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D98CD63F-A80A-40D3-9CDF-E134BF571702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</calcChain>
</file>

<file path=xl/sharedStrings.xml><?xml version="1.0" encoding="utf-8"?>
<sst xmlns="http://schemas.openxmlformats.org/spreadsheetml/2006/main" count="21122" uniqueCount="103">
  <si>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</si>
  <si>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</si>
  <si>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</si>
  <si>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</si>
  <si>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</si>
  <si>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</si>
  <si>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</si>
  <si>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</si>
  <si>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</si>
  <si>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</si>
  <si>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</si>
  <si>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</si>
  <si>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</si>
  <si>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</si>
  <si>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</si>
  <si>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</si>
  <si>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</si>
  <si>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</si>
  <si>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</si>
  <si>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</si>
  <si>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</si>
  <si>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</si>
  <si>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</si>
  <si>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</si>
  <si>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</si>
  <si>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</si>
  <si>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</si>
  <si>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</si>
  <si>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</si>
  <si>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</si>
  <si>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</si>
  <si>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</si>
  <si>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</si>
  <si>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</si>
  <si>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</si>
  <si>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</si>
  <si>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</si>
  <si>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</si>
  <si>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</si>
  <si>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</si>
  <si>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</si>
  <si>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Kooper</t>
  </si>
  <si>
    <t>mcp_road_part_02</t>
  </si>
  <si>
    <t>Plane_01</t>
  </si>
  <si>
    <t>Floor 01</t>
  </si>
  <si>
    <t>mcp_bus_stop_night_LOD_0</t>
  </si>
  <si>
    <t>Wall Small 03 (23)</t>
  </si>
  <si>
    <t>Building 07 (16)</t>
  </si>
  <si>
    <t>Box001</t>
  </si>
  <si>
    <t>mcp_roads_turn_01 (1)</t>
  </si>
  <si>
    <t>FAR</t>
  </si>
  <si>
    <t>Building 15 (22)</t>
  </si>
  <si>
    <t>Building 15 (24)</t>
  </si>
  <si>
    <t>Building 18 (9)</t>
  </si>
  <si>
    <t>mcp_roads_T_cross_01</t>
  </si>
  <si>
    <t>mcp_roads_cross_02</t>
  </si>
  <si>
    <t>Building 15 (35)</t>
  </si>
  <si>
    <t>Building 07 (17)</t>
  </si>
  <si>
    <t>Building 23 (4)</t>
  </si>
  <si>
    <t>Building 15 (34)</t>
  </si>
  <si>
    <t>Stand 03 (4)</t>
  </si>
  <si>
    <t>mcp_road_part_01</t>
  </si>
  <si>
    <t>mcp_roads_cross_01</t>
  </si>
  <si>
    <t>Building 01 (9)</t>
  </si>
  <si>
    <t>Building 15 (31)</t>
  </si>
  <si>
    <t>Building 02 (8)</t>
  </si>
  <si>
    <t>Building 07 (4)</t>
  </si>
  <si>
    <t>Building 15 (33)</t>
  </si>
  <si>
    <t>Building 15 (30)</t>
  </si>
  <si>
    <t>mcp_roads_turn_01</t>
  </si>
  <si>
    <t>Building 09 (4)</t>
  </si>
  <si>
    <t>Building 07 (15)</t>
  </si>
  <si>
    <t>Building 24 (1)</t>
  </si>
  <si>
    <t>Tree 02 (2)</t>
  </si>
  <si>
    <t>Tree 02 (3)</t>
  </si>
  <si>
    <t>Building 24</t>
  </si>
  <si>
    <t>Building 11 (3)</t>
  </si>
  <si>
    <t>mcp_building_24_fountain_marble</t>
  </si>
  <si>
    <t>Stand 03 (2)</t>
  </si>
  <si>
    <t>Bannar Stand</t>
  </si>
  <si>
    <t>Building 07 (18)</t>
  </si>
  <si>
    <t>Stand 02 (19)</t>
  </si>
  <si>
    <t>Building 15 (32)</t>
  </si>
  <si>
    <t>Canopi 01 (3)</t>
  </si>
  <si>
    <t>Building 13 (1)</t>
  </si>
  <si>
    <t>Building 14 (16)</t>
  </si>
  <si>
    <t>mcp_road_part_02 (1)</t>
  </si>
  <si>
    <t>mcp_road_part_02 (2)</t>
  </si>
  <si>
    <t>mcp_road_part_02 (3)</t>
  </si>
  <si>
    <t>Tree 04 (5)</t>
  </si>
  <si>
    <t>Building 01</t>
  </si>
  <si>
    <t>Shurbs (1)</t>
  </si>
  <si>
    <t>Shurbs (2)</t>
  </si>
  <si>
    <t>Building 07 (14)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</si>
  <si>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</si>
  <si>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</si>
  <si>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</si>
  <si>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</si>
  <si>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</si>
  <si>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(12)</t>
  </si>
  <si>
    <t>mcp_road_part_02 (11)</t>
  </si>
  <si>
    <t>Canopi 01 (4)</t>
  </si>
  <si>
    <t>Canopi 01 (5)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</si>
</sst>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542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"20190312153851314"</f>
        <v>20190312153851314</v>
      </c>
      <c r="B2" t="str">
        <f>"1552376331305583"</f>
        <v>1552376331305583</v>
      </c>
      <c r="C2" t="s">
        <v>40</v>
      </c>
      <c r="D2">
        <v>4.5901509999999996</v>
      </c>
      <c r="E2">
        <v>0.54648430000000003</v>
      </c>
      <c r="F2" t="s">
        <v>41</v>
      </c>
      <c r="G2">
        <v>-475.94049999999999</v>
      </c>
      <c r="H2">
        <v>0.93517079999999997</v>
      </c>
      <c r="I2">
        <v>367.12169999999998</v>
      </c>
      <c r="J2">
        <v>-476.60860000000002</v>
      </c>
      <c r="K2">
        <v>1.109464</v>
      </c>
      <c r="L2">
        <v>367.21699999999998</v>
      </c>
      <c r="M2">
        <v>0.99996830000000003</v>
      </c>
      <c r="N2">
        <v>0</v>
      </c>
      <c r="O2">
        <v>1.292311E-4</v>
      </c>
      <c r="P2">
        <v>0.9992434</v>
      </c>
      <c r="Q2">
        <v>2.6243760000000001E-2</v>
      </c>
      <c r="R2">
        <v>-2.8713510000000001E-2</v>
      </c>
      <c r="S2">
        <v>3.009735</v>
      </c>
      <c r="T2">
        <v>-0.77305669999999904</v>
      </c>
      <c r="U2">
        <v>-0.41986079999999998</v>
      </c>
      <c r="V2">
        <v>2.8840190000000002E-2</v>
      </c>
      <c r="W2">
        <v>3.420861E-2</v>
      </c>
      <c r="X2">
        <v>0.99899850000000001</v>
      </c>
      <c r="Y2">
        <v>0.13401849999999901</v>
      </c>
      <c r="Z2">
        <v>-1.6891280000000002E-2</v>
      </c>
      <c r="AA2">
        <v>0.99083489999999996</v>
      </c>
      <c r="AB2">
        <v>1</v>
      </c>
      <c r="AC2">
        <v>0.668100000000038</v>
      </c>
      <c r="AD2">
        <v>-0.17429319999999901</v>
      </c>
      <c r="AE2">
        <v>-9.5300000000008794E-2</v>
      </c>
      <c r="AF2">
        <v>8.9421846807726399E-2</v>
      </c>
      <c r="AG2">
        <v>-0.17429319999999901</v>
      </c>
      <c r="AH2">
        <v>0.62631225024508097</v>
      </c>
      <c r="AI2">
        <v>105.402407051255</v>
      </c>
      <c r="AJ2">
        <v>81.874499673949998</v>
      </c>
      <c r="AK2">
        <v>0.65623274915216001</v>
      </c>
      <c r="AL2">
        <v>88.039608534767694</v>
      </c>
      <c r="AM2">
        <v>88.346381560771803</v>
      </c>
      <c r="AN2">
        <v>0.99999999427980901</v>
      </c>
    </row>
    <row r="3" spans="1:40" x14ac:dyDescent="0.25">
      <c r="A3" t="str">
        <f>"20190312153851338"</f>
        <v>20190312153851338</v>
      </c>
      <c r="B3" t="str">
        <f>"1552376331326078"</f>
        <v>1552376331326078</v>
      </c>
      <c r="C3" t="s">
        <v>40</v>
      </c>
      <c r="D3">
        <v>4.6071150000000003</v>
      </c>
      <c r="E3">
        <v>0.54786899999999905</v>
      </c>
      <c r="F3" t="s">
        <v>41</v>
      </c>
      <c r="G3">
        <v>-475.92849999999999</v>
      </c>
      <c r="H3">
        <v>0.93892659999999994</v>
      </c>
      <c r="I3">
        <v>367.1164</v>
      </c>
      <c r="J3">
        <v>-476.59469999999999</v>
      </c>
      <c r="K3">
        <v>1.1092979999999999</v>
      </c>
      <c r="L3">
        <v>367.21710000000002</v>
      </c>
      <c r="M3">
        <v>0.99997709999999995</v>
      </c>
      <c r="N3">
        <v>0</v>
      </c>
      <c r="O3">
        <v>2.3528730000000001E-4</v>
      </c>
      <c r="P3">
        <v>0.99922169999999999</v>
      </c>
      <c r="Q3">
        <v>2.7037829999999999E-2</v>
      </c>
      <c r="R3">
        <v>-2.8723510000000001E-2</v>
      </c>
      <c r="S3">
        <v>3.0093380000000001</v>
      </c>
      <c r="T3">
        <v>-0.75477459999999996</v>
      </c>
      <c r="U3">
        <v>-0.44409179999999998</v>
      </c>
      <c r="V3">
        <v>2.895555E-2</v>
      </c>
      <c r="W3">
        <v>3.3806860000000001E-2</v>
      </c>
      <c r="X3">
        <v>0.99900880000000003</v>
      </c>
      <c r="Y3">
        <v>0.1419126</v>
      </c>
      <c r="Z3">
        <v>-1.7492799999999999E-2</v>
      </c>
      <c r="AA3">
        <v>0.98972459999999995</v>
      </c>
      <c r="AB3">
        <v>1</v>
      </c>
      <c r="AC3">
        <v>0.66620000000000301</v>
      </c>
      <c r="AD3">
        <v>-0.17037139999999901</v>
      </c>
      <c r="AE3">
        <v>-0.100700000000017</v>
      </c>
      <c r="AF3">
        <v>9.4795518680530197E-2</v>
      </c>
      <c r="AG3">
        <v>-0.17037139999999901</v>
      </c>
      <c r="AH3">
        <v>0.62614081077481198</v>
      </c>
      <c r="AI3">
        <v>105.057859289699</v>
      </c>
      <c r="AJ3">
        <v>81.390998367463496</v>
      </c>
      <c r="AK3">
        <v>0.65579335100137304</v>
      </c>
      <c r="AL3">
        <v>88.062640360828595</v>
      </c>
      <c r="AM3">
        <v>88.339787932823199</v>
      </c>
      <c r="AN3">
        <v>0.99999995506814998</v>
      </c>
    </row>
    <row r="4" spans="1:40" x14ac:dyDescent="0.25">
      <c r="A4" t="str">
        <f>"20190312153851360"</f>
        <v>20190312153851360</v>
      </c>
      <c r="B4" t="str">
        <f>"1552376331356335"</f>
        <v>1552376331356335</v>
      </c>
      <c r="C4" t="s">
        <v>40</v>
      </c>
      <c r="D4">
        <v>4.7216379999999996</v>
      </c>
      <c r="E4">
        <v>0.54939059999999995</v>
      </c>
      <c r="F4" t="s">
        <v>41</v>
      </c>
      <c r="G4">
        <v>-475.90230000000003</v>
      </c>
      <c r="H4">
        <v>0.93756229999999996</v>
      </c>
      <c r="I4">
        <v>367.11219999999997</v>
      </c>
      <c r="J4">
        <v>-476.57850000000002</v>
      </c>
      <c r="K4">
        <v>1.109151</v>
      </c>
      <c r="L4">
        <v>367.21730000000002</v>
      </c>
      <c r="M4">
        <v>0.99998410000000004</v>
      </c>
      <c r="N4">
        <v>0</v>
      </c>
      <c r="O4">
        <v>3.5581989999999998E-4</v>
      </c>
      <c r="P4">
        <v>0.9991776</v>
      </c>
      <c r="Q4">
        <v>2.890444E-2</v>
      </c>
      <c r="R4">
        <v>-2.8437540000000001E-2</v>
      </c>
      <c r="S4">
        <v>3.00943</v>
      </c>
      <c r="T4">
        <v>-0.74655950000000004</v>
      </c>
      <c r="U4">
        <v>-0.45498660000000002</v>
      </c>
      <c r="V4">
        <v>2.8789729999999999E-2</v>
      </c>
      <c r="W4">
        <v>3.453266E-2</v>
      </c>
      <c r="X4">
        <v>0.99898880000000001</v>
      </c>
      <c r="Y4">
        <v>0.1455158</v>
      </c>
      <c r="Z4">
        <v>-1.7770230000000001E-2</v>
      </c>
      <c r="AA4">
        <v>0.98919630000000003</v>
      </c>
      <c r="AB4">
        <v>1</v>
      </c>
      <c r="AC4">
        <v>0.67619999999999403</v>
      </c>
      <c r="AD4">
        <v>-0.17158870000000001</v>
      </c>
      <c r="AE4">
        <v>-0.105100000000049</v>
      </c>
      <c r="AF4">
        <v>9.9109356955723094E-2</v>
      </c>
      <c r="AG4">
        <v>-0.17158870000000001</v>
      </c>
      <c r="AH4">
        <v>0.63616530449750197</v>
      </c>
      <c r="AI4">
        <v>104.92296214844301</v>
      </c>
      <c r="AJ4">
        <v>81.144968222678699</v>
      </c>
      <c r="AK4">
        <v>0.66631196991369301</v>
      </c>
      <c r="AL4">
        <v>88.021030847962294</v>
      </c>
      <c r="AM4">
        <v>88.349257179051804</v>
      </c>
      <c r="AN4">
        <v>0.99999998784279398</v>
      </c>
    </row>
    <row r="5" spans="1:40" x14ac:dyDescent="0.25">
      <c r="A5" t="str">
        <f>"20190312153851380"</f>
        <v>20190312153851380</v>
      </c>
      <c r="B5" t="str">
        <f>"1552376331375855"</f>
        <v>1552376331375855</v>
      </c>
      <c r="C5" t="s">
        <v>40</v>
      </c>
      <c r="D5">
        <v>4.6402900000000002</v>
      </c>
      <c r="E5">
        <v>0.55055699999999996</v>
      </c>
      <c r="F5" t="s">
        <v>41</v>
      </c>
      <c r="G5">
        <v>-475.88510000000002</v>
      </c>
      <c r="H5">
        <v>0.9374055</v>
      </c>
      <c r="I5">
        <v>367.10950000000003</v>
      </c>
      <c r="J5">
        <v>-476.56020000000001</v>
      </c>
      <c r="K5">
        <v>1.1090260000000001</v>
      </c>
      <c r="L5">
        <v>367.2174</v>
      </c>
      <c r="M5">
        <v>0.99998929999999997</v>
      </c>
      <c r="N5">
        <v>0</v>
      </c>
      <c r="O5">
        <v>4.9229190000000004E-4</v>
      </c>
      <c r="P5">
        <v>0.99914669999999906</v>
      </c>
      <c r="Q5">
        <v>3.0539110000000001E-2</v>
      </c>
      <c r="R5">
        <v>-2.7812509999999999E-2</v>
      </c>
      <c r="S5">
        <v>3.010742</v>
      </c>
      <c r="T5">
        <v>-0.74588969999999999</v>
      </c>
      <c r="U5">
        <v>-0.4663696</v>
      </c>
      <c r="V5">
        <v>2.8300249999999999E-2</v>
      </c>
      <c r="W5">
        <v>3.5114529999999998E-2</v>
      </c>
      <c r="X5">
        <v>0.9989825</v>
      </c>
      <c r="Y5">
        <v>0.14914349999999901</v>
      </c>
      <c r="Z5">
        <v>-1.8215760000000001E-2</v>
      </c>
      <c r="AA5">
        <v>0.98864779999999997</v>
      </c>
      <c r="AB5">
        <v>2</v>
      </c>
      <c r="AC5">
        <v>0.67509999999998604</v>
      </c>
      <c r="AD5">
        <v>-0.17162050000000001</v>
      </c>
      <c r="AE5">
        <v>-0.107899999999972</v>
      </c>
      <c r="AF5">
        <v>0.1018163300148</v>
      </c>
      <c r="AG5">
        <v>-0.17162050000000001</v>
      </c>
      <c r="AH5">
        <v>0.63503006393988104</v>
      </c>
      <c r="AI5">
        <v>104.941094537758</v>
      </c>
      <c r="AJ5">
        <v>80.891115976812401</v>
      </c>
      <c r="AK5">
        <v>0.66564505795913698</v>
      </c>
      <c r="AL5">
        <v>87.987671912771702</v>
      </c>
      <c r="AM5">
        <v>88.377297574292399</v>
      </c>
      <c r="AN5">
        <v>0.99999998483671604</v>
      </c>
    </row>
    <row r="6" spans="1:40" x14ac:dyDescent="0.25">
      <c r="A6" t="str">
        <f>"20190312153851403"</f>
        <v>20190312153851403</v>
      </c>
      <c r="B6" t="str">
        <f>"1552376331396351"</f>
        <v>1552376331396351</v>
      </c>
      <c r="C6" t="s">
        <v>40</v>
      </c>
      <c r="D6">
        <v>4.654363</v>
      </c>
      <c r="E6">
        <v>0.55135000000000001</v>
      </c>
      <c r="F6" t="s">
        <v>41</v>
      </c>
      <c r="G6">
        <v>-475.86660000000001</v>
      </c>
      <c r="H6">
        <v>0.93515170000000003</v>
      </c>
      <c r="I6">
        <v>367.10820000000001</v>
      </c>
      <c r="J6">
        <v>-476.5369</v>
      </c>
      <c r="K6">
        <v>1.1089329999999999</v>
      </c>
      <c r="L6">
        <v>367.2176</v>
      </c>
      <c r="M6">
        <v>0.99999360000000004</v>
      </c>
      <c r="N6">
        <v>0</v>
      </c>
      <c r="O6">
        <v>6.6224950000000002E-4</v>
      </c>
      <c r="P6">
        <v>0.99912219999999996</v>
      </c>
      <c r="Q6">
        <v>3.1616650000000003E-2</v>
      </c>
      <c r="R6">
        <v>-2.7483420000000001E-2</v>
      </c>
      <c r="S6">
        <v>3.0124819999999999</v>
      </c>
      <c r="T6">
        <v>-0.7551525</v>
      </c>
      <c r="U6">
        <v>-0.47332760000000001</v>
      </c>
      <c r="V6">
        <v>2.8140930000000001E-2</v>
      </c>
      <c r="W6">
        <v>3.5160280000000002E-2</v>
      </c>
      <c r="X6">
        <v>0.99898540000000002</v>
      </c>
      <c r="Y6">
        <v>0.15128239999999901</v>
      </c>
      <c r="Z6">
        <v>-1.872617E-2</v>
      </c>
      <c r="AA6">
        <v>0.9883132</v>
      </c>
      <c r="AB6">
        <v>2</v>
      </c>
      <c r="AC6">
        <v>0.67029999999999701</v>
      </c>
      <c r="AD6">
        <v>-0.173781299999999</v>
      </c>
      <c r="AE6">
        <v>-0.109399999999993</v>
      </c>
      <c r="AF6">
        <v>0.103094182443771</v>
      </c>
      <c r="AG6">
        <v>-0.173781299999999</v>
      </c>
      <c r="AH6">
        <v>0.62904317672878196</v>
      </c>
      <c r="AI6">
        <v>105.24970698029701</v>
      </c>
      <c r="AJ6">
        <v>80.692512386804594</v>
      </c>
      <c r="AK6">
        <v>0.66069937859247097</v>
      </c>
      <c r="AL6">
        <v>87.985049028257393</v>
      </c>
      <c r="AM6">
        <v>88.386432630804407</v>
      </c>
      <c r="AN6">
        <v>0.99999999332205103</v>
      </c>
    </row>
    <row r="7" spans="1:40" x14ac:dyDescent="0.25">
      <c r="A7" t="str">
        <f>"20190312153851426"</f>
        <v>20190312153851426</v>
      </c>
      <c r="B7" t="str">
        <f>"1552376331415870"</f>
        <v>1552376331415870</v>
      </c>
      <c r="C7" t="s">
        <v>40</v>
      </c>
      <c r="D7">
        <v>4.6722700000000001</v>
      </c>
      <c r="E7">
        <v>0.55096979999999995</v>
      </c>
      <c r="F7" t="s">
        <v>41</v>
      </c>
      <c r="G7">
        <v>-475.8451</v>
      </c>
      <c r="H7">
        <v>0.9339672</v>
      </c>
      <c r="I7">
        <v>367.10750000000002</v>
      </c>
      <c r="J7">
        <v>-476.51170000000002</v>
      </c>
      <c r="K7">
        <v>1.108946</v>
      </c>
      <c r="L7">
        <v>367.21780000000001</v>
      </c>
      <c r="M7">
        <v>0.99999519999999997</v>
      </c>
      <c r="N7">
        <v>0</v>
      </c>
      <c r="O7">
        <v>7.9317389999999997E-4</v>
      </c>
      <c r="P7">
        <v>0.99912800000000002</v>
      </c>
      <c r="Q7">
        <v>3.18132E-2</v>
      </c>
      <c r="R7">
        <v>-2.7034820000000001E-2</v>
      </c>
      <c r="S7">
        <v>3.013611</v>
      </c>
      <c r="T7">
        <v>-0.76230690000000001</v>
      </c>
      <c r="U7">
        <v>-0.47851559999999999</v>
      </c>
      <c r="V7">
        <v>2.78243E-2</v>
      </c>
      <c r="W7">
        <v>3.4780470000000001E-2</v>
      </c>
      <c r="X7">
        <v>0.9990076</v>
      </c>
      <c r="Y7">
        <v>0.1528804</v>
      </c>
      <c r="Z7">
        <v>-1.9119299999999999E-2</v>
      </c>
      <c r="AA7">
        <v>0.98805980000000004</v>
      </c>
      <c r="AB7">
        <v>2</v>
      </c>
      <c r="AC7">
        <v>0.66660000000001596</v>
      </c>
      <c r="AD7">
        <v>-0.17497879999999999</v>
      </c>
      <c r="AE7">
        <v>-0.110299999999995</v>
      </c>
      <c r="AF7">
        <v>0.10386291359915201</v>
      </c>
      <c r="AG7">
        <v>-0.17497879999999999</v>
      </c>
      <c r="AH7">
        <v>0.62462080082487204</v>
      </c>
      <c r="AI7">
        <v>105.447697213993</v>
      </c>
      <c r="AJ7">
        <v>80.559148443180703</v>
      </c>
      <c r="AK7">
        <v>0.65692939505996395</v>
      </c>
      <c r="AL7">
        <v>88.006823927902801</v>
      </c>
      <c r="AM7">
        <v>88.404613816181396</v>
      </c>
      <c r="AN7">
        <v>1.0000000288108299</v>
      </c>
    </row>
    <row r="8" spans="1:40" x14ac:dyDescent="0.25">
      <c r="A8" t="str">
        <f>"20190312153851447"</f>
        <v>20190312153851447</v>
      </c>
      <c r="B8" t="str">
        <f>"1552376331436366"</f>
        <v>1552376331436366</v>
      </c>
      <c r="C8" t="s">
        <v>40</v>
      </c>
      <c r="D8">
        <v>4.7080039999999999</v>
      </c>
      <c r="E8">
        <v>0.51559219999999994</v>
      </c>
      <c r="F8" t="s">
        <v>41</v>
      </c>
      <c r="G8">
        <v>-475.82339999999999</v>
      </c>
      <c r="H8">
        <v>0.93397010000000003</v>
      </c>
      <c r="I8">
        <v>367.10899999999998</v>
      </c>
      <c r="J8">
        <v>-476.49029999999999</v>
      </c>
      <c r="K8">
        <v>1.109232</v>
      </c>
      <c r="L8">
        <v>367.21789999999999</v>
      </c>
      <c r="M8">
        <v>0.99999320000000003</v>
      </c>
      <c r="N8">
        <v>0</v>
      </c>
      <c r="O8">
        <v>8.3685219999999998E-4</v>
      </c>
      <c r="P8">
        <v>0.99916150000000004</v>
      </c>
      <c r="Q8">
        <v>3.067253E-2</v>
      </c>
      <c r="R8">
        <v>-2.711856E-2</v>
      </c>
      <c r="S8">
        <v>3.014221</v>
      </c>
      <c r="T8">
        <v>-0.76637390000000005</v>
      </c>
      <c r="U8">
        <v>-0.47467039999999999</v>
      </c>
      <c r="V8">
        <v>2.7954199999999998E-2</v>
      </c>
      <c r="W8">
        <v>3.4268649999999998E-2</v>
      </c>
      <c r="X8">
        <v>0.99902159999999995</v>
      </c>
      <c r="Y8">
        <v>0.15165039999999999</v>
      </c>
      <c r="Z8">
        <v>-1.907416E-2</v>
      </c>
      <c r="AA8">
        <v>0.98825010000000002</v>
      </c>
      <c r="AB8">
        <v>3</v>
      </c>
      <c r="AC8">
        <v>0.66689999999999805</v>
      </c>
      <c r="AD8">
        <v>-0.1752619</v>
      </c>
      <c r="AE8">
        <v>-0.108899999999948</v>
      </c>
      <c r="AF8">
        <v>0.10255886982915501</v>
      </c>
      <c r="AG8">
        <v>-0.1752619</v>
      </c>
      <c r="AH8">
        <v>0.62477937564830899</v>
      </c>
      <c r="AI8">
        <v>105.47279929032</v>
      </c>
      <c r="AJ8">
        <v>80.677912781167294</v>
      </c>
      <c r="AK8">
        <v>0.65695077715741701</v>
      </c>
      <c r="AL8">
        <v>88.036166425346707</v>
      </c>
      <c r="AM8">
        <v>88.397191952598604</v>
      </c>
      <c r="AN8">
        <v>0.99999996746851005</v>
      </c>
    </row>
    <row r="9" spans="1:40" x14ac:dyDescent="0.25">
      <c r="A9" t="str">
        <f>"20190312153851469"</f>
        <v>20190312153851469</v>
      </c>
      <c r="B9" t="str">
        <f>"1552376331465646"</f>
        <v>1552376331465646</v>
      </c>
      <c r="C9" t="s">
        <v>40</v>
      </c>
      <c r="D9">
        <v>4.666595</v>
      </c>
      <c r="E9">
        <v>0.51408909999999997</v>
      </c>
      <c r="F9" t="s">
        <v>41</v>
      </c>
      <c r="G9">
        <v>-475.79969999999997</v>
      </c>
      <c r="H9">
        <v>0.9457139</v>
      </c>
      <c r="I9">
        <v>367.17360000000002</v>
      </c>
      <c r="J9">
        <v>-476.46749999999997</v>
      </c>
      <c r="K9">
        <v>1.109429</v>
      </c>
      <c r="L9">
        <v>367.21800000000002</v>
      </c>
      <c r="M9">
        <v>0.99999119999999997</v>
      </c>
      <c r="N9">
        <v>0</v>
      </c>
      <c r="O9">
        <v>8.7856929999999896E-4</v>
      </c>
      <c r="P9">
        <v>0.99918370000000001</v>
      </c>
      <c r="Q9">
        <v>2.9843399999999999E-2</v>
      </c>
      <c r="R9">
        <v>-2.723737E-2</v>
      </c>
      <c r="S9">
        <v>3.019196</v>
      </c>
      <c r="T9">
        <v>-0.71492719999999998</v>
      </c>
      <c r="U9">
        <v>-0.19421389999999999</v>
      </c>
      <c r="V9">
        <v>2.8116459999999999E-2</v>
      </c>
      <c r="W9">
        <v>3.3968900000000003E-2</v>
      </c>
      <c r="X9">
        <v>0.99902729999999995</v>
      </c>
      <c r="Y9">
        <v>6.3302789999999998E-2</v>
      </c>
      <c r="Z9">
        <v>-7.5903200000000002E-3</v>
      </c>
      <c r="AA9">
        <v>0.99796549999999995</v>
      </c>
      <c r="AB9">
        <v>2</v>
      </c>
      <c r="AC9">
        <v>0.66779999999999895</v>
      </c>
      <c r="AD9">
        <v>-0.163715099999999</v>
      </c>
      <c r="AE9">
        <v>-4.4399999999995998E-2</v>
      </c>
      <c r="AF9">
        <v>4.2446810889844498E-2</v>
      </c>
      <c r="AG9">
        <v>-0.163715099999999</v>
      </c>
      <c r="AH9">
        <v>0.630059903353266</v>
      </c>
      <c r="AI9">
        <v>104.534111983483</v>
      </c>
      <c r="AJ9">
        <v>86.145836726121104</v>
      </c>
      <c r="AK9">
        <v>0.65236481169377503</v>
      </c>
      <c r="AL9">
        <v>88.053350872740694</v>
      </c>
      <c r="AM9">
        <v>88.387902550455607</v>
      </c>
      <c r="AN9">
        <v>0.99999998381771504</v>
      </c>
    </row>
    <row r="10" spans="1:40" x14ac:dyDescent="0.25">
      <c r="A10" t="str">
        <f>"20190312153851491"</f>
        <v>20190312153851491</v>
      </c>
      <c r="B10" t="str">
        <f>"1552376331486142"</f>
        <v>1552376331486142</v>
      </c>
      <c r="C10" t="s">
        <v>40</v>
      </c>
      <c r="D10">
        <v>4.6981390000000003</v>
      </c>
      <c r="E10">
        <v>0.51430240000000005</v>
      </c>
      <c r="F10" t="s">
        <v>41</v>
      </c>
      <c r="G10">
        <v>-475.77629999999999</v>
      </c>
      <c r="H10">
        <v>0.94667959999999995</v>
      </c>
      <c r="I10">
        <v>367.17610000000002</v>
      </c>
      <c r="J10">
        <v>-476.43869999999998</v>
      </c>
      <c r="K10">
        <v>1.109283</v>
      </c>
      <c r="L10">
        <v>367.21820000000002</v>
      </c>
      <c r="M10">
        <v>0.99999329999999997</v>
      </c>
      <c r="N10">
        <v>0</v>
      </c>
      <c r="O10">
        <v>9.6143900000000002E-4</v>
      </c>
      <c r="P10">
        <v>0.99916879999999997</v>
      </c>
      <c r="Q10">
        <v>3.041085E-2</v>
      </c>
      <c r="R10">
        <v>-2.7154560000000001E-2</v>
      </c>
      <c r="S10">
        <v>3.018707</v>
      </c>
      <c r="T10">
        <v>-0.71099889999999999</v>
      </c>
      <c r="U10">
        <v>-0.18212890000000001</v>
      </c>
      <c r="V10">
        <v>2.811667E-2</v>
      </c>
      <c r="W10">
        <v>3.393268E-2</v>
      </c>
      <c r="X10">
        <v>0.99902860000000004</v>
      </c>
      <c r="Y10">
        <v>5.9534129999999998E-2</v>
      </c>
      <c r="Z10">
        <v>-7.1336029999999996E-3</v>
      </c>
      <c r="AA10">
        <v>0.9982008</v>
      </c>
      <c r="AB10">
        <v>2</v>
      </c>
      <c r="AC10">
        <v>0.662399999999991</v>
      </c>
      <c r="AD10">
        <v>-0.16260339999999901</v>
      </c>
      <c r="AE10">
        <v>-4.2100000000004897E-2</v>
      </c>
      <c r="AF10">
        <v>4.0317162598913103E-2</v>
      </c>
      <c r="AG10">
        <v>-0.16260339999999901</v>
      </c>
      <c r="AH10">
        <v>0.62485769148691295</v>
      </c>
      <c r="AI10">
        <v>104.557293709275</v>
      </c>
      <c r="AJ10">
        <v>86.308270385398401</v>
      </c>
      <c r="AK10">
        <v>0.64692540056944903</v>
      </c>
      <c r="AL10">
        <v>88.055427468758495</v>
      </c>
      <c r="AM10">
        <v>88.387892612832104</v>
      </c>
      <c r="AN10">
        <v>1.0000000587609099</v>
      </c>
    </row>
    <row r="11" spans="1:40" x14ac:dyDescent="0.25">
      <c r="A11" t="str">
        <f>"20190312153851515"</f>
        <v>20190312153851515</v>
      </c>
      <c r="B11" t="str">
        <f>"1552376331505666"</f>
        <v>1552376331505666</v>
      </c>
      <c r="C11" t="s">
        <v>40</v>
      </c>
      <c r="D11">
        <v>4.7377539999999998</v>
      </c>
      <c r="E11">
        <v>0.51454549999999999</v>
      </c>
      <c r="F11" t="s">
        <v>41</v>
      </c>
      <c r="G11">
        <v>-475.74919999999997</v>
      </c>
      <c r="H11">
        <v>0.94835760000000002</v>
      </c>
      <c r="I11">
        <v>367.17619999999999</v>
      </c>
      <c r="J11">
        <v>-476.4058</v>
      </c>
      <c r="K11">
        <v>1.1091</v>
      </c>
      <c r="L11">
        <v>367.2183</v>
      </c>
      <c r="M11">
        <v>0.99999579999999999</v>
      </c>
      <c r="N11">
        <v>0</v>
      </c>
      <c r="O11">
        <v>1.083238E-3</v>
      </c>
      <c r="P11">
        <v>0.99915810000000005</v>
      </c>
      <c r="Q11">
        <v>3.081621E-2</v>
      </c>
      <c r="R11">
        <v>-2.7076380000000001E-2</v>
      </c>
      <c r="S11">
        <v>3.0189210000000002</v>
      </c>
      <c r="T11">
        <v>-0.70452389999999998</v>
      </c>
      <c r="U11">
        <v>-0.18338009999999999</v>
      </c>
      <c r="V11">
        <v>2.8159839999999998E-2</v>
      </c>
      <c r="W11">
        <v>3.3508049999999998E-2</v>
      </c>
      <c r="X11">
        <v>0.99904170000000003</v>
      </c>
      <c r="Y11">
        <v>6.0075679999999999E-2</v>
      </c>
      <c r="Z11">
        <v>-7.16009E-3</v>
      </c>
      <c r="AA11">
        <v>0.99816819999999895</v>
      </c>
      <c r="AB11">
        <v>3</v>
      </c>
      <c r="AC11">
        <v>0.65660000000002505</v>
      </c>
      <c r="AD11">
        <v>-0.16074240000000001</v>
      </c>
      <c r="AE11">
        <v>-4.2100000000004897E-2</v>
      </c>
      <c r="AF11">
        <v>4.0399896619358298E-2</v>
      </c>
      <c r="AG11">
        <v>-0.16074240000000001</v>
      </c>
      <c r="AH11">
        <v>0.61957371788313897</v>
      </c>
      <c r="AI11">
        <v>104.51465675991901</v>
      </c>
      <c r="AJ11">
        <v>86.269255418082807</v>
      </c>
      <c r="AK11">
        <v>0.64135938653468705</v>
      </c>
      <c r="AL11">
        <v>88.079770786395301</v>
      </c>
      <c r="AM11">
        <v>88.385439871624598</v>
      </c>
      <c r="AN11">
        <v>1.00000004217125</v>
      </c>
    </row>
    <row r="12" spans="1:40" x14ac:dyDescent="0.25">
      <c r="A12" t="str">
        <f>"20190312153851530"</f>
        <v>20190312153851530</v>
      </c>
      <c r="B12" t="str">
        <f>"1552376331526158"</f>
        <v>1552376331526158</v>
      </c>
      <c r="C12" t="s">
        <v>40</v>
      </c>
      <c r="D12">
        <v>4.730194</v>
      </c>
      <c r="E12">
        <v>0.51472200000000001</v>
      </c>
      <c r="F12" t="s">
        <v>41</v>
      </c>
      <c r="G12">
        <v>-475.72089999999997</v>
      </c>
      <c r="H12">
        <v>0.94750990000000002</v>
      </c>
      <c r="I12">
        <v>367.17570000000001</v>
      </c>
      <c r="J12">
        <v>-476.3843</v>
      </c>
      <c r="K12">
        <v>1.1090500000000001</v>
      </c>
      <c r="L12">
        <v>367.21839999999997</v>
      </c>
      <c r="M12">
        <v>0.99999669999999896</v>
      </c>
      <c r="N12">
        <v>0</v>
      </c>
      <c r="O12">
        <v>1.1698050000000001E-3</v>
      </c>
      <c r="P12">
        <v>0.99915710000000002</v>
      </c>
      <c r="Q12">
        <v>3.1112509999999999E-2</v>
      </c>
      <c r="R12">
        <v>-2.6792429999999999E-2</v>
      </c>
      <c r="S12">
        <v>3.019501</v>
      </c>
      <c r="T12">
        <v>-0.71264349999999999</v>
      </c>
      <c r="U12">
        <v>-0.18515010000000001</v>
      </c>
      <c r="V12">
        <v>2.79616E-2</v>
      </c>
      <c r="W12">
        <v>3.3478029999999999E-2</v>
      </c>
      <c r="X12">
        <v>0.99904820000000005</v>
      </c>
      <c r="Y12">
        <v>6.0677830000000002E-2</v>
      </c>
      <c r="Z12">
        <v>-7.3291140000000003E-3</v>
      </c>
      <c r="AA12">
        <v>0.99813050000000003</v>
      </c>
      <c r="AB12">
        <v>3</v>
      </c>
      <c r="AC12">
        <v>0.66340000000002397</v>
      </c>
      <c r="AD12">
        <v>-0.16154009999999999</v>
      </c>
      <c r="AE12">
        <v>-4.2699999999967903E-2</v>
      </c>
      <c r="AF12">
        <v>4.1051936235445403E-2</v>
      </c>
      <c r="AG12">
        <v>-0.16154009999999999</v>
      </c>
      <c r="AH12">
        <v>0.62636332347628998</v>
      </c>
      <c r="AI12">
        <v>104.431876057767</v>
      </c>
      <c r="AJ12">
        <v>86.250189903776899</v>
      </c>
      <c r="AK12">
        <v>0.64816007156639299</v>
      </c>
      <c r="AL12">
        <v>88.081491628340601</v>
      </c>
      <c r="AM12">
        <v>88.396810545042399</v>
      </c>
      <c r="AN12">
        <v>0.99999996774523903</v>
      </c>
    </row>
    <row r="13" spans="1:40" x14ac:dyDescent="0.25">
      <c r="A13" t="str">
        <f>"20190312153851550"</f>
        <v>20190312153851550</v>
      </c>
      <c r="B13" t="str">
        <f>"1552376331545678"</f>
        <v>1552376331545678</v>
      </c>
      <c r="C13" t="s">
        <v>40</v>
      </c>
      <c r="D13">
        <v>4.6933999999999996</v>
      </c>
      <c r="E13">
        <v>0.51463359999999903</v>
      </c>
      <c r="F13" t="s">
        <v>41</v>
      </c>
      <c r="G13">
        <v>-475.69139999999999</v>
      </c>
      <c r="H13">
        <v>0.94601120000000005</v>
      </c>
      <c r="I13">
        <v>367.17559999999997</v>
      </c>
      <c r="J13">
        <v>-476.35559999999998</v>
      </c>
      <c r="K13">
        <v>1.1092789999999999</v>
      </c>
      <c r="L13">
        <v>367.21850000000001</v>
      </c>
      <c r="M13">
        <v>0.99999479999999996</v>
      </c>
      <c r="N13">
        <v>0</v>
      </c>
      <c r="O13">
        <v>1.2747679999999999E-3</v>
      </c>
      <c r="P13">
        <v>0.99918810000000002</v>
      </c>
      <c r="Q13">
        <v>3.016303E-2</v>
      </c>
      <c r="R13">
        <v>-2.6714459999999999E-2</v>
      </c>
      <c r="S13">
        <v>3.0196839999999998</v>
      </c>
      <c r="T13">
        <v>-0.71061289999999999</v>
      </c>
      <c r="U13">
        <v>-0.18585209999999999</v>
      </c>
      <c r="V13">
        <v>2.7988800000000001E-2</v>
      </c>
      <c r="W13">
        <v>3.3143480000000003E-2</v>
      </c>
      <c r="X13">
        <v>0.99905860000000002</v>
      </c>
      <c r="Y13">
        <v>6.100792E-2</v>
      </c>
      <c r="Z13">
        <v>-7.3709319999999898E-3</v>
      </c>
      <c r="AA13">
        <v>0.9981101</v>
      </c>
      <c r="AB13">
        <v>3</v>
      </c>
      <c r="AC13">
        <v>0.66419999999999302</v>
      </c>
      <c r="AD13">
        <v>-0.16326779999999999</v>
      </c>
      <c r="AE13">
        <v>-4.2900000000031399E-2</v>
      </c>
      <c r="AF13">
        <v>4.1263742699231998E-2</v>
      </c>
      <c r="AG13">
        <v>-0.16326779999999999</v>
      </c>
      <c r="AH13">
        <v>0.62644994824088995</v>
      </c>
      <c r="AI13">
        <v>104.577452146497</v>
      </c>
      <c r="AJ13">
        <v>86.231418159626699</v>
      </c>
      <c r="AK13">
        <v>0.648689917163357</v>
      </c>
      <c r="AL13">
        <v>88.1006705888189</v>
      </c>
      <c r="AM13">
        <v>88.395268533659305</v>
      </c>
      <c r="AN13">
        <v>0.99999997471295399</v>
      </c>
    </row>
    <row r="14" spans="1:40" x14ac:dyDescent="0.25">
      <c r="A14" t="str">
        <f>"20190312153851570"</f>
        <v>20190312153851570</v>
      </c>
      <c r="B14" t="str">
        <f>"1552376331566176"</f>
        <v>1552376331566176</v>
      </c>
      <c r="C14" t="s">
        <v>40</v>
      </c>
      <c r="D14">
        <v>4.7082730000000002</v>
      </c>
      <c r="E14">
        <v>0.51465699999999903</v>
      </c>
      <c r="F14" t="s">
        <v>41</v>
      </c>
      <c r="G14">
        <v>-475.66449999999998</v>
      </c>
      <c r="H14">
        <v>0.94676280000000002</v>
      </c>
      <c r="I14">
        <v>367.17570000000001</v>
      </c>
      <c r="J14">
        <v>-476.3313</v>
      </c>
      <c r="K14">
        <v>1.1097399999999999</v>
      </c>
      <c r="L14">
        <v>367.21870000000001</v>
      </c>
      <c r="M14">
        <v>0.99998810000000005</v>
      </c>
      <c r="N14">
        <v>0</v>
      </c>
      <c r="O14">
        <v>1.343499E-3</v>
      </c>
      <c r="P14">
        <v>0.99923130000000004</v>
      </c>
      <c r="Q14">
        <v>2.863077E-2</v>
      </c>
      <c r="R14">
        <v>-2.67792E-2</v>
      </c>
      <c r="S14">
        <v>3.0188899999999999</v>
      </c>
      <c r="T14">
        <v>-0.7101094</v>
      </c>
      <c r="U14">
        <v>-0.1850281</v>
      </c>
      <c r="V14">
        <v>2.8123410000000001E-2</v>
      </c>
      <c r="W14">
        <v>3.3298359999999999E-2</v>
      </c>
      <c r="X14">
        <v>0.99904970000000004</v>
      </c>
      <c r="Y14">
        <v>6.0825740000000003E-2</v>
      </c>
      <c r="Z14">
        <v>-7.3626069999999898E-3</v>
      </c>
      <c r="AA14">
        <v>0.99812129999999999</v>
      </c>
      <c r="AB14">
        <v>3</v>
      </c>
      <c r="AC14">
        <v>0.66680000000002304</v>
      </c>
      <c r="AD14">
        <v>-0.16297719999999899</v>
      </c>
      <c r="AE14">
        <v>-4.3000000000006297E-2</v>
      </c>
      <c r="AF14">
        <v>4.1430994128980103E-2</v>
      </c>
      <c r="AG14">
        <v>-0.16297719999999899</v>
      </c>
      <c r="AH14">
        <v>0.62930299158450598</v>
      </c>
      <c r="AI14">
        <v>104.48944469134599</v>
      </c>
      <c r="AJ14">
        <v>86.233292524024506</v>
      </c>
      <c r="AK14">
        <v>0.65138341260087795</v>
      </c>
      <c r="AL14">
        <v>88.091791775261896</v>
      </c>
      <c r="AM14">
        <v>88.387540407795001</v>
      </c>
      <c r="AN14">
        <v>1.0000000050194</v>
      </c>
    </row>
    <row r="15" spans="1:40" x14ac:dyDescent="0.25">
      <c r="A15" t="str">
        <f>"20190312153851583"</f>
        <v>20190312153851583</v>
      </c>
      <c r="B15" t="str">
        <f>"1552376331575935"</f>
        <v>1552376331575935</v>
      </c>
      <c r="C15" t="s">
        <v>40</v>
      </c>
      <c r="D15">
        <v>4.7180839999999904</v>
      </c>
      <c r="E15">
        <v>0.51456080000000004</v>
      </c>
      <c r="F15" t="s">
        <v>41</v>
      </c>
      <c r="G15">
        <v>-475.64159999999998</v>
      </c>
      <c r="H15">
        <v>0.94555619999999996</v>
      </c>
      <c r="I15">
        <v>367.1764</v>
      </c>
      <c r="J15">
        <v>-476.3141</v>
      </c>
      <c r="K15">
        <v>1.1099110000000001</v>
      </c>
      <c r="L15">
        <v>367.21870000000001</v>
      </c>
      <c r="M15">
        <v>0.99998430000000005</v>
      </c>
      <c r="N15">
        <v>0</v>
      </c>
      <c r="O15">
        <v>1.388935E-3</v>
      </c>
      <c r="P15">
        <v>0.99926590000000004</v>
      </c>
      <c r="Q15">
        <v>2.7484060000000001E-2</v>
      </c>
      <c r="R15">
        <v>-2.6692339999999998E-2</v>
      </c>
      <c r="S15">
        <v>3.017944</v>
      </c>
      <c r="T15">
        <v>-0.71852550000000004</v>
      </c>
      <c r="U15">
        <v>-0.1846313</v>
      </c>
      <c r="V15">
        <v>2.8082269999999999E-2</v>
      </c>
      <c r="W15">
        <v>3.2905660000000003E-2</v>
      </c>
      <c r="X15">
        <v>0.99906379999999995</v>
      </c>
      <c r="Y15">
        <v>6.0720290000000003E-2</v>
      </c>
      <c r="Z15">
        <v>-7.4481030000000002E-3</v>
      </c>
      <c r="AA15">
        <v>0.99812699999999999</v>
      </c>
      <c r="AB15">
        <v>3</v>
      </c>
      <c r="AC15">
        <v>0.67250000000001298</v>
      </c>
      <c r="AD15">
        <v>-0.1643548</v>
      </c>
      <c r="AE15">
        <v>-4.2300000000011502E-2</v>
      </c>
      <c r="AF15">
        <v>4.0806342786130198E-2</v>
      </c>
      <c r="AG15">
        <v>-0.1643548</v>
      </c>
      <c r="AH15">
        <v>0.63468153339681899</v>
      </c>
      <c r="AI15">
        <v>104.489536307034</v>
      </c>
      <c r="AJ15">
        <v>86.321276963048305</v>
      </c>
      <c r="AK15">
        <v>0.65688530713478199</v>
      </c>
      <c r="AL15">
        <v>88.1143040357627</v>
      </c>
      <c r="AM15">
        <v>88.389920644599201</v>
      </c>
      <c r="AN15">
        <v>0.99999993640941198</v>
      </c>
    </row>
    <row r="16" spans="1:40" x14ac:dyDescent="0.25">
      <c r="A16" t="str">
        <f>"20190312153851605"</f>
        <v>20190312153851605</v>
      </c>
      <c r="B16" t="str">
        <f>"1552376331596430"</f>
        <v>1552376331596430</v>
      </c>
      <c r="C16" t="s">
        <v>40</v>
      </c>
      <c r="D16">
        <v>4.7248809999999999</v>
      </c>
      <c r="E16">
        <v>0.51432309999999903</v>
      </c>
      <c r="F16" t="s">
        <v>41</v>
      </c>
      <c r="G16">
        <v>-475.61500000000001</v>
      </c>
      <c r="H16">
        <v>0.94276939999999998</v>
      </c>
      <c r="I16">
        <v>367.17599999999999</v>
      </c>
      <c r="J16">
        <v>-476.28309999999999</v>
      </c>
      <c r="K16">
        <v>1.1097549999999901</v>
      </c>
      <c r="L16">
        <v>367.21879999999999</v>
      </c>
      <c r="M16">
        <v>0.99998560000000003</v>
      </c>
      <c r="N16">
        <v>0</v>
      </c>
      <c r="O16">
        <v>1.4829999999999999E-3</v>
      </c>
      <c r="P16">
        <v>0.99924179999999996</v>
      </c>
      <c r="Q16">
        <v>2.793182E-2</v>
      </c>
      <c r="R16">
        <v>-2.7132949999999999E-2</v>
      </c>
      <c r="S16">
        <v>3.0171199999999998</v>
      </c>
      <c r="T16">
        <v>-0.72156260000000005</v>
      </c>
      <c r="U16">
        <v>-0.18322749999999999</v>
      </c>
      <c r="V16">
        <v>2.8615700000000001E-2</v>
      </c>
      <c r="W16">
        <v>3.311298E-2</v>
      </c>
      <c r="X16">
        <v>0.99904190000000004</v>
      </c>
      <c r="Y16">
        <v>6.0360129999999998E-2</v>
      </c>
      <c r="Z16">
        <v>-7.4605440000000004E-3</v>
      </c>
      <c r="AA16">
        <v>0.99814879999999995</v>
      </c>
      <c r="AB16">
        <v>3</v>
      </c>
      <c r="AC16">
        <v>0.66809999999998104</v>
      </c>
      <c r="AD16">
        <v>-0.16698559999999901</v>
      </c>
      <c r="AE16">
        <v>-4.2799999999999699E-2</v>
      </c>
      <c r="AF16">
        <v>4.1225882413301398E-2</v>
      </c>
      <c r="AG16">
        <v>-0.16698559999999901</v>
      </c>
      <c r="AH16">
        <v>0.62890815345962503</v>
      </c>
      <c r="AI16">
        <v>104.839445352715</v>
      </c>
      <c r="AJ16">
        <v>86.2495406031736</v>
      </c>
      <c r="AK16">
        <v>0.65200401032210797</v>
      </c>
      <c r="AL16">
        <v>88.102419161227601</v>
      </c>
      <c r="AM16">
        <v>88.359317384473201</v>
      </c>
      <c r="AN16">
        <v>1.0000000228432899</v>
      </c>
    </row>
    <row r="17" spans="1:40" x14ac:dyDescent="0.25">
      <c r="A17" t="str">
        <f>"20190312153851617"</f>
        <v>20190312153851617</v>
      </c>
      <c r="B17" t="str">
        <f>"1552376331606192"</f>
        <v>1552376331606192</v>
      </c>
      <c r="C17" t="s">
        <v>40</v>
      </c>
      <c r="D17">
        <v>4.7138289999999996</v>
      </c>
      <c r="E17">
        <v>0.51411609999999996</v>
      </c>
      <c r="F17" t="s">
        <v>41</v>
      </c>
      <c r="G17">
        <v>-475.58280000000002</v>
      </c>
      <c r="H17">
        <v>0.9432199</v>
      </c>
      <c r="I17">
        <v>367.17619999999999</v>
      </c>
      <c r="J17">
        <v>-476.26170000000002</v>
      </c>
      <c r="K17">
        <v>1.1095539999999999</v>
      </c>
      <c r="L17">
        <v>367.21890000000002</v>
      </c>
      <c r="M17">
        <v>0.99998830000000005</v>
      </c>
      <c r="N17">
        <v>0</v>
      </c>
      <c r="O17">
        <v>1.5565469999999999E-3</v>
      </c>
      <c r="P17">
        <v>0.99921760000000004</v>
      </c>
      <c r="Q17">
        <v>2.8438930000000001E-2</v>
      </c>
      <c r="R17">
        <v>-2.7489039999999999E-2</v>
      </c>
      <c r="S17">
        <v>3.0173649999999999</v>
      </c>
      <c r="T17">
        <v>-0.71767369999999997</v>
      </c>
      <c r="U17">
        <v>-0.18276980000000001</v>
      </c>
      <c r="V17">
        <v>2.9044560000000001E-2</v>
      </c>
      <c r="W17">
        <v>3.3045779999999997E-2</v>
      </c>
      <c r="X17">
        <v>0.99903169999999997</v>
      </c>
      <c r="Y17">
        <v>6.0296179999999998E-2</v>
      </c>
      <c r="Z17">
        <v>-7.4306190000000003E-3</v>
      </c>
      <c r="AA17">
        <v>0.99815290000000001</v>
      </c>
      <c r="AB17">
        <v>3</v>
      </c>
      <c r="AC17">
        <v>0.67889999999999795</v>
      </c>
      <c r="AD17">
        <v>-0.16633410000000001</v>
      </c>
      <c r="AE17">
        <v>-4.2700000000024801E-2</v>
      </c>
      <c r="AF17">
        <v>4.1288042795067897E-2</v>
      </c>
      <c r="AG17">
        <v>-0.16633410000000001</v>
      </c>
      <c r="AH17">
        <v>0.64053447000913899</v>
      </c>
      <c r="AI17">
        <v>104.528179389827</v>
      </c>
      <c r="AJ17">
        <v>86.311888729565894</v>
      </c>
      <c r="AK17">
        <v>0.66306571512222301</v>
      </c>
      <c r="AL17">
        <v>88.106271452962801</v>
      </c>
      <c r="AM17">
        <v>88.334725424775399</v>
      </c>
      <c r="AN17">
        <v>0.99999997382314498</v>
      </c>
    </row>
    <row r="18" spans="1:40" x14ac:dyDescent="0.25">
      <c r="A18" t="str">
        <f>"20190312153851632"</f>
        <v>20190312153851632</v>
      </c>
      <c r="B18" t="str">
        <f>"1552376331625711"</f>
        <v>1552376331625711</v>
      </c>
      <c r="C18" t="s">
        <v>40</v>
      </c>
      <c r="D18">
        <v>4.7746060000000003</v>
      </c>
      <c r="E18">
        <v>0.51407990000000003</v>
      </c>
      <c r="F18" t="s">
        <v>41</v>
      </c>
      <c r="G18">
        <v>-475.54950000000002</v>
      </c>
      <c r="H18">
        <v>0.94083879999999998</v>
      </c>
      <c r="I18">
        <v>367.17579999999998</v>
      </c>
      <c r="J18">
        <v>-476.23680000000002</v>
      </c>
      <c r="K18">
        <v>1.1093679999999999</v>
      </c>
      <c r="L18">
        <v>367.21910000000003</v>
      </c>
      <c r="M18">
        <v>0.99999079999999996</v>
      </c>
      <c r="N18">
        <v>0</v>
      </c>
      <c r="O18">
        <v>1.6551669999999999E-3</v>
      </c>
      <c r="P18">
        <v>0.99918530000000005</v>
      </c>
      <c r="Q18">
        <v>2.9337700000000001E-2</v>
      </c>
      <c r="R18">
        <v>-2.7716660000000001E-2</v>
      </c>
      <c r="S18">
        <v>3.0177</v>
      </c>
      <c r="T18">
        <v>-0.71505220000000003</v>
      </c>
      <c r="U18">
        <v>-0.1816711</v>
      </c>
      <c r="V18">
        <v>2.936948E-2</v>
      </c>
      <c r="W18">
        <v>3.3321709999999997E-2</v>
      </c>
      <c r="X18">
        <v>0.99901309999999999</v>
      </c>
      <c r="Y18">
        <v>6.0042779999999997E-2</v>
      </c>
      <c r="Z18">
        <v>-7.3969269999999898E-3</v>
      </c>
      <c r="AA18">
        <v>0.99816839999999996</v>
      </c>
      <c r="AB18">
        <v>4</v>
      </c>
      <c r="AC18">
        <v>0.68729999999999303</v>
      </c>
      <c r="AD18">
        <v>-0.16852919999999999</v>
      </c>
      <c r="AE18">
        <v>-4.3300000000044699E-2</v>
      </c>
      <c r="AF18">
        <v>4.1926656657324798E-2</v>
      </c>
      <c r="AG18">
        <v>-0.16852919999999999</v>
      </c>
      <c r="AH18">
        <v>0.64839644555818199</v>
      </c>
      <c r="AI18">
        <v>104.54068088753699</v>
      </c>
      <c r="AJ18">
        <v>86.300286923488102</v>
      </c>
      <c r="AK18">
        <v>0.67125098614719803</v>
      </c>
      <c r="AL18">
        <v>88.090453239638805</v>
      </c>
      <c r="AM18">
        <v>88.316075416546795</v>
      </c>
      <c r="AN18">
        <v>1.0000000383422001</v>
      </c>
    </row>
    <row r="19" spans="1:40" x14ac:dyDescent="0.25">
      <c r="A19" t="str">
        <f>"20190312153851648"</f>
        <v>20190312153851648</v>
      </c>
      <c r="B19" t="str">
        <f>"1552376331645893"</f>
        <v>1552376331645893</v>
      </c>
      <c r="C19" t="s">
        <v>40</v>
      </c>
      <c r="D19">
        <v>4.8006739999999999</v>
      </c>
      <c r="E19">
        <v>0.51403120000000002</v>
      </c>
      <c r="F19" t="s">
        <v>41</v>
      </c>
      <c r="G19">
        <v>-475.54669999999999</v>
      </c>
      <c r="H19">
        <v>0.94672020000000001</v>
      </c>
      <c r="I19">
        <v>367.17720000000003</v>
      </c>
      <c r="J19">
        <v>-476.20949999999999</v>
      </c>
      <c r="K19">
        <v>1.109321</v>
      </c>
      <c r="L19">
        <v>367.2192</v>
      </c>
      <c r="M19">
        <v>0.99999130000000003</v>
      </c>
      <c r="N19">
        <v>0</v>
      </c>
      <c r="O19">
        <v>1.7598500000000001E-3</v>
      </c>
      <c r="P19">
        <v>0.99915580000000004</v>
      </c>
      <c r="Q19">
        <v>2.984146E-2</v>
      </c>
      <c r="R19">
        <v>-2.823728E-2</v>
      </c>
      <c r="S19">
        <v>3.0182500000000001</v>
      </c>
      <c r="T19">
        <v>-0.71149680000000004</v>
      </c>
      <c r="U19">
        <v>-0.18203739999999999</v>
      </c>
      <c r="V19">
        <v>2.999392E-2</v>
      </c>
      <c r="W19">
        <v>3.3622430000000002E-2</v>
      </c>
      <c r="X19">
        <v>0.99898450000000005</v>
      </c>
      <c r="Y19">
        <v>6.0265399999999997E-2</v>
      </c>
      <c r="Z19">
        <v>-7.4099880000000002E-3</v>
      </c>
      <c r="AA19">
        <v>0.99815489999999996</v>
      </c>
      <c r="AB19">
        <v>4</v>
      </c>
      <c r="AC19">
        <v>0.66280000000000405</v>
      </c>
      <c r="AD19">
        <v>-0.16260079999999999</v>
      </c>
      <c r="AE19">
        <v>-4.1999999999973101E-2</v>
      </c>
      <c r="AF19">
        <v>4.07251743860517E-2</v>
      </c>
      <c r="AG19">
        <v>-0.16260079999999999</v>
      </c>
      <c r="AH19">
        <v>0.62524582068578205</v>
      </c>
      <c r="AI19">
        <v>104.547867040035</v>
      </c>
      <c r="AJ19">
        <v>86.273323064729695</v>
      </c>
      <c r="AK19">
        <v>0.64732518587990295</v>
      </c>
      <c r="AL19">
        <v>88.073213648744897</v>
      </c>
      <c r="AM19">
        <v>88.280244679116095</v>
      </c>
      <c r="AN19">
        <v>1.0000000671381499</v>
      </c>
    </row>
    <row r="20" spans="1:40" x14ac:dyDescent="0.25">
      <c r="A20" t="str">
        <f>"20190312153851671"</f>
        <v>20190312153851671</v>
      </c>
      <c r="B20" t="str">
        <f>"1552376331666389"</f>
        <v>1552376331666389</v>
      </c>
      <c r="C20" t="s">
        <v>40</v>
      </c>
      <c r="D20">
        <v>4.7372139999999998</v>
      </c>
      <c r="E20">
        <v>0.51393169999999999</v>
      </c>
      <c r="F20" t="s">
        <v>41</v>
      </c>
      <c r="G20">
        <v>-475.51330000000002</v>
      </c>
      <c r="H20">
        <v>0.94555639999999996</v>
      </c>
      <c r="I20">
        <v>367.17669999999998</v>
      </c>
      <c r="J20">
        <v>-476.1746</v>
      </c>
      <c r="K20">
        <v>1.1096090000000001</v>
      </c>
      <c r="L20">
        <v>367.21949999999998</v>
      </c>
      <c r="M20">
        <v>0.99998679999999995</v>
      </c>
      <c r="N20">
        <v>0</v>
      </c>
      <c r="O20">
        <v>1.8781150000000001E-3</v>
      </c>
      <c r="P20">
        <v>0.9991681</v>
      </c>
      <c r="Q20">
        <v>2.9184189999999999E-2</v>
      </c>
      <c r="R20">
        <v>-2.8492259999999998E-2</v>
      </c>
      <c r="S20">
        <v>3.0185849999999999</v>
      </c>
      <c r="T20">
        <v>-0.7101944</v>
      </c>
      <c r="U20">
        <v>-0.18338009999999999</v>
      </c>
      <c r="V20">
        <v>3.0367370000000001E-2</v>
      </c>
      <c r="W20">
        <v>3.3986530000000001E-2</v>
      </c>
      <c r="X20">
        <v>0.99896090000000004</v>
      </c>
      <c r="Y20">
        <v>6.0807720000000003E-2</v>
      </c>
      <c r="Z20">
        <v>-7.4861980000000003E-3</v>
      </c>
      <c r="AA20">
        <v>0.99812140000000005</v>
      </c>
      <c r="AB20">
        <v>4</v>
      </c>
      <c r="AC20">
        <v>0.66129999999998201</v>
      </c>
      <c r="AD20">
        <v>-0.16405259999999999</v>
      </c>
      <c r="AE20">
        <v>-4.2799999999999699E-2</v>
      </c>
      <c r="AF20">
        <v>4.1498691092855297E-2</v>
      </c>
      <c r="AG20">
        <v>-0.16405259999999999</v>
      </c>
      <c r="AH20">
        <v>0.62303573742483398</v>
      </c>
      <c r="AI20">
        <v>104.720607241298</v>
      </c>
      <c r="AJ20">
        <v>86.189314991890001</v>
      </c>
      <c r="AK20">
        <v>0.64560740937328698</v>
      </c>
      <c r="AL20">
        <v>88.052340333540002</v>
      </c>
      <c r="AM20">
        <v>88.258804242664695</v>
      </c>
      <c r="AN20">
        <v>1.0000000705554799</v>
      </c>
    </row>
    <row r="21" spans="1:40" x14ac:dyDescent="0.25">
      <c r="A21" t="str">
        <f>"20190312153851693"</f>
        <v>20190312153851693</v>
      </c>
      <c r="B21" t="str">
        <f>"1552376331685909"</f>
        <v>1552376331685909</v>
      </c>
      <c r="C21" t="s">
        <v>40</v>
      </c>
      <c r="D21">
        <v>4.7395550000000002</v>
      </c>
      <c r="E21">
        <v>0.49427929999999998</v>
      </c>
      <c r="F21" t="s">
        <v>41</v>
      </c>
      <c r="G21">
        <v>-475.48289999999997</v>
      </c>
      <c r="H21">
        <v>0.94666059999999996</v>
      </c>
      <c r="I21">
        <v>367.17689999999999</v>
      </c>
      <c r="J21">
        <v>-476.1431</v>
      </c>
      <c r="K21">
        <v>1.11016</v>
      </c>
      <c r="L21">
        <v>367.21969999999999</v>
      </c>
      <c r="M21">
        <v>0.99997349999999996</v>
      </c>
      <c r="N21">
        <v>0</v>
      </c>
      <c r="O21">
        <v>1.9621360000000002E-3</v>
      </c>
      <c r="P21">
        <v>0.99922949999999999</v>
      </c>
      <c r="Q21">
        <v>2.763117E-2</v>
      </c>
      <c r="R21">
        <v>-2.788614E-2</v>
      </c>
      <c r="S21">
        <v>3.0180359999999999</v>
      </c>
      <c r="T21">
        <v>-0.71129430000000005</v>
      </c>
      <c r="U21">
        <v>-0.18347169999999999</v>
      </c>
      <c r="V21">
        <v>2.9847149999999999E-2</v>
      </c>
      <c r="W21">
        <v>3.4660379999999998E-2</v>
      </c>
      <c r="X21">
        <v>0.99895330000000004</v>
      </c>
      <c r="Y21">
        <v>6.0921530000000002E-2</v>
      </c>
      <c r="Z21">
        <v>-7.53154699999999E-3</v>
      </c>
      <c r="AA21">
        <v>0.99811419999999995</v>
      </c>
      <c r="AB21">
        <v>4</v>
      </c>
      <c r="AC21">
        <v>0.66020000000003098</v>
      </c>
      <c r="AD21">
        <v>-0.16349939999999999</v>
      </c>
      <c r="AE21">
        <v>-4.2799999999999699E-2</v>
      </c>
      <c r="AF21">
        <v>4.1557262882833797E-2</v>
      </c>
      <c r="AG21">
        <v>-0.16349939999999999</v>
      </c>
      <c r="AH21">
        <v>0.62211913692644205</v>
      </c>
      <c r="AI21">
        <v>104.693617780252</v>
      </c>
      <c r="AJ21">
        <v>86.178346689286499</v>
      </c>
      <c r="AK21">
        <v>0.64458613111730401</v>
      </c>
      <c r="AL21">
        <v>88.013708562309702</v>
      </c>
      <c r="AM21">
        <v>88.288601566318107</v>
      </c>
      <c r="AN21">
        <v>0.99999994494287703</v>
      </c>
    </row>
    <row r="22" spans="1:40" x14ac:dyDescent="0.25">
      <c r="A22" t="str">
        <f>"20190312153851707"</f>
        <v>20190312153851707</v>
      </c>
      <c r="B22" t="str">
        <f>"1552376331695668"</f>
        <v>1552376331695668</v>
      </c>
      <c r="C22" t="s">
        <v>40</v>
      </c>
      <c r="D22">
        <v>4.8111920000000001</v>
      </c>
      <c r="E22">
        <v>0.49083019999999999</v>
      </c>
      <c r="F22" t="s">
        <v>41</v>
      </c>
      <c r="G22">
        <v>-475.43220000000002</v>
      </c>
      <c r="H22">
        <v>0.99544849999999996</v>
      </c>
      <c r="I22">
        <v>367.21269999999998</v>
      </c>
      <c r="J22">
        <v>-476.12290000000002</v>
      </c>
      <c r="K22">
        <v>1.110204</v>
      </c>
      <c r="L22">
        <v>367.21980000000002</v>
      </c>
      <c r="M22">
        <v>0.99997000000000003</v>
      </c>
      <c r="N22">
        <v>0</v>
      </c>
      <c r="O22">
        <v>2.0197409999999998E-3</v>
      </c>
      <c r="P22">
        <v>0.99925370000000002</v>
      </c>
      <c r="Q22">
        <v>2.7216890000000001E-2</v>
      </c>
      <c r="R22">
        <v>-2.7410540000000001E-2</v>
      </c>
      <c r="S22">
        <v>3.015015</v>
      </c>
      <c r="T22">
        <v>-0.48659829999999998</v>
      </c>
      <c r="U22">
        <v>-2.8808589999999999E-2</v>
      </c>
      <c r="V22">
        <v>2.942933E-2</v>
      </c>
      <c r="W22">
        <v>3.469183E-2</v>
      </c>
      <c r="X22">
        <v>0.99896470000000004</v>
      </c>
      <c r="Y22">
        <v>1.140065E-2</v>
      </c>
      <c r="Z22">
        <v>-1.237927E-3</v>
      </c>
      <c r="AA22">
        <v>0.99993430000000005</v>
      </c>
      <c r="AB22">
        <v>3</v>
      </c>
      <c r="AC22">
        <v>0.69069999999999199</v>
      </c>
      <c r="AD22">
        <v>-0.1147555</v>
      </c>
      <c r="AE22">
        <v>-7.1000000000367401E-3</v>
      </c>
      <c r="AF22">
        <v>8.2668866591124393E-3</v>
      </c>
      <c r="AG22">
        <v>-0.1147555</v>
      </c>
      <c r="AH22">
        <v>0.67213282346804004</v>
      </c>
      <c r="AI22">
        <v>99.688160075607499</v>
      </c>
      <c r="AJ22">
        <v>89.295327030078695</v>
      </c>
      <c r="AK22">
        <v>0.68190886383621996</v>
      </c>
      <c r="AL22">
        <v>88.011905715039205</v>
      </c>
      <c r="AM22">
        <v>88.312564141377706</v>
      </c>
      <c r="AN22">
        <v>1.0000000401895399</v>
      </c>
    </row>
    <row r="23" spans="1:40" x14ac:dyDescent="0.25">
      <c r="A23" t="str">
        <f>"20190312153851720"</f>
        <v>20190312153851720</v>
      </c>
      <c r="B23" t="str">
        <f>"1552376331716164"</f>
        <v>1552376331716164</v>
      </c>
      <c r="C23" t="s">
        <v>40</v>
      </c>
      <c r="D23">
        <v>4.81677</v>
      </c>
      <c r="E23">
        <v>0.4875177</v>
      </c>
      <c r="F23" t="s">
        <v>41</v>
      </c>
      <c r="G23">
        <v>-475.39699999999999</v>
      </c>
      <c r="H23">
        <v>1.0037039999999999</v>
      </c>
      <c r="I23">
        <v>367.21929999999998</v>
      </c>
      <c r="J23">
        <v>-476.10230000000001</v>
      </c>
      <c r="K23">
        <v>1.110098</v>
      </c>
      <c r="L23">
        <v>367.2199</v>
      </c>
      <c r="M23">
        <v>0.99997049999999998</v>
      </c>
      <c r="N23">
        <v>0</v>
      </c>
      <c r="O23">
        <v>2.0851210000000001E-3</v>
      </c>
      <c r="P23">
        <v>0.99925509999999995</v>
      </c>
      <c r="Q23">
        <v>2.7529149999999999E-2</v>
      </c>
      <c r="R23">
        <v>-2.7048949999999999E-2</v>
      </c>
      <c r="S23">
        <v>3.014313</v>
      </c>
      <c r="T23">
        <v>-0.44242629999999999</v>
      </c>
      <c r="U23">
        <v>-6.408691E-4</v>
      </c>
      <c r="V23">
        <v>2.9132740000000001E-2</v>
      </c>
      <c r="W23">
        <v>3.4920100000000003E-2</v>
      </c>
      <c r="X23">
        <v>0.9989654</v>
      </c>
      <c r="Y23">
        <v>2.2513250000000002E-3</v>
      </c>
      <c r="Z23">
        <v>-4.6876060000000002E-4</v>
      </c>
      <c r="AA23">
        <v>0.99999740000000004</v>
      </c>
      <c r="AB23">
        <v>3</v>
      </c>
      <c r="AC23">
        <v>0.70530000000002202</v>
      </c>
      <c r="AD23">
        <v>-0.106393999999999</v>
      </c>
      <c r="AE23">
        <v>-6.0000000001991696E-4</v>
      </c>
      <c r="AF23">
        <v>2.0246038715500498E-3</v>
      </c>
      <c r="AG23">
        <v>-0.106393999999999</v>
      </c>
      <c r="AH23">
        <v>0.68960491776182897</v>
      </c>
      <c r="AI23">
        <v>98.770548564530003</v>
      </c>
      <c r="AJ23">
        <v>89.831786402981294</v>
      </c>
      <c r="AK23">
        <v>0.69776695598038696</v>
      </c>
      <c r="AL23">
        <v>87.998818798349305</v>
      </c>
      <c r="AM23">
        <v>88.329561675262198</v>
      </c>
      <c r="AN23">
        <v>1.00000000016053</v>
      </c>
    </row>
    <row r="24" spans="1:40" x14ac:dyDescent="0.25">
      <c r="A24" t="str">
        <f>"20190312153851739"</f>
        <v>20190312153851739</v>
      </c>
      <c r="B24" t="str">
        <f>"1552376331736292"</f>
        <v>1552376331736292</v>
      </c>
      <c r="C24" t="s">
        <v>40</v>
      </c>
      <c r="D24">
        <v>4.862444</v>
      </c>
      <c r="E24">
        <v>0.48474230000000001</v>
      </c>
      <c r="F24" t="s">
        <v>41</v>
      </c>
      <c r="G24">
        <v>-475.35750000000002</v>
      </c>
      <c r="H24">
        <v>1.01241</v>
      </c>
      <c r="I24">
        <v>367.22609999999997</v>
      </c>
      <c r="J24">
        <v>-476.06830000000002</v>
      </c>
      <c r="K24">
        <v>1.109721</v>
      </c>
      <c r="L24">
        <v>367.22</v>
      </c>
      <c r="M24">
        <v>0.99997689999999995</v>
      </c>
      <c r="N24">
        <v>0</v>
      </c>
      <c r="O24">
        <v>2.218214E-3</v>
      </c>
      <c r="P24">
        <v>0.99924109999999999</v>
      </c>
      <c r="Q24">
        <v>2.8837399999999999E-2</v>
      </c>
      <c r="R24">
        <v>-2.6188679999999999E-2</v>
      </c>
      <c r="S24">
        <v>3.013855</v>
      </c>
      <c r="T24">
        <v>-0.3954626</v>
      </c>
      <c r="U24">
        <v>2.6092529999999999E-2</v>
      </c>
      <c r="V24">
        <v>2.8404390000000002E-2</v>
      </c>
      <c r="W24">
        <v>3.525797E-2</v>
      </c>
      <c r="X24">
        <v>0.99897449999999999</v>
      </c>
      <c r="Y24">
        <v>-6.4031349999999999E-3</v>
      </c>
      <c r="Z24">
        <v>1.2847250000000001E-4</v>
      </c>
      <c r="AA24">
        <v>0.99997950000000002</v>
      </c>
      <c r="AB24">
        <v>3</v>
      </c>
      <c r="AC24">
        <v>0.71080000000000598</v>
      </c>
      <c r="AD24">
        <v>-9.7310999999999898E-2</v>
      </c>
      <c r="AE24">
        <v>6.0999999999467001E-3</v>
      </c>
      <c r="AF24">
        <v>-4.4400344303654601E-3</v>
      </c>
      <c r="AG24">
        <v>-9.7310999999999898E-2</v>
      </c>
      <c r="AH24">
        <v>0.69773539443491395</v>
      </c>
      <c r="AI24">
        <v>97.939492891520402</v>
      </c>
      <c r="AJ24">
        <v>90.3645963814282</v>
      </c>
      <c r="AK24">
        <v>0.70450253745035496</v>
      </c>
      <c r="AL24">
        <v>87.979448329710706</v>
      </c>
      <c r="AM24">
        <v>88.371316485940994</v>
      </c>
      <c r="AN24">
        <v>0.99999999273502105</v>
      </c>
    </row>
    <row r="25" spans="1:40" x14ac:dyDescent="0.25">
      <c r="A25" t="str">
        <f>"20190312153851761"</f>
        <v>20190312153851761</v>
      </c>
      <c r="B25" t="str">
        <f>"1552376331755810"</f>
        <v>1552376331755810</v>
      </c>
      <c r="C25" t="s">
        <v>40</v>
      </c>
      <c r="D25">
        <v>4.8574669999999998</v>
      </c>
      <c r="E25">
        <v>0.4833596</v>
      </c>
      <c r="F25" t="s">
        <v>41</v>
      </c>
      <c r="G25">
        <v>-475.31580000000002</v>
      </c>
      <c r="H25">
        <v>1.0204599999999999</v>
      </c>
      <c r="I25">
        <v>367.23230000000001</v>
      </c>
      <c r="J25">
        <v>-476.02690000000001</v>
      </c>
      <c r="K25">
        <v>1.10945</v>
      </c>
      <c r="L25">
        <v>367.22030000000001</v>
      </c>
      <c r="M25">
        <v>0.99998180000000003</v>
      </c>
      <c r="N25">
        <v>0</v>
      </c>
      <c r="O25">
        <v>2.3946890000000002E-3</v>
      </c>
      <c r="P25">
        <v>0.99923790000000001</v>
      </c>
      <c r="Q25">
        <v>2.9865740000000002E-2</v>
      </c>
      <c r="R25">
        <v>-2.5148210000000001E-2</v>
      </c>
      <c r="S25">
        <v>3.0138850000000001</v>
      </c>
      <c r="T25">
        <v>-0.35765140000000001</v>
      </c>
      <c r="U25">
        <v>5.026245E-2</v>
      </c>
      <c r="V25">
        <v>2.7538920000000001E-2</v>
      </c>
      <c r="W25">
        <v>3.5428080000000001E-2</v>
      </c>
      <c r="X25">
        <v>0.99899269999999996</v>
      </c>
      <c r="Y25">
        <v>-1.4197420000000001E-2</v>
      </c>
      <c r="Z25">
        <v>5.5622359999999999E-4</v>
      </c>
      <c r="AA25">
        <v>0.99989899999999998</v>
      </c>
      <c r="AB25">
        <v>4</v>
      </c>
      <c r="AC25">
        <v>0.71109999999998696</v>
      </c>
      <c r="AD25">
        <v>-8.8989999999999903E-2</v>
      </c>
      <c r="AE25">
        <v>1.2000000000000399E-2</v>
      </c>
      <c r="AF25">
        <v>-1.01383441561308E-2</v>
      </c>
      <c r="AG25">
        <v>-8.8989999999999903E-2</v>
      </c>
      <c r="AH25">
        <v>0.70016450363444505</v>
      </c>
      <c r="AI25">
        <v>97.242631281505794</v>
      </c>
      <c r="AJ25">
        <v>90.829581813571806</v>
      </c>
      <c r="AK25">
        <v>0.70586991597028503</v>
      </c>
      <c r="AL25">
        <v>87.969695621178602</v>
      </c>
      <c r="AM25">
        <v>88.420945032086493</v>
      </c>
      <c r="AN25">
        <v>0.99999997781027095</v>
      </c>
    </row>
    <row r="26" spans="1:40" x14ac:dyDescent="0.25">
      <c r="A26" t="str">
        <f>"20190312153851783"</f>
        <v>20190312153851783</v>
      </c>
      <c r="B26" t="str">
        <f>"1552376331776306"</f>
        <v>1552376331776306</v>
      </c>
      <c r="C26" t="s">
        <v>40</v>
      </c>
      <c r="D26">
        <v>4.855423</v>
      </c>
      <c r="E26">
        <v>0.48262290000000002</v>
      </c>
      <c r="F26" t="s">
        <v>41</v>
      </c>
      <c r="G26">
        <v>-475.27800000000002</v>
      </c>
      <c r="H26">
        <v>1.0257019999999999</v>
      </c>
      <c r="I26">
        <v>367.23590000000002</v>
      </c>
      <c r="J26">
        <v>-475.99029999999999</v>
      </c>
      <c r="K26">
        <v>1.1096839999999999</v>
      </c>
      <c r="L26">
        <v>367.22059999999999</v>
      </c>
      <c r="M26">
        <v>0.99997630000000004</v>
      </c>
      <c r="N26">
        <v>0</v>
      </c>
      <c r="O26">
        <v>2.5278929999999998E-3</v>
      </c>
      <c r="P26">
        <v>0.99927239999999995</v>
      </c>
      <c r="Q26">
        <v>2.8970039999999999E-2</v>
      </c>
      <c r="R26">
        <v>-2.481322E-2</v>
      </c>
      <c r="S26">
        <v>3.0139770000000001</v>
      </c>
      <c r="T26">
        <v>-0.33738240000000003</v>
      </c>
      <c r="U26">
        <v>6.4086909999999997E-2</v>
      </c>
      <c r="V26">
        <v>2.7337500000000001E-2</v>
      </c>
      <c r="W26">
        <v>3.5367089999999997E-2</v>
      </c>
      <c r="X26">
        <v>0.99900040000000001</v>
      </c>
      <c r="Y26">
        <v>-1.863047E-2</v>
      </c>
      <c r="Z26">
        <v>7.5731639999999999E-4</v>
      </c>
      <c r="AA26">
        <v>0.99982610000000005</v>
      </c>
      <c r="AB26">
        <v>4</v>
      </c>
      <c r="AC26">
        <v>0.71229999999996996</v>
      </c>
      <c r="AD26">
        <v>-8.3982000000000001E-2</v>
      </c>
      <c r="AE26">
        <v>1.53000000000247E-2</v>
      </c>
      <c r="AF26">
        <v>-1.3314299078137699E-2</v>
      </c>
      <c r="AG26">
        <v>-8.3982000000000001E-2</v>
      </c>
      <c r="AH26">
        <v>0.70257440759619005</v>
      </c>
      <c r="AI26">
        <v>96.815276837060495</v>
      </c>
      <c r="AJ26">
        <v>91.085666990669296</v>
      </c>
      <c r="AK26">
        <v>0.70770123999684997</v>
      </c>
      <c r="AL26">
        <v>87.973192295903004</v>
      </c>
      <c r="AM26">
        <v>88.432500552249806</v>
      </c>
      <c r="AN26">
        <v>0.99999998458073802</v>
      </c>
    </row>
    <row r="27" spans="1:40" x14ac:dyDescent="0.25">
      <c r="A27" t="str">
        <f>"20190312153851795"</f>
        <v>20190312153851795</v>
      </c>
      <c r="B27" t="str">
        <f>"1552376331786068"</f>
        <v>1552376331786068</v>
      </c>
      <c r="C27" t="s">
        <v>40</v>
      </c>
      <c r="D27">
        <v>4.8445119999999999</v>
      </c>
      <c r="E27">
        <v>0.4823345</v>
      </c>
      <c r="F27" t="s">
        <v>41</v>
      </c>
      <c r="G27">
        <v>-475.24529999999999</v>
      </c>
      <c r="H27">
        <v>1.028095</v>
      </c>
      <c r="I27">
        <v>367.23750000000001</v>
      </c>
      <c r="J27">
        <v>-475.96890000000002</v>
      </c>
      <c r="K27">
        <v>1.1099950000000001</v>
      </c>
      <c r="L27">
        <v>367.22070000000002</v>
      </c>
      <c r="M27">
        <v>0.99996799999999997</v>
      </c>
      <c r="N27">
        <v>0</v>
      </c>
      <c r="O27">
        <v>2.5944000000000002E-3</v>
      </c>
      <c r="P27">
        <v>0.99931720000000002</v>
      </c>
      <c r="Q27">
        <v>2.748022E-2</v>
      </c>
      <c r="R27">
        <v>-2.4702149999999999E-2</v>
      </c>
      <c r="S27">
        <v>3.0134889999999999</v>
      </c>
      <c r="T27">
        <v>-0.33044679999999998</v>
      </c>
      <c r="U27">
        <v>7.0800779999999994E-2</v>
      </c>
      <c r="V27">
        <v>2.729417E-2</v>
      </c>
      <c r="W27">
        <v>3.5049240000000002E-2</v>
      </c>
      <c r="X27">
        <v>0.99901280000000003</v>
      </c>
      <c r="Y27">
        <v>-2.0785330000000001E-2</v>
      </c>
      <c r="Z27">
        <v>8.5244819999999997E-4</v>
      </c>
      <c r="AA27">
        <v>0.99978359999999999</v>
      </c>
      <c r="AB27">
        <v>4</v>
      </c>
      <c r="AC27">
        <v>0.72360000000003299</v>
      </c>
      <c r="AD27">
        <v>-8.1900000000000001E-2</v>
      </c>
      <c r="AE27">
        <v>1.6799999999989199E-2</v>
      </c>
      <c r="AF27">
        <v>-1.4733932505117399E-2</v>
      </c>
      <c r="AG27">
        <v>-8.1900000000000001E-2</v>
      </c>
      <c r="AH27">
        <v>0.71449297369834597</v>
      </c>
      <c r="AI27">
        <v>96.537710512969994</v>
      </c>
      <c r="AJ27">
        <v>91.181358734555502</v>
      </c>
      <c r="AK27">
        <v>0.71932253421630798</v>
      </c>
      <c r="AL27">
        <v>87.991415084352198</v>
      </c>
      <c r="AM27">
        <v>88.435003221607403</v>
      </c>
      <c r="AN27">
        <v>0.99999999775220305</v>
      </c>
    </row>
    <row r="28" spans="1:40" x14ac:dyDescent="0.25">
      <c r="A28" t="str">
        <f>"20190312153851809"</f>
        <v>20190312153851809</v>
      </c>
      <c r="B28" t="str">
        <f>"1552376331805587"</f>
        <v>1552376331805587</v>
      </c>
      <c r="C28" t="s">
        <v>40</v>
      </c>
      <c r="D28">
        <v>4.8743169999999996</v>
      </c>
      <c r="E28">
        <v>0.48240119999999997</v>
      </c>
      <c r="F28" t="s">
        <v>41</v>
      </c>
      <c r="G28">
        <v>-475.24360000000001</v>
      </c>
      <c r="H28">
        <v>1.0301089999999999</v>
      </c>
      <c r="I28">
        <v>367.23779999999999</v>
      </c>
      <c r="J28">
        <v>-475.95229999999998</v>
      </c>
      <c r="K28">
        <v>1.1102879999999999</v>
      </c>
      <c r="L28">
        <v>367.22089999999997</v>
      </c>
      <c r="M28">
        <v>0.9999576</v>
      </c>
      <c r="N28">
        <v>0</v>
      </c>
      <c r="O28">
        <v>2.636228E-3</v>
      </c>
      <c r="P28">
        <v>0.99935220000000002</v>
      </c>
      <c r="Q28">
        <v>2.620838E-2</v>
      </c>
      <c r="R28">
        <v>-2.4674229999999998E-2</v>
      </c>
      <c r="S28">
        <v>3.0130309999999998</v>
      </c>
      <c r="T28">
        <v>-0.33229160000000002</v>
      </c>
      <c r="U28">
        <v>7.3150629999999994E-2</v>
      </c>
      <c r="V28">
        <v>2.7309279999999998E-2</v>
      </c>
      <c r="W28">
        <v>3.5035419999999998E-2</v>
      </c>
      <c r="X28">
        <v>0.99901289999999998</v>
      </c>
      <c r="Y28">
        <v>-2.1520879999999999E-2</v>
      </c>
      <c r="Z28">
        <v>8.9313009999999896E-4</v>
      </c>
      <c r="AA28">
        <v>0.99976799999999999</v>
      </c>
      <c r="AB28">
        <v>4</v>
      </c>
      <c r="AC28">
        <v>0.70869999999996403</v>
      </c>
      <c r="AD28">
        <v>-8.0179E-2</v>
      </c>
      <c r="AE28">
        <v>1.6900000000020999E-2</v>
      </c>
      <c r="AF28">
        <v>-1.4841713723097E-2</v>
      </c>
      <c r="AG28">
        <v>-8.0179E-2</v>
      </c>
      <c r="AH28">
        <v>0.69979014760136804</v>
      </c>
      <c r="AI28">
        <v>96.534749492419294</v>
      </c>
      <c r="AJ28">
        <v>91.214992940569203</v>
      </c>
      <c r="AK28">
        <v>0.70452480381260096</v>
      </c>
      <c r="AL28">
        <v>87.992207455176498</v>
      </c>
      <c r="AM28">
        <v>88.434137430279904</v>
      </c>
      <c r="AN28">
        <v>1.0000000258975501</v>
      </c>
    </row>
    <row r="29" spans="1:40" x14ac:dyDescent="0.25">
      <c r="A29" t="str">
        <f>"20190312153851830"</f>
        <v>20190312153851830</v>
      </c>
      <c r="B29" t="str">
        <f>"1552376331826082"</f>
        <v>1552376331826082</v>
      </c>
      <c r="C29" t="s">
        <v>40</v>
      </c>
      <c r="D29">
        <v>4.8118939999999997</v>
      </c>
      <c r="E29">
        <v>0.48205559999999997</v>
      </c>
      <c r="F29" t="s">
        <v>41</v>
      </c>
      <c r="G29">
        <v>-475.21660000000003</v>
      </c>
      <c r="H29">
        <v>1.0284610000000001</v>
      </c>
      <c r="I29">
        <v>367.23860000000002</v>
      </c>
      <c r="J29">
        <v>-475.92570000000001</v>
      </c>
      <c r="K29">
        <v>1.1107309999999999</v>
      </c>
      <c r="L29">
        <v>367.221</v>
      </c>
      <c r="M29">
        <v>0.9999363</v>
      </c>
      <c r="N29">
        <v>0</v>
      </c>
      <c r="O29">
        <v>2.694377E-3</v>
      </c>
      <c r="P29">
        <v>0.9993879</v>
      </c>
      <c r="Q29">
        <v>2.4437029999999998E-2</v>
      </c>
      <c r="R29">
        <v>-2.5034819999999999E-2</v>
      </c>
      <c r="S29">
        <v>3.012543</v>
      </c>
      <c r="T29">
        <v>-0.33520929999999999</v>
      </c>
      <c r="U29">
        <v>7.3089600000000005E-2</v>
      </c>
      <c r="V29">
        <v>2.773024E-2</v>
      </c>
      <c r="W29">
        <v>3.538616E-2</v>
      </c>
      <c r="X29">
        <v>0.99898889999999996</v>
      </c>
      <c r="Y29">
        <v>-2.144515E-2</v>
      </c>
      <c r="Z29">
        <v>8.9041399999999996E-4</v>
      </c>
      <c r="AA29">
        <v>0.99976960000000004</v>
      </c>
      <c r="AB29">
        <v>3</v>
      </c>
      <c r="AC29">
        <v>0.70909999999997797</v>
      </c>
      <c r="AD29">
        <v>-8.2269999999999802E-2</v>
      </c>
      <c r="AE29">
        <v>1.7600000000015801E-2</v>
      </c>
      <c r="AF29">
        <v>-1.54809818616348E-2</v>
      </c>
      <c r="AG29">
        <v>-8.2269999999999802E-2</v>
      </c>
      <c r="AH29">
        <v>0.69973176098587597</v>
      </c>
      <c r="AI29">
        <v>96.7040611818922</v>
      </c>
      <c r="AJ29">
        <v>91.267414591715706</v>
      </c>
      <c r="AK29">
        <v>0.70472161243415499</v>
      </c>
      <c r="AL29">
        <v>87.972098980699101</v>
      </c>
      <c r="AM29">
        <v>88.409974495662894</v>
      </c>
      <c r="AN29">
        <v>0.99999998442660598</v>
      </c>
    </row>
    <row r="30" spans="1:40" x14ac:dyDescent="0.25">
      <c r="A30" t="str">
        <f>"20190312153851851"</f>
        <v>20190312153851851</v>
      </c>
      <c r="B30" t="str">
        <f>"1552376331845603"</f>
        <v>1552376331845603</v>
      </c>
      <c r="C30" t="s">
        <v>40</v>
      </c>
      <c r="D30">
        <v>4.8239269999999896</v>
      </c>
      <c r="E30">
        <v>0.4819118</v>
      </c>
      <c r="F30" t="s">
        <v>41</v>
      </c>
      <c r="G30">
        <v>-475.19139999999999</v>
      </c>
      <c r="H30">
        <v>1.027852</v>
      </c>
      <c r="I30">
        <v>367.23869999999999</v>
      </c>
      <c r="J30">
        <v>-475.8956</v>
      </c>
      <c r="K30">
        <v>1.110725</v>
      </c>
      <c r="L30">
        <v>367.22120000000001</v>
      </c>
      <c r="M30">
        <v>0.9999285</v>
      </c>
      <c r="N30">
        <v>0</v>
      </c>
      <c r="O30">
        <v>2.770836E-3</v>
      </c>
      <c r="P30">
        <v>0.99939290000000003</v>
      </c>
      <c r="Q30">
        <v>2.3867739999999998E-2</v>
      </c>
      <c r="R30">
        <v>-2.538992E-2</v>
      </c>
      <c r="S30">
        <v>3.0119929999999999</v>
      </c>
      <c r="T30">
        <v>-0.3403873</v>
      </c>
      <c r="U30">
        <v>7.4340820000000002E-2</v>
      </c>
      <c r="V30">
        <v>2.816155E-2</v>
      </c>
      <c r="W30">
        <v>3.5499570000000001E-2</v>
      </c>
      <c r="X30">
        <v>0.99897279999999999</v>
      </c>
      <c r="Y30">
        <v>-2.1782869999999999E-2</v>
      </c>
      <c r="Z30">
        <v>9.1464650000000003E-4</v>
      </c>
      <c r="AA30">
        <v>0.99976229999999999</v>
      </c>
      <c r="AB30">
        <v>3</v>
      </c>
      <c r="AC30">
        <v>0.70420000000001404</v>
      </c>
      <c r="AD30">
        <v>-8.2872999999999905E-2</v>
      </c>
      <c r="AE30">
        <v>1.7499999999984001E-2</v>
      </c>
      <c r="AF30">
        <v>-1.53363089573992E-2</v>
      </c>
      <c r="AG30">
        <v>-8.2872999999999905E-2</v>
      </c>
      <c r="AH30">
        <v>0.69463142914507403</v>
      </c>
      <c r="AI30">
        <v>96.801872625409601</v>
      </c>
      <c r="AJ30">
        <v>91.264790226149003</v>
      </c>
      <c r="AK30">
        <v>0.69972563112806196</v>
      </c>
      <c r="AL30">
        <v>87.965596959340104</v>
      </c>
      <c r="AM30">
        <v>88.385230574341193</v>
      </c>
      <c r="AN30">
        <v>0.99999997375421301</v>
      </c>
    </row>
    <row r="31" spans="1:40" x14ac:dyDescent="0.25">
      <c r="A31" t="str">
        <f>"20190312153851873"</f>
        <v>20190312153851873</v>
      </c>
      <c r="B31" t="str">
        <f>"1552376331866099"</f>
        <v>1552376331866099</v>
      </c>
      <c r="C31" t="s">
        <v>40</v>
      </c>
      <c r="D31">
        <v>4.794028</v>
      </c>
      <c r="E31">
        <v>0.48171819999999999</v>
      </c>
      <c r="F31" t="s">
        <v>41</v>
      </c>
      <c r="G31">
        <v>-475.16090000000003</v>
      </c>
      <c r="H31">
        <v>1.0281709999999999</v>
      </c>
      <c r="I31">
        <v>367.23930000000001</v>
      </c>
      <c r="J31">
        <v>-475.85739999999998</v>
      </c>
      <c r="K31">
        <v>1.1102270000000001</v>
      </c>
      <c r="L31">
        <v>367.22149999999999</v>
      </c>
      <c r="M31">
        <v>0.99994130000000003</v>
      </c>
      <c r="N31">
        <v>0</v>
      </c>
      <c r="O31">
        <v>2.9188389999999999E-3</v>
      </c>
      <c r="P31">
        <v>0.99934800000000001</v>
      </c>
      <c r="Q31">
        <v>2.4833250000000001E-2</v>
      </c>
      <c r="R31">
        <v>-2.621128E-2</v>
      </c>
      <c r="S31">
        <v>3.011749</v>
      </c>
      <c r="T31">
        <v>-0.33846409999999899</v>
      </c>
      <c r="U31">
        <v>7.4493409999999996E-2</v>
      </c>
      <c r="V31">
        <v>2.9128859999999999E-2</v>
      </c>
      <c r="W31">
        <v>3.5265110000000002E-2</v>
      </c>
      <c r="X31">
        <v>0.99895339999999999</v>
      </c>
      <c r="Y31">
        <v>-2.1690399999999999E-2</v>
      </c>
      <c r="Z31">
        <v>8.8783069999999996E-4</v>
      </c>
      <c r="AA31">
        <v>0.99976430000000005</v>
      </c>
      <c r="AB31">
        <v>3</v>
      </c>
      <c r="AC31">
        <v>0.69649999999995704</v>
      </c>
      <c r="AD31">
        <v>-8.2056000000000101E-2</v>
      </c>
      <c r="AE31">
        <v>1.7800000000022399E-2</v>
      </c>
      <c r="AF31">
        <v>-1.5551138677843E-2</v>
      </c>
      <c r="AG31">
        <v>-8.2056000000000101E-2</v>
      </c>
      <c r="AH31">
        <v>0.68701962439837305</v>
      </c>
      <c r="AI31">
        <v>96.809279792303201</v>
      </c>
      <c r="AJ31">
        <v>91.296706019393199</v>
      </c>
      <c r="AK31">
        <v>0.69207730013247803</v>
      </c>
      <c r="AL31">
        <v>87.979039011956004</v>
      </c>
      <c r="AM31">
        <v>88.329763971821706</v>
      </c>
      <c r="AN31">
        <v>1.00000000691988</v>
      </c>
    </row>
    <row r="32" spans="1:40" x14ac:dyDescent="0.25">
      <c r="A32" t="str">
        <f>"20190312153851888"</f>
        <v>20190312153851888</v>
      </c>
      <c r="B32" t="str">
        <f>"1552376331875859"</f>
        <v>1552376331875859</v>
      </c>
      <c r="C32" t="s">
        <v>40</v>
      </c>
      <c r="D32">
        <v>4.7902430000000003</v>
      </c>
      <c r="E32">
        <v>0.48167339999999997</v>
      </c>
      <c r="F32" t="s">
        <v>41</v>
      </c>
      <c r="G32">
        <v>-475.12560000000002</v>
      </c>
      <c r="H32">
        <v>1.0299</v>
      </c>
      <c r="I32">
        <v>367.23910000000001</v>
      </c>
      <c r="J32">
        <v>-475.83150000000001</v>
      </c>
      <c r="K32">
        <v>1.109926</v>
      </c>
      <c r="L32">
        <v>367.22160000000002</v>
      </c>
      <c r="M32">
        <v>0.99995060000000002</v>
      </c>
      <c r="N32">
        <v>0</v>
      </c>
      <c r="O32">
        <v>3.0448839999999999E-3</v>
      </c>
      <c r="P32">
        <v>0.99931760000000003</v>
      </c>
      <c r="Q32">
        <v>2.544219E-2</v>
      </c>
      <c r="R32">
        <v>-2.67826E-2</v>
      </c>
      <c r="S32">
        <v>3.0120849999999999</v>
      </c>
      <c r="T32">
        <v>-0.33101360000000002</v>
      </c>
      <c r="U32">
        <v>7.369995E-2</v>
      </c>
      <c r="V32">
        <v>2.9824469999999999E-2</v>
      </c>
      <c r="W32">
        <v>3.4919140000000001E-2</v>
      </c>
      <c r="X32">
        <v>0.99894499999999997</v>
      </c>
      <c r="Y32">
        <v>-2.130667E-2</v>
      </c>
      <c r="Z32">
        <v>8.3348750000000001E-4</v>
      </c>
      <c r="AA32">
        <v>0.99977269999999896</v>
      </c>
      <c r="AB32">
        <v>3</v>
      </c>
      <c r="AC32">
        <v>0.70589999999998498</v>
      </c>
      <c r="AD32">
        <v>-8.0025999999999903E-2</v>
      </c>
      <c r="AE32">
        <v>1.7499999999984001E-2</v>
      </c>
      <c r="AF32">
        <v>-1.5155774356613E-2</v>
      </c>
      <c r="AG32">
        <v>-8.0025999999999903E-2</v>
      </c>
      <c r="AH32">
        <v>0.69699759823464702</v>
      </c>
      <c r="AI32">
        <v>96.548218298918002</v>
      </c>
      <c r="AJ32">
        <v>91.245664386716797</v>
      </c>
      <c r="AK32">
        <v>0.70174034380048</v>
      </c>
      <c r="AL32">
        <v>87.998873793876001</v>
      </c>
      <c r="AM32">
        <v>88.289887036442394</v>
      </c>
      <c r="AN32">
        <v>0.99999997918705996</v>
      </c>
    </row>
    <row r="33" spans="1:40" x14ac:dyDescent="0.25">
      <c r="A33" t="str">
        <f>"20190312153851907"</f>
        <v>20190312153851907</v>
      </c>
      <c r="B33" t="str">
        <f>"1552376331896354"</f>
        <v>1552376331896354</v>
      </c>
      <c r="C33" t="s">
        <v>40</v>
      </c>
      <c r="D33">
        <v>4.7530190000000001</v>
      </c>
      <c r="E33">
        <v>0.48154910000000001</v>
      </c>
      <c r="F33" t="s">
        <v>41</v>
      </c>
      <c r="G33">
        <v>-475.09</v>
      </c>
      <c r="H33">
        <v>1.0294460000000001</v>
      </c>
      <c r="I33">
        <v>367.23910000000001</v>
      </c>
      <c r="J33">
        <v>-475.798</v>
      </c>
      <c r="K33">
        <v>1.109769</v>
      </c>
      <c r="L33">
        <v>367.22190000000001</v>
      </c>
      <c r="M33">
        <v>0.99995540000000005</v>
      </c>
      <c r="N33">
        <v>0</v>
      </c>
      <c r="O33">
        <v>3.2071309999999998E-3</v>
      </c>
      <c r="P33">
        <v>0.99927750000000004</v>
      </c>
      <c r="Q33">
        <v>2.6216369999999999E-2</v>
      </c>
      <c r="R33">
        <v>-2.752044E-2</v>
      </c>
      <c r="S33">
        <v>3.0123600000000001</v>
      </c>
      <c r="T33">
        <v>-0.327314099999999</v>
      </c>
      <c r="U33">
        <v>7.2570800000000005E-2</v>
      </c>
      <c r="V33">
        <v>3.072281E-2</v>
      </c>
      <c r="W33">
        <v>3.5113569999999997E-2</v>
      </c>
      <c r="X33">
        <v>0.99891099999999999</v>
      </c>
      <c r="Y33">
        <v>-2.0774239999999999E-2</v>
      </c>
      <c r="Z33">
        <v>7.7774530000000004E-4</v>
      </c>
      <c r="AA33">
        <v>0.99978389999999995</v>
      </c>
      <c r="AB33">
        <v>4</v>
      </c>
      <c r="AC33">
        <v>0.70800000000002605</v>
      </c>
      <c r="AD33">
        <v>-8.0323000000000103E-2</v>
      </c>
      <c r="AE33">
        <v>1.7200000000002501E-2</v>
      </c>
      <c r="AF33">
        <v>-1.47395716134293E-2</v>
      </c>
      <c r="AG33">
        <v>-8.0323000000000103E-2</v>
      </c>
      <c r="AH33">
        <v>0.69905921790058001</v>
      </c>
      <c r="AI33">
        <v>96.553186345788305</v>
      </c>
      <c r="AJ33">
        <v>91.207894993506301</v>
      </c>
      <c r="AK33">
        <v>0.70381306426644097</v>
      </c>
      <c r="AL33">
        <v>87.987727021221303</v>
      </c>
      <c r="AM33">
        <v>88.238348947468694</v>
      </c>
      <c r="AN33">
        <v>1.00000001988672</v>
      </c>
    </row>
    <row r="34" spans="1:40" x14ac:dyDescent="0.25">
      <c r="A34" t="str">
        <f>"20190312153851928"</f>
        <v>20190312153851928</v>
      </c>
      <c r="B34" t="str">
        <f>"1552376331915875"</f>
        <v>1552376331915875</v>
      </c>
      <c r="C34" t="s">
        <v>40</v>
      </c>
      <c r="D34">
        <v>4.6975129999999998</v>
      </c>
      <c r="E34">
        <v>0.4815835</v>
      </c>
      <c r="F34" t="s">
        <v>41</v>
      </c>
      <c r="G34">
        <v>-475.05509999999998</v>
      </c>
      <c r="H34">
        <v>1.0305420000000001</v>
      </c>
      <c r="I34">
        <v>367.23919999999998</v>
      </c>
      <c r="J34">
        <v>-475.76400000000001</v>
      </c>
      <c r="K34">
        <v>1.1100129999999999</v>
      </c>
      <c r="L34">
        <v>367.22219999999999</v>
      </c>
      <c r="M34">
        <v>0.99994740000000004</v>
      </c>
      <c r="N34">
        <v>0</v>
      </c>
      <c r="O34">
        <v>3.3482199999999998E-3</v>
      </c>
      <c r="P34">
        <v>0.99925240000000004</v>
      </c>
      <c r="Q34">
        <v>2.615901E-2</v>
      </c>
      <c r="R34">
        <v>-2.8470740000000001E-2</v>
      </c>
      <c r="S34">
        <v>3.0126339999999998</v>
      </c>
      <c r="T34">
        <v>-0.3215479</v>
      </c>
      <c r="U34">
        <v>7.1746829999999998E-2</v>
      </c>
      <c r="V34">
        <v>3.1813889999999997E-2</v>
      </c>
      <c r="W34">
        <v>3.5852210000000002E-2</v>
      </c>
      <c r="X34">
        <v>0.99885060000000003</v>
      </c>
      <c r="Y34">
        <v>-2.0364409999999999E-2</v>
      </c>
      <c r="Z34">
        <v>7.2723199999999997E-4</v>
      </c>
      <c r="AA34">
        <v>0.99979229999999997</v>
      </c>
      <c r="AB34">
        <v>4</v>
      </c>
      <c r="AC34">
        <v>0.70890000000002795</v>
      </c>
      <c r="AD34">
        <v>-7.9470999999999806E-2</v>
      </c>
      <c r="AE34">
        <v>1.69999999999959E-2</v>
      </c>
      <c r="AF34">
        <v>-1.4444809806560601E-2</v>
      </c>
      <c r="AG34">
        <v>-7.9470999999999806E-2</v>
      </c>
      <c r="AH34">
        <v>0.70015879038961504</v>
      </c>
      <c r="AI34">
        <v>96.474234698436206</v>
      </c>
      <c r="AJ34">
        <v>91.181887964077404</v>
      </c>
      <c r="AK34">
        <v>0.70480254265375297</v>
      </c>
      <c r="AL34">
        <v>87.945379385056597</v>
      </c>
      <c r="AM34">
        <v>88.175717550928994</v>
      </c>
      <c r="AN34">
        <v>1.0000000128395801</v>
      </c>
    </row>
    <row r="35" spans="1:40" x14ac:dyDescent="0.25">
      <c r="A35" t="str">
        <f>"20190312153851951"</f>
        <v>20190312153851951</v>
      </c>
      <c r="B35" t="str">
        <f>"1552376331946131"</f>
        <v>1552376331946131</v>
      </c>
      <c r="C35" t="s">
        <v>40</v>
      </c>
      <c r="D35">
        <v>4.6428000000000003</v>
      </c>
      <c r="E35">
        <v>0.48159740000000001</v>
      </c>
      <c r="F35" t="s">
        <v>41</v>
      </c>
      <c r="G35">
        <v>-475.02379999999999</v>
      </c>
      <c r="H35">
        <v>1.0317670000000001</v>
      </c>
      <c r="I35">
        <v>367.23880000000003</v>
      </c>
      <c r="J35">
        <v>-475.7321</v>
      </c>
      <c r="K35">
        <v>1.110501</v>
      </c>
      <c r="L35">
        <v>367.22239999999999</v>
      </c>
      <c r="M35">
        <v>0.9999266</v>
      </c>
      <c r="N35">
        <v>0</v>
      </c>
      <c r="O35">
        <v>3.4505849999999999E-3</v>
      </c>
      <c r="P35">
        <v>0.99927379999999999</v>
      </c>
      <c r="Q35">
        <v>2.453491E-2</v>
      </c>
      <c r="R35">
        <v>-2.9151509999999999E-2</v>
      </c>
      <c r="S35">
        <v>3.0125730000000002</v>
      </c>
      <c r="T35">
        <v>-0.31864360000000003</v>
      </c>
      <c r="U35">
        <v>6.8542480000000003E-2</v>
      </c>
      <c r="V35">
        <v>3.2599139999999999E-2</v>
      </c>
      <c r="W35">
        <v>3.6143840000000003E-2</v>
      </c>
      <c r="X35">
        <v>0.9988148</v>
      </c>
      <c r="Y35">
        <v>-1.9208340000000001E-2</v>
      </c>
      <c r="Z35">
        <v>6.489585E-4</v>
      </c>
      <c r="AA35">
        <v>0.99981529999999996</v>
      </c>
      <c r="AB35">
        <v>4</v>
      </c>
      <c r="AC35">
        <v>0.70830000000000803</v>
      </c>
      <c r="AD35">
        <v>-7.8733999999999804E-2</v>
      </c>
      <c r="AE35">
        <v>1.6400000000032802E-2</v>
      </c>
      <c r="AF35">
        <v>-1.3785441693327001E-2</v>
      </c>
      <c r="AG35">
        <v>-7.8733999999999804E-2</v>
      </c>
      <c r="AH35">
        <v>0.699711134165662</v>
      </c>
      <c r="AI35">
        <v>96.418885494786096</v>
      </c>
      <c r="AJ35">
        <v>91.128673560949807</v>
      </c>
      <c r="AK35">
        <v>0.704261849338779</v>
      </c>
      <c r="AL35">
        <v>87.928659442436299</v>
      </c>
      <c r="AM35">
        <v>88.130654098094894</v>
      </c>
      <c r="AN35">
        <v>1.00000004289886</v>
      </c>
    </row>
    <row r="36" spans="1:40" x14ac:dyDescent="0.25">
      <c r="A36" t="str">
        <f>"20190312153851974"</f>
        <v>20190312153851974</v>
      </c>
      <c r="B36" t="str">
        <f>"1552376331965650"</f>
        <v>1552376331965650</v>
      </c>
      <c r="C36" t="s">
        <v>40</v>
      </c>
      <c r="D36">
        <v>4.5944379999999896</v>
      </c>
      <c r="E36">
        <v>0.48158040000000002</v>
      </c>
      <c r="F36" t="s">
        <v>41</v>
      </c>
      <c r="G36">
        <v>-474.99639999999999</v>
      </c>
      <c r="H36">
        <v>1.0324439999999999</v>
      </c>
      <c r="I36">
        <v>367.23840000000001</v>
      </c>
      <c r="J36">
        <v>-475.7045</v>
      </c>
      <c r="K36">
        <v>1.1109260000000001</v>
      </c>
      <c r="L36">
        <v>367.22269999999997</v>
      </c>
      <c r="M36">
        <v>0.99990049999999997</v>
      </c>
      <c r="N36">
        <v>0</v>
      </c>
      <c r="O36">
        <v>3.5218350000000001E-3</v>
      </c>
      <c r="P36">
        <v>0.99931669999999995</v>
      </c>
      <c r="Q36">
        <v>2.2171840000000002E-2</v>
      </c>
      <c r="R36">
        <v>-2.957595E-2</v>
      </c>
      <c r="S36">
        <v>3.0119630000000002</v>
      </c>
      <c r="T36">
        <v>-0.31989420000000002</v>
      </c>
      <c r="U36">
        <v>6.6436770000000006E-2</v>
      </c>
      <c r="V36">
        <v>3.3097540000000002E-2</v>
      </c>
      <c r="W36">
        <v>3.5819330000000003E-2</v>
      </c>
      <c r="X36">
        <v>0.99881010000000003</v>
      </c>
      <c r="Y36">
        <v>-1.8446919999999999E-2</v>
      </c>
      <c r="Z36">
        <v>6.0375610000000003E-4</v>
      </c>
      <c r="AA36">
        <v>0.99982959999999999</v>
      </c>
      <c r="AB36">
        <v>3</v>
      </c>
      <c r="AC36">
        <v>0.70810000000000095</v>
      </c>
      <c r="AD36">
        <v>-7.8481999999999899E-2</v>
      </c>
      <c r="AE36">
        <v>1.5700000000038E-2</v>
      </c>
      <c r="AF36">
        <v>-1.30456800668472E-2</v>
      </c>
      <c r="AG36">
        <v>-7.8481999999999899E-2</v>
      </c>
      <c r="AH36">
        <v>0.69956149469826001</v>
      </c>
      <c r="AI36">
        <v>96.399996994464701</v>
      </c>
      <c r="AJ36">
        <v>91.068348938871793</v>
      </c>
      <c r="AK36">
        <v>0.70407094738873399</v>
      </c>
      <c r="AL36">
        <v>87.9472645444677</v>
      </c>
      <c r="AM36">
        <v>88.102085961887298</v>
      </c>
      <c r="AN36">
        <v>1.0000000437088501</v>
      </c>
    </row>
    <row r="37" spans="1:40" x14ac:dyDescent="0.25">
      <c r="A37" t="str">
        <f>"20190312153851997"</f>
        <v>20190312153851997</v>
      </c>
      <c r="B37" t="str">
        <f>"1552376331986146"</f>
        <v>1552376331986146</v>
      </c>
      <c r="C37" t="s">
        <v>40</v>
      </c>
      <c r="D37">
        <v>4.5618160000000003</v>
      </c>
      <c r="E37">
        <v>0.48155890000000001</v>
      </c>
      <c r="F37" t="s">
        <v>41</v>
      </c>
      <c r="G37">
        <v>-474.97230000000002</v>
      </c>
      <c r="H37">
        <v>1.0320229999999999</v>
      </c>
      <c r="I37">
        <v>367.23829999999998</v>
      </c>
      <c r="J37">
        <v>-475.67590000000001</v>
      </c>
      <c r="K37">
        <v>1.1110500000000001</v>
      </c>
      <c r="L37">
        <v>367.22289999999998</v>
      </c>
      <c r="M37">
        <v>0.99988379999999999</v>
      </c>
      <c r="N37">
        <v>0</v>
      </c>
      <c r="O37">
        <v>3.6281960000000002E-3</v>
      </c>
      <c r="P37">
        <v>0.99933890000000003</v>
      </c>
      <c r="Q37">
        <v>2.0508169999999999E-2</v>
      </c>
      <c r="R37">
        <v>-3.0024370000000002E-2</v>
      </c>
      <c r="S37">
        <v>3.0112000000000001</v>
      </c>
      <c r="T37">
        <v>-0.32481650000000001</v>
      </c>
      <c r="U37">
        <v>6.5551760000000001E-2</v>
      </c>
      <c r="V37">
        <v>3.3653040000000002E-2</v>
      </c>
      <c r="W37">
        <v>3.530134E-2</v>
      </c>
      <c r="X37">
        <v>0.99880990000000003</v>
      </c>
      <c r="Y37">
        <v>-1.8052639999999998E-2</v>
      </c>
      <c r="Z37">
        <v>5.8050229999999999E-4</v>
      </c>
      <c r="AA37">
        <v>0.99983690000000003</v>
      </c>
      <c r="AB37">
        <v>3</v>
      </c>
      <c r="AC37">
        <v>0.70359999999999401</v>
      </c>
      <c r="AD37">
        <v>-7.9027000000000097E-2</v>
      </c>
      <c r="AE37">
        <v>1.53999999999996E-2</v>
      </c>
      <c r="AF37">
        <v>-1.26868476521573E-2</v>
      </c>
      <c r="AG37">
        <v>-7.9027000000000097E-2</v>
      </c>
      <c r="AH37">
        <v>0.69488917516821302</v>
      </c>
      <c r="AI37">
        <v>96.487074827905801</v>
      </c>
      <c r="AJ37">
        <v>91.045953946873695</v>
      </c>
      <c r="AK37">
        <v>0.69948351560155297</v>
      </c>
      <c r="AL37">
        <v>87.976961805747607</v>
      </c>
      <c r="AM37">
        <v>88.070255394530307</v>
      </c>
      <c r="AN37">
        <v>0.999999964022523</v>
      </c>
    </row>
    <row r="38" spans="1:40" x14ac:dyDescent="0.25">
      <c r="A38" t="str">
        <f>"20190312153852018"</f>
        <v>20190312153852018</v>
      </c>
      <c r="B38" t="str">
        <f>"1552376332005672"</f>
        <v>1552376332005672</v>
      </c>
      <c r="C38" t="s">
        <v>40</v>
      </c>
      <c r="D38">
        <v>4.5438190000000001</v>
      </c>
      <c r="E38">
        <v>0.48157480000000003</v>
      </c>
      <c r="F38" t="s">
        <v>41</v>
      </c>
      <c r="G38">
        <v>-474.92140000000001</v>
      </c>
      <c r="H38">
        <v>1.0290859999999999</v>
      </c>
      <c r="I38">
        <v>367.23880000000003</v>
      </c>
      <c r="J38">
        <v>-475.64600000000002</v>
      </c>
      <c r="K38">
        <v>1.110611</v>
      </c>
      <c r="L38">
        <v>367.22309999999999</v>
      </c>
      <c r="M38">
        <v>0.99989899999999998</v>
      </c>
      <c r="N38">
        <v>0</v>
      </c>
      <c r="O38">
        <v>3.7829320000000001E-3</v>
      </c>
      <c r="P38">
        <v>0.99931959999999997</v>
      </c>
      <c r="Q38">
        <v>2.1077909999999998E-2</v>
      </c>
      <c r="R38">
        <v>-3.0271409999999999E-2</v>
      </c>
      <c r="S38">
        <v>3.0105590000000002</v>
      </c>
      <c r="T38">
        <v>-0.32722430000000002</v>
      </c>
      <c r="U38">
        <v>6.3995360000000001E-2</v>
      </c>
      <c r="V38">
        <v>3.4052359999999997E-2</v>
      </c>
      <c r="W38">
        <v>3.4773310000000002E-2</v>
      </c>
      <c r="X38">
        <v>0.99881489999999995</v>
      </c>
      <c r="Y38">
        <v>-1.7389490000000001E-2</v>
      </c>
      <c r="Z38">
        <v>5.3221490000000002E-4</v>
      </c>
      <c r="AA38">
        <v>0.99984870000000003</v>
      </c>
      <c r="AB38">
        <v>3</v>
      </c>
      <c r="AC38">
        <v>0.72459999999995195</v>
      </c>
      <c r="AD38">
        <v>-8.1524999999999806E-2</v>
      </c>
      <c r="AE38">
        <v>1.5700000000038E-2</v>
      </c>
      <c r="AF38">
        <v>-1.2796607003162701E-2</v>
      </c>
      <c r="AG38">
        <v>-8.1524999999999806E-2</v>
      </c>
      <c r="AH38">
        <v>0.71559998362166499</v>
      </c>
      <c r="AI38">
        <v>96.498391415632796</v>
      </c>
      <c r="AJ38">
        <v>91.024473801307195</v>
      </c>
      <c r="AK38">
        <v>0.72034256804323404</v>
      </c>
      <c r="AL38">
        <v>88.007234307468707</v>
      </c>
      <c r="AM38">
        <v>88.0473848336418</v>
      </c>
      <c r="AN38">
        <v>0.99999997538596697</v>
      </c>
    </row>
    <row r="39" spans="1:40" x14ac:dyDescent="0.25">
      <c r="A39" t="str">
        <f>"20190312153852031"</f>
        <v>20190312153852031</v>
      </c>
      <c r="B39" t="str">
        <f>"1552376332026162"</f>
        <v>1552376332026162</v>
      </c>
      <c r="C39" t="s">
        <v>40</v>
      </c>
      <c r="D39">
        <v>4.5858359999999996</v>
      </c>
      <c r="E39">
        <v>0.4815892</v>
      </c>
      <c r="F39" t="s">
        <v>41</v>
      </c>
      <c r="G39">
        <v>-474.88920000000002</v>
      </c>
      <c r="H39">
        <v>1.0295379999999901</v>
      </c>
      <c r="I39">
        <v>367.23840000000001</v>
      </c>
      <c r="J39">
        <v>-475.6234</v>
      </c>
      <c r="K39">
        <v>1.1102700000000001</v>
      </c>
      <c r="L39">
        <v>367.22329999999999</v>
      </c>
      <c r="M39">
        <v>0.9999133</v>
      </c>
      <c r="N39">
        <v>0</v>
      </c>
      <c r="O39">
        <v>3.9218619999999999E-3</v>
      </c>
      <c r="P39">
        <v>0.99933689999999997</v>
      </c>
      <c r="Q39">
        <v>2.130019E-2</v>
      </c>
      <c r="R39">
        <v>-2.9534459999999998E-2</v>
      </c>
      <c r="S39">
        <v>3.010742</v>
      </c>
      <c r="T39">
        <v>-0.32317590000000002</v>
      </c>
      <c r="U39">
        <v>6.30188E-2</v>
      </c>
      <c r="V39">
        <v>3.3452460000000003E-2</v>
      </c>
      <c r="W39">
        <v>3.3858329999999999E-2</v>
      </c>
      <c r="X39">
        <v>0.99886660000000005</v>
      </c>
      <c r="Y39">
        <v>-1.6930569999999999E-2</v>
      </c>
      <c r="Z39">
        <v>4.8621759999999998E-4</v>
      </c>
      <c r="AA39">
        <v>0.99985650000000004</v>
      </c>
      <c r="AB39">
        <v>3</v>
      </c>
      <c r="AC39">
        <v>0.73419999999998697</v>
      </c>
      <c r="AD39">
        <v>-8.0732000000000206E-2</v>
      </c>
      <c r="AE39">
        <v>1.5100000000018101E-2</v>
      </c>
      <c r="AF39">
        <v>-1.20742965138185E-2</v>
      </c>
      <c r="AG39">
        <v>-8.0732000000000206E-2</v>
      </c>
      <c r="AH39">
        <v>0.72548543302142798</v>
      </c>
      <c r="AI39">
        <v>96.3488766502159</v>
      </c>
      <c r="AJ39">
        <v>90.953488981539707</v>
      </c>
      <c r="AK39">
        <v>0.73006339312870105</v>
      </c>
      <c r="AL39">
        <v>88.059689684910495</v>
      </c>
      <c r="AM39">
        <v>88.081857312616407</v>
      </c>
      <c r="AN39">
        <v>0.99999996909299904</v>
      </c>
    </row>
    <row r="40" spans="1:40" x14ac:dyDescent="0.25">
      <c r="A40" t="str">
        <f>"20190312153852051"</f>
        <v>20190312153852051</v>
      </c>
      <c r="B40" t="str">
        <f>"1552376332036430"</f>
        <v>1552376332036430</v>
      </c>
      <c r="C40" t="s">
        <v>40</v>
      </c>
      <c r="D40">
        <v>4.6062640000000004</v>
      </c>
      <c r="E40">
        <v>0.4815892</v>
      </c>
      <c r="F40" t="s">
        <v>41</v>
      </c>
      <c r="G40">
        <v>-474.88709999999998</v>
      </c>
      <c r="H40">
        <v>1.0319179999999999</v>
      </c>
      <c r="I40">
        <v>367.23869999999999</v>
      </c>
      <c r="J40">
        <v>-475.59230000000002</v>
      </c>
      <c r="K40">
        <v>1.109907</v>
      </c>
      <c r="L40">
        <v>367.22359999999998</v>
      </c>
      <c r="M40">
        <v>0.9999287</v>
      </c>
      <c r="N40">
        <v>0</v>
      </c>
      <c r="O40">
        <v>4.1300310000000002E-3</v>
      </c>
      <c r="P40">
        <v>0.99937909999999996</v>
      </c>
      <c r="Q40">
        <v>2.0633120000000001E-2</v>
      </c>
      <c r="R40">
        <v>-2.856241E-2</v>
      </c>
      <c r="S40">
        <v>3.0107729999999999</v>
      </c>
      <c r="T40">
        <v>-0.32097829999999999</v>
      </c>
      <c r="U40">
        <v>6.5155030000000003E-2</v>
      </c>
      <c r="V40">
        <v>3.26865E-2</v>
      </c>
      <c r="W40">
        <v>3.1839069999999997E-2</v>
      </c>
      <c r="X40">
        <v>0.99895840000000002</v>
      </c>
      <c r="Y40">
        <v>-1.7430729999999998E-2</v>
      </c>
      <c r="Z40">
        <v>4.873826E-4</v>
      </c>
      <c r="AA40">
        <v>0.99984790000000001</v>
      </c>
      <c r="AB40">
        <v>3</v>
      </c>
      <c r="AC40">
        <v>0.70520000000004701</v>
      </c>
      <c r="AD40">
        <v>-7.7988999999999795E-2</v>
      </c>
      <c r="AE40">
        <v>1.5100000000018101E-2</v>
      </c>
      <c r="AF40">
        <v>-1.2040003448057701E-2</v>
      </c>
      <c r="AG40">
        <v>-7.7988999999999795E-2</v>
      </c>
      <c r="AH40">
        <v>0.69673883463812103</v>
      </c>
      <c r="AI40">
        <v>96.385834214844806</v>
      </c>
      <c r="AJ40">
        <v>90.990001841430001</v>
      </c>
      <c r="AK40">
        <v>0.70119344655873395</v>
      </c>
      <c r="AL40">
        <v>88.175447327558999</v>
      </c>
      <c r="AM40">
        <v>88.125917391609406</v>
      </c>
      <c r="AN40">
        <v>1.00000000929563</v>
      </c>
    </row>
    <row r="41" spans="1:40" x14ac:dyDescent="0.25">
      <c r="A41" t="str">
        <f>"20190312153852073"</f>
        <v>20190312153852073</v>
      </c>
      <c r="B41" t="str">
        <f>"1552376332065711"</f>
        <v>1552376332065711</v>
      </c>
      <c r="C41" t="s">
        <v>40</v>
      </c>
      <c r="D41">
        <v>4.2983729999999998</v>
      </c>
      <c r="E41">
        <v>0.51992570000000005</v>
      </c>
      <c r="F41" t="s">
        <v>41</v>
      </c>
      <c r="G41">
        <v>-474.8544</v>
      </c>
      <c r="H41">
        <v>1.03071</v>
      </c>
      <c r="I41">
        <v>367.24020000000002</v>
      </c>
      <c r="J41">
        <v>-475.55500000000001</v>
      </c>
      <c r="K41">
        <v>1.1098170000000001</v>
      </c>
      <c r="L41">
        <v>367.22399999999999</v>
      </c>
      <c r="M41">
        <v>0.99993500000000002</v>
      </c>
      <c r="N41">
        <v>0</v>
      </c>
      <c r="O41">
        <v>4.3464330000000002E-3</v>
      </c>
      <c r="P41">
        <v>0.99944160000000004</v>
      </c>
      <c r="Q41">
        <v>1.9505149999999999E-2</v>
      </c>
      <c r="R41">
        <v>-2.7131160000000001E-2</v>
      </c>
      <c r="S41">
        <v>3.010437</v>
      </c>
      <c r="T41">
        <v>-0.32310220000000001</v>
      </c>
      <c r="U41">
        <v>6.7657469999999997E-2</v>
      </c>
      <c r="V41">
        <v>3.147055E-2</v>
      </c>
      <c r="W41">
        <v>3.005654E-2</v>
      </c>
      <c r="X41">
        <v>0.99905259999999996</v>
      </c>
      <c r="Y41">
        <v>-1.804422E-2</v>
      </c>
      <c r="Z41">
        <v>5.0030929999999999E-4</v>
      </c>
      <c r="AA41">
        <v>0.99983699999999998</v>
      </c>
      <c r="AB41">
        <v>4</v>
      </c>
      <c r="AC41">
        <v>0.70060000000000799</v>
      </c>
      <c r="AD41">
        <v>-7.9106999999999997E-2</v>
      </c>
      <c r="AE41">
        <v>1.62000000000261E-2</v>
      </c>
      <c r="AF41">
        <v>-1.2989052761668399E-2</v>
      </c>
      <c r="AG41">
        <v>-7.9106999999999997E-2</v>
      </c>
      <c r="AH41">
        <v>0.69184786981466295</v>
      </c>
      <c r="AI41">
        <v>96.521823687563099</v>
      </c>
      <c r="AJ41">
        <v>91.075569519798094</v>
      </c>
      <c r="AK41">
        <v>0.69647692561041297</v>
      </c>
      <c r="AL41">
        <v>88.277627618338897</v>
      </c>
      <c r="AM41">
        <v>88.195757011458497</v>
      </c>
      <c r="AN41">
        <v>0.99999994434041495</v>
      </c>
    </row>
    <row r="42" spans="1:40" x14ac:dyDescent="0.25">
      <c r="A42" t="str">
        <f>"20190312153852095"</f>
        <v>20190312153852095</v>
      </c>
      <c r="B42" t="str">
        <f>"1552376332086209"</f>
        <v>1552376332086209</v>
      </c>
      <c r="C42" t="s">
        <v>40</v>
      </c>
      <c r="D42">
        <v>4.2731560000000002</v>
      </c>
      <c r="E42">
        <v>0.52788029999999997</v>
      </c>
      <c r="F42" t="s">
        <v>41</v>
      </c>
      <c r="G42">
        <v>-474.851</v>
      </c>
      <c r="H42">
        <v>0.97709120000000005</v>
      </c>
      <c r="I42">
        <v>367.1696</v>
      </c>
      <c r="J42">
        <v>-475.52179999999998</v>
      </c>
      <c r="K42">
        <v>1.11016</v>
      </c>
      <c r="L42">
        <v>367.2244</v>
      </c>
      <c r="M42">
        <v>0.99992320000000001</v>
      </c>
      <c r="N42">
        <v>0</v>
      </c>
      <c r="O42">
        <v>4.4943559999999997E-3</v>
      </c>
      <c r="P42">
        <v>0.99951290000000004</v>
      </c>
      <c r="Q42">
        <v>1.795542E-2</v>
      </c>
      <c r="R42">
        <v>-2.5529429999999999E-2</v>
      </c>
      <c r="S42">
        <v>3.0065</v>
      </c>
      <c r="T42">
        <v>-0.56729359999999995</v>
      </c>
      <c r="U42">
        <v>-0.22946169999999999</v>
      </c>
      <c r="V42">
        <v>3.0018329999999999E-2</v>
      </c>
      <c r="W42">
        <v>2.949794E-2</v>
      </c>
      <c r="X42">
        <v>0.99911399999999995</v>
      </c>
      <c r="Y42">
        <v>7.9114359999999995E-2</v>
      </c>
      <c r="Z42">
        <v>-8.227781E-3</v>
      </c>
      <c r="AA42">
        <v>0.99683160000000004</v>
      </c>
      <c r="AB42">
        <v>4</v>
      </c>
      <c r="AC42">
        <v>0.67079999999998496</v>
      </c>
      <c r="AD42">
        <v>-0.13306879999999999</v>
      </c>
      <c r="AE42">
        <v>-5.4800000000000099E-2</v>
      </c>
      <c r="AF42">
        <v>5.5639455532120297E-2</v>
      </c>
      <c r="AG42">
        <v>-0.13306879999999999</v>
      </c>
      <c r="AH42">
        <v>0.64532064060357397</v>
      </c>
      <c r="AI42">
        <v>101.6095101228</v>
      </c>
      <c r="AJ42">
        <v>85.072152759905705</v>
      </c>
      <c r="AK42">
        <v>0.66124260580694405</v>
      </c>
      <c r="AL42">
        <v>88.309647347374096</v>
      </c>
      <c r="AM42">
        <v>88.279068882326897</v>
      </c>
      <c r="AN42">
        <v>1.0000000067981101</v>
      </c>
    </row>
    <row r="43" spans="1:40" x14ac:dyDescent="0.25">
      <c r="A43" t="str">
        <f>"20190312153852118"</f>
        <v>20190312153852118</v>
      </c>
      <c r="B43" t="str">
        <f>"1552376332105730"</f>
        <v>1552376332105730</v>
      </c>
      <c r="C43" t="s">
        <v>40</v>
      </c>
      <c r="D43">
        <v>4.3036659999999998</v>
      </c>
      <c r="E43">
        <v>0.53302629999999995</v>
      </c>
      <c r="F43" t="s">
        <v>41</v>
      </c>
      <c r="G43">
        <v>-474.82900000000001</v>
      </c>
      <c r="H43">
        <v>0.96415830000000002</v>
      </c>
      <c r="I43">
        <v>367.15809999999999</v>
      </c>
      <c r="J43">
        <v>-475.49470000000002</v>
      </c>
      <c r="K43">
        <v>1.1106049999999901</v>
      </c>
      <c r="L43">
        <v>367.22469999999998</v>
      </c>
      <c r="M43">
        <v>0.99990219999999996</v>
      </c>
      <c r="N43">
        <v>0</v>
      </c>
      <c r="O43">
        <v>4.5899199999999999E-3</v>
      </c>
      <c r="P43">
        <v>0.99956780000000001</v>
      </c>
      <c r="Q43">
        <v>1.6479029999999999E-2</v>
      </c>
      <c r="R43">
        <v>-2.4349840000000001E-2</v>
      </c>
      <c r="S43">
        <v>3.0055540000000001</v>
      </c>
      <c r="T43">
        <v>-0.63366029999999995</v>
      </c>
      <c r="U43">
        <v>-0.28665159999999901</v>
      </c>
      <c r="V43">
        <v>2.8937520000000001E-2</v>
      </c>
      <c r="W43">
        <v>2.967906E-2</v>
      </c>
      <c r="X43">
        <v>0.99914049999999999</v>
      </c>
      <c r="Y43">
        <v>9.7291779999999994E-2</v>
      </c>
      <c r="Z43">
        <v>-1.1077480000000001E-2</v>
      </c>
      <c r="AA43">
        <v>0.99519429999999998</v>
      </c>
      <c r="AB43">
        <v>4</v>
      </c>
      <c r="AC43">
        <v>0.66570000000001495</v>
      </c>
      <c r="AD43">
        <v>-0.14644669999999901</v>
      </c>
      <c r="AE43">
        <v>-6.6599999999993997E-2</v>
      </c>
      <c r="AF43">
        <v>6.6470119905604599E-2</v>
      </c>
      <c r="AG43">
        <v>-0.14644669999999901</v>
      </c>
      <c r="AH43">
        <v>0.63496266224887499</v>
      </c>
      <c r="AI43">
        <v>102.91928467244099</v>
      </c>
      <c r="AJ43">
        <v>84.023843465489804</v>
      </c>
      <c r="AK43">
        <v>0.65501335500227398</v>
      </c>
      <c r="AL43">
        <v>88.299265349264502</v>
      </c>
      <c r="AM43">
        <v>88.341039712867101</v>
      </c>
      <c r="AN43">
        <v>0.99999998270324097</v>
      </c>
    </row>
    <row r="44" spans="1:40" x14ac:dyDescent="0.25">
      <c r="A44" t="str">
        <f>"20190312153852140"</f>
        <v>20190312153852140</v>
      </c>
      <c r="B44" t="str">
        <f>"1552376332136487"</f>
        <v>1552376332136487</v>
      </c>
      <c r="C44" t="s">
        <v>40</v>
      </c>
      <c r="D44">
        <v>4.285107</v>
      </c>
      <c r="E44">
        <v>0.53732000000000002</v>
      </c>
      <c r="F44" t="s">
        <v>41</v>
      </c>
      <c r="G44">
        <v>-474.78879999999998</v>
      </c>
      <c r="H44">
        <v>0.94883949999999995</v>
      </c>
      <c r="I44">
        <v>367.14859999999999</v>
      </c>
      <c r="J44">
        <v>-475.46910000000003</v>
      </c>
      <c r="K44">
        <v>1.1109579999999999</v>
      </c>
      <c r="L44">
        <v>367.22500000000002</v>
      </c>
      <c r="M44">
        <v>0.99987809999999999</v>
      </c>
      <c r="N44">
        <v>0</v>
      </c>
      <c r="O44">
        <v>4.6665309999999998E-3</v>
      </c>
      <c r="P44">
        <v>0.99960550000000004</v>
      </c>
      <c r="Q44">
        <v>1.4804039999999999E-2</v>
      </c>
      <c r="R44">
        <v>-2.3871E-2</v>
      </c>
      <c r="S44">
        <v>3.004791</v>
      </c>
      <c r="T44">
        <v>-0.68881769999999998</v>
      </c>
      <c r="U44">
        <v>-0.323028599999999</v>
      </c>
      <c r="V44">
        <v>2.8538729999999998E-2</v>
      </c>
      <c r="W44">
        <v>2.9690970000000001E-2</v>
      </c>
      <c r="X44">
        <v>0.99915160000000003</v>
      </c>
      <c r="Y44">
        <v>0.10862189999999999</v>
      </c>
      <c r="Z44">
        <v>-1.331016E-2</v>
      </c>
      <c r="AA44">
        <v>0.99399400000000004</v>
      </c>
      <c r="AB44">
        <v>3</v>
      </c>
      <c r="AC44">
        <v>0.68030000000004498</v>
      </c>
      <c r="AD44">
        <v>-0.162118499999999</v>
      </c>
      <c r="AE44">
        <v>-7.6400000000035106E-2</v>
      </c>
      <c r="AF44">
        <v>7.5348490497087695E-2</v>
      </c>
      <c r="AG44">
        <v>-0.162118499999999</v>
      </c>
      <c r="AH44">
        <v>0.64382900743895</v>
      </c>
      <c r="AI44">
        <v>104.041461443231</v>
      </c>
      <c r="AJ44">
        <v>83.324934144901405</v>
      </c>
      <c r="AK44">
        <v>0.66818829223674903</v>
      </c>
      <c r="AL44">
        <v>88.298582627733893</v>
      </c>
      <c r="AM44">
        <v>88.3639076148242</v>
      </c>
      <c r="AN44">
        <v>0.99999996629605603</v>
      </c>
    </row>
    <row r="45" spans="1:40" x14ac:dyDescent="0.25">
      <c r="A45" t="str">
        <f>"20190312153852163"</f>
        <v>20190312153852163</v>
      </c>
      <c r="B45" t="str">
        <f>"1552376332156008"</f>
        <v>1552376332156008</v>
      </c>
      <c r="C45" t="s">
        <v>40</v>
      </c>
      <c r="D45">
        <v>4.3261799999999999</v>
      </c>
      <c r="E45">
        <v>0.539207199999999</v>
      </c>
      <c r="F45" t="s">
        <v>41</v>
      </c>
      <c r="G45">
        <v>-474.76979999999998</v>
      </c>
      <c r="H45">
        <v>0.94157150000000001</v>
      </c>
      <c r="I45">
        <v>367.14170000000001</v>
      </c>
      <c r="J45">
        <v>-475.44260000000003</v>
      </c>
      <c r="K45">
        <v>1.110962</v>
      </c>
      <c r="L45">
        <v>367.2253</v>
      </c>
      <c r="M45">
        <v>0.99986960000000003</v>
      </c>
      <c r="N45">
        <v>0</v>
      </c>
      <c r="O45">
        <v>4.7705789999999996E-3</v>
      </c>
      <c r="P45">
        <v>0.99961599999999995</v>
      </c>
      <c r="Q45">
        <v>1.4100059999999999E-2</v>
      </c>
      <c r="R45">
        <v>-2.385524E-2</v>
      </c>
      <c r="S45">
        <v>3.0035099999999999</v>
      </c>
      <c r="T45">
        <v>-0.72796300000000003</v>
      </c>
      <c r="U45">
        <v>-0.35513309999999998</v>
      </c>
      <c r="V45">
        <v>2.8628199999999999E-2</v>
      </c>
      <c r="W45">
        <v>2.9518909999999999E-2</v>
      </c>
      <c r="X45">
        <v>0.99915419999999999</v>
      </c>
      <c r="Y45">
        <v>0.1186334</v>
      </c>
      <c r="Z45">
        <v>-1.526052E-2</v>
      </c>
      <c r="AA45">
        <v>0.99282090000000001</v>
      </c>
      <c r="AB45">
        <v>2</v>
      </c>
      <c r="AC45">
        <v>0.67280000000005202</v>
      </c>
      <c r="AD45">
        <v>-0.1693905</v>
      </c>
      <c r="AE45">
        <v>-8.3599999999989905E-2</v>
      </c>
      <c r="AF45">
        <v>8.1708500244981302E-2</v>
      </c>
      <c r="AG45">
        <v>-0.1693905</v>
      </c>
      <c r="AH45">
        <v>0.63288615484677202</v>
      </c>
      <c r="AI45">
        <v>104.866026128865</v>
      </c>
      <c r="AJ45">
        <v>82.643544882389406</v>
      </c>
      <c r="AK45">
        <v>0.66023806729032697</v>
      </c>
      <c r="AL45">
        <v>88.308445366694798</v>
      </c>
      <c r="AM45">
        <v>88.3587854725412</v>
      </c>
      <c r="AN45">
        <v>1.0000000276302301</v>
      </c>
    </row>
    <row r="46" spans="1:40" x14ac:dyDescent="0.25">
      <c r="A46" t="str">
        <f>"20190312153852186"</f>
        <v>20190312153852186</v>
      </c>
      <c r="B46" t="str">
        <f>"1552376332176503"</f>
        <v>1552376332176503</v>
      </c>
      <c r="C46" t="s">
        <v>40</v>
      </c>
      <c r="D46">
        <v>4.1980469999999999</v>
      </c>
      <c r="E46">
        <v>0.5404002</v>
      </c>
      <c r="F46" t="s">
        <v>41</v>
      </c>
      <c r="G46">
        <v>-474.7457</v>
      </c>
      <c r="H46">
        <v>0.93851859999999998</v>
      </c>
      <c r="I46">
        <v>367.13929999999999</v>
      </c>
      <c r="J46">
        <v>-475.41309999999999</v>
      </c>
      <c r="K46">
        <v>1.1106579999999999</v>
      </c>
      <c r="L46">
        <v>367.22550000000001</v>
      </c>
      <c r="M46">
        <v>0.99988089999999996</v>
      </c>
      <c r="N46">
        <v>0</v>
      </c>
      <c r="O46">
        <v>4.9167259999999997E-3</v>
      </c>
      <c r="P46">
        <v>0.99957750000000001</v>
      </c>
      <c r="Q46">
        <v>1.515143E-2</v>
      </c>
      <c r="R46">
        <v>-2.4810809999999999E-2</v>
      </c>
      <c r="S46">
        <v>3.0028079999999999</v>
      </c>
      <c r="T46">
        <v>-0.74323649999999997</v>
      </c>
      <c r="U46">
        <v>-0.36987300000000001</v>
      </c>
      <c r="V46">
        <v>2.9728170000000002E-2</v>
      </c>
      <c r="W46">
        <v>2.9781060000000002E-2</v>
      </c>
      <c r="X46">
        <v>0.99911430000000001</v>
      </c>
      <c r="Y46">
        <v>0.1233175</v>
      </c>
      <c r="Z46">
        <v>-1.6175169999999999E-2</v>
      </c>
      <c r="AA46">
        <v>0.99223539999999999</v>
      </c>
      <c r="AB46">
        <v>2</v>
      </c>
      <c r="AC46">
        <v>0.667399999999986</v>
      </c>
      <c r="AD46">
        <v>-0.172139399999999</v>
      </c>
      <c r="AE46">
        <v>-8.6200000000019303E-2</v>
      </c>
      <c r="AF46">
        <v>8.3985245727176097E-2</v>
      </c>
      <c r="AG46">
        <v>-0.172139399999999</v>
      </c>
      <c r="AH46">
        <v>0.62600601849067306</v>
      </c>
      <c r="AI46">
        <v>105.24505896303801</v>
      </c>
      <c r="AJ46">
        <v>82.358799477477504</v>
      </c>
      <c r="AK46">
        <v>0.65465183855142395</v>
      </c>
      <c r="AL46">
        <v>88.2934186759922</v>
      </c>
      <c r="AM46">
        <v>88.295694217298006</v>
      </c>
      <c r="AN46">
        <v>1.00000003004538</v>
      </c>
    </row>
    <row r="47" spans="1:40" x14ac:dyDescent="0.25">
      <c r="A47" t="str">
        <f>"20190312153852207"</f>
        <v>20190312153852207</v>
      </c>
      <c r="B47" t="str">
        <f>"1552376332196024"</f>
        <v>1552376332196024</v>
      </c>
      <c r="C47" t="s">
        <v>40</v>
      </c>
      <c r="D47">
        <v>4.227983</v>
      </c>
      <c r="E47">
        <v>0.54124259999999902</v>
      </c>
      <c r="F47" t="s">
        <v>41</v>
      </c>
      <c r="G47">
        <v>-474.71890000000002</v>
      </c>
      <c r="H47">
        <v>0.93739399999999995</v>
      </c>
      <c r="I47">
        <v>367.13659999999999</v>
      </c>
      <c r="J47">
        <v>-475.3827</v>
      </c>
      <c r="K47">
        <v>1.1103209999999999</v>
      </c>
      <c r="L47">
        <v>367.22579999999999</v>
      </c>
      <c r="M47">
        <v>0.99989680000000003</v>
      </c>
      <c r="N47">
        <v>0</v>
      </c>
      <c r="O47">
        <v>5.0982120000000004E-3</v>
      </c>
      <c r="P47">
        <v>0.99952090000000005</v>
      </c>
      <c r="Q47">
        <v>1.7259380000000001E-2</v>
      </c>
      <c r="R47">
        <v>-2.5692380000000001E-2</v>
      </c>
      <c r="S47">
        <v>3.003174</v>
      </c>
      <c r="T47">
        <v>-0.74993529999999997</v>
      </c>
      <c r="U47">
        <v>-0.38204959999999999</v>
      </c>
      <c r="V47">
        <v>3.07885E-2</v>
      </c>
      <c r="W47">
        <v>3.0677570000000001E-2</v>
      </c>
      <c r="X47">
        <v>0.99905500000000003</v>
      </c>
      <c r="Y47">
        <v>0.12725349999999999</v>
      </c>
      <c r="Z47">
        <v>-1.683745E-2</v>
      </c>
      <c r="AA47">
        <v>0.99172729999999998</v>
      </c>
      <c r="AB47">
        <v>3</v>
      </c>
      <c r="AC47">
        <v>0.66379999999997996</v>
      </c>
      <c r="AD47">
        <v>-0.172926999999999</v>
      </c>
      <c r="AE47">
        <v>-8.9200000000005206E-2</v>
      </c>
      <c r="AF47">
        <v>8.6797253598280999E-2</v>
      </c>
      <c r="AG47">
        <v>-0.172926999999999</v>
      </c>
      <c r="AH47">
        <v>0.62188070926628203</v>
      </c>
      <c r="AI47">
        <v>105.397635285706</v>
      </c>
      <c r="AJ47">
        <v>82.054431431655104</v>
      </c>
      <c r="AK47">
        <v>0.65128574920593696</v>
      </c>
      <c r="AL47">
        <v>88.242028843593602</v>
      </c>
      <c r="AM47">
        <v>88.234838952248097</v>
      </c>
      <c r="AN47">
        <v>0.99999996902917698</v>
      </c>
    </row>
    <row r="48" spans="1:40" x14ac:dyDescent="0.25">
      <c r="A48" t="str">
        <f>"20190312153852228"</f>
        <v>20190312153852228</v>
      </c>
      <c r="B48" t="str">
        <f>"1552376332216520"</f>
        <v>1552376332216520</v>
      </c>
      <c r="C48" t="s">
        <v>40</v>
      </c>
      <c r="D48">
        <v>4.1829669999999997</v>
      </c>
      <c r="E48">
        <v>0.54196230000000001</v>
      </c>
      <c r="F48" t="s">
        <v>41</v>
      </c>
      <c r="G48">
        <v>-474.68920000000003</v>
      </c>
      <c r="H48">
        <v>0.93737029999999999</v>
      </c>
      <c r="I48">
        <v>367.13529999999997</v>
      </c>
      <c r="J48">
        <v>-475.3503</v>
      </c>
      <c r="K48">
        <v>1.1100110000000001</v>
      </c>
      <c r="L48">
        <v>367.22609999999997</v>
      </c>
      <c r="M48">
        <v>0.9999133</v>
      </c>
      <c r="N48">
        <v>0</v>
      </c>
      <c r="O48">
        <v>5.3204000000000003E-3</v>
      </c>
      <c r="P48">
        <v>0.99947109999999995</v>
      </c>
      <c r="Q48">
        <v>1.9834399999999999E-2</v>
      </c>
      <c r="R48">
        <v>-2.577043E-2</v>
      </c>
      <c r="S48">
        <v>3.0043030000000002</v>
      </c>
      <c r="T48">
        <v>-0.74936389999999997</v>
      </c>
      <c r="U48">
        <v>-0.39154050000000001</v>
      </c>
      <c r="V48">
        <v>3.1085829999999998E-2</v>
      </c>
      <c r="W48">
        <v>3.1871950000000003E-2</v>
      </c>
      <c r="X48">
        <v>0.99900840000000002</v>
      </c>
      <c r="Y48">
        <v>0.13041700000000001</v>
      </c>
      <c r="Z48">
        <v>-1.7257060000000001E-2</v>
      </c>
      <c r="AA48">
        <v>0.991309</v>
      </c>
      <c r="AB48">
        <v>3</v>
      </c>
      <c r="AC48">
        <v>0.66109999999997604</v>
      </c>
      <c r="AD48">
        <v>-0.17264069999999901</v>
      </c>
      <c r="AE48">
        <v>-9.0800000000001505E-2</v>
      </c>
      <c r="AF48">
        <v>8.8399503799048998E-2</v>
      </c>
      <c r="AG48">
        <v>-0.17264069999999901</v>
      </c>
      <c r="AH48">
        <v>0.61916535064686495</v>
      </c>
      <c r="AI48">
        <v>105.431050420736</v>
      </c>
      <c r="AJ48">
        <v>81.874675891053698</v>
      </c>
      <c r="AK48">
        <v>0.648833580365615</v>
      </c>
      <c r="AL48">
        <v>88.173562407838205</v>
      </c>
      <c r="AM48">
        <v>88.217720340763293</v>
      </c>
      <c r="AN48">
        <v>0.99999996664707502</v>
      </c>
    </row>
    <row r="49" spans="1:40" x14ac:dyDescent="0.25">
      <c r="A49" t="str">
        <f>"20190312153852253"</f>
        <v>20190312153852253</v>
      </c>
      <c r="B49" t="str">
        <f>"1552376332246306"</f>
        <v>1552376332246306</v>
      </c>
      <c r="C49" t="s">
        <v>40</v>
      </c>
      <c r="D49">
        <v>4.1407740000000004</v>
      </c>
      <c r="E49">
        <v>0.54278859999999995</v>
      </c>
      <c r="F49" t="s">
        <v>41</v>
      </c>
      <c r="G49">
        <v>-474.6574</v>
      </c>
      <c r="H49">
        <v>0.93809849999999995</v>
      </c>
      <c r="I49">
        <v>367.13420000000002</v>
      </c>
      <c r="J49">
        <v>-475.31150000000002</v>
      </c>
      <c r="K49">
        <v>1.10975</v>
      </c>
      <c r="L49">
        <v>367.22660000000002</v>
      </c>
      <c r="M49">
        <v>0.99992820000000004</v>
      </c>
      <c r="N49">
        <v>0</v>
      </c>
      <c r="O49">
        <v>5.6081330000000004E-3</v>
      </c>
      <c r="P49">
        <v>0.99941369999999896</v>
      </c>
      <c r="Q49">
        <v>2.222122E-2</v>
      </c>
      <c r="R49">
        <v>-2.6051270000000001E-2</v>
      </c>
      <c r="S49">
        <v>3.0061339999999999</v>
      </c>
      <c r="T49">
        <v>-0.74607029999999996</v>
      </c>
      <c r="U49">
        <v>-0.39733889999999999</v>
      </c>
      <c r="V49">
        <v>3.1651029999999997E-2</v>
      </c>
      <c r="W49">
        <v>3.2810350000000002E-2</v>
      </c>
      <c r="X49">
        <v>0.99896030000000002</v>
      </c>
      <c r="Y49">
        <v>0.1324755</v>
      </c>
      <c r="Z49">
        <v>-1.7491920000000001E-2</v>
      </c>
      <c r="AA49">
        <v>0.99103189999999997</v>
      </c>
      <c r="AB49">
        <v>3</v>
      </c>
      <c r="AC49">
        <v>0.65410000000002799</v>
      </c>
      <c r="AD49">
        <v>-0.17165149999999901</v>
      </c>
      <c r="AE49">
        <v>-9.2399999999997803E-2</v>
      </c>
      <c r="AF49">
        <v>8.9990936765173196E-2</v>
      </c>
      <c r="AG49">
        <v>-0.17165149999999901</v>
      </c>
      <c r="AH49">
        <v>0.61223407678497599</v>
      </c>
      <c r="AI49">
        <v>105.503404681399</v>
      </c>
      <c r="AJ49">
        <v>81.638097422384703</v>
      </c>
      <c r="AK49">
        <v>0.642178457228888</v>
      </c>
      <c r="AL49">
        <v>88.1197679552333</v>
      </c>
      <c r="AM49">
        <v>88.185249234121798</v>
      </c>
      <c r="AN49">
        <v>0.99999999387163596</v>
      </c>
    </row>
    <row r="50" spans="1:40" x14ac:dyDescent="0.25">
      <c r="A50" t="str">
        <f>"20190312153852274"</f>
        <v>20190312153852274</v>
      </c>
      <c r="B50" t="str">
        <f>"1552376332265826"</f>
        <v>1552376332265826</v>
      </c>
      <c r="C50" t="s">
        <v>40</v>
      </c>
      <c r="D50">
        <v>4.0603210000000001</v>
      </c>
      <c r="E50">
        <v>0.54308619999999996</v>
      </c>
      <c r="F50" t="s">
        <v>41</v>
      </c>
      <c r="G50">
        <v>-474.62369999999999</v>
      </c>
      <c r="H50">
        <v>0.93925499999999995</v>
      </c>
      <c r="I50">
        <v>367.13369999999998</v>
      </c>
      <c r="J50">
        <v>-475.27449999999999</v>
      </c>
      <c r="K50">
        <v>1.109715</v>
      </c>
      <c r="L50">
        <v>367.22710000000001</v>
      </c>
      <c r="M50">
        <v>0.99993390000000004</v>
      </c>
      <c r="N50">
        <v>0</v>
      </c>
      <c r="O50">
        <v>5.8268030000000002E-3</v>
      </c>
      <c r="P50">
        <v>0.99938289999999996</v>
      </c>
      <c r="Q50">
        <v>2.3317060000000001E-2</v>
      </c>
      <c r="R50">
        <v>-2.6276029999999999E-2</v>
      </c>
      <c r="S50">
        <v>3.0078429999999998</v>
      </c>
      <c r="T50">
        <v>-0.7459055</v>
      </c>
      <c r="U50">
        <v>-0.4040222</v>
      </c>
      <c r="V50">
        <v>3.2093539999999997E-2</v>
      </c>
      <c r="W50">
        <v>3.3234029999999998E-2</v>
      </c>
      <c r="X50">
        <v>0.99893220000000005</v>
      </c>
      <c r="Y50">
        <v>0.13471669999999999</v>
      </c>
      <c r="Z50">
        <v>-1.780195E-2</v>
      </c>
      <c r="AA50">
        <v>0.99072420000000005</v>
      </c>
      <c r="AB50">
        <v>4</v>
      </c>
      <c r="AC50">
        <v>0.65080000000000304</v>
      </c>
      <c r="AD50">
        <v>-0.17046</v>
      </c>
      <c r="AE50">
        <v>-9.3400000000031E-2</v>
      </c>
      <c r="AF50">
        <v>9.1069061263871098E-2</v>
      </c>
      <c r="AG50">
        <v>-0.17046</v>
      </c>
      <c r="AH50">
        <v>0.60928858689674503</v>
      </c>
      <c r="AI50">
        <v>105.46651110333001</v>
      </c>
      <c r="AJ50">
        <v>81.499055170714797</v>
      </c>
      <c r="AK50">
        <v>0.63920479319394596</v>
      </c>
      <c r="AL50">
        <v>88.095479678856805</v>
      </c>
      <c r="AM50">
        <v>88.159842974410395</v>
      </c>
      <c r="AN50">
        <v>1.0000000181283</v>
      </c>
    </row>
    <row r="51" spans="1:40" x14ac:dyDescent="0.25">
      <c r="A51" t="str">
        <f>"20190312153852296"</f>
        <v>20190312153852296</v>
      </c>
      <c r="B51" t="str">
        <f>"1552376332286322"</f>
        <v>1552376332286322</v>
      </c>
      <c r="C51" t="s">
        <v>40</v>
      </c>
      <c r="D51">
        <v>4.145162</v>
      </c>
      <c r="E51">
        <v>0.54339159999999997</v>
      </c>
      <c r="F51" t="s">
        <v>41</v>
      </c>
      <c r="G51">
        <v>-474.59089999999998</v>
      </c>
      <c r="H51">
        <v>0.93964650000000005</v>
      </c>
      <c r="I51">
        <v>367.13420000000002</v>
      </c>
      <c r="J51">
        <v>-475.24239999999998</v>
      </c>
      <c r="K51">
        <v>1.1100099999999999</v>
      </c>
      <c r="L51">
        <v>367.2276</v>
      </c>
      <c r="M51">
        <v>0.99992610000000004</v>
      </c>
      <c r="N51">
        <v>0</v>
      </c>
      <c r="O51">
        <v>5.9722789999999996E-3</v>
      </c>
      <c r="P51">
        <v>0.99941899999999995</v>
      </c>
      <c r="Q51">
        <v>2.2086290000000001E-2</v>
      </c>
      <c r="R51">
        <v>-2.596095E-2</v>
      </c>
      <c r="S51">
        <v>3.0086360000000001</v>
      </c>
      <c r="T51">
        <v>-0.74867259999999902</v>
      </c>
      <c r="U51">
        <v>-0.40655520000000001</v>
      </c>
      <c r="V51">
        <v>3.1926469999999998E-2</v>
      </c>
      <c r="W51">
        <v>3.2673569999999999E-2</v>
      </c>
      <c r="X51">
        <v>0.99895599999999996</v>
      </c>
      <c r="Y51">
        <v>0.13558709999999999</v>
      </c>
      <c r="Z51">
        <v>-1.8002299999999999E-2</v>
      </c>
      <c r="AA51">
        <v>0.99060179999999998</v>
      </c>
      <c r="AB51">
        <v>4</v>
      </c>
      <c r="AC51">
        <v>0.65149999999999797</v>
      </c>
      <c r="AD51">
        <v>-0.170363499999999</v>
      </c>
      <c r="AE51">
        <v>-9.3399999999974101E-2</v>
      </c>
      <c r="AF51">
        <v>9.1180218891629194E-2</v>
      </c>
      <c r="AG51">
        <v>-0.170363499999999</v>
      </c>
      <c r="AH51">
        <v>0.61005549175935003</v>
      </c>
      <c r="AI51">
        <v>105.43968149689699</v>
      </c>
      <c r="AJ51">
        <v>81.499373948185706</v>
      </c>
      <c r="AK51">
        <v>0.63992597812178098</v>
      </c>
      <c r="AL51">
        <v>88.127609042268105</v>
      </c>
      <c r="AM51">
        <v>88.169459366708907</v>
      </c>
      <c r="AN51">
        <v>0.99999997579960198</v>
      </c>
    </row>
    <row r="52" spans="1:40" x14ac:dyDescent="0.25">
      <c r="A52" t="str">
        <f>"20190312153852318"</f>
        <v>20190312153852318</v>
      </c>
      <c r="B52" t="str">
        <f>"1552376332305842"</f>
        <v>1552376332305842</v>
      </c>
      <c r="C52" t="s">
        <v>40</v>
      </c>
      <c r="D52">
        <v>4.181718</v>
      </c>
      <c r="E52">
        <v>0.54376259999999998</v>
      </c>
      <c r="F52" t="s">
        <v>41</v>
      </c>
      <c r="G52">
        <v>-474.5616</v>
      </c>
      <c r="H52">
        <v>0.93927749999999999</v>
      </c>
      <c r="I52">
        <v>367.13490000000002</v>
      </c>
      <c r="J52">
        <v>-475.21359999999999</v>
      </c>
      <c r="K52">
        <v>1.110417</v>
      </c>
      <c r="L52">
        <v>367.22789999999998</v>
      </c>
      <c r="M52">
        <v>0.99990990000000002</v>
      </c>
      <c r="N52">
        <v>0</v>
      </c>
      <c r="O52">
        <v>6.0814880000000003E-3</v>
      </c>
      <c r="P52">
        <v>0.99947269999999999</v>
      </c>
      <c r="Q52">
        <v>2.0175040000000002E-2</v>
      </c>
      <c r="R52">
        <v>-2.544018E-2</v>
      </c>
      <c r="S52">
        <v>3.0078130000000001</v>
      </c>
      <c r="T52">
        <v>-0.75438989999999995</v>
      </c>
      <c r="U52">
        <v>-0.40823359999999997</v>
      </c>
      <c r="V52">
        <v>3.1518919999999999E-2</v>
      </c>
      <c r="W52">
        <v>3.2139319999999999E-2</v>
      </c>
      <c r="X52">
        <v>0.99898629999999999</v>
      </c>
      <c r="Y52">
        <v>0.13618669999999999</v>
      </c>
      <c r="Z52">
        <v>-1.824044E-2</v>
      </c>
      <c r="AA52">
        <v>0.99051520000000004</v>
      </c>
      <c r="AB52">
        <v>4</v>
      </c>
      <c r="AC52">
        <v>0.65199999999998604</v>
      </c>
      <c r="AD52">
        <v>-0.1711395</v>
      </c>
      <c r="AE52">
        <v>-9.2999999999960795E-2</v>
      </c>
      <c r="AF52">
        <v>9.0830460009491201E-2</v>
      </c>
      <c r="AG52">
        <v>-0.1711395</v>
      </c>
      <c r="AH52">
        <v>0.61021797650323994</v>
      </c>
      <c r="AI52">
        <v>105.50402111241</v>
      </c>
      <c r="AJ52">
        <v>81.533730101377401</v>
      </c>
      <c r="AK52">
        <v>0.640238143016718</v>
      </c>
      <c r="AL52">
        <v>88.158235449288497</v>
      </c>
      <c r="AM52">
        <v>88.192865893484907</v>
      </c>
      <c r="AN52">
        <v>1.00000000289785</v>
      </c>
    </row>
    <row r="53" spans="1:40" x14ac:dyDescent="0.25">
      <c r="A53" t="str">
        <f>"20190312153852341"</f>
        <v>20190312153852341</v>
      </c>
      <c r="B53" t="str">
        <f>"1552376332336099"</f>
        <v>1552376332336099</v>
      </c>
      <c r="C53" t="s">
        <v>40</v>
      </c>
      <c r="D53">
        <v>4.1663180000000004</v>
      </c>
      <c r="E53">
        <v>0.544157</v>
      </c>
      <c r="F53" t="s">
        <v>41</v>
      </c>
      <c r="G53">
        <v>-474.5136</v>
      </c>
      <c r="H53">
        <v>0.93299670000000001</v>
      </c>
      <c r="I53">
        <v>367.13229999999999</v>
      </c>
      <c r="J53">
        <v>-475.18549999999999</v>
      </c>
      <c r="K53">
        <v>1.1108129999999901</v>
      </c>
      <c r="L53">
        <v>367.22820000000002</v>
      </c>
      <c r="M53">
        <v>0.99988770000000005</v>
      </c>
      <c r="N53">
        <v>0</v>
      </c>
      <c r="O53">
        <v>6.1692550000000002E-3</v>
      </c>
      <c r="P53">
        <v>0.99952129999999995</v>
      </c>
      <c r="Q53">
        <v>1.852761E-2</v>
      </c>
      <c r="R53">
        <v>-2.478729E-2</v>
      </c>
      <c r="S53">
        <v>3.0065</v>
      </c>
      <c r="T53">
        <v>-0.76222489999999998</v>
      </c>
      <c r="U53">
        <v>-0.40988160000000001</v>
      </c>
      <c r="V53">
        <v>3.0957970000000001E-2</v>
      </c>
      <c r="W53">
        <v>3.2174109999999999E-2</v>
      </c>
      <c r="X53">
        <v>0.99900270000000002</v>
      </c>
      <c r="Y53">
        <v>0.1367516</v>
      </c>
      <c r="Z53">
        <v>-1.8523310000000001E-2</v>
      </c>
      <c r="AA53">
        <v>0.99043210000000004</v>
      </c>
      <c r="AB53">
        <v>3</v>
      </c>
      <c r="AC53">
        <v>0.67189999999999295</v>
      </c>
      <c r="AD53">
        <v>-0.17781629999999901</v>
      </c>
      <c r="AE53">
        <v>-9.5900000000028698E-2</v>
      </c>
      <c r="AF53">
        <v>9.3617786096889602E-2</v>
      </c>
      <c r="AG53">
        <v>-0.17781629999999901</v>
      </c>
      <c r="AH53">
        <v>0.62817759671231599</v>
      </c>
      <c r="AI53">
        <v>105.640910444573</v>
      </c>
      <c r="AJ53">
        <v>81.5235533242288</v>
      </c>
      <c r="AK53">
        <v>0.65953773162013596</v>
      </c>
      <c r="AL53">
        <v>88.1562410590588</v>
      </c>
      <c r="AM53">
        <v>88.225036265492705</v>
      </c>
      <c r="AN53">
        <v>0.99999998193405104</v>
      </c>
    </row>
    <row r="54" spans="1:40" x14ac:dyDescent="0.25">
      <c r="A54" t="str">
        <f>"20190312153852364"</f>
        <v>20190312153852364</v>
      </c>
      <c r="B54" t="str">
        <f>"1552376332356595"</f>
        <v>1552376332356595</v>
      </c>
      <c r="C54" t="s">
        <v>40</v>
      </c>
      <c r="D54">
        <v>4.183808</v>
      </c>
      <c r="E54">
        <v>0.54451419999999995</v>
      </c>
      <c r="F54" t="s">
        <v>41</v>
      </c>
      <c r="G54">
        <v>-474.49079999999998</v>
      </c>
      <c r="H54">
        <v>0.93284920000000005</v>
      </c>
      <c r="I54">
        <v>367.13299999999998</v>
      </c>
      <c r="J54">
        <v>-475.15879999999999</v>
      </c>
      <c r="K54">
        <v>1.110935</v>
      </c>
      <c r="L54">
        <v>367.2285</v>
      </c>
      <c r="M54">
        <v>0.99987539999999997</v>
      </c>
      <c r="N54">
        <v>0</v>
      </c>
      <c r="O54">
        <v>6.2602200000000004E-3</v>
      </c>
      <c r="P54">
        <v>0.99955769999999999</v>
      </c>
      <c r="Q54">
        <v>1.768057E-2</v>
      </c>
      <c r="R54">
        <v>-2.392205E-2</v>
      </c>
      <c r="S54">
        <v>3.0055239999999999</v>
      </c>
      <c r="T54">
        <v>-0.77023969999999997</v>
      </c>
      <c r="U54">
        <v>-0.41027829999999899</v>
      </c>
      <c r="V54">
        <v>3.018533E-2</v>
      </c>
      <c r="W54">
        <v>3.2164099999999897E-2</v>
      </c>
      <c r="X54">
        <v>0.99902670000000005</v>
      </c>
      <c r="Y54">
        <v>0.13691</v>
      </c>
      <c r="Z54">
        <v>-1.8760519999999999E-2</v>
      </c>
      <c r="AA54">
        <v>0.9904058</v>
      </c>
      <c r="AB54">
        <v>3</v>
      </c>
      <c r="AC54">
        <v>0.66800000000000603</v>
      </c>
      <c r="AD54">
        <v>-0.17808579999999899</v>
      </c>
      <c r="AE54">
        <v>-9.5499999999958604E-2</v>
      </c>
      <c r="AF54">
        <v>9.3189763139753107E-2</v>
      </c>
      <c r="AG54">
        <v>-0.17808579999999899</v>
      </c>
      <c r="AH54">
        <v>0.62393234547722598</v>
      </c>
      <c r="AI54">
        <v>105.76402907602299</v>
      </c>
      <c r="AJ54">
        <v>81.505169491850793</v>
      </c>
      <c r="AK54">
        <v>0.65550778473515903</v>
      </c>
      <c r="AL54">
        <v>88.156814948507105</v>
      </c>
      <c r="AM54">
        <v>88.269349559558904</v>
      </c>
      <c r="AN54">
        <v>1.0000000153944499</v>
      </c>
    </row>
    <row r="55" spans="1:40" x14ac:dyDescent="0.25">
      <c r="A55" t="str">
        <f>"20190312153852385"</f>
        <v>20190312153852385</v>
      </c>
      <c r="B55" t="str">
        <f>"1552376332376122"</f>
        <v>1552376332376122</v>
      </c>
      <c r="C55" t="s">
        <v>40</v>
      </c>
      <c r="D55">
        <v>4.1598040000000003</v>
      </c>
      <c r="E55">
        <v>0.54515469999999999</v>
      </c>
      <c r="F55" t="s">
        <v>41</v>
      </c>
      <c r="G55">
        <v>-474.46600000000001</v>
      </c>
      <c r="H55">
        <v>0.93167279999999997</v>
      </c>
      <c r="I55">
        <v>367.13369999999998</v>
      </c>
      <c r="J55">
        <v>-475.12979999999999</v>
      </c>
      <c r="K55">
        <v>1.1107260000000001</v>
      </c>
      <c r="L55">
        <v>367.22879999999998</v>
      </c>
      <c r="M55">
        <v>0.99988149999999998</v>
      </c>
      <c r="N55">
        <v>0</v>
      </c>
      <c r="O55">
        <v>6.3831390000000003E-3</v>
      </c>
      <c r="P55">
        <v>0.99956449999999997</v>
      </c>
      <c r="Q55">
        <v>1.8303860000000002E-2</v>
      </c>
      <c r="R55">
        <v>-2.3156969999999999E-2</v>
      </c>
      <c r="S55">
        <v>3.00528</v>
      </c>
      <c r="T55">
        <v>-0.77780280000000002</v>
      </c>
      <c r="U55">
        <v>-0.40988160000000001</v>
      </c>
      <c r="V55">
        <v>2.9541270000000001E-2</v>
      </c>
      <c r="W55">
        <v>3.2307549999999997E-2</v>
      </c>
      <c r="X55">
        <v>0.99904130000000002</v>
      </c>
      <c r="Y55">
        <v>0.1368238</v>
      </c>
      <c r="Z55">
        <v>-1.8960830000000001E-2</v>
      </c>
      <c r="AA55">
        <v>0.99041389999999996</v>
      </c>
      <c r="AB55">
        <v>2</v>
      </c>
      <c r="AC55">
        <v>0.66379999999997996</v>
      </c>
      <c r="AD55">
        <v>-0.1790532</v>
      </c>
      <c r="AE55">
        <v>-9.51000000000021E-2</v>
      </c>
      <c r="AF55">
        <v>9.2724693778943296E-2</v>
      </c>
      <c r="AG55">
        <v>-0.1790532</v>
      </c>
      <c r="AH55">
        <v>0.61904394025896003</v>
      </c>
      <c r="AI55">
        <v>105.963197354548</v>
      </c>
      <c r="AJ55">
        <v>81.481173918672198</v>
      </c>
      <c r="AK55">
        <v>0.65105554082426698</v>
      </c>
      <c r="AL55">
        <v>88.148591551536001</v>
      </c>
      <c r="AM55">
        <v>88.306279191105403</v>
      </c>
      <c r="AN55">
        <v>0.99999999176295196</v>
      </c>
    </row>
    <row r="56" spans="1:40" x14ac:dyDescent="0.25">
      <c r="A56" t="str">
        <f>"20190312153852408"</f>
        <v>20190312153852408</v>
      </c>
      <c r="B56" t="str">
        <f>"1552376332395638"</f>
        <v>1552376332395638</v>
      </c>
      <c r="C56" t="s">
        <v>40</v>
      </c>
      <c r="D56">
        <v>4.1954079999999996</v>
      </c>
      <c r="E56">
        <v>0.54569250000000002</v>
      </c>
      <c r="F56" t="s">
        <v>41</v>
      </c>
      <c r="G56">
        <v>-474.43880000000001</v>
      </c>
      <c r="H56">
        <v>0.93100850000000002</v>
      </c>
      <c r="I56">
        <v>367.13350000000003</v>
      </c>
      <c r="J56">
        <v>-475.09890000000001</v>
      </c>
      <c r="K56">
        <v>1.110409</v>
      </c>
      <c r="L56">
        <v>367.22910000000002</v>
      </c>
      <c r="M56">
        <v>0.99989499999999998</v>
      </c>
      <c r="N56">
        <v>0</v>
      </c>
      <c r="O56">
        <v>6.5470709999999998E-3</v>
      </c>
      <c r="P56">
        <v>0.99953899999999996</v>
      </c>
      <c r="Q56">
        <v>1.980525E-2</v>
      </c>
      <c r="R56">
        <v>-2.30133E-2</v>
      </c>
      <c r="S56">
        <v>3.0060730000000002</v>
      </c>
      <c r="T56">
        <v>-0.78212150000000003</v>
      </c>
      <c r="U56">
        <v>-0.4126282</v>
      </c>
      <c r="V56">
        <v>2.9558580000000001E-2</v>
      </c>
      <c r="W56">
        <v>3.2725049999999999E-2</v>
      </c>
      <c r="X56">
        <v>0.9990272</v>
      </c>
      <c r="Y56">
        <v>0.13775570000000001</v>
      </c>
      <c r="Z56">
        <v>-1.9217290000000001E-2</v>
      </c>
      <c r="AA56">
        <v>0.99027980000000004</v>
      </c>
      <c r="AB56">
        <v>3</v>
      </c>
      <c r="AC56">
        <v>0.66009999999999902</v>
      </c>
      <c r="AD56">
        <v>-0.17940049999999999</v>
      </c>
      <c r="AE56">
        <v>-9.5599999999990304E-2</v>
      </c>
      <c r="AF56">
        <v>9.3178936277337907E-2</v>
      </c>
      <c r="AG56">
        <v>-0.17940049999999999</v>
      </c>
      <c r="AH56">
        <v>0.61496948774453197</v>
      </c>
      <c r="AI56">
        <v>106.089176689103</v>
      </c>
      <c r="AJ56">
        <v>81.384193234751905</v>
      </c>
      <c r="AK56">
        <v>0.64734405413411999</v>
      </c>
      <c r="AL56">
        <v>88.124657908512006</v>
      </c>
      <c r="AM56">
        <v>88.305263412417503</v>
      </c>
      <c r="AN56">
        <v>0.99999999244447901</v>
      </c>
    </row>
    <row r="57" spans="1:40" x14ac:dyDescent="0.25">
      <c r="A57" t="str">
        <f>"20190312153852429"</f>
        <v>20190312153852429</v>
      </c>
      <c r="B57" t="str">
        <f>"1552376332425890"</f>
        <v>1552376332425890</v>
      </c>
      <c r="C57" t="s">
        <v>40</v>
      </c>
      <c r="D57">
        <v>4.1626519999999996</v>
      </c>
      <c r="E57">
        <v>0.54625990000000002</v>
      </c>
      <c r="F57" t="s">
        <v>41</v>
      </c>
      <c r="G57">
        <v>-474.4085</v>
      </c>
      <c r="H57">
        <v>0.9317529</v>
      </c>
      <c r="I57">
        <v>367.13339999999999</v>
      </c>
      <c r="J57">
        <v>-475.06560000000002</v>
      </c>
      <c r="K57">
        <v>1.110088</v>
      </c>
      <c r="L57">
        <v>367.22949999999997</v>
      </c>
      <c r="M57">
        <v>0.99991010000000002</v>
      </c>
      <c r="N57">
        <v>0</v>
      </c>
      <c r="O57">
        <v>6.7589709999999999E-3</v>
      </c>
      <c r="P57">
        <v>0.99951319999999999</v>
      </c>
      <c r="Q57">
        <v>2.1006730000000001E-2</v>
      </c>
      <c r="R57">
        <v>-2.3076260000000001E-2</v>
      </c>
      <c r="S57">
        <v>3.007263</v>
      </c>
      <c r="T57">
        <v>-0.77829389999999998</v>
      </c>
      <c r="U57">
        <v>-0.4161377</v>
      </c>
      <c r="V57">
        <v>2.9829959999999999E-2</v>
      </c>
      <c r="W57">
        <v>3.2594459999999999E-2</v>
      </c>
      <c r="X57">
        <v>0.99902340000000001</v>
      </c>
      <c r="Y57">
        <v>0.1390477</v>
      </c>
      <c r="Z57">
        <v>-1.9334939999999998E-2</v>
      </c>
      <c r="AA57">
        <v>0.99009689999999995</v>
      </c>
      <c r="AB57">
        <v>3</v>
      </c>
      <c r="AC57">
        <v>0.65710000000001401</v>
      </c>
      <c r="AD57">
        <v>-0.178335099999999</v>
      </c>
      <c r="AE57">
        <v>-9.6099999999978494E-2</v>
      </c>
      <c r="AF57">
        <v>9.3776800483307998E-2</v>
      </c>
      <c r="AG57">
        <v>-0.178335099999999</v>
      </c>
      <c r="AH57">
        <v>0.61228134078557594</v>
      </c>
      <c r="AI57">
        <v>106.061430695073</v>
      </c>
      <c r="AJ57">
        <v>81.292265595022798</v>
      </c>
      <c r="AK57">
        <v>0.64458198584437498</v>
      </c>
      <c r="AL57">
        <v>88.132144152702296</v>
      </c>
      <c r="AM57">
        <v>88.289706579777501</v>
      </c>
      <c r="AN57">
        <v>0.99999998954192604</v>
      </c>
    </row>
    <row r="58" spans="1:40" x14ac:dyDescent="0.25">
      <c r="A58" t="str">
        <f>"20190312153852452"</f>
        <v>20190312153852452</v>
      </c>
      <c r="B58" t="str">
        <f>"1552376332446387"</f>
        <v>1552376332446387</v>
      </c>
      <c r="C58" t="s">
        <v>40</v>
      </c>
      <c r="D58">
        <v>4.2463449999999998</v>
      </c>
      <c r="E58">
        <v>0.54668609999999995</v>
      </c>
      <c r="F58" t="s">
        <v>41</v>
      </c>
      <c r="G58">
        <v>-474.37630000000001</v>
      </c>
      <c r="H58">
        <v>0.93274120000000005</v>
      </c>
      <c r="I58">
        <v>367.13249999999999</v>
      </c>
      <c r="J58">
        <v>-475.0274</v>
      </c>
      <c r="K58">
        <v>1.10982</v>
      </c>
      <c r="L58">
        <v>367.23</v>
      </c>
      <c r="M58">
        <v>0.99992309999999995</v>
      </c>
      <c r="N58">
        <v>0</v>
      </c>
      <c r="O58">
        <v>7.0260540000000003E-3</v>
      </c>
      <c r="P58">
        <v>0.99948139999999996</v>
      </c>
      <c r="Q58">
        <v>2.2310730000000001E-2</v>
      </c>
      <c r="R58">
        <v>-2.3226449999999999E-2</v>
      </c>
      <c r="S58">
        <v>3.008057</v>
      </c>
      <c r="T58">
        <v>-0.77413089999999996</v>
      </c>
      <c r="U58">
        <v>-0.420929</v>
      </c>
      <c r="V58">
        <v>3.0244420000000001E-2</v>
      </c>
      <c r="W58">
        <v>3.2533449999999998E-2</v>
      </c>
      <c r="X58">
        <v>0.99901289999999998</v>
      </c>
      <c r="Y58">
        <v>0.14081150000000001</v>
      </c>
      <c r="Z58">
        <v>-1.951748E-2</v>
      </c>
      <c r="AA58">
        <v>0.98984399999999995</v>
      </c>
      <c r="AB58">
        <v>3</v>
      </c>
      <c r="AC58">
        <v>0.65109999999998502</v>
      </c>
      <c r="AD58">
        <v>-0.17707879999999901</v>
      </c>
      <c r="AE58">
        <v>-9.7500000000024997E-2</v>
      </c>
      <c r="AF58">
        <v>9.5186273730041904E-2</v>
      </c>
      <c r="AG58">
        <v>-0.17707879999999901</v>
      </c>
      <c r="AH58">
        <v>0.60652032262787403</v>
      </c>
      <c r="AI58">
        <v>106.089054228647</v>
      </c>
      <c r="AJ58">
        <v>81.080847579011007</v>
      </c>
      <c r="AK58">
        <v>0.63897122773773696</v>
      </c>
      <c r="AL58">
        <v>88.135641572382397</v>
      </c>
      <c r="AM58">
        <v>88.265939811867696</v>
      </c>
      <c r="AN58">
        <v>0.99999996233822297</v>
      </c>
    </row>
    <row r="59" spans="1:40" x14ac:dyDescent="0.25">
      <c r="A59" t="str">
        <f>"20190312153852475"</f>
        <v>20190312153852475</v>
      </c>
      <c r="B59" t="str">
        <f>"1552376332465906"</f>
        <v>1552376332465906</v>
      </c>
      <c r="C59" t="s">
        <v>40</v>
      </c>
      <c r="D59">
        <v>4.2675400000000003</v>
      </c>
      <c r="E59">
        <v>0.5471066</v>
      </c>
      <c r="F59" t="s">
        <v>41</v>
      </c>
      <c r="G59">
        <v>-474.34210000000002</v>
      </c>
      <c r="H59">
        <v>0.93406449999999996</v>
      </c>
      <c r="I59">
        <v>367.13319999999999</v>
      </c>
      <c r="J59">
        <v>-474.98939999999999</v>
      </c>
      <c r="K59">
        <v>1.1098239999999999</v>
      </c>
      <c r="L59">
        <v>367.23059999999998</v>
      </c>
      <c r="M59">
        <v>0.9999266</v>
      </c>
      <c r="N59">
        <v>0</v>
      </c>
      <c r="O59">
        <v>7.2286290000000003E-3</v>
      </c>
      <c r="P59">
        <v>0.99946179999999996</v>
      </c>
      <c r="Q59">
        <v>2.2967149999999999E-2</v>
      </c>
      <c r="R59">
        <v>-2.3433869999999999E-2</v>
      </c>
      <c r="S59">
        <v>3.0089419999999998</v>
      </c>
      <c r="T59">
        <v>-0.77172600000000002</v>
      </c>
      <c r="U59">
        <v>-0.4245911</v>
      </c>
      <c r="V59">
        <v>3.0653369999999999E-2</v>
      </c>
      <c r="W59">
        <v>3.2704549999999999E-2</v>
      </c>
      <c r="X59">
        <v>0.99899490000000002</v>
      </c>
      <c r="Y59">
        <v>0.14213719999999999</v>
      </c>
      <c r="Z59">
        <v>-1.966907E-2</v>
      </c>
      <c r="AA59">
        <v>0.98965159999999996</v>
      </c>
      <c r="AB59">
        <v>4</v>
      </c>
      <c r="AC59">
        <v>0.64729999999997201</v>
      </c>
      <c r="AD59">
        <v>-0.17575949999999901</v>
      </c>
      <c r="AE59">
        <v>-9.73999999999932E-2</v>
      </c>
      <c r="AF59">
        <v>9.5212460053017797E-2</v>
      </c>
      <c r="AG59">
        <v>-0.17575949999999901</v>
      </c>
      <c r="AH59">
        <v>0.60309879622219897</v>
      </c>
      <c r="AI59">
        <v>106.0591082725</v>
      </c>
      <c r="AJ59">
        <v>81.0286400798676</v>
      </c>
      <c r="AK59">
        <v>0.63536207975788295</v>
      </c>
      <c r="AL59">
        <v>88.125833140439397</v>
      </c>
      <c r="AM59">
        <v>88.2424756726667</v>
      </c>
      <c r="AN59">
        <v>1.0000000134545299</v>
      </c>
    </row>
    <row r="60" spans="1:40" x14ac:dyDescent="0.25">
      <c r="A60" t="str">
        <f>"20190312153852497"</f>
        <v>20190312153852497</v>
      </c>
      <c r="B60" t="str">
        <f>"1552376332486403"</f>
        <v>1552376332486403</v>
      </c>
      <c r="C60" t="s">
        <v>40</v>
      </c>
      <c r="D60">
        <v>4.3427230000000003</v>
      </c>
      <c r="E60">
        <v>0.547440699999999</v>
      </c>
      <c r="F60" t="s">
        <v>41</v>
      </c>
      <c r="G60">
        <v>-474.30889999999999</v>
      </c>
      <c r="H60">
        <v>0.93565259999999995</v>
      </c>
      <c r="I60">
        <v>367.13310000000001</v>
      </c>
      <c r="J60">
        <v>-474.9581</v>
      </c>
      <c r="K60">
        <v>1.1101460000000001</v>
      </c>
      <c r="L60">
        <v>367.23099999999999</v>
      </c>
      <c r="M60">
        <v>0.99991680000000005</v>
      </c>
      <c r="N60">
        <v>0</v>
      </c>
      <c r="O60">
        <v>7.3560569999999896E-3</v>
      </c>
      <c r="P60">
        <v>0.99945779999999995</v>
      </c>
      <c r="Q60">
        <v>2.2773140000000001E-2</v>
      </c>
      <c r="R60">
        <v>-2.3779049999999999E-2</v>
      </c>
      <c r="S60">
        <v>3.0093079999999999</v>
      </c>
      <c r="T60">
        <v>-0.77057410000000004</v>
      </c>
      <c r="U60">
        <v>-0.4290466</v>
      </c>
      <c r="V60">
        <v>3.1128369999999999E-2</v>
      </c>
      <c r="W60">
        <v>3.3366029999999998E-2</v>
      </c>
      <c r="X60">
        <v>0.99895829999999997</v>
      </c>
      <c r="Y60">
        <v>0.1436472</v>
      </c>
      <c r="Z60">
        <v>-1.9857730000000001E-2</v>
      </c>
      <c r="AA60">
        <v>0.98942969999999997</v>
      </c>
      <c r="AB60">
        <v>4</v>
      </c>
      <c r="AC60">
        <v>0.64920000000000699</v>
      </c>
      <c r="AD60">
        <v>-0.17449339999999899</v>
      </c>
      <c r="AE60">
        <v>-9.7899999999981405E-2</v>
      </c>
      <c r="AF60">
        <v>9.5899098254170798E-2</v>
      </c>
      <c r="AG60">
        <v>-0.17449339999999899</v>
      </c>
      <c r="AH60">
        <v>0.60567860929133999</v>
      </c>
      <c r="AI60">
        <v>105.883756272756</v>
      </c>
      <c r="AJ60">
        <v>81.002857952457504</v>
      </c>
      <c r="AK60">
        <v>0.63756659373167801</v>
      </c>
      <c r="AL60">
        <v>88.087912359213703</v>
      </c>
      <c r="AM60">
        <v>88.215193472597505</v>
      </c>
      <c r="AN60">
        <v>0.99999997625785297</v>
      </c>
    </row>
    <row r="61" spans="1:40" x14ac:dyDescent="0.25">
      <c r="A61" t="str">
        <f>"20190312153852519"</f>
        <v>20190312153852519</v>
      </c>
      <c r="B61" t="str">
        <f>"1552376332515682"</f>
        <v>1552376332515682</v>
      </c>
      <c r="C61" t="s">
        <v>40</v>
      </c>
      <c r="D61">
        <v>4.3400410000000003</v>
      </c>
      <c r="E61">
        <v>0.54788909999999902</v>
      </c>
      <c r="F61" t="s">
        <v>41</v>
      </c>
      <c r="G61">
        <v>-474.27960000000002</v>
      </c>
      <c r="H61">
        <v>0.93607399999999996</v>
      </c>
      <c r="I61">
        <v>367.13330000000002</v>
      </c>
      <c r="J61">
        <v>-474.92970000000003</v>
      </c>
      <c r="K61">
        <v>1.1105529999999999</v>
      </c>
      <c r="L61">
        <v>367.23140000000001</v>
      </c>
      <c r="M61">
        <v>0.99989910000000004</v>
      </c>
      <c r="N61">
        <v>0</v>
      </c>
      <c r="O61">
        <v>7.4529399999999999E-3</v>
      </c>
      <c r="P61">
        <v>0.99948700000000001</v>
      </c>
      <c r="Q61">
        <v>2.1636800000000001E-2</v>
      </c>
      <c r="R61">
        <v>-2.3609149999999999E-2</v>
      </c>
      <c r="S61">
        <v>3.008972</v>
      </c>
      <c r="T61">
        <v>-0.7719975</v>
      </c>
      <c r="U61">
        <v>-0.43246459999999998</v>
      </c>
      <c r="V61">
        <v>3.1059340000000001E-2</v>
      </c>
      <c r="W61">
        <v>3.371917E-2</v>
      </c>
      <c r="X61">
        <v>0.99894859999999996</v>
      </c>
      <c r="Y61">
        <v>0.1448026</v>
      </c>
      <c r="Z61">
        <v>-2.0063399999999999E-2</v>
      </c>
      <c r="AA61">
        <v>0.98925719999999995</v>
      </c>
      <c r="AB61">
        <v>4</v>
      </c>
      <c r="AC61">
        <v>0.650100000000009</v>
      </c>
      <c r="AD61">
        <v>-0.174479</v>
      </c>
      <c r="AE61">
        <v>-9.8099999999988002E-2</v>
      </c>
      <c r="AF61">
        <v>9.6169708996529504E-2</v>
      </c>
      <c r="AG61">
        <v>-0.174479</v>
      </c>
      <c r="AH61">
        <v>0.60662699915559004</v>
      </c>
      <c r="AI61">
        <v>105.85846881044</v>
      </c>
      <c r="AJ61">
        <v>80.991760133900499</v>
      </c>
      <c r="AK61">
        <v>0.63850438563411105</v>
      </c>
      <c r="AL61">
        <v>88.0676675524101</v>
      </c>
      <c r="AM61">
        <v>88.219131611116893</v>
      </c>
      <c r="AN61">
        <v>0.99999998523434197</v>
      </c>
    </row>
    <row r="62" spans="1:40" x14ac:dyDescent="0.25">
      <c r="A62" t="str">
        <f>"20190312153852542"</f>
        <v>20190312153852542</v>
      </c>
      <c r="B62" t="str">
        <f>"1552376332536179"</f>
        <v>1552376332536179</v>
      </c>
      <c r="C62" t="s">
        <v>40</v>
      </c>
      <c r="D62">
        <v>4.4315089999999904</v>
      </c>
      <c r="E62">
        <v>0.54834819999999995</v>
      </c>
      <c r="F62" t="s">
        <v>41</v>
      </c>
      <c r="G62">
        <v>-474.2319</v>
      </c>
      <c r="H62">
        <v>0.93034600000000001</v>
      </c>
      <c r="I62">
        <v>367.13029999999998</v>
      </c>
      <c r="J62">
        <v>-474.90230000000003</v>
      </c>
      <c r="K62">
        <v>1.1109169999999999</v>
      </c>
      <c r="L62">
        <v>367.23180000000002</v>
      </c>
      <c r="M62">
        <v>0.99987669999999995</v>
      </c>
      <c r="N62">
        <v>0</v>
      </c>
      <c r="O62">
        <v>7.5347019999999999E-3</v>
      </c>
      <c r="P62">
        <v>0.99951179999999995</v>
      </c>
      <c r="Q62">
        <v>2.064324E-2</v>
      </c>
      <c r="R62">
        <v>-2.3455569999999999E-2</v>
      </c>
      <c r="S62">
        <v>3.0080870000000002</v>
      </c>
      <c r="T62">
        <v>-0.77700999999999998</v>
      </c>
      <c r="U62">
        <v>-0.43515009999999998</v>
      </c>
      <c r="V62">
        <v>3.099145E-2</v>
      </c>
      <c r="W62">
        <v>3.4404459999999998E-2</v>
      </c>
      <c r="X62">
        <v>0.99892740000000002</v>
      </c>
      <c r="Y62">
        <v>0.1456943</v>
      </c>
      <c r="Z62">
        <v>-2.032755E-2</v>
      </c>
      <c r="AA62">
        <v>0.98912080000000002</v>
      </c>
      <c r="AB62">
        <v>3</v>
      </c>
      <c r="AC62">
        <v>0.67040000000002897</v>
      </c>
      <c r="AD62">
        <v>-0.18057100000000001</v>
      </c>
      <c r="AE62">
        <v>-0.101500000000044</v>
      </c>
      <c r="AF62">
        <v>9.9492580226037602E-2</v>
      </c>
      <c r="AG62">
        <v>-0.18057100000000001</v>
      </c>
      <c r="AH62">
        <v>0.62527027007734204</v>
      </c>
      <c r="AI62">
        <v>105.91819173438</v>
      </c>
      <c r="AJ62">
        <v>80.958929558413004</v>
      </c>
      <c r="AK62">
        <v>0.65838254093165804</v>
      </c>
      <c r="AL62">
        <v>88.028380644387099</v>
      </c>
      <c r="AM62">
        <v>88.222984074977902</v>
      </c>
      <c r="AN62">
        <v>1.00000004365587</v>
      </c>
    </row>
    <row r="63" spans="1:40" x14ac:dyDescent="0.25">
      <c r="A63" t="str">
        <f>"20190312153852555"</f>
        <v>20190312153852555</v>
      </c>
      <c r="B63" t="str">
        <f>"1552376332545939"</f>
        <v>1552376332545939</v>
      </c>
      <c r="C63" t="s">
        <v>40</v>
      </c>
      <c r="D63">
        <v>4.4714549999999997</v>
      </c>
      <c r="E63">
        <v>0.54852919999999905</v>
      </c>
      <c r="F63" t="s">
        <v>41</v>
      </c>
      <c r="G63">
        <v>-474.209</v>
      </c>
      <c r="H63">
        <v>0.93053969999999997</v>
      </c>
      <c r="I63">
        <v>367.13029999999998</v>
      </c>
      <c r="J63">
        <v>-474.8861</v>
      </c>
      <c r="K63">
        <v>1.1110549999999999</v>
      </c>
      <c r="L63">
        <v>367.2319</v>
      </c>
      <c r="M63">
        <v>0.99986489999999995</v>
      </c>
      <c r="N63">
        <v>0</v>
      </c>
      <c r="O63">
        <v>7.5895419999999899E-3</v>
      </c>
      <c r="P63">
        <v>0.99952580000000002</v>
      </c>
      <c r="Q63">
        <v>2.0327629999999999E-2</v>
      </c>
      <c r="R63">
        <v>-2.3137250000000002E-2</v>
      </c>
      <c r="S63">
        <v>3.0073240000000001</v>
      </c>
      <c r="T63">
        <v>-0.78262259999999995</v>
      </c>
      <c r="U63">
        <v>-0.43869019999999997</v>
      </c>
      <c r="V63">
        <v>3.072948E-2</v>
      </c>
      <c r="W63">
        <v>3.4894359999999999E-2</v>
      </c>
      <c r="X63">
        <v>0.99891850000000004</v>
      </c>
      <c r="Y63">
        <v>0.14681420000000001</v>
      </c>
      <c r="Z63">
        <v>-2.0629680000000001E-2</v>
      </c>
      <c r="AA63">
        <v>0.98894890000000002</v>
      </c>
      <c r="AB63">
        <v>3</v>
      </c>
      <c r="AC63">
        <v>0.67709999999999504</v>
      </c>
      <c r="AD63">
        <v>-0.18051529999999999</v>
      </c>
      <c r="AE63">
        <v>-0.10160000000001899</v>
      </c>
      <c r="AF63">
        <v>9.9799361476902895E-2</v>
      </c>
      <c r="AG63">
        <v>-0.18051529999999999</v>
      </c>
      <c r="AH63">
        <v>0.63235386999783405</v>
      </c>
      <c r="AI63">
        <v>105.747153782333</v>
      </c>
      <c r="AJ63">
        <v>81.031438776577801</v>
      </c>
      <c r="AK63">
        <v>0.66514442265310003</v>
      </c>
      <c r="AL63">
        <v>88.0002945777089</v>
      </c>
      <c r="AM63">
        <v>88.237979950845499</v>
      </c>
      <c r="AN63">
        <v>1.0000000434715599</v>
      </c>
    </row>
    <row r="64" spans="1:40" x14ac:dyDescent="0.25">
      <c r="A64" t="str">
        <f>"20190312153852578"</f>
        <v>20190312153852578</v>
      </c>
      <c r="B64" t="str">
        <f>"1552376332566435"</f>
        <v>1552376332566435</v>
      </c>
      <c r="C64" t="s">
        <v>40</v>
      </c>
      <c r="D64">
        <v>4.4219290000000004</v>
      </c>
      <c r="E64">
        <v>0.5488324</v>
      </c>
      <c r="F64" t="s">
        <v>41</v>
      </c>
      <c r="G64">
        <v>-474.20749999999998</v>
      </c>
      <c r="H64">
        <v>0.93402770000000002</v>
      </c>
      <c r="I64">
        <v>367.13249999999999</v>
      </c>
      <c r="J64">
        <v>-474.85950000000003</v>
      </c>
      <c r="K64">
        <v>1.1109070000000001</v>
      </c>
      <c r="L64">
        <v>367.23230000000001</v>
      </c>
      <c r="M64">
        <v>0.99986649999999999</v>
      </c>
      <c r="N64">
        <v>0</v>
      </c>
      <c r="O64">
        <v>7.6971729999999999E-3</v>
      </c>
      <c r="P64">
        <v>0.99951900000000005</v>
      </c>
      <c r="Q64">
        <v>2.14413E-2</v>
      </c>
      <c r="R64">
        <v>-2.2412129999999999E-2</v>
      </c>
      <c r="S64">
        <v>3.0072019999999999</v>
      </c>
      <c r="T64">
        <v>-0.7846417</v>
      </c>
      <c r="U64">
        <v>-0.43914789999999998</v>
      </c>
      <c r="V64">
        <v>3.011076E-2</v>
      </c>
      <c r="W64">
        <v>3.5841730000000002E-2</v>
      </c>
      <c r="X64">
        <v>0.99890380000000001</v>
      </c>
      <c r="Y64">
        <v>0.1470369</v>
      </c>
      <c r="Z64">
        <v>-2.0737729999999999E-2</v>
      </c>
      <c r="AA64">
        <v>0.98891359999999995</v>
      </c>
      <c r="AB64">
        <v>3</v>
      </c>
      <c r="AC64">
        <v>0.65200000000004299</v>
      </c>
      <c r="AD64">
        <v>-0.17687929999999899</v>
      </c>
      <c r="AE64">
        <v>-9.9800000000016098E-2</v>
      </c>
      <c r="AF64">
        <v>9.7784267490909002E-2</v>
      </c>
      <c r="AG64">
        <v>-0.17687929999999899</v>
      </c>
      <c r="AH64">
        <v>0.607524197333287</v>
      </c>
      <c r="AI64">
        <v>106.03719914157701</v>
      </c>
      <c r="AJ64">
        <v>80.856360041839494</v>
      </c>
      <c r="AK64">
        <v>0.64026065011265398</v>
      </c>
      <c r="AL64">
        <v>87.945980296181602</v>
      </c>
      <c r="AM64">
        <v>88.273410101111907</v>
      </c>
      <c r="AN64">
        <v>1.0000000445657999</v>
      </c>
    </row>
    <row r="65" spans="1:40" x14ac:dyDescent="0.25">
      <c r="A65" t="str">
        <f>"20190312153852598"</f>
        <v>20190312153852598</v>
      </c>
      <c r="B65" t="str">
        <f>"1552376332585954"</f>
        <v>1552376332585954</v>
      </c>
      <c r="C65" t="s">
        <v>40</v>
      </c>
      <c r="D65">
        <v>4.5153689999999997</v>
      </c>
      <c r="E65">
        <v>0.54896859999999903</v>
      </c>
      <c r="F65" t="s">
        <v>41</v>
      </c>
      <c r="G65">
        <v>-474.15719999999999</v>
      </c>
      <c r="H65">
        <v>0.92819070000000004</v>
      </c>
      <c r="I65">
        <v>367.12950000000001</v>
      </c>
      <c r="J65">
        <v>-474.83100000000002</v>
      </c>
      <c r="K65">
        <v>1.1106370000000001</v>
      </c>
      <c r="L65">
        <v>367.23259999999999</v>
      </c>
      <c r="M65">
        <v>0.99987669999999995</v>
      </c>
      <c r="N65">
        <v>0</v>
      </c>
      <c r="O65">
        <v>7.8388920000000001E-3</v>
      </c>
      <c r="P65">
        <v>0.99949900000000003</v>
      </c>
      <c r="Q65">
        <v>2.3122190000000001E-2</v>
      </c>
      <c r="R65">
        <v>-2.1618410000000001E-2</v>
      </c>
      <c r="S65">
        <v>3.008362</v>
      </c>
      <c r="T65">
        <v>-0.78286929999999999</v>
      </c>
      <c r="U65">
        <v>-0.43933109999999997</v>
      </c>
      <c r="V65">
        <v>2.9455450000000001E-2</v>
      </c>
      <c r="W65">
        <v>3.6716140000000001E-2</v>
      </c>
      <c r="X65">
        <v>0.99889150000000004</v>
      </c>
      <c r="Y65">
        <v>0.14719779999999999</v>
      </c>
      <c r="Z65">
        <v>-2.0741220000000001E-2</v>
      </c>
      <c r="AA65">
        <v>0.98888960000000004</v>
      </c>
      <c r="AB65">
        <v>3</v>
      </c>
      <c r="AC65">
        <v>0.67379999999997098</v>
      </c>
      <c r="AD65">
        <v>-0.18244630000000001</v>
      </c>
      <c r="AE65">
        <v>-0.103099999999983</v>
      </c>
      <c r="AF65">
        <v>0.101133905755526</v>
      </c>
      <c r="AG65">
        <v>-0.18244630000000001</v>
      </c>
      <c r="AH65">
        <v>0.62798221359601403</v>
      </c>
      <c r="AI65">
        <v>106.00458664743201</v>
      </c>
      <c r="AJ65">
        <v>80.851307672836896</v>
      </c>
      <c r="AK65">
        <v>0.66172228303874403</v>
      </c>
      <c r="AL65">
        <v>87.895847121434997</v>
      </c>
      <c r="AM65">
        <v>88.310943629452893</v>
      </c>
      <c r="AN65">
        <v>0.99999996362172505</v>
      </c>
    </row>
    <row r="66" spans="1:40" x14ac:dyDescent="0.25">
      <c r="A66" t="str">
        <f>"20190312153852611"</f>
        <v>20190312153852611</v>
      </c>
      <c r="B66" t="str">
        <f>"1552376332606451"</f>
        <v>1552376332606451</v>
      </c>
      <c r="C66" t="s">
        <v>40</v>
      </c>
      <c r="D66">
        <v>4.4531549999999998</v>
      </c>
      <c r="E66">
        <v>0.55819359999999996</v>
      </c>
      <c r="F66" t="s">
        <v>41</v>
      </c>
      <c r="G66">
        <v>-474.13</v>
      </c>
      <c r="H66">
        <v>0.92921880000000001</v>
      </c>
      <c r="I66">
        <v>367.13040000000001</v>
      </c>
      <c r="J66">
        <v>-474.81270000000001</v>
      </c>
      <c r="K66">
        <v>1.110563</v>
      </c>
      <c r="L66">
        <v>367.2328</v>
      </c>
      <c r="M66">
        <v>0.99987969999999904</v>
      </c>
      <c r="N66">
        <v>0</v>
      </c>
      <c r="O66">
        <v>7.9325880000000008E-3</v>
      </c>
      <c r="P66">
        <v>0.99949469999999996</v>
      </c>
      <c r="Q66">
        <v>2.3805130000000001E-2</v>
      </c>
      <c r="R66">
        <v>-2.1071289999999999E-2</v>
      </c>
      <c r="S66">
        <v>3.0100099999999999</v>
      </c>
      <c r="T66">
        <v>-0.77903699999999998</v>
      </c>
      <c r="U66">
        <v>-0.43817139999999999</v>
      </c>
      <c r="V66">
        <v>2.9000410000000001E-2</v>
      </c>
      <c r="W66">
        <v>3.7130709999999997E-2</v>
      </c>
      <c r="X66">
        <v>0.99888949999999999</v>
      </c>
      <c r="Y66">
        <v>0.14690010000000001</v>
      </c>
      <c r="Z66">
        <v>-2.0618620000000001E-2</v>
      </c>
      <c r="AA66">
        <v>0.98893640000000005</v>
      </c>
      <c r="AB66">
        <v>3</v>
      </c>
      <c r="AC66">
        <v>0.68270000000001096</v>
      </c>
      <c r="AD66">
        <v>-0.18134420000000001</v>
      </c>
      <c r="AE66">
        <v>-0.102399999999988</v>
      </c>
      <c r="AF66">
        <v>0.10085337576872699</v>
      </c>
      <c r="AG66">
        <v>-0.18134420000000001</v>
      </c>
      <c r="AH66">
        <v>0.63785078802898898</v>
      </c>
      <c r="AI66">
        <v>105.68561771270799</v>
      </c>
      <c r="AJ66">
        <v>81.015095823035395</v>
      </c>
      <c r="AK66">
        <v>0.67075386697863304</v>
      </c>
      <c r="AL66">
        <v>87.872077821355603</v>
      </c>
      <c r="AM66">
        <v>88.337018777888801</v>
      </c>
      <c r="AN66">
        <v>0.99999997330776003</v>
      </c>
    </row>
    <row r="67" spans="1:40" x14ac:dyDescent="0.25">
      <c r="A67" t="str">
        <f>"20190312153852624"</f>
        <v>20190312153852624</v>
      </c>
      <c r="B67" t="str">
        <f>"1552376332616211"</f>
        <v>1552376332616211</v>
      </c>
      <c r="C67" t="s">
        <v>40</v>
      </c>
      <c r="D67">
        <v>4.4756980000000004</v>
      </c>
      <c r="E67">
        <v>0.55695469999999903</v>
      </c>
      <c r="F67" t="s">
        <v>41</v>
      </c>
      <c r="G67">
        <v>-474.13869999999997</v>
      </c>
      <c r="H67">
        <v>0.90860300000000005</v>
      </c>
      <c r="I67">
        <v>367.11900000000003</v>
      </c>
      <c r="J67">
        <v>-474.7946</v>
      </c>
      <c r="K67">
        <v>1.110444</v>
      </c>
      <c r="L67">
        <v>367.23309999999998</v>
      </c>
      <c r="M67">
        <v>0.99988480000000002</v>
      </c>
      <c r="N67">
        <v>0</v>
      </c>
      <c r="O67">
        <v>8.0358010000000004E-3</v>
      </c>
      <c r="P67">
        <v>0.99947109999999995</v>
      </c>
      <c r="Q67">
        <v>2.5121339999999999E-2</v>
      </c>
      <c r="R67">
        <v>-2.065618E-2</v>
      </c>
      <c r="S67">
        <v>3.0122990000000001</v>
      </c>
      <c r="T67">
        <v>-0.90280539999999998</v>
      </c>
      <c r="U67">
        <v>-0.50796509999999995</v>
      </c>
      <c r="V67">
        <v>2.868629E-2</v>
      </c>
      <c r="W67">
        <v>3.7988880000000003E-2</v>
      </c>
      <c r="X67">
        <v>0.99886629999999998</v>
      </c>
      <c r="Y67">
        <v>0.16672719999999999</v>
      </c>
      <c r="Z67">
        <v>-2.6628289999999999E-2</v>
      </c>
      <c r="AA67">
        <v>0.98564339999999995</v>
      </c>
      <c r="AB67">
        <v>3</v>
      </c>
      <c r="AC67">
        <v>0.65590000000003101</v>
      </c>
      <c r="AD67">
        <v>-0.20184099999999899</v>
      </c>
      <c r="AE67">
        <v>-0.11409999999995001</v>
      </c>
      <c r="AF67">
        <v>0.109319145450329</v>
      </c>
      <c r="AG67">
        <v>-0.20184099999999899</v>
      </c>
      <c r="AH67">
        <v>0.59982750795798001</v>
      </c>
      <c r="AI67">
        <v>108.316888487648</v>
      </c>
      <c r="AJ67">
        <v>79.671151899552399</v>
      </c>
      <c r="AK67">
        <v>0.64224878679999997</v>
      </c>
      <c r="AL67">
        <v>87.822873576639907</v>
      </c>
      <c r="AM67">
        <v>88.354983340394696</v>
      </c>
      <c r="AN67">
        <v>0.99999997175665301</v>
      </c>
    </row>
    <row r="68" spans="1:40" x14ac:dyDescent="0.25">
      <c r="A68" t="str">
        <f>"20190312153852643"</f>
        <v>20190312153852643</v>
      </c>
      <c r="B68" t="str">
        <f>"1552376332635731"</f>
        <v>1552376332635731</v>
      </c>
      <c r="C68" t="s">
        <v>40</v>
      </c>
      <c r="D68">
        <v>4.5198210000000003</v>
      </c>
      <c r="E68">
        <v>0.55714819999999998</v>
      </c>
      <c r="F68" t="s">
        <v>41</v>
      </c>
      <c r="G68">
        <v>-474.11040000000003</v>
      </c>
      <c r="H68">
        <v>0.90631010000000001</v>
      </c>
      <c r="I68">
        <v>367.12020000000001</v>
      </c>
      <c r="J68">
        <v>-474.767</v>
      </c>
      <c r="K68">
        <v>1.110222</v>
      </c>
      <c r="L68">
        <v>367.23340000000002</v>
      </c>
      <c r="M68">
        <v>0.99989519999999998</v>
      </c>
      <c r="N68">
        <v>0</v>
      </c>
      <c r="O68">
        <v>8.2119819999999996E-3</v>
      </c>
      <c r="P68">
        <v>0.99943630000000006</v>
      </c>
      <c r="Q68">
        <v>2.703185E-2</v>
      </c>
      <c r="R68">
        <v>-1.9915889999999999E-2</v>
      </c>
      <c r="S68">
        <v>3.0139469999999999</v>
      </c>
      <c r="T68">
        <v>-0.89934429999999999</v>
      </c>
      <c r="U68">
        <v>-0.49609379999999997</v>
      </c>
      <c r="V68">
        <v>2.811934E-2</v>
      </c>
      <c r="W68">
        <v>3.8946620000000001E-2</v>
      </c>
      <c r="X68">
        <v>0.9988456</v>
      </c>
      <c r="Y68">
        <v>0.16323260000000001</v>
      </c>
      <c r="Z68">
        <v>-2.6068729999999998E-2</v>
      </c>
      <c r="AA68">
        <v>0.98624310000000004</v>
      </c>
      <c r="AB68">
        <v>3</v>
      </c>
      <c r="AC68">
        <v>0.65659999999996899</v>
      </c>
      <c r="AD68">
        <v>-0.20391190000000001</v>
      </c>
      <c r="AE68">
        <v>-0.113200000000006</v>
      </c>
      <c r="AF68">
        <v>0.108432552957345</v>
      </c>
      <c r="AG68">
        <v>-0.20391190000000001</v>
      </c>
      <c r="AH68">
        <v>0.59949806028323904</v>
      </c>
      <c r="AI68">
        <v>108.50574646864</v>
      </c>
      <c r="AJ68">
        <v>79.747626752976998</v>
      </c>
      <c r="AK68">
        <v>0.64244502160560302</v>
      </c>
      <c r="AL68">
        <v>87.767958607522701</v>
      </c>
      <c r="AM68">
        <v>88.387444376859193</v>
      </c>
      <c r="AN68">
        <v>1.0000000345654001</v>
      </c>
    </row>
    <row r="69" spans="1:40" x14ac:dyDescent="0.25">
      <c r="A69" t="str">
        <f>"20190312153852655"</f>
        <v>20190312153852655</v>
      </c>
      <c r="B69" t="str">
        <f>"1552376332646467"</f>
        <v>1552376332646467</v>
      </c>
      <c r="C69" t="s">
        <v>40</v>
      </c>
      <c r="D69">
        <v>4.4943770000000001</v>
      </c>
      <c r="E69">
        <v>0.55674279999999998</v>
      </c>
      <c r="F69" t="s">
        <v>41</v>
      </c>
      <c r="G69">
        <v>-474.07690000000002</v>
      </c>
      <c r="H69">
        <v>0.91045940000000003</v>
      </c>
      <c r="I69">
        <v>367.12020000000001</v>
      </c>
      <c r="J69">
        <v>-474.74630000000002</v>
      </c>
      <c r="K69">
        <v>1.1100479999999999</v>
      </c>
      <c r="L69">
        <v>367.23379999999997</v>
      </c>
      <c r="M69">
        <v>0.99990319999999999</v>
      </c>
      <c r="N69">
        <v>0</v>
      </c>
      <c r="O69">
        <v>8.354261E-3</v>
      </c>
      <c r="P69">
        <v>0.9994054</v>
      </c>
      <c r="Q69">
        <v>2.8309210000000001E-2</v>
      </c>
      <c r="R69">
        <v>-1.9687909999999999E-2</v>
      </c>
      <c r="S69">
        <v>3.0154420000000002</v>
      </c>
      <c r="T69">
        <v>-0.87301839999999997</v>
      </c>
      <c r="U69">
        <v>-0.4945679</v>
      </c>
      <c r="V69">
        <v>2.8031759999999999E-2</v>
      </c>
      <c r="W69">
        <v>3.9431670000000002E-2</v>
      </c>
      <c r="X69">
        <v>0.99882899999999997</v>
      </c>
      <c r="Y69">
        <v>0.163220899999999</v>
      </c>
      <c r="Z69">
        <v>-2.5363130000000001E-2</v>
      </c>
      <c r="AA69">
        <v>0.98626349999999996</v>
      </c>
      <c r="AB69">
        <v>3</v>
      </c>
      <c r="AC69">
        <v>0.669399999999996</v>
      </c>
      <c r="AD69">
        <v>-0.19958859999999901</v>
      </c>
      <c r="AE69">
        <v>-0.113599999999962</v>
      </c>
      <c r="AF69">
        <v>0.10970868106638</v>
      </c>
      <c r="AG69">
        <v>-0.19958859999999901</v>
      </c>
      <c r="AH69">
        <v>0.61526208927918602</v>
      </c>
      <c r="AI69">
        <v>107.711337413612</v>
      </c>
      <c r="AJ69">
        <v>79.889727732326406</v>
      </c>
      <c r="AK69">
        <v>0.65606329150126497</v>
      </c>
      <c r="AL69">
        <v>87.740145855166702</v>
      </c>
      <c r="AM69">
        <v>88.392437472358495</v>
      </c>
      <c r="AN69">
        <v>1.0000000037043399</v>
      </c>
    </row>
    <row r="70" spans="1:40" x14ac:dyDescent="0.25">
      <c r="A70" t="str">
        <f>"20190312153852677"</f>
        <v>20190312153852677</v>
      </c>
      <c r="B70" t="str">
        <f>"1552376332665990"</f>
        <v>1552376332665990</v>
      </c>
      <c r="C70" t="s">
        <v>40</v>
      </c>
      <c r="D70">
        <v>4.5114029999999996</v>
      </c>
      <c r="E70">
        <v>0.55657239999999997</v>
      </c>
      <c r="F70" t="s">
        <v>41</v>
      </c>
      <c r="G70">
        <v>-474.07380000000001</v>
      </c>
      <c r="H70">
        <v>0.91825210000000002</v>
      </c>
      <c r="I70">
        <v>367.12439999999998</v>
      </c>
      <c r="J70">
        <v>-474.7106</v>
      </c>
      <c r="K70">
        <v>1.109783</v>
      </c>
      <c r="L70">
        <v>367.23430000000002</v>
      </c>
      <c r="M70">
        <v>0.9999152</v>
      </c>
      <c r="N70">
        <v>0</v>
      </c>
      <c r="O70">
        <v>8.6178499999999998E-3</v>
      </c>
      <c r="P70">
        <v>0.99934219999999896</v>
      </c>
      <c r="Q70">
        <v>3.0464229999999998E-2</v>
      </c>
      <c r="R70">
        <v>-1.9680949999999999E-2</v>
      </c>
      <c r="S70">
        <v>3.0164789999999999</v>
      </c>
      <c r="T70">
        <v>-0.86028609999999905</v>
      </c>
      <c r="U70">
        <v>-0.49035640000000003</v>
      </c>
      <c r="V70">
        <v>2.8285879999999999E-2</v>
      </c>
      <c r="W70">
        <v>4.0238309999999999E-2</v>
      </c>
      <c r="X70">
        <v>0.9987897</v>
      </c>
      <c r="Y70">
        <v>0.16230810000000001</v>
      </c>
      <c r="Z70">
        <v>-2.4948120000000001E-2</v>
      </c>
      <c r="AA70">
        <v>0.98642470000000004</v>
      </c>
      <c r="AB70">
        <v>3</v>
      </c>
      <c r="AC70">
        <v>0.63679999999999304</v>
      </c>
      <c r="AD70">
        <v>-0.191530899999999</v>
      </c>
      <c r="AE70">
        <v>-0.109900000000038</v>
      </c>
      <c r="AF70">
        <v>0.10606644386059499</v>
      </c>
      <c r="AG70">
        <v>-0.191530899999999</v>
      </c>
      <c r="AH70">
        <v>0.58448421579566601</v>
      </c>
      <c r="AI70">
        <v>107.870680952504</v>
      </c>
      <c r="AJ70">
        <v>79.714456836638007</v>
      </c>
      <c r="AK70">
        <v>0.62414419382248298</v>
      </c>
      <c r="AL70">
        <v>87.693892154335501</v>
      </c>
      <c r="AM70">
        <v>88.377808182773407</v>
      </c>
      <c r="AN70">
        <v>1.0000000387125501</v>
      </c>
    </row>
    <row r="71" spans="1:40" x14ac:dyDescent="0.25">
      <c r="A71" t="str">
        <f>"20190312153852689"</f>
        <v>20190312153852689</v>
      </c>
      <c r="B71" t="str">
        <f>"1552376332686482"</f>
        <v>1552376332686482</v>
      </c>
      <c r="C71" t="s">
        <v>40</v>
      </c>
      <c r="D71">
        <v>4.5501449999999997</v>
      </c>
      <c r="E71">
        <v>0.55608740000000001</v>
      </c>
      <c r="F71" t="s">
        <v>41</v>
      </c>
      <c r="G71">
        <v>-474.00839999999999</v>
      </c>
      <c r="H71">
        <v>0.91377059999999999</v>
      </c>
      <c r="I71">
        <v>367.12040000000002</v>
      </c>
      <c r="J71">
        <v>-474.6902</v>
      </c>
      <c r="K71">
        <v>1.1097889999999999</v>
      </c>
      <c r="L71">
        <v>367.23469999999998</v>
      </c>
      <c r="M71">
        <v>0.99991640000000004</v>
      </c>
      <c r="N71">
        <v>0</v>
      </c>
      <c r="O71">
        <v>8.7303490000000001E-3</v>
      </c>
      <c r="P71">
        <v>0.99933179999999999</v>
      </c>
      <c r="Q71">
        <v>3.076361E-2</v>
      </c>
      <c r="R71">
        <v>-1.9740339999999999E-2</v>
      </c>
      <c r="S71">
        <v>3.0179749999999999</v>
      </c>
      <c r="T71">
        <v>-0.84240219999999899</v>
      </c>
      <c r="U71">
        <v>-0.48971559999999997</v>
      </c>
      <c r="V71">
        <v>2.8458150000000002E-2</v>
      </c>
      <c r="W71">
        <v>4.0305010000000002E-2</v>
      </c>
      <c r="X71">
        <v>0.99878210000000001</v>
      </c>
      <c r="Y71">
        <v>0.16240399999999999</v>
      </c>
      <c r="Z71">
        <v>-2.4480990000000001E-2</v>
      </c>
      <c r="AA71">
        <v>0.98642059999999998</v>
      </c>
      <c r="AB71">
        <v>4</v>
      </c>
      <c r="AC71">
        <v>0.68180000000000895</v>
      </c>
      <c r="AD71">
        <v>-0.19601839999999901</v>
      </c>
      <c r="AE71">
        <v>-0.11429999999995701</v>
      </c>
      <c r="AF71">
        <v>0.111300026361253</v>
      </c>
      <c r="AG71">
        <v>-0.19601839999999901</v>
      </c>
      <c r="AH71">
        <v>0.63011633394605204</v>
      </c>
      <c r="AI71">
        <v>107.031959576256</v>
      </c>
      <c r="AJ71">
        <v>79.982935317973499</v>
      </c>
      <c r="AK71">
        <v>0.66922156518763598</v>
      </c>
      <c r="AL71">
        <v>87.690067383939606</v>
      </c>
      <c r="AM71">
        <v>88.367921434029199</v>
      </c>
      <c r="AN71">
        <v>1.00000002170646</v>
      </c>
    </row>
    <row r="72" spans="1:40" x14ac:dyDescent="0.25">
      <c r="A72" t="str">
        <f>"20190312153852708"</f>
        <v>20190312153852708</v>
      </c>
      <c r="B72" t="str">
        <f>"1552376332706003"</f>
        <v>1552376332706003</v>
      </c>
      <c r="C72" t="s">
        <v>40</v>
      </c>
      <c r="D72">
        <v>4.454637</v>
      </c>
      <c r="E72">
        <v>0.55608239999999998</v>
      </c>
      <c r="F72" t="s">
        <v>41</v>
      </c>
      <c r="G72">
        <v>-474.0061</v>
      </c>
      <c r="H72">
        <v>0.9195757</v>
      </c>
      <c r="I72">
        <v>367.12450000000001</v>
      </c>
      <c r="J72">
        <v>-474.66050000000001</v>
      </c>
      <c r="K72">
        <v>1.1099650000000001</v>
      </c>
      <c r="L72">
        <v>367.23520000000002</v>
      </c>
      <c r="M72">
        <v>0.99991200000000002</v>
      </c>
      <c r="N72">
        <v>0</v>
      </c>
      <c r="O72">
        <v>8.8824239999999999E-3</v>
      </c>
      <c r="P72">
        <v>0.99934619999999996</v>
      </c>
      <c r="Q72">
        <v>3.0009930000000001E-2</v>
      </c>
      <c r="R72">
        <v>-2.016892E-2</v>
      </c>
      <c r="S72">
        <v>3.0181879999999999</v>
      </c>
      <c r="T72">
        <v>-0.83920599999999901</v>
      </c>
      <c r="U72">
        <v>-0.4862976</v>
      </c>
      <c r="V72">
        <v>2.9041230000000001E-2</v>
      </c>
      <c r="W72">
        <v>3.9869059999999998E-2</v>
      </c>
      <c r="X72">
        <v>0.99878279999999997</v>
      </c>
      <c r="Y72">
        <v>0.1615279</v>
      </c>
      <c r="Z72">
        <v>-2.431434E-2</v>
      </c>
      <c r="AA72">
        <v>0.98656860000000002</v>
      </c>
      <c r="AB72">
        <v>4</v>
      </c>
      <c r="AC72">
        <v>0.65440000000000897</v>
      </c>
      <c r="AD72">
        <v>-0.19038929999999901</v>
      </c>
      <c r="AE72">
        <v>-0.110700000000008</v>
      </c>
      <c r="AF72">
        <v>0.107650084977755</v>
      </c>
      <c r="AG72">
        <v>-0.19038929999999901</v>
      </c>
      <c r="AH72">
        <v>0.60371162982925797</v>
      </c>
      <c r="AI72">
        <v>107.24786933093699</v>
      </c>
      <c r="AJ72">
        <v>79.889636606269406</v>
      </c>
      <c r="AK72">
        <v>0.64210930404511901</v>
      </c>
      <c r="AL72">
        <v>87.715065541730596</v>
      </c>
      <c r="AM72">
        <v>88.334501532640104</v>
      </c>
      <c r="AN72">
        <v>1.0000000082805101</v>
      </c>
    </row>
    <row r="73" spans="1:40" x14ac:dyDescent="0.25">
      <c r="A73" t="str">
        <f>"20190312153852721"</f>
        <v>20190312153852721</v>
      </c>
      <c r="B73" t="str">
        <f>"1552376332715763"</f>
        <v>1552376332715763</v>
      </c>
      <c r="C73" t="s">
        <v>40</v>
      </c>
      <c r="D73">
        <v>4.5228769999999896</v>
      </c>
      <c r="E73">
        <v>0.55604240000000005</v>
      </c>
      <c r="F73" t="s">
        <v>41</v>
      </c>
      <c r="G73">
        <v>-473.97629999999998</v>
      </c>
      <c r="H73">
        <v>0.91969590000000001</v>
      </c>
      <c r="I73">
        <v>367.12430000000001</v>
      </c>
      <c r="J73">
        <v>-474.64249999999998</v>
      </c>
      <c r="K73">
        <v>1.110168</v>
      </c>
      <c r="L73">
        <v>367.23540000000003</v>
      </c>
      <c r="M73">
        <v>0.99990509999999999</v>
      </c>
      <c r="N73">
        <v>0</v>
      </c>
      <c r="O73">
        <v>8.964797E-3</v>
      </c>
      <c r="P73">
        <v>0.99936769999999997</v>
      </c>
      <c r="Q73">
        <v>2.918815E-2</v>
      </c>
      <c r="R73">
        <v>-2.0314749999999999E-2</v>
      </c>
      <c r="S73">
        <v>3.017334</v>
      </c>
      <c r="T73">
        <v>-0.83937499999999998</v>
      </c>
      <c r="U73">
        <v>-0.48696899999999999</v>
      </c>
      <c r="V73">
        <v>2.927165E-2</v>
      </c>
      <c r="W73">
        <v>3.965656E-2</v>
      </c>
      <c r="X73">
        <v>0.99878449999999996</v>
      </c>
      <c r="Y73">
        <v>0.1618465</v>
      </c>
      <c r="Z73">
        <v>-2.4390800000000001E-2</v>
      </c>
      <c r="AA73">
        <v>0.98651440000000001</v>
      </c>
      <c r="AB73">
        <v>4</v>
      </c>
      <c r="AC73">
        <v>0.66620000000000301</v>
      </c>
      <c r="AD73">
        <v>-0.19047209999999901</v>
      </c>
      <c r="AE73">
        <v>-0.111100000000021</v>
      </c>
      <c r="AF73">
        <v>0.10844351456052</v>
      </c>
      <c r="AG73">
        <v>-0.19047209999999901</v>
      </c>
      <c r="AH73">
        <v>0.61617198870802803</v>
      </c>
      <c r="AI73">
        <v>106.932484583879</v>
      </c>
      <c r="AJ73">
        <v>80.018419234542506</v>
      </c>
      <c r="AK73">
        <v>0.65399352932353505</v>
      </c>
      <c r="AL73">
        <v>87.7272504553018</v>
      </c>
      <c r="AM73">
        <v>88.321297460212904</v>
      </c>
      <c r="AN73">
        <v>0.99999997484250203</v>
      </c>
    </row>
    <row r="74" spans="1:40" x14ac:dyDescent="0.25">
      <c r="A74" t="str">
        <f>"20190312153852734"</f>
        <v>20190312153852734</v>
      </c>
      <c r="B74" t="str">
        <f>"1552376332726499"</f>
        <v>1552376332726499</v>
      </c>
      <c r="C74" t="s">
        <v>40</v>
      </c>
      <c r="D74">
        <v>4.6865690000000004</v>
      </c>
      <c r="E74">
        <v>0.55567419999999901</v>
      </c>
      <c r="F74" t="s">
        <v>41</v>
      </c>
      <c r="G74">
        <v>-473.9502</v>
      </c>
      <c r="H74">
        <v>0.91756119999999997</v>
      </c>
      <c r="I74">
        <v>367.1234</v>
      </c>
      <c r="J74">
        <v>-474.6241</v>
      </c>
      <c r="K74">
        <v>1.1104320000000001</v>
      </c>
      <c r="L74">
        <v>367.23570000000001</v>
      </c>
      <c r="M74">
        <v>0.99989410000000001</v>
      </c>
      <c r="N74">
        <v>0</v>
      </c>
      <c r="O74">
        <v>9.041304E-3</v>
      </c>
      <c r="P74">
        <v>0.99939469999999997</v>
      </c>
      <c r="Q74">
        <v>2.815575E-2</v>
      </c>
      <c r="R74">
        <v>-2.0437219999999999E-2</v>
      </c>
      <c r="S74">
        <v>3.0165410000000001</v>
      </c>
      <c r="T74">
        <v>-0.83928499999999995</v>
      </c>
      <c r="U74">
        <v>-0.48733520000000002</v>
      </c>
      <c r="V74">
        <v>2.9473849999999999E-2</v>
      </c>
      <c r="W74">
        <v>3.9558879999999998E-2</v>
      </c>
      <c r="X74">
        <v>0.99878250000000002</v>
      </c>
      <c r="Y74">
        <v>0.16206679999999901</v>
      </c>
      <c r="Z74">
        <v>-2.4444850000000001E-2</v>
      </c>
      <c r="AA74">
        <v>0.98647700000000005</v>
      </c>
      <c r="AB74">
        <v>3</v>
      </c>
      <c r="AC74">
        <v>0.67390000000000305</v>
      </c>
      <c r="AD74">
        <v>-0.19287079999999901</v>
      </c>
      <c r="AE74">
        <v>-0.11230000000000399</v>
      </c>
      <c r="AF74">
        <v>0.10964988605338399</v>
      </c>
      <c r="AG74">
        <v>-0.19287079999999901</v>
      </c>
      <c r="AH74">
        <v>0.62319016477696298</v>
      </c>
      <c r="AI74">
        <v>106.95160434716399</v>
      </c>
      <c r="AJ74">
        <v>80.020987213201806</v>
      </c>
      <c r="AK74">
        <v>0.66150451584165204</v>
      </c>
      <c r="AL74">
        <v>87.732851667248994</v>
      </c>
      <c r="AM74">
        <v>88.309704795040503</v>
      </c>
      <c r="AN74">
        <v>1.0000000475634601</v>
      </c>
    </row>
    <row r="75" spans="1:40" x14ac:dyDescent="0.25">
      <c r="A75" t="str">
        <f>"20190312153852755"</f>
        <v>20190312153852755</v>
      </c>
      <c r="B75" t="str">
        <f>"1552376332746019"</f>
        <v>1552376332746019</v>
      </c>
      <c r="C75" t="s">
        <v>40</v>
      </c>
      <c r="D75">
        <v>4.5453219999999996</v>
      </c>
      <c r="E75">
        <v>0.55554019999999904</v>
      </c>
      <c r="F75" t="s">
        <v>41</v>
      </c>
      <c r="G75">
        <v>-473.9479</v>
      </c>
      <c r="H75">
        <v>0.92330480000000004</v>
      </c>
      <c r="I75">
        <v>367.1268</v>
      </c>
      <c r="J75">
        <v>-474.59840000000003</v>
      </c>
      <c r="K75">
        <v>1.1108209999999901</v>
      </c>
      <c r="L75">
        <v>367.23610000000002</v>
      </c>
      <c r="M75">
        <v>0.99987340000000002</v>
      </c>
      <c r="N75">
        <v>0</v>
      </c>
      <c r="O75">
        <v>9.1291970000000004E-3</v>
      </c>
      <c r="P75">
        <v>0.99944339999999998</v>
      </c>
      <c r="Q75">
        <v>2.622768E-2</v>
      </c>
      <c r="R75">
        <v>-2.0627800000000002E-2</v>
      </c>
      <c r="S75">
        <v>3.0154109999999998</v>
      </c>
      <c r="T75">
        <v>-0.8345283</v>
      </c>
      <c r="U75">
        <v>-0.48495480000000002</v>
      </c>
      <c r="V75">
        <v>2.9756870000000001E-2</v>
      </c>
      <c r="W75">
        <v>3.9253940000000001E-2</v>
      </c>
      <c r="X75">
        <v>0.99878610000000001</v>
      </c>
      <c r="Y75">
        <v>0.16153390000000001</v>
      </c>
      <c r="Z75">
        <v>-2.427321E-2</v>
      </c>
      <c r="AA75">
        <v>0.98656860000000002</v>
      </c>
      <c r="AB75">
        <v>3</v>
      </c>
      <c r="AC75">
        <v>0.65050000000002195</v>
      </c>
      <c r="AD75">
        <v>-0.18751619999999899</v>
      </c>
      <c r="AE75">
        <v>-0.10930000000001799</v>
      </c>
      <c r="AF75">
        <v>0.106618150057207</v>
      </c>
      <c r="AG75">
        <v>-0.18751619999999899</v>
      </c>
      <c r="AH75">
        <v>0.60091228040469302</v>
      </c>
      <c r="AI75">
        <v>107.079773072313</v>
      </c>
      <c r="AJ75">
        <v>79.938877506114096</v>
      </c>
      <c r="AK75">
        <v>0.63845542046820203</v>
      </c>
      <c r="AL75">
        <v>87.750336934668695</v>
      </c>
      <c r="AM75">
        <v>88.293489586019106</v>
      </c>
      <c r="AN75">
        <v>1.0000000083354601</v>
      </c>
    </row>
    <row r="76" spans="1:40" x14ac:dyDescent="0.25">
      <c r="A76" t="str">
        <f>"20190312153852779"</f>
        <v>20190312153852779</v>
      </c>
      <c r="B76" t="str">
        <f>"1552376332776275"</f>
        <v>1552376332776275</v>
      </c>
      <c r="C76" t="s">
        <v>40</v>
      </c>
      <c r="D76">
        <v>4.5521739999999999</v>
      </c>
      <c r="E76">
        <v>0.55562959999999995</v>
      </c>
      <c r="F76" t="s">
        <v>41</v>
      </c>
      <c r="G76">
        <v>-473.92349999999999</v>
      </c>
      <c r="H76">
        <v>0.92374540000000005</v>
      </c>
      <c r="I76">
        <v>367.12729999999999</v>
      </c>
      <c r="J76">
        <v>-474.57220000000001</v>
      </c>
      <c r="K76">
        <v>1.1110580000000001</v>
      </c>
      <c r="L76">
        <v>367.2364</v>
      </c>
      <c r="M76">
        <v>0.99985429999999997</v>
      </c>
      <c r="N76">
        <v>0</v>
      </c>
      <c r="O76">
        <v>9.2048200000000007E-3</v>
      </c>
      <c r="P76">
        <v>0.99948780000000004</v>
      </c>
      <c r="Q76">
        <v>2.448498E-2</v>
      </c>
      <c r="R76">
        <v>-2.061497E-2</v>
      </c>
      <c r="S76">
        <v>3.01355</v>
      </c>
      <c r="T76">
        <v>-0.83534059999999899</v>
      </c>
      <c r="U76">
        <v>-0.48498540000000001</v>
      </c>
      <c r="V76">
        <v>2.9822620000000001E-2</v>
      </c>
      <c r="W76">
        <v>3.8849420000000003E-2</v>
      </c>
      <c r="X76">
        <v>0.99879989999999996</v>
      </c>
      <c r="Y76">
        <v>0.161686</v>
      </c>
      <c r="Z76">
        <v>-2.4351350000000001E-2</v>
      </c>
      <c r="AA76">
        <v>0.98654169999999997</v>
      </c>
      <c r="AB76">
        <v>3</v>
      </c>
      <c r="AC76">
        <v>0.64870000000001904</v>
      </c>
      <c r="AD76">
        <v>-0.1873126</v>
      </c>
      <c r="AE76">
        <v>-0.10910000000001201</v>
      </c>
      <c r="AF76">
        <v>0.10643688468336999</v>
      </c>
      <c r="AG76">
        <v>-0.1873126</v>
      </c>
      <c r="AH76">
        <v>0.59909170462614103</v>
      </c>
      <c r="AI76">
        <v>107.110476007237</v>
      </c>
      <c r="AJ76">
        <v>79.925734746480899</v>
      </c>
      <c r="AK76">
        <v>0.63665193873239401</v>
      </c>
      <c r="AL76">
        <v>87.773531793787697</v>
      </c>
      <c r="AM76">
        <v>88.289744778473207</v>
      </c>
      <c r="AN76">
        <v>0.99999995316900403</v>
      </c>
    </row>
    <row r="77" spans="1:40" x14ac:dyDescent="0.25">
      <c r="A77" t="str">
        <f>"20190312153852798"</f>
        <v>20190312153852798</v>
      </c>
      <c r="B77" t="str">
        <f>"1552376332786035"</f>
        <v>1552376332786035</v>
      </c>
      <c r="C77" t="s">
        <v>40</v>
      </c>
      <c r="D77">
        <v>4.4593920000000002</v>
      </c>
      <c r="E77">
        <v>0.5554076</v>
      </c>
      <c r="F77" t="s">
        <v>41</v>
      </c>
      <c r="G77">
        <v>-473.87729999999999</v>
      </c>
      <c r="H77">
        <v>0.91760120000000001</v>
      </c>
      <c r="I77">
        <v>367.12389999999999</v>
      </c>
      <c r="J77">
        <v>-474.54689999999999</v>
      </c>
      <c r="K77">
        <v>1.1109020000000001</v>
      </c>
      <c r="L77">
        <v>367.23680000000002</v>
      </c>
      <c r="M77">
        <v>0.99985590000000002</v>
      </c>
      <c r="N77">
        <v>0</v>
      </c>
      <c r="O77">
        <v>9.2892670000000004E-3</v>
      </c>
      <c r="P77">
        <v>0.99950830000000002</v>
      </c>
      <c r="Q77">
        <v>2.358942E-2</v>
      </c>
      <c r="R77">
        <v>-2.0660109999999999E-2</v>
      </c>
      <c r="S77">
        <v>3.0120849999999999</v>
      </c>
      <c r="T77">
        <v>-0.83871299999999904</v>
      </c>
      <c r="U77">
        <v>-0.48587039999999998</v>
      </c>
      <c r="V77">
        <v>2.9950230000000001E-2</v>
      </c>
      <c r="W77">
        <v>3.7790659999999997E-2</v>
      </c>
      <c r="X77">
        <v>0.99883679999999997</v>
      </c>
      <c r="Y77">
        <v>0.16205459999999999</v>
      </c>
      <c r="Z77">
        <v>-2.45299E-2</v>
      </c>
      <c r="AA77">
        <v>0.98647680000000004</v>
      </c>
      <c r="AB77">
        <v>3</v>
      </c>
      <c r="AC77">
        <v>0.66960000000000197</v>
      </c>
      <c r="AD77">
        <v>-0.19330079999999999</v>
      </c>
      <c r="AE77">
        <v>-0.112900000000024</v>
      </c>
      <c r="AF77">
        <v>0.11018705502237</v>
      </c>
      <c r="AG77">
        <v>-0.19330079999999999</v>
      </c>
      <c r="AH77">
        <v>0.61841054239246496</v>
      </c>
      <c r="AI77">
        <v>107.104711067713</v>
      </c>
      <c r="AJ77">
        <v>79.897183887381004</v>
      </c>
      <c r="AK77">
        <v>0.65721989114548696</v>
      </c>
      <c r="AL77">
        <v>87.834239080663096</v>
      </c>
      <c r="AM77">
        <v>88.282494441404694</v>
      </c>
      <c r="AN77">
        <v>1.00000005164726</v>
      </c>
    </row>
    <row r="78" spans="1:40" x14ac:dyDescent="0.25">
      <c r="A78" t="str">
        <f>"20190312153852810"</f>
        <v>20190312153852810</v>
      </c>
      <c r="B78" t="str">
        <f>"1552376332806531"</f>
        <v>1552376332806531</v>
      </c>
      <c r="C78" t="s">
        <v>40</v>
      </c>
      <c r="D78">
        <v>4.5159349999999998</v>
      </c>
      <c r="E78">
        <v>0.55527419999999905</v>
      </c>
      <c r="F78" t="s">
        <v>41</v>
      </c>
      <c r="G78">
        <v>-473.85039999999998</v>
      </c>
      <c r="H78">
        <v>0.91577390000000003</v>
      </c>
      <c r="I78">
        <v>367.12470000000002</v>
      </c>
      <c r="J78">
        <v>-474.52949999999998</v>
      </c>
      <c r="K78">
        <v>1.1107260000000001</v>
      </c>
      <c r="L78">
        <v>367.23700000000002</v>
      </c>
      <c r="M78">
        <v>0.99986200000000003</v>
      </c>
      <c r="N78">
        <v>0</v>
      </c>
      <c r="O78">
        <v>9.3676200000000001E-3</v>
      </c>
      <c r="P78">
        <v>0.99950510000000004</v>
      </c>
      <c r="Q78">
        <v>2.3684569999999999E-2</v>
      </c>
      <c r="R78">
        <v>-2.0710849999999999E-2</v>
      </c>
      <c r="S78">
        <v>3.0113829999999999</v>
      </c>
      <c r="T78">
        <v>-0.84372250000000004</v>
      </c>
      <c r="U78">
        <v>-0.48397829999999997</v>
      </c>
      <c r="V78">
        <v>3.007729E-2</v>
      </c>
      <c r="W78">
        <v>3.7393740000000002E-2</v>
      </c>
      <c r="X78">
        <v>0.99884779999999995</v>
      </c>
      <c r="Y78">
        <v>0.16150309999999901</v>
      </c>
      <c r="Z78">
        <v>-2.462377E-2</v>
      </c>
      <c r="AA78">
        <v>0.98656489999999997</v>
      </c>
      <c r="AB78">
        <v>3</v>
      </c>
      <c r="AC78">
        <v>0.67910000000000503</v>
      </c>
      <c r="AD78">
        <v>-0.19495209999999999</v>
      </c>
      <c r="AE78">
        <v>-0.112299999999947</v>
      </c>
      <c r="AF78">
        <v>0.10984562756090099</v>
      </c>
      <c r="AG78">
        <v>-0.19495209999999999</v>
      </c>
      <c r="AH78">
        <v>0.62766787006854197</v>
      </c>
      <c r="AI78">
        <v>107.011372506096</v>
      </c>
      <c r="AJ78">
        <v>80.073422325568103</v>
      </c>
      <c r="AK78">
        <v>0.66636276779621995</v>
      </c>
      <c r="AL78">
        <v>87.856996748689596</v>
      </c>
      <c r="AM78">
        <v>88.275231519799306</v>
      </c>
      <c r="AN78">
        <v>0.99999993136488297</v>
      </c>
    </row>
    <row r="79" spans="1:40" x14ac:dyDescent="0.25">
      <c r="A79" t="str">
        <f>"20190312153852833"</f>
        <v>20190312153852833</v>
      </c>
      <c r="B79" t="str">
        <f>"1552376332826051"</f>
        <v>1552376332826051</v>
      </c>
      <c r="C79" t="s">
        <v>40</v>
      </c>
      <c r="D79">
        <v>4.4724820000000003</v>
      </c>
      <c r="E79">
        <v>0.5549828</v>
      </c>
      <c r="F79" t="s">
        <v>41</v>
      </c>
      <c r="G79">
        <v>-473.84840000000003</v>
      </c>
      <c r="H79">
        <v>0.92061760000000004</v>
      </c>
      <c r="I79">
        <v>367.12759999999997</v>
      </c>
      <c r="J79">
        <v>-474.49619999999999</v>
      </c>
      <c r="K79">
        <v>1.11036</v>
      </c>
      <c r="L79">
        <v>367.23739999999998</v>
      </c>
      <c r="M79">
        <v>0.9998766</v>
      </c>
      <c r="N79">
        <v>0</v>
      </c>
      <c r="O79">
        <v>9.5482689999999999E-3</v>
      </c>
      <c r="P79">
        <v>0.99950439999999996</v>
      </c>
      <c r="Q79">
        <v>2.3771850000000001E-2</v>
      </c>
      <c r="R79">
        <v>-2.062721E-2</v>
      </c>
      <c r="S79">
        <v>3.0113530000000002</v>
      </c>
      <c r="T79">
        <v>-0.84059699999999904</v>
      </c>
      <c r="U79">
        <v>-0.48318480000000003</v>
      </c>
      <c r="V79">
        <v>3.0170789999999999E-2</v>
      </c>
      <c r="W79">
        <v>3.6240090000000003E-2</v>
      </c>
      <c r="X79">
        <v>0.99888759999999999</v>
      </c>
      <c r="Y79">
        <v>0.161469899999999</v>
      </c>
      <c r="Z79">
        <v>-2.4581209999999999E-2</v>
      </c>
      <c r="AA79">
        <v>0.98657139999999999</v>
      </c>
      <c r="AB79">
        <v>3</v>
      </c>
      <c r="AC79">
        <v>0.64779999999996096</v>
      </c>
      <c r="AD79">
        <v>-0.18974240000000001</v>
      </c>
      <c r="AE79">
        <v>-0.109800000000006</v>
      </c>
      <c r="AF79">
        <v>0.10705303605543801</v>
      </c>
      <c r="AG79">
        <v>-0.18974240000000001</v>
      </c>
      <c r="AH79">
        <v>0.59693954181563302</v>
      </c>
      <c r="AI79">
        <v>107.373195971038</v>
      </c>
      <c r="AJ79">
        <v>79.832854351658398</v>
      </c>
      <c r="AK79">
        <v>0.63545208117489504</v>
      </c>
      <c r="AL79">
        <v>87.923141079843305</v>
      </c>
      <c r="AM79">
        <v>88.269941952427899</v>
      </c>
      <c r="AN79">
        <v>1.0000000290630899</v>
      </c>
    </row>
    <row r="80" spans="1:40" x14ac:dyDescent="0.25">
      <c r="A80" t="str">
        <f>"20190312153852856"</f>
        <v>20190312153852856</v>
      </c>
      <c r="B80" t="str">
        <f>"1552376332845571"</f>
        <v>1552376332845571</v>
      </c>
      <c r="C80" t="s">
        <v>40</v>
      </c>
      <c r="D80">
        <v>4.4867290000000004</v>
      </c>
      <c r="E80">
        <v>0.55479909999999999</v>
      </c>
      <c r="F80" t="s">
        <v>41</v>
      </c>
      <c r="G80">
        <v>-473.81799999999998</v>
      </c>
      <c r="H80">
        <v>0.92131169999999996</v>
      </c>
      <c r="I80">
        <v>367.12849999999997</v>
      </c>
      <c r="J80">
        <v>-474.46010000000001</v>
      </c>
      <c r="K80">
        <v>1.1100239999999999</v>
      </c>
      <c r="L80">
        <v>367.23790000000002</v>
      </c>
      <c r="M80">
        <v>0.99989079999999997</v>
      </c>
      <c r="N80">
        <v>0</v>
      </c>
      <c r="O80">
        <v>9.7800089999999992E-3</v>
      </c>
      <c r="P80">
        <v>0.9994864</v>
      </c>
      <c r="Q80">
        <v>2.469122E-2</v>
      </c>
      <c r="R80">
        <v>-2.043789E-2</v>
      </c>
      <c r="S80">
        <v>3.011536</v>
      </c>
      <c r="T80">
        <v>-0.83976589999999995</v>
      </c>
      <c r="U80">
        <v>-0.48062129999999997</v>
      </c>
      <c r="V80">
        <v>3.0209409999999999E-2</v>
      </c>
      <c r="W80">
        <v>3.5769290000000002E-2</v>
      </c>
      <c r="X80">
        <v>0.9989034</v>
      </c>
      <c r="Y80">
        <v>0.16089479999999901</v>
      </c>
      <c r="Z80">
        <v>-2.4542720000000001E-2</v>
      </c>
      <c r="AA80">
        <v>0.98666640000000005</v>
      </c>
      <c r="AB80">
        <v>3</v>
      </c>
      <c r="AC80">
        <v>0.64209999999997003</v>
      </c>
      <c r="AD80">
        <v>-0.188712299999999</v>
      </c>
      <c r="AE80">
        <v>-0.10940000000005</v>
      </c>
      <c r="AF80">
        <v>0.10671709305997</v>
      </c>
      <c r="AG80">
        <v>-0.188712299999999</v>
      </c>
      <c r="AH80">
        <v>0.59136063966504904</v>
      </c>
      <c r="AI80">
        <v>107.434523077154</v>
      </c>
      <c r="AJ80">
        <v>79.770485140777595</v>
      </c>
      <c r="AK80">
        <v>0.62984781992757299</v>
      </c>
      <c r="AL80">
        <v>87.950133428417502</v>
      </c>
      <c r="AM80">
        <v>88.267756130147603</v>
      </c>
      <c r="AN80">
        <v>1.0000000265455999</v>
      </c>
    </row>
    <row r="81" spans="1:40" x14ac:dyDescent="0.25">
      <c r="A81" t="str">
        <f>"20190312153852878"</f>
        <v>20190312153852878</v>
      </c>
      <c r="B81" t="str">
        <f>"1552376332866067"</f>
        <v>1552376332866067</v>
      </c>
      <c r="C81" t="s">
        <v>40</v>
      </c>
      <c r="D81">
        <v>4.3860320000000002</v>
      </c>
      <c r="E81">
        <v>0.55469590000000002</v>
      </c>
      <c r="F81" t="s">
        <v>41</v>
      </c>
      <c r="G81">
        <v>-473.78530000000001</v>
      </c>
      <c r="H81">
        <v>0.92292339999999995</v>
      </c>
      <c r="I81">
        <v>367.13060000000002</v>
      </c>
      <c r="J81">
        <v>-474.423</v>
      </c>
      <c r="K81">
        <v>1.109796</v>
      </c>
      <c r="L81">
        <v>367.23860000000002</v>
      </c>
      <c r="M81">
        <v>0.99990120000000005</v>
      </c>
      <c r="N81">
        <v>0</v>
      </c>
      <c r="O81">
        <v>1.0039910000000001E-2</v>
      </c>
      <c r="P81">
        <v>0.99945499999999998</v>
      </c>
      <c r="Q81">
        <v>2.6286190000000001E-2</v>
      </c>
      <c r="R81">
        <v>-1.9972489999999999E-2</v>
      </c>
      <c r="S81">
        <v>3.0123600000000001</v>
      </c>
      <c r="T81">
        <v>-0.83520509999999903</v>
      </c>
      <c r="U81">
        <v>-0.47866819999999999</v>
      </c>
      <c r="V81">
        <v>3.0001199999999999E-2</v>
      </c>
      <c r="W81">
        <v>3.613574E-2</v>
      </c>
      <c r="X81">
        <v>0.99889649999999996</v>
      </c>
      <c r="Y81">
        <v>0.16055800000000001</v>
      </c>
      <c r="Z81">
        <v>-2.4433759999999999E-2</v>
      </c>
      <c r="AA81">
        <v>0.98672400000000005</v>
      </c>
      <c r="AB81">
        <v>3</v>
      </c>
      <c r="AC81">
        <v>0.63769999999999505</v>
      </c>
      <c r="AD81">
        <v>-0.186872599999999</v>
      </c>
      <c r="AE81">
        <v>-0.108000000000004</v>
      </c>
      <c r="AF81">
        <v>0.105583328064194</v>
      </c>
      <c r="AG81">
        <v>-0.186872599999999</v>
      </c>
      <c r="AH81">
        <v>0.58753654191457405</v>
      </c>
      <c r="AI81">
        <v>107.382554290009</v>
      </c>
      <c r="AJ81">
        <v>79.812391956611805</v>
      </c>
      <c r="AK81">
        <v>0.62551450493238603</v>
      </c>
      <c r="AL81">
        <v>87.929123837065902</v>
      </c>
      <c r="AM81">
        <v>88.279676066632803</v>
      </c>
      <c r="AN81">
        <v>1.00000004070951</v>
      </c>
    </row>
    <row r="82" spans="1:40" x14ac:dyDescent="0.25">
      <c r="A82" t="str">
        <f>"20190312153852899"</f>
        <v>20190312153852899</v>
      </c>
      <c r="B82" t="str">
        <f>"1552376332896324"</f>
        <v>1552376332896324</v>
      </c>
      <c r="C82" t="s">
        <v>40</v>
      </c>
      <c r="D82">
        <v>4.539866</v>
      </c>
      <c r="E82">
        <v>0.55444499999999997</v>
      </c>
      <c r="F82" t="s">
        <v>41</v>
      </c>
      <c r="G82">
        <v>-473.721</v>
      </c>
      <c r="H82">
        <v>0.91650750000000003</v>
      </c>
      <c r="I82">
        <v>367.12740000000002</v>
      </c>
      <c r="J82">
        <v>-474.38830000000002</v>
      </c>
      <c r="K82">
        <v>1.1098479999999999</v>
      </c>
      <c r="L82">
        <v>367.23919999999998</v>
      </c>
      <c r="M82">
        <v>0.99990159999999995</v>
      </c>
      <c r="N82">
        <v>0</v>
      </c>
      <c r="O82">
        <v>1.020618E-2</v>
      </c>
      <c r="P82">
        <v>0.99946570000000001</v>
      </c>
      <c r="Q82">
        <v>2.6332680000000001E-2</v>
      </c>
      <c r="R82">
        <v>-1.9373700000000001E-2</v>
      </c>
      <c r="S82">
        <v>3.0139469999999999</v>
      </c>
      <c r="T82">
        <v>-0.82999959999999995</v>
      </c>
      <c r="U82">
        <v>-0.47659299999999999</v>
      </c>
      <c r="V82">
        <v>2.9568609999999999E-2</v>
      </c>
      <c r="W82">
        <v>3.596038E-2</v>
      </c>
      <c r="X82">
        <v>0.99891569999999996</v>
      </c>
      <c r="Y82">
        <v>0.1600724</v>
      </c>
      <c r="Z82">
        <v>-2.425536E-2</v>
      </c>
      <c r="AA82">
        <v>0.9868072</v>
      </c>
      <c r="AB82">
        <v>4</v>
      </c>
      <c r="AC82">
        <v>0.667300000000011</v>
      </c>
      <c r="AD82">
        <v>-0.193340499999999</v>
      </c>
      <c r="AE82">
        <v>-0.111799999999959</v>
      </c>
      <c r="AF82">
        <v>0.10965152227250601</v>
      </c>
      <c r="AG82">
        <v>-0.193340499999999</v>
      </c>
      <c r="AH82">
        <v>0.61583810960938501</v>
      </c>
      <c r="AI82">
        <v>107.175634204817</v>
      </c>
      <c r="AJ82">
        <v>79.904143890619494</v>
      </c>
      <c r="AK82">
        <v>0.65472175962326795</v>
      </c>
      <c r="AL82">
        <v>87.939177703281899</v>
      </c>
      <c r="AM82">
        <v>88.304499557508294</v>
      </c>
      <c r="AN82">
        <v>1.0000000136667799</v>
      </c>
    </row>
    <row r="83" spans="1:40" x14ac:dyDescent="0.25">
      <c r="A83" t="str">
        <f>"20190312153852911"</f>
        <v>20190312153852911</v>
      </c>
      <c r="B83" t="str">
        <f>"1552376332906084"</f>
        <v>1552376332906084</v>
      </c>
      <c r="C83" t="s">
        <v>40</v>
      </c>
      <c r="D83">
        <v>4.5446410000000004</v>
      </c>
      <c r="E83">
        <v>0.55443169999999897</v>
      </c>
      <c r="F83" t="s">
        <v>41</v>
      </c>
      <c r="G83">
        <v>-473.69049999999999</v>
      </c>
      <c r="H83">
        <v>0.91828500000000002</v>
      </c>
      <c r="I83">
        <v>367.12920000000003</v>
      </c>
      <c r="J83">
        <v>-474.3691</v>
      </c>
      <c r="K83">
        <v>1.1100509999999999</v>
      </c>
      <c r="L83">
        <v>367.23950000000002</v>
      </c>
      <c r="M83">
        <v>0.99989530000000004</v>
      </c>
      <c r="N83">
        <v>0</v>
      </c>
      <c r="O83">
        <v>1.0282889999999999E-2</v>
      </c>
      <c r="P83">
        <v>0.99948720000000002</v>
      </c>
      <c r="Q83">
        <v>2.5636519999999999E-2</v>
      </c>
      <c r="R83">
        <v>-1.9187539999999999E-2</v>
      </c>
      <c r="S83">
        <v>3.0142820000000001</v>
      </c>
      <c r="T83">
        <v>-0.8278103</v>
      </c>
      <c r="U83">
        <v>-0.4733887</v>
      </c>
      <c r="V83">
        <v>2.9461350000000001E-2</v>
      </c>
      <c r="W83">
        <v>3.5810740000000001E-2</v>
      </c>
      <c r="X83">
        <v>0.99892429999999999</v>
      </c>
      <c r="Y83">
        <v>0.15916949999999999</v>
      </c>
      <c r="Z83">
        <v>-2.4092490000000001E-2</v>
      </c>
      <c r="AA83">
        <v>0.98695730000000004</v>
      </c>
      <c r="AB83">
        <v>4</v>
      </c>
      <c r="AC83">
        <v>0.67860000000001697</v>
      </c>
      <c r="AD83">
        <v>-0.19176599999999999</v>
      </c>
      <c r="AE83">
        <v>-0.110299999999995</v>
      </c>
      <c r="AF83">
        <v>0.10880709151028201</v>
      </c>
      <c r="AG83">
        <v>-0.19176599999999999</v>
      </c>
      <c r="AH83">
        <v>0.62852905244530199</v>
      </c>
      <c r="AI83">
        <v>106.732426551274</v>
      </c>
      <c r="AJ83">
        <v>80.1786444972699</v>
      </c>
      <c r="AK83">
        <v>0.66607953855880897</v>
      </c>
      <c r="AL83">
        <v>87.947757082436794</v>
      </c>
      <c r="AM83">
        <v>88.310660942957895</v>
      </c>
      <c r="AN83">
        <v>1.00000006868682</v>
      </c>
    </row>
    <row r="84" spans="1:40" x14ac:dyDescent="0.25">
      <c r="A84" t="str">
        <f>"20190312153852924"</f>
        <v>20190312153852924</v>
      </c>
      <c r="B84" t="str">
        <f>"1552376332916819"</f>
        <v>1552376332916819</v>
      </c>
      <c r="C84" t="s">
        <v>40</v>
      </c>
      <c r="D84">
        <v>4.5592870000000003</v>
      </c>
      <c r="E84">
        <v>0.55442819999999904</v>
      </c>
      <c r="F84" t="s">
        <v>41</v>
      </c>
      <c r="G84">
        <v>-473.68869999999998</v>
      </c>
      <c r="H84">
        <v>0.92299779999999998</v>
      </c>
      <c r="I84">
        <v>367.13240000000002</v>
      </c>
      <c r="J84">
        <v>-474.35140000000001</v>
      </c>
      <c r="K84">
        <v>1.1102669999999999</v>
      </c>
      <c r="L84">
        <v>367.2398</v>
      </c>
      <c r="M84">
        <v>0.99988699999999997</v>
      </c>
      <c r="N84">
        <v>0</v>
      </c>
      <c r="O84">
        <v>1.034789E-2</v>
      </c>
      <c r="P84">
        <v>0.99951369999999895</v>
      </c>
      <c r="Q84">
        <v>2.4848490000000001E-2</v>
      </c>
      <c r="R84">
        <v>-1.8843789999999999E-2</v>
      </c>
      <c r="S84">
        <v>3.0137330000000002</v>
      </c>
      <c r="T84">
        <v>-0.82881759999999904</v>
      </c>
      <c r="U84">
        <v>-0.4725647</v>
      </c>
      <c r="V84">
        <v>2.91848E-2</v>
      </c>
      <c r="W84">
        <v>3.5746890000000003E-2</v>
      </c>
      <c r="X84">
        <v>0.99893460000000001</v>
      </c>
      <c r="Y84">
        <v>0.15898499999999999</v>
      </c>
      <c r="Z84">
        <v>-2.4118179999999999E-2</v>
      </c>
      <c r="AA84">
        <v>0.98698629999999998</v>
      </c>
      <c r="AB84">
        <v>4</v>
      </c>
      <c r="AC84">
        <v>0.66270000000002904</v>
      </c>
      <c r="AD84">
        <v>-0.1872692</v>
      </c>
      <c r="AE84">
        <v>-0.10739999999998399</v>
      </c>
      <c r="AF84">
        <v>0.10600396106001</v>
      </c>
      <c r="AG84">
        <v>-0.1872692</v>
      </c>
      <c r="AH84">
        <v>0.61379339132684896</v>
      </c>
      <c r="AI84">
        <v>106.733439662291</v>
      </c>
      <c r="AJ84">
        <v>80.201501681188404</v>
      </c>
      <c r="AK84">
        <v>0.65042210929946598</v>
      </c>
      <c r="AL84">
        <v>87.951417546735101</v>
      </c>
      <c r="AM84">
        <v>88.326526742556695</v>
      </c>
      <c r="AN84">
        <v>0.99999996388643497</v>
      </c>
    </row>
    <row r="85" spans="1:40" x14ac:dyDescent="0.25">
      <c r="A85" t="str">
        <f>"20190312153852945"</f>
        <v>20190312153852945</v>
      </c>
      <c r="B85" t="str">
        <f>"1552376332936339"</f>
        <v>1552376332936339</v>
      </c>
      <c r="C85" t="s">
        <v>40</v>
      </c>
      <c r="D85">
        <v>4.5623360000000002</v>
      </c>
      <c r="E85">
        <v>0.55435760000000001</v>
      </c>
      <c r="F85" t="s">
        <v>41</v>
      </c>
      <c r="G85">
        <v>-473.66269999999997</v>
      </c>
      <c r="H85">
        <v>0.92065410000000003</v>
      </c>
      <c r="I85">
        <v>367.13189999999997</v>
      </c>
      <c r="J85">
        <v>-474.32549999999998</v>
      </c>
      <c r="K85">
        <v>1.1106320000000001</v>
      </c>
      <c r="L85">
        <v>367.24020000000002</v>
      </c>
      <c r="M85">
        <v>0.99986960000000003</v>
      </c>
      <c r="N85">
        <v>0</v>
      </c>
      <c r="O85">
        <v>1.043235E-2</v>
      </c>
      <c r="P85">
        <v>0.99955689999999997</v>
      </c>
      <c r="Q85">
        <v>2.3099769999999999E-2</v>
      </c>
      <c r="R85">
        <v>-1.8772939999999998E-2</v>
      </c>
      <c r="S85">
        <v>3.0131839999999999</v>
      </c>
      <c r="T85">
        <v>-0.82963199999999904</v>
      </c>
      <c r="U85">
        <v>-0.47152709999999998</v>
      </c>
      <c r="V85">
        <v>2.920259E-2</v>
      </c>
      <c r="W85">
        <v>3.5416650000000001E-2</v>
      </c>
      <c r="X85">
        <v>0.99894590000000005</v>
      </c>
      <c r="Y85">
        <v>0.15875520000000001</v>
      </c>
      <c r="Z85">
        <v>-2.4137700000000002E-2</v>
      </c>
      <c r="AA85">
        <v>0.98702290000000004</v>
      </c>
      <c r="AB85">
        <v>3</v>
      </c>
      <c r="AC85">
        <v>0.66280000000000405</v>
      </c>
      <c r="AD85">
        <v>-0.18997790000000001</v>
      </c>
      <c r="AE85">
        <v>-0.108300000000042</v>
      </c>
      <c r="AF85">
        <v>0.106673210871639</v>
      </c>
      <c r="AG85">
        <v>-0.18997790000000001</v>
      </c>
      <c r="AH85">
        <v>0.61261279076964104</v>
      </c>
      <c r="AI85">
        <v>106.988634655262</v>
      </c>
      <c r="AJ85">
        <v>80.122223455032298</v>
      </c>
      <c r="AK85">
        <v>0.65020397401172803</v>
      </c>
      <c r="AL85">
        <v>87.970351010375694</v>
      </c>
      <c r="AM85">
        <v>88.325526165230997</v>
      </c>
      <c r="AN85">
        <v>1.0000000207433699</v>
      </c>
    </row>
    <row r="86" spans="1:40" x14ac:dyDescent="0.25">
      <c r="A86" t="str">
        <f>"20190312153852957"</f>
        <v>20190312153852957</v>
      </c>
      <c r="B86" t="str">
        <f>"1552376332946099"</f>
        <v>1552376332946099</v>
      </c>
      <c r="C86" t="s">
        <v>40</v>
      </c>
      <c r="D86">
        <v>4.5585079999999998</v>
      </c>
      <c r="E86">
        <v>0.55439259999999901</v>
      </c>
      <c r="F86" t="s">
        <v>41</v>
      </c>
      <c r="G86">
        <v>-473.63830000000002</v>
      </c>
      <c r="H86">
        <v>0.92072759999999998</v>
      </c>
      <c r="I86">
        <v>367.13229999999999</v>
      </c>
      <c r="J86">
        <v>-474.3098</v>
      </c>
      <c r="K86">
        <v>1.110857</v>
      </c>
      <c r="L86">
        <v>367.2405</v>
      </c>
      <c r="M86">
        <v>0.99985630000000003</v>
      </c>
      <c r="N86">
        <v>0</v>
      </c>
      <c r="O86">
        <v>1.0478889999999999E-2</v>
      </c>
      <c r="P86">
        <v>0.99959019999999998</v>
      </c>
      <c r="Q86">
        <v>2.1781930000000001E-2</v>
      </c>
      <c r="R86">
        <v>-1.8574520000000001E-2</v>
      </c>
      <c r="S86">
        <v>3.0116879999999999</v>
      </c>
      <c r="T86">
        <v>-0.83249240000000002</v>
      </c>
      <c r="U86">
        <v>-0.47122190000000003</v>
      </c>
      <c r="V86">
        <v>2.905334E-2</v>
      </c>
      <c r="W86">
        <v>3.5094029999999998E-2</v>
      </c>
      <c r="X86">
        <v>0.99896160000000001</v>
      </c>
      <c r="Y86">
        <v>0.15872990000000001</v>
      </c>
      <c r="Z86">
        <v>-2.4238800000000001E-2</v>
      </c>
      <c r="AA86">
        <v>0.98702449999999997</v>
      </c>
      <c r="AB86">
        <v>3</v>
      </c>
      <c r="AC86">
        <v>0.67149999999998</v>
      </c>
      <c r="AD86">
        <v>-0.190129399999999</v>
      </c>
      <c r="AE86">
        <v>-0.10820000000001</v>
      </c>
      <c r="AF86">
        <v>0.10687965771237699</v>
      </c>
      <c r="AG86">
        <v>-0.190129399999999</v>
      </c>
      <c r="AH86">
        <v>0.62174585054359599</v>
      </c>
      <c r="AI86">
        <v>106.771688252849</v>
      </c>
      <c r="AJ86">
        <v>80.246045390054803</v>
      </c>
      <c r="AK86">
        <v>0.65889327864628799</v>
      </c>
      <c r="AL86">
        <v>87.988847196737197</v>
      </c>
      <c r="AM86">
        <v>88.334105479093097</v>
      </c>
      <c r="AN86">
        <v>0.99999998289067804</v>
      </c>
    </row>
    <row r="87" spans="1:40" x14ac:dyDescent="0.25">
      <c r="A87" t="str">
        <f>"20190312153852979"</f>
        <v>20190312153852979</v>
      </c>
      <c r="B87" t="str">
        <f>"1552376332976355"</f>
        <v>1552376332976355</v>
      </c>
      <c r="C87" t="s">
        <v>40</v>
      </c>
      <c r="D87">
        <v>4.5798969999999999</v>
      </c>
      <c r="E87">
        <v>0.55436479999999999</v>
      </c>
      <c r="F87" t="s">
        <v>41</v>
      </c>
      <c r="G87">
        <v>-473.61610000000002</v>
      </c>
      <c r="H87">
        <v>0.91833109999999996</v>
      </c>
      <c r="I87">
        <v>367.13189999999997</v>
      </c>
      <c r="J87">
        <v>-474.28469999999999</v>
      </c>
      <c r="K87">
        <v>1.111043</v>
      </c>
      <c r="L87">
        <v>367.24079999999998</v>
      </c>
      <c r="M87">
        <v>0.99983960000000005</v>
      </c>
      <c r="N87">
        <v>0</v>
      </c>
      <c r="O87">
        <v>1.0565079999999999E-2</v>
      </c>
      <c r="P87">
        <v>0.99960979999999999</v>
      </c>
      <c r="Q87">
        <v>2.0863679999999999E-2</v>
      </c>
      <c r="R87">
        <v>-1.85776E-2</v>
      </c>
      <c r="S87">
        <v>3.0106809999999999</v>
      </c>
      <c r="T87">
        <v>-0.83569689999999996</v>
      </c>
      <c r="U87">
        <v>-0.47070309999999999</v>
      </c>
      <c r="V87">
        <v>2.9144719999999999E-2</v>
      </c>
      <c r="W87">
        <v>3.5306570000000002E-2</v>
      </c>
      <c r="X87">
        <v>0.99895149999999999</v>
      </c>
      <c r="Y87">
        <v>0.15864809999999999</v>
      </c>
      <c r="Z87">
        <v>-2.434915E-2</v>
      </c>
      <c r="AA87">
        <v>0.98703490000000005</v>
      </c>
      <c r="AB87">
        <v>3</v>
      </c>
      <c r="AC87">
        <v>0.668599999999969</v>
      </c>
      <c r="AD87">
        <v>-0.19271189999999999</v>
      </c>
      <c r="AE87">
        <v>-0.10890000000000501</v>
      </c>
      <c r="AF87">
        <v>0.107276513813185</v>
      </c>
      <c r="AG87">
        <v>-0.19271189999999999</v>
      </c>
      <c r="AH87">
        <v>0.61744203197139902</v>
      </c>
      <c r="AI87">
        <v>107.093005215614</v>
      </c>
      <c r="AJ87">
        <v>80.143624597252199</v>
      </c>
      <c r="AK87">
        <v>0.65565294909920901</v>
      </c>
      <c r="AL87">
        <v>87.976662103481203</v>
      </c>
      <c r="AM87">
        <v>88.328851905221597</v>
      </c>
      <c r="AN87">
        <v>1.0000000339706401</v>
      </c>
    </row>
    <row r="88" spans="1:40" x14ac:dyDescent="0.25">
      <c r="A88" t="str">
        <f>"20190312153853000"</f>
        <v>20190312153853000</v>
      </c>
      <c r="B88" t="str">
        <f>"1552376332995875"</f>
        <v>1552376332995875</v>
      </c>
      <c r="C88" t="s">
        <v>40</v>
      </c>
      <c r="D88">
        <v>4.5826039999999999</v>
      </c>
      <c r="E88">
        <v>0.55424499999999999</v>
      </c>
      <c r="F88" t="s">
        <v>41</v>
      </c>
      <c r="G88">
        <v>-473.59019999999998</v>
      </c>
      <c r="H88">
        <v>0.91837530000000001</v>
      </c>
      <c r="I88">
        <v>367.1318</v>
      </c>
      <c r="J88">
        <v>-474.25659999999999</v>
      </c>
      <c r="K88">
        <v>1.1108340000000001</v>
      </c>
      <c r="L88">
        <v>367.24119999999999</v>
      </c>
      <c r="M88">
        <v>0.99984390000000001</v>
      </c>
      <c r="N88">
        <v>0</v>
      </c>
      <c r="O88">
        <v>1.068595E-2</v>
      </c>
      <c r="P88">
        <v>0.9995908</v>
      </c>
      <c r="Q88">
        <v>2.184183E-2</v>
      </c>
      <c r="R88">
        <v>-1.8470239999999999E-2</v>
      </c>
      <c r="S88">
        <v>3.0098569999999998</v>
      </c>
      <c r="T88">
        <v>-0.83518340000000002</v>
      </c>
      <c r="U88">
        <v>-0.47103879999999998</v>
      </c>
      <c r="V88">
        <v>2.9156350000000001E-2</v>
      </c>
      <c r="W88">
        <v>3.5905569999999998E-2</v>
      </c>
      <c r="X88">
        <v>0.99892979999999998</v>
      </c>
      <c r="Y88">
        <v>0.1589063</v>
      </c>
      <c r="Z88">
        <v>-2.4408559999999999E-2</v>
      </c>
      <c r="AA88">
        <v>0.98699190000000003</v>
      </c>
      <c r="AB88">
        <v>3</v>
      </c>
      <c r="AC88">
        <v>0.66640000000000998</v>
      </c>
      <c r="AD88">
        <v>-0.19245870000000001</v>
      </c>
      <c r="AE88">
        <v>-0.109399999999993</v>
      </c>
      <c r="AF88">
        <v>0.107763195341357</v>
      </c>
      <c r="AG88">
        <v>-0.19245870000000001</v>
      </c>
      <c r="AH88">
        <v>0.61522504853145299</v>
      </c>
      <c r="AI88">
        <v>107.12590876407</v>
      </c>
      <c r="AJ88">
        <v>80.064825857184502</v>
      </c>
      <c r="AK88">
        <v>0.65357105032000795</v>
      </c>
      <c r="AL88">
        <v>87.942320135579607</v>
      </c>
      <c r="AM88">
        <v>88.328149126807205</v>
      </c>
      <c r="AN88">
        <v>1.0000000240151901</v>
      </c>
    </row>
    <row r="89" spans="1:40" x14ac:dyDescent="0.25">
      <c r="A89" t="str">
        <f>"20190312153853022"</f>
        <v>20190312153853022</v>
      </c>
      <c r="B89" t="str">
        <f>"1552376333016371"</f>
        <v>1552376333016371</v>
      </c>
      <c r="C89" t="s">
        <v>40</v>
      </c>
      <c r="D89">
        <v>4.5758470000000004</v>
      </c>
      <c r="E89">
        <v>0.55419589999999996</v>
      </c>
      <c r="F89" t="s">
        <v>41</v>
      </c>
      <c r="G89">
        <v>-473.56029999999998</v>
      </c>
      <c r="H89">
        <v>0.91886469999999998</v>
      </c>
      <c r="I89">
        <v>367.13249999999999</v>
      </c>
      <c r="J89">
        <v>-474.22359999999998</v>
      </c>
      <c r="K89">
        <v>1.1103989999999999</v>
      </c>
      <c r="L89">
        <v>367.24169999999998</v>
      </c>
      <c r="M89">
        <v>0.99986109999999995</v>
      </c>
      <c r="N89">
        <v>0</v>
      </c>
      <c r="O89">
        <v>1.086721E-2</v>
      </c>
      <c r="P89">
        <v>0.99955559999999999</v>
      </c>
      <c r="Q89">
        <v>2.3493819999999999E-2</v>
      </c>
      <c r="R89">
        <v>-1.8346589999999999E-2</v>
      </c>
      <c r="S89">
        <v>3.0106809999999999</v>
      </c>
      <c r="T89">
        <v>-0.83007540000000002</v>
      </c>
      <c r="U89">
        <v>-0.4700317</v>
      </c>
      <c r="V89">
        <v>2.9209599999999999E-2</v>
      </c>
      <c r="W89">
        <v>3.6122399999999999E-2</v>
      </c>
      <c r="X89">
        <v>0.99892040000000004</v>
      </c>
      <c r="Y89">
        <v>0.15879660000000001</v>
      </c>
      <c r="Z89">
        <v>-2.4292830000000001E-2</v>
      </c>
      <c r="AA89">
        <v>0.98701240000000001</v>
      </c>
      <c r="AB89">
        <v>3</v>
      </c>
      <c r="AC89">
        <v>0.66329999999999201</v>
      </c>
      <c r="AD89">
        <v>-0.19153429999999999</v>
      </c>
      <c r="AE89">
        <v>-0.109199999999987</v>
      </c>
      <c r="AF89">
        <v>0.107662135894438</v>
      </c>
      <c r="AG89">
        <v>-0.19153429999999999</v>
      </c>
      <c r="AH89">
        <v>0.61236140342947498</v>
      </c>
      <c r="AI89">
        <v>107.121708308851</v>
      </c>
      <c r="AJ89">
        <v>80.028469006615893</v>
      </c>
      <c r="AK89">
        <v>0.65058666754857397</v>
      </c>
      <c r="AL89">
        <v>87.929888571592102</v>
      </c>
      <c r="AM89">
        <v>88.325081710257905</v>
      </c>
      <c r="AN89">
        <v>0.99999999702503894</v>
      </c>
    </row>
    <row r="90" spans="1:40" x14ac:dyDescent="0.25">
      <c r="A90" t="str">
        <f>"20190312153853034"</f>
        <v>20190312153853034</v>
      </c>
      <c r="B90" t="str">
        <f>"1552376333026131"</f>
        <v>1552376333026131</v>
      </c>
      <c r="C90" t="s">
        <v>40</v>
      </c>
      <c r="D90">
        <v>4.6067330000000002</v>
      </c>
      <c r="E90">
        <v>0.55415760000000003</v>
      </c>
      <c r="F90" t="s">
        <v>41</v>
      </c>
      <c r="G90">
        <v>-473.52800000000002</v>
      </c>
      <c r="H90">
        <v>0.92034729999999998</v>
      </c>
      <c r="I90">
        <v>367.13299999999998</v>
      </c>
      <c r="J90">
        <v>-474.20260000000002</v>
      </c>
      <c r="K90">
        <v>1.110166</v>
      </c>
      <c r="L90">
        <v>367.24200000000002</v>
      </c>
      <c r="M90">
        <v>0.99987079999999995</v>
      </c>
      <c r="N90">
        <v>0</v>
      </c>
      <c r="O90">
        <v>1.099777E-2</v>
      </c>
      <c r="P90">
        <v>0.99952819999999998</v>
      </c>
      <c r="Q90">
        <v>2.471131E-2</v>
      </c>
      <c r="R90">
        <v>-1.8247800000000002E-2</v>
      </c>
      <c r="S90">
        <v>3.012054</v>
      </c>
      <c r="T90">
        <v>-0.82316559999999905</v>
      </c>
      <c r="U90">
        <v>-0.4693909</v>
      </c>
      <c r="V90">
        <v>2.923862E-2</v>
      </c>
      <c r="W90">
        <v>3.6425939999999997E-2</v>
      </c>
      <c r="X90">
        <v>0.99890849999999998</v>
      </c>
      <c r="Y90">
        <v>0.15875429999999999</v>
      </c>
      <c r="Z90">
        <v>-2.4116749999999999E-2</v>
      </c>
      <c r="AA90">
        <v>0.98702350000000005</v>
      </c>
      <c r="AB90">
        <v>3</v>
      </c>
      <c r="AC90">
        <v>0.67459999999999798</v>
      </c>
      <c r="AD90">
        <v>-0.18981870000000001</v>
      </c>
      <c r="AE90">
        <v>-0.10899999999992301</v>
      </c>
      <c r="AF90">
        <v>0.10807401466783501</v>
      </c>
      <c r="AG90">
        <v>-0.18981870000000001</v>
      </c>
      <c r="AH90">
        <v>0.62512562384361303</v>
      </c>
      <c r="AI90">
        <v>106.657724470551</v>
      </c>
      <c r="AJ90">
        <v>80.191450024654699</v>
      </c>
      <c r="AK90">
        <v>0.662188173483927</v>
      </c>
      <c r="AL90">
        <v>87.912485498034201</v>
      </c>
      <c r="AM90">
        <v>88.323398651438296</v>
      </c>
      <c r="AN90">
        <v>0.99999996868831798</v>
      </c>
    </row>
    <row r="91" spans="1:40" x14ac:dyDescent="0.25">
      <c r="A91" t="str">
        <f>"20190312153853047"</f>
        <v>20190312153853047</v>
      </c>
      <c r="B91" t="str">
        <f>"1552376333035891"</f>
        <v>1552376333035891</v>
      </c>
      <c r="C91" t="s">
        <v>40</v>
      </c>
      <c r="D91">
        <v>4.6122940000000003</v>
      </c>
      <c r="E91">
        <v>0.55413990000000002</v>
      </c>
      <c r="F91" t="s">
        <v>41</v>
      </c>
      <c r="G91">
        <v>-473.52550000000002</v>
      </c>
      <c r="H91">
        <v>0.92622470000000001</v>
      </c>
      <c r="I91">
        <v>367.13650000000001</v>
      </c>
      <c r="J91">
        <v>-474.18290000000002</v>
      </c>
      <c r="K91">
        <v>1.1100209999999999</v>
      </c>
      <c r="L91">
        <v>367.2423</v>
      </c>
      <c r="M91">
        <v>0.99987749999999997</v>
      </c>
      <c r="N91">
        <v>0</v>
      </c>
      <c r="O91">
        <v>1.113139E-2</v>
      </c>
      <c r="P91">
        <v>0.99950099999999997</v>
      </c>
      <c r="Q91">
        <v>2.5713239999999998E-2</v>
      </c>
      <c r="R91">
        <v>-1.8354860000000001E-2</v>
      </c>
      <c r="S91">
        <v>3.0131230000000002</v>
      </c>
      <c r="T91">
        <v>-0.81883589999999995</v>
      </c>
      <c r="U91">
        <v>-0.46829219999999999</v>
      </c>
      <c r="V91">
        <v>2.947696E-2</v>
      </c>
      <c r="W91">
        <v>3.6715190000000002E-2</v>
      </c>
      <c r="X91">
        <v>0.99889090000000003</v>
      </c>
      <c r="Y91">
        <v>0.15855039999999901</v>
      </c>
      <c r="Z91">
        <v>-2.3995180000000001E-2</v>
      </c>
      <c r="AA91">
        <v>0.98705929999999997</v>
      </c>
      <c r="AB91">
        <v>3</v>
      </c>
      <c r="AC91">
        <v>0.65739999999999499</v>
      </c>
      <c r="AD91">
        <v>-0.1837963</v>
      </c>
      <c r="AE91">
        <v>-0.105799999999987</v>
      </c>
      <c r="AF91">
        <v>0.10510361890485</v>
      </c>
      <c r="AG91">
        <v>-0.1837963</v>
      </c>
      <c r="AH91">
        <v>0.60972536048075299</v>
      </c>
      <c r="AI91">
        <v>106.544576297715</v>
      </c>
      <c r="AJ91">
        <v>80.219549827411001</v>
      </c>
      <c r="AK91">
        <v>0.64544005594165699</v>
      </c>
      <c r="AL91">
        <v>87.8959015883175</v>
      </c>
      <c r="AM91">
        <v>88.309709887559094</v>
      </c>
      <c r="AN91">
        <v>0.99999996322519302</v>
      </c>
    </row>
    <row r="92" spans="1:40" x14ac:dyDescent="0.25">
      <c r="A92" t="str">
        <f>"20190312153853060"</f>
        <v>20190312153853060</v>
      </c>
      <c r="B92" t="str">
        <f>"1552376333056435"</f>
        <v>1552376333056435</v>
      </c>
      <c r="C92" t="s">
        <v>40</v>
      </c>
      <c r="D92">
        <v>4.6082650000000003</v>
      </c>
      <c r="E92">
        <v>0.55406169999999899</v>
      </c>
      <c r="F92" t="s">
        <v>41</v>
      </c>
      <c r="G92">
        <v>-473.49349999999998</v>
      </c>
      <c r="H92">
        <v>0.9235063</v>
      </c>
      <c r="I92">
        <v>367.13490000000002</v>
      </c>
      <c r="J92">
        <v>-474.1617</v>
      </c>
      <c r="K92">
        <v>1.109907</v>
      </c>
      <c r="L92">
        <v>367.24270000000001</v>
      </c>
      <c r="M92">
        <v>0.99988259999999995</v>
      </c>
      <c r="N92">
        <v>0</v>
      </c>
      <c r="O92">
        <v>1.126827E-2</v>
      </c>
      <c r="P92">
        <v>0.99948519999999996</v>
      </c>
      <c r="Q92">
        <v>2.6261300000000001E-2</v>
      </c>
      <c r="R92">
        <v>-1.8427929999999999E-2</v>
      </c>
      <c r="S92">
        <v>3.0138850000000001</v>
      </c>
      <c r="T92">
        <v>-0.81541339999999995</v>
      </c>
      <c r="U92">
        <v>-0.46887210000000001</v>
      </c>
      <c r="V92">
        <v>2.968517E-2</v>
      </c>
      <c r="W92">
        <v>3.6632749999999999E-2</v>
      </c>
      <c r="X92">
        <v>0.99888779999999999</v>
      </c>
      <c r="Y92">
        <v>0.15886919999999999</v>
      </c>
      <c r="Z92">
        <v>-2.397051E-2</v>
      </c>
      <c r="AA92">
        <v>0.98700860000000001</v>
      </c>
      <c r="AB92">
        <v>4</v>
      </c>
      <c r="AC92">
        <v>0.66820000000001301</v>
      </c>
      <c r="AD92">
        <v>-0.1864007</v>
      </c>
      <c r="AE92">
        <v>-0.107799999999997</v>
      </c>
      <c r="AF92">
        <v>0.107193031412102</v>
      </c>
      <c r="AG92">
        <v>-0.1864007</v>
      </c>
      <c r="AH92">
        <v>0.61992496985578205</v>
      </c>
      <c r="AI92">
        <v>106.503818578246</v>
      </c>
      <c r="AJ92">
        <v>80.189823476220596</v>
      </c>
      <c r="AK92">
        <v>0.65615740123426003</v>
      </c>
      <c r="AL92">
        <v>87.900628314398901</v>
      </c>
      <c r="AM92">
        <v>88.297772272396301</v>
      </c>
      <c r="AN92">
        <v>1.00000000233966</v>
      </c>
    </row>
    <row r="93" spans="1:40" x14ac:dyDescent="0.25">
      <c r="A93" t="str">
        <f>"20190312153853078"</f>
        <v>20190312153853078</v>
      </c>
      <c r="B93" t="str">
        <f>"1552376333066196"</f>
        <v>1552376333066196</v>
      </c>
      <c r="C93" t="s">
        <v>40</v>
      </c>
      <c r="D93">
        <v>4.7199609999999996</v>
      </c>
      <c r="E93">
        <v>0.55415400000000004</v>
      </c>
      <c r="F93" t="s">
        <v>41</v>
      </c>
      <c r="G93">
        <v>-473.46199999999999</v>
      </c>
      <c r="H93">
        <v>0.92085189999999995</v>
      </c>
      <c r="I93">
        <v>367.13420000000002</v>
      </c>
      <c r="J93">
        <v>-474.13290000000001</v>
      </c>
      <c r="K93">
        <v>1.1099270000000001</v>
      </c>
      <c r="L93">
        <v>367.24329999999998</v>
      </c>
      <c r="M93">
        <v>0.99988410000000005</v>
      </c>
      <c r="N93">
        <v>0</v>
      </c>
      <c r="O93">
        <v>1.1413339999999999E-2</v>
      </c>
      <c r="P93">
        <v>0.99949149999999998</v>
      </c>
      <c r="Q93">
        <v>2.6049880000000001E-2</v>
      </c>
      <c r="R93">
        <v>-1.8399559999999999E-2</v>
      </c>
      <c r="S93">
        <v>3.014313</v>
      </c>
      <c r="T93">
        <v>-0.81433279999999997</v>
      </c>
      <c r="U93">
        <v>-0.46777340000000001</v>
      </c>
      <c r="V93">
        <v>2.980089E-2</v>
      </c>
      <c r="W93">
        <v>3.6132879999999999E-2</v>
      </c>
      <c r="X93">
        <v>0.99890259999999997</v>
      </c>
      <c r="Y93">
        <v>0.15865879999999999</v>
      </c>
      <c r="Z93">
        <v>-2.394775E-2</v>
      </c>
      <c r="AA93">
        <v>0.987043</v>
      </c>
      <c r="AB93">
        <v>4</v>
      </c>
      <c r="AC93">
        <v>0.67090000000001704</v>
      </c>
      <c r="AD93">
        <v>-0.1890751</v>
      </c>
      <c r="AE93">
        <v>-0.109099999999955</v>
      </c>
      <c r="AF93">
        <v>0.108365391336954</v>
      </c>
      <c r="AG93">
        <v>-0.1890751</v>
      </c>
      <c r="AH93">
        <v>0.62151911473058197</v>
      </c>
      <c r="AI93">
        <v>106.683117943498</v>
      </c>
      <c r="AJ93">
        <v>80.109577933109193</v>
      </c>
      <c r="AK93">
        <v>0.65861860090275903</v>
      </c>
      <c r="AL93">
        <v>87.929287811035394</v>
      </c>
      <c r="AM93">
        <v>88.291165806150801</v>
      </c>
      <c r="AN93">
        <v>1.00000004117432</v>
      </c>
    </row>
    <row r="94" spans="1:40" x14ac:dyDescent="0.25">
      <c r="A94" t="str">
        <f>"20190312153853100"</f>
        <v>20190312153853100</v>
      </c>
      <c r="B94" t="str">
        <f>"1552376333096452"</f>
        <v>1552376333096452</v>
      </c>
      <c r="C94" t="s">
        <v>40</v>
      </c>
      <c r="D94">
        <v>4.5632979999999996</v>
      </c>
      <c r="E94">
        <v>0.55425139999999995</v>
      </c>
      <c r="F94" t="s">
        <v>41</v>
      </c>
      <c r="G94">
        <v>-473.4332</v>
      </c>
      <c r="H94">
        <v>0.92065850000000005</v>
      </c>
      <c r="I94">
        <v>367.13459999999998</v>
      </c>
      <c r="J94">
        <v>-474.10160000000002</v>
      </c>
      <c r="K94">
        <v>1.1102909999999999</v>
      </c>
      <c r="L94">
        <v>367.2439</v>
      </c>
      <c r="M94">
        <v>0.99987139999999997</v>
      </c>
      <c r="N94">
        <v>0</v>
      </c>
      <c r="O94">
        <v>1.1535220000000001E-2</v>
      </c>
      <c r="P94">
        <v>0.99950369999999999</v>
      </c>
      <c r="Q94">
        <v>2.543486E-2</v>
      </c>
      <c r="R94">
        <v>-1.859682E-2</v>
      </c>
      <c r="S94">
        <v>3.0141909999999998</v>
      </c>
      <c r="T94">
        <v>-0.81527079999999996</v>
      </c>
      <c r="U94">
        <v>-0.46813959999999999</v>
      </c>
      <c r="V94">
        <v>3.012242E-2</v>
      </c>
      <c r="W94">
        <v>3.6585100000000002E-2</v>
      </c>
      <c r="X94">
        <v>0.99887649999999994</v>
      </c>
      <c r="Y94">
        <v>0.1588765</v>
      </c>
      <c r="Z94">
        <v>-2.4036120000000001E-2</v>
      </c>
      <c r="AA94">
        <v>0.98700580000000004</v>
      </c>
      <c r="AB94">
        <v>4</v>
      </c>
      <c r="AC94">
        <v>0.66840000000001898</v>
      </c>
      <c r="AD94">
        <v>-0.18963250000000001</v>
      </c>
      <c r="AE94">
        <v>-0.10930000000001799</v>
      </c>
      <c r="AF94">
        <v>0.108497605292046</v>
      </c>
      <c r="AG94">
        <v>-0.18963250000000001</v>
      </c>
      <c r="AH94">
        <v>0.61859915703534196</v>
      </c>
      <c r="AI94">
        <v>106.801293104043</v>
      </c>
      <c r="AJ94">
        <v>80.051939858672796</v>
      </c>
      <c r="AK94">
        <v>0.65604659323495795</v>
      </c>
      <c r="AL94">
        <v>87.9033603811761</v>
      </c>
      <c r="AM94">
        <v>88.272694727985595</v>
      </c>
      <c r="AN94">
        <v>1.0000000459904499</v>
      </c>
    </row>
    <row r="95" spans="1:40" x14ac:dyDescent="0.25">
      <c r="A95" t="str">
        <f>"20190312153853114"</f>
        <v>20190312153853114</v>
      </c>
      <c r="B95" t="str">
        <f>"1552376333106212"</f>
        <v>1552376333106212</v>
      </c>
      <c r="C95" t="s">
        <v>40</v>
      </c>
      <c r="D95">
        <v>4.6509609999999997</v>
      </c>
      <c r="E95">
        <v>0.5542861</v>
      </c>
      <c r="F95" t="s">
        <v>41</v>
      </c>
      <c r="G95">
        <v>-473.40679999999998</v>
      </c>
      <c r="H95">
        <v>0.92162379999999999</v>
      </c>
      <c r="I95">
        <v>367.13529999999997</v>
      </c>
      <c r="J95">
        <v>-474.0838</v>
      </c>
      <c r="K95">
        <v>1.110557</v>
      </c>
      <c r="L95">
        <v>367.24419999999998</v>
      </c>
      <c r="M95">
        <v>0.99985919999999895</v>
      </c>
      <c r="N95">
        <v>0</v>
      </c>
      <c r="O95">
        <v>1.159514E-2</v>
      </c>
      <c r="P95">
        <v>0.99950779999999995</v>
      </c>
      <c r="Q95">
        <v>2.4816009999999999E-2</v>
      </c>
      <c r="R95">
        <v>-1.9192150000000002E-2</v>
      </c>
      <c r="S95">
        <v>3.013611</v>
      </c>
      <c r="T95">
        <v>-0.81847179999999997</v>
      </c>
      <c r="U95">
        <v>-0.4698792</v>
      </c>
      <c r="V95">
        <v>3.0780439999999999E-2</v>
      </c>
      <c r="W95">
        <v>3.6942969999999999E-2</v>
      </c>
      <c r="X95">
        <v>0.99884320000000004</v>
      </c>
      <c r="Y95">
        <v>0.1594505</v>
      </c>
      <c r="Z95">
        <v>-2.422272E-2</v>
      </c>
      <c r="AA95">
        <v>0.98690869999999997</v>
      </c>
      <c r="AB95">
        <v>3</v>
      </c>
      <c r="AC95">
        <v>0.67700000000002003</v>
      </c>
      <c r="AD95">
        <v>-0.188933199999999</v>
      </c>
      <c r="AE95">
        <v>-0.10890000000000501</v>
      </c>
      <c r="AF95">
        <v>0.108505633402333</v>
      </c>
      <c r="AG95">
        <v>-0.188933199999999</v>
      </c>
      <c r="AH95">
        <v>0.62801409617494397</v>
      </c>
      <c r="AI95">
        <v>106.512461769117</v>
      </c>
      <c r="AJ95">
        <v>80.197451891170502</v>
      </c>
      <c r="AK95">
        <v>0.66473372980217704</v>
      </c>
      <c r="AL95">
        <v>87.882841927226707</v>
      </c>
      <c r="AM95">
        <v>88.234926795086494</v>
      </c>
      <c r="AN95">
        <v>0.99999997835262699</v>
      </c>
    </row>
    <row r="96" spans="1:40" x14ac:dyDescent="0.25">
      <c r="A96" t="str">
        <f>"20190312153853135"</f>
        <v>20190312153853135</v>
      </c>
      <c r="B96" t="str">
        <f>"1552376333126708"</f>
        <v>1552376333126708</v>
      </c>
      <c r="C96" t="s">
        <v>40</v>
      </c>
      <c r="D96">
        <v>4.6635339999999896</v>
      </c>
      <c r="E96">
        <v>0.55440319999999899</v>
      </c>
      <c r="F96" t="s">
        <v>41</v>
      </c>
      <c r="G96">
        <v>-473.40499999999997</v>
      </c>
      <c r="H96">
        <v>0.92583950000000004</v>
      </c>
      <c r="I96">
        <v>367.13749999999999</v>
      </c>
      <c r="J96">
        <v>-474.05869999999999</v>
      </c>
      <c r="K96">
        <v>1.110927</v>
      </c>
      <c r="L96">
        <v>367.24470000000002</v>
      </c>
      <c r="M96">
        <v>0.99983759999999999</v>
      </c>
      <c r="N96">
        <v>0</v>
      </c>
      <c r="O96">
        <v>1.166822E-2</v>
      </c>
      <c r="P96">
        <v>0.9995098</v>
      </c>
      <c r="Q96">
        <v>2.4746069999999998E-2</v>
      </c>
      <c r="R96">
        <v>-1.9177139999999999E-2</v>
      </c>
      <c r="S96">
        <v>3.012756</v>
      </c>
      <c r="T96">
        <v>-0.82006880000000004</v>
      </c>
      <c r="U96">
        <v>-0.47232059999999998</v>
      </c>
      <c r="V96">
        <v>3.0842910000000001E-2</v>
      </c>
      <c r="W96">
        <v>3.8465850000000003E-2</v>
      </c>
      <c r="X96">
        <v>0.9987838</v>
      </c>
      <c r="Y96">
        <v>0.16028789999999901</v>
      </c>
      <c r="Z96">
        <v>-2.4404289999999999E-2</v>
      </c>
      <c r="AA96">
        <v>0.9867686</v>
      </c>
      <c r="AB96">
        <v>3</v>
      </c>
      <c r="AC96">
        <v>0.65370000000001405</v>
      </c>
      <c r="AD96">
        <v>-0.18508749999999999</v>
      </c>
      <c r="AE96">
        <v>-0.107200000000034</v>
      </c>
      <c r="AF96">
        <v>0.106506224380535</v>
      </c>
      <c r="AG96">
        <v>-0.18508749999999999</v>
      </c>
      <c r="AH96">
        <v>0.60516092966747903</v>
      </c>
      <c r="AI96">
        <v>106.763292998289</v>
      </c>
      <c r="AJ96">
        <v>80.018363493937798</v>
      </c>
      <c r="AK96">
        <v>0.641732583935127</v>
      </c>
      <c r="AL96">
        <v>87.795525264532898</v>
      </c>
      <c r="AM96">
        <v>88.231241669924103</v>
      </c>
      <c r="AN96">
        <v>0.99999999292796504</v>
      </c>
    </row>
    <row r="97" spans="1:40" x14ac:dyDescent="0.25">
      <c r="A97" t="str">
        <f>"20190312153853147"</f>
        <v>20190312153853147</v>
      </c>
      <c r="B97" t="str">
        <f>"1552376333136468"</f>
        <v>1552376333136468</v>
      </c>
      <c r="C97" t="s">
        <v>40</v>
      </c>
      <c r="D97">
        <v>4.5926749999999998</v>
      </c>
      <c r="E97">
        <v>0.55443140000000002</v>
      </c>
      <c r="F97" t="s">
        <v>41</v>
      </c>
      <c r="G97">
        <v>-473.38150000000002</v>
      </c>
      <c r="H97">
        <v>0.92625460000000004</v>
      </c>
      <c r="I97">
        <v>367.13850000000002</v>
      </c>
      <c r="J97">
        <v>-474.04140000000001</v>
      </c>
      <c r="K97">
        <v>1.110832</v>
      </c>
      <c r="L97">
        <v>367.24489999999997</v>
      </c>
      <c r="M97">
        <v>0.99983880000000003</v>
      </c>
      <c r="N97">
        <v>0</v>
      </c>
      <c r="O97">
        <v>1.173244E-2</v>
      </c>
      <c r="P97">
        <v>0.99950740000000005</v>
      </c>
      <c r="Q97">
        <v>2.5290920000000001E-2</v>
      </c>
      <c r="R97">
        <v>-1.8591590000000002E-2</v>
      </c>
      <c r="S97">
        <v>3.0127259999999998</v>
      </c>
      <c r="T97">
        <v>-0.82146260000000004</v>
      </c>
      <c r="U97">
        <v>-0.47277829999999899</v>
      </c>
      <c r="V97">
        <v>3.032174E-2</v>
      </c>
      <c r="W97">
        <v>3.8876569999999999E-2</v>
      </c>
      <c r="X97">
        <v>0.99878389999999995</v>
      </c>
      <c r="Y97">
        <v>0.160469899999999</v>
      </c>
      <c r="Z97">
        <v>-2.448562E-2</v>
      </c>
      <c r="AA97">
        <v>0.98673699999999998</v>
      </c>
      <c r="AB97">
        <v>3</v>
      </c>
      <c r="AC97">
        <v>0.65989999999999305</v>
      </c>
      <c r="AD97">
        <v>-0.1845774</v>
      </c>
      <c r="AE97">
        <v>-0.10639999999995001</v>
      </c>
      <c r="AF97">
        <v>0.106049108457389</v>
      </c>
      <c r="AG97">
        <v>-0.1845774</v>
      </c>
      <c r="AH97">
        <v>0.61194382337243702</v>
      </c>
      <c r="AI97">
        <v>106.55168650333199</v>
      </c>
      <c r="AJ97">
        <v>80.168358930424603</v>
      </c>
      <c r="AK97">
        <v>0.64791239605292605</v>
      </c>
      <c r="AL97">
        <v>87.771975224687793</v>
      </c>
      <c r="AM97">
        <v>88.261111041531905</v>
      </c>
      <c r="AN97">
        <v>1.0000000372554001</v>
      </c>
    </row>
    <row r="98" spans="1:40" x14ac:dyDescent="0.25">
      <c r="A98" t="str">
        <f>"20190312153853160"</f>
        <v>20190312153853160</v>
      </c>
      <c r="B98" t="str">
        <f>"1552376333155988"</f>
        <v>1552376333155988</v>
      </c>
      <c r="C98" t="s">
        <v>40</v>
      </c>
      <c r="D98">
        <v>4.5903019999999897</v>
      </c>
      <c r="E98">
        <v>0.5543863</v>
      </c>
      <c r="F98" t="s">
        <v>41</v>
      </c>
      <c r="G98">
        <v>-473.35419999999999</v>
      </c>
      <c r="H98">
        <v>0.92371170000000002</v>
      </c>
      <c r="I98">
        <v>367.13720000000001</v>
      </c>
      <c r="J98">
        <v>-474.02300000000002</v>
      </c>
      <c r="K98">
        <v>1.110636</v>
      </c>
      <c r="L98">
        <v>367.24520000000001</v>
      </c>
      <c r="M98">
        <v>0.99984479999999998</v>
      </c>
      <c r="N98">
        <v>0</v>
      </c>
      <c r="O98">
        <v>1.181218E-2</v>
      </c>
      <c r="P98">
        <v>0.99950280000000002</v>
      </c>
      <c r="Q98">
        <v>2.6007590000000001E-2</v>
      </c>
      <c r="R98">
        <v>-1.783032E-2</v>
      </c>
      <c r="S98">
        <v>3.013458</v>
      </c>
      <c r="T98">
        <v>-0.82072659999999997</v>
      </c>
      <c r="U98">
        <v>-0.4714661</v>
      </c>
      <c r="V98">
        <v>2.9640030000000001E-2</v>
      </c>
      <c r="W98">
        <v>3.9070500000000001E-2</v>
      </c>
      <c r="X98">
        <v>0.99879680000000004</v>
      </c>
      <c r="Y98">
        <v>0.16011529999999999</v>
      </c>
      <c r="Z98">
        <v>-2.443358E-2</v>
      </c>
      <c r="AA98">
        <v>0.98679589999999995</v>
      </c>
      <c r="AB98">
        <v>3</v>
      </c>
      <c r="AC98">
        <v>0.66880000000003204</v>
      </c>
      <c r="AD98">
        <v>-0.18692429999999999</v>
      </c>
      <c r="AE98">
        <v>-0.108000000000004</v>
      </c>
      <c r="AF98">
        <v>0.10769429615986301</v>
      </c>
      <c r="AG98">
        <v>-0.18692429999999999</v>
      </c>
      <c r="AH98">
        <v>0.620256986726753</v>
      </c>
      <c r="AI98">
        <v>106.537389987628</v>
      </c>
      <c r="AJ98">
        <v>80.150017800092897</v>
      </c>
      <c r="AK98">
        <v>0.65670197573877498</v>
      </c>
      <c r="AL98">
        <v>87.760855415758499</v>
      </c>
      <c r="AM98">
        <v>88.300204439579105</v>
      </c>
      <c r="AN98">
        <v>1.0000000415194401</v>
      </c>
    </row>
    <row r="99" spans="1:40" x14ac:dyDescent="0.25">
      <c r="A99" t="str">
        <f>"20190312153853179"</f>
        <v>20190312153853179</v>
      </c>
      <c r="B99" t="str">
        <f>"1552376333176484"</f>
        <v>1552376333176484</v>
      </c>
      <c r="C99" t="s">
        <v>40</v>
      </c>
      <c r="D99">
        <v>4.6053680000000004</v>
      </c>
      <c r="E99">
        <v>0.55436940000000001</v>
      </c>
      <c r="F99" t="s">
        <v>41</v>
      </c>
      <c r="G99">
        <v>-473.32310000000001</v>
      </c>
      <c r="H99">
        <v>0.92049550000000002</v>
      </c>
      <c r="I99">
        <v>367.13619999999997</v>
      </c>
      <c r="J99">
        <v>-473.99200000000002</v>
      </c>
      <c r="K99">
        <v>1.110193</v>
      </c>
      <c r="L99">
        <v>367.2457</v>
      </c>
      <c r="M99">
        <v>0.99986120000000001</v>
      </c>
      <c r="N99">
        <v>0</v>
      </c>
      <c r="O99">
        <v>1.1988759999999999E-2</v>
      </c>
      <c r="P99">
        <v>0.99948289999999995</v>
      </c>
      <c r="Q99">
        <v>2.7559150000000001E-2</v>
      </c>
      <c r="R99">
        <v>-1.6567019999999998E-2</v>
      </c>
      <c r="S99">
        <v>3.0144039999999999</v>
      </c>
      <c r="T99">
        <v>-0.81893909999999903</v>
      </c>
      <c r="U99">
        <v>-0.4692383</v>
      </c>
      <c r="V99">
        <v>2.8551070000000001E-2</v>
      </c>
      <c r="W99">
        <v>3.9115289999999997E-2</v>
      </c>
      <c r="X99">
        <v>0.99882669999999996</v>
      </c>
      <c r="Y99">
        <v>0.15957199999999999</v>
      </c>
      <c r="Z99">
        <v>-2.435095E-2</v>
      </c>
      <c r="AA99">
        <v>0.98688589999999998</v>
      </c>
      <c r="AB99">
        <v>3</v>
      </c>
      <c r="AC99">
        <v>0.66889999999995098</v>
      </c>
      <c r="AD99">
        <v>-0.18969749999999999</v>
      </c>
      <c r="AE99">
        <v>-0.10950000000002499</v>
      </c>
      <c r="AF99">
        <v>0.108976094159287</v>
      </c>
      <c r="AG99">
        <v>-0.18969749999999999</v>
      </c>
      <c r="AH99">
        <v>0.61905024390430496</v>
      </c>
      <c r="AI99">
        <v>106.793427742017</v>
      </c>
      <c r="AJ99">
        <v>80.016083381065201</v>
      </c>
      <c r="AK99">
        <v>0.65656997729293298</v>
      </c>
      <c r="AL99">
        <v>87.758287021168201</v>
      </c>
      <c r="AM99">
        <v>88.362668430586297</v>
      </c>
      <c r="AN99">
        <v>0.99999997307140898</v>
      </c>
    </row>
    <row r="100" spans="1:40" x14ac:dyDescent="0.25">
      <c r="A100" t="str">
        <f>"20190312153853201"</f>
        <v>20190312153853201</v>
      </c>
      <c r="B100" t="str">
        <f>"1552376333196004"</f>
        <v>1552376333196004</v>
      </c>
      <c r="C100" t="s">
        <v>40</v>
      </c>
      <c r="D100">
        <v>4.685295</v>
      </c>
      <c r="E100">
        <v>0.55439189999999905</v>
      </c>
      <c r="F100" t="s">
        <v>41</v>
      </c>
      <c r="G100">
        <v>-473.28859999999997</v>
      </c>
      <c r="H100">
        <v>0.92023900000000003</v>
      </c>
      <c r="I100">
        <v>367.13679999999999</v>
      </c>
      <c r="J100">
        <v>-473.95359999999999</v>
      </c>
      <c r="K100">
        <v>1.1098870000000001</v>
      </c>
      <c r="L100">
        <v>367.24630000000002</v>
      </c>
      <c r="M100">
        <v>0.99987320000000002</v>
      </c>
      <c r="N100">
        <v>0</v>
      </c>
      <c r="O100">
        <v>1.222821E-2</v>
      </c>
      <c r="P100">
        <v>0.99948049999999999</v>
      </c>
      <c r="Q100">
        <v>2.8200960000000001E-2</v>
      </c>
      <c r="R100">
        <v>-1.560519E-2</v>
      </c>
      <c r="S100">
        <v>3.016327</v>
      </c>
      <c r="T100">
        <v>-0.81477319999999998</v>
      </c>
      <c r="U100">
        <v>-0.46551510000000001</v>
      </c>
      <c r="V100">
        <v>2.7825869999999999E-2</v>
      </c>
      <c r="W100">
        <v>3.8396279999999998E-2</v>
      </c>
      <c r="X100">
        <v>0.99887510000000002</v>
      </c>
      <c r="Y100">
        <v>0.15861449999999999</v>
      </c>
      <c r="Z100">
        <v>-2.4155550000000001E-2</v>
      </c>
      <c r="AA100">
        <v>0.98704499999999995</v>
      </c>
      <c r="AB100">
        <v>4</v>
      </c>
      <c r="AC100">
        <v>0.66500000000002002</v>
      </c>
      <c r="AD100">
        <v>-0.18964800000000001</v>
      </c>
      <c r="AE100">
        <v>-0.10950000000002499</v>
      </c>
      <c r="AF100">
        <v>0.108993505111088</v>
      </c>
      <c r="AG100">
        <v>-0.18964800000000001</v>
      </c>
      <c r="AH100">
        <v>0.61491970683797703</v>
      </c>
      <c r="AI100">
        <v>106.89235933504401</v>
      </c>
      <c r="AJ100">
        <v>79.948809185323697</v>
      </c>
      <c r="AK100">
        <v>0.652665453289895</v>
      </c>
      <c r="AL100">
        <v>87.799514315031303</v>
      </c>
      <c r="AM100">
        <v>88.404312312994705</v>
      </c>
      <c r="AN100">
        <v>1.00000000937955</v>
      </c>
    </row>
    <row r="101" spans="1:40" x14ac:dyDescent="0.25">
      <c r="A101" t="str">
        <f>"20190312153853224"</f>
        <v>20190312153853224</v>
      </c>
      <c r="B101" t="str">
        <f>"1552376333216502"</f>
        <v>1552376333216502</v>
      </c>
      <c r="C101" t="s">
        <v>40</v>
      </c>
      <c r="D101">
        <v>4.7555360000000002</v>
      </c>
      <c r="E101">
        <v>0.55434130000000004</v>
      </c>
      <c r="F101" t="s">
        <v>41</v>
      </c>
      <c r="G101">
        <v>-473.25529999999998</v>
      </c>
      <c r="H101">
        <v>0.92201160000000004</v>
      </c>
      <c r="I101">
        <v>367.1386</v>
      </c>
      <c r="J101">
        <v>-473.91910000000001</v>
      </c>
      <c r="K101">
        <v>1.1100449999999999</v>
      </c>
      <c r="L101">
        <v>367.24689999999998</v>
      </c>
      <c r="M101">
        <v>0.99986850000000005</v>
      </c>
      <c r="N101">
        <v>0</v>
      </c>
      <c r="O101">
        <v>1.2422509999999999E-2</v>
      </c>
      <c r="P101">
        <v>0.99951860000000003</v>
      </c>
      <c r="Q101">
        <v>2.656493E-2</v>
      </c>
      <c r="R101">
        <v>-1.6031810000000001E-2</v>
      </c>
      <c r="S101">
        <v>3.0171809999999999</v>
      </c>
      <c r="T101">
        <v>-0.81182519999999903</v>
      </c>
      <c r="U101">
        <v>-0.46450809999999998</v>
      </c>
      <c r="V101">
        <v>2.8446340000000001E-2</v>
      </c>
      <c r="W101">
        <v>3.6982029999999999E-2</v>
      </c>
      <c r="X101">
        <v>0.99891099999999999</v>
      </c>
      <c r="Y101">
        <v>0.1584853</v>
      </c>
      <c r="Z101">
        <v>-2.4099309999999999E-2</v>
      </c>
      <c r="AA101">
        <v>0.98706719999999903</v>
      </c>
      <c r="AB101">
        <v>4</v>
      </c>
      <c r="AC101">
        <v>0.66380000000003703</v>
      </c>
      <c r="AD101">
        <v>-0.18803339999999999</v>
      </c>
      <c r="AE101">
        <v>-0.10829999999998501</v>
      </c>
      <c r="AF101">
        <v>0.108089815744234</v>
      </c>
      <c r="AG101">
        <v>-0.18803339999999999</v>
      </c>
      <c r="AH101">
        <v>0.614382961327401</v>
      </c>
      <c r="AI101">
        <v>106.774021652404</v>
      </c>
      <c r="AJ101">
        <v>80.021932387785</v>
      </c>
      <c r="AK101">
        <v>0.65154154967477695</v>
      </c>
      <c r="AL101">
        <v>87.880602523349296</v>
      </c>
      <c r="AM101">
        <v>88.3688087761399</v>
      </c>
      <c r="AN101">
        <v>1.0000000253616499</v>
      </c>
    </row>
    <row r="102" spans="1:40" x14ac:dyDescent="0.25">
      <c r="A102" t="str">
        <f>"20190312153853236"</f>
        <v>20190312153853236</v>
      </c>
      <c r="B102" t="str">
        <f>"1552376333226259"</f>
        <v>1552376333226259</v>
      </c>
      <c r="C102" t="s">
        <v>40</v>
      </c>
      <c r="D102">
        <v>4.6931830000000003</v>
      </c>
      <c r="E102">
        <v>0.55438089999999995</v>
      </c>
      <c r="F102" t="s">
        <v>41</v>
      </c>
      <c r="G102">
        <v>-473.2269</v>
      </c>
      <c r="H102">
        <v>0.92227349999999997</v>
      </c>
      <c r="I102">
        <v>367.13959999999997</v>
      </c>
      <c r="J102">
        <v>-473.9</v>
      </c>
      <c r="K102">
        <v>1.110314</v>
      </c>
      <c r="L102">
        <v>367.2473</v>
      </c>
      <c r="M102">
        <v>0.99985869999999999</v>
      </c>
      <c r="N102">
        <v>0</v>
      </c>
      <c r="O102">
        <v>1.251204E-2</v>
      </c>
      <c r="P102">
        <v>0.99955439999999995</v>
      </c>
      <c r="Q102">
        <v>2.4904249999999999E-2</v>
      </c>
      <c r="R102">
        <v>-1.6464369999999999E-2</v>
      </c>
      <c r="S102">
        <v>3.0157780000000001</v>
      </c>
      <c r="T102">
        <v>-0.818219699999999</v>
      </c>
      <c r="U102">
        <v>-0.46633910000000001</v>
      </c>
      <c r="V102">
        <v>2.8969129999999999E-2</v>
      </c>
      <c r="W102">
        <v>3.6125730000000002E-2</v>
      </c>
      <c r="X102">
        <v>0.99892729999999996</v>
      </c>
      <c r="Y102">
        <v>0.15910589999999999</v>
      </c>
      <c r="Z102">
        <v>-2.4398360000000001E-2</v>
      </c>
      <c r="AA102">
        <v>0.98695999999999995</v>
      </c>
      <c r="AB102">
        <v>4</v>
      </c>
      <c r="AC102">
        <v>0.67309999999997605</v>
      </c>
      <c r="AD102">
        <v>-0.188040499999999</v>
      </c>
      <c r="AE102">
        <v>-0.107700000000022</v>
      </c>
      <c r="AF102">
        <v>0.10790291674408301</v>
      </c>
      <c r="AG102">
        <v>-0.188040499999999</v>
      </c>
      <c r="AH102">
        <v>0.62420020873983095</v>
      </c>
      <c r="AI102">
        <v>106.533398082495</v>
      </c>
      <c r="AJ102">
        <v>80.192440116087596</v>
      </c>
      <c r="AK102">
        <v>0.66077845733118401</v>
      </c>
      <c r="AL102">
        <v>87.929697688795002</v>
      </c>
      <c r="AM102">
        <v>88.338874298049305</v>
      </c>
      <c r="AN102">
        <v>1.0000000147731301</v>
      </c>
    </row>
    <row r="103" spans="1:40" x14ac:dyDescent="0.25">
      <c r="A103" t="str">
        <f>"20190312153853258"</f>
        <v>20190312153853258</v>
      </c>
      <c r="B103" t="str">
        <f>"1552376333245783"</f>
        <v>1552376333245783</v>
      </c>
      <c r="C103" t="s">
        <v>40</v>
      </c>
      <c r="D103">
        <v>4.6996390000000003</v>
      </c>
      <c r="E103">
        <v>0.55437539999999996</v>
      </c>
      <c r="F103" t="s">
        <v>41</v>
      </c>
      <c r="G103">
        <v>-473.2253</v>
      </c>
      <c r="H103">
        <v>0.92612989999999995</v>
      </c>
      <c r="I103">
        <v>367.14210000000003</v>
      </c>
      <c r="J103">
        <v>-473.8741</v>
      </c>
      <c r="K103">
        <v>1.1107899999999999</v>
      </c>
      <c r="L103">
        <v>367.24779999999998</v>
      </c>
      <c r="M103">
        <v>0.99983639999999996</v>
      </c>
      <c r="N103">
        <v>0</v>
      </c>
      <c r="O103">
        <v>1.2600979999999999E-2</v>
      </c>
      <c r="P103">
        <v>0.99960300000000002</v>
      </c>
      <c r="Q103">
        <v>2.222528E-2</v>
      </c>
      <c r="R103">
        <v>-1.732709E-2</v>
      </c>
      <c r="S103">
        <v>3.0141300000000002</v>
      </c>
      <c r="T103">
        <v>-0.82293150000000004</v>
      </c>
      <c r="U103">
        <v>-0.46893309999999999</v>
      </c>
      <c r="V103">
        <v>2.9923450000000001E-2</v>
      </c>
      <c r="W103">
        <v>3.5196970000000001E-2</v>
      </c>
      <c r="X103">
        <v>0.9989323</v>
      </c>
      <c r="Y103">
        <v>0.15999530000000001</v>
      </c>
      <c r="Z103">
        <v>-2.468764E-2</v>
      </c>
      <c r="AA103">
        <v>0.98680900000000005</v>
      </c>
      <c r="AB103">
        <v>4</v>
      </c>
      <c r="AC103">
        <v>0.64879999999999405</v>
      </c>
      <c r="AD103">
        <v>-0.18466009999999899</v>
      </c>
      <c r="AE103">
        <v>-0.105699999999956</v>
      </c>
      <c r="AF103">
        <v>0.105539393741647</v>
      </c>
      <c r="AG103">
        <v>-0.18466009999999899</v>
      </c>
      <c r="AH103">
        <v>0.60006369263091497</v>
      </c>
      <c r="AI103">
        <v>106.861117643241</v>
      </c>
      <c r="AJ103">
        <v>80.024822031401598</v>
      </c>
      <c r="AK103">
        <v>0.63664303292914004</v>
      </c>
      <c r="AL103">
        <v>87.982945536954404</v>
      </c>
      <c r="AM103">
        <v>88.284193182843396</v>
      </c>
      <c r="AN103">
        <v>0.999999989770186</v>
      </c>
    </row>
    <row r="104" spans="1:40" x14ac:dyDescent="0.25">
      <c r="A104" t="str">
        <f>"20190312153853271"</f>
        <v>20190312153853271</v>
      </c>
      <c r="B104" t="str">
        <f>"1552376333266276"</f>
        <v>1552376333266276</v>
      </c>
      <c r="C104" t="s">
        <v>40</v>
      </c>
      <c r="D104">
        <v>4.6109159999999996</v>
      </c>
      <c r="E104">
        <v>0.55434150000000004</v>
      </c>
      <c r="F104" t="s">
        <v>41</v>
      </c>
      <c r="G104">
        <v>-473.18049999999999</v>
      </c>
      <c r="H104">
        <v>0.91931379999999996</v>
      </c>
      <c r="I104">
        <v>367.13869999999997</v>
      </c>
      <c r="J104">
        <v>-473.85849999999999</v>
      </c>
      <c r="K104">
        <v>1.1110390000000001</v>
      </c>
      <c r="L104">
        <v>367.24799999999999</v>
      </c>
      <c r="M104">
        <v>0.99982040000000005</v>
      </c>
      <c r="N104">
        <v>0</v>
      </c>
      <c r="O104">
        <v>1.2640719999999999E-2</v>
      </c>
      <c r="P104">
        <v>0.99962019999999996</v>
      </c>
      <c r="Q104">
        <v>2.1093859999999999E-2</v>
      </c>
      <c r="R104">
        <v>-1.7739120000000001E-2</v>
      </c>
      <c r="S104">
        <v>3.011536</v>
      </c>
      <c r="T104">
        <v>-0.83152289999999995</v>
      </c>
      <c r="U104">
        <v>-0.47222900000000001</v>
      </c>
      <c r="V104">
        <v>3.0377129999999999E-2</v>
      </c>
      <c r="W104">
        <v>3.5209839999999999E-2</v>
      </c>
      <c r="X104">
        <v>0.99891819999999998</v>
      </c>
      <c r="Y104">
        <v>0.16104170000000001</v>
      </c>
      <c r="Z104">
        <v>-2.510654E-2</v>
      </c>
      <c r="AA104">
        <v>0.98662819999999996</v>
      </c>
      <c r="AB104">
        <v>3</v>
      </c>
      <c r="AC104">
        <v>0.67799999999999705</v>
      </c>
      <c r="AD104">
        <v>-0.19172519999999901</v>
      </c>
      <c r="AE104">
        <v>-0.109300000000075</v>
      </c>
      <c r="AF104">
        <v>0.109340598027065</v>
      </c>
      <c r="AG104">
        <v>-0.19172519999999901</v>
      </c>
      <c r="AH104">
        <v>0.62764577538600497</v>
      </c>
      <c r="AI104">
        <v>106.74837503765301</v>
      </c>
      <c r="AJ104">
        <v>80.117818354388902</v>
      </c>
      <c r="AK104">
        <v>0.66532183043385495</v>
      </c>
      <c r="AL104">
        <v>87.982207777401598</v>
      </c>
      <c r="AM104">
        <v>88.258170563547793</v>
      </c>
      <c r="AN104">
        <v>1.0000000365755499</v>
      </c>
    </row>
    <row r="105" spans="1:40" x14ac:dyDescent="0.25">
      <c r="A105" t="str">
        <f>"20190312153853290"</f>
        <v>20190312153853290</v>
      </c>
      <c r="B105" t="str">
        <f>"1552376333285796"</f>
        <v>1552376333285796</v>
      </c>
      <c r="C105" t="s">
        <v>40</v>
      </c>
      <c r="D105">
        <v>4.6251360000000004</v>
      </c>
      <c r="E105">
        <v>0.55437550000000002</v>
      </c>
      <c r="F105" t="s">
        <v>41</v>
      </c>
      <c r="G105">
        <v>-473.17919999999998</v>
      </c>
      <c r="H105">
        <v>0.92252219999999996</v>
      </c>
      <c r="I105">
        <v>367.14089999999999</v>
      </c>
      <c r="J105">
        <v>-473.83420000000001</v>
      </c>
      <c r="K105">
        <v>1.110959</v>
      </c>
      <c r="L105">
        <v>367.24849999999998</v>
      </c>
      <c r="M105">
        <v>0.99981810000000004</v>
      </c>
      <c r="N105">
        <v>0</v>
      </c>
      <c r="O105">
        <v>1.272004E-2</v>
      </c>
      <c r="P105">
        <v>0.99962709999999999</v>
      </c>
      <c r="Q105">
        <v>2.0400379999999999E-2</v>
      </c>
      <c r="R105">
        <v>-1.8158199999999999E-2</v>
      </c>
      <c r="S105">
        <v>3.0103759999999999</v>
      </c>
      <c r="T105">
        <v>-0.83554359999999905</v>
      </c>
      <c r="U105">
        <v>-0.47335820000000001</v>
      </c>
      <c r="V105">
        <v>3.087548E-2</v>
      </c>
      <c r="W105">
        <v>3.459462E-2</v>
      </c>
      <c r="X105">
        <v>0.99892440000000005</v>
      </c>
      <c r="Y105">
        <v>0.16145619999999999</v>
      </c>
      <c r="Z105">
        <v>-2.5309809999999999E-2</v>
      </c>
      <c r="AA105">
        <v>0.98655530000000002</v>
      </c>
      <c r="AB105">
        <v>3</v>
      </c>
      <c r="AC105">
        <v>0.655000000000029</v>
      </c>
      <c r="AD105">
        <v>-0.18843679999999999</v>
      </c>
      <c r="AE105">
        <v>-0.10759999999999</v>
      </c>
      <c r="AF105">
        <v>0.107278153243076</v>
      </c>
      <c r="AG105">
        <v>-0.18843679999999999</v>
      </c>
      <c r="AH105">
        <v>0.60483424658468998</v>
      </c>
      <c r="AI105">
        <v>107.054087369089</v>
      </c>
      <c r="AJ105">
        <v>79.942170878954997</v>
      </c>
      <c r="AK105">
        <v>0.64252742789639306</v>
      </c>
      <c r="AL105">
        <v>88.017478742687004</v>
      </c>
      <c r="AM105">
        <v>88.229624115251099</v>
      </c>
      <c r="AN105">
        <v>1.00000001995676</v>
      </c>
    </row>
    <row r="106" spans="1:40" x14ac:dyDescent="0.25">
      <c r="A106" t="str">
        <f>"20190312153853304"</f>
        <v>20190312153853304</v>
      </c>
      <c r="B106" t="str">
        <f>"1552376333296532"</f>
        <v>1552376333296532</v>
      </c>
      <c r="C106" t="s">
        <v>40</v>
      </c>
      <c r="D106">
        <v>4.7120860000000002</v>
      </c>
      <c r="E106">
        <v>0.5543939</v>
      </c>
      <c r="F106" t="s">
        <v>41</v>
      </c>
      <c r="G106">
        <v>-473.15219999999999</v>
      </c>
      <c r="H106">
        <v>0.92099929999999997</v>
      </c>
      <c r="I106">
        <v>367.14049999999997</v>
      </c>
      <c r="J106">
        <v>-473.81299999999999</v>
      </c>
      <c r="K106">
        <v>1.110671</v>
      </c>
      <c r="L106">
        <v>367.24880000000002</v>
      </c>
      <c r="M106">
        <v>0.9998283</v>
      </c>
      <c r="N106">
        <v>0</v>
      </c>
      <c r="O106">
        <v>1.281358E-2</v>
      </c>
      <c r="P106">
        <v>0.99961520000000004</v>
      </c>
      <c r="Q106">
        <v>2.110865E-2</v>
      </c>
      <c r="R106">
        <v>-1.80030999999999E-2</v>
      </c>
      <c r="S106">
        <v>3.0095830000000001</v>
      </c>
      <c r="T106">
        <v>-0.83829399999999998</v>
      </c>
      <c r="U106">
        <v>-0.47595209999999999</v>
      </c>
      <c r="V106">
        <v>3.0812610000000001E-2</v>
      </c>
      <c r="W106">
        <v>3.4484529999999999E-2</v>
      </c>
      <c r="X106">
        <v>0.99893019999999999</v>
      </c>
      <c r="Y106">
        <v>0.1623376</v>
      </c>
      <c r="Z106">
        <v>-2.5540050000000002E-2</v>
      </c>
      <c r="AA106">
        <v>0.98640470000000002</v>
      </c>
      <c r="AB106">
        <v>2</v>
      </c>
      <c r="AC106">
        <v>0.66080000000005101</v>
      </c>
      <c r="AD106">
        <v>-0.189671699999999</v>
      </c>
      <c r="AE106">
        <v>-0.108300000000042</v>
      </c>
      <c r="AF106">
        <v>0.108086931775978</v>
      </c>
      <c r="AG106">
        <v>-0.189671699999999</v>
      </c>
      <c r="AH106">
        <v>0.61038484679981297</v>
      </c>
      <c r="AI106">
        <v>107.013106309294</v>
      </c>
      <c r="AJ106">
        <v>79.958163081288504</v>
      </c>
      <c r="AK106">
        <v>0.648249797380968</v>
      </c>
      <c r="AL106">
        <v>88.023790303886003</v>
      </c>
      <c r="AM106">
        <v>88.2332369965834</v>
      </c>
      <c r="AN106">
        <v>1.0000000721081801</v>
      </c>
    </row>
    <row r="107" spans="1:40" x14ac:dyDescent="0.25">
      <c r="A107" t="str">
        <f>"20190312153853317"</f>
        <v>20190312153853317</v>
      </c>
      <c r="B107" t="str">
        <f>"1552376333306292"</f>
        <v>1552376333306292</v>
      </c>
      <c r="C107" t="s">
        <v>40</v>
      </c>
      <c r="D107">
        <v>4.6394729999999997</v>
      </c>
      <c r="E107">
        <v>0.554378699999999</v>
      </c>
      <c r="F107" t="s">
        <v>41</v>
      </c>
      <c r="G107">
        <v>-473.12119999999999</v>
      </c>
      <c r="H107">
        <v>0.91859959999999996</v>
      </c>
      <c r="I107">
        <v>367.1388</v>
      </c>
      <c r="J107">
        <v>-473.79300000000001</v>
      </c>
      <c r="K107">
        <v>1.1103379999999901</v>
      </c>
      <c r="L107">
        <v>367.24919999999997</v>
      </c>
      <c r="M107">
        <v>0.99984070000000003</v>
      </c>
      <c r="N107">
        <v>0</v>
      </c>
      <c r="O107">
        <v>1.2916449999999999E-2</v>
      </c>
      <c r="P107">
        <v>0.99959209999999998</v>
      </c>
      <c r="Q107">
        <v>2.1943130000000002E-2</v>
      </c>
      <c r="R107">
        <v>-1.8284100000000001E-2</v>
      </c>
      <c r="S107">
        <v>3.0102540000000002</v>
      </c>
      <c r="T107">
        <v>-0.83591439999999995</v>
      </c>
      <c r="U107">
        <v>-0.47631839999999998</v>
      </c>
      <c r="V107">
        <v>3.1195270000000001E-2</v>
      </c>
      <c r="W107">
        <v>3.4267220000000001E-2</v>
      </c>
      <c r="X107">
        <v>0.99892570000000003</v>
      </c>
      <c r="Y107">
        <v>0.16254950000000001</v>
      </c>
      <c r="Z107">
        <v>-2.5521060000000002E-2</v>
      </c>
      <c r="AA107">
        <v>0.98637030000000003</v>
      </c>
      <c r="AB107">
        <v>3</v>
      </c>
      <c r="AC107">
        <v>0.67180000000001805</v>
      </c>
      <c r="AD107">
        <v>-0.191738399999999</v>
      </c>
      <c r="AE107">
        <v>-0.11039999999996999</v>
      </c>
      <c r="AF107">
        <v>0.110318598463596</v>
      </c>
      <c r="AG107">
        <v>-0.191738399999999</v>
      </c>
      <c r="AH107">
        <v>0.62105755694746101</v>
      </c>
      <c r="AI107">
        <v>106.907729798905</v>
      </c>
      <c r="AJ107">
        <v>79.927596928294307</v>
      </c>
      <c r="AK107">
        <v>0.65927710125794603</v>
      </c>
      <c r="AL107">
        <v>88.036248412769496</v>
      </c>
      <c r="AM107">
        <v>88.211301783588297</v>
      </c>
      <c r="AN107">
        <v>0.99999997067869495</v>
      </c>
    </row>
    <row r="108" spans="1:40" x14ac:dyDescent="0.25">
      <c r="A108" t="str">
        <f>"20190312153853336"</f>
        <v>20190312153853336</v>
      </c>
      <c r="B108" t="str">
        <f>"1552376333325812"</f>
        <v>1552376333325812</v>
      </c>
      <c r="C108" t="s">
        <v>40</v>
      </c>
      <c r="D108">
        <v>4.6460499999999998</v>
      </c>
      <c r="E108">
        <v>0.55438969999999999</v>
      </c>
      <c r="F108" t="s">
        <v>41</v>
      </c>
      <c r="G108">
        <v>-473.1191</v>
      </c>
      <c r="H108">
        <v>0.92363430000000002</v>
      </c>
      <c r="I108">
        <v>367.14179999999999</v>
      </c>
      <c r="J108">
        <v>-473.76100000000002</v>
      </c>
      <c r="K108">
        <v>1.1099559999999999</v>
      </c>
      <c r="L108">
        <v>367.24970000000002</v>
      </c>
      <c r="M108">
        <v>0.99985539999999995</v>
      </c>
      <c r="N108">
        <v>0</v>
      </c>
      <c r="O108">
        <v>1.3103979999999999E-2</v>
      </c>
      <c r="P108">
        <v>0.9995695</v>
      </c>
      <c r="Q108">
        <v>2.335514E-2</v>
      </c>
      <c r="R108">
        <v>-1.776235E-2</v>
      </c>
      <c r="S108">
        <v>3.0108030000000001</v>
      </c>
      <c r="T108">
        <v>-0.83433480000000004</v>
      </c>
      <c r="U108">
        <v>-0.47723389999999999</v>
      </c>
      <c r="V108">
        <v>3.085881E-2</v>
      </c>
      <c r="W108">
        <v>3.4190489999999997E-2</v>
      </c>
      <c r="X108">
        <v>0.99893880000000002</v>
      </c>
      <c r="Y108">
        <v>0.16300209999999901</v>
      </c>
      <c r="Z108">
        <v>-2.5581429999999999E-2</v>
      </c>
      <c r="AA108">
        <v>0.986294</v>
      </c>
      <c r="AB108">
        <v>3</v>
      </c>
      <c r="AC108">
        <v>0.64189999999996405</v>
      </c>
      <c r="AD108">
        <v>-0.18632169999999901</v>
      </c>
      <c r="AE108">
        <v>-0.107900000000029</v>
      </c>
      <c r="AF108">
        <v>0.107494662472763</v>
      </c>
      <c r="AG108">
        <v>-0.18632169999999901</v>
      </c>
      <c r="AH108">
        <v>0.59192879208134597</v>
      </c>
      <c r="AI108">
        <v>107.208016468438</v>
      </c>
      <c r="AJ108">
        <v>79.707217960545293</v>
      </c>
      <c r="AK108">
        <v>0.62980201114787204</v>
      </c>
      <c r="AL108">
        <v>88.040647335455006</v>
      </c>
      <c r="AM108">
        <v>88.230604842748306</v>
      </c>
      <c r="AN108">
        <v>0.99999999095324799</v>
      </c>
    </row>
    <row r="109" spans="1:40" x14ac:dyDescent="0.25">
      <c r="A109" t="str">
        <f>"20190312153853349"</f>
        <v>20190312153853349</v>
      </c>
      <c r="B109" t="str">
        <f>"1552376333346308"</f>
        <v>1552376333346308</v>
      </c>
      <c r="C109" t="s">
        <v>40</v>
      </c>
      <c r="D109">
        <v>4.7297859999999998</v>
      </c>
      <c r="E109">
        <v>0.55444510000000002</v>
      </c>
      <c r="F109" t="s">
        <v>41</v>
      </c>
      <c r="G109">
        <v>-473.08519999999999</v>
      </c>
      <c r="H109">
        <v>0.92359939999999996</v>
      </c>
      <c r="I109">
        <v>367.14280000000002</v>
      </c>
      <c r="J109">
        <v>-473.73739999999998</v>
      </c>
      <c r="K109">
        <v>1.1098030000000001</v>
      </c>
      <c r="L109">
        <v>367.25020000000001</v>
      </c>
      <c r="M109">
        <v>0.99986200000000003</v>
      </c>
      <c r="N109">
        <v>0</v>
      </c>
      <c r="O109">
        <v>1.324992E-2</v>
      </c>
      <c r="P109">
        <v>0.99955459999999996</v>
      </c>
      <c r="Q109">
        <v>2.4327769999999999E-2</v>
      </c>
      <c r="R109">
        <v>-1.7287759999999999E-2</v>
      </c>
      <c r="S109">
        <v>3.0122990000000001</v>
      </c>
      <c r="T109">
        <v>-0.83081700000000003</v>
      </c>
      <c r="U109">
        <v>-0.4752808</v>
      </c>
      <c r="V109">
        <v>3.0528639999999999E-2</v>
      </c>
      <c r="W109">
        <v>3.4355860000000002E-2</v>
      </c>
      <c r="X109">
        <v>0.99894329999999998</v>
      </c>
      <c r="Y109">
        <v>0.16251750000000001</v>
      </c>
      <c r="Z109">
        <v>-2.5440600000000001E-2</v>
      </c>
      <c r="AA109">
        <v>0.98637770000000002</v>
      </c>
      <c r="AB109">
        <v>4</v>
      </c>
      <c r="AC109">
        <v>0.65219999999999301</v>
      </c>
      <c r="AD109">
        <v>-0.1862036</v>
      </c>
      <c r="AE109">
        <v>-0.10739999999998399</v>
      </c>
      <c r="AF109">
        <v>0.10750142996458401</v>
      </c>
      <c r="AG109">
        <v>-0.1862036</v>
      </c>
      <c r="AH109">
        <v>0.60287616493588603</v>
      </c>
      <c r="AI109">
        <v>106.91255643615899</v>
      </c>
      <c r="AJ109">
        <v>79.889607143874997</v>
      </c>
      <c r="AK109">
        <v>0.64006875282675102</v>
      </c>
      <c r="AL109">
        <v>88.031166819292494</v>
      </c>
      <c r="AM109">
        <v>88.249532304962599</v>
      </c>
      <c r="AN109">
        <v>1.0000000197957299</v>
      </c>
    </row>
    <row r="110" spans="1:40" x14ac:dyDescent="0.25">
      <c r="A110" t="str">
        <f>"20190312153853369"</f>
        <v>20190312153853369</v>
      </c>
      <c r="B110" t="str">
        <f>"1552376333365828"</f>
        <v>1552376333365828</v>
      </c>
      <c r="C110" t="s">
        <v>40</v>
      </c>
      <c r="D110">
        <v>4.6550960000000003</v>
      </c>
      <c r="E110">
        <v>0.55447599999999997</v>
      </c>
      <c r="F110" t="s">
        <v>41</v>
      </c>
      <c r="G110">
        <v>-473.05079999999998</v>
      </c>
      <c r="H110">
        <v>0.92112119999999997</v>
      </c>
      <c r="I110">
        <v>367.14159999999998</v>
      </c>
      <c r="J110">
        <v>-473.70179999999999</v>
      </c>
      <c r="K110">
        <v>1.109683</v>
      </c>
      <c r="L110">
        <v>367.25080000000003</v>
      </c>
      <c r="M110">
        <v>0.99986730000000001</v>
      </c>
      <c r="N110">
        <v>0</v>
      </c>
      <c r="O110">
        <v>1.3459179999999999E-2</v>
      </c>
      <c r="P110">
        <v>0.99954679999999996</v>
      </c>
      <c r="Q110">
        <v>2.5217360000000001E-2</v>
      </c>
      <c r="R110">
        <v>-1.6439280000000001E-2</v>
      </c>
      <c r="S110">
        <v>3.0132750000000001</v>
      </c>
      <c r="T110">
        <v>-0.82828599999999997</v>
      </c>
      <c r="U110">
        <v>-0.4736938</v>
      </c>
      <c r="V110">
        <v>2.9887799999999999E-2</v>
      </c>
      <c r="W110">
        <v>3.4399220000000001E-2</v>
      </c>
      <c r="X110">
        <v>0.99896119999999999</v>
      </c>
      <c r="Y110">
        <v>0.16221259999999901</v>
      </c>
      <c r="Z110">
        <v>-2.5374219999999999E-2</v>
      </c>
      <c r="AA110">
        <v>0.98642949999999996</v>
      </c>
      <c r="AB110">
        <v>4</v>
      </c>
      <c r="AC110">
        <v>0.65100000000001002</v>
      </c>
      <c r="AD110">
        <v>-0.1885618</v>
      </c>
      <c r="AE110">
        <v>-0.109200000000043</v>
      </c>
      <c r="AF110">
        <v>0.10905354847899699</v>
      </c>
      <c r="AG110">
        <v>-0.1885618</v>
      </c>
      <c r="AH110">
        <v>0.60047222171668602</v>
      </c>
      <c r="AI110">
        <v>107.169499433176</v>
      </c>
      <c r="AJ110">
        <v>79.706535012837804</v>
      </c>
      <c r="AK110">
        <v>0.63876061079912705</v>
      </c>
      <c r="AL110">
        <v>88.028681031091494</v>
      </c>
      <c r="AM110">
        <v>88.286285679296498</v>
      </c>
      <c r="AN110">
        <v>1.0000000330154399</v>
      </c>
    </row>
    <row r="111" spans="1:40" x14ac:dyDescent="0.25">
      <c r="A111" t="str">
        <f>"20190312153853385"</f>
        <v>20190312153853385</v>
      </c>
      <c r="B111" t="str">
        <f>"1552376333376564"</f>
        <v>1552376333376564</v>
      </c>
      <c r="C111" t="s">
        <v>40</v>
      </c>
      <c r="D111">
        <v>4.6370370000000003</v>
      </c>
      <c r="E111">
        <v>0.55446079999999998</v>
      </c>
      <c r="F111" t="s">
        <v>41</v>
      </c>
      <c r="G111">
        <v>-473.01490000000001</v>
      </c>
      <c r="H111">
        <v>0.92128399999999999</v>
      </c>
      <c r="I111">
        <v>367.14339999999999</v>
      </c>
      <c r="J111">
        <v>-473.67599999999999</v>
      </c>
      <c r="K111">
        <v>1.109785</v>
      </c>
      <c r="L111">
        <v>367.25130000000001</v>
      </c>
      <c r="M111">
        <v>0.99986520000000001</v>
      </c>
      <c r="N111">
        <v>0</v>
      </c>
      <c r="O111">
        <v>1.3590090000000001E-2</v>
      </c>
      <c r="P111">
        <v>0.99956699999999998</v>
      </c>
      <c r="Q111">
        <v>2.4695849999999998E-2</v>
      </c>
      <c r="R111">
        <v>-1.602116E-2</v>
      </c>
      <c r="S111">
        <v>3.014465</v>
      </c>
      <c r="T111">
        <v>-0.82683680000000004</v>
      </c>
      <c r="U111">
        <v>-0.47076420000000002</v>
      </c>
      <c r="V111">
        <v>2.9600660000000001E-2</v>
      </c>
      <c r="W111">
        <v>3.3925049999999998E-2</v>
      </c>
      <c r="X111">
        <v>0.99898589999999998</v>
      </c>
      <c r="Y111">
        <v>0.1613964</v>
      </c>
      <c r="Z111">
        <v>-2.5249420000000002E-2</v>
      </c>
      <c r="AA111">
        <v>0.98656659999999996</v>
      </c>
      <c r="AB111">
        <v>4</v>
      </c>
      <c r="AC111">
        <v>0.66109999999997604</v>
      </c>
      <c r="AD111">
        <v>-0.188501</v>
      </c>
      <c r="AE111">
        <v>-0.107900000000029</v>
      </c>
      <c r="AF111">
        <v>0.108298559968842</v>
      </c>
      <c r="AG111">
        <v>-0.188501</v>
      </c>
      <c r="AH111">
        <v>0.61117313571537801</v>
      </c>
      <c r="AI111">
        <v>106.893214600641</v>
      </c>
      <c r="AJ111">
        <v>79.951615179457704</v>
      </c>
      <c r="AK111">
        <v>0.64868621606481902</v>
      </c>
      <c r="AL111">
        <v>88.055864711330102</v>
      </c>
      <c r="AM111">
        <v>88.302782049817907</v>
      </c>
      <c r="AN111">
        <v>0.99999996824437298</v>
      </c>
    </row>
    <row r="112" spans="1:40" x14ac:dyDescent="0.25">
      <c r="A112" t="str">
        <f>"20190312153853404"</f>
        <v>20190312153853404</v>
      </c>
      <c r="B112" t="str">
        <f>"1552376333396086"</f>
        <v>1552376333396086</v>
      </c>
      <c r="C112" t="s">
        <v>40</v>
      </c>
      <c r="D112">
        <v>4.6857449999999998</v>
      </c>
      <c r="E112">
        <v>0.554454</v>
      </c>
      <c r="F112" t="s">
        <v>41</v>
      </c>
      <c r="G112">
        <v>-472.9837</v>
      </c>
      <c r="H112">
        <v>0.91931399999999996</v>
      </c>
      <c r="I112">
        <v>367.14330000000001</v>
      </c>
      <c r="J112">
        <v>-473.6429</v>
      </c>
      <c r="K112">
        <v>1.1099589999999999</v>
      </c>
      <c r="L112">
        <v>367.25200000000001</v>
      </c>
      <c r="M112">
        <v>0.99985979999999997</v>
      </c>
      <c r="N112">
        <v>0</v>
      </c>
      <c r="O112">
        <v>1.3737839999999999E-2</v>
      </c>
      <c r="P112">
        <v>0.99962519999999999</v>
      </c>
      <c r="Q112">
        <v>2.270463E-2</v>
      </c>
      <c r="R112">
        <v>-1.530284E-2</v>
      </c>
      <c r="S112">
        <v>3.0142820000000001</v>
      </c>
      <c r="T112">
        <v>-0.82944850000000003</v>
      </c>
      <c r="U112">
        <v>-0.46871950000000001</v>
      </c>
      <c r="V112">
        <v>2.9031899999999999E-2</v>
      </c>
      <c r="W112">
        <v>3.2275619999999998E-2</v>
      </c>
      <c r="X112">
        <v>0.99905730000000004</v>
      </c>
      <c r="Y112">
        <v>0.16087079999999901</v>
      </c>
      <c r="Z112">
        <v>-2.52982E-2</v>
      </c>
      <c r="AA112">
        <v>0.98665119999999895</v>
      </c>
      <c r="AB112">
        <v>4</v>
      </c>
      <c r="AC112">
        <v>0.65919999999999801</v>
      </c>
      <c r="AD112">
        <v>-0.19064499999999901</v>
      </c>
      <c r="AE112">
        <v>-0.108699999999942</v>
      </c>
      <c r="AF112">
        <v>0.108880400965692</v>
      </c>
      <c r="AG112">
        <v>-0.19064499999999901</v>
      </c>
      <c r="AH112">
        <v>0.60812683432151404</v>
      </c>
      <c r="AI112">
        <v>107.149618910735</v>
      </c>
      <c r="AJ112">
        <v>79.8491876305375</v>
      </c>
      <c r="AK112">
        <v>0.64654366005812502</v>
      </c>
      <c r="AL112">
        <v>88.150422026993795</v>
      </c>
      <c r="AM112">
        <v>88.335493508163495</v>
      </c>
      <c r="AN112">
        <v>1.0000000277736401</v>
      </c>
    </row>
    <row r="113" spans="1:40" x14ac:dyDescent="0.25">
      <c r="A113" t="str">
        <f>"20190312153853425"</f>
        <v>20190312153853425</v>
      </c>
      <c r="B113" t="str">
        <f>"1552376333416581"</f>
        <v>1552376333416581</v>
      </c>
      <c r="C113" t="s">
        <v>40</v>
      </c>
      <c r="D113">
        <v>4.6286370000000003</v>
      </c>
      <c r="E113">
        <v>0.55443129999999996</v>
      </c>
      <c r="F113" t="s">
        <v>41</v>
      </c>
      <c r="G113">
        <v>-472.94850000000002</v>
      </c>
      <c r="H113">
        <v>0.91714099999999998</v>
      </c>
      <c r="I113">
        <v>367.14479999999998</v>
      </c>
      <c r="J113">
        <v>-473.60309999999998</v>
      </c>
      <c r="K113">
        <v>1.10978</v>
      </c>
      <c r="L113">
        <v>367.2527</v>
      </c>
      <c r="M113">
        <v>0.99986540000000002</v>
      </c>
      <c r="N113">
        <v>0</v>
      </c>
      <c r="O113">
        <v>1.3924550000000001E-2</v>
      </c>
      <c r="P113">
        <v>0.99964180000000002</v>
      </c>
      <c r="Q113">
        <v>2.2117230000000002E-2</v>
      </c>
      <c r="R113">
        <v>-1.5068140000000001E-2</v>
      </c>
      <c r="S113">
        <v>3.0129999999999999</v>
      </c>
      <c r="T113">
        <v>-0.83660849999999898</v>
      </c>
      <c r="U113">
        <v>-0.4652405</v>
      </c>
      <c r="V113">
        <v>2.8984159999999998E-2</v>
      </c>
      <c r="W113">
        <v>3.0799119999999999E-2</v>
      </c>
      <c r="X113">
        <v>0.99910529999999997</v>
      </c>
      <c r="Y113">
        <v>0.15991949999999999</v>
      </c>
      <c r="Z113">
        <v>-2.5442940000000001E-2</v>
      </c>
      <c r="AA113">
        <v>0.98680210000000002</v>
      </c>
      <c r="AB113">
        <v>4</v>
      </c>
      <c r="AC113">
        <v>0.65459999999995899</v>
      </c>
      <c r="AD113">
        <v>-0.192639</v>
      </c>
      <c r="AE113">
        <v>-0.107900000000029</v>
      </c>
      <c r="AF113">
        <v>0.107906943548153</v>
      </c>
      <c r="AG113">
        <v>-0.192639</v>
      </c>
      <c r="AH113">
        <v>0.60225605599129195</v>
      </c>
      <c r="AI113">
        <v>107.476531491066</v>
      </c>
      <c r="AJ113">
        <v>79.842029069627102</v>
      </c>
      <c r="AK113">
        <v>0.64145619473592297</v>
      </c>
      <c r="AL113">
        <v>88.235061363483894</v>
      </c>
      <c r="AM113">
        <v>88.338308875110997</v>
      </c>
      <c r="AN113">
        <v>1.0000000339058801</v>
      </c>
    </row>
    <row r="114" spans="1:40" x14ac:dyDescent="0.25">
      <c r="A114" t="str">
        <f>"20190312153853447"</f>
        <v>20190312153853447</v>
      </c>
      <c r="B114" t="str">
        <f>"1552376333436100"</f>
        <v>1552376333436100</v>
      </c>
      <c r="C114" t="s">
        <v>40</v>
      </c>
      <c r="D114">
        <v>4.6995380000000004</v>
      </c>
      <c r="E114">
        <v>0.55448619999999904</v>
      </c>
      <c r="F114" t="s">
        <v>41</v>
      </c>
      <c r="G114">
        <v>-472.90879999999999</v>
      </c>
      <c r="H114">
        <v>0.91641490000000003</v>
      </c>
      <c r="I114">
        <v>367.14550000000003</v>
      </c>
      <c r="J114">
        <v>-473.55759999999998</v>
      </c>
      <c r="K114">
        <v>1.109472</v>
      </c>
      <c r="L114">
        <v>367.25360000000001</v>
      </c>
      <c r="M114">
        <v>0.99987380000000003</v>
      </c>
      <c r="N114">
        <v>0</v>
      </c>
      <c r="O114">
        <v>1.4156510000000001E-2</v>
      </c>
      <c r="P114">
        <v>0.99960450000000001</v>
      </c>
      <c r="Q114">
        <v>2.3832039999999999E-2</v>
      </c>
      <c r="R114">
        <v>-1.4942510000000001E-2</v>
      </c>
      <c r="S114">
        <v>3.0126339999999998</v>
      </c>
      <c r="T114">
        <v>-0.83916939999999995</v>
      </c>
      <c r="U114">
        <v>-0.463501</v>
      </c>
      <c r="V114">
        <v>2.9089319999999998E-2</v>
      </c>
      <c r="W114">
        <v>3.1032170000000001E-2</v>
      </c>
      <c r="X114">
        <v>0.99909499999999996</v>
      </c>
      <c r="Y114">
        <v>0.15957289999999999</v>
      </c>
      <c r="Z114">
        <v>-2.553795E-2</v>
      </c>
      <c r="AA114">
        <v>0.9868557</v>
      </c>
      <c r="AB114">
        <v>4</v>
      </c>
      <c r="AC114">
        <v>0.64879999999999405</v>
      </c>
      <c r="AD114">
        <v>-0.19305710000000001</v>
      </c>
      <c r="AE114">
        <v>-0.108099999999979</v>
      </c>
      <c r="AF114">
        <v>0.10797228147482001</v>
      </c>
      <c r="AG114">
        <v>-0.19305710000000001</v>
      </c>
      <c r="AH114">
        <v>0.595870105477319</v>
      </c>
      <c r="AI114">
        <v>107.682306072766</v>
      </c>
      <c r="AJ114">
        <v>79.729385483963398</v>
      </c>
      <c r="AK114">
        <v>0.63560226559448296</v>
      </c>
      <c r="AL114">
        <v>88.221702139249103</v>
      </c>
      <c r="AM114">
        <v>88.332266161437602</v>
      </c>
      <c r="AN114">
        <v>1.0000000015689801</v>
      </c>
    </row>
    <row r="115" spans="1:40" x14ac:dyDescent="0.25">
      <c r="A115" t="str">
        <f>"20190312153853469"</f>
        <v>20190312153853469</v>
      </c>
      <c r="B115" t="str">
        <f>"1552376333466356"</f>
        <v>1552376333466356</v>
      </c>
      <c r="C115" t="s">
        <v>40</v>
      </c>
      <c r="D115">
        <v>4.7346940000000002</v>
      </c>
      <c r="E115">
        <v>0.55464709999999995</v>
      </c>
      <c r="F115" t="s">
        <v>41</v>
      </c>
      <c r="G115">
        <v>-472.8655</v>
      </c>
      <c r="H115">
        <v>0.9177556</v>
      </c>
      <c r="I115">
        <v>367.14729999999997</v>
      </c>
      <c r="J115">
        <v>-473.5104</v>
      </c>
      <c r="K115">
        <v>1.109259</v>
      </c>
      <c r="L115">
        <v>367.25459999999998</v>
      </c>
      <c r="M115">
        <v>0.99987879999999996</v>
      </c>
      <c r="N115">
        <v>0</v>
      </c>
      <c r="O115">
        <v>1.440834E-2</v>
      </c>
      <c r="P115">
        <v>0.99952980000000002</v>
      </c>
      <c r="Q115">
        <v>2.6459610000000001E-2</v>
      </c>
      <c r="R115">
        <v>-1.5501350000000001E-2</v>
      </c>
      <c r="S115">
        <v>3.0142519999999999</v>
      </c>
      <c r="T115">
        <v>-0.83510099999999998</v>
      </c>
      <c r="U115">
        <v>-0.4623718</v>
      </c>
      <c r="V115">
        <v>2.98981E-2</v>
      </c>
      <c r="W115">
        <v>3.2363309999999999E-2</v>
      </c>
      <c r="X115">
        <v>0.9990289</v>
      </c>
      <c r="Y115">
        <v>0.15944349999999999</v>
      </c>
      <c r="Z115">
        <v>-2.5456860000000001E-2</v>
      </c>
      <c r="AA115">
        <v>0.98687879999999994</v>
      </c>
      <c r="AB115">
        <v>5</v>
      </c>
      <c r="AC115">
        <v>0.64490000000000602</v>
      </c>
      <c r="AD115">
        <v>-0.19150339999999999</v>
      </c>
      <c r="AE115">
        <v>-0.107300000000009</v>
      </c>
      <c r="AF115">
        <v>0.10736830040395701</v>
      </c>
      <c r="AG115">
        <v>-0.19150339999999999</v>
      </c>
      <c r="AH115">
        <v>0.59245208063231203</v>
      </c>
      <c r="AI115">
        <v>107.64367183348</v>
      </c>
      <c r="AJ115">
        <v>79.727946451251199</v>
      </c>
      <c r="AK115">
        <v>0.63182352915094098</v>
      </c>
      <c r="AL115">
        <v>88.145395104168401</v>
      </c>
      <c r="AM115">
        <v>88.2858115495264</v>
      </c>
      <c r="AN115">
        <v>1.00000001162648</v>
      </c>
    </row>
    <row r="116" spans="1:40" x14ac:dyDescent="0.25">
      <c r="A116" t="str">
        <f>"20190312153853492"</f>
        <v>20190312153853492</v>
      </c>
      <c r="B116" t="str">
        <f>"1552376333485876"</f>
        <v>1552376333485876</v>
      </c>
      <c r="C116" t="s">
        <v>40</v>
      </c>
      <c r="D116">
        <v>4.6678389999999998</v>
      </c>
      <c r="E116">
        <v>0.55467349999999904</v>
      </c>
      <c r="F116" t="s">
        <v>41</v>
      </c>
      <c r="G116">
        <v>-472.81979999999999</v>
      </c>
      <c r="H116">
        <v>0.91991310000000004</v>
      </c>
      <c r="I116">
        <v>367.14760000000001</v>
      </c>
      <c r="J116">
        <v>-473.4572</v>
      </c>
      <c r="K116">
        <v>1.109137</v>
      </c>
      <c r="L116">
        <v>367.25560000000002</v>
      </c>
      <c r="M116">
        <v>0.99988060000000001</v>
      </c>
      <c r="N116">
        <v>0</v>
      </c>
      <c r="O116">
        <v>1.469733E-2</v>
      </c>
      <c r="P116">
        <v>0.99946760000000001</v>
      </c>
      <c r="Q116">
        <v>2.847156E-2</v>
      </c>
      <c r="R116">
        <v>-1.5937670000000001E-2</v>
      </c>
      <c r="S116">
        <v>3.0161129999999998</v>
      </c>
      <c r="T116">
        <v>-0.82711610000000002</v>
      </c>
      <c r="U116">
        <v>-0.46530149999999998</v>
      </c>
      <c r="V116">
        <v>3.0621559999999999E-2</v>
      </c>
      <c r="W116">
        <v>3.3284540000000001E-2</v>
      </c>
      <c r="X116">
        <v>0.99897670000000005</v>
      </c>
      <c r="Y116">
        <v>0.16064790000000001</v>
      </c>
      <c r="Z116">
        <v>-2.5444069999999999E-2</v>
      </c>
      <c r="AA116">
        <v>0.9866838</v>
      </c>
      <c r="AB116">
        <v>5</v>
      </c>
      <c r="AC116">
        <v>0.63740000000001296</v>
      </c>
      <c r="AD116">
        <v>-0.1892239</v>
      </c>
      <c r="AE116">
        <v>-0.108000000000004</v>
      </c>
      <c r="AF116">
        <v>0.108095814308276</v>
      </c>
      <c r="AG116">
        <v>-0.1892239</v>
      </c>
      <c r="AH116">
        <v>0.585576724270368</v>
      </c>
      <c r="AI116">
        <v>107.62881097402099</v>
      </c>
      <c r="AJ116">
        <v>79.541099358787093</v>
      </c>
      <c r="AK116">
        <v>0.62481236336150903</v>
      </c>
      <c r="AL116">
        <v>88.092584020766296</v>
      </c>
      <c r="AM116">
        <v>88.244266404320499</v>
      </c>
      <c r="AN116">
        <v>0.99999999384136695</v>
      </c>
    </row>
    <row r="117" spans="1:40" x14ac:dyDescent="0.25">
      <c r="A117" t="str">
        <f>"20190312153853514"</f>
        <v>20190312153853514</v>
      </c>
      <c r="B117" t="str">
        <f>"1552376333506372"</f>
        <v>1552376333506372</v>
      </c>
      <c r="C117" t="s">
        <v>40</v>
      </c>
      <c r="D117">
        <v>4.7343599999999997</v>
      </c>
      <c r="E117">
        <v>0.55471969999999904</v>
      </c>
      <c r="F117" t="s">
        <v>41</v>
      </c>
      <c r="G117">
        <v>-472.7722</v>
      </c>
      <c r="H117">
        <v>0.922628</v>
      </c>
      <c r="I117">
        <v>367.1497</v>
      </c>
      <c r="J117">
        <v>-473.40429999999998</v>
      </c>
      <c r="K117">
        <v>1.109064</v>
      </c>
      <c r="L117">
        <v>367.25670000000002</v>
      </c>
      <c r="M117">
        <v>0.99988030000000006</v>
      </c>
      <c r="N117">
        <v>0</v>
      </c>
      <c r="O117">
        <v>1.49829E-2</v>
      </c>
      <c r="P117">
        <v>0.99940150000000005</v>
      </c>
      <c r="Q117">
        <v>3.0019879999999999E-2</v>
      </c>
      <c r="R117">
        <v>-1.7198930000000001E-2</v>
      </c>
      <c r="S117">
        <v>3.0175779999999999</v>
      </c>
      <c r="T117">
        <v>-0.82176800000000005</v>
      </c>
      <c r="U117">
        <v>-0.46542359999999999</v>
      </c>
      <c r="V117">
        <v>3.2166309999999997E-2</v>
      </c>
      <c r="W117">
        <v>3.3934110000000003E-2</v>
      </c>
      <c r="X117">
        <v>0.99890630000000002</v>
      </c>
      <c r="Y117">
        <v>0.16096099999999999</v>
      </c>
      <c r="Z117">
        <v>-2.539108E-2</v>
      </c>
      <c r="AA117">
        <v>0.98663409999999996</v>
      </c>
      <c r="AB117">
        <v>5</v>
      </c>
      <c r="AC117">
        <v>0.63209999999997901</v>
      </c>
      <c r="AD117">
        <v>-0.18643599999999999</v>
      </c>
      <c r="AE117">
        <v>-0.107000000000027</v>
      </c>
      <c r="AF117">
        <v>0.10737777035549199</v>
      </c>
      <c r="AG117">
        <v>-0.18643599999999999</v>
      </c>
      <c r="AH117">
        <v>0.58126781526969096</v>
      </c>
      <c r="AI117">
        <v>107.50547251674701</v>
      </c>
      <c r="AJ117">
        <v>79.533724600594994</v>
      </c>
      <c r="AK117">
        <v>0.61980693827264999</v>
      </c>
      <c r="AL117">
        <v>88.055345366004602</v>
      </c>
      <c r="AM117">
        <v>88.155625629920806</v>
      </c>
      <c r="AN117">
        <v>0.99999999575009901</v>
      </c>
    </row>
    <row r="118" spans="1:40" x14ac:dyDescent="0.25">
      <c r="A118" t="str">
        <f>"20190312153853527"</f>
        <v>20190312153853527</v>
      </c>
      <c r="B118" t="str">
        <f>"1552376333516132"</f>
        <v>1552376333516132</v>
      </c>
      <c r="C118" t="s">
        <v>40</v>
      </c>
      <c r="D118">
        <v>4.753209</v>
      </c>
      <c r="E118">
        <v>0.55472999999999995</v>
      </c>
      <c r="F118" t="s">
        <v>41</v>
      </c>
      <c r="G118">
        <v>-472.7226</v>
      </c>
      <c r="H118">
        <v>0.92426459999999999</v>
      </c>
      <c r="I118">
        <v>367.15030000000002</v>
      </c>
      <c r="J118">
        <v>-473.3698</v>
      </c>
      <c r="K118">
        <v>1.109013</v>
      </c>
      <c r="L118">
        <v>367.25740000000002</v>
      </c>
      <c r="M118">
        <v>0.99987950000000003</v>
      </c>
      <c r="N118">
        <v>0</v>
      </c>
      <c r="O118">
        <v>1.516697E-2</v>
      </c>
      <c r="P118">
        <v>0.99937240000000005</v>
      </c>
      <c r="Q118">
        <v>3.0759459999999999E-2</v>
      </c>
      <c r="R118">
        <v>-1.757001E-2</v>
      </c>
      <c r="S118">
        <v>3.0183110000000002</v>
      </c>
      <c r="T118">
        <v>-0.81836750000000003</v>
      </c>
      <c r="U118">
        <v>-0.46917720000000002</v>
      </c>
      <c r="V118">
        <v>3.2720480000000003E-2</v>
      </c>
      <c r="W118">
        <v>3.4107569999999997E-2</v>
      </c>
      <c r="X118">
        <v>0.99888239999999995</v>
      </c>
      <c r="Y118">
        <v>0.1623057</v>
      </c>
      <c r="Z118">
        <v>-2.5508309999999999E-2</v>
      </c>
      <c r="AA118">
        <v>0.98641080000000003</v>
      </c>
      <c r="AB118">
        <v>5</v>
      </c>
      <c r="AC118">
        <v>0.647199999999997</v>
      </c>
      <c r="AD118">
        <v>-0.18474839999999901</v>
      </c>
      <c r="AE118">
        <v>-0.107100000000002</v>
      </c>
      <c r="AF118">
        <v>0.108313026933873</v>
      </c>
      <c r="AG118">
        <v>-0.18474839999999901</v>
      </c>
      <c r="AH118">
        <v>0.59806598648962095</v>
      </c>
      <c r="AI118">
        <v>106.907438189072</v>
      </c>
      <c r="AJ118">
        <v>79.734686633846593</v>
      </c>
      <c r="AK118">
        <v>0.63525318362204297</v>
      </c>
      <c r="AL118">
        <v>88.045401096892903</v>
      </c>
      <c r="AM118">
        <v>88.1238279017916</v>
      </c>
      <c r="AN118">
        <v>1.0000000025862401</v>
      </c>
    </row>
    <row r="119" spans="1:40" x14ac:dyDescent="0.25">
      <c r="A119" t="str">
        <f>"20190312153853540"</f>
        <v>20190312153853540</v>
      </c>
      <c r="B119" t="str">
        <f>"1552376333536629"</f>
        <v>1552376333536629</v>
      </c>
      <c r="C119" t="s">
        <v>40</v>
      </c>
      <c r="D119">
        <v>4.7676100000000003</v>
      </c>
      <c r="E119">
        <v>0.55475509999999995</v>
      </c>
      <c r="F119" t="s">
        <v>41</v>
      </c>
      <c r="G119">
        <v>-472.67250000000001</v>
      </c>
      <c r="H119">
        <v>0.92055209999999998</v>
      </c>
      <c r="I119">
        <v>367.14850000000001</v>
      </c>
      <c r="J119">
        <v>-473.33730000000003</v>
      </c>
      <c r="K119">
        <v>1.1089610000000001</v>
      </c>
      <c r="L119">
        <v>367.25810000000001</v>
      </c>
      <c r="M119">
        <v>0.99987839999999995</v>
      </c>
      <c r="N119">
        <v>0</v>
      </c>
      <c r="O119">
        <v>1.533954E-2</v>
      </c>
      <c r="P119">
        <v>0.99934979999999995</v>
      </c>
      <c r="Q119">
        <v>3.1140459999999998E-2</v>
      </c>
      <c r="R119">
        <v>-1.8178039999999999E-2</v>
      </c>
      <c r="S119">
        <v>3.0187379999999999</v>
      </c>
      <c r="T119">
        <v>-0.81597649999999999</v>
      </c>
      <c r="U119">
        <v>-0.4698792</v>
      </c>
      <c r="V119">
        <v>3.350007E-2</v>
      </c>
      <c r="W119">
        <v>3.3960320000000002E-2</v>
      </c>
      <c r="X119">
        <v>0.99886160000000002</v>
      </c>
      <c r="Y119">
        <v>0.1626966</v>
      </c>
      <c r="Z119">
        <v>-2.5529650000000001E-2</v>
      </c>
      <c r="AA119">
        <v>0.98634580000000005</v>
      </c>
      <c r="AB119">
        <v>6</v>
      </c>
      <c r="AC119">
        <v>0.66480000000001305</v>
      </c>
      <c r="AD119">
        <v>-0.18840889999999999</v>
      </c>
      <c r="AE119">
        <v>-0.1096</v>
      </c>
      <c r="AF119">
        <v>0.111097677305321</v>
      </c>
      <c r="AG119">
        <v>-0.18840889999999999</v>
      </c>
      <c r="AH119">
        <v>0.61495467327905196</v>
      </c>
      <c r="AI119">
        <v>106.777947356108</v>
      </c>
      <c r="AJ119">
        <v>79.759405109964504</v>
      </c>
      <c r="AK119">
        <v>0.65269430646328896</v>
      </c>
      <c r="AL119">
        <v>88.053842838386203</v>
      </c>
      <c r="AM119">
        <v>88.079119821175098</v>
      </c>
      <c r="AN119">
        <v>1.0000000269895299</v>
      </c>
    </row>
    <row r="120" spans="1:40" x14ac:dyDescent="0.25">
      <c r="A120" t="str">
        <f>"20190312153853559"</f>
        <v>20190312153853559</v>
      </c>
      <c r="B120" t="str">
        <f>"1552376333546388"</f>
        <v>1552376333546388</v>
      </c>
      <c r="C120" t="s">
        <v>40</v>
      </c>
      <c r="D120">
        <v>4.6854529999999999</v>
      </c>
      <c r="E120">
        <v>0.55476569999999903</v>
      </c>
      <c r="F120" t="s">
        <v>41</v>
      </c>
      <c r="G120">
        <v>-472.62020000000001</v>
      </c>
      <c r="H120">
        <v>0.91549619999999998</v>
      </c>
      <c r="I120">
        <v>367.14569999999998</v>
      </c>
      <c r="J120">
        <v>-473.28769999999997</v>
      </c>
      <c r="K120">
        <v>1.1088769999999999</v>
      </c>
      <c r="L120">
        <v>367.25909999999999</v>
      </c>
      <c r="M120">
        <v>0.99987630000000005</v>
      </c>
      <c r="N120">
        <v>0</v>
      </c>
      <c r="O120">
        <v>1.560009E-2</v>
      </c>
      <c r="P120">
        <v>0.9992972</v>
      </c>
      <c r="Q120">
        <v>3.2300540000000003E-2</v>
      </c>
      <c r="R120">
        <v>-1.902359E-2</v>
      </c>
      <c r="S120">
        <v>3.0187379999999999</v>
      </c>
      <c r="T120">
        <v>-0.81454669999999996</v>
      </c>
      <c r="U120">
        <v>-0.47158810000000001</v>
      </c>
      <c r="V120">
        <v>3.4604709999999997E-2</v>
      </c>
      <c r="W120">
        <v>3.4340610000000001E-2</v>
      </c>
      <c r="X120">
        <v>0.99881089999999995</v>
      </c>
      <c r="Y120">
        <v>0.16348389999999999</v>
      </c>
      <c r="Z120">
        <v>-2.5657849999999999E-2</v>
      </c>
      <c r="AA120">
        <v>0.98621230000000004</v>
      </c>
      <c r="AB120">
        <v>6</v>
      </c>
      <c r="AC120">
        <v>0.66749999999996101</v>
      </c>
      <c r="AD120">
        <v>-0.19338079999999999</v>
      </c>
      <c r="AE120">
        <v>-0.11340000000001201</v>
      </c>
      <c r="AF120">
        <v>0.114461841009391</v>
      </c>
      <c r="AG120">
        <v>-0.19338079999999999</v>
      </c>
      <c r="AH120">
        <v>0.61544373578056999</v>
      </c>
      <c r="AI120">
        <v>107.166776133555</v>
      </c>
      <c r="AJ120">
        <v>79.464354331187096</v>
      </c>
      <c r="AK120">
        <v>0.65518595739487795</v>
      </c>
      <c r="AL120">
        <v>88.032041034590094</v>
      </c>
      <c r="AM120">
        <v>88.015729404223606</v>
      </c>
      <c r="AN120">
        <v>0.99999998870408302</v>
      </c>
    </row>
    <row r="121" spans="1:40" x14ac:dyDescent="0.25">
      <c r="A121" t="str">
        <f>"20190312153853572"</f>
        <v>20190312153853572</v>
      </c>
      <c r="B121" t="str">
        <f>"1552376333565908"</f>
        <v>1552376333565908</v>
      </c>
      <c r="C121" t="s">
        <v>40</v>
      </c>
      <c r="D121">
        <v>4.7017660000000001</v>
      </c>
      <c r="E121">
        <v>0.55484840000000002</v>
      </c>
      <c r="F121" t="s">
        <v>41</v>
      </c>
      <c r="G121">
        <v>-472.56380000000001</v>
      </c>
      <c r="H121">
        <v>0.91430650000000002</v>
      </c>
      <c r="I121">
        <v>367.14510000000001</v>
      </c>
      <c r="J121">
        <v>-473.24630000000002</v>
      </c>
      <c r="K121">
        <v>1.1088309999999999</v>
      </c>
      <c r="L121">
        <v>367.26</v>
      </c>
      <c r="M121">
        <v>0.99987389999999998</v>
      </c>
      <c r="N121">
        <v>0</v>
      </c>
      <c r="O121">
        <v>1.5812429999999999E-2</v>
      </c>
      <c r="P121">
        <v>0.99927630000000001</v>
      </c>
      <c r="Q121">
        <v>3.2840269999999998E-2</v>
      </c>
      <c r="R121">
        <v>-1.919305E-2</v>
      </c>
      <c r="S121">
        <v>3.0192869999999998</v>
      </c>
      <c r="T121">
        <v>-0.81165710000000002</v>
      </c>
      <c r="U121">
        <v>-0.47396850000000001</v>
      </c>
      <c r="V121">
        <v>3.498573E-2</v>
      </c>
      <c r="W121">
        <v>3.4339179999999997E-2</v>
      </c>
      <c r="X121">
        <v>0.99879770000000001</v>
      </c>
      <c r="Y121">
        <v>0.1644311</v>
      </c>
      <c r="Z121">
        <v>-2.574415E-2</v>
      </c>
      <c r="AA121">
        <v>0.98605259999999995</v>
      </c>
      <c r="AB121">
        <v>6</v>
      </c>
      <c r="AC121">
        <v>0.68250000000000399</v>
      </c>
      <c r="AD121">
        <v>-0.19452449999999899</v>
      </c>
      <c r="AE121">
        <v>-0.11489999999997701</v>
      </c>
      <c r="AF121">
        <v>0.116476445619615</v>
      </c>
      <c r="AG121">
        <v>-0.19452449999999899</v>
      </c>
      <c r="AH121">
        <v>0.63076949484338296</v>
      </c>
      <c r="AI121">
        <v>106.870728350929</v>
      </c>
      <c r="AJ121">
        <v>79.537746212610699</v>
      </c>
      <c r="AK121">
        <v>0.67028105978716501</v>
      </c>
      <c r="AL121">
        <v>88.032123063847706</v>
      </c>
      <c r="AM121">
        <v>87.993872578992395</v>
      </c>
      <c r="AN121">
        <v>1.0000000130559901</v>
      </c>
    </row>
    <row r="122" spans="1:40" x14ac:dyDescent="0.25">
      <c r="A122" t="str">
        <f>"20190312153853594"</f>
        <v>20190312153853594</v>
      </c>
      <c r="B122" t="str">
        <f>"1552376333586405"</f>
        <v>1552376333586405</v>
      </c>
      <c r="C122" t="s">
        <v>40</v>
      </c>
      <c r="D122">
        <v>4.7076339999999997</v>
      </c>
      <c r="E122">
        <v>0.55491550000000001</v>
      </c>
      <c r="F122" t="s">
        <v>41</v>
      </c>
      <c r="G122">
        <v>-472.55990000000003</v>
      </c>
      <c r="H122">
        <v>0.92461570000000004</v>
      </c>
      <c r="I122">
        <v>367.15170000000001</v>
      </c>
      <c r="J122">
        <v>-473.19110000000001</v>
      </c>
      <c r="K122">
        <v>1.1091279999999999</v>
      </c>
      <c r="L122">
        <v>367.26119999999997</v>
      </c>
      <c r="M122">
        <v>0.99986889999999995</v>
      </c>
      <c r="N122">
        <v>0</v>
      </c>
      <c r="O122">
        <v>1.605405E-2</v>
      </c>
      <c r="P122">
        <v>0.99929659999999998</v>
      </c>
      <c r="Q122">
        <v>3.2183929999999999E-2</v>
      </c>
      <c r="R122">
        <v>-1.9250730000000001E-2</v>
      </c>
      <c r="S122">
        <v>3.019714</v>
      </c>
      <c r="T122">
        <v>-0.8106312</v>
      </c>
      <c r="U122">
        <v>-0.47473140000000003</v>
      </c>
      <c r="V122">
        <v>3.5286329999999998E-2</v>
      </c>
      <c r="W122">
        <v>3.4301529999999997E-2</v>
      </c>
      <c r="X122">
        <v>0.99878840000000002</v>
      </c>
      <c r="Y122">
        <v>0.16488439999999999</v>
      </c>
      <c r="Z122">
        <v>-2.58316E-2</v>
      </c>
      <c r="AA122">
        <v>0.98597460000000003</v>
      </c>
      <c r="AB122">
        <v>6</v>
      </c>
      <c r="AC122">
        <v>0.631199999999978</v>
      </c>
      <c r="AD122">
        <v>-0.18451229999999999</v>
      </c>
      <c r="AE122">
        <v>-0.109499999999968</v>
      </c>
      <c r="AF122">
        <v>0.110456384766252</v>
      </c>
      <c r="AG122">
        <v>-0.18451229999999999</v>
      </c>
      <c r="AH122">
        <v>0.58115164949585396</v>
      </c>
      <c r="AI122">
        <v>107.323243570714</v>
      </c>
      <c r="AJ122">
        <v>79.238457852111495</v>
      </c>
      <c r="AK122">
        <v>0.61966332915436595</v>
      </c>
      <c r="AL122">
        <v>88.034281484048194</v>
      </c>
      <c r="AM122">
        <v>87.976631224337396</v>
      </c>
      <c r="AN122">
        <v>0.99999999400988404</v>
      </c>
    </row>
    <row r="123" spans="1:40" x14ac:dyDescent="0.25">
      <c r="A123" t="str">
        <f>"20190312153853615"</f>
        <v>20190312153853615</v>
      </c>
      <c r="B123" t="str">
        <f>"1552376333605924"</f>
        <v>1552376333605924</v>
      </c>
      <c r="C123" t="s">
        <v>40</v>
      </c>
      <c r="D123">
        <v>4.7630650000000001</v>
      </c>
      <c r="E123">
        <v>0.55496899999999905</v>
      </c>
      <c r="F123" t="s">
        <v>41</v>
      </c>
      <c r="G123">
        <v>-472.50630000000001</v>
      </c>
      <c r="H123">
        <v>0.92464210000000002</v>
      </c>
      <c r="I123">
        <v>367.15289999999999</v>
      </c>
      <c r="J123">
        <v>-473.13339999999999</v>
      </c>
      <c r="K123">
        <v>1.109707</v>
      </c>
      <c r="L123">
        <v>367.26240000000001</v>
      </c>
      <c r="M123">
        <v>0.99985950000000001</v>
      </c>
      <c r="N123">
        <v>0</v>
      </c>
      <c r="O123">
        <v>1.6271600000000001E-2</v>
      </c>
      <c r="P123">
        <v>0.99936060000000004</v>
      </c>
      <c r="Q123">
        <v>3.0140610000000002E-2</v>
      </c>
      <c r="R123">
        <v>-1.9237199999999999E-2</v>
      </c>
      <c r="S123">
        <v>3.0191349999999999</v>
      </c>
      <c r="T123">
        <v>-0.81347139999999996</v>
      </c>
      <c r="U123">
        <v>-0.47579959999999999</v>
      </c>
      <c r="V123">
        <v>3.5494230000000002E-2</v>
      </c>
      <c r="W123">
        <v>3.4173820000000001E-2</v>
      </c>
      <c r="X123">
        <v>0.99878540000000005</v>
      </c>
      <c r="Y123">
        <v>0.16539760000000001</v>
      </c>
      <c r="Z123">
        <v>-2.604797E-2</v>
      </c>
      <c r="AA123">
        <v>0.98588290000000001</v>
      </c>
      <c r="AB123">
        <v>6</v>
      </c>
      <c r="AC123">
        <v>0.627099999999984</v>
      </c>
      <c r="AD123">
        <v>-0.1850649</v>
      </c>
      <c r="AE123">
        <v>-0.10950000000002499</v>
      </c>
      <c r="AF123">
        <v>0.110362300267824</v>
      </c>
      <c r="AG123">
        <v>-0.1850649</v>
      </c>
      <c r="AH123">
        <v>0.57651167212819199</v>
      </c>
      <c r="AI123">
        <v>107.499184080924</v>
      </c>
      <c r="AJ123">
        <v>79.162911136321597</v>
      </c>
      <c r="AK123">
        <v>0.61546288485371603</v>
      </c>
      <c r="AL123">
        <v>88.041602998605001</v>
      </c>
      <c r="AM123">
        <v>87.964713828629797</v>
      </c>
      <c r="AN123">
        <v>0.99999998279492197</v>
      </c>
    </row>
    <row r="124" spans="1:40" x14ac:dyDescent="0.25">
      <c r="A124" t="str">
        <f>"20190312153853637"</f>
        <v>20190312153853637</v>
      </c>
      <c r="B124" t="str">
        <f>"1552376333626420"</f>
        <v>1552376333626420</v>
      </c>
      <c r="C124" t="s">
        <v>40</v>
      </c>
      <c r="D124">
        <v>4.7217409999999997</v>
      </c>
      <c r="E124">
        <v>0.554983</v>
      </c>
      <c r="F124" t="s">
        <v>41</v>
      </c>
      <c r="G124">
        <v>-472.4556</v>
      </c>
      <c r="H124">
        <v>0.92556830000000001</v>
      </c>
      <c r="I124">
        <v>367.15530000000001</v>
      </c>
      <c r="J124">
        <v>-473.0779</v>
      </c>
      <c r="K124">
        <v>1.109912</v>
      </c>
      <c r="L124">
        <v>367.26350000000002</v>
      </c>
      <c r="M124">
        <v>0.99985290000000004</v>
      </c>
      <c r="N124">
        <v>0</v>
      </c>
      <c r="O124">
        <v>1.6405779999999998E-2</v>
      </c>
      <c r="P124">
        <v>0.99938910000000003</v>
      </c>
      <c r="Q124">
        <v>2.9355840000000001E-2</v>
      </c>
      <c r="R124">
        <v>-1.8978950000000001E-2</v>
      </c>
      <c r="S124">
        <v>3.017487</v>
      </c>
      <c r="T124">
        <v>-0.81996420000000003</v>
      </c>
      <c r="U124">
        <v>-0.47604370000000001</v>
      </c>
      <c r="V124">
        <v>3.5372760000000003E-2</v>
      </c>
      <c r="W124">
        <v>3.4362539999999997E-2</v>
      </c>
      <c r="X124">
        <v>0.99878319999999998</v>
      </c>
      <c r="Y124">
        <v>0.1655731</v>
      </c>
      <c r="Z124">
        <v>-2.6321199999999999E-2</v>
      </c>
      <c r="AA124">
        <v>0.98584620000000001</v>
      </c>
      <c r="AB124">
        <v>6</v>
      </c>
      <c r="AC124">
        <v>0.62229999999999497</v>
      </c>
      <c r="AD124">
        <v>-0.184343699999999</v>
      </c>
      <c r="AE124">
        <v>-0.10820000000001</v>
      </c>
      <c r="AF124">
        <v>0.109101909531197</v>
      </c>
      <c r="AG124">
        <v>-0.184343699999999</v>
      </c>
      <c r="AH124">
        <v>0.57174186485715095</v>
      </c>
      <c r="AI124">
        <v>107.573513729249</v>
      </c>
      <c r="AJ124">
        <v>79.196488522559505</v>
      </c>
      <c r="AK124">
        <v>0.61055268930975704</v>
      </c>
      <c r="AL124">
        <v>88.030783716829305</v>
      </c>
      <c r="AM124">
        <v>87.971668787442496</v>
      </c>
      <c r="AN124">
        <v>0.99999994845375295</v>
      </c>
    </row>
    <row r="125" spans="1:40" x14ac:dyDescent="0.25">
      <c r="A125" t="str">
        <f>"20190312153853651"</f>
        <v>20190312153853651</v>
      </c>
      <c r="B125" t="str">
        <f>"1552376333646589"</f>
        <v>1552376333646589</v>
      </c>
      <c r="C125" t="s">
        <v>40</v>
      </c>
      <c r="D125">
        <v>4.7240919999999997</v>
      </c>
      <c r="E125">
        <v>0.5549982</v>
      </c>
      <c r="F125" t="s">
        <v>41</v>
      </c>
      <c r="G125">
        <v>-472.40309999999999</v>
      </c>
      <c r="H125">
        <v>0.92595620000000001</v>
      </c>
      <c r="I125">
        <v>367.15660000000003</v>
      </c>
      <c r="J125">
        <v>-473.03949999999998</v>
      </c>
      <c r="K125">
        <v>1.109769</v>
      </c>
      <c r="L125">
        <v>367.26429999999999</v>
      </c>
      <c r="M125">
        <v>0.99985279999999999</v>
      </c>
      <c r="N125">
        <v>0</v>
      </c>
      <c r="O125">
        <v>1.651091E-2</v>
      </c>
      <c r="P125">
        <v>0.99938570000000004</v>
      </c>
      <c r="Q125">
        <v>2.9609699999999999E-2</v>
      </c>
      <c r="R125">
        <v>-1.875839E-2</v>
      </c>
      <c r="S125">
        <v>3.0169679999999999</v>
      </c>
      <c r="T125">
        <v>-0.8228375</v>
      </c>
      <c r="U125">
        <v>-0.47567749999999998</v>
      </c>
      <c r="V125">
        <v>3.5257570000000002E-2</v>
      </c>
      <c r="W125">
        <v>3.4302480000000003E-2</v>
      </c>
      <c r="X125">
        <v>0.99878940000000005</v>
      </c>
      <c r="Y125">
        <v>0.16553670000000001</v>
      </c>
      <c r="Z125">
        <v>-2.6437970000000002E-2</v>
      </c>
      <c r="AA125">
        <v>0.98584919999999998</v>
      </c>
      <c r="AB125">
        <v>6</v>
      </c>
      <c r="AC125">
        <v>0.63639999999997998</v>
      </c>
      <c r="AD125">
        <v>-0.1838128</v>
      </c>
      <c r="AE125">
        <v>-0.107699999999965</v>
      </c>
      <c r="AF125">
        <v>0.10932645842573301</v>
      </c>
      <c r="AG125">
        <v>-0.1838128</v>
      </c>
      <c r="AH125">
        <v>0.58693390197405904</v>
      </c>
      <c r="AI125">
        <v>107.11250833396601</v>
      </c>
      <c r="AJ125">
        <v>79.448602448066495</v>
      </c>
      <c r="AK125">
        <v>0.62468458060228105</v>
      </c>
      <c r="AL125">
        <v>88.034227054348406</v>
      </c>
      <c r="AM125">
        <v>87.978281017391197</v>
      </c>
      <c r="AN125">
        <v>1.0000000109644001</v>
      </c>
    </row>
    <row r="126" spans="1:40" x14ac:dyDescent="0.25">
      <c r="A126" t="str">
        <f>"20190312153853670"</f>
        <v>20190312153853670</v>
      </c>
      <c r="B126" t="str">
        <f>"1552376333666109"</f>
        <v>1552376333666109</v>
      </c>
      <c r="C126" t="s">
        <v>40</v>
      </c>
      <c r="D126">
        <v>4.765358</v>
      </c>
      <c r="E126">
        <v>0.55498599999999998</v>
      </c>
      <c r="F126" t="s">
        <v>41</v>
      </c>
      <c r="G126">
        <v>-472.34820000000002</v>
      </c>
      <c r="H126">
        <v>0.92135239999999996</v>
      </c>
      <c r="I126">
        <v>367.15530000000001</v>
      </c>
      <c r="J126">
        <v>-472.98180000000002</v>
      </c>
      <c r="K126">
        <v>1.1095170000000001</v>
      </c>
      <c r="L126">
        <v>367.26549999999997</v>
      </c>
      <c r="M126">
        <v>0.99985270000000004</v>
      </c>
      <c r="N126">
        <v>0</v>
      </c>
      <c r="O126">
        <v>1.6692990000000001E-2</v>
      </c>
      <c r="P126">
        <v>0.99938830000000001</v>
      </c>
      <c r="Q126">
        <v>3.0264539999999999E-2</v>
      </c>
      <c r="R126">
        <v>-1.75275999999999E-2</v>
      </c>
      <c r="S126">
        <v>3.0173030000000001</v>
      </c>
      <c r="T126">
        <v>-0.8224146</v>
      </c>
      <c r="U126">
        <v>-0.4752808</v>
      </c>
      <c r="V126">
        <v>3.4208660000000002E-2</v>
      </c>
      <c r="W126">
        <v>3.4271030000000001E-2</v>
      </c>
      <c r="X126">
        <v>0.99882689999999996</v>
      </c>
      <c r="Y126">
        <v>0.16557269999999999</v>
      </c>
      <c r="Z126">
        <v>-2.647557E-2</v>
      </c>
      <c r="AA126">
        <v>0.9858422</v>
      </c>
      <c r="AB126">
        <v>6</v>
      </c>
      <c r="AC126">
        <v>0.63360000000000105</v>
      </c>
      <c r="AD126">
        <v>-0.18816459999999999</v>
      </c>
      <c r="AE126">
        <v>-0.11019999999996299</v>
      </c>
      <c r="AF126">
        <v>0.111238737821268</v>
      </c>
      <c r="AG126">
        <v>-0.18816459999999999</v>
      </c>
      <c r="AH126">
        <v>0.58186147543150402</v>
      </c>
      <c r="AI126">
        <v>107.621482889099</v>
      </c>
      <c r="AJ126">
        <v>79.176939890130697</v>
      </c>
      <c r="AK126">
        <v>0.62156475935863298</v>
      </c>
      <c r="AL126">
        <v>88.036029958787793</v>
      </c>
      <c r="AM126">
        <v>88.038452882808301</v>
      </c>
      <c r="AN126">
        <v>0.99999995603993197</v>
      </c>
    </row>
    <row r="127" spans="1:40" x14ac:dyDescent="0.25">
      <c r="A127" t="str">
        <f>"20190312153853684"</f>
        <v>20190312153853684</v>
      </c>
      <c r="B127" t="str">
        <f>"1552376333675869"</f>
        <v>1552376333675869</v>
      </c>
      <c r="C127" t="s">
        <v>40</v>
      </c>
      <c r="D127">
        <v>4.7524850000000001</v>
      </c>
      <c r="E127">
        <v>0.55497209999999997</v>
      </c>
      <c r="F127" t="s">
        <v>41</v>
      </c>
      <c r="G127">
        <v>-472.28879999999998</v>
      </c>
      <c r="H127">
        <v>0.92121140000000001</v>
      </c>
      <c r="I127">
        <v>367.15690000000001</v>
      </c>
      <c r="J127">
        <v>-472.93990000000002</v>
      </c>
      <c r="K127">
        <v>1.1093630000000001</v>
      </c>
      <c r="L127">
        <v>367.26639999999998</v>
      </c>
      <c r="M127">
        <v>0.99985210000000002</v>
      </c>
      <c r="N127">
        <v>0</v>
      </c>
      <c r="O127">
        <v>1.6840790000000001E-2</v>
      </c>
      <c r="P127">
        <v>0.99939140000000004</v>
      </c>
      <c r="Q127">
        <v>3.060856E-2</v>
      </c>
      <c r="R127">
        <v>-1.6743669999999999E-2</v>
      </c>
      <c r="S127">
        <v>3.018402</v>
      </c>
      <c r="T127">
        <v>-0.82032929999999904</v>
      </c>
      <c r="U127">
        <v>-0.47158810000000001</v>
      </c>
      <c r="V127">
        <v>3.357164E-2</v>
      </c>
      <c r="W127">
        <v>3.4117099999999997E-2</v>
      </c>
      <c r="X127">
        <v>0.99885380000000001</v>
      </c>
      <c r="Y127">
        <v>0.16455229999999901</v>
      </c>
      <c r="Z127">
        <v>-2.6307750000000001E-2</v>
      </c>
      <c r="AA127">
        <v>0.98601749999999999</v>
      </c>
      <c r="AB127">
        <v>6</v>
      </c>
      <c r="AC127">
        <v>0.65110000000004198</v>
      </c>
      <c r="AD127">
        <v>-0.1881516</v>
      </c>
      <c r="AE127">
        <v>-0.109499999999968</v>
      </c>
      <c r="AF127">
        <v>0.11140261020563701</v>
      </c>
      <c r="AG127">
        <v>-0.1881516</v>
      </c>
      <c r="AH127">
        <v>0.60040491777336602</v>
      </c>
      <c r="AI127">
        <v>107.12488212129099</v>
      </c>
      <c r="AJ127">
        <v>79.488547695262696</v>
      </c>
      <c r="AK127">
        <v>0.63898171447204299</v>
      </c>
      <c r="AL127">
        <v>88.044854691591098</v>
      </c>
      <c r="AM127">
        <v>88.075004090351797</v>
      </c>
      <c r="AN127">
        <v>0.99999997264956897</v>
      </c>
    </row>
    <row r="128" spans="1:40" x14ac:dyDescent="0.25">
      <c r="A128" t="str">
        <f>"20190312153853697"</f>
        <v>20190312153853697</v>
      </c>
      <c r="B128" t="str">
        <f>"1552376333686607"</f>
        <v>1552376333686607</v>
      </c>
      <c r="C128" t="s">
        <v>40</v>
      </c>
      <c r="D128">
        <v>4.7937349999999999</v>
      </c>
      <c r="E128">
        <v>0.55498859999999905</v>
      </c>
      <c r="F128" t="s">
        <v>41</v>
      </c>
      <c r="G128">
        <v>-472.22919999999999</v>
      </c>
      <c r="H128">
        <v>0.91647089999999998</v>
      </c>
      <c r="I128">
        <v>367.15559999999999</v>
      </c>
      <c r="J128">
        <v>-472.89879999999999</v>
      </c>
      <c r="K128">
        <v>1.109246</v>
      </c>
      <c r="L128">
        <v>367.2672</v>
      </c>
      <c r="M128">
        <v>0.99985089999999999</v>
      </c>
      <c r="N128">
        <v>0</v>
      </c>
      <c r="O128">
        <v>1.699376E-2</v>
      </c>
      <c r="P128">
        <v>0.99939659999999997</v>
      </c>
      <c r="Q128">
        <v>3.0783419999999999E-2</v>
      </c>
      <c r="R128">
        <v>-1.6092950000000002E-2</v>
      </c>
      <c r="S128">
        <v>3.0190429999999999</v>
      </c>
      <c r="T128">
        <v>-0.81948750000000004</v>
      </c>
      <c r="U128">
        <v>-0.4693909</v>
      </c>
      <c r="V128">
        <v>3.3073279999999997E-2</v>
      </c>
      <c r="W128">
        <v>3.3868339999999997E-2</v>
      </c>
      <c r="X128">
        <v>0.99887890000000001</v>
      </c>
      <c r="Y128">
        <v>0.16399929999999999</v>
      </c>
      <c r="Z128">
        <v>-2.6245009999999999E-2</v>
      </c>
      <c r="AA128">
        <v>0.98611130000000002</v>
      </c>
      <c r="AB128">
        <v>7</v>
      </c>
      <c r="AC128">
        <v>0.66960000000000197</v>
      </c>
      <c r="AD128">
        <v>-0.19277509999999901</v>
      </c>
      <c r="AE128">
        <v>-0.111600000000009</v>
      </c>
      <c r="AF128">
        <v>0.11378674732994901</v>
      </c>
      <c r="AG128">
        <v>-0.19277509999999901</v>
      </c>
      <c r="AH128">
        <v>0.61778608665769796</v>
      </c>
      <c r="AI128">
        <v>107.060199706804</v>
      </c>
      <c r="AJ128">
        <v>79.563955623750402</v>
      </c>
      <c r="AK128">
        <v>0.65709155520047002</v>
      </c>
      <c r="AL128">
        <v>88.059115849269901</v>
      </c>
      <c r="AM128">
        <v>88.103606620010495</v>
      </c>
      <c r="AN128">
        <v>0.999999981584761</v>
      </c>
    </row>
    <row r="129" spans="1:40" x14ac:dyDescent="0.25">
      <c r="A129" t="str">
        <f>"20190312153853715"</f>
        <v>20190312153853715</v>
      </c>
      <c r="B129" t="str">
        <f>"1552376333706125"</f>
        <v>1552376333706125</v>
      </c>
      <c r="C129" t="s">
        <v>40</v>
      </c>
      <c r="D129">
        <v>4.7610199999999896</v>
      </c>
      <c r="E129">
        <v>0.55504379999999998</v>
      </c>
      <c r="F129" t="s">
        <v>41</v>
      </c>
      <c r="G129">
        <v>-472.16809999999998</v>
      </c>
      <c r="H129">
        <v>0.91108979999999995</v>
      </c>
      <c r="I129">
        <v>367.15359999999998</v>
      </c>
      <c r="J129">
        <v>-472.84010000000001</v>
      </c>
      <c r="K129">
        <v>1.109145</v>
      </c>
      <c r="L129">
        <v>367.26839999999999</v>
      </c>
      <c r="M129">
        <v>0.99984819999999996</v>
      </c>
      <c r="N129">
        <v>0</v>
      </c>
      <c r="O129">
        <v>1.7225959999999998E-2</v>
      </c>
      <c r="P129">
        <v>0.99944140000000004</v>
      </c>
      <c r="Q129">
        <v>3.0085069999999998E-2</v>
      </c>
      <c r="R129">
        <v>-1.4548739999999999E-2</v>
      </c>
      <c r="S129">
        <v>3.0194700000000001</v>
      </c>
      <c r="T129">
        <v>-0.81901040000000003</v>
      </c>
      <c r="U129">
        <v>-0.467804</v>
      </c>
      <c r="V129">
        <v>3.1761030000000003E-2</v>
      </c>
      <c r="W129">
        <v>3.2724080000000003E-2</v>
      </c>
      <c r="X129">
        <v>0.99895970000000001</v>
      </c>
      <c r="Y129">
        <v>0.1637112</v>
      </c>
      <c r="Z129">
        <v>-2.6251090000000001E-2</v>
      </c>
      <c r="AA129">
        <v>0.98615900000000001</v>
      </c>
      <c r="AB129">
        <v>7</v>
      </c>
      <c r="AC129">
        <v>0.67200000000002502</v>
      </c>
      <c r="AD129">
        <v>-0.19805519999999999</v>
      </c>
      <c r="AE129">
        <v>-0.114800000000002</v>
      </c>
      <c r="AF129">
        <v>0.116524239685908</v>
      </c>
      <c r="AG129">
        <v>-0.19805519999999999</v>
      </c>
      <c r="AH129">
        <v>0.61778211572837305</v>
      </c>
      <c r="AI129">
        <v>107.48629100542</v>
      </c>
      <c r="AJ129">
        <v>79.318528713198006</v>
      </c>
      <c r="AK129">
        <v>0.65913466241371699</v>
      </c>
      <c r="AL129">
        <v>88.124713633173997</v>
      </c>
      <c r="AM129">
        <v>88.1789453949538</v>
      </c>
      <c r="AN129">
        <v>1.00000005533129</v>
      </c>
    </row>
    <row r="130" spans="1:40" x14ac:dyDescent="0.25">
      <c r="A130" t="str">
        <f>"20190312153853729"</f>
        <v>20190312153853729</v>
      </c>
      <c r="B130" t="str">
        <f>"1552376333726620"</f>
        <v>1552376333726620</v>
      </c>
      <c r="C130" t="s">
        <v>40</v>
      </c>
      <c r="D130">
        <v>4.8259780000000001</v>
      </c>
      <c r="E130">
        <v>0.55513089999999998</v>
      </c>
      <c r="F130" t="s">
        <v>41</v>
      </c>
      <c r="G130">
        <v>-472.16300000000001</v>
      </c>
      <c r="H130">
        <v>0.92487680000000005</v>
      </c>
      <c r="I130">
        <v>367.16399999999999</v>
      </c>
      <c r="J130">
        <v>-472.79910000000001</v>
      </c>
      <c r="K130">
        <v>1.1090869999999999</v>
      </c>
      <c r="L130">
        <v>367.26929999999999</v>
      </c>
      <c r="M130">
        <v>0.99984609999999996</v>
      </c>
      <c r="N130">
        <v>0</v>
      </c>
      <c r="O130">
        <v>1.7392830000000001E-2</v>
      </c>
      <c r="P130">
        <v>0.99945810000000002</v>
      </c>
      <c r="Q130">
        <v>2.9943999999999998E-2</v>
      </c>
      <c r="R130">
        <v>-1.3676270000000001E-2</v>
      </c>
      <c r="S130">
        <v>3.0196529999999999</v>
      </c>
      <c r="T130">
        <v>-0.82186819999999905</v>
      </c>
      <c r="U130">
        <v>-0.46383669999999999</v>
      </c>
      <c r="V130">
        <v>3.1054640000000001E-2</v>
      </c>
      <c r="W130">
        <v>3.2284199999999999E-2</v>
      </c>
      <c r="X130">
        <v>0.99899610000000005</v>
      </c>
      <c r="Y130">
        <v>0.16259019999999999</v>
      </c>
      <c r="Z130">
        <v>-2.623586E-2</v>
      </c>
      <c r="AA130">
        <v>0.98634480000000002</v>
      </c>
      <c r="AB130">
        <v>7</v>
      </c>
      <c r="AC130">
        <v>0.636099999999999</v>
      </c>
      <c r="AD130">
        <v>-0.18421019999999999</v>
      </c>
      <c r="AE130">
        <v>-0.10529999999999901</v>
      </c>
      <c r="AF130">
        <v>0.10756725358930599</v>
      </c>
      <c r="AG130">
        <v>-0.18421019999999999</v>
      </c>
      <c r="AH130">
        <v>0.58631314071740803</v>
      </c>
      <c r="AI130">
        <v>107.172523202311</v>
      </c>
      <c r="AJ130">
        <v>79.603908653223399</v>
      </c>
      <c r="AK130">
        <v>0.62391282308243801</v>
      </c>
      <c r="AL130">
        <v>88.149929999396804</v>
      </c>
      <c r="AM130">
        <v>88.219485533352895</v>
      </c>
      <c r="AN130">
        <v>0.99999993402518705</v>
      </c>
    </row>
    <row r="131" spans="1:40" x14ac:dyDescent="0.25">
      <c r="A131" t="str">
        <f>"20190312153853748"</f>
        <v>20190312153853748</v>
      </c>
      <c r="B131" t="str">
        <f>"1552376333736380"</f>
        <v>1552376333736380</v>
      </c>
      <c r="C131" t="s">
        <v>40</v>
      </c>
      <c r="D131">
        <v>4.7732150000000004</v>
      </c>
      <c r="E131">
        <v>0.55516849999999995</v>
      </c>
      <c r="F131" t="s">
        <v>41</v>
      </c>
      <c r="G131">
        <v>-472.10019999999997</v>
      </c>
      <c r="H131">
        <v>0.9187189</v>
      </c>
      <c r="I131">
        <v>367.16199999999998</v>
      </c>
      <c r="J131">
        <v>-472.73430000000002</v>
      </c>
      <c r="K131">
        <v>1.108994</v>
      </c>
      <c r="L131">
        <v>367.27069999999998</v>
      </c>
      <c r="M131">
        <v>0.99984240000000002</v>
      </c>
      <c r="N131">
        <v>0</v>
      </c>
      <c r="O131">
        <v>1.7660249999999999E-2</v>
      </c>
      <c r="P131">
        <v>0.99947569999999997</v>
      </c>
      <c r="Q131">
        <v>2.9932589999999999E-2</v>
      </c>
      <c r="R131">
        <v>-1.236663E-2</v>
      </c>
      <c r="S131">
        <v>3.0199889999999998</v>
      </c>
      <c r="T131">
        <v>-0.82267099999999904</v>
      </c>
      <c r="U131">
        <v>-0.46246340000000002</v>
      </c>
      <c r="V131">
        <v>3.0011409999999999E-2</v>
      </c>
      <c r="W131">
        <v>3.1755659999999998E-2</v>
      </c>
      <c r="X131">
        <v>0.99904499999999996</v>
      </c>
      <c r="Y131">
        <v>0.16238540000000001</v>
      </c>
      <c r="Z131">
        <v>-2.6302610000000001E-2</v>
      </c>
      <c r="AA131">
        <v>0.98637680000000005</v>
      </c>
      <c r="AB131">
        <v>7</v>
      </c>
      <c r="AC131">
        <v>0.63410000000004596</v>
      </c>
      <c r="AD131">
        <v>-0.1902751</v>
      </c>
      <c r="AE131">
        <v>-0.10869999999999801</v>
      </c>
      <c r="AF131">
        <v>0.11023861603592799</v>
      </c>
      <c r="AG131">
        <v>-0.1902751</v>
      </c>
      <c r="AH131">
        <v>0.58123916623708205</v>
      </c>
      <c r="AI131">
        <v>107.82921963966299</v>
      </c>
      <c r="AJ131">
        <v>79.260760183404003</v>
      </c>
      <c r="AK131">
        <v>0.62144680746907399</v>
      </c>
      <c r="AL131">
        <v>88.1802287863933</v>
      </c>
      <c r="AM131">
        <v>88.279346603957507</v>
      </c>
      <c r="AN131">
        <v>1.0000000093486101</v>
      </c>
    </row>
    <row r="132" spans="1:40" x14ac:dyDescent="0.25">
      <c r="A132" t="str">
        <f>"20190312153853760"</f>
        <v>20190312153853760</v>
      </c>
      <c r="B132" t="str">
        <f>"1552376333756066"</f>
        <v>1552376333756066</v>
      </c>
      <c r="C132" t="s">
        <v>40</v>
      </c>
      <c r="D132">
        <v>4.8506470000000004</v>
      </c>
      <c r="E132">
        <v>0.55521849999999995</v>
      </c>
      <c r="F132" t="s">
        <v>41</v>
      </c>
      <c r="G132">
        <v>-472.03269999999998</v>
      </c>
      <c r="H132">
        <v>0.91784790000000005</v>
      </c>
      <c r="I132">
        <v>367.16370000000001</v>
      </c>
      <c r="J132">
        <v>-472.69229999999999</v>
      </c>
      <c r="K132">
        <v>1.108927</v>
      </c>
      <c r="L132">
        <v>367.27159999999998</v>
      </c>
      <c r="M132">
        <v>0.9998399</v>
      </c>
      <c r="N132">
        <v>0</v>
      </c>
      <c r="O132">
        <v>1.7836500000000002E-2</v>
      </c>
      <c r="P132">
        <v>0.9994807</v>
      </c>
      <c r="Q132">
        <v>3.000835E-2</v>
      </c>
      <c r="R132">
        <v>-1.1742789999999999E-2</v>
      </c>
      <c r="S132">
        <v>3.0204770000000001</v>
      </c>
      <c r="T132">
        <v>-0.82319129999999996</v>
      </c>
      <c r="U132">
        <v>-0.4590149</v>
      </c>
      <c r="V132">
        <v>2.9563409999999998E-2</v>
      </c>
      <c r="W132">
        <v>3.1461120000000002E-2</v>
      </c>
      <c r="X132">
        <v>0.9990677</v>
      </c>
      <c r="Y132">
        <v>0.1614543</v>
      </c>
      <c r="Z132">
        <v>-2.6239729999999999E-2</v>
      </c>
      <c r="AA132">
        <v>0.9865313</v>
      </c>
      <c r="AB132">
        <v>7</v>
      </c>
      <c r="AC132">
        <v>0.65960000000001096</v>
      </c>
      <c r="AD132">
        <v>-0.1910791</v>
      </c>
      <c r="AE132">
        <v>-0.107899999999972</v>
      </c>
      <c r="AF132">
        <v>0.110607540774618</v>
      </c>
      <c r="AG132">
        <v>-0.1910791</v>
      </c>
      <c r="AH132">
        <v>0.607886274810163</v>
      </c>
      <c r="AI132">
        <v>107.184536722586</v>
      </c>
      <c r="AJ132">
        <v>79.687602534503199</v>
      </c>
      <c r="AK132">
        <v>0.64673872130528598</v>
      </c>
      <c r="AL132">
        <v>88.197113164865101</v>
      </c>
      <c r="AM132">
        <v>88.305055318672601</v>
      </c>
      <c r="AN132">
        <v>1.00000003323288</v>
      </c>
    </row>
    <row r="133" spans="1:40" x14ac:dyDescent="0.25">
      <c r="A133" t="str">
        <f>"20190312153853784"</f>
        <v>20190312153853784</v>
      </c>
      <c r="B133" t="str">
        <f>"1552376333776563"</f>
        <v>1552376333776563</v>
      </c>
      <c r="C133" t="s">
        <v>40</v>
      </c>
      <c r="D133">
        <v>4.8559320000000001</v>
      </c>
      <c r="E133">
        <v>0.55526319999999996</v>
      </c>
      <c r="F133" t="s">
        <v>41</v>
      </c>
      <c r="G133">
        <v>-471.9649</v>
      </c>
      <c r="H133">
        <v>0.91077889999999995</v>
      </c>
      <c r="I133">
        <v>367.16160000000002</v>
      </c>
      <c r="J133">
        <v>-472.60950000000003</v>
      </c>
      <c r="K133">
        <v>1.108792</v>
      </c>
      <c r="L133">
        <v>367.27339999999998</v>
      </c>
      <c r="M133">
        <v>0.99983440000000001</v>
      </c>
      <c r="N133">
        <v>0</v>
      </c>
      <c r="O133">
        <v>1.8192529999999998E-2</v>
      </c>
      <c r="P133">
        <v>0.99947450000000004</v>
      </c>
      <c r="Q133">
        <v>3.0480719999999999E-2</v>
      </c>
      <c r="R133">
        <v>-1.104948E-2</v>
      </c>
      <c r="S133">
        <v>3.0208740000000001</v>
      </c>
      <c r="T133">
        <v>-0.82288559999999999</v>
      </c>
      <c r="U133">
        <v>-0.45715329999999899</v>
      </c>
      <c r="V133">
        <v>2.9224469999999999E-2</v>
      </c>
      <c r="W133">
        <v>3.1149900000000001E-2</v>
      </c>
      <c r="X133">
        <v>0.99908739999999996</v>
      </c>
      <c r="Y133">
        <v>0.161193899999999</v>
      </c>
      <c r="Z133">
        <v>-2.628832E-2</v>
      </c>
      <c r="AA133">
        <v>0.98657260000000002</v>
      </c>
      <c r="AB133">
        <v>8</v>
      </c>
      <c r="AC133">
        <v>0.64460000000002504</v>
      </c>
      <c r="AD133">
        <v>-0.198013099999999</v>
      </c>
      <c r="AE133">
        <v>-0.111799999999959</v>
      </c>
      <c r="AF133">
        <v>0.113143502089339</v>
      </c>
      <c r="AG133">
        <v>-0.198013099999999</v>
      </c>
      <c r="AH133">
        <v>0.58854380686697205</v>
      </c>
      <c r="AI133">
        <v>108.283343993626</v>
      </c>
      <c r="AJ133">
        <v>79.118040351241206</v>
      </c>
      <c r="AK133">
        <v>0.63118495897646199</v>
      </c>
      <c r="AL133">
        <v>88.214953458467406</v>
      </c>
      <c r="AM133">
        <v>88.324509479861206</v>
      </c>
      <c r="AN133">
        <v>1.0000000093777699</v>
      </c>
    </row>
    <row r="134" spans="1:40" x14ac:dyDescent="0.25">
      <c r="A134" t="str">
        <f>"20190312153853805"</f>
        <v>20190312153853805</v>
      </c>
      <c r="B134" t="str">
        <f>"1552376333796082"</f>
        <v>1552376333796082</v>
      </c>
      <c r="C134" t="s">
        <v>40</v>
      </c>
      <c r="D134">
        <v>4.8007330000000001</v>
      </c>
      <c r="E134">
        <v>0.55531819999999998</v>
      </c>
      <c r="F134" t="s">
        <v>41</v>
      </c>
      <c r="G134">
        <v>-471.89069999999998</v>
      </c>
      <c r="H134">
        <v>0.9132903</v>
      </c>
      <c r="I134">
        <v>367.16469999999998</v>
      </c>
      <c r="J134">
        <v>-472.52940000000001</v>
      </c>
      <c r="K134">
        <v>1.1086819999999999</v>
      </c>
      <c r="L134">
        <v>367.27530000000002</v>
      </c>
      <c r="M134">
        <v>0.99982819999999994</v>
      </c>
      <c r="N134">
        <v>0</v>
      </c>
      <c r="O134">
        <v>1.854484E-2</v>
      </c>
      <c r="P134">
        <v>0.99946270000000004</v>
      </c>
      <c r="Q134">
        <v>3.1000799999999998E-2</v>
      </c>
      <c r="R134">
        <v>-1.066219E-2</v>
      </c>
      <c r="S134">
        <v>3.0216370000000001</v>
      </c>
      <c r="T134">
        <v>-0.8220286</v>
      </c>
      <c r="U134">
        <v>-0.45541379999999998</v>
      </c>
      <c r="V134">
        <v>2.9188240000000001E-2</v>
      </c>
      <c r="W134">
        <v>3.0972119999999999E-2</v>
      </c>
      <c r="X134">
        <v>0.99909389999999998</v>
      </c>
      <c r="Y134">
        <v>0.1609604</v>
      </c>
      <c r="Z134">
        <v>-2.6319269999999999E-2</v>
      </c>
      <c r="AA134">
        <v>0.98660990000000004</v>
      </c>
      <c r="AB134">
        <v>8</v>
      </c>
      <c r="AC134">
        <v>0.63870000000002802</v>
      </c>
      <c r="AD134">
        <v>-0.195391699999999</v>
      </c>
      <c r="AE134">
        <v>-0.11060000000003301</v>
      </c>
      <c r="AF134">
        <v>0.112228177136958</v>
      </c>
      <c r="AG134">
        <v>-0.195391699999999</v>
      </c>
      <c r="AH134">
        <v>0.58351882541039801</v>
      </c>
      <c r="AI134">
        <v>108.20211663705901</v>
      </c>
      <c r="AJ134">
        <v>79.113240259541797</v>
      </c>
      <c r="AK134">
        <v>0.62551362877295102</v>
      </c>
      <c r="AL134">
        <v>88.225144266468902</v>
      </c>
      <c r="AM134">
        <v>88.326596308907796</v>
      </c>
      <c r="AN134">
        <v>0.99999992329439802</v>
      </c>
    </row>
    <row r="135" spans="1:40" x14ac:dyDescent="0.25">
      <c r="A135" t="str">
        <f>"20190312153853829"</f>
        <v>20190312153853829</v>
      </c>
      <c r="B135" t="str">
        <f>"1552376333816578"</f>
        <v>1552376333816578</v>
      </c>
      <c r="C135" t="s">
        <v>40</v>
      </c>
      <c r="D135">
        <v>4.7656229999999997</v>
      </c>
      <c r="E135">
        <v>0.55535500000000004</v>
      </c>
      <c r="F135" t="s">
        <v>41</v>
      </c>
      <c r="G135">
        <v>-471.81450000000001</v>
      </c>
      <c r="H135">
        <v>0.91434789999999999</v>
      </c>
      <c r="I135">
        <v>367.16739999999999</v>
      </c>
      <c r="J135">
        <v>-472.4409</v>
      </c>
      <c r="K135">
        <v>1.1086069999999999</v>
      </c>
      <c r="L135">
        <v>367.27730000000003</v>
      </c>
      <c r="M135">
        <v>0.9998205</v>
      </c>
      <c r="N135">
        <v>0</v>
      </c>
      <c r="O135">
        <v>1.8938920000000001E-2</v>
      </c>
      <c r="P135">
        <v>0.99942350000000002</v>
      </c>
      <c r="Q135">
        <v>3.210404E-2</v>
      </c>
      <c r="R135">
        <v>-1.1076010000000001E-2</v>
      </c>
      <c r="S135">
        <v>3.022278</v>
      </c>
      <c r="T135">
        <v>-0.82163079999999999</v>
      </c>
      <c r="U135">
        <v>-0.45446779999999998</v>
      </c>
      <c r="V135">
        <v>2.9993789999999999E-2</v>
      </c>
      <c r="W135">
        <v>3.1441579999999997E-2</v>
      </c>
      <c r="X135">
        <v>0.99905540000000004</v>
      </c>
      <c r="Y135">
        <v>0.1610087</v>
      </c>
      <c r="Z135">
        <v>-2.641336E-2</v>
      </c>
      <c r="AA135">
        <v>0.98659949999999996</v>
      </c>
      <c r="AB135">
        <v>8</v>
      </c>
      <c r="AC135">
        <v>0.62639999999998897</v>
      </c>
      <c r="AD135">
        <v>-0.19425909999999899</v>
      </c>
      <c r="AE135">
        <v>-0.109900000000038</v>
      </c>
      <c r="AF135">
        <v>0.111354036815702</v>
      </c>
      <c r="AG135">
        <v>-0.19425909999999899</v>
      </c>
      <c r="AH135">
        <v>0.57093654341441202</v>
      </c>
      <c r="AI135">
        <v>108.466944906631</v>
      </c>
      <c r="AJ135">
        <v>78.963721056426905</v>
      </c>
      <c r="AK135">
        <v>0.61327388339465405</v>
      </c>
      <c r="AL135">
        <v>88.198233121868</v>
      </c>
      <c r="AM135">
        <v>88.280374100551199</v>
      </c>
      <c r="AN135">
        <v>0.99999994633030798</v>
      </c>
    </row>
    <row r="136" spans="1:40" x14ac:dyDescent="0.25">
      <c r="A136" t="str">
        <f>"20190312153853850"</f>
        <v>20190312153853850</v>
      </c>
      <c r="B136" t="str">
        <f>"1552376333846366"</f>
        <v>1552376333846366</v>
      </c>
      <c r="C136" t="s">
        <v>40</v>
      </c>
      <c r="D136">
        <v>4.7809330000000001</v>
      </c>
      <c r="E136">
        <v>0.55540069999999997</v>
      </c>
      <c r="F136" t="s">
        <v>41</v>
      </c>
      <c r="G136">
        <v>-471.73509999999999</v>
      </c>
      <c r="H136">
        <v>0.91748689999999999</v>
      </c>
      <c r="I136">
        <v>367.1703</v>
      </c>
      <c r="J136">
        <v>-472.35559999999998</v>
      </c>
      <c r="K136">
        <v>1.108568</v>
      </c>
      <c r="L136">
        <v>367.27929999999998</v>
      </c>
      <c r="M136">
        <v>0.99981279999999995</v>
      </c>
      <c r="N136">
        <v>0</v>
      </c>
      <c r="O136">
        <v>1.931478E-2</v>
      </c>
      <c r="P136">
        <v>0.99937589999999998</v>
      </c>
      <c r="Q136">
        <v>3.3301480000000001E-2</v>
      </c>
      <c r="R136">
        <v>-1.180256E-2</v>
      </c>
      <c r="S136">
        <v>3.0230100000000002</v>
      </c>
      <c r="T136">
        <v>-0.81887829999999995</v>
      </c>
      <c r="U136">
        <v>-0.45675660000000001</v>
      </c>
      <c r="V136">
        <v>3.1094210000000001E-2</v>
      </c>
      <c r="W136">
        <v>3.215266E-2</v>
      </c>
      <c r="X136">
        <v>0.99899919999999998</v>
      </c>
      <c r="Y136">
        <v>0.16206960000000001</v>
      </c>
      <c r="Z136">
        <v>-2.6560340000000002E-2</v>
      </c>
      <c r="AA136">
        <v>0.98642180000000002</v>
      </c>
      <c r="AB136">
        <v>9</v>
      </c>
      <c r="AC136">
        <v>0.62049999999999195</v>
      </c>
      <c r="AD136">
        <v>-0.191081099999999</v>
      </c>
      <c r="AE136">
        <v>-0.10899999999998</v>
      </c>
      <c r="AF136">
        <v>0.11077409554215401</v>
      </c>
      <c r="AG136">
        <v>-0.191081099999999</v>
      </c>
      <c r="AH136">
        <v>0.56619332580570603</v>
      </c>
      <c r="AI136">
        <v>108.32510196256</v>
      </c>
      <c r="AJ136">
        <v>78.930076120821795</v>
      </c>
      <c r="AK136">
        <v>0.60774811328980605</v>
      </c>
      <c r="AL136">
        <v>88.157470764540093</v>
      </c>
      <c r="AM136">
        <v>88.217223783356204</v>
      </c>
      <c r="AN136">
        <v>1.00000002252061</v>
      </c>
    </row>
    <row r="137" spans="1:40" x14ac:dyDescent="0.25">
      <c r="A137" t="str">
        <f>"20190312153853871"</f>
        <v>20190312153853871</v>
      </c>
      <c r="B137" t="str">
        <f>"1552376333865886"</f>
        <v>1552376333865886</v>
      </c>
      <c r="C137" t="s">
        <v>40</v>
      </c>
      <c r="D137">
        <v>4.869059</v>
      </c>
      <c r="E137">
        <v>0.55543659999999995</v>
      </c>
      <c r="F137" t="s">
        <v>41</v>
      </c>
      <c r="G137">
        <v>-471.65390000000002</v>
      </c>
      <c r="H137">
        <v>0.9192593</v>
      </c>
      <c r="I137">
        <v>367.1728</v>
      </c>
      <c r="J137">
        <v>-472.26609999999999</v>
      </c>
      <c r="K137">
        <v>1.108536</v>
      </c>
      <c r="L137">
        <v>367.28149999999999</v>
      </c>
      <c r="M137">
        <v>0.99980480000000005</v>
      </c>
      <c r="N137">
        <v>0</v>
      </c>
      <c r="O137">
        <v>1.9700240000000001E-2</v>
      </c>
      <c r="P137">
        <v>0.99932699999999997</v>
      </c>
      <c r="Q137">
        <v>3.447149E-2</v>
      </c>
      <c r="R137">
        <v>-1.255182E-2</v>
      </c>
      <c r="S137">
        <v>3.02359</v>
      </c>
      <c r="T137">
        <v>-0.81571050000000001</v>
      </c>
      <c r="U137">
        <v>-0.4593506</v>
      </c>
      <c r="V137">
        <v>3.2226949999999997E-2</v>
      </c>
      <c r="W137">
        <v>3.2899949999999997E-2</v>
      </c>
      <c r="X137">
        <v>0.99893889999999996</v>
      </c>
      <c r="Y137">
        <v>0.163246</v>
      </c>
      <c r="Z137">
        <v>-2.671138E-2</v>
      </c>
      <c r="AA137">
        <v>0.98622379999999998</v>
      </c>
      <c r="AB137">
        <v>9</v>
      </c>
      <c r="AC137">
        <v>0.61219999999997299</v>
      </c>
      <c r="AD137">
        <v>-0.18927669999999899</v>
      </c>
      <c r="AE137">
        <v>-0.10869999999999801</v>
      </c>
      <c r="AF137">
        <v>0.11049967810009501</v>
      </c>
      <c r="AG137">
        <v>-0.18927669999999899</v>
      </c>
      <c r="AH137">
        <v>0.55821169869749498</v>
      </c>
      <c r="AI137">
        <v>108.398289286082</v>
      </c>
      <c r="AJ137">
        <v>78.802885537658099</v>
      </c>
      <c r="AK137">
        <v>0.59969671383613299</v>
      </c>
      <c r="AL137">
        <v>88.114631405990806</v>
      </c>
      <c r="AM137">
        <v>88.1522112815355</v>
      </c>
      <c r="AN137">
        <v>0.99999995447475598</v>
      </c>
    </row>
    <row r="138" spans="1:40" x14ac:dyDescent="0.25">
      <c r="A138" t="str">
        <f>"20190312153853886"</f>
        <v>20190312153853886</v>
      </c>
      <c r="B138" t="str">
        <f>"1552376333876621"</f>
        <v>1552376333876621</v>
      </c>
      <c r="C138" t="s">
        <v>40</v>
      </c>
      <c r="D138">
        <v>4.806603</v>
      </c>
      <c r="E138">
        <v>0.55547270000000004</v>
      </c>
      <c r="F138" t="s">
        <v>41</v>
      </c>
      <c r="G138">
        <v>-471.56990000000002</v>
      </c>
      <c r="H138">
        <v>0.92158030000000002</v>
      </c>
      <c r="I138">
        <v>367.1748</v>
      </c>
      <c r="J138">
        <v>-472.20650000000001</v>
      </c>
      <c r="K138">
        <v>1.1085210000000001</v>
      </c>
      <c r="L138">
        <v>367.28300000000002</v>
      </c>
      <c r="M138">
        <v>0.9997994</v>
      </c>
      <c r="N138">
        <v>0</v>
      </c>
      <c r="O138">
        <v>1.9949310000000001E-2</v>
      </c>
      <c r="P138">
        <v>0.99930490000000005</v>
      </c>
      <c r="Q138">
        <v>3.4962300000000002E-2</v>
      </c>
      <c r="R138">
        <v>-1.2940500000000001E-2</v>
      </c>
      <c r="S138">
        <v>3.0242610000000001</v>
      </c>
      <c r="T138">
        <v>-0.81235089999999999</v>
      </c>
      <c r="U138">
        <v>-0.46197510000000003</v>
      </c>
      <c r="V138">
        <v>3.2863879999999998E-2</v>
      </c>
      <c r="W138">
        <v>3.3149190000000002E-2</v>
      </c>
      <c r="X138">
        <v>0.99890999999999996</v>
      </c>
      <c r="Y138">
        <v>0.16430539999999999</v>
      </c>
      <c r="Z138">
        <v>-2.6802260000000001E-2</v>
      </c>
      <c r="AA138">
        <v>0.98604530000000001</v>
      </c>
      <c r="AB138">
        <v>9</v>
      </c>
      <c r="AC138">
        <v>0.63659999999998695</v>
      </c>
      <c r="AD138">
        <v>-0.18694069999999899</v>
      </c>
      <c r="AE138">
        <v>-0.10820000000001</v>
      </c>
      <c r="AF138">
        <v>0.11153061349716099</v>
      </c>
      <c r="AG138">
        <v>-0.18694069999999899</v>
      </c>
      <c r="AH138">
        <v>0.58526274606635997</v>
      </c>
      <c r="AI138">
        <v>107.420129204204</v>
      </c>
      <c r="AJ138">
        <v>79.210790223674294</v>
      </c>
      <c r="AK138">
        <v>0.62443445212182203</v>
      </c>
      <c r="AL138">
        <v>88.100343385041498</v>
      </c>
      <c r="AM138">
        <v>88.115663377914004</v>
      </c>
      <c r="AN138">
        <v>1.0000000457531499</v>
      </c>
    </row>
    <row r="139" spans="1:40" x14ac:dyDescent="0.25">
      <c r="A139" t="str">
        <f>"20190312153853904"</f>
        <v>20190312153853904</v>
      </c>
      <c r="B139" t="str">
        <f>"1552376333896141"</f>
        <v>1552376333896141</v>
      </c>
      <c r="C139" t="s">
        <v>40</v>
      </c>
      <c r="D139">
        <v>4.8242149999999997</v>
      </c>
      <c r="E139">
        <v>0.55554630000000005</v>
      </c>
      <c r="F139" t="s">
        <v>41</v>
      </c>
      <c r="G139">
        <v>-471.48669999999998</v>
      </c>
      <c r="H139">
        <v>0.91555960000000003</v>
      </c>
      <c r="I139">
        <v>367.17230000000001</v>
      </c>
      <c r="J139">
        <v>-472.1225</v>
      </c>
      <c r="K139">
        <v>1.1085119999999999</v>
      </c>
      <c r="L139">
        <v>367.28500000000003</v>
      </c>
      <c r="M139">
        <v>0.99979189999999996</v>
      </c>
      <c r="N139">
        <v>0</v>
      </c>
      <c r="O139">
        <v>2.0290619999999999E-2</v>
      </c>
      <c r="P139">
        <v>0.99926250000000005</v>
      </c>
      <c r="Q139">
        <v>3.587924E-2</v>
      </c>
      <c r="R139">
        <v>-1.368955E-2</v>
      </c>
      <c r="S139">
        <v>3.0244450000000001</v>
      </c>
      <c r="T139">
        <v>-0.81095030000000001</v>
      </c>
      <c r="U139">
        <v>-0.46362300000000001</v>
      </c>
      <c r="V139">
        <v>3.3952389999999999E-2</v>
      </c>
      <c r="W139">
        <v>3.3771589999999997E-2</v>
      </c>
      <c r="X139">
        <v>0.99885270000000004</v>
      </c>
      <c r="Y139">
        <v>0.16514000000000001</v>
      </c>
      <c r="Z139">
        <v>-2.695386E-2</v>
      </c>
      <c r="AA139">
        <v>0.98590180000000005</v>
      </c>
      <c r="AB139">
        <v>9</v>
      </c>
      <c r="AC139">
        <v>0.63580000000001702</v>
      </c>
      <c r="AD139">
        <v>-0.1929524</v>
      </c>
      <c r="AE139">
        <v>-0.11270000000001799</v>
      </c>
      <c r="AF139">
        <v>0.115283447398348</v>
      </c>
      <c r="AG139">
        <v>-0.1929524</v>
      </c>
      <c r="AH139">
        <v>0.58146117480958104</v>
      </c>
      <c r="AI139">
        <v>108.030306370327</v>
      </c>
      <c r="AJ139">
        <v>78.785679615515306</v>
      </c>
      <c r="AK139">
        <v>0.62339233209973499</v>
      </c>
      <c r="AL139">
        <v>88.0646624259726</v>
      </c>
      <c r="AM139">
        <v>88.053186470785306</v>
      </c>
      <c r="AN139">
        <v>1.00000000068756</v>
      </c>
    </row>
    <row r="140" spans="1:40" x14ac:dyDescent="0.25">
      <c r="A140" t="str">
        <f>"20190312153853918"</f>
        <v>20190312153853918</v>
      </c>
      <c r="B140" t="str">
        <f>"1552376333905901"</f>
        <v>1552376333905901</v>
      </c>
      <c r="C140" t="s">
        <v>40</v>
      </c>
      <c r="D140">
        <v>4.8253029999999999</v>
      </c>
      <c r="E140">
        <v>0.55558629999999998</v>
      </c>
      <c r="F140" t="s">
        <v>41</v>
      </c>
      <c r="G140">
        <v>-471.399</v>
      </c>
      <c r="H140">
        <v>0.91504940000000001</v>
      </c>
      <c r="I140">
        <v>367.173</v>
      </c>
      <c r="J140">
        <v>-472.06670000000003</v>
      </c>
      <c r="K140">
        <v>1.1085050000000001</v>
      </c>
      <c r="L140">
        <v>367.28640000000001</v>
      </c>
      <c r="M140">
        <v>0.99978699999999998</v>
      </c>
      <c r="N140">
        <v>0</v>
      </c>
      <c r="O140">
        <v>2.0511120000000001E-2</v>
      </c>
      <c r="P140">
        <v>0.99924460000000004</v>
      </c>
      <c r="Q140">
        <v>3.6241049999999997E-2</v>
      </c>
      <c r="R140">
        <v>-1.403631E-2</v>
      </c>
      <c r="S140">
        <v>3.0248409999999999</v>
      </c>
      <c r="T140">
        <v>-0.80895119999999998</v>
      </c>
      <c r="U140">
        <v>-0.46643069999999998</v>
      </c>
      <c r="V140">
        <v>3.4518890000000003E-2</v>
      </c>
      <c r="W140">
        <v>3.3962699999999998E-2</v>
      </c>
      <c r="X140">
        <v>0.99882680000000001</v>
      </c>
      <c r="Y140">
        <v>0.166220799999999</v>
      </c>
      <c r="Z140">
        <v>-2.7083369999999999E-2</v>
      </c>
      <c r="AA140">
        <v>0.98571660000000005</v>
      </c>
      <c r="AB140">
        <v>10</v>
      </c>
      <c r="AC140">
        <v>0.66770000000002405</v>
      </c>
      <c r="AD140">
        <v>-0.19345559999999901</v>
      </c>
      <c r="AE140">
        <v>-0.11340000000001201</v>
      </c>
      <c r="AF140">
        <v>0.117485519715812</v>
      </c>
      <c r="AG140">
        <v>-0.19345559999999901</v>
      </c>
      <c r="AH140">
        <v>0.61505010414817496</v>
      </c>
      <c r="AI140">
        <v>107.1685529475</v>
      </c>
      <c r="AJ140">
        <v>79.185759459938197</v>
      </c>
      <c r="AK140">
        <v>0.65537359355327596</v>
      </c>
      <c r="AL140">
        <v>88.053706338461396</v>
      </c>
      <c r="AM140">
        <v>88.020677978009104</v>
      </c>
      <c r="AN140">
        <v>0.99999999757818103</v>
      </c>
    </row>
    <row r="141" spans="1:40" x14ac:dyDescent="0.25">
      <c r="A141" t="str">
        <f>"20190312153853939"</f>
        <v>20190312153853939</v>
      </c>
      <c r="B141" t="str">
        <f>"1552376333926398"</f>
        <v>1552376333926398</v>
      </c>
      <c r="C141" t="s">
        <v>40</v>
      </c>
      <c r="D141">
        <v>4.7679479999999996</v>
      </c>
      <c r="E141">
        <v>0.55563589999999996</v>
      </c>
      <c r="F141" t="s">
        <v>41</v>
      </c>
      <c r="G141">
        <v>-471.31189999999998</v>
      </c>
      <c r="H141">
        <v>0.90691080000000002</v>
      </c>
      <c r="I141">
        <v>367.1696</v>
      </c>
      <c r="J141">
        <v>-471.97320000000002</v>
      </c>
      <c r="K141">
        <v>1.1085</v>
      </c>
      <c r="L141">
        <v>367.28879999999998</v>
      </c>
      <c r="M141">
        <v>0.99977919999999998</v>
      </c>
      <c r="N141">
        <v>0</v>
      </c>
      <c r="O141">
        <v>2.0866849999999999E-2</v>
      </c>
      <c r="P141">
        <v>0.99919789999999997</v>
      </c>
      <c r="Q141">
        <v>3.7284970000000001E-2</v>
      </c>
      <c r="R141">
        <v>-1.461958E-2</v>
      </c>
      <c r="S141">
        <v>3.0250240000000002</v>
      </c>
      <c r="T141">
        <v>-0.80801029999999996</v>
      </c>
      <c r="U141">
        <v>-0.46752929999999998</v>
      </c>
      <c r="V141">
        <v>3.5456429999999997E-2</v>
      </c>
      <c r="W141">
        <v>3.4795239999999998E-2</v>
      </c>
      <c r="X141">
        <v>0.99876529999999997</v>
      </c>
      <c r="Y141">
        <v>0.1668924</v>
      </c>
      <c r="Z141">
        <v>-2.723124E-2</v>
      </c>
      <c r="AA141">
        <v>0.985599</v>
      </c>
      <c r="AB141">
        <v>10</v>
      </c>
      <c r="AC141">
        <v>0.66130000000003897</v>
      </c>
      <c r="AD141">
        <v>-0.2015892</v>
      </c>
      <c r="AE141">
        <v>-0.119199999999978</v>
      </c>
      <c r="AF141">
        <v>0.12199367889776699</v>
      </c>
      <c r="AG141">
        <v>-0.2015892</v>
      </c>
      <c r="AH141">
        <v>0.60428216078006103</v>
      </c>
      <c r="AI141">
        <v>108.107947558303</v>
      </c>
      <c r="AJ141">
        <v>78.586422945953103</v>
      </c>
      <c r="AK141">
        <v>0.64859663357488295</v>
      </c>
      <c r="AL141">
        <v>88.005977090917696</v>
      </c>
      <c r="AM141">
        <v>87.966838628807295</v>
      </c>
      <c r="AN141">
        <v>0.99999999581954602</v>
      </c>
    </row>
    <row r="142" spans="1:40" x14ac:dyDescent="0.25">
      <c r="A142" t="str">
        <f>"20190312153853960"</f>
        <v>20190312153853960</v>
      </c>
      <c r="B142" t="str">
        <f>"1552376333956654"</f>
        <v>1552376333956654</v>
      </c>
      <c r="C142" t="s">
        <v>40</v>
      </c>
      <c r="D142">
        <v>4.7788459999999997</v>
      </c>
      <c r="E142">
        <v>0.55572699999999997</v>
      </c>
      <c r="F142" t="s">
        <v>41</v>
      </c>
      <c r="G142">
        <v>-471.21910000000003</v>
      </c>
      <c r="H142">
        <v>0.90788029999999997</v>
      </c>
      <c r="I142">
        <v>367.1712</v>
      </c>
      <c r="J142">
        <v>-471.87189999999998</v>
      </c>
      <c r="K142">
        <v>1.108509</v>
      </c>
      <c r="L142">
        <v>367.29140000000001</v>
      </c>
      <c r="M142">
        <v>0.99977110000000002</v>
      </c>
      <c r="N142">
        <v>0</v>
      </c>
      <c r="O142">
        <v>2.123413E-2</v>
      </c>
      <c r="P142">
        <v>0.99916090000000002</v>
      </c>
      <c r="Q142">
        <v>3.8288269999999999E-2</v>
      </c>
      <c r="R142">
        <v>-1.4551100000000001E-2</v>
      </c>
      <c r="S142">
        <v>3.0255740000000002</v>
      </c>
      <c r="T142">
        <v>-0.80516080000000001</v>
      </c>
      <c r="U142">
        <v>-0.47009279999999998</v>
      </c>
      <c r="V142">
        <v>3.5754189999999998E-2</v>
      </c>
      <c r="W142">
        <v>3.5658259999999997E-2</v>
      </c>
      <c r="X142">
        <v>0.99872419999999995</v>
      </c>
      <c r="Y142">
        <v>0.16803879999999999</v>
      </c>
      <c r="Z142">
        <v>-2.7376689999999999E-2</v>
      </c>
      <c r="AA142">
        <v>0.9854001</v>
      </c>
      <c r="AB142">
        <v>10</v>
      </c>
      <c r="AC142">
        <v>0.65279999999995597</v>
      </c>
      <c r="AD142">
        <v>-0.20062869999999999</v>
      </c>
      <c r="AE142">
        <v>-0.12020000000001101</v>
      </c>
      <c r="AF142">
        <v>0.12281452021585899</v>
      </c>
      <c r="AG142">
        <v>-0.20062869999999999</v>
      </c>
      <c r="AH142">
        <v>0.59568040339651895</v>
      </c>
      <c r="AI142">
        <v>108.256062184735</v>
      </c>
      <c r="AJ142">
        <v>78.350270889418795</v>
      </c>
      <c r="AK142">
        <v>0.64044548919496702</v>
      </c>
      <c r="AL142">
        <v>87.956498884346402</v>
      </c>
      <c r="AM142">
        <v>87.949694528260594</v>
      </c>
      <c r="AN142">
        <v>0.99999995063721003</v>
      </c>
    </row>
    <row r="143" spans="1:40" x14ac:dyDescent="0.25">
      <c r="A143" t="str">
        <f>"20190312153853974"</f>
        <v>20190312153853974</v>
      </c>
      <c r="B143" t="str">
        <f>"1552376333966414"</f>
        <v>1552376333966414</v>
      </c>
      <c r="C143" t="s">
        <v>40</v>
      </c>
      <c r="D143">
        <v>4.8058199999999998</v>
      </c>
      <c r="E143">
        <v>0.55575669999999899</v>
      </c>
      <c r="F143" t="s">
        <v>41</v>
      </c>
      <c r="G143">
        <v>-471.12380000000002</v>
      </c>
      <c r="H143">
        <v>0.91010279999999999</v>
      </c>
      <c r="I143">
        <v>367.17489999999998</v>
      </c>
      <c r="J143">
        <v>-471.80590000000001</v>
      </c>
      <c r="K143">
        <v>1.1085210000000001</v>
      </c>
      <c r="L143">
        <v>367.29300000000001</v>
      </c>
      <c r="M143">
        <v>0.99976609999999999</v>
      </c>
      <c r="N143">
        <v>0</v>
      </c>
      <c r="O143">
        <v>2.1465930000000001E-2</v>
      </c>
      <c r="P143">
        <v>0.99914340000000001</v>
      </c>
      <c r="Q143">
        <v>3.8698820000000002E-2</v>
      </c>
      <c r="R143">
        <v>-1.467106E-2</v>
      </c>
      <c r="S143">
        <v>3.026459</v>
      </c>
      <c r="T143">
        <v>-0.80274449999999997</v>
      </c>
      <c r="U143">
        <v>-0.47064210000000001</v>
      </c>
      <c r="V143">
        <v>3.6105379999999999E-2</v>
      </c>
      <c r="W143">
        <v>3.6018990000000001E-2</v>
      </c>
      <c r="X143">
        <v>0.99869870000000005</v>
      </c>
      <c r="Y143">
        <v>0.16841909999999999</v>
      </c>
      <c r="Z143">
        <v>-2.7398680000000002E-2</v>
      </c>
      <c r="AA143">
        <v>0.98533459999999995</v>
      </c>
      <c r="AB143">
        <v>10</v>
      </c>
      <c r="AC143">
        <v>0.68209999999999105</v>
      </c>
      <c r="AD143">
        <v>-0.19841819999999899</v>
      </c>
      <c r="AE143">
        <v>-0.118100000000026</v>
      </c>
      <c r="AF143">
        <v>0.12263921028347</v>
      </c>
      <c r="AG143">
        <v>-0.19841819999999899</v>
      </c>
      <c r="AH143">
        <v>0.62782790693019597</v>
      </c>
      <c r="AI143">
        <v>107.232677503324</v>
      </c>
      <c r="AJ143">
        <v>78.947086168157597</v>
      </c>
      <c r="AK143">
        <v>0.66975968728383695</v>
      </c>
      <c r="AL143">
        <v>87.935817453969406</v>
      </c>
      <c r="AM143">
        <v>87.929520343001897</v>
      </c>
      <c r="AN143">
        <v>1.00000002974362</v>
      </c>
    </row>
    <row r="144" spans="1:40" x14ac:dyDescent="0.25">
      <c r="A144" t="str">
        <f>"20190312153853988"</f>
        <v>20190312153853988</v>
      </c>
      <c r="B144" t="str">
        <f>"1552376333976174"</f>
        <v>1552376333976174</v>
      </c>
      <c r="C144" t="s">
        <v>40</v>
      </c>
      <c r="D144">
        <v>4.745171</v>
      </c>
      <c r="E144">
        <v>0.55578309999999997</v>
      </c>
      <c r="F144" t="s">
        <v>41</v>
      </c>
      <c r="G144">
        <v>-471.11779999999999</v>
      </c>
      <c r="H144">
        <v>0.92635670000000003</v>
      </c>
      <c r="I144">
        <v>367.1857</v>
      </c>
      <c r="J144">
        <v>-471.74130000000002</v>
      </c>
      <c r="K144">
        <v>1.1085370000000001</v>
      </c>
      <c r="L144">
        <v>367.29469999999998</v>
      </c>
      <c r="M144">
        <v>0.99976120000000002</v>
      </c>
      <c r="N144">
        <v>0</v>
      </c>
      <c r="O144">
        <v>2.1687999999999999E-2</v>
      </c>
      <c r="P144">
        <v>0.99913110000000005</v>
      </c>
      <c r="Q144">
        <v>3.9157160000000003E-2</v>
      </c>
      <c r="R144">
        <v>-1.428521E-2</v>
      </c>
      <c r="S144">
        <v>3.0266419999999998</v>
      </c>
      <c r="T144">
        <v>-0.80132680000000001</v>
      </c>
      <c r="U144">
        <v>-0.47155760000000002</v>
      </c>
      <c r="V144">
        <v>3.5941430000000003E-2</v>
      </c>
      <c r="W144">
        <v>3.6461680000000003E-2</v>
      </c>
      <c r="X144">
        <v>0.99868849999999998</v>
      </c>
      <c r="Y144">
        <v>0.1689187</v>
      </c>
      <c r="Z144">
        <v>-2.7471849999999999E-2</v>
      </c>
      <c r="AA144">
        <v>0.98524710000000004</v>
      </c>
      <c r="AB144">
        <v>10</v>
      </c>
      <c r="AC144">
        <v>0.62350000000003503</v>
      </c>
      <c r="AD144">
        <v>-0.18218029999999999</v>
      </c>
      <c r="AE144">
        <v>-0.10899999999998</v>
      </c>
      <c r="AF144">
        <v>0.11312524325802301</v>
      </c>
      <c r="AG144">
        <v>-0.18218029999999999</v>
      </c>
      <c r="AH144">
        <v>0.57348049680802904</v>
      </c>
      <c r="AI144">
        <v>107.310630295381</v>
      </c>
      <c r="AJ144">
        <v>78.841052896453206</v>
      </c>
      <c r="AK144">
        <v>0.61226371980500405</v>
      </c>
      <c r="AL144">
        <v>87.9104364097944</v>
      </c>
      <c r="AM144">
        <v>87.938892971570795</v>
      </c>
      <c r="AN144">
        <v>0.99999998026555803</v>
      </c>
    </row>
    <row r="145" spans="1:40" x14ac:dyDescent="0.25">
      <c r="A145" t="str">
        <f>"20190312153854008"</f>
        <v>20190312153854008</v>
      </c>
      <c r="B145" t="str">
        <f>"1552376333995694"</f>
        <v>1552376333995694</v>
      </c>
      <c r="C145" t="s">
        <v>40</v>
      </c>
      <c r="D145">
        <v>4.7562089999999904</v>
      </c>
      <c r="E145">
        <v>0.55577639999999995</v>
      </c>
      <c r="F145" t="s">
        <v>41</v>
      </c>
      <c r="G145">
        <v>-471.024</v>
      </c>
      <c r="H145">
        <v>0.91899600000000004</v>
      </c>
      <c r="I145">
        <v>367.18279999999999</v>
      </c>
      <c r="J145">
        <v>-471.64670000000001</v>
      </c>
      <c r="K145">
        <v>1.1085659999999999</v>
      </c>
      <c r="L145">
        <v>367.2971</v>
      </c>
      <c r="M145">
        <v>0.99975409999999998</v>
      </c>
      <c r="N145">
        <v>0</v>
      </c>
      <c r="O145">
        <v>2.2009540000000001E-2</v>
      </c>
      <c r="P145">
        <v>0.99907140000000005</v>
      </c>
      <c r="Q145">
        <v>4.0875420000000003E-2</v>
      </c>
      <c r="R145">
        <v>-1.3640019999999999E-2</v>
      </c>
      <c r="S145">
        <v>3.0273129999999999</v>
      </c>
      <c r="T145">
        <v>-0.80013000000000001</v>
      </c>
      <c r="U145">
        <v>-0.4706726</v>
      </c>
      <c r="V145">
        <v>3.5615870000000001E-2</v>
      </c>
      <c r="W145">
        <v>3.819616E-2</v>
      </c>
      <c r="X145">
        <v>0.99863539999999995</v>
      </c>
      <c r="Y145">
        <v>0.16893089999999999</v>
      </c>
      <c r="Z145">
        <v>-2.7511620000000001E-2</v>
      </c>
      <c r="AA145">
        <v>0.98524389999999995</v>
      </c>
      <c r="AB145">
        <v>11</v>
      </c>
      <c r="AC145">
        <v>0.62270000000000802</v>
      </c>
      <c r="AD145">
        <v>-0.18956999999999999</v>
      </c>
      <c r="AE145">
        <v>-0.114300000000014</v>
      </c>
      <c r="AF145">
        <v>0.117447563952531</v>
      </c>
      <c r="AG145">
        <v>-0.18956999999999999</v>
      </c>
      <c r="AH145">
        <v>0.56901645848096905</v>
      </c>
      <c r="AI145">
        <v>108.070269696094</v>
      </c>
      <c r="AJ145">
        <v>78.337668061866907</v>
      </c>
      <c r="AK145">
        <v>0.61115500914302301</v>
      </c>
      <c r="AL145">
        <v>87.810988851473695</v>
      </c>
      <c r="AM145">
        <v>87.957438229055896</v>
      </c>
      <c r="AN145">
        <v>1.0000000494838699</v>
      </c>
    </row>
    <row r="146" spans="1:40" x14ac:dyDescent="0.25">
      <c r="A146" t="str">
        <f>"20190312153854030"</f>
        <v>20190312153854030</v>
      </c>
      <c r="B146" t="str">
        <f>"1552376334025950"</f>
        <v>1552376334025950</v>
      </c>
      <c r="C146" t="s">
        <v>40</v>
      </c>
      <c r="D146">
        <v>4.6962840000000003</v>
      </c>
      <c r="E146">
        <v>0.55579919999999905</v>
      </c>
      <c r="F146" t="s">
        <v>41</v>
      </c>
      <c r="G146">
        <v>-470.92540000000002</v>
      </c>
      <c r="H146">
        <v>0.91917400000000005</v>
      </c>
      <c r="I146">
        <v>367.18549999999999</v>
      </c>
      <c r="J146">
        <v>-471.53629999999998</v>
      </c>
      <c r="K146">
        <v>1.1086020000000001</v>
      </c>
      <c r="L146">
        <v>367.30009999999999</v>
      </c>
      <c r="M146">
        <v>0.99974609999999997</v>
      </c>
      <c r="N146">
        <v>0</v>
      </c>
      <c r="O146">
        <v>2.2383380000000001E-2</v>
      </c>
      <c r="P146">
        <v>0.99903699999999995</v>
      </c>
      <c r="Q146">
        <v>4.2070820000000002E-2</v>
      </c>
      <c r="R146">
        <v>-1.245805E-2</v>
      </c>
      <c r="S146">
        <v>3.028931</v>
      </c>
      <c r="T146">
        <v>-0.79526960000000002</v>
      </c>
      <c r="U146">
        <v>-0.46911619999999998</v>
      </c>
      <c r="V146">
        <v>3.4807049999999999E-2</v>
      </c>
      <c r="W146">
        <v>3.9464539999999999E-2</v>
      </c>
      <c r="X146">
        <v>0.99861449999999996</v>
      </c>
      <c r="Y146">
        <v>0.168799</v>
      </c>
      <c r="Z146">
        <v>-2.7416070000000001E-2</v>
      </c>
      <c r="AA146">
        <v>0.98526910000000001</v>
      </c>
      <c r="AB146">
        <v>11</v>
      </c>
      <c r="AC146">
        <v>0.61089999999995803</v>
      </c>
      <c r="AD146">
        <v>-0.18942800000000001</v>
      </c>
      <c r="AE146">
        <v>-0.114599999999995</v>
      </c>
      <c r="AF146">
        <v>0.11734609742531101</v>
      </c>
      <c r="AG146">
        <v>-0.18942800000000001</v>
      </c>
      <c r="AH146">
        <v>0.55649398551741303</v>
      </c>
      <c r="AI146">
        <v>108.421419188562</v>
      </c>
      <c r="AJ146">
        <v>78.092663713561507</v>
      </c>
      <c r="AK146">
        <v>0.59944860470436101</v>
      </c>
      <c r="AL146">
        <v>87.738260954590402</v>
      </c>
      <c r="AM146">
        <v>88.003744157459593</v>
      </c>
      <c r="AN146">
        <v>0.99999995012868004</v>
      </c>
    </row>
    <row r="147" spans="1:40" x14ac:dyDescent="0.25">
      <c r="A147" t="str">
        <f>"20190312153854052"</f>
        <v>20190312153854052</v>
      </c>
      <c r="B147" t="str">
        <f>"1552376334046446"</f>
        <v>1552376334046446</v>
      </c>
      <c r="C147" t="s">
        <v>40</v>
      </c>
      <c r="D147">
        <v>4.7309279999999996</v>
      </c>
      <c r="E147">
        <v>0.55586190000000002</v>
      </c>
      <c r="F147" t="s">
        <v>41</v>
      </c>
      <c r="G147">
        <v>-470.82380000000001</v>
      </c>
      <c r="H147">
        <v>0.92249519999999996</v>
      </c>
      <c r="I147">
        <v>367.1902</v>
      </c>
      <c r="J147">
        <v>-471.42329999999998</v>
      </c>
      <c r="K147">
        <v>1.1086400000000001</v>
      </c>
      <c r="L147">
        <v>367.30309999999997</v>
      </c>
      <c r="M147">
        <v>0.9997376</v>
      </c>
      <c r="N147">
        <v>0</v>
      </c>
      <c r="O147">
        <v>2.2770269999999999E-2</v>
      </c>
      <c r="P147">
        <v>0.99900690000000003</v>
      </c>
      <c r="Q147">
        <v>4.3152589999999998E-2</v>
      </c>
      <c r="R147">
        <v>-1.1099339999999999E-2</v>
      </c>
      <c r="S147">
        <v>3.0304570000000002</v>
      </c>
      <c r="T147">
        <v>-0.79184129999999997</v>
      </c>
      <c r="U147">
        <v>-0.46533200000000002</v>
      </c>
      <c r="V147">
        <v>3.3834080000000002E-2</v>
      </c>
      <c r="W147">
        <v>4.066616E-2</v>
      </c>
      <c r="X147">
        <v>0.99859980000000004</v>
      </c>
      <c r="Y147">
        <v>0.16797579999999901</v>
      </c>
      <c r="Z147">
        <v>-2.7284699999999999E-2</v>
      </c>
      <c r="AA147">
        <v>0.98541339999999999</v>
      </c>
      <c r="AB147">
        <v>11</v>
      </c>
      <c r="AC147">
        <v>0.59949999999997705</v>
      </c>
      <c r="AD147">
        <v>-0.1861448</v>
      </c>
      <c r="AE147">
        <v>-0.112899999999967</v>
      </c>
      <c r="AF147">
        <v>0.115744766130169</v>
      </c>
      <c r="AG147">
        <v>-0.1861448</v>
      </c>
      <c r="AH147">
        <v>0.54594213036041905</v>
      </c>
      <c r="AI147">
        <v>108.44596367073601</v>
      </c>
      <c r="AJ147">
        <v>78.030007990916602</v>
      </c>
      <c r="AK147">
        <v>0.58830225832988303</v>
      </c>
      <c r="AL147">
        <v>87.669358032845196</v>
      </c>
      <c r="AM147">
        <v>88.059474168487199</v>
      </c>
      <c r="AN147">
        <v>1.0000000210493101</v>
      </c>
    </row>
    <row r="148" spans="1:40" x14ac:dyDescent="0.25">
      <c r="A148" t="str">
        <f>"20190312153854073"</f>
        <v>20190312153854073</v>
      </c>
      <c r="B148" t="str">
        <f>"1552376334065967"</f>
        <v>1552376334065967</v>
      </c>
      <c r="C148" t="s">
        <v>40</v>
      </c>
      <c r="D148">
        <v>4.7396599999999998</v>
      </c>
      <c r="E148">
        <v>0.55588800000000005</v>
      </c>
      <c r="F148" t="s">
        <v>41</v>
      </c>
      <c r="G148">
        <v>-470.72039999999998</v>
      </c>
      <c r="H148">
        <v>0.9257301</v>
      </c>
      <c r="I148">
        <v>367.1961</v>
      </c>
      <c r="J148">
        <v>-471.31209999999999</v>
      </c>
      <c r="K148">
        <v>1.108673</v>
      </c>
      <c r="L148">
        <v>367.30610000000001</v>
      </c>
      <c r="M148">
        <v>0.99973160000000005</v>
      </c>
      <c r="N148">
        <v>0</v>
      </c>
      <c r="O148">
        <v>2.3049159999999999E-2</v>
      </c>
      <c r="P148">
        <v>0.99899039999999995</v>
      </c>
      <c r="Q148">
        <v>4.3909370000000003E-2</v>
      </c>
      <c r="R148">
        <v>-9.5158180000000005E-3</v>
      </c>
      <c r="S148">
        <v>3.0319210000000001</v>
      </c>
      <c r="T148">
        <v>-0.78900380000000003</v>
      </c>
      <c r="U148">
        <v>-0.46163939999999998</v>
      </c>
      <c r="V148">
        <v>3.2528050000000003E-2</v>
      </c>
      <c r="W148">
        <v>4.1527069999999999E-2</v>
      </c>
      <c r="X148">
        <v>0.99860780000000005</v>
      </c>
      <c r="Y148">
        <v>0.1670751</v>
      </c>
      <c r="Z148">
        <v>-2.7136199999999999E-2</v>
      </c>
      <c r="AA148">
        <v>0.98557070000000002</v>
      </c>
      <c r="AB148">
        <v>11</v>
      </c>
      <c r="AC148">
        <v>0.591700000000002</v>
      </c>
      <c r="AD148">
        <v>-0.18294289999999999</v>
      </c>
      <c r="AE148">
        <v>-0.110000000000013</v>
      </c>
      <c r="AF148">
        <v>0.11315360735663001</v>
      </c>
      <c r="AG148">
        <v>-0.18294289999999999</v>
      </c>
      <c r="AH148">
        <v>0.539186547551186</v>
      </c>
      <c r="AI148">
        <v>108.369307697718</v>
      </c>
      <c r="AJ148">
        <v>78.147911997944306</v>
      </c>
      <c r="AK148">
        <v>0.58051182294454295</v>
      </c>
      <c r="AL148">
        <v>87.619989896029907</v>
      </c>
      <c r="AM148">
        <v>88.134341381945603</v>
      </c>
      <c r="AN148">
        <v>1.0000000549002099</v>
      </c>
    </row>
    <row r="149" spans="1:40" x14ac:dyDescent="0.25">
      <c r="A149" t="str">
        <f>"20190312153854096"</f>
        <v>20190312153854096</v>
      </c>
      <c r="B149" t="str">
        <f>"1552376334086462"</f>
        <v>1552376334086462</v>
      </c>
      <c r="C149" t="s">
        <v>40</v>
      </c>
      <c r="D149">
        <v>4.7176839999999904</v>
      </c>
      <c r="E149">
        <v>0.55592079999999999</v>
      </c>
      <c r="F149" t="s">
        <v>41</v>
      </c>
      <c r="G149">
        <v>-470.61529999999999</v>
      </c>
      <c r="H149">
        <v>0.92805400000000005</v>
      </c>
      <c r="I149">
        <v>367.20060000000001</v>
      </c>
      <c r="J149">
        <v>-471.19099999999997</v>
      </c>
      <c r="K149">
        <v>1.108616</v>
      </c>
      <c r="L149">
        <v>367.30950000000001</v>
      </c>
      <c r="M149">
        <v>0.99972360000000005</v>
      </c>
      <c r="N149">
        <v>0</v>
      </c>
      <c r="O149">
        <v>2.3407649999999999E-2</v>
      </c>
      <c r="P149">
        <v>0.99898019999999998</v>
      </c>
      <c r="Q149">
        <v>4.4431030000000003E-2</v>
      </c>
      <c r="R149">
        <v>-8.0377999999999995E-3</v>
      </c>
      <c r="S149">
        <v>3.033264</v>
      </c>
      <c r="T149">
        <v>-0.78637539999999995</v>
      </c>
      <c r="U149">
        <v>-0.45751950000000002</v>
      </c>
      <c r="V149">
        <v>3.1413440000000001E-2</v>
      </c>
      <c r="W149">
        <v>4.2269340000000002E-2</v>
      </c>
      <c r="X149">
        <v>0.99861230000000001</v>
      </c>
      <c r="Y149">
        <v>0.1661183</v>
      </c>
      <c r="Z149">
        <v>-2.7009419999999999E-2</v>
      </c>
      <c r="AA149">
        <v>0.9857359</v>
      </c>
      <c r="AB149">
        <v>11</v>
      </c>
      <c r="AC149">
        <v>0.575699999999983</v>
      </c>
      <c r="AD149">
        <v>-0.180562</v>
      </c>
      <c r="AE149">
        <v>-0.10890000000000501</v>
      </c>
      <c r="AF149">
        <v>0.111734425307022</v>
      </c>
      <c r="AG149">
        <v>-0.180562</v>
      </c>
      <c r="AH149">
        <v>0.52329518670943298</v>
      </c>
      <c r="AI149">
        <v>108.646536634491</v>
      </c>
      <c r="AJ149">
        <v>77.947149832106106</v>
      </c>
      <c r="AK149">
        <v>0.56473451291376797</v>
      </c>
      <c r="AL149">
        <v>87.577423480671399</v>
      </c>
      <c r="AM149">
        <v>88.198235489390896</v>
      </c>
      <c r="AN149">
        <v>1.0000000135139699</v>
      </c>
    </row>
    <row r="150" spans="1:40" x14ac:dyDescent="0.25">
      <c r="A150" t="str">
        <f>"20190312153854117"</f>
        <v>20190312153854117</v>
      </c>
      <c r="B150" t="str">
        <f>"1552376334105982"</f>
        <v>1552376334105982</v>
      </c>
      <c r="C150" t="s">
        <v>40</v>
      </c>
      <c r="D150">
        <v>4.697336</v>
      </c>
      <c r="E150">
        <v>0.5559539</v>
      </c>
      <c r="F150" t="s">
        <v>41</v>
      </c>
      <c r="G150">
        <v>-470.50790000000001</v>
      </c>
      <c r="H150">
        <v>0.9319885</v>
      </c>
      <c r="I150">
        <v>367.20749999999998</v>
      </c>
      <c r="J150">
        <v>-471.07780000000002</v>
      </c>
      <c r="K150">
        <v>1.108484</v>
      </c>
      <c r="L150">
        <v>367.31270000000001</v>
      </c>
      <c r="M150">
        <v>0.99971189999999999</v>
      </c>
      <c r="N150">
        <v>0</v>
      </c>
      <c r="O150">
        <v>2.3929289999999999E-2</v>
      </c>
      <c r="P150">
        <v>0.99898670000000001</v>
      </c>
      <c r="Q150">
        <v>4.4529560000000003E-2</v>
      </c>
      <c r="R150">
        <v>-6.5234079999999996E-3</v>
      </c>
      <c r="S150">
        <v>3.0342709999999999</v>
      </c>
      <c r="T150">
        <v>-0.78448530000000005</v>
      </c>
      <c r="U150">
        <v>-0.4537659</v>
      </c>
      <c r="V150">
        <v>3.0432399999999998E-2</v>
      </c>
      <c r="W150">
        <v>4.2649989999999999E-2</v>
      </c>
      <c r="X150">
        <v>0.99862649999999997</v>
      </c>
      <c r="Y150">
        <v>0.1654283</v>
      </c>
      <c r="Z150">
        <v>-2.698507E-2</v>
      </c>
      <c r="AA150">
        <v>0.98585250000000002</v>
      </c>
      <c r="AB150">
        <v>12</v>
      </c>
      <c r="AC150">
        <v>0.56990000000001795</v>
      </c>
      <c r="AD150">
        <v>-0.1764955</v>
      </c>
      <c r="AE150">
        <v>-0.105200000000024</v>
      </c>
      <c r="AF150">
        <v>0.10872304578247401</v>
      </c>
      <c r="AG150">
        <v>-0.1764955</v>
      </c>
      <c r="AH150">
        <v>0.519074806591726</v>
      </c>
      <c r="AI150">
        <v>108.407317172962</v>
      </c>
      <c r="AJ150">
        <v>78.170106893643194</v>
      </c>
      <c r="AK150">
        <v>0.55893650537668904</v>
      </c>
      <c r="AL150">
        <v>87.555594171066701</v>
      </c>
      <c r="AM150">
        <v>88.254493930273398</v>
      </c>
      <c r="AN150">
        <v>1.0000000195595</v>
      </c>
    </row>
    <row r="151" spans="1:40" x14ac:dyDescent="0.25">
      <c r="A151" t="str">
        <f>"20190312153854139"</f>
        <v>20190312153854139</v>
      </c>
      <c r="B151" t="str">
        <f>"1552376334136239"</f>
        <v>1552376334136239</v>
      </c>
      <c r="C151" t="s">
        <v>40</v>
      </c>
      <c r="D151">
        <v>4.6949529999999999</v>
      </c>
      <c r="E151">
        <v>0.55602229999999997</v>
      </c>
      <c r="F151" t="s">
        <v>41</v>
      </c>
      <c r="G151">
        <v>-470.30020000000002</v>
      </c>
      <c r="H151">
        <v>0.90734420000000005</v>
      </c>
      <c r="I151">
        <v>367.19749999999999</v>
      </c>
      <c r="J151">
        <v>-470.95929999999998</v>
      </c>
      <c r="K151">
        <v>1.1083959999999999</v>
      </c>
      <c r="L151">
        <v>367.31610000000001</v>
      </c>
      <c r="M151">
        <v>0.99969750000000002</v>
      </c>
      <c r="N151">
        <v>0</v>
      </c>
      <c r="O151">
        <v>2.454566E-2</v>
      </c>
      <c r="P151">
        <v>0.99900919999999904</v>
      </c>
      <c r="Q151">
        <v>4.4202720000000001E-2</v>
      </c>
      <c r="R151">
        <v>-5.1924930000000003E-3</v>
      </c>
      <c r="S151">
        <v>3.0350649999999999</v>
      </c>
      <c r="T151">
        <v>-0.78516699999999995</v>
      </c>
      <c r="U151">
        <v>-0.44927980000000001</v>
      </c>
      <c r="V151">
        <v>2.9724750000000001E-2</v>
      </c>
      <c r="W151">
        <v>4.2615689999999998E-2</v>
      </c>
      <c r="X151">
        <v>0.99864920000000001</v>
      </c>
      <c r="Y151">
        <v>0.1645711</v>
      </c>
      <c r="Z151">
        <v>-2.705142E-2</v>
      </c>
      <c r="AA151">
        <v>0.98599420000000004</v>
      </c>
      <c r="AB151">
        <v>12</v>
      </c>
      <c r="AC151">
        <v>0.65909999999996605</v>
      </c>
      <c r="AD151">
        <v>-0.201051799999999</v>
      </c>
      <c r="AE151">
        <v>-0.118600000000014</v>
      </c>
      <c r="AF151">
        <v>0.123601965972145</v>
      </c>
      <c r="AG151">
        <v>-0.201051799999999</v>
      </c>
      <c r="AH151">
        <v>0.601753659741184</v>
      </c>
      <c r="AI151">
        <v>108.12208968354101</v>
      </c>
      <c r="AJ151">
        <v>78.392720310186206</v>
      </c>
      <c r="AK151">
        <v>0.646379717571126</v>
      </c>
      <c r="AL151">
        <v>87.557561013244296</v>
      </c>
      <c r="AM151">
        <v>88.295096983851295</v>
      </c>
      <c r="AN151">
        <v>0.99999994122868696</v>
      </c>
    </row>
    <row r="152" spans="1:40" x14ac:dyDescent="0.25">
      <c r="A152" t="str">
        <f>"20190312153854152"</f>
        <v>20190312153854152</v>
      </c>
      <c r="B152" t="str">
        <f>"1552376334145999"</f>
        <v>1552376334145999</v>
      </c>
      <c r="C152" t="s">
        <v>40</v>
      </c>
      <c r="D152">
        <v>4.722893</v>
      </c>
      <c r="E152">
        <v>0.55604889999999996</v>
      </c>
      <c r="F152" t="s">
        <v>41</v>
      </c>
      <c r="G152">
        <v>-470.18889999999999</v>
      </c>
      <c r="H152">
        <v>0.90878190000000003</v>
      </c>
      <c r="I152">
        <v>367.20240000000001</v>
      </c>
      <c r="J152">
        <v>-470.88279999999997</v>
      </c>
      <c r="K152">
        <v>1.108382</v>
      </c>
      <c r="L152">
        <v>367.31819999999999</v>
      </c>
      <c r="M152">
        <v>0.99968860000000004</v>
      </c>
      <c r="N152">
        <v>0</v>
      </c>
      <c r="O152">
        <v>2.491639E-2</v>
      </c>
      <c r="P152">
        <v>0.99903090000000005</v>
      </c>
      <c r="Q152">
        <v>4.3796069999999999E-2</v>
      </c>
      <c r="R152">
        <v>-4.393816E-3</v>
      </c>
      <c r="S152">
        <v>3.0354610000000002</v>
      </c>
      <c r="T152">
        <v>-0.78676309999999905</v>
      </c>
      <c r="U152">
        <v>-0.44558720000000002</v>
      </c>
      <c r="V152">
        <v>2.9297170000000001E-2</v>
      </c>
      <c r="W152">
        <v>4.2379859999999998E-2</v>
      </c>
      <c r="X152">
        <v>0.99867189999999995</v>
      </c>
      <c r="Y152">
        <v>0.16373460000000001</v>
      </c>
      <c r="Z152">
        <v>-2.7091540000000001E-2</v>
      </c>
      <c r="AA152">
        <v>0.98613229999999996</v>
      </c>
      <c r="AB152">
        <v>12</v>
      </c>
      <c r="AC152">
        <v>0.69389999999998497</v>
      </c>
      <c r="AD152">
        <v>-0.1996001</v>
      </c>
      <c r="AE152">
        <v>-0.115799999999978</v>
      </c>
      <c r="AF152">
        <v>0.123140674088331</v>
      </c>
      <c r="AG152">
        <v>-0.1996001</v>
      </c>
      <c r="AH152">
        <v>0.63933271014679405</v>
      </c>
      <c r="AI152">
        <v>107.04375763424299</v>
      </c>
      <c r="AJ152">
        <v>79.097874277192403</v>
      </c>
      <c r="AK152">
        <v>0.68099202623715305</v>
      </c>
      <c r="AL152">
        <v>87.571085366709596</v>
      </c>
      <c r="AM152">
        <v>88.3196454203092</v>
      </c>
      <c r="AN152">
        <v>0.99999997027661802</v>
      </c>
    </row>
    <row r="153" spans="1:40" x14ac:dyDescent="0.25">
      <c r="A153" t="str">
        <f>"20190312153854174"</f>
        <v>20190312153854174</v>
      </c>
      <c r="B153" t="str">
        <f>"1552376334166495"</f>
        <v>1552376334166495</v>
      </c>
      <c r="C153" t="s">
        <v>40</v>
      </c>
      <c r="D153">
        <v>4.726731</v>
      </c>
      <c r="E153">
        <v>0.55608590000000002</v>
      </c>
      <c r="F153" t="s">
        <v>41</v>
      </c>
      <c r="G153">
        <v>-470.18239999999997</v>
      </c>
      <c r="H153">
        <v>0.92669489999999999</v>
      </c>
      <c r="I153">
        <v>367.21519999999998</v>
      </c>
      <c r="J153">
        <v>-470.76609999999999</v>
      </c>
      <c r="K153">
        <v>1.108401</v>
      </c>
      <c r="L153">
        <v>367.32159999999999</v>
      </c>
      <c r="M153">
        <v>0.99967649999999997</v>
      </c>
      <c r="N153">
        <v>0</v>
      </c>
      <c r="O153">
        <v>2.5413459999999999E-2</v>
      </c>
      <c r="P153">
        <v>0.9990388</v>
      </c>
      <c r="Q153">
        <v>4.3682579999999999E-2</v>
      </c>
      <c r="R153">
        <v>-3.7089409999999999E-3</v>
      </c>
      <c r="S153">
        <v>3.0354610000000002</v>
      </c>
      <c r="T153">
        <v>-0.78768300000000002</v>
      </c>
      <c r="U153">
        <v>-0.44393919999999998</v>
      </c>
      <c r="V153">
        <v>2.910592E-2</v>
      </c>
      <c r="W153">
        <v>4.250992E-2</v>
      </c>
      <c r="X153">
        <v>0.998672</v>
      </c>
      <c r="Y153">
        <v>0.1636717</v>
      </c>
      <c r="Z153">
        <v>-2.724157E-2</v>
      </c>
      <c r="AA153">
        <v>0.98613859999999998</v>
      </c>
      <c r="AB153">
        <v>12</v>
      </c>
      <c r="AC153">
        <v>0.58370000000002098</v>
      </c>
      <c r="AD153">
        <v>-0.18170609999999901</v>
      </c>
      <c r="AE153">
        <v>-0.106400000000007</v>
      </c>
      <c r="AF153">
        <v>0.11080674896239499</v>
      </c>
      <c r="AG153">
        <v>-0.18170609999999901</v>
      </c>
      <c r="AH153">
        <v>0.53100384066985096</v>
      </c>
      <c r="AI153">
        <v>108.51971589914599</v>
      </c>
      <c r="AJ153">
        <v>78.212999974010302</v>
      </c>
      <c r="AK153">
        <v>0.57206671044464497</v>
      </c>
      <c r="AL153">
        <v>87.563626842201799</v>
      </c>
      <c r="AM153">
        <v>88.3306086042288</v>
      </c>
      <c r="AN153">
        <v>1.0000000057307199</v>
      </c>
    </row>
    <row r="154" spans="1:40" x14ac:dyDescent="0.25">
      <c r="A154" t="str">
        <f>"20190312153854196"</f>
        <v>20190312153854196</v>
      </c>
      <c r="B154" t="str">
        <f>"1552376334186014"</f>
        <v>1552376334186014</v>
      </c>
      <c r="C154" t="s">
        <v>40</v>
      </c>
      <c r="D154">
        <v>4.6846880000000004</v>
      </c>
      <c r="E154">
        <v>0.55611100000000002</v>
      </c>
      <c r="F154" t="s">
        <v>41</v>
      </c>
      <c r="G154">
        <v>-470.06959999999998</v>
      </c>
      <c r="H154">
        <v>0.92770180000000002</v>
      </c>
      <c r="I154">
        <v>367.21980000000002</v>
      </c>
      <c r="J154">
        <v>-470.63459999999998</v>
      </c>
      <c r="K154">
        <v>1.1084639999999999</v>
      </c>
      <c r="L154">
        <v>367.3254</v>
      </c>
      <c r="M154">
        <v>0.99966480000000002</v>
      </c>
      <c r="N154">
        <v>0</v>
      </c>
      <c r="O154">
        <v>2.5878669999999999E-2</v>
      </c>
      <c r="P154">
        <v>0.99905600000000006</v>
      </c>
      <c r="Q154">
        <v>4.334901E-2</v>
      </c>
      <c r="R154">
        <v>-2.8470930000000002E-3</v>
      </c>
      <c r="S154">
        <v>3.0356450000000001</v>
      </c>
      <c r="T154">
        <v>-0.78769080000000002</v>
      </c>
      <c r="U154">
        <v>-0.44256590000000001</v>
      </c>
      <c r="V154">
        <v>2.8703059999999999E-2</v>
      </c>
      <c r="W154">
        <v>4.2447510000000001E-2</v>
      </c>
      <c r="X154">
        <v>0.99868630000000003</v>
      </c>
      <c r="Y154">
        <v>0.16366989999999901</v>
      </c>
      <c r="Z154">
        <v>-2.7359089999999999E-2</v>
      </c>
      <c r="AA154">
        <v>0.98613569999999995</v>
      </c>
      <c r="AB154">
        <v>12</v>
      </c>
      <c r="AC154">
        <v>0.56499999999999695</v>
      </c>
      <c r="AD154">
        <v>-0.18076219999999901</v>
      </c>
      <c r="AE154">
        <v>-0.105599999999981</v>
      </c>
      <c r="AF154">
        <v>0.10936922177897</v>
      </c>
      <c r="AG154">
        <v>-0.18076219999999901</v>
      </c>
      <c r="AH154">
        <v>0.51149042262119804</v>
      </c>
      <c r="AI154">
        <v>109.064680146661</v>
      </c>
      <c r="AJ154">
        <v>77.930506730694503</v>
      </c>
      <c r="AK154">
        <v>0.55340676907189101</v>
      </c>
      <c r="AL154">
        <v>87.567205867171893</v>
      </c>
      <c r="AM154">
        <v>88.3537256903155</v>
      </c>
      <c r="AN154">
        <v>0.999999991283126</v>
      </c>
    </row>
    <row r="155" spans="1:40" x14ac:dyDescent="0.25">
      <c r="A155" t="str">
        <f>"20190312153854220"</f>
        <v>20190312153854220</v>
      </c>
      <c r="B155" t="str">
        <f>"1552376334216270"</f>
        <v>1552376334216270</v>
      </c>
      <c r="C155" t="s">
        <v>40</v>
      </c>
      <c r="D155">
        <v>4.7361899999999997</v>
      </c>
      <c r="E155">
        <v>0.55610669999999995</v>
      </c>
      <c r="F155" t="s">
        <v>41</v>
      </c>
      <c r="G155">
        <v>-469.95389999999998</v>
      </c>
      <c r="H155">
        <v>0.93185390000000001</v>
      </c>
      <c r="I155">
        <v>367.22660000000002</v>
      </c>
      <c r="J155">
        <v>-470.5086</v>
      </c>
      <c r="K155">
        <v>1.1085400000000001</v>
      </c>
      <c r="L155">
        <v>367.32920000000001</v>
      </c>
      <c r="M155">
        <v>0.99965470000000001</v>
      </c>
      <c r="N155">
        <v>0</v>
      </c>
      <c r="O155">
        <v>2.627384E-2</v>
      </c>
      <c r="P155">
        <v>0.99907330000000005</v>
      </c>
      <c r="Q155">
        <v>4.297981E-2</v>
      </c>
      <c r="R155">
        <v>-2.3732390000000001E-3</v>
      </c>
      <c r="S155">
        <v>3.035736</v>
      </c>
      <c r="T155">
        <v>-0.7878252</v>
      </c>
      <c r="U155">
        <v>-0.43966670000000002</v>
      </c>
      <c r="V155">
        <v>2.8619080000000002E-2</v>
      </c>
      <c r="W155">
        <v>4.2356039999999998E-2</v>
      </c>
      <c r="X155">
        <v>0.99869260000000004</v>
      </c>
      <c r="Y155">
        <v>0.16313469999999999</v>
      </c>
      <c r="Z155">
        <v>-2.7397040000000001E-2</v>
      </c>
      <c r="AA155">
        <v>0.98622330000000002</v>
      </c>
      <c r="AB155">
        <v>13</v>
      </c>
      <c r="AC155">
        <v>0.55470000000002495</v>
      </c>
      <c r="AD155">
        <v>-0.17668609999999901</v>
      </c>
      <c r="AE155">
        <v>-0.102599999999995</v>
      </c>
      <c r="AF155">
        <v>0.10667374866479901</v>
      </c>
      <c r="AG155">
        <v>-0.17668609999999901</v>
      </c>
      <c r="AH155">
        <v>0.50251497378649401</v>
      </c>
      <c r="AI155">
        <v>108.98012350849601</v>
      </c>
      <c r="AJ155">
        <v>78.015175877465396</v>
      </c>
      <c r="AK155">
        <v>0.54324816195460002</v>
      </c>
      <c r="AL155">
        <v>87.572451445113401</v>
      </c>
      <c r="AM155">
        <v>88.3585501034364</v>
      </c>
      <c r="AN155">
        <v>0.99999999757964397</v>
      </c>
    </row>
    <row r="156" spans="1:40" x14ac:dyDescent="0.25">
      <c r="A156" t="str">
        <f>"20190312153854241"</f>
        <v>20190312153854241</v>
      </c>
      <c r="B156" t="str">
        <f>"1552376334235790"</f>
        <v>1552376334235790</v>
      </c>
      <c r="C156" t="s">
        <v>40</v>
      </c>
      <c r="D156">
        <v>4.6303039999999998</v>
      </c>
      <c r="E156">
        <v>0.51288100000000003</v>
      </c>
      <c r="F156" t="s">
        <v>41</v>
      </c>
      <c r="G156">
        <v>-469.73090000000002</v>
      </c>
      <c r="H156">
        <v>0.90651300000000001</v>
      </c>
      <c r="I156">
        <v>367.21640000000002</v>
      </c>
      <c r="J156">
        <v>-470.37950000000001</v>
      </c>
      <c r="K156">
        <v>1.1086129999999901</v>
      </c>
      <c r="L156">
        <v>367.3331</v>
      </c>
      <c r="M156">
        <v>0.99964399999999998</v>
      </c>
      <c r="N156">
        <v>0</v>
      </c>
      <c r="O156">
        <v>2.6680289999999999E-2</v>
      </c>
      <c r="P156">
        <v>0.99905489999999997</v>
      </c>
      <c r="Q156">
        <v>4.3410669999999998E-2</v>
      </c>
      <c r="R156">
        <v>-2.232379E-3</v>
      </c>
      <c r="S156">
        <v>3.0356749999999999</v>
      </c>
      <c r="T156">
        <v>-0.78869990000000001</v>
      </c>
      <c r="U156">
        <v>-0.43804929999999997</v>
      </c>
      <c r="V156">
        <v>2.8880050000000001E-2</v>
      </c>
      <c r="W156">
        <v>4.3082559999999999E-2</v>
      </c>
      <c r="X156">
        <v>0.99865400000000004</v>
      </c>
      <c r="Y156">
        <v>0.16300029999999999</v>
      </c>
      <c r="Z156">
        <v>-2.7514360000000002E-2</v>
      </c>
      <c r="AA156">
        <v>0.98624230000000002</v>
      </c>
      <c r="AB156">
        <v>13</v>
      </c>
      <c r="AC156">
        <v>0.64859999999998696</v>
      </c>
      <c r="AD156">
        <v>-0.202099999999999</v>
      </c>
      <c r="AE156">
        <v>-0.11669999999998</v>
      </c>
      <c r="AF156">
        <v>0.12244754821618101</v>
      </c>
      <c r="AG156">
        <v>-0.202099999999999</v>
      </c>
      <c r="AH156">
        <v>0.58978810141591598</v>
      </c>
      <c r="AI156">
        <v>108.547166666496</v>
      </c>
      <c r="AJ156">
        <v>78.271284006802802</v>
      </c>
      <c r="AK156">
        <v>0.63536431803804105</v>
      </c>
      <c r="AL156">
        <v>87.530786855667301</v>
      </c>
      <c r="AM156">
        <v>88.343526458674702</v>
      </c>
      <c r="AN156">
        <v>0.99999998799007705</v>
      </c>
    </row>
    <row r="157" spans="1:40" x14ac:dyDescent="0.25">
      <c r="A157" t="str">
        <f>"20190312153854263"</f>
        <v>20190312153854263</v>
      </c>
      <c r="B157" t="str">
        <f>"1552376334256287"</f>
        <v>1552376334256287</v>
      </c>
      <c r="C157" t="s">
        <v>40</v>
      </c>
      <c r="D157">
        <v>4.7179250000000001</v>
      </c>
      <c r="E157">
        <v>0.5057663</v>
      </c>
      <c r="F157" t="s">
        <v>41</v>
      </c>
      <c r="G157">
        <v>-469.57900000000001</v>
      </c>
      <c r="H157">
        <v>0.98909840000000004</v>
      </c>
      <c r="I157">
        <v>367.30680000000001</v>
      </c>
      <c r="J157">
        <v>-470.25049999999999</v>
      </c>
      <c r="K157">
        <v>1.108673</v>
      </c>
      <c r="L157">
        <v>367.33710000000002</v>
      </c>
      <c r="M157">
        <v>0.99963239999999998</v>
      </c>
      <c r="N157">
        <v>0</v>
      </c>
      <c r="O157">
        <v>2.7109729999999999E-2</v>
      </c>
      <c r="P157">
        <v>0.99904839999999995</v>
      </c>
      <c r="Q157">
        <v>4.358426E-2</v>
      </c>
      <c r="R157">
        <v>-1.7030630000000001E-3</v>
      </c>
      <c r="S157">
        <v>3.0222470000000001</v>
      </c>
      <c r="T157">
        <v>-0.45124829999999999</v>
      </c>
      <c r="U157">
        <v>-9.9060060000000005E-2</v>
      </c>
      <c r="V157">
        <v>2.8777710000000001E-2</v>
      </c>
      <c r="W157">
        <v>4.3545140000000003E-2</v>
      </c>
      <c r="X157">
        <v>0.99863690000000005</v>
      </c>
      <c r="Y157">
        <v>5.8890049999999999E-2</v>
      </c>
      <c r="Z157">
        <v>-8.3954389999999993E-3</v>
      </c>
      <c r="AA157">
        <v>0.99822909999999998</v>
      </c>
      <c r="AB157">
        <v>13</v>
      </c>
      <c r="AC157">
        <v>0.67149999999998</v>
      </c>
      <c r="AD157">
        <v>-0.119574599999999</v>
      </c>
      <c r="AE157">
        <v>-3.0300000000010999E-2</v>
      </c>
      <c r="AF157">
        <v>4.7005566319945603E-2</v>
      </c>
      <c r="AG157">
        <v>-0.119574599999999</v>
      </c>
      <c r="AH157">
        <v>0.64986686155767803</v>
      </c>
      <c r="AI157">
        <v>100.399158954575</v>
      </c>
      <c r="AJ157">
        <v>85.862939582232002</v>
      </c>
      <c r="AK157">
        <v>0.66244588154885897</v>
      </c>
      <c r="AL157">
        <v>87.504258098873095</v>
      </c>
      <c r="AM157">
        <v>88.349364874625095</v>
      </c>
      <c r="AN157">
        <v>0.99999999692603603</v>
      </c>
    </row>
    <row r="158" spans="1:40" x14ac:dyDescent="0.25">
      <c r="A158" t="str">
        <f>"20190312153854284"</f>
        <v>20190312153854284</v>
      </c>
      <c r="B158" t="str">
        <f>"1552376334275810"</f>
        <v>1552376334275810</v>
      </c>
      <c r="C158" t="s">
        <v>40</v>
      </c>
      <c r="D158">
        <v>4.7272569999999998</v>
      </c>
      <c r="E158">
        <v>0.50253459999999905</v>
      </c>
      <c r="F158" t="s">
        <v>41</v>
      </c>
      <c r="G158">
        <v>-469.44639999999998</v>
      </c>
      <c r="H158">
        <v>1.0166489999999999</v>
      </c>
      <c r="I158">
        <v>367.32530000000003</v>
      </c>
      <c r="J158">
        <v>-470.11610000000002</v>
      </c>
      <c r="K158">
        <v>1.10873</v>
      </c>
      <c r="L158">
        <v>367.34129999999999</v>
      </c>
      <c r="M158">
        <v>0.99961960000000005</v>
      </c>
      <c r="N158">
        <v>0</v>
      </c>
      <c r="O158">
        <v>2.7578470000000001E-2</v>
      </c>
      <c r="P158">
        <v>0.99902100000000005</v>
      </c>
      <c r="Q158">
        <v>4.4222690000000002E-2</v>
      </c>
      <c r="R158">
        <v>-1.2562560000000001E-3</v>
      </c>
      <c r="S158">
        <v>3.0178829999999999</v>
      </c>
      <c r="T158">
        <v>-0.34572140000000001</v>
      </c>
      <c r="U158">
        <v>-4.2572020000000002E-2</v>
      </c>
      <c r="V158">
        <v>2.87975E-2</v>
      </c>
      <c r="W158">
        <v>4.4465009999999999E-2</v>
      </c>
      <c r="X158">
        <v>0.99859580000000003</v>
      </c>
      <c r="Y158">
        <v>4.1225619999999998E-2</v>
      </c>
      <c r="Z158">
        <v>-5.5022639999999998E-3</v>
      </c>
      <c r="AA158">
        <v>0.99913470000000004</v>
      </c>
      <c r="AB158">
        <v>13</v>
      </c>
      <c r="AC158">
        <v>0.66970000000003405</v>
      </c>
      <c r="AD158">
        <v>-9.2080999999999996E-2</v>
      </c>
      <c r="AE158">
        <v>-1.59999999999627E-2</v>
      </c>
      <c r="AF158">
        <v>3.3824131881243898E-2</v>
      </c>
      <c r="AG158">
        <v>-9.2080999999999996E-2</v>
      </c>
      <c r="AH158">
        <v>0.65659803457333998</v>
      </c>
      <c r="AI158">
        <v>97.972634868883404</v>
      </c>
      <c r="AJ158">
        <v>87.051059638979595</v>
      </c>
      <c r="AK158">
        <v>0.66388550327906104</v>
      </c>
      <c r="AL158">
        <v>87.451502338099004</v>
      </c>
      <c r="AM158">
        <v>88.348162440661199</v>
      </c>
      <c r="AN158">
        <v>1.00000000244909</v>
      </c>
    </row>
    <row r="159" spans="1:40" x14ac:dyDescent="0.25">
      <c r="A159" t="str">
        <f>"20190312153854307"</f>
        <v>20190312153854307</v>
      </c>
      <c r="B159" t="str">
        <f>"1552376334296303"</f>
        <v>1552376334296303</v>
      </c>
      <c r="C159" t="s">
        <v>40</v>
      </c>
      <c r="D159">
        <v>4.6761629999999998</v>
      </c>
      <c r="E159">
        <v>0.50096090000000004</v>
      </c>
      <c r="F159" t="s">
        <v>41</v>
      </c>
      <c r="G159">
        <v>-469.31799999999998</v>
      </c>
      <c r="H159">
        <v>1.0324139999999999</v>
      </c>
      <c r="I159">
        <v>367.33710000000002</v>
      </c>
      <c r="J159">
        <v>-469.98200000000003</v>
      </c>
      <c r="K159">
        <v>1.1087800000000001</v>
      </c>
      <c r="L159">
        <v>367.34559999999999</v>
      </c>
      <c r="M159">
        <v>0.99960629999999995</v>
      </c>
      <c r="N159">
        <v>0</v>
      </c>
      <c r="O159">
        <v>2.8058329999999999E-2</v>
      </c>
      <c r="P159">
        <v>0.99898330000000002</v>
      </c>
      <c r="Q159">
        <v>4.5084880000000001E-2</v>
      </c>
      <c r="R159">
        <v>-2.7775670000000001E-4</v>
      </c>
      <c r="S159">
        <v>3.015625</v>
      </c>
      <c r="T159">
        <v>-0.28842689999999999</v>
      </c>
      <c r="U159">
        <v>-1.5777590000000001E-2</v>
      </c>
      <c r="V159">
        <v>2.8296869999999998E-2</v>
      </c>
      <c r="W159">
        <v>4.558301E-2</v>
      </c>
      <c r="X159">
        <v>0.99855970000000005</v>
      </c>
      <c r="Y159">
        <v>3.3009110000000001E-2</v>
      </c>
      <c r="Z159">
        <v>-4.2522339999999997E-3</v>
      </c>
      <c r="AA159">
        <v>0.99944599999999995</v>
      </c>
      <c r="AB159">
        <v>13</v>
      </c>
      <c r="AC159">
        <v>0.66399999999992998</v>
      </c>
      <c r="AD159">
        <v>-7.6365999999999906E-2</v>
      </c>
      <c r="AE159">
        <v>-8.4999999999695302E-3</v>
      </c>
      <c r="AF159">
        <v>2.6773309688840199E-2</v>
      </c>
      <c r="AG159">
        <v>-7.6365999999999906E-2</v>
      </c>
      <c r="AH159">
        <v>0.65483987986735404</v>
      </c>
      <c r="AI159">
        <v>96.646161144505797</v>
      </c>
      <c r="AJ159">
        <v>87.658750168280704</v>
      </c>
      <c r="AK159">
        <v>0.65982106993667999</v>
      </c>
      <c r="AL159">
        <v>87.387380619030907</v>
      </c>
      <c r="AM159">
        <v>88.376804657132098</v>
      </c>
      <c r="AN159">
        <v>0.99999999905827297</v>
      </c>
    </row>
    <row r="160" spans="1:40" x14ac:dyDescent="0.25">
      <c r="A160" t="str">
        <f>"20190312153854328"</f>
        <v>20190312153854328</v>
      </c>
      <c r="B160" t="str">
        <f>"1552376334315826"</f>
        <v>1552376334315826</v>
      </c>
      <c r="C160" t="s">
        <v>40</v>
      </c>
      <c r="D160">
        <v>4.6744240000000001</v>
      </c>
      <c r="E160">
        <v>0.49996770000000001</v>
      </c>
      <c r="F160" t="s">
        <v>41</v>
      </c>
      <c r="G160">
        <v>-469.19110000000001</v>
      </c>
      <c r="H160">
        <v>1.0419510000000001</v>
      </c>
      <c r="I160">
        <v>367.34519999999998</v>
      </c>
      <c r="J160">
        <v>-469.851</v>
      </c>
      <c r="K160">
        <v>1.108827</v>
      </c>
      <c r="L160">
        <v>367.34969999999998</v>
      </c>
      <c r="M160">
        <v>0.99959260000000005</v>
      </c>
      <c r="N160">
        <v>0</v>
      </c>
      <c r="O160">
        <v>2.8533220000000001E-2</v>
      </c>
      <c r="P160">
        <v>0.99890999999999996</v>
      </c>
      <c r="Q160">
        <v>4.6677860000000002E-2</v>
      </c>
      <c r="R160">
        <v>3.2899769999999903E-4</v>
      </c>
      <c r="S160">
        <v>3.0145569999999999</v>
      </c>
      <c r="T160">
        <v>-0.254915</v>
      </c>
      <c r="U160">
        <v>-5.7983399999999999E-4</v>
      </c>
      <c r="V160">
        <v>2.8161220000000001E-2</v>
      </c>
      <c r="W160">
        <v>4.740018E-2</v>
      </c>
      <c r="X160">
        <v>0.99847889999999995</v>
      </c>
      <c r="Y160">
        <v>2.8521890000000001E-2</v>
      </c>
      <c r="Z160">
        <v>-3.612044E-3</v>
      </c>
      <c r="AA160">
        <v>0.99958659999999999</v>
      </c>
      <c r="AB160">
        <v>14</v>
      </c>
      <c r="AC160">
        <v>0.65989999999999305</v>
      </c>
      <c r="AD160">
        <v>-6.6875999999999894E-2</v>
      </c>
      <c r="AE160">
        <v>-4.5000000000072699E-3</v>
      </c>
      <c r="AF160">
        <v>2.3090112282085701E-2</v>
      </c>
      <c r="AG160">
        <v>-6.6875999999999894E-2</v>
      </c>
      <c r="AH160">
        <v>0.65279877274476905</v>
      </c>
      <c r="AI160">
        <v>95.845632783740697</v>
      </c>
      <c r="AJ160">
        <v>87.974238419944697</v>
      </c>
      <c r="AK160">
        <v>0.65662149702722705</v>
      </c>
      <c r="AL160">
        <v>87.283151656119003</v>
      </c>
      <c r="AM160">
        <v>88.384451169306004</v>
      </c>
      <c r="AN160">
        <v>0.99999997256056405</v>
      </c>
    </row>
    <row r="161" spans="1:40" x14ac:dyDescent="0.25">
      <c r="A161" t="str">
        <f>"20190312153854351"</f>
        <v>20190312153854351</v>
      </c>
      <c r="B161" t="str">
        <f>"1552376334346079"</f>
        <v>1552376334346079</v>
      </c>
      <c r="C161" t="s">
        <v>40</v>
      </c>
      <c r="D161">
        <v>4.650385</v>
      </c>
      <c r="E161">
        <v>0.49925619999999998</v>
      </c>
      <c r="F161" t="s">
        <v>41</v>
      </c>
      <c r="G161">
        <v>-469.06389999999999</v>
      </c>
      <c r="H161">
        <v>1.0477369999999999</v>
      </c>
      <c r="I161">
        <v>367.3519</v>
      </c>
      <c r="J161">
        <v>-469.7072</v>
      </c>
      <c r="K161">
        <v>1.108876</v>
      </c>
      <c r="L161">
        <v>367.3544</v>
      </c>
      <c r="M161">
        <v>0.9995773</v>
      </c>
      <c r="N161">
        <v>0</v>
      </c>
      <c r="O161">
        <v>2.9057570000000001E-2</v>
      </c>
      <c r="P161">
        <v>0.9988939</v>
      </c>
      <c r="Q161">
        <v>4.7009349999999998E-2</v>
      </c>
      <c r="R161">
        <v>1.0649679999999999E-3</v>
      </c>
      <c r="S161">
        <v>3.0142519999999999</v>
      </c>
      <c r="T161">
        <v>-0.234123</v>
      </c>
      <c r="U161">
        <v>8.6364749999999994E-3</v>
      </c>
      <c r="V161">
        <v>2.794688E-2</v>
      </c>
      <c r="W161">
        <v>4.7947919999999998E-2</v>
      </c>
      <c r="X161">
        <v>0.99845879999999998</v>
      </c>
      <c r="Y161">
        <v>2.602759E-2</v>
      </c>
      <c r="Z161">
        <v>-3.262586E-3</v>
      </c>
      <c r="AA161">
        <v>0.99965590000000004</v>
      </c>
      <c r="AB161">
        <v>14</v>
      </c>
      <c r="AC161">
        <v>0.64330000000000997</v>
      </c>
      <c r="AD161">
        <v>-6.1138999999999798E-2</v>
      </c>
      <c r="AE161">
        <v>-2.4999999999977202E-3</v>
      </c>
      <c r="AF161">
        <v>2.10019890489744E-2</v>
      </c>
      <c r="AG161">
        <v>-6.1138999999999798E-2</v>
      </c>
      <c r="AH161">
        <v>0.63720027015124603</v>
      </c>
      <c r="AI161">
        <v>95.477762736701706</v>
      </c>
      <c r="AJ161">
        <v>88.1122263585018</v>
      </c>
      <c r="AK161">
        <v>0.64047111187455996</v>
      </c>
      <c r="AL161">
        <v>87.251732823899104</v>
      </c>
      <c r="AM161">
        <v>88.396708695066195</v>
      </c>
      <c r="AN161">
        <v>1.0000000032157501</v>
      </c>
    </row>
    <row r="162" spans="1:40" x14ac:dyDescent="0.25">
      <c r="A162" t="str">
        <f>"20190312153854374"</f>
        <v>20190312153854374</v>
      </c>
      <c r="B162" t="str">
        <f>"1552376334366574"</f>
        <v>1552376334366574</v>
      </c>
      <c r="C162" t="s">
        <v>40</v>
      </c>
      <c r="D162">
        <v>4.6307669999999996</v>
      </c>
      <c r="E162">
        <v>0.49898530000000002</v>
      </c>
      <c r="F162" t="s">
        <v>41</v>
      </c>
      <c r="G162">
        <v>-468.93400000000003</v>
      </c>
      <c r="H162">
        <v>1.0530389999999901</v>
      </c>
      <c r="I162">
        <v>367.35849999999999</v>
      </c>
      <c r="J162">
        <v>-469.56319999999999</v>
      </c>
      <c r="K162">
        <v>1.108927</v>
      </c>
      <c r="L162">
        <v>367.35910000000001</v>
      </c>
      <c r="M162">
        <v>0.99956160000000005</v>
      </c>
      <c r="N162">
        <v>0</v>
      </c>
      <c r="O162">
        <v>2.9586029999999999E-2</v>
      </c>
      <c r="P162">
        <v>0.99889799999999995</v>
      </c>
      <c r="Q162">
        <v>4.6901270000000002E-2</v>
      </c>
      <c r="R162">
        <v>1.7329979999999999E-3</v>
      </c>
      <c r="S162">
        <v>3.0135190000000001</v>
      </c>
      <c r="T162">
        <v>-0.2178293</v>
      </c>
      <c r="U162">
        <v>1.6784670000000002E-2</v>
      </c>
      <c r="V162">
        <v>2.7805059999999999E-2</v>
      </c>
      <c r="W162">
        <v>4.8026029999999997E-2</v>
      </c>
      <c r="X162">
        <v>0.99845899999999999</v>
      </c>
      <c r="Y162">
        <v>2.3878859999999998E-2</v>
      </c>
      <c r="Z162">
        <v>-2.9974170000000001E-3</v>
      </c>
      <c r="AA162">
        <v>0.9997104</v>
      </c>
      <c r="AB162">
        <v>14</v>
      </c>
      <c r="AC162">
        <v>0.62919999999996801</v>
      </c>
      <c r="AD162">
        <v>-5.5888000000000097E-2</v>
      </c>
      <c r="AE162">
        <v>-6.0000000001991696E-4</v>
      </c>
      <c r="AF162">
        <v>1.9064863634942399E-2</v>
      </c>
      <c r="AG162">
        <v>-5.5888000000000097E-2</v>
      </c>
      <c r="AH162">
        <v>0.62398377644533298</v>
      </c>
      <c r="AI162">
        <v>95.115746968070795</v>
      </c>
      <c r="AJ162">
        <v>88.249960093430104</v>
      </c>
      <c r="AK162">
        <v>0.62677164169767496</v>
      </c>
      <c r="AL162">
        <v>87.247252273906398</v>
      </c>
      <c r="AM162">
        <v>88.404840905933</v>
      </c>
      <c r="AN162">
        <v>0.99999999780008197</v>
      </c>
    </row>
    <row r="163" spans="1:40" x14ac:dyDescent="0.25">
      <c r="A163" t="str">
        <f>"20190312153854398"</f>
        <v>20190312153854398</v>
      </c>
      <c r="B163" t="str">
        <f>"1552376334386094"</f>
        <v>1552376334386094</v>
      </c>
      <c r="C163" t="s">
        <v>40</v>
      </c>
      <c r="D163">
        <v>4.5914970000000004</v>
      </c>
      <c r="E163">
        <v>0.49873919999999999</v>
      </c>
      <c r="F163" t="s">
        <v>42</v>
      </c>
      <c r="G163">
        <v>-453.64089999999999</v>
      </c>
      <c r="H163" s="1">
        <v>-3.0906020000000002E-6</v>
      </c>
      <c r="I163">
        <v>367.4726</v>
      </c>
      <c r="J163">
        <v>-469.41140000000001</v>
      </c>
      <c r="K163">
        <v>1.1089690000000001</v>
      </c>
      <c r="L163">
        <v>367.36419999999998</v>
      </c>
      <c r="M163">
        <v>0.99954500000000002</v>
      </c>
      <c r="N163">
        <v>0</v>
      </c>
      <c r="O163">
        <v>3.0139050000000001E-2</v>
      </c>
      <c r="P163">
        <v>0.99897559999999996</v>
      </c>
      <c r="Q163">
        <v>4.5209439999999997E-2</v>
      </c>
      <c r="R163">
        <v>1.9870909999999999E-3</v>
      </c>
      <c r="S163">
        <v>3.0131839999999999</v>
      </c>
      <c r="T163">
        <v>-0.20985690000000001</v>
      </c>
      <c r="U163">
        <v>2.1484380000000001E-2</v>
      </c>
      <c r="V163">
        <v>2.8104380000000002E-2</v>
      </c>
      <c r="W163">
        <v>4.6506619999999999E-2</v>
      </c>
      <c r="X163">
        <v>0.99852249999999998</v>
      </c>
      <c r="Y163">
        <v>2.2883190000000001E-2</v>
      </c>
      <c r="Z163">
        <v>-2.8921020000000001E-3</v>
      </c>
      <c r="AA163">
        <v>0.99973400000000001</v>
      </c>
      <c r="AB163">
        <v>14</v>
      </c>
      <c r="AC163">
        <v>15.7705</v>
      </c>
      <c r="AD163">
        <v>-1.108972090602</v>
      </c>
      <c r="AE163">
        <v>0.108400000000017</v>
      </c>
      <c r="AF163">
        <v>0.36515194791379901</v>
      </c>
      <c r="AG163">
        <v>-1.108972090602</v>
      </c>
      <c r="AH163">
        <v>15.6890270562017</v>
      </c>
      <c r="AI163">
        <v>94.042111623715201</v>
      </c>
      <c r="AJ163">
        <v>88.666718533602193</v>
      </c>
      <c r="AK163">
        <v>15.7324100192256</v>
      </c>
      <c r="AL163">
        <v>87.334405351060397</v>
      </c>
      <c r="AM163">
        <v>88.387780598140196</v>
      </c>
      <c r="AN163">
        <v>0.99999995244262796</v>
      </c>
    </row>
    <row r="164" spans="1:40" x14ac:dyDescent="0.25">
      <c r="A164" t="str">
        <f>"20190312153854421"</f>
        <v>20190312153854421</v>
      </c>
      <c r="B164" t="str">
        <f>"1552376334416351"</f>
        <v>1552376334416351</v>
      </c>
      <c r="C164" t="s">
        <v>40</v>
      </c>
      <c r="D164">
        <v>4.5479789999999998</v>
      </c>
      <c r="E164">
        <v>0.4983861</v>
      </c>
      <c r="F164" t="s">
        <v>41</v>
      </c>
      <c r="G164">
        <v>-468.5532</v>
      </c>
      <c r="H164">
        <v>1.0495680000000001</v>
      </c>
      <c r="I164">
        <v>367.37060000000002</v>
      </c>
      <c r="J164">
        <v>-469.26479999999998</v>
      </c>
      <c r="K164">
        <v>1.109002</v>
      </c>
      <c r="L164">
        <v>367.36919999999998</v>
      </c>
      <c r="M164">
        <v>0.99952909999999995</v>
      </c>
      <c r="N164">
        <v>0</v>
      </c>
      <c r="O164">
        <v>3.0657130000000001E-2</v>
      </c>
      <c r="P164">
        <v>0.99902159999999995</v>
      </c>
      <c r="Q164">
        <v>4.4109410000000002E-2</v>
      </c>
      <c r="R164">
        <v>3.2226429999999999E-3</v>
      </c>
      <c r="S164">
        <v>3.012451</v>
      </c>
      <c r="T164">
        <v>-0.2089009</v>
      </c>
      <c r="U164">
        <v>2.368164E-2</v>
      </c>
      <c r="V164">
        <v>2.7387720000000001E-2</v>
      </c>
      <c r="W164">
        <v>4.5555390000000001E-2</v>
      </c>
      <c r="X164">
        <v>0.99858630000000004</v>
      </c>
      <c r="Y164">
        <v>2.2670860000000001E-2</v>
      </c>
      <c r="Z164">
        <v>-2.9081599999999999E-3</v>
      </c>
      <c r="AA164">
        <v>0.99973880000000004</v>
      </c>
      <c r="AB164">
        <v>14</v>
      </c>
      <c r="AC164">
        <v>0.71159999999997503</v>
      </c>
      <c r="AD164">
        <v>-5.9433999999999897E-2</v>
      </c>
      <c r="AE164">
        <v>1.40000000004647E-3</v>
      </c>
      <c r="AF164">
        <v>2.02748564068412E-2</v>
      </c>
      <c r="AG164">
        <v>-5.9433999999999897E-2</v>
      </c>
      <c r="AH164">
        <v>0.70638084076918795</v>
      </c>
      <c r="AI164">
        <v>94.8074966816272</v>
      </c>
      <c r="AJ164">
        <v>88.355922487799404</v>
      </c>
      <c r="AK164">
        <v>0.70916666755009194</v>
      </c>
      <c r="AL164">
        <v>87.3889647495416</v>
      </c>
      <c r="AM164">
        <v>88.428971550594099</v>
      </c>
      <c r="AN164">
        <v>0.99999998965627002</v>
      </c>
    </row>
    <row r="165" spans="1:40" x14ac:dyDescent="0.25">
      <c r="A165" t="str">
        <f>"20190312153854440"</f>
        <v>20190312153854440</v>
      </c>
      <c r="B165" t="str">
        <f>"1552376334435870"</f>
        <v>1552376334435870</v>
      </c>
      <c r="C165" t="s">
        <v>40</v>
      </c>
      <c r="D165">
        <v>4.5294660000000002</v>
      </c>
      <c r="E165">
        <v>0.49834669999999998</v>
      </c>
      <c r="F165" t="s">
        <v>41</v>
      </c>
      <c r="G165">
        <v>-468.42070000000001</v>
      </c>
      <c r="H165">
        <v>1.051604</v>
      </c>
      <c r="I165">
        <v>367.37720000000002</v>
      </c>
      <c r="J165">
        <v>-469.13619999999997</v>
      </c>
      <c r="K165">
        <v>1.10902099999999</v>
      </c>
      <c r="L165">
        <v>367.37369999999999</v>
      </c>
      <c r="M165">
        <v>0.99951520000000005</v>
      </c>
      <c r="N165">
        <v>0</v>
      </c>
      <c r="O165">
        <v>3.1097010000000001E-2</v>
      </c>
      <c r="P165">
        <v>0.99904300000000001</v>
      </c>
      <c r="Q165">
        <v>4.3495249999999999E-2</v>
      </c>
      <c r="R165">
        <v>4.6284550000000001E-3</v>
      </c>
      <c r="S165">
        <v>3.0119020000000001</v>
      </c>
      <c r="T165">
        <v>-0.20508979999999999</v>
      </c>
      <c r="U165">
        <v>2.9693600000000001E-2</v>
      </c>
      <c r="V165">
        <v>2.642247E-2</v>
      </c>
      <c r="W165">
        <v>4.5063789999999999E-2</v>
      </c>
      <c r="X165">
        <v>0.99863460000000004</v>
      </c>
      <c r="Y165">
        <v>2.112114E-2</v>
      </c>
      <c r="Z165">
        <v>-2.832911E-3</v>
      </c>
      <c r="AA165">
        <v>0.99977289999999996</v>
      </c>
      <c r="AB165">
        <v>14</v>
      </c>
      <c r="AC165">
        <v>0.71549999999996305</v>
      </c>
      <c r="AD165">
        <v>-5.7416999999999802E-2</v>
      </c>
      <c r="AE165">
        <v>3.5000000000309198E-3</v>
      </c>
      <c r="AF165">
        <v>1.8631651112744601E-2</v>
      </c>
      <c r="AG165">
        <v>-5.7416999999999802E-2</v>
      </c>
      <c r="AH165">
        <v>0.71068634625668303</v>
      </c>
      <c r="AI165">
        <v>94.617366693849704</v>
      </c>
      <c r="AJ165">
        <v>88.498253818097993</v>
      </c>
      <c r="AK165">
        <v>0.71324535264371802</v>
      </c>
      <c r="AL165">
        <v>87.417160282763703</v>
      </c>
      <c r="AM165">
        <v>88.484387690665102</v>
      </c>
      <c r="AN165">
        <v>0.99999997820361197</v>
      </c>
    </row>
    <row r="166" spans="1:40" x14ac:dyDescent="0.25">
      <c r="A166" t="str">
        <f>"20190312153854464"</f>
        <v>20190312153854464</v>
      </c>
      <c r="B166" t="str">
        <f>"1552376334456367"</f>
        <v>1552376334456367</v>
      </c>
      <c r="C166" t="s">
        <v>40</v>
      </c>
      <c r="D166">
        <v>4.4555989999999897</v>
      </c>
      <c r="E166">
        <v>0.49838900000000003</v>
      </c>
      <c r="F166" t="s">
        <v>41</v>
      </c>
      <c r="G166">
        <v>-468.28820000000002</v>
      </c>
      <c r="H166">
        <v>1.051893</v>
      </c>
      <c r="I166">
        <v>367.38310000000001</v>
      </c>
      <c r="J166">
        <v>-468.97809999999998</v>
      </c>
      <c r="K166">
        <v>1.1090420000000001</v>
      </c>
      <c r="L166">
        <v>367.37920000000003</v>
      </c>
      <c r="M166">
        <v>0.99949889999999997</v>
      </c>
      <c r="N166">
        <v>0</v>
      </c>
      <c r="O166">
        <v>3.1607959999999997E-2</v>
      </c>
      <c r="P166">
        <v>0.99906170000000005</v>
      </c>
      <c r="Q166">
        <v>4.2861179999999999E-2</v>
      </c>
      <c r="R166">
        <v>6.2463569999999897E-3</v>
      </c>
      <c r="S166">
        <v>3.0115660000000002</v>
      </c>
      <c r="T166">
        <v>-0.20306250000000001</v>
      </c>
      <c r="U166">
        <v>3.411865E-2</v>
      </c>
      <c r="V166">
        <v>2.5316950000000001E-2</v>
      </c>
      <c r="W166">
        <v>4.457887E-2</v>
      </c>
      <c r="X166">
        <v>0.99868500000000004</v>
      </c>
      <c r="Y166">
        <v>2.0165639999999999E-2</v>
      </c>
      <c r="Z166">
        <v>-2.8074710000000002E-3</v>
      </c>
      <c r="AA166">
        <v>0.99979269999999998</v>
      </c>
      <c r="AB166">
        <v>15</v>
      </c>
      <c r="AC166">
        <v>0.68989999999996598</v>
      </c>
      <c r="AD166">
        <v>-5.7149000000000102E-2</v>
      </c>
      <c r="AE166">
        <v>3.8999999999873498E-3</v>
      </c>
      <c r="AF166">
        <v>1.7786267874566501E-2</v>
      </c>
      <c r="AG166">
        <v>-5.7149000000000102E-2</v>
      </c>
      <c r="AH166">
        <v>0.68497844741525105</v>
      </c>
      <c r="AI166">
        <v>94.767646129775699</v>
      </c>
      <c r="AJ166">
        <v>88.512582193128495</v>
      </c>
      <c r="AK166">
        <v>0.68758841827746997</v>
      </c>
      <c r="AL166">
        <v>87.444972098822802</v>
      </c>
      <c r="AM166">
        <v>88.547846640062701</v>
      </c>
      <c r="AN166">
        <v>0.99999997641638905</v>
      </c>
    </row>
    <row r="167" spans="1:40" x14ac:dyDescent="0.25">
      <c r="A167" t="str">
        <f>"20190312153854486"</f>
        <v>20190312153854486</v>
      </c>
      <c r="B167" t="str">
        <f>"1552376334475887"</f>
        <v>1552376334475887</v>
      </c>
      <c r="C167" t="s">
        <v>40</v>
      </c>
      <c r="D167">
        <v>4.4680429999999998</v>
      </c>
      <c r="E167">
        <v>0.49836799999999998</v>
      </c>
      <c r="F167" t="s">
        <v>41</v>
      </c>
      <c r="G167">
        <v>-468.15230000000003</v>
      </c>
      <c r="H167">
        <v>1.053558</v>
      </c>
      <c r="I167">
        <v>367.38929999999999</v>
      </c>
      <c r="J167">
        <v>-468.8272</v>
      </c>
      <c r="K167">
        <v>1.1090329999999999</v>
      </c>
      <c r="L167">
        <v>367.38440000000003</v>
      </c>
      <c r="M167">
        <v>0.99947920000000001</v>
      </c>
      <c r="N167">
        <v>0</v>
      </c>
      <c r="O167">
        <v>3.2223929999999998E-2</v>
      </c>
      <c r="P167">
        <v>0.9990639</v>
      </c>
      <c r="Q167">
        <v>4.2583610000000001E-2</v>
      </c>
      <c r="R167">
        <v>7.6471309999999997E-3</v>
      </c>
      <c r="S167">
        <v>3.0112610000000002</v>
      </c>
      <c r="T167">
        <v>-0.2026886</v>
      </c>
      <c r="U167">
        <v>3.8360600000000002E-2</v>
      </c>
      <c r="V167">
        <v>2.4534879999999998E-2</v>
      </c>
      <c r="W167">
        <v>4.4383550000000001E-2</v>
      </c>
      <c r="X167">
        <v>0.99871330000000003</v>
      </c>
      <c r="Y167">
        <v>1.9373270000000001E-2</v>
      </c>
      <c r="Z167">
        <v>-2.817319E-3</v>
      </c>
      <c r="AA167">
        <v>0.99980840000000004</v>
      </c>
      <c r="AB167">
        <v>15</v>
      </c>
      <c r="AC167">
        <v>0.67489999999997896</v>
      </c>
      <c r="AD167">
        <v>-5.5474999999999899E-2</v>
      </c>
      <c r="AE167">
        <v>4.8999999999637103E-3</v>
      </c>
      <c r="AF167">
        <v>1.67374282005638E-2</v>
      </c>
      <c r="AG167">
        <v>-5.5474999999999899E-2</v>
      </c>
      <c r="AH167">
        <v>0.67017963623083598</v>
      </c>
      <c r="AI167">
        <v>94.730477140294795</v>
      </c>
      <c r="AJ167">
        <v>88.5693616503209</v>
      </c>
      <c r="AK167">
        <v>0.672679984796831</v>
      </c>
      <c r="AL167">
        <v>87.456174405324404</v>
      </c>
      <c r="AM167">
        <v>88.592726879326605</v>
      </c>
      <c r="AN167">
        <v>1.00000005772205</v>
      </c>
    </row>
    <row r="168" spans="1:40" x14ac:dyDescent="0.25">
      <c r="A168" t="str">
        <f>"20190312153854507"</f>
        <v>20190312153854507</v>
      </c>
      <c r="B168" t="str">
        <f>"1552376334496382"</f>
        <v>1552376334496382</v>
      </c>
      <c r="C168" t="s">
        <v>40</v>
      </c>
      <c r="D168">
        <v>4.470472</v>
      </c>
      <c r="E168">
        <v>0.498442</v>
      </c>
      <c r="F168" t="s">
        <v>42</v>
      </c>
      <c r="G168">
        <v>-452.08800000000002</v>
      </c>
      <c r="H168" s="1">
        <v>-3.7303309999999999E-6</v>
      </c>
      <c r="I168">
        <v>367.62189999999998</v>
      </c>
      <c r="J168">
        <v>-468.68819999999999</v>
      </c>
      <c r="K168">
        <v>1.10902099999999</v>
      </c>
      <c r="L168">
        <v>367.38929999999999</v>
      </c>
      <c r="M168">
        <v>0.99945899999999999</v>
      </c>
      <c r="N168">
        <v>0</v>
      </c>
      <c r="O168">
        <v>3.2841219999999997E-2</v>
      </c>
      <c r="P168">
        <v>0.99905880000000002</v>
      </c>
      <c r="Q168">
        <v>4.2516159999999997E-2</v>
      </c>
      <c r="R168">
        <v>8.6079980000000004E-3</v>
      </c>
      <c r="S168">
        <v>3.0109560000000002</v>
      </c>
      <c r="T168">
        <v>-0.199486</v>
      </c>
      <c r="U168">
        <v>4.2724610000000003E-2</v>
      </c>
      <c r="V168">
        <v>2.4190920000000001E-2</v>
      </c>
      <c r="W168">
        <v>4.4370680000000003E-2</v>
      </c>
      <c r="X168">
        <v>0.9987222</v>
      </c>
      <c r="Y168">
        <v>1.8544729999999999E-2</v>
      </c>
      <c r="Z168">
        <v>-2.786555E-3</v>
      </c>
      <c r="AA168">
        <v>0.99982420000000005</v>
      </c>
      <c r="AB168">
        <v>15</v>
      </c>
      <c r="AC168">
        <v>16.600199999999901</v>
      </c>
      <c r="AD168">
        <v>-1.1090247303309999</v>
      </c>
      <c r="AE168">
        <v>0.23259999999999001</v>
      </c>
      <c r="AF168">
        <v>0.311307963888862</v>
      </c>
      <c r="AG168">
        <v>-1.1090247303309999</v>
      </c>
      <c r="AH168">
        <v>16.525142253484798</v>
      </c>
      <c r="AI168">
        <v>93.838761190443506</v>
      </c>
      <c r="AJ168">
        <v>88.920764333575903</v>
      </c>
      <c r="AK168">
        <v>16.565239962004</v>
      </c>
      <c r="AL168">
        <v>87.4569123703115</v>
      </c>
      <c r="AM168">
        <v>88.612460350221994</v>
      </c>
      <c r="AN168">
        <v>0.99999999531347405</v>
      </c>
    </row>
    <row r="169" spans="1:40" x14ac:dyDescent="0.25">
      <c r="A169" t="str">
        <f>"20190312153854528"</f>
        <v>20190312153854528</v>
      </c>
      <c r="B169" t="str">
        <f>"1552376334525975"</f>
        <v>1552376334525975</v>
      </c>
      <c r="C169" t="s">
        <v>40</v>
      </c>
      <c r="D169">
        <v>4.40158</v>
      </c>
      <c r="E169">
        <v>0.4986082</v>
      </c>
      <c r="F169" t="s">
        <v>42</v>
      </c>
      <c r="G169">
        <v>-451.74299999999999</v>
      </c>
      <c r="H169" s="1">
        <v>-3.8750579999999997E-6</v>
      </c>
      <c r="I169">
        <v>367.64030000000002</v>
      </c>
      <c r="J169">
        <v>-468.53919999999999</v>
      </c>
      <c r="K169">
        <v>1.1090960000000001</v>
      </c>
      <c r="L169">
        <v>367.39440000000002</v>
      </c>
      <c r="M169">
        <v>0.99944980000000005</v>
      </c>
      <c r="N169">
        <v>0</v>
      </c>
      <c r="O169">
        <v>3.3104010000000003E-2</v>
      </c>
      <c r="P169">
        <v>0.9990618</v>
      </c>
      <c r="Q169">
        <v>4.2264030000000001E-2</v>
      </c>
      <c r="R169">
        <v>9.4593630000000001E-3</v>
      </c>
      <c r="S169">
        <v>3.0108640000000002</v>
      </c>
      <c r="T169">
        <v>-0.19705339999999999</v>
      </c>
      <c r="U169">
        <v>4.4616700000000002E-2</v>
      </c>
      <c r="V169">
        <v>2.3593530000000001E-2</v>
      </c>
      <c r="W169">
        <v>4.4330199999999903E-2</v>
      </c>
      <c r="X169">
        <v>0.99873829999999997</v>
      </c>
      <c r="Y169">
        <v>1.818196E-2</v>
      </c>
      <c r="Z169">
        <v>-2.758028E-3</v>
      </c>
      <c r="AA169">
        <v>0.99983089999999997</v>
      </c>
      <c r="AB169">
        <v>15</v>
      </c>
      <c r="AC169">
        <v>16.796199999999899</v>
      </c>
      <c r="AD169">
        <v>-1.1090998750579999</v>
      </c>
      <c r="AE169">
        <v>0.245900000000006</v>
      </c>
      <c r="AF169">
        <v>0.30891085759929998</v>
      </c>
      <c r="AG169">
        <v>-1.1090998750579999</v>
      </c>
      <c r="AH169">
        <v>16.722235639128002</v>
      </c>
      <c r="AI169">
        <v>93.793931354121597</v>
      </c>
      <c r="AJ169">
        <v>88.941692016367895</v>
      </c>
      <c r="AK169">
        <v>16.7618224910455</v>
      </c>
      <c r="AL169">
        <v>87.459234016533102</v>
      </c>
      <c r="AM169">
        <v>88.6467342721824</v>
      </c>
      <c r="AN169">
        <v>1.0000000065883901</v>
      </c>
    </row>
    <row r="170" spans="1:40" x14ac:dyDescent="0.25">
      <c r="A170" t="str">
        <f>"20190312153854552"</f>
        <v>20190312153854552</v>
      </c>
      <c r="B170" t="str">
        <f>"1552376334546472"</f>
        <v>1552376334546472</v>
      </c>
      <c r="C170" t="s">
        <v>40</v>
      </c>
      <c r="D170">
        <v>4.4032429999999998</v>
      </c>
      <c r="E170">
        <v>0.49869799999999997</v>
      </c>
      <c r="F170" t="s">
        <v>42</v>
      </c>
      <c r="G170">
        <v>-451.30630000000002</v>
      </c>
      <c r="H170" s="1">
        <v>-4.0589329999999996E-6</v>
      </c>
      <c r="I170">
        <v>367.65969999999999</v>
      </c>
      <c r="J170">
        <v>-468.38150000000002</v>
      </c>
      <c r="K170">
        <v>1.1091759999999999</v>
      </c>
      <c r="L170">
        <v>367.4</v>
      </c>
      <c r="M170">
        <v>0.99945209999999995</v>
      </c>
      <c r="N170">
        <v>0</v>
      </c>
      <c r="O170">
        <v>3.3019050000000001E-2</v>
      </c>
      <c r="P170">
        <v>0.9990791</v>
      </c>
      <c r="Q170">
        <v>4.1921609999999998E-2</v>
      </c>
      <c r="R170">
        <v>9.1684350000000008E-3</v>
      </c>
      <c r="S170">
        <v>3.0106199999999999</v>
      </c>
      <c r="T170">
        <v>-0.19376099999999999</v>
      </c>
      <c r="U170">
        <v>4.6356199999999903E-2</v>
      </c>
      <c r="V170">
        <v>2.3791179999999999E-2</v>
      </c>
      <c r="W170">
        <v>4.428352E-2</v>
      </c>
      <c r="X170">
        <v>0.9987357</v>
      </c>
      <c r="Y170">
        <v>1.7523380000000002E-2</v>
      </c>
      <c r="Z170">
        <v>-2.6856179999999999E-3</v>
      </c>
      <c r="AA170">
        <v>0.99984280000000003</v>
      </c>
      <c r="AB170">
        <v>15</v>
      </c>
      <c r="AC170">
        <v>17.075199999999899</v>
      </c>
      <c r="AD170">
        <v>-1.1091800589330001</v>
      </c>
      <c r="AE170">
        <v>0.25970000000000898</v>
      </c>
      <c r="AF170">
        <v>0.30297184172098701</v>
      </c>
      <c r="AG170">
        <v>-1.1091800589330001</v>
      </c>
      <c r="AH170">
        <v>17.002735944001898</v>
      </c>
      <c r="AI170">
        <v>93.731832968344193</v>
      </c>
      <c r="AJ170">
        <v>88.979154237924803</v>
      </c>
      <c r="AK170">
        <v>17.041569819751501</v>
      </c>
      <c r="AL170">
        <v>87.461911257885902</v>
      </c>
      <c r="AM170">
        <v>88.635398281404207</v>
      </c>
      <c r="AN170">
        <v>1.00000002442193</v>
      </c>
    </row>
    <row r="171" spans="1:40" x14ac:dyDescent="0.25">
      <c r="A171" t="str">
        <f>"20190312153854575"</f>
        <v>20190312153854575</v>
      </c>
      <c r="B171" t="str">
        <f>"1552376334565991"</f>
        <v>1552376334565991</v>
      </c>
      <c r="C171" t="s">
        <v>40</v>
      </c>
      <c r="D171">
        <v>4.3684200000000004</v>
      </c>
      <c r="E171">
        <v>0.49877100000000002</v>
      </c>
      <c r="F171" t="s">
        <v>42</v>
      </c>
      <c r="G171">
        <v>-451.0478</v>
      </c>
      <c r="H171" s="1">
        <v>-4.1701509999999996E-6</v>
      </c>
      <c r="I171">
        <v>367.65809999999999</v>
      </c>
      <c r="J171">
        <v>-468.2165</v>
      </c>
      <c r="K171">
        <v>1.1091439999999999</v>
      </c>
      <c r="L171">
        <v>367.40589999999997</v>
      </c>
      <c r="M171">
        <v>0.99945470000000003</v>
      </c>
      <c r="N171">
        <v>0</v>
      </c>
      <c r="O171">
        <v>3.2920339999999999E-2</v>
      </c>
      <c r="P171">
        <v>0.9990888</v>
      </c>
      <c r="Q171">
        <v>4.1622270000000003E-2</v>
      </c>
      <c r="R171">
        <v>9.4541420000000004E-3</v>
      </c>
      <c r="S171">
        <v>3.0104060000000001</v>
      </c>
      <c r="T171">
        <v>-0.19263430000000001</v>
      </c>
      <c r="U171">
        <v>4.483032E-2</v>
      </c>
      <c r="V171">
        <v>2.340979E-2</v>
      </c>
      <c r="W171">
        <v>4.420777E-2</v>
      </c>
      <c r="X171">
        <v>0.99874810000000003</v>
      </c>
      <c r="Y171">
        <v>1.7930789999999999E-2</v>
      </c>
      <c r="Z171">
        <v>-2.6769530000000001E-3</v>
      </c>
      <c r="AA171">
        <v>0.99983569999999999</v>
      </c>
      <c r="AB171">
        <v>15</v>
      </c>
      <c r="AC171">
        <v>17.168700000000001</v>
      </c>
      <c r="AD171">
        <v>-1.109148170151</v>
      </c>
      <c r="AE171">
        <v>0.25220000000001602</v>
      </c>
      <c r="AF171">
        <v>0.31183681033094501</v>
      </c>
      <c r="AG171">
        <v>-1.109148170151</v>
      </c>
      <c r="AH171">
        <v>17.096359771325702</v>
      </c>
      <c r="AI171">
        <v>93.711319334930295</v>
      </c>
      <c r="AJ171">
        <v>88.955043509574807</v>
      </c>
      <c r="AK171">
        <v>17.1351384380235</v>
      </c>
      <c r="AL171">
        <v>87.466255748271095</v>
      </c>
      <c r="AM171">
        <v>88.657282434990094</v>
      </c>
      <c r="AN171">
        <v>1.0000000562249101</v>
      </c>
    </row>
    <row r="172" spans="1:40" x14ac:dyDescent="0.25">
      <c r="A172" t="str">
        <f>"20190312153854598"</f>
        <v>20190312153854598</v>
      </c>
      <c r="B172" t="str">
        <f>"1552376334586487"</f>
        <v>1552376334586487</v>
      </c>
      <c r="C172" t="s">
        <v>40</v>
      </c>
      <c r="D172">
        <v>4.3178289999999997</v>
      </c>
      <c r="E172">
        <v>0.49893880000000002</v>
      </c>
      <c r="F172" t="s">
        <v>42</v>
      </c>
      <c r="G172">
        <v>-450.73259999999999</v>
      </c>
      <c r="H172" s="1">
        <v>-4.3034360000000003E-6</v>
      </c>
      <c r="I172">
        <v>367.66899999999998</v>
      </c>
      <c r="J172">
        <v>-468.06189999999998</v>
      </c>
      <c r="K172">
        <v>1.1090180000000001</v>
      </c>
      <c r="L172">
        <v>367.41120000000001</v>
      </c>
      <c r="M172">
        <v>0.99944940000000004</v>
      </c>
      <c r="N172">
        <v>0</v>
      </c>
      <c r="O172">
        <v>3.3073089999999999E-2</v>
      </c>
      <c r="P172">
        <v>0.99908649999999999</v>
      </c>
      <c r="Q172">
        <v>4.167759E-2</v>
      </c>
      <c r="R172">
        <v>9.4517830000000001E-3</v>
      </c>
      <c r="S172">
        <v>3.0102540000000002</v>
      </c>
      <c r="T172">
        <v>-0.19096399999999999</v>
      </c>
      <c r="U172">
        <v>4.5318600000000001E-2</v>
      </c>
      <c r="V172">
        <v>2.3576699999999999E-2</v>
      </c>
      <c r="W172">
        <v>4.4397369999999999E-2</v>
      </c>
      <c r="X172">
        <v>0.9987357</v>
      </c>
      <c r="Y172">
        <v>1.7922210000000001E-2</v>
      </c>
      <c r="Z172">
        <v>-2.6633210000000002E-3</v>
      </c>
      <c r="AA172">
        <v>0.99983580000000005</v>
      </c>
      <c r="AB172">
        <v>15</v>
      </c>
      <c r="AC172">
        <v>17.3292999999999</v>
      </c>
      <c r="AD172">
        <v>-1.1090223034360001</v>
      </c>
      <c r="AE172">
        <v>0.257800000000031</v>
      </c>
      <c r="AF172">
        <v>0.31419004310196802</v>
      </c>
      <c r="AG172">
        <v>-1.1090223034360001</v>
      </c>
      <c r="AH172">
        <v>17.257680885368998</v>
      </c>
      <c r="AI172">
        <v>93.676308512199597</v>
      </c>
      <c r="AJ172">
        <v>88.9569992024974</v>
      </c>
      <c r="AK172">
        <v>17.296132382527901</v>
      </c>
      <c r="AL172">
        <v>87.455381631206293</v>
      </c>
      <c r="AM172">
        <v>88.647695721077199</v>
      </c>
      <c r="AN172">
        <v>0.99999999285014796</v>
      </c>
    </row>
    <row r="173" spans="1:40" x14ac:dyDescent="0.25">
      <c r="A173" t="str">
        <f>"20190312153854619"</f>
        <v>20190312153854619</v>
      </c>
      <c r="B173" t="str">
        <f>"1552376334615768"</f>
        <v>1552376334615768</v>
      </c>
      <c r="C173" t="s">
        <v>40</v>
      </c>
      <c r="D173">
        <v>4.2535119999999997</v>
      </c>
      <c r="E173">
        <v>0.49908160000000001</v>
      </c>
      <c r="F173" t="s">
        <v>42</v>
      </c>
      <c r="G173">
        <v>-450.33440000000002</v>
      </c>
      <c r="H173" s="1">
        <v>-4.4744230000000003E-6</v>
      </c>
      <c r="I173">
        <v>367.66789999999997</v>
      </c>
      <c r="J173">
        <v>-467.90750000000003</v>
      </c>
      <c r="K173">
        <v>1.108916</v>
      </c>
      <c r="L173">
        <v>367.41640000000001</v>
      </c>
      <c r="M173">
        <v>0.99943890000000002</v>
      </c>
      <c r="N173">
        <v>0</v>
      </c>
      <c r="O173">
        <v>3.3369870000000003E-2</v>
      </c>
      <c r="P173">
        <v>0.99910810000000005</v>
      </c>
      <c r="Q173">
        <v>4.1080940000000003E-2</v>
      </c>
      <c r="R173">
        <v>9.7626210000000008E-3</v>
      </c>
      <c r="S173">
        <v>3.0101930000000001</v>
      </c>
      <c r="T173">
        <v>-0.1883157</v>
      </c>
      <c r="U173">
        <v>4.3609620000000002E-2</v>
      </c>
      <c r="V173">
        <v>2.3576119999999999E-2</v>
      </c>
      <c r="W173">
        <v>4.3971490000000002E-2</v>
      </c>
      <c r="X173">
        <v>0.99875460000000005</v>
      </c>
      <c r="Y173">
        <v>1.8786859999999999E-2</v>
      </c>
      <c r="Z173">
        <v>-2.6720849999999998E-3</v>
      </c>
      <c r="AA173">
        <v>0.99981989999999998</v>
      </c>
      <c r="AB173">
        <v>16</v>
      </c>
      <c r="AC173">
        <v>17.5731</v>
      </c>
      <c r="AD173">
        <v>-1.1089204744229999</v>
      </c>
      <c r="AE173">
        <v>0.25149999999996397</v>
      </c>
      <c r="AF173">
        <v>0.333725942716326</v>
      </c>
      <c r="AG173">
        <v>-1.1089204744229999</v>
      </c>
      <c r="AH173">
        <v>17.502026259209799</v>
      </c>
      <c r="AI173">
        <v>93.6247314595049</v>
      </c>
      <c r="AJ173">
        <v>88.907625272184504</v>
      </c>
      <c r="AK173">
        <v>17.5402964855645</v>
      </c>
      <c r="AL173">
        <v>87.479806726146506</v>
      </c>
      <c r="AM173">
        <v>88.647754556455894</v>
      </c>
      <c r="AN173">
        <v>1.0000000381941101</v>
      </c>
    </row>
    <row r="174" spans="1:40" x14ac:dyDescent="0.25">
      <c r="A174" t="str">
        <f>"20190312153854642"</f>
        <v>20190312153854642</v>
      </c>
      <c r="B174" t="str">
        <f>"1552376334636263"</f>
        <v>1552376334636263</v>
      </c>
      <c r="C174" t="s">
        <v>40</v>
      </c>
      <c r="D174">
        <v>4.2349180000000004</v>
      </c>
      <c r="E174">
        <v>0.49920979999999998</v>
      </c>
      <c r="F174" t="s">
        <v>42</v>
      </c>
      <c r="G174">
        <v>-449.95339999999999</v>
      </c>
      <c r="H174" s="1">
        <v>-5.1831540000000004E-7</v>
      </c>
      <c r="I174">
        <v>367.67630000000003</v>
      </c>
      <c r="J174">
        <v>-467.7527</v>
      </c>
      <c r="K174">
        <v>1.1088800000000001</v>
      </c>
      <c r="L174">
        <v>367.42140000000001</v>
      </c>
      <c r="M174">
        <v>0.99943070000000001</v>
      </c>
      <c r="N174">
        <v>0</v>
      </c>
      <c r="O174">
        <v>3.3595600000000003E-2</v>
      </c>
      <c r="P174">
        <v>0.99916079999999996</v>
      </c>
      <c r="Q174">
        <v>3.9689189999999999E-2</v>
      </c>
      <c r="R174">
        <v>1.0133659999999999E-2</v>
      </c>
      <c r="S174">
        <v>3.0098880000000001</v>
      </c>
      <c r="T174">
        <v>-0.1859025</v>
      </c>
      <c r="U174">
        <v>4.3579100000000003E-2</v>
      </c>
      <c r="V174">
        <v>2.3440780000000001E-2</v>
      </c>
      <c r="W174">
        <v>4.2824349999999997E-2</v>
      </c>
      <c r="X174">
        <v>0.99880760000000002</v>
      </c>
      <c r="Y174">
        <v>1.9023060000000001E-2</v>
      </c>
      <c r="Z174">
        <v>-2.6593839999999999E-3</v>
      </c>
      <c r="AA174">
        <v>0.99981549999999997</v>
      </c>
      <c r="AB174">
        <v>16</v>
      </c>
      <c r="AC174">
        <v>17.799299999999999</v>
      </c>
      <c r="AD174">
        <v>-1.10888051831539</v>
      </c>
      <c r="AE174">
        <v>0.25490000000002</v>
      </c>
      <c r="AF174">
        <v>0.34189823100425698</v>
      </c>
      <c r="AG174">
        <v>-1.10888051831539</v>
      </c>
      <c r="AH174">
        <v>17.729020518169602</v>
      </c>
      <c r="AI174">
        <v>93.578299993324805</v>
      </c>
      <c r="AJ174">
        <v>88.8952069986764</v>
      </c>
      <c r="AK174">
        <v>17.766954689477402</v>
      </c>
      <c r="AL174">
        <v>87.545594916099503</v>
      </c>
      <c r="AM174">
        <v>88.655585654130604</v>
      </c>
      <c r="AN174">
        <v>1.0000000084688401</v>
      </c>
    </row>
    <row r="175" spans="1:40" x14ac:dyDescent="0.25">
      <c r="A175" t="str">
        <f>"20190312153854664"</f>
        <v>20190312153854664</v>
      </c>
      <c r="B175" t="str">
        <f>"1552376334656759"</f>
        <v>1552376334656759</v>
      </c>
      <c r="C175" t="s">
        <v>40</v>
      </c>
      <c r="D175">
        <v>4.1827170000000002</v>
      </c>
      <c r="E175">
        <v>0.49930809999999998</v>
      </c>
      <c r="F175" t="s">
        <v>42</v>
      </c>
      <c r="G175">
        <v>-449.9864</v>
      </c>
      <c r="H175" s="1">
        <v>-4.6219770000000004E-6</v>
      </c>
      <c r="I175">
        <v>367.67790000000002</v>
      </c>
      <c r="J175">
        <v>-467.58499999999998</v>
      </c>
      <c r="K175">
        <v>1.108919</v>
      </c>
      <c r="L175">
        <v>367.42689999999999</v>
      </c>
      <c r="M175">
        <v>0.99942839999999999</v>
      </c>
      <c r="N175">
        <v>0</v>
      </c>
      <c r="O175">
        <v>3.3630960000000001E-2</v>
      </c>
      <c r="P175">
        <v>0.99917270000000002</v>
      </c>
      <c r="Q175">
        <v>3.9394789999999999E-2</v>
      </c>
      <c r="R175">
        <v>1.0115310000000001E-2</v>
      </c>
      <c r="S175">
        <v>3.0095519999999998</v>
      </c>
      <c r="T175">
        <v>-0.18784020000000001</v>
      </c>
      <c r="U175">
        <v>4.3457030000000001E-2</v>
      </c>
      <c r="V175">
        <v>2.3497339999999999E-2</v>
      </c>
      <c r="W175">
        <v>4.2838170000000002E-2</v>
      </c>
      <c r="X175">
        <v>0.99880559999999996</v>
      </c>
      <c r="Y175">
        <v>1.909508E-2</v>
      </c>
      <c r="Z175">
        <v>-2.6918010000000002E-3</v>
      </c>
      <c r="AA175">
        <v>0.99981399999999998</v>
      </c>
      <c r="AB175">
        <v>16</v>
      </c>
      <c r="AC175">
        <v>17.598599999999902</v>
      </c>
      <c r="AD175">
        <v>-1.108923621977</v>
      </c>
      <c r="AE175">
        <v>0.25100000000003297</v>
      </c>
      <c r="AF175">
        <v>0.33965497014249801</v>
      </c>
      <c r="AG175">
        <v>-1.108923621977</v>
      </c>
      <c r="AH175">
        <v>17.527507008231002</v>
      </c>
      <c r="AI175">
        <v>93.619464700508402</v>
      </c>
      <c r="AJ175">
        <v>88.889838650060696</v>
      </c>
      <c r="AK175">
        <v>17.565835562867701</v>
      </c>
      <c r="AL175">
        <v>87.544802168823196</v>
      </c>
      <c r="AM175">
        <v>88.652340228887795</v>
      </c>
      <c r="AN175">
        <v>0.99999993019368905</v>
      </c>
    </row>
    <row r="176" spans="1:40" x14ac:dyDescent="0.25">
      <c r="A176" t="str">
        <f>"20190312153854687"</f>
        <v>20190312153854687</v>
      </c>
      <c r="B176" t="str">
        <f>"1552376334676279"</f>
        <v>1552376334676279</v>
      </c>
      <c r="C176" t="s">
        <v>40</v>
      </c>
      <c r="D176">
        <v>4.1969989999999999</v>
      </c>
      <c r="E176">
        <v>0.49938850000000001</v>
      </c>
      <c r="F176" t="s">
        <v>42</v>
      </c>
      <c r="G176">
        <v>-449.68090000000001</v>
      </c>
      <c r="H176" s="1">
        <v>-6.221865E-7</v>
      </c>
      <c r="I176">
        <v>367.67910000000001</v>
      </c>
      <c r="J176">
        <v>-467.42750000000001</v>
      </c>
      <c r="K176">
        <v>1.108978</v>
      </c>
      <c r="L176">
        <v>367.43209999999999</v>
      </c>
      <c r="M176">
        <v>0.99943190000000004</v>
      </c>
      <c r="N176">
        <v>0</v>
      </c>
      <c r="O176">
        <v>3.3498180000000002E-2</v>
      </c>
      <c r="P176">
        <v>0.9991932</v>
      </c>
      <c r="Q176">
        <v>3.884659E-2</v>
      </c>
      <c r="R176">
        <v>1.020686E-2</v>
      </c>
      <c r="S176">
        <v>3.0093990000000002</v>
      </c>
      <c r="T176">
        <v>-0.18639269999999999</v>
      </c>
      <c r="U176">
        <v>4.2388919999999997E-2</v>
      </c>
      <c r="V176">
        <v>2.3273410000000001E-2</v>
      </c>
      <c r="W176">
        <v>4.2577099999999903E-2</v>
      </c>
      <c r="X176">
        <v>0.99882210000000005</v>
      </c>
      <c r="Y176">
        <v>1.931772E-2</v>
      </c>
      <c r="Z176">
        <v>-2.6699219999999999E-3</v>
      </c>
      <c r="AA176">
        <v>0.99980979999999997</v>
      </c>
      <c r="AB176">
        <v>16</v>
      </c>
      <c r="AC176">
        <v>17.746600000000001</v>
      </c>
      <c r="AD176">
        <v>-1.1089786221864999</v>
      </c>
      <c r="AE176">
        <v>0.24700000000001399</v>
      </c>
      <c r="AF176">
        <v>0.34626960632786202</v>
      </c>
      <c r="AG176">
        <v>-1.1089786221864999</v>
      </c>
      <c r="AH176">
        <v>17.6759039563639</v>
      </c>
      <c r="AI176">
        <v>93.589320277546193</v>
      </c>
      <c r="AJ176">
        <v>88.877723611186298</v>
      </c>
      <c r="AK176">
        <v>17.714042929250599</v>
      </c>
      <c r="AL176">
        <v>87.559774268878201</v>
      </c>
      <c r="AM176">
        <v>88.6652008201619</v>
      </c>
      <c r="AN176">
        <v>1.0000000242529199</v>
      </c>
    </row>
    <row r="177" spans="1:40" x14ac:dyDescent="0.25">
      <c r="A177" t="str">
        <f>"20190312153854709"</f>
        <v>20190312153854709</v>
      </c>
      <c r="B177" t="str">
        <f>"1552376334706536"</f>
        <v>1552376334706536</v>
      </c>
      <c r="C177" t="s">
        <v>40</v>
      </c>
      <c r="D177">
        <v>4.105283</v>
      </c>
      <c r="E177">
        <v>0.49945459999999903</v>
      </c>
      <c r="F177" t="s">
        <v>42</v>
      </c>
      <c r="G177">
        <v>-449.4479</v>
      </c>
      <c r="H177" s="1">
        <v>-7.0942969999999904E-7</v>
      </c>
      <c r="I177">
        <v>367.68759999999997</v>
      </c>
      <c r="J177">
        <v>-467.2647</v>
      </c>
      <c r="K177">
        <v>1.1090420000000001</v>
      </c>
      <c r="L177">
        <v>367.4375</v>
      </c>
      <c r="M177">
        <v>0.99943769999999998</v>
      </c>
      <c r="N177">
        <v>0</v>
      </c>
      <c r="O177">
        <v>3.3291929999999997E-2</v>
      </c>
      <c r="P177">
        <v>0.99925260000000005</v>
      </c>
      <c r="Q177">
        <v>3.7434929999999998E-2</v>
      </c>
      <c r="R177">
        <v>9.6553369999999999E-3</v>
      </c>
      <c r="S177">
        <v>3.0092469999999998</v>
      </c>
      <c r="T177">
        <v>-0.18560969999999999</v>
      </c>
      <c r="U177">
        <v>4.2755130000000002E-2</v>
      </c>
      <c r="V177">
        <v>2.3619979999999999E-2</v>
      </c>
      <c r="W177">
        <v>4.144275E-2</v>
      </c>
      <c r="X177">
        <v>0.99886169999999996</v>
      </c>
      <c r="Y177">
        <v>1.8990920000000001E-2</v>
      </c>
      <c r="Z177">
        <v>-2.6360889999999999E-3</v>
      </c>
      <c r="AA177">
        <v>0.99981620000000004</v>
      </c>
      <c r="AB177">
        <v>16</v>
      </c>
      <c r="AC177">
        <v>17.816800000000001</v>
      </c>
      <c r="AD177">
        <v>-1.1090427094297</v>
      </c>
      <c r="AE177">
        <v>0.25009999999997401</v>
      </c>
      <c r="AF177">
        <v>0.34187462570696198</v>
      </c>
      <c r="AG177">
        <v>-1.1090427094297</v>
      </c>
      <c r="AH177">
        <v>17.7465011639446</v>
      </c>
      <c r="AI177">
        <v>93.575307351849503</v>
      </c>
      <c r="AJ177">
        <v>88.896371154780994</v>
      </c>
      <c r="AK177">
        <v>17.784407708802899</v>
      </c>
      <c r="AL177">
        <v>87.624825227690394</v>
      </c>
      <c r="AM177">
        <v>88.645385039882001</v>
      </c>
      <c r="AN177">
        <v>1.0000000503548201</v>
      </c>
    </row>
    <row r="178" spans="1:40" x14ac:dyDescent="0.25">
      <c r="A178" t="str">
        <f>"20190312153854730"</f>
        <v>20190312153854730</v>
      </c>
      <c r="B178" t="str">
        <f>"1552376334726055"</f>
        <v>1552376334726055</v>
      </c>
      <c r="C178" t="s">
        <v>40</v>
      </c>
      <c r="D178">
        <v>4.1085180000000001</v>
      </c>
      <c r="E178">
        <v>0.49948799999999999</v>
      </c>
      <c r="F178" t="s">
        <v>42</v>
      </c>
      <c r="G178">
        <v>-449.35860000000002</v>
      </c>
      <c r="H178" s="1">
        <v>-7.4566069999999997E-7</v>
      </c>
      <c r="I178">
        <v>367.68029999999999</v>
      </c>
      <c r="J178">
        <v>-467.10489999999999</v>
      </c>
      <c r="K178">
        <v>1.109081</v>
      </c>
      <c r="L178">
        <v>367.4427</v>
      </c>
      <c r="M178">
        <v>0.99944310000000003</v>
      </c>
      <c r="N178">
        <v>0</v>
      </c>
      <c r="O178">
        <v>3.3100119999999997E-2</v>
      </c>
      <c r="P178">
        <v>0.99926139999999997</v>
      </c>
      <c r="Q178">
        <v>3.7195020000000002E-2</v>
      </c>
      <c r="R178">
        <v>9.6703339999999992E-3</v>
      </c>
      <c r="S178">
        <v>3.0088499999999998</v>
      </c>
      <c r="T178">
        <v>-0.1863573</v>
      </c>
      <c r="U178">
        <v>4.0801999999999998E-2</v>
      </c>
      <c r="V178">
        <v>2.3415249999999999E-2</v>
      </c>
      <c r="W178">
        <v>4.1464670000000002E-2</v>
      </c>
      <c r="X178">
        <v>0.99886549999999996</v>
      </c>
      <c r="Y178">
        <v>1.944475E-2</v>
      </c>
      <c r="Z178">
        <v>-2.6492339999999999E-3</v>
      </c>
      <c r="AA178">
        <v>0.99980740000000001</v>
      </c>
      <c r="AB178">
        <v>16</v>
      </c>
      <c r="AC178">
        <v>17.746299999999898</v>
      </c>
      <c r="AD178">
        <v>-1.1090817456606901</v>
      </c>
      <c r="AE178">
        <v>0.23759999999998599</v>
      </c>
      <c r="AF178">
        <v>0.34857886611169198</v>
      </c>
      <c r="AG178">
        <v>-1.1090817456606901</v>
      </c>
      <c r="AH178">
        <v>17.6754157381421</v>
      </c>
      <c r="AI178">
        <v>93.589742837263401</v>
      </c>
      <c r="AJ178">
        <v>88.870209925608506</v>
      </c>
      <c r="AK178">
        <v>17.7136075111937</v>
      </c>
      <c r="AL178">
        <v>87.623567961235693</v>
      </c>
      <c r="AM178">
        <v>88.657127173007893</v>
      </c>
      <c r="AN178">
        <v>0.99999993994050895</v>
      </c>
    </row>
    <row r="179" spans="1:40" x14ac:dyDescent="0.25">
      <c r="A179" t="str">
        <f>"20190312153854743"</f>
        <v>20190312153854743</v>
      </c>
      <c r="B179" t="str">
        <f>"1552376334735816"</f>
        <v>1552376334735816</v>
      </c>
      <c r="C179" t="s">
        <v>40</v>
      </c>
      <c r="D179">
        <v>4.095783</v>
      </c>
      <c r="E179">
        <v>0.5027568</v>
      </c>
      <c r="F179" t="s">
        <v>42</v>
      </c>
      <c r="G179">
        <v>-449.14659999999998</v>
      </c>
      <c r="H179" s="1">
        <v>-8.2608789999999996E-7</v>
      </c>
      <c r="I179">
        <v>367.68389999999999</v>
      </c>
      <c r="J179">
        <v>-467.01249999999999</v>
      </c>
      <c r="K179">
        <v>1.109097</v>
      </c>
      <c r="L179">
        <v>367.44569999999999</v>
      </c>
      <c r="M179">
        <v>0.99944560000000005</v>
      </c>
      <c r="N179">
        <v>0</v>
      </c>
      <c r="O179">
        <v>3.3003369999999997E-2</v>
      </c>
      <c r="P179">
        <v>0.99926040000000005</v>
      </c>
      <c r="Q179">
        <v>3.720615E-2</v>
      </c>
      <c r="R179">
        <v>9.7169760000000004E-3</v>
      </c>
      <c r="S179">
        <v>3.0086979999999999</v>
      </c>
      <c r="T179">
        <v>-0.18581400000000001</v>
      </c>
      <c r="U179">
        <v>4.040527E-2</v>
      </c>
      <c r="V179">
        <v>2.3273720000000001E-2</v>
      </c>
      <c r="W179">
        <v>4.1624269999999998E-2</v>
      </c>
      <c r="X179">
        <v>0.99886220000000003</v>
      </c>
      <c r="Y179">
        <v>1.947981E-2</v>
      </c>
      <c r="Z179">
        <v>-2.6367790000000001E-3</v>
      </c>
      <c r="AA179">
        <v>0.9998068</v>
      </c>
      <c r="AB179">
        <v>16</v>
      </c>
      <c r="AC179">
        <v>17.8659</v>
      </c>
      <c r="AD179">
        <v>-1.1090978260878901</v>
      </c>
      <c r="AE179">
        <v>0.23820000000000599</v>
      </c>
      <c r="AF179">
        <v>0.350220909837275</v>
      </c>
      <c r="AG179">
        <v>-1.1090978260878901</v>
      </c>
      <c r="AH179">
        <v>17.795460596441298</v>
      </c>
      <c r="AI179">
        <v>93.565644203623904</v>
      </c>
      <c r="AJ179">
        <v>88.872544496852996</v>
      </c>
      <c r="AK179">
        <v>17.833428456497501</v>
      </c>
      <c r="AL179">
        <v>87.614415725002303</v>
      </c>
      <c r="AM179">
        <v>88.665236614918697</v>
      </c>
      <c r="AN179">
        <v>0.99999997024225495</v>
      </c>
    </row>
    <row r="180" spans="1:40" x14ac:dyDescent="0.25">
      <c r="A180" t="str">
        <f>"20190312153854755"</f>
        <v>20190312153854755</v>
      </c>
      <c r="B180" t="str">
        <f>"1552376334746552"</f>
        <v>1552376334746552</v>
      </c>
      <c r="C180" t="s">
        <v>40</v>
      </c>
      <c r="D180">
        <v>4.0864180000000001</v>
      </c>
      <c r="E180">
        <v>0.50477810000000001</v>
      </c>
      <c r="F180" t="s">
        <v>43</v>
      </c>
      <c r="G180">
        <v>-425.5822</v>
      </c>
      <c r="H180">
        <v>-0.05</v>
      </c>
      <c r="I180">
        <v>367.60890000000001</v>
      </c>
      <c r="J180">
        <v>-466.92230000000001</v>
      </c>
      <c r="K180">
        <v>1.1091070000000001</v>
      </c>
      <c r="L180">
        <v>367.44869999999997</v>
      </c>
      <c r="M180">
        <v>0.99944770000000005</v>
      </c>
      <c r="N180">
        <v>0</v>
      </c>
      <c r="O180">
        <v>3.2916380000000002E-2</v>
      </c>
      <c r="P180">
        <v>0.99927520000000003</v>
      </c>
      <c r="Q180">
        <v>3.700407E-2</v>
      </c>
      <c r="R180">
        <v>8.946697E-3</v>
      </c>
      <c r="S180">
        <v>3.00528</v>
      </c>
      <c r="T180">
        <v>-8.4078910000000007E-2</v>
      </c>
      <c r="U180">
        <v>1.184082E-2</v>
      </c>
      <c r="V180">
        <v>2.3958819999999999E-2</v>
      </c>
      <c r="W180">
        <v>4.1565659999999997E-2</v>
      </c>
      <c r="X180">
        <v>0.99884850000000003</v>
      </c>
      <c r="Y180">
        <v>2.8954420000000002E-2</v>
      </c>
      <c r="Z180">
        <v>-1.3255389999999999E-3</v>
      </c>
      <c r="AA180">
        <v>0.99957980000000002</v>
      </c>
      <c r="AB180">
        <v>16</v>
      </c>
      <c r="AC180">
        <v>41.3401</v>
      </c>
      <c r="AD180">
        <v>-1.1591069999999899</v>
      </c>
      <c r="AE180">
        <v>0.16020000000003101</v>
      </c>
      <c r="AF180">
        <v>1.1997242644305399</v>
      </c>
      <c r="AG180">
        <v>-1.1591069999999899</v>
      </c>
      <c r="AH180">
        <v>41.2905110277731</v>
      </c>
      <c r="AI180">
        <v>91.607306543008093</v>
      </c>
      <c r="AJ180">
        <v>88.335699872389796</v>
      </c>
      <c r="AK180">
        <v>41.324195918163497</v>
      </c>
      <c r="AL180">
        <v>87.617776876111293</v>
      </c>
      <c r="AM180">
        <v>88.625941681089301</v>
      </c>
      <c r="AN180">
        <v>1.0000000275496299</v>
      </c>
    </row>
    <row r="181" spans="1:40" x14ac:dyDescent="0.25">
      <c r="A181" t="str">
        <f>"20190312153854768"</f>
        <v>20190312153854768</v>
      </c>
      <c r="B181" t="str">
        <f>"1552376334756312"</f>
        <v>1552376334756312</v>
      </c>
      <c r="C181" t="s">
        <v>40</v>
      </c>
      <c r="D181">
        <v>4.0650740000000001</v>
      </c>
      <c r="E181">
        <v>0.50607000000000002</v>
      </c>
      <c r="F181" t="s">
        <v>43</v>
      </c>
      <c r="G181">
        <v>-412.41120000000001</v>
      </c>
      <c r="H181">
        <v>-0.05</v>
      </c>
      <c r="I181">
        <v>367.33019999999999</v>
      </c>
      <c r="J181">
        <v>-466.83589999999998</v>
      </c>
      <c r="K181">
        <v>1.1091150000000001</v>
      </c>
      <c r="L181">
        <v>367.45139999999998</v>
      </c>
      <c r="M181">
        <v>0.99944980000000005</v>
      </c>
      <c r="N181">
        <v>0</v>
      </c>
      <c r="O181">
        <v>3.2833929999999997E-2</v>
      </c>
      <c r="P181">
        <v>0.99929520000000005</v>
      </c>
      <c r="Q181">
        <v>3.65452E-2</v>
      </c>
      <c r="R181">
        <v>8.5716850000000008E-3</v>
      </c>
      <c r="S181">
        <v>3.0046080000000002</v>
      </c>
      <c r="T181">
        <v>-6.3889029999999999E-2</v>
      </c>
      <c r="U181">
        <v>-6.5307619999999999E-3</v>
      </c>
      <c r="V181">
        <v>2.4253469999999999E-2</v>
      </c>
      <c r="W181">
        <v>4.124121E-2</v>
      </c>
      <c r="X181">
        <v>0.99885480000000004</v>
      </c>
      <c r="Y181">
        <v>3.4991290000000001E-2</v>
      </c>
      <c r="Z181">
        <v>-1.0699889999999999E-3</v>
      </c>
      <c r="AA181">
        <v>0.99938700000000003</v>
      </c>
      <c r="AB181">
        <v>16</v>
      </c>
      <c r="AC181">
        <v>54.424699999999902</v>
      </c>
      <c r="AD181">
        <v>-1.1591149999999999</v>
      </c>
      <c r="AE181">
        <v>-0.121199999999987</v>
      </c>
      <c r="AF181">
        <v>1.90726601680855</v>
      </c>
      <c r="AG181">
        <v>-1.1591149999999999</v>
      </c>
      <c r="AH181">
        <v>54.366715257032403</v>
      </c>
      <c r="AI181">
        <v>91.220627844771002</v>
      </c>
      <c r="AJ181">
        <v>87.990801987888702</v>
      </c>
      <c r="AK181">
        <v>54.412507193487599</v>
      </c>
      <c r="AL181">
        <v>87.636382356263198</v>
      </c>
      <c r="AM181">
        <v>88.609058625688405</v>
      </c>
      <c r="AN181">
        <v>0.999999989846172</v>
      </c>
    </row>
    <row r="182" spans="1:40" x14ac:dyDescent="0.25">
      <c r="A182" t="str">
        <f>"20190312153854781"</f>
        <v>20190312153854781</v>
      </c>
      <c r="B182" t="str">
        <f>"1552376334775832"</f>
        <v>1552376334775832</v>
      </c>
      <c r="C182" t="s">
        <v>40</v>
      </c>
      <c r="D182">
        <v>4.0551389999999996</v>
      </c>
      <c r="E182">
        <v>0.50765709999999997</v>
      </c>
      <c r="F182" t="s">
        <v>43</v>
      </c>
      <c r="G182">
        <v>-405.32150000000001</v>
      </c>
      <c r="H182">
        <v>-0.05</v>
      </c>
      <c r="I182">
        <v>367.07960000000003</v>
      </c>
      <c r="J182">
        <v>-466.73360000000002</v>
      </c>
      <c r="K182">
        <v>1.109129</v>
      </c>
      <c r="L182">
        <v>367.45460000000003</v>
      </c>
      <c r="M182">
        <v>0.99945240000000002</v>
      </c>
      <c r="N182">
        <v>0</v>
      </c>
      <c r="O182">
        <v>3.2732560000000001E-2</v>
      </c>
      <c r="P182">
        <v>0.99932589999999999</v>
      </c>
      <c r="Q182">
        <v>3.5870810000000003E-2</v>
      </c>
      <c r="R182">
        <v>7.8283480000000006E-3</v>
      </c>
      <c r="S182">
        <v>3.0043329999999999</v>
      </c>
      <c r="T182">
        <v>-5.6610580000000001E-2</v>
      </c>
      <c r="U182">
        <v>-1.8157960000000001E-2</v>
      </c>
      <c r="V182">
        <v>2.489769E-2</v>
      </c>
      <c r="W182">
        <v>4.0722380000000002E-2</v>
      </c>
      <c r="X182">
        <v>0.99886019999999998</v>
      </c>
      <c r="Y182">
        <v>3.876023E-2</v>
      </c>
      <c r="Z182">
        <v>-9.8180170000000005E-4</v>
      </c>
      <c r="AA182">
        <v>0.99924809999999997</v>
      </c>
      <c r="AB182">
        <v>16</v>
      </c>
      <c r="AC182">
        <v>61.412100000000002</v>
      </c>
      <c r="AD182">
        <v>-1.1591290000000001</v>
      </c>
      <c r="AE182">
        <v>-0.375</v>
      </c>
      <c r="AF182">
        <v>2.3841485748251601</v>
      </c>
      <c r="AG182">
        <v>-1.1591290000000001</v>
      </c>
      <c r="AH182">
        <v>61.345063062355102</v>
      </c>
      <c r="AI182">
        <v>91.081671641538705</v>
      </c>
      <c r="AJ182">
        <v>87.774345160030606</v>
      </c>
      <c r="AK182">
        <v>61.402316785198003</v>
      </c>
      <c r="AL182">
        <v>87.666134035201594</v>
      </c>
      <c r="AM182">
        <v>88.572135292979894</v>
      </c>
      <c r="AN182">
        <v>0.99999995317211898</v>
      </c>
    </row>
    <row r="183" spans="1:40" x14ac:dyDescent="0.25">
      <c r="A183" t="str">
        <f>"20190312153854799"</f>
        <v>20190312153854799</v>
      </c>
      <c r="B183" t="str">
        <f>"1552376334786567"</f>
        <v>1552376334786567</v>
      </c>
      <c r="C183" t="s">
        <v>40</v>
      </c>
      <c r="D183">
        <v>4.0474829999999997</v>
      </c>
      <c r="E183">
        <v>0.50807530000000001</v>
      </c>
      <c r="F183" t="s">
        <v>42</v>
      </c>
      <c r="G183">
        <v>-393.77460000000002</v>
      </c>
      <c r="H183" s="1">
        <v>-3.1800200000000002E-6</v>
      </c>
      <c r="I183">
        <v>366.64510000000001</v>
      </c>
      <c r="J183">
        <v>-466.60849999999999</v>
      </c>
      <c r="K183">
        <v>1.109148</v>
      </c>
      <c r="L183">
        <v>367.45859999999999</v>
      </c>
      <c r="M183">
        <v>0.99945580000000001</v>
      </c>
      <c r="N183">
        <v>0</v>
      </c>
      <c r="O183">
        <v>3.2597309999999997E-2</v>
      </c>
      <c r="P183">
        <v>0.99937520000000002</v>
      </c>
      <c r="Q183">
        <v>3.4798500000000003E-2</v>
      </c>
      <c r="R183">
        <v>6.2107280000000004E-3</v>
      </c>
      <c r="S183">
        <v>3.0039370000000001</v>
      </c>
      <c r="T183">
        <v>-4.566622E-2</v>
      </c>
      <c r="U183">
        <v>-3.3325199999999902E-2</v>
      </c>
      <c r="V183">
        <v>2.638219E-2</v>
      </c>
      <c r="W183">
        <v>3.9832850000000003E-2</v>
      </c>
      <c r="X183">
        <v>0.99885800000000002</v>
      </c>
      <c r="Y183">
        <v>4.367418E-2</v>
      </c>
      <c r="Z183">
        <v>-8.2740799999999996E-4</v>
      </c>
      <c r="AA183">
        <v>0.99904550000000003</v>
      </c>
      <c r="AB183">
        <v>17</v>
      </c>
      <c r="AC183">
        <v>72.8338999999999</v>
      </c>
      <c r="AD183">
        <v>-1.10915118002</v>
      </c>
      <c r="AE183">
        <v>-0.81349999999997602</v>
      </c>
      <c r="AF183">
        <v>3.1865482873910298</v>
      </c>
      <c r="AG183">
        <v>-1.10915118002</v>
      </c>
      <c r="AH183">
        <v>72.751804818223604</v>
      </c>
      <c r="AI183">
        <v>90.872609298221093</v>
      </c>
      <c r="AJ183">
        <v>87.492032702330903</v>
      </c>
      <c r="AK183">
        <v>72.830003505676899</v>
      </c>
      <c r="AL183">
        <v>87.717141829558599</v>
      </c>
      <c r="AM183">
        <v>88.487035406938901</v>
      </c>
      <c r="AN183">
        <v>0.99999999002615902</v>
      </c>
    </row>
    <row r="184" spans="1:40" x14ac:dyDescent="0.25">
      <c r="A184" t="str">
        <f>"20190312153854813"</f>
        <v>20190312153854813</v>
      </c>
      <c r="B184" t="str">
        <f>"1552376334806088"</f>
        <v>1552376334806088</v>
      </c>
      <c r="C184" t="s">
        <v>40</v>
      </c>
      <c r="D184">
        <v>4.0384260000000003</v>
      </c>
      <c r="E184">
        <v>0.50832100000000002</v>
      </c>
      <c r="F184" t="s">
        <v>42</v>
      </c>
      <c r="G184">
        <v>-393.08859999999999</v>
      </c>
      <c r="H184" s="1">
        <v>-3.5106119999999998E-6</v>
      </c>
      <c r="I184">
        <v>366.44040000000001</v>
      </c>
      <c r="J184">
        <v>-466.49489999999997</v>
      </c>
      <c r="K184">
        <v>1.1091660000000001</v>
      </c>
      <c r="L184">
        <v>367.4622</v>
      </c>
      <c r="M184">
        <v>0.99945949999999995</v>
      </c>
      <c r="N184">
        <v>0</v>
      </c>
      <c r="O184">
        <v>3.2460389999999999E-2</v>
      </c>
      <c r="P184">
        <v>0.99938839999999995</v>
      </c>
      <c r="Q184">
        <v>3.4612030000000002E-2</v>
      </c>
      <c r="R184">
        <v>4.9986029999999999E-3</v>
      </c>
      <c r="S184">
        <v>3.0037229999999999</v>
      </c>
      <c r="T184">
        <v>-4.5315380000000002E-2</v>
      </c>
      <c r="U184">
        <v>-4.1595460000000001E-2</v>
      </c>
      <c r="V184">
        <v>2.7458E-2</v>
      </c>
      <c r="W184">
        <v>3.980235E-2</v>
      </c>
      <c r="X184">
        <v>0.99883029999999995</v>
      </c>
      <c r="Y184">
        <v>4.628811E-2</v>
      </c>
      <c r="Z184">
        <v>-8.3875300000000002E-4</v>
      </c>
      <c r="AA184">
        <v>0.99892780000000003</v>
      </c>
      <c r="AB184">
        <v>17</v>
      </c>
      <c r="AC184">
        <v>73.406299999999902</v>
      </c>
      <c r="AD184">
        <v>-1.1091695106119901</v>
      </c>
      <c r="AE184">
        <v>-1.0217999999999801</v>
      </c>
      <c r="AF184">
        <v>3.4033139840755999</v>
      </c>
      <c r="AG184">
        <v>-1.1091695106119901</v>
      </c>
      <c r="AH184">
        <v>73.317710937247796</v>
      </c>
      <c r="AI184">
        <v>90.865787313732497</v>
      </c>
      <c r="AJ184">
        <v>87.342311239205898</v>
      </c>
      <c r="AK184">
        <v>73.405037566609195</v>
      </c>
      <c r="AL184">
        <v>87.718890916930405</v>
      </c>
      <c r="AM184">
        <v>88.425326711727706</v>
      </c>
      <c r="AN184">
        <v>1.0000000685138</v>
      </c>
    </row>
    <row r="185" spans="1:40" x14ac:dyDescent="0.25">
      <c r="A185" t="str">
        <f>"20190312153854834"</f>
        <v>20190312153854834</v>
      </c>
      <c r="B185" t="str">
        <f>"1552376334826584"</f>
        <v>1552376334826584</v>
      </c>
      <c r="C185" t="s">
        <v>40</v>
      </c>
      <c r="D185">
        <v>4.0489800000000002</v>
      </c>
      <c r="E185">
        <v>0.50809190000000004</v>
      </c>
      <c r="F185" t="s">
        <v>42</v>
      </c>
      <c r="G185">
        <v>-379.88010000000003</v>
      </c>
      <c r="H185" s="1">
        <v>-9.623080000000001E-7</v>
      </c>
      <c r="I185">
        <v>366.10059999999999</v>
      </c>
      <c r="J185">
        <v>-466.34399999999999</v>
      </c>
      <c r="K185">
        <v>1.1092</v>
      </c>
      <c r="L185">
        <v>367.46690000000001</v>
      </c>
      <c r="M185">
        <v>0.99946469999999998</v>
      </c>
      <c r="N185">
        <v>0</v>
      </c>
      <c r="O185">
        <v>3.2270260000000002E-2</v>
      </c>
      <c r="P185">
        <v>0.9994054</v>
      </c>
      <c r="Q185">
        <v>3.4308150000000003E-2</v>
      </c>
      <c r="R185">
        <v>3.4476849999999998E-3</v>
      </c>
      <c r="S185">
        <v>3.003387</v>
      </c>
      <c r="T185">
        <v>-3.8460609999999999E-2</v>
      </c>
      <c r="U185">
        <v>-4.721069E-2</v>
      </c>
      <c r="V185">
        <v>2.8818750000000001E-2</v>
      </c>
      <c r="W185">
        <v>3.9695149999999998E-2</v>
      </c>
      <c r="X185">
        <v>0.99879620000000002</v>
      </c>
      <c r="Y185">
        <v>4.796918E-2</v>
      </c>
      <c r="Z185">
        <v>-7.2028960000000003E-4</v>
      </c>
      <c r="AA185">
        <v>0.99884859999999998</v>
      </c>
      <c r="AB185">
        <v>17</v>
      </c>
      <c r="AC185">
        <v>86.463899999999896</v>
      </c>
      <c r="AD185">
        <v>-1.1092009623079999</v>
      </c>
      <c r="AE185">
        <v>-1.3663000000000201</v>
      </c>
      <c r="AF185">
        <v>4.1551576526767402</v>
      </c>
      <c r="AG185">
        <v>-1.1092009623079999</v>
      </c>
      <c r="AH185">
        <v>86.3605662172954</v>
      </c>
      <c r="AI185">
        <v>90.7350069708598</v>
      </c>
      <c r="AJ185">
        <v>87.245391596884502</v>
      </c>
      <c r="AK185">
        <v>86.467583863926905</v>
      </c>
      <c r="AL185">
        <v>87.725037810731394</v>
      </c>
      <c r="AM185">
        <v>88.3472756948251</v>
      </c>
      <c r="AN185">
        <v>1.0000000372097599</v>
      </c>
    </row>
    <row r="186" spans="1:40" x14ac:dyDescent="0.25">
      <c r="A186" t="str">
        <f>"20190312153854856"</f>
        <v>20190312153854856</v>
      </c>
      <c r="B186" t="str">
        <f>"1552376334846104"</f>
        <v>1552376334846104</v>
      </c>
      <c r="C186" t="s">
        <v>40</v>
      </c>
      <c r="D186">
        <v>4.0314439999999996</v>
      </c>
      <c r="E186">
        <v>0.50784209999999996</v>
      </c>
      <c r="F186" t="s">
        <v>42</v>
      </c>
      <c r="G186">
        <v>-375.39319999999998</v>
      </c>
      <c r="H186" s="1">
        <v>-2.6128479999999998E-6</v>
      </c>
      <c r="I186">
        <v>365.928</v>
      </c>
      <c r="J186">
        <v>-466.17680000000001</v>
      </c>
      <c r="K186">
        <v>1.1092439999999999</v>
      </c>
      <c r="L186">
        <v>367.47199999999998</v>
      </c>
      <c r="M186">
        <v>0.99947039999999998</v>
      </c>
      <c r="N186">
        <v>0</v>
      </c>
      <c r="O186">
        <v>3.2059310000000001E-2</v>
      </c>
      <c r="P186">
        <v>0.99941639999999998</v>
      </c>
      <c r="Q186">
        <v>3.4082149999999999E-2</v>
      </c>
      <c r="R186">
        <v>2.3748060000000001E-3</v>
      </c>
      <c r="S186">
        <v>3.0032350000000001</v>
      </c>
      <c r="T186">
        <v>-3.662634E-2</v>
      </c>
      <c r="U186">
        <v>-5.0811769999999999E-2</v>
      </c>
      <c r="V186">
        <v>2.968018E-2</v>
      </c>
      <c r="W186">
        <v>3.9679899999999997E-2</v>
      </c>
      <c r="X186">
        <v>0.99877150000000003</v>
      </c>
      <c r="Y186">
        <v>4.8957090000000002E-2</v>
      </c>
      <c r="Z186">
        <v>-6.8942210000000001E-4</v>
      </c>
      <c r="AA186">
        <v>0.99880060000000004</v>
      </c>
      <c r="AB186">
        <v>17</v>
      </c>
      <c r="AC186">
        <v>90.783600000000007</v>
      </c>
      <c r="AD186">
        <v>-1.1092466128479901</v>
      </c>
      <c r="AE186">
        <v>-1.5439999999999201</v>
      </c>
      <c r="AF186">
        <v>4.4530465541106903</v>
      </c>
      <c r="AG186">
        <v>-1.1092466128479901</v>
      </c>
      <c r="AH186">
        <v>90.673899420214099</v>
      </c>
      <c r="AI186">
        <v>90.700041431068897</v>
      </c>
      <c r="AJ186">
        <v>87.188430725432994</v>
      </c>
      <c r="AK186">
        <v>90.789955874690804</v>
      </c>
      <c r="AL186">
        <v>87.725912080921702</v>
      </c>
      <c r="AM186">
        <v>88.297860181441493</v>
      </c>
      <c r="AN186">
        <v>0.99999995838054501</v>
      </c>
    </row>
    <row r="187" spans="1:40" x14ac:dyDescent="0.25">
      <c r="A187" t="str">
        <f>"20190312153854878"</f>
        <v>20190312153854878</v>
      </c>
      <c r="B187" t="str">
        <f>"1552376334866600"</f>
        <v>1552376334866600</v>
      </c>
      <c r="C187" t="s">
        <v>40</v>
      </c>
      <c r="D187">
        <v>4.0510580000000003</v>
      </c>
      <c r="E187">
        <v>0.50773049999999997</v>
      </c>
      <c r="F187" t="s">
        <v>42</v>
      </c>
      <c r="G187">
        <v>-368.25060000000002</v>
      </c>
      <c r="H187" s="1">
        <v>-1.6039260000000001E-6</v>
      </c>
      <c r="I187">
        <v>365.77319999999997</v>
      </c>
      <c r="J187">
        <v>-466.01479999999998</v>
      </c>
      <c r="K187">
        <v>1.1092919999999999</v>
      </c>
      <c r="L187">
        <v>367.47699999999998</v>
      </c>
      <c r="M187">
        <v>0.99947520000000001</v>
      </c>
      <c r="N187">
        <v>0</v>
      </c>
      <c r="O187">
        <v>3.1866029999999997E-2</v>
      </c>
      <c r="P187">
        <v>0.99940830000000003</v>
      </c>
      <c r="Q187">
        <v>3.4348999999999998E-2</v>
      </c>
      <c r="R187">
        <v>1.862748E-3</v>
      </c>
      <c r="S187">
        <v>3.003082</v>
      </c>
      <c r="T187">
        <v>-3.4016970000000001E-2</v>
      </c>
      <c r="U187">
        <v>-5.2093510000000003E-2</v>
      </c>
      <c r="V187">
        <v>2.9998090000000002E-2</v>
      </c>
      <c r="W187">
        <v>4.0151119999999998E-2</v>
      </c>
      <c r="X187">
        <v>0.99874320000000005</v>
      </c>
      <c r="Y187">
        <v>4.9191840000000001E-2</v>
      </c>
      <c r="Z187">
        <v>-6.3948089999999998E-4</v>
      </c>
      <c r="AA187">
        <v>0.99878909999999999</v>
      </c>
      <c r="AB187">
        <v>17</v>
      </c>
      <c r="AC187">
        <v>97.764199999999903</v>
      </c>
      <c r="AD187">
        <v>-1.109293603926</v>
      </c>
      <c r="AE187">
        <v>-1.7038</v>
      </c>
      <c r="AF187">
        <v>4.8177243272655303</v>
      </c>
      <c r="AG187">
        <v>-1.109293603926</v>
      </c>
      <c r="AH187">
        <v>97.647686500188399</v>
      </c>
      <c r="AI187">
        <v>90.650070719528799</v>
      </c>
      <c r="AJ187">
        <v>87.175441320552594</v>
      </c>
      <c r="AK187">
        <v>97.772755299379298</v>
      </c>
      <c r="AL187">
        <v>87.698891698393197</v>
      </c>
      <c r="AM187">
        <v>88.279590421093204</v>
      </c>
      <c r="AN187">
        <v>0.99999998869357098</v>
      </c>
    </row>
    <row r="188" spans="1:40" x14ac:dyDescent="0.25">
      <c r="A188" t="str">
        <f>"20190312153854899"</f>
        <v>20190312153854899</v>
      </c>
      <c r="B188" t="str">
        <f>"1552376334895879"</f>
        <v>1552376334895879</v>
      </c>
      <c r="C188" t="s">
        <v>40</v>
      </c>
      <c r="D188">
        <v>4.0293020000000004</v>
      </c>
      <c r="E188">
        <v>0.50751780000000002</v>
      </c>
      <c r="F188" t="s">
        <v>42</v>
      </c>
      <c r="G188">
        <v>-359.13060000000002</v>
      </c>
      <c r="H188" s="1">
        <v>-1.3497040000000001E-6</v>
      </c>
      <c r="I188">
        <v>365.60320000000002</v>
      </c>
      <c r="J188">
        <v>-465.8519</v>
      </c>
      <c r="K188">
        <v>1.109335</v>
      </c>
      <c r="L188">
        <v>367.48200000000003</v>
      </c>
      <c r="M188">
        <v>0.99947989999999998</v>
      </c>
      <c r="N188">
        <v>0</v>
      </c>
      <c r="O188">
        <v>3.1683269999999999E-2</v>
      </c>
      <c r="P188">
        <v>0.99939560000000005</v>
      </c>
      <c r="Q188">
        <v>3.4703669999999999E-2</v>
      </c>
      <c r="R188">
        <v>2.08348E-3</v>
      </c>
      <c r="S188">
        <v>3.0029599999999999</v>
      </c>
      <c r="T188">
        <v>-3.1166079999999999E-2</v>
      </c>
      <c r="U188">
        <v>-5.264282E-2</v>
      </c>
      <c r="V188">
        <v>2.9593879999999999E-2</v>
      </c>
      <c r="W188">
        <v>4.0714279999999999E-2</v>
      </c>
      <c r="X188">
        <v>0.99873239999999996</v>
      </c>
      <c r="Y188">
        <v>4.9193439999999998E-2</v>
      </c>
      <c r="Z188">
        <v>-5.840261E-4</v>
      </c>
      <c r="AA188">
        <v>0.99878909999999999</v>
      </c>
      <c r="AB188">
        <v>17</v>
      </c>
      <c r="AC188">
        <v>106.7213</v>
      </c>
      <c r="AD188">
        <v>-1.1093363497040001</v>
      </c>
      <c r="AE188">
        <v>-1.8787999999999501</v>
      </c>
      <c r="AF188">
        <v>5.2586295096512901</v>
      </c>
      <c r="AG188">
        <v>-1.1093363497040001</v>
      </c>
      <c r="AH188">
        <v>106.5966778247</v>
      </c>
      <c r="AI188">
        <v>90.595523287362695</v>
      </c>
      <c r="AJ188">
        <v>87.175772996422495</v>
      </c>
      <c r="AK188">
        <v>106.732073598893</v>
      </c>
      <c r="AL188">
        <v>87.666598458808394</v>
      </c>
      <c r="AM188">
        <v>88.302740128187494</v>
      </c>
      <c r="AN188">
        <v>0.99999992856956299</v>
      </c>
    </row>
    <row r="189" spans="1:40" x14ac:dyDescent="0.25">
      <c r="A189" t="str">
        <f>"20190312153854912"</f>
        <v>20190312153854912</v>
      </c>
      <c r="B189" t="str">
        <f>"1552376334906616"</f>
        <v>1552376334906616</v>
      </c>
      <c r="C189" t="s">
        <v>40</v>
      </c>
      <c r="D189">
        <v>4.0515679999999996</v>
      </c>
      <c r="E189">
        <v>0.50749750000000005</v>
      </c>
      <c r="F189" t="s">
        <v>42</v>
      </c>
      <c r="G189">
        <v>-348.15800000000002</v>
      </c>
      <c r="H189" s="1">
        <v>-1.7871539999999901E-6</v>
      </c>
      <c r="I189">
        <v>365.49880000000002</v>
      </c>
      <c r="J189">
        <v>-465.75069999999999</v>
      </c>
      <c r="K189">
        <v>1.109367</v>
      </c>
      <c r="L189">
        <v>367.48500000000001</v>
      </c>
      <c r="M189">
        <v>0.9994826</v>
      </c>
      <c r="N189">
        <v>0</v>
      </c>
      <c r="O189">
        <v>3.1573749999999998E-2</v>
      </c>
      <c r="P189">
        <v>0.99940510000000005</v>
      </c>
      <c r="Q189">
        <v>3.4411360000000002E-2</v>
      </c>
      <c r="R189">
        <v>2.3620659999999999E-3</v>
      </c>
      <c r="S189">
        <v>3.002869</v>
      </c>
      <c r="T189">
        <v>-2.830386E-2</v>
      </c>
      <c r="U189">
        <v>-5.059814E-2</v>
      </c>
      <c r="V189">
        <v>2.920592E-2</v>
      </c>
      <c r="W189">
        <v>4.0549429999999997E-2</v>
      </c>
      <c r="X189">
        <v>0.99875060000000004</v>
      </c>
      <c r="Y189">
        <v>4.8405459999999997E-2</v>
      </c>
      <c r="Z189">
        <v>-5.2566660000000003E-4</v>
      </c>
      <c r="AA189">
        <v>0.99882760000000004</v>
      </c>
      <c r="AB189">
        <v>17</v>
      </c>
      <c r="AC189">
        <v>117.592699999999</v>
      </c>
      <c r="AD189">
        <v>-1.1093687871539999</v>
      </c>
      <c r="AE189">
        <v>-1.98619999999999</v>
      </c>
      <c r="AF189">
        <v>5.6976151201854597</v>
      </c>
      <c r="AG189">
        <v>-1.1093687871539999</v>
      </c>
      <c r="AH189">
        <v>117.460904968101</v>
      </c>
      <c r="AI189">
        <v>90.540482988485806</v>
      </c>
      <c r="AJ189">
        <v>87.2229600245185</v>
      </c>
      <c r="AK189">
        <v>117.604241900915</v>
      </c>
      <c r="AL189">
        <v>87.676051644810897</v>
      </c>
      <c r="AM189">
        <v>88.325008047435503</v>
      </c>
      <c r="AN189">
        <v>1.0000000015183601</v>
      </c>
    </row>
    <row r="190" spans="1:40" x14ac:dyDescent="0.25">
      <c r="A190" t="str">
        <f>"20190312153854925"</f>
        <v>20190312153854925</v>
      </c>
      <c r="B190" t="str">
        <f>"1552376334916376"</f>
        <v>1552376334916376</v>
      </c>
      <c r="C190" t="s">
        <v>40</v>
      </c>
      <c r="D190">
        <v>4.0449010000000003</v>
      </c>
      <c r="E190">
        <v>0.50742330000000002</v>
      </c>
      <c r="F190" t="s">
        <v>42</v>
      </c>
      <c r="G190">
        <v>-347.1678</v>
      </c>
      <c r="H190" s="1">
        <v>-2.159007E-6</v>
      </c>
      <c r="I190">
        <v>365.53030000000001</v>
      </c>
      <c r="J190">
        <v>-465.64870000000002</v>
      </c>
      <c r="K190">
        <v>1.1093919999999999</v>
      </c>
      <c r="L190">
        <v>367.48809999999997</v>
      </c>
      <c r="M190">
        <v>0.99948530000000002</v>
      </c>
      <c r="N190">
        <v>0</v>
      </c>
      <c r="O190">
        <v>3.1465E-2</v>
      </c>
      <c r="P190">
        <v>0.99940560000000001</v>
      </c>
      <c r="Q190">
        <v>3.4367479999999999E-2</v>
      </c>
      <c r="R190">
        <v>2.7351950000000002E-3</v>
      </c>
      <c r="S190">
        <v>3.002869</v>
      </c>
      <c r="T190">
        <v>-2.8092499999999999E-2</v>
      </c>
      <c r="U190">
        <v>-4.9499509999999997E-2</v>
      </c>
      <c r="V190">
        <v>2.8723930000000002E-2</v>
      </c>
      <c r="W190">
        <v>4.0630909999999999E-2</v>
      </c>
      <c r="X190">
        <v>0.99876120000000002</v>
      </c>
      <c r="Y190">
        <v>4.7931550000000003E-2</v>
      </c>
      <c r="Z190">
        <v>-5.1850919999999997E-4</v>
      </c>
      <c r="AA190">
        <v>0.99885049999999997</v>
      </c>
      <c r="AB190">
        <v>17</v>
      </c>
      <c r="AC190">
        <v>118.48090000000001</v>
      </c>
      <c r="AD190">
        <v>-1.109394159007</v>
      </c>
      <c r="AE190">
        <v>-1.95779999999996</v>
      </c>
      <c r="AF190">
        <v>5.6844067046552302</v>
      </c>
      <c r="AG190">
        <v>-1.109394159007</v>
      </c>
      <c r="AH190">
        <v>118.35025550821</v>
      </c>
      <c r="AI190">
        <v>90.5364462989602</v>
      </c>
      <c r="AJ190">
        <v>87.250175680489306</v>
      </c>
      <c r="AK190">
        <v>118.491882480795</v>
      </c>
      <c r="AL190">
        <v>87.6713791787395</v>
      </c>
      <c r="AM190">
        <v>88.352652823924302</v>
      </c>
      <c r="AN190">
        <v>0.99999993481375404</v>
      </c>
    </row>
    <row r="191" spans="1:40" x14ac:dyDescent="0.25">
      <c r="A191" t="str">
        <f>"20190312153854944"</f>
        <v>20190312153854944</v>
      </c>
      <c r="B191" t="str">
        <f>"1552376334935896"</f>
        <v>1552376334935896</v>
      </c>
      <c r="C191" t="s">
        <v>40</v>
      </c>
      <c r="D191">
        <v>4.0216560000000001</v>
      </c>
      <c r="E191">
        <v>0.50736979999999998</v>
      </c>
      <c r="F191" t="s">
        <v>42</v>
      </c>
      <c r="G191">
        <v>-346.20650000000001</v>
      </c>
      <c r="H191" s="1">
        <v>-2.5123789999999999E-6</v>
      </c>
      <c r="I191">
        <v>365.58960000000002</v>
      </c>
      <c r="J191">
        <v>-465.50380000000001</v>
      </c>
      <c r="K191">
        <v>1.1094299999999999</v>
      </c>
      <c r="L191">
        <v>367.49250000000001</v>
      </c>
      <c r="M191">
        <v>0.99948879999999996</v>
      </c>
      <c r="N191">
        <v>0</v>
      </c>
      <c r="O191">
        <v>3.1312079999999999E-2</v>
      </c>
      <c r="P191">
        <v>0.99938769999999999</v>
      </c>
      <c r="Q191">
        <v>3.4808459999999999E-2</v>
      </c>
      <c r="R191">
        <v>3.5746290000000002E-3</v>
      </c>
      <c r="S191">
        <v>3.002869</v>
      </c>
      <c r="T191">
        <v>-2.7891039999999999E-2</v>
      </c>
      <c r="U191">
        <v>-4.7729489999999999E-2</v>
      </c>
      <c r="V191">
        <v>2.7731289999999999E-2</v>
      </c>
      <c r="W191">
        <v>4.1249319999999999E-2</v>
      </c>
      <c r="X191">
        <v>0.99876399999999999</v>
      </c>
      <c r="Y191">
        <v>4.719023E-2</v>
      </c>
      <c r="Z191">
        <v>-5.0993049999999997E-4</v>
      </c>
      <c r="AA191">
        <v>0.99888580000000005</v>
      </c>
      <c r="AB191">
        <v>17</v>
      </c>
      <c r="AC191">
        <v>119.29730000000001</v>
      </c>
      <c r="AD191">
        <v>-1.1094325123790001</v>
      </c>
      <c r="AE191">
        <v>-1.9028999999999801</v>
      </c>
      <c r="AF191">
        <v>5.6370039681679298</v>
      </c>
      <c r="AG191">
        <v>-1.1094325123790001</v>
      </c>
      <c r="AH191">
        <v>119.168912222077</v>
      </c>
      <c r="AI191">
        <v>90.532798133743896</v>
      </c>
      <c r="AJ191">
        <v>87.291777172317694</v>
      </c>
      <c r="AK191">
        <v>119.307318696004</v>
      </c>
      <c r="AL191">
        <v>87.635917384996802</v>
      </c>
      <c r="AM191">
        <v>88.409556451628703</v>
      </c>
      <c r="AN191">
        <v>1.00000002927076</v>
      </c>
    </row>
    <row r="192" spans="1:40" x14ac:dyDescent="0.25">
      <c r="A192" t="str">
        <f>"20190312153854958"</f>
        <v>20190312153854958</v>
      </c>
      <c r="B192" t="str">
        <f>"1552376334946632"</f>
        <v>1552376334946632</v>
      </c>
      <c r="C192" t="s">
        <v>40</v>
      </c>
      <c r="D192">
        <v>4.0372919999999999</v>
      </c>
      <c r="E192">
        <v>0.50736979999999998</v>
      </c>
      <c r="F192" t="s">
        <v>42</v>
      </c>
      <c r="G192">
        <v>-338.04739999999998</v>
      </c>
      <c r="H192" s="1">
        <v>-1.722314E-6</v>
      </c>
      <c r="I192">
        <v>365.5883</v>
      </c>
      <c r="J192">
        <v>-465.40410000000003</v>
      </c>
      <c r="K192">
        <v>1.1094550000000001</v>
      </c>
      <c r="L192">
        <v>367.49549999999999</v>
      </c>
      <c r="M192">
        <v>0.99949129999999997</v>
      </c>
      <c r="N192">
        <v>0</v>
      </c>
      <c r="O192">
        <v>3.1207660000000002E-2</v>
      </c>
      <c r="P192">
        <v>0.99937730000000002</v>
      </c>
      <c r="Q192">
        <v>3.5070650000000002E-2</v>
      </c>
      <c r="R192">
        <v>3.903625E-3</v>
      </c>
      <c r="S192">
        <v>3.0028990000000002</v>
      </c>
      <c r="T192">
        <v>-2.6138419999999999E-2</v>
      </c>
      <c r="U192">
        <v>-4.4860839999999999E-2</v>
      </c>
      <c r="V192">
        <v>2.7297660000000001E-2</v>
      </c>
      <c r="W192">
        <v>4.1635220000000001E-2</v>
      </c>
      <c r="X192">
        <v>0.99875990000000003</v>
      </c>
      <c r="Y192">
        <v>4.613217E-2</v>
      </c>
      <c r="Z192">
        <v>-4.7237359999999999E-4</v>
      </c>
      <c r="AA192">
        <v>0.99893520000000002</v>
      </c>
      <c r="AB192">
        <v>17</v>
      </c>
      <c r="AC192">
        <v>127.3567</v>
      </c>
      <c r="AD192">
        <v>-1.1094567223139999</v>
      </c>
      <c r="AE192">
        <v>-1.90719999999998</v>
      </c>
      <c r="AF192">
        <v>5.8804153387820497</v>
      </c>
      <c r="AG192">
        <v>-1.1094567223139999</v>
      </c>
      <c r="AH192">
        <v>127.225491368191</v>
      </c>
      <c r="AI192">
        <v>90.499096442086</v>
      </c>
      <c r="AJ192">
        <v>87.353648563224198</v>
      </c>
      <c r="AK192">
        <v>127.36614869208</v>
      </c>
      <c r="AL192">
        <v>87.6137878529087</v>
      </c>
      <c r="AM192">
        <v>88.434407078521801</v>
      </c>
      <c r="AN192">
        <v>0.99999999581696697</v>
      </c>
    </row>
    <row r="193" spans="1:40" x14ac:dyDescent="0.25">
      <c r="A193" t="str">
        <f>"20190312153854970"</f>
        <v>20190312153854970</v>
      </c>
      <c r="B193" t="str">
        <f>"1552376334966151"</f>
        <v>1552376334966151</v>
      </c>
      <c r="C193" t="s">
        <v>40</v>
      </c>
      <c r="D193">
        <v>3.9600209999999998</v>
      </c>
      <c r="E193">
        <v>0.53154840000000003</v>
      </c>
      <c r="F193" t="s">
        <v>42</v>
      </c>
      <c r="G193">
        <v>-334.01679999999999</v>
      </c>
      <c r="H193" s="1">
        <v>-3.2649790000000001E-6</v>
      </c>
      <c r="I193">
        <v>365.58069999999998</v>
      </c>
      <c r="J193">
        <v>-465.30720000000002</v>
      </c>
      <c r="K193">
        <v>1.1094790000000001</v>
      </c>
      <c r="L193">
        <v>367.4984</v>
      </c>
      <c r="M193">
        <v>0.99949350000000003</v>
      </c>
      <c r="N193">
        <v>0</v>
      </c>
      <c r="O193">
        <v>3.110715E-2</v>
      </c>
      <c r="P193">
        <v>0.99937180000000003</v>
      </c>
      <c r="Q193">
        <v>3.5203100000000001E-2</v>
      </c>
      <c r="R193">
        <v>4.1070560000000004E-3</v>
      </c>
      <c r="S193">
        <v>3.0028990000000002</v>
      </c>
      <c r="T193">
        <v>-2.5357009999999999E-2</v>
      </c>
      <c r="U193">
        <v>-4.3762210000000003E-2</v>
      </c>
      <c r="V193">
        <v>2.6993659999999999E-2</v>
      </c>
      <c r="W193">
        <v>4.1891539999999998E-2</v>
      </c>
      <c r="X193">
        <v>0.99875740000000002</v>
      </c>
      <c r="Y193">
        <v>4.5666539999999999E-2</v>
      </c>
      <c r="Z193">
        <v>-4.5543919999999999E-4</v>
      </c>
      <c r="AA193">
        <v>0.99895659999999997</v>
      </c>
      <c r="AB193">
        <v>17</v>
      </c>
      <c r="AC193">
        <v>131.29040000000001</v>
      </c>
      <c r="AD193">
        <v>-1.1094822649789999</v>
      </c>
      <c r="AE193">
        <v>-1.9177000000000199</v>
      </c>
      <c r="AF193">
        <v>6.0005057196722698</v>
      </c>
      <c r="AG193">
        <v>-1.1094822649789999</v>
      </c>
      <c r="AH193">
        <v>131.15784001881201</v>
      </c>
      <c r="AI193">
        <v>90.484154943986198</v>
      </c>
      <c r="AJ193">
        <v>87.380529572981203</v>
      </c>
      <c r="AK193">
        <v>131.29971827155001</v>
      </c>
      <c r="AL193">
        <v>87.599088867629703</v>
      </c>
      <c r="AM193">
        <v>88.451829875399795</v>
      </c>
      <c r="AN193">
        <v>0.99999995142926201</v>
      </c>
    </row>
    <row r="194" spans="1:40" x14ac:dyDescent="0.25">
      <c r="A194" t="str">
        <f>"20190312153854989"</f>
        <v>20190312153854989</v>
      </c>
      <c r="B194" t="str">
        <f>"1552376334986648"</f>
        <v>1552376334986648</v>
      </c>
      <c r="C194" t="s">
        <v>40</v>
      </c>
      <c r="D194">
        <v>3.9305439999999998</v>
      </c>
      <c r="E194">
        <v>0.540558599999999</v>
      </c>
      <c r="F194" t="s">
        <v>42</v>
      </c>
      <c r="G194">
        <v>-347.7824</v>
      </c>
      <c r="H194">
        <v>7.9985970000000003E-2</v>
      </c>
      <c r="I194">
        <v>358.26400000000001</v>
      </c>
      <c r="J194">
        <v>-465.16180000000003</v>
      </c>
      <c r="K194">
        <v>1.109521</v>
      </c>
      <c r="L194">
        <v>367.5027</v>
      </c>
      <c r="M194">
        <v>0.99949710000000003</v>
      </c>
      <c r="N194">
        <v>0</v>
      </c>
      <c r="O194">
        <v>3.095782E-2</v>
      </c>
      <c r="P194">
        <v>0.99936190000000003</v>
      </c>
      <c r="Q194">
        <v>3.5436620000000002E-2</v>
      </c>
      <c r="R194">
        <v>4.4816079999999998E-3</v>
      </c>
      <c r="S194">
        <v>3.0038149999999999</v>
      </c>
      <c r="T194">
        <v>-2.6312829999999999E-2</v>
      </c>
      <c r="U194">
        <v>-0.23602290000000001</v>
      </c>
      <c r="V194">
        <v>2.6469800000000002E-2</v>
      </c>
      <c r="W194">
        <v>4.231555E-2</v>
      </c>
      <c r="X194">
        <v>0.99875360000000002</v>
      </c>
      <c r="Y194">
        <v>0.1091535</v>
      </c>
      <c r="Z194">
        <v>-7.4815519999999998E-4</v>
      </c>
      <c r="AA194">
        <v>0.99402460000000004</v>
      </c>
      <c r="AB194">
        <v>17</v>
      </c>
      <c r="AC194">
        <v>117.3794</v>
      </c>
      <c r="AD194">
        <v>-1.0295350299999999</v>
      </c>
      <c r="AE194">
        <v>-9.2386999999999908</v>
      </c>
      <c r="AF194">
        <v>12.8671838484553</v>
      </c>
      <c r="AG194">
        <v>-1.0295350299999999</v>
      </c>
      <c r="AH194">
        <v>117.028172079199</v>
      </c>
      <c r="AI194">
        <v>90.501017553658897</v>
      </c>
      <c r="AJ194">
        <v>83.725562865864205</v>
      </c>
      <c r="AK194">
        <v>117.73791837282801</v>
      </c>
      <c r="AL194">
        <v>87.574773450554602</v>
      </c>
      <c r="AM194">
        <v>88.481854898344594</v>
      </c>
      <c r="AN194">
        <v>1.0000000047983999</v>
      </c>
    </row>
    <row r="195" spans="1:40" x14ac:dyDescent="0.25">
      <c r="A195" t="str">
        <f>"20190312153855004"</f>
        <v>20190312153855004</v>
      </c>
      <c r="B195" t="str">
        <f>"1552376334996408"</f>
        <v>1552376334996408</v>
      </c>
      <c r="C195" t="s">
        <v>40</v>
      </c>
      <c r="D195">
        <v>3.9610720000000001</v>
      </c>
      <c r="E195">
        <v>0.54298369999999996</v>
      </c>
      <c r="F195" t="s">
        <v>44</v>
      </c>
      <c r="G195">
        <v>-279.5326</v>
      </c>
      <c r="H195">
        <v>0.68565339999999997</v>
      </c>
      <c r="I195">
        <v>348.51170000000002</v>
      </c>
      <c r="J195">
        <v>-465.05160000000001</v>
      </c>
      <c r="K195">
        <v>1.1095469999999901</v>
      </c>
      <c r="L195">
        <v>367.50599999999997</v>
      </c>
      <c r="M195">
        <v>0.99949929999999998</v>
      </c>
      <c r="N195">
        <v>0</v>
      </c>
      <c r="O195">
        <v>3.084653E-2</v>
      </c>
      <c r="P195">
        <v>0.99936820000000004</v>
      </c>
      <c r="Q195">
        <v>3.5258680000000001E-2</v>
      </c>
      <c r="R195">
        <v>4.4539790000000003E-3</v>
      </c>
      <c r="S195">
        <v>3.0035400000000001</v>
      </c>
      <c r="T195">
        <v>-6.8570380000000002E-3</v>
      </c>
      <c r="U195">
        <v>-0.30728149999999999</v>
      </c>
      <c r="V195">
        <v>2.6386400000000001E-2</v>
      </c>
      <c r="W195">
        <v>4.2286490000000003E-2</v>
      </c>
      <c r="X195">
        <v>0.99875700000000001</v>
      </c>
      <c r="Y195">
        <v>0.13241349999999999</v>
      </c>
      <c r="Z195">
        <v>-2.2101520000000001E-4</v>
      </c>
      <c r="AA195">
        <v>0.99119449999999998</v>
      </c>
      <c r="AB195">
        <v>17</v>
      </c>
      <c r="AC195">
        <v>185.51900000000001</v>
      </c>
      <c r="AD195">
        <v>-0.42389359999999898</v>
      </c>
      <c r="AE195">
        <v>-18.9942999999999</v>
      </c>
      <c r="AF195">
        <v>24.707892567933399</v>
      </c>
      <c r="AG195">
        <v>-0.42389359999999898</v>
      </c>
      <c r="AH195">
        <v>184.84383535719601</v>
      </c>
      <c r="AI195">
        <v>90.130235136440206</v>
      </c>
      <c r="AJ195">
        <v>82.386460524104805</v>
      </c>
      <c r="AK195">
        <v>186.488345776595</v>
      </c>
      <c r="AL195">
        <v>87.576439866383097</v>
      </c>
      <c r="AM195">
        <v>88.4866411314527</v>
      </c>
      <c r="AN195">
        <v>0.99999996719523898</v>
      </c>
    </row>
    <row r="196" spans="1:40" x14ac:dyDescent="0.25">
      <c r="A196" t="str">
        <f>"20190312153855024"</f>
        <v>20190312153855024</v>
      </c>
      <c r="B196" t="str">
        <f>"1552376335015928"</f>
        <v>1552376335015928</v>
      </c>
      <c r="C196" t="s">
        <v>40</v>
      </c>
      <c r="D196">
        <v>3.9146830000000001</v>
      </c>
      <c r="E196">
        <v>0.54574480000000003</v>
      </c>
      <c r="F196" t="s">
        <v>45</v>
      </c>
      <c r="G196">
        <v>-282.98149999999998</v>
      </c>
      <c r="H196">
        <v>0.92218009999999995</v>
      </c>
      <c r="I196">
        <v>347.68369999999999</v>
      </c>
      <c r="J196">
        <v>-464.89449999999999</v>
      </c>
      <c r="K196">
        <v>1.109585</v>
      </c>
      <c r="L196">
        <v>367.51069999999999</v>
      </c>
      <c r="M196">
        <v>0.99950249999999996</v>
      </c>
      <c r="N196">
        <v>0</v>
      </c>
      <c r="O196">
        <v>3.069055E-2</v>
      </c>
      <c r="P196">
        <v>0.99938899999999997</v>
      </c>
      <c r="Q196">
        <v>3.4640280000000002E-2</v>
      </c>
      <c r="R196">
        <v>4.6662880000000002E-3</v>
      </c>
      <c r="S196">
        <v>3.003479</v>
      </c>
      <c r="T196">
        <v>-3.0908580000000001E-3</v>
      </c>
      <c r="U196">
        <v>-0.3269958</v>
      </c>
      <c r="V196">
        <v>2.6018590000000001E-2</v>
      </c>
      <c r="W196">
        <v>4.1888679999999998E-2</v>
      </c>
      <c r="X196">
        <v>0.99878350000000005</v>
      </c>
      <c r="Y196">
        <v>0.13869279999999901</v>
      </c>
      <c r="Z196">
        <v>-1.026543E-4</v>
      </c>
      <c r="AA196">
        <v>0.99033550000000004</v>
      </c>
      <c r="AB196">
        <v>17</v>
      </c>
      <c r="AC196">
        <v>181.91299999999899</v>
      </c>
      <c r="AD196">
        <v>-0.18740490000000001</v>
      </c>
      <c r="AE196">
        <v>-19.827000000000002</v>
      </c>
      <c r="AF196">
        <v>25.4007905804147</v>
      </c>
      <c r="AG196">
        <v>-0.18740490000000001</v>
      </c>
      <c r="AH196">
        <v>181.21859478212301</v>
      </c>
      <c r="AI196">
        <v>90.058678068736199</v>
      </c>
      <c r="AJ196">
        <v>82.021028987347805</v>
      </c>
      <c r="AK196">
        <v>182.990202955005</v>
      </c>
      <c r="AL196">
        <v>87.599253124414005</v>
      </c>
      <c r="AM196">
        <v>88.507766382050306</v>
      </c>
      <c r="AN196">
        <v>1.0000000542049801</v>
      </c>
    </row>
    <row r="197" spans="1:40" x14ac:dyDescent="0.25">
      <c r="A197" t="str">
        <f>"20190312153855045"</f>
        <v>20190312153855045</v>
      </c>
      <c r="B197" t="str">
        <f>"1552376335036424"</f>
        <v>1552376335036424</v>
      </c>
      <c r="C197" t="s">
        <v>40</v>
      </c>
      <c r="D197">
        <v>3.8970919999999998</v>
      </c>
      <c r="E197">
        <v>0.54704640000000004</v>
      </c>
      <c r="F197" t="s">
        <v>45</v>
      </c>
      <c r="G197">
        <v>-282.32900000000001</v>
      </c>
      <c r="H197">
        <v>0.9660841</v>
      </c>
      <c r="I197">
        <v>346.3399</v>
      </c>
      <c r="J197">
        <v>-464.73099999999999</v>
      </c>
      <c r="K197">
        <v>1.1096269999999999</v>
      </c>
      <c r="L197">
        <v>367.51549999999997</v>
      </c>
      <c r="M197">
        <v>0.99950570000000005</v>
      </c>
      <c r="N197">
        <v>0</v>
      </c>
      <c r="O197">
        <v>3.0531800000000001E-2</v>
      </c>
      <c r="P197">
        <v>0.99941610000000003</v>
      </c>
      <c r="Q197">
        <v>3.3848419999999997E-2</v>
      </c>
      <c r="R197">
        <v>4.705903E-3</v>
      </c>
      <c r="S197">
        <v>3.0035099999999999</v>
      </c>
      <c r="T197">
        <v>-2.3608209999999999E-3</v>
      </c>
      <c r="U197">
        <v>-0.34829710000000003</v>
      </c>
      <c r="V197">
        <v>2.5820829999999999E-2</v>
      </c>
      <c r="W197">
        <v>4.1337930000000002E-2</v>
      </c>
      <c r="X197">
        <v>0.99881149999999996</v>
      </c>
      <c r="Y197">
        <v>0.14546709999999999</v>
      </c>
      <c r="Z197" s="1">
        <v>-8.0906070000000006E-5</v>
      </c>
      <c r="AA197">
        <v>0.98936310000000005</v>
      </c>
      <c r="AB197">
        <v>17</v>
      </c>
      <c r="AC197">
        <v>182.40199999999999</v>
      </c>
      <c r="AD197">
        <v>-0.1435429</v>
      </c>
      <c r="AE197">
        <v>-21.1755999999999</v>
      </c>
      <c r="AF197">
        <v>26.734928740355901</v>
      </c>
      <c r="AG197">
        <v>-0.1435429</v>
      </c>
      <c r="AH197">
        <v>181.67030031217899</v>
      </c>
      <c r="AI197">
        <v>90.0447886378264</v>
      </c>
      <c r="AJ197">
        <v>81.628338636156798</v>
      </c>
      <c r="AK197">
        <v>183.62699974359299</v>
      </c>
      <c r="AL197">
        <v>87.630835946056493</v>
      </c>
      <c r="AM197">
        <v>88.519144856950007</v>
      </c>
      <c r="AN197">
        <v>0.99999997612541103</v>
      </c>
    </row>
    <row r="198" spans="1:40" x14ac:dyDescent="0.25">
      <c r="A198" t="str">
        <f>"20190312153855059"</f>
        <v>20190312153855059</v>
      </c>
      <c r="B198" t="str">
        <f>"1552376335055943"</f>
        <v>1552376335055943</v>
      </c>
      <c r="C198" t="s">
        <v>40</v>
      </c>
      <c r="D198">
        <v>3.9072939999999998</v>
      </c>
      <c r="E198">
        <v>0.54795150000000004</v>
      </c>
      <c r="F198" t="s">
        <v>45</v>
      </c>
      <c r="G198">
        <v>-282.32900000000001</v>
      </c>
      <c r="H198">
        <v>1.1195139999999999</v>
      </c>
      <c r="I198">
        <v>345.73520000000002</v>
      </c>
      <c r="J198">
        <v>-464.61779999999999</v>
      </c>
      <c r="K198">
        <v>1.1096569999999999</v>
      </c>
      <c r="L198">
        <v>367.51889999999997</v>
      </c>
      <c r="M198">
        <v>0.99950779999999995</v>
      </c>
      <c r="N198">
        <v>0</v>
      </c>
      <c r="O198">
        <v>3.04239E-2</v>
      </c>
      <c r="P198">
        <v>0.99942560000000003</v>
      </c>
      <c r="Q198">
        <v>3.36073E-2</v>
      </c>
      <c r="R198">
        <v>4.4004930000000001E-3</v>
      </c>
      <c r="S198">
        <v>3.003479</v>
      </c>
      <c r="T198">
        <v>1.6295909999999999E-4</v>
      </c>
      <c r="U198">
        <v>-0.35864259999999998</v>
      </c>
      <c r="V198">
        <v>2.6018369999999999E-2</v>
      </c>
      <c r="W198">
        <v>4.1267900000000003E-2</v>
      </c>
      <c r="X198">
        <v>0.99880930000000001</v>
      </c>
      <c r="Y198">
        <v>0.1487221</v>
      </c>
      <c r="Z198" s="1">
        <v>5.6657730000000003E-6</v>
      </c>
      <c r="AA198">
        <v>0.98887899999999995</v>
      </c>
      <c r="AB198">
        <v>17</v>
      </c>
      <c r="AC198">
        <v>182.28880000000001</v>
      </c>
      <c r="AD198">
        <v>9.8569999999999994E-3</v>
      </c>
      <c r="AE198">
        <v>-21.7836999999999</v>
      </c>
      <c r="AF198">
        <v>27.3197139214512</v>
      </c>
      <c r="AG198">
        <v>9.8569999999999994E-3</v>
      </c>
      <c r="AH198">
        <v>181.54164598807401</v>
      </c>
      <c r="AI198">
        <v>89.996923702260105</v>
      </c>
      <c r="AJ198">
        <v>81.441929943209502</v>
      </c>
      <c r="AK198">
        <v>183.58577312517801</v>
      </c>
      <c r="AL198">
        <v>87.634851868216003</v>
      </c>
      <c r="AM198">
        <v>88.507817521686604</v>
      </c>
      <c r="AN198">
        <v>1.0000000064571699</v>
      </c>
    </row>
    <row r="199" spans="1:40" x14ac:dyDescent="0.25">
      <c r="A199" t="str">
        <f>"20190312153855078"</f>
        <v>20190312153855078</v>
      </c>
      <c r="B199" t="str">
        <f>"1552376335066681"</f>
        <v>1552376335066681</v>
      </c>
      <c r="C199" t="s">
        <v>40</v>
      </c>
      <c r="D199">
        <v>3.9095930000000001</v>
      </c>
      <c r="E199">
        <v>0.54837060000000004</v>
      </c>
      <c r="F199" t="s">
        <v>45</v>
      </c>
      <c r="G199">
        <v>-282.32900000000001</v>
      </c>
      <c r="H199">
        <v>1.157629</v>
      </c>
      <c r="I199">
        <v>345.22859999999997</v>
      </c>
      <c r="J199">
        <v>-464.47469999999998</v>
      </c>
      <c r="K199">
        <v>1.109691</v>
      </c>
      <c r="L199">
        <v>367.5231</v>
      </c>
      <c r="M199">
        <v>0.99950989999999995</v>
      </c>
      <c r="N199">
        <v>0</v>
      </c>
      <c r="O199">
        <v>3.0290899999999999E-2</v>
      </c>
      <c r="P199">
        <v>0.9994421</v>
      </c>
      <c r="Q199">
        <v>3.3136199999999998E-2</v>
      </c>
      <c r="R199">
        <v>4.2107869999999997E-3</v>
      </c>
      <c r="S199">
        <v>3.0033259999999999</v>
      </c>
      <c r="T199">
        <v>7.9035759999999998E-4</v>
      </c>
      <c r="U199">
        <v>-0.36724849999999998</v>
      </c>
      <c r="V199">
        <v>2.6075069999999999E-2</v>
      </c>
      <c r="W199">
        <v>4.1015389999999999E-2</v>
      </c>
      <c r="X199">
        <v>0.99881819999999999</v>
      </c>
      <c r="Y199">
        <v>0.15138869999999999</v>
      </c>
      <c r="Z199" s="1">
        <v>2.7790669999999999E-5</v>
      </c>
      <c r="AA199">
        <v>0.98847430000000003</v>
      </c>
      <c r="AB199">
        <v>17</v>
      </c>
      <c r="AC199">
        <v>182.14570000000001</v>
      </c>
      <c r="AD199">
        <v>4.7938000000000001E-2</v>
      </c>
      <c r="AE199">
        <v>-22.294499999999999</v>
      </c>
      <c r="AF199">
        <v>27.8017964764373</v>
      </c>
      <c r="AG199">
        <v>4.7938000000000001E-2</v>
      </c>
      <c r="AH199">
        <v>181.38675882026101</v>
      </c>
      <c r="AI199">
        <v>89.985032317584796</v>
      </c>
      <c r="AJ199">
        <v>81.285888471140495</v>
      </c>
      <c r="AK199">
        <v>183.50503660850401</v>
      </c>
      <c r="AL199">
        <v>87.649331832677504</v>
      </c>
      <c r="AM199">
        <v>88.504580507623999</v>
      </c>
      <c r="AN199">
        <v>0.99999998407179802</v>
      </c>
    </row>
    <row r="200" spans="1:40" x14ac:dyDescent="0.25">
      <c r="A200" t="str">
        <f>"20190312153855091"</f>
        <v>20190312153855091</v>
      </c>
      <c r="B200" t="str">
        <f>"1552376335086200"</f>
        <v>1552376335086200</v>
      </c>
      <c r="C200" t="s">
        <v>40</v>
      </c>
      <c r="D200">
        <v>3.953119</v>
      </c>
      <c r="E200">
        <v>0.54881679999999999</v>
      </c>
      <c r="F200" t="s">
        <v>45</v>
      </c>
      <c r="G200">
        <v>-282.32900000000001</v>
      </c>
      <c r="H200">
        <v>1.1120110000000001</v>
      </c>
      <c r="I200">
        <v>345.04390000000001</v>
      </c>
      <c r="J200">
        <v>-464.37240000000003</v>
      </c>
      <c r="K200">
        <v>1.1097129999999999</v>
      </c>
      <c r="L200">
        <v>367.52609999999999</v>
      </c>
      <c r="M200">
        <v>0.99951159999999994</v>
      </c>
      <c r="N200">
        <v>0</v>
      </c>
      <c r="O200">
        <v>3.020012E-2</v>
      </c>
      <c r="P200">
        <v>0.99943760000000004</v>
      </c>
      <c r="Q200">
        <v>3.3303779999999998E-2</v>
      </c>
      <c r="R200">
        <v>3.9962080000000002E-3</v>
      </c>
      <c r="S200">
        <v>3.0032040000000002</v>
      </c>
      <c r="T200" s="1">
        <v>3.8266180000000002E-5</v>
      </c>
      <c r="U200">
        <v>-0.37063600000000002</v>
      </c>
      <c r="V200">
        <v>2.6198340000000001E-2</v>
      </c>
      <c r="W200">
        <v>4.1335549999999999E-2</v>
      </c>
      <c r="X200">
        <v>0.99880179999999996</v>
      </c>
      <c r="Y200">
        <v>0.15240209999999901</v>
      </c>
      <c r="Z200" s="1">
        <v>1.3507639999999999E-6</v>
      </c>
      <c r="AA200">
        <v>0.98831860000000005</v>
      </c>
      <c r="AB200">
        <v>17</v>
      </c>
      <c r="AC200">
        <v>182.04339999999999</v>
      </c>
      <c r="AD200">
        <v>2.2980000000001298E-3</v>
      </c>
      <c r="AE200">
        <v>-22.482199999999899</v>
      </c>
      <c r="AF200">
        <v>27.969854455526001</v>
      </c>
      <c r="AG200">
        <v>2.2980000000001298E-3</v>
      </c>
      <c r="AH200">
        <v>181.28137254438201</v>
      </c>
      <c r="AI200">
        <v>89.999282187883693</v>
      </c>
      <c r="AJ200">
        <v>81.229011850260505</v>
      </c>
      <c r="AK200">
        <v>183.42641247955299</v>
      </c>
      <c r="AL200">
        <v>87.630972502692799</v>
      </c>
      <c r="AM200">
        <v>88.497489479779603</v>
      </c>
      <c r="AN200">
        <v>1.0000000081978899</v>
      </c>
    </row>
    <row r="201" spans="1:40" x14ac:dyDescent="0.25">
      <c r="A201" t="str">
        <f>"20190312153855102"</f>
        <v>20190312153855102</v>
      </c>
      <c r="B201" t="str">
        <f>"1552376335095960"</f>
        <v>1552376335095960</v>
      </c>
      <c r="C201" t="s">
        <v>40</v>
      </c>
      <c r="D201">
        <v>3.9373019999999999</v>
      </c>
      <c r="E201">
        <v>0.54899129999999996</v>
      </c>
      <c r="F201" t="s">
        <v>45</v>
      </c>
      <c r="G201">
        <v>-282.32900000000001</v>
      </c>
      <c r="H201">
        <v>1.172582</v>
      </c>
      <c r="I201">
        <v>344.79059999999998</v>
      </c>
      <c r="J201">
        <v>-464.27969999999999</v>
      </c>
      <c r="K201">
        <v>1.109734</v>
      </c>
      <c r="L201">
        <v>367.52879999999999</v>
      </c>
      <c r="M201">
        <v>0.99951279999999998</v>
      </c>
      <c r="N201">
        <v>0</v>
      </c>
      <c r="O201">
        <v>3.0120729999999998E-2</v>
      </c>
      <c r="P201">
        <v>0.99943760000000004</v>
      </c>
      <c r="Q201">
        <v>3.3330020000000002E-2</v>
      </c>
      <c r="R201">
        <v>3.697662E-3</v>
      </c>
      <c r="S201">
        <v>3.0031129999999999</v>
      </c>
      <c r="T201">
        <v>1.037121E-3</v>
      </c>
      <c r="U201">
        <v>-0.37506099999999998</v>
      </c>
      <c r="V201">
        <v>2.641713E-2</v>
      </c>
      <c r="W201">
        <v>4.1494669999999997E-2</v>
      </c>
      <c r="X201">
        <v>0.99878940000000005</v>
      </c>
      <c r="Y201">
        <v>0.15376129999999999</v>
      </c>
      <c r="Z201" s="1">
        <v>3.6813829999999999E-5</v>
      </c>
      <c r="AA201">
        <v>0.98810799999999999</v>
      </c>
      <c r="AB201">
        <v>17</v>
      </c>
      <c r="AC201">
        <v>181.95070000000001</v>
      </c>
      <c r="AD201">
        <v>6.2848000000000001E-2</v>
      </c>
      <c r="AE201">
        <v>-22.738199999999999</v>
      </c>
      <c r="AF201">
        <v>28.208550195160999</v>
      </c>
      <c r="AG201">
        <v>6.2848000000000001E-2</v>
      </c>
      <c r="AH201">
        <v>181.18320221774499</v>
      </c>
      <c r="AI201">
        <v>89.980362085626794</v>
      </c>
      <c r="AJ201">
        <v>81.1506220515883</v>
      </c>
      <c r="AK201">
        <v>183.365970179475</v>
      </c>
      <c r="AL201">
        <v>87.621847676206798</v>
      </c>
      <c r="AM201">
        <v>88.484928598401297</v>
      </c>
      <c r="AN201">
        <v>0.99999996897410204</v>
      </c>
    </row>
    <row r="202" spans="1:40" x14ac:dyDescent="0.25">
      <c r="A202" t="str">
        <f>"20190312153855122"</f>
        <v>20190312153855122</v>
      </c>
      <c r="B202" t="str">
        <f>"1552376335116456"</f>
        <v>1552376335116456</v>
      </c>
      <c r="C202" t="s">
        <v>40</v>
      </c>
      <c r="D202">
        <v>3.9407220000000001</v>
      </c>
      <c r="E202">
        <v>0.54942559999999996</v>
      </c>
      <c r="F202" t="s">
        <v>45</v>
      </c>
      <c r="G202">
        <v>-282.32900000000001</v>
      </c>
      <c r="H202">
        <v>1.223678</v>
      </c>
      <c r="I202">
        <v>344.65100000000001</v>
      </c>
      <c r="J202">
        <v>-464.13229999999999</v>
      </c>
      <c r="K202">
        <v>1.109766</v>
      </c>
      <c r="L202">
        <v>367.53309999999999</v>
      </c>
      <c r="M202">
        <v>0.99951480000000004</v>
      </c>
      <c r="N202">
        <v>0</v>
      </c>
      <c r="O202">
        <v>3.0001549999999998E-2</v>
      </c>
      <c r="P202">
        <v>0.99945550000000005</v>
      </c>
      <c r="Q202">
        <v>3.2832430000000003E-2</v>
      </c>
      <c r="R202">
        <v>3.350263E-3</v>
      </c>
      <c r="S202">
        <v>3.0030519999999998</v>
      </c>
      <c r="T202">
        <v>1.8806459999999999E-3</v>
      </c>
      <c r="U202">
        <v>-0.37759399999999999</v>
      </c>
      <c r="V202">
        <v>2.6645019999999998E-2</v>
      </c>
      <c r="W202">
        <v>4.1196910000000003E-2</v>
      </c>
      <c r="X202">
        <v>0.99879569999999995</v>
      </c>
      <c r="Y202">
        <v>0.15446650000000001</v>
      </c>
      <c r="Z202" s="1">
        <v>6.6899240000000001E-5</v>
      </c>
      <c r="AA202">
        <v>0.98799800000000004</v>
      </c>
      <c r="AB202">
        <v>17</v>
      </c>
      <c r="AC202">
        <v>181.80330000000001</v>
      </c>
      <c r="AD202">
        <v>0.113912</v>
      </c>
      <c r="AE202">
        <v>-22.882099999999902</v>
      </c>
      <c r="AF202">
        <v>28.326359907208801</v>
      </c>
      <c r="AG202">
        <v>0.113912</v>
      </c>
      <c r="AH202">
        <v>181.03486342093001</v>
      </c>
      <c r="AI202">
        <v>89.9643813424846</v>
      </c>
      <c r="AJ202">
        <v>81.107087624067603</v>
      </c>
      <c r="AK202">
        <v>183.23759825803</v>
      </c>
      <c r="AL202">
        <v>87.6389227338003</v>
      </c>
      <c r="AM202">
        <v>88.471874489273603</v>
      </c>
      <c r="AN202">
        <v>0.99999999641141901</v>
      </c>
    </row>
    <row r="203" spans="1:40" x14ac:dyDescent="0.25">
      <c r="A203" t="str">
        <f>"20190312153855134"</f>
        <v>20190312153855134</v>
      </c>
      <c r="B203" t="str">
        <f>"1552376335126216"</f>
        <v>1552376335126216</v>
      </c>
      <c r="C203" t="s">
        <v>40</v>
      </c>
      <c r="D203">
        <v>3.9194439999999999</v>
      </c>
      <c r="E203">
        <v>0.54972919999999903</v>
      </c>
      <c r="F203" t="s">
        <v>45</v>
      </c>
      <c r="G203">
        <v>-282.32900000000001</v>
      </c>
      <c r="H203">
        <v>1.1515569999999999</v>
      </c>
      <c r="I203">
        <v>344.40679999999998</v>
      </c>
      <c r="J203">
        <v>-464.03100000000001</v>
      </c>
      <c r="K203">
        <v>1.109785</v>
      </c>
      <c r="L203">
        <v>367.536</v>
      </c>
      <c r="M203">
        <v>0.99951599999999996</v>
      </c>
      <c r="N203">
        <v>0</v>
      </c>
      <c r="O203">
        <v>2.9925170000000001E-2</v>
      </c>
      <c r="P203">
        <v>0.99945660000000003</v>
      </c>
      <c r="Q203">
        <v>3.2806299999999997E-2</v>
      </c>
      <c r="R203">
        <v>3.1709260000000001E-3</v>
      </c>
      <c r="S203">
        <v>3.0029300000000001</v>
      </c>
      <c r="T203">
        <v>6.9022179999999895E-4</v>
      </c>
      <c r="U203">
        <v>-0.38198850000000001</v>
      </c>
      <c r="V203">
        <v>2.674764E-2</v>
      </c>
      <c r="W203">
        <v>4.1298399999999999E-2</v>
      </c>
      <c r="X203">
        <v>0.99878880000000003</v>
      </c>
      <c r="Y203">
        <v>0.15581900000000001</v>
      </c>
      <c r="Z203" s="1">
        <v>2.4689E-5</v>
      </c>
      <c r="AA203">
        <v>0.98778560000000004</v>
      </c>
      <c r="AB203">
        <v>17</v>
      </c>
      <c r="AC203">
        <v>181.702</v>
      </c>
      <c r="AD203">
        <v>4.1771999999999899E-2</v>
      </c>
      <c r="AE203">
        <v>-23.129200000000001</v>
      </c>
      <c r="AF203">
        <v>28.5564988427877</v>
      </c>
      <c r="AG203">
        <v>4.1771999999999899E-2</v>
      </c>
      <c r="AH203">
        <v>180.92843773349199</v>
      </c>
      <c r="AI203">
        <v>89.986933540641004</v>
      </c>
      <c r="AJ203">
        <v>81.030818231802996</v>
      </c>
      <c r="AK203">
        <v>183.16816031106501</v>
      </c>
      <c r="AL203">
        <v>87.633102912947095</v>
      </c>
      <c r="AM203">
        <v>88.465981317101097</v>
      </c>
      <c r="AN203">
        <v>1.00000003054678</v>
      </c>
    </row>
    <row r="204" spans="1:40" x14ac:dyDescent="0.25">
      <c r="A204" t="str">
        <f>"20190312153855146"</f>
        <v>20190312153855146</v>
      </c>
      <c r="B204" t="str">
        <f>"1552376335135976"</f>
        <v>1552376335135976</v>
      </c>
      <c r="C204" t="s">
        <v>40</v>
      </c>
      <c r="D204">
        <v>3.9169230000000002</v>
      </c>
      <c r="E204">
        <v>0.54996579999999995</v>
      </c>
      <c r="F204" t="s">
        <v>45</v>
      </c>
      <c r="G204">
        <v>-283.79500000000002</v>
      </c>
      <c r="H204">
        <v>1.158533</v>
      </c>
      <c r="I204">
        <v>344.43279999999999</v>
      </c>
      <c r="J204">
        <v>-463.93770000000001</v>
      </c>
      <c r="K204">
        <v>1.1098030000000001</v>
      </c>
      <c r="L204">
        <v>367.53879999999998</v>
      </c>
      <c r="M204">
        <v>0.99951699999999999</v>
      </c>
      <c r="N204">
        <v>0</v>
      </c>
      <c r="O204">
        <v>2.9860479999999998E-2</v>
      </c>
      <c r="P204">
        <v>0.99945539999999999</v>
      </c>
      <c r="Q204">
        <v>3.2873569999999998E-2</v>
      </c>
      <c r="R204">
        <v>2.909628E-3</v>
      </c>
      <c r="S204">
        <v>3.002869</v>
      </c>
      <c r="T204">
        <v>8.1217289999999998E-4</v>
      </c>
      <c r="U204">
        <v>-0.38491819999999999</v>
      </c>
      <c r="V204">
        <v>2.6943620000000001E-2</v>
      </c>
      <c r="W204">
        <v>4.1473240000000001E-2</v>
      </c>
      <c r="X204">
        <v>0.99877629999999995</v>
      </c>
      <c r="Y204">
        <v>0.15670580000000001</v>
      </c>
      <c r="Z204" s="1">
        <v>2.9151990000000001E-5</v>
      </c>
      <c r="AA204">
        <v>0.98764529999999995</v>
      </c>
      <c r="AB204">
        <v>17</v>
      </c>
      <c r="AC204">
        <v>180.14269999999999</v>
      </c>
      <c r="AD204">
        <v>4.8729999999999898E-2</v>
      </c>
      <c r="AE204">
        <v>-23.105999999999899</v>
      </c>
      <c r="AF204">
        <v>28.475040525070799</v>
      </c>
      <c r="AG204">
        <v>4.8729999999999898E-2</v>
      </c>
      <c r="AH204">
        <v>179.37236943620999</v>
      </c>
      <c r="AI204">
        <v>89.984626987519107</v>
      </c>
      <c r="AJ204">
        <v>80.979669365534903</v>
      </c>
      <c r="AK204">
        <v>181.61849361966799</v>
      </c>
      <c r="AL204">
        <v>87.623076758420694</v>
      </c>
      <c r="AM204">
        <v>88.454727659560604</v>
      </c>
      <c r="AN204">
        <v>1.0000000428682401</v>
      </c>
    </row>
    <row r="205" spans="1:40" x14ac:dyDescent="0.25">
      <c r="A205" t="str">
        <f>"20190312153855160"</f>
        <v>20190312153855160</v>
      </c>
      <c r="B205" t="str">
        <f>"1552376335156473"</f>
        <v>1552376335156473</v>
      </c>
      <c r="C205" t="s">
        <v>40</v>
      </c>
      <c r="D205">
        <v>3.9401989999999998</v>
      </c>
      <c r="E205">
        <v>0.55034669999999997</v>
      </c>
      <c r="F205" t="s">
        <v>45</v>
      </c>
      <c r="G205">
        <v>-284.2638</v>
      </c>
      <c r="H205">
        <v>1.1944170000000001</v>
      </c>
      <c r="I205">
        <v>344.34570000000002</v>
      </c>
      <c r="J205">
        <v>-463.83640000000003</v>
      </c>
      <c r="K205">
        <v>1.1098220000000001</v>
      </c>
      <c r="L205">
        <v>367.54169999999999</v>
      </c>
      <c r="M205">
        <v>0.99951809999999996</v>
      </c>
      <c r="N205">
        <v>0</v>
      </c>
      <c r="O205">
        <v>2.9793449999999999E-2</v>
      </c>
      <c r="P205">
        <v>0.99946950000000001</v>
      </c>
      <c r="Q205">
        <v>3.244292E-2</v>
      </c>
      <c r="R205">
        <v>2.9045719999999998E-3</v>
      </c>
      <c r="S205">
        <v>3.0027159999999999</v>
      </c>
      <c r="T205">
        <v>1.4140610000000001E-3</v>
      </c>
      <c r="U205">
        <v>-0.3876038</v>
      </c>
      <c r="V205">
        <v>2.6881660000000002E-2</v>
      </c>
      <c r="W205">
        <v>4.1155459999999998E-2</v>
      </c>
      <c r="X205">
        <v>0.99879110000000004</v>
      </c>
      <c r="Y205">
        <v>0.15751479999999901</v>
      </c>
      <c r="Z205" s="1">
        <v>5.0914020000000002E-5</v>
      </c>
      <c r="AA205">
        <v>0.98751659999999997</v>
      </c>
      <c r="AB205">
        <v>17</v>
      </c>
      <c r="AC205">
        <v>179.57259999999999</v>
      </c>
      <c r="AD205">
        <v>8.4595000000000198E-2</v>
      </c>
      <c r="AE205">
        <v>-23.195999999999898</v>
      </c>
      <c r="AF205">
        <v>28.535986117967202</v>
      </c>
      <c r="AG205">
        <v>8.4595000000000198E-2</v>
      </c>
      <c r="AH205">
        <v>178.80172334295801</v>
      </c>
      <c r="AI205">
        <v>89.973230888991196</v>
      </c>
      <c r="AJ205">
        <v>80.932310997773797</v>
      </c>
      <c r="AK205">
        <v>181.064535264227</v>
      </c>
      <c r="AL205">
        <v>87.641299735434103</v>
      </c>
      <c r="AM205">
        <v>88.4583023107743</v>
      </c>
      <c r="AN205">
        <v>1.00000002848568</v>
      </c>
    </row>
    <row r="206" spans="1:40" x14ac:dyDescent="0.25">
      <c r="A206" t="str">
        <f>"20190312153855177"</f>
        <v>20190312153855177</v>
      </c>
      <c r="B206" t="str">
        <f>"1552376335166232"</f>
        <v>1552376335166232</v>
      </c>
      <c r="C206" t="s">
        <v>40</v>
      </c>
      <c r="D206">
        <v>3.8995709999999999</v>
      </c>
      <c r="E206">
        <v>0.55048219999999903</v>
      </c>
      <c r="F206" t="s">
        <v>45</v>
      </c>
      <c r="G206">
        <v>-282.32900000000001</v>
      </c>
      <c r="H206">
        <v>1.163524</v>
      </c>
      <c r="I206">
        <v>343.93099999999998</v>
      </c>
      <c r="J206">
        <v>-463.69639999999998</v>
      </c>
      <c r="K206">
        <v>1.1098479999999999</v>
      </c>
      <c r="L206">
        <v>367.54579999999999</v>
      </c>
      <c r="M206">
        <v>0.9995193</v>
      </c>
      <c r="N206">
        <v>0</v>
      </c>
      <c r="O206">
        <v>2.9710810000000001E-2</v>
      </c>
      <c r="P206">
        <v>0.99945850000000003</v>
      </c>
      <c r="Q206">
        <v>3.2793419999999997E-2</v>
      </c>
      <c r="R206">
        <v>2.721116E-3</v>
      </c>
      <c r="S206">
        <v>3.0026860000000002</v>
      </c>
      <c r="T206">
        <v>8.8858600000000002E-4</v>
      </c>
      <c r="U206">
        <v>-0.39059450000000001</v>
      </c>
      <c r="V206">
        <v>2.6981339999999999E-2</v>
      </c>
      <c r="W206">
        <v>4.1648560000000001E-2</v>
      </c>
      <c r="X206">
        <v>0.99876799999999999</v>
      </c>
      <c r="Y206">
        <v>0.15840170000000001</v>
      </c>
      <c r="Z206" s="1">
        <v>3.2098660000000002E-5</v>
      </c>
      <c r="AA206">
        <v>0.9873748</v>
      </c>
      <c r="AB206">
        <v>17</v>
      </c>
      <c r="AC206">
        <v>181.3674</v>
      </c>
      <c r="AD206">
        <v>5.3676000000000001E-2</v>
      </c>
      <c r="AE206">
        <v>-23.614799999999999</v>
      </c>
      <c r="AF206">
        <v>28.993155316191402</v>
      </c>
      <c r="AG206">
        <v>5.3676000000000001E-2</v>
      </c>
      <c r="AH206">
        <v>180.58566871262499</v>
      </c>
      <c r="AI206">
        <v>89.983185145872795</v>
      </c>
      <c r="AJ206">
        <v>80.878960591874005</v>
      </c>
      <c r="AK206">
        <v>182.89830420396899</v>
      </c>
      <c r="AL206">
        <v>87.613023008686497</v>
      </c>
      <c r="AM206">
        <v>88.452552537333503</v>
      </c>
      <c r="AN206">
        <v>1.00000005654113</v>
      </c>
    </row>
    <row r="207" spans="1:40" x14ac:dyDescent="0.25">
      <c r="A207" t="str">
        <f>"20190312153855190"</f>
        <v>20190312153855190</v>
      </c>
      <c r="B207" t="str">
        <f>"1552376335186728"</f>
        <v>1552376335186728</v>
      </c>
      <c r="C207" t="s">
        <v>40</v>
      </c>
      <c r="D207">
        <v>3.917624</v>
      </c>
      <c r="E207">
        <v>0.5507088</v>
      </c>
      <c r="F207" t="s">
        <v>45</v>
      </c>
      <c r="G207">
        <v>-282.32900000000001</v>
      </c>
      <c r="H207">
        <v>1.2179420000000001</v>
      </c>
      <c r="I207">
        <v>343.85120000000001</v>
      </c>
      <c r="J207">
        <v>-463.59559999999999</v>
      </c>
      <c r="K207">
        <v>1.1098650000000001</v>
      </c>
      <c r="L207">
        <v>367.5487</v>
      </c>
      <c r="M207">
        <v>0.99952010000000002</v>
      </c>
      <c r="N207">
        <v>0</v>
      </c>
      <c r="O207">
        <v>2.9659000000000001E-2</v>
      </c>
      <c r="P207">
        <v>0.99945329999999999</v>
      </c>
      <c r="Q207">
        <v>3.2982409999999997E-2</v>
      </c>
      <c r="R207">
        <v>2.3787019999999999E-3</v>
      </c>
      <c r="S207">
        <v>3.0025940000000002</v>
      </c>
      <c r="T207">
        <v>1.7894510000000001E-3</v>
      </c>
      <c r="U207">
        <v>-0.39227289999999998</v>
      </c>
      <c r="V207">
        <v>2.7271210000000001E-2</v>
      </c>
      <c r="W207">
        <v>4.1929180000000003E-2</v>
      </c>
      <c r="X207">
        <v>0.99874830000000003</v>
      </c>
      <c r="Y207">
        <v>0.15889710000000001</v>
      </c>
      <c r="Z207" s="1">
        <v>6.4756790000000002E-5</v>
      </c>
      <c r="AA207">
        <v>0.98729520000000004</v>
      </c>
      <c r="AB207">
        <v>18</v>
      </c>
      <c r="AC207">
        <v>181.26660000000001</v>
      </c>
      <c r="AD207">
        <v>0.10807700000000001</v>
      </c>
      <c r="AE207">
        <v>-23.697499999999899</v>
      </c>
      <c r="AF207">
        <v>29.063464804877899</v>
      </c>
      <c r="AG207">
        <v>0.10807700000000001</v>
      </c>
      <c r="AH207">
        <v>180.48391461313599</v>
      </c>
      <c r="AI207">
        <v>89.966126638010806</v>
      </c>
      <c r="AJ207">
        <v>80.852147423631905</v>
      </c>
      <c r="AK207">
        <v>182.809026312117</v>
      </c>
      <c r="AL207">
        <v>87.596930404659702</v>
      </c>
      <c r="AM207">
        <v>88.435905145014601</v>
      </c>
      <c r="AN207">
        <v>0.99999997089161297</v>
      </c>
    </row>
    <row r="208" spans="1:40" x14ac:dyDescent="0.25">
      <c r="A208" t="str">
        <f>"20190312153855202"</f>
        <v>20190312153855202</v>
      </c>
      <c r="B208" t="str">
        <f>"1552376335196488"</f>
        <v>1552376335196488</v>
      </c>
      <c r="C208" t="s">
        <v>40</v>
      </c>
      <c r="D208">
        <v>3.9051439999999999</v>
      </c>
      <c r="E208">
        <v>0.55082069999999905</v>
      </c>
      <c r="F208" t="s">
        <v>45</v>
      </c>
      <c r="G208">
        <v>-284.26369999999997</v>
      </c>
      <c r="H208">
        <v>1.2451989999999999</v>
      </c>
      <c r="I208">
        <v>343.94199999999898</v>
      </c>
      <c r="J208">
        <v>-463.50240000000002</v>
      </c>
      <c r="K208">
        <v>1.1098779999999999</v>
      </c>
      <c r="L208">
        <v>367.5514</v>
      </c>
      <c r="M208">
        <v>0.99952050000000003</v>
      </c>
      <c r="N208">
        <v>0</v>
      </c>
      <c r="O208">
        <v>2.961397E-2</v>
      </c>
      <c r="P208">
        <v>0.99943159999999998</v>
      </c>
      <c r="Q208">
        <v>3.362047E-2</v>
      </c>
      <c r="R208">
        <v>2.5311359999999998E-3</v>
      </c>
      <c r="S208">
        <v>3.0024410000000001</v>
      </c>
      <c r="T208">
        <v>2.265811E-3</v>
      </c>
      <c r="U208">
        <v>-0.39523320000000001</v>
      </c>
      <c r="V208">
        <v>2.707267E-2</v>
      </c>
      <c r="W208">
        <v>4.2648079999999998E-2</v>
      </c>
      <c r="X208">
        <v>0.99872329999999998</v>
      </c>
      <c r="Y208">
        <v>0.15981589999999901</v>
      </c>
      <c r="Z208" s="1">
        <v>8.230569E-5</v>
      </c>
      <c r="AA208">
        <v>0.98714690000000005</v>
      </c>
      <c r="AB208">
        <v>18</v>
      </c>
      <c r="AC208">
        <v>179.23869999999999</v>
      </c>
      <c r="AD208">
        <v>0.135320999999999</v>
      </c>
      <c r="AE208">
        <v>-23.609400000000001</v>
      </c>
      <c r="AF208">
        <v>28.907214663717699</v>
      </c>
      <c r="AG208">
        <v>0.135320999999999</v>
      </c>
      <c r="AH208">
        <v>178.46078466408301</v>
      </c>
      <c r="AI208">
        <v>89.957113465432599</v>
      </c>
      <c r="AJ208">
        <v>80.799100660668898</v>
      </c>
      <c r="AK208">
        <v>180.78688291551299</v>
      </c>
      <c r="AL208">
        <v>87.555703680026298</v>
      </c>
      <c r="AM208">
        <v>88.447247633093397</v>
      </c>
      <c r="AN208">
        <v>1.0000000090757499</v>
      </c>
    </row>
    <row r="209" spans="1:40" x14ac:dyDescent="0.25">
      <c r="A209" t="str">
        <f>"20190312153855216"</f>
        <v>20190312153855216</v>
      </c>
      <c r="B209" t="str">
        <f>"1552376335206248"</f>
        <v>1552376335206248</v>
      </c>
      <c r="C209" t="s">
        <v>40</v>
      </c>
      <c r="D209">
        <v>3.913532</v>
      </c>
      <c r="E209">
        <v>0.55095499999999997</v>
      </c>
      <c r="F209" t="s">
        <v>45</v>
      </c>
      <c r="G209">
        <v>-284.26369999999997</v>
      </c>
      <c r="H209">
        <v>1.3370070000000001</v>
      </c>
      <c r="I209">
        <v>343.93610000000001</v>
      </c>
      <c r="J209">
        <v>-463.3904</v>
      </c>
      <c r="K209">
        <v>1.1098950000000001</v>
      </c>
      <c r="L209">
        <v>367.55470000000003</v>
      </c>
      <c r="M209">
        <v>0.99952129999999995</v>
      </c>
      <c r="N209">
        <v>0</v>
      </c>
      <c r="O209">
        <v>2.9564420000000001E-2</v>
      </c>
      <c r="P209">
        <v>0.99941500000000005</v>
      </c>
      <c r="Q209">
        <v>3.4092829999999998E-2</v>
      </c>
      <c r="R209">
        <v>2.7923940000000001E-3</v>
      </c>
      <c r="S209">
        <v>3.0025629999999999</v>
      </c>
      <c r="T209">
        <v>3.8048029999999998E-3</v>
      </c>
      <c r="U209">
        <v>-0.39559939999999999</v>
      </c>
      <c r="V209">
        <v>2.6761099999999999E-2</v>
      </c>
      <c r="W209">
        <v>4.3212140000000003E-2</v>
      </c>
      <c r="X209">
        <v>0.99870740000000002</v>
      </c>
      <c r="Y209">
        <v>0.15987999999999999</v>
      </c>
      <c r="Z209">
        <v>1.3818089999999999E-4</v>
      </c>
      <c r="AA209">
        <v>0.98713640000000002</v>
      </c>
      <c r="AB209">
        <v>18</v>
      </c>
      <c r="AC209">
        <v>179.1267</v>
      </c>
      <c r="AD209">
        <v>0.22711200000000001</v>
      </c>
      <c r="AE209">
        <v>-23.618600000000001</v>
      </c>
      <c r="AF209">
        <v>28.9042263252297</v>
      </c>
      <c r="AG209">
        <v>0.22711200000000001</v>
      </c>
      <c r="AH209">
        <v>178.34981205460599</v>
      </c>
      <c r="AI209">
        <v>89.9279788468384</v>
      </c>
      <c r="AJ209">
        <v>80.794409141103102</v>
      </c>
      <c r="AK209">
        <v>180.67695298303499</v>
      </c>
      <c r="AL209">
        <v>87.523355473920503</v>
      </c>
      <c r="AM209">
        <v>88.465084700549397</v>
      </c>
      <c r="AN209">
        <v>0.999999958165674</v>
      </c>
    </row>
    <row r="210" spans="1:40" x14ac:dyDescent="0.25">
      <c r="A210" t="str">
        <f>"20190312153855235"</f>
        <v>20190312153855235</v>
      </c>
      <c r="B210" t="str">
        <f>"1552376335225768"</f>
        <v>1552376335225768</v>
      </c>
      <c r="C210" t="s">
        <v>40</v>
      </c>
      <c r="D210">
        <v>3.9366249999999998</v>
      </c>
      <c r="E210">
        <v>0.55118239999999996</v>
      </c>
      <c r="F210" t="s">
        <v>45</v>
      </c>
      <c r="G210">
        <v>-282.32900000000001</v>
      </c>
      <c r="H210">
        <v>1.4062269999999999</v>
      </c>
      <c r="I210">
        <v>343.68020000000001</v>
      </c>
      <c r="J210">
        <v>-463.2448</v>
      </c>
      <c r="K210">
        <v>1.10991</v>
      </c>
      <c r="L210">
        <v>367.55889999999999</v>
      </c>
      <c r="M210">
        <v>0.99952189999999996</v>
      </c>
      <c r="N210">
        <v>0</v>
      </c>
      <c r="O210">
        <v>2.950854E-2</v>
      </c>
      <c r="P210">
        <v>0.99939489999999997</v>
      </c>
      <c r="Q210">
        <v>3.4648279999999997E-2</v>
      </c>
      <c r="R210">
        <v>3.0227449999999999E-3</v>
      </c>
      <c r="S210">
        <v>3.0027159999999999</v>
      </c>
      <c r="T210">
        <v>4.9144030000000003E-3</v>
      </c>
      <c r="U210">
        <v>-0.39593509999999998</v>
      </c>
      <c r="V210">
        <v>2.6474310000000001E-2</v>
      </c>
      <c r="W210">
        <v>4.387336E-2</v>
      </c>
      <c r="X210">
        <v>0.99868630000000003</v>
      </c>
      <c r="Y210">
        <v>0.15992679999999901</v>
      </c>
      <c r="Z210">
        <v>1.7841539999999999E-4</v>
      </c>
      <c r="AA210">
        <v>0.98712889999999998</v>
      </c>
      <c r="AB210">
        <v>18</v>
      </c>
      <c r="AC210">
        <v>180.91579999999999</v>
      </c>
      <c r="AD210">
        <v>0.296317</v>
      </c>
      <c r="AE210">
        <v>-23.878699999999899</v>
      </c>
      <c r="AF210">
        <v>29.207012208438002</v>
      </c>
      <c r="AG210">
        <v>0.296317</v>
      </c>
      <c r="AH210">
        <v>180.13187900633099</v>
      </c>
      <c r="AI210">
        <v>89.906963544000803</v>
      </c>
      <c r="AJ210">
        <v>80.7900776592776</v>
      </c>
      <c r="AK210">
        <v>182.48460537880999</v>
      </c>
      <c r="AL210">
        <v>87.485434604846105</v>
      </c>
      <c r="AM210">
        <v>88.481494078454503</v>
      </c>
      <c r="AN210">
        <v>1.0000000433076699</v>
      </c>
    </row>
    <row r="211" spans="1:40" x14ac:dyDescent="0.25">
      <c r="A211" t="str">
        <f>"20190312153855249"</f>
        <v>20190312153855249</v>
      </c>
      <c r="B211" t="str">
        <f>"1552376335236504"</f>
        <v>1552376335236504</v>
      </c>
      <c r="C211" t="s">
        <v>40</v>
      </c>
      <c r="D211">
        <v>3.9271539999999998</v>
      </c>
      <c r="E211">
        <v>0.55129859999999997</v>
      </c>
      <c r="F211" t="s">
        <v>45</v>
      </c>
      <c r="G211">
        <v>-282.32900000000001</v>
      </c>
      <c r="H211">
        <v>1.479012</v>
      </c>
      <c r="I211">
        <v>343.6234</v>
      </c>
      <c r="J211">
        <v>-463.13510000000002</v>
      </c>
      <c r="K211">
        <v>1.1099139999999901</v>
      </c>
      <c r="L211">
        <v>367.56209999999999</v>
      </c>
      <c r="M211">
        <v>0.99952229999999997</v>
      </c>
      <c r="N211">
        <v>0</v>
      </c>
      <c r="O211">
        <v>2.947085E-2</v>
      </c>
      <c r="P211">
        <v>0.99939699999999998</v>
      </c>
      <c r="Q211">
        <v>3.4554599999999998E-2</v>
      </c>
      <c r="R211">
        <v>3.3919610000000002E-3</v>
      </c>
      <c r="S211">
        <v>3.0028079999999999</v>
      </c>
      <c r="T211">
        <v>6.126523E-3</v>
      </c>
      <c r="U211">
        <v>-0.39727780000000001</v>
      </c>
      <c r="V211">
        <v>2.6067199999999999E-2</v>
      </c>
      <c r="W211">
        <v>4.385145E-2</v>
      </c>
      <c r="X211">
        <v>0.99869790000000003</v>
      </c>
      <c r="Y211">
        <v>0.1603194</v>
      </c>
      <c r="Z211">
        <v>2.2273E-4</v>
      </c>
      <c r="AA211">
        <v>0.98706519999999998</v>
      </c>
      <c r="AB211">
        <v>18</v>
      </c>
      <c r="AC211">
        <v>180.80609999999999</v>
      </c>
      <c r="AD211">
        <v>0.36909799999999998</v>
      </c>
      <c r="AE211">
        <v>-23.938699999999901</v>
      </c>
      <c r="AF211">
        <v>29.2569215668249</v>
      </c>
      <c r="AG211">
        <v>0.36909799999999998</v>
      </c>
      <c r="AH211">
        <v>180.02129660220501</v>
      </c>
      <c r="AI211">
        <v>89.884047830132701</v>
      </c>
      <c r="AJ211">
        <v>80.769040599195407</v>
      </c>
      <c r="AK211">
        <v>182.38358183575599</v>
      </c>
      <c r="AL211">
        <v>87.486690985383305</v>
      </c>
      <c r="AM211">
        <v>88.504851654125503</v>
      </c>
      <c r="AN211">
        <v>0.99999997202367497</v>
      </c>
    </row>
    <row r="212" spans="1:40" x14ac:dyDescent="0.25">
      <c r="A212" t="str">
        <f>"20190312153855268"</f>
        <v>20190312153855268</v>
      </c>
      <c r="B212" t="str">
        <f>"1552376335256023"</f>
        <v>1552376335256023</v>
      </c>
      <c r="C212" t="s">
        <v>40</v>
      </c>
      <c r="D212">
        <v>3.9907699999999999</v>
      </c>
      <c r="E212">
        <v>0.5511568</v>
      </c>
      <c r="F212" t="s">
        <v>45</v>
      </c>
      <c r="G212">
        <v>-282.32900000000001</v>
      </c>
      <c r="H212">
        <v>1.4225890000000001</v>
      </c>
      <c r="I212">
        <v>343.6576</v>
      </c>
      <c r="J212">
        <v>-462.98419999999999</v>
      </c>
      <c r="K212">
        <v>1.109926</v>
      </c>
      <c r="L212">
        <v>367.56650000000002</v>
      </c>
      <c r="M212">
        <v>0.99952289999999999</v>
      </c>
      <c r="N212">
        <v>0</v>
      </c>
      <c r="O212">
        <v>2.9423290000000001E-2</v>
      </c>
      <c r="P212">
        <v>0.99939719999999999</v>
      </c>
      <c r="Q212">
        <v>3.4496970000000002E-2</v>
      </c>
      <c r="R212">
        <v>3.9329889999999996E-3</v>
      </c>
      <c r="S212">
        <v>3.0030209999999999</v>
      </c>
      <c r="T212">
        <v>5.1932330000000002E-3</v>
      </c>
      <c r="U212">
        <v>-0.39703369999999999</v>
      </c>
      <c r="V212">
        <v>2.547847E-2</v>
      </c>
      <c r="W212">
        <v>4.3884310000000003E-2</v>
      </c>
      <c r="X212">
        <v>0.99871169999999998</v>
      </c>
      <c r="Y212">
        <v>0.16018460000000001</v>
      </c>
      <c r="Z212">
        <v>1.8859000000000001E-4</v>
      </c>
      <c r="AA212">
        <v>0.9870871</v>
      </c>
      <c r="AB212">
        <v>18</v>
      </c>
      <c r="AC212">
        <v>180.65520000000001</v>
      </c>
      <c r="AD212">
        <v>0.31266299999999903</v>
      </c>
      <c r="AE212">
        <v>-23.908899999999999</v>
      </c>
      <c r="AF212">
        <v>29.214166398237602</v>
      </c>
      <c r="AG212">
        <v>0.31266299999999903</v>
      </c>
      <c r="AH212">
        <v>179.872937799065</v>
      </c>
      <c r="AI212">
        <v>89.901694225635794</v>
      </c>
      <c r="AJ212">
        <v>80.774826638072398</v>
      </c>
      <c r="AK212">
        <v>182.230181443584</v>
      </c>
      <c r="AL212">
        <v>87.484806558639605</v>
      </c>
      <c r="AM212">
        <v>88.538625082581007</v>
      </c>
      <c r="AN212">
        <v>1.0000000224073</v>
      </c>
    </row>
    <row r="213" spans="1:40" x14ac:dyDescent="0.25">
      <c r="A213" t="str">
        <f>"20190312153855289"</f>
        <v>20190312153855289</v>
      </c>
      <c r="B213" t="str">
        <f>"1552376335286280"</f>
        <v>1552376335286280</v>
      </c>
      <c r="C213" t="s">
        <v>40</v>
      </c>
      <c r="D213">
        <v>4.0002789999999999</v>
      </c>
      <c r="E213">
        <v>0.5203238</v>
      </c>
      <c r="F213" t="s">
        <v>45</v>
      </c>
      <c r="G213">
        <v>-282.32900000000001</v>
      </c>
      <c r="H213">
        <v>1.3826449999999999</v>
      </c>
      <c r="I213">
        <v>343.8578</v>
      </c>
      <c r="J213">
        <v>-462.8186</v>
      </c>
      <c r="K213">
        <v>1.1099300000000001</v>
      </c>
      <c r="L213">
        <v>367.57130000000001</v>
      </c>
      <c r="M213">
        <v>0.99952359999999896</v>
      </c>
      <c r="N213">
        <v>0</v>
      </c>
      <c r="O213">
        <v>2.9375209999999999E-2</v>
      </c>
      <c r="P213">
        <v>0.99939979999999995</v>
      </c>
      <c r="Q213">
        <v>3.4322859999999997E-2</v>
      </c>
      <c r="R213">
        <v>4.7579600000000003E-3</v>
      </c>
      <c r="S213">
        <v>3.0032040000000002</v>
      </c>
      <c r="T213">
        <v>4.5335289999999997E-3</v>
      </c>
      <c r="U213">
        <v>-0.3941345</v>
      </c>
      <c r="V213">
        <v>2.4605720000000001E-2</v>
      </c>
      <c r="W213">
        <v>4.3794270000000003E-2</v>
      </c>
      <c r="X213">
        <v>0.99873749999999994</v>
      </c>
      <c r="Y213">
        <v>0.15919259999999999</v>
      </c>
      <c r="Z213">
        <v>1.638155E-4</v>
      </c>
      <c r="AA213">
        <v>0.98724749999999994</v>
      </c>
      <c r="AB213">
        <v>18</v>
      </c>
      <c r="AC213">
        <v>180.4896</v>
      </c>
      <c r="AD213">
        <v>0.27271499999999999</v>
      </c>
      <c r="AE213">
        <v>-23.7135</v>
      </c>
      <c r="AF213">
        <v>29.005358183161199</v>
      </c>
      <c r="AG213">
        <v>0.27271499999999999</v>
      </c>
      <c r="AH213">
        <v>179.71468009218</v>
      </c>
      <c r="AI213">
        <v>89.914165130720406</v>
      </c>
      <c r="AJ213">
        <v>80.831712031915799</v>
      </c>
      <c r="AK213">
        <v>182.04052136115001</v>
      </c>
      <c r="AL213">
        <v>87.489970345459795</v>
      </c>
      <c r="AM213">
        <v>88.588699459033506</v>
      </c>
      <c r="AN213">
        <v>0.9999999867239</v>
      </c>
    </row>
    <row r="214" spans="1:40" x14ac:dyDescent="0.25">
      <c r="A214" t="str">
        <f>"20190312153855302"</f>
        <v>20190312153855302</v>
      </c>
      <c r="B214" t="str">
        <f>"1552376335296040"</f>
        <v>1552376335296040</v>
      </c>
      <c r="C214" t="s">
        <v>40</v>
      </c>
      <c r="D214">
        <v>4.0190950000000001</v>
      </c>
      <c r="E214">
        <v>0.51903889999999997</v>
      </c>
      <c r="F214" t="s">
        <v>42</v>
      </c>
      <c r="G214">
        <v>-338.16539999999998</v>
      </c>
      <c r="H214" s="1">
        <v>-2.756016E-6</v>
      </c>
      <c r="I214">
        <v>361.55239999999998</v>
      </c>
      <c r="J214">
        <v>-462.71080000000001</v>
      </c>
      <c r="K214">
        <v>1.109931</v>
      </c>
      <c r="L214">
        <v>367.5745</v>
      </c>
      <c r="M214">
        <v>0.99952390000000002</v>
      </c>
      <c r="N214">
        <v>0</v>
      </c>
      <c r="O214">
        <v>2.9344769999999999E-2</v>
      </c>
      <c r="P214">
        <v>0.99939520000000004</v>
      </c>
      <c r="Q214">
        <v>3.4414640000000003E-2</v>
      </c>
      <c r="R214">
        <v>4.9850509999999999E-3</v>
      </c>
      <c r="S214">
        <v>3.0034480000000001</v>
      </c>
      <c r="T214">
        <v>-2.674317E-2</v>
      </c>
      <c r="U214">
        <v>-0.1450195</v>
      </c>
      <c r="V214">
        <v>2.4348439999999999E-2</v>
      </c>
      <c r="W214">
        <v>4.3928620000000002E-2</v>
      </c>
      <c r="X214">
        <v>0.99873789999999996</v>
      </c>
      <c r="Y214">
        <v>7.7515130000000002E-2</v>
      </c>
      <c r="Z214">
        <v>-6.0605870000000005E-4</v>
      </c>
      <c r="AA214">
        <v>0.99699099999999996</v>
      </c>
      <c r="AB214">
        <v>18</v>
      </c>
      <c r="AC214">
        <v>124.5454</v>
      </c>
      <c r="AD214">
        <v>-1.1099337560160001</v>
      </c>
      <c r="AE214">
        <v>-6.0221000000000204</v>
      </c>
      <c r="AF214">
        <v>9.6736619985652901</v>
      </c>
      <c r="AG214">
        <v>-1.1099337560160001</v>
      </c>
      <c r="AH214">
        <v>124.305184928214</v>
      </c>
      <c r="AI214">
        <v>90.510044238004298</v>
      </c>
      <c r="AJ214">
        <v>85.550104024876106</v>
      </c>
      <c r="AK214">
        <v>124.685968294121</v>
      </c>
      <c r="AL214">
        <v>87.482265229107796</v>
      </c>
      <c r="AM214">
        <v>88.603450850335193</v>
      </c>
      <c r="AN214">
        <v>0.99999998154097303</v>
      </c>
    </row>
    <row r="215" spans="1:40" x14ac:dyDescent="0.25">
      <c r="A215" t="str">
        <f>"20190312153855315"</f>
        <v>20190312153855315</v>
      </c>
      <c r="B215" t="str">
        <f>"1552376335305800"</f>
        <v>1552376335305800</v>
      </c>
      <c r="C215" t="s">
        <v>40</v>
      </c>
      <c r="D215">
        <v>4.060575</v>
      </c>
      <c r="E215">
        <v>0.518235</v>
      </c>
      <c r="F215" t="s">
        <v>42</v>
      </c>
      <c r="G215">
        <v>-323.95260000000002</v>
      </c>
      <c r="H215" s="1">
        <v>-4.2376580000000002E-6</v>
      </c>
      <c r="I215">
        <v>361.37189999999998</v>
      </c>
      <c r="J215">
        <v>-462.60719999999998</v>
      </c>
      <c r="K215">
        <v>1.109939</v>
      </c>
      <c r="L215">
        <v>367.57749999999999</v>
      </c>
      <c r="M215">
        <v>0.99952470000000004</v>
      </c>
      <c r="N215">
        <v>0</v>
      </c>
      <c r="O215">
        <v>2.9315040000000001E-2</v>
      </c>
      <c r="P215">
        <v>0.99939639999999996</v>
      </c>
      <c r="Q215">
        <v>3.4373599999999997E-2</v>
      </c>
      <c r="R215">
        <v>5.0634109999999899E-3</v>
      </c>
      <c r="S215">
        <v>3.0032960000000002</v>
      </c>
      <c r="T215">
        <v>-2.4023530000000001E-2</v>
      </c>
      <c r="U215">
        <v>-0.134246799999999</v>
      </c>
      <c r="V215">
        <v>2.424055E-2</v>
      </c>
      <c r="W215">
        <v>4.3918609999999997E-2</v>
      </c>
      <c r="X215">
        <v>0.99874099999999999</v>
      </c>
      <c r="Y215">
        <v>7.3919899999999997E-2</v>
      </c>
      <c r="Z215">
        <v>-5.2988829999999995E-4</v>
      </c>
      <c r="AA215">
        <v>0.99726400000000004</v>
      </c>
      <c r="AB215">
        <v>18</v>
      </c>
      <c r="AC215">
        <v>138.65459999999899</v>
      </c>
      <c r="AD215">
        <v>-1.1099432376580001</v>
      </c>
      <c r="AE215">
        <v>-6.2055999999999996</v>
      </c>
      <c r="AF215">
        <v>10.2671262131374</v>
      </c>
      <c r="AG215">
        <v>-1.1099432376580001</v>
      </c>
      <c r="AH215">
        <v>138.40422674256899</v>
      </c>
      <c r="AI215">
        <v>90.458219012846797</v>
      </c>
      <c r="AJ215">
        <v>85.757445469025498</v>
      </c>
      <c r="AK215">
        <v>138.78896150226001</v>
      </c>
      <c r="AL215">
        <v>87.482839402797296</v>
      </c>
      <c r="AM215">
        <v>88.609640957328196</v>
      </c>
      <c r="AN215">
        <v>1.00000001682481</v>
      </c>
    </row>
    <row r="216" spans="1:40" x14ac:dyDescent="0.25">
      <c r="A216" t="str">
        <f>"20190312153855335"</f>
        <v>20190312153855335</v>
      </c>
      <c r="B216" t="str">
        <f>"1552376335326296"</f>
        <v>1552376335326296</v>
      </c>
      <c r="C216" t="s">
        <v>40</v>
      </c>
      <c r="D216">
        <v>4.0015799999999997</v>
      </c>
      <c r="E216">
        <v>0.51759509999999997</v>
      </c>
      <c r="F216" t="s">
        <v>42</v>
      </c>
      <c r="G216">
        <v>-339.03789999999998</v>
      </c>
      <c r="H216" s="1">
        <v>-2.2518030000000001E-6</v>
      </c>
      <c r="I216">
        <v>362.33150000000001</v>
      </c>
      <c r="J216">
        <v>-462.45159999999998</v>
      </c>
      <c r="K216">
        <v>1.1099289999999999</v>
      </c>
      <c r="L216">
        <v>367.58190000000002</v>
      </c>
      <c r="M216">
        <v>0.99952580000000002</v>
      </c>
      <c r="N216">
        <v>0</v>
      </c>
      <c r="O216">
        <v>2.9270399999999999E-2</v>
      </c>
      <c r="P216">
        <v>0.99939440000000002</v>
      </c>
      <c r="Q216">
        <v>3.4408099999999997E-2</v>
      </c>
      <c r="R216">
        <v>5.1992100000000001E-3</v>
      </c>
      <c r="S216">
        <v>3.0033569999999998</v>
      </c>
      <c r="T216">
        <v>-2.697718E-2</v>
      </c>
      <c r="U216">
        <v>-0.12750239999999999</v>
      </c>
      <c r="V216">
        <v>2.4060499999999999E-2</v>
      </c>
      <c r="W216">
        <v>4.3971490000000002E-2</v>
      </c>
      <c r="X216">
        <v>0.99874300000000005</v>
      </c>
      <c r="Y216">
        <v>7.1638270000000004E-2</v>
      </c>
      <c r="Z216">
        <v>-5.8440619999999995E-4</v>
      </c>
      <c r="AA216">
        <v>0.9974305</v>
      </c>
      <c r="AB216">
        <v>18</v>
      </c>
      <c r="AC216">
        <v>123.41370000000001</v>
      </c>
      <c r="AD216">
        <v>-1.109931251803</v>
      </c>
      <c r="AE216">
        <v>-5.2504000000000097</v>
      </c>
      <c r="AF216">
        <v>8.85996831108808</v>
      </c>
      <c r="AG216">
        <v>-1.109931251803</v>
      </c>
      <c r="AH216">
        <v>123.19718102689301</v>
      </c>
      <c r="AI216">
        <v>90.514856322048402</v>
      </c>
      <c r="AJ216">
        <v>85.886542901335702</v>
      </c>
      <c r="AK216">
        <v>123.52034811653699</v>
      </c>
      <c r="AL216">
        <v>87.479806604158298</v>
      </c>
      <c r="AM216">
        <v>88.619966793127702</v>
      </c>
      <c r="AN216">
        <v>0.999999989821035</v>
      </c>
    </row>
    <row r="217" spans="1:40" x14ac:dyDescent="0.25">
      <c r="A217" t="str">
        <f>"20190312153855348"</f>
        <v>20190312153855348</v>
      </c>
      <c r="B217" t="str">
        <f>"1552376335336056"</f>
        <v>1552376335336056</v>
      </c>
      <c r="C217" t="s">
        <v>40</v>
      </c>
      <c r="D217">
        <v>4.0057419999999997</v>
      </c>
      <c r="E217">
        <v>0.51742140000000003</v>
      </c>
      <c r="F217" t="s">
        <v>42</v>
      </c>
      <c r="G217">
        <v>-357.52330000000001</v>
      </c>
      <c r="H217" s="1">
        <v>-2.4997770000000002E-6</v>
      </c>
      <c r="I217">
        <v>363.33659999999998</v>
      </c>
      <c r="J217">
        <v>-462.34870000000001</v>
      </c>
      <c r="K217">
        <v>1.1099190000000001</v>
      </c>
      <c r="L217">
        <v>367.5849</v>
      </c>
      <c r="M217">
        <v>0.99952660000000004</v>
      </c>
      <c r="N217">
        <v>0</v>
      </c>
      <c r="O217">
        <v>2.923984E-2</v>
      </c>
      <c r="P217">
        <v>0.99940340000000005</v>
      </c>
      <c r="Q217">
        <v>3.4162989999999997E-2</v>
      </c>
      <c r="R217">
        <v>5.0694570000000003E-3</v>
      </c>
      <c r="S217">
        <v>3.0035400000000001</v>
      </c>
      <c r="T217">
        <v>-3.1771420000000002E-2</v>
      </c>
      <c r="U217">
        <v>-0.121521</v>
      </c>
      <c r="V217">
        <v>2.4160009999999999E-2</v>
      </c>
      <c r="W217">
        <v>4.3719010000000003E-2</v>
      </c>
      <c r="X217">
        <v>0.99875170000000002</v>
      </c>
      <c r="Y217">
        <v>6.9620650000000006E-2</v>
      </c>
      <c r="Z217">
        <v>-6.7725299999999995E-4</v>
      </c>
      <c r="AA217">
        <v>0.9975733</v>
      </c>
      <c r="AB217">
        <v>18</v>
      </c>
      <c r="AC217">
        <v>104.8254</v>
      </c>
      <c r="AD217">
        <v>-1.1099214997769999</v>
      </c>
      <c r="AE217">
        <v>-4.2483000000000199</v>
      </c>
      <c r="AF217">
        <v>7.3108833977357497</v>
      </c>
      <c r="AG217">
        <v>-1.1099214997769999</v>
      </c>
      <c r="AH217">
        <v>104.64463714936601</v>
      </c>
      <c r="AI217">
        <v>90.606211825377599</v>
      </c>
      <c r="AJ217">
        <v>86.003586556705002</v>
      </c>
      <c r="AK217">
        <v>104.905581481223</v>
      </c>
      <c r="AL217">
        <v>87.494286613430802</v>
      </c>
      <c r="AM217">
        <v>88.614273505491695</v>
      </c>
      <c r="AN217">
        <v>1.0000000080857301</v>
      </c>
    </row>
    <row r="218" spans="1:40" x14ac:dyDescent="0.25">
      <c r="A218" t="str">
        <f>"20190312153855361"</f>
        <v>20190312153855361</v>
      </c>
      <c r="B218" t="str">
        <f>"1552376335356552"</f>
        <v>1552376335356552</v>
      </c>
      <c r="C218" t="s">
        <v>40</v>
      </c>
      <c r="D218">
        <v>4.0313429999999997</v>
      </c>
      <c r="E218">
        <v>0.5172812</v>
      </c>
      <c r="F218" t="s">
        <v>42</v>
      </c>
      <c r="G218">
        <v>-368.93490000000003</v>
      </c>
      <c r="H218" s="1">
        <v>-1.887026E-6</v>
      </c>
      <c r="I218">
        <v>363.83409999999998</v>
      </c>
      <c r="J218">
        <v>-462.24939999999998</v>
      </c>
      <c r="K218">
        <v>1.1099060000000001</v>
      </c>
      <c r="L218">
        <v>367.58780000000002</v>
      </c>
      <c r="M218">
        <v>0.99952779999999997</v>
      </c>
      <c r="N218">
        <v>0</v>
      </c>
      <c r="O218">
        <v>2.9209499999999999E-2</v>
      </c>
      <c r="P218">
        <v>0.99940249999999997</v>
      </c>
      <c r="Q218">
        <v>3.4220540000000001E-2</v>
      </c>
      <c r="R218">
        <v>4.8981520000000002E-3</v>
      </c>
      <c r="S218">
        <v>3.0036930000000002</v>
      </c>
      <c r="T218">
        <v>-3.5689119999999998E-2</v>
      </c>
      <c r="U218">
        <v>-0.1206055</v>
      </c>
      <c r="V218">
        <v>2.4301199999999998E-2</v>
      </c>
      <c r="W218">
        <v>4.3759979999999997E-2</v>
      </c>
      <c r="X218">
        <v>0.99874649999999998</v>
      </c>
      <c r="Y218">
        <v>6.9283339999999999E-2</v>
      </c>
      <c r="Z218">
        <v>-7.5836079999999997E-4</v>
      </c>
      <c r="AA218">
        <v>0.9975967</v>
      </c>
      <c r="AB218">
        <v>18</v>
      </c>
      <c r="AC218">
        <v>93.314499999999896</v>
      </c>
      <c r="AD218">
        <v>-1.109907887026</v>
      </c>
      <c r="AE218">
        <v>-3.75370000000003</v>
      </c>
      <c r="AF218">
        <v>6.4769772421862699</v>
      </c>
      <c r="AG218">
        <v>-1.109907887026</v>
      </c>
      <c r="AH218">
        <v>93.151874219514099</v>
      </c>
      <c r="AI218">
        <v>90.681004885999599</v>
      </c>
      <c r="AJ218">
        <v>86.022547641282998</v>
      </c>
      <c r="AK218">
        <v>93.383375395846898</v>
      </c>
      <c r="AL218">
        <v>87.491937005938794</v>
      </c>
      <c r="AM218">
        <v>88.606171314037894</v>
      </c>
      <c r="AN218">
        <v>1.0000000277166401</v>
      </c>
    </row>
    <row r="219" spans="1:40" x14ac:dyDescent="0.25">
      <c r="A219" t="str">
        <f>"20190312153855379"</f>
        <v>20190312153855379</v>
      </c>
      <c r="B219" t="str">
        <f>"1552376335366312"</f>
        <v>1552376335366312</v>
      </c>
      <c r="C219" t="s">
        <v>40</v>
      </c>
      <c r="D219">
        <v>4.0709850000000003</v>
      </c>
      <c r="E219">
        <v>0.5172852</v>
      </c>
      <c r="F219" t="s">
        <v>42</v>
      </c>
      <c r="G219">
        <v>-369.05700000000002</v>
      </c>
      <c r="H219" s="1">
        <v>-1.8363220000000001E-6</v>
      </c>
      <c r="I219">
        <v>363.86840000000001</v>
      </c>
      <c r="J219">
        <v>-462.1044</v>
      </c>
      <c r="K219">
        <v>1.10988</v>
      </c>
      <c r="L219">
        <v>367.59190000000001</v>
      </c>
      <c r="M219">
        <v>0.99952940000000001</v>
      </c>
      <c r="N219">
        <v>0</v>
      </c>
      <c r="O219">
        <v>2.9163209999999998E-2</v>
      </c>
      <c r="P219">
        <v>0.99940779999999996</v>
      </c>
      <c r="Q219">
        <v>3.4084709999999997E-2</v>
      </c>
      <c r="R219">
        <v>4.6917319999999997E-3</v>
      </c>
      <c r="S219">
        <v>3.0036010000000002</v>
      </c>
      <c r="T219">
        <v>-3.5772440000000003E-2</v>
      </c>
      <c r="U219">
        <v>-0.11987299999999999</v>
      </c>
      <c r="V219">
        <v>2.446152E-2</v>
      </c>
      <c r="W219">
        <v>4.3577999999999999E-2</v>
      </c>
      <c r="X219">
        <v>0.99875049999999999</v>
      </c>
      <c r="Y219">
        <v>6.8995459999999995E-2</v>
      </c>
      <c r="Z219">
        <v>-7.578932E-4</v>
      </c>
      <c r="AA219">
        <v>0.99761670000000002</v>
      </c>
      <c r="AB219">
        <v>18</v>
      </c>
      <c r="AC219">
        <v>93.047399999999996</v>
      </c>
      <c r="AD219">
        <v>-1.109881836322</v>
      </c>
      <c r="AE219">
        <v>-3.7235</v>
      </c>
      <c r="AF219">
        <v>6.4346856928412999</v>
      </c>
      <c r="AG219">
        <v>-1.109881836322</v>
      </c>
      <c r="AH219">
        <v>92.886031073149397</v>
      </c>
      <c r="AI219">
        <v>90.682949822959799</v>
      </c>
      <c r="AJ219">
        <v>86.037162413244303</v>
      </c>
      <c r="AK219">
        <v>93.115260758794605</v>
      </c>
      <c r="AL219">
        <v>87.502373539966499</v>
      </c>
      <c r="AM219">
        <v>88.596985220610406</v>
      </c>
      <c r="AN219">
        <v>0.99999998464747997</v>
      </c>
    </row>
    <row r="220" spans="1:40" x14ac:dyDescent="0.25">
      <c r="A220" t="str">
        <f>"20190312153855392"</f>
        <v>20190312153855392</v>
      </c>
      <c r="B220" t="str">
        <f>"1552376335386808"</f>
        <v>1552376335386808</v>
      </c>
      <c r="C220" t="s">
        <v>40</v>
      </c>
      <c r="D220">
        <v>4.0703719999999999</v>
      </c>
      <c r="E220">
        <v>0.51729629999999904</v>
      </c>
      <c r="F220" t="s">
        <v>42</v>
      </c>
      <c r="G220">
        <v>-371.40690000000001</v>
      </c>
      <c r="H220" s="1">
        <v>-4.6723549999999998E-6</v>
      </c>
      <c r="I220">
        <v>363.95839999999998</v>
      </c>
      <c r="J220">
        <v>-461.99540000000002</v>
      </c>
      <c r="K220">
        <v>1.1098650000000001</v>
      </c>
      <c r="L220">
        <v>367.5951</v>
      </c>
      <c r="M220">
        <v>0.99953099999999995</v>
      </c>
      <c r="N220">
        <v>0</v>
      </c>
      <c r="O220">
        <v>2.9127190000000001E-2</v>
      </c>
      <c r="P220">
        <v>0.9994246</v>
      </c>
      <c r="Q220">
        <v>3.3615319999999997E-2</v>
      </c>
      <c r="R220">
        <v>4.5403930000000002E-3</v>
      </c>
      <c r="S220">
        <v>3.0036320000000001</v>
      </c>
      <c r="T220">
        <v>-3.6756039999999997E-2</v>
      </c>
      <c r="U220">
        <v>-0.1203308</v>
      </c>
      <c r="V220">
        <v>2.4577539999999998E-2</v>
      </c>
      <c r="W220">
        <v>4.3059210000000001E-2</v>
      </c>
      <c r="X220">
        <v>0.99877020000000005</v>
      </c>
      <c r="Y220">
        <v>6.9110500000000005E-2</v>
      </c>
      <c r="Z220">
        <v>-7.7898319999999998E-4</v>
      </c>
      <c r="AA220">
        <v>0.99760870000000001</v>
      </c>
      <c r="AB220">
        <v>18</v>
      </c>
      <c r="AC220">
        <v>90.588499999999996</v>
      </c>
      <c r="AD220">
        <v>-1.1098696723549999</v>
      </c>
      <c r="AE220">
        <v>-3.63670000000001</v>
      </c>
      <c r="AF220">
        <v>6.2729231578522198</v>
      </c>
      <c r="AG220">
        <v>-1.1098696723549999</v>
      </c>
      <c r="AH220">
        <v>90.430577165688305</v>
      </c>
      <c r="AI220">
        <v>90.701479924087593</v>
      </c>
      <c r="AJ220">
        <v>86.0319040663219</v>
      </c>
      <c r="AK220">
        <v>90.654678104074904</v>
      </c>
      <c r="AL220">
        <v>87.532126062788294</v>
      </c>
      <c r="AM220">
        <v>88.590361250398601</v>
      </c>
      <c r="AN220">
        <v>1.0000000317231501</v>
      </c>
    </row>
    <row r="221" spans="1:40" x14ac:dyDescent="0.25">
      <c r="A221" t="str">
        <f>"20190312153855405"</f>
        <v>20190312153855405</v>
      </c>
      <c r="B221" t="str">
        <f>"1552376335396568"</f>
        <v>1552376335396568</v>
      </c>
      <c r="C221" t="s">
        <v>40</v>
      </c>
      <c r="D221">
        <v>4.0566570000000004</v>
      </c>
      <c r="E221">
        <v>0.51725120000000002</v>
      </c>
      <c r="F221" t="s">
        <v>42</v>
      </c>
      <c r="G221">
        <v>-380.6182</v>
      </c>
      <c r="H221" s="1">
        <v>-4.9469640000000001E-6</v>
      </c>
      <c r="I221">
        <v>364.31760000000003</v>
      </c>
      <c r="J221">
        <v>-461.8956</v>
      </c>
      <c r="K221">
        <v>1.1098509999999999</v>
      </c>
      <c r="L221">
        <v>367.59789999999998</v>
      </c>
      <c r="M221">
        <v>0.99953250000000005</v>
      </c>
      <c r="N221">
        <v>0</v>
      </c>
      <c r="O221">
        <v>2.90937E-2</v>
      </c>
      <c r="P221">
        <v>0.99942169999999997</v>
      </c>
      <c r="Q221">
        <v>3.3728929999999997E-2</v>
      </c>
      <c r="R221">
        <v>4.3389220000000003E-3</v>
      </c>
      <c r="S221">
        <v>3.0036010000000002</v>
      </c>
      <c r="T221">
        <v>-4.0964840000000002E-2</v>
      </c>
      <c r="U221">
        <v>-0.1209717</v>
      </c>
      <c r="V221">
        <v>2.474546E-2</v>
      </c>
      <c r="W221">
        <v>4.312067E-2</v>
      </c>
      <c r="X221">
        <v>0.99876339999999997</v>
      </c>
      <c r="Y221">
        <v>6.9288160000000001E-2</v>
      </c>
      <c r="Z221">
        <v>-8.689336E-4</v>
      </c>
      <c r="AA221">
        <v>0.99759629999999999</v>
      </c>
      <c r="AB221">
        <v>18</v>
      </c>
      <c r="AC221">
        <v>81.2774</v>
      </c>
      <c r="AD221">
        <v>-1.1098559469639999</v>
      </c>
      <c r="AE221">
        <v>-3.2802999999999498</v>
      </c>
      <c r="AF221">
        <v>5.6426256011540001</v>
      </c>
      <c r="AG221">
        <v>-1.1098559469639999</v>
      </c>
      <c r="AH221">
        <v>81.1324474084428</v>
      </c>
      <c r="AI221">
        <v>90.781843642715799</v>
      </c>
      <c r="AJ221">
        <v>86.0215809040278</v>
      </c>
      <c r="AK221">
        <v>81.336000801499594</v>
      </c>
      <c r="AL221">
        <v>87.528601385254802</v>
      </c>
      <c r="AM221">
        <v>88.580724507034304</v>
      </c>
      <c r="AN221">
        <v>1.0000000295756999</v>
      </c>
    </row>
    <row r="222" spans="1:40" x14ac:dyDescent="0.25">
      <c r="A222" t="str">
        <f>"20190312153855424"</f>
        <v>20190312153855424</v>
      </c>
      <c r="B222" t="str">
        <f>"1552376335416089"</f>
        <v>1552376335416089</v>
      </c>
      <c r="C222" t="s">
        <v>40</v>
      </c>
      <c r="D222">
        <v>4.0707979999999999</v>
      </c>
      <c r="E222">
        <v>0.51717659999999999</v>
      </c>
      <c r="F222" t="s">
        <v>42</v>
      </c>
      <c r="G222">
        <v>-382.26920000000001</v>
      </c>
      <c r="H222" s="1">
        <v>-4.2258399999999997E-6</v>
      </c>
      <c r="I222">
        <v>364.39010000000002</v>
      </c>
      <c r="J222">
        <v>-461.74200000000002</v>
      </c>
      <c r="K222">
        <v>1.1098319999999999</v>
      </c>
      <c r="L222">
        <v>367.60239999999999</v>
      </c>
      <c r="M222">
        <v>0.99953499999999995</v>
      </c>
      <c r="N222">
        <v>0</v>
      </c>
      <c r="O222">
        <v>2.9041020000000001E-2</v>
      </c>
      <c r="P222">
        <v>0.99943070000000001</v>
      </c>
      <c r="Q222">
        <v>3.3542549999999997E-2</v>
      </c>
      <c r="R222">
        <v>3.659163E-3</v>
      </c>
      <c r="S222">
        <v>3.0036619999999998</v>
      </c>
      <c r="T222">
        <v>-4.186583E-2</v>
      </c>
      <c r="U222">
        <v>-0.1210022</v>
      </c>
      <c r="V222">
        <v>2.537269E-2</v>
      </c>
      <c r="W222">
        <v>4.284102E-2</v>
      </c>
      <c r="X222">
        <v>0.99875970000000003</v>
      </c>
      <c r="Y222">
        <v>6.9244470000000002E-2</v>
      </c>
      <c r="Z222">
        <v>-8.8698640000000001E-4</v>
      </c>
      <c r="AA222">
        <v>0.99759929999999997</v>
      </c>
      <c r="AB222">
        <v>18</v>
      </c>
      <c r="AC222">
        <v>79.472799999999907</v>
      </c>
      <c r="AD222">
        <v>-1.1098362258400001</v>
      </c>
      <c r="AE222">
        <v>-3.2122999999999702</v>
      </c>
      <c r="AF222">
        <v>5.5179415318039</v>
      </c>
      <c r="AG222">
        <v>-1.1098362258400001</v>
      </c>
      <c r="AH222">
        <v>79.330538752522202</v>
      </c>
      <c r="AI222">
        <v>90.799585458118003</v>
      </c>
      <c r="AJ222">
        <v>86.0211240183135</v>
      </c>
      <c r="AK222">
        <v>79.529955324783202</v>
      </c>
      <c r="AL222">
        <v>87.544638976822696</v>
      </c>
      <c r="AM222">
        <v>88.544759629165497</v>
      </c>
      <c r="AN222">
        <v>1.0000000323682801</v>
      </c>
    </row>
    <row r="223" spans="1:40" x14ac:dyDescent="0.25">
      <c r="A223" t="str">
        <f>"20190312153855449"</f>
        <v>20190312153855449</v>
      </c>
      <c r="B223" t="str">
        <f>"1552376335446344"</f>
        <v>1552376335446344</v>
      </c>
      <c r="C223" t="s">
        <v>40</v>
      </c>
      <c r="D223">
        <v>4.0905379999999996</v>
      </c>
      <c r="E223">
        <v>0.5170844</v>
      </c>
      <c r="F223" t="s">
        <v>42</v>
      </c>
      <c r="G223">
        <v>-384.4819</v>
      </c>
      <c r="H223" s="1">
        <v>-3.265573E-6</v>
      </c>
      <c r="I223">
        <v>364.45209999999997</v>
      </c>
      <c r="J223">
        <v>-461.54500000000002</v>
      </c>
      <c r="K223">
        <v>1.109799</v>
      </c>
      <c r="L223">
        <v>367.608</v>
      </c>
      <c r="M223">
        <v>0.99953829999999999</v>
      </c>
      <c r="N223">
        <v>0</v>
      </c>
      <c r="O223">
        <v>2.8971440000000001E-2</v>
      </c>
      <c r="P223">
        <v>0.99940960000000001</v>
      </c>
      <c r="Q223">
        <v>3.4220159999999999E-2</v>
      </c>
      <c r="R223">
        <v>3.0841079999999999E-3</v>
      </c>
      <c r="S223">
        <v>3.003571</v>
      </c>
      <c r="T223">
        <v>-4.3146009999999999E-2</v>
      </c>
      <c r="U223">
        <v>-0.12246700000000001</v>
      </c>
      <c r="V223">
        <v>2.5877589999999999E-2</v>
      </c>
      <c r="W223">
        <v>4.3370770000000003E-2</v>
      </c>
      <c r="X223">
        <v>0.9987239</v>
      </c>
      <c r="Y223">
        <v>6.9661299999999995E-2</v>
      </c>
      <c r="Z223">
        <v>-9.1611839999999997E-4</v>
      </c>
      <c r="AA223">
        <v>0.99757030000000002</v>
      </c>
      <c r="AB223">
        <v>18</v>
      </c>
      <c r="AC223">
        <v>77.063100000000006</v>
      </c>
      <c r="AD223">
        <v>-1.109802265573</v>
      </c>
      <c r="AE223">
        <v>-3.1559000000000301</v>
      </c>
      <c r="AF223">
        <v>5.3861825488079003</v>
      </c>
      <c r="AG223">
        <v>-1.109802265573</v>
      </c>
      <c r="AH223">
        <v>76.923387644203601</v>
      </c>
      <c r="AI223">
        <v>90.824551571173501</v>
      </c>
      <c r="AJ223">
        <v>85.994681584493705</v>
      </c>
      <c r="AK223">
        <v>77.119713369398397</v>
      </c>
      <c r="AL223">
        <v>87.514258345760595</v>
      </c>
      <c r="AM223">
        <v>88.515760942249301</v>
      </c>
      <c r="AN223">
        <v>1.0000000508928999</v>
      </c>
    </row>
    <row r="224" spans="1:40" x14ac:dyDescent="0.25">
      <c r="A224" t="str">
        <f>"20190312153855467"</f>
        <v>20190312153855467</v>
      </c>
      <c r="B224" t="str">
        <f>"1552376335456106"</f>
        <v>1552376335456106</v>
      </c>
      <c r="C224" t="s">
        <v>40</v>
      </c>
      <c r="D224">
        <v>4.0841010000000004</v>
      </c>
      <c r="E224">
        <v>0.51696850000000005</v>
      </c>
      <c r="F224" t="s">
        <v>42</v>
      </c>
      <c r="G224">
        <v>-382.18419999999998</v>
      </c>
      <c r="H224" s="1">
        <v>-4.2697900000000003E-6</v>
      </c>
      <c r="I224">
        <v>364.34789999999998</v>
      </c>
      <c r="J224">
        <v>-461.38659999999999</v>
      </c>
      <c r="K224">
        <v>1.1097760000000001</v>
      </c>
      <c r="L224">
        <v>367.61259999999999</v>
      </c>
      <c r="M224">
        <v>0.99954129999999997</v>
      </c>
      <c r="N224">
        <v>0</v>
      </c>
      <c r="O224">
        <v>2.8914559999999999E-2</v>
      </c>
      <c r="P224">
        <v>0.99940039999999997</v>
      </c>
      <c r="Q224">
        <v>3.4532729999999998E-2</v>
      </c>
      <c r="R224">
        <v>2.5388059999999998E-3</v>
      </c>
      <c r="S224">
        <v>3.0036010000000002</v>
      </c>
      <c r="T224">
        <v>-4.2003150000000003E-2</v>
      </c>
      <c r="U224">
        <v>-0.1233826</v>
      </c>
      <c r="V224">
        <v>2.636575E-2</v>
      </c>
      <c r="W224">
        <v>4.3545130000000001E-2</v>
      </c>
      <c r="X224">
        <v>0.99870349999999997</v>
      </c>
      <c r="Y224">
        <v>6.9908159999999997E-2</v>
      </c>
      <c r="Z224">
        <v>-8.9276999999999998E-4</v>
      </c>
      <c r="AA224">
        <v>0.99755309999999997</v>
      </c>
      <c r="AB224">
        <v>18</v>
      </c>
      <c r="AC224">
        <v>79.202399999999997</v>
      </c>
      <c r="AD224">
        <v>-1.1097802697900001</v>
      </c>
      <c r="AE224">
        <v>-3.2646999999999999</v>
      </c>
      <c r="AF224">
        <v>5.5524420456773296</v>
      </c>
      <c r="AG224">
        <v>-1.1097802697900001</v>
      </c>
      <c r="AH224">
        <v>79.059384760383693</v>
      </c>
      <c r="AI224">
        <v>90.802249374600706</v>
      </c>
      <c r="AJ224">
        <v>85.982640333151593</v>
      </c>
      <c r="AK224">
        <v>79.261892127353406</v>
      </c>
      <c r="AL224">
        <v>87.504258695075407</v>
      </c>
      <c r="AM224">
        <v>88.487743967398501</v>
      </c>
      <c r="AN224">
        <v>1.0000000060160099</v>
      </c>
    </row>
    <row r="225" spans="1:40" x14ac:dyDescent="0.25">
      <c r="A225" t="str">
        <f>"20190312153855481"</f>
        <v>20190312153855481</v>
      </c>
      <c r="B225" t="str">
        <f>"1552376335476601"</f>
        <v>1552376335476601</v>
      </c>
      <c r="C225" t="s">
        <v>40</v>
      </c>
      <c r="D225">
        <v>4.0916040000000002</v>
      </c>
      <c r="E225">
        <v>0.51682329999999999</v>
      </c>
      <c r="F225" t="s">
        <v>42</v>
      </c>
      <c r="G225">
        <v>-380.25490000000002</v>
      </c>
      <c r="H225" s="1">
        <v>-5.1130729999999997E-6</v>
      </c>
      <c r="I225">
        <v>364.25990000000002</v>
      </c>
      <c r="J225">
        <v>-461.28359999999998</v>
      </c>
      <c r="K225">
        <v>1.1097600000000001</v>
      </c>
      <c r="L225">
        <v>367.6155</v>
      </c>
      <c r="M225">
        <v>0.99954319999999997</v>
      </c>
      <c r="N225">
        <v>0</v>
      </c>
      <c r="O225">
        <v>2.887764E-2</v>
      </c>
      <c r="P225">
        <v>0.99939480000000003</v>
      </c>
      <c r="Q225">
        <v>3.4712300000000001E-2</v>
      </c>
      <c r="R225">
        <v>2.3106369999999999E-3</v>
      </c>
      <c r="S225">
        <v>3.0035400000000001</v>
      </c>
      <c r="T225">
        <v>-4.108465E-2</v>
      </c>
      <c r="U225">
        <v>-0.124115</v>
      </c>
      <c r="V225">
        <v>2.6556719999999999E-2</v>
      </c>
      <c r="W225">
        <v>4.3627060000000002E-2</v>
      </c>
      <c r="X225">
        <v>0.99869479999999999</v>
      </c>
      <c r="Y225">
        <v>7.0115360000000002E-2</v>
      </c>
      <c r="Z225">
        <v>-8.7417419999999998E-4</v>
      </c>
      <c r="AA225">
        <v>0.99753849999999999</v>
      </c>
      <c r="AB225">
        <v>18</v>
      </c>
      <c r="AC225">
        <v>81.028699999999901</v>
      </c>
      <c r="AD225">
        <v>-1.109765113073</v>
      </c>
      <c r="AE225">
        <v>-3.3555999999999799</v>
      </c>
      <c r="AF225">
        <v>5.6931449768445104</v>
      </c>
      <c r="AG225">
        <v>-1.109765113073</v>
      </c>
      <c r="AH225">
        <v>80.882853002389297</v>
      </c>
      <c r="AI225">
        <v>90.784146021091701</v>
      </c>
      <c r="AJ225">
        <v>85.973731573822405</v>
      </c>
      <c r="AK225">
        <v>81.090562879657398</v>
      </c>
      <c r="AL225">
        <v>87.499559825524798</v>
      </c>
      <c r="AM225">
        <v>88.476782410923803</v>
      </c>
      <c r="AN225">
        <v>0.99999994164421901</v>
      </c>
    </row>
    <row r="226" spans="1:40" x14ac:dyDescent="0.25">
      <c r="A226" t="str">
        <f>"20190312153855494"</f>
        <v>20190312153855494</v>
      </c>
      <c r="B226" t="str">
        <f>"1552376335486362"</f>
        <v>1552376335486362</v>
      </c>
      <c r="C226" t="s">
        <v>40</v>
      </c>
      <c r="D226">
        <v>4.0934730000000004</v>
      </c>
      <c r="E226">
        <v>0.51678800000000003</v>
      </c>
      <c r="F226" t="s">
        <v>42</v>
      </c>
      <c r="G226">
        <v>-380.28789999999998</v>
      </c>
      <c r="H226" s="1">
        <v>-5.0949140000000001E-6</v>
      </c>
      <c r="I226">
        <v>364.2824</v>
      </c>
      <c r="J226">
        <v>-461.17270000000002</v>
      </c>
      <c r="K226">
        <v>1.109745</v>
      </c>
      <c r="L226">
        <v>367.61869999999999</v>
      </c>
      <c r="M226">
        <v>0.99954529999999997</v>
      </c>
      <c r="N226">
        <v>0</v>
      </c>
      <c r="O226">
        <v>2.88378E-2</v>
      </c>
      <c r="P226">
        <v>0.99938519999999997</v>
      </c>
      <c r="Q226">
        <v>3.4986700000000003E-2</v>
      </c>
      <c r="R226">
        <v>2.3005410000000001E-3</v>
      </c>
      <c r="S226">
        <v>3.0035400000000001</v>
      </c>
      <c r="T226">
        <v>-4.115307E-2</v>
      </c>
      <c r="U226">
        <v>-0.1235962</v>
      </c>
      <c r="V226">
        <v>2.6526790000000001E-2</v>
      </c>
      <c r="W226">
        <v>4.3789040000000001E-2</v>
      </c>
      <c r="X226">
        <v>0.99868860000000004</v>
      </c>
      <c r="Y226">
        <v>6.9903560000000003E-2</v>
      </c>
      <c r="Z226">
        <v>-8.7363670000000003E-4</v>
      </c>
      <c r="AA226">
        <v>0.99755329999999998</v>
      </c>
      <c r="AB226">
        <v>18</v>
      </c>
      <c r="AC226">
        <v>80.884799999999998</v>
      </c>
      <c r="AD226">
        <v>-1.109750094914</v>
      </c>
      <c r="AE226">
        <v>-3.3362999999999898</v>
      </c>
      <c r="AF226">
        <v>5.6664776451612298</v>
      </c>
      <c r="AG226">
        <v>-1.109750094914</v>
      </c>
      <c r="AH226">
        <v>80.739769651709096</v>
      </c>
      <c r="AI226">
        <v>90.785536137321202</v>
      </c>
      <c r="AJ226">
        <v>85.985450819636</v>
      </c>
      <c r="AK226">
        <v>80.945975301971103</v>
      </c>
      <c r="AL226">
        <v>87.490270411848797</v>
      </c>
      <c r="AM226">
        <v>88.478488861563903</v>
      </c>
      <c r="AN226">
        <v>1.00000003519089</v>
      </c>
    </row>
    <row r="227" spans="1:40" x14ac:dyDescent="0.25">
      <c r="A227" t="str">
        <f>"20190312153855505"</f>
        <v>20190312153855505</v>
      </c>
      <c r="B227" t="str">
        <f>"1552376335496120"</f>
        <v>1552376335496120</v>
      </c>
      <c r="C227" t="s">
        <v>40</v>
      </c>
      <c r="D227">
        <v>4.1008820000000004</v>
      </c>
      <c r="E227">
        <v>0.51679699999999995</v>
      </c>
      <c r="F227" t="s">
        <v>42</v>
      </c>
      <c r="G227">
        <v>-379.0711</v>
      </c>
      <c r="H227" s="1">
        <v>-1.7317639999999999E-6</v>
      </c>
      <c r="I227">
        <v>364.24340000000001</v>
      </c>
      <c r="J227">
        <v>-461.07299999999998</v>
      </c>
      <c r="K227">
        <v>1.1097319999999999</v>
      </c>
      <c r="L227">
        <v>367.62150000000003</v>
      </c>
      <c r="M227">
        <v>0.99954719999999997</v>
      </c>
      <c r="N227">
        <v>0</v>
      </c>
      <c r="O227">
        <v>2.8802210000000002E-2</v>
      </c>
      <c r="P227">
        <v>0.99939250000000002</v>
      </c>
      <c r="Q227">
        <v>3.4781680000000002E-2</v>
      </c>
      <c r="R227">
        <v>2.1831419999999999E-3</v>
      </c>
      <c r="S227">
        <v>3.0035400000000001</v>
      </c>
      <c r="T227">
        <v>-4.059803E-2</v>
      </c>
      <c r="U227">
        <v>-0.1234741</v>
      </c>
      <c r="V227">
        <v>2.6608739999999999E-2</v>
      </c>
      <c r="W227">
        <v>4.3479869999999997E-2</v>
      </c>
      <c r="X227">
        <v>0.99869989999999997</v>
      </c>
      <c r="Y227">
        <v>6.9827799999999995E-2</v>
      </c>
      <c r="Z227">
        <v>-8.6086259999999999E-4</v>
      </c>
      <c r="AA227">
        <v>0.99755870000000002</v>
      </c>
      <c r="AB227">
        <v>18</v>
      </c>
      <c r="AC227">
        <v>82.001900000000006</v>
      </c>
      <c r="AD227">
        <v>-1.1097337317639999</v>
      </c>
      <c r="AE227">
        <v>-3.3781000000000101</v>
      </c>
      <c r="AF227">
        <v>5.7375749028519003</v>
      </c>
      <c r="AG227">
        <v>-1.1097337317639999</v>
      </c>
      <c r="AH227">
        <v>81.855611016338997</v>
      </c>
      <c r="AI227">
        <v>90.774822503156997</v>
      </c>
      <c r="AJ227">
        <v>85.990476117336698</v>
      </c>
      <c r="AK227">
        <v>82.063952680695607</v>
      </c>
      <c r="AL227">
        <v>87.508001365321604</v>
      </c>
      <c r="AM227">
        <v>88.473807892208299</v>
      </c>
      <c r="AN227">
        <v>1.0000000071998001</v>
      </c>
    </row>
    <row r="228" spans="1:40" x14ac:dyDescent="0.25">
      <c r="A228" t="str">
        <f>"20190312153855524"</f>
        <v>20190312153855524</v>
      </c>
      <c r="B228" t="str">
        <f>"1552376335516617"</f>
        <v>1552376335516617</v>
      </c>
      <c r="C228" t="s">
        <v>40</v>
      </c>
      <c r="D228">
        <v>4.1215279999999996</v>
      </c>
      <c r="E228">
        <v>0.51675170000000004</v>
      </c>
      <c r="F228" t="s">
        <v>42</v>
      </c>
      <c r="G228">
        <v>-380.94670000000002</v>
      </c>
      <c r="H228" s="1">
        <v>-4.807772E-6</v>
      </c>
      <c r="I228">
        <v>364.30790000000002</v>
      </c>
      <c r="J228">
        <v>-460.92250000000001</v>
      </c>
      <c r="K228">
        <v>1.1097250000000001</v>
      </c>
      <c r="L228">
        <v>367.62569999999999</v>
      </c>
      <c r="M228">
        <v>0.99955020000000006</v>
      </c>
      <c r="N228">
        <v>0</v>
      </c>
      <c r="O228">
        <v>2.8748269999999999E-2</v>
      </c>
      <c r="P228">
        <v>0.99936069999999999</v>
      </c>
      <c r="Q228">
        <v>3.5681310000000001E-2</v>
      </c>
      <c r="R228">
        <v>2.297243E-3</v>
      </c>
      <c r="S228">
        <v>3.0035099999999999</v>
      </c>
      <c r="T228">
        <v>-4.1598080000000003E-2</v>
      </c>
      <c r="U228">
        <v>-0.1242065</v>
      </c>
      <c r="V228">
        <v>2.643978E-2</v>
      </c>
      <c r="W228">
        <v>4.4219199999999903E-2</v>
      </c>
      <c r="X228">
        <v>0.99867189999999995</v>
      </c>
      <c r="Y228">
        <v>7.0016729999999999E-2</v>
      </c>
      <c r="Z228">
        <v>-8.8263130000000003E-4</v>
      </c>
      <c r="AA228">
        <v>0.99754540000000003</v>
      </c>
      <c r="AB228">
        <v>18</v>
      </c>
      <c r="AC228">
        <v>79.975799999999893</v>
      </c>
      <c r="AD228">
        <v>-1.1097298077719999</v>
      </c>
      <c r="AE228">
        <v>-3.3177999999999699</v>
      </c>
      <c r="AF228">
        <v>5.6145991693546096</v>
      </c>
      <c r="AG228">
        <v>-1.1097298077719999</v>
      </c>
      <c r="AH228">
        <v>79.832013428724807</v>
      </c>
      <c r="AI228">
        <v>90.794444445738606</v>
      </c>
      <c r="AJ228">
        <v>85.977002321656997</v>
      </c>
      <c r="AK228">
        <v>80.036901440291103</v>
      </c>
      <c r="AL228">
        <v>87.465600027590199</v>
      </c>
      <c r="AM228">
        <v>88.483451858041704</v>
      </c>
      <c r="AN228">
        <v>0.99999998173234905</v>
      </c>
    </row>
    <row r="229" spans="1:40" x14ac:dyDescent="0.25">
      <c r="A229" t="str">
        <f>"20190312153855538"</f>
        <v>20190312153855538</v>
      </c>
      <c r="B229" t="str">
        <f>"1552376335526376"</f>
        <v>1552376335526376</v>
      </c>
      <c r="C229" t="s">
        <v>40</v>
      </c>
      <c r="D229">
        <v>4.1090450000000001</v>
      </c>
      <c r="E229">
        <v>0.5167311</v>
      </c>
      <c r="F229" t="s">
        <v>42</v>
      </c>
      <c r="G229">
        <v>-376.23989999999998</v>
      </c>
      <c r="H229" s="1">
        <v>-2.7185770000000001E-6</v>
      </c>
      <c r="I229">
        <v>364.15570000000002</v>
      </c>
      <c r="J229">
        <v>-460.81319999999999</v>
      </c>
      <c r="K229">
        <v>1.109715</v>
      </c>
      <c r="L229">
        <v>367.62889999999999</v>
      </c>
      <c r="M229">
        <v>0.99955229999999995</v>
      </c>
      <c r="N229">
        <v>0</v>
      </c>
      <c r="O229">
        <v>2.87094E-2</v>
      </c>
      <c r="P229">
        <v>0.99931840000000005</v>
      </c>
      <c r="Q229">
        <v>3.683873E-2</v>
      </c>
      <c r="R229">
        <v>2.4119789999999999E-3</v>
      </c>
      <c r="S229">
        <v>3.0036619999999998</v>
      </c>
      <c r="T229">
        <v>-3.9361599999999997E-2</v>
      </c>
      <c r="U229">
        <v>-0.1230774</v>
      </c>
      <c r="V229">
        <v>2.6285309999999999E-2</v>
      </c>
      <c r="W229">
        <v>4.525767E-2</v>
      </c>
      <c r="X229">
        <v>0.99862949999999995</v>
      </c>
      <c r="Y229">
        <v>6.9602449999999996E-2</v>
      </c>
      <c r="Z229">
        <v>-8.3192240000000005E-4</v>
      </c>
      <c r="AA229">
        <v>0.99757439999999997</v>
      </c>
      <c r="AB229">
        <v>18</v>
      </c>
      <c r="AC229">
        <v>84.573300000000003</v>
      </c>
      <c r="AD229">
        <v>-1.109717718577</v>
      </c>
      <c r="AE229">
        <v>-3.4731999999999599</v>
      </c>
      <c r="AF229">
        <v>5.8988892047746697</v>
      </c>
      <c r="AG229">
        <v>-1.109717718577</v>
      </c>
      <c r="AH229">
        <v>84.424208526365902</v>
      </c>
      <c r="AI229">
        <v>90.751252121332996</v>
      </c>
      <c r="AJ229">
        <v>86.003124611113407</v>
      </c>
      <c r="AK229">
        <v>84.637316548721302</v>
      </c>
      <c r="AL229">
        <v>87.406040556259995</v>
      </c>
      <c r="AM229">
        <v>88.492243951500598</v>
      </c>
      <c r="AN229">
        <v>1.0000000262429301</v>
      </c>
    </row>
    <row r="230" spans="1:40" x14ac:dyDescent="0.25">
      <c r="A230" t="str">
        <f>"20190312153855550"</f>
        <v>20190312153855550</v>
      </c>
      <c r="B230" t="str">
        <f>"1552376335545897"</f>
        <v>1552376335545897</v>
      </c>
      <c r="C230" t="s">
        <v>40</v>
      </c>
      <c r="D230">
        <v>4.0954360000000003</v>
      </c>
      <c r="E230">
        <v>0.51666089999999998</v>
      </c>
      <c r="F230" t="s">
        <v>42</v>
      </c>
      <c r="G230">
        <v>-369.07240000000002</v>
      </c>
      <c r="H230" s="1">
        <v>-1.8277680000000001E-6</v>
      </c>
      <c r="I230">
        <v>363.8809</v>
      </c>
      <c r="J230">
        <v>-460.70589999999999</v>
      </c>
      <c r="K230">
        <v>1.1097140000000001</v>
      </c>
      <c r="L230">
        <v>367.63189999999997</v>
      </c>
      <c r="M230">
        <v>0.99955430000000001</v>
      </c>
      <c r="N230">
        <v>0</v>
      </c>
      <c r="O230">
        <v>2.8671510000000001E-2</v>
      </c>
      <c r="P230">
        <v>0.99927100000000002</v>
      </c>
      <c r="Q230">
        <v>3.8108740000000002E-2</v>
      </c>
      <c r="R230">
        <v>2.3448589999999999E-3</v>
      </c>
      <c r="S230">
        <v>3.0036930000000002</v>
      </c>
      <c r="T230">
        <v>-3.6333320000000002E-2</v>
      </c>
      <c r="U230">
        <v>-0.12271120000000001</v>
      </c>
      <c r="V230">
        <v>2.631329E-2</v>
      </c>
      <c r="W230">
        <v>4.6411830000000001E-2</v>
      </c>
      <c r="X230">
        <v>0.99857569999999996</v>
      </c>
      <c r="Y230">
        <v>6.9444049999999993E-2</v>
      </c>
      <c r="Z230">
        <v>-7.6650149999999903E-4</v>
      </c>
      <c r="AA230">
        <v>0.99758550000000001</v>
      </c>
      <c r="AB230">
        <v>18</v>
      </c>
      <c r="AC230">
        <v>91.633499999999898</v>
      </c>
      <c r="AD230">
        <v>-1.1097158277679999</v>
      </c>
      <c r="AE230">
        <v>-3.7509999999999701</v>
      </c>
      <c r="AF230">
        <v>6.3758859297254098</v>
      </c>
      <c r="AG230">
        <v>-1.1097158277679999</v>
      </c>
      <c r="AH230">
        <v>91.474881821395797</v>
      </c>
      <c r="AI230">
        <v>90.693360281358295</v>
      </c>
      <c r="AJ230">
        <v>86.012878314239302</v>
      </c>
      <c r="AK230">
        <v>91.703529893050401</v>
      </c>
      <c r="AL230">
        <v>87.3398422504564</v>
      </c>
      <c r="AM230">
        <v>88.490558446304803</v>
      </c>
      <c r="AN230">
        <v>0.99999993791252895</v>
      </c>
    </row>
    <row r="231" spans="1:40" x14ac:dyDescent="0.25">
      <c r="A231" t="str">
        <f>"20190312153855568"</f>
        <v>20190312153855568</v>
      </c>
      <c r="B231" t="str">
        <f>"1552376335556636"</f>
        <v>1552376335556636</v>
      </c>
      <c r="C231" t="s">
        <v>40</v>
      </c>
      <c r="D231">
        <v>4.0965350000000003</v>
      </c>
      <c r="E231">
        <v>0.51661029999999997</v>
      </c>
      <c r="F231" t="s">
        <v>42</v>
      </c>
      <c r="G231">
        <v>-359.46749999999997</v>
      </c>
      <c r="H231" s="1">
        <v>-1.791395E-6</v>
      </c>
      <c r="I231">
        <v>363.51240000000001</v>
      </c>
      <c r="J231">
        <v>-460.56439999999998</v>
      </c>
      <c r="K231">
        <v>1.109712</v>
      </c>
      <c r="L231">
        <v>367.63589999999999</v>
      </c>
      <c r="M231">
        <v>0.99955709999999998</v>
      </c>
      <c r="N231">
        <v>0</v>
      </c>
      <c r="O231">
        <v>2.8621669999999998E-2</v>
      </c>
      <c r="P231">
        <v>0.99916539999999998</v>
      </c>
      <c r="Q231">
        <v>4.0815789999999998E-2</v>
      </c>
      <c r="R231">
        <v>1.5787139999999999E-3</v>
      </c>
      <c r="S231">
        <v>3.0037229999999999</v>
      </c>
      <c r="T231">
        <v>-3.2925009999999998E-2</v>
      </c>
      <c r="U231">
        <v>-0.1222229</v>
      </c>
      <c r="V231">
        <v>2.7026629999999999E-2</v>
      </c>
      <c r="W231">
        <v>4.8968100000000001E-2</v>
      </c>
      <c r="X231">
        <v>0.99843459999999995</v>
      </c>
      <c r="Y231">
        <v>6.9233249999999996E-2</v>
      </c>
      <c r="Z231">
        <v>-6.9289679999999998E-4</v>
      </c>
      <c r="AA231">
        <v>0.9976003</v>
      </c>
      <c r="AB231">
        <v>18</v>
      </c>
      <c r="AC231">
        <v>101.09690000000001</v>
      </c>
      <c r="AD231">
        <v>-1.1097137913949999</v>
      </c>
      <c r="AE231">
        <v>-4.1234999999999697</v>
      </c>
      <c r="AF231">
        <v>7.01462496334213</v>
      </c>
      <c r="AG231">
        <v>-1.1097137913949999</v>
      </c>
      <c r="AH231">
        <v>100.92531393762501</v>
      </c>
      <c r="AI231">
        <v>90.628448430036499</v>
      </c>
      <c r="AJ231">
        <v>86.024157917916696</v>
      </c>
      <c r="AK231">
        <v>101.17487544585001</v>
      </c>
      <c r="AL231">
        <v>87.193212004638895</v>
      </c>
      <c r="AM231">
        <v>88.449438966296995</v>
      </c>
      <c r="AN231">
        <v>0.99999998201196305</v>
      </c>
    </row>
    <row r="232" spans="1:40" x14ac:dyDescent="0.25">
      <c r="A232" t="str">
        <f>"20190312153855581"</f>
        <v>20190312153855581</v>
      </c>
      <c r="B232" t="str">
        <f>"1552376335576152"</f>
        <v>1552376335576152</v>
      </c>
      <c r="C232" t="s">
        <v>40</v>
      </c>
      <c r="D232">
        <v>4.1709579999999997</v>
      </c>
      <c r="E232">
        <v>0.53206249999999999</v>
      </c>
      <c r="F232" t="s">
        <v>42</v>
      </c>
      <c r="G232">
        <v>-325.69690000000003</v>
      </c>
      <c r="H232" s="1">
        <v>-3.460542E-6</v>
      </c>
      <c r="I232">
        <v>362.0616</v>
      </c>
      <c r="J232">
        <v>-460.46109999999999</v>
      </c>
      <c r="K232">
        <v>1.1097049999999999</v>
      </c>
      <c r="L232">
        <v>367.63889999999998</v>
      </c>
      <c r="M232">
        <v>0.99955879999999997</v>
      </c>
      <c r="N232">
        <v>0</v>
      </c>
      <c r="O232">
        <v>2.8585760000000002E-2</v>
      </c>
      <c r="P232">
        <v>0.99912699999999999</v>
      </c>
      <c r="Q232">
        <v>4.1759230000000001E-2</v>
      </c>
      <c r="R232">
        <v>1.0706820000000001E-3</v>
      </c>
      <c r="S232">
        <v>3.0036930000000002</v>
      </c>
      <c r="T232">
        <v>-2.4714949999999999E-2</v>
      </c>
      <c r="U232">
        <v>-0.12414550000000001</v>
      </c>
      <c r="V232">
        <v>2.7497569999999999E-2</v>
      </c>
      <c r="W232">
        <v>4.9804880000000003E-2</v>
      </c>
      <c r="X232">
        <v>0.99838039999999995</v>
      </c>
      <c r="Y232">
        <v>6.983781E-2</v>
      </c>
      <c r="Z232">
        <v>-5.2231489999999897E-4</v>
      </c>
      <c r="AA232">
        <v>0.99755819999999995</v>
      </c>
      <c r="AB232">
        <v>19</v>
      </c>
      <c r="AC232">
        <v>134.76419999999899</v>
      </c>
      <c r="AD232">
        <v>-1.109708460542</v>
      </c>
      <c r="AE232">
        <v>-5.5772999999999797</v>
      </c>
      <c r="AF232">
        <v>9.4268449478813405</v>
      </c>
      <c r="AG232">
        <v>-1.109708460542</v>
      </c>
      <c r="AH232">
        <v>134.540580553128</v>
      </c>
      <c r="AI232">
        <v>90.471416721552401</v>
      </c>
      <c r="AJ232">
        <v>85.992011177948001</v>
      </c>
      <c r="AK232">
        <v>134.874996474927</v>
      </c>
      <c r="AL232">
        <v>87.145209609547194</v>
      </c>
      <c r="AM232">
        <v>88.422348321400506</v>
      </c>
      <c r="AN232">
        <v>1.00000003276593</v>
      </c>
    </row>
    <row r="233" spans="1:40" x14ac:dyDescent="0.25">
      <c r="A233" t="str">
        <f>"20190312153855593"</f>
        <v>20190312153855593</v>
      </c>
      <c r="B233" t="str">
        <f>"1552376335585913"</f>
        <v>1552376335585913</v>
      </c>
      <c r="C233" t="s">
        <v>40</v>
      </c>
      <c r="D233">
        <v>3.9933230000000002</v>
      </c>
      <c r="E233">
        <v>0.53206249999999999</v>
      </c>
      <c r="F233" t="s">
        <v>43</v>
      </c>
      <c r="G233">
        <v>-273.61500000000001</v>
      </c>
      <c r="H233">
        <v>-0.05</v>
      </c>
      <c r="I233">
        <v>352.14830000000001</v>
      </c>
      <c r="J233">
        <v>-460.34890000000001</v>
      </c>
      <c r="K233">
        <v>1.1096950000000001</v>
      </c>
      <c r="L233">
        <v>367.642</v>
      </c>
      <c r="M233">
        <v>0.99956100000000003</v>
      </c>
      <c r="N233">
        <v>0</v>
      </c>
      <c r="O233">
        <v>2.8546470000000001E-2</v>
      </c>
      <c r="P233">
        <v>0.99908350000000001</v>
      </c>
      <c r="Q233">
        <v>4.2804380000000003E-2</v>
      </c>
      <c r="R233">
        <v>4.9018320000000001E-4</v>
      </c>
      <c r="S233">
        <v>3.0036930000000002</v>
      </c>
      <c r="T233">
        <v>-1.8643139999999999E-2</v>
      </c>
      <c r="U233">
        <v>-0.24902340000000001</v>
      </c>
      <c r="V233">
        <v>2.8037360000000001E-2</v>
      </c>
      <c r="W233">
        <v>5.0738779999999997E-2</v>
      </c>
      <c r="X233">
        <v>0.99831829999999999</v>
      </c>
      <c r="Y233">
        <v>0.1110357</v>
      </c>
      <c r="Z233">
        <v>-5.209069E-4</v>
      </c>
      <c r="AA233">
        <v>0.99381629999999999</v>
      </c>
      <c r="AB233">
        <v>19</v>
      </c>
      <c r="AC233">
        <v>186.73390000000001</v>
      </c>
      <c r="AD233">
        <v>-1.1596949999999999</v>
      </c>
      <c r="AE233">
        <v>-15.493699999999899</v>
      </c>
      <c r="AF233">
        <v>20.8173493270364</v>
      </c>
      <c r="AG233">
        <v>-1.1596949999999999</v>
      </c>
      <c r="AH233">
        <v>186.208357721807</v>
      </c>
      <c r="AI233">
        <v>90.354621073856194</v>
      </c>
      <c r="AJ233">
        <v>83.621048553332798</v>
      </c>
      <c r="AK233">
        <v>187.371981392495</v>
      </c>
      <c r="AL233">
        <v>87.091633162776603</v>
      </c>
      <c r="AM233">
        <v>88.391294395440994</v>
      </c>
      <c r="AN233">
        <v>0.99999997273327301</v>
      </c>
    </row>
    <row r="234" spans="1:40" x14ac:dyDescent="0.25">
      <c r="A234" t="str">
        <f>"20190312153855614"</f>
        <v>20190312153855614</v>
      </c>
      <c r="B234" t="str">
        <f>"1552376335606409"</f>
        <v>1552376335606409</v>
      </c>
      <c r="C234" t="s">
        <v>40</v>
      </c>
      <c r="D234">
        <v>3.8795280000000001</v>
      </c>
      <c r="E234">
        <v>0.5958369</v>
      </c>
      <c r="F234" t="s">
        <v>43</v>
      </c>
      <c r="G234">
        <v>-236.72980000000001</v>
      </c>
      <c r="H234">
        <v>-0.05</v>
      </c>
      <c r="I234">
        <v>348.95650000000001</v>
      </c>
      <c r="J234">
        <v>-460.18169999999998</v>
      </c>
      <c r="K234">
        <v>1.1096839999999999</v>
      </c>
      <c r="L234">
        <v>367.64670000000001</v>
      </c>
      <c r="M234">
        <v>0.9995638</v>
      </c>
      <c r="N234">
        <v>0</v>
      </c>
      <c r="O234">
        <v>2.848846E-2</v>
      </c>
      <c r="P234">
        <v>0.99904859999999895</v>
      </c>
      <c r="Q234">
        <v>4.3605150000000002E-2</v>
      </c>
      <c r="R234">
        <v>-8.0812850000000003E-4</v>
      </c>
      <c r="S234">
        <v>3.003571</v>
      </c>
      <c r="T234">
        <v>-1.5576599999999999E-2</v>
      </c>
      <c r="U234">
        <v>-0.25097659999999999</v>
      </c>
      <c r="V234">
        <v>2.927635E-2</v>
      </c>
      <c r="W234">
        <v>5.1381669999999997E-2</v>
      </c>
      <c r="X234">
        <v>0.99824990000000002</v>
      </c>
      <c r="Y234">
        <v>0.1116239</v>
      </c>
      <c r="Z234">
        <v>-4.3645430000000001E-4</v>
      </c>
      <c r="AA234">
        <v>0.99375049999999998</v>
      </c>
      <c r="AB234">
        <v>19</v>
      </c>
      <c r="AC234">
        <v>223.45189999999999</v>
      </c>
      <c r="AD234">
        <v>-1.1596839999999999</v>
      </c>
      <c r="AE234">
        <v>-18.690200000000001</v>
      </c>
      <c r="AF234">
        <v>25.047937081729899</v>
      </c>
      <c r="AG234">
        <v>-1.1596839999999999</v>
      </c>
      <c r="AH234">
        <v>222.82276905996699</v>
      </c>
      <c r="AI234">
        <v>90.296327585492605</v>
      </c>
      <c r="AJ234">
        <v>83.586196402820207</v>
      </c>
      <c r="AK234">
        <v>224.22919174492301</v>
      </c>
      <c r="AL234">
        <v>87.054750310909895</v>
      </c>
      <c r="AM234">
        <v>88.320129436808102</v>
      </c>
      <c r="AN234">
        <v>1.0000000217656599</v>
      </c>
    </row>
    <row r="235" spans="1:40" x14ac:dyDescent="0.25">
      <c r="A235" t="str">
        <f>"20190312153855636"</f>
        <v>20190312153855636</v>
      </c>
      <c r="B235" t="str">
        <f>"1552376335625928"</f>
        <v>1552376335625928</v>
      </c>
      <c r="C235" t="s">
        <v>40</v>
      </c>
      <c r="D235">
        <v>3.67699</v>
      </c>
      <c r="E235">
        <v>0.60198439999999998</v>
      </c>
      <c r="F235" t="s">
        <v>46</v>
      </c>
      <c r="G235">
        <v>-370.27620000000002</v>
      </c>
      <c r="H235">
        <v>4.2606529999999996</v>
      </c>
      <c r="I235">
        <v>344.6628</v>
      </c>
      <c r="J235">
        <v>-459.98849999999999</v>
      </c>
      <c r="K235">
        <v>1.109672</v>
      </c>
      <c r="L235">
        <v>367.65210000000002</v>
      </c>
      <c r="M235">
        <v>0.99956710000000004</v>
      </c>
      <c r="N235">
        <v>0</v>
      </c>
      <c r="O235">
        <v>2.8421559999999998E-2</v>
      </c>
      <c r="P235">
        <v>0.99901530000000005</v>
      </c>
      <c r="Q235">
        <v>4.432879E-2</v>
      </c>
      <c r="R235">
        <v>-1.906673E-3</v>
      </c>
      <c r="S235">
        <v>2.99762</v>
      </c>
      <c r="T235">
        <v>0.1050595</v>
      </c>
      <c r="U235">
        <v>-0.76632690000000003</v>
      </c>
      <c r="V235">
        <v>3.0306610000000001E-2</v>
      </c>
      <c r="W235">
        <v>5.193358E-2</v>
      </c>
      <c r="X235">
        <v>0.99819060000000004</v>
      </c>
      <c r="Y235">
        <v>0.2749413</v>
      </c>
      <c r="Z235">
        <v>5.7212510000000001E-3</v>
      </c>
      <c r="AA235">
        <v>0.96144399999999997</v>
      </c>
      <c r="AB235">
        <v>19</v>
      </c>
      <c r="AC235">
        <v>89.7122999999999</v>
      </c>
      <c r="AD235">
        <v>3.1509809999999998</v>
      </c>
      <c r="AE235">
        <v>-22.9893</v>
      </c>
      <c r="AF235">
        <v>25.5003299301124</v>
      </c>
      <c r="AG235">
        <v>3.1509809999999998</v>
      </c>
      <c r="AH235">
        <v>88.919710551084606</v>
      </c>
      <c r="AI235">
        <v>88.0490765567164</v>
      </c>
      <c r="AJ235">
        <v>73.998205944986097</v>
      </c>
      <c r="AK235">
        <v>92.557606020767494</v>
      </c>
      <c r="AL235">
        <v>87.023085947352996</v>
      </c>
      <c r="AM235">
        <v>88.260945780012904</v>
      </c>
      <c r="AN235">
        <v>1.00000003063483</v>
      </c>
    </row>
    <row r="236" spans="1:40" x14ac:dyDescent="0.25">
      <c r="A236" t="str">
        <f>"20190312153855725"</f>
        <v>20190312153855725</v>
      </c>
      <c r="B236" t="str">
        <f>"1552376335716700"</f>
        <v>1552376335716700</v>
      </c>
      <c r="C236" t="s">
        <v>40</v>
      </c>
      <c r="D236">
        <v>3.8519220000000001</v>
      </c>
      <c r="E236">
        <v>0.67978380000000005</v>
      </c>
      <c r="F236" t="s">
        <v>46</v>
      </c>
      <c r="G236">
        <v>-370.21940000000001</v>
      </c>
      <c r="H236">
        <v>3.4382869999999999</v>
      </c>
      <c r="I236">
        <v>343.16309999999999</v>
      </c>
      <c r="J236">
        <v>-459.23020000000002</v>
      </c>
      <c r="K236">
        <v>1.109648</v>
      </c>
      <c r="L236">
        <v>367.67329999999998</v>
      </c>
      <c r="M236">
        <v>0.99957839999999998</v>
      </c>
      <c r="N236">
        <v>0</v>
      </c>
      <c r="O236">
        <v>2.8159679999999999E-2</v>
      </c>
      <c r="P236">
        <v>0.99876540000000003</v>
      </c>
      <c r="Q236">
        <v>4.946892E-2</v>
      </c>
      <c r="R236">
        <v>-4.5662970000000004E-3</v>
      </c>
      <c r="S236">
        <v>2.9979550000000001</v>
      </c>
      <c r="T236">
        <v>7.7767489999999995E-2</v>
      </c>
      <c r="U236">
        <v>-0.81784060000000003</v>
      </c>
      <c r="V236">
        <v>3.2697009999999999E-2</v>
      </c>
      <c r="W236">
        <v>5.6536860000000001E-2</v>
      </c>
      <c r="X236">
        <v>0.997865</v>
      </c>
      <c r="Y236">
        <v>0.290145599999999</v>
      </c>
      <c r="Z236">
        <v>4.4129709999999999E-3</v>
      </c>
      <c r="AA236">
        <v>0.95697239999999995</v>
      </c>
      <c r="AB236">
        <v>19</v>
      </c>
      <c r="AC236">
        <v>89.010800000000003</v>
      </c>
      <c r="AD236">
        <v>2.3286389999999999</v>
      </c>
      <c r="AE236">
        <v>-24.510200000000001</v>
      </c>
      <c r="AF236">
        <v>26.9898877367024</v>
      </c>
      <c r="AG236">
        <v>2.3286389999999999</v>
      </c>
      <c r="AH236">
        <v>88.229153922034399</v>
      </c>
      <c r="AI236">
        <v>88.554242559221905</v>
      </c>
      <c r="AJ236">
        <v>72.990778362938897</v>
      </c>
      <c r="AK236">
        <v>92.294421290943504</v>
      </c>
      <c r="AL236">
        <v>86.758948455900295</v>
      </c>
      <c r="AM236">
        <v>88.123262532181798</v>
      </c>
      <c r="AN236">
        <v>1.00000003461329</v>
      </c>
    </row>
    <row r="237" spans="1:40" x14ac:dyDescent="0.25">
      <c r="A237" t="str">
        <f>"20190312153855736"</f>
        <v>20190312153855736</v>
      </c>
      <c r="B237" t="str">
        <f>"1552376335726457"</f>
        <v>1552376335726457</v>
      </c>
      <c r="C237" t="s">
        <v>40</v>
      </c>
      <c r="D237">
        <v>4.3482859999999999</v>
      </c>
      <c r="E237">
        <v>0.66706169999999998</v>
      </c>
      <c r="F237" t="s">
        <v>42</v>
      </c>
      <c r="G237">
        <v>-456.55029999999999</v>
      </c>
      <c r="H237" s="1">
        <v>-2.026254E-6</v>
      </c>
      <c r="I237">
        <v>366.4366</v>
      </c>
      <c r="J237">
        <v>-459.1284</v>
      </c>
      <c r="K237">
        <v>1.1096490000000001</v>
      </c>
      <c r="L237">
        <v>367.67610000000002</v>
      </c>
      <c r="M237">
        <v>0.99957980000000002</v>
      </c>
      <c r="N237">
        <v>0</v>
      </c>
      <c r="O237">
        <v>2.8124469999999999E-2</v>
      </c>
      <c r="P237">
        <v>0.99873330000000005</v>
      </c>
      <c r="Q237">
        <v>5.0094600000000003E-2</v>
      </c>
      <c r="R237">
        <v>-4.76517E-3</v>
      </c>
      <c r="S237">
        <v>3.0599980000000002</v>
      </c>
      <c r="T237">
        <v>-1.2669889999999999</v>
      </c>
      <c r="U237">
        <v>-1.411926</v>
      </c>
      <c r="V237">
        <v>3.2859909999999999E-2</v>
      </c>
      <c r="W237">
        <v>5.7108140000000002E-2</v>
      </c>
      <c r="X237">
        <v>0.99782709999999997</v>
      </c>
      <c r="Y237">
        <v>0.41402099999999997</v>
      </c>
      <c r="Z237">
        <v>-8.9474250000000005E-2</v>
      </c>
      <c r="AA237">
        <v>0.90585919999999998</v>
      </c>
      <c r="AB237">
        <v>19</v>
      </c>
      <c r="AC237">
        <v>2.5781000000000001</v>
      </c>
      <c r="AD237">
        <v>-1.10965102625399</v>
      </c>
      <c r="AE237">
        <v>-1.23950000000002</v>
      </c>
      <c r="AF237">
        <v>1.13998123449028</v>
      </c>
      <c r="AG237">
        <v>-1.10965102625399</v>
      </c>
      <c r="AH237">
        <v>2.2097137878837998</v>
      </c>
      <c r="AI237">
        <v>114.050286354215</v>
      </c>
      <c r="AJ237">
        <v>62.710997970997198</v>
      </c>
      <c r="AK237">
        <v>2.7228142866196898</v>
      </c>
      <c r="AL237">
        <v>86.726163496623897</v>
      </c>
      <c r="AM237">
        <v>88.113847575493907</v>
      </c>
      <c r="AN237">
        <v>1.0000000174169299</v>
      </c>
    </row>
    <row r="238" spans="1:40" x14ac:dyDescent="0.25">
      <c r="A238" t="str">
        <f>"20190312153855748"</f>
        <v>20190312153855748</v>
      </c>
      <c r="B238" t="str">
        <f>"1552376335745977"</f>
        <v>1552376335745977</v>
      </c>
      <c r="C238" t="s">
        <v>40</v>
      </c>
      <c r="D238">
        <v>5.9457370000000003</v>
      </c>
      <c r="E238">
        <v>0.61929269999999903</v>
      </c>
      <c r="F238" t="s">
        <v>42</v>
      </c>
      <c r="G238">
        <v>-455.98669999999998</v>
      </c>
      <c r="H238" s="1">
        <v>-2.2884820000000001E-6</v>
      </c>
      <c r="I238">
        <v>366.32139999999998</v>
      </c>
      <c r="J238">
        <v>-459.02379999999999</v>
      </c>
      <c r="K238">
        <v>1.1096509999999999</v>
      </c>
      <c r="L238">
        <v>367.67899999999997</v>
      </c>
      <c r="M238">
        <v>0.99958100000000005</v>
      </c>
      <c r="N238">
        <v>0</v>
      </c>
      <c r="O238">
        <v>2.808859E-2</v>
      </c>
      <c r="P238">
        <v>0.99869090000000005</v>
      </c>
      <c r="Q238">
        <v>5.0925419999999999E-2</v>
      </c>
      <c r="R238">
        <v>-4.7942269999999999E-3</v>
      </c>
      <c r="S238">
        <v>3.0516359999999998</v>
      </c>
      <c r="T238">
        <v>-1.0778219999999901</v>
      </c>
      <c r="U238">
        <v>-1.315796</v>
      </c>
      <c r="V238">
        <v>3.2852310000000003E-2</v>
      </c>
      <c r="W238">
        <v>5.788981E-2</v>
      </c>
      <c r="X238">
        <v>0.99778230000000001</v>
      </c>
      <c r="Y238">
        <v>0.3995785</v>
      </c>
      <c r="Z238">
        <v>-7.5062509999999999E-2</v>
      </c>
      <c r="AA238">
        <v>0.91362069999999995</v>
      </c>
      <c r="AB238">
        <v>19</v>
      </c>
      <c r="AC238">
        <v>3.0371000000000001</v>
      </c>
      <c r="AD238">
        <v>-1.1096532884819901</v>
      </c>
      <c r="AE238">
        <v>-1.3576000000000401</v>
      </c>
      <c r="AF238">
        <v>1.2979618513975699</v>
      </c>
      <c r="AG238">
        <v>-1.1096532884819901</v>
      </c>
      <c r="AH238">
        <v>2.6976271834577998</v>
      </c>
      <c r="AI238">
        <v>110.338226967899</v>
      </c>
      <c r="AJ238">
        <v>64.305491712904995</v>
      </c>
      <c r="AK238">
        <v>3.1926834809064299</v>
      </c>
      <c r="AL238">
        <v>86.681302864952798</v>
      </c>
      <c r="AM238">
        <v>88.114198892286794</v>
      </c>
      <c r="AN238">
        <v>1.00000001128373</v>
      </c>
    </row>
    <row r="239" spans="1:40" x14ac:dyDescent="0.25">
      <c r="A239" t="str">
        <f>"20190312153855761"</f>
        <v>20190312153855761</v>
      </c>
      <c r="B239" t="str">
        <f>"1552376335756244"</f>
        <v>1552376335756244</v>
      </c>
      <c r="C239" t="s">
        <v>40</v>
      </c>
      <c r="D239">
        <v>6.0313739999999996</v>
      </c>
      <c r="E239">
        <v>0.61826519999999996</v>
      </c>
      <c r="F239" t="s">
        <v>42</v>
      </c>
      <c r="G239">
        <v>-447.3082</v>
      </c>
      <c r="H239" s="1">
        <v>-2.5209770000000001E-6</v>
      </c>
      <c r="I239">
        <v>363.96730000000002</v>
      </c>
      <c r="J239">
        <v>-458.91910000000001</v>
      </c>
      <c r="K239">
        <v>1.109653</v>
      </c>
      <c r="L239">
        <v>367.68189999999998</v>
      </c>
      <c r="M239">
        <v>0.99958250000000004</v>
      </c>
      <c r="N239">
        <v>0</v>
      </c>
      <c r="O239">
        <v>2.8052339999999999E-2</v>
      </c>
      <c r="P239">
        <v>0.99863539999999995</v>
      </c>
      <c r="Q239">
        <v>5.1985499999999997E-2</v>
      </c>
      <c r="R239">
        <v>-5.0187850000000004E-3</v>
      </c>
      <c r="S239">
        <v>3.0138850000000001</v>
      </c>
      <c r="T239">
        <v>-0.28546179999999999</v>
      </c>
      <c r="U239">
        <v>-0.95483399999999996</v>
      </c>
      <c r="V239">
        <v>3.3038909999999998E-2</v>
      </c>
      <c r="W239">
        <v>5.8902789999999997E-2</v>
      </c>
      <c r="X239">
        <v>0.99771679999999996</v>
      </c>
      <c r="Y239">
        <v>0.32719310000000001</v>
      </c>
      <c r="Z239">
        <v>-1.7683959999999999E-2</v>
      </c>
      <c r="AA239">
        <v>0.94479199999999997</v>
      </c>
      <c r="AB239">
        <v>19</v>
      </c>
      <c r="AC239">
        <v>11.610900000000001</v>
      </c>
      <c r="AD239">
        <v>-1.109655520977</v>
      </c>
      <c r="AE239">
        <v>-3.7145999999999599</v>
      </c>
      <c r="AF239">
        <v>4.0056693569510298</v>
      </c>
      <c r="AG239">
        <v>-1.109655520977</v>
      </c>
      <c r="AH239">
        <v>11.407605649953201</v>
      </c>
      <c r="AI239">
        <v>95.243889585867294</v>
      </c>
      <c r="AJ239">
        <v>70.651773332083096</v>
      </c>
      <c r="AK239">
        <v>12.1412597796644</v>
      </c>
      <c r="AL239">
        <v>86.623163998243498</v>
      </c>
      <c r="AM239">
        <v>88.103370991875195</v>
      </c>
      <c r="AN239">
        <v>0.999999960623005</v>
      </c>
    </row>
    <row r="240" spans="1:40" x14ac:dyDescent="0.25">
      <c r="A240" t="str">
        <f>"20190312153855781"</f>
        <v>20190312153855781</v>
      </c>
      <c r="B240" t="str">
        <f>"1552376335776740"</f>
        <v>1552376335776740</v>
      </c>
      <c r="C240" t="s">
        <v>40</v>
      </c>
      <c r="D240">
        <v>3.8618700000000001</v>
      </c>
      <c r="E240">
        <v>0.61692829999999999</v>
      </c>
      <c r="F240" t="s">
        <v>42</v>
      </c>
      <c r="G240">
        <v>-442.94880000000001</v>
      </c>
      <c r="H240" s="1">
        <v>-4.5501629999999997E-6</v>
      </c>
      <c r="I240">
        <v>362.6454</v>
      </c>
      <c r="J240">
        <v>-458.74489999999997</v>
      </c>
      <c r="K240">
        <v>1.1096619999999999</v>
      </c>
      <c r="L240">
        <v>367.68669999999997</v>
      </c>
      <c r="M240">
        <v>0.99958469999999999</v>
      </c>
      <c r="N240">
        <v>0</v>
      </c>
      <c r="O240">
        <v>2.7992260000000001E-2</v>
      </c>
      <c r="P240">
        <v>0.99855260000000001</v>
      </c>
      <c r="Q240">
        <v>5.3564189999999998E-2</v>
      </c>
      <c r="R240">
        <v>-4.8883249999999998E-3</v>
      </c>
      <c r="S240">
        <v>3.0102229999999999</v>
      </c>
      <c r="T240">
        <v>-0.20915700000000001</v>
      </c>
      <c r="U240">
        <v>-0.94931030000000005</v>
      </c>
      <c r="V240">
        <v>3.2846390000000003E-2</v>
      </c>
      <c r="W240">
        <v>6.041262E-2</v>
      </c>
      <c r="X240">
        <v>0.99763290000000004</v>
      </c>
      <c r="Y240">
        <v>0.32656039999999997</v>
      </c>
      <c r="Z240">
        <v>-1.296244E-2</v>
      </c>
      <c r="AA240">
        <v>0.94508740000000002</v>
      </c>
      <c r="AB240">
        <v>19</v>
      </c>
      <c r="AC240">
        <v>15.7960999999999</v>
      </c>
      <c r="AD240">
        <v>-1.1096665501629901</v>
      </c>
      <c r="AE240">
        <v>-5.0412999999999704</v>
      </c>
      <c r="AF240">
        <v>5.45706229608348</v>
      </c>
      <c r="AG240">
        <v>-1.1096665501629901</v>
      </c>
      <c r="AH240">
        <v>15.5790140586414</v>
      </c>
      <c r="AI240">
        <v>93.845835883665202</v>
      </c>
      <c r="AJ240">
        <v>70.695514749588796</v>
      </c>
      <c r="AK240">
        <v>16.544381759232699</v>
      </c>
      <c r="AL240">
        <v>86.536502836742699</v>
      </c>
      <c r="AM240">
        <v>88.114256316662605</v>
      </c>
      <c r="AN240">
        <v>0.99999998657685296</v>
      </c>
    </row>
    <row r="241" spans="1:40" x14ac:dyDescent="0.25">
      <c r="A241" t="str">
        <f>"20190312153855804"</f>
        <v>20190312153855804</v>
      </c>
      <c r="B241" t="str">
        <f>"1552376335796259"</f>
        <v>1552376335796259</v>
      </c>
      <c r="C241" t="s">
        <v>40</v>
      </c>
      <c r="D241">
        <v>4.0143909999999998</v>
      </c>
      <c r="E241">
        <v>0.61340299999999903</v>
      </c>
      <c r="F241" t="s">
        <v>43</v>
      </c>
      <c r="G241">
        <v>-424.97390000000001</v>
      </c>
      <c r="H241">
        <v>-0.05</v>
      </c>
      <c r="I241">
        <v>357.11919999999998</v>
      </c>
      <c r="J241">
        <v>-458.54489999999998</v>
      </c>
      <c r="K241">
        <v>1.1096680000000001</v>
      </c>
      <c r="L241">
        <v>367.69220000000001</v>
      </c>
      <c r="M241">
        <v>0.99958689999999994</v>
      </c>
      <c r="N241">
        <v>0</v>
      </c>
      <c r="O241">
        <v>2.7923360000000001E-2</v>
      </c>
      <c r="P241">
        <v>0.99839650000000002</v>
      </c>
      <c r="Q241">
        <v>5.6389880000000003E-2</v>
      </c>
      <c r="R241">
        <v>-4.962139E-3</v>
      </c>
      <c r="S241">
        <v>3.00528</v>
      </c>
      <c r="T241">
        <v>-0.1031982</v>
      </c>
      <c r="U241">
        <v>-0.94039919999999999</v>
      </c>
      <c r="V241">
        <v>3.2847389999999997E-2</v>
      </c>
      <c r="W241">
        <v>6.3170610000000002E-2</v>
      </c>
      <c r="X241">
        <v>0.99746199999999996</v>
      </c>
      <c r="Y241">
        <v>0.32497979999999999</v>
      </c>
      <c r="Z241">
        <v>-6.3851009999999998E-3</v>
      </c>
      <c r="AA241">
        <v>0.94569939999999997</v>
      </c>
      <c r="AB241">
        <v>20</v>
      </c>
      <c r="AC241">
        <v>33.570999999999898</v>
      </c>
      <c r="AD241">
        <v>-1.1596679999999999</v>
      </c>
      <c r="AE241">
        <v>-10.573</v>
      </c>
      <c r="AF241">
        <v>11.493836275547601</v>
      </c>
      <c r="AG241">
        <v>-1.1596679999999999</v>
      </c>
      <c r="AH241">
        <v>33.226597951083299</v>
      </c>
      <c r="AI241">
        <v>91.889162996181597</v>
      </c>
      <c r="AJ241">
        <v>70.918332677251399</v>
      </c>
      <c r="AK241">
        <v>35.1775484308138</v>
      </c>
      <c r="AL241">
        <v>86.378178952309099</v>
      </c>
      <c r="AM241">
        <v>88.113876077044495</v>
      </c>
      <c r="AN241">
        <v>0.99999995922079099</v>
      </c>
    </row>
    <row r="242" spans="1:40" x14ac:dyDescent="0.25">
      <c r="A242" t="str">
        <f>"20190312153855815"</f>
        <v>20190312153855815</v>
      </c>
      <c r="B242" t="str">
        <f>"1552376335806020"</f>
        <v>1552376335806020</v>
      </c>
      <c r="C242" t="s">
        <v>40</v>
      </c>
      <c r="D242">
        <v>4.077089</v>
      </c>
      <c r="E242">
        <v>0.61156169999999899</v>
      </c>
      <c r="F242" t="s">
        <v>43</v>
      </c>
      <c r="G242">
        <v>-397.86110000000002</v>
      </c>
      <c r="H242">
        <v>-0.05</v>
      </c>
      <c r="I242">
        <v>349.24029999999999</v>
      </c>
      <c r="J242">
        <v>-458.43490000000003</v>
      </c>
      <c r="K242">
        <v>1.109674</v>
      </c>
      <c r="L242">
        <v>367.69529999999997</v>
      </c>
      <c r="M242">
        <v>0.99958829999999999</v>
      </c>
      <c r="N242">
        <v>0</v>
      </c>
      <c r="O242">
        <v>2.7885259999999999E-2</v>
      </c>
      <c r="P242">
        <v>0.99830870000000005</v>
      </c>
      <c r="Q242">
        <v>5.7939379999999999E-2</v>
      </c>
      <c r="R242">
        <v>-4.786836E-3</v>
      </c>
      <c r="S242">
        <v>3.0035099999999999</v>
      </c>
      <c r="T242">
        <v>-5.7397129999999998E-2</v>
      </c>
      <c r="U242">
        <v>-0.913269</v>
      </c>
      <c r="V242">
        <v>3.2632040000000001E-2</v>
      </c>
      <c r="W242">
        <v>6.4687190000000006E-2</v>
      </c>
      <c r="X242">
        <v>0.99737189999999998</v>
      </c>
      <c r="Y242">
        <v>0.31742490000000001</v>
      </c>
      <c r="Z242">
        <v>-3.4872710000000001E-3</v>
      </c>
      <c r="AA242">
        <v>0.94827700000000004</v>
      </c>
      <c r="AB242">
        <v>20</v>
      </c>
      <c r="AC242">
        <v>60.573799999999999</v>
      </c>
      <c r="AD242">
        <v>-1.1596739999999901</v>
      </c>
      <c r="AE242">
        <v>-18.454999999999899</v>
      </c>
      <c r="AF242">
        <v>20.1302262896907</v>
      </c>
      <c r="AG242">
        <v>-1.1596739999999901</v>
      </c>
      <c r="AH242">
        <v>60.015480719029497</v>
      </c>
      <c r="AI242">
        <v>91.049532168764202</v>
      </c>
      <c r="AJ242">
        <v>71.457659813882799</v>
      </c>
      <c r="AK242">
        <v>63.312153495175302</v>
      </c>
      <c r="AL242">
        <v>86.291107329813499</v>
      </c>
      <c r="AM242">
        <v>88.126063655146496</v>
      </c>
      <c r="AN242">
        <v>0.99999999474713297</v>
      </c>
    </row>
    <row r="243" spans="1:40" x14ac:dyDescent="0.25">
      <c r="A243" t="str">
        <f>"20190312153855830"</f>
        <v>20190312153855830</v>
      </c>
      <c r="B243" t="str">
        <f>"1552376335826517"</f>
        <v>1552376335826517</v>
      </c>
      <c r="C243" t="s">
        <v>40</v>
      </c>
      <c r="D243">
        <v>3.9807610000000002</v>
      </c>
      <c r="E243">
        <v>0.60910920000000002</v>
      </c>
      <c r="F243" t="s">
        <v>43</v>
      </c>
      <c r="G243">
        <v>-396.23779999999999</v>
      </c>
      <c r="H243">
        <v>-0.05</v>
      </c>
      <c r="I243">
        <v>349.09840000000003</v>
      </c>
      <c r="J243">
        <v>-458.31200000000001</v>
      </c>
      <c r="K243">
        <v>1.10968</v>
      </c>
      <c r="L243">
        <v>367.69869999999997</v>
      </c>
      <c r="M243">
        <v>0.99958959999999997</v>
      </c>
      <c r="N243">
        <v>0</v>
      </c>
      <c r="O243">
        <v>2.7842820000000001E-2</v>
      </c>
      <c r="P243">
        <v>0.99820660000000005</v>
      </c>
      <c r="Q243">
        <v>5.9693049999999998E-2</v>
      </c>
      <c r="R243">
        <v>-4.5326050000000003E-3</v>
      </c>
      <c r="S243">
        <v>3.0039980000000002</v>
      </c>
      <c r="T243">
        <v>-5.6010009999999999E-2</v>
      </c>
      <c r="U243">
        <v>-0.89819340000000003</v>
      </c>
      <c r="V243">
        <v>3.2332859999999998E-2</v>
      </c>
      <c r="W243">
        <v>6.6409140000000005E-2</v>
      </c>
      <c r="X243">
        <v>0.9972685</v>
      </c>
      <c r="Y243">
        <v>0.31297920000000001</v>
      </c>
      <c r="Z243">
        <v>-3.3635510000000002E-3</v>
      </c>
      <c r="AA243">
        <v>0.94975399999999999</v>
      </c>
      <c r="AB243">
        <v>20</v>
      </c>
      <c r="AC243">
        <v>62.074199999999898</v>
      </c>
      <c r="AD243">
        <v>-1.1596799999999901</v>
      </c>
      <c r="AE243">
        <v>-18.600299999999901</v>
      </c>
      <c r="AF243">
        <v>20.314942402779199</v>
      </c>
      <c r="AG243">
        <v>-1.1596799999999901</v>
      </c>
      <c r="AH243">
        <v>61.512536584713899</v>
      </c>
      <c r="AI243">
        <v>91.025584305882305</v>
      </c>
      <c r="AJ243">
        <v>71.723834983492196</v>
      </c>
      <c r="AK243">
        <v>64.790693001513802</v>
      </c>
      <c r="AL243">
        <v>86.192234326564105</v>
      </c>
      <c r="AM243">
        <v>88.143039983965096</v>
      </c>
      <c r="AN243">
        <v>1.0000000244017799</v>
      </c>
    </row>
    <row r="244" spans="1:40" x14ac:dyDescent="0.25">
      <c r="A244" t="str">
        <f>"20190312153855850"</f>
        <v>20190312153855850</v>
      </c>
      <c r="B244" t="str">
        <f>"1552376335846037"</f>
        <v>1552376335846037</v>
      </c>
      <c r="C244" t="s">
        <v>40</v>
      </c>
      <c r="D244">
        <v>3.97865</v>
      </c>
      <c r="E244">
        <v>0.60701119999999897</v>
      </c>
      <c r="F244" t="s">
        <v>43</v>
      </c>
      <c r="G244">
        <v>-393.27659999999997</v>
      </c>
      <c r="H244">
        <v>-0.05</v>
      </c>
      <c r="I244">
        <v>348.69639999999998</v>
      </c>
      <c r="J244">
        <v>-458.13780000000003</v>
      </c>
      <c r="K244">
        <v>1.1096900000000001</v>
      </c>
      <c r="L244">
        <v>367.70350000000002</v>
      </c>
      <c r="M244">
        <v>0.99959160000000002</v>
      </c>
      <c r="N244">
        <v>0</v>
      </c>
      <c r="O244">
        <v>2.778245E-2</v>
      </c>
      <c r="P244">
        <v>0.99797309999999995</v>
      </c>
      <c r="Q244">
        <v>6.3515769999999999E-2</v>
      </c>
      <c r="R244">
        <v>-3.9893539999999996E-3</v>
      </c>
      <c r="S244">
        <v>3.0046080000000002</v>
      </c>
      <c r="T244">
        <v>-5.357671E-2</v>
      </c>
      <c r="U244">
        <v>-0.87789919999999999</v>
      </c>
      <c r="V244">
        <v>3.1723670000000002E-2</v>
      </c>
      <c r="W244">
        <v>7.0191149999999994E-2</v>
      </c>
      <c r="X244">
        <v>0.99702900000000005</v>
      </c>
      <c r="Y244">
        <v>0.30696849999999998</v>
      </c>
      <c r="Z244">
        <v>-3.16628E-3</v>
      </c>
      <c r="AA244">
        <v>0.95171439999999996</v>
      </c>
      <c r="AB244">
        <v>20</v>
      </c>
      <c r="AC244">
        <v>64.861199999999997</v>
      </c>
      <c r="AD244">
        <v>-1.1596899999999899</v>
      </c>
      <c r="AE244">
        <v>-19.007100000000001</v>
      </c>
      <c r="AF244">
        <v>20.795683984507399</v>
      </c>
      <c r="AG244">
        <v>-1.1596899999999899</v>
      </c>
      <c r="AH244">
        <v>64.289159809393894</v>
      </c>
      <c r="AI244">
        <v>90.983275105322093</v>
      </c>
      <c r="AJ244">
        <v>72.0751057493204</v>
      </c>
      <c r="AK244">
        <v>67.578853366103999</v>
      </c>
      <c r="AL244">
        <v>85.975033719658896</v>
      </c>
      <c r="AM244">
        <v>88.177566164199206</v>
      </c>
      <c r="AN244">
        <v>1.0000000078087901</v>
      </c>
    </row>
    <row r="245" spans="1:40" x14ac:dyDescent="0.25">
      <c r="A245" t="str">
        <f>"20190312153855871"</f>
        <v>20190312153855871</v>
      </c>
      <c r="B245" t="str">
        <f>"1552376335856304"</f>
        <v>1552376335856304</v>
      </c>
      <c r="C245" t="s">
        <v>40</v>
      </c>
      <c r="D245">
        <v>4.0317949999999998</v>
      </c>
      <c r="E245">
        <v>0.6056125</v>
      </c>
      <c r="F245" t="s">
        <v>43</v>
      </c>
      <c r="G245">
        <v>-382.6585</v>
      </c>
      <c r="H245">
        <v>-0.05</v>
      </c>
      <c r="I245">
        <v>346.13170000000002</v>
      </c>
      <c r="J245">
        <v>-457.94290000000001</v>
      </c>
      <c r="K245">
        <v>1.109688</v>
      </c>
      <c r="L245">
        <v>367.7088</v>
      </c>
      <c r="M245">
        <v>0.99959370000000003</v>
      </c>
      <c r="N245">
        <v>0</v>
      </c>
      <c r="O245">
        <v>2.7715050000000001E-2</v>
      </c>
      <c r="P245">
        <v>0.99777819999999995</v>
      </c>
      <c r="Q245">
        <v>6.6566749999999994E-2</v>
      </c>
      <c r="R245">
        <v>-2.7404529999999999E-3</v>
      </c>
      <c r="S245">
        <v>3.0055540000000001</v>
      </c>
      <c r="T245">
        <v>-4.6178339999999998E-2</v>
      </c>
      <c r="U245">
        <v>-0.85897829999999997</v>
      </c>
      <c r="V245">
        <v>3.0403090000000001E-2</v>
      </c>
      <c r="W245">
        <v>7.3205080000000006E-2</v>
      </c>
      <c r="X245">
        <v>0.9968534</v>
      </c>
      <c r="Y245">
        <v>0.30130180000000001</v>
      </c>
      <c r="Z245">
        <v>-2.6869139999999999E-3</v>
      </c>
      <c r="AA245">
        <v>0.95352510000000001</v>
      </c>
      <c r="AB245">
        <v>20</v>
      </c>
      <c r="AC245">
        <v>75.284400000000005</v>
      </c>
      <c r="AD245">
        <v>-1.1596879999999901</v>
      </c>
      <c r="AE245">
        <v>-21.577099999999898</v>
      </c>
      <c r="AF245">
        <v>23.650182364376299</v>
      </c>
      <c r="AG245">
        <v>-1.1596879999999901</v>
      </c>
      <c r="AH245">
        <v>74.641088777012698</v>
      </c>
      <c r="AI245">
        <v>90.848554473401705</v>
      </c>
      <c r="AJ245">
        <v>72.419087840602998</v>
      </c>
      <c r="AK245">
        <v>78.306884345780801</v>
      </c>
      <c r="AL245">
        <v>85.801902647533197</v>
      </c>
      <c r="AM245">
        <v>88.253074203000907</v>
      </c>
      <c r="AN245">
        <v>1.0000000163554501</v>
      </c>
    </row>
    <row r="246" spans="1:40" x14ac:dyDescent="0.25">
      <c r="A246" t="str">
        <f>"20190312153855893"</f>
        <v>20190312153855893</v>
      </c>
      <c r="B246" t="str">
        <f>"1552376335886561"</f>
        <v>1552376335886561</v>
      </c>
      <c r="C246" t="s">
        <v>40</v>
      </c>
      <c r="D246">
        <v>4.0636559999999999</v>
      </c>
      <c r="E246">
        <v>0.60303090000000004</v>
      </c>
      <c r="F246" t="s">
        <v>43</v>
      </c>
      <c r="G246">
        <v>-369.0795</v>
      </c>
      <c r="H246">
        <v>-0.05</v>
      </c>
      <c r="I246">
        <v>342.7758</v>
      </c>
      <c r="J246">
        <v>-457.74619999999999</v>
      </c>
      <c r="K246">
        <v>1.1096809999999999</v>
      </c>
      <c r="L246">
        <v>367.71409999999997</v>
      </c>
      <c r="M246">
        <v>0.99959580000000003</v>
      </c>
      <c r="N246">
        <v>0</v>
      </c>
      <c r="O246">
        <v>2.7647020000000001E-2</v>
      </c>
      <c r="P246">
        <v>0.99777890000000002</v>
      </c>
      <c r="Q246">
        <v>6.6593139999999995E-2</v>
      </c>
      <c r="R246">
        <v>-1.6706640000000001E-3</v>
      </c>
      <c r="S246">
        <v>3.0069889999999999</v>
      </c>
      <c r="T246">
        <v>-3.9241909999999998E-2</v>
      </c>
      <c r="U246">
        <v>-0.84368899999999902</v>
      </c>
      <c r="V246">
        <v>2.9265759999999998E-2</v>
      </c>
      <c r="W246">
        <v>7.3201749999999996E-2</v>
      </c>
      <c r="X246">
        <v>0.99688770000000004</v>
      </c>
      <c r="Y246">
        <v>0.29663499999999998</v>
      </c>
      <c r="Z246">
        <v>-2.253101E-3</v>
      </c>
      <c r="AA246">
        <v>0.95498819999999995</v>
      </c>
      <c r="AB246">
        <v>20</v>
      </c>
      <c r="AC246">
        <v>88.666699999999906</v>
      </c>
      <c r="AD246">
        <v>-1.159681</v>
      </c>
      <c r="AE246">
        <v>-24.938299999999899</v>
      </c>
      <c r="AF246">
        <v>27.375850984653901</v>
      </c>
      <c r="AG246">
        <v>-1.159681</v>
      </c>
      <c r="AH246">
        <v>87.929381881371896</v>
      </c>
      <c r="AI246">
        <v>90.721463467762206</v>
      </c>
      <c r="AJ246">
        <v>72.706594529123095</v>
      </c>
      <c r="AK246">
        <v>92.099719191732007</v>
      </c>
      <c r="AL246">
        <v>85.8020940285287</v>
      </c>
      <c r="AM246">
        <v>88.318443423231898</v>
      </c>
      <c r="AN246">
        <v>1.0000000336613599</v>
      </c>
    </row>
    <row r="247" spans="1:40" x14ac:dyDescent="0.25">
      <c r="A247" t="str">
        <f>"20190312153855915"</f>
        <v>20190312153855915</v>
      </c>
      <c r="B247" t="str">
        <f>"1552376335906080"</f>
        <v>1552376335906080</v>
      </c>
      <c r="C247" t="s">
        <v>40</v>
      </c>
      <c r="D247">
        <v>4.1220980000000003</v>
      </c>
      <c r="E247">
        <v>0.60193149999999995</v>
      </c>
      <c r="F247" t="s">
        <v>43</v>
      </c>
      <c r="G247">
        <v>-388.55070000000001</v>
      </c>
      <c r="H247">
        <v>-0.05</v>
      </c>
      <c r="I247">
        <v>348.87290000000002</v>
      </c>
      <c r="J247">
        <v>-457.54500000000002</v>
      </c>
      <c r="K247">
        <v>1.1096729999999999</v>
      </c>
      <c r="L247">
        <v>367.71960000000001</v>
      </c>
      <c r="M247">
        <v>0.99959790000000004</v>
      </c>
      <c r="N247">
        <v>0</v>
      </c>
      <c r="O247">
        <v>2.757743E-2</v>
      </c>
      <c r="P247">
        <v>0.99789539999999999</v>
      </c>
      <c r="Q247">
        <v>6.4844460000000007E-2</v>
      </c>
      <c r="R247">
        <v>-5.9229650000000003E-4</v>
      </c>
      <c r="S247">
        <v>3.0087280000000001</v>
      </c>
      <c r="T247">
        <v>-5.0424700000000003E-2</v>
      </c>
      <c r="U247">
        <v>-0.81924439999999998</v>
      </c>
      <c r="V247">
        <v>2.8121529999999999E-2</v>
      </c>
      <c r="W247">
        <v>7.1429709999999993E-2</v>
      </c>
      <c r="X247">
        <v>0.99704919999999997</v>
      </c>
      <c r="Y247">
        <v>0.289191799999999</v>
      </c>
      <c r="Z247">
        <v>-2.8341429999999999E-3</v>
      </c>
      <c r="AA247">
        <v>0.95726699999999998</v>
      </c>
      <c r="AB247">
        <v>20</v>
      </c>
      <c r="AC247">
        <v>68.994299999999996</v>
      </c>
      <c r="AD247">
        <v>-1.159673</v>
      </c>
      <c r="AE247">
        <v>-18.846699999999998</v>
      </c>
      <c r="AF247">
        <v>20.7368069094784</v>
      </c>
      <c r="AG247">
        <v>-1.159673</v>
      </c>
      <c r="AH247">
        <v>68.430313092589003</v>
      </c>
      <c r="AI247">
        <v>90.929167424937802</v>
      </c>
      <c r="AJ247">
        <v>73.141334058754893</v>
      </c>
      <c r="AK247">
        <v>71.5127104242153</v>
      </c>
      <c r="AL247">
        <v>85.903891108493397</v>
      </c>
      <c r="AM247">
        <v>88.384414797836797</v>
      </c>
      <c r="AN247">
        <v>1.00000006557043</v>
      </c>
    </row>
    <row r="248" spans="1:40" x14ac:dyDescent="0.25">
      <c r="A248" t="str">
        <f>"20190312153855937"</f>
        <v>20190312153855937</v>
      </c>
      <c r="B248" t="str">
        <f>"1552376335926577"</f>
        <v>1552376335926577</v>
      </c>
      <c r="C248" t="s">
        <v>40</v>
      </c>
      <c r="D248">
        <v>4.186083</v>
      </c>
      <c r="E248">
        <v>0.60133239999999999</v>
      </c>
      <c r="F248" t="s">
        <v>43</v>
      </c>
      <c r="G248">
        <v>-401.1841</v>
      </c>
      <c r="H248">
        <v>-0.05</v>
      </c>
      <c r="I248">
        <v>352.59910000000002</v>
      </c>
      <c r="J248">
        <v>-457.3503</v>
      </c>
      <c r="K248">
        <v>1.109653</v>
      </c>
      <c r="L248">
        <v>367.72489999999999</v>
      </c>
      <c r="M248">
        <v>0.99959989999999999</v>
      </c>
      <c r="N248">
        <v>0</v>
      </c>
      <c r="O248">
        <v>2.751031E-2</v>
      </c>
      <c r="P248">
        <v>0.99807040000000002</v>
      </c>
      <c r="Q248">
        <v>6.2093019999999999E-2</v>
      </c>
      <c r="R248" s="1">
        <v>2.99320099999999E-5</v>
      </c>
      <c r="S248">
        <v>3.0098880000000001</v>
      </c>
      <c r="T248">
        <v>-6.1931010000000002E-2</v>
      </c>
      <c r="U248">
        <v>-0.80749510000000002</v>
      </c>
      <c r="V248">
        <v>2.7437059999999999E-2</v>
      </c>
      <c r="W248">
        <v>6.8660869999999999E-2</v>
      </c>
      <c r="X248">
        <v>0.99726269999999995</v>
      </c>
      <c r="Y248">
        <v>0.28552919999999998</v>
      </c>
      <c r="Z248">
        <v>-3.4428000000000002E-3</v>
      </c>
      <c r="AA248">
        <v>0.95836379999999999</v>
      </c>
      <c r="AB248">
        <v>20</v>
      </c>
      <c r="AC248">
        <v>56.166200000000003</v>
      </c>
      <c r="AD248">
        <v>-1.159653</v>
      </c>
      <c r="AE248">
        <v>-15.1257999999999</v>
      </c>
      <c r="AF248">
        <v>16.658636682302099</v>
      </c>
      <c r="AG248">
        <v>-1.159653</v>
      </c>
      <c r="AH248">
        <v>55.706675403249598</v>
      </c>
      <c r="AI248">
        <v>91.142580951564796</v>
      </c>
      <c r="AJ248">
        <v>73.351125244939894</v>
      </c>
      <c r="AK248">
        <v>58.155727625715102</v>
      </c>
      <c r="AL248">
        <v>86.062924353727198</v>
      </c>
      <c r="AM248">
        <v>88.4240548837181</v>
      </c>
      <c r="AN248">
        <v>1.0000000000709399</v>
      </c>
    </row>
    <row r="249" spans="1:40" x14ac:dyDescent="0.25">
      <c r="A249" t="str">
        <f>"20190312153855950"</f>
        <v>20190312153855950</v>
      </c>
      <c r="B249" t="str">
        <f>"1552376335946097"</f>
        <v>1552376335946097</v>
      </c>
      <c r="C249" t="s">
        <v>40</v>
      </c>
      <c r="D249">
        <v>4.2023739999999998</v>
      </c>
      <c r="E249">
        <v>0.60100339999999997</v>
      </c>
      <c r="F249" t="s">
        <v>43</v>
      </c>
      <c r="G249">
        <v>-412.49439999999998</v>
      </c>
      <c r="H249">
        <v>-0.05</v>
      </c>
      <c r="I249">
        <v>355.79809999999998</v>
      </c>
      <c r="J249">
        <v>-457.22609999999997</v>
      </c>
      <c r="K249">
        <v>1.1096469999999901</v>
      </c>
      <c r="L249">
        <v>367.72829999999999</v>
      </c>
      <c r="M249">
        <v>0.99960110000000002</v>
      </c>
      <c r="N249">
        <v>0</v>
      </c>
      <c r="O249">
        <v>2.7467490000000001E-2</v>
      </c>
      <c r="P249">
        <v>0.9981717</v>
      </c>
      <c r="Q249">
        <v>6.0443709999999998E-2</v>
      </c>
      <c r="R249" s="1">
        <v>-2.7315689999999999E-5</v>
      </c>
      <c r="S249">
        <v>3.0106510000000002</v>
      </c>
      <c r="T249">
        <v>-7.7833890000000003E-2</v>
      </c>
      <c r="U249">
        <v>-0.80050659999999996</v>
      </c>
      <c r="V249">
        <v>2.745419E-2</v>
      </c>
      <c r="W249">
        <v>6.7003380000000001E-2</v>
      </c>
      <c r="X249">
        <v>0.99737500000000001</v>
      </c>
      <c r="Y249">
        <v>0.28331489999999998</v>
      </c>
      <c r="Z249">
        <v>-4.2975940000000001E-3</v>
      </c>
      <c r="AA249">
        <v>0.95901729999999996</v>
      </c>
      <c r="AB249">
        <v>20</v>
      </c>
      <c r="AC249">
        <v>44.731699999999897</v>
      </c>
      <c r="AD249">
        <v>-1.1596470000000001</v>
      </c>
      <c r="AE249">
        <v>-11.930199999999999</v>
      </c>
      <c r="AF249">
        <v>13.1461440343327</v>
      </c>
      <c r="AG249">
        <v>-1.1596470000000001</v>
      </c>
      <c r="AH249">
        <v>44.359289003033503</v>
      </c>
      <c r="AI249">
        <v>91.435797005774702</v>
      </c>
      <c r="AJ249">
        <v>73.492490910052595</v>
      </c>
      <c r="AK249">
        <v>46.280799528429498</v>
      </c>
      <c r="AL249">
        <v>86.158110930767194</v>
      </c>
      <c r="AM249">
        <v>88.423248923416196</v>
      </c>
      <c r="AN249">
        <v>1.0000000380524801</v>
      </c>
    </row>
    <row r="250" spans="1:40" x14ac:dyDescent="0.25">
      <c r="A250" t="str">
        <f>"20190312153855962"</f>
        <v>20190312153855962</v>
      </c>
      <c r="B250" t="str">
        <f>"1552376335955857"</f>
        <v>1552376335955857</v>
      </c>
      <c r="C250" t="s">
        <v>40</v>
      </c>
      <c r="D250">
        <v>4.2172539999999996</v>
      </c>
      <c r="E250">
        <v>0.6008213</v>
      </c>
      <c r="F250" t="s">
        <v>43</v>
      </c>
      <c r="G250">
        <v>-418.54500000000002</v>
      </c>
      <c r="H250">
        <v>-0.05</v>
      </c>
      <c r="I250">
        <v>357.47800000000001</v>
      </c>
      <c r="J250">
        <v>-457.12040000000002</v>
      </c>
      <c r="K250">
        <v>1.109642</v>
      </c>
      <c r="L250">
        <v>367.7312</v>
      </c>
      <c r="M250">
        <v>0.99960210000000005</v>
      </c>
      <c r="N250">
        <v>0</v>
      </c>
      <c r="O250">
        <v>2.7430909999999999E-2</v>
      </c>
      <c r="P250">
        <v>0.99822739999999999</v>
      </c>
      <c r="Q250">
        <v>5.9515560000000002E-2</v>
      </c>
      <c r="R250">
        <v>-2.8275119999999999E-4</v>
      </c>
      <c r="S250">
        <v>3.0109249999999999</v>
      </c>
      <c r="T250">
        <v>-9.0266700000000005E-2</v>
      </c>
      <c r="U250">
        <v>-0.79788210000000004</v>
      </c>
      <c r="V250">
        <v>2.767437E-2</v>
      </c>
      <c r="W250">
        <v>6.6068479999999999E-2</v>
      </c>
      <c r="X250">
        <v>0.99743119999999996</v>
      </c>
      <c r="Y250">
        <v>0.28244380000000002</v>
      </c>
      <c r="Z250">
        <v>-4.9699899999999997E-3</v>
      </c>
      <c r="AA250">
        <v>0.95927099999999998</v>
      </c>
      <c r="AB250">
        <v>20</v>
      </c>
      <c r="AC250">
        <v>38.575400000000002</v>
      </c>
      <c r="AD250">
        <v>-1.1596420000000001</v>
      </c>
      <c r="AE250">
        <v>-10.2531999999999</v>
      </c>
      <c r="AF250">
        <v>11.2979864139988</v>
      </c>
      <c r="AG250">
        <v>-1.1596420000000001</v>
      </c>
      <c r="AH250">
        <v>38.247339262733497</v>
      </c>
      <c r="AI250">
        <v>91.665547052227097</v>
      </c>
      <c r="AJ250">
        <v>73.543242031177797</v>
      </c>
      <c r="AK250">
        <v>39.8979727211509</v>
      </c>
      <c r="AL250">
        <v>86.211795410497402</v>
      </c>
      <c r="AM250">
        <v>88.410699497569993</v>
      </c>
      <c r="AN250">
        <v>0.99999995676892195</v>
      </c>
    </row>
    <row r="251" spans="1:40" x14ac:dyDescent="0.25">
      <c r="A251" t="str">
        <f>"20190312153855982"</f>
        <v>20190312153855982</v>
      </c>
      <c r="B251" t="str">
        <f>"1552376335976353"</f>
        <v>1552376335976353</v>
      </c>
      <c r="C251" t="s">
        <v>40</v>
      </c>
      <c r="D251">
        <v>4.2493339999999904</v>
      </c>
      <c r="E251">
        <v>0.60054449999999904</v>
      </c>
      <c r="F251" t="s">
        <v>43</v>
      </c>
      <c r="G251">
        <v>-420.73899999999998</v>
      </c>
      <c r="H251">
        <v>-0.05</v>
      </c>
      <c r="I251">
        <v>358.09129999999999</v>
      </c>
      <c r="J251">
        <v>-456.94400000000002</v>
      </c>
      <c r="K251">
        <v>1.1096410000000001</v>
      </c>
      <c r="L251">
        <v>367.73590000000002</v>
      </c>
      <c r="M251">
        <v>0.99960380000000004</v>
      </c>
      <c r="N251">
        <v>0</v>
      </c>
      <c r="O251">
        <v>2.7370439999999999E-2</v>
      </c>
      <c r="P251">
        <v>0.99822529999999998</v>
      </c>
      <c r="Q251">
        <v>5.9545929999999997E-2</v>
      </c>
      <c r="R251">
        <v>-7.2273809999999895E-4</v>
      </c>
      <c r="S251">
        <v>3.0108030000000001</v>
      </c>
      <c r="T251">
        <v>-9.5968129999999999E-2</v>
      </c>
      <c r="U251">
        <v>-0.79776000000000002</v>
      </c>
      <c r="V251">
        <v>2.80539E-2</v>
      </c>
      <c r="W251">
        <v>6.6090360000000001E-2</v>
      </c>
      <c r="X251">
        <v>0.99741919999999995</v>
      </c>
      <c r="Y251">
        <v>0.28234219999999999</v>
      </c>
      <c r="Z251">
        <v>-5.2805040000000001E-3</v>
      </c>
      <c r="AA251">
        <v>0.95929920000000002</v>
      </c>
      <c r="AB251">
        <v>20</v>
      </c>
      <c r="AC251">
        <v>36.204999999999899</v>
      </c>
      <c r="AD251">
        <v>-1.1596409999999999</v>
      </c>
      <c r="AE251">
        <v>-9.64460000000002</v>
      </c>
      <c r="AF251">
        <v>10.6217797574883</v>
      </c>
      <c r="AG251">
        <v>-1.1596409999999999</v>
      </c>
      <c r="AH251">
        <v>35.893069722585501</v>
      </c>
      <c r="AI251">
        <v>91.774464735421304</v>
      </c>
      <c r="AJ251">
        <v>73.515016705903605</v>
      </c>
      <c r="AK251">
        <v>37.449691942335797</v>
      </c>
      <c r="AL251">
        <v>86.210539230109802</v>
      </c>
      <c r="AM251">
        <v>88.388895655099603</v>
      </c>
      <c r="AN251">
        <v>1.0000000087593801</v>
      </c>
    </row>
    <row r="252" spans="1:40" x14ac:dyDescent="0.25">
      <c r="A252" t="str">
        <f>"20190312153855996"</f>
        <v>20190312153855996</v>
      </c>
      <c r="B252" t="str">
        <f>"1552376335986113"</f>
        <v>1552376335986113</v>
      </c>
      <c r="C252" t="s">
        <v>40</v>
      </c>
      <c r="D252">
        <v>4.2589309999999996</v>
      </c>
      <c r="E252">
        <v>0.60051449999999995</v>
      </c>
      <c r="F252" t="s">
        <v>43</v>
      </c>
      <c r="G252">
        <v>-423.11869999999999</v>
      </c>
      <c r="H252">
        <v>-0.05</v>
      </c>
      <c r="I252">
        <v>358.78710000000001</v>
      </c>
      <c r="J252">
        <v>-456.80799999999999</v>
      </c>
      <c r="K252">
        <v>1.109639</v>
      </c>
      <c r="L252">
        <v>367.73970000000003</v>
      </c>
      <c r="M252">
        <v>0.99960519999999997</v>
      </c>
      <c r="N252">
        <v>0</v>
      </c>
      <c r="O252">
        <v>2.732337E-2</v>
      </c>
      <c r="P252">
        <v>0.99823890000000004</v>
      </c>
      <c r="Q252">
        <v>5.9314039999999998E-2</v>
      </c>
      <c r="R252">
        <v>-1.129576E-3</v>
      </c>
      <c r="S252">
        <v>3.0109249999999999</v>
      </c>
      <c r="T252">
        <v>-0.10322439999999999</v>
      </c>
      <c r="U252">
        <v>-0.79656979999999999</v>
      </c>
      <c r="V252">
        <v>2.8413810000000001E-2</v>
      </c>
      <c r="W252">
        <v>6.5853419999999996E-2</v>
      </c>
      <c r="X252">
        <v>0.99742470000000005</v>
      </c>
      <c r="Y252">
        <v>0.2819102</v>
      </c>
      <c r="Z252">
        <v>-5.6707440000000001E-3</v>
      </c>
      <c r="AA252">
        <v>0.95942400000000005</v>
      </c>
      <c r="AB252">
        <v>20</v>
      </c>
      <c r="AC252">
        <v>33.689300000000003</v>
      </c>
      <c r="AD252">
        <v>-1.1596389999999901</v>
      </c>
      <c r="AE252">
        <v>-8.9526000000000092</v>
      </c>
      <c r="AF252">
        <v>9.8588715764063295</v>
      </c>
      <c r="AG252">
        <v>-1.1596389999999901</v>
      </c>
      <c r="AH252">
        <v>33.395142841565303</v>
      </c>
      <c r="AI252">
        <v>91.907462894148196</v>
      </c>
      <c r="AJ252">
        <v>73.552412593316603</v>
      </c>
      <c r="AK252">
        <v>34.839312231715198</v>
      </c>
      <c r="AL252">
        <v>86.224144592249303</v>
      </c>
      <c r="AM252">
        <v>88.3682465200704</v>
      </c>
      <c r="AN252">
        <v>1.00000002484725</v>
      </c>
    </row>
    <row r="253" spans="1:40" x14ac:dyDescent="0.25">
      <c r="A253" t="str">
        <f>"20190312153856016"</f>
        <v>20190312153856016</v>
      </c>
      <c r="B253" t="str">
        <f>"1552376336006609"</f>
        <v>1552376336006609</v>
      </c>
      <c r="C253" t="s">
        <v>40</v>
      </c>
      <c r="D253">
        <v>4.2594519999999996</v>
      </c>
      <c r="E253">
        <v>0.60036330000000004</v>
      </c>
      <c r="F253" t="s">
        <v>43</v>
      </c>
      <c r="G253">
        <v>-424.45830000000001</v>
      </c>
      <c r="H253">
        <v>-0.05</v>
      </c>
      <c r="I253">
        <v>359.16910000000001</v>
      </c>
      <c r="J253">
        <v>-456.62630000000001</v>
      </c>
      <c r="K253">
        <v>1.1096330000000001</v>
      </c>
      <c r="L253">
        <v>367.74450000000002</v>
      </c>
      <c r="M253">
        <v>0.99960680000000002</v>
      </c>
      <c r="N253">
        <v>0</v>
      </c>
      <c r="O253">
        <v>2.726104E-2</v>
      </c>
      <c r="P253">
        <v>0.99828269999999997</v>
      </c>
      <c r="Q253">
        <v>5.8569799999999998E-2</v>
      </c>
      <c r="R253">
        <v>-1.05536E-3</v>
      </c>
      <c r="S253">
        <v>3.0108030000000001</v>
      </c>
      <c r="T253">
        <v>-0.1079283</v>
      </c>
      <c r="U253">
        <v>-0.7976685</v>
      </c>
      <c r="V253">
        <v>2.8278899999999999E-2</v>
      </c>
      <c r="W253">
        <v>6.5104969999999998E-2</v>
      </c>
      <c r="X253">
        <v>0.99747770000000002</v>
      </c>
      <c r="Y253">
        <v>0.28217120000000001</v>
      </c>
      <c r="Z253">
        <v>-5.9313630000000003E-3</v>
      </c>
      <c r="AA253">
        <v>0.95934580000000003</v>
      </c>
      <c r="AB253">
        <v>20</v>
      </c>
      <c r="AC253">
        <v>32.167999999999999</v>
      </c>
      <c r="AD253">
        <v>-1.1596329999999999</v>
      </c>
      <c r="AE253">
        <v>-8.5754000000000001</v>
      </c>
      <c r="AF253">
        <v>9.4377138232534996</v>
      </c>
      <c r="AG253">
        <v>-1.1596329999999999</v>
      </c>
      <c r="AH253">
        <v>31.883579731621399</v>
      </c>
      <c r="AI253">
        <v>91.997384622283306</v>
      </c>
      <c r="AJ253">
        <v>73.510958432302104</v>
      </c>
      <c r="AK253">
        <v>33.271276612221797</v>
      </c>
      <c r="AL253">
        <v>86.267119968698907</v>
      </c>
      <c r="AM253">
        <v>88.376076241352294</v>
      </c>
      <c r="AN253">
        <v>1.0000000576505901</v>
      </c>
    </row>
    <row r="254" spans="1:40" x14ac:dyDescent="0.25">
      <c r="A254" t="str">
        <f>"20190312153856030"</f>
        <v>20190312153856030</v>
      </c>
      <c r="B254" t="str">
        <f>"1552376336016369"</f>
        <v>1552376336016369</v>
      </c>
      <c r="C254" t="s">
        <v>40</v>
      </c>
      <c r="D254">
        <v>4.2864339999999999</v>
      </c>
      <c r="E254">
        <v>0.60032489999999905</v>
      </c>
      <c r="F254" t="s">
        <v>43</v>
      </c>
      <c r="G254">
        <v>-426.51620000000003</v>
      </c>
      <c r="H254">
        <v>-0.05</v>
      </c>
      <c r="I254">
        <v>359.78269999999998</v>
      </c>
      <c r="J254">
        <v>-456.50290000000001</v>
      </c>
      <c r="K254">
        <v>1.1096250000000001</v>
      </c>
      <c r="L254">
        <v>367.74779999999998</v>
      </c>
      <c r="M254">
        <v>0.9996081</v>
      </c>
      <c r="N254">
        <v>0</v>
      </c>
      <c r="O254">
        <v>2.721848E-2</v>
      </c>
      <c r="P254">
        <v>0.99832679999999996</v>
      </c>
      <c r="Q254">
        <v>5.782139E-2</v>
      </c>
      <c r="R254">
        <v>-8.0043759999999997E-4</v>
      </c>
      <c r="S254">
        <v>3.0110779999999999</v>
      </c>
      <c r="T254">
        <v>-0.11596620000000001</v>
      </c>
      <c r="U254">
        <v>-0.79620360000000001</v>
      </c>
      <c r="V254">
        <v>2.7982440000000001E-2</v>
      </c>
      <c r="W254">
        <v>6.4355519999999999E-2</v>
      </c>
      <c r="X254">
        <v>0.99753460000000005</v>
      </c>
      <c r="Y254">
        <v>0.28164409999999901</v>
      </c>
      <c r="Z254">
        <v>-6.3610369999999999E-3</v>
      </c>
      <c r="AA254">
        <v>0.95949790000000001</v>
      </c>
      <c r="AB254">
        <v>21</v>
      </c>
      <c r="AC254">
        <v>29.9866999999999</v>
      </c>
      <c r="AD254">
        <v>-1.1596249999999999</v>
      </c>
      <c r="AE254">
        <v>-7.9650999999999996</v>
      </c>
      <c r="AF254">
        <v>8.76611324682702</v>
      </c>
      <c r="AG254">
        <v>-1.1596249999999999</v>
      </c>
      <c r="AH254">
        <v>29.717274742021299</v>
      </c>
      <c r="AI254">
        <v>92.143436910596705</v>
      </c>
      <c r="AJ254">
        <v>73.564797113249895</v>
      </c>
      <c r="AK254">
        <v>31.004933312129499</v>
      </c>
      <c r="AL254">
        <v>86.310150187101698</v>
      </c>
      <c r="AM254">
        <v>88.393183177927497</v>
      </c>
      <c r="AN254">
        <v>0.99999996404999103</v>
      </c>
    </row>
    <row r="255" spans="1:40" x14ac:dyDescent="0.25">
      <c r="A255" t="str">
        <f>"20190312153856050"</f>
        <v>20190312153856050</v>
      </c>
      <c r="B255" t="str">
        <f>"1552376336035889"</f>
        <v>1552376336035889</v>
      </c>
      <c r="C255" t="s">
        <v>40</v>
      </c>
      <c r="D255">
        <v>4.2895849999999998</v>
      </c>
      <c r="E255">
        <v>0.60028950000000003</v>
      </c>
      <c r="F255" t="s">
        <v>43</v>
      </c>
      <c r="G255">
        <v>-427.58730000000003</v>
      </c>
      <c r="H255">
        <v>-0.05</v>
      </c>
      <c r="I255">
        <v>360.11279999999999</v>
      </c>
      <c r="J255">
        <v>-456.31720000000001</v>
      </c>
      <c r="K255">
        <v>1.1096140000000001</v>
      </c>
      <c r="L255">
        <v>367.75279999999998</v>
      </c>
      <c r="M255">
        <v>0.99960979999999999</v>
      </c>
      <c r="N255">
        <v>0</v>
      </c>
      <c r="O255">
        <v>2.715447E-2</v>
      </c>
      <c r="P255">
        <v>0.99841139999999995</v>
      </c>
      <c r="Q255">
        <v>5.6345689999999997E-2</v>
      </c>
      <c r="R255">
        <v>-4.6129679999999998E-4</v>
      </c>
      <c r="S255">
        <v>3.0113530000000002</v>
      </c>
      <c r="T255">
        <v>-0.1207666</v>
      </c>
      <c r="U255">
        <v>-0.7951355</v>
      </c>
      <c r="V255">
        <v>2.758155E-2</v>
      </c>
      <c r="W255">
        <v>6.2879850000000001E-2</v>
      </c>
      <c r="X255">
        <v>0.99763990000000002</v>
      </c>
      <c r="Y255">
        <v>0.28122509999999901</v>
      </c>
      <c r="Z255">
        <v>-6.613079E-3</v>
      </c>
      <c r="AA255">
        <v>0.959619</v>
      </c>
      <c r="AB255">
        <v>21</v>
      </c>
      <c r="AC255">
        <v>28.729899999999901</v>
      </c>
      <c r="AD255">
        <v>-1.1596139999999999</v>
      </c>
      <c r="AE255">
        <v>-7.6399999999999801</v>
      </c>
      <c r="AF255">
        <v>8.4045566628221202</v>
      </c>
      <c r="AG255">
        <v>-1.1596139999999999</v>
      </c>
      <c r="AH255">
        <v>28.468524684354101</v>
      </c>
      <c r="AI255">
        <v>92.237197370368406</v>
      </c>
      <c r="AJ255">
        <v>73.552199643592303</v>
      </c>
      <c r="AK255">
        <v>29.705860954216799</v>
      </c>
      <c r="AL255">
        <v>86.394871584370605</v>
      </c>
      <c r="AM255">
        <v>88.416358489058297</v>
      </c>
      <c r="AN255">
        <v>0.999999993754217</v>
      </c>
    </row>
    <row r="256" spans="1:40" x14ac:dyDescent="0.25">
      <c r="A256" t="str">
        <f>"20190312153856072"</f>
        <v>20190312153856072</v>
      </c>
      <c r="B256" t="str">
        <f>"1552376336066654"</f>
        <v>1552376336066654</v>
      </c>
      <c r="C256" t="s">
        <v>40</v>
      </c>
      <c r="D256">
        <v>4.2977460000000001</v>
      </c>
      <c r="E256">
        <v>0.60009630000000003</v>
      </c>
      <c r="F256" t="s">
        <v>43</v>
      </c>
      <c r="G256">
        <v>-429.61279999999999</v>
      </c>
      <c r="H256">
        <v>-0.05</v>
      </c>
      <c r="I256">
        <v>360.71449999999999</v>
      </c>
      <c r="J256">
        <v>-456.10649999999998</v>
      </c>
      <c r="K256">
        <v>1.1096060000000001</v>
      </c>
      <c r="L256">
        <v>367.75850000000003</v>
      </c>
      <c r="M256">
        <v>0.9996119</v>
      </c>
      <c r="N256">
        <v>0</v>
      </c>
      <c r="O256">
        <v>2.70818E-2</v>
      </c>
      <c r="P256">
        <v>0.99846259999999998</v>
      </c>
      <c r="Q256">
        <v>5.5431929999999997E-2</v>
      </c>
      <c r="R256">
        <v>-2.1164649999999999E-4</v>
      </c>
      <c r="S256">
        <v>3.011749</v>
      </c>
      <c r="T256">
        <v>-0.13078239999999999</v>
      </c>
      <c r="U256">
        <v>-0.79379270000000002</v>
      </c>
      <c r="V256">
        <v>2.7260940000000001E-2</v>
      </c>
      <c r="W256">
        <v>6.1968469999999998E-2</v>
      </c>
      <c r="X256">
        <v>0.99770579999999998</v>
      </c>
      <c r="Y256">
        <v>0.28068459999999901</v>
      </c>
      <c r="Z256">
        <v>-7.1459109999999996E-3</v>
      </c>
      <c r="AA256">
        <v>0.9597734</v>
      </c>
      <c r="AB256">
        <v>21</v>
      </c>
      <c r="AC256">
        <v>26.493699999999901</v>
      </c>
      <c r="AD256">
        <v>-1.1596059999999999</v>
      </c>
      <c r="AE256">
        <v>-7.0440000000000396</v>
      </c>
      <c r="AF256">
        <v>7.7450707677649104</v>
      </c>
      <c r="AG256">
        <v>-1.1596059999999999</v>
      </c>
      <c r="AH256">
        <v>26.246252744330601</v>
      </c>
      <c r="AI256">
        <v>92.426472479841493</v>
      </c>
      <c r="AJ256">
        <v>73.559068487252205</v>
      </c>
      <c r="AK256">
        <v>27.389716873166201</v>
      </c>
      <c r="AL256">
        <v>86.447192077807401</v>
      </c>
      <c r="AM256">
        <v>88.434860980345306</v>
      </c>
      <c r="AN256">
        <v>1.0000000567387299</v>
      </c>
    </row>
    <row r="257" spans="1:40" x14ac:dyDescent="0.25">
      <c r="A257" t="str">
        <f>"20190312153856094"</f>
        <v>20190312153856094</v>
      </c>
      <c r="B257" t="str">
        <f>"1552376336086174"</f>
        <v>1552376336086174</v>
      </c>
      <c r="C257" t="s">
        <v>40</v>
      </c>
      <c r="D257">
        <v>4.2920889999999998</v>
      </c>
      <c r="E257">
        <v>0.58073399999999997</v>
      </c>
      <c r="F257" t="s">
        <v>43</v>
      </c>
      <c r="G257">
        <v>-430.95119999999997</v>
      </c>
      <c r="H257">
        <v>-0.05</v>
      </c>
      <c r="I257">
        <v>361.14760000000001</v>
      </c>
      <c r="J257">
        <v>-455.90199999999999</v>
      </c>
      <c r="K257">
        <v>1.109599</v>
      </c>
      <c r="L257">
        <v>367.76389999999998</v>
      </c>
      <c r="M257">
        <v>0.99961369999999905</v>
      </c>
      <c r="N257">
        <v>0</v>
      </c>
      <c r="O257">
        <v>2.7011629999999998E-2</v>
      </c>
      <c r="P257">
        <v>0.99849219999999905</v>
      </c>
      <c r="Q257">
        <v>5.4896840000000002E-2</v>
      </c>
      <c r="R257" s="1">
        <v>2.1200160000000001E-5</v>
      </c>
      <c r="S257">
        <v>3.0122070000000001</v>
      </c>
      <c r="T257">
        <v>-0.13885649999999999</v>
      </c>
      <c r="U257">
        <v>-0.79162600000000005</v>
      </c>
      <c r="V257">
        <v>2.6958679999999999E-2</v>
      </c>
      <c r="W257">
        <v>6.1436869999999998E-2</v>
      </c>
      <c r="X257">
        <v>0.99774680000000004</v>
      </c>
      <c r="Y257">
        <v>0.27990189999999998</v>
      </c>
      <c r="Z257">
        <v>-7.5652990000000002E-3</v>
      </c>
      <c r="AA257">
        <v>0.95999880000000004</v>
      </c>
      <c r="AB257">
        <v>21</v>
      </c>
      <c r="AC257">
        <v>24.950800000000001</v>
      </c>
      <c r="AD257">
        <v>-1.159599</v>
      </c>
      <c r="AE257">
        <v>-6.6162999999999599</v>
      </c>
      <c r="AF257">
        <v>7.2731842184129896</v>
      </c>
      <c r="AG257">
        <v>-1.159599</v>
      </c>
      <c r="AH257">
        <v>24.713102132259198</v>
      </c>
      <c r="AI257">
        <v>92.577343026902696</v>
      </c>
      <c r="AJ257">
        <v>73.600591612668097</v>
      </c>
      <c r="AK257">
        <v>25.787231249501101</v>
      </c>
      <c r="AL257">
        <v>86.477708347515403</v>
      </c>
      <c r="AM257">
        <v>88.452269790839395</v>
      </c>
      <c r="AN257">
        <v>0.99999996816648895</v>
      </c>
    </row>
    <row r="258" spans="1:40" x14ac:dyDescent="0.25">
      <c r="A258" t="str">
        <f>"20190312153856107"</f>
        <v>20190312153856107</v>
      </c>
      <c r="B258" t="str">
        <f>"1552376336095936"</f>
        <v>1552376336095936</v>
      </c>
      <c r="C258" t="s">
        <v>40</v>
      </c>
      <c r="D258">
        <v>4.3061069999999999</v>
      </c>
      <c r="E258">
        <v>0.58089740000000001</v>
      </c>
      <c r="F258" t="s">
        <v>43</v>
      </c>
      <c r="G258">
        <v>-428.15519999999998</v>
      </c>
      <c r="H258">
        <v>-0.05</v>
      </c>
      <c r="I258">
        <v>361.89150000000001</v>
      </c>
      <c r="J258">
        <v>-455.77839999999998</v>
      </c>
      <c r="K258">
        <v>1.1095950000000001</v>
      </c>
      <c r="L258">
        <v>367.76729999999998</v>
      </c>
      <c r="M258">
        <v>0.99961480000000003</v>
      </c>
      <c r="N258">
        <v>0</v>
      </c>
      <c r="O258">
        <v>2.6969010000000002E-2</v>
      </c>
      <c r="P258">
        <v>0.99851290000000004</v>
      </c>
      <c r="Q258">
        <v>5.4515969999999997E-2</v>
      </c>
      <c r="R258">
        <v>1.9349499999999999E-4</v>
      </c>
      <c r="S258">
        <v>3.011444</v>
      </c>
      <c r="T258">
        <v>-0.12585499999999999</v>
      </c>
      <c r="U258">
        <v>-0.63735959999999903</v>
      </c>
      <c r="V258">
        <v>2.6744520000000001E-2</v>
      </c>
      <c r="W258">
        <v>6.105944E-2</v>
      </c>
      <c r="X258">
        <v>0.99777579999999999</v>
      </c>
      <c r="Y258">
        <v>0.23315130000000001</v>
      </c>
      <c r="Z258">
        <v>-5.9315449999999999E-3</v>
      </c>
      <c r="AA258">
        <v>0.97242240000000002</v>
      </c>
      <c r="AB258">
        <v>21</v>
      </c>
      <c r="AC258">
        <v>27.623200000000001</v>
      </c>
      <c r="AD258">
        <v>-1.1595949999999999</v>
      </c>
      <c r="AE258">
        <v>-5.8757999999999697</v>
      </c>
      <c r="AF258">
        <v>6.6075090886247096</v>
      </c>
      <c r="AG258">
        <v>-1.1595949999999999</v>
      </c>
      <c r="AH258">
        <v>27.408474825318599</v>
      </c>
      <c r="AI258">
        <v>92.355225355206699</v>
      </c>
      <c r="AJ258">
        <v>76.446020741942306</v>
      </c>
      <c r="AK258">
        <v>28.217518125632701</v>
      </c>
      <c r="AL258">
        <v>86.499374407582806</v>
      </c>
      <c r="AM258">
        <v>88.464603670128994</v>
      </c>
      <c r="AN258">
        <v>1.0000000358143899</v>
      </c>
    </row>
    <row r="259" spans="1:40" x14ac:dyDescent="0.25">
      <c r="A259" t="str">
        <f>"20190312153856120"</f>
        <v>20190312153856120</v>
      </c>
      <c r="B259" t="str">
        <f>"1552376336116430"</f>
        <v>1552376336116430</v>
      </c>
      <c r="C259" t="s">
        <v>40</v>
      </c>
      <c r="D259">
        <v>4.3597970000000004</v>
      </c>
      <c r="E259">
        <v>0.58042939999999998</v>
      </c>
      <c r="F259" t="s">
        <v>43</v>
      </c>
      <c r="G259">
        <v>-428.2946</v>
      </c>
      <c r="H259">
        <v>-0.05</v>
      </c>
      <c r="I259">
        <v>361.94589999999999</v>
      </c>
      <c r="J259">
        <v>-455.66309999999999</v>
      </c>
      <c r="K259">
        <v>1.1095930000000001</v>
      </c>
      <c r="L259">
        <v>367.77030000000002</v>
      </c>
      <c r="M259">
        <v>0.9996159</v>
      </c>
      <c r="N259">
        <v>0</v>
      </c>
      <c r="O259">
        <v>2.6929419999999999E-2</v>
      </c>
      <c r="P259">
        <v>0.99852129999999995</v>
      </c>
      <c r="Q259">
        <v>5.4362099999999997E-2</v>
      </c>
      <c r="R259">
        <v>5.1608519999999996E-4</v>
      </c>
      <c r="S259">
        <v>3.011536</v>
      </c>
      <c r="T259">
        <v>-0.1270628</v>
      </c>
      <c r="U259">
        <v>-0.63787839999999996</v>
      </c>
      <c r="V259">
        <v>2.638279E-2</v>
      </c>
      <c r="W259">
        <v>6.09081E-2</v>
      </c>
      <c r="X259">
        <v>0.99779459999999998</v>
      </c>
      <c r="Y259">
        <v>0.2332629</v>
      </c>
      <c r="Z259">
        <v>-5.9888069999999996E-3</v>
      </c>
      <c r="AA259">
        <v>0.97239520000000002</v>
      </c>
      <c r="AB259">
        <v>21</v>
      </c>
      <c r="AC259">
        <v>27.368499999999901</v>
      </c>
      <c r="AD259">
        <v>-1.1595930000000001</v>
      </c>
      <c r="AE259">
        <v>-5.8244000000000202</v>
      </c>
      <c r="AF259">
        <v>6.5480755520096396</v>
      </c>
      <c r="AG259">
        <v>-1.1595930000000001</v>
      </c>
      <c r="AH259">
        <v>27.155086714022499</v>
      </c>
      <c r="AI259">
        <v>92.377140202376495</v>
      </c>
      <c r="AJ259">
        <v>76.442726397411903</v>
      </c>
      <c r="AK259">
        <v>27.957479925890201</v>
      </c>
      <c r="AL259">
        <v>86.508061440765701</v>
      </c>
      <c r="AM259">
        <v>88.485389285579799</v>
      </c>
      <c r="AN259">
        <v>0.99999995602147596</v>
      </c>
    </row>
    <row r="260" spans="1:40" x14ac:dyDescent="0.25">
      <c r="A260" t="str">
        <f>"20190312153856137"</f>
        <v>20190312153856137</v>
      </c>
      <c r="B260" t="str">
        <f>"1552376336126190"</f>
        <v>1552376336126190</v>
      </c>
      <c r="C260" t="s">
        <v>40</v>
      </c>
      <c r="D260">
        <v>4.2861960000000003</v>
      </c>
      <c r="E260">
        <v>0.58052809999999999</v>
      </c>
      <c r="F260" t="s">
        <v>43</v>
      </c>
      <c r="G260">
        <v>-427.98079999999999</v>
      </c>
      <c r="H260">
        <v>-0.05</v>
      </c>
      <c r="I260">
        <v>361.94970000000001</v>
      </c>
      <c r="J260">
        <v>-455.48970000000003</v>
      </c>
      <c r="K260">
        <v>1.109591</v>
      </c>
      <c r="L260">
        <v>367.7749</v>
      </c>
      <c r="M260">
        <v>0.99961730000000004</v>
      </c>
      <c r="N260">
        <v>0</v>
      </c>
      <c r="O260">
        <v>2.6869850000000001E-2</v>
      </c>
      <c r="P260">
        <v>0.99855130000000003</v>
      </c>
      <c r="Q260">
        <v>5.379888E-2</v>
      </c>
      <c r="R260">
        <v>1.099559E-3</v>
      </c>
      <c r="S260">
        <v>3.0116269999999998</v>
      </c>
      <c r="T260">
        <v>-0.12615480000000001</v>
      </c>
      <c r="U260">
        <v>-0.63323969999999996</v>
      </c>
      <c r="V260">
        <v>2.5740800000000001E-2</v>
      </c>
      <c r="W260">
        <v>6.0351219999999997E-2</v>
      </c>
      <c r="X260">
        <v>0.99784519999999999</v>
      </c>
      <c r="Y260">
        <v>0.23176920000000001</v>
      </c>
      <c r="Z260">
        <v>-5.9133950000000001E-3</v>
      </c>
      <c r="AA260">
        <v>0.97275279999999997</v>
      </c>
      <c r="AB260">
        <v>21</v>
      </c>
      <c r="AC260">
        <v>27.508900000000001</v>
      </c>
      <c r="AD260">
        <v>-1.159591</v>
      </c>
      <c r="AE260">
        <v>-5.8251999999999899</v>
      </c>
      <c r="AF260">
        <v>6.5511315390591998</v>
      </c>
      <c r="AG260">
        <v>-1.159591</v>
      </c>
      <c r="AH260">
        <v>27.2960208093359</v>
      </c>
      <c r="AI260">
        <v>92.365485255990805</v>
      </c>
      <c r="AJ260">
        <v>76.504094951065696</v>
      </c>
      <c r="AK260">
        <v>28.095101490349499</v>
      </c>
      <c r="AL260">
        <v>86.540027104685095</v>
      </c>
      <c r="AM260">
        <v>88.522303673760305</v>
      </c>
      <c r="AN260">
        <v>0.999999950851583</v>
      </c>
    </row>
    <row r="261" spans="1:40" x14ac:dyDescent="0.25">
      <c r="A261" t="str">
        <f>"20190312153856150"</f>
        <v>20190312153856150</v>
      </c>
      <c r="B261" t="str">
        <f>"1552376336146686"</f>
        <v>1552376336146686</v>
      </c>
      <c r="C261" t="s">
        <v>40</v>
      </c>
      <c r="D261">
        <v>4.2946229999999996</v>
      </c>
      <c r="E261">
        <v>0.58051189999999997</v>
      </c>
      <c r="F261" t="s">
        <v>43</v>
      </c>
      <c r="G261">
        <v>-428.00299999999999</v>
      </c>
      <c r="H261">
        <v>-0.05</v>
      </c>
      <c r="I261">
        <v>362.0052</v>
      </c>
      <c r="J261">
        <v>-455.3716</v>
      </c>
      <c r="K261">
        <v>1.1095889999999999</v>
      </c>
      <c r="L261">
        <v>367.77809999999999</v>
      </c>
      <c r="M261">
        <v>0.99961840000000002</v>
      </c>
      <c r="N261">
        <v>0</v>
      </c>
      <c r="O261">
        <v>2.68293E-2</v>
      </c>
      <c r="P261">
        <v>0.99856560000000005</v>
      </c>
      <c r="Q261">
        <v>5.3526959999999998E-2</v>
      </c>
      <c r="R261">
        <v>1.356321E-3</v>
      </c>
      <c r="S261">
        <v>3.0119020000000001</v>
      </c>
      <c r="T261">
        <v>-0.12706429999999999</v>
      </c>
      <c r="U261">
        <v>-0.63223269999999998</v>
      </c>
      <c r="V261">
        <v>2.5443980000000001E-2</v>
      </c>
      <c r="W261">
        <v>6.008372E-2</v>
      </c>
      <c r="X261">
        <v>0.99786900000000001</v>
      </c>
      <c r="Y261">
        <v>0.23139760000000001</v>
      </c>
      <c r="Z261">
        <v>-5.9462169999999898E-3</v>
      </c>
      <c r="AA261">
        <v>0.97284110000000001</v>
      </c>
      <c r="AB261">
        <v>21</v>
      </c>
      <c r="AC261">
        <v>27.368599999999901</v>
      </c>
      <c r="AD261">
        <v>-1.159589</v>
      </c>
      <c r="AE261">
        <v>-5.7728999999999902</v>
      </c>
      <c r="AF261">
        <v>6.4939569867765403</v>
      </c>
      <c r="AG261">
        <v>-1.159589</v>
      </c>
      <c r="AH261">
        <v>27.157186654168299</v>
      </c>
      <c r="AI261">
        <v>92.378032901537594</v>
      </c>
      <c r="AJ261">
        <v>76.551690016570504</v>
      </c>
      <c r="AK261">
        <v>27.9468944779982</v>
      </c>
      <c r="AL261">
        <v>86.555381744020806</v>
      </c>
      <c r="AM261">
        <v>88.539370550956903</v>
      </c>
      <c r="AN261">
        <v>0.99999999534413897</v>
      </c>
    </row>
    <row r="262" spans="1:40" x14ac:dyDescent="0.25">
      <c r="A262" t="str">
        <f>"20190312153856162"</f>
        <v>20190312153856162</v>
      </c>
      <c r="B262" t="str">
        <f>"1552376336155979"</f>
        <v>1552376336155979</v>
      </c>
      <c r="C262" t="s">
        <v>40</v>
      </c>
      <c r="D262">
        <v>4.2652029999999996</v>
      </c>
      <c r="E262">
        <v>0.58075369999999904</v>
      </c>
      <c r="F262" t="s">
        <v>43</v>
      </c>
      <c r="G262">
        <v>-427.41640000000001</v>
      </c>
      <c r="H262">
        <v>-0.05</v>
      </c>
      <c r="I262">
        <v>361.91609999999997</v>
      </c>
      <c r="J262">
        <v>-455.25220000000002</v>
      </c>
      <c r="K262">
        <v>1.109585</v>
      </c>
      <c r="L262">
        <v>367.78129999999999</v>
      </c>
      <c r="M262">
        <v>0.9996197</v>
      </c>
      <c r="N262">
        <v>0</v>
      </c>
      <c r="O262">
        <v>2.6788220000000001E-2</v>
      </c>
      <c r="P262">
        <v>0.99856350000000005</v>
      </c>
      <c r="Q262">
        <v>5.3563359999999997E-2</v>
      </c>
      <c r="R262">
        <v>1.4738010000000001E-3</v>
      </c>
      <c r="S262">
        <v>3.011841</v>
      </c>
      <c r="T262">
        <v>-0.124932</v>
      </c>
      <c r="U262">
        <v>-0.63156129999999999</v>
      </c>
      <c r="V262">
        <v>2.528563E-2</v>
      </c>
      <c r="W262">
        <v>6.0125129999999999E-2</v>
      </c>
      <c r="X262">
        <v>0.99787060000000005</v>
      </c>
      <c r="Y262">
        <v>0.23116139999999999</v>
      </c>
      <c r="Z262">
        <v>-5.8402310000000004E-3</v>
      </c>
      <c r="AA262">
        <v>0.97289789999999998</v>
      </c>
      <c r="AB262">
        <v>21</v>
      </c>
      <c r="AC262">
        <v>27.835799999999999</v>
      </c>
      <c r="AD262">
        <v>-1.1595850000000001</v>
      </c>
      <c r="AE262">
        <v>-5.8652000000000104</v>
      </c>
      <c r="AF262">
        <v>6.5978195073879196</v>
      </c>
      <c r="AG262">
        <v>-1.1595850000000001</v>
      </c>
      <c r="AH262">
        <v>27.622789933258598</v>
      </c>
      <c r="AI262">
        <v>92.338129017297803</v>
      </c>
      <c r="AJ262">
        <v>76.566356650935305</v>
      </c>
      <c r="AK262">
        <v>28.423482955493402</v>
      </c>
      <c r="AL262">
        <v>86.553005066668703</v>
      </c>
      <c r="AM262">
        <v>88.548459168578006</v>
      </c>
      <c r="AN262">
        <v>1.0000000643431799</v>
      </c>
    </row>
    <row r="263" spans="1:40" x14ac:dyDescent="0.25">
      <c r="A263" t="str">
        <f>"20190312153856175"</f>
        <v>20190312153856175</v>
      </c>
      <c r="B263" t="str">
        <f>"1552376336166714"</f>
        <v>1552376336166714</v>
      </c>
      <c r="C263" t="s">
        <v>40</v>
      </c>
      <c r="D263">
        <v>4.2452959999999997</v>
      </c>
      <c r="E263">
        <v>0.58087549999999999</v>
      </c>
      <c r="F263" t="s">
        <v>43</v>
      </c>
      <c r="G263">
        <v>-427.77140000000003</v>
      </c>
      <c r="H263">
        <v>-0.05</v>
      </c>
      <c r="I263">
        <v>362.00560000000002</v>
      </c>
      <c r="J263">
        <v>-455.12869999999998</v>
      </c>
      <c r="K263">
        <v>1.109575</v>
      </c>
      <c r="L263">
        <v>367.78449999999998</v>
      </c>
      <c r="M263">
        <v>0.99962059999999997</v>
      </c>
      <c r="N263">
        <v>0</v>
      </c>
      <c r="O263">
        <v>2.6745939999999999E-2</v>
      </c>
      <c r="P263">
        <v>0.99858460000000004</v>
      </c>
      <c r="Q263">
        <v>5.3163950000000001E-2</v>
      </c>
      <c r="R263">
        <v>1.5257879999999999E-3</v>
      </c>
      <c r="S263">
        <v>3.0120849999999999</v>
      </c>
      <c r="T263">
        <v>-0.12709870000000001</v>
      </c>
      <c r="U263">
        <v>-0.63305659999999997</v>
      </c>
      <c r="V263">
        <v>2.5191970000000001E-2</v>
      </c>
      <c r="W263">
        <v>5.9730539999999999E-2</v>
      </c>
      <c r="X263">
        <v>0.99789660000000002</v>
      </c>
      <c r="Y263">
        <v>0.2315593</v>
      </c>
      <c r="Z263">
        <v>-5.9471990000000002E-3</v>
      </c>
      <c r="AA263">
        <v>0.97280259999999996</v>
      </c>
      <c r="AB263">
        <v>21</v>
      </c>
      <c r="AC263">
        <v>27.357299999999899</v>
      </c>
      <c r="AD263">
        <v>-1.159575</v>
      </c>
      <c r="AE263">
        <v>-5.7788999999999602</v>
      </c>
      <c r="AF263">
        <v>6.4973705896069598</v>
      </c>
      <c r="AG263">
        <v>-1.159575</v>
      </c>
      <c r="AH263">
        <v>27.146259729776698</v>
      </c>
      <c r="AI263">
        <v>92.378840951833993</v>
      </c>
      <c r="AJ263">
        <v>76.539658874005099</v>
      </c>
      <c r="AK263">
        <v>27.9370695685108</v>
      </c>
      <c r="AL263">
        <v>86.575653888204201</v>
      </c>
      <c r="AM263">
        <v>88.553871168236597</v>
      </c>
      <c r="AN263">
        <v>0.99999999852636601</v>
      </c>
    </row>
    <row r="264" spans="1:40" x14ac:dyDescent="0.25">
      <c r="A264" t="str">
        <f>"20190312153856195"</f>
        <v>20190312153856195</v>
      </c>
      <c r="B264" t="str">
        <f>"1552376336186234"</f>
        <v>1552376336186234</v>
      </c>
      <c r="C264" t="s">
        <v>40</v>
      </c>
      <c r="D264">
        <v>4.2796570000000003</v>
      </c>
      <c r="E264">
        <v>0.58136840000000001</v>
      </c>
      <c r="F264" t="s">
        <v>43</v>
      </c>
      <c r="G264">
        <v>-427.85169999999999</v>
      </c>
      <c r="H264">
        <v>-0.05</v>
      </c>
      <c r="I264">
        <v>362.04140000000001</v>
      </c>
      <c r="J264">
        <v>-454.9511</v>
      </c>
      <c r="K264">
        <v>1.1095759999999999</v>
      </c>
      <c r="L264">
        <v>367.78919999999999</v>
      </c>
      <c r="M264">
        <v>0.99962220000000002</v>
      </c>
      <c r="N264">
        <v>0</v>
      </c>
      <c r="O264">
        <v>2.6684869999999999E-2</v>
      </c>
      <c r="P264">
        <v>0.99856869999999998</v>
      </c>
      <c r="Q264">
        <v>5.3453970000000003E-2</v>
      </c>
      <c r="R264">
        <v>1.8218749999999999E-3</v>
      </c>
      <c r="S264">
        <v>3.0119929999999999</v>
      </c>
      <c r="T264">
        <v>-0.12804280000000001</v>
      </c>
      <c r="U264">
        <v>-0.63415529999999998</v>
      </c>
      <c r="V264">
        <v>2.4834729999999999E-2</v>
      </c>
      <c r="W264">
        <v>6.0028989999999997E-2</v>
      </c>
      <c r="X264">
        <v>0.99788770000000004</v>
      </c>
      <c r="Y264">
        <v>0.2318422</v>
      </c>
      <c r="Z264">
        <v>-5.9946679999999999E-3</v>
      </c>
      <c r="AA264">
        <v>0.97273489999999996</v>
      </c>
      <c r="AB264">
        <v>21</v>
      </c>
      <c r="AC264">
        <v>27.099399999999999</v>
      </c>
      <c r="AD264">
        <v>-1.1595759999999999</v>
      </c>
      <c r="AE264">
        <v>-5.7477999999999803</v>
      </c>
      <c r="AF264">
        <v>6.4575981395785904</v>
      </c>
      <c r="AG264">
        <v>-1.1595759999999999</v>
      </c>
      <c r="AH264">
        <v>26.889253054961799</v>
      </c>
      <c r="AI264">
        <v>92.401113734164795</v>
      </c>
      <c r="AJ264">
        <v>76.495850561503104</v>
      </c>
      <c r="AK264">
        <v>27.6780982021135</v>
      </c>
      <c r="AL264">
        <v>86.558523409832105</v>
      </c>
      <c r="AM264">
        <v>88.574357066995205</v>
      </c>
      <c r="AN264">
        <v>1.00000005263294</v>
      </c>
    </row>
    <row r="265" spans="1:40" x14ac:dyDescent="0.25">
      <c r="A265" t="str">
        <f>"20190312153856206"</f>
        <v>20190312153856206</v>
      </c>
      <c r="B265" t="str">
        <f>"1552376336195994"</f>
        <v>1552376336195994</v>
      </c>
      <c r="C265" t="s">
        <v>40</v>
      </c>
      <c r="D265">
        <v>4.2530349999999997</v>
      </c>
      <c r="E265">
        <v>0.5816017</v>
      </c>
      <c r="F265" t="s">
        <v>43</v>
      </c>
      <c r="G265">
        <v>-427.87610000000001</v>
      </c>
      <c r="H265">
        <v>-0.05</v>
      </c>
      <c r="I265">
        <v>362.06349999999998</v>
      </c>
      <c r="J265">
        <v>-454.83589999999998</v>
      </c>
      <c r="K265">
        <v>1.109577</v>
      </c>
      <c r="L265">
        <v>367.79230000000001</v>
      </c>
      <c r="M265">
        <v>0.99962329999999999</v>
      </c>
      <c r="N265">
        <v>0</v>
      </c>
      <c r="O265">
        <v>2.6645269999999999E-2</v>
      </c>
      <c r="P265">
        <v>0.99851389999999995</v>
      </c>
      <c r="Q265">
        <v>5.446981E-2</v>
      </c>
      <c r="R265">
        <v>1.866431E-3</v>
      </c>
      <c r="S265">
        <v>3.0123289999999998</v>
      </c>
      <c r="T265">
        <v>-0.12901279999999901</v>
      </c>
      <c r="U265">
        <v>-0.63702389999999998</v>
      </c>
      <c r="V265">
        <v>2.4749239999999999E-2</v>
      </c>
      <c r="W265">
        <v>6.1050399999999998E-2</v>
      </c>
      <c r="X265">
        <v>0.99782780000000004</v>
      </c>
      <c r="Y265">
        <v>0.2326646</v>
      </c>
      <c r="Z265">
        <v>-6.0545310000000001E-3</v>
      </c>
      <c r="AA265">
        <v>0.97253820000000002</v>
      </c>
      <c r="AB265">
        <v>21</v>
      </c>
      <c r="AC265">
        <v>26.959799999999898</v>
      </c>
      <c r="AD265">
        <v>-1.1595770000000001</v>
      </c>
      <c r="AE265">
        <v>-5.7288000000000299</v>
      </c>
      <c r="AF265">
        <v>6.4337445572064098</v>
      </c>
      <c r="AG265">
        <v>-1.1595770000000001</v>
      </c>
      <c r="AH265">
        <v>26.750229571547699</v>
      </c>
      <c r="AI265">
        <v>92.413384705841693</v>
      </c>
      <c r="AJ265">
        <v>76.476545678603301</v>
      </c>
      <c r="AK265">
        <v>27.537473921491401</v>
      </c>
      <c r="AL265">
        <v>86.499893194663997</v>
      </c>
      <c r="AM265">
        <v>88.579177371173003</v>
      </c>
      <c r="AN265">
        <v>0.99999999733678802</v>
      </c>
    </row>
    <row r="266" spans="1:40" x14ac:dyDescent="0.25">
      <c r="A266" t="str">
        <f>"20190312153856218"</f>
        <v>20190312153856218</v>
      </c>
      <c r="B266" t="str">
        <f>"1552376336206730"</f>
        <v>1552376336206730</v>
      </c>
      <c r="C266" t="s">
        <v>40</v>
      </c>
      <c r="D266">
        <v>4.2692069999999998</v>
      </c>
      <c r="E266">
        <v>0.58177719999999999</v>
      </c>
      <c r="F266" t="s">
        <v>43</v>
      </c>
      <c r="G266">
        <v>-427.10140000000001</v>
      </c>
      <c r="H266">
        <v>-0.05</v>
      </c>
      <c r="I266">
        <v>361.91300000000001</v>
      </c>
      <c r="J266">
        <v>-454.72070000000002</v>
      </c>
      <c r="K266">
        <v>1.1095809999999999</v>
      </c>
      <c r="L266">
        <v>367.7953</v>
      </c>
      <c r="M266">
        <v>0.99962430000000002</v>
      </c>
      <c r="N266">
        <v>0</v>
      </c>
      <c r="O266">
        <v>2.6605799999999999E-2</v>
      </c>
      <c r="P266">
        <v>0.99843119999999996</v>
      </c>
      <c r="Q266">
        <v>5.596048E-2</v>
      </c>
      <c r="R266">
        <v>1.895922E-3</v>
      </c>
      <c r="S266">
        <v>3.0125730000000002</v>
      </c>
      <c r="T266">
        <v>-0.1259555</v>
      </c>
      <c r="U266">
        <v>-0.63861080000000003</v>
      </c>
      <c r="V266">
        <v>2.4678459999999999E-2</v>
      </c>
      <c r="W266">
        <v>6.2545749999999997E-2</v>
      </c>
      <c r="X266">
        <v>0.99773690000000004</v>
      </c>
      <c r="Y266">
        <v>0.23311090000000001</v>
      </c>
      <c r="Z266">
        <v>-5.9179810000000001E-3</v>
      </c>
      <c r="AA266">
        <v>0.97243210000000002</v>
      </c>
      <c r="AB266">
        <v>21</v>
      </c>
      <c r="AC266">
        <v>27.619299999999999</v>
      </c>
      <c r="AD266">
        <v>-1.159581</v>
      </c>
      <c r="AE266">
        <v>-5.8822999999999803</v>
      </c>
      <c r="AF266">
        <v>6.6039315060145398</v>
      </c>
      <c r="AG266">
        <v>-1.159581</v>
      </c>
      <c r="AH266">
        <v>27.406802165888202</v>
      </c>
      <c r="AI266">
        <v>92.355402601346398</v>
      </c>
      <c r="AJ266">
        <v>76.452292598167105</v>
      </c>
      <c r="AK266">
        <v>28.215055278907901</v>
      </c>
      <c r="AL266">
        <v>86.414051735419903</v>
      </c>
      <c r="AM266">
        <v>88.583110080075102</v>
      </c>
      <c r="AN266">
        <v>0.99999995942632103</v>
      </c>
    </row>
    <row r="267" spans="1:40" x14ac:dyDescent="0.25">
      <c r="A267" t="str">
        <f>"20190312153856230"</f>
        <v>20190312153856230</v>
      </c>
      <c r="B267" t="str">
        <f>"1552376336226250"</f>
        <v>1552376336226250</v>
      </c>
      <c r="C267" t="s">
        <v>40</v>
      </c>
      <c r="D267">
        <v>4.3079299999999998</v>
      </c>
      <c r="E267">
        <v>0.58220709999999998</v>
      </c>
      <c r="F267" t="s">
        <v>43</v>
      </c>
      <c r="G267">
        <v>-426.24130000000002</v>
      </c>
      <c r="H267">
        <v>-0.05</v>
      </c>
      <c r="I267">
        <v>361.74619999999999</v>
      </c>
      <c r="J267">
        <v>-454.60759999999999</v>
      </c>
      <c r="K267">
        <v>1.1095870000000001</v>
      </c>
      <c r="L267">
        <v>367.79820000000001</v>
      </c>
      <c r="M267">
        <v>0.99962530000000005</v>
      </c>
      <c r="N267">
        <v>0</v>
      </c>
      <c r="O267">
        <v>2.6566849999999999E-2</v>
      </c>
      <c r="P267">
        <v>0.99839089999999997</v>
      </c>
      <c r="Q267">
        <v>5.6674099999999998E-2</v>
      </c>
      <c r="R267">
        <v>2.0115720000000001E-3</v>
      </c>
      <c r="S267">
        <v>3.0127869999999999</v>
      </c>
      <c r="T267">
        <v>-0.1226698</v>
      </c>
      <c r="U267">
        <v>-0.63992309999999997</v>
      </c>
      <c r="V267">
        <v>2.452292E-2</v>
      </c>
      <c r="W267">
        <v>6.3264819999999999E-2</v>
      </c>
      <c r="X267">
        <v>0.99769540000000001</v>
      </c>
      <c r="Y267">
        <v>0.2334753</v>
      </c>
      <c r="Z267">
        <v>-5.7688369999999997E-3</v>
      </c>
      <c r="AA267">
        <v>0.97234569999999998</v>
      </c>
      <c r="AB267">
        <v>21</v>
      </c>
      <c r="AC267">
        <v>28.366299999999899</v>
      </c>
      <c r="AD267">
        <v>-1.1595869999999999</v>
      </c>
      <c r="AE267">
        <v>-6.05200000000002</v>
      </c>
      <c r="AF267">
        <v>6.7926264693973799</v>
      </c>
      <c r="AG267">
        <v>-1.1595869999999999</v>
      </c>
      <c r="AH267">
        <v>28.150507192434301</v>
      </c>
      <c r="AI267">
        <v>92.293078662836905</v>
      </c>
      <c r="AJ267">
        <v>76.434034520703406</v>
      </c>
      <c r="AK267">
        <v>28.981640249554999</v>
      </c>
      <c r="AL267">
        <v>86.372770304981501</v>
      </c>
      <c r="AM267">
        <v>88.591978110894502</v>
      </c>
      <c r="AN267">
        <v>0.999999961118058</v>
      </c>
    </row>
    <row r="268" spans="1:40" x14ac:dyDescent="0.25">
      <c r="A268" t="str">
        <f>"20190312153856243"</f>
        <v>20190312153856243</v>
      </c>
      <c r="B268" t="str">
        <f>"1552376336236009"</f>
        <v>1552376336236009</v>
      </c>
      <c r="C268" t="s">
        <v>40</v>
      </c>
      <c r="D268">
        <v>4.2626900000000001</v>
      </c>
      <c r="E268">
        <v>0.58232189999999995</v>
      </c>
      <c r="F268" t="s">
        <v>43</v>
      </c>
      <c r="G268">
        <v>-426.05119999999999</v>
      </c>
      <c r="H268">
        <v>-0.05</v>
      </c>
      <c r="I268">
        <v>361.70499999999998</v>
      </c>
      <c r="J268">
        <v>-454.47829999999999</v>
      </c>
      <c r="K268">
        <v>1.109588</v>
      </c>
      <c r="L268">
        <v>367.80160000000001</v>
      </c>
      <c r="M268">
        <v>0.99962649999999997</v>
      </c>
      <c r="N268">
        <v>0</v>
      </c>
      <c r="O268">
        <v>2.65226E-2</v>
      </c>
      <c r="P268">
        <v>0.99836440000000004</v>
      </c>
      <c r="Q268">
        <v>5.7140249999999997E-2</v>
      </c>
      <c r="R268">
        <v>1.932848E-3</v>
      </c>
      <c r="S268">
        <v>3.0130919999999999</v>
      </c>
      <c r="T268">
        <v>-0.12235219999999999</v>
      </c>
      <c r="U268">
        <v>-0.64291379999999998</v>
      </c>
      <c r="V268">
        <v>2.4557039999999999E-2</v>
      </c>
      <c r="W268">
        <v>6.3737849999999999E-2</v>
      </c>
      <c r="X268">
        <v>0.99766449999999995</v>
      </c>
      <c r="Y268">
        <v>0.23433590000000001</v>
      </c>
      <c r="Z268">
        <v>-5.7682580000000001E-3</v>
      </c>
      <c r="AA268">
        <v>0.97213859999999996</v>
      </c>
      <c r="AB268">
        <v>21</v>
      </c>
      <c r="AC268">
        <v>28.427099999999999</v>
      </c>
      <c r="AD268">
        <v>-1.1595879999999901</v>
      </c>
      <c r="AE268">
        <v>-6.09660000000002</v>
      </c>
      <c r="AF268">
        <v>6.8375550658608004</v>
      </c>
      <c r="AG268">
        <v>-1.1595879999999901</v>
      </c>
      <c r="AH268">
        <v>28.210521115109</v>
      </c>
      <c r="AI268">
        <v>92.287644040570299</v>
      </c>
      <c r="AJ268">
        <v>76.375612375934395</v>
      </c>
      <c r="AK268">
        <v>29.0504785708331</v>
      </c>
      <c r="AL268">
        <v>86.3456130427885</v>
      </c>
      <c r="AM268">
        <v>88.589976195146406</v>
      </c>
      <c r="AN268">
        <v>1.0000000081482101</v>
      </c>
    </row>
    <row r="269" spans="1:40" x14ac:dyDescent="0.25">
      <c r="A269" t="str">
        <f>"20190312153856263"</f>
        <v>20190312153856263</v>
      </c>
      <c r="B269" t="str">
        <f>"1552376336256506"</f>
        <v>1552376336256506</v>
      </c>
      <c r="C269" t="s">
        <v>40</v>
      </c>
      <c r="D269">
        <v>4.2026149999999998</v>
      </c>
      <c r="E269">
        <v>0.58260480000000003</v>
      </c>
      <c r="F269" t="s">
        <v>43</v>
      </c>
      <c r="G269">
        <v>-425.98079999999999</v>
      </c>
      <c r="H269">
        <v>-0.05</v>
      </c>
      <c r="I269">
        <v>361.71019999999999</v>
      </c>
      <c r="J269">
        <v>-454.29289999999997</v>
      </c>
      <c r="K269">
        <v>1.1095900000000001</v>
      </c>
      <c r="L269">
        <v>367.8064</v>
      </c>
      <c r="M269">
        <v>0.99962799999999996</v>
      </c>
      <c r="N269">
        <v>0</v>
      </c>
      <c r="O269">
        <v>2.64595E-2</v>
      </c>
      <c r="P269">
        <v>0.99828709999999998</v>
      </c>
      <c r="Q269">
        <v>5.8477389999999997E-2</v>
      </c>
      <c r="R269">
        <v>1.9530050000000001E-3</v>
      </c>
      <c r="S269">
        <v>3.0131839999999999</v>
      </c>
      <c r="T269">
        <v>-0.1226087</v>
      </c>
      <c r="U269">
        <v>-0.64407349999999997</v>
      </c>
      <c r="V269">
        <v>2.447183E-2</v>
      </c>
      <c r="W269">
        <v>6.5084980000000001E-2</v>
      </c>
      <c r="X269">
        <v>0.99757960000000001</v>
      </c>
      <c r="Y269">
        <v>0.23462540000000001</v>
      </c>
      <c r="Z269">
        <v>-5.7832209999999998E-3</v>
      </c>
      <c r="AA269">
        <v>0.97206870000000001</v>
      </c>
      <c r="AB269">
        <v>22</v>
      </c>
      <c r="AC269">
        <v>28.312099999999901</v>
      </c>
      <c r="AD269">
        <v>-1.1595899999999999</v>
      </c>
      <c r="AE269">
        <v>-6.0961999999999996</v>
      </c>
      <c r="AF269">
        <v>6.83225261236917</v>
      </c>
      <c r="AG269">
        <v>-1.1595899999999999</v>
      </c>
      <c r="AH269">
        <v>28.095838490795298</v>
      </c>
      <c r="AI269">
        <v>92.296554683526395</v>
      </c>
      <c r="AJ269">
        <v>76.332293888193504</v>
      </c>
      <c r="AK269">
        <v>28.937872506944601</v>
      </c>
      <c r="AL269">
        <v>86.268267499197407</v>
      </c>
      <c r="AM269">
        <v>88.594747307374803</v>
      </c>
      <c r="AN269">
        <v>0.99999999171065401</v>
      </c>
    </row>
    <row r="270" spans="1:40" x14ac:dyDescent="0.25">
      <c r="A270" t="str">
        <f>"20190312153856284"</f>
        <v>20190312153856284</v>
      </c>
      <c r="B270" t="str">
        <f>"1552376336276027"</f>
        <v>1552376336276027</v>
      </c>
      <c r="C270" t="s">
        <v>40</v>
      </c>
      <c r="D270">
        <v>4.4320639999999996</v>
      </c>
      <c r="E270">
        <v>0.57980019999999999</v>
      </c>
      <c r="F270" t="s">
        <v>43</v>
      </c>
      <c r="G270">
        <v>-425.20330000000001</v>
      </c>
      <c r="H270">
        <v>-0.05</v>
      </c>
      <c r="I270">
        <v>361.56420000000003</v>
      </c>
      <c r="J270">
        <v>-454.08010000000002</v>
      </c>
      <c r="K270">
        <v>1.1095919999999999</v>
      </c>
      <c r="L270">
        <v>367.81200000000001</v>
      </c>
      <c r="M270">
        <v>0.99963000000000002</v>
      </c>
      <c r="N270">
        <v>0</v>
      </c>
      <c r="O270">
        <v>2.6386440000000001E-2</v>
      </c>
      <c r="P270">
        <v>0.99821409999999999</v>
      </c>
      <c r="Q270">
        <v>5.9707459999999997E-2</v>
      </c>
      <c r="R270">
        <v>2.0580709999999999E-3</v>
      </c>
      <c r="S270">
        <v>3.0134280000000002</v>
      </c>
      <c r="T270">
        <v>-0.1201236</v>
      </c>
      <c r="U270">
        <v>-0.64663700000000002</v>
      </c>
      <c r="V270">
        <v>2.4292250000000001E-2</v>
      </c>
      <c r="W270">
        <v>6.6326830000000003E-2</v>
      </c>
      <c r="X270">
        <v>0.99750220000000001</v>
      </c>
      <c r="Y270">
        <v>0.23533670000000001</v>
      </c>
      <c r="Z270">
        <v>-5.6762779999999999E-3</v>
      </c>
      <c r="AA270">
        <v>0.97189740000000002</v>
      </c>
      <c r="AB270">
        <v>22</v>
      </c>
      <c r="AC270">
        <v>28.876799999999999</v>
      </c>
      <c r="AD270">
        <v>-1.159592</v>
      </c>
      <c r="AE270">
        <v>-6.2477999999999199</v>
      </c>
      <c r="AF270">
        <v>6.9968189465543196</v>
      </c>
      <c r="AG270">
        <v>-1.159592</v>
      </c>
      <c r="AH270">
        <v>28.657738951562202</v>
      </c>
      <c r="AI270">
        <v>92.251072099736007</v>
      </c>
      <c r="AJ270">
        <v>76.279591633710098</v>
      </c>
      <c r="AK270">
        <v>29.522298873787101</v>
      </c>
      <c r="AL270">
        <v>86.196960671410807</v>
      </c>
      <c r="AM270">
        <v>88.604947093767805</v>
      </c>
      <c r="AN270">
        <v>1.00000000039637</v>
      </c>
    </row>
    <row r="271" spans="1:40" x14ac:dyDescent="0.25">
      <c r="A271" t="str">
        <f>"20190312153856297"</f>
        <v>20190312153856297</v>
      </c>
      <c r="B271" t="str">
        <f>"1552376336286762"</f>
        <v>1552376336286762</v>
      </c>
      <c r="C271" t="s">
        <v>40</v>
      </c>
      <c r="D271">
        <v>4.3397030000000001</v>
      </c>
      <c r="E271">
        <v>0.57980019999999999</v>
      </c>
      <c r="F271" t="s">
        <v>43</v>
      </c>
      <c r="G271">
        <v>-422.46510000000001</v>
      </c>
      <c r="H271">
        <v>-0.05</v>
      </c>
      <c r="I271">
        <v>361.26510000000002</v>
      </c>
      <c r="J271">
        <v>-453.95350000000002</v>
      </c>
      <c r="K271">
        <v>1.109591</v>
      </c>
      <c r="L271">
        <v>367.81529999999998</v>
      </c>
      <c r="M271">
        <v>0.99963089999999999</v>
      </c>
      <c r="N271">
        <v>0</v>
      </c>
      <c r="O271">
        <v>2.6343490000000001E-2</v>
      </c>
      <c r="P271">
        <v>0.99818169999999995</v>
      </c>
      <c r="Q271">
        <v>6.0233950000000001E-2</v>
      </c>
      <c r="R271">
        <v>2.2766890000000001E-3</v>
      </c>
      <c r="S271">
        <v>3.0132750000000001</v>
      </c>
      <c r="T271">
        <v>-0.1105226</v>
      </c>
      <c r="U271">
        <v>-0.62399289999999996</v>
      </c>
      <c r="V271">
        <v>2.4030340000000001E-2</v>
      </c>
      <c r="W271">
        <v>6.6861130000000005E-2</v>
      </c>
      <c r="X271">
        <v>0.9974729</v>
      </c>
      <c r="Y271">
        <v>0.22834099999999999</v>
      </c>
      <c r="Z271">
        <v>-5.0986770000000002E-3</v>
      </c>
      <c r="AA271">
        <v>0.97356779999999998</v>
      </c>
      <c r="AB271">
        <v>22</v>
      </c>
      <c r="AC271">
        <v>31.488399999999999</v>
      </c>
      <c r="AD271">
        <v>-1.159591</v>
      </c>
      <c r="AE271">
        <v>-6.5501999999999496</v>
      </c>
      <c r="AF271">
        <v>7.3678817581225902</v>
      </c>
      <c r="AG271">
        <v>-1.159591</v>
      </c>
      <c r="AH271">
        <v>31.264272022519702</v>
      </c>
      <c r="AI271">
        <v>92.067538900951007</v>
      </c>
      <c r="AJ271">
        <v>76.739368921715297</v>
      </c>
      <c r="AK271">
        <v>32.141640250414497</v>
      </c>
      <c r="AL271">
        <v>86.166279531006595</v>
      </c>
      <c r="AM271">
        <v>88.619941665676606</v>
      </c>
      <c r="AN271">
        <v>1.0000000270899001</v>
      </c>
    </row>
    <row r="272" spans="1:40" x14ac:dyDescent="0.25">
      <c r="A272" t="str">
        <f>"20190312153856317"</f>
        <v>20190312153856317</v>
      </c>
      <c r="B272" t="str">
        <f>"1552376336306281"</f>
        <v>1552376336306281</v>
      </c>
      <c r="C272" t="s">
        <v>40</v>
      </c>
      <c r="D272">
        <v>4.3308090000000004</v>
      </c>
      <c r="E272">
        <v>0.51268570000000002</v>
      </c>
      <c r="F272" t="s">
        <v>43</v>
      </c>
      <c r="G272">
        <v>-421.90570000000002</v>
      </c>
      <c r="H272">
        <v>-0.05</v>
      </c>
      <c r="I272">
        <v>361.18529999999998</v>
      </c>
      <c r="J272">
        <v>-453.76100000000002</v>
      </c>
      <c r="K272">
        <v>1.109591</v>
      </c>
      <c r="L272">
        <v>367.82029999999997</v>
      </c>
      <c r="M272">
        <v>0.99963250000000003</v>
      </c>
      <c r="N272">
        <v>0</v>
      </c>
      <c r="O272">
        <v>2.6277769999999999E-2</v>
      </c>
      <c r="P272">
        <v>0.99813149999999995</v>
      </c>
      <c r="Q272">
        <v>6.1057029999999998E-2</v>
      </c>
      <c r="R272">
        <v>2.4381899999999998E-3</v>
      </c>
      <c r="S272">
        <v>3.0134280000000002</v>
      </c>
      <c r="T272">
        <v>-0.10903549999999999</v>
      </c>
      <c r="U272">
        <v>-0.62341309999999905</v>
      </c>
      <c r="V272">
        <v>2.3801880000000001E-2</v>
      </c>
      <c r="W272">
        <v>6.7695130000000006E-2</v>
      </c>
      <c r="X272">
        <v>0.99742209999999998</v>
      </c>
      <c r="Y272">
        <v>0.22809219999999999</v>
      </c>
      <c r="Z272">
        <v>-5.0231540000000002E-3</v>
      </c>
      <c r="AA272">
        <v>0.97362660000000001</v>
      </c>
      <c r="AB272">
        <v>22</v>
      </c>
      <c r="AC272">
        <v>31.8552999999999</v>
      </c>
      <c r="AD272">
        <v>-1.159591</v>
      </c>
      <c r="AE272">
        <v>-6.63499999999999</v>
      </c>
      <c r="AF272">
        <v>7.4603389006278302</v>
      </c>
      <c r="AG272">
        <v>-1.159591</v>
      </c>
      <c r="AH272">
        <v>31.6297726588353</v>
      </c>
      <c r="AI272">
        <v>92.0435765015188</v>
      </c>
      <c r="AJ272">
        <v>76.728520677940907</v>
      </c>
      <c r="AK272">
        <v>32.518361370910199</v>
      </c>
      <c r="AL272">
        <v>86.118386242987597</v>
      </c>
      <c r="AM272">
        <v>88.632987488854099</v>
      </c>
      <c r="AN272">
        <v>1.00000000284283</v>
      </c>
    </row>
    <row r="273" spans="1:40" x14ac:dyDescent="0.25">
      <c r="A273" t="str">
        <f>"20190312153856329"</f>
        <v>20190312153856329</v>
      </c>
      <c r="B273" t="str">
        <f>"1552376336326778"</f>
        <v>1552376336326778</v>
      </c>
      <c r="C273" t="s">
        <v>40</v>
      </c>
      <c r="D273">
        <v>4.2973689999999998</v>
      </c>
      <c r="E273">
        <v>0.51054900000000003</v>
      </c>
      <c r="F273" t="s">
        <v>42</v>
      </c>
      <c r="G273">
        <v>-331.72329999999999</v>
      </c>
      <c r="H273" s="1">
        <v>-4.494327E-6</v>
      </c>
      <c r="I273">
        <v>364.19690000000003</v>
      </c>
      <c r="J273">
        <v>-453.63869999999997</v>
      </c>
      <c r="K273">
        <v>1.1095900000000001</v>
      </c>
      <c r="L273">
        <v>367.82350000000002</v>
      </c>
      <c r="M273">
        <v>0.99963369999999996</v>
      </c>
      <c r="N273">
        <v>0</v>
      </c>
      <c r="O273">
        <v>2.6235600000000001E-2</v>
      </c>
      <c r="P273">
        <v>0.99813370000000001</v>
      </c>
      <c r="Q273">
        <v>6.1023519999999998E-2</v>
      </c>
      <c r="R273">
        <v>2.443724E-3</v>
      </c>
      <c r="S273">
        <v>3.0075069999999999</v>
      </c>
      <c r="T273">
        <v>-2.7344940000000002E-2</v>
      </c>
      <c r="U273">
        <v>-8.9294429999999994E-2</v>
      </c>
      <c r="V273">
        <v>2.375422E-2</v>
      </c>
      <c r="W273">
        <v>6.7669919999999995E-2</v>
      </c>
      <c r="X273">
        <v>0.99742500000000001</v>
      </c>
      <c r="Y273">
        <v>5.5888460000000001E-2</v>
      </c>
      <c r="Z273">
        <v>-4.9250460000000004E-4</v>
      </c>
      <c r="AA273">
        <v>0.99843689999999996</v>
      </c>
      <c r="AB273">
        <v>22</v>
      </c>
      <c r="AC273">
        <v>121.915399999999</v>
      </c>
      <c r="AD273">
        <v>-1.10959449432699</v>
      </c>
      <c r="AE273">
        <v>-3.6265999999999901</v>
      </c>
      <c r="AF273">
        <v>6.8233812041114099</v>
      </c>
      <c r="AG273">
        <v>-1.10959449432699</v>
      </c>
      <c r="AH273">
        <v>121.768207506857</v>
      </c>
      <c r="AI273">
        <v>90.521267025644406</v>
      </c>
      <c r="AJ273">
        <v>86.792738226241994</v>
      </c>
      <c r="AK273">
        <v>121.964282027286</v>
      </c>
      <c r="AL273">
        <v>86.119834195324401</v>
      </c>
      <c r="AM273">
        <v>88.635727673476595</v>
      </c>
      <c r="AN273">
        <v>1.0000000558327999</v>
      </c>
    </row>
    <row r="274" spans="1:40" x14ac:dyDescent="0.25">
      <c r="A274" t="str">
        <f>"20190312153856342"</f>
        <v>20190312153856342</v>
      </c>
      <c r="B274" t="str">
        <f>"1552376336336537"</f>
        <v>1552376336336537</v>
      </c>
      <c r="C274" t="s">
        <v>40</v>
      </c>
      <c r="D274">
        <v>4.283423</v>
      </c>
      <c r="E274">
        <v>0.51017749999999995</v>
      </c>
      <c r="F274" t="s">
        <v>42</v>
      </c>
      <c r="G274">
        <v>-358.73509999999999</v>
      </c>
      <c r="H274" s="1">
        <v>-1.4974189999999999E-6</v>
      </c>
      <c r="I274">
        <v>365.55399999999997</v>
      </c>
      <c r="J274">
        <v>-453.51859999999999</v>
      </c>
      <c r="K274">
        <v>1.1095900000000001</v>
      </c>
      <c r="L274">
        <v>367.82659999999998</v>
      </c>
      <c r="M274">
        <v>0.99963460000000004</v>
      </c>
      <c r="N274">
        <v>0</v>
      </c>
      <c r="O274">
        <v>2.6194680000000001E-2</v>
      </c>
      <c r="P274">
        <v>0.99815860000000001</v>
      </c>
      <c r="Q274">
        <v>6.0594830000000002E-2</v>
      </c>
      <c r="R274">
        <v>2.7711469999999998E-3</v>
      </c>
      <c r="S274">
        <v>3.007965</v>
      </c>
      <c r="T274">
        <v>-3.5168409999999997E-2</v>
      </c>
      <c r="U274">
        <v>-7.1929930000000003E-2</v>
      </c>
      <c r="V274">
        <v>2.3386919999999999E-2</v>
      </c>
      <c r="W274">
        <v>6.7248879999999997E-2</v>
      </c>
      <c r="X274">
        <v>0.99746210000000002</v>
      </c>
      <c r="Y274">
        <v>5.0080680000000002E-2</v>
      </c>
      <c r="Z274">
        <v>-5.9892599999999995E-4</v>
      </c>
      <c r="AA274">
        <v>0.99874499999999999</v>
      </c>
      <c r="AB274">
        <v>22</v>
      </c>
      <c r="AC274">
        <v>94.783500000000004</v>
      </c>
      <c r="AD274">
        <v>-1.10959149741899</v>
      </c>
      <c r="AE274">
        <v>-2.27259999999995</v>
      </c>
      <c r="AF274">
        <v>4.7540477089019397</v>
      </c>
      <c r="AG274">
        <v>-1.10959149741899</v>
      </c>
      <c r="AH274">
        <v>94.678475550727995</v>
      </c>
      <c r="AI274">
        <v>90.670606655940205</v>
      </c>
      <c r="AJ274">
        <v>87.125447041623303</v>
      </c>
      <c r="AK274">
        <v>94.804250408509901</v>
      </c>
      <c r="AL274">
        <v>86.1440128741678</v>
      </c>
      <c r="AM274">
        <v>88.656864907739703</v>
      </c>
      <c r="AN274">
        <v>1.0000000004123699</v>
      </c>
    </row>
    <row r="275" spans="1:40" x14ac:dyDescent="0.25">
      <c r="A275" t="str">
        <f>"20190312153856354"</f>
        <v>20190312153856354</v>
      </c>
      <c r="B275" t="str">
        <f>"1552376336346298"</f>
        <v>1552376336346298</v>
      </c>
      <c r="C275" t="s">
        <v>40</v>
      </c>
      <c r="D275">
        <v>4.282508</v>
      </c>
      <c r="E275">
        <v>0.51017309999999905</v>
      </c>
      <c r="F275" t="s">
        <v>42</v>
      </c>
      <c r="G275">
        <v>-366.47370000000001</v>
      </c>
      <c r="H275" s="1">
        <v>-2.184654E-6</v>
      </c>
      <c r="I275">
        <v>365.86340000000001</v>
      </c>
      <c r="J275">
        <v>-453.39640000000003</v>
      </c>
      <c r="K275">
        <v>1.1095889999999999</v>
      </c>
      <c r="L275">
        <v>367.8297</v>
      </c>
      <c r="M275">
        <v>0.99963570000000002</v>
      </c>
      <c r="N275">
        <v>0</v>
      </c>
      <c r="O275">
        <v>2.6152749999999999E-2</v>
      </c>
      <c r="P275">
        <v>0.99817009999999995</v>
      </c>
      <c r="Q275">
        <v>6.0401730000000001E-2</v>
      </c>
      <c r="R275">
        <v>2.8855679999999998E-3</v>
      </c>
      <c r="S275">
        <v>3.0080870000000002</v>
      </c>
      <c r="T275">
        <v>-3.8345099999999903E-2</v>
      </c>
      <c r="U275">
        <v>-6.7840579999999998E-2</v>
      </c>
      <c r="V275">
        <v>2.3230959999999998E-2</v>
      </c>
      <c r="W275">
        <v>6.7063810000000001E-2</v>
      </c>
      <c r="X275">
        <v>0.99747819999999998</v>
      </c>
      <c r="Y275">
        <v>4.8679899999999998E-2</v>
      </c>
      <c r="Z275">
        <v>-6.4354289999999997E-4</v>
      </c>
      <c r="AA275">
        <v>0.99881419999999999</v>
      </c>
      <c r="AB275">
        <v>22</v>
      </c>
      <c r="AC275">
        <v>86.922700000000006</v>
      </c>
      <c r="AD275">
        <v>-1.1095911846540001</v>
      </c>
      <c r="AE275">
        <v>-1.96629999999998</v>
      </c>
      <c r="AF275">
        <v>4.2382553601709398</v>
      </c>
      <c r="AG275">
        <v>-1.1095911846540001</v>
      </c>
      <c r="AH275">
        <v>86.827400736893793</v>
      </c>
      <c r="AI275">
        <v>90.731288047822801</v>
      </c>
      <c r="AJ275">
        <v>87.205472526795504</v>
      </c>
      <c r="AK275">
        <v>86.937860106056306</v>
      </c>
      <c r="AL275">
        <v>86.154640578771406</v>
      </c>
      <c r="AM275">
        <v>88.665840130943096</v>
      </c>
      <c r="AN275">
        <v>0.99999999579473797</v>
      </c>
    </row>
    <row r="276" spans="1:40" x14ac:dyDescent="0.25">
      <c r="A276" t="str">
        <f>"20190312153856372"</f>
        <v>20190312153856372</v>
      </c>
      <c r="B276" t="str">
        <f>"1552376336366794"</f>
        <v>1552376336366794</v>
      </c>
      <c r="C276" t="s">
        <v>40</v>
      </c>
      <c r="D276">
        <v>4.2362029999999997</v>
      </c>
      <c r="E276">
        <v>0.51007910000000001</v>
      </c>
      <c r="F276" t="s">
        <v>42</v>
      </c>
      <c r="G276">
        <v>-368.36259999999999</v>
      </c>
      <c r="H276" s="1">
        <v>-1.527991E-6</v>
      </c>
      <c r="I276">
        <v>365.9153</v>
      </c>
      <c r="J276">
        <v>-453.21510000000001</v>
      </c>
      <c r="K276">
        <v>1.1095889999999999</v>
      </c>
      <c r="L276">
        <v>367.83440000000002</v>
      </c>
      <c r="M276">
        <v>0.99963709999999995</v>
      </c>
      <c r="N276">
        <v>0</v>
      </c>
      <c r="O276">
        <v>2.6090479999999999E-2</v>
      </c>
      <c r="P276">
        <v>0.99813940000000001</v>
      </c>
      <c r="Q276">
        <v>6.0888419999999999E-2</v>
      </c>
      <c r="R276">
        <v>3.2368929999999998E-3</v>
      </c>
      <c r="S276">
        <v>3.008057</v>
      </c>
      <c r="T276">
        <v>-3.925157E-2</v>
      </c>
      <c r="U276">
        <v>-6.7718509999999996E-2</v>
      </c>
      <c r="V276">
        <v>2.2816900000000001E-2</v>
      </c>
      <c r="W276">
        <v>6.7562880000000006E-2</v>
      </c>
      <c r="X276">
        <v>0.99745410000000001</v>
      </c>
      <c r="Y276">
        <v>4.857711E-2</v>
      </c>
      <c r="Z276">
        <v>-6.5727899999999998E-4</v>
      </c>
      <c r="AA276">
        <v>0.99881920000000002</v>
      </c>
      <c r="AB276">
        <v>22</v>
      </c>
      <c r="AC276">
        <v>84.852500000000006</v>
      </c>
      <c r="AD276">
        <v>-1.1095905279910001</v>
      </c>
      <c r="AE276">
        <v>-1.91910000000001</v>
      </c>
      <c r="AF276">
        <v>4.1316327506968298</v>
      </c>
      <c r="AG276">
        <v>-1.1095905279910001</v>
      </c>
      <c r="AH276">
        <v>84.759055921642897</v>
      </c>
      <c r="AI276">
        <v>90.749133389593993</v>
      </c>
      <c r="AJ276">
        <v>87.209290660292496</v>
      </c>
      <c r="AK276">
        <v>84.866949639153603</v>
      </c>
      <c r="AL276">
        <v>86.125981055138595</v>
      </c>
      <c r="AM276">
        <v>88.689579684351401</v>
      </c>
      <c r="AN276">
        <v>1.0000000176431501</v>
      </c>
    </row>
    <row r="277" spans="1:40" x14ac:dyDescent="0.25">
      <c r="A277" t="str">
        <f>"20190312153856385"</f>
        <v>20190312153856385</v>
      </c>
      <c r="B277" t="str">
        <f>"1552376336376555"</f>
        <v>1552376336376555</v>
      </c>
      <c r="C277" t="s">
        <v>40</v>
      </c>
      <c r="D277">
        <v>4.2615600000000002</v>
      </c>
      <c r="E277">
        <v>0.51018289999999999</v>
      </c>
      <c r="F277" t="s">
        <v>42</v>
      </c>
      <c r="G277">
        <v>-366.92860000000002</v>
      </c>
      <c r="H277" s="1">
        <v>-2.0061519999999999E-6</v>
      </c>
      <c r="I277">
        <v>365.95229999999998</v>
      </c>
      <c r="J277">
        <v>-453.09410000000003</v>
      </c>
      <c r="K277">
        <v>1.109591</v>
      </c>
      <c r="L277">
        <v>367.83749999999998</v>
      </c>
      <c r="M277">
        <v>0.99963829999999998</v>
      </c>
      <c r="N277">
        <v>0</v>
      </c>
      <c r="O277">
        <v>2.6048849999999998E-2</v>
      </c>
      <c r="P277">
        <v>0.99811320000000003</v>
      </c>
      <c r="Q277">
        <v>6.1309990000000002E-2</v>
      </c>
      <c r="R277">
        <v>3.3852159999999999E-3</v>
      </c>
      <c r="S277">
        <v>3.0081790000000002</v>
      </c>
      <c r="T277">
        <v>-3.8683299999999997E-2</v>
      </c>
      <c r="U277">
        <v>-6.5612790000000004E-2</v>
      </c>
      <c r="V277">
        <v>2.262631E-2</v>
      </c>
      <c r="W277">
        <v>6.7992479999999994E-2</v>
      </c>
      <c r="X277">
        <v>0.99742929999999996</v>
      </c>
      <c r="Y277">
        <v>4.7836009999999998E-2</v>
      </c>
      <c r="Z277">
        <v>-6.4244239999999896E-4</v>
      </c>
      <c r="AA277">
        <v>0.99885500000000005</v>
      </c>
      <c r="AB277">
        <v>22</v>
      </c>
      <c r="AC277">
        <v>86.165499999999994</v>
      </c>
      <c r="AD277">
        <v>-1.1095930061520001</v>
      </c>
      <c r="AE277">
        <v>-1.88519999999999</v>
      </c>
      <c r="AF277">
        <v>4.1284383622197698</v>
      </c>
      <c r="AG277">
        <v>-1.1095930061520001</v>
      </c>
      <c r="AH277">
        <v>86.072885305285894</v>
      </c>
      <c r="AI277">
        <v>90.737729224584399</v>
      </c>
      <c r="AJ277">
        <v>87.253944166514799</v>
      </c>
      <c r="AK277">
        <v>86.178981107499993</v>
      </c>
      <c r="AL277">
        <v>86.101310252405398</v>
      </c>
      <c r="AM277">
        <v>88.700489582075306</v>
      </c>
      <c r="AN277">
        <v>1.0000000678696199</v>
      </c>
    </row>
    <row r="278" spans="1:40" x14ac:dyDescent="0.25">
      <c r="A278" t="str">
        <f>"20190312153856397"</f>
        <v>20190312153856397</v>
      </c>
      <c r="B278" t="str">
        <f>"1552376336386314"</f>
        <v>1552376336386314</v>
      </c>
      <c r="C278" t="s">
        <v>40</v>
      </c>
      <c r="D278">
        <v>4.2643740000000001</v>
      </c>
      <c r="E278">
        <v>0.51018569999999996</v>
      </c>
      <c r="F278" t="s">
        <v>42</v>
      </c>
      <c r="G278">
        <v>-364.23910000000001</v>
      </c>
      <c r="H278" s="1">
        <v>-3.116057E-6</v>
      </c>
      <c r="I278">
        <v>365.88229999999999</v>
      </c>
      <c r="J278">
        <v>-452.96839999999997</v>
      </c>
      <c r="K278">
        <v>1.1095919999999999</v>
      </c>
      <c r="L278">
        <v>367.8408</v>
      </c>
      <c r="M278">
        <v>0.99963930000000001</v>
      </c>
      <c r="N278">
        <v>0</v>
      </c>
      <c r="O278">
        <v>2.600572E-2</v>
      </c>
      <c r="P278">
        <v>0.99808160000000001</v>
      </c>
      <c r="Q278">
        <v>6.1825610000000003E-2</v>
      </c>
      <c r="R278">
        <v>3.2695929999999999E-3</v>
      </c>
      <c r="S278">
        <v>3.00827</v>
      </c>
      <c r="T278">
        <v>-3.7566299999999997E-2</v>
      </c>
      <c r="U278">
        <v>-6.6192630000000002E-2</v>
      </c>
      <c r="V278">
        <v>2.2698309999999999E-2</v>
      </c>
      <c r="W278">
        <v>6.8516240000000006E-2</v>
      </c>
      <c r="X278">
        <v>0.99739180000000005</v>
      </c>
      <c r="Y278">
        <v>4.7985029999999998E-2</v>
      </c>
      <c r="Z278">
        <v>-6.2426500000000004E-4</v>
      </c>
      <c r="AA278">
        <v>0.99884779999999995</v>
      </c>
      <c r="AB278">
        <v>22</v>
      </c>
      <c r="AC278">
        <v>88.729299999999895</v>
      </c>
      <c r="AD278">
        <v>-1.1095951160569999</v>
      </c>
      <c r="AE278">
        <v>-1.9585000000000099</v>
      </c>
      <c r="AF278">
        <v>4.2646922045729099</v>
      </c>
      <c r="AG278">
        <v>-1.1095951160569999</v>
      </c>
      <c r="AH278">
        <v>88.634502174489498</v>
      </c>
      <c r="AI278">
        <v>90.716406617832305</v>
      </c>
      <c r="AJ278">
        <v>87.245310170127894</v>
      </c>
      <c r="AK278">
        <v>88.743978819077697</v>
      </c>
      <c r="AL278">
        <v>86.071230782287799</v>
      </c>
      <c r="AM278">
        <v>88.696306790131999</v>
      </c>
      <c r="AN278">
        <v>1.00000004556391</v>
      </c>
    </row>
    <row r="279" spans="1:40" x14ac:dyDescent="0.25">
      <c r="A279" t="str">
        <f>"20190312153856410"</f>
        <v>20190312153856410</v>
      </c>
      <c r="B279" t="str">
        <f>"1552376336406809"</f>
        <v>1552376336406809</v>
      </c>
      <c r="C279" t="s">
        <v>40</v>
      </c>
      <c r="D279">
        <v>4.2191599999999996</v>
      </c>
      <c r="E279">
        <v>0.51011859999999998</v>
      </c>
      <c r="F279" t="s">
        <v>42</v>
      </c>
      <c r="G279">
        <v>-362.2133</v>
      </c>
      <c r="H279" s="1">
        <v>-3.9932740000000001E-6</v>
      </c>
      <c r="I279">
        <v>365.83640000000003</v>
      </c>
      <c r="J279">
        <v>-452.83769999999998</v>
      </c>
      <c r="K279">
        <v>1.1096010000000001</v>
      </c>
      <c r="L279">
        <v>367.84410000000003</v>
      </c>
      <c r="M279">
        <v>0.99964050000000004</v>
      </c>
      <c r="N279">
        <v>0</v>
      </c>
      <c r="O279">
        <v>2.596093E-2</v>
      </c>
      <c r="P279">
        <v>0.99805960000000005</v>
      </c>
      <c r="Q279">
        <v>6.2177059999999999E-2</v>
      </c>
      <c r="R279">
        <v>3.3525719999999998E-3</v>
      </c>
      <c r="S279">
        <v>3.0083009999999999</v>
      </c>
      <c r="T279">
        <v>-3.6780239999999999E-2</v>
      </c>
      <c r="U279">
        <v>-6.6436770000000006E-2</v>
      </c>
      <c r="V279">
        <v>2.2570050000000001E-2</v>
      </c>
      <c r="W279">
        <v>6.8876820000000005E-2</v>
      </c>
      <c r="X279">
        <v>0.99736979999999997</v>
      </c>
      <c r="Y279">
        <v>4.8021309999999998E-2</v>
      </c>
      <c r="Z279">
        <v>-6.1087089999999999E-4</v>
      </c>
      <c r="AA279">
        <v>0.99884609999999996</v>
      </c>
      <c r="AB279">
        <v>22</v>
      </c>
      <c r="AC279">
        <v>90.624399999999895</v>
      </c>
      <c r="AD279">
        <v>-1.109604993274</v>
      </c>
      <c r="AE279">
        <v>-2.0076999999999998</v>
      </c>
      <c r="AF279">
        <v>4.3591166378404598</v>
      </c>
      <c r="AG279">
        <v>-1.109604993274</v>
      </c>
      <c r="AH279">
        <v>90.528166576274003</v>
      </c>
      <c r="AI279">
        <v>90.701427379146494</v>
      </c>
      <c r="AJ279">
        <v>87.243220190463305</v>
      </c>
      <c r="AK279">
        <v>90.639848106475796</v>
      </c>
      <c r="AL279">
        <v>86.050521852868997</v>
      </c>
      <c r="AM279">
        <v>88.703642386789198</v>
      </c>
      <c r="AN279">
        <v>0.99999997072117697</v>
      </c>
    </row>
    <row r="280" spans="1:40" x14ac:dyDescent="0.25">
      <c r="A280" t="str">
        <f>"20190312153856428"</f>
        <v>20190312153856428</v>
      </c>
      <c r="B280" t="str">
        <f>"1552376336426330"</f>
        <v>1552376336426330</v>
      </c>
      <c r="C280" t="s">
        <v>40</v>
      </c>
      <c r="D280">
        <v>4.2136610000000001</v>
      </c>
      <c r="E280">
        <v>0.51038130000000004</v>
      </c>
      <c r="F280" t="s">
        <v>42</v>
      </c>
      <c r="G280">
        <v>-360.55829999999997</v>
      </c>
      <c r="H280" s="1">
        <v>-4.7038209999999997E-6</v>
      </c>
      <c r="I280">
        <v>365.83319999999998</v>
      </c>
      <c r="J280">
        <v>-452.65730000000002</v>
      </c>
      <c r="K280">
        <v>1.1096029999999999</v>
      </c>
      <c r="L280">
        <v>367.84870000000001</v>
      </c>
      <c r="M280">
        <v>0.99964189999999997</v>
      </c>
      <c r="N280">
        <v>0</v>
      </c>
      <c r="O280">
        <v>2.5899129999999999E-2</v>
      </c>
      <c r="P280">
        <v>0.99803160000000002</v>
      </c>
      <c r="Q280">
        <v>6.2638360000000004E-2</v>
      </c>
      <c r="R280">
        <v>3.0838609999999998E-3</v>
      </c>
      <c r="S280">
        <v>3.00827</v>
      </c>
      <c r="T280">
        <v>-3.6172629999999997E-2</v>
      </c>
      <c r="U280">
        <v>-6.5551760000000001E-2</v>
      </c>
      <c r="V280">
        <v>2.2776609999999999E-2</v>
      </c>
      <c r="W280">
        <v>6.9350149999999999E-2</v>
      </c>
      <c r="X280">
        <v>0.99733229999999995</v>
      </c>
      <c r="Y280">
        <v>4.766629E-2</v>
      </c>
      <c r="Z280">
        <v>-5.9791079999999995E-4</v>
      </c>
      <c r="AA280">
        <v>0.99886319999999995</v>
      </c>
      <c r="AB280">
        <v>22</v>
      </c>
      <c r="AC280">
        <v>92.099000000000004</v>
      </c>
      <c r="AD280">
        <v>-1.1096077038209999</v>
      </c>
      <c r="AE280">
        <v>-2.01550000000003</v>
      </c>
      <c r="AF280">
        <v>4.3995236002532696</v>
      </c>
      <c r="AG280">
        <v>-1.1096077038209999</v>
      </c>
      <c r="AH280">
        <v>92.0025560004798</v>
      </c>
      <c r="AI280">
        <v>90.690200402801494</v>
      </c>
      <c r="AJ280">
        <v>87.262225442769903</v>
      </c>
      <c r="AK280">
        <v>92.114371016617099</v>
      </c>
      <c r="AL280">
        <v>86.023337021238603</v>
      </c>
      <c r="AM280">
        <v>88.691733117011594</v>
      </c>
      <c r="AN280">
        <v>0.99999996694570104</v>
      </c>
    </row>
    <row r="281" spans="1:40" x14ac:dyDescent="0.25">
      <c r="A281" t="str">
        <f>"20190312153856441"</f>
        <v>20190312153856441</v>
      </c>
      <c r="B281" t="str">
        <f>"1552376336436090"</f>
        <v>1552376336436090</v>
      </c>
      <c r="C281" t="s">
        <v>40</v>
      </c>
      <c r="D281">
        <v>4.2176539999999996</v>
      </c>
      <c r="E281">
        <v>0.51036780000000004</v>
      </c>
      <c r="F281" t="s">
        <v>42</v>
      </c>
      <c r="G281">
        <v>-357.02289999999999</v>
      </c>
      <c r="H281" s="1">
        <v>-2.0487579999999999E-6</v>
      </c>
      <c r="I281">
        <v>365.67169999999999</v>
      </c>
      <c r="J281">
        <v>-452.52499999999998</v>
      </c>
      <c r="K281">
        <v>1.1096060000000001</v>
      </c>
      <c r="L281">
        <v>367.85210000000001</v>
      </c>
      <c r="M281">
        <v>0.99964299999999995</v>
      </c>
      <c r="N281">
        <v>0</v>
      </c>
      <c r="O281">
        <v>2.5854209999999999E-2</v>
      </c>
      <c r="P281">
        <v>0.99801960000000001</v>
      </c>
      <c r="Q281">
        <v>6.2843109999999994E-2</v>
      </c>
      <c r="R281">
        <v>2.7794299999999998E-3</v>
      </c>
      <c r="S281">
        <v>3.008362</v>
      </c>
      <c r="T281">
        <v>-3.490472E-2</v>
      </c>
      <c r="U281">
        <v>-6.8481449999999999E-2</v>
      </c>
      <c r="V281">
        <v>2.3035779999999999E-2</v>
      </c>
      <c r="W281">
        <v>6.9564199999999896E-2</v>
      </c>
      <c r="X281">
        <v>0.99731150000000002</v>
      </c>
      <c r="Y281">
        <v>4.8593289999999997E-2</v>
      </c>
      <c r="Z281">
        <v>-5.8178750000000001E-4</v>
      </c>
      <c r="AA281">
        <v>0.99881850000000005</v>
      </c>
      <c r="AB281">
        <v>22</v>
      </c>
      <c r="AC281">
        <v>95.502099999999899</v>
      </c>
      <c r="AD281">
        <v>-1.10960804875799</v>
      </c>
      <c r="AE281">
        <v>-2.1804000000000201</v>
      </c>
      <c r="AF281">
        <v>4.6482313967486597</v>
      </c>
      <c r="AG281">
        <v>-1.10960804875799</v>
      </c>
      <c r="AH281">
        <v>95.400928882709707</v>
      </c>
      <c r="AI281">
        <v>90.665587576291202</v>
      </c>
      <c r="AJ281">
        <v>87.2105764797316</v>
      </c>
      <c r="AK281">
        <v>95.5205449985679</v>
      </c>
      <c r="AL281">
        <v>86.011043406911298</v>
      </c>
      <c r="AM281">
        <v>88.676824314402694</v>
      </c>
      <c r="AN281">
        <v>1.0000000265570399</v>
      </c>
    </row>
    <row r="282" spans="1:40" x14ac:dyDescent="0.25">
      <c r="A282" t="str">
        <f>"20190312153856455"</f>
        <v>20190312153856455</v>
      </c>
      <c r="B282" t="str">
        <f>"1552376336446826"</f>
        <v>1552376336446826</v>
      </c>
      <c r="C282" t="s">
        <v>40</v>
      </c>
      <c r="D282">
        <v>4.242178</v>
      </c>
      <c r="E282">
        <v>0.51038609999999995</v>
      </c>
      <c r="F282" t="s">
        <v>42</v>
      </c>
      <c r="G282">
        <v>-355.03809999999999</v>
      </c>
      <c r="H282" s="1">
        <v>-2.822811E-6</v>
      </c>
      <c r="I282">
        <v>365.60320000000002</v>
      </c>
      <c r="J282">
        <v>-452.37689999999998</v>
      </c>
      <c r="K282">
        <v>1.109607</v>
      </c>
      <c r="L282">
        <v>367.85590000000002</v>
      </c>
      <c r="M282">
        <v>0.99964430000000004</v>
      </c>
      <c r="N282">
        <v>0</v>
      </c>
      <c r="O282">
        <v>2.580404E-2</v>
      </c>
      <c r="P282">
        <v>0.99799119999999997</v>
      </c>
      <c r="Q282">
        <v>6.3302399999999995E-2</v>
      </c>
      <c r="R282">
        <v>2.5657290000000001E-3</v>
      </c>
      <c r="S282">
        <v>3.0083009999999999</v>
      </c>
      <c r="T282">
        <v>-3.4240840000000002E-2</v>
      </c>
      <c r="U282">
        <v>-6.9396970000000002E-2</v>
      </c>
      <c r="V282">
        <v>2.3198750000000001E-2</v>
      </c>
      <c r="W282">
        <v>7.0033219999999993E-2</v>
      </c>
      <c r="X282">
        <v>0.99727489999999996</v>
      </c>
      <c r="Y282">
        <v>4.884761E-2</v>
      </c>
      <c r="Z282">
        <v>-5.7160900000000005E-4</v>
      </c>
      <c r="AA282">
        <v>0.99880610000000003</v>
      </c>
      <c r="AB282">
        <v>22</v>
      </c>
      <c r="AC282">
        <v>97.338800000000006</v>
      </c>
      <c r="AD282">
        <v>-1.1096098228110001</v>
      </c>
      <c r="AE282">
        <v>-2.2526999999999999</v>
      </c>
      <c r="AF282">
        <v>4.7631225755463298</v>
      </c>
      <c r="AG282">
        <v>-1.1096098228110001</v>
      </c>
      <c r="AH282">
        <v>97.235627821239603</v>
      </c>
      <c r="AI282">
        <v>90.653022675398304</v>
      </c>
      <c r="AJ282">
        <v>87.195587103532105</v>
      </c>
      <c r="AK282">
        <v>97.358542965777701</v>
      </c>
      <c r="AL282">
        <v>85.984104854290194</v>
      </c>
      <c r="AM282">
        <v>88.667417791151493</v>
      </c>
      <c r="AN282">
        <v>1.00000003003757</v>
      </c>
    </row>
    <row r="283" spans="1:40" x14ac:dyDescent="0.25">
      <c r="A283" t="str">
        <f>"20190312153856475"</f>
        <v>20190312153856475</v>
      </c>
      <c r="B283" t="str">
        <f>"1552376336466347"</f>
        <v>1552376336466347</v>
      </c>
      <c r="C283" t="s">
        <v>40</v>
      </c>
      <c r="D283">
        <v>4.2298</v>
      </c>
      <c r="E283">
        <v>0.51046959999999997</v>
      </c>
      <c r="F283" t="s">
        <v>42</v>
      </c>
      <c r="G283">
        <v>-351.4418</v>
      </c>
      <c r="H283" s="1">
        <v>-4.3843469999999999E-6</v>
      </c>
      <c r="I283">
        <v>365.49770000000001</v>
      </c>
      <c r="J283">
        <v>-452.19130000000001</v>
      </c>
      <c r="K283">
        <v>1.1096029999999999</v>
      </c>
      <c r="L283">
        <v>367.86059999999998</v>
      </c>
      <c r="M283">
        <v>0.99964580000000003</v>
      </c>
      <c r="N283">
        <v>0</v>
      </c>
      <c r="O283">
        <v>2.574009E-2</v>
      </c>
      <c r="P283">
        <v>0.99796099999999999</v>
      </c>
      <c r="Q283">
        <v>6.3789949999999998E-2</v>
      </c>
      <c r="R283">
        <v>2.0751020000000001E-3</v>
      </c>
      <c r="S283">
        <v>3.0083009999999999</v>
      </c>
      <c r="T283">
        <v>-3.3071160000000002E-2</v>
      </c>
      <c r="U283">
        <v>-7.0281979999999994E-2</v>
      </c>
      <c r="V283">
        <v>2.3624989999999998E-2</v>
      </c>
      <c r="W283">
        <v>7.0533600000000002E-2</v>
      </c>
      <c r="X283">
        <v>0.99722960000000005</v>
      </c>
      <c r="Y283">
        <v>4.9077719999999998E-2</v>
      </c>
      <c r="Z283">
        <v>-5.526439E-4</v>
      </c>
      <c r="AA283">
        <v>0.99879479999999998</v>
      </c>
      <c r="AB283">
        <v>22</v>
      </c>
      <c r="AC283">
        <v>100.7495</v>
      </c>
      <c r="AD283">
        <v>-1.109607384347</v>
      </c>
      <c r="AE283">
        <v>-2.3628999999999598</v>
      </c>
      <c r="AF283">
        <v>4.9548768623188204</v>
      </c>
      <c r="AG283">
        <v>-1.109607384347</v>
      </c>
      <c r="AH283">
        <v>100.643093317731</v>
      </c>
      <c r="AI283">
        <v>90.630906141320693</v>
      </c>
      <c r="AJ283">
        <v>87.181480732744205</v>
      </c>
      <c r="AK283">
        <v>100.77109836570099</v>
      </c>
      <c r="AL283">
        <v>85.955364005086395</v>
      </c>
      <c r="AM283">
        <v>88.642881171012903</v>
      </c>
      <c r="AN283">
        <v>1.00000000199881</v>
      </c>
    </row>
    <row r="284" spans="1:40" x14ac:dyDescent="0.25">
      <c r="A284" t="str">
        <f>"20190312153856488"</f>
        <v>20190312153856488</v>
      </c>
      <c r="B284" t="str">
        <f>"1552376336486843"</f>
        <v>1552376336486843</v>
      </c>
      <c r="C284" t="s">
        <v>40</v>
      </c>
      <c r="D284">
        <v>4.2377739999999999</v>
      </c>
      <c r="E284">
        <v>0.51049599999999995</v>
      </c>
      <c r="F284" t="s">
        <v>42</v>
      </c>
      <c r="G284">
        <v>-347.76589999999999</v>
      </c>
      <c r="H284" s="1">
        <v>-1.9761910000000002E-6</v>
      </c>
      <c r="I284">
        <v>365.35419999999999</v>
      </c>
      <c r="J284">
        <v>-452.0523</v>
      </c>
      <c r="K284">
        <v>1.1096010000000001</v>
      </c>
      <c r="L284">
        <v>367.86410000000001</v>
      </c>
      <c r="M284">
        <v>0.99964710000000001</v>
      </c>
      <c r="N284">
        <v>0</v>
      </c>
      <c r="O284">
        <v>2.5691120000000001E-2</v>
      </c>
      <c r="P284">
        <v>0.99796680000000004</v>
      </c>
      <c r="Q284">
        <v>6.3710619999999996E-2</v>
      </c>
      <c r="R284">
        <v>1.845593E-3</v>
      </c>
      <c r="S284">
        <v>3.0083310000000001</v>
      </c>
      <c r="T284">
        <v>-3.1965970000000003E-2</v>
      </c>
      <c r="U284">
        <v>-7.2204589999999999E-2</v>
      </c>
      <c r="V284">
        <v>2.3805699999999999E-2</v>
      </c>
      <c r="W284">
        <v>7.0464170000000007E-2</v>
      </c>
      <c r="X284">
        <v>0.99723019999999996</v>
      </c>
      <c r="Y284">
        <v>4.9666769999999999E-2</v>
      </c>
      <c r="Z284">
        <v>-5.3677629999999998E-4</v>
      </c>
      <c r="AA284">
        <v>0.99876569999999998</v>
      </c>
      <c r="AB284">
        <v>23</v>
      </c>
      <c r="AC284">
        <v>104.2864</v>
      </c>
      <c r="AD284">
        <v>-1.109602976191</v>
      </c>
      <c r="AE284">
        <v>-2.5099000000000098</v>
      </c>
      <c r="AF284">
        <v>5.1877801157056398</v>
      </c>
      <c r="AG284">
        <v>-1.109602976191</v>
      </c>
      <c r="AH284">
        <v>104.17570609676901</v>
      </c>
      <c r="AI284">
        <v>90.609494201966299</v>
      </c>
      <c r="AJ284">
        <v>87.1491187607987</v>
      </c>
      <c r="AK284">
        <v>104.31069946105301</v>
      </c>
      <c r="AL284">
        <v>85.9593519299722</v>
      </c>
      <c r="AM284">
        <v>88.632505177575496</v>
      </c>
      <c r="AN284">
        <v>0.99999999119915906</v>
      </c>
    </row>
    <row r="285" spans="1:40" x14ac:dyDescent="0.25">
      <c r="A285" t="str">
        <f>"20190312153856506"</f>
        <v>20190312153856506</v>
      </c>
      <c r="B285" t="str">
        <f>"1552376336496606"</f>
        <v>1552376336496606</v>
      </c>
      <c r="C285" t="s">
        <v>40</v>
      </c>
      <c r="D285">
        <v>4.2456880000000004</v>
      </c>
      <c r="E285">
        <v>0.51052600000000004</v>
      </c>
      <c r="F285" t="s">
        <v>42</v>
      </c>
      <c r="G285">
        <v>-350.40440000000001</v>
      </c>
      <c r="H285" s="1">
        <v>-4.8467590000000003E-6</v>
      </c>
      <c r="I285">
        <v>365.39960000000002</v>
      </c>
      <c r="J285">
        <v>-451.86750000000001</v>
      </c>
      <c r="K285">
        <v>1.109594</v>
      </c>
      <c r="L285">
        <v>367.86880000000002</v>
      </c>
      <c r="M285">
        <v>0.99964869999999995</v>
      </c>
      <c r="N285">
        <v>0</v>
      </c>
      <c r="O285">
        <v>2.562538E-2</v>
      </c>
      <c r="P285">
        <v>0.99802049999999998</v>
      </c>
      <c r="Q285">
        <v>6.2874459999999993E-2</v>
      </c>
      <c r="R285">
        <v>1.4876829999999901E-3</v>
      </c>
      <c r="S285">
        <v>3.008362</v>
      </c>
      <c r="T285">
        <v>-3.2839779999999999E-2</v>
      </c>
      <c r="U285">
        <v>-7.2937009999999997E-2</v>
      </c>
      <c r="V285">
        <v>2.409905E-2</v>
      </c>
      <c r="W285">
        <v>6.9641750000000002E-2</v>
      </c>
      <c r="X285">
        <v>0.99728099999999997</v>
      </c>
      <c r="Y285">
        <v>4.9843619999999998E-2</v>
      </c>
      <c r="Z285">
        <v>-5.5168920000000002E-4</v>
      </c>
      <c r="AA285">
        <v>0.99875689999999995</v>
      </c>
      <c r="AB285">
        <v>23</v>
      </c>
      <c r="AC285">
        <v>101.4631</v>
      </c>
      <c r="AD285">
        <v>-1.1095988467589999</v>
      </c>
      <c r="AE285">
        <v>-2.4691999999999998</v>
      </c>
      <c r="AF285">
        <v>5.0678734374327403</v>
      </c>
      <c r="AG285">
        <v>-1.1095988467589999</v>
      </c>
      <c r="AH285">
        <v>101.354389600456</v>
      </c>
      <c r="AI285">
        <v>90.626450177775197</v>
      </c>
      <c r="AJ285">
        <v>87.137507958591897</v>
      </c>
      <c r="AK285">
        <v>101.487077217051</v>
      </c>
      <c r="AL285">
        <v>86.006589471941993</v>
      </c>
      <c r="AM285">
        <v>88.615730984027493</v>
      </c>
      <c r="AN285">
        <v>1.0000000652574801</v>
      </c>
    </row>
    <row r="286" spans="1:40" x14ac:dyDescent="0.25">
      <c r="A286" t="str">
        <f>"20190312153856528"</f>
        <v>20190312153856528</v>
      </c>
      <c r="B286" t="str">
        <f>"1552376336526858"</f>
        <v>1552376336526858</v>
      </c>
      <c r="C286" t="s">
        <v>40</v>
      </c>
      <c r="D286">
        <v>4.2564440000000001</v>
      </c>
      <c r="E286">
        <v>0.5106811</v>
      </c>
      <c r="F286" t="s">
        <v>42</v>
      </c>
      <c r="G286">
        <v>-358.9171</v>
      </c>
      <c r="H286" s="1">
        <v>-1.4317340000000001E-6</v>
      </c>
      <c r="I286">
        <v>365.56799999999998</v>
      </c>
      <c r="J286">
        <v>-451.64339999999999</v>
      </c>
      <c r="K286">
        <v>1.1095930000000001</v>
      </c>
      <c r="L286">
        <v>367.87450000000001</v>
      </c>
      <c r="M286">
        <v>0.9996507</v>
      </c>
      <c r="N286">
        <v>0</v>
      </c>
      <c r="O286">
        <v>2.554443E-2</v>
      </c>
      <c r="P286">
        <v>0.99804590000000004</v>
      </c>
      <c r="Q286">
        <v>6.2474000000000002E-2</v>
      </c>
      <c r="R286">
        <v>1.1990989999999999E-3</v>
      </c>
      <c r="S286">
        <v>3.0083310000000001</v>
      </c>
      <c r="T286">
        <v>-3.591192E-2</v>
      </c>
      <c r="U286">
        <v>-7.4462890000000004E-2</v>
      </c>
      <c r="V286">
        <v>2.4307769999999999E-2</v>
      </c>
      <c r="W286">
        <v>6.9257390000000002E-2</v>
      </c>
      <c r="X286">
        <v>0.99730269999999999</v>
      </c>
      <c r="Y286">
        <v>5.026837E-2</v>
      </c>
      <c r="Z286">
        <v>-6.0486739999999995E-4</v>
      </c>
      <c r="AA286">
        <v>0.9987355</v>
      </c>
      <c r="AB286">
        <v>23</v>
      </c>
      <c r="AC286">
        <v>92.726299999999895</v>
      </c>
      <c r="AD286">
        <v>-1.1095944317340001</v>
      </c>
      <c r="AE286">
        <v>-2.30649999999997</v>
      </c>
      <c r="AF286">
        <v>4.6737734000037996</v>
      </c>
      <c r="AG286">
        <v>-1.1095944317340001</v>
      </c>
      <c r="AH286">
        <v>92.623866389879893</v>
      </c>
      <c r="AI286">
        <v>90.685474147895604</v>
      </c>
      <c r="AJ286">
        <v>87.111321642617696</v>
      </c>
      <c r="AK286">
        <v>92.748347600417304</v>
      </c>
      <c r="AL286">
        <v>86.028664975907105</v>
      </c>
      <c r="AM286">
        <v>88.603777031836302</v>
      </c>
      <c r="AN286">
        <v>1.0000000645896301</v>
      </c>
    </row>
    <row r="287" spans="1:40" x14ac:dyDescent="0.25">
      <c r="A287" t="str">
        <f>"20190312153856541"</f>
        <v>20190312153856541</v>
      </c>
      <c r="B287" t="str">
        <f>"1552376336536619"</f>
        <v>1552376336536619</v>
      </c>
      <c r="C287" t="s">
        <v>40</v>
      </c>
      <c r="D287">
        <v>4.2496450000000001</v>
      </c>
      <c r="E287">
        <v>0.51073100000000005</v>
      </c>
      <c r="F287" t="s">
        <v>42</v>
      </c>
      <c r="G287">
        <v>-364.73770000000002</v>
      </c>
      <c r="H287" s="1">
        <v>-2.94053E-6</v>
      </c>
      <c r="I287">
        <v>365.666</v>
      </c>
      <c r="J287">
        <v>-451.5215</v>
      </c>
      <c r="K287">
        <v>1.1095950000000001</v>
      </c>
      <c r="L287">
        <v>367.8775</v>
      </c>
      <c r="M287">
        <v>0.99965170000000003</v>
      </c>
      <c r="N287">
        <v>0</v>
      </c>
      <c r="O287">
        <v>2.549974E-2</v>
      </c>
      <c r="P287">
        <v>0.99801499999999999</v>
      </c>
      <c r="Q287">
        <v>6.2968399999999994E-2</v>
      </c>
      <c r="R287">
        <v>1.1444199999999999E-3</v>
      </c>
      <c r="S287">
        <v>3.008362</v>
      </c>
      <c r="T287">
        <v>-3.8410189999999997E-2</v>
      </c>
      <c r="U287">
        <v>-7.6446529999999999E-2</v>
      </c>
      <c r="V287">
        <v>2.43173E-2</v>
      </c>
      <c r="W287">
        <v>6.9759719999999997E-2</v>
      </c>
      <c r="X287">
        <v>0.99726740000000003</v>
      </c>
      <c r="Y287">
        <v>5.0880769999999999E-2</v>
      </c>
      <c r="Z287">
        <v>-6.5026980000000003E-4</v>
      </c>
      <c r="AA287">
        <v>0.99870460000000005</v>
      </c>
      <c r="AB287">
        <v>23</v>
      </c>
      <c r="AC287">
        <v>86.7837999999999</v>
      </c>
      <c r="AD287">
        <v>-1.1095979405299901</v>
      </c>
      <c r="AE287">
        <v>-2.2115</v>
      </c>
      <c r="AF287">
        <v>4.4230737573280701</v>
      </c>
      <c r="AG287">
        <v>-1.1095979405299901</v>
      </c>
      <c r="AH287">
        <v>86.685023397028104</v>
      </c>
      <c r="AI287">
        <v>90.732412817114394</v>
      </c>
      <c r="AJ287">
        <v>87.079035557656098</v>
      </c>
      <c r="AK287">
        <v>86.804885060667601</v>
      </c>
      <c r="AL287">
        <v>85.999813582521796</v>
      </c>
      <c r="AM287">
        <v>88.603180429958996</v>
      </c>
      <c r="AN287">
        <v>1.0000000083582601</v>
      </c>
    </row>
    <row r="288" spans="1:40" x14ac:dyDescent="0.25">
      <c r="A288" t="str">
        <f>"20190312153856553"</f>
        <v>20190312153856553</v>
      </c>
      <c r="B288" t="str">
        <f>"1552376336546379"</f>
        <v>1552376336546379</v>
      </c>
      <c r="C288" t="s">
        <v>40</v>
      </c>
      <c r="D288">
        <v>4.2398369999999996</v>
      </c>
      <c r="E288">
        <v>0.51082260000000002</v>
      </c>
      <c r="F288" t="s">
        <v>42</v>
      </c>
      <c r="G288">
        <v>-362.90480000000002</v>
      </c>
      <c r="H288" s="1">
        <v>-3.7364069999999999E-6</v>
      </c>
      <c r="I288">
        <v>365.6121</v>
      </c>
      <c r="J288">
        <v>-451.39319999999998</v>
      </c>
      <c r="K288">
        <v>1.1095969999999999</v>
      </c>
      <c r="L288">
        <v>367.88069999999999</v>
      </c>
      <c r="M288">
        <v>0.99965289999999996</v>
      </c>
      <c r="N288">
        <v>0</v>
      </c>
      <c r="O288">
        <v>2.545149E-2</v>
      </c>
      <c r="P288">
        <v>0.99799000000000004</v>
      </c>
      <c r="Q288">
        <v>6.3366820000000004E-2</v>
      </c>
      <c r="R288">
        <v>8.6962349999999999E-4</v>
      </c>
      <c r="S288">
        <v>3.0084529999999998</v>
      </c>
      <c r="T288">
        <v>-3.766978E-2</v>
      </c>
      <c r="U288">
        <v>-7.6904299999999995E-2</v>
      </c>
      <c r="V288">
        <v>2.4543490000000001E-2</v>
      </c>
      <c r="W288">
        <v>7.0165459999999999E-2</v>
      </c>
      <c r="X288">
        <v>0.99723340000000005</v>
      </c>
      <c r="Y288">
        <v>5.0983880000000002E-2</v>
      </c>
      <c r="Z288">
        <v>-6.3775669999999998E-4</v>
      </c>
      <c r="AA288">
        <v>0.99869920000000001</v>
      </c>
      <c r="AB288">
        <v>23</v>
      </c>
      <c r="AC288">
        <v>88.488399999999899</v>
      </c>
      <c r="AD288">
        <v>-1.109600736407</v>
      </c>
      <c r="AE288">
        <v>-2.26859999999999</v>
      </c>
      <c r="AF288">
        <v>4.5193686852640704</v>
      </c>
      <c r="AG288">
        <v>-1.109600736407</v>
      </c>
      <c r="AH288">
        <v>88.388104063274696</v>
      </c>
      <c r="AI288">
        <v>90.718299945496696</v>
      </c>
      <c r="AJ288">
        <v>87.072960759912306</v>
      </c>
      <c r="AK288">
        <v>88.510523933642204</v>
      </c>
      <c r="AL288">
        <v>85.976509312757301</v>
      </c>
      <c r="AM288">
        <v>88.590144933846702</v>
      </c>
      <c r="AN288">
        <v>1.0000000143769701</v>
      </c>
    </row>
    <row r="289" spans="1:40" x14ac:dyDescent="0.25">
      <c r="A289" t="str">
        <f>"20190312153856564"</f>
        <v>20190312153856564</v>
      </c>
      <c r="B289" t="str">
        <f>"1552376336556139"</f>
        <v>1552376336556139</v>
      </c>
      <c r="C289" t="s">
        <v>40</v>
      </c>
      <c r="D289">
        <v>4.2838440000000002</v>
      </c>
      <c r="E289">
        <v>0.51082260000000002</v>
      </c>
      <c r="F289" t="s">
        <v>42</v>
      </c>
      <c r="G289">
        <v>-361.27449999999999</v>
      </c>
      <c r="H289" s="1">
        <v>-4.4511079999999998E-6</v>
      </c>
      <c r="I289">
        <v>365.5258</v>
      </c>
      <c r="J289">
        <v>-451.27199999999999</v>
      </c>
      <c r="K289">
        <v>1.109594</v>
      </c>
      <c r="L289">
        <v>367.88380000000001</v>
      </c>
      <c r="M289">
        <v>0.99965400000000004</v>
      </c>
      <c r="N289">
        <v>0</v>
      </c>
      <c r="O289">
        <v>2.5405319999999999E-2</v>
      </c>
      <c r="P289">
        <v>0.99794530000000004</v>
      </c>
      <c r="Q289">
        <v>6.4067830000000006E-2</v>
      </c>
      <c r="R289">
        <v>7.592349E-4</v>
      </c>
      <c r="S289">
        <v>3.0084529999999998</v>
      </c>
      <c r="T289">
        <v>-3.7042020000000002E-2</v>
      </c>
      <c r="U289">
        <v>-7.8613279999999994E-2</v>
      </c>
      <c r="V289">
        <v>2.4607029999999998E-2</v>
      </c>
      <c r="W289">
        <v>7.0871799999999999E-2</v>
      </c>
      <c r="X289">
        <v>0.99718189999999995</v>
      </c>
      <c r="Y289">
        <v>5.150486E-2</v>
      </c>
      <c r="Z289">
        <v>-6.2976389999999996E-4</v>
      </c>
      <c r="AA289">
        <v>0.99867249999999996</v>
      </c>
      <c r="AB289">
        <v>23</v>
      </c>
      <c r="AC289">
        <v>89.997500000000002</v>
      </c>
      <c r="AD289">
        <v>-1.1095984511079999</v>
      </c>
      <c r="AE289">
        <v>-2.3580000000000001</v>
      </c>
      <c r="AF289">
        <v>4.6430019737141697</v>
      </c>
      <c r="AG289">
        <v>-1.1095984511079999</v>
      </c>
      <c r="AH289">
        <v>89.894887765902595</v>
      </c>
      <c r="AI289">
        <v>90.706241093380299</v>
      </c>
      <c r="AJ289">
        <v>87.043344186444202</v>
      </c>
      <c r="AK289">
        <v>90.021550322658001</v>
      </c>
      <c r="AL289">
        <v>85.935938070681701</v>
      </c>
      <c r="AM289">
        <v>88.586423504231604</v>
      </c>
      <c r="AN289">
        <v>1.0000000298241301</v>
      </c>
    </row>
    <row r="290" spans="1:40" x14ac:dyDescent="0.25">
      <c r="A290" t="str">
        <f>"20190312153856576"</f>
        <v>20190312153856576</v>
      </c>
      <c r="B290" t="str">
        <f>"1552376336565898"</f>
        <v>1552376336565898</v>
      </c>
      <c r="C290" t="s">
        <v>40</v>
      </c>
      <c r="D290">
        <v>4.2578740000000002</v>
      </c>
      <c r="E290">
        <v>0.49754290000000001</v>
      </c>
      <c r="F290" t="s">
        <v>42</v>
      </c>
      <c r="G290">
        <v>-355.62079999999997</v>
      </c>
      <c r="H290" s="1">
        <v>-2.6127220000000002E-6</v>
      </c>
      <c r="I290">
        <v>365.37849999999997</v>
      </c>
      <c r="J290">
        <v>-451.1472</v>
      </c>
      <c r="K290">
        <v>1.1095919999999999</v>
      </c>
      <c r="L290">
        <v>367.88690000000003</v>
      </c>
      <c r="M290">
        <v>0.99965519999999997</v>
      </c>
      <c r="N290">
        <v>0</v>
      </c>
      <c r="O290">
        <v>2.535755E-2</v>
      </c>
      <c r="P290">
        <v>0.99794229999999995</v>
      </c>
      <c r="Q290">
        <v>6.4115389999999994E-2</v>
      </c>
      <c r="R290">
        <v>6.1062599999999996E-4</v>
      </c>
      <c r="S290">
        <v>3.0085139999999999</v>
      </c>
      <c r="T290">
        <v>-3.4900069999999998E-2</v>
      </c>
      <c r="U290">
        <v>-7.8796389999999994E-2</v>
      </c>
      <c r="V290">
        <v>2.4708089999999999E-2</v>
      </c>
      <c r="W290">
        <v>7.0924119999999993E-2</v>
      </c>
      <c r="X290">
        <v>0.99717560000000005</v>
      </c>
      <c r="Y290">
        <v>5.1518010000000003E-2</v>
      </c>
      <c r="Z290">
        <v>-5.9286019999999905E-4</v>
      </c>
      <c r="AA290">
        <v>0.99867189999999995</v>
      </c>
      <c r="AB290">
        <v>23</v>
      </c>
      <c r="AC290">
        <v>95.526399999999995</v>
      </c>
      <c r="AD290">
        <v>-1.109594612722</v>
      </c>
      <c r="AE290">
        <v>-2.5084000000000501</v>
      </c>
      <c r="AF290">
        <v>4.9293005198737303</v>
      </c>
      <c r="AG290">
        <v>-1.109594612722</v>
      </c>
      <c r="AH290">
        <v>95.419208031767099</v>
      </c>
      <c r="AI290">
        <v>90.665354216969703</v>
      </c>
      <c r="AJ290">
        <v>87.042762302313207</v>
      </c>
      <c r="AK290">
        <v>95.552888314427506</v>
      </c>
      <c r="AL290">
        <v>85.9329324632359</v>
      </c>
      <c r="AM290">
        <v>88.580611413460701</v>
      </c>
      <c r="AN290">
        <v>0.99999994887229005</v>
      </c>
    </row>
    <row r="291" spans="1:40" x14ac:dyDescent="0.25">
      <c r="A291" t="str">
        <f>"20190312153856588"</f>
        <v>20190312153856588</v>
      </c>
      <c r="B291" t="str">
        <f>"1552376336576634"</f>
        <v>1552376336576634</v>
      </c>
      <c r="C291" t="s">
        <v>40</v>
      </c>
      <c r="D291">
        <v>4.2717859999999996</v>
      </c>
      <c r="E291">
        <v>0.49506270000000002</v>
      </c>
      <c r="F291" t="s">
        <v>42</v>
      </c>
      <c r="G291">
        <v>-375.88490000000002</v>
      </c>
      <c r="H291" s="1">
        <v>-1.9350219999999999E-6</v>
      </c>
      <c r="I291">
        <v>368.56009999999998</v>
      </c>
      <c r="J291">
        <v>-451.02969999999999</v>
      </c>
      <c r="K291">
        <v>1.1095889999999999</v>
      </c>
      <c r="L291">
        <v>367.88979999999998</v>
      </c>
      <c r="M291">
        <v>0.9996564</v>
      </c>
      <c r="N291">
        <v>0</v>
      </c>
      <c r="O291">
        <v>2.531073E-2</v>
      </c>
      <c r="P291">
        <v>0.9979422</v>
      </c>
      <c r="Q291">
        <v>6.4120769999999994E-2</v>
      </c>
      <c r="R291">
        <v>3.3939050000000002E-4</v>
      </c>
      <c r="S291">
        <v>3.0090330000000001</v>
      </c>
      <c r="T291">
        <v>-4.4362190000000003E-2</v>
      </c>
      <c r="U291">
        <v>2.6916499999999999E-2</v>
      </c>
      <c r="V291">
        <v>2.493279E-2</v>
      </c>
      <c r="W291">
        <v>7.0932679999999998E-2</v>
      </c>
      <c r="X291">
        <v>0.99716939999999998</v>
      </c>
      <c r="Y291">
        <v>1.636377E-2</v>
      </c>
      <c r="Z291">
        <v>-4.9371339999999895E-4</v>
      </c>
      <c r="AA291">
        <v>0.99986600000000003</v>
      </c>
      <c r="AB291">
        <v>23</v>
      </c>
      <c r="AC291">
        <v>75.144799999999904</v>
      </c>
      <c r="AD291">
        <v>-1.1095909350219999</v>
      </c>
      <c r="AE291">
        <v>0.67029999999999701</v>
      </c>
      <c r="AF291">
        <v>1.2316601452560501</v>
      </c>
      <c r="AG291">
        <v>-1.1095909350219999</v>
      </c>
      <c r="AH291">
        <v>75.121313243076202</v>
      </c>
      <c r="AI291">
        <v>90.846120902403001</v>
      </c>
      <c r="AJ291">
        <v>89.060684608214501</v>
      </c>
      <c r="AK291">
        <v>75.139602621526294</v>
      </c>
      <c r="AL291">
        <v>85.932440780429602</v>
      </c>
      <c r="AM291">
        <v>88.567699678751396</v>
      </c>
      <c r="AN291">
        <v>0.99999995070276204</v>
      </c>
    </row>
    <row r="292" spans="1:40" x14ac:dyDescent="0.25">
      <c r="A292" t="str">
        <f>"20190312153856607"</f>
        <v>20190312153856607</v>
      </c>
      <c r="B292" t="str">
        <f>"1552376336596154"</f>
        <v>1552376336596154</v>
      </c>
      <c r="C292" t="s">
        <v>40</v>
      </c>
      <c r="D292">
        <v>4.2649540000000004</v>
      </c>
      <c r="E292">
        <v>0.49425609999999998</v>
      </c>
      <c r="F292" t="s">
        <v>42</v>
      </c>
      <c r="G292">
        <v>-384.65449999999998</v>
      </c>
      <c r="H292" s="1">
        <v>-2.4032499999999998E-6</v>
      </c>
      <c r="I292">
        <v>368.89609999999999</v>
      </c>
      <c r="J292">
        <v>-450.83390000000003</v>
      </c>
      <c r="K292">
        <v>1.1095870000000001</v>
      </c>
      <c r="L292">
        <v>367.8947</v>
      </c>
      <c r="M292">
        <v>0.99965839999999995</v>
      </c>
      <c r="N292">
        <v>0</v>
      </c>
      <c r="O292">
        <v>2.523017E-2</v>
      </c>
      <c r="P292">
        <v>0.99796059999999998</v>
      </c>
      <c r="Q292">
        <v>6.3834769999999999E-2</v>
      </c>
      <c r="R292">
        <v>1.62165E-4</v>
      </c>
      <c r="S292">
        <v>3.0093990000000002</v>
      </c>
      <c r="T292">
        <v>-5.0307989999999997E-2</v>
      </c>
      <c r="U292">
        <v>4.5623780000000003E-2</v>
      </c>
      <c r="V292">
        <v>2.503039E-2</v>
      </c>
      <c r="W292">
        <v>7.0650630000000006E-2</v>
      </c>
      <c r="X292">
        <v>0.99718700000000005</v>
      </c>
      <c r="Y292">
        <v>1.0069069999999999E-2</v>
      </c>
      <c r="Z292">
        <v>-5.0582540000000003E-4</v>
      </c>
      <c r="AA292">
        <v>0.99994919999999998</v>
      </c>
      <c r="AB292">
        <v>23</v>
      </c>
      <c r="AC292">
        <v>66.179400000000001</v>
      </c>
      <c r="AD292">
        <v>-1.10958940325</v>
      </c>
      <c r="AE292">
        <v>1.0013999999999801</v>
      </c>
      <c r="AF292">
        <v>0.66848726832740302</v>
      </c>
      <c r="AG292">
        <v>-1.10958940325</v>
      </c>
      <c r="AH292">
        <v>66.165002618322305</v>
      </c>
      <c r="AI292">
        <v>90.960713139507703</v>
      </c>
      <c r="AJ292">
        <v>89.421141170431795</v>
      </c>
      <c r="AK292">
        <v>66.177682305701197</v>
      </c>
      <c r="AL292">
        <v>85.948641790284299</v>
      </c>
      <c r="AM292">
        <v>88.562120622187294</v>
      </c>
      <c r="AN292">
        <v>0.99999997245597405</v>
      </c>
    </row>
    <row r="293" spans="1:40" x14ac:dyDescent="0.25">
      <c r="A293" t="str">
        <f>"20190312153856620"</f>
        <v>20190312153856620</v>
      </c>
      <c r="B293" t="str">
        <f>"1552376336616650"</f>
        <v>1552376336616650</v>
      </c>
      <c r="C293" t="s">
        <v>40</v>
      </c>
      <c r="D293">
        <v>4.274159</v>
      </c>
      <c r="E293">
        <v>0.49471359999999998</v>
      </c>
      <c r="F293" t="s">
        <v>42</v>
      </c>
      <c r="G293">
        <v>-398.8433</v>
      </c>
      <c r="H293" s="1">
        <v>-6.2320869999999897E-7</v>
      </c>
      <c r="I293">
        <v>368.80070000000001</v>
      </c>
      <c r="J293">
        <v>-450.70159999999998</v>
      </c>
      <c r="K293">
        <v>1.109583</v>
      </c>
      <c r="L293">
        <v>367.89800000000002</v>
      </c>
      <c r="M293">
        <v>0.99965970000000004</v>
      </c>
      <c r="N293">
        <v>0</v>
      </c>
      <c r="O293">
        <v>2.517436E-2</v>
      </c>
      <c r="P293">
        <v>0.9979711</v>
      </c>
      <c r="Q293">
        <v>6.3673610000000005E-2</v>
      </c>
      <c r="R293">
        <v>1.5336160000000001E-4</v>
      </c>
      <c r="S293">
        <v>3.0102540000000002</v>
      </c>
      <c r="T293">
        <v>-6.4244990000000002E-2</v>
      </c>
      <c r="U293">
        <v>5.2459720000000001E-2</v>
      </c>
      <c r="V293">
        <v>2.498386E-2</v>
      </c>
      <c r="W293">
        <v>7.0490319999999995E-2</v>
      </c>
      <c r="X293">
        <v>0.99719950000000002</v>
      </c>
      <c r="Y293">
        <v>7.744791E-3</v>
      </c>
      <c r="Z293">
        <v>-6.1974019999999999E-4</v>
      </c>
      <c r="AA293">
        <v>0.99996980000000002</v>
      </c>
      <c r="AB293">
        <v>23</v>
      </c>
      <c r="AC293">
        <v>51.8582999999999</v>
      </c>
      <c r="AD293">
        <v>-1.1095836232087</v>
      </c>
      <c r="AE293">
        <v>0.90269999999998096</v>
      </c>
      <c r="AF293">
        <v>0.402931712537273</v>
      </c>
      <c r="AG293">
        <v>-1.1095836232087</v>
      </c>
      <c r="AH293">
        <v>51.840863514847797</v>
      </c>
      <c r="AI293">
        <v>91.226114487286907</v>
      </c>
      <c r="AJ293">
        <v>89.5546790674222</v>
      </c>
      <c r="AK293">
        <v>51.854302229872303</v>
      </c>
      <c r="AL293">
        <v>85.957849786642399</v>
      </c>
      <c r="AM293">
        <v>88.564810418021395</v>
      </c>
      <c r="AN293">
        <v>0.99999996063722496</v>
      </c>
    </row>
    <row r="294" spans="1:40" x14ac:dyDescent="0.25">
      <c r="A294" t="str">
        <f>"20190312153856633"</f>
        <v>20190312153856633</v>
      </c>
      <c r="B294" t="str">
        <f>"1552376336626411"</f>
        <v>1552376336626411</v>
      </c>
      <c r="C294" t="s">
        <v>40</v>
      </c>
      <c r="D294">
        <v>4.2777289999999999</v>
      </c>
      <c r="E294">
        <v>0.49478490000000003</v>
      </c>
      <c r="F294" t="s">
        <v>43</v>
      </c>
      <c r="G294">
        <v>-401.1164</v>
      </c>
      <c r="H294">
        <v>-0.05</v>
      </c>
      <c r="I294">
        <v>368.70319999999998</v>
      </c>
      <c r="J294">
        <v>-450.56330000000003</v>
      </c>
      <c r="K294">
        <v>1.1095790000000001</v>
      </c>
      <c r="L294">
        <v>367.90140000000002</v>
      </c>
      <c r="M294">
        <v>0.99966129999999997</v>
      </c>
      <c r="N294">
        <v>0</v>
      </c>
      <c r="O294">
        <v>2.5112949999999998E-2</v>
      </c>
      <c r="P294">
        <v>0.9979652</v>
      </c>
      <c r="Q294">
        <v>6.3762189999999996E-2</v>
      </c>
      <c r="R294" s="1">
        <v>8.4455709999999999E-5</v>
      </c>
      <c r="S294">
        <v>3.0105900000000001</v>
      </c>
      <c r="T294">
        <v>-7.0404649999999999E-2</v>
      </c>
      <c r="U294">
        <v>4.8889160000000001E-2</v>
      </c>
      <c r="V294">
        <v>2.4992090000000002E-2</v>
      </c>
      <c r="W294">
        <v>7.0577840000000003E-2</v>
      </c>
      <c r="X294">
        <v>0.9971932</v>
      </c>
      <c r="Y294">
        <v>8.8691310000000006E-3</v>
      </c>
      <c r="Z294">
        <v>-6.9078580000000002E-4</v>
      </c>
      <c r="AA294">
        <v>0.99996039999999997</v>
      </c>
      <c r="AB294">
        <v>23</v>
      </c>
      <c r="AC294">
        <v>49.446899999999999</v>
      </c>
      <c r="AD294">
        <v>-1.1595789999999999</v>
      </c>
      <c r="AE294">
        <v>0.80179999999995699</v>
      </c>
      <c r="AF294">
        <v>0.439997447600668</v>
      </c>
      <c r="AG294">
        <v>-1.1595789999999999</v>
      </c>
      <c r="AH294">
        <v>49.424267059789301</v>
      </c>
      <c r="AI294">
        <v>91.343958525073404</v>
      </c>
      <c r="AJ294">
        <v>89.489940220062394</v>
      </c>
      <c r="AK294">
        <v>49.439826007061498</v>
      </c>
      <c r="AL294">
        <v>85.9528231303333</v>
      </c>
      <c r="AM294">
        <v>88.564328779887106</v>
      </c>
      <c r="AN294">
        <v>1.00000005709393</v>
      </c>
    </row>
    <row r="295" spans="1:40" x14ac:dyDescent="0.25">
      <c r="A295" t="str">
        <f>"20190312153856653"</f>
        <v>20190312153856653</v>
      </c>
      <c r="B295" t="str">
        <f>"1552376336645932"</f>
        <v>1552376336645932</v>
      </c>
      <c r="C295" t="s">
        <v>40</v>
      </c>
      <c r="D295">
        <v>4.268313</v>
      </c>
      <c r="E295">
        <v>0.49485410000000002</v>
      </c>
      <c r="F295" t="s">
        <v>43</v>
      </c>
      <c r="G295">
        <v>-402.4708</v>
      </c>
      <c r="H295">
        <v>-0.05</v>
      </c>
      <c r="I295">
        <v>368.66820000000001</v>
      </c>
      <c r="J295">
        <v>-450.3603</v>
      </c>
      <c r="K295">
        <v>1.1095699999999999</v>
      </c>
      <c r="L295">
        <v>367.90640000000002</v>
      </c>
      <c r="M295">
        <v>0.99966370000000004</v>
      </c>
      <c r="N295">
        <v>0</v>
      </c>
      <c r="O295">
        <v>2.501803E-2</v>
      </c>
      <c r="P295">
        <v>0.99796149999999995</v>
      </c>
      <c r="Q295">
        <v>6.3818689999999997E-2</v>
      </c>
      <c r="R295" s="1">
        <v>2.6626510000000001E-6</v>
      </c>
      <c r="S295">
        <v>3.0107729999999999</v>
      </c>
      <c r="T295">
        <v>-7.2594049999999993E-2</v>
      </c>
      <c r="U295">
        <v>4.8004150000000002E-2</v>
      </c>
      <c r="V295">
        <v>2.4979749999999998E-2</v>
      </c>
      <c r="W295">
        <v>7.0631120000000006E-2</v>
      </c>
      <c r="X295">
        <v>0.99718969999999996</v>
      </c>
      <c r="Y295">
        <v>9.0684219999999996E-3</v>
      </c>
      <c r="Z295">
        <v>-7.123349E-4</v>
      </c>
      <c r="AA295">
        <v>0.99995860000000003</v>
      </c>
      <c r="AB295">
        <v>23</v>
      </c>
      <c r="AC295">
        <v>47.889499999999998</v>
      </c>
      <c r="AD295">
        <v>-1.15957</v>
      </c>
      <c r="AE295">
        <v>0.76179999999999304</v>
      </c>
      <c r="AF295">
        <v>0.43631156900861601</v>
      </c>
      <c r="AG295">
        <v>-1.15957</v>
      </c>
      <c r="AH295">
        <v>47.865513045155403</v>
      </c>
      <c r="AI295">
        <v>91.387694644777199</v>
      </c>
      <c r="AJ295">
        <v>89.477742585036395</v>
      </c>
      <c r="AK295">
        <v>47.881544559946001</v>
      </c>
      <c r="AL295">
        <v>85.9497626250688</v>
      </c>
      <c r="AM295">
        <v>88.565032320611493</v>
      </c>
      <c r="AN295">
        <v>1.0000000204043</v>
      </c>
    </row>
    <row r="296" spans="1:40" x14ac:dyDescent="0.25">
      <c r="A296" t="str">
        <f>"20190312153856667"</f>
        <v>20190312153856667</v>
      </c>
      <c r="B296" t="str">
        <f>"1552376336656668"</f>
        <v>1552376336656668</v>
      </c>
      <c r="C296" t="s">
        <v>40</v>
      </c>
      <c r="D296">
        <v>4.2848179999999996</v>
      </c>
      <c r="E296">
        <v>0.49466850000000001</v>
      </c>
      <c r="F296" t="s">
        <v>43</v>
      </c>
      <c r="G296">
        <v>-403.11900000000003</v>
      </c>
      <c r="H296">
        <v>-0.05</v>
      </c>
      <c r="I296">
        <v>368.649</v>
      </c>
      <c r="J296">
        <v>-450.21420000000001</v>
      </c>
      <c r="K296">
        <v>1.1095660000000001</v>
      </c>
      <c r="L296">
        <v>367.91</v>
      </c>
      <c r="M296">
        <v>0.99966540000000004</v>
      </c>
      <c r="N296">
        <v>0</v>
      </c>
      <c r="O296">
        <v>2.4945229999999999E-2</v>
      </c>
      <c r="P296">
        <v>0.99794830000000001</v>
      </c>
      <c r="Q296">
        <v>6.4024990000000004E-2</v>
      </c>
      <c r="R296" s="1">
        <v>2.6563070000000001E-5</v>
      </c>
      <c r="S296">
        <v>3.0109249999999999</v>
      </c>
      <c r="T296">
        <v>-7.3905230000000002E-2</v>
      </c>
      <c r="U296">
        <v>4.7332760000000001E-2</v>
      </c>
      <c r="V296">
        <v>2.4883619999999999E-2</v>
      </c>
      <c r="W296">
        <v>7.0835179999999998E-2</v>
      </c>
      <c r="X296">
        <v>0.9971776</v>
      </c>
      <c r="Y296">
        <v>9.2189409999999996E-3</v>
      </c>
      <c r="Z296">
        <v>-7.2522319999999995E-4</v>
      </c>
      <c r="AA296">
        <v>0.99995730000000005</v>
      </c>
      <c r="AB296">
        <v>23</v>
      </c>
      <c r="AC296">
        <v>47.095199999999899</v>
      </c>
      <c r="AD296">
        <v>-1.1595659999999901</v>
      </c>
      <c r="AE296">
        <v>0.73899999999997501</v>
      </c>
      <c r="AF296">
        <v>0.43579394783750097</v>
      </c>
      <c r="AG296">
        <v>-1.1595659999999901</v>
      </c>
      <c r="AH296">
        <v>47.070450644559102</v>
      </c>
      <c r="AI296">
        <v>91.411117942939299</v>
      </c>
      <c r="AJ296">
        <v>89.469551699243496</v>
      </c>
      <c r="AK296">
        <v>47.086747961132303</v>
      </c>
      <c r="AL296">
        <v>85.938041373113904</v>
      </c>
      <c r="AM296">
        <v>88.570534897645103</v>
      </c>
      <c r="AN296">
        <v>0.99999999160584796</v>
      </c>
    </row>
    <row r="297" spans="1:40" x14ac:dyDescent="0.25">
      <c r="A297" t="str">
        <f>"20190312153856687"</f>
        <v>20190312153856687</v>
      </c>
      <c r="B297" t="str">
        <f>"1552376336676187"</f>
        <v>1552376336676187</v>
      </c>
      <c r="C297" t="s">
        <v>40</v>
      </c>
      <c r="D297">
        <v>4.2071610000000002</v>
      </c>
      <c r="E297">
        <v>0.49462529999999999</v>
      </c>
      <c r="F297" t="s">
        <v>43</v>
      </c>
      <c r="G297">
        <v>-403.8888</v>
      </c>
      <c r="H297">
        <v>-0.05</v>
      </c>
      <c r="I297">
        <v>368.6626</v>
      </c>
      <c r="J297">
        <v>-450.0018</v>
      </c>
      <c r="K297">
        <v>1.1095630000000001</v>
      </c>
      <c r="L297">
        <v>367.91520000000003</v>
      </c>
      <c r="M297">
        <v>0.99966840000000001</v>
      </c>
      <c r="N297">
        <v>0</v>
      </c>
      <c r="O297">
        <v>2.4831519999999999E-2</v>
      </c>
      <c r="P297">
        <v>0.99791379999999996</v>
      </c>
      <c r="Q297">
        <v>6.4562629999999996E-2</v>
      </c>
      <c r="R297">
        <v>-1.2912040000000001E-4</v>
      </c>
      <c r="S297">
        <v>3.011047</v>
      </c>
      <c r="T297">
        <v>-7.5369119999999998E-2</v>
      </c>
      <c r="U297">
        <v>4.891968E-2</v>
      </c>
      <c r="V297">
        <v>2.492608E-2</v>
      </c>
      <c r="W297">
        <v>7.1368849999999998E-2</v>
      </c>
      <c r="X297">
        <v>0.99713850000000004</v>
      </c>
      <c r="Y297">
        <v>8.5787820000000001E-3</v>
      </c>
      <c r="Z297">
        <v>-7.2869470000000002E-4</v>
      </c>
      <c r="AA297">
        <v>0.99996289999999999</v>
      </c>
      <c r="AB297">
        <v>23</v>
      </c>
      <c r="AC297">
        <v>46.113</v>
      </c>
      <c r="AD297">
        <v>-1.1595629999999999</v>
      </c>
      <c r="AE297">
        <v>0.74739999999996998</v>
      </c>
      <c r="AF297">
        <v>0.39766158208811903</v>
      </c>
      <c r="AG297">
        <v>-1.1595629999999999</v>
      </c>
      <c r="AH297">
        <v>46.088204740071099</v>
      </c>
      <c r="AI297">
        <v>91.441183958280405</v>
      </c>
      <c r="AJ297">
        <v>89.505648677944507</v>
      </c>
      <c r="AK297">
        <v>46.104504522308297</v>
      </c>
      <c r="AL297">
        <v>85.907386804200002</v>
      </c>
      <c r="AM297">
        <v>88.568040629266093</v>
      </c>
      <c r="AN297">
        <v>1.00000000519836</v>
      </c>
    </row>
    <row r="298" spans="1:40" x14ac:dyDescent="0.25">
      <c r="A298" t="str">
        <f>"20190312153856708"</f>
        <v>20190312153856708</v>
      </c>
      <c r="B298" t="str">
        <f>"1552376336696683"</f>
        <v>1552376336696683</v>
      </c>
      <c r="C298" t="s">
        <v>40</v>
      </c>
      <c r="D298">
        <v>4.1995380000000004</v>
      </c>
      <c r="E298">
        <v>0.49458079999999999</v>
      </c>
      <c r="F298" t="s">
        <v>43</v>
      </c>
      <c r="G298">
        <v>-404.7441</v>
      </c>
      <c r="H298">
        <v>-0.05</v>
      </c>
      <c r="I298">
        <v>368.65309999999999</v>
      </c>
      <c r="J298">
        <v>-449.78399999999999</v>
      </c>
      <c r="K298">
        <v>1.1095539999999999</v>
      </c>
      <c r="L298">
        <v>367.92039999999997</v>
      </c>
      <c r="M298">
        <v>0.99967159999999999</v>
      </c>
      <c r="N298">
        <v>0</v>
      </c>
      <c r="O298">
        <v>2.4703719999999998E-2</v>
      </c>
      <c r="P298">
        <v>0.99789079999999997</v>
      </c>
      <c r="Q298">
        <v>6.4915470000000003E-2</v>
      </c>
      <c r="R298">
        <v>-2.8437139999999998E-4</v>
      </c>
      <c r="S298">
        <v>3.0112299999999999</v>
      </c>
      <c r="T298">
        <v>-7.7151890000000001E-2</v>
      </c>
      <c r="U298">
        <v>4.9102779999999999E-2</v>
      </c>
      <c r="V298">
        <v>2.4954830000000001E-2</v>
      </c>
      <c r="W298">
        <v>7.1719829999999998E-2</v>
      </c>
      <c r="X298">
        <v>0.99711260000000002</v>
      </c>
      <c r="Y298">
        <v>8.3907449999999998E-3</v>
      </c>
      <c r="Z298">
        <v>-7.4019869999999998E-4</v>
      </c>
      <c r="AA298">
        <v>0.99996450000000003</v>
      </c>
      <c r="AB298">
        <v>23</v>
      </c>
      <c r="AC298">
        <v>45.039899999999903</v>
      </c>
      <c r="AD298">
        <v>-1.159554</v>
      </c>
      <c r="AE298">
        <v>0.732700000000022</v>
      </c>
      <c r="AF298">
        <v>0.37995075398960998</v>
      </c>
      <c r="AG298">
        <v>-1.159554</v>
      </c>
      <c r="AH298">
        <v>45.014426779225701</v>
      </c>
      <c r="AI298">
        <v>91.475537975626594</v>
      </c>
      <c r="AJ298">
        <v>89.516398203447096</v>
      </c>
      <c r="AK298">
        <v>45.030962085177002</v>
      </c>
      <c r="AL298">
        <v>85.887225475200495</v>
      </c>
      <c r="AM298">
        <v>88.566352458810101</v>
      </c>
      <c r="AN298">
        <v>1.00000000731715</v>
      </c>
    </row>
    <row r="299" spans="1:40" x14ac:dyDescent="0.25">
      <c r="A299" t="str">
        <f>"20190312153856721"</f>
        <v>20190312153856721</v>
      </c>
      <c r="B299" t="str">
        <f>"1552376336716202"</f>
        <v>1552376336716202</v>
      </c>
      <c r="C299" t="s">
        <v>40</v>
      </c>
      <c r="D299">
        <v>4.2015409999999997</v>
      </c>
      <c r="E299">
        <v>0.49458829999999998</v>
      </c>
      <c r="F299" t="s">
        <v>43</v>
      </c>
      <c r="G299">
        <v>-406.2199</v>
      </c>
      <c r="H299">
        <v>-0.05</v>
      </c>
      <c r="I299">
        <v>368.63510000000002</v>
      </c>
      <c r="J299">
        <v>-449.65069999999997</v>
      </c>
      <c r="K299">
        <v>1.1095459999999999</v>
      </c>
      <c r="L299">
        <v>367.92360000000002</v>
      </c>
      <c r="M299">
        <v>0.9996737</v>
      </c>
      <c r="N299">
        <v>0</v>
      </c>
      <c r="O299">
        <v>2.4619800000000001E-2</v>
      </c>
      <c r="P299">
        <v>0.99790979999999996</v>
      </c>
      <c r="Q299">
        <v>6.4625550000000004E-2</v>
      </c>
      <c r="R299">
        <v>-2.3166859999999999E-4</v>
      </c>
      <c r="S299">
        <v>3.0115660000000002</v>
      </c>
      <c r="T299">
        <v>-8.0159540000000001E-2</v>
      </c>
      <c r="U299">
        <v>4.9407960000000001E-2</v>
      </c>
      <c r="V299">
        <v>2.481978E-2</v>
      </c>
      <c r="W299">
        <v>7.1429709999999993E-2</v>
      </c>
      <c r="X299">
        <v>0.99713680000000005</v>
      </c>
      <c r="Y299">
        <v>8.2065560000000003E-3</v>
      </c>
      <c r="Z299">
        <v>-7.642746E-4</v>
      </c>
      <c r="AA299">
        <v>0.99996600000000002</v>
      </c>
      <c r="AB299">
        <v>24</v>
      </c>
      <c r="AC299">
        <v>43.430799999999898</v>
      </c>
      <c r="AD299">
        <v>-1.159546</v>
      </c>
      <c r="AE299">
        <v>0.71150000000000002</v>
      </c>
      <c r="AF299">
        <v>0.35774313230750499</v>
      </c>
      <c r="AG299">
        <v>-1.159546</v>
      </c>
      <c r="AH299">
        <v>43.404221207751398</v>
      </c>
      <c r="AI299">
        <v>91.530243757792206</v>
      </c>
      <c r="AJ299">
        <v>89.527771563754101</v>
      </c>
      <c r="AK299">
        <v>43.4211808421448</v>
      </c>
      <c r="AL299">
        <v>85.903890886358298</v>
      </c>
      <c r="AM299">
        <v>88.574142420650404</v>
      </c>
      <c r="AN299">
        <v>1.0000000114320799</v>
      </c>
    </row>
    <row r="300" spans="1:40" x14ac:dyDescent="0.25">
      <c r="A300" t="str">
        <f>"20190312153856732"</f>
        <v>20190312153856732</v>
      </c>
      <c r="B300" t="str">
        <f>"1552376336725962"</f>
        <v>1552376336725962</v>
      </c>
      <c r="C300" t="s">
        <v>40</v>
      </c>
      <c r="D300">
        <v>4.2003870000000001</v>
      </c>
      <c r="E300">
        <v>0.49462679999999998</v>
      </c>
      <c r="F300" t="s">
        <v>43</v>
      </c>
      <c r="G300">
        <v>-408.34379999999999</v>
      </c>
      <c r="H300">
        <v>-0.05</v>
      </c>
      <c r="I300">
        <v>368.60550000000001</v>
      </c>
      <c r="J300">
        <v>-449.51560000000001</v>
      </c>
      <c r="K300">
        <v>1.1095379999999999</v>
      </c>
      <c r="L300">
        <v>367.92689999999999</v>
      </c>
      <c r="M300">
        <v>0.9996758</v>
      </c>
      <c r="N300">
        <v>0</v>
      </c>
      <c r="O300">
        <v>2.452783E-2</v>
      </c>
      <c r="P300">
        <v>0.99792110000000001</v>
      </c>
      <c r="Q300">
        <v>6.4445760000000005E-2</v>
      </c>
      <c r="R300">
        <v>-4.9668010000000003E-4</v>
      </c>
      <c r="S300">
        <v>3.011749</v>
      </c>
      <c r="T300">
        <v>-8.4544179999999997E-2</v>
      </c>
      <c r="U300">
        <v>4.9713130000000001E-2</v>
      </c>
      <c r="V300">
        <v>2.4994490000000001E-2</v>
      </c>
      <c r="W300">
        <v>7.1249919999999994E-2</v>
      </c>
      <c r="X300">
        <v>0.99714530000000001</v>
      </c>
      <c r="Y300">
        <v>8.01306699999999E-3</v>
      </c>
      <c r="Z300">
        <v>-8.0071829999999995E-4</v>
      </c>
      <c r="AA300">
        <v>0.99996759999999996</v>
      </c>
      <c r="AB300">
        <v>24</v>
      </c>
      <c r="AC300">
        <v>41.171799999999998</v>
      </c>
      <c r="AD300">
        <v>-1.159538</v>
      </c>
      <c r="AE300">
        <v>0.67860000000001697</v>
      </c>
      <c r="AF300">
        <v>0.33122000545317698</v>
      </c>
      <c r="AG300">
        <v>-1.159538</v>
      </c>
      <c r="AH300">
        <v>41.143432584823302</v>
      </c>
      <c r="AI300">
        <v>91.614277108172402</v>
      </c>
      <c r="AJ300">
        <v>89.538757530462902</v>
      </c>
      <c r="AK300">
        <v>41.161101539285298</v>
      </c>
      <c r="AL300">
        <v>85.914218412514501</v>
      </c>
      <c r="AM300">
        <v>88.5641220262644</v>
      </c>
      <c r="AN300">
        <v>1.0000000124712201</v>
      </c>
    </row>
    <row r="301" spans="1:40" x14ac:dyDescent="0.25">
      <c r="A301" t="str">
        <f>"20190312153856744"</f>
        <v>20190312153856744</v>
      </c>
      <c r="B301" t="str">
        <f>"1552376336736698"</f>
        <v>1552376336736698</v>
      </c>
      <c r="C301" t="s">
        <v>40</v>
      </c>
      <c r="D301">
        <v>4.2010529999999999</v>
      </c>
      <c r="E301">
        <v>0.49459710000000001</v>
      </c>
      <c r="F301" t="s">
        <v>43</v>
      </c>
      <c r="G301">
        <v>-408.66520000000003</v>
      </c>
      <c r="H301">
        <v>-0.05</v>
      </c>
      <c r="I301">
        <v>368.58789999999999</v>
      </c>
      <c r="J301">
        <v>-449.39339999999999</v>
      </c>
      <c r="K301">
        <v>1.1095299999999999</v>
      </c>
      <c r="L301">
        <v>367.9298</v>
      </c>
      <c r="M301">
        <v>0.99967810000000001</v>
      </c>
      <c r="N301">
        <v>0</v>
      </c>
      <c r="O301">
        <v>2.4437520000000001E-2</v>
      </c>
      <c r="P301">
        <v>0.99793390000000004</v>
      </c>
      <c r="Q301">
        <v>6.4249699999999896E-2</v>
      </c>
      <c r="R301">
        <v>-5.09378E-4</v>
      </c>
      <c r="S301">
        <v>3.0117799999999999</v>
      </c>
      <c r="T301">
        <v>-8.5489270000000006E-2</v>
      </c>
      <c r="U301">
        <v>4.873657E-2</v>
      </c>
      <c r="V301">
        <v>2.49185E-2</v>
      </c>
      <c r="W301">
        <v>7.1054439999999996E-2</v>
      </c>
      <c r="X301">
        <v>0.99716110000000002</v>
      </c>
      <c r="Y301">
        <v>8.2466999999999992E-3</v>
      </c>
      <c r="Z301">
        <v>-8.1041339999999998E-4</v>
      </c>
      <c r="AA301">
        <v>0.99996569999999996</v>
      </c>
      <c r="AB301">
        <v>24</v>
      </c>
      <c r="AC301">
        <v>40.728199999999902</v>
      </c>
      <c r="AD301">
        <v>-1.1595299999999999</v>
      </c>
      <c r="AE301">
        <v>0.65809999999999003</v>
      </c>
      <c r="AF301">
        <v>0.33714269439904099</v>
      </c>
      <c r="AG301">
        <v>-1.1595299999999999</v>
      </c>
      <c r="AH301">
        <v>40.699139437594702</v>
      </c>
      <c r="AI301">
        <v>91.631875564504995</v>
      </c>
      <c r="AJ301">
        <v>89.525385255792301</v>
      </c>
      <c r="AK301">
        <v>40.717049573588497</v>
      </c>
      <c r="AL301">
        <v>85.925446845573504</v>
      </c>
      <c r="AM301">
        <v>88.568508336734695</v>
      </c>
      <c r="AN301">
        <v>0.99999996221958598</v>
      </c>
    </row>
    <row r="302" spans="1:40" x14ac:dyDescent="0.25">
      <c r="A302" t="str">
        <f>"20190312153856764"</f>
        <v>20190312153856764</v>
      </c>
      <c r="B302" t="str">
        <f>"1552376336756218"</f>
        <v>1552376336756218</v>
      </c>
      <c r="C302" t="s">
        <v>40</v>
      </c>
      <c r="D302">
        <v>4.1556319999999998</v>
      </c>
      <c r="E302">
        <v>0.49452469999999998</v>
      </c>
      <c r="F302" t="s">
        <v>43</v>
      </c>
      <c r="G302">
        <v>-409.32530000000003</v>
      </c>
      <c r="H302">
        <v>-0.05</v>
      </c>
      <c r="I302">
        <v>368.57780000000002</v>
      </c>
      <c r="J302">
        <v>-449.18439999999998</v>
      </c>
      <c r="K302">
        <v>1.1095120000000001</v>
      </c>
      <c r="L302">
        <v>367.93470000000002</v>
      </c>
      <c r="M302">
        <v>0.99968219999999997</v>
      </c>
      <c r="N302">
        <v>0</v>
      </c>
      <c r="O302">
        <v>2.426882E-2</v>
      </c>
      <c r="P302">
        <v>0.99794649999999996</v>
      </c>
      <c r="Q302">
        <v>6.4053460000000007E-2</v>
      </c>
      <c r="R302">
        <v>-4.349884E-4</v>
      </c>
      <c r="S302">
        <v>3.0118100000000001</v>
      </c>
      <c r="T302">
        <v>-8.7158559999999996E-2</v>
      </c>
      <c r="U302">
        <v>4.8706050000000001E-2</v>
      </c>
      <c r="V302">
        <v>2.4678660000000002E-2</v>
      </c>
      <c r="W302">
        <v>7.0860399999999907E-2</v>
      </c>
      <c r="X302">
        <v>0.99718090000000004</v>
      </c>
      <c r="Y302">
        <v>8.0878649999999996E-3</v>
      </c>
      <c r="Z302">
        <v>-8.190459E-4</v>
      </c>
      <c r="AA302">
        <v>0.99996700000000005</v>
      </c>
      <c r="AB302">
        <v>24</v>
      </c>
      <c r="AC302">
        <v>39.859099999999899</v>
      </c>
      <c r="AD302">
        <v>-1.1595120000000001</v>
      </c>
      <c r="AE302">
        <v>0.643100000000004</v>
      </c>
      <c r="AF302">
        <v>0.32417099136447702</v>
      </c>
      <c r="AG302">
        <v>-1.1595120000000001</v>
      </c>
      <c r="AH302">
        <v>39.829270843715797</v>
      </c>
      <c r="AI302">
        <v>91.6674718205429</v>
      </c>
      <c r="AJ302">
        <v>89.533679147498702</v>
      </c>
      <c r="AK302">
        <v>39.8474637944732</v>
      </c>
      <c r="AL302">
        <v>85.936592726514704</v>
      </c>
      <c r="AM302">
        <v>88.582308899938795</v>
      </c>
      <c r="AN302">
        <v>0.999999989936182</v>
      </c>
    </row>
    <row r="303" spans="1:40" x14ac:dyDescent="0.25">
      <c r="A303" t="str">
        <f>"20190312153856776"</f>
        <v>20190312153856776</v>
      </c>
      <c r="B303" t="str">
        <f>"1552376336765978"</f>
        <v>1552376336765978</v>
      </c>
      <c r="C303" t="s">
        <v>40</v>
      </c>
      <c r="D303">
        <v>4.1541670000000002</v>
      </c>
      <c r="E303">
        <v>0.49445070000000002</v>
      </c>
      <c r="F303" t="s">
        <v>43</v>
      </c>
      <c r="G303">
        <v>-410.18099999999998</v>
      </c>
      <c r="H303">
        <v>-0.05</v>
      </c>
      <c r="I303">
        <v>368.5804</v>
      </c>
      <c r="J303">
        <v>-449.05279999999999</v>
      </c>
      <c r="K303">
        <v>1.1094999999999999</v>
      </c>
      <c r="L303">
        <v>367.93779999999998</v>
      </c>
      <c r="M303">
        <v>0.99968500000000005</v>
      </c>
      <c r="N303">
        <v>0</v>
      </c>
      <c r="O303">
        <v>2.4153500000000001E-2</v>
      </c>
      <c r="P303">
        <v>0.99793270000000001</v>
      </c>
      <c r="Q303">
        <v>6.4265509999999998E-2</v>
      </c>
      <c r="R303">
        <v>-6.6640410000000003E-4</v>
      </c>
      <c r="S303">
        <v>3.0119630000000002</v>
      </c>
      <c r="T303">
        <v>-8.9541199999999904E-2</v>
      </c>
      <c r="U303">
        <v>4.9865720000000002E-2</v>
      </c>
      <c r="V303">
        <v>2.4796639999999998E-2</v>
      </c>
      <c r="W303">
        <v>7.1073940000000002E-2</v>
      </c>
      <c r="X303">
        <v>0.99716280000000002</v>
      </c>
      <c r="Y303">
        <v>7.5879490000000001E-3</v>
      </c>
      <c r="Z303">
        <v>-8.3052539999999995E-4</v>
      </c>
      <c r="AA303">
        <v>0.9999709</v>
      </c>
      <c r="AB303">
        <v>24</v>
      </c>
      <c r="AC303">
        <v>38.8718</v>
      </c>
      <c r="AD303">
        <v>-1.1595</v>
      </c>
      <c r="AE303">
        <v>0.64260000000001505</v>
      </c>
      <c r="AF303">
        <v>0.296235828985637</v>
      </c>
      <c r="AG303">
        <v>-1.1595</v>
      </c>
      <c r="AH303">
        <v>38.841430422741901</v>
      </c>
      <c r="AI303">
        <v>91.709844396112302</v>
      </c>
      <c r="AJ303">
        <v>89.563025010372499</v>
      </c>
      <c r="AK303">
        <v>38.859862495910498</v>
      </c>
      <c r="AL303">
        <v>85.924326957341904</v>
      </c>
      <c r="AM303">
        <v>88.575508357299796</v>
      </c>
      <c r="AN303">
        <v>1.00000001400312</v>
      </c>
    </row>
    <row r="304" spans="1:40" x14ac:dyDescent="0.25">
      <c r="A304" t="str">
        <f>"20190312153856788"</f>
        <v>20190312153856788</v>
      </c>
      <c r="B304" t="str">
        <f>"1552376336786475"</f>
        <v>1552376336786475</v>
      </c>
      <c r="C304" t="s">
        <v>40</v>
      </c>
      <c r="D304">
        <v>4.1935640000000003</v>
      </c>
      <c r="E304">
        <v>0.49425269999999999</v>
      </c>
      <c r="F304" t="s">
        <v>43</v>
      </c>
      <c r="G304">
        <v>-410.10169999999999</v>
      </c>
      <c r="H304">
        <v>-0.05</v>
      </c>
      <c r="I304">
        <v>368.5838</v>
      </c>
      <c r="J304">
        <v>-448.92840000000001</v>
      </c>
      <c r="K304">
        <v>1.1094869999999999</v>
      </c>
      <c r="L304">
        <v>367.94060000000002</v>
      </c>
      <c r="M304">
        <v>0.99968789999999996</v>
      </c>
      <c r="N304">
        <v>0</v>
      </c>
      <c r="O304">
        <v>2.4031500000000001E-2</v>
      </c>
      <c r="P304">
        <v>0.99793929999999997</v>
      </c>
      <c r="Q304">
        <v>6.4165099999999906E-2</v>
      </c>
      <c r="R304">
        <v>-4.570722E-4</v>
      </c>
      <c r="S304">
        <v>3.012054</v>
      </c>
      <c r="T304">
        <v>-8.9663149999999997E-2</v>
      </c>
      <c r="U304">
        <v>4.995728E-2</v>
      </c>
      <c r="V304">
        <v>2.4467550000000001E-2</v>
      </c>
      <c r="W304">
        <v>7.0976440000000002E-2</v>
      </c>
      <c r="X304">
        <v>0.9971778</v>
      </c>
      <c r="Y304">
        <v>7.4361169999999999E-3</v>
      </c>
      <c r="Z304">
        <v>-8.2574160000000005E-4</v>
      </c>
      <c r="AA304">
        <v>0.99997199999999997</v>
      </c>
      <c r="AB304">
        <v>24</v>
      </c>
      <c r="AC304">
        <v>38.826700000000002</v>
      </c>
      <c r="AD304">
        <v>-1.1594869999999999</v>
      </c>
      <c r="AE304">
        <v>0.64319999999997801</v>
      </c>
      <c r="AF304">
        <v>0.28981295473135799</v>
      </c>
      <c r="AG304">
        <v>-1.1594869999999999</v>
      </c>
      <c r="AH304">
        <v>38.796354454777401</v>
      </c>
      <c r="AI304">
        <v>91.711812658405506</v>
      </c>
      <c r="AJ304">
        <v>89.572002304597603</v>
      </c>
      <c r="AK304">
        <v>38.814759056737998</v>
      </c>
      <c r="AL304">
        <v>85.929927139690804</v>
      </c>
      <c r="AM304">
        <v>88.594427077992506</v>
      </c>
      <c r="AN304">
        <v>0.99999994042545604</v>
      </c>
    </row>
    <row r="305" spans="1:40" x14ac:dyDescent="0.25">
      <c r="A305" t="str">
        <f>"20190312153856801"</f>
        <v>20190312153856801</v>
      </c>
      <c r="B305" t="str">
        <f>"1552376336796234"</f>
        <v>1552376336796234</v>
      </c>
      <c r="C305" t="s">
        <v>40</v>
      </c>
      <c r="D305">
        <v>4.2184530000000002</v>
      </c>
      <c r="E305">
        <v>0.49425269999999999</v>
      </c>
      <c r="F305" t="s">
        <v>43</v>
      </c>
      <c r="G305">
        <v>-409.71</v>
      </c>
      <c r="H305">
        <v>-0.05</v>
      </c>
      <c r="I305">
        <v>368.61739999999998</v>
      </c>
      <c r="J305">
        <v>-448.8005</v>
      </c>
      <c r="K305">
        <v>1.1094740000000001</v>
      </c>
      <c r="L305">
        <v>367.9436</v>
      </c>
      <c r="M305">
        <v>0.99969090000000005</v>
      </c>
      <c r="N305">
        <v>0</v>
      </c>
      <c r="O305">
        <v>2.3901269999999999E-2</v>
      </c>
      <c r="P305">
        <v>0.99795509999999998</v>
      </c>
      <c r="Q305">
        <v>6.3917929999999998E-2</v>
      </c>
      <c r="R305">
        <v>-6.3912449999999998E-4</v>
      </c>
      <c r="S305">
        <v>3.0118710000000002</v>
      </c>
      <c r="T305">
        <v>-8.9045520000000003E-2</v>
      </c>
      <c r="U305">
        <v>5.1971440000000001E-2</v>
      </c>
      <c r="V305">
        <v>2.45217E-2</v>
      </c>
      <c r="W305">
        <v>7.0731959999999997E-2</v>
      </c>
      <c r="X305">
        <v>0.99719389999999997</v>
      </c>
      <c r="Y305">
        <v>6.6369059999999997E-3</v>
      </c>
      <c r="Z305">
        <v>-8.0444119999999999E-4</v>
      </c>
      <c r="AA305">
        <v>0.99997760000000002</v>
      </c>
      <c r="AB305">
        <v>24</v>
      </c>
      <c r="AC305">
        <v>39.090499999999999</v>
      </c>
      <c r="AD305">
        <v>-1.1594739999999999</v>
      </c>
      <c r="AE305">
        <v>0.67379999999997098</v>
      </c>
      <c r="AF305">
        <v>0.260497856367432</v>
      </c>
      <c r="AG305">
        <v>-1.1594739999999999</v>
      </c>
      <c r="AH305">
        <v>39.061081919922302</v>
      </c>
      <c r="AI305">
        <v>91.700208647547299</v>
      </c>
      <c r="AJ305">
        <v>89.617900842911794</v>
      </c>
      <c r="AK305">
        <v>39.079155055409402</v>
      </c>
      <c r="AL305">
        <v>85.943970345421306</v>
      </c>
      <c r="AM305">
        <v>88.591340341347902</v>
      </c>
      <c r="AN305">
        <v>0.99999999906676995</v>
      </c>
    </row>
    <row r="306" spans="1:40" x14ac:dyDescent="0.25">
      <c r="A306" t="str">
        <f>"20190312153856819"</f>
        <v>20190312153856819</v>
      </c>
      <c r="B306" t="str">
        <f>"1552376336816730"</f>
        <v>1552376336816730</v>
      </c>
      <c r="C306" t="s">
        <v>40</v>
      </c>
      <c r="D306">
        <v>4.1685100000000004</v>
      </c>
      <c r="E306">
        <v>0.49521949999999998</v>
      </c>
      <c r="F306" t="s">
        <v>43</v>
      </c>
      <c r="G306">
        <v>-409.90969999999999</v>
      </c>
      <c r="H306">
        <v>-0.05</v>
      </c>
      <c r="I306">
        <v>368.60719999999998</v>
      </c>
      <c r="J306">
        <v>-448.59750000000003</v>
      </c>
      <c r="K306">
        <v>1.1094489999999999</v>
      </c>
      <c r="L306">
        <v>367.94819999999999</v>
      </c>
      <c r="M306">
        <v>0.99969629999999998</v>
      </c>
      <c r="N306">
        <v>0</v>
      </c>
      <c r="O306">
        <v>2.3671890000000001E-2</v>
      </c>
      <c r="P306">
        <v>0.99800319999999998</v>
      </c>
      <c r="Q306">
        <v>6.3153249999999994E-2</v>
      </c>
      <c r="R306">
        <v>-1.0548549999999999E-3</v>
      </c>
      <c r="S306">
        <v>3.0118710000000002</v>
      </c>
      <c r="T306">
        <v>-8.9794639999999995E-2</v>
      </c>
      <c r="U306">
        <v>5.1391600000000003E-2</v>
      </c>
      <c r="V306">
        <v>2.4712910000000001E-2</v>
      </c>
      <c r="W306">
        <v>6.9972809999999996E-2</v>
      </c>
      <c r="X306">
        <v>0.99724270000000004</v>
      </c>
      <c r="Y306">
        <v>6.5998050000000003E-3</v>
      </c>
      <c r="Z306">
        <v>-8.0381989999999998E-4</v>
      </c>
      <c r="AA306">
        <v>0.99997789999999998</v>
      </c>
      <c r="AB306">
        <v>24</v>
      </c>
      <c r="AC306">
        <v>38.687800000000003</v>
      </c>
      <c r="AD306">
        <v>-1.159449</v>
      </c>
      <c r="AE306">
        <v>0.65899999999999104</v>
      </c>
      <c r="AF306">
        <v>0.25678894629920102</v>
      </c>
      <c r="AG306">
        <v>-1.159449</v>
      </c>
      <c r="AH306">
        <v>38.6578476145542</v>
      </c>
      <c r="AI306">
        <v>91.717895983109997</v>
      </c>
      <c r="AJ306">
        <v>89.619412166913705</v>
      </c>
      <c r="AK306">
        <v>38.676083627180198</v>
      </c>
      <c r="AL306">
        <v>85.987574332378301</v>
      </c>
      <c r="AM306">
        <v>88.580430119396794</v>
      </c>
      <c r="AN306">
        <v>0.99999996238162603</v>
      </c>
    </row>
    <row r="307" spans="1:40" x14ac:dyDescent="0.25">
      <c r="A307" t="str">
        <f>"20190312153856833"</f>
        <v>20190312153856833</v>
      </c>
      <c r="B307" t="str">
        <f>"1552376336826491"</f>
        <v>1552376336826491</v>
      </c>
      <c r="C307" t="s">
        <v>40</v>
      </c>
      <c r="D307">
        <v>4.1388989999999897</v>
      </c>
      <c r="E307">
        <v>0.5185362</v>
      </c>
      <c r="F307" t="s">
        <v>43</v>
      </c>
      <c r="G307">
        <v>-408.04809999999998</v>
      </c>
      <c r="H307">
        <v>-0.05</v>
      </c>
      <c r="I307">
        <v>368.52179999999998</v>
      </c>
      <c r="J307">
        <v>-448.44929999999999</v>
      </c>
      <c r="K307">
        <v>1.1094310000000001</v>
      </c>
      <c r="L307">
        <v>367.95150000000001</v>
      </c>
      <c r="M307">
        <v>0.99970079999999995</v>
      </c>
      <c r="N307">
        <v>0</v>
      </c>
      <c r="O307">
        <v>2.3487979999999999E-2</v>
      </c>
      <c r="P307">
        <v>0.9980483</v>
      </c>
      <c r="Q307">
        <v>6.2434679999999999E-2</v>
      </c>
      <c r="R307">
        <v>-1.372949E-3</v>
      </c>
      <c r="S307">
        <v>3.0115050000000001</v>
      </c>
      <c r="T307">
        <v>-8.6109399999999905E-2</v>
      </c>
      <c r="U307">
        <v>4.2602540000000001E-2</v>
      </c>
      <c r="V307">
        <v>2.4850779999999999E-2</v>
      </c>
      <c r="W307">
        <v>6.9258819999999999E-2</v>
      </c>
      <c r="X307">
        <v>0.99728919999999999</v>
      </c>
      <c r="Y307">
        <v>9.3314920000000003E-3</v>
      </c>
      <c r="Z307">
        <v>-8.0474970000000002E-4</v>
      </c>
      <c r="AA307">
        <v>0.99995610000000001</v>
      </c>
      <c r="AB307">
        <v>24</v>
      </c>
      <c r="AC307">
        <v>40.401200000000003</v>
      </c>
      <c r="AD307">
        <v>-1.1594309999999901</v>
      </c>
      <c r="AE307">
        <v>0.57029999999997405</v>
      </c>
      <c r="AF307">
        <v>0.37851037454203401</v>
      </c>
      <c r="AG307">
        <v>-1.1594309999999901</v>
      </c>
      <c r="AH307">
        <v>40.370207950514001</v>
      </c>
      <c r="AI307">
        <v>91.645008367623603</v>
      </c>
      <c r="AJ307">
        <v>89.462811498832096</v>
      </c>
      <c r="AK307">
        <v>40.388627611187097</v>
      </c>
      <c r="AL307">
        <v>86.028582775470497</v>
      </c>
      <c r="AM307">
        <v>88.572580328782706</v>
      </c>
      <c r="AN307">
        <v>1.0000000469255099</v>
      </c>
    </row>
    <row r="308" spans="1:40" x14ac:dyDescent="0.25">
      <c r="A308" t="str">
        <f>"20190312153856846"</f>
        <v>20190312153856846</v>
      </c>
      <c r="B308" t="str">
        <f>"1552376336836252"</f>
        <v>1552376336836252</v>
      </c>
      <c r="C308" t="s">
        <v>40</v>
      </c>
      <c r="D308">
        <v>4.116765</v>
      </c>
      <c r="E308">
        <v>0.5184957</v>
      </c>
      <c r="F308" t="s">
        <v>47</v>
      </c>
      <c r="G308">
        <v>-169.2955</v>
      </c>
      <c r="H308">
        <v>1.485735</v>
      </c>
      <c r="I308">
        <v>354.31139999999999</v>
      </c>
      <c r="J308">
        <v>-448.29809999999998</v>
      </c>
      <c r="K308">
        <v>1.1094059999999999</v>
      </c>
      <c r="L308">
        <v>367.95490000000001</v>
      </c>
      <c r="M308">
        <v>0.99970539999999997</v>
      </c>
      <c r="N308">
        <v>0</v>
      </c>
      <c r="O308">
        <v>2.328856E-2</v>
      </c>
      <c r="P308">
        <v>0.99811110000000003</v>
      </c>
      <c r="Q308">
        <v>6.1423730000000003E-2</v>
      </c>
      <c r="R308">
        <v>-1.3406970000000001E-3</v>
      </c>
      <c r="S308">
        <v>3.0054020000000001</v>
      </c>
      <c r="T308">
        <v>4.0522809999999996E-3</v>
      </c>
      <c r="U308">
        <v>-0.1468506</v>
      </c>
      <c r="V308">
        <v>2.462286E-2</v>
      </c>
      <c r="W308">
        <v>6.8253640000000004E-2</v>
      </c>
      <c r="X308">
        <v>0.99736409999999998</v>
      </c>
      <c r="Y308">
        <v>7.2052019999999994E-2</v>
      </c>
      <c r="Z308" s="1">
        <v>7.9931140000000001E-5</v>
      </c>
      <c r="AA308">
        <v>0.99740090000000003</v>
      </c>
      <c r="AB308">
        <v>24</v>
      </c>
      <c r="AC308">
        <v>279.00259999999997</v>
      </c>
      <c r="AD308">
        <v>0.37632900000000002</v>
      </c>
      <c r="AE308">
        <v>-13.6435</v>
      </c>
      <c r="AF308">
        <v>20.137483647509001</v>
      </c>
      <c r="AG308">
        <v>0.37632900000000002</v>
      </c>
      <c r="AH308">
        <v>278.60867611238302</v>
      </c>
      <c r="AI308">
        <v>89.922809483241906</v>
      </c>
      <c r="AJ308">
        <v>85.865922437689505</v>
      </c>
      <c r="AK308">
        <v>279.33573755655499</v>
      </c>
      <c r="AL308">
        <v>86.086311765077397</v>
      </c>
      <c r="AM308">
        <v>88.585772798126399</v>
      </c>
      <c r="AN308">
        <v>0.99999999628831904</v>
      </c>
    </row>
    <row r="309" spans="1:40" x14ac:dyDescent="0.25">
      <c r="A309" t="str">
        <f>"20190312153856866"</f>
        <v>20190312153856866</v>
      </c>
      <c r="B309" t="str">
        <f>"1552376336856746"</f>
        <v>1552376336856746</v>
      </c>
      <c r="C309" t="s">
        <v>40</v>
      </c>
      <c r="D309">
        <v>4.1167889999999998</v>
      </c>
      <c r="E309">
        <v>0.51830469999999995</v>
      </c>
      <c r="F309" t="s">
        <v>47</v>
      </c>
      <c r="G309">
        <v>-169.2955</v>
      </c>
      <c r="H309">
        <v>1.3038609999999999</v>
      </c>
      <c r="I309">
        <v>354.3759</v>
      </c>
      <c r="J309">
        <v>-448.09339999999997</v>
      </c>
      <c r="K309">
        <v>1.109375</v>
      </c>
      <c r="L309">
        <v>367.95929999999998</v>
      </c>
      <c r="M309">
        <v>0.99971189999999999</v>
      </c>
      <c r="N309">
        <v>0</v>
      </c>
      <c r="O309">
        <v>2.3000590000000001E-2</v>
      </c>
      <c r="P309">
        <v>0.99823139999999999</v>
      </c>
      <c r="Q309">
        <v>5.9429540000000003E-2</v>
      </c>
      <c r="R309">
        <v>-1.5870210000000001E-3</v>
      </c>
      <c r="S309">
        <v>3.0053709999999998</v>
      </c>
      <c r="T309">
        <v>2.0955800000000001E-3</v>
      </c>
      <c r="U309">
        <v>-0.14627079999999901</v>
      </c>
      <c r="V309">
        <v>2.4586469999999999E-2</v>
      </c>
      <c r="W309">
        <v>6.6268320000000006E-2</v>
      </c>
      <c r="X309">
        <v>0.99749889999999997</v>
      </c>
      <c r="Y309">
        <v>7.1573289999999998E-2</v>
      </c>
      <c r="Z309" s="1">
        <v>4.0968369999999997E-5</v>
      </c>
      <c r="AA309">
        <v>0.99743530000000002</v>
      </c>
      <c r="AB309">
        <v>24</v>
      </c>
      <c r="AC309">
        <v>278.79790000000003</v>
      </c>
      <c r="AD309">
        <v>0.19448599999999999</v>
      </c>
      <c r="AE309">
        <v>-13.5833999999999</v>
      </c>
      <c r="AF309">
        <v>19.992463834266399</v>
      </c>
      <c r="AG309">
        <v>0.19448599999999999</v>
      </c>
      <c r="AH309">
        <v>278.41157220965499</v>
      </c>
      <c r="AI309">
        <v>89.960078507165406</v>
      </c>
      <c r="AJ309">
        <v>85.892696016788094</v>
      </c>
      <c r="AK309">
        <v>279.12853665510602</v>
      </c>
      <c r="AL309">
        <v>86.200320514370503</v>
      </c>
      <c r="AM309">
        <v>88.588052786644099</v>
      </c>
      <c r="AN309">
        <v>1.0000000201219399</v>
      </c>
    </row>
    <row r="310" spans="1:40" x14ac:dyDescent="0.25">
      <c r="A310" t="str">
        <f>"20190312153856888"</f>
        <v>20190312153856888</v>
      </c>
      <c r="B310" t="str">
        <f>"1552376336876266"</f>
        <v>1552376336876266</v>
      </c>
      <c r="C310" t="s">
        <v>40</v>
      </c>
      <c r="D310">
        <v>4.1300819999999998</v>
      </c>
      <c r="E310">
        <v>0.51801839999999999</v>
      </c>
      <c r="F310" t="s">
        <v>47</v>
      </c>
      <c r="G310">
        <v>-169.2955</v>
      </c>
      <c r="H310">
        <v>1.3078860000000001</v>
      </c>
      <c r="I310">
        <v>354.44199999999898</v>
      </c>
      <c r="J310">
        <v>-447.84429999999998</v>
      </c>
      <c r="K310">
        <v>1.1093440000000001</v>
      </c>
      <c r="L310">
        <v>367.96469999999999</v>
      </c>
      <c r="M310">
        <v>0.99972050000000001</v>
      </c>
      <c r="N310">
        <v>0</v>
      </c>
      <c r="O310">
        <v>2.2622590000000001E-2</v>
      </c>
      <c r="P310">
        <v>0.9983339</v>
      </c>
      <c r="Q310">
        <v>5.7660610000000001E-2</v>
      </c>
      <c r="R310">
        <v>-2.2274209999999998E-3</v>
      </c>
      <c r="S310">
        <v>3.0049130000000002</v>
      </c>
      <c r="T310">
        <v>2.1405220000000002E-3</v>
      </c>
      <c r="U310">
        <v>-0.14569089999999901</v>
      </c>
      <c r="V310">
        <v>2.485389E-2</v>
      </c>
      <c r="W310">
        <v>6.4510639999999994E-2</v>
      </c>
      <c r="X310">
        <v>0.99760749999999998</v>
      </c>
      <c r="Y310">
        <v>7.101151E-2</v>
      </c>
      <c r="Z310" s="1">
        <v>4.1384429999999998E-5</v>
      </c>
      <c r="AA310">
        <v>0.99747549999999996</v>
      </c>
      <c r="AB310">
        <v>24</v>
      </c>
      <c r="AC310">
        <v>278.54880000000003</v>
      </c>
      <c r="AD310">
        <v>0.198542</v>
      </c>
      <c r="AE310">
        <v>-13.5227</v>
      </c>
      <c r="AF310">
        <v>19.820872843226201</v>
      </c>
      <c r="AG310">
        <v>0.198542</v>
      </c>
      <c r="AH310">
        <v>278.17144274470502</v>
      </c>
      <c r="AI310">
        <v>89.959209154488903</v>
      </c>
      <c r="AJ310">
        <v>85.924325583188704</v>
      </c>
      <c r="AK310">
        <v>278.87677920161099</v>
      </c>
      <c r="AL310">
        <v>86.301244207625103</v>
      </c>
      <c r="AM310">
        <v>88.572857071327604</v>
      </c>
      <c r="AN310">
        <v>1.00000003128879</v>
      </c>
    </row>
    <row r="311" spans="1:40" x14ac:dyDescent="0.25">
      <c r="A311" t="str">
        <f>"20190312153856909"</f>
        <v>20190312153856909</v>
      </c>
      <c r="B311" t="str">
        <f>"1552376336906523"</f>
        <v>1552376336906523</v>
      </c>
      <c r="C311" t="s">
        <v>40</v>
      </c>
      <c r="D311">
        <v>4.1509510000000001</v>
      </c>
      <c r="E311">
        <v>0.51787810000000001</v>
      </c>
      <c r="F311" t="s">
        <v>47</v>
      </c>
      <c r="G311">
        <v>-169.2955</v>
      </c>
      <c r="H311">
        <v>1.1651670000000001</v>
      </c>
      <c r="I311">
        <v>354.45240000000001</v>
      </c>
      <c r="J311">
        <v>-447.61939999999998</v>
      </c>
      <c r="K311">
        <v>1.109326</v>
      </c>
      <c r="L311">
        <v>367.96929999999998</v>
      </c>
      <c r="M311">
        <v>0.99972859999999997</v>
      </c>
      <c r="N311">
        <v>0</v>
      </c>
      <c r="O311">
        <v>2.225833E-2</v>
      </c>
      <c r="P311">
        <v>0.99838950000000004</v>
      </c>
      <c r="Q311">
        <v>5.6648379999999998E-2</v>
      </c>
      <c r="R311">
        <v>-3.1066470000000001E-3</v>
      </c>
      <c r="S311">
        <v>3.0046080000000002</v>
      </c>
      <c r="T311">
        <v>6.0307980000000002E-4</v>
      </c>
      <c r="U311">
        <v>-0.14575199999999999</v>
      </c>
      <c r="V311">
        <v>2.5372329999999998E-2</v>
      </c>
      <c r="W311">
        <v>6.350944E-2</v>
      </c>
      <c r="X311">
        <v>0.99765870000000001</v>
      </c>
      <c r="Y311">
        <v>7.0673199999999894E-2</v>
      </c>
      <c r="Z311" s="1">
        <v>1.1554E-5</v>
      </c>
      <c r="AA311">
        <v>0.99749949999999998</v>
      </c>
      <c r="AB311">
        <v>24</v>
      </c>
      <c r="AC311">
        <v>278.32389999999998</v>
      </c>
      <c r="AD311">
        <v>5.5841000000000002E-2</v>
      </c>
      <c r="AE311">
        <v>-13.5168999999999</v>
      </c>
      <c r="AF311">
        <v>19.7087219836326</v>
      </c>
      <c r="AG311">
        <v>5.5841000000000002E-2</v>
      </c>
      <c r="AH311">
        <v>277.95406084127899</v>
      </c>
      <c r="AI311">
        <v>89.988518099722896</v>
      </c>
      <c r="AJ311">
        <v>85.944150638247393</v>
      </c>
      <c r="AK311">
        <v>278.651927642001</v>
      </c>
      <c r="AL311">
        <v>86.358726666816395</v>
      </c>
      <c r="AM311">
        <v>88.543175002687704</v>
      </c>
      <c r="AN311">
        <v>1.00000004289221</v>
      </c>
    </row>
    <row r="312" spans="1:40" x14ac:dyDescent="0.25">
      <c r="A312" t="str">
        <f>"20190312153856924"</f>
        <v>20190312153856924</v>
      </c>
      <c r="B312" t="str">
        <f>"1552376336916282"</f>
        <v>1552376336916282</v>
      </c>
      <c r="C312" t="s">
        <v>40</v>
      </c>
      <c r="D312">
        <v>4.1349809999999998</v>
      </c>
      <c r="E312">
        <v>0.51775959999999999</v>
      </c>
      <c r="F312" t="s">
        <v>47</v>
      </c>
      <c r="G312">
        <v>-169.2955</v>
      </c>
      <c r="H312">
        <v>0.94316290000000003</v>
      </c>
      <c r="I312">
        <v>354.34320000000002</v>
      </c>
      <c r="J312">
        <v>-447.46559999999999</v>
      </c>
      <c r="K312">
        <v>1.1093170000000001</v>
      </c>
      <c r="L312">
        <v>367.97250000000003</v>
      </c>
      <c r="M312">
        <v>0.99973429999999996</v>
      </c>
      <c r="N312">
        <v>0</v>
      </c>
      <c r="O312">
        <v>2.1998690000000001E-2</v>
      </c>
      <c r="P312">
        <v>0.99839310000000003</v>
      </c>
      <c r="Q312">
        <v>5.6553039999999999E-2</v>
      </c>
      <c r="R312">
        <v>-3.648957E-3</v>
      </c>
      <c r="S312">
        <v>3.0045169999999999</v>
      </c>
      <c r="T312">
        <v>-1.7927889999999999E-3</v>
      </c>
      <c r="U312">
        <v>-0.14709469999999999</v>
      </c>
      <c r="V312">
        <v>2.5656729999999999E-2</v>
      </c>
      <c r="W312">
        <v>6.342188E-2</v>
      </c>
      <c r="X312">
        <v>0.99765689999999996</v>
      </c>
      <c r="Y312">
        <v>7.0860350000000003E-2</v>
      </c>
      <c r="Z312" s="1">
        <v>-3.4248449999999999E-5</v>
      </c>
      <c r="AA312">
        <v>0.99748619999999999</v>
      </c>
      <c r="AB312">
        <v>24</v>
      </c>
      <c r="AC312">
        <v>278.17009999999999</v>
      </c>
      <c r="AD312">
        <v>-0.1661541</v>
      </c>
      <c r="AE312">
        <v>-13.629300000000001</v>
      </c>
      <c r="AF312">
        <v>19.745517310749001</v>
      </c>
      <c r="AG312">
        <v>-0.1661541</v>
      </c>
      <c r="AH312">
        <v>277.80284678939199</v>
      </c>
      <c r="AI312">
        <v>90.034182410434795</v>
      </c>
      <c r="AJ312">
        <v>85.934399505632996</v>
      </c>
      <c r="AK312">
        <v>278.50374278516301</v>
      </c>
      <c r="AL312">
        <v>86.363753267889507</v>
      </c>
      <c r="AM312">
        <v>88.526849861279899</v>
      </c>
      <c r="AN312">
        <v>0.99999994638731704</v>
      </c>
    </row>
    <row r="313" spans="1:40" x14ac:dyDescent="0.25">
      <c r="A313" t="str">
        <f>"20190312153856935"</f>
        <v>20190312153856935</v>
      </c>
      <c r="B313" t="str">
        <f>"1552376336926043"</f>
        <v>1552376336926043</v>
      </c>
      <c r="C313" t="s">
        <v>40</v>
      </c>
      <c r="D313">
        <v>4.1517429999999997</v>
      </c>
      <c r="E313">
        <v>0.51775819999999995</v>
      </c>
      <c r="F313" t="s">
        <v>47</v>
      </c>
      <c r="G313">
        <v>-169.2955</v>
      </c>
      <c r="H313">
        <v>0.88717169999999901</v>
      </c>
      <c r="I313">
        <v>354.2715</v>
      </c>
      <c r="J313">
        <v>-447.32409999999999</v>
      </c>
      <c r="K313">
        <v>1.10931</v>
      </c>
      <c r="L313">
        <v>367.97539999999998</v>
      </c>
      <c r="M313">
        <v>0.9997395</v>
      </c>
      <c r="N313">
        <v>0</v>
      </c>
      <c r="O313">
        <v>2.1754160000000002E-2</v>
      </c>
      <c r="P313">
        <v>0.99841979999999997</v>
      </c>
      <c r="Q313">
        <v>5.6064889999999999E-2</v>
      </c>
      <c r="R313">
        <v>-3.892202E-3</v>
      </c>
      <c r="S313">
        <v>3.0044249999999999</v>
      </c>
      <c r="T313">
        <v>-2.3983720000000002E-3</v>
      </c>
      <c r="U313">
        <v>-0.14797969999999999</v>
      </c>
      <c r="V313">
        <v>2.5656910000000002E-2</v>
      </c>
      <c r="W313">
        <v>6.2941709999999998E-2</v>
      </c>
      <c r="X313">
        <v>0.99768730000000005</v>
      </c>
      <c r="Y313">
        <v>7.091095E-2</v>
      </c>
      <c r="Z313" s="1">
        <v>-4.564334E-5</v>
      </c>
      <c r="AA313">
        <v>0.99748270000000006</v>
      </c>
      <c r="AB313">
        <v>24</v>
      </c>
      <c r="AC313">
        <v>278.02859999999998</v>
      </c>
      <c r="AD313">
        <v>-0.22213830000000001</v>
      </c>
      <c r="AE313">
        <v>-13.7038999999999</v>
      </c>
      <c r="AF313">
        <v>19.749067115711298</v>
      </c>
      <c r="AG313">
        <v>-0.22213830000000001</v>
      </c>
      <c r="AH313">
        <v>277.66450070269099</v>
      </c>
      <c r="AI313">
        <v>90.045722490416196</v>
      </c>
      <c r="AJ313">
        <v>85.931651809434101</v>
      </c>
      <c r="AK313">
        <v>278.36603590926802</v>
      </c>
      <c r="AL313">
        <v>86.391320046587097</v>
      </c>
      <c r="AM313">
        <v>88.526884398761197</v>
      </c>
      <c r="AN313">
        <v>0.99999994223487898</v>
      </c>
    </row>
    <row r="314" spans="1:40" x14ac:dyDescent="0.25">
      <c r="A314" t="str">
        <f>"20190312153856954"</f>
        <v>20190312153856954</v>
      </c>
      <c r="B314" t="str">
        <f>"1552376336946539"</f>
        <v>1552376336946539</v>
      </c>
      <c r="C314" t="s">
        <v>40</v>
      </c>
      <c r="D314">
        <v>4.1616879999999998</v>
      </c>
      <c r="E314">
        <v>0.51791579999999904</v>
      </c>
      <c r="F314" t="s">
        <v>48</v>
      </c>
      <c r="G314">
        <v>-249.82849999999999</v>
      </c>
      <c r="H314">
        <v>0.77958240000000001</v>
      </c>
      <c r="I314">
        <v>358.21789999999999</v>
      </c>
      <c r="J314">
        <v>-447.12880000000001</v>
      </c>
      <c r="K314">
        <v>1.1093040000000001</v>
      </c>
      <c r="L314">
        <v>367.97919999999999</v>
      </c>
      <c r="M314">
        <v>0.99974689999999999</v>
      </c>
      <c r="N314">
        <v>0</v>
      </c>
      <c r="O314">
        <v>2.1407679999999998E-2</v>
      </c>
      <c r="P314">
        <v>0.99841789999999997</v>
      </c>
      <c r="Q314">
        <v>5.6033020000000003E-2</v>
      </c>
      <c r="R314">
        <v>-4.7106479999999996E-3</v>
      </c>
      <c r="S314">
        <v>3.0044559999999998</v>
      </c>
      <c r="T314">
        <v>-5.0147769999999998E-3</v>
      </c>
      <c r="U314">
        <v>-0.1484375</v>
      </c>
      <c r="V314">
        <v>2.6130850000000001E-2</v>
      </c>
      <c r="W314">
        <v>6.2920290000000004E-2</v>
      </c>
      <c r="X314">
        <v>0.99767640000000002</v>
      </c>
      <c r="Y314">
        <v>7.0716280000000006E-2</v>
      </c>
      <c r="Z314" s="1">
        <v>-9.4694300000000006E-5</v>
      </c>
      <c r="AA314">
        <v>0.99749650000000001</v>
      </c>
      <c r="AB314">
        <v>24</v>
      </c>
      <c r="AC314">
        <v>197.30029999999999</v>
      </c>
      <c r="AD314">
        <v>-0.3297216</v>
      </c>
      <c r="AE314">
        <v>-9.7613000000000003</v>
      </c>
      <c r="AF314">
        <v>13.9828666706091</v>
      </c>
      <c r="AG314">
        <v>-0.3297216</v>
      </c>
      <c r="AH314">
        <v>197.04556164931299</v>
      </c>
      <c r="AI314">
        <v>90.095633979555402</v>
      </c>
      <c r="AJ314">
        <v>85.940946394765405</v>
      </c>
      <c r="AK314">
        <v>197.54134413422199</v>
      </c>
      <c r="AL314">
        <v>86.392549938251094</v>
      </c>
      <c r="AM314">
        <v>88.499668628752005</v>
      </c>
      <c r="AN314">
        <v>0.99999999166618303</v>
      </c>
    </row>
    <row r="315" spans="1:40" x14ac:dyDescent="0.25">
      <c r="A315" t="str">
        <f>"20190312153856968"</f>
        <v>20190312153856968</v>
      </c>
      <c r="B315" t="str">
        <f>"1552376336956299"</f>
        <v>1552376336956299</v>
      </c>
      <c r="C315" t="s">
        <v>40</v>
      </c>
      <c r="D315">
        <v>4.157864</v>
      </c>
      <c r="E315">
        <v>0.5179511</v>
      </c>
      <c r="F315" t="s">
        <v>48</v>
      </c>
      <c r="G315">
        <v>-249.80009999999999</v>
      </c>
      <c r="H315">
        <v>0.90645679999999995</v>
      </c>
      <c r="I315">
        <v>357.98270000000002</v>
      </c>
      <c r="J315">
        <v>-446.98110000000003</v>
      </c>
      <c r="K315">
        <v>1.109302</v>
      </c>
      <c r="L315">
        <v>367.9821</v>
      </c>
      <c r="M315">
        <v>0.99975250000000004</v>
      </c>
      <c r="N315">
        <v>0</v>
      </c>
      <c r="O315">
        <v>2.114224E-2</v>
      </c>
      <c r="P315">
        <v>0.99841290000000005</v>
      </c>
      <c r="Q315">
        <v>5.6077250000000002E-2</v>
      </c>
      <c r="R315">
        <v>-5.2364220000000001E-3</v>
      </c>
      <c r="S315">
        <v>3.0042110000000002</v>
      </c>
      <c r="T315">
        <v>-3.0869249999999999E-3</v>
      </c>
      <c r="U315">
        <v>-0.1521912</v>
      </c>
      <c r="V315">
        <v>2.6391870000000001E-2</v>
      </c>
      <c r="W315">
        <v>6.2973119999999994E-2</v>
      </c>
      <c r="X315">
        <v>0.99766619999999995</v>
      </c>
      <c r="Y315">
        <v>7.1698699999999893E-2</v>
      </c>
      <c r="Z315" s="1">
        <v>-5.8525369999999897E-5</v>
      </c>
      <c r="AA315">
        <v>0.99742629999999999</v>
      </c>
      <c r="AB315">
        <v>25</v>
      </c>
      <c r="AC315">
        <v>197.18100000000001</v>
      </c>
      <c r="AD315">
        <v>-0.202845199999999</v>
      </c>
      <c r="AE315">
        <v>-9.9993999999999801</v>
      </c>
      <c r="AF315">
        <v>14.166097817922299</v>
      </c>
      <c r="AG315">
        <v>-0.202845199999999</v>
      </c>
      <c r="AH315">
        <v>196.92530091827399</v>
      </c>
      <c r="AI315">
        <v>90.058866049469799</v>
      </c>
      <c r="AJ315">
        <v>85.8854353570201</v>
      </c>
      <c r="AK315">
        <v>197.434276698133</v>
      </c>
      <c r="AL315">
        <v>86.389517001861293</v>
      </c>
      <c r="AM315">
        <v>88.484673347319699</v>
      </c>
      <c r="AN315">
        <v>0.99999999563353503</v>
      </c>
    </row>
    <row r="316" spans="1:40" x14ac:dyDescent="0.25">
      <c r="A316" t="str">
        <f>"20190312153856980"</f>
        <v>20190312153856980</v>
      </c>
      <c r="B316" t="str">
        <f>"1552376336976794"</f>
        <v>1552376336976794</v>
      </c>
      <c r="C316" t="s">
        <v>40</v>
      </c>
      <c r="D316">
        <v>4.1535099999999998</v>
      </c>
      <c r="E316">
        <v>0.51807630000000005</v>
      </c>
      <c r="F316" t="s">
        <v>48</v>
      </c>
      <c r="G316">
        <v>-249.7901</v>
      </c>
      <c r="H316">
        <v>0.95111449999999997</v>
      </c>
      <c r="I316">
        <v>357.86</v>
      </c>
      <c r="J316">
        <v>-446.83879999999999</v>
      </c>
      <c r="K316">
        <v>1.109299</v>
      </c>
      <c r="L316">
        <v>367.98489999999998</v>
      </c>
      <c r="M316">
        <v>0.99975789999999998</v>
      </c>
      <c r="N316">
        <v>0</v>
      </c>
      <c r="O316">
        <v>2.0884980000000001E-2</v>
      </c>
      <c r="P316">
        <v>0.99839279999999997</v>
      </c>
      <c r="Q316">
        <v>5.6384650000000001E-2</v>
      </c>
      <c r="R316">
        <v>-5.7683530000000004E-3</v>
      </c>
      <c r="S316">
        <v>3.0041199999999999</v>
      </c>
      <c r="T316">
        <v>-2.4086239999999998E-3</v>
      </c>
      <c r="U316">
        <v>-0.15420529999999999</v>
      </c>
      <c r="V316">
        <v>2.6667219999999998E-2</v>
      </c>
      <c r="W316">
        <v>6.3288629999999998E-2</v>
      </c>
      <c r="X316">
        <v>0.9976389</v>
      </c>
      <c r="Y316">
        <v>7.2110610000000006E-2</v>
      </c>
      <c r="Z316" s="1">
        <v>-4.5624909999999998E-5</v>
      </c>
      <c r="AA316">
        <v>0.99739659999999997</v>
      </c>
      <c r="AB316">
        <v>25</v>
      </c>
      <c r="AC316">
        <v>197.0487</v>
      </c>
      <c r="AD316">
        <v>-0.15818449999999901</v>
      </c>
      <c r="AE316">
        <v>-10.124899999999901</v>
      </c>
      <c r="AF316">
        <v>14.2381391965663</v>
      </c>
      <c r="AG316">
        <v>-0.15818449999999901</v>
      </c>
      <c r="AH316">
        <v>196.79412877241799</v>
      </c>
      <c r="AI316">
        <v>90.045934671746906</v>
      </c>
      <c r="AJ316">
        <v>85.861836372383607</v>
      </c>
      <c r="AK316">
        <v>197.30858762206</v>
      </c>
      <c r="AL316">
        <v>86.371403432768005</v>
      </c>
      <c r="AM316">
        <v>88.468829344552802</v>
      </c>
      <c r="AN316">
        <v>0.99999998305150695</v>
      </c>
    </row>
    <row r="317" spans="1:40" x14ac:dyDescent="0.25">
      <c r="A317" t="str">
        <f>"20190312153856999"</f>
        <v>20190312153856999</v>
      </c>
      <c r="B317" t="str">
        <f>"1552376336996316"</f>
        <v>1552376336996316</v>
      </c>
      <c r="C317" t="s">
        <v>40</v>
      </c>
      <c r="D317">
        <v>4.1689819999999997</v>
      </c>
      <c r="E317">
        <v>0.5180979</v>
      </c>
      <c r="F317" t="s">
        <v>47</v>
      </c>
      <c r="G317">
        <v>-158.78319999999999</v>
      </c>
      <c r="H317">
        <v>1.1459280000000001</v>
      </c>
      <c r="I317">
        <v>352.96929999999998</v>
      </c>
      <c r="J317">
        <v>-446.63650000000001</v>
      </c>
      <c r="K317">
        <v>1.109299</v>
      </c>
      <c r="L317">
        <v>367.98869999999999</v>
      </c>
      <c r="M317">
        <v>0.99976540000000003</v>
      </c>
      <c r="N317">
        <v>0</v>
      </c>
      <c r="O317">
        <v>2.051619E-2</v>
      </c>
      <c r="P317">
        <v>0.99837699999999996</v>
      </c>
      <c r="Q317">
        <v>5.6585669999999998E-2</v>
      </c>
      <c r="R317">
        <v>-6.4508309999999998E-3</v>
      </c>
      <c r="S317">
        <v>3.0039060000000002</v>
      </c>
      <c r="T317">
        <v>3.829002E-4</v>
      </c>
      <c r="U317">
        <v>-0.15658569999999999</v>
      </c>
      <c r="V317">
        <v>2.6981870000000002E-2</v>
      </c>
      <c r="W317">
        <v>6.3501829999999995E-2</v>
      </c>
      <c r="X317">
        <v>0.99761690000000003</v>
      </c>
      <c r="Y317">
        <v>7.2534609999999999E-2</v>
      </c>
      <c r="Z317" s="1">
        <v>7.2334119999999902E-6</v>
      </c>
      <c r="AA317">
        <v>0.99736590000000003</v>
      </c>
      <c r="AB317">
        <v>25</v>
      </c>
      <c r="AC317">
        <v>287.85329999999999</v>
      </c>
      <c r="AD317">
        <v>3.6629000000000002E-2</v>
      </c>
      <c r="AE317">
        <v>-15.019399999999999</v>
      </c>
      <c r="AF317">
        <v>20.922033656292299</v>
      </c>
      <c r="AG317">
        <v>3.6629000000000002E-2</v>
      </c>
      <c r="AH317">
        <v>287.48455701405499</v>
      </c>
      <c r="AI317">
        <v>89.992719082441099</v>
      </c>
      <c r="AJ317">
        <v>85.837569131867895</v>
      </c>
      <c r="AK317">
        <v>288.24486700645002</v>
      </c>
      <c r="AL317">
        <v>86.359163382009001</v>
      </c>
      <c r="AM317">
        <v>88.450737468085805</v>
      </c>
      <c r="AN317">
        <v>0.99999999144382701</v>
      </c>
    </row>
    <row r="318" spans="1:40" x14ac:dyDescent="0.25">
      <c r="A318" t="str">
        <f>"20190312153857011"</f>
        <v>20190312153857011</v>
      </c>
      <c r="B318" t="str">
        <f>"1552376337006075"</f>
        <v>1552376337006075</v>
      </c>
      <c r="C318" t="s">
        <v>40</v>
      </c>
      <c r="D318">
        <v>4.1581549999999998</v>
      </c>
      <c r="E318">
        <v>0.51814199999999999</v>
      </c>
      <c r="F318" t="s">
        <v>47</v>
      </c>
      <c r="G318">
        <v>-158.78319999999999</v>
      </c>
      <c r="H318">
        <v>1.3115870000000001</v>
      </c>
      <c r="I318">
        <v>352.74900000000002</v>
      </c>
      <c r="J318">
        <v>-446.49239999999998</v>
      </c>
      <c r="K318">
        <v>1.1092979999999999</v>
      </c>
      <c r="L318">
        <v>367.9914</v>
      </c>
      <c r="M318">
        <v>0.99977059999999995</v>
      </c>
      <c r="N318">
        <v>0</v>
      </c>
      <c r="O318">
        <v>2.0253650000000002E-2</v>
      </c>
      <c r="P318">
        <v>0.99837189999999998</v>
      </c>
      <c r="Q318">
        <v>5.6619950000000002E-2</v>
      </c>
      <c r="R318">
        <v>-6.9259630000000003E-3</v>
      </c>
      <c r="S318">
        <v>3.0037539999999998</v>
      </c>
      <c r="T318">
        <v>2.1117929999999998E-3</v>
      </c>
      <c r="U318">
        <v>-0.1590271</v>
      </c>
      <c r="V318">
        <v>2.7195090000000002E-2</v>
      </c>
      <c r="W318">
        <v>6.3545610000000002E-2</v>
      </c>
      <c r="X318">
        <v>0.9976083</v>
      </c>
      <c r="Y318">
        <v>7.3083690000000007E-2</v>
      </c>
      <c r="Z318" s="1">
        <v>3.9903710000000003E-5</v>
      </c>
      <c r="AA318">
        <v>0.99732580000000004</v>
      </c>
      <c r="AB318">
        <v>25</v>
      </c>
      <c r="AC318">
        <v>287.70920000000001</v>
      </c>
      <c r="AD318">
        <v>0.202289</v>
      </c>
      <c r="AE318">
        <v>-15.2423999999999</v>
      </c>
      <c r="AF318">
        <v>21.066565707650401</v>
      </c>
      <c r="AG318">
        <v>0.202289</v>
      </c>
      <c r="AH318">
        <v>287.34131706050601</v>
      </c>
      <c r="AI318">
        <v>89.959771607828898</v>
      </c>
      <c r="AJ318">
        <v>85.8068348358034</v>
      </c>
      <c r="AK318">
        <v>288.11260576660101</v>
      </c>
      <c r="AL318">
        <v>86.356649813916206</v>
      </c>
      <c r="AM318">
        <v>88.438487246775395</v>
      </c>
      <c r="AN318">
        <v>0.99999996884963405</v>
      </c>
    </row>
    <row r="319" spans="1:40" x14ac:dyDescent="0.25">
      <c r="A319" t="str">
        <f>"20190312153857024"</f>
        <v>20190312153857024</v>
      </c>
      <c r="B319" t="str">
        <f>"1552376337016811"</f>
        <v>1552376337016811</v>
      </c>
      <c r="C319" t="s">
        <v>40</v>
      </c>
      <c r="D319">
        <v>4.1660190000000004</v>
      </c>
      <c r="E319">
        <v>0.51812369999999996</v>
      </c>
      <c r="F319" t="s">
        <v>47</v>
      </c>
      <c r="G319">
        <v>-158.78319999999999</v>
      </c>
      <c r="H319">
        <v>1.299172</v>
      </c>
      <c r="I319">
        <v>352.6037</v>
      </c>
      <c r="J319">
        <v>-446.35180000000003</v>
      </c>
      <c r="K319">
        <v>1.109297</v>
      </c>
      <c r="L319">
        <v>367.99400000000003</v>
      </c>
      <c r="M319">
        <v>0.99977579999999999</v>
      </c>
      <c r="N319">
        <v>0</v>
      </c>
      <c r="O319">
        <v>1.9997310000000001E-2</v>
      </c>
      <c r="P319">
        <v>0.99838400000000005</v>
      </c>
      <c r="Q319">
        <v>5.6360090000000002E-2</v>
      </c>
      <c r="R319">
        <v>-7.301185E-3</v>
      </c>
      <c r="S319">
        <v>3.0036320000000001</v>
      </c>
      <c r="T319">
        <v>1.9831660000000002E-3</v>
      </c>
      <c r="U319">
        <v>-0.1606445</v>
      </c>
      <c r="V319">
        <v>2.7314310000000001E-2</v>
      </c>
      <c r="W319">
        <v>6.3293870000000002E-2</v>
      </c>
      <c r="X319">
        <v>0.99762110000000004</v>
      </c>
      <c r="Y319">
        <v>7.3365669999999994E-2</v>
      </c>
      <c r="Z319" s="1">
        <v>3.7398099999999997E-5</v>
      </c>
      <c r="AA319">
        <v>0.99730510000000006</v>
      </c>
      <c r="AB319">
        <v>25</v>
      </c>
      <c r="AC319">
        <v>287.5686</v>
      </c>
      <c r="AD319">
        <v>0.18987499999999999</v>
      </c>
      <c r="AE319">
        <v>-15.3903</v>
      </c>
      <c r="AF319">
        <v>21.137950896825199</v>
      </c>
      <c r="AG319">
        <v>0.18987499999999999</v>
      </c>
      <c r="AH319">
        <v>287.203196303504</v>
      </c>
      <c r="AI319">
        <v>89.962222952987005</v>
      </c>
      <c r="AJ319">
        <v>85.790660907414505</v>
      </c>
      <c r="AK319">
        <v>287.98007741436101</v>
      </c>
      <c r="AL319">
        <v>86.3711027424946</v>
      </c>
      <c r="AM319">
        <v>88.431665287131196</v>
      </c>
      <c r="AN319">
        <v>1.0000000223377801</v>
      </c>
    </row>
    <row r="320" spans="1:40" x14ac:dyDescent="0.25">
      <c r="A320" t="str">
        <f>"20190312153857036"</f>
        <v>20190312153857036</v>
      </c>
      <c r="B320" t="str">
        <f>"1552376337026571"</f>
        <v>1552376337026571</v>
      </c>
      <c r="C320" t="s">
        <v>40</v>
      </c>
      <c r="D320">
        <v>4.1618839999999997</v>
      </c>
      <c r="E320">
        <v>0.51805249999999903</v>
      </c>
      <c r="F320" t="s">
        <v>47</v>
      </c>
      <c r="G320">
        <v>-158.78319999999999</v>
      </c>
      <c r="H320">
        <v>1.2311369999999999</v>
      </c>
      <c r="I320">
        <v>352.5027</v>
      </c>
      <c r="J320">
        <v>-446.20949999999999</v>
      </c>
      <c r="K320">
        <v>1.1092959999999901</v>
      </c>
      <c r="L320">
        <v>367.99650000000003</v>
      </c>
      <c r="M320">
        <v>0.99978089999999997</v>
      </c>
      <c r="N320">
        <v>0</v>
      </c>
      <c r="O320">
        <v>1.9738060000000002E-2</v>
      </c>
      <c r="P320">
        <v>0.99837419999999999</v>
      </c>
      <c r="Q320">
        <v>5.6476999999999999E-2</v>
      </c>
      <c r="R320">
        <v>-7.7116819999999897E-3</v>
      </c>
      <c r="S320">
        <v>3.0036010000000002</v>
      </c>
      <c r="T320">
        <v>1.273513E-3</v>
      </c>
      <c r="U320">
        <v>-0.16180420000000001</v>
      </c>
      <c r="V320">
        <v>2.7465920000000001E-2</v>
      </c>
      <c r="W320">
        <v>6.3418539999999995E-2</v>
      </c>
      <c r="X320">
        <v>0.99760899999999997</v>
      </c>
      <c r="Y320">
        <v>7.3491539999999994E-2</v>
      </c>
      <c r="Z320" s="1">
        <v>2.393243E-5</v>
      </c>
      <c r="AA320">
        <v>0.99729590000000001</v>
      </c>
      <c r="AB320">
        <v>25</v>
      </c>
      <c r="AC320">
        <v>287.42630000000003</v>
      </c>
      <c r="AD320">
        <v>0.121841</v>
      </c>
      <c r="AE320">
        <v>-15.4938</v>
      </c>
      <c r="AF320">
        <v>21.1641529537055</v>
      </c>
      <c r="AG320">
        <v>0.121841</v>
      </c>
      <c r="AH320">
        <v>287.06442606047699</v>
      </c>
      <c r="AI320">
        <v>89.975747329445397</v>
      </c>
      <c r="AJ320">
        <v>85.783431899229996</v>
      </c>
      <c r="AK320">
        <v>287.843570233744</v>
      </c>
      <c r="AL320">
        <v>86.363945225865905</v>
      </c>
      <c r="AM320">
        <v>88.422945400595196</v>
      </c>
      <c r="AN320">
        <v>1.00000000242908</v>
      </c>
    </row>
    <row r="321" spans="1:40" x14ac:dyDescent="0.25">
      <c r="A321" t="str">
        <f>"20190312153857055"</f>
        <v>20190312153857055</v>
      </c>
      <c r="B321" t="str">
        <f>"1552376337046091"</f>
        <v>1552376337046091</v>
      </c>
      <c r="C321" t="s">
        <v>40</v>
      </c>
      <c r="D321">
        <v>4.1868569999999998</v>
      </c>
      <c r="E321">
        <v>0.51785680000000001</v>
      </c>
      <c r="F321" t="s">
        <v>47</v>
      </c>
      <c r="G321">
        <v>-158.78319999999999</v>
      </c>
      <c r="H321">
        <v>1.1668750000000001</v>
      </c>
      <c r="I321">
        <v>352.48360000000002</v>
      </c>
      <c r="J321">
        <v>-446.0034</v>
      </c>
      <c r="K321">
        <v>1.1093</v>
      </c>
      <c r="L321">
        <v>368.00020000000001</v>
      </c>
      <c r="M321">
        <v>0.99978820000000002</v>
      </c>
      <c r="N321">
        <v>0</v>
      </c>
      <c r="O321">
        <v>1.9363600000000002E-2</v>
      </c>
      <c r="P321">
        <v>0.99834140000000005</v>
      </c>
      <c r="Q321">
        <v>5.6952210000000003E-2</v>
      </c>
      <c r="R321">
        <v>-8.4236740000000008E-3</v>
      </c>
      <c r="S321">
        <v>3.0036010000000002</v>
      </c>
      <c r="T321">
        <v>6.0260299999999995E-4</v>
      </c>
      <c r="U321">
        <v>-0.16210939999999999</v>
      </c>
      <c r="V321">
        <v>2.7803890000000001E-2</v>
      </c>
      <c r="W321">
        <v>6.3901070000000004E-2</v>
      </c>
      <c r="X321">
        <v>0.99756880000000003</v>
      </c>
      <c r="Y321">
        <v>7.3219049999999994E-2</v>
      </c>
      <c r="Z321" s="1">
        <v>1.1221959999999999E-5</v>
      </c>
      <c r="AA321">
        <v>0.99731590000000003</v>
      </c>
      <c r="AB321">
        <v>25</v>
      </c>
      <c r="AC321">
        <v>287.22019999999998</v>
      </c>
      <c r="AD321">
        <v>5.7575000000000098E-2</v>
      </c>
      <c r="AE321">
        <v>-15.516599999999899</v>
      </c>
      <c r="AF321">
        <v>21.075442008581302</v>
      </c>
      <c r="AG321">
        <v>5.7575000000000098E-2</v>
      </c>
      <c r="AH321">
        <v>286.865869838121</v>
      </c>
      <c r="AI321">
        <v>89.9885314428237</v>
      </c>
      <c r="AJ321">
        <v>85.798146644350396</v>
      </c>
      <c r="AK321">
        <v>287.639018300229</v>
      </c>
      <c r="AL321">
        <v>86.336241934676494</v>
      </c>
      <c r="AM321">
        <v>88.403485318270697</v>
      </c>
      <c r="AN321">
        <v>0.99999995688985699</v>
      </c>
    </row>
    <row r="322" spans="1:40" x14ac:dyDescent="0.25">
      <c r="A322" t="str">
        <f>"20190312153857078"</f>
        <v>20190312153857078</v>
      </c>
      <c r="B322" t="str">
        <f>"1552376337066587"</f>
        <v>1552376337066587</v>
      </c>
      <c r="C322" t="s">
        <v>40</v>
      </c>
      <c r="D322">
        <v>4.1905570000000001</v>
      </c>
      <c r="E322">
        <v>0.51786829999999995</v>
      </c>
      <c r="F322" t="s">
        <v>47</v>
      </c>
      <c r="G322">
        <v>-158.78319999999999</v>
      </c>
      <c r="H322">
        <v>1.1474679999999999</v>
      </c>
      <c r="I322">
        <v>352.4255</v>
      </c>
      <c r="J322">
        <v>-445.75220000000002</v>
      </c>
      <c r="K322">
        <v>1.1092959999999901</v>
      </c>
      <c r="L322">
        <v>368.00459999999998</v>
      </c>
      <c r="M322">
        <v>0.99979689999999999</v>
      </c>
      <c r="N322">
        <v>0</v>
      </c>
      <c r="O322">
        <v>1.890915E-2</v>
      </c>
      <c r="P322">
        <v>0.99831610000000004</v>
      </c>
      <c r="Q322">
        <v>5.737519E-2</v>
      </c>
      <c r="R322">
        <v>-8.5622240000000002E-3</v>
      </c>
      <c r="S322">
        <v>3.0036010000000002</v>
      </c>
      <c r="T322">
        <v>4.000664E-4</v>
      </c>
      <c r="U322">
        <v>-0.1628723</v>
      </c>
      <c r="V322">
        <v>2.7488559999999999E-2</v>
      </c>
      <c r="W322">
        <v>6.4328389999999999E-2</v>
      </c>
      <c r="X322">
        <v>0.9975501</v>
      </c>
      <c r="Y322">
        <v>7.3018330000000006E-2</v>
      </c>
      <c r="Z322" s="1">
        <v>7.3763279999999999E-6</v>
      </c>
      <c r="AA322">
        <v>0.99733059999999996</v>
      </c>
      <c r="AB322">
        <v>25</v>
      </c>
      <c r="AC322">
        <v>286.96899999999999</v>
      </c>
      <c r="AD322">
        <v>3.8171999999999998E-2</v>
      </c>
      <c r="AE322">
        <v>-15.579099999999899</v>
      </c>
      <c r="AF322">
        <v>21.0027857838882</v>
      </c>
      <c r="AG322">
        <v>3.8171999999999998E-2</v>
      </c>
      <c r="AH322">
        <v>286.62308942742698</v>
      </c>
      <c r="AI322">
        <v>89.992389844592296</v>
      </c>
      <c r="AJ322">
        <v>85.809046380044407</v>
      </c>
      <c r="AK322">
        <v>287.39156887547699</v>
      </c>
      <c r="AL322">
        <v>86.311707916863597</v>
      </c>
      <c r="AM322">
        <v>88.421552954627501</v>
      </c>
      <c r="AN322">
        <v>0.99999998235043697</v>
      </c>
    </row>
    <row r="323" spans="1:40" x14ac:dyDescent="0.25">
      <c r="A323" t="str">
        <f>"20190312153857098"</f>
        <v>20190312153857098</v>
      </c>
      <c r="B323" t="str">
        <f>"1552376337086107"</f>
        <v>1552376337086107</v>
      </c>
      <c r="C323" t="s">
        <v>40</v>
      </c>
      <c r="D323">
        <v>4.1989460000000003</v>
      </c>
      <c r="E323">
        <v>0.51778139999999995</v>
      </c>
      <c r="F323" t="s">
        <v>47</v>
      </c>
      <c r="G323">
        <v>-158.78319999999999</v>
      </c>
      <c r="H323">
        <v>1.2947900000000001</v>
      </c>
      <c r="I323">
        <v>352.39089999999999</v>
      </c>
      <c r="J323">
        <v>-445.52050000000003</v>
      </c>
      <c r="K323">
        <v>1.109291</v>
      </c>
      <c r="L323">
        <v>368.00850000000003</v>
      </c>
      <c r="M323">
        <v>0.99980469999999999</v>
      </c>
      <c r="N323">
        <v>0</v>
      </c>
      <c r="O323">
        <v>1.849247E-2</v>
      </c>
      <c r="P323">
        <v>0.99828280000000003</v>
      </c>
      <c r="Q323">
        <v>5.7970590000000002E-2</v>
      </c>
      <c r="R323">
        <v>-8.4325219999999996E-3</v>
      </c>
      <c r="S323">
        <v>3.003571</v>
      </c>
      <c r="T323">
        <v>1.9423960000000001E-3</v>
      </c>
      <c r="U323">
        <v>-0.1634216</v>
      </c>
      <c r="V323">
        <v>2.6942959999999998E-2</v>
      </c>
      <c r="W323">
        <v>6.4921290000000006E-2</v>
      </c>
      <c r="X323">
        <v>0.99752660000000004</v>
      </c>
      <c r="Y323">
        <v>7.2785059999999999E-2</v>
      </c>
      <c r="Z323" s="1">
        <v>3.5468949999999999E-5</v>
      </c>
      <c r="AA323">
        <v>0.99734769999999995</v>
      </c>
      <c r="AB323">
        <v>25</v>
      </c>
      <c r="AC323">
        <v>286.7373</v>
      </c>
      <c r="AD323">
        <v>0.185498999999999</v>
      </c>
      <c r="AE323">
        <v>-15.617599999999999</v>
      </c>
      <c r="AF323">
        <v>20.917530274453799</v>
      </c>
      <c r="AG323">
        <v>0.185498999999999</v>
      </c>
      <c r="AH323">
        <v>286.39933091498699</v>
      </c>
      <c r="AI323">
        <v>89.9629884820353</v>
      </c>
      <c r="AJ323">
        <v>85.822748719052896</v>
      </c>
      <c r="AK323">
        <v>287.16224374247702</v>
      </c>
      <c r="AL323">
        <v>86.277666181252698</v>
      </c>
      <c r="AM323">
        <v>88.452830566165105</v>
      </c>
      <c r="AN323">
        <v>1.0000000073481901</v>
      </c>
    </row>
    <row r="324" spans="1:40" x14ac:dyDescent="0.25">
      <c r="A324" t="str">
        <f>"20190312153857110"</f>
        <v>20190312153857110</v>
      </c>
      <c r="B324" t="str">
        <f>"1552376337106603"</f>
        <v>1552376337106603</v>
      </c>
      <c r="C324" t="s">
        <v>40</v>
      </c>
      <c r="D324">
        <v>4.1735230000000003</v>
      </c>
      <c r="E324">
        <v>0.51658950000000003</v>
      </c>
      <c r="F324" t="s">
        <v>47</v>
      </c>
      <c r="G324">
        <v>-158.78319999999999</v>
      </c>
      <c r="H324">
        <v>1.499825</v>
      </c>
      <c r="I324">
        <v>352.52089999999998</v>
      </c>
      <c r="J324">
        <v>-445.38150000000002</v>
      </c>
      <c r="K324">
        <v>1.109283</v>
      </c>
      <c r="L324">
        <v>368.01080000000002</v>
      </c>
      <c r="M324">
        <v>0.99980910000000001</v>
      </c>
      <c r="N324">
        <v>0</v>
      </c>
      <c r="O324">
        <v>1.8243100000000002E-2</v>
      </c>
      <c r="P324">
        <v>0.99828410000000001</v>
      </c>
      <c r="Q324">
        <v>5.7976569999999998E-2</v>
      </c>
      <c r="R324">
        <v>-8.2090140000000006E-3</v>
      </c>
      <c r="S324">
        <v>3.0035400000000001</v>
      </c>
      <c r="T324">
        <v>4.09174E-3</v>
      </c>
      <c r="U324">
        <v>-0.1622314</v>
      </c>
      <c r="V324">
        <v>2.6470670000000002E-2</v>
      </c>
      <c r="W324">
        <v>6.4922240000000006E-2</v>
      </c>
      <c r="X324">
        <v>0.99753919999999996</v>
      </c>
      <c r="Y324">
        <v>7.2142739999999997E-2</v>
      </c>
      <c r="Z324" s="1">
        <v>7.3941630000000006E-5</v>
      </c>
      <c r="AA324">
        <v>0.99739429999999996</v>
      </c>
      <c r="AB324">
        <v>25</v>
      </c>
      <c r="AC324">
        <v>286.59829999999999</v>
      </c>
      <c r="AD324">
        <v>0.390542</v>
      </c>
      <c r="AE324">
        <v>-15.4899</v>
      </c>
      <c r="AF324">
        <v>20.7158531268832</v>
      </c>
      <c r="AG324">
        <v>0.390542</v>
      </c>
      <c r="AH324">
        <v>286.26748147294802</v>
      </c>
      <c r="AI324">
        <v>89.922037830661097</v>
      </c>
      <c r="AJ324">
        <v>85.8609844645853</v>
      </c>
      <c r="AK324">
        <v>287.01632365197099</v>
      </c>
      <c r="AL324">
        <v>86.277611699411594</v>
      </c>
      <c r="AM324">
        <v>88.479957646284902</v>
      </c>
      <c r="AN324">
        <v>1.00000002457675</v>
      </c>
    </row>
    <row r="325" spans="1:40" x14ac:dyDescent="0.25">
      <c r="A325" t="str">
        <f>"20190312153857123"</f>
        <v>20190312153857123</v>
      </c>
      <c r="B325" t="str">
        <f>"1552376337116364"</f>
        <v>1552376337116364</v>
      </c>
      <c r="C325" t="s">
        <v>40</v>
      </c>
      <c r="D325">
        <v>4.1838629999999997</v>
      </c>
      <c r="E325">
        <v>0.4889657</v>
      </c>
      <c r="F325" t="s">
        <v>48</v>
      </c>
      <c r="G325">
        <v>-249.67320000000001</v>
      </c>
      <c r="H325">
        <v>1.27794599999999</v>
      </c>
      <c r="I325">
        <v>358.1087</v>
      </c>
      <c r="J325">
        <v>-445.24560000000002</v>
      </c>
      <c r="K325">
        <v>1.109278</v>
      </c>
      <c r="L325">
        <v>368.01310000000001</v>
      </c>
      <c r="M325">
        <v>0.99981370000000003</v>
      </c>
      <c r="N325">
        <v>0</v>
      </c>
      <c r="O325">
        <v>1.7999580000000001E-2</v>
      </c>
      <c r="P325">
        <v>0.99829579999999996</v>
      </c>
      <c r="Q325">
        <v>5.778382E-2</v>
      </c>
      <c r="R325">
        <v>-8.1662309999999995E-3</v>
      </c>
      <c r="S325">
        <v>3.0037229999999999</v>
      </c>
      <c r="T325">
        <v>2.5899410000000001E-3</v>
      </c>
      <c r="U325">
        <v>-0.15197749999999999</v>
      </c>
      <c r="V325">
        <v>2.6184880000000001E-2</v>
      </c>
      <c r="W325">
        <v>6.4723340000000004E-2</v>
      </c>
      <c r="X325">
        <v>0.99755970000000005</v>
      </c>
      <c r="Y325">
        <v>6.8500549999999993E-2</v>
      </c>
      <c r="Z325" s="1">
        <v>4.5024809999999997E-5</v>
      </c>
      <c r="AA325">
        <v>0.99765110000000001</v>
      </c>
      <c r="AB325">
        <v>25</v>
      </c>
      <c r="AC325">
        <v>195.57239999999999</v>
      </c>
      <c r="AD325">
        <v>0.16866799999999901</v>
      </c>
      <c r="AE325">
        <v>-9.9044000000000096</v>
      </c>
      <c r="AF325">
        <v>13.423091965324501</v>
      </c>
      <c r="AG325">
        <v>0.16866799999999901</v>
      </c>
      <c r="AH325">
        <v>195.36229033640299</v>
      </c>
      <c r="AI325">
        <v>89.950649476192496</v>
      </c>
      <c r="AJ325">
        <v>86.069458052038499</v>
      </c>
      <c r="AK325">
        <v>195.822961708501</v>
      </c>
      <c r="AL325">
        <v>86.289031968670102</v>
      </c>
      <c r="AM325">
        <v>88.496392060436094</v>
      </c>
      <c r="AN325">
        <v>1.0000000568727201</v>
      </c>
    </row>
    <row r="326" spans="1:40" x14ac:dyDescent="0.25">
      <c r="A326" t="str">
        <f>"20190312153857135"</f>
        <v>20190312153857135</v>
      </c>
      <c r="B326" t="str">
        <f>"1552376337126123"</f>
        <v>1552376337126123</v>
      </c>
      <c r="C326" t="s">
        <v>40</v>
      </c>
      <c r="D326">
        <v>4.1868699999999999</v>
      </c>
      <c r="E326">
        <v>0.48891560000000001</v>
      </c>
      <c r="F326" t="s">
        <v>42</v>
      </c>
      <c r="G326">
        <v>-339.62569999999999</v>
      </c>
      <c r="H326" s="1">
        <v>-3.6813759999999999E-7</v>
      </c>
      <c r="I326">
        <v>370.46300000000002</v>
      </c>
      <c r="J326">
        <v>-445.09230000000002</v>
      </c>
      <c r="K326">
        <v>1.1092709999999999</v>
      </c>
      <c r="L326">
        <v>368.01549999999997</v>
      </c>
      <c r="M326">
        <v>0.9998186</v>
      </c>
      <c r="N326">
        <v>0</v>
      </c>
      <c r="O326">
        <v>1.7725910000000001E-2</v>
      </c>
      <c r="P326">
        <v>0.99830759999999996</v>
      </c>
      <c r="Q326">
        <v>5.7595540000000001E-2</v>
      </c>
      <c r="R326">
        <v>-8.0397490000000005E-3</v>
      </c>
      <c r="S326">
        <v>3.007568</v>
      </c>
      <c r="T326">
        <v>-3.1587120000000003E-2</v>
      </c>
      <c r="U326">
        <v>6.9763179999999994E-2</v>
      </c>
      <c r="V326">
        <v>2.5785559999999999E-2</v>
      </c>
      <c r="W326">
        <v>6.4526819999999999E-2</v>
      </c>
      <c r="X326">
        <v>0.99758279999999999</v>
      </c>
      <c r="Y326">
        <v>-5.4650999999999996E-3</v>
      </c>
      <c r="Z326">
        <v>-1.574306E-4</v>
      </c>
      <c r="AA326">
        <v>0.99998500000000001</v>
      </c>
      <c r="AB326">
        <v>25</v>
      </c>
      <c r="AC326">
        <v>105.4666</v>
      </c>
      <c r="AD326">
        <v>-1.1092713681376001</v>
      </c>
      <c r="AE326">
        <v>2.4475000000000402</v>
      </c>
      <c r="AF326">
        <v>-0.57751473537628595</v>
      </c>
      <c r="AG326">
        <v>-1.1092713681376001</v>
      </c>
      <c r="AH326">
        <v>105.481751458171</v>
      </c>
      <c r="AI326">
        <v>90.602504903618495</v>
      </c>
      <c r="AJ326">
        <v>90.313692424206295</v>
      </c>
      <c r="AK326">
        <v>105.48916483185</v>
      </c>
      <c r="AL326">
        <v>86.300315200253493</v>
      </c>
      <c r="AM326">
        <v>88.5193460994155</v>
      </c>
      <c r="AN326">
        <v>1.0000000242298299</v>
      </c>
    </row>
    <row r="327" spans="1:40" x14ac:dyDescent="0.25">
      <c r="A327" t="str">
        <f>"20190312153857155"</f>
        <v>20190312153857155</v>
      </c>
      <c r="B327" t="str">
        <f>"1552376337146619"</f>
        <v>1552376337146619</v>
      </c>
      <c r="C327" t="s">
        <v>40</v>
      </c>
      <c r="D327">
        <v>4.1852090000000004</v>
      </c>
      <c r="E327">
        <v>0.4890216</v>
      </c>
      <c r="F327" t="s">
        <v>43</v>
      </c>
      <c r="G327">
        <v>-300.61680000000001</v>
      </c>
      <c r="H327">
        <v>-0.05</v>
      </c>
      <c r="I327">
        <v>371.37909999999999</v>
      </c>
      <c r="J327">
        <v>-444.87580000000003</v>
      </c>
      <c r="K327">
        <v>1.1092599999999999</v>
      </c>
      <c r="L327">
        <v>368.01900000000001</v>
      </c>
      <c r="M327">
        <v>0.99982559999999998</v>
      </c>
      <c r="N327">
        <v>0</v>
      </c>
      <c r="O327">
        <v>1.7339130000000001E-2</v>
      </c>
      <c r="P327">
        <v>0.99832019999999999</v>
      </c>
      <c r="Q327">
        <v>5.7400130000000001E-2</v>
      </c>
      <c r="R327">
        <v>-7.8925249999999992E-3</v>
      </c>
      <c r="S327">
        <v>3.00705</v>
      </c>
      <c r="T327">
        <v>-2.412856E-2</v>
      </c>
      <c r="U327">
        <v>7.0007319999999998E-2</v>
      </c>
      <c r="V327">
        <v>2.5252429999999999E-2</v>
      </c>
      <c r="W327">
        <v>6.4315559999999994E-2</v>
      </c>
      <c r="X327">
        <v>0.99761</v>
      </c>
      <c r="Y327">
        <v>-5.9367789999999997E-3</v>
      </c>
      <c r="Z327">
        <v>-1.152844E-4</v>
      </c>
      <c r="AA327">
        <v>0.99998240000000005</v>
      </c>
      <c r="AB327">
        <v>25</v>
      </c>
      <c r="AC327">
        <v>144.25899999999999</v>
      </c>
      <c r="AD327">
        <v>-1.15926</v>
      </c>
      <c r="AE327">
        <v>3.3600999999999801</v>
      </c>
      <c r="AF327">
        <v>-0.85815370774398403</v>
      </c>
      <c r="AG327">
        <v>-1.15926</v>
      </c>
      <c r="AH327">
        <v>144.286262055387</v>
      </c>
      <c r="AI327">
        <v>90.460321728479997</v>
      </c>
      <c r="AJ327">
        <v>90.340767063899506</v>
      </c>
      <c r="AK327">
        <v>144.29347084830101</v>
      </c>
      <c r="AL327">
        <v>86.312444406597606</v>
      </c>
      <c r="AM327">
        <v>88.549985707585705</v>
      </c>
      <c r="AN327">
        <v>0.999999944289507</v>
      </c>
    </row>
    <row r="328" spans="1:40" x14ac:dyDescent="0.25">
      <c r="A328" t="str">
        <f>"20190312153857168"</f>
        <v>20190312153857168</v>
      </c>
      <c r="B328" t="str">
        <f>"1552376337156379"</f>
        <v>1552376337156379</v>
      </c>
      <c r="C328" t="s">
        <v>40</v>
      </c>
      <c r="D328">
        <v>4.1957100000000001</v>
      </c>
      <c r="E328">
        <v>0.48895</v>
      </c>
      <c r="F328" t="s">
        <v>42</v>
      </c>
      <c r="G328">
        <v>-260.98849999999999</v>
      </c>
      <c r="H328" s="1">
        <v>-4.4088580000000004E-6</v>
      </c>
      <c r="I328">
        <v>372.26139999999998</v>
      </c>
      <c r="J328">
        <v>-444.73250000000002</v>
      </c>
      <c r="K328">
        <v>1.1092550000000001</v>
      </c>
      <c r="L328">
        <v>368.02120000000002</v>
      </c>
      <c r="M328">
        <v>0.99982990000000005</v>
      </c>
      <c r="N328">
        <v>0</v>
      </c>
      <c r="O328">
        <v>1.7083830000000001E-2</v>
      </c>
      <c r="P328">
        <v>0.99831919999999996</v>
      </c>
      <c r="Q328">
        <v>5.7401559999999997E-2</v>
      </c>
      <c r="R328">
        <v>-7.9878589999999999E-3</v>
      </c>
      <c r="S328">
        <v>3.0066220000000001</v>
      </c>
      <c r="T328">
        <v>-1.8136860000000001E-2</v>
      </c>
      <c r="U328">
        <v>6.9366460000000005E-2</v>
      </c>
      <c r="V328">
        <v>2.509306E-2</v>
      </c>
      <c r="W328">
        <v>6.4306039999999995E-2</v>
      </c>
      <c r="X328">
        <v>0.99761469999999997</v>
      </c>
      <c r="Y328">
        <v>-5.9822310000000002E-3</v>
      </c>
      <c r="Z328" s="1">
        <v>-8.4993079999999996E-5</v>
      </c>
      <c r="AA328">
        <v>0.99998209999999998</v>
      </c>
      <c r="AB328">
        <v>25</v>
      </c>
      <c r="AC328">
        <v>183.744</v>
      </c>
      <c r="AD328">
        <v>-1.1092594088579999</v>
      </c>
      <c r="AE328">
        <v>4.24019999999995</v>
      </c>
      <c r="AF328">
        <v>-1.10041398292769</v>
      </c>
      <c r="AG328">
        <v>-1.1092594088579999</v>
      </c>
      <c r="AH328">
        <v>183.78292941045501</v>
      </c>
      <c r="AI328">
        <v>90.345809982236304</v>
      </c>
      <c r="AJ328">
        <v>90.343058649129603</v>
      </c>
      <c r="AK328">
        <v>183.78957127665899</v>
      </c>
      <c r="AL328">
        <v>86.312991233026295</v>
      </c>
      <c r="AM328">
        <v>88.559139773135399</v>
      </c>
      <c r="AN328">
        <v>1.0000000090483601</v>
      </c>
    </row>
    <row r="329" spans="1:40" x14ac:dyDescent="0.25">
      <c r="A329" t="str">
        <f>"20190312153857180"</f>
        <v>20190312153857180</v>
      </c>
      <c r="B329" t="str">
        <f>"1552376337175900"</f>
        <v>1552376337175900</v>
      </c>
      <c r="C329" t="s">
        <v>40</v>
      </c>
      <c r="D329">
        <v>4.1835389999999997</v>
      </c>
      <c r="E329">
        <v>0.48921979999999998</v>
      </c>
      <c r="F329" t="s">
        <v>42</v>
      </c>
      <c r="G329">
        <v>-254.8314</v>
      </c>
      <c r="H329" s="1">
        <v>-2.9440039999999998E-6</v>
      </c>
      <c r="I329">
        <v>372.41390000000001</v>
      </c>
      <c r="J329">
        <v>-444.5899</v>
      </c>
      <c r="K329">
        <v>1.109253</v>
      </c>
      <c r="L329">
        <v>368.02339999999998</v>
      </c>
      <c r="M329">
        <v>0.99983449999999996</v>
      </c>
      <c r="N329">
        <v>0</v>
      </c>
      <c r="O329">
        <v>1.6829469999999999E-2</v>
      </c>
      <c r="P329">
        <v>0.99830700000000006</v>
      </c>
      <c r="Q329">
        <v>5.7588559999999997E-2</v>
      </c>
      <c r="R329">
        <v>-8.1879819999999999E-3</v>
      </c>
      <c r="S329">
        <v>3.0066220000000001</v>
      </c>
      <c r="T329">
        <v>-1.7562390000000001E-2</v>
      </c>
      <c r="U329">
        <v>6.9549559999999996E-2</v>
      </c>
      <c r="V329">
        <v>2.5039260000000001E-2</v>
      </c>
      <c r="W329">
        <v>6.4482090000000006E-2</v>
      </c>
      <c r="X329">
        <v>0.99760470000000001</v>
      </c>
      <c r="Y329">
        <v>-6.2974729999999996E-3</v>
      </c>
      <c r="Z329" s="1">
        <v>-7.98951E-5</v>
      </c>
      <c r="AA329">
        <v>0.99998019999999999</v>
      </c>
      <c r="AB329">
        <v>25</v>
      </c>
      <c r="AC329">
        <v>189.7585</v>
      </c>
      <c r="AD329">
        <v>-1.109255944004</v>
      </c>
      <c r="AE329">
        <v>4.3905000000000296</v>
      </c>
      <c r="AF329">
        <v>-1.19622609072714</v>
      </c>
      <c r="AG329">
        <v>-1.109255944004</v>
      </c>
      <c r="AH329">
        <v>189.799033412201</v>
      </c>
      <c r="AI329">
        <v>90.334847322593106</v>
      </c>
      <c r="AJ329">
        <v>90.361107207017</v>
      </c>
      <c r="AK329">
        <v>189.80604439747199</v>
      </c>
      <c r="AL329">
        <v>86.302883376790206</v>
      </c>
      <c r="AM329">
        <v>88.562213300699895</v>
      </c>
      <c r="AN329">
        <v>1.0000000209671001</v>
      </c>
    </row>
    <row r="330" spans="1:40" x14ac:dyDescent="0.25">
      <c r="A330" t="str">
        <f>"20190312153857199"</f>
        <v>20190312153857199</v>
      </c>
      <c r="B330" t="str">
        <f>"1552376337196395"</f>
        <v>1552376337196395</v>
      </c>
      <c r="C330" t="s">
        <v>40</v>
      </c>
      <c r="D330">
        <v>4.1840460000000004</v>
      </c>
      <c r="E330">
        <v>0.48946770000000001</v>
      </c>
      <c r="F330" t="s">
        <v>42</v>
      </c>
      <c r="G330">
        <v>-260.49669999999998</v>
      </c>
      <c r="H330" s="1">
        <v>-4.5519639999999996E-6</v>
      </c>
      <c r="I330">
        <v>372.12479999999999</v>
      </c>
      <c r="J330">
        <v>-444.38049999999998</v>
      </c>
      <c r="K330">
        <v>1.109248</v>
      </c>
      <c r="L330">
        <v>368.0265</v>
      </c>
      <c r="M330">
        <v>0.99984070000000003</v>
      </c>
      <c r="N330">
        <v>0</v>
      </c>
      <c r="O330">
        <v>1.6456510000000001E-2</v>
      </c>
      <c r="P330">
        <v>0.99830370000000002</v>
      </c>
      <c r="Q330">
        <v>5.7604139999999998E-2</v>
      </c>
      <c r="R330">
        <v>-8.4662079999999994E-3</v>
      </c>
      <c r="S330">
        <v>3.0066830000000002</v>
      </c>
      <c r="T330">
        <v>-1.811683E-2</v>
      </c>
      <c r="U330">
        <v>6.6986080000000003E-2</v>
      </c>
      <c r="V330">
        <v>2.4945120000000001E-2</v>
      </c>
      <c r="W330">
        <v>6.448305E-2</v>
      </c>
      <c r="X330">
        <v>0.99760700000000002</v>
      </c>
      <c r="Y330">
        <v>-5.8178869999999999E-3</v>
      </c>
      <c r="Z330" s="1">
        <v>-8.1614779999999995E-5</v>
      </c>
      <c r="AA330">
        <v>0.99998310000000001</v>
      </c>
      <c r="AB330">
        <v>26</v>
      </c>
      <c r="AC330">
        <v>183.88380000000001</v>
      </c>
      <c r="AD330">
        <v>-1.109252551964</v>
      </c>
      <c r="AE330">
        <v>4.0982999999999903</v>
      </c>
      <c r="AF330">
        <v>-1.0715481624052801</v>
      </c>
      <c r="AG330">
        <v>-1.109252551964</v>
      </c>
      <c r="AH330">
        <v>183.91965365797401</v>
      </c>
      <c r="AI330">
        <v>90.345551109813798</v>
      </c>
      <c r="AJ330">
        <v>90.333811484369704</v>
      </c>
      <c r="AK330">
        <v>183.926120109019</v>
      </c>
      <c r="AL330">
        <v>86.302828271578505</v>
      </c>
      <c r="AM330">
        <v>88.567619986005099</v>
      </c>
      <c r="AN330">
        <v>1.0000000245990499</v>
      </c>
    </row>
    <row r="331" spans="1:40" x14ac:dyDescent="0.25">
      <c r="A331" t="str">
        <f>"20190312153857210"</f>
        <v>20190312153857210</v>
      </c>
      <c r="B331" t="str">
        <f>"1552376337206155"</f>
        <v>1552376337206155</v>
      </c>
      <c r="C331" t="s">
        <v>40</v>
      </c>
      <c r="D331">
        <v>4.2076750000000001</v>
      </c>
      <c r="E331">
        <v>0.48946699999999999</v>
      </c>
      <c r="F331" t="s">
        <v>42</v>
      </c>
      <c r="G331">
        <v>-271.79579999999999</v>
      </c>
      <c r="H331" s="1">
        <v>-4.0341890000000002E-6</v>
      </c>
      <c r="I331">
        <v>371.69799999999998</v>
      </c>
      <c r="J331">
        <v>-444.24720000000002</v>
      </c>
      <c r="K331">
        <v>1.109248</v>
      </c>
      <c r="L331">
        <v>368.02850000000001</v>
      </c>
      <c r="M331">
        <v>0.99984470000000003</v>
      </c>
      <c r="N331">
        <v>0</v>
      </c>
      <c r="O331">
        <v>1.6218779999999999E-2</v>
      </c>
      <c r="P331">
        <v>0.99829880000000004</v>
      </c>
      <c r="Q331">
        <v>5.7662869999999998E-2</v>
      </c>
      <c r="R331">
        <v>-8.6493109999999998E-3</v>
      </c>
      <c r="S331">
        <v>3.0067140000000001</v>
      </c>
      <c r="T331">
        <v>-1.9325019999999998E-2</v>
      </c>
      <c r="U331">
        <v>6.3964839999999995E-2</v>
      </c>
      <c r="V331">
        <v>2.4891190000000001E-2</v>
      </c>
      <c r="W331">
        <v>6.4533019999999996E-2</v>
      </c>
      <c r="X331">
        <v>0.99760510000000002</v>
      </c>
      <c r="Y331">
        <v>-5.0511319999999998E-3</v>
      </c>
      <c r="Z331" s="1">
        <v>-8.7993930000000007E-5</v>
      </c>
      <c r="AA331">
        <v>0.99998719999999996</v>
      </c>
      <c r="AB331">
        <v>26</v>
      </c>
      <c r="AC331">
        <v>172.45140000000001</v>
      </c>
      <c r="AD331">
        <v>-1.109252034189</v>
      </c>
      <c r="AE331">
        <v>3.6695000000000202</v>
      </c>
      <c r="AF331">
        <v>-0.871963471141317</v>
      </c>
      <c r="AG331">
        <v>-1.109252034189</v>
      </c>
      <c r="AH331">
        <v>172.48109909323699</v>
      </c>
      <c r="AI331">
        <v>90.368468035154393</v>
      </c>
      <c r="AJ331">
        <v>90.289651454239106</v>
      </c>
      <c r="AK331">
        <v>172.486869948937</v>
      </c>
      <c r="AL331">
        <v>86.299959167242704</v>
      </c>
      <c r="AM331">
        <v>88.570712707140601</v>
      </c>
      <c r="AN331">
        <v>1.0000000087779699</v>
      </c>
    </row>
    <row r="332" spans="1:40" x14ac:dyDescent="0.25">
      <c r="A332" t="str">
        <f>"20190312153857221"</f>
        <v>20190312153857221</v>
      </c>
      <c r="B332" t="str">
        <f>"1552376337215915"</f>
        <v>1552376337215915</v>
      </c>
      <c r="C332" t="s">
        <v>40</v>
      </c>
      <c r="D332">
        <v>4.1748609999999999</v>
      </c>
      <c r="E332">
        <v>0.48947550000000001</v>
      </c>
      <c r="F332" t="s">
        <v>42</v>
      </c>
      <c r="G332">
        <v>-267.98759999999999</v>
      </c>
      <c r="H332" s="1">
        <v>-1.4132249999999999E-6</v>
      </c>
      <c r="I332">
        <v>371.74950000000001</v>
      </c>
      <c r="J332">
        <v>-444.11680000000001</v>
      </c>
      <c r="K332">
        <v>1.109245</v>
      </c>
      <c r="L332">
        <v>368.03030000000001</v>
      </c>
      <c r="M332">
        <v>0.99984839999999997</v>
      </c>
      <c r="N332">
        <v>0</v>
      </c>
      <c r="O332">
        <v>1.59867E-2</v>
      </c>
      <c r="P332">
        <v>0.99827949999999999</v>
      </c>
      <c r="Q332">
        <v>5.7962140000000002E-2</v>
      </c>
      <c r="R332">
        <v>-8.8690959999999999E-3</v>
      </c>
      <c r="S332">
        <v>3.0067750000000002</v>
      </c>
      <c r="T332">
        <v>-1.892245E-2</v>
      </c>
      <c r="U332">
        <v>6.3476560000000001E-2</v>
      </c>
      <c r="V332">
        <v>2.4879350000000001E-2</v>
      </c>
      <c r="W332">
        <v>6.4824699999999999E-2</v>
      </c>
      <c r="X332">
        <v>0.99758650000000004</v>
      </c>
      <c r="Y332">
        <v>-5.1204709999999997E-3</v>
      </c>
      <c r="Z332" s="1">
        <v>-8.4481089999999999E-5</v>
      </c>
      <c r="AA332">
        <v>0.99998690000000001</v>
      </c>
      <c r="AB332">
        <v>26</v>
      </c>
      <c r="AC332">
        <v>176.1292</v>
      </c>
      <c r="AD332">
        <v>-1.1092464132249999</v>
      </c>
      <c r="AE332">
        <v>3.7191999999999998</v>
      </c>
      <c r="AF332">
        <v>-0.90289718251141404</v>
      </c>
      <c r="AG332">
        <v>-1.1092464132249999</v>
      </c>
      <c r="AH332">
        <v>176.15916555514301</v>
      </c>
      <c r="AI332">
        <v>90.360772957722801</v>
      </c>
      <c r="AJ332">
        <v>90.293664793020298</v>
      </c>
      <c r="AK332">
        <v>176.16497171688701</v>
      </c>
      <c r="AL332">
        <v>86.283212126206706</v>
      </c>
      <c r="AM332">
        <v>88.571365669500096</v>
      </c>
      <c r="AN332">
        <v>1.0000000243843801</v>
      </c>
    </row>
    <row r="333" spans="1:40" x14ac:dyDescent="0.25">
      <c r="A333" t="str">
        <f>"20190312153857234"</f>
        <v>20190312153857234</v>
      </c>
      <c r="B333" t="str">
        <f>"1552376337226651"</f>
        <v>1552376337226651</v>
      </c>
      <c r="C333" t="s">
        <v>40</v>
      </c>
      <c r="D333">
        <v>4.1799869999999997</v>
      </c>
      <c r="E333">
        <v>0.48952040000000002</v>
      </c>
      <c r="F333" t="s">
        <v>42</v>
      </c>
      <c r="G333">
        <v>-253.61420000000001</v>
      </c>
      <c r="H333" s="1">
        <v>-3.355527E-6</v>
      </c>
      <c r="I333">
        <v>371.99799999999999</v>
      </c>
      <c r="J333">
        <v>-443.97109999999998</v>
      </c>
      <c r="K333">
        <v>1.1092420000000001</v>
      </c>
      <c r="L333">
        <v>368.0324</v>
      </c>
      <c r="M333">
        <v>0.99985270000000004</v>
      </c>
      <c r="N333">
        <v>0</v>
      </c>
      <c r="O333">
        <v>1.5727680000000001E-2</v>
      </c>
      <c r="P333">
        <v>0.99826409999999999</v>
      </c>
      <c r="Q333">
        <v>5.8213340000000002E-2</v>
      </c>
      <c r="R333">
        <v>-8.9756219999999904E-3</v>
      </c>
      <c r="S333">
        <v>3.0067140000000001</v>
      </c>
      <c r="T333">
        <v>-1.7507310000000002E-2</v>
      </c>
      <c r="U333">
        <v>6.2622070000000002E-2</v>
      </c>
      <c r="V333">
        <v>2.4727329999999999E-2</v>
      </c>
      <c r="W333">
        <v>6.5068810000000005E-2</v>
      </c>
      <c r="X333">
        <v>0.99757439999999997</v>
      </c>
      <c r="Y333">
        <v>-5.095858E-3</v>
      </c>
      <c r="Z333" s="1">
        <v>-7.6728899999999996E-5</v>
      </c>
      <c r="AA333">
        <v>0.99998699999999996</v>
      </c>
      <c r="AB333">
        <v>26</v>
      </c>
      <c r="AC333">
        <v>190.3569</v>
      </c>
      <c r="AD333">
        <v>-1.1092453555269901</v>
      </c>
      <c r="AE333">
        <v>3.96560000000005</v>
      </c>
      <c r="AF333">
        <v>-0.97113342523981805</v>
      </c>
      <c r="AG333">
        <v>-1.1092453555269901</v>
      </c>
      <c r="AH333">
        <v>190.38926318362601</v>
      </c>
      <c r="AI333">
        <v>90.333808379787797</v>
      </c>
      <c r="AJ333">
        <v>90.292250535168705</v>
      </c>
      <c r="AK333">
        <v>190.394971207205</v>
      </c>
      <c r="AL333">
        <v>86.269196110008096</v>
      </c>
      <c r="AM333">
        <v>88.580074236805501</v>
      </c>
      <c r="AN333">
        <v>1.0000000372095501</v>
      </c>
    </row>
    <row r="334" spans="1:40" x14ac:dyDescent="0.25">
      <c r="A334" t="str">
        <f>"20190312153857246"</f>
        <v>20190312153857246</v>
      </c>
      <c r="B334" t="str">
        <f>"1552376337236411"</f>
        <v>1552376337236411</v>
      </c>
      <c r="C334" t="s">
        <v>40</v>
      </c>
      <c r="D334">
        <v>4.1793170000000002</v>
      </c>
      <c r="E334">
        <v>0.4894696</v>
      </c>
      <c r="F334" t="s">
        <v>42</v>
      </c>
      <c r="G334">
        <v>-249.33179999999999</v>
      </c>
      <c r="H334" s="1">
        <v>-9.4511829999999996E-7</v>
      </c>
      <c r="I334">
        <v>372.05459999999999</v>
      </c>
      <c r="J334">
        <v>-443.83699999999999</v>
      </c>
      <c r="K334">
        <v>1.1092500000000001</v>
      </c>
      <c r="L334">
        <v>368.03429999999997</v>
      </c>
      <c r="M334">
        <v>0.99985639999999998</v>
      </c>
      <c r="N334">
        <v>0</v>
      </c>
      <c r="O334">
        <v>1.548916E-2</v>
      </c>
      <c r="P334">
        <v>0.99823819999999996</v>
      </c>
      <c r="Q334">
        <v>5.8603669999999997E-2</v>
      </c>
      <c r="R334">
        <v>-9.2964099999999997E-3</v>
      </c>
      <c r="S334">
        <v>3.0067750000000002</v>
      </c>
      <c r="T334">
        <v>-1.7135499999999901E-2</v>
      </c>
      <c r="U334">
        <v>6.2133790000000001E-2</v>
      </c>
      <c r="V334">
        <v>2.4810180000000001E-2</v>
      </c>
      <c r="W334">
        <v>6.5453259999999999E-2</v>
      </c>
      <c r="X334">
        <v>0.99754710000000002</v>
      </c>
      <c r="Y334">
        <v>-5.171658E-3</v>
      </c>
      <c r="Z334" s="1">
        <v>-7.3523069999999999E-5</v>
      </c>
      <c r="AA334">
        <v>0.99998659999999995</v>
      </c>
      <c r="AB334">
        <v>26</v>
      </c>
      <c r="AC334">
        <v>194.5052</v>
      </c>
      <c r="AD334">
        <v>-1.1092509451182999</v>
      </c>
      <c r="AE334">
        <v>4.0203000000000202</v>
      </c>
      <c r="AF334">
        <v>-1.00699158332558</v>
      </c>
      <c r="AG334">
        <v>-1.1092509451182999</v>
      </c>
      <c r="AH334">
        <v>194.53781342392099</v>
      </c>
      <c r="AI334">
        <v>90.326691537592396</v>
      </c>
      <c r="AJ334">
        <v>90.2965791144142</v>
      </c>
      <c r="AK334">
        <v>194.543582061883</v>
      </c>
      <c r="AL334">
        <v>86.247121345917606</v>
      </c>
      <c r="AM334">
        <v>88.5752796975991</v>
      </c>
      <c r="AN334">
        <v>0.99999994549733295</v>
      </c>
    </row>
    <row r="335" spans="1:40" x14ac:dyDescent="0.25">
      <c r="A335" t="str">
        <f>"20190312153857258"</f>
        <v>20190312153857258</v>
      </c>
      <c r="B335" t="str">
        <f>"1552376337246172"</f>
        <v>1552376337246172</v>
      </c>
      <c r="C335" t="s">
        <v>40</v>
      </c>
      <c r="D335">
        <v>4.2382049999999998</v>
      </c>
      <c r="E335">
        <v>0.4894696</v>
      </c>
      <c r="F335" t="s">
        <v>42</v>
      </c>
      <c r="G335">
        <v>-233.42570000000001</v>
      </c>
      <c r="H335" s="1">
        <v>-3.5255349999999999E-6</v>
      </c>
      <c r="I335">
        <v>372.33319999999998</v>
      </c>
      <c r="J335">
        <v>-443.6925</v>
      </c>
      <c r="K335">
        <v>1.1092489999999999</v>
      </c>
      <c r="L335">
        <v>368.03620000000001</v>
      </c>
      <c r="M335">
        <v>0.99986039999999998</v>
      </c>
      <c r="N335">
        <v>0</v>
      </c>
      <c r="O335">
        <v>1.5231919999999999E-2</v>
      </c>
      <c r="P335">
        <v>0.99822409999999995</v>
      </c>
      <c r="Q335">
        <v>5.8820169999999998E-2</v>
      </c>
      <c r="R335">
        <v>-9.4381459999999997E-3</v>
      </c>
      <c r="S335">
        <v>3.0068049999999999</v>
      </c>
      <c r="T335">
        <v>-1.5851380000000002E-2</v>
      </c>
      <c r="U335">
        <v>6.1431880000000001E-2</v>
      </c>
      <c r="V335">
        <v>2.4695310000000002E-2</v>
      </c>
      <c r="W335">
        <v>6.5664050000000002E-2</v>
      </c>
      <c r="X335">
        <v>0.99753610000000004</v>
      </c>
      <c r="Y335">
        <v>-5.1953559999999999E-3</v>
      </c>
      <c r="Z335" s="1">
        <v>-6.6594649999999998E-5</v>
      </c>
      <c r="AA335">
        <v>0.9999865</v>
      </c>
      <c r="AB335">
        <v>26</v>
      </c>
      <c r="AC335">
        <v>210.26679999999999</v>
      </c>
      <c r="AD335">
        <v>-1.1092525255350001</v>
      </c>
      <c r="AE335">
        <v>4.2969999999999597</v>
      </c>
      <c r="AF335">
        <v>-1.09362843290315</v>
      </c>
      <c r="AG335">
        <v>-1.1092525255350001</v>
      </c>
      <c r="AH335">
        <v>210.302008046628</v>
      </c>
      <c r="AI335">
        <v>90.302203673723298</v>
      </c>
      <c r="AJ335">
        <v>90.297951167057406</v>
      </c>
      <c r="AK335">
        <v>210.30777696689799</v>
      </c>
      <c r="AL335">
        <v>86.235017940572007</v>
      </c>
      <c r="AM335">
        <v>88.581857756032505</v>
      </c>
      <c r="AN335">
        <v>0.99999994830080297</v>
      </c>
    </row>
    <row r="336" spans="1:40" x14ac:dyDescent="0.25">
      <c r="A336" t="str">
        <f>"20190312153857279"</f>
        <v>20190312153857279</v>
      </c>
      <c r="B336" t="str">
        <f>"1552376337266668"</f>
        <v>1552376337266668</v>
      </c>
      <c r="C336" t="s">
        <v>40</v>
      </c>
      <c r="D336">
        <v>4.1230789999999997</v>
      </c>
      <c r="E336">
        <v>0.48924269999999997</v>
      </c>
      <c r="F336" t="s">
        <v>42</v>
      </c>
      <c r="G336">
        <v>-224.25450000000001</v>
      </c>
      <c r="H336" s="1">
        <v>-3.2082999999999998E-6</v>
      </c>
      <c r="I336">
        <v>372.47719999999998</v>
      </c>
      <c r="J336">
        <v>-443.4554</v>
      </c>
      <c r="K336">
        <v>1.1092500000000001</v>
      </c>
      <c r="L336">
        <v>368.0394</v>
      </c>
      <c r="M336">
        <v>0.99986679999999994</v>
      </c>
      <c r="N336">
        <v>0</v>
      </c>
      <c r="O336">
        <v>1.481012E-2</v>
      </c>
      <c r="P336">
        <v>0.99819000000000002</v>
      </c>
      <c r="Q336">
        <v>5.9358830000000001E-2</v>
      </c>
      <c r="R336">
        <v>-9.6686480000000002E-3</v>
      </c>
      <c r="S336">
        <v>3.0068049999999999</v>
      </c>
      <c r="T336">
        <v>-1.5199300000000001E-2</v>
      </c>
      <c r="U336">
        <v>6.0852049999999998E-2</v>
      </c>
      <c r="V336">
        <v>2.4505059999999999E-2</v>
      </c>
      <c r="W336">
        <v>6.619361E-2</v>
      </c>
      <c r="X336">
        <v>0.9975058</v>
      </c>
      <c r="Y336">
        <v>-5.4244330000000002E-3</v>
      </c>
      <c r="Z336" s="1">
        <v>-6.1144749999999994E-5</v>
      </c>
      <c r="AA336">
        <v>0.99998529999999997</v>
      </c>
      <c r="AB336">
        <v>26</v>
      </c>
      <c r="AC336">
        <v>219.20089999999999</v>
      </c>
      <c r="AD336">
        <v>-1.1092532083</v>
      </c>
      <c r="AE336">
        <v>4.4377999999999798</v>
      </c>
      <c r="AF336">
        <v>-1.1908147805265199</v>
      </c>
      <c r="AG336">
        <v>-1.1092532083</v>
      </c>
      <c r="AH336">
        <v>219.23697178836801</v>
      </c>
      <c r="AI336">
        <v>90.289887453383997</v>
      </c>
      <c r="AJ336">
        <v>90.311206588862007</v>
      </c>
      <c r="AK336">
        <v>219.243011933004</v>
      </c>
      <c r="AL336">
        <v>86.204610259598695</v>
      </c>
      <c r="AM336">
        <v>88.592735832328302</v>
      </c>
      <c r="AN336">
        <v>0.99999995650203599</v>
      </c>
    </row>
    <row r="337" spans="1:40" x14ac:dyDescent="0.25">
      <c r="A337" t="str">
        <f>"20190312153857301"</f>
        <v>20190312153857301</v>
      </c>
      <c r="B337" t="str">
        <f>"1552376337295947"</f>
        <v>1552376337295947</v>
      </c>
      <c r="C337" t="s">
        <v>40</v>
      </c>
      <c r="D337">
        <v>4.1451180000000001</v>
      </c>
      <c r="E337">
        <v>0.48923309999999998</v>
      </c>
      <c r="F337" t="s">
        <v>42</v>
      </c>
      <c r="G337">
        <v>-211.63669999999999</v>
      </c>
      <c r="H337" s="1">
        <v>-4.2894479999999996E-6</v>
      </c>
      <c r="I337">
        <v>372.83210000000003</v>
      </c>
      <c r="J337">
        <v>-443.1961</v>
      </c>
      <c r="K337">
        <v>1.1092420000000001</v>
      </c>
      <c r="L337">
        <v>368.0428</v>
      </c>
      <c r="M337">
        <v>0.99987360000000003</v>
      </c>
      <c r="N337">
        <v>0</v>
      </c>
      <c r="O337">
        <v>1.4348929999999999E-2</v>
      </c>
      <c r="P337">
        <v>0.99813059999999998</v>
      </c>
      <c r="Q337">
        <v>6.0299899999999997E-2</v>
      </c>
      <c r="R337">
        <v>-9.9913180000000008E-3</v>
      </c>
      <c r="S337">
        <v>3.0068359999999998</v>
      </c>
      <c r="T337">
        <v>-1.438773E-2</v>
      </c>
      <c r="U337">
        <v>6.216431E-2</v>
      </c>
      <c r="V337">
        <v>2.436731E-2</v>
      </c>
      <c r="W337">
        <v>6.7123749999999996E-2</v>
      </c>
      <c r="X337">
        <v>0.99744710000000003</v>
      </c>
      <c r="Y337">
        <v>-6.3216770000000004E-3</v>
      </c>
      <c r="Z337" s="1">
        <v>-5.3526339999999999E-5</v>
      </c>
      <c r="AA337">
        <v>0.99997999999999998</v>
      </c>
      <c r="AB337">
        <v>26</v>
      </c>
      <c r="AC337">
        <v>231.55940000000001</v>
      </c>
      <c r="AD337">
        <v>-1.109246289448</v>
      </c>
      <c r="AE337">
        <v>4.7893000000000203</v>
      </c>
      <c r="AF337">
        <v>-1.4660657579462399</v>
      </c>
      <c r="AG337">
        <v>-1.109246289448</v>
      </c>
      <c r="AH337">
        <v>231.59897021370401</v>
      </c>
      <c r="AI337">
        <v>90.274411287319197</v>
      </c>
      <c r="AJ337">
        <v>90.3626883935612</v>
      </c>
      <c r="AK337">
        <v>231.606266711817</v>
      </c>
      <c r="AL337">
        <v>86.151198685781907</v>
      </c>
      <c r="AM337">
        <v>88.600560995481302</v>
      </c>
      <c r="AN337">
        <v>1.0000000404545499</v>
      </c>
    </row>
    <row r="338" spans="1:40" x14ac:dyDescent="0.25">
      <c r="A338" t="str">
        <f>"20190312153857322"</f>
        <v>20190312153857322</v>
      </c>
      <c r="B338" t="str">
        <f>"1552376337316443"</f>
        <v>1552376337316443</v>
      </c>
      <c r="C338" t="s">
        <v>40</v>
      </c>
      <c r="D338">
        <v>4.0954379999999997</v>
      </c>
      <c r="E338">
        <v>0.48950510000000003</v>
      </c>
      <c r="F338" t="s">
        <v>49</v>
      </c>
      <c r="G338">
        <v>-193.08539999999999</v>
      </c>
      <c r="H338" s="1">
        <v>-1.1679890000000001E-5</v>
      </c>
      <c r="I338">
        <v>373.1447</v>
      </c>
      <c r="J338">
        <v>-442.94810000000001</v>
      </c>
      <c r="K338">
        <v>1.1092379999999999</v>
      </c>
      <c r="L338">
        <v>368.04579999999999</v>
      </c>
      <c r="M338">
        <v>0.99987990000000004</v>
      </c>
      <c r="N338">
        <v>0</v>
      </c>
      <c r="O338">
        <v>1.3908230000000001E-2</v>
      </c>
      <c r="P338">
        <v>0.99812109999999998</v>
      </c>
      <c r="Q338">
        <v>6.0367099999999903E-2</v>
      </c>
      <c r="R338">
        <v>-1.051149E-2</v>
      </c>
      <c r="S338">
        <v>3.00705</v>
      </c>
      <c r="T338">
        <v>-1.333642E-2</v>
      </c>
      <c r="U338">
        <v>6.1340329999999998E-2</v>
      </c>
      <c r="V338">
        <v>2.4448009999999999E-2</v>
      </c>
      <c r="W338">
        <v>6.7181320000000003E-2</v>
      </c>
      <c r="X338">
        <v>0.99744120000000003</v>
      </c>
      <c r="Y338">
        <v>-6.4870400000000003E-3</v>
      </c>
      <c r="Z338" s="1">
        <v>-4.7291160000000003E-5</v>
      </c>
      <c r="AA338">
        <v>0.99997899999999995</v>
      </c>
      <c r="AB338">
        <v>26</v>
      </c>
      <c r="AC338">
        <v>249.86269999999999</v>
      </c>
      <c r="AD338">
        <v>-1.10924967989</v>
      </c>
      <c r="AE338">
        <v>5.0989000000000102</v>
      </c>
      <c r="AF338">
        <v>-1.6231456850314101</v>
      </c>
      <c r="AG338">
        <v>-1.10924967989</v>
      </c>
      <c r="AH338">
        <v>249.904526236718</v>
      </c>
      <c r="AI338">
        <v>90.254311389065606</v>
      </c>
      <c r="AJ338">
        <v>90.372134474584996</v>
      </c>
      <c r="AK338">
        <v>249.91225914381599</v>
      </c>
      <c r="AL338">
        <v>86.147892515362301</v>
      </c>
      <c r="AM338">
        <v>88.595919863973194</v>
      </c>
      <c r="AN338">
        <v>0.999999991203671</v>
      </c>
    </row>
    <row r="339" spans="1:40" x14ac:dyDescent="0.25">
      <c r="A339" t="str">
        <f>"20190312153857334"</f>
        <v>20190312153857334</v>
      </c>
      <c r="B339" t="str">
        <f>"1552376337326204"</f>
        <v>1552376337326204</v>
      </c>
      <c r="C339" t="s">
        <v>40</v>
      </c>
      <c r="D339">
        <v>4.1003829999999999</v>
      </c>
      <c r="E339">
        <v>0.49014380000000002</v>
      </c>
      <c r="F339" t="s">
        <v>49</v>
      </c>
      <c r="G339">
        <v>-180</v>
      </c>
      <c r="H339">
        <v>2.3585080000000001E-2</v>
      </c>
      <c r="I339">
        <v>373.05220000000003</v>
      </c>
      <c r="J339">
        <v>-442.80149999999998</v>
      </c>
      <c r="K339">
        <v>1.1092340000000001</v>
      </c>
      <c r="L339">
        <v>368.04759999999999</v>
      </c>
      <c r="M339">
        <v>0.99988350000000004</v>
      </c>
      <c r="N339">
        <v>0</v>
      </c>
      <c r="O339">
        <v>1.364771E-2</v>
      </c>
      <c r="P339">
        <v>0.99811879999999997</v>
      </c>
      <c r="Q339">
        <v>6.0355600000000002E-2</v>
      </c>
      <c r="R339">
        <v>-1.07869E-2</v>
      </c>
      <c r="S339">
        <v>3.0069889999999999</v>
      </c>
      <c r="T339">
        <v>-1.241517E-2</v>
      </c>
      <c r="U339">
        <v>5.725098E-2</v>
      </c>
      <c r="V339">
        <v>2.4463639999999998E-2</v>
      </c>
      <c r="W339">
        <v>6.7165619999999995E-2</v>
      </c>
      <c r="X339">
        <v>0.99744189999999999</v>
      </c>
      <c r="Y339">
        <v>-5.3886059999999998E-3</v>
      </c>
      <c r="Z339" s="1">
        <v>-4.5218E-5</v>
      </c>
      <c r="AA339">
        <v>0.99998549999999997</v>
      </c>
      <c r="AB339">
        <v>26</v>
      </c>
      <c r="AC339">
        <v>262.80149999999998</v>
      </c>
      <c r="AD339">
        <v>-1.0856489199999999</v>
      </c>
      <c r="AE339">
        <v>5.0046000000000301</v>
      </c>
      <c r="AF339">
        <v>-1.4173872403340999</v>
      </c>
      <c r="AG339">
        <v>-1.0856489199999999</v>
      </c>
      <c r="AH339">
        <v>262.84084201277602</v>
      </c>
      <c r="AI339">
        <v>90.236652122040397</v>
      </c>
      <c r="AJ339">
        <v>90.308968419845499</v>
      </c>
      <c r="AK339">
        <v>262.84690572679699</v>
      </c>
      <c r="AL339">
        <v>86.148794195124495</v>
      </c>
      <c r="AM339">
        <v>88.595023558597603</v>
      </c>
      <c r="AN339">
        <v>1.0000000170338199</v>
      </c>
    </row>
    <row r="340" spans="1:40" x14ac:dyDescent="0.25">
      <c r="A340" t="str">
        <f>"20190312153857345"</f>
        <v>20190312153857345</v>
      </c>
      <c r="B340" t="str">
        <f>"1552376337335963"</f>
        <v>1552376337335963</v>
      </c>
      <c r="C340" t="s">
        <v>40</v>
      </c>
      <c r="D340">
        <v>4.4240830000000004</v>
      </c>
      <c r="E340">
        <v>0.49014380000000002</v>
      </c>
      <c r="F340" t="s">
        <v>42</v>
      </c>
      <c r="G340">
        <v>-218.34309999999999</v>
      </c>
      <c r="H340" s="1">
        <v>-1.2993819999999999E-6</v>
      </c>
      <c r="I340">
        <v>371.89499999999998</v>
      </c>
      <c r="J340">
        <v>-442.66699999999997</v>
      </c>
      <c r="K340">
        <v>1.109232</v>
      </c>
      <c r="L340">
        <v>368.04919999999998</v>
      </c>
      <c r="M340">
        <v>0.99988679999999996</v>
      </c>
      <c r="N340">
        <v>0</v>
      </c>
      <c r="O340">
        <v>1.340858E-2</v>
      </c>
      <c r="P340">
        <v>0.99813410000000002</v>
      </c>
      <c r="Q340">
        <v>6.0060139999999998E-2</v>
      </c>
      <c r="R340">
        <v>-1.1018760000000001E-2</v>
      </c>
      <c r="S340">
        <v>3.0071110000000001</v>
      </c>
      <c r="T340">
        <v>-1.486063E-2</v>
      </c>
      <c r="U340">
        <v>5.1544189999999997E-2</v>
      </c>
      <c r="V340">
        <v>2.445686E-2</v>
      </c>
      <c r="W340">
        <v>6.6865880000000003E-2</v>
      </c>
      <c r="X340">
        <v>0.99746219999999997</v>
      </c>
      <c r="Y340">
        <v>-3.729904E-3</v>
      </c>
      <c r="Z340" s="1">
        <v>-5.7040299999999997E-5</v>
      </c>
      <c r="AA340">
        <v>0.99999300000000002</v>
      </c>
      <c r="AB340">
        <v>26</v>
      </c>
      <c r="AC340">
        <v>224.32390000000001</v>
      </c>
      <c r="AD340">
        <v>-1.109233299382</v>
      </c>
      <c r="AE340">
        <v>3.8457999999999899</v>
      </c>
      <c r="AF340">
        <v>-0.83749873804291697</v>
      </c>
      <c r="AG340">
        <v>-1.109233299382</v>
      </c>
      <c r="AH340">
        <v>224.34981653193299</v>
      </c>
      <c r="AI340">
        <v>90.283278260988396</v>
      </c>
      <c r="AJ340">
        <v>90.213884374344204</v>
      </c>
      <c r="AK340">
        <v>224.35412182654699</v>
      </c>
      <c r="AL340">
        <v>86.166006708356406</v>
      </c>
      <c r="AM340">
        <v>88.595441360406397</v>
      </c>
      <c r="AN340">
        <v>1.00000001216903</v>
      </c>
    </row>
    <row r="341" spans="1:40" x14ac:dyDescent="0.25">
      <c r="A341" t="str">
        <f>"20190312153857422"</f>
        <v>20190312153857422</v>
      </c>
      <c r="B341" t="str">
        <f>"1552376337415995"</f>
        <v>1552376337415995</v>
      </c>
      <c r="C341" t="s">
        <v>40</v>
      </c>
      <c r="D341">
        <v>2.7490679999999998</v>
      </c>
      <c r="E341">
        <v>0.50566290000000003</v>
      </c>
      <c r="F341" t="s">
        <v>42</v>
      </c>
      <c r="G341">
        <v>-231.02969999999999</v>
      </c>
      <c r="H341" s="1">
        <v>-4.2808160000000002E-6</v>
      </c>
      <c r="I341">
        <v>371.61880000000002</v>
      </c>
      <c r="J341">
        <v>-441.76310000000001</v>
      </c>
      <c r="K341">
        <v>1.1092120000000001</v>
      </c>
      <c r="L341">
        <v>368.0591</v>
      </c>
      <c r="M341">
        <v>0.9999072</v>
      </c>
      <c r="N341">
        <v>0</v>
      </c>
      <c r="O341">
        <v>1.180286E-2</v>
      </c>
      <c r="P341">
        <v>0.9981255</v>
      </c>
      <c r="Q341">
        <v>5.964912E-2</v>
      </c>
      <c r="R341">
        <v>-1.3690000000000001E-2</v>
      </c>
      <c r="S341">
        <v>3.0071110000000001</v>
      </c>
      <c r="T341">
        <v>-1.5760900000000001E-2</v>
      </c>
      <c r="U341">
        <v>5.0720210000000002E-2</v>
      </c>
      <c r="V341">
        <v>2.552629E-2</v>
      </c>
      <c r="W341">
        <v>6.6418179999999993E-2</v>
      </c>
      <c r="X341">
        <v>0.9974653</v>
      </c>
      <c r="Y341">
        <v>-5.0618269999999996E-3</v>
      </c>
      <c r="Z341" s="1">
        <v>-4.8591260000000001E-5</v>
      </c>
      <c r="AA341">
        <v>0.99998719999999996</v>
      </c>
      <c r="AB341">
        <v>26</v>
      </c>
      <c r="AC341">
        <v>210.73339999999999</v>
      </c>
      <c r="AD341">
        <v>-1.109216280816</v>
      </c>
      <c r="AE341">
        <v>3.5597000000000198</v>
      </c>
      <c r="AF341">
        <v>-1.07210795915496</v>
      </c>
      <c r="AG341">
        <v>-1.109216280816</v>
      </c>
      <c r="AH341">
        <v>210.75489864980301</v>
      </c>
      <c r="AI341">
        <v>90.301544603740297</v>
      </c>
      <c r="AJ341">
        <v>90.291460515428895</v>
      </c>
      <c r="AK341">
        <v>210.76054441266399</v>
      </c>
      <c r="AL341">
        <v>86.191715116076296</v>
      </c>
      <c r="AM341">
        <v>88.534054737433394</v>
      </c>
      <c r="AN341">
        <v>0.99999999540988305</v>
      </c>
    </row>
    <row r="342" spans="1:40" x14ac:dyDescent="0.25">
      <c r="A342" t="str">
        <f>"20190312153857434"</f>
        <v>20190312153857434</v>
      </c>
      <c r="B342" t="str">
        <f>"1552376337426731"</f>
        <v>1552376337426731</v>
      </c>
      <c r="C342" t="s">
        <v>40</v>
      </c>
      <c r="D342">
        <v>3.5238489999999998</v>
      </c>
      <c r="E342">
        <v>0.50449480000000002</v>
      </c>
      <c r="F342" t="s">
        <v>41</v>
      </c>
      <c r="G342">
        <v>-440.91719999999998</v>
      </c>
      <c r="H342">
        <v>0.91999330000000001</v>
      </c>
      <c r="I342">
        <v>368.04149999999998</v>
      </c>
      <c r="J342">
        <v>-441.61869999999999</v>
      </c>
      <c r="K342">
        <v>1.1092109999999999</v>
      </c>
      <c r="L342">
        <v>368.06049999999999</v>
      </c>
      <c r="M342">
        <v>0.99991039999999998</v>
      </c>
      <c r="N342">
        <v>0</v>
      </c>
      <c r="O342">
        <v>1.1546580000000001E-2</v>
      </c>
      <c r="P342">
        <v>0.99811369999999999</v>
      </c>
      <c r="Q342">
        <v>5.9731510000000002E-2</v>
      </c>
      <c r="R342">
        <v>-1.4199369999999999E-2</v>
      </c>
      <c r="S342">
        <v>3.0455019999999999</v>
      </c>
      <c r="T342">
        <v>-0.68142069999999999</v>
      </c>
      <c r="U342">
        <v>-6.2561039999999998E-2</v>
      </c>
      <c r="V342">
        <v>2.5779920000000001E-2</v>
      </c>
      <c r="W342">
        <v>6.6493839999999999E-2</v>
      </c>
      <c r="X342">
        <v>0.9974537</v>
      </c>
      <c r="Y342">
        <v>3.1028500000000001E-2</v>
      </c>
      <c r="Z342">
        <v>-5.9803119999999998E-3</v>
      </c>
      <c r="AA342">
        <v>0.99950059999999996</v>
      </c>
      <c r="AB342">
        <v>27</v>
      </c>
      <c r="AC342">
        <v>0.70150000000001</v>
      </c>
      <c r="AD342">
        <v>-0.18921769999999999</v>
      </c>
      <c r="AE342">
        <v>-1.9000000000005401E-2</v>
      </c>
      <c r="AF342">
        <v>2.5262217160149099E-2</v>
      </c>
      <c r="AG342">
        <v>-0.18921769999999999</v>
      </c>
      <c r="AH342">
        <v>0.65370762640337798</v>
      </c>
      <c r="AI342">
        <v>106.131836515269</v>
      </c>
      <c r="AJ342">
        <v>87.786933352832406</v>
      </c>
      <c r="AK342">
        <v>0.68101040992563</v>
      </c>
      <c r="AL342">
        <v>86.187370375275606</v>
      </c>
      <c r="AM342">
        <v>88.5194783011612</v>
      </c>
      <c r="AN342">
        <v>0.99999995933842001</v>
      </c>
    </row>
    <row r="343" spans="1:40" x14ac:dyDescent="0.25">
      <c r="A343" t="str">
        <f>"20190312153857447"</f>
        <v>20190312153857447</v>
      </c>
      <c r="B343" t="str">
        <f>"1552376337436492"</f>
        <v>1552376337436492</v>
      </c>
      <c r="C343" t="s">
        <v>40</v>
      </c>
      <c r="D343">
        <v>3.7968510000000002</v>
      </c>
      <c r="E343">
        <v>0.50271940000000004</v>
      </c>
      <c r="F343" t="s">
        <v>41</v>
      </c>
      <c r="G343">
        <v>-440.90530000000001</v>
      </c>
      <c r="H343">
        <v>0.94607810000000003</v>
      </c>
      <c r="I343">
        <v>368.04759999999999</v>
      </c>
      <c r="J343">
        <v>-441.46899999999999</v>
      </c>
      <c r="K343">
        <v>1.1092070000000001</v>
      </c>
      <c r="L343">
        <v>368.06200000000001</v>
      </c>
      <c r="M343">
        <v>0.9999133</v>
      </c>
      <c r="N343">
        <v>0</v>
      </c>
      <c r="O343">
        <v>1.1281299999999999E-2</v>
      </c>
      <c r="P343">
        <v>0.99809239999999999</v>
      </c>
      <c r="Q343">
        <v>5.999612E-2</v>
      </c>
      <c r="R343">
        <v>-1.456695E-2</v>
      </c>
      <c r="S343">
        <v>3.0466310000000001</v>
      </c>
      <c r="T343">
        <v>-0.69680439999999999</v>
      </c>
      <c r="U343">
        <v>-5.450439E-2</v>
      </c>
      <c r="V343">
        <v>2.5882809999999999E-2</v>
      </c>
      <c r="W343">
        <v>6.6749810000000007E-2</v>
      </c>
      <c r="X343">
        <v>0.99743400000000004</v>
      </c>
      <c r="Y343">
        <v>2.814796E-2</v>
      </c>
      <c r="Z343">
        <v>-5.7248100000000003E-3</v>
      </c>
      <c r="AA343">
        <v>0.99958740000000001</v>
      </c>
      <c r="AB343">
        <v>27</v>
      </c>
      <c r="AC343">
        <v>0.56369999999998299</v>
      </c>
      <c r="AD343">
        <v>-0.16312889999999999</v>
      </c>
      <c r="AE343">
        <v>-1.43999999999664E-2</v>
      </c>
      <c r="AF343">
        <v>1.9155354727557999E-2</v>
      </c>
      <c r="AG343">
        <v>-0.16312889999999999</v>
      </c>
      <c r="AH343">
        <v>0.51998337565677599</v>
      </c>
      <c r="AI343">
        <v>107.406562791347</v>
      </c>
      <c r="AJ343">
        <v>87.890269254508198</v>
      </c>
      <c r="AK343">
        <v>0.54530787321417296</v>
      </c>
      <c r="AL343">
        <v>86.172671953015495</v>
      </c>
      <c r="AM343">
        <v>88.513542705596294</v>
      </c>
      <c r="AN343">
        <v>1.0000000206722599</v>
      </c>
    </row>
    <row r="344" spans="1:40" x14ac:dyDescent="0.25">
      <c r="A344" t="str">
        <f>"20190312153857470"</f>
        <v>20190312153857470</v>
      </c>
      <c r="B344" t="str">
        <f>"1552376337466194"</f>
        <v>1552376337466194</v>
      </c>
      <c r="C344" t="s">
        <v>40</v>
      </c>
      <c r="D344">
        <v>4.2239440000000004</v>
      </c>
      <c r="E344">
        <v>0.49785439999999997</v>
      </c>
      <c r="F344" t="s">
        <v>41</v>
      </c>
      <c r="G344">
        <v>-440.67290000000003</v>
      </c>
      <c r="H344">
        <v>0.93122879999999997</v>
      </c>
      <c r="I344">
        <v>368.05099999999999</v>
      </c>
      <c r="J344">
        <v>-441.2002</v>
      </c>
      <c r="K344">
        <v>1.109121</v>
      </c>
      <c r="L344">
        <v>368.06450000000001</v>
      </c>
      <c r="M344">
        <v>0.99992060000000005</v>
      </c>
      <c r="N344">
        <v>0</v>
      </c>
      <c r="O344">
        <v>1.0796119999999999E-2</v>
      </c>
      <c r="P344">
        <v>0.99804760000000003</v>
      </c>
      <c r="Q344">
        <v>6.0506659999999997E-2</v>
      </c>
      <c r="R344">
        <v>-1.5481299999999899E-2</v>
      </c>
      <c r="S344">
        <v>3.0459900000000002</v>
      </c>
      <c r="T344">
        <v>-0.68095530000000004</v>
      </c>
      <c r="U344">
        <v>-4.1687009999999997E-2</v>
      </c>
      <c r="V344">
        <v>2.6312680000000001E-2</v>
      </c>
      <c r="W344">
        <v>6.6948670000000002E-2</v>
      </c>
      <c r="X344">
        <v>0.9974094</v>
      </c>
      <c r="Y344">
        <v>2.362947E-2</v>
      </c>
      <c r="Z344">
        <v>-4.9930419999999996E-3</v>
      </c>
      <c r="AA344">
        <v>0.99970829999999999</v>
      </c>
      <c r="AB344">
        <v>27</v>
      </c>
      <c r="AC344">
        <v>0.52729999999996802</v>
      </c>
      <c r="AD344">
        <v>-0.177892199999999</v>
      </c>
      <c r="AE344">
        <v>-1.35000000000218E-2</v>
      </c>
      <c r="AF344">
        <v>1.7232141578860299E-2</v>
      </c>
      <c r="AG344">
        <v>-0.177892199999999</v>
      </c>
      <c r="AH344">
        <v>0.473291305430803</v>
      </c>
      <c r="AI344">
        <v>110.586835485105</v>
      </c>
      <c r="AJ344">
        <v>87.914829528824399</v>
      </c>
      <c r="AK344">
        <v>0.50591228619260398</v>
      </c>
      <c r="AL344">
        <v>86.161252476953905</v>
      </c>
      <c r="AM344">
        <v>88.488829246949095</v>
      </c>
      <c r="AN344">
        <v>0.99999999637595505</v>
      </c>
    </row>
    <row r="345" spans="1:40" x14ac:dyDescent="0.25">
      <c r="A345" t="str">
        <f>"20190312153857490"</f>
        <v>20190312153857490</v>
      </c>
      <c r="B345" t="str">
        <f>"1552376337486689"</f>
        <v>1552376337486689</v>
      </c>
      <c r="C345" t="s">
        <v>40</v>
      </c>
      <c r="D345">
        <v>4.1793709999999997</v>
      </c>
      <c r="E345">
        <v>0.49658839999999999</v>
      </c>
      <c r="F345" t="s">
        <v>41</v>
      </c>
      <c r="G345">
        <v>-440.41730000000001</v>
      </c>
      <c r="H345">
        <v>0.96100909999999995</v>
      </c>
      <c r="I345">
        <v>368.06200000000001</v>
      </c>
      <c r="J345">
        <v>-440.95179999999999</v>
      </c>
      <c r="K345">
        <v>1.1089260000000001</v>
      </c>
      <c r="L345">
        <v>368.0668</v>
      </c>
      <c r="M345">
        <v>0.9999287</v>
      </c>
      <c r="N345">
        <v>0</v>
      </c>
      <c r="O345">
        <v>1.034062E-2</v>
      </c>
      <c r="P345">
        <v>0.99799550000000004</v>
      </c>
      <c r="Q345">
        <v>6.1167899999999997E-2</v>
      </c>
      <c r="R345">
        <v>-1.6232150000000001E-2</v>
      </c>
      <c r="S345">
        <v>3.040619</v>
      </c>
      <c r="T345">
        <v>-0.57533480000000004</v>
      </c>
      <c r="U345">
        <v>-8.1176759999999903E-3</v>
      </c>
      <c r="V345">
        <v>2.6607949999999998E-2</v>
      </c>
      <c r="W345">
        <v>6.7117090000000004E-2</v>
      </c>
      <c r="X345">
        <v>0.99739029999999995</v>
      </c>
      <c r="Y345">
        <v>1.260324E-2</v>
      </c>
      <c r="Z345">
        <v>-3.1213019999999998E-3</v>
      </c>
      <c r="AA345">
        <v>0.99991569999999996</v>
      </c>
      <c r="AB345">
        <v>27</v>
      </c>
      <c r="AC345">
        <v>0.53449999999997999</v>
      </c>
      <c r="AD345">
        <v>-0.14791689999999999</v>
      </c>
      <c r="AE345">
        <v>-4.8000000000456497E-3</v>
      </c>
      <c r="AF345">
        <v>9.5923392459867293E-3</v>
      </c>
      <c r="AG345">
        <v>-0.14791689999999999</v>
      </c>
      <c r="AH345">
        <v>0.49640777233871802</v>
      </c>
      <c r="AI345">
        <v>106.58979242376201</v>
      </c>
      <c r="AJ345">
        <v>88.892982354780003</v>
      </c>
      <c r="AK345">
        <v>0.51806572818138497</v>
      </c>
      <c r="AL345">
        <v>86.151581169734399</v>
      </c>
      <c r="AM345">
        <v>88.471850260825505</v>
      </c>
      <c r="AN345">
        <v>1.00000004865367</v>
      </c>
    </row>
    <row r="346" spans="1:40" x14ac:dyDescent="0.25">
      <c r="A346" t="str">
        <f>"20190312153857504"</f>
        <v>20190312153857504</v>
      </c>
      <c r="B346" t="str">
        <f>"1552376337496449"</f>
        <v>1552376337496449</v>
      </c>
      <c r="C346" t="s">
        <v>40</v>
      </c>
      <c r="D346">
        <v>4.2094579999999997</v>
      </c>
      <c r="E346">
        <v>0.49631769999999997</v>
      </c>
      <c r="F346" t="s">
        <v>41</v>
      </c>
      <c r="G346">
        <v>-440.16390000000001</v>
      </c>
      <c r="H346">
        <v>0.98171620000000004</v>
      </c>
      <c r="I346">
        <v>368.06560000000002</v>
      </c>
      <c r="J346">
        <v>-440.77710000000002</v>
      </c>
      <c r="K346">
        <v>1.1087370000000001</v>
      </c>
      <c r="L346">
        <v>368.06830000000002</v>
      </c>
      <c r="M346">
        <v>0.99993339999999997</v>
      </c>
      <c r="N346">
        <v>0</v>
      </c>
      <c r="O346">
        <v>1.002171E-2</v>
      </c>
      <c r="P346">
        <v>0.99796779999999996</v>
      </c>
      <c r="Q346">
        <v>6.1513560000000002E-2</v>
      </c>
      <c r="R346">
        <v>-1.663763E-2</v>
      </c>
      <c r="S346">
        <v>3.0360109999999998</v>
      </c>
      <c r="T346">
        <v>-0.49037209999999998</v>
      </c>
      <c r="U346">
        <v>-2.746582E-3</v>
      </c>
      <c r="V346">
        <v>2.6695099999999999E-2</v>
      </c>
      <c r="W346">
        <v>6.7224149999999996E-2</v>
      </c>
      <c r="X346">
        <v>0.99738070000000001</v>
      </c>
      <c r="Y346">
        <v>1.065847E-2</v>
      </c>
      <c r="Z346">
        <v>-2.4635070000000002E-3</v>
      </c>
      <c r="AA346">
        <v>0.99994019999999995</v>
      </c>
      <c r="AB346">
        <v>27</v>
      </c>
      <c r="AC346">
        <v>0.61320000000000596</v>
      </c>
      <c r="AD346">
        <v>-0.12702079999999999</v>
      </c>
      <c r="AE346">
        <v>-2.7000000000043599E-3</v>
      </c>
      <c r="AF346">
        <v>8.4813605125639395E-3</v>
      </c>
      <c r="AG346">
        <v>-0.12702079999999999</v>
      </c>
      <c r="AH346">
        <v>0.58791592471467802</v>
      </c>
      <c r="AI346">
        <v>102.190285450267</v>
      </c>
      <c r="AJ346">
        <v>89.173500095843906</v>
      </c>
      <c r="AK346">
        <v>0.60154081461019704</v>
      </c>
      <c r="AL346">
        <v>86.145432963477106</v>
      </c>
      <c r="AM346">
        <v>88.466832690730101</v>
      </c>
      <c r="AN346">
        <v>0.99999998771986098</v>
      </c>
    </row>
    <row r="347" spans="1:40" x14ac:dyDescent="0.25">
      <c r="A347" t="str">
        <f>"20190312153857523"</f>
        <v>20190312153857523</v>
      </c>
      <c r="B347" t="str">
        <f>"1552376337515968"</f>
        <v>1552376337515968</v>
      </c>
      <c r="C347" t="s">
        <v>40</v>
      </c>
      <c r="D347">
        <v>4.1344479999999999</v>
      </c>
      <c r="E347">
        <v>0.49552659999999998</v>
      </c>
      <c r="F347" t="s">
        <v>41</v>
      </c>
      <c r="G347">
        <v>-439.91899999999998</v>
      </c>
      <c r="H347">
        <v>0.98121800000000003</v>
      </c>
      <c r="I347">
        <v>368.06709999999998</v>
      </c>
      <c r="J347">
        <v>-440.54109999999997</v>
      </c>
      <c r="K347">
        <v>1.1083970000000001</v>
      </c>
      <c r="L347">
        <v>368.07029999999997</v>
      </c>
      <c r="M347">
        <v>0.99993799999999999</v>
      </c>
      <c r="N347">
        <v>0</v>
      </c>
      <c r="O347">
        <v>9.596182E-3</v>
      </c>
      <c r="P347">
        <v>0.99793920000000003</v>
      </c>
      <c r="Q347">
        <v>6.1767269999999999E-2</v>
      </c>
      <c r="R347">
        <v>-1.7384839999999999E-2</v>
      </c>
      <c r="S347">
        <v>3.0338750000000001</v>
      </c>
      <c r="T347">
        <v>-0.45097359999999997</v>
      </c>
      <c r="U347">
        <v>-2.5939940000000001E-3</v>
      </c>
      <c r="V347">
        <v>2.7018339999999998E-2</v>
      </c>
      <c r="W347">
        <v>6.7397789999999999E-2</v>
      </c>
      <c r="X347">
        <v>0.99736029999999998</v>
      </c>
      <c r="Y347">
        <v>1.023343E-2</v>
      </c>
      <c r="Z347">
        <v>-2.175073E-3</v>
      </c>
      <c r="AA347">
        <v>0.99994530000000004</v>
      </c>
      <c r="AB347">
        <v>27</v>
      </c>
      <c r="AC347">
        <v>0.62209999999993204</v>
      </c>
      <c r="AD347">
        <v>-0.12717899999999899</v>
      </c>
      <c r="AE347">
        <v>-3.19999999999254E-3</v>
      </c>
      <c r="AF347">
        <v>8.80187968697148E-3</v>
      </c>
      <c r="AG347">
        <v>-0.12717899999999899</v>
      </c>
      <c r="AH347">
        <v>0.597086861360271</v>
      </c>
      <c r="AI347">
        <v>102.02299237813</v>
      </c>
      <c r="AJ347">
        <v>89.155442758847698</v>
      </c>
      <c r="AK347">
        <v>0.61054458570696002</v>
      </c>
      <c r="AL347">
        <v>86.135461597175706</v>
      </c>
      <c r="AM347">
        <v>88.448245496270005</v>
      </c>
      <c r="AN347">
        <v>1.00000001040466</v>
      </c>
    </row>
    <row r="348" spans="1:40" x14ac:dyDescent="0.25">
      <c r="A348" t="str">
        <f>"20190312153857536"</f>
        <v>20190312153857536</v>
      </c>
      <c r="B348" t="str">
        <f>"1552376337526705"</f>
        <v>1552376337526705</v>
      </c>
      <c r="C348" t="s">
        <v>40</v>
      </c>
      <c r="D348">
        <v>4.1555049999999998</v>
      </c>
      <c r="E348">
        <v>0.49521169999999998</v>
      </c>
      <c r="F348" t="s">
        <v>41</v>
      </c>
      <c r="G348">
        <v>-439.66590000000002</v>
      </c>
      <c r="H348">
        <v>0.99525699999999995</v>
      </c>
      <c r="I348">
        <v>368.06979999999999</v>
      </c>
      <c r="J348">
        <v>-440.3827</v>
      </c>
      <c r="K348">
        <v>1.1081110000000001</v>
      </c>
      <c r="L348">
        <v>368.07150000000001</v>
      </c>
      <c r="M348">
        <v>0.99994019999999995</v>
      </c>
      <c r="N348">
        <v>0</v>
      </c>
      <c r="O348">
        <v>9.3147899999999999E-3</v>
      </c>
      <c r="P348">
        <v>0.99794000000000005</v>
      </c>
      <c r="Q348">
        <v>6.1694180000000001E-2</v>
      </c>
      <c r="R348">
        <v>-1.759616E-2</v>
      </c>
      <c r="S348">
        <v>3.0304869999999999</v>
      </c>
      <c r="T348">
        <v>-0.39191959999999998</v>
      </c>
      <c r="U348">
        <v>-2.4414059999999999E-4</v>
      </c>
      <c r="V348">
        <v>2.6950100000000001E-2</v>
      </c>
      <c r="W348">
        <v>6.7415390000000006E-2</v>
      </c>
      <c r="X348">
        <v>0.99736089999999999</v>
      </c>
      <c r="Y348">
        <v>9.2409729999999995E-3</v>
      </c>
      <c r="Z348">
        <v>-1.7947219999999999E-3</v>
      </c>
      <c r="AA348">
        <v>0.9999557</v>
      </c>
      <c r="AB348">
        <v>27</v>
      </c>
      <c r="AC348">
        <v>0.71679999999997701</v>
      </c>
      <c r="AD348">
        <v>-0.112854</v>
      </c>
      <c r="AE348">
        <v>-1.7000000000280101E-3</v>
      </c>
      <c r="AF348">
        <v>8.1742566542558001E-3</v>
      </c>
      <c r="AG348">
        <v>-0.112854</v>
      </c>
      <c r="AH348">
        <v>0.69941617791042598</v>
      </c>
      <c r="AI348">
        <v>99.165319740841397</v>
      </c>
      <c r="AJ348">
        <v>89.330399983326799</v>
      </c>
      <c r="AK348">
        <v>0.70850958618121596</v>
      </c>
      <c r="AL348">
        <v>86.134450673467796</v>
      </c>
      <c r="AM348">
        <v>88.452163771627198</v>
      </c>
      <c r="AN348">
        <v>0.99999995377383499</v>
      </c>
    </row>
    <row r="349" spans="1:40" x14ac:dyDescent="0.25">
      <c r="A349" t="str">
        <f>"20190312153857548"</f>
        <v>20190312153857548</v>
      </c>
      <c r="B349" t="str">
        <f>"1552376337536465"</f>
        <v>1552376337536465</v>
      </c>
      <c r="C349" t="s">
        <v>40</v>
      </c>
      <c r="D349">
        <v>4.0948929999999999</v>
      </c>
      <c r="E349">
        <v>0.49488080000000001</v>
      </c>
      <c r="F349" t="s">
        <v>41</v>
      </c>
      <c r="G349">
        <v>-439.65410000000003</v>
      </c>
      <c r="H349">
        <v>1.0198670000000001</v>
      </c>
      <c r="I349">
        <v>368.07139999999998</v>
      </c>
      <c r="J349">
        <v>-440.23820000000001</v>
      </c>
      <c r="K349">
        <v>1.1077509999999999</v>
      </c>
      <c r="L349">
        <v>368.0727</v>
      </c>
      <c r="M349">
        <v>0.99994090000000002</v>
      </c>
      <c r="N349">
        <v>0</v>
      </c>
      <c r="O349">
        <v>9.0648359999999997E-3</v>
      </c>
      <c r="P349">
        <v>0.99797800000000003</v>
      </c>
      <c r="Q349">
        <v>6.1038130000000003E-2</v>
      </c>
      <c r="R349">
        <v>-1.7730570000000001E-2</v>
      </c>
      <c r="S349">
        <v>3.028931</v>
      </c>
      <c r="T349">
        <v>-0.36712709999999998</v>
      </c>
      <c r="U349">
        <v>9.4604490000000003E-4</v>
      </c>
      <c r="V349">
        <v>2.6836700000000002E-2</v>
      </c>
      <c r="W349">
        <v>6.7005750000000003E-2</v>
      </c>
      <c r="X349">
        <v>0.99739160000000004</v>
      </c>
      <c r="Y349">
        <v>8.6232229999999993E-3</v>
      </c>
      <c r="Z349">
        <v>-1.6154139999999999E-3</v>
      </c>
      <c r="AA349">
        <v>0.99996149999999995</v>
      </c>
      <c r="AB349">
        <v>27</v>
      </c>
      <c r="AC349">
        <v>0.58409999999997797</v>
      </c>
      <c r="AD349">
        <v>-8.7883999999999796E-2</v>
      </c>
      <c r="AE349">
        <v>-1.3000000000147299E-3</v>
      </c>
      <c r="AF349">
        <v>6.4488225393192801E-3</v>
      </c>
      <c r="AG349">
        <v>-8.7883999999999796E-2</v>
      </c>
      <c r="AH349">
        <v>0.57113471906161495</v>
      </c>
      <c r="AI349">
        <v>98.7472910602811</v>
      </c>
      <c r="AJ349">
        <v>89.353086757257202</v>
      </c>
      <c r="AK349">
        <v>0.57789276867402795</v>
      </c>
      <c r="AL349">
        <v>86.157974654315893</v>
      </c>
      <c r="AM349">
        <v>88.458720991914007</v>
      </c>
      <c r="AN349">
        <v>0.99999999137525597</v>
      </c>
    </row>
    <row r="350" spans="1:40" x14ac:dyDescent="0.25">
      <c r="A350" t="str">
        <f>"20190312153857561"</f>
        <v>20190312153857561</v>
      </c>
      <c r="B350" t="str">
        <f>"1552376337555986"</f>
        <v>1552376337555986</v>
      </c>
      <c r="C350" t="s">
        <v>40</v>
      </c>
      <c r="D350">
        <v>4.3947089999999998</v>
      </c>
      <c r="E350">
        <v>0.49446960000000001</v>
      </c>
      <c r="F350" t="s">
        <v>41</v>
      </c>
      <c r="G350">
        <v>-439.41019999999997</v>
      </c>
      <c r="H350">
        <v>1.011846</v>
      </c>
      <c r="I350">
        <v>368.0729</v>
      </c>
      <c r="J350">
        <v>-440.0849</v>
      </c>
      <c r="K350">
        <v>1.107337</v>
      </c>
      <c r="L350">
        <v>368.07380000000001</v>
      </c>
      <c r="M350">
        <v>0.99994130000000003</v>
      </c>
      <c r="N350">
        <v>0</v>
      </c>
      <c r="O350">
        <v>8.8009230000000004E-3</v>
      </c>
      <c r="P350">
        <v>0.99801269999999997</v>
      </c>
      <c r="Q350">
        <v>6.0356350000000003E-2</v>
      </c>
      <c r="R350">
        <v>-1.810579E-2</v>
      </c>
      <c r="S350">
        <v>3.0275880000000002</v>
      </c>
      <c r="T350">
        <v>-0.35095480000000001</v>
      </c>
      <c r="U350">
        <v>3.0517579999999999E-3</v>
      </c>
      <c r="V350">
        <v>2.6950499999999999E-2</v>
      </c>
      <c r="W350">
        <v>6.6641329999999999E-2</v>
      </c>
      <c r="X350">
        <v>0.99741299999999999</v>
      </c>
      <c r="Y350">
        <v>7.6827730000000004E-3</v>
      </c>
      <c r="Z350">
        <v>-1.4606020000000001E-3</v>
      </c>
      <c r="AA350">
        <v>0.99996940000000001</v>
      </c>
      <c r="AB350">
        <v>28</v>
      </c>
      <c r="AC350">
        <v>0.67470000000002905</v>
      </c>
      <c r="AD350">
        <v>-9.5491000000000006E-2</v>
      </c>
      <c r="AE350">
        <v>-9.0000000000145497E-4</v>
      </c>
      <c r="AF350">
        <v>6.7037829816436597E-3</v>
      </c>
      <c r="AG350">
        <v>-9.5491000000000006E-2</v>
      </c>
      <c r="AH350">
        <v>0.66141709987766495</v>
      </c>
      <c r="AI350">
        <v>98.214802664714597</v>
      </c>
      <c r="AJ350">
        <v>89.419299380165995</v>
      </c>
      <c r="AK350">
        <v>0.66830835083653295</v>
      </c>
      <c r="AL350">
        <v>86.1789013603846</v>
      </c>
      <c r="AM350">
        <v>88.452221622737596</v>
      </c>
      <c r="AN350">
        <v>1.0000000444417001</v>
      </c>
    </row>
    <row r="351" spans="1:40" x14ac:dyDescent="0.25">
      <c r="A351" t="str">
        <f>"20190312153857578"</f>
        <v>20190312153857578</v>
      </c>
      <c r="B351" t="str">
        <f>"1552376337566252"</f>
        <v>1552376337566252</v>
      </c>
      <c r="C351" t="s">
        <v>40</v>
      </c>
      <c r="D351">
        <v>4.1401830000000004</v>
      </c>
      <c r="E351">
        <v>0.49418260000000003</v>
      </c>
      <c r="F351" t="s">
        <v>41</v>
      </c>
      <c r="G351">
        <v>-439.16180000000003</v>
      </c>
      <c r="H351">
        <v>1.0105360000000001</v>
      </c>
      <c r="I351">
        <v>368.07470000000001</v>
      </c>
      <c r="J351">
        <v>-439.86160000000001</v>
      </c>
      <c r="K351">
        <v>1.106598</v>
      </c>
      <c r="L351">
        <v>368.0754</v>
      </c>
      <c r="M351">
        <v>0.99994000000000005</v>
      </c>
      <c r="N351">
        <v>0</v>
      </c>
      <c r="O351">
        <v>8.4235030000000006E-3</v>
      </c>
      <c r="P351">
        <v>0.99810100000000002</v>
      </c>
      <c r="Q351">
        <v>5.8784700000000002E-2</v>
      </c>
      <c r="R351">
        <v>-1.8406510000000001E-2</v>
      </c>
      <c r="S351">
        <v>3.0252690000000002</v>
      </c>
      <c r="T351">
        <v>-0.3174244</v>
      </c>
      <c r="U351">
        <v>4.1809079999999997E-3</v>
      </c>
      <c r="V351">
        <v>2.6877620000000001E-2</v>
      </c>
      <c r="W351">
        <v>6.5736849999999999E-2</v>
      </c>
      <c r="X351">
        <v>0.997475</v>
      </c>
      <c r="Y351">
        <v>6.957324E-3</v>
      </c>
      <c r="Z351">
        <v>-1.245421E-3</v>
      </c>
      <c r="AA351">
        <v>0.99997499999999995</v>
      </c>
      <c r="AB351">
        <v>28</v>
      </c>
      <c r="AC351">
        <v>0.69979999999998199</v>
      </c>
      <c r="AD351">
        <v>-9.60619999999998E-2</v>
      </c>
      <c r="AE351">
        <v>-6.9999999999481501E-4</v>
      </c>
      <c r="AF351">
        <v>6.4729165710797603E-3</v>
      </c>
      <c r="AG351">
        <v>-9.60619999999998E-2</v>
      </c>
      <c r="AH351">
        <v>0.68682724299540499</v>
      </c>
      <c r="AI351">
        <v>97.961585610516295</v>
      </c>
      <c r="AJ351">
        <v>89.460039151142595</v>
      </c>
      <c r="AK351">
        <v>0.69354269386506096</v>
      </c>
      <c r="AL351">
        <v>86.230838189089894</v>
      </c>
      <c r="AM351">
        <v>88.456501022344796</v>
      </c>
      <c r="AN351">
        <v>1.00000005776489</v>
      </c>
    </row>
    <row r="352" spans="1:40" x14ac:dyDescent="0.25">
      <c r="A352" t="str">
        <f>"20190312153857590"</f>
        <v>20190312153857590</v>
      </c>
      <c r="B352" t="str">
        <f>"1552376337586748"</f>
        <v>1552376337586748</v>
      </c>
      <c r="C352" t="s">
        <v>40</v>
      </c>
      <c r="D352">
        <v>4.1485890000000003</v>
      </c>
      <c r="E352">
        <v>0.49365769999999998</v>
      </c>
      <c r="F352" t="s">
        <v>41</v>
      </c>
      <c r="G352">
        <v>-438.91230000000002</v>
      </c>
      <c r="H352">
        <v>1.0107200000000001</v>
      </c>
      <c r="I352">
        <v>368.07670000000002</v>
      </c>
      <c r="J352">
        <v>-439.71140000000003</v>
      </c>
      <c r="K352">
        <v>1.1060239999999999</v>
      </c>
      <c r="L352">
        <v>368.07639999999998</v>
      </c>
      <c r="M352">
        <v>0.99993679999999996</v>
      </c>
      <c r="N352">
        <v>0</v>
      </c>
      <c r="O352">
        <v>8.1990959999999995E-3</v>
      </c>
      <c r="P352">
        <v>0.99816020000000005</v>
      </c>
      <c r="Q352">
        <v>5.7644140000000003E-2</v>
      </c>
      <c r="R352">
        <v>-1.8803299999999998E-2</v>
      </c>
      <c r="S352">
        <v>3.0238040000000002</v>
      </c>
      <c r="T352">
        <v>-0.30557279999999998</v>
      </c>
      <c r="U352">
        <v>5.2795409999999996E-3</v>
      </c>
      <c r="V352">
        <v>2.7052949999999999E-2</v>
      </c>
      <c r="W352">
        <v>6.5308149999999995E-2</v>
      </c>
      <c r="X352">
        <v>0.99749829999999995</v>
      </c>
      <c r="Y352">
        <v>6.3791459999999996E-3</v>
      </c>
      <c r="Z352">
        <v>-1.1479820000000001E-3</v>
      </c>
      <c r="AA352">
        <v>0.99997899999999995</v>
      </c>
      <c r="AB352">
        <v>28</v>
      </c>
      <c r="AC352">
        <v>0.79910000000000903</v>
      </c>
      <c r="AD352">
        <v>-9.5303999999999806E-2</v>
      </c>
      <c r="AE352">
        <v>3.0000000003838003E-4</v>
      </c>
      <c r="AF352">
        <v>6.1644192135783303E-3</v>
      </c>
      <c r="AG352">
        <v>-9.5303999999999806E-2</v>
      </c>
      <c r="AH352">
        <v>0.78786899601261895</v>
      </c>
      <c r="AI352">
        <v>96.897022572880303</v>
      </c>
      <c r="AJ352">
        <v>89.551717355442094</v>
      </c>
      <c r="AK352">
        <v>0.79363619332674895</v>
      </c>
      <c r="AL352">
        <v>86.255453334321004</v>
      </c>
      <c r="AM352">
        <v>88.446473549546596</v>
      </c>
      <c r="AN352">
        <v>0.99999993753150496</v>
      </c>
    </row>
    <row r="353" spans="1:40" x14ac:dyDescent="0.25">
      <c r="A353" t="str">
        <f>"20190312153857602"</f>
        <v>20190312153857602</v>
      </c>
      <c r="B353" t="str">
        <f>"1552376337596508"</f>
        <v>1552376337596508</v>
      </c>
      <c r="C353" t="s">
        <v>40</v>
      </c>
      <c r="D353">
        <v>4.1507809999999896</v>
      </c>
      <c r="E353">
        <v>0.4934519</v>
      </c>
      <c r="F353" t="s">
        <v>41</v>
      </c>
      <c r="G353">
        <v>-438.90320000000003</v>
      </c>
      <c r="H353">
        <v>1.029676</v>
      </c>
      <c r="I353">
        <v>368.07799999999997</v>
      </c>
      <c r="J353">
        <v>-439.5652</v>
      </c>
      <c r="K353">
        <v>1.1054349999999999</v>
      </c>
      <c r="L353">
        <v>368.07740000000001</v>
      </c>
      <c r="M353">
        <v>0.99993189999999998</v>
      </c>
      <c r="N353">
        <v>0</v>
      </c>
      <c r="O353">
        <v>7.9850389999999993E-3</v>
      </c>
      <c r="P353">
        <v>0.99822440000000001</v>
      </c>
      <c r="Q353">
        <v>5.6457189999999997E-2</v>
      </c>
      <c r="R353">
        <v>-1.8988640000000001E-2</v>
      </c>
      <c r="S353">
        <v>3.0222169999999999</v>
      </c>
      <c r="T353">
        <v>-0.28578789999999998</v>
      </c>
      <c r="U353">
        <v>7.3547359999999997E-3</v>
      </c>
      <c r="V353">
        <v>2.702703E-2</v>
      </c>
      <c r="W353">
        <v>6.4919379999999999E-2</v>
      </c>
      <c r="X353">
        <v>0.99752439999999998</v>
      </c>
      <c r="Y353">
        <v>5.4917119999999897E-3</v>
      </c>
      <c r="Z353">
        <v>-1.0124979999999999E-3</v>
      </c>
      <c r="AA353">
        <v>0.9999844</v>
      </c>
      <c r="AB353">
        <v>28</v>
      </c>
      <c r="AC353">
        <v>0.66199999999997705</v>
      </c>
      <c r="AD353">
        <v>-7.5758999999999896E-2</v>
      </c>
      <c r="AE353">
        <v>6.0000000001991696E-4</v>
      </c>
      <c r="AF353">
        <v>4.6257260200541599E-3</v>
      </c>
      <c r="AG353">
        <v>-7.5758999999999896E-2</v>
      </c>
      <c r="AH353">
        <v>0.65342615031274598</v>
      </c>
      <c r="AI353">
        <v>96.613248337411505</v>
      </c>
      <c r="AJ353">
        <v>89.594399228212296</v>
      </c>
      <c r="AK353">
        <v>0.65781954769887196</v>
      </c>
      <c r="AL353">
        <v>86.277775661441794</v>
      </c>
      <c r="AM353">
        <v>88.448001876401506</v>
      </c>
      <c r="AN353">
        <v>0.99999995742278103</v>
      </c>
    </row>
    <row r="354" spans="1:40" x14ac:dyDescent="0.25">
      <c r="A354" t="str">
        <f>"20190312153857615"</f>
        <v>20190312153857615</v>
      </c>
      <c r="B354" t="str">
        <f>"1552376337606267"</f>
        <v>1552376337606267</v>
      </c>
      <c r="C354" t="s">
        <v>40</v>
      </c>
      <c r="D354">
        <v>4.1538180000000002</v>
      </c>
      <c r="E354">
        <v>0.49328719999999998</v>
      </c>
      <c r="F354" t="s">
        <v>41</v>
      </c>
      <c r="G354">
        <v>-438.6576</v>
      </c>
      <c r="H354">
        <v>1.0215179999999999</v>
      </c>
      <c r="I354">
        <v>368.07979999999998</v>
      </c>
      <c r="J354">
        <v>-439.40249999999997</v>
      </c>
      <c r="K354">
        <v>1.104735</v>
      </c>
      <c r="L354">
        <v>368.07839999999999</v>
      </c>
      <c r="M354">
        <v>0.99992440000000005</v>
      </c>
      <c r="N354">
        <v>0</v>
      </c>
      <c r="O354">
        <v>7.7530749999999999E-3</v>
      </c>
      <c r="P354">
        <v>0.99831349999999996</v>
      </c>
      <c r="Q354">
        <v>5.475998E-2</v>
      </c>
      <c r="R354">
        <v>-1.927831E-2</v>
      </c>
      <c r="S354">
        <v>3.0213009999999998</v>
      </c>
      <c r="T354">
        <v>-0.27945209999999998</v>
      </c>
      <c r="U354">
        <v>8.6364749999999994E-3</v>
      </c>
      <c r="V354">
        <v>2.7087139999999999E-2</v>
      </c>
      <c r="W354">
        <v>6.4265580000000003E-2</v>
      </c>
      <c r="X354">
        <v>0.99756520000000004</v>
      </c>
      <c r="Y354">
        <v>4.8412079999999996E-3</v>
      </c>
      <c r="Z354">
        <v>-9.3902299999999998E-4</v>
      </c>
      <c r="AA354">
        <v>0.99998779999999998</v>
      </c>
      <c r="AB354">
        <v>28</v>
      </c>
      <c r="AC354">
        <v>0.74489999999997203</v>
      </c>
      <c r="AD354">
        <v>-8.3217000000000096E-2</v>
      </c>
      <c r="AE354">
        <v>1.39999999998963E-3</v>
      </c>
      <c r="AF354">
        <v>4.3216351819013003E-3</v>
      </c>
      <c r="AG354">
        <v>-8.3217000000000096E-2</v>
      </c>
      <c r="AH354">
        <v>0.73570659152594398</v>
      </c>
      <c r="AI354">
        <v>96.453281986753197</v>
      </c>
      <c r="AJ354">
        <v>89.6634410898954</v>
      </c>
      <c r="AK354">
        <v>0.74041065256678196</v>
      </c>
      <c r="AL354">
        <v>86.315314387787296</v>
      </c>
      <c r="AM354">
        <v>88.444615404069197</v>
      </c>
      <c r="AN354">
        <v>1.00000005308857</v>
      </c>
    </row>
    <row r="355" spans="1:40" x14ac:dyDescent="0.25">
      <c r="A355" t="str">
        <f>"20190312153857627"</f>
        <v>20190312153857627</v>
      </c>
      <c r="B355" t="str">
        <f>"1552376337616028"</f>
        <v>1552376337616028</v>
      </c>
      <c r="C355" t="s">
        <v>40</v>
      </c>
      <c r="D355">
        <v>4.1571800000000003</v>
      </c>
      <c r="E355">
        <v>0.4930583</v>
      </c>
      <c r="F355" t="s">
        <v>41</v>
      </c>
      <c r="G355">
        <v>-438.64830000000001</v>
      </c>
      <c r="H355">
        <v>1.036098</v>
      </c>
      <c r="I355">
        <v>368.08049999999997</v>
      </c>
      <c r="J355">
        <v>-439.25099999999998</v>
      </c>
      <c r="K355">
        <v>1.1040270000000001</v>
      </c>
      <c r="L355">
        <v>368.07929999999999</v>
      </c>
      <c r="M355">
        <v>0.99991549999999996</v>
      </c>
      <c r="N355">
        <v>0</v>
      </c>
      <c r="O355">
        <v>7.52214599999999E-3</v>
      </c>
      <c r="P355">
        <v>0.99839389999999995</v>
      </c>
      <c r="Q355">
        <v>5.311917E-2</v>
      </c>
      <c r="R355">
        <v>-1.9700599999999999E-2</v>
      </c>
      <c r="S355">
        <v>3.0203250000000001</v>
      </c>
      <c r="T355">
        <v>-0.27501209999999998</v>
      </c>
      <c r="U355">
        <v>8.7280269999999993E-3</v>
      </c>
      <c r="V355">
        <v>2.7279950000000001E-2</v>
      </c>
      <c r="W355">
        <v>6.3685980000000003E-2</v>
      </c>
      <c r="X355">
        <v>0.99759699999999996</v>
      </c>
      <c r="Y355">
        <v>4.5827890000000003E-3</v>
      </c>
      <c r="Z355">
        <v>-8.9174570000000002E-4</v>
      </c>
      <c r="AA355">
        <v>0.99998909999999996</v>
      </c>
      <c r="AB355">
        <v>28</v>
      </c>
      <c r="AC355">
        <v>0.60269999999997004</v>
      </c>
      <c r="AD355">
        <v>-6.79290000000001E-2</v>
      </c>
      <c r="AE355">
        <v>1.1999999999829901E-3</v>
      </c>
      <c r="AF355">
        <v>3.29206704928663E-3</v>
      </c>
      <c r="AG355">
        <v>-6.79290000000001E-2</v>
      </c>
      <c r="AH355">
        <v>0.59513201110221003</v>
      </c>
      <c r="AI355">
        <v>96.511521761754807</v>
      </c>
      <c r="AJ355">
        <v>89.683062546758507</v>
      </c>
      <c r="AK355">
        <v>0.59900525655875303</v>
      </c>
      <c r="AL355">
        <v>86.348590765212293</v>
      </c>
      <c r="AM355">
        <v>88.4335993668155</v>
      </c>
      <c r="AN355">
        <v>0.99999993706477897</v>
      </c>
    </row>
    <row r="356" spans="1:40" x14ac:dyDescent="0.25">
      <c r="A356" t="str">
        <f>"20190312153857639"</f>
        <v>20190312153857639</v>
      </c>
      <c r="B356" t="str">
        <f>"1552376337636523"</f>
        <v>1552376337636523</v>
      </c>
      <c r="C356" t="s">
        <v>40</v>
      </c>
      <c r="D356">
        <v>4.1788109999999996</v>
      </c>
      <c r="E356">
        <v>0.49280170000000001</v>
      </c>
      <c r="F356" t="s">
        <v>41</v>
      </c>
      <c r="G356">
        <v>-438.40460000000002</v>
      </c>
      <c r="H356">
        <v>1.0280370000000001</v>
      </c>
      <c r="I356">
        <v>368.0813</v>
      </c>
      <c r="J356">
        <v>-439.10219999999998</v>
      </c>
      <c r="K356">
        <v>1.103308</v>
      </c>
      <c r="L356">
        <v>368.08019999999999</v>
      </c>
      <c r="M356">
        <v>0.99990540000000006</v>
      </c>
      <c r="N356">
        <v>0</v>
      </c>
      <c r="O356">
        <v>7.2876859999999998E-3</v>
      </c>
      <c r="P356">
        <v>0.99846999999999997</v>
      </c>
      <c r="Q356">
        <v>5.1482769999999997E-2</v>
      </c>
      <c r="R356">
        <v>-2.0180219999999999E-2</v>
      </c>
      <c r="S356">
        <v>3.019409</v>
      </c>
      <c r="T356">
        <v>-0.27134940000000002</v>
      </c>
      <c r="U356">
        <v>8.8806149999999997E-3</v>
      </c>
      <c r="V356">
        <v>2.7525790000000001E-2</v>
      </c>
      <c r="W356">
        <v>6.3102569999999997E-2</v>
      </c>
      <c r="X356">
        <v>0.99762740000000005</v>
      </c>
      <c r="Y356">
        <v>4.3003629999999998E-3</v>
      </c>
      <c r="Z356">
        <v>-8.4649689999999995E-4</v>
      </c>
      <c r="AA356">
        <v>0.99999039999999995</v>
      </c>
      <c r="AB356">
        <v>28</v>
      </c>
      <c r="AC356">
        <v>0.69759999999996503</v>
      </c>
      <c r="AD356">
        <v>-7.5270999999999796E-2</v>
      </c>
      <c r="AE356">
        <v>1.1000000000080899E-3</v>
      </c>
      <c r="AF356">
        <v>3.9384124636516697E-3</v>
      </c>
      <c r="AG356">
        <v>-7.5270999999999796E-2</v>
      </c>
      <c r="AH356">
        <v>0.68956136173693905</v>
      </c>
      <c r="AI356">
        <v>96.229515623403898</v>
      </c>
      <c r="AJ356">
        <v>89.6727601472017</v>
      </c>
      <c r="AK356">
        <v>0.69366858522945696</v>
      </c>
      <c r="AL356">
        <v>86.382085357521504</v>
      </c>
      <c r="AM356">
        <v>88.419538626268405</v>
      </c>
      <c r="AN356">
        <v>1.0000000163432401</v>
      </c>
    </row>
    <row r="357" spans="1:40" x14ac:dyDescent="0.25">
      <c r="A357" t="str">
        <f>"20190312153857657"</f>
        <v>20190312153857657</v>
      </c>
      <c r="B357" t="str">
        <f>"1552376337646291"</f>
        <v>1552376337646291</v>
      </c>
      <c r="C357" t="s">
        <v>40</v>
      </c>
      <c r="D357">
        <v>4.1446759999999996</v>
      </c>
      <c r="E357">
        <v>0.49265969999999998</v>
      </c>
      <c r="F357" t="s">
        <v>41</v>
      </c>
      <c r="G357">
        <v>-438.15800000000002</v>
      </c>
      <c r="H357">
        <v>1.02137099999999</v>
      </c>
      <c r="I357">
        <v>368.0831</v>
      </c>
      <c r="J357">
        <v>-438.88589999999999</v>
      </c>
      <c r="K357">
        <v>1.102187</v>
      </c>
      <c r="L357">
        <v>368.0813</v>
      </c>
      <c r="M357">
        <v>0.99988940000000004</v>
      </c>
      <c r="N357">
        <v>0</v>
      </c>
      <c r="O357">
        <v>6.9167899999999999E-3</v>
      </c>
      <c r="P357">
        <v>0.99860020000000005</v>
      </c>
      <c r="Q357">
        <v>4.8567829999999999E-2</v>
      </c>
      <c r="R357">
        <v>-2.0953579999999999E-2</v>
      </c>
      <c r="S357">
        <v>3.0182799999999999</v>
      </c>
      <c r="T357">
        <v>-0.26187179999999999</v>
      </c>
      <c r="U357">
        <v>9.1552730000000002E-3</v>
      </c>
      <c r="V357">
        <v>2.7927730000000001E-2</v>
      </c>
      <c r="W357">
        <v>6.1683399999999999E-2</v>
      </c>
      <c r="X357">
        <v>0.99770499999999995</v>
      </c>
      <c r="Y357">
        <v>3.8437430000000002E-3</v>
      </c>
      <c r="Z357">
        <v>-7.6546640000000005E-4</v>
      </c>
      <c r="AA357">
        <v>0.99999229999999995</v>
      </c>
      <c r="AB357">
        <v>28</v>
      </c>
      <c r="AC357">
        <v>0.72789999999997601</v>
      </c>
      <c r="AD357">
        <v>-8.0816000000000193E-2</v>
      </c>
      <c r="AE357">
        <v>1.8000000000029099E-3</v>
      </c>
      <c r="AF357">
        <v>3.19581690046913E-3</v>
      </c>
      <c r="AG357">
        <v>-8.0816000000000193E-2</v>
      </c>
      <c r="AH357">
        <v>0.71903171143224098</v>
      </c>
      <c r="AI357">
        <v>96.412816879354693</v>
      </c>
      <c r="AJ357">
        <v>89.745344173470997</v>
      </c>
      <c r="AK357">
        <v>0.72356619679669798</v>
      </c>
      <c r="AL357">
        <v>86.463556608820298</v>
      </c>
      <c r="AM357">
        <v>88.396596863477001</v>
      </c>
      <c r="AN357">
        <v>1.00000003348175</v>
      </c>
    </row>
    <row r="358" spans="1:40" x14ac:dyDescent="0.25">
      <c r="A358" t="str">
        <f>"20190312153857669"</f>
        <v>20190312153857669</v>
      </c>
      <c r="B358" t="str">
        <f>"1552376337665803"</f>
        <v>1552376337665803</v>
      </c>
      <c r="C358" t="s">
        <v>40</v>
      </c>
      <c r="D358">
        <v>4.160107</v>
      </c>
      <c r="E358">
        <v>0.49235909999999999</v>
      </c>
      <c r="F358" t="s">
        <v>43</v>
      </c>
      <c r="G358">
        <v>-425.72579999999999</v>
      </c>
      <c r="H358">
        <v>-0.05</v>
      </c>
      <c r="I358">
        <v>368.11610000000002</v>
      </c>
      <c r="J358">
        <v>-438.73520000000002</v>
      </c>
      <c r="K358">
        <v>1.101361</v>
      </c>
      <c r="L358">
        <v>368.08210000000003</v>
      </c>
      <c r="M358">
        <v>0.99987820000000005</v>
      </c>
      <c r="N358">
        <v>0</v>
      </c>
      <c r="O358">
        <v>6.6498449999999997E-3</v>
      </c>
      <c r="P358">
        <v>0.99866849999999996</v>
      </c>
      <c r="Q358">
        <v>4.6946540000000002E-2</v>
      </c>
      <c r="R358">
        <v>-2.1387219999999998E-2</v>
      </c>
      <c r="S358">
        <v>3.0172119999999998</v>
      </c>
      <c r="T358">
        <v>-0.2641617</v>
      </c>
      <c r="U358">
        <v>7.9956049999999994E-3</v>
      </c>
      <c r="V358">
        <v>2.809449E-2</v>
      </c>
      <c r="W358">
        <v>6.1011849999999999E-2</v>
      </c>
      <c r="X358">
        <v>0.99774160000000001</v>
      </c>
      <c r="Y358">
        <v>3.959967E-3</v>
      </c>
      <c r="Z358">
        <v>-7.54165E-4</v>
      </c>
      <c r="AA358">
        <v>0.99999190000000004</v>
      </c>
      <c r="AB358">
        <v>28</v>
      </c>
      <c r="AC358">
        <v>13.009399999999999</v>
      </c>
      <c r="AD358">
        <v>-1.1513610000000001</v>
      </c>
      <c r="AE358">
        <v>3.3999999999991801E-2</v>
      </c>
      <c r="AF358">
        <v>5.2111700597293399E-2</v>
      </c>
      <c r="AG358">
        <v>-1.1513610000000001</v>
      </c>
      <c r="AH358">
        <v>12.908233484211801</v>
      </c>
      <c r="AI358">
        <v>95.097016399164403</v>
      </c>
      <c r="AJ358">
        <v>89.768693036855893</v>
      </c>
      <c r="AK358">
        <v>12.959584849237499</v>
      </c>
      <c r="AL358">
        <v>86.502106162969497</v>
      </c>
      <c r="AM358">
        <v>88.387086920807704</v>
      </c>
      <c r="AN358">
        <v>1.00000002328967</v>
      </c>
    </row>
    <row r="359" spans="1:40" x14ac:dyDescent="0.25">
      <c r="A359" t="str">
        <f>"20190312153857684"</f>
        <v>20190312153857684</v>
      </c>
      <c r="B359" t="str">
        <f>"1552376337676540"</f>
        <v>1552376337676540</v>
      </c>
      <c r="C359" t="s">
        <v>40</v>
      </c>
      <c r="D359">
        <v>4.1788679999999996</v>
      </c>
      <c r="E359">
        <v>0.49214259999999899</v>
      </c>
      <c r="F359" t="s">
        <v>41</v>
      </c>
      <c r="G359">
        <v>-437.90039999999999</v>
      </c>
      <c r="H359">
        <v>1.0299049999999901</v>
      </c>
      <c r="I359">
        <v>368.08420000000001</v>
      </c>
      <c r="J359">
        <v>-438.55489999999998</v>
      </c>
      <c r="K359">
        <v>1.100339</v>
      </c>
      <c r="L359">
        <v>368.0829</v>
      </c>
      <c r="M359">
        <v>0.99986640000000004</v>
      </c>
      <c r="N359">
        <v>0</v>
      </c>
      <c r="O359">
        <v>6.3187909999999998E-3</v>
      </c>
      <c r="P359">
        <v>0.998722</v>
      </c>
      <c r="Q359">
        <v>4.5614099999999998E-2</v>
      </c>
      <c r="R359">
        <v>-2.1767100000000001E-2</v>
      </c>
      <c r="S359">
        <v>3.016327</v>
      </c>
      <c r="T359">
        <v>-0.25842270000000001</v>
      </c>
      <c r="U359">
        <v>8.7585449999999995E-3</v>
      </c>
      <c r="V359">
        <v>2.8143020000000001E-2</v>
      </c>
      <c r="W359">
        <v>6.0630610000000001E-2</v>
      </c>
      <c r="X359">
        <v>0.99776350000000003</v>
      </c>
      <c r="Y359">
        <v>3.3803079999999998E-3</v>
      </c>
      <c r="Z359">
        <v>-6.8496509999999998E-4</v>
      </c>
      <c r="AA359">
        <v>0.99999400000000005</v>
      </c>
      <c r="AB359">
        <v>28</v>
      </c>
      <c r="AC359">
        <v>0.65449999999998398</v>
      </c>
      <c r="AD359">
        <v>-7.0434000000000094E-2</v>
      </c>
      <c r="AE359">
        <v>1.3000000000147299E-3</v>
      </c>
      <c r="AF359">
        <v>2.8036754833417098E-3</v>
      </c>
      <c r="AG359">
        <v>-7.0434000000000094E-2</v>
      </c>
      <c r="AH359">
        <v>0.647002253911523</v>
      </c>
      <c r="AI359">
        <v>96.212813151219194</v>
      </c>
      <c r="AJ359">
        <v>89.7517199269694</v>
      </c>
      <c r="AK359">
        <v>0.65083079638167696</v>
      </c>
      <c r="AL359">
        <v>86.523990216978802</v>
      </c>
      <c r="AM359">
        <v>88.384337718784494</v>
      </c>
      <c r="AN359">
        <v>1.0000000511879701</v>
      </c>
    </row>
    <row r="360" spans="1:40" x14ac:dyDescent="0.25">
      <c r="A360" t="str">
        <f>"20190312153857702"</f>
        <v>20190312153857702</v>
      </c>
      <c r="B360" t="str">
        <f>"1552376337696060"</f>
        <v>1552376337696060</v>
      </c>
      <c r="C360" t="s">
        <v>40</v>
      </c>
      <c r="D360">
        <v>4.2223670000000002</v>
      </c>
      <c r="E360">
        <v>0.49176760000000003</v>
      </c>
      <c r="F360" t="s">
        <v>41</v>
      </c>
      <c r="G360">
        <v>-437.6524</v>
      </c>
      <c r="H360">
        <v>1.023266</v>
      </c>
      <c r="I360">
        <v>368.08589999999998</v>
      </c>
      <c r="J360">
        <v>-438.31349999999998</v>
      </c>
      <c r="K360">
        <v>1.098875</v>
      </c>
      <c r="L360">
        <v>368.084</v>
      </c>
      <c r="M360">
        <v>0.99985590000000002</v>
      </c>
      <c r="N360">
        <v>0</v>
      </c>
      <c r="O360">
        <v>5.8555259999999998E-3</v>
      </c>
      <c r="P360">
        <v>0.99879759999999995</v>
      </c>
      <c r="Q360">
        <v>4.3445810000000001E-2</v>
      </c>
      <c r="R360">
        <v>-2.2723210000000001E-2</v>
      </c>
      <c r="S360">
        <v>3.0158079999999998</v>
      </c>
      <c r="T360">
        <v>-0.25743630000000001</v>
      </c>
      <c r="U360">
        <v>9.2163090000000007E-3</v>
      </c>
      <c r="V360">
        <v>2.8634E-2</v>
      </c>
      <c r="W360">
        <v>5.9330710000000002E-2</v>
      </c>
      <c r="X360">
        <v>0.99782760000000004</v>
      </c>
      <c r="Y360">
        <v>2.7689419999999999E-3</v>
      </c>
      <c r="Z360">
        <v>-6.1695979999999999E-4</v>
      </c>
      <c r="AA360">
        <v>0.99999590000000005</v>
      </c>
      <c r="AB360">
        <v>28</v>
      </c>
      <c r="AC360">
        <v>0.66109999999997604</v>
      </c>
      <c r="AD360">
        <v>-7.5608999999999996E-2</v>
      </c>
      <c r="AE360">
        <v>1.8999999999778001E-3</v>
      </c>
      <c r="AF360">
        <v>1.9461565267830099E-3</v>
      </c>
      <c r="AG360">
        <v>-7.5608999999999996E-2</v>
      </c>
      <c r="AH360">
        <v>0.652564223868493</v>
      </c>
      <c r="AI360">
        <v>96.609045765577804</v>
      </c>
      <c r="AJ360">
        <v>89.829126052898701</v>
      </c>
      <c r="AK360">
        <v>0.65693270178863505</v>
      </c>
      <c r="AL360">
        <v>86.598603095149301</v>
      </c>
      <c r="AM360">
        <v>88.356271927923402</v>
      </c>
      <c r="AN360">
        <v>0.99999997921343198</v>
      </c>
    </row>
    <row r="361" spans="1:40" x14ac:dyDescent="0.25">
      <c r="A361" t="str">
        <f>"20190312153857724"</f>
        <v>20190312153857724</v>
      </c>
      <c r="B361" t="str">
        <f>"1552376337716559"</f>
        <v>1552376337716559</v>
      </c>
      <c r="C361" t="s">
        <v>40</v>
      </c>
      <c r="D361">
        <v>4.191605</v>
      </c>
      <c r="E361">
        <v>0.49208059999999998</v>
      </c>
      <c r="F361" t="s">
        <v>41</v>
      </c>
      <c r="G361">
        <v>-437.39870000000002</v>
      </c>
      <c r="H361">
        <v>1.022052</v>
      </c>
      <c r="I361">
        <v>368.0865</v>
      </c>
      <c r="J361">
        <v>-438.03379999999999</v>
      </c>
      <c r="K361">
        <v>1.097078</v>
      </c>
      <c r="L361">
        <v>368.08519999999999</v>
      </c>
      <c r="M361">
        <v>0.99984680000000004</v>
      </c>
      <c r="N361">
        <v>0</v>
      </c>
      <c r="O361">
        <v>5.3367669999999897E-3</v>
      </c>
      <c r="P361">
        <v>0.99886269999999999</v>
      </c>
      <c r="Q361">
        <v>4.134144E-2</v>
      </c>
      <c r="R361">
        <v>-2.3758330000000001E-2</v>
      </c>
      <c r="S361">
        <v>3.0148320000000002</v>
      </c>
      <c r="T361">
        <v>-0.25337140000000002</v>
      </c>
      <c r="U361">
        <v>9.1857910000000004E-3</v>
      </c>
      <c r="V361">
        <v>2.914949E-2</v>
      </c>
      <c r="W361">
        <v>5.7965500000000003E-2</v>
      </c>
      <c r="X361">
        <v>0.99789289999999997</v>
      </c>
      <c r="Y361">
        <v>2.263878E-3</v>
      </c>
      <c r="Z361">
        <v>-5.4274249999999998E-4</v>
      </c>
      <c r="AA361">
        <v>0.99999729999999998</v>
      </c>
      <c r="AB361">
        <v>28</v>
      </c>
      <c r="AC361">
        <v>0.63509999999996503</v>
      </c>
      <c r="AD361">
        <v>-7.5025999999999995E-2</v>
      </c>
      <c r="AE361">
        <v>1.3000000000147299E-3</v>
      </c>
      <c r="AF361">
        <v>2.0611070260997399E-3</v>
      </c>
      <c r="AG361">
        <v>-7.5025999999999995E-2</v>
      </c>
      <c r="AH361">
        <v>0.62635692614579097</v>
      </c>
      <c r="AI361">
        <v>96.830397562863993</v>
      </c>
      <c r="AJ361">
        <v>89.811461640242698</v>
      </c>
      <c r="AK361">
        <v>0.63083765563651695</v>
      </c>
      <c r="AL361">
        <v>86.676958701977995</v>
      </c>
      <c r="AM361">
        <v>88.326806454724704</v>
      </c>
      <c r="AN361">
        <v>0.99999996591395901</v>
      </c>
    </row>
    <row r="362" spans="1:40" x14ac:dyDescent="0.25">
      <c r="A362" t="str">
        <f>"20190312153857737"</f>
        <v>20190312153857737</v>
      </c>
      <c r="B362" t="str">
        <f>"1552376337726317"</f>
        <v>1552376337726317</v>
      </c>
      <c r="C362" t="s">
        <v>40</v>
      </c>
      <c r="D362">
        <v>4.21136</v>
      </c>
      <c r="E362">
        <v>0.53223750000000003</v>
      </c>
      <c r="F362" t="s">
        <v>41</v>
      </c>
      <c r="G362">
        <v>-437.14460000000003</v>
      </c>
      <c r="H362">
        <v>1.020813</v>
      </c>
      <c r="I362">
        <v>368.08589999999998</v>
      </c>
      <c r="J362">
        <v>-437.8734</v>
      </c>
      <c r="K362">
        <v>1.096025</v>
      </c>
      <c r="L362">
        <v>368.08580000000001</v>
      </c>
      <c r="M362">
        <v>0.99984119999999999</v>
      </c>
      <c r="N362">
        <v>0</v>
      </c>
      <c r="O362">
        <v>5.0563179999999998E-3</v>
      </c>
      <c r="P362">
        <v>0.99888929999999998</v>
      </c>
      <c r="Q362">
        <v>4.0367979999999998E-2</v>
      </c>
      <c r="R362">
        <v>-2.430616E-2</v>
      </c>
      <c r="S362">
        <v>3.014221</v>
      </c>
      <c r="T362">
        <v>-0.25863989999999998</v>
      </c>
      <c r="U362">
        <v>3.326416E-3</v>
      </c>
      <c r="V362">
        <v>2.9417220000000001E-2</v>
      </c>
      <c r="W362">
        <v>5.7394720000000003E-2</v>
      </c>
      <c r="X362">
        <v>0.99791810000000003</v>
      </c>
      <c r="Y362">
        <v>3.9205059999999998E-3</v>
      </c>
      <c r="Z362">
        <v>-6.0102490000000001E-4</v>
      </c>
      <c r="AA362">
        <v>0.99999210000000005</v>
      </c>
      <c r="AB362">
        <v>28</v>
      </c>
      <c r="AC362">
        <v>0.72879999999997802</v>
      </c>
      <c r="AD362">
        <v>-7.5212000000000001E-2</v>
      </c>
      <c r="AE362" s="1">
        <v>9.9999999974897906E-5</v>
      </c>
      <c r="AF362">
        <v>3.5477992351704698E-3</v>
      </c>
      <c r="AG362">
        <v>-7.5212000000000001E-2</v>
      </c>
      <c r="AH362">
        <v>0.72111121189301897</v>
      </c>
      <c r="AI362">
        <v>95.954356745234406</v>
      </c>
      <c r="AJ362">
        <v>89.718112436344697</v>
      </c>
      <c r="AK362">
        <v>0.72503159361591396</v>
      </c>
      <c r="AL362">
        <v>86.709716739317003</v>
      </c>
      <c r="AM362">
        <v>88.311490106857093</v>
      </c>
      <c r="AN362">
        <v>1.000000030512</v>
      </c>
    </row>
    <row r="363" spans="1:40" x14ac:dyDescent="0.25">
      <c r="A363" t="str">
        <f>"20190312153857748"</f>
        <v>20190312153857748</v>
      </c>
      <c r="B363" t="str">
        <f>"1552376337746812"</f>
        <v>1552376337746812</v>
      </c>
      <c r="C363" t="s">
        <v>40</v>
      </c>
      <c r="D363">
        <v>4.195341</v>
      </c>
      <c r="E363">
        <v>0.53808679999999998</v>
      </c>
      <c r="F363" t="s">
        <v>41</v>
      </c>
      <c r="G363">
        <v>-436.93770000000001</v>
      </c>
      <c r="H363">
        <v>0.92755129999999997</v>
      </c>
      <c r="I363">
        <v>367.98919999999998</v>
      </c>
      <c r="J363">
        <v>-437.71949999999998</v>
      </c>
      <c r="K363">
        <v>1.094948</v>
      </c>
      <c r="L363">
        <v>368.08629999999999</v>
      </c>
      <c r="M363">
        <v>0.99983699999999998</v>
      </c>
      <c r="N363">
        <v>0</v>
      </c>
      <c r="O363">
        <v>4.7966559999999998E-3</v>
      </c>
      <c r="P363">
        <v>0.99890250000000003</v>
      </c>
      <c r="Q363">
        <v>3.9732709999999997E-2</v>
      </c>
      <c r="R363">
        <v>-2.4801009999999998E-2</v>
      </c>
      <c r="S363">
        <v>3.0177309999999999</v>
      </c>
      <c r="T363">
        <v>-0.5434968</v>
      </c>
      <c r="U363">
        <v>-0.31008909999999901</v>
      </c>
      <c r="V363">
        <v>2.965311E-2</v>
      </c>
      <c r="W363">
        <v>5.7085289999999997E-2</v>
      </c>
      <c r="X363">
        <v>0.99792890000000001</v>
      </c>
      <c r="Y363">
        <v>0.10523639999999999</v>
      </c>
      <c r="Z363">
        <v>-1.0231840000000001E-2</v>
      </c>
      <c r="AA363">
        <v>0.99439460000000002</v>
      </c>
      <c r="AB363">
        <v>28</v>
      </c>
      <c r="AC363">
        <v>0.78179999999997496</v>
      </c>
      <c r="AD363">
        <v>-0.16739669999999901</v>
      </c>
      <c r="AE363">
        <v>-9.7100000000011705E-2</v>
      </c>
      <c r="AF363">
        <v>9.64928588823174E-2</v>
      </c>
      <c r="AG363">
        <v>-0.16739669999999901</v>
      </c>
      <c r="AH363">
        <v>0.74757254806719897</v>
      </c>
      <c r="AI363">
        <v>102.52093496565</v>
      </c>
      <c r="AJ363">
        <v>82.645216934154107</v>
      </c>
      <c r="AK363">
        <v>0.77213809749931195</v>
      </c>
      <c r="AL363">
        <v>86.727474994944899</v>
      </c>
      <c r="AM363">
        <v>88.297976671715304</v>
      </c>
      <c r="AN363">
        <v>1.0000000633611299</v>
      </c>
    </row>
    <row r="364" spans="1:40" x14ac:dyDescent="0.25">
      <c r="A364" t="str">
        <f>"20190312153857761"</f>
        <v>20190312153857761</v>
      </c>
      <c r="B364" t="str">
        <f>"1552376337756572"</f>
        <v>1552376337756572</v>
      </c>
      <c r="C364" t="s">
        <v>40</v>
      </c>
      <c r="D364">
        <v>4.0983919999999996</v>
      </c>
      <c r="E364">
        <v>0.53877010000000003</v>
      </c>
      <c r="F364" t="s">
        <v>41</v>
      </c>
      <c r="G364">
        <v>-436.9384</v>
      </c>
      <c r="H364">
        <v>0.92635310000000004</v>
      </c>
      <c r="I364">
        <v>367.9941</v>
      </c>
      <c r="J364">
        <v>-437.57389999999998</v>
      </c>
      <c r="K364">
        <v>1.0939049999999999</v>
      </c>
      <c r="L364">
        <v>368.08670000000001</v>
      </c>
      <c r="M364">
        <v>0.99983359999999999</v>
      </c>
      <c r="N364">
        <v>0</v>
      </c>
      <c r="O364">
        <v>4.5526170000000001E-3</v>
      </c>
      <c r="P364">
        <v>0.99891479999999999</v>
      </c>
      <c r="Q364">
        <v>3.8991480000000002E-2</v>
      </c>
      <c r="R364">
        <v>-2.5481489999999999E-2</v>
      </c>
      <c r="S364">
        <v>3.0203859999999998</v>
      </c>
      <c r="T364">
        <v>-0.65208199999999905</v>
      </c>
      <c r="U364">
        <v>-0.35494999999999999</v>
      </c>
      <c r="V364">
        <v>3.0089850000000001E-2</v>
      </c>
      <c r="W364">
        <v>5.6606839999999999E-2</v>
      </c>
      <c r="X364">
        <v>0.99794300000000002</v>
      </c>
      <c r="Y364">
        <v>0.11844</v>
      </c>
      <c r="Z364">
        <v>-1.3566399999999999E-2</v>
      </c>
      <c r="AA364">
        <v>0.99286850000000004</v>
      </c>
      <c r="AB364">
        <v>28</v>
      </c>
      <c r="AC364">
        <v>0.63549999999997897</v>
      </c>
      <c r="AD364">
        <v>-0.167551899999999</v>
      </c>
      <c r="AE364">
        <v>-9.2600000000004401E-2</v>
      </c>
      <c r="AF364">
        <v>8.9406926222174304E-2</v>
      </c>
      <c r="AG364">
        <v>-0.167551899999999</v>
      </c>
      <c r="AH364">
        <v>0.59459861670956005</v>
      </c>
      <c r="AI364">
        <v>105.570886436805</v>
      </c>
      <c r="AJ364">
        <v>81.448772798928104</v>
      </c>
      <c r="AK364">
        <v>0.62419127889055703</v>
      </c>
      <c r="AL364">
        <v>86.754932296053298</v>
      </c>
      <c r="AM364">
        <v>88.272948214794695</v>
      </c>
      <c r="AN364">
        <v>0.99999998232840304</v>
      </c>
    </row>
    <row r="365" spans="1:40" x14ac:dyDescent="0.25">
      <c r="A365" t="str">
        <f>"20190312153857779"</f>
        <v>20190312153857779</v>
      </c>
      <c r="B365" t="str">
        <f>"1552376337776092"</f>
        <v>1552376337776092</v>
      </c>
      <c r="C365" t="s">
        <v>40</v>
      </c>
      <c r="D365">
        <v>4.2585579999999998</v>
      </c>
      <c r="E365">
        <v>0.54004680000000005</v>
      </c>
      <c r="F365" t="s">
        <v>41</v>
      </c>
      <c r="G365">
        <v>-436.69869999999997</v>
      </c>
      <c r="H365">
        <v>0.89312340000000001</v>
      </c>
      <c r="I365">
        <v>367.98200000000003</v>
      </c>
      <c r="J365">
        <v>-437.33159999999998</v>
      </c>
      <c r="K365">
        <v>1.09205</v>
      </c>
      <c r="L365">
        <v>368.0874</v>
      </c>
      <c r="M365">
        <v>0.99983100000000003</v>
      </c>
      <c r="N365">
        <v>0</v>
      </c>
      <c r="O365">
        <v>4.1536070000000001E-3</v>
      </c>
      <c r="P365">
        <v>0.99891149999999995</v>
      </c>
      <c r="Q365">
        <v>3.867843E-2</v>
      </c>
      <c r="R365">
        <v>-2.6079160000000001E-2</v>
      </c>
      <c r="S365">
        <v>3.021118</v>
      </c>
      <c r="T365">
        <v>-0.69314469999999995</v>
      </c>
      <c r="U365">
        <v>-0.36102289999999998</v>
      </c>
      <c r="V365">
        <v>3.0289529999999999E-2</v>
      </c>
      <c r="W365">
        <v>5.6530190000000001E-2</v>
      </c>
      <c r="X365">
        <v>0.99794130000000003</v>
      </c>
      <c r="Y365">
        <v>0.119608199999999</v>
      </c>
      <c r="Z365">
        <v>-1.4436610000000001E-2</v>
      </c>
      <c r="AA365">
        <v>0.99271620000000005</v>
      </c>
      <c r="AB365">
        <v>28</v>
      </c>
      <c r="AC365">
        <v>0.63290000000000601</v>
      </c>
      <c r="AD365">
        <v>-0.19892659999999901</v>
      </c>
      <c r="AE365">
        <v>-0.105400000000031</v>
      </c>
      <c r="AF365">
        <v>9.8554784299669407E-2</v>
      </c>
      <c r="AG365">
        <v>-0.19892659999999901</v>
      </c>
      <c r="AH365">
        <v>0.57699338212023898</v>
      </c>
      <c r="AI365">
        <v>108.769931090775</v>
      </c>
      <c r="AJ365">
        <v>80.306995127007497</v>
      </c>
      <c r="AK365">
        <v>0.61822827556370097</v>
      </c>
      <c r="AL365">
        <v>86.759331047660297</v>
      </c>
      <c r="AM365">
        <v>88.261491333945202</v>
      </c>
      <c r="AN365">
        <v>0.99999997812737296</v>
      </c>
    </row>
    <row r="366" spans="1:40" x14ac:dyDescent="0.25">
      <c r="A366" t="str">
        <f>"20190312153857802"</f>
        <v>20190312153857802</v>
      </c>
      <c r="B366" t="str">
        <f>"1552376337796590"</f>
        <v>1552376337796590</v>
      </c>
      <c r="C366" t="s">
        <v>40</v>
      </c>
      <c r="D366">
        <v>4.2441700000000004</v>
      </c>
      <c r="E366">
        <v>0.54087549999999995</v>
      </c>
      <c r="F366" t="s">
        <v>41</v>
      </c>
      <c r="G366">
        <v>-436.4468</v>
      </c>
      <c r="H366">
        <v>0.88372150000000005</v>
      </c>
      <c r="I366">
        <v>367.97770000000003</v>
      </c>
      <c r="J366">
        <v>-437.05130000000003</v>
      </c>
      <c r="K366">
        <v>1.089718</v>
      </c>
      <c r="L366">
        <v>368.0881</v>
      </c>
      <c r="M366">
        <v>0.99983390000000005</v>
      </c>
      <c r="N366">
        <v>0</v>
      </c>
      <c r="O366">
        <v>3.7126239999999999E-3</v>
      </c>
      <c r="P366">
        <v>0.99889839999999996</v>
      </c>
      <c r="Q366">
        <v>3.8575209999999999E-2</v>
      </c>
      <c r="R366">
        <v>-2.6718309999999999E-2</v>
      </c>
      <c r="S366">
        <v>3.0210880000000002</v>
      </c>
      <c r="T366">
        <v>-0.71130869999999902</v>
      </c>
      <c r="U366">
        <v>-0.37298579999999998</v>
      </c>
      <c r="V366">
        <v>3.0488879999999999E-2</v>
      </c>
      <c r="W366">
        <v>5.636261E-2</v>
      </c>
      <c r="X366">
        <v>0.99794470000000002</v>
      </c>
      <c r="Y366">
        <v>0.1228062</v>
      </c>
      <c r="Z366">
        <v>-1.5069809999999999E-2</v>
      </c>
      <c r="AA366">
        <v>0.99231619999999998</v>
      </c>
      <c r="AB366">
        <v>28</v>
      </c>
      <c r="AC366">
        <v>0.60450000000003001</v>
      </c>
      <c r="AD366">
        <v>-0.205996499999999</v>
      </c>
      <c r="AE366">
        <v>-0.11039999999996999</v>
      </c>
      <c r="AF366">
        <v>0.101264105597829</v>
      </c>
      <c r="AG366">
        <v>-0.205996499999999</v>
      </c>
      <c r="AH366">
        <v>0.54305852296955104</v>
      </c>
      <c r="AI366">
        <v>110.450428827339</v>
      </c>
      <c r="AJ366">
        <v>79.437367476584797</v>
      </c>
      <c r="AK366">
        <v>0.58957742194274099</v>
      </c>
      <c r="AL366">
        <v>86.768947981094598</v>
      </c>
      <c r="AM366">
        <v>88.250062419652807</v>
      </c>
      <c r="AN366">
        <v>0.99999996993387696</v>
      </c>
    </row>
    <row r="367" spans="1:40" x14ac:dyDescent="0.25">
      <c r="A367" t="str">
        <f>"20190312153857813"</f>
        <v>20190312153857813</v>
      </c>
      <c r="B367" t="str">
        <f>"1552376337806348"</f>
        <v>1552376337806348</v>
      </c>
      <c r="C367" t="s">
        <v>40</v>
      </c>
      <c r="D367">
        <v>4.3182900000000002</v>
      </c>
      <c r="E367">
        <v>0.54113080000000002</v>
      </c>
      <c r="F367" t="s">
        <v>41</v>
      </c>
      <c r="G367">
        <v>-436.19040000000001</v>
      </c>
      <c r="H367">
        <v>0.88393829999999995</v>
      </c>
      <c r="I367">
        <v>367.97930000000002</v>
      </c>
      <c r="J367">
        <v>-436.89839999999998</v>
      </c>
      <c r="K367">
        <v>1.0883849999999999</v>
      </c>
      <c r="L367">
        <v>368.08839999999998</v>
      </c>
      <c r="M367">
        <v>0.99983719999999998</v>
      </c>
      <c r="N367">
        <v>0</v>
      </c>
      <c r="O367">
        <v>3.4966350000000001E-3</v>
      </c>
      <c r="P367">
        <v>0.99888909999999997</v>
      </c>
      <c r="Q367">
        <v>3.870299E-2</v>
      </c>
      <c r="R367">
        <v>-2.6885220000000001E-2</v>
      </c>
      <c r="S367">
        <v>3.0210270000000001</v>
      </c>
      <c r="T367">
        <v>-0.72215569999999996</v>
      </c>
      <c r="U367">
        <v>-0.38140869999999999</v>
      </c>
      <c r="V367">
        <v>3.0440390000000001E-2</v>
      </c>
      <c r="W367">
        <v>5.6348330000000002E-2</v>
      </c>
      <c r="X367">
        <v>0.99794700000000003</v>
      </c>
      <c r="Y367">
        <v>0.12515689999999999</v>
      </c>
      <c r="Z367">
        <v>-1.5516490000000001E-2</v>
      </c>
      <c r="AA367">
        <v>0.9920156</v>
      </c>
      <c r="AB367">
        <v>28</v>
      </c>
      <c r="AC367">
        <v>0.70799999999996899</v>
      </c>
      <c r="AD367">
        <v>-0.20444670000000001</v>
      </c>
      <c r="AE367">
        <v>-0.109099999999955</v>
      </c>
      <c r="AF367">
        <v>0.10317179158609301</v>
      </c>
      <c r="AG367">
        <v>-0.20444670000000001</v>
      </c>
      <c r="AH367">
        <v>0.65431858315028502</v>
      </c>
      <c r="AI367">
        <v>107.152536084823</v>
      </c>
      <c r="AJ367">
        <v>81.039477356579695</v>
      </c>
      <c r="AK367">
        <v>0.69323565976929602</v>
      </c>
      <c r="AL367">
        <v>86.769767510177303</v>
      </c>
      <c r="AM367">
        <v>88.252847846128006</v>
      </c>
      <c r="AN367">
        <v>0.99999998322307004</v>
      </c>
    </row>
    <row r="368" spans="1:40" x14ac:dyDescent="0.25">
      <c r="A368" t="str">
        <f>"20190312153857825"</f>
        <v>20190312153857825</v>
      </c>
      <c r="B368" t="str">
        <f>"1552376337816108"</f>
        <v>1552376337816108</v>
      </c>
      <c r="C368" t="s">
        <v>40</v>
      </c>
      <c r="D368">
        <v>4.3229569999999997</v>
      </c>
      <c r="E368">
        <v>0.54140699999999997</v>
      </c>
      <c r="F368" t="s">
        <v>41</v>
      </c>
      <c r="G368">
        <v>-436.17630000000003</v>
      </c>
      <c r="H368">
        <v>0.91519019999999995</v>
      </c>
      <c r="I368">
        <v>367.9966</v>
      </c>
      <c r="J368">
        <v>-436.74459999999999</v>
      </c>
      <c r="K368">
        <v>1.087016</v>
      </c>
      <c r="L368">
        <v>368.08870000000002</v>
      </c>
      <c r="M368">
        <v>0.99984099999999998</v>
      </c>
      <c r="N368">
        <v>0</v>
      </c>
      <c r="O368">
        <v>3.2828549999999999E-3</v>
      </c>
      <c r="P368">
        <v>0.99886810000000004</v>
      </c>
      <c r="Q368">
        <v>3.9094469999999999E-2</v>
      </c>
      <c r="R368">
        <v>-2.7109270000000001E-2</v>
      </c>
      <c r="S368">
        <v>3.0210880000000002</v>
      </c>
      <c r="T368">
        <v>-0.72460400000000003</v>
      </c>
      <c r="U368">
        <v>-0.38385010000000003</v>
      </c>
      <c r="V368">
        <v>3.0450769999999999E-2</v>
      </c>
      <c r="W368">
        <v>5.6570179999999998E-2</v>
      </c>
      <c r="X368">
        <v>0.99793419999999999</v>
      </c>
      <c r="Y368">
        <v>0.1256989</v>
      </c>
      <c r="Z368">
        <v>-1.558006E-2</v>
      </c>
      <c r="AA368">
        <v>0.99194610000000005</v>
      </c>
      <c r="AB368">
        <v>28</v>
      </c>
      <c r="AC368">
        <v>0.56829999999996506</v>
      </c>
      <c r="AD368">
        <v>-0.1718258</v>
      </c>
      <c r="AE368">
        <v>-9.2100000000016197E-2</v>
      </c>
      <c r="AF368">
        <v>8.6279937422443803E-2</v>
      </c>
      <c r="AG368">
        <v>-0.1718258</v>
      </c>
      <c r="AH368">
        <v>0.521537865835078</v>
      </c>
      <c r="AI368">
        <v>108.006336756498</v>
      </c>
      <c r="AJ368">
        <v>80.606426150371107</v>
      </c>
      <c r="AK368">
        <v>0.55585077012366202</v>
      </c>
      <c r="AL368">
        <v>86.757036353824205</v>
      </c>
      <c r="AM368">
        <v>88.252230043037699</v>
      </c>
      <c r="AN368">
        <v>1.00000005109423</v>
      </c>
    </row>
    <row r="369" spans="1:40" x14ac:dyDescent="0.25">
      <c r="A369" t="str">
        <f>"20190312153857839"</f>
        <v>20190312153857839</v>
      </c>
      <c r="B369" t="str">
        <f>"1552376337836605"</f>
        <v>1552376337836605</v>
      </c>
      <c r="C369" t="s">
        <v>40</v>
      </c>
      <c r="D369">
        <v>4.2880089999999997</v>
      </c>
      <c r="E369">
        <v>0.541552699999999</v>
      </c>
      <c r="F369" t="s">
        <v>41</v>
      </c>
      <c r="G369">
        <v>-435.9307</v>
      </c>
      <c r="H369">
        <v>0.89151170000000002</v>
      </c>
      <c r="I369">
        <v>367.98439999999999</v>
      </c>
      <c r="J369">
        <v>-436.57870000000003</v>
      </c>
      <c r="K369">
        <v>1.085523</v>
      </c>
      <c r="L369">
        <v>368.089</v>
      </c>
      <c r="M369">
        <v>0.99984510000000004</v>
      </c>
      <c r="N369">
        <v>0</v>
      </c>
      <c r="O369">
        <v>3.0527280000000002E-3</v>
      </c>
      <c r="P369">
        <v>0.99886520000000001</v>
      </c>
      <c r="Q369">
        <v>3.895204E-2</v>
      </c>
      <c r="R369">
        <v>-2.741056E-2</v>
      </c>
      <c r="S369">
        <v>3.021271</v>
      </c>
      <c r="T369">
        <v>-0.72576589999999996</v>
      </c>
      <c r="U369">
        <v>-0.38665769999999999</v>
      </c>
      <c r="V369">
        <v>3.0521240000000002E-2</v>
      </c>
      <c r="W369">
        <v>5.6227890000000003E-2</v>
      </c>
      <c r="X369">
        <v>0.99795129999999999</v>
      </c>
      <c r="Y369">
        <v>0.12634799999999999</v>
      </c>
      <c r="Z369">
        <v>-1.5624839999999999E-2</v>
      </c>
      <c r="AA369">
        <v>0.99186289999999999</v>
      </c>
      <c r="AB369">
        <v>29</v>
      </c>
      <c r="AC369">
        <v>0.648000000000024</v>
      </c>
      <c r="AD369">
        <v>-0.194011299999999</v>
      </c>
      <c r="AE369">
        <v>-0.104600000000004</v>
      </c>
      <c r="AF369">
        <v>9.8014989539883898E-2</v>
      </c>
      <c r="AG369">
        <v>-0.194011299999999</v>
      </c>
      <c r="AH369">
        <v>0.59564007791694695</v>
      </c>
      <c r="AI369">
        <v>107.81723301503899</v>
      </c>
      <c r="AJ369">
        <v>80.655490323254696</v>
      </c>
      <c r="AK369">
        <v>0.63406184644961905</v>
      </c>
      <c r="AL369">
        <v>86.776679095208394</v>
      </c>
      <c r="AM369">
        <v>88.2482178224233</v>
      </c>
      <c r="AN369">
        <v>0.99999995943833897</v>
      </c>
    </row>
    <row r="370" spans="1:40" x14ac:dyDescent="0.25">
      <c r="A370" t="str">
        <f>"20190312153857852"</f>
        <v>20190312153857852</v>
      </c>
      <c r="B370" t="str">
        <f>"1552376337846365"</f>
        <v>1552376337846365</v>
      </c>
      <c r="C370" t="s">
        <v>40</v>
      </c>
      <c r="D370">
        <v>4.280386</v>
      </c>
      <c r="E370">
        <v>0.54155549999999997</v>
      </c>
      <c r="F370" t="s">
        <v>41</v>
      </c>
      <c r="G370">
        <v>-435.68360000000001</v>
      </c>
      <c r="H370">
        <v>0.86919609999999903</v>
      </c>
      <c r="I370">
        <v>367.97370000000001</v>
      </c>
      <c r="J370">
        <v>-436.40530000000001</v>
      </c>
      <c r="K370">
        <v>1.083955</v>
      </c>
      <c r="L370">
        <v>368.08929999999998</v>
      </c>
      <c r="M370">
        <v>0.99985020000000002</v>
      </c>
      <c r="N370">
        <v>0</v>
      </c>
      <c r="O370">
        <v>2.8042229999999998E-3</v>
      </c>
      <c r="P370">
        <v>0.99882839999999995</v>
      </c>
      <c r="Q370">
        <v>3.9593349999999999E-2</v>
      </c>
      <c r="R370">
        <v>-2.7826420000000001E-2</v>
      </c>
      <c r="S370">
        <v>3.02121</v>
      </c>
      <c r="T370">
        <v>-0.73009809999999997</v>
      </c>
      <c r="U370">
        <v>-0.38891599999999998</v>
      </c>
      <c r="V370">
        <v>3.0687530000000001E-2</v>
      </c>
      <c r="W370">
        <v>5.6620169999999997E-2</v>
      </c>
      <c r="X370">
        <v>0.99792409999999998</v>
      </c>
      <c r="Y370">
        <v>0.1267856</v>
      </c>
      <c r="Z370">
        <v>-1.5708059999999999E-2</v>
      </c>
      <c r="AA370">
        <v>0.99180570000000001</v>
      </c>
      <c r="AB370">
        <v>29</v>
      </c>
      <c r="AC370">
        <v>0.72169999999999801</v>
      </c>
      <c r="AD370">
        <v>-0.2147589</v>
      </c>
      <c r="AE370">
        <v>-0.115599999999972</v>
      </c>
      <c r="AF370">
        <v>0.108275668897065</v>
      </c>
      <c r="AG370">
        <v>-0.2147589</v>
      </c>
      <c r="AH370">
        <v>0.66404281253636699</v>
      </c>
      <c r="AI370">
        <v>107.702866125376</v>
      </c>
      <c r="AJ370">
        <v>80.739121288870294</v>
      </c>
      <c r="AK370">
        <v>0.70625623005076898</v>
      </c>
      <c r="AL370">
        <v>86.754167499747197</v>
      </c>
      <c r="AM370">
        <v>88.238631540997403</v>
      </c>
      <c r="AN370">
        <v>1.00000003875456</v>
      </c>
    </row>
    <row r="371" spans="1:40" x14ac:dyDescent="0.25">
      <c r="A371" t="str">
        <f>"20190312153857870"</f>
        <v>20190312153857870</v>
      </c>
      <c r="B371" t="str">
        <f>"1552376337866860"</f>
        <v>1552376337866860</v>
      </c>
      <c r="C371" t="s">
        <v>40</v>
      </c>
      <c r="D371">
        <v>4.3041660000000004</v>
      </c>
      <c r="E371">
        <v>0.54174330000000004</v>
      </c>
      <c r="F371" t="s">
        <v>41</v>
      </c>
      <c r="G371">
        <v>-435.66759999999999</v>
      </c>
      <c r="H371">
        <v>0.90599850000000004</v>
      </c>
      <c r="I371">
        <v>367.99380000000002</v>
      </c>
      <c r="J371">
        <v>-436.17860000000002</v>
      </c>
      <c r="K371">
        <v>1.081915</v>
      </c>
      <c r="L371">
        <v>368.08949999999999</v>
      </c>
      <c r="M371">
        <v>0.99985789999999997</v>
      </c>
      <c r="N371">
        <v>0</v>
      </c>
      <c r="O371">
        <v>2.4690789999999999E-3</v>
      </c>
      <c r="P371">
        <v>0.99881160000000002</v>
      </c>
      <c r="Q371">
        <v>3.990718E-2</v>
      </c>
      <c r="R371">
        <v>-2.7980390000000001E-2</v>
      </c>
      <c r="S371">
        <v>3.0215450000000001</v>
      </c>
      <c r="T371">
        <v>-0.72890169999999999</v>
      </c>
      <c r="U371">
        <v>-0.390625</v>
      </c>
      <c r="V371">
        <v>3.0503590000000001E-2</v>
      </c>
      <c r="W371">
        <v>5.6531619999999998E-2</v>
      </c>
      <c r="X371">
        <v>0.99793469999999995</v>
      </c>
      <c r="Y371">
        <v>0.12700729999999999</v>
      </c>
      <c r="Z371">
        <v>-1.562765E-2</v>
      </c>
      <c r="AA371">
        <v>0.99177870000000001</v>
      </c>
      <c r="AB371">
        <v>29</v>
      </c>
      <c r="AC371">
        <v>0.51100000000002399</v>
      </c>
      <c r="AD371">
        <v>-0.175916499999999</v>
      </c>
      <c r="AE371">
        <v>-9.5699999999965202E-2</v>
      </c>
      <c r="AF371">
        <v>8.7000186178141203E-2</v>
      </c>
      <c r="AG371">
        <v>-0.175916499999999</v>
      </c>
      <c r="AH371">
        <v>0.45828871584005998</v>
      </c>
      <c r="AI371">
        <v>110.66246174421001</v>
      </c>
      <c r="AJ371">
        <v>79.251043225869793</v>
      </c>
      <c r="AK371">
        <v>0.49854206887043401</v>
      </c>
      <c r="AL371">
        <v>86.759248987146293</v>
      </c>
      <c r="AM371">
        <v>88.249201117748299</v>
      </c>
      <c r="AN371">
        <v>0.99999997926340101</v>
      </c>
    </row>
    <row r="372" spans="1:40" x14ac:dyDescent="0.25">
      <c r="A372" t="str">
        <f>"20190312153857893"</f>
        <v>20190312153857893</v>
      </c>
      <c r="B372" t="str">
        <f>"1552376337886380"</f>
        <v>1552376337886380</v>
      </c>
      <c r="C372" t="s">
        <v>40</v>
      </c>
      <c r="D372">
        <v>4.2778809999999998</v>
      </c>
      <c r="E372">
        <v>0.55408179999999996</v>
      </c>
      <c r="F372" t="s">
        <v>41</v>
      </c>
      <c r="G372">
        <v>-435.41480000000001</v>
      </c>
      <c r="H372">
        <v>0.8972099</v>
      </c>
      <c r="I372">
        <v>367.9898</v>
      </c>
      <c r="J372">
        <v>-435.88819999999998</v>
      </c>
      <c r="K372">
        <v>1.0793459999999999</v>
      </c>
      <c r="L372">
        <v>368.08980000000003</v>
      </c>
      <c r="M372">
        <v>0.99986949999999997</v>
      </c>
      <c r="N372">
        <v>0</v>
      </c>
      <c r="O372">
        <v>2.0381919999999999E-3</v>
      </c>
      <c r="P372">
        <v>0.99878909999999999</v>
      </c>
      <c r="Q372">
        <v>4.0146889999999998E-2</v>
      </c>
      <c r="R372">
        <v>-2.844143E-2</v>
      </c>
      <c r="S372">
        <v>3.0217290000000001</v>
      </c>
      <c r="T372">
        <v>-0.73066379999999997</v>
      </c>
      <c r="U372">
        <v>-0.3925476</v>
      </c>
      <c r="V372">
        <v>3.0529770000000001E-2</v>
      </c>
      <c r="W372">
        <v>5.6126000000000002E-2</v>
      </c>
      <c r="X372">
        <v>0.99795679999999998</v>
      </c>
      <c r="Y372">
        <v>0.12718360000000001</v>
      </c>
      <c r="Z372">
        <v>-1.558146E-2</v>
      </c>
      <c r="AA372">
        <v>0.99175679999999999</v>
      </c>
      <c r="AB372">
        <v>29</v>
      </c>
      <c r="AC372">
        <v>0.47339999999996901</v>
      </c>
      <c r="AD372">
        <v>-0.182136099999999</v>
      </c>
      <c r="AE372">
        <v>-0.100000000000022</v>
      </c>
      <c r="AF372">
        <v>8.8433564602968404E-2</v>
      </c>
      <c r="AG372">
        <v>-0.182136099999999</v>
      </c>
      <c r="AH372">
        <v>0.41446461818000502</v>
      </c>
      <c r="AI372">
        <v>113.256824389583</v>
      </c>
      <c r="AJ372">
        <v>77.955514771735594</v>
      </c>
      <c r="AK372">
        <v>0.46127537761590398</v>
      </c>
      <c r="AL372">
        <v>86.782526277359594</v>
      </c>
      <c r="AM372">
        <v>88.247738195092097</v>
      </c>
      <c r="AN372">
        <v>0.999999984699246</v>
      </c>
    </row>
    <row r="373" spans="1:40" x14ac:dyDescent="0.25">
      <c r="A373" t="str">
        <f>"20190312153857915"</f>
        <v>20190312153857915</v>
      </c>
      <c r="B373" t="str">
        <f>"1552376337906876"</f>
        <v>1552376337906876</v>
      </c>
      <c r="C373" t="s">
        <v>40</v>
      </c>
      <c r="D373">
        <v>4.320379</v>
      </c>
      <c r="E373">
        <v>0.55537239999999999</v>
      </c>
      <c r="F373" t="s">
        <v>41</v>
      </c>
      <c r="G373">
        <v>-435.16379999999998</v>
      </c>
      <c r="H373">
        <v>0.88190659999999899</v>
      </c>
      <c r="I373">
        <v>367.97219999999999</v>
      </c>
      <c r="J373">
        <v>-435.59629999999999</v>
      </c>
      <c r="K373">
        <v>1.0768679999999999</v>
      </c>
      <c r="L373">
        <v>368.09</v>
      </c>
      <c r="M373">
        <v>0.99988220000000005</v>
      </c>
      <c r="N373">
        <v>0</v>
      </c>
      <c r="O373">
        <v>1.6271230000000001E-3</v>
      </c>
      <c r="P373">
        <v>0.99876120000000002</v>
      </c>
      <c r="Q373">
        <v>4.0556389999999998E-2</v>
      </c>
      <c r="R373">
        <v>-2.883119E-2</v>
      </c>
      <c r="S373">
        <v>3.0227970000000002</v>
      </c>
      <c r="T373">
        <v>-0.823725499999999</v>
      </c>
      <c r="U373">
        <v>-0.48999019999999999</v>
      </c>
      <c r="V373">
        <v>3.0505500000000001E-2</v>
      </c>
      <c r="W373">
        <v>5.5773700000000002E-2</v>
      </c>
      <c r="X373">
        <v>0.99797729999999996</v>
      </c>
      <c r="Y373">
        <v>0.15601199999999901</v>
      </c>
      <c r="Z373">
        <v>-2.1180839999999999E-2</v>
      </c>
      <c r="AA373">
        <v>0.98752799999999996</v>
      </c>
      <c r="AB373">
        <v>29</v>
      </c>
      <c r="AC373">
        <v>0.43250000000000399</v>
      </c>
      <c r="AD373">
        <v>-0.19496140000000001</v>
      </c>
      <c r="AE373">
        <v>-0.117799999999988</v>
      </c>
      <c r="AF373">
        <v>9.9652645948362706E-2</v>
      </c>
      <c r="AG373">
        <v>-0.19496140000000001</v>
      </c>
      <c r="AH373">
        <v>0.363538226165951</v>
      </c>
      <c r="AI373">
        <v>117.348398523599</v>
      </c>
      <c r="AJ373">
        <v>74.670700976090501</v>
      </c>
      <c r="AK373">
        <v>0.424382656594678</v>
      </c>
      <c r="AL373">
        <v>86.802743270058102</v>
      </c>
      <c r="AM373">
        <v>88.249166252052305</v>
      </c>
      <c r="AN373">
        <v>0.99999999122861405</v>
      </c>
    </row>
    <row r="374" spans="1:40" x14ac:dyDescent="0.25">
      <c r="A374" t="str">
        <f>"20190312153857938"</f>
        <v>20190312153857938</v>
      </c>
      <c r="B374" t="str">
        <f>"1552376337926396"</f>
        <v>1552376337926396</v>
      </c>
      <c r="C374" t="s">
        <v>40</v>
      </c>
      <c r="D374">
        <v>4.3153169999999896</v>
      </c>
      <c r="E374">
        <v>0.55515099999999995</v>
      </c>
      <c r="F374" t="s">
        <v>41</v>
      </c>
      <c r="G374">
        <v>-434.90410000000003</v>
      </c>
      <c r="H374">
        <v>0.88574909999999996</v>
      </c>
      <c r="I374">
        <v>367.97469999999998</v>
      </c>
      <c r="J374">
        <v>-435.31369999999998</v>
      </c>
      <c r="K374">
        <v>1.074643</v>
      </c>
      <c r="L374">
        <v>368.09010000000001</v>
      </c>
      <c r="M374">
        <v>0.99989430000000001</v>
      </c>
      <c r="N374">
        <v>0</v>
      </c>
      <c r="O374">
        <v>1.2663869999999999E-3</v>
      </c>
      <c r="P374">
        <v>0.99873840000000003</v>
      </c>
      <c r="Q374">
        <v>4.108651E-2</v>
      </c>
      <c r="R374">
        <v>-2.8874650000000002E-2</v>
      </c>
      <c r="S374">
        <v>3.023193</v>
      </c>
      <c r="T374">
        <v>-0.83469539999999998</v>
      </c>
      <c r="U374">
        <v>-0.50119020000000003</v>
      </c>
      <c r="V374">
        <v>3.01861E-2</v>
      </c>
      <c r="W374">
        <v>5.5528979999999999E-2</v>
      </c>
      <c r="X374">
        <v>0.99800069999999996</v>
      </c>
      <c r="Y374">
        <v>0.1589612</v>
      </c>
      <c r="Z374">
        <v>-2.1744179999999998E-2</v>
      </c>
      <c r="AA374">
        <v>0.98704530000000001</v>
      </c>
      <c r="AB374">
        <v>29</v>
      </c>
      <c r="AC374">
        <v>0.409599999999954</v>
      </c>
      <c r="AD374">
        <v>-0.1888939</v>
      </c>
      <c r="AE374">
        <v>-0.115400000000022</v>
      </c>
      <c r="AF374">
        <v>9.6838178775081898E-2</v>
      </c>
      <c r="AG374">
        <v>-0.1888939</v>
      </c>
      <c r="AH374">
        <v>0.34205647230226899</v>
      </c>
      <c r="AI374">
        <v>117.983812604685</v>
      </c>
      <c r="AJ374">
        <v>74.192873517820502</v>
      </c>
      <c r="AK374">
        <v>0.40256821604488002</v>
      </c>
      <c r="AL374">
        <v>86.816786588854001</v>
      </c>
      <c r="AM374">
        <v>88.267527272987905</v>
      </c>
      <c r="AN374">
        <v>1.00000003272676</v>
      </c>
    </row>
    <row r="375" spans="1:40" x14ac:dyDescent="0.25">
      <c r="A375" t="str">
        <f>"20190312153857958"</f>
        <v>20190312153857958</v>
      </c>
      <c r="B375" t="str">
        <f>"1552376337946895"</f>
        <v>1552376337946895</v>
      </c>
      <c r="C375" t="s">
        <v>40</v>
      </c>
      <c r="D375">
        <v>4.3055899999999996</v>
      </c>
      <c r="E375">
        <v>0.55507259999999903</v>
      </c>
      <c r="F375" t="s">
        <v>41</v>
      </c>
      <c r="G375">
        <v>-434.41030000000001</v>
      </c>
      <c r="H375">
        <v>0.82581680000000002</v>
      </c>
      <c r="I375">
        <v>367.94060000000002</v>
      </c>
      <c r="J375">
        <v>-435.04500000000002</v>
      </c>
      <c r="K375">
        <v>1.0727180000000001</v>
      </c>
      <c r="L375">
        <v>368.09010000000001</v>
      </c>
      <c r="M375">
        <v>0.99990480000000004</v>
      </c>
      <c r="N375">
        <v>0</v>
      </c>
      <c r="O375">
        <v>9.560231E-4</v>
      </c>
      <c r="P375">
        <v>0.99871049999999995</v>
      </c>
      <c r="Q375">
        <v>4.1652309999999998E-2</v>
      </c>
      <c r="R375">
        <v>-2.9027689999999998E-2</v>
      </c>
      <c r="S375">
        <v>3.0236209999999999</v>
      </c>
      <c r="T375">
        <v>-0.83287299999999997</v>
      </c>
      <c r="U375">
        <v>-0.4998474</v>
      </c>
      <c r="V375">
        <v>3.0026710000000002E-2</v>
      </c>
      <c r="W375">
        <v>5.53733E-2</v>
      </c>
      <c r="X375">
        <v>0.99801419999999996</v>
      </c>
      <c r="Y375">
        <v>0.1582684</v>
      </c>
      <c r="Z375">
        <v>-2.1519710000000001E-2</v>
      </c>
      <c r="AA375">
        <v>0.98716159999999997</v>
      </c>
      <c r="AB375">
        <v>29</v>
      </c>
      <c r="AC375">
        <v>0.63470000000000903</v>
      </c>
      <c r="AD375">
        <v>-0.24690119999999999</v>
      </c>
      <c r="AE375">
        <v>-0.149499999999989</v>
      </c>
      <c r="AF375">
        <v>0.13128449165466</v>
      </c>
      <c r="AG375">
        <v>-0.24690119999999999</v>
      </c>
      <c r="AH375">
        <v>0.55498802083120802</v>
      </c>
      <c r="AI375">
        <v>113.409169354166</v>
      </c>
      <c r="AJ375">
        <v>76.691114326185698</v>
      </c>
      <c r="AK375">
        <v>0.62145597074660397</v>
      </c>
      <c r="AL375">
        <v>86.825720273514506</v>
      </c>
      <c r="AM375">
        <v>88.276692919573307</v>
      </c>
      <c r="AN375">
        <v>1.0000000745339701</v>
      </c>
    </row>
    <row r="376" spans="1:40" x14ac:dyDescent="0.25">
      <c r="A376" t="str">
        <f>"20190312153857971"</f>
        <v>20190312153857971</v>
      </c>
      <c r="B376" t="str">
        <f>"1552376337966412"</f>
        <v>1552376337966412</v>
      </c>
      <c r="C376" t="s">
        <v>40</v>
      </c>
      <c r="D376">
        <v>4.3108559999999896</v>
      </c>
      <c r="E376">
        <v>0.55493709999999996</v>
      </c>
      <c r="F376" t="s">
        <v>41</v>
      </c>
      <c r="G376">
        <v>-434.15</v>
      </c>
      <c r="H376">
        <v>0.82673949999999996</v>
      </c>
      <c r="I376">
        <v>367.94209999999998</v>
      </c>
      <c r="J376">
        <v>-434.87880000000001</v>
      </c>
      <c r="K376">
        <v>1.071639</v>
      </c>
      <c r="L376">
        <v>368.09010000000001</v>
      </c>
      <c r="M376">
        <v>0.99991070000000004</v>
      </c>
      <c r="N376">
        <v>0</v>
      </c>
      <c r="O376">
        <v>7.7526050000000001E-4</v>
      </c>
      <c r="P376">
        <v>0.99868710000000005</v>
      </c>
      <c r="Q376">
        <v>4.2180860000000001E-2</v>
      </c>
      <c r="R376">
        <v>-2.9064940000000001E-2</v>
      </c>
      <c r="S376">
        <v>3.0240480000000001</v>
      </c>
      <c r="T376">
        <v>-0.83110509999999904</v>
      </c>
      <c r="U376">
        <v>-0.50003050000000004</v>
      </c>
      <c r="V376">
        <v>2.9882189999999999E-2</v>
      </c>
      <c r="W376">
        <v>5.5477079999999998E-2</v>
      </c>
      <c r="X376">
        <v>0.99801269999999997</v>
      </c>
      <c r="Y376">
        <v>0.15816189999999999</v>
      </c>
      <c r="Z376">
        <v>-2.1409910000000001E-2</v>
      </c>
      <c r="AA376">
        <v>0.98718110000000003</v>
      </c>
      <c r="AB376">
        <v>29</v>
      </c>
      <c r="AC376">
        <v>0.72880000000003498</v>
      </c>
      <c r="AD376">
        <v>-0.24489949999999899</v>
      </c>
      <c r="AE376">
        <v>-0.148000000000024</v>
      </c>
      <c r="AF376">
        <v>0.134030144550948</v>
      </c>
      <c r="AG376">
        <v>-0.24489949999999899</v>
      </c>
      <c r="AH376">
        <v>0.65739406927194699</v>
      </c>
      <c r="AI376">
        <v>110.05316794936</v>
      </c>
      <c r="AJ376">
        <v>78.476416864560093</v>
      </c>
      <c r="AK376">
        <v>0.71421761884073398</v>
      </c>
      <c r="AL376">
        <v>86.819764728096104</v>
      </c>
      <c r="AM376">
        <v>88.284979737967205</v>
      </c>
      <c r="AN376">
        <v>1.0000000005228999</v>
      </c>
    </row>
    <row r="377" spans="1:40" x14ac:dyDescent="0.25">
      <c r="A377" t="str">
        <f>"20190312153857986"</f>
        <v>20190312153857986</v>
      </c>
      <c r="B377" t="str">
        <f>"1552376337976172"</f>
        <v>1552376337976172</v>
      </c>
      <c r="C377" t="s">
        <v>40</v>
      </c>
      <c r="D377">
        <v>4.2185449999999998</v>
      </c>
      <c r="E377">
        <v>0.554432699999999</v>
      </c>
      <c r="F377" t="s">
        <v>41</v>
      </c>
      <c r="G377">
        <v>-434.13369999999998</v>
      </c>
      <c r="H377">
        <v>0.86764419999999898</v>
      </c>
      <c r="I377">
        <v>367.96710000000002</v>
      </c>
      <c r="J377">
        <v>-434.68779999999998</v>
      </c>
      <c r="K377">
        <v>1.07047</v>
      </c>
      <c r="L377">
        <v>368.09</v>
      </c>
      <c r="M377">
        <v>0.9999171</v>
      </c>
      <c r="N377">
        <v>0</v>
      </c>
      <c r="O377">
        <v>5.7279130000000001E-4</v>
      </c>
      <c r="P377">
        <v>0.99867649999999997</v>
      </c>
      <c r="Q377">
        <v>4.2490430000000003E-2</v>
      </c>
      <c r="R377">
        <v>-2.898541E-2</v>
      </c>
      <c r="S377">
        <v>3.024384</v>
      </c>
      <c r="T377">
        <v>-0.82803979999999999</v>
      </c>
      <c r="U377">
        <v>-0.49899290000000002</v>
      </c>
      <c r="V377">
        <v>2.9598599999999999E-2</v>
      </c>
      <c r="W377">
        <v>5.5318539999999999E-2</v>
      </c>
      <c r="X377">
        <v>0.99802990000000003</v>
      </c>
      <c r="Y377">
        <v>0.15768170000000001</v>
      </c>
      <c r="Z377">
        <v>-2.121377E-2</v>
      </c>
      <c r="AA377">
        <v>0.98726210000000003</v>
      </c>
      <c r="AB377">
        <v>29</v>
      </c>
      <c r="AC377">
        <v>0.55410000000000503</v>
      </c>
      <c r="AD377">
        <v>-0.2028258</v>
      </c>
      <c r="AE377">
        <v>-0.122899999999958</v>
      </c>
      <c r="AF377">
        <v>0.10926368808783</v>
      </c>
      <c r="AG377">
        <v>-0.2028258</v>
      </c>
      <c r="AH377">
        <v>0.49128866783605701</v>
      </c>
      <c r="AI377">
        <v>111.949338332777</v>
      </c>
      <c r="AJ377">
        <v>77.461365131077997</v>
      </c>
      <c r="AK377">
        <v>0.54262456065342501</v>
      </c>
      <c r="AL377">
        <v>86.828862210154298</v>
      </c>
      <c r="AM377">
        <v>88.301275417164007</v>
      </c>
      <c r="AN377">
        <v>0.99999994964184902</v>
      </c>
    </row>
    <row r="378" spans="1:40" x14ac:dyDescent="0.25">
      <c r="A378" t="str">
        <f>"20190312153858003"</f>
        <v>20190312153858003</v>
      </c>
      <c r="B378" t="str">
        <f>"1552376337996667"</f>
        <v>1552376337996667</v>
      </c>
      <c r="C378" t="s">
        <v>40</v>
      </c>
      <c r="D378">
        <v>4.3174239999999999</v>
      </c>
      <c r="E378">
        <v>0.55417749999999999</v>
      </c>
      <c r="F378" t="s">
        <v>41</v>
      </c>
      <c r="G378">
        <v>-433.87990000000002</v>
      </c>
      <c r="H378">
        <v>0.85029069999999995</v>
      </c>
      <c r="I378">
        <v>367.95740000000001</v>
      </c>
      <c r="J378">
        <v>-434.45299999999997</v>
      </c>
      <c r="K378">
        <v>1.0691550000000001</v>
      </c>
      <c r="L378">
        <v>368.0899</v>
      </c>
      <c r="M378">
        <v>0.99992409999999998</v>
      </c>
      <c r="N378">
        <v>0</v>
      </c>
      <c r="O378">
        <v>3.3258119999999999E-4</v>
      </c>
      <c r="P378">
        <v>0.99865409999999999</v>
      </c>
      <c r="Q378">
        <v>4.3101630000000002E-2</v>
      </c>
      <c r="R378">
        <v>-2.885393E-2</v>
      </c>
      <c r="S378">
        <v>3.0246580000000001</v>
      </c>
      <c r="T378">
        <v>-0.82438230000000001</v>
      </c>
      <c r="U378">
        <v>-0.49508669999999999</v>
      </c>
      <c r="V378">
        <v>2.922545E-2</v>
      </c>
      <c r="W378">
        <v>5.5387579999999999E-2</v>
      </c>
      <c r="X378">
        <v>0.99803710000000001</v>
      </c>
      <c r="Y378">
        <v>0.1562952</v>
      </c>
      <c r="Z378">
        <v>-2.0875270000000001E-2</v>
      </c>
      <c r="AA378">
        <v>0.98748979999999997</v>
      </c>
      <c r="AB378">
        <v>29</v>
      </c>
      <c r="AC378">
        <v>0.57310000000001005</v>
      </c>
      <c r="AD378">
        <v>-0.21886429999999901</v>
      </c>
      <c r="AE378">
        <v>-0.13249999999999301</v>
      </c>
      <c r="AF378">
        <v>0.116554364637639</v>
      </c>
      <c r="AG378">
        <v>-0.21886429999999901</v>
      </c>
      <c r="AH378">
        <v>0.50336769408342796</v>
      </c>
      <c r="AI378">
        <v>112.957168030478</v>
      </c>
      <c r="AJ378">
        <v>76.962963475690998</v>
      </c>
      <c r="AK378">
        <v>0.561128806226735</v>
      </c>
      <c r="AL378">
        <v>86.824900538039898</v>
      </c>
      <c r="AM378">
        <v>88.322691045651098</v>
      </c>
      <c r="AN378">
        <v>0.999999981961184</v>
      </c>
    </row>
    <row r="379" spans="1:40" x14ac:dyDescent="0.25">
      <c r="A379" t="str">
        <f>"20190312153858016"</f>
        <v>20190312153858016</v>
      </c>
      <c r="B379" t="str">
        <f>"1552376338006428"</f>
        <v>1552376338006428</v>
      </c>
      <c r="C379" t="s">
        <v>40</v>
      </c>
      <c r="D379">
        <v>4.2742579999999997</v>
      </c>
      <c r="E379">
        <v>0.55404679999999995</v>
      </c>
      <c r="F379" t="s">
        <v>41</v>
      </c>
      <c r="G379">
        <v>-433.62110000000001</v>
      </c>
      <c r="H379">
        <v>0.84390969999999998</v>
      </c>
      <c r="I379">
        <v>367.95400000000001</v>
      </c>
      <c r="J379">
        <v>-434.2919</v>
      </c>
      <c r="K379">
        <v>1.068319</v>
      </c>
      <c r="L379">
        <v>368.08980000000003</v>
      </c>
      <c r="M379">
        <v>0.99992840000000005</v>
      </c>
      <c r="N379">
        <v>0</v>
      </c>
      <c r="O379">
        <v>1.725327E-4</v>
      </c>
      <c r="P379">
        <v>0.99864969999999997</v>
      </c>
      <c r="Q379">
        <v>4.3300610000000003E-2</v>
      </c>
      <c r="R379">
        <v>-2.8704790000000001E-2</v>
      </c>
      <c r="S379">
        <v>3.0251459999999999</v>
      </c>
      <c r="T379">
        <v>-0.81904980000000005</v>
      </c>
      <c r="U379">
        <v>-0.49310300000000001</v>
      </c>
      <c r="V379">
        <v>2.891502E-2</v>
      </c>
      <c r="W379">
        <v>5.5234739999999997E-2</v>
      </c>
      <c r="X379">
        <v>0.99805460000000001</v>
      </c>
      <c r="Y379">
        <v>0.15558329999999901</v>
      </c>
      <c r="Z379">
        <v>-2.0606320000000001E-2</v>
      </c>
      <c r="AA379">
        <v>0.98760780000000004</v>
      </c>
      <c r="AB379">
        <v>29</v>
      </c>
      <c r="AC379">
        <v>0.67079999999998496</v>
      </c>
      <c r="AD379">
        <v>-0.22440930000000001</v>
      </c>
      <c r="AE379">
        <v>-0.13580000000001699</v>
      </c>
      <c r="AF379">
        <v>0.122721834343577</v>
      </c>
      <c r="AG379">
        <v>-0.22440930000000001</v>
      </c>
      <c r="AH379">
        <v>0.60566148523198304</v>
      </c>
      <c r="AI379">
        <v>109.957968227469</v>
      </c>
      <c r="AJ379">
        <v>78.545553499214193</v>
      </c>
      <c r="AK379">
        <v>0.65745419402765504</v>
      </c>
      <c r="AL379">
        <v>86.833671012588596</v>
      </c>
      <c r="AM379">
        <v>88.340526330537998</v>
      </c>
      <c r="AN379">
        <v>0.99999996973281302</v>
      </c>
    </row>
    <row r="380" spans="1:40" x14ac:dyDescent="0.25">
      <c r="A380" t="str">
        <f>"20190312153858028"</f>
        <v>20190312153858028</v>
      </c>
      <c r="B380" t="str">
        <f>"1552376338016187"</f>
        <v>1552376338016187</v>
      </c>
      <c r="C380" t="s">
        <v>40</v>
      </c>
      <c r="D380">
        <v>4.3023699999999998</v>
      </c>
      <c r="E380">
        <v>0.554303199999999</v>
      </c>
      <c r="F380" t="s">
        <v>41</v>
      </c>
      <c r="G380">
        <v>-433.6053</v>
      </c>
      <c r="H380">
        <v>0.88272790000000001</v>
      </c>
      <c r="I380">
        <v>367.97789999999998</v>
      </c>
      <c r="J380">
        <v>-434.1336</v>
      </c>
      <c r="K380">
        <v>1.067585</v>
      </c>
      <c r="L380">
        <v>368.08969999999999</v>
      </c>
      <c r="M380">
        <v>0.99993209999999999</v>
      </c>
      <c r="N380">
        <v>0</v>
      </c>
      <c r="O380" s="1">
        <v>2.160717E-5</v>
      </c>
      <c r="P380">
        <v>0.99862359999999994</v>
      </c>
      <c r="Q380">
        <v>4.379827E-2</v>
      </c>
      <c r="R380">
        <v>-2.885155E-2</v>
      </c>
      <c r="S380">
        <v>3.0253909999999999</v>
      </c>
      <c r="T380">
        <v>-0.81777200000000005</v>
      </c>
      <c r="U380">
        <v>-0.49166870000000001</v>
      </c>
      <c r="V380">
        <v>2.8909959999999998E-2</v>
      </c>
      <c r="W380">
        <v>5.5414239999999997E-2</v>
      </c>
      <c r="X380">
        <v>0.99804479999999995</v>
      </c>
      <c r="Y380">
        <v>0.15500799999999901</v>
      </c>
      <c r="Z380">
        <v>-2.0458690000000002E-2</v>
      </c>
      <c r="AA380">
        <v>0.98770139999999995</v>
      </c>
      <c r="AB380">
        <v>29</v>
      </c>
      <c r="AC380">
        <v>0.52830000000000099</v>
      </c>
      <c r="AD380">
        <v>-0.1848571</v>
      </c>
      <c r="AE380">
        <v>-0.111800000000016</v>
      </c>
      <c r="AF380">
        <v>0.10008286661431701</v>
      </c>
      <c r="AG380">
        <v>-0.1848571</v>
      </c>
      <c r="AH380">
        <v>0.47288138021433701</v>
      </c>
      <c r="AI380">
        <v>110.92909032161</v>
      </c>
      <c r="AJ380">
        <v>78.049993303984195</v>
      </c>
      <c r="AK380">
        <v>0.51749930180007597</v>
      </c>
      <c r="AL380">
        <v>86.823370655404901</v>
      </c>
      <c r="AM380">
        <v>88.340800285974495</v>
      </c>
      <c r="AN380">
        <v>0.99999997329450896</v>
      </c>
    </row>
    <row r="381" spans="1:40" x14ac:dyDescent="0.25">
      <c r="A381" t="str">
        <f>"20190312153858040"</f>
        <v>20190312153858040</v>
      </c>
      <c r="B381" t="str">
        <f>"1552376338036684"</f>
        <v>1552376338036684</v>
      </c>
      <c r="C381" t="s">
        <v>40</v>
      </c>
      <c r="D381">
        <v>4.3085990000000001</v>
      </c>
      <c r="E381">
        <v>0.55463090000000004</v>
      </c>
      <c r="F381" t="s">
        <v>41</v>
      </c>
      <c r="G381">
        <v>-433.35390000000001</v>
      </c>
      <c r="H381">
        <v>0.85677329999999996</v>
      </c>
      <c r="I381">
        <v>367.96190000000001</v>
      </c>
      <c r="J381">
        <v>-433.9717</v>
      </c>
      <c r="K381">
        <v>1.066867</v>
      </c>
      <c r="L381">
        <v>368.08949999999999</v>
      </c>
      <c r="M381">
        <v>0.99993569999999998</v>
      </c>
      <c r="N381">
        <v>0</v>
      </c>
      <c r="O381">
        <v>-1.3065940000000001E-4</v>
      </c>
      <c r="P381">
        <v>0.99861670000000002</v>
      </c>
      <c r="Q381">
        <v>4.4056520000000002E-2</v>
      </c>
      <c r="R381">
        <v>-2.8704500000000001E-2</v>
      </c>
      <c r="S381">
        <v>3.0257260000000001</v>
      </c>
      <c r="T381">
        <v>-0.81798859999999995</v>
      </c>
      <c r="U381">
        <v>-0.49414059999999999</v>
      </c>
      <c r="V381">
        <v>2.86095E-2</v>
      </c>
      <c r="W381">
        <v>5.535996E-2</v>
      </c>
      <c r="X381">
        <v>0.99805650000000001</v>
      </c>
      <c r="Y381">
        <v>0.1556099</v>
      </c>
      <c r="Z381">
        <v>-2.0499730000000001E-2</v>
      </c>
      <c r="AA381">
        <v>0.98760590000000004</v>
      </c>
      <c r="AB381">
        <v>29</v>
      </c>
      <c r="AC381">
        <v>0.61779999999998803</v>
      </c>
      <c r="AD381">
        <v>-0.210093699999999</v>
      </c>
      <c r="AE381">
        <v>-0.12759999999997201</v>
      </c>
      <c r="AF381">
        <v>0.11478766103259699</v>
      </c>
      <c r="AG381">
        <v>-0.210093699999999</v>
      </c>
      <c r="AH381">
        <v>0.55613342953012002</v>
      </c>
      <c r="AI381">
        <v>110.303313514069</v>
      </c>
      <c r="AJ381">
        <v>78.337745891596299</v>
      </c>
      <c r="AK381">
        <v>0.60547498820839596</v>
      </c>
      <c r="AL381">
        <v>86.826485545883799</v>
      </c>
      <c r="AM381">
        <v>88.3580540275602</v>
      </c>
      <c r="AN381">
        <v>1.0000000029268501</v>
      </c>
    </row>
    <row r="382" spans="1:40" x14ac:dyDescent="0.25">
      <c r="A382" t="str">
        <f>"20190312153858059"</f>
        <v>20190312153858059</v>
      </c>
      <c r="B382" t="str">
        <f>"1552376338056203"</f>
        <v>1552376338056203</v>
      </c>
      <c r="C382" t="s">
        <v>40</v>
      </c>
      <c r="D382">
        <v>4.2942809999999998</v>
      </c>
      <c r="E382">
        <v>0.55497669999999999</v>
      </c>
      <c r="F382" t="s">
        <v>41</v>
      </c>
      <c r="G382">
        <v>-433.101</v>
      </c>
      <c r="H382">
        <v>0.83153549999999998</v>
      </c>
      <c r="I382">
        <v>367.94659999999999</v>
      </c>
      <c r="J382">
        <v>-433.73750000000001</v>
      </c>
      <c r="K382">
        <v>1.065931</v>
      </c>
      <c r="L382">
        <v>368.08929999999998</v>
      </c>
      <c r="M382">
        <v>0.9999403</v>
      </c>
      <c r="N382">
        <v>0</v>
      </c>
      <c r="O382">
        <v>-3.4356609999999999E-4</v>
      </c>
      <c r="P382">
        <v>0.9985889</v>
      </c>
      <c r="Q382">
        <v>4.4923959999999999E-2</v>
      </c>
      <c r="R382">
        <v>-2.8322090000000001E-2</v>
      </c>
      <c r="S382">
        <v>3.02597</v>
      </c>
      <c r="T382">
        <v>-0.81783319999999904</v>
      </c>
      <c r="U382">
        <v>-0.49646000000000001</v>
      </c>
      <c r="V382">
        <v>2.8013110000000001E-2</v>
      </c>
      <c r="W382">
        <v>5.5813210000000002E-2</v>
      </c>
      <c r="X382">
        <v>0.99804820000000005</v>
      </c>
      <c r="Y382">
        <v>0.1561177</v>
      </c>
      <c r="Z382">
        <v>-2.0504000000000001E-2</v>
      </c>
      <c r="AA382">
        <v>0.9875256</v>
      </c>
      <c r="AB382">
        <v>29</v>
      </c>
      <c r="AC382">
        <v>0.63650000000001195</v>
      </c>
      <c r="AD382">
        <v>-0.23439550000000001</v>
      </c>
      <c r="AE382">
        <v>-0.14269999999999</v>
      </c>
      <c r="AF382">
        <v>0.12618758251638501</v>
      </c>
      <c r="AG382">
        <v>-0.23439550000000001</v>
      </c>
      <c r="AH382">
        <v>0.56375523812673101</v>
      </c>
      <c r="AI382">
        <v>112.08414107667799</v>
      </c>
      <c r="AJ382">
        <v>77.383220835003996</v>
      </c>
      <c r="AK382">
        <v>0.62344568722295901</v>
      </c>
      <c r="AL382">
        <v>86.800476103509197</v>
      </c>
      <c r="AM382">
        <v>88.3922503061914</v>
      </c>
      <c r="AN382">
        <v>1.0000000291328</v>
      </c>
    </row>
    <row r="383" spans="1:40" x14ac:dyDescent="0.25">
      <c r="A383" t="str">
        <f>"20190312153858071"</f>
        <v>20190312153858071</v>
      </c>
      <c r="B383" t="str">
        <f>"1552376338066939"</f>
        <v>1552376338066939</v>
      </c>
      <c r="C383" t="s">
        <v>40</v>
      </c>
      <c r="D383">
        <v>4.3036859999999999</v>
      </c>
      <c r="E383">
        <v>0.5550467</v>
      </c>
      <c r="F383" t="s">
        <v>41</v>
      </c>
      <c r="G383">
        <v>-432.84030000000001</v>
      </c>
      <c r="H383">
        <v>0.824202399999999</v>
      </c>
      <c r="I383">
        <v>367.94139999999999</v>
      </c>
      <c r="J383">
        <v>-433.56099999999998</v>
      </c>
      <c r="K383">
        <v>1.0653090000000001</v>
      </c>
      <c r="L383">
        <v>368.089</v>
      </c>
      <c r="M383">
        <v>0.99994329999999998</v>
      </c>
      <c r="N383">
        <v>0</v>
      </c>
      <c r="O383">
        <v>-4.994582E-4</v>
      </c>
      <c r="P383">
        <v>0.99857600000000002</v>
      </c>
      <c r="Q383">
        <v>4.5298720000000001E-2</v>
      </c>
      <c r="R383">
        <v>-2.8177399999999998E-2</v>
      </c>
      <c r="S383">
        <v>3.026764</v>
      </c>
      <c r="T383">
        <v>-0.81552919999999995</v>
      </c>
      <c r="U383">
        <v>-0.49829099999999998</v>
      </c>
      <c r="V383">
        <v>2.7711969999999999E-2</v>
      </c>
      <c r="W383">
        <v>5.5908430000000002E-2</v>
      </c>
      <c r="X383">
        <v>0.99805120000000003</v>
      </c>
      <c r="Y383">
        <v>0.1565289</v>
      </c>
      <c r="Z383">
        <v>-2.0455210000000001E-2</v>
      </c>
      <c r="AA383">
        <v>0.98746149999999999</v>
      </c>
      <c r="AB383">
        <v>29</v>
      </c>
      <c r="AC383">
        <v>0.72069999999996504</v>
      </c>
      <c r="AD383">
        <v>-0.2411066</v>
      </c>
      <c r="AE383">
        <v>-0.147600000000011</v>
      </c>
      <c r="AF383">
        <v>0.13295828456359499</v>
      </c>
      <c r="AG383">
        <v>-0.2411066</v>
      </c>
      <c r="AH383">
        <v>0.65086134793797301</v>
      </c>
      <c r="AI383">
        <v>109.94820183109</v>
      </c>
      <c r="AJ383">
        <v>78.454440849659605</v>
      </c>
      <c r="AK383">
        <v>0.70670417590197498</v>
      </c>
      <c r="AL383">
        <v>86.795011619460993</v>
      </c>
      <c r="AM383">
        <v>88.409529414775406</v>
      </c>
      <c r="AN383">
        <v>0.99999995182389101</v>
      </c>
    </row>
    <row r="384" spans="1:40" x14ac:dyDescent="0.25">
      <c r="A384" t="str">
        <f>"20190312153858085"</f>
        <v>20190312153858085</v>
      </c>
      <c r="B384" t="str">
        <f>"1552376338076700"</f>
        <v>1552376338076700</v>
      </c>
      <c r="C384" t="s">
        <v>40</v>
      </c>
      <c r="D384">
        <v>4.29678</v>
      </c>
      <c r="E384">
        <v>0.55517150000000004</v>
      </c>
      <c r="F384" t="s">
        <v>41</v>
      </c>
      <c r="G384">
        <v>-432.82330000000002</v>
      </c>
      <c r="H384">
        <v>0.86702139999999905</v>
      </c>
      <c r="I384">
        <v>367.96730000000002</v>
      </c>
      <c r="J384">
        <v>-433.38510000000002</v>
      </c>
      <c r="K384">
        <v>1.064738</v>
      </c>
      <c r="L384">
        <v>368.08879999999999</v>
      </c>
      <c r="M384">
        <v>0.99994590000000005</v>
      </c>
      <c r="N384">
        <v>0</v>
      </c>
      <c r="O384">
        <v>-6.525484E-4</v>
      </c>
      <c r="P384">
        <v>0.99857059999999997</v>
      </c>
      <c r="Q384">
        <v>4.5539549999999998E-2</v>
      </c>
      <c r="R384">
        <v>-2.7982130000000001E-2</v>
      </c>
      <c r="S384">
        <v>3.027161</v>
      </c>
      <c r="T384">
        <v>-0.81376490000000001</v>
      </c>
      <c r="U384">
        <v>-0.49880980000000003</v>
      </c>
      <c r="V384">
        <v>2.7362999999999998E-2</v>
      </c>
      <c r="W384">
        <v>5.5890339999999997E-2</v>
      </c>
      <c r="X384">
        <v>0.99806189999999995</v>
      </c>
      <c r="Y384">
        <v>0.156551</v>
      </c>
      <c r="Z384">
        <v>-2.0372339999999999E-2</v>
      </c>
      <c r="AA384">
        <v>0.9874598</v>
      </c>
      <c r="AB384">
        <v>29</v>
      </c>
      <c r="AC384">
        <v>0.56180000000000496</v>
      </c>
      <c r="AD384">
        <v>-0.19771659999999999</v>
      </c>
      <c r="AE384">
        <v>-0.12149999999996899</v>
      </c>
      <c r="AF384">
        <v>0.108316927882929</v>
      </c>
      <c r="AG384">
        <v>-0.19771659999999999</v>
      </c>
      <c r="AH384">
        <v>0.50242995929997303</v>
      </c>
      <c r="AI384">
        <v>111.040872050429</v>
      </c>
      <c r="AJ384">
        <v>77.834024987106602</v>
      </c>
      <c r="AK384">
        <v>0.55069072516588502</v>
      </c>
      <c r="AL384">
        <v>86.796049910092293</v>
      </c>
      <c r="AM384">
        <v>88.429564552683203</v>
      </c>
      <c r="AN384">
        <v>1.00000001005296</v>
      </c>
    </row>
    <row r="385" spans="1:40" x14ac:dyDescent="0.25">
      <c r="A385" t="str">
        <f>"20190312153858105"</f>
        <v>20190312153858105</v>
      </c>
      <c r="B385" t="str">
        <f>"1552376338096220"</f>
        <v>1552376338096220</v>
      </c>
      <c r="C385" t="s">
        <v>40</v>
      </c>
      <c r="D385">
        <v>4.2542460000000002</v>
      </c>
      <c r="E385">
        <v>0.55531790000000003</v>
      </c>
      <c r="F385" t="s">
        <v>41</v>
      </c>
      <c r="G385">
        <v>-432.5677</v>
      </c>
      <c r="H385">
        <v>0.84517569999999997</v>
      </c>
      <c r="I385">
        <v>367.95389999999998</v>
      </c>
      <c r="J385">
        <v>-433.12259999999998</v>
      </c>
      <c r="K385">
        <v>1.063976</v>
      </c>
      <c r="L385">
        <v>368.08839999999998</v>
      </c>
      <c r="M385">
        <v>0.99994939999999999</v>
      </c>
      <c r="N385">
        <v>0</v>
      </c>
      <c r="O385">
        <v>-8.7684479999999897E-4</v>
      </c>
      <c r="P385">
        <v>0.99855539999999998</v>
      </c>
      <c r="Q385">
        <v>4.6055289999999999E-2</v>
      </c>
      <c r="R385">
        <v>-2.768168E-2</v>
      </c>
      <c r="S385">
        <v>3.0274350000000001</v>
      </c>
      <c r="T385">
        <v>-0.81324529999999995</v>
      </c>
      <c r="U385">
        <v>-0.49923709999999999</v>
      </c>
      <c r="V385">
        <v>2.6837739999999999E-2</v>
      </c>
      <c r="W385">
        <v>5.6058400000000001E-2</v>
      </c>
      <c r="X385">
        <v>0.99806669999999997</v>
      </c>
      <c r="Y385">
        <v>0.15646940000000001</v>
      </c>
      <c r="Z385">
        <v>-2.0288270000000001E-2</v>
      </c>
      <c r="AA385">
        <v>0.98747439999999997</v>
      </c>
      <c r="AB385">
        <v>29</v>
      </c>
      <c r="AC385">
        <v>0.55489999999997497</v>
      </c>
      <c r="AD385">
        <v>-0.2188003</v>
      </c>
      <c r="AE385">
        <v>-0.13450000000000201</v>
      </c>
      <c r="AF385">
        <v>0.116853483876143</v>
      </c>
      <c r="AG385">
        <v>-0.2188003</v>
      </c>
      <c r="AH385">
        <v>0.48394991260005099</v>
      </c>
      <c r="AI385">
        <v>113.724703320681</v>
      </c>
      <c r="AJ385">
        <v>76.425315860881298</v>
      </c>
      <c r="AK385">
        <v>0.54381598531091302</v>
      </c>
      <c r="AL385">
        <v>86.786405542316601</v>
      </c>
      <c r="AM385">
        <v>88.459703362645698</v>
      </c>
      <c r="AN385">
        <v>0.999999973073878</v>
      </c>
    </row>
    <row r="386" spans="1:40" x14ac:dyDescent="0.25">
      <c r="A386" t="str">
        <f>"20190312153858127"</f>
        <v>20190312153858127</v>
      </c>
      <c r="B386" t="str">
        <f>"1552376338116716"</f>
        <v>1552376338116716</v>
      </c>
      <c r="C386" t="s">
        <v>40</v>
      </c>
      <c r="D386">
        <v>4.2788370000000002</v>
      </c>
      <c r="E386">
        <v>0.55544869999999902</v>
      </c>
      <c r="F386" t="s">
        <v>41</v>
      </c>
      <c r="G386">
        <v>-432.3032</v>
      </c>
      <c r="H386">
        <v>0.84421990000000002</v>
      </c>
      <c r="I386">
        <v>367.95269999999999</v>
      </c>
      <c r="J386">
        <v>-432.83260000000001</v>
      </c>
      <c r="K386">
        <v>1.063253</v>
      </c>
      <c r="L386">
        <v>368.08789999999999</v>
      </c>
      <c r="M386">
        <v>0.99995239999999996</v>
      </c>
      <c r="N386">
        <v>0</v>
      </c>
      <c r="O386">
        <v>-1.120525E-3</v>
      </c>
      <c r="P386">
        <v>0.99853320000000001</v>
      </c>
      <c r="Q386">
        <v>4.6522630000000002E-2</v>
      </c>
      <c r="R386">
        <v>-2.7698460000000001E-2</v>
      </c>
      <c r="S386">
        <v>3.027863</v>
      </c>
      <c r="T386">
        <v>-0.8120501</v>
      </c>
      <c r="U386">
        <v>-0.49993900000000002</v>
      </c>
      <c r="V386">
        <v>2.6610890000000002E-2</v>
      </c>
      <c r="W386">
        <v>5.6196450000000002E-2</v>
      </c>
      <c r="X386">
        <v>0.99806510000000004</v>
      </c>
      <c r="Y386">
        <v>0.1564555</v>
      </c>
      <c r="Z386">
        <v>-2.0190739999999999E-2</v>
      </c>
      <c r="AA386">
        <v>0.98747859999999998</v>
      </c>
      <c r="AB386">
        <v>30</v>
      </c>
      <c r="AC386">
        <v>0.52940000000000897</v>
      </c>
      <c r="AD386">
        <v>-0.21903310000000001</v>
      </c>
      <c r="AE386">
        <v>-0.13519999999999699</v>
      </c>
      <c r="AF386">
        <v>0.11597040285664099</v>
      </c>
      <c r="AG386">
        <v>-0.21903310000000001</v>
      </c>
      <c r="AH386">
        <v>0.456234875454885</v>
      </c>
      <c r="AI386">
        <v>114.952175953382</v>
      </c>
      <c r="AJ386">
        <v>75.738025584766802</v>
      </c>
      <c r="AK386">
        <v>0.51920602347784395</v>
      </c>
      <c r="AL386">
        <v>86.778483658590503</v>
      </c>
      <c r="AM386">
        <v>88.472714309710597</v>
      </c>
      <c r="AN386">
        <v>1.0000000621486</v>
      </c>
    </row>
    <row r="387" spans="1:40" x14ac:dyDescent="0.25">
      <c r="A387" t="str">
        <f>"20190312153858139"</f>
        <v>20190312153858139</v>
      </c>
      <c r="B387" t="str">
        <f>"1552376338136236"</f>
        <v>1552376338136236</v>
      </c>
      <c r="C387" t="s">
        <v>40</v>
      </c>
      <c r="D387">
        <v>4.2695919999999896</v>
      </c>
      <c r="E387">
        <v>0.55565109999999995</v>
      </c>
      <c r="F387" t="s">
        <v>41</v>
      </c>
      <c r="G387">
        <v>-432.03519999999997</v>
      </c>
      <c r="H387">
        <v>0.85016539999999996</v>
      </c>
      <c r="I387">
        <v>367.95549999999997</v>
      </c>
      <c r="J387">
        <v>-432.67239999999998</v>
      </c>
      <c r="K387">
        <v>1.062889</v>
      </c>
      <c r="L387">
        <v>368.08760000000001</v>
      </c>
      <c r="M387">
        <v>0.99995369999999995</v>
      </c>
      <c r="N387">
        <v>0</v>
      </c>
      <c r="O387">
        <v>-1.254146E-3</v>
      </c>
      <c r="P387">
        <v>0.99852779999999997</v>
      </c>
      <c r="Q387">
        <v>4.6734980000000002E-2</v>
      </c>
      <c r="R387">
        <v>-2.7535830000000001E-2</v>
      </c>
      <c r="S387">
        <v>3.0281980000000002</v>
      </c>
      <c r="T387">
        <v>-0.80925040000000004</v>
      </c>
      <c r="U387">
        <v>-0.50125120000000001</v>
      </c>
      <c r="V387">
        <v>2.631447E-2</v>
      </c>
      <c r="W387">
        <v>5.6246450000000003E-2</v>
      </c>
      <c r="X387">
        <v>0.99807009999999996</v>
      </c>
      <c r="Y387">
        <v>0.156754799999999</v>
      </c>
      <c r="Z387">
        <v>-2.0124820000000002E-2</v>
      </c>
      <c r="AA387">
        <v>0.98743250000000005</v>
      </c>
      <c r="AB387">
        <v>30</v>
      </c>
      <c r="AC387">
        <v>0.63720000000000698</v>
      </c>
      <c r="AD387">
        <v>-0.21272359999999901</v>
      </c>
      <c r="AE387">
        <v>-0.13210000000003599</v>
      </c>
      <c r="AF387">
        <v>0.118624789021067</v>
      </c>
      <c r="AG387">
        <v>-0.21272359999999901</v>
      </c>
      <c r="AH387">
        <v>0.57583317979107496</v>
      </c>
      <c r="AI387">
        <v>109.891189840902</v>
      </c>
      <c r="AJ387">
        <v>78.359598525857393</v>
      </c>
      <c r="AK387">
        <v>0.62522557650463495</v>
      </c>
      <c r="AL387">
        <v>86.775614193757306</v>
      </c>
      <c r="AM387">
        <v>88.489726458280998</v>
      </c>
      <c r="AN387">
        <v>1.00000001949149</v>
      </c>
    </row>
    <row r="388" spans="1:40" x14ac:dyDescent="0.25">
      <c r="A388" t="str">
        <f>"20190312153858159"</f>
        <v>20190312153858159</v>
      </c>
      <c r="B388" t="str">
        <f>"1552376338146973"</f>
        <v>1552376338146973</v>
      </c>
      <c r="C388" t="s">
        <v>40</v>
      </c>
      <c r="D388">
        <v>4.2837949999999996</v>
      </c>
      <c r="E388">
        <v>0.55578890000000003</v>
      </c>
      <c r="F388" t="s">
        <v>41</v>
      </c>
      <c r="G388">
        <v>-431.779</v>
      </c>
      <c r="H388">
        <v>0.82454859999999897</v>
      </c>
      <c r="I388">
        <v>367.93889999999999</v>
      </c>
      <c r="J388">
        <v>-432.4067</v>
      </c>
      <c r="K388">
        <v>1.062371</v>
      </c>
      <c r="L388">
        <v>368.08710000000002</v>
      </c>
      <c r="M388">
        <v>0.99995560000000006</v>
      </c>
      <c r="N388">
        <v>0</v>
      </c>
      <c r="O388">
        <v>-1.474951E-3</v>
      </c>
      <c r="P388">
        <v>0.99851270000000003</v>
      </c>
      <c r="Q388">
        <v>4.6980250000000001E-2</v>
      </c>
      <c r="R388">
        <v>-2.7662579999999999E-2</v>
      </c>
      <c r="S388">
        <v>3.0283509999999998</v>
      </c>
      <c r="T388">
        <v>-0.80800159999999999</v>
      </c>
      <c r="U388">
        <v>-0.50244140000000004</v>
      </c>
      <c r="V388">
        <v>2.622066E-2</v>
      </c>
      <c r="W388">
        <v>5.6262159999999999E-2</v>
      </c>
      <c r="X388">
        <v>0.99807170000000001</v>
      </c>
      <c r="Y388">
        <v>0.15692539999999999</v>
      </c>
      <c r="Z388">
        <v>-2.005792E-2</v>
      </c>
      <c r="AA388">
        <v>0.98740669999999997</v>
      </c>
      <c r="AB388">
        <v>30</v>
      </c>
      <c r="AC388">
        <v>0.62770000000000403</v>
      </c>
      <c r="AD388">
        <v>-0.23782239999999999</v>
      </c>
      <c r="AE388">
        <v>-0.148200000000031</v>
      </c>
      <c r="AF388">
        <v>0.12964600990127401</v>
      </c>
      <c r="AG388">
        <v>-0.23782239999999999</v>
      </c>
      <c r="AH388">
        <v>0.55275926270039399</v>
      </c>
      <c r="AI388">
        <v>112.72777374563201</v>
      </c>
      <c r="AJ388">
        <v>76.800246084423193</v>
      </c>
      <c r="AK388">
        <v>0.61555697082086902</v>
      </c>
      <c r="AL388">
        <v>86.774712702759103</v>
      </c>
      <c r="AM388">
        <v>88.495110452248099</v>
      </c>
      <c r="AN388">
        <v>1.00000003599979</v>
      </c>
    </row>
    <row r="389" spans="1:40" x14ac:dyDescent="0.25">
      <c r="A389" t="str">
        <f>"20190312153858170"</f>
        <v>20190312153858170</v>
      </c>
      <c r="B389" t="str">
        <f>"1552376338166493"</f>
        <v>1552376338166493</v>
      </c>
      <c r="C389" t="s">
        <v>40</v>
      </c>
      <c r="D389">
        <v>4.2660080000000002</v>
      </c>
      <c r="E389">
        <v>0.55603080000000005</v>
      </c>
      <c r="F389" t="s">
        <v>41</v>
      </c>
      <c r="G389">
        <v>-431.51240000000001</v>
      </c>
      <c r="H389">
        <v>0.82409580000000004</v>
      </c>
      <c r="I389">
        <v>367.93849999999998</v>
      </c>
      <c r="J389">
        <v>-432.24930000000001</v>
      </c>
      <c r="K389">
        <v>1.0621</v>
      </c>
      <c r="L389">
        <v>368.08670000000001</v>
      </c>
      <c r="M389">
        <v>0.99995650000000003</v>
      </c>
      <c r="N389">
        <v>0</v>
      </c>
      <c r="O389">
        <v>-1.6063430000000001E-3</v>
      </c>
      <c r="P389">
        <v>0.99849699999999997</v>
      </c>
      <c r="Q389">
        <v>4.727344E-2</v>
      </c>
      <c r="R389">
        <v>-2.7736830000000001E-2</v>
      </c>
      <c r="S389">
        <v>3.028473</v>
      </c>
      <c r="T389">
        <v>-0.80687889999999995</v>
      </c>
      <c r="U389">
        <v>-0.50378420000000002</v>
      </c>
      <c r="V389">
        <v>2.6163740000000001E-2</v>
      </c>
      <c r="W389">
        <v>5.644068E-2</v>
      </c>
      <c r="X389">
        <v>0.99806309999999998</v>
      </c>
      <c r="Y389">
        <v>0.157225</v>
      </c>
      <c r="Z389">
        <v>-2.0034300000000001E-2</v>
      </c>
      <c r="AA389">
        <v>0.9873596</v>
      </c>
      <c r="AB389">
        <v>30</v>
      </c>
      <c r="AC389">
        <v>0.73689999999999101</v>
      </c>
      <c r="AD389">
        <v>-0.2380042</v>
      </c>
      <c r="AE389">
        <v>-0.148200000000031</v>
      </c>
      <c r="AF389">
        <v>0.13361923405669701</v>
      </c>
      <c r="AG389">
        <v>-0.2380042</v>
      </c>
      <c r="AH389">
        <v>0.66996563199403902</v>
      </c>
      <c r="AI389">
        <v>109.207673909348</v>
      </c>
      <c r="AJ389">
        <v>78.720816448979505</v>
      </c>
      <c r="AK389">
        <v>0.72343213018272101</v>
      </c>
      <c r="AL389">
        <v>86.764467935066094</v>
      </c>
      <c r="AM389">
        <v>88.498362846997907</v>
      </c>
      <c r="AN389">
        <v>1.00000002161562</v>
      </c>
    </row>
    <row r="390" spans="1:40" x14ac:dyDescent="0.25">
      <c r="A390" t="str">
        <f>"20190312153858183"</f>
        <v>20190312153858183</v>
      </c>
      <c r="B390" t="str">
        <f>"1552376338176253"</f>
        <v>1552376338176253</v>
      </c>
      <c r="C390" t="s">
        <v>40</v>
      </c>
      <c r="D390">
        <v>4.2912220000000003</v>
      </c>
      <c r="E390">
        <v>0.55616209999999999</v>
      </c>
      <c r="F390" t="s">
        <v>41</v>
      </c>
      <c r="G390">
        <v>-431.4973</v>
      </c>
      <c r="H390">
        <v>0.86214269999999904</v>
      </c>
      <c r="I390">
        <v>367.96120000000002</v>
      </c>
      <c r="J390">
        <v>-432.096</v>
      </c>
      <c r="K390">
        <v>1.0618570000000001</v>
      </c>
      <c r="L390">
        <v>368.08629999999999</v>
      </c>
      <c r="M390">
        <v>0.99995730000000005</v>
      </c>
      <c r="N390">
        <v>0</v>
      </c>
      <c r="O390">
        <v>-1.7343460000000001E-3</v>
      </c>
      <c r="P390">
        <v>0.99849250000000001</v>
      </c>
      <c r="Q390">
        <v>4.7209830000000001E-2</v>
      </c>
      <c r="R390">
        <v>-2.800449E-2</v>
      </c>
      <c r="S390">
        <v>3.0285950000000001</v>
      </c>
      <c r="T390">
        <v>-0.80533049999999995</v>
      </c>
      <c r="U390">
        <v>-0.50625609999999999</v>
      </c>
      <c r="V390">
        <v>2.6303549999999998E-2</v>
      </c>
      <c r="W390">
        <v>5.6274539999999998E-2</v>
      </c>
      <c r="X390">
        <v>0.99806879999999998</v>
      </c>
      <c r="Y390">
        <v>0.15787970000000001</v>
      </c>
      <c r="Z390">
        <v>-2.0046850000000001E-2</v>
      </c>
      <c r="AA390">
        <v>0.98725490000000005</v>
      </c>
      <c r="AB390">
        <v>30</v>
      </c>
      <c r="AC390">
        <v>0.598700000000007</v>
      </c>
      <c r="AD390">
        <v>-0.19971430000000001</v>
      </c>
      <c r="AE390">
        <v>-0.12509999999997401</v>
      </c>
      <c r="AF390">
        <v>0.112108377567425</v>
      </c>
      <c r="AG390">
        <v>-0.19971430000000001</v>
      </c>
      <c r="AH390">
        <v>0.54121185769397695</v>
      </c>
      <c r="AI390">
        <v>109.866931101144</v>
      </c>
      <c r="AJ390">
        <v>78.297077502610904</v>
      </c>
      <c r="AK390">
        <v>0.58767709233375398</v>
      </c>
      <c r="AL390">
        <v>86.774002187849604</v>
      </c>
      <c r="AM390">
        <v>88.490350937298999</v>
      </c>
      <c r="AN390">
        <v>1.00000001506412</v>
      </c>
    </row>
    <row r="391" spans="1:40" x14ac:dyDescent="0.25">
      <c r="A391" t="str">
        <f>"20190312153858194"</f>
        <v>20190312153858194</v>
      </c>
      <c r="B391" t="str">
        <f>"1552376338186988"</f>
        <v>1552376338186988</v>
      </c>
      <c r="C391" t="s">
        <v>40</v>
      </c>
      <c r="D391">
        <v>4.260408</v>
      </c>
      <c r="E391">
        <v>0.55624300000000004</v>
      </c>
      <c r="F391" t="s">
        <v>41</v>
      </c>
      <c r="G391">
        <v>-431.2407</v>
      </c>
      <c r="H391">
        <v>0.83439850000000004</v>
      </c>
      <c r="I391">
        <v>367.94260000000003</v>
      </c>
      <c r="J391">
        <v>-431.92660000000001</v>
      </c>
      <c r="K391">
        <v>1.0616129999999999</v>
      </c>
      <c r="L391">
        <v>368.08600000000001</v>
      </c>
      <c r="M391">
        <v>0.99995800000000001</v>
      </c>
      <c r="N391">
        <v>0</v>
      </c>
      <c r="O391">
        <v>-1.875596E-3</v>
      </c>
      <c r="P391">
        <v>0.99848289999999995</v>
      </c>
      <c r="Q391">
        <v>4.7409779999999999E-2</v>
      </c>
      <c r="R391">
        <v>-2.8007710000000002E-2</v>
      </c>
      <c r="S391">
        <v>3.0282900000000001</v>
      </c>
      <c r="T391">
        <v>-0.80531549999999996</v>
      </c>
      <c r="U391">
        <v>-0.50814820000000005</v>
      </c>
      <c r="V391">
        <v>2.6165770000000001E-2</v>
      </c>
      <c r="W391">
        <v>5.6373560000000003E-2</v>
      </c>
      <c r="X391">
        <v>0.99806680000000003</v>
      </c>
      <c r="Y391">
        <v>0.1583454</v>
      </c>
      <c r="Z391">
        <v>-2.0071229999999999E-2</v>
      </c>
      <c r="AA391">
        <v>0.98717980000000005</v>
      </c>
      <c r="AB391">
        <v>30</v>
      </c>
      <c r="AC391">
        <v>0.68590000000000295</v>
      </c>
      <c r="AD391">
        <v>-0.22721449999999899</v>
      </c>
      <c r="AE391">
        <v>-0.14339999999998501</v>
      </c>
      <c r="AF391">
        <v>0.12859288091806101</v>
      </c>
      <c r="AG391">
        <v>-0.22721449999999899</v>
      </c>
      <c r="AH391">
        <v>0.62088725281544299</v>
      </c>
      <c r="AI391">
        <v>109.714954889097</v>
      </c>
      <c r="AJ391">
        <v>78.298822070731902</v>
      </c>
      <c r="AK391">
        <v>0.67354549864264102</v>
      </c>
      <c r="AL391">
        <v>86.768319630685099</v>
      </c>
      <c r="AM391">
        <v>88.4982519555831</v>
      </c>
      <c r="AN391">
        <v>0.99999998152450298</v>
      </c>
    </row>
    <row r="392" spans="1:40" x14ac:dyDescent="0.25">
      <c r="A392" t="str">
        <f>"20190312153858206"</f>
        <v>20190312153858206</v>
      </c>
      <c r="B392" t="str">
        <f>"1552376338196748"</f>
        <v>1552376338196748</v>
      </c>
      <c r="C392" t="s">
        <v>40</v>
      </c>
      <c r="D392">
        <v>4.2638980000000002</v>
      </c>
      <c r="E392">
        <v>0.5563321</v>
      </c>
      <c r="F392" t="s">
        <v>41</v>
      </c>
      <c r="G392">
        <v>-431.22449999999998</v>
      </c>
      <c r="H392">
        <v>0.87508649999999999</v>
      </c>
      <c r="I392">
        <v>367.96769999999998</v>
      </c>
      <c r="J392">
        <v>-431.76889999999997</v>
      </c>
      <c r="K392">
        <v>1.061415</v>
      </c>
      <c r="L392">
        <v>368.08550000000002</v>
      </c>
      <c r="M392">
        <v>0.99995829999999997</v>
      </c>
      <c r="N392">
        <v>0</v>
      </c>
      <c r="O392">
        <v>-2.006716E-3</v>
      </c>
      <c r="P392">
        <v>0.99845879999999998</v>
      </c>
      <c r="Q392">
        <v>4.783341E-2</v>
      </c>
      <c r="R392">
        <v>-2.8145750000000001E-2</v>
      </c>
      <c r="S392">
        <v>3.028473</v>
      </c>
      <c r="T392">
        <v>-0.80451909999999904</v>
      </c>
      <c r="U392">
        <v>-0.50900270000000003</v>
      </c>
      <c r="V392">
        <v>2.6173040000000002E-2</v>
      </c>
      <c r="W392">
        <v>5.6721569999999999E-2</v>
      </c>
      <c r="X392">
        <v>0.99804689999999996</v>
      </c>
      <c r="Y392">
        <v>0.15848799999999999</v>
      </c>
      <c r="Z392">
        <v>-2.0034920000000001E-2</v>
      </c>
      <c r="AA392">
        <v>0.98715759999999997</v>
      </c>
      <c r="AB392">
        <v>30</v>
      </c>
      <c r="AC392">
        <v>0.544399999999996</v>
      </c>
      <c r="AD392">
        <v>-0.18632850000000001</v>
      </c>
      <c r="AE392">
        <v>-0.11780000000004499</v>
      </c>
      <c r="AF392">
        <v>0.10496154643790601</v>
      </c>
      <c r="AG392">
        <v>-0.18632850000000001</v>
      </c>
      <c r="AH392">
        <v>0.48982181737824398</v>
      </c>
      <c r="AI392">
        <v>110.403018709337</v>
      </c>
      <c r="AJ392">
        <v>77.905273294842004</v>
      </c>
      <c r="AK392">
        <v>0.53447230884547503</v>
      </c>
      <c r="AL392">
        <v>86.748348195942498</v>
      </c>
      <c r="AM392">
        <v>88.497804957316504</v>
      </c>
      <c r="AN392">
        <v>0.99999998956285796</v>
      </c>
    </row>
    <row r="393" spans="1:40" x14ac:dyDescent="0.25">
      <c r="A393" t="str">
        <f>"20190312153858219"</f>
        <v>20190312153858219</v>
      </c>
      <c r="B393" t="str">
        <f>"1552376338206508"</f>
        <v>1552376338206508</v>
      </c>
      <c r="C393" t="s">
        <v>40</v>
      </c>
      <c r="D393">
        <v>4.2626419999999996</v>
      </c>
      <c r="E393">
        <v>0.55639609999999995</v>
      </c>
      <c r="F393" t="s">
        <v>41</v>
      </c>
      <c r="G393">
        <v>-430.96690000000001</v>
      </c>
      <c r="H393">
        <v>0.84878050000000005</v>
      </c>
      <c r="I393">
        <v>367.95060000000001</v>
      </c>
      <c r="J393">
        <v>-431.60640000000001</v>
      </c>
      <c r="K393">
        <v>1.0612239999999999</v>
      </c>
      <c r="L393">
        <v>368.08510000000001</v>
      </c>
      <c r="M393">
        <v>0.99995860000000003</v>
      </c>
      <c r="N393">
        <v>0</v>
      </c>
      <c r="O393">
        <v>-2.1415560000000002E-3</v>
      </c>
      <c r="P393">
        <v>0.99845550000000005</v>
      </c>
      <c r="Q393">
        <v>4.7914190000000002E-2</v>
      </c>
      <c r="R393">
        <v>-2.8125170000000001E-2</v>
      </c>
      <c r="S393">
        <v>3.0287169999999999</v>
      </c>
      <c r="T393">
        <v>-0.80306440000000001</v>
      </c>
      <c r="U393">
        <v>-0.51016240000000002</v>
      </c>
      <c r="V393">
        <v>2.6017680000000001E-2</v>
      </c>
      <c r="W393">
        <v>5.673156E-2</v>
      </c>
      <c r="X393">
        <v>0.9980504</v>
      </c>
      <c r="Y393">
        <v>0.15872610000000001</v>
      </c>
      <c r="Z393">
        <v>-1.999366E-2</v>
      </c>
      <c r="AA393">
        <v>0.9871202</v>
      </c>
      <c r="AB393">
        <v>30</v>
      </c>
      <c r="AC393">
        <v>0.63949999999999796</v>
      </c>
      <c r="AD393">
        <v>-0.21244349999999901</v>
      </c>
      <c r="AE393">
        <v>-0.13450000000000201</v>
      </c>
      <c r="AF393">
        <v>0.12040525074557799</v>
      </c>
      <c r="AG393">
        <v>-0.21244349999999901</v>
      </c>
      <c r="AH393">
        <v>0.57863440789558795</v>
      </c>
      <c r="AI393">
        <v>109.77081537215599</v>
      </c>
      <c r="AJ393">
        <v>78.245337892094497</v>
      </c>
      <c r="AK393">
        <v>0.62805050999106204</v>
      </c>
      <c r="AL393">
        <v>86.747774906467598</v>
      </c>
      <c r="AM393">
        <v>88.506722990310905</v>
      </c>
      <c r="AN393">
        <v>0.99999999525638805</v>
      </c>
    </row>
    <row r="394" spans="1:40" x14ac:dyDescent="0.25">
      <c r="A394" t="str">
        <f>"20190312153858238"</f>
        <v>20190312153858238</v>
      </c>
      <c r="B394" t="str">
        <f>"1552376338227003"</f>
        <v>1552376338227003</v>
      </c>
      <c r="C394" t="s">
        <v>40</v>
      </c>
      <c r="D394">
        <v>4.2521719999999998</v>
      </c>
      <c r="E394">
        <v>0.55664820000000004</v>
      </c>
      <c r="F394" t="s">
        <v>41</v>
      </c>
      <c r="G394">
        <v>-430.70839999999998</v>
      </c>
      <c r="H394">
        <v>0.82323550000000001</v>
      </c>
      <c r="I394">
        <v>367.93340000000001</v>
      </c>
      <c r="J394">
        <v>-431.34960000000001</v>
      </c>
      <c r="K394">
        <v>1.060962</v>
      </c>
      <c r="L394">
        <v>368.08429999999998</v>
      </c>
      <c r="M394">
        <v>0.99995889999999998</v>
      </c>
      <c r="N394">
        <v>0</v>
      </c>
      <c r="O394">
        <v>-2.3521549999999999E-3</v>
      </c>
      <c r="P394">
        <v>0.99843199999999999</v>
      </c>
      <c r="Q394">
        <v>4.8252499999999997E-2</v>
      </c>
      <c r="R394">
        <v>-2.8384400000000001E-2</v>
      </c>
      <c r="S394">
        <v>3.028778</v>
      </c>
      <c r="T394">
        <v>-0.80271020000000004</v>
      </c>
      <c r="U394">
        <v>-0.51055909999999904</v>
      </c>
      <c r="V394">
        <v>2.606644E-2</v>
      </c>
      <c r="W394">
        <v>5.69915E-2</v>
      </c>
      <c r="X394">
        <v>0.99803430000000004</v>
      </c>
      <c r="Y394">
        <v>0.1586552</v>
      </c>
      <c r="Z394">
        <v>-1.992087E-2</v>
      </c>
      <c r="AA394">
        <v>0.98713309999999999</v>
      </c>
      <c r="AB394">
        <v>30</v>
      </c>
      <c r="AC394">
        <v>0.64120000000002597</v>
      </c>
      <c r="AD394">
        <v>-0.23772650000000001</v>
      </c>
      <c r="AE394">
        <v>-0.150899999999978</v>
      </c>
      <c r="AF394">
        <v>0.132176185306112</v>
      </c>
      <c r="AG394">
        <v>-0.23772650000000001</v>
      </c>
      <c r="AH394">
        <v>0.56762367671712499</v>
      </c>
      <c r="AI394">
        <v>112.190413489596</v>
      </c>
      <c r="AJ394">
        <v>76.891763675048196</v>
      </c>
      <c r="AK394">
        <v>0.62942916292001705</v>
      </c>
      <c r="AL394">
        <v>86.732857246709102</v>
      </c>
      <c r="AM394">
        <v>88.5039015720279</v>
      </c>
      <c r="AN394">
        <v>0.99999997717150602</v>
      </c>
    </row>
    <row r="395" spans="1:40" x14ac:dyDescent="0.25">
      <c r="A395" t="str">
        <f>"20190312153858252"</f>
        <v>20190312153858252</v>
      </c>
      <c r="B395" t="str">
        <f>"1552376338246829"</f>
        <v>1552376338246829</v>
      </c>
      <c r="C395" t="s">
        <v>40</v>
      </c>
      <c r="D395">
        <v>4.2529149999999998</v>
      </c>
      <c r="E395">
        <v>0.55918590000000001</v>
      </c>
      <c r="F395" t="s">
        <v>41</v>
      </c>
      <c r="G395">
        <v>-430.44029999999998</v>
      </c>
      <c r="H395">
        <v>0.82039669999999898</v>
      </c>
      <c r="I395">
        <v>367.93</v>
      </c>
      <c r="J395">
        <v>-431.15690000000001</v>
      </c>
      <c r="K395">
        <v>1.0608</v>
      </c>
      <c r="L395">
        <v>368.08370000000002</v>
      </c>
      <c r="M395">
        <v>0.99995880000000004</v>
      </c>
      <c r="N395">
        <v>0</v>
      </c>
      <c r="O395">
        <v>-2.5072950000000001E-3</v>
      </c>
      <c r="P395">
        <v>0.99841469999999999</v>
      </c>
      <c r="Q395">
        <v>4.8510989999999997E-2</v>
      </c>
      <c r="R395">
        <v>-2.8548190000000001E-2</v>
      </c>
      <c r="S395">
        <v>3.0288390000000001</v>
      </c>
      <c r="T395">
        <v>-0.80135140000000005</v>
      </c>
      <c r="U395">
        <v>-0.5137024</v>
      </c>
      <c r="V395">
        <v>2.607524E-2</v>
      </c>
      <c r="W395">
        <v>5.7215719999999998E-2</v>
      </c>
      <c r="X395">
        <v>0.99802120000000005</v>
      </c>
      <c r="Y395">
        <v>0.15949089999999999</v>
      </c>
      <c r="Z395">
        <v>-1.9954110000000001E-2</v>
      </c>
      <c r="AA395">
        <v>0.98699769999999998</v>
      </c>
      <c r="AB395">
        <v>30</v>
      </c>
      <c r="AC395">
        <v>0.71660000000002799</v>
      </c>
      <c r="AD395">
        <v>-0.24040329999999999</v>
      </c>
      <c r="AE395">
        <v>-0.15370000000001399</v>
      </c>
      <c r="AF395">
        <v>0.13714639130481199</v>
      </c>
      <c r="AG395">
        <v>-0.24040329999999999</v>
      </c>
      <c r="AH395">
        <v>0.64733303520777496</v>
      </c>
      <c r="AI395">
        <v>109.96662314156001</v>
      </c>
      <c r="AJ395">
        <v>78.037985720509994</v>
      </c>
      <c r="AK395">
        <v>0.70401913167905705</v>
      </c>
      <c r="AL395">
        <v>86.7199892551521</v>
      </c>
      <c r="AM395">
        <v>88.503377085158505</v>
      </c>
      <c r="AN395">
        <v>0.99999993620280603</v>
      </c>
    </row>
    <row r="396" spans="1:40" x14ac:dyDescent="0.25">
      <c r="A396" t="str">
        <f>"20190312153858272"</f>
        <v>20190312153858272</v>
      </c>
      <c r="B396" t="str">
        <f>"1552376338266337"</f>
        <v>1552376338266337</v>
      </c>
      <c r="C396" t="s">
        <v>40</v>
      </c>
      <c r="D396">
        <v>4.2902110000000002</v>
      </c>
      <c r="E396">
        <v>0.55836799999999998</v>
      </c>
      <c r="F396" t="s">
        <v>41</v>
      </c>
      <c r="G396">
        <v>-430.416</v>
      </c>
      <c r="H396">
        <v>0.87984069999999903</v>
      </c>
      <c r="I396">
        <v>367.95240000000001</v>
      </c>
      <c r="J396">
        <v>-430.89370000000002</v>
      </c>
      <c r="K396">
        <v>1.0606139999999999</v>
      </c>
      <c r="L396">
        <v>368.0829</v>
      </c>
      <c r="M396">
        <v>0.99995849999999997</v>
      </c>
      <c r="N396">
        <v>0</v>
      </c>
      <c r="O396">
        <v>-2.7163460000000001E-3</v>
      </c>
      <c r="P396">
        <v>0.99837750000000003</v>
      </c>
      <c r="Q396">
        <v>4.9037589999999999E-2</v>
      </c>
      <c r="R396">
        <v>-2.8949389999999998E-2</v>
      </c>
      <c r="S396">
        <v>3.0253299999999999</v>
      </c>
      <c r="T396">
        <v>-0.7390736</v>
      </c>
      <c r="U396">
        <v>-0.53591919999999904</v>
      </c>
      <c r="V396">
        <v>2.6267430000000001E-2</v>
      </c>
      <c r="W396">
        <v>5.7718440000000003E-2</v>
      </c>
      <c r="X396">
        <v>0.99798730000000002</v>
      </c>
      <c r="Y396">
        <v>0.1670654</v>
      </c>
      <c r="Z396">
        <v>-1.931298E-2</v>
      </c>
      <c r="AA396">
        <v>0.98575659999999998</v>
      </c>
      <c r="AB396">
        <v>30</v>
      </c>
      <c r="AC396">
        <v>0.47770000000002699</v>
      </c>
      <c r="AD396">
        <v>-0.1807733</v>
      </c>
      <c r="AE396">
        <v>-0.13049999999998299</v>
      </c>
      <c r="AF396">
        <v>0.114009042669134</v>
      </c>
      <c r="AG396">
        <v>-0.1807733</v>
      </c>
      <c r="AH396">
        <v>0.42183858599301399</v>
      </c>
      <c r="AI396">
        <v>112.47458365909399</v>
      </c>
      <c r="AJ396">
        <v>74.876168126010697</v>
      </c>
      <c r="AK396">
        <v>0.47288988193427101</v>
      </c>
      <c r="AL396">
        <v>86.691138128360805</v>
      </c>
      <c r="AM396">
        <v>88.492299969548895</v>
      </c>
      <c r="AN396">
        <v>1.0000000235780599</v>
      </c>
    </row>
    <row r="397" spans="1:40" x14ac:dyDescent="0.25">
      <c r="A397" t="str">
        <f>"20190312153858295"</f>
        <v>20190312153858295</v>
      </c>
      <c r="B397" t="str">
        <f>"1552376338286833"</f>
        <v>1552376338286833</v>
      </c>
      <c r="C397" t="s">
        <v>40</v>
      </c>
      <c r="D397">
        <v>4.206296</v>
      </c>
      <c r="E397">
        <v>0.56113959999999996</v>
      </c>
      <c r="F397" t="s">
        <v>41</v>
      </c>
      <c r="G397">
        <v>-430.14659999999998</v>
      </c>
      <c r="H397">
        <v>0.87943069999999901</v>
      </c>
      <c r="I397">
        <v>367.9513</v>
      </c>
      <c r="J397">
        <v>-430.57979999999998</v>
      </c>
      <c r="K397">
        <v>1.0604370000000001</v>
      </c>
      <c r="L397">
        <v>368.08179999999999</v>
      </c>
      <c r="M397">
        <v>0.9999576</v>
      </c>
      <c r="N397">
        <v>0</v>
      </c>
      <c r="O397">
        <v>-2.9535849999999999E-3</v>
      </c>
      <c r="P397">
        <v>0.99835180000000001</v>
      </c>
      <c r="Q397">
        <v>4.9162259999999999E-2</v>
      </c>
      <c r="R397">
        <v>-2.9617109999999999E-2</v>
      </c>
      <c r="S397">
        <v>3.0255130000000001</v>
      </c>
      <c r="T397">
        <v>-0.73388959999999903</v>
      </c>
      <c r="U397">
        <v>-0.53063959999999999</v>
      </c>
      <c r="V397">
        <v>2.6697129999999999E-2</v>
      </c>
      <c r="W397">
        <v>5.7866010000000002E-2</v>
      </c>
      <c r="X397">
        <v>0.9979673</v>
      </c>
      <c r="Y397">
        <v>0.16527349999999999</v>
      </c>
      <c r="Z397">
        <v>-1.8913949999999999E-2</v>
      </c>
      <c r="AA397">
        <v>0.98606640000000001</v>
      </c>
      <c r="AB397">
        <v>30</v>
      </c>
      <c r="AC397">
        <v>0.43319999999999897</v>
      </c>
      <c r="AD397">
        <v>-0.18100630000000001</v>
      </c>
      <c r="AE397">
        <v>-0.13049999999998299</v>
      </c>
      <c r="AF397">
        <v>0.111390600340048</v>
      </c>
      <c r="AG397">
        <v>-0.18100630000000001</v>
      </c>
      <c r="AH397">
        <v>0.37375928948459303</v>
      </c>
      <c r="AI397">
        <v>114.896618386025</v>
      </c>
      <c r="AJ397">
        <v>73.404488747833</v>
      </c>
      <c r="AK397">
        <v>0.42996180407082002</v>
      </c>
      <c r="AL397">
        <v>86.682668663333203</v>
      </c>
      <c r="AM397">
        <v>88.467616984773201</v>
      </c>
      <c r="AN397">
        <v>0.99999997186642298</v>
      </c>
    </row>
    <row r="398" spans="1:40" x14ac:dyDescent="0.25">
      <c r="A398" t="str">
        <f>"20190312153858317"</f>
        <v>20190312153858317</v>
      </c>
      <c r="B398" t="str">
        <f>"1552376338306354"</f>
        <v>1552376338306354</v>
      </c>
      <c r="C398" t="s">
        <v>40</v>
      </c>
      <c r="D398">
        <v>4.2179760000000002</v>
      </c>
      <c r="E398">
        <v>0.56103190000000003</v>
      </c>
      <c r="F398" t="s">
        <v>41</v>
      </c>
      <c r="G398">
        <v>-429.87830000000002</v>
      </c>
      <c r="H398">
        <v>0.87617599999999995</v>
      </c>
      <c r="I398">
        <v>367.95350000000002</v>
      </c>
      <c r="J398">
        <v>-430.28609999999998</v>
      </c>
      <c r="K398">
        <v>1.060316</v>
      </c>
      <c r="L398">
        <v>368.0806</v>
      </c>
      <c r="M398">
        <v>0.99995630000000002</v>
      </c>
      <c r="N398">
        <v>0</v>
      </c>
      <c r="O398">
        <v>-3.1550469999999998E-3</v>
      </c>
      <c r="P398">
        <v>0.99833760000000005</v>
      </c>
      <c r="Q398">
        <v>4.8984130000000001E-2</v>
      </c>
      <c r="R398">
        <v>-3.038016E-2</v>
      </c>
      <c r="S398">
        <v>3.0277400000000001</v>
      </c>
      <c r="T398">
        <v>-0.79541819999999996</v>
      </c>
      <c r="U398">
        <v>-0.55258180000000001</v>
      </c>
      <c r="V398">
        <v>2.7257320000000002E-2</v>
      </c>
      <c r="W398">
        <v>5.7770799999999997E-2</v>
      </c>
      <c r="X398">
        <v>0.99795769999999995</v>
      </c>
      <c r="Y398">
        <v>0.1709244</v>
      </c>
      <c r="Z398">
        <v>-2.1096429999999999E-2</v>
      </c>
      <c r="AA398">
        <v>0.98505819999999999</v>
      </c>
      <c r="AB398">
        <v>30</v>
      </c>
      <c r="AC398">
        <v>0.40779999999995198</v>
      </c>
      <c r="AD398">
        <v>-0.18414</v>
      </c>
      <c r="AE398">
        <v>-0.127099999999984</v>
      </c>
      <c r="AF398">
        <v>0.106095811267617</v>
      </c>
      <c r="AG398">
        <v>-0.18414</v>
      </c>
      <c r="AH398">
        <v>0.34422762481880098</v>
      </c>
      <c r="AI398">
        <v>117.07640258907701</v>
      </c>
      <c r="AJ398">
        <v>72.869963623223995</v>
      </c>
      <c r="AK398">
        <v>0.40454482873586101</v>
      </c>
      <c r="AL398">
        <v>86.688133025403701</v>
      </c>
      <c r="AM398">
        <v>88.435463529508198</v>
      </c>
      <c r="AN398">
        <v>0.99999999890775604</v>
      </c>
    </row>
    <row r="399" spans="1:40" x14ac:dyDescent="0.25">
      <c r="A399" t="str">
        <f>"20190312153858339"</f>
        <v>20190312153858339</v>
      </c>
      <c r="B399" t="str">
        <f>"1552376338336609"</f>
        <v>1552376338336609</v>
      </c>
      <c r="C399" t="s">
        <v>40</v>
      </c>
      <c r="D399">
        <v>4.2525940000000002</v>
      </c>
      <c r="E399">
        <v>0.56052119999999905</v>
      </c>
      <c r="F399" t="s">
        <v>41</v>
      </c>
      <c r="G399">
        <v>-429.60559999999998</v>
      </c>
      <c r="H399">
        <v>0.88177649999999996</v>
      </c>
      <c r="I399">
        <v>367.95580000000001</v>
      </c>
      <c r="J399">
        <v>-429.99560000000002</v>
      </c>
      <c r="K399">
        <v>1.0602469999999999</v>
      </c>
      <c r="L399">
        <v>368.0795</v>
      </c>
      <c r="M399">
        <v>0.99995429999999996</v>
      </c>
      <c r="N399">
        <v>0</v>
      </c>
      <c r="O399">
        <v>-3.3249009999999999E-3</v>
      </c>
      <c r="P399">
        <v>0.99830859999999999</v>
      </c>
      <c r="Q399">
        <v>4.8963640000000003E-2</v>
      </c>
      <c r="R399">
        <v>-3.1345110000000002E-2</v>
      </c>
      <c r="S399">
        <v>3.0271300000000001</v>
      </c>
      <c r="T399">
        <v>-0.79433569999999998</v>
      </c>
      <c r="U399">
        <v>-0.55380249999999998</v>
      </c>
      <c r="V399">
        <v>2.8050269999999999E-2</v>
      </c>
      <c r="W399">
        <v>5.7896000000000003E-2</v>
      </c>
      <c r="X399">
        <v>0.9979285</v>
      </c>
      <c r="Y399">
        <v>0.1711868</v>
      </c>
      <c r="Z399">
        <v>-2.1062069999999999E-2</v>
      </c>
      <c r="AA399">
        <v>0.98501340000000004</v>
      </c>
      <c r="AB399">
        <v>30</v>
      </c>
      <c r="AC399">
        <v>0.39000000000004298</v>
      </c>
      <c r="AD399">
        <v>-0.178470499999999</v>
      </c>
      <c r="AE399">
        <v>-0.123699999999985</v>
      </c>
      <c r="AF399">
        <v>0.102835852338234</v>
      </c>
      <c r="AG399">
        <v>-0.178470499999999</v>
      </c>
      <c r="AH399">
        <v>0.32800016750129402</v>
      </c>
      <c r="AI399">
        <v>117.438218527294</v>
      </c>
      <c r="AJ399">
        <v>72.592551387779196</v>
      </c>
      <c r="AK399">
        <v>0.38731258923156298</v>
      </c>
      <c r="AL399">
        <v>86.6809476630836</v>
      </c>
      <c r="AM399">
        <v>88.389925711644594</v>
      </c>
      <c r="AN399">
        <v>1.00000002778766</v>
      </c>
    </row>
    <row r="400" spans="1:40" x14ac:dyDescent="0.25">
      <c r="A400" t="str">
        <f>"20190312153858352"</f>
        <v>20190312153858352</v>
      </c>
      <c r="B400" t="str">
        <f>"1552376338346369"</f>
        <v>1552376338346369</v>
      </c>
      <c r="C400" t="s">
        <v>40</v>
      </c>
      <c r="D400">
        <v>4.2411760000000003</v>
      </c>
      <c r="E400">
        <v>0.56016580000000005</v>
      </c>
      <c r="F400" t="s">
        <v>41</v>
      </c>
      <c r="G400">
        <v>-429.08839999999998</v>
      </c>
      <c r="H400">
        <v>0.82257000000000002</v>
      </c>
      <c r="I400">
        <v>367.91340000000002</v>
      </c>
      <c r="J400">
        <v>-429.80759999999998</v>
      </c>
      <c r="K400">
        <v>1.0602199999999999</v>
      </c>
      <c r="L400">
        <v>368.0788</v>
      </c>
      <c r="M400">
        <v>0.99995299999999998</v>
      </c>
      <c r="N400">
        <v>0</v>
      </c>
      <c r="O400">
        <v>-3.4160319999999998E-3</v>
      </c>
      <c r="P400">
        <v>0.99829400000000001</v>
      </c>
      <c r="Q400">
        <v>4.9094319999999997E-2</v>
      </c>
      <c r="R400">
        <v>-3.1612950000000001E-2</v>
      </c>
      <c r="S400">
        <v>3.0265810000000002</v>
      </c>
      <c r="T400">
        <v>-0.79287369999999902</v>
      </c>
      <c r="U400">
        <v>-0.55307010000000001</v>
      </c>
      <c r="V400">
        <v>2.8224989999999998E-2</v>
      </c>
      <c r="W400">
        <v>5.8154959999999999E-2</v>
      </c>
      <c r="X400">
        <v>0.99790849999999998</v>
      </c>
      <c r="Y400">
        <v>0.1709273</v>
      </c>
      <c r="Z400">
        <v>-2.097214E-2</v>
      </c>
      <c r="AA400">
        <v>0.98506039999999995</v>
      </c>
      <c r="AB400">
        <v>30</v>
      </c>
      <c r="AC400">
        <v>0.71919999999999995</v>
      </c>
      <c r="AD400">
        <v>-0.23765</v>
      </c>
      <c r="AE400">
        <v>-0.16539999999997601</v>
      </c>
      <c r="AF400">
        <v>0.147632153827951</v>
      </c>
      <c r="AG400">
        <v>-0.23765</v>
      </c>
      <c r="AH400">
        <v>0.65213242905089397</v>
      </c>
      <c r="AI400">
        <v>109.56653190445201</v>
      </c>
      <c r="AJ400">
        <v>77.244178761170403</v>
      </c>
      <c r="AK400">
        <v>0.70961220420994697</v>
      </c>
      <c r="AL400">
        <v>86.666085253825102</v>
      </c>
      <c r="AM400">
        <v>88.379869729133901</v>
      </c>
      <c r="AN400">
        <v>1.00000001190267</v>
      </c>
    </row>
    <row r="401" spans="1:40" x14ac:dyDescent="0.25">
      <c r="A401" t="str">
        <f>"20190312153858365"</f>
        <v>20190312153858365</v>
      </c>
      <c r="B401" t="str">
        <f>"1552376338356130"</f>
        <v>1552376338356130</v>
      </c>
      <c r="C401" t="s">
        <v>40</v>
      </c>
      <c r="D401">
        <v>4.2700120000000004</v>
      </c>
      <c r="E401">
        <v>0.56000209999999995</v>
      </c>
      <c r="F401" t="s">
        <v>41</v>
      </c>
      <c r="G401">
        <v>-429.07069999999999</v>
      </c>
      <c r="H401">
        <v>0.8675311</v>
      </c>
      <c r="I401">
        <v>367.9443</v>
      </c>
      <c r="J401">
        <v>-429.6232</v>
      </c>
      <c r="K401">
        <v>1.0602</v>
      </c>
      <c r="L401">
        <v>368.07810000000001</v>
      </c>
      <c r="M401">
        <v>0.99995140000000005</v>
      </c>
      <c r="N401">
        <v>0</v>
      </c>
      <c r="O401">
        <v>-3.4935130000000002E-3</v>
      </c>
      <c r="P401">
        <v>0.99827960000000004</v>
      </c>
      <c r="Q401">
        <v>4.9278200000000001E-2</v>
      </c>
      <c r="R401">
        <v>-3.1781259999999999E-2</v>
      </c>
      <c r="S401">
        <v>3.0266419999999998</v>
      </c>
      <c r="T401">
        <v>-0.7914137</v>
      </c>
      <c r="U401">
        <v>-0.55090329999999998</v>
      </c>
      <c r="V401">
        <v>2.831378E-2</v>
      </c>
      <c r="W401">
        <v>5.8477700000000001E-2</v>
      </c>
      <c r="X401">
        <v>0.99788710000000003</v>
      </c>
      <c r="Y401">
        <v>0.17021</v>
      </c>
      <c r="Z401">
        <v>-2.082434E-2</v>
      </c>
      <c r="AA401">
        <v>0.98518779999999995</v>
      </c>
      <c r="AB401">
        <v>30</v>
      </c>
      <c r="AC401">
        <v>0.55250000000000898</v>
      </c>
      <c r="AD401">
        <v>-0.1926689</v>
      </c>
      <c r="AE401">
        <v>-0.133800000000007</v>
      </c>
      <c r="AF401">
        <v>0.118281872510349</v>
      </c>
      <c r="AG401">
        <v>-0.1926689</v>
      </c>
      <c r="AH401">
        <v>0.495989647500724</v>
      </c>
      <c r="AI401">
        <v>110.699446186104</v>
      </c>
      <c r="AJ401">
        <v>76.5868315416961</v>
      </c>
      <c r="AK401">
        <v>0.545084981282421</v>
      </c>
      <c r="AL401">
        <v>86.6475620101034</v>
      </c>
      <c r="AM401">
        <v>88.374741027643594</v>
      </c>
      <c r="AN401">
        <v>0.99999998794079403</v>
      </c>
    </row>
    <row r="402" spans="1:40" x14ac:dyDescent="0.25">
      <c r="A402" t="str">
        <f>"20190312153858385"</f>
        <v>20190312153858385</v>
      </c>
      <c r="B402" t="str">
        <f>"1552376338376627"</f>
        <v>1552376338376627</v>
      </c>
      <c r="C402" t="s">
        <v>40</v>
      </c>
      <c r="D402">
        <v>4.2404699999999904</v>
      </c>
      <c r="E402">
        <v>0.55984119999999904</v>
      </c>
      <c r="F402" t="s">
        <v>41</v>
      </c>
      <c r="G402">
        <v>-428.8082</v>
      </c>
      <c r="H402">
        <v>0.84724940000000004</v>
      </c>
      <c r="I402">
        <v>367.92970000000003</v>
      </c>
      <c r="J402">
        <v>-429.37380000000002</v>
      </c>
      <c r="K402">
        <v>1.06019</v>
      </c>
      <c r="L402">
        <v>368.07709999999997</v>
      </c>
      <c r="M402">
        <v>0.99994910000000004</v>
      </c>
      <c r="N402">
        <v>0</v>
      </c>
      <c r="O402">
        <v>-3.575698E-3</v>
      </c>
      <c r="P402">
        <v>0.99823700000000004</v>
      </c>
      <c r="Q402">
        <v>4.9939150000000002E-2</v>
      </c>
      <c r="R402">
        <v>-3.2084309999999998E-2</v>
      </c>
      <c r="S402">
        <v>3.0267029999999999</v>
      </c>
      <c r="T402">
        <v>-0.79086099999999904</v>
      </c>
      <c r="U402">
        <v>-0.54986569999999901</v>
      </c>
      <c r="V402">
        <v>2.8531999999999998E-2</v>
      </c>
      <c r="W402">
        <v>5.935356E-2</v>
      </c>
      <c r="X402">
        <v>0.99782919999999997</v>
      </c>
      <c r="Y402">
        <v>0.16982130000000001</v>
      </c>
      <c r="Z402">
        <v>-2.0739939999999998E-2</v>
      </c>
      <c r="AA402">
        <v>0.98525660000000004</v>
      </c>
      <c r="AB402">
        <v>30</v>
      </c>
      <c r="AC402">
        <v>0.56560000000001698</v>
      </c>
      <c r="AD402">
        <v>-0.21294059999999901</v>
      </c>
      <c r="AE402">
        <v>-0.14739999999994699</v>
      </c>
      <c r="AF402">
        <v>0.12834203950327899</v>
      </c>
      <c r="AG402">
        <v>-0.21294059999999901</v>
      </c>
      <c r="AH402">
        <v>0.499787886942333</v>
      </c>
      <c r="AI402">
        <v>112.424607148218</v>
      </c>
      <c r="AJ402">
        <v>75.598029625079903</v>
      </c>
      <c r="AK402">
        <v>0.558214394445811</v>
      </c>
      <c r="AL402">
        <v>86.597291701413297</v>
      </c>
      <c r="AM402">
        <v>88.362126643886995</v>
      </c>
      <c r="AN402">
        <v>1.0000000162406499</v>
      </c>
    </row>
    <row r="403" spans="1:40" x14ac:dyDescent="0.25">
      <c r="A403" t="str">
        <f>"20190312153858398"</f>
        <v>20190312153858398</v>
      </c>
      <c r="B403" t="str">
        <f>"1552376338386387"</f>
        <v>1552376338386387</v>
      </c>
      <c r="C403" t="s">
        <v>40</v>
      </c>
      <c r="D403">
        <v>4.2421480000000003</v>
      </c>
      <c r="E403">
        <v>0.5597181</v>
      </c>
      <c r="F403" t="s">
        <v>41</v>
      </c>
      <c r="G403">
        <v>-428.53960000000001</v>
      </c>
      <c r="H403">
        <v>0.84314249999999902</v>
      </c>
      <c r="I403">
        <v>367.92500000000001</v>
      </c>
      <c r="J403">
        <v>-429.19150000000002</v>
      </c>
      <c r="K403">
        <v>1.06019</v>
      </c>
      <c r="L403">
        <v>368.07639999999998</v>
      </c>
      <c r="M403">
        <v>0.99994720000000004</v>
      </c>
      <c r="N403">
        <v>0</v>
      </c>
      <c r="O403">
        <v>-3.619036E-3</v>
      </c>
      <c r="P403">
        <v>0.99823189999999995</v>
      </c>
      <c r="Q403">
        <v>4.9910870000000003E-2</v>
      </c>
      <c r="R403">
        <v>-3.2277029999999998E-2</v>
      </c>
      <c r="S403">
        <v>3.027069</v>
      </c>
      <c r="T403">
        <v>-0.78772519999999902</v>
      </c>
      <c r="U403">
        <v>-0.54907229999999996</v>
      </c>
      <c r="V403">
        <v>2.8679070000000001E-2</v>
      </c>
      <c r="W403">
        <v>5.9503029999999998E-2</v>
      </c>
      <c r="X403">
        <v>0.99781609999999998</v>
      </c>
      <c r="Y403">
        <v>0.1695605</v>
      </c>
      <c r="Z403">
        <v>-2.0614250000000001E-2</v>
      </c>
      <c r="AA403">
        <v>0.98530419999999996</v>
      </c>
      <c r="AB403">
        <v>30</v>
      </c>
      <c r="AC403">
        <v>0.65190000000001103</v>
      </c>
      <c r="AD403">
        <v>-0.2170475</v>
      </c>
      <c r="AE403">
        <v>-0.15139999999996601</v>
      </c>
      <c r="AF403">
        <v>0.13485555422668699</v>
      </c>
      <c r="AG403">
        <v>-0.2170475</v>
      </c>
      <c r="AH403">
        <v>0.59035064787250102</v>
      </c>
      <c r="AI403">
        <v>109.71899466860501</v>
      </c>
      <c r="AJ403">
        <v>77.132537653182197</v>
      </c>
      <c r="AK403">
        <v>0.64328028510558199</v>
      </c>
      <c r="AL403">
        <v>86.588712600825303</v>
      </c>
      <c r="AM403">
        <v>88.3536671542048</v>
      </c>
      <c r="AN403">
        <v>1.00000003452722</v>
      </c>
    </row>
    <row r="404" spans="1:40" x14ac:dyDescent="0.25">
      <c r="A404" t="str">
        <f>"20190312153858410"</f>
        <v>20190312153858410</v>
      </c>
      <c r="B404" t="str">
        <f>"1552376338406882"</f>
        <v>1552376338406882</v>
      </c>
      <c r="C404" t="s">
        <v>40</v>
      </c>
      <c r="D404">
        <v>4.3104040000000001</v>
      </c>
      <c r="E404">
        <v>0.55973989999999996</v>
      </c>
      <c r="F404" t="s">
        <v>41</v>
      </c>
      <c r="G404">
        <v>-428.27749999999997</v>
      </c>
      <c r="H404">
        <v>0.82257400000000003</v>
      </c>
      <c r="I404">
        <v>367.91050000000001</v>
      </c>
      <c r="J404">
        <v>-429.01420000000002</v>
      </c>
      <c r="K404">
        <v>1.0602069999999999</v>
      </c>
      <c r="L404">
        <v>368.07569999999998</v>
      </c>
      <c r="M404">
        <v>0.99994510000000003</v>
      </c>
      <c r="N404">
        <v>0</v>
      </c>
      <c r="O404">
        <v>-3.6428839999999999E-3</v>
      </c>
      <c r="P404">
        <v>0.99823720000000005</v>
      </c>
      <c r="Q404">
        <v>4.9763309999999998E-2</v>
      </c>
      <c r="R404">
        <v>-3.2346489999999999E-2</v>
      </c>
      <c r="S404">
        <v>3.0268860000000002</v>
      </c>
      <c r="T404">
        <v>-0.78695170000000003</v>
      </c>
      <c r="U404">
        <v>-0.54888919999999997</v>
      </c>
      <c r="V404">
        <v>2.8722480000000002E-2</v>
      </c>
      <c r="W404">
        <v>5.9562520000000001E-2</v>
      </c>
      <c r="X404">
        <v>0.99781129999999996</v>
      </c>
      <c r="Y404">
        <v>0.16950200000000001</v>
      </c>
      <c r="Z404">
        <v>-2.0582469999999999E-2</v>
      </c>
      <c r="AA404">
        <v>0.98531489999999999</v>
      </c>
      <c r="AB404">
        <v>30</v>
      </c>
      <c r="AC404">
        <v>0.73670000000004099</v>
      </c>
      <c r="AD404">
        <v>-0.23763299999999901</v>
      </c>
      <c r="AE404">
        <v>-0.16519999999997001</v>
      </c>
      <c r="AF404">
        <v>0.14786650621183001</v>
      </c>
      <c r="AG404">
        <v>-0.23763299999999901</v>
      </c>
      <c r="AH404">
        <v>0.67083950383327995</v>
      </c>
      <c r="AI404">
        <v>109.08195947288399</v>
      </c>
      <c r="AJ404">
        <v>77.569625095088497</v>
      </c>
      <c r="AK404">
        <v>0.72688347501616402</v>
      </c>
      <c r="AL404">
        <v>86.5852980119124</v>
      </c>
      <c r="AM404">
        <v>88.351168633953904</v>
      </c>
      <c r="AN404">
        <v>1.0000000325268901</v>
      </c>
    </row>
    <row r="405" spans="1:40" x14ac:dyDescent="0.25">
      <c r="A405" t="str">
        <f>"20190312153858428"</f>
        <v>20190312153858428</v>
      </c>
      <c r="B405" t="str">
        <f>"1552376338416645"</f>
        <v>1552376338416645</v>
      </c>
      <c r="C405" t="s">
        <v>40</v>
      </c>
      <c r="D405">
        <v>4.3506790000000004</v>
      </c>
      <c r="E405">
        <v>0.54116169999999997</v>
      </c>
      <c r="F405" t="s">
        <v>41</v>
      </c>
      <c r="G405">
        <v>-428.2611</v>
      </c>
      <c r="H405">
        <v>0.86429269999999903</v>
      </c>
      <c r="I405">
        <v>367.93889999999999</v>
      </c>
      <c r="J405">
        <v>-428.78519999999997</v>
      </c>
      <c r="K405">
        <v>1.0602309999999999</v>
      </c>
      <c r="L405">
        <v>368.07479999999998</v>
      </c>
      <c r="M405">
        <v>0.99994209999999994</v>
      </c>
      <c r="N405">
        <v>0</v>
      </c>
      <c r="O405">
        <v>-3.6664319999999999E-3</v>
      </c>
      <c r="P405">
        <v>0.99826630000000005</v>
      </c>
      <c r="Q405">
        <v>4.9364110000000003E-2</v>
      </c>
      <c r="R405">
        <v>-3.205773E-2</v>
      </c>
      <c r="S405">
        <v>3.0267029999999999</v>
      </c>
      <c r="T405">
        <v>-0.78737009999999996</v>
      </c>
      <c r="U405">
        <v>-0.54904169999999997</v>
      </c>
      <c r="V405">
        <v>2.8407450000000001E-2</v>
      </c>
      <c r="W405">
        <v>5.9458759999999999E-2</v>
      </c>
      <c r="X405">
        <v>0.99782649999999995</v>
      </c>
      <c r="Y405">
        <v>0.16953109999999999</v>
      </c>
      <c r="Z405">
        <v>-2.059188E-2</v>
      </c>
      <c r="AA405">
        <v>0.98530969999999996</v>
      </c>
      <c r="AB405">
        <v>30</v>
      </c>
      <c r="AC405">
        <v>0.52409999999997503</v>
      </c>
      <c r="AD405">
        <v>-0.19593829999999901</v>
      </c>
      <c r="AE405">
        <v>-0.135899999999992</v>
      </c>
      <c r="AF405">
        <v>0.118463102117786</v>
      </c>
      <c r="AG405">
        <v>-0.19593829999999901</v>
      </c>
      <c r="AH405">
        <v>0.46384777375069403</v>
      </c>
      <c r="AI405">
        <v>112.258425374898</v>
      </c>
      <c r="AJ405">
        <v>75.673350869300606</v>
      </c>
      <c r="AK405">
        <v>0.51728143324860798</v>
      </c>
      <c r="AL405">
        <v>86.591253553823606</v>
      </c>
      <c r="AM405">
        <v>88.369268130826896</v>
      </c>
      <c r="AN405">
        <v>1.0000000257292401</v>
      </c>
    </row>
    <row r="406" spans="1:40" x14ac:dyDescent="0.25">
      <c r="A406" t="str">
        <f>"20190312153858449"</f>
        <v>20190312153858449</v>
      </c>
      <c r="B406" t="str">
        <f>"1552376338446897"</f>
        <v>1552376338446897</v>
      </c>
      <c r="C406" t="s">
        <v>40</v>
      </c>
      <c r="D406">
        <v>4.3251019999999896</v>
      </c>
      <c r="E406">
        <v>0.52393049999999997</v>
      </c>
      <c r="F406" t="s">
        <v>41</v>
      </c>
      <c r="G406">
        <v>-427.98809999999997</v>
      </c>
      <c r="H406">
        <v>0.87455559999999999</v>
      </c>
      <c r="I406">
        <v>367.96850000000001</v>
      </c>
      <c r="J406">
        <v>-428.49709999999999</v>
      </c>
      <c r="K406">
        <v>1.0602689999999999</v>
      </c>
      <c r="L406">
        <v>368.07369999999997</v>
      </c>
      <c r="M406">
        <v>0.99993779999999999</v>
      </c>
      <c r="N406">
        <v>0</v>
      </c>
      <c r="O406">
        <v>-3.6858759999999998E-3</v>
      </c>
      <c r="P406">
        <v>0.99829760000000001</v>
      </c>
      <c r="Q406">
        <v>4.8904969999999999E-2</v>
      </c>
      <c r="R406">
        <v>-3.1789820000000003E-2</v>
      </c>
      <c r="S406">
        <v>3.027161</v>
      </c>
      <c r="T406">
        <v>-0.70527949999999995</v>
      </c>
      <c r="U406">
        <v>-0.40213009999999999</v>
      </c>
      <c r="V406">
        <v>2.8116809999999999E-2</v>
      </c>
      <c r="W406">
        <v>5.9420670000000002E-2</v>
      </c>
      <c r="X406">
        <v>0.99783690000000003</v>
      </c>
      <c r="Y406">
        <v>0.1248402</v>
      </c>
      <c r="Z406">
        <v>-1.344653E-2</v>
      </c>
      <c r="AA406">
        <v>0.99208580000000002</v>
      </c>
      <c r="AB406">
        <v>30</v>
      </c>
      <c r="AC406">
        <v>0.509000000000014</v>
      </c>
      <c r="AD406">
        <v>-0.1857134</v>
      </c>
      <c r="AE406">
        <v>-0.105199999999968</v>
      </c>
      <c r="AF406">
        <v>9.1625372250909304E-2</v>
      </c>
      <c r="AG406">
        <v>-0.1857134</v>
      </c>
      <c r="AH406">
        <v>0.451714486548423</v>
      </c>
      <c r="AI406">
        <v>111.94572267831001</v>
      </c>
      <c r="AJ406">
        <v>78.533739792694305</v>
      </c>
      <c r="AK406">
        <v>0.49692117396764601</v>
      </c>
      <c r="AL406">
        <v>86.593439472049795</v>
      </c>
      <c r="AM406">
        <v>88.385960285190905</v>
      </c>
      <c r="AN406">
        <v>0.99999992501471402</v>
      </c>
    </row>
    <row r="407" spans="1:40" x14ac:dyDescent="0.25">
      <c r="A407" t="str">
        <f>"20190312153858461"</f>
        <v>20190312153858461</v>
      </c>
      <c r="B407" t="str">
        <f>"1552376338456658"</f>
        <v>1552376338456658</v>
      </c>
      <c r="C407" t="s">
        <v>40</v>
      </c>
      <c r="D407">
        <v>4.3292449999999896</v>
      </c>
      <c r="E407">
        <v>0.52214890000000003</v>
      </c>
      <c r="F407" t="s">
        <v>41</v>
      </c>
      <c r="G407">
        <v>-427.7097</v>
      </c>
      <c r="H407">
        <v>0.89489159999999901</v>
      </c>
      <c r="I407">
        <v>368.00420000000003</v>
      </c>
      <c r="J407">
        <v>-428.3331</v>
      </c>
      <c r="K407">
        <v>1.0602940000000001</v>
      </c>
      <c r="L407">
        <v>368.07310000000001</v>
      </c>
      <c r="M407">
        <v>0.99993500000000002</v>
      </c>
      <c r="N407">
        <v>0</v>
      </c>
      <c r="O407">
        <v>-3.6932039999999998E-3</v>
      </c>
      <c r="P407">
        <v>0.99832200000000004</v>
      </c>
      <c r="Q407">
        <v>4.854667E-2</v>
      </c>
      <c r="R407">
        <v>-3.1567860000000003E-2</v>
      </c>
      <c r="S407">
        <v>3.0278019999999999</v>
      </c>
      <c r="T407">
        <v>-0.63603379999999998</v>
      </c>
      <c r="U407">
        <v>-0.26617429999999997</v>
      </c>
      <c r="V407">
        <v>2.7886250000000001E-2</v>
      </c>
      <c r="W407">
        <v>5.9319759999999999E-2</v>
      </c>
      <c r="X407">
        <v>0.99784949999999994</v>
      </c>
      <c r="Y407">
        <v>8.2192409999999994E-2</v>
      </c>
      <c r="Z407">
        <v>-7.7577339999999996E-3</v>
      </c>
      <c r="AA407">
        <v>0.99658630000000004</v>
      </c>
      <c r="AB407">
        <v>30</v>
      </c>
      <c r="AC407">
        <v>0.62340000000000295</v>
      </c>
      <c r="AD407">
        <v>-0.1654024</v>
      </c>
      <c r="AE407">
        <v>-6.8899999999985001E-2</v>
      </c>
      <c r="AF407">
        <v>6.22666096736465E-2</v>
      </c>
      <c r="AG407">
        <v>-0.1654024</v>
      </c>
      <c r="AH407">
        <v>0.58309765247093104</v>
      </c>
      <c r="AI407">
        <v>105.75152758436499</v>
      </c>
      <c r="AJ407">
        <v>83.904717016842696</v>
      </c>
      <c r="AK407">
        <v>0.60929299759895605</v>
      </c>
      <c r="AL407">
        <v>86.599231834505403</v>
      </c>
      <c r="AM407">
        <v>88.399208822810294</v>
      </c>
      <c r="AN407">
        <v>1.0000000507578799</v>
      </c>
    </row>
    <row r="408" spans="1:40" x14ac:dyDescent="0.25">
      <c r="A408" t="str">
        <f>"20190312153858474"</f>
        <v>20190312153858474</v>
      </c>
      <c r="B408" t="str">
        <f>"1552376338466417"</f>
        <v>1552376338466417</v>
      </c>
      <c r="C408" t="s">
        <v>40</v>
      </c>
      <c r="D408">
        <v>4.3193900000000003</v>
      </c>
      <c r="E408">
        <v>0.52094810000000003</v>
      </c>
      <c r="F408" t="s">
        <v>41</v>
      </c>
      <c r="G408">
        <v>-427.44970000000001</v>
      </c>
      <c r="H408">
        <v>0.87717140000000005</v>
      </c>
      <c r="I408">
        <v>367.9991</v>
      </c>
      <c r="J408">
        <v>-428.16269999999997</v>
      </c>
      <c r="K408">
        <v>1.0603180000000001</v>
      </c>
      <c r="L408">
        <v>368.07249999999999</v>
      </c>
      <c r="M408">
        <v>0.99993189999999998</v>
      </c>
      <c r="N408">
        <v>0</v>
      </c>
      <c r="O408">
        <v>-3.698186E-3</v>
      </c>
      <c r="P408">
        <v>0.99833769999999999</v>
      </c>
      <c r="Q408">
        <v>4.8285420000000003E-2</v>
      </c>
      <c r="R408">
        <v>-3.1474549999999997E-2</v>
      </c>
      <c r="S408">
        <v>3.0276179999999999</v>
      </c>
      <c r="T408">
        <v>-0.62775300000000001</v>
      </c>
      <c r="U408">
        <v>-0.25176999999999999</v>
      </c>
      <c r="V408">
        <v>2.7786439999999999E-2</v>
      </c>
      <c r="W408">
        <v>5.9334039999999998E-2</v>
      </c>
      <c r="X408">
        <v>0.99785140000000006</v>
      </c>
      <c r="Y408">
        <v>7.7623960000000006E-2</v>
      </c>
      <c r="Z408">
        <v>-7.1919180000000003E-3</v>
      </c>
      <c r="AA408">
        <v>0.99695679999999998</v>
      </c>
      <c r="AB408">
        <v>30</v>
      </c>
      <c r="AC408">
        <v>0.712999999999965</v>
      </c>
      <c r="AD408">
        <v>-0.18314659999999999</v>
      </c>
      <c r="AE408">
        <v>-7.3399999999992305E-2</v>
      </c>
      <c r="AF408">
        <v>6.6425661586688806E-2</v>
      </c>
      <c r="AG408">
        <v>-0.18314659999999999</v>
      </c>
      <c r="AH408">
        <v>0.66955216333502199</v>
      </c>
      <c r="AI408">
        <v>105.226979624131</v>
      </c>
      <c r="AJ408">
        <v>84.334277436740706</v>
      </c>
      <c r="AK408">
        <v>0.69731997320842398</v>
      </c>
      <c r="AL408">
        <v>86.598412087112195</v>
      </c>
      <c r="AM408">
        <v>88.404938418247895</v>
      </c>
      <c r="AN408">
        <v>1.00000001551627</v>
      </c>
    </row>
    <row r="409" spans="1:40" x14ac:dyDescent="0.25">
      <c r="A409" t="str">
        <f>"20190312153858496"</f>
        <v>20190312153858496</v>
      </c>
      <c r="B409" t="str">
        <f>"1552376338486913"</f>
        <v>1552376338486913</v>
      </c>
      <c r="C409" t="s">
        <v>40</v>
      </c>
      <c r="D409">
        <v>4.3127839999999997</v>
      </c>
      <c r="E409">
        <v>0.51944079999999904</v>
      </c>
      <c r="F409" t="s">
        <v>41</v>
      </c>
      <c r="G409">
        <v>-427.43329999999997</v>
      </c>
      <c r="H409">
        <v>0.91027950000000002</v>
      </c>
      <c r="I409">
        <v>368.01369999999997</v>
      </c>
      <c r="J409">
        <v>-427.86489999999998</v>
      </c>
      <c r="K409">
        <v>1.06036</v>
      </c>
      <c r="L409">
        <v>368.07139999999998</v>
      </c>
      <c r="M409">
        <v>0.9999266</v>
      </c>
      <c r="N409">
        <v>0</v>
      </c>
      <c r="O409">
        <v>-3.6997079999999999E-3</v>
      </c>
      <c r="P409">
        <v>0.99837940000000003</v>
      </c>
      <c r="Q409">
        <v>4.7712270000000001E-2</v>
      </c>
      <c r="R409">
        <v>-3.10269E-2</v>
      </c>
      <c r="S409">
        <v>3.0274960000000002</v>
      </c>
      <c r="T409">
        <v>-0.62293989999999999</v>
      </c>
      <c r="U409">
        <v>-0.24206539999999999</v>
      </c>
      <c r="V409">
        <v>2.7335729999999999E-2</v>
      </c>
      <c r="W409">
        <v>5.9239319999999998E-2</v>
      </c>
      <c r="X409">
        <v>0.99786940000000002</v>
      </c>
      <c r="Y409">
        <v>7.4538010000000002E-2</v>
      </c>
      <c r="Z409">
        <v>-6.8250639999999996E-3</v>
      </c>
      <c r="AA409">
        <v>0.99719480000000005</v>
      </c>
      <c r="AB409">
        <v>30</v>
      </c>
      <c r="AC409">
        <v>0.43160000000000298</v>
      </c>
      <c r="AD409">
        <v>-0.15008049999999901</v>
      </c>
      <c r="AE409">
        <v>-5.7700000000011097E-2</v>
      </c>
      <c r="AF409">
        <v>5.0145724882084602E-2</v>
      </c>
      <c r="AG409">
        <v>-0.15008049999999901</v>
      </c>
      <c r="AH409">
        <v>0.38596093136049803</v>
      </c>
      <c r="AI409">
        <v>111.087036568169</v>
      </c>
      <c r="AJ409">
        <v>82.597350048598798</v>
      </c>
      <c r="AK409">
        <v>0.41713857498541601</v>
      </c>
      <c r="AL409">
        <v>86.603848447187701</v>
      </c>
      <c r="AM409">
        <v>88.430826366806102</v>
      </c>
      <c r="AN409">
        <v>0.99999993931252495</v>
      </c>
    </row>
    <row r="410" spans="1:40" x14ac:dyDescent="0.25">
      <c r="A410" t="str">
        <f>"20190312153858521"</f>
        <v>20190312153858521</v>
      </c>
      <c r="B410" t="str">
        <f>"1552376338516193"</f>
        <v>1552376338516193</v>
      </c>
      <c r="C410" t="s">
        <v>40</v>
      </c>
      <c r="D410">
        <v>4.3273229999999998</v>
      </c>
      <c r="E410">
        <v>0.51782170000000005</v>
      </c>
      <c r="F410" t="s">
        <v>41</v>
      </c>
      <c r="G410">
        <v>-427.1617</v>
      </c>
      <c r="H410">
        <v>0.91677059999999999</v>
      </c>
      <c r="I410">
        <v>368.01799999999997</v>
      </c>
      <c r="J410">
        <v>-427.5668</v>
      </c>
      <c r="K410">
        <v>1.060392</v>
      </c>
      <c r="L410">
        <v>368.07029999999997</v>
      </c>
      <c r="M410">
        <v>0.99992119999999995</v>
      </c>
      <c r="N410">
        <v>0</v>
      </c>
      <c r="O410">
        <v>-3.694002E-3</v>
      </c>
      <c r="P410">
        <v>0.99841069999999998</v>
      </c>
      <c r="Q410">
        <v>4.7244389999999997E-2</v>
      </c>
      <c r="R410">
        <v>-3.0733719999999999E-2</v>
      </c>
      <c r="S410">
        <v>3.0272519999999998</v>
      </c>
      <c r="T410">
        <v>-0.61810619999999905</v>
      </c>
      <c r="U410">
        <v>-0.2290344</v>
      </c>
      <c r="V410">
        <v>2.704784E-2</v>
      </c>
      <c r="W410">
        <v>5.9225510000000002E-2</v>
      </c>
      <c r="X410">
        <v>0.99787809999999999</v>
      </c>
      <c r="Y410">
        <v>7.0389469999999996E-2</v>
      </c>
      <c r="Z410">
        <v>-6.3573290000000001E-3</v>
      </c>
      <c r="AA410">
        <v>0.99749929999999998</v>
      </c>
      <c r="AB410">
        <v>30</v>
      </c>
      <c r="AC410">
        <v>0.40510000000000401</v>
      </c>
      <c r="AD410">
        <v>-0.14362139999999901</v>
      </c>
      <c r="AE410">
        <v>-5.2299999999945598E-2</v>
      </c>
      <c r="AF410">
        <v>4.5213242068519302E-2</v>
      </c>
      <c r="AG410">
        <v>-0.14362139999999901</v>
      </c>
      <c r="AH410">
        <v>0.36069642942240798</v>
      </c>
      <c r="AI410">
        <v>111.55829371110001</v>
      </c>
      <c r="AJ410">
        <v>82.855248153007395</v>
      </c>
      <c r="AK410">
        <v>0.39086219821617502</v>
      </c>
      <c r="AL410">
        <v>86.604641213521703</v>
      </c>
      <c r="AM410">
        <v>88.447357732507797</v>
      </c>
      <c r="AN410">
        <v>0.99999997457151701</v>
      </c>
    </row>
    <row r="411" spans="1:40" x14ac:dyDescent="0.25">
      <c r="A411" t="str">
        <f>"20190312153858533"</f>
        <v>20190312153858533</v>
      </c>
      <c r="B411" t="str">
        <f>"1552376338526929"</f>
        <v>1552376338526929</v>
      </c>
      <c r="C411" t="s">
        <v>40</v>
      </c>
      <c r="D411">
        <v>4.3276219999999999</v>
      </c>
      <c r="E411">
        <v>0.51763769999999998</v>
      </c>
      <c r="F411" t="s">
        <v>41</v>
      </c>
      <c r="G411">
        <v>-426.64760000000001</v>
      </c>
      <c r="H411">
        <v>0.87454069999999995</v>
      </c>
      <c r="I411">
        <v>368.00459999999998</v>
      </c>
      <c r="J411">
        <v>-427.36180000000002</v>
      </c>
      <c r="K411">
        <v>1.060408</v>
      </c>
      <c r="L411">
        <v>368.06950000000001</v>
      </c>
      <c r="M411">
        <v>0.99991759999999996</v>
      </c>
      <c r="N411">
        <v>0</v>
      </c>
      <c r="O411">
        <v>-3.6884940000000001E-3</v>
      </c>
      <c r="P411">
        <v>0.99844679999999997</v>
      </c>
      <c r="Q411">
        <v>4.6704030000000001E-2</v>
      </c>
      <c r="R411">
        <v>-3.038304E-2</v>
      </c>
      <c r="S411">
        <v>3.0270999999999999</v>
      </c>
      <c r="T411">
        <v>-0.61203339999999995</v>
      </c>
      <c r="U411">
        <v>-0.21591189999999999</v>
      </c>
      <c r="V411">
        <v>2.67026E-2</v>
      </c>
      <c r="W411">
        <v>5.8977050000000003E-2</v>
      </c>
      <c r="X411">
        <v>0.99790219999999996</v>
      </c>
      <c r="Y411">
        <v>6.6207039999999995E-2</v>
      </c>
      <c r="Z411">
        <v>-5.8804230000000001E-3</v>
      </c>
      <c r="AA411">
        <v>0.99778860000000003</v>
      </c>
      <c r="AB411">
        <v>30</v>
      </c>
      <c r="AC411">
        <v>0.71420000000000505</v>
      </c>
      <c r="AD411">
        <v>-0.18586730000000001</v>
      </c>
      <c r="AE411">
        <v>-6.4900000000022801E-2</v>
      </c>
      <c r="AF411">
        <v>5.8345775435375898E-2</v>
      </c>
      <c r="AG411">
        <v>-0.18586730000000001</v>
      </c>
      <c r="AH411">
        <v>0.66946458975348899</v>
      </c>
      <c r="AI411">
        <v>105.46076854573001</v>
      </c>
      <c r="AJ411">
        <v>85.019092681329596</v>
      </c>
      <c r="AK411">
        <v>0.69723290201642996</v>
      </c>
      <c r="AL411">
        <v>86.618902143642003</v>
      </c>
      <c r="AM411">
        <v>88.467203222506797</v>
      </c>
      <c r="AN411">
        <v>1.00000006101914</v>
      </c>
    </row>
    <row r="412" spans="1:40" x14ac:dyDescent="0.25">
      <c r="A412" t="str">
        <f>"20190312153858551"</f>
        <v>20190312153858551</v>
      </c>
      <c r="B412" t="str">
        <f>"1552376338546451"</f>
        <v>1552376338546451</v>
      </c>
      <c r="C412" t="s">
        <v>40</v>
      </c>
      <c r="D412">
        <v>4.3521289999999997</v>
      </c>
      <c r="E412">
        <v>0.51734469999999999</v>
      </c>
      <c r="F412" t="s">
        <v>41</v>
      </c>
      <c r="G412">
        <v>-426.62900000000002</v>
      </c>
      <c r="H412">
        <v>0.91206399999999999</v>
      </c>
      <c r="I412">
        <v>368.01769999999999</v>
      </c>
      <c r="J412">
        <v>-427.14019999999999</v>
      </c>
      <c r="K412">
        <v>1.060425</v>
      </c>
      <c r="L412">
        <v>368.06869999999998</v>
      </c>
      <c r="M412">
        <v>0.99991410000000003</v>
      </c>
      <c r="N412">
        <v>0</v>
      </c>
      <c r="O412">
        <v>-3.683399E-3</v>
      </c>
      <c r="P412">
        <v>0.99845729999999999</v>
      </c>
      <c r="Q412">
        <v>4.6726280000000002E-2</v>
      </c>
      <c r="R412">
        <v>-2.9999749999999999E-2</v>
      </c>
      <c r="S412">
        <v>3.0267940000000002</v>
      </c>
      <c r="T412">
        <v>-0.61273949999999999</v>
      </c>
      <c r="U412">
        <v>-0.21334839999999999</v>
      </c>
      <c r="V412">
        <v>2.632408E-2</v>
      </c>
      <c r="W412">
        <v>5.9293110000000003E-2</v>
      </c>
      <c r="X412">
        <v>0.99789349999999999</v>
      </c>
      <c r="Y412">
        <v>6.5391560000000001E-2</v>
      </c>
      <c r="Z412">
        <v>-5.8072260000000004E-3</v>
      </c>
      <c r="AA412">
        <v>0.99784280000000003</v>
      </c>
      <c r="AB412">
        <v>30</v>
      </c>
      <c r="AC412">
        <v>0.51119999999997301</v>
      </c>
      <c r="AD412">
        <v>-0.14836099999999899</v>
      </c>
      <c r="AE412">
        <v>-5.0999999999987701E-2</v>
      </c>
      <c r="AF412">
        <v>4.5335641188673302E-2</v>
      </c>
      <c r="AG412">
        <v>-0.14836099999999899</v>
      </c>
      <c r="AH412">
        <v>0.47201888137492698</v>
      </c>
      <c r="AI412">
        <v>107.37342935614301</v>
      </c>
      <c r="AJ412">
        <v>84.513784112245602</v>
      </c>
      <c r="AK412">
        <v>0.496858260530532</v>
      </c>
      <c r="AL412">
        <v>86.600761401348393</v>
      </c>
      <c r="AM412">
        <v>88.488907913584697</v>
      </c>
      <c r="AN412">
        <v>1.00000003371178</v>
      </c>
    </row>
    <row r="413" spans="1:40" x14ac:dyDescent="0.25">
      <c r="A413" t="str">
        <f>"20190312153858564"</f>
        <v>20190312153858564</v>
      </c>
      <c r="B413" t="str">
        <f>"1552376338556209"</f>
        <v>1552376338556209</v>
      </c>
      <c r="C413" t="s">
        <v>40</v>
      </c>
      <c r="D413">
        <v>4.3816269999999999</v>
      </c>
      <c r="E413">
        <v>0.5172215</v>
      </c>
      <c r="F413" t="s">
        <v>41</v>
      </c>
      <c r="G413">
        <v>-426.36619999999999</v>
      </c>
      <c r="H413">
        <v>0.90396849999999995</v>
      </c>
      <c r="I413">
        <v>368.0145</v>
      </c>
      <c r="J413">
        <v>-426.9633</v>
      </c>
      <c r="K413">
        <v>1.0604340000000001</v>
      </c>
      <c r="L413">
        <v>368.06810000000002</v>
      </c>
      <c r="M413">
        <v>0.9999112</v>
      </c>
      <c r="N413">
        <v>0</v>
      </c>
      <c r="O413">
        <v>-3.6798989999999999E-3</v>
      </c>
      <c r="P413">
        <v>0.99845150000000005</v>
      </c>
      <c r="Q413">
        <v>4.690076E-2</v>
      </c>
      <c r="R413">
        <v>-2.991456E-2</v>
      </c>
      <c r="S413">
        <v>3.0269469999999998</v>
      </c>
      <c r="T413">
        <v>-0.61202469999999998</v>
      </c>
      <c r="U413">
        <v>-0.21020510000000001</v>
      </c>
      <c r="V413">
        <v>2.624253E-2</v>
      </c>
      <c r="W413">
        <v>5.9687230000000001E-2</v>
      </c>
      <c r="X413">
        <v>0.99787210000000004</v>
      </c>
      <c r="Y413">
        <v>6.4383449999999995E-2</v>
      </c>
      <c r="Z413">
        <v>-5.7004229999999996E-3</v>
      </c>
      <c r="AA413">
        <v>0.99790889999999999</v>
      </c>
      <c r="AB413">
        <v>30</v>
      </c>
      <c r="AC413">
        <v>0.59710000000001096</v>
      </c>
      <c r="AD413">
        <v>-0.15646550000000001</v>
      </c>
      <c r="AE413">
        <v>-5.3600000000017099E-2</v>
      </c>
      <c r="AF413">
        <v>4.8124104760885203E-2</v>
      </c>
      <c r="AG413">
        <v>-0.15646550000000001</v>
      </c>
      <c r="AH413">
        <v>0.55920188962998496</v>
      </c>
      <c r="AI413">
        <v>105.57693138040599</v>
      </c>
      <c r="AJ413">
        <v>85.081326990684701</v>
      </c>
      <c r="AK413">
        <v>0.58266983405272699</v>
      </c>
      <c r="AL413">
        <v>86.578139746685395</v>
      </c>
      <c r="AM413">
        <v>88.493554710610695</v>
      </c>
      <c r="AN413">
        <v>0.99999998188214101</v>
      </c>
    </row>
    <row r="414" spans="1:40" x14ac:dyDescent="0.25">
      <c r="A414" t="str">
        <f>"20190312153858575"</f>
        <v>20190312153858575</v>
      </c>
      <c r="B414" t="str">
        <f>"1552376338566946"</f>
        <v>1552376338566946</v>
      </c>
      <c r="C414" t="s">
        <v>40</v>
      </c>
      <c r="D414">
        <v>4.3686499999999997</v>
      </c>
      <c r="E414">
        <v>0.51712599999999997</v>
      </c>
      <c r="F414" t="s">
        <v>41</v>
      </c>
      <c r="G414">
        <v>-426.10809999999998</v>
      </c>
      <c r="H414">
        <v>0.88755869999999903</v>
      </c>
      <c r="I414">
        <v>368.00869999999998</v>
      </c>
      <c r="J414">
        <v>-426.79930000000002</v>
      </c>
      <c r="K414">
        <v>1.0604450000000001</v>
      </c>
      <c r="L414">
        <v>368.0675</v>
      </c>
      <c r="M414">
        <v>0.99990880000000004</v>
      </c>
      <c r="N414">
        <v>0</v>
      </c>
      <c r="O414">
        <v>-3.677207E-3</v>
      </c>
      <c r="P414">
        <v>0.99844189999999999</v>
      </c>
      <c r="Q414">
        <v>4.7311260000000001E-2</v>
      </c>
      <c r="R414">
        <v>-2.9593979999999999E-2</v>
      </c>
      <c r="S414">
        <v>3.0270999999999999</v>
      </c>
      <c r="T414">
        <v>-0.61194209999999905</v>
      </c>
      <c r="U414">
        <v>-0.2091064</v>
      </c>
      <c r="V414">
        <v>2.5924510000000001E-2</v>
      </c>
      <c r="W414">
        <v>6.029077E-2</v>
      </c>
      <c r="X414">
        <v>0.99784419999999996</v>
      </c>
      <c r="Y414">
        <v>6.4029660000000002E-2</v>
      </c>
      <c r="Z414">
        <v>-5.6646329999999996E-3</v>
      </c>
      <c r="AA414">
        <v>0.99793189999999998</v>
      </c>
      <c r="AB414">
        <v>30</v>
      </c>
      <c r="AC414">
        <v>0.69120000000003701</v>
      </c>
      <c r="AD414">
        <v>-0.17288629999999999</v>
      </c>
      <c r="AE414">
        <v>-5.8800000000019198E-2</v>
      </c>
      <c r="AF414">
        <v>5.2967721194403801E-2</v>
      </c>
      <c r="AG414">
        <v>-0.17288629999999999</v>
      </c>
      <c r="AH414">
        <v>0.65097743907894901</v>
      </c>
      <c r="AI414">
        <v>104.82642008427899</v>
      </c>
      <c r="AJ414">
        <v>85.348293479845296</v>
      </c>
      <c r="AK414">
        <v>0.67562332583030704</v>
      </c>
      <c r="AL414">
        <v>86.543497304366497</v>
      </c>
      <c r="AM414">
        <v>88.511760710378397</v>
      </c>
      <c r="AN414">
        <v>1.0000000523197801</v>
      </c>
    </row>
    <row r="415" spans="1:40" x14ac:dyDescent="0.25">
      <c r="A415" t="str">
        <f>"20190312153858587"</f>
        <v>20190312153858587</v>
      </c>
      <c r="B415" t="str">
        <f>"1552376338576706"</f>
        <v>1552376338576706</v>
      </c>
      <c r="C415" t="s">
        <v>40</v>
      </c>
      <c r="D415">
        <v>4.3851829999999996</v>
      </c>
      <c r="E415">
        <v>0.51705190000000001</v>
      </c>
      <c r="F415" t="s">
        <v>41</v>
      </c>
      <c r="G415">
        <v>-426.09300000000002</v>
      </c>
      <c r="H415">
        <v>0.9180121</v>
      </c>
      <c r="I415">
        <v>368.01889999999997</v>
      </c>
      <c r="J415">
        <v>-426.64580000000001</v>
      </c>
      <c r="K415">
        <v>1.060454</v>
      </c>
      <c r="L415">
        <v>368.06689999999998</v>
      </c>
      <c r="M415">
        <v>0.99990670000000004</v>
      </c>
      <c r="N415">
        <v>0</v>
      </c>
      <c r="O415">
        <v>-3.675771E-3</v>
      </c>
      <c r="P415">
        <v>0.99844599999999994</v>
      </c>
      <c r="Q415">
        <v>4.7288629999999998E-2</v>
      </c>
      <c r="R415">
        <v>-2.9490450000000001E-2</v>
      </c>
      <c r="S415">
        <v>3.0274960000000002</v>
      </c>
      <c r="T415">
        <v>-0.61052499999999998</v>
      </c>
      <c r="U415">
        <v>-0.20730589999999999</v>
      </c>
      <c r="V415">
        <v>2.5822210000000002E-2</v>
      </c>
      <c r="W415">
        <v>6.0432609999999998E-2</v>
      </c>
      <c r="X415">
        <v>0.99783820000000001</v>
      </c>
      <c r="Y415">
        <v>6.3448809999999994E-2</v>
      </c>
      <c r="Z415">
        <v>-5.5935289999999999E-3</v>
      </c>
      <c r="AA415">
        <v>0.99796940000000001</v>
      </c>
      <c r="AB415">
        <v>30</v>
      </c>
      <c r="AC415">
        <v>0.55279999999998997</v>
      </c>
      <c r="AD415">
        <v>-0.14244190000000001</v>
      </c>
      <c r="AE415">
        <v>-4.8000000000001798E-2</v>
      </c>
      <c r="AF415">
        <v>4.3125608830522202E-2</v>
      </c>
      <c r="AG415">
        <v>-0.14244190000000001</v>
      </c>
      <c r="AH415">
        <v>0.51878539541168101</v>
      </c>
      <c r="AI415">
        <v>105.30294441898501</v>
      </c>
      <c r="AJ415">
        <v>85.2480402972798</v>
      </c>
      <c r="AK415">
        <v>0.53971084805205405</v>
      </c>
      <c r="AL415">
        <v>86.535355375227695</v>
      </c>
      <c r="AM415">
        <v>88.517621875719101</v>
      </c>
      <c r="AN415">
        <v>0.99999998012996705</v>
      </c>
    </row>
    <row r="416" spans="1:40" x14ac:dyDescent="0.25">
      <c r="A416" t="str">
        <f>"20190312153858606"</f>
        <v>20190312153858606</v>
      </c>
      <c r="B416" t="str">
        <f>"1552376338596237"</f>
        <v>1552376338596237</v>
      </c>
      <c r="C416" t="s">
        <v>40</v>
      </c>
      <c r="D416">
        <v>4.3794320000000004</v>
      </c>
      <c r="E416">
        <v>0.51684099999999999</v>
      </c>
      <c r="F416" t="s">
        <v>41</v>
      </c>
      <c r="G416">
        <v>-425.83749999999998</v>
      </c>
      <c r="H416">
        <v>0.89749000000000001</v>
      </c>
      <c r="I416">
        <v>368.01130000000001</v>
      </c>
      <c r="J416">
        <v>-426.38929999999999</v>
      </c>
      <c r="K416">
        <v>1.060457</v>
      </c>
      <c r="L416">
        <v>368.0659</v>
      </c>
      <c r="M416">
        <v>0.99990310000000004</v>
      </c>
      <c r="N416">
        <v>0</v>
      </c>
      <c r="O416">
        <v>-3.6740079999999999E-3</v>
      </c>
      <c r="P416">
        <v>0.99839540000000004</v>
      </c>
      <c r="Q416">
        <v>4.8478849999999997E-2</v>
      </c>
      <c r="R416">
        <v>-2.9268800000000001E-2</v>
      </c>
      <c r="S416">
        <v>3.0275270000000001</v>
      </c>
      <c r="T416">
        <v>-0.61056269999999901</v>
      </c>
      <c r="U416">
        <v>-0.20620730000000001</v>
      </c>
      <c r="V416">
        <v>2.56025E-2</v>
      </c>
      <c r="W416">
        <v>6.1878059999999999E-2</v>
      </c>
      <c r="X416">
        <v>0.99775530000000001</v>
      </c>
      <c r="Y416">
        <v>6.3096280000000005E-2</v>
      </c>
      <c r="Z416">
        <v>-5.5590739999999998E-3</v>
      </c>
      <c r="AA416">
        <v>0.99799199999999999</v>
      </c>
      <c r="AB416">
        <v>30</v>
      </c>
      <c r="AC416">
        <v>0.55180000000001395</v>
      </c>
      <c r="AD416">
        <v>-0.162966999999999</v>
      </c>
      <c r="AE416">
        <v>-5.4599999999993501E-2</v>
      </c>
      <c r="AF416">
        <v>4.8392104725424198E-2</v>
      </c>
      <c r="AG416">
        <v>-0.162966999999999</v>
      </c>
      <c r="AH416">
        <v>0.50810745122178602</v>
      </c>
      <c r="AI416">
        <v>107.707686466258</v>
      </c>
      <c r="AJ416">
        <v>84.559565282966204</v>
      </c>
      <c r="AK416">
        <v>0.53579214335025105</v>
      </c>
      <c r="AL416">
        <v>86.452381984878897</v>
      </c>
      <c r="AM416">
        <v>88.530107168327802</v>
      </c>
      <c r="AN416">
        <v>1.0000000104968501</v>
      </c>
    </row>
    <row r="417" spans="1:40" x14ac:dyDescent="0.25">
      <c r="A417" t="str">
        <f>"20190312153858620"</f>
        <v>20190312153858620</v>
      </c>
      <c r="B417" t="str">
        <f>"1552376338616721"</f>
        <v>1552376338616721</v>
      </c>
      <c r="C417" t="s">
        <v>40</v>
      </c>
      <c r="D417">
        <v>4.393948</v>
      </c>
      <c r="E417">
        <v>0.51678919999999995</v>
      </c>
      <c r="F417" t="s">
        <v>41</v>
      </c>
      <c r="G417">
        <v>-425.5727</v>
      </c>
      <c r="H417">
        <v>0.89676329999999904</v>
      </c>
      <c r="I417">
        <v>368.01100000000002</v>
      </c>
      <c r="J417">
        <v>-426.21949999999998</v>
      </c>
      <c r="K417">
        <v>1.0604559999999901</v>
      </c>
      <c r="L417">
        <v>368.06529999999998</v>
      </c>
      <c r="M417">
        <v>0.99990109999999999</v>
      </c>
      <c r="N417">
        <v>0</v>
      </c>
      <c r="O417">
        <v>-3.6733899999999999E-3</v>
      </c>
      <c r="P417">
        <v>0.99839540000000004</v>
      </c>
      <c r="Q417">
        <v>4.8478609999999998E-2</v>
      </c>
      <c r="R417">
        <v>-2.9268860000000001E-2</v>
      </c>
      <c r="S417">
        <v>3.0283509999999998</v>
      </c>
      <c r="T417">
        <v>-0.60702970000000001</v>
      </c>
      <c r="U417">
        <v>-0.20346069999999999</v>
      </c>
      <c r="V417">
        <v>2.5603259999999999E-2</v>
      </c>
      <c r="W417">
        <v>6.2034159999999998E-2</v>
      </c>
      <c r="X417">
        <v>0.99774560000000001</v>
      </c>
      <c r="Y417">
        <v>6.2209149999999998E-2</v>
      </c>
      <c r="Z417">
        <v>-5.4384059999999998E-3</v>
      </c>
      <c r="AA417">
        <v>0.9980483</v>
      </c>
      <c r="AB417">
        <v>30</v>
      </c>
      <c r="AC417">
        <v>0.64679999999998405</v>
      </c>
      <c r="AD417">
        <v>-0.163692699999999</v>
      </c>
      <c r="AE417">
        <v>-5.4300000000011998E-2</v>
      </c>
      <c r="AF417">
        <v>4.8818526463278097E-2</v>
      </c>
      <c r="AG417">
        <v>-0.163692699999999</v>
      </c>
      <c r="AH417">
        <v>0.60830585451980101</v>
      </c>
      <c r="AI417">
        <v>105.01520489209599</v>
      </c>
      <c r="AJ417">
        <v>85.411660714309093</v>
      </c>
      <c r="AK417">
        <v>0.63183428302237699</v>
      </c>
      <c r="AL417">
        <v>86.443420943382193</v>
      </c>
      <c r="AM417">
        <v>88.530049269958198</v>
      </c>
      <c r="AN417">
        <v>1.0000000231244399</v>
      </c>
    </row>
    <row r="418" spans="1:40" x14ac:dyDescent="0.25">
      <c r="A418" t="str">
        <f>"20190312153858640"</f>
        <v>20190312153858640</v>
      </c>
      <c r="B418" t="str">
        <f>"1552376338636241"</f>
        <v>1552376338636241</v>
      </c>
      <c r="C418" t="s">
        <v>40</v>
      </c>
      <c r="D418">
        <v>4.3987980000000002</v>
      </c>
      <c r="E418">
        <v>0.51678190000000002</v>
      </c>
      <c r="F418" t="s">
        <v>41</v>
      </c>
      <c r="G418">
        <v>-425.31659999999999</v>
      </c>
      <c r="H418">
        <v>0.87940030000000002</v>
      </c>
      <c r="I418">
        <v>368.00439999999998</v>
      </c>
      <c r="J418">
        <v>-425.96210000000002</v>
      </c>
      <c r="K418">
        <v>1.060446</v>
      </c>
      <c r="L418">
        <v>368.06439999999998</v>
      </c>
      <c r="M418">
        <v>0.99989819999999996</v>
      </c>
      <c r="N418">
        <v>0</v>
      </c>
      <c r="O418">
        <v>-3.672458E-3</v>
      </c>
      <c r="P418">
        <v>0.9984075</v>
      </c>
      <c r="Q418">
        <v>4.8109390000000002E-2</v>
      </c>
      <c r="R418">
        <v>-2.9472379999999999E-2</v>
      </c>
      <c r="S418">
        <v>3.0284119999999999</v>
      </c>
      <c r="T418">
        <v>-0.60737799999999997</v>
      </c>
      <c r="U418">
        <v>-0.20294190000000001</v>
      </c>
      <c r="V418">
        <v>2.580731E-2</v>
      </c>
      <c r="W418">
        <v>6.187757E-2</v>
      </c>
      <c r="X418">
        <v>0.99775000000000003</v>
      </c>
      <c r="Y418">
        <v>6.2040539999999998E-2</v>
      </c>
      <c r="Z418">
        <v>-5.4248480000000003E-3</v>
      </c>
      <c r="AA418">
        <v>0.99805889999999997</v>
      </c>
      <c r="AB418">
        <v>30</v>
      </c>
      <c r="AC418">
        <v>0.64550000000002605</v>
      </c>
      <c r="AD418">
        <v>-0.1810457</v>
      </c>
      <c r="AE418">
        <v>-6.0000000000002197E-2</v>
      </c>
      <c r="AF418">
        <v>5.3459413591012001E-2</v>
      </c>
      <c r="AG418">
        <v>-0.1810457</v>
      </c>
      <c r="AH418">
        <v>0.59899912022054203</v>
      </c>
      <c r="AI418">
        <v>106.754444461582</v>
      </c>
      <c r="AJ418">
        <v>84.8999842175255</v>
      </c>
      <c r="AK418">
        <v>0.62804092256394295</v>
      </c>
      <c r="AL418">
        <v>86.452409922652507</v>
      </c>
      <c r="AM418">
        <v>88.518345953505502</v>
      </c>
      <c r="AN418">
        <v>0.999999956709269</v>
      </c>
    </row>
    <row r="419" spans="1:40" x14ac:dyDescent="0.25">
      <c r="A419" t="str">
        <f>"20190312153858651"</f>
        <v>20190312153858651</v>
      </c>
      <c r="B419" t="str">
        <f>"1552376338636241"</f>
        <v>1552376338636241</v>
      </c>
      <c r="C419" t="s">
        <v>40</v>
      </c>
      <c r="D419">
        <v>4.3987980000000002</v>
      </c>
      <c r="E419">
        <v>0.51678190000000002</v>
      </c>
      <c r="F419" t="s">
        <v>41</v>
      </c>
      <c r="G419">
        <v>-425.05329999999998</v>
      </c>
      <c r="H419">
        <v>0.87756029999999996</v>
      </c>
      <c r="I419">
        <v>368.00299999999999</v>
      </c>
      <c r="J419">
        <v>-425.8023</v>
      </c>
      <c r="K419">
        <v>1.0604439999999999</v>
      </c>
      <c r="L419">
        <v>368.06380000000001</v>
      </c>
      <c r="M419">
        <v>0.99989649999999997</v>
      </c>
      <c r="N419">
        <v>0</v>
      </c>
      <c r="O419">
        <v>-3.6718440000000001E-3</v>
      </c>
      <c r="P419">
        <v>0.99841769999999996</v>
      </c>
      <c r="Q419">
        <v>4.7833939999999998E-2</v>
      </c>
      <c r="R419">
        <v>-2.9567949999999999E-2</v>
      </c>
      <c r="S419">
        <v>3.0281370000000001</v>
      </c>
      <c r="T419">
        <v>-0.60940899999999998</v>
      </c>
      <c r="U419">
        <v>-0.20373540000000001</v>
      </c>
      <c r="V419">
        <v>2.590365E-2</v>
      </c>
      <c r="W419">
        <v>6.1720039999999997E-2</v>
      </c>
      <c r="X419">
        <v>0.99775729999999996</v>
      </c>
      <c r="Y419">
        <v>6.229461E-2</v>
      </c>
      <c r="Z419">
        <v>-5.4684759999999999E-3</v>
      </c>
      <c r="AA419">
        <v>0.99804280000000001</v>
      </c>
      <c r="AB419">
        <v>30</v>
      </c>
      <c r="AC419">
        <v>0.74900000000002298</v>
      </c>
      <c r="AD419">
        <v>-0.18288369999999901</v>
      </c>
      <c r="AE419">
        <v>-6.0799999999971897E-2</v>
      </c>
      <c r="AF419">
        <v>5.4803178123495798E-2</v>
      </c>
      <c r="AG419">
        <v>-0.18288369999999901</v>
      </c>
      <c r="AH419">
        <v>0.70732415333920295</v>
      </c>
      <c r="AI419">
        <v>104.45525282179899</v>
      </c>
      <c r="AJ419">
        <v>85.569598296166006</v>
      </c>
      <c r="AK419">
        <v>0.73263721851619401</v>
      </c>
      <c r="AL419">
        <v>86.461453151345097</v>
      </c>
      <c r="AM419">
        <v>88.512828218930196</v>
      </c>
      <c r="AN419">
        <v>0.99999999606210599</v>
      </c>
    </row>
    <row r="420" spans="1:40" x14ac:dyDescent="0.25">
      <c r="A420" t="str">
        <f>"20190312153858663"</f>
        <v>20190312153858663</v>
      </c>
      <c r="B420" t="str">
        <f>"1552376338656738"</f>
        <v>1552376338656738</v>
      </c>
      <c r="C420" t="s">
        <v>40</v>
      </c>
      <c r="D420">
        <v>4.3916279999999999</v>
      </c>
      <c r="E420">
        <v>0.51675950000000004</v>
      </c>
      <c r="F420" t="s">
        <v>41</v>
      </c>
      <c r="G420">
        <v>-425.03890000000001</v>
      </c>
      <c r="H420">
        <v>0.90661860000000005</v>
      </c>
      <c r="I420">
        <v>368.01209999999998</v>
      </c>
      <c r="J420">
        <v>-425.6431</v>
      </c>
      <c r="K420">
        <v>1.0604439999999999</v>
      </c>
      <c r="L420">
        <v>368.06319999999999</v>
      </c>
      <c r="M420">
        <v>0.99989490000000003</v>
      </c>
      <c r="N420">
        <v>0</v>
      </c>
      <c r="O420">
        <v>-3.6710649999999998E-3</v>
      </c>
      <c r="P420">
        <v>0.99840910000000005</v>
      </c>
      <c r="Q420">
        <v>4.7779160000000001E-2</v>
      </c>
      <c r="R420">
        <v>-2.994515E-2</v>
      </c>
      <c r="S420">
        <v>3.0279539999999998</v>
      </c>
      <c r="T420">
        <v>-0.61021859999999895</v>
      </c>
      <c r="U420">
        <v>-0.20397950000000001</v>
      </c>
      <c r="V420">
        <v>2.6281519999999999E-2</v>
      </c>
      <c r="W420">
        <v>6.1775249999999997E-2</v>
      </c>
      <c r="X420">
        <v>0.99774399999999996</v>
      </c>
      <c r="Y420">
        <v>6.2374690000000003E-2</v>
      </c>
      <c r="Z420">
        <v>-5.4840419999999997E-3</v>
      </c>
      <c r="AA420">
        <v>0.99803779999999997</v>
      </c>
      <c r="AB420">
        <v>30</v>
      </c>
      <c r="AC420">
        <v>0.60419999999999097</v>
      </c>
      <c r="AD420">
        <v>-0.1538254</v>
      </c>
      <c r="AE420">
        <v>-5.1100000000019401E-2</v>
      </c>
      <c r="AF420">
        <v>4.5925715023235898E-2</v>
      </c>
      <c r="AG420">
        <v>-0.1538254</v>
      </c>
      <c r="AH420">
        <v>0.56783884078867997</v>
      </c>
      <c r="AI420">
        <v>105.110352082886</v>
      </c>
      <c r="AJ420">
        <v>85.376091918907704</v>
      </c>
      <c r="AK420">
        <v>0.59009522459835895</v>
      </c>
      <c r="AL420">
        <v>86.458283798642299</v>
      </c>
      <c r="AM420">
        <v>88.491123924266304</v>
      </c>
      <c r="AN420">
        <v>0.99999999467103595</v>
      </c>
    </row>
    <row r="421" spans="1:40" x14ac:dyDescent="0.25">
      <c r="A421" t="str">
        <f>"20190312153858676"</f>
        <v>20190312153858676</v>
      </c>
      <c r="B421" t="str">
        <f>"1552376338666497"</f>
        <v>1552376338666497</v>
      </c>
      <c r="C421" t="s">
        <v>40</v>
      </c>
      <c r="D421">
        <v>4.4118269999999997</v>
      </c>
      <c r="E421">
        <v>0.51676009999999895</v>
      </c>
      <c r="F421" t="s">
        <v>41</v>
      </c>
      <c r="G421">
        <v>-424.78489999999999</v>
      </c>
      <c r="H421">
        <v>0.88722440000000002</v>
      </c>
      <c r="I421">
        <v>368.00459999999998</v>
      </c>
      <c r="J421">
        <v>-425.47190000000001</v>
      </c>
      <c r="K421">
        <v>1.0604450000000001</v>
      </c>
      <c r="L421">
        <v>368.06259999999997</v>
      </c>
      <c r="M421">
        <v>0.99989349999999999</v>
      </c>
      <c r="N421">
        <v>0</v>
      </c>
      <c r="O421">
        <v>-3.6702990000000001E-3</v>
      </c>
      <c r="P421">
        <v>0.99841990000000003</v>
      </c>
      <c r="Q421">
        <v>4.7562760000000003E-2</v>
      </c>
      <c r="R421">
        <v>-2.9921940000000001E-2</v>
      </c>
      <c r="S421">
        <v>3.0278320000000001</v>
      </c>
      <c r="T421">
        <v>-0.61131579999999996</v>
      </c>
      <c r="U421">
        <v>-0.2053528</v>
      </c>
      <c r="V421">
        <v>2.6259299999999999E-2</v>
      </c>
      <c r="W421">
        <v>6.1670549999999998E-2</v>
      </c>
      <c r="X421">
        <v>0.9977511</v>
      </c>
      <c r="Y421">
        <v>6.2815629999999997E-2</v>
      </c>
      <c r="Z421">
        <v>-5.5380150000000003E-3</v>
      </c>
      <c r="AA421">
        <v>0.99800979999999995</v>
      </c>
      <c r="AB421">
        <v>30</v>
      </c>
      <c r="AC421">
        <v>0.68700000000001105</v>
      </c>
      <c r="AD421">
        <v>-0.1732206</v>
      </c>
      <c r="AE421">
        <v>-5.7999999999992703E-2</v>
      </c>
      <c r="AF421">
        <v>5.2183764272774699E-2</v>
      </c>
      <c r="AG421">
        <v>-0.1732206</v>
      </c>
      <c r="AH421">
        <v>0.64640404152851605</v>
      </c>
      <c r="AI421">
        <v>104.954955714542</v>
      </c>
      <c r="AJ421">
        <v>85.384559443120594</v>
      </c>
      <c r="AK421">
        <v>0.67124265837507402</v>
      </c>
      <c r="AL421">
        <v>86.464294260683005</v>
      </c>
      <c r="AM421">
        <v>88.492409754285504</v>
      </c>
      <c r="AN421">
        <v>1.0000000325625</v>
      </c>
    </row>
    <row r="422" spans="1:40" x14ac:dyDescent="0.25">
      <c r="A422" t="str">
        <f>"20190312153858689"</f>
        <v>20190312153858689</v>
      </c>
      <c r="B422" t="str">
        <f>"1552376338686994"</f>
        <v>1552376338686994</v>
      </c>
      <c r="C422" t="s">
        <v>40</v>
      </c>
      <c r="D422">
        <v>4.3970019999999996</v>
      </c>
      <c r="E422">
        <v>0.51658909999999902</v>
      </c>
      <c r="F422" t="s">
        <v>41</v>
      </c>
      <c r="G422">
        <v>-424.76940000000002</v>
      </c>
      <c r="H422">
        <v>0.91832329999999995</v>
      </c>
      <c r="I422">
        <v>368.01440000000002</v>
      </c>
      <c r="J422">
        <v>-425.30650000000003</v>
      </c>
      <c r="K422">
        <v>1.0604480000000001</v>
      </c>
      <c r="L422">
        <v>368.06200000000001</v>
      </c>
      <c r="M422">
        <v>0.99989209999999995</v>
      </c>
      <c r="N422">
        <v>0</v>
      </c>
      <c r="O422">
        <v>-3.6694240000000001E-3</v>
      </c>
      <c r="P422">
        <v>0.99841639999999998</v>
      </c>
      <c r="Q422">
        <v>4.7515559999999998E-2</v>
      </c>
      <c r="R422">
        <v>-3.0115980000000001E-2</v>
      </c>
      <c r="S422">
        <v>3.0278019999999999</v>
      </c>
      <c r="T422">
        <v>-0.61267240000000001</v>
      </c>
      <c r="U422">
        <v>-0.2059021</v>
      </c>
      <c r="V422">
        <v>2.645405E-2</v>
      </c>
      <c r="W422">
        <v>6.1718149999999999E-2</v>
      </c>
      <c r="X422">
        <v>0.99774300000000005</v>
      </c>
      <c r="Y422">
        <v>6.2988680000000005E-2</v>
      </c>
      <c r="Z422">
        <v>-5.56757E-3</v>
      </c>
      <c r="AA422">
        <v>0.99799870000000002</v>
      </c>
      <c r="AB422">
        <v>30</v>
      </c>
      <c r="AC422">
        <v>0.53710000000000901</v>
      </c>
      <c r="AD422">
        <v>-0.14212469999999999</v>
      </c>
      <c r="AE422">
        <v>-4.7599999999931697E-2</v>
      </c>
      <c r="AF422">
        <v>4.2664499039928999E-2</v>
      </c>
      <c r="AG422">
        <v>-0.14212469999999999</v>
      </c>
      <c r="AH422">
        <v>0.50236878985303002</v>
      </c>
      <c r="AI422">
        <v>105.74284360250201</v>
      </c>
      <c r="AJ422">
        <v>85.145709531947503</v>
      </c>
      <c r="AK422">
        <v>0.52382639380506202</v>
      </c>
      <c r="AL422">
        <v>86.461561733525798</v>
      </c>
      <c r="AM422">
        <v>88.481221725133693</v>
      </c>
      <c r="AN422">
        <v>1.00000002042491</v>
      </c>
    </row>
    <row r="423" spans="1:40" x14ac:dyDescent="0.25">
      <c r="A423" t="str">
        <f>"20190312153858709"</f>
        <v>20190312153858709</v>
      </c>
      <c r="B423" t="str">
        <f>"1552376338696755"</f>
        <v>1552376338696755</v>
      </c>
      <c r="C423" t="s">
        <v>40</v>
      </c>
      <c r="D423">
        <v>4.4319499999999996</v>
      </c>
      <c r="E423">
        <v>0.5165727</v>
      </c>
      <c r="F423" t="s">
        <v>41</v>
      </c>
      <c r="G423">
        <v>-424.51519999999999</v>
      </c>
      <c r="H423">
        <v>0.90025759999999899</v>
      </c>
      <c r="I423">
        <v>368.00819999999999</v>
      </c>
      <c r="J423">
        <v>-425.05290000000002</v>
      </c>
      <c r="K423">
        <v>1.060451</v>
      </c>
      <c r="L423">
        <v>368.06099999999998</v>
      </c>
      <c r="M423">
        <v>0.9998901</v>
      </c>
      <c r="N423">
        <v>0</v>
      </c>
      <c r="O423">
        <v>-3.668237E-3</v>
      </c>
      <c r="P423">
        <v>0.99838059999999995</v>
      </c>
      <c r="Q423">
        <v>4.8131279999999999E-2</v>
      </c>
      <c r="R423">
        <v>-3.0324750000000001E-2</v>
      </c>
      <c r="S423">
        <v>3.0277400000000001</v>
      </c>
      <c r="T423">
        <v>-0.613035</v>
      </c>
      <c r="U423">
        <v>-0.20501710000000001</v>
      </c>
      <c r="V423">
        <v>2.6664279999999999E-2</v>
      </c>
      <c r="W423">
        <v>6.246724E-2</v>
      </c>
      <c r="X423">
        <v>0.99769070000000004</v>
      </c>
      <c r="Y423">
        <v>6.2705060000000007E-2</v>
      </c>
      <c r="Z423">
        <v>-5.5428059999999999E-3</v>
      </c>
      <c r="AA423">
        <v>0.99801669999999998</v>
      </c>
      <c r="AB423">
        <v>29</v>
      </c>
      <c r="AC423">
        <v>0.53770000000002904</v>
      </c>
      <c r="AD423">
        <v>-0.16019340000000001</v>
      </c>
      <c r="AE423">
        <v>-5.2799999999990598E-2</v>
      </c>
      <c r="AF423">
        <v>4.6719856532947503E-2</v>
      </c>
      <c r="AG423">
        <v>-0.16019340000000001</v>
      </c>
      <c r="AH423">
        <v>0.49442486628268001</v>
      </c>
      <c r="AI423">
        <v>107.877760224654</v>
      </c>
      <c r="AJ423">
        <v>84.601958756340906</v>
      </c>
      <c r="AK423">
        <v>0.521824317942989</v>
      </c>
      <c r="AL423">
        <v>86.418558758007507</v>
      </c>
      <c r="AM423">
        <v>88.469077523903294</v>
      </c>
      <c r="AN423">
        <v>0.99999993638381102</v>
      </c>
    </row>
    <row r="424" spans="1:40" x14ac:dyDescent="0.25">
      <c r="A424" t="str">
        <f>"20190312153858729"</f>
        <v>20190312153858729</v>
      </c>
      <c r="B424" t="str">
        <f>"1552376338727010"</f>
        <v>1552376338727010</v>
      </c>
      <c r="C424" t="s">
        <v>40</v>
      </c>
      <c r="D424">
        <v>4.4240899999999996</v>
      </c>
      <c r="E424">
        <v>0.5163584</v>
      </c>
      <c r="F424" t="s">
        <v>41</v>
      </c>
      <c r="G424">
        <v>-424.25319999999999</v>
      </c>
      <c r="H424">
        <v>0.89895729999999996</v>
      </c>
      <c r="I424">
        <v>368.00630000000001</v>
      </c>
      <c r="J424">
        <v>-424.77199999999999</v>
      </c>
      <c r="K424">
        <v>1.0604549999999999</v>
      </c>
      <c r="L424">
        <v>368.06</v>
      </c>
      <c r="M424">
        <v>0.99988829999999995</v>
      </c>
      <c r="N424">
        <v>0</v>
      </c>
      <c r="O424">
        <v>-3.667146E-3</v>
      </c>
      <c r="P424">
        <v>0.99836279999999999</v>
      </c>
      <c r="Q424">
        <v>4.8446959999999997E-2</v>
      </c>
      <c r="R424">
        <v>-3.0407679999999999E-2</v>
      </c>
      <c r="S424">
        <v>3.028076</v>
      </c>
      <c r="T424">
        <v>-0.6116222</v>
      </c>
      <c r="U424">
        <v>-0.20562739999999999</v>
      </c>
      <c r="V424">
        <v>2.6748230000000001E-2</v>
      </c>
      <c r="W424">
        <v>6.2913140000000006E-2</v>
      </c>
      <c r="X424">
        <v>0.99766049999999995</v>
      </c>
      <c r="Y424">
        <v>6.290068E-2</v>
      </c>
      <c r="Z424">
        <v>-5.5494029999999996E-3</v>
      </c>
      <c r="AA424">
        <v>0.99800440000000001</v>
      </c>
      <c r="AB424">
        <v>29</v>
      </c>
      <c r="AC424">
        <v>0.51879999999999804</v>
      </c>
      <c r="AD424">
        <v>-0.16149769999999899</v>
      </c>
      <c r="AE424">
        <v>-5.3699999999991997E-2</v>
      </c>
      <c r="AF424">
        <v>4.7265365962901401E-2</v>
      </c>
      <c r="AG424">
        <v>-0.16149769999999899</v>
      </c>
      <c r="AH424">
        <v>0.473588273364345</v>
      </c>
      <c r="AI424">
        <v>108.74325195466599</v>
      </c>
      <c r="AJ424">
        <v>84.300602297120506</v>
      </c>
      <c r="AK424">
        <v>0.50259464242381102</v>
      </c>
      <c r="AL424">
        <v>86.392960454105804</v>
      </c>
      <c r="AM424">
        <v>88.464213395967406</v>
      </c>
      <c r="AN424">
        <v>1.0000000021265201</v>
      </c>
    </row>
    <row r="425" spans="1:40" x14ac:dyDescent="0.25">
      <c r="A425" t="str">
        <f>"20190312153858752"</f>
        <v>20190312153858752</v>
      </c>
      <c r="B425" t="str">
        <f>"1552376338746530"</f>
        <v>1552376338746530</v>
      </c>
      <c r="C425" t="s">
        <v>40</v>
      </c>
      <c r="D425">
        <v>4.4568979999999998</v>
      </c>
      <c r="E425">
        <v>0.49713449999999998</v>
      </c>
      <c r="F425" t="s">
        <v>41</v>
      </c>
      <c r="G425">
        <v>-423.98930000000001</v>
      </c>
      <c r="H425">
        <v>0.90224179999999998</v>
      </c>
      <c r="I425">
        <v>368.00709999999998</v>
      </c>
      <c r="J425">
        <v>-424.4873</v>
      </c>
      <c r="K425">
        <v>1.060459</v>
      </c>
      <c r="L425">
        <v>368.05900000000003</v>
      </c>
      <c r="M425">
        <v>0.99988670000000002</v>
      </c>
      <c r="N425">
        <v>0</v>
      </c>
      <c r="O425">
        <v>-3.6660640000000001E-3</v>
      </c>
      <c r="P425">
        <v>0.99838459999999996</v>
      </c>
      <c r="Q425">
        <v>4.8161509999999998E-2</v>
      </c>
      <c r="R425">
        <v>-3.0149680000000002E-2</v>
      </c>
      <c r="S425">
        <v>3.0284420000000001</v>
      </c>
      <c r="T425">
        <v>-0.61223879999999997</v>
      </c>
      <c r="U425">
        <v>-0.20397950000000001</v>
      </c>
      <c r="V425">
        <v>2.6491239999999999E-2</v>
      </c>
      <c r="W425">
        <v>6.2741359999999996E-2</v>
      </c>
      <c r="X425">
        <v>0.99767819999999996</v>
      </c>
      <c r="Y425">
        <v>6.2361680000000003E-2</v>
      </c>
      <c r="Z425">
        <v>-5.5006639999999997E-3</v>
      </c>
      <c r="AA425">
        <v>0.99803850000000005</v>
      </c>
      <c r="AB425">
        <v>29</v>
      </c>
      <c r="AC425">
        <v>0.49799999999999001</v>
      </c>
      <c r="AD425">
        <v>-0.1582172</v>
      </c>
      <c r="AE425">
        <v>-5.1900000000046E-2</v>
      </c>
      <c r="AF425">
        <v>4.5527718465688198E-2</v>
      </c>
      <c r="AG425">
        <v>-0.1582172</v>
      </c>
      <c r="AH425">
        <v>0.45295812275145098</v>
      </c>
      <c r="AI425">
        <v>109.164715123061</v>
      </c>
      <c r="AJ425">
        <v>84.260364396014893</v>
      </c>
      <c r="AK425">
        <v>0.48195074073088601</v>
      </c>
      <c r="AL425">
        <v>86.402822296856996</v>
      </c>
      <c r="AM425">
        <v>88.4789888392379</v>
      </c>
      <c r="AN425">
        <v>1.0000000274033101</v>
      </c>
    </row>
    <row r="426" spans="1:40" x14ac:dyDescent="0.25">
      <c r="A426" t="str">
        <f>"20190312153858764"</f>
        <v>20190312153858764</v>
      </c>
      <c r="B426" t="str">
        <f>"1552376338756292"</f>
        <v>1552376338756292</v>
      </c>
      <c r="C426" t="s">
        <v>40</v>
      </c>
      <c r="D426">
        <v>4.4307359999999996</v>
      </c>
      <c r="E426">
        <v>0.4946277</v>
      </c>
      <c r="F426" t="s">
        <v>41</v>
      </c>
      <c r="G426">
        <v>-423.69779999999997</v>
      </c>
      <c r="H426">
        <v>0.96125499999999997</v>
      </c>
      <c r="I426">
        <v>368.0444</v>
      </c>
      <c r="J426">
        <v>-424.32299999999998</v>
      </c>
      <c r="K426">
        <v>1.06046</v>
      </c>
      <c r="L426">
        <v>368.05829999999997</v>
      </c>
      <c r="M426">
        <v>0.99988589999999999</v>
      </c>
      <c r="N426">
        <v>0</v>
      </c>
      <c r="O426">
        <v>-3.6655350000000001E-3</v>
      </c>
      <c r="P426">
        <v>0.99839069999999996</v>
      </c>
      <c r="Q426">
        <v>4.7927240000000003E-2</v>
      </c>
      <c r="R426">
        <v>-3.032311E-2</v>
      </c>
      <c r="S426">
        <v>3.0214840000000001</v>
      </c>
      <c r="T426">
        <v>-0.37979849999999998</v>
      </c>
      <c r="U426">
        <v>-5.4809570000000002E-2</v>
      </c>
      <c r="V426">
        <v>2.666516E-2</v>
      </c>
      <c r="W426">
        <v>6.2565270000000006E-2</v>
      </c>
      <c r="X426">
        <v>0.99768460000000003</v>
      </c>
      <c r="Y426">
        <v>1.4387179999999999E-2</v>
      </c>
      <c r="Z426">
        <v>-4.4165550000000001E-4</v>
      </c>
      <c r="AA426">
        <v>0.99989640000000002</v>
      </c>
      <c r="AB426">
        <v>29</v>
      </c>
      <c r="AC426">
        <v>0.62520000000006304</v>
      </c>
      <c r="AD426">
        <v>-9.9205000000000002E-2</v>
      </c>
      <c r="AE426">
        <v>-1.3899999999978201E-2</v>
      </c>
      <c r="AF426">
        <v>1.1323012820146E-2</v>
      </c>
      <c r="AG426">
        <v>-9.9205000000000002E-2</v>
      </c>
      <c r="AH426">
        <v>0.60989804790754798</v>
      </c>
      <c r="AI426">
        <v>99.237160140653899</v>
      </c>
      <c r="AJ426">
        <v>88.9364020323803</v>
      </c>
      <c r="AK426">
        <v>0.618017371508086</v>
      </c>
      <c r="AL426">
        <v>86.412931281463599</v>
      </c>
      <c r="AM426">
        <v>88.469017666831505</v>
      </c>
      <c r="AN426">
        <v>1.0000000024225699</v>
      </c>
    </row>
    <row r="427" spans="1:40" x14ac:dyDescent="0.25">
      <c r="A427" t="str">
        <f>"20190312153858775"</f>
        <v>20190312153858775</v>
      </c>
      <c r="B427" t="str">
        <f>"1552376338766050"</f>
        <v>1552376338766050</v>
      </c>
      <c r="C427" t="s">
        <v>40</v>
      </c>
      <c r="D427">
        <v>4.4756679999999998</v>
      </c>
      <c r="E427">
        <v>0.49338729999999997</v>
      </c>
      <c r="F427" t="s">
        <v>41</v>
      </c>
      <c r="G427">
        <v>-423.43509999999998</v>
      </c>
      <c r="H427">
        <v>0.96419169999999998</v>
      </c>
      <c r="I427">
        <v>368.04739999999998</v>
      </c>
      <c r="J427">
        <v>-424.16210000000001</v>
      </c>
      <c r="K427">
        <v>1.060457</v>
      </c>
      <c r="L427">
        <v>368.05779999999999</v>
      </c>
      <c r="M427">
        <v>0.99988500000000002</v>
      </c>
      <c r="N427">
        <v>0</v>
      </c>
      <c r="O427">
        <v>-3.6647329999999999E-3</v>
      </c>
      <c r="P427">
        <v>0.99839909999999998</v>
      </c>
      <c r="Q427">
        <v>4.7754169999999999E-2</v>
      </c>
      <c r="R427">
        <v>-3.031586E-2</v>
      </c>
      <c r="S427">
        <v>3.019409</v>
      </c>
      <c r="T427">
        <v>-0.32749650000000002</v>
      </c>
      <c r="U427">
        <v>-3.6895749999999998E-2</v>
      </c>
      <c r="V427">
        <v>2.6658620000000001E-2</v>
      </c>
      <c r="W427">
        <v>6.2445830000000001E-2</v>
      </c>
      <c r="X427">
        <v>0.99769220000000003</v>
      </c>
      <c r="Y427">
        <v>8.5251770000000001E-3</v>
      </c>
      <c r="Z427" s="1">
        <v>-6.4613680000000006E-5</v>
      </c>
      <c r="AA427">
        <v>0.99996359999999995</v>
      </c>
      <c r="AB427">
        <v>29</v>
      </c>
      <c r="AC427">
        <v>0.72700000000003195</v>
      </c>
      <c r="AD427">
        <v>-9.6265299999999998E-2</v>
      </c>
      <c r="AE427">
        <v>-1.04000000000041E-2</v>
      </c>
      <c r="AF427">
        <v>7.6021156609087301E-3</v>
      </c>
      <c r="AG427">
        <v>-9.6265299999999998E-2</v>
      </c>
      <c r="AH427">
        <v>0.71450791260036595</v>
      </c>
      <c r="AI427">
        <v>97.672797505469006</v>
      </c>
      <c r="AJ427">
        <v>89.390415836716599</v>
      </c>
      <c r="AK427">
        <v>0.72100371518816997</v>
      </c>
      <c r="AL427">
        <v>86.419787890572906</v>
      </c>
      <c r="AM427">
        <v>88.469404636796</v>
      </c>
      <c r="AN427">
        <v>0.999999944822765</v>
      </c>
    </row>
    <row r="428" spans="1:40" x14ac:dyDescent="0.25">
      <c r="A428" t="str">
        <f>"20190312153858788"</f>
        <v>20190312153858788</v>
      </c>
      <c r="B428" t="str">
        <f>"1552376338776786"</f>
        <v>1552376338776786</v>
      </c>
      <c r="C428" t="s">
        <v>40</v>
      </c>
      <c r="D428">
        <v>4.4624280000000001</v>
      </c>
      <c r="E428">
        <v>0.49256939999999999</v>
      </c>
      <c r="F428" t="s">
        <v>41</v>
      </c>
      <c r="G428">
        <v>-423.42219999999998</v>
      </c>
      <c r="H428">
        <v>0.98651809999999995</v>
      </c>
      <c r="I428">
        <v>368.05099999999999</v>
      </c>
      <c r="J428">
        <v>-424.01130000000001</v>
      </c>
      <c r="K428">
        <v>1.060457</v>
      </c>
      <c r="L428">
        <v>368.05720000000002</v>
      </c>
      <c r="M428">
        <v>0.99988440000000001</v>
      </c>
      <c r="N428">
        <v>0</v>
      </c>
      <c r="O428">
        <v>-3.6642200000000002E-3</v>
      </c>
      <c r="P428">
        <v>0.99839940000000005</v>
      </c>
      <c r="Q428">
        <v>4.7586280000000002E-2</v>
      </c>
      <c r="R428">
        <v>-3.0563480000000001E-2</v>
      </c>
      <c r="S428">
        <v>3.018402</v>
      </c>
      <c r="T428">
        <v>-0.30176310000000001</v>
      </c>
      <c r="U428">
        <v>-2.7435299999999999E-2</v>
      </c>
      <c r="V428">
        <v>2.690679E-2</v>
      </c>
      <c r="W428">
        <v>6.2321139999999997E-2</v>
      </c>
      <c r="X428">
        <v>0.99769339999999995</v>
      </c>
      <c r="Y428">
        <v>5.4157140000000003E-3</v>
      </c>
      <c r="Z428" s="1">
        <v>9.5409870000000001E-5</v>
      </c>
      <c r="AA428">
        <v>0.99998529999999997</v>
      </c>
      <c r="AB428">
        <v>29</v>
      </c>
      <c r="AC428">
        <v>0.58910000000003004</v>
      </c>
      <c r="AD428">
        <v>-7.3938899999999905E-2</v>
      </c>
      <c r="AE428">
        <v>-6.2000000000352797E-3</v>
      </c>
      <c r="AF428">
        <v>3.9784648143781597E-3</v>
      </c>
      <c r="AG428">
        <v>-7.3938899999999905E-2</v>
      </c>
      <c r="AH428">
        <v>0.57998320361937195</v>
      </c>
      <c r="AI428">
        <v>97.264968511073903</v>
      </c>
      <c r="AJ428">
        <v>89.606978846722498</v>
      </c>
      <c r="AK428">
        <v>0.58469077775870504</v>
      </c>
      <c r="AL428">
        <v>86.426946277606902</v>
      </c>
      <c r="AM428">
        <v>88.455164772819501</v>
      </c>
      <c r="AN428">
        <v>1.00000001012128</v>
      </c>
    </row>
    <row r="429" spans="1:40" x14ac:dyDescent="0.25">
      <c r="A429" t="str">
        <f>"20190312153858801"</f>
        <v>20190312153858801</v>
      </c>
      <c r="B429" t="str">
        <f>"1552376338796306"</f>
        <v>1552376338796306</v>
      </c>
      <c r="C429" t="s">
        <v>40</v>
      </c>
      <c r="D429">
        <v>4.4654559999999996</v>
      </c>
      <c r="E429">
        <v>0.49180420000000002</v>
      </c>
      <c r="F429" t="s">
        <v>41</v>
      </c>
      <c r="G429">
        <v>-423.16570000000002</v>
      </c>
      <c r="H429">
        <v>0.98164209999999996</v>
      </c>
      <c r="I429">
        <v>368.05070000000001</v>
      </c>
      <c r="J429">
        <v>-423.84620000000001</v>
      </c>
      <c r="K429">
        <v>1.0604579999999999</v>
      </c>
      <c r="L429">
        <v>368.0566</v>
      </c>
      <c r="M429">
        <v>0.99988379999999999</v>
      </c>
      <c r="N429">
        <v>0</v>
      </c>
      <c r="O429">
        <v>-3.6637240000000001E-3</v>
      </c>
      <c r="P429">
        <v>0.99839009999999995</v>
      </c>
      <c r="Q429">
        <v>4.7762739999999998E-2</v>
      </c>
      <c r="R429">
        <v>-3.06044E-2</v>
      </c>
      <c r="S429">
        <v>3.0175480000000001</v>
      </c>
      <c r="T429">
        <v>-0.28145429999999999</v>
      </c>
      <c r="U429">
        <v>-2.2125240000000001E-2</v>
      </c>
      <c r="V429">
        <v>2.6948199999999999E-2</v>
      </c>
      <c r="W429">
        <v>6.2543379999999996E-2</v>
      </c>
      <c r="X429">
        <v>0.99767830000000002</v>
      </c>
      <c r="Y429">
        <v>3.667904E-3</v>
      </c>
      <c r="Z429">
        <v>1.70331199999999E-4</v>
      </c>
      <c r="AA429">
        <v>0.99999329999999997</v>
      </c>
      <c r="AB429">
        <v>29</v>
      </c>
      <c r="AC429">
        <v>0.680499999999994</v>
      </c>
      <c r="AD429">
        <v>-7.88158999999998E-2</v>
      </c>
      <c r="AE429">
        <v>-5.8999999999968999E-3</v>
      </c>
      <c r="AF429">
        <v>3.3614349497400999E-3</v>
      </c>
      <c r="AG429">
        <v>-7.88158999999998E-2</v>
      </c>
      <c r="AH429">
        <v>0.67150982244466595</v>
      </c>
      <c r="AI429">
        <v>96.694162278301704</v>
      </c>
      <c r="AJ429">
        <v>89.713191943541702</v>
      </c>
      <c r="AK429">
        <v>0.67612771498985202</v>
      </c>
      <c r="AL429">
        <v>86.414187705377103</v>
      </c>
      <c r="AM429">
        <v>88.452764994436706</v>
      </c>
      <c r="AN429">
        <v>0.99999993507797502</v>
      </c>
    </row>
    <row r="430" spans="1:40" x14ac:dyDescent="0.25">
      <c r="A430" t="str">
        <f>"20190312153858818"</f>
        <v>20190312153858818</v>
      </c>
      <c r="B430" t="str">
        <f>"1552376338806066"</f>
        <v>1552376338806066</v>
      </c>
      <c r="C430" t="s">
        <v>40</v>
      </c>
      <c r="D430">
        <v>4.5045060000000001</v>
      </c>
      <c r="E430">
        <v>0.49144470000000001</v>
      </c>
      <c r="F430" t="s">
        <v>41</v>
      </c>
      <c r="G430">
        <v>-422.9058</v>
      </c>
      <c r="H430">
        <v>0.98084990000000005</v>
      </c>
      <c r="I430">
        <v>368.05110000000002</v>
      </c>
      <c r="J430">
        <v>-423.62180000000001</v>
      </c>
      <c r="K430">
        <v>1.060468</v>
      </c>
      <c r="L430">
        <v>368.05579999999998</v>
      </c>
      <c r="M430">
        <v>0.99988279999999996</v>
      </c>
      <c r="N430">
        <v>0</v>
      </c>
      <c r="O430">
        <v>-3.662467E-3</v>
      </c>
      <c r="P430">
        <v>0.9983476</v>
      </c>
      <c r="Q430">
        <v>4.8189129999999997E-2</v>
      </c>
      <c r="R430">
        <v>-3.1295919999999998E-2</v>
      </c>
      <c r="S430">
        <v>3.0165099999999998</v>
      </c>
      <c r="T430">
        <v>-0.2555481</v>
      </c>
      <c r="U430">
        <v>-1.6876220000000001E-2</v>
      </c>
      <c r="V430">
        <v>2.764134E-2</v>
      </c>
      <c r="W430">
        <v>6.3024510000000006E-2</v>
      </c>
      <c r="X430">
        <v>0.99762910000000005</v>
      </c>
      <c r="Y430">
        <v>1.9378570000000001E-3</v>
      </c>
      <c r="Z430">
        <v>2.278103E-4</v>
      </c>
      <c r="AA430">
        <v>0.9999981</v>
      </c>
      <c r="AB430">
        <v>29</v>
      </c>
      <c r="AC430">
        <v>0.71600000000000796</v>
      </c>
      <c r="AD430">
        <v>-7.9618099999999997E-2</v>
      </c>
      <c r="AE430">
        <v>-4.6999999999570701E-3</v>
      </c>
      <c r="AF430">
        <v>2.05198047255773E-3</v>
      </c>
      <c r="AG430">
        <v>-7.9618099999999997E-2</v>
      </c>
      <c r="AH430">
        <v>0.70726735871263102</v>
      </c>
      <c r="AI430">
        <v>96.422801542824402</v>
      </c>
      <c r="AJ430">
        <v>89.833769380990304</v>
      </c>
      <c r="AK430">
        <v>0.71173757043717401</v>
      </c>
      <c r="AL430">
        <v>86.386566643331903</v>
      </c>
      <c r="AM430">
        <v>88.412910126217</v>
      </c>
      <c r="AN430">
        <v>0.99999997685227204</v>
      </c>
    </row>
    <row r="431" spans="1:40" x14ac:dyDescent="0.25">
      <c r="A431" t="str">
        <f>"20190312153858831"</f>
        <v>20190312153858831</v>
      </c>
      <c r="B431" t="str">
        <f>"1552376338826561"</f>
        <v>1552376338826561</v>
      </c>
      <c r="C431" t="s">
        <v>40</v>
      </c>
      <c r="D431">
        <v>4.4904780000000004</v>
      </c>
      <c r="E431">
        <v>0.49100759999999999</v>
      </c>
      <c r="F431" t="s">
        <v>41</v>
      </c>
      <c r="G431">
        <v>-422.64589999999998</v>
      </c>
      <c r="H431">
        <v>0.98115059999999998</v>
      </c>
      <c r="I431">
        <v>368.05029999999999</v>
      </c>
      <c r="J431">
        <v>-423.45060000000001</v>
      </c>
      <c r="K431">
        <v>1.060473</v>
      </c>
      <c r="L431">
        <v>368.05520000000001</v>
      </c>
      <c r="M431">
        <v>0.9998823</v>
      </c>
      <c r="N431">
        <v>0</v>
      </c>
      <c r="O431">
        <v>-3.6616690000000002E-3</v>
      </c>
      <c r="P431">
        <v>0.99831999999999999</v>
      </c>
      <c r="Q431">
        <v>4.8498329999999999E-2</v>
      </c>
      <c r="R431">
        <v>-3.1703009999999997E-2</v>
      </c>
      <c r="S431">
        <v>3.0162960000000001</v>
      </c>
      <c r="T431">
        <v>-0.2454211</v>
      </c>
      <c r="U431">
        <v>-1.6296390000000001E-2</v>
      </c>
      <c r="V431">
        <v>2.804918E-2</v>
      </c>
      <c r="W431">
        <v>6.3369999999999996E-2</v>
      </c>
      <c r="X431">
        <v>0.99759580000000003</v>
      </c>
      <c r="Y431">
        <v>1.7469720000000001E-3</v>
      </c>
      <c r="Z431">
        <v>2.265166E-4</v>
      </c>
      <c r="AA431">
        <v>0.99999850000000001</v>
      </c>
      <c r="AB431">
        <v>29</v>
      </c>
      <c r="AC431">
        <v>0.80470000000002495</v>
      </c>
      <c r="AD431">
        <v>-7.9322400000000001E-2</v>
      </c>
      <c r="AE431">
        <v>-4.9000000000205502E-3</v>
      </c>
      <c r="AF431">
        <v>1.9343004777213799E-3</v>
      </c>
      <c r="AG431">
        <v>-7.9322400000000001E-2</v>
      </c>
      <c r="AH431">
        <v>0.79696884102605503</v>
      </c>
      <c r="AI431">
        <v>95.683919370770795</v>
      </c>
      <c r="AJ431">
        <v>89.860939311095507</v>
      </c>
      <c r="AK431">
        <v>0.80090893254258999</v>
      </c>
      <c r="AL431">
        <v>86.366731765931505</v>
      </c>
      <c r="AM431">
        <v>88.389451585198501</v>
      </c>
      <c r="AN431">
        <v>0.99999994678815396</v>
      </c>
    </row>
    <row r="432" spans="1:40" x14ac:dyDescent="0.25">
      <c r="A432" t="str">
        <f>"20190312153858845"</f>
        <v>20190312153858845</v>
      </c>
      <c r="B432" t="str">
        <f>"1552376338836322"</f>
        <v>1552376338836322</v>
      </c>
      <c r="C432" t="s">
        <v>40</v>
      </c>
      <c r="D432">
        <v>4.4857009999999997</v>
      </c>
      <c r="E432">
        <v>0.49085719999999999</v>
      </c>
      <c r="F432" t="s">
        <v>43</v>
      </c>
      <c r="G432">
        <v>-409.11709999999999</v>
      </c>
      <c r="H432">
        <v>-0.05</v>
      </c>
      <c r="I432">
        <v>367.98820000000001</v>
      </c>
      <c r="J432">
        <v>-423.27550000000002</v>
      </c>
      <c r="K432">
        <v>1.0604819999999999</v>
      </c>
      <c r="L432">
        <v>368.05459999999999</v>
      </c>
      <c r="M432">
        <v>0.99988180000000004</v>
      </c>
      <c r="N432">
        <v>0</v>
      </c>
      <c r="O432">
        <v>-3.6610940000000002E-3</v>
      </c>
      <c r="P432">
        <v>0.99829319999999999</v>
      </c>
      <c r="Q432">
        <v>4.8919009999999999E-2</v>
      </c>
      <c r="R432">
        <v>-3.1903130000000002E-2</v>
      </c>
      <c r="S432">
        <v>3.0159910000000001</v>
      </c>
      <c r="T432">
        <v>-0.23366139999999999</v>
      </c>
      <c r="U432">
        <v>-1.409912E-2</v>
      </c>
      <c r="V432">
        <v>2.8249969999999999E-2</v>
      </c>
      <c r="W432">
        <v>6.3824939999999997E-2</v>
      </c>
      <c r="X432">
        <v>0.99756120000000004</v>
      </c>
      <c r="Y432">
        <v>1.0211560000000001E-3</v>
      </c>
      <c r="Z432">
        <v>2.4374769999999999E-4</v>
      </c>
      <c r="AA432">
        <v>0.99999950000000004</v>
      </c>
      <c r="AB432">
        <v>29</v>
      </c>
      <c r="AC432">
        <v>14.1584</v>
      </c>
      <c r="AD432">
        <v>-1.110482</v>
      </c>
      <c r="AE432">
        <v>-6.6399999999987303E-2</v>
      </c>
      <c r="AF432">
        <v>1.4469531305880299E-2</v>
      </c>
      <c r="AG432">
        <v>-1.110482</v>
      </c>
      <c r="AH432">
        <v>14.071983588966701</v>
      </c>
      <c r="AI432">
        <v>94.512108253092904</v>
      </c>
      <c r="AJ432">
        <v>89.941085577741305</v>
      </c>
      <c r="AK432">
        <v>14.1157395048154</v>
      </c>
      <c r="AL432">
        <v>86.3406130006029</v>
      </c>
      <c r="AM432">
        <v>88.377872384113203</v>
      </c>
      <c r="AN432">
        <v>1.0000000157582201</v>
      </c>
    </row>
    <row r="433" spans="1:40" x14ac:dyDescent="0.25">
      <c r="A433" t="str">
        <f>"20190312153858864"</f>
        <v>20190312153858864</v>
      </c>
      <c r="B433" t="str">
        <f>"1552376338856818"</f>
        <v>1552376338856818</v>
      </c>
      <c r="C433" t="s">
        <v>40</v>
      </c>
      <c r="D433">
        <v>4.4909509999999999</v>
      </c>
      <c r="E433">
        <v>0.49062149999999999</v>
      </c>
      <c r="F433" t="s">
        <v>43</v>
      </c>
      <c r="G433">
        <v>-408.58890000000002</v>
      </c>
      <c r="H433">
        <v>-0.05</v>
      </c>
      <c r="I433">
        <v>367.98660000000001</v>
      </c>
      <c r="J433">
        <v>-423.02109999999999</v>
      </c>
      <c r="K433">
        <v>1.060489</v>
      </c>
      <c r="L433">
        <v>368.05360000000002</v>
      </c>
      <c r="M433">
        <v>0.99988120000000003</v>
      </c>
      <c r="N433">
        <v>0</v>
      </c>
      <c r="O433">
        <v>-3.6598799999999999E-3</v>
      </c>
      <c r="P433">
        <v>0.99824749999999995</v>
      </c>
      <c r="Q433">
        <v>4.9670180000000001E-2</v>
      </c>
      <c r="R433">
        <v>-3.216844E-2</v>
      </c>
      <c r="S433">
        <v>3.0158689999999999</v>
      </c>
      <c r="T433">
        <v>-0.22803490000000001</v>
      </c>
      <c r="U433">
        <v>-1.394653E-2</v>
      </c>
      <c r="V433">
        <v>2.8516719999999999E-2</v>
      </c>
      <c r="W433">
        <v>6.4621029999999996E-2</v>
      </c>
      <c r="X433">
        <v>0.99750229999999995</v>
      </c>
      <c r="Y433">
        <v>9.7172540000000003E-4</v>
      </c>
      <c r="Z433">
        <v>2.3967939999999999E-4</v>
      </c>
      <c r="AA433">
        <v>0.99999950000000004</v>
      </c>
      <c r="AB433">
        <v>29</v>
      </c>
      <c r="AC433">
        <v>14.4321999999999</v>
      </c>
      <c r="AD433">
        <v>-1.1104889999999901</v>
      </c>
      <c r="AE433">
        <v>-6.7000000000007207E-2</v>
      </c>
      <c r="AF433">
        <v>1.40900895914554E-2</v>
      </c>
      <c r="AG433">
        <v>-1.1104889999999901</v>
      </c>
      <c r="AH433">
        <v>14.3474055861687</v>
      </c>
      <c r="AI433">
        <v>94.425866413011306</v>
      </c>
      <c r="AJ433">
        <v>89.943731819514795</v>
      </c>
      <c r="AK433">
        <v>14.3903242285839</v>
      </c>
      <c r="AL433">
        <v>86.294905836224203</v>
      </c>
      <c r="AM433">
        <v>88.362467129501695</v>
      </c>
      <c r="AN433">
        <v>0.99999995967155297</v>
      </c>
    </row>
    <row r="434" spans="1:40" x14ac:dyDescent="0.25">
      <c r="A434" t="str">
        <f>"20190312153858888"</f>
        <v>20190312153858888</v>
      </c>
      <c r="B434" t="str">
        <f>"1552376338876338"</f>
        <v>1552376338876338</v>
      </c>
      <c r="C434" t="s">
        <v>40</v>
      </c>
      <c r="D434">
        <v>4.5129099999999998</v>
      </c>
      <c r="E434">
        <v>0.4904326</v>
      </c>
      <c r="F434" t="s">
        <v>43</v>
      </c>
      <c r="G434">
        <v>-407.77910000000003</v>
      </c>
      <c r="H434">
        <v>-0.05</v>
      </c>
      <c r="I434">
        <v>367.98809999999997</v>
      </c>
      <c r="J434">
        <v>-422.72609999999997</v>
      </c>
      <c r="K434">
        <v>1.0604979999999999</v>
      </c>
      <c r="L434">
        <v>368.05259999999998</v>
      </c>
      <c r="M434">
        <v>0.99988049999999995</v>
      </c>
      <c r="N434">
        <v>0</v>
      </c>
      <c r="O434">
        <v>-3.6587799999999999E-3</v>
      </c>
      <c r="P434">
        <v>0.99825469999999905</v>
      </c>
      <c r="Q434">
        <v>4.9591860000000001E-2</v>
      </c>
      <c r="R434">
        <v>-3.2069510000000002E-2</v>
      </c>
      <c r="S434">
        <v>3.0157470000000002</v>
      </c>
      <c r="T434">
        <v>-0.21971889999999999</v>
      </c>
      <c r="U434">
        <v>-1.2969970000000001E-2</v>
      </c>
      <c r="V434">
        <v>2.8418909999999999E-2</v>
      </c>
      <c r="W434">
        <v>6.4586790000000005E-2</v>
      </c>
      <c r="X434">
        <v>0.99750729999999999</v>
      </c>
      <c r="Y434">
        <v>6.49499E-4</v>
      </c>
      <c r="Z434">
        <v>2.4261470000000001E-4</v>
      </c>
      <c r="AA434">
        <v>0.99999979999999999</v>
      </c>
      <c r="AB434">
        <v>29</v>
      </c>
      <c r="AC434">
        <v>14.9469999999999</v>
      </c>
      <c r="AD434">
        <v>-1.110498</v>
      </c>
      <c r="AE434">
        <v>-6.4500000000009494E-2</v>
      </c>
      <c r="AF434">
        <v>9.7517862988887802E-3</v>
      </c>
      <c r="AG434">
        <v>-1.110498</v>
      </c>
      <c r="AH434">
        <v>14.865084400650201</v>
      </c>
      <c r="AI434">
        <v>94.272351499123204</v>
      </c>
      <c r="AJ434">
        <v>89.962412852666802</v>
      </c>
      <c r="AK434">
        <v>14.9065098243618</v>
      </c>
      <c r="AL434">
        <v>86.296871717425702</v>
      </c>
      <c r="AM434">
        <v>88.368088865531703</v>
      </c>
      <c r="AN434">
        <v>0.99999995072068903</v>
      </c>
    </row>
    <row r="435" spans="1:40" x14ac:dyDescent="0.25">
      <c r="A435" t="str">
        <f>"20190312153858910"</f>
        <v>20190312153858910</v>
      </c>
      <c r="B435" t="str">
        <f>"1552376338896834"</f>
        <v>1552376338896834</v>
      </c>
      <c r="C435" t="s">
        <v>40</v>
      </c>
      <c r="D435">
        <v>4.4845110000000004</v>
      </c>
      <c r="E435">
        <v>0.49018139999999999</v>
      </c>
      <c r="F435" t="s">
        <v>43</v>
      </c>
      <c r="G435">
        <v>-407.29320000000001</v>
      </c>
      <c r="H435">
        <v>-0.05</v>
      </c>
      <c r="I435">
        <v>367.99380000000002</v>
      </c>
      <c r="J435">
        <v>-422.43</v>
      </c>
      <c r="K435">
        <v>1.060505</v>
      </c>
      <c r="L435">
        <v>368.05149999999998</v>
      </c>
      <c r="M435">
        <v>0.99987999999999999</v>
      </c>
      <c r="N435">
        <v>0</v>
      </c>
      <c r="O435">
        <v>-3.6575100000000001E-3</v>
      </c>
      <c r="P435">
        <v>0.99828309999999998</v>
      </c>
      <c r="Q435">
        <v>4.9205840000000001E-2</v>
      </c>
      <c r="R435">
        <v>-3.1783770000000003E-2</v>
      </c>
      <c r="S435">
        <v>3.015625</v>
      </c>
      <c r="T435">
        <v>-0.21699460000000001</v>
      </c>
      <c r="U435">
        <v>-1.147461E-2</v>
      </c>
      <c r="V435">
        <v>2.8134159999999998E-2</v>
      </c>
      <c r="W435">
        <v>6.4237989999999995E-2</v>
      </c>
      <c r="X435">
        <v>0.99753800000000004</v>
      </c>
      <c r="Y435">
        <v>1.5615489999999999E-4</v>
      </c>
      <c r="Z435">
        <v>2.5725980000000003E-4</v>
      </c>
      <c r="AA435">
        <v>0.99999990000000005</v>
      </c>
      <c r="AB435">
        <v>29</v>
      </c>
      <c r="AC435">
        <v>15.1367999999999</v>
      </c>
      <c r="AD435">
        <v>-1.1105049999999901</v>
      </c>
      <c r="AE435">
        <v>-5.7699999999954302E-2</v>
      </c>
      <c r="AF435">
        <v>2.3178672652630402E-3</v>
      </c>
      <c r="AG435">
        <v>-1.1105049999999901</v>
      </c>
      <c r="AH435">
        <v>15.055874804985599</v>
      </c>
      <c r="AI435">
        <v>94.218435624999202</v>
      </c>
      <c r="AJ435">
        <v>89.991179256440205</v>
      </c>
      <c r="AK435">
        <v>15.0967742538244</v>
      </c>
      <c r="AL435">
        <v>86.316898461679102</v>
      </c>
      <c r="AM435">
        <v>88.384481170289106</v>
      </c>
      <c r="AN435">
        <v>1.00000005588107</v>
      </c>
    </row>
    <row r="436" spans="1:40" x14ac:dyDescent="0.25">
      <c r="A436" t="str">
        <f>"20190312153858931"</f>
        <v>20190312153858931</v>
      </c>
      <c r="B436" t="str">
        <f>"1552376338926113"</f>
        <v>1552376338926113</v>
      </c>
      <c r="C436" t="s">
        <v>40</v>
      </c>
      <c r="D436">
        <v>4.4768290000000004</v>
      </c>
      <c r="E436">
        <v>0.48993890000000001</v>
      </c>
      <c r="F436" t="s">
        <v>43</v>
      </c>
      <c r="G436">
        <v>-406.89170000000001</v>
      </c>
      <c r="H436">
        <v>-0.05</v>
      </c>
      <c r="I436">
        <v>368.00869999999998</v>
      </c>
      <c r="J436">
        <v>-422.15480000000002</v>
      </c>
      <c r="K436">
        <v>1.060511</v>
      </c>
      <c r="L436">
        <v>368.05040000000002</v>
      </c>
      <c r="M436">
        <v>0.99987950000000003</v>
      </c>
      <c r="N436">
        <v>0</v>
      </c>
      <c r="O436">
        <v>-3.6562980000000001E-3</v>
      </c>
      <c r="P436">
        <v>0.99828589999999995</v>
      </c>
      <c r="Q436">
        <v>4.9493090000000003E-2</v>
      </c>
      <c r="R436">
        <v>-3.123366E-2</v>
      </c>
      <c r="S436">
        <v>3.0155639999999999</v>
      </c>
      <c r="T436">
        <v>-0.21551919999999999</v>
      </c>
      <c r="U436">
        <v>-8.3007810000000001E-3</v>
      </c>
      <c r="V436">
        <v>2.75853E-2</v>
      </c>
      <c r="W436">
        <v>6.4554909999999993E-2</v>
      </c>
      <c r="X436">
        <v>0.9975328</v>
      </c>
      <c r="Y436">
        <v>-8.9247939999999998E-4</v>
      </c>
      <c r="Z436">
        <v>2.9285900000000002E-4</v>
      </c>
      <c r="AA436">
        <v>0.99999959999999999</v>
      </c>
      <c r="AB436">
        <v>29</v>
      </c>
      <c r="AC436">
        <v>15.2631</v>
      </c>
      <c r="AD436">
        <v>-1.110511</v>
      </c>
      <c r="AE436">
        <v>-4.17000000000484E-2</v>
      </c>
      <c r="AF436">
        <v>-1.40387565668872E-2</v>
      </c>
      <c r="AG436">
        <v>-1.110511</v>
      </c>
      <c r="AH436">
        <v>15.182777800599499</v>
      </c>
      <c r="AI436">
        <v>94.183322943650495</v>
      </c>
      <c r="AJ436">
        <v>90.052978531479596</v>
      </c>
      <c r="AK436">
        <v>15.2233430464594</v>
      </c>
      <c r="AL436">
        <v>86.298702258039896</v>
      </c>
      <c r="AM436">
        <v>88.415973322136907</v>
      </c>
      <c r="AN436">
        <v>0.99999998612851904</v>
      </c>
    </row>
    <row r="437" spans="1:40" x14ac:dyDescent="0.25">
      <c r="A437" t="str">
        <f>"20190312153858953"</f>
        <v>20190312153858953</v>
      </c>
      <c r="B437" t="str">
        <f>"1552376338946610"</f>
        <v>1552376338946610</v>
      </c>
      <c r="C437" t="s">
        <v>40</v>
      </c>
      <c r="D437">
        <v>4.4582269999999999</v>
      </c>
      <c r="E437">
        <v>0.48977920000000003</v>
      </c>
      <c r="F437" t="s">
        <v>43</v>
      </c>
      <c r="G437">
        <v>-406.35539999999997</v>
      </c>
      <c r="H437">
        <v>-0.05</v>
      </c>
      <c r="I437">
        <v>368.02480000000003</v>
      </c>
      <c r="J437">
        <v>-421.87979999999999</v>
      </c>
      <c r="K437">
        <v>1.0605199999999999</v>
      </c>
      <c r="L437">
        <v>368.04939999999999</v>
      </c>
      <c r="M437">
        <v>0.99987910000000002</v>
      </c>
      <c r="N437">
        <v>0</v>
      </c>
      <c r="O437">
        <v>-3.6550520000000002E-3</v>
      </c>
      <c r="P437">
        <v>0.99827449999999995</v>
      </c>
      <c r="Q437">
        <v>4.9898360000000003E-2</v>
      </c>
      <c r="R437">
        <v>-3.09544E-2</v>
      </c>
      <c r="S437">
        <v>3.015533</v>
      </c>
      <c r="T437">
        <v>-0.21195749999999999</v>
      </c>
      <c r="U437">
        <v>-4.8828129999999997E-3</v>
      </c>
      <c r="V437">
        <v>2.730753E-2</v>
      </c>
      <c r="W437">
        <v>6.4983630000000001E-2</v>
      </c>
      <c r="X437">
        <v>0.99751259999999997</v>
      </c>
      <c r="Y437">
        <v>-2.0222500000000002E-3</v>
      </c>
      <c r="Z437">
        <v>3.276032E-4</v>
      </c>
      <c r="AA437">
        <v>0.9999979</v>
      </c>
      <c r="AB437">
        <v>29</v>
      </c>
      <c r="AC437">
        <v>15.5244</v>
      </c>
      <c r="AD437">
        <v>-1.11052</v>
      </c>
      <c r="AE437">
        <v>-2.4599999999963901E-2</v>
      </c>
      <c r="AF437">
        <v>-3.1985463359189302E-2</v>
      </c>
      <c r="AG437">
        <v>-1.11052</v>
      </c>
      <c r="AH437">
        <v>15.445351136916701</v>
      </c>
      <c r="AI437">
        <v>94.112478090312607</v>
      </c>
      <c r="AJ437">
        <v>90.118652494219006</v>
      </c>
      <c r="AK437">
        <v>15.485255873989299</v>
      </c>
      <c r="AL437">
        <v>86.274086702957504</v>
      </c>
      <c r="AM437">
        <v>88.4318839260619</v>
      </c>
      <c r="AN437">
        <v>0.99999998026071801</v>
      </c>
    </row>
    <row r="438" spans="1:40" x14ac:dyDescent="0.25">
      <c r="A438" t="str">
        <f>"20190312153858965"</f>
        <v>20190312153858965</v>
      </c>
      <c r="B438" t="str">
        <f>"1552376338956370"</f>
        <v>1552376338956370</v>
      </c>
      <c r="C438" t="s">
        <v>40</v>
      </c>
      <c r="D438">
        <v>4.4336159999999998</v>
      </c>
      <c r="E438">
        <v>0.48977920000000003</v>
      </c>
      <c r="F438" t="s">
        <v>43</v>
      </c>
      <c r="G438">
        <v>-405.85379999999998</v>
      </c>
      <c r="H438">
        <v>-0.05</v>
      </c>
      <c r="I438">
        <v>368.0335</v>
      </c>
      <c r="J438">
        <v>-421.72059999999999</v>
      </c>
      <c r="K438">
        <v>1.060524</v>
      </c>
      <c r="L438">
        <v>368.04880000000003</v>
      </c>
      <c r="M438">
        <v>0.99987890000000001</v>
      </c>
      <c r="N438">
        <v>0</v>
      </c>
      <c r="O438">
        <v>-3.6543090000000001E-3</v>
      </c>
      <c r="P438">
        <v>0.99825410000000003</v>
      </c>
      <c r="Q438">
        <v>5.040298E-2</v>
      </c>
      <c r="R438">
        <v>-3.0793069999999999E-2</v>
      </c>
      <c r="S438">
        <v>3.015533</v>
      </c>
      <c r="T438">
        <v>-0.2089616</v>
      </c>
      <c r="U438">
        <v>-2.9907229999999998E-3</v>
      </c>
      <c r="V438">
        <v>2.7146960000000001E-2</v>
      </c>
      <c r="W438">
        <v>6.5500359999999994E-2</v>
      </c>
      <c r="X438">
        <v>0.99748320000000001</v>
      </c>
      <c r="Y438">
        <v>-2.647847E-3</v>
      </c>
      <c r="Z438">
        <v>3.445821E-4</v>
      </c>
      <c r="AA438">
        <v>0.99999640000000001</v>
      </c>
      <c r="AB438">
        <v>29</v>
      </c>
      <c r="AC438">
        <v>15.8668</v>
      </c>
      <c r="AD438">
        <v>-1.1105240000000001</v>
      </c>
      <c r="AE438">
        <v>-1.53000000000247E-2</v>
      </c>
      <c r="AF438">
        <v>-4.2480828536875001E-2</v>
      </c>
      <c r="AG438">
        <v>-1.1105240000000001</v>
      </c>
      <c r="AH438">
        <v>15.789403121676299</v>
      </c>
      <c r="AI438">
        <v>94.023173010292695</v>
      </c>
      <c r="AJ438">
        <v>90.154151888694003</v>
      </c>
      <c r="AK438">
        <v>15.8284654693426</v>
      </c>
      <c r="AL438">
        <v>86.244417095155299</v>
      </c>
      <c r="AM438">
        <v>88.441054059643207</v>
      </c>
      <c r="AN438">
        <v>0.99999999443980503</v>
      </c>
    </row>
    <row r="439" spans="1:40" x14ac:dyDescent="0.25">
      <c r="A439" t="str">
        <f>"20190312153858977"</f>
        <v>20190312153858977</v>
      </c>
      <c r="B439" t="str">
        <f>"1552376338966131"</f>
        <v>1552376338966131</v>
      </c>
      <c r="C439" t="s">
        <v>40</v>
      </c>
      <c r="D439">
        <v>4.4470830000000001</v>
      </c>
      <c r="E439">
        <v>0.47556110000000001</v>
      </c>
      <c r="F439" t="s">
        <v>43</v>
      </c>
      <c r="G439">
        <v>-405.57580000000002</v>
      </c>
      <c r="H439">
        <v>-0.05</v>
      </c>
      <c r="I439">
        <v>368.03579999999999</v>
      </c>
      <c r="J439">
        <v>-421.56060000000002</v>
      </c>
      <c r="K439">
        <v>1.06053</v>
      </c>
      <c r="L439">
        <v>368.04820000000001</v>
      </c>
      <c r="M439">
        <v>0.99987879999999996</v>
      </c>
      <c r="N439">
        <v>0</v>
      </c>
      <c r="O439">
        <v>-3.6535589999999998E-3</v>
      </c>
      <c r="P439">
        <v>0.99824069999999998</v>
      </c>
      <c r="Q439">
        <v>5.0790179999999997E-2</v>
      </c>
      <c r="R439">
        <v>-3.0595919999999999E-2</v>
      </c>
      <c r="S439">
        <v>3.015625</v>
      </c>
      <c r="T439">
        <v>-0.20743030000000001</v>
      </c>
      <c r="U439">
        <v>-2.4414060000000001E-3</v>
      </c>
      <c r="V439">
        <v>2.6950439999999999E-2</v>
      </c>
      <c r="W439">
        <v>6.5898620000000005E-2</v>
      </c>
      <c r="X439">
        <v>0.99746230000000002</v>
      </c>
      <c r="Y439">
        <v>-2.8290780000000001E-3</v>
      </c>
      <c r="Z439">
        <v>3.4822679999999998E-4</v>
      </c>
      <c r="AA439">
        <v>0.99999590000000005</v>
      </c>
      <c r="AB439">
        <v>29</v>
      </c>
      <c r="AC439">
        <v>15.9848</v>
      </c>
      <c r="AD439">
        <v>-1.11053</v>
      </c>
      <c r="AE439">
        <v>-1.24000000000137E-2</v>
      </c>
      <c r="AF439">
        <v>-4.5787183106472701E-2</v>
      </c>
      <c r="AG439">
        <v>-1.11053</v>
      </c>
      <c r="AH439">
        <v>15.907956441007901</v>
      </c>
      <c r="AI439">
        <v>93.993307283205894</v>
      </c>
      <c r="AJ439">
        <v>90.164911509100804</v>
      </c>
      <c r="AK439">
        <v>15.946737957213699</v>
      </c>
      <c r="AL439">
        <v>86.221549080488899</v>
      </c>
      <c r="AM439">
        <v>88.452301529114607</v>
      </c>
      <c r="AN439">
        <v>0.99999999712769405</v>
      </c>
    </row>
    <row r="440" spans="1:40" x14ac:dyDescent="0.25">
      <c r="A440" t="str">
        <f>"20190312153858993"</f>
        <v>20190312153858993</v>
      </c>
      <c r="B440" t="str">
        <f>"1552376338986626"</f>
        <v>1552376338986626</v>
      </c>
      <c r="C440" t="s">
        <v>40</v>
      </c>
      <c r="D440">
        <v>4.3766540000000003</v>
      </c>
      <c r="E440">
        <v>0.47309899999999999</v>
      </c>
      <c r="F440" t="s">
        <v>42</v>
      </c>
      <c r="G440">
        <v>-395.29059999999998</v>
      </c>
      <c r="H440" s="1">
        <v>-2.111698E-6</v>
      </c>
      <c r="I440">
        <v>369.00150000000002</v>
      </c>
      <c r="J440">
        <v>-421.36509999999998</v>
      </c>
      <c r="K440">
        <v>1.0605359999999999</v>
      </c>
      <c r="L440">
        <v>368.04750000000001</v>
      </c>
      <c r="M440">
        <v>0.99987870000000001</v>
      </c>
      <c r="N440">
        <v>0</v>
      </c>
      <c r="O440">
        <v>-3.6526919999999999E-3</v>
      </c>
      <c r="P440">
        <v>0.99824029999999997</v>
      </c>
      <c r="Q440">
        <v>5.0995619999999998E-2</v>
      </c>
      <c r="R440">
        <v>-3.0269730000000002E-2</v>
      </c>
      <c r="S440">
        <v>3.0148320000000002</v>
      </c>
      <c r="T440">
        <v>-0.1217095</v>
      </c>
      <c r="U440">
        <v>0.1094055</v>
      </c>
      <c r="V440">
        <v>2.6625079999999999E-2</v>
      </c>
      <c r="W440">
        <v>6.6115590000000002E-2</v>
      </c>
      <c r="X440">
        <v>0.99745669999999997</v>
      </c>
      <c r="Y440">
        <v>-3.9880289999999999E-2</v>
      </c>
      <c r="Z440">
        <v>9.5176699999999996E-4</v>
      </c>
      <c r="AA440">
        <v>0.99920399999999998</v>
      </c>
      <c r="AB440">
        <v>29</v>
      </c>
      <c r="AC440">
        <v>26.0745</v>
      </c>
      <c r="AD440">
        <v>-1.0605381116979999</v>
      </c>
      <c r="AE440">
        <v>0.95400000000000695</v>
      </c>
      <c r="AF440">
        <v>-1.0475160562189201</v>
      </c>
      <c r="AG440">
        <v>-1.0605381116979999</v>
      </c>
      <c r="AH440">
        <v>26.027840028150599</v>
      </c>
      <c r="AI440">
        <v>92.331414857171197</v>
      </c>
      <c r="AJ440">
        <v>92.304681285333501</v>
      </c>
      <c r="AK440">
        <v>26.070490741553002</v>
      </c>
      <c r="AL440">
        <v>86.209090521164001</v>
      </c>
      <c r="AM440">
        <v>88.470968661353695</v>
      </c>
      <c r="AN440">
        <v>1.0000000172504699</v>
      </c>
    </row>
    <row r="441" spans="1:40" x14ac:dyDescent="0.25">
      <c r="A441" t="str">
        <f>"20190312153859008"</f>
        <v>20190312153859008</v>
      </c>
      <c r="B441" t="str">
        <f>"1552376338996386"</f>
        <v>1552376338996386</v>
      </c>
      <c r="C441" t="s">
        <v>40</v>
      </c>
      <c r="D441">
        <v>4.3066120000000003</v>
      </c>
      <c r="E441">
        <v>0.4723521</v>
      </c>
      <c r="F441" t="s">
        <v>42</v>
      </c>
      <c r="G441">
        <v>-390.91199999999998</v>
      </c>
      <c r="H441" s="1">
        <v>-3.9262590000000004E-6</v>
      </c>
      <c r="I441">
        <v>369.3614</v>
      </c>
      <c r="J441">
        <v>-421.17180000000002</v>
      </c>
      <c r="K441">
        <v>1.060541</v>
      </c>
      <c r="L441">
        <v>368.04680000000002</v>
      </c>
      <c r="M441">
        <v>0.99987839999999995</v>
      </c>
      <c r="N441">
        <v>0</v>
      </c>
      <c r="O441">
        <v>-3.651694E-3</v>
      </c>
      <c r="P441">
        <v>0.99823519999999999</v>
      </c>
      <c r="Q441">
        <v>5.1229789999999997E-2</v>
      </c>
      <c r="R441">
        <v>-3.0034970000000001E-2</v>
      </c>
      <c r="S441">
        <v>3.0145870000000001</v>
      </c>
      <c r="T441">
        <v>-0.1049836</v>
      </c>
      <c r="U441">
        <v>0.13006589999999901</v>
      </c>
      <c r="V441">
        <v>2.6391439999999999E-2</v>
      </c>
      <c r="W441">
        <v>6.6359189999999998E-2</v>
      </c>
      <c r="X441">
        <v>0.99744670000000002</v>
      </c>
      <c r="Y441">
        <v>-4.6723359999999999E-2</v>
      </c>
      <c r="Z441">
        <v>9.4004099999999997E-4</v>
      </c>
      <c r="AA441">
        <v>0.9989074</v>
      </c>
      <c r="AB441">
        <v>29</v>
      </c>
      <c r="AC441">
        <v>30.259799999999998</v>
      </c>
      <c r="AD441">
        <v>-1.0605449262590001</v>
      </c>
      <c r="AE441">
        <v>1.31459999999998</v>
      </c>
      <c r="AF441">
        <v>-1.42335836009717</v>
      </c>
      <c r="AG441">
        <v>-1.0605449262590001</v>
      </c>
      <c r="AH441">
        <v>30.217748747294301</v>
      </c>
      <c r="AI441">
        <v>92.007846512758704</v>
      </c>
      <c r="AJ441">
        <v>92.696832029571993</v>
      </c>
      <c r="AK441">
        <v>30.269837196729</v>
      </c>
      <c r="AL441">
        <v>86.195102426635799</v>
      </c>
      <c r="AM441">
        <v>88.4843647201821</v>
      </c>
      <c r="AN441">
        <v>0.99999998477180896</v>
      </c>
    </row>
    <row r="442" spans="1:40" x14ac:dyDescent="0.25">
      <c r="A442" t="str">
        <f>"20190312153859021"</f>
        <v>20190312153859021</v>
      </c>
      <c r="B442" t="str">
        <f>"1552376339016883"</f>
        <v>1552376339016883</v>
      </c>
      <c r="C442" t="s">
        <v>40</v>
      </c>
      <c r="D442">
        <v>4.322978</v>
      </c>
      <c r="E442">
        <v>0.47208749999999999</v>
      </c>
      <c r="F442" t="s">
        <v>42</v>
      </c>
      <c r="G442">
        <v>-392.57769999999999</v>
      </c>
      <c r="H442" s="1">
        <v>-3.2152199999999999E-6</v>
      </c>
      <c r="I442">
        <v>369.34129999999999</v>
      </c>
      <c r="J442">
        <v>-421.00760000000002</v>
      </c>
      <c r="K442">
        <v>1.0605439999999999</v>
      </c>
      <c r="L442">
        <v>368.0462</v>
      </c>
      <c r="M442">
        <v>0.9998783</v>
      </c>
      <c r="N442">
        <v>0</v>
      </c>
      <c r="O442">
        <v>-3.651035E-3</v>
      </c>
      <c r="P442">
        <v>0.99824299999999999</v>
      </c>
      <c r="Q442">
        <v>5.109263E-2</v>
      </c>
      <c r="R442">
        <v>-3.0011860000000001E-2</v>
      </c>
      <c r="S442">
        <v>3.0151669999999999</v>
      </c>
      <c r="T442">
        <v>-0.11183120000000001</v>
      </c>
      <c r="U442">
        <v>0.13650509999999999</v>
      </c>
      <c r="V442">
        <v>2.6368880000000001E-2</v>
      </c>
      <c r="W442">
        <v>6.6230239999999996E-2</v>
      </c>
      <c r="X442">
        <v>0.99745589999999995</v>
      </c>
      <c r="Y442">
        <v>-4.8837890000000002E-2</v>
      </c>
      <c r="Z442">
        <v>1.040231E-3</v>
      </c>
      <c r="AA442">
        <v>0.99880619999999998</v>
      </c>
      <c r="AB442">
        <v>29</v>
      </c>
      <c r="AC442">
        <v>28.4299</v>
      </c>
      <c r="AD442">
        <v>-1.06054721522</v>
      </c>
      <c r="AE442">
        <v>1.2950999999999899</v>
      </c>
      <c r="AF442">
        <v>-1.3969619040865999</v>
      </c>
      <c r="AG442">
        <v>-1.06054721522</v>
      </c>
      <c r="AH442">
        <v>28.385562384364398</v>
      </c>
      <c r="AI442">
        <v>92.137117350411501</v>
      </c>
      <c r="AJ442">
        <v>92.817470900510401</v>
      </c>
      <c r="AK442">
        <v>28.439697868188102</v>
      </c>
      <c r="AL442">
        <v>86.202507131371306</v>
      </c>
      <c r="AM442">
        <v>88.485673676931</v>
      </c>
      <c r="AN442">
        <v>1.0000000174838599</v>
      </c>
    </row>
    <row r="443" spans="1:40" x14ac:dyDescent="0.25">
      <c r="A443" t="str">
        <f>"20190312153859033"</f>
        <v>20190312153859033</v>
      </c>
      <c r="B443" t="str">
        <f>"1552376339026642"</f>
        <v>1552376339026642</v>
      </c>
      <c r="C443" t="s">
        <v>40</v>
      </c>
      <c r="D443">
        <v>4.3255549999999996</v>
      </c>
      <c r="E443">
        <v>0.47213460000000002</v>
      </c>
      <c r="F443" t="s">
        <v>42</v>
      </c>
      <c r="G443">
        <v>-390.71570000000003</v>
      </c>
      <c r="H443" s="1">
        <v>-3.9969760000000002E-6</v>
      </c>
      <c r="I443">
        <v>369.43729999999999</v>
      </c>
      <c r="J443">
        <v>-420.83940000000001</v>
      </c>
      <c r="K443">
        <v>1.0605469999999999</v>
      </c>
      <c r="L443">
        <v>368.04570000000001</v>
      </c>
      <c r="M443">
        <v>0.99987820000000005</v>
      </c>
      <c r="N443">
        <v>0</v>
      </c>
      <c r="O443">
        <v>-3.6502499999999998E-3</v>
      </c>
      <c r="P443">
        <v>0.99824020000000002</v>
      </c>
      <c r="Q443">
        <v>5.1166900000000001E-2</v>
      </c>
      <c r="R443">
        <v>-2.9976349999999999E-2</v>
      </c>
      <c r="S443">
        <v>3.0148320000000002</v>
      </c>
      <c r="T443">
        <v>-0.1055518</v>
      </c>
      <c r="U443">
        <v>0.13845829999999901</v>
      </c>
      <c r="V443">
        <v>2.633431E-2</v>
      </c>
      <c r="W443">
        <v>6.6311140000000005E-2</v>
      </c>
      <c r="X443">
        <v>0.99745139999999999</v>
      </c>
      <c r="Y443">
        <v>-4.949137E-2</v>
      </c>
      <c r="Z443">
        <v>9.9335580000000008E-4</v>
      </c>
      <c r="AA443">
        <v>0.9987741</v>
      </c>
      <c r="AB443">
        <v>29</v>
      </c>
      <c r="AC443">
        <v>30.1236999999999</v>
      </c>
      <c r="AD443">
        <v>-1.0605509969760001</v>
      </c>
      <c r="AE443">
        <v>1.39159999999998</v>
      </c>
      <c r="AF443">
        <v>-1.4997074958444401</v>
      </c>
      <c r="AG443">
        <v>-1.0605509969760001</v>
      </c>
      <c r="AH443">
        <v>30.081212733441799</v>
      </c>
      <c r="AI443">
        <v>92.016695766834601</v>
      </c>
      <c r="AJ443">
        <v>92.854134402501202</v>
      </c>
      <c r="AK443">
        <v>30.137240260263699</v>
      </c>
      <c r="AL443">
        <v>86.197861545209904</v>
      </c>
      <c r="AM443">
        <v>88.487651239253495</v>
      </c>
      <c r="AN443">
        <v>0.99999997926661699</v>
      </c>
    </row>
    <row r="444" spans="1:40" x14ac:dyDescent="0.25">
      <c r="A444" t="str">
        <f>"20190312153859046"</f>
        <v>20190312153859046</v>
      </c>
      <c r="B444" t="str">
        <f>"1552376339036402"</f>
        <v>1552376339036402</v>
      </c>
      <c r="C444" t="s">
        <v>40</v>
      </c>
      <c r="D444">
        <v>4.3387250000000002</v>
      </c>
      <c r="E444">
        <v>0.47206809999999899</v>
      </c>
      <c r="F444" t="s">
        <v>42</v>
      </c>
      <c r="G444">
        <v>-389.94920000000002</v>
      </c>
      <c r="H444" s="1">
        <v>-4.4281189999999999E-8</v>
      </c>
      <c r="I444">
        <v>369.4624</v>
      </c>
      <c r="J444">
        <v>-420.68889999999999</v>
      </c>
      <c r="K444">
        <v>1.0605519999999999</v>
      </c>
      <c r="L444">
        <v>368.04509999999999</v>
      </c>
      <c r="M444">
        <v>0.99987820000000005</v>
      </c>
      <c r="N444">
        <v>0</v>
      </c>
      <c r="O444">
        <v>-3.6495730000000001E-3</v>
      </c>
      <c r="P444">
        <v>0.99825370000000002</v>
      </c>
      <c r="Q444">
        <v>5.0875240000000002E-2</v>
      </c>
      <c r="R444">
        <v>-3.002382E-2</v>
      </c>
      <c r="S444">
        <v>3.0147400000000002</v>
      </c>
      <c r="T444">
        <v>-0.103504399999999</v>
      </c>
      <c r="U444">
        <v>0.13827509999999901</v>
      </c>
      <c r="V444">
        <v>2.6382309999999999E-2</v>
      </c>
      <c r="W444">
        <v>6.602471E-2</v>
      </c>
      <c r="X444">
        <v>0.9974691</v>
      </c>
      <c r="Y444">
        <v>-4.9432839999999999E-2</v>
      </c>
      <c r="Z444">
        <v>9.7310280000000005E-4</v>
      </c>
      <c r="AA444">
        <v>0.99877700000000003</v>
      </c>
      <c r="AB444">
        <v>29</v>
      </c>
      <c r="AC444">
        <v>30.7396999999999</v>
      </c>
      <c r="AD444">
        <v>-1.06055204428119</v>
      </c>
      <c r="AE444">
        <v>1.41730000000001</v>
      </c>
      <c r="AF444">
        <v>-1.52767568713874</v>
      </c>
      <c r="AG444">
        <v>-1.06055204428119</v>
      </c>
      <c r="AH444">
        <v>30.697859253690002</v>
      </c>
      <c r="AI444">
        <v>91.976228445052996</v>
      </c>
      <c r="AJ444">
        <v>92.848968033838204</v>
      </c>
      <c r="AK444">
        <v>30.7541399880254</v>
      </c>
      <c r="AL444">
        <v>86.214308697708503</v>
      </c>
      <c r="AM444">
        <v>88.484922811698695</v>
      </c>
      <c r="AN444">
        <v>0.99999994703316297</v>
      </c>
    </row>
    <row r="445" spans="1:40" x14ac:dyDescent="0.25">
      <c r="A445" t="str">
        <f>"20190312153859066"</f>
        <v>20190312153859066</v>
      </c>
      <c r="B445" t="str">
        <f>"1552376339056901"</f>
        <v>1552376339056901</v>
      </c>
      <c r="C445" t="s">
        <v>40</v>
      </c>
      <c r="D445">
        <v>4.2943980000000002</v>
      </c>
      <c r="E445">
        <v>0.47183039999999998</v>
      </c>
      <c r="F445" t="s">
        <v>42</v>
      </c>
      <c r="G445">
        <v>-389.41289999999998</v>
      </c>
      <c r="H445" s="1">
        <v>-2.5777969999999999E-7</v>
      </c>
      <c r="I445">
        <v>369.48320000000001</v>
      </c>
      <c r="J445">
        <v>-420.43209999999999</v>
      </c>
      <c r="K445">
        <v>1.0605560000000001</v>
      </c>
      <c r="L445">
        <v>368.04419999999999</v>
      </c>
      <c r="M445">
        <v>0.99987800000000004</v>
      </c>
      <c r="N445">
        <v>0</v>
      </c>
      <c r="O445">
        <v>-3.6483179999999998E-3</v>
      </c>
      <c r="P445">
        <v>0.99825969999999997</v>
      </c>
      <c r="Q445">
        <v>5.0707719999999998E-2</v>
      </c>
      <c r="R445">
        <v>-3.0106009999999999E-2</v>
      </c>
      <c r="S445">
        <v>3.0145870000000001</v>
      </c>
      <c r="T445">
        <v>-0.10222290000000001</v>
      </c>
      <c r="U445">
        <v>0.13861080000000001</v>
      </c>
      <c r="V445">
        <v>2.646577E-2</v>
      </c>
      <c r="W445">
        <v>6.5864350000000002E-2</v>
      </c>
      <c r="X445">
        <v>0.99747750000000002</v>
      </c>
      <c r="Y445">
        <v>-4.9545579999999999E-2</v>
      </c>
      <c r="Z445">
        <v>9.6297500000000003E-4</v>
      </c>
      <c r="AA445">
        <v>0.99877139999999998</v>
      </c>
      <c r="AB445">
        <v>29</v>
      </c>
      <c r="AC445">
        <v>31.019200000000001</v>
      </c>
      <c r="AD445">
        <v>-1.0605562577797001</v>
      </c>
      <c r="AE445">
        <v>1.43900000000002</v>
      </c>
      <c r="AF445">
        <v>-1.55036293372028</v>
      </c>
      <c r="AG445">
        <v>-1.0605562577797001</v>
      </c>
      <c r="AH445">
        <v>30.977608610174901</v>
      </c>
      <c r="AI445">
        <v>91.958375896494204</v>
      </c>
      <c r="AJ445">
        <v>92.865140400169693</v>
      </c>
      <c r="AK445">
        <v>31.034507246085798</v>
      </c>
      <c r="AL445">
        <v>86.223516727565993</v>
      </c>
      <c r="AM445">
        <v>88.4801449278728</v>
      </c>
      <c r="AN445">
        <v>0.99999995629443095</v>
      </c>
    </row>
    <row r="446" spans="1:40" x14ac:dyDescent="0.25">
      <c r="A446" t="str">
        <f>"20190312153859079"</f>
        <v>20190312153859079</v>
      </c>
      <c r="B446" t="str">
        <f>"1552376339066658"</f>
        <v>1552376339066658</v>
      </c>
      <c r="C446" t="s">
        <v>40</v>
      </c>
      <c r="D446">
        <v>4.2482749999999996</v>
      </c>
      <c r="E446">
        <v>0.47165030000000002</v>
      </c>
      <c r="F446" t="s">
        <v>42</v>
      </c>
      <c r="G446">
        <v>-387.99720000000002</v>
      </c>
      <c r="H446" s="1">
        <v>-8.5320350000000003E-7</v>
      </c>
      <c r="I446">
        <v>369.55029999999999</v>
      </c>
      <c r="J446">
        <v>-420.27140000000003</v>
      </c>
      <c r="K446">
        <v>1.0605610000000001</v>
      </c>
      <c r="L446">
        <v>368.04360000000003</v>
      </c>
      <c r="M446">
        <v>0.99987800000000004</v>
      </c>
      <c r="N446">
        <v>0</v>
      </c>
      <c r="O446">
        <v>-3.647632E-3</v>
      </c>
      <c r="P446">
        <v>0.99824460000000004</v>
      </c>
      <c r="Q446">
        <v>5.0957500000000003E-2</v>
      </c>
      <c r="R446">
        <v>-3.018914E-2</v>
      </c>
      <c r="S446">
        <v>3.0144959999999998</v>
      </c>
      <c r="T446">
        <v>-9.8567840000000004E-2</v>
      </c>
      <c r="U446">
        <v>0.1399841</v>
      </c>
      <c r="V446">
        <v>2.6549590000000001E-2</v>
      </c>
      <c r="W446">
        <v>6.6117490000000001E-2</v>
      </c>
      <c r="X446">
        <v>0.99745859999999997</v>
      </c>
      <c r="Y446">
        <v>-5.0002209999999998E-2</v>
      </c>
      <c r="Z446">
        <v>9.3601700000000003E-4</v>
      </c>
      <c r="AA446">
        <v>0.99874870000000004</v>
      </c>
      <c r="AB446">
        <v>28</v>
      </c>
      <c r="AC446">
        <v>32.2742</v>
      </c>
      <c r="AD446">
        <v>-1.0605618532034999</v>
      </c>
      <c r="AE446">
        <v>1.50669999999996</v>
      </c>
      <c r="AF446">
        <v>-1.6226795293106899</v>
      </c>
      <c r="AG446">
        <v>-1.0605618532034999</v>
      </c>
      <c r="AH446">
        <v>32.233756986171798</v>
      </c>
      <c r="AI446">
        <v>91.882096376247802</v>
      </c>
      <c r="AJ446">
        <v>92.881893976679294</v>
      </c>
      <c r="AK446">
        <v>32.2919954438076</v>
      </c>
      <c r="AL446">
        <v>86.208981472524798</v>
      </c>
      <c r="AM446">
        <v>88.475304772435905</v>
      </c>
      <c r="AN446">
        <v>1.00000003096351</v>
      </c>
    </row>
    <row r="447" spans="1:40" x14ac:dyDescent="0.25">
      <c r="A447" t="str">
        <f>"20190312153859091"</f>
        <v>20190312153859091</v>
      </c>
      <c r="B447" t="str">
        <f>"1552376339086178"</f>
        <v>1552376339086178</v>
      </c>
      <c r="C447" t="s">
        <v>40</v>
      </c>
      <c r="D447">
        <v>4.2309219999999996</v>
      </c>
      <c r="E447">
        <v>0.4713775</v>
      </c>
      <c r="F447" t="s">
        <v>42</v>
      </c>
      <c r="G447">
        <v>-386.96050000000002</v>
      </c>
      <c r="H447" s="1">
        <v>-1.2884419999999999E-6</v>
      </c>
      <c r="I447">
        <v>369.60390000000001</v>
      </c>
      <c r="J447">
        <v>-420.11649999999997</v>
      </c>
      <c r="K447">
        <v>1.0605629999999999</v>
      </c>
      <c r="L447">
        <v>368.04300000000001</v>
      </c>
      <c r="M447">
        <v>0.99987809999999999</v>
      </c>
      <c r="N447">
        <v>0</v>
      </c>
      <c r="O447">
        <v>-3.6469390000000001E-3</v>
      </c>
      <c r="P447">
        <v>0.99822960000000005</v>
      </c>
      <c r="Q447">
        <v>5.113968E-2</v>
      </c>
      <c r="R447">
        <v>-3.0378180000000001E-2</v>
      </c>
      <c r="S447">
        <v>3.014465</v>
      </c>
      <c r="T447">
        <v>-9.5975160000000004E-2</v>
      </c>
      <c r="U447">
        <v>0.14120479999999899</v>
      </c>
      <c r="V447">
        <v>2.6739249999999999E-2</v>
      </c>
      <c r="W447">
        <v>6.6302570000000005E-2</v>
      </c>
      <c r="X447">
        <v>0.99744120000000003</v>
      </c>
      <c r="Y447">
        <v>-5.0406840000000001E-2</v>
      </c>
      <c r="Z447">
        <v>9.1782389999999999E-4</v>
      </c>
      <c r="AA447">
        <v>0.99872830000000001</v>
      </c>
      <c r="AB447">
        <v>28</v>
      </c>
      <c r="AC447">
        <v>33.155999999999899</v>
      </c>
      <c r="AD447">
        <v>-1.0605642884419999</v>
      </c>
      <c r="AE447">
        <v>1.5609</v>
      </c>
      <c r="AF447">
        <v>-1.6801062237380699</v>
      </c>
      <c r="AG447">
        <v>-1.0605642884419999</v>
      </c>
      <c r="AH447">
        <v>33.116277492173097</v>
      </c>
      <c r="AI447">
        <v>91.8319427382594</v>
      </c>
      <c r="AJ447">
        <v>92.904328026571903</v>
      </c>
      <c r="AK447">
        <v>33.1758253623263</v>
      </c>
      <c r="AL447">
        <v>86.198353666755096</v>
      </c>
      <c r="AM447">
        <v>88.464391361173995</v>
      </c>
      <c r="AN447">
        <v>0.99999998286830305</v>
      </c>
    </row>
    <row r="448" spans="1:40" x14ac:dyDescent="0.25">
      <c r="A448" t="str">
        <f>"20190312153859110"</f>
        <v>20190312153859110</v>
      </c>
      <c r="B448" t="str">
        <f>"1552376339106674"</f>
        <v>1552376339106674</v>
      </c>
      <c r="C448" t="s">
        <v>40</v>
      </c>
      <c r="D448">
        <v>4.2153650000000003</v>
      </c>
      <c r="E448">
        <v>0.47148410000000002</v>
      </c>
      <c r="F448" t="s">
        <v>42</v>
      </c>
      <c r="G448">
        <v>-385.58249999999998</v>
      </c>
      <c r="H448" s="1">
        <v>-1.8939110000000001E-6</v>
      </c>
      <c r="I448">
        <v>369.67809999999997</v>
      </c>
      <c r="J448">
        <v>-419.87900000000002</v>
      </c>
      <c r="K448">
        <v>1.0605549999999999</v>
      </c>
      <c r="L448">
        <v>368.04219999999998</v>
      </c>
      <c r="M448">
        <v>0.99987789999999999</v>
      </c>
      <c r="N448">
        <v>0</v>
      </c>
      <c r="O448">
        <v>-3.6456549999999998E-3</v>
      </c>
      <c r="P448">
        <v>0.99821870000000001</v>
      </c>
      <c r="Q448">
        <v>5.1364809999999997E-2</v>
      </c>
      <c r="R448">
        <v>-3.0351449999999999E-2</v>
      </c>
      <c r="S448">
        <v>3.0144350000000002</v>
      </c>
      <c r="T448">
        <v>-9.2575190000000002E-2</v>
      </c>
      <c r="U448">
        <v>0.14273069999999999</v>
      </c>
      <c r="V448">
        <v>2.671391E-2</v>
      </c>
      <c r="W448">
        <v>6.6530939999999997E-2</v>
      </c>
      <c r="X448">
        <v>0.9974267</v>
      </c>
      <c r="Y448">
        <v>-5.0912109999999997E-2</v>
      </c>
      <c r="Z448">
        <v>8.9303660000000003E-4</v>
      </c>
      <c r="AA448">
        <v>0.9987028</v>
      </c>
      <c r="AB448">
        <v>28</v>
      </c>
      <c r="AC448">
        <v>34.296500000000002</v>
      </c>
      <c r="AD448">
        <v>-1.0605568939109999</v>
      </c>
      <c r="AE448">
        <v>1.6358999999999899</v>
      </c>
      <c r="AF448">
        <v>-1.75925831024543</v>
      </c>
      <c r="AG448">
        <v>-1.0605568939109999</v>
      </c>
      <c r="AH448">
        <v>34.257623161633497</v>
      </c>
      <c r="AI448">
        <v>91.770880045632794</v>
      </c>
      <c r="AJ448">
        <v>92.939772182781297</v>
      </c>
      <c r="AK448">
        <v>34.319156682702399</v>
      </c>
      <c r="AL448">
        <v>86.185240179377004</v>
      </c>
      <c r="AM448">
        <v>88.465823624507095</v>
      </c>
      <c r="AN448">
        <v>1.00000001041883</v>
      </c>
    </row>
    <row r="449" spans="1:40" x14ac:dyDescent="0.25">
      <c r="A449" t="str">
        <f>"20190312153859124"</f>
        <v>20190312153859124</v>
      </c>
      <c r="B449" t="str">
        <f>"1552376339116435"</f>
        <v>1552376339116435</v>
      </c>
      <c r="C449" t="s">
        <v>40</v>
      </c>
      <c r="D449">
        <v>4.1623349999999997</v>
      </c>
      <c r="E449">
        <v>0.47163329999999998</v>
      </c>
      <c r="F449" t="s">
        <v>42</v>
      </c>
      <c r="G449">
        <v>-384.90969999999999</v>
      </c>
      <c r="H449" s="1">
        <v>-2.1850529999999998E-6</v>
      </c>
      <c r="I449">
        <v>369.68770000000001</v>
      </c>
      <c r="J449">
        <v>-419.70699999999999</v>
      </c>
      <c r="K449">
        <v>1.0605579999999999</v>
      </c>
      <c r="L449">
        <v>368.04149999999998</v>
      </c>
      <c r="M449">
        <v>0.99987789999999999</v>
      </c>
      <c r="N449">
        <v>0</v>
      </c>
      <c r="O449">
        <v>-3.6449550000000001E-3</v>
      </c>
      <c r="P449">
        <v>0.99822739999999999</v>
      </c>
      <c r="Q449">
        <v>5.1327539999999998E-2</v>
      </c>
      <c r="R449">
        <v>-3.0121749999999999E-2</v>
      </c>
      <c r="S449">
        <v>3.0143740000000001</v>
      </c>
      <c r="T449">
        <v>-9.142053E-2</v>
      </c>
      <c r="U449">
        <v>0.14184569999999999</v>
      </c>
      <c r="V449">
        <v>2.6485080000000001E-2</v>
      </c>
      <c r="W449">
        <v>6.6495730000000003E-2</v>
      </c>
      <c r="X449">
        <v>0.99743519999999997</v>
      </c>
      <c r="Y449">
        <v>-5.0620560000000002E-2</v>
      </c>
      <c r="Z449">
        <v>8.7748809999999998E-4</v>
      </c>
      <c r="AA449">
        <v>0.99871750000000004</v>
      </c>
      <c r="AB449">
        <v>28</v>
      </c>
      <c r="AC449">
        <v>34.7973</v>
      </c>
      <c r="AD449">
        <v>-1.060560185053</v>
      </c>
      <c r="AE449">
        <v>1.6462000000000201</v>
      </c>
      <c r="AF449">
        <v>-1.7713964843743799</v>
      </c>
      <c r="AG449">
        <v>-1.060560185053</v>
      </c>
      <c r="AH449">
        <v>34.758851593163897</v>
      </c>
      <c r="AI449">
        <v>91.745399811647005</v>
      </c>
      <c r="AJ449">
        <v>92.917409782594405</v>
      </c>
      <c r="AK449">
        <v>34.820114840226502</v>
      </c>
      <c r="AL449">
        <v>86.187262229972404</v>
      </c>
      <c r="AM449">
        <v>88.478972057439705</v>
      </c>
      <c r="AN449">
        <v>1.0000000598849299</v>
      </c>
    </row>
    <row r="450" spans="1:40" x14ac:dyDescent="0.25">
      <c r="A450" t="str">
        <f>"20190312153859137"</f>
        <v>20190312153859137</v>
      </c>
      <c r="B450" t="str">
        <f>"1552376339126194"</f>
        <v>1552376339126194</v>
      </c>
      <c r="C450" t="s">
        <v>40</v>
      </c>
      <c r="D450">
        <v>4.2257290000000003</v>
      </c>
      <c r="E450">
        <v>0.47163329999999998</v>
      </c>
      <c r="F450" t="s">
        <v>42</v>
      </c>
      <c r="G450">
        <v>-384.98680000000002</v>
      </c>
      <c r="H450" s="1">
        <v>-2.1475749999999999E-6</v>
      </c>
      <c r="I450">
        <v>369.67110000000002</v>
      </c>
      <c r="J450">
        <v>-419.52539999999999</v>
      </c>
      <c r="K450">
        <v>1.0605599999999999</v>
      </c>
      <c r="L450">
        <v>368.04090000000002</v>
      </c>
      <c r="M450">
        <v>0.99987789999999999</v>
      </c>
      <c r="N450">
        <v>0</v>
      </c>
      <c r="O450">
        <v>-3.6441329999999999E-3</v>
      </c>
      <c r="P450">
        <v>0.99822339999999998</v>
      </c>
      <c r="Q450">
        <v>5.1292839999999999E-2</v>
      </c>
      <c r="R450">
        <v>-3.031969E-2</v>
      </c>
      <c r="S450">
        <v>3.0143430000000002</v>
      </c>
      <c r="T450">
        <v>-9.2075770000000001E-2</v>
      </c>
      <c r="U450">
        <v>0.14147950000000001</v>
      </c>
      <c r="V450">
        <v>2.6683789999999999E-2</v>
      </c>
      <c r="W450">
        <v>6.6462430000000003E-2</v>
      </c>
      <c r="X450">
        <v>0.99743210000000004</v>
      </c>
      <c r="Y450">
        <v>-5.0498849999999998E-2</v>
      </c>
      <c r="Z450">
        <v>8.8190339999999999E-4</v>
      </c>
      <c r="AA450">
        <v>0.99872369999999999</v>
      </c>
      <c r="AB450">
        <v>28</v>
      </c>
      <c r="AC450">
        <v>34.538599999999903</v>
      </c>
      <c r="AD450">
        <v>-1.060562147575</v>
      </c>
      <c r="AE450">
        <v>1.6302000000000001</v>
      </c>
      <c r="AF450">
        <v>-1.7544164076680699</v>
      </c>
      <c r="AG450">
        <v>-1.060562147575</v>
      </c>
      <c r="AH450">
        <v>34.499971761718101</v>
      </c>
      <c r="AI450">
        <v>91.758501743549203</v>
      </c>
      <c r="AJ450">
        <v>92.911136909906503</v>
      </c>
      <c r="AK450">
        <v>34.560827833830999</v>
      </c>
      <c r="AL450">
        <v>86.189174320843094</v>
      </c>
      <c r="AM450">
        <v>88.467560879455903</v>
      </c>
      <c r="AN450">
        <v>1.0000000366803301</v>
      </c>
    </row>
    <row r="451" spans="1:40" x14ac:dyDescent="0.25">
      <c r="A451" t="str">
        <f>"20190312153859154"</f>
        <v>20190312153859154</v>
      </c>
      <c r="B451" t="str">
        <f>"1552376339146691"</f>
        <v>1552376339146691</v>
      </c>
      <c r="C451" t="s">
        <v>40</v>
      </c>
      <c r="D451">
        <v>4.2379119999999997</v>
      </c>
      <c r="E451">
        <v>0.50325029999999904</v>
      </c>
      <c r="F451" t="s">
        <v>42</v>
      </c>
      <c r="G451">
        <v>-384.83780000000002</v>
      </c>
      <c r="H451" s="1">
        <v>-2.209232E-6</v>
      </c>
      <c r="I451">
        <v>369.6626</v>
      </c>
      <c r="J451">
        <v>-419.31650000000002</v>
      </c>
      <c r="K451">
        <v>1.0605659999999999</v>
      </c>
      <c r="L451">
        <v>368.0401</v>
      </c>
      <c r="M451">
        <v>0.99987789999999999</v>
      </c>
      <c r="N451">
        <v>0</v>
      </c>
      <c r="O451">
        <v>-3.643187E-3</v>
      </c>
      <c r="P451">
        <v>0.99821760000000004</v>
      </c>
      <c r="Q451">
        <v>5.155452E-2</v>
      </c>
      <c r="R451">
        <v>-3.0069430000000001E-2</v>
      </c>
      <c r="S451">
        <v>3.014313</v>
      </c>
      <c r="T451">
        <v>-9.216154E-2</v>
      </c>
      <c r="U451">
        <v>0.14093020000000001</v>
      </c>
      <c r="V451">
        <v>2.64344E-2</v>
      </c>
      <c r="W451">
        <v>6.6725069999999997E-2</v>
      </c>
      <c r="X451">
        <v>0.99742109999999995</v>
      </c>
      <c r="Y451">
        <v>-5.0316819999999998E-2</v>
      </c>
      <c r="Z451">
        <v>8.7992769999999999E-4</v>
      </c>
      <c r="AA451">
        <v>0.99873290000000003</v>
      </c>
      <c r="AB451">
        <v>28</v>
      </c>
      <c r="AC451">
        <v>34.478700000000003</v>
      </c>
      <c r="AD451">
        <v>-1.0605682092319999</v>
      </c>
      <c r="AE451">
        <v>1.6225000000000001</v>
      </c>
      <c r="AF451">
        <v>-1.74646725922992</v>
      </c>
      <c r="AG451">
        <v>-1.0605682092319999</v>
      </c>
      <c r="AH451">
        <v>34.440044772843798</v>
      </c>
      <c r="AI451">
        <v>91.761582430259594</v>
      </c>
      <c r="AJ451">
        <v>92.903003228985099</v>
      </c>
      <c r="AK451">
        <v>34.500603426164602</v>
      </c>
      <c r="AL451">
        <v>86.174092276542197</v>
      </c>
      <c r="AM451">
        <v>88.481859776207202</v>
      </c>
      <c r="AN451">
        <v>0.99999993159753497</v>
      </c>
    </row>
    <row r="452" spans="1:40" x14ac:dyDescent="0.25">
      <c r="A452" t="str">
        <f>"20190312153859167"</f>
        <v>20190312153859167</v>
      </c>
      <c r="B452" t="str">
        <f>"1552376339156450"</f>
        <v>1552376339156450</v>
      </c>
      <c r="C452" t="s">
        <v>40</v>
      </c>
      <c r="D452">
        <v>4.1553610000000001</v>
      </c>
      <c r="E452">
        <v>0.50674719999999995</v>
      </c>
      <c r="F452" t="s">
        <v>42</v>
      </c>
      <c r="G452">
        <v>-372.86380000000003</v>
      </c>
      <c r="H452" s="1">
        <v>-3.627284E-6</v>
      </c>
      <c r="I452">
        <v>366.32650000000001</v>
      </c>
      <c r="J452">
        <v>-419.15940000000001</v>
      </c>
      <c r="K452">
        <v>1.060568</v>
      </c>
      <c r="L452">
        <v>368.03960000000001</v>
      </c>
      <c r="M452">
        <v>0.99987780000000004</v>
      </c>
      <c r="N452">
        <v>0</v>
      </c>
      <c r="O452">
        <v>-3.642115E-3</v>
      </c>
      <c r="P452">
        <v>0.99821599999999999</v>
      </c>
      <c r="Q452">
        <v>5.1687049999999998E-2</v>
      </c>
      <c r="R452">
        <v>-2.9886510000000002E-2</v>
      </c>
      <c r="S452">
        <v>3.0055540000000001</v>
      </c>
      <c r="T452">
        <v>-6.8620200000000006E-2</v>
      </c>
      <c r="U452">
        <v>-0.11087039999999999</v>
      </c>
      <c r="V452">
        <v>2.6252589999999999E-2</v>
      </c>
      <c r="W452">
        <v>6.6857780000000006E-2</v>
      </c>
      <c r="X452">
        <v>0.99741709999999995</v>
      </c>
      <c r="Y452">
        <v>3.3215420000000002E-2</v>
      </c>
      <c r="Z452">
        <v>-2.9587199999999998E-4</v>
      </c>
      <c r="AA452">
        <v>0.99944820000000001</v>
      </c>
      <c r="AB452">
        <v>28</v>
      </c>
      <c r="AC452">
        <v>46.295599999999901</v>
      </c>
      <c r="AD452">
        <v>-1.060571627284</v>
      </c>
      <c r="AE452">
        <v>-1.7130999999999901</v>
      </c>
      <c r="AF452">
        <v>1.5436462372102699</v>
      </c>
      <c r="AG452">
        <v>-1.060571627284</v>
      </c>
      <c r="AH452">
        <v>46.277279416430702</v>
      </c>
      <c r="AI452">
        <v>91.312131646509499</v>
      </c>
      <c r="AJ452">
        <v>88.089523956706699</v>
      </c>
      <c r="AK452">
        <v>46.315162161744098</v>
      </c>
      <c r="AL452">
        <v>86.166471860888194</v>
      </c>
      <c r="AM452">
        <v>88.4922903316412</v>
      </c>
      <c r="AN452">
        <v>1.00000001630032</v>
      </c>
    </row>
    <row r="453" spans="1:40" x14ac:dyDescent="0.25">
      <c r="A453" t="str">
        <f>"20190312153859187"</f>
        <v>20190312153859187</v>
      </c>
      <c r="B453" t="str">
        <f>"1552376339176395"</f>
        <v>1552376339176395</v>
      </c>
      <c r="C453" t="s">
        <v>40</v>
      </c>
      <c r="D453">
        <v>4.0976589999999904</v>
      </c>
      <c r="E453">
        <v>0.51070190000000004</v>
      </c>
      <c r="F453" t="s">
        <v>42</v>
      </c>
      <c r="G453">
        <v>-360.77159999999998</v>
      </c>
      <c r="H453" s="1">
        <v>-4.6984270000000003E-6</v>
      </c>
      <c r="I453">
        <v>365.34780000000001</v>
      </c>
      <c r="J453">
        <v>-418.9033</v>
      </c>
      <c r="K453">
        <v>1.0605690000000001</v>
      </c>
      <c r="L453">
        <v>368.03859999999997</v>
      </c>
      <c r="M453">
        <v>0.99987800000000004</v>
      </c>
      <c r="N453">
        <v>0</v>
      </c>
      <c r="O453">
        <v>-3.6392389999999998E-3</v>
      </c>
      <c r="P453">
        <v>0.9982029</v>
      </c>
      <c r="Q453">
        <v>5.2003599999999997E-2</v>
      </c>
      <c r="R453">
        <v>-2.9784450000000001E-2</v>
      </c>
      <c r="S453">
        <v>3.0040589999999998</v>
      </c>
      <c r="T453">
        <v>-5.4566499999999997E-2</v>
      </c>
      <c r="U453">
        <v>-0.1384888</v>
      </c>
      <c r="V453">
        <v>2.6153269999999999E-2</v>
      </c>
      <c r="W453">
        <v>6.7174189999999995E-2</v>
      </c>
      <c r="X453">
        <v>0.99739840000000002</v>
      </c>
      <c r="Y453">
        <v>4.2409160000000001E-2</v>
      </c>
      <c r="Z453">
        <v>-3.1885970000000003E-4</v>
      </c>
      <c r="AA453">
        <v>0.99910030000000005</v>
      </c>
      <c r="AB453">
        <v>28</v>
      </c>
      <c r="AC453">
        <v>58.131700000000002</v>
      </c>
      <c r="AD453">
        <v>-1.060573698427</v>
      </c>
      <c r="AE453">
        <v>-2.6907999999999599</v>
      </c>
      <c r="AF453">
        <v>2.47837943768761</v>
      </c>
      <c r="AG453">
        <v>-1.060573698427</v>
      </c>
      <c r="AH453">
        <v>58.121803757795</v>
      </c>
      <c r="AI453">
        <v>91.044435970654405</v>
      </c>
      <c r="AJ453">
        <v>87.5583223265253</v>
      </c>
      <c r="AK453">
        <v>58.184286996289501</v>
      </c>
      <c r="AL453">
        <v>86.148301865169302</v>
      </c>
      <c r="AM453">
        <v>88.497963602040002</v>
      </c>
      <c r="AN453">
        <v>0.99999996682820402</v>
      </c>
    </row>
    <row r="454" spans="1:40" x14ac:dyDescent="0.25">
      <c r="A454" t="str">
        <f>"20190312153859199"</f>
        <v>20190312153859199</v>
      </c>
      <c r="B454" t="str">
        <f>"1552376339196892"</f>
        <v>1552376339196892</v>
      </c>
      <c r="C454" t="s">
        <v>40</v>
      </c>
      <c r="D454">
        <v>4.0720340000000004</v>
      </c>
      <c r="E454">
        <v>0.51197979999999998</v>
      </c>
      <c r="F454" t="s">
        <v>42</v>
      </c>
      <c r="G454">
        <v>-344.17869999999999</v>
      </c>
      <c r="H454" s="1">
        <v>-3.7665100000000001E-6</v>
      </c>
      <c r="I454">
        <v>363.80290000000002</v>
      </c>
      <c r="J454">
        <v>-418.74459999999999</v>
      </c>
      <c r="K454">
        <v>1.0605709999999999</v>
      </c>
      <c r="L454">
        <v>368.03800000000001</v>
      </c>
      <c r="M454">
        <v>0.99987800000000004</v>
      </c>
      <c r="N454">
        <v>0</v>
      </c>
      <c r="O454">
        <v>-3.6359970000000002E-3</v>
      </c>
      <c r="P454">
        <v>0.99818989999999996</v>
      </c>
      <c r="Q454">
        <v>5.2127989999999999E-2</v>
      </c>
      <c r="R454">
        <v>-2.9998489999999999E-2</v>
      </c>
      <c r="S454">
        <v>3.0025330000000001</v>
      </c>
      <c r="T454">
        <v>-4.2615180000000003E-2</v>
      </c>
      <c r="U454">
        <v>-0.1701965</v>
      </c>
      <c r="V454">
        <v>2.6370350000000001E-2</v>
      </c>
      <c r="W454">
        <v>6.7298350000000007E-2</v>
      </c>
      <c r="X454">
        <v>0.99738439999999995</v>
      </c>
      <c r="Y454">
        <v>5.2957560000000001E-2</v>
      </c>
      <c r="Z454">
        <v>-3.2392849999999997E-4</v>
      </c>
      <c r="AA454">
        <v>0.9985967</v>
      </c>
      <c r="AB454">
        <v>28</v>
      </c>
      <c r="AC454">
        <v>74.565899999999999</v>
      </c>
      <c r="AD454">
        <v>-1.0605747665099901</v>
      </c>
      <c r="AE454">
        <v>-4.2350999999999797</v>
      </c>
      <c r="AF454">
        <v>3.9631201491295398</v>
      </c>
      <c r="AG454">
        <v>-1.0605747665099901</v>
      </c>
      <c r="AH454">
        <v>74.565771209832405</v>
      </c>
      <c r="AI454">
        <v>90.813734376633604</v>
      </c>
      <c r="AJ454">
        <v>86.957630783511306</v>
      </c>
      <c r="AK454">
        <v>74.678546961419102</v>
      </c>
      <c r="AL454">
        <v>86.141172216771693</v>
      </c>
      <c r="AM454">
        <v>88.485480782522401</v>
      </c>
      <c r="AN454">
        <v>1.0000000523176</v>
      </c>
    </row>
    <row r="455" spans="1:40" x14ac:dyDescent="0.25">
      <c r="A455" t="str">
        <f>"20190312153859212"</f>
        <v>20190312153859212</v>
      </c>
      <c r="B455" t="str">
        <f>"1552376339206652"</f>
        <v>1552376339206652</v>
      </c>
      <c r="C455" t="s">
        <v>40</v>
      </c>
      <c r="D455">
        <v>4.0671710000000001</v>
      </c>
      <c r="E455">
        <v>0.51240759999999996</v>
      </c>
      <c r="F455" t="s">
        <v>42</v>
      </c>
      <c r="G455">
        <v>-334.19170000000003</v>
      </c>
      <c r="H455" s="1">
        <v>-3.7395719999999998E-6</v>
      </c>
      <c r="I455">
        <v>362.93810000000002</v>
      </c>
      <c r="J455">
        <v>-418.58350000000002</v>
      </c>
      <c r="K455">
        <v>1.0605800000000001</v>
      </c>
      <c r="L455">
        <v>368.03750000000002</v>
      </c>
      <c r="M455">
        <v>0.99987800000000004</v>
      </c>
      <c r="N455">
        <v>0</v>
      </c>
      <c r="O455">
        <v>-3.6307129999999998E-3</v>
      </c>
      <c r="P455">
        <v>0.99819599999999997</v>
      </c>
      <c r="Q455">
        <v>5.1974199999999998E-2</v>
      </c>
      <c r="R455">
        <v>-3.005934E-2</v>
      </c>
      <c r="S455">
        <v>3.0019230000000001</v>
      </c>
      <c r="T455">
        <v>-3.765404E-2</v>
      </c>
      <c r="U455">
        <v>-0.18106079999999999</v>
      </c>
      <c r="V455">
        <v>2.6436330000000001E-2</v>
      </c>
      <c r="W455">
        <v>6.7143729999999999E-2</v>
      </c>
      <c r="X455">
        <v>0.99739299999999997</v>
      </c>
      <c r="Y455">
        <v>5.6576439999999999E-2</v>
      </c>
      <c r="Z455">
        <v>-3.089899E-4</v>
      </c>
      <c r="AA455">
        <v>0.99839820000000001</v>
      </c>
      <c r="AB455">
        <v>28</v>
      </c>
      <c r="AC455">
        <v>84.391799999999904</v>
      </c>
      <c r="AD455">
        <v>-1.0605837395719999</v>
      </c>
      <c r="AE455">
        <v>-5.0994000000000002</v>
      </c>
      <c r="AF455">
        <v>4.7921744931329497</v>
      </c>
      <c r="AG455">
        <v>-1.0605837395719999</v>
      </c>
      <c r="AH455">
        <v>84.396479229924793</v>
      </c>
      <c r="AI455">
        <v>90.718822213706204</v>
      </c>
      <c r="AJ455">
        <v>86.750138657015</v>
      </c>
      <c r="AK455">
        <v>84.539076648898899</v>
      </c>
      <c r="AL455">
        <v>86.150051087796498</v>
      </c>
      <c r="AM455">
        <v>88.481706232916807</v>
      </c>
      <c r="AN455">
        <v>0.99999997823558995</v>
      </c>
    </row>
    <row r="456" spans="1:40" x14ac:dyDescent="0.25">
      <c r="A456" t="str">
        <f>"20190312153859225"</f>
        <v>20190312153859225</v>
      </c>
      <c r="B456" t="str">
        <f>"1552376339216412"</f>
        <v>1552376339216412</v>
      </c>
      <c r="C456" t="s">
        <v>40</v>
      </c>
      <c r="D456">
        <v>4.0524509999999996</v>
      </c>
      <c r="E456">
        <v>0.51262159999999901</v>
      </c>
      <c r="F456" t="s">
        <v>42</v>
      </c>
      <c r="G456">
        <v>-330.32769999999999</v>
      </c>
      <c r="H456" s="1">
        <v>-5.374065E-6</v>
      </c>
      <c r="I456">
        <v>362.61259999999999</v>
      </c>
      <c r="J456">
        <v>-418.42520000000002</v>
      </c>
      <c r="K456">
        <v>1.060584</v>
      </c>
      <c r="L456">
        <v>368.0369</v>
      </c>
      <c r="M456">
        <v>0.99987800000000004</v>
      </c>
      <c r="N456">
        <v>0</v>
      </c>
      <c r="O456">
        <v>-3.6227899999999999E-3</v>
      </c>
      <c r="P456">
        <v>0.99819150000000001</v>
      </c>
      <c r="Q456">
        <v>5.1973829999999999E-2</v>
      </c>
      <c r="R456">
        <v>-3.021165E-2</v>
      </c>
      <c r="S456">
        <v>3.00177</v>
      </c>
      <c r="T456">
        <v>-3.6072729999999997E-2</v>
      </c>
      <c r="U456">
        <v>-0.18450929999999999</v>
      </c>
      <c r="V456">
        <v>2.6596120000000001E-2</v>
      </c>
      <c r="W456">
        <v>6.7142779999999999E-2</v>
      </c>
      <c r="X456">
        <v>0.99738879999999996</v>
      </c>
      <c r="Y456">
        <v>5.7730370000000003E-2</v>
      </c>
      <c r="Z456">
        <v>-3.0304110000000002E-4</v>
      </c>
      <c r="AA456">
        <v>0.99833209999999994</v>
      </c>
      <c r="AB456">
        <v>28</v>
      </c>
      <c r="AC456">
        <v>88.097499999999997</v>
      </c>
      <c r="AD456">
        <v>-1.0605893740650001</v>
      </c>
      <c r="AE456">
        <v>-5.4243000000000103</v>
      </c>
      <c r="AF456">
        <v>5.1043318144782699</v>
      </c>
      <c r="AG456">
        <v>-1.0605893740650001</v>
      </c>
      <c r="AH456">
        <v>88.103854177724301</v>
      </c>
      <c r="AI456">
        <v>90.688535684953905</v>
      </c>
      <c r="AJ456">
        <v>86.684252703203597</v>
      </c>
      <c r="AK456">
        <v>88.257963799661596</v>
      </c>
      <c r="AL456">
        <v>86.150105580976899</v>
      </c>
      <c r="AM456">
        <v>88.472527064192306</v>
      </c>
      <c r="AN456">
        <v>0.99999996243530997</v>
      </c>
    </row>
    <row r="457" spans="1:40" x14ac:dyDescent="0.25">
      <c r="A457" t="str">
        <f>"20190312153859243"</f>
        <v>20190312153859243</v>
      </c>
      <c r="B457" t="str">
        <f>"1552376339236908"</f>
        <v>1552376339236908</v>
      </c>
      <c r="C457" t="s">
        <v>40</v>
      </c>
      <c r="D457">
        <v>4.041855</v>
      </c>
      <c r="E457">
        <v>0.51286860000000001</v>
      </c>
      <c r="F457" t="s">
        <v>42</v>
      </c>
      <c r="G457">
        <v>-328.74860000000001</v>
      </c>
      <c r="H457" s="1">
        <v>-2.31614E-6</v>
      </c>
      <c r="I457">
        <v>362.4597</v>
      </c>
      <c r="J457">
        <v>-418.19920000000002</v>
      </c>
      <c r="K457">
        <v>1.060595</v>
      </c>
      <c r="L457">
        <v>368.03609999999998</v>
      </c>
      <c r="M457">
        <v>0.99987809999999999</v>
      </c>
      <c r="N457">
        <v>0</v>
      </c>
      <c r="O457">
        <v>-3.605989E-3</v>
      </c>
      <c r="P457">
        <v>0.99817520000000004</v>
      </c>
      <c r="Q457">
        <v>5.1874669999999998E-2</v>
      </c>
      <c r="R457">
        <v>-3.0912700000000001E-2</v>
      </c>
      <c r="S457">
        <v>3.0016479999999999</v>
      </c>
      <c r="T457">
        <v>-3.549981E-2</v>
      </c>
      <c r="U457">
        <v>-0.18667600000000001</v>
      </c>
      <c r="V457">
        <v>2.7313069999999998E-2</v>
      </c>
      <c r="W457">
        <v>6.7041450000000002E-2</v>
      </c>
      <c r="X457">
        <v>0.99737629999999999</v>
      </c>
      <c r="Y457">
        <v>5.8467579999999998E-2</v>
      </c>
      <c r="Z457">
        <v>-3.0278750000000001E-4</v>
      </c>
      <c r="AA457">
        <v>0.99828930000000005</v>
      </c>
      <c r="AB457">
        <v>28</v>
      </c>
      <c r="AC457">
        <v>89.450599999999994</v>
      </c>
      <c r="AD457">
        <v>-1.06059731614</v>
      </c>
      <c r="AE457">
        <v>-5.5763999999999703</v>
      </c>
      <c r="AF457">
        <v>5.2530329985962796</v>
      </c>
      <c r="AG457">
        <v>-1.06059731614</v>
      </c>
      <c r="AH457">
        <v>89.4576014701384</v>
      </c>
      <c r="AI457">
        <v>90.678091283249103</v>
      </c>
      <c r="AJ457">
        <v>86.639397968759198</v>
      </c>
      <c r="AK457">
        <v>89.617976339244905</v>
      </c>
      <c r="AL457">
        <v>86.155924702319396</v>
      </c>
      <c r="AM457">
        <v>88.431351721431298</v>
      </c>
      <c r="AN457">
        <v>1.0000000218063001</v>
      </c>
    </row>
    <row r="458" spans="1:40" x14ac:dyDescent="0.25">
      <c r="A458" t="str">
        <f>"20190312153859266"</f>
        <v>20190312153859266</v>
      </c>
      <c r="B458" t="str">
        <f>"1552376339256427"</f>
        <v>1552376339256427</v>
      </c>
      <c r="C458" t="s">
        <v>40</v>
      </c>
      <c r="D458">
        <v>4.0562930000000001</v>
      </c>
      <c r="E458">
        <v>0.51304039999999995</v>
      </c>
      <c r="F458" t="s">
        <v>42</v>
      </c>
      <c r="G458">
        <v>-330.0093</v>
      </c>
      <c r="H458" s="1">
        <v>-5.5427009999999997E-6</v>
      </c>
      <c r="I458">
        <v>362.43189999999998</v>
      </c>
      <c r="J458">
        <v>-417.91849999999999</v>
      </c>
      <c r="K458">
        <v>1.0606100000000001</v>
      </c>
      <c r="L458">
        <v>368.0351</v>
      </c>
      <c r="M458">
        <v>0.99987820000000005</v>
      </c>
      <c r="N458">
        <v>0</v>
      </c>
      <c r="O458">
        <v>-3.5722900000000001E-3</v>
      </c>
      <c r="P458">
        <v>0.99815010000000004</v>
      </c>
      <c r="Q458">
        <v>5.1722209999999998E-2</v>
      </c>
      <c r="R458">
        <v>-3.1958250000000001E-2</v>
      </c>
      <c r="S458">
        <v>3.0014949999999998</v>
      </c>
      <c r="T458">
        <v>-3.6096929999999999E-2</v>
      </c>
      <c r="U458">
        <v>-0.19073490000000001</v>
      </c>
      <c r="V458">
        <v>2.8390849999999999E-2</v>
      </c>
      <c r="W458">
        <v>6.688682E-2</v>
      </c>
      <c r="X458">
        <v>0.99735649999999998</v>
      </c>
      <c r="Y458">
        <v>5.9848720000000001E-2</v>
      </c>
      <c r="Z458">
        <v>-3.1658400000000002E-4</v>
      </c>
      <c r="AA458">
        <v>0.99820739999999997</v>
      </c>
      <c r="AB458">
        <v>28</v>
      </c>
      <c r="AC458">
        <v>87.909199999999998</v>
      </c>
      <c r="AD458">
        <v>-1.060615542701</v>
      </c>
      <c r="AE458">
        <v>-5.60320000000001</v>
      </c>
      <c r="AF458">
        <v>5.2883241705438797</v>
      </c>
      <c r="AG458">
        <v>-1.060615542701</v>
      </c>
      <c r="AH458">
        <v>87.915912102621505</v>
      </c>
      <c r="AI458">
        <v>90.689934499583401</v>
      </c>
      <c r="AJ458">
        <v>86.557687955012398</v>
      </c>
      <c r="AK458">
        <v>88.081206160554203</v>
      </c>
      <c r="AL458">
        <v>86.164803956234294</v>
      </c>
      <c r="AM458">
        <v>88.369452928911997</v>
      </c>
      <c r="AN458">
        <v>0.99999993757284</v>
      </c>
    </row>
    <row r="459" spans="1:40" x14ac:dyDescent="0.25">
      <c r="A459" t="str">
        <f>"20190312153859278"</f>
        <v>20190312153859278</v>
      </c>
      <c r="B459" t="str">
        <f>"1552376339266189"</f>
        <v>1552376339266189</v>
      </c>
      <c r="C459" t="s">
        <v>40</v>
      </c>
      <c r="D459">
        <v>4.0187369999999998</v>
      </c>
      <c r="E459">
        <v>0.51319110000000001</v>
      </c>
      <c r="F459" t="s">
        <v>42</v>
      </c>
      <c r="G459">
        <v>-326.65499999999997</v>
      </c>
      <c r="H459" s="1">
        <v>-3.1237470000000001E-6</v>
      </c>
      <c r="I459">
        <v>362.10219999999998</v>
      </c>
      <c r="J459">
        <v>-417.7611</v>
      </c>
      <c r="K459">
        <v>1.0606150000000001</v>
      </c>
      <c r="L459">
        <v>368.03460000000001</v>
      </c>
      <c r="M459">
        <v>0.9998783</v>
      </c>
      <c r="N459">
        <v>0</v>
      </c>
      <c r="O459">
        <v>-3.5478459999999999E-3</v>
      </c>
      <c r="P459">
        <v>0.99812659999999997</v>
      </c>
      <c r="Q459">
        <v>5.1850470000000003E-2</v>
      </c>
      <c r="R459">
        <v>-3.2485819999999999E-2</v>
      </c>
      <c r="S459">
        <v>3.0011290000000002</v>
      </c>
      <c r="T459">
        <v>-3.4877419999999999E-2</v>
      </c>
      <c r="U459">
        <v>-0.19509889999999999</v>
      </c>
      <c r="V459">
        <v>2.8941689999999999E-2</v>
      </c>
      <c r="W459">
        <v>6.7013379999999997E-2</v>
      </c>
      <c r="X459">
        <v>0.9973322</v>
      </c>
      <c r="Y459">
        <v>6.1326480000000003E-2</v>
      </c>
      <c r="Z459">
        <v>-3.1477339999999999E-4</v>
      </c>
      <c r="AA459">
        <v>0.9981177</v>
      </c>
      <c r="AB459">
        <v>28</v>
      </c>
      <c r="AC459">
        <v>91.106099999999998</v>
      </c>
      <c r="AD459">
        <v>-1.06061812374699</v>
      </c>
      <c r="AE459">
        <v>-5.9324000000000296</v>
      </c>
      <c r="AF459">
        <v>5.6083380682177699</v>
      </c>
      <c r="AG459">
        <v>-1.06061812374699</v>
      </c>
      <c r="AH459">
        <v>91.114279917175097</v>
      </c>
      <c r="AI459">
        <v>90.665663167710804</v>
      </c>
      <c r="AJ459">
        <v>86.477728804211196</v>
      </c>
      <c r="AK459">
        <v>91.292882370517702</v>
      </c>
      <c r="AL459">
        <v>86.157536404422004</v>
      </c>
      <c r="AM459">
        <v>88.337794114900205</v>
      </c>
      <c r="AN459">
        <v>0.99999996583795903</v>
      </c>
    </row>
    <row r="460" spans="1:40" x14ac:dyDescent="0.25">
      <c r="A460" t="str">
        <f>"20190312153859298"</f>
        <v>20190312153859298</v>
      </c>
      <c r="B460" t="str">
        <f>"1552376339286687"</f>
        <v>1552376339286687</v>
      </c>
      <c r="C460" t="s">
        <v>40</v>
      </c>
      <c r="D460">
        <v>4.0811729999999997</v>
      </c>
      <c r="E460">
        <v>0.51343490000000003</v>
      </c>
      <c r="F460" t="s">
        <v>42</v>
      </c>
      <c r="G460">
        <v>-321.61869999999999</v>
      </c>
      <c r="H460" s="1">
        <v>-4.9852470000000004E-6</v>
      </c>
      <c r="I460">
        <v>361.6823</v>
      </c>
      <c r="J460">
        <v>-417.51440000000002</v>
      </c>
      <c r="K460">
        <v>1.060627</v>
      </c>
      <c r="L460">
        <v>368.03379999999999</v>
      </c>
      <c r="M460">
        <v>0.9998785</v>
      </c>
      <c r="N460">
        <v>0</v>
      </c>
      <c r="O460">
        <v>-3.4969609999999998E-3</v>
      </c>
      <c r="P460">
        <v>0.9980907</v>
      </c>
      <c r="Q460">
        <v>5.1952779999999997E-2</v>
      </c>
      <c r="R460">
        <v>-3.3408590000000002E-2</v>
      </c>
      <c r="S460">
        <v>3.0008849999999998</v>
      </c>
      <c r="T460">
        <v>-3.3105019999999999E-2</v>
      </c>
      <c r="U460">
        <v>-0.1982727</v>
      </c>
      <c r="V460">
        <v>2.991363E-2</v>
      </c>
      <c r="W460">
        <v>6.71128E-2</v>
      </c>
      <c r="X460">
        <v>0.99729690000000004</v>
      </c>
      <c r="Y460">
        <v>6.243394E-2</v>
      </c>
      <c r="Z460">
        <v>-3.054547E-4</v>
      </c>
      <c r="AA460">
        <v>0.99804910000000002</v>
      </c>
      <c r="AB460">
        <v>28</v>
      </c>
      <c r="AC460">
        <v>95.895700000000005</v>
      </c>
      <c r="AD460">
        <v>-1.0606319852470001</v>
      </c>
      <c r="AE460">
        <v>-6.3514999999999802</v>
      </c>
      <c r="AF460">
        <v>6.0153462942319003</v>
      </c>
      <c r="AG460">
        <v>-1.0606319852470001</v>
      </c>
      <c r="AH460">
        <v>95.905646185479597</v>
      </c>
      <c r="AI460">
        <v>90.632372481742706</v>
      </c>
      <c r="AJ460">
        <v>86.411023983057504</v>
      </c>
      <c r="AK460">
        <v>96.099959945371793</v>
      </c>
      <c r="AL460">
        <v>86.151827452064595</v>
      </c>
      <c r="AM460">
        <v>88.281944895110996</v>
      </c>
      <c r="AN460">
        <v>1.0000000299666101</v>
      </c>
    </row>
    <row r="461" spans="1:40" x14ac:dyDescent="0.25">
      <c r="A461" t="str">
        <f>"20190312153859312"</f>
        <v>20190312153859312</v>
      </c>
      <c r="B461" t="str">
        <f>"1552376339306203"</f>
        <v>1552376339306203</v>
      </c>
      <c r="C461" t="s">
        <v>40</v>
      </c>
      <c r="D461">
        <v>4.0208139999999997</v>
      </c>
      <c r="E461">
        <v>0.51359670000000002</v>
      </c>
      <c r="F461" t="s">
        <v>43</v>
      </c>
      <c r="G461">
        <v>-312.52449999999999</v>
      </c>
      <c r="H461">
        <v>-0.05</v>
      </c>
      <c r="I461">
        <v>360.93819999999999</v>
      </c>
      <c r="J461">
        <v>-417.34500000000003</v>
      </c>
      <c r="K461">
        <v>1.0606359999999999</v>
      </c>
      <c r="L461">
        <v>368.03320000000002</v>
      </c>
      <c r="M461">
        <v>0.99987859999999995</v>
      </c>
      <c r="N461">
        <v>0</v>
      </c>
      <c r="O461">
        <v>-3.4530479999999998E-3</v>
      </c>
      <c r="P461">
        <v>0.99809979999999998</v>
      </c>
      <c r="Q461">
        <v>5.1616229999999999E-2</v>
      </c>
      <c r="R461">
        <v>-3.365634E-2</v>
      </c>
      <c r="S461">
        <v>3.0005799999999998</v>
      </c>
      <c r="T461">
        <v>-3.174138E-2</v>
      </c>
      <c r="U461">
        <v>-0.20278930000000001</v>
      </c>
      <c r="V461">
        <v>3.0203959999999998E-2</v>
      </c>
      <c r="W461">
        <v>6.6775020000000004E-2</v>
      </c>
      <c r="X461">
        <v>0.99731080000000005</v>
      </c>
      <c r="Y461">
        <v>6.3980209999999996E-2</v>
      </c>
      <c r="Z461">
        <v>-3.0152139999999999E-4</v>
      </c>
      <c r="AA461">
        <v>0.99795109999999998</v>
      </c>
      <c r="AB461">
        <v>28</v>
      </c>
      <c r="AC461">
        <v>104.8205</v>
      </c>
      <c r="AD461">
        <v>-1.110636</v>
      </c>
      <c r="AE461">
        <v>-7.0950000000000202</v>
      </c>
      <c r="AF461">
        <v>6.7322133294434403</v>
      </c>
      <c r="AG461">
        <v>-1.110636</v>
      </c>
      <c r="AH461">
        <v>104.832661598276</v>
      </c>
      <c r="AI461">
        <v>90.605742302535305</v>
      </c>
      <c r="AJ461">
        <v>86.325587259015606</v>
      </c>
      <c r="AK461">
        <v>105.054477041277</v>
      </c>
      <c r="AL461">
        <v>86.1712242447135</v>
      </c>
      <c r="AM461">
        <v>88.265304426070998</v>
      </c>
      <c r="AN461">
        <v>1.0000000071461601</v>
      </c>
    </row>
    <row r="462" spans="1:40" x14ac:dyDescent="0.25">
      <c r="A462" t="str">
        <f>"20190312153859333"</f>
        <v>20190312153859333</v>
      </c>
      <c r="B462" t="str">
        <f>"1552376339326701"</f>
        <v>1552376339326701</v>
      </c>
      <c r="C462" t="s">
        <v>40</v>
      </c>
      <c r="D462">
        <v>4.0573480000000002</v>
      </c>
      <c r="E462">
        <v>0.51366820000000002</v>
      </c>
      <c r="F462" t="s">
        <v>43</v>
      </c>
      <c r="G462">
        <v>-307.58539999999999</v>
      </c>
      <c r="H462">
        <v>-0.05</v>
      </c>
      <c r="I462">
        <v>360.53100000000001</v>
      </c>
      <c r="J462">
        <v>-417.08479999999997</v>
      </c>
      <c r="K462">
        <v>1.060643</v>
      </c>
      <c r="L462">
        <v>368.0324</v>
      </c>
      <c r="M462">
        <v>0.99987910000000002</v>
      </c>
      <c r="N462">
        <v>0</v>
      </c>
      <c r="O462">
        <v>-3.3760370000000001E-3</v>
      </c>
      <c r="P462">
        <v>0.99809780000000003</v>
      </c>
      <c r="Q462">
        <v>5.163628E-2</v>
      </c>
      <c r="R462">
        <v>-3.3686279999999999E-2</v>
      </c>
      <c r="S462">
        <v>3.0003660000000001</v>
      </c>
      <c r="T462">
        <v>-3.0360100000000001E-2</v>
      </c>
      <c r="U462">
        <v>-0.20507810000000001</v>
      </c>
      <c r="V462">
        <v>3.0308999999999999E-2</v>
      </c>
      <c r="W462">
        <v>6.6791680000000006E-2</v>
      </c>
      <c r="X462">
        <v>0.99730649999999998</v>
      </c>
      <c r="Y462">
        <v>6.4819840000000004E-2</v>
      </c>
      <c r="Z462">
        <v>-2.9343540000000001E-4</v>
      </c>
      <c r="AA462">
        <v>0.99789689999999998</v>
      </c>
      <c r="AB462">
        <v>28</v>
      </c>
      <c r="AC462">
        <v>109.499399999999</v>
      </c>
      <c r="AD462">
        <v>-1.110643</v>
      </c>
      <c r="AE462">
        <v>-7.5013999999999896</v>
      </c>
      <c r="AF462">
        <v>7.1309104315740504</v>
      </c>
      <c r="AG462">
        <v>-1.110643</v>
      </c>
      <c r="AH462">
        <v>109.512889843484</v>
      </c>
      <c r="AI462">
        <v>90.579826828633202</v>
      </c>
      <c r="AJ462">
        <v>86.274455926566304</v>
      </c>
      <c r="AK462">
        <v>109.750428032548</v>
      </c>
      <c r="AL462">
        <v>86.170267570151793</v>
      </c>
      <c r="AM462">
        <v>88.2592678976049</v>
      </c>
      <c r="AN462">
        <v>1.0000000094702299</v>
      </c>
    </row>
    <row r="463" spans="1:40" x14ac:dyDescent="0.25">
      <c r="A463" t="str">
        <f>"20190312153859355"</f>
        <v>20190312153859355</v>
      </c>
      <c r="B463" t="str">
        <f>"1552376339346219"</f>
        <v>1552376339346219</v>
      </c>
      <c r="C463" t="s">
        <v>40</v>
      </c>
      <c r="D463">
        <v>4.0240090000000004</v>
      </c>
      <c r="E463">
        <v>0.51376670000000002</v>
      </c>
      <c r="F463" t="s">
        <v>43</v>
      </c>
      <c r="G463">
        <v>-298.00170000000003</v>
      </c>
      <c r="H463">
        <v>-0.05</v>
      </c>
      <c r="I463">
        <v>359.86470000000003</v>
      </c>
      <c r="J463">
        <v>-416.79880000000003</v>
      </c>
      <c r="K463">
        <v>1.0606530000000001</v>
      </c>
      <c r="L463">
        <v>368.03149999999999</v>
      </c>
      <c r="M463">
        <v>0.99987950000000003</v>
      </c>
      <c r="N463">
        <v>0</v>
      </c>
      <c r="O463">
        <v>-3.2766240000000001E-3</v>
      </c>
      <c r="P463">
        <v>0.99812500000000004</v>
      </c>
      <c r="Q463">
        <v>5.1377319999999997E-2</v>
      </c>
      <c r="R463">
        <v>-3.3273289999999997E-2</v>
      </c>
      <c r="S463">
        <v>3.0002140000000002</v>
      </c>
      <c r="T463">
        <v>-2.7981880000000001E-2</v>
      </c>
      <c r="U463">
        <v>-0.20577999999999999</v>
      </c>
      <c r="V463">
        <v>2.9993280000000001E-2</v>
      </c>
      <c r="W463">
        <v>6.652951E-2</v>
      </c>
      <c r="X463">
        <v>0.99733360000000004</v>
      </c>
      <c r="Y463">
        <v>6.5155329999999997E-2</v>
      </c>
      <c r="Z463">
        <v>-2.7295070000000002E-4</v>
      </c>
      <c r="AA463">
        <v>0.99787510000000001</v>
      </c>
      <c r="AB463">
        <v>28</v>
      </c>
      <c r="AC463">
        <v>118.7971</v>
      </c>
      <c r="AD463">
        <v>-1.1106529999999999</v>
      </c>
      <c r="AE463">
        <v>-8.1667999999999594</v>
      </c>
      <c r="AF463">
        <v>7.7767813538894899</v>
      </c>
      <c r="AG463">
        <v>-1.1106529999999999</v>
      </c>
      <c r="AH463">
        <v>118.81288854393701</v>
      </c>
      <c r="AI463">
        <v>90.534437046212304</v>
      </c>
      <c r="AJ463">
        <v>86.255102722301103</v>
      </c>
      <c r="AK463">
        <v>119.07230728623099</v>
      </c>
      <c r="AL463">
        <v>86.185322411552605</v>
      </c>
      <c r="AM463">
        <v>88.277436392365303</v>
      </c>
      <c r="AN463">
        <v>1.0000000411174701</v>
      </c>
    </row>
    <row r="464" spans="1:40" x14ac:dyDescent="0.25">
      <c r="A464" t="str">
        <f>"20190312153859378"</f>
        <v>20190312153859378</v>
      </c>
      <c r="B464" t="str">
        <f>"1552376339366719"</f>
        <v>1552376339366719</v>
      </c>
      <c r="C464" t="s">
        <v>40</v>
      </c>
      <c r="D464">
        <v>4.0151510000000004</v>
      </c>
      <c r="E464">
        <v>0.51379849999999905</v>
      </c>
      <c r="F464" t="s">
        <v>43</v>
      </c>
      <c r="G464">
        <v>-294.04140000000001</v>
      </c>
      <c r="H464">
        <v>-0.05</v>
      </c>
      <c r="I464">
        <v>359.6354</v>
      </c>
      <c r="J464">
        <v>-416.53359999999998</v>
      </c>
      <c r="K464">
        <v>1.0606580000000001</v>
      </c>
      <c r="L464">
        <v>368.0308</v>
      </c>
      <c r="M464">
        <v>0.99987979999999999</v>
      </c>
      <c r="N464">
        <v>0</v>
      </c>
      <c r="O464">
        <v>-3.1742900000000002E-3</v>
      </c>
      <c r="P464">
        <v>0.99816850000000001</v>
      </c>
      <c r="Q464">
        <v>5.1030150000000003E-2</v>
      </c>
      <c r="R464">
        <v>-3.2490110000000003E-2</v>
      </c>
      <c r="S464">
        <v>3.0001829999999998</v>
      </c>
      <c r="T464">
        <v>-2.7144310000000001E-2</v>
      </c>
      <c r="U464">
        <v>-0.2052002</v>
      </c>
      <c r="V464">
        <v>2.9311009999999998E-2</v>
      </c>
      <c r="W464">
        <v>6.6179340000000003E-2</v>
      </c>
      <c r="X464">
        <v>0.99737719999999996</v>
      </c>
      <c r="Y464">
        <v>6.5066349999999995E-2</v>
      </c>
      <c r="Z464">
        <v>-2.6530819999999997E-4</v>
      </c>
      <c r="AA464">
        <v>0.99788089999999996</v>
      </c>
      <c r="AB464">
        <v>28</v>
      </c>
      <c r="AC464">
        <v>122.492199999999</v>
      </c>
      <c r="AD464">
        <v>-1.1106579999999999</v>
      </c>
      <c r="AE464">
        <v>-8.3953999999999898</v>
      </c>
      <c r="AF464">
        <v>8.0058320340975193</v>
      </c>
      <c r="AG464">
        <v>-1.1106579999999999</v>
      </c>
      <c r="AH464">
        <v>122.508210483407</v>
      </c>
      <c r="AI464">
        <v>90.518323115094901</v>
      </c>
      <c r="AJ464">
        <v>86.261074359835206</v>
      </c>
      <c r="AK464">
        <v>122.774543548726</v>
      </c>
      <c r="AL464">
        <v>86.205430059368794</v>
      </c>
      <c r="AM464">
        <v>88.316671024044197</v>
      </c>
      <c r="AN464">
        <v>1.0000000597149401</v>
      </c>
    </row>
    <row r="465" spans="1:40" x14ac:dyDescent="0.25">
      <c r="A465" t="str">
        <f>"20190312153859390"</f>
        <v>20190312153859390</v>
      </c>
      <c r="B465" t="str">
        <f>"1552376339376475"</f>
        <v>1552376339376475</v>
      </c>
      <c r="C465" t="s">
        <v>40</v>
      </c>
      <c r="D465">
        <v>4.0403330000000004</v>
      </c>
      <c r="E465">
        <v>0.51383909999999999</v>
      </c>
      <c r="F465" t="s">
        <v>43</v>
      </c>
      <c r="G465">
        <v>-291.17079999999999</v>
      </c>
      <c r="H465">
        <v>-0.05</v>
      </c>
      <c r="I465">
        <v>359.5421</v>
      </c>
      <c r="J465">
        <v>-416.37419999999997</v>
      </c>
      <c r="K465">
        <v>1.060659</v>
      </c>
      <c r="L465">
        <v>368.03030000000001</v>
      </c>
      <c r="M465">
        <v>0.99987999999999999</v>
      </c>
      <c r="N465">
        <v>0</v>
      </c>
      <c r="O465">
        <v>-3.1084149999999998E-3</v>
      </c>
      <c r="P465">
        <v>0.99817319999999998</v>
      </c>
      <c r="Q465">
        <v>5.1209070000000002E-2</v>
      </c>
      <c r="R465">
        <v>-3.2062750000000001E-2</v>
      </c>
      <c r="S465">
        <v>3.0002439999999999</v>
      </c>
      <c r="T465">
        <v>-2.658081E-2</v>
      </c>
      <c r="U465">
        <v>-0.20315549999999999</v>
      </c>
      <c r="V465">
        <v>2.8948789999999999E-2</v>
      </c>
      <c r="W465">
        <v>6.6354899999999994E-2</v>
      </c>
      <c r="X465">
        <v>0.99737609999999999</v>
      </c>
      <c r="Y465">
        <v>6.445389E-2</v>
      </c>
      <c r="Z465">
        <v>-2.5767459999999999E-4</v>
      </c>
      <c r="AA465">
        <v>0.99792060000000005</v>
      </c>
      <c r="AB465">
        <v>28</v>
      </c>
      <c r="AC465">
        <v>125.2034</v>
      </c>
      <c r="AD465">
        <v>-1.1106590000000001</v>
      </c>
      <c r="AE465">
        <v>-8.4882000000000009</v>
      </c>
      <c r="AF465">
        <v>8.0982956759838398</v>
      </c>
      <c r="AG465">
        <v>-1.1106590000000001</v>
      </c>
      <c r="AH465">
        <v>125.219374223667</v>
      </c>
      <c r="AI465">
        <v>90.507123996038004</v>
      </c>
      <c r="AJ465">
        <v>86.299671022213104</v>
      </c>
      <c r="AK465">
        <v>125.485886207321</v>
      </c>
      <c r="AL465">
        <v>86.195348998060794</v>
      </c>
      <c r="AM465">
        <v>88.337459709659797</v>
      </c>
      <c r="AN465">
        <v>1.00000004502384</v>
      </c>
    </row>
    <row r="466" spans="1:40" x14ac:dyDescent="0.25">
      <c r="A466" t="str">
        <f>"20190312153859402"</f>
        <v>20190312153859402</v>
      </c>
      <c r="B466" t="str">
        <f>"1552376339396974"</f>
        <v>1552376339396974</v>
      </c>
      <c r="C466" t="s">
        <v>40</v>
      </c>
      <c r="D466">
        <v>4.0290489999999997</v>
      </c>
      <c r="E466">
        <v>0.51383219999999996</v>
      </c>
      <c r="F466" t="s">
        <v>43</v>
      </c>
      <c r="G466">
        <v>-283.60629999999998</v>
      </c>
      <c r="H466">
        <v>-0.05</v>
      </c>
      <c r="I466">
        <v>359.07</v>
      </c>
      <c r="J466">
        <v>-416.22359999999998</v>
      </c>
      <c r="K466">
        <v>1.060662</v>
      </c>
      <c r="L466">
        <v>368.03</v>
      </c>
      <c r="M466">
        <v>0.9998804</v>
      </c>
      <c r="N466">
        <v>0</v>
      </c>
      <c r="O466">
        <v>-3.0452949999999999E-3</v>
      </c>
      <c r="P466">
        <v>0.99819400000000003</v>
      </c>
      <c r="Q466">
        <v>5.0949790000000002E-2</v>
      </c>
      <c r="R466">
        <v>-3.1828189999999999E-2</v>
      </c>
      <c r="S466">
        <v>3.0002749999999998</v>
      </c>
      <c r="T466">
        <v>-2.5098559999999999E-2</v>
      </c>
      <c r="U466">
        <v>-0.2024841</v>
      </c>
      <c r="V466">
        <v>2.8776900000000001E-2</v>
      </c>
      <c r="W466">
        <v>6.609371E-2</v>
      </c>
      <c r="X466">
        <v>0.99739840000000002</v>
      </c>
      <c r="Y466">
        <v>6.4294169999999998E-2</v>
      </c>
      <c r="Z466">
        <v>-2.4316569999999999E-4</v>
      </c>
      <c r="AA466">
        <v>0.99793089999999995</v>
      </c>
      <c r="AB466">
        <v>28</v>
      </c>
      <c r="AC466">
        <v>132.6173</v>
      </c>
      <c r="AD466">
        <v>-1.110662</v>
      </c>
      <c r="AE466">
        <v>-8.9599999999999795</v>
      </c>
      <c r="AF466">
        <v>8.5554558592968704</v>
      </c>
      <c r="AG466">
        <v>-1.110662</v>
      </c>
      <c r="AH466">
        <v>132.63471322597201</v>
      </c>
      <c r="AI466">
        <v>90.478779572539494</v>
      </c>
      <c r="AJ466">
        <v>86.309311962012401</v>
      </c>
      <c r="AK466">
        <v>132.91499745165899</v>
      </c>
      <c r="AL466">
        <v>86.2103469431934</v>
      </c>
      <c r="AM466">
        <v>88.347362858605706</v>
      </c>
      <c r="AN466">
        <v>1.0000000283988599</v>
      </c>
    </row>
    <row r="467" spans="1:40" x14ac:dyDescent="0.25">
      <c r="A467" t="str">
        <f>"20190312153859415"</f>
        <v>20190312153859415</v>
      </c>
      <c r="B467" t="str">
        <f>"1552376339406732"</f>
        <v>1552376339406732</v>
      </c>
      <c r="C467" t="s">
        <v>40</v>
      </c>
      <c r="D467">
        <v>4.0251130000000002</v>
      </c>
      <c r="E467">
        <v>0.51385630000000004</v>
      </c>
      <c r="F467" t="s">
        <v>43</v>
      </c>
      <c r="G467">
        <v>-276.40469999999999</v>
      </c>
      <c r="H467">
        <v>-0.05</v>
      </c>
      <c r="I467">
        <v>358.62060000000002</v>
      </c>
      <c r="J467">
        <v>-416.06569999999999</v>
      </c>
      <c r="K467">
        <v>1.0606690000000001</v>
      </c>
      <c r="L467">
        <v>368.02949999999998</v>
      </c>
      <c r="M467">
        <v>0.99988060000000001</v>
      </c>
      <c r="N467">
        <v>0</v>
      </c>
      <c r="O467">
        <v>-2.9777750000000002E-3</v>
      </c>
      <c r="P467">
        <v>0.9982105</v>
      </c>
      <c r="Q467">
        <v>5.0763120000000002E-2</v>
      </c>
      <c r="R467">
        <v>-3.1605660000000001E-2</v>
      </c>
      <c r="S467">
        <v>3.0002140000000002</v>
      </c>
      <c r="T467">
        <v>-2.383244E-2</v>
      </c>
      <c r="U467">
        <v>-0.20190430000000001</v>
      </c>
      <c r="V467">
        <v>2.862166E-2</v>
      </c>
      <c r="W467">
        <v>6.5904320000000002E-2</v>
      </c>
      <c r="X467">
        <v>0.99741539999999995</v>
      </c>
      <c r="Y467">
        <v>6.4171149999999996E-2</v>
      </c>
      <c r="Z467">
        <v>-2.3095320000000001E-4</v>
      </c>
      <c r="AA467">
        <v>0.99793889999999996</v>
      </c>
      <c r="AB467">
        <v>28</v>
      </c>
      <c r="AC467">
        <v>139.661</v>
      </c>
      <c r="AD467">
        <v>-1.1106689999999999</v>
      </c>
      <c r="AE467">
        <v>-9.4088999999999601</v>
      </c>
      <c r="AF467">
        <v>8.9923652803998895</v>
      </c>
      <c r="AG467">
        <v>-1.1106689999999999</v>
      </c>
      <c r="AH467">
        <v>139.679607490113</v>
      </c>
      <c r="AI467">
        <v>90.454639363290795</v>
      </c>
      <c r="AJ467">
        <v>86.316466277323002</v>
      </c>
      <c r="AK467">
        <v>139.973172313682</v>
      </c>
      <c r="AL467">
        <v>86.221221905498595</v>
      </c>
      <c r="AM467">
        <v>88.356301278944201</v>
      </c>
      <c r="AN467">
        <v>1.0000000294864799</v>
      </c>
    </row>
    <row r="468" spans="1:40" x14ac:dyDescent="0.25">
      <c r="A468" t="str">
        <f>"20190312153859433"</f>
        <v>20190312153859433</v>
      </c>
      <c r="B468" t="str">
        <f>"1552376339426252"</f>
        <v>1552376339426252</v>
      </c>
      <c r="C468" t="s">
        <v>40</v>
      </c>
      <c r="D468">
        <v>4.068244</v>
      </c>
      <c r="E468">
        <v>0.51389149999999995</v>
      </c>
      <c r="F468" t="s">
        <v>43</v>
      </c>
      <c r="G468">
        <v>-272.14109999999999</v>
      </c>
      <c r="H468">
        <v>-0.05</v>
      </c>
      <c r="I468">
        <v>358.3775</v>
      </c>
      <c r="J468">
        <v>-415.84980000000002</v>
      </c>
      <c r="K468">
        <v>1.06067</v>
      </c>
      <c r="L468">
        <v>368.029</v>
      </c>
      <c r="M468">
        <v>0.99988089999999996</v>
      </c>
      <c r="N468">
        <v>0</v>
      </c>
      <c r="O468">
        <v>-2.8836769999999999E-3</v>
      </c>
      <c r="P468">
        <v>0.99821689999999996</v>
      </c>
      <c r="Q468">
        <v>5.0488449999999997E-2</v>
      </c>
      <c r="R468">
        <v>-3.1839619999999999E-2</v>
      </c>
      <c r="S468">
        <v>3.0002140000000002</v>
      </c>
      <c r="T468">
        <v>-2.315271E-2</v>
      </c>
      <c r="U468">
        <v>-0.2012024</v>
      </c>
      <c r="V468">
        <v>2.8949430000000002E-2</v>
      </c>
      <c r="W468">
        <v>6.5625500000000003E-2</v>
      </c>
      <c r="X468">
        <v>0.99742430000000004</v>
      </c>
      <c r="Y468">
        <v>6.4032759999999994E-2</v>
      </c>
      <c r="Z468">
        <v>-2.2456010000000001E-4</v>
      </c>
      <c r="AA468">
        <v>0.99794780000000005</v>
      </c>
      <c r="AB468">
        <v>28</v>
      </c>
      <c r="AC468">
        <v>143.70869999999999</v>
      </c>
      <c r="AD468">
        <v>-1.11067</v>
      </c>
      <c r="AE468">
        <v>-9.6515000000000004</v>
      </c>
      <c r="AF468">
        <v>9.2364535198031597</v>
      </c>
      <c r="AG468">
        <v>-1.11067</v>
      </c>
      <c r="AH468">
        <v>143.727390843433</v>
      </c>
      <c r="AI468">
        <v>90.441839552347801</v>
      </c>
      <c r="AJ468">
        <v>86.323017575905496</v>
      </c>
      <c r="AK468">
        <v>144.028151901402</v>
      </c>
      <c r="AL468">
        <v>86.237231681053402</v>
      </c>
      <c r="AM468">
        <v>88.337503272902495</v>
      </c>
      <c r="AN468">
        <v>1.0000000049890301</v>
      </c>
    </row>
    <row r="469" spans="1:40" x14ac:dyDescent="0.25">
      <c r="A469" t="str">
        <f>"20190312153859446"</f>
        <v>20190312153859446</v>
      </c>
      <c r="B469" t="str">
        <f>"1552376339436012"</f>
        <v>1552376339436012</v>
      </c>
      <c r="C469" t="s">
        <v>40</v>
      </c>
      <c r="D469">
        <v>4.0443720000000001</v>
      </c>
      <c r="E469">
        <v>0.51390659999999999</v>
      </c>
      <c r="F469" t="s">
        <v>43</v>
      </c>
      <c r="G469">
        <v>-270.28429999999997</v>
      </c>
      <c r="H469">
        <v>-0.05</v>
      </c>
      <c r="I469">
        <v>358.22059999999999</v>
      </c>
      <c r="J469">
        <v>-415.6798</v>
      </c>
      <c r="K469">
        <v>1.0606679999999999</v>
      </c>
      <c r="L469">
        <v>368.02859999999998</v>
      </c>
      <c r="M469">
        <v>0.99988120000000003</v>
      </c>
      <c r="N469">
        <v>0</v>
      </c>
      <c r="O469">
        <v>-2.8097410000000001E-3</v>
      </c>
      <c r="P469">
        <v>0.99822040000000001</v>
      </c>
      <c r="Q469">
        <v>5.0306740000000003E-2</v>
      </c>
      <c r="R469">
        <v>-3.202406E-2</v>
      </c>
      <c r="S469">
        <v>3.0000610000000001</v>
      </c>
      <c r="T469">
        <v>-2.2890569999999999E-2</v>
      </c>
      <c r="U469">
        <v>-0.20214840000000001</v>
      </c>
      <c r="V469">
        <v>2.92077E-2</v>
      </c>
      <c r="W469">
        <v>6.5440419999999999E-2</v>
      </c>
      <c r="X469">
        <v>0.99742900000000001</v>
      </c>
      <c r="Y469">
        <v>6.4423250000000001E-2</v>
      </c>
      <c r="Z469">
        <v>-2.2407819999999999E-4</v>
      </c>
      <c r="AA469">
        <v>0.99792270000000005</v>
      </c>
      <c r="AB469">
        <v>28</v>
      </c>
      <c r="AC469">
        <v>145.3955</v>
      </c>
      <c r="AD469">
        <v>-1.110668</v>
      </c>
      <c r="AE469">
        <v>-9.8079999999999892</v>
      </c>
      <c r="AF469">
        <v>9.3988446822468692</v>
      </c>
      <c r="AG469">
        <v>-1.110668</v>
      </c>
      <c r="AH469">
        <v>145.414040075342</v>
      </c>
      <c r="AI469">
        <v>90.436703685143499</v>
      </c>
      <c r="AJ469">
        <v>86.301828273653996</v>
      </c>
      <c r="AK469">
        <v>145.72170365391801</v>
      </c>
      <c r="AL469">
        <v>86.247859087915003</v>
      </c>
      <c r="AM469">
        <v>88.322687777082507</v>
      </c>
      <c r="AN469">
        <v>1.0000000741750299</v>
      </c>
    </row>
    <row r="470" spans="1:40" x14ac:dyDescent="0.25">
      <c r="A470" t="str">
        <f>"20190312153859460"</f>
        <v>20190312153859460</v>
      </c>
      <c r="B470" t="str">
        <f>"1552376339446749"</f>
        <v>1552376339446749</v>
      </c>
      <c r="C470" t="s">
        <v>40</v>
      </c>
      <c r="D470">
        <v>4.0370670000000004</v>
      </c>
      <c r="E470">
        <v>0.51394200000000001</v>
      </c>
      <c r="F470" t="s">
        <v>43</v>
      </c>
      <c r="G470">
        <v>-268.4273</v>
      </c>
      <c r="H470">
        <v>-0.05</v>
      </c>
      <c r="I470">
        <v>358.06740000000002</v>
      </c>
      <c r="J470">
        <v>-415.52449999999999</v>
      </c>
      <c r="K470">
        <v>1.0606679999999999</v>
      </c>
      <c r="L470">
        <v>368.02820000000003</v>
      </c>
      <c r="M470">
        <v>0.99988149999999998</v>
      </c>
      <c r="N470">
        <v>0</v>
      </c>
      <c r="O470">
        <v>-2.742127E-3</v>
      </c>
      <c r="P470">
        <v>0.99821850000000001</v>
      </c>
      <c r="Q470">
        <v>5.0364730000000003E-2</v>
      </c>
      <c r="R470">
        <v>-3.1993470000000003E-2</v>
      </c>
      <c r="S470">
        <v>3</v>
      </c>
      <c r="T470">
        <v>-2.2627830000000002E-2</v>
      </c>
      <c r="U470">
        <v>-0.20294190000000001</v>
      </c>
      <c r="V470">
        <v>2.9244349999999999E-2</v>
      </c>
      <c r="W470">
        <v>6.5495129999999999E-2</v>
      </c>
      <c r="X470">
        <v>0.99742419999999998</v>
      </c>
      <c r="Y470">
        <v>6.4754839999999994E-2</v>
      </c>
      <c r="Z470">
        <v>-2.232673E-4</v>
      </c>
      <c r="AA470">
        <v>0.99790120000000004</v>
      </c>
      <c r="AB470">
        <v>27</v>
      </c>
      <c r="AC470">
        <v>147.09719999999999</v>
      </c>
      <c r="AD470">
        <v>-1.110668</v>
      </c>
      <c r="AE470">
        <v>-9.9608000000000008</v>
      </c>
      <c r="AF470">
        <v>9.5568146940113508</v>
      </c>
      <c r="AG470">
        <v>-1.110668</v>
      </c>
      <c r="AH470">
        <v>147.115614808819</v>
      </c>
      <c r="AI470">
        <v>90.431643771848499</v>
      </c>
      <c r="AJ470">
        <v>86.283216723928604</v>
      </c>
      <c r="AK470">
        <v>147.42988303284599</v>
      </c>
      <c r="AL470">
        <v>86.244717189941895</v>
      </c>
      <c r="AM470">
        <v>88.320576202643394</v>
      </c>
      <c r="AN470">
        <v>0.99999993940313703</v>
      </c>
    </row>
    <row r="471" spans="1:40" x14ac:dyDescent="0.25">
      <c r="A471" t="str">
        <f>"20190312153859477"</f>
        <v>20190312153859477</v>
      </c>
      <c r="B471" t="str">
        <f>"1552376339466267"</f>
        <v>1552376339466267</v>
      </c>
      <c r="C471" t="s">
        <v>40</v>
      </c>
      <c r="D471">
        <v>4.0292079999999997</v>
      </c>
      <c r="E471">
        <v>0.51398859999999902</v>
      </c>
      <c r="F471" t="s">
        <v>42</v>
      </c>
      <c r="G471">
        <v>-278.11040000000003</v>
      </c>
      <c r="H471">
        <v>7.998595E-2</v>
      </c>
      <c r="I471">
        <v>358.72809999999998</v>
      </c>
      <c r="J471">
        <v>-415.29849999999999</v>
      </c>
      <c r="K471">
        <v>1.060673</v>
      </c>
      <c r="L471">
        <v>368.02769999999998</v>
      </c>
      <c r="M471">
        <v>0.99988160000000004</v>
      </c>
      <c r="N471">
        <v>0</v>
      </c>
      <c r="O471">
        <v>-2.6442229999999998E-3</v>
      </c>
      <c r="P471">
        <v>0.99821970000000004</v>
      </c>
      <c r="Q471">
        <v>4.9962619999999999E-2</v>
      </c>
      <c r="R471">
        <v>-3.2574140000000001E-2</v>
      </c>
      <c r="S471">
        <v>2.9999389999999999</v>
      </c>
      <c r="T471">
        <v>-2.1409629999999999E-2</v>
      </c>
      <c r="U471">
        <v>-0.2030334</v>
      </c>
      <c r="V471">
        <v>2.9923089999999999E-2</v>
      </c>
      <c r="W471">
        <v>6.5088300000000002E-2</v>
      </c>
      <c r="X471">
        <v>0.9974307</v>
      </c>
      <c r="Y471">
        <v>6.4884419999999998E-2</v>
      </c>
      <c r="Z471">
        <v>-2.1241160000000001E-4</v>
      </c>
      <c r="AA471">
        <v>0.99789269999999997</v>
      </c>
      <c r="AB471">
        <v>27</v>
      </c>
      <c r="AC471">
        <v>137.188099999999</v>
      </c>
      <c r="AD471">
        <v>-0.98068705</v>
      </c>
      <c r="AE471">
        <v>-9.2995999999999892</v>
      </c>
      <c r="AF471">
        <v>8.9363153009487899</v>
      </c>
      <c r="AG471">
        <v>-0.98068705</v>
      </c>
      <c r="AH471">
        <v>137.20523409544401</v>
      </c>
      <c r="AI471">
        <v>90.408654069949506</v>
      </c>
      <c r="AJ471">
        <v>86.273531422895203</v>
      </c>
      <c r="AK471">
        <v>137.499439058615</v>
      </c>
      <c r="AL471">
        <v>86.268076678659696</v>
      </c>
      <c r="AM471">
        <v>88.281632299144505</v>
      </c>
      <c r="AN471">
        <v>0.99999993970726198</v>
      </c>
    </row>
    <row r="472" spans="1:40" x14ac:dyDescent="0.25">
      <c r="A472" t="str">
        <f>"20190312153859491"</f>
        <v>20190312153859491</v>
      </c>
      <c r="B472" t="str">
        <f>"1552376339486764"</f>
        <v>1552376339486764</v>
      </c>
      <c r="C472" t="s">
        <v>40</v>
      </c>
      <c r="D472">
        <v>4.0332189999999999</v>
      </c>
      <c r="E472">
        <v>0.51401009999999903</v>
      </c>
      <c r="F472" t="s">
        <v>42</v>
      </c>
      <c r="G472">
        <v>-278.53620000000001</v>
      </c>
      <c r="H472">
        <v>7.9985819999999999E-2</v>
      </c>
      <c r="I472">
        <v>358.6764</v>
      </c>
      <c r="J472">
        <v>-415.12959999999998</v>
      </c>
      <c r="K472">
        <v>1.060675</v>
      </c>
      <c r="L472">
        <v>368.02730000000003</v>
      </c>
      <c r="M472">
        <v>0.99988200000000005</v>
      </c>
      <c r="N472">
        <v>0</v>
      </c>
      <c r="O472">
        <v>-2.5720769999999999E-3</v>
      </c>
      <c r="P472">
        <v>0.99821130000000002</v>
      </c>
      <c r="Q472">
        <v>5.0117420000000003E-2</v>
      </c>
      <c r="R472">
        <v>-3.2597960000000002E-2</v>
      </c>
      <c r="S472">
        <v>2.9997250000000002</v>
      </c>
      <c r="T472">
        <v>-2.151024E-2</v>
      </c>
      <c r="U472">
        <v>-0.2051086</v>
      </c>
      <c r="V472">
        <v>3.0018670000000001E-2</v>
      </c>
      <c r="W472">
        <v>6.5240099999999995E-2</v>
      </c>
      <c r="X472">
        <v>0.99741800000000003</v>
      </c>
      <c r="Y472">
        <v>6.5648319999999996E-2</v>
      </c>
      <c r="Z472">
        <v>-2.166723E-4</v>
      </c>
      <c r="AA472">
        <v>0.99784280000000003</v>
      </c>
      <c r="AB472">
        <v>27</v>
      </c>
      <c r="AC472">
        <v>136.59339999999901</v>
      </c>
      <c r="AD472">
        <v>-0.98068918000000005</v>
      </c>
      <c r="AE472">
        <v>-9.3509000000000206</v>
      </c>
      <c r="AF472">
        <v>8.9990383108200902</v>
      </c>
      <c r="AG472">
        <v>-0.98068918000000005</v>
      </c>
      <c r="AH472">
        <v>136.60999308007101</v>
      </c>
      <c r="AI472">
        <v>90.410415613084893</v>
      </c>
      <c r="AJ472">
        <v>86.231146528758202</v>
      </c>
      <c r="AK472">
        <v>136.90958568020099</v>
      </c>
      <c r="AL472">
        <v>86.2593609876985</v>
      </c>
      <c r="AM472">
        <v>88.276124878371306</v>
      </c>
      <c r="AN472">
        <v>1.00000002896028</v>
      </c>
    </row>
    <row r="473" spans="1:40" x14ac:dyDescent="0.25">
      <c r="A473" t="str">
        <f>"20190312153859512"</f>
        <v>20190312153859512</v>
      </c>
      <c r="B473" t="str">
        <f>"1552376339506284"</f>
        <v>1552376339506284</v>
      </c>
      <c r="C473" t="s">
        <v>40</v>
      </c>
      <c r="D473">
        <v>4.0516059999999996</v>
      </c>
      <c r="E473">
        <v>0.51405670000000003</v>
      </c>
      <c r="F473" t="s">
        <v>42</v>
      </c>
      <c r="G473">
        <v>-268.34269999999998</v>
      </c>
      <c r="H473">
        <v>7.9985909999999993E-2</v>
      </c>
      <c r="I473">
        <v>357.9785</v>
      </c>
      <c r="J473">
        <v>-414.88959999999997</v>
      </c>
      <c r="K473">
        <v>1.060678</v>
      </c>
      <c r="L473">
        <v>368.02690000000001</v>
      </c>
      <c r="M473">
        <v>0.9998823</v>
      </c>
      <c r="N473">
        <v>0</v>
      </c>
      <c r="O473">
        <v>-2.4700030000000001E-3</v>
      </c>
      <c r="P473">
        <v>0.99819049999999998</v>
      </c>
      <c r="Q473">
        <v>5.0287190000000002E-2</v>
      </c>
      <c r="R473">
        <v>-3.2973210000000003E-2</v>
      </c>
      <c r="S473">
        <v>2.9996640000000001</v>
      </c>
      <c r="T473">
        <v>-2.0040869999999999E-2</v>
      </c>
      <c r="U473">
        <v>-0.2053528</v>
      </c>
      <c r="V473">
        <v>3.049605E-2</v>
      </c>
      <c r="W473">
        <v>6.5404249999999997E-2</v>
      </c>
      <c r="X473">
        <v>0.99739270000000002</v>
      </c>
      <c r="Y473">
        <v>6.583261E-2</v>
      </c>
      <c r="Z473">
        <v>-2.0317140000000001E-4</v>
      </c>
      <c r="AA473">
        <v>0.99783069999999896</v>
      </c>
      <c r="AB473">
        <v>27</v>
      </c>
      <c r="AC473">
        <v>146.54689999999999</v>
      </c>
      <c r="AD473">
        <v>-0.98069209000000002</v>
      </c>
      <c r="AE473">
        <v>-10.048400000000001</v>
      </c>
      <c r="AF473">
        <v>9.6859248197483794</v>
      </c>
      <c r="AG473">
        <v>-0.98069209000000002</v>
      </c>
      <c r="AH473">
        <v>146.56474240827399</v>
      </c>
      <c r="AI473">
        <v>90.382536639452397</v>
      </c>
      <c r="AJ473">
        <v>86.219030584606301</v>
      </c>
      <c r="AK473">
        <v>146.887721113076</v>
      </c>
      <c r="AL473">
        <v>86.249935502240206</v>
      </c>
      <c r="AM473">
        <v>88.248683031603505</v>
      </c>
      <c r="AN473">
        <v>0.99999996149847603</v>
      </c>
    </row>
    <row r="474" spans="1:40" x14ac:dyDescent="0.25">
      <c r="A474" t="str">
        <f>"20190312153859526"</f>
        <v>20190312153859526</v>
      </c>
      <c r="B474" t="str">
        <f>"1552376339516045"</f>
        <v>1552376339516045</v>
      </c>
      <c r="C474" t="s">
        <v>40</v>
      </c>
      <c r="D474">
        <v>4.044206</v>
      </c>
      <c r="E474">
        <v>0.51407119999999995</v>
      </c>
      <c r="F474" t="s">
        <v>42</v>
      </c>
      <c r="G474">
        <v>-256.67070000000001</v>
      </c>
      <c r="H474">
        <v>7.9986459999999995E-2</v>
      </c>
      <c r="I474">
        <v>357.11279999999999</v>
      </c>
      <c r="J474">
        <v>-414.70780000000002</v>
      </c>
      <c r="K474">
        <v>1.060681</v>
      </c>
      <c r="L474">
        <v>368.0265</v>
      </c>
      <c r="M474">
        <v>0.99988259999999995</v>
      </c>
      <c r="N474">
        <v>0</v>
      </c>
      <c r="O474">
        <v>-2.393325E-3</v>
      </c>
      <c r="P474">
        <v>0.99818300000000004</v>
      </c>
      <c r="Q474">
        <v>5.0462890000000003E-2</v>
      </c>
      <c r="R474">
        <v>-3.2929140000000003E-2</v>
      </c>
      <c r="S474">
        <v>2.9995419999999999</v>
      </c>
      <c r="T474">
        <v>-1.859212E-2</v>
      </c>
      <c r="U474">
        <v>-0.20690919999999999</v>
      </c>
      <c r="V474">
        <v>3.0528329999999999E-2</v>
      </c>
      <c r="W474">
        <v>6.5576019999999999E-2</v>
      </c>
      <c r="X474">
        <v>0.9973805</v>
      </c>
      <c r="Y474">
        <v>6.6427379999999994E-2</v>
      </c>
      <c r="Z474">
        <v>-1.9080449999999999E-4</v>
      </c>
      <c r="AA474">
        <v>0.99779119999999999</v>
      </c>
      <c r="AB474">
        <v>27</v>
      </c>
      <c r="AC474">
        <v>158.03710000000001</v>
      </c>
      <c r="AD474">
        <v>-0.98069454</v>
      </c>
      <c r="AE474">
        <v>-10.9137</v>
      </c>
      <c r="AF474">
        <v>10.5349875129618</v>
      </c>
      <c r="AG474">
        <v>-0.98069454</v>
      </c>
      <c r="AH474">
        <v>158.05671276226499</v>
      </c>
      <c r="AI474">
        <v>90.354711544485994</v>
      </c>
      <c r="AJ474">
        <v>86.186692676520394</v>
      </c>
      <c r="AK474">
        <v>158.41045474618201</v>
      </c>
      <c r="AL474">
        <v>86.240072881085098</v>
      </c>
      <c r="AM474">
        <v>88.246808991349596</v>
      </c>
      <c r="AN474">
        <v>1.00000002755593</v>
      </c>
    </row>
    <row r="475" spans="1:40" x14ac:dyDescent="0.25">
      <c r="A475" t="str">
        <f>"20190312153859548"</f>
        <v>20190312153859548</v>
      </c>
      <c r="B475" t="str">
        <f>"1552376339536540"</f>
        <v>1552376339536540</v>
      </c>
      <c r="C475" t="s">
        <v>40</v>
      </c>
      <c r="D475">
        <v>4.0544880000000001</v>
      </c>
      <c r="E475">
        <v>0.51411249999999997</v>
      </c>
      <c r="F475" t="s">
        <v>42</v>
      </c>
      <c r="G475">
        <v>-247.8175</v>
      </c>
      <c r="H475">
        <v>7.998603E-2</v>
      </c>
      <c r="I475">
        <v>356.50220000000002</v>
      </c>
      <c r="J475">
        <v>-414.4529</v>
      </c>
      <c r="K475">
        <v>1.0606799999999901</v>
      </c>
      <c r="L475">
        <v>368.02589999999998</v>
      </c>
      <c r="M475">
        <v>0.99988279999999996</v>
      </c>
      <c r="N475">
        <v>0</v>
      </c>
      <c r="O475">
        <v>-2.2868329999999998E-3</v>
      </c>
      <c r="P475">
        <v>0.99815810000000005</v>
      </c>
      <c r="Q475">
        <v>5.0866599999999998E-2</v>
      </c>
      <c r="R475">
        <v>-3.3056629999999997E-2</v>
      </c>
      <c r="S475">
        <v>2.9994809999999998</v>
      </c>
      <c r="T475">
        <v>-1.7625809999999999E-2</v>
      </c>
      <c r="U475">
        <v>-0.2071228</v>
      </c>
      <c r="V475">
        <v>3.0762399999999999E-2</v>
      </c>
      <c r="W475">
        <v>6.5973320000000002E-2</v>
      </c>
      <c r="X475">
        <v>0.99734710000000004</v>
      </c>
      <c r="Y475">
        <v>6.6605899999999996E-2</v>
      </c>
      <c r="Z475">
        <v>-1.8204000000000001E-4</v>
      </c>
      <c r="AA475">
        <v>0.99777939999999998</v>
      </c>
      <c r="AB475">
        <v>27</v>
      </c>
      <c r="AC475">
        <v>166.6354</v>
      </c>
      <c r="AD475">
        <v>-0.98069396999999903</v>
      </c>
      <c r="AE475">
        <v>-11.5236999999999</v>
      </c>
      <c r="AF475">
        <v>11.142174771897499</v>
      </c>
      <c r="AG475">
        <v>-0.98069396999999903</v>
      </c>
      <c r="AH475">
        <v>166.655575107262</v>
      </c>
      <c r="AI475">
        <v>90.336405301385298</v>
      </c>
      <c r="AJ475">
        <v>86.175039856067201</v>
      </c>
      <c r="AK475">
        <v>167.03050779316499</v>
      </c>
      <c r="AL475">
        <v>86.217259842142198</v>
      </c>
      <c r="AM475">
        <v>88.233316103127606</v>
      </c>
      <c r="AN475">
        <v>1.0000000210419899</v>
      </c>
    </row>
    <row r="476" spans="1:40" x14ac:dyDescent="0.25">
      <c r="A476" t="str">
        <f>"20190312153859567"</f>
        <v>20190312153859567</v>
      </c>
      <c r="B476" t="str">
        <f>"1552376339556060"</f>
        <v>1552376339556060</v>
      </c>
      <c r="C476" t="s">
        <v>40</v>
      </c>
      <c r="D476">
        <v>4.1016440000000003</v>
      </c>
      <c r="E476">
        <v>0.51412879999999905</v>
      </c>
      <c r="F476" t="s">
        <v>42</v>
      </c>
      <c r="G476">
        <v>-230.68360000000001</v>
      </c>
      <c r="H476">
        <v>7.9986810000000005E-2</v>
      </c>
      <c r="I476">
        <v>355.30610000000001</v>
      </c>
      <c r="J476">
        <v>-414.2115</v>
      </c>
      <c r="K476">
        <v>1.0606799999999901</v>
      </c>
      <c r="L476">
        <v>368.02550000000002</v>
      </c>
      <c r="M476">
        <v>0.99988330000000003</v>
      </c>
      <c r="N476">
        <v>0</v>
      </c>
      <c r="O476">
        <v>-2.185953E-3</v>
      </c>
      <c r="P476">
        <v>0.99814610000000004</v>
      </c>
      <c r="Q476">
        <v>5.1002430000000001E-2</v>
      </c>
      <c r="R476">
        <v>-3.3219390000000001E-2</v>
      </c>
      <c r="S476">
        <v>2.9994510000000001</v>
      </c>
      <c r="T476">
        <v>-1.600671E-2</v>
      </c>
      <c r="U476">
        <v>-0.20761109999999999</v>
      </c>
      <c r="V476">
        <v>3.1025609999999999E-2</v>
      </c>
      <c r="W476">
        <v>6.6103679999999998E-2</v>
      </c>
      <c r="X476">
        <v>0.9973303</v>
      </c>
      <c r="Y476">
        <v>6.6869090000000006E-2</v>
      </c>
      <c r="Z476">
        <v>-1.66558E-4</v>
      </c>
      <c r="AA476">
        <v>0.99776169999999997</v>
      </c>
      <c r="AB476">
        <v>27</v>
      </c>
      <c r="AC476">
        <v>183.52789999999999</v>
      </c>
      <c r="AD476">
        <v>-0.98069318999999999</v>
      </c>
      <c r="AE476">
        <v>-12.7194</v>
      </c>
      <c r="AF476">
        <v>12.3177903385857</v>
      </c>
      <c r="AG476">
        <v>-0.98069318999999999</v>
      </c>
      <c r="AH476">
        <v>183.55005262779699</v>
      </c>
      <c r="AI476">
        <v>90.305436843598002</v>
      </c>
      <c r="AJ476">
        <v>86.160716013076595</v>
      </c>
      <c r="AK476">
        <v>183.965517251536</v>
      </c>
      <c r="AL476">
        <v>86.209774367819094</v>
      </c>
      <c r="AM476">
        <v>88.218179666888702</v>
      </c>
      <c r="AN476">
        <v>1.00000000614175</v>
      </c>
    </row>
    <row r="477" spans="1:40" x14ac:dyDescent="0.25">
      <c r="A477" t="str">
        <f>"20190312153859581"</f>
        <v>20190312153859581</v>
      </c>
      <c r="B477" t="str">
        <f>"1552376339576555"</f>
        <v>1552376339576555</v>
      </c>
      <c r="C477" t="s">
        <v>40</v>
      </c>
      <c r="D477">
        <v>4.0855670000000002</v>
      </c>
      <c r="E477">
        <v>0.51416709999999999</v>
      </c>
      <c r="F477" t="s">
        <v>43</v>
      </c>
      <c r="G477">
        <v>-194.2457</v>
      </c>
      <c r="H477">
        <v>-0.05</v>
      </c>
      <c r="I477">
        <v>352.75319999999999</v>
      </c>
      <c r="J477">
        <v>-414.04910000000001</v>
      </c>
      <c r="K477">
        <v>1.060681</v>
      </c>
      <c r="L477">
        <v>368.02530000000002</v>
      </c>
      <c r="M477">
        <v>0.99988350000000004</v>
      </c>
      <c r="N477">
        <v>0</v>
      </c>
      <c r="O477">
        <v>-2.117748E-3</v>
      </c>
      <c r="P477">
        <v>0.99815109999999996</v>
      </c>
      <c r="Q477">
        <v>5.0864050000000001E-2</v>
      </c>
      <c r="R477">
        <v>-3.328793E-2</v>
      </c>
      <c r="S477">
        <v>2.9994200000000002</v>
      </c>
      <c r="T477">
        <v>-1.514506E-2</v>
      </c>
      <c r="U477">
        <v>-0.20825199999999999</v>
      </c>
      <c r="V477">
        <v>3.11623E-2</v>
      </c>
      <c r="W477">
        <v>6.5961899999999907E-2</v>
      </c>
      <c r="X477">
        <v>0.99733539999999998</v>
      </c>
      <c r="Y477">
        <v>6.7150100000000004E-2</v>
      </c>
      <c r="Z477">
        <v>-1.586453E-4</v>
      </c>
      <c r="AA477">
        <v>0.99774289999999999</v>
      </c>
      <c r="AB477">
        <v>27</v>
      </c>
      <c r="AC477">
        <v>219.80340000000001</v>
      </c>
      <c r="AD477">
        <v>-1.110681</v>
      </c>
      <c r="AE477">
        <v>-15.2721</v>
      </c>
      <c r="AF477">
        <v>14.806148107230801</v>
      </c>
      <c r="AG477">
        <v>-1.110681</v>
      </c>
      <c r="AH477">
        <v>219.82966710084199</v>
      </c>
      <c r="AI477">
        <v>90.288827907835099</v>
      </c>
      <c r="AJ477">
        <v>86.146787190359802</v>
      </c>
      <c r="AK477">
        <v>220.330520291048</v>
      </c>
      <c r="AL477">
        <v>86.217915435285093</v>
      </c>
      <c r="AM477">
        <v>88.210343713678796</v>
      </c>
      <c r="AN477">
        <v>0.99999998064302897</v>
      </c>
    </row>
    <row r="478" spans="1:40" x14ac:dyDescent="0.25">
      <c r="A478" t="str">
        <f>"20190312153859595"</f>
        <v>20190312153859595</v>
      </c>
      <c r="B478" t="str">
        <f>"1552376339586315"</f>
        <v>1552376339586315</v>
      </c>
      <c r="C478" t="s">
        <v>40</v>
      </c>
      <c r="D478">
        <v>4.0970300000000002</v>
      </c>
      <c r="E478">
        <v>0.51416930000000005</v>
      </c>
      <c r="F478" t="s">
        <v>49</v>
      </c>
      <c r="G478">
        <v>-199.68289999999999</v>
      </c>
      <c r="H478" s="1">
        <v>-4.3544960000000003E-6</v>
      </c>
      <c r="I478">
        <v>353.10860000000002</v>
      </c>
      <c r="J478">
        <v>-413.87939999999998</v>
      </c>
      <c r="K478">
        <v>1.060681</v>
      </c>
      <c r="L478">
        <v>368.02499999999998</v>
      </c>
      <c r="M478">
        <v>0.99988370000000004</v>
      </c>
      <c r="N478">
        <v>0</v>
      </c>
      <c r="O478">
        <v>-2.046679E-3</v>
      </c>
      <c r="P478">
        <v>0.99815299999999996</v>
      </c>
      <c r="Q478">
        <v>5.0821779999999997E-2</v>
      </c>
      <c r="R478">
        <v>-3.3289880000000001E-2</v>
      </c>
      <c r="S478">
        <v>2.9993590000000001</v>
      </c>
      <c r="T478">
        <v>-1.4840839999999999E-2</v>
      </c>
      <c r="U478">
        <v>-0.2087097</v>
      </c>
      <c r="V478">
        <v>3.1235280000000001E-2</v>
      </c>
      <c r="W478">
        <v>6.5915730000000006E-2</v>
      </c>
      <c r="X478">
        <v>0.99733620000000001</v>
      </c>
      <c r="Y478">
        <v>6.7374000000000003E-2</v>
      </c>
      <c r="Z478">
        <v>-1.5636550000000001E-4</v>
      </c>
      <c r="AA478">
        <v>0.99772780000000005</v>
      </c>
      <c r="AB478">
        <v>27</v>
      </c>
      <c r="AC478">
        <v>214.19649999999999</v>
      </c>
      <c r="AD478">
        <v>-1.060685354496</v>
      </c>
      <c r="AE478">
        <v>-14.9163999999999</v>
      </c>
      <c r="AF478">
        <v>14.477573900838401</v>
      </c>
      <c r="AG478">
        <v>-1.060685354496</v>
      </c>
      <c r="AH478">
        <v>214.22135614983699</v>
      </c>
      <c r="AI478">
        <v>90.283043622683195</v>
      </c>
      <c r="AJ478">
        <v>86.133698043585994</v>
      </c>
      <c r="AK478">
        <v>214.71263267481601</v>
      </c>
      <c r="AL478">
        <v>86.220566666099998</v>
      </c>
      <c r="AM478">
        <v>88.206156632781202</v>
      </c>
      <c r="AN478">
        <v>1.0000000110042699</v>
      </c>
    </row>
    <row r="479" spans="1:40" x14ac:dyDescent="0.25">
      <c r="A479" t="str">
        <f>"20190312153859611"</f>
        <v>20190312153859611</v>
      </c>
      <c r="B479" t="str">
        <f>"1552376339606812"</f>
        <v>1552376339606812</v>
      </c>
      <c r="C479" t="s">
        <v>40</v>
      </c>
      <c r="D479">
        <v>4.0499229999999997</v>
      </c>
      <c r="E479">
        <v>0.51418809999999904</v>
      </c>
      <c r="F479" t="s">
        <v>49</v>
      </c>
      <c r="G479">
        <v>-195.9051</v>
      </c>
      <c r="H479" s="1">
        <v>-3.3913949999999999E-6</v>
      </c>
      <c r="I479">
        <v>352.85930000000002</v>
      </c>
      <c r="J479">
        <v>-413.67570000000001</v>
      </c>
      <c r="K479">
        <v>1.060676</v>
      </c>
      <c r="L479">
        <v>368.0247</v>
      </c>
      <c r="M479">
        <v>0.99988379999999999</v>
      </c>
      <c r="N479">
        <v>0</v>
      </c>
      <c r="O479">
        <v>-1.9612990000000001E-3</v>
      </c>
      <c r="P479">
        <v>0.99817100000000003</v>
      </c>
      <c r="Q479">
        <v>5.0469239999999999E-2</v>
      </c>
      <c r="R479">
        <v>-3.3279009999999998E-2</v>
      </c>
      <c r="S479">
        <v>2.9993289999999999</v>
      </c>
      <c r="T479">
        <v>-1.459503E-2</v>
      </c>
      <c r="U479">
        <v>-0.20867920000000001</v>
      </c>
      <c r="V479">
        <v>3.1309700000000003E-2</v>
      </c>
      <c r="W479">
        <v>6.5558899999999906E-2</v>
      </c>
      <c r="X479">
        <v>0.99735739999999995</v>
      </c>
      <c r="Y479">
        <v>6.7449830000000002E-2</v>
      </c>
      <c r="Z479">
        <v>-1.5437649999999999E-4</v>
      </c>
      <c r="AA479">
        <v>0.99772260000000002</v>
      </c>
      <c r="AB479">
        <v>27</v>
      </c>
      <c r="AC479">
        <v>217.7706</v>
      </c>
      <c r="AD479">
        <v>-1.0606793913949999</v>
      </c>
      <c r="AE479">
        <v>-15.165399999999901</v>
      </c>
      <c r="AF479">
        <v>14.737860811391799</v>
      </c>
      <c r="AG479">
        <v>-1.0606793913949999</v>
      </c>
      <c r="AH479">
        <v>217.79478652704299</v>
      </c>
      <c r="AI479">
        <v>90.278396525359398</v>
      </c>
      <c r="AJ479">
        <v>86.128778403850205</v>
      </c>
      <c r="AK479">
        <v>218.295438844763</v>
      </c>
      <c r="AL479">
        <v>86.241055890536302</v>
      </c>
      <c r="AM479">
        <v>88.201923687545005</v>
      </c>
      <c r="AN479">
        <v>1.00000002500902</v>
      </c>
    </row>
    <row r="480" spans="1:40" x14ac:dyDescent="0.25">
      <c r="A480" t="str">
        <f>"20190312153859625"</f>
        <v>20190312153859625</v>
      </c>
      <c r="B480" t="str">
        <f>"1552376339616573"</f>
        <v>1552376339616573</v>
      </c>
      <c r="C480" t="s">
        <v>40</v>
      </c>
      <c r="D480">
        <v>4.0909769999999996</v>
      </c>
      <c r="E480">
        <v>0.51421530000000004</v>
      </c>
      <c r="F480" t="s">
        <v>43</v>
      </c>
      <c r="G480">
        <v>-194.30840000000001</v>
      </c>
      <c r="H480">
        <v>-0.05</v>
      </c>
      <c r="I480">
        <v>352.74189999999999</v>
      </c>
      <c r="J480">
        <v>-413.51569999999998</v>
      </c>
      <c r="K480">
        <v>1.060673</v>
      </c>
      <c r="L480">
        <v>368.02440000000001</v>
      </c>
      <c r="M480">
        <v>0.99988410000000005</v>
      </c>
      <c r="N480">
        <v>0</v>
      </c>
      <c r="O480">
        <v>-1.8942849999999999E-3</v>
      </c>
      <c r="P480">
        <v>0.99818720000000005</v>
      </c>
      <c r="Q480">
        <v>5.0196570000000003E-2</v>
      </c>
      <c r="R480">
        <v>-3.3208870000000001E-2</v>
      </c>
      <c r="S480">
        <v>2.999298</v>
      </c>
      <c r="T480">
        <v>-1.518571E-2</v>
      </c>
      <c r="U480">
        <v>-0.2089539</v>
      </c>
      <c r="V480">
        <v>3.130674E-2</v>
      </c>
      <c r="W480">
        <v>6.5282439999999997E-2</v>
      </c>
      <c r="X480">
        <v>0.99737560000000003</v>
      </c>
      <c r="Y480">
        <v>6.760824E-2</v>
      </c>
      <c r="Z480">
        <v>-1.613648E-4</v>
      </c>
      <c r="AA480">
        <v>0.99771200000000004</v>
      </c>
      <c r="AB480">
        <v>27</v>
      </c>
      <c r="AC480">
        <v>219.2073</v>
      </c>
      <c r="AD480">
        <v>-1.110673</v>
      </c>
      <c r="AE480">
        <v>-15.282500000000001</v>
      </c>
      <c r="AF480">
        <v>14.866804270582</v>
      </c>
      <c r="AG480">
        <v>-1.110673</v>
      </c>
      <c r="AH480">
        <v>219.230258440386</v>
      </c>
      <c r="AI480">
        <v>90.289606528930193</v>
      </c>
      <c r="AJ480">
        <v>86.120503588443995</v>
      </c>
      <c r="AK480">
        <v>219.73657337724001</v>
      </c>
      <c r="AL480">
        <v>86.256929786632597</v>
      </c>
      <c r="AM480">
        <v>88.202126351481297</v>
      </c>
      <c r="AN480">
        <v>0.99999999820857</v>
      </c>
    </row>
    <row r="481" spans="1:40" x14ac:dyDescent="0.25">
      <c r="A481" t="str">
        <f>"20190312153859638"</f>
        <v>20190312153859638</v>
      </c>
      <c r="B481" t="str">
        <f>"1552376339626332"</f>
        <v>1552376339626332</v>
      </c>
      <c r="C481" t="s">
        <v>40</v>
      </c>
      <c r="D481">
        <v>4.102824</v>
      </c>
      <c r="E481">
        <v>0.51423479999999999</v>
      </c>
      <c r="F481" t="s">
        <v>42</v>
      </c>
      <c r="G481">
        <v>-226.8503</v>
      </c>
      <c r="H481">
        <v>7.9986489999999993E-2</v>
      </c>
      <c r="I481">
        <v>355.01409999999998</v>
      </c>
      <c r="J481">
        <v>-413.36250000000001</v>
      </c>
      <c r="K481">
        <v>1.0606719999999901</v>
      </c>
      <c r="L481">
        <v>368.02420000000001</v>
      </c>
      <c r="M481">
        <v>0.99988440000000001</v>
      </c>
      <c r="N481">
        <v>0</v>
      </c>
      <c r="O481">
        <v>-1.8297750000000001E-3</v>
      </c>
      <c r="P481">
        <v>0.99819919999999995</v>
      </c>
      <c r="Q481">
        <v>4.9954459999999999E-2</v>
      </c>
      <c r="R481">
        <v>-3.3215040000000001E-2</v>
      </c>
      <c r="S481">
        <v>2.999298</v>
      </c>
      <c r="T481">
        <v>-1.5757440000000001E-2</v>
      </c>
      <c r="U481">
        <v>-0.20904539999999999</v>
      </c>
      <c r="V481">
        <v>3.1377370000000002E-2</v>
      </c>
      <c r="W481">
        <v>6.5036919999999998E-2</v>
      </c>
      <c r="X481">
        <v>0.99738939999999998</v>
      </c>
      <c r="Y481">
        <v>6.7702849999999995E-2</v>
      </c>
      <c r="Z481">
        <v>-1.680265E-4</v>
      </c>
      <c r="AA481">
        <v>0.99770550000000002</v>
      </c>
      <c r="AB481">
        <v>27</v>
      </c>
      <c r="AC481">
        <v>186.51220000000001</v>
      </c>
      <c r="AD481">
        <v>-0.98068550999999904</v>
      </c>
      <c r="AE481">
        <v>-13.0101</v>
      </c>
      <c r="AF481">
        <v>12.668415425019001</v>
      </c>
      <c r="AG481">
        <v>-0.98068550999999904</v>
      </c>
      <c r="AH481">
        <v>186.530563963947</v>
      </c>
      <c r="AI481">
        <v>90.3005377957886</v>
      </c>
      <c r="AJ481">
        <v>86.114664591149406</v>
      </c>
      <c r="AK481">
        <v>186.962835307338</v>
      </c>
      <c r="AL481">
        <v>86.271026928869006</v>
      </c>
      <c r="AM481">
        <v>88.198097820232405</v>
      </c>
      <c r="AN481">
        <v>0.99999997777178096</v>
      </c>
    </row>
    <row r="482" spans="1:40" x14ac:dyDescent="0.25">
      <c r="A482" t="str">
        <f>"20190312153859655"</f>
        <v>20190312153859655</v>
      </c>
      <c r="B482" t="str">
        <f>"1552376339646829"</f>
        <v>1552376339646829</v>
      </c>
      <c r="C482" t="s">
        <v>40</v>
      </c>
      <c r="D482">
        <v>4.1045160000000003</v>
      </c>
      <c r="E482">
        <v>0.51433339999999905</v>
      </c>
      <c r="F482" t="s">
        <v>42</v>
      </c>
      <c r="G482">
        <v>-233.37180000000001</v>
      </c>
      <c r="H482">
        <v>7.998603E-2</v>
      </c>
      <c r="I482">
        <v>355.48259999999999</v>
      </c>
      <c r="J482">
        <v>-413.137</v>
      </c>
      <c r="K482">
        <v>1.060665</v>
      </c>
      <c r="L482">
        <v>368.02390000000003</v>
      </c>
      <c r="M482">
        <v>0.99988440000000001</v>
      </c>
      <c r="N482">
        <v>0</v>
      </c>
      <c r="O482">
        <v>-1.73568299999999E-3</v>
      </c>
      <c r="P482">
        <v>0.99822659999999996</v>
      </c>
      <c r="Q482">
        <v>4.9578110000000002E-2</v>
      </c>
      <c r="R482">
        <v>-3.2946999999999997E-2</v>
      </c>
      <c r="S482">
        <v>2.9992369999999999</v>
      </c>
      <c r="T482">
        <v>-1.634145E-2</v>
      </c>
      <c r="U482">
        <v>-0.20898439999999999</v>
      </c>
      <c r="V482">
        <v>3.1203419999999999E-2</v>
      </c>
      <c r="W482">
        <v>6.4655779999999996E-2</v>
      </c>
      <c r="X482">
        <v>0.99741970000000002</v>
      </c>
      <c r="Y482">
        <v>6.7777870000000004E-2</v>
      </c>
      <c r="Z482">
        <v>-1.7497380000000001E-4</v>
      </c>
      <c r="AA482">
        <v>0.99770040000000004</v>
      </c>
      <c r="AB482">
        <v>27</v>
      </c>
      <c r="AC482">
        <v>179.765199999999</v>
      </c>
      <c r="AD482">
        <v>-0.98067897000000004</v>
      </c>
      <c r="AE482">
        <v>-12.5413</v>
      </c>
      <c r="AF482">
        <v>12.2288679237588</v>
      </c>
      <c r="AG482">
        <v>-0.98067897000000004</v>
      </c>
      <c r="AH482">
        <v>179.78137486679401</v>
      </c>
      <c r="AI482">
        <v>90.311815804978295</v>
      </c>
      <c r="AJ482">
        <v>86.108690923113699</v>
      </c>
      <c r="AK482">
        <v>180.19947194965201</v>
      </c>
      <c r="AL482">
        <v>86.292910935875597</v>
      </c>
      <c r="AM482">
        <v>88.208135082749806</v>
      </c>
      <c r="AN482">
        <v>1.00000004062759</v>
      </c>
    </row>
    <row r="483" spans="1:40" x14ac:dyDescent="0.25">
      <c r="A483" t="str">
        <f>"20190312153859669"</f>
        <v>20190312153859669</v>
      </c>
      <c r="B483" t="str">
        <f>"1552376339656589"</f>
        <v>1552376339656589</v>
      </c>
      <c r="C483" t="s">
        <v>40</v>
      </c>
      <c r="D483">
        <v>4.1444460000000003</v>
      </c>
      <c r="E483">
        <v>0.51438050000000002</v>
      </c>
      <c r="F483" t="s">
        <v>42</v>
      </c>
      <c r="G483">
        <v>-244.36359999999999</v>
      </c>
      <c r="H483">
        <v>7.998545E-2</v>
      </c>
      <c r="I483">
        <v>356.24720000000002</v>
      </c>
      <c r="J483">
        <v>-412.98680000000002</v>
      </c>
      <c r="K483">
        <v>1.0606640000000001</v>
      </c>
      <c r="L483">
        <v>368.02370000000002</v>
      </c>
      <c r="M483">
        <v>0.99988460000000001</v>
      </c>
      <c r="N483">
        <v>0</v>
      </c>
      <c r="O483">
        <v>-1.6730740000000001E-3</v>
      </c>
      <c r="P483">
        <v>0.99824489999999999</v>
      </c>
      <c r="Q483">
        <v>4.9283720000000003E-2</v>
      </c>
      <c r="R483">
        <v>-3.2834679999999998E-2</v>
      </c>
      <c r="S483">
        <v>2.9993590000000001</v>
      </c>
      <c r="T483">
        <v>-1.7428160000000002E-2</v>
      </c>
      <c r="U483">
        <v>-0.20928959999999999</v>
      </c>
      <c r="V483">
        <v>3.1153489999999999E-2</v>
      </c>
      <c r="W483">
        <v>6.4358380000000007E-2</v>
      </c>
      <c r="X483">
        <v>0.99744049999999995</v>
      </c>
      <c r="Y483">
        <v>6.7938419999999999E-2</v>
      </c>
      <c r="Z483">
        <v>-1.8743039999999999E-4</v>
      </c>
      <c r="AA483">
        <v>0.99768950000000001</v>
      </c>
      <c r="AB483">
        <v>27</v>
      </c>
      <c r="AC483">
        <v>168.6232</v>
      </c>
      <c r="AD483">
        <v>-0.98067855000000004</v>
      </c>
      <c r="AE483">
        <v>-11.7765</v>
      </c>
      <c r="AF483">
        <v>11.4939453783511</v>
      </c>
      <c r="AG483">
        <v>-0.98067855000000004</v>
      </c>
      <c r="AH483">
        <v>168.63699293571901</v>
      </c>
      <c r="AI483">
        <v>90.332418483881099</v>
      </c>
      <c r="AJ483">
        <v>86.100869626874697</v>
      </c>
      <c r="AK483">
        <v>169.03108559428</v>
      </c>
      <c r="AL483">
        <v>86.309986283675499</v>
      </c>
      <c r="AM483">
        <v>88.211037744363196</v>
      </c>
      <c r="AN483">
        <v>1.00000004602782</v>
      </c>
    </row>
    <row r="484" spans="1:40" x14ac:dyDescent="0.25">
      <c r="A484" t="str">
        <f>"20190312153859682"</f>
        <v>20190312153859682</v>
      </c>
      <c r="B484" t="str">
        <f>"1552376339676108"</f>
        <v>1552376339676108</v>
      </c>
      <c r="C484" t="s">
        <v>40</v>
      </c>
      <c r="D484">
        <v>4.1137569999999997</v>
      </c>
      <c r="E484">
        <v>0.51444290000000004</v>
      </c>
      <c r="F484" t="s">
        <v>42</v>
      </c>
      <c r="G484">
        <v>-252.92750000000001</v>
      </c>
      <c r="H484">
        <v>7.9986100000000004E-2</v>
      </c>
      <c r="I484">
        <v>356.85809999999998</v>
      </c>
      <c r="J484">
        <v>-412.8193</v>
      </c>
      <c r="K484">
        <v>1.0606709999999999</v>
      </c>
      <c r="L484">
        <v>368.02350000000001</v>
      </c>
      <c r="M484">
        <v>0.99988469999999996</v>
      </c>
      <c r="N484">
        <v>0</v>
      </c>
      <c r="O484">
        <v>-1.6028360000000001E-3</v>
      </c>
      <c r="P484">
        <v>0.99826139999999997</v>
      </c>
      <c r="Q484">
        <v>4.9185699999999999E-2</v>
      </c>
      <c r="R484">
        <v>-3.2481290000000003E-2</v>
      </c>
      <c r="S484">
        <v>2.999298</v>
      </c>
      <c r="T484">
        <v>-1.8376590000000002E-2</v>
      </c>
      <c r="U484">
        <v>-0.20922850000000001</v>
      </c>
      <c r="V484">
        <v>3.0870089999999999E-2</v>
      </c>
      <c r="W484">
        <v>6.4256530000000006E-2</v>
      </c>
      <c r="X484">
        <v>0.9974558</v>
      </c>
      <c r="Y484">
        <v>6.7989569999999999E-2</v>
      </c>
      <c r="Z484">
        <v>-1.982206E-4</v>
      </c>
      <c r="AA484">
        <v>0.99768599999999996</v>
      </c>
      <c r="AB484">
        <v>27</v>
      </c>
      <c r="AC484">
        <v>159.89179999999999</v>
      </c>
      <c r="AD484">
        <v>-0.98068489999999997</v>
      </c>
      <c r="AE484">
        <v>-11.1654</v>
      </c>
      <c r="AF484">
        <v>10.9086677168021</v>
      </c>
      <c r="AG484">
        <v>-0.98068489999999997</v>
      </c>
      <c r="AH484">
        <v>159.90350670108899</v>
      </c>
      <c r="AI484">
        <v>90.350574603604599</v>
      </c>
      <c r="AJ484">
        <v>86.0973107216806</v>
      </c>
      <c r="AK484">
        <v>160.278171406882</v>
      </c>
      <c r="AL484">
        <v>86.315833676553595</v>
      </c>
      <c r="AM484">
        <v>88.227328487578305</v>
      </c>
      <c r="AN484">
        <v>0.99999996852894402</v>
      </c>
    </row>
    <row r="485" spans="1:40" x14ac:dyDescent="0.25">
      <c r="A485" t="str">
        <f>"20190312153859694"</f>
        <v>20190312153859694</v>
      </c>
      <c r="B485" t="str">
        <f>"1552376339686844"</f>
        <v>1552376339686844</v>
      </c>
      <c r="C485" t="s">
        <v>40</v>
      </c>
      <c r="D485">
        <v>4.1238429999999999</v>
      </c>
      <c r="E485">
        <v>0.51447889999999996</v>
      </c>
      <c r="F485" t="s">
        <v>42</v>
      </c>
      <c r="G485">
        <v>-254.32769999999999</v>
      </c>
      <c r="H485">
        <v>7.9985680000000003E-2</v>
      </c>
      <c r="I485">
        <v>356.99970000000002</v>
      </c>
      <c r="J485">
        <v>-412.66849999999999</v>
      </c>
      <c r="K485">
        <v>1.0606709999999999</v>
      </c>
      <c r="L485">
        <v>368.02330000000001</v>
      </c>
      <c r="M485">
        <v>0.99988500000000002</v>
      </c>
      <c r="N485">
        <v>0</v>
      </c>
      <c r="O485">
        <v>-1.5396380000000001E-3</v>
      </c>
      <c r="P485">
        <v>0.99827670000000002</v>
      </c>
      <c r="Q485">
        <v>4.8912610000000002E-2</v>
      </c>
      <c r="R485">
        <v>-3.2429199999999998E-2</v>
      </c>
      <c r="S485">
        <v>2.9993590000000001</v>
      </c>
      <c r="T485">
        <v>-1.855886E-2</v>
      </c>
      <c r="U485">
        <v>-0.2086182</v>
      </c>
      <c r="V485">
        <v>3.088109E-2</v>
      </c>
      <c r="W485">
        <v>6.3980549999999997E-2</v>
      </c>
      <c r="X485">
        <v>0.99747319999999995</v>
      </c>
      <c r="Y485">
        <v>6.784917E-2</v>
      </c>
      <c r="Z485">
        <v>-2.0014079999999999E-4</v>
      </c>
      <c r="AA485">
        <v>0.99769560000000002</v>
      </c>
      <c r="AB485">
        <v>27</v>
      </c>
      <c r="AC485">
        <v>158.3408</v>
      </c>
      <c r="AD485">
        <v>-0.98068531999999997</v>
      </c>
      <c r="AE485">
        <v>-11.023599999999901</v>
      </c>
      <c r="AF485">
        <v>10.7793601719051</v>
      </c>
      <c r="AG485">
        <v>-0.98068531999999997</v>
      </c>
      <c r="AH485">
        <v>158.351541573258</v>
      </c>
      <c r="AI485">
        <v>90.354014118262498</v>
      </c>
      <c r="AJ485">
        <v>86.105749846674001</v>
      </c>
      <c r="AK485">
        <v>158.72103536721201</v>
      </c>
      <c r="AL485">
        <v>86.331678771244796</v>
      </c>
      <c r="AM485">
        <v>88.226728145155604</v>
      </c>
      <c r="AN485">
        <v>0.99999996860806395</v>
      </c>
    </row>
    <row r="486" spans="1:40" x14ac:dyDescent="0.25">
      <c r="A486" t="str">
        <f>"20190312153859713"</f>
        <v>20190312153859713</v>
      </c>
      <c r="B486" t="str">
        <f>"1552376339706365"</f>
        <v>1552376339706365</v>
      </c>
      <c r="C486" t="s">
        <v>40</v>
      </c>
      <c r="D486">
        <v>4.1403040000000004</v>
      </c>
      <c r="E486">
        <v>0.51454960000000005</v>
      </c>
      <c r="F486" t="s">
        <v>42</v>
      </c>
      <c r="G486">
        <v>-261.0369</v>
      </c>
      <c r="H486">
        <v>7.998661E-2</v>
      </c>
      <c r="I486">
        <v>357.46749999999997</v>
      </c>
      <c r="J486">
        <v>-412.46469999999999</v>
      </c>
      <c r="K486">
        <v>1.0606719999999901</v>
      </c>
      <c r="L486">
        <v>368.0231</v>
      </c>
      <c r="M486">
        <v>0.99988520000000003</v>
      </c>
      <c r="N486">
        <v>0</v>
      </c>
      <c r="O486">
        <v>-1.4542589999999901E-3</v>
      </c>
      <c r="P486">
        <v>0.99831340000000002</v>
      </c>
      <c r="Q486">
        <v>4.8345770000000003E-2</v>
      </c>
      <c r="R486">
        <v>-3.2142549999999999E-2</v>
      </c>
      <c r="S486">
        <v>2.99939</v>
      </c>
      <c r="T486">
        <v>-1.939869E-2</v>
      </c>
      <c r="U486">
        <v>-0.2088013</v>
      </c>
      <c r="V486">
        <v>3.068005E-2</v>
      </c>
      <c r="W486">
        <v>6.3409510000000002E-2</v>
      </c>
      <c r="X486">
        <v>0.99751590000000001</v>
      </c>
      <c r="Y486">
        <v>6.7994150000000003E-2</v>
      </c>
      <c r="Z486">
        <v>-2.102146E-4</v>
      </c>
      <c r="AA486">
        <v>0.99768570000000001</v>
      </c>
      <c r="AB486">
        <v>27</v>
      </c>
      <c r="AC486">
        <v>151.42779999999999</v>
      </c>
      <c r="AD486">
        <v>-0.98068538999999999</v>
      </c>
      <c r="AE486">
        <v>-10.5556</v>
      </c>
      <c r="AF486">
        <v>10.3349171738457</v>
      </c>
      <c r="AG486">
        <v>-0.98068538999999999</v>
      </c>
      <c r="AH486">
        <v>151.43667133148901</v>
      </c>
      <c r="AI486">
        <v>90.3701742685396</v>
      </c>
      <c r="AJ486">
        <v>86.095857201618401</v>
      </c>
      <c r="AK486">
        <v>151.79208701637199</v>
      </c>
      <c r="AL486">
        <v>86.364463645307296</v>
      </c>
      <c r="AM486">
        <v>88.238340447771506</v>
      </c>
      <c r="AN486">
        <v>1.0000000010896199</v>
      </c>
    </row>
    <row r="487" spans="1:40" x14ac:dyDescent="0.25">
      <c r="A487" t="str">
        <f>"20190312153859726"</f>
        <v>20190312153859726</v>
      </c>
      <c r="B487" t="str">
        <f>"1552376339716123"</f>
        <v>1552376339716123</v>
      </c>
      <c r="C487" t="s">
        <v>40</v>
      </c>
      <c r="D487">
        <v>4.1560969999999999</v>
      </c>
      <c r="E487">
        <v>0.51457949999999997</v>
      </c>
      <c r="F487" t="s">
        <v>42</v>
      </c>
      <c r="G487">
        <v>-272.02539999999999</v>
      </c>
      <c r="H487">
        <v>7.9986290000000002E-2</v>
      </c>
      <c r="I487">
        <v>358.25779999999997</v>
      </c>
      <c r="J487">
        <v>-412.29669999999999</v>
      </c>
      <c r="K487">
        <v>1.0606709999999999</v>
      </c>
      <c r="L487">
        <v>368.02289999999999</v>
      </c>
      <c r="M487">
        <v>0.99988529999999998</v>
      </c>
      <c r="N487">
        <v>0</v>
      </c>
      <c r="O487">
        <v>-1.3837840000000001E-3</v>
      </c>
      <c r="P487">
        <v>0.99833139999999998</v>
      </c>
      <c r="Q487">
        <v>4.8060369999999998E-2</v>
      </c>
      <c r="R487">
        <v>-3.2016610000000001E-2</v>
      </c>
      <c r="S487">
        <v>2.9993590000000001</v>
      </c>
      <c r="T487">
        <v>-2.0944480000000001E-2</v>
      </c>
      <c r="U487">
        <v>-0.2085571</v>
      </c>
      <c r="V487">
        <v>3.0624149999999999E-2</v>
      </c>
      <c r="W487">
        <v>6.3120159999999995E-2</v>
      </c>
      <c r="X487">
        <v>0.99753590000000003</v>
      </c>
      <c r="Y487">
        <v>6.7984119999999995E-2</v>
      </c>
      <c r="Z487">
        <v>-2.2742469999999999E-4</v>
      </c>
      <c r="AA487">
        <v>0.99768639999999997</v>
      </c>
      <c r="AB487">
        <v>27</v>
      </c>
      <c r="AC487">
        <v>140.2713</v>
      </c>
      <c r="AD487">
        <v>-0.98068471000000002</v>
      </c>
      <c r="AE487">
        <v>-9.7651000000000092</v>
      </c>
      <c r="AF487">
        <v>9.5704978484075802</v>
      </c>
      <c r="AG487">
        <v>-0.98068471000000002</v>
      </c>
      <c r="AH487">
        <v>140.277856442027</v>
      </c>
      <c r="AI487">
        <v>90.399620229833204</v>
      </c>
      <c r="AJ487">
        <v>86.097026871024795</v>
      </c>
      <c r="AK487">
        <v>140.60737242241899</v>
      </c>
      <c r="AL487">
        <v>86.381075207723001</v>
      </c>
      <c r="AM487">
        <v>88.241583462689903</v>
      </c>
      <c r="AN487">
        <v>0.99999993247522601</v>
      </c>
    </row>
    <row r="488" spans="1:40" x14ac:dyDescent="0.25">
      <c r="A488" t="str">
        <f>"20190312153859748"</f>
        <v>20190312153859748</v>
      </c>
      <c r="B488" t="str">
        <f>"1552376339736621"</f>
        <v>1552376339736621</v>
      </c>
      <c r="C488" t="s">
        <v>40</v>
      </c>
      <c r="D488">
        <v>4.0921830000000003</v>
      </c>
      <c r="E488">
        <v>0.51465099999999997</v>
      </c>
      <c r="F488" t="s">
        <v>42</v>
      </c>
      <c r="G488">
        <v>-276.72280000000001</v>
      </c>
      <c r="H488">
        <v>7.9986370000000001E-2</v>
      </c>
      <c r="I488">
        <v>358.60980000000001</v>
      </c>
      <c r="J488">
        <v>-412.0446</v>
      </c>
      <c r="K488">
        <v>1.0606690000000001</v>
      </c>
      <c r="L488">
        <v>368.02269999999999</v>
      </c>
      <c r="M488">
        <v>0.99988540000000004</v>
      </c>
      <c r="N488">
        <v>0</v>
      </c>
      <c r="O488">
        <v>-1.277776E-3</v>
      </c>
      <c r="P488">
        <v>0.99835180000000001</v>
      </c>
      <c r="Q488">
        <v>4.7665489999999998E-2</v>
      </c>
      <c r="R488">
        <v>-3.1965170000000001E-2</v>
      </c>
      <c r="S488">
        <v>2.99939</v>
      </c>
      <c r="T488">
        <v>-2.169633E-2</v>
      </c>
      <c r="U488">
        <v>-0.20825199999999999</v>
      </c>
      <c r="V488">
        <v>3.0678859999999999E-2</v>
      </c>
      <c r="W488">
        <v>6.2719929999999993E-2</v>
      </c>
      <c r="X488">
        <v>0.99755950000000004</v>
      </c>
      <c r="Y488">
        <v>6.7988049999999994E-2</v>
      </c>
      <c r="Z488">
        <v>-2.363671E-4</v>
      </c>
      <c r="AA488">
        <v>0.99768610000000002</v>
      </c>
      <c r="AB488">
        <v>27</v>
      </c>
      <c r="AC488">
        <v>135.3218</v>
      </c>
      <c r="AD488">
        <v>-0.98068263</v>
      </c>
      <c r="AE488">
        <v>-9.4128999999999792</v>
      </c>
      <c r="AF488">
        <v>9.2394787718367404</v>
      </c>
      <c r="AG488">
        <v>-0.98068263</v>
      </c>
      <c r="AH488">
        <v>135.32664537194199</v>
      </c>
      <c r="AI488">
        <v>90.414238391119298</v>
      </c>
      <c r="AJ488">
        <v>86.094170131912307</v>
      </c>
      <c r="AK488">
        <v>135.64523822832601</v>
      </c>
      <c r="AL488">
        <v>86.404052358313095</v>
      </c>
      <c r="AM488">
        <v>88.238485679720398</v>
      </c>
      <c r="AN488">
        <v>0.99999996905517596</v>
      </c>
    </row>
    <row r="489" spans="1:40" x14ac:dyDescent="0.25">
      <c r="A489" t="str">
        <f>"20190312153859769"</f>
        <v>20190312153859769</v>
      </c>
      <c r="B489" t="str">
        <f>"1552376339756140"</f>
        <v>1552376339756140</v>
      </c>
      <c r="C489" t="s">
        <v>40</v>
      </c>
      <c r="D489">
        <v>4.1285080000000001</v>
      </c>
      <c r="E489">
        <v>0.51469620000000005</v>
      </c>
      <c r="F489" t="s">
        <v>43</v>
      </c>
      <c r="G489">
        <v>-263.08109999999999</v>
      </c>
      <c r="H489">
        <v>-0.05</v>
      </c>
      <c r="I489">
        <v>357.65989999999999</v>
      </c>
      <c r="J489">
        <v>-411.78609999999998</v>
      </c>
      <c r="K489">
        <v>1.0606709999999999</v>
      </c>
      <c r="L489">
        <v>368.02249999999998</v>
      </c>
      <c r="M489">
        <v>0.99988569999999999</v>
      </c>
      <c r="N489">
        <v>0</v>
      </c>
      <c r="O489">
        <v>-1.1692600000000001E-3</v>
      </c>
      <c r="P489">
        <v>0.99837629999999999</v>
      </c>
      <c r="Q489">
        <v>4.706225E-2</v>
      </c>
      <c r="R489">
        <v>-3.209335E-2</v>
      </c>
      <c r="S489">
        <v>2.999298</v>
      </c>
      <c r="T489">
        <v>-2.2362710000000001E-2</v>
      </c>
      <c r="U489">
        <v>-0.20864869999999999</v>
      </c>
      <c r="V489">
        <v>3.0915330000000001E-2</v>
      </c>
      <c r="W489">
        <v>6.2110779999999997E-2</v>
      </c>
      <c r="X489">
        <v>0.99759039999999999</v>
      </c>
      <c r="Y489">
        <v>6.8229650000000003E-2</v>
      </c>
      <c r="Z489">
        <v>-2.453407E-4</v>
      </c>
      <c r="AA489">
        <v>0.99766960000000005</v>
      </c>
      <c r="AB489">
        <v>27</v>
      </c>
      <c r="AC489">
        <v>148.70499999999899</v>
      </c>
      <c r="AD489">
        <v>-1.110671</v>
      </c>
      <c r="AE489">
        <v>-10.362599999999899</v>
      </c>
      <c r="AF489">
        <v>10.188132747744699</v>
      </c>
      <c r="AG489">
        <v>-1.110671</v>
      </c>
      <c r="AH489">
        <v>148.708760603299</v>
      </c>
      <c r="AI489">
        <v>90.426920129122905</v>
      </c>
      <c r="AJ489">
        <v>86.0807536045033</v>
      </c>
      <c r="AK489">
        <v>149.061487712706</v>
      </c>
      <c r="AL489">
        <v>86.439022577651698</v>
      </c>
      <c r="AM489">
        <v>88.224971680275004</v>
      </c>
      <c r="AN489">
        <v>1.00000005639668</v>
      </c>
    </row>
    <row r="490" spans="1:40" x14ac:dyDescent="0.25">
      <c r="A490" t="str">
        <f>"20190312153859783"</f>
        <v>20190312153859783</v>
      </c>
      <c r="B490" t="str">
        <f>"1552376339776637"</f>
        <v>1552376339776637</v>
      </c>
      <c r="C490" t="s">
        <v>40</v>
      </c>
      <c r="D490">
        <v>4.1381410000000001</v>
      </c>
      <c r="E490">
        <v>0.51476409999999995</v>
      </c>
      <c r="F490" t="s">
        <v>43</v>
      </c>
      <c r="G490">
        <v>-272.27960000000002</v>
      </c>
      <c r="H490">
        <v>-0.05</v>
      </c>
      <c r="I490">
        <v>358.28050000000002</v>
      </c>
      <c r="J490">
        <v>-411.61869999999999</v>
      </c>
      <c r="K490">
        <v>1.060667</v>
      </c>
      <c r="L490">
        <v>368.0224</v>
      </c>
      <c r="M490">
        <v>0.99988600000000005</v>
      </c>
      <c r="N490">
        <v>0</v>
      </c>
      <c r="O490">
        <v>-1.0992599999999999E-3</v>
      </c>
      <c r="P490">
        <v>0.9983822</v>
      </c>
      <c r="Q490">
        <v>4.6744029999999999E-2</v>
      </c>
      <c r="R490">
        <v>-3.2377509999999998E-2</v>
      </c>
      <c r="S490">
        <v>2.9992369999999999</v>
      </c>
      <c r="T490">
        <v>-2.3878219999999999E-2</v>
      </c>
      <c r="U490">
        <v>-0.20944209999999999</v>
      </c>
      <c r="V490">
        <v>3.1269669999999999E-2</v>
      </c>
      <c r="W490">
        <v>6.1789049999999998E-2</v>
      </c>
      <c r="X490">
        <v>0.99759929999999997</v>
      </c>
      <c r="Y490">
        <v>6.8563280000000004E-2</v>
      </c>
      <c r="Z490">
        <v>-2.6385280000000002E-4</v>
      </c>
      <c r="AA490">
        <v>0.9976467</v>
      </c>
      <c r="AB490">
        <v>27</v>
      </c>
      <c r="AC490">
        <v>139.33909999999901</v>
      </c>
      <c r="AD490">
        <v>-1.1106670000000001</v>
      </c>
      <c r="AE490">
        <v>-9.7418999999999798</v>
      </c>
      <c r="AF490">
        <v>9.5881006140296101</v>
      </c>
      <c r="AG490">
        <v>-1.1106670000000001</v>
      </c>
      <c r="AH490">
        <v>139.340915752098</v>
      </c>
      <c r="AI490">
        <v>90.455609687078294</v>
      </c>
      <c r="AJ490">
        <v>86.063660803836399</v>
      </c>
      <c r="AK490">
        <v>139.67482256012701</v>
      </c>
      <c r="AL490">
        <v>86.457491697478602</v>
      </c>
      <c r="AM490">
        <v>88.204656212724203</v>
      </c>
      <c r="AN490">
        <v>1.0000000211611499</v>
      </c>
    </row>
    <row r="491" spans="1:40" x14ac:dyDescent="0.25">
      <c r="A491" t="str">
        <f>"20190312153859802"</f>
        <v>20190312153859802</v>
      </c>
      <c r="B491" t="str">
        <f>"1552376339796156"</f>
        <v>1552376339796156</v>
      </c>
      <c r="C491" t="s">
        <v>40</v>
      </c>
      <c r="D491">
        <v>4.1460439999999998</v>
      </c>
      <c r="E491">
        <v>0.51483679999999998</v>
      </c>
      <c r="F491" t="s">
        <v>43</v>
      </c>
      <c r="G491">
        <v>-276.19959999999998</v>
      </c>
      <c r="H491">
        <v>-0.05</v>
      </c>
      <c r="I491">
        <v>358.51459999999997</v>
      </c>
      <c r="J491">
        <v>-411.39870000000002</v>
      </c>
      <c r="K491">
        <v>1.060667</v>
      </c>
      <c r="L491">
        <v>368.0222</v>
      </c>
      <c r="M491">
        <v>0.99988619999999995</v>
      </c>
      <c r="N491">
        <v>0</v>
      </c>
      <c r="O491">
        <v>-1.0069639999999999E-3</v>
      </c>
      <c r="P491">
        <v>0.99840439999999997</v>
      </c>
      <c r="Q491">
        <v>4.634564E-2</v>
      </c>
      <c r="R491">
        <v>-3.2268390000000001E-2</v>
      </c>
      <c r="S491">
        <v>2.9991759999999998</v>
      </c>
      <c r="T491">
        <v>-2.459836E-2</v>
      </c>
      <c r="U491">
        <v>-0.21057129999999999</v>
      </c>
      <c r="V491">
        <v>3.1252679999999998E-2</v>
      </c>
      <c r="W491">
        <v>6.1385469999999998E-2</v>
      </c>
      <c r="X491">
        <v>0.99762479999999998</v>
      </c>
      <c r="Y491">
        <v>6.903041E-2</v>
      </c>
      <c r="Z491">
        <v>-2.7448149999999998E-4</v>
      </c>
      <c r="AA491">
        <v>0.99761449999999996</v>
      </c>
      <c r="AB491">
        <v>27</v>
      </c>
      <c r="AC491">
        <v>135.19909999999999</v>
      </c>
      <c r="AD491">
        <v>-1.1106670000000001</v>
      </c>
      <c r="AE491">
        <v>-9.5076000000000196</v>
      </c>
      <c r="AF491">
        <v>9.3708098308173398</v>
      </c>
      <c r="AG491">
        <v>-1.1106670000000001</v>
      </c>
      <c r="AH491">
        <v>135.19952702511799</v>
      </c>
      <c r="AI491">
        <v>90.469549006502007</v>
      </c>
      <c r="AJ491">
        <v>86.035115172227293</v>
      </c>
      <c r="AK491">
        <v>135.528438956131</v>
      </c>
      <c r="AL491">
        <v>86.480659291794694</v>
      </c>
      <c r="AM491">
        <v>88.205676888716496</v>
      </c>
      <c r="AN491">
        <v>1.0000000737546599</v>
      </c>
    </row>
    <row r="492" spans="1:40" x14ac:dyDescent="0.25">
      <c r="A492" t="str">
        <f>"20190312153859825"</f>
        <v>20190312153859825</v>
      </c>
      <c r="B492" t="str">
        <f>"1552376339816655"</f>
        <v>1552376339816655</v>
      </c>
      <c r="C492" t="s">
        <v>40</v>
      </c>
      <c r="D492">
        <v>4.1481649999999997</v>
      </c>
      <c r="E492">
        <v>0.51488239999999996</v>
      </c>
      <c r="F492" t="s">
        <v>43</v>
      </c>
      <c r="G492">
        <v>-280.71080000000001</v>
      </c>
      <c r="H492">
        <v>-0.05</v>
      </c>
      <c r="I492">
        <v>358.81869999999998</v>
      </c>
      <c r="J492">
        <v>-411.12020000000001</v>
      </c>
      <c r="K492">
        <v>1.0606610000000001</v>
      </c>
      <c r="L492">
        <v>368.02210000000002</v>
      </c>
      <c r="M492">
        <v>0.99988630000000001</v>
      </c>
      <c r="N492">
        <v>0</v>
      </c>
      <c r="O492">
        <v>-8.8951089999999905E-4</v>
      </c>
      <c r="P492">
        <v>0.99841089999999999</v>
      </c>
      <c r="Q492">
        <v>4.628811E-2</v>
      </c>
      <c r="R492">
        <v>-3.2147630000000003E-2</v>
      </c>
      <c r="S492">
        <v>2.9991759999999998</v>
      </c>
      <c r="T492">
        <v>-2.548885E-2</v>
      </c>
      <c r="U492">
        <v>-0.21121219999999999</v>
      </c>
      <c r="V492">
        <v>3.1249229999999999E-2</v>
      </c>
      <c r="W492">
        <v>6.1321689999999998E-2</v>
      </c>
      <c r="X492">
        <v>0.99762870000000003</v>
      </c>
      <c r="Y492">
        <v>6.9359509999999999E-2</v>
      </c>
      <c r="Z492">
        <v>-2.8680930000000001E-4</v>
      </c>
      <c r="AA492">
        <v>0.99759169999999997</v>
      </c>
      <c r="AB492">
        <v>27</v>
      </c>
      <c r="AC492">
        <v>130.40940000000001</v>
      </c>
      <c r="AD492">
        <v>-1.1106609999999999</v>
      </c>
      <c r="AE492">
        <v>-9.2034000000000393</v>
      </c>
      <c r="AF492">
        <v>9.0867267948454895</v>
      </c>
      <c r="AG492">
        <v>-1.1106609999999999</v>
      </c>
      <c r="AH492">
        <v>130.40812362515999</v>
      </c>
      <c r="AI492">
        <v>90.486785149198596</v>
      </c>
      <c r="AJ492">
        <v>86.014121359549506</v>
      </c>
      <c r="AK492">
        <v>130.729036098091</v>
      </c>
      <c r="AL492">
        <v>86.484320055411402</v>
      </c>
      <c r="AM492">
        <v>88.205881844675503</v>
      </c>
      <c r="AN492">
        <v>0.99999994355186705</v>
      </c>
    </row>
    <row r="493" spans="1:40" x14ac:dyDescent="0.25">
      <c r="A493" t="str">
        <f>"20190312153859840"</f>
        <v>20190312153859840</v>
      </c>
      <c r="B493" t="str">
        <f>"1552376339826413"</f>
        <v>1552376339826413</v>
      </c>
      <c r="C493" t="s">
        <v>40</v>
      </c>
      <c r="D493">
        <v>4.1063090000000004</v>
      </c>
      <c r="E493">
        <v>0.51487759999999905</v>
      </c>
      <c r="F493" t="s">
        <v>43</v>
      </c>
      <c r="G493">
        <v>-280.7586</v>
      </c>
      <c r="H493">
        <v>-0.05</v>
      </c>
      <c r="I493">
        <v>358.83359999999999</v>
      </c>
      <c r="J493">
        <v>-410.95620000000002</v>
      </c>
      <c r="K493">
        <v>1.0606610000000001</v>
      </c>
      <c r="L493">
        <v>368.02199999999999</v>
      </c>
      <c r="M493">
        <v>0.99988630000000001</v>
      </c>
      <c r="N493">
        <v>0</v>
      </c>
      <c r="O493">
        <v>-8.2058670000000002E-4</v>
      </c>
      <c r="P493">
        <v>0.99842039999999999</v>
      </c>
      <c r="Q493">
        <v>4.6214190000000002E-2</v>
      </c>
      <c r="R493">
        <v>-3.195506E-2</v>
      </c>
      <c r="S493">
        <v>2.9991460000000001</v>
      </c>
      <c r="T493">
        <v>-2.5552269999999998E-2</v>
      </c>
      <c r="U493">
        <v>-0.21139530000000001</v>
      </c>
      <c r="V493">
        <v>3.1125610000000001E-2</v>
      </c>
      <c r="W493">
        <v>6.1244119999999999E-2</v>
      </c>
      <c r="X493">
        <v>0.99763740000000001</v>
      </c>
      <c r="Y493">
        <v>6.9489579999999995E-2</v>
      </c>
      <c r="Z493">
        <v>-2.886651E-4</v>
      </c>
      <c r="AA493">
        <v>0.99758259999999999</v>
      </c>
      <c r="AB493">
        <v>27</v>
      </c>
      <c r="AC493">
        <v>130.19759999999999</v>
      </c>
      <c r="AD493">
        <v>-1.1106609999999999</v>
      </c>
      <c r="AE493">
        <v>-9.1883999999999997</v>
      </c>
      <c r="AF493">
        <v>9.0808888253545099</v>
      </c>
      <c r="AG493">
        <v>-1.1106609999999999</v>
      </c>
      <c r="AH493">
        <v>130.195669400676</v>
      </c>
      <c r="AI493">
        <v>90.487577121092897</v>
      </c>
      <c r="AJ493">
        <v>86.010194884984699</v>
      </c>
      <c r="AK493">
        <v>130.51669793710499</v>
      </c>
      <c r="AL493">
        <v>86.488773105769894</v>
      </c>
      <c r="AM493">
        <v>88.212990226686003</v>
      </c>
      <c r="AN493">
        <v>1.0000000138556</v>
      </c>
    </row>
    <row r="494" spans="1:40" x14ac:dyDescent="0.25">
      <c r="A494" t="str">
        <f>"20190312153859858"</f>
        <v>20190312153859858</v>
      </c>
      <c r="B494" t="str">
        <f>"1552376339845933"</f>
        <v>1552376339845933</v>
      </c>
      <c r="C494" t="s">
        <v>40</v>
      </c>
      <c r="D494">
        <v>4.1438670000000002</v>
      </c>
      <c r="E494">
        <v>0.4841125</v>
      </c>
      <c r="F494" t="s">
        <v>43</v>
      </c>
      <c r="G494">
        <v>-281.37259999999998</v>
      </c>
      <c r="H494">
        <v>-0.05</v>
      </c>
      <c r="I494">
        <v>358.92140000000001</v>
      </c>
      <c r="J494">
        <v>-410.73140000000001</v>
      </c>
      <c r="K494">
        <v>1.060657</v>
      </c>
      <c r="L494">
        <v>368.02190000000002</v>
      </c>
      <c r="M494">
        <v>0.99988659999999996</v>
      </c>
      <c r="N494">
        <v>0</v>
      </c>
      <c r="O494">
        <v>-7.2625929999999895E-4</v>
      </c>
      <c r="P494">
        <v>0.99841310000000005</v>
      </c>
      <c r="Q494">
        <v>4.6443280000000003E-2</v>
      </c>
      <c r="R494">
        <v>-3.1850679999999999E-2</v>
      </c>
      <c r="S494">
        <v>2.9992070000000002</v>
      </c>
      <c r="T494">
        <v>-2.570617E-2</v>
      </c>
      <c r="U494">
        <v>-0.21063229999999999</v>
      </c>
      <c r="V494">
        <v>3.111556E-2</v>
      </c>
      <c r="W494">
        <v>6.1467319999999999E-2</v>
      </c>
      <c r="X494">
        <v>0.99762399999999996</v>
      </c>
      <c r="Y494">
        <v>6.9329719999999997E-2</v>
      </c>
      <c r="Z494">
        <v>-2.9052370000000002E-4</v>
      </c>
      <c r="AA494">
        <v>0.99759379999999998</v>
      </c>
      <c r="AB494">
        <v>26</v>
      </c>
      <c r="AC494">
        <v>129.3588</v>
      </c>
      <c r="AD494">
        <v>-1.110657</v>
      </c>
      <c r="AE494">
        <v>-9.1005000000000091</v>
      </c>
      <c r="AF494">
        <v>9.0058783205005408</v>
      </c>
      <c r="AG494">
        <v>-1.110657</v>
      </c>
      <c r="AH494">
        <v>129.35588717509501</v>
      </c>
      <c r="AI494">
        <v>90.490744888751195</v>
      </c>
      <c r="AJ494">
        <v>86.017440326565307</v>
      </c>
      <c r="AK494">
        <v>129.67376353816201</v>
      </c>
      <c r="AL494">
        <v>86.475960596530896</v>
      </c>
      <c r="AM494">
        <v>88.213542872157504</v>
      </c>
      <c r="AN494">
        <v>1.0000000274390399</v>
      </c>
    </row>
    <row r="495" spans="1:40" x14ac:dyDescent="0.25">
      <c r="A495" t="str">
        <f>"20190312153859873"</f>
        <v>20190312153859873</v>
      </c>
      <c r="B495" t="str">
        <f>"1552376339866428"</f>
        <v>1552376339866428</v>
      </c>
      <c r="C495" t="s">
        <v>40</v>
      </c>
      <c r="D495">
        <v>4.1239030000000003</v>
      </c>
      <c r="E495">
        <v>0.47251100000000001</v>
      </c>
      <c r="F495" t="s">
        <v>43</v>
      </c>
      <c r="G495">
        <v>-288.32499999999999</v>
      </c>
      <c r="H495">
        <v>-0.05</v>
      </c>
      <c r="I495">
        <v>369.44929999999999</v>
      </c>
      <c r="J495">
        <v>-410.55939999999998</v>
      </c>
      <c r="K495">
        <v>1.060656</v>
      </c>
      <c r="L495">
        <v>368.02190000000002</v>
      </c>
      <c r="M495">
        <v>0.99988679999999996</v>
      </c>
      <c r="N495">
        <v>0</v>
      </c>
      <c r="O495">
        <v>-6.53996E-4</v>
      </c>
      <c r="P495">
        <v>0.99840960000000001</v>
      </c>
      <c r="Q495">
        <v>4.6645949999999999E-2</v>
      </c>
      <c r="R495">
        <v>-3.1665869999999999E-2</v>
      </c>
      <c r="S495">
        <v>3.0071409999999998</v>
      </c>
      <c r="T495">
        <v>-2.7285340000000002E-2</v>
      </c>
      <c r="U495">
        <v>3.5064699999999997E-2</v>
      </c>
      <c r="V495">
        <v>3.100284E-2</v>
      </c>
      <c r="W495">
        <v>6.1665789999999998E-2</v>
      </c>
      <c r="X495">
        <v>0.99761520000000004</v>
      </c>
      <c r="Y495">
        <v>-1.231318E-2</v>
      </c>
      <c r="Z495" s="1">
        <v>6.179325E-5</v>
      </c>
      <c r="AA495">
        <v>0.99992420000000004</v>
      </c>
      <c r="AB495">
        <v>26</v>
      </c>
      <c r="AC495">
        <v>122.23439999999999</v>
      </c>
      <c r="AD495">
        <v>-1.1106559999999901</v>
      </c>
      <c r="AE495">
        <v>1.42739999999997</v>
      </c>
      <c r="AF495">
        <v>-1.50722511628623</v>
      </c>
      <c r="AG495">
        <v>-1.1106559999999901</v>
      </c>
      <c r="AH495">
        <v>122.22335079076301</v>
      </c>
      <c r="AI495">
        <v>90.520598655872803</v>
      </c>
      <c r="AJ495">
        <v>90.706520155663497</v>
      </c>
      <c r="AK495">
        <v>122.237689616678</v>
      </c>
      <c r="AL495">
        <v>86.464567274826393</v>
      </c>
      <c r="AM495">
        <v>88.219994674047499</v>
      </c>
      <c r="AN495">
        <v>0.99999996650771406</v>
      </c>
    </row>
    <row r="496" spans="1:40" x14ac:dyDescent="0.25">
      <c r="A496" t="str">
        <f>"20190312153859891"</f>
        <v>20190312153859891</v>
      </c>
      <c r="B496" t="str">
        <f>"1552376339885949"</f>
        <v>1552376339885949</v>
      </c>
      <c r="C496" t="s">
        <v>40</v>
      </c>
      <c r="D496">
        <v>4.1764409999999996</v>
      </c>
      <c r="E496">
        <v>0.46751280000000001</v>
      </c>
      <c r="F496" t="s">
        <v>47</v>
      </c>
      <c r="G496">
        <v>-158.19499999999999</v>
      </c>
      <c r="H496">
        <v>1.2658309999999999</v>
      </c>
      <c r="I496">
        <v>378.7244</v>
      </c>
      <c r="J496">
        <v>-410.34710000000001</v>
      </c>
      <c r="K496">
        <v>1.0606610000000001</v>
      </c>
      <c r="L496">
        <v>368.02190000000002</v>
      </c>
      <c r="M496">
        <v>0.99988690000000002</v>
      </c>
      <c r="N496">
        <v>0</v>
      </c>
      <c r="O496">
        <v>-5.6491850000000004E-4</v>
      </c>
      <c r="P496">
        <v>0.99842180000000003</v>
      </c>
      <c r="Q496">
        <v>4.6543429999999997E-2</v>
      </c>
      <c r="R496">
        <v>-3.1433309999999999E-2</v>
      </c>
      <c r="S496">
        <v>3.008667</v>
      </c>
      <c r="T496">
        <v>2.4471279999999998E-3</v>
      </c>
      <c r="U496">
        <v>0.12759400000000001</v>
      </c>
      <c r="V496">
        <v>3.0859060000000001E-2</v>
      </c>
      <c r="W496">
        <v>6.1558229999999999E-2</v>
      </c>
      <c r="X496">
        <v>0.99762640000000002</v>
      </c>
      <c r="Y496">
        <v>-4.2935189999999998E-2</v>
      </c>
      <c r="Z496" s="1">
        <v>-1.79123499999999E-5</v>
      </c>
      <c r="AA496">
        <v>0.99907789999999996</v>
      </c>
      <c r="AB496">
        <v>26</v>
      </c>
      <c r="AC496">
        <v>252.15209999999999</v>
      </c>
      <c r="AD496">
        <v>0.20516999999999899</v>
      </c>
      <c r="AE496">
        <v>10.702499999999899</v>
      </c>
      <c r="AF496">
        <v>-10.844952600433</v>
      </c>
      <c r="AG496">
        <v>0.20516999999999899</v>
      </c>
      <c r="AH496">
        <v>252.145846395256</v>
      </c>
      <c r="AI496">
        <v>89.9534217417972</v>
      </c>
      <c r="AJ496">
        <v>92.462809862400505</v>
      </c>
      <c r="AK496">
        <v>252.379046170664</v>
      </c>
      <c r="AL496">
        <v>86.470742089719593</v>
      </c>
      <c r="AM496">
        <v>88.228264301814093</v>
      </c>
      <c r="AN496">
        <v>1.0000000656208801</v>
      </c>
    </row>
    <row r="497" spans="1:40" x14ac:dyDescent="0.25">
      <c r="A497" t="str">
        <f>"20190312153859905"</f>
        <v>20190312153859905</v>
      </c>
      <c r="B497" t="str">
        <f>"1552376339896685"</f>
        <v>1552376339896685</v>
      </c>
      <c r="C497" t="s">
        <v>40</v>
      </c>
      <c r="D497">
        <v>4.1589049999999999</v>
      </c>
      <c r="E497">
        <v>0.46601100000000001</v>
      </c>
      <c r="F497" t="s">
        <v>47</v>
      </c>
      <c r="G497">
        <v>-169.2955</v>
      </c>
      <c r="H497">
        <v>1.895567</v>
      </c>
      <c r="I497">
        <v>381.45359999999999</v>
      </c>
      <c r="J497">
        <v>-410.18549999999999</v>
      </c>
      <c r="K497">
        <v>1.0606599999999999</v>
      </c>
      <c r="L497">
        <v>368.02190000000002</v>
      </c>
      <c r="M497">
        <v>0.99988679999999996</v>
      </c>
      <c r="N497">
        <v>0</v>
      </c>
      <c r="O497">
        <v>-4.9683099999999999E-4</v>
      </c>
      <c r="P497">
        <v>0.99842140000000001</v>
      </c>
      <c r="Q497">
        <v>4.6571939999999999E-2</v>
      </c>
      <c r="R497">
        <v>-3.1393619999999997E-2</v>
      </c>
      <c r="S497">
        <v>3.0095209999999999</v>
      </c>
      <c r="T497">
        <v>1.0424849999999999E-2</v>
      </c>
      <c r="U497">
        <v>0.16769410000000001</v>
      </c>
      <c r="V497">
        <v>3.088774E-2</v>
      </c>
      <c r="W497">
        <v>6.1583449999999998E-2</v>
      </c>
      <c r="X497">
        <v>0.99762390000000001</v>
      </c>
      <c r="Y497">
        <v>-5.6130649999999997E-2</v>
      </c>
      <c r="Z497" s="1">
        <v>-9.8861309999999996E-5</v>
      </c>
      <c r="AA497">
        <v>0.99842339999999996</v>
      </c>
      <c r="AB497">
        <v>26</v>
      </c>
      <c r="AC497">
        <v>240.89</v>
      </c>
      <c r="AD497">
        <v>0.83490699999999896</v>
      </c>
      <c r="AE497">
        <v>13.4316999999999</v>
      </c>
      <c r="AF497">
        <v>-13.5512312145854</v>
      </c>
      <c r="AG497">
        <v>0.83490699999999896</v>
      </c>
      <c r="AH497">
        <v>240.88041158031899</v>
      </c>
      <c r="AI497">
        <v>89.801723446619405</v>
      </c>
      <c r="AJ497">
        <v>93.219899894913496</v>
      </c>
      <c r="AK497">
        <v>241.262731519466</v>
      </c>
      <c r="AL497">
        <v>86.469294146216399</v>
      </c>
      <c r="AM497">
        <v>88.226614283983096</v>
      </c>
      <c r="AN497">
        <v>1.0000000098237101</v>
      </c>
    </row>
    <row r="498" spans="1:40" x14ac:dyDescent="0.25">
      <c r="A498" t="str">
        <f>"20190312153859919"</f>
        <v>20190312153859919</v>
      </c>
      <c r="B498" t="str">
        <f>"1552376339906444"</f>
        <v>1552376339906444</v>
      </c>
      <c r="C498" t="s">
        <v>40</v>
      </c>
      <c r="D498">
        <v>4.1470399999999996</v>
      </c>
      <c r="E498">
        <v>0.46505819999999998</v>
      </c>
      <c r="F498" t="s">
        <v>47</v>
      </c>
      <c r="G498">
        <v>-169.2955</v>
      </c>
      <c r="H498">
        <v>2.0340829999999999</v>
      </c>
      <c r="I498">
        <v>382.41059999999999</v>
      </c>
      <c r="J498">
        <v>-410.01920000000001</v>
      </c>
      <c r="K498">
        <v>1.0606610000000001</v>
      </c>
      <c r="L498">
        <v>368.02179999999998</v>
      </c>
      <c r="M498">
        <v>0.99988690000000002</v>
      </c>
      <c r="N498">
        <v>0</v>
      </c>
      <c r="O498">
        <v>-4.2671769999999998E-4</v>
      </c>
      <c r="P498">
        <v>0.99843150000000003</v>
      </c>
      <c r="Q498">
        <v>4.6426920000000003E-2</v>
      </c>
      <c r="R498">
        <v>-3.1291190000000003E-2</v>
      </c>
      <c r="S498">
        <v>3.0097960000000001</v>
      </c>
      <c r="T498">
        <v>1.2163520000000001E-2</v>
      </c>
      <c r="U498">
        <v>0.1797791</v>
      </c>
      <c r="V498">
        <v>3.0855179999999999E-2</v>
      </c>
      <c r="W498">
        <v>6.1434000000000002E-2</v>
      </c>
      <c r="X498">
        <v>0.99763409999999997</v>
      </c>
      <c r="Y498">
        <v>-6.0050539999999999E-2</v>
      </c>
      <c r="Z498">
        <v>-1.2295599999999999E-4</v>
      </c>
      <c r="AA498">
        <v>0.99819539999999995</v>
      </c>
      <c r="AB498">
        <v>26</v>
      </c>
      <c r="AC498">
        <v>240.72370000000001</v>
      </c>
      <c r="AD498">
        <v>0.97342200000000001</v>
      </c>
      <c r="AE498">
        <v>14.3888</v>
      </c>
      <c r="AF498">
        <v>-14.491295248354</v>
      </c>
      <c r="AG498">
        <v>0.97342200000000001</v>
      </c>
      <c r="AH498">
        <v>240.71361534963199</v>
      </c>
      <c r="AI498">
        <v>89.768721527045898</v>
      </c>
      <c r="AJ498">
        <v>93.445127870343001</v>
      </c>
      <c r="AK498">
        <v>241.15138358105199</v>
      </c>
      <c r="AL498">
        <v>86.477873167505294</v>
      </c>
      <c r="AM498">
        <v>88.228500589667306</v>
      </c>
      <c r="AN498">
        <v>0.99999998798582102</v>
      </c>
    </row>
    <row r="499" spans="1:40" x14ac:dyDescent="0.25">
      <c r="A499" t="str">
        <f>"20190312153859937"</f>
        <v>20190312153859937</v>
      </c>
      <c r="B499" t="str">
        <f>"1552376339925964"</f>
        <v>1552376339925964</v>
      </c>
      <c r="C499" t="s">
        <v>40</v>
      </c>
      <c r="D499">
        <v>4.1459359999999998</v>
      </c>
      <c r="E499">
        <v>0.46368920000000002</v>
      </c>
      <c r="F499" t="s">
        <v>47</v>
      </c>
      <c r="G499">
        <v>-169.2955</v>
      </c>
      <c r="H499">
        <v>1.9716899999999999</v>
      </c>
      <c r="I499">
        <v>383.02879999999999</v>
      </c>
      <c r="J499">
        <v>-409.80290000000002</v>
      </c>
      <c r="K499">
        <v>1.060659</v>
      </c>
      <c r="L499">
        <v>368.02179999999998</v>
      </c>
      <c r="M499">
        <v>0.99988710000000003</v>
      </c>
      <c r="N499">
        <v>0</v>
      </c>
      <c r="O499">
        <v>-3.359665E-4</v>
      </c>
      <c r="P499">
        <v>0.99845300000000003</v>
      </c>
      <c r="Q499">
        <v>4.5836170000000002E-2</v>
      </c>
      <c r="R499">
        <v>-3.1474759999999997E-2</v>
      </c>
      <c r="S499">
        <v>3.0101010000000001</v>
      </c>
      <c r="T499">
        <v>1.1392950000000001E-2</v>
      </c>
      <c r="U499">
        <v>0.1876526</v>
      </c>
      <c r="V499">
        <v>3.1129589999999999E-2</v>
      </c>
      <c r="W499">
        <v>6.0838610000000001E-2</v>
      </c>
      <c r="X499">
        <v>0.9976621</v>
      </c>
      <c r="Y499">
        <v>-6.2555079999999999E-2</v>
      </c>
      <c r="Z499">
        <v>-1.195379E-4</v>
      </c>
      <c r="AA499">
        <v>0.99804150000000003</v>
      </c>
      <c r="AB499">
        <v>26</v>
      </c>
      <c r="AC499">
        <v>240.50739999999999</v>
      </c>
      <c r="AD499">
        <v>0.91103100000000004</v>
      </c>
      <c r="AE499">
        <v>15.007</v>
      </c>
      <c r="AF499">
        <v>-15.0875950551139</v>
      </c>
      <c r="AG499">
        <v>0.91103100000000004</v>
      </c>
      <c r="AH499">
        <v>240.498906566817</v>
      </c>
      <c r="AI499">
        <v>89.783385422898903</v>
      </c>
      <c r="AJ499">
        <v>93.589721652084293</v>
      </c>
      <c r="AK499">
        <v>240.973420861855</v>
      </c>
      <c r="AL499">
        <v>86.512050569256502</v>
      </c>
      <c r="AM499">
        <v>88.212806091289096</v>
      </c>
      <c r="AN499">
        <v>1.00000002680835</v>
      </c>
    </row>
    <row r="500" spans="1:40" x14ac:dyDescent="0.25">
      <c r="A500" t="str">
        <f>"20190312153859959"</f>
        <v>20190312153859959</v>
      </c>
      <c r="B500" t="str">
        <f>"1552376339946460"</f>
        <v>1552376339946460</v>
      </c>
      <c r="C500" t="s">
        <v>40</v>
      </c>
      <c r="D500">
        <v>4.1481589999999997</v>
      </c>
      <c r="E500">
        <v>0.46286450000000001</v>
      </c>
      <c r="F500" t="s">
        <v>47</v>
      </c>
      <c r="G500">
        <v>-169.2955</v>
      </c>
      <c r="H500">
        <v>1.8109040000000001</v>
      </c>
      <c r="I500">
        <v>383.83510000000001</v>
      </c>
      <c r="J500">
        <v>-409.5514</v>
      </c>
      <c r="K500">
        <v>1.060662</v>
      </c>
      <c r="L500">
        <v>368.02190000000002</v>
      </c>
      <c r="M500">
        <v>0.99988730000000003</v>
      </c>
      <c r="N500">
        <v>0</v>
      </c>
      <c r="O500">
        <v>-2.306671E-4</v>
      </c>
      <c r="P500">
        <v>0.99847739999999996</v>
      </c>
      <c r="Q500">
        <v>4.5176670000000002E-2</v>
      </c>
      <c r="R500">
        <v>-3.1663450000000003E-2</v>
      </c>
      <c r="S500">
        <v>3.0104679999999999</v>
      </c>
      <c r="T500">
        <v>9.3920229999999993E-3</v>
      </c>
      <c r="U500">
        <v>0.197937</v>
      </c>
      <c r="V500">
        <v>3.1423430000000002E-2</v>
      </c>
      <c r="W500">
        <v>6.017368E-2</v>
      </c>
      <c r="X500">
        <v>0.99769319999999895</v>
      </c>
      <c r="Y500">
        <v>-6.5837820000000005E-2</v>
      </c>
      <c r="Z500">
        <v>-1.0330799999999999E-4</v>
      </c>
      <c r="AA500">
        <v>0.99783029999999995</v>
      </c>
      <c r="AB500">
        <v>26</v>
      </c>
      <c r="AC500">
        <v>240.2559</v>
      </c>
      <c r="AD500">
        <v>0.75024199999999996</v>
      </c>
      <c r="AE500">
        <v>15.813199999999901</v>
      </c>
      <c r="AF500">
        <v>-15.868470887912</v>
      </c>
      <c r="AG500">
        <v>0.75024199999999996</v>
      </c>
      <c r="AH500">
        <v>240.24991300936301</v>
      </c>
      <c r="AI500">
        <v>89.821468810531499</v>
      </c>
      <c r="AJ500">
        <v>93.778888823196993</v>
      </c>
      <c r="AK500">
        <v>240.77456662277601</v>
      </c>
      <c r="AL500">
        <v>86.550218132024</v>
      </c>
      <c r="AM500">
        <v>88.196003614402002</v>
      </c>
      <c r="AN500">
        <v>1.0000000125219699</v>
      </c>
    </row>
    <row r="501" spans="1:40" x14ac:dyDescent="0.25">
      <c r="A501" t="str">
        <f>"20190312153859980"</f>
        <v>20190312153859980</v>
      </c>
      <c r="B501" t="str">
        <f>"1552376339976716"</f>
        <v>1552376339976716</v>
      </c>
      <c r="C501" t="s">
        <v>40</v>
      </c>
      <c r="D501">
        <v>4.1176680000000001</v>
      </c>
      <c r="E501">
        <v>0.46218629999999999</v>
      </c>
      <c r="F501" t="s">
        <v>47</v>
      </c>
      <c r="G501">
        <v>-169.2955</v>
      </c>
      <c r="H501">
        <v>1.635775</v>
      </c>
      <c r="I501">
        <v>384.30930000000001</v>
      </c>
      <c r="J501">
        <v>-409.30689999999998</v>
      </c>
      <c r="K501">
        <v>1.0606549999999999</v>
      </c>
      <c r="L501">
        <v>368.02190000000002</v>
      </c>
      <c r="M501">
        <v>0.99988739999999998</v>
      </c>
      <c r="N501">
        <v>0</v>
      </c>
      <c r="O501">
        <v>-1.274046E-4</v>
      </c>
      <c r="P501">
        <v>0.99849370000000004</v>
      </c>
      <c r="Q501">
        <v>4.4840360000000003E-2</v>
      </c>
      <c r="R501">
        <v>-3.1623970000000001E-2</v>
      </c>
      <c r="S501">
        <v>3.0107119999999998</v>
      </c>
      <c r="T501">
        <v>7.2079900000000001E-3</v>
      </c>
      <c r="U501">
        <v>0.20410159999999999</v>
      </c>
      <c r="V501">
        <v>3.1487179999999997E-2</v>
      </c>
      <c r="W501">
        <v>5.9831450000000001E-2</v>
      </c>
      <c r="X501">
        <v>0.99771180000000004</v>
      </c>
      <c r="Y501">
        <v>-6.7763500000000004E-2</v>
      </c>
      <c r="Z501" s="1">
        <v>-8.1328419999999993E-5</v>
      </c>
      <c r="AA501">
        <v>0.99770139999999996</v>
      </c>
      <c r="AB501">
        <v>26</v>
      </c>
      <c r="AC501">
        <v>240.01140000000001</v>
      </c>
      <c r="AD501">
        <v>0.57511999999999996</v>
      </c>
      <c r="AE501">
        <v>16.287399999999899</v>
      </c>
      <c r="AF501">
        <v>-16.3178886018163</v>
      </c>
      <c r="AG501">
        <v>0.57511999999999996</v>
      </c>
      <c r="AH501">
        <v>240.00795095150701</v>
      </c>
      <c r="AI501">
        <v>89.863021250650903</v>
      </c>
      <c r="AJ501">
        <v>93.889494205225503</v>
      </c>
      <c r="AK501">
        <v>240.56271691884601</v>
      </c>
      <c r="AL501">
        <v>86.569861955809898</v>
      </c>
      <c r="AM501">
        <v>88.192379875793904</v>
      </c>
      <c r="AN501">
        <v>1.00000004038634</v>
      </c>
    </row>
    <row r="502" spans="1:40" x14ac:dyDescent="0.25">
      <c r="A502" t="str">
        <f>"20190312153900003"</f>
        <v>20190312153900003</v>
      </c>
      <c r="B502" t="str">
        <f>"1552376339996237"</f>
        <v>1552376339996237</v>
      </c>
      <c r="C502" t="s">
        <v>40</v>
      </c>
      <c r="D502">
        <v>4.0903470000000004</v>
      </c>
      <c r="E502">
        <v>0.46171240000000002</v>
      </c>
      <c r="F502" t="s">
        <v>47</v>
      </c>
      <c r="G502">
        <v>-158.78319999999999</v>
      </c>
      <c r="H502">
        <v>1.5804959999999999</v>
      </c>
      <c r="I502">
        <v>385.45890000000003</v>
      </c>
      <c r="J502">
        <v>-409.04199999999997</v>
      </c>
      <c r="K502">
        <v>1.0606610000000001</v>
      </c>
      <c r="L502">
        <v>368.02199999999999</v>
      </c>
      <c r="M502">
        <v>0.99988739999999998</v>
      </c>
      <c r="N502">
        <v>0</v>
      </c>
      <c r="O502" s="1">
        <v>-1.567023E-5</v>
      </c>
      <c r="P502">
        <v>0.99847719999999995</v>
      </c>
      <c r="Q502">
        <v>4.5025040000000002E-2</v>
      </c>
      <c r="R502">
        <v>-3.1878509999999999E-2</v>
      </c>
      <c r="S502">
        <v>3.0108950000000001</v>
      </c>
      <c r="T502">
        <v>6.2487130000000004E-3</v>
      </c>
      <c r="U502">
        <v>0.20956420000000001</v>
      </c>
      <c r="V502">
        <v>3.185342E-2</v>
      </c>
      <c r="W502">
        <v>6.0009949999999999E-2</v>
      </c>
      <c r="X502">
        <v>0.99768939999999995</v>
      </c>
      <c r="Y502">
        <v>-6.9449479999999994E-2</v>
      </c>
      <c r="Z502" s="1">
        <v>-7.2011919999999995E-5</v>
      </c>
      <c r="AA502">
        <v>0.99758550000000001</v>
      </c>
      <c r="AB502">
        <v>26</v>
      </c>
      <c r="AC502">
        <v>250.25880000000001</v>
      </c>
      <c r="AD502">
        <v>0.51983499999999905</v>
      </c>
      <c r="AE502">
        <v>17.436900000000001</v>
      </c>
      <c r="AF502">
        <v>-17.4407471641066</v>
      </c>
      <c r="AG502">
        <v>0.51983499999999905</v>
      </c>
      <c r="AH502">
        <v>250.25745212487499</v>
      </c>
      <c r="AI502">
        <v>89.881273297287393</v>
      </c>
      <c r="AJ502">
        <v>93.986567041447501</v>
      </c>
      <c r="AK502">
        <v>250.86498805952101</v>
      </c>
      <c r="AL502">
        <v>86.559616064440505</v>
      </c>
      <c r="AM502">
        <v>88.171327886625704</v>
      </c>
      <c r="AN502">
        <v>0.99999998666852896</v>
      </c>
    </row>
    <row r="503" spans="1:40" x14ac:dyDescent="0.25">
      <c r="A503" t="str">
        <f>"20190312153900016"</f>
        <v>20190312153900016</v>
      </c>
      <c r="B503" t="str">
        <f>"1552376340005996"</f>
        <v>1552376340005996</v>
      </c>
      <c r="C503" t="s">
        <v>40</v>
      </c>
      <c r="D503">
        <v>4.0651479999999998</v>
      </c>
      <c r="E503">
        <v>0.46146720000000002</v>
      </c>
      <c r="F503" t="s">
        <v>47</v>
      </c>
      <c r="G503">
        <v>-158.78319999999999</v>
      </c>
      <c r="H503">
        <v>1.631308</v>
      </c>
      <c r="I503">
        <v>385.70089999999999</v>
      </c>
      <c r="J503">
        <v>-408.87400000000002</v>
      </c>
      <c r="K503">
        <v>1.060662</v>
      </c>
      <c r="L503">
        <v>368.02210000000002</v>
      </c>
      <c r="M503">
        <v>0.99988759999999999</v>
      </c>
      <c r="N503">
        <v>0</v>
      </c>
      <c r="O503" s="1">
        <v>5.4982999999999999E-5</v>
      </c>
      <c r="P503">
        <v>0.99847989999999998</v>
      </c>
      <c r="Q503">
        <v>4.4972730000000002E-2</v>
      </c>
      <c r="R503">
        <v>-3.1873730000000003E-2</v>
      </c>
      <c r="S503">
        <v>3.011047</v>
      </c>
      <c r="T503">
        <v>6.8669319999999897E-3</v>
      </c>
      <c r="U503">
        <v>0.21270749999999999</v>
      </c>
      <c r="V503">
        <v>3.1919009999999998E-2</v>
      </c>
      <c r="W503">
        <v>5.9953300000000001E-2</v>
      </c>
      <c r="X503">
        <v>0.99769070000000004</v>
      </c>
      <c r="Y503">
        <v>-7.0411730000000006E-2</v>
      </c>
      <c r="Z503" s="1">
        <v>-8.0064480000000004E-5</v>
      </c>
      <c r="AA503">
        <v>0.99751800000000002</v>
      </c>
      <c r="AB503">
        <v>26</v>
      </c>
      <c r="AC503">
        <v>250.0908</v>
      </c>
      <c r="AD503">
        <v>0.57064599999999999</v>
      </c>
      <c r="AE503">
        <v>17.678799999999899</v>
      </c>
      <c r="AF503">
        <v>-17.664956171419899</v>
      </c>
      <c r="AG503">
        <v>0.57064599999999999</v>
      </c>
      <c r="AH503">
        <v>250.090476165902</v>
      </c>
      <c r="AI503">
        <v>89.869590025713904</v>
      </c>
      <c r="AJ503">
        <v>94.040334663139802</v>
      </c>
      <c r="AK503">
        <v>250.714224930065</v>
      </c>
      <c r="AL503">
        <v>86.5628676922219</v>
      </c>
      <c r="AM503">
        <v>88.167567382672999</v>
      </c>
      <c r="AN503">
        <v>0.99999997712337896</v>
      </c>
    </row>
    <row r="504" spans="1:40" x14ac:dyDescent="0.25">
      <c r="A504" t="str">
        <f>"20190312153900038"</f>
        <v>20190312153900038</v>
      </c>
      <c r="B504" t="str">
        <f>"1552376340026492"</f>
        <v>1552376340026492</v>
      </c>
      <c r="C504" t="s">
        <v>40</v>
      </c>
      <c r="D504">
        <v>4.0830719999999996</v>
      </c>
      <c r="E504">
        <v>0.46112199999999998</v>
      </c>
      <c r="F504" t="s">
        <v>47</v>
      </c>
      <c r="G504">
        <v>-158.78319999999999</v>
      </c>
      <c r="H504">
        <v>1.6651130000000001</v>
      </c>
      <c r="I504">
        <v>385.85599999999999</v>
      </c>
      <c r="J504">
        <v>-408.63549999999998</v>
      </c>
      <c r="K504">
        <v>1.0606549999999999</v>
      </c>
      <c r="L504">
        <v>368.0222</v>
      </c>
      <c r="M504">
        <v>0.99988770000000005</v>
      </c>
      <c r="N504">
        <v>0</v>
      </c>
      <c r="O504">
        <v>1.556866E-4</v>
      </c>
      <c r="P504">
        <v>0.99847660000000005</v>
      </c>
      <c r="Q504">
        <v>4.4927519999999999E-2</v>
      </c>
      <c r="R504">
        <v>-3.2036549999999997E-2</v>
      </c>
      <c r="S504">
        <v>3.0111080000000001</v>
      </c>
      <c r="T504">
        <v>7.27868099999999E-3</v>
      </c>
      <c r="U504">
        <v>0.21472169999999999</v>
      </c>
      <c r="V504">
        <v>3.2182580000000002E-2</v>
      </c>
      <c r="W504">
        <v>5.9901900000000001E-2</v>
      </c>
      <c r="X504">
        <v>0.99768539999999994</v>
      </c>
      <c r="Y504">
        <v>-7.0973709999999995E-2</v>
      </c>
      <c r="Z504" s="1">
        <v>-8.5296730000000001E-5</v>
      </c>
      <c r="AA504">
        <v>0.99747819999999998</v>
      </c>
      <c r="AB504">
        <v>26</v>
      </c>
      <c r="AC504">
        <v>249.85230000000001</v>
      </c>
      <c r="AD504">
        <v>0.60445800000000005</v>
      </c>
      <c r="AE504">
        <v>17.833799999999901</v>
      </c>
      <c r="AF504">
        <v>-17.794793138504598</v>
      </c>
      <c r="AG504">
        <v>0.60445800000000005</v>
      </c>
      <c r="AH504">
        <v>249.85361882975201</v>
      </c>
      <c r="AI504">
        <v>89.861737756753499</v>
      </c>
      <c r="AJ504">
        <v>94.073776833963606</v>
      </c>
      <c r="AK504">
        <v>250.487226969039</v>
      </c>
      <c r="AL504">
        <v>86.565818271561696</v>
      </c>
      <c r="AM504">
        <v>88.152436776592197</v>
      </c>
      <c r="AN504">
        <v>1.00000005672611</v>
      </c>
    </row>
    <row r="505" spans="1:40" x14ac:dyDescent="0.25">
      <c r="A505" t="str">
        <f>"20190312153900051"</f>
        <v>20190312153900051</v>
      </c>
      <c r="B505" t="str">
        <f>"1552376340046989"</f>
        <v>1552376340046989</v>
      </c>
      <c r="C505" t="s">
        <v>40</v>
      </c>
      <c r="D505">
        <v>4.07768</v>
      </c>
      <c r="E505">
        <v>0.46084039999999998</v>
      </c>
      <c r="F505" t="s">
        <v>47</v>
      </c>
      <c r="G505">
        <v>-158.78319999999999</v>
      </c>
      <c r="H505">
        <v>1.7651330000000001</v>
      </c>
      <c r="I505">
        <v>386.01609999999999</v>
      </c>
      <c r="J505">
        <v>-408.47239999999999</v>
      </c>
      <c r="K505">
        <v>1.0606549999999999</v>
      </c>
      <c r="L505">
        <v>368.02229999999997</v>
      </c>
      <c r="M505">
        <v>0.99988770000000005</v>
      </c>
      <c r="N505">
        <v>0</v>
      </c>
      <c r="O505">
        <v>2.2431330000000001E-4</v>
      </c>
      <c r="P505">
        <v>0.99847260000000004</v>
      </c>
      <c r="Q505">
        <v>4.5055820000000003E-2</v>
      </c>
      <c r="R505">
        <v>-3.1984079999999998E-2</v>
      </c>
      <c r="S505">
        <v>3.0111690000000002</v>
      </c>
      <c r="T505">
        <v>8.4912779999999997E-3</v>
      </c>
      <c r="U505">
        <v>0.21685789999999999</v>
      </c>
      <c r="V505">
        <v>3.2198640000000001E-2</v>
      </c>
      <c r="W505">
        <v>6.0026129999999997E-2</v>
      </c>
      <c r="X505">
        <v>0.99767740000000005</v>
      </c>
      <c r="Y505">
        <v>-7.1607760000000006E-2</v>
      </c>
      <c r="Z505">
        <v>-1.0020170000000001E-4</v>
      </c>
      <c r="AA505">
        <v>0.99743289999999996</v>
      </c>
      <c r="AB505">
        <v>26</v>
      </c>
      <c r="AC505">
        <v>249.6892</v>
      </c>
      <c r="AD505">
        <v>0.70447800000000005</v>
      </c>
      <c r="AE505">
        <v>17.9938</v>
      </c>
      <c r="AF505">
        <v>-17.937642596483599</v>
      </c>
      <c r="AG505">
        <v>0.70447800000000005</v>
      </c>
      <c r="AH505">
        <v>249.69125304352599</v>
      </c>
      <c r="AI505">
        <v>89.838761851474601</v>
      </c>
      <c r="AJ505">
        <v>94.109029141048694</v>
      </c>
      <c r="AK505">
        <v>250.335728887464</v>
      </c>
      <c r="AL505">
        <v>86.558687533719905</v>
      </c>
      <c r="AM505">
        <v>88.151500618752607</v>
      </c>
      <c r="AN505">
        <v>1.00000004158569</v>
      </c>
    </row>
    <row r="506" spans="1:40" x14ac:dyDescent="0.25">
      <c r="A506" t="str">
        <f>"20190312153900070"</f>
        <v>20190312153900070</v>
      </c>
      <c r="B506" t="str">
        <f>"1552376340066509"</f>
        <v>1552376340066509</v>
      </c>
      <c r="C506" t="s">
        <v>40</v>
      </c>
      <c r="D506">
        <v>4.0701530000000004</v>
      </c>
      <c r="E506">
        <v>0.46057819999999999</v>
      </c>
      <c r="F506" t="s">
        <v>47</v>
      </c>
      <c r="G506">
        <v>-158.78319999999999</v>
      </c>
      <c r="H506">
        <v>1.807053</v>
      </c>
      <c r="I506">
        <v>386.19400000000002</v>
      </c>
      <c r="J506">
        <v>-408.26229999999998</v>
      </c>
      <c r="K506">
        <v>1.060656</v>
      </c>
      <c r="L506">
        <v>368.02249999999998</v>
      </c>
      <c r="M506">
        <v>0.99988779999999999</v>
      </c>
      <c r="N506">
        <v>0</v>
      </c>
      <c r="O506">
        <v>3.1333009999999999E-4</v>
      </c>
      <c r="P506">
        <v>0.99845110000000004</v>
      </c>
      <c r="Q506">
        <v>4.5364170000000002E-2</v>
      </c>
      <c r="R506">
        <v>-3.2213529999999997E-2</v>
      </c>
      <c r="S506">
        <v>3.0112000000000001</v>
      </c>
      <c r="T506">
        <v>9.0024470000000002E-3</v>
      </c>
      <c r="U506">
        <v>0.2191467</v>
      </c>
      <c r="V506">
        <v>3.25171E-2</v>
      </c>
      <c r="W506">
        <v>6.032933E-2</v>
      </c>
      <c r="X506">
        <v>0.99764870000000005</v>
      </c>
      <c r="Y506">
        <v>-7.2272379999999997E-2</v>
      </c>
      <c r="Z506">
        <v>-1.069562E-4</v>
      </c>
      <c r="AA506">
        <v>0.99738490000000002</v>
      </c>
      <c r="AB506">
        <v>26</v>
      </c>
      <c r="AC506">
        <v>249.47909999999999</v>
      </c>
      <c r="AD506">
        <v>0.74639699999999898</v>
      </c>
      <c r="AE506">
        <v>18.171500000000002</v>
      </c>
      <c r="AF506">
        <v>-18.0931599315531</v>
      </c>
      <c r="AG506">
        <v>0.74639699999999898</v>
      </c>
      <c r="AH506">
        <v>249.48256073454999</v>
      </c>
      <c r="AI506">
        <v>89.829033141331195</v>
      </c>
      <c r="AJ506">
        <v>94.147985155982198</v>
      </c>
      <c r="AK506">
        <v>250.138896726317</v>
      </c>
      <c r="AL506">
        <v>86.541283627879693</v>
      </c>
      <c r="AM506">
        <v>88.133177280735595</v>
      </c>
      <c r="AN506">
        <v>0.99999995923117302</v>
      </c>
    </row>
    <row r="507" spans="1:40" x14ac:dyDescent="0.25">
      <c r="A507" t="str">
        <f>"20190312153900083"</f>
        <v>20190312153900083</v>
      </c>
      <c r="B507" t="str">
        <f>"1552376340076268"</f>
        <v>1552376340076268</v>
      </c>
      <c r="C507" t="s">
        <v>40</v>
      </c>
      <c r="D507">
        <v>4.0559059999999896</v>
      </c>
      <c r="E507">
        <v>0.46047129999999997</v>
      </c>
      <c r="F507" t="s">
        <v>47</v>
      </c>
      <c r="G507">
        <v>-158.78319999999999</v>
      </c>
      <c r="H507">
        <v>1.980165</v>
      </c>
      <c r="I507">
        <v>386.30500000000001</v>
      </c>
      <c r="J507">
        <v>-408.11009999999999</v>
      </c>
      <c r="K507">
        <v>1.0606580000000001</v>
      </c>
      <c r="L507">
        <v>368.02260000000001</v>
      </c>
      <c r="M507">
        <v>0.99988779999999999</v>
      </c>
      <c r="N507">
        <v>0</v>
      </c>
      <c r="O507">
        <v>3.7742720000000002E-4</v>
      </c>
      <c r="P507">
        <v>0.99844829999999996</v>
      </c>
      <c r="Q507">
        <v>4.5363670000000002E-2</v>
      </c>
      <c r="R507">
        <v>-3.2307679999999998E-2</v>
      </c>
      <c r="S507">
        <v>3.0112610000000002</v>
      </c>
      <c r="T507">
        <v>1.1099700000000001E-2</v>
      </c>
      <c r="U507">
        <v>0.2206726</v>
      </c>
      <c r="V507">
        <v>3.2675030000000001E-2</v>
      </c>
      <c r="W507">
        <v>6.0325049999999998E-2</v>
      </c>
      <c r="X507">
        <v>0.99764379999999997</v>
      </c>
      <c r="Y507">
        <v>-7.2709529999999994E-2</v>
      </c>
      <c r="Z507">
        <v>-1.3243660000000001E-4</v>
      </c>
      <c r="AA507">
        <v>0.99735309999999999</v>
      </c>
      <c r="AB507">
        <v>26</v>
      </c>
      <c r="AC507">
        <v>249.32689999999999</v>
      </c>
      <c r="AD507">
        <v>0.91950699999999996</v>
      </c>
      <c r="AE507">
        <v>18.282399999999999</v>
      </c>
      <c r="AF507">
        <v>-18.188039337890299</v>
      </c>
      <c r="AG507">
        <v>0.91950699999999996</v>
      </c>
      <c r="AH507">
        <v>249.33041027215401</v>
      </c>
      <c r="AI507">
        <v>89.789259497797303</v>
      </c>
      <c r="AJ507">
        <v>94.172195908477207</v>
      </c>
      <c r="AK507">
        <v>249.99460745096101</v>
      </c>
      <c r="AL507">
        <v>86.541529305539299</v>
      </c>
      <c r="AM507">
        <v>88.124107697048899</v>
      </c>
      <c r="AN507">
        <v>0.99999996046072004</v>
      </c>
    </row>
    <row r="508" spans="1:40" x14ac:dyDescent="0.25">
      <c r="A508" t="str">
        <f>"20190312153900094"</f>
        <v>20190312153900094</v>
      </c>
      <c r="B508" t="str">
        <f>"1552376340087004"</f>
        <v>1552376340087004</v>
      </c>
      <c r="C508" t="s">
        <v>40</v>
      </c>
      <c r="D508">
        <v>4.0563070000000003</v>
      </c>
      <c r="E508">
        <v>0.46035189999999998</v>
      </c>
      <c r="F508" t="s">
        <v>47</v>
      </c>
      <c r="G508">
        <v>-158.78319999999999</v>
      </c>
      <c r="H508">
        <v>2.0454289999999999</v>
      </c>
      <c r="I508">
        <v>386.33670000000001</v>
      </c>
      <c r="J508">
        <v>-407.96339999999998</v>
      </c>
      <c r="K508">
        <v>1.060657</v>
      </c>
      <c r="L508">
        <v>368.02269999999999</v>
      </c>
      <c r="M508">
        <v>0.99988770000000005</v>
      </c>
      <c r="N508">
        <v>0</v>
      </c>
      <c r="O508">
        <v>4.391431E-4</v>
      </c>
      <c r="P508">
        <v>0.99842980000000003</v>
      </c>
      <c r="Q508">
        <v>4.5750319999999997E-2</v>
      </c>
      <c r="R508">
        <v>-3.232471E-2</v>
      </c>
      <c r="S508">
        <v>3.0112920000000001</v>
      </c>
      <c r="T508">
        <v>1.189482E-2</v>
      </c>
      <c r="U508">
        <v>0.22119140000000001</v>
      </c>
      <c r="V508">
        <v>3.2753829999999998E-2</v>
      </c>
      <c r="W508">
        <v>6.070772E-2</v>
      </c>
      <c r="X508">
        <v>0.997618</v>
      </c>
      <c r="Y508">
        <v>-7.2818060000000004E-2</v>
      </c>
      <c r="Z508">
        <v>-1.418918E-4</v>
      </c>
      <c r="AA508">
        <v>0.99734520000000004</v>
      </c>
      <c r="AB508">
        <v>26</v>
      </c>
      <c r="AC508">
        <v>249.18020000000001</v>
      </c>
      <c r="AD508">
        <v>0.98477199999999998</v>
      </c>
      <c r="AE508">
        <v>18.314</v>
      </c>
      <c r="AF508">
        <v>-18.2042773897278</v>
      </c>
      <c r="AG508">
        <v>0.98477199999999998</v>
      </c>
      <c r="AH508">
        <v>249.184348317001</v>
      </c>
      <c r="AI508">
        <v>89.774171130580896</v>
      </c>
      <c r="AJ508">
        <v>94.178346705466396</v>
      </c>
      <c r="AK508">
        <v>249.85036509347501</v>
      </c>
      <c r="AL508">
        <v>86.519563658994102</v>
      </c>
      <c r="AM508">
        <v>88.119538391993999</v>
      </c>
      <c r="AN508">
        <v>0.99999995728563196</v>
      </c>
    </row>
    <row r="509" spans="1:40" x14ac:dyDescent="0.25">
      <c r="A509" t="str">
        <f>"20190312153900115"</f>
        <v>20190312153900115</v>
      </c>
      <c r="B509" t="str">
        <f>"1552376340106524"</f>
        <v>1552376340106524</v>
      </c>
      <c r="C509" t="s">
        <v>40</v>
      </c>
      <c r="D509">
        <v>4.0706110000000004</v>
      </c>
      <c r="E509">
        <v>0.46012189999999997</v>
      </c>
      <c r="F509" t="s">
        <v>47</v>
      </c>
      <c r="G509">
        <v>-158.78319999999999</v>
      </c>
      <c r="H509">
        <v>2.1819670000000002</v>
      </c>
      <c r="I509">
        <v>386.4144</v>
      </c>
      <c r="J509">
        <v>-407.74189999999999</v>
      </c>
      <c r="K509">
        <v>1.0606549999999999</v>
      </c>
      <c r="L509">
        <v>368.02289999999999</v>
      </c>
      <c r="M509">
        <v>0.99988759999999999</v>
      </c>
      <c r="N509">
        <v>0</v>
      </c>
      <c r="O509">
        <v>5.3186689999999996E-4</v>
      </c>
      <c r="P509">
        <v>0.99842120000000001</v>
      </c>
      <c r="Q509">
        <v>4.5708270000000002E-2</v>
      </c>
      <c r="R509">
        <v>-3.2648320000000002E-2</v>
      </c>
      <c r="S509">
        <v>3.0112920000000001</v>
      </c>
      <c r="T509">
        <v>1.3551830000000001E-2</v>
      </c>
      <c r="U509">
        <v>0.2222595</v>
      </c>
      <c r="V509">
        <v>3.3169940000000002E-2</v>
      </c>
      <c r="W509">
        <v>6.0660119999999998E-2</v>
      </c>
      <c r="X509">
        <v>0.99760720000000003</v>
      </c>
      <c r="Y509">
        <v>-7.3077260000000005E-2</v>
      </c>
      <c r="Z509">
        <v>-1.6182149999999999E-4</v>
      </c>
      <c r="AA509">
        <v>0.9973263</v>
      </c>
      <c r="AB509">
        <v>26</v>
      </c>
      <c r="AC509">
        <v>248.95869999999999</v>
      </c>
      <c r="AD509">
        <v>1.1213120000000001</v>
      </c>
      <c r="AE509">
        <v>18.391500000000001</v>
      </c>
      <c r="AF509">
        <v>-18.258701252726802</v>
      </c>
      <c r="AG509">
        <v>1.1213120000000001</v>
      </c>
      <c r="AH509">
        <v>248.96342462579301</v>
      </c>
      <c r="AI509">
        <v>89.742637174865905</v>
      </c>
      <c r="AJ509">
        <v>94.194499467999506</v>
      </c>
      <c r="AK509">
        <v>249.634581565617</v>
      </c>
      <c r="AL509">
        <v>86.522296158325602</v>
      </c>
      <c r="AM509">
        <v>88.095645579710705</v>
      </c>
      <c r="AN509">
        <v>1.00000001028492</v>
      </c>
    </row>
    <row r="510" spans="1:40" x14ac:dyDescent="0.25">
      <c r="A510" t="str">
        <f>"20190312153900129"</f>
        <v>20190312153900129</v>
      </c>
      <c r="B510" t="str">
        <f>"1552376340116373"</f>
        <v>1552376340116373</v>
      </c>
      <c r="C510" t="s">
        <v>40</v>
      </c>
      <c r="D510">
        <v>4.0343869999999997</v>
      </c>
      <c r="E510">
        <v>0.46002409999999999</v>
      </c>
      <c r="F510" t="s">
        <v>47</v>
      </c>
      <c r="G510">
        <v>-158.78319999999999</v>
      </c>
      <c r="H510">
        <v>2.2737940000000001</v>
      </c>
      <c r="I510">
        <v>386.46370000000002</v>
      </c>
      <c r="J510">
        <v>-407.58640000000003</v>
      </c>
      <c r="K510">
        <v>1.0606549999999999</v>
      </c>
      <c r="L510">
        <v>368.0231</v>
      </c>
      <c r="M510">
        <v>0.99988790000000005</v>
      </c>
      <c r="N510">
        <v>0</v>
      </c>
      <c r="O510">
        <v>5.9727429999999995E-4</v>
      </c>
      <c r="P510">
        <v>0.99843139999999997</v>
      </c>
      <c r="Q510">
        <v>4.5476820000000001E-2</v>
      </c>
      <c r="R510">
        <v>-3.2662749999999997E-2</v>
      </c>
      <c r="S510">
        <v>3.0113219999999998</v>
      </c>
      <c r="T510">
        <v>1.467478E-2</v>
      </c>
      <c r="U510">
        <v>0.223053</v>
      </c>
      <c r="V510">
        <v>3.3249760000000003E-2</v>
      </c>
      <c r="W510">
        <v>6.0424989999999998E-2</v>
      </c>
      <c r="X510">
        <v>0.99761880000000003</v>
      </c>
      <c r="Y510">
        <v>-7.3272500000000004E-2</v>
      </c>
      <c r="Z510">
        <v>-1.75383699999999E-4</v>
      </c>
      <c r="AA510">
        <v>0.99731190000000003</v>
      </c>
      <c r="AB510">
        <v>26</v>
      </c>
      <c r="AC510">
        <v>248.8032</v>
      </c>
      <c r="AD510">
        <v>1.21313899999999</v>
      </c>
      <c r="AE510">
        <v>18.4406</v>
      </c>
      <c r="AF510">
        <v>-18.2915438248213</v>
      </c>
      <c r="AG510">
        <v>1.21313899999999</v>
      </c>
      <c r="AH510">
        <v>248.80828799504999</v>
      </c>
      <c r="AI510">
        <v>89.721391426248601</v>
      </c>
      <c r="AJ510">
        <v>94.204627905246994</v>
      </c>
      <c r="AK510">
        <v>249.482697710195</v>
      </c>
      <c r="AL510">
        <v>86.535792830510303</v>
      </c>
      <c r="AM510">
        <v>88.0910885159754</v>
      </c>
      <c r="AN510">
        <v>0.99999999803499795</v>
      </c>
    </row>
    <row r="511" spans="1:40" x14ac:dyDescent="0.25">
      <c r="A511" t="str">
        <f>"20190312153900142"</f>
        <v>20190312153900142</v>
      </c>
      <c r="B511" t="str">
        <f>"1552376340137075"</f>
        <v>1552376340137075</v>
      </c>
      <c r="C511" t="s">
        <v>40</v>
      </c>
      <c r="D511">
        <v>4.0276249999999996</v>
      </c>
      <c r="E511">
        <v>0.45979449999999999</v>
      </c>
      <c r="F511" t="s">
        <v>47</v>
      </c>
      <c r="G511">
        <v>-158.78319999999999</v>
      </c>
      <c r="H511">
        <v>2.2720030000000002</v>
      </c>
      <c r="I511">
        <v>386.49540000000002</v>
      </c>
      <c r="J511">
        <v>-407.4239</v>
      </c>
      <c r="K511">
        <v>1.060659</v>
      </c>
      <c r="L511">
        <v>368.02330000000001</v>
      </c>
      <c r="M511">
        <v>0.99988770000000005</v>
      </c>
      <c r="N511">
        <v>0</v>
      </c>
      <c r="O511">
        <v>6.6607989999999996E-4</v>
      </c>
      <c r="P511">
        <v>0.99843539999999997</v>
      </c>
      <c r="Q511">
        <v>4.5372160000000002E-2</v>
      </c>
      <c r="R511">
        <v>-3.2680590000000002E-2</v>
      </c>
      <c r="S511">
        <v>3.0112920000000001</v>
      </c>
      <c r="T511">
        <v>1.4662150000000001E-2</v>
      </c>
      <c r="U511">
        <v>0.22357179999999999</v>
      </c>
      <c r="V511">
        <v>3.3336329999999997E-2</v>
      </c>
      <c r="W511">
        <v>6.0316469999999997E-2</v>
      </c>
      <c r="X511">
        <v>0.99762249999999997</v>
      </c>
      <c r="Y511">
        <v>-7.3375499999999996E-2</v>
      </c>
      <c r="Z511">
        <v>-1.7514909999999999E-4</v>
      </c>
      <c r="AA511">
        <v>0.99730439999999998</v>
      </c>
      <c r="AB511">
        <v>26</v>
      </c>
      <c r="AC511">
        <v>248.64070000000001</v>
      </c>
      <c r="AD511">
        <v>1.21134399999999</v>
      </c>
      <c r="AE511">
        <v>18.472100000000001</v>
      </c>
      <c r="AF511">
        <v>-18.3060306549655</v>
      </c>
      <c r="AG511">
        <v>1.21134399999999</v>
      </c>
      <c r="AH511">
        <v>248.647080843297</v>
      </c>
      <c r="AI511">
        <v>89.721625453544206</v>
      </c>
      <c r="AJ511">
        <v>94.2106643559394</v>
      </c>
      <c r="AK511">
        <v>249.322981139966</v>
      </c>
      <c r="AL511">
        <v>86.542022006219696</v>
      </c>
      <c r="AM511">
        <v>88.086129205325705</v>
      </c>
      <c r="AN511">
        <v>1.00000001997868</v>
      </c>
    </row>
    <row r="512" spans="1:40" x14ac:dyDescent="0.25">
      <c r="A512" t="str">
        <f>"20190312153900159"</f>
        <v>20190312153900159</v>
      </c>
      <c r="B512" t="str">
        <f>"1552376340146835"</f>
        <v>1552376340146835</v>
      </c>
      <c r="C512" t="s">
        <v>40</v>
      </c>
      <c r="D512">
        <v>4.0485369999999996</v>
      </c>
      <c r="E512">
        <v>0.45969640000000001</v>
      </c>
      <c r="F512" t="s">
        <v>47</v>
      </c>
      <c r="G512">
        <v>-158.78319999999999</v>
      </c>
      <c r="H512">
        <v>2.3086639999999998</v>
      </c>
      <c r="I512">
        <v>386.6318</v>
      </c>
      <c r="J512">
        <v>-407.23050000000001</v>
      </c>
      <c r="K512">
        <v>1.0606580000000001</v>
      </c>
      <c r="L512">
        <v>368.02350000000001</v>
      </c>
      <c r="M512">
        <v>0.99988790000000005</v>
      </c>
      <c r="N512">
        <v>0</v>
      </c>
      <c r="O512">
        <v>7.4746789999999904E-4</v>
      </c>
      <c r="P512">
        <v>0.99844599999999994</v>
      </c>
      <c r="Q512">
        <v>4.5224239999999999E-2</v>
      </c>
      <c r="R512">
        <v>-3.2562840000000003E-2</v>
      </c>
      <c r="S512">
        <v>3.0113530000000002</v>
      </c>
      <c r="T512">
        <v>1.5115979999999999E-2</v>
      </c>
      <c r="U512">
        <v>0.2253723</v>
      </c>
      <c r="V512">
        <v>3.3300139999999999E-2</v>
      </c>
      <c r="W512">
        <v>6.0163679999999997E-2</v>
      </c>
      <c r="X512">
        <v>0.99763290000000004</v>
      </c>
      <c r="Y512">
        <v>-7.3885770000000003E-2</v>
      </c>
      <c r="Z512">
        <v>-1.8143360000000001E-4</v>
      </c>
      <c r="AA512">
        <v>0.99726669999999995</v>
      </c>
      <c r="AB512">
        <v>26</v>
      </c>
      <c r="AC512">
        <v>248.44730000000001</v>
      </c>
      <c r="AD512">
        <v>1.24800599999999</v>
      </c>
      <c r="AE512">
        <v>18.6082999999999</v>
      </c>
      <c r="AF512">
        <v>-18.422105403322998</v>
      </c>
      <c r="AG512">
        <v>1.24800599999999</v>
      </c>
      <c r="AH512">
        <v>248.45490701126499</v>
      </c>
      <c r="AI512">
        <v>89.712989657156697</v>
      </c>
      <c r="AJ512">
        <v>94.240531840758806</v>
      </c>
      <c r="AK512">
        <v>249.14006563466199</v>
      </c>
      <c r="AL512">
        <v>86.550792036238903</v>
      </c>
      <c r="AM512">
        <v>88.088225280459696</v>
      </c>
      <c r="AN512">
        <v>0.99999998543878499</v>
      </c>
    </row>
    <row r="513" spans="1:40" x14ac:dyDescent="0.25">
      <c r="A513" t="str">
        <f>"20190312153900181"</f>
        <v>20190312153900181</v>
      </c>
      <c r="B513" t="str">
        <f>"1552376340176115"</f>
        <v>1552376340176115</v>
      </c>
      <c r="C513" t="s">
        <v>40</v>
      </c>
      <c r="D513">
        <v>4.0254810000000001</v>
      </c>
      <c r="E513">
        <v>0.45945639999999999</v>
      </c>
      <c r="F513" t="s">
        <v>47</v>
      </c>
      <c r="G513">
        <v>-158.78319999999999</v>
      </c>
      <c r="H513">
        <v>2.3010899999999999</v>
      </c>
      <c r="I513">
        <v>386.72559999999999</v>
      </c>
      <c r="J513">
        <v>-406.97230000000002</v>
      </c>
      <c r="K513">
        <v>1.0606640000000001</v>
      </c>
      <c r="L513">
        <v>368.02379999999999</v>
      </c>
      <c r="M513">
        <v>0.99988779999999999</v>
      </c>
      <c r="N513">
        <v>0</v>
      </c>
      <c r="O513">
        <v>8.5652069999999996E-4</v>
      </c>
      <c r="P513">
        <v>0.99844670000000002</v>
      </c>
      <c r="Q513">
        <v>4.5485480000000002E-2</v>
      </c>
      <c r="R513">
        <v>-3.2174609999999999E-2</v>
      </c>
      <c r="S513">
        <v>3.0113829999999999</v>
      </c>
      <c r="T513">
        <v>1.503611E-2</v>
      </c>
      <c r="U513">
        <v>0.22668460000000001</v>
      </c>
      <c r="V513">
        <v>3.3020670000000002E-2</v>
      </c>
      <c r="W513">
        <v>6.0418810000000003E-2</v>
      </c>
      <c r="X513">
        <v>0.99762680000000004</v>
      </c>
      <c r="Y513">
        <v>-7.4208389999999999E-2</v>
      </c>
      <c r="Z513">
        <v>-1.8073070000000001E-4</v>
      </c>
      <c r="AA513">
        <v>0.99724270000000004</v>
      </c>
      <c r="AB513">
        <v>26</v>
      </c>
      <c r="AC513">
        <v>248.1891</v>
      </c>
      <c r="AD513">
        <v>1.240426</v>
      </c>
      <c r="AE513">
        <v>18.701799999999899</v>
      </c>
      <c r="AF513">
        <v>-18.4887310368232</v>
      </c>
      <c r="AG513">
        <v>1.240426</v>
      </c>
      <c r="AH513">
        <v>248.19886443741601</v>
      </c>
      <c r="AI513">
        <v>89.7144458421389</v>
      </c>
      <c r="AJ513">
        <v>94.2601861100554</v>
      </c>
      <c r="AK513">
        <v>248.88963043894799</v>
      </c>
      <c r="AL513">
        <v>86.536147624226203</v>
      </c>
      <c r="AM513">
        <v>88.104246428235101</v>
      </c>
      <c r="AN513">
        <v>1.0000000146636501</v>
      </c>
    </row>
    <row r="514" spans="1:40" x14ac:dyDescent="0.25">
      <c r="A514" t="str">
        <f>"20190312153900195"</f>
        <v>20190312153900195</v>
      </c>
      <c r="B514" t="str">
        <f>"1552376340186851"</f>
        <v>1552376340186851</v>
      </c>
      <c r="C514" t="s">
        <v>40</v>
      </c>
      <c r="D514">
        <v>4.0057130000000001</v>
      </c>
      <c r="E514">
        <v>0.45937929999999999</v>
      </c>
      <c r="F514" t="s">
        <v>47</v>
      </c>
      <c r="G514">
        <v>-158.78319999999999</v>
      </c>
      <c r="H514">
        <v>2.4486309999999998</v>
      </c>
      <c r="I514">
        <v>386.95609999999999</v>
      </c>
      <c r="J514">
        <v>-406.81049999999999</v>
      </c>
      <c r="K514">
        <v>1.0606640000000001</v>
      </c>
      <c r="L514">
        <v>368.024</v>
      </c>
      <c r="M514">
        <v>0.99988779999999999</v>
      </c>
      <c r="N514">
        <v>0</v>
      </c>
      <c r="O514">
        <v>9.2496869999999999E-4</v>
      </c>
      <c r="P514">
        <v>0.99846659999999998</v>
      </c>
      <c r="Q514">
        <v>4.5229400000000003E-2</v>
      </c>
      <c r="R514">
        <v>-3.1919469999999998E-2</v>
      </c>
      <c r="S514">
        <v>3.0112920000000001</v>
      </c>
      <c r="T514">
        <v>1.6841289999999998E-2</v>
      </c>
      <c r="U514">
        <v>0.22970579999999999</v>
      </c>
      <c r="V514">
        <v>3.2833889999999998E-2</v>
      </c>
      <c r="W514">
        <v>6.0158929999999999E-2</v>
      </c>
      <c r="X514">
        <v>0.99764870000000005</v>
      </c>
      <c r="Y514">
        <v>-7.5136949999999994E-2</v>
      </c>
      <c r="Z514">
        <v>-2.0463729999999999E-4</v>
      </c>
      <c r="AA514">
        <v>0.99717319999999998</v>
      </c>
      <c r="AB514">
        <v>26</v>
      </c>
      <c r="AC514">
        <v>248.0273</v>
      </c>
      <c r="AD514">
        <v>1.387967</v>
      </c>
      <c r="AE514">
        <v>18.932099999999899</v>
      </c>
      <c r="AF514">
        <v>-18.702066492771799</v>
      </c>
      <c r="AG514">
        <v>1.387967</v>
      </c>
      <c r="AH514">
        <v>248.036985023889</v>
      </c>
      <c r="AI514">
        <v>89.680294733205898</v>
      </c>
      <c r="AJ514">
        <v>94.311960640165907</v>
      </c>
      <c r="AK514">
        <v>248.74492895983701</v>
      </c>
      <c r="AL514">
        <v>86.551064890383998</v>
      </c>
      <c r="AM514">
        <v>88.115003268246895</v>
      </c>
      <c r="AN514">
        <v>1.0000000449014801</v>
      </c>
    </row>
    <row r="515" spans="1:40" x14ac:dyDescent="0.25">
      <c r="A515" t="str">
        <f>"20190312153900215"</f>
        <v>20190312153900215</v>
      </c>
      <c r="B515" t="str">
        <f>"1552376340206371"</f>
        <v>1552376340206371</v>
      </c>
      <c r="C515" t="s">
        <v>40</v>
      </c>
      <c r="D515">
        <v>4.0075349999999998</v>
      </c>
      <c r="E515">
        <v>0.45924209999999899</v>
      </c>
      <c r="F515" t="s">
        <v>50</v>
      </c>
      <c r="G515">
        <v>0</v>
      </c>
      <c r="H515">
        <v>0</v>
      </c>
      <c r="I515">
        <v>0</v>
      </c>
      <c r="J515">
        <v>-406.5881</v>
      </c>
      <c r="K515">
        <v>1.0606629999999999</v>
      </c>
      <c r="L515">
        <v>368.02429999999998</v>
      </c>
      <c r="M515">
        <v>0.99988779999999999</v>
      </c>
      <c r="N515">
        <v>0</v>
      </c>
      <c r="O515">
        <v>1.018878E-3</v>
      </c>
      <c r="P515">
        <v>0.99847249999999999</v>
      </c>
      <c r="Q515">
        <v>4.5387049999999998E-2</v>
      </c>
      <c r="R515">
        <v>-3.1512060000000001E-2</v>
      </c>
      <c r="S515">
        <v>3.0112610000000002</v>
      </c>
      <c r="T515">
        <v>1.6165140000000001E-2</v>
      </c>
      <c r="U515">
        <v>0.23089599999999999</v>
      </c>
      <c r="V515">
        <v>3.2520250000000001E-2</v>
      </c>
      <c r="W515">
        <v>6.0311240000000002E-2</v>
      </c>
      <c r="X515">
        <v>0.99764969999999997</v>
      </c>
      <c r="Y515">
        <v>-7.5435970000000005E-2</v>
      </c>
      <c r="Z515">
        <v>-1.967185E-4</v>
      </c>
      <c r="AA515">
        <v>0.9971506</v>
      </c>
      <c r="AB515">
        <v>26</v>
      </c>
      <c r="AC515">
        <v>3.0112610000000002</v>
      </c>
      <c r="AD515">
        <v>1.6165140000000001E-2</v>
      </c>
      <c r="AE515">
        <v>0.23089599999999999</v>
      </c>
      <c r="AF515">
        <v>-0.22782090291041701</v>
      </c>
      <c r="AG515">
        <v>1.6165140000000001E-2</v>
      </c>
      <c r="AH515">
        <v>3.0114084425879599</v>
      </c>
      <c r="AI515">
        <v>89.693317473895704</v>
      </c>
      <c r="AJ515">
        <v>94.326334055272596</v>
      </c>
      <c r="AK515">
        <v>3.0200570331773902</v>
      </c>
      <c r="AL515">
        <v>86.542322030144405</v>
      </c>
      <c r="AM515">
        <v>88.132998435742294</v>
      </c>
      <c r="AN515">
        <v>0.99999996812024405</v>
      </c>
    </row>
    <row r="516" spans="1:40" x14ac:dyDescent="0.25">
      <c r="A516" t="str">
        <f>"20190312153900237"</f>
        <v>20190312153900237</v>
      </c>
      <c r="B516" t="str">
        <f>"1552376340226871"</f>
        <v>1552376340226871</v>
      </c>
      <c r="C516" t="s">
        <v>40</v>
      </c>
      <c r="D516">
        <v>3.993846</v>
      </c>
      <c r="E516">
        <v>0.45911220000000003</v>
      </c>
      <c r="F516" t="s">
        <v>50</v>
      </c>
      <c r="G516">
        <v>0</v>
      </c>
      <c r="H516">
        <v>0</v>
      </c>
      <c r="I516">
        <v>0</v>
      </c>
      <c r="J516">
        <v>-406.33969999999999</v>
      </c>
      <c r="K516">
        <v>1.060667</v>
      </c>
      <c r="L516">
        <v>368.0247</v>
      </c>
      <c r="M516">
        <v>0.99988790000000005</v>
      </c>
      <c r="N516">
        <v>0</v>
      </c>
      <c r="O516">
        <v>1.1235189999999999E-3</v>
      </c>
      <c r="P516">
        <v>0.99846259999999998</v>
      </c>
      <c r="Q516">
        <v>4.5761469999999999E-2</v>
      </c>
      <c r="R516">
        <v>-3.1283680000000001E-2</v>
      </c>
      <c r="S516">
        <v>3.0112000000000001</v>
      </c>
      <c r="T516">
        <v>1.740885E-2</v>
      </c>
      <c r="U516">
        <v>0.23315429999999901</v>
      </c>
      <c r="V516">
        <v>3.2396340000000003E-2</v>
      </c>
      <c r="W516">
        <v>6.0679160000000003E-2</v>
      </c>
      <c r="X516">
        <v>0.99763139999999995</v>
      </c>
      <c r="Y516">
        <v>-7.6076389999999994E-2</v>
      </c>
      <c r="Z516">
        <v>-2.1309589999999999E-4</v>
      </c>
      <c r="AA516">
        <v>0.99710200000000004</v>
      </c>
      <c r="AB516">
        <v>26</v>
      </c>
      <c r="AC516">
        <v>3.0112000000000001</v>
      </c>
      <c r="AD516">
        <v>1.740885E-2</v>
      </c>
      <c r="AE516">
        <v>0.23315429999999901</v>
      </c>
      <c r="AF516">
        <v>-0.22976300136656699</v>
      </c>
      <c r="AG516">
        <v>1.740885E-2</v>
      </c>
      <c r="AH516">
        <v>3.0113600291067502</v>
      </c>
      <c r="AI516">
        <v>89.6697333152634</v>
      </c>
      <c r="AJ516">
        <v>94.363142695338894</v>
      </c>
      <c r="AK516">
        <v>3.0201627985519499</v>
      </c>
      <c r="AL516">
        <v>86.521203012242907</v>
      </c>
      <c r="AM516">
        <v>88.140073063541294</v>
      </c>
      <c r="AN516">
        <v>0.99999994678482895</v>
      </c>
    </row>
    <row r="517" spans="1:40" x14ac:dyDescent="0.25">
      <c r="A517" t="str">
        <f>"20190312153900252"</f>
        <v>20190312153900252</v>
      </c>
      <c r="B517" t="str">
        <f>"1552376340246387"</f>
        <v>1552376340246387</v>
      </c>
      <c r="C517" t="s">
        <v>40</v>
      </c>
      <c r="D517">
        <v>4.0298769999999999</v>
      </c>
      <c r="E517">
        <v>0.45904119999999998</v>
      </c>
      <c r="F517" t="s">
        <v>50</v>
      </c>
      <c r="G517">
        <v>0</v>
      </c>
      <c r="H517">
        <v>0</v>
      </c>
      <c r="I517">
        <v>0</v>
      </c>
      <c r="J517">
        <v>-406.17899999999997</v>
      </c>
      <c r="K517">
        <v>1.0606679999999999</v>
      </c>
      <c r="L517">
        <v>368.0249</v>
      </c>
      <c r="M517">
        <v>0.99988779999999999</v>
      </c>
      <c r="N517">
        <v>0</v>
      </c>
      <c r="O517">
        <v>1.1909589999999999E-3</v>
      </c>
      <c r="P517">
        <v>0.99846840000000003</v>
      </c>
      <c r="Q517">
        <v>4.5792289999999999E-2</v>
      </c>
      <c r="R517">
        <v>-3.1054040000000002E-2</v>
      </c>
      <c r="S517">
        <v>3.0111080000000001</v>
      </c>
      <c r="T517">
        <v>1.916671E-2</v>
      </c>
      <c r="U517">
        <v>0.23510739999999999</v>
      </c>
      <c r="V517">
        <v>3.2233829999999998E-2</v>
      </c>
      <c r="W517">
        <v>6.0706280000000001E-2</v>
      </c>
      <c r="X517">
        <v>0.9976351</v>
      </c>
      <c r="Y517">
        <v>-7.6654059999999996E-2</v>
      </c>
      <c r="Z517">
        <v>-2.3602120000000001E-4</v>
      </c>
      <c r="AA517">
        <v>0.99705770000000005</v>
      </c>
      <c r="AB517">
        <v>26</v>
      </c>
      <c r="AC517">
        <v>3.0111080000000001</v>
      </c>
      <c r="AD517">
        <v>1.916671E-2</v>
      </c>
      <c r="AE517">
        <v>0.23510739999999999</v>
      </c>
      <c r="AF517">
        <v>-0.23151140377215201</v>
      </c>
      <c r="AG517">
        <v>1.916671E-2</v>
      </c>
      <c r="AH517">
        <v>3.0112646290152898</v>
      </c>
      <c r="AI517">
        <v>89.636390087960393</v>
      </c>
      <c r="AJ517">
        <v>94.396353486830193</v>
      </c>
      <c r="AK517">
        <v>3.0202118400548299</v>
      </c>
      <c r="AL517">
        <v>86.519646579432901</v>
      </c>
      <c r="AM517">
        <v>88.149403383614299</v>
      </c>
      <c r="AN517">
        <v>1.0000000324899501</v>
      </c>
    </row>
    <row r="518" spans="1:40" x14ac:dyDescent="0.25">
      <c r="A518" t="str">
        <f>"20190312153900263"</f>
        <v>20190312153900263</v>
      </c>
      <c r="B518" t="str">
        <f>"1552376340256147"</f>
        <v>1552376340256147</v>
      </c>
      <c r="C518" t="s">
        <v>40</v>
      </c>
      <c r="D518">
        <v>4.0052130000000004</v>
      </c>
      <c r="E518">
        <v>0.45901459999999999</v>
      </c>
      <c r="F518" t="s">
        <v>50</v>
      </c>
      <c r="G518">
        <v>0</v>
      </c>
      <c r="H518">
        <v>0</v>
      </c>
      <c r="I518">
        <v>0</v>
      </c>
      <c r="J518">
        <v>-406.03339999999997</v>
      </c>
      <c r="K518">
        <v>1.0606679999999999</v>
      </c>
      <c r="L518">
        <v>368.02519999999998</v>
      </c>
      <c r="M518">
        <v>0.99988790000000005</v>
      </c>
      <c r="N518">
        <v>0</v>
      </c>
      <c r="O518">
        <v>1.2524910000000001E-3</v>
      </c>
      <c r="P518">
        <v>0.99848159999999997</v>
      </c>
      <c r="Q518">
        <v>4.5562419999999999E-2</v>
      </c>
      <c r="R518">
        <v>-3.0967729999999999E-2</v>
      </c>
      <c r="S518">
        <v>3.0109859999999999</v>
      </c>
      <c r="T518">
        <v>1.9574520000000002E-2</v>
      </c>
      <c r="U518">
        <v>0.23614499999999999</v>
      </c>
      <c r="V518">
        <v>3.2209090000000003E-2</v>
      </c>
      <c r="W518">
        <v>6.047259E-2</v>
      </c>
      <c r="X518">
        <v>0.99765009999999998</v>
      </c>
      <c r="Y518">
        <v>-7.6937270000000002E-2</v>
      </c>
      <c r="Z518">
        <v>-2.415692E-4</v>
      </c>
      <c r="AA518">
        <v>0.99703589999999997</v>
      </c>
      <c r="AB518">
        <v>25</v>
      </c>
      <c r="AC518">
        <v>3.0109859999999999</v>
      </c>
      <c r="AD518">
        <v>1.9574520000000002E-2</v>
      </c>
      <c r="AE518">
        <v>0.23614499999999999</v>
      </c>
      <c r="AF518">
        <v>-0.23236340158531699</v>
      </c>
      <c r="AG518">
        <v>1.9574520000000002E-2</v>
      </c>
      <c r="AH518">
        <v>3.0111529565001698</v>
      </c>
      <c r="AI518">
        <v>89.628648130889701</v>
      </c>
      <c r="AJ518">
        <v>94.412631965132505</v>
      </c>
      <c r="AK518">
        <v>3.0201685449108999</v>
      </c>
      <c r="AL518">
        <v>86.533060703418499</v>
      </c>
      <c r="AM518">
        <v>88.150850544452297</v>
      </c>
      <c r="AN518">
        <v>1.0000000408249701</v>
      </c>
    </row>
    <row r="519" spans="1:40" x14ac:dyDescent="0.25">
      <c r="A519" t="str">
        <f>"20190312153900281"</f>
        <v>20190312153900281</v>
      </c>
      <c r="B519" t="str">
        <f>"1552376340276643"</f>
        <v>1552376340276643</v>
      </c>
      <c r="C519" t="s">
        <v>40</v>
      </c>
      <c r="D519">
        <v>4.0333620000000003</v>
      </c>
      <c r="E519">
        <v>0.45903670000000002</v>
      </c>
      <c r="F519" t="s">
        <v>50</v>
      </c>
      <c r="G519">
        <v>0</v>
      </c>
      <c r="H519">
        <v>0</v>
      </c>
      <c r="I519">
        <v>0</v>
      </c>
      <c r="J519">
        <v>-405.83510000000001</v>
      </c>
      <c r="K519">
        <v>1.0606679999999999</v>
      </c>
      <c r="L519">
        <v>368.02550000000002</v>
      </c>
      <c r="M519">
        <v>0.99988779999999999</v>
      </c>
      <c r="N519">
        <v>0</v>
      </c>
      <c r="O519">
        <v>1.336736E-3</v>
      </c>
      <c r="P519">
        <v>0.99848669999999995</v>
      </c>
      <c r="Q519">
        <v>4.5375199999999997E-2</v>
      </c>
      <c r="R519">
        <v>-3.107799E-2</v>
      </c>
      <c r="S519">
        <v>3.0110169999999998</v>
      </c>
      <c r="T519">
        <v>1.9370559999999998E-2</v>
      </c>
      <c r="U519">
        <v>0.2367554</v>
      </c>
      <c r="V519">
        <v>3.240349E-2</v>
      </c>
      <c r="W519">
        <v>6.0280779999999999E-2</v>
      </c>
      <c r="X519">
        <v>0.99765539999999997</v>
      </c>
      <c r="Y519">
        <v>-7.7053350000000007E-2</v>
      </c>
      <c r="Z519">
        <v>-2.388794E-4</v>
      </c>
      <c r="AA519">
        <v>0.99702690000000005</v>
      </c>
      <c r="AB519">
        <v>25</v>
      </c>
      <c r="AC519">
        <v>3.0110169999999998</v>
      </c>
      <c r="AD519">
        <v>1.9370559999999998E-2</v>
      </c>
      <c r="AE519">
        <v>0.2367554</v>
      </c>
      <c r="AF519">
        <v>-0.23272023327924099</v>
      </c>
      <c r="AG519">
        <v>1.9370559999999998E-2</v>
      </c>
      <c r="AH519">
        <v>3.0112069666247199</v>
      </c>
      <c r="AI519">
        <v>89.632527282362602</v>
      </c>
      <c r="AJ519">
        <v>94.419302499095906</v>
      </c>
      <c r="AK519">
        <v>3.0202485529210099</v>
      </c>
      <c r="AL519">
        <v>86.544070647567196</v>
      </c>
      <c r="AM519">
        <v>88.139707580316994</v>
      </c>
      <c r="AN519">
        <v>1.00000002787537</v>
      </c>
    </row>
    <row r="520" spans="1:40" x14ac:dyDescent="0.25">
      <c r="A520" t="str">
        <f>"20190312153900293"</f>
        <v>20190312153900293</v>
      </c>
      <c r="B520" t="str">
        <f>"1552376340286403"</f>
        <v>1552376340286403</v>
      </c>
      <c r="C520" t="s">
        <v>40</v>
      </c>
      <c r="D520">
        <v>4.1501400000000004</v>
      </c>
      <c r="E520">
        <v>0.45903670000000002</v>
      </c>
      <c r="F520" t="s">
        <v>50</v>
      </c>
      <c r="G520">
        <v>0</v>
      </c>
      <c r="H520">
        <v>0</v>
      </c>
      <c r="I520">
        <v>0</v>
      </c>
      <c r="J520">
        <v>-405.69709999999998</v>
      </c>
      <c r="K520">
        <v>1.0606679999999999</v>
      </c>
      <c r="L520">
        <v>368.0258</v>
      </c>
      <c r="M520">
        <v>0.99988779999999999</v>
      </c>
      <c r="N520">
        <v>0</v>
      </c>
      <c r="O520">
        <v>1.395049E-3</v>
      </c>
      <c r="P520">
        <v>0.99850119999999998</v>
      </c>
      <c r="Q520">
        <v>4.510927E-2</v>
      </c>
      <c r="R520">
        <v>-3.099785E-2</v>
      </c>
      <c r="S520">
        <v>3.0109859999999999</v>
      </c>
      <c r="T520">
        <v>1.989353E-2</v>
      </c>
      <c r="U520">
        <v>0.23617550000000001</v>
      </c>
      <c r="V520">
        <v>3.2381779999999999E-2</v>
      </c>
      <c r="W520">
        <v>6.0011849999999999E-2</v>
      </c>
      <c r="X520">
        <v>0.99767229999999996</v>
      </c>
      <c r="Y520">
        <v>-7.6805109999999996E-2</v>
      </c>
      <c r="Z520">
        <v>-2.4412939999999999E-4</v>
      </c>
      <c r="AA520">
        <v>0.99704610000000005</v>
      </c>
      <c r="AB520">
        <v>25</v>
      </c>
      <c r="AC520">
        <v>3.0109859999999999</v>
      </c>
      <c r="AD520">
        <v>1.989353E-2</v>
      </c>
      <c r="AE520">
        <v>0.23617550000000001</v>
      </c>
      <c r="AF520">
        <v>-0.23196426603041601</v>
      </c>
      <c r="AG520">
        <v>1.989353E-2</v>
      </c>
      <c r="AH520">
        <v>3.0111819414834402</v>
      </c>
      <c r="AI520">
        <v>89.622596083481596</v>
      </c>
      <c r="AJ520">
        <v>94.405039917222297</v>
      </c>
      <c r="AK520">
        <v>3.0201688459367402</v>
      </c>
      <c r="AL520">
        <v>86.559507086278899</v>
      </c>
      <c r="AM520">
        <v>88.140984551036595</v>
      </c>
      <c r="AN520">
        <v>1.00000001000184</v>
      </c>
    </row>
    <row r="521" spans="1:40" x14ac:dyDescent="0.25">
      <c r="A521" t="str">
        <f>"20190312153900305"</f>
        <v>20190312153900305</v>
      </c>
      <c r="B521" t="str">
        <f>"1552376340296162"</f>
        <v>1552376340296162</v>
      </c>
      <c r="C521" t="s">
        <v>40</v>
      </c>
      <c r="D521">
        <v>4.077477</v>
      </c>
      <c r="E521">
        <v>0.49047099999999999</v>
      </c>
      <c r="F521" t="s">
        <v>50</v>
      </c>
      <c r="G521">
        <v>0</v>
      </c>
      <c r="H521">
        <v>0</v>
      </c>
      <c r="I521">
        <v>0</v>
      </c>
      <c r="J521">
        <v>-405.55919999999998</v>
      </c>
      <c r="K521">
        <v>1.0606629999999999</v>
      </c>
      <c r="L521">
        <v>368.02600000000001</v>
      </c>
      <c r="M521">
        <v>0.99988770000000005</v>
      </c>
      <c r="N521">
        <v>0</v>
      </c>
      <c r="O521">
        <v>1.453361E-3</v>
      </c>
      <c r="P521">
        <v>0.99850850000000002</v>
      </c>
      <c r="Q521">
        <v>4.4887160000000002E-2</v>
      </c>
      <c r="R521">
        <v>-3.108696E-2</v>
      </c>
      <c r="S521">
        <v>3.0109859999999999</v>
      </c>
      <c r="T521">
        <v>1.8993739999999999E-2</v>
      </c>
      <c r="U521">
        <v>0.2365112</v>
      </c>
      <c r="V521">
        <v>3.2529170000000003E-2</v>
      </c>
      <c r="W521">
        <v>5.9786239999999997E-2</v>
      </c>
      <c r="X521">
        <v>0.99768100000000004</v>
      </c>
      <c r="Y521">
        <v>-7.685757E-2</v>
      </c>
      <c r="Z521">
        <v>-2.328845E-4</v>
      </c>
      <c r="AA521">
        <v>0.99704210000000004</v>
      </c>
      <c r="AB521">
        <v>25</v>
      </c>
      <c r="AC521">
        <v>3.0109859999999999</v>
      </c>
      <c r="AD521">
        <v>1.8993739999999999E-2</v>
      </c>
      <c r="AE521">
        <v>0.2365112</v>
      </c>
      <c r="AF521">
        <v>-0.23212523342203001</v>
      </c>
      <c r="AG521">
        <v>1.8993739999999999E-2</v>
      </c>
      <c r="AH521">
        <v>3.0112075043763702</v>
      </c>
      <c r="AI521">
        <v>89.639670225195601</v>
      </c>
      <c r="AJ521">
        <v>94.408047396993098</v>
      </c>
      <c r="AK521">
        <v>3.0202009073177498</v>
      </c>
      <c r="AL521">
        <v>86.572456666010893</v>
      </c>
      <c r="AM521">
        <v>88.132545244820406</v>
      </c>
      <c r="AN521">
        <v>0.99999995957761201</v>
      </c>
    </row>
    <row r="522" spans="1:40" x14ac:dyDescent="0.25">
      <c r="A522" t="str">
        <f>"20190312153900328"</f>
        <v>20190312153900328</v>
      </c>
      <c r="B522" t="str">
        <f>"1552376340316662"</f>
        <v>1552376340316662</v>
      </c>
      <c r="C522" t="s">
        <v>40</v>
      </c>
      <c r="D522">
        <v>4.0140589999999996</v>
      </c>
      <c r="E522">
        <v>0.50354489999999996</v>
      </c>
      <c r="F522" t="s">
        <v>47</v>
      </c>
      <c r="G522">
        <v>-158.19499999999999</v>
      </c>
      <c r="H522">
        <v>4.9950739999999998</v>
      </c>
      <c r="I522">
        <v>366.74599999999998</v>
      </c>
      <c r="J522">
        <v>-405.31580000000002</v>
      </c>
      <c r="K522">
        <v>1.060665</v>
      </c>
      <c r="L522">
        <v>368.0265</v>
      </c>
      <c r="M522">
        <v>0.99988770000000005</v>
      </c>
      <c r="N522">
        <v>0</v>
      </c>
      <c r="O522">
        <v>1.5563300000000001E-3</v>
      </c>
      <c r="P522">
        <v>0.99851789999999996</v>
      </c>
      <c r="Q522">
        <v>4.4811160000000003E-2</v>
      </c>
      <c r="R522">
        <v>-3.0887789999999998E-2</v>
      </c>
      <c r="S522">
        <v>3.001862</v>
      </c>
      <c r="T522">
        <v>4.7746660000000003E-2</v>
      </c>
      <c r="U522">
        <v>-1.5533450000000001E-2</v>
      </c>
      <c r="V522">
        <v>3.2433040000000003E-2</v>
      </c>
      <c r="W522">
        <v>5.970437E-2</v>
      </c>
      <c r="X522">
        <v>0.9976891</v>
      </c>
      <c r="Y522">
        <v>6.7299639999999997E-3</v>
      </c>
      <c r="Z522" s="1">
        <v>7.8274129999999999E-5</v>
      </c>
      <c r="AA522">
        <v>0.99997740000000002</v>
      </c>
      <c r="AB522">
        <v>25</v>
      </c>
      <c r="AC522">
        <v>247.1208</v>
      </c>
      <c r="AD522">
        <v>3.934409</v>
      </c>
      <c r="AE522">
        <v>-1.28050000000001</v>
      </c>
      <c r="AF522">
        <v>1.6647207343052199</v>
      </c>
      <c r="AG522">
        <v>3.934409</v>
      </c>
      <c r="AH522">
        <v>247.05588597787599</v>
      </c>
      <c r="AI522">
        <v>89.087652335420401</v>
      </c>
      <c r="AJ522">
        <v>89.613933389020701</v>
      </c>
      <c r="AK522">
        <v>247.09281993942199</v>
      </c>
      <c r="AL522">
        <v>86.577156097360003</v>
      </c>
      <c r="AM522">
        <v>88.138075151168707</v>
      </c>
      <c r="AN522">
        <v>1.00000002706977</v>
      </c>
    </row>
    <row r="523" spans="1:40" x14ac:dyDescent="0.25">
      <c r="A523" t="str">
        <f>"20190312153900342"</f>
        <v>20190312153900342</v>
      </c>
      <c r="B523" t="str">
        <f>"1552376340336178"</f>
        <v>1552376340336178</v>
      </c>
      <c r="C523" t="s">
        <v>40</v>
      </c>
      <c r="D523">
        <v>3.9721299999999999</v>
      </c>
      <c r="E523">
        <v>0.50972709999999999</v>
      </c>
      <c r="F523" t="s">
        <v>47</v>
      </c>
      <c r="G523">
        <v>-158.19499999999999</v>
      </c>
      <c r="H523">
        <v>4.2092210000000003</v>
      </c>
      <c r="I523">
        <v>358.25729999999999</v>
      </c>
      <c r="J523">
        <v>-405.15499999999997</v>
      </c>
      <c r="K523">
        <v>1.060665</v>
      </c>
      <c r="L523">
        <v>368.02679999999998</v>
      </c>
      <c r="M523">
        <v>0.99988750000000004</v>
      </c>
      <c r="N523">
        <v>0</v>
      </c>
      <c r="O523">
        <v>1.6245389999999999E-3</v>
      </c>
      <c r="P523">
        <v>0.99852470000000004</v>
      </c>
      <c r="Q523">
        <v>4.4888940000000002E-2</v>
      </c>
      <c r="R523">
        <v>-3.0551539999999999E-2</v>
      </c>
      <c r="S523">
        <v>2.9991150000000002</v>
      </c>
      <c r="T523">
        <v>3.8212660000000002E-2</v>
      </c>
      <c r="U523">
        <v>-0.11856079999999999</v>
      </c>
      <c r="V523">
        <v>3.2165060000000002E-2</v>
      </c>
      <c r="W523">
        <v>5.9778629999999999E-2</v>
      </c>
      <c r="X523">
        <v>0.99769330000000001</v>
      </c>
      <c r="Y523">
        <v>4.112101E-2</v>
      </c>
      <c r="Z523">
        <v>2.8254719999999998E-4</v>
      </c>
      <c r="AA523">
        <v>0.99915419999999999</v>
      </c>
      <c r="AB523">
        <v>25</v>
      </c>
      <c r="AC523">
        <v>246.96</v>
      </c>
      <c r="AD523">
        <v>3.1485560000000001</v>
      </c>
      <c r="AE523">
        <v>-9.7694999999999901</v>
      </c>
      <c r="AF523">
        <v>10.1690775323212</v>
      </c>
      <c r="AG523">
        <v>3.1485560000000001</v>
      </c>
      <c r="AH523">
        <v>246.903731458442</v>
      </c>
      <c r="AI523">
        <v>89.270013443785004</v>
      </c>
      <c r="AJ523">
        <v>87.641525688275493</v>
      </c>
      <c r="AK523">
        <v>247.133114233698</v>
      </c>
      <c r="AL523">
        <v>86.572893600947495</v>
      </c>
      <c r="AM523">
        <v>88.153456493627203</v>
      </c>
      <c r="AN523">
        <v>0.999999998277185</v>
      </c>
    </row>
    <row r="524" spans="1:40" x14ac:dyDescent="0.25">
      <c r="A524" t="str">
        <f>"20190312153900361"</f>
        <v>20190312153900361</v>
      </c>
      <c r="B524" t="str">
        <f>"1552376340346915"</f>
        <v>1552376340346915</v>
      </c>
      <c r="C524" t="s">
        <v>40</v>
      </c>
      <c r="D524">
        <v>3.9858669999999998</v>
      </c>
      <c r="E524">
        <v>0.51144730000000005</v>
      </c>
      <c r="F524" t="s">
        <v>47</v>
      </c>
      <c r="G524">
        <v>-169.2955</v>
      </c>
      <c r="H524">
        <v>3.4119389999999998</v>
      </c>
      <c r="I524">
        <v>354.90620000000001</v>
      </c>
      <c r="J524">
        <v>-404.9384</v>
      </c>
      <c r="K524">
        <v>1.060662</v>
      </c>
      <c r="L524">
        <v>368.02730000000003</v>
      </c>
      <c r="M524">
        <v>0.99988750000000004</v>
      </c>
      <c r="N524">
        <v>0</v>
      </c>
      <c r="O524">
        <v>1.716062E-3</v>
      </c>
      <c r="P524">
        <v>0.99853899999999995</v>
      </c>
      <c r="Q524">
        <v>4.492314E-2</v>
      </c>
      <c r="R524">
        <v>-3.003171E-2</v>
      </c>
      <c r="S524">
        <v>2.9980470000000001</v>
      </c>
      <c r="T524">
        <v>2.988851E-2</v>
      </c>
      <c r="U524">
        <v>-0.1667786</v>
      </c>
      <c r="V524">
        <v>3.1736550000000002E-2</v>
      </c>
      <c r="W524">
        <v>5.9807659999999999E-2</v>
      </c>
      <c r="X524">
        <v>0.99770530000000002</v>
      </c>
      <c r="Y524">
        <v>5.7253800000000001E-2</v>
      </c>
      <c r="Z524">
        <v>3.0225979999999998E-4</v>
      </c>
      <c r="AA524">
        <v>0.99835960000000001</v>
      </c>
      <c r="AB524">
        <v>25</v>
      </c>
      <c r="AC524">
        <v>235.6429</v>
      </c>
      <c r="AD524">
        <v>2.3512770000000001</v>
      </c>
      <c r="AE524">
        <v>-13.1211</v>
      </c>
      <c r="AF524">
        <v>13.524161057111201</v>
      </c>
      <c r="AG524">
        <v>2.3512770000000001</v>
      </c>
      <c r="AH524">
        <v>235.596649577714</v>
      </c>
      <c r="AI524">
        <v>89.4291413597429</v>
      </c>
      <c r="AJ524">
        <v>86.714605646328906</v>
      </c>
      <c r="AK524">
        <v>235.99621337655799</v>
      </c>
      <c r="AL524">
        <v>86.571227381320597</v>
      </c>
      <c r="AM524">
        <v>88.178061759170902</v>
      </c>
      <c r="AN524">
        <v>1.00000001522433</v>
      </c>
    </row>
    <row r="525" spans="1:40" x14ac:dyDescent="0.25">
      <c r="A525" t="str">
        <f>"20190312153900383"</f>
        <v>20190312153900383</v>
      </c>
      <c r="B525" t="str">
        <f>"1552376340376195"</f>
        <v>1552376340376195</v>
      </c>
      <c r="C525" t="s">
        <v>40</v>
      </c>
      <c r="D525">
        <v>3.9828269999999999</v>
      </c>
      <c r="E525">
        <v>0.51403329999999903</v>
      </c>
      <c r="F525" t="s">
        <v>47</v>
      </c>
      <c r="G525">
        <v>-169.2955</v>
      </c>
      <c r="H525">
        <v>3.5104259999999998</v>
      </c>
      <c r="I525">
        <v>353.96949999999998</v>
      </c>
      <c r="J525">
        <v>-404.69720000000001</v>
      </c>
      <c r="K525">
        <v>1.060654</v>
      </c>
      <c r="L525">
        <v>368.02780000000001</v>
      </c>
      <c r="M525">
        <v>0.99988739999999998</v>
      </c>
      <c r="N525">
        <v>0</v>
      </c>
      <c r="O525">
        <v>1.818138E-3</v>
      </c>
      <c r="P525">
        <v>0.9985695</v>
      </c>
      <c r="Q525">
        <v>4.4469620000000001E-2</v>
      </c>
      <c r="R525">
        <v>-2.9687290000000002E-2</v>
      </c>
      <c r="S525">
        <v>2.997681</v>
      </c>
      <c r="T525">
        <v>3.116524E-2</v>
      </c>
      <c r="U525">
        <v>-0.17883299999999999</v>
      </c>
      <c r="V525">
        <v>3.149424E-2</v>
      </c>
      <c r="W525">
        <v>5.9348320000000003E-2</v>
      </c>
      <c r="X525">
        <v>0.99774039999999997</v>
      </c>
      <c r="Y525">
        <v>6.1362859999999998E-2</v>
      </c>
      <c r="Z525">
        <v>3.3757339999999903E-4</v>
      </c>
      <c r="AA525">
        <v>0.99811550000000004</v>
      </c>
      <c r="AB525">
        <v>25</v>
      </c>
      <c r="AC525">
        <v>235.40170000000001</v>
      </c>
      <c r="AD525">
        <v>2.4497719999999998</v>
      </c>
      <c r="AE525">
        <v>-14.058299999999999</v>
      </c>
      <c r="AF525">
        <v>14.484753887723601</v>
      </c>
      <c r="AG525">
        <v>2.4497719999999998</v>
      </c>
      <c r="AH525">
        <v>235.35034999664799</v>
      </c>
      <c r="AI525">
        <v>89.404753489048105</v>
      </c>
      <c r="AJ525">
        <v>86.478145131987404</v>
      </c>
      <c r="AK525">
        <v>235.80838984562101</v>
      </c>
      <c r="AL525">
        <v>86.597592433462793</v>
      </c>
      <c r="AM525">
        <v>88.1920266356029</v>
      </c>
      <c r="AN525">
        <v>1.00000000801607</v>
      </c>
    </row>
    <row r="526" spans="1:40" x14ac:dyDescent="0.25">
      <c r="A526" t="str">
        <f>"20190312153900395"</f>
        <v>20190312153900395</v>
      </c>
      <c r="B526" t="str">
        <f>"1552376340386932"</f>
        <v>1552376340386932</v>
      </c>
      <c r="C526" t="s">
        <v>40</v>
      </c>
      <c r="D526">
        <v>3.9956999999999998</v>
      </c>
      <c r="E526">
        <v>0.51460159999999999</v>
      </c>
      <c r="F526" t="s">
        <v>47</v>
      </c>
      <c r="G526">
        <v>-158.78319999999999</v>
      </c>
      <c r="H526">
        <v>3.4804529999999998</v>
      </c>
      <c r="I526">
        <v>351.75170000000003</v>
      </c>
      <c r="J526">
        <v>-404.54629999999997</v>
      </c>
      <c r="K526">
        <v>1.0606530000000001</v>
      </c>
      <c r="L526">
        <v>368.02820000000003</v>
      </c>
      <c r="M526">
        <v>0.99988730000000003</v>
      </c>
      <c r="N526">
        <v>0</v>
      </c>
      <c r="O526">
        <v>1.8819959999999999E-3</v>
      </c>
      <c r="P526">
        <v>0.99859370000000003</v>
      </c>
      <c r="Q526">
        <v>4.4061870000000003E-2</v>
      </c>
      <c r="R526">
        <v>-2.948253E-2</v>
      </c>
      <c r="S526">
        <v>2.9970699999999999</v>
      </c>
      <c r="T526">
        <v>2.9492259999999999E-2</v>
      </c>
      <c r="U526">
        <v>-0.19836429999999999</v>
      </c>
      <c r="V526">
        <v>3.1353399999999997E-2</v>
      </c>
      <c r="W526">
        <v>5.8937530000000002E-2</v>
      </c>
      <c r="X526">
        <v>0.99776920000000002</v>
      </c>
      <c r="Y526">
        <v>6.7916180000000007E-2</v>
      </c>
      <c r="Z526">
        <v>3.5228789999999999E-4</v>
      </c>
      <c r="AA526">
        <v>0.99769099999999999</v>
      </c>
      <c r="AB526">
        <v>25</v>
      </c>
      <c r="AC526">
        <v>245.76310000000001</v>
      </c>
      <c r="AD526">
        <v>2.4197999999999902</v>
      </c>
      <c r="AE526">
        <v>-16.276499999999999</v>
      </c>
      <c r="AF526">
        <v>16.7374321278634</v>
      </c>
      <c r="AG526">
        <v>2.4197999999999902</v>
      </c>
      <c r="AH526">
        <v>245.70831278337999</v>
      </c>
      <c r="AI526">
        <v>89.437058843479605</v>
      </c>
      <c r="AJ526">
        <v>86.103082436005394</v>
      </c>
      <c r="AK526">
        <v>246.289610087657</v>
      </c>
      <c r="AL526">
        <v>86.621170287387201</v>
      </c>
      <c r="AM526">
        <v>88.200158352429995</v>
      </c>
      <c r="AN526">
        <v>1.0000000223013501</v>
      </c>
    </row>
    <row r="527" spans="1:40" x14ac:dyDescent="0.25">
      <c r="A527" t="str">
        <f>"20190312153900407"</f>
        <v>20190312153900407</v>
      </c>
      <c r="B527" t="str">
        <f>"1552376340396692"</f>
        <v>1552376340396692</v>
      </c>
      <c r="C527" t="s">
        <v>40</v>
      </c>
      <c r="D527">
        <v>3.9673660000000002</v>
      </c>
      <c r="E527">
        <v>0.51496620000000004</v>
      </c>
      <c r="F527" t="s">
        <v>47</v>
      </c>
      <c r="G527">
        <v>-158.78319999999999</v>
      </c>
      <c r="H527">
        <v>3.378695</v>
      </c>
      <c r="I527">
        <v>351.4366</v>
      </c>
      <c r="J527">
        <v>-404.41379999999998</v>
      </c>
      <c r="K527">
        <v>1.060646</v>
      </c>
      <c r="L527">
        <v>368.02850000000001</v>
      </c>
      <c r="M527">
        <v>0.99988730000000003</v>
      </c>
      <c r="N527">
        <v>0</v>
      </c>
      <c r="O527">
        <v>1.938099E-3</v>
      </c>
      <c r="P527">
        <v>0.99860450000000001</v>
      </c>
      <c r="Q527">
        <v>4.3926300000000001E-2</v>
      </c>
      <c r="R527">
        <v>-2.9325070000000002E-2</v>
      </c>
      <c r="S527">
        <v>2.9970400000000001</v>
      </c>
      <c r="T527">
        <v>2.826917E-2</v>
      </c>
      <c r="U527">
        <v>-0.2023315</v>
      </c>
      <c r="V527">
        <v>3.1251929999999997E-2</v>
      </c>
      <c r="W527">
        <v>5.8798540000000003E-2</v>
      </c>
      <c r="X527">
        <v>0.99778060000000002</v>
      </c>
      <c r="Y527">
        <v>6.9287769999999999E-2</v>
      </c>
      <c r="Z527">
        <v>3.4465699999999897E-4</v>
      </c>
      <c r="AA527">
        <v>0.9975967</v>
      </c>
      <c r="AB527">
        <v>25</v>
      </c>
      <c r="AC527">
        <v>245.63059999999999</v>
      </c>
      <c r="AD527">
        <v>2.3180489999999998</v>
      </c>
      <c r="AE527">
        <v>-16.591899999999999</v>
      </c>
      <c r="AF527">
        <v>17.0664649876529</v>
      </c>
      <c r="AG527">
        <v>2.3180489999999998</v>
      </c>
      <c r="AH527">
        <v>245.57620670866399</v>
      </c>
      <c r="AI527">
        <v>89.460489497194402</v>
      </c>
      <c r="AJ527">
        <v>86.024587334923098</v>
      </c>
      <c r="AK527">
        <v>246.179428222095</v>
      </c>
      <c r="AL527">
        <v>86.629147717140398</v>
      </c>
      <c r="AM527">
        <v>88.205999908181596</v>
      </c>
      <c r="AN527">
        <v>1.0000000385856</v>
      </c>
    </row>
    <row r="528" spans="1:40" x14ac:dyDescent="0.25">
      <c r="A528" t="str">
        <f>"20190312153900421"</f>
        <v>20190312153900421</v>
      </c>
      <c r="B528" t="str">
        <f>"1552376340416211"</f>
        <v>1552376340416211</v>
      </c>
      <c r="C528" t="s">
        <v>40</v>
      </c>
      <c r="D528">
        <v>4.0062280000000001</v>
      </c>
      <c r="E528">
        <v>0.51577280000000003</v>
      </c>
      <c r="F528" t="s">
        <v>47</v>
      </c>
      <c r="G528">
        <v>-158.78319999999999</v>
      </c>
      <c r="H528">
        <v>3.199592</v>
      </c>
      <c r="I528">
        <v>351.26330000000002</v>
      </c>
      <c r="J528">
        <v>-404.27449999999999</v>
      </c>
      <c r="K528">
        <v>1.0606450000000001</v>
      </c>
      <c r="L528">
        <v>368.02879999999999</v>
      </c>
      <c r="M528">
        <v>0.99988719999999998</v>
      </c>
      <c r="N528">
        <v>0</v>
      </c>
      <c r="O528">
        <v>1.997244E-3</v>
      </c>
      <c r="P528">
        <v>0.99862720000000005</v>
      </c>
      <c r="Q528">
        <v>4.346175E-2</v>
      </c>
      <c r="R528">
        <v>-2.923854E-2</v>
      </c>
      <c r="S528">
        <v>2.9970400000000001</v>
      </c>
      <c r="T528">
        <v>2.6099210000000001E-2</v>
      </c>
      <c r="U528">
        <v>-0.2045593</v>
      </c>
      <c r="V528">
        <v>3.122459E-2</v>
      </c>
      <c r="W528">
        <v>5.8331090000000002E-2</v>
      </c>
      <c r="X528">
        <v>0.9978089</v>
      </c>
      <c r="Y528">
        <v>7.0085339999999996E-2</v>
      </c>
      <c r="Z528">
        <v>3.2217710000000002E-4</v>
      </c>
      <c r="AA528">
        <v>0.99754100000000001</v>
      </c>
      <c r="AB528">
        <v>25</v>
      </c>
      <c r="AC528">
        <v>245.4913</v>
      </c>
      <c r="AD528">
        <v>2.1389469999999999</v>
      </c>
      <c r="AE528">
        <v>-16.7654999999999</v>
      </c>
      <c r="AF528">
        <v>17.254523117495999</v>
      </c>
      <c r="AG528">
        <v>2.1389469999999999</v>
      </c>
      <c r="AH528">
        <v>245.43877575966599</v>
      </c>
      <c r="AI528">
        <v>89.501921265637705</v>
      </c>
      <c r="AJ528">
        <v>85.9786813392368</v>
      </c>
      <c r="AK528">
        <v>246.05382807159199</v>
      </c>
      <c r="AL528">
        <v>86.655976702313893</v>
      </c>
      <c r="AM528">
        <v>88.207619125867893</v>
      </c>
      <c r="AN528">
        <v>1.0000000460002301</v>
      </c>
    </row>
    <row r="529" spans="1:40" x14ac:dyDescent="0.25">
      <c r="A529" t="str">
        <f>"20190312153900438"</f>
        <v>20190312153900438</v>
      </c>
      <c r="B529" t="str">
        <f>"1552376340426950"</f>
        <v>1552376340426950</v>
      </c>
      <c r="C529" t="s">
        <v>40</v>
      </c>
      <c r="D529">
        <v>4.019717</v>
      </c>
      <c r="E529">
        <v>0.51611390000000001</v>
      </c>
      <c r="F529" t="s">
        <v>50</v>
      </c>
      <c r="G529">
        <v>0</v>
      </c>
      <c r="H529">
        <v>0</v>
      </c>
      <c r="I529">
        <v>0</v>
      </c>
      <c r="J529">
        <v>-404.07389999999998</v>
      </c>
      <c r="K529">
        <v>1.060649</v>
      </c>
      <c r="L529">
        <v>368.02929999999998</v>
      </c>
      <c r="M529">
        <v>0.99988710000000003</v>
      </c>
      <c r="N529">
        <v>0</v>
      </c>
      <c r="O529">
        <v>2.081795E-3</v>
      </c>
      <c r="P529">
        <v>0.99864450000000005</v>
      </c>
      <c r="Q529">
        <v>4.3051449999999998E-2</v>
      </c>
      <c r="R529">
        <v>-2.9253879999999999E-2</v>
      </c>
      <c r="S529">
        <v>2.9969480000000002</v>
      </c>
      <c r="T529">
        <v>2.2903799999999998E-2</v>
      </c>
      <c r="U529">
        <v>-0.21090700000000001</v>
      </c>
      <c r="V529">
        <v>3.1324610000000003E-2</v>
      </c>
      <c r="W529">
        <v>5.7915990000000001E-2</v>
      </c>
      <c r="X529">
        <v>0.99782990000000005</v>
      </c>
      <c r="Y529">
        <v>7.227488E-2</v>
      </c>
      <c r="Z529">
        <v>2.9172269999999998E-4</v>
      </c>
      <c r="AA529">
        <v>0.99738470000000001</v>
      </c>
      <c r="AB529">
        <v>25</v>
      </c>
      <c r="AC529">
        <v>2.9969480000000002</v>
      </c>
      <c r="AD529">
        <v>2.2903799999999998E-2</v>
      </c>
      <c r="AE529">
        <v>-0.21090700000000001</v>
      </c>
      <c r="AF529">
        <v>0.21713364579304001</v>
      </c>
      <c r="AG529">
        <v>2.2903799999999998E-2</v>
      </c>
      <c r="AH529">
        <v>2.9963282498025898</v>
      </c>
      <c r="AI529">
        <v>89.563187530272103</v>
      </c>
      <c r="AJ529">
        <v>85.855216277259004</v>
      </c>
      <c r="AK529">
        <v>3.0042727214344001</v>
      </c>
      <c r="AL529">
        <v>86.6798003070774</v>
      </c>
      <c r="AM529">
        <v>88.201919272307407</v>
      </c>
      <c r="AN529">
        <v>1.0000000012116701</v>
      </c>
    </row>
    <row r="530" spans="1:40" x14ac:dyDescent="0.25">
      <c r="A530" t="str">
        <f>"20190312153900451"</f>
        <v>20190312153900451</v>
      </c>
      <c r="B530" t="str">
        <f>"1552376340446468"</f>
        <v>1552376340446468</v>
      </c>
      <c r="C530" t="s">
        <v>40</v>
      </c>
      <c r="D530">
        <v>4.0828790000000001</v>
      </c>
      <c r="E530">
        <v>0.51636179999999998</v>
      </c>
      <c r="F530" t="s">
        <v>50</v>
      </c>
      <c r="G530">
        <v>0</v>
      </c>
      <c r="H530">
        <v>0</v>
      </c>
      <c r="I530">
        <v>0</v>
      </c>
      <c r="J530">
        <v>-403.92899999999997</v>
      </c>
      <c r="K530">
        <v>1.060648</v>
      </c>
      <c r="L530">
        <v>368.02969999999999</v>
      </c>
      <c r="M530">
        <v>0.99988699999999997</v>
      </c>
      <c r="N530">
        <v>0</v>
      </c>
      <c r="O530">
        <v>2.1434430000000001E-3</v>
      </c>
      <c r="P530">
        <v>0.99864850000000005</v>
      </c>
      <c r="Q530">
        <v>4.290733E-2</v>
      </c>
      <c r="R530">
        <v>-2.9334949999999999E-2</v>
      </c>
      <c r="S530">
        <v>2.9968569999999999</v>
      </c>
      <c r="T530">
        <v>2.219892E-2</v>
      </c>
      <c r="U530">
        <v>-0.21359249999999999</v>
      </c>
      <c r="V530">
        <v>3.1467219999999997E-2</v>
      </c>
      <c r="W530">
        <v>5.7768420000000001E-2</v>
      </c>
      <c r="X530">
        <v>0.997834</v>
      </c>
      <c r="Y530">
        <v>7.322787E-2</v>
      </c>
      <c r="Z530">
        <v>2.8672590000000003E-4</v>
      </c>
      <c r="AA530">
        <v>0.99731519999999996</v>
      </c>
      <c r="AB530">
        <v>25</v>
      </c>
      <c r="AC530">
        <v>2.9968569999999999</v>
      </c>
      <c r="AD530">
        <v>2.219892E-2</v>
      </c>
      <c r="AE530">
        <v>-0.21359249999999999</v>
      </c>
      <c r="AF530">
        <v>0.220004302043283</v>
      </c>
      <c r="AG530">
        <v>2.219892E-2</v>
      </c>
      <c r="AH530">
        <v>2.9962286692092399</v>
      </c>
      <c r="AI530">
        <v>89.576645668665705</v>
      </c>
      <c r="AJ530">
        <v>85.800475074135306</v>
      </c>
      <c r="AK530">
        <v>3.00437696089524</v>
      </c>
      <c r="AL530">
        <v>86.688269733555998</v>
      </c>
      <c r="AM530">
        <v>88.193746066471604</v>
      </c>
      <c r="AN530">
        <v>1.00000003391991</v>
      </c>
    </row>
    <row r="531" spans="1:40" x14ac:dyDescent="0.25">
      <c r="A531" t="str">
        <f>"20190312153900462"</f>
        <v>20190312153900462</v>
      </c>
      <c r="B531" t="str">
        <f>"1552376340456227"</f>
        <v>1552376340456227</v>
      </c>
      <c r="C531" t="s">
        <v>40</v>
      </c>
      <c r="D531">
        <v>4.0750830000000002</v>
      </c>
      <c r="E531">
        <v>0.51647259999999995</v>
      </c>
      <c r="F531" t="s">
        <v>50</v>
      </c>
      <c r="G531">
        <v>0</v>
      </c>
      <c r="H531">
        <v>0</v>
      </c>
      <c r="I531">
        <v>0</v>
      </c>
      <c r="J531">
        <v>-403.80419999999998</v>
      </c>
      <c r="K531">
        <v>1.060646</v>
      </c>
      <c r="L531">
        <v>368.03</v>
      </c>
      <c r="M531">
        <v>0.99988699999999997</v>
      </c>
      <c r="N531">
        <v>0</v>
      </c>
      <c r="O531">
        <v>2.1965069999999999E-3</v>
      </c>
      <c r="P531">
        <v>0.9986604</v>
      </c>
      <c r="Q531">
        <v>4.2777620000000002E-2</v>
      </c>
      <c r="R531">
        <v>-2.9121870000000001E-2</v>
      </c>
      <c r="S531">
        <v>2.996826</v>
      </c>
      <c r="T531">
        <v>2.0749090000000001E-2</v>
      </c>
      <c r="U531">
        <v>-0.21585080000000001</v>
      </c>
      <c r="V531">
        <v>3.1307090000000003E-2</v>
      </c>
      <c r="W531">
        <v>5.7635609999999997E-2</v>
      </c>
      <c r="X531">
        <v>0.99784669999999998</v>
      </c>
      <c r="Y531">
        <v>7.4029460000000005E-2</v>
      </c>
      <c r="Z531">
        <v>2.7113400000000002E-4</v>
      </c>
      <c r="AA531">
        <v>0.99725600000000003</v>
      </c>
      <c r="AB531">
        <v>25</v>
      </c>
      <c r="AC531">
        <v>2.996826</v>
      </c>
      <c r="AD531">
        <v>2.0749090000000001E-2</v>
      </c>
      <c r="AE531">
        <v>-0.21585080000000001</v>
      </c>
      <c r="AF531">
        <v>0.22242294913396601</v>
      </c>
      <c r="AG531">
        <v>2.0749090000000001E-2</v>
      </c>
      <c r="AH531">
        <v>2.99620170982443</v>
      </c>
      <c r="AI531">
        <v>89.604314297043999</v>
      </c>
      <c r="AJ531">
        <v>85.754436861824203</v>
      </c>
      <c r="AK531">
        <v>3.00451779475378</v>
      </c>
      <c r="AL531">
        <v>86.6958918296626</v>
      </c>
      <c r="AM531">
        <v>88.202954523787398</v>
      </c>
      <c r="AN531">
        <v>1.00000001706261</v>
      </c>
    </row>
    <row r="532" spans="1:40" x14ac:dyDescent="0.25">
      <c r="A532" t="str">
        <f>"20190312153900474"</f>
        <v>20190312153900474</v>
      </c>
      <c r="B532" t="str">
        <f>"1552376340466964"</f>
        <v>1552376340466964</v>
      </c>
      <c r="C532" t="s">
        <v>40</v>
      </c>
      <c r="D532">
        <v>4.1038949999999996</v>
      </c>
      <c r="E532">
        <v>0.51657399999999998</v>
      </c>
      <c r="F532" t="s">
        <v>50</v>
      </c>
      <c r="G532">
        <v>0</v>
      </c>
      <c r="H532">
        <v>0</v>
      </c>
      <c r="I532">
        <v>0</v>
      </c>
      <c r="J532">
        <v>-403.65940000000001</v>
      </c>
      <c r="K532">
        <v>1.060649</v>
      </c>
      <c r="L532">
        <v>368.03039999999999</v>
      </c>
      <c r="M532">
        <v>0.99988690000000002</v>
      </c>
      <c r="N532">
        <v>0</v>
      </c>
      <c r="O532">
        <v>2.2579789999999998E-3</v>
      </c>
      <c r="P532">
        <v>0.99865930000000003</v>
      </c>
      <c r="Q532">
        <v>4.2920659999999999E-2</v>
      </c>
      <c r="R532">
        <v>-2.8948249999999998E-2</v>
      </c>
      <c r="S532">
        <v>2.9968569999999999</v>
      </c>
      <c r="T532">
        <v>1.9522790000000002E-2</v>
      </c>
      <c r="U532">
        <v>-0.2161255</v>
      </c>
      <c r="V532">
        <v>3.1194889999999999E-2</v>
      </c>
      <c r="W532">
        <v>5.7775079999999999E-2</v>
      </c>
      <c r="X532">
        <v>0.99784209999999995</v>
      </c>
      <c r="Y532">
        <v>7.4181159999999996E-2</v>
      </c>
      <c r="Z532">
        <v>2.5599990000000001E-4</v>
      </c>
      <c r="AA532">
        <v>0.99724480000000004</v>
      </c>
      <c r="AB532">
        <v>25</v>
      </c>
      <c r="AC532">
        <v>2.9968569999999999</v>
      </c>
      <c r="AD532">
        <v>1.9522790000000002E-2</v>
      </c>
      <c r="AE532">
        <v>-0.2161255</v>
      </c>
      <c r="AF532">
        <v>0.222883127549282</v>
      </c>
      <c r="AG532">
        <v>1.9522790000000002E-2</v>
      </c>
      <c r="AH532">
        <v>2.9962348024252901</v>
      </c>
      <c r="AI532">
        <v>89.627707506900904</v>
      </c>
      <c r="AJ532">
        <v>85.745732103489601</v>
      </c>
      <c r="AK532">
        <v>3.00457667885845</v>
      </c>
      <c r="AL532">
        <v>86.687887289301003</v>
      </c>
      <c r="AM532">
        <v>88.209382420692293</v>
      </c>
      <c r="AN532">
        <v>0.999999968781763</v>
      </c>
    </row>
    <row r="533" spans="1:40" x14ac:dyDescent="0.25">
      <c r="A533" t="str">
        <f>"20190312153900487"</f>
        <v>20190312153900487</v>
      </c>
      <c r="B533" t="str">
        <f>"1552376340476724"</f>
        <v>1552376340476724</v>
      </c>
      <c r="C533" t="s">
        <v>40</v>
      </c>
      <c r="D533">
        <v>4.1155350000000004</v>
      </c>
      <c r="E533">
        <v>0.51671250000000002</v>
      </c>
      <c r="F533" t="s">
        <v>50</v>
      </c>
      <c r="G533">
        <v>0</v>
      </c>
      <c r="H533">
        <v>0</v>
      </c>
      <c r="I533">
        <v>0</v>
      </c>
      <c r="J533">
        <v>-403.52350000000001</v>
      </c>
      <c r="K533">
        <v>1.0606500000000001</v>
      </c>
      <c r="L533">
        <v>368.0308</v>
      </c>
      <c r="M533">
        <v>0.99988679999999996</v>
      </c>
      <c r="N533">
        <v>0</v>
      </c>
      <c r="O533">
        <v>2.3152810000000002E-3</v>
      </c>
      <c r="P533">
        <v>0.99865760000000003</v>
      </c>
      <c r="Q533">
        <v>4.2956090000000002E-2</v>
      </c>
      <c r="R533">
        <v>-2.8954000000000001E-2</v>
      </c>
      <c r="S533">
        <v>2.996918</v>
      </c>
      <c r="T533">
        <v>1.9547100000000001E-2</v>
      </c>
      <c r="U533">
        <v>-0.21640010000000001</v>
      </c>
      <c r="V533">
        <v>3.1257970000000003E-2</v>
      </c>
      <c r="W533">
        <v>5.7807450000000003E-2</v>
      </c>
      <c r="X533">
        <v>0.99783829999999996</v>
      </c>
      <c r="Y533">
        <v>7.4327760000000007E-2</v>
      </c>
      <c r="Z533">
        <v>2.5716349999999998E-4</v>
      </c>
      <c r="AA533">
        <v>0.99723379999999995</v>
      </c>
      <c r="AB533">
        <v>25</v>
      </c>
      <c r="AC533">
        <v>2.996918</v>
      </c>
      <c r="AD533">
        <v>1.9547100000000001E-2</v>
      </c>
      <c r="AE533">
        <v>-0.21640010000000001</v>
      </c>
      <c r="AF533">
        <v>0.22332954257144799</v>
      </c>
      <c r="AG533">
        <v>1.9547100000000001E-2</v>
      </c>
      <c r="AH533">
        <v>2.9962820774570802</v>
      </c>
      <c r="AI533">
        <v>89.627253898230904</v>
      </c>
      <c r="AJ533">
        <v>85.737309571358097</v>
      </c>
      <c r="AK533">
        <v>3.00465712875764</v>
      </c>
      <c r="AL533">
        <v>86.686029681431407</v>
      </c>
      <c r="AM533">
        <v>88.205757102164199</v>
      </c>
      <c r="AN533">
        <v>1.00000001745545</v>
      </c>
    </row>
    <row r="534" spans="1:40" x14ac:dyDescent="0.25">
      <c r="A534" t="str">
        <f>"20190312153900506"</f>
        <v>20190312153900506</v>
      </c>
      <c r="B534" t="str">
        <f>"1552376340496243"</f>
        <v>1552376340496243</v>
      </c>
      <c r="C534" t="s">
        <v>40</v>
      </c>
      <c r="D534">
        <v>4.1140930000000004</v>
      </c>
      <c r="E534">
        <v>0.51693679999999997</v>
      </c>
      <c r="F534" t="s">
        <v>50</v>
      </c>
      <c r="G534">
        <v>0</v>
      </c>
      <c r="H534">
        <v>0</v>
      </c>
      <c r="I534">
        <v>0</v>
      </c>
      <c r="J534">
        <v>-403.32089999999999</v>
      </c>
      <c r="K534">
        <v>1.060656</v>
      </c>
      <c r="L534">
        <v>368.03129999999999</v>
      </c>
      <c r="M534">
        <v>0.99988670000000002</v>
      </c>
      <c r="N534">
        <v>0</v>
      </c>
      <c r="O534">
        <v>2.4010210000000001E-3</v>
      </c>
      <c r="P534">
        <v>0.99865510000000002</v>
      </c>
      <c r="Q534">
        <v>4.3277799999999998E-2</v>
      </c>
      <c r="R534">
        <v>-2.856009E-2</v>
      </c>
      <c r="S534">
        <v>2.996918</v>
      </c>
      <c r="T534">
        <v>1.8856640000000001E-2</v>
      </c>
      <c r="U534">
        <v>-0.2174683</v>
      </c>
      <c r="V534">
        <v>3.094945E-2</v>
      </c>
      <c r="W534">
        <v>5.8124019999999998E-2</v>
      </c>
      <c r="X534">
        <v>0.99782950000000004</v>
      </c>
      <c r="Y534">
        <v>7.4766959999999993E-2</v>
      </c>
      <c r="Z534">
        <v>2.4999549999999999E-4</v>
      </c>
      <c r="AA534">
        <v>0.997201</v>
      </c>
      <c r="AB534">
        <v>25</v>
      </c>
      <c r="AC534">
        <v>2.996918</v>
      </c>
      <c r="AD534">
        <v>1.8856640000000001E-2</v>
      </c>
      <c r="AE534">
        <v>-0.2174683</v>
      </c>
      <c r="AF534">
        <v>0.224655283303828</v>
      </c>
      <c r="AG534">
        <v>1.8856640000000001E-2</v>
      </c>
      <c r="AH534">
        <v>2.9962691568308202</v>
      </c>
      <c r="AI534">
        <v>89.640430299929406</v>
      </c>
      <c r="AJ534">
        <v>85.7120808391997</v>
      </c>
      <c r="AK534">
        <v>3.00473866240712</v>
      </c>
      <c r="AL534">
        <v>86.667860917913302</v>
      </c>
      <c r="AM534">
        <v>88.223439437256502</v>
      </c>
      <c r="AN534">
        <v>0.99999999061325595</v>
      </c>
    </row>
    <row r="535" spans="1:40" x14ac:dyDescent="0.25">
      <c r="A535" t="str">
        <f>"20190312153900518"</f>
        <v>20190312153900518</v>
      </c>
      <c r="B535" t="str">
        <f>"1552376340506981"</f>
        <v>1552376340506981</v>
      </c>
      <c r="C535" t="s">
        <v>40</v>
      </c>
      <c r="D535">
        <v>4.1030470000000001</v>
      </c>
      <c r="E535">
        <v>0.5170167</v>
      </c>
      <c r="F535" t="s">
        <v>50</v>
      </c>
      <c r="G535">
        <v>0</v>
      </c>
      <c r="H535">
        <v>0</v>
      </c>
      <c r="I535">
        <v>0</v>
      </c>
      <c r="J535">
        <v>-403.18079999999998</v>
      </c>
      <c r="K535">
        <v>1.060656</v>
      </c>
      <c r="L535">
        <v>368.0317</v>
      </c>
      <c r="M535">
        <v>0.99988659999999996</v>
      </c>
      <c r="N535">
        <v>0</v>
      </c>
      <c r="O535">
        <v>2.4606430000000002E-3</v>
      </c>
      <c r="P535">
        <v>0.99865099999999996</v>
      </c>
      <c r="Q535">
        <v>4.3509289999999999E-2</v>
      </c>
      <c r="R535">
        <v>-2.8339320000000001E-2</v>
      </c>
      <c r="S535">
        <v>2.9969790000000001</v>
      </c>
      <c r="T535">
        <v>1.8776419999999999E-2</v>
      </c>
      <c r="U535">
        <v>-0.2181091</v>
      </c>
      <c r="V535">
        <v>3.0788510000000002E-2</v>
      </c>
      <c r="W535">
        <v>5.8352029999999999E-2</v>
      </c>
      <c r="X535">
        <v>0.99782119999999996</v>
      </c>
      <c r="Y535">
        <v>7.5037069999999997E-2</v>
      </c>
      <c r="Z535">
        <v>2.501429E-4</v>
      </c>
      <c r="AA535">
        <v>0.99718070000000003</v>
      </c>
      <c r="AB535">
        <v>25</v>
      </c>
      <c r="AC535">
        <v>2.9969790000000001</v>
      </c>
      <c r="AD535">
        <v>1.8776419999999999E-2</v>
      </c>
      <c r="AE535">
        <v>-0.2181091</v>
      </c>
      <c r="AF535">
        <v>0.22547494533936799</v>
      </c>
      <c r="AG535">
        <v>1.8776419999999999E-2</v>
      </c>
      <c r="AH535">
        <v>2.9963161863138001</v>
      </c>
      <c r="AI535">
        <v>89.641972846479405</v>
      </c>
      <c r="AJ535">
        <v>85.696562188610599</v>
      </c>
      <c r="AK535">
        <v>3.0048464508673098</v>
      </c>
      <c r="AL535">
        <v>86.654774792781893</v>
      </c>
      <c r="AM535">
        <v>88.232657150756594</v>
      </c>
      <c r="AN535">
        <v>1.0000000194612899</v>
      </c>
    </row>
    <row r="536" spans="1:40" x14ac:dyDescent="0.25">
      <c r="A536" t="str">
        <f>"20190312153900531"</f>
        <v>20190312153900531</v>
      </c>
      <c r="B536" t="str">
        <f>"1552376340526499"</f>
        <v>1552376340526499</v>
      </c>
      <c r="C536" t="s">
        <v>40</v>
      </c>
      <c r="D536">
        <v>4.129537</v>
      </c>
      <c r="E536">
        <v>0.51711720000000005</v>
      </c>
      <c r="F536" t="s">
        <v>50</v>
      </c>
      <c r="G536">
        <v>0</v>
      </c>
      <c r="H536">
        <v>0</v>
      </c>
      <c r="I536">
        <v>0</v>
      </c>
      <c r="J536">
        <v>-403.03539999999998</v>
      </c>
      <c r="K536">
        <v>1.0606580000000001</v>
      </c>
      <c r="L536">
        <v>368.03219999999999</v>
      </c>
      <c r="M536">
        <v>0.99988650000000001</v>
      </c>
      <c r="N536">
        <v>0</v>
      </c>
      <c r="O536">
        <v>2.5222930000000001E-3</v>
      </c>
      <c r="P536">
        <v>0.99865539999999997</v>
      </c>
      <c r="Q536">
        <v>4.346643E-2</v>
      </c>
      <c r="R536">
        <v>-2.825273E-2</v>
      </c>
      <c r="S536">
        <v>2.9971009999999998</v>
      </c>
      <c r="T536">
        <v>1.8462900000000001E-2</v>
      </c>
      <c r="U536">
        <v>-0.21801760000000001</v>
      </c>
      <c r="V536">
        <v>3.0763459999999999E-2</v>
      </c>
      <c r="W536">
        <v>5.8304910000000001E-2</v>
      </c>
      <c r="X536">
        <v>0.99782470000000001</v>
      </c>
      <c r="Y536">
        <v>7.5065350000000003E-2</v>
      </c>
      <c r="Z536">
        <v>2.4642289999999997E-4</v>
      </c>
      <c r="AA536">
        <v>0.99717860000000003</v>
      </c>
      <c r="AB536">
        <v>25</v>
      </c>
      <c r="AC536">
        <v>2.9971009999999998</v>
      </c>
      <c r="AD536">
        <v>1.8462900000000001E-2</v>
      </c>
      <c r="AE536">
        <v>-0.21801760000000001</v>
      </c>
      <c r="AF536">
        <v>0.225568792273282</v>
      </c>
      <c r="AG536">
        <v>1.8462900000000001E-2</v>
      </c>
      <c r="AH536">
        <v>2.9964283871489101</v>
      </c>
      <c r="AI536">
        <v>89.6479648000049</v>
      </c>
      <c r="AJ536">
        <v>85.694938351861595</v>
      </c>
      <c r="AK536">
        <v>3.00496343372691</v>
      </c>
      <c r="AL536">
        <v>86.657479083881199</v>
      </c>
      <c r="AM536">
        <v>88.2341003671811</v>
      </c>
      <c r="AN536">
        <v>0.99999999246568405</v>
      </c>
    </row>
    <row r="537" spans="1:40" x14ac:dyDescent="0.25">
      <c r="A537" t="str">
        <f>"20190312153900550"</f>
        <v>20190312153900550</v>
      </c>
      <c r="B537" t="str">
        <f>"1552376340546995"</f>
        <v>1552376340546995</v>
      </c>
      <c r="C537" t="s">
        <v>40</v>
      </c>
      <c r="D537">
        <v>4.1561269999999997</v>
      </c>
      <c r="E537">
        <v>0.51724680000000001</v>
      </c>
      <c r="F537" t="s">
        <v>50</v>
      </c>
      <c r="G537">
        <v>0</v>
      </c>
      <c r="H537">
        <v>0</v>
      </c>
      <c r="I537">
        <v>0</v>
      </c>
      <c r="J537">
        <v>-402.83139999999997</v>
      </c>
      <c r="K537">
        <v>1.0606599999999999</v>
      </c>
      <c r="L537">
        <v>368.03269999999998</v>
      </c>
      <c r="M537">
        <v>0.99988630000000001</v>
      </c>
      <c r="N537">
        <v>0</v>
      </c>
      <c r="O537">
        <v>2.608867E-3</v>
      </c>
      <c r="P537">
        <v>0.99866310000000003</v>
      </c>
      <c r="Q537">
        <v>4.3429019999999999E-2</v>
      </c>
      <c r="R537">
        <v>-2.8037300000000001E-2</v>
      </c>
      <c r="S537">
        <v>2.9970699999999999</v>
      </c>
      <c r="T537">
        <v>1.7743829999999999E-2</v>
      </c>
      <c r="U537">
        <v>-0.21856690000000001</v>
      </c>
      <c r="V537">
        <v>3.063451E-2</v>
      </c>
      <c r="W537">
        <v>5.8263019999999999E-2</v>
      </c>
      <c r="X537">
        <v>0.99783109999999997</v>
      </c>
      <c r="Y537">
        <v>7.5334330000000005E-2</v>
      </c>
      <c r="Z537">
        <v>2.3813360000000001E-4</v>
      </c>
      <c r="AA537">
        <v>0.99715830000000005</v>
      </c>
      <c r="AB537">
        <v>25</v>
      </c>
      <c r="AC537">
        <v>2.9970699999999999</v>
      </c>
      <c r="AD537">
        <v>1.7743829999999999E-2</v>
      </c>
      <c r="AE537">
        <v>-0.21856690000000001</v>
      </c>
      <c r="AF537">
        <v>0.226378082737964</v>
      </c>
      <c r="AG537">
        <v>1.7743829999999999E-2</v>
      </c>
      <c r="AH537">
        <v>2.99638505273529</v>
      </c>
      <c r="AI537">
        <v>89.6616770896525</v>
      </c>
      <c r="AJ537">
        <v>85.6794888845305</v>
      </c>
      <c r="AK537">
        <v>3.0049767493447601</v>
      </c>
      <c r="AL537">
        <v>86.659883244163296</v>
      </c>
      <c r="AM537">
        <v>88.241509034580702</v>
      </c>
      <c r="AN537">
        <v>0.99999997841483401</v>
      </c>
    </row>
    <row r="538" spans="1:40" x14ac:dyDescent="0.25">
      <c r="A538" t="str">
        <f>"20190312153900563"</f>
        <v>20190312153900563</v>
      </c>
      <c r="B538" t="str">
        <f>"1552376340556756"</f>
        <v>1552376340556756</v>
      </c>
      <c r="C538" t="s">
        <v>40</v>
      </c>
      <c r="D538">
        <v>4.1460589999999904</v>
      </c>
      <c r="E538">
        <v>0.51729440000000004</v>
      </c>
      <c r="F538" t="s">
        <v>50</v>
      </c>
      <c r="G538">
        <v>0</v>
      </c>
      <c r="H538">
        <v>0</v>
      </c>
      <c r="I538">
        <v>0</v>
      </c>
      <c r="J538">
        <v>-402.68119999999999</v>
      </c>
      <c r="K538">
        <v>1.060659</v>
      </c>
      <c r="L538">
        <v>368.03320000000002</v>
      </c>
      <c r="M538">
        <v>0.99988630000000001</v>
      </c>
      <c r="N538">
        <v>0</v>
      </c>
      <c r="O538">
        <v>2.6723670000000001E-3</v>
      </c>
      <c r="P538">
        <v>0.9986718</v>
      </c>
      <c r="Q538">
        <v>4.3301390000000002E-2</v>
      </c>
      <c r="R538">
        <v>-2.7922639999999999E-2</v>
      </c>
      <c r="S538">
        <v>2.997131</v>
      </c>
      <c r="T538">
        <v>1.661646E-2</v>
      </c>
      <c r="U538">
        <v>-0.21902469999999999</v>
      </c>
      <c r="V538">
        <v>3.0583550000000001E-2</v>
      </c>
      <c r="W538">
        <v>5.8131639999999998E-2</v>
      </c>
      <c r="X538">
        <v>0.99784030000000001</v>
      </c>
      <c r="Y538">
        <v>7.5547840000000005E-2</v>
      </c>
      <c r="Z538">
        <v>2.239408E-4</v>
      </c>
      <c r="AA538">
        <v>0.99714210000000003</v>
      </c>
      <c r="AB538">
        <v>25</v>
      </c>
      <c r="AC538">
        <v>2.997131</v>
      </c>
      <c r="AD538">
        <v>1.661646E-2</v>
      </c>
      <c r="AE538">
        <v>-0.21902469999999999</v>
      </c>
      <c r="AF538">
        <v>0.22702729274969399</v>
      </c>
      <c r="AG538">
        <v>1.661646E-2</v>
      </c>
      <c r="AH538">
        <v>2.9964433034108899</v>
      </c>
      <c r="AI538">
        <v>89.683183570867598</v>
      </c>
      <c r="AJ538">
        <v>85.667229493810794</v>
      </c>
      <c r="AK538">
        <v>3.00507736488633</v>
      </c>
      <c r="AL538">
        <v>86.667423458118293</v>
      </c>
      <c r="AM538">
        <v>88.244448599178398</v>
      </c>
      <c r="AN538">
        <v>0.99999995270188902</v>
      </c>
    </row>
    <row r="539" spans="1:40" x14ac:dyDescent="0.25">
      <c r="A539" t="str">
        <f>"20190312153900578"</f>
        <v>20190312153900578</v>
      </c>
      <c r="B539" t="str">
        <f>"1552376340566516"</f>
        <v>1552376340566516</v>
      </c>
      <c r="C539" t="s">
        <v>40</v>
      </c>
      <c r="D539">
        <v>4.1473550000000001</v>
      </c>
      <c r="E539">
        <v>0.51735259999999905</v>
      </c>
      <c r="F539" t="s">
        <v>50</v>
      </c>
      <c r="G539">
        <v>0</v>
      </c>
      <c r="H539">
        <v>0</v>
      </c>
      <c r="I539">
        <v>0</v>
      </c>
      <c r="J539">
        <v>-402.52629999999999</v>
      </c>
      <c r="K539">
        <v>1.060654</v>
      </c>
      <c r="L539">
        <v>368.03379999999999</v>
      </c>
      <c r="M539">
        <v>0.99988600000000005</v>
      </c>
      <c r="N539">
        <v>0</v>
      </c>
      <c r="O539">
        <v>2.7381910000000001E-3</v>
      </c>
      <c r="P539">
        <v>0.99869189999999997</v>
      </c>
      <c r="Q539">
        <v>4.3136019999999997E-2</v>
      </c>
      <c r="R539">
        <v>-2.7460780000000001E-2</v>
      </c>
      <c r="S539">
        <v>2.997223</v>
      </c>
      <c r="T539">
        <v>1.5402559999999999E-2</v>
      </c>
      <c r="U539">
        <v>-0.2185974</v>
      </c>
      <c r="V539">
        <v>3.018734E-2</v>
      </c>
      <c r="W539">
        <v>5.7962630000000001E-2</v>
      </c>
      <c r="X539">
        <v>0.99786220000000003</v>
      </c>
      <c r="Y539">
        <v>7.5470049999999997E-2</v>
      </c>
      <c r="Z539">
        <v>2.077142E-4</v>
      </c>
      <c r="AA539">
        <v>0.99714800000000003</v>
      </c>
      <c r="AB539">
        <v>25</v>
      </c>
      <c r="AC539">
        <v>2.997223</v>
      </c>
      <c r="AD539">
        <v>1.5402559999999999E-2</v>
      </c>
      <c r="AE539">
        <v>-0.2185974</v>
      </c>
      <c r="AF539">
        <v>0.22679849652581899</v>
      </c>
      <c r="AG539">
        <v>1.5402559999999999E-2</v>
      </c>
      <c r="AH539">
        <v>2.9965344179527902</v>
      </c>
      <c r="AI539">
        <v>89.706335068758193</v>
      </c>
      <c r="AJ539">
        <v>85.671710533803505</v>
      </c>
      <c r="AK539">
        <v>3.00514447487248</v>
      </c>
      <c r="AL539">
        <v>86.677123385101396</v>
      </c>
      <c r="AM539">
        <v>88.267215824151293</v>
      </c>
      <c r="AN539">
        <v>0.99999995608081504</v>
      </c>
    </row>
    <row r="540" spans="1:40" x14ac:dyDescent="0.25">
      <c r="A540" t="str">
        <f>"20190312153900594"</f>
        <v>20190312153900594</v>
      </c>
      <c r="B540" t="str">
        <f>"1552376340587011"</f>
        <v>1552376340587011</v>
      </c>
      <c r="C540" t="s">
        <v>40</v>
      </c>
      <c r="D540">
        <v>4.1648829999999997</v>
      </c>
      <c r="E540">
        <v>0.51745149999999995</v>
      </c>
      <c r="F540" t="s">
        <v>50</v>
      </c>
      <c r="G540">
        <v>0</v>
      </c>
      <c r="H540">
        <v>0</v>
      </c>
      <c r="I540">
        <v>0</v>
      </c>
      <c r="J540">
        <v>-402.32929999999999</v>
      </c>
      <c r="K540">
        <v>1.060651</v>
      </c>
      <c r="L540">
        <v>368.03440000000001</v>
      </c>
      <c r="M540">
        <v>0.99988589999999999</v>
      </c>
      <c r="N540">
        <v>0</v>
      </c>
      <c r="O540">
        <v>2.8221969999999998E-3</v>
      </c>
      <c r="P540">
        <v>0.99869540000000001</v>
      </c>
      <c r="Q540">
        <v>4.3078539999999998E-2</v>
      </c>
      <c r="R540">
        <v>-2.7418270000000002E-2</v>
      </c>
      <c r="S540">
        <v>2.9973450000000001</v>
      </c>
      <c r="T540">
        <v>1.4424920000000001E-2</v>
      </c>
      <c r="U540">
        <v>-0.21777340000000001</v>
      </c>
      <c r="V540">
        <v>3.022907E-2</v>
      </c>
      <c r="W540">
        <v>5.790029E-2</v>
      </c>
      <c r="X540">
        <v>0.99786459999999999</v>
      </c>
      <c r="Y540">
        <v>7.5278330000000004E-2</v>
      </c>
      <c r="Z540">
        <v>1.9446740000000001E-4</v>
      </c>
      <c r="AA540">
        <v>0.99716249999999995</v>
      </c>
      <c r="AB540">
        <v>25</v>
      </c>
      <c r="AC540">
        <v>2.9973450000000001</v>
      </c>
      <c r="AD540">
        <v>1.4424920000000001E-2</v>
      </c>
      <c r="AE540">
        <v>-0.21777340000000001</v>
      </c>
      <c r="AF540">
        <v>0.226227350117884</v>
      </c>
      <c r="AG540">
        <v>1.4424920000000001E-2</v>
      </c>
      <c r="AH540">
        <v>2.99664935329087</v>
      </c>
      <c r="AI540">
        <v>89.724980988056799</v>
      </c>
      <c r="AJ540">
        <v>85.682734162089304</v>
      </c>
      <c r="AK540">
        <v>3.0052111804059498</v>
      </c>
      <c r="AL540">
        <v>86.680701359148699</v>
      </c>
      <c r="AM540">
        <v>88.264826113602894</v>
      </c>
      <c r="AN540">
        <v>1.00000000009415</v>
      </c>
    </row>
    <row r="541" spans="1:40" x14ac:dyDescent="0.25">
      <c r="A541" t="str">
        <f>"20190312153900608"</f>
        <v>20190312153900608</v>
      </c>
      <c r="B541" t="str">
        <f>"1552376340596772"</f>
        <v>1552376340596772</v>
      </c>
      <c r="C541" t="s">
        <v>40</v>
      </c>
      <c r="D541">
        <v>4.1506740000000004</v>
      </c>
      <c r="E541">
        <v>0.51748629999999995</v>
      </c>
      <c r="F541" t="s">
        <v>50</v>
      </c>
      <c r="G541">
        <v>0</v>
      </c>
      <c r="H541">
        <v>0</v>
      </c>
      <c r="I541">
        <v>0</v>
      </c>
      <c r="J541">
        <v>-402.19729999999998</v>
      </c>
      <c r="K541">
        <v>1.060656</v>
      </c>
      <c r="L541">
        <v>368.03480000000002</v>
      </c>
      <c r="M541">
        <v>0.99988569999999999</v>
      </c>
      <c r="N541">
        <v>0</v>
      </c>
      <c r="O541">
        <v>2.8781269999999999E-3</v>
      </c>
      <c r="P541">
        <v>0.99870499999999995</v>
      </c>
      <c r="Q541">
        <v>4.2899890000000003E-2</v>
      </c>
      <c r="R541">
        <v>-2.7350389999999999E-2</v>
      </c>
      <c r="S541">
        <v>2.9973749999999999</v>
      </c>
      <c r="T541">
        <v>1.297212E-2</v>
      </c>
      <c r="U541">
        <v>-0.2185059</v>
      </c>
      <c r="V541">
        <v>3.021689E-2</v>
      </c>
      <c r="W541">
        <v>5.7718440000000003E-2</v>
      </c>
      <c r="X541">
        <v>0.99787550000000003</v>
      </c>
      <c r="Y541">
        <v>7.5575929999999999E-2</v>
      </c>
      <c r="Z541">
        <v>1.7576340000000001E-4</v>
      </c>
      <c r="AA541">
        <v>0.99714000000000003</v>
      </c>
      <c r="AB541">
        <v>25</v>
      </c>
      <c r="AC541">
        <v>2.9973749999999999</v>
      </c>
      <c r="AD541">
        <v>1.297212E-2</v>
      </c>
      <c r="AE541">
        <v>-0.2185059</v>
      </c>
      <c r="AF541">
        <v>0.227128539473436</v>
      </c>
      <c r="AG541">
        <v>1.297212E-2</v>
      </c>
      <c r="AH541">
        <v>2.99667779434612</v>
      </c>
      <c r="AI541">
        <v>89.752686981441997</v>
      </c>
      <c r="AJ541">
        <v>85.665642481918198</v>
      </c>
      <c r="AK541">
        <v>3.00530089216833</v>
      </c>
      <c r="AL541">
        <v>86.691138037433802</v>
      </c>
      <c r="AM541">
        <v>88.265543763099103</v>
      </c>
      <c r="AN541">
        <v>0.99999999612877699</v>
      </c>
    </row>
    <row r="542" spans="1:40" x14ac:dyDescent="0.25">
      <c r="A542" t="str">
        <f>"20190312153900621"</f>
        <v>20190312153900621</v>
      </c>
      <c r="B542" t="str">
        <f>"1552376340606531"</f>
        <v>1552376340606531</v>
      </c>
      <c r="C542" t="s">
        <v>40</v>
      </c>
      <c r="D542">
        <v>4.10764</v>
      </c>
      <c r="E542">
        <v>0.51760329999999999</v>
      </c>
      <c r="F542" t="s">
        <v>50</v>
      </c>
      <c r="G542">
        <v>0</v>
      </c>
      <c r="H542">
        <v>0</v>
      </c>
      <c r="I542">
        <v>0</v>
      </c>
      <c r="J542">
        <v>-402.0532</v>
      </c>
      <c r="K542">
        <v>1.060656</v>
      </c>
      <c r="L542">
        <v>368.03530000000001</v>
      </c>
      <c r="M542">
        <v>0.99988569999999999</v>
      </c>
      <c r="N542">
        <v>0</v>
      </c>
      <c r="O542">
        <v>2.9390649999999998E-3</v>
      </c>
      <c r="P542">
        <v>0.99871969999999999</v>
      </c>
      <c r="Q542">
        <v>4.2710489999999997E-2</v>
      </c>
      <c r="R542">
        <v>-2.7111280000000001E-2</v>
      </c>
      <c r="S542">
        <v>2.9974059999999998</v>
      </c>
      <c r="T542">
        <v>1.169801E-2</v>
      </c>
      <c r="U542">
        <v>-0.21844479999999999</v>
      </c>
      <c r="V542">
        <v>3.0038789999999999E-2</v>
      </c>
      <c r="W542">
        <v>5.7526109999999998E-2</v>
      </c>
      <c r="X542">
        <v>0.997892</v>
      </c>
      <c r="Y542">
        <v>7.56159E-2</v>
      </c>
      <c r="Z542">
        <v>1.5881409999999999E-4</v>
      </c>
      <c r="AA542">
        <v>0.99713700000000005</v>
      </c>
      <c r="AB542">
        <v>25</v>
      </c>
      <c r="AC542">
        <v>2.9974059999999998</v>
      </c>
      <c r="AD542">
        <v>1.169801E-2</v>
      </c>
      <c r="AE542">
        <v>-0.21844479999999999</v>
      </c>
      <c r="AF542">
        <v>0.22725095336076401</v>
      </c>
      <c r="AG542">
        <v>1.169801E-2</v>
      </c>
      <c r="AH542">
        <v>2.9967055549425301</v>
      </c>
      <c r="AI542">
        <v>89.776980326662994</v>
      </c>
      <c r="AJ542">
        <v>85.663355353350894</v>
      </c>
      <c r="AK542">
        <v>3.0053325976112402</v>
      </c>
      <c r="AL542">
        <v>86.702176130484105</v>
      </c>
      <c r="AM542">
        <v>88.275789046426297</v>
      </c>
      <c r="AN542">
        <v>1.00000001295019</v>
      </c>
    </row>
    <row r="543" spans="1:40" x14ac:dyDescent="0.25">
      <c r="A543" t="str">
        <f>"20190312153900641"</f>
        <v>20190312153900641</v>
      </c>
      <c r="B543" t="str">
        <f>"1552376340627027"</f>
        <v>1552376340627027</v>
      </c>
      <c r="C543" t="s">
        <v>40</v>
      </c>
      <c r="D543">
        <v>4.1941189999999997</v>
      </c>
      <c r="E543">
        <v>0.5276303</v>
      </c>
      <c r="F543" t="s">
        <v>50</v>
      </c>
      <c r="G543">
        <v>0</v>
      </c>
      <c r="H543">
        <v>0</v>
      </c>
      <c r="I543">
        <v>0</v>
      </c>
      <c r="J543">
        <v>-401.84930000000003</v>
      </c>
      <c r="K543">
        <v>1.060649</v>
      </c>
      <c r="L543">
        <v>368.036</v>
      </c>
      <c r="M543">
        <v>0.99988540000000004</v>
      </c>
      <c r="N543">
        <v>0</v>
      </c>
      <c r="O543">
        <v>3.0259929999999998E-3</v>
      </c>
      <c r="P543">
        <v>0.99873520000000005</v>
      </c>
      <c r="Q543">
        <v>4.2363409999999997E-2</v>
      </c>
      <c r="R543">
        <v>-2.7086059999999999E-2</v>
      </c>
      <c r="S543">
        <v>2.9974370000000001</v>
      </c>
      <c r="T543">
        <v>1.0757569999999999E-2</v>
      </c>
      <c r="U543">
        <v>-0.21853639999999999</v>
      </c>
      <c r="V543">
        <v>3.0100200000000001E-2</v>
      </c>
      <c r="W543">
        <v>5.7174309999999999E-2</v>
      </c>
      <c r="X543">
        <v>0.99791039999999998</v>
      </c>
      <c r="Y543">
        <v>7.5732220000000003E-2</v>
      </c>
      <c r="Z543">
        <v>1.4656510000000001E-4</v>
      </c>
      <c r="AA543">
        <v>0.99712820000000002</v>
      </c>
      <c r="AB543">
        <v>25</v>
      </c>
      <c r="AC543">
        <v>2.9974370000000001</v>
      </c>
      <c r="AD543">
        <v>1.0757569999999999E-2</v>
      </c>
      <c r="AE543">
        <v>-0.21853639999999999</v>
      </c>
      <c r="AF543">
        <v>0.22760370453648801</v>
      </c>
      <c r="AG543">
        <v>1.0757569999999999E-2</v>
      </c>
      <c r="AH543">
        <v>2.9967235165424602</v>
      </c>
      <c r="AI543">
        <v>89.794912467154404</v>
      </c>
      <c r="AJ543">
        <v>85.656675452423499</v>
      </c>
      <c r="AK543">
        <v>3.0053736882839801</v>
      </c>
      <c r="AL543">
        <v>86.722366121120501</v>
      </c>
      <c r="AM543">
        <v>88.272298116099293</v>
      </c>
      <c r="AN543">
        <v>1.00000004509608</v>
      </c>
    </row>
    <row r="544" spans="1:40" x14ac:dyDescent="0.25">
      <c r="A544" t="str">
        <f>"20190312153900661"</f>
        <v>20190312153900661</v>
      </c>
      <c r="B544" t="str">
        <f>"1552376340656307"</f>
        <v>1552376340656307</v>
      </c>
      <c r="C544" t="s">
        <v>40</v>
      </c>
      <c r="D544">
        <v>4.1038399999999999</v>
      </c>
      <c r="E544">
        <v>0.54302329999999999</v>
      </c>
      <c r="F544" t="s">
        <v>42</v>
      </c>
      <c r="G544">
        <v>-350.69650000000001</v>
      </c>
      <c r="H544" s="1">
        <v>-5.151749E-6</v>
      </c>
      <c r="I544">
        <v>362.97379999999998</v>
      </c>
      <c r="J544">
        <v>-401.60789999999997</v>
      </c>
      <c r="K544">
        <v>1.0606469999999999</v>
      </c>
      <c r="L544">
        <v>368.03680000000003</v>
      </c>
      <c r="M544">
        <v>0.99988529999999998</v>
      </c>
      <c r="N544">
        <v>0</v>
      </c>
      <c r="O544">
        <v>3.1276590000000001E-3</v>
      </c>
      <c r="P544">
        <v>0.99874430000000003</v>
      </c>
      <c r="Q544">
        <v>4.2174589999999998E-2</v>
      </c>
      <c r="R544">
        <v>-2.7044510000000001E-2</v>
      </c>
      <c r="S544">
        <v>2.998383</v>
      </c>
      <c r="T544">
        <v>-6.2171400000000002E-2</v>
      </c>
      <c r="U544">
        <v>-0.2967224</v>
      </c>
      <c r="V544">
        <v>3.016052E-2</v>
      </c>
      <c r="W544">
        <v>5.6979599999999901E-2</v>
      </c>
      <c r="X544">
        <v>0.99791969999999997</v>
      </c>
      <c r="Y544">
        <v>0.1015698</v>
      </c>
      <c r="Z544">
        <v>-1.115043E-3</v>
      </c>
      <c r="AA544">
        <v>0.99482780000000004</v>
      </c>
      <c r="AB544">
        <v>25</v>
      </c>
      <c r="AC544">
        <v>50.911399999999901</v>
      </c>
      <c r="AD544">
        <v>-1.060652151749</v>
      </c>
      <c r="AE544">
        <v>-5.0630000000000397</v>
      </c>
      <c r="AF544">
        <v>5.2199827942109502</v>
      </c>
      <c r="AG544">
        <v>-1.060652151749</v>
      </c>
      <c r="AH544">
        <v>50.873449679126402</v>
      </c>
      <c r="AI544">
        <v>91.188140873602293</v>
      </c>
      <c r="AJ544">
        <v>84.141542195859898</v>
      </c>
      <c r="AK544">
        <v>51.151550178009998</v>
      </c>
      <c r="AL544">
        <v>86.733540348078094</v>
      </c>
      <c r="AM544">
        <v>88.268854075722004</v>
      </c>
      <c r="AN544">
        <v>1.0000000297154501</v>
      </c>
    </row>
    <row r="545" spans="1:40" x14ac:dyDescent="0.25">
      <c r="A545" t="str">
        <f>"20190312153900672"</f>
        <v>20190312153900672</v>
      </c>
      <c r="B545" t="str">
        <f>"1552376340667044"</f>
        <v>1552376340667044</v>
      </c>
      <c r="C545" t="s">
        <v>40</v>
      </c>
      <c r="D545">
        <v>4.0726079999999998</v>
      </c>
      <c r="E545">
        <v>0.54438940000000002</v>
      </c>
      <c r="F545" t="s">
        <v>41</v>
      </c>
      <c r="G545">
        <v>-400.73520000000002</v>
      </c>
      <c r="H545">
        <v>0.92231070000000004</v>
      </c>
      <c r="I545">
        <v>367.91820000000001</v>
      </c>
      <c r="J545">
        <v>-401.47370000000001</v>
      </c>
      <c r="K545">
        <v>1.0606500000000001</v>
      </c>
      <c r="L545">
        <v>368.03730000000002</v>
      </c>
      <c r="M545">
        <v>0.99988520000000003</v>
      </c>
      <c r="N545">
        <v>0</v>
      </c>
      <c r="O545">
        <v>3.1844239999999999E-3</v>
      </c>
      <c r="P545">
        <v>0.99874359999999995</v>
      </c>
      <c r="Q545">
        <v>4.2254340000000001E-2</v>
      </c>
      <c r="R545">
        <v>-2.6944639999999999E-2</v>
      </c>
      <c r="S545">
        <v>3.0128780000000002</v>
      </c>
      <c r="T545">
        <v>-0.4777209</v>
      </c>
      <c r="U545">
        <v>-0.40866089999999999</v>
      </c>
      <c r="V545">
        <v>3.011728E-2</v>
      </c>
      <c r="W545">
        <v>5.7055290000000002E-2</v>
      </c>
      <c r="X545">
        <v>0.99791660000000004</v>
      </c>
      <c r="Y545">
        <v>0.13585649999999999</v>
      </c>
      <c r="Z545">
        <v>-1.115555E-2</v>
      </c>
      <c r="AA545">
        <v>0.99066569999999998</v>
      </c>
      <c r="AB545">
        <v>25</v>
      </c>
      <c r="AC545">
        <v>0.73849999999998694</v>
      </c>
      <c r="AD545">
        <v>-0.1383393</v>
      </c>
      <c r="AE545">
        <v>-0.119100000000003</v>
      </c>
      <c r="AF545">
        <v>0.117434956385551</v>
      </c>
      <c r="AG545">
        <v>-0.1383393</v>
      </c>
      <c r="AH545">
        <v>0.71370742910739604</v>
      </c>
      <c r="AI545">
        <v>100.827635881768</v>
      </c>
      <c r="AJ545">
        <v>80.6561542717278</v>
      </c>
      <c r="AK545">
        <v>0.73641498169772202</v>
      </c>
      <c r="AL545">
        <v>86.729196298553106</v>
      </c>
      <c r="AM545">
        <v>88.271329080601404</v>
      </c>
      <c r="AN545">
        <v>0.999999948613569</v>
      </c>
    </row>
    <row r="546" spans="1:40" x14ac:dyDescent="0.25">
      <c r="A546" t="str">
        <f>"20190312153900685"</f>
        <v>20190312153900685</v>
      </c>
      <c r="B546" t="str">
        <f>"1552376340676804"</f>
        <v>1552376340676804</v>
      </c>
      <c r="C546" t="s">
        <v>40</v>
      </c>
      <c r="D546">
        <v>4.1353929999999997</v>
      </c>
      <c r="E546">
        <v>0.54583190000000004</v>
      </c>
      <c r="F546" t="s">
        <v>41</v>
      </c>
      <c r="G546">
        <v>-400.7328</v>
      </c>
      <c r="H546">
        <v>0.92818239999999996</v>
      </c>
      <c r="I546">
        <v>367.93439999999998</v>
      </c>
      <c r="J546">
        <v>-401.34089999999998</v>
      </c>
      <c r="K546">
        <v>1.0606500000000001</v>
      </c>
      <c r="L546">
        <v>368.0378</v>
      </c>
      <c r="M546">
        <v>0.99988500000000002</v>
      </c>
      <c r="N546">
        <v>0</v>
      </c>
      <c r="O546">
        <v>3.2408269999999999E-3</v>
      </c>
      <c r="P546">
        <v>0.99874739999999995</v>
      </c>
      <c r="Q546">
        <v>4.2322430000000001E-2</v>
      </c>
      <c r="R546">
        <v>-2.6695859999999998E-2</v>
      </c>
      <c r="S546">
        <v>3.0152890000000001</v>
      </c>
      <c r="T546">
        <v>-0.53923929999999998</v>
      </c>
      <c r="U546">
        <v>-0.41751100000000002</v>
      </c>
      <c r="V546">
        <v>2.9924869999999999E-2</v>
      </c>
      <c r="W546">
        <v>5.7120509999999999E-2</v>
      </c>
      <c r="X546">
        <v>0.99791870000000005</v>
      </c>
      <c r="Y546">
        <v>0.13816410000000001</v>
      </c>
      <c r="Z546">
        <v>-1.277265E-2</v>
      </c>
      <c r="AA546">
        <v>0.99032699999999996</v>
      </c>
      <c r="AB546">
        <v>25</v>
      </c>
      <c r="AC546">
        <v>0.60809999999997899</v>
      </c>
      <c r="AD546">
        <v>-0.13246759999999999</v>
      </c>
      <c r="AE546">
        <v>-0.103400000000021</v>
      </c>
      <c r="AF546">
        <v>0.100724969160123</v>
      </c>
      <c r="AG546">
        <v>-0.13246759999999999</v>
      </c>
      <c r="AH546">
        <v>0.58096736421934803</v>
      </c>
      <c r="AI546">
        <v>102.66187356790201</v>
      </c>
      <c r="AJ546">
        <v>80.164142068778801</v>
      </c>
      <c r="AK546">
        <v>0.60433125250150999</v>
      </c>
      <c r="AL546">
        <v>86.725453502943793</v>
      </c>
      <c r="AM546">
        <v>88.282370000712305</v>
      </c>
      <c r="AN546">
        <v>0.99999999115843297</v>
      </c>
    </row>
    <row r="547" spans="1:40" x14ac:dyDescent="0.25">
      <c r="A547" t="str">
        <f>"20190312153900698"</f>
        <v>20190312153900698</v>
      </c>
      <c r="B547" t="str">
        <f>"1552376340686564"</f>
        <v>1552376340686564</v>
      </c>
      <c r="C547" t="s">
        <v>40</v>
      </c>
      <c r="D547">
        <v>4.0785049999999998</v>
      </c>
      <c r="E547">
        <v>0.54655050000000005</v>
      </c>
      <c r="F547" t="s">
        <v>41</v>
      </c>
      <c r="G547">
        <v>-400.52539999999999</v>
      </c>
      <c r="H547">
        <v>0.90499090000000004</v>
      </c>
      <c r="I547">
        <v>367.92189999999999</v>
      </c>
      <c r="J547">
        <v>-401.20749999999998</v>
      </c>
      <c r="K547">
        <v>1.0606580000000001</v>
      </c>
      <c r="L547">
        <v>368.03820000000002</v>
      </c>
      <c r="M547">
        <v>0.99988449999999995</v>
      </c>
      <c r="N547">
        <v>0</v>
      </c>
      <c r="O547">
        <v>3.2974010000000002E-3</v>
      </c>
      <c r="P547">
        <v>0.9987528</v>
      </c>
      <c r="Q547">
        <v>4.2241260000000003E-2</v>
      </c>
      <c r="R547">
        <v>-2.662316E-2</v>
      </c>
      <c r="S547">
        <v>3.016724</v>
      </c>
      <c r="T547">
        <v>-0.57602730000000002</v>
      </c>
      <c r="U547">
        <v>-0.42724609999999902</v>
      </c>
      <c r="V547">
        <v>2.9908819999999999E-2</v>
      </c>
      <c r="W547">
        <v>5.7061000000000001E-2</v>
      </c>
      <c r="X547">
        <v>0.99792259999999999</v>
      </c>
      <c r="Y547">
        <v>0.14093559999999999</v>
      </c>
      <c r="Z547">
        <v>-1.38916E-2</v>
      </c>
      <c r="AA547">
        <v>0.9899213</v>
      </c>
      <c r="AB547">
        <v>24</v>
      </c>
      <c r="AC547">
        <v>0.68209999999999105</v>
      </c>
      <c r="AD547">
        <v>-0.1556671</v>
      </c>
      <c r="AE547">
        <v>-0.116300000000023</v>
      </c>
      <c r="AF547">
        <v>0.112837841495152</v>
      </c>
      <c r="AG547">
        <v>-0.1556671</v>
      </c>
      <c r="AH547">
        <v>0.64887214702728702</v>
      </c>
      <c r="AI547">
        <v>103.298206973879</v>
      </c>
      <c r="AJ547">
        <v>80.135006295101206</v>
      </c>
      <c r="AK547">
        <v>0.67675674188255897</v>
      </c>
      <c r="AL547">
        <v>86.728868791776605</v>
      </c>
      <c r="AM547">
        <v>88.283297393539698</v>
      </c>
      <c r="AN547">
        <v>1.00000000541277</v>
      </c>
    </row>
    <row r="548" spans="1:40" x14ac:dyDescent="0.25">
      <c r="A548" t="str">
        <f>"20190312153900710"</f>
        <v>20190312153900710</v>
      </c>
      <c r="B548" t="str">
        <f>"1552376340707059"</f>
        <v>1552376340707059</v>
      </c>
      <c r="C548" t="s">
        <v>40</v>
      </c>
      <c r="D548">
        <v>4.0438710000000002</v>
      </c>
      <c r="E548">
        <v>0.54764159999999995</v>
      </c>
      <c r="F548" t="s">
        <v>41</v>
      </c>
      <c r="G548">
        <v>-400.32080000000002</v>
      </c>
      <c r="H548">
        <v>0.88296889999999995</v>
      </c>
      <c r="I548">
        <v>367.91109999999998</v>
      </c>
      <c r="J548">
        <v>-401.06790000000001</v>
      </c>
      <c r="K548">
        <v>1.06081</v>
      </c>
      <c r="L548">
        <v>368.03879999999998</v>
      </c>
      <c r="M548">
        <v>0.99987590000000004</v>
      </c>
      <c r="N548">
        <v>0</v>
      </c>
      <c r="O548">
        <v>3.3500240000000001E-3</v>
      </c>
      <c r="P548">
        <v>0.99877329999999998</v>
      </c>
      <c r="Q548">
        <v>4.1873720000000003E-2</v>
      </c>
      <c r="R548">
        <v>-2.64338E-2</v>
      </c>
      <c r="S548">
        <v>3.0178219999999998</v>
      </c>
      <c r="T548">
        <v>-0.60487440000000003</v>
      </c>
      <c r="U548">
        <v>-0.43203740000000002</v>
      </c>
      <c r="V548">
        <v>2.9772529999999998E-2</v>
      </c>
      <c r="W548">
        <v>5.724953E-2</v>
      </c>
      <c r="X548">
        <v>0.99791589999999997</v>
      </c>
      <c r="Y548">
        <v>0.1421954</v>
      </c>
      <c r="Z548">
        <v>-1.470227E-2</v>
      </c>
      <c r="AA548">
        <v>0.98972939999999998</v>
      </c>
      <c r="AB548">
        <v>24</v>
      </c>
      <c r="AC548">
        <v>0.747099999999989</v>
      </c>
      <c r="AD548">
        <v>-0.177841099999999</v>
      </c>
      <c r="AE548">
        <v>-0.127700000000004</v>
      </c>
      <c r="AF548">
        <v>0.123408096790888</v>
      </c>
      <c r="AG548">
        <v>-0.177841099999999</v>
      </c>
      <c r="AH548">
        <v>0.70770495643864495</v>
      </c>
      <c r="AI548">
        <v>103.90443272185399</v>
      </c>
      <c r="AJ548">
        <v>80.108343271418306</v>
      </c>
      <c r="AK548">
        <v>0.74006980790367605</v>
      </c>
      <c r="AL548">
        <v>86.718049205347199</v>
      </c>
      <c r="AM548">
        <v>88.291104033767994</v>
      </c>
      <c r="AN548">
        <v>1.0000000278503101</v>
      </c>
    </row>
    <row r="549" spans="1:40" x14ac:dyDescent="0.25">
      <c r="A549" t="str">
        <f>"20190312153900728"</f>
        <v>20190312153900728</v>
      </c>
      <c r="B549" t="str">
        <f>"1552376340716823"</f>
        <v>1552376340716823</v>
      </c>
      <c r="C549" t="s">
        <v>40</v>
      </c>
      <c r="D549">
        <v>4.1086989999999997</v>
      </c>
      <c r="E549">
        <v>0.54816209999999999</v>
      </c>
      <c r="F549" t="s">
        <v>41</v>
      </c>
      <c r="G549">
        <v>-400.31310000000002</v>
      </c>
      <c r="H549">
        <v>0.90045189999999997</v>
      </c>
      <c r="I549">
        <v>367.92880000000002</v>
      </c>
      <c r="J549">
        <v>-400.88279999999997</v>
      </c>
      <c r="K549">
        <v>1.0612060000000001</v>
      </c>
      <c r="L549">
        <v>368.03949999999998</v>
      </c>
      <c r="M549">
        <v>0.99986189999999997</v>
      </c>
      <c r="N549">
        <v>0</v>
      </c>
      <c r="O549">
        <v>3.418436E-3</v>
      </c>
      <c r="P549">
        <v>0.99881609999999998</v>
      </c>
      <c r="Q549">
        <v>4.1007630000000003E-2</v>
      </c>
      <c r="R549">
        <v>-2.6170329999999999E-2</v>
      </c>
      <c r="S549">
        <v>3.0189210000000002</v>
      </c>
      <c r="T549">
        <v>-0.64150439999999997</v>
      </c>
      <c r="U549">
        <v>-0.4390869</v>
      </c>
      <c r="V549">
        <v>2.9578199999999999E-2</v>
      </c>
      <c r="W549">
        <v>5.7257139999999998E-2</v>
      </c>
      <c r="X549">
        <v>0.99792119999999995</v>
      </c>
      <c r="Y549">
        <v>0.14408670000000001</v>
      </c>
      <c r="Z549">
        <v>-1.5778009999999999E-2</v>
      </c>
      <c r="AA549">
        <v>0.98943919999999996</v>
      </c>
      <c r="AB549">
        <v>24</v>
      </c>
      <c r="AC549">
        <v>0.56969999999995402</v>
      </c>
      <c r="AD549">
        <v>-0.16075409999999901</v>
      </c>
      <c r="AE549">
        <v>-0.110699999999951</v>
      </c>
      <c r="AF549">
        <v>0.104620133886369</v>
      </c>
      <c r="AG549">
        <v>-0.16075409999999901</v>
      </c>
      <c r="AH549">
        <v>0.52874996013403697</v>
      </c>
      <c r="AI549">
        <v>106.606928552718</v>
      </c>
      <c r="AJ549">
        <v>78.807839174747997</v>
      </c>
      <c r="AK549">
        <v>0.56246224177535498</v>
      </c>
      <c r="AL549">
        <v>86.717612329593607</v>
      </c>
      <c r="AM549">
        <v>88.302260729530303</v>
      </c>
      <c r="AN549">
        <v>0.999999985702829</v>
      </c>
    </row>
    <row r="550" spans="1:40" x14ac:dyDescent="0.25">
      <c r="A550" t="str">
        <f>"20190312153900742"</f>
        <v>20190312153900742</v>
      </c>
      <c r="B550" t="str">
        <f>"1552376340736339"</f>
        <v>1552376340736339</v>
      </c>
      <c r="C550" t="s">
        <v>40</v>
      </c>
      <c r="D550">
        <v>4.1150379999999904</v>
      </c>
      <c r="E550">
        <v>0.54858450000000003</v>
      </c>
      <c r="F550" t="s">
        <v>41</v>
      </c>
      <c r="G550">
        <v>-400.10610000000003</v>
      </c>
      <c r="H550">
        <v>0.89233050000000003</v>
      </c>
      <c r="I550">
        <v>367.9255</v>
      </c>
      <c r="J550">
        <v>-400.74149999999997</v>
      </c>
      <c r="K550">
        <v>1.0616399999999999</v>
      </c>
      <c r="L550">
        <v>368.04</v>
      </c>
      <c r="M550">
        <v>0.99985159999999995</v>
      </c>
      <c r="N550">
        <v>0</v>
      </c>
      <c r="O550">
        <v>3.4704900000000001E-3</v>
      </c>
      <c r="P550">
        <v>0.99883569999999999</v>
      </c>
      <c r="Q550">
        <v>4.0566730000000002E-2</v>
      </c>
      <c r="R550">
        <v>-2.6108530000000001E-2</v>
      </c>
      <c r="S550">
        <v>3.0189509999999999</v>
      </c>
      <c r="T550">
        <v>-0.65661879999999995</v>
      </c>
      <c r="U550">
        <v>-0.44155879999999997</v>
      </c>
      <c r="V550">
        <v>2.9568839999999999E-2</v>
      </c>
      <c r="W550">
        <v>5.7412339999999999E-2</v>
      </c>
      <c r="X550">
        <v>0.99791260000000004</v>
      </c>
      <c r="Y550">
        <v>0.1447618</v>
      </c>
      <c r="Z550">
        <v>-1.6223749999999999E-2</v>
      </c>
      <c r="AA550">
        <v>0.98933349999999998</v>
      </c>
      <c r="AB550">
        <v>24</v>
      </c>
      <c r="AC550">
        <v>0.63539999999994701</v>
      </c>
      <c r="AD550">
        <v>-0.169309499999999</v>
      </c>
      <c r="AE550">
        <v>-0.11450000000002</v>
      </c>
      <c r="AF550">
        <v>0.10919555619628001</v>
      </c>
      <c r="AG550">
        <v>-0.169309499999999</v>
      </c>
      <c r="AH550">
        <v>0.59414057339152204</v>
      </c>
      <c r="AI550">
        <v>105.656655765209</v>
      </c>
      <c r="AJ550">
        <v>79.585973640459699</v>
      </c>
      <c r="AK550">
        <v>0.62736942644128901</v>
      </c>
      <c r="AL550">
        <v>86.708705502640001</v>
      </c>
      <c r="AM550">
        <v>88.302783045711294</v>
      </c>
      <c r="AN550">
        <v>1.00000002516099</v>
      </c>
    </row>
    <row r="551" spans="1:40" x14ac:dyDescent="0.25">
      <c r="A551" t="str">
        <f>"20190312153900755"</f>
        <v>20190312153900755</v>
      </c>
      <c r="B551" t="str">
        <f>"1552376340747076"</f>
        <v>1552376340747076</v>
      </c>
      <c r="C551" t="s">
        <v>40</v>
      </c>
      <c r="D551">
        <v>4.0824780000000001</v>
      </c>
      <c r="E551">
        <v>0.54874429999999996</v>
      </c>
      <c r="F551" t="s">
        <v>41</v>
      </c>
      <c r="G551">
        <v>-399.90550000000002</v>
      </c>
      <c r="H551">
        <v>0.87543729999999997</v>
      </c>
      <c r="I551">
        <v>367.91629999999998</v>
      </c>
      <c r="J551">
        <v>-400.5933</v>
      </c>
      <c r="K551">
        <v>1.0621989999999999</v>
      </c>
      <c r="L551">
        <v>368.04059999999998</v>
      </c>
      <c r="M551">
        <v>0.9998456</v>
      </c>
      <c r="N551">
        <v>0</v>
      </c>
      <c r="O551">
        <v>3.5257890000000001E-3</v>
      </c>
      <c r="P551">
        <v>0.9988456</v>
      </c>
      <c r="Q551">
        <v>4.0330480000000002E-2</v>
      </c>
      <c r="R551">
        <v>-2.609788E-2</v>
      </c>
      <c r="S551">
        <v>3.019196</v>
      </c>
      <c r="T551">
        <v>-0.67269969999999901</v>
      </c>
      <c r="U551">
        <v>-0.44442749999999998</v>
      </c>
      <c r="V551">
        <v>2.961333E-2</v>
      </c>
      <c r="W551">
        <v>5.7519920000000002E-2</v>
      </c>
      <c r="X551">
        <v>0.99790509999999999</v>
      </c>
      <c r="Y551">
        <v>0.14554</v>
      </c>
      <c r="Z551">
        <v>-1.6706729999999999E-2</v>
      </c>
      <c r="AA551">
        <v>0.98921130000000002</v>
      </c>
      <c r="AB551">
        <v>24</v>
      </c>
      <c r="AC551">
        <v>0.68779999999998098</v>
      </c>
      <c r="AD551">
        <v>-0.186761699999999</v>
      </c>
      <c r="AE551">
        <v>-0.124300000000005</v>
      </c>
      <c r="AF551">
        <v>0.118279548630329</v>
      </c>
      <c r="AG551">
        <v>-0.186761699999999</v>
      </c>
      <c r="AH551">
        <v>0.64155111028980305</v>
      </c>
      <c r="AI551">
        <v>105.97561257271001</v>
      </c>
      <c r="AJ551">
        <v>79.553966556983497</v>
      </c>
      <c r="AK551">
        <v>0.67857041736666102</v>
      </c>
      <c r="AL551">
        <v>86.702531467419305</v>
      </c>
      <c r="AM551">
        <v>88.300218100973396</v>
      </c>
      <c r="AN551">
        <v>1.00000003955825</v>
      </c>
    </row>
    <row r="552" spans="1:40" x14ac:dyDescent="0.25">
      <c r="A552" t="str">
        <f>"20190312153900774"</f>
        <v>20190312153900774</v>
      </c>
      <c r="B552" t="str">
        <f>"1552376340766596"</f>
        <v>1552376340766596</v>
      </c>
      <c r="C552" t="s">
        <v>40</v>
      </c>
      <c r="D552">
        <v>4.0725470000000001</v>
      </c>
      <c r="E552">
        <v>0.54913179999999995</v>
      </c>
      <c r="F552" t="s">
        <v>41</v>
      </c>
      <c r="G552">
        <v>-399.8922</v>
      </c>
      <c r="H552">
        <v>0.90456340000000002</v>
      </c>
      <c r="I552">
        <v>367.9366</v>
      </c>
      <c r="J552">
        <v>-400.4042</v>
      </c>
      <c r="K552">
        <v>1.062829</v>
      </c>
      <c r="L552">
        <v>368.04140000000001</v>
      </c>
      <c r="M552">
        <v>0.99986109999999995</v>
      </c>
      <c r="N552">
        <v>0</v>
      </c>
      <c r="O552">
        <v>3.6053539999999999E-3</v>
      </c>
      <c r="P552">
        <v>0.99879209999999996</v>
      </c>
      <c r="Q552">
        <v>4.139615E-2</v>
      </c>
      <c r="R552">
        <v>-2.6470629999999998E-2</v>
      </c>
      <c r="S552">
        <v>3.0192570000000001</v>
      </c>
      <c r="T552">
        <v>-0.67912450000000002</v>
      </c>
      <c r="U552">
        <v>-0.44512940000000001</v>
      </c>
      <c r="V552">
        <v>3.0065100000000001E-2</v>
      </c>
      <c r="W552">
        <v>5.7648449999999997E-2</v>
      </c>
      <c r="X552">
        <v>0.9978842</v>
      </c>
      <c r="Y552">
        <v>0.1457658</v>
      </c>
      <c r="Z552">
        <v>-1.6904410000000002E-2</v>
      </c>
      <c r="AA552">
        <v>0.98917469999999996</v>
      </c>
      <c r="AB552">
        <v>24</v>
      </c>
      <c r="AC552">
        <v>0.51200000000000001</v>
      </c>
      <c r="AD552">
        <v>-0.15826560000000001</v>
      </c>
      <c r="AE552">
        <v>-0.104800000000011</v>
      </c>
      <c r="AF552">
        <v>9.7686818202958395E-2</v>
      </c>
      <c r="AG552">
        <v>-0.15826560000000001</v>
      </c>
      <c r="AH552">
        <v>0.46864057774760898</v>
      </c>
      <c r="AI552">
        <v>108.294197164408</v>
      </c>
      <c r="AJ552">
        <v>78.225458284820704</v>
      </c>
      <c r="AK552">
        <v>0.50419709013994796</v>
      </c>
      <c r="AL552">
        <v>86.695155086281403</v>
      </c>
      <c r="AM552">
        <v>88.274266297858205</v>
      </c>
      <c r="AN552">
        <v>1.0000000653175201</v>
      </c>
    </row>
    <row r="553" spans="1:40" x14ac:dyDescent="0.25">
      <c r="A553" t="str">
        <f>"20190312153900796"</f>
        <v>20190312153900796</v>
      </c>
      <c r="B553" t="str">
        <f>"1552376340786115"</f>
        <v>1552376340786115</v>
      </c>
      <c r="C553" t="s">
        <v>40</v>
      </c>
      <c r="D553">
        <v>4.1045800000000003</v>
      </c>
      <c r="E553">
        <v>0.54958869999999904</v>
      </c>
      <c r="F553" t="s">
        <v>41</v>
      </c>
      <c r="G553">
        <v>-399.68419999999998</v>
      </c>
      <c r="H553">
        <v>0.89972980000000002</v>
      </c>
      <c r="I553">
        <v>367.9341</v>
      </c>
      <c r="J553">
        <v>-400.16750000000002</v>
      </c>
      <c r="K553">
        <v>1.0636840000000001</v>
      </c>
      <c r="L553">
        <v>368.04239999999999</v>
      </c>
      <c r="M553">
        <v>0.99989439999999996</v>
      </c>
      <c r="N553">
        <v>0</v>
      </c>
      <c r="O553">
        <v>3.7044349999999998E-3</v>
      </c>
      <c r="P553">
        <v>0.99867629999999996</v>
      </c>
      <c r="Q553">
        <v>4.4029680000000002E-2</v>
      </c>
      <c r="R553">
        <v>-2.659332E-2</v>
      </c>
      <c r="S553">
        <v>3.0200809999999998</v>
      </c>
      <c r="T553">
        <v>-0.68415709999999996</v>
      </c>
      <c r="U553">
        <v>-0.44918819999999998</v>
      </c>
      <c r="V553">
        <v>3.0285590000000001E-2</v>
      </c>
      <c r="W553">
        <v>5.8066890000000003E-2</v>
      </c>
      <c r="X553">
        <v>0.9978532</v>
      </c>
      <c r="Y553">
        <v>0.14704059999999999</v>
      </c>
      <c r="Z553">
        <v>-1.7184399999999999E-2</v>
      </c>
      <c r="AA553">
        <v>0.9889812</v>
      </c>
      <c r="AB553">
        <v>23</v>
      </c>
      <c r="AC553">
        <v>0.48330000000004197</v>
      </c>
      <c r="AD553">
        <v>-0.16395419999999999</v>
      </c>
      <c r="AE553">
        <v>-0.10829999999998501</v>
      </c>
      <c r="AF553">
        <v>9.9217474213867604E-2</v>
      </c>
      <c r="AG553">
        <v>-0.16395419999999999</v>
      </c>
      <c r="AH553">
        <v>0.43520537640294898</v>
      </c>
      <c r="AI553">
        <v>110.16848961015199</v>
      </c>
      <c r="AJ553">
        <v>77.157287480778507</v>
      </c>
      <c r="AK553">
        <v>0.47553002695629198</v>
      </c>
      <c r="AL553">
        <v>86.671139777354497</v>
      </c>
      <c r="AM553">
        <v>88.261563958833406</v>
      </c>
      <c r="AN553">
        <v>0.99999999471307999</v>
      </c>
    </row>
    <row r="554" spans="1:40" x14ac:dyDescent="0.25">
      <c r="A554" t="str">
        <f>"20190312153900808"</f>
        <v>20190312153900808</v>
      </c>
      <c r="B554" t="str">
        <f>"1552376340796852"</f>
        <v>1552376340796852</v>
      </c>
      <c r="C554" t="s">
        <v>40</v>
      </c>
      <c r="D554">
        <v>4.113766</v>
      </c>
      <c r="E554">
        <v>0.54977169999999997</v>
      </c>
      <c r="F554" t="s">
        <v>41</v>
      </c>
      <c r="G554">
        <v>-399.46899999999999</v>
      </c>
      <c r="H554">
        <v>0.90577099999999999</v>
      </c>
      <c r="I554">
        <v>367.93709999999999</v>
      </c>
      <c r="J554">
        <v>-400.03710000000001</v>
      </c>
      <c r="K554">
        <v>1.064314</v>
      </c>
      <c r="L554">
        <v>368.04289999999997</v>
      </c>
      <c r="M554">
        <v>0.99991169999999996</v>
      </c>
      <c r="N554">
        <v>0</v>
      </c>
      <c r="O554">
        <v>3.7599880000000001E-3</v>
      </c>
      <c r="P554">
        <v>0.99860689999999996</v>
      </c>
      <c r="Q554">
        <v>4.5566370000000002E-2</v>
      </c>
      <c r="R554">
        <v>-2.6604929999999999E-2</v>
      </c>
      <c r="S554">
        <v>3.0220030000000002</v>
      </c>
      <c r="T554">
        <v>-0.68331119999999901</v>
      </c>
      <c r="U554">
        <v>-0.45346069999999999</v>
      </c>
      <c r="V554">
        <v>3.0352130000000001E-2</v>
      </c>
      <c r="W554">
        <v>5.8290630000000003E-2</v>
      </c>
      <c r="X554">
        <v>0.99783809999999995</v>
      </c>
      <c r="Y554">
        <v>0.14835229999999999</v>
      </c>
      <c r="Z554">
        <v>-1.7309410000000001E-2</v>
      </c>
      <c r="AA554">
        <v>0.98878310000000003</v>
      </c>
      <c r="AB554">
        <v>24</v>
      </c>
      <c r="AC554">
        <v>0.56810000000001504</v>
      </c>
      <c r="AD554">
        <v>-0.15854299999999999</v>
      </c>
      <c r="AE554">
        <v>-0.105799999999987</v>
      </c>
      <c r="AF554">
        <v>0.100379635706681</v>
      </c>
      <c r="AG554">
        <v>-0.15854299999999999</v>
      </c>
      <c r="AH554">
        <v>0.52795740317495898</v>
      </c>
      <c r="AI554">
        <v>106.436600394498</v>
      </c>
      <c r="AJ554">
        <v>79.234938976974703</v>
      </c>
      <c r="AK554">
        <v>0.56031328172804595</v>
      </c>
      <c r="AL554">
        <v>86.658298558184995</v>
      </c>
      <c r="AM554">
        <v>88.257720470649701</v>
      </c>
      <c r="AN554">
        <v>0.99999996157647097</v>
      </c>
    </row>
    <row r="555" spans="1:40" x14ac:dyDescent="0.25">
      <c r="A555" t="str">
        <f>"20190312153900831"</f>
        <v>20190312153900831</v>
      </c>
      <c r="B555" t="str">
        <f>"1552376340827108"</f>
        <v>1552376340827108</v>
      </c>
      <c r="C555" t="s">
        <v>40</v>
      </c>
      <c r="D555">
        <v>4.1117879999999998</v>
      </c>
      <c r="E555">
        <v>0.55054179999999997</v>
      </c>
      <c r="F555" t="s">
        <v>41</v>
      </c>
      <c r="G555">
        <v>-399.26330000000002</v>
      </c>
      <c r="H555">
        <v>0.88978819999999903</v>
      </c>
      <c r="I555">
        <v>367.9264</v>
      </c>
      <c r="J555">
        <v>-399.80290000000002</v>
      </c>
      <c r="K555">
        <v>1.065631</v>
      </c>
      <c r="L555">
        <v>368.04390000000001</v>
      </c>
      <c r="M555">
        <v>0.99993670000000001</v>
      </c>
      <c r="N555">
        <v>0</v>
      </c>
      <c r="O555">
        <v>3.8613760000000001E-3</v>
      </c>
      <c r="P555">
        <v>0.99850430000000001</v>
      </c>
      <c r="Q555">
        <v>4.7837659999999997E-2</v>
      </c>
      <c r="R555">
        <v>-2.6474540000000001E-2</v>
      </c>
      <c r="S555">
        <v>3.023193</v>
      </c>
      <c r="T555">
        <v>-0.68199239999999905</v>
      </c>
      <c r="U555">
        <v>-0.4545593</v>
      </c>
      <c r="V555">
        <v>3.0322680000000001E-2</v>
      </c>
      <c r="W555">
        <v>5.8397730000000002E-2</v>
      </c>
      <c r="X555">
        <v>0.99783279999999996</v>
      </c>
      <c r="Y555">
        <v>0.14875179999999999</v>
      </c>
      <c r="Z555">
        <v>-1.7336500000000001E-2</v>
      </c>
      <c r="AA555">
        <v>0.98872260000000001</v>
      </c>
      <c r="AB555">
        <v>24</v>
      </c>
      <c r="AC555">
        <v>0.53960000000000696</v>
      </c>
      <c r="AD555">
        <v>-0.17584279999999999</v>
      </c>
      <c r="AE555">
        <v>-0.117500000000006</v>
      </c>
      <c r="AF555">
        <v>0.108574687955228</v>
      </c>
      <c r="AG555">
        <v>-0.17584279999999999</v>
      </c>
      <c r="AH555">
        <v>0.48951171457291798</v>
      </c>
      <c r="AI555">
        <v>109.32566115036499</v>
      </c>
      <c r="AJ555">
        <v>77.494137071001902</v>
      </c>
      <c r="AK555">
        <v>0.53134816446519595</v>
      </c>
      <c r="AL555">
        <v>86.652151932517199</v>
      </c>
      <c r="AM555">
        <v>88.259400686039996</v>
      </c>
      <c r="AN555">
        <v>1.0000000282736801</v>
      </c>
    </row>
    <row r="556" spans="1:40" x14ac:dyDescent="0.25">
      <c r="A556" t="str">
        <f>"20190312153900851"</f>
        <v>20190312153900851</v>
      </c>
      <c r="B556" t="str">
        <f>"1552376340846627"</f>
        <v>1552376340846627</v>
      </c>
      <c r="C556" t="s">
        <v>40</v>
      </c>
      <c r="D556">
        <v>4.1139349999999997</v>
      </c>
      <c r="E556">
        <v>0.55081769999999997</v>
      </c>
      <c r="F556" t="s">
        <v>41</v>
      </c>
      <c r="G556">
        <v>-399.04860000000002</v>
      </c>
      <c r="H556">
        <v>0.89499599999999901</v>
      </c>
      <c r="I556">
        <v>367.92880000000002</v>
      </c>
      <c r="J556">
        <v>-399.57679999999999</v>
      </c>
      <c r="K556">
        <v>1.0671060000000001</v>
      </c>
      <c r="L556">
        <v>368.04489999999998</v>
      </c>
      <c r="M556">
        <v>0.9999538</v>
      </c>
      <c r="N556">
        <v>0</v>
      </c>
      <c r="O556">
        <v>3.9652380000000003E-3</v>
      </c>
      <c r="P556">
        <v>0.99841179999999996</v>
      </c>
      <c r="Q556">
        <v>4.9795869999999999E-2</v>
      </c>
      <c r="R556">
        <v>-2.6353700000000001E-2</v>
      </c>
      <c r="S556">
        <v>3.0250849999999998</v>
      </c>
      <c r="T556">
        <v>-0.68446019999999996</v>
      </c>
      <c r="U556">
        <v>-0.46005249999999998</v>
      </c>
      <c r="V556">
        <v>3.030561E-2</v>
      </c>
      <c r="W556">
        <v>5.8540540000000002E-2</v>
      </c>
      <c r="X556">
        <v>0.99782490000000001</v>
      </c>
      <c r="Y556">
        <v>0.1504529</v>
      </c>
      <c r="Z556">
        <v>-1.7597020000000001E-2</v>
      </c>
      <c r="AA556">
        <v>0.98846049999999996</v>
      </c>
      <c r="AB556">
        <v>24</v>
      </c>
      <c r="AC556">
        <v>0.52819999999996903</v>
      </c>
      <c r="AD556">
        <v>-0.17211000000000001</v>
      </c>
      <c r="AE556">
        <v>-0.11609999999996</v>
      </c>
      <c r="AF556">
        <v>0.10732383372538</v>
      </c>
      <c r="AG556">
        <v>-0.17211000000000001</v>
      </c>
      <c r="AH556">
        <v>0.47920183803647198</v>
      </c>
      <c r="AI556">
        <v>109.314407461154</v>
      </c>
      <c r="AJ556">
        <v>77.376141662255506</v>
      </c>
      <c r="AK556">
        <v>0.52036012430147405</v>
      </c>
      <c r="AL556">
        <v>86.643955331036693</v>
      </c>
      <c r="AM556">
        <v>88.260366180911902</v>
      </c>
      <c r="AN556">
        <v>0.99999997794048601</v>
      </c>
    </row>
    <row r="557" spans="1:40" x14ac:dyDescent="0.25">
      <c r="A557" t="str">
        <f>"20190312153900864"</f>
        <v>20190312153900864</v>
      </c>
      <c r="B557" t="str">
        <f>"1552376340856388"</f>
        <v>1552376340856388</v>
      </c>
      <c r="C557" t="s">
        <v>40</v>
      </c>
      <c r="D557">
        <v>4.110913</v>
      </c>
      <c r="E557">
        <v>0.55101369999999905</v>
      </c>
      <c r="F557" t="s">
        <v>41</v>
      </c>
      <c r="G557">
        <v>-398.8347</v>
      </c>
      <c r="H557">
        <v>0.8993641</v>
      </c>
      <c r="I557">
        <v>367.93150000000003</v>
      </c>
      <c r="J557">
        <v>-399.4427</v>
      </c>
      <c r="K557">
        <v>1.068017</v>
      </c>
      <c r="L557">
        <v>368.0455</v>
      </c>
      <c r="M557">
        <v>0.99996189999999996</v>
      </c>
      <c r="N557">
        <v>0</v>
      </c>
      <c r="O557">
        <v>4.0284079999999998E-3</v>
      </c>
      <c r="P557">
        <v>0.99837600000000004</v>
      </c>
      <c r="Q557">
        <v>5.0679290000000002E-2</v>
      </c>
      <c r="R557">
        <v>-2.601705E-2</v>
      </c>
      <c r="S557">
        <v>3.026672</v>
      </c>
      <c r="T557">
        <v>-0.68426600000000004</v>
      </c>
      <c r="U557">
        <v>-0.46163939999999998</v>
      </c>
      <c r="V557">
        <v>3.0032159999999999E-2</v>
      </c>
      <c r="W557">
        <v>5.8416780000000001E-2</v>
      </c>
      <c r="X557">
        <v>0.99784050000000002</v>
      </c>
      <c r="Y557">
        <v>0.15093760000000001</v>
      </c>
      <c r="Z557">
        <v>-1.7650409999999998E-2</v>
      </c>
      <c r="AA557">
        <v>0.98838570000000003</v>
      </c>
      <c r="AB557">
        <v>24</v>
      </c>
      <c r="AC557">
        <v>0.60800000000000398</v>
      </c>
      <c r="AD557">
        <v>-0.16865289999999999</v>
      </c>
      <c r="AE557">
        <v>-0.113999999999975</v>
      </c>
      <c r="AF557">
        <v>0.108391487735863</v>
      </c>
      <c r="AG557">
        <v>-0.16865289999999999</v>
      </c>
      <c r="AH557">
        <v>0.56550110757292804</v>
      </c>
      <c r="AI557">
        <v>106.325533147882</v>
      </c>
      <c r="AJ557">
        <v>79.149526401733198</v>
      </c>
      <c r="AK557">
        <v>0.59998668148402501</v>
      </c>
      <c r="AL557">
        <v>86.6510586781706</v>
      </c>
      <c r="AM557">
        <v>88.276080459624794</v>
      </c>
      <c r="AN557">
        <v>1.00000005713004</v>
      </c>
    </row>
    <row r="558" spans="1:40" x14ac:dyDescent="0.25">
      <c r="A558" t="str">
        <f>"20190312153900878"</f>
        <v>20190312153900878</v>
      </c>
      <c r="B558" t="str">
        <f>"1552376340866148"</f>
        <v>1552376340866148</v>
      </c>
      <c r="C558" t="s">
        <v>40</v>
      </c>
      <c r="D558">
        <v>4.1131789999999997</v>
      </c>
      <c r="E558">
        <v>0.55122059999999995</v>
      </c>
      <c r="F558" t="s">
        <v>41</v>
      </c>
      <c r="G558">
        <v>-398.62950000000001</v>
      </c>
      <c r="H558">
        <v>0.88404389999999999</v>
      </c>
      <c r="I558">
        <v>367.92099999999999</v>
      </c>
      <c r="J558">
        <v>-399.2971</v>
      </c>
      <c r="K558">
        <v>1.0690120000000001</v>
      </c>
      <c r="L558">
        <v>368.04610000000002</v>
      </c>
      <c r="M558">
        <v>0.99996940000000001</v>
      </c>
      <c r="N558">
        <v>0</v>
      </c>
      <c r="O558">
        <v>4.096634E-3</v>
      </c>
      <c r="P558">
        <v>0.99831959999999997</v>
      </c>
      <c r="Q558">
        <v>5.1795420000000002E-2</v>
      </c>
      <c r="R558">
        <v>-2.5991859999999999E-2</v>
      </c>
      <c r="S558">
        <v>3.0276179999999999</v>
      </c>
      <c r="T558">
        <v>-0.68504149999999997</v>
      </c>
      <c r="U558">
        <v>-0.46179199999999998</v>
      </c>
      <c r="V558">
        <v>3.0074969999999999E-2</v>
      </c>
      <c r="W558">
        <v>5.8466280000000002E-2</v>
      </c>
      <c r="X558">
        <v>0.99783619999999995</v>
      </c>
      <c r="Y558">
        <v>0.1509982</v>
      </c>
      <c r="Z558">
        <v>-1.768643E-2</v>
      </c>
      <c r="AA558">
        <v>0.98837580000000003</v>
      </c>
      <c r="AB558">
        <v>24</v>
      </c>
      <c r="AC558">
        <v>0.66759999999999298</v>
      </c>
      <c r="AD558">
        <v>-0.1849681</v>
      </c>
      <c r="AE558">
        <v>-0.12510000000003099</v>
      </c>
      <c r="AF558">
        <v>0.119008212670935</v>
      </c>
      <c r="AG558">
        <v>-0.1849681</v>
      </c>
      <c r="AH558">
        <v>0.62102626562454799</v>
      </c>
      <c r="AI558">
        <v>106.305253962484</v>
      </c>
      <c r="AJ558">
        <v>79.151837299114305</v>
      </c>
      <c r="AK558">
        <v>0.65882454059962903</v>
      </c>
      <c r="AL558">
        <v>86.648217308177607</v>
      </c>
      <c r="AM558">
        <v>88.273617111772595</v>
      </c>
      <c r="AN558">
        <v>0.99999994587398799</v>
      </c>
    </row>
    <row r="559" spans="1:40" x14ac:dyDescent="0.25">
      <c r="A559" t="str">
        <f>"20190312153900896"</f>
        <v>20190312153900896</v>
      </c>
      <c r="B559" t="str">
        <f>"1552376340886643"</f>
        <v>1552376340886643</v>
      </c>
      <c r="C559" t="s">
        <v>40</v>
      </c>
      <c r="D559">
        <v>4.1115309999999896</v>
      </c>
      <c r="E559">
        <v>0.55143330000000002</v>
      </c>
      <c r="F559" t="s">
        <v>41</v>
      </c>
      <c r="G559">
        <v>-398.42259999999999</v>
      </c>
      <c r="H559">
        <v>0.87111190000000005</v>
      </c>
      <c r="I559">
        <v>367.91219999999998</v>
      </c>
      <c r="J559">
        <v>-399.0949</v>
      </c>
      <c r="K559">
        <v>1.07037</v>
      </c>
      <c r="L559">
        <v>368.0471</v>
      </c>
      <c r="M559">
        <v>0.99997749999999996</v>
      </c>
      <c r="N559">
        <v>0</v>
      </c>
      <c r="O559">
        <v>4.1884790000000002E-3</v>
      </c>
      <c r="P559">
        <v>0.9982451</v>
      </c>
      <c r="Q559">
        <v>5.3410949999999999E-2</v>
      </c>
      <c r="R559">
        <v>-2.5585739999999999E-2</v>
      </c>
      <c r="S559">
        <v>3.0285030000000002</v>
      </c>
      <c r="T559">
        <v>-0.68534039999999996</v>
      </c>
      <c r="U559">
        <v>-0.46322629999999998</v>
      </c>
      <c r="V559">
        <v>2.9760410000000001E-2</v>
      </c>
      <c r="W559">
        <v>5.8665259999999997E-2</v>
      </c>
      <c r="X559">
        <v>0.997834</v>
      </c>
      <c r="Y559">
        <v>0.15148809999999999</v>
      </c>
      <c r="Z559">
        <v>-1.77632E-2</v>
      </c>
      <c r="AA559">
        <v>0.9882995</v>
      </c>
      <c r="AB559">
        <v>24</v>
      </c>
      <c r="AC559">
        <v>0.672300000000007</v>
      </c>
      <c r="AD559">
        <v>-0.19925809999999999</v>
      </c>
      <c r="AE559">
        <v>-0.13490000000001601</v>
      </c>
      <c r="AF559">
        <v>0.12699126446839201</v>
      </c>
      <c r="AG559">
        <v>-0.19925809999999999</v>
      </c>
      <c r="AH559">
        <v>0.61942320355862801</v>
      </c>
      <c r="AI559">
        <v>107.49114207301</v>
      </c>
      <c r="AJ559">
        <v>78.414029793584902</v>
      </c>
      <c r="AK559">
        <v>0.66295978518589205</v>
      </c>
      <c r="AL559">
        <v>86.636797150118696</v>
      </c>
      <c r="AM559">
        <v>88.291659168040596</v>
      </c>
      <c r="AN559">
        <v>0.99999999314511701</v>
      </c>
    </row>
    <row r="560" spans="1:40" x14ac:dyDescent="0.25">
      <c r="A560" t="str">
        <f>"20190312153900917"</f>
        <v>20190312153900917</v>
      </c>
      <c r="B560" t="str">
        <f>"1552376340906164"</f>
        <v>1552376340906164</v>
      </c>
      <c r="C560" t="s">
        <v>40</v>
      </c>
      <c r="D560">
        <v>4.123653</v>
      </c>
      <c r="E560">
        <v>0.55161680000000002</v>
      </c>
      <c r="F560" t="s">
        <v>41</v>
      </c>
      <c r="G560">
        <v>-398.40460000000002</v>
      </c>
      <c r="H560">
        <v>0.91434930000000003</v>
      </c>
      <c r="I560">
        <v>367.94130000000001</v>
      </c>
      <c r="J560">
        <v>-398.87439999999998</v>
      </c>
      <c r="K560">
        <v>1.0718049999999999</v>
      </c>
      <c r="L560">
        <v>368.04809999999998</v>
      </c>
      <c r="M560">
        <v>0.99998359999999997</v>
      </c>
      <c r="N560">
        <v>0</v>
      </c>
      <c r="O560">
        <v>4.2861729999999999E-3</v>
      </c>
      <c r="P560">
        <v>0.99817</v>
      </c>
      <c r="Q560">
        <v>5.4801429999999998E-2</v>
      </c>
      <c r="R560">
        <v>-2.5567840000000001E-2</v>
      </c>
      <c r="S560">
        <v>3.0300600000000002</v>
      </c>
      <c r="T560">
        <v>-0.68487489999999995</v>
      </c>
      <c r="U560">
        <v>-0.46337889999999998</v>
      </c>
      <c r="V560">
        <v>2.9839950000000001E-2</v>
      </c>
      <c r="W560">
        <v>5.8641459999999999E-2</v>
      </c>
      <c r="X560">
        <v>0.99783299999999997</v>
      </c>
      <c r="Y560">
        <v>0.15156220000000001</v>
      </c>
      <c r="Z560">
        <v>-1.777248E-2</v>
      </c>
      <c r="AA560">
        <v>0.9882879</v>
      </c>
      <c r="AB560">
        <v>24</v>
      </c>
      <c r="AC560">
        <v>0.46979999999996302</v>
      </c>
      <c r="AD560">
        <v>-0.157455699999999</v>
      </c>
      <c r="AE560">
        <v>-0.10679999999996399</v>
      </c>
      <c r="AF560">
        <v>9.8312073431527994E-2</v>
      </c>
      <c r="AG560">
        <v>-0.157455699999999</v>
      </c>
      <c r="AH560">
        <v>0.424046029259249</v>
      </c>
      <c r="AI560">
        <v>109.88623246228801</v>
      </c>
      <c r="AJ560">
        <v>76.946989071004396</v>
      </c>
      <c r="AK560">
        <v>0.46289588049088498</v>
      </c>
      <c r="AL560">
        <v>86.638163062340595</v>
      </c>
      <c r="AM560">
        <v>88.287094323488304</v>
      </c>
      <c r="AN560">
        <v>0.999999969667966</v>
      </c>
    </row>
    <row r="561" spans="1:40" x14ac:dyDescent="0.25">
      <c r="A561" t="str">
        <f>"20190312153900929"</f>
        <v>20190312153900929</v>
      </c>
      <c r="B561" t="str">
        <f>"1552376340926660"</f>
        <v>1552376340926660</v>
      </c>
      <c r="C561" t="s">
        <v>40</v>
      </c>
      <c r="D561">
        <v>4.1020180000000002</v>
      </c>
      <c r="E561">
        <v>0.5518364</v>
      </c>
      <c r="F561" t="s">
        <v>41</v>
      </c>
      <c r="G561">
        <v>-397.9982</v>
      </c>
      <c r="H561">
        <v>0.87385829999999998</v>
      </c>
      <c r="I561">
        <v>367.91359999999997</v>
      </c>
      <c r="J561">
        <v>-398.74930000000001</v>
      </c>
      <c r="K561">
        <v>1.0725819999999999</v>
      </c>
      <c r="L561">
        <v>368.0487</v>
      </c>
      <c r="M561">
        <v>0.99998580000000004</v>
      </c>
      <c r="N561">
        <v>0</v>
      </c>
      <c r="O561">
        <v>4.3395420000000001E-3</v>
      </c>
      <c r="P561">
        <v>0.99813989999999997</v>
      </c>
      <c r="Q561">
        <v>5.53588E-2</v>
      </c>
      <c r="R561">
        <v>-2.5543590000000001E-2</v>
      </c>
      <c r="S561">
        <v>3.0311889999999999</v>
      </c>
      <c r="T561">
        <v>-0.68479029999999996</v>
      </c>
      <c r="U561">
        <v>-0.46463009999999899</v>
      </c>
      <c r="V561">
        <v>2.9868550000000001E-2</v>
      </c>
      <c r="W561">
        <v>5.848627E-2</v>
      </c>
      <c r="X561">
        <v>0.99784130000000004</v>
      </c>
      <c r="Y561">
        <v>0.15195149999999999</v>
      </c>
      <c r="Z561">
        <v>-1.7818440000000001E-2</v>
      </c>
      <c r="AA561">
        <v>0.98822730000000003</v>
      </c>
      <c r="AB561">
        <v>24</v>
      </c>
      <c r="AC561">
        <v>0.75110000000000798</v>
      </c>
      <c r="AD561">
        <v>-0.198723699999999</v>
      </c>
      <c r="AE561">
        <v>-0.13510000000002201</v>
      </c>
      <c r="AF561">
        <v>0.12957224725640901</v>
      </c>
      <c r="AG561">
        <v>-0.198723699999999</v>
      </c>
      <c r="AH561">
        <v>0.70284849186326104</v>
      </c>
      <c r="AI561">
        <v>105.538852435018</v>
      </c>
      <c r="AJ561">
        <v>79.554628104839594</v>
      </c>
      <c r="AK561">
        <v>0.74180595758946699</v>
      </c>
      <c r="AL561">
        <v>86.647070241037099</v>
      </c>
      <c r="AM561">
        <v>88.285467827236801</v>
      </c>
      <c r="AN561">
        <v>1.0000000170216501</v>
      </c>
    </row>
    <row r="562" spans="1:40" x14ac:dyDescent="0.25">
      <c r="A562" t="str">
        <f>"20190312153900952"</f>
        <v>20190312153900952</v>
      </c>
      <c r="B562" t="str">
        <f>"1552376340946180"</f>
        <v>1552376340946180</v>
      </c>
      <c r="C562" t="s">
        <v>40</v>
      </c>
      <c r="D562">
        <v>4.1068300000000004</v>
      </c>
      <c r="E562">
        <v>0.55210360000000003</v>
      </c>
      <c r="F562" t="s">
        <v>41</v>
      </c>
      <c r="G562">
        <v>-397.988</v>
      </c>
      <c r="H562">
        <v>0.89983449999999998</v>
      </c>
      <c r="I562">
        <v>367.9314</v>
      </c>
      <c r="J562">
        <v>-398.51319999999998</v>
      </c>
      <c r="K562">
        <v>1.0741369999999999</v>
      </c>
      <c r="L562">
        <v>368.0498</v>
      </c>
      <c r="M562">
        <v>0.99998730000000002</v>
      </c>
      <c r="N562">
        <v>0</v>
      </c>
      <c r="O562">
        <v>4.4424460000000001E-3</v>
      </c>
      <c r="P562">
        <v>0.99811320000000003</v>
      </c>
      <c r="Q562">
        <v>5.5802320000000002E-2</v>
      </c>
      <c r="R562">
        <v>-2.5617060000000001E-2</v>
      </c>
      <c r="S562">
        <v>3.0317989999999999</v>
      </c>
      <c r="T562">
        <v>-0.68794049999999995</v>
      </c>
      <c r="U562">
        <v>-0.46621699999999999</v>
      </c>
      <c r="V562">
        <v>3.0044689999999999E-2</v>
      </c>
      <c r="W562">
        <v>5.8196850000000001E-2</v>
      </c>
      <c r="X562">
        <v>0.99785290000000004</v>
      </c>
      <c r="Y562">
        <v>0.152479799999999</v>
      </c>
      <c r="Z562">
        <v>-1.7976039999999999E-2</v>
      </c>
      <c r="AA562">
        <v>0.98814310000000005</v>
      </c>
      <c r="AB562">
        <v>24</v>
      </c>
      <c r="AC562">
        <v>0.52519999999992695</v>
      </c>
      <c r="AD562">
        <v>-0.1743025</v>
      </c>
      <c r="AE562">
        <v>-0.118400000000008</v>
      </c>
      <c r="AF562">
        <v>0.109277912165077</v>
      </c>
      <c r="AG562">
        <v>-0.1743025</v>
      </c>
      <c r="AH562">
        <v>0.47489239953703399</v>
      </c>
      <c r="AI562">
        <v>109.681517924966</v>
      </c>
      <c r="AJ562">
        <v>77.041201381657302</v>
      </c>
      <c r="AK562">
        <v>0.51753822538190397</v>
      </c>
      <c r="AL562">
        <v>86.6636809665589</v>
      </c>
      <c r="AM562">
        <v>88.275383059806302</v>
      </c>
      <c r="AN562">
        <v>0.99999998339276397</v>
      </c>
    </row>
    <row r="563" spans="1:40" x14ac:dyDescent="0.25">
      <c r="A563" t="str">
        <f>"20190312153900965"</f>
        <v>20190312153900965</v>
      </c>
      <c r="B563" t="str">
        <f>"1552376340956916"</f>
        <v>1552376340956916</v>
      </c>
      <c r="C563" t="s">
        <v>40</v>
      </c>
      <c r="D563">
        <v>4.1195909999999998</v>
      </c>
      <c r="E563">
        <v>0.55221039999999999</v>
      </c>
      <c r="F563" t="s">
        <v>41</v>
      </c>
      <c r="G563">
        <v>-397.7765</v>
      </c>
      <c r="H563">
        <v>0.90629179999999998</v>
      </c>
      <c r="I563">
        <v>367.93549999999999</v>
      </c>
      <c r="J563">
        <v>-398.3723</v>
      </c>
      <c r="K563">
        <v>1.075259</v>
      </c>
      <c r="L563">
        <v>368.0505</v>
      </c>
      <c r="M563">
        <v>0.99998679999999995</v>
      </c>
      <c r="N563">
        <v>0</v>
      </c>
      <c r="O563">
        <v>4.5064240000000002E-3</v>
      </c>
      <c r="P563">
        <v>0.998116</v>
      </c>
      <c r="Q563">
        <v>5.579978E-2</v>
      </c>
      <c r="R563">
        <v>-2.5516670000000002E-2</v>
      </c>
      <c r="S563">
        <v>3.0323180000000001</v>
      </c>
      <c r="T563">
        <v>-0.6910982</v>
      </c>
      <c r="U563">
        <v>-0.46853640000000002</v>
      </c>
      <c r="V563">
        <v>3.0008279999999998E-2</v>
      </c>
      <c r="W563">
        <v>5.827682E-2</v>
      </c>
      <c r="X563">
        <v>0.99784930000000005</v>
      </c>
      <c r="Y563">
        <v>0.15320249999999999</v>
      </c>
      <c r="Z563">
        <v>-1.8147719999999999E-2</v>
      </c>
      <c r="AA563">
        <v>0.98802820000000002</v>
      </c>
      <c r="AB563">
        <v>24</v>
      </c>
      <c r="AC563">
        <v>0.595799999999997</v>
      </c>
      <c r="AD563">
        <v>-0.16896719999999901</v>
      </c>
      <c r="AE563">
        <v>-0.115000000000009</v>
      </c>
      <c r="AF563">
        <v>0.109215362343274</v>
      </c>
      <c r="AG563">
        <v>-0.16896719999999901</v>
      </c>
      <c r="AH563">
        <v>0.55244026868571605</v>
      </c>
      <c r="AI563">
        <v>106.701805659706</v>
      </c>
      <c r="AJ563">
        <v>78.817042698145997</v>
      </c>
      <c r="AK563">
        <v>0.58793550710359299</v>
      </c>
      <c r="AL563">
        <v>86.659091138525994</v>
      </c>
      <c r="AM563">
        <v>88.277465585905901</v>
      </c>
      <c r="AN563">
        <v>0.99999995506417905</v>
      </c>
    </row>
    <row r="564" spans="1:40" x14ac:dyDescent="0.25">
      <c r="A564" t="str">
        <f>"20190312153900988"</f>
        <v>20190312153900988</v>
      </c>
      <c r="B564" t="str">
        <f>"1552376340976435"</f>
        <v>1552376340976435</v>
      </c>
      <c r="C564" t="s">
        <v>40</v>
      </c>
      <c r="D564">
        <v>4.1126399999999999</v>
      </c>
      <c r="E564">
        <v>0.55235419999999902</v>
      </c>
      <c r="F564" t="s">
        <v>41</v>
      </c>
      <c r="G564">
        <v>-397.57569999999998</v>
      </c>
      <c r="H564">
        <v>0.89324219999999899</v>
      </c>
      <c r="I564">
        <v>367.92720000000003</v>
      </c>
      <c r="J564">
        <v>-398.1454</v>
      </c>
      <c r="K564">
        <v>1.0773469999999901</v>
      </c>
      <c r="L564">
        <v>368.05160000000001</v>
      </c>
      <c r="M564">
        <v>0.99998509999999996</v>
      </c>
      <c r="N564">
        <v>0</v>
      </c>
      <c r="O564">
        <v>4.6118000000000001E-3</v>
      </c>
      <c r="P564">
        <v>0.99816000000000005</v>
      </c>
      <c r="Q564">
        <v>5.4934549999999999E-2</v>
      </c>
      <c r="R564">
        <v>-2.566593E-2</v>
      </c>
      <c r="S564">
        <v>3.0323790000000002</v>
      </c>
      <c r="T564">
        <v>-0.6928088</v>
      </c>
      <c r="U564">
        <v>-0.46878049999999999</v>
      </c>
      <c r="V564">
        <v>3.0262810000000001E-2</v>
      </c>
      <c r="W564">
        <v>5.7873149999999998E-2</v>
      </c>
      <c r="X564">
        <v>0.99786509999999995</v>
      </c>
      <c r="Y564">
        <v>0.15335560000000001</v>
      </c>
      <c r="Z564">
        <v>-1.8231870000000001E-2</v>
      </c>
      <c r="AA564">
        <v>0.98800279999999996</v>
      </c>
      <c r="AB564">
        <v>23</v>
      </c>
      <c r="AC564">
        <v>0.56970000000001098</v>
      </c>
      <c r="AD564">
        <v>-0.18410480000000001</v>
      </c>
      <c r="AE564">
        <v>-0.12439999999998</v>
      </c>
      <c r="AF564">
        <v>0.11551179988605299</v>
      </c>
      <c r="AG564">
        <v>-0.18410480000000001</v>
      </c>
      <c r="AH564">
        <v>0.51753252362620505</v>
      </c>
      <c r="AI564">
        <v>109.146631292088</v>
      </c>
      <c r="AJ564">
        <v>77.417971074025502</v>
      </c>
      <c r="AK564">
        <v>0.56131761624490695</v>
      </c>
      <c r="AL564">
        <v>86.682258807048896</v>
      </c>
      <c r="AM564">
        <v>88.262891465210203</v>
      </c>
      <c r="AN564">
        <v>0.99999994847901197</v>
      </c>
    </row>
    <row r="565" spans="1:40" x14ac:dyDescent="0.25">
      <c r="A565" t="str">
        <f>"20190312153901007"</f>
        <v>20190312153901007</v>
      </c>
      <c r="B565" t="str">
        <f>"1552376340996932"</f>
        <v>1552376340996932</v>
      </c>
      <c r="C565" t="s">
        <v>40</v>
      </c>
      <c r="D565">
        <v>4.1481649999999997</v>
      </c>
      <c r="E565">
        <v>0.55253980000000003</v>
      </c>
      <c r="F565" t="s">
        <v>41</v>
      </c>
      <c r="G565">
        <v>-397.3673</v>
      </c>
      <c r="H565">
        <v>0.89815869999999998</v>
      </c>
      <c r="I565">
        <v>367.93009999999998</v>
      </c>
      <c r="J565">
        <v>-397.93819999999999</v>
      </c>
      <c r="K565">
        <v>1.0793950000000001</v>
      </c>
      <c r="L565">
        <v>368.05270000000002</v>
      </c>
      <c r="M565">
        <v>0.99998410000000004</v>
      </c>
      <c r="N565">
        <v>0</v>
      </c>
      <c r="O565">
        <v>4.7068889999999997E-3</v>
      </c>
      <c r="P565">
        <v>0.99816720000000003</v>
      </c>
      <c r="Q565">
        <v>5.4826239999999998E-2</v>
      </c>
      <c r="R565">
        <v>-2.5625620000000002E-2</v>
      </c>
      <c r="S565">
        <v>3.0318909999999999</v>
      </c>
      <c r="T565">
        <v>-0.69834229999999997</v>
      </c>
      <c r="U565">
        <v>-0.4706726</v>
      </c>
      <c r="V565">
        <v>3.0317009999999998E-2</v>
      </c>
      <c r="W565">
        <v>5.795931E-2</v>
      </c>
      <c r="X565">
        <v>0.99785849999999998</v>
      </c>
      <c r="Y565">
        <v>0.15399309999999999</v>
      </c>
      <c r="Z565">
        <v>-1.846942E-2</v>
      </c>
      <c r="AA565">
        <v>0.98789930000000004</v>
      </c>
      <c r="AB565">
        <v>23</v>
      </c>
      <c r="AC565">
        <v>0.57089999999999397</v>
      </c>
      <c r="AD565">
        <v>-0.18123629999999999</v>
      </c>
      <c r="AE565">
        <v>-0.122600000000034</v>
      </c>
      <c r="AF565">
        <v>0.114276810749438</v>
      </c>
      <c r="AG565">
        <v>-0.18123629999999999</v>
      </c>
      <c r="AH565">
        <v>0.52020224064850995</v>
      </c>
      <c r="AI565">
        <v>108.792508802055</v>
      </c>
      <c r="AJ565">
        <v>77.610198787243405</v>
      </c>
      <c r="AK565">
        <v>0.56259768670736898</v>
      </c>
      <c r="AL565">
        <v>86.677314054782599</v>
      </c>
      <c r="AM565">
        <v>88.259770751836797</v>
      </c>
      <c r="AN565">
        <v>0.999999994366633</v>
      </c>
    </row>
    <row r="566" spans="1:40" x14ac:dyDescent="0.25">
      <c r="A566" t="str">
        <f>"20190312153901020"</f>
        <v>20190312153901020</v>
      </c>
      <c r="B566" t="str">
        <f>"1552376341016451"</f>
        <v>1552376341016451</v>
      </c>
      <c r="C566" t="s">
        <v>40</v>
      </c>
      <c r="D566">
        <v>4.1489830000000003</v>
      </c>
      <c r="E566">
        <v>0.552616199999999</v>
      </c>
      <c r="F566" t="s">
        <v>41</v>
      </c>
      <c r="G566">
        <v>-397.15870000000001</v>
      </c>
      <c r="H566">
        <v>0.89887189999999995</v>
      </c>
      <c r="I566">
        <v>367.93130000000002</v>
      </c>
      <c r="J566">
        <v>-397.80220000000003</v>
      </c>
      <c r="K566">
        <v>1.0807770000000001</v>
      </c>
      <c r="L566">
        <v>368.05340000000001</v>
      </c>
      <c r="M566">
        <v>0.99998379999999998</v>
      </c>
      <c r="N566">
        <v>0</v>
      </c>
      <c r="O566">
        <v>4.7688469999999997E-3</v>
      </c>
      <c r="P566">
        <v>0.99819080000000004</v>
      </c>
      <c r="Q566">
        <v>5.4460000000000001E-2</v>
      </c>
      <c r="R566">
        <v>-2.5480780000000001E-2</v>
      </c>
      <c r="S566">
        <v>3.0320130000000001</v>
      </c>
      <c r="T566">
        <v>-0.70216060000000002</v>
      </c>
      <c r="U566">
        <v>-0.47164919999999999</v>
      </c>
      <c r="V566">
        <v>3.023404E-2</v>
      </c>
      <c r="W566">
        <v>5.757752E-2</v>
      </c>
      <c r="X566">
        <v>0.99788310000000002</v>
      </c>
      <c r="Y566">
        <v>0.1543059</v>
      </c>
      <c r="Z566">
        <v>-1.861631E-2</v>
      </c>
      <c r="AA566">
        <v>0.9878477</v>
      </c>
      <c r="AB566">
        <v>23</v>
      </c>
      <c r="AC566">
        <v>0.64350000000001695</v>
      </c>
      <c r="AD566">
        <v>-0.18190509999999999</v>
      </c>
      <c r="AE566">
        <v>-0.122099999999989</v>
      </c>
      <c r="AF566">
        <v>0.116204362399846</v>
      </c>
      <c r="AG566">
        <v>-0.18190509999999999</v>
      </c>
      <c r="AH566">
        <v>0.59687271448301604</v>
      </c>
      <c r="AI566">
        <v>106.65439477401399</v>
      </c>
      <c r="AJ566">
        <v>78.982975767666602</v>
      </c>
      <c r="AK566">
        <v>0.63470462149025597</v>
      </c>
      <c r="AL566">
        <v>86.699225537516895</v>
      </c>
      <c r="AM566">
        <v>88.2645731603168</v>
      </c>
      <c r="AN566">
        <v>0.99999997462484003</v>
      </c>
    </row>
    <row r="567" spans="1:40" x14ac:dyDescent="0.25">
      <c r="A567" t="str">
        <f>"20190312153901033"</f>
        <v>20190312153901033</v>
      </c>
      <c r="B567" t="str">
        <f>"1552376341026211"</f>
        <v>1552376341026211</v>
      </c>
      <c r="C567" t="s">
        <v>40</v>
      </c>
      <c r="D567">
        <v>4.082357</v>
      </c>
      <c r="E567">
        <v>0.5525793</v>
      </c>
      <c r="F567" t="s">
        <v>41</v>
      </c>
      <c r="G567">
        <v>-396.9547</v>
      </c>
      <c r="H567">
        <v>0.88373630000000003</v>
      </c>
      <c r="I567">
        <v>367.92090000000002</v>
      </c>
      <c r="J567">
        <v>-397.66579999999999</v>
      </c>
      <c r="K567">
        <v>1.082217</v>
      </c>
      <c r="L567">
        <v>368.05410000000001</v>
      </c>
      <c r="M567">
        <v>0.99998370000000003</v>
      </c>
      <c r="N567">
        <v>0</v>
      </c>
      <c r="O567">
        <v>4.8295899999999999E-3</v>
      </c>
      <c r="P567">
        <v>0.99817009999999995</v>
      </c>
      <c r="Q567">
        <v>5.481192E-2</v>
      </c>
      <c r="R567">
        <v>-2.5538559999999998E-2</v>
      </c>
      <c r="S567">
        <v>3.0318299999999998</v>
      </c>
      <c r="T567">
        <v>-0.705086199999999</v>
      </c>
      <c r="U567">
        <v>-0.4717712</v>
      </c>
      <c r="V567">
        <v>3.0352210000000001E-2</v>
      </c>
      <c r="W567">
        <v>5.788695E-2</v>
      </c>
      <c r="X567">
        <v>0.99786160000000002</v>
      </c>
      <c r="Y567">
        <v>0.15437600000000001</v>
      </c>
      <c r="Z567">
        <v>-1.8714789999999999E-2</v>
      </c>
      <c r="AA567">
        <v>0.98783489999999996</v>
      </c>
      <c r="AB567">
        <v>23</v>
      </c>
      <c r="AC567">
        <v>0.71109999999998696</v>
      </c>
      <c r="AD567">
        <v>-0.19848069999999901</v>
      </c>
      <c r="AE567">
        <v>-0.13319999999998799</v>
      </c>
      <c r="AF567">
        <v>0.127068832417258</v>
      </c>
      <c r="AG567">
        <v>-0.19848069999999901</v>
      </c>
      <c r="AH567">
        <v>0.66071879962925295</v>
      </c>
      <c r="AI567">
        <v>106.435809484283</v>
      </c>
      <c r="AJ567">
        <v>79.113843687734899</v>
      </c>
      <c r="AK567">
        <v>0.701491559912089</v>
      </c>
      <c r="AL567">
        <v>86.681466849689102</v>
      </c>
      <c r="AM567">
        <v>88.257756887432706</v>
      </c>
      <c r="AN567">
        <v>0.999999964193372</v>
      </c>
    </row>
    <row r="568" spans="1:40" x14ac:dyDescent="0.25">
      <c r="A568" t="str">
        <f>"20190312153901052"</f>
        <v>20190312153901052</v>
      </c>
      <c r="B568" t="str">
        <f>"1552376341046708"</f>
        <v>1552376341046708</v>
      </c>
      <c r="C568" t="s">
        <v>40</v>
      </c>
      <c r="D568">
        <v>4.135192</v>
      </c>
      <c r="E568">
        <v>0.55268339999999905</v>
      </c>
      <c r="F568" t="s">
        <v>41</v>
      </c>
      <c r="G568">
        <v>-396.9425</v>
      </c>
      <c r="H568">
        <v>0.91415990000000003</v>
      </c>
      <c r="I568">
        <v>367.9409</v>
      </c>
      <c r="J568">
        <v>-397.46589999999998</v>
      </c>
      <c r="K568">
        <v>1.0844320000000001</v>
      </c>
      <c r="L568">
        <v>368.05509999999998</v>
      </c>
      <c r="M568">
        <v>0.9999827</v>
      </c>
      <c r="N568">
        <v>0</v>
      </c>
      <c r="O568">
        <v>4.915974E-3</v>
      </c>
      <c r="P568">
        <v>0.99819519999999995</v>
      </c>
      <c r="Q568">
        <v>5.4365869999999997E-2</v>
      </c>
      <c r="R568">
        <v>-2.550931E-2</v>
      </c>
      <c r="S568">
        <v>3.0321039999999999</v>
      </c>
      <c r="T568">
        <v>-0.70470880000000002</v>
      </c>
      <c r="U568">
        <v>-0.47198489999999999</v>
      </c>
      <c r="V568">
        <v>3.040936E-2</v>
      </c>
      <c r="W568">
        <v>5.758514E-2</v>
      </c>
      <c r="X568">
        <v>0.99787740000000003</v>
      </c>
      <c r="Y568">
        <v>0.15451489999999901</v>
      </c>
      <c r="Z568">
        <v>-1.873884E-2</v>
      </c>
      <c r="AA568">
        <v>0.98781280000000005</v>
      </c>
      <c r="AB568">
        <v>23</v>
      </c>
      <c r="AC568">
        <v>0.52339999999998099</v>
      </c>
      <c r="AD568">
        <v>-0.17027210000000001</v>
      </c>
      <c r="AE568">
        <v>-0.114199999999982</v>
      </c>
      <c r="AF568">
        <v>0.10605738972715401</v>
      </c>
      <c r="AG568">
        <v>-0.17027210000000001</v>
      </c>
      <c r="AH568">
        <v>0.47486032451652199</v>
      </c>
      <c r="AI568">
        <v>109.287544056504</v>
      </c>
      <c r="AJ568">
        <v>77.409937038113895</v>
      </c>
      <c r="AK568">
        <v>0.51549305112104404</v>
      </c>
      <c r="AL568">
        <v>86.698788439013299</v>
      </c>
      <c r="AM568">
        <v>88.254506076294206</v>
      </c>
      <c r="AN568">
        <v>1.00000004147759</v>
      </c>
    </row>
    <row r="569" spans="1:40" x14ac:dyDescent="0.25">
      <c r="A569" t="str">
        <f>"20190312153901065"</f>
        <v>20190312153901065</v>
      </c>
      <c r="B569" t="str">
        <f>"1552376341056468"</f>
        <v>1552376341056468</v>
      </c>
      <c r="C569" t="s">
        <v>40</v>
      </c>
      <c r="D569">
        <v>4.1691609999999999</v>
      </c>
      <c r="E569">
        <v>0.55271899999999996</v>
      </c>
      <c r="F569" t="s">
        <v>41</v>
      </c>
      <c r="G569">
        <v>-396.733</v>
      </c>
      <c r="H569">
        <v>0.91324150000000004</v>
      </c>
      <c r="I569">
        <v>367.94060000000002</v>
      </c>
      <c r="J569">
        <v>-397.33120000000002</v>
      </c>
      <c r="K569">
        <v>1.085982</v>
      </c>
      <c r="L569">
        <v>368.05579999999998</v>
      </c>
      <c r="M569">
        <v>0.99998160000000003</v>
      </c>
      <c r="N569">
        <v>0</v>
      </c>
      <c r="O569">
        <v>4.9723679999999996E-3</v>
      </c>
      <c r="P569">
        <v>0.99823079999999997</v>
      </c>
      <c r="Q569">
        <v>5.3729300000000001E-2</v>
      </c>
      <c r="R569">
        <v>-2.5475569999999999E-2</v>
      </c>
      <c r="S569">
        <v>3.0319210000000001</v>
      </c>
      <c r="T569">
        <v>-0.70837340000000004</v>
      </c>
      <c r="U569">
        <v>-0.47222900000000001</v>
      </c>
      <c r="V569">
        <v>3.043212E-2</v>
      </c>
      <c r="W569">
        <v>5.723429E-2</v>
      </c>
      <c r="X569">
        <v>0.99789689999999998</v>
      </c>
      <c r="Y569">
        <v>0.1546101</v>
      </c>
      <c r="Z569">
        <v>-1.8858610000000001E-2</v>
      </c>
      <c r="AA569">
        <v>0.98779550000000005</v>
      </c>
      <c r="AB569">
        <v>24</v>
      </c>
      <c r="AC569">
        <v>0.59820000000001905</v>
      </c>
      <c r="AD569">
        <v>-0.17274049999999899</v>
      </c>
      <c r="AE569">
        <v>-0.115199999999958</v>
      </c>
      <c r="AF569">
        <v>0.109378531647484</v>
      </c>
      <c r="AG569">
        <v>-0.17274049999999899</v>
      </c>
      <c r="AH569">
        <v>0.55314444860421097</v>
      </c>
      <c r="AI569">
        <v>107.032772960215</v>
      </c>
      <c r="AJ569">
        <v>78.814654685156</v>
      </c>
      <c r="AK569">
        <v>0.58972173484387203</v>
      </c>
      <c r="AL569">
        <v>86.718923901334406</v>
      </c>
      <c r="AM569">
        <v>88.253234577103399</v>
      </c>
      <c r="AN569">
        <v>1.0000000504545501</v>
      </c>
    </row>
    <row r="570" spans="1:40" x14ac:dyDescent="0.25">
      <c r="A570" t="str">
        <f>"20190312153901077"</f>
        <v>20190312153901077</v>
      </c>
      <c r="B570" t="str">
        <f>"1552376341066229"</f>
        <v>1552376341066229</v>
      </c>
      <c r="C570" t="s">
        <v>40</v>
      </c>
      <c r="D570">
        <v>4.165635</v>
      </c>
      <c r="E570">
        <v>0.55275600000000003</v>
      </c>
      <c r="F570" t="s">
        <v>41</v>
      </c>
      <c r="G570">
        <v>-396.5299</v>
      </c>
      <c r="H570">
        <v>0.89806520000000001</v>
      </c>
      <c r="I570">
        <v>367.93040000000002</v>
      </c>
      <c r="J570">
        <v>-397.19920000000002</v>
      </c>
      <c r="K570">
        <v>1.0875269999999999</v>
      </c>
      <c r="L570">
        <v>368.0566</v>
      </c>
      <c r="M570">
        <v>0.99997999999999998</v>
      </c>
      <c r="N570">
        <v>0</v>
      </c>
      <c r="O570">
        <v>5.0271700000000001E-3</v>
      </c>
      <c r="P570">
        <v>0.99825059999999999</v>
      </c>
      <c r="Q570">
        <v>5.3355809999999997E-2</v>
      </c>
      <c r="R570">
        <v>-2.548216E-2</v>
      </c>
      <c r="S570">
        <v>3.0315249999999998</v>
      </c>
      <c r="T570">
        <v>-0.711086</v>
      </c>
      <c r="U570">
        <v>-0.47238160000000001</v>
      </c>
      <c r="V570">
        <v>3.0493559999999999E-2</v>
      </c>
      <c r="W570">
        <v>5.7241430000000003E-2</v>
      </c>
      <c r="X570">
        <v>0.99789459999999996</v>
      </c>
      <c r="Y570">
        <v>0.154695899999999</v>
      </c>
      <c r="Z570">
        <v>-1.8953749999999998E-2</v>
      </c>
      <c r="AA570">
        <v>0.98778030000000006</v>
      </c>
      <c r="AB570">
        <v>24</v>
      </c>
      <c r="AC570">
        <v>0.66930000000002099</v>
      </c>
      <c r="AD570">
        <v>-0.18946180000000001</v>
      </c>
      <c r="AE570">
        <v>-0.12619999999998299</v>
      </c>
      <c r="AF570">
        <v>0.12025757153765</v>
      </c>
      <c r="AG570">
        <v>-0.18946180000000001</v>
      </c>
      <c r="AH570">
        <v>0.62063250135870696</v>
      </c>
      <c r="AI570">
        <v>106.683359634802</v>
      </c>
      <c r="AJ570">
        <v>79.033911364445302</v>
      </c>
      <c r="AK570">
        <v>0.65995633106603202</v>
      </c>
      <c r="AL570">
        <v>86.718514088943493</v>
      </c>
      <c r="AM570">
        <v>88.249706158091499</v>
      </c>
      <c r="AN570">
        <v>1.00000003560953</v>
      </c>
    </row>
    <row r="571" spans="1:40" x14ac:dyDescent="0.25">
      <c r="A571" t="str">
        <f>"20190312153901088"</f>
        <v>20190312153901088</v>
      </c>
      <c r="B571" t="str">
        <f>"1552376341076964"</f>
        <v>1552376341076964</v>
      </c>
      <c r="C571" t="s">
        <v>40</v>
      </c>
      <c r="D571">
        <v>4.171862</v>
      </c>
      <c r="E571">
        <v>0.55279339999999999</v>
      </c>
      <c r="F571" t="s">
        <v>41</v>
      </c>
      <c r="G571">
        <v>-396.3272</v>
      </c>
      <c r="H571">
        <v>0.88244699999999998</v>
      </c>
      <c r="I571">
        <v>367.9203</v>
      </c>
      <c r="J571">
        <v>-397.07560000000001</v>
      </c>
      <c r="K571">
        <v>1.0889679999999999</v>
      </c>
      <c r="L571">
        <v>368.0573</v>
      </c>
      <c r="M571">
        <v>0.99997760000000002</v>
      </c>
      <c r="N571">
        <v>0</v>
      </c>
      <c r="O571">
        <v>5.0782509999999998E-3</v>
      </c>
      <c r="P571">
        <v>0.99830810000000003</v>
      </c>
      <c r="Q571">
        <v>5.2346129999999998E-2</v>
      </c>
      <c r="R571">
        <v>-2.532386E-2</v>
      </c>
      <c r="S571">
        <v>3.0312809999999999</v>
      </c>
      <c r="T571">
        <v>-0.71308479999999996</v>
      </c>
      <c r="U571">
        <v>-0.4727478</v>
      </c>
      <c r="V571">
        <v>3.03866E-2</v>
      </c>
      <c r="W571">
        <v>5.6731570000000002E-2</v>
      </c>
      <c r="X571">
        <v>0.99792700000000001</v>
      </c>
      <c r="Y571">
        <v>0.1548455</v>
      </c>
      <c r="Z571">
        <v>-1.9035989999999999E-2</v>
      </c>
      <c r="AA571">
        <v>0.9877553</v>
      </c>
      <c r="AB571">
        <v>23</v>
      </c>
      <c r="AC571">
        <v>0.74840000000000295</v>
      </c>
      <c r="AD571">
        <v>-0.20652099999999901</v>
      </c>
      <c r="AE571">
        <v>-0.13700000000000001</v>
      </c>
      <c r="AF571">
        <v>0.131136752168732</v>
      </c>
      <c r="AG571">
        <v>-0.20652099999999901</v>
      </c>
      <c r="AH571">
        <v>0.69638535072671903</v>
      </c>
      <c r="AI571">
        <v>106.24818497606501</v>
      </c>
      <c r="AJ571">
        <v>79.335483992211294</v>
      </c>
      <c r="AK571">
        <v>0.73810590562407696</v>
      </c>
      <c r="AL571">
        <v>86.747774533317795</v>
      </c>
      <c r="AM571">
        <v>88.255898328437496</v>
      </c>
      <c r="AN571">
        <v>1.0000000569116101</v>
      </c>
    </row>
    <row r="572" spans="1:40" x14ac:dyDescent="0.25">
      <c r="A572" t="str">
        <f>"20190312153901108"</f>
        <v>20190312153901108</v>
      </c>
      <c r="B572" t="str">
        <f>"1552376341096483"</f>
        <v>1552376341096483</v>
      </c>
      <c r="C572" t="s">
        <v>40</v>
      </c>
      <c r="D572">
        <v>4.2035549999999997</v>
      </c>
      <c r="E572">
        <v>0.55291129999999999</v>
      </c>
      <c r="F572" t="s">
        <v>41</v>
      </c>
      <c r="G572">
        <v>-396.3168</v>
      </c>
      <c r="H572">
        <v>0.90952169999999999</v>
      </c>
      <c r="I572">
        <v>367.93869999999998</v>
      </c>
      <c r="J572">
        <v>-396.8784</v>
      </c>
      <c r="K572">
        <v>1.0911979999999999</v>
      </c>
      <c r="L572">
        <v>368.05840000000001</v>
      </c>
      <c r="M572">
        <v>0.99997309999999995</v>
      </c>
      <c r="N572">
        <v>0</v>
      </c>
      <c r="O572">
        <v>5.1614349999999998E-3</v>
      </c>
      <c r="P572">
        <v>0.99834639999999997</v>
      </c>
      <c r="Q572">
        <v>5.1475640000000003E-2</v>
      </c>
      <c r="R572">
        <v>-2.558945E-2</v>
      </c>
      <c r="S572">
        <v>3.03064</v>
      </c>
      <c r="T572">
        <v>-0.71681260000000002</v>
      </c>
      <c r="U572">
        <v>-0.47265629999999997</v>
      </c>
      <c r="V572">
        <v>3.0735499999999999E-2</v>
      </c>
      <c r="W572">
        <v>5.6679670000000001E-2</v>
      </c>
      <c r="X572">
        <v>0.99791920000000001</v>
      </c>
      <c r="Y572">
        <v>0.15488109999999999</v>
      </c>
      <c r="Z572">
        <v>-1.9160259999999998E-2</v>
      </c>
      <c r="AA572">
        <v>0.98774729999999999</v>
      </c>
      <c r="AB572">
        <v>23</v>
      </c>
      <c r="AC572">
        <v>0.56159999999999799</v>
      </c>
      <c r="AD572">
        <v>-0.18167629999999901</v>
      </c>
      <c r="AE572">
        <v>-0.119700000000023</v>
      </c>
      <c r="AF572">
        <v>0.111441464439007</v>
      </c>
      <c r="AG572">
        <v>-0.18167629999999901</v>
      </c>
      <c r="AH572">
        <v>0.50992916775791097</v>
      </c>
      <c r="AI572">
        <v>109.19109320923501</v>
      </c>
      <c r="AJ572">
        <v>77.672230287009697</v>
      </c>
      <c r="AK572">
        <v>0.55267823741149402</v>
      </c>
      <c r="AL572">
        <v>86.750752768186103</v>
      </c>
      <c r="AM572">
        <v>88.235871294380701</v>
      </c>
      <c r="AN572">
        <v>0.99999999284009899</v>
      </c>
    </row>
    <row r="573" spans="1:40" x14ac:dyDescent="0.25">
      <c r="A573" t="str">
        <f>"20190312153901120"</f>
        <v>20190312153901120</v>
      </c>
      <c r="B573" t="str">
        <f>"1552376341116981"</f>
        <v>1552376341116981</v>
      </c>
      <c r="C573" t="s">
        <v>40</v>
      </c>
      <c r="D573">
        <v>4.1979519999999999</v>
      </c>
      <c r="E573">
        <v>0.55290469999999903</v>
      </c>
      <c r="F573" t="s">
        <v>41</v>
      </c>
      <c r="G573">
        <v>-396.10899999999998</v>
      </c>
      <c r="H573">
        <v>0.90827729999999995</v>
      </c>
      <c r="I573">
        <v>367.93770000000001</v>
      </c>
      <c r="J573">
        <v>-396.74959999999999</v>
      </c>
      <c r="K573">
        <v>1.0926</v>
      </c>
      <c r="L573">
        <v>368.0591</v>
      </c>
      <c r="M573">
        <v>0.99997000000000003</v>
      </c>
      <c r="N573">
        <v>0</v>
      </c>
      <c r="O573">
        <v>5.2163230000000001E-3</v>
      </c>
      <c r="P573">
        <v>0.99838039999999995</v>
      </c>
      <c r="Q573">
        <v>5.0874900000000001E-2</v>
      </c>
      <c r="R573">
        <v>-2.546234E-2</v>
      </c>
      <c r="S573">
        <v>3.0299680000000002</v>
      </c>
      <c r="T573">
        <v>-0.72041549999999999</v>
      </c>
      <c r="U573">
        <v>-0.47421259999999998</v>
      </c>
      <c r="V573">
        <v>3.0663449999999998E-2</v>
      </c>
      <c r="W573">
        <v>5.6611599999999998E-2</v>
      </c>
      <c r="X573">
        <v>0.99792530000000002</v>
      </c>
      <c r="Y573">
        <v>0.15540390000000001</v>
      </c>
      <c r="Z573">
        <v>-1.9331109999999999E-2</v>
      </c>
      <c r="AA573">
        <v>0.98766180000000003</v>
      </c>
      <c r="AB573">
        <v>23</v>
      </c>
      <c r="AC573">
        <v>0.64059999999994899</v>
      </c>
      <c r="AD573">
        <v>-0.18432269999999901</v>
      </c>
      <c r="AE573">
        <v>-0.121399999999994</v>
      </c>
      <c r="AF573">
        <v>0.115508446544809</v>
      </c>
      <c r="AG573">
        <v>-0.18432269999999901</v>
      </c>
      <c r="AH573">
        <v>0.59259714567437904</v>
      </c>
      <c r="AI573">
        <v>106.977252226384</v>
      </c>
      <c r="AJ573">
        <v>78.970261688354398</v>
      </c>
      <c r="AK573">
        <v>0.63125940469818498</v>
      </c>
      <c r="AL573">
        <v>86.754659227790398</v>
      </c>
      <c r="AM573">
        <v>88.240014903306005</v>
      </c>
      <c r="AN573">
        <v>1.0000000124002699</v>
      </c>
    </row>
    <row r="574" spans="1:40" x14ac:dyDescent="0.25">
      <c r="A574" t="str">
        <f>"20190312153901132"</f>
        <v>20190312153901132</v>
      </c>
      <c r="B574" t="str">
        <f>"1552376341126740"</f>
        <v>1552376341126740</v>
      </c>
      <c r="C574" t="s">
        <v>40</v>
      </c>
      <c r="D574">
        <v>4.2311759999999996</v>
      </c>
      <c r="E574">
        <v>0.55292149999999995</v>
      </c>
      <c r="F574" t="s">
        <v>41</v>
      </c>
      <c r="G574">
        <v>-395.9074</v>
      </c>
      <c r="H574">
        <v>0.89176060000000001</v>
      </c>
      <c r="I574">
        <v>367.92720000000003</v>
      </c>
      <c r="J574">
        <v>-396.62349999999998</v>
      </c>
      <c r="K574">
        <v>1.0938950000000001</v>
      </c>
      <c r="L574">
        <v>368.0598</v>
      </c>
      <c r="M574">
        <v>0.99996669999999999</v>
      </c>
      <c r="N574">
        <v>0</v>
      </c>
      <c r="O574">
        <v>5.2700150000000003E-3</v>
      </c>
      <c r="P574">
        <v>0.99840739999999994</v>
      </c>
      <c r="Q574">
        <v>5.0363289999999998E-2</v>
      </c>
      <c r="R574">
        <v>-2.542587E-2</v>
      </c>
      <c r="S574">
        <v>3.029633</v>
      </c>
      <c r="T574">
        <v>-0.72251989999999999</v>
      </c>
      <c r="U574">
        <v>-0.473999</v>
      </c>
      <c r="V574">
        <v>3.0680539999999999E-2</v>
      </c>
      <c r="W574">
        <v>5.6589229999999997E-2</v>
      </c>
      <c r="X574">
        <v>0.99792610000000004</v>
      </c>
      <c r="Y574">
        <v>0.15537860000000001</v>
      </c>
      <c r="Z574">
        <v>-1.939784E-2</v>
      </c>
      <c r="AA574">
        <v>0.98766449999999995</v>
      </c>
      <c r="AB574">
        <v>23</v>
      </c>
      <c r="AC574">
        <v>0.71609999999998297</v>
      </c>
      <c r="AD574">
        <v>-0.20213439999999999</v>
      </c>
      <c r="AE574">
        <v>-0.13259999999996799</v>
      </c>
      <c r="AF574">
        <v>0.126617991295291</v>
      </c>
      <c r="AG574">
        <v>-0.20213439999999999</v>
      </c>
      <c r="AH574">
        <v>0.66422243593860397</v>
      </c>
      <c r="AI574">
        <v>106.64321588030499</v>
      </c>
      <c r="AJ574">
        <v>79.207425646069495</v>
      </c>
      <c r="AK574">
        <v>0.70574915925364501</v>
      </c>
      <c r="AL574">
        <v>86.755943175425401</v>
      </c>
      <c r="AM574">
        <v>88.239036019578506</v>
      </c>
      <c r="AN574">
        <v>1.0000000687739401</v>
      </c>
    </row>
    <row r="575" spans="1:40" x14ac:dyDescent="0.25">
      <c r="A575" t="str">
        <f>"20190312153901145"</f>
        <v>20190312153901145</v>
      </c>
      <c r="B575" t="str">
        <f>"1552376341136500"</f>
        <v>1552376341136500</v>
      </c>
      <c r="C575" t="s">
        <v>40</v>
      </c>
      <c r="D575">
        <v>4.3903220000000003</v>
      </c>
      <c r="E575">
        <v>0.55301829999999996</v>
      </c>
      <c r="F575" t="s">
        <v>41</v>
      </c>
      <c r="G575">
        <v>-395.89609999999999</v>
      </c>
      <c r="H575">
        <v>0.91992839999999998</v>
      </c>
      <c r="I575">
        <v>367.94580000000002</v>
      </c>
      <c r="J575">
        <v>-396.49470000000002</v>
      </c>
      <c r="K575">
        <v>1.0951439999999999</v>
      </c>
      <c r="L575">
        <v>368.06060000000002</v>
      </c>
      <c r="M575">
        <v>0.99996339999999995</v>
      </c>
      <c r="N575">
        <v>0</v>
      </c>
      <c r="O575">
        <v>5.3248380000000001E-3</v>
      </c>
      <c r="P575">
        <v>0.99841360000000001</v>
      </c>
      <c r="Q575">
        <v>5.0146389999999999E-2</v>
      </c>
      <c r="R575">
        <v>-2.5612240000000001E-2</v>
      </c>
      <c r="S575">
        <v>3.0292970000000001</v>
      </c>
      <c r="T575">
        <v>-0.72444200000000003</v>
      </c>
      <c r="U575">
        <v>-0.473999</v>
      </c>
      <c r="V575">
        <v>3.09217E-2</v>
      </c>
      <c r="W575">
        <v>5.6843919999999999E-2</v>
      </c>
      <c r="X575">
        <v>0.99790409999999996</v>
      </c>
      <c r="Y575">
        <v>0.15542259999999999</v>
      </c>
      <c r="Z575">
        <v>-1.9468139999999998E-2</v>
      </c>
      <c r="AA575">
        <v>0.98765619999999998</v>
      </c>
      <c r="AB575">
        <v>23</v>
      </c>
      <c r="AC575">
        <v>0.59860000000003299</v>
      </c>
      <c r="AD575">
        <v>-0.1752156</v>
      </c>
      <c r="AE575">
        <v>-0.114800000000002</v>
      </c>
      <c r="AF575">
        <v>0.108979892219598</v>
      </c>
      <c r="AG575">
        <v>-0.1752156</v>
      </c>
      <c r="AH575">
        <v>0.55233568676057498</v>
      </c>
      <c r="AI575">
        <v>107.287522802118</v>
      </c>
      <c r="AJ575">
        <v>78.8384876249889</v>
      </c>
      <c r="AK575">
        <v>0.58962007620232104</v>
      </c>
      <c r="AL575">
        <v>86.741326722711193</v>
      </c>
      <c r="AM575">
        <v>88.225163929462497</v>
      </c>
      <c r="AN575">
        <v>0.99999998778433297</v>
      </c>
    </row>
    <row r="576" spans="1:40" x14ac:dyDescent="0.25">
      <c r="A576" t="str">
        <f>"20190312153901158"</f>
        <v>20190312153901158</v>
      </c>
      <c r="B576" t="str">
        <f>"1552376341146261"</f>
        <v>1552376341146261</v>
      </c>
      <c r="C576" t="s">
        <v>40</v>
      </c>
      <c r="D576">
        <v>4.2327589999999997</v>
      </c>
      <c r="E576">
        <v>0.55301650000000002</v>
      </c>
      <c r="F576" t="s">
        <v>41</v>
      </c>
      <c r="G576">
        <v>-395.69499999999999</v>
      </c>
      <c r="H576">
        <v>0.90351530000000002</v>
      </c>
      <c r="I576">
        <v>367.93459999999999</v>
      </c>
      <c r="J576">
        <v>-396.35469999999998</v>
      </c>
      <c r="K576">
        <v>1.0964469999999999</v>
      </c>
      <c r="L576">
        <v>368.06139999999999</v>
      </c>
      <c r="M576">
        <v>0.99995970000000001</v>
      </c>
      <c r="N576">
        <v>0</v>
      </c>
      <c r="O576">
        <v>5.3847269999999997E-3</v>
      </c>
      <c r="P576">
        <v>0.99844500000000003</v>
      </c>
      <c r="Q576">
        <v>4.954559E-2</v>
      </c>
      <c r="R576">
        <v>-2.5558500000000001E-2</v>
      </c>
      <c r="S576">
        <v>3.0290530000000002</v>
      </c>
      <c r="T576">
        <v>-0.72593719999999995</v>
      </c>
      <c r="U576">
        <v>-0.47506710000000002</v>
      </c>
      <c r="V576">
        <v>3.0927840000000002E-2</v>
      </c>
      <c r="W576">
        <v>5.6733470000000001E-2</v>
      </c>
      <c r="X576">
        <v>0.99791019999999997</v>
      </c>
      <c r="Y576">
        <v>0.1558032</v>
      </c>
      <c r="Z576">
        <v>-1.9567020000000001E-2</v>
      </c>
      <c r="AA576">
        <v>0.98759430000000004</v>
      </c>
      <c r="AB576">
        <v>23</v>
      </c>
      <c r="AC576">
        <v>0.65969999999998596</v>
      </c>
      <c r="AD576">
        <v>-0.19293170000000001</v>
      </c>
      <c r="AE576">
        <v>-0.12680000000000199</v>
      </c>
      <c r="AF576">
        <v>0.120418228845157</v>
      </c>
      <c r="AG576">
        <v>-0.19293170000000001</v>
      </c>
      <c r="AH576">
        <v>0.60879319239424901</v>
      </c>
      <c r="AI576">
        <v>107.26969752647</v>
      </c>
      <c r="AJ576">
        <v>78.811417677167299</v>
      </c>
      <c r="AK576">
        <v>0.64988640685020904</v>
      </c>
      <c r="AL576">
        <v>86.747665286290797</v>
      </c>
      <c r="AM576">
        <v>88.224822577117394</v>
      </c>
      <c r="AN576">
        <v>0.99999999258467298</v>
      </c>
    </row>
    <row r="577" spans="1:40" x14ac:dyDescent="0.25">
      <c r="A577" t="str">
        <f>"20190312153901177"</f>
        <v>20190312153901177</v>
      </c>
      <c r="B577" t="str">
        <f>"1552376341166755"</f>
        <v>1552376341166755</v>
      </c>
      <c r="C577" t="s">
        <v>40</v>
      </c>
      <c r="D577">
        <v>4.2352990000000004</v>
      </c>
      <c r="E577">
        <v>0.55298259999999999</v>
      </c>
      <c r="F577" t="s">
        <v>41</v>
      </c>
      <c r="G577">
        <v>-395.49290000000002</v>
      </c>
      <c r="H577">
        <v>0.88934179999999996</v>
      </c>
      <c r="I577">
        <v>367.92579999999998</v>
      </c>
      <c r="J577">
        <v>-396.15589999999997</v>
      </c>
      <c r="K577">
        <v>1.098144</v>
      </c>
      <c r="L577">
        <v>368.0625</v>
      </c>
      <c r="M577">
        <v>0.99995429999999996</v>
      </c>
      <c r="N577">
        <v>0</v>
      </c>
      <c r="O577">
        <v>5.467881E-3</v>
      </c>
      <c r="P577">
        <v>0.99847509999999995</v>
      </c>
      <c r="Q577">
        <v>4.8826139999999997E-2</v>
      </c>
      <c r="R577">
        <v>-2.5762879999999998E-2</v>
      </c>
      <c r="S577">
        <v>3.0285950000000001</v>
      </c>
      <c r="T577">
        <v>-0.72793450000000004</v>
      </c>
      <c r="U577">
        <v>-0.47531129999999999</v>
      </c>
      <c r="V577">
        <v>3.1215300000000001E-2</v>
      </c>
      <c r="W577">
        <v>5.6669209999999998E-2</v>
      </c>
      <c r="X577">
        <v>0.99790489999999998</v>
      </c>
      <c r="Y577">
        <v>0.155953799999999</v>
      </c>
      <c r="Z577">
        <v>-1.965948E-2</v>
      </c>
      <c r="AA577">
        <v>0.98756869999999997</v>
      </c>
      <c r="AB577">
        <v>23</v>
      </c>
      <c r="AC577">
        <v>0.66299999999995396</v>
      </c>
      <c r="AD577">
        <v>-0.20880219999999999</v>
      </c>
      <c r="AE577">
        <v>-0.136700000000018</v>
      </c>
      <c r="AF577">
        <v>0.12813275266500601</v>
      </c>
      <c r="AG577">
        <v>-0.20880219999999999</v>
      </c>
      <c r="AH577">
        <v>0.60471058187733595</v>
      </c>
      <c r="AI577">
        <v>108.664606255069</v>
      </c>
      <c r="AJ577">
        <v>78.036488321680196</v>
      </c>
      <c r="AK577">
        <v>0.65245018879970995</v>
      </c>
      <c r="AL577">
        <v>86.751353043742498</v>
      </c>
      <c r="AM577">
        <v>88.208324316972906</v>
      </c>
      <c r="AN577">
        <v>0.99999999188006194</v>
      </c>
    </row>
    <row r="578" spans="1:40" x14ac:dyDescent="0.25">
      <c r="A578" t="str">
        <f>"20190312153901198"</f>
        <v>20190312153901198</v>
      </c>
      <c r="B578" t="str">
        <f>"1552376341186783"</f>
        <v>1552376341186783</v>
      </c>
      <c r="C578" t="s">
        <v>40</v>
      </c>
      <c r="D578">
        <v>4.2281589999999998</v>
      </c>
      <c r="E578">
        <v>0.55297399999999997</v>
      </c>
      <c r="F578" t="s">
        <v>41</v>
      </c>
      <c r="G578">
        <v>-395.28620000000001</v>
      </c>
      <c r="H578">
        <v>0.88827129999999999</v>
      </c>
      <c r="I578">
        <v>367.9255</v>
      </c>
      <c r="J578">
        <v>-395.93779999999998</v>
      </c>
      <c r="K578">
        <v>1.0998139999999901</v>
      </c>
      <c r="L578">
        <v>368.06380000000001</v>
      </c>
      <c r="M578">
        <v>0.99994810000000001</v>
      </c>
      <c r="N578">
        <v>0</v>
      </c>
      <c r="O578">
        <v>5.5595779999999999E-3</v>
      </c>
      <c r="P578">
        <v>0.99850459999999996</v>
      </c>
      <c r="Q578">
        <v>4.7912629999999998E-2</v>
      </c>
      <c r="R578">
        <v>-2.632224E-2</v>
      </c>
      <c r="S578">
        <v>3.0280149999999999</v>
      </c>
      <c r="T578">
        <v>-0.730778699999999</v>
      </c>
      <c r="U578">
        <v>-0.475769</v>
      </c>
      <c r="V578">
        <v>3.1866430000000001E-2</v>
      </c>
      <c r="W578">
        <v>5.6438299999999997E-2</v>
      </c>
      <c r="X578">
        <v>0.99789740000000005</v>
      </c>
      <c r="Y578">
        <v>0.15617400000000001</v>
      </c>
      <c r="Z578">
        <v>-1.978535E-2</v>
      </c>
      <c r="AA578">
        <v>0.98753139999999995</v>
      </c>
      <c r="AB578">
        <v>23</v>
      </c>
      <c r="AC578">
        <v>0.65159999999997298</v>
      </c>
      <c r="AD578">
        <v>-0.211542699999999</v>
      </c>
      <c r="AE578">
        <v>-0.13830000000001499</v>
      </c>
      <c r="AF578">
        <v>0.12891853723161301</v>
      </c>
      <c r="AG578">
        <v>-0.211542699999999</v>
      </c>
      <c r="AH578">
        <v>0.59119594764521299</v>
      </c>
      <c r="AI578">
        <v>109.269930478055</v>
      </c>
      <c r="AJ578">
        <v>77.698429552451202</v>
      </c>
      <c r="AK578">
        <v>0.64100152236742003</v>
      </c>
      <c r="AL578">
        <v>86.764604401364494</v>
      </c>
      <c r="AM578">
        <v>88.170962565094499</v>
      </c>
      <c r="AN578">
        <v>0.999999985997297</v>
      </c>
    </row>
    <row r="579" spans="1:40" x14ac:dyDescent="0.25">
      <c r="A579" t="str">
        <f>"20190312153901212"</f>
        <v>20190312153901212</v>
      </c>
      <c r="B579" t="str">
        <f>"1552376341206303"</f>
        <v>1552376341206303</v>
      </c>
      <c r="C579" t="s">
        <v>40</v>
      </c>
      <c r="D579">
        <v>4.2618749999999999</v>
      </c>
      <c r="E579">
        <v>0.55297200000000002</v>
      </c>
      <c r="F579" t="s">
        <v>41</v>
      </c>
      <c r="G579">
        <v>-395.07819999999998</v>
      </c>
      <c r="H579">
        <v>0.89139999999999997</v>
      </c>
      <c r="I579">
        <v>367.92809999999997</v>
      </c>
      <c r="J579">
        <v>-395.79790000000003</v>
      </c>
      <c r="K579">
        <v>1.1007830000000001</v>
      </c>
      <c r="L579">
        <v>368.06470000000002</v>
      </c>
      <c r="M579">
        <v>0.99994430000000001</v>
      </c>
      <c r="N579">
        <v>0</v>
      </c>
      <c r="O579">
        <v>5.6186379999999996E-3</v>
      </c>
      <c r="P579">
        <v>0.99853060000000005</v>
      </c>
      <c r="Q579">
        <v>4.7300410000000001E-2</v>
      </c>
      <c r="R579">
        <v>-2.6454829999999999E-2</v>
      </c>
      <c r="S579">
        <v>3.0271300000000001</v>
      </c>
      <c r="T579">
        <v>-0.73404829999999999</v>
      </c>
      <c r="U579">
        <v>-0.47732540000000001</v>
      </c>
      <c r="V579">
        <v>3.2058009999999998E-2</v>
      </c>
      <c r="W579">
        <v>5.6238829999999997E-2</v>
      </c>
      <c r="X579">
        <v>0.99790250000000003</v>
      </c>
      <c r="Y579">
        <v>0.15671289999999999</v>
      </c>
      <c r="Z579">
        <v>-1.9954309999999999E-2</v>
      </c>
      <c r="AA579">
        <v>0.98744259999999995</v>
      </c>
      <c r="AB579">
        <v>23</v>
      </c>
      <c r="AC579">
        <v>0.71970000000004497</v>
      </c>
      <c r="AD579">
        <v>-0.20938300000000001</v>
      </c>
      <c r="AE579">
        <v>-0.13660000000004399</v>
      </c>
      <c r="AF579">
        <v>0.13001944980376701</v>
      </c>
      <c r="AG579">
        <v>-0.20938300000000001</v>
      </c>
      <c r="AH579">
        <v>0.66462294162435598</v>
      </c>
      <c r="AI579">
        <v>107.180540746207</v>
      </c>
      <c r="AJ579">
        <v>78.931082190884396</v>
      </c>
      <c r="AK579">
        <v>0.708851149783709</v>
      </c>
      <c r="AL579">
        <v>86.776051290193905</v>
      </c>
      <c r="AM579">
        <v>88.159983381898101</v>
      </c>
      <c r="AN579">
        <v>0.99999996075558795</v>
      </c>
    </row>
    <row r="580" spans="1:40" x14ac:dyDescent="0.25">
      <c r="A580" t="str">
        <f>"20190312153901223"</f>
        <v>20190312153901223</v>
      </c>
      <c r="B580" t="str">
        <f>"1552376341217039"</f>
        <v>1552376341217039</v>
      </c>
      <c r="C580" t="s">
        <v>40</v>
      </c>
      <c r="D580">
        <v>4.2554869999999996</v>
      </c>
      <c r="E580">
        <v>0.55299529999999997</v>
      </c>
      <c r="F580" t="s">
        <v>41</v>
      </c>
      <c r="G580">
        <v>-395.06580000000002</v>
      </c>
      <c r="H580">
        <v>0.92263010000000001</v>
      </c>
      <c r="I580">
        <v>367.94889999999998</v>
      </c>
      <c r="J580">
        <v>-395.67500000000001</v>
      </c>
      <c r="K580">
        <v>1.10158</v>
      </c>
      <c r="L580">
        <v>368.06540000000001</v>
      </c>
      <c r="M580">
        <v>0.99994070000000002</v>
      </c>
      <c r="N580">
        <v>0</v>
      </c>
      <c r="O580">
        <v>5.6713629999999996E-3</v>
      </c>
      <c r="P580">
        <v>0.99853479999999994</v>
      </c>
      <c r="Q580">
        <v>4.7051030000000001E-2</v>
      </c>
      <c r="R580">
        <v>-2.6728930000000001E-2</v>
      </c>
      <c r="S580">
        <v>3.026672</v>
      </c>
      <c r="T580">
        <v>-0.73662050000000001</v>
      </c>
      <c r="U580">
        <v>-0.47790529999999998</v>
      </c>
      <c r="V580">
        <v>3.2385129999999998E-2</v>
      </c>
      <c r="W580">
        <v>5.6335000000000003E-2</v>
      </c>
      <c r="X580">
        <v>0.99788650000000001</v>
      </c>
      <c r="Y580">
        <v>0.15693180000000001</v>
      </c>
      <c r="Z580">
        <v>-2.0063589999999999E-2</v>
      </c>
      <c r="AA580">
        <v>0.98740570000000005</v>
      </c>
      <c r="AB580">
        <v>23</v>
      </c>
      <c r="AC580">
        <v>0.60919999999998697</v>
      </c>
      <c r="AD580">
        <v>-0.1789499</v>
      </c>
      <c r="AE580">
        <v>-0.11650000000003</v>
      </c>
      <c r="AF580">
        <v>0.110735397085131</v>
      </c>
      <c r="AG580">
        <v>-0.1789499</v>
      </c>
      <c r="AH580">
        <v>0.56176668950091402</v>
      </c>
      <c r="AI580">
        <v>107.355817239289</v>
      </c>
      <c r="AJ580">
        <v>78.848825458910795</v>
      </c>
      <c r="AK580">
        <v>0.59988933005215805</v>
      </c>
      <c r="AL580">
        <v>86.770532363773995</v>
      </c>
      <c r="AM580">
        <v>88.141191170582601</v>
      </c>
      <c r="AN580">
        <v>0.99999994787618196</v>
      </c>
    </row>
    <row r="581" spans="1:40" x14ac:dyDescent="0.25">
      <c r="A581" t="str">
        <f>"20190312153901242"</f>
        <v>20190312153901242</v>
      </c>
      <c r="B581" t="str">
        <f>"1552376341236559"</f>
        <v>1552376341236559</v>
      </c>
      <c r="C581" t="s">
        <v>40</v>
      </c>
      <c r="D581">
        <v>4.2760930000000004</v>
      </c>
      <c r="E581">
        <v>0.55298419999999904</v>
      </c>
      <c r="F581" t="s">
        <v>41</v>
      </c>
      <c r="G581">
        <v>-394.86669999999998</v>
      </c>
      <c r="H581">
        <v>0.90454440000000003</v>
      </c>
      <c r="I581">
        <v>367.93689999999998</v>
      </c>
      <c r="J581">
        <v>-395.48410000000001</v>
      </c>
      <c r="K581">
        <v>1.1027129999999901</v>
      </c>
      <c r="L581">
        <v>368.06659999999999</v>
      </c>
      <c r="M581">
        <v>0.99993540000000003</v>
      </c>
      <c r="N581">
        <v>0</v>
      </c>
      <c r="O581">
        <v>5.7531819999999999E-3</v>
      </c>
      <c r="P581">
        <v>0.99856020000000001</v>
      </c>
      <c r="Q581">
        <v>4.6308639999999998E-2</v>
      </c>
      <c r="R581">
        <v>-2.7079860000000001E-2</v>
      </c>
      <c r="S581">
        <v>3.0263369999999998</v>
      </c>
      <c r="T581">
        <v>-0.73777199999999998</v>
      </c>
      <c r="U581">
        <v>-0.47930909999999899</v>
      </c>
      <c r="V581">
        <v>3.2817909999999999E-2</v>
      </c>
      <c r="W581">
        <v>5.6095529999999998E-2</v>
      </c>
      <c r="X581">
        <v>0.99788589999999999</v>
      </c>
      <c r="Y581">
        <v>0.15744430000000001</v>
      </c>
      <c r="Z581">
        <v>-2.017629E-2</v>
      </c>
      <c r="AA581">
        <v>0.98732169999999997</v>
      </c>
      <c r="AB581">
        <v>23</v>
      </c>
      <c r="AC581">
        <v>0.61740000000003104</v>
      </c>
      <c r="AD581">
        <v>-0.198168599999999</v>
      </c>
      <c r="AE581">
        <v>-0.129700000000013</v>
      </c>
      <c r="AF581">
        <v>0.121283136458264</v>
      </c>
      <c r="AG581">
        <v>-0.198168599999999</v>
      </c>
      <c r="AH581">
        <v>0.56126411345022298</v>
      </c>
      <c r="AI581">
        <v>109.040067923038</v>
      </c>
      <c r="AJ581">
        <v>77.806481661894196</v>
      </c>
      <c r="AK581">
        <v>0.60745188966878505</v>
      </c>
      <c r="AL581">
        <v>86.784274872736205</v>
      </c>
      <c r="AM581">
        <v>88.116367548108599</v>
      </c>
      <c r="AN581">
        <v>0.99999999656077898</v>
      </c>
    </row>
    <row r="582" spans="1:40" x14ac:dyDescent="0.25">
      <c r="A582" t="str">
        <f>"20190312153901255"</f>
        <v>20190312153901255</v>
      </c>
      <c r="B582" t="str">
        <f>"1552376341246318"</f>
        <v>1552376341246318</v>
      </c>
      <c r="C582" t="s">
        <v>40</v>
      </c>
      <c r="D582">
        <v>4.2562160000000002</v>
      </c>
      <c r="E582">
        <v>0.55296709999999905</v>
      </c>
      <c r="F582" t="s">
        <v>41</v>
      </c>
      <c r="G582">
        <v>-394.6619</v>
      </c>
      <c r="H582">
        <v>0.90142460000000002</v>
      </c>
      <c r="I582">
        <v>367.9359</v>
      </c>
      <c r="J582">
        <v>-395.34730000000002</v>
      </c>
      <c r="K582">
        <v>1.1034550000000001</v>
      </c>
      <c r="L582">
        <v>368.06740000000002</v>
      </c>
      <c r="M582">
        <v>0.99993180000000004</v>
      </c>
      <c r="N582">
        <v>0</v>
      </c>
      <c r="O582">
        <v>5.8118319999999899E-3</v>
      </c>
      <c r="P582">
        <v>0.9985735</v>
      </c>
      <c r="Q582">
        <v>4.6043189999999998E-2</v>
      </c>
      <c r="R582">
        <v>-2.7040709999999999E-2</v>
      </c>
      <c r="S582">
        <v>3.0256959999999999</v>
      </c>
      <c r="T582">
        <v>-0.74078509999999997</v>
      </c>
      <c r="U582">
        <v>-0.47985840000000002</v>
      </c>
      <c r="V582">
        <v>3.2837400000000003E-2</v>
      </c>
      <c r="W582">
        <v>5.6165510000000002E-2</v>
      </c>
      <c r="X582">
        <v>0.99788140000000003</v>
      </c>
      <c r="Y582">
        <v>0.157662</v>
      </c>
      <c r="Z582">
        <v>-2.03004E-2</v>
      </c>
      <c r="AA582">
        <v>0.98728450000000001</v>
      </c>
      <c r="AB582">
        <v>23</v>
      </c>
      <c r="AC582">
        <v>0.685400000000015</v>
      </c>
      <c r="AD582">
        <v>-0.202030399999999</v>
      </c>
      <c r="AE582">
        <v>-0.13150000000001599</v>
      </c>
      <c r="AF582">
        <v>0.12500586945431699</v>
      </c>
      <c r="AG582">
        <v>-0.202030399999999</v>
      </c>
      <c r="AH582">
        <v>0.63168838086384405</v>
      </c>
      <c r="AI582">
        <v>107.418821833764</v>
      </c>
      <c r="AJ582">
        <v>78.806266723796497</v>
      </c>
      <c r="AK582">
        <v>0.67488736870723498</v>
      </c>
      <c r="AL582">
        <v>86.780259232082201</v>
      </c>
      <c r="AM582">
        <v>88.115241204074096</v>
      </c>
      <c r="AN582">
        <v>1.0000000739091299</v>
      </c>
    </row>
    <row r="583" spans="1:40" x14ac:dyDescent="0.25">
      <c r="A583" t="str">
        <f>"20190312153901266"</f>
        <v>20190312153901266</v>
      </c>
      <c r="B583" t="str">
        <f>"1552376341256079"</f>
        <v>1552376341256079</v>
      </c>
      <c r="C583" t="s">
        <v>40</v>
      </c>
      <c r="D583">
        <v>4.249689</v>
      </c>
      <c r="E583">
        <v>0.55295150000000004</v>
      </c>
      <c r="F583" t="s">
        <v>41</v>
      </c>
      <c r="G583">
        <v>-394.64920000000001</v>
      </c>
      <c r="H583">
        <v>0.9323205</v>
      </c>
      <c r="I583">
        <v>367.95650000000001</v>
      </c>
      <c r="J583">
        <v>-395.22879999999998</v>
      </c>
      <c r="K583">
        <v>1.1040319999999999</v>
      </c>
      <c r="L583">
        <v>368.06819999999999</v>
      </c>
      <c r="M583">
        <v>0.9999287</v>
      </c>
      <c r="N583">
        <v>0</v>
      </c>
      <c r="O583">
        <v>5.8629140000000003E-3</v>
      </c>
      <c r="P583">
        <v>0.99859629999999999</v>
      </c>
      <c r="Q583">
        <v>4.5586649999999999E-2</v>
      </c>
      <c r="R583">
        <v>-2.697099E-2</v>
      </c>
      <c r="S583">
        <v>3.0254819999999998</v>
      </c>
      <c r="T583">
        <v>-0.74168719999999999</v>
      </c>
      <c r="U583">
        <v>-0.47949219999999998</v>
      </c>
      <c r="V583">
        <v>3.2819130000000002E-2</v>
      </c>
      <c r="W583">
        <v>5.5975560000000001E-2</v>
      </c>
      <c r="X583">
        <v>0.99789260000000002</v>
      </c>
      <c r="Y583">
        <v>0.15759500000000001</v>
      </c>
      <c r="Z583">
        <v>-2.0330210000000001E-2</v>
      </c>
      <c r="AA583">
        <v>0.98729460000000002</v>
      </c>
      <c r="AB583">
        <v>23</v>
      </c>
      <c r="AC583">
        <v>0.57959999999997003</v>
      </c>
      <c r="AD583">
        <v>-0.17171149999999899</v>
      </c>
      <c r="AE583">
        <v>-0.11169999999998401</v>
      </c>
      <c r="AF583">
        <v>0.10611620755961799</v>
      </c>
      <c r="AG583">
        <v>-0.17171149999999899</v>
      </c>
      <c r="AH583">
        <v>0.53376468803674004</v>
      </c>
      <c r="AI583">
        <v>107.511729621545</v>
      </c>
      <c r="AJ583">
        <v>78.755802159969093</v>
      </c>
      <c r="AK583">
        <v>0.57065771784323105</v>
      </c>
      <c r="AL583">
        <v>86.791159475318395</v>
      </c>
      <c r="AM583">
        <v>88.116310213199796</v>
      </c>
      <c r="AN583">
        <v>0.99999999987301502</v>
      </c>
    </row>
    <row r="584" spans="1:40" x14ac:dyDescent="0.25">
      <c r="A584" t="str">
        <f>"20190312153901278"</f>
        <v>20190312153901278</v>
      </c>
      <c r="B584" t="str">
        <f>"1552376341266815"</f>
        <v>1552376341266815</v>
      </c>
      <c r="C584" t="s">
        <v>40</v>
      </c>
      <c r="D584">
        <v>4.2704630000000003</v>
      </c>
      <c r="E584">
        <v>0.55292759999999996</v>
      </c>
      <c r="F584" t="s">
        <v>41</v>
      </c>
      <c r="G584">
        <v>-394.45170000000002</v>
      </c>
      <c r="H584">
        <v>0.91304839999999998</v>
      </c>
      <c r="I584">
        <v>367.94450000000001</v>
      </c>
      <c r="J584">
        <v>-395.10599999999999</v>
      </c>
      <c r="K584">
        <v>1.104611</v>
      </c>
      <c r="L584">
        <v>368.06900000000002</v>
      </c>
      <c r="M584">
        <v>0.99992570000000003</v>
      </c>
      <c r="N584">
        <v>0</v>
      </c>
      <c r="O584">
        <v>5.9156190000000004E-3</v>
      </c>
      <c r="P584">
        <v>0.99860309999999997</v>
      </c>
      <c r="Q584">
        <v>4.544641E-2</v>
      </c>
      <c r="R584">
        <v>-2.695388E-2</v>
      </c>
      <c r="S584">
        <v>3.0252080000000001</v>
      </c>
      <c r="T584">
        <v>-0.74362090000000003</v>
      </c>
      <c r="U584">
        <v>-0.47903440000000003</v>
      </c>
      <c r="V584">
        <v>3.2854920000000003E-2</v>
      </c>
      <c r="W584">
        <v>5.6103140000000003E-2</v>
      </c>
      <c r="X584">
        <v>0.99788429999999995</v>
      </c>
      <c r="Y584">
        <v>0.157491299999999</v>
      </c>
      <c r="Z584">
        <v>-2.0383930000000001E-2</v>
      </c>
      <c r="AA584">
        <v>0.98731000000000002</v>
      </c>
      <c r="AB584">
        <v>23</v>
      </c>
      <c r="AC584">
        <v>0.65429999999997701</v>
      </c>
      <c r="AD584">
        <v>-0.191562599999999</v>
      </c>
      <c r="AE584">
        <v>-0.124500000000011</v>
      </c>
      <c r="AF584">
        <v>0.118561018752015</v>
      </c>
      <c r="AG584">
        <v>-0.191562599999999</v>
      </c>
      <c r="AH584">
        <v>0.60361937438481705</v>
      </c>
      <c r="AI584">
        <v>107.29692762910901</v>
      </c>
      <c r="AJ584">
        <v>78.887605862908103</v>
      </c>
      <c r="AK584">
        <v>0.64428975936219302</v>
      </c>
      <c r="AL584">
        <v>86.783838310852801</v>
      </c>
      <c r="AM584">
        <v>88.114241815883602</v>
      </c>
      <c r="AN584">
        <v>1.00000004213627</v>
      </c>
    </row>
    <row r="585" spans="1:40" x14ac:dyDescent="0.25">
      <c r="A585" t="str">
        <f>"20190312153901291"</f>
        <v>20190312153901291</v>
      </c>
      <c r="B585" t="str">
        <f>"1552376341286335"</f>
        <v>1552376341286335</v>
      </c>
      <c r="C585" t="s">
        <v>40</v>
      </c>
      <c r="D585">
        <v>4.2819379999999896</v>
      </c>
      <c r="E585">
        <v>0.55293210000000004</v>
      </c>
      <c r="F585" t="s">
        <v>41</v>
      </c>
      <c r="G585">
        <v>-394.25360000000001</v>
      </c>
      <c r="H585">
        <v>0.89485749999999997</v>
      </c>
      <c r="I585">
        <v>367.93369999999999</v>
      </c>
      <c r="J585">
        <v>-394.98219999999998</v>
      </c>
      <c r="K585">
        <v>1.1051280000000001</v>
      </c>
      <c r="L585">
        <v>368.06970000000001</v>
      </c>
      <c r="M585">
        <v>0.99992259999999999</v>
      </c>
      <c r="N585">
        <v>0</v>
      </c>
      <c r="O585">
        <v>5.9684040000000001E-3</v>
      </c>
      <c r="P585">
        <v>0.99862090000000003</v>
      </c>
      <c r="Q585">
        <v>4.5134130000000001E-2</v>
      </c>
      <c r="R585">
        <v>-2.6818060000000001E-2</v>
      </c>
      <c r="S585">
        <v>3.0251459999999999</v>
      </c>
      <c r="T585">
        <v>-0.74441250000000003</v>
      </c>
      <c r="U585">
        <v>-0.4784851</v>
      </c>
      <c r="V585">
        <v>3.2771840000000003E-2</v>
      </c>
      <c r="W585">
        <v>5.6039350000000002E-2</v>
      </c>
      <c r="X585">
        <v>0.99789059999999896</v>
      </c>
      <c r="Y585">
        <v>0.15736339999999999</v>
      </c>
      <c r="Z585">
        <v>-2.0403000000000001E-2</v>
      </c>
      <c r="AA585">
        <v>0.98733000000000004</v>
      </c>
      <c r="AB585">
        <v>23</v>
      </c>
      <c r="AC585">
        <v>0.72859999999997105</v>
      </c>
      <c r="AD585">
        <v>-0.2102705</v>
      </c>
      <c r="AE585">
        <v>-0.13600000000002399</v>
      </c>
      <c r="AF585">
        <v>0.12989228796723701</v>
      </c>
      <c r="AG585">
        <v>-0.2102705</v>
      </c>
      <c r="AH585">
        <v>0.67356472536258105</v>
      </c>
      <c r="AI585">
        <v>107.041769559089</v>
      </c>
      <c r="AJ585">
        <v>79.084895095394501</v>
      </c>
      <c r="AK585">
        <v>0.71747831249201099</v>
      </c>
      <c r="AL585">
        <v>86.787498915336599</v>
      </c>
      <c r="AM585">
        <v>88.119018755966394</v>
      </c>
      <c r="AN585">
        <v>1.00000002590688</v>
      </c>
    </row>
    <row r="586" spans="1:40" x14ac:dyDescent="0.25">
      <c r="A586" t="str">
        <f>"20190312153901308"</f>
        <v>20190312153901308</v>
      </c>
      <c r="B586" t="str">
        <f>"1552376341297070"</f>
        <v>1552376341297070</v>
      </c>
      <c r="C586" t="s">
        <v>40</v>
      </c>
      <c r="D586">
        <v>4.2566199999999998</v>
      </c>
      <c r="E586">
        <v>0.55296080000000003</v>
      </c>
      <c r="F586" t="s">
        <v>41</v>
      </c>
      <c r="G586">
        <v>-394.24250000000001</v>
      </c>
      <c r="H586">
        <v>0.92274</v>
      </c>
      <c r="I586">
        <v>367.95240000000001</v>
      </c>
      <c r="J586">
        <v>-394.79849999999999</v>
      </c>
      <c r="K586">
        <v>1.105831</v>
      </c>
      <c r="L586">
        <v>368.07100000000003</v>
      </c>
      <c r="M586">
        <v>0.99991839999999999</v>
      </c>
      <c r="N586">
        <v>0</v>
      </c>
      <c r="O586">
        <v>6.0464789999999996E-3</v>
      </c>
      <c r="P586">
        <v>0.99866080000000002</v>
      </c>
      <c r="Q586">
        <v>4.448887E-2</v>
      </c>
      <c r="R586">
        <v>-2.6413329999999999E-2</v>
      </c>
      <c r="S586">
        <v>3.0250849999999998</v>
      </c>
      <c r="T586">
        <v>-0.74601319999999904</v>
      </c>
      <c r="U586">
        <v>-0.47824100000000003</v>
      </c>
      <c r="V586">
        <v>3.2445210000000002E-2</v>
      </c>
      <c r="W586">
        <v>5.573989E-2</v>
      </c>
      <c r="X586">
        <v>0.99791799999999997</v>
      </c>
      <c r="Y586">
        <v>0.1573437</v>
      </c>
      <c r="Z586">
        <v>-2.0462629999999999E-2</v>
      </c>
      <c r="AA586">
        <v>0.98733190000000004</v>
      </c>
      <c r="AB586">
        <v>23</v>
      </c>
      <c r="AC586">
        <v>0.55599999999998295</v>
      </c>
      <c r="AD586">
        <v>-0.183091</v>
      </c>
      <c r="AE586">
        <v>-0.118599999999958</v>
      </c>
      <c r="AF586">
        <v>0.110498996933986</v>
      </c>
      <c r="AG586">
        <v>-0.183091</v>
      </c>
      <c r="AH586">
        <v>0.50309224946884101</v>
      </c>
      <c r="AI586">
        <v>109.56817963466101</v>
      </c>
      <c r="AJ586">
        <v>77.612277276454407</v>
      </c>
      <c r="AK586">
        <v>0.54665725466697601</v>
      </c>
      <c r="AL586">
        <v>86.804683425400498</v>
      </c>
      <c r="AM586">
        <v>88.137803927600302</v>
      </c>
      <c r="AN586">
        <v>0.99999998085657704</v>
      </c>
    </row>
    <row r="587" spans="1:40" x14ac:dyDescent="0.25">
      <c r="A587" t="str">
        <f>"20190312153901331"</f>
        <v>20190312153901331</v>
      </c>
      <c r="B587" t="str">
        <f>"1552376341326351"</f>
        <v>1552376341326351</v>
      </c>
      <c r="C587" t="s">
        <v>40</v>
      </c>
      <c r="D587">
        <v>4.2476399999999996</v>
      </c>
      <c r="E587">
        <v>0.55295059999999996</v>
      </c>
      <c r="F587" t="s">
        <v>41</v>
      </c>
      <c r="G587">
        <v>-394.03960000000001</v>
      </c>
      <c r="H587">
        <v>0.91811849999999995</v>
      </c>
      <c r="I587">
        <v>367.95069999999998</v>
      </c>
      <c r="J587">
        <v>-394.57319999999999</v>
      </c>
      <c r="K587">
        <v>1.1065879999999999</v>
      </c>
      <c r="L587">
        <v>368.07240000000002</v>
      </c>
      <c r="M587">
        <v>0.99991319999999995</v>
      </c>
      <c r="N587">
        <v>0</v>
      </c>
      <c r="O587">
        <v>6.1422680000000002E-3</v>
      </c>
      <c r="P587">
        <v>0.9986855</v>
      </c>
      <c r="Q587">
        <v>4.4212420000000002E-2</v>
      </c>
      <c r="R587">
        <v>-2.5929649999999999E-2</v>
      </c>
      <c r="S587">
        <v>3.0247190000000002</v>
      </c>
      <c r="T587">
        <v>-0.74837790000000004</v>
      </c>
      <c r="U587">
        <v>-0.47753909999999999</v>
      </c>
      <c r="V587">
        <v>3.2057490000000001E-2</v>
      </c>
      <c r="W587">
        <v>5.5847960000000002E-2</v>
      </c>
      <c r="X587">
        <v>0.99792449999999999</v>
      </c>
      <c r="Y587">
        <v>0.15720319999999999</v>
      </c>
      <c r="Z587">
        <v>-2.0534569999999999E-2</v>
      </c>
      <c r="AA587">
        <v>0.98735280000000003</v>
      </c>
      <c r="AB587">
        <v>23</v>
      </c>
      <c r="AC587">
        <v>0.53359999999997798</v>
      </c>
      <c r="AD587">
        <v>-0.18846950000000001</v>
      </c>
      <c r="AE587">
        <v>-0.121700000000032</v>
      </c>
      <c r="AF587">
        <v>0.111726429570549</v>
      </c>
      <c r="AG587">
        <v>-0.18846950000000001</v>
      </c>
      <c r="AH587">
        <v>0.47635419336645701</v>
      </c>
      <c r="AI587">
        <v>111.06651899403001</v>
      </c>
      <c r="AJ587">
        <v>76.800163920799704</v>
      </c>
      <c r="AK587">
        <v>0.52432515201222296</v>
      </c>
      <c r="AL587">
        <v>86.798481847484098</v>
      </c>
      <c r="AM587">
        <v>88.160053743564006</v>
      </c>
      <c r="AN587">
        <v>0.999999992500755</v>
      </c>
    </row>
    <row r="588" spans="1:40" x14ac:dyDescent="0.25">
      <c r="A588" t="str">
        <f>"20190312153901342"</f>
        <v>20190312153901342</v>
      </c>
      <c r="B588" t="str">
        <f>"1552376341337087"</f>
        <v>1552376341337087</v>
      </c>
      <c r="C588" t="s">
        <v>40</v>
      </c>
      <c r="D588">
        <v>4.2657959999999999</v>
      </c>
      <c r="E588">
        <v>0.5529425</v>
      </c>
      <c r="F588" t="s">
        <v>41</v>
      </c>
      <c r="G588">
        <v>-393.83319999999998</v>
      </c>
      <c r="H588">
        <v>0.92279789999999995</v>
      </c>
      <c r="I588">
        <v>367.95580000000001</v>
      </c>
      <c r="J588">
        <v>-394.4554</v>
      </c>
      <c r="K588">
        <v>1.1069420000000001</v>
      </c>
      <c r="L588">
        <v>368.07319999999999</v>
      </c>
      <c r="M588">
        <v>0.99991079999999999</v>
      </c>
      <c r="N588">
        <v>0</v>
      </c>
      <c r="O588">
        <v>6.1919690000000003E-3</v>
      </c>
      <c r="P588">
        <v>0.9987009</v>
      </c>
      <c r="Q588">
        <v>4.39967E-2</v>
      </c>
      <c r="R588">
        <v>-2.5713819999999998E-2</v>
      </c>
      <c r="S588">
        <v>3.0248409999999999</v>
      </c>
      <c r="T588">
        <v>-0.75121359999999904</v>
      </c>
      <c r="U588">
        <v>-0.4759216</v>
      </c>
      <c r="V588">
        <v>3.189111E-2</v>
      </c>
      <c r="W588">
        <v>5.5817020000000002E-2</v>
      </c>
      <c r="X588">
        <v>0.99793160000000003</v>
      </c>
      <c r="Y588">
        <v>0.15670809999999999</v>
      </c>
      <c r="Z588">
        <v>-2.056202E-2</v>
      </c>
      <c r="AA588">
        <v>0.9874309</v>
      </c>
      <c r="AB588">
        <v>23</v>
      </c>
      <c r="AC588">
        <v>0.62220000000001996</v>
      </c>
      <c r="AD588">
        <v>-0.18414410000000001</v>
      </c>
      <c r="AE588">
        <v>-0.117399999999975</v>
      </c>
      <c r="AF588">
        <v>0.111795138466424</v>
      </c>
      <c r="AG588">
        <v>-0.18414410000000001</v>
      </c>
      <c r="AH588">
        <v>0.57299751287085499</v>
      </c>
      <c r="AI588">
        <v>107.506441719205</v>
      </c>
      <c r="AJ588">
        <v>78.9599512482433</v>
      </c>
      <c r="AK588">
        <v>0.61215468004886098</v>
      </c>
      <c r="AL588">
        <v>86.800257469980707</v>
      </c>
      <c r="AM588">
        <v>88.1696096590385</v>
      </c>
      <c r="AN588">
        <v>1.0000000304486301</v>
      </c>
    </row>
    <row r="589" spans="1:40" x14ac:dyDescent="0.25">
      <c r="A589" t="str">
        <f>"20190312153901354"</f>
        <v>20190312153901354</v>
      </c>
      <c r="B589" t="str">
        <f>"1552376341346847"</f>
        <v>1552376341346847</v>
      </c>
      <c r="C589" t="s">
        <v>40</v>
      </c>
      <c r="D589">
        <v>4.4875730000000003</v>
      </c>
      <c r="E589">
        <v>0.5529425</v>
      </c>
      <c r="F589" t="s">
        <v>41</v>
      </c>
      <c r="G589">
        <v>-393.63670000000002</v>
      </c>
      <c r="H589">
        <v>0.9035803</v>
      </c>
      <c r="I589">
        <v>367.94420000000002</v>
      </c>
      <c r="J589">
        <v>-394.32249999999999</v>
      </c>
      <c r="K589">
        <v>1.107307</v>
      </c>
      <c r="L589">
        <v>368.07409999999999</v>
      </c>
      <c r="M589">
        <v>0.99990809999999997</v>
      </c>
      <c r="N589">
        <v>0</v>
      </c>
      <c r="O589">
        <v>6.2482609999999997E-3</v>
      </c>
      <c r="P589">
        <v>0.99871759999999998</v>
      </c>
      <c r="Q589">
        <v>4.3847709999999998E-2</v>
      </c>
      <c r="R589">
        <v>-2.531162E-2</v>
      </c>
      <c r="S589">
        <v>3.0247799999999998</v>
      </c>
      <c r="T589">
        <v>-0.75146380000000002</v>
      </c>
      <c r="U589">
        <v>-0.47521970000000002</v>
      </c>
      <c r="V589">
        <v>3.1545139999999999E-2</v>
      </c>
      <c r="W589">
        <v>5.5863669999999997E-2</v>
      </c>
      <c r="X589">
        <v>0.99793989999999999</v>
      </c>
      <c r="Y589">
        <v>0.15654270000000001</v>
      </c>
      <c r="Z589">
        <v>-2.0563020000000001E-2</v>
      </c>
      <c r="AA589">
        <v>0.98745709999999998</v>
      </c>
      <c r="AB589">
        <v>23</v>
      </c>
      <c r="AC589">
        <v>0.68579999999997199</v>
      </c>
      <c r="AD589">
        <v>-0.20372670000000001</v>
      </c>
      <c r="AE589">
        <v>-0.12989999999996299</v>
      </c>
      <c r="AF589">
        <v>0.12364907283040601</v>
      </c>
      <c r="AG589">
        <v>-0.20372670000000001</v>
      </c>
      <c r="AH589">
        <v>0.63120229868225497</v>
      </c>
      <c r="AI589">
        <v>107.575055608971</v>
      </c>
      <c r="AJ589">
        <v>78.916424426857802</v>
      </c>
      <c r="AK589">
        <v>0.67469252505602295</v>
      </c>
      <c r="AL589">
        <v>86.797580170277996</v>
      </c>
      <c r="AM589">
        <v>88.189468367960103</v>
      </c>
      <c r="AN589">
        <v>0.999999944747747</v>
      </c>
    </row>
    <row r="590" spans="1:40" x14ac:dyDescent="0.25">
      <c r="A590" t="str">
        <f>"20190312153901369"</f>
        <v>20190312153901369</v>
      </c>
      <c r="B590" t="str">
        <f>"1552376341366367"</f>
        <v>1552376341366367</v>
      </c>
      <c r="C590" t="s">
        <v>40</v>
      </c>
      <c r="D590">
        <v>3.4738259999999999</v>
      </c>
      <c r="E590">
        <v>0.54854040000000004</v>
      </c>
      <c r="F590" t="s">
        <v>41</v>
      </c>
      <c r="G590">
        <v>-393.62419999999997</v>
      </c>
      <c r="H590">
        <v>0.93374959999999996</v>
      </c>
      <c r="I590">
        <v>367.96429999999998</v>
      </c>
      <c r="J590">
        <v>-394.1891</v>
      </c>
      <c r="K590">
        <v>1.1076299999999999</v>
      </c>
      <c r="L590">
        <v>368.07499999999999</v>
      </c>
      <c r="M590">
        <v>0.9999055</v>
      </c>
      <c r="N590">
        <v>0</v>
      </c>
      <c r="O590">
        <v>6.3053440000000001E-3</v>
      </c>
      <c r="P590">
        <v>0.99872799999999995</v>
      </c>
      <c r="Q590">
        <v>4.3656729999999998E-2</v>
      </c>
      <c r="R590">
        <v>-2.5228899999999999E-2</v>
      </c>
      <c r="S590">
        <v>3.0248409999999999</v>
      </c>
      <c r="T590">
        <v>-0.7517933</v>
      </c>
      <c r="U590">
        <v>-0.47409059999999997</v>
      </c>
      <c r="V590">
        <v>3.1519650000000003E-2</v>
      </c>
      <c r="W590">
        <v>5.5852249999999999E-2</v>
      </c>
      <c r="X590">
        <v>0.99794139999999998</v>
      </c>
      <c r="Y590">
        <v>0.156239299999999</v>
      </c>
      <c r="Z590">
        <v>-2.054891E-2</v>
      </c>
      <c r="AA590">
        <v>0.98750539999999998</v>
      </c>
      <c r="AB590">
        <v>23</v>
      </c>
      <c r="AC590">
        <v>0.56490000000002205</v>
      </c>
      <c r="AD590">
        <v>-0.17388039999999899</v>
      </c>
      <c r="AE590">
        <v>-0.110700000000008</v>
      </c>
      <c r="AF590">
        <v>0.104706381073277</v>
      </c>
      <c r="AG590">
        <v>-0.17388039999999899</v>
      </c>
      <c r="AH590">
        <v>0.51701725837971502</v>
      </c>
      <c r="AI590">
        <v>108.24339742887101</v>
      </c>
      <c r="AJ590">
        <v>78.551298076849903</v>
      </c>
      <c r="AK590">
        <v>0.55543196271379502</v>
      </c>
      <c r="AL590">
        <v>86.798235688372898</v>
      </c>
      <c r="AM590">
        <v>88.190933110011798</v>
      </c>
      <c r="AN590">
        <v>1.0000000000000699</v>
      </c>
    </row>
    <row r="591" spans="1:40" x14ac:dyDescent="0.25">
      <c r="A591" t="str">
        <f>"20190312153901432"</f>
        <v>20190312153901432</v>
      </c>
      <c r="B591" t="str">
        <f>"1552376341426881"</f>
        <v>1552376341426881</v>
      </c>
      <c r="C591" t="s">
        <v>40</v>
      </c>
      <c r="D591">
        <v>4.1015280000000001</v>
      </c>
      <c r="E591">
        <v>0.5451646</v>
      </c>
      <c r="F591" t="s">
        <v>41</v>
      </c>
      <c r="G591">
        <v>-393.45800000000003</v>
      </c>
      <c r="H591">
        <v>0.84810830000000004</v>
      </c>
      <c r="I591">
        <v>367.97160000000002</v>
      </c>
      <c r="J591">
        <v>-393.53570000000002</v>
      </c>
      <c r="K591">
        <v>1.1088530000000001</v>
      </c>
      <c r="L591">
        <v>368.07940000000002</v>
      </c>
      <c r="M591">
        <v>0.99989479999999997</v>
      </c>
      <c r="N591">
        <v>0</v>
      </c>
      <c r="O591">
        <v>6.5848859999999999E-3</v>
      </c>
      <c r="P591">
        <v>0.99875219999999998</v>
      </c>
      <c r="Q591">
        <v>4.3087979999999998E-2</v>
      </c>
      <c r="R591">
        <v>-2.525459E-2</v>
      </c>
      <c r="S591">
        <v>3.0400999999999998</v>
      </c>
      <c r="T591">
        <v>-1.079126</v>
      </c>
      <c r="U591">
        <v>-0.42987059999999999</v>
      </c>
      <c r="V591">
        <v>3.1825039999999999E-2</v>
      </c>
      <c r="W591">
        <v>5.6010789999999998E-2</v>
      </c>
      <c r="X591">
        <v>0.9979228</v>
      </c>
      <c r="Y591">
        <v>0.13786089999999901</v>
      </c>
      <c r="Z591">
        <v>-2.5892809999999999E-2</v>
      </c>
      <c r="AA591">
        <v>0.99011309999999997</v>
      </c>
      <c r="AB591">
        <v>23</v>
      </c>
      <c r="AC591">
        <v>7.7699999999992997E-2</v>
      </c>
      <c r="AD591">
        <v>-0.2607447</v>
      </c>
      <c r="AE591">
        <v>-0.107799999999997</v>
      </c>
      <c r="AF591">
        <v>2.2330782428529601E-2</v>
      </c>
      <c r="AG591">
        <v>-0.2607447</v>
      </c>
      <c r="AH591">
        <v>1.5873156949128098E-2</v>
      </c>
      <c r="AI591">
        <v>174.00171908900001</v>
      </c>
      <c r="AJ591">
        <v>35.405959335263603</v>
      </c>
      <c r="AK591">
        <v>0.26218012802936003</v>
      </c>
      <c r="AL591">
        <v>86.789137703804201</v>
      </c>
      <c r="AM591">
        <v>88.173383078699203</v>
      </c>
      <c r="AN591">
        <v>0.99999997826363196</v>
      </c>
    </row>
    <row r="592" spans="1:40" x14ac:dyDescent="0.25">
      <c r="A592" t="str">
        <f>"20190312153901455"</f>
        <v>20190312153901455</v>
      </c>
      <c r="B592" t="str">
        <f>"1552376341446399"</f>
        <v>1552376341446399</v>
      </c>
      <c r="C592" t="s">
        <v>40</v>
      </c>
      <c r="D592">
        <v>4.265841</v>
      </c>
      <c r="E592">
        <v>0.49036540000000001</v>
      </c>
      <c r="F592" t="s">
        <v>41</v>
      </c>
      <c r="G592">
        <v>-392.84339999999997</v>
      </c>
      <c r="H592">
        <v>0.86326530000000001</v>
      </c>
      <c r="I592">
        <v>367.9871</v>
      </c>
      <c r="J592">
        <v>-393.30939999999998</v>
      </c>
      <c r="K592">
        <v>1.1091580000000001</v>
      </c>
      <c r="L592">
        <v>368.08109999999999</v>
      </c>
      <c r="M592">
        <v>0.99989150000000004</v>
      </c>
      <c r="N592">
        <v>0</v>
      </c>
      <c r="O592">
        <v>6.6818769999999897E-3</v>
      </c>
      <c r="P592">
        <v>0.99873000000000001</v>
      </c>
      <c r="Q592">
        <v>4.3347360000000001E-2</v>
      </c>
      <c r="R592">
        <v>-2.5681220000000001E-2</v>
      </c>
      <c r="S592">
        <v>3.0400390000000002</v>
      </c>
      <c r="T592">
        <v>-1.078349</v>
      </c>
      <c r="U592">
        <v>-0.40316770000000002</v>
      </c>
      <c r="V592">
        <v>3.2348290000000002E-2</v>
      </c>
      <c r="W592">
        <v>5.6467349999999999E-2</v>
      </c>
      <c r="X592">
        <v>0.99788030000000005</v>
      </c>
      <c r="Y592">
        <v>0.12989039999999999</v>
      </c>
      <c r="Z592">
        <v>-2.4556720000000001E-2</v>
      </c>
      <c r="AA592">
        <v>0.9912242</v>
      </c>
      <c r="AB592">
        <v>23</v>
      </c>
      <c r="AC592">
        <v>0.46600000000000802</v>
      </c>
      <c r="AD592">
        <v>-0.24589269999999999</v>
      </c>
      <c r="AE592">
        <v>-9.3999999999994005E-2</v>
      </c>
      <c r="AF592">
        <v>7.6614131812547601E-2</v>
      </c>
      <c r="AG592">
        <v>-0.24589269999999999</v>
      </c>
      <c r="AH592">
        <v>0.36713579048524903</v>
      </c>
      <c r="AI592">
        <v>123.250290495184</v>
      </c>
      <c r="AJ592">
        <v>78.212640925883207</v>
      </c>
      <c r="AK592">
        <v>0.44846586688610901</v>
      </c>
      <c r="AL592">
        <v>86.762937453667604</v>
      </c>
      <c r="AM592">
        <v>88.143292666782997</v>
      </c>
      <c r="AN592">
        <v>1.0000000333050101</v>
      </c>
    </row>
    <row r="593" spans="1:40" x14ac:dyDescent="0.25">
      <c r="A593" t="str">
        <f>"20190312153901469"</f>
        <v>20190312153901469</v>
      </c>
      <c r="B593" t="str">
        <f>"1552376341466895"</f>
        <v>1552376341466895</v>
      </c>
      <c r="C593" t="s">
        <v>40</v>
      </c>
      <c r="D593">
        <v>4.5281000000000002</v>
      </c>
      <c r="E593">
        <v>0.49065239999999999</v>
      </c>
      <c r="F593" t="s">
        <v>41</v>
      </c>
      <c r="G593">
        <v>-392.59379999999999</v>
      </c>
      <c r="H593">
        <v>0.96667179999999997</v>
      </c>
      <c r="I593">
        <v>368.08539999999999</v>
      </c>
      <c r="J593">
        <v>-393.16660000000002</v>
      </c>
      <c r="K593">
        <v>1.1093200000000001</v>
      </c>
      <c r="L593">
        <v>368.08210000000003</v>
      </c>
      <c r="M593">
        <v>0.99988940000000004</v>
      </c>
      <c r="N593">
        <v>0</v>
      </c>
      <c r="O593">
        <v>6.7433069999999996E-3</v>
      </c>
      <c r="P593">
        <v>0.9987317</v>
      </c>
      <c r="Q593">
        <v>4.3253140000000002E-2</v>
      </c>
      <c r="R593">
        <v>-2.5773419999999998E-2</v>
      </c>
      <c r="S593">
        <v>3.030548</v>
      </c>
      <c r="T593">
        <v>-0.60355059999999905</v>
      </c>
      <c r="U593">
        <v>1.9989010000000001E-2</v>
      </c>
      <c r="V593">
        <v>3.2501780000000001E-2</v>
      </c>
      <c r="W593">
        <v>5.6484489999999998E-2</v>
      </c>
      <c r="X593">
        <v>0.99787429999999999</v>
      </c>
      <c r="Y593" s="1">
        <v>1.5468449999999999E-5</v>
      </c>
      <c r="Z593">
        <v>-1.3315219999999999E-3</v>
      </c>
      <c r="AA593">
        <v>0.99999910000000003</v>
      </c>
      <c r="AB593">
        <v>23</v>
      </c>
      <c r="AC593">
        <v>0.57280000000002895</v>
      </c>
      <c r="AD593">
        <v>-0.1426482</v>
      </c>
      <c r="AE593">
        <v>3.2999999999674301E-3</v>
      </c>
      <c r="AF593">
        <v>5.3010506206857598E-4</v>
      </c>
      <c r="AG593">
        <v>-0.1426482</v>
      </c>
      <c r="AH593">
        <v>0.53935965337470204</v>
      </c>
      <c r="AI593">
        <v>104.81421487266999</v>
      </c>
      <c r="AJ593">
        <v>89.943687347050798</v>
      </c>
      <c r="AK593">
        <v>0.55790467435135904</v>
      </c>
      <c r="AL593">
        <v>86.761953696874301</v>
      </c>
      <c r="AM593">
        <v>88.134477743121295</v>
      </c>
      <c r="AN593">
        <v>0.99999999095710901</v>
      </c>
    </row>
    <row r="594" spans="1:40" x14ac:dyDescent="0.25">
      <c r="A594" t="str">
        <f>"20190312153901489"</f>
        <v>20190312153901489</v>
      </c>
      <c r="B594" t="str">
        <f>"1552376341486415"</f>
        <v>1552376341486415</v>
      </c>
      <c r="C594" t="s">
        <v>40</v>
      </c>
      <c r="D594">
        <v>4.4351560000000001</v>
      </c>
      <c r="E594">
        <v>0.49077330000000002</v>
      </c>
      <c r="F594" t="s">
        <v>41</v>
      </c>
      <c r="G594">
        <v>-392.38459999999998</v>
      </c>
      <c r="H594">
        <v>0.98217679999999996</v>
      </c>
      <c r="I594">
        <v>368.08550000000002</v>
      </c>
      <c r="J594">
        <v>-392.9665</v>
      </c>
      <c r="K594">
        <v>1.109526</v>
      </c>
      <c r="L594">
        <v>368.08350000000002</v>
      </c>
      <c r="M594">
        <v>0.99988690000000002</v>
      </c>
      <c r="N594">
        <v>0</v>
      </c>
      <c r="O594">
        <v>6.8291910000000001E-3</v>
      </c>
      <c r="P594">
        <v>0.99873460000000003</v>
      </c>
      <c r="Q594">
        <v>4.2887170000000002E-2</v>
      </c>
      <c r="R594">
        <v>-2.6263000000000002E-2</v>
      </c>
      <c r="S594">
        <v>3.0254819999999998</v>
      </c>
      <c r="T594">
        <v>-0.49210189999999998</v>
      </c>
      <c r="U594">
        <v>1.44043E-2</v>
      </c>
      <c r="V594">
        <v>3.3077389999999998E-2</v>
      </c>
      <c r="W594">
        <v>5.6261680000000001E-2</v>
      </c>
      <c r="X594">
        <v>0.99786799999999998</v>
      </c>
      <c r="Y594">
        <v>1.9534779999999998E-3</v>
      </c>
      <c r="Z594">
        <v>-1.2614460000000001E-3</v>
      </c>
      <c r="AA594">
        <v>0.99999729999999998</v>
      </c>
      <c r="AB594">
        <v>23</v>
      </c>
      <c r="AC594">
        <v>0.58190000000001796</v>
      </c>
      <c r="AD594">
        <v>-0.1273492</v>
      </c>
      <c r="AE594">
        <v>2.0000000000095402E-3</v>
      </c>
      <c r="AF594">
        <v>1.8840719791805799E-3</v>
      </c>
      <c r="AG594">
        <v>-0.1273492</v>
      </c>
      <c r="AH594">
        <v>0.55530378713241602</v>
      </c>
      <c r="AI594">
        <v>102.91636338236999</v>
      </c>
      <c r="AJ594">
        <v>89.805603777628093</v>
      </c>
      <c r="AK594">
        <v>0.56972244511820502</v>
      </c>
      <c r="AL594">
        <v>86.7747401899084</v>
      </c>
      <c r="AM594">
        <v>88.101451135141701</v>
      </c>
      <c r="AN594">
        <v>1.0000000178948101</v>
      </c>
    </row>
    <row r="595" spans="1:40" x14ac:dyDescent="0.25">
      <c r="A595" t="str">
        <f>"20190312153901511"</f>
        <v>20190312153901511</v>
      </c>
      <c r="B595" t="str">
        <f>"1552376341506912"</f>
        <v>1552376341506912</v>
      </c>
      <c r="C595" t="s">
        <v>40</v>
      </c>
      <c r="D595">
        <v>4.4487500000000004</v>
      </c>
      <c r="E595">
        <v>0.49149530000000002</v>
      </c>
      <c r="F595" t="s">
        <v>41</v>
      </c>
      <c r="G595">
        <v>-392.17790000000002</v>
      </c>
      <c r="H595">
        <v>0.99332830000000005</v>
      </c>
      <c r="I595">
        <v>368.08609999999999</v>
      </c>
      <c r="J595">
        <v>-392.74079999999998</v>
      </c>
      <c r="K595">
        <v>1.1097220000000001</v>
      </c>
      <c r="L595">
        <v>368.08519999999999</v>
      </c>
      <c r="M595">
        <v>0.99988440000000001</v>
      </c>
      <c r="N595">
        <v>0</v>
      </c>
      <c r="O595">
        <v>6.9263249999999997E-3</v>
      </c>
      <c r="P595">
        <v>0.99872510000000003</v>
      </c>
      <c r="Q595">
        <v>4.28346E-2</v>
      </c>
      <c r="R595">
        <v>-2.6714539999999998E-2</v>
      </c>
      <c r="S595">
        <v>3.0232239999999999</v>
      </c>
      <c r="T595">
        <v>-0.44555889999999998</v>
      </c>
      <c r="U595">
        <v>1.055908E-2</v>
      </c>
      <c r="V595">
        <v>3.3625740000000001E-2</v>
      </c>
      <c r="W595">
        <v>5.6352619999999999E-2</v>
      </c>
      <c r="X595">
        <v>0.99784450000000002</v>
      </c>
      <c r="Y595">
        <v>3.3236429999999998E-3</v>
      </c>
      <c r="Z595">
        <v>-1.2589910000000001E-3</v>
      </c>
      <c r="AA595">
        <v>0.99999369999999999</v>
      </c>
      <c r="AB595">
        <v>23</v>
      </c>
      <c r="AC595">
        <v>0.56289999999995599</v>
      </c>
      <c r="AD595">
        <v>-0.116393699999999</v>
      </c>
      <c r="AE595">
        <v>9.0000000000145497E-4</v>
      </c>
      <c r="AF595">
        <v>2.8762314776407298E-3</v>
      </c>
      <c r="AG595">
        <v>-0.116393699999999</v>
      </c>
      <c r="AH595">
        <v>0.53981259391019398</v>
      </c>
      <c r="AI595">
        <v>102.16759200196501</v>
      </c>
      <c r="AJ595">
        <v>89.694719302676802</v>
      </c>
      <c r="AK595">
        <v>0.55222586199059398</v>
      </c>
      <c r="AL595">
        <v>86.769521300538997</v>
      </c>
      <c r="AM595">
        <v>88.069955582544495</v>
      </c>
      <c r="AN595">
        <v>0.99999997717583</v>
      </c>
    </row>
    <row r="596" spans="1:40" x14ac:dyDescent="0.25">
      <c r="A596" t="str">
        <f>"20190312153901526"</f>
        <v>20190312153901526</v>
      </c>
      <c r="B596" t="str">
        <f>"1552376341516672"</f>
        <v>1552376341516672</v>
      </c>
      <c r="C596" t="s">
        <v>40</v>
      </c>
      <c r="D596">
        <v>4.4491269999999998</v>
      </c>
      <c r="E596">
        <v>0.49148999999999998</v>
      </c>
      <c r="F596" t="s">
        <v>42</v>
      </c>
      <c r="G596">
        <v>-355.70960000000002</v>
      </c>
      <c r="H596" s="1">
        <v>-2.108423E-6</v>
      </c>
      <c r="I596">
        <v>368.00659999999999</v>
      </c>
      <c r="J596">
        <v>-392.59379999999999</v>
      </c>
      <c r="K596">
        <v>1.109829</v>
      </c>
      <c r="L596">
        <v>368.08629999999999</v>
      </c>
      <c r="M596">
        <v>0.99988279999999996</v>
      </c>
      <c r="N596">
        <v>0</v>
      </c>
      <c r="O596">
        <v>6.989589E-3</v>
      </c>
      <c r="P596">
        <v>0.99871940000000003</v>
      </c>
      <c r="Q596">
        <v>4.2924410000000003E-2</v>
      </c>
      <c r="R596">
        <v>-2.6772890000000001E-2</v>
      </c>
      <c r="S596">
        <v>3.0075069999999999</v>
      </c>
      <c r="T596">
        <v>-9.0126510000000007E-2</v>
      </c>
      <c r="U596">
        <v>-6.3781740000000003E-3</v>
      </c>
      <c r="V596">
        <v>3.3747510000000001E-2</v>
      </c>
      <c r="W596">
        <v>5.6525899999999997E-2</v>
      </c>
      <c r="X596">
        <v>0.99783060000000001</v>
      </c>
      <c r="Y596">
        <v>9.1036910000000006E-3</v>
      </c>
      <c r="Z596">
        <v>-3.4580480000000001E-4</v>
      </c>
      <c r="AA596">
        <v>0.99995849999999997</v>
      </c>
      <c r="AB596">
        <v>23</v>
      </c>
      <c r="AC596">
        <v>36.8841999999999</v>
      </c>
      <c r="AD596">
        <v>-1.1098311084229999</v>
      </c>
      <c r="AE596">
        <v>-7.9700000000002505E-2</v>
      </c>
      <c r="AF596">
        <v>0.33722205606077499</v>
      </c>
      <c r="AG596">
        <v>-1.1098311084229999</v>
      </c>
      <c r="AH596">
        <v>36.849379022462998</v>
      </c>
      <c r="AI596">
        <v>91.725042958867405</v>
      </c>
      <c r="AJ596">
        <v>89.475680140670804</v>
      </c>
      <c r="AK596">
        <v>36.867630492689003</v>
      </c>
      <c r="AL596">
        <v>86.759577275647899</v>
      </c>
      <c r="AM596">
        <v>88.062944601258494</v>
      </c>
      <c r="AN596">
        <v>0.99999998904918497</v>
      </c>
    </row>
    <row r="597" spans="1:40" x14ac:dyDescent="0.25">
      <c r="A597" t="str">
        <f>"20190312153901545"</f>
        <v>20190312153901545</v>
      </c>
      <c r="B597" t="str">
        <f>"1552376341536191"</f>
        <v>1552376341536191</v>
      </c>
      <c r="C597" t="s">
        <v>40</v>
      </c>
      <c r="D597">
        <v>4.5063389999999997</v>
      </c>
      <c r="E597">
        <v>0.48990620000000001</v>
      </c>
      <c r="F597" t="s">
        <v>42</v>
      </c>
      <c r="G597">
        <v>-354.8426</v>
      </c>
      <c r="H597" s="1">
        <v>-2.4810099999999999E-6</v>
      </c>
      <c r="I597">
        <v>368.00310000000002</v>
      </c>
      <c r="J597">
        <v>-392.40519999999998</v>
      </c>
      <c r="K597">
        <v>1.109944</v>
      </c>
      <c r="L597">
        <v>368.08769999999998</v>
      </c>
      <c r="M597">
        <v>0.99988089999999996</v>
      </c>
      <c r="N597">
        <v>0</v>
      </c>
      <c r="O597">
        <v>7.0705730000000001E-3</v>
      </c>
      <c r="P597">
        <v>0.99872399999999995</v>
      </c>
      <c r="Q597">
        <v>4.2957139999999998E-2</v>
      </c>
      <c r="R597">
        <v>-2.6554189999999998E-2</v>
      </c>
      <c r="S597">
        <v>3.0074770000000002</v>
      </c>
      <c r="T597">
        <v>-8.8415380000000002E-2</v>
      </c>
      <c r="U597">
        <v>-6.6223139999999998E-3</v>
      </c>
      <c r="V597">
        <v>3.3609519999999997E-2</v>
      </c>
      <c r="W597">
        <v>5.6656350000000001E-2</v>
      </c>
      <c r="X597">
        <v>0.99782789999999999</v>
      </c>
      <c r="Y597">
        <v>9.2660539999999993E-3</v>
      </c>
      <c r="Z597">
        <v>-3.4401249999999999E-4</v>
      </c>
      <c r="AA597">
        <v>0.99995699999999998</v>
      </c>
      <c r="AB597">
        <v>22</v>
      </c>
      <c r="AC597">
        <v>37.562599999999897</v>
      </c>
      <c r="AD597">
        <v>-1.1099464810099999</v>
      </c>
      <c r="AE597">
        <v>-8.4599999999966202E-2</v>
      </c>
      <c r="AF597">
        <v>0.34990646270819398</v>
      </c>
      <c r="AG597">
        <v>-1.1099464810099999</v>
      </c>
      <c r="AH597">
        <v>37.528294690525797</v>
      </c>
      <c r="AI597">
        <v>91.694027240004701</v>
      </c>
      <c r="AJ597">
        <v>89.465800863534696</v>
      </c>
      <c r="AK597">
        <v>37.546335614841297</v>
      </c>
      <c r="AL597">
        <v>86.752091176874501</v>
      </c>
      <c r="AM597">
        <v>88.070853802939297</v>
      </c>
      <c r="AN597">
        <v>1.00000002992418</v>
      </c>
    </row>
    <row r="598" spans="1:40" x14ac:dyDescent="0.25">
      <c r="A598" t="str">
        <f>"20190312153901559"</f>
        <v>20190312153901559</v>
      </c>
      <c r="B598" t="str">
        <f>"1552376341546927"</f>
        <v>1552376341546927</v>
      </c>
      <c r="C598" t="s">
        <v>40</v>
      </c>
      <c r="D598">
        <v>4.4937389999999997</v>
      </c>
      <c r="E598">
        <v>0.48946790000000001</v>
      </c>
      <c r="F598" t="s">
        <v>42</v>
      </c>
      <c r="G598">
        <v>-357.7953</v>
      </c>
      <c r="H598" s="1">
        <v>-1.1851460000000001E-6</v>
      </c>
      <c r="I598">
        <v>368.16730000000001</v>
      </c>
      <c r="J598">
        <v>-392.26859999999999</v>
      </c>
      <c r="K598">
        <v>1.1100190000000001</v>
      </c>
      <c r="L598">
        <v>368.08870000000002</v>
      </c>
      <c r="M598">
        <v>0.99987969999999904</v>
      </c>
      <c r="N598">
        <v>0</v>
      </c>
      <c r="O598">
        <v>7.1292450000000002E-3</v>
      </c>
      <c r="P598">
        <v>0.99873270000000003</v>
      </c>
      <c r="Q598">
        <v>4.275822E-2</v>
      </c>
      <c r="R598">
        <v>-2.65571E-2</v>
      </c>
      <c r="S598">
        <v>3.0081790000000002</v>
      </c>
      <c r="T598">
        <v>-9.6472619999999995E-2</v>
      </c>
      <c r="U598">
        <v>6.9274899999999997E-3</v>
      </c>
      <c r="V598">
        <v>3.3671130000000001E-2</v>
      </c>
      <c r="W598">
        <v>5.6522099999999999E-2</v>
      </c>
      <c r="X598">
        <v>0.99783339999999998</v>
      </c>
      <c r="Y598">
        <v>4.8209380000000003E-3</v>
      </c>
      <c r="Z598">
        <v>-3.0588039999999999E-4</v>
      </c>
      <c r="AA598">
        <v>0.99998830000000005</v>
      </c>
      <c r="AB598">
        <v>22</v>
      </c>
      <c r="AC598">
        <v>34.473299999999902</v>
      </c>
      <c r="AD598">
        <v>-1.1100201851459901</v>
      </c>
      <c r="AE598">
        <v>7.8599999999994397E-2</v>
      </c>
      <c r="AF598">
        <v>0.16702075466420599</v>
      </c>
      <c r="AG598">
        <v>-1.1100201851459901</v>
      </c>
      <c r="AH598">
        <v>34.437279690127497</v>
      </c>
      <c r="AI598">
        <v>91.846159534700803</v>
      </c>
      <c r="AJ598">
        <v>89.722117734413203</v>
      </c>
      <c r="AK598">
        <v>34.4555695526861</v>
      </c>
      <c r="AL598">
        <v>86.759795362596705</v>
      </c>
      <c r="AM598">
        <v>88.067330786889002</v>
      </c>
      <c r="AN598">
        <v>0.99999999346972301</v>
      </c>
    </row>
    <row r="599" spans="1:40" x14ac:dyDescent="0.25">
      <c r="A599" t="str">
        <f>"20190312153901580"</f>
        <v>20190312153901580</v>
      </c>
      <c r="B599" t="str">
        <f>"1552376341566448"</f>
        <v>1552376341566448</v>
      </c>
      <c r="C599" t="s">
        <v>40</v>
      </c>
      <c r="D599">
        <v>4.4775790000000004</v>
      </c>
      <c r="E599">
        <v>0.48903229999999998</v>
      </c>
      <c r="F599" t="s">
        <v>42</v>
      </c>
      <c r="G599">
        <v>-359.04570000000001</v>
      </c>
      <c r="H599" s="1">
        <v>-6.8626969999999999E-7</v>
      </c>
      <c r="I599">
        <v>368.20530000000002</v>
      </c>
      <c r="J599">
        <v>-392.07069999999999</v>
      </c>
      <c r="K599">
        <v>1.1101099999999999</v>
      </c>
      <c r="L599">
        <v>368.09019999999998</v>
      </c>
      <c r="M599">
        <v>0.99987780000000004</v>
      </c>
      <c r="N599">
        <v>0</v>
      </c>
      <c r="O599">
        <v>7.2140119999999997E-3</v>
      </c>
      <c r="P599">
        <v>0.99875329999999996</v>
      </c>
      <c r="Q599">
        <v>4.242928E-2</v>
      </c>
      <c r="R599">
        <v>-2.6303070000000001E-2</v>
      </c>
      <c r="S599">
        <v>3.0084230000000001</v>
      </c>
      <c r="T599">
        <v>-0.1005149</v>
      </c>
      <c r="U599">
        <v>1.055908E-2</v>
      </c>
      <c r="V599">
        <v>3.3501879999999998E-2</v>
      </c>
      <c r="W599">
        <v>5.6277870000000001E-2</v>
      </c>
      <c r="X599">
        <v>0.99785290000000004</v>
      </c>
      <c r="Y599">
        <v>3.698846E-3</v>
      </c>
      <c r="Z599">
        <v>-3.0275540000000001E-4</v>
      </c>
      <c r="AA599">
        <v>0.99999309999999997</v>
      </c>
      <c r="AB599">
        <v>22</v>
      </c>
      <c r="AC599">
        <v>33.024999999999899</v>
      </c>
      <c r="AD599">
        <v>-1.1101106862697001</v>
      </c>
      <c r="AE599">
        <v>0.11510000000004</v>
      </c>
      <c r="AF599">
        <v>0.123029645691725</v>
      </c>
      <c r="AG599">
        <v>-1.1101106862697001</v>
      </c>
      <c r="AH599">
        <v>32.987697953303297</v>
      </c>
      <c r="AI599">
        <v>91.927391884987202</v>
      </c>
      <c r="AJ599">
        <v>89.786312861842603</v>
      </c>
      <c r="AK599">
        <v>33.006600829044203</v>
      </c>
      <c r="AL599">
        <v>86.773811016629907</v>
      </c>
      <c r="AM599">
        <v>88.0770757055557</v>
      </c>
      <c r="AN599">
        <v>0.99999999232684</v>
      </c>
    </row>
    <row r="600" spans="1:40" x14ac:dyDescent="0.25">
      <c r="A600" t="str">
        <f>"20190312153901601"</f>
        <v>20190312153901601</v>
      </c>
      <c r="B600" t="str">
        <f>"1552376341596703"</f>
        <v>1552376341596703</v>
      </c>
      <c r="C600" t="s">
        <v>40</v>
      </c>
      <c r="D600">
        <v>4.4934089999999998</v>
      </c>
      <c r="E600">
        <v>0.48897479999999899</v>
      </c>
      <c r="F600" t="s">
        <v>42</v>
      </c>
      <c r="G600">
        <v>-359.67630000000003</v>
      </c>
      <c r="H600" s="1">
        <v>-4.5954110000000002E-7</v>
      </c>
      <c r="I600">
        <v>368.2509</v>
      </c>
      <c r="J600">
        <v>-391.8492</v>
      </c>
      <c r="K600">
        <v>1.110196</v>
      </c>
      <c r="L600">
        <v>368.09190000000001</v>
      </c>
      <c r="M600">
        <v>0.99987599999999999</v>
      </c>
      <c r="N600">
        <v>0</v>
      </c>
      <c r="O600">
        <v>7.3091459999999999E-3</v>
      </c>
      <c r="P600">
        <v>0.99877539999999998</v>
      </c>
      <c r="Q600">
        <v>4.1984130000000001E-2</v>
      </c>
      <c r="R600">
        <v>-2.617649E-2</v>
      </c>
      <c r="S600">
        <v>3.0085139999999999</v>
      </c>
      <c r="T600">
        <v>-0.10309740000000001</v>
      </c>
      <c r="U600">
        <v>1.49231E-2</v>
      </c>
      <c r="V600">
        <v>3.347062E-2</v>
      </c>
      <c r="W600">
        <v>5.591604E-2</v>
      </c>
      <c r="X600">
        <v>0.99787429999999999</v>
      </c>
      <c r="Y600">
        <v>2.3440069999999999E-3</v>
      </c>
      <c r="Z600">
        <v>-2.9057120000000001E-4</v>
      </c>
      <c r="AA600">
        <v>0.99999720000000003</v>
      </c>
      <c r="AB600">
        <v>22</v>
      </c>
      <c r="AC600">
        <v>32.172899999999899</v>
      </c>
      <c r="AD600">
        <v>-1.1101964595411</v>
      </c>
      <c r="AE600">
        <v>0.15899999999999101</v>
      </c>
      <c r="AF600">
        <v>7.6092945693986294E-2</v>
      </c>
      <c r="AG600">
        <v>-1.1101964595411</v>
      </c>
      <c r="AH600">
        <v>32.1349390654903</v>
      </c>
      <c r="AI600">
        <v>91.978659555454399</v>
      </c>
      <c r="AJ600">
        <v>89.864328465612104</v>
      </c>
      <c r="AK600">
        <v>32.154200892852799</v>
      </c>
      <c r="AL600">
        <v>86.794575077275098</v>
      </c>
      <c r="AM600">
        <v>88.078909775321605</v>
      </c>
      <c r="AN600">
        <v>1.0000000022664699</v>
      </c>
    </row>
    <row r="601" spans="1:40" x14ac:dyDescent="0.25">
      <c r="A601" t="str">
        <f>"20190312153901623"</f>
        <v>20190312153901623</v>
      </c>
      <c r="B601" t="str">
        <f>"1552376341616223"</f>
        <v>1552376341616223</v>
      </c>
      <c r="C601" t="s">
        <v>40</v>
      </c>
      <c r="D601">
        <v>4.4768059999999998</v>
      </c>
      <c r="E601">
        <v>0.48869849999999998</v>
      </c>
      <c r="F601" t="s">
        <v>42</v>
      </c>
      <c r="G601">
        <v>-360.13310000000001</v>
      </c>
      <c r="H601" s="1">
        <v>-4.4562359999999999E-6</v>
      </c>
      <c r="I601">
        <v>368.25749999999999</v>
      </c>
      <c r="J601">
        <v>-391.63010000000003</v>
      </c>
      <c r="K601">
        <v>1.1102749999999999</v>
      </c>
      <c r="L601">
        <v>368.09359999999998</v>
      </c>
      <c r="M601">
        <v>0.99987429999999999</v>
      </c>
      <c r="N601">
        <v>0</v>
      </c>
      <c r="O601">
        <v>7.4033459999999999E-3</v>
      </c>
      <c r="P601">
        <v>0.99878420000000001</v>
      </c>
      <c r="Q601">
        <v>4.1854660000000002E-2</v>
      </c>
      <c r="R601">
        <v>-2.604559E-2</v>
      </c>
      <c r="S601">
        <v>3.0085139999999999</v>
      </c>
      <c r="T601">
        <v>-0.1053106</v>
      </c>
      <c r="U601">
        <v>1.5716549999999999E-2</v>
      </c>
      <c r="V601">
        <v>3.3433959999999999E-2</v>
      </c>
      <c r="W601">
        <v>5.5858440000000002E-2</v>
      </c>
      <c r="X601">
        <v>0.99787870000000001</v>
      </c>
      <c r="Y601">
        <v>2.1742969999999999E-3</v>
      </c>
      <c r="Z601">
        <v>-2.9713219999999999E-4</v>
      </c>
      <c r="AA601">
        <v>0.99999760000000004</v>
      </c>
      <c r="AB601">
        <v>22</v>
      </c>
      <c r="AC601">
        <v>31.497</v>
      </c>
      <c r="AD601">
        <v>-1.1102794562360001</v>
      </c>
      <c r="AE601">
        <v>0.16390000000001201</v>
      </c>
      <c r="AF601">
        <v>6.9224588750912502E-2</v>
      </c>
      <c r="AG601">
        <v>-1.1102794562360001</v>
      </c>
      <c r="AH601">
        <v>31.458261661764201</v>
      </c>
      <c r="AI601">
        <v>92.021337981931197</v>
      </c>
      <c r="AJ601">
        <v>89.873919594964903</v>
      </c>
      <c r="AK601">
        <v>31.4779246344903</v>
      </c>
      <c r="AL601">
        <v>86.797880304536605</v>
      </c>
      <c r="AM601">
        <v>88.081020805299701</v>
      </c>
      <c r="AN601">
        <v>0.99999994745710097</v>
      </c>
    </row>
    <row r="602" spans="1:40" x14ac:dyDescent="0.25">
      <c r="A602" t="str">
        <f>"20190312153901635"</f>
        <v>20190312153901635</v>
      </c>
      <c r="B602" t="str">
        <f>"1552376341626959"</f>
        <v>1552376341626959</v>
      </c>
      <c r="C602" t="s">
        <v>40</v>
      </c>
      <c r="D602">
        <v>4.5033139999999996</v>
      </c>
      <c r="E602">
        <v>0.48864869999999999</v>
      </c>
      <c r="F602" t="s">
        <v>42</v>
      </c>
      <c r="G602">
        <v>-360.08499999999998</v>
      </c>
      <c r="H602" s="1">
        <v>-4.4717010000000001E-6</v>
      </c>
      <c r="I602">
        <v>368.28649999999999</v>
      </c>
      <c r="J602">
        <v>-391.49889999999999</v>
      </c>
      <c r="K602">
        <v>1.1103149999999999</v>
      </c>
      <c r="L602">
        <v>368.09460000000001</v>
      </c>
      <c r="M602">
        <v>0.99987329999999996</v>
      </c>
      <c r="N602">
        <v>0</v>
      </c>
      <c r="O602">
        <v>7.4596899999999997E-3</v>
      </c>
      <c r="P602">
        <v>0.99879289999999998</v>
      </c>
      <c r="Q602">
        <v>4.1718650000000003E-2</v>
      </c>
      <c r="R602">
        <v>-2.5933419999999999E-2</v>
      </c>
      <c r="S602">
        <v>3.008575</v>
      </c>
      <c r="T602">
        <v>-0.10589129999999999</v>
      </c>
      <c r="U602">
        <v>1.8402100000000001E-2</v>
      </c>
      <c r="V602">
        <v>3.3378060000000001E-2</v>
      </c>
      <c r="W602">
        <v>5.5761789999999999E-2</v>
      </c>
      <c r="X602">
        <v>0.99788600000000005</v>
      </c>
      <c r="Y602">
        <v>1.3385750000000001E-3</v>
      </c>
      <c r="Z602">
        <v>-2.8604299999999999E-4</v>
      </c>
      <c r="AA602">
        <v>0.99999899999999997</v>
      </c>
      <c r="AB602">
        <v>22</v>
      </c>
      <c r="AC602">
        <v>31.413900000000002</v>
      </c>
      <c r="AD602">
        <v>-1.1103194717010001</v>
      </c>
      <c r="AE602">
        <v>0.19189999999997501</v>
      </c>
      <c r="AF602">
        <v>4.2413484808781599E-2</v>
      </c>
      <c r="AG602">
        <v>-1.1103194717010001</v>
      </c>
      <c r="AH602">
        <v>31.375263085645301</v>
      </c>
      <c r="AI602">
        <v>92.026756711813306</v>
      </c>
      <c r="AJ602">
        <v>89.922546874361103</v>
      </c>
      <c r="AK602">
        <v>31.394931787254901</v>
      </c>
      <c r="AL602">
        <v>86.803426660260101</v>
      </c>
      <c r="AM602">
        <v>88.084240859260902</v>
      </c>
      <c r="AN602">
        <v>0.99999997055468304</v>
      </c>
    </row>
    <row r="603" spans="1:40" x14ac:dyDescent="0.25">
      <c r="A603" t="str">
        <f>"20190312153901649"</f>
        <v>20190312153901649</v>
      </c>
      <c r="B603" t="str">
        <f>"1552376341636720"</f>
        <v>1552376341636720</v>
      </c>
      <c r="C603" t="s">
        <v>40</v>
      </c>
      <c r="D603">
        <v>4.4949370000000002</v>
      </c>
      <c r="E603">
        <v>0.48860910000000002</v>
      </c>
      <c r="F603" t="s">
        <v>42</v>
      </c>
      <c r="G603">
        <v>-360.04329999999999</v>
      </c>
      <c r="H603" s="1">
        <v>-4.4882620000000001E-6</v>
      </c>
      <c r="I603">
        <v>368.29399999999998</v>
      </c>
      <c r="J603">
        <v>-391.37169999999998</v>
      </c>
      <c r="K603">
        <v>1.1103499999999999</v>
      </c>
      <c r="L603">
        <v>368.09570000000002</v>
      </c>
      <c r="M603">
        <v>0.99987239999999999</v>
      </c>
      <c r="N603">
        <v>0</v>
      </c>
      <c r="O603">
        <v>7.51440099999999E-3</v>
      </c>
      <c r="P603">
        <v>0.99880409999999997</v>
      </c>
      <c r="Q603">
        <v>4.1502039999999997E-2</v>
      </c>
      <c r="R603">
        <v>-2.5848960000000001E-2</v>
      </c>
      <c r="S603">
        <v>3.008575</v>
      </c>
      <c r="T603">
        <v>-0.10619629999999999</v>
      </c>
      <c r="U603">
        <v>1.9073489999999999E-2</v>
      </c>
      <c r="V603">
        <v>3.3348259999999998E-2</v>
      </c>
      <c r="W603">
        <v>5.5579440000000001E-2</v>
      </c>
      <c r="X603">
        <v>0.99789720000000004</v>
      </c>
      <c r="Y603">
        <v>1.170188E-3</v>
      </c>
      <c r="Z603">
        <v>-2.8582599999999998E-4</v>
      </c>
      <c r="AA603">
        <v>0.99999930000000004</v>
      </c>
      <c r="AB603">
        <v>22</v>
      </c>
      <c r="AC603">
        <v>31.328399999999899</v>
      </c>
      <c r="AD603">
        <v>-1.110354488262</v>
      </c>
      <c r="AE603">
        <v>0.19830000000001699</v>
      </c>
      <c r="AF603">
        <v>3.7096556500147398E-2</v>
      </c>
      <c r="AG603">
        <v>-1.110354488262</v>
      </c>
      <c r="AH603">
        <v>31.289702096569101</v>
      </c>
      <c r="AI603">
        <v>92.032358659344496</v>
      </c>
      <c r="AJ603">
        <v>89.932071097401106</v>
      </c>
      <c r="AK603">
        <v>31.309419038624</v>
      </c>
      <c r="AL603">
        <v>86.813890871524094</v>
      </c>
      <c r="AM603">
        <v>88.0859714466729</v>
      </c>
      <c r="AN603">
        <v>1.00000000118179</v>
      </c>
    </row>
    <row r="604" spans="1:40" x14ac:dyDescent="0.25">
      <c r="A604" t="str">
        <f>"20190312153901666"</f>
        <v>20190312153901666</v>
      </c>
      <c r="B604" t="str">
        <f>"1552376341656239"</f>
        <v>1552376341656239</v>
      </c>
      <c r="C604" t="s">
        <v>40</v>
      </c>
      <c r="D604">
        <v>4.5128309999999896</v>
      </c>
      <c r="E604">
        <v>0.48849419999999999</v>
      </c>
      <c r="F604" t="s">
        <v>42</v>
      </c>
      <c r="G604">
        <v>-360.11410000000001</v>
      </c>
      <c r="H604" s="1">
        <v>-4.4570160000000003E-6</v>
      </c>
      <c r="I604">
        <v>368.2989</v>
      </c>
      <c r="J604">
        <v>-391.19240000000002</v>
      </c>
      <c r="K604">
        <v>1.110392</v>
      </c>
      <c r="L604">
        <v>368.09710000000001</v>
      </c>
      <c r="M604">
        <v>0.99987110000000001</v>
      </c>
      <c r="N604">
        <v>0</v>
      </c>
      <c r="O604">
        <v>7.5914479999999998E-3</v>
      </c>
      <c r="P604">
        <v>0.99880219999999997</v>
      </c>
      <c r="Q604">
        <v>4.1528309999999999E-2</v>
      </c>
      <c r="R604">
        <v>-2.58742E-2</v>
      </c>
      <c r="S604">
        <v>3.0085449999999998</v>
      </c>
      <c r="T604">
        <v>-0.10687140000000001</v>
      </c>
      <c r="U604">
        <v>1.9561769999999999E-2</v>
      </c>
      <c r="V604">
        <v>3.3450750000000001E-2</v>
      </c>
      <c r="W604">
        <v>5.564943E-2</v>
      </c>
      <c r="X604">
        <v>0.9978899</v>
      </c>
      <c r="Y604">
        <v>1.0848310000000001E-3</v>
      </c>
      <c r="Z604">
        <v>-2.8886539999999999E-4</v>
      </c>
      <c r="AA604">
        <v>0.99999930000000004</v>
      </c>
      <c r="AB604">
        <v>22</v>
      </c>
      <c r="AC604">
        <v>31.078299999999999</v>
      </c>
      <c r="AD604">
        <v>-1.1103964570160001</v>
      </c>
      <c r="AE604">
        <v>0.20179999999999099</v>
      </c>
      <c r="AF604">
        <v>3.4115180782161997E-2</v>
      </c>
      <c r="AG604">
        <v>-1.1103964570160001</v>
      </c>
      <c r="AH604">
        <v>31.039314480227699</v>
      </c>
      <c r="AI604">
        <v>92.048816927413398</v>
      </c>
      <c r="AJ604">
        <v>89.937026473625593</v>
      </c>
      <c r="AK604">
        <v>31.0591884559108</v>
      </c>
      <c r="AL604">
        <v>86.809874622723498</v>
      </c>
      <c r="AM604">
        <v>88.080079378385406</v>
      </c>
      <c r="AN604">
        <v>1.0000000321284399</v>
      </c>
    </row>
    <row r="605" spans="1:40" x14ac:dyDescent="0.25">
      <c r="A605" t="str">
        <f>"20190312153901680"</f>
        <v>20190312153901680</v>
      </c>
      <c r="B605" t="str">
        <f>"1552376341666976"</f>
        <v>1552376341666976</v>
      </c>
      <c r="C605" t="s">
        <v>40</v>
      </c>
      <c r="D605">
        <v>4.5065429999999997</v>
      </c>
      <c r="E605">
        <v>0.48846869999999998</v>
      </c>
      <c r="F605" t="s">
        <v>42</v>
      </c>
      <c r="G605">
        <v>-360.12900000000002</v>
      </c>
      <c r="H605" s="1">
        <v>-4.448596E-6</v>
      </c>
      <c r="I605">
        <v>368.31040000000002</v>
      </c>
      <c r="J605">
        <v>-391.05829999999997</v>
      </c>
      <c r="K605">
        <v>1.11042</v>
      </c>
      <c r="L605">
        <v>368.09820000000002</v>
      </c>
      <c r="M605">
        <v>0.99987029999999999</v>
      </c>
      <c r="N605">
        <v>0</v>
      </c>
      <c r="O605">
        <v>7.6490450000000001E-3</v>
      </c>
      <c r="P605">
        <v>0.99880340000000001</v>
      </c>
      <c r="Q605">
        <v>4.1430639999999998E-2</v>
      </c>
      <c r="R605">
        <v>-2.5986639999999998E-2</v>
      </c>
      <c r="S605">
        <v>3.0086059999999999</v>
      </c>
      <c r="T605">
        <v>-0.10754560000000001</v>
      </c>
      <c r="U605">
        <v>2.0660399999999999E-2</v>
      </c>
      <c r="V605">
        <v>3.3620589999999999E-2</v>
      </c>
      <c r="W605">
        <v>5.5582300000000001E-2</v>
      </c>
      <c r="X605">
        <v>0.99788790000000005</v>
      </c>
      <c r="Y605">
        <v>7.7751239999999998E-4</v>
      </c>
      <c r="Z605">
        <v>-2.8724769999999999E-4</v>
      </c>
      <c r="AA605">
        <v>0.99999959999999999</v>
      </c>
      <c r="AB605">
        <v>22</v>
      </c>
      <c r="AC605">
        <v>30.929299999999898</v>
      </c>
      <c r="AD605">
        <v>-1.110424448596</v>
      </c>
      <c r="AE605">
        <v>0.212199999999995</v>
      </c>
      <c r="AF605">
        <v>2.4378160742616201E-2</v>
      </c>
      <c r="AG605">
        <v>-1.110424448596</v>
      </c>
      <c r="AH605">
        <v>30.8902040739151</v>
      </c>
      <c r="AI605">
        <v>92.058750756294799</v>
      </c>
      <c r="AJ605">
        <v>89.954782900445494</v>
      </c>
      <c r="AK605">
        <v>30.910165714193202</v>
      </c>
      <c r="AL605">
        <v>86.813726743521201</v>
      </c>
      <c r="AM605">
        <v>88.070334822763499</v>
      </c>
      <c r="AN605">
        <v>0.999999998555824</v>
      </c>
    </row>
    <row r="606" spans="1:40" x14ac:dyDescent="0.25">
      <c r="A606" t="str">
        <f>"20190312153901701"</f>
        <v>20190312153901701</v>
      </c>
      <c r="B606" t="str">
        <f>"1552376341686495"</f>
        <v>1552376341686495</v>
      </c>
      <c r="C606" t="s">
        <v>40</v>
      </c>
      <c r="D606">
        <v>4.458996</v>
      </c>
      <c r="E606">
        <v>0.48853920000000001</v>
      </c>
      <c r="F606" t="s">
        <v>42</v>
      </c>
      <c r="G606">
        <v>-360.26240000000001</v>
      </c>
      <c r="H606" s="1">
        <v>-4.3919549999999999E-6</v>
      </c>
      <c r="I606">
        <v>368.30709999999999</v>
      </c>
      <c r="J606">
        <v>-390.86130000000003</v>
      </c>
      <c r="K606">
        <v>1.110452</v>
      </c>
      <c r="L606">
        <v>368.09980000000002</v>
      </c>
      <c r="M606">
        <v>0.99986909999999896</v>
      </c>
      <c r="N606">
        <v>0</v>
      </c>
      <c r="O606">
        <v>7.7336929999999998E-3</v>
      </c>
      <c r="P606">
        <v>0.99880990000000003</v>
      </c>
      <c r="Q606">
        <v>4.1238200000000003E-2</v>
      </c>
      <c r="R606">
        <v>-2.604153E-2</v>
      </c>
      <c r="S606">
        <v>3.0086059999999999</v>
      </c>
      <c r="T606">
        <v>-0.10848239999999899</v>
      </c>
      <c r="U606">
        <v>2.0416259999999999E-2</v>
      </c>
      <c r="V606">
        <v>3.3760230000000002E-2</v>
      </c>
      <c r="W606">
        <v>5.5429470000000002E-2</v>
      </c>
      <c r="X606">
        <v>0.99789170000000005</v>
      </c>
      <c r="Y606">
        <v>9.4306390000000004E-4</v>
      </c>
      <c r="Z606">
        <v>-2.9578349999999999E-4</v>
      </c>
      <c r="AA606">
        <v>0.99999950000000004</v>
      </c>
      <c r="AB606">
        <v>22</v>
      </c>
      <c r="AC606">
        <v>30.5989</v>
      </c>
      <c r="AD606">
        <v>-1.1104563919549999</v>
      </c>
      <c r="AE606">
        <v>0.207299999999975</v>
      </c>
      <c r="AF606">
        <v>2.9333969127994301E-2</v>
      </c>
      <c r="AG606">
        <v>-1.1104563919549999</v>
      </c>
      <c r="AH606">
        <v>30.559342770274402</v>
      </c>
      <c r="AI606">
        <v>92.081080542315604</v>
      </c>
      <c r="AJ606">
        <v>89.945001693137598</v>
      </c>
      <c r="AK606">
        <v>30.579525902657501</v>
      </c>
      <c r="AL606">
        <v>86.822496820846396</v>
      </c>
      <c r="AM606">
        <v>88.062333607615798</v>
      </c>
      <c r="AN606">
        <v>1.00000001210151</v>
      </c>
    </row>
    <row r="607" spans="1:40" x14ac:dyDescent="0.25">
      <c r="A607" t="str">
        <f>"20190312153901714"</f>
        <v>20190312153901714</v>
      </c>
      <c r="B607" t="str">
        <f>"1552376341706015"</f>
        <v>1552376341706015</v>
      </c>
      <c r="C607" t="s">
        <v>40</v>
      </c>
      <c r="D607">
        <v>4.499028</v>
      </c>
      <c r="E607">
        <v>0.48867339999999998</v>
      </c>
      <c r="F607" t="s">
        <v>42</v>
      </c>
      <c r="G607">
        <v>-360.68950000000001</v>
      </c>
      <c r="H607" s="1">
        <v>-4.2103159999999998E-6</v>
      </c>
      <c r="I607">
        <v>368.29809999999998</v>
      </c>
      <c r="J607">
        <v>-390.7174</v>
      </c>
      <c r="K607">
        <v>1.110473</v>
      </c>
      <c r="L607">
        <v>368.101</v>
      </c>
      <c r="M607">
        <v>0.99986830000000004</v>
      </c>
      <c r="N607">
        <v>0</v>
      </c>
      <c r="O607">
        <v>7.7954929999999997E-3</v>
      </c>
      <c r="P607">
        <v>0.99881660000000005</v>
      </c>
      <c r="Q607">
        <v>4.1038360000000003E-2</v>
      </c>
      <c r="R607">
        <v>-2.6106310000000001E-2</v>
      </c>
      <c r="S607">
        <v>3.008667</v>
      </c>
      <c r="T607">
        <v>-0.1107321</v>
      </c>
      <c r="U607">
        <v>1.977539E-2</v>
      </c>
      <c r="V607">
        <v>3.3886609999999998E-2</v>
      </c>
      <c r="W607">
        <v>5.5255220000000001E-2</v>
      </c>
      <c r="X607">
        <v>0.99789709999999998</v>
      </c>
      <c r="Y607">
        <v>1.217545E-3</v>
      </c>
      <c r="Z607">
        <v>-3.0923069999999999E-4</v>
      </c>
      <c r="AA607">
        <v>0.99999919999999998</v>
      </c>
      <c r="AB607">
        <v>22</v>
      </c>
      <c r="AC607">
        <v>30.027899999999899</v>
      </c>
      <c r="AD607">
        <v>-1.1104772103159899</v>
      </c>
      <c r="AE607">
        <v>0.19709999999997699</v>
      </c>
      <c r="AF607">
        <v>3.6961444577945798E-2</v>
      </c>
      <c r="AG607">
        <v>-1.1104772103159899</v>
      </c>
      <c r="AH607">
        <v>29.9875139266662</v>
      </c>
      <c r="AI607">
        <v>92.120767647208297</v>
      </c>
      <c r="AJ607">
        <v>89.9293794840153</v>
      </c>
      <c r="AK607">
        <v>30.008090863715601</v>
      </c>
      <c r="AL607">
        <v>86.832495997454998</v>
      </c>
      <c r="AM607">
        <v>88.055096112030398</v>
      </c>
      <c r="AN607">
        <v>1.0000000319314699</v>
      </c>
    </row>
    <row r="608" spans="1:40" x14ac:dyDescent="0.25">
      <c r="A608" t="str">
        <f>"20190312153901729"</f>
        <v>20190312153901729</v>
      </c>
      <c r="B608" t="str">
        <f>"1552376341716752"</f>
        <v>1552376341716752</v>
      </c>
      <c r="C608" t="s">
        <v>40</v>
      </c>
      <c r="D608">
        <v>4.4782149999999996</v>
      </c>
      <c r="E608">
        <v>0.48877080000000001</v>
      </c>
      <c r="F608" t="s">
        <v>42</v>
      </c>
      <c r="G608">
        <v>-360.99860000000001</v>
      </c>
      <c r="H608" s="1">
        <v>-4.0801860000000004E-6</v>
      </c>
      <c r="I608">
        <v>368.2842</v>
      </c>
      <c r="J608">
        <v>-390.57929999999999</v>
      </c>
      <c r="K608">
        <v>1.110492</v>
      </c>
      <c r="L608">
        <v>368.10210000000001</v>
      </c>
      <c r="M608">
        <v>0.99986739999999996</v>
      </c>
      <c r="N608">
        <v>0</v>
      </c>
      <c r="O608">
        <v>7.8547559999999992E-3</v>
      </c>
      <c r="P608">
        <v>0.99881940000000002</v>
      </c>
      <c r="Q608">
        <v>4.1033970000000003E-2</v>
      </c>
      <c r="R608">
        <v>-2.5999299999999999E-2</v>
      </c>
      <c r="S608">
        <v>3.008667</v>
      </c>
      <c r="T608">
        <v>-0.1124218</v>
      </c>
      <c r="U608">
        <v>1.8554689999999999E-2</v>
      </c>
      <c r="V608">
        <v>3.3839040000000001E-2</v>
      </c>
      <c r="W608">
        <v>5.5272830000000002E-2</v>
      </c>
      <c r="X608">
        <v>0.9978977</v>
      </c>
      <c r="Y608">
        <v>1.681978E-3</v>
      </c>
      <c r="Z608">
        <v>-3.2483430000000002E-4</v>
      </c>
      <c r="AA608">
        <v>0.99999850000000001</v>
      </c>
      <c r="AB608">
        <v>22</v>
      </c>
      <c r="AC608">
        <v>29.580699999999901</v>
      </c>
      <c r="AD608">
        <v>-1.110496080186</v>
      </c>
      <c r="AE608">
        <v>0.18209999999999099</v>
      </c>
      <c r="AF608">
        <v>5.0207685745177803E-2</v>
      </c>
      <c r="AG608">
        <v>-1.110496080186</v>
      </c>
      <c r="AH608">
        <v>29.539587895570101</v>
      </c>
      <c r="AI608">
        <v>92.152931126758105</v>
      </c>
      <c r="AJ608">
        <v>89.902615915552204</v>
      </c>
      <c r="AK608">
        <v>29.560496873292401</v>
      </c>
      <c r="AL608">
        <v>86.831485351070796</v>
      </c>
      <c r="AM608">
        <v>88.057825441228601</v>
      </c>
      <c r="AN608">
        <v>0.99999999301481002</v>
      </c>
    </row>
    <row r="609" spans="1:40" x14ac:dyDescent="0.25">
      <c r="A609" t="str">
        <f>"20190312153901747"</f>
        <v>20190312153901747</v>
      </c>
      <c r="B609" t="str">
        <f>"1552376341736270"</f>
        <v>1552376341736270</v>
      </c>
      <c r="C609" t="s">
        <v>40</v>
      </c>
      <c r="D609">
        <v>4.465141</v>
      </c>
      <c r="E609">
        <v>0.48886960000000002</v>
      </c>
      <c r="F609" t="s">
        <v>42</v>
      </c>
      <c r="G609">
        <v>-360.90660000000003</v>
      </c>
      <c r="H609" s="1">
        <v>-4.1205559999999996E-6</v>
      </c>
      <c r="I609">
        <v>368.279</v>
      </c>
      <c r="J609">
        <v>-390.40870000000001</v>
      </c>
      <c r="K609">
        <v>1.110509</v>
      </c>
      <c r="L609">
        <v>368.10359999999997</v>
      </c>
      <c r="M609">
        <v>0.9998667</v>
      </c>
      <c r="N609">
        <v>0</v>
      </c>
      <c r="O609">
        <v>7.9279469999999994E-3</v>
      </c>
      <c r="P609">
        <v>0.99881549999999997</v>
      </c>
      <c r="Q609">
        <v>4.1088909999999999E-2</v>
      </c>
      <c r="R609">
        <v>-2.6066430000000002E-2</v>
      </c>
      <c r="S609">
        <v>3.008667</v>
      </c>
      <c r="T609">
        <v>-0.11259859999999999</v>
      </c>
      <c r="U609">
        <v>1.794434E-2</v>
      </c>
      <c r="V609">
        <v>3.397915E-2</v>
      </c>
      <c r="W609">
        <v>5.535234E-2</v>
      </c>
      <c r="X609">
        <v>0.99788860000000001</v>
      </c>
      <c r="Y609">
        <v>1.957772E-3</v>
      </c>
      <c r="Z609">
        <v>-3.3324249999999999E-4</v>
      </c>
      <c r="AA609">
        <v>0.99999800000000005</v>
      </c>
      <c r="AB609">
        <v>22</v>
      </c>
      <c r="AC609">
        <v>29.502099999999899</v>
      </c>
      <c r="AD609">
        <v>-1.1105131205559999</v>
      </c>
      <c r="AE609">
        <v>0.17540000000002401</v>
      </c>
      <c r="AF609">
        <v>5.84376296980006E-2</v>
      </c>
      <c r="AG609">
        <v>-1.1105131205559999</v>
      </c>
      <c r="AH609">
        <v>29.460821575776102</v>
      </c>
      <c r="AI609">
        <v>92.1587137210864</v>
      </c>
      <c r="AJ609">
        <v>89.886349905532001</v>
      </c>
      <c r="AK609">
        <v>29.481802222171002</v>
      </c>
      <c r="AL609">
        <v>86.826922994949598</v>
      </c>
      <c r="AM609">
        <v>88.049772324859703</v>
      </c>
      <c r="AN609">
        <v>1.00000006109407</v>
      </c>
    </row>
    <row r="610" spans="1:40" x14ac:dyDescent="0.25">
      <c r="A610" t="str">
        <f>"20190312153901761"</f>
        <v>20190312153901761</v>
      </c>
      <c r="B610" t="str">
        <f>"1552376341746031"</f>
        <v>1552376341746031</v>
      </c>
      <c r="C610" t="s">
        <v>40</v>
      </c>
      <c r="D610">
        <v>4.4915440000000002</v>
      </c>
      <c r="E610">
        <v>0.48891059999999997</v>
      </c>
      <c r="F610" t="s">
        <v>42</v>
      </c>
      <c r="G610">
        <v>-361.0385</v>
      </c>
      <c r="H610" s="1">
        <v>-4.065336E-6</v>
      </c>
      <c r="I610">
        <v>368.2715</v>
      </c>
      <c r="J610">
        <v>-390.26799999999997</v>
      </c>
      <c r="K610">
        <v>1.110522</v>
      </c>
      <c r="L610">
        <v>368.10480000000001</v>
      </c>
      <c r="M610">
        <v>0.99986589999999997</v>
      </c>
      <c r="N610">
        <v>0</v>
      </c>
      <c r="O610">
        <v>7.9884280000000005E-3</v>
      </c>
      <c r="P610">
        <v>0.99880829999999998</v>
      </c>
      <c r="Q610">
        <v>4.1215990000000001E-2</v>
      </c>
      <c r="R610">
        <v>-2.614381E-2</v>
      </c>
      <c r="S610">
        <v>3.0087280000000001</v>
      </c>
      <c r="T610">
        <v>-0.1137621</v>
      </c>
      <c r="U610">
        <v>1.721191E-2</v>
      </c>
      <c r="V610">
        <v>3.411703E-2</v>
      </c>
      <c r="W610">
        <v>5.5498029999999997E-2</v>
      </c>
      <c r="X610">
        <v>0.99787579999999998</v>
      </c>
      <c r="Y610">
        <v>2.2614029999999999E-3</v>
      </c>
      <c r="Z610">
        <v>-3.447015E-4</v>
      </c>
      <c r="AA610">
        <v>0.99999740000000004</v>
      </c>
      <c r="AB610">
        <v>22</v>
      </c>
      <c r="AC610">
        <v>29.229500000000002</v>
      </c>
      <c r="AD610">
        <v>-1.1105260653360001</v>
      </c>
      <c r="AE610">
        <v>0.16669999999999099</v>
      </c>
      <c r="AF610">
        <v>6.6730617597429695E-2</v>
      </c>
      <c r="AG610">
        <v>-1.1105260653360001</v>
      </c>
      <c r="AH610">
        <v>29.187767987466302</v>
      </c>
      <c r="AI610">
        <v>92.178913229766195</v>
      </c>
      <c r="AJ610">
        <v>89.869007589317803</v>
      </c>
      <c r="AK610">
        <v>29.208963028619799</v>
      </c>
      <c r="AL610">
        <v>86.818562711309397</v>
      </c>
      <c r="AM610">
        <v>88.041839775355896</v>
      </c>
      <c r="AN610">
        <v>1.0000000576477599</v>
      </c>
    </row>
    <row r="611" spans="1:40" x14ac:dyDescent="0.25">
      <c r="A611" t="str">
        <f>"20190312153901783"</f>
        <v>20190312153901783</v>
      </c>
      <c r="B611" t="str">
        <f>"1552376341776287"</f>
        <v>1552376341776287</v>
      </c>
      <c r="C611" t="s">
        <v>40</v>
      </c>
      <c r="D611">
        <v>4.4803050000000004</v>
      </c>
      <c r="E611">
        <v>0.48904999999999998</v>
      </c>
      <c r="F611" t="s">
        <v>42</v>
      </c>
      <c r="G611">
        <v>-360.98340000000002</v>
      </c>
      <c r="H611" s="1">
        <v>-4.0893960000000001E-6</v>
      </c>
      <c r="I611">
        <v>368.26900000000001</v>
      </c>
      <c r="J611">
        <v>-390.0829</v>
      </c>
      <c r="K611">
        <v>1.1105370000000001</v>
      </c>
      <c r="L611">
        <v>368.10629999999998</v>
      </c>
      <c r="M611">
        <v>0.99986489999999995</v>
      </c>
      <c r="N611">
        <v>0</v>
      </c>
      <c r="O611">
        <v>8.0681969999999992E-3</v>
      </c>
      <c r="P611">
        <v>0.99881730000000002</v>
      </c>
      <c r="Q611">
        <v>4.100504E-2</v>
      </c>
      <c r="R611">
        <v>-2.6129630000000001E-2</v>
      </c>
      <c r="S611">
        <v>3.0087280000000001</v>
      </c>
      <c r="T611">
        <v>-0.11409619999999999</v>
      </c>
      <c r="U611">
        <v>1.6876220000000001E-2</v>
      </c>
      <c r="V611">
        <v>3.4182410000000003E-2</v>
      </c>
      <c r="W611">
        <v>5.5308070000000001E-2</v>
      </c>
      <c r="X611">
        <v>0.99788399999999999</v>
      </c>
      <c r="Y611">
        <v>2.4525179999999999E-3</v>
      </c>
      <c r="Z611">
        <v>-3.5235959999999999E-4</v>
      </c>
      <c r="AA611">
        <v>0.99999700000000002</v>
      </c>
      <c r="AB611">
        <v>22</v>
      </c>
      <c r="AC611">
        <v>29.0994999999999</v>
      </c>
      <c r="AD611">
        <v>-1.1105410893959999</v>
      </c>
      <c r="AE611">
        <v>0.16270000000002899</v>
      </c>
      <c r="AF611">
        <v>7.2005005065042801E-2</v>
      </c>
      <c r="AG611">
        <v>-1.1105410893959999</v>
      </c>
      <c r="AH611">
        <v>29.057545697149099</v>
      </c>
      <c r="AI611">
        <v>92.188697203894293</v>
      </c>
      <c r="AJ611">
        <v>89.858020546792801</v>
      </c>
      <c r="AK611">
        <v>29.078848811015501</v>
      </c>
      <c r="AL611">
        <v>86.8294630135223</v>
      </c>
      <c r="AM611">
        <v>88.038106303690597</v>
      </c>
      <c r="AN611">
        <v>0.99999994860826502</v>
      </c>
    </row>
    <row r="612" spans="1:40" x14ac:dyDescent="0.25">
      <c r="A612" t="str">
        <f>"20190312153901802"</f>
        <v>20190312153901802</v>
      </c>
      <c r="B612" t="str">
        <f>"1552376341796784"</f>
        <v>1552376341796784</v>
      </c>
      <c r="C612" t="s">
        <v>40</v>
      </c>
      <c r="D612">
        <v>4.4758889999999996</v>
      </c>
      <c r="E612">
        <v>0.4891258</v>
      </c>
      <c r="F612" t="s">
        <v>42</v>
      </c>
      <c r="G612">
        <v>-361.3723</v>
      </c>
      <c r="H612" s="1">
        <v>-3.924796E-6</v>
      </c>
      <c r="I612">
        <v>368.25650000000002</v>
      </c>
      <c r="J612">
        <v>-389.85910000000001</v>
      </c>
      <c r="K612">
        <v>1.110552</v>
      </c>
      <c r="L612">
        <v>368.10829999999999</v>
      </c>
      <c r="M612">
        <v>0.99986390000000003</v>
      </c>
      <c r="N612">
        <v>0</v>
      </c>
      <c r="O612">
        <v>8.1645880000000004E-3</v>
      </c>
      <c r="P612">
        <v>0.99880869999999999</v>
      </c>
      <c r="Q612">
        <v>4.120513E-2</v>
      </c>
      <c r="R612">
        <v>-2.614621E-2</v>
      </c>
      <c r="S612">
        <v>3.0087280000000001</v>
      </c>
      <c r="T612">
        <v>-0.1163787</v>
      </c>
      <c r="U612">
        <v>1.5747069999999998E-2</v>
      </c>
      <c r="V612">
        <v>3.4295230000000003E-2</v>
      </c>
      <c r="W612">
        <v>5.5529929999999998E-2</v>
      </c>
      <c r="X612">
        <v>0.99786790000000003</v>
      </c>
      <c r="Y612">
        <v>2.9234729999999998E-3</v>
      </c>
      <c r="Z612">
        <v>-3.7223600000000002E-4</v>
      </c>
      <c r="AA612">
        <v>0.99999559999999998</v>
      </c>
      <c r="AB612">
        <v>22</v>
      </c>
      <c r="AC612">
        <v>28.486799999999999</v>
      </c>
      <c r="AD612">
        <v>-1.110555924796</v>
      </c>
      <c r="AE612">
        <v>0.148200000000031</v>
      </c>
      <c r="AF612">
        <v>8.4283737056092697E-2</v>
      </c>
      <c r="AG612">
        <v>-1.110555924796</v>
      </c>
      <c r="AH612">
        <v>28.443831961237901</v>
      </c>
      <c r="AI612">
        <v>92.235900742102004</v>
      </c>
      <c r="AJ612">
        <v>89.830223709384896</v>
      </c>
      <c r="AK612">
        <v>28.465628657199399</v>
      </c>
      <c r="AL612">
        <v>86.816732099758795</v>
      </c>
      <c r="AM612">
        <v>88.031604370600505</v>
      </c>
      <c r="AN612">
        <v>1.0000000408884799</v>
      </c>
    </row>
    <row r="613" spans="1:40" x14ac:dyDescent="0.25">
      <c r="A613" t="str">
        <f>"20190312153901824"</f>
        <v>20190312153901824</v>
      </c>
      <c r="B613" t="str">
        <f>"1552376341816303"</f>
        <v>1552376341816303</v>
      </c>
      <c r="C613" t="s">
        <v>40</v>
      </c>
      <c r="D613">
        <v>4.4309029999999998</v>
      </c>
      <c r="E613">
        <v>0.48925089999999999</v>
      </c>
      <c r="F613" t="s">
        <v>42</v>
      </c>
      <c r="G613">
        <v>-361.2088</v>
      </c>
      <c r="H613" s="1">
        <v>-3.9954020000000004E-6</v>
      </c>
      <c r="I613">
        <v>368.25380000000001</v>
      </c>
      <c r="J613">
        <v>-389.6542</v>
      </c>
      <c r="K613">
        <v>1.1105689999999999</v>
      </c>
      <c r="L613">
        <v>368.11</v>
      </c>
      <c r="M613">
        <v>0.99986280000000005</v>
      </c>
      <c r="N613">
        <v>0</v>
      </c>
      <c r="O613">
        <v>8.2530859999999998E-3</v>
      </c>
      <c r="P613">
        <v>0.99879399999999996</v>
      </c>
      <c r="Q613">
        <v>4.1537499999999998E-2</v>
      </c>
      <c r="R613">
        <v>-2.6179529999999999E-2</v>
      </c>
      <c r="S613">
        <v>3.0088499999999998</v>
      </c>
      <c r="T613">
        <v>-0.1166302</v>
      </c>
      <c r="U613">
        <v>1.528931E-2</v>
      </c>
      <c r="V613">
        <v>3.44169E-2</v>
      </c>
      <c r="W613">
        <v>5.5879390000000001E-2</v>
      </c>
      <c r="X613">
        <v>0.99784419999999996</v>
      </c>
      <c r="Y613">
        <v>3.1640499999999998E-3</v>
      </c>
      <c r="Z613">
        <v>-3.8111539999999999E-4</v>
      </c>
      <c r="AA613">
        <v>0.99999490000000002</v>
      </c>
      <c r="AB613">
        <v>22</v>
      </c>
      <c r="AC613">
        <v>28.445399999999999</v>
      </c>
      <c r="AD613">
        <v>-1.1105729954020001</v>
      </c>
      <c r="AE613">
        <v>0.14379999999999801</v>
      </c>
      <c r="AF613">
        <v>9.0852963118852506E-2</v>
      </c>
      <c r="AG613">
        <v>-1.1105729954020001</v>
      </c>
      <c r="AH613">
        <v>28.4023254168136</v>
      </c>
      <c r="AI613">
        <v>92.239197675377</v>
      </c>
      <c r="AJ613">
        <v>89.816723683286995</v>
      </c>
      <c r="AK613">
        <v>28.424174846802501</v>
      </c>
      <c r="AL613">
        <v>86.796678371625703</v>
      </c>
      <c r="AM613">
        <v>88.024579689192393</v>
      </c>
      <c r="AN613">
        <v>1.0000000383530101</v>
      </c>
    </row>
    <row r="614" spans="1:40" x14ac:dyDescent="0.25">
      <c r="A614" t="str">
        <f>"20190312153901840"</f>
        <v>20190312153901840</v>
      </c>
      <c r="B614" t="str">
        <f>"1552376341827041"</f>
        <v>1552376341827041</v>
      </c>
      <c r="C614" t="s">
        <v>40</v>
      </c>
      <c r="D614">
        <v>4.4009589999999896</v>
      </c>
      <c r="E614">
        <v>0.48933759999999998</v>
      </c>
      <c r="F614" t="s">
        <v>42</v>
      </c>
      <c r="G614">
        <v>-360.87619999999998</v>
      </c>
      <c r="H614" s="1">
        <v>-4.1396899999999997E-6</v>
      </c>
      <c r="I614">
        <v>368.2448</v>
      </c>
      <c r="J614">
        <v>-389.49740000000003</v>
      </c>
      <c r="K614">
        <v>1.1105769999999999</v>
      </c>
      <c r="L614">
        <v>368.1114</v>
      </c>
      <c r="M614">
        <v>0.99986200000000003</v>
      </c>
      <c r="N614">
        <v>0</v>
      </c>
      <c r="O614">
        <v>8.3203540000000003E-3</v>
      </c>
      <c r="P614">
        <v>0.99879039999999997</v>
      </c>
      <c r="Q614">
        <v>4.181344E-2</v>
      </c>
      <c r="R614">
        <v>-2.587594E-2</v>
      </c>
      <c r="S614">
        <v>3.0087890000000002</v>
      </c>
      <c r="T614">
        <v>-0.1161118</v>
      </c>
      <c r="U614">
        <v>1.409912E-2</v>
      </c>
      <c r="V614">
        <v>3.4180330000000002E-2</v>
      </c>
      <c r="W614">
        <v>5.6166470000000003E-2</v>
      </c>
      <c r="X614">
        <v>0.99783619999999995</v>
      </c>
      <c r="Y614">
        <v>3.6264650000000002E-3</v>
      </c>
      <c r="Z614">
        <v>-3.909451E-4</v>
      </c>
      <c r="AA614">
        <v>0.99999329999999997</v>
      </c>
      <c r="AB614">
        <v>22</v>
      </c>
      <c r="AC614">
        <v>28.621200000000002</v>
      </c>
      <c r="AD614">
        <v>-1.1105811396900001</v>
      </c>
      <c r="AE614">
        <v>0.133399999999994</v>
      </c>
      <c r="AF614">
        <v>0.104610252845475</v>
      </c>
      <c r="AG614">
        <v>-1.1105811396900001</v>
      </c>
      <c r="AH614">
        <v>28.578291072942999</v>
      </c>
      <c r="AI614">
        <v>92.225436909534906</v>
      </c>
      <c r="AJ614">
        <v>89.790270901903796</v>
      </c>
      <c r="AK614">
        <v>28.600053398948202</v>
      </c>
      <c r="AL614">
        <v>86.780203982469502</v>
      </c>
      <c r="AM614">
        <v>88.038131688931401</v>
      </c>
      <c r="AN614">
        <v>1.0000000246708001</v>
      </c>
    </row>
    <row r="615" spans="1:40" x14ac:dyDescent="0.25">
      <c r="A615" t="str">
        <f>"20190312153901869"</f>
        <v>20190312153901869</v>
      </c>
      <c r="B615" t="str">
        <f>"1552376341856320"</f>
        <v>1552376341856320</v>
      </c>
      <c r="C615" t="s">
        <v>40</v>
      </c>
      <c r="D615">
        <v>4.3149769999999998</v>
      </c>
      <c r="E615">
        <v>0.51921090000000003</v>
      </c>
      <c r="F615" t="s">
        <v>42</v>
      </c>
      <c r="G615">
        <v>-360.70179999999999</v>
      </c>
      <c r="H615" s="1">
        <v>-4.214185E-6</v>
      </c>
      <c r="I615">
        <v>368.24650000000003</v>
      </c>
      <c r="J615">
        <v>-389.2122</v>
      </c>
      <c r="K615">
        <v>1.110589</v>
      </c>
      <c r="L615">
        <v>368.1139</v>
      </c>
      <c r="M615">
        <v>0.99986090000000005</v>
      </c>
      <c r="N615">
        <v>0</v>
      </c>
      <c r="O615">
        <v>8.4430630000000007E-3</v>
      </c>
      <c r="P615">
        <v>0.99882689999999996</v>
      </c>
      <c r="Q615">
        <v>4.1337110000000003E-2</v>
      </c>
      <c r="R615">
        <v>-2.522812E-2</v>
      </c>
      <c r="S615">
        <v>3.0088499999999998</v>
      </c>
      <c r="T615">
        <v>-0.1160443</v>
      </c>
      <c r="U615">
        <v>1.4129640000000001E-2</v>
      </c>
      <c r="V615">
        <v>3.3655560000000001E-2</v>
      </c>
      <c r="W615">
        <v>5.5707510000000002E-2</v>
      </c>
      <c r="X615">
        <v>0.99787969999999904</v>
      </c>
      <c r="Y615">
        <v>3.7389799999999998E-3</v>
      </c>
      <c r="Z615">
        <v>-3.9761020000000002E-4</v>
      </c>
      <c r="AA615">
        <v>0.99999289999999996</v>
      </c>
      <c r="AB615">
        <v>22</v>
      </c>
      <c r="AC615">
        <v>28.510400000000001</v>
      </c>
      <c r="AD615">
        <v>-1.1105932141849999</v>
      </c>
      <c r="AE615">
        <v>0.132600000000024</v>
      </c>
      <c r="AF615">
        <v>0.107980888003013</v>
      </c>
      <c r="AG615">
        <v>-1.1105932141849999</v>
      </c>
      <c r="AH615">
        <v>28.467307561813001</v>
      </c>
      <c r="AI615">
        <v>92.234127452596098</v>
      </c>
      <c r="AJ615">
        <v>89.782669314078802</v>
      </c>
      <c r="AK615">
        <v>28.489167712982098</v>
      </c>
      <c r="AL615">
        <v>86.806541481705494</v>
      </c>
      <c r="AM615">
        <v>88.068313366179893</v>
      </c>
      <c r="AN615">
        <v>0.99999995953069998</v>
      </c>
    </row>
    <row r="616" spans="1:40" x14ac:dyDescent="0.25">
      <c r="A616" t="str">
        <f>"20190312153901892"</f>
        <v>20190312153901892</v>
      </c>
      <c r="B616" t="str">
        <f>"1552376341886576"</f>
        <v>1552376341886576</v>
      </c>
      <c r="C616" t="s">
        <v>40</v>
      </c>
      <c r="D616">
        <v>4.2241879999999998</v>
      </c>
      <c r="E616">
        <v>0.5428191</v>
      </c>
      <c r="F616" t="s">
        <v>41</v>
      </c>
      <c r="G616">
        <v>-388.4128</v>
      </c>
      <c r="H616">
        <v>1.019002</v>
      </c>
      <c r="I616">
        <v>368.05630000000002</v>
      </c>
      <c r="J616">
        <v>-388.99680000000001</v>
      </c>
      <c r="K616">
        <v>1.1106009999999999</v>
      </c>
      <c r="L616">
        <v>368.11590000000001</v>
      </c>
      <c r="M616">
        <v>0.99985990000000002</v>
      </c>
      <c r="N616">
        <v>0</v>
      </c>
      <c r="O616">
        <v>8.5358459999999997E-3</v>
      </c>
      <c r="P616">
        <v>0.99883270000000002</v>
      </c>
      <c r="Q616">
        <v>4.164267E-2</v>
      </c>
      <c r="R616">
        <v>-2.448289E-2</v>
      </c>
      <c r="S616">
        <v>3.0123289999999998</v>
      </c>
      <c r="T616">
        <v>-0.34530100000000002</v>
      </c>
      <c r="U616">
        <v>-0.21594240000000001</v>
      </c>
      <c r="V616">
        <v>3.3002869999999997E-2</v>
      </c>
      <c r="W616">
        <v>5.6023169999999997E-2</v>
      </c>
      <c r="X616">
        <v>0.99788390000000005</v>
      </c>
      <c r="Y616">
        <v>7.9441699999999907E-2</v>
      </c>
      <c r="Z616">
        <v>-5.5067459999999999E-3</v>
      </c>
      <c r="AA616">
        <v>0.9968243</v>
      </c>
      <c r="AB616">
        <v>22</v>
      </c>
      <c r="AC616">
        <v>0.58400000000000296</v>
      </c>
      <c r="AD616">
        <v>-9.1599E-2</v>
      </c>
      <c r="AE616">
        <v>-5.9599999999989002E-2</v>
      </c>
      <c r="AF616">
        <v>6.3048207492136105E-2</v>
      </c>
      <c r="AG616">
        <v>-9.1599E-2</v>
      </c>
      <c r="AH616">
        <v>0.56960150901211604</v>
      </c>
      <c r="AI616">
        <v>99.081129112922994</v>
      </c>
      <c r="AJ616">
        <v>83.683740737270995</v>
      </c>
      <c r="AK616">
        <v>0.58035448851357296</v>
      </c>
      <c r="AL616">
        <v>86.788427437487002</v>
      </c>
      <c r="AM616">
        <v>88.105755414087696</v>
      </c>
      <c r="AN616">
        <v>1.00000003144214</v>
      </c>
    </row>
    <row r="617" spans="1:40" x14ac:dyDescent="0.25">
      <c r="A617" t="str">
        <f>"20190312153901913"</f>
        <v>20190312153901913</v>
      </c>
      <c r="B617" t="str">
        <f>"1552376341906095"</f>
        <v>1552376341906095</v>
      </c>
      <c r="C617" t="s">
        <v>40</v>
      </c>
      <c r="D617">
        <v>4.1952170000000004</v>
      </c>
      <c r="E617">
        <v>0.54313239999999996</v>
      </c>
      <c r="F617" t="s">
        <v>41</v>
      </c>
      <c r="G617">
        <v>-388.2654</v>
      </c>
      <c r="H617">
        <v>0.92316089999999995</v>
      </c>
      <c r="I617">
        <v>368.0213</v>
      </c>
      <c r="J617">
        <v>-388.78680000000003</v>
      </c>
      <c r="K617">
        <v>1.1106049999999901</v>
      </c>
      <c r="L617">
        <v>368.11779999999999</v>
      </c>
      <c r="M617">
        <v>0.99985900000000005</v>
      </c>
      <c r="N617">
        <v>0</v>
      </c>
      <c r="O617">
        <v>8.6265539999999998E-3</v>
      </c>
      <c r="P617">
        <v>0.99886019999999998</v>
      </c>
      <c r="Q617">
        <v>4.1416290000000001E-2</v>
      </c>
      <c r="R617">
        <v>-2.3735800000000001E-2</v>
      </c>
      <c r="S617">
        <v>3.0263059999999999</v>
      </c>
      <c r="T617">
        <v>-0.77563649999999995</v>
      </c>
      <c r="U617">
        <v>-0.39019779999999998</v>
      </c>
      <c r="V617">
        <v>3.2346760000000002E-2</v>
      </c>
      <c r="W617">
        <v>5.5805109999999998E-2</v>
      </c>
      <c r="X617">
        <v>0.99791759999999996</v>
      </c>
      <c r="Y617">
        <v>0.13195660000000001</v>
      </c>
      <c r="Z617">
        <v>-1.87435E-2</v>
      </c>
      <c r="AA617">
        <v>0.99107829999999997</v>
      </c>
      <c r="AB617">
        <v>22</v>
      </c>
      <c r="AC617">
        <v>0.52140000000002795</v>
      </c>
      <c r="AD617">
        <v>-0.187444099999999</v>
      </c>
      <c r="AE617">
        <v>-9.6499999999991801E-2</v>
      </c>
      <c r="AF617">
        <v>8.97762385123895E-2</v>
      </c>
      <c r="AG617">
        <v>-0.187444099999999</v>
      </c>
      <c r="AH617">
        <v>0.46272544471370303</v>
      </c>
      <c r="AI617">
        <v>111.686310090828</v>
      </c>
      <c r="AJ617">
        <v>79.020103018700993</v>
      </c>
      <c r="AK617">
        <v>0.50725723337547102</v>
      </c>
      <c r="AL617">
        <v>86.800940925848906</v>
      </c>
      <c r="AM617">
        <v>88.143449771178496</v>
      </c>
      <c r="AN617">
        <v>1.0000000297871801</v>
      </c>
    </row>
    <row r="618" spans="1:40" x14ac:dyDescent="0.25">
      <c r="A618" t="str">
        <f>"20190312153901936"</f>
        <v>20190312153901936</v>
      </c>
      <c r="B618" t="str">
        <f>"1552376341926591"</f>
        <v>1552376341926591</v>
      </c>
      <c r="C618" t="s">
        <v>40</v>
      </c>
      <c r="D618">
        <v>4.1652149999999999</v>
      </c>
      <c r="E618">
        <v>0.54331200000000002</v>
      </c>
      <c r="F618" t="s">
        <v>41</v>
      </c>
      <c r="G618">
        <v>-388.07170000000002</v>
      </c>
      <c r="H618">
        <v>0.92420460000000004</v>
      </c>
      <c r="I618">
        <v>368.02519999999998</v>
      </c>
      <c r="J618">
        <v>-388.56740000000002</v>
      </c>
      <c r="K618">
        <v>1.1106119999999999</v>
      </c>
      <c r="L618">
        <v>368.1198</v>
      </c>
      <c r="M618">
        <v>0.99985800000000002</v>
      </c>
      <c r="N618">
        <v>0</v>
      </c>
      <c r="O618">
        <v>8.7208530000000006E-3</v>
      </c>
      <c r="P618">
        <v>0.99887230000000005</v>
      </c>
      <c r="Q618">
        <v>4.1631019999999998E-2</v>
      </c>
      <c r="R618">
        <v>-2.2826929999999999E-2</v>
      </c>
      <c r="S618">
        <v>3.0268860000000002</v>
      </c>
      <c r="T618">
        <v>-0.78904269999999999</v>
      </c>
      <c r="U618">
        <v>-0.39016719999999999</v>
      </c>
      <c r="V618">
        <v>3.1532400000000002E-2</v>
      </c>
      <c r="W618">
        <v>5.6026979999999997E-2</v>
      </c>
      <c r="X618">
        <v>0.99793120000000002</v>
      </c>
      <c r="Y618">
        <v>0.13186429999999999</v>
      </c>
      <c r="Z618">
        <v>-1.9066010000000001E-2</v>
      </c>
      <c r="AA618">
        <v>0.99108439999999998</v>
      </c>
      <c r="AB618">
        <v>22</v>
      </c>
      <c r="AC618">
        <v>0.49569999999999897</v>
      </c>
      <c r="AD618">
        <v>-0.1864074</v>
      </c>
      <c r="AE618">
        <v>-9.4600000000014006E-2</v>
      </c>
      <c r="AF618">
        <v>8.7043295444701199E-2</v>
      </c>
      <c r="AG618">
        <v>-0.1864074</v>
      </c>
      <c r="AH618">
        <v>0.435442776645941</v>
      </c>
      <c r="AI618">
        <v>112.771799371245</v>
      </c>
      <c r="AJ618">
        <v>78.6957939080757</v>
      </c>
      <c r="AK618">
        <v>0.48159595699067098</v>
      </c>
      <c r="AL618">
        <v>86.788208687511002</v>
      </c>
      <c r="AM618">
        <v>88.1901833257932</v>
      </c>
      <c r="AN618">
        <v>0.99999999733556</v>
      </c>
    </row>
    <row r="619" spans="1:40" x14ac:dyDescent="0.25">
      <c r="A619" t="str">
        <f>"20190312153901956"</f>
        <v>20190312153901956</v>
      </c>
      <c r="B619" t="str">
        <f>"1552376341946111"</f>
        <v>1552376341946111</v>
      </c>
      <c r="C619" t="s">
        <v>40</v>
      </c>
      <c r="D619">
        <v>4.1473579999999997</v>
      </c>
      <c r="E619">
        <v>0.54389730000000003</v>
      </c>
      <c r="F619" t="s">
        <v>41</v>
      </c>
      <c r="G619">
        <v>-387.8759</v>
      </c>
      <c r="H619">
        <v>0.9304576</v>
      </c>
      <c r="I619">
        <v>368.03059999999999</v>
      </c>
      <c r="J619">
        <v>-388.36239999999998</v>
      </c>
      <c r="K619">
        <v>1.1106210000000001</v>
      </c>
      <c r="L619">
        <v>368.12169999999998</v>
      </c>
      <c r="M619">
        <v>0.99985740000000001</v>
      </c>
      <c r="N619">
        <v>0</v>
      </c>
      <c r="O619">
        <v>8.8094360000000003E-3</v>
      </c>
      <c r="P619">
        <v>0.99887150000000002</v>
      </c>
      <c r="Q619">
        <v>4.195227E-2</v>
      </c>
      <c r="R619">
        <v>-2.227463E-2</v>
      </c>
      <c r="S619">
        <v>3.0273439999999998</v>
      </c>
      <c r="T619">
        <v>-0.78873190000000004</v>
      </c>
      <c r="U619">
        <v>-0.389679</v>
      </c>
      <c r="V619">
        <v>3.1068510000000001E-2</v>
      </c>
      <c r="W619">
        <v>5.6353090000000002E-2</v>
      </c>
      <c r="X619">
        <v>0.99792740000000002</v>
      </c>
      <c r="Y619">
        <v>0.13178049999999999</v>
      </c>
      <c r="Z619">
        <v>-1.9068080000000001E-2</v>
      </c>
      <c r="AA619">
        <v>0.99109550000000002</v>
      </c>
      <c r="AB619">
        <v>22</v>
      </c>
      <c r="AC619">
        <v>0.48649999999997801</v>
      </c>
      <c r="AD619">
        <v>-0.1801634</v>
      </c>
      <c r="AE619">
        <v>-9.1099999999983E-2</v>
      </c>
      <c r="AF619">
        <v>8.4223496503654696E-2</v>
      </c>
      <c r="AG619">
        <v>-0.1801634</v>
      </c>
      <c r="AH619">
        <v>0.42885702700391798</v>
      </c>
      <c r="AI619">
        <v>112.40277290724801</v>
      </c>
      <c r="AJ619">
        <v>78.889053271538202</v>
      </c>
      <c r="AK619">
        <v>0.47272698005667202</v>
      </c>
      <c r="AL619">
        <v>86.769494432770202</v>
      </c>
      <c r="AM619">
        <v>88.216784402682194</v>
      </c>
      <c r="AN619">
        <v>1.00000000936846</v>
      </c>
    </row>
    <row r="620" spans="1:40" x14ac:dyDescent="0.25">
      <c r="A620" t="str">
        <f>"20190312153901981"</f>
        <v>20190312153901981</v>
      </c>
      <c r="B620" t="str">
        <f>"1552376341976367"</f>
        <v>1552376341976367</v>
      </c>
      <c r="C620" t="s">
        <v>40</v>
      </c>
      <c r="D620">
        <v>4.1114129999999998</v>
      </c>
      <c r="E620">
        <v>0.54422910000000002</v>
      </c>
      <c r="F620" t="s">
        <v>41</v>
      </c>
      <c r="G620">
        <v>-387.68200000000002</v>
      </c>
      <c r="H620">
        <v>0.93320170000000002</v>
      </c>
      <c r="I620">
        <v>368.03309999999999</v>
      </c>
      <c r="J620">
        <v>-388.14120000000003</v>
      </c>
      <c r="K620">
        <v>1.1106259999999999</v>
      </c>
      <c r="L620">
        <v>368.12369999999999</v>
      </c>
      <c r="M620">
        <v>0.99985639999999998</v>
      </c>
      <c r="N620">
        <v>0</v>
      </c>
      <c r="O620">
        <v>8.9045329999999992E-3</v>
      </c>
      <c r="P620">
        <v>0.99887499999999996</v>
      </c>
      <c r="Q620">
        <v>4.2154009999999999E-2</v>
      </c>
      <c r="R620">
        <v>-2.1726949999999998E-2</v>
      </c>
      <c r="S620">
        <v>3.0278019999999999</v>
      </c>
      <c r="T620">
        <v>-0.78972149999999997</v>
      </c>
      <c r="U620">
        <v>-0.39260859999999997</v>
      </c>
      <c r="V620">
        <v>3.0615949999999999E-2</v>
      </c>
      <c r="W620">
        <v>5.6558749999999998E-2</v>
      </c>
      <c r="X620">
        <v>0.99792979999999998</v>
      </c>
      <c r="Y620">
        <v>0.13275439999999999</v>
      </c>
      <c r="Z620">
        <v>-1.9236079999999999E-2</v>
      </c>
      <c r="AA620">
        <v>0.99096229999999996</v>
      </c>
      <c r="AB620">
        <v>22</v>
      </c>
      <c r="AC620">
        <v>0.459200000000066</v>
      </c>
      <c r="AD620">
        <v>-0.17742430000000001</v>
      </c>
      <c r="AE620">
        <v>-9.0599999999994907E-2</v>
      </c>
      <c r="AF620">
        <v>8.2789478012155998E-2</v>
      </c>
      <c r="AG620">
        <v>-0.17742430000000001</v>
      </c>
      <c r="AH620">
        <v>0.40078476154986398</v>
      </c>
      <c r="AI620">
        <v>113.438621730701</v>
      </c>
      <c r="AJ620">
        <v>78.328660396418201</v>
      </c>
      <c r="AK620">
        <v>0.44605146002518198</v>
      </c>
      <c r="AL620">
        <v>86.757692314440007</v>
      </c>
      <c r="AM620">
        <v>88.242747461564306</v>
      </c>
      <c r="AN620">
        <v>1.000000057162</v>
      </c>
    </row>
    <row r="621" spans="1:40" x14ac:dyDescent="0.25">
      <c r="A621" t="str">
        <f>"20190312153902002"</f>
        <v>20190312153902002</v>
      </c>
      <c r="B621" t="str">
        <f>"1552376341996863"</f>
        <v>1552376341996863</v>
      </c>
      <c r="C621" t="s">
        <v>40</v>
      </c>
      <c r="D621">
        <v>4.105505</v>
      </c>
      <c r="E621">
        <v>0.54464239999999997</v>
      </c>
      <c r="F621" t="s">
        <v>41</v>
      </c>
      <c r="G621">
        <v>-387.31400000000002</v>
      </c>
      <c r="H621">
        <v>0.89581860000000002</v>
      </c>
      <c r="I621">
        <v>368.01609999999999</v>
      </c>
      <c r="J621">
        <v>-387.92759999999998</v>
      </c>
      <c r="K621">
        <v>1.1106309999999999</v>
      </c>
      <c r="L621">
        <v>368.12580000000003</v>
      </c>
      <c r="M621">
        <v>0.99985550000000001</v>
      </c>
      <c r="N621">
        <v>0</v>
      </c>
      <c r="O621">
        <v>8.9971249999999999E-3</v>
      </c>
      <c r="P621">
        <v>0.99889459999999997</v>
      </c>
      <c r="Q621">
        <v>4.1898650000000003E-2</v>
      </c>
      <c r="R621">
        <v>-2.1312230000000001E-2</v>
      </c>
      <c r="S621">
        <v>3.0280149999999999</v>
      </c>
      <c r="T621">
        <v>-0.78638319999999995</v>
      </c>
      <c r="U621">
        <v>-0.39312740000000002</v>
      </c>
      <c r="V621">
        <v>3.029395E-2</v>
      </c>
      <c r="W621">
        <v>5.6306439999999999E-2</v>
      </c>
      <c r="X621">
        <v>0.9979538</v>
      </c>
      <c r="Y621">
        <v>0.1330315</v>
      </c>
      <c r="Z621">
        <v>-1.9214680000000001E-2</v>
      </c>
      <c r="AA621">
        <v>0.99092559999999996</v>
      </c>
      <c r="AB621">
        <v>21</v>
      </c>
      <c r="AC621">
        <v>0.61359999999996195</v>
      </c>
      <c r="AD621">
        <v>-0.21481239999999899</v>
      </c>
      <c r="AE621">
        <v>-0.10970000000003199</v>
      </c>
      <c r="AF621">
        <v>0.102985787532899</v>
      </c>
      <c r="AG621">
        <v>-0.21481239999999899</v>
      </c>
      <c r="AH621">
        <v>0.54755801156856898</v>
      </c>
      <c r="AI621">
        <v>111.084131996758</v>
      </c>
      <c r="AJ621">
        <v>79.348136349131806</v>
      </c>
      <c r="AK621">
        <v>0.59713500622594295</v>
      </c>
      <c r="AL621">
        <v>86.772171380915196</v>
      </c>
      <c r="AM621">
        <v>88.261259563489901</v>
      </c>
      <c r="AN621">
        <v>0.99999996276325698</v>
      </c>
    </row>
    <row r="622" spans="1:40" x14ac:dyDescent="0.25">
      <c r="A622" t="str">
        <f>"20190312153902026"</f>
        <v>20190312153902026</v>
      </c>
      <c r="B622" t="str">
        <f>"1552376342016384"</f>
        <v>1552376342016384</v>
      </c>
      <c r="C622" t="s">
        <v>40</v>
      </c>
      <c r="D622">
        <v>4.073359</v>
      </c>
      <c r="E622">
        <v>0.54492459999999998</v>
      </c>
      <c r="F622" t="s">
        <v>41</v>
      </c>
      <c r="G622">
        <v>-387.12040000000002</v>
      </c>
      <c r="H622">
        <v>0.90121189999999995</v>
      </c>
      <c r="I622">
        <v>368.02030000000002</v>
      </c>
      <c r="J622">
        <v>-387.70699999999999</v>
      </c>
      <c r="K622">
        <v>1.1106240000000001</v>
      </c>
      <c r="L622">
        <v>368.12790000000001</v>
      </c>
      <c r="M622">
        <v>0.99985449999999998</v>
      </c>
      <c r="N622">
        <v>0</v>
      </c>
      <c r="O622">
        <v>9.0925880000000004E-3</v>
      </c>
      <c r="P622">
        <v>0.99889030000000001</v>
      </c>
      <c r="Q622">
        <v>4.1832559999999998E-2</v>
      </c>
      <c r="R622">
        <v>-2.1638259999999999E-2</v>
      </c>
      <c r="S622">
        <v>3.027863</v>
      </c>
      <c r="T622">
        <v>-0.78560090000000005</v>
      </c>
      <c r="U622">
        <v>-0.39437870000000003</v>
      </c>
      <c r="V622">
        <v>3.0715300000000001E-2</v>
      </c>
      <c r="W622">
        <v>5.6241689999999997E-2</v>
      </c>
      <c r="X622">
        <v>0.99794459999999996</v>
      </c>
      <c r="Y622">
        <v>0.133524799999999</v>
      </c>
      <c r="Z622">
        <v>-1.928359E-2</v>
      </c>
      <c r="AA622">
        <v>0.99085780000000001</v>
      </c>
      <c r="AB622">
        <v>21</v>
      </c>
      <c r="AC622">
        <v>0.58659999999997503</v>
      </c>
      <c r="AD622">
        <v>-0.20941209999999999</v>
      </c>
      <c r="AE622">
        <v>-0.10759999999999</v>
      </c>
      <c r="AF622">
        <v>0.100534378219648</v>
      </c>
      <c r="AG622">
        <v>-0.20941209999999999</v>
      </c>
      <c r="AH622">
        <v>0.52132075666085798</v>
      </c>
      <c r="AI622">
        <v>111.525663720715</v>
      </c>
      <c r="AJ622">
        <v>79.084759013515907</v>
      </c>
      <c r="AK622">
        <v>0.57073279225559803</v>
      </c>
      <c r="AL622">
        <v>86.775887262132798</v>
      </c>
      <c r="AM622">
        <v>88.237074827338105</v>
      </c>
      <c r="AN622">
        <v>0.999999991008653</v>
      </c>
    </row>
    <row r="623" spans="1:40" x14ac:dyDescent="0.25">
      <c r="A623" t="str">
        <f>"20190312153902047"</f>
        <v>20190312153902047</v>
      </c>
      <c r="B623" t="str">
        <f>"1552376342036037"</f>
        <v>1552376342036037</v>
      </c>
      <c r="C623" t="s">
        <v>40</v>
      </c>
      <c r="D623">
        <v>4.0752709999999999</v>
      </c>
      <c r="E623">
        <v>0.54514280000000004</v>
      </c>
      <c r="F623" t="s">
        <v>41</v>
      </c>
      <c r="G623">
        <v>-386.92649999999998</v>
      </c>
      <c r="H623">
        <v>0.90817329999999996</v>
      </c>
      <c r="I623">
        <v>368.02519999999998</v>
      </c>
      <c r="J623">
        <v>-387.49900000000002</v>
      </c>
      <c r="K623">
        <v>1.1106290000000001</v>
      </c>
      <c r="L623">
        <v>368.12990000000002</v>
      </c>
      <c r="M623">
        <v>0.99985380000000001</v>
      </c>
      <c r="N623">
        <v>0</v>
      </c>
      <c r="O623">
        <v>9.1818579999999993E-3</v>
      </c>
      <c r="P623">
        <v>0.99891039999999998</v>
      </c>
      <c r="Q623">
        <v>4.1456159999999999E-2</v>
      </c>
      <c r="R623">
        <v>-2.1442880000000001E-2</v>
      </c>
      <c r="S623">
        <v>3.0276179999999999</v>
      </c>
      <c r="T623">
        <v>-0.78536099999999998</v>
      </c>
      <c r="U623">
        <v>-0.39767459999999999</v>
      </c>
      <c r="V623">
        <v>3.0609359999999999E-2</v>
      </c>
      <c r="W623">
        <v>5.5866529999999998E-2</v>
      </c>
      <c r="X623">
        <v>0.99796890000000005</v>
      </c>
      <c r="Y623">
        <v>0.1346473</v>
      </c>
      <c r="Z623">
        <v>-1.9443419999999999E-2</v>
      </c>
      <c r="AA623">
        <v>0.99070279999999999</v>
      </c>
      <c r="AB623">
        <v>21</v>
      </c>
      <c r="AC623">
        <v>0.57250000000004697</v>
      </c>
      <c r="AD623">
        <v>-0.20245569999999999</v>
      </c>
      <c r="AE623">
        <v>-0.104700000000036</v>
      </c>
      <c r="AF623">
        <v>9.8083643331887696E-2</v>
      </c>
      <c r="AG623">
        <v>-0.20245569999999999</v>
      </c>
      <c r="AH623">
        <v>0.50982097834655105</v>
      </c>
      <c r="AI623">
        <v>111.303797995784</v>
      </c>
      <c r="AJ623">
        <v>79.110013606030904</v>
      </c>
      <c r="AK623">
        <v>0.55724872499986999</v>
      </c>
      <c r="AL623">
        <v>86.797416108891397</v>
      </c>
      <c r="AM623">
        <v>88.243194258789103</v>
      </c>
      <c r="AN623">
        <v>0.99999996373052902</v>
      </c>
    </row>
    <row r="624" spans="1:40" x14ac:dyDescent="0.25">
      <c r="A624" t="str">
        <f>"20190312153902069"</f>
        <v>20190312153902069</v>
      </c>
      <c r="B624" t="str">
        <f>"1552376342066293"</f>
        <v>1552376342066293</v>
      </c>
      <c r="C624" t="s">
        <v>40</v>
      </c>
      <c r="D624">
        <v>4.0576850000000002</v>
      </c>
      <c r="E624">
        <v>0.54549579999999998</v>
      </c>
      <c r="F624" t="s">
        <v>41</v>
      </c>
      <c r="G624">
        <v>-386.73419999999999</v>
      </c>
      <c r="H624">
        <v>0.91208210000000001</v>
      </c>
      <c r="I624">
        <v>368.02870000000001</v>
      </c>
      <c r="J624">
        <v>-387.2921</v>
      </c>
      <c r="K624">
        <v>1.1106199999999999</v>
      </c>
      <c r="L624">
        <v>368.13189999999997</v>
      </c>
      <c r="M624">
        <v>0.99985299999999999</v>
      </c>
      <c r="N624">
        <v>0</v>
      </c>
      <c r="O624">
        <v>9.2690900000000007E-3</v>
      </c>
      <c r="P624">
        <v>0.99893790000000005</v>
      </c>
      <c r="Q624">
        <v>4.085242E-2</v>
      </c>
      <c r="R624">
        <v>-2.131458E-2</v>
      </c>
      <c r="S624">
        <v>3.0273129999999999</v>
      </c>
      <c r="T624">
        <v>-0.78600179999999997</v>
      </c>
      <c r="U624">
        <v>-0.399231</v>
      </c>
      <c r="V624">
        <v>3.0568689999999999E-2</v>
      </c>
      <c r="W624">
        <v>5.5263310000000003E-2</v>
      </c>
      <c r="X624">
        <v>0.9980038</v>
      </c>
      <c r="Y624">
        <v>0.1352177</v>
      </c>
      <c r="Z624">
        <v>-1.9554780000000001E-2</v>
      </c>
      <c r="AA624">
        <v>0.99062289999999997</v>
      </c>
      <c r="AB624">
        <v>21</v>
      </c>
      <c r="AC624">
        <v>0.55790000000001705</v>
      </c>
      <c r="AD624">
        <v>-0.19853789999999999</v>
      </c>
      <c r="AE624">
        <v>-0.10319999999995801</v>
      </c>
      <c r="AF624">
        <v>9.65452658298281E-2</v>
      </c>
      <c r="AG624">
        <v>-0.19853789999999999</v>
      </c>
      <c r="AH624">
        <v>0.49616363141359798</v>
      </c>
      <c r="AI624">
        <v>111.443869912889</v>
      </c>
      <c r="AJ624">
        <v>78.988781213538402</v>
      </c>
      <c r="AK624">
        <v>0.543062275644416</v>
      </c>
      <c r="AL624">
        <v>86.832031764003901</v>
      </c>
      <c r="AM624">
        <v>88.245588344279795</v>
      </c>
      <c r="AN624">
        <v>1.00000003152745</v>
      </c>
    </row>
    <row r="625" spans="1:40" x14ac:dyDescent="0.25">
      <c r="A625" t="str">
        <f>"20190312153902090"</f>
        <v>20190312153902090</v>
      </c>
      <c r="B625" t="str">
        <f>"1552376342086789"</f>
        <v>1552376342086789</v>
      </c>
      <c r="C625" t="s">
        <v>40</v>
      </c>
      <c r="D625">
        <v>4.0500040000000004</v>
      </c>
      <c r="E625">
        <v>0.54568589999999995</v>
      </c>
      <c r="F625" t="s">
        <v>41</v>
      </c>
      <c r="G625">
        <v>-386.54239999999999</v>
      </c>
      <c r="H625">
        <v>0.91561380000000003</v>
      </c>
      <c r="I625">
        <v>368.03199999999998</v>
      </c>
      <c r="J625">
        <v>-387.08440000000002</v>
      </c>
      <c r="K625">
        <v>1.110619</v>
      </c>
      <c r="L625">
        <v>368.13389999999998</v>
      </c>
      <c r="M625">
        <v>0.99985219999999997</v>
      </c>
      <c r="N625">
        <v>0</v>
      </c>
      <c r="O625">
        <v>9.3523149999999999E-3</v>
      </c>
      <c r="P625">
        <v>0.99895020000000001</v>
      </c>
      <c r="Q625">
        <v>4.0707100000000003E-2</v>
      </c>
      <c r="R625">
        <v>-2.1014310000000001E-2</v>
      </c>
      <c r="S625">
        <v>3.0267940000000002</v>
      </c>
      <c r="T625">
        <v>-0.78733299999999995</v>
      </c>
      <c r="U625">
        <v>-0.4020996</v>
      </c>
      <c r="V625">
        <v>3.0351880000000001E-2</v>
      </c>
      <c r="W625">
        <v>5.511713E-2</v>
      </c>
      <c r="X625">
        <v>0.99801839999999997</v>
      </c>
      <c r="Y625">
        <v>0.1361935</v>
      </c>
      <c r="Z625">
        <v>-1.9734450000000001E-2</v>
      </c>
      <c r="AA625">
        <v>0.99048570000000002</v>
      </c>
      <c r="AB625">
        <v>21</v>
      </c>
      <c r="AC625">
        <v>0.54200000000003001</v>
      </c>
      <c r="AD625">
        <v>-0.19500519999999999</v>
      </c>
      <c r="AE625">
        <v>-0.1019</v>
      </c>
      <c r="AF625">
        <v>9.5077638870745607E-2</v>
      </c>
      <c r="AG625">
        <v>-0.19500519999999999</v>
      </c>
      <c r="AH625">
        <v>0.48089744908673099</v>
      </c>
      <c r="AI625">
        <v>111.692781331296</v>
      </c>
      <c r="AJ625">
        <v>78.816352118667794</v>
      </c>
      <c r="AK625">
        <v>0.52756908739841901</v>
      </c>
      <c r="AL625">
        <v>86.840419726794394</v>
      </c>
      <c r="AM625">
        <v>88.258049372550005</v>
      </c>
      <c r="AN625">
        <v>0.99999993068876303</v>
      </c>
    </row>
    <row r="626" spans="1:40" x14ac:dyDescent="0.25">
      <c r="A626" t="str">
        <f>"20190312153902114"</f>
        <v>20190312153902114</v>
      </c>
      <c r="B626" t="str">
        <f>"1552376342106309"</f>
        <v>1552376342106309</v>
      </c>
      <c r="C626" t="s">
        <v>40</v>
      </c>
      <c r="D626">
        <v>4.0764620000000003</v>
      </c>
      <c r="E626">
        <v>0.54574940000000005</v>
      </c>
      <c r="F626" t="s">
        <v>41</v>
      </c>
      <c r="G626">
        <v>-386.35050000000001</v>
      </c>
      <c r="H626">
        <v>0.91988639999999999</v>
      </c>
      <c r="I626">
        <v>368.03579999999999</v>
      </c>
      <c r="J626">
        <v>-386.86419999999998</v>
      </c>
      <c r="K626">
        <v>1.110627</v>
      </c>
      <c r="L626">
        <v>368.1361</v>
      </c>
      <c r="M626">
        <v>0.9998515</v>
      </c>
      <c r="N626">
        <v>0</v>
      </c>
      <c r="O626">
        <v>9.4340680000000003E-3</v>
      </c>
      <c r="P626">
        <v>0.99895690000000004</v>
      </c>
      <c r="Q626">
        <v>4.098421E-2</v>
      </c>
      <c r="R626">
        <v>-2.0142480000000001E-2</v>
      </c>
      <c r="S626">
        <v>3.0267029999999999</v>
      </c>
      <c r="T626">
        <v>-0.78665509999999905</v>
      </c>
      <c r="U626">
        <v>-0.40371699999999999</v>
      </c>
      <c r="V626">
        <v>2.9562660000000001E-2</v>
      </c>
      <c r="W626">
        <v>5.5393289999999998E-2</v>
      </c>
      <c r="X626">
        <v>0.99802679999999999</v>
      </c>
      <c r="Y626">
        <v>0.13678460000000001</v>
      </c>
      <c r="Z626">
        <v>-1.9813979999999998E-2</v>
      </c>
      <c r="AA626">
        <v>0.99040260000000002</v>
      </c>
      <c r="AB626">
        <v>21</v>
      </c>
      <c r="AC626">
        <v>0.51369999999997096</v>
      </c>
      <c r="AD626">
        <v>-0.19074060000000001</v>
      </c>
      <c r="AE626">
        <v>-0.100300000000004</v>
      </c>
      <c r="AF626">
        <v>9.2815801996581501E-2</v>
      </c>
      <c r="AG626">
        <v>-0.19074060000000001</v>
      </c>
      <c r="AH626">
        <v>0.45262003159655601</v>
      </c>
      <c r="AI626">
        <v>112.43200771916101</v>
      </c>
      <c r="AJ626">
        <v>78.411387839266197</v>
      </c>
      <c r="AK626">
        <v>0.49986162344302498</v>
      </c>
      <c r="AL626">
        <v>86.824572712456998</v>
      </c>
      <c r="AM626">
        <v>88.303331614425801</v>
      </c>
      <c r="AN626">
        <v>0.99999993048076696</v>
      </c>
    </row>
    <row r="627" spans="1:40" x14ac:dyDescent="0.25">
      <c r="A627" t="str">
        <f>"20190312153902135"</f>
        <v>20190312153902135</v>
      </c>
      <c r="B627" t="str">
        <f>"1552376342126805"</f>
        <v>1552376342126805</v>
      </c>
      <c r="C627" t="s">
        <v>40</v>
      </c>
      <c r="D627">
        <v>4.0389140000000001</v>
      </c>
      <c r="E627">
        <v>0.54571879999999995</v>
      </c>
      <c r="F627" t="s">
        <v>41</v>
      </c>
      <c r="G627">
        <v>-386.1576</v>
      </c>
      <c r="H627">
        <v>0.92714359999999996</v>
      </c>
      <c r="I627">
        <v>368.04180000000002</v>
      </c>
      <c r="J627">
        <v>-386.65690000000001</v>
      </c>
      <c r="K627">
        <v>1.110627</v>
      </c>
      <c r="L627">
        <v>368.13810000000001</v>
      </c>
      <c r="M627">
        <v>0.99985069999999998</v>
      </c>
      <c r="N627">
        <v>0</v>
      </c>
      <c r="O627">
        <v>9.5010600000000004E-3</v>
      </c>
      <c r="P627">
        <v>0.99895040000000002</v>
      </c>
      <c r="Q627">
        <v>4.1586150000000002E-2</v>
      </c>
      <c r="R627">
        <v>-1.9208699999999999E-2</v>
      </c>
      <c r="S627">
        <v>3.0272830000000002</v>
      </c>
      <c r="T627">
        <v>-0.78620109999999999</v>
      </c>
      <c r="U627">
        <v>-0.40191650000000001</v>
      </c>
      <c r="V627">
        <v>2.8696679999999999E-2</v>
      </c>
      <c r="W627">
        <v>5.5993179999999997E-2</v>
      </c>
      <c r="X627">
        <v>0.99801870000000004</v>
      </c>
      <c r="Y627">
        <v>0.13626869999999999</v>
      </c>
      <c r="Z627">
        <v>-1.9751419999999999E-2</v>
      </c>
      <c r="AA627">
        <v>0.99047499999999999</v>
      </c>
      <c r="AB627">
        <v>21</v>
      </c>
      <c r="AC627">
        <v>0.49930000000000502</v>
      </c>
      <c r="AD627">
        <v>-0.18348339999999999</v>
      </c>
      <c r="AE627">
        <v>-9.6299999999985106E-2</v>
      </c>
      <c r="AF627">
        <v>8.9400190339047905E-2</v>
      </c>
      <c r="AG627">
        <v>-0.18348339999999999</v>
      </c>
      <c r="AH627">
        <v>0.44095094036759702</v>
      </c>
      <c r="AI627">
        <v>112.186187870748</v>
      </c>
      <c r="AJ627">
        <v>78.538970791973597</v>
      </c>
      <c r="AK627">
        <v>0.48589740060972397</v>
      </c>
      <c r="AL627">
        <v>86.790148436592204</v>
      </c>
      <c r="AM627">
        <v>88.352991032451001</v>
      </c>
      <c r="AN627">
        <v>1.00000003059961</v>
      </c>
    </row>
    <row r="628" spans="1:40" x14ac:dyDescent="0.25">
      <c r="A628" t="str">
        <f>"20190312153902158"</f>
        <v>20190312153902158</v>
      </c>
      <c r="B628" t="str">
        <f>"1552376342146325"</f>
        <v>1552376342146325</v>
      </c>
      <c r="C628" t="s">
        <v>40</v>
      </c>
      <c r="D628">
        <v>4.1220239999999997</v>
      </c>
      <c r="E628">
        <v>0.51481809999999995</v>
      </c>
      <c r="F628" t="s">
        <v>41</v>
      </c>
      <c r="G628">
        <v>-385.96620000000001</v>
      </c>
      <c r="H628">
        <v>0.93200000000000005</v>
      </c>
      <c r="I628">
        <v>368.04700000000003</v>
      </c>
      <c r="J628">
        <v>-386.45350000000002</v>
      </c>
      <c r="K628">
        <v>1.1106199999999999</v>
      </c>
      <c r="L628">
        <v>368.14010000000002</v>
      </c>
      <c r="M628">
        <v>0.99985029999999997</v>
      </c>
      <c r="N628">
        <v>0</v>
      </c>
      <c r="O628">
        <v>9.5529280000000005E-3</v>
      </c>
      <c r="P628">
        <v>0.99896070000000003</v>
      </c>
      <c r="Q628">
        <v>4.1822720000000001E-2</v>
      </c>
      <c r="R628">
        <v>-1.812712E-2</v>
      </c>
      <c r="S628">
        <v>3.028076</v>
      </c>
      <c r="T628">
        <v>-0.78316669999999999</v>
      </c>
      <c r="U628">
        <v>-0.39913939999999998</v>
      </c>
      <c r="V628">
        <v>2.7668390000000001E-2</v>
      </c>
      <c r="W628">
        <v>5.6226940000000003E-2</v>
      </c>
      <c r="X628">
        <v>0.99803450000000005</v>
      </c>
      <c r="Y628">
        <v>0.13545570000000001</v>
      </c>
      <c r="Z628">
        <v>-1.958391E-2</v>
      </c>
      <c r="AA628">
        <v>0.99058990000000002</v>
      </c>
      <c r="AB628">
        <v>21</v>
      </c>
      <c r="AC628">
        <v>0.48730000000000401</v>
      </c>
      <c r="AD628">
        <v>-0.17862</v>
      </c>
      <c r="AE628">
        <v>-9.3100000000049393E-2</v>
      </c>
      <c r="AF628">
        <v>8.6534159753925796E-2</v>
      </c>
      <c r="AG628">
        <v>-0.17862</v>
      </c>
      <c r="AH628">
        <v>0.43057400459816603</v>
      </c>
      <c r="AI628">
        <v>112.13203186097201</v>
      </c>
      <c r="AJ628">
        <v>78.636420478988299</v>
      </c>
      <c r="AK628">
        <v>0.47411732581716498</v>
      </c>
      <c r="AL628">
        <v>86.776733536460796</v>
      </c>
      <c r="AM628">
        <v>88.4120027583905</v>
      </c>
      <c r="AN628">
        <v>0.99999993588860003</v>
      </c>
    </row>
    <row r="629" spans="1:40" x14ac:dyDescent="0.25">
      <c r="A629" t="str">
        <f>"20190312153902180"</f>
        <v>20190312153902180</v>
      </c>
      <c r="B629" t="str">
        <f>"1552376342176581"</f>
        <v>1552376342176581</v>
      </c>
      <c r="C629" t="s">
        <v>40</v>
      </c>
      <c r="D629">
        <v>4.1738239999999998</v>
      </c>
      <c r="E629">
        <v>0.50301609999999997</v>
      </c>
      <c r="F629" t="s">
        <v>41</v>
      </c>
      <c r="G629">
        <v>-385.56380000000001</v>
      </c>
      <c r="H629">
        <v>0.9844811</v>
      </c>
      <c r="I629">
        <v>368.0933</v>
      </c>
      <c r="J629">
        <v>-386.23790000000002</v>
      </c>
      <c r="K629">
        <v>1.110606</v>
      </c>
      <c r="L629">
        <v>368.1422</v>
      </c>
      <c r="M629">
        <v>0.99985000000000002</v>
      </c>
      <c r="N629">
        <v>0</v>
      </c>
      <c r="O629">
        <v>9.5885970000000008E-3</v>
      </c>
      <c r="P629">
        <v>0.99897740000000002</v>
      </c>
      <c r="Q629">
        <v>4.1653450000000002E-2</v>
      </c>
      <c r="R629">
        <v>-1.759192E-2</v>
      </c>
      <c r="S629">
        <v>3.0181879999999999</v>
      </c>
      <c r="T629">
        <v>-0.4279329</v>
      </c>
      <c r="U629">
        <v>-0.15884400000000001</v>
      </c>
      <c r="V629">
        <v>2.717083E-2</v>
      </c>
      <c r="W629">
        <v>5.6054590000000001E-2</v>
      </c>
      <c r="X629">
        <v>0.99805790000000005</v>
      </c>
      <c r="Y629">
        <v>6.1421759999999999E-2</v>
      </c>
      <c r="Z629">
        <v>-5.6817530000000003E-3</v>
      </c>
      <c r="AA629">
        <v>0.99809579999999998</v>
      </c>
      <c r="AB629">
        <v>21</v>
      </c>
      <c r="AC629">
        <v>0.67410000000000903</v>
      </c>
      <c r="AD629">
        <v>-0.12612489999999901</v>
      </c>
      <c r="AE629">
        <v>-4.8900000000003198E-2</v>
      </c>
      <c r="AF629">
        <v>5.34990671356892E-2</v>
      </c>
      <c r="AG629">
        <v>-0.12612489999999901</v>
      </c>
      <c r="AH629">
        <v>0.65093226854400199</v>
      </c>
      <c r="AI629">
        <v>100.929810286988</v>
      </c>
      <c r="AJ629">
        <v>85.301513159645495</v>
      </c>
      <c r="AK629">
        <v>0.66519354989073598</v>
      </c>
      <c r="AL629">
        <v>86.786624177673701</v>
      </c>
      <c r="AM629">
        <v>88.4405819890451</v>
      </c>
      <c r="AN629">
        <v>0.99999997140768304</v>
      </c>
    </row>
    <row r="630" spans="1:40" x14ac:dyDescent="0.25">
      <c r="A630" t="str">
        <f>"20190312153902202"</f>
        <v>20190312153902202</v>
      </c>
      <c r="B630" t="str">
        <f>"1552376342196101"</f>
        <v>1552376342196101</v>
      </c>
      <c r="C630" t="s">
        <v>40</v>
      </c>
      <c r="D630">
        <v>4.1839750000000002</v>
      </c>
      <c r="E630">
        <v>0.49974950000000001</v>
      </c>
      <c r="F630" t="s">
        <v>41</v>
      </c>
      <c r="G630">
        <v>-385.35700000000003</v>
      </c>
      <c r="H630">
        <v>1.0223089999999999</v>
      </c>
      <c r="I630">
        <v>368.12240000000003</v>
      </c>
      <c r="J630">
        <v>-386.0258</v>
      </c>
      <c r="K630">
        <v>1.11059</v>
      </c>
      <c r="L630">
        <v>368.14429999999999</v>
      </c>
      <c r="M630">
        <v>0.99985000000000002</v>
      </c>
      <c r="N630">
        <v>0</v>
      </c>
      <c r="O630">
        <v>9.6071809999999994E-3</v>
      </c>
      <c r="P630">
        <v>0.99899819999999995</v>
      </c>
      <c r="Q630">
        <v>4.1217259999999999E-2</v>
      </c>
      <c r="R630">
        <v>-1.7434470000000001E-2</v>
      </c>
      <c r="S630">
        <v>3.0145569999999999</v>
      </c>
      <c r="T630">
        <v>-0.3024868</v>
      </c>
      <c r="U630">
        <v>-6.6162109999999996E-2</v>
      </c>
      <c r="V630">
        <v>2.7033990000000001E-2</v>
      </c>
      <c r="W630">
        <v>5.561468E-2</v>
      </c>
      <c r="X630">
        <v>0.99808629999999998</v>
      </c>
      <c r="Y630">
        <v>3.1341569999999999E-2</v>
      </c>
      <c r="Z630">
        <v>-2.5299010000000002E-3</v>
      </c>
      <c r="AA630">
        <v>0.99950550000000005</v>
      </c>
      <c r="AB630">
        <v>21</v>
      </c>
      <c r="AC630">
        <v>0.66880000000003204</v>
      </c>
      <c r="AD630">
        <v>-8.8280999999999998E-2</v>
      </c>
      <c r="AE630">
        <v>-2.1899999999959601E-2</v>
      </c>
      <c r="AF630">
        <v>2.7840374542713001E-2</v>
      </c>
      <c r="AG630">
        <v>-8.8280999999999998E-2</v>
      </c>
      <c r="AH630">
        <v>0.65712144451611199</v>
      </c>
      <c r="AI630">
        <v>97.644812389364304</v>
      </c>
      <c r="AJ630">
        <v>87.573990941103602</v>
      </c>
      <c r="AK630">
        <v>0.66360923310229802</v>
      </c>
      <c r="AL630">
        <v>86.811868782673201</v>
      </c>
      <c r="AM630">
        <v>88.448475938852894</v>
      </c>
      <c r="AN630">
        <v>1.00000004574725</v>
      </c>
    </row>
    <row r="631" spans="1:40" x14ac:dyDescent="0.25">
      <c r="A631" t="str">
        <f>"20190312153902226"</f>
        <v>20190312153902226</v>
      </c>
      <c r="B631" t="str">
        <f>"1552376342216600"</f>
        <v>1552376342216600</v>
      </c>
      <c r="C631" t="s">
        <v>40</v>
      </c>
      <c r="D631">
        <v>4.2080419999999998</v>
      </c>
      <c r="E631">
        <v>0.4978689</v>
      </c>
      <c r="F631" t="s">
        <v>41</v>
      </c>
      <c r="G631">
        <v>-385.16300000000001</v>
      </c>
      <c r="H631">
        <v>1.034727</v>
      </c>
      <c r="I631">
        <v>368.13260000000002</v>
      </c>
      <c r="J631">
        <v>-385.81220000000002</v>
      </c>
      <c r="K631">
        <v>1.110576</v>
      </c>
      <c r="L631">
        <v>368.1463</v>
      </c>
      <c r="M631">
        <v>0.99984989999999996</v>
      </c>
      <c r="N631">
        <v>0</v>
      </c>
      <c r="O631">
        <v>9.6132950000000009E-3</v>
      </c>
      <c r="P631">
        <v>0.9990232</v>
      </c>
      <c r="Q631">
        <v>4.0495740000000002E-2</v>
      </c>
      <c r="R631">
        <v>-1.768834E-2</v>
      </c>
      <c r="S631">
        <v>3.0132750000000001</v>
      </c>
      <c r="T631">
        <v>-0.26511040000000002</v>
      </c>
      <c r="U631">
        <v>-4.0374760000000003E-2</v>
      </c>
      <c r="V631">
        <v>2.7295360000000001E-2</v>
      </c>
      <c r="W631">
        <v>5.4890040000000001E-2</v>
      </c>
      <c r="X631">
        <v>0.99811919999999998</v>
      </c>
      <c r="Y631">
        <v>2.2885050000000001E-2</v>
      </c>
      <c r="Z631">
        <v>-1.848946E-3</v>
      </c>
      <c r="AA631">
        <v>0.99973639999999997</v>
      </c>
      <c r="AB631">
        <v>21</v>
      </c>
      <c r="AC631">
        <v>0.64920000000000699</v>
      </c>
      <c r="AD631">
        <v>-7.5849E-2</v>
      </c>
      <c r="AE631">
        <v>-1.3699999999971599E-2</v>
      </c>
      <c r="AF631">
        <v>1.96725493642123E-2</v>
      </c>
      <c r="AG631">
        <v>-7.5849E-2</v>
      </c>
      <c r="AH631">
        <v>0.640301847434533</v>
      </c>
      <c r="AI631">
        <v>96.752515754650304</v>
      </c>
      <c r="AJ631">
        <v>88.240205623668999</v>
      </c>
      <c r="AK631">
        <v>0.64507870514191001</v>
      </c>
      <c r="AL631">
        <v>86.853450799211203</v>
      </c>
      <c r="AM631">
        <v>88.433534543578105</v>
      </c>
      <c r="AN631">
        <v>0.99999994528868397</v>
      </c>
    </row>
    <row r="632" spans="1:40" x14ac:dyDescent="0.25">
      <c r="A632" t="str">
        <f>"20190312153902248"</f>
        <v>20190312153902248</v>
      </c>
      <c r="B632" t="str">
        <f>"1552376342236117"</f>
        <v>1552376342236117</v>
      </c>
      <c r="C632" t="s">
        <v>40</v>
      </c>
      <c r="D632">
        <v>4.1921609999999996</v>
      </c>
      <c r="E632">
        <v>0.49690649999999997</v>
      </c>
      <c r="F632" t="s">
        <v>41</v>
      </c>
      <c r="G632">
        <v>-384.97</v>
      </c>
      <c r="H632">
        <v>1.041563</v>
      </c>
      <c r="I632">
        <v>368.13839999999999</v>
      </c>
      <c r="J632">
        <v>-385.59890000000001</v>
      </c>
      <c r="K632">
        <v>1.110568</v>
      </c>
      <c r="L632">
        <v>368.14839999999998</v>
      </c>
      <c r="M632">
        <v>0.99984989999999996</v>
      </c>
      <c r="N632">
        <v>0</v>
      </c>
      <c r="O632">
        <v>9.6093529999999993E-3</v>
      </c>
      <c r="P632">
        <v>0.99902210000000002</v>
      </c>
      <c r="Q632">
        <v>4.0366350000000002E-2</v>
      </c>
      <c r="R632">
        <v>-1.8038180000000001E-2</v>
      </c>
      <c r="S632">
        <v>3.0124819999999999</v>
      </c>
      <c r="T632">
        <v>-0.24728610000000001</v>
      </c>
      <c r="U632">
        <v>-2.658081E-2</v>
      </c>
      <c r="V632">
        <v>2.7641880000000001E-2</v>
      </c>
      <c r="W632">
        <v>5.4756730000000003E-2</v>
      </c>
      <c r="X632">
        <v>0.99811700000000003</v>
      </c>
      <c r="Y632">
        <v>1.8338790000000001E-2</v>
      </c>
      <c r="Z632">
        <v>-1.5389570000000001E-3</v>
      </c>
      <c r="AA632">
        <v>0.99983069999999996</v>
      </c>
      <c r="AB632">
        <v>21</v>
      </c>
      <c r="AC632">
        <v>0.62889999999998702</v>
      </c>
      <c r="AD632">
        <v>-6.90049999999999E-2</v>
      </c>
      <c r="AE632">
        <v>-9.9999999999908998E-3</v>
      </c>
      <c r="AF632">
        <v>1.5852682899718199E-2</v>
      </c>
      <c r="AG632">
        <v>-6.90049999999999E-2</v>
      </c>
      <c r="AH632">
        <v>0.62129682237297301</v>
      </c>
      <c r="AI632">
        <v>96.335597619839703</v>
      </c>
      <c r="AJ632">
        <v>88.538388163089394</v>
      </c>
      <c r="AK632">
        <v>0.62531811030136697</v>
      </c>
      <c r="AL632">
        <v>86.861100448674406</v>
      </c>
      <c r="AM632">
        <v>88.413654557376603</v>
      </c>
      <c r="AN632">
        <v>0.99999995934961206</v>
      </c>
    </row>
    <row r="633" spans="1:40" x14ac:dyDescent="0.25">
      <c r="A633" t="str">
        <f>"20190312153902269"</f>
        <v>20190312153902269</v>
      </c>
      <c r="B633" t="str">
        <f>"1552376342266374"</f>
        <v>1552376342266374</v>
      </c>
      <c r="C633" t="s">
        <v>40</v>
      </c>
      <c r="D633">
        <v>4.2070540000000003</v>
      </c>
      <c r="E633">
        <v>0.49585240000000003</v>
      </c>
      <c r="F633" t="s">
        <v>42</v>
      </c>
      <c r="G633">
        <v>-371.31040000000002</v>
      </c>
      <c r="H633" s="1">
        <v>-3.9879679999999997E-6</v>
      </c>
      <c r="I633">
        <v>368.05</v>
      </c>
      <c r="J633">
        <v>-385.4049</v>
      </c>
      <c r="K633">
        <v>1.1105670000000001</v>
      </c>
      <c r="L633">
        <v>368.15030000000002</v>
      </c>
      <c r="M633">
        <v>0.99985020000000002</v>
      </c>
      <c r="N633">
        <v>0</v>
      </c>
      <c r="O633">
        <v>9.5999339999999992E-3</v>
      </c>
      <c r="P633">
        <v>0.99901130000000005</v>
      </c>
      <c r="Q633">
        <v>4.0555750000000002E-2</v>
      </c>
      <c r="R633">
        <v>-1.821569E-2</v>
      </c>
      <c r="S633">
        <v>3.0120239999999998</v>
      </c>
      <c r="T633">
        <v>-0.23410810000000001</v>
      </c>
      <c r="U633">
        <v>-2.0721440000000001E-2</v>
      </c>
      <c r="V633">
        <v>2.7810120000000001E-2</v>
      </c>
      <c r="W633">
        <v>5.4942890000000001E-2</v>
      </c>
      <c r="X633">
        <v>0.99810209999999999</v>
      </c>
      <c r="Y633">
        <v>1.6401369999999998E-2</v>
      </c>
      <c r="Z633">
        <v>-1.38152E-3</v>
      </c>
      <c r="AA633">
        <v>0.99986450000000004</v>
      </c>
      <c r="AB633">
        <v>21</v>
      </c>
      <c r="AC633">
        <v>14.094499999999901</v>
      </c>
      <c r="AD633">
        <v>-1.1105709879679999</v>
      </c>
      <c r="AE633">
        <v>-0.100300000000004</v>
      </c>
      <c r="AF633">
        <v>0.234161938734402</v>
      </c>
      <c r="AG633">
        <v>-1.1105709879679999</v>
      </c>
      <c r="AH633">
        <v>14.0059346451343</v>
      </c>
      <c r="AI633">
        <v>94.5330311915273</v>
      </c>
      <c r="AJ633">
        <v>89.042174527064702</v>
      </c>
      <c r="AK633">
        <v>14.0518470322104</v>
      </c>
      <c r="AL633">
        <v>86.850418196448103</v>
      </c>
      <c r="AM633">
        <v>88.403980563322193</v>
      </c>
      <c r="AN633">
        <v>0.99999996298018701</v>
      </c>
    </row>
    <row r="634" spans="1:40" x14ac:dyDescent="0.25">
      <c r="A634" t="str">
        <f>"20190312153902291"</f>
        <v>20190312153902291</v>
      </c>
      <c r="B634" t="str">
        <f>"1552376342286869"</f>
        <v>1552376342286869</v>
      </c>
      <c r="C634" t="s">
        <v>40</v>
      </c>
      <c r="D634">
        <v>4.204091</v>
      </c>
      <c r="E634">
        <v>0.49535859999999898</v>
      </c>
      <c r="F634" t="s">
        <v>42</v>
      </c>
      <c r="G634">
        <v>-370.37889999999999</v>
      </c>
      <c r="H634" s="1">
        <v>-4.3812240000000003E-6</v>
      </c>
      <c r="I634">
        <v>368.08580000000001</v>
      </c>
      <c r="J634">
        <v>-385.19709999999998</v>
      </c>
      <c r="K634">
        <v>1.1105670000000001</v>
      </c>
      <c r="L634">
        <v>368.15230000000003</v>
      </c>
      <c r="M634">
        <v>0.99985040000000003</v>
      </c>
      <c r="N634">
        <v>0</v>
      </c>
      <c r="O634">
        <v>9.5860890000000008E-3</v>
      </c>
      <c r="P634">
        <v>0.99904289999999996</v>
      </c>
      <c r="Q634">
        <v>3.9753509999999999E-2</v>
      </c>
      <c r="R634">
        <v>-1.8243789999999999E-2</v>
      </c>
      <c r="S634">
        <v>3.011749</v>
      </c>
      <c r="T634">
        <v>-0.22259799999999999</v>
      </c>
      <c r="U634">
        <v>-1.2908940000000001E-2</v>
      </c>
      <c r="V634">
        <v>2.782461E-2</v>
      </c>
      <c r="W634">
        <v>5.4136799999999999E-2</v>
      </c>
      <c r="X634">
        <v>0.99814579999999997</v>
      </c>
      <c r="Y634">
        <v>1.3809139999999999E-2</v>
      </c>
      <c r="Z634">
        <v>-1.2172260000000001E-3</v>
      </c>
      <c r="AA634">
        <v>0.99990389999999996</v>
      </c>
      <c r="AB634">
        <v>21</v>
      </c>
      <c r="AC634">
        <v>14.8181999999999</v>
      </c>
      <c r="AD634">
        <v>-1.1105713812239999</v>
      </c>
      <c r="AE634">
        <v>-6.6500000000019099E-2</v>
      </c>
      <c r="AF634">
        <v>0.2073953425815</v>
      </c>
      <c r="AG634">
        <v>-1.1105713812239999</v>
      </c>
      <c r="AH634">
        <v>14.7341220125472</v>
      </c>
      <c r="AI634">
        <v>94.310042601996301</v>
      </c>
      <c r="AJ634">
        <v>89.193566259308</v>
      </c>
      <c r="AK634">
        <v>14.777372334131201</v>
      </c>
      <c r="AL634">
        <v>86.896672776891705</v>
      </c>
      <c r="AM634">
        <v>88.403219290216896</v>
      </c>
      <c r="AN634">
        <v>1.00000002004676</v>
      </c>
    </row>
    <row r="635" spans="1:40" x14ac:dyDescent="0.25">
      <c r="A635" t="str">
        <f>"20190312153902315"</f>
        <v>20190312153902315</v>
      </c>
      <c r="B635" t="str">
        <f>"1552376342306389"</f>
        <v>1552376342306389</v>
      </c>
      <c r="C635" t="s">
        <v>40</v>
      </c>
      <c r="D635">
        <v>4.2312919999999998</v>
      </c>
      <c r="E635">
        <v>0.49490800000000001</v>
      </c>
      <c r="F635" t="s">
        <v>42</v>
      </c>
      <c r="G635">
        <v>-369.959</v>
      </c>
      <c r="H635" s="1">
        <v>-4.5578410000000003E-6</v>
      </c>
      <c r="I635">
        <v>368.10550000000001</v>
      </c>
      <c r="J635">
        <v>-384.97930000000002</v>
      </c>
      <c r="K635">
        <v>1.1105640000000001</v>
      </c>
      <c r="L635">
        <v>368.15429999999998</v>
      </c>
      <c r="M635">
        <v>0.99985049999999998</v>
      </c>
      <c r="N635">
        <v>0</v>
      </c>
      <c r="O635">
        <v>9.5684849999999998E-3</v>
      </c>
      <c r="P635">
        <v>0.99904599999999999</v>
      </c>
      <c r="Q635">
        <v>3.9576359999999998E-2</v>
      </c>
      <c r="R635">
        <v>-1.8465189999999999E-2</v>
      </c>
      <c r="S635">
        <v>3.011444</v>
      </c>
      <c r="T635">
        <v>-0.21947729999999999</v>
      </c>
      <c r="U635">
        <v>-9.2163090000000007E-3</v>
      </c>
      <c r="V635">
        <v>2.802841E-2</v>
      </c>
      <c r="W635">
        <v>5.3955389999999999E-2</v>
      </c>
      <c r="X635">
        <v>0.99814990000000003</v>
      </c>
      <c r="Y635">
        <v>1.2570990000000001E-2</v>
      </c>
      <c r="Z635">
        <v>-1.153989E-3</v>
      </c>
      <c r="AA635">
        <v>0.99992029999999998</v>
      </c>
      <c r="AB635">
        <v>21</v>
      </c>
      <c r="AC635">
        <v>15.020300000000001</v>
      </c>
      <c r="AD635">
        <v>-1.1105685578409901</v>
      </c>
      <c r="AE635">
        <v>-4.8799999999971498E-2</v>
      </c>
      <c r="AF635">
        <v>0.19148737559620399</v>
      </c>
      <c r="AG635">
        <v>-1.1105685578409901</v>
      </c>
      <c r="AH635">
        <v>14.9374858017087</v>
      </c>
      <c r="AI635">
        <v>94.251641716720698</v>
      </c>
      <c r="AJ635">
        <v>89.265551266980907</v>
      </c>
      <c r="AK635">
        <v>14.979936982942499</v>
      </c>
      <c r="AL635">
        <v>86.907081953768099</v>
      </c>
      <c r="AM635">
        <v>88.391536472745699</v>
      </c>
      <c r="AN635">
        <v>0.99999999937359496</v>
      </c>
    </row>
    <row r="636" spans="1:40" x14ac:dyDescent="0.25">
      <c r="A636" t="str">
        <f>"20190312153902335"</f>
        <v>20190312153902335</v>
      </c>
      <c r="B636" t="str">
        <f>"1552376342326886"</f>
        <v>1552376342326886</v>
      </c>
      <c r="C636" t="s">
        <v>40</v>
      </c>
      <c r="D636">
        <v>4.2631730000000001</v>
      </c>
      <c r="E636">
        <v>0.4945543</v>
      </c>
      <c r="F636" t="s">
        <v>42</v>
      </c>
      <c r="G636">
        <v>-369.5274</v>
      </c>
      <c r="H636" s="1">
        <v>-5.4414680000000005E-7</v>
      </c>
      <c r="I636">
        <v>368.12329999999997</v>
      </c>
      <c r="J636">
        <v>-384.78230000000002</v>
      </c>
      <c r="K636">
        <v>1.1105640000000001</v>
      </c>
      <c r="L636">
        <v>368.15620000000001</v>
      </c>
      <c r="M636">
        <v>0.99985089999999999</v>
      </c>
      <c r="N636">
        <v>0</v>
      </c>
      <c r="O636">
        <v>9.5495279999999998E-3</v>
      </c>
      <c r="P636">
        <v>0.99902650000000004</v>
      </c>
      <c r="Q636">
        <v>3.9819460000000001E-2</v>
      </c>
      <c r="R636">
        <v>-1.8993300000000001E-2</v>
      </c>
      <c r="S636">
        <v>3.0112920000000001</v>
      </c>
      <c r="T636">
        <v>-0.21642739999999999</v>
      </c>
      <c r="U636">
        <v>-6.0424800000000002E-3</v>
      </c>
      <c r="V636">
        <v>2.85375E-2</v>
      </c>
      <c r="W636">
        <v>5.419442E-2</v>
      </c>
      <c r="X636">
        <v>0.99812250000000002</v>
      </c>
      <c r="Y636">
        <v>1.1502709999999999E-2</v>
      </c>
      <c r="Z636">
        <v>-1.0983519999999999E-3</v>
      </c>
      <c r="AA636">
        <v>0.99993319999999997</v>
      </c>
      <c r="AB636">
        <v>21</v>
      </c>
      <c r="AC636">
        <v>15.254899999999999</v>
      </c>
      <c r="AD636">
        <v>-1.1105645441467999</v>
      </c>
      <c r="AE636">
        <v>-3.2900000000040501E-2</v>
      </c>
      <c r="AF636">
        <v>0.17764915201609599</v>
      </c>
      <c r="AG636">
        <v>-1.1105645441467999</v>
      </c>
      <c r="AH636">
        <v>15.1734723197811</v>
      </c>
      <c r="AI636">
        <v>94.185796384341202</v>
      </c>
      <c r="AJ636">
        <v>89.329218691961202</v>
      </c>
      <c r="AK636">
        <v>15.215096945701299</v>
      </c>
      <c r="AL636">
        <v>86.893366398949297</v>
      </c>
      <c r="AM636">
        <v>88.362292212001705</v>
      </c>
      <c r="AN636">
        <v>0.99999997453581702</v>
      </c>
    </row>
    <row r="637" spans="1:40" x14ac:dyDescent="0.25">
      <c r="A637" t="str">
        <f>"20190312153902358"</f>
        <v>20190312153902358</v>
      </c>
      <c r="B637" t="str">
        <f>"1552376342346405"</f>
        <v>1552376342346405</v>
      </c>
      <c r="C637" t="s">
        <v>40</v>
      </c>
      <c r="D637">
        <v>4.2513459999999998</v>
      </c>
      <c r="E637">
        <v>0.49413200000000002</v>
      </c>
      <c r="F637" t="s">
        <v>42</v>
      </c>
      <c r="G637">
        <v>-369.02940000000001</v>
      </c>
      <c r="H637" s="1">
        <v>-7.114031E-7</v>
      </c>
      <c r="I637">
        <v>368.13150000000002</v>
      </c>
      <c r="J637">
        <v>-384.58019999999999</v>
      </c>
      <c r="K637">
        <v>1.11056</v>
      </c>
      <c r="L637">
        <v>368.15809999999999</v>
      </c>
      <c r="M637">
        <v>0.99985100000000005</v>
      </c>
      <c r="N637">
        <v>0</v>
      </c>
      <c r="O637">
        <v>9.5263599999999993E-3</v>
      </c>
      <c r="P637">
        <v>0.99900140000000004</v>
      </c>
      <c r="Q637">
        <v>4.0172199999999998E-2</v>
      </c>
      <c r="R637">
        <v>-1.956043E-2</v>
      </c>
      <c r="S637">
        <v>3.0113219999999998</v>
      </c>
      <c r="T637">
        <v>-0.21229509999999999</v>
      </c>
      <c r="U637">
        <v>-4.699707E-3</v>
      </c>
      <c r="V637">
        <v>2.9081679999999999E-2</v>
      </c>
      <c r="W637">
        <v>5.4541989999999999E-2</v>
      </c>
      <c r="X637">
        <v>0.99808790000000003</v>
      </c>
      <c r="Y637">
        <v>1.1036900000000001E-2</v>
      </c>
      <c r="Z637">
        <v>-1.0593919999999999E-3</v>
      </c>
      <c r="AA637">
        <v>0.99993849999999995</v>
      </c>
      <c r="AB637">
        <v>21</v>
      </c>
      <c r="AC637">
        <v>15.550799999999899</v>
      </c>
      <c r="AD637">
        <v>-1.1105607114031</v>
      </c>
      <c r="AE637">
        <v>-2.6599999999973499E-2</v>
      </c>
      <c r="AF637">
        <v>0.17386991145762701</v>
      </c>
      <c r="AG637">
        <v>-1.1105607114031</v>
      </c>
      <c r="AH637">
        <v>15.4709376015785</v>
      </c>
      <c r="AI637">
        <v>94.105600377223695</v>
      </c>
      <c r="AJ637">
        <v>89.356109307230099</v>
      </c>
      <c r="AK637">
        <v>15.511720926826801</v>
      </c>
      <c r="AL637">
        <v>86.873422731430793</v>
      </c>
      <c r="AM637">
        <v>88.331022527019897</v>
      </c>
      <c r="AN637">
        <v>1.0000000144555901</v>
      </c>
    </row>
    <row r="638" spans="1:40" x14ac:dyDescent="0.25">
      <c r="A638" t="str">
        <f>"20190312153902382"</f>
        <v>20190312153902382</v>
      </c>
      <c r="B638" t="str">
        <f>"1552376342376661"</f>
        <v>1552376342376661</v>
      </c>
      <c r="C638" t="s">
        <v>40</v>
      </c>
      <c r="D638">
        <v>4.2369329999999996</v>
      </c>
      <c r="E638">
        <v>0.4935175</v>
      </c>
      <c r="F638" t="s">
        <v>42</v>
      </c>
      <c r="G638">
        <v>-368.58460000000002</v>
      </c>
      <c r="H638" s="1">
        <v>-8.6048849999999996E-7</v>
      </c>
      <c r="I638">
        <v>368.14019999999999</v>
      </c>
      <c r="J638">
        <v>-384.3614</v>
      </c>
      <c r="K638">
        <v>1.110557</v>
      </c>
      <c r="L638">
        <v>368.1601</v>
      </c>
      <c r="M638">
        <v>0.9998515</v>
      </c>
      <c r="N638">
        <v>0</v>
      </c>
      <c r="O638">
        <v>9.496918E-3</v>
      </c>
      <c r="P638">
        <v>0.99898120000000001</v>
      </c>
      <c r="Q638">
        <v>4.0187970000000003E-2</v>
      </c>
      <c r="R638">
        <v>-2.0535999999999999E-2</v>
      </c>
      <c r="S638">
        <v>3.0113530000000002</v>
      </c>
      <c r="T638">
        <v>-0.20907410000000001</v>
      </c>
      <c r="U638">
        <v>-3.3569339999999998E-3</v>
      </c>
      <c r="V638">
        <v>3.0028450000000002E-2</v>
      </c>
      <c r="W638">
        <v>5.4552469999999999E-2</v>
      </c>
      <c r="X638">
        <v>0.99805929999999998</v>
      </c>
      <c r="Y638">
        <v>1.056431E-2</v>
      </c>
      <c r="Z638">
        <v>-1.024919E-3</v>
      </c>
      <c r="AA638">
        <v>0.99994369999999999</v>
      </c>
      <c r="AB638">
        <v>21</v>
      </c>
      <c r="AC638">
        <v>15.7767999999999</v>
      </c>
      <c r="AD638">
        <v>-1.1105578604885</v>
      </c>
      <c r="AE638">
        <v>-1.9900000000006898E-2</v>
      </c>
      <c r="AF638">
        <v>0.16890862957858499</v>
      </c>
      <c r="AG638">
        <v>-1.1105578604885</v>
      </c>
      <c r="AH638">
        <v>15.698115167510499</v>
      </c>
      <c r="AI638">
        <v>94.046395261401003</v>
      </c>
      <c r="AJ638">
        <v>89.383532478544097</v>
      </c>
      <c r="AK638">
        <v>15.738255579925699</v>
      </c>
      <c r="AL638">
        <v>86.872821403284803</v>
      </c>
      <c r="AM638">
        <v>88.276670946720202</v>
      </c>
      <c r="AN638">
        <v>1.0000000230544901</v>
      </c>
    </row>
    <row r="639" spans="1:40" x14ac:dyDescent="0.25">
      <c r="A639" t="str">
        <f>"20190312153902399"</f>
        <v>20190312153902399</v>
      </c>
      <c r="B639" t="str">
        <f>"1552376342386421"</f>
        <v>1552376342386421</v>
      </c>
      <c r="C639" t="s">
        <v>40</v>
      </c>
      <c r="D639">
        <v>4.2499890000000002</v>
      </c>
      <c r="E639">
        <v>0.49335570000000001</v>
      </c>
      <c r="F639" t="s">
        <v>42</v>
      </c>
      <c r="G639">
        <v>-368.28660000000002</v>
      </c>
      <c r="H639" s="1">
        <v>-9.7652240000000004E-7</v>
      </c>
      <c r="I639">
        <v>368.15530000000001</v>
      </c>
      <c r="J639">
        <v>-384.21170000000001</v>
      </c>
      <c r="K639">
        <v>1.1105560000000001</v>
      </c>
      <c r="L639">
        <v>368.16149999999999</v>
      </c>
      <c r="M639">
        <v>0.99985179999999996</v>
      </c>
      <c r="N639">
        <v>0</v>
      </c>
      <c r="O639">
        <v>9.4744219999999997E-3</v>
      </c>
      <c r="P639">
        <v>0.99896669999999999</v>
      </c>
      <c r="Q639">
        <v>4.0272240000000001E-2</v>
      </c>
      <c r="R639">
        <v>-2.1071670000000001E-2</v>
      </c>
      <c r="S639">
        <v>3.0114139999999998</v>
      </c>
      <c r="T639">
        <v>-0.2080477</v>
      </c>
      <c r="U639">
        <v>-8.8500979999999905E-4</v>
      </c>
      <c r="V639">
        <v>3.0541889999999999E-2</v>
      </c>
      <c r="W639">
        <v>5.4632930000000003E-2</v>
      </c>
      <c r="X639">
        <v>0.99803929999999996</v>
      </c>
      <c r="Y639">
        <v>9.7235120000000001E-3</v>
      </c>
      <c r="Z639">
        <v>-9.8931670000000009E-4</v>
      </c>
      <c r="AA639">
        <v>0.99995230000000002</v>
      </c>
      <c r="AB639">
        <v>21</v>
      </c>
      <c r="AC639">
        <v>15.925099999999899</v>
      </c>
      <c r="AD639">
        <v>-1.1105569765223999</v>
      </c>
      <c r="AE639">
        <v>-6.1999999999784398E-3</v>
      </c>
      <c r="AF639">
        <v>0.156336143447006</v>
      </c>
      <c r="AG639">
        <v>-1.1105569765223999</v>
      </c>
      <c r="AH639">
        <v>15.847258803480599</v>
      </c>
      <c r="AI639">
        <v>94.008471739334595</v>
      </c>
      <c r="AJ639">
        <v>89.434784857797695</v>
      </c>
      <c r="AK639">
        <v>15.88689363508</v>
      </c>
      <c r="AL639">
        <v>86.868204440751896</v>
      </c>
      <c r="AM639">
        <v>88.247187812042</v>
      </c>
      <c r="AN639">
        <v>1.00000000421482</v>
      </c>
    </row>
    <row r="640" spans="1:40" x14ac:dyDescent="0.25">
      <c r="A640" t="str">
        <f>"20190312153902417"</f>
        <v>20190312153902417</v>
      </c>
      <c r="B640" t="str">
        <f>"1552376342406917"</f>
        <v>1552376342406917</v>
      </c>
      <c r="C640" t="s">
        <v>40</v>
      </c>
      <c r="D640">
        <v>4.2589100000000002</v>
      </c>
      <c r="E640">
        <v>0.4930003</v>
      </c>
      <c r="F640" t="s">
        <v>42</v>
      </c>
      <c r="G640">
        <v>-368.07889999999998</v>
      </c>
      <c r="H640" s="1">
        <v>-1.0655410000000001E-6</v>
      </c>
      <c r="I640">
        <v>368.15570000000002</v>
      </c>
      <c r="J640">
        <v>-384.0317</v>
      </c>
      <c r="K640">
        <v>1.110552</v>
      </c>
      <c r="L640">
        <v>368.16309999999999</v>
      </c>
      <c r="M640">
        <v>0.99985210000000002</v>
      </c>
      <c r="N640">
        <v>0</v>
      </c>
      <c r="O640">
        <v>9.4452049999999999E-3</v>
      </c>
      <c r="P640">
        <v>0.99894249999999996</v>
      </c>
      <c r="Q640">
        <v>4.0375620000000001E-2</v>
      </c>
      <c r="R640">
        <v>-2.1999609999999999E-2</v>
      </c>
      <c r="S640">
        <v>3.011444</v>
      </c>
      <c r="T640">
        <v>-0.2073025</v>
      </c>
      <c r="U640">
        <v>-1.0681149999999999E-3</v>
      </c>
      <c r="V640">
        <v>3.144052E-2</v>
      </c>
      <c r="W640">
        <v>5.4731490000000001E-2</v>
      </c>
      <c r="X640">
        <v>0.99800599999999995</v>
      </c>
      <c r="Y640">
        <v>9.7554089999999996E-3</v>
      </c>
      <c r="Z640">
        <v>-9.8485850000000008E-4</v>
      </c>
      <c r="AA640">
        <v>0.99995199999999995</v>
      </c>
      <c r="AB640">
        <v>21</v>
      </c>
      <c r="AC640">
        <v>15.9528</v>
      </c>
      <c r="AD640">
        <v>-1.1105530655410001</v>
      </c>
      <c r="AE640">
        <v>-7.3999999999614296E-3</v>
      </c>
      <c r="AF640">
        <v>0.157330241294485</v>
      </c>
      <c r="AG640">
        <v>-1.1105530655410001</v>
      </c>
      <c r="AH640">
        <v>15.875083918181</v>
      </c>
      <c r="AI640">
        <v>94.001452884810206</v>
      </c>
      <c r="AJ640">
        <v>89.432187964811007</v>
      </c>
      <c r="AK640">
        <v>15.914658976098</v>
      </c>
      <c r="AL640">
        <v>86.862548922532795</v>
      </c>
      <c r="AM640">
        <v>88.195588489462395</v>
      </c>
      <c r="AN640">
        <v>1.0000000091657399</v>
      </c>
    </row>
    <row r="641" spans="1:40" x14ac:dyDescent="0.25">
      <c r="A641" t="str">
        <f>"20190312153902432"</f>
        <v>20190312153902432</v>
      </c>
      <c r="B641" t="str">
        <f>"1552376342426438"</f>
        <v>1552376342426438</v>
      </c>
      <c r="C641" t="s">
        <v>40</v>
      </c>
      <c r="D641">
        <v>4.1921400000000002</v>
      </c>
      <c r="E641">
        <v>0.48125590000000001</v>
      </c>
      <c r="F641" t="s">
        <v>42</v>
      </c>
      <c r="G641">
        <v>-367.79289999999997</v>
      </c>
      <c r="H641" s="1">
        <v>-1.188034E-6</v>
      </c>
      <c r="I641">
        <v>368.15699999999998</v>
      </c>
      <c r="J641">
        <v>-383.89269999999999</v>
      </c>
      <c r="K641">
        <v>1.110552</v>
      </c>
      <c r="L641">
        <v>368.1644</v>
      </c>
      <c r="M641">
        <v>0.99985239999999997</v>
      </c>
      <c r="N641">
        <v>0</v>
      </c>
      <c r="O641">
        <v>9.4193609999999994E-3</v>
      </c>
      <c r="P641">
        <v>0.99893080000000001</v>
      </c>
      <c r="Q641">
        <v>4.041235E-2</v>
      </c>
      <c r="R641">
        <v>-2.245629E-2</v>
      </c>
      <c r="S641">
        <v>3.011536</v>
      </c>
      <c r="T641">
        <v>-0.20595359999999999</v>
      </c>
      <c r="U641">
        <v>-1.12915E-3</v>
      </c>
      <c r="V641">
        <v>3.1871379999999998E-2</v>
      </c>
      <c r="W641">
        <v>5.4764819999999999E-2</v>
      </c>
      <c r="X641">
        <v>0.9979905</v>
      </c>
      <c r="Y641">
        <v>9.7504810000000001E-3</v>
      </c>
      <c r="Z641">
        <v>-9.7650180000000001E-4</v>
      </c>
      <c r="AA641">
        <v>0.99995199999999995</v>
      </c>
      <c r="AB641">
        <v>21</v>
      </c>
      <c r="AC641">
        <v>16.099799999999998</v>
      </c>
      <c r="AD641">
        <v>-1.110553188034</v>
      </c>
      <c r="AE641">
        <v>-7.40000000001828E-3</v>
      </c>
      <c r="AF641">
        <v>0.15831188573521501</v>
      </c>
      <c r="AG641">
        <v>-1.110553188034</v>
      </c>
      <c r="AH641">
        <v>16.022777206725099</v>
      </c>
      <c r="AI641">
        <v>93.964688442300499</v>
      </c>
      <c r="AJ641">
        <v>89.433911635066096</v>
      </c>
      <c r="AK641">
        <v>16.0619980218206</v>
      </c>
      <c r="AL641">
        <v>86.8606363702811</v>
      </c>
      <c r="AM641">
        <v>88.170849179789798</v>
      </c>
      <c r="AN641">
        <v>1.00000000423149</v>
      </c>
    </row>
    <row r="642" spans="1:40" x14ac:dyDescent="0.25">
      <c r="A642" t="str">
        <f>"20190312153902447"</f>
        <v>20190312153902447</v>
      </c>
      <c r="B642" t="str">
        <f>"1552376342436198"</f>
        <v>1552376342436198</v>
      </c>
      <c r="C642" t="s">
        <v>40</v>
      </c>
      <c r="D642">
        <v>4.1952420000000004</v>
      </c>
      <c r="E642">
        <v>0.47874270000000002</v>
      </c>
      <c r="F642" t="s">
        <v>42</v>
      </c>
      <c r="G642">
        <v>-355.08909999999997</v>
      </c>
      <c r="H642" s="1">
        <v>-2.1962030000000001E-6</v>
      </c>
      <c r="I642">
        <v>369.01249999999999</v>
      </c>
      <c r="J642">
        <v>-383.75400000000002</v>
      </c>
      <c r="K642">
        <v>1.1105480000000001</v>
      </c>
      <c r="L642">
        <v>368.16559999999998</v>
      </c>
      <c r="M642">
        <v>0.99985270000000004</v>
      </c>
      <c r="N642">
        <v>0</v>
      </c>
      <c r="O642">
        <v>9.3923930000000006E-3</v>
      </c>
      <c r="P642">
        <v>0.99890350000000006</v>
      </c>
      <c r="Q642">
        <v>4.0670789999999998E-2</v>
      </c>
      <c r="R642">
        <v>-2.3197329999999999E-2</v>
      </c>
      <c r="S642">
        <v>3.0098880000000001</v>
      </c>
      <c r="T642">
        <v>-0.11604920000000001</v>
      </c>
      <c r="U642">
        <v>8.8623049999999995E-2</v>
      </c>
      <c r="V642">
        <v>3.2585129999999997E-2</v>
      </c>
      <c r="W642">
        <v>5.5020020000000003E-2</v>
      </c>
      <c r="X642">
        <v>0.99795339999999999</v>
      </c>
      <c r="Y642">
        <v>-2.0032729999999999E-2</v>
      </c>
      <c r="Z642" s="1">
        <v>2.402285E-5</v>
      </c>
      <c r="AA642">
        <v>0.99979929999999995</v>
      </c>
      <c r="AB642">
        <v>21</v>
      </c>
      <c r="AC642">
        <v>28.664899999999999</v>
      </c>
      <c r="AD642">
        <v>-1.11055019620299</v>
      </c>
      <c r="AE642">
        <v>0.84690000000000498</v>
      </c>
      <c r="AF642">
        <v>-0.57673792768096099</v>
      </c>
      <c r="AG642">
        <v>-1.11055019620299</v>
      </c>
      <c r="AH642">
        <v>28.6286569571492</v>
      </c>
      <c r="AI642">
        <v>92.221028502943099</v>
      </c>
      <c r="AJ642">
        <v>91.154094654053793</v>
      </c>
      <c r="AK642">
        <v>28.6559932221104</v>
      </c>
      <c r="AL642">
        <v>86.845992366315798</v>
      </c>
      <c r="AM642">
        <v>88.129845190575097</v>
      </c>
      <c r="AN642">
        <v>0.99999999093473801</v>
      </c>
    </row>
    <row r="643" spans="1:40" x14ac:dyDescent="0.25">
      <c r="A643" t="str">
        <f>"20190312153902459"</f>
        <v>20190312153902459</v>
      </c>
      <c r="B643" t="str">
        <f>"1552376342456695"</f>
        <v>1552376342456695</v>
      </c>
      <c r="C643" t="s">
        <v>40</v>
      </c>
      <c r="D643">
        <v>4.2241109999999997</v>
      </c>
      <c r="E643">
        <v>0.4764391</v>
      </c>
      <c r="F643" t="s">
        <v>42</v>
      </c>
      <c r="G643">
        <v>-346.64949999999999</v>
      </c>
      <c r="H643" s="1">
        <v>-1.590062E-6</v>
      </c>
      <c r="I643">
        <v>369.47089999999997</v>
      </c>
      <c r="J643">
        <v>-383.64690000000002</v>
      </c>
      <c r="K643">
        <v>1.1105499999999999</v>
      </c>
      <c r="L643">
        <v>368.16669999999999</v>
      </c>
      <c r="M643">
        <v>0.99985279999999999</v>
      </c>
      <c r="N643">
        <v>0</v>
      </c>
      <c r="O643">
        <v>9.3714460000000003E-3</v>
      </c>
      <c r="P643">
        <v>0.99890579999999995</v>
      </c>
      <c r="Q643">
        <v>4.055396E-2</v>
      </c>
      <c r="R643">
        <v>-2.3285879999999998E-2</v>
      </c>
      <c r="S643">
        <v>3.0093990000000002</v>
      </c>
      <c r="T643">
        <v>-9.0072509999999995E-2</v>
      </c>
      <c r="U643">
        <v>0.1058655</v>
      </c>
      <c r="V643">
        <v>3.2652920000000002E-2</v>
      </c>
      <c r="W643">
        <v>5.4900039999999997E-2</v>
      </c>
      <c r="X643">
        <v>0.99795780000000001</v>
      </c>
      <c r="Y643">
        <v>-2.5781020000000002E-2</v>
      </c>
      <c r="Z643">
        <v>1.052566E-4</v>
      </c>
      <c r="AA643">
        <v>0.99966759999999999</v>
      </c>
      <c r="AB643">
        <v>21</v>
      </c>
      <c r="AC643">
        <v>36.997399999999999</v>
      </c>
      <c r="AD643">
        <v>-1.110551590062</v>
      </c>
      <c r="AE643">
        <v>1.30419999999998</v>
      </c>
      <c r="AF643">
        <v>-0.95652698535925995</v>
      </c>
      <c r="AG643">
        <v>-1.110551590062</v>
      </c>
      <c r="AH643">
        <v>36.974724833129699</v>
      </c>
      <c r="AI643">
        <v>91.719810856645196</v>
      </c>
      <c r="AJ643">
        <v>91.481897118651901</v>
      </c>
      <c r="AK643">
        <v>37.0037639327889</v>
      </c>
      <c r="AL643">
        <v>86.852877145588494</v>
      </c>
      <c r="AM643">
        <v>88.125965554696904</v>
      </c>
      <c r="AN643">
        <v>0.99999999907868298</v>
      </c>
    </row>
    <row r="644" spans="1:40" x14ac:dyDescent="0.25">
      <c r="A644" t="str">
        <f>"20190312153902471"</f>
        <v>20190312153902471</v>
      </c>
      <c r="B644" t="str">
        <f>"1552376342466453"</f>
        <v>1552376342466453</v>
      </c>
      <c r="C644" t="s">
        <v>40</v>
      </c>
      <c r="D644">
        <v>4.2521360000000001</v>
      </c>
      <c r="E644">
        <v>0.4755084</v>
      </c>
      <c r="F644" t="s">
        <v>43</v>
      </c>
      <c r="G644">
        <v>-313.52640000000002</v>
      </c>
      <c r="H644">
        <v>-0.05</v>
      </c>
      <c r="I644">
        <v>371.03280000000001</v>
      </c>
      <c r="J644">
        <v>-383.53660000000002</v>
      </c>
      <c r="K644">
        <v>1.110555</v>
      </c>
      <c r="L644">
        <v>368.16770000000002</v>
      </c>
      <c r="M644">
        <v>0.99985310000000005</v>
      </c>
      <c r="N644">
        <v>0</v>
      </c>
      <c r="O644">
        <v>9.3493880000000001E-3</v>
      </c>
      <c r="P644">
        <v>0.99889499999999998</v>
      </c>
      <c r="Q644">
        <v>4.0748369999999999E-2</v>
      </c>
      <c r="R644">
        <v>-2.3422160000000001E-2</v>
      </c>
      <c r="S644">
        <v>3.0081479999999998</v>
      </c>
      <c r="T644">
        <v>-4.9787280000000003E-2</v>
      </c>
      <c r="U644">
        <v>0.1229553</v>
      </c>
      <c r="V644">
        <v>3.2766620000000003E-2</v>
      </c>
      <c r="W644">
        <v>5.5089529999999998E-2</v>
      </c>
      <c r="X644">
        <v>0.99794360000000004</v>
      </c>
      <c r="Y644">
        <v>-3.1492619999999999E-2</v>
      </c>
      <c r="Z644">
        <v>1.058159E-4</v>
      </c>
      <c r="AA644">
        <v>0.99950399999999995</v>
      </c>
      <c r="AB644">
        <v>21</v>
      </c>
      <c r="AC644">
        <v>70.010199999999998</v>
      </c>
      <c r="AD644">
        <v>-1.160555</v>
      </c>
      <c r="AE644">
        <v>2.86509999999998</v>
      </c>
      <c r="AF644">
        <v>-2.20974846480873</v>
      </c>
      <c r="AG644">
        <v>-1.160555</v>
      </c>
      <c r="AH644">
        <v>70.014721638013896</v>
      </c>
      <c r="AI644">
        <v>90.949167953840302</v>
      </c>
      <c r="AJ644">
        <v>91.8077233484956</v>
      </c>
      <c r="AK644">
        <v>70.059197270838894</v>
      </c>
      <c r="AL644">
        <v>86.8420036154195</v>
      </c>
      <c r="AM644">
        <v>88.119417959113605</v>
      </c>
      <c r="AN644">
        <v>0.99999996824140203</v>
      </c>
    </row>
    <row r="645" spans="1:40" x14ac:dyDescent="0.25">
      <c r="A645" t="str">
        <f>"20190312153902484"</f>
        <v>20190312153902484</v>
      </c>
      <c r="B645" t="str">
        <f>"1552376342476213"</f>
        <v>1552376342476213</v>
      </c>
      <c r="C645" t="s">
        <v>40</v>
      </c>
      <c r="D645">
        <v>4.2105129999999997</v>
      </c>
      <c r="E645">
        <v>0.47503699999999999</v>
      </c>
      <c r="F645" t="s">
        <v>43</v>
      </c>
      <c r="G645">
        <v>-293.32209999999998</v>
      </c>
      <c r="H645">
        <v>-0.05</v>
      </c>
      <c r="I645">
        <v>372.05770000000001</v>
      </c>
      <c r="J645">
        <v>-383.42669999999998</v>
      </c>
      <c r="K645">
        <v>1.1105529999999999</v>
      </c>
      <c r="L645">
        <v>368.1687</v>
      </c>
      <c r="M645">
        <v>0.99985360000000001</v>
      </c>
      <c r="N645">
        <v>0</v>
      </c>
      <c r="O645">
        <v>9.3274780000000002E-3</v>
      </c>
      <c r="P645">
        <v>0.99889910000000004</v>
      </c>
      <c r="Q645">
        <v>4.076602E-2</v>
      </c>
      <c r="R645">
        <v>-2.3220089999999999E-2</v>
      </c>
      <c r="S645">
        <v>3.0079039999999999</v>
      </c>
      <c r="T645">
        <v>-3.8694859999999998E-2</v>
      </c>
      <c r="U645">
        <v>0.1296997</v>
      </c>
      <c r="V645">
        <v>3.2542740000000001E-2</v>
      </c>
      <c r="W645">
        <v>5.509762E-2</v>
      </c>
      <c r="X645">
        <v>0.99795049999999996</v>
      </c>
      <c r="Y645">
        <v>-3.3755939999999998E-2</v>
      </c>
      <c r="Z645" s="1">
        <v>9.7078340000000005E-5</v>
      </c>
      <c r="AA645">
        <v>0.99943009999999999</v>
      </c>
      <c r="AB645">
        <v>21</v>
      </c>
      <c r="AC645">
        <v>90.104600000000005</v>
      </c>
      <c r="AD645">
        <v>-1.1605529999999999</v>
      </c>
      <c r="AE645">
        <v>3.8889999999999998</v>
      </c>
      <c r="AF645">
        <v>-3.0477909501593201</v>
      </c>
      <c r="AG645">
        <v>-1.1605529999999999</v>
      </c>
      <c r="AH645">
        <v>90.122034680128095</v>
      </c>
      <c r="AI645">
        <v>90.737368257555403</v>
      </c>
      <c r="AJ645">
        <v>91.936918446618506</v>
      </c>
      <c r="AK645">
        <v>90.181023767907504</v>
      </c>
      <c r="AL645">
        <v>86.841539453277306</v>
      </c>
      <c r="AM645">
        <v>88.132270927289596</v>
      </c>
      <c r="AN645">
        <v>0.99999998905331</v>
      </c>
    </row>
    <row r="646" spans="1:40" x14ac:dyDescent="0.25">
      <c r="A646" t="str">
        <f>"20190312153902495"</f>
        <v>20190312153902495</v>
      </c>
      <c r="B646" t="str">
        <f>"1552376342486950"</f>
        <v>1552376342486950</v>
      </c>
      <c r="C646" t="s">
        <v>40</v>
      </c>
      <c r="D646">
        <v>4.1434389999999999</v>
      </c>
      <c r="E646">
        <v>0.47509590000000002</v>
      </c>
      <c r="F646" t="s">
        <v>42</v>
      </c>
      <c r="G646">
        <v>-272.03699999999998</v>
      </c>
      <c r="H646" s="1">
        <v>-4.2043919999999997E-6</v>
      </c>
      <c r="I646">
        <v>373.12020000000001</v>
      </c>
      <c r="J646">
        <v>-383.3109</v>
      </c>
      <c r="K646">
        <v>1.110552</v>
      </c>
      <c r="L646">
        <v>368.16969999999998</v>
      </c>
      <c r="M646">
        <v>0.99985400000000002</v>
      </c>
      <c r="N646">
        <v>0</v>
      </c>
      <c r="O646">
        <v>9.3047670000000002E-3</v>
      </c>
      <c r="P646">
        <v>0.99889139999999998</v>
      </c>
      <c r="Q646">
        <v>4.0894560000000003E-2</v>
      </c>
      <c r="R646">
        <v>-2.332677E-2</v>
      </c>
      <c r="S646">
        <v>3.0075989999999999</v>
      </c>
      <c r="T646">
        <v>-2.9985789999999998E-2</v>
      </c>
      <c r="U646">
        <v>0.1336975</v>
      </c>
      <c r="V646">
        <v>3.2626519999999999E-2</v>
      </c>
      <c r="W646">
        <v>5.521189E-2</v>
      </c>
      <c r="X646">
        <v>0.99794139999999998</v>
      </c>
      <c r="Y646">
        <v>-3.5109639999999998E-2</v>
      </c>
      <c r="Z646" s="1">
        <v>8.2206719999999907E-5</v>
      </c>
      <c r="AA646">
        <v>0.99938340000000003</v>
      </c>
      <c r="AB646">
        <v>20</v>
      </c>
      <c r="AC646">
        <v>111.273899999999</v>
      </c>
      <c r="AD646">
        <v>-1.1105562043920001</v>
      </c>
      <c r="AE646">
        <v>4.9505000000000301</v>
      </c>
      <c r="AF646">
        <v>-3.91441244828163</v>
      </c>
      <c r="AG646">
        <v>-1.1105562043920001</v>
      </c>
      <c r="AH646">
        <v>111.30408502949</v>
      </c>
      <c r="AI646">
        <v>90.571306636367297</v>
      </c>
      <c r="AJ646">
        <v>92.014184077152805</v>
      </c>
      <c r="AK646">
        <v>111.378432850127</v>
      </c>
      <c r="AL646">
        <v>86.834982128552795</v>
      </c>
      <c r="AM646">
        <v>88.127448888231598</v>
      </c>
      <c r="AN646">
        <v>0.99999994021931904</v>
      </c>
    </row>
    <row r="647" spans="1:40" x14ac:dyDescent="0.25">
      <c r="A647" t="str">
        <f>"20190312153902507"</f>
        <v>20190312153902507</v>
      </c>
      <c r="B647" t="str">
        <f>"1552376342496710"</f>
        <v>1552376342496710</v>
      </c>
      <c r="C647" t="s">
        <v>40</v>
      </c>
      <c r="D647">
        <v>4.1307390000000002</v>
      </c>
      <c r="E647">
        <v>0.47516770000000003</v>
      </c>
      <c r="F647" t="s">
        <v>42</v>
      </c>
      <c r="G647">
        <v>-219.36</v>
      </c>
      <c r="H647" s="1">
        <v>-1.796297E-6</v>
      </c>
      <c r="I647">
        <v>375.40199999999999</v>
      </c>
      <c r="J647">
        <v>-383.20499999999998</v>
      </c>
      <c r="K647">
        <v>1.110547</v>
      </c>
      <c r="L647">
        <v>368.17070000000001</v>
      </c>
      <c r="M647">
        <v>0.99985440000000003</v>
      </c>
      <c r="N647">
        <v>0</v>
      </c>
      <c r="O647">
        <v>9.2845229999999994E-3</v>
      </c>
      <c r="P647">
        <v>0.99889360000000005</v>
      </c>
      <c r="Q647">
        <v>4.09746E-2</v>
      </c>
      <c r="R647">
        <v>-2.3086929999999999E-2</v>
      </c>
      <c r="S647">
        <v>3.0072939999999999</v>
      </c>
      <c r="T647">
        <v>-2.037048E-2</v>
      </c>
      <c r="U647">
        <v>0.1326599</v>
      </c>
      <c r="V647">
        <v>3.2366350000000002E-2</v>
      </c>
      <c r="W647">
        <v>5.5266170000000003E-2</v>
      </c>
      <c r="X647">
        <v>0.99794689999999997</v>
      </c>
      <c r="Y647">
        <v>-3.4790929999999998E-2</v>
      </c>
      <c r="Z647" s="1">
        <v>5.4911129999999999E-5</v>
      </c>
      <c r="AA647">
        <v>0.99939460000000002</v>
      </c>
      <c r="AB647">
        <v>20</v>
      </c>
      <c r="AC647">
        <v>163.844999999999</v>
      </c>
      <c r="AD647">
        <v>-1.110548796297</v>
      </c>
      <c r="AE647">
        <v>7.2312999999999699</v>
      </c>
      <c r="AF647">
        <v>-5.7093478611616897</v>
      </c>
      <c r="AG647">
        <v>-1.110548796297</v>
      </c>
      <c r="AH647">
        <v>163.897567413535</v>
      </c>
      <c r="AI647">
        <v>90.387987550785198</v>
      </c>
      <c r="AJ647">
        <v>91.995083396054099</v>
      </c>
      <c r="AK647">
        <v>164.00073955840301</v>
      </c>
      <c r="AL647">
        <v>86.831867460668406</v>
      </c>
      <c r="AM647">
        <v>88.142380689501096</v>
      </c>
      <c r="AN647">
        <v>0.99999997268920005</v>
      </c>
    </row>
    <row r="648" spans="1:40" x14ac:dyDescent="0.25">
      <c r="A648" t="str">
        <f>"20190312153902520"</f>
        <v>20190312153902520</v>
      </c>
      <c r="B648" t="str">
        <f>"1552376342506469"</f>
        <v>1552376342506469</v>
      </c>
      <c r="C648" t="s">
        <v>40</v>
      </c>
      <c r="D648">
        <v>4.1453160000000002</v>
      </c>
      <c r="E648">
        <v>0.47504439999999998</v>
      </c>
      <c r="F648" t="s">
        <v>47</v>
      </c>
      <c r="G648">
        <v>-158.19499999999999</v>
      </c>
      <c r="H648">
        <v>0.1184902</v>
      </c>
      <c r="I648">
        <v>378.10700000000003</v>
      </c>
      <c r="J648">
        <v>-383.096</v>
      </c>
      <c r="K648">
        <v>1.1105389999999999</v>
      </c>
      <c r="L648">
        <v>368.17169999999999</v>
      </c>
      <c r="M648">
        <v>0.9998551</v>
      </c>
      <c r="N648">
        <v>0</v>
      </c>
      <c r="O648">
        <v>9.2637859999999995E-3</v>
      </c>
      <c r="P648">
        <v>0.99889249999999996</v>
      </c>
      <c r="Q648">
        <v>4.0974770000000001E-2</v>
      </c>
      <c r="R648">
        <v>-2.3129879999999998E-2</v>
      </c>
      <c r="S648">
        <v>3.0068969999999999</v>
      </c>
      <c r="T648">
        <v>-1.325607E-2</v>
      </c>
      <c r="U648">
        <v>0.13278199999999901</v>
      </c>
      <c r="V648">
        <v>3.2388460000000001E-2</v>
      </c>
      <c r="W648">
        <v>5.5234739999999997E-2</v>
      </c>
      <c r="X648">
        <v>0.9979479</v>
      </c>
      <c r="Y648">
        <v>-3.4858300000000002E-2</v>
      </c>
      <c r="Z648" s="1">
        <v>3.5978120000000002E-5</v>
      </c>
      <c r="AA648">
        <v>0.99939230000000001</v>
      </c>
      <c r="AB648">
        <v>20</v>
      </c>
      <c r="AC648">
        <v>224.90099999999899</v>
      </c>
      <c r="AD648">
        <v>-0.99204879999999995</v>
      </c>
      <c r="AE648">
        <v>9.9352999999999803</v>
      </c>
      <c r="AF648">
        <v>-7.8510738903202304</v>
      </c>
      <c r="AG648">
        <v>-0.99204879999999995</v>
      </c>
      <c r="AH648">
        <v>224.979026492581</v>
      </c>
      <c r="AI648">
        <v>90.252491373097101</v>
      </c>
      <c r="AJ648">
        <v>91.998634883030107</v>
      </c>
      <c r="AK648">
        <v>225.11815982635</v>
      </c>
      <c r="AL648">
        <v>86.833670949978497</v>
      </c>
      <c r="AM648">
        <v>88.1411144697814</v>
      </c>
      <c r="AN648">
        <v>0.99999994997922304</v>
      </c>
    </row>
    <row r="649" spans="1:40" x14ac:dyDescent="0.25">
      <c r="A649" t="str">
        <f>"20190312153902533"</f>
        <v>20190312153902533</v>
      </c>
      <c r="B649" t="str">
        <f>"1552376342526965"</f>
        <v>1552376342526965</v>
      </c>
      <c r="C649" t="s">
        <v>40</v>
      </c>
      <c r="D649">
        <v>4.1443989999999999</v>
      </c>
      <c r="E649">
        <v>0.47480660000000002</v>
      </c>
      <c r="F649" t="s">
        <v>47</v>
      </c>
      <c r="G649">
        <v>-158.19499999999999</v>
      </c>
      <c r="H649">
        <v>0.53649139999999995</v>
      </c>
      <c r="I649">
        <v>378.1653</v>
      </c>
      <c r="J649">
        <v>-382.96719999999999</v>
      </c>
      <c r="K649">
        <v>1.1105240000000001</v>
      </c>
      <c r="L649">
        <v>368.17290000000003</v>
      </c>
      <c r="M649">
        <v>0.99985619999999997</v>
      </c>
      <c r="N649">
        <v>0</v>
      </c>
      <c r="O649">
        <v>9.240369E-3</v>
      </c>
      <c r="P649">
        <v>0.99889130000000004</v>
      </c>
      <c r="Q649">
        <v>4.1142560000000002E-2</v>
      </c>
      <c r="R649">
        <v>-2.2886650000000001E-2</v>
      </c>
      <c r="S649">
        <v>3.0067439999999999</v>
      </c>
      <c r="T649">
        <v>-7.6733829999999998E-3</v>
      </c>
      <c r="U649">
        <v>0.133606</v>
      </c>
      <c r="V649">
        <v>3.212197E-2</v>
      </c>
      <c r="W649">
        <v>5.5345199999999997E-2</v>
      </c>
      <c r="X649">
        <v>0.99795040000000002</v>
      </c>
      <c r="Y649">
        <v>-3.515745E-2</v>
      </c>
      <c r="Z649" s="1">
        <v>2.1268509999999999E-5</v>
      </c>
      <c r="AA649">
        <v>0.99938179999999999</v>
      </c>
      <c r="AB649">
        <v>20</v>
      </c>
      <c r="AC649">
        <v>224.7722</v>
      </c>
      <c r="AD649">
        <v>-0.5740326</v>
      </c>
      <c r="AE649">
        <v>9.9923999999999698</v>
      </c>
      <c r="AF649">
        <v>-7.9147337100794397</v>
      </c>
      <c r="AG649">
        <v>-0.5740326</v>
      </c>
      <c r="AH649">
        <v>224.85348100592299</v>
      </c>
      <c r="AI649">
        <v>90.146180603914402</v>
      </c>
      <c r="AJ649">
        <v>92.015951392681302</v>
      </c>
      <c r="AK649">
        <v>224.993467557635</v>
      </c>
      <c r="AL649">
        <v>86.827332382643604</v>
      </c>
      <c r="AM649">
        <v>88.156403267581297</v>
      </c>
      <c r="AN649">
        <v>0.999999956489939</v>
      </c>
    </row>
    <row r="650" spans="1:40" x14ac:dyDescent="0.25">
      <c r="A650" t="str">
        <f>"20190312153902548"</f>
        <v>20190312153902548</v>
      </c>
      <c r="B650" t="str">
        <f>"1552376342536727"</f>
        <v>1552376342536727</v>
      </c>
      <c r="C650" t="s">
        <v>40</v>
      </c>
      <c r="D650">
        <v>4.1301639999999997</v>
      </c>
      <c r="E650">
        <v>0.47472029999999898</v>
      </c>
      <c r="F650" t="s">
        <v>47</v>
      </c>
      <c r="G650">
        <v>-158.19499999999999</v>
      </c>
      <c r="H650">
        <v>1.170766</v>
      </c>
      <c r="I650">
        <v>378.33519999999999</v>
      </c>
      <c r="J650">
        <v>-382.83199999999999</v>
      </c>
      <c r="K650">
        <v>1.110511</v>
      </c>
      <c r="L650">
        <v>368.17410000000001</v>
      </c>
      <c r="M650">
        <v>0.99985740000000001</v>
      </c>
      <c r="N650">
        <v>0</v>
      </c>
      <c r="O650">
        <v>9.2170829999999992E-3</v>
      </c>
      <c r="P650">
        <v>0.99890380000000001</v>
      </c>
      <c r="Q650">
        <v>4.0967190000000001E-2</v>
      </c>
      <c r="R650">
        <v>-2.265694E-2</v>
      </c>
      <c r="S650">
        <v>3.0064090000000001</v>
      </c>
      <c r="T650">
        <v>8.0692769999999995E-4</v>
      </c>
      <c r="U650">
        <v>0.1359253</v>
      </c>
      <c r="V650">
        <v>3.186891E-2</v>
      </c>
      <c r="W650">
        <v>5.5093339999999998E-2</v>
      </c>
      <c r="X650">
        <v>0.99797250000000004</v>
      </c>
      <c r="Y650">
        <v>-3.5955189999999998E-2</v>
      </c>
      <c r="Z650" s="1">
        <v>-2.3500500000000001E-6</v>
      </c>
      <c r="AA650">
        <v>0.99935339999999995</v>
      </c>
      <c r="AB650">
        <v>20</v>
      </c>
      <c r="AC650">
        <v>224.637</v>
      </c>
      <c r="AD650">
        <v>6.0254999999999899E-2</v>
      </c>
      <c r="AE650">
        <v>10.1610999999999</v>
      </c>
      <c r="AF650">
        <v>-8.0899625195570906</v>
      </c>
      <c r="AG650">
        <v>6.0254999999999899E-2</v>
      </c>
      <c r="AH650">
        <v>224.721104855135</v>
      </c>
      <c r="AI650">
        <v>89.984647093305398</v>
      </c>
      <c r="AJ650">
        <v>92.0617583896707</v>
      </c>
      <c r="AK650">
        <v>224.86668515266001</v>
      </c>
      <c r="AL650">
        <v>86.841785109459394</v>
      </c>
      <c r="AM650">
        <v>88.170957874214494</v>
      </c>
      <c r="AN650">
        <v>1.00000000714659</v>
      </c>
    </row>
    <row r="651" spans="1:40" x14ac:dyDescent="0.25">
      <c r="A651" t="str">
        <f>"20190312153902562"</f>
        <v>20190312153902562</v>
      </c>
      <c r="B651" t="str">
        <f>"1552376342556246"</f>
        <v>1552376342556246</v>
      </c>
      <c r="C651" t="s">
        <v>40</v>
      </c>
      <c r="D651">
        <v>4.1012820000000003</v>
      </c>
      <c r="E651">
        <v>0.47459020000000002</v>
      </c>
      <c r="F651" t="s">
        <v>47</v>
      </c>
      <c r="G651">
        <v>-158.19499999999999</v>
      </c>
      <c r="H651">
        <v>1.335628</v>
      </c>
      <c r="I651">
        <v>378.40379999999999</v>
      </c>
      <c r="J651">
        <v>-382.71170000000001</v>
      </c>
      <c r="K651">
        <v>1.1104969999999901</v>
      </c>
      <c r="L651">
        <v>368.17520000000002</v>
      </c>
      <c r="M651">
        <v>0.99985869999999999</v>
      </c>
      <c r="N651">
        <v>0</v>
      </c>
      <c r="O651">
        <v>9.1968439999999992E-3</v>
      </c>
      <c r="P651">
        <v>0.99891079999999999</v>
      </c>
      <c r="Q651">
        <v>4.067631E-2</v>
      </c>
      <c r="R651">
        <v>-2.2866029999999999E-2</v>
      </c>
      <c r="S651">
        <v>3.006256</v>
      </c>
      <c r="T651">
        <v>3.0138489999999999E-3</v>
      </c>
      <c r="U651">
        <v>0.13690189999999999</v>
      </c>
      <c r="V651">
        <v>3.2057929999999998E-2</v>
      </c>
      <c r="W651">
        <v>5.4723389999999997E-2</v>
      </c>
      <c r="X651">
        <v>0.99798679999999995</v>
      </c>
      <c r="Y651">
        <v>-3.6301680000000003E-2</v>
      </c>
      <c r="Z651" s="1">
        <v>-8.9716250000000007E-6</v>
      </c>
      <c r="AA651">
        <v>0.99934089999999998</v>
      </c>
      <c r="AB651">
        <v>20</v>
      </c>
      <c r="AC651">
        <v>224.51669999999999</v>
      </c>
      <c r="AD651">
        <v>0.225131</v>
      </c>
      <c r="AE651">
        <v>10.228599999999901</v>
      </c>
      <c r="AF651">
        <v>-8.1631096235786398</v>
      </c>
      <c r="AG651">
        <v>0.225131</v>
      </c>
      <c r="AH651">
        <v>224.60105767859</v>
      </c>
      <c r="AI651">
        <v>89.942606945571796</v>
      </c>
      <c r="AJ651">
        <v>92.081494874321606</v>
      </c>
      <c r="AK651">
        <v>224.74946530088801</v>
      </c>
      <c r="AL651">
        <v>86.863013706955201</v>
      </c>
      <c r="AM651">
        <v>88.160143289549197</v>
      </c>
      <c r="AN651">
        <v>1.0000000066315999</v>
      </c>
    </row>
    <row r="652" spans="1:40" x14ac:dyDescent="0.25">
      <c r="A652" t="str">
        <f>"20190312153902583"</f>
        <v>20190312153902583</v>
      </c>
      <c r="B652" t="str">
        <f>"1552376342576742"</f>
        <v>1552376342576742</v>
      </c>
      <c r="C652" t="s">
        <v>40</v>
      </c>
      <c r="D652">
        <v>4.0979799999999997</v>
      </c>
      <c r="E652">
        <v>0.47450680000000001</v>
      </c>
      <c r="F652" t="s">
        <v>47</v>
      </c>
      <c r="G652">
        <v>-158.19499999999999</v>
      </c>
      <c r="H652">
        <v>1.606995</v>
      </c>
      <c r="I652">
        <v>378.44760000000002</v>
      </c>
      <c r="J652">
        <v>-382.51920000000001</v>
      </c>
      <c r="K652">
        <v>1.110466</v>
      </c>
      <c r="L652">
        <v>368.17689999999999</v>
      </c>
      <c r="M652">
        <v>0.99986109999999995</v>
      </c>
      <c r="N652">
        <v>0</v>
      </c>
      <c r="O652">
        <v>9.1641459999999998E-3</v>
      </c>
      <c r="P652">
        <v>0.99889930000000005</v>
      </c>
      <c r="Q652">
        <v>4.0934570000000003E-2</v>
      </c>
      <c r="R652">
        <v>-2.2906820000000001E-2</v>
      </c>
      <c r="S652">
        <v>3.0061650000000002</v>
      </c>
      <c r="T652">
        <v>6.6490169999999897E-3</v>
      </c>
      <c r="U652">
        <v>0.13754269999999999</v>
      </c>
      <c r="V652">
        <v>3.2066110000000002E-2</v>
      </c>
      <c r="W652">
        <v>5.4834809999999998E-2</v>
      </c>
      <c r="X652">
        <v>0.99798039999999999</v>
      </c>
      <c r="Y652">
        <v>-3.6548299999999999E-2</v>
      </c>
      <c r="Z652" s="1">
        <v>-2.01382E-5</v>
      </c>
      <c r="AA652">
        <v>0.99933190000000005</v>
      </c>
      <c r="AB652">
        <v>20</v>
      </c>
      <c r="AC652">
        <v>224.32419999999999</v>
      </c>
      <c r="AD652">
        <v>0.496529</v>
      </c>
      <c r="AE652">
        <v>10.2707</v>
      </c>
      <c r="AF652">
        <v>-8.2142895228431705</v>
      </c>
      <c r="AG652">
        <v>0.496529</v>
      </c>
      <c r="AH652">
        <v>224.407812594136</v>
      </c>
      <c r="AI652">
        <v>89.873311318698299</v>
      </c>
      <c r="AJ652">
        <v>92.096335610681095</v>
      </c>
      <c r="AK652">
        <v>224.55865034929701</v>
      </c>
      <c r="AL652">
        <v>86.856620144245298</v>
      </c>
      <c r="AM652">
        <v>88.159662355030505</v>
      </c>
      <c r="AN652">
        <v>0.99999998529121303</v>
      </c>
    </row>
    <row r="653" spans="1:40" x14ac:dyDescent="0.25">
      <c r="A653" t="str">
        <f>"20190312153902598"</f>
        <v>20190312153902598</v>
      </c>
      <c r="B653" t="str">
        <f>"1552376342586502"</f>
        <v>1552376342586502</v>
      </c>
      <c r="C653" t="s">
        <v>40</v>
      </c>
      <c r="D653">
        <v>4.0719379999999896</v>
      </c>
      <c r="E653">
        <v>0.47450379999999998</v>
      </c>
      <c r="F653" t="s">
        <v>47</v>
      </c>
      <c r="G653">
        <v>-158.19499999999999</v>
      </c>
      <c r="H653">
        <v>1.9917339999999999</v>
      </c>
      <c r="I653">
        <v>378.4504</v>
      </c>
      <c r="J653">
        <v>-382.38440000000003</v>
      </c>
      <c r="K653">
        <v>1.1104459999999901</v>
      </c>
      <c r="L653">
        <v>368.17809999999997</v>
      </c>
      <c r="M653">
        <v>0.99986299999999995</v>
      </c>
      <c r="N653">
        <v>0</v>
      </c>
      <c r="O653">
        <v>9.1393010000000007E-3</v>
      </c>
      <c r="P653">
        <v>0.9989036</v>
      </c>
      <c r="Q653">
        <v>4.0815990000000003E-2</v>
      </c>
      <c r="R653">
        <v>-2.2932000000000001E-2</v>
      </c>
      <c r="S653">
        <v>3.005951</v>
      </c>
      <c r="T653">
        <v>1.181018E-2</v>
      </c>
      <c r="U653">
        <v>0.1376648</v>
      </c>
      <c r="V653">
        <v>3.2066570000000003E-2</v>
      </c>
      <c r="W653">
        <v>5.4603890000000002E-2</v>
      </c>
      <c r="X653">
        <v>0.99799309999999997</v>
      </c>
      <c r="Y653">
        <v>-3.6616750000000003E-2</v>
      </c>
      <c r="Z653" s="1">
        <v>-3.6004509999999998E-5</v>
      </c>
      <c r="AA653">
        <v>0.99932940000000003</v>
      </c>
      <c r="AB653">
        <v>20</v>
      </c>
      <c r="AC653">
        <v>224.18940000000001</v>
      </c>
      <c r="AD653">
        <v>0.88128799999999996</v>
      </c>
      <c r="AE653">
        <v>10.2723</v>
      </c>
      <c r="AF653">
        <v>-8.22261455750305</v>
      </c>
      <c r="AG653">
        <v>0.88128799999999996</v>
      </c>
      <c r="AH653">
        <v>224.27046735658101</v>
      </c>
      <c r="AI653">
        <v>89.775004170922301</v>
      </c>
      <c r="AJ653">
        <v>92.099742275275801</v>
      </c>
      <c r="AK653">
        <v>224.422883385451</v>
      </c>
      <c r="AL653">
        <v>86.869870905543294</v>
      </c>
      <c r="AM653">
        <v>88.159659376392199</v>
      </c>
      <c r="AN653">
        <v>1.0000000386811501</v>
      </c>
    </row>
    <row r="654" spans="1:40" x14ac:dyDescent="0.25">
      <c r="A654" t="str">
        <f>"20190312153902616"</f>
        <v>20190312153902616</v>
      </c>
      <c r="B654" t="str">
        <f>"1552376342606998"</f>
        <v>1552376342606998</v>
      </c>
      <c r="C654" t="s">
        <v>40</v>
      </c>
      <c r="D654">
        <v>4.0632279999999996</v>
      </c>
      <c r="E654">
        <v>0.47439870000000001</v>
      </c>
      <c r="F654" t="s">
        <v>47</v>
      </c>
      <c r="G654">
        <v>-158.19499999999999</v>
      </c>
      <c r="H654">
        <v>2.0840429999999999</v>
      </c>
      <c r="I654">
        <v>378.46370000000002</v>
      </c>
      <c r="J654">
        <v>-382.20890000000003</v>
      </c>
      <c r="K654">
        <v>1.110425</v>
      </c>
      <c r="L654">
        <v>368.17970000000003</v>
      </c>
      <c r="M654">
        <v>0.99986540000000002</v>
      </c>
      <c r="N654">
        <v>0</v>
      </c>
      <c r="O654">
        <v>9.1061260000000008E-3</v>
      </c>
      <c r="P654">
        <v>0.99888060000000001</v>
      </c>
      <c r="Q654">
        <v>4.1098330000000002E-2</v>
      </c>
      <c r="R654">
        <v>-2.3428069999999999E-2</v>
      </c>
      <c r="S654">
        <v>3.0059200000000001</v>
      </c>
      <c r="T654">
        <v>1.305509E-2</v>
      </c>
      <c r="U654">
        <v>0.1379089</v>
      </c>
      <c r="V654">
        <v>3.2528990000000001E-2</v>
      </c>
      <c r="W654">
        <v>5.4732450000000002E-2</v>
      </c>
      <c r="X654">
        <v>0.9979711</v>
      </c>
      <c r="Y654">
        <v>-3.673133E-2</v>
      </c>
      <c r="Z654" s="1">
        <v>-4.0192779999999998E-5</v>
      </c>
      <c r="AA654">
        <v>0.99932520000000002</v>
      </c>
      <c r="AB654">
        <v>20</v>
      </c>
      <c r="AC654">
        <v>224.01390000000001</v>
      </c>
      <c r="AD654">
        <v>0.97361799999999998</v>
      </c>
      <c r="AE654">
        <v>10.283999999999899</v>
      </c>
      <c r="AF654">
        <v>-8.2433293400635499</v>
      </c>
      <c r="AG654">
        <v>0.97361799999999998</v>
      </c>
      <c r="AH654">
        <v>224.09404222376301</v>
      </c>
      <c r="AI654">
        <v>89.751237705415505</v>
      </c>
      <c r="AJ654">
        <v>92.106683044910795</v>
      </c>
      <c r="AK654">
        <v>224.24772054762201</v>
      </c>
      <c r="AL654">
        <v>86.862493952810993</v>
      </c>
      <c r="AM654">
        <v>88.133098033868706</v>
      </c>
      <c r="AN654">
        <v>1.0000000463543099</v>
      </c>
    </row>
    <row r="655" spans="1:40" x14ac:dyDescent="0.25">
      <c r="A655" t="str">
        <f>"20190312153902632"</f>
        <v>20190312153902632</v>
      </c>
      <c r="B655" t="str">
        <f>"1552376342626518"</f>
        <v>1552376342626518</v>
      </c>
      <c r="C655" t="s">
        <v>40</v>
      </c>
      <c r="D655">
        <v>4.0666549999999999</v>
      </c>
      <c r="E655">
        <v>0.47426499999999999</v>
      </c>
      <c r="F655" t="s">
        <v>47</v>
      </c>
      <c r="G655">
        <v>-158.19499999999999</v>
      </c>
      <c r="H655">
        <v>2.34131</v>
      </c>
      <c r="I655">
        <v>378.38470000000001</v>
      </c>
      <c r="J655">
        <v>-382.07749999999999</v>
      </c>
      <c r="K655">
        <v>1.1104069999999999</v>
      </c>
      <c r="L655">
        <v>368.18079999999998</v>
      </c>
      <c r="M655">
        <v>0.99986710000000001</v>
      </c>
      <c r="N655">
        <v>0</v>
      </c>
      <c r="O655">
        <v>9.0821019999999999E-3</v>
      </c>
      <c r="P655">
        <v>0.99886790000000003</v>
      </c>
      <c r="Q655">
        <v>4.142945E-2</v>
      </c>
      <c r="R655">
        <v>-2.3386190000000001E-2</v>
      </c>
      <c r="S655">
        <v>3.0058590000000001</v>
      </c>
      <c r="T655">
        <v>1.6517400000000002E-2</v>
      </c>
      <c r="U655">
        <v>0.13693239999999901</v>
      </c>
      <c r="V655">
        <v>3.2462850000000001E-2</v>
      </c>
      <c r="W655">
        <v>5.4946229999999999E-2</v>
      </c>
      <c r="X655">
        <v>0.99796149999999995</v>
      </c>
      <c r="Y655">
        <v>-3.6432140000000002E-2</v>
      </c>
      <c r="Z655" s="1">
        <v>-5.0163919999999997E-5</v>
      </c>
      <c r="AA655">
        <v>0.99933609999999995</v>
      </c>
      <c r="AB655">
        <v>20</v>
      </c>
      <c r="AC655">
        <v>223.88249999999999</v>
      </c>
      <c r="AD655">
        <v>1.2309030000000001</v>
      </c>
      <c r="AE655">
        <v>10.203900000000001</v>
      </c>
      <c r="AF655">
        <v>-8.1697225622178902</v>
      </c>
      <c r="AG655">
        <v>1.2309030000000001</v>
      </c>
      <c r="AH655">
        <v>223.95919027231699</v>
      </c>
      <c r="AI655">
        <v>89.685308912434294</v>
      </c>
      <c r="AJ655">
        <v>92.089144722497196</v>
      </c>
      <c r="AK655">
        <v>224.111531154402</v>
      </c>
      <c r="AL655">
        <v>86.850226782339206</v>
      </c>
      <c r="AM655">
        <v>88.136873349319899</v>
      </c>
      <c r="AN655">
        <v>1.0000000401517899</v>
      </c>
    </row>
    <row r="656" spans="1:40" x14ac:dyDescent="0.25">
      <c r="A656" t="str">
        <f>"20190312153902649"</f>
        <v>20190312153902649</v>
      </c>
      <c r="B656" t="str">
        <f>"1552376342636277"</f>
        <v>1552376342636277</v>
      </c>
      <c r="C656" t="s">
        <v>40</v>
      </c>
      <c r="D656">
        <v>4.0259199999999904</v>
      </c>
      <c r="E656">
        <v>0.47419600000000001</v>
      </c>
      <c r="F656" t="s">
        <v>47</v>
      </c>
      <c r="G656">
        <v>-158.19499999999999</v>
      </c>
      <c r="H656">
        <v>2.5640139999999998</v>
      </c>
      <c r="I656">
        <v>378.46859999999998</v>
      </c>
      <c r="J656">
        <v>-381.90960000000001</v>
      </c>
      <c r="K656">
        <v>1.110393</v>
      </c>
      <c r="L656">
        <v>368.1823</v>
      </c>
      <c r="M656">
        <v>0.99986940000000002</v>
      </c>
      <c r="N656">
        <v>0</v>
      </c>
      <c r="O656">
        <v>9.0517889999999993E-3</v>
      </c>
      <c r="P656">
        <v>0.99885049999999997</v>
      </c>
      <c r="Q656">
        <v>4.1754189999999997E-2</v>
      </c>
      <c r="R656">
        <v>-2.3546299999999999E-2</v>
      </c>
      <c r="S656">
        <v>3.0058289999999999</v>
      </c>
      <c r="T656">
        <v>1.9517179999999999E-2</v>
      </c>
      <c r="U656">
        <v>0.13812260000000001</v>
      </c>
      <c r="V656">
        <v>3.2592360000000001E-2</v>
      </c>
      <c r="W656">
        <v>5.512334E-2</v>
      </c>
      <c r="X656">
        <v>0.99794749999999999</v>
      </c>
      <c r="Y656">
        <v>-3.6857609999999999E-2</v>
      </c>
      <c r="Z656" s="1">
        <v>-6.0851660000000003E-5</v>
      </c>
      <c r="AA656">
        <v>0.99932049999999994</v>
      </c>
      <c r="AB656">
        <v>20</v>
      </c>
      <c r="AC656">
        <v>223.71459999999999</v>
      </c>
      <c r="AD656">
        <v>1.4536209999999901</v>
      </c>
      <c r="AE656">
        <v>10.286299999999899</v>
      </c>
      <c r="AF656">
        <v>-8.2603316305358501</v>
      </c>
      <c r="AG656">
        <v>1.4536209999999901</v>
      </c>
      <c r="AH656">
        <v>223.789122571299</v>
      </c>
      <c r="AI656">
        <v>89.628094073200103</v>
      </c>
      <c r="AJ656">
        <v>92.113897988345897</v>
      </c>
      <c r="AK656">
        <v>223.94623790966</v>
      </c>
      <c r="AL656">
        <v>86.840063688095398</v>
      </c>
      <c r="AM656">
        <v>88.129419483531294</v>
      </c>
      <c r="AN656">
        <v>1.00000002864968</v>
      </c>
    </row>
    <row r="657" spans="1:40" x14ac:dyDescent="0.25">
      <c r="A657" t="str">
        <f>"20190312153902672"</f>
        <v>20190312153902672</v>
      </c>
      <c r="B657" t="str">
        <f>"1552376342666533"</f>
        <v>1552376342666533</v>
      </c>
      <c r="C657" t="s">
        <v>40</v>
      </c>
      <c r="D657">
        <v>4.0326870000000001</v>
      </c>
      <c r="E657">
        <v>0.4740162</v>
      </c>
      <c r="F657" t="s">
        <v>47</v>
      </c>
      <c r="G657">
        <v>-158.19499999999999</v>
      </c>
      <c r="H657">
        <v>2.7222490000000001</v>
      </c>
      <c r="I657">
        <v>378.46260000000001</v>
      </c>
      <c r="J657">
        <v>-381.71039999999999</v>
      </c>
      <c r="K657">
        <v>1.110374</v>
      </c>
      <c r="L657">
        <v>368.1841</v>
      </c>
      <c r="M657">
        <v>0.99987190000000004</v>
      </c>
      <c r="N657">
        <v>0</v>
      </c>
      <c r="O657">
        <v>9.0167019999999997E-3</v>
      </c>
      <c r="P657">
        <v>0.998838</v>
      </c>
      <c r="Q657">
        <v>4.1911070000000002E-2</v>
      </c>
      <c r="R657">
        <v>-2.3788429999999999E-2</v>
      </c>
      <c r="S657">
        <v>3.0057680000000002</v>
      </c>
      <c r="T657">
        <v>2.1657590000000001E-2</v>
      </c>
      <c r="U657">
        <v>0.13812260000000001</v>
      </c>
      <c r="V657">
        <v>3.2799340000000003E-2</v>
      </c>
      <c r="W657">
        <v>5.5112380000000002E-2</v>
      </c>
      <c r="X657">
        <v>0.99794130000000003</v>
      </c>
      <c r="Y657">
        <v>-3.6893490000000001E-2</v>
      </c>
      <c r="Z657" s="1">
        <v>-6.7908319999999996E-5</v>
      </c>
      <c r="AA657">
        <v>0.99931919999999996</v>
      </c>
      <c r="AB657">
        <v>20</v>
      </c>
      <c r="AC657">
        <v>223.5154</v>
      </c>
      <c r="AD657">
        <v>1.6118749999999999</v>
      </c>
      <c r="AE657">
        <v>10.278499999999999</v>
      </c>
      <c r="AF657">
        <v>-8.2621053217929195</v>
      </c>
      <c r="AG657">
        <v>1.6118749999999999</v>
      </c>
      <c r="AH657">
        <v>223.58739530102801</v>
      </c>
      <c r="AI657">
        <v>89.587235011007706</v>
      </c>
      <c r="AJ657">
        <v>92.116257378750902</v>
      </c>
      <c r="AK657">
        <v>223.7458018888</v>
      </c>
      <c r="AL657">
        <v>86.840692530092994</v>
      </c>
      <c r="AM657">
        <v>88.117537067728506</v>
      </c>
      <c r="AN657">
        <v>1.00000000468969</v>
      </c>
    </row>
    <row r="658" spans="1:40" x14ac:dyDescent="0.25">
      <c r="A658" t="str">
        <f>"20190312153902685"</f>
        <v>20190312153902685</v>
      </c>
      <c r="B658" t="str">
        <f>"1552376342676294"</f>
        <v>1552376342676294</v>
      </c>
      <c r="C658" t="s">
        <v>40</v>
      </c>
      <c r="D658">
        <v>4.0419119999999999</v>
      </c>
      <c r="E658">
        <v>0.47395779999999899</v>
      </c>
      <c r="F658" t="s">
        <v>47</v>
      </c>
      <c r="G658">
        <v>-158.19499999999999</v>
      </c>
      <c r="H658">
        <v>2.993382</v>
      </c>
      <c r="I658">
        <v>378.50299999999999</v>
      </c>
      <c r="J658">
        <v>-381.58839999999998</v>
      </c>
      <c r="K658">
        <v>1.110363</v>
      </c>
      <c r="L658">
        <v>368.18520000000001</v>
      </c>
      <c r="M658">
        <v>0.99987349999999997</v>
      </c>
      <c r="N658">
        <v>0</v>
      </c>
      <c r="O658">
        <v>8.9948790000000008E-3</v>
      </c>
      <c r="P658">
        <v>0.99881940000000002</v>
      </c>
      <c r="Q658">
        <v>4.2227319999999999E-2</v>
      </c>
      <c r="R658">
        <v>-2.4015080000000001E-2</v>
      </c>
      <c r="S658">
        <v>3.0057369999999999</v>
      </c>
      <c r="T658">
        <v>2.532303E-2</v>
      </c>
      <c r="U658">
        <v>0.13876340000000001</v>
      </c>
      <c r="V658">
        <v>3.3003940000000002E-2</v>
      </c>
      <c r="W658">
        <v>5.5331869999999998E-2</v>
      </c>
      <c r="X658">
        <v>0.99792239999999999</v>
      </c>
      <c r="Y658">
        <v>-3.7128130000000002E-2</v>
      </c>
      <c r="Z658" s="1">
        <v>-8.0573259999999994E-5</v>
      </c>
      <c r="AA658">
        <v>0.99931049999999999</v>
      </c>
      <c r="AB658">
        <v>20</v>
      </c>
      <c r="AC658">
        <v>223.39340000000001</v>
      </c>
      <c r="AD658">
        <v>1.88301899999999</v>
      </c>
      <c r="AE658">
        <v>10.3178</v>
      </c>
      <c r="AF658">
        <v>-8.3072240367228503</v>
      </c>
      <c r="AG658">
        <v>1.88301899999999</v>
      </c>
      <c r="AH658">
        <v>223.46133317019701</v>
      </c>
      <c r="AI658">
        <v>89.517536131723404</v>
      </c>
      <c r="AJ658">
        <v>92.129002763699503</v>
      </c>
      <c r="AK658">
        <v>223.62361940088601</v>
      </c>
      <c r="AL658">
        <v>86.828097433501398</v>
      </c>
      <c r="AM658">
        <v>88.105767074099901</v>
      </c>
      <c r="AN658">
        <v>0.99999999615749002</v>
      </c>
    </row>
    <row r="659" spans="1:40" x14ac:dyDescent="0.25">
      <c r="A659" t="str">
        <f>"20190312153902698"</f>
        <v>20190312153902698</v>
      </c>
      <c r="B659" t="str">
        <f>"1552376342687030"</f>
        <v>1552376342687030</v>
      </c>
      <c r="C659" t="s">
        <v>40</v>
      </c>
      <c r="D659">
        <v>4.0336629999999998</v>
      </c>
      <c r="E659">
        <v>0.47389110000000001</v>
      </c>
      <c r="F659" t="s">
        <v>47</v>
      </c>
      <c r="G659">
        <v>-158.19499999999999</v>
      </c>
      <c r="H659">
        <v>3.1355300000000002</v>
      </c>
      <c r="I659">
        <v>378.47800000000001</v>
      </c>
      <c r="J659">
        <v>-381.4753</v>
      </c>
      <c r="K659">
        <v>1.1103510000000001</v>
      </c>
      <c r="L659">
        <v>368.18619999999999</v>
      </c>
      <c r="M659">
        <v>0.99987470000000001</v>
      </c>
      <c r="N659">
        <v>0</v>
      </c>
      <c r="O659">
        <v>8.9747709999999994E-3</v>
      </c>
      <c r="P659">
        <v>0.99879510000000005</v>
      </c>
      <c r="Q659">
        <v>4.2609559999999998E-2</v>
      </c>
      <c r="R659">
        <v>-2.4354890000000001E-2</v>
      </c>
      <c r="S659">
        <v>3.0057369999999999</v>
      </c>
      <c r="T659">
        <v>2.7249570000000001E-2</v>
      </c>
      <c r="U659">
        <v>0.1384888</v>
      </c>
      <c r="V659">
        <v>3.3323270000000002E-2</v>
      </c>
      <c r="W659">
        <v>5.5628009999999999E-2</v>
      </c>
      <c r="X659">
        <v>0.99789530000000004</v>
      </c>
      <c r="Y659">
        <v>-3.7056949999999998E-2</v>
      </c>
      <c r="Z659" s="1">
        <v>-8.6562899999999998E-5</v>
      </c>
      <c r="AA659">
        <v>0.99931320000000001</v>
      </c>
      <c r="AB659">
        <v>20</v>
      </c>
      <c r="AC659">
        <v>223.28030000000001</v>
      </c>
      <c r="AD659">
        <v>2.0251790000000001</v>
      </c>
      <c r="AE659">
        <v>10.2918</v>
      </c>
      <c r="AF659">
        <v>-8.2866452126606394</v>
      </c>
      <c r="AG659">
        <v>2.0251790000000001</v>
      </c>
      <c r="AH659">
        <v>223.34534545507501</v>
      </c>
      <c r="AI659">
        <v>89.480843208875697</v>
      </c>
      <c r="AJ659">
        <v>92.124835476859303</v>
      </c>
      <c r="AK659">
        <v>223.50819487282601</v>
      </c>
      <c r="AL659">
        <v>86.811103612904901</v>
      </c>
      <c r="AM659">
        <v>88.087401047050804</v>
      </c>
      <c r="AN659">
        <v>0.999999972791071</v>
      </c>
    </row>
    <row r="660" spans="1:40" x14ac:dyDescent="0.25">
      <c r="A660" t="str">
        <f>"20190312153902710"</f>
        <v>20190312153902710</v>
      </c>
      <c r="B660" t="str">
        <f>"1552376342707059"</f>
        <v>1552376342707059</v>
      </c>
      <c r="C660" t="s">
        <v>40</v>
      </c>
      <c r="D660">
        <v>4.0114609999999997</v>
      </c>
      <c r="E660">
        <v>0.4738059</v>
      </c>
      <c r="F660" t="s">
        <v>47</v>
      </c>
      <c r="G660">
        <v>-158.19499999999999</v>
      </c>
      <c r="H660">
        <v>3.265428</v>
      </c>
      <c r="I660">
        <v>378.4554</v>
      </c>
      <c r="J660">
        <v>-381.35239999999999</v>
      </c>
      <c r="K660">
        <v>1.1103430000000001</v>
      </c>
      <c r="L660">
        <v>368.18720000000002</v>
      </c>
      <c r="M660">
        <v>0.99987590000000004</v>
      </c>
      <c r="N660">
        <v>0</v>
      </c>
      <c r="O660">
        <v>8.9536890000000008E-3</v>
      </c>
      <c r="P660">
        <v>0.99879479999999998</v>
      </c>
      <c r="Q660">
        <v>4.2644939999999999E-2</v>
      </c>
      <c r="R660">
        <v>-2.429804E-2</v>
      </c>
      <c r="S660">
        <v>3.005798</v>
      </c>
      <c r="T660">
        <v>2.9012799999999998E-2</v>
      </c>
      <c r="U660">
        <v>0.1382446</v>
      </c>
      <c r="V660">
        <v>3.3245490000000003E-2</v>
      </c>
      <c r="W660">
        <v>5.5578969999999998E-2</v>
      </c>
      <c r="X660">
        <v>0.99790069999999997</v>
      </c>
      <c r="Y660">
        <v>-3.699595E-2</v>
      </c>
      <c r="Z660" s="1">
        <v>-9.2071340000000003E-5</v>
      </c>
      <c r="AA660">
        <v>0.99931539999999996</v>
      </c>
      <c r="AB660">
        <v>20</v>
      </c>
      <c r="AC660">
        <v>223.1574</v>
      </c>
      <c r="AD660">
        <v>2.1550850000000001</v>
      </c>
      <c r="AE660">
        <v>10.268199999999901</v>
      </c>
      <c r="AF660">
        <v>-8.2687689602064793</v>
      </c>
      <c r="AG660">
        <v>2.1550850000000001</v>
      </c>
      <c r="AH660">
        <v>223.219625211812</v>
      </c>
      <c r="AI660">
        <v>89.447231326833801</v>
      </c>
      <c r="AJ660">
        <v>92.1214489578756</v>
      </c>
      <c r="AK660">
        <v>223.38311935143301</v>
      </c>
      <c r="AL660">
        <v>86.813917984488995</v>
      </c>
      <c r="AM660">
        <v>88.0918722671952</v>
      </c>
      <c r="AN660">
        <v>1.0000000457860401</v>
      </c>
    </row>
    <row r="661" spans="1:40" x14ac:dyDescent="0.25">
      <c r="A661" t="str">
        <f>"20190312153902728"</f>
        <v>20190312153902728</v>
      </c>
      <c r="B661" t="str">
        <f>"1552376342716818"</f>
        <v>1552376342716818</v>
      </c>
      <c r="C661" t="s">
        <v>40</v>
      </c>
      <c r="D661">
        <v>4.0021009999999997</v>
      </c>
      <c r="E661">
        <v>0.4737574</v>
      </c>
      <c r="F661" t="s">
        <v>47</v>
      </c>
      <c r="G661">
        <v>-158.19499999999999</v>
      </c>
      <c r="H661">
        <v>3.3979279999999998</v>
      </c>
      <c r="I661">
        <v>378.49900000000002</v>
      </c>
      <c r="J661">
        <v>-381.19880000000001</v>
      </c>
      <c r="K661">
        <v>1.1103339999999999</v>
      </c>
      <c r="L661">
        <v>368.18849999999998</v>
      </c>
      <c r="M661">
        <v>0.99987749999999997</v>
      </c>
      <c r="N661">
        <v>0</v>
      </c>
      <c r="O661">
        <v>8.9266169999999995E-3</v>
      </c>
      <c r="P661">
        <v>0.99877749999999998</v>
      </c>
      <c r="Q661">
        <v>4.2804590000000003E-2</v>
      </c>
      <c r="R661">
        <v>-2.4728179999999999E-2</v>
      </c>
      <c r="S661">
        <v>3.005646</v>
      </c>
      <c r="T661">
        <v>3.0812030000000001E-2</v>
      </c>
      <c r="U661">
        <v>0.1388855</v>
      </c>
      <c r="V661">
        <v>3.3648379999999999E-2</v>
      </c>
      <c r="W661">
        <v>5.563895E-2</v>
      </c>
      <c r="X661">
        <v>0.99788379999999999</v>
      </c>
      <c r="Y661">
        <v>-3.723779E-2</v>
      </c>
      <c r="Z661" s="1">
        <v>-9.9301750000000002E-5</v>
      </c>
      <c r="AA661">
        <v>0.99930640000000004</v>
      </c>
      <c r="AB661">
        <v>20</v>
      </c>
      <c r="AC661">
        <v>223.00380000000001</v>
      </c>
      <c r="AD661">
        <v>2.2875939999999999</v>
      </c>
      <c r="AE661">
        <v>10.310499999999999</v>
      </c>
      <c r="AF661">
        <v>-8.3183816048970094</v>
      </c>
      <c r="AG661">
        <v>2.2875939999999999</v>
      </c>
      <c r="AH661">
        <v>223.063536302557</v>
      </c>
      <c r="AI661">
        <v>89.412840587881504</v>
      </c>
      <c r="AJ661">
        <v>92.135657926557997</v>
      </c>
      <c r="AK661">
        <v>223.230306604269</v>
      </c>
      <c r="AL661">
        <v>86.810475886965193</v>
      </c>
      <c r="AM661">
        <v>88.068733084680105</v>
      </c>
      <c r="AN661">
        <v>0.999999992268083</v>
      </c>
    </row>
    <row r="662" spans="1:40" x14ac:dyDescent="0.25">
      <c r="A662" t="str">
        <f>"20190312153902742"</f>
        <v>20190312153902742</v>
      </c>
      <c r="B662" t="str">
        <f>"1552376342737314"</f>
        <v>1552376342737314</v>
      </c>
      <c r="C662" t="s">
        <v>40</v>
      </c>
      <c r="D662">
        <v>4.005325</v>
      </c>
      <c r="E662">
        <v>0.47369329999999998</v>
      </c>
      <c r="F662" t="s">
        <v>47</v>
      </c>
      <c r="G662">
        <v>-158.19499999999999</v>
      </c>
      <c r="H662">
        <v>3.4621059999999999</v>
      </c>
      <c r="I662">
        <v>378.41129999999998</v>
      </c>
      <c r="J662">
        <v>-381.0736</v>
      </c>
      <c r="K662">
        <v>1.110328</v>
      </c>
      <c r="L662">
        <v>368.18959999999998</v>
      </c>
      <c r="M662">
        <v>0.99987879999999996</v>
      </c>
      <c r="N662">
        <v>0</v>
      </c>
      <c r="O662">
        <v>8.9048089999999996E-3</v>
      </c>
      <c r="P662">
        <v>0.99876739999999997</v>
      </c>
      <c r="Q662">
        <v>4.3030249999999999E-2</v>
      </c>
      <c r="R662">
        <v>-2.4740700000000001E-2</v>
      </c>
      <c r="S662">
        <v>3.0057369999999999</v>
      </c>
      <c r="T662">
        <v>3.16993E-2</v>
      </c>
      <c r="U662">
        <v>0.13778689999999999</v>
      </c>
      <c r="V662">
        <v>3.3639200000000001E-2</v>
      </c>
      <c r="W662">
        <v>5.5789409999999998E-2</v>
      </c>
      <c r="X662">
        <v>0.99787570000000003</v>
      </c>
      <c r="Y662">
        <v>-3.6893639999999998E-2</v>
      </c>
      <c r="Z662">
        <v>-1.0057500000000001E-4</v>
      </c>
      <c r="AA662">
        <v>0.99931919999999996</v>
      </c>
      <c r="AB662">
        <v>20</v>
      </c>
      <c r="AC662">
        <v>222.87860000000001</v>
      </c>
      <c r="AD662">
        <v>2.3517779999999999</v>
      </c>
      <c r="AE662">
        <v>10.221699999999901</v>
      </c>
      <c r="AF662">
        <v>-8.2355264046975396</v>
      </c>
      <c r="AG662">
        <v>2.3517779999999999</v>
      </c>
      <c r="AH662">
        <v>222.93602157895401</v>
      </c>
      <c r="AI662">
        <v>89.396014526791703</v>
      </c>
      <c r="AJ662">
        <v>92.115613417517395</v>
      </c>
      <c r="AK662">
        <v>223.100480663703</v>
      </c>
      <c r="AL662">
        <v>86.801841724453197</v>
      </c>
      <c r="AM662">
        <v>88.069243916467798</v>
      </c>
      <c r="AN662">
        <v>0.99999998334763895</v>
      </c>
    </row>
    <row r="663" spans="1:40" x14ac:dyDescent="0.25">
      <c r="A663" t="str">
        <f>"20190312153902754"</f>
        <v>20190312153902754</v>
      </c>
      <c r="B663" t="str">
        <f>"1552376342747074"</f>
        <v>1552376342747074</v>
      </c>
      <c r="C663" t="s">
        <v>40</v>
      </c>
      <c r="D663">
        <v>3.9797020000000001</v>
      </c>
      <c r="E663">
        <v>0.47363300000000003</v>
      </c>
      <c r="F663" t="s">
        <v>47</v>
      </c>
      <c r="G663">
        <v>-158.19499999999999</v>
      </c>
      <c r="H663">
        <v>3.61056</v>
      </c>
      <c r="I663">
        <v>378.45679999999999</v>
      </c>
      <c r="J663">
        <v>-380.95119999999997</v>
      </c>
      <c r="K663">
        <v>1.110325</v>
      </c>
      <c r="L663">
        <v>368.19069999999999</v>
      </c>
      <c r="M663">
        <v>0.99987969999999904</v>
      </c>
      <c r="N663">
        <v>0</v>
      </c>
      <c r="O663">
        <v>8.8837269999999992E-3</v>
      </c>
      <c r="P663">
        <v>0.99877579999999999</v>
      </c>
      <c r="Q663">
        <v>4.3027679999999999E-2</v>
      </c>
      <c r="R663">
        <v>-2.4404639999999998E-2</v>
      </c>
      <c r="S663">
        <v>3.005646</v>
      </c>
      <c r="T663">
        <v>3.3718230000000002E-2</v>
      </c>
      <c r="U663">
        <v>0.13845829999999901</v>
      </c>
      <c r="V663">
        <v>3.328213E-2</v>
      </c>
      <c r="W663">
        <v>5.5718940000000002E-2</v>
      </c>
      <c r="X663">
        <v>0.99789159999999999</v>
      </c>
      <c r="Y663">
        <v>-3.7138640000000001E-2</v>
      </c>
      <c r="Z663">
        <v>-1.085929E-4</v>
      </c>
      <c r="AA663">
        <v>0.99931009999999998</v>
      </c>
      <c r="AB663">
        <v>20</v>
      </c>
      <c r="AC663">
        <v>222.75620000000001</v>
      </c>
      <c r="AD663">
        <v>2.500235</v>
      </c>
      <c r="AE663">
        <v>10.2660999999999</v>
      </c>
      <c r="AF663">
        <v>-8.2855879684411295</v>
      </c>
      <c r="AG663">
        <v>2.500235</v>
      </c>
      <c r="AH663">
        <v>222.810606764412</v>
      </c>
      <c r="AI663">
        <v>89.357535220024403</v>
      </c>
      <c r="AJ663">
        <v>92.129658831245195</v>
      </c>
      <c r="AK663">
        <v>222.97862819060401</v>
      </c>
      <c r="AL663">
        <v>86.805885614919902</v>
      </c>
      <c r="AM663">
        <v>88.0897534615099</v>
      </c>
      <c r="AN663">
        <v>0.99999997290130904</v>
      </c>
    </row>
    <row r="664" spans="1:40" x14ac:dyDescent="0.25">
      <c r="A664" t="str">
        <f>"20190312153902773"</f>
        <v>20190312153902773</v>
      </c>
      <c r="B664" t="str">
        <f>"1552376342766594"</f>
        <v>1552376342766594</v>
      </c>
      <c r="C664" t="s">
        <v>40</v>
      </c>
      <c r="D664">
        <v>4.0095159999999996</v>
      </c>
      <c r="E664">
        <v>0.47358489999999998</v>
      </c>
      <c r="F664" t="s">
        <v>47</v>
      </c>
      <c r="G664">
        <v>-158.19499999999999</v>
      </c>
      <c r="H664">
        <v>3.628673</v>
      </c>
      <c r="I664">
        <v>378.54059999999998</v>
      </c>
      <c r="J664">
        <v>-380.79219999999998</v>
      </c>
      <c r="K664">
        <v>1.1103229999999999</v>
      </c>
      <c r="L664">
        <v>368.19209999999998</v>
      </c>
      <c r="M664">
        <v>0.99988100000000002</v>
      </c>
      <c r="N664">
        <v>0</v>
      </c>
      <c r="O664">
        <v>8.8559280000000008E-3</v>
      </c>
      <c r="P664">
        <v>0.99877660000000001</v>
      </c>
      <c r="Q664">
        <v>4.3125980000000001E-2</v>
      </c>
      <c r="R664">
        <v>-2.4202979999999999E-2</v>
      </c>
      <c r="S664">
        <v>3.0056150000000001</v>
      </c>
      <c r="T664">
        <v>3.398085E-2</v>
      </c>
      <c r="U664">
        <v>0.13964840000000001</v>
      </c>
      <c r="V664">
        <v>3.3052619999999998E-2</v>
      </c>
      <c r="W664">
        <v>5.573703E-2</v>
      </c>
      <c r="X664">
        <v>0.99789819999999996</v>
      </c>
      <c r="Y664">
        <v>-3.7561700000000003E-2</v>
      </c>
      <c r="Z664">
        <v>-1.1214309999999999E-4</v>
      </c>
      <c r="AA664">
        <v>0.99929429999999997</v>
      </c>
      <c r="AB664">
        <v>20</v>
      </c>
      <c r="AC664">
        <v>222.59719999999999</v>
      </c>
      <c r="AD664">
        <v>2.5183499999999999</v>
      </c>
      <c r="AE664">
        <v>10.3485</v>
      </c>
      <c r="AF664">
        <v>-8.3755623423014196</v>
      </c>
      <c r="AG664">
        <v>2.5183499999999999</v>
      </c>
      <c r="AH664">
        <v>222.65168562509101</v>
      </c>
      <c r="AI664">
        <v>89.352429315069102</v>
      </c>
      <c r="AJ664">
        <v>92.154298577446198</v>
      </c>
      <c r="AK664">
        <v>222.82339473889701</v>
      </c>
      <c r="AL664">
        <v>86.804847463398303</v>
      </c>
      <c r="AM664">
        <v>88.102929195949798</v>
      </c>
      <c r="AN664">
        <v>0.99999995488266102</v>
      </c>
    </row>
    <row r="665" spans="1:40" x14ac:dyDescent="0.25">
      <c r="A665" t="str">
        <f>"20190312153902787"</f>
        <v>20190312153902787</v>
      </c>
      <c r="B665" t="str">
        <f>"1552376342776354"</f>
        <v>1552376342776354</v>
      </c>
      <c r="C665" t="s">
        <v>40</v>
      </c>
      <c r="D665">
        <v>3.960378</v>
      </c>
      <c r="E665">
        <v>0.4735451</v>
      </c>
      <c r="F665" t="s">
        <v>47</v>
      </c>
      <c r="G665">
        <v>-158.19499999999999</v>
      </c>
      <c r="H665">
        <v>3.71591</v>
      </c>
      <c r="I665">
        <v>378.61829999999998</v>
      </c>
      <c r="J665">
        <v>-380.66340000000002</v>
      </c>
      <c r="K665">
        <v>1.1103209999999999</v>
      </c>
      <c r="L665">
        <v>368.19319999999999</v>
      </c>
      <c r="M665">
        <v>0.99988200000000005</v>
      </c>
      <c r="N665">
        <v>0</v>
      </c>
      <c r="O665">
        <v>8.8326489999999997E-3</v>
      </c>
      <c r="P665">
        <v>0.99879439999999997</v>
      </c>
      <c r="Q665">
        <v>4.288894E-2</v>
      </c>
      <c r="R665">
        <v>-2.3881989999999999E-2</v>
      </c>
      <c r="S665">
        <v>3.005585</v>
      </c>
      <c r="T665">
        <v>3.5182709999999999E-2</v>
      </c>
      <c r="U665">
        <v>0.1407776</v>
      </c>
      <c r="V665">
        <v>3.2708760000000003E-2</v>
      </c>
      <c r="W665">
        <v>5.5440900000000001E-2</v>
      </c>
      <c r="X665">
        <v>0.99792610000000004</v>
      </c>
      <c r="Y665">
        <v>-3.7959880000000001E-2</v>
      </c>
      <c r="Z665">
        <v>-1.18711E-4</v>
      </c>
      <c r="AA665">
        <v>0.99927929999999998</v>
      </c>
      <c r="AB665">
        <v>20</v>
      </c>
      <c r="AC665">
        <v>222.4684</v>
      </c>
      <c r="AD665">
        <v>2.6055890000000002</v>
      </c>
      <c r="AE665">
        <v>10.425099999999899</v>
      </c>
      <c r="AF665">
        <v>-8.4583950147054896</v>
      </c>
      <c r="AG665">
        <v>2.6055890000000002</v>
      </c>
      <c r="AH665">
        <v>222.52135147334499</v>
      </c>
      <c r="AI665">
        <v>89.329616200022798</v>
      </c>
      <c r="AJ665">
        <v>92.176856842842</v>
      </c>
      <c r="AK665">
        <v>222.69729545233699</v>
      </c>
      <c r="AL665">
        <v>86.821840974372293</v>
      </c>
      <c r="AM665">
        <v>88.122703456190493</v>
      </c>
      <c r="AN665">
        <v>1.00000002871737</v>
      </c>
    </row>
    <row r="666" spans="1:40" x14ac:dyDescent="0.25">
      <c r="A666" t="str">
        <f>"20190312153902801"</f>
        <v>20190312153902801</v>
      </c>
      <c r="B666" t="str">
        <f>"1552376342796383"</f>
        <v>1552376342796383</v>
      </c>
      <c r="C666" t="s">
        <v>40</v>
      </c>
      <c r="D666">
        <v>3.932823</v>
      </c>
      <c r="E666">
        <v>0.473495</v>
      </c>
      <c r="F666" t="s">
        <v>47</v>
      </c>
      <c r="G666">
        <v>-158.19499999999999</v>
      </c>
      <c r="H666">
        <v>3.6904970000000001</v>
      </c>
      <c r="I666">
        <v>378.72649999999999</v>
      </c>
      <c r="J666">
        <v>-380.53590000000003</v>
      </c>
      <c r="K666">
        <v>1.1103190000000001</v>
      </c>
      <c r="L666">
        <v>368.1943</v>
      </c>
      <c r="M666">
        <v>0.99988279999999996</v>
      </c>
      <c r="N666">
        <v>0</v>
      </c>
      <c r="O666">
        <v>8.809641E-3</v>
      </c>
      <c r="P666">
        <v>0.99879479999999998</v>
      </c>
      <c r="Q666">
        <v>4.2962479999999997E-2</v>
      </c>
      <c r="R666">
        <v>-2.3734089999999999E-2</v>
      </c>
      <c r="S666">
        <v>3.0055239999999999</v>
      </c>
      <c r="T666">
        <v>3.4859059999999997E-2</v>
      </c>
      <c r="U666">
        <v>0.1423035</v>
      </c>
      <c r="V666">
        <v>3.2537730000000001E-2</v>
      </c>
      <c r="W666">
        <v>5.5459469999999997E-2</v>
      </c>
      <c r="X666">
        <v>0.9979306</v>
      </c>
      <c r="Y666">
        <v>-3.8490030000000001E-2</v>
      </c>
      <c r="Z666">
        <v>-1.2095940000000001E-4</v>
      </c>
      <c r="AA666">
        <v>0.99925900000000001</v>
      </c>
      <c r="AB666">
        <v>20</v>
      </c>
      <c r="AC666">
        <v>222.3409</v>
      </c>
      <c r="AD666">
        <v>2.5801780000000001</v>
      </c>
      <c r="AE666">
        <v>10.5321999999999</v>
      </c>
      <c r="AF666">
        <v>-8.5717424130612994</v>
      </c>
      <c r="AG666">
        <v>2.5801780000000001</v>
      </c>
      <c r="AH666">
        <v>222.395180540605</v>
      </c>
      <c r="AI666">
        <v>89.335790428863305</v>
      </c>
      <c r="AJ666">
        <v>92.2072496437372</v>
      </c>
      <c r="AK666">
        <v>222.575264605472</v>
      </c>
      <c r="AL666">
        <v>86.820775163974105</v>
      </c>
      <c r="AM666">
        <v>88.132521050379296</v>
      </c>
      <c r="AN666">
        <v>0.999999969551296</v>
      </c>
    </row>
    <row r="667" spans="1:40" x14ac:dyDescent="0.25">
      <c r="A667" t="str">
        <f>"20190312153902818"</f>
        <v>20190312153902818</v>
      </c>
      <c r="B667" t="str">
        <f>"1552376342807116"</f>
        <v>1552376342807116</v>
      </c>
      <c r="C667" t="s">
        <v>40</v>
      </c>
      <c r="D667">
        <v>3.9932620000000001</v>
      </c>
      <c r="E667">
        <v>0.47347899999999998</v>
      </c>
      <c r="F667" t="s">
        <v>47</v>
      </c>
      <c r="G667">
        <v>-158.19499999999999</v>
      </c>
      <c r="H667">
        <v>3.775963</v>
      </c>
      <c r="I667">
        <v>378.76920000000001</v>
      </c>
      <c r="J667">
        <v>-380.3766</v>
      </c>
      <c r="K667">
        <v>1.1103160000000001</v>
      </c>
      <c r="L667">
        <v>368.19569999999999</v>
      </c>
      <c r="M667">
        <v>0.99988390000000005</v>
      </c>
      <c r="N667">
        <v>0</v>
      </c>
      <c r="O667">
        <v>8.7808369999999997E-3</v>
      </c>
      <c r="P667">
        <v>0.99879569999999995</v>
      </c>
      <c r="Q667">
        <v>4.3197140000000002E-2</v>
      </c>
      <c r="R667">
        <v>-2.3267079999999999E-2</v>
      </c>
      <c r="S667">
        <v>3.0054630000000002</v>
      </c>
      <c r="T667">
        <v>3.6033629999999997E-2</v>
      </c>
      <c r="U667">
        <v>0.1429443</v>
      </c>
      <c r="V667">
        <v>3.2042040000000001E-2</v>
      </c>
      <c r="W667">
        <v>5.5631809999999997E-2</v>
      </c>
      <c r="X667">
        <v>0.99793710000000002</v>
      </c>
      <c r="Y667">
        <v>-3.8732229999999999E-2</v>
      </c>
      <c r="Z667">
        <v>-1.26833E-4</v>
      </c>
      <c r="AA667">
        <v>0.99924959999999996</v>
      </c>
      <c r="AB667">
        <v>20</v>
      </c>
      <c r="AC667">
        <v>222.1816</v>
      </c>
      <c r="AD667">
        <v>2.6656469999999999</v>
      </c>
      <c r="AE667">
        <v>10.573499999999999</v>
      </c>
      <c r="AF667">
        <v>-8.6207625029669597</v>
      </c>
      <c r="AG667">
        <v>2.6656469999999999</v>
      </c>
      <c r="AH667">
        <v>222.23396780808801</v>
      </c>
      <c r="AI667">
        <v>89.313299248717399</v>
      </c>
      <c r="AJ667">
        <v>92.221468588752899</v>
      </c>
      <c r="AK667">
        <v>222.41708492781601</v>
      </c>
      <c r="AL667">
        <v>86.810885711814294</v>
      </c>
      <c r="AM667">
        <v>88.160963094536399</v>
      </c>
      <c r="AN667">
        <v>1.00000002308382</v>
      </c>
    </row>
    <row r="668" spans="1:40" x14ac:dyDescent="0.25">
      <c r="A668" t="str">
        <f>"20190312153902841"</f>
        <v>20190312153902841</v>
      </c>
      <c r="B668" t="str">
        <f>"1552376342826636"</f>
        <v>1552376342826636</v>
      </c>
      <c r="C668" t="s">
        <v>40</v>
      </c>
      <c r="D668">
        <v>3.9391729999999998</v>
      </c>
      <c r="E668">
        <v>0.47339910000000002</v>
      </c>
      <c r="F668" t="s">
        <v>47</v>
      </c>
      <c r="G668">
        <v>-158.19499999999999</v>
      </c>
      <c r="H668">
        <v>3.845294</v>
      </c>
      <c r="I668">
        <v>378.8603</v>
      </c>
      <c r="J668">
        <v>-380.17500000000001</v>
      </c>
      <c r="K668">
        <v>1.1103160000000001</v>
      </c>
      <c r="L668">
        <v>368.19740000000002</v>
      </c>
      <c r="M668">
        <v>0.99988509999999997</v>
      </c>
      <c r="N668">
        <v>0</v>
      </c>
      <c r="O668">
        <v>8.7440290000000004E-3</v>
      </c>
      <c r="P668">
        <v>0.99881450000000005</v>
      </c>
      <c r="Q668">
        <v>4.2974770000000002E-2</v>
      </c>
      <c r="R668">
        <v>-2.287088E-2</v>
      </c>
      <c r="S668">
        <v>3.0053709999999998</v>
      </c>
      <c r="T668">
        <v>3.6996250000000001E-2</v>
      </c>
      <c r="U668">
        <v>0.14425660000000001</v>
      </c>
      <c r="V668">
        <v>3.1609169999999999E-2</v>
      </c>
      <c r="W668">
        <v>5.5340449999999999E-2</v>
      </c>
      <c r="X668">
        <v>0.9979671</v>
      </c>
      <c r="Y668">
        <v>-3.9205610000000002E-2</v>
      </c>
      <c r="Z668">
        <v>-1.335885E-4</v>
      </c>
      <c r="AA668">
        <v>0.99923119999999999</v>
      </c>
      <c r="AB668">
        <v>20</v>
      </c>
      <c r="AC668">
        <v>221.98</v>
      </c>
      <c r="AD668">
        <v>2.7349779999999999</v>
      </c>
      <c r="AE668">
        <v>10.662899999999899</v>
      </c>
      <c r="AF668">
        <v>-8.7200232401864106</v>
      </c>
      <c r="AG668">
        <v>2.7349779999999999</v>
      </c>
      <c r="AH668">
        <v>222.03112894311701</v>
      </c>
      <c r="AI668">
        <v>89.294810245090105</v>
      </c>
      <c r="AJ668">
        <v>92.249071519684307</v>
      </c>
      <c r="AK668">
        <v>222.219128631459</v>
      </c>
      <c r="AL668">
        <v>86.827605153409607</v>
      </c>
      <c r="AM668">
        <v>88.185845236736498</v>
      </c>
      <c r="AN668">
        <v>1.00000001885835</v>
      </c>
    </row>
    <row r="669" spans="1:40" x14ac:dyDescent="0.25">
      <c r="A669" t="str">
        <f>"20190312153902862"</f>
        <v>20190312153902862</v>
      </c>
      <c r="B669" t="str">
        <f>"1552376342847133"</f>
        <v>1552376342847133</v>
      </c>
      <c r="C669" t="s">
        <v>40</v>
      </c>
      <c r="D669">
        <v>3.931044</v>
      </c>
      <c r="E669">
        <v>0.4734139</v>
      </c>
      <c r="F669" t="s">
        <v>47</v>
      </c>
      <c r="G669">
        <v>-158.19499999999999</v>
      </c>
      <c r="H669">
        <v>3.7772000000000001</v>
      </c>
      <c r="I669">
        <v>378.97890000000001</v>
      </c>
      <c r="J669">
        <v>-379.97289999999998</v>
      </c>
      <c r="K669">
        <v>1.110312</v>
      </c>
      <c r="L669">
        <v>368.19920000000002</v>
      </c>
      <c r="M669">
        <v>0.99988619999999995</v>
      </c>
      <c r="N669">
        <v>0</v>
      </c>
      <c r="O669">
        <v>8.708169E-3</v>
      </c>
      <c r="P669">
        <v>0.99881889999999995</v>
      </c>
      <c r="Q669">
        <v>4.2926949999999998E-2</v>
      </c>
      <c r="R669">
        <v>-2.2769870000000001E-2</v>
      </c>
      <c r="S669">
        <v>3.0053100000000001</v>
      </c>
      <c r="T669">
        <v>3.6107180000000003E-2</v>
      </c>
      <c r="U669">
        <v>0.1459656</v>
      </c>
      <c r="V669">
        <v>3.1472340000000001E-2</v>
      </c>
      <c r="W669">
        <v>5.5232370000000003E-2</v>
      </c>
      <c r="X669">
        <v>0.99797740000000001</v>
      </c>
      <c r="Y669">
        <v>-3.9809379999999998E-2</v>
      </c>
      <c r="Z669">
        <v>-1.344347E-4</v>
      </c>
      <c r="AA669">
        <v>0.99920730000000002</v>
      </c>
      <c r="AB669">
        <v>20</v>
      </c>
      <c r="AC669">
        <v>221.77789999999999</v>
      </c>
      <c r="AD669">
        <v>2.6668880000000001</v>
      </c>
      <c r="AE669">
        <v>10.779699999999901</v>
      </c>
      <c r="AF669">
        <v>-8.8465889995409501</v>
      </c>
      <c r="AG669">
        <v>2.6668880000000001</v>
      </c>
      <c r="AH669">
        <v>221.83136662304</v>
      </c>
      <c r="AI669">
        <v>89.311762249991304</v>
      </c>
      <c r="AJ669">
        <v>92.2837336626216</v>
      </c>
      <c r="AK669">
        <v>222.02371415318899</v>
      </c>
      <c r="AL669">
        <v>86.8338071289824</v>
      </c>
      <c r="AM669">
        <v>88.193711779415693</v>
      </c>
      <c r="AN669">
        <v>1.0000000068958199</v>
      </c>
    </row>
    <row r="670" spans="1:40" x14ac:dyDescent="0.25">
      <c r="A670" t="str">
        <f>"20190312153902885"</f>
        <v>20190312153902885</v>
      </c>
      <c r="B670" t="str">
        <f>"1552376342876413"</f>
        <v>1552376342876413</v>
      </c>
      <c r="C670" t="s">
        <v>40</v>
      </c>
      <c r="D670">
        <v>3.9362659999999998</v>
      </c>
      <c r="E670">
        <v>0.47344399999999998</v>
      </c>
      <c r="F670" t="s">
        <v>47</v>
      </c>
      <c r="G670">
        <v>-158.19499999999999</v>
      </c>
      <c r="H670">
        <v>3.7815859999999999</v>
      </c>
      <c r="I670">
        <v>379.00450000000001</v>
      </c>
      <c r="J670">
        <v>-379.76749999999998</v>
      </c>
      <c r="K670">
        <v>1.110306</v>
      </c>
      <c r="L670">
        <v>368.20089999999999</v>
      </c>
      <c r="M670">
        <v>0.99988719999999998</v>
      </c>
      <c r="N670">
        <v>0</v>
      </c>
      <c r="O670">
        <v>8.6717269999999902E-3</v>
      </c>
      <c r="P670">
        <v>0.99881620000000004</v>
      </c>
      <c r="Q670">
        <v>4.2874820000000001E-2</v>
      </c>
      <c r="R670">
        <v>-2.2986699999999999E-2</v>
      </c>
      <c r="S670">
        <v>3.0053100000000001</v>
      </c>
      <c r="T670">
        <v>3.619957E-2</v>
      </c>
      <c r="U670">
        <v>0.14642330000000001</v>
      </c>
      <c r="V670">
        <v>3.1652680000000002E-2</v>
      </c>
      <c r="W670">
        <v>5.5126670000000003E-2</v>
      </c>
      <c r="X670">
        <v>0.99797760000000002</v>
      </c>
      <c r="Y670">
        <v>-3.9997610000000003E-2</v>
      </c>
      <c r="Z670">
        <v>-1.3634979999999999E-4</v>
      </c>
      <c r="AA670">
        <v>0.99919970000000002</v>
      </c>
      <c r="AB670">
        <v>20</v>
      </c>
      <c r="AC670">
        <v>221.57249999999999</v>
      </c>
      <c r="AD670">
        <v>2.6712799999999999</v>
      </c>
      <c r="AE670">
        <v>10.803599999999999</v>
      </c>
      <c r="AF670">
        <v>-8.8803453224329196</v>
      </c>
      <c r="AG670">
        <v>2.6712799999999999</v>
      </c>
      <c r="AH670">
        <v>221.62572419732501</v>
      </c>
      <c r="AI670">
        <v>89.309994545896302</v>
      </c>
      <c r="AJ670">
        <v>92.294563366194694</v>
      </c>
      <c r="AK670">
        <v>221.819651735082</v>
      </c>
      <c r="AL670">
        <v>86.839872720750805</v>
      </c>
      <c r="AM670">
        <v>88.183368826805605</v>
      </c>
      <c r="AN670">
        <v>1.00000006599911</v>
      </c>
    </row>
    <row r="671" spans="1:40" x14ac:dyDescent="0.25">
      <c r="A671" t="str">
        <f>"20190312153902908"</f>
        <v>20190312153902908</v>
      </c>
      <c r="B671" t="str">
        <f>"1552376342896442"</f>
        <v>1552376342896442</v>
      </c>
      <c r="C671" t="s">
        <v>40</v>
      </c>
      <c r="D671">
        <v>3.936077</v>
      </c>
      <c r="E671">
        <v>0.47341240000000001</v>
      </c>
      <c r="F671" t="s">
        <v>47</v>
      </c>
      <c r="G671">
        <v>-158.19499999999999</v>
      </c>
      <c r="H671">
        <v>3.8540480000000001</v>
      </c>
      <c r="I671">
        <v>378.91289999999998</v>
      </c>
      <c r="J671">
        <v>-379.56470000000002</v>
      </c>
      <c r="K671">
        <v>1.1103069999999999</v>
      </c>
      <c r="L671">
        <v>368.20260000000002</v>
      </c>
      <c r="M671">
        <v>0.99988790000000005</v>
      </c>
      <c r="N671">
        <v>0</v>
      </c>
      <c r="O671">
        <v>8.6357729999999994E-3</v>
      </c>
      <c r="P671">
        <v>0.99879419999999997</v>
      </c>
      <c r="Q671">
        <v>4.3155779999999998E-2</v>
      </c>
      <c r="R671">
        <v>-2.3403819999999999E-2</v>
      </c>
      <c r="S671">
        <v>3.005341</v>
      </c>
      <c r="T671">
        <v>3.721642E-2</v>
      </c>
      <c r="U671">
        <v>0.14529420000000001</v>
      </c>
      <c r="V671">
        <v>3.2033689999999997E-2</v>
      </c>
      <c r="W671">
        <v>5.5361870000000001E-2</v>
      </c>
      <c r="X671">
        <v>0.99795230000000001</v>
      </c>
      <c r="Y671">
        <v>-3.965842E-2</v>
      </c>
      <c r="Z671">
        <v>-1.385255E-4</v>
      </c>
      <c r="AA671">
        <v>0.99921329999999997</v>
      </c>
      <c r="AB671">
        <v>20</v>
      </c>
      <c r="AC671">
        <v>221.36969999999999</v>
      </c>
      <c r="AD671">
        <v>2.743741</v>
      </c>
      <c r="AE671">
        <v>10.710299999999901</v>
      </c>
      <c r="AF671">
        <v>-8.7967108628875099</v>
      </c>
      <c r="AG671">
        <v>2.743741</v>
      </c>
      <c r="AH671">
        <v>221.420007482248</v>
      </c>
      <c r="AI671">
        <v>89.290611367240501</v>
      </c>
      <c r="AJ671">
        <v>92.275085662007697</v>
      </c>
      <c r="AK671">
        <v>221.61166474289899</v>
      </c>
      <c r="AL671">
        <v>86.826375754099402</v>
      </c>
      <c r="AM671">
        <v>88.161469993867897</v>
      </c>
      <c r="AN671">
        <v>0.99999994351009902</v>
      </c>
    </row>
    <row r="672" spans="1:40" x14ac:dyDescent="0.25">
      <c r="A672" t="str">
        <f>"20190312153902922"</f>
        <v>20190312153902922</v>
      </c>
      <c r="B672" t="str">
        <f>"1552376342916937"</f>
        <v>1552376342916937</v>
      </c>
      <c r="C672" t="s">
        <v>40</v>
      </c>
      <c r="D672">
        <v>3.991053</v>
      </c>
      <c r="E672">
        <v>0.47335569999999999</v>
      </c>
      <c r="F672" t="s">
        <v>47</v>
      </c>
      <c r="G672">
        <v>-158.19499999999999</v>
      </c>
      <c r="H672">
        <v>3.9662289999999998</v>
      </c>
      <c r="I672">
        <v>378.84179999999998</v>
      </c>
      <c r="J672">
        <v>-379.42779999999999</v>
      </c>
      <c r="K672">
        <v>1.1103069999999999</v>
      </c>
      <c r="L672">
        <v>368.2038</v>
      </c>
      <c r="M672">
        <v>0.99988860000000002</v>
      </c>
      <c r="N672">
        <v>0</v>
      </c>
      <c r="O672">
        <v>8.6112689999999995E-3</v>
      </c>
      <c r="P672">
        <v>0.99878920000000004</v>
      </c>
      <c r="Q672">
        <v>4.3230329999999997E-2</v>
      </c>
      <c r="R672">
        <v>-2.3484040000000001E-2</v>
      </c>
      <c r="S672">
        <v>3.0053709999999998</v>
      </c>
      <c r="T672">
        <v>3.8773889999999998E-2</v>
      </c>
      <c r="U672">
        <v>0.1444397</v>
      </c>
      <c r="V672">
        <v>3.20895E-2</v>
      </c>
      <c r="W672">
        <v>5.5408529999999998E-2</v>
      </c>
      <c r="X672">
        <v>0.99794799999999995</v>
      </c>
      <c r="Y672">
        <v>-3.9398790000000003E-2</v>
      </c>
      <c r="Z672">
        <v>-1.429639E-4</v>
      </c>
      <c r="AA672">
        <v>0.99922350000000004</v>
      </c>
      <c r="AB672">
        <v>20</v>
      </c>
      <c r="AC672">
        <v>221.2328</v>
      </c>
      <c r="AD672">
        <v>2.8559220000000001</v>
      </c>
      <c r="AE672">
        <v>10.6379999999999</v>
      </c>
      <c r="AF672">
        <v>-8.7309171484774506</v>
      </c>
      <c r="AG672">
        <v>2.8559220000000001</v>
      </c>
      <c r="AH672">
        <v>221.27941931405601</v>
      </c>
      <c r="AI672">
        <v>89.261133322545007</v>
      </c>
      <c r="AJ672">
        <v>92.259520343526503</v>
      </c>
      <c r="AK672">
        <v>221.47001290623899</v>
      </c>
      <c r="AL672">
        <v>86.823698485170993</v>
      </c>
      <c r="AM672">
        <v>88.158261128737294</v>
      </c>
      <c r="AN672">
        <v>1.0000000259555</v>
      </c>
    </row>
    <row r="673" spans="1:40" x14ac:dyDescent="0.25">
      <c r="A673" t="str">
        <f>"20190312153902940"</f>
        <v>20190312153902940</v>
      </c>
      <c r="B673" t="str">
        <f>"1552376342926697"</f>
        <v>1552376342926697</v>
      </c>
      <c r="C673" t="s">
        <v>40</v>
      </c>
      <c r="D673">
        <v>3.9789539999999999</v>
      </c>
      <c r="E673">
        <v>0.4733446</v>
      </c>
      <c r="F673" t="s">
        <v>47</v>
      </c>
      <c r="G673">
        <v>-158.19499999999999</v>
      </c>
      <c r="H673">
        <v>4.0343689999999999</v>
      </c>
      <c r="I673">
        <v>378.84570000000002</v>
      </c>
      <c r="J673">
        <v>-379.26679999999999</v>
      </c>
      <c r="K673">
        <v>1.110301</v>
      </c>
      <c r="L673">
        <v>368.20510000000002</v>
      </c>
      <c r="M673">
        <v>0.99988909999999998</v>
      </c>
      <c r="N673">
        <v>0</v>
      </c>
      <c r="O673">
        <v>8.5825429999999998E-3</v>
      </c>
      <c r="P673">
        <v>0.9987859</v>
      </c>
      <c r="Q673">
        <v>4.3302649999999998E-2</v>
      </c>
      <c r="R673">
        <v>-2.348652E-2</v>
      </c>
      <c r="S673">
        <v>3.00528</v>
      </c>
      <c r="T673">
        <v>3.9722319999999998E-2</v>
      </c>
      <c r="U673">
        <v>0.14456179999999999</v>
      </c>
      <c r="V673">
        <v>3.2063229999999998E-2</v>
      </c>
      <c r="W673">
        <v>5.5452330000000001E-2</v>
      </c>
      <c r="X673">
        <v>0.99794640000000001</v>
      </c>
      <c r="Y673">
        <v>-3.9469320000000002E-2</v>
      </c>
      <c r="Z673">
        <v>-1.473101E-4</v>
      </c>
      <c r="AA673">
        <v>0.99922080000000002</v>
      </c>
      <c r="AB673">
        <v>20</v>
      </c>
      <c r="AC673">
        <v>221.0718</v>
      </c>
      <c r="AD673">
        <v>2.9240680000000001</v>
      </c>
      <c r="AE673">
        <v>10.640599999999999</v>
      </c>
      <c r="AF673">
        <v>-8.7411835549900605</v>
      </c>
      <c r="AG673">
        <v>2.9240680000000001</v>
      </c>
      <c r="AH673">
        <v>221.11639234214701</v>
      </c>
      <c r="AI673">
        <v>89.242949593847698</v>
      </c>
      <c r="AJ673">
        <v>92.263840627239404</v>
      </c>
      <c r="AK673">
        <v>221.30842149818201</v>
      </c>
      <c r="AL673">
        <v>86.821185029219606</v>
      </c>
      <c r="AM673">
        <v>88.159764878789005</v>
      </c>
      <c r="AN673">
        <v>1.0000000144467101</v>
      </c>
    </row>
    <row r="674" spans="1:40" x14ac:dyDescent="0.25">
      <c r="A674" t="str">
        <f>"20190312153902955"</f>
        <v>20190312153902955</v>
      </c>
      <c r="B674" t="str">
        <f>"1552376342947193"</f>
        <v>1552376342947193</v>
      </c>
      <c r="C674" t="s">
        <v>40</v>
      </c>
      <c r="D674">
        <v>3.9476870000000002</v>
      </c>
      <c r="E674">
        <v>0.47337000000000001</v>
      </c>
      <c r="F674" t="s">
        <v>47</v>
      </c>
      <c r="G674">
        <v>-158.19499999999999</v>
      </c>
      <c r="H674">
        <v>4.0764459999999998</v>
      </c>
      <c r="I674">
        <v>378.8571</v>
      </c>
      <c r="J674">
        <v>-379.13200000000001</v>
      </c>
      <c r="K674">
        <v>1.1102989999999999</v>
      </c>
      <c r="L674">
        <v>368.20620000000002</v>
      </c>
      <c r="M674">
        <v>0.99988960000000005</v>
      </c>
      <c r="N674">
        <v>0</v>
      </c>
      <c r="O674">
        <v>8.5585390000000004E-3</v>
      </c>
      <c r="P674">
        <v>0.99878040000000001</v>
      </c>
      <c r="Q674">
        <v>4.3418720000000001E-2</v>
      </c>
      <c r="R674">
        <v>-2.351205E-2</v>
      </c>
      <c r="S674">
        <v>3.0053100000000001</v>
      </c>
      <c r="T674">
        <v>4.0323730000000002E-2</v>
      </c>
      <c r="U674">
        <v>0.14480589999999999</v>
      </c>
      <c r="V674">
        <v>3.2064660000000002E-2</v>
      </c>
      <c r="W674">
        <v>5.5546119999999997E-2</v>
      </c>
      <c r="X674">
        <v>0.99794110000000003</v>
      </c>
      <c r="Y674">
        <v>-3.957372E-2</v>
      </c>
      <c r="Z674">
        <v>-1.5056029999999999E-4</v>
      </c>
      <c r="AA674">
        <v>0.99921660000000001</v>
      </c>
      <c r="AB674">
        <v>20</v>
      </c>
      <c r="AC674">
        <v>220.93699999999899</v>
      </c>
      <c r="AD674">
        <v>2.9661469999999999</v>
      </c>
      <c r="AE674">
        <v>10.650899999999901</v>
      </c>
      <c r="AF674">
        <v>-8.7578975627748896</v>
      </c>
      <c r="AG674">
        <v>2.9661469999999999</v>
      </c>
      <c r="AH674">
        <v>220.980332969046</v>
      </c>
      <c r="AI674">
        <v>89.231586767146297</v>
      </c>
      <c r="AJ674">
        <v>92.269559865267695</v>
      </c>
      <c r="AK674">
        <v>221.17370177499899</v>
      </c>
      <c r="AL674">
        <v>86.815802841864496</v>
      </c>
      <c r="AM674">
        <v>88.159673094805896</v>
      </c>
      <c r="AN674">
        <v>0.99999997646858896</v>
      </c>
    </row>
    <row r="675" spans="1:40" x14ac:dyDescent="0.25">
      <c r="A675" t="str">
        <f>"20190312153902968"</f>
        <v>20190312153902968</v>
      </c>
      <c r="B675" t="str">
        <f>"1552376342956953"</f>
        <v>1552376342956953</v>
      </c>
      <c r="C675" t="s">
        <v>40</v>
      </c>
      <c r="D675">
        <v>3.9876040000000001</v>
      </c>
      <c r="E675">
        <v>0.4733483</v>
      </c>
      <c r="F675" t="s">
        <v>47</v>
      </c>
      <c r="G675">
        <v>-158.19499999999999</v>
      </c>
      <c r="H675">
        <v>4.1209170000000004</v>
      </c>
      <c r="I675">
        <v>378.81380000000001</v>
      </c>
      <c r="J675">
        <v>-379.01179999999999</v>
      </c>
      <c r="K675">
        <v>1.1102970000000001</v>
      </c>
      <c r="L675">
        <v>368.2072</v>
      </c>
      <c r="M675">
        <v>0.99988999999999995</v>
      </c>
      <c r="N675">
        <v>0</v>
      </c>
      <c r="O675">
        <v>8.5373069999999992E-3</v>
      </c>
      <c r="P675">
        <v>0.99877839999999996</v>
      </c>
      <c r="Q675">
        <v>4.3418949999999998E-2</v>
      </c>
      <c r="R675">
        <v>-2.359263E-2</v>
      </c>
      <c r="S675">
        <v>3.0052490000000001</v>
      </c>
      <c r="T675">
        <v>4.095244E-2</v>
      </c>
      <c r="U675">
        <v>0.1442871</v>
      </c>
      <c r="V675">
        <v>3.2124170000000001E-2</v>
      </c>
      <c r="W675">
        <v>5.5528979999999999E-2</v>
      </c>
      <c r="X675">
        <v>0.99794020000000005</v>
      </c>
      <c r="Y675">
        <v>-3.9423729999999997E-2</v>
      </c>
      <c r="Z675">
        <v>-1.5217919999999999E-4</v>
      </c>
      <c r="AA675">
        <v>0.99922259999999996</v>
      </c>
      <c r="AB675">
        <v>20</v>
      </c>
      <c r="AC675">
        <v>220.8168</v>
      </c>
      <c r="AD675">
        <v>3.0106199999999901</v>
      </c>
      <c r="AE675">
        <v>10.6066</v>
      </c>
      <c r="AF675">
        <v>-8.7192768527284805</v>
      </c>
      <c r="AG675">
        <v>3.0106199999999901</v>
      </c>
      <c r="AH675">
        <v>220.858349883008</v>
      </c>
      <c r="AI675">
        <v>89.219631528060503</v>
      </c>
      <c r="AJ675">
        <v>92.260808614681096</v>
      </c>
      <c r="AK675">
        <v>221.05089987300201</v>
      </c>
      <c r="AL675">
        <v>86.816786600389904</v>
      </c>
      <c r="AM675">
        <v>88.156258256936894</v>
      </c>
      <c r="AN675">
        <v>1.0000000363470301</v>
      </c>
    </row>
    <row r="676" spans="1:40" x14ac:dyDescent="0.25">
      <c r="A676" t="str">
        <f>"20190312153902987"</f>
        <v>20190312153902987</v>
      </c>
      <c r="B676" t="str">
        <f>"1552376342976473"</f>
        <v>1552376342976473</v>
      </c>
      <c r="C676" t="s">
        <v>40</v>
      </c>
      <c r="D676">
        <v>3.935384</v>
      </c>
      <c r="E676">
        <v>0.44642680000000001</v>
      </c>
      <c r="F676" t="s">
        <v>47</v>
      </c>
      <c r="G676">
        <v>-158.19499999999999</v>
      </c>
      <c r="H676">
        <v>4.162617</v>
      </c>
      <c r="I676">
        <v>378.80459999999999</v>
      </c>
      <c r="J676">
        <v>-378.84519999999998</v>
      </c>
      <c r="K676">
        <v>1.110298</v>
      </c>
      <c r="L676">
        <v>368.20859999999999</v>
      </c>
      <c r="M676">
        <v>0.99989059999999996</v>
      </c>
      <c r="N676">
        <v>0</v>
      </c>
      <c r="O676">
        <v>8.5074049999999991E-3</v>
      </c>
      <c r="P676">
        <v>0.99876779999999998</v>
      </c>
      <c r="Q676">
        <v>4.3488609999999997E-2</v>
      </c>
      <c r="R676">
        <v>-2.3917649999999999E-2</v>
      </c>
      <c r="S676">
        <v>3.0052490000000001</v>
      </c>
      <c r="T676">
        <v>4.1542290000000003E-2</v>
      </c>
      <c r="U676">
        <v>0.1442261</v>
      </c>
      <c r="V676">
        <v>3.2419099999999999E-2</v>
      </c>
      <c r="W676">
        <v>5.5576109999999998E-2</v>
      </c>
      <c r="X676">
        <v>0.99792800000000004</v>
      </c>
      <c r="Y676">
        <v>-3.9433280000000001E-2</v>
      </c>
      <c r="Z676">
        <v>-1.5484989999999999E-4</v>
      </c>
      <c r="AA676">
        <v>0.99922219999999995</v>
      </c>
      <c r="AB676">
        <v>20</v>
      </c>
      <c r="AC676">
        <v>220.65020000000001</v>
      </c>
      <c r="AD676">
        <v>3.0523189999999998</v>
      </c>
      <c r="AE676">
        <v>10.596</v>
      </c>
      <c r="AF676">
        <v>-8.7166542585323903</v>
      </c>
      <c r="AG676">
        <v>3.0523189999999998</v>
      </c>
      <c r="AH676">
        <v>220.690230746314</v>
      </c>
      <c r="AI676">
        <v>89.208222229863495</v>
      </c>
      <c r="AJ676">
        <v>92.261849262851001</v>
      </c>
      <c r="AK676">
        <v>220.883396070419</v>
      </c>
      <c r="AL676">
        <v>86.814081950453499</v>
      </c>
      <c r="AM676">
        <v>88.139320092320105</v>
      </c>
      <c r="AN676">
        <v>0.99999999761577096</v>
      </c>
    </row>
    <row r="677" spans="1:40" x14ac:dyDescent="0.25">
      <c r="A677" t="str">
        <f>"20190312153903010"</f>
        <v>20190312153903010</v>
      </c>
      <c r="B677" t="str">
        <f>"1552376342996502"</f>
        <v>1552376342996502</v>
      </c>
      <c r="C677" t="s">
        <v>40</v>
      </c>
      <c r="D677">
        <v>3.918501</v>
      </c>
      <c r="E677">
        <v>0.43532290000000001</v>
      </c>
      <c r="F677" t="s">
        <v>51</v>
      </c>
      <c r="G677">
        <v>-193.79820000000001</v>
      </c>
      <c r="H677">
        <v>7.6369160000000003</v>
      </c>
      <c r="I677">
        <v>390.11860000000001</v>
      </c>
      <c r="J677">
        <v>-378.63619999999997</v>
      </c>
      <c r="K677">
        <v>1.1102939999999999</v>
      </c>
      <c r="L677">
        <v>368.21039999999999</v>
      </c>
      <c r="M677">
        <v>0.99989110000000003</v>
      </c>
      <c r="N677">
        <v>0</v>
      </c>
      <c r="O677">
        <v>8.4701280000000004E-3</v>
      </c>
      <c r="P677">
        <v>0.99876169999999997</v>
      </c>
      <c r="Q677">
        <v>4.3595700000000001E-2</v>
      </c>
      <c r="R677">
        <v>-2.3970140000000001E-2</v>
      </c>
      <c r="S677">
        <v>3.0076290000000001</v>
      </c>
      <c r="T677">
        <v>0.1060792</v>
      </c>
      <c r="U677">
        <v>0.35610960000000003</v>
      </c>
      <c r="V677">
        <v>3.243443E-2</v>
      </c>
      <c r="W677">
        <v>5.5658480000000003E-2</v>
      </c>
      <c r="X677">
        <v>0.99792289999999995</v>
      </c>
      <c r="Y677">
        <v>-0.1091029</v>
      </c>
      <c r="Z677">
        <v>-1.6191529999999999E-3</v>
      </c>
      <c r="AA677">
        <v>0.99402919999999995</v>
      </c>
      <c r="AB677">
        <v>20</v>
      </c>
      <c r="AC677">
        <v>184.83799999999999</v>
      </c>
      <c r="AD677">
        <v>6.5266219999999997</v>
      </c>
      <c r="AE677">
        <v>21.908200000000001</v>
      </c>
      <c r="AF677">
        <v>-20.3167183192813</v>
      </c>
      <c r="AG677">
        <v>6.5266219999999997</v>
      </c>
      <c r="AH677">
        <v>184.78974458066199</v>
      </c>
      <c r="AI677">
        <v>87.9893069616312</v>
      </c>
      <c r="AJ677">
        <v>96.274187895619605</v>
      </c>
      <c r="AK677">
        <v>186.01778286008701</v>
      </c>
      <c r="AL677">
        <v>86.809355145281302</v>
      </c>
      <c r="AM677">
        <v>88.138431345652705</v>
      </c>
      <c r="AN677">
        <v>0.99999998649487198</v>
      </c>
    </row>
    <row r="678" spans="1:40" x14ac:dyDescent="0.25">
      <c r="A678" t="str">
        <f>"20190312153903025"</f>
        <v>20190312153903025</v>
      </c>
      <c r="B678" t="str">
        <f>"1552376343016997"</f>
        <v>1552376343016997</v>
      </c>
      <c r="C678" t="s">
        <v>40</v>
      </c>
      <c r="D678">
        <v>3.9316279999999999</v>
      </c>
      <c r="E678">
        <v>0.43083149999999998</v>
      </c>
      <c r="F678" t="s">
        <v>51</v>
      </c>
      <c r="G678">
        <v>-230.29220000000001</v>
      </c>
      <c r="H678">
        <v>6.6897369999999903</v>
      </c>
      <c r="I678">
        <v>390.11860000000001</v>
      </c>
      <c r="J678">
        <v>-378.49509999999998</v>
      </c>
      <c r="K678">
        <v>1.110293</v>
      </c>
      <c r="L678">
        <v>368.2115</v>
      </c>
      <c r="M678">
        <v>0.99989150000000004</v>
      </c>
      <c r="N678">
        <v>0</v>
      </c>
      <c r="O678">
        <v>8.4445200000000005E-3</v>
      </c>
      <c r="P678">
        <v>0.99875919999999896</v>
      </c>
      <c r="Q678">
        <v>4.356144E-2</v>
      </c>
      <c r="R678">
        <v>-2.413856E-2</v>
      </c>
      <c r="S678">
        <v>3.0094910000000001</v>
      </c>
      <c r="T678">
        <v>0.1131915</v>
      </c>
      <c r="U678">
        <v>0.44445800000000002</v>
      </c>
      <c r="V678">
        <v>3.2577210000000002E-2</v>
      </c>
      <c r="W678">
        <v>5.5611349999999997E-2</v>
      </c>
      <c r="X678">
        <v>0.9979209</v>
      </c>
      <c r="Y678">
        <v>-0.13765160000000001</v>
      </c>
      <c r="Z678">
        <v>-2.258024E-3</v>
      </c>
      <c r="AA678">
        <v>0.99047819999999998</v>
      </c>
      <c r="AB678">
        <v>20</v>
      </c>
      <c r="AC678">
        <v>148.202899999999</v>
      </c>
      <c r="AD678">
        <v>5.5794439999999899</v>
      </c>
      <c r="AE678">
        <v>21.9071</v>
      </c>
      <c r="AF678">
        <v>-20.626116519119101</v>
      </c>
      <c r="AG678">
        <v>5.5794439999999899</v>
      </c>
      <c r="AH678">
        <v>148.17709951431101</v>
      </c>
      <c r="AI678">
        <v>87.864183414847204</v>
      </c>
      <c r="AJ678">
        <v>97.924598482405003</v>
      </c>
      <c r="AK678">
        <v>149.709784912288</v>
      </c>
      <c r="AL678">
        <v>86.812059758493902</v>
      </c>
      <c r="AM678">
        <v>88.130238570958099</v>
      </c>
      <c r="AN678">
        <v>1.0000000097585</v>
      </c>
    </row>
    <row r="679" spans="1:40" x14ac:dyDescent="0.25">
      <c r="A679" t="str">
        <f>"20190312153903044"</f>
        <v>20190312153903044</v>
      </c>
      <c r="B679" t="str">
        <f>"1552376343036517"</f>
        <v>1552376343036517</v>
      </c>
      <c r="C679" t="s">
        <v>40</v>
      </c>
      <c r="D679">
        <v>3.9184009999999998</v>
      </c>
      <c r="E679">
        <v>0.42885309999999999</v>
      </c>
      <c r="F679" t="s">
        <v>51</v>
      </c>
      <c r="G679">
        <v>-235.21289999999999</v>
      </c>
      <c r="H679">
        <v>6.0356239999999897</v>
      </c>
      <c r="I679">
        <v>391.0489</v>
      </c>
      <c r="J679">
        <v>-378.33109999999999</v>
      </c>
      <c r="K679">
        <v>1.110293</v>
      </c>
      <c r="L679">
        <v>368.21289999999999</v>
      </c>
      <c r="M679">
        <v>0.99989189999999994</v>
      </c>
      <c r="N679">
        <v>0</v>
      </c>
      <c r="O679">
        <v>8.4126840000000001E-3</v>
      </c>
      <c r="P679">
        <v>0.99875449999999999</v>
      </c>
      <c r="Q679">
        <v>4.3597370000000003E-2</v>
      </c>
      <c r="R679">
        <v>-2.4269369999999998E-2</v>
      </c>
      <c r="S679">
        <v>3.010834</v>
      </c>
      <c r="T679">
        <v>0.1034974</v>
      </c>
      <c r="U679">
        <v>0.47988890000000001</v>
      </c>
      <c r="V679">
        <v>3.2676299999999998E-2</v>
      </c>
      <c r="W679">
        <v>5.5636100000000001E-2</v>
      </c>
      <c r="X679">
        <v>0.99791629999999998</v>
      </c>
      <c r="Y679">
        <v>-0.14900569999999999</v>
      </c>
      <c r="Z679">
        <v>-2.256975E-3</v>
      </c>
      <c r="AA679">
        <v>0.98883379999999998</v>
      </c>
      <c r="AB679">
        <v>20</v>
      </c>
      <c r="AC679">
        <v>143.1182</v>
      </c>
      <c r="AD679">
        <v>4.9253309999999999</v>
      </c>
      <c r="AE679">
        <v>22.835999999999999</v>
      </c>
      <c r="AF679">
        <v>-21.6061420583139</v>
      </c>
      <c r="AG679">
        <v>4.9253309999999999</v>
      </c>
      <c r="AH679">
        <v>143.13994147585501</v>
      </c>
      <c r="AI679">
        <v>88.051332568888697</v>
      </c>
      <c r="AJ679">
        <v>98.583665765107995</v>
      </c>
      <c r="AK679">
        <v>144.84518323304701</v>
      </c>
      <c r="AL679">
        <v>86.810639550555194</v>
      </c>
      <c r="AM679">
        <v>88.124546739752205</v>
      </c>
      <c r="AN679">
        <v>1.0000000290052899</v>
      </c>
    </row>
    <row r="680" spans="1:40" x14ac:dyDescent="0.25">
      <c r="A680" t="str">
        <f>"20190312153903064"</f>
        <v>20190312153903064</v>
      </c>
      <c r="B680" t="str">
        <f>"1552376343057013"</f>
        <v>1552376343057013</v>
      </c>
      <c r="C680" t="s">
        <v>40</v>
      </c>
      <c r="D680">
        <v>3.9834930000000002</v>
      </c>
      <c r="E680">
        <v>0.42802750000000001</v>
      </c>
      <c r="F680" t="s">
        <v>51</v>
      </c>
      <c r="G680">
        <v>-234.2748</v>
      </c>
      <c r="H680">
        <v>5.8107150000000001</v>
      </c>
      <c r="I680">
        <v>391.91449999999998</v>
      </c>
      <c r="J680">
        <v>-378.1379</v>
      </c>
      <c r="K680">
        <v>1.1102909999999999</v>
      </c>
      <c r="L680">
        <v>368.21440000000001</v>
      </c>
      <c r="M680">
        <v>0.99989240000000001</v>
      </c>
      <c r="N680">
        <v>0</v>
      </c>
      <c r="O680">
        <v>8.3719080000000008E-3</v>
      </c>
      <c r="P680">
        <v>0.99877050000000001</v>
      </c>
      <c r="Q680">
        <v>4.3194509999999998E-2</v>
      </c>
      <c r="R680">
        <v>-2.4329949999999999E-2</v>
      </c>
      <c r="S680">
        <v>3.0115050000000001</v>
      </c>
      <c r="T680">
        <v>9.8262550000000004E-2</v>
      </c>
      <c r="U680">
        <v>0.49548340000000002</v>
      </c>
      <c r="V680">
        <v>3.2696549999999998E-2</v>
      </c>
      <c r="W680">
        <v>5.5227119999999998E-2</v>
      </c>
      <c r="X680">
        <v>0.99793829999999994</v>
      </c>
      <c r="Y680">
        <v>-0.1540049</v>
      </c>
      <c r="Z680">
        <v>-2.2238449999999999E-3</v>
      </c>
      <c r="AA680">
        <v>0.98806760000000005</v>
      </c>
      <c r="AB680">
        <v>20</v>
      </c>
      <c r="AC680">
        <v>143.8631</v>
      </c>
      <c r="AD680">
        <v>4.7004239999999999</v>
      </c>
      <c r="AE680">
        <v>23.7000999999999</v>
      </c>
      <c r="AF680">
        <v>-22.471418473444999</v>
      </c>
      <c r="AG680">
        <v>4.7004239999999999</v>
      </c>
      <c r="AH680">
        <v>143.90692288464999</v>
      </c>
      <c r="AI680">
        <v>88.151599939404406</v>
      </c>
      <c r="AJ680">
        <v>98.875203027623897</v>
      </c>
      <c r="AK680">
        <v>145.726665672818</v>
      </c>
      <c r="AL680">
        <v>86.834108290205705</v>
      </c>
      <c r="AM680">
        <v>88.123426664861995</v>
      </c>
      <c r="AN680">
        <v>0.99999997488614301</v>
      </c>
    </row>
    <row r="681" spans="1:40" x14ac:dyDescent="0.25">
      <c r="A681" t="str">
        <f>"20190312153903086"</f>
        <v>20190312153903086</v>
      </c>
      <c r="B681" t="str">
        <f>"1552376343076533"</f>
        <v>1552376343076533</v>
      </c>
      <c r="C681" t="s">
        <v>40</v>
      </c>
      <c r="D681">
        <v>3.981525</v>
      </c>
      <c r="E681">
        <v>0.42761539999999998</v>
      </c>
      <c r="F681" t="s">
        <v>52</v>
      </c>
      <c r="G681">
        <v>-242.15629999999999</v>
      </c>
      <c r="H681">
        <v>5.2729660000000003</v>
      </c>
      <c r="I681">
        <v>390.88350000000003</v>
      </c>
      <c r="J681">
        <v>-377.9323</v>
      </c>
      <c r="K681">
        <v>1.1102890000000001</v>
      </c>
      <c r="L681">
        <v>368.21609999999998</v>
      </c>
      <c r="M681">
        <v>0.99989269999999997</v>
      </c>
      <c r="N681">
        <v>0</v>
      </c>
      <c r="O681">
        <v>8.3316220000000003E-3</v>
      </c>
      <c r="P681">
        <v>0.9987646</v>
      </c>
      <c r="Q681">
        <v>4.3392E-2</v>
      </c>
      <c r="R681">
        <v>-2.4221360000000001E-2</v>
      </c>
      <c r="S681">
        <v>3.0119020000000001</v>
      </c>
      <c r="T681">
        <v>9.2201110000000003E-2</v>
      </c>
      <c r="U681">
        <v>0.50210569999999999</v>
      </c>
      <c r="V681">
        <v>3.254787E-2</v>
      </c>
      <c r="W681">
        <v>5.5422810000000003E-2</v>
      </c>
      <c r="X681">
        <v>0.99793229999999999</v>
      </c>
      <c r="Y681">
        <v>-0.15614600000000001</v>
      </c>
      <c r="Z681">
        <v>-2.1198520000000002E-3</v>
      </c>
      <c r="AA681">
        <v>0.98773169999999999</v>
      </c>
      <c r="AB681">
        <v>20</v>
      </c>
      <c r="AC681">
        <v>135.77600000000001</v>
      </c>
      <c r="AD681">
        <v>4.1626769999999897</v>
      </c>
      <c r="AE681">
        <v>22.667400000000001</v>
      </c>
      <c r="AF681">
        <v>-21.515621711249601</v>
      </c>
      <c r="AG681">
        <v>4.1626769999999897</v>
      </c>
      <c r="AH681">
        <v>135.835941267941</v>
      </c>
      <c r="AI681">
        <v>88.266326330947706</v>
      </c>
      <c r="AJ681">
        <v>99.000544047629305</v>
      </c>
      <c r="AK681">
        <v>137.592342801391</v>
      </c>
      <c r="AL681">
        <v>86.822878843797</v>
      </c>
      <c r="AM681">
        <v>88.131942664886296</v>
      </c>
      <c r="AN681">
        <v>0.99999996354656095</v>
      </c>
    </row>
    <row r="682" spans="1:40" x14ac:dyDescent="0.25">
      <c r="A682" t="str">
        <f>"20190312153903102"</f>
        <v>20190312153903102</v>
      </c>
      <c r="B682" t="str">
        <f>"1552376343096563"</f>
        <v>1552376343096563</v>
      </c>
      <c r="C682" t="s">
        <v>40</v>
      </c>
      <c r="D682">
        <v>3.9735290000000001</v>
      </c>
      <c r="E682">
        <v>0.42749160000000003</v>
      </c>
      <c r="F682" t="s">
        <v>52</v>
      </c>
      <c r="G682">
        <v>-242.95609999999999</v>
      </c>
      <c r="H682">
        <v>5.2076849999999997</v>
      </c>
      <c r="I682">
        <v>390.88350000000003</v>
      </c>
      <c r="J682">
        <v>-377.80239999999998</v>
      </c>
      <c r="K682">
        <v>1.1102890000000001</v>
      </c>
      <c r="L682">
        <v>368.21710000000002</v>
      </c>
      <c r="M682">
        <v>0.99989289999999997</v>
      </c>
      <c r="N682">
        <v>0</v>
      </c>
      <c r="O682">
        <v>8.3092949999999995E-3</v>
      </c>
      <c r="P682">
        <v>0.99875199999999997</v>
      </c>
      <c r="Q682">
        <v>4.3713870000000002E-2</v>
      </c>
      <c r="R682">
        <v>-2.4160709999999998E-2</v>
      </c>
      <c r="S682">
        <v>3.0120239999999998</v>
      </c>
      <c r="T682">
        <v>9.1434959999999996E-2</v>
      </c>
      <c r="U682">
        <v>0.50582890000000003</v>
      </c>
      <c r="V682">
        <v>3.2464659999999999E-2</v>
      </c>
      <c r="W682">
        <v>5.574465E-2</v>
      </c>
      <c r="X682">
        <v>0.9979171</v>
      </c>
      <c r="Y682">
        <v>-0.15734979999999901</v>
      </c>
      <c r="Z682">
        <v>-2.1207610000000001E-3</v>
      </c>
      <c r="AA682">
        <v>0.98754070000000005</v>
      </c>
      <c r="AB682">
        <v>20</v>
      </c>
      <c r="AC682">
        <v>134.84630000000001</v>
      </c>
      <c r="AD682">
        <v>4.0973959999999998</v>
      </c>
      <c r="AE682">
        <v>22.666399999999999</v>
      </c>
      <c r="AF682">
        <v>-21.525730004505299</v>
      </c>
      <c r="AG682">
        <v>4.0973959999999998</v>
      </c>
      <c r="AH682">
        <v>134.90886228464399</v>
      </c>
      <c r="AI682">
        <v>88.282088241545495</v>
      </c>
      <c r="AJ682">
        <v>99.065558493610695</v>
      </c>
      <c r="AK682">
        <v>136.67679696694901</v>
      </c>
      <c r="AL682">
        <v>86.8044102678451</v>
      </c>
      <c r="AM682">
        <v>88.136686700305404</v>
      </c>
      <c r="AN682">
        <v>0.99999997931247397</v>
      </c>
    </row>
    <row r="683" spans="1:40" x14ac:dyDescent="0.25">
      <c r="A683" t="str">
        <f>"20190312153903119"</f>
        <v>20190312153903119</v>
      </c>
      <c r="B683" t="str">
        <f>"1552376343107299"</f>
        <v>1552376343107299</v>
      </c>
      <c r="C683" t="s">
        <v>40</v>
      </c>
      <c r="D683">
        <v>3.9805769999999998</v>
      </c>
      <c r="E683">
        <v>0.42743969999999998</v>
      </c>
      <c r="F683" t="s">
        <v>52</v>
      </c>
      <c r="G683">
        <v>-243.1491</v>
      </c>
      <c r="H683">
        <v>5.186083</v>
      </c>
      <c r="I683">
        <v>390.88350000000003</v>
      </c>
      <c r="J683">
        <v>-377.63900000000001</v>
      </c>
      <c r="K683">
        <v>1.1102920000000001</v>
      </c>
      <c r="L683">
        <v>368.21850000000001</v>
      </c>
      <c r="M683">
        <v>0.99989320000000004</v>
      </c>
      <c r="N683">
        <v>0</v>
      </c>
      <c r="O683">
        <v>8.2789149999999995E-3</v>
      </c>
      <c r="P683">
        <v>0.99874200000000002</v>
      </c>
      <c r="Q683">
        <v>4.4046130000000003E-2</v>
      </c>
      <c r="R683">
        <v>-2.3970249999999999E-2</v>
      </c>
      <c r="S683">
        <v>3.0120239999999998</v>
      </c>
      <c r="T683">
        <v>9.117103E-2</v>
      </c>
      <c r="U683">
        <v>0.507019</v>
      </c>
      <c r="V683">
        <v>3.2243630000000002E-2</v>
      </c>
      <c r="W683">
        <v>5.6076960000000002E-2</v>
      </c>
      <c r="X683">
        <v>0.99790570000000001</v>
      </c>
      <c r="Y683">
        <v>-0.15775939999999999</v>
      </c>
      <c r="Z683">
        <v>-2.1216410000000001E-3</v>
      </c>
      <c r="AA683">
        <v>0.98747529999999994</v>
      </c>
      <c r="AB683">
        <v>20</v>
      </c>
      <c r="AC683">
        <v>134.48990000000001</v>
      </c>
      <c r="AD683">
        <v>4.0757909999999997</v>
      </c>
      <c r="AE683">
        <v>22.664999999999999</v>
      </c>
      <c r="AF683">
        <v>-21.531482962296099</v>
      </c>
      <c r="AG683">
        <v>4.0757909999999997</v>
      </c>
      <c r="AH683">
        <v>134.55278138276799</v>
      </c>
      <c r="AI683">
        <v>88.286745591825394</v>
      </c>
      <c r="AJ683">
        <v>99.091538253808693</v>
      </c>
      <c r="AK683">
        <v>136.32559484069901</v>
      </c>
      <c r="AL683">
        <v>86.785340645566393</v>
      </c>
      <c r="AM683">
        <v>88.149342766832206</v>
      </c>
      <c r="AN683">
        <v>1.00000003160545</v>
      </c>
    </row>
    <row r="684" spans="1:40" x14ac:dyDescent="0.25">
      <c r="A684" t="str">
        <f>"20190312153903133"</f>
        <v>20190312153903133</v>
      </c>
      <c r="B684" t="str">
        <f>"1552376343126818"</f>
        <v>1552376343126818</v>
      </c>
      <c r="C684" t="s">
        <v>40</v>
      </c>
      <c r="D684">
        <v>4.0095199999999904</v>
      </c>
      <c r="E684">
        <v>0.42722349999999998</v>
      </c>
      <c r="F684" t="s">
        <v>52</v>
      </c>
      <c r="G684">
        <v>-243.25559999999999</v>
      </c>
      <c r="H684">
        <v>5.1867049999999999</v>
      </c>
      <c r="I684">
        <v>390.88350000000003</v>
      </c>
      <c r="J684">
        <v>-377.50659999999999</v>
      </c>
      <c r="K684">
        <v>1.110293</v>
      </c>
      <c r="L684">
        <v>368.21949999999998</v>
      </c>
      <c r="M684">
        <v>0.99989340000000004</v>
      </c>
      <c r="N684">
        <v>0</v>
      </c>
      <c r="O684">
        <v>8.2513780000000002E-3</v>
      </c>
      <c r="P684">
        <v>0.99874649999999998</v>
      </c>
      <c r="Q684">
        <v>4.3998410000000002E-2</v>
      </c>
      <c r="R684">
        <v>-2.3869850000000001E-2</v>
      </c>
      <c r="S684">
        <v>3.0119630000000002</v>
      </c>
      <c r="T684">
        <v>9.1366050000000004E-2</v>
      </c>
      <c r="U684">
        <v>0.50799559999999999</v>
      </c>
      <c r="V684">
        <v>3.2115959999999999E-2</v>
      </c>
      <c r="W684">
        <v>5.6029830000000003E-2</v>
      </c>
      <c r="X684">
        <v>0.99791240000000003</v>
      </c>
      <c r="Y684">
        <v>-0.15810080000000001</v>
      </c>
      <c r="Z684">
        <v>-2.1321320000000001E-3</v>
      </c>
      <c r="AA684">
        <v>0.98742070000000004</v>
      </c>
      <c r="AB684">
        <v>20</v>
      </c>
      <c r="AC684">
        <v>134.251</v>
      </c>
      <c r="AD684">
        <v>4.0764120000000004</v>
      </c>
      <c r="AE684">
        <v>22.664000000000001</v>
      </c>
      <c r="AF684">
        <v>-21.5360865862697</v>
      </c>
      <c r="AG684">
        <v>4.0764120000000004</v>
      </c>
      <c r="AH684">
        <v>134.31304939194499</v>
      </c>
      <c r="AI684">
        <v>88.283513834622497</v>
      </c>
      <c r="AJ684">
        <v>99.109408401993605</v>
      </c>
      <c r="AK684">
        <v>136.08973288682799</v>
      </c>
      <c r="AL684">
        <v>86.788045041394795</v>
      </c>
      <c r="AM684">
        <v>88.156677823694494</v>
      </c>
      <c r="AN684">
        <v>0.99999996740515396</v>
      </c>
    </row>
    <row r="685" spans="1:40" x14ac:dyDescent="0.25">
      <c r="A685" t="str">
        <f>"20190312153903146"</f>
        <v>20190312153903146</v>
      </c>
      <c r="B685" t="str">
        <f>"1552376343136578"</f>
        <v>1552376343136578</v>
      </c>
      <c r="C685" t="s">
        <v>40</v>
      </c>
      <c r="D685">
        <v>4.0022520000000004</v>
      </c>
      <c r="E685">
        <v>0.42717270000000002</v>
      </c>
      <c r="F685" t="s">
        <v>52</v>
      </c>
      <c r="G685">
        <v>-243.69200000000001</v>
      </c>
      <c r="H685">
        <v>5.1169609999999999</v>
      </c>
      <c r="I685">
        <v>390.88350000000003</v>
      </c>
      <c r="J685">
        <v>-377.38900000000001</v>
      </c>
      <c r="K685">
        <v>1.110287</v>
      </c>
      <c r="L685">
        <v>368.22050000000002</v>
      </c>
      <c r="M685">
        <v>0.99989340000000004</v>
      </c>
      <c r="N685">
        <v>0</v>
      </c>
      <c r="O685">
        <v>8.2283730000000006E-3</v>
      </c>
      <c r="P685">
        <v>0.99873590000000001</v>
      </c>
      <c r="Q685">
        <v>4.4131990000000003E-2</v>
      </c>
      <c r="R685">
        <v>-2.4059560000000001E-2</v>
      </c>
      <c r="S685">
        <v>3.0119630000000002</v>
      </c>
      <c r="T685">
        <v>9.0184570000000006E-2</v>
      </c>
      <c r="U685">
        <v>0.51013180000000002</v>
      </c>
      <c r="V685">
        <v>3.2282350000000001E-2</v>
      </c>
      <c r="W685">
        <v>5.616409E-2</v>
      </c>
      <c r="X685">
        <v>0.99789950000000005</v>
      </c>
      <c r="Y685">
        <v>-0.15880569999999999</v>
      </c>
      <c r="Z685">
        <v>-2.11561E-3</v>
      </c>
      <c r="AA685">
        <v>0.98730759999999995</v>
      </c>
      <c r="AB685">
        <v>20</v>
      </c>
      <c r="AC685">
        <v>133.697</v>
      </c>
      <c r="AD685">
        <v>4.0066739999999896</v>
      </c>
      <c r="AE685">
        <v>22.663</v>
      </c>
      <c r="AF685">
        <v>-21.543236277137499</v>
      </c>
      <c r="AG685">
        <v>4.0066739999999896</v>
      </c>
      <c r="AH685">
        <v>133.762189991828</v>
      </c>
      <c r="AI685">
        <v>88.306107203763702</v>
      </c>
      <c r="AJ685">
        <v>99.149275057379199</v>
      </c>
      <c r="AK685">
        <v>135.545150917489</v>
      </c>
      <c r="AL685">
        <v>86.780340429684799</v>
      </c>
      <c r="AM685">
        <v>88.147110435682606</v>
      </c>
      <c r="AN685">
        <v>0.99999998361364995</v>
      </c>
    </row>
    <row r="686" spans="1:40" x14ac:dyDescent="0.25">
      <c r="A686" t="str">
        <f>"20190312153903164"</f>
        <v>20190312153903164</v>
      </c>
      <c r="B686" t="str">
        <f>"1552376343157074"</f>
        <v>1552376343157074</v>
      </c>
      <c r="C686" t="s">
        <v>40</v>
      </c>
      <c r="D686">
        <v>3.9766370000000002</v>
      </c>
      <c r="E686">
        <v>0.42692659999999999</v>
      </c>
      <c r="F686" t="s">
        <v>52</v>
      </c>
      <c r="G686">
        <v>-243.50380000000001</v>
      </c>
      <c r="H686">
        <v>5.152838</v>
      </c>
      <c r="I686">
        <v>390.88350000000003</v>
      </c>
      <c r="J686">
        <v>-377.22609999999997</v>
      </c>
      <c r="K686">
        <v>1.1102879999999999</v>
      </c>
      <c r="L686">
        <v>368.22179999999997</v>
      </c>
      <c r="M686">
        <v>0.9998937</v>
      </c>
      <c r="N686">
        <v>0</v>
      </c>
      <c r="O686">
        <v>8.1976800000000006E-3</v>
      </c>
      <c r="P686">
        <v>0.99872179999999999</v>
      </c>
      <c r="Q686">
        <v>4.4448599999999998E-2</v>
      </c>
      <c r="R686">
        <v>-2.4060439999999999E-2</v>
      </c>
      <c r="S686">
        <v>3.012054</v>
      </c>
      <c r="T686">
        <v>9.0947150000000004E-2</v>
      </c>
      <c r="U686">
        <v>0.50985720000000001</v>
      </c>
      <c r="V686">
        <v>3.2252469999999998E-2</v>
      </c>
      <c r="W686">
        <v>5.6481629999999998E-2</v>
      </c>
      <c r="X686">
        <v>0.99788250000000001</v>
      </c>
      <c r="Y686">
        <v>-0.15874250000000001</v>
      </c>
      <c r="Z686">
        <v>-2.133416E-3</v>
      </c>
      <c r="AA686">
        <v>0.98731769999999996</v>
      </c>
      <c r="AB686">
        <v>20</v>
      </c>
      <c r="AC686">
        <v>133.722299999999</v>
      </c>
      <c r="AD686">
        <v>4.0425500000000003</v>
      </c>
      <c r="AE686">
        <v>22.6617</v>
      </c>
      <c r="AF686">
        <v>-21.545505180213699</v>
      </c>
      <c r="AG686">
        <v>4.0425500000000003</v>
      </c>
      <c r="AH686">
        <v>133.78473923877601</v>
      </c>
      <c r="AI686">
        <v>88.291234097695806</v>
      </c>
      <c r="AJ686">
        <v>99.148706171208204</v>
      </c>
      <c r="AK686">
        <v>135.56882922397901</v>
      </c>
      <c r="AL686">
        <v>86.762117659907901</v>
      </c>
      <c r="AM686">
        <v>88.148792730457401</v>
      </c>
      <c r="AN686">
        <v>0.99999994007740201</v>
      </c>
    </row>
    <row r="687" spans="1:40" x14ac:dyDescent="0.25">
      <c r="A687" t="str">
        <f>"20190312153903186"</f>
        <v>20190312153903186</v>
      </c>
      <c r="B687" t="str">
        <f>"1552376343176595"</f>
        <v>1552376343176595</v>
      </c>
      <c r="C687" t="s">
        <v>40</v>
      </c>
      <c r="D687">
        <v>4.0138299999999996</v>
      </c>
      <c r="E687">
        <v>0.42682910000000002</v>
      </c>
      <c r="F687" t="s">
        <v>52</v>
      </c>
      <c r="G687">
        <v>-243.82769999999999</v>
      </c>
      <c r="H687">
        <v>5.1756520000000004</v>
      </c>
      <c r="I687">
        <v>390.88350000000003</v>
      </c>
      <c r="J687">
        <v>-377.0249</v>
      </c>
      <c r="K687">
        <v>1.110287</v>
      </c>
      <c r="L687">
        <v>368.22340000000003</v>
      </c>
      <c r="M687">
        <v>0.99989410000000001</v>
      </c>
      <c r="N687">
        <v>0</v>
      </c>
      <c r="O687">
        <v>8.1609009999999999E-3</v>
      </c>
      <c r="P687">
        <v>0.99869779999999997</v>
      </c>
      <c r="Q687">
        <v>4.501438E-2</v>
      </c>
      <c r="R687">
        <v>-2.401911E-2</v>
      </c>
      <c r="S687">
        <v>3.012054</v>
      </c>
      <c r="T687">
        <v>9.1794130000000002E-2</v>
      </c>
      <c r="U687">
        <v>0.51168820000000004</v>
      </c>
      <c r="V687">
        <v>3.2173930000000003E-2</v>
      </c>
      <c r="W687">
        <v>5.7048630000000003E-2</v>
      </c>
      <c r="X687">
        <v>0.99785290000000004</v>
      </c>
      <c r="Y687">
        <v>-0.15936069999999999</v>
      </c>
      <c r="Z687">
        <v>-2.1636289999999998E-3</v>
      </c>
      <c r="AA687">
        <v>0.98721809999999999</v>
      </c>
      <c r="AB687">
        <v>20</v>
      </c>
      <c r="AC687">
        <v>133.19720000000001</v>
      </c>
      <c r="AD687">
        <v>4.0653649999999999</v>
      </c>
      <c r="AE687">
        <v>22.6601</v>
      </c>
      <c r="AF687">
        <v>-21.552744373070698</v>
      </c>
      <c r="AG687">
        <v>4.0653649999999999</v>
      </c>
      <c r="AH687">
        <v>133.257059397874</v>
      </c>
      <c r="AI687">
        <v>88.274983207853495</v>
      </c>
      <c r="AJ687">
        <v>99.187350863990403</v>
      </c>
      <c r="AK687">
        <v>135.04996061444299</v>
      </c>
      <c r="AL687">
        <v>86.729578872402399</v>
      </c>
      <c r="AM687">
        <v>88.153242853378501</v>
      </c>
      <c r="AN687">
        <v>1.00000005899746</v>
      </c>
    </row>
    <row r="688" spans="1:40" x14ac:dyDescent="0.25">
      <c r="A688" t="str">
        <f>"20190312153903208"</f>
        <v>20190312153903208</v>
      </c>
      <c r="B688" t="str">
        <f>"1552376343197090"</f>
        <v>1552376343197090</v>
      </c>
      <c r="C688" t="s">
        <v>40</v>
      </c>
      <c r="D688">
        <v>3.9939249999999999</v>
      </c>
      <c r="E688">
        <v>0.42671629999999999</v>
      </c>
      <c r="F688" t="s">
        <v>52</v>
      </c>
      <c r="G688">
        <v>-243.97049999999999</v>
      </c>
      <c r="H688">
        <v>5.225454</v>
      </c>
      <c r="I688">
        <v>390.88350000000003</v>
      </c>
      <c r="J688">
        <v>-376.82170000000002</v>
      </c>
      <c r="K688">
        <v>1.1102920000000001</v>
      </c>
      <c r="L688">
        <v>368.22500000000002</v>
      </c>
      <c r="M688">
        <v>0.99989430000000001</v>
      </c>
      <c r="N688">
        <v>0</v>
      </c>
      <c r="O688">
        <v>8.1239329999999998E-3</v>
      </c>
      <c r="P688">
        <v>0.99867649999999997</v>
      </c>
      <c r="Q688">
        <v>4.5580780000000001E-2</v>
      </c>
      <c r="R688">
        <v>-2.3829119999999999E-2</v>
      </c>
      <c r="S688">
        <v>3.0120239999999998</v>
      </c>
      <c r="T688">
        <v>9.3157889999999993E-2</v>
      </c>
      <c r="U688">
        <v>0.51297000000000004</v>
      </c>
      <c r="V688">
        <v>3.1947120000000002E-2</v>
      </c>
      <c r="W688">
        <v>5.7616559999999997E-2</v>
      </c>
      <c r="X688">
        <v>0.99782749999999998</v>
      </c>
      <c r="Y688">
        <v>-0.159804799999999</v>
      </c>
      <c r="Z688">
        <v>-2.203656E-3</v>
      </c>
      <c r="AA688">
        <v>0.98714619999999997</v>
      </c>
      <c r="AB688">
        <v>20</v>
      </c>
      <c r="AC688">
        <v>132.85120000000001</v>
      </c>
      <c r="AD688">
        <v>4.1151619999999998</v>
      </c>
      <c r="AE688">
        <v>22.6585</v>
      </c>
      <c r="AF688">
        <v>-21.558299067537501</v>
      </c>
      <c r="AG688">
        <v>4.1151619999999998</v>
      </c>
      <c r="AH688">
        <v>132.90698588717001</v>
      </c>
      <c r="AI688">
        <v>88.249399100626206</v>
      </c>
      <c r="AJ688">
        <v>99.213469065302206</v>
      </c>
      <c r="AK688">
        <v>134.706947536435</v>
      </c>
      <c r="AL688">
        <v>86.696985084913194</v>
      </c>
      <c r="AM688">
        <v>88.166205994428907</v>
      </c>
      <c r="AN688">
        <v>1.0000000031093801</v>
      </c>
    </row>
    <row r="689" spans="1:40" x14ac:dyDescent="0.25">
      <c r="A689" t="str">
        <f>"20190312153903233"</f>
        <v>20190312153903233</v>
      </c>
      <c r="B689" t="str">
        <f>"1552376343216610"</f>
        <v>1552376343216610</v>
      </c>
      <c r="C689" t="s">
        <v>40</v>
      </c>
      <c r="D689">
        <v>4.0517609999999999</v>
      </c>
      <c r="E689">
        <v>0.42656129999999998</v>
      </c>
      <c r="F689" t="s">
        <v>52</v>
      </c>
      <c r="G689">
        <v>-244.10310000000001</v>
      </c>
      <c r="H689">
        <v>5.2566319999999997</v>
      </c>
      <c r="I689">
        <v>390.88350000000003</v>
      </c>
      <c r="J689">
        <v>-376.61320000000001</v>
      </c>
      <c r="K689">
        <v>1.1102909999999999</v>
      </c>
      <c r="L689">
        <v>368.22660000000002</v>
      </c>
      <c r="M689">
        <v>0.99989470000000003</v>
      </c>
      <c r="N689">
        <v>0</v>
      </c>
      <c r="O689">
        <v>8.0849909999999997E-3</v>
      </c>
      <c r="P689">
        <v>0.99866690000000002</v>
      </c>
      <c r="Q689">
        <v>4.5664759999999999E-2</v>
      </c>
      <c r="R689">
        <v>-2.4075320000000001E-2</v>
      </c>
      <c r="S689">
        <v>3.0119630000000002</v>
      </c>
      <c r="T689">
        <v>9.4099160000000001E-2</v>
      </c>
      <c r="U689">
        <v>0.51422120000000004</v>
      </c>
      <c r="V689">
        <v>3.2154299999999997E-2</v>
      </c>
      <c r="W689">
        <v>5.770082E-2</v>
      </c>
      <c r="X689">
        <v>0.99781600000000004</v>
      </c>
      <c r="Y689">
        <v>-0.16024340000000001</v>
      </c>
      <c r="Z689">
        <v>-2.233886E-3</v>
      </c>
      <c r="AA689">
        <v>0.98707500000000004</v>
      </c>
      <c r="AB689">
        <v>20</v>
      </c>
      <c r="AC689">
        <v>132.51009999999999</v>
      </c>
      <c r="AD689">
        <v>4.1463409999999996</v>
      </c>
      <c r="AE689">
        <v>22.6569</v>
      </c>
      <c r="AF689">
        <v>-21.564224558920099</v>
      </c>
      <c r="AG689">
        <v>4.1463409999999996</v>
      </c>
      <c r="AH689">
        <v>132.56285548342001</v>
      </c>
      <c r="AI689">
        <v>88.231698062160405</v>
      </c>
      <c r="AJ689">
        <v>99.239470365014299</v>
      </c>
      <c r="AK689">
        <v>134.369336451565</v>
      </c>
      <c r="AL689">
        <v>86.692149375781398</v>
      </c>
      <c r="AM689">
        <v>88.154300614092307</v>
      </c>
      <c r="AN689">
        <v>1.0000000267465801</v>
      </c>
    </row>
    <row r="690" spans="1:40" x14ac:dyDescent="0.25">
      <c r="A690" t="str">
        <f>"20190312153903254"</f>
        <v>20190312153903254</v>
      </c>
      <c r="B690" t="str">
        <f>"1552376343246868"</f>
        <v>1552376343246868</v>
      </c>
      <c r="C690" t="s">
        <v>40</v>
      </c>
      <c r="D690">
        <v>4.0217369999999999</v>
      </c>
      <c r="E690">
        <v>0.4264153</v>
      </c>
      <c r="F690" t="s">
        <v>52</v>
      </c>
      <c r="G690">
        <v>-244.0523</v>
      </c>
      <c r="H690">
        <v>5.2255289999999999</v>
      </c>
      <c r="I690">
        <v>390.88350000000003</v>
      </c>
      <c r="J690">
        <v>-376.40879999999999</v>
      </c>
      <c r="K690">
        <v>1.1102959999999999</v>
      </c>
      <c r="L690">
        <v>368.22820000000002</v>
      </c>
      <c r="M690">
        <v>0.99989490000000003</v>
      </c>
      <c r="N690">
        <v>0</v>
      </c>
      <c r="O690">
        <v>8.0463500000000007E-3</v>
      </c>
      <c r="P690">
        <v>0.99863579999999996</v>
      </c>
      <c r="Q690">
        <v>4.62037E-2</v>
      </c>
      <c r="R690">
        <v>-2.4326649999999998E-2</v>
      </c>
      <c r="S690">
        <v>3.0121769999999999</v>
      </c>
      <c r="T690">
        <v>9.3510990000000002E-2</v>
      </c>
      <c r="U690">
        <v>0.5148315</v>
      </c>
      <c r="V690">
        <v>3.2367199999999999E-2</v>
      </c>
      <c r="W690">
        <v>5.8240640000000003E-2</v>
      </c>
      <c r="X690">
        <v>0.99777769999999999</v>
      </c>
      <c r="Y690">
        <v>-0.160465</v>
      </c>
      <c r="Z690">
        <v>-2.2243409999999999E-3</v>
      </c>
      <c r="AA690">
        <v>0.987039</v>
      </c>
      <c r="AB690">
        <v>20</v>
      </c>
      <c r="AC690">
        <v>132.35649999999899</v>
      </c>
      <c r="AD690">
        <v>4.1152329999999999</v>
      </c>
      <c r="AE690">
        <v>22.6553</v>
      </c>
      <c r="AF690">
        <v>-21.569244528470399</v>
      </c>
      <c r="AG690">
        <v>4.1152329999999999</v>
      </c>
      <c r="AH690">
        <v>132.41016113638301</v>
      </c>
      <c r="AI690">
        <v>88.242996611245104</v>
      </c>
      <c r="AJ690">
        <v>99.252057253977796</v>
      </c>
      <c r="AK690">
        <v>134.21854649911899</v>
      </c>
      <c r="AL690">
        <v>86.661167687423102</v>
      </c>
      <c r="AM690">
        <v>88.142017142453</v>
      </c>
      <c r="AN690">
        <v>0.99999997320036904</v>
      </c>
    </row>
    <row r="691" spans="1:40" x14ac:dyDescent="0.25">
      <c r="A691" t="str">
        <f>"20190312153903277"</f>
        <v>20190312153903277</v>
      </c>
      <c r="B691" t="str">
        <f>"1552376343266386"</f>
        <v>1552376343266386</v>
      </c>
      <c r="C691" t="s">
        <v>40</v>
      </c>
      <c r="D691">
        <v>4.0493209999999999</v>
      </c>
      <c r="E691">
        <v>0.42627179999999998</v>
      </c>
      <c r="F691" t="s">
        <v>52</v>
      </c>
      <c r="G691">
        <v>-243.97239999999999</v>
      </c>
      <c r="H691">
        <v>5.291258</v>
      </c>
      <c r="I691">
        <v>390.88350000000003</v>
      </c>
      <c r="J691">
        <v>-376.20519999999999</v>
      </c>
      <c r="K691">
        <v>1.1102959999999999</v>
      </c>
      <c r="L691">
        <v>368.22980000000001</v>
      </c>
      <c r="M691">
        <v>0.99989530000000004</v>
      </c>
      <c r="N691">
        <v>0</v>
      </c>
      <c r="O691">
        <v>8.0075500000000004E-3</v>
      </c>
      <c r="P691">
        <v>0.99865179999999998</v>
      </c>
      <c r="Q691">
        <v>4.5522689999999998E-2</v>
      </c>
      <c r="R691">
        <v>-2.4951890000000001E-2</v>
      </c>
      <c r="S691">
        <v>3.012238</v>
      </c>
      <c r="T691">
        <v>9.5095750000000007E-2</v>
      </c>
      <c r="U691">
        <v>0.51528929999999995</v>
      </c>
      <c r="V691">
        <v>3.295356E-2</v>
      </c>
      <c r="W691">
        <v>5.7560859999999998E-2</v>
      </c>
      <c r="X691">
        <v>0.99779799999999996</v>
      </c>
      <c r="Y691">
        <v>-0.16064320000000001</v>
      </c>
      <c r="Z691">
        <v>-2.2659529999999998E-3</v>
      </c>
      <c r="AA691">
        <v>0.9870099</v>
      </c>
      <c r="AB691">
        <v>20</v>
      </c>
      <c r="AC691">
        <v>132.2328</v>
      </c>
      <c r="AD691">
        <v>4.1809620000000001</v>
      </c>
      <c r="AE691">
        <v>22.653700000000001</v>
      </c>
      <c r="AF691">
        <v>-21.5730840181754</v>
      </c>
      <c r="AG691">
        <v>4.1809620000000001</v>
      </c>
      <c r="AH691">
        <v>132.281501142179</v>
      </c>
      <c r="AI691">
        <v>88.213269646224006</v>
      </c>
      <c r="AJ691">
        <v>99.262520116522694</v>
      </c>
      <c r="AK691">
        <v>134.09427259107301</v>
      </c>
      <c r="AL691">
        <v>86.7001818184157</v>
      </c>
      <c r="AM691">
        <v>88.108420858379006</v>
      </c>
      <c r="AN691">
        <v>1.0000000192623</v>
      </c>
    </row>
    <row r="692" spans="1:40" x14ac:dyDescent="0.25">
      <c r="A692" t="str">
        <f>"20190312153903299"</f>
        <v>20190312153903299</v>
      </c>
      <c r="B692" t="str">
        <f>"1552376343286882"</f>
        <v>1552376343286882</v>
      </c>
      <c r="C692" t="s">
        <v>40</v>
      </c>
      <c r="D692">
        <v>4.0635770000000004</v>
      </c>
      <c r="E692">
        <v>0.42614980000000002</v>
      </c>
      <c r="F692" t="s">
        <v>52</v>
      </c>
      <c r="G692">
        <v>-243.6258</v>
      </c>
      <c r="H692">
        <v>5.2052480000000001</v>
      </c>
      <c r="I692">
        <v>390.88350000000003</v>
      </c>
      <c r="J692">
        <v>-376.00229999999999</v>
      </c>
      <c r="K692">
        <v>1.110295</v>
      </c>
      <c r="L692">
        <v>368.23140000000001</v>
      </c>
      <c r="M692">
        <v>0.9998956</v>
      </c>
      <c r="N692">
        <v>0</v>
      </c>
      <c r="O692">
        <v>7.96965E-3</v>
      </c>
      <c r="P692">
        <v>0.99863089999999999</v>
      </c>
      <c r="Q692">
        <v>4.5701310000000002E-2</v>
      </c>
      <c r="R692">
        <v>-2.546064E-2</v>
      </c>
      <c r="S692">
        <v>3.0126650000000001</v>
      </c>
      <c r="T692">
        <v>9.305215E-2</v>
      </c>
      <c r="U692">
        <v>0.51477050000000002</v>
      </c>
      <c r="V692">
        <v>3.3424049999999997E-2</v>
      </c>
      <c r="W692">
        <v>5.7739859999999997E-2</v>
      </c>
      <c r="X692">
        <v>0.99777199999999999</v>
      </c>
      <c r="Y692">
        <v>-0.16049539999999901</v>
      </c>
      <c r="Z692">
        <v>-2.2158999999999998E-3</v>
      </c>
      <c r="AA692">
        <v>0.98703410000000003</v>
      </c>
      <c r="AB692">
        <v>20</v>
      </c>
      <c r="AC692">
        <v>132.37649999999999</v>
      </c>
      <c r="AD692">
        <v>4.0949530000000003</v>
      </c>
      <c r="AE692">
        <v>22.652100000000001</v>
      </c>
      <c r="AF692">
        <v>-21.576250099530299</v>
      </c>
      <c r="AG692">
        <v>4.0949530000000003</v>
      </c>
      <c r="AH692">
        <v>132.42971815101399</v>
      </c>
      <c r="AI692">
        <v>88.251915823427893</v>
      </c>
      <c r="AJ692">
        <v>99.253667159880905</v>
      </c>
      <c r="AK692">
        <v>134.238345706384</v>
      </c>
      <c r="AL692">
        <v>86.689908761829798</v>
      </c>
      <c r="AM692">
        <v>88.081384177461103</v>
      </c>
      <c r="AN692">
        <v>1.00000001126761</v>
      </c>
    </row>
    <row r="693" spans="1:40" x14ac:dyDescent="0.25">
      <c r="A693" t="str">
        <f>"20190312153903320"</f>
        <v>20190312153903320</v>
      </c>
      <c r="B693" t="str">
        <f>"1552376343306403"</f>
        <v>1552376343306403</v>
      </c>
      <c r="C693" t="s">
        <v>40</v>
      </c>
      <c r="D693">
        <v>4.0487419999999998</v>
      </c>
      <c r="E693">
        <v>0.42607469999999997</v>
      </c>
      <c r="F693" t="s">
        <v>52</v>
      </c>
      <c r="G693">
        <v>-243.1902</v>
      </c>
      <c r="H693">
        <v>5.1881430000000002</v>
      </c>
      <c r="I693">
        <v>390.88350000000003</v>
      </c>
      <c r="J693">
        <v>-375.81720000000001</v>
      </c>
      <c r="K693">
        <v>1.1102959999999999</v>
      </c>
      <c r="L693">
        <v>368.2328</v>
      </c>
      <c r="M693">
        <v>0.99989589999999995</v>
      </c>
      <c r="N693">
        <v>0</v>
      </c>
      <c r="O693">
        <v>7.9345509999999998E-3</v>
      </c>
      <c r="P693">
        <v>0.99863729999999995</v>
      </c>
      <c r="Q693">
        <v>4.5581339999999998E-2</v>
      </c>
      <c r="R693">
        <v>-2.5431479999999999E-2</v>
      </c>
      <c r="S693">
        <v>3.0129700000000001</v>
      </c>
      <c r="T693">
        <v>9.2510460000000003E-2</v>
      </c>
      <c r="U693">
        <v>0.5138855</v>
      </c>
      <c r="V693">
        <v>3.3359890000000003E-2</v>
      </c>
      <c r="W693">
        <v>5.7620850000000001E-2</v>
      </c>
      <c r="X693">
        <v>0.99778100000000003</v>
      </c>
      <c r="Y693">
        <v>-0.16023270000000001</v>
      </c>
      <c r="Z693">
        <v>-2.1999060000000002E-3</v>
      </c>
      <c r="AA693">
        <v>0.98707679999999998</v>
      </c>
      <c r="AB693">
        <v>20</v>
      </c>
      <c r="AC693">
        <v>132.62700000000001</v>
      </c>
      <c r="AD693">
        <v>4.0778470000000002</v>
      </c>
      <c r="AE693">
        <v>22.650700000000001</v>
      </c>
      <c r="AF693">
        <v>-21.577754092768998</v>
      </c>
      <c r="AG693">
        <v>4.0778470000000002</v>
      </c>
      <c r="AH693">
        <v>132.68068421455899</v>
      </c>
      <c r="AI693">
        <v>88.262422604088002</v>
      </c>
      <c r="AJ693">
        <v>99.237098501628694</v>
      </c>
      <c r="AK693">
        <v>134.485658237178</v>
      </c>
      <c r="AL693">
        <v>86.696738814745302</v>
      </c>
      <c r="AM693">
        <v>88.085081621357503</v>
      </c>
      <c r="AN693">
        <v>0.99999998428826697</v>
      </c>
    </row>
    <row r="694" spans="1:40" x14ac:dyDescent="0.25">
      <c r="A694" t="str">
        <f>"20190312153903342"</f>
        <v>20190312153903342</v>
      </c>
      <c r="B694" t="str">
        <f>"1552376343336659"</f>
        <v>1552376343336659</v>
      </c>
      <c r="C694" t="s">
        <v>40</v>
      </c>
      <c r="D694">
        <v>4.0227519999999997</v>
      </c>
      <c r="E694">
        <v>0.42593229999999999</v>
      </c>
      <c r="F694" t="s">
        <v>52</v>
      </c>
      <c r="G694">
        <v>-243.1371</v>
      </c>
      <c r="H694">
        <v>5.1318380000000001</v>
      </c>
      <c r="I694">
        <v>390.88350000000003</v>
      </c>
      <c r="J694">
        <v>-375.60989999999998</v>
      </c>
      <c r="K694">
        <v>1.110293</v>
      </c>
      <c r="L694">
        <v>368.23439999999999</v>
      </c>
      <c r="M694">
        <v>0.99989600000000001</v>
      </c>
      <c r="N694">
        <v>0</v>
      </c>
      <c r="O694">
        <v>7.8957409999999995E-3</v>
      </c>
      <c r="P694">
        <v>0.99864509999999995</v>
      </c>
      <c r="Q694">
        <v>4.5474889999999997E-2</v>
      </c>
      <c r="R694">
        <v>-2.5296470000000001E-2</v>
      </c>
      <c r="S694">
        <v>3.0130309999999998</v>
      </c>
      <c r="T694">
        <v>9.1325760000000006E-2</v>
      </c>
      <c r="U694">
        <v>0.51437379999999999</v>
      </c>
      <c r="V694">
        <v>3.3186420000000001E-2</v>
      </c>
      <c r="W694">
        <v>5.751564E-2</v>
      </c>
      <c r="X694">
        <v>0.99779289999999998</v>
      </c>
      <c r="Y694">
        <v>-0.16042479999999901</v>
      </c>
      <c r="Z694">
        <v>-2.1757299999999999E-3</v>
      </c>
      <c r="AA694">
        <v>0.98704559999999997</v>
      </c>
      <c r="AB694">
        <v>20</v>
      </c>
      <c r="AC694">
        <v>132.47279999999901</v>
      </c>
      <c r="AD694">
        <v>4.0215449999999997</v>
      </c>
      <c r="AE694">
        <v>22.649100000000001</v>
      </c>
      <c r="AF694">
        <v>-21.583021243438001</v>
      </c>
      <c r="AG694">
        <v>4.0215449999999997</v>
      </c>
      <c r="AH694">
        <v>132.52884745649999</v>
      </c>
      <c r="AI694">
        <v>88.284497945836193</v>
      </c>
      <c r="AJ694">
        <v>99.249716919381996</v>
      </c>
      <c r="AK694">
        <v>134.335010471321</v>
      </c>
      <c r="AL694">
        <v>86.702777066146098</v>
      </c>
      <c r="AM694">
        <v>88.095054461762999</v>
      </c>
      <c r="AN694">
        <v>1.0000000293037099</v>
      </c>
    </row>
    <row r="695" spans="1:40" x14ac:dyDescent="0.25">
      <c r="A695" t="str">
        <f>"20190312153903364"</f>
        <v>20190312153903364</v>
      </c>
      <c r="B695" t="str">
        <f>"1552376343356179"</f>
        <v>1552376343356179</v>
      </c>
      <c r="C695" t="s">
        <v>40</v>
      </c>
      <c r="D695">
        <v>4.035139</v>
      </c>
      <c r="E695">
        <v>0.42585919999999999</v>
      </c>
      <c r="F695" t="s">
        <v>52</v>
      </c>
      <c r="G695">
        <v>-243.41739999999999</v>
      </c>
      <c r="H695">
        <v>5.1006049999999998</v>
      </c>
      <c r="I695">
        <v>390.88350000000003</v>
      </c>
      <c r="J695">
        <v>-375.40429999999998</v>
      </c>
      <c r="K695">
        <v>1.1102920000000001</v>
      </c>
      <c r="L695">
        <v>368.23599999999999</v>
      </c>
      <c r="M695">
        <v>0.99989649999999997</v>
      </c>
      <c r="N695">
        <v>0</v>
      </c>
      <c r="O695">
        <v>7.8577760000000003E-3</v>
      </c>
      <c r="P695">
        <v>0.99865499999999996</v>
      </c>
      <c r="Q695">
        <v>4.5333739999999997E-2</v>
      </c>
      <c r="R695">
        <v>-2.5166689999999999E-2</v>
      </c>
      <c r="S695">
        <v>3.0130309999999998</v>
      </c>
      <c r="T695">
        <v>9.095085E-2</v>
      </c>
      <c r="U695">
        <v>0.51623540000000001</v>
      </c>
      <c r="V695">
        <v>3.3018800000000001E-2</v>
      </c>
      <c r="W695">
        <v>5.7373300000000002E-2</v>
      </c>
      <c r="X695">
        <v>0.99780659999999999</v>
      </c>
      <c r="Y695">
        <v>-0.161055</v>
      </c>
      <c r="Z695">
        <v>-2.177268E-3</v>
      </c>
      <c r="AA695">
        <v>0.98694300000000001</v>
      </c>
      <c r="AB695">
        <v>20</v>
      </c>
      <c r="AC695">
        <v>131.98689999999999</v>
      </c>
      <c r="AD695">
        <v>3.990313</v>
      </c>
      <c r="AE695">
        <v>22.647500000000001</v>
      </c>
      <c r="AF695">
        <v>-21.590432358188401</v>
      </c>
      <c r="AG695">
        <v>3.990313</v>
      </c>
      <c r="AH695">
        <v>132.043558814031</v>
      </c>
      <c r="AI695">
        <v>88.291738413096098</v>
      </c>
      <c r="AJ695">
        <v>99.286252963536498</v>
      </c>
      <c r="AK695">
        <v>133.85653062710799</v>
      </c>
      <c r="AL695">
        <v>86.710945853990594</v>
      </c>
      <c r="AM695">
        <v>88.104695045980094</v>
      </c>
      <c r="AN695">
        <v>0.99999997385494399</v>
      </c>
    </row>
    <row r="696" spans="1:40" x14ac:dyDescent="0.25">
      <c r="A696" t="str">
        <f>"20190312153903387"</f>
        <v>20190312153903387</v>
      </c>
      <c r="B696" t="str">
        <f>"1552376343376674"</f>
        <v>1552376343376674</v>
      </c>
      <c r="C696" t="s">
        <v>40</v>
      </c>
      <c r="D696">
        <v>4.0257769999999997</v>
      </c>
      <c r="E696">
        <v>0.4257995</v>
      </c>
      <c r="F696" t="s">
        <v>52</v>
      </c>
      <c r="G696">
        <v>-243.49529999999999</v>
      </c>
      <c r="H696">
        <v>5.0655359999999998</v>
      </c>
      <c r="I696">
        <v>390.88350000000003</v>
      </c>
      <c r="J696">
        <v>-375.2013</v>
      </c>
      <c r="K696">
        <v>1.110285</v>
      </c>
      <c r="L696">
        <v>368.23750000000001</v>
      </c>
      <c r="M696">
        <v>0.99989669999999997</v>
      </c>
      <c r="N696">
        <v>0</v>
      </c>
      <c r="O696">
        <v>7.8227790000000002E-3</v>
      </c>
      <c r="P696">
        <v>0.99866659999999996</v>
      </c>
      <c r="Q696">
        <v>4.547006E-2</v>
      </c>
      <c r="R696">
        <v>-2.4447150000000001E-2</v>
      </c>
      <c r="S696">
        <v>3.0129999999999999</v>
      </c>
      <c r="T696">
        <v>9.0344430000000003E-2</v>
      </c>
      <c r="U696">
        <v>0.51730350000000003</v>
      </c>
      <c r="V696">
        <v>3.226412E-2</v>
      </c>
      <c r="W696">
        <v>5.750421E-2</v>
      </c>
      <c r="X696">
        <v>0.99782380000000004</v>
      </c>
      <c r="Y696">
        <v>-0.16143179999999999</v>
      </c>
      <c r="Z696">
        <v>-2.1693630000000001E-3</v>
      </c>
      <c r="AA696">
        <v>0.98688149999999997</v>
      </c>
      <c r="AB696">
        <v>20</v>
      </c>
      <c r="AC696">
        <v>131.70599999999999</v>
      </c>
      <c r="AD696">
        <v>3.9552510000000001</v>
      </c>
      <c r="AE696">
        <v>22.646000000000001</v>
      </c>
      <c r="AF696">
        <v>-21.596007928589799</v>
      </c>
      <c r="AG696">
        <v>3.9552510000000001</v>
      </c>
      <c r="AH696">
        <v>131.763717445803</v>
      </c>
      <c r="AI696">
        <v>88.303251016800402</v>
      </c>
      <c r="AJ696">
        <v>99.307991631009401</v>
      </c>
      <c r="AK696">
        <v>133.58034587491599</v>
      </c>
      <c r="AL696">
        <v>86.703433017565004</v>
      </c>
      <c r="AM696">
        <v>88.148015650192605</v>
      </c>
      <c r="AN696">
        <v>1.0000000217267599</v>
      </c>
    </row>
    <row r="697" spans="1:40" x14ac:dyDescent="0.25">
      <c r="A697" t="str">
        <f>"20190312153903409"</f>
        <v>20190312153903409</v>
      </c>
      <c r="B697" t="str">
        <f>"1552376343396195"</f>
        <v>1552376343396195</v>
      </c>
      <c r="C697" t="s">
        <v>40</v>
      </c>
      <c r="D697">
        <v>4.0611980000000001</v>
      </c>
      <c r="E697">
        <v>0.4257512</v>
      </c>
      <c r="F697" t="s">
        <v>52</v>
      </c>
      <c r="G697">
        <v>-243.9676</v>
      </c>
      <c r="H697">
        <v>5.0478940000000003</v>
      </c>
      <c r="I697">
        <v>390.88350000000003</v>
      </c>
      <c r="J697">
        <v>-374.99900000000002</v>
      </c>
      <c r="K697">
        <v>1.1102810000000001</v>
      </c>
      <c r="L697">
        <v>368.23910000000001</v>
      </c>
      <c r="M697">
        <v>0.99989720000000004</v>
      </c>
      <c r="N697">
        <v>0</v>
      </c>
      <c r="O697">
        <v>7.7879469999999999E-3</v>
      </c>
      <c r="P697">
        <v>0.99864739999999996</v>
      </c>
      <c r="Q697">
        <v>4.5893839999999998E-2</v>
      </c>
      <c r="R697">
        <v>-2.4448609999999999E-2</v>
      </c>
      <c r="S697">
        <v>3.0126339999999998</v>
      </c>
      <c r="T697">
        <v>9.0393420000000002E-2</v>
      </c>
      <c r="U697">
        <v>0.51986690000000002</v>
      </c>
      <c r="V697">
        <v>3.2230670000000003E-2</v>
      </c>
      <c r="W697">
        <v>5.7915040000000001E-2</v>
      </c>
      <c r="X697">
        <v>0.9978011</v>
      </c>
      <c r="Y697">
        <v>-0.16230120000000001</v>
      </c>
      <c r="Z697">
        <v>-2.1846259999999998E-3</v>
      </c>
      <c r="AA697">
        <v>0.98673889999999997</v>
      </c>
      <c r="AB697">
        <v>20</v>
      </c>
      <c r="AC697">
        <v>131.03139999999999</v>
      </c>
      <c r="AD697">
        <v>3.9376129999999998</v>
      </c>
      <c r="AE697">
        <v>22.644400000000001</v>
      </c>
      <c r="AF697">
        <v>-21.604229535382501</v>
      </c>
      <c r="AG697">
        <v>3.9376129999999998</v>
      </c>
      <c r="AH697">
        <v>131.08884411200501</v>
      </c>
      <c r="AI697">
        <v>88.302368014959399</v>
      </c>
      <c r="AJ697">
        <v>99.358564609221901</v>
      </c>
      <c r="AK697">
        <v>132.91550917999299</v>
      </c>
      <c r="AL697">
        <v>86.679854830722505</v>
      </c>
      <c r="AM697">
        <v>88.149892310128294</v>
      </c>
      <c r="AN697">
        <v>1.00000000155403</v>
      </c>
    </row>
    <row r="698" spans="1:40" x14ac:dyDescent="0.25">
      <c r="A698" t="str">
        <f>"20190312153903433"</f>
        <v>20190312153903433</v>
      </c>
      <c r="B698" t="str">
        <f>"1552376343426452"</f>
        <v>1552376343426452</v>
      </c>
      <c r="C698" t="s">
        <v>40</v>
      </c>
      <c r="D698">
        <v>4.0355150000000002</v>
      </c>
      <c r="E698">
        <v>0.42569449999999998</v>
      </c>
      <c r="F698" t="s">
        <v>52</v>
      </c>
      <c r="G698">
        <v>-243.8526</v>
      </c>
      <c r="H698">
        <v>5.0602299999999998</v>
      </c>
      <c r="I698">
        <v>390.88350000000003</v>
      </c>
      <c r="J698">
        <v>-374.78930000000003</v>
      </c>
      <c r="K698">
        <v>1.110279</v>
      </c>
      <c r="L698">
        <v>368.2407</v>
      </c>
      <c r="M698">
        <v>0.9998977</v>
      </c>
      <c r="N698">
        <v>0</v>
      </c>
      <c r="O698">
        <v>7.7516249999999998E-3</v>
      </c>
      <c r="P698">
        <v>0.99864920000000001</v>
      </c>
      <c r="Q698">
        <v>4.5895699999999998E-2</v>
      </c>
      <c r="R698">
        <v>-2.4361549999999999E-2</v>
      </c>
      <c r="S698">
        <v>3.0126040000000001</v>
      </c>
      <c r="T698">
        <v>9.0736150000000002E-2</v>
      </c>
      <c r="U698">
        <v>0.52017209999999903</v>
      </c>
      <c r="V698">
        <v>3.2107139999999999E-2</v>
      </c>
      <c r="W698">
        <v>5.7894090000000002E-2</v>
      </c>
      <c r="X698">
        <v>0.99780630000000003</v>
      </c>
      <c r="Y698">
        <v>-0.1624352</v>
      </c>
      <c r="Z698">
        <v>-2.1959969999999999E-3</v>
      </c>
      <c r="AA698">
        <v>0.9867167</v>
      </c>
      <c r="AB698">
        <v>20</v>
      </c>
      <c r="AC698">
        <v>130.9367</v>
      </c>
      <c r="AD698">
        <v>3.949951</v>
      </c>
      <c r="AE698">
        <v>22.642800000000001</v>
      </c>
      <c r="AF698">
        <v>-21.6079809157482</v>
      </c>
      <c r="AG698">
        <v>3.949951</v>
      </c>
      <c r="AH698">
        <v>130.99254957375899</v>
      </c>
      <c r="AI698">
        <v>88.295841659008104</v>
      </c>
      <c r="AJ698">
        <v>99.3669197702622</v>
      </c>
      <c r="AK698">
        <v>132.82151556126601</v>
      </c>
      <c r="AL698">
        <v>86.681057200215207</v>
      </c>
      <c r="AM698">
        <v>88.156987888278707</v>
      </c>
      <c r="AN698">
        <v>1.00000000320779</v>
      </c>
    </row>
    <row r="699" spans="1:40" x14ac:dyDescent="0.25">
      <c r="A699" t="str">
        <f>"20190312153903454"</f>
        <v>20190312153903454</v>
      </c>
      <c r="B699" t="str">
        <f>"1552376343446947"</f>
        <v>1552376343446947</v>
      </c>
      <c r="C699" t="s">
        <v>40</v>
      </c>
      <c r="D699">
        <v>4.0674279999999996</v>
      </c>
      <c r="E699">
        <v>0.42565380000000003</v>
      </c>
      <c r="F699" t="s">
        <v>52</v>
      </c>
      <c r="G699">
        <v>-243.8099</v>
      </c>
      <c r="H699">
        <v>4.999479</v>
      </c>
      <c r="I699">
        <v>390.88350000000003</v>
      </c>
      <c r="J699">
        <v>-374.5942</v>
      </c>
      <c r="K699">
        <v>1.1102749999999999</v>
      </c>
      <c r="L699">
        <v>368.24220000000003</v>
      </c>
      <c r="M699">
        <v>0.99989839999999997</v>
      </c>
      <c r="N699">
        <v>0</v>
      </c>
      <c r="O699">
        <v>7.717575E-3</v>
      </c>
      <c r="P699">
        <v>0.99863480000000004</v>
      </c>
      <c r="Q699">
        <v>4.6289759999999999E-2</v>
      </c>
      <c r="R699">
        <v>-2.4206470000000001E-2</v>
      </c>
      <c r="S699">
        <v>3.0126949999999999</v>
      </c>
      <c r="T699">
        <v>8.9457270000000005E-2</v>
      </c>
      <c r="U699">
        <v>0.52081299999999997</v>
      </c>
      <c r="V699">
        <v>3.191803E-2</v>
      </c>
      <c r="W699">
        <v>5.825255E-2</v>
      </c>
      <c r="X699">
        <v>0.99779150000000005</v>
      </c>
      <c r="Y699">
        <v>-0.16266949999999999</v>
      </c>
      <c r="Z699">
        <v>-2.1694090000000002E-3</v>
      </c>
      <c r="AA699">
        <v>0.98667819999999995</v>
      </c>
      <c r="AB699">
        <v>20</v>
      </c>
      <c r="AC699">
        <v>130.7843</v>
      </c>
      <c r="AD699">
        <v>3.8892039999999999</v>
      </c>
      <c r="AE699">
        <v>22.641300000000001</v>
      </c>
      <c r="AF699">
        <v>-21.6126590880076</v>
      </c>
      <c r="AG699">
        <v>3.8892039999999999</v>
      </c>
      <c r="AH699">
        <v>130.842812794954</v>
      </c>
      <c r="AI699">
        <v>88.320176520863797</v>
      </c>
      <c r="AJ699">
        <v>99.3794431548544</v>
      </c>
      <c r="AK699">
        <v>132.672810329409</v>
      </c>
      <c r="AL699">
        <v>86.660484219894201</v>
      </c>
      <c r="AM699">
        <v>88.1678085911458</v>
      </c>
      <c r="AN699">
        <v>0.99999999884641599</v>
      </c>
    </row>
    <row r="700" spans="1:40" x14ac:dyDescent="0.25">
      <c r="A700" t="str">
        <f>"20190312153903477"</f>
        <v>20190312153903477</v>
      </c>
      <c r="B700" t="str">
        <f>"1552376343466466"</f>
        <v>1552376343466466</v>
      </c>
      <c r="C700" t="s">
        <v>40</v>
      </c>
      <c r="D700">
        <v>4.2746050000000002</v>
      </c>
      <c r="E700">
        <v>0.44914680000000001</v>
      </c>
      <c r="F700" t="s">
        <v>52</v>
      </c>
      <c r="G700">
        <v>-243.86850000000001</v>
      </c>
      <c r="H700">
        <v>5.0596870000000003</v>
      </c>
      <c r="I700">
        <v>390.88350000000003</v>
      </c>
      <c r="J700">
        <v>-374.39159999999998</v>
      </c>
      <c r="K700">
        <v>1.110263</v>
      </c>
      <c r="L700">
        <v>368.24369999999999</v>
      </c>
      <c r="M700">
        <v>0.99989930000000005</v>
      </c>
      <c r="N700">
        <v>0</v>
      </c>
      <c r="O700">
        <v>7.6833509999999997E-3</v>
      </c>
      <c r="P700">
        <v>0.99861440000000001</v>
      </c>
      <c r="Q700">
        <v>4.682418E-2</v>
      </c>
      <c r="R700">
        <v>-2.4019700000000001E-2</v>
      </c>
      <c r="S700">
        <v>3.0125120000000001</v>
      </c>
      <c r="T700">
        <v>9.1012949999999995E-2</v>
      </c>
      <c r="U700">
        <v>0.52175899999999997</v>
      </c>
      <c r="V700">
        <v>3.1696950000000002E-2</v>
      </c>
      <c r="W700">
        <v>5.8729049999999998E-2</v>
      </c>
      <c r="X700">
        <v>0.99777059999999995</v>
      </c>
      <c r="Y700">
        <v>-0.16301160000000001</v>
      </c>
      <c r="Z700">
        <v>-2.213348E-3</v>
      </c>
      <c r="AA700">
        <v>0.98662169999999905</v>
      </c>
      <c r="AB700">
        <v>20</v>
      </c>
      <c r="AC700">
        <v>130.523099999999</v>
      </c>
      <c r="AD700">
        <v>3.949424</v>
      </c>
      <c r="AE700">
        <v>22.639800000000001</v>
      </c>
      <c r="AF700">
        <v>-21.616991609338299</v>
      </c>
      <c r="AG700">
        <v>3.949424</v>
      </c>
      <c r="AH700">
        <v>130.57714767189401</v>
      </c>
      <c r="AI700">
        <v>88.290814592387406</v>
      </c>
      <c r="AJ700">
        <v>99.400036298035104</v>
      </c>
      <c r="AK700">
        <v>132.41330662096499</v>
      </c>
      <c r="AL700">
        <v>86.633135909262705</v>
      </c>
      <c r="AM700">
        <v>88.180452604265298</v>
      </c>
      <c r="AN700">
        <v>0.99999998408878199</v>
      </c>
    </row>
    <row r="701" spans="1:40" x14ac:dyDescent="0.25">
      <c r="A701" t="str">
        <f>"20190312153903498"</f>
        <v>20190312153903498</v>
      </c>
      <c r="B701" t="str">
        <f>"1552376343486963"</f>
        <v>1552376343486963</v>
      </c>
      <c r="C701" t="s">
        <v>40</v>
      </c>
      <c r="D701">
        <v>4.1602990000000002</v>
      </c>
      <c r="E701">
        <v>0.49166969999999999</v>
      </c>
      <c r="F701" t="s">
        <v>50</v>
      </c>
      <c r="G701">
        <v>0</v>
      </c>
      <c r="H701">
        <v>0</v>
      </c>
      <c r="I701">
        <v>0</v>
      </c>
      <c r="J701">
        <v>-374.19260000000003</v>
      </c>
      <c r="K701">
        <v>1.1102399999999999</v>
      </c>
      <c r="L701">
        <v>368.24520000000001</v>
      </c>
      <c r="M701">
        <v>0.99990069999999998</v>
      </c>
      <c r="N701">
        <v>0</v>
      </c>
      <c r="O701">
        <v>7.6491459999999999E-3</v>
      </c>
      <c r="P701">
        <v>0.99861009999999995</v>
      </c>
      <c r="Q701">
        <v>4.6948829999999997E-2</v>
      </c>
      <c r="R701">
        <v>-2.3959749999999998E-2</v>
      </c>
      <c r="S701">
        <v>3.0127869999999999</v>
      </c>
      <c r="T701">
        <v>-1.153231E-2</v>
      </c>
      <c r="U701">
        <v>0.33792109999999997</v>
      </c>
      <c r="V701">
        <v>3.1602829999999998E-2</v>
      </c>
      <c r="W701">
        <v>5.8762839999999997E-2</v>
      </c>
      <c r="X701">
        <v>0.99777159999999998</v>
      </c>
      <c r="Y701">
        <v>-0.1038574</v>
      </c>
      <c r="Z701">
        <v>1.6896359999999999E-4</v>
      </c>
      <c r="AA701">
        <v>0.99459219999999904</v>
      </c>
      <c r="AB701">
        <v>20</v>
      </c>
      <c r="AC701">
        <v>3.0127869999999999</v>
      </c>
      <c r="AD701">
        <v>-1.153231E-2</v>
      </c>
      <c r="AE701">
        <v>0.33792109999999997</v>
      </c>
      <c r="AF701">
        <v>-0.31485979479003701</v>
      </c>
      <c r="AG701">
        <v>-1.153231E-2</v>
      </c>
      <c r="AH701">
        <v>3.0152402067238699</v>
      </c>
      <c r="AI701">
        <v>90.217951542569196</v>
      </c>
      <c r="AJ701">
        <v>95.961379931974705</v>
      </c>
      <c r="AK701">
        <v>3.0316568388907998</v>
      </c>
      <c r="AL701">
        <v>86.631196548660498</v>
      </c>
      <c r="AM701">
        <v>88.185853716560104</v>
      </c>
      <c r="AN701">
        <v>0.99999998799771705</v>
      </c>
    </row>
    <row r="702" spans="1:40" x14ac:dyDescent="0.25">
      <c r="A702" t="str">
        <f>"20190312153903520"</f>
        <v>20190312153903520</v>
      </c>
      <c r="B702" t="str">
        <f>"1552376343506482"</f>
        <v>1552376343506482</v>
      </c>
      <c r="C702" t="s">
        <v>40</v>
      </c>
      <c r="D702">
        <v>4.1389040000000001</v>
      </c>
      <c r="E702">
        <v>0.5062738</v>
      </c>
      <c r="F702" t="s">
        <v>41</v>
      </c>
      <c r="G702">
        <v>-373.29590000000002</v>
      </c>
      <c r="H702">
        <v>1.0283310000000001</v>
      </c>
      <c r="I702">
        <v>368.24700000000001</v>
      </c>
      <c r="J702">
        <v>-373.99509999999998</v>
      </c>
      <c r="K702">
        <v>1.1102050000000001</v>
      </c>
      <c r="L702">
        <v>368.2466</v>
      </c>
      <c r="M702">
        <v>0.99990259999999997</v>
      </c>
      <c r="N702">
        <v>0</v>
      </c>
      <c r="O702">
        <v>7.6162180000000001E-3</v>
      </c>
      <c r="P702">
        <v>0.99859569999999998</v>
      </c>
      <c r="Q702">
        <v>4.7363500000000003E-2</v>
      </c>
      <c r="R702">
        <v>-2.373658E-2</v>
      </c>
      <c r="S702">
        <v>3.0173030000000001</v>
      </c>
      <c r="T702">
        <v>-0.27571469999999998</v>
      </c>
      <c r="U702">
        <v>6.6528319999999896E-3</v>
      </c>
      <c r="V702">
        <v>3.1346869999999999E-2</v>
      </c>
      <c r="W702">
        <v>5.904131E-2</v>
      </c>
      <c r="X702">
        <v>0.99776330000000002</v>
      </c>
      <c r="Y702">
        <v>5.3578410000000003E-3</v>
      </c>
      <c r="Z702">
        <v>-9.3883180000000005E-4</v>
      </c>
      <c r="AA702">
        <v>0.99998520000000002</v>
      </c>
      <c r="AB702">
        <v>20</v>
      </c>
      <c r="AC702">
        <v>0.69919999999996196</v>
      </c>
      <c r="AD702">
        <v>-8.1874000000000002E-2</v>
      </c>
      <c r="AE702">
        <v>3.9999999995643499E-4</v>
      </c>
      <c r="AF702">
        <v>4.8590105237388201E-3</v>
      </c>
      <c r="AG702">
        <v>-8.1874000000000002E-2</v>
      </c>
      <c r="AH702">
        <v>0.68972550462019799</v>
      </c>
      <c r="AI702">
        <v>96.769462047202296</v>
      </c>
      <c r="AJ702">
        <v>89.596366687577301</v>
      </c>
      <c r="AK702">
        <v>0.69458493619056905</v>
      </c>
      <c r="AL702">
        <v>86.615213861833993</v>
      </c>
      <c r="AM702">
        <v>88.200522326886698</v>
      </c>
      <c r="AN702">
        <v>1.0000000526860999</v>
      </c>
    </row>
    <row r="703" spans="1:40" x14ac:dyDescent="0.25">
      <c r="A703" t="str">
        <f>"20190312153903544"</f>
        <v>20190312153903544</v>
      </c>
      <c r="B703" t="str">
        <f>"1552376343536739"</f>
        <v>1552376343536739</v>
      </c>
      <c r="C703" t="s">
        <v>40</v>
      </c>
      <c r="D703">
        <v>4.1178919999999897</v>
      </c>
      <c r="E703">
        <v>0.51713310000000001</v>
      </c>
      <c r="F703" t="s">
        <v>41</v>
      </c>
      <c r="G703">
        <v>-373.12729999999999</v>
      </c>
      <c r="H703">
        <v>1.0003</v>
      </c>
      <c r="I703">
        <v>368.21600000000001</v>
      </c>
      <c r="J703">
        <v>-373.77159999999998</v>
      </c>
      <c r="K703">
        <v>1.110163</v>
      </c>
      <c r="L703">
        <v>368.24829999999997</v>
      </c>
      <c r="M703">
        <v>0.99990520000000005</v>
      </c>
      <c r="N703">
        <v>0</v>
      </c>
      <c r="O703">
        <v>7.5773719999999998E-3</v>
      </c>
      <c r="P703">
        <v>0.99861540000000004</v>
      </c>
      <c r="Q703">
        <v>4.6985899999999997E-2</v>
      </c>
      <c r="R703">
        <v>-2.366099E-2</v>
      </c>
      <c r="S703">
        <v>3.0198670000000001</v>
      </c>
      <c r="T703">
        <v>-0.38249309999999997</v>
      </c>
      <c r="U703">
        <v>-0.10632320000000001</v>
      </c>
      <c r="V703">
        <v>3.1232599999999999E-2</v>
      </c>
      <c r="W703">
        <v>5.846962E-2</v>
      </c>
      <c r="X703">
        <v>0.99780049999999998</v>
      </c>
      <c r="Y703">
        <v>4.2359790000000001E-2</v>
      </c>
      <c r="Z703">
        <v>-3.62685E-3</v>
      </c>
      <c r="AA703">
        <v>0.99909590000000004</v>
      </c>
      <c r="AB703">
        <v>20</v>
      </c>
      <c r="AC703">
        <v>0.64429999999998699</v>
      </c>
      <c r="AD703">
        <v>-0.109863</v>
      </c>
      <c r="AE703">
        <v>-3.2299999999963802E-2</v>
      </c>
      <c r="AF703">
        <v>3.6133530651356202E-2</v>
      </c>
      <c r="AG703">
        <v>-0.109863</v>
      </c>
      <c r="AH703">
        <v>0.62588447455451601</v>
      </c>
      <c r="AI703">
        <v>99.939620698710598</v>
      </c>
      <c r="AJ703">
        <v>86.695870577864397</v>
      </c>
      <c r="AK703">
        <v>0.63648007533206796</v>
      </c>
      <c r="AL703">
        <v>86.648025810013905</v>
      </c>
      <c r="AM703">
        <v>88.207144545761196</v>
      </c>
      <c r="AN703">
        <v>1.00000000478297</v>
      </c>
    </row>
    <row r="704" spans="1:40" x14ac:dyDescent="0.25">
      <c r="A704" t="str">
        <f>"20190312153903565"</f>
        <v>20190312153903565</v>
      </c>
      <c r="B704" t="str">
        <f>"1552376343556258"</f>
        <v>1552376343556258</v>
      </c>
      <c r="C704" t="s">
        <v>40</v>
      </c>
      <c r="D704">
        <v>4.1614250000000004</v>
      </c>
      <c r="E704">
        <v>0.52046979999999998</v>
      </c>
      <c r="F704" t="s">
        <v>41</v>
      </c>
      <c r="G704">
        <v>-372.95429999999999</v>
      </c>
      <c r="H704">
        <v>0.98035539999999999</v>
      </c>
      <c r="I704">
        <v>368.19630000000001</v>
      </c>
      <c r="J704">
        <v>-373.57830000000001</v>
      </c>
      <c r="K704">
        <v>1.1101219999999901</v>
      </c>
      <c r="L704">
        <v>368.24970000000002</v>
      </c>
      <c r="M704">
        <v>0.99990780000000001</v>
      </c>
      <c r="N704">
        <v>0</v>
      </c>
      <c r="O704">
        <v>7.5434380000000004E-3</v>
      </c>
      <c r="P704">
        <v>0.99862669999999998</v>
      </c>
      <c r="Q704">
        <v>4.7021880000000002E-2</v>
      </c>
      <c r="R704">
        <v>-2.3103579999999999E-2</v>
      </c>
      <c r="S704">
        <v>3.0222470000000001</v>
      </c>
      <c r="T704">
        <v>-0.48025610000000002</v>
      </c>
      <c r="U704">
        <v>-0.19042970000000001</v>
      </c>
      <c r="V704">
        <v>3.0641439999999999E-2</v>
      </c>
      <c r="W704">
        <v>5.8303479999999998E-2</v>
      </c>
      <c r="X704">
        <v>0.99782850000000001</v>
      </c>
      <c r="Y704">
        <v>6.9449440000000001E-2</v>
      </c>
      <c r="Z704">
        <v>-6.6684789999999997E-3</v>
      </c>
      <c r="AA704">
        <v>0.99756319999999998</v>
      </c>
      <c r="AB704">
        <v>20</v>
      </c>
      <c r="AC704">
        <v>0.62400000000002298</v>
      </c>
      <c r="AD704">
        <v>-0.12976659999999901</v>
      </c>
      <c r="AE704">
        <v>-5.3400000000010502E-2</v>
      </c>
      <c r="AF704">
        <v>5.5713938555777803E-2</v>
      </c>
      <c r="AG704">
        <v>-0.12976659999999901</v>
      </c>
      <c r="AH704">
        <v>0.59790955380166599</v>
      </c>
      <c r="AI704">
        <v>102.193981196886</v>
      </c>
      <c r="AJ704">
        <v>84.676481722400396</v>
      </c>
      <c r="AK704">
        <v>0.61436084506767197</v>
      </c>
      <c r="AL704">
        <v>86.657561029484</v>
      </c>
      <c r="AM704">
        <v>88.241106906387003</v>
      </c>
      <c r="AN704">
        <v>0.99999995451881596</v>
      </c>
    </row>
    <row r="705" spans="1:40" x14ac:dyDescent="0.25">
      <c r="A705" t="str">
        <f>"20190312153903587"</f>
        <v>20190312153903587</v>
      </c>
      <c r="B705" t="str">
        <f>"1552376343576755"</f>
        <v>1552376343576755</v>
      </c>
      <c r="C705" t="s">
        <v>40</v>
      </c>
      <c r="D705">
        <v>4.1544460000000001</v>
      </c>
      <c r="E705">
        <v>0.52260980000000001</v>
      </c>
      <c r="F705" t="s">
        <v>41</v>
      </c>
      <c r="G705">
        <v>-372.77379999999999</v>
      </c>
      <c r="H705">
        <v>0.97427629999999998</v>
      </c>
      <c r="I705">
        <v>368.1927</v>
      </c>
      <c r="J705">
        <v>-373.37560000000002</v>
      </c>
      <c r="K705">
        <v>1.1100730000000001</v>
      </c>
      <c r="L705">
        <v>368.25130000000001</v>
      </c>
      <c r="M705">
        <v>0.99991090000000005</v>
      </c>
      <c r="N705">
        <v>0</v>
      </c>
      <c r="O705">
        <v>7.5076140000000001E-3</v>
      </c>
      <c r="P705">
        <v>0.99864520000000001</v>
      </c>
      <c r="Q705">
        <v>4.6676200000000001E-2</v>
      </c>
      <c r="R705">
        <v>-2.3006519999999999E-2</v>
      </c>
      <c r="S705">
        <v>3.0232239999999999</v>
      </c>
      <c r="T705">
        <v>-0.51051679999999999</v>
      </c>
      <c r="U705">
        <v>-0.214447</v>
      </c>
      <c r="V705">
        <v>3.05086E-2</v>
      </c>
      <c r="W705">
        <v>5.769606E-2</v>
      </c>
      <c r="X705">
        <v>0.99786790000000003</v>
      </c>
      <c r="Y705">
        <v>7.7051339999999996E-2</v>
      </c>
      <c r="Z705">
        <v>-7.709441E-3</v>
      </c>
      <c r="AA705">
        <v>0.99699729999999998</v>
      </c>
      <c r="AB705">
        <v>20</v>
      </c>
      <c r="AC705">
        <v>0.60180000000002498</v>
      </c>
      <c r="AD705">
        <v>-0.13579669999999899</v>
      </c>
      <c r="AE705">
        <v>-5.86000000000126E-2</v>
      </c>
      <c r="AF705">
        <v>6.0085966072831197E-2</v>
      </c>
      <c r="AG705">
        <v>-0.13579669999999899</v>
      </c>
      <c r="AH705">
        <v>0.57246775815850204</v>
      </c>
      <c r="AI705">
        <v>103.274326359037</v>
      </c>
      <c r="AJ705">
        <v>84.008198630864797</v>
      </c>
      <c r="AK705">
        <v>0.59141390005715699</v>
      </c>
      <c r="AL705">
        <v>86.692422397154004</v>
      </c>
      <c r="AM705">
        <v>88.248796590861403</v>
      </c>
      <c r="AN705">
        <v>0.99999997793194595</v>
      </c>
    </row>
    <row r="706" spans="1:40" x14ac:dyDescent="0.25">
      <c r="A706" t="str">
        <f>"20190312153903610"</f>
        <v>20190312153903610</v>
      </c>
      <c r="B706" t="str">
        <f>"1552376343607011"</f>
        <v>1552376343607011</v>
      </c>
      <c r="C706" t="s">
        <v>40</v>
      </c>
      <c r="D706">
        <v>4.1665479999999997</v>
      </c>
      <c r="E706">
        <v>0.52501900000000001</v>
      </c>
      <c r="F706" t="s">
        <v>41</v>
      </c>
      <c r="G706">
        <v>-372.59070000000003</v>
      </c>
      <c r="H706">
        <v>0.97260550000000001</v>
      </c>
      <c r="I706">
        <v>368.19119999999998</v>
      </c>
      <c r="J706">
        <v>-373.16210000000001</v>
      </c>
      <c r="K706">
        <v>1.110009</v>
      </c>
      <c r="L706">
        <v>368.25279999999998</v>
      </c>
      <c r="M706">
        <v>0.99991490000000005</v>
      </c>
      <c r="N706">
        <v>0</v>
      </c>
      <c r="O706">
        <v>7.4698450000000001E-3</v>
      </c>
      <c r="P706">
        <v>0.99865179999999998</v>
      </c>
      <c r="Q706">
        <v>4.6670120000000002E-2</v>
      </c>
      <c r="R706">
        <v>-2.2726730000000001E-2</v>
      </c>
      <c r="S706">
        <v>3.0235599999999998</v>
      </c>
      <c r="T706">
        <v>-0.52957949999999998</v>
      </c>
      <c r="U706">
        <v>-0.23034669999999999</v>
      </c>
      <c r="V706">
        <v>3.0191200000000001E-2</v>
      </c>
      <c r="W706">
        <v>5.7352359999999998E-2</v>
      </c>
      <c r="X706">
        <v>0.99789740000000005</v>
      </c>
      <c r="Y706">
        <v>8.2055149999999993E-2</v>
      </c>
      <c r="Z706">
        <v>-8.4184389999999998E-3</v>
      </c>
      <c r="AA706">
        <v>0.99659219999999904</v>
      </c>
      <c r="AB706">
        <v>21</v>
      </c>
      <c r="AC706">
        <v>0.57139999999998203</v>
      </c>
      <c r="AD706">
        <v>-0.13740350000000001</v>
      </c>
      <c r="AE706">
        <v>-6.1599999999998503E-2</v>
      </c>
      <c r="AF706">
        <v>6.2305381194784099E-2</v>
      </c>
      <c r="AG706">
        <v>-0.13740350000000001</v>
      </c>
      <c r="AH706">
        <v>0.54005406775792697</v>
      </c>
      <c r="AI706">
        <v>104.184386870738</v>
      </c>
      <c r="AJ706">
        <v>83.418950489414598</v>
      </c>
      <c r="AK706">
        <v>0.56073173482509497</v>
      </c>
      <c r="AL706">
        <v>86.712147729837795</v>
      </c>
      <c r="AM706">
        <v>88.2670554843628</v>
      </c>
      <c r="AN706">
        <v>1.00000001134088</v>
      </c>
    </row>
    <row r="707" spans="1:40" x14ac:dyDescent="0.25">
      <c r="A707" t="str">
        <f>"20190312153903633"</f>
        <v>20190312153903633</v>
      </c>
      <c r="B707" t="str">
        <f>"1552376343626532"</f>
        <v>1552376343626532</v>
      </c>
      <c r="C707" t="s">
        <v>40</v>
      </c>
      <c r="D707">
        <v>4.1787979999999996</v>
      </c>
      <c r="E707">
        <v>0.5262173</v>
      </c>
      <c r="F707" t="s">
        <v>41</v>
      </c>
      <c r="G707">
        <v>-372.4058</v>
      </c>
      <c r="H707">
        <v>0.97282429999999998</v>
      </c>
      <c r="I707">
        <v>368.19040000000001</v>
      </c>
      <c r="J707">
        <v>-372.95429999999999</v>
      </c>
      <c r="K707">
        <v>1.1099460000000001</v>
      </c>
      <c r="L707">
        <v>368.2543</v>
      </c>
      <c r="M707">
        <v>0.99991909999999895</v>
      </c>
      <c r="N707">
        <v>0</v>
      </c>
      <c r="O707">
        <v>7.4337630000000003E-3</v>
      </c>
      <c r="P707">
        <v>0.99862720000000005</v>
      </c>
      <c r="Q707">
        <v>4.7183160000000002E-2</v>
      </c>
      <c r="R707">
        <v>-2.2745950000000001E-2</v>
      </c>
      <c r="S707">
        <v>3.023987</v>
      </c>
      <c r="T707">
        <v>-0.54854269999999905</v>
      </c>
      <c r="U707">
        <v>-0.24850459999999999</v>
      </c>
      <c r="V707">
        <v>3.017427E-2</v>
      </c>
      <c r="W707">
        <v>5.7488980000000002E-2</v>
      </c>
      <c r="X707">
        <v>0.9978901</v>
      </c>
      <c r="Y707">
        <v>8.7765159999999995E-2</v>
      </c>
      <c r="Z707">
        <v>-9.2183000000000005E-3</v>
      </c>
      <c r="AA707">
        <v>0.9960985</v>
      </c>
      <c r="AB707">
        <v>21</v>
      </c>
      <c r="AC707">
        <v>0.54849999999999</v>
      </c>
      <c r="AD707">
        <v>-0.13712169999999901</v>
      </c>
      <c r="AE707">
        <v>-6.3899999999989604E-2</v>
      </c>
      <c r="AF707">
        <v>6.4027901574897295E-2</v>
      </c>
      <c r="AG707">
        <v>-0.13712169999999901</v>
      </c>
      <c r="AH707">
        <v>0.51618195295366998</v>
      </c>
      <c r="AI707">
        <v>104.768626817946</v>
      </c>
      <c r="AJ707">
        <v>82.929072106616999</v>
      </c>
      <c r="AK707">
        <v>0.53790867379699303</v>
      </c>
      <c r="AL707">
        <v>86.704307206264801</v>
      </c>
      <c r="AM707">
        <v>88.268013994876796</v>
      </c>
      <c r="AN707">
        <v>1.0000000605347299</v>
      </c>
    </row>
    <row r="708" spans="1:40" x14ac:dyDescent="0.25">
      <c r="A708" t="str">
        <f>"20190312153903657"</f>
        <v>20190312153903657</v>
      </c>
      <c r="B708" t="str">
        <f>"1552376343647027"</f>
        <v>1552376343647027</v>
      </c>
      <c r="C708" t="s">
        <v>40</v>
      </c>
      <c r="D708">
        <v>4.182296</v>
      </c>
      <c r="E708">
        <v>0.52713330000000003</v>
      </c>
      <c r="F708" t="s">
        <v>41</v>
      </c>
      <c r="G708">
        <v>-372.2192</v>
      </c>
      <c r="H708">
        <v>0.97511970000000003</v>
      </c>
      <c r="I708">
        <v>368.19130000000001</v>
      </c>
      <c r="J708">
        <v>-372.73439999999999</v>
      </c>
      <c r="K708">
        <v>1.1098779999999999</v>
      </c>
      <c r="L708">
        <v>368.2559</v>
      </c>
      <c r="M708">
        <v>0.99992369999999997</v>
      </c>
      <c r="N708">
        <v>0</v>
      </c>
      <c r="O708">
        <v>7.3959369999999896E-3</v>
      </c>
      <c r="P708">
        <v>0.99861909999999998</v>
      </c>
      <c r="Q708">
        <v>4.7429779999999998E-2</v>
      </c>
      <c r="R708">
        <v>-2.2589330000000001E-2</v>
      </c>
      <c r="S708">
        <v>3.0244749999999998</v>
      </c>
      <c r="T708">
        <v>-0.55484809999999996</v>
      </c>
      <c r="U708">
        <v>-0.25787349999999998</v>
      </c>
      <c r="V708">
        <v>2.9979829999999999E-2</v>
      </c>
      <c r="W708">
        <v>5.7312839999999997E-2</v>
      </c>
      <c r="X708">
        <v>0.99790599999999996</v>
      </c>
      <c r="Y708">
        <v>9.0695739999999997E-2</v>
      </c>
      <c r="Z708">
        <v>-9.5791330000000001E-3</v>
      </c>
      <c r="AA708">
        <v>0.99583259999999996</v>
      </c>
      <c r="AB708">
        <v>21</v>
      </c>
      <c r="AC708">
        <v>0.515199999999993</v>
      </c>
      <c r="AD708">
        <v>-0.1347583</v>
      </c>
      <c r="AE708">
        <v>-6.4599999999984406E-2</v>
      </c>
      <c r="AF708">
        <v>6.4091761033315695E-2</v>
      </c>
      <c r="AG708">
        <v>-0.1347583</v>
      </c>
      <c r="AH708">
        <v>0.48222664284934003</v>
      </c>
      <c r="AI708">
        <v>105.48348621460801</v>
      </c>
      <c r="AJ708">
        <v>82.429304152246999</v>
      </c>
      <c r="AK708">
        <v>0.50478717131577999</v>
      </c>
      <c r="AL708">
        <v>86.714415648221902</v>
      </c>
      <c r="AM708">
        <v>88.279195410643595</v>
      </c>
      <c r="AN708">
        <v>0.99999996833584603</v>
      </c>
    </row>
    <row r="709" spans="1:40" x14ac:dyDescent="0.25">
      <c r="A709" t="str">
        <f>"20190312153903673"</f>
        <v>20190312153903673</v>
      </c>
      <c r="B709" t="str">
        <f>"1552376343666547"</f>
        <v>1552376343666547</v>
      </c>
      <c r="C709" t="s">
        <v>40</v>
      </c>
      <c r="D709">
        <v>4.2179339999999996</v>
      </c>
      <c r="E709">
        <v>0.52742119999999904</v>
      </c>
      <c r="F709" t="s">
        <v>41</v>
      </c>
      <c r="G709">
        <v>-372.03059999999999</v>
      </c>
      <c r="H709">
        <v>0.97961069999999995</v>
      </c>
      <c r="I709">
        <v>368.19420000000002</v>
      </c>
      <c r="J709">
        <v>-372.58940000000001</v>
      </c>
      <c r="K709">
        <v>1.109834</v>
      </c>
      <c r="L709">
        <v>368.25700000000001</v>
      </c>
      <c r="M709">
        <v>0.9999266</v>
      </c>
      <c r="N709">
        <v>0</v>
      </c>
      <c r="O709">
        <v>7.3710219999999996E-3</v>
      </c>
      <c r="P709">
        <v>0.99862470000000003</v>
      </c>
      <c r="Q709">
        <v>4.733217E-2</v>
      </c>
      <c r="R709">
        <v>-2.254865E-2</v>
      </c>
      <c r="S709">
        <v>3.02475</v>
      </c>
      <c r="T709">
        <v>-0.55997059999999999</v>
      </c>
      <c r="U709">
        <v>-0.2648315</v>
      </c>
      <c r="V709">
        <v>2.991423E-2</v>
      </c>
      <c r="W709">
        <v>5.6927239999999997E-2</v>
      </c>
      <c r="X709">
        <v>0.99792999999999998</v>
      </c>
      <c r="Y709">
        <v>9.2871350000000005E-2</v>
      </c>
      <c r="Z709">
        <v>-9.8590650000000002E-3</v>
      </c>
      <c r="AA709">
        <v>0.99562930000000005</v>
      </c>
      <c r="AB709">
        <v>21</v>
      </c>
      <c r="AC709">
        <v>0.55880000000001895</v>
      </c>
      <c r="AD709">
        <v>-0.13022329999999999</v>
      </c>
      <c r="AE709">
        <v>-6.2799999999924694E-2</v>
      </c>
      <c r="AF709">
        <v>6.3511255832084806E-2</v>
      </c>
      <c r="AG709">
        <v>-0.13022329999999999</v>
      </c>
      <c r="AH709">
        <v>0.52990281751827795</v>
      </c>
      <c r="AI709">
        <v>103.712403663904</v>
      </c>
      <c r="AJ709">
        <v>83.165442941132</v>
      </c>
      <c r="AK709">
        <v>0.54935305905589304</v>
      </c>
      <c r="AL709">
        <v>86.7365449012798</v>
      </c>
      <c r="AM709">
        <v>88.282999781545399</v>
      </c>
      <c r="AN709">
        <v>0.99999992835525198</v>
      </c>
    </row>
    <row r="710" spans="1:40" x14ac:dyDescent="0.25">
      <c r="A710" t="str">
        <f>"20190312153903688"</f>
        <v>20190312153903688</v>
      </c>
      <c r="B710" t="str">
        <f>"1552376343677283"</f>
        <v>1552376343677283</v>
      </c>
      <c r="C710" t="s">
        <v>40</v>
      </c>
      <c r="D710">
        <v>4.231941</v>
      </c>
      <c r="E710">
        <v>0.54606829999999995</v>
      </c>
      <c r="F710" t="s">
        <v>41</v>
      </c>
      <c r="G710">
        <v>-371.84690000000001</v>
      </c>
      <c r="H710">
        <v>0.97237340000000005</v>
      </c>
      <c r="I710">
        <v>368.19110000000001</v>
      </c>
      <c r="J710">
        <v>-372.4323</v>
      </c>
      <c r="K710">
        <v>1.109783</v>
      </c>
      <c r="L710">
        <v>368.25810000000001</v>
      </c>
      <c r="M710">
        <v>0.99992979999999998</v>
      </c>
      <c r="N710">
        <v>0</v>
      </c>
      <c r="O710">
        <v>7.3441649999999997E-3</v>
      </c>
      <c r="P710">
        <v>0.99862130000000005</v>
      </c>
      <c r="Q710">
        <v>4.742151E-2</v>
      </c>
      <c r="R710">
        <v>-2.252432E-2</v>
      </c>
      <c r="S710">
        <v>3.024689</v>
      </c>
      <c r="T710">
        <v>-0.56007859999999998</v>
      </c>
      <c r="U710">
        <v>-0.26708979999999999</v>
      </c>
      <c r="V710">
        <v>2.9862940000000001E-2</v>
      </c>
      <c r="W710">
        <v>5.6701580000000001E-2</v>
      </c>
      <c r="X710">
        <v>0.99794450000000001</v>
      </c>
      <c r="Y710">
        <v>9.3572009999999997E-2</v>
      </c>
      <c r="Z710">
        <v>-9.9200929999999996E-3</v>
      </c>
      <c r="AA710">
        <v>0.99556310000000003</v>
      </c>
      <c r="AB710">
        <v>21</v>
      </c>
      <c r="AC710">
        <v>0.58539999999999204</v>
      </c>
      <c r="AD710">
        <v>-0.13740959999999899</v>
      </c>
      <c r="AE710">
        <v>-6.7000000000007207E-2</v>
      </c>
      <c r="AF710">
        <v>6.7620151247329896E-2</v>
      </c>
      <c r="AG710">
        <v>-0.13740959999999899</v>
      </c>
      <c r="AH710">
        <v>0.55472365059708095</v>
      </c>
      <c r="AI710">
        <v>103.81429259581201</v>
      </c>
      <c r="AJ710">
        <v>83.050001556993394</v>
      </c>
      <c r="AK710">
        <v>0.57547563941371505</v>
      </c>
      <c r="AL710">
        <v>86.749495564350198</v>
      </c>
      <c r="AM710">
        <v>88.285966828757097</v>
      </c>
      <c r="AN710">
        <v>1.0000000447200901</v>
      </c>
    </row>
    <row r="711" spans="1:40" x14ac:dyDescent="0.25">
      <c r="A711" t="str">
        <f>"20190312153903711"</f>
        <v>20190312153903711</v>
      </c>
      <c r="B711" t="str">
        <f>"1552376343696803"</f>
        <v>1552376343696803</v>
      </c>
      <c r="C711" t="s">
        <v>40</v>
      </c>
      <c r="D711">
        <v>4.2005150000000002</v>
      </c>
      <c r="E711">
        <v>0.54612969999999905</v>
      </c>
      <c r="F711" t="s">
        <v>41</v>
      </c>
      <c r="G711">
        <v>-371.67599999999999</v>
      </c>
      <c r="H711">
        <v>0.93435869999999999</v>
      </c>
      <c r="I711">
        <v>368.15539999999999</v>
      </c>
      <c r="J711">
        <v>-372.22579999999999</v>
      </c>
      <c r="K711">
        <v>1.1097220000000001</v>
      </c>
      <c r="L711">
        <v>368.25959999999998</v>
      </c>
      <c r="M711">
        <v>0.99993390000000004</v>
      </c>
      <c r="N711">
        <v>0</v>
      </c>
      <c r="O711">
        <v>7.3085930000000004E-3</v>
      </c>
      <c r="P711">
        <v>0.99861809999999995</v>
      </c>
      <c r="Q711">
        <v>4.761804E-2</v>
      </c>
      <c r="R711">
        <v>-2.2245770000000002E-2</v>
      </c>
      <c r="S711">
        <v>3.0282589999999998</v>
      </c>
      <c r="T711">
        <v>-0.70233849999999998</v>
      </c>
      <c r="U711">
        <v>-0.41113280000000002</v>
      </c>
      <c r="V711">
        <v>2.9548919999999999E-2</v>
      </c>
      <c r="W711">
        <v>5.6483539999999999E-2</v>
      </c>
      <c r="X711">
        <v>0.99796620000000003</v>
      </c>
      <c r="Y711">
        <v>0.13798150000000001</v>
      </c>
      <c r="Z711">
        <v>-1.7387759999999999E-2</v>
      </c>
      <c r="AA711">
        <v>0.9902822</v>
      </c>
      <c r="AB711">
        <v>21</v>
      </c>
      <c r="AC711">
        <v>0.54980000000000395</v>
      </c>
      <c r="AD711">
        <v>-0.175363299999999</v>
      </c>
      <c r="AE711">
        <v>-0.10419999999999099</v>
      </c>
      <c r="AF711">
        <v>9.8538479020697498E-2</v>
      </c>
      <c r="AG711">
        <v>-0.175363299999999</v>
      </c>
      <c r="AH711">
        <v>0.49992739937377001</v>
      </c>
      <c r="AI711">
        <v>108.991203961425</v>
      </c>
      <c r="AJ711">
        <v>78.849615694233293</v>
      </c>
      <c r="AK711">
        <v>0.53887802282077102</v>
      </c>
      <c r="AL711">
        <v>86.762008350058906</v>
      </c>
      <c r="AM711">
        <v>88.304016804079495</v>
      </c>
      <c r="AN711">
        <v>1.0000000326532601</v>
      </c>
    </row>
    <row r="712" spans="1:40" x14ac:dyDescent="0.25">
      <c r="A712" t="str">
        <f>"20190312153903727"</f>
        <v>20190312153903727</v>
      </c>
      <c r="B712" t="str">
        <f>"1552376343716323"</f>
        <v>1552376343716323</v>
      </c>
      <c r="C712" t="s">
        <v>40</v>
      </c>
      <c r="D712">
        <v>4.2258239999999896</v>
      </c>
      <c r="E712">
        <v>0.54555949999999998</v>
      </c>
      <c r="F712" t="s">
        <v>41</v>
      </c>
      <c r="G712">
        <v>-371.4853</v>
      </c>
      <c r="H712">
        <v>0.93752009999999997</v>
      </c>
      <c r="I712">
        <v>368.15899999999999</v>
      </c>
      <c r="J712">
        <v>-372.07670000000002</v>
      </c>
      <c r="K712">
        <v>1.109683</v>
      </c>
      <c r="L712">
        <v>368.26060000000001</v>
      </c>
      <c r="M712">
        <v>0.99993670000000001</v>
      </c>
      <c r="N712">
        <v>0</v>
      </c>
      <c r="O712">
        <v>7.282546E-3</v>
      </c>
      <c r="P712">
        <v>0.99860720000000003</v>
      </c>
      <c r="Q712">
        <v>4.7840470000000003E-2</v>
      </c>
      <c r="R712">
        <v>-2.225247E-2</v>
      </c>
      <c r="S712">
        <v>3.0285950000000001</v>
      </c>
      <c r="T712">
        <v>-0.70433950000000001</v>
      </c>
      <c r="U712">
        <v>-0.41082760000000001</v>
      </c>
      <c r="V712">
        <v>2.952948E-2</v>
      </c>
      <c r="W712">
        <v>5.6411650000000001E-2</v>
      </c>
      <c r="X712">
        <v>0.99797080000000005</v>
      </c>
      <c r="Y712">
        <v>0.13782730000000001</v>
      </c>
      <c r="Z712">
        <v>-1.7410689999999999E-2</v>
      </c>
      <c r="AA712">
        <v>0.99030320000000005</v>
      </c>
      <c r="AB712">
        <v>21</v>
      </c>
      <c r="AC712">
        <v>0.59140000000002102</v>
      </c>
      <c r="AD712">
        <v>-0.17216290000000001</v>
      </c>
      <c r="AE712">
        <v>-0.10160000000001899</v>
      </c>
      <c r="AF712">
        <v>9.7849759442912507E-2</v>
      </c>
      <c r="AG712">
        <v>-0.17216290000000001</v>
      </c>
      <c r="AH712">
        <v>0.54572266704182204</v>
      </c>
      <c r="AI712">
        <v>107.25086325828499</v>
      </c>
      <c r="AJ712">
        <v>79.834707949412802</v>
      </c>
      <c r="AK712">
        <v>0.58054101395395397</v>
      </c>
      <c r="AL712">
        <v>86.766133786789595</v>
      </c>
      <c r="AM712">
        <v>88.305139734660003</v>
      </c>
      <c r="AN712">
        <v>0.99999999104871595</v>
      </c>
    </row>
    <row r="713" spans="1:40" x14ac:dyDescent="0.25">
      <c r="A713" t="str">
        <f>"20190312153903745"</f>
        <v>20190312153903745</v>
      </c>
      <c r="B713" t="str">
        <f>"1552376343736819"</f>
        <v>1552376343736819</v>
      </c>
      <c r="C713" t="s">
        <v>40</v>
      </c>
      <c r="D713">
        <v>4.2319950000000004</v>
      </c>
      <c r="E713">
        <v>0.54565980000000003</v>
      </c>
      <c r="F713" t="s">
        <v>41</v>
      </c>
      <c r="G713">
        <v>-371.29849999999999</v>
      </c>
      <c r="H713">
        <v>0.92974389999999996</v>
      </c>
      <c r="I713">
        <v>368.15620000000001</v>
      </c>
      <c r="J713">
        <v>-371.89710000000002</v>
      </c>
      <c r="K713">
        <v>1.10964</v>
      </c>
      <c r="L713">
        <v>368.26190000000003</v>
      </c>
      <c r="M713">
        <v>0.99993969999999999</v>
      </c>
      <c r="N713">
        <v>0</v>
      </c>
      <c r="O713">
        <v>7.25107599999999E-3</v>
      </c>
      <c r="P713">
        <v>0.99858449999999999</v>
      </c>
      <c r="Q713">
        <v>4.8192289999999999E-2</v>
      </c>
      <c r="R713">
        <v>-2.250862E-2</v>
      </c>
      <c r="S713">
        <v>3.0287169999999999</v>
      </c>
      <c r="T713">
        <v>-0.70031030000000005</v>
      </c>
      <c r="U713">
        <v>-0.40615839999999998</v>
      </c>
      <c r="V713">
        <v>2.975409E-2</v>
      </c>
      <c r="W713">
        <v>5.6415460000000001E-2</v>
      </c>
      <c r="X713">
        <v>0.99796390000000001</v>
      </c>
      <c r="Y713">
        <v>0.13637199999999999</v>
      </c>
      <c r="Z713">
        <v>-1.7142149999999998E-2</v>
      </c>
      <c r="AA713">
        <v>0.99050939999999998</v>
      </c>
      <c r="AB713">
        <v>21</v>
      </c>
      <c r="AC713">
        <v>0.59860000000003299</v>
      </c>
      <c r="AD713">
        <v>-0.179896099999999</v>
      </c>
      <c r="AE713">
        <v>-0.10570000000001301</v>
      </c>
      <c r="AF713">
        <v>0.10117622394458201</v>
      </c>
      <c r="AG713">
        <v>-0.179896099999999</v>
      </c>
      <c r="AH713">
        <v>0.54967395614171999</v>
      </c>
      <c r="AI713">
        <v>107.841846832646</v>
      </c>
      <c r="AJ713">
        <v>79.570540128170705</v>
      </c>
      <c r="AK713">
        <v>0.58714622807898897</v>
      </c>
      <c r="AL713">
        <v>86.765915098944504</v>
      </c>
      <c r="AM713">
        <v>88.292243928329995</v>
      </c>
      <c r="AN713">
        <v>0.99999997785097405</v>
      </c>
    </row>
    <row r="714" spans="1:40" x14ac:dyDescent="0.25">
      <c r="A714" t="str">
        <f>"20190312153903759"</f>
        <v>20190312153903759</v>
      </c>
      <c r="B714" t="str">
        <f>"1552376343746579"</f>
        <v>1552376343746579</v>
      </c>
      <c r="C714" t="s">
        <v>40</v>
      </c>
      <c r="D714">
        <v>4.2194010000000004</v>
      </c>
      <c r="E714">
        <v>0.54572480000000001</v>
      </c>
      <c r="F714" t="s">
        <v>41</v>
      </c>
      <c r="G714">
        <v>-371.108</v>
      </c>
      <c r="H714">
        <v>0.9275523</v>
      </c>
      <c r="I714">
        <v>368.15550000000002</v>
      </c>
      <c r="J714">
        <v>-371.76799999999997</v>
      </c>
      <c r="K714">
        <v>1.109612</v>
      </c>
      <c r="L714">
        <v>368.26280000000003</v>
      </c>
      <c r="M714">
        <v>0.99994190000000005</v>
      </c>
      <c r="N714">
        <v>0</v>
      </c>
      <c r="O714">
        <v>7.2282500000000003E-3</v>
      </c>
      <c r="P714">
        <v>0.99856800000000001</v>
      </c>
      <c r="Q714">
        <v>4.8583990000000001E-2</v>
      </c>
      <c r="R714">
        <v>-2.2397139999999999E-2</v>
      </c>
      <c r="S714">
        <v>3.0288089999999999</v>
      </c>
      <c r="T714">
        <v>-0.69900439999999997</v>
      </c>
      <c r="U714">
        <v>-0.40759279999999998</v>
      </c>
      <c r="V714">
        <v>2.9619619999999999E-2</v>
      </c>
      <c r="W714">
        <v>5.6562090000000002E-2</v>
      </c>
      <c r="X714">
        <v>0.99795959999999995</v>
      </c>
      <c r="Y714">
        <v>0.1368096</v>
      </c>
      <c r="Z714">
        <v>-1.7154429999999998E-2</v>
      </c>
      <c r="AA714">
        <v>0.99044880000000002</v>
      </c>
      <c r="AB714">
        <v>21</v>
      </c>
      <c r="AC714">
        <v>0.66000000000002501</v>
      </c>
      <c r="AD714">
        <v>-0.18205969999999999</v>
      </c>
      <c r="AE714">
        <v>-0.107300000000009</v>
      </c>
      <c r="AF714">
        <v>0.104333468127454</v>
      </c>
      <c r="AG714">
        <v>-0.18205969999999999</v>
      </c>
      <c r="AH714">
        <v>0.61371105720956198</v>
      </c>
      <c r="AI714">
        <v>106.30196283014401</v>
      </c>
      <c r="AJ714">
        <v>80.351719819653397</v>
      </c>
      <c r="AK714">
        <v>0.64859268318172503</v>
      </c>
      <c r="AL714">
        <v>86.757500381367606</v>
      </c>
      <c r="AM714">
        <v>88.299950064517105</v>
      </c>
      <c r="AN714">
        <v>0.99999997757313597</v>
      </c>
    </row>
    <row r="715" spans="1:40" x14ac:dyDescent="0.25">
      <c r="A715" t="str">
        <f>"20190312153903778"</f>
        <v>20190312153903778</v>
      </c>
      <c r="B715" t="str">
        <f>"1552376343767075"</f>
        <v>1552376343767075</v>
      </c>
      <c r="C715" t="s">
        <v>40</v>
      </c>
      <c r="D715">
        <v>4.1975419999999897</v>
      </c>
      <c r="E715">
        <v>0.5456609</v>
      </c>
      <c r="F715" t="s">
        <v>41</v>
      </c>
      <c r="G715">
        <v>-370.92090000000002</v>
      </c>
      <c r="H715">
        <v>0.91467209999999999</v>
      </c>
      <c r="I715">
        <v>368.14870000000002</v>
      </c>
      <c r="J715">
        <v>-371.58280000000002</v>
      </c>
      <c r="K715">
        <v>1.1095699999999999</v>
      </c>
      <c r="L715">
        <v>368.26409999999998</v>
      </c>
      <c r="M715">
        <v>0.99994490000000003</v>
      </c>
      <c r="N715">
        <v>0</v>
      </c>
      <c r="O715">
        <v>7.1960590000000003E-3</v>
      </c>
      <c r="P715">
        <v>0.99853579999999997</v>
      </c>
      <c r="Q715">
        <v>4.9124139999999997E-2</v>
      </c>
      <c r="R715">
        <v>-2.2658279999999999E-2</v>
      </c>
      <c r="S715">
        <v>3.0290530000000002</v>
      </c>
      <c r="T715">
        <v>-0.69695479999999999</v>
      </c>
      <c r="U715">
        <v>-0.40792850000000003</v>
      </c>
      <c r="V715">
        <v>2.9848449999999999E-2</v>
      </c>
      <c r="W715">
        <v>5.6758709999999997E-2</v>
      </c>
      <c r="X715">
        <v>0.99794159999999998</v>
      </c>
      <c r="Y715">
        <v>0.13689579999999901</v>
      </c>
      <c r="Z715">
        <v>-1.7106400000000001E-2</v>
      </c>
      <c r="AA715">
        <v>0.99043769999999998</v>
      </c>
      <c r="AB715">
        <v>21</v>
      </c>
      <c r="AC715">
        <v>0.66190000000000204</v>
      </c>
      <c r="AD715">
        <v>-0.19489790000000001</v>
      </c>
      <c r="AE715">
        <v>-0.115399999999965</v>
      </c>
      <c r="AF715">
        <v>0.110834152079268</v>
      </c>
      <c r="AG715">
        <v>-0.19489790000000001</v>
      </c>
      <c r="AH715">
        <v>0.60974573799320997</v>
      </c>
      <c r="AI715">
        <v>107.457569328475</v>
      </c>
      <c r="AJ715">
        <v>79.697764950107398</v>
      </c>
      <c r="AK715">
        <v>0.64966088514887899</v>
      </c>
      <c r="AL715">
        <v>86.746216697617896</v>
      </c>
      <c r="AM715">
        <v>88.286793035119601</v>
      </c>
      <c r="AN715">
        <v>0.99999995906941197</v>
      </c>
    </row>
    <row r="716" spans="1:40" x14ac:dyDescent="0.25">
      <c r="A716" t="str">
        <f>"20190312153903793"</f>
        <v>20190312153903793</v>
      </c>
      <c r="B716" t="str">
        <f>"1552376343786594"</f>
        <v>1552376343786594</v>
      </c>
      <c r="C716" t="s">
        <v>40</v>
      </c>
      <c r="D716">
        <v>4.1916390000000003</v>
      </c>
      <c r="E716">
        <v>0.54557319999999998</v>
      </c>
      <c r="F716" t="s">
        <v>41</v>
      </c>
      <c r="G716">
        <v>-370.72739999999999</v>
      </c>
      <c r="H716">
        <v>0.9138191</v>
      </c>
      <c r="I716">
        <v>368.14859999999999</v>
      </c>
      <c r="J716">
        <v>-371.43689999999998</v>
      </c>
      <c r="K716">
        <v>1.1095389999999901</v>
      </c>
      <c r="L716">
        <v>368.26510000000002</v>
      </c>
      <c r="M716">
        <v>0.99994709999999998</v>
      </c>
      <c r="N716">
        <v>0</v>
      </c>
      <c r="O716">
        <v>7.1703690000000002E-3</v>
      </c>
      <c r="P716">
        <v>0.99851120000000004</v>
      </c>
      <c r="Q716">
        <v>4.9438330000000003E-2</v>
      </c>
      <c r="R716">
        <v>-2.3055780000000001E-2</v>
      </c>
      <c r="S716">
        <v>3.0292050000000001</v>
      </c>
      <c r="T716">
        <v>-0.69333769999999995</v>
      </c>
      <c r="U716">
        <v>-0.40826420000000002</v>
      </c>
      <c r="V716">
        <v>3.0220130000000001E-2</v>
      </c>
      <c r="W716">
        <v>5.6808699999999997E-2</v>
      </c>
      <c r="X716">
        <v>0.99792760000000003</v>
      </c>
      <c r="Y716">
        <v>0.13700760000000001</v>
      </c>
      <c r="Z716">
        <v>-1.7025680000000001E-2</v>
      </c>
      <c r="AA716">
        <v>0.99042370000000002</v>
      </c>
      <c r="AB716">
        <v>22</v>
      </c>
      <c r="AC716">
        <v>0.70949999999999103</v>
      </c>
      <c r="AD716">
        <v>-0.195719899999999</v>
      </c>
      <c r="AE716">
        <v>-0.11650000000003</v>
      </c>
      <c r="AF716">
        <v>0.113196779295116</v>
      </c>
      <c r="AG716">
        <v>-0.195719899999999</v>
      </c>
      <c r="AH716">
        <v>0.65975906173758103</v>
      </c>
      <c r="AI716">
        <v>106.29793587632599</v>
      </c>
      <c r="AJ716">
        <v>80.264387987280401</v>
      </c>
      <c r="AK716">
        <v>0.69742512834256998</v>
      </c>
      <c r="AL716">
        <v>86.743347952626394</v>
      </c>
      <c r="AM716">
        <v>88.265448407201703</v>
      </c>
      <c r="AN716">
        <v>0.99999998974733295</v>
      </c>
    </row>
    <row r="717" spans="1:40" x14ac:dyDescent="0.25">
      <c r="A717" t="str">
        <f>"20190312153903807"</f>
        <v>20190312153903807</v>
      </c>
      <c r="B717" t="str">
        <f>"1552376343796355"</f>
        <v>1552376343796355</v>
      </c>
      <c r="C717" t="s">
        <v>40</v>
      </c>
      <c r="D717">
        <v>4.1632210000000001</v>
      </c>
      <c r="E717">
        <v>0.54550189999999998</v>
      </c>
      <c r="F717" t="s">
        <v>41</v>
      </c>
      <c r="G717">
        <v>-370.71429999999998</v>
      </c>
      <c r="H717">
        <v>0.94460869999999997</v>
      </c>
      <c r="I717">
        <v>368.16739999999999</v>
      </c>
      <c r="J717">
        <v>-371.30799999999999</v>
      </c>
      <c r="K717">
        <v>1.109513</v>
      </c>
      <c r="L717">
        <v>368.26600000000002</v>
      </c>
      <c r="M717">
        <v>0.99994890000000003</v>
      </c>
      <c r="N717">
        <v>0</v>
      </c>
      <c r="O717">
        <v>7.1478499999999999E-3</v>
      </c>
      <c r="P717">
        <v>0.9985077</v>
      </c>
      <c r="Q717">
        <v>4.9452580000000003E-2</v>
      </c>
      <c r="R717">
        <v>-2.3176789999999999E-2</v>
      </c>
      <c r="S717">
        <v>3.0292659999999998</v>
      </c>
      <c r="T717">
        <v>-0.69150979999999995</v>
      </c>
      <c r="U717">
        <v>-0.40853879999999998</v>
      </c>
      <c r="V717">
        <v>3.0318600000000001E-2</v>
      </c>
      <c r="W717">
        <v>5.6594940000000003E-2</v>
      </c>
      <c r="X717">
        <v>0.99793679999999996</v>
      </c>
      <c r="Y717">
        <v>0.13708870000000001</v>
      </c>
      <c r="Z717">
        <v>-1.698552E-2</v>
      </c>
      <c r="AA717">
        <v>0.99041310000000005</v>
      </c>
      <c r="AB717">
        <v>22</v>
      </c>
      <c r="AC717">
        <v>0.59370000000006895</v>
      </c>
      <c r="AD717">
        <v>-0.164904299999999</v>
      </c>
      <c r="AE717">
        <v>-9.8599999999976207E-2</v>
      </c>
      <c r="AF717">
        <v>9.5659342009975099E-2</v>
      </c>
      <c r="AG717">
        <v>-0.164904299999999</v>
      </c>
      <c r="AH717">
        <v>0.55156924074399005</v>
      </c>
      <c r="AI717">
        <v>106.41368813231</v>
      </c>
      <c r="AJ717">
        <v>80.160989641171298</v>
      </c>
      <c r="AK717">
        <v>0.583586124926881</v>
      </c>
      <c r="AL717">
        <v>86.755615367953794</v>
      </c>
      <c r="AM717">
        <v>88.259816005094905</v>
      </c>
      <c r="AN717">
        <v>1.0000000307668999</v>
      </c>
    </row>
    <row r="718" spans="1:40" x14ac:dyDescent="0.25">
      <c r="A718" t="str">
        <f>"20190312153903823"</f>
        <v>20190312153903823</v>
      </c>
      <c r="B718" t="str">
        <f>"1552376343816852"</f>
        <v>1552376343816852</v>
      </c>
      <c r="C718" t="s">
        <v>40</v>
      </c>
      <c r="D718">
        <v>4.1767699999999897</v>
      </c>
      <c r="E718">
        <v>0.54566740000000002</v>
      </c>
      <c r="F718" t="s">
        <v>41</v>
      </c>
      <c r="G718">
        <v>-370.52510000000001</v>
      </c>
      <c r="H718">
        <v>0.93151379999999995</v>
      </c>
      <c r="I718">
        <v>368.16019999999997</v>
      </c>
      <c r="J718">
        <v>-371.14670000000001</v>
      </c>
      <c r="K718">
        <v>1.1094850000000001</v>
      </c>
      <c r="L718">
        <v>368.26710000000003</v>
      </c>
      <c r="M718">
        <v>0.99995109999999998</v>
      </c>
      <c r="N718">
        <v>0</v>
      </c>
      <c r="O718">
        <v>7.1199469999999997E-3</v>
      </c>
      <c r="P718">
        <v>0.99850110000000003</v>
      </c>
      <c r="Q718">
        <v>4.9467089999999998E-2</v>
      </c>
      <c r="R718">
        <v>-2.3424279999999999E-2</v>
      </c>
      <c r="S718">
        <v>3.029083</v>
      </c>
      <c r="T718">
        <v>-0.68875719999999996</v>
      </c>
      <c r="U718">
        <v>-0.40856930000000002</v>
      </c>
      <c r="V718">
        <v>3.053844E-2</v>
      </c>
      <c r="W718">
        <v>5.6328339999999998E-2</v>
      </c>
      <c r="X718">
        <v>0.99794510000000003</v>
      </c>
      <c r="Y718">
        <v>0.13710710000000001</v>
      </c>
      <c r="Z718">
        <v>-1.691637E-2</v>
      </c>
      <c r="AA718">
        <v>0.99041179999999995</v>
      </c>
      <c r="AB718">
        <v>22</v>
      </c>
      <c r="AC718">
        <v>0.62160000000000004</v>
      </c>
      <c r="AD718">
        <v>-0.1779712</v>
      </c>
      <c r="AE718">
        <v>-0.106900000000052</v>
      </c>
      <c r="AF718">
        <v>0.103113326533737</v>
      </c>
      <c r="AG718">
        <v>-0.1779712</v>
      </c>
      <c r="AH718">
        <v>0.57503882450144195</v>
      </c>
      <c r="AI718">
        <v>106.94258953814899</v>
      </c>
      <c r="AJ718">
        <v>79.834023566487005</v>
      </c>
      <c r="AK718">
        <v>0.61071741077383201</v>
      </c>
      <c r="AL718">
        <v>86.770914568760404</v>
      </c>
      <c r="AM718">
        <v>88.247220352501301</v>
      </c>
      <c r="AN718">
        <v>0.99999995040939804</v>
      </c>
    </row>
    <row r="719" spans="1:40" x14ac:dyDescent="0.25">
      <c r="A719" t="str">
        <f>"20190312153903847"</f>
        <v>20190312153903847</v>
      </c>
      <c r="B719" t="str">
        <f>"1552376343836370"</f>
        <v>1552376343836370</v>
      </c>
      <c r="C719" t="s">
        <v>40</v>
      </c>
      <c r="D719">
        <v>4.1429869999999998</v>
      </c>
      <c r="E719">
        <v>0.54577419999999899</v>
      </c>
      <c r="F719" t="s">
        <v>41</v>
      </c>
      <c r="G719">
        <v>-370.3322</v>
      </c>
      <c r="H719">
        <v>0.92413389999999995</v>
      </c>
      <c r="I719">
        <v>368.15649999999999</v>
      </c>
      <c r="J719">
        <v>-370.91640000000001</v>
      </c>
      <c r="K719">
        <v>1.109434</v>
      </c>
      <c r="L719">
        <v>368.26870000000002</v>
      </c>
      <c r="M719">
        <v>0.99995389999999995</v>
      </c>
      <c r="N719">
        <v>0</v>
      </c>
      <c r="O719">
        <v>7.079803E-3</v>
      </c>
      <c r="P719">
        <v>0.99849410000000005</v>
      </c>
      <c r="Q719">
        <v>4.9539670000000001E-2</v>
      </c>
      <c r="R719">
        <v>-2.3560310000000001E-2</v>
      </c>
      <c r="S719">
        <v>3.0290219999999999</v>
      </c>
      <c r="T719">
        <v>-0.68936319999999995</v>
      </c>
      <c r="U719">
        <v>-0.41107179999999999</v>
      </c>
      <c r="V719">
        <v>3.063426E-2</v>
      </c>
      <c r="W719">
        <v>5.6007929999999997E-2</v>
      </c>
      <c r="X719">
        <v>0.99796030000000002</v>
      </c>
      <c r="Y719">
        <v>0.1378499</v>
      </c>
      <c r="Z719">
        <v>-1.7004419999999999E-2</v>
      </c>
      <c r="AA719">
        <v>0.99030720000000005</v>
      </c>
      <c r="AB719">
        <v>22</v>
      </c>
      <c r="AC719">
        <v>0.58420000000000905</v>
      </c>
      <c r="AD719">
        <v>-0.1853001</v>
      </c>
      <c r="AE719">
        <v>-0.112200000000029</v>
      </c>
      <c r="AF719">
        <v>0.10604405180953599</v>
      </c>
      <c r="AG719">
        <v>-0.1853001</v>
      </c>
      <c r="AH719">
        <v>0.53179224105099299</v>
      </c>
      <c r="AI719">
        <v>108.866158281938</v>
      </c>
      <c r="AJ719">
        <v>78.722641758642098</v>
      </c>
      <c r="AK719">
        <v>0.57304838855565299</v>
      </c>
      <c r="AL719">
        <v>86.7893020683575</v>
      </c>
      <c r="AM719">
        <v>88.241750892771705</v>
      </c>
      <c r="AN719">
        <v>1.0000000532423501</v>
      </c>
    </row>
    <row r="720" spans="1:40" x14ac:dyDescent="0.25">
      <c r="A720" t="str">
        <f>"20190312153903868"</f>
        <v>20190312153903868</v>
      </c>
      <c r="B720" t="str">
        <f>"1552376343856867"</f>
        <v>1552376343856867</v>
      </c>
      <c r="C720" t="s">
        <v>40</v>
      </c>
      <c r="D720">
        <v>4.1256399999999998</v>
      </c>
      <c r="E720">
        <v>0.54582819999999899</v>
      </c>
      <c r="F720" t="s">
        <v>41</v>
      </c>
      <c r="G720">
        <v>-370.13170000000002</v>
      </c>
      <c r="H720">
        <v>0.931091</v>
      </c>
      <c r="I720">
        <v>368.1619</v>
      </c>
      <c r="J720">
        <v>-370.69869999999997</v>
      </c>
      <c r="K720">
        <v>1.1093900000000001</v>
      </c>
      <c r="L720">
        <v>368.27019999999999</v>
      </c>
      <c r="M720">
        <v>0.99995650000000003</v>
      </c>
      <c r="N720">
        <v>0</v>
      </c>
      <c r="O720">
        <v>7.042459E-3</v>
      </c>
      <c r="P720">
        <v>0.99846659999999998</v>
      </c>
      <c r="Q720">
        <v>5.0014450000000002E-2</v>
      </c>
      <c r="R720">
        <v>-2.3738479999999999E-2</v>
      </c>
      <c r="S720">
        <v>3.028931</v>
      </c>
      <c r="T720">
        <v>-0.68839869999999903</v>
      </c>
      <c r="U720">
        <v>-0.41201779999999999</v>
      </c>
      <c r="V720">
        <v>3.0774840000000001E-2</v>
      </c>
      <c r="W720">
        <v>5.6121709999999998E-2</v>
      </c>
      <c r="X720">
        <v>0.99794950000000004</v>
      </c>
      <c r="Y720">
        <v>0.13812469999999999</v>
      </c>
      <c r="Z720">
        <v>-1.700372E-2</v>
      </c>
      <c r="AA720">
        <v>0.99026890000000001</v>
      </c>
      <c r="AB720">
        <v>22</v>
      </c>
      <c r="AC720">
        <v>0.56699999999994999</v>
      </c>
      <c r="AD720">
        <v>-0.17829899999999901</v>
      </c>
      <c r="AE720">
        <v>-0.10829999999998501</v>
      </c>
      <c r="AF720">
        <v>0.102510486888453</v>
      </c>
      <c r="AG720">
        <v>-0.17829899999999901</v>
      </c>
      <c r="AH720">
        <v>0.51690782076717401</v>
      </c>
      <c r="AI720">
        <v>108.69297435295999</v>
      </c>
      <c r="AJ720">
        <v>78.782937057263496</v>
      </c>
      <c r="AK720">
        <v>0.55632061663520604</v>
      </c>
      <c r="AL720">
        <v>86.782772419627307</v>
      </c>
      <c r="AM720">
        <v>88.233668319308194</v>
      </c>
      <c r="AN720">
        <v>0.99999997083029901</v>
      </c>
    </row>
    <row r="721" spans="1:40" x14ac:dyDescent="0.25">
      <c r="A721" t="str">
        <f>"20190312153903888"</f>
        <v>20190312153903888</v>
      </c>
      <c r="B721" t="str">
        <f>"1552376343876387"</f>
        <v>1552376343876387</v>
      </c>
      <c r="C721" t="s">
        <v>40</v>
      </c>
      <c r="D721">
        <v>4.0935280000000001</v>
      </c>
      <c r="E721">
        <v>0.54579529999999998</v>
      </c>
      <c r="F721" t="s">
        <v>41</v>
      </c>
      <c r="G721">
        <v>-369.93079999999998</v>
      </c>
      <c r="H721">
        <v>0.9358417</v>
      </c>
      <c r="I721">
        <v>368.1653</v>
      </c>
      <c r="J721">
        <v>-370.50549999999998</v>
      </c>
      <c r="K721">
        <v>1.1093569999999999</v>
      </c>
      <c r="L721">
        <v>368.2715</v>
      </c>
      <c r="M721">
        <v>0.99995860000000003</v>
      </c>
      <c r="N721">
        <v>0</v>
      </c>
      <c r="O721">
        <v>7.0090009999999999E-3</v>
      </c>
      <c r="P721">
        <v>0.99845609999999996</v>
      </c>
      <c r="Q721">
        <v>5.0254359999999998E-2</v>
      </c>
      <c r="R721">
        <v>-2.3670480000000001E-2</v>
      </c>
      <c r="S721">
        <v>3.029083</v>
      </c>
      <c r="T721">
        <v>-0.68462009999999995</v>
      </c>
      <c r="U721">
        <v>-0.41305540000000002</v>
      </c>
      <c r="V721">
        <v>3.0673490000000001E-2</v>
      </c>
      <c r="W721">
        <v>5.6055529999999999E-2</v>
      </c>
      <c r="X721">
        <v>0.99795639999999997</v>
      </c>
      <c r="Y721">
        <v>0.13845060000000001</v>
      </c>
      <c r="Z721">
        <v>-1.6940219999999999E-2</v>
      </c>
      <c r="AA721">
        <v>0.9902244</v>
      </c>
      <c r="AB721">
        <v>22</v>
      </c>
      <c r="AC721">
        <v>0.57470000000000698</v>
      </c>
      <c r="AD721">
        <v>-0.17351529999999901</v>
      </c>
      <c r="AE721">
        <v>-0.106200000000001</v>
      </c>
      <c r="AF721">
        <v>0.101296490993559</v>
      </c>
      <c r="AG721">
        <v>-0.17351529999999901</v>
      </c>
      <c r="AH721">
        <v>0.52744822741250696</v>
      </c>
      <c r="AI721">
        <v>107.90394855209</v>
      </c>
      <c r="AJ721">
        <v>79.128705576713799</v>
      </c>
      <c r="AK721">
        <v>0.56442020784367197</v>
      </c>
      <c r="AL721">
        <v>86.7865704260917</v>
      </c>
      <c r="AM721">
        <v>88.239493832692801</v>
      </c>
      <c r="AN721">
        <v>1.0000000308666599</v>
      </c>
    </row>
    <row r="722" spans="1:40" x14ac:dyDescent="0.25">
      <c r="A722" t="str">
        <f>"20190312153903903"</f>
        <v>20190312153903903</v>
      </c>
      <c r="B722" t="str">
        <f>"1552376343896883"</f>
        <v>1552376343896883</v>
      </c>
      <c r="C722" t="s">
        <v>40</v>
      </c>
      <c r="D722">
        <v>4.1126779999999998</v>
      </c>
      <c r="E722">
        <v>0.54592790000000002</v>
      </c>
      <c r="F722" t="s">
        <v>41</v>
      </c>
      <c r="G722">
        <v>-369.73099999999999</v>
      </c>
      <c r="H722">
        <v>0.93499860000000001</v>
      </c>
      <c r="I722">
        <v>368.16590000000002</v>
      </c>
      <c r="J722">
        <v>-370.3476</v>
      </c>
      <c r="K722">
        <v>1.109332</v>
      </c>
      <c r="L722">
        <v>368.27260000000001</v>
      </c>
      <c r="M722">
        <v>0.99996010000000002</v>
      </c>
      <c r="N722">
        <v>0</v>
      </c>
      <c r="O722">
        <v>6.9819799999999996E-3</v>
      </c>
      <c r="P722">
        <v>0.99845099999999998</v>
      </c>
      <c r="Q722">
        <v>5.0526809999999998E-2</v>
      </c>
      <c r="R722">
        <v>-2.3298610000000001E-2</v>
      </c>
      <c r="S722">
        <v>3.0291440000000001</v>
      </c>
      <c r="T722">
        <v>-0.68207899999999999</v>
      </c>
      <c r="U722">
        <v>-0.41302489999999997</v>
      </c>
      <c r="V722">
        <v>3.0274599999999999E-2</v>
      </c>
      <c r="W722">
        <v>5.6089809999999997E-2</v>
      </c>
      <c r="X722">
        <v>0.99796660000000004</v>
      </c>
      <c r="Y722">
        <v>0.138438899999999</v>
      </c>
      <c r="Z722">
        <v>-1.6871259999999999E-2</v>
      </c>
      <c r="AA722">
        <v>0.99022730000000003</v>
      </c>
      <c r="AB722">
        <v>22</v>
      </c>
      <c r="AC722">
        <v>0.61660000000000503</v>
      </c>
      <c r="AD722">
        <v>-0.1743334</v>
      </c>
      <c r="AE722">
        <v>-0.106699999999989</v>
      </c>
      <c r="AF722">
        <v>0.10300771188694099</v>
      </c>
      <c r="AG722">
        <v>-0.1743334</v>
      </c>
      <c r="AH722">
        <v>0.57148475048539704</v>
      </c>
      <c r="AI722">
        <v>106.71057941754</v>
      </c>
      <c r="AJ722">
        <v>79.782386913602195</v>
      </c>
      <c r="AK722">
        <v>0.60629822950516599</v>
      </c>
      <c r="AL722">
        <v>86.784603056680197</v>
      </c>
      <c r="AM722">
        <v>88.2623917612366</v>
      </c>
      <c r="AN722">
        <v>0.99999997645327698</v>
      </c>
    </row>
    <row r="723" spans="1:40" x14ac:dyDescent="0.25">
      <c r="A723" t="str">
        <f>"20190312153903918"</f>
        <v>20190312153903918</v>
      </c>
      <c r="B723" t="str">
        <f>"1552376343906643"</f>
        <v>1552376343906643</v>
      </c>
      <c r="C723" t="s">
        <v>40</v>
      </c>
      <c r="D723">
        <v>4.0818789999999998</v>
      </c>
      <c r="E723">
        <v>0.54585589999999995</v>
      </c>
      <c r="F723" t="s">
        <v>41</v>
      </c>
      <c r="G723">
        <v>-369.5333</v>
      </c>
      <c r="H723">
        <v>0.9264175</v>
      </c>
      <c r="I723">
        <v>368.16140000000001</v>
      </c>
      <c r="J723">
        <v>-370.20359999999999</v>
      </c>
      <c r="K723">
        <v>1.1093139999999999</v>
      </c>
      <c r="L723">
        <v>368.27359999999999</v>
      </c>
      <c r="M723">
        <v>0.99996130000000005</v>
      </c>
      <c r="N723">
        <v>0</v>
      </c>
      <c r="O723">
        <v>6.9578249999999999E-3</v>
      </c>
      <c r="P723">
        <v>0.9984381</v>
      </c>
      <c r="Q723">
        <v>5.0832660000000002E-2</v>
      </c>
      <c r="R723">
        <v>-2.3182359999999999E-2</v>
      </c>
      <c r="S723">
        <v>3.0294189999999999</v>
      </c>
      <c r="T723">
        <v>-0.68056879999999997</v>
      </c>
      <c r="U723">
        <v>-0.41281129999999999</v>
      </c>
      <c r="V723">
        <v>3.0134290000000001E-2</v>
      </c>
      <c r="W723">
        <v>5.6187420000000002E-2</v>
      </c>
      <c r="X723">
        <v>0.9979654</v>
      </c>
      <c r="Y723">
        <v>0.13835329999999901</v>
      </c>
      <c r="Z723">
        <v>-1.6818619999999999E-2</v>
      </c>
      <c r="AA723">
        <v>0.99024009999999996</v>
      </c>
      <c r="AB723">
        <v>22</v>
      </c>
      <c r="AC723">
        <v>0.67029999999999701</v>
      </c>
      <c r="AD723">
        <v>-0.18289649999999999</v>
      </c>
      <c r="AE723">
        <v>-0.112199999999973</v>
      </c>
      <c r="AF723">
        <v>0.108969385581951</v>
      </c>
      <c r="AG723">
        <v>-0.18289649999999999</v>
      </c>
      <c r="AH723">
        <v>0.62429063133759599</v>
      </c>
      <c r="AI723">
        <v>106.098319956494</v>
      </c>
      <c r="AJ723">
        <v>80.098821821186505</v>
      </c>
      <c r="AK723">
        <v>0.65959400321883799</v>
      </c>
      <c r="AL723">
        <v>86.779001724236807</v>
      </c>
      <c r="AM723">
        <v>88.270437861390704</v>
      </c>
      <c r="AN723">
        <v>1.0000000205986099</v>
      </c>
    </row>
    <row r="724" spans="1:40" x14ac:dyDescent="0.25">
      <c r="A724" t="str">
        <f>"20190312153903933"</f>
        <v>20190312153903933</v>
      </c>
      <c r="B724" t="str">
        <f>"1552376343926163"</f>
        <v>1552376343926163</v>
      </c>
      <c r="C724" t="s">
        <v>40</v>
      </c>
      <c r="D724">
        <v>4.130236</v>
      </c>
      <c r="E724">
        <v>0.54600059999999995</v>
      </c>
      <c r="F724" t="s">
        <v>41</v>
      </c>
      <c r="G724">
        <v>-369.33510000000001</v>
      </c>
      <c r="H724">
        <v>0.91477070000000005</v>
      </c>
      <c r="I724">
        <v>368.15550000000002</v>
      </c>
      <c r="J724">
        <v>-370.03480000000002</v>
      </c>
      <c r="K724">
        <v>1.109289</v>
      </c>
      <c r="L724">
        <v>368.2747</v>
      </c>
      <c r="M724">
        <v>0.99996280000000004</v>
      </c>
      <c r="N724">
        <v>0</v>
      </c>
      <c r="O724">
        <v>6.9290489999999996E-3</v>
      </c>
      <c r="P724">
        <v>0.99841230000000003</v>
      </c>
      <c r="Q724">
        <v>5.1439520000000002E-2</v>
      </c>
      <c r="R724">
        <v>-2.2959009999999998E-2</v>
      </c>
      <c r="S724">
        <v>3.0296940000000001</v>
      </c>
      <c r="T724">
        <v>-0.67867840000000001</v>
      </c>
      <c r="U724">
        <v>-0.41174319999999998</v>
      </c>
      <c r="V724">
        <v>2.9881999999999999E-2</v>
      </c>
      <c r="W724">
        <v>5.6567800000000001E-2</v>
      </c>
      <c r="X724">
        <v>0.99795140000000004</v>
      </c>
      <c r="Y724">
        <v>0.13799919999999999</v>
      </c>
      <c r="Z724">
        <v>-1.672659E-2</v>
      </c>
      <c r="AA724">
        <v>0.99029109999999998</v>
      </c>
      <c r="AB724">
        <v>23</v>
      </c>
      <c r="AC724">
        <v>0.69970000000000698</v>
      </c>
      <c r="AD724">
        <v>-0.19451829999999901</v>
      </c>
      <c r="AE724">
        <v>-0.119199999999978</v>
      </c>
      <c r="AF724">
        <v>0.11537978659248101</v>
      </c>
      <c r="AG724">
        <v>-0.19451829999999901</v>
      </c>
      <c r="AH724">
        <v>0.65003589470756196</v>
      </c>
      <c r="AI724">
        <v>106.416927371868</v>
      </c>
      <c r="AJ724">
        <v>79.934966061884396</v>
      </c>
      <c r="AK724">
        <v>0.68825615042459098</v>
      </c>
      <c r="AL724">
        <v>86.757172521759998</v>
      </c>
      <c r="AM724">
        <v>88.284885353104997</v>
      </c>
      <c r="AN724">
        <v>0.99999992334139698</v>
      </c>
    </row>
    <row r="725" spans="1:40" x14ac:dyDescent="0.25">
      <c r="A725" t="str">
        <f>"20190312153903957"</f>
        <v>20190312153903957</v>
      </c>
      <c r="B725" t="str">
        <f>"1552376343946658"</f>
        <v>1552376343946658</v>
      </c>
      <c r="C725" t="s">
        <v>40</v>
      </c>
      <c r="D725">
        <v>4.0683759999999998</v>
      </c>
      <c r="E725">
        <v>0.54611549999999998</v>
      </c>
      <c r="F725" t="s">
        <v>41</v>
      </c>
      <c r="G725">
        <v>-369.32029999999997</v>
      </c>
      <c r="H725">
        <v>0.94969800000000004</v>
      </c>
      <c r="I725">
        <v>368.17750000000001</v>
      </c>
      <c r="J725">
        <v>-369.80599999999998</v>
      </c>
      <c r="K725">
        <v>1.1092679999999999</v>
      </c>
      <c r="L725">
        <v>368.27629999999999</v>
      </c>
      <c r="M725">
        <v>0.99996450000000003</v>
      </c>
      <c r="N725">
        <v>0</v>
      </c>
      <c r="O725">
        <v>6.8909740000000002E-3</v>
      </c>
      <c r="P725">
        <v>0.99836769999999997</v>
      </c>
      <c r="Q725">
        <v>5.2304610000000001E-2</v>
      </c>
      <c r="R725">
        <v>-2.2937260000000001E-2</v>
      </c>
      <c r="S725">
        <v>3.030151</v>
      </c>
      <c r="T725">
        <v>-0.67680560000000001</v>
      </c>
      <c r="U725">
        <v>-0.41226200000000002</v>
      </c>
      <c r="V725">
        <v>2.9822129999999999E-2</v>
      </c>
      <c r="W725">
        <v>5.7148600000000001E-2</v>
      </c>
      <c r="X725">
        <v>0.99792020000000003</v>
      </c>
      <c r="Y725">
        <v>0.13812629999999901</v>
      </c>
      <c r="Z725">
        <v>-1.668449E-2</v>
      </c>
      <c r="AA725">
        <v>0.99027410000000005</v>
      </c>
      <c r="AB725">
        <v>23</v>
      </c>
      <c r="AC725">
        <v>0.48570000000000801</v>
      </c>
      <c r="AD725">
        <v>-0.15956999999999999</v>
      </c>
      <c r="AE725">
        <v>-9.8799999999982901E-2</v>
      </c>
      <c r="AF725">
        <v>9.2551895102778406E-2</v>
      </c>
      <c r="AG725">
        <v>-0.15956999999999999</v>
      </c>
      <c r="AH725">
        <v>0.43945894400963498</v>
      </c>
      <c r="AI725">
        <v>109.56070173391301</v>
      </c>
      <c r="AJ725">
        <v>78.107069506621002</v>
      </c>
      <c r="AK725">
        <v>0.47660528916198502</v>
      </c>
      <c r="AL725">
        <v>86.723841538014497</v>
      </c>
      <c r="AM725">
        <v>88.288266136255004</v>
      </c>
      <c r="AN725">
        <v>1.00000002374386</v>
      </c>
    </row>
    <row r="726" spans="1:40" x14ac:dyDescent="0.25">
      <c r="A726" t="str">
        <f>"20190312153903969"</f>
        <v>20190312153903969</v>
      </c>
      <c r="B726" t="str">
        <f>"1552376343966179"</f>
        <v>1552376343966179</v>
      </c>
      <c r="C726" t="s">
        <v>40</v>
      </c>
      <c r="D726">
        <v>4.0794280000000001</v>
      </c>
      <c r="E726">
        <v>0.54627159999999997</v>
      </c>
      <c r="F726" t="s">
        <v>41</v>
      </c>
      <c r="G726">
        <v>-369.11329999999998</v>
      </c>
      <c r="H726">
        <v>0.95577350000000005</v>
      </c>
      <c r="I726">
        <v>368.1816</v>
      </c>
      <c r="J726">
        <v>-369.67770000000002</v>
      </c>
      <c r="K726">
        <v>1.109254</v>
      </c>
      <c r="L726">
        <v>368.27710000000002</v>
      </c>
      <c r="M726">
        <v>0.9999654</v>
      </c>
      <c r="N726">
        <v>0</v>
      </c>
      <c r="O726">
        <v>6.8691539999999997E-3</v>
      </c>
      <c r="P726">
        <v>0.99834469999999997</v>
      </c>
      <c r="Q726">
        <v>5.2720660000000003E-2</v>
      </c>
      <c r="R726">
        <v>-2.299327E-2</v>
      </c>
      <c r="S726">
        <v>3.0306090000000001</v>
      </c>
      <c r="T726">
        <v>-0.67158960000000001</v>
      </c>
      <c r="U726">
        <v>-0.41299439999999998</v>
      </c>
      <c r="V726">
        <v>2.9856250000000001E-2</v>
      </c>
      <c r="W726">
        <v>5.7420899999999997E-2</v>
      </c>
      <c r="X726">
        <v>0.99790350000000005</v>
      </c>
      <c r="Y726">
        <v>0.13836879999999999</v>
      </c>
      <c r="Z726">
        <v>-1.6577910000000001E-2</v>
      </c>
      <c r="AA726">
        <v>0.99024199999999996</v>
      </c>
      <c r="AB726">
        <v>23</v>
      </c>
      <c r="AC726">
        <v>0.56440000000003399</v>
      </c>
      <c r="AD726">
        <v>-0.15348049999999999</v>
      </c>
      <c r="AE726">
        <v>-9.5500000000015406E-2</v>
      </c>
      <c r="AF726">
        <v>9.2709767124555406E-2</v>
      </c>
      <c r="AG726">
        <v>-0.15348049999999999</v>
      </c>
      <c r="AH726">
        <v>0.52592177200388701</v>
      </c>
      <c r="AI726">
        <v>106.034658025982</v>
      </c>
      <c r="AJ726">
        <v>80.002581365373899</v>
      </c>
      <c r="AK726">
        <v>0.55564833759154497</v>
      </c>
      <c r="AL726">
        <v>86.708214076253697</v>
      </c>
      <c r="AM726">
        <v>88.286280218219304</v>
      </c>
      <c r="AN726">
        <v>0.99999997536656005</v>
      </c>
    </row>
    <row r="727" spans="1:40" x14ac:dyDescent="0.25">
      <c r="A727" t="str">
        <f>"20190312153903991"</f>
        <v>20190312153903991</v>
      </c>
      <c r="B727" t="str">
        <f>"1552376343986675"</f>
        <v>1552376343986675</v>
      </c>
      <c r="C727" t="s">
        <v>40</v>
      </c>
      <c r="D727">
        <v>4.1345210000000003</v>
      </c>
      <c r="E727">
        <v>0.54657849999999997</v>
      </c>
      <c r="F727" t="s">
        <v>41</v>
      </c>
      <c r="G727">
        <v>-368.91430000000003</v>
      </c>
      <c r="H727">
        <v>0.94101290000000004</v>
      </c>
      <c r="I727">
        <v>368.17259999999999</v>
      </c>
      <c r="J727">
        <v>-369.45319999999998</v>
      </c>
      <c r="K727">
        <v>1.109229</v>
      </c>
      <c r="L727">
        <v>368.27870000000001</v>
      </c>
      <c r="M727">
        <v>0.99996669999999999</v>
      </c>
      <c r="N727">
        <v>0</v>
      </c>
      <c r="O727">
        <v>6.8315600000000004E-3</v>
      </c>
      <c r="P727">
        <v>0.99832299999999996</v>
      </c>
      <c r="Q727">
        <v>5.3035619999999999E-2</v>
      </c>
      <c r="R727">
        <v>-2.3210600000000001E-2</v>
      </c>
      <c r="S727">
        <v>3.0307309999999998</v>
      </c>
      <c r="T727">
        <v>-0.66797030000000002</v>
      </c>
      <c r="U727">
        <v>-0.41473389999999999</v>
      </c>
      <c r="V727">
        <v>3.0036E-2</v>
      </c>
      <c r="W727">
        <v>5.75004E-2</v>
      </c>
      <c r="X727">
        <v>0.99789360000000005</v>
      </c>
      <c r="Y727">
        <v>0.1389097</v>
      </c>
      <c r="Z727">
        <v>-1.6539870000000002E-2</v>
      </c>
      <c r="AA727">
        <v>0.99016689999999996</v>
      </c>
      <c r="AB727">
        <v>23</v>
      </c>
      <c r="AC727">
        <v>0.53889999999995497</v>
      </c>
      <c r="AD727">
        <v>-0.16821609999999901</v>
      </c>
      <c r="AE727">
        <v>-0.10610000000002601</v>
      </c>
      <c r="AF727">
        <v>0.10036487302615001</v>
      </c>
      <c r="AG727">
        <v>-0.16821609999999901</v>
      </c>
      <c r="AH727">
        <v>0.492011918112159</v>
      </c>
      <c r="AI727">
        <v>108.520621772477</v>
      </c>
      <c r="AJ727">
        <v>78.470491023530897</v>
      </c>
      <c r="AK727">
        <v>0.52957104490443196</v>
      </c>
      <c r="AL727">
        <v>86.703651760038397</v>
      </c>
      <c r="AM727">
        <v>88.275951856960504</v>
      </c>
      <c r="AN727">
        <v>1.0000000471085499</v>
      </c>
    </row>
    <row r="728" spans="1:40" x14ac:dyDescent="0.25">
      <c r="A728" t="str">
        <f>"20190312153904004"</f>
        <v>20190312153904004</v>
      </c>
      <c r="B728" t="str">
        <f>"1552376343996435"</f>
        <v>1552376343996435</v>
      </c>
      <c r="C728" t="s">
        <v>40</v>
      </c>
      <c r="D728">
        <v>4.1037910000000002</v>
      </c>
      <c r="E728">
        <v>0.54659329999999995</v>
      </c>
      <c r="F728" t="s">
        <v>41</v>
      </c>
      <c r="G728">
        <v>-368.70580000000001</v>
      </c>
      <c r="H728">
        <v>0.94435420000000003</v>
      </c>
      <c r="I728">
        <v>368.17540000000002</v>
      </c>
      <c r="J728">
        <v>-369.31349999999998</v>
      </c>
      <c r="K728">
        <v>1.1092150000000001</v>
      </c>
      <c r="L728">
        <v>368.27960000000002</v>
      </c>
      <c r="M728">
        <v>0.99996750000000001</v>
      </c>
      <c r="N728">
        <v>0</v>
      </c>
      <c r="O728">
        <v>6.808199E-3</v>
      </c>
      <c r="P728">
        <v>0.99831159999999997</v>
      </c>
      <c r="Q728">
        <v>5.3152100000000001E-2</v>
      </c>
      <c r="R728">
        <v>-2.3434509999999999E-2</v>
      </c>
      <c r="S728">
        <v>3.0308229999999998</v>
      </c>
      <c r="T728">
        <v>-0.66870949999999996</v>
      </c>
      <c r="U728">
        <v>-0.4174194</v>
      </c>
      <c r="V728">
        <v>3.0236430000000002E-2</v>
      </c>
      <c r="W728">
        <v>5.7483739999999998E-2</v>
      </c>
      <c r="X728">
        <v>0.99788840000000001</v>
      </c>
      <c r="Y728">
        <v>0.13971829999999999</v>
      </c>
      <c r="Z728">
        <v>-1.6638980000000001E-2</v>
      </c>
      <c r="AA728">
        <v>0.99005149999999997</v>
      </c>
      <c r="AB728">
        <v>23</v>
      </c>
      <c r="AC728">
        <v>0.60769999999996505</v>
      </c>
      <c r="AD728">
        <v>-0.1648608</v>
      </c>
      <c r="AE728">
        <v>-0.10419999999999099</v>
      </c>
      <c r="AF728">
        <v>0.101106425110102</v>
      </c>
      <c r="AG728">
        <v>-0.1648608</v>
      </c>
      <c r="AH728">
        <v>0.56647660218856999</v>
      </c>
      <c r="AI728">
        <v>105.98705030715401</v>
      </c>
      <c r="AJ728">
        <v>79.880240225985901</v>
      </c>
      <c r="AK728">
        <v>0.59857942948475296</v>
      </c>
      <c r="AL728">
        <v>86.704607537312796</v>
      </c>
      <c r="AM728">
        <v>88.264445271089301</v>
      </c>
      <c r="AN728">
        <v>0.99999994045904395</v>
      </c>
    </row>
    <row r="729" spans="1:40" x14ac:dyDescent="0.25">
      <c r="A729" t="str">
        <f>"20190312153904018"</f>
        <v>20190312153904018</v>
      </c>
      <c r="B729" t="str">
        <f>"1552376344006547"</f>
        <v>1552376344006547</v>
      </c>
      <c r="C729" t="s">
        <v>40</v>
      </c>
      <c r="D729">
        <v>4.1299380000000001</v>
      </c>
      <c r="E729">
        <v>0.54669489999999998</v>
      </c>
      <c r="F729" t="s">
        <v>41</v>
      </c>
      <c r="G729">
        <v>-368.5034</v>
      </c>
      <c r="H729">
        <v>0.93063830000000003</v>
      </c>
      <c r="I729">
        <v>368.16770000000002</v>
      </c>
      <c r="J729">
        <v>-369.17689999999999</v>
      </c>
      <c r="K729">
        <v>1.1091959999999901</v>
      </c>
      <c r="L729">
        <v>368.28050000000002</v>
      </c>
      <c r="M729">
        <v>0.99996810000000003</v>
      </c>
      <c r="N729">
        <v>0</v>
      </c>
      <c r="O729">
        <v>6.7852829999999996E-3</v>
      </c>
      <c r="P729">
        <v>0.99830399999999997</v>
      </c>
      <c r="Q729">
        <v>5.3164540000000003E-2</v>
      </c>
      <c r="R729">
        <v>-2.3728610000000001E-2</v>
      </c>
      <c r="S729">
        <v>3.030853</v>
      </c>
      <c r="T729">
        <v>-0.66817510000000002</v>
      </c>
      <c r="U729">
        <v>-0.41827389999999998</v>
      </c>
      <c r="V729">
        <v>3.0507670000000001E-2</v>
      </c>
      <c r="W729">
        <v>5.7372350000000003E-2</v>
      </c>
      <c r="X729">
        <v>0.99788659999999996</v>
      </c>
      <c r="Y729">
        <v>0.1399685</v>
      </c>
      <c r="Z729">
        <v>-1.664769E-2</v>
      </c>
      <c r="AA729">
        <v>0.99001600000000001</v>
      </c>
      <c r="AB729">
        <v>23</v>
      </c>
      <c r="AC729">
        <v>0.67349999999999</v>
      </c>
      <c r="AD729">
        <v>-0.17855769999999899</v>
      </c>
      <c r="AE729">
        <v>-0.112799999999992</v>
      </c>
      <c r="AF729">
        <v>0.10985641637428201</v>
      </c>
      <c r="AG729">
        <v>-0.17855769999999899</v>
      </c>
      <c r="AH729">
        <v>0.62966848866228198</v>
      </c>
      <c r="AI729">
        <v>105.607940238456</v>
      </c>
      <c r="AJ729">
        <v>80.103384467971907</v>
      </c>
      <c r="AK729">
        <v>0.66365178374063905</v>
      </c>
      <c r="AL729">
        <v>86.711000413020301</v>
      </c>
      <c r="AM729">
        <v>88.248882735349</v>
      </c>
      <c r="AN729">
        <v>0.99999998546645497</v>
      </c>
    </row>
    <row r="730" spans="1:40" x14ac:dyDescent="0.25">
      <c r="A730" t="str">
        <f>"20190312153904034"</f>
        <v>20190312153904034</v>
      </c>
      <c r="B730" t="str">
        <f>"1552376344027043"</f>
        <v>1552376344027043</v>
      </c>
      <c r="C730" t="s">
        <v>40</v>
      </c>
      <c r="D730">
        <v>4.1770329999999998</v>
      </c>
      <c r="E730">
        <v>0.54701180000000005</v>
      </c>
      <c r="F730" t="s">
        <v>41</v>
      </c>
      <c r="G730">
        <v>-368.29969999999997</v>
      </c>
      <c r="H730">
        <v>0.91566789999999998</v>
      </c>
      <c r="I730">
        <v>368.15870000000001</v>
      </c>
      <c r="J730">
        <v>-368.99259999999998</v>
      </c>
      <c r="K730">
        <v>1.1091770000000001</v>
      </c>
      <c r="L730">
        <v>368.2817</v>
      </c>
      <c r="M730">
        <v>0.999969</v>
      </c>
      <c r="N730">
        <v>0</v>
      </c>
      <c r="O730">
        <v>6.7541279999999999E-3</v>
      </c>
      <c r="P730">
        <v>0.99828969999999995</v>
      </c>
      <c r="Q730">
        <v>5.3174800000000001E-2</v>
      </c>
      <c r="R730">
        <v>-2.4294300000000001E-2</v>
      </c>
      <c r="S730">
        <v>3.0307620000000002</v>
      </c>
      <c r="T730">
        <v>-0.66865629999999998</v>
      </c>
      <c r="U730">
        <v>-0.42010500000000001</v>
      </c>
      <c r="V730">
        <v>3.1042299999999998E-2</v>
      </c>
      <c r="W730">
        <v>5.7234769999999997E-2</v>
      </c>
      <c r="X730">
        <v>0.99787800000000004</v>
      </c>
      <c r="Y730">
        <v>0.14051169999999999</v>
      </c>
      <c r="Z730">
        <v>-1.671139E-2</v>
      </c>
      <c r="AA730">
        <v>0.98993799999999998</v>
      </c>
      <c r="AB730">
        <v>23</v>
      </c>
      <c r="AC730">
        <v>0.69290000000000795</v>
      </c>
      <c r="AD730">
        <v>-0.19350909999999999</v>
      </c>
      <c r="AE730">
        <v>-0.12299999999999001</v>
      </c>
      <c r="AF730">
        <v>0.11870194164242399</v>
      </c>
      <c r="AG730">
        <v>-0.19350909999999999</v>
      </c>
      <c r="AH730">
        <v>0.64340466820883202</v>
      </c>
      <c r="AI730">
        <v>106.476460377157</v>
      </c>
      <c r="AJ730">
        <v>79.547019826110997</v>
      </c>
      <c r="AK730">
        <v>0.68227962728298497</v>
      </c>
      <c r="AL730">
        <v>86.718896100070296</v>
      </c>
      <c r="AM730">
        <v>88.218199641150093</v>
      </c>
      <c r="AN730">
        <v>0.99999997308512101</v>
      </c>
    </row>
    <row r="731" spans="1:40" x14ac:dyDescent="0.25">
      <c r="A731" t="str">
        <f>"20190312153904048"</f>
        <v>20190312153904048</v>
      </c>
      <c r="B731" t="str">
        <f>"1552376344036802"</f>
        <v>1552376344036802</v>
      </c>
      <c r="C731" t="s">
        <v>40</v>
      </c>
      <c r="D731">
        <v>4.2407469999999998</v>
      </c>
      <c r="E731">
        <v>0.54701180000000005</v>
      </c>
      <c r="F731" t="s">
        <v>41</v>
      </c>
      <c r="G731">
        <v>-368.2842</v>
      </c>
      <c r="H731">
        <v>0.95246770000000003</v>
      </c>
      <c r="I731">
        <v>368.1823</v>
      </c>
      <c r="J731">
        <v>-368.85270000000003</v>
      </c>
      <c r="K731">
        <v>1.109165</v>
      </c>
      <c r="L731">
        <v>368.2826</v>
      </c>
      <c r="M731">
        <v>0.99996949999999996</v>
      </c>
      <c r="N731">
        <v>0</v>
      </c>
      <c r="O731">
        <v>6.7306730000000004E-3</v>
      </c>
      <c r="P731">
        <v>0.99829210000000002</v>
      </c>
      <c r="Q731">
        <v>5.3035510000000001E-2</v>
      </c>
      <c r="R731">
        <v>-2.4495260000000001E-2</v>
      </c>
      <c r="S731">
        <v>3.0304869999999999</v>
      </c>
      <c r="T731">
        <v>-0.67044090000000001</v>
      </c>
      <c r="U731">
        <v>-0.42422490000000002</v>
      </c>
      <c r="V731">
        <v>3.1219879999999998E-2</v>
      </c>
      <c r="W731">
        <v>5.6994839999999998E-2</v>
      </c>
      <c r="X731">
        <v>0.99788619999999995</v>
      </c>
      <c r="Y731">
        <v>0.14177319999999999</v>
      </c>
      <c r="Z731">
        <v>-1.6887039999999999E-2</v>
      </c>
      <c r="AA731">
        <v>0.9897551</v>
      </c>
      <c r="AB731">
        <v>23</v>
      </c>
      <c r="AC731">
        <v>0.56850000000002798</v>
      </c>
      <c r="AD731">
        <v>-0.15669730000000001</v>
      </c>
      <c r="AE731">
        <v>-0.100300000000004</v>
      </c>
      <c r="AF731">
        <v>9.6978748189099295E-2</v>
      </c>
      <c r="AG731">
        <v>-0.15669730000000001</v>
      </c>
      <c r="AH731">
        <v>0.52884659549707103</v>
      </c>
      <c r="AI731">
        <v>106.24825739464001</v>
      </c>
      <c r="AJ731">
        <v>79.608674892248004</v>
      </c>
      <c r="AK731">
        <v>0.56003360880973696</v>
      </c>
      <c r="AL731">
        <v>86.7326655778717</v>
      </c>
      <c r="AM731">
        <v>88.208028050123005</v>
      </c>
      <c r="AN731">
        <v>0.999999980422139</v>
      </c>
    </row>
    <row r="732" spans="1:40" x14ac:dyDescent="0.25">
      <c r="A732" t="str">
        <f>"20190312153904080"</f>
        <v>20190312153904080</v>
      </c>
      <c r="B732" t="str">
        <f>"1552376344066082"</f>
        <v>1552376344066082</v>
      </c>
      <c r="C732" t="s">
        <v>40</v>
      </c>
      <c r="D732">
        <v>4.2344169999999997</v>
      </c>
      <c r="E732">
        <v>0.51298880000000002</v>
      </c>
      <c r="F732" t="s">
        <v>41</v>
      </c>
      <c r="G732">
        <v>-368.07940000000002</v>
      </c>
      <c r="H732">
        <v>0.93799100000000002</v>
      </c>
      <c r="I732">
        <v>368.17399999999998</v>
      </c>
      <c r="J732">
        <v>-368.52249999999998</v>
      </c>
      <c r="K732">
        <v>1.109148</v>
      </c>
      <c r="L732">
        <v>368.28480000000002</v>
      </c>
      <c r="M732">
        <v>0.99997080000000005</v>
      </c>
      <c r="N732">
        <v>0</v>
      </c>
      <c r="O732">
        <v>6.6741129999999997E-3</v>
      </c>
      <c r="P732">
        <v>0.99826680000000001</v>
      </c>
      <c r="Q732">
        <v>5.3412199999999903E-2</v>
      </c>
      <c r="R732">
        <v>-2.471655E-2</v>
      </c>
      <c r="S732">
        <v>3.0303339999999999</v>
      </c>
      <c r="T732">
        <v>-0.67084769999999905</v>
      </c>
      <c r="U732">
        <v>-0.42517090000000002</v>
      </c>
      <c r="V732">
        <v>3.1384519999999999E-2</v>
      </c>
      <c r="W732">
        <v>5.716098E-2</v>
      </c>
      <c r="X732">
        <v>0.99787159999999997</v>
      </c>
      <c r="Y732">
        <v>0.14201820000000001</v>
      </c>
      <c r="Z732">
        <v>-1.6911880000000001E-2</v>
      </c>
      <c r="AA732">
        <v>0.98971960000000003</v>
      </c>
      <c r="AB732">
        <v>23</v>
      </c>
      <c r="AC732">
        <v>0.44309999999995803</v>
      </c>
      <c r="AD732">
        <v>-0.171157</v>
      </c>
      <c r="AE732">
        <v>-0.110799999999983</v>
      </c>
      <c r="AF732">
        <v>9.9747745131876703E-2</v>
      </c>
      <c r="AG732">
        <v>-0.171157</v>
      </c>
      <c r="AH732">
        <v>0.38788216485438798</v>
      </c>
      <c r="AI732">
        <v>113.139718298913</v>
      </c>
      <c r="AJ732">
        <v>75.578310067816901</v>
      </c>
      <c r="AK732">
        <v>0.43554208191634097</v>
      </c>
      <c r="AL732">
        <v>86.723131134145106</v>
      </c>
      <c r="AM732">
        <v>88.198557844121197</v>
      </c>
      <c r="AN732">
        <v>1.0000000479083699</v>
      </c>
    </row>
    <row r="733" spans="1:40" x14ac:dyDescent="0.25">
      <c r="A733" t="str">
        <f>"20190312153904102"</f>
        <v>20190312153904102</v>
      </c>
      <c r="B733" t="str">
        <f>"1552376344096339"</f>
        <v>1552376344096339</v>
      </c>
      <c r="C733" t="s">
        <v>40</v>
      </c>
      <c r="D733">
        <v>4.2705399999999996</v>
      </c>
      <c r="E733">
        <v>0.51292970000000004</v>
      </c>
      <c r="F733" t="s">
        <v>41</v>
      </c>
      <c r="G733">
        <v>-367.64940000000001</v>
      </c>
      <c r="H733">
        <v>0.94879579999999997</v>
      </c>
      <c r="I733">
        <v>368.23930000000001</v>
      </c>
      <c r="J733">
        <v>-368.28379999999999</v>
      </c>
      <c r="K733">
        <v>1.1091359999999999</v>
      </c>
      <c r="L733">
        <v>368.28629999999998</v>
      </c>
      <c r="M733">
        <v>0.99997139999999995</v>
      </c>
      <c r="N733">
        <v>0</v>
      </c>
      <c r="O733">
        <v>6.6335250000000004E-3</v>
      </c>
      <c r="P733">
        <v>0.99825949999999997</v>
      </c>
      <c r="Q733">
        <v>5.3614809999999999E-2</v>
      </c>
      <c r="R733">
        <v>-2.4562810000000001E-2</v>
      </c>
      <c r="S733">
        <v>3.0311279999999998</v>
      </c>
      <c r="T733">
        <v>-0.55675459999999999</v>
      </c>
      <c r="U733">
        <v>-0.157196</v>
      </c>
      <c r="V733">
        <v>3.1190320000000001E-2</v>
      </c>
      <c r="W733">
        <v>5.7236670000000003E-2</v>
      </c>
      <c r="X733">
        <v>0.99787329999999996</v>
      </c>
      <c r="Y733">
        <v>5.7346929999999997E-2</v>
      </c>
      <c r="Z733">
        <v>-6.4271969999999999E-3</v>
      </c>
      <c r="AA733">
        <v>0.99833360000000004</v>
      </c>
      <c r="AB733">
        <v>24</v>
      </c>
      <c r="AC733">
        <v>0.63439999999997099</v>
      </c>
      <c r="AD733">
        <v>-0.16034019999999999</v>
      </c>
      <c r="AE733">
        <v>-4.6999999999968602E-2</v>
      </c>
      <c r="AF733">
        <v>4.8148415839300199E-2</v>
      </c>
      <c r="AG733">
        <v>-0.16034019999999999</v>
      </c>
      <c r="AH733">
        <v>0.59619761622063605</v>
      </c>
      <c r="AI733">
        <v>105.006204715103</v>
      </c>
      <c r="AJ733">
        <v>85.382861571927407</v>
      </c>
      <c r="AK733">
        <v>0.61925668932280697</v>
      </c>
      <c r="AL733">
        <v>86.718787140037705</v>
      </c>
      <c r="AM733">
        <v>88.2097005141907</v>
      </c>
      <c r="AN733">
        <v>0.99999999765364</v>
      </c>
    </row>
    <row r="734" spans="1:40" x14ac:dyDescent="0.25">
      <c r="A734" t="str">
        <f>"20190312153904125"</f>
        <v>20190312153904125</v>
      </c>
      <c r="B734" t="str">
        <f>"1552376344116834"</f>
        <v>1552376344116834</v>
      </c>
      <c r="C734" t="s">
        <v>40</v>
      </c>
      <c r="D734">
        <v>4.2704490000000002</v>
      </c>
      <c r="E734">
        <v>0.51286769999999904</v>
      </c>
      <c r="F734" t="s">
        <v>41</v>
      </c>
      <c r="G734">
        <v>-367.43360000000001</v>
      </c>
      <c r="H734">
        <v>0.95004109999999997</v>
      </c>
      <c r="I734">
        <v>368.24200000000002</v>
      </c>
      <c r="J734">
        <v>-368.03559999999999</v>
      </c>
      <c r="K734">
        <v>1.109127</v>
      </c>
      <c r="L734">
        <v>368.28789999999998</v>
      </c>
      <c r="M734">
        <v>0.99997219999999998</v>
      </c>
      <c r="N734">
        <v>0</v>
      </c>
      <c r="O734">
        <v>6.5910559999999997E-3</v>
      </c>
      <c r="P734">
        <v>0.99825070000000005</v>
      </c>
      <c r="Q734">
        <v>5.3738979999999999E-2</v>
      </c>
      <c r="R734">
        <v>-2.4655409999999999E-2</v>
      </c>
      <c r="S734">
        <v>3.0318299999999998</v>
      </c>
      <c r="T734">
        <v>-0.56755389999999994</v>
      </c>
      <c r="U734">
        <v>-0.1563416</v>
      </c>
      <c r="V734">
        <v>3.124033E-2</v>
      </c>
      <c r="W734">
        <v>5.7248569999999999E-2</v>
      </c>
      <c r="X734">
        <v>0.99787099999999995</v>
      </c>
      <c r="Y734">
        <v>5.6978099999999997E-2</v>
      </c>
      <c r="Z734">
        <v>-6.5062369999999998E-3</v>
      </c>
      <c r="AA734">
        <v>0.99835430000000003</v>
      </c>
      <c r="AB734">
        <v>24</v>
      </c>
      <c r="AC734">
        <v>0.601999999999975</v>
      </c>
      <c r="AD734">
        <v>-0.1590859</v>
      </c>
      <c r="AE734">
        <v>-4.5900000000017302E-2</v>
      </c>
      <c r="AF734">
        <v>4.6629325501026601E-2</v>
      </c>
      <c r="AG734">
        <v>-0.1590859</v>
      </c>
      <c r="AH734">
        <v>0.56262108840929603</v>
      </c>
      <c r="AI734">
        <v>105.73743108999901</v>
      </c>
      <c r="AJ734">
        <v>85.262226072557496</v>
      </c>
      <c r="AK734">
        <v>0.58653653483679202</v>
      </c>
      <c r="AL734">
        <v>86.718104026835306</v>
      </c>
      <c r="AM734">
        <v>88.206827722258694</v>
      </c>
      <c r="AN734">
        <v>0.99999994481327503</v>
      </c>
    </row>
    <row r="735" spans="1:40" x14ac:dyDescent="0.25">
      <c r="A735" t="str">
        <f>"20190312153904147"</f>
        <v>20190312153904147</v>
      </c>
      <c r="B735" t="str">
        <f>"1552376344136354"</f>
        <v>1552376344136354</v>
      </c>
      <c r="C735" t="s">
        <v>40</v>
      </c>
      <c r="D735">
        <v>4.3100839999999998</v>
      </c>
      <c r="E735">
        <v>0.51307990000000003</v>
      </c>
      <c r="F735" t="s">
        <v>41</v>
      </c>
      <c r="G735">
        <v>-367.21510000000001</v>
      </c>
      <c r="H735">
        <v>0.95419730000000003</v>
      </c>
      <c r="I735">
        <v>368.24579999999997</v>
      </c>
      <c r="J735">
        <v>-367.79610000000002</v>
      </c>
      <c r="K735">
        <v>1.1091169999999999</v>
      </c>
      <c r="L735">
        <v>368.2894</v>
      </c>
      <c r="M735">
        <v>0.9999728</v>
      </c>
      <c r="N735">
        <v>0</v>
      </c>
      <c r="O735">
        <v>6.5500890000000003E-3</v>
      </c>
      <c r="P735">
        <v>0.99825509999999995</v>
      </c>
      <c r="Q735">
        <v>5.3667550000000001E-2</v>
      </c>
      <c r="R735">
        <v>-2.463504E-2</v>
      </c>
      <c r="S735">
        <v>3.032257</v>
      </c>
      <c r="T735">
        <v>-0.57250290000000004</v>
      </c>
      <c r="U735">
        <v>-0.1557007</v>
      </c>
      <c r="V735">
        <v>3.1179100000000001E-2</v>
      </c>
      <c r="W735">
        <v>5.7088140000000002E-2</v>
      </c>
      <c r="X735">
        <v>0.99788220000000005</v>
      </c>
      <c r="Y735">
        <v>5.670621E-2</v>
      </c>
      <c r="Z735">
        <v>-6.528028E-3</v>
      </c>
      <c r="AA735">
        <v>0.99836959999999997</v>
      </c>
      <c r="AB735">
        <v>24</v>
      </c>
      <c r="AC735">
        <v>0.58100000000001695</v>
      </c>
      <c r="AD735">
        <v>-0.15491969999999899</v>
      </c>
      <c r="AE735">
        <v>-4.3600000000026201E-2</v>
      </c>
      <c r="AF735">
        <v>4.4274463737194902E-2</v>
      </c>
      <c r="AG735">
        <v>-0.15491969999999899</v>
      </c>
      <c r="AH735">
        <v>0.54235706214315504</v>
      </c>
      <c r="AI735">
        <v>105.891361652912</v>
      </c>
      <c r="AJ735">
        <v>85.333097778409396</v>
      </c>
      <c r="AK735">
        <v>0.56578399097523102</v>
      </c>
      <c r="AL735">
        <v>86.727311353937907</v>
      </c>
      <c r="AM735">
        <v>88.2103600657165</v>
      </c>
      <c r="AN735">
        <v>1.00000003854115</v>
      </c>
    </row>
    <row r="736" spans="1:40" x14ac:dyDescent="0.25">
      <c r="A736" t="str">
        <f>"20190312153904169"</f>
        <v>20190312153904169</v>
      </c>
      <c r="B736" t="str">
        <f>"1552376344156850"</f>
        <v>1552376344156850</v>
      </c>
      <c r="C736" t="s">
        <v>40</v>
      </c>
      <c r="D736">
        <v>4.2676059999999998</v>
      </c>
      <c r="E736">
        <v>0.5131289</v>
      </c>
      <c r="F736" t="s">
        <v>41</v>
      </c>
      <c r="G736">
        <v>-366.9957</v>
      </c>
      <c r="H736">
        <v>0.95744300000000004</v>
      </c>
      <c r="I736">
        <v>368.24759999999998</v>
      </c>
      <c r="J736">
        <v>-367.55759999999998</v>
      </c>
      <c r="K736">
        <v>1.1091070000000001</v>
      </c>
      <c r="L736">
        <v>368.291</v>
      </c>
      <c r="M736">
        <v>0.99997320000000001</v>
      </c>
      <c r="N736">
        <v>0</v>
      </c>
      <c r="O736">
        <v>6.5094910000000001E-3</v>
      </c>
      <c r="P736">
        <v>0.99822719999999998</v>
      </c>
      <c r="Q736">
        <v>5.4041510000000001E-2</v>
      </c>
      <c r="R736">
        <v>-2.4945269999999999E-2</v>
      </c>
      <c r="S736">
        <v>3.032257</v>
      </c>
      <c r="T736">
        <v>-0.57472970000000001</v>
      </c>
      <c r="U736">
        <v>-0.15740970000000001</v>
      </c>
      <c r="V736">
        <v>3.1448730000000001E-2</v>
      </c>
      <c r="W736">
        <v>5.7398049999999999E-2</v>
      </c>
      <c r="X736">
        <v>0.99785590000000002</v>
      </c>
      <c r="Y736">
        <v>5.721006E-2</v>
      </c>
      <c r="Z736">
        <v>-6.5925599999999999E-3</v>
      </c>
      <c r="AA736">
        <v>0.99834040000000002</v>
      </c>
      <c r="AB736">
        <v>24</v>
      </c>
      <c r="AC736">
        <v>0.56189999999997997</v>
      </c>
      <c r="AD736">
        <v>-0.15166399999999999</v>
      </c>
      <c r="AE736">
        <v>-4.3400000000019603E-2</v>
      </c>
      <c r="AF736">
        <v>4.3879026457395602E-2</v>
      </c>
      <c r="AG736">
        <v>-0.15166399999999999</v>
      </c>
      <c r="AH736">
        <v>0.52368020233249402</v>
      </c>
      <c r="AI736">
        <v>106.098168749039</v>
      </c>
      <c r="AJ736">
        <v>85.210389629463293</v>
      </c>
      <c r="AK736">
        <v>0.54696278865554604</v>
      </c>
      <c r="AL736">
        <v>86.7095254562268</v>
      </c>
      <c r="AM736">
        <v>88.194846303360805</v>
      </c>
      <c r="AN736">
        <v>0.99999997796361195</v>
      </c>
    </row>
    <row r="737" spans="1:40" x14ac:dyDescent="0.25">
      <c r="A737" t="str">
        <f>"20190312153904192"</f>
        <v>20190312153904192</v>
      </c>
      <c r="B737" t="str">
        <f>"1552376344187107"</f>
        <v>1552376344187107</v>
      </c>
      <c r="C737" t="s">
        <v>40</v>
      </c>
      <c r="D737">
        <v>4.3207630000000004</v>
      </c>
      <c r="E737">
        <v>0.51348870000000002</v>
      </c>
      <c r="F737" t="s">
        <v>41</v>
      </c>
      <c r="G737">
        <v>-366.77460000000002</v>
      </c>
      <c r="H737">
        <v>0.9614819</v>
      </c>
      <c r="I737">
        <v>368.25</v>
      </c>
      <c r="J737">
        <v>-367.30689999999998</v>
      </c>
      <c r="K737">
        <v>1.109102</v>
      </c>
      <c r="L737">
        <v>368.29250000000002</v>
      </c>
      <c r="M737">
        <v>0.99997369999999997</v>
      </c>
      <c r="N737">
        <v>0</v>
      </c>
      <c r="O737">
        <v>6.4668729999999997E-3</v>
      </c>
      <c r="P737">
        <v>0.99819669999999905</v>
      </c>
      <c r="Q737">
        <v>5.4495849999999998E-2</v>
      </c>
      <c r="R737">
        <v>-2.518281E-2</v>
      </c>
      <c r="S737">
        <v>3.0323180000000001</v>
      </c>
      <c r="T737">
        <v>-0.57169780000000003</v>
      </c>
      <c r="U737">
        <v>-0.15890499999999999</v>
      </c>
      <c r="V737">
        <v>3.1643480000000002E-2</v>
      </c>
      <c r="W737">
        <v>5.7817449999999999E-2</v>
      </c>
      <c r="X737">
        <v>0.99782559999999998</v>
      </c>
      <c r="Y737">
        <v>5.7662129999999999E-2</v>
      </c>
      <c r="Z737">
        <v>-6.5924290000000003E-3</v>
      </c>
      <c r="AA737">
        <v>0.99831440000000005</v>
      </c>
      <c r="AB737">
        <v>24</v>
      </c>
      <c r="AC737">
        <v>0.53229999999996302</v>
      </c>
      <c r="AD737">
        <v>-0.1476201</v>
      </c>
      <c r="AE737">
        <v>-4.25000000000181E-2</v>
      </c>
      <c r="AF737">
        <v>4.2679773340517403E-2</v>
      </c>
      <c r="AG737">
        <v>-0.1476201</v>
      </c>
      <c r="AH737">
        <v>0.49424299483447198</v>
      </c>
      <c r="AI737">
        <v>106.57151892190799</v>
      </c>
      <c r="AJ737">
        <v>85.064533848676504</v>
      </c>
      <c r="AK737">
        <v>0.51758032702118395</v>
      </c>
      <c r="AL737">
        <v>86.685455864049999</v>
      </c>
      <c r="AM737">
        <v>88.183620021563797</v>
      </c>
      <c r="AN737">
        <v>1.0000000476831801</v>
      </c>
    </row>
    <row r="738" spans="1:40" x14ac:dyDescent="0.25">
      <c r="A738" t="str">
        <f>"20190312153904214"</f>
        <v>20190312153904214</v>
      </c>
      <c r="B738" t="str">
        <f>"1552376344206627"</f>
        <v>1552376344206627</v>
      </c>
      <c r="C738" t="s">
        <v>40</v>
      </c>
      <c r="D738">
        <v>4.2219699999999998</v>
      </c>
      <c r="E738">
        <v>0.51040739999999996</v>
      </c>
      <c r="F738" t="s">
        <v>41</v>
      </c>
      <c r="G738">
        <v>-366.55189999999999</v>
      </c>
      <c r="H738">
        <v>0.96603660000000002</v>
      </c>
      <c r="I738">
        <v>368.25200000000001</v>
      </c>
      <c r="J738">
        <v>-367.05630000000002</v>
      </c>
      <c r="K738">
        <v>1.1091</v>
      </c>
      <c r="L738">
        <v>368.29410000000001</v>
      </c>
      <c r="M738">
        <v>0.99997380000000002</v>
      </c>
      <c r="N738">
        <v>0</v>
      </c>
      <c r="O738">
        <v>6.4249110000000002E-3</v>
      </c>
      <c r="P738">
        <v>0.99819709999999995</v>
      </c>
      <c r="Q738">
        <v>5.452837E-2</v>
      </c>
      <c r="R738">
        <v>-2.5084840000000001E-2</v>
      </c>
      <c r="S738">
        <v>3.0326840000000002</v>
      </c>
      <c r="T738">
        <v>-0.57476289999999997</v>
      </c>
      <c r="U738">
        <v>-0.1626282</v>
      </c>
      <c r="V738">
        <v>3.1503799999999998E-2</v>
      </c>
      <c r="W738">
        <v>5.7848869999999997E-2</v>
      </c>
      <c r="X738">
        <v>0.9978281</v>
      </c>
      <c r="Y738">
        <v>5.8804889999999999E-2</v>
      </c>
      <c r="Z738">
        <v>-6.7255459999999998E-3</v>
      </c>
      <c r="AA738">
        <v>0.99824679999999999</v>
      </c>
      <c r="AB738">
        <v>25</v>
      </c>
      <c r="AC738">
        <v>0.50440000000003204</v>
      </c>
      <c r="AD738">
        <v>-0.14306339999999901</v>
      </c>
      <c r="AE738">
        <v>-4.2100000000061699E-2</v>
      </c>
      <c r="AF738">
        <v>4.1985644947465803E-2</v>
      </c>
      <c r="AG738">
        <v>-0.14306339999999901</v>
      </c>
      <c r="AH738">
        <v>0.46682453094564802</v>
      </c>
      <c r="AI738">
        <v>106.97369602238</v>
      </c>
      <c r="AJ738">
        <v>84.860712957589996</v>
      </c>
      <c r="AK738">
        <v>0.49005619422045799</v>
      </c>
      <c r="AL738">
        <v>86.683652285478104</v>
      </c>
      <c r="AM738">
        <v>88.191637041129098</v>
      </c>
      <c r="AN738">
        <v>0.99999994916216195</v>
      </c>
    </row>
    <row r="739" spans="1:40" x14ac:dyDescent="0.25">
      <c r="A739" t="str">
        <f>"20190312153904348"</f>
        <v>20190312153904348</v>
      </c>
      <c r="B739" t="str">
        <f>"1552376344336435"</f>
        <v>1552376344336435</v>
      </c>
      <c r="C739" t="s">
        <v>40</v>
      </c>
      <c r="D739">
        <v>4.5213650000000003</v>
      </c>
      <c r="E739">
        <v>0.5094417</v>
      </c>
      <c r="F739" t="s">
        <v>41</v>
      </c>
      <c r="G739">
        <v>-365.00920000000002</v>
      </c>
      <c r="H739">
        <v>0.89281299999999997</v>
      </c>
      <c r="I739">
        <v>368.26330000000002</v>
      </c>
      <c r="J739">
        <v>-365.54599999999999</v>
      </c>
      <c r="K739">
        <v>1.1091420000000001</v>
      </c>
      <c r="L739">
        <v>368.30329999999998</v>
      </c>
      <c r="M739">
        <v>0.99997400000000003</v>
      </c>
      <c r="N739">
        <v>0</v>
      </c>
      <c r="O739">
        <v>6.1686369999999898E-3</v>
      </c>
      <c r="P739">
        <v>0.99823850000000003</v>
      </c>
      <c r="Q739">
        <v>5.3333039999999998E-2</v>
      </c>
      <c r="R739">
        <v>-2.5992640000000001E-2</v>
      </c>
      <c r="S739">
        <v>3.045258</v>
      </c>
      <c r="T739">
        <v>-0.83399529999999999</v>
      </c>
      <c r="U739">
        <v>-0.14791869999999999</v>
      </c>
      <c r="V739">
        <v>3.2156249999999997E-2</v>
      </c>
      <c r="W739">
        <v>5.7088140000000002E-2</v>
      </c>
      <c r="X739">
        <v>0.99785109999999999</v>
      </c>
      <c r="Y739">
        <v>5.2520450000000003E-2</v>
      </c>
      <c r="Z739">
        <v>-8.7158289999999996E-3</v>
      </c>
      <c r="AA739">
        <v>0.99858179999999996</v>
      </c>
      <c r="AB739">
        <v>25</v>
      </c>
      <c r="AC739">
        <v>0.53679999999997097</v>
      </c>
      <c r="AD739">
        <v>-0.21632899999999999</v>
      </c>
      <c r="AE739">
        <v>-3.9999999999963599E-2</v>
      </c>
      <c r="AF739">
        <v>3.7288170269857999E-2</v>
      </c>
      <c r="AG739">
        <v>-0.21632899999999999</v>
      </c>
      <c r="AH739">
        <v>0.46193575022671202</v>
      </c>
      <c r="AI739">
        <v>115.02276118716</v>
      </c>
      <c r="AJ739">
        <v>85.385002175197599</v>
      </c>
      <c r="AK739">
        <v>0.511442353760998</v>
      </c>
      <c r="AL739">
        <v>86.727311060437401</v>
      </c>
      <c r="AM739">
        <v>88.154253641523795</v>
      </c>
      <c r="AN739">
        <v>0.99999994895696398</v>
      </c>
    </row>
    <row r="740" spans="1:40" x14ac:dyDescent="0.25">
      <c r="A740" t="str">
        <f>"20190312153904368"</f>
        <v>20190312153904368</v>
      </c>
      <c r="B740" t="str">
        <f>"1552376344356930"</f>
        <v>1552376344356930</v>
      </c>
      <c r="C740" t="s">
        <v>40</v>
      </c>
      <c r="D740">
        <v>4.4900229999999999</v>
      </c>
      <c r="E740">
        <v>0.5074613</v>
      </c>
      <c r="F740" t="s">
        <v>41</v>
      </c>
      <c r="G740">
        <v>-364.76429999999999</v>
      </c>
      <c r="H740">
        <v>0.92793060000000005</v>
      </c>
      <c r="I740">
        <v>368.27010000000001</v>
      </c>
      <c r="J740">
        <v>-365.30799999999999</v>
      </c>
      <c r="K740">
        <v>1.109145</v>
      </c>
      <c r="L740">
        <v>368.3048</v>
      </c>
      <c r="M740">
        <v>0.99997380000000002</v>
      </c>
      <c r="N740">
        <v>0</v>
      </c>
      <c r="O740">
        <v>6.128611E-3</v>
      </c>
      <c r="P740">
        <v>0.99824060000000003</v>
      </c>
      <c r="Q740">
        <v>5.3181569999999997E-2</v>
      </c>
      <c r="R740">
        <v>-2.6224649999999999E-2</v>
      </c>
      <c r="S740">
        <v>3.039612</v>
      </c>
      <c r="T740">
        <v>-0.70461479999999999</v>
      </c>
      <c r="U740">
        <v>-0.12924189999999999</v>
      </c>
      <c r="V740">
        <v>3.2348519999999999E-2</v>
      </c>
      <c r="W740">
        <v>5.7041019999999998E-2</v>
      </c>
      <c r="X740">
        <v>0.99784759999999995</v>
      </c>
      <c r="Y740">
        <v>4.7191740000000003E-2</v>
      </c>
      <c r="Z740">
        <v>-6.7973909999999998E-3</v>
      </c>
      <c r="AA740">
        <v>0.99886269999999999</v>
      </c>
      <c r="AB740">
        <v>26</v>
      </c>
      <c r="AC740">
        <v>0.54370000000005703</v>
      </c>
      <c r="AD740">
        <v>-0.1812144</v>
      </c>
      <c r="AE740">
        <v>-3.4699999999986603E-2</v>
      </c>
      <c r="AF740">
        <v>3.4242952891252502E-2</v>
      </c>
      <c r="AG740">
        <v>-0.1812144</v>
      </c>
      <c r="AH740">
        <v>0.48933810511257297</v>
      </c>
      <c r="AI740">
        <v>110.275345639747</v>
      </c>
      <c r="AJ740">
        <v>85.997075482888206</v>
      </c>
      <c r="AK740">
        <v>0.52293691751992</v>
      </c>
      <c r="AL740">
        <v>86.730015309053201</v>
      </c>
      <c r="AM740">
        <v>88.143218671489507</v>
      </c>
      <c r="AN740">
        <v>0.99999996876729402</v>
      </c>
    </row>
    <row r="741" spans="1:40" x14ac:dyDescent="0.25">
      <c r="A741" t="str">
        <f>"20190312153904392"</f>
        <v>20190312153904392</v>
      </c>
      <c r="B741" t="str">
        <f>"1552376344386212"</f>
        <v>1552376344386212</v>
      </c>
      <c r="C741" t="s">
        <v>40</v>
      </c>
      <c r="D741">
        <v>4.4559160000000002</v>
      </c>
      <c r="E741">
        <v>0.50155490000000003</v>
      </c>
      <c r="F741" t="s">
        <v>41</v>
      </c>
      <c r="G741">
        <v>-364.51949999999999</v>
      </c>
      <c r="H741">
        <v>0.95858650000000001</v>
      </c>
      <c r="I741">
        <v>368.27409999999998</v>
      </c>
      <c r="J741">
        <v>-365.03719999999998</v>
      </c>
      <c r="K741">
        <v>1.109146</v>
      </c>
      <c r="L741">
        <v>368.3064</v>
      </c>
      <c r="M741">
        <v>0.99997360000000002</v>
      </c>
      <c r="N741">
        <v>0</v>
      </c>
      <c r="O741">
        <v>6.0834540000000003E-3</v>
      </c>
      <c r="P741">
        <v>0.99828669999999997</v>
      </c>
      <c r="Q741">
        <v>5.2357859999999999E-2</v>
      </c>
      <c r="R741">
        <v>-2.6126190000000001E-2</v>
      </c>
      <c r="S741">
        <v>3.0330509999999999</v>
      </c>
      <c r="T741">
        <v>-0.57913970000000004</v>
      </c>
      <c r="U741">
        <v>-0.1175537</v>
      </c>
      <c r="V741">
        <v>3.2205200000000003E-2</v>
      </c>
      <c r="W741">
        <v>5.635072E-2</v>
      </c>
      <c r="X741">
        <v>0.99789150000000004</v>
      </c>
      <c r="Y741">
        <v>4.3904909999999998E-2</v>
      </c>
      <c r="Z741">
        <v>-5.3034349999999996E-3</v>
      </c>
      <c r="AA741">
        <v>0.99902159999999995</v>
      </c>
      <c r="AB741">
        <v>26</v>
      </c>
      <c r="AC741">
        <v>0.51769999999998995</v>
      </c>
      <c r="AD741">
        <v>-0.15055949999999901</v>
      </c>
      <c r="AE741">
        <v>-3.2300000000020597E-2</v>
      </c>
      <c r="AF741">
        <v>3.2694317305784301E-2</v>
      </c>
      <c r="AG741">
        <v>-0.15055949999999901</v>
      </c>
      <c r="AH741">
        <v>0.477282604302391</v>
      </c>
      <c r="AI741">
        <v>107.469516452782</v>
      </c>
      <c r="AJ741">
        <v>86.081305698656294</v>
      </c>
      <c r="AK741">
        <v>0.50153341443418697</v>
      </c>
      <c r="AL741">
        <v>86.769630448919401</v>
      </c>
      <c r="AM741">
        <v>88.1515206809745</v>
      </c>
      <c r="AN741">
        <v>1.0000000121618999</v>
      </c>
    </row>
    <row r="742" spans="1:40" x14ac:dyDescent="0.25">
      <c r="A742" t="str">
        <f>"20190312153904415"</f>
        <v>20190312153904415</v>
      </c>
      <c r="B742" t="str">
        <f>"1552376344406706"</f>
        <v>1552376344406706</v>
      </c>
      <c r="C742" t="s">
        <v>40</v>
      </c>
      <c r="D742">
        <v>4.4040759999999999</v>
      </c>
      <c r="E742">
        <v>0.50002990000000003</v>
      </c>
      <c r="F742" t="s">
        <v>42</v>
      </c>
      <c r="G742">
        <v>-269.82299999999998</v>
      </c>
      <c r="H742" s="1">
        <v>-1.1147619999999999E-6</v>
      </c>
      <c r="I742">
        <v>365.60059999999999</v>
      </c>
      <c r="J742">
        <v>-364.76780000000002</v>
      </c>
      <c r="K742">
        <v>1.1091549999999999</v>
      </c>
      <c r="L742">
        <v>368.30799999999999</v>
      </c>
      <c r="M742">
        <v>0.99997320000000001</v>
      </c>
      <c r="N742">
        <v>0</v>
      </c>
      <c r="O742">
        <v>6.038725E-3</v>
      </c>
      <c r="P742">
        <v>0.99833470000000002</v>
      </c>
      <c r="Q742">
        <v>5.1548410000000003E-2</v>
      </c>
      <c r="R742">
        <v>-2.590027E-2</v>
      </c>
      <c r="S742">
        <v>3.0047609999999998</v>
      </c>
      <c r="T742">
        <v>-3.5002350000000002E-2</v>
      </c>
      <c r="U742">
        <v>-8.5388179999999994E-2</v>
      </c>
      <c r="V742">
        <v>3.1934829999999997E-2</v>
      </c>
      <c r="W742">
        <v>5.5693239999999998E-2</v>
      </c>
      <c r="X742">
        <v>0.99793710000000002</v>
      </c>
      <c r="Y742">
        <v>3.4439249999999998E-2</v>
      </c>
      <c r="Z742">
        <v>-2.7087360000000002E-4</v>
      </c>
      <c r="AA742">
        <v>0.99940680000000004</v>
      </c>
      <c r="AB742">
        <v>26</v>
      </c>
      <c r="AC742">
        <v>94.944800000000001</v>
      </c>
      <c r="AD742">
        <v>-1.1091561147619999</v>
      </c>
      <c r="AE742">
        <v>-2.7074000000000602</v>
      </c>
      <c r="AF742">
        <v>3.2802537849464501</v>
      </c>
      <c r="AG742">
        <v>-1.1091561147619999</v>
      </c>
      <c r="AH742">
        <v>94.913776900436801</v>
      </c>
      <c r="AI742">
        <v>90.669124759507298</v>
      </c>
      <c r="AJ742">
        <v>88.020625359763699</v>
      </c>
      <c r="AK742">
        <v>94.976920026322503</v>
      </c>
      <c r="AL742">
        <v>86.807360534536699</v>
      </c>
      <c r="AM742">
        <v>88.167112154854493</v>
      </c>
      <c r="AN742">
        <v>1.0000000129526101</v>
      </c>
    </row>
    <row r="743" spans="1:40" x14ac:dyDescent="0.25">
      <c r="A743" t="str">
        <f>"20190312153904438"</f>
        <v>20190312153904438</v>
      </c>
      <c r="B743" t="str">
        <f>"1552376344426227"</f>
        <v>1552376344426227</v>
      </c>
      <c r="C743" t="s">
        <v>40</v>
      </c>
      <c r="D743">
        <v>4.4126370000000001</v>
      </c>
      <c r="E743">
        <v>0.49953059999999999</v>
      </c>
      <c r="F743" t="s">
        <v>47</v>
      </c>
      <c r="G743">
        <v>-158.19499999999999</v>
      </c>
      <c r="H743">
        <v>0.64628079999999999</v>
      </c>
      <c r="I743">
        <v>363.24110000000002</v>
      </c>
      <c r="J743">
        <v>-364.50369999999998</v>
      </c>
      <c r="K743">
        <v>1.1091719999999901</v>
      </c>
      <c r="L743">
        <v>368.30950000000001</v>
      </c>
      <c r="M743">
        <v>0.9999728</v>
      </c>
      <c r="N743">
        <v>0</v>
      </c>
      <c r="O743">
        <v>5.9938049999999996E-3</v>
      </c>
      <c r="P743">
        <v>0.99835819999999997</v>
      </c>
      <c r="Q743">
        <v>5.1120329999999999E-2</v>
      </c>
      <c r="R743">
        <v>-2.5847760000000001E-2</v>
      </c>
      <c r="S743">
        <v>3.0034480000000001</v>
      </c>
      <c r="T743">
        <v>-6.7286489999999997E-3</v>
      </c>
      <c r="U743">
        <v>-7.3669429999999994E-2</v>
      </c>
      <c r="V743">
        <v>3.1837789999999998E-2</v>
      </c>
      <c r="W743">
        <v>5.5444710000000001E-2</v>
      </c>
      <c r="X743">
        <v>0.99795400000000001</v>
      </c>
      <c r="Y743">
        <v>3.0512439999999998E-2</v>
      </c>
      <c r="Z743" s="1">
        <v>-4.7599699999999998E-5</v>
      </c>
      <c r="AA743">
        <v>0.99953440000000005</v>
      </c>
      <c r="AB743">
        <v>26</v>
      </c>
      <c r="AC743">
        <v>206.30869999999999</v>
      </c>
      <c r="AD743">
        <v>-0.462891199999999</v>
      </c>
      <c r="AE743">
        <v>-5.0683999999999898</v>
      </c>
      <c r="AF743">
        <v>6.3048627740885497</v>
      </c>
      <c r="AG743">
        <v>-0.462891199999999</v>
      </c>
      <c r="AH743">
        <v>206.27357694663101</v>
      </c>
      <c r="AI743">
        <v>90.128515187260504</v>
      </c>
      <c r="AJ743">
        <v>88.249268768745097</v>
      </c>
      <c r="AK743">
        <v>206.370429347862</v>
      </c>
      <c r="AL743">
        <v>86.821622165258702</v>
      </c>
      <c r="AM743">
        <v>88.172708872401898</v>
      </c>
      <c r="AN743">
        <v>0.999999973427533</v>
      </c>
    </row>
    <row r="744" spans="1:40" x14ac:dyDescent="0.25">
      <c r="A744" t="str">
        <f>"20190312153904460"</f>
        <v>20190312153904460</v>
      </c>
      <c r="B744" t="str">
        <f>"1552376344456483"</f>
        <v>1552376344456483</v>
      </c>
      <c r="C744" t="s">
        <v>40</v>
      </c>
      <c r="D744">
        <v>4.4431269999999996</v>
      </c>
      <c r="E744">
        <v>0.49942599999999998</v>
      </c>
      <c r="F744" t="s">
        <v>49</v>
      </c>
      <c r="G744">
        <v>-207.0069</v>
      </c>
      <c r="H744" s="1">
        <v>-4.9809E-6</v>
      </c>
      <c r="I744">
        <v>364.69540000000001</v>
      </c>
      <c r="J744">
        <v>-364.25170000000003</v>
      </c>
      <c r="K744">
        <v>1.109208</v>
      </c>
      <c r="L744">
        <v>368.31099999999998</v>
      </c>
      <c r="M744">
        <v>0.99997190000000002</v>
      </c>
      <c r="N744">
        <v>0</v>
      </c>
      <c r="O744">
        <v>5.951474E-3</v>
      </c>
      <c r="P744">
        <v>0.99836139999999995</v>
      </c>
      <c r="Q744">
        <v>5.1009190000000003E-2</v>
      </c>
      <c r="R744">
        <v>-2.5929130000000002E-2</v>
      </c>
      <c r="S744">
        <v>3.0042420000000001</v>
      </c>
      <c r="T744">
        <v>-2.1157499999999999E-2</v>
      </c>
      <c r="U744">
        <v>-6.8939210000000001E-2</v>
      </c>
      <c r="V744">
        <v>3.187707E-2</v>
      </c>
      <c r="W744">
        <v>5.554564E-2</v>
      </c>
      <c r="X744">
        <v>0.99794720000000003</v>
      </c>
      <c r="Y744">
        <v>2.8889959999999999E-2</v>
      </c>
      <c r="Z744">
        <v>-1.4362319999999999E-4</v>
      </c>
      <c r="AA744">
        <v>0.99958259999999999</v>
      </c>
      <c r="AB744">
        <v>26</v>
      </c>
      <c r="AC744">
        <v>157.2448</v>
      </c>
      <c r="AD744">
        <v>-1.1092129809</v>
      </c>
      <c r="AE744">
        <v>-3.6155999999999699</v>
      </c>
      <c r="AF744">
        <v>4.5511576833690102</v>
      </c>
      <c r="AG744">
        <v>-1.1092129809</v>
      </c>
      <c r="AH744">
        <v>157.212678021919</v>
      </c>
      <c r="AI744">
        <v>90.404073999623407</v>
      </c>
      <c r="AJ744">
        <v>88.341804723646803</v>
      </c>
      <c r="AK744">
        <v>157.28245140675901</v>
      </c>
      <c r="AL744">
        <v>86.815830588393695</v>
      </c>
      <c r="AM744">
        <v>88.170443517881495</v>
      </c>
      <c r="AN744">
        <v>1.00000003985131</v>
      </c>
    </row>
    <row r="745" spans="1:40" x14ac:dyDescent="0.25">
      <c r="A745" t="str">
        <f>"20190312153904494"</f>
        <v>20190312153904494</v>
      </c>
      <c r="B745" t="str">
        <f>"1552376344486739"</f>
        <v>1552376344486739</v>
      </c>
      <c r="C745" t="s">
        <v>40</v>
      </c>
      <c r="D745">
        <v>4.4534129999999896</v>
      </c>
      <c r="E745">
        <v>0.4988609</v>
      </c>
      <c r="F745" t="s">
        <v>43</v>
      </c>
      <c r="G745">
        <v>-286.39400000000001</v>
      </c>
      <c r="H745">
        <v>-0.05</v>
      </c>
      <c r="I745">
        <v>366.5575</v>
      </c>
      <c r="J745">
        <v>-363.8381</v>
      </c>
      <c r="K745">
        <v>1.1092709999999999</v>
      </c>
      <c r="L745">
        <v>368.3134</v>
      </c>
      <c r="M745">
        <v>0.99997049999999998</v>
      </c>
      <c r="N745">
        <v>0</v>
      </c>
      <c r="O745">
        <v>5.8813980000000004E-3</v>
      </c>
      <c r="P745">
        <v>0.99836080000000005</v>
      </c>
      <c r="Q745">
        <v>5.0920100000000003E-2</v>
      </c>
      <c r="R745">
        <v>-2.61365E-2</v>
      </c>
      <c r="S745">
        <v>3.0054630000000002</v>
      </c>
      <c r="T745">
        <v>-4.4747710000000003E-2</v>
      </c>
      <c r="U745">
        <v>-6.7687990000000003E-2</v>
      </c>
      <c r="V745">
        <v>3.2014340000000002E-2</v>
      </c>
      <c r="W745">
        <v>5.5861769999999998E-2</v>
      </c>
      <c r="X745">
        <v>0.99792510000000001</v>
      </c>
      <c r="Y745">
        <v>2.8391739999999999E-2</v>
      </c>
      <c r="Z745">
        <v>-2.9887400000000003E-4</v>
      </c>
      <c r="AA745">
        <v>0.99959679999999995</v>
      </c>
      <c r="AB745">
        <v>26</v>
      </c>
      <c r="AC745">
        <v>77.444099999999906</v>
      </c>
      <c r="AD745">
        <v>-1.1592709999999999</v>
      </c>
      <c r="AE745">
        <v>-1.75589999999999</v>
      </c>
      <c r="AF745">
        <v>2.2108596199819202</v>
      </c>
      <c r="AG745">
        <v>-1.1592709999999999</v>
      </c>
      <c r="AH745">
        <v>77.415095385417004</v>
      </c>
      <c r="AI745">
        <v>90.857575741541993</v>
      </c>
      <c r="AJ745">
        <v>88.364162649706898</v>
      </c>
      <c r="AK745">
        <v>77.455334245253397</v>
      </c>
      <c r="AL745">
        <v>86.797689316368306</v>
      </c>
      <c r="AM745">
        <v>88.162529751854606</v>
      </c>
      <c r="AN745">
        <v>0.99999998026158898</v>
      </c>
    </row>
    <row r="746" spans="1:40" x14ac:dyDescent="0.25">
      <c r="A746" t="str">
        <f>"20190312153904516"</f>
        <v>20190312153904516</v>
      </c>
      <c r="B746" t="str">
        <f>"1552376344506259"</f>
        <v>1552376344506259</v>
      </c>
      <c r="C746" t="s">
        <v>40</v>
      </c>
      <c r="D746">
        <v>4.4409450000000001</v>
      </c>
      <c r="E746">
        <v>0.4985773</v>
      </c>
      <c r="F746" t="s">
        <v>43</v>
      </c>
      <c r="G746">
        <v>-292.87900000000002</v>
      </c>
      <c r="H746">
        <v>-0.05</v>
      </c>
      <c r="I746">
        <v>366.80549999999999</v>
      </c>
      <c r="J746">
        <v>-363.58080000000001</v>
      </c>
      <c r="K746">
        <v>1.1093150000000001</v>
      </c>
      <c r="L746">
        <v>368.31479999999999</v>
      </c>
      <c r="M746">
        <v>0.99996929999999995</v>
      </c>
      <c r="N746">
        <v>0</v>
      </c>
      <c r="O746">
        <v>5.8379399999999998E-3</v>
      </c>
      <c r="P746">
        <v>0.99833099999999997</v>
      </c>
      <c r="Q746">
        <v>5.1368579999999997E-2</v>
      </c>
      <c r="R746">
        <v>-2.6394910000000001E-2</v>
      </c>
      <c r="S746">
        <v>3.0057680000000002</v>
      </c>
      <c r="T746">
        <v>-4.9105759999999998E-2</v>
      </c>
      <c r="U746">
        <v>-6.3873289999999999E-2</v>
      </c>
      <c r="V746">
        <v>3.2229389999999997E-2</v>
      </c>
      <c r="W746">
        <v>5.6583990000000001E-2</v>
      </c>
      <c r="X746">
        <v>0.99787749999999997</v>
      </c>
      <c r="Y746">
        <v>2.7077400000000001E-2</v>
      </c>
      <c r="Z746">
        <v>-3.165051E-4</v>
      </c>
      <c r="AA746">
        <v>0.99963329999999995</v>
      </c>
      <c r="AB746">
        <v>26</v>
      </c>
      <c r="AC746">
        <v>70.701799999999906</v>
      </c>
      <c r="AD746">
        <v>-1.1593149999999901</v>
      </c>
      <c r="AE746">
        <v>-1.5092999999999901</v>
      </c>
      <c r="AF746">
        <v>1.9215163812112901</v>
      </c>
      <c r="AG746">
        <v>-1.1593149999999901</v>
      </c>
      <c r="AH746">
        <v>70.672790699096495</v>
      </c>
      <c r="AI746">
        <v>90.939447383307893</v>
      </c>
      <c r="AJ746">
        <v>88.442573709986704</v>
      </c>
      <c r="AK746">
        <v>70.708412382621006</v>
      </c>
      <c r="AL746">
        <v>86.756243641894898</v>
      </c>
      <c r="AM746">
        <v>88.150107278575405</v>
      </c>
      <c r="AN746">
        <v>0.99999999325517097</v>
      </c>
    </row>
    <row r="747" spans="1:40" x14ac:dyDescent="0.25">
      <c r="A747" t="str">
        <f>"20190312153904564"</f>
        <v>20190312153904564</v>
      </c>
      <c r="B747" t="str">
        <f>"1552376344557011"</f>
        <v>1552376344557011</v>
      </c>
      <c r="C747" t="s">
        <v>40</v>
      </c>
      <c r="D747">
        <v>4.5145809999999997</v>
      </c>
      <c r="E747">
        <v>0.49797249999999998</v>
      </c>
      <c r="F747" t="s">
        <v>43</v>
      </c>
      <c r="G747">
        <v>-289.80990000000003</v>
      </c>
      <c r="H747">
        <v>-0.05</v>
      </c>
      <c r="I747">
        <v>366.78309999999999</v>
      </c>
      <c r="J747">
        <v>-363.01920000000001</v>
      </c>
      <c r="K747">
        <v>1.1093919999999999</v>
      </c>
      <c r="L747">
        <v>368.31799999999998</v>
      </c>
      <c r="M747">
        <v>0.99996660000000004</v>
      </c>
      <c r="N747">
        <v>0</v>
      </c>
      <c r="O747">
        <v>5.7429550000000001E-3</v>
      </c>
      <c r="P747">
        <v>0.99820980000000004</v>
      </c>
      <c r="Q747">
        <v>5.3297259999999999E-2</v>
      </c>
      <c r="R747">
        <v>-2.7140089999999999E-2</v>
      </c>
      <c r="S747">
        <v>3.005798</v>
      </c>
      <c r="T747">
        <v>-4.7236319999999998E-2</v>
      </c>
      <c r="U747">
        <v>-6.2408449999999997E-2</v>
      </c>
      <c r="V747">
        <v>3.2879569999999997E-2</v>
      </c>
      <c r="W747">
        <v>5.9108889999999997E-2</v>
      </c>
      <c r="X747">
        <v>0.99770990000000004</v>
      </c>
      <c r="Y747">
        <v>2.6495709999999999E-2</v>
      </c>
      <c r="Z747">
        <v>-2.9839379999999999E-4</v>
      </c>
      <c r="AA747">
        <v>0.99964889999999995</v>
      </c>
      <c r="AB747">
        <v>26</v>
      </c>
      <c r="AC747">
        <v>73.209299999999899</v>
      </c>
      <c r="AD747">
        <v>-1.159392</v>
      </c>
      <c r="AE747">
        <v>-1.5349000000000499</v>
      </c>
      <c r="AF747">
        <v>1.9548294555221399</v>
      </c>
      <c r="AG747">
        <v>-1.159392</v>
      </c>
      <c r="AH747">
        <v>73.180931924019802</v>
      </c>
      <c r="AI747">
        <v>90.907326930469495</v>
      </c>
      <c r="AJ747">
        <v>88.469863035998799</v>
      </c>
      <c r="AK747">
        <v>73.216216409193606</v>
      </c>
      <c r="AL747">
        <v>86.611334812064598</v>
      </c>
      <c r="AM747">
        <v>88.112498374589705</v>
      </c>
      <c r="AN747">
        <v>0.99999998577921301</v>
      </c>
    </row>
    <row r="748" spans="1:40" x14ac:dyDescent="0.25">
      <c r="A748" t="str">
        <f>"20190312153904582"</f>
        <v>20190312153904582</v>
      </c>
      <c r="B748" t="str">
        <f>"1552376344576531"</f>
        <v>1552376344576531</v>
      </c>
      <c r="C748" t="s">
        <v>40</v>
      </c>
      <c r="D748">
        <v>4.5091390000000002</v>
      </c>
      <c r="E748">
        <v>0.49740319999999999</v>
      </c>
      <c r="F748" t="s">
        <v>43</v>
      </c>
      <c r="G748">
        <v>-276.43639999999999</v>
      </c>
      <c r="H748">
        <v>-0.05</v>
      </c>
      <c r="I748">
        <v>366.60219999999998</v>
      </c>
      <c r="J748">
        <v>-362.80590000000001</v>
      </c>
      <c r="K748">
        <v>1.1094109999999999</v>
      </c>
      <c r="L748">
        <v>368.31920000000002</v>
      </c>
      <c r="M748">
        <v>0.99996560000000001</v>
      </c>
      <c r="N748">
        <v>0</v>
      </c>
      <c r="O748">
        <v>5.7065509999999998E-3</v>
      </c>
      <c r="P748">
        <v>0.99813759999999996</v>
      </c>
      <c r="Q748">
        <v>5.4488960000000003E-2</v>
      </c>
      <c r="R748">
        <v>-2.7437469999999999E-2</v>
      </c>
      <c r="S748">
        <v>3.005951</v>
      </c>
      <c r="T748">
        <v>-4.0251370000000002E-2</v>
      </c>
      <c r="U748">
        <v>-5.9570310000000001E-2</v>
      </c>
      <c r="V748">
        <v>3.3140089999999997E-2</v>
      </c>
      <c r="W748">
        <v>6.0510670000000003E-2</v>
      </c>
      <c r="X748">
        <v>0.99761719999999998</v>
      </c>
      <c r="Y748">
        <v>2.5515980000000001E-2</v>
      </c>
      <c r="Z748">
        <v>-2.472175E-4</v>
      </c>
      <c r="AA748">
        <v>0.99967439999999996</v>
      </c>
      <c r="AB748">
        <v>27</v>
      </c>
      <c r="AC748">
        <v>86.369500000000002</v>
      </c>
      <c r="AD748">
        <v>-1.159411</v>
      </c>
      <c r="AE748">
        <v>-1.71700000000004</v>
      </c>
      <c r="AF748">
        <v>2.2094549423700802</v>
      </c>
      <c r="AG748">
        <v>-1.159411</v>
      </c>
      <c r="AH748">
        <v>86.342742524220498</v>
      </c>
      <c r="AI748">
        <v>90.769070196043202</v>
      </c>
      <c r="AJ748">
        <v>88.534157952024302</v>
      </c>
      <c r="AK748">
        <v>86.378788551432706</v>
      </c>
      <c r="AL748">
        <v>86.530874534916805</v>
      </c>
      <c r="AM748">
        <v>88.097377127242595</v>
      </c>
      <c r="AN748">
        <v>0.99999994224244604</v>
      </c>
    </row>
    <row r="749" spans="1:40" x14ac:dyDescent="0.25">
      <c r="A749" t="str">
        <f>"20190312153904604"</f>
        <v>20190312153904604</v>
      </c>
      <c r="B749" t="str">
        <f>"1552376344597027"</f>
        <v>1552376344597027</v>
      </c>
      <c r="C749" t="s">
        <v>40</v>
      </c>
      <c r="D749">
        <v>4.5333420000000002</v>
      </c>
      <c r="E749">
        <v>0.49704159999999997</v>
      </c>
      <c r="F749" t="s">
        <v>43</v>
      </c>
      <c r="G749">
        <v>-277.38639999999998</v>
      </c>
      <c r="H749">
        <v>-0.05</v>
      </c>
      <c r="I749">
        <v>366.73149999999998</v>
      </c>
      <c r="J749">
        <v>-362.53410000000002</v>
      </c>
      <c r="K749">
        <v>1.1094379999999999</v>
      </c>
      <c r="L749">
        <v>368.32069999999999</v>
      </c>
      <c r="M749">
        <v>0.99996430000000003</v>
      </c>
      <c r="N749">
        <v>0</v>
      </c>
      <c r="O749">
        <v>5.6603460000000001E-3</v>
      </c>
      <c r="P749">
        <v>0.99809380000000003</v>
      </c>
      <c r="Q749">
        <v>5.5146069999999998E-2</v>
      </c>
      <c r="R749">
        <v>-2.771734E-2</v>
      </c>
      <c r="S749">
        <v>3.0062869999999999</v>
      </c>
      <c r="T749">
        <v>-4.0804739999999999E-2</v>
      </c>
      <c r="U749">
        <v>-5.5877690000000001E-2</v>
      </c>
      <c r="V749">
        <v>3.3373849999999997E-2</v>
      </c>
      <c r="W749">
        <v>6.1415459999999998E-2</v>
      </c>
      <c r="X749">
        <v>0.99755419999999995</v>
      </c>
      <c r="Y749">
        <v>2.4240169999999998E-2</v>
      </c>
      <c r="Z749">
        <v>-2.413065E-4</v>
      </c>
      <c r="AA749">
        <v>0.99970610000000004</v>
      </c>
      <c r="AB749">
        <v>27</v>
      </c>
      <c r="AC749">
        <v>85.1477</v>
      </c>
      <c r="AD749">
        <v>-1.159438</v>
      </c>
      <c r="AE749">
        <v>-1.5891999999999999</v>
      </c>
      <c r="AF749">
        <v>2.07076564731006</v>
      </c>
      <c r="AG749">
        <v>-1.159438</v>
      </c>
      <c r="AH749">
        <v>85.121562814206101</v>
      </c>
      <c r="AI749">
        <v>90.780144878128297</v>
      </c>
      <c r="AJ749">
        <v>88.606431425931305</v>
      </c>
      <c r="AK749">
        <v>85.154640641451607</v>
      </c>
      <c r="AL749">
        <v>86.478937579394199</v>
      </c>
      <c r="AM749">
        <v>88.083845663213907</v>
      </c>
      <c r="AN749">
        <v>1.00000002726423</v>
      </c>
    </row>
    <row r="750" spans="1:40" x14ac:dyDescent="0.25">
      <c r="A750" t="str">
        <f>"20190312153904626"</f>
        <v>20190312153904626</v>
      </c>
      <c r="B750" t="str">
        <f>"1552376344617054"</f>
        <v>1552376344617054</v>
      </c>
      <c r="C750" t="s">
        <v>40</v>
      </c>
      <c r="D750">
        <v>4.5752030000000001</v>
      </c>
      <c r="E750">
        <v>0.49676999999999999</v>
      </c>
      <c r="F750" t="s">
        <v>43</v>
      </c>
      <c r="G750">
        <v>-283.48050000000001</v>
      </c>
      <c r="H750">
        <v>-0.05</v>
      </c>
      <c r="I750">
        <v>366.91969999999998</v>
      </c>
      <c r="J750">
        <v>-362.26889999999997</v>
      </c>
      <c r="K750">
        <v>1.1094550000000001</v>
      </c>
      <c r="L750">
        <v>368.32220000000001</v>
      </c>
      <c r="M750">
        <v>0.99996309999999999</v>
      </c>
      <c r="N750">
        <v>0</v>
      </c>
      <c r="O750">
        <v>5.6155629999999996E-3</v>
      </c>
      <c r="P750">
        <v>0.99809380000000003</v>
      </c>
      <c r="Q750">
        <v>5.4904170000000002E-2</v>
      </c>
      <c r="R750">
        <v>-2.818708E-2</v>
      </c>
      <c r="S750">
        <v>3.006653</v>
      </c>
      <c r="T750">
        <v>-4.4096950000000003E-2</v>
      </c>
      <c r="U750">
        <v>-5.3283690000000002E-2</v>
      </c>
      <c r="V750">
        <v>3.379886E-2</v>
      </c>
      <c r="W750">
        <v>6.139737E-2</v>
      </c>
      <c r="X750">
        <v>0.99754100000000001</v>
      </c>
      <c r="Y750">
        <v>2.333056E-2</v>
      </c>
      <c r="Z750">
        <v>-2.534177E-4</v>
      </c>
      <c r="AA750">
        <v>0.99972780000000006</v>
      </c>
      <c r="AB750">
        <v>27</v>
      </c>
      <c r="AC750">
        <v>78.788399999999896</v>
      </c>
      <c r="AD750">
        <v>-1.1594549999999999</v>
      </c>
      <c r="AE750">
        <v>-1.4025000000000301</v>
      </c>
      <c r="AF750">
        <v>1.84452912985989</v>
      </c>
      <c r="AG750">
        <v>-1.1594549999999999</v>
      </c>
      <c r="AH750">
        <v>78.762230124435803</v>
      </c>
      <c r="AI750">
        <v>90.843156346041795</v>
      </c>
      <c r="AJ750">
        <v>88.658437935799398</v>
      </c>
      <c r="AK750">
        <v>78.792356975676995</v>
      </c>
      <c r="AL750">
        <v>86.479976005850801</v>
      </c>
      <c r="AM750">
        <v>88.059436661845098</v>
      </c>
      <c r="AN750">
        <v>1.0000000233305999</v>
      </c>
    </row>
    <row r="751" spans="1:40" x14ac:dyDescent="0.25">
      <c r="A751" t="str">
        <f>"20190312153904650"</f>
        <v>20190312153904650</v>
      </c>
      <c r="B751" t="str">
        <f>"1552376344636576"</f>
        <v>1552376344636576</v>
      </c>
      <c r="C751" t="s">
        <v>40</v>
      </c>
      <c r="D751">
        <v>4.589709</v>
      </c>
      <c r="E751">
        <v>0.49647799999999997</v>
      </c>
      <c r="F751" t="s">
        <v>43</v>
      </c>
      <c r="G751">
        <v>-292.79050000000001</v>
      </c>
      <c r="H751">
        <v>-0.05</v>
      </c>
      <c r="I751">
        <v>367.10719999999998</v>
      </c>
      <c r="J751">
        <v>-361.99680000000001</v>
      </c>
      <c r="K751">
        <v>1.1094649999999999</v>
      </c>
      <c r="L751">
        <v>368.3236</v>
      </c>
      <c r="M751">
        <v>0.99996200000000002</v>
      </c>
      <c r="N751">
        <v>0</v>
      </c>
      <c r="O751">
        <v>5.5701469999999897E-3</v>
      </c>
      <c r="P751">
        <v>0.99810980000000005</v>
      </c>
      <c r="Q751">
        <v>5.4491230000000002E-2</v>
      </c>
      <c r="R751">
        <v>-2.8424620000000001E-2</v>
      </c>
      <c r="S751">
        <v>3.0070190000000001</v>
      </c>
      <c r="T751">
        <v>-5.0181150000000001E-2</v>
      </c>
      <c r="U751">
        <v>-5.2581790000000003E-2</v>
      </c>
      <c r="V751">
        <v>3.3991210000000001E-2</v>
      </c>
      <c r="W751">
        <v>6.1194140000000001E-2</v>
      </c>
      <c r="X751">
        <v>0.99754690000000001</v>
      </c>
      <c r="Y751">
        <v>2.3048840000000001E-2</v>
      </c>
      <c r="Z751">
        <v>-2.8523550000000001E-4</v>
      </c>
      <c r="AA751">
        <v>0.99973429999999996</v>
      </c>
      <c r="AB751">
        <v>27</v>
      </c>
      <c r="AC751">
        <v>69.206299999999999</v>
      </c>
      <c r="AD751">
        <v>-1.159465</v>
      </c>
      <c r="AE751">
        <v>-1.2164000000000199</v>
      </c>
      <c r="AF751">
        <v>1.60142969793668</v>
      </c>
      <c r="AG751">
        <v>-1.159465</v>
      </c>
      <c r="AH751">
        <v>69.179038911104399</v>
      </c>
      <c r="AI751">
        <v>90.959950367290901</v>
      </c>
      <c r="AJ751">
        <v>88.673893426342701</v>
      </c>
      <c r="AK751">
        <v>69.207285460620099</v>
      </c>
      <c r="AL751">
        <v>86.491641980987694</v>
      </c>
      <c r="AM751">
        <v>88.048412926163394</v>
      </c>
      <c r="AN751">
        <v>0.99999997141360597</v>
      </c>
    </row>
    <row r="752" spans="1:40" x14ac:dyDescent="0.25">
      <c r="A752" t="str">
        <f>"20190312153904671"</f>
        <v>20190312153904671</v>
      </c>
      <c r="B752" t="str">
        <f>"1552376344666831"</f>
        <v>1552376344666831</v>
      </c>
      <c r="C752" t="s">
        <v>40</v>
      </c>
      <c r="D752">
        <v>4.5672649999999999</v>
      </c>
      <c r="E752">
        <v>0.49621709999999902</v>
      </c>
      <c r="F752" t="s">
        <v>43</v>
      </c>
      <c r="G752">
        <v>-299.7867</v>
      </c>
      <c r="H752">
        <v>-0.05</v>
      </c>
      <c r="I752">
        <v>367.27</v>
      </c>
      <c r="J752">
        <v>-361.72859999999997</v>
      </c>
      <c r="K752">
        <v>1.10947</v>
      </c>
      <c r="L752">
        <v>368.32510000000002</v>
      </c>
      <c r="M752">
        <v>0.99996099999999999</v>
      </c>
      <c r="N752">
        <v>0</v>
      </c>
      <c r="O752">
        <v>5.5256269999999904E-3</v>
      </c>
      <c r="P752">
        <v>0.99814159999999996</v>
      </c>
      <c r="Q752">
        <v>5.3547379999999999E-2</v>
      </c>
      <c r="R752">
        <v>-2.909312E-2</v>
      </c>
      <c r="S752">
        <v>3.0072939999999999</v>
      </c>
      <c r="T752">
        <v>-5.6049590000000003E-2</v>
      </c>
      <c r="U752">
        <v>-5.0933840000000001E-2</v>
      </c>
      <c r="V752">
        <v>3.4615300000000002E-2</v>
      </c>
      <c r="W752">
        <v>6.0438319999999997E-2</v>
      </c>
      <c r="X752">
        <v>0.99757150000000006</v>
      </c>
      <c r="Y752">
        <v>2.2454189999999999E-2</v>
      </c>
      <c r="Z752">
        <v>-3.1218899999999999E-4</v>
      </c>
      <c r="AA752">
        <v>0.99974779999999996</v>
      </c>
      <c r="AB752">
        <v>27</v>
      </c>
      <c r="AC752">
        <v>61.941899999999897</v>
      </c>
      <c r="AD752">
        <v>-1.15947</v>
      </c>
      <c r="AE752">
        <v>-1.0551000000000299</v>
      </c>
      <c r="AF752">
        <v>1.3968705444884799</v>
      </c>
      <c r="AG752">
        <v>-1.15947</v>
      </c>
      <c r="AH752">
        <v>61.9134366274982</v>
      </c>
      <c r="AI752">
        <v>91.072595558867107</v>
      </c>
      <c r="AJ752">
        <v>88.707530784560106</v>
      </c>
      <c r="AK752">
        <v>61.940045633065203</v>
      </c>
      <c r="AL752">
        <v>86.535027525055497</v>
      </c>
      <c r="AM752">
        <v>88.012658578534996</v>
      </c>
      <c r="AN752">
        <v>0.99999995356537996</v>
      </c>
    </row>
    <row r="753" spans="1:40" x14ac:dyDescent="0.25">
      <c r="A753" t="str">
        <f>"20190312153904695"</f>
        <v>20190312153904695</v>
      </c>
      <c r="B753" t="str">
        <f>"1552376344687326"</f>
        <v>1552376344687326</v>
      </c>
      <c r="C753" t="s">
        <v>40</v>
      </c>
      <c r="D753">
        <v>4.5608750000000002</v>
      </c>
      <c r="E753">
        <v>0.49600139999999998</v>
      </c>
      <c r="F753" t="s">
        <v>43</v>
      </c>
      <c r="G753">
        <v>-308.0077</v>
      </c>
      <c r="H753">
        <v>-0.05</v>
      </c>
      <c r="I753">
        <v>367.42239999999998</v>
      </c>
      <c r="J753">
        <v>-361.4529</v>
      </c>
      <c r="K753">
        <v>1.109477</v>
      </c>
      <c r="L753">
        <v>368.32650000000001</v>
      </c>
      <c r="M753">
        <v>0.99995990000000001</v>
      </c>
      <c r="N753">
        <v>0</v>
      </c>
      <c r="O753">
        <v>5.4802499999999999E-3</v>
      </c>
      <c r="P753">
        <v>0.99815989999999999</v>
      </c>
      <c r="Q753">
        <v>5.2909680000000001E-2</v>
      </c>
      <c r="R753">
        <v>-2.9625180000000001E-2</v>
      </c>
      <c r="S753">
        <v>3.007568</v>
      </c>
      <c r="T753">
        <v>-6.4913029999999997E-2</v>
      </c>
      <c r="U753">
        <v>-5.0537110000000003E-2</v>
      </c>
      <c r="V753">
        <v>3.5102109999999999E-2</v>
      </c>
      <c r="W753">
        <v>5.9972820000000003E-2</v>
      </c>
      <c r="X753">
        <v>0.99758259999999999</v>
      </c>
      <c r="Y753">
        <v>2.227384E-2</v>
      </c>
      <c r="Z753">
        <v>-3.5858899999999998E-4</v>
      </c>
      <c r="AA753">
        <v>0.99975190000000003</v>
      </c>
      <c r="AB753">
        <v>27</v>
      </c>
      <c r="AC753">
        <v>53.4452</v>
      </c>
      <c r="AD753">
        <v>-1.1594770000000001</v>
      </c>
      <c r="AE753">
        <v>-0.90410000000002799</v>
      </c>
      <c r="AF753">
        <v>1.19642387962578</v>
      </c>
      <c r="AG753">
        <v>-1.1594770000000001</v>
      </c>
      <c r="AH753">
        <v>53.414309809599303</v>
      </c>
      <c r="AI753">
        <v>91.2432259473442</v>
      </c>
      <c r="AJ753">
        <v>88.716849878455903</v>
      </c>
      <c r="AK753">
        <v>53.440287325660201</v>
      </c>
      <c r="AL753">
        <v>86.561747239826403</v>
      </c>
      <c r="AM753">
        <v>87.984755023913493</v>
      </c>
      <c r="AN753">
        <v>0.99999997054398104</v>
      </c>
    </row>
    <row r="754" spans="1:40" x14ac:dyDescent="0.25">
      <c r="A754" t="str">
        <f>"20190312153904716"</f>
        <v>20190312153904716</v>
      </c>
      <c r="B754" t="str">
        <f>"1552376344706377"</f>
        <v>1552376344706377</v>
      </c>
      <c r="C754" t="s">
        <v>40</v>
      </c>
      <c r="D754">
        <v>4.5853060000000001</v>
      </c>
      <c r="E754">
        <v>0.49583529999999998</v>
      </c>
      <c r="F754" t="s">
        <v>43</v>
      </c>
      <c r="G754">
        <v>-311.75420000000003</v>
      </c>
      <c r="H754">
        <v>-0.05</v>
      </c>
      <c r="I754">
        <v>367.49149999999997</v>
      </c>
      <c r="J754">
        <v>-361.19110000000001</v>
      </c>
      <c r="K754">
        <v>1.1094869999999999</v>
      </c>
      <c r="L754">
        <v>368.3279</v>
      </c>
      <c r="M754">
        <v>0.99995909999999999</v>
      </c>
      <c r="N754">
        <v>0</v>
      </c>
      <c r="O754">
        <v>5.4376930000000004E-3</v>
      </c>
      <c r="P754">
        <v>0.99820920000000002</v>
      </c>
      <c r="Q754">
        <v>5.1934109999999999E-2</v>
      </c>
      <c r="R754">
        <v>-2.9685739999999999E-2</v>
      </c>
      <c r="S754">
        <v>3.0077509999999998</v>
      </c>
      <c r="T754">
        <v>-7.0171239999999996E-2</v>
      </c>
      <c r="U754">
        <v>-5.0537110000000003E-2</v>
      </c>
      <c r="V754">
        <v>3.512038E-2</v>
      </c>
      <c r="W754">
        <v>5.9144120000000001E-2</v>
      </c>
      <c r="X754">
        <v>0.9976315</v>
      </c>
      <c r="Y754">
        <v>2.2229209999999999E-2</v>
      </c>
      <c r="Z754">
        <v>-3.8609179999999998E-4</v>
      </c>
      <c r="AA754">
        <v>0.9997528</v>
      </c>
      <c r="AB754">
        <v>27</v>
      </c>
      <c r="AC754">
        <v>49.436899999999902</v>
      </c>
      <c r="AD754">
        <v>-1.1594869999999999</v>
      </c>
      <c r="AE754">
        <v>-0.83640000000002501</v>
      </c>
      <c r="AF754">
        <v>1.10460988458122</v>
      </c>
      <c r="AG754">
        <v>-1.1594869999999999</v>
      </c>
      <c r="AH754">
        <v>49.404452023309098</v>
      </c>
      <c r="AI754">
        <v>91.344108184122703</v>
      </c>
      <c r="AJ754">
        <v>88.719165201391903</v>
      </c>
      <c r="AK754">
        <v>49.430400087635697</v>
      </c>
      <c r="AL754">
        <v>86.609312924461705</v>
      </c>
      <c r="AM754">
        <v>87.983805740893303</v>
      </c>
      <c r="AN754">
        <v>1.00000003890708</v>
      </c>
    </row>
    <row r="755" spans="1:40" x14ac:dyDescent="0.25">
      <c r="A755" t="str">
        <f>"20190312153904728"</f>
        <v>20190312153904728</v>
      </c>
      <c r="B755" t="str">
        <f>"1552376344717115"</f>
        <v>1552376344717115</v>
      </c>
      <c r="C755" t="s">
        <v>40</v>
      </c>
      <c r="D755">
        <v>4.5369619999999999</v>
      </c>
      <c r="E755">
        <v>0.4957413</v>
      </c>
      <c r="F755" t="s">
        <v>43</v>
      </c>
      <c r="G755">
        <v>-315.49619999999999</v>
      </c>
      <c r="H755">
        <v>-0.05</v>
      </c>
      <c r="I755">
        <v>367.57960000000003</v>
      </c>
      <c r="J755">
        <v>-361.04289999999997</v>
      </c>
      <c r="K755">
        <v>1.109491</v>
      </c>
      <c r="L755">
        <v>368.32870000000003</v>
      </c>
      <c r="M755">
        <v>0.99995880000000004</v>
      </c>
      <c r="N755">
        <v>0</v>
      </c>
      <c r="O755">
        <v>5.4135759999999998E-3</v>
      </c>
      <c r="P755">
        <v>0.99822770000000005</v>
      </c>
      <c r="Q755">
        <v>5.1513469999999999E-2</v>
      </c>
      <c r="R755">
        <v>-2.9804890000000001E-2</v>
      </c>
      <c r="S755">
        <v>3.0078740000000002</v>
      </c>
      <c r="T755">
        <v>-7.6323390000000005E-2</v>
      </c>
      <c r="U755">
        <v>-4.925537E-2</v>
      </c>
      <c r="V755">
        <v>3.5215490000000002E-2</v>
      </c>
      <c r="W755">
        <v>5.8797589999999997E-2</v>
      </c>
      <c r="X755">
        <v>0.9976486</v>
      </c>
      <c r="Y755">
        <v>2.1777290000000001E-2</v>
      </c>
      <c r="Z755">
        <v>-4.1357170000000002E-4</v>
      </c>
      <c r="AA755">
        <v>0.99976279999999995</v>
      </c>
      <c r="AB755">
        <v>27</v>
      </c>
      <c r="AC755">
        <v>45.546699999999902</v>
      </c>
      <c r="AD755">
        <v>-1.159491</v>
      </c>
      <c r="AE755">
        <v>-0.74909999999999799</v>
      </c>
      <c r="AF755">
        <v>0.995021422445869</v>
      </c>
      <c r="AG755">
        <v>-1.159491</v>
      </c>
      <c r="AH755">
        <v>45.512489892072303</v>
      </c>
      <c r="AI755">
        <v>91.459021748952495</v>
      </c>
      <c r="AJ755">
        <v>88.747564732238004</v>
      </c>
      <c r="AK755">
        <v>45.538129333408001</v>
      </c>
      <c r="AL755">
        <v>86.629202139934193</v>
      </c>
      <c r="AM755">
        <v>87.978384804119898</v>
      </c>
      <c r="AN755">
        <v>1.00000000820385</v>
      </c>
    </row>
    <row r="756" spans="1:40" x14ac:dyDescent="0.25">
      <c r="A756" t="str">
        <f>"20190312153904749"</f>
        <v>20190312153904749</v>
      </c>
      <c r="B756" t="str">
        <f>"1552376344736635"</f>
        <v>1552376344736635</v>
      </c>
      <c r="C756" t="s">
        <v>40</v>
      </c>
      <c r="D756">
        <v>4.4878580000000001</v>
      </c>
      <c r="E756">
        <v>0.4955869</v>
      </c>
      <c r="F756" t="s">
        <v>43</v>
      </c>
      <c r="G756">
        <v>-316.85680000000002</v>
      </c>
      <c r="H756">
        <v>-0.05</v>
      </c>
      <c r="I756">
        <v>367.61320000000001</v>
      </c>
      <c r="J756">
        <v>-360.79390000000001</v>
      </c>
      <c r="K756">
        <v>1.109497</v>
      </c>
      <c r="L756">
        <v>368.33</v>
      </c>
      <c r="M756">
        <v>0.99995809999999996</v>
      </c>
      <c r="N756">
        <v>0</v>
      </c>
      <c r="O756">
        <v>5.3732619999999898E-3</v>
      </c>
      <c r="P756">
        <v>0.99824480000000004</v>
      </c>
      <c r="Q756">
        <v>5.1279569999999997E-2</v>
      </c>
      <c r="R756">
        <v>-2.963205E-2</v>
      </c>
      <c r="S756">
        <v>3.0079349999999998</v>
      </c>
      <c r="T756">
        <v>-7.8931329999999994E-2</v>
      </c>
      <c r="U756">
        <v>-4.8706050000000001E-2</v>
      </c>
      <c r="V756">
        <v>3.5002400000000003E-2</v>
      </c>
      <c r="W756">
        <v>5.8680490000000002E-2</v>
      </c>
      <c r="X756">
        <v>0.99766299999999997</v>
      </c>
      <c r="Y756">
        <v>2.1553610000000001E-2</v>
      </c>
      <c r="Z756">
        <v>-4.2369869999999999E-4</v>
      </c>
      <c r="AA756">
        <v>0.99976759999999998</v>
      </c>
      <c r="AB756">
        <v>27</v>
      </c>
      <c r="AC756">
        <v>43.937100000000001</v>
      </c>
      <c r="AD756">
        <v>-1.159497</v>
      </c>
      <c r="AE756">
        <v>-0.71679999999997701</v>
      </c>
      <c r="AF756">
        <v>0.95221870968072697</v>
      </c>
      <c r="AG756">
        <v>-1.159497</v>
      </c>
      <c r="AH756">
        <v>43.902047527940297</v>
      </c>
      <c r="AI756">
        <v>91.512531590654703</v>
      </c>
      <c r="AJ756">
        <v>88.757471159285203</v>
      </c>
      <c r="AK756">
        <v>43.927678414749003</v>
      </c>
      <c r="AL756">
        <v>86.635923102243495</v>
      </c>
      <c r="AM756">
        <v>87.990636579875598</v>
      </c>
      <c r="AN756">
        <v>1.0000000147407</v>
      </c>
    </row>
    <row r="757" spans="1:40" x14ac:dyDescent="0.25">
      <c r="A757" t="str">
        <f>"20190312153904762"</f>
        <v>20190312153904762</v>
      </c>
      <c r="B757" t="str">
        <f>"1552376344757131"</f>
        <v>1552376344757131</v>
      </c>
      <c r="C757" t="s">
        <v>40</v>
      </c>
      <c r="D757">
        <v>4.46462</v>
      </c>
      <c r="E757">
        <v>0.495423</v>
      </c>
      <c r="F757" t="s">
        <v>43</v>
      </c>
      <c r="G757">
        <v>-317.95409999999998</v>
      </c>
      <c r="H757">
        <v>-0.05</v>
      </c>
      <c r="I757">
        <v>367.66289999999998</v>
      </c>
      <c r="J757">
        <v>-360.62920000000003</v>
      </c>
      <c r="K757">
        <v>1.1094999999999999</v>
      </c>
      <c r="L757">
        <v>368.33089999999999</v>
      </c>
      <c r="M757">
        <v>0.99995780000000001</v>
      </c>
      <c r="N757">
        <v>0</v>
      </c>
      <c r="O757">
        <v>5.3464100000000002E-3</v>
      </c>
      <c r="P757">
        <v>0.99825660000000005</v>
      </c>
      <c r="Q757">
        <v>5.1093489999999998E-2</v>
      </c>
      <c r="R757">
        <v>-2.9558850000000001E-2</v>
      </c>
      <c r="S757">
        <v>3.0081180000000001</v>
      </c>
      <c r="T757">
        <v>-8.1417439999999994E-2</v>
      </c>
      <c r="U757">
        <v>-4.6844480000000001E-2</v>
      </c>
      <c r="V757">
        <v>3.4902500000000003E-2</v>
      </c>
      <c r="W757">
        <v>5.8564819999999997E-2</v>
      </c>
      <c r="X757">
        <v>0.99767329999999999</v>
      </c>
      <c r="Y757">
        <v>2.0906879999999999E-2</v>
      </c>
      <c r="Z757">
        <v>-4.275382E-4</v>
      </c>
      <c r="AA757">
        <v>0.99978129999999998</v>
      </c>
      <c r="AB757">
        <v>27</v>
      </c>
      <c r="AC757">
        <v>42.6751</v>
      </c>
      <c r="AD757">
        <v>-1.1595</v>
      </c>
      <c r="AE757">
        <v>-0.66800000000000603</v>
      </c>
      <c r="AF757">
        <v>0.89549448115328401</v>
      </c>
      <c r="AG757">
        <v>-1.1595</v>
      </c>
      <c r="AH757">
        <v>42.639448483903998</v>
      </c>
      <c r="AI757">
        <v>91.557324386869496</v>
      </c>
      <c r="AJ757">
        <v>88.796876724017295</v>
      </c>
      <c r="AK757">
        <v>42.664609662192802</v>
      </c>
      <c r="AL757">
        <v>86.642561933579003</v>
      </c>
      <c r="AM757">
        <v>87.996387471605004</v>
      </c>
      <c r="AN757">
        <v>1.0000000180903801</v>
      </c>
    </row>
    <row r="758" spans="1:40" x14ac:dyDescent="0.25">
      <c r="A758" t="str">
        <f>"20190312153904777"</f>
        <v>20190312153904777</v>
      </c>
      <c r="B758" t="str">
        <f>"1552376344766890"</f>
        <v>1552376344766890</v>
      </c>
      <c r="C758" t="s">
        <v>40</v>
      </c>
      <c r="D758">
        <v>4.3784359999999998</v>
      </c>
      <c r="E758">
        <v>0.4953592</v>
      </c>
      <c r="F758" t="s">
        <v>42</v>
      </c>
      <c r="G758">
        <v>-320.5686</v>
      </c>
      <c r="H758" s="1">
        <v>-4.3632430000000001E-6</v>
      </c>
      <c r="I758">
        <v>367.7285</v>
      </c>
      <c r="J758">
        <v>-360.4511</v>
      </c>
      <c r="K758">
        <v>1.1095029999999999</v>
      </c>
      <c r="L758">
        <v>368.33179999999999</v>
      </c>
      <c r="M758">
        <v>0.99995730000000005</v>
      </c>
      <c r="N758">
        <v>0</v>
      </c>
      <c r="O758">
        <v>5.3172289999999997E-3</v>
      </c>
      <c r="P758">
        <v>0.99825699999999995</v>
      </c>
      <c r="Q758">
        <v>5.1043320000000003E-2</v>
      </c>
      <c r="R758">
        <v>-2.9632439999999999E-2</v>
      </c>
      <c r="S758">
        <v>3.0081180000000001</v>
      </c>
      <c r="T758">
        <v>-8.3311560000000007E-2</v>
      </c>
      <c r="U758">
        <v>-4.5227049999999998E-2</v>
      </c>
      <c r="V758">
        <v>3.4946930000000001E-2</v>
      </c>
      <c r="W758">
        <v>5.8585760000000001E-2</v>
      </c>
      <c r="X758">
        <v>0.99767050000000002</v>
      </c>
      <c r="Y758">
        <v>2.034004E-2</v>
      </c>
      <c r="Z758">
        <v>-4.2882700000000001E-4</v>
      </c>
      <c r="AA758">
        <v>0.99979309999999999</v>
      </c>
      <c r="AB758">
        <v>27</v>
      </c>
      <c r="AC758">
        <v>39.882499999999901</v>
      </c>
      <c r="AD758">
        <v>-1.1095073632429999</v>
      </c>
      <c r="AE758">
        <v>-0.60329999999998996</v>
      </c>
      <c r="AF758">
        <v>0.814731521761485</v>
      </c>
      <c r="AG758">
        <v>-1.1095073632429999</v>
      </c>
      <c r="AH758">
        <v>39.847896193015302</v>
      </c>
      <c r="AI758">
        <v>91.594573418284995</v>
      </c>
      <c r="AJ758">
        <v>88.828691626897694</v>
      </c>
      <c r="AK758">
        <v>39.871664437930903</v>
      </c>
      <c r="AL758">
        <v>86.641360045273402</v>
      </c>
      <c r="AM758">
        <v>87.993833380544899</v>
      </c>
      <c r="AN758">
        <v>1.0000000028807201</v>
      </c>
    </row>
    <row r="759" spans="1:40" x14ac:dyDescent="0.25">
      <c r="A759" t="str">
        <f>"20190312153904795"</f>
        <v>20190312153904795</v>
      </c>
      <c r="B759" t="str">
        <f>"1552376344786410"</f>
        <v>1552376344786410</v>
      </c>
      <c r="C759" t="s">
        <v>40</v>
      </c>
      <c r="D759">
        <v>4.3635979999999996</v>
      </c>
      <c r="E759">
        <v>0.49521900000000002</v>
      </c>
      <c r="F759" t="s">
        <v>42</v>
      </c>
      <c r="G759">
        <v>-320.75009999999997</v>
      </c>
      <c r="H759" s="1">
        <v>-4.2831230000000001E-6</v>
      </c>
      <c r="I759">
        <v>367.74119999999999</v>
      </c>
      <c r="J759">
        <v>-360.24130000000002</v>
      </c>
      <c r="K759">
        <v>1.10951</v>
      </c>
      <c r="L759">
        <v>368.3329</v>
      </c>
      <c r="M759">
        <v>0.99995699999999998</v>
      </c>
      <c r="N759">
        <v>0</v>
      </c>
      <c r="O759">
        <v>5.2831390000000001E-3</v>
      </c>
      <c r="P759">
        <v>0.99827690000000002</v>
      </c>
      <c r="Q759">
        <v>5.0469489999999999E-2</v>
      </c>
      <c r="R759">
        <v>-2.993995E-2</v>
      </c>
      <c r="S759">
        <v>3.0082089999999999</v>
      </c>
      <c r="T759">
        <v>-8.4068889999999993E-2</v>
      </c>
      <c r="U759">
        <v>-4.4738769999999997E-2</v>
      </c>
      <c r="V759">
        <v>3.5220590000000003E-2</v>
      </c>
      <c r="W759">
        <v>5.8087840000000002E-2</v>
      </c>
      <c r="X759">
        <v>0.99768999999999997</v>
      </c>
      <c r="Y759">
        <v>2.014316E-2</v>
      </c>
      <c r="Z759">
        <v>-4.290082E-4</v>
      </c>
      <c r="AA759">
        <v>0.99979700000000005</v>
      </c>
      <c r="AB759">
        <v>27</v>
      </c>
      <c r="AC759">
        <v>39.491199999999999</v>
      </c>
      <c r="AD759">
        <v>-1.109514283123</v>
      </c>
      <c r="AE759">
        <v>-0.591700000000002</v>
      </c>
      <c r="AF759">
        <v>0.79970420216625504</v>
      </c>
      <c r="AG759">
        <v>-1.109514283123</v>
      </c>
      <c r="AH759">
        <v>39.456385123370097</v>
      </c>
      <c r="AI759">
        <v>91.6104033557625</v>
      </c>
      <c r="AJ759">
        <v>88.838884938512393</v>
      </c>
      <c r="AK759">
        <v>39.480082013074899</v>
      </c>
      <c r="AL759">
        <v>86.669937457583302</v>
      </c>
      <c r="AM759">
        <v>87.978176102627103</v>
      </c>
      <c r="AN759">
        <v>1.0000000116079</v>
      </c>
    </row>
    <row r="760" spans="1:40" x14ac:dyDescent="0.25">
      <c r="A760" t="str">
        <f>"20190312153904817"</f>
        <v>20190312153904817</v>
      </c>
      <c r="B760" t="str">
        <f>"1552376344806437"</f>
        <v>1552376344806437</v>
      </c>
      <c r="C760" t="s">
        <v>40</v>
      </c>
      <c r="D760">
        <v>4.3244930000000004</v>
      </c>
      <c r="E760">
        <v>0.49512279999999997</v>
      </c>
      <c r="F760" t="s">
        <v>42</v>
      </c>
      <c r="G760">
        <v>-321.51600000000002</v>
      </c>
      <c r="H760" s="1">
        <v>-3.9511409999999998E-6</v>
      </c>
      <c r="I760">
        <v>367.7604</v>
      </c>
      <c r="J760">
        <v>-359.96839999999997</v>
      </c>
      <c r="K760">
        <v>1.1095159999999999</v>
      </c>
      <c r="L760">
        <v>368.33420000000001</v>
      </c>
      <c r="M760">
        <v>0.99995639999999997</v>
      </c>
      <c r="N760">
        <v>0</v>
      </c>
      <c r="O760">
        <v>5.2393930000000002E-3</v>
      </c>
      <c r="P760">
        <v>0.99826839999999994</v>
      </c>
      <c r="Q760">
        <v>5.0265829999999997E-2</v>
      </c>
      <c r="R760">
        <v>-3.0554439999999999E-2</v>
      </c>
      <c r="S760">
        <v>3.0081790000000002</v>
      </c>
      <c r="T760">
        <v>-8.6186890000000002E-2</v>
      </c>
      <c r="U760">
        <v>-4.4464110000000001E-2</v>
      </c>
      <c r="V760">
        <v>3.5791539999999997E-2</v>
      </c>
      <c r="W760">
        <v>5.7973110000000001E-2</v>
      </c>
      <c r="X760">
        <v>0.99767629999999996</v>
      </c>
      <c r="Y760">
        <v>2.0007870000000001E-2</v>
      </c>
      <c r="Z760">
        <v>-4.3662639999999999E-4</v>
      </c>
      <c r="AA760">
        <v>0.99979969999999996</v>
      </c>
      <c r="AB760">
        <v>27</v>
      </c>
      <c r="AC760">
        <v>38.452399999999997</v>
      </c>
      <c r="AD760">
        <v>-1.1095199511410001</v>
      </c>
      <c r="AE760">
        <v>-0.57380000000000497</v>
      </c>
      <c r="AF760">
        <v>0.77462059178923504</v>
      </c>
      <c r="AG760">
        <v>-1.1095199511410001</v>
      </c>
      <c r="AH760">
        <v>38.416887911275097</v>
      </c>
      <c r="AI760">
        <v>91.653966248212399</v>
      </c>
      <c r="AJ760">
        <v>88.844870584986495</v>
      </c>
      <c r="AK760">
        <v>38.440712121014002</v>
      </c>
      <c r="AL760">
        <v>86.6765219192892</v>
      </c>
      <c r="AM760">
        <v>87.945400622417196</v>
      </c>
      <c r="AN760">
        <v>0.99999995770016503</v>
      </c>
    </row>
    <row r="761" spans="1:40" x14ac:dyDescent="0.25">
      <c r="A761" t="str">
        <f>"20190312153904839"</f>
        <v>20190312153904839</v>
      </c>
      <c r="B761" t="str">
        <f>"1552376344826933"</f>
        <v>1552376344826933</v>
      </c>
      <c r="C761" t="s">
        <v>40</v>
      </c>
      <c r="D761">
        <v>4.2434960000000004</v>
      </c>
      <c r="E761">
        <v>0.49512620000000002</v>
      </c>
      <c r="F761" t="s">
        <v>42</v>
      </c>
      <c r="G761">
        <v>-321.44720000000001</v>
      </c>
      <c r="H761" s="1">
        <v>-3.9823209999999999E-6</v>
      </c>
      <c r="I761">
        <v>367.75110000000001</v>
      </c>
      <c r="J761">
        <v>-359.69439999999997</v>
      </c>
      <c r="K761">
        <v>1.109521</v>
      </c>
      <c r="L761">
        <v>368.3356</v>
      </c>
      <c r="M761">
        <v>0.99995610000000001</v>
      </c>
      <c r="N761">
        <v>0</v>
      </c>
      <c r="O761">
        <v>5.1941970000000002E-3</v>
      </c>
      <c r="P761">
        <v>0.99825940000000002</v>
      </c>
      <c r="Q761">
        <v>5.0277830000000003E-2</v>
      </c>
      <c r="R761">
        <v>-3.0833989999999999E-2</v>
      </c>
      <c r="S761">
        <v>3.0082089999999999</v>
      </c>
      <c r="T761">
        <v>-8.6644650000000004E-2</v>
      </c>
      <c r="U761">
        <v>-4.553223E-2</v>
      </c>
      <c r="V761">
        <v>3.6025679999999997E-2</v>
      </c>
      <c r="W761">
        <v>5.8064989999999997E-2</v>
      </c>
      <c r="X761">
        <v>0.99766250000000001</v>
      </c>
      <c r="Y761">
        <v>2.031724E-2</v>
      </c>
      <c r="Z761">
        <v>-4.4209160000000002E-4</v>
      </c>
      <c r="AA761">
        <v>0.9997935</v>
      </c>
      <c r="AB761">
        <v>27</v>
      </c>
      <c r="AC761">
        <v>38.2471999999999</v>
      </c>
      <c r="AD761">
        <v>-1.1095249823210001</v>
      </c>
      <c r="AE761">
        <v>-0.58449999999999103</v>
      </c>
      <c r="AF761">
        <v>0.78250329338748303</v>
      </c>
      <c r="AG761">
        <v>-1.1095249823210001</v>
      </c>
      <c r="AH761">
        <v>38.211498911044799</v>
      </c>
      <c r="AI761">
        <v>91.662848347311893</v>
      </c>
      <c r="AJ761">
        <v>88.826848675237898</v>
      </c>
      <c r="AK761">
        <v>38.235611752910899</v>
      </c>
      <c r="AL761">
        <v>86.671248601984601</v>
      </c>
      <c r="AM761">
        <v>87.931942958853</v>
      </c>
      <c r="AN761">
        <v>0.99999992829470297</v>
      </c>
    </row>
    <row r="762" spans="1:40" x14ac:dyDescent="0.25">
      <c r="A762" t="str">
        <f>"20190312153904862"</f>
        <v>20190312153904862</v>
      </c>
      <c r="B762" t="str">
        <f>"1552376344857190"</f>
        <v>1552376344857190</v>
      </c>
      <c r="C762" t="s">
        <v>40</v>
      </c>
      <c r="D762">
        <v>4.0543930000000001</v>
      </c>
      <c r="E762">
        <v>0.53158059999999996</v>
      </c>
      <c r="F762" t="s">
        <v>42</v>
      </c>
      <c r="G762">
        <v>-320.82569999999998</v>
      </c>
      <c r="H762" s="1">
        <v>-4.2518209999999996E-6</v>
      </c>
      <c r="I762">
        <v>367.73500000000001</v>
      </c>
      <c r="J762">
        <v>-359.4187</v>
      </c>
      <c r="K762">
        <v>1.1095280000000001</v>
      </c>
      <c r="L762">
        <v>368.33699999999999</v>
      </c>
      <c r="M762">
        <v>0.99995579999999995</v>
      </c>
      <c r="N762">
        <v>0</v>
      </c>
      <c r="O762">
        <v>5.1492090000000001E-3</v>
      </c>
      <c r="P762">
        <v>0.99824740000000001</v>
      </c>
      <c r="Q762">
        <v>5.0205449999999999E-2</v>
      </c>
      <c r="R762">
        <v>-3.1331110000000002E-2</v>
      </c>
      <c r="S762">
        <v>3.0081180000000001</v>
      </c>
      <c r="T762">
        <v>-8.5867879999999994E-2</v>
      </c>
      <c r="U762">
        <v>-4.6478270000000002E-2</v>
      </c>
      <c r="V762">
        <v>3.6477950000000002E-2</v>
      </c>
      <c r="W762">
        <v>5.8062610000000001E-2</v>
      </c>
      <c r="X762">
        <v>0.99764629999999999</v>
      </c>
      <c r="Y762">
        <v>2.058718E-2</v>
      </c>
      <c r="Z762">
        <v>-4.4071010000000001E-4</v>
      </c>
      <c r="AA762">
        <v>0.99978800000000001</v>
      </c>
      <c r="AB762">
        <v>27</v>
      </c>
      <c r="AC762">
        <v>38.593000000000004</v>
      </c>
      <c r="AD762">
        <v>-1.109532251821</v>
      </c>
      <c r="AE762">
        <v>-0.601999999999975</v>
      </c>
      <c r="AF762">
        <v>0.80006047127039903</v>
      </c>
      <c r="AG762">
        <v>-1.109532251821</v>
      </c>
      <c r="AH762">
        <v>38.557526905429697</v>
      </c>
      <c r="AI762">
        <v>91.647935236972003</v>
      </c>
      <c r="AJ762">
        <v>88.811295358806504</v>
      </c>
      <c r="AK762">
        <v>38.581783779893499</v>
      </c>
      <c r="AL762">
        <v>86.671385514359997</v>
      </c>
      <c r="AM762">
        <v>87.9059693602848</v>
      </c>
      <c r="AN762">
        <v>1.00000002370995</v>
      </c>
    </row>
    <row r="763" spans="1:40" x14ac:dyDescent="0.25">
      <c r="A763" t="str">
        <f>"20190312153904884"</f>
        <v>20190312153904884</v>
      </c>
      <c r="B763" t="str">
        <f>"1552376344876709"</f>
        <v>1552376344876709</v>
      </c>
      <c r="C763" t="s">
        <v>40</v>
      </c>
      <c r="D763">
        <v>3.9963880000000001</v>
      </c>
      <c r="E763">
        <v>0.53718369999999904</v>
      </c>
      <c r="F763" t="s">
        <v>42</v>
      </c>
      <c r="G763">
        <v>-254.78809999999999</v>
      </c>
      <c r="H763">
        <v>7.9985570000000006E-2</v>
      </c>
      <c r="I763">
        <v>356.44740000000002</v>
      </c>
      <c r="J763">
        <v>-359.14580000000001</v>
      </c>
      <c r="K763">
        <v>1.1095280000000001</v>
      </c>
      <c r="L763">
        <v>368.3383</v>
      </c>
      <c r="M763">
        <v>0.9999555</v>
      </c>
      <c r="N763">
        <v>0</v>
      </c>
      <c r="O763">
        <v>5.1047269999999999E-3</v>
      </c>
      <c r="P763">
        <v>0.99825120000000001</v>
      </c>
      <c r="Q763">
        <v>5.024704E-2</v>
      </c>
      <c r="R763">
        <v>-3.1146569999999998E-2</v>
      </c>
      <c r="S763">
        <v>2.9960629999999999</v>
      </c>
      <c r="T763">
        <v>-2.9480579999999999E-2</v>
      </c>
      <c r="U763">
        <v>-0.34045409999999998</v>
      </c>
      <c r="V763">
        <v>3.6248910000000002E-2</v>
      </c>
      <c r="W763">
        <v>5.8167339999999998E-2</v>
      </c>
      <c r="X763">
        <v>0.99764850000000005</v>
      </c>
      <c r="Y763">
        <v>0.1179721</v>
      </c>
      <c r="Z763">
        <v>-6.2860589999999897E-4</v>
      </c>
      <c r="AA763">
        <v>0.99301669999999997</v>
      </c>
      <c r="AB763">
        <v>27</v>
      </c>
      <c r="AC763">
        <v>104.35769999999999</v>
      </c>
      <c r="AD763">
        <v>-1.02954243</v>
      </c>
      <c r="AE763">
        <v>-11.890899999999901</v>
      </c>
      <c r="AF763">
        <v>12.4222858505026</v>
      </c>
      <c r="AG763">
        <v>-1.02954243</v>
      </c>
      <c r="AH763">
        <v>104.285618647079</v>
      </c>
      <c r="AI763">
        <v>90.561654294978595</v>
      </c>
      <c r="AJ763">
        <v>83.207053867869206</v>
      </c>
      <c r="AK763">
        <v>105.027917240945</v>
      </c>
      <c r="AL763">
        <v>86.665374610241699</v>
      </c>
      <c r="AM763">
        <v>87.919110478342503</v>
      </c>
      <c r="AN763">
        <v>0.99999997623555603</v>
      </c>
    </row>
    <row r="764" spans="1:40" x14ac:dyDescent="0.25">
      <c r="A764" t="str">
        <f>"20190312153904898"</f>
        <v>20190312153904898</v>
      </c>
      <c r="B764" t="str">
        <f>"1552376344886470"</f>
        <v>1552376344886470</v>
      </c>
      <c r="C764" t="s">
        <v>40</v>
      </c>
      <c r="D764">
        <v>3.9940690000000001</v>
      </c>
      <c r="E764">
        <v>0.53878190000000004</v>
      </c>
      <c r="F764" t="s">
        <v>43</v>
      </c>
      <c r="G764">
        <v>-200.08349999999999</v>
      </c>
      <c r="H764">
        <v>-0.05</v>
      </c>
      <c r="I764">
        <v>347.89120000000003</v>
      </c>
      <c r="J764">
        <v>-358.97070000000002</v>
      </c>
      <c r="K764">
        <v>1.1095349999999999</v>
      </c>
      <c r="L764">
        <v>368.33929999999998</v>
      </c>
      <c r="M764">
        <v>0.99995529999999999</v>
      </c>
      <c r="N764">
        <v>0</v>
      </c>
      <c r="O764">
        <v>5.0763190000000001E-3</v>
      </c>
      <c r="P764">
        <v>0.99825980000000003</v>
      </c>
      <c r="Q764">
        <v>5.0072989999999998E-2</v>
      </c>
      <c r="R764">
        <v>-3.1147770000000002E-2</v>
      </c>
      <c r="S764">
        <v>2.994354</v>
      </c>
      <c r="T764">
        <v>-2.1828170000000001E-2</v>
      </c>
      <c r="U764">
        <v>-0.38491819999999999</v>
      </c>
      <c r="V764">
        <v>3.6221780000000002E-2</v>
      </c>
      <c r="W764">
        <v>5.8031190000000003E-2</v>
      </c>
      <c r="X764">
        <v>0.99765740000000003</v>
      </c>
      <c r="Y764">
        <v>0.1325287</v>
      </c>
      <c r="Z764">
        <v>-5.1792400000000001E-4</v>
      </c>
      <c r="AA764">
        <v>0.99117900000000003</v>
      </c>
      <c r="AB764">
        <v>28</v>
      </c>
      <c r="AC764">
        <v>158.88720000000001</v>
      </c>
      <c r="AD764">
        <v>-1.159535</v>
      </c>
      <c r="AE764">
        <v>-20.448099999999901</v>
      </c>
      <c r="AF764">
        <v>21.2533108117719</v>
      </c>
      <c r="AG764">
        <v>-1.159535</v>
      </c>
      <c r="AH764">
        <v>158.77303003175001</v>
      </c>
      <c r="AI764">
        <v>90.414730227421202</v>
      </c>
      <c r="AJ764">
        <v>82.375726648128605</v>
      </c>
      <c r="AK764">
        <v>160.19339189661</v>
      </c>
      <c r="AL764">
        <v>86.673188582981595</v>
      </c>
      <c r="AM764">
        <v>87.920685057217398</v>
      </c>
      <c r="AN764">
        <v>0.99999996206697095</v>
      </c>
    </row>
    <row r="765" spans="1:40" x14ac:dyDescent="0.25">
      <c r="A765" t="str">
        <f>"20190312153904919"</f>
        <v>20190312153904919</v>
      </c>
      <c r="B765" t="str">
        <f>"1552376344906496"</f>
        <v>1552376344906496</v>
      </c>
      <c r="C765" t="s">
        <v>40</v>
      </c>
      <c r="D765">
        <v>3.9332410000000002</v>
      </c>
      <c r="E765">
        <v>0.54094540000000002</v>
      </c>
      <c r="F765" t="s">
        <v>42</v>
      </c>
      <c r="G765">
        <v>-200.47370000000001</v>
      </c>
      <c r="H765">
        <v>7.9986070000000006E-2</v>
      </c>
      <c r="I765">
        <v>347.27760000000001</v>
      </c>
      <c r="J765">
        <v>-358.721</v>
      </c>
      <c r="K765">
        <v>1.109537</v>
      </c>
      <c r="L765">
        <v>368.34050000000002</v>
      </c>
      <c r="M765">
        <v>0.99995520000000004</v>
      </c>
      <c r="N765">
        <v>0</v>
      </c>
      <c r="O765">
        <v>5.0362410000000003E-3</v>
      </c>
      <c r="P765">
        <v>0.99826029999999999</v>
      </c>
      <c r="Q765">
        <v>5.024762E-2</v>
      </c>
      <c r="R765">
        <v>-3.0851030000000002E-2</v>
      </c>
      <c r="S765">
        <v>2.993805</v>
      </c>
      <c r="T765">
        <v>-1.9446850000000002E-2</v>
      </c>
      <c r="U765">
        <v>-0.39782709999999999</v>
      </c>
      <c r="V765">
        <v>3.588525E-2</v>
      </c>
      <c r="W765">
        <v>5.8254449999999999E-2</v>
      </c>
      <c r="X765">
        <v>0.9976566</v>
      </c>
      <c r="Y765">
        <v>0.13671349999999999</v>
      </c>
      <c r="Z765">
        <v>-4.7465110000000001E-4</v>
      </c>
      <c r="AA765">
        <v>0.99061049999999995</v>
      </c>
      <c r="AB765">
        <v>28</v>
      </c>
      <c r="AC765">
        <v>158.2473</v>
      </c>
      <c r="AD765">
        <v>-1.0295509300000001</v>
      </c>
      <c r="AE765">
        <v>-21.062899999999999</v>
      </c>
      <c r="AF765">
        <v>21.858720882401201</v>
      </c>
      <c r="AG765">
        <v>-1.0295509300000001</v>
      </c>
      <c r="AH765">
        <v>158.13263488950699</v>
      </c>
      <c r="AI765">
        <v>90.369515717183603</v>
      </c>
      <c r="AJ765">
        <v>82.129861094269501</v>
      </c>
      <c r="AK765">
        <v>159.63957488928099</v>
      </c>
      <c r="AL765">
        <v>86.660375216100803</v>
      </c>
      <c r="AM765">
        <v>87.939985223198505</v>
      </c>
      <c r="AN765">
        <v>1.0000000118179599</v>
      </c>
    </row>
    <row r="766" spans="1:40" x14ac:dyDescent="0.25">
      <c r="A766" t="str">
        <f>"20190312153904940"</f>
        <v>20190312153904940</v>
      </c>
      <c r="B766" t="str">
        <f>"1552376344926992"</f>
        <v>1552376344926992</v>
      </c>
      <c r="C766" t="s">
        <v>40</v>
      </c>
      <c r="D766">
        <v>3.9498470000000001</v>
      </c>
      <c r="E766">
        <v>0.54214830000000003</v>
      </c>
      <c r="F766" t="s">
        <v>53</v>
      </c>
      <c r="G766">
        <v>-168.9821</v>
      </c>
      <c r="H766">
        <v>0.19166330000000001</v>
      </c>
      <c r="I766">
        <v>342.06950000000001</v>
      </c>
      <c r="J766">
        <v>-358.45370000000003</v>
      </c>
      <c r="K766">
        <v>1.1095440000000001</v>
      </c>
      <c r="L766">
        <v>368.34179999999998</v>
      </c>
      <c r="M766">
        <v>0.99995489999999998</v>
      </c>
      <c r="N766">
        <v>0</v>
      </c>
      <c r="O766">
        <v>4.9931890000000003E-3</v>
      </c>
      <c r="P766">
        <v>0.99829849999999998</v>
      </c>
      <c r="Q766">
        <v>4.9872060000000003E-2</v>
      </c>
      <c r="R766">
        <v>-3.0215039999999999E-2</v>
      </c>
      <c r="S766">
        <v>2.9931640000000002</v>
      </c>
      <c r="T766">
        <v>-1.4479519999999999E-2</v>
      </c>
      <c r="U766">
        <v>-0.41442869999999998</v>
      </c>
      <c r="V766">
        <v>3.5206479999999998E-2</v>
      </c>
      <c r="W766">
        <v>5.7926930000000001E-2</v>
      </c>
      <c r="X766">
        <v>0.99769989999999997</v>
      </c>
      <c r="Y766">
        <v>0.14209279999999999</v>
      </c>
      <c r="Z766">
        <v>-3.6609810000000001E-4</v>
      </c>
      <c r="AA766">
        <v>0.98985330000000005</v>
      </c>
      <c r="AB766">
        <v>28</v>
      </c>
      <c r="AC766">
        <v>189.4716</v>
      </c>
      <c r="AD766">
        <v>-0.91788069999999999</v>
      </c>
      <c r="AE766">
        <v>-26.272299999999898</v>
      </c>
      <c r="AF766">
        <v>27.217444148925502</v>
      </c>
      <c r="AG766">
        <v>-0.91788069999999999</v>
      </c>
      <c r="AH766">
        <v>189.33369149754401</v>
      </c>
      <c r="AI766">
        <v>90.274938771803207</v>
      </c>
      <c r="AJ766">
        <v>81.819554866099097</v>
      </c>
      <c r="AK766">
        <v>191.28219600126499</v>
      </c>
      <c r="AL766">
        <v>86.679172625797904</v>
      </c>
      <c r="AM766">
        <v>87.979005447257705</v>
      </c>
      <c r="AN766">
        <v>1.00000005795661</v>
      </c>
    </row>
    <row r="767" spans="1:40" x14ac:dyDescent="0.25">
      <c r="A767" t="str">
        <f>"20190312153904962"</f>
        <v>20190312153904962</v>
      </c>
      <c r="B767" t="str">
        <f>"1552376344957247"</f>
        <v>1552376344957247</v>
      </c>
      <c r="C767" t="s">
        <v>40</v>
      </c>
      <c r="D767">
        <v>3.9256859999999998</v>
      </c>
      <c r="E767">
        <v>0.54331200000000002</v>
      </c>
      <c r="F767" t="s">
        <v>53</v>
      </c>
      <c r="G767">
        <v>-168.9821</v>
      </c>
      <c r="H767">
        <v>0.26066899999999998</v>
      </c>
      <c r="I767">
        <v>341.63310000000001</v>
      </c>
      <c r="J767">
        <v>-358.17809999999997</v>
      </c>
      <c r="K767">
        <v>1.1095489999999999</v>
      </c>
      <c r="L767">
        <v>368.34309999999999</v>
      </c>
      <c r="M767">
        <v>0.99995500000000004</v>
      </c>
      <c r="N767">
        <v>0</v>
      </c>
      <c r="O767">
        <v>4.9477660000000001E-3</v>
      </c>
      <c r="P767">
        <v>0.99831519999999996</v>
      </c>
      <c r="Q767">
        <v>4.9615529999999998E-2</v>
      </c>
      <c r="R767">
        <v>-3.008943E-2</v>
      </c>
      <c r="S767">
        <v>2.9930110000000001</v>
      </c>
      <c r="T767">
        <v>-1.3409259999999999E-2</v>
      </c>
      <c r="U767">
        <v>-0.42190549999999999</v>
      </c>
      <c r="V767">
        <v>3.503568E-2</v>
      </c>
      <c r="W767">
        <v>5.7715580000000002E-2</v>
      </c>
      <c r="X767">
        <v>0.99771810000000005</v>
      </c>
      <c r="Y767">
        <v>0.14447989999999999</v>
      </c>
      <c r="Z767">
        <v>-3.4411540000000001E-4</v>
      </c>
      <c r="AA767">
        <v>0.98950769999999999</v>
      </c>
      <c r="AB767">
        <v>28</v>
      </c>
      <c r="AC767">
        <v>189.196</v>
      </c>
      <c r="AD767">
        <v>-0.84887999999999897</v>
      </c>
      <c r="AE767">
        <v>-26.709999999999901</v>
      </c>
      <c r="AF767">
        <v>27.6452555884525</v>
      </c>
      <c r="AG767">
        <v>-0.84887999999999897</v>
      </c>
      <c r="AH767">
        <v>189.057793300377</v>
      </c>
      <c r="AI767">
        <v>90.254552492043103</v>
      </c>
      <c r="AJ767">
        <v>81.680799722120994</v>
      </c>
      <c r="AK767">
        <v>191.07022259214901</v>
      </c>
      <c r="AL767">
        <v>86.691302180064</v>
      </c>
      <c r="AM767">
        <v>87.988838644994701</v>
      </c>
      <c r="AN767">
        <v>0.99999999705770404</v>
      </c>
    </row>
    <row r="768" spans="1:40" x14ac:dyDescent="0.25">
      <c r="A768" t="str">
        <f>"20190312153904984"</f>
        <v>20190312153904984</v>
      </c>
      <c r="B768" t="str">
        <f>"1552376344976768"</f>
        <v>1552376344976768</v>
      </c>
      <c r="C768" t="s">
        <v>40</v>
      </c>
      <c r="D768">
        <v>3.9841229999999999</v>
      </c>
      <c r="E768">
        <v>0.54409339999999995</v>
      </c>
      <c r="F768" t="s">
        <v>53</v>
      </c>
      <c r="G768">
        <v>-168.9821</v>
      </c>
      <c r="H768">
        <v>0.36700719999999998</v>
      </c>
      <c r="I768">
        <v>341.09539999999998</v>
      </c>
      <c r="J768">
        <v>-357.90359999999998</v>
      </c>
      <c r="K768">
        <v>1.10955</v>
      </c>
      <c r="L768">
        <v>368.34440000000001</v>
      </c>
      <c r="M768">
        <v>0.99995480000000003</v>
      </c>
      <c r="N768">
        <v>0</v>
      </c>
      <c r="O768">
        <v>4.9033690000000003E-3</v>
      </c>
      <c r="P768">
        <v>0.99833400000000005</v>
      </c>
      <c r="Q768">
        <v>4.9503140000000001E-2</v>
      </c>
      <c r="R768">
        <v>-2.9642089999999999E-2</v>
      </c>
      <c r="S768">
        <v>2.9926759999999999</v>
      </c>
      <c r="T768">
        <v>-1.174533E-2</v>
      </c>
      <c r="U768">
        <v>-0.43099979999999899</v>
      </c>
      <c r="V768">
        <v>3.45443E-2</v>
      </c>
      <c r="W768">
        <v>5.7643689999999997E-2</v>
      </c>
      <c r="X768">
        <v>0.99773940000000005</v>
      </c>
      <c r="Y768">
        <v>0.1473981</v>
      </c>
      <c r="Z768">
        <v>-3.0690820000000001E-4</v>
      </c>
      <c r="AA768">
        <v>0.98907719999999999</v>
      </c>
      <c r="AB768">
        <v>28</v>
      </c>
      <c r="AC768">
        <v>188.92150000000001</v>
      </c>
      <c r="AD768">
        <v>-0.74254279999999995</v>
      </c>
      <c r="AE768">
        <v>-27.248999999999999</v>
      </c>
      <c r="AF768">
        <v>28.174628584724999</v>
      </c>
      <c r="AG768">
        <v>-0.74254279999999995</v>
      </c>
      <c r="AH768">
        <v>188.78275544332701</v>
      </c>
      <c r="AI768">
        <v>90.222892792309196</v>
      </c>
      <c r="AJ768">
        <v>81.511620823574901</v>
      </c>
      <c r="AK768">
        <v>190.87506337516101</v>
      </c>
      <c r="AL768">
        <v>86.695428075478105</v>
      </c>
      <c r="AM768">
        <v>88.017065066746795</v>
      </c>
      <c r="AN768">
        <v>1.0000000069858299</v>
      </c>
    </row>
    <row r="769" spans="1:40" x14ac:dyDescent="0.25">
      <c r="A769" t="str">
        <f>"20190312153905007"</f>
        <v>20190312153905007</v>
      </c>
      <c r="B769" t="str">
        <f>"1552376344997264"</f>
        <v>1552376344997264</v>
      </c>
      <c r="C769" t="s">
        <v>40</v>
      </c>
      <c r="D769">
        <v>3.9494790000000002</v>
      </c>
      <c r="E769">
        <v>0.54460229999999998</v>
      </c>
      <c r="F769" t="s">
        <v>53</v>
      </c>
      <c r="G769">
        <v>-168.9821</v>
      </c>
      <c r="H769">
        <v>0.39614690000000002</v>
      </c>
      <c r="I769">
        <v>340.82749999999999</v>
      </c>
      <c r="J769">
        <v>-357.6216</v>
      </c>
      <c r="K769">
        <v>1.109551</v>
      </c>
      <c r="L769">
        <v>368.3458</v>
      </c>
      <c r="M769">
        <v>0.99995460000000003</v>
      </c>
      <c r="N769">
        <v>0</v>
      </c>
      <c r="O769">
        <v>4.8576100000000001E-3</v>
      </c>
      <c r="P769">
        <v>0.99834040000000002</v>
      </c>
      <c r="Q769">
        <v>4.9376610000000001E-2</v>
      </c>
      <c r="R769">
        <v>-2.9641689999999998E-2</v>
      </c>
      <c r="S769">
        <v>2.9926149999999998</v>
      </c>
      <c r="T769">
        <v>-1.1300559999999999E-2</v>
      </c>
      <c r="U769">
        <v>-0.43588260000000001</v>
      </c>
      <c r="V769">
        <v>3.4497989999999999E-2</v>
      </c>
      <c r="W769">
        <v>5.7555149999999999E-2</v>
      </c>
      <c r="X769">
        <v>0.99774609999999997</v>
      </c>
      <c r="Y769">
        <v>0.14893619999999999</v>
      </c>
      <c r="Z769">
        <v>-2.9797489999999999E-4</v>
      </c>
      <c r="AA769">
        <v>0.98884680000000003</v>
      </c>
      <c r="AB769">
        <v>28</v>
      </c>
      <c r="AC769">
        <v>188.6395</v>
      </c>
      <c r="AD769">
        <v>-0.71340409999999999</v>
      </c>
      <c r="AE769">
        <v>-27.5183</v>
      </c>
      <c r="AF769">
        <v>28.433945025896801</v>
      </c>
      <c r="AG769">
        <v>-0.71340409999999999</v>
      </c>
      <c r="AH769">
        <v>188.500956750798</v>
      </c>
      <c r="AI769">
        <v>90.214415991217194</v>
      </c>
      <c r="AJ769">
        <v>81.422033887145005</v>
      </c>
      <c r="AK769">
        <v>190.63475252721301</v>
      </c>
      <c r="AL769">
        <v>86.700509434946596</v>
      </c>
      <c r="AM769">
        <v>88.019734553562401</v>
      </c>
      <c r="AN769">
        <v>0.99999999333538603</v>
      </c>
    </row>
    <row r="770" spans="1:40" x14ac:dyDescent="0.25">
      <c r="A770" t="str">
        <f>"20190312153905019"</f>
        <v>20190312153905019</v>
      </c>
      <c r="B770" t="str">
        <f>"1552376345007024"</f>
        <v>1552376345007024</v>
      </c>
      <c r="C770" t="s">
        <v>40</v>
      </c>
      <c r="D770">
        <v>3.916274</v>
      </c>
      <c r="E770">
        <v>0.54481759999999901</v>
      </c>
      <c r="F770" t="s">
        <v>53</v>
      </c>
      <c r="G770">
        <v>-168.9821</v>
      </c>
      <c r="H770">
        <v>0.4564838</v>
      </c>
      <c r="I770">
        <v>340.61649999999997</v>
      </c>
      <c r="J770">
        <v>-357.46460000000002</v>
      </c>
      <c r="K770">
        <v>1.109553</v>
      </c>
      <c r="L770">
        <v>368.34649999999999</v>
      </c>
      <c r="M770">
        <v>0.99995460000000003</v>
      </c>
      <c r="N770">
        <v>0</v>
      </c>
      <c r="O770">
        <v>4.8318370000000003E-3</v>
      </c>
      <c r="P770">
        <v>0.99834730000000005</v>
      </c>
      <c r="Q770">
        <v>4.9379180000000002E-2</v>
      </c>
      <c r="R770">
        <v>-2.940104E-2</v>
      </c>
      <c r="S770">
        <v>2.9924620000000002</v>
      </c>
      <c r="T770">
        <v>-1.0359760000000001E-2</v>
      </c>
      <c r="U770">
        <v>-0.4398804</v>
      </c>
      <c r="V770">
        <v>3.4231690000000002E-2</v>
      </c>
      <c r="W770">
        <v>5.7578949999999997E-2</v>
      </c>
      <c r="X770">
        <v>0.99775389999999997</v>
      </c>
      <c r="Y770">
        <v>0.15021129999999999</v>
      </c>
      <c r="Z770">
        <v>-2.7526200000000002E-4</v>
      </c>
      <c r="AA770">
        <v>0.98865389999999997</v>
      </c>
      <c r="AB770">
        <v>28</v>
      </c>
      <c r="AC770">
        <v>188.48249999999999</v>
      </c>
      <c r="AD770">
        <v>-0.65306919999999902</v>
      </c>
      <c r="AE770">
        <v>-27.73</v>
      </c>
      <c r="AF770">
        <v>28.640087157581501</v>
      </c>
      <c r="AG770">
        <v>-0.65306919999999902</v>
      </c>
      <c r="AH770">
        <v>188.34409502326099</v>
      </c>
      <c r="AI770">
        <v>90.196410271215598</v>
      </c>
      <c r="AJ770">
        <v>81.353693405837205</v>
      </c>
      <c r="AK770">
        <v>190.510312639251</v>
      </c>
      <c r="AL770">
        <v>86.699143534155198</v>
      </c>
      <c r="AM770">
        <v>88.035024116788094</v>
      </c>
      <c r="AN770">
        <v>0.99999999452428401</v>
      </c>
    </row>
    <row r="771" spans="1:40" x14ac:dyDescent="0.25">
      <c r="A771" t="str">
        <f>"20190312153905031"</f>
        <v>20190312153905031</v>
      </c>
      <c r="B771" t="str">
        <f>"1552376345026544"</f>
        <v>1552376345026544</v>
      </c>
      <c r="C771" t="s">
        <v>40</v>
      </c>
      <c r="D771">
        <v>3.8691759999999999</v>
      </c>
      <c r="E771">
        <v>0.54519059999999997</v>
      </c>
      <c r="F771" t="s">
        <v>53</v>
      </c>
      <c r="G771">
        <v>-168.9821</v>
      </c>
      <c r="H771">
        <v>0.47806110000000002</v>
      </c>
      <c r="I771">
        <v>340.55759999999998</v>
      </c>
      <c r="J771">
        <v>-357.30520000000001</v>
      </c>
      <c r="K771">
        <v>1.1095539999999999</v>
      </c>
      <c r="L771">
        <v>368.34730000000002</v>
      </c>
      <c r="M771">
        <v>0.99995449999999997</v>
      </c>
      <c r="N771">
        <v>0</v>
      </c>
      <c r="O771">
        <v>4.8060059999999998E-3</v>
      </c>
      <c r="P771">
        <v>0.99834849999999997</v>
      </c>
      <c r="Q771">
        <v>4.9285049999999997E-2</v>
      </c>
      <c r="R771">
        <v>-2.951836E-2</v>
      </c>
      <c r="S771">
        <v>2.9924620000000002</v>
      </c>
      <c r="T771">
        <v>-1.0025859999999999E-2</v>
      </c>
      <c r="U771">
        <v>-0.44119259999999899</v>
      </c>
      <c r="V771">
        <v>3.4323310000000003E-2</v>
      </c>
      <c r="W771">
        <v>5.7503739999999998E-2</v>
      </c>
      <c r="X771">
        <v>0.99775510000000001</v>
      </c>
      <c r="Y771">
        <v>0.1506101</v>
      </c>
      <c r="Z771">
        <v>-2.6696009999999999E-4</v>
      </c>
      <c r="AA771">
        <v>0.98859319999999895</v>
      </c>
      <c r="AB771">
        <v>28</v>
      </c>
      <c r="AC771">
        <v>188.32310000000001</v>
      </c>
      <c r="AD771">
        <v>-0.63149290000000002</v>
      </c>
      <c r="AE771">
        <v>-27.7897</v>
      </c>
      <c r="AF771">
        <v>28.6941759470538</v>
      </c>
      <c r="AG771">
        <v>-0.63149290000000002</v>
      </c>
      <c r="AH771">
        <v>188.18529202097301</v>
      </c>
      <c r="AI771">
        <v>90.190069763628003</v>
      </c>
      <c r="AJ771">
        <v>81.330412856809602</v>
      </c>
      <c r="AK771">
        <v>190.36138959773899</v>
      </c>
      <c r="AL771">
        <v>86.703459934857193</v>
      </c>
      <c r="AM771">
        <v>88.029771430134304</v>
      </c>
      <c r="AN771">
        <v>1.00000000464967</v>
      </c>
    </row>
    <row r="772" spans="1:40" x14ac:dyDescent="0.25">
      <c r="A772" t="str">
        <f>"20190312153905045"</f>
        <v>20190312153905045</v>
      </c>
      <c r="B772" t="str">
        <f>"1552376345037280"</f>
        <v>1552376345037280</v>
      </c>
      <c r="C772" t="s">
        <v>40</v>
      </c>
      <c r="D772">
        <v>3.872922</v>
      </c>
      <c r="E772">
        <v>0.54531289999999999</v>
      </c>
      <c r="F772" t="s">
        <v>53</v>
      </c>
      <c r="G772">
        <v>-168.98220000000001</v>
      </c>
      <c r="H772">
        <v>0.57632349999999999</v>
      </c>
      <c r="I772">
        <v>340.37270000000001</v>
      </c>
      <c r="J772">
        <v>-357.14269999999999</v>
      </c>
      <c r="K772">
        <v>1.1095569999999999</v>
      </c>
      <c r="L772">
        <v>368.34800000000001</v>
      </c>
      <c r="M772">
        <v>0.99995449999999997</v>
      </c>
      <c r="N772">
        <v>0</v>
      </c>
      <c r="O772">
        <v>4.7795210000000001E-3</v>
      </c>
      <c r="P772">
        <v>0.99835700000000005</v>
      </c>
      <c r="Q772">
        <v>4.910395E-2</v>
      </c>
      <c r="R772">
        <v>-2.9530560000000001E-2</v>
      </c>
      <c r="S772">
        <v>2.9922789999999999</v>
      </c>
      <c r="T772">
        <v>-8.4724429999999996E-3</v>
      </c>
      <c r="U772">
        <v>-0.44448850000000001</v>
      </c>
      <c r="V772">
        <v>3.4308999999999999E-2</v>
      </c>
      <c r="W772">
        <v>5.7341410000000002E-2</v>
      </c>
      <c r="X772">
        <v>0.99776489999999995</v>
      </c>
      <c r="Y772">
        <v>0.1516585</v>
      </c>
      <c r="Z772">
        <v>-2.2699419999999999E-4</v>
      </c>
      <c r="AA772">
        <v>0.98843289999999995</v>
      </c>
      <c r="AB772">
        <v>28</v>
      </c>
      <c r="AC772">
        <v>188.16050000000001</v>
      </c>
      <c r="AD772">
        <v>-0.53323349999999903</v>
      </c>
      <c r="AE772">
        <v>-27.975300000000001</v>
      </c>
      <c r="AF772">
        <v>28.8741012765874</v>
      </c>
      <c r="AG772">
        <v>-0.53323349999999903</v>
      </c>
      <c r="AH772">
        <v>188.023160213258</v>
      </c>
      <c r="AI772">
        <v>90.160607601324102</v>
      </c>
      <c r="AJ772">
        <v>81.269478211098999</v>
      </c>
      <c r="AK772">
        <v>190.22803904544901</v>
      </c>
      <c r="AL772">
        <v>86.712776017504297</v>
      </c>
      <c r="AM772">
        <v>88.030611534779098</v>
      </c>
      <c r="AN772">
        <v>0.99999997022689802</v>
      </c>
    </row>
    <row r="773" spans="1:40" x14ac:dyDescent="0.25">
      <c r="A773" t="str">
        <f>"20190312153905066"</f>
        <v>20190312153905066</v>
      </c>
      <c r="B773" t="str">
        <f>"1552376345056800"</f>
        <v>1552376345056800</v>
      </c>
      <c r="C773" t="s">
        <v>40</v>
      </c>
      <c r="D773">
        <v>3.8622890000000001</v>
      </c>
      <c r="E773">
        <v>0.54573090000000002</v>
      </c>
      <c r="F773" t="s">
        <v>53</v>
      </c>
      <c r="G773">
        <v>-168.98220000000001</v>
      </c>
      <c r="H773">
        <v>0.60033419999999904</v>
      </c>
      <c r="I773">
        <v>340.32549999999998</v>
      </c>
      <c r="J773">
        <v>-356.88170000000002</v>
      </c>
      <c r="K773">
        <v>1.1095619999999999</v>
      </c>
      <c r="L773">
        <v>368.3492</v>
      </c>
      <c r="M773">
        <v>0.99995449999999997</v>
      </c>
      <c r="N773">
        <v>0</v>
      </c>
      <c r="O773">
        <v>4.7371979999999998E-3</v>
      </c>
      <c r="P773">
        <v>0.99836279999999999</v>
      </c>
      <c r="Q773">
        <v>4.9041439999999999E-2</v>
      </c>
      <c r="R773">
        <v>-2.9436449999999999E-2</v>
      </c>
      <c r="S773">
        <v>2.9921570000000002</v>
      </c>
      <c r="T773">
        <v>-8.0976490000000002E-3</v>
      </c>
      <c r="U773">
        <v>-0.44561770000000001</v>
      </c>
      <c r="V773">
        <v>3.4172849999999998E-2</v>
      </c>
      <c r="W773">
        <v>5.7308079999999997E-2</v>
      </c>
      <c r="X773">
        <v>0.99777150000000003</v>
      </c>
      <c r="Y773">
        <v>0.15198739999999999</v>
      </c>
      <c r="Z773">
        <v>-2.1728430000000001E-4</v>
      </c>
      <c r="AA773">
        <v>0.98838239999999999</v>
      </c>
      <c r="AB773">
        <v>28</v>
      </c>
      <c r="AC773">
        <v>187.89949999999999</v>
      </c>
      <c r="AD773">
        <v>-0.50922780000000001</v>
      </c>
      <c r="AE773">
        <v>-28.023700000000002</v>
      </c>
      <c r="AF773">
        <v>28.913325446750001</v>
      </c>
      <c r="AG773">
        <v>-0.50922780000000001</v>
      </c>
      <c r="AH773">
        <v>187.76328409259099</v>
      </c>
      <c r="AI773">
        <v>90.1535797836206</v>
      </c>
      <c r="AJ773">
        <v>81.245888838885705</v>
      </c>
      <c r="AK773">
        <v>189.97707902422599</v>
      </c>
      <c r="AL773">
        <v>86.714688873235303</v>
      </c>
      <c r="AM773">
        <v>88.038433598249895</v>
      </c>
      <c r="AN773">
        <v>0.99999998296132897</v>
      </c>
    </row>
    <row r="774" spans="1:40" x14ac:dyDescent="0.25">
      <c r="A774" t="str">
        <f>"20190312153905085"</f>
        <v>20190312153905085</v>
      </c>
      <c r="B774" t="str">
        <f>"1552376345077296"</f>
        <v>1552376345077296</v>
      </c>
      <c r="C774" t="s">
        <v>40</v>
      </c>
      <c r="D774">
        <v>3.8332190000000002</v>
      </c>
      <c r="E774">
        <v>0.54603239999999997</v>
      </c>
      <c r="F774" t="s">
        <v>53</v>
      </c>
      <c r="G774">
        <v>-168.98220000000001</v>
      </c>
      <c r="H774">
        <v>0.75874280000000005</v>
      </c>
      <c r="I774">
        <v>340.1585</v>
      </c>
      <c r="J774">
        <v>-356.64460000000003</v>
      </c>
      <c r="K774">
        <v>1.1095619999999999</v>
      </c>
      <c r="L774">
        <v>368.3503</v>
      </c>
      <c r="M774">
        <v>0.99995449999999997</v>
      </c>
      <c r="N774">
        <v>0</v>
      </c>
      <c r="O774">
        <v>4.6987060000000004E-3</v>
      </c>
      <c r="P774">
        <v>0.99836879999999995</v>
      </c>
      <c r="Q774">
        <v>4.9085009999999998E-2</v>
      </c>
      <c r="R774">
        <v>-2.916612E-2</v>
      </c>
      <c r="S774">
        <v>2.991943</v>
      </c>
      <c r="T774">
        <v>-5.5860279999999998E-3</v>
      </c>
      <c r="U774">
        <v>-0.44888309999999998</v>
      </c>
      <c r="V774">
        <v>3.3864030000000003E-2</v>
      </c>
      <c r="W774">
        <v>5.7376629999999998E-2</v>
      </c>
      <c r="X774">
        <v>0.9977781</v>
      </c>
      <c r="Y774">
        <v>0.15301500000000001</v>
      </c>
      <c r="Z774">
        <v>-1.5077109999999999E-4</v>
      </c>
      <c r="AA774">
        <v>0.98822390000000004</v>
      </c>
      <c r="AB774">
        <v>28</v>
      </c>
      <c r="AC774">
        <v>187.66239999999999</v>
      </c>
      <c r="AD774">
        <v>-0.3508192</v>
      </c>
      <c r="AE774">
        <v>-28.191800000000001</v>
      </c>
      <c r="AF774">
        <v>29.073190241851201</v>
      </c>
      <c r="AG774">
        <v>-0.3508192</v>
      </c>
      <c r="AH774">
        <v>187.52721781970899</v>
      </c>
      <c r="AI774">
        <v>90.105921380557405</v>
      </c>
      <c r="AJ774">
        <v>81.187336161538397</v>
      </c>
      <c r="AK774">
        <v>189.76783417679201</v>
      </c>
      <c r="AL774">
        <v>86.710754808975096</v>
      </c>
      <c r="AM774">
        <v>88.056159458081595</v>
      </c>
      <c r="AN774">
        <v>0.99999999351880398</v>
      </c>
    </row>
    <row r="775" spans="1:40" x14ac:dyDescent="0.25">
      <c r="A775" t="str">
        <f>"20190312153905118"</f>
        <v>20190312153905118</v>
      </c>
      <c r="B775" t="str">
        <f>"1552376345106577"</f>
        <v>1552376345106577</v>
      </c>
      <c r="C775" t="s">
        <v>40</v>
      </c>
      <c r="D775">
        <v>3.818006</v>
      </c>
      <c r="E775">
        <v>0.54645589999999999</v>
      </c>
      <c r="F775" t="s">
        <v>53</v>
      </c>
      <c r="G775">
        <v>-168.98230000000001</v>
      </c>
      <c r="H775">
        <v>0.90241579999999999</v>
      </c>
      <c r="I775">
        <v>340.11450000000002</v>
      </c>
      <c r="J775">
        <v>-356.22750000000002</v>
      </c>
      <c r="K775">
        <v>1.1095710000000001</v>
      </c>
      <c r="L775">
        <v>368.35219999999998</v>
      </c>
      <c r="M775">
        <v>0.99995460000000003</v>
      </c>
      <c r="N775">
        <v>0</v>
      </c>
      <c r="O775">
        <v>4.6311310000000001E-3</v>
      </c>
      <c r="P775">
        <v>0.99835819999999997</v>
      </c>
      <c r="Q775">
        <v>4.9211079999999997E-2</v>
      </c>
      <c r="R775">
        <v>-2.931369E-2</v>
      </c>
      <c r="S775">
        <v>2.9919129999999998</v>
      </c>
      <c r="T775">
        <v>-3.3024550000000001E-3</v>
      </c>
      <c r="U775">
        <v>-0.45016479999999998</v>
      </c>
      <c r="V775">
        <v>3.3944080000000001E-2</v>
      </c>
      <c r="W775">
        <v>5.7539920000000001E-2</v>
      </c>
      <c r="X775">
        <v>0.99776600000000004</v>
      </c>
      <c r="Y775">
        <v>0.1533639</v>
      </c>
      <c r="Z775" s="1">
        <v>-8.9251170000000002E-5</v>
      </c>
      <c r="AA775">
        <v>0.98816979999999999</v>
      </c>
      <c r="AB775">
        <v>28</v>
      </c>
      <c r="AC775">
        <v>187.24520000000001</v>
      </c>
      <c r="AD775">
        <v>-0.20715519999999901</v>
      </c>
      <c r="AE775">
        <v>-28.237699999999901</v>
      </c>
      <c r="AF775">
        <v>29.104549454998399</v>
      </c>
      <c r="AG775">
        <v>-0.20715519999999901</v>
      </c>
      <c r="AH775">
        <v>187.11219094156201</v>
      </c>
      <c r="AI775">
        <v>90.062679422112097</v>
      </c>
      <c r="AJ775">
        <v>81.158721014288901</v>
      </c>
      <c r="AK775">
        <v>189.362323895771</v>
      </c>
      <c r="AL775">
        <v>86.701383575879504</v>
      </c>
      <c r="AM775">
        <v>88.051544408157497</v>
      </c>
      <c r="AN775">
        <v>1.0000000168583201</v>
      </c>
    </row>
    <row r="776" spans="1:40" x14ac:dyDescent="0.25">
      <c r="A776" t="str">
        <f>"20190312153905140"</f>
        <v>20190312153905140</v>
      </c>
      <c r="B776" t="str">
        <f>"1552376345127071"</f>
        <v>1552376345127071</v>
      </c>
      <c r="C776" t="s">
        <v>40</v>
      </c>
      <c r="D776">
        <v>3.7913039999999998</v>
      </c>
      <c r="E776">
        <v>0.54676340000000001</v>
      </c>
      <c r="F776" t="s">
        <v>53</v>
      </c>
      <c r="G776">
        <v>-168.40049999999999</v>
      </c>
      <c r="H776">
        <v>1.113075</v>
      </c>
      <c r="I776">
        <v>339.82780000000002</v>
      </c>
      <c r="J776">
        <v>-355.94369999999998</v>
      </c>
      <c r="K776">
        <v>1.1095729999999999</v>
      </c>
      <c r="L776">
        <v>368.3535</v>
      </c>
      <c r="M776">
        <v>0.99995460000000003</v>
      </c>
      <c r="N776">
        <v>0</v>
      </c>
      <c r="O776">
        <v>4.5852920000000004E-3</v>
      </c>
      <c r="P776">
        <v>0.99834699999999998</v>
      </c>
      <c r="Q776">
        <v>4.938932E-2</v>
      </c>
      <c r="R776">
        <v>-2.9394110000000001E-2</v>
      </c>
      <c r="S776">
        <v>2.9915769999999999</v>
      </c>
      <c r="T776" s="1">
        <v>5.5909160000000001E-5</v>
      </c>
      <c r="U776">
        <v>-0.45431519999999997</v>
      </c>
      <c r="V776">
        <v>3.3978939999999999E-2</v>
      </c>
      <c r="W776">
        <v>5.7733189999999997E-2</v>
      </c>
      <c r="X776">
        <v>0.99775360000000002</v>
      </c>
      <c r="Y776">
        <v>0.15467520000000001</v>
      </c>
      <c r="Z776" s="1">
        <v>1.5223279999999999E-6</v>
      </c>
      <c r="AA776">
        <v>0.98796539999999999</v>
      </c>
      <c r="AB776">
        <v>28</v>
      </c>
      <c r="AC776">
        <v>187.54320000000001</v>
      </c>
      <c r="AD776">
        <v>3.5020000000001101E-3</v>
      </c>
      <c r="AE776">
        <v>-28.525699999999901</v>
      </c>
      <c r="AF776">
        <v>29.3853704289589</v>
      </c>
      <c r="AG776">
        <v>3.5020000000001101E-3</v>
      </c>
      <c r="AH776">
        <v>187.410425022075</v>
      </c>
      <c r="AI776">
        <v>89.9989422793671</v>
      </c>
      <c r="AJ776">
        <v>81.088756093477301</v>
      </c>
      <c r="AK776">
        <v>189.70020404434399</v>
      </c>
      <c r="AL776">
        <v>86.690291419721305</v>
      </c>
      <c r="AM776">
        <v>88.049520700397906</v>
      </c>
      <c r="AN776">
        <v>0.99999996795202895</v>
      </c>
    </row>
    <row r="777" spans="1:40" x14ac:dyDescent="0.25">
      <c r="A777" t="str">
        <f>"20190312153905162"</f>
        <v>20190312153905162</v>
      </c>
      <c r="B777" t="str">
        <f>"1552376345157328"</f>
        <v>1552376345157328</v>
      </c>
      <c r="C777" t="s">
        <v>40</v>
      </c>
      <c r="D777">
        <v>3.8503750000000001</v>
      </c>
      <c r="E777">
        <v>0.51258579999999998</v>
      </c>
      <c r="F777" t="s">
        <v>53</v>
      </c>
      <c r="G777">
        <v>-168.40049999999999</v>
      </c>
      <c r="H777">
        <v>1.291963</v>
      </c>
      <c r="I777">
        <v>339.68880000000001</v>
      </c>
      <c r="J777">
        <v>-355.6619</v>
      </c>
      <c r="K777">
        <v>1.1095729999999999</v>
      </c>
      <c r="L777">
        <v>368.35469999999998</v>
      </c>
      <c r="M777">
        <v>0.99995469999999997</v>
      </c>
      <c r="N777">
        <v>0</v>
      </c>
      <c r="O777">
        <v>4.540016E-3</v>
      </c>
      <c r="P777">
        <v>0.99833130000000003</v>
      </c>
      <c r="Q777">
        <v>4.9669140000000001E-2</v>
      </c>
      <c r="R777">
        <v>-2.9456840000000001E-2</v>
      </c>
      <c r="S777">
        <v>2.9913940000000001</v>
      </c>
      <c r="T777">
        <v>2.9093029999999998E-3</v>
      </c>
      <c r="U777">
        <v>-0.45721440000000002</v>
      </c>
      <c r="V777">
        <v>3.3996419999999999E-2</v>
      </c>
      <c r="W777">
        <v>5.8020240000000001E-2</v>
      </c>
      <c r="X777">
        <v>0.99773639999999997</v>
      </c>
      <c r="Y777">
        <v>0.15557509999999999</v>
      </c>
      <c r="Z777" s="1">
        <v>7.9606539999999994E-5</v>
      </c>
      <c r="AA777">
        <v>0.98782409999999998</v>
      </c>
      <c r="AB777">
        <v>28</v>
      </c>
      <c r="AC777">
        <v>187.26140000000001</v>
      </c>
      <c r="AD777">
        <v>0.18239</v>
      </c>
      <c r="AE777">
        <v>-28.665899999999901</v>
      </c>
      <c r="AF777">
        <v>29.5157766955097</v>
      </c>
      <c r="AG777">
        <v>0.18239</v>
      </c>
      <c r="AH777">
        <v>187.12914830859199</v>
      </c>
      <c r="AI777">
        <v>89.944837254556404</v>
      </c>
      <c r="AJ777">
        <v>81.036613784285194</v>
      </c>
      <c r="AK777">
        <v>189.44268918791801</v>
      </c>
      <c r="AL777">
        <v>86.673817204780605</v>
      </c>
      <c r="AM777">
        <v>88.048484463053299</v>
      </c>
      <c r="AN777">
        <v>1.00000001435371</v>
      </c>
    </row>
    <row r="778" spans="1:40" x14ac:dyDescent="0.25">
      <c r="A778" t="str">
        <f>"20190312153905185"</f>
        <v>20190312153905185</v>
      </c>
      <c r="B778" t="str">
        <f>"1552376345176848"</f>
        <v>1552376345176848</v>
      </c>
      <c r="C778" t="s">
        <v>40</v>
      </c>
      <c r="D778">
        <v>3.8640029999999999</v>
      </c>
      <c r="E778">
        <v>0.50262640000000003</v>
      </c>
      <c r="F778" t="s">
        <v>47</v>
      </c>
      <c r="G778">
        <v>-158.19499999999999</v>
      </c>
      <c r="H778">
        <v>2.141848</v>
      </c>
      <c r="I778">
        <v>356.16469999999998</v>
      </c>
      <c r="J778">
        <v>-355.3723</v>
      </c>
      <c r="K778">
        <v>1.109578</v>
      </c>
      <c r="L778">
        <v>368.35599999999999</v>
      </c>
      <c r="M778">
        <v>0.99995500000000004</v>
      </c>
      <c r="N778">
        <v>0</v>
      </c>
      <c r="O778">
        <v>4.4930940000000004E-3</v>
      </c>
      <c r="P778">
        <v>0.99829999999999997</v>
      </c>
      <c r="Q778">
        <v>5.0220300000000002E-2</v>
      </c>
      <c r="R778">
        <v>-2.9581489999999998E-2</v>
      </c>
      <c r="S778">
        <v>2.9987789999999999</v>
      </c>
      <c r="T778">
        <v>1.5677690000000001E-2</v>
      </c>
      <c r="U778">
        <v>-0.1851196</v>
      </c>
      <c r="V778">
        <v>3.4074109999999998E-2</v>
      </c>
      <c r="W778">
        <v>5.8574340000000003E-2</v>
      </c>
      <c r="X778">
        <v>0.99770130000000001</v>
      </c>
      <c r="Y778">
        <v>6.6097520000000007E-2</v>
      </c>
      <c r="Z778">
        <v>1.9608329999999999E-4</v>
      </c>
      <c r="AA778">
        <v>0.99781319999999996</v>
      </c>
      <c r="AB778">
        <v>28</v>
      </c>
      <c r="AC778">
        <v>197.1773</v>
      </c>
      <c r="AD778">
        <v>1.03226999999999</v>
      </c>
      <c r="AE778">
        <v>-12.1913</v>
      </c>
      <c r="AF778">
        <v>13.076786961372299</v>
      </c>
      <c r="AG778">
        <v>1.03226999999999</v>
      </c>
      <c r="AH778">
        <v>197.115149083777</v>
      </c>
      <c r="AI778">
        <v>89.700609241096501</v>
      </c>
      <c r="AJ778">
        <v>86.204510762957696</v>
      </c>
      <c r="AK778">
        <v>197.55113246171399</v>
      </c>
      <c r="AL778">
        <v>86.642015281129304</v>
      </c>
      <c r="AM778">
        <v>88.0439594813014</v>
      </c>
      <c r="AN778">
        <v>0.99999994115020696</v>
      </c>
    </row>
    <row r="779" spans="1:40" x14ac:dyDescent="0.25">
      <c r="A779" t="str">
        <f>"20190312153905208"</f>
        <v>20190312153905208</v>
      </c>
      <c r="B779" t="str">
        <f>"1552376345197344"</f>
        <v>1552376345197344</v>
      </c>
      <c r="C779" t="s">
        <v>40</v>
      </c>
      <c r="D779">
        <v>3.8444929999999999</v>
      </c>
      <c r="E779">
        <v>0.49917600000000001</v>
      </c>
      <c r="F779" t="s">
        <v>47</v>
      </c>
      <c r="G779">
        <v>-158.19499999999999</v>
      </c>
      <c r="H779">
        <v>2.6563539999999999</v>
      </c>
      <c r="I779">
        <v>361.36959999999999</v>
      </c>
      <c r="J779">
        <v>-355.09089999999998</v>
      </c>
      <c r="K779">
        <v>1.1095710000000001</v>
      </c>
      <c r="L779">
        <v>368.35719999999998</v>
      </c>
      <c r="M779">
        <v>0.99995509999999999</v>
      </c>
      <c r="N779">
        <v>0</v>
      </c>
      <c r="O779">
        <v>4.4475060000000004E-3</v>
      </c>
      <c r="P779">
        <v>0.99830419999999997</v>
      </c>
      <c r="Q779">
        <v>5.0300039999999997E-2</v>
      </c>
      <c r="R779">
        <v>-2.930197E-2</v>
      </c>
      <c r="S779">
        <v>3.0007630000000001</v>
      </c>
      <c r="T779">
        <v>2.3541090000000001E-2</v>
      </c>
      <c r="U779">
        <v>-0.10632320000000001</v>
      </c>
      <c r="V779">
        <v>3.3749109999999999E-2</v>
      </c>
      <c r="W779">
        <v>5.8652879999999998E-2</v>
      </c>
      <c r="X779">
        <v>0.99770780000000003</v>
      </c>
      <c r="Y779">
        <v>3.9853010000000001E-2</v>
      </c>
      <c r="Z779">
        <v>1.9115390000000001E-4</v>
      </c>
      <c r="AA779">
        <v>0.99920549999999997</v>
      </c>
      <c r="AB779">
        <v>28</v>
      </c>
      <c r="AC779">
        <v>196.89590000000001</v>
      </c>
      <c r="AD779">
        <v>1.546783</v>
      </c>
      <c r="AE779">
        <v>-6.98759999999998</v>
      </c>
      <c r="AF779">
        <v>7.8627726069810802</v>
      </c>
      <c r="AG779">
        <v>1.546783</v>
      </c>
      <c r="AH779">
        <v>196.85074082809501</v>
      </c>
      <c r="AI779">
        <v>89.550158127115196</v>
      </c>
      <c r="AJ779">
        <v>87.712661223882705</v>
      </c>
      <c r="AK779">
        <v>197.01378097810399</v>
      </c>
      <c r="AL779">
        <v>86.637507746967302</v>
      </c>
      <c r="AM779">
        <v>88.062614587167701</v>
      </c>
      <c r="AN779">
        <v>1.00000000846946</v>
      </c>
    </row>
    <row r="780" spans="1:40" x14ac:dyDescent="0.25">
      <c r="A780" t="str">
        <f>"20190312153905229"</f>
        <v>20190312153905229</v>
      </c>
      <c r="B780" t="str">
        <f>"1552376345216864"</f>
        <v>1552376345216864</v>
      </c>
      <c r="C780" t="s">
        <v>40</v>
      </c>
      <c r="D780">
        <v>3.8388960000000001</v>
      </c>
      <c r="E780">
        <v>0.49714730000000001</v>
      </c>
      <c r="F780" t="s">
        <v>47</v>
      </c>
      <c r="G780">
        <v>-158.19499999999999</v>
      </c>
      <c r="H780">
        <v>2.9620649999999999</v>
      </c>
      <c r="I780">
        <v>363.22410000000002</v>
      </c>
      <c r="J780">
        <v>-354.81139999999999</v>
      </c>
      <c r="K780">
        <v>1.1095680000000001</v>
      </c>
      <c r="L780">
        <v>368.35840000000002</v>
      </c>
      <c r="M780">
        <v>0.99995520000000004</v>
      </c>
      <c r="N780">
        <v>0</v>
      </c>
      <c r="O780">
        <v>4.402942E-3</v>
      </c>
      <c r="P780">
        <v>0.99830090000000005</v>
      </c>
      <c r="Q780">
        <v>5.0426470000000001E-2</v>
      </c>
      <c r="R780">
        <v>-2.919708E-2</v>
      </c>
      <c r="S780">
        <v>3.0013730000000001</v>
      </c>
      <c r="T780">
        <v>2.8239730000000001E-2</v>
      </c>
      <c r="U780">
        <v>-7.8247070000000002E-2</v>
      </c>
      <c r="V780">
        <v>3.3599669999999998E-2</v>
      </c>
      <c r="W780">
        <v>5.8774260000000002E-2</v>
      </c>
      <c r="X780">
        <v>0.99770570000000003</v>
      </c>
      <c r="Y780">
        <v>3.0461370000000002E-2</v>
      </c>
      <c r="Z780">
        <v>1.8469800000000001E-4</v>
      </c>
      <c r="AA780">
        <v>0.99953590000000003</v>
      </c>
      <c r="AB780">
        <v>28</v>
      </c>
      <c r="AC780">
        <v>196.6164</v>
      </c>
      <c r="AD780">
        <v>1.8524970000000001</v>
      </c>
      <c r="AE780">
        <v>-5.1342999999999899</v>
      </c>
      <c r="AF780">
        <v>5.9994390090638401</v>
      </c>
      <c r="AG780">
        <v>1.8524970000000001</v>
      </c>
      <c r="AH780">
        <v>196.57444884814799</v>
      </c>
      <c r="AI780">
        <v>89.460317837821606</v>
      </c>
      <c r="AJ780">
        <v>88.251879284968993</v>
      </c>
      <c r="AK780">
        <v>196.674703389917</v>
      </c>
      <c r="AL780">
        <v>86.630541164244704</v>
      </c>
      <c r="AM780">
        <v>88.071182717965499</v>
      </c>
      <c r="AN780">
        <v>1.0000000076375699</v>
      </c>
    </row>
    <row r="781" spans="1:40" x14ac:dyDescent="0.25">
      <c r="A781" t="str">
        <f>"20190312153905252"</f>
        <v>20190312153905252</v>
      </c>
      <c r="B781" t="str">
        <f>"1552376345247120"</f>
        <v>1552376345247120</v>
      </c>
      <c r="C781" t="s">
        <v>40</v>
      </c>
      <c r="D781">
        <v>3.8215430000000001</v>
      </c>
      <c r="E781">
        <v>0.49573119999999998</v>
      </c>
      <c r="F781" t="s">
        <v>47</v>
      </c>
      <c r="G781">
        <v>-158.19499999999999</v>
      </c>
      <c r="H781">
        <v>2.9455089999999999</v>
      </c>
      <c r="I781">
        <v>364.32679999999999</v>
      </c>
      <c r="J781">
        <v>-354.51780000000002</v>
      </c>
      <c r="K781">
        <v>1.1095710000000001</v>
      </c>
      <c r="L781">
        <v>368.3596</v>
      </c>
      <c r="M781">
        <v>0.9999557</v>
      </c>
      <c r="N781">
        <v>0</v>
      </c>
      <c r="O781">
        <v>4.3563600000000001E-3</v>
      </c>
      <c r="P781">
        <v>0.99830989999999997</v>
      </c>
      <c r="Q781">
        <v>5.0340049999999997E-2</v>
      </c>
      <c r="R781">
        <v>-2.9049720000000001E-2</v>
      </c>
      <c r="S781">
        <v>3.0019230000000001</v>
      </c>
      <c r="T781">
        <v>2.80323E-2</v>
      </c>
      <c r="U781">
        <v>-6.1553959999999998E-2</v>
      </c>
      <c r="V781">
        <v>3.340572E-2</v>
      </c>
      <c r="W781">
        <v>5.8681919999999999E-2</v>
      </c>
      <c r="X781">
        <v>0.99771759999999998</v>
      </c>
      <c r="Y781">
        <v>2.4854669999999999E-2</v>
      </c>
      <c r="Z781">
        <v>1.5671000000000001E-4</v>
      </c>
      <c r="AA781">
        <v>0.99969110000000005</v>
      </c>
      <c r="AB781">
        <v>29</v>
      </c>
      <c r="AC781">
        <v>196.3228</v>
      </c>
      <c r="AD781">
        <v>1.8359380000000001</v>
      </c>
      <c r="AE781">
        <v>-4.0327999999999999</v>
      </c>
      <c r="AF781">
        <v>4.8876170398339003</v>
      </c>
      <c r="AG781">
        <v>1.8359380000000001</v>
      </c>
      <c r="AH781">
        <v>196.28620945578601</v>
      </c>
      <c r="AI781">
        <v>89.464272917434499</v>
      </c>
      <c r="AJ781">
        <v>88.5736034508774</v>
      </c>
      <c r="AK781">
        <v>196.35563524174401</v>
      </c>
      <c r="AL781">
        <v>86.635840842154195</v>
      </c>
      <c r="AM781">
        <v>88.082331098972801</v>
      </c>
      <c r="AN781">
        <v>0.99999995960668098</v>
      </c>
    </row>
    <row r="782" spans="1:40" x14ac:dyDescent="0.25">
      <c r="A782" t="str">
        <f>"20190312153905274"</f>
        <v>20190312153905274</v>
      </c>
      <c r="B782" t="str">
        <f>"1552376345266640"</f>
        <v>1552376345266640</v>
      </c>
      <c r="C782" t="s">
        <v>40</v>
      </c>
      <c r="D782">
        <v>3.832255</v>
      </c>
      <c r="E782">
        <v>0.49522119999999997</v>
      </c>
      <c r="F782" t="s">
        <v>47</v>
      </c>
      <c r="G782">
        <v>-158.19499999999999</v>
      </c>
      <c r="H782">
        <v>2.8777620000000002</v>
      </c>
      <c r="I782">
        <v>365.10680000000002</v>
      </c>
      <c r="J782">
        <v>-354.22989999999999</v>
      </c>
      <c r="K782">
        <v>1.109564</v>
      </c>
      <c r="L782">
        <v>368.36090000000002</v>
      </c>
      <c r="M782">
        <v>0.99995579999999995</v>
      </c>
      <c r="N782">
        <v>0</v>
      </c>
      <c r="O782">
        <v>4.3111549999999997E-3</v>
      </c>
      <c r="P782">
        <v>0.99831110000000001</v>
      </c>
      <c r="Q782">
        <v>5.0211310000000002E-2</v>
      </c>
      <c r="R782">
        <v>-2.9226249999999999E-2</v>
      </c>
      <c r="S782">
        <v>3.0022579999999999</v>
      </c>
      <c r="T782">
        <v>2.7041320000000001E-2</v>
      </c>
      <c r="U782">
        <v>-4.974365E-2</v>
      </c>
      <c r="V782">
        <v>3.3537150000000002E-2</v>
      </c>
      <c r="W782">
        <v>5.8545779999999999E-2</v>
      </c>
      <c r="X782">
        <v>0.99772130000000003</v>
      </c>
      <c r="Y782">
        <v>2.087601E-2</v>
      </c>
      <c r="Z782">
        <v>1.3283540000000001E-4</v>
      </c>
      <c r="AA782">
        <v>0.99978210000000001</v>
      </c>
      <c r="AB782">
        <v>29</v>
      </c>
      <c r="AC782">
        <v>196.03489999999999</v>
      </c>
      <c r="AD782">
        <v>1.7681979999999899</v>
      </c>
      <c r="AE782">
        <v>-3.25409999999999</v>
      </c>
      <c r="AF782">
        <v>4.0989027158773901</v>
      </c>
      <c r="AG782">
        <v>1.7681979999999899</v>
      </c>
      <c r="AH782">
        <v>196.00310685244801</v>
      </c>
      <c r="AI782">
        <v>89.483245994265204</v>
      </c>
      <c r="AJ782">
        <v>88.801980216651501</v>
      </c>
      <c r="AK782">
        <v>196.05393498589501</v>
      </c>
      <c r="AL782">
        <v>86.643654896783701</v>
      </c>
      <c r="AM782">
        <v>88.074799107230604</v>
      </c>
      <c r="AN782">
        <v>1.0000000706298</v>
      </c>
    </row>
    <row r="783" spans="1:40" x14ac:dyDescent="0.25">
      <c r="A783" t="str">
        <f>"20190312153905297"</f>
        <v>20190312153905297</v>
      </c>
      <c r="B783" t="str">
        <f>"1552376345287137"</f>
        <v>1552376345287137</v>
      </c>
      <c r="C783" t="s">
        <v>40</v>
      </c>
      <c r="D783">
        <v>3.7666360000000001</v>
      </c>
      <c r="E783">
        <v>0.49469239999999998</v>
      </c>
      <c r="F783" t="s">
        <v>47</v>
      </c>
      <c r="G783">
        <v>-158.19499999999999</v>
      </c>
      <c r="H783">
        <v>2.9928970000000001</v>
      </c>
      <c r="I783">
        <v>365.34</v>
      </c>
      <c r="J783">
        <v>-353.94349999999997</v>
      </c>
      <c r="K783">
        <v>1.109564</v>
      </c>
      <c r="L783">
        <v>368.36200000000002</v>
      </c>
      <c r="M783">
        <v>0.99995630000000002</v>
      </c>
      <c r="N783">
        <v>0</v>
      </c>
      <c r="O783">
        <v>4.2667900000000003E-3</v>
      </c>
      <c r="P783">
        <v>0.99832089999999996</v>
      </c>
      <c r="Q783">
        <v>4.9802220000000001E-2</v>
      </c>
      <c r="R783">
        <v>-2.9590020000000002E-2</v>
      </c>
      <c r="S783">
        <v>3.0022890000000002</v>
      </c>
      <c r="T783">
        <v>2.8844709999999999E-2</v>
      </c>
      <c r="U783">
        <v>-4.6264649999999997E-2</v>
      </c>
      <c r="V783">
        <v>3.3856690000000002E-2</v>
      </c>
      <c r="W783">
        <v>5.8126869999999997E-2</v>
      </c>
      <c r="X783">
        <v>0.99773489999999998</v>
      </c>
      <c r="Y783">
        <v>1.967315E-2</v>
      </c>
      <c r="Z783">
        <v>1.354897E-4</v>
      </c>
      <c r="AA783">
        <v>0.99980650000000004</v>
      </c>
      <c r="AB783">
        <v>29</v>
      </c>
      <c r="AC783">
        <v>195.74850000000001</v>
      </c>
      <c r="AD783">
        <v>1.8833329999999999</v>
      </c>
      <c r="AE783">
        <v>-3.02199999999999</v>
      </c>
      <c r="AF783">
        <v>3.85686219467686</v>
      </c>
      <c r="AG783">
        <v>1.8833329999999999</v>
      </c>
      <c r="AH783">
        <v>195.715710786128</v>
      </c>
      <c r="AI783">
        <v>89.448778246242995</v>
      </c>
      <c r="AJ783">
        <v>88.871049615747793</v>
      </c>
      <c r="AK783">
        <v>195.762769130642</v>
      </c>
      <c r="AL783">
        <v>86.667697278209005</v>
      </c>
      <c r="AM783">
        <v>88.056496378970294</v>
      </c>
      <c r="AN783">
        <v>0.999999969575881</v>
      </c>
    </row>
    <row r="784" spans="1:40" x14ac:dyDescent="0.25">
      <c r="A784" t="str">
        <f>"20190312153905320"</f>
        <v>20190312153905320</v>
      </c>
      <c r="B784" t="str">
        <f>"1552376345306656"</f>
        <v>1552376345306656</v>
      </c>
      <c r="C784" t="s">
        <v>40</v>
      </c>
      <c r="D784">
        <v>3.771414</v>
      </c>
      <c r="E784">
        <v>0.49438019999999999</v>
      </c>
      <c r="F784" t="s">
        <v>47</v>
      </c>
      <c r="G784">
        <v>-158.19499999999999</v>
      </c>
      <c r="H784">
        <v>2.9183430000000001</v>
      </c>
      <c r="I784">
        <v>365.54270000000002</v>
      </c>
      <c r="J784">
        <v>-353.64879999999999</v>
      </c>
      <c r="K784">
        <v>1.1095660000000001</v>
      </c>
      <c r="L784">
        <v>368.36320000000001</v>
      </c>
      <c r="M784">
        <v>0.99995639999999997</v>
      </c>
      <c r="N784">
        <v>0</v>
      </c>
      <c r="O784">
        <v>4.2207640000000001E-3</v>
      </c>
      <c r="P784">
        <v>0.99833519999999998</v>
      </c>
      <c r="Q784">
        <v>4.9370490000000003E-2</v>
      </c>
      <c r="R784">
        <v>-2.982402E-2</v>
      </c>
      <c r="S784">
        <v>3.00238</v>
      </c>
      <c r="T784">
        <v>2.7744290000000001E-2</v>
      </c>
      <c r="U784">
        <v>-4.3243410000000003E-2</v>
      </c>
      <c r="V784">
        <v>3.4044570000000003E-2</v>
      </c>
      <c r="W784">
        <v>5.7685109999999998E-2</v>
      </c>
      <c r="X784">
        <v>0.99775420000000004</v>
      </c>
      <c r="Y784">
        <v>1.8620919999999999E-2</v>
      </c>
      <c r="Z784">
        <v>1.250313E-4</v>
      </c>
      <c r="AA784">
        <v>0.99982660000000001</v>
      </c>
      <c r="AB784">
        <v>29</v>
      </c>
      <c r="AC784">
        <v>195.4538</v>
      </c>
      <c r="AD784">
        <v>1.8087770000000001</v>
      </c>
      <c r="AE784">
        <v>-2.82049999999998</v>
      </c>
      <c r="AF784">
        <v>3.64515574844877</v>
      </c>
      <c r="AG784">
        <v>1.8087770000000001</v>
      </c>
      <c r="AH784">
        <v>195.42342102748501</v>
      </c>
      <c r="AI784">
        <v>89.469795860390093</v>
      </c>
      <c r="AJ784">
        <v>88.931408411703103</v>
      </c>
      <c r="AK784">
        <v>195.46578299219499</v>
      </c>
      <c r="AL784">
        <v>86.693050985583</v>
      </c>
      <c r="AM784">
        <v>88.045757460761095</v>
      </c>
      <c r="AN784">
        <v>1.0000000241399101</v>
      </c>
    </row>
    <row r="785" spans="1:40" x14ac:dyDescent="0.25">
      <c r="A785" t="str">
        <f>"20190312153905341"</f>
        <v>20190312153905341</v>
      </c>
      <c r="B785" t="str">
        <f>"1552376345336912"</f>
        <v>1552376345336912</v>
      </c>
      <c r="C785" t="s">
        <v>40</v>
      </c>
      <c r="D785">
        <v>3.802813</v>
      </c>
      <c r="E785">
        <v>0.49403720000000001</v>
      </c>
      <c r="F785" t="s">
        <v>47</v>
      </c>
      <c r="G785">
        <v>-158.19499999999999</v>
      </c>
      <c r="H785">
        <v>2.8980160000000001</v>
      </c>
      <c r="I785">
        <v>365.67329999999998</v>
      </c>
      <c r="J785">
        <v>-353.36779999999999</v>
      </c>
      <c r="K785">
        <v>1.109564</v>
      </c>
      <c r="L785">
        <v>368.36430000000001</v>
      </c>
      <c r="M785">
        <v>0.99995659999999997</v>
      </c>
      <c r="N785">
        <v>0</v>
      </c>
      <c r="O785">
        <v>4.1772290000000002E-3</v>
      </c>
      <c r="P785">
        <v>0.99834840000000002</v>
      </c>
      <c r="Q785">
        <v>4.8981619999999997E-2</v>
      </c>
      <c r="R785">
        <v>-3.0022320000000002E-2</v>
      </c>
      <c r="S785">
        <v>3.0024410000000001</v>
      </c>
      <c r="T785">
        <v>2.74744E-2</v>
      </c>
      <c r="U785">
        <v>-4.1320799999999998E-2</v>
      </c>
      <c r="V785">
        <v>3.4199670000000001E-2</v>
      </c>
      <c r="W785">
        <v>5.728714E-2</v>
      </c>
      <c r="X785">
        <v>0.99777179999999999</v>
      </c>
      <c r="Y785">
        <v>1.793703E-2</v>
      </c>
      <c r="Z785">
        <v>1.2028600000000001E-4</v>
      </c>
      <c r="AA785">
        <v>0.99983909999999998</v>
      </c>
      <c r="AB785">
        <v>29</v>
      </c>
      <c r="AC785">
        <v>195.1728</v>
      </c>
      <c r="AD785">
        <v>1.7884519999999999</v>
      </c>
      <c r="AE785">
        <v>-2.69100000000003</v>
      </c>
      <c r="AF785">
        <v>3.5059919347258401</v>
      </c>
      <c r="AG785">
        <v>1.7884519999999999</v>
      </c>
      <c r="AH785">
        <v>195.143472977632</v>
      </c>
      <c r="AI785">
        <v>89.474994738780197</v>
      </c>
      <c r="AJ785">
        <v>88.970721754413304</v>
      </c>
      <c r="AK785">
        <v>195.18315907314999</v>
      </c>
      <c r="AL785">
        <v>86.715890675081695</v>
      </c>
      <c r="AM785">
        <v>88.036895888954803</v>
      </c>
      <c r="AN785">
        <v>0.99999999935636397</v>
      </c>
    </row>
    <row r="786" spans="1:40" x14ac:dyDescent="0.25">
      <c r="A786" t="str">
        <f>"20190312153905364"</f>
        <v>20190312153905364</v>
      </c>
      <c r="B786" t="str">
        <f>"1552376345356432"</f>
        <v>1552376345356432</v>
      </c>
      <c r="C786" t="s">
        <v>40</v>
      </c>
      <c r="D786">
        <v>3.7750339999999998</v>
      </c>
      <c r="E786">
        <v>0.49383969999999999</v>
      </c>
      <c r="F786" t="s">
        <v>47</v>
      </c>
      <c r="G786">
        <v>-158.19499999999999</v>
      </c>
      <c r="H786">
        <v>2.974634</v>
      </c>
      <c r="I786">
        <v>365.80329999999998</v>
      </c>
      <c r="J786">
        <v>-353.07760000000002</v>
      </c>
      <c r="K786">
        <v>1.109564</v>
      </c>
      <c r="L786">
        <v>368.3655</v>
      </c>
      <c r="M786">
        <v>0.99995699999999998</v>
      </c>
      <c r="N786">
        <v>0</v>
      </c>
      <c r="O786">
        <v>4.1323159999999996E-3</v>
      </c>
      <c r="P786">
        <v>0.99835410000000002</v>
      </c>
      <c r="Q786">
        <v>4.8581829999999999E-2</v>
      </c>
      <c r="R786">
        <v>-3.0484879999999999E-2</v>
      </c>
      <c r="S786">
        <v>3.0024109999999999</v>
      </c>
      <c r="T786">
        <v>2.869236E-2</v>
      </c>
      <c r="U786">
        <v>-3.939819E-2</v>
      </c>
      <c r="V786">
        <v>3.4617090000000003E-2</v>
      </c>
      <c r="W786">
        <v>5.688058E-2</v>
      </c>
      <c r="X786">
        <v>0.99778069999999996</v>
      </c>
      <c r="Y786">
        <v>1.7252070000000001E-2</v>
      </c>
      <c r="Z786">
        <v>1.2191799999999999E-4</v>
      </c>
      <c r="AA786">
        <v>0.99985119999999905</v>
      </c>
      <c r="AB786">
        <v>29</v>
      </c>
      <c r="AC786">
        <v>194.8826</v>
      </c>
      <c r="AD786">
        <v>1.86507</v>
      </c>
      <c r="AE786">
        <v>-2.56220000000001</v>
      </c>
      <c r="AF786">
        <v>3.3672140148323102</v>
      </c>
      <c r="AG786">
        <v>1.86507</v>
      </c>
      <c r="AH786">
        <v>194.85250448650001</v>
      </c>
      <c r="AI786">
        <v>89.451680511845097</v>
      </c>
      <c r="AJ786">
        <v>89.009979618789302</v>
      </c>
      <c r="AK786">
        <v>194.89052085975899</v>
      </c>
      <c r="AL786">
        <v>86.739223007252207</v>
      </c>
      <c r="AM786">
        <v>88.0129722570816</v>
      </c>
      <c r="AN786">
        <v>1.00000003429684</v>
      </c>
    </row>
    <row r="787" spans="1:40" x14ac:dyDescent="0.25">
      <c r="A787" t="str">
        <f>"20190312153905386"</f>
        <v>20190312153905386</v>
      </c>
      <c r="B787" t="str">
        <f>"1552376345376928"</f>
        <v>1552376345376928</v>
      </c>
      <c r="C787" t="s">
        <v>40</v>
      </c>
      <c r="D787">
        <v>3.795887</v>
      </c>
      <c r="E787">
        <v>0.49365290000000001</v>
      </c>
      <c r="F787" t="s">
        <v>47</v>
      </c>
      <c r="G787">
        <v>-158.19499999999999</v>
      </c>
      <c r="H787">
        <v>2.9466939999999999</v>
      </c>
      <c r="I787">
        <v>365.82209999999998</v>
      </c>
      <c r="J787">
        <v>-352.78879999999998</v>
      </c>
      <c r="K787">
        <v>1.1095680000000001</v>
      </c>
      <c r="L787">
        <v>368.36669999999998</v>
      </c>
      <c r="M787">
        <v>0.99995719999999999</v>
      </c>
      <c r="N787">
        <v>0</v>
      </c>
      <c r="O787">
        <v>4.0877459999999997E-3</v>
      </c>
      <c r="P787">
        <v>0.99832790000000005</v>
      </c>
      <c r="Q787">
        <v>4.8733029999999997E-2</v>
      </c>
      <c r="R787">
        <v>-3.1092080000000001E-2</v>
      </c>
      <c r="S787">
        <v>3.00238</v>
      </c>
      <c r="T787">
        <v>2.8304340000000001E-2</v>
      </c>
      <c r="U787">
        <v>-3.9184570000000002E-2</v>
      </c>
      <c r="V787">
        <v>3.517998E-2</v>
      </c>
      <c r="W787">
        <v>5.7027679999999997E-2</v>
      </c>
      <c r="X787">
        <v>0.99775259999999999</v>
      </c>
      <c r="Y787">
        <v>1.7136539999999999E-2</v>
      </c>
      <c r="Z787">
        <v>1.193058E-4</v>
      </c>
      <c r="AA787">
        <v>0.99985310000000005</v>
      </c>
      <c r="AB787">
        <v>29</v>
      </c>
      <c r="AC787">
        <v>194.59379999999999</v>
      </c>
      <c r="AD787">
        <v>1.837126</v>
      </c>
      <c r="AE787">
        <v>-2.5446</v>
      </c>
      <c r="AF787">
        <v>3.33975854737244</v>
      </c>
      <c r="AG787">
        <v>1.837126</v>
      </c>
      <c r="AH787">
        <v>194.564433642805</v>
      </c>
      <c r="AI787">
        <v>89.459094687497895</v>
      </c>
      <c r="AJ787">
        <v>89.016596841072399</v>
      </c>
      <c r="AK787">
        <v>194.60176735538599</v>
      </c>
      <c r="AL787">
        <v>86.730781045501502</v>
      </c>
      <c r="AM787">
        <v>87.980631972274395</v>
      </c>
      <c r="AN787">
        <v>1.0000000190428699</v>
      </c>
    </row>
    <row r="788" spans="1:40" x14ac:dyDescent="0.25">
      <c r="A788" t="str">
        <f>"20190312153905409"</f>
        <v>20190312153905409</v>
      </c>
      <c r="B788" t="str">
        <f>"1552376345396448"</f>
        <v>1552376345396448</v>
      </c>
      <c r="C788" t="s">
        <v>40</v>
      </c>
      <c r="D788">
        <v>3.7741169999999999</v>
      </c>
      <c r="E788">
        <v>0.49342750000000002</v>
      </c>
      <c r="F788" t="s">
        <v>47</v>
      </c>
      <c r="G788">
        <v>-158.19499999999999</v>
      </c>
      <c r="H788">
        <v>3.0327009999999999</v>
      </c>
      <c r="I788">
        <v>365.80130000000003</v>
      </c>
      <c r="J788">
        <v>-352.49950000000001</v>
      </c>
      <c r="K788">
        <v>1.109569</v>
      </c>
      <c r="L788">
        <v>368.36779999999999</v>
      </c>
      <c r="M788">
        <v>0.99995730000000005</v>
      </c>
      <c r="N788">
        <v>0</v>
      </c>
      <c r="O788">
        <v>4.0431490000000002E-3</v>
      </c>
      <c r="P788">
        <v>0.99829109999999999</v>
      </c>
      <c r="Q788">
        <v>4.9564419999999998E-2</v>
      </c>
      <c r="R788">
        <v>-3.0953919999999999E-2</v>
      </c>
      <c r="S788">
        <v>3.0023499999999999</v>
      </c>
      <c r="T788">
        <v>2.9672980000000002E-2</v>
      </c>
      <c r="U788">
        <v>-3.95813E-2</v>
      </c>
      <c r="V788">
        <v>3.4997399999999998E-2</v>
      </c>
      <c r="W788">
        <v>5.7861719999999998E-2</v>
      </c>
      <c r="X788">
        <v>0.99771100000000001</v>
      </c>
      <c r="Y788">
        <v>1.7224090000000001E-2</v>
      </c>
      <c r="Z788">
        <v>1.2506750000000001E-4</v>
      </c>
      <c r="AA788">
        <v>0.99985159999999995</v>
      </c>
      <c r="AB788">
        <v>29</v>
      </c>
      <c r="AC788">
        <v>194.30449999999999</v>
      </c>
      <c r="AD788">
        <v>1.9231320000000001</v>
      </c>
      <c r="AE788">
        <v>-2.56649999999996</v>
      </c>
      <c r="AF788">
        <v>3.3517799048583501</v>
      </c>
      <c r="AG788">
        <v>1.9231320000000001</v>
      </c>
      <c r="AH788">
        <v>194.27350675572001</v>
      </c>
      <c r="AI788">
        <v>89.432926517402606</v>
      </c>
      <c r="AJ788">
        <v>89.011580146070997</v>
      </c>
      <c r="AK788">
        <v>194.311935537642</v>
      </c>
      <c r="AL788">
        <v>86.682915028246796</v>
      </c>
      <c r="AM788">
        <v>87.991019954591295</v>
      </c>
      <c r="AN788">
        <v>1.0000000180845501</v>
      </c>
    </row>
    <row r="789" spans="1:40" x14ac:dyDescent="0.25">
      <c r="A789" t="str">
        <f>"20190312153905430"</f>
        <v>20190312153905430</v>
      </c>
      <c r="B789" t="str">
        <f>"1552376345426704"</f>
        <v>1552376345426704</v>
      </c>
      <c r="C789" t="s">
        <v>40</v>
      </c>
      <c r="D789">
        <v>3.8308309999999999</v>
      </c>
      <c r="E789">
        <v>0.49329420000000002</v>
      </c>
      <c r="F789" t="s">
        <v>47</v>
      </c>
      <c r="G789">
        <v>-158.19499999999999</v>
      </c>
      <c r="H789">
        <v>3.2469239999999999</v>
      </c>
      <c r="I789">
        <v>365.96420000000001</v>
      </c>
      <c r="J789">
        <v>-352.21030000000002</v>
      </c>
      <c r="K789">
        <v>1.109575</v>
      </c>
      <c r="L789">
        <v>368.36900000000003</v>
      </c>
      <c r="M789">
        <v>0.9999574</v>
      </c>
      <c r="N789">
        <v>0</v>
      </c>
      <c r="O789">
        <v>3.997876E-3</v>
      </c>
      <c r="P789">
        <v>0.99826990000000004</v>
      </c>
      <c r="Q789">
        <v>5.0273619999999998E-2</v>
      </c>
      <c r="R789">
        <v>-3.0499100000000001E-2</v>
      </c>
      <c r="S789">
        <v>3.0023499999999999</v>
      </c>
      <c r="T789">
        <v>3.3027290000000001E-2</v>
      </c>
      <c r="U789">
        <v>-3.7139890000000002E-2</v>
      </c>
      <c r="V789">
        <v>3.4497180000000002E-2</v>
      </c>
      <c r="W789">
        <v>5.8579100000000002E-2</v>
      </c>
      <c r="X789">
        <v>0.99768659999999998</v>
      </c>
      <c r="Y789">
        <v>1.6365709999999999E-2</v>
      </c>
      <c r="Z789">
        <v>1.339864E-4</v>
      </c>
      <c r="AA789">
        <v>0.99986609999999998</v>
      </c>
      <c r="AB789">
        <v>29</v>
      </c>
      <c r="AC789">
        <v>194.0153</v>
      </c>
      <c r="AD789">
        <v>2.1373489999999999</v>
      </c>
      <c r="AE789">
        <v>-2.4048000000000198</v>
      </c>
      <c r="AF789">
        <v>3.1800708597590601</v>
      </c>
      <c r="AG789">
        <v>2.1373489999999999</v>
      </c>
      <c r="AH789">
        <v>193.98059693603901</v>
      </c>
      <c r="AI789">
        <v>89.368804546155303</v>
      </c>
      <c r="AJ789">
        <v>89.060791019791495</v>
      </c>
      <c r="AK789">
        <v>194.01843494648301</v>
      </c>
      <c r="AL789">
        <v>86.641742480665997</v>
      </c>
      <c r="AM789">
        <v>88.019663010237807</v>
      </c>
      <c r="AN789">
        <v>1.0000000591021501</v>
      </c>
    </row>
    <row r="790" spans="1:40" x14ac:dyDescent="0.25">
      <c r="A790" t="str">
        <f>"20190312153905453"</f>
        <v>20190312153905453</v>
      </c>
      <c r="B790" t="str">
        <f>"1552376345447200"</f>
        <v>1552376345447200</v>
      </c>
      <c r="C790" t="s">
        <v>40</v>
      </c>
      <c r="D790">
        <v>3.7983850000000001</v>
      </c>
      <c r="E790">
        <v>0.49315690000000001</v>
      </c>
      <c r="F790" t="s">
        <v>47</v>
      </c>
      <c r="G790">
        <v>-158.19499999999999</v>
      </c>
      <c r="H790">
        <v>3.5211410000000001</v>
      </c>
      <c r="I790">
        <v>366.10300000000001</v>
      </c>
      <c r="J790">
        <v>-351.91480000000001</v>
      </c>
      <c r="K790">
        <v>1.1095729999999999</v>
      </c>
      <c r="L790">
        <v>368.37009999999998</v>
      </c>
      <c r="M790">
        <v>0.99995750000000005</v>
      </c>
      <c r="N790">
        <v>0</v>
      </c>
      <c r="O790">
        <v>3.952405E-3</v>
      </c>
      <c r="P790">
        <v>0.99824369999999996</v>
      </c>
      <c r="Q790">
        <v>5.0930669999999997E-2</v>
      </c>
      <c r="R790">
        <v>-3.0260860000000001E-2</v>
      </c>
      <c r="S790">
        <v>3.0022579999999999</v>
      </c>
      <c r="T790">
        <v>3.7318709999999998E-2</v>
      </c>
      <c r="U790">
        <v>-3.5064699999999997E-2</v>
      </c>
      <c r="V790">
        <v>3.4213519999999997E-2</v>
      </c>
      <c r="W790">
        <v>5.924741E-2</v>
      </c>
      <c r="X790">
        <v>0.99765680000000001</v>
      </c>
      <c r="Y790">
        <v>1.562931E-2</v>
      </c>
      <c r="Z790">
        <v>1.4625829999999999E-4</v>
      </c>
      <c r="AA790">
        <v>0.99987789999999999</v>
      </c>
      <c r="AB790">
        <v>29</v>
      </c>
      <c r="AC790">
        <v>193.71979999999999</v>
      </c>
      <c r="AD790">
        <v>2.4115679999999999</v>
      </c>
      <c r="AE790">
        <v>-2.2670999999999699</v>
      </c>
      <c r="AF790">
        <v>3.0322981033626699</v>
      </c>
      <c r="AG790">
        <v>2.4115679999999999</v>
      </c>
      <c r="AH790">
        <v>193.67931537744499</v>
      </c>
      <c r="AI790">
        <v>89.2867147450647</v>
      </c>
      <c r="AJ790">
        <v>89.103034364816693</v>
      </c>
      <c r="AK790">
        <v>193.71806239244199</v>
      </c>
      <c r="AL790">
        <v>86.603384163990896</v>
      </c>
      <c r="AM790">
        <v>88.035875302461307</v>
      </c>
      <c r="AN790">
        <v>0.99999995556436805</v>
      </c>
    </row>
    <row r="791" spans="1:40" x14ac:dyDescent="0.25">
      <c r="A791" t="str">
        <f>"20190312153905477"</f>
        <v>20190312153905477</v>
      </c>
      <c r="B791" t="str">
        <f>"1552376345466721"</f>
        <v>1552376345466721</v>
      </c>
      <c r="C791" t="s">
        <v>40</v>
      </c>
      <c r="D791">
        <v>3.8169930000000001</v>
      </c>
      <c r="E791">
        <v>0.4931084</v>
      </c>
      <c r="F791" t="s">
        <v>47</v>
      </c>
      <c r="G791">
        <v>-158.19499999999999</v>
      </c>
      <c r="H791">
        <v>3.718439</v>
      </c>
      <c r="I791">
        <v>366.2296</v>
      </c>
      <c r="J791">
        <v>-351.59829999999999</v>
      </c>
      <c r="K791">
        <v>1.1095740000000001</v>
      </c>
      <c r="L791">
        <v>368.37130000000002</v>
      </c>
      <c r="M791">
        <v>0.9999576</v>
      </c>
      <c r="N791">
        <v>0</v>
      </c>
      <c r="O791">
        <v>3.9037009999999999E-3</v>
      </c>
      <c r="P791">
        <v>0.99825269999999999</v>
      </c>
      <c r="Q791">
        <v>5.0930610000000001E-2</v>
      </c>
      <c r="R791">
        <v>-2.996455E-2</v>
      </c>
      <c r="S791">
        <v>3.0021969999999998</v>
      </c>
      <c r="T791">
        <v>4.0432570000000001E-2</v>
      </c>
      <c r="U791">
        <v>-3.3172609999999998E-2</v>
      </c>
      <c r="V791">
        <v>3.3868809999999999E-2</v>
      </c>
      <c r="W791">
        <v>5.9262639999999998E-2</v>
      </c>
      <c r="X791">
        <v>0.99766770000000005</v>
      </c>
      <c r="Y791">
        <v>1.495057E-2</v>
      </c>
      <c r="Z791">
        <v>1.5323879999999999E-4</v>
      </c>
      <c r="AA791">
        <v>0.9998882</v>
      </c>
      <c r="AB791">
        <v>29</v>
      </c>
      <c r="AC791">
        <v>193.4033</v>
      </c>
      <c r="AD791">
        <v>2.6088650000000002</v>
      </c>
      <c r="AE791">
        <v>-2.1417000000000099</v>
      </c>
      <c r="AF791">
        <v>2.8961716732734302</v>
      </c>
      <c r="AG791">
        <v>2.6088650000000002</v>
      </c>
      <c r="AH791">
        <v>193.358286298357</v>
      </c>
      <c r="AI791">
        <v>89.227076710308296</v>
      </c>
      <c r="AJ791">
        <v>89.141872794127806</v>
      </c>
      <c r="AK791">
        <v>193.397572030227</v>
      </c>
      <c r="AL791">
        <v>86.6025101582876</v>
      </c>
      <c r="AM791">
        <v>88.055670323332507</v>
      </c>
      <c r="AN791">
        <v>0.99999999820693697</v>
      </c>
    </row>
    <row r="792" spans="1:40" x14ac:dyDescent="0.25">
      <c r="A792" t="str">
        <f>"20190312153905498"</f>
        <v>20190312153905498</v>
      </c>
      <c r="B792" t="str">
        <f>"1552376345487217"</f>
        <v>1552376345487217</v>
      </c>
      <c r="C792" t="s">
        <v>40</v>
      </c>
      <c r="D792">
        <v>3.8262740000000002</v>
      </c>
      <c r="E792">
        <v>0.49307069999999997</v>
      </c>
      <c r="F792" t="s">
        <v>47</v>
      </c>
      <c r="G792">
        <v>-158.19499999999999</v>
      </c>
      <c r="H792">
        <v>3.79671</v>
      </c>
      <c r="I792">
        <v>366.29719999999998</v>
      </c>
      <c r="J792">
        <v>-351.3236</v>
      </c>
      <c r="K792">
        <v>1.109575</v>
      </c>
      <c r="L792">
        <v>368.3723</v>
      </c>
      <c r="M792">
        <v>0.99995750000000005</v>
      </c>
      <c r="N792">
        <v>0</v>
      </c>
      <c r="O792">
        <v>3.8609040000000001E-3</v>
      </c>
      <c r="P792">
        <v>0.99826040000000005</v>
      </c>
      <c r="Q792">
        <v>5.0741099999999997E-2</v>
      </c>
      <c r="R792">
        <v>-3.002264E-2</v>
      </c>
      <c r="S792">
        <v>3.0021360000000001</v>
      </c>
      <c r="T792">
        <v>4.1712880000000001E-2</v>
      </c>
      <c r="U792">
        <v>-3.2196040000000002E-2</v>
      </c>
      <c r="V792">
        <v>3.388414E-2</v>
      </c>
      <c r="W792">
        <v>5.908795E-2</v>
      </c>
      <c r="X792">
        <v>0.99767760000000005</v>
      </c>
      <c r="Y792">
        <v>1.458272E-2</v>
      </c>
      <c r="Z792">
        <v>1.549442E-4</v>
      </c>
      <c r="AA792">
        <v>0.9998937</v>
      </c>
      <c r="AB792">
        <v>29</v>
      </c>
      <c r="AC792">
        <v>193.12860000000001</v>
      </c>
      <c r="AD792">
        <v>2.6871350000000001</v>
      </c>
      <c r="AE792">
        <v>-2.0751000000000199</v>
      </c>
      <c r="AF792">
        <v>2.8202157439587099</v>
      </c>
      <c r="AG792">
        <v>2.6871350000000001</v>
      </c>
      <c r="AH792">
        <v>193.08177377509099</v>
      </c>
      <c r="AI792">
        <v>89.202746406509803</v>
      </c>
      <c r="AJ792">
        <v>89.163178551007704</v>
      </c>
      <c r="AK792">
        <v>193.12106481553499</v>
      </c>
      <c r="AL792">
        <v>86.612536928470405</v>
      </c>
      <c r="AM792">
        <v>88.054810227168602</v>
      </c>
      <c r="AN792">
        <v>1.0000000571602401</v>
      </c>
    </row>
    <row r="793" spans="1:40" x14ac:dyDescent="0.25">
      <c r="A793" t="str">
        <f>"20190312153905521"</f>
        <v>20190312153905521</v>
      </c>
      <c r="B793" t="str">
        <f>"1552376345516496"</f>
        <v>1552376345516496</v>
      </c>
      <c r="C793" t="s">
        <v>40</v>
      </c>
      <c r="D793">
        <v>3.7869709999999999</v>
      </c>
      <c r="E793">
        <v>0.49301210000000001</v>
      </c>
      <c r="F793" t="s">
        <v>47</v>
      </c>
      <c r="G793">
        <v>-158.19499999999999</v>
      </c>
      <c r="H793">
        <v>3.780646</v>
      </c>
      <c r="I793">
        <v>366.31880000000001</v>
      </c>
      <c r="J793">
        <v>-351.02820000000003</v>
      </c>
      <c r="K793">
        <v>1.1095790000000001</v>
      </c>
      <c r="L793">
        <v>368.3734</v>
      </c>
      <c r="M793">
        <v>0.99995769999999995</v>
      </c>
      <c r="N793">
        <v>0</v>
      </c>
      <c r="O793">
        <v>3.815054E-3</v>
      </c>
      <c r="P793">
        <v>0.99827060000000001</v>
      </c>
      <c r="Q793">
        <v>5.0795559999999997E-2</v>
      </c>
      <c r="R793">
        <v>-2.959751E-2</v>
      </c>
      <c r="S793">
        <v>3.0021969999999998</v>
      </c>
      <c r="T793">
        <v>4.1523339999999999E-2</v>
      </c>
      <c r="U793">
        <v>-3.1921390000000001E-2</v>
      </c>
      <c r="V793">
        <v>3.3413249999999999E-2</v>
      </c>
      <c r="W793">
        <v>5.9158879999999997E-2</v>
      </c>
      <c r="X793">
        <v>0.99768920000000005</v>
      </c>
      <c r="Y793">
        <v>1.444522E-2</v>
      </c>
      <c r="Z793">
        <v>1.5265219999999999E-4</v>
      </c>
      <c r="AA793">
        <v>0.9998956</v>
      </c>
      <c r="AB793">
        <v>29</v>
      </c>
      <c r="AC793">
        <v>192.83320000000001</v>
      </c>
      <c r="AD793">
        <v>2.6710669999999999</v>
      </c>
      <c r="AE793">
        <v>-2.05459999999999</v>
      </c>
      <c r="AF793">
        <v>2.7897446775500701</v>
      </c>
      <c r="AG793">
        <v>2.6710669999999999</v>
      </c>
      <c r="AH793">
        <v>192.78697216206399</v>
      </c>
      <c r="AI793">
        <v>89.206299808629595</v>
      </c>
      <c r="AJ793">
        <v>89.170953105603999</v>
      </c>
      <c r="AK793">
        <v>192.82565677238301</v>
      </c>
      <c r="AL793">
        <v>86.608465552259204</v>
      </c>
      <c r="AM793">
        <v>88.081844599677893</v>
      </c>
      <c r="AN793">
        <v>0.99999997907752802</v>
      </c>
    </row>
    <row r="794" spans="1:40" x14ac:dyDescent="0.25">
      <c r="A794" t="str">
        <f>"20190312153905543"</f>
        <v>20190312153905543</v>
      </c>
      <c r="B794" t="str">
        <f>"1552376345536993"</f>
        <v>1552376345536993</v>
      </c>
      <c r="C794" t="s">
        <v>40</v>
      </c>
      <c r="D794">
        <v>3.8250630000000001</v>
      </c>
      <c r="E794">
        <v>0.49300840000000001</v>
      </c>
      <c r="F794" t="s">
        <v>47</v>
      </c>
      <c r="G794">
        <v>-158.19499999999999</v>
      </c>
      <c r="H794">
        <v>3.818238</v>
      </c>
      <c r="I794">
        <v>366.42500000000001</v>
      </c>
      <c r="J794">
        <v>-350.73289999999997</v>
      </c>
      <c r="K794">
        <v>1.1095790000000001</v>
      </c>
      <c r="L794">
        <v>368.37450000000001</v>
      </c>
      <c r="M794">
        <v>0.9999576</v>
      </c>
      <c r="N794">
        <v>0</v>
      </c>
      <c r="O794">
        <v>3.769737E-3</v>
      </c>
      <c r="P794">
        <v>0.99825079999999999</v>
      </c>
      <c r="Q794">
        <v>5.120301E-2</v>
      </c>
      <c r="R794">
        <v>-2.9554440000000001E-2</v>
      </c>
      <c r="S794">
        <v>3.002167</v>
      </c>
      <c r="T794">
        <v>4.2171720000000003E-2</v>
      </c>
      <c r="U794">
        <v>-3.0334469999999999E-2</v>
      </c>
      <c r="V794">
        <v>3.3325229999999997E-2</v>
      </c>
      <c r="W794">
        <v>5.9583940000000002E-2</v>
      </c>
      <c r="X794">
        <v>0.99766690000000002</v>
      </c>
      <c r="Y794">
        <v>1.387154E-2</v>
      </c>
      <c r="Z794">
        <v>1.503721E-4</v>
      </c>
      <c r="AA794">
        <v>0.99990380000000001</v>
      </c>
      <c r="AB794">
        <v>29</v>
      </c>
      <c r="AC794">
        <v>192.53790000000001</v>
      </c>
      <c r="AD794">
        <v>2.7086589999999902</v>
      </c>
      <c r="AE794">
        <v>-1.9495</v>
      </c>
      <c r="AF794">
        <v>2.6747996848442499</v>
      </c>
      <c r="AG794">
        <v>2.7086589999999902</v>
      </c>
      <c r="AH794">
        <v>192.49108971777599</v>
      </c>
      <c r="AI794">
        <v>89.193887318539296</v>
      </c>
      <c r="AJ794">
        <v>89.203885902808807</v>
      </c>
      <c r="AK794">
        <v>192.52872774645601</v>
      </c>
      <c r="AL794">
        <v>86.584068544487096</v>
      </c>
      <c r="AM794">
        <v>88.0868510762906</v>
      </c>
      <c r="AN794">
        <v>1.0000000301080401</v>
      </c>
    </row>
    <row r="795" spans="1:40" x14ac:dyDescent="0.25">
      <c r="A795" t="str">
        <f>"20190312153905567"</f>
        <v>20190312153905567</v>
      </c>
      <c r="B795" t="str">
        <f>"1552376345556513"</f>
        <v>1552376345556513</v>
      </c>
      <c r="C795" t="s">
        <v>40</v>
      </c>
      <c r="D795">
        <v>3.8060290000000001</v>
      </c>
      <c r="E795">
        <v>0.49297920000000001</v>
      </c>
      <c r="F795" t="s">
        <v>47</v>
      </c>
      <c r="G795">
        <v>-158.19499999999999</v>
      </c>
      <c r="H795">
        <v>3.9216790000000001</v>
      </c>
      <c r="I795">
        <v>366.44659999999999</v>
      </c>
      <c r="J795">
        <v>-350.41660000000002</v>
      </c>
      <c r="K795">
        <v>1.1095820000000001</v>
      </c>
      <c r="L795">
        <v>368.37560000000002</v>
      </c>
      <c r="M795">
        <v>0.9999576</v>
      </c>
      <c r="N795">
        <v>0</v>
      </c>
      <c r="O795">
        <v>3.7206560000000001E-3</v>
      </c>
      <c r="P795">
        <v>0.9982394</v>
      </c>
      <c r="Q795">
        <v>5.1611129999999998E-2</v>
      </c>
      <c r="R795">
        <v>-2.9231670000000001E-2</v>
      </c>
      <c r="S795">
        <v>3.0021059999999999</v>
      </c>
      <c r="T795">
        <v>4.3848400000000003E-2</v>
      </c>
      <c r="U795">
        <v>-3.0059809999999999E-2</v>
      </c>
      <c r="V795">
        <v>3.2953450000000002E-2</v>
      </c>
      <c r="W795">
        <v>6.0012309999999999E-2</v>
      </c>
      <c r="X795">
        <v>0.99765349999999997</v>
      </c>
      <c r="Y795">
        <v>1.373108E-2</v>
      </c>
      <c r="Z795">
        <v>1.5461070000000001E-4</v>
      </c>
      <c r="AA795">
        <v>0.99990570000000001</v>
      </c>
      <c r="AB795">
        <v>30</v>
      </c>
      <c r="AC795">
        <v>192.2216</v>
      </c>
      <c r="AD795">
        <v>2.8120970000000001</v>
      </c>
      <c r="AE795">
        <v>-1.92900000000003</v>
      </c>
      <c r="AF795">
        <v>2.6436367344409999</v>
      </c>
      <c r="AG795">
        <v>2.8120970000000001</v>
      </c>
      <c r="AH795">
        <v>192.17196733317601</v>
      </c>
      <c r="AI795">
        <v>89.161716702106901</v>
      </c>
      <c r="AJ795">
        <v>89.211853447071306</v>
      </c>
      <c r="AK795">
        <v>192.21072221243099</v>
      </c>
      <c r="AL795">
        <v>86.559480498819696</v>
      </c>
      <c r="AM795">
        <v>88.108153391861293</v>
      </c>
      <c r="AN795">
        <v>0.99999995664034302</v>
      </c>
    </row>
    <row r="796" spans="1:40" x14ac:dyDescent="0.25">
      <c r="A796" t="str">
        <f>"20190312153905586"</f>
        <v>20190312153905586</v>
      </c>
      <c r="B796" t="str">
        <f>"1552376345577010"</f>
        <v>1552376345577010</v>
      </c>
      <c r="C796" t="s">
        <v>40</v>
      </c>
      <c r="D796">
        <v>3.7688760000000001</v>
      </c>
      <c r="E796">
        <v>0.49298999999999998</v>
      </c>
      <c r="F796" t="s">
        <v>47</v>
      </c>
      <c r="G796">
        <v>-158.19499999999999</v>
      </c>
      <c r="H796">
        <v>4.0282549999999997</v>
      </c>
      <c r="I796">
        <v>366.51339999999999</v>
      </c>
      <c r="J796">
        <v>-350.15120000000002</v>
      </c>
      <c r="K796">
        <v>1.1095889999999999</v>
      </c>
      <c r="L796">
        <v>368.3766</v>
      </c>
      <c r="M796">
        <v>0.99995769999999995</v>
      </c>
      <c r="N796">
        <v>0</v>
      </c>
      <c r="O796">
        <v>3.6798569999999999E-3</v>
      </c>
      <c r="P796">
        <v>0.99823759999999995</v>
      </c>
      <c r="Q796">
        <v>5.1955469999999997E-2</v>
      </c>
      <c r="R796">
        <v>-2.867803E-2</v>
      </c>
      <c r="S796">
        <v>3.0020449999999999</v>
      </c>
      <c r="T796">
        <v>4.5584079999999999E-2</v>
      </c>
      <c r="U796">
        <v>-2.9083250000000001E-2</v>
      </c>
      <c r="V796">
        <v>3.2359190000000003E-2</v>
      </c>
      <c r="W796">
        <v>6.0376449999999998E-2</v>
      </c>
      <c r="X796">
        <v>0.99765099999999995</v>
      </c>
      <c r="Y796">
        <v>1.3365149999999999E-2</v>
      </c>
      <c r="Z796">
        <v>1.5733610000000001E-4</v>
      </c>
      <c r="AA796">
        <v>0.99991070000000004</v>
      </c>
      <c r="AB796">
        <v>30</v>
      </c>
      <c r="AC796">
        <v>191.9562</v>
      </c>
      <c r="AD796">
        <v>2.918666</v>
      </c>
      <c r="AE796">
        <v>-1.8632</v>
      </c>
      <c r="AF796">
        <v>2.5689899851663802</v>
      </c>
      <c r="AG796">
        <v>2.918666</v>
      </c>
      <c r="AH796">
        <v>191.90368210774699</v>
      </c>
      <c r="AI796">
        <v>89.128732858209901</v>
      </c>
      <c r="AJ796">
        <v>89.233034559861395</v>
      </c>
      <c r="AK796">
        <v>191.94306845331701</v>
      </c>
      <c r="AL796">
        <v>86.538578976084494</v>
      </c>
      <c r="AM796">
        <v>88.142240883373205</v>
      </c>
      <c r="AN796">
        <v>0.99999997534652796</v>
      </c>
    </row>
    <row r="797" spans="1:40" x14ac:dyDescent="0.25">
      <c r="A797" t="str">
        <f>"20190312153905608"</f>
        <v>20190312153905608</v>
      </c>
      <c r="B797" t="str">
        <f>"1552376345596529"</f>
        <v>1552376345596529</v>
      </c>
      <c r="C797" t="s">
        <v>40</v>
      </c>
      <c r="D797">
        <v>3.811207</v>
      </c>
      <c r="E797">
        <v>0.49302430000000003</v>
      </c>
      <c r="F797" t="s">
        <v>47</v>
      </c>
      <c r="G797">
        <v>-158.19499999999999</v>
      </c>
      <c r="H797">
        <v>4.1022930000000004</v>
      </c>
      <c r="I797">
        <v>366.62040000000002</v>
      </c>
      <c r="J797">
        <v>-349.86720000000003</v>
      </c>
      <c r="K797">
        <v>1.1095900000000001</v>
      </c>
      <c r="L797">
        <v>368.37759999999997</v>
      </c>
      <c r="M797">
        <v>0.99995750000000005</v>
      </c>
      <c r="N797">
        <v>0</v>
      </c>
      <c r="O797">
        <v>3.6361789999999998E-3</v>
      </c>
      <c r="P797">
        <v>0.9982278</v>
      </c>
      <c r="Q797">
        <v>5.2143160000000001E-2</v>
      </c>
      <c r="R797">
        <v>-2.8675630000000001E-2</v>
      </c>
      <c r="S797">
        <v>3.002075</v>
      </c>
      <c r="T797">
        <v>4.6805380000000001E-2</v>
      </c>
      <c r="U797">
        <v>-2.7465819999999998E-2</v>
      </c>
      <c r="V797">
        <v>3.231316E-2</v>
      </c>
      <c r="W797">
        <v>6.0588719999999999E-2</v>
      </c>
      <c r="X797">
        <v>0.99763970000000002</v>
      </c>
      <c r="Y797">
        <v>1.2782669999999999E-2</v>
      </c>
      <c r="Z797">
        <v>1.5632849999999999E-4</v>
      </c>
      <c r="AA797">
        <v>0.99991830000000004</v>
      </c>
      <c r="AB797">
        <v>30</v>
      </c>
      <c r="AC797">
        <v>191.6722</v>
      </c>
      <c r="AD797">
        <v>2.9927030000000001</v>
      </c>
      <c r="AE797">
        <v>-1.7571999999999499</v>
      </c>
      <c r="AF797">
        <v>2.45356972877918</v>
      </c>
      <c r="AG797">
        <v>2.9927030000000001</v>
      </c>
      <c r="AH797">
        <v>191.61783321324401</v>
      </c>
      <c r="AI797">
        <v>89.105295905514495</v>
      </c>
      <c r="AJ797">
        <v>89.266396526323703</v>
      </c>
      <c r="AK797">
        <v>191.65690773097401</v>
      </c>
      <c r="AL797">
        <v>86.526394761075593</v>
      </c>
      <c r="AM797">
        <v>88.144860645743904</v>
      </c>
      <c r="AN797">
        <v>1.0000000521582499</v>
      </c>
    </row>
    <row r="798" spans="1:40" x14ac:dyDescent="0.25">
      <c r="A798" t="str">
        <f>"20190312153905633"</f>
        <v>20190312153905633</v>
      </c>
      <c r="B798" t="str">
        <f>"1552376345626784"</f>
        <v>1552376345626784</v>
      </c>
      <c r="C798" t="s">
        <v>40</v>
      </c>
      <c r="D798">
        <v>3.7690800000000002</v>
      </c>
      <c r="E798">
        <v>0.49307469999999998</v>
      </c>
      <c r="F798" t="s">
        <v>47</v>
      </c>
      <c r="G798">
        <v>-158.19499999999999</v>
      </c>
      <c r="H798">
        <v>4.1360669999999997</v>
      </c>
      <c r="I798">
        <v>366.60640000000001</v>
      </c>
      <c r="J798">
        <v>-349.55869999999999</v>
      </c>
      <c r="K798">
        <v>1.1095900000000001</v>
      </c>
      <c r="L798">
        <v>368.37869999999998</v>
      </c>
      <c r="M798">
        <v>0.9999574</v>
      </c>
      <c r="N798">
        <v>0</v>
      </c>
      <c r="O798">
        <v>3.5882549999999998E-3</v>
      </c>
      <c r="P798">
        <v>0.9982143</v>
      </c>
      <c r="Q798">
        <v>5.2445840000000001E-2</v>
      </c>
      <c r="R798">
        <v>-2.859486E-2</v>
      </c>
      <c r="S798">
        <v>3.0020449999999999</v>
      </c>
      <c r="T798">
        <v>4.7403220000000003E-2</v>
      </c>
      <c r="U798">
        <v>-2.7740480000000001E-2</v>
      </c>
      <c r="V798">
        <v>3.2184459999999998E-2</v>
      </c>
      <c r="W798">
        <v>6.0919519999999998E-2</v>
      </c>
      <c r="X798">
        <v>0.9976237</v>
      </c>
      <c r="Y798">
        <v>1.2826260000000001E-2</v>
      </c>
      <c r="Z798">
        <v>1.5791399999999999E-4</v>
      </c>
      <c r="AA798">
        <v>0.99991770000000002</v>
      </c>
      <c r="AB798">
        <v>30</v>
      </c>
      <c r="AC798">
        <v>191.36369999999999</v>
      </c>
      <c r="AD798">
        <v>3.0264769999999999</v>
      </c>
      <c r="AE798">
        <v>-1.77229999999997</v>
      </c>
      <c r="AF798">
        <v>2.45836033215762</v>
      </c>
      <c r="AG798">
        <v>3.0264769999999999</v>
      </c>
      <c r="AH798">
        <v>191.308261540367</v>
      </c>
      <c r="AI798">
        <v>89.093737081450499</v>
      </c>
      <c r="AJ798">
        <v>89.263775028974607</v>
      </c>
      <c r="AK798">
        <v>191.347991973137</v>
      </c>
      <c r="AL798">
        <v>86.5074061891235</v>
      </c>
      <c r="AM798">
        <v>88.152214729222905</v>
      </c>
      <c r="AN798">
        <v>1.0000000370921001</v>
      </c>
    </row>
    <row r="799" spans="1:40" x14ac:dyDescent="0.25">
      <c r="A799" t="str">
        <f>"20190312153905645"</f>
        <v>20190312153905645</v>
      </c>
      <c r="B799" t="str">
        <f>"1552376345636545"</f>
        <v>1552376345636545</v>
      </c>
      <c r="C799" t="s">
        <v>40</v>
      </c>
      <c r="D799">
        <v>3.764386</v>
      </c>
      <c r="E799">
        <v>0.49310900000000002</v>
      </c>
      <c r="F799" t="s">
        <v>47</v>
      </c>
      <c r="G799">
        <v>-158.19499999999999</v>
      </c>
      <c r="H799">
        <v>4.1793959999999997</v>
      </c>
      <c r="I799">
        <v>366.61430000000001</v>
      </c>
      <c r="J799">
        <v>-349.37670000000003</v>
      </c>
      <c r="K799">
        <v>1.109586</v>
      </c>
      <c r="L799">
        <v>368.3793</v>
      </c>
      <c r="M799">
        <v>0.9999574</v>
      </c>
      <c r="N799">
        <v>0</v>
      </c>
      <c r="O799">
        <v>3.560222E-3</v>
      </c>
      <c r="P799">
        <v>0.99822259999999996</v>
      </c>
      <c r="Q799">
        <v>5.2335550000000002E-2</v>
      </c>
      <c r="R799">
        <v>-2.8504729999999999E-2</v>
      </c>
      <c r="S799">
        <v>3.0020449999999999</v>
      </c>
      <c r="T799">
        <v>4.8159359999999998E-2</v>
      </c>
      <c r="U799">
        <v>-2.767944E-2</v>
      </c>
      <c r="V799">
        <v>3.2066589999999999E-2</v>
      </c>
      <c r="W799">
        <v>6.0827649999999997E-2</v>
      </c>
      <c r="X799">
        <v>0.99763299999999999</v>
      </c>
      <c r="Y799">
        <v>1.277784E-2</v>
      </c>
      <c r="Z799">
        <v>1.59594599999999E-4</v>
      </c>
      <c r="AA799">
        <v>0.99991830000000004</v>
      </c>
      <c r="AB799">
        <v>30</v>
      </c>
      <c r="AC799">
        <v>191.18170000000001</v>
      </c>
      <c r="AD799">
        <v>3.0698099999999902</v>
      </c>
      <c r="AE799">
        <v>-1.7649999999999799</v>
      </c>
      <c r="AF799">
        <v>2.4450324458522101</v>
      </c>
      <c r="AG799">
        <v>3.0698099999999902</v>
      </c>
      <c r="AH799">
        <v>191.12493106693901</v>
      </c>
      <c r="AI799">
        <v>89.079881175312494</v>
      </c>
      <c r="AJ799">
        <v>89.267063707230903</v>
      </c>
      <c r="AK799">
        <v>191.16521962020099</v>
      </c>
      <c r="AL799">
        <v>86.512679378892003</v>
      </c>
      <c r="AM799">
        <v>88.158994406977897</v>
      </c>
      <c r="AN799">
        <v>0.99999993594387304</v>
      </c>
    </row>
    <row r="800" spans="1:40" x14ac:dyDescent="0.25">
      <c r="A800" t="str">
        <f>"20190312153905657"</f>
        <v>20190312153905657</v>
      </c>
      <c r="B800" t="str">
        <f>"1552376345647280"</f>
        <v>1552376345647280</v>
      </c>
      <c r="C800" t="s">
        <v>40</v>
      </c>
      <c r="D800">
        <v>3.7865169999999999</v>
      </c>
      <c r="E800">
        <v>0.49312139999999999</v>
      </c>
      <c r="F800" t="s">
        <v>47</v>
      </c>
      <c r="G800">
        <v>-158.19499999999999</v>
      </c>
      <c r="H800">
        <v>4.1543140000000003</v>
      </c>
      <c r="I800">
        <v>366.60680000000002</v>
      </c>
      <c r="J800">
        <v>-349.21480000000003</v>
      </c>
      <c r="K800">
        <v>1.109588</v>
      </c>
      <c r="L800">
        <v>368.37979999999999</v>
      </c>
      <c r="M800">
        <v>0.9999574</v>
      </c>
      <c r="N800">
        <v>0</v>
      </c>
      <c r="O800">
        <v>3.535411E-3</v>
      </c>
      <c r="P800">
        <v>0.99820810000000004</v>
      </c>
      <c r="Q800">
        <v>5.2512360000000001E-2</v>
      </c>
      <c r="R800">
        <v>-2.869085E-2</v>
      </c>
      <c r="S800">
        <v>3.002014</v>
      </c>
      <c r="T800">
        <v>4.7810909999999998E-2</v>
      </c>
      <c r="U800">
        <v>-2.7832030000000001E-2</v>
      </c>
      <c r="V800">
        <v>3.2227800000000001E-2</v>
      </c>
      <c r="W800">
        <v>6.1020419999999999E-2</v>
      </c>
      <c r="X800">
        <v>0.99761610000000001</v>
      </c>
      <c r="Y800">
        <v>1.280398E-2</v>
      </c>
      <c r="Z800">
        <v>1.5825459999999999E-4</v>
      </c>
      <c r="AA800">
        <v>0.99991799999999997</v>
      </c>
      <c r="AB800">
        <v>30</v>
      </c>
      <c r="AC800">
        <v>191.0198</v>
      </c>
      <c r="AD800">
        <v>3.0447259999999998</v>
      </c>
      <c r="AE800">
        <v>-1.7729999999999599</v>
      </c>
      <c r="AF800">
        <v>2.4477251499092199</v>
      </c>
      <c r="AG800">
        <v>3.0447259999999998</v>
      </c>
      <c r="AH800">
        <v>190.963825141136</v>
      </c>
      <c r="AI800">
        <v>89.086628872463507</v>
      </c>
      <c r="AJ800">
        <v>89.265637663608601</v>
      </c>
      <c r="AK800">
        <v>191.00378066247501</v>
      </c>
      <c r="AL800">
        <v>86.501614150011406</v>
      </c>
      <c r="AM800">
        <v>88.149714120796403</v>
      </c>
      <c r="AN800">
        <v>1.00000000286451</v>
      </c>
    </row>
    <row r="801" spans="1:40" x14ac:dyDescent="0.25">
      <c r="A801" t="str">
        <f>"20190312153905669"</f>
        <v>20190312153905669</v>
      </c>
      <c r="B801" t="str">
        <f>"1552376345657040"</f>
        <v>1552376345657040</v>
      </c>
      <c r="C801" t="s">
        <v>40</v>
      </c>
      <c r="D801">
        <v>3.7483840000000002</v>
      </c>
      <c r="E801">
        <v>0.49313390000000001</v>
      </c>
      <c r="F801" t="s">
        <v>47</v>
      </c>
      <c r="G801">
        <v>-158.19499999999999</v>
      </c>
      <c r="H801">
        <v>4.1683459999999997</v>
      </c>
      <c r="I801">
        <v>366.5797</v>
      </c>
      <c r="J801">
        <v>-349.05340000000001</v>
      </c>
      <c r="K801">
        <v>1.109591</v>
      </c>
      <c r="L801">
        <v>368.38029999999998</v>
      </c>
      <c r="M801">
        <v>0.99995730000000005</v>
      </c>
      <c r="N801">
        <v>0</v>
      </c>
      <c r="O801">
        <v>3.5102390000000001E-3</v>
      </c>
      <c r="P801">
        <v>0.99822480000000002</v>
      </c>
      <c r="Q801">
        <v>5.2413300000000003E-2</v>
      </c>
      <c r="R801">
        <v>-2.8291380000000001E-2</v>
      </c>
      <c r="S801">
        <v>3.002075</v>
      </c>
      <c r="T801">
        <v>4.807293E-2</v>
      </c>
      <c r="U801">
        <v>-2.8289789999999999E-2</v>
      </c>
      <c r="V801">
        <v>3.1803049999999999E-2</v>
      </c>
      <c r="W801">
        <v>6.0939979999999998E-2</v>
      </c>
      <c r="X801">
        <v>0.99763460000000004</v>
      </c>
      <c r="Y801">
        <v>1.293104E-2</v>
      </c>
      <c r="Z801">
        <v>1.5973260000000001E-4</v>
      </c>
      <c r="AA801">
        <v>0.99991640000000004</v>
      </c>
      <c r="AB801">
        <v>30</v>
      </c>
      <c r="AC801">
        <v>190.85839999999999</v>
      </c>
      <c r="AD801">
        <v>3.0587550000000001</v>
      </c>
      <c r="AE801">
        <v>-1.80059999999997</v>
      </c>
      <c r="AF801">
        <v>2.46993765702384</v>
      </c>
      <c r="AG801">
        <v>3.0587550000000001</v>
      </c>
      <c r="AH801">
        <v>190.80190161662799</v>
      </c>
      <c r="AI801">
        <v>89.081644043176198</v>
      </c>
      <c r="AJ801">
        <v>89.258345445471093</v>
      </c>
      <c r="AK801">
        <v>190.84240156396399</v>
      </c>
      <c r="AL801">
        <v>86.506231448753496</v>
      </c>
      <c r="AM801">
        <v>88.174117395652303</v>
      </c>
      <c r="AN801">
        <v>0.99999995513442996</v>
      </c>
    </row>
    <row r="802" spans="1:40" x14ac:dyDescent="0.25">
      <c r="A802" t="str">
        <f>"20190312153905688"</f>
        <v>20190312153905688</v>
      </c>
      <c r="B802" t="str">
        <f>"1552376345676560"</f>
        <v>1552376345676560</v>
      </c>
      <c r="C802" t="s">
        <v>40</v>
      </c>
      <c r="D802">
        <v>3.7471079999999999</v>
      </c>
      <c r="E802">
        <v>0.49317810000000001</v>
      </c>
      <c r="F802" t="s">
        <v>47</v>
      </c>
      <c r="G802">
        <v>-158.19499999999999</v>
      </c>
      <c r="H802">
        <v>4.1317899999999996</v>
      </c>
      <c r="I802">
        <v>366.6284</v>
      </c>
      <c r="J802">
        <v>-348.8082</v>
      </c>
      <c r="K802">
        <v>1.109594</v>
      </c>
      <c r="L802">
        <v>368.38119999999998</v>
      </c>
      <c r="M802">
        <v>0.99995730000000005</v>
      </c>
      <c r="N802">
        <v>0</v>
      </c>
      <c r="O802">
        <v>3.4720860000000001E-3</v>
      </c>
      <c r="P802">
        <v>0.99821879999999996</v>
      </c>
      <c r="Q802">
        <v>5.2554209999999997E-2</v>
      </c>
      <c r="R802">
        <v>-2.8241720000000001E-2</v>
      </c>
      <c r="S802">
        <v>3.002014</v>
      </c>
      <c r="T802">
        <v>4.7537570000000001E-2</v>
      </c>
      <c r="U802">
        <v>-2.7557370000000001E-2</v>
      </c>
      <c r="V802">
        <v>3.1715630000000002E-2</v>
      </c>
      <c r="W802">
        <v>6.1109900000000002E-2</v>
      </c>
      <c r="X802">
        <v>0.99762700000000004</v>
      </c>
      <c r="Y802">
        <v>1.2649229999999999E-2</v>
      </c>
      <c r="Z802">
        <v>1.5512219999999901E-4</v>
      </c>
      <c r="AA802">
        <v>0.99992000000000003</v>
      </c>
      <c r="AB802">
        <v>30</v>
      </c>
      <c r="AC802">
        <v>190.61320000000001</v>
      </c>
      <c r="AD802">
        <v>3.0221960000000001</v>
      </c>
      <c r="AE802">
        <v>-1.7527999999999699</v>
      </c>
      <c r="AF802">
        <v>2.4140323282565599</v>
      </c>
      <c r="AG802">
        <v>3.0221960000000001</v>
      </c>
      <c r="AH802">
        <v>190.558065476075</v>
      </c>
      <c r="AI802">
        <v>89.091454514392893</v>
      </c>
      <c r="AJ802">
        <v>89.274203034470105</v>
      </c>
      <c r="AK802">
        <v>190.59731776372999</v>
      </c>
      <c r="AL802">
        <v>86.496477609029796</v>
      </c>
      <c r="AM802">
        <v>88.179119123404107</v>
      </c>
      <c r="AN802">
        <v>0.99999996609665198</v>
      </c>
    </row>
    <row r="803" spans="1:40" x14ac:dyDescent="0.25">
      <c r="A803" t="str">
        <f>"20190312153905710"</f>
        <v>20190312153905710</v>
      </c>
      <c r="B803" t="str">
        <f>"1552376345697056"</f>
        <v>1552376345697056</v>
      </c>
      <c r="C803" t="s">
        <v>40</v>
      </c>
      <c r="D803">
        <v>3.7473540000000001</v>
      </c>
      <c r="E803">
        <v>0.49322490000000002</v>
      </c>
      <c r="F803" t="s">
        <v>47</v>
      </c>
      <c r="G803">
        <v>-158.19499999999999</v>
      </c>
      <c r="H803">
        <v>4.135154</v>
      </c>
      <c r="I803">
        <v>366.63339999999999</v>
      </c>
      <c r="J803">
        <v>-348.50639999999999</v>
      </c>
      <c r="K803">
        <v>1.1096029999999999</v>
      </c>
      <c r="L803">
        <v>368.38220000000001</v>
      </c>
      <c r="M803">
        <v>0.99995699999999998</v>
      </c>
      <c r="N803">
        <v>0</v>
      </c>
      <c r="O803">
        <v>3.4251360000000001E-3</v>
      </c>
      <c r="P803">
        <v>0.99822040000000001</v>
      </c>
      <c r="Q803">
        <v>5.262588E-2</v>
      </c>
      <c r="R803">
        <v>-2.8040559999999999E-2</v>
      </c>
      <c r="S803">
        <v>3.0020449999999999</v>
      </c>
      <c r="T803">
        <v>4.7652130000000001E-2</v>
      </c>
      <c r="U803">
        <v>-2.752686E-2</v>
      </c>
      <c r="V803">
        <v>3.1467759999999997E-2</v>
      </c>
      <c r="W803">
        <v>6.1216979999999997E-2</v>
      </c>
      <c r="X803">
        <v>0.99762830000000002</v>
      </c>
      <c r="Y803">
        <v>1.2592030000000001E-2</v>
      </c>
      <c r="Z803">
        <v>1.542952E-4</v>
      </c>
      <c r="AA803">
        <v>0.9999207</v>
      </c>
      <c r="AB803">
        <v>30</v>
      </c>
      <c r="AC803">
        <v>190.31139999999999</v>
      </c>
      <c r="AD803">
        <v>3.0255509999999899</v>
      </c>
      <c r="AE803">
        <v>-1.7488000000000099</v>
      </c>
      <c r="AF803">
        <v>2.40004983001938</v>
      </c>
      <c r="AG803">
        <v>3.0255509999999899</v>
      </c>
      <c r="AH803">
        <v>190.25621159999599</v>
      </c>
      <c r="AI803">
        <v>89.089002651050293</v>
      </c>
      <c r="AJ803">
        <v>89.277261798145503</v>
      </c>
      <c r="AK803">
        <v>190.295402599282</v>
      </c>
      <c r="AL803">
        <v>86.490330923643299</v>
      </c>
      <c r="AM803">
        <v>88.1933429010776</v>
      </c>
      <c r="AN803">
        <v>0.99999998176031302</v>
      </c>
    </row>
    <row r="804" spans="1:40" x14ac:dyDescent="0.25">
      <c r="A804" t="str">
        <f>"20190312153905733"</f>
        <v>20190312153905733</v>
      </c>
      <c r="B804" t="str">
        <f>"1552376345727312"</f>
        <v>1552376345727312</v>
      </c>
      <c r="C804" t="s">
        <v>40</v>
      </c>
      <c r="D804">
        <v>3.7515109999999998</v>
      </c>
      <c r="E804">
        <v>0.49328080000000002</v>
      </c>
      <c r="F804" t="s">
        <v>47</v>
      </c>
      <c r="G804">
        <v>-158.19499999999999</v>
      </c>
      <c r="H804">
        <v>4.1376650000000001</v>
      </c>
      <c r="I804">
        <v>366.65649999999999</v>
      </c>
      <c r="J804">
        <v>-348.20639999999997</v>
      </c>
      <c r="K804">
        <v>1.109604</v>
      </c>
      <c r="L804">
        <v>368.38310000000001</v>
      </c>
      <c r="M804">
        <v>0.99995699999999998</v>
      </c>
      <c r="N804">
        <v>0</v>
      </c>
      <c r="O804">
        <v>3.377236E-3</v>
      </c>
      <c r="P804">
        <v>0.99821070000000001</v>
      </c>
      <c r="Q804">
        <v>5.2735240000000003E-2</v>
      </c>
      <c r="R804">
        <v>-2.81911E-2</v>
      </c>
      <c r="S804">
        <v>3.0020449999999999</v>
      </c>
      <c r="T804">
        <v>4.7767160000000003E-2</v>
      </c>
      <c r="U804">
        <v>-2.7221680000000002E-2</v>
      </c>
      <c r="V804">
        <v>3.1570290000000001E-2</v>
      </c>
      <c r="W804">
        <v>6.1361190000000003E-2</v>
      </c>
      <c r="X804">
        <v>0.99761619999999995</v>
      </c>
      <c r="Y804">
        <v>1.244251E-2</v>
      </c>
      <c r="Z804">
        <v>1.5271619999999999E-4</v>
      </c>
      <c r="AA804">
        <v>0.99992259999999999</v>
      </c>
      <c r="AB804">
        <v>30</v>
      </c>
      <c r="AC804">
        <v>190.01140000000001</v>
      </c>
      <c r="AD804">
        <v>3.0280610000000001</v>
      </c>
      <c r="AE804">
        <v>-1.7266000000000099</v>
      </c>
      <c r="AF804">
        <v>2.3677261635178799</v>
      </c>
      <c r="AG804">
        <v>3.0280610000000001</v>
      </c>
      <c r="AH804">
        <v>189.95624713712999</v>
      </c>
      <c r="AI804">
        <v>89.086805767033596</v>
      </c>
      <c r="AJ804">
        <v>89.285868755425398</v>
      </c>
      <c r="AK804">
        <v>189.99513442987899</v>
      </c>
      <c r="AL804">
        <v>86.482052732780303</v>
      </c>
      <c r="AM804">
        <v>88.187438301489493</v>
      </c>
      <c r="AN804">
        <v>0.99999998067566898</v>
      </c>
    </row>
    <row r="805" spans="1:40" x14ac:dyDescent="0.25">
      <c r="A805" t="str">
        <f>"20190312153905754"</f>
        <v>20190312153905754</v>
      </c>
      <c r="B805" t="str">
        <f>"1552376345746833"</f>
        <v>1552376345746833</v>
      </c>
      <c r="C805" t="s">
        <v>40</v>
      </c>
      <c r="D805">
        <v>3.730264</v>
      </c>
      <c r="E805">
        <v>0.4933362</v>
      </c>
      <c r="F805" t="s">
        <v>47</v>
      </c>
      <c r="G805">
        <v>-158.19499999999999</v>
      </c>
      <c r="H805">
        <v>4.1579040000000003</v>
      </c>
      <c r="I805">
        <v>366.6003</v>
      </c>
      <c r="J805">
        <v>-347.91129999999998</v>
      </c>
      <c r="K805">
        <v>1.109612</v>
      </c>
      <c r="L805">
        <v>368.38409999999999</v>
      </c>
      <c r="M805">
        <v>0.99995679999999998</v>
      </c>
      <c r="N805">
        <v>0</v>
      </c>
      <c r="O805">
        <v>3.3302840000000002E-3</v>
      </c>
      <c r="P805">
        <v>0.99818110000000004</v>
      </c>
      <c r="Q805">
        <v>5.3093759999999997E-2</v>
      </c>
      <c r="R805">
        <v>-2.8563749999999999E-2</v>
      </c>
      <c r="S805">
        <v>3.002075</v>
      </c>
      <c r="T805">
        <v>4.8162820000000002E-2</v>
      </c>
      <c r="U805">
        <v>-2.816772E-2</v>
      </c>
      <c r="V805">
        <v>3.1896019999999997E-2</v>
      </c>
      <c r="W805">
        <v>6.1755270000000001E-2</v>
      </c>
      <c r="X805">
        <v>0.99758150000000001</v>
      </c>
      <c r="Y805">
        <v>1.271049E-2</v>
      </c>
      <c r="Z805">
        <v>1.553754E-4</v>
      </c>
      <c r="AA805">
        <v>0.99991920000000001</v>
      </c>
      <c r="AB805">
        <v>30</v>
      </c>
      <c r="AC805">
        <v>189.71629999999999</v>
      </c>
      <c r="AD805">
        <v>3.048292</v>
      </c>
      <c r="AE805">
        <v>-1.7837999999999801</v>
      </c>
      <c r="AF805">
        <v>2.41499963449359</v>
      </c>
      <c r="AG805">
        <v>3.048292</v>
      </c>
      <c r="AH805">
        <v>189.660347016261</v>
      </c>
      <c r="AI805">
        <v>89.079274719846893</v>
      </c>
      <c r="AJ805">
        <v>89.270475820357603</v>
      </c>
      <c r="AK805">
        <v>189.700214912056</v>
      </c>
      <c r="AL805">
        <v>86.459430632827804</v>
      </c>
      <c r="AM805">
        <v>88.168686006646496</v>
      </c>
      <c r="AN805">
        <v>0.99999995930343</v>
      </c>
    </row>
    <row r="806" spans="1:40" x14ac:dyDescent="0.25">
      <c r="A806" t="str">
        <f>"20190312153905777"</f>
        <v>20190312153905777</v>
      </c>
      <c r="B806" t="str">
        <f>"1552376345766352"</f>
        <v>1552376345766352</v>
      </c>
      <c r="C806" t="s">
        <v>40</v>
      </c>
      <c r="D806">
        <v>3.732615</v>
      </c>
      <c r="E806">
        <v>0.49335830000000003</v>
      </c>
      <c r="F806" t="s">
        <v>47</v>
      </c>
      <c r="G806">
        <v>-158.19499999999999</v>
      </c>
      <c r="H806">
        <v>4.2212449999999997</v>
      </c>
      <c r="I806">
        <v>366.51530000000002</v>
      </c>
      <c r="J806">
        <v>-347.60599999999999</v>
      </c>
      <c r="K806">
        <v>1.109612</v>
      </c>
      <c r="L806">
        <v>368.38499999999999</v>
      </c>
      <c r="M806">
        <v>0.99995670000000003</v>
      </c>
      <c r="N806">
        <v>0</v>
      </c>
      <c r="O806">
        <v>3.2815869999999999E-3</v>
      </c>
      <c r="P806">
        <v>0.99816669999999996</v>
      </c>
      <c r="Q806">
        <v>5.3221039999999997E-2</v>
      </c>
      <c r="R806">
        <v>-2.8829939999999998E-2</v>
      </c>
      <c r="S806">
        <v>3.0020449999999999</v>
      </c>
      <c r="T806">
        <v>4.9239400000000003E-2</v>
      </c>
      <c r="U806">
        <v>-2.9571529999999999E-2</v>
      </c>
      <c r="V806">
        <v>3.2113660000000002E-2</v>
      </c>
      <c r="W806">
        <v>6.1921370000000003E-2</v>
      </c>
      <c r="X806">
        <v>0.99756429999999996</v>
      </c>
      <c r="Y806">
        <v>1.312928E-2</v>
      </c>
      <c r="Z806">
        <v>1.6148479999999999E-4</v>
      </c>
      <c r="AA806">
        <v>0.99991379999999996</v>
      </c>
      <c r="AB806">
        <v>30</v>
      </c>
      <c r="AC806">
        <v>189.41099999999901</v>
      </c>
      <c r="AD806">
        <v>3.1116329999999901</v>
      </c>
      <c r="AE806">
        <v>-1.8696999999999599</v>
      </c>
      <c r="AF806">
        <v>2.4906100815285299</v>
      </c>
      <c r="AG806">
        <v>3.1116329999999901</v>
      </c>
      <c r="AH806">
        <v>189.352747210442</v>
      </c>
      <c r="AI806">
        <v>89.058624819064704</v>
      </c>
      <c r="AJ806">
        <v>89.246415911551097</v>
      </c>
      <c r="AK806">
        <v>189.394689140552</v>
      </c>
      <c r="AL806">
        <v>86.449895834508396</v>
      </c>
      <c r="AM806">
        <v>88.156167005805301</v>
      </c>
      <c r="AN806">
        <v>1.0000000379278799</v>
      </c>
    </row>
    <row r="807" spans="1:40" x14ac:dyDescent="0.25">
      <c r="A807" t="str">
        <f>"20190312153905800"</f>
        <v>20190312153905800</v>
      </c>
      <c r="B807" t="str">
        <f>"1552376345786850"</f>
        <v>1552376345786850</v>
      </c>
      <c r="C807" t="s">
        <v>40</v>
      </c>
      <c r="D807">
        <v>3.702467</v>
      </c>
      <c r="E807">
        <v>0.49342190000000002</v>
      </c>
      <c r="F807" t="s">
        <v>47</v>
      </c>
      <c r="G807">
        <v>-158.19499999999999</v>
      </c>
      <c r="H807">
        <v>4.231554</v>
      </c>
      <c r="I807">
        <v>366.4692</v>
      </c>
      <c r="J807">
        <v>-347.30239999999998</v>
      </c>
      <c r="K807">
        <v>1.109615</v>
      </c>
      <c r="L807">
        <v>368.38600000000002</v>
      </c>
      <c r="M807">
        <v>0.99995650000000003</v>
      </c>
      <c r="N807">
        <v>0</v>
      </c>
      <c r="O807">
        <v>3.2324739999999999E-3</v>
      </c>
      <c r="P807">
        <v>0.9981951</v>
      </c>
      <c r="Q807">
        <v>5.2443780000000002E-2</v>
      </c>
      <c r="R807">
        <v>-2.9265880000000001E-2</v>
      </c>
      <c r="S807">
        <v>3.0019840000000002</v>
      </c>
      <c r="T807">
        <v>4.9481150000000002E-2</v>
      </c>
      <c r="U807">
        <v>-3.0364990000000001E-2</v>
      </c>
      <c r="V807">
        <v>3.2500630000000003E-2</v>
      </c>
      <c r="W807">
        <v>6.1184629999999997E-2</v>
      </c>
      <c r="X807">
        <v>0.99759719999999996</v>
      </c>
      <c r="Y807">
        <v>1.334459E-2</v>
      </c>
      <c r="Z807">
        <v>1.6324539999999999E-4</v>
      </c>
      <c r="AA807">
        <v>0.99991099999999999</v>
      </c>
      <c r="AB807">
        <v>30</v>
      </c>
      <c r="AC807">
        <v>189.10740000000001</v>
      </c>
      <c r="AD807">
        <v>3.1219389999999998</v>
      </c>
      <c r="AE807">
        <v>-1.9167999999999601</v>
      </c>
      <c r="AF807">
        <v>2.5274093849148498</v>
      </c>
      <c r="AG807">
        <v>3.1219389999999998</v>
      </c>
      <c r="AH807">
        <v>189.04869747716401</v>
      </c>
      <c r="AI807">
        <v>89.053991407555301</v>
      </c>
      <c r="AJ807">
        <v>89.234053096910898</v>
      </c>
      <c r="AK807">
        <v>189.09136500414601</v>
      </c>
      <c r="AL807">
        <v>86.492188028198896</v>
      </c>
      <c r="AM807">
        <v>88.134025906933303</v>
      </c>
      <c r="AN807">
        <v>1.0000000116732299</v>
      </c>
    </row>
    <row r="808" spans="1:40" x14ac:dyDescent="0.25">
      <c r="A808" t="str">
        <f>"20190312153905813"</f>
        <v>20190312153905813</v>
      </c>
      <c r="B808" t="str">
        <f>"1552376345807344"</f>
        <v>1552376345807344</v>
      </c>
      <c r="C808" t="s">
        <v>40</v>
      </c>
      <c r="D808">
        <v>3.716939</v>
      </c>
      <c r="E808">
        <v>0.4934656</v>
      </c>
      <c r="F808" t="s">
        <v>47</v>
      </c>
      <c r="G808">
        <v>-158.19499999999999</v>
      </c>
      <c r="H808">
        <v>4.0896229999999996</v>
      </c>
      <c r="I808">
        <v>366.33089999999999</v>
      </c>
      <c r="J808">
        <v>-347.12060000000002</v>
      </c>
      <c r="K808">
        <v>1.109618</v>
      </c>
      <c r="L808">
        <v>368.38650000000001</v>
      </c>
      <c r="M808">
        <v>0.99995630000000002</v>
      </c>
      <c r="N808">
        <v>0</v>
      </c>
      <c r="O808">
        <v>3.2033999999999999E-3</v>
      </c>
      <c r="P808">
        <v>0.99821260000000001</v>
      </c>
      <c r="Q808">
        <v>5.2044159999999999E-2</v>
      </c>
      <c r="R808">
        <v>-2.9382470000000001E-2</v>
      </c>
      <c r="S808">
        <v>3.0019230000000001</v>
      </c>
      <c r="T808">
        <v>4.7306540000000001E-2</v>
      </c>
      <c r="U808">
        <v>-3.2623289999999999E-2</v>
      </c>
      <c r="V808">
        <v>3.2588060000000002E-2</v>
      </c>
      <c r="W808">
        <v>6.0808149999999998E-2</v>
      </c>
      <c r="X808">
        <v>0.99761739999999999</v>
      </c>
      <c r="Y808">
        <v>1.4067959999999999E-2</v>
      </c>
      <c r="Z808">
        <v>1.613156E-4</v>
      </c>
      <c r="AA808">
        <v>0.99990109999999999</v>
      </c>
      <c r="AB808">
        <v>30</v>
      </c>
      <c r="AC808">
        <v>188.9256</v>
      </c>
      <c r="AD808">
        <v>2.9800049999999998</v>
      </c>
      <c r="AE808">
        <v>-2.0556000000000201</v>
      </c>
      <c r="AF808">
        <v>2.6601552907913901</v>
      </c>
      <c r="AG808">
        <v>2.9800049999999998</v>
      </c>
      <c r="AH808">
        <v>188.87105963156301</v>
      </c>
      <c r="AI808">
        <v>89.096152608603703</v>
      </c>
      <c r="AJ808">
        <v>89.193070690076894</v>
      </c>
      <c r="AK808">
        <v>188.91329763232801</v>
      </c>
      <c r="AL808">
        <v>86.513799098563894</v>
      </c>
      <c r="AM808">
        <v>88.129047667112204</v>
      </c>
      <c r="AN808">
        <v>1.00000004477187</v>
      </c>
    </row>
    <row r="809" spans="1:40" x14ac:dyDescent="0.25">
      <c r="A809" t="str">
        <f>"20190312153905832"</f>
        <v>20190312153905832</v>
      </c>
      <c r="B809" t="str">
        <f>"1552376345826865"</f>
        <v>1552376345826865</v>
      </c>
      <c r="C809" t="s">
        <v>40</v>
      </c>
      <c r="D809">
        <v>3.6964549999999998</v>
      </c>
      <c r="E809">
        <v>0.49352449999999998</v>
      </c>
      <c r="F809" t="s">
        <v>47</v>
      </c>
      <c r="G809">
        <v>-158.19499999999999</v>
      </c>
      <c r="H809">
        <v>4.0185519999999997</v>
      </c>
      <c r="I809">
        <v>366.31420000000003</v>
      </c>
      <c r="J809">
        <v>-346.8535</v>
      </c>
      <c r="K809">
        <v>1.1096220000000001</v>
      </c>
      <c r="L809">
        <v>368.38729999999998</v>
      </c>
      <c r="M809">
        <v>0.99995619999999996</v>
      </c>
      <c r="N809">
        <v>0</v>
      </c>
      <c r="O809">
        <v>3.1605130000000002E-3</v>
      </c>
      <c r="P809">
        <v>0.99823700000000004</v>
      </c>
      <c r="Q809">
        <v>5.1395389999999999E-2</v>
      </c>
      <c r="R809">
        <v>-2.9696690000000001E-2</v>
      </c>
      <c r="S809">
        <v>3.0019840000000002</v>
      </c>
      <c r="T809">
        <v>4.6223640000000003E-2</v>
      </c>
      <c r="U809">
        <v>-3.2928470000000001E-2</v>
      </c>
      <c r="V809">
        <v>3.2859529999999998E-2</v>
      </c>
      <c r="W809">
        <v>6.0193200000000002E-2</v>
      </c>
      <c r="X809">
        <v>0.99764569999999997</v>
      </c>
      <c r="Y809">
        <v>1.412659E-2</v>
      </c>
      <c r="Z809">
        <v>1.5741109999999999E-4</v>
      </c>
      <c r="AA809">
        <v>0.99990020000000002</v>
      </c>
      <c r="AB809">
        <v>30</v>
      </c>
      <c r="AC809">
        <v>188.6585</v>
      </c>
      <c r="AD809">
        <v>2.9089299999999998</v>
      </c>
      <c r="AE809">
        <v>-2.07309999999995</v>
      </c>
      <c r="AF809">
        <v>2.6687360204047601</v>
      </c>
      <c r="AG809">
        <v>2.9089299999999998</v>
      </c>
      <c r="AH809">
        <v>188.60617036332701</v>
      </c>
      <c r="AI809">
        <v>89.116468356826701</v>
      </c>
      <c r="AJ809">
        <v>89.189331363394004</v>
      </c>
      <c r="AK809">
        <v>188.64747950824</v>
      </c>
      <c r="AL809">
        <v>86.549097493466206</v>
      </c>
      <c r="AM809">
        <v>88.113526667936995</v>
      </c>
      <c r="AN809">
        <v>0.99999995638327399</v>
      </c>
    </row>
    <row r="810" spans="1:40" x14ac:dyDescent="0.25">
      <c r="A810" t="str">
        <f>"20190312153905846"</f>
        <v>20190312153905846</v>
      </c>
      <c r="B810" t="str">
        <f>"1552376345836625"</f>
        <v>1552376345836625</v>
      </c>
      <c r="C810" t="s">
        <v>40</v>
      </c>
      <c r="D810">
        <v>3.6947570000000001</v>
      </c>
      <c r="E810">
        <v>0.49354170000000003</v>
      </c>
      <c r="F810" t="s">
        <v>47</v>
      </c>
      <c r="G810">
        <v>-158.19499999999999</v>
      </c>
      <c r="H810">
        <v>3.9048289999999999</v>
      </c>
      <c r="I810">
        <v>366.21050000000002</v>
      </c>
      <c r="J810">
        <v>-346.67070000000001</v>
      </c>
      <c r="K810">
        <v>1.1096220000000001</v>
      </c>
      <c r="L810">
        <v>368.3879</v>
      </c>
      <c r="M810">
        <v>0.99995610000000001</v>
      </c>
      <c r="N810">
        <v>0</v>
      </c>
      <c r="O810">
        <v>3.1310859999999999E-3</v>
      </c>
      <c r="P810">
        <v>0.99823490000000004</v>
      </c>
      <c r="Q810">
        <v>5.1330489999999999E-2</v>
      </c>
      <c r="R810">
        <v>-2.9881290000000001E-2</v>
      </c>
      <c r="S810">
        <v>3.0019230000000001</v>
      </c>
      <c r="T810">
        <v>4.4478539999999997E-2</v>
      </c>
      <c r="U810">
        <v>-3.463745E-2</v>
      </c>
      <c r="V810">
        <v>3.3014689999999999E-2</v>
      </c>
      <c r="W810">
        <v>6.0149880000000003E-2</v>
      </c>
      <c r="X810">
        <v>0.99764319999999895</v>
      </c>
      <c r="Y810">
        <v>1.466665E-2</v>
      </c>
      <c r="Z810">
        <v>1.550361E-4</v>
      </c>
      <c r="AA810">
        <v>0.99989240000000001</v>
      </c>
      <c r="AB810">
        <v>30</v>
      </c>
      <c r="AC810">
        <v>188.47569999999999</v>
      </c>
      <c r="AD810">
        <v>2.795207</v>
      </c>
      <c r="AE810">
        <v>-2.1773999999999698</v>
      </c>
      <c r="AF810">
        <v>2.7669374691305699</v>
      </c>
      <c r="AG810">
        <v>2.795207</v>
      </c>
      <c r="AH810">
        <v>188.42651991477999</v>
      </c>
      <c r="AI810">
        <v>89.150201589816902</v>
      </c>
      <c r="AJ810">
        <v>89.158704169261398</v>
      </c>
      <c r="AK810">
        <v>188.46756360797499</v>
      </c>
      <c r="AL810">
        <v>86.551584086025997</v>
      </c>
      <c r="AM810">
        <v>88.104620631713601</v>
      </c>
      <c r="AN810">
        <v>0.999999966163024</v>
      </c>
    </row>
    <row r="811" spans="1:40" x14ac:dyDescent="0.25">
      <c r="A811" t="str">
        <f>"20190312153905866"</f>
        <v>20190312153905866</v>
      </c>
      <c r="B811" t="str">
        <f>"1552376345857121"</f>
        <v>1552376345857121</v>
      </c>
      <c r="C811" t="s">
        <v>40</v>
      </c>
      <c r="D811">
        <v>3.6504509999999999</v>
      </c>
      <c r="E811">
        <v>0.49354409999999999</v>
      </c>
      <c r="F811" t="s">
        <v>47</v>
      </c>
      <c r="G811">
        <v>-158.19499999999999</v>
      </c>
      <c r="H811">
        <v>3.9069120000000002</v>
      </c>
      <c r="I811">
        <v>366.173</v>
      </c>
      <c r="J811">
        <v>-346.39980000000003</v>
      </c>
      <c r="K811">
        <v>1.1096280000000001</v>
      </c>
      <c r="L811">
        <v>368.38869999999997</v>
      </c>
      <c r="M811">
        <v>0.99995590000000001</v>
      </c>
      <c r="N811">
        <v>0</v>
      </c>
      <c r="O811">
        <v>3.087551E-3</v>
      </c>
      <c r="P811">
        <v>0.9982394</v>
      </c>
      <c r="Q811">
        <v>5.1388469999999999E-2</v>
      </c>
      <c r="R811">
        <v>-2.962132E-2</v>
      </c>
      <c r="S811">
        <v>3.0019529999999999</v>
      </c>
      <c r="T811">
        <v>4.4555310000000001E-2</v>
      </c>
      <c r="U811">
        <v>-3.5278320000000002E-2</v>
      </c>
      <c r="V811">
        <v>3.2711589999999999E-2</v>
      </c>
      <c r="W811">
        <v>6.0239840000000003E-2</v>
      </c>
      <c r="X811">
        <v>0.99764779999999997</v>
      </c>
      <c r="Y811">
        <v>1.483641E-2</v>
      </c>
      <c r="Z811">
        <v>1.5591549999999999E-4</v>
      </c>
      <c r="AA811">
        <v>0.9998899</v>
      </c>
      <c r="AB811">
        <v>30</v>
      </c>
      <c r="AC811">
        <v>188.20480000000001</v>
      </c>
      <c r="AD811">
        <v>2.7972839999999999</v>
      </c>
      <c r="AE811">
        <v>-2.2156999999999698</v>
      </c>
      <c r="AF811">
        <v>2.7961865988600301</v>
      </c>
      <c r="AG811">
        <v>2.7972839999999999</v>
      </c>
      <c r="AH811">
        <v>188.15550217285801</v>
      </c>
      <c r="AI811">
        <v>89.1483476821534</v>
      </c>
      <c r="AJ811">
        <v>89.148587756263396</v>
      </c>
      <c r="AK811">
        <v>188.19706813654801</v>
      </c>
      <c r="AL811">
        <v>86.546420544266596</v>
      </c>
      <c r="AM811">
        <v>88.122017792804002</v>
      </c>
      <c r="AN811">
        <v>1.0000000096441899</v>
      </c>
    </row>
    <row r="812" spans="1:40" x14ac:dyDescent="0.25">
      <c r="A812" t="str">
        <f>"20190312153905889"</f>
        <v>20190312153905889</v>
      </c>
      <c r="B812" t="str">
        <f>"1552376345876640"</f>
        <v>1552376345876640</v>
      </c>
      <c r="C812" t="s">
        <v>40</v>
      </c>
      <c r="D812">
        <v>3.6557689999999998</v>
      </c>
      <c r="E812">
        <v>0.49356240000000001</v>
      </c>
      <c r="F812" t="s">
        <v>47</v>
      </c>
      <c r="G812">
        <v>-158.19499999999999</v>
      </c>
      <c r="H812">
        <v>3.92584</v>
      </c>
      <c r="I812">
        <v>366.22289999999998</v>
      </c>
      <c r="J812">
        <v>-346.09289999999999</v>
      </c>
      <c r="K812">
        <v>1.109631</v>
      </c>
      <c r="L812">
        <v>368.38959999999997</v>
      </c>
      <c r="M812">
        <v>0.99995579999999995</v>
      </c>
      <c r="N812">
        <v>0</v>
      </c>
      <c r="O812">
        <v>3.0380450000000001E-3</v>
      </c>
      <c r="P812">
        <v>0.99825019999999998</v>
      </c>
      <c r="Q812">
        <v>5.1502880000000001E-2</v>
      </c>
      <c r="R812">
        <v>-2.9058259999999999E-2</v>
      </c>
      <c r="S812">
        <v>3.0019230000000001</v>
      </c>
      <c r="T812">
        <v>4.4920799999999997E-2</v>
      </c>
      <c r="U812">
        <v>-3.4545899999999997E-2</v>
      </c>
      <c r="V812">
        <v>3.209915E-2</v>
      </c>
      <c r="W812">
        <v>6.038835E-2</v>
      </c>
      <c r="X812">
        <v>0.99765870000000001</v>
      </c>
      <c r="Y812">
        <v>1.454311E-2</v>
      </c>
      <c r="Z812">
        <v>1.5426120000000001E-4</v>
      </c>
      <c r="AA812">
        <v>0.99989419999999996</v>
      </c>
      <c r="AB812">
        <v>30</v>
      </c>
      <c r="AC812">
        <v>187.89789999999999</v>
      </c>
      <c r="AD812">
        <v>2.8162090000000002</v>
      </c>
      <c r="AE812">
        <v>-2.1666999999999899</v>
      </c>
      <c r="AF812">
        <v>2.7369401306131498</v>
      </c>
      <c r="AG812">
        <v>2.8162090000000002</v>
      </c>
      <c r="AH812">
        <v>187.84825750672999</v>
      </c>
      <c r="AI812">
        <v>89.1411808402665</v>
      </c>
      <c r="AJ812">
        <v>89.165262295549496</v>
      </c>
      <c r="AK812">
        <v>187.889301778267</v>
      </c>
      <c r="AL812">
        <v>86.537895977920698</v>
      </c>
      <c r="AM812">
        <v>88.157173802362607</v>
      </c>
      <c r="AN812">
        <v>0.99999999496606695</v>
      </c>
    </row>
    <row r="813" spans="1:40" x14ac:dyDescent="0.25">
      <c r="A813" t="str">
        <f>"20190312153905911"</f>
        <v>20190312153905911</v>
      </c>
      <c r="B813" t="str">
        <f>"1552376345897137"</f>
        <v>1552376345897137</v>
      </c>
      <c r="C813" t="s">
        <v>40</v>
      </c>
      <c r="D813">
        <v>3.67963</v>
      </c>
      <c r="E813">
        <v>0.49361169999999999</v>
      </c>
      <c r="F813" t="s">
        <v>47</v>
      </c>
      <c r="G813">
        <v>-158.19499999999999</v>
      </c>
      <c r="H813">
        <v>3.9714459999999998</v>
      </c>
      <c r="I813">
        <v>366.32659999999998</v>
      </c>
      <c r="J813">
        <v>-345.78840000000002</v>
      </c>
      <c r="K813">
        <v>1.1096330000000001</v>
      </c>
      <c r="L813">
        <v>368.3904</v>
      </c>
      <c r="M813">
        <v>0.9999557</v>
      </c>
      <c r="N813">
        <v>0</v>
      </c>
      <c r="O813">
        <v>2.9894409999999998E-3</v>
      </c>
      <c r="P813">
        <v>0.99825160000000002</v>
      </c>
      <c r="Q813">
        <v>5.1841150000000003E-2</v>
      </c>
      <c r="R813">
        <v>-2.8397209999999999E-2</v>
      </c>
      <c r="S813">
        <v>3.0019529999999999</v>
      </c>
      <c r="T813">
        <v>4.5723199999999999E-2</v>
      </c>
      <c r="U813">
        <v>-3.2958979999999999E-2</v>
      </c>
      <c r="V813">
        <v>3.1389670000000001E-2</v>
      </c>
      <c r="W813">
        <v>6.075817E-2</v>
      </c>
      <c r="X813">
        <v>0.99765879999999996</v>
      </c>
      <c r="Y813">
        <v>1.396589E-2</v>
      </c>
      <c r="Z813">
        <v>1.5187950000000001E-4</v>
      </c>
      <c r="AA813">
        <v>0.99990250000000003</v>
      </c>
      <c r="AB813">
        <v>30</v>
      </c>
      <c r="AC813">
        <v>187.5934</v>
      </c>
      <c r="AD813">
        <v>2.8618130000000002</v>
      </c>
      <c r="AE813">
        <v>-2.0638000000000098</v>
      </c>
      <c r="AF813">
        <v>2.6240019139599702</v>
      </c>
      <c r="AG813">
        <v>2.8618130000000002</v>
      </c>
      <c r="AH813">
        <v>187.54275079641999</v>
      </c>
      <c r="AI813">
        <v>89.125847107564994</v>
      </c>
      <c r="AJ813">
        <v>89.198399164616404</v>
      </c>
      <c r="AK813">
        <v>187.58293828592099</v>
      </c>
      <c r="AL813">
        <v>86.516667799059405</v>
      </c>
      <c r="AM813">
        <v>88.197878377634794</v>
      </c>
      <c r="AN813">
        <v>0.99999997391094797</v>
      </c>
    </row>
    <row r="814" spans="1:40" x14ac:dyDescent="0.25">
      <c r="A814" t="str">
        <f>"20190312153905924"</f>
        <v>20190312153905924</v>
      </c>
      <c r="B814" t="str">
        <f>"1552376345916657"</f>
        <v>1552376345916657</v>
      </c>
      <c r="C814" t="s">
        <v>40</v>
      </c>
      <c r="D814">
        <v>3.673432</v>
      </c>
      <c r="E814">
        <v>0.4936411</v>
      </c>
      <c r="F814" t="s">
        <v>47</v>
      </c>
      <c r="G814">
        <v>-158.19499999999999</v>
      </c>
      <c r="H814">
        <v>4.0704549999999999</v>
      </c>
      <c r="I814">
        <v>366.43</v>
      </c>
      <c r="J814">
        <v>-345.60849999999999</v>
      </c>
      <c r="K814">
        <v>1.1096349999999999</v>
      </c>
      <c r="L814">
        <v>368.39100000000002</v>
      </c>
      <c r="M814">
        <v>0.99995560000000006</v>
      </c>
      <c r="N814">
        <v>0</v>
      </c>
      <c r="O814">
        <v>2.9605709999999999E-3</v>
      </c>
      <c r="P814">
        <v>0.99826899999999996</v>
      </c>
      <c r="Q814">
        <v>5.1667570000000003E-2</v>
      </c>
      <c r="R814">
        <v>-2.809913E-2</v>
      </c>
      <c r="S814">
        <v>3.0019230000000001</v>
      </c>
      <c r="T814">
        <v>4.7381279999999998E-2</v>
      </c>
      <c r="U814">
        <v>-3.1372070000000002E-2</v>
      </c>
      <c r="V814">
        <v>3.1062869999999999E-2</v>
      </c>
      <c r="W814">
        <v>6.060252E-2</v>
      </c>
      <c r="X814">
        <v>0.99767850000000002</v>
      </c>
      <c r="Y814">
        <v>1.340853E-2</v>
      </c>
      <c r="Z814">
        <v>1.5253469999999901E-4</v>
      </c>
      <c r="AA814">
        <v>0.99991010000000002</v>
      </c>
      <c r="AB814">
        <v>30</v>
      </c>
      <c r="AC814">
        <v>187.4135</v>
      </c>
      <c r="AD814">
        <v>2.96082</v>
      </c>
      <c r="AE814">
        <v>-1.9609999999999499</v>
      </c>
      <c r="AF814">
        <v>2.5152368807297498</v>
      </c>
      <c r="AG814">
        <v>2.96082</v>
      </c>
      <c r="AH814">
        <v>187.36011511957801</v>
      </c>
      <c r="AI814">
        <v>89.094721468813702</v>
      </c>
      <c r="AJ814">
        <v>89.230872583208907</v>
      </c>
      <c r="AK814">
        <v>187.40038849815599</v>
      </c>
      <c r="AL814">
        <v>86.525602366946103</v>
      </c>
      <c r="AM814">
        <v>88.216663401266501</v>
      </c>
      <c r="AN814">
        <v>0.999999978342618</v>
      </c>
    </row>
    <row r="815" spans="1:40" x14ac:dyDescent="0.25">
      <c r="A815" t="str">
        <f>"20190312153905938"</f>
        <v>20190312153905938</v>
      </c>
      <c r="B815" t="str">
        <f>"1552376345926417"</f>
        <v>1552376345926417</v>
      </c>
      <c r="C815" t="s">
        <v>40</v>
      </c>
      <c r="D815">
        <v>3.6993809999999998</v>
      </c>
      <c r="E815">
        <v>0.49367440000000001</v>
      </c>
      <c r="F815" t="s">
        <v>47</v>
      </c>
      <c r="G815">
        <v>-158.19499999999999</v>
      </c>
      <c r="H815">
        <v>4.0878769999999998</v>
      </c>
      <c r="I815">
        <v>366.46089999999998</v>
      </c>
      <c r="J815">
        <v>-345.42759999999998</v>
      </c>
      <c r="K815">
        <v>1.1096360000000001</v>
      </c>
      <c r="L815">
        <v>368.39150000000001</v>
      </c>
      <c r="M815">
        <v>0.9999555</v>
      </c>
      <c r="N815">
        <v>0</v>
      </c>
      <c r="O815">
        <v>2.9311670000000001E-3</v>
      </c>
      <c r="P815">
        <v>0.99824939999999995</v>
      </c>
      <c r="Q815">
        <v>5.210621E-2</v>
      </c>
      <c r="R815">
        <v>-2.7982549999999998E-2</v>
      </c>
      <c r="S815">
        <v>3.0018009999999999</v>
      </c>
      <c r="T815">
        <v>4.7703860000000001E-2</v>
      </c>
      <c r="U815">
        <v>-3.091431E-2</v>
      </c>
      <c r="V815">
        <v>3.0916989999999998E-2</v>
      </c>
      <c r="W815">
        <v>6.105849E-2</v>
      </c>
      <c r="X815">
        <v>0.99765530000000002</v>
      </c>
      <c r="Y815">
        <v>1.322709E-2</v>
      </c>
      <c r="Z815">
        <v>1.516706E-4</v>
      </c>
      <c r="AA815">
        <v>0.99991249999999998</v>
      </c>
      <c r="AB815">
        <v>30</v>
      </c>
      <c r="AC815">
        <v>187.23259999999999</v>
      </c>
      <c r="AD815">
        <v>2.9782410000000001</v>
      </c>
      <c r="AE815">
        <v>-1.9306000000000201</v>
      </c>
      <c r="AF815">
        <v>2.4787966681859199</v>
      </c>
      <c r="AG815">
        <v>2.9782410000000001</v>
      </c>
      <c r="AH815">
        <v>187.178781321852</v>
      </c>
      <c r="AI815">
        <v>89.0885116189136</v>
      </c>
      <c r="AJ815">
        <v>89.241279996103103</v>
      </c>
      <c r="AK815">
        <v>187.218884008826</v>
      </c>
      <c r="AL815">
        <v>86.499428984940394</v>
      </c>
      <c r="AM815">
        <v>88.224991833431901</v>
      </c>
      <c r="AN815">
        <v>1.0000000485449101</v>
      </c>
    </row>
    <row r="816" spans="1:40" x14ac:dyDescent="0.25">
      <c r="A816" t="str">
        <f>"20190312153905955"</f>
        <v>20190312153905955</v>
      </c>
      <c r="B816" t="str">
        <f>"1552376345946912"</f>
        <v>1552376345946912</v>
      </c>
      <c r="C816" t="s">
        <v>40</v>
      </c>
      <c r="D816">
        <v>3.6105770000000001</v>
      </c>
      <c r="E816">
        <v>0.4937647</v>
      </c>
      <c r="F816" t="s">
        <v>47</v>
      </c>
      <c r="G816">
        <v>-158.19499999999999</v>
      </c>
      <c r="H816">
        <v>4.1935630000000002</v>
      </c>
      <c r="I816">
        <v>366.47469999999998</v>
      </c>
      <c r="J816">
        <v>-345.17759999999998</v>
      </c>
      <c r="K816">
        <v>1.1096379999999999</v>
      </c>
      <c r="L816">
        <v>368.3922</v>
      </c>
      <c r="M816">
        <v>0.9999555</v>
      </c>
      <c r="N816">
        <v>0</v>
      </c>
      <c r="O816">
        <v>2.891186E-3</v>
      </c>
      <c r="P816">
        <v>0.99823720000000005</v>
      </c>
      <c r="Q816">
        <v>5.2591980000000003E-2</v>
      </c>
      <c r="R816">
        <v>-2.751199E-2</v>
      </c>
      <c r="S816">
        <v>3.0018009999999999</v>
      </c>
      <c r="T816">
        <v>4.944432E-2</v>
      </c>
      <c r="U816">
        <v>-3.07312E-2</v>
      </c>
      <c r="V816">
        <v>3.0406530000000001E-2</v>
      </c>
      <c r="W816">
        <v>6.1566799999999998E-2</v>
      </c>
      <c r="X816">
        <v>0.99763970000000002</v>
      </c>
      <c r="Y816">
        <v>1.3125990000000001E-2</v>
      </c>
      <c r="Z816">
        <v>1.5571239999999999E-4</v>
      </c>
      <c r="AA816">
        <v>0.99991379999999996</v>
      </c>
      <c r="AB816">
        <v>31</v>
      </c>
      <c r="AC816">
        <v>186.98259999999999</v>
      </c>
      <c r="AD816">
        <v>3.0839249999999998</v>
      </c>
      <c r="AE816">
        <v>-1.91750000000001</v>
      </c>
      <c r="AF816">
        <v>2.4574468475116502</v>
      </c>
      <c r="AG816">
        <v>3.0839249999999998</v>
      </c>
      <c r="AH816">
        <v>186.92543174981299</v>
      </c>
      <c r="AI816">
        <v>89.054892676966503</v>
      </c>
      <c r="AJ816">
        <v>89.246794722003301</v>
      </c>
      <c r="AK816">
        <v>186.96702028236899</v>
      </c>
      <c r="AL816">
        <v>86.470249898007097</v>
      </c>
      <c r="AM816">
        <v>88.254252827960798</v>
      </c>
      <c r="AN816">
        <v>0.99999999947248497</v>
      </c>
    </row>
    <row r="817" spans="1:40" x14ac:dyDescent="0.25">
      <c r="A817" t="str">
        <f>"20190312153905979"</f>
        <v>20190312153905979</v>
      </c>
      <c r="B817" t="str">
        <f>"1552376345967409"</f>
        <v>1552376345967409</v>
      </c>
      <c r="C817" t="s">
        <v>40</v>
      </c>
      <c r="D817">
        <v>3.6096650000000001</v>
      </c>
      <c r="E817">
        <v>0.49389110000000003</v>
      </c>
      <c r="F817" t="s">
        <v>47</v>
      </c>
      <c r="G817">
        <v>-158.19499999999999</v>
      </c>
      <c r="H817">
        <v>4.3376970000000004</v>
      </c>
      <c r="I817">
        <v>366.53870000000001</v>
      </c>
      <c r="J817">
        <v>-344.87169999999998</v>
      </c>
      <c r="K817">
        <v>1.1096360000000001</v>
      </c>
      <c r="L817">
        <v>368.39299999999997</v>
      </c>
      <c r="M817">
        <v>0.99995529999999999</v>
      </c>
      <c r="N817">
        <v>0</v>
      </c>
      <c r="O817">
        <v>2.8426039999999999E-3</v>
      </c>
      <c r="P817">
        <v>0.99822909999999998</v>
      </c>
      <c r="Q817">
        <v>5.2801710000000002E-2</v>
      </c>
      <c r="R817">
        <v>-2.7401539999999999E-2</v>
      </c>
      <c r="S817">
        <v>3.0017399999999999</v>
      </c>
      <c r="T817">
        <v>5.1823260000000003E-2</v>
      </c>
      <c r="U817">
        <v>-2.9754639999999999E-2</v>
      </c>
      <c r="V817">
        <v>3.0247400000000001E-2</v>
      </c>
      <c r="W817">
        <v>6.1802860000000001E-2</v>
      </c>
      <c r="X817">
        <v>0.99762989999999996</v>
      </c>
      <c r="Y817">
        <v>1.275219E-2</v>
      </c>
      <c r="Z817">
        <v>1.5914179999999999E-4</v>
      </c>
      <c r="AA817">
        <v>0.99991870000000005</v>
      </c>
      <c r="AB817">
        <v>31</v>
      </c>
      <c r="AC817">
        <v>186.67670000000001</v>
      </c>
      <c r="AD817">
        <v>3.2280609999999998</v>
      </c>
      <c r="AE817">
        <v>-1.85430000000002</v>
      </c>
      <c r="AF817">
        <v>2.38424914582327</v>
      </c>
      <c r="AG817">
        <v>3.2280609999999998</v>
      </c>
      <c r="AH817">
        <v>186.61487801049699</v>
      </c>
      <c r="AI817">
        <v>89.009078267571795</v>
      </c>
      <c r="AJ817">
        <v>89.268011304596797</v>
      </c>
      <c r="AK817">
        <v>186.65802344577</v>
      </c>
      <c r="AL817">
        <v>86.456698703707502</v>
      </c>
      <c r="AM817">
        <v>88.263366389970798</v>
      </c>
      <c r="AN817">
        <v>0.99999995804247299</v>
      </c>
    </row>
    <row r="818" spans="1:40" x14ac:dyDescent="0.25">
      <c r="A818" t="str">
        <f>"20190312153906000"</f>
        <v>20190312153906000</v>
      </c>
      <c r="B818" t="str">
        <f>"1552376345986929"</f>
        <v>1552376345986929</v>
      </c>
      <c r="C818" t="s">
        <v>40</v>
      </c>
      <c r="D818">
        <v>3.6276419999999998</v>
      </c>
      <c r="E818">
        <v>0.49402839999999998</v>
      </c>
      <c r="F818" t="s">
        <v>47</v>
      </c>
      <c r="G818">
        <v>-158.19499999999999</v>
      </c>
      <c r="H818">
        <v>4.4237229999999998</v>
      </c>
      <c r="I818">
        <v>366.47039999999998</v>
      </c>
      <c r="J818">
        <v>-344.57060000000001</v>
      </c>
      <c r="K818">
        <v>1.109637</v>
      </c>
      <c r="L818">
        <v>368.3938</v>
      </c>
      <c r="M818">
        <v>0.99995529999999999</v>
      </c>
      <c r="N818">
        <v>0</v>
      </c>
      <c r="O818">
        <v>2.7945069999999999E-3</v>
      </c>
      <c r="P818">
        <v>0.9982086</v>
      </c>
      <c r="Q818">
        <v>5.3182889999999997E-2</v>
      </c>
      <c r="R818">
        <v>-2.7413659999999999E-2</v>
      </c>
      <c r="S818">
        <v>3.0016479999999999</v>
      </c>
      <c r="T818">
        <v>5.3289889999999999E-2</v>
      </c>
      <c r="U818">
        <v>-3.091431E-2</v>
      </c>
      <c r="V818">
        <v>3.0211740000000001E-2</v>
      </c>
      <c r="W818">
        <v>6.2208819999999998E-2</v>
      </c>
      <c r="X818">
        <v>0.99760579999999999</v>
      </c>
      <c r="Y818">
        <v>1.309049E-2</v>
      </c>
      <c r="Z818">
        <v>1.6579839999999999E-4</v>
      </c>
      <c r="AA818">
        <v>0.99991430000000003</v>
      </c>
      <c r="AB818">
        <v>31</v>
      </c>
      <c r="AC818">
        <v>186.37559999999999</v>
      </c>
      <c r="AD818">
        <v>3.3140860000000001</v>
      </c>
      <c r="AE818">
        <v>-1.92340000000001</v>
      </c>
      <c r="AF818">
        <v>2.44346913561442</v>
      </c>
      <c r="AG818">
        <v>3.3140860000000001</v>
      </c>
      <c r="AH818">
        <v>186.31059358583599</v>
      </c>
      <c r="AI818">
        <v>88.981019861777995</v>
      </c>
      <c r="AJ818">
        <v>89.248607177436298</v>
      </c>
      <c r="AK818">
        <v>186.356086537946</v>
      </c>
      <c r="AL818">
        <v>86.4333942480703</v>
      </c>
      <c r="AM818">
        <v>88.265370654484698</v>
      </c>
      <c r="AN818">
        <v>1.0000000093566299</v>
      </c>
    </row>
    <row r="819" spans="1:40" x14ac:dyDescent="0.25">
      <c r="A819" t="str">
        <f>"20190312153906023"</f>
        <v>20190312153906023</v>
      </c>
      <c r="B819" t="str">
        <f>"1552376346017185"</f>
        <v>1552376346017185</v>
      </c>
      <c r="C819" t="s">
        <v>40</v>
      </c>
      <c r="D819">
        <v>3.6563979999999998</v>
      </c>
      <c r="E819">
        <v>0.49414609999999898</v>
      </c>
      <c r="F819" t="s">
        <v>47</v>
      </c>
      <c r="G819">
        <v>-158.19499999999999</v>
      </c>
      <c r="H819">
        <v>4.5345170000000001</v>
      </c>
      <c r="I819">
        <v>366.40609999999998</v>
      </c>
      <c r="J819">
        <v>-344.26130000000001</v>
      </c>
      <c r="K819">
        <v>1.10964</v>
      </c>
      <c r="L819">
        <v>368.39460000000003</v>
      </c>
      <c r="M819">
        <v>0.99995520000000004</v>
      </c>
      <c r="N819">
        <v>0</v>
      </c>
      <c r="O819">
        <v>2.7453999999999998E-3</v>
      </c>
      <c r="P819">
        <v>0.99817060000000002</v>
      </c>
      <c r="Q819">
        <v>5.3744710000000001E-2</v>
      </c>
      <c r="R819">
        <v>-2.7696100000000001E-2</v>
      </c>
      <c r="S819">
        <v>3.0015869999999998</v>
      </c>
      <c r="T819">
        <v>5.515921E-2</v>
      </c>
      <c r="U819">
        <v>-3.2012939999999997E-2</v>
      </c>
      <c r="V819">
        <v>3.0445300000000002E-2</v>
      </c>
      <c r="W819">
        <v>6.2793699999999994E-2</v>
      </c>
      <c r="X819">
        <v>0.99756210000000001</v>
      </c>
      <c r="Y819">
        <v>1.340732E-2</v>
      </c>
      <c r="Z819">
        <v>1.7362500000000001E-4</v>
      </c>
      <c r="AA819">
        <v>0.99991010000000002</v>
      </c>
      <c r="AB819">
        <v>31</v>
      </c>
      <c r="AC819">
        <v>186.06630000000001</v>
      </c>
      <c r="AD819">
        <v>3.4248769999999999</v>
      </c>
      <c r="AE819">
        <v>-1.9885000000000399</v>
      </c>
      <c r="AF819">
        <v>2.4984934716263698</v>
      </c>
      <c r="AG819">
        <v>3.4248769999999999</v>
      </c>
      <c r="AH819">
        <v>185.99712903454699</v>
      </c>
      <c r="AI819">
        <v>88.945192708689902</v>
      </c>
      <c r="AJ819">
        <v>89.230393918788806</v>
      </c>
      <c r="AK819">
        <v>186.04543601278399</v>
      </c>
      <c r="AL819">
        <v>86.399817607540896</v>
      </c>
      <c r="AM819">
        <v>88.251892394479697</v>
      </c>
      <c r="AN819">
        <v>1.0000000542040901</v>
      </c>
    </row>
    <row r="820" spans="1:40" x14ac:dyDescent="0.25">
      <c r="A820" t="str">
        <f>"20190312153906045"</f>
        <v>20190312153906045</v>
      </c>
      <c r="B820" t="str">
        <f>"1552376346036705"</f>
        <v>1552376346036705</v>
      </c>
      <c r="C820" t="s">
        <v>40</v>
      </c>
      <c r="D820">
        <v>3.6370930000000001</v>
      </c>
      <c r="E820">
        <v>0.49421520000000002</v>
      </c>
      <c r="F820" t="s">
        <v>47</v>
      </c>
      <c r="G820">
        <v>-158.19499999999999</v>
      </c>
      <c r="H820">
        <v>4.6691200000000004</v>
      </c>
      <c r="I820">
        <v>366.30599999999998</v>
      </c>
      <c r="J820">
        <v>-343.95859999999999</v>
      </c>
      <c r="K820">
        <v>1.1096379999999999</v>
      </c>
      <c r="L820">
        <v>368.3954</v>
      </c>
      <c r="M820">
        <v>0.99995509999999999</v>
      </c>
      <c r="N820">
        <v>0</v>
      </c>
      <c r="O820">
        <v>2.6973140000000001E-3</v>
      </c>
      <c r="P820">
        <v>0.99815609999999999</v>
      </c>
      <c r="Q820">
        <v>5.3923819999999997E-2</v>
      </c>
      <c r="R820">
        <v>-2.7868090000000002E-2</v>
      </c>
      <c r="S820">
        <v>3.001465</v>
      </c>
      <c r="T820">
        <v>5.7419900000000003E-2</v>
      </c>
      <c r="U820">
        <v>-3.3691409999999998E-2</v>
      </c>
      <c r="V820">
        <v>3.0569389999999998E-2</v>
      </c>
      <c r="W820">
        <v>6.2995490000000001E-2</v>
      </c>
      <c r="X820">
        <v>0.99754549999999997</v>
      </c>
      <c r="Y820">
        <v>1.3918460000000001E-2</v>
      </c>
      <c r="Z820">
        <v>1.847153E-4</v>
      </c>
      <c r="AA820">
        <v>0.99990310000000004</v>
      </c>
      <c r="AB820">
        <v>31</v>
      </c>
      <c r="AC820">
        <v>185.7636</v>
      </c>
      <c r="AD820">
        <v>3.559482</v>
      </c>
      <c r="AE820">
        <v>-2.0894000000000101</v>
      </c>
      <c r="AF820">
        <v>2.5895251901190499</v>
      </c>
      <c r="AG820">
        <v>3.559482</v>
      </c>
      <c r="AH820">
        <v>185.68911965798901</v>
      </c>
      <c r="AI820">
        <v>88.901936198447999</v>
      </c>
      <c r="AJ820">
        <v>89.201034246696807</v>
      </c>
      <c r="AK820">
        <v>185.74128435051199</v>
      </c>
      <c r="AL820">
        <v>86.388232659810697</v>
      </c>
      <c r="AM820">
        <v>88.244742655091102</v>
      </c>
      <c r="AN820">
        <v>0.99999997196778001</v>
      </c>
    </row>
    <row r="821" spans="1:40" x14ac:dyDescent="0.25">
      <c r="A821" t="str">
        <f>"20190312153906056"</f>
        <v>20190312153906056</v>
      </c>
      <c r="B821" t="str">
        <f>"1552376346046465"</f>
        <v>1552376346046465</v>
      </c>
      <c r="C821" t="s">
        <v>40</v>
      </c>
      <c r="D821">
        <v>3.608787</v>
      </c>
      <c r="E821">
        <v>0.49424249999999997</v>
      </c>
      <c r="F821" t="s">
        <v>47</v>
      </c>
      <c r="G821">
        <v>-158.19499999999999</v>
      </c>
      <c r="H821">
        <v>4.6958029999999997</v>
      </c>
      <c r="I821">
        <v>366.24029999999999</v>
      </c>
      <c r="J821">
        <v>-343.78399999999999</v>
      </c>
      <c r="K821">
        <v>1.109639</v>
      </c>
      <c r="L821">
        <v>368.39580000000001</v>
      </c>
      <c r="M821">
        <v>0.99995489999999998</v>
      </c>
      <c r="N821">
        <v>0</v>
      </c>
      <c r="O821">
        <v>2.6696580000000001E-3</v>
      </c>
      <c r="P821">
        <v>0.99814069999999999</v>
      </c>
      <c r="Q821">
        <v>5.4181100000000003E-2</v>
      </c>
      <c r="R821">
        <v>-2.7918760000000001E-2</v>
      </c>
      <c r="S821">
        <v>3.0014340000000002</v>
      </c>
      <c r="T821">
        <v>5.7944059999999999E-2</v>
      </c>
      <c r="U821">
        <v>-3.482056E-2</v>
      </c>
      <c r="V821">
        <v>3.0592339999999999E-2</v>
      </c>
      <c r="W821">
        <v>6.3264840000000003E-2</v>
      </c>
      <c r="X821">
        <v>0.99752779999999996</v>
      </c>
      <c r="Y821">
        <v>1.4266920000000001E-2</v>
      </c>
      <c r="Z821">
        <v>1.8923200000000001E-4</v>
      </c>
      <c r="AA821">
        <v>0.99989819999999996</v>
      </c>
      <c r="AB821">
        <v>31</v>
      </c>
      <c r="AC821">
        <v>185.589</v>
      </c>
      <c r="AD821">
        <v>3.5861640000000001</v>
      </c>
      <c r="AE821">
        <v>-2.1555000000000102</v>
      </c>
      <c r="AF821">
        <v>2.6499827291219198</v>
      </c>
      <c r="AG821">
        <v>3.5861640000000001</v>
      </c>
      <c r="AH821">
        <v>185.51332551869601</v>
      </c>
      <c r="AI821">
        <v>88.892664337793704</v>
      </c>
      <c r="AJ821">
        <v>89.181608653418095</v>
      </c>
      <c r="AK821">
        <v>185.56690687109401</v>
      </c>
      <c r="AL821">
        <v>86.372769376113794</v>
      </c>
      <c r="AM821">
        <v>88.243394570254694</v>
      </c>
      <c r="AN821">
        <v>1.0000000215098701</v>
      </c>
    </row>
    <row r="822" spans="1:40" x14ac:dyDescent="0.25">
      <c r="A822" t="str">
        <f>"20190312153906079"</f>
        <v>20190312153906079</v>
      </c>
      <c r="B822" t="str">
        <f>"1552376346066555"</f>
        <v>1552376346066555</v>
      </c>
      <c r="C822" t="s">
        <v>40</v>
      </c>
      <c r="D822">
        <v>3.6109589999999998</v>
      </c>
      <c r="E822">
        <v>0.49431180000000002</v>
      </c>
      <c r="F822" t="s">
        <v>47</v>
      </c>
      <c r="G822">
        <v>-158.19499999999999</v>
      </c>
      <c r="H822">
        <v>4.7365870000000001</v>
      </c>
      <c r="I822">
        <v>366.2353</v>
      </c>
      <c r="J822">
        <v>-343.49040000000002</v>
      </c>
      <c r="K822">
        <v>1.109642</v>
      </c>
      <c r="L822">
        <v>368.39659999999998</v>
      </c>
      <c r="M822">
        <v>0.99995500000000004</v>
      </c>
      <c r="N822">
        <v>0</v>
      </c>
      <c r="O822">
        <v>2.6228929999999998E-3</v>
      </c>
      <c r="P822">
        <v>0.99812350000000005</v>
      </c>
      <c r="Q822">
        <v>5.4162349999999998E-2</v>
      </c>
      <c r="R822">
        <v>-2.8574220000000001E-2</v>
      </c>
      <c r="S822">
        <v>3.0014340000000002</v>
      </c>
      <c r="T822">
        <v>5.8658120000000001E-2</v>
      </c>
      <c r="U822">
        <v>-3.4942630000000002E-2</v>
      </c>
      <c r="V822">
        <v>3.1201010000000001E-2</v>
      </c>
      <c r="W822">
        <v>6.3265790000000002E-2</v>
      </c>
      <c r="X822">
        <v>0.99750890000000003</v>
      </c>
      <c r="Y822">
        <v>1.4260750000000001E-2</v>
      </c>
      <c r="Z822">
        <v>1.9058930000000001E-4</v>
      </c>
      <c r="AA822">
        <v>0.99989830000000002</v>
      </c>
      <c r="AB822">
        <v>31</v>
      </c>
      <c r="AC822">
        <v>185.2954</v>
      </c>
      <c r="AD822">
        <v>3.6269449999999899</v>
      </c>
      <c r="AE822">
        <v>-2.1612999999999798</v>
      </c>
      <c r="AF822">
        <v>2.64630901437015</v>
      </c>
      <c r="AG822">
        <v>3.6269449999999899</v>
      </c>
      <c r="AH822">
        <v>185.218139440366</v>
      </c>
      <c r="AI822">
        <v>88.878290825020002</v>
      </c>
      <c r="AJ822">
        <v>89.181440746186794</v>
      </c>
      <c r="AK822">
        <v>185.27254750551501</v>
      </c>
      <c r="AL822">
        <v>86.372714882664297</v>
      </c>
      <c r="AM822">
        <v>88.208433504167999</v>
      </c>
      <c r="AN822">
        <v>1.0000000343942701</v>
      </c>
    </row>
    <row r="823" spans="1:40" x14ac:dyDescent="0.25">
      <c r="A823" t="str">
        <f>"20190312153906100"</f>
        <v>20190312153906100</v>
      </c>
      <c r="B823" t="str">
        <f>"1552376346087052"</f>
        <v>1552376346087052</v>
      </c>
      <c r="C823" t="s">
        <v>40</v>
      </c>
      <c r="D823">
        <v>4.0257110000000003</v>
      </c>
      <c r="E823">
        <v>0.49439519999999998</v>
      </c>
      <c r="F823" t="s">
        <v>47</v>
      </c>
      <c r="G823">
        <v>-158.19499999999999</v>
      </c>
      <c r="H823">
        <v>4.7248099999999997</v>
      </c>
      <c r="I823">
        <v>366.08300000000003</v>
      </c>
      <c r="J823">
        <v>-343.18040000000002</v>
      </c>
      <c r="K823">
        <v>1.109642</v>
      </c>
      <c r="L823">
        <v>368.39729999999997</v>
      </c>
      <c r="M823">
        <v>0.99995480000000003</v>
      </c>
      <c r="N823">
        <v>0</v>
      </c>
      <c r="O823">
        <v>2.5736069999999999E-3</v>
      </c>
      <c r="P823">
        <v>0.99810790000000005</v>
      </c>
      <c r="Q823">
        <v>5.4350549999999997E-2</v>
      </c>
      <c r="R823">
        <v>-2.875204E-2</v>
      </c>
      <c r="S823">
        <v>3.001404</v>
      </c>
      <c r="T823">
        <v>5.8559659999999999E-2</v>
      </c>
      <c r="U823">
        <v>-3.7475590000000003E-2</v>
      </c>
      <c r="V823">
        <v>3.1329719999999998E-2</v>
      </c>
      <c r="W823">
        <v>6.3478039999999999E-2</v>
      </c>
      <c r="X823">
        <v>0.99749140000000003</v>
      </c>
      <c r="Y823">
        <v>1.505517E-2</v>
      </c>
      <c r="Z823">
        <v>1.9705769999999999E-4</v>
      </c>
      <c r="AA823">
        <v>0.99988659999999996</v>
      </c>
      <c r="AB823">
        <v>31</v>
      </c>
      <c r="AC823">
        <v>184.9854</v>
      </c>
      <c r="AD823">
        <v>3.6151680000000002</v>
      </c>
      <c r="AE823">
        <v>-2.3142999999999398</v>
      </c>
      <c r="AF823">
        <v>2.7893268415902202</v>
      </c>
      <c r="AG823">
        <v>3.6151680000000002</v>
      </c>
      <c r="AH823">
        <v>184.90822031184899</v>
      </c>
      <c r="AI823">
        <v>88.8800718104563</v>
      </c>
      <c r="AJ823">
        <v>89.1357629491457</v>
      </c>
      <c r="AK823">
        <v>184.96459045664099</v>
      </c>
      <c r="AL823">
        <v>86.360529428508599</v>
      </c>
      <c r="AM823">
        <v>88.201016263502297</v>
      </c>
      <c r="AN823">
        <v>1.00000005299573</v>
      </c>
    </row>
    <row r="824" spans="1:40" x14ac:dyDescent="0.25">
      <c r="A824" t="str">
        <f>"20190312153906125"</f>
        <v>20190312153906125</v>
      </c>
      <c r="B824" t="str">
        <f>"1552376346116331"</f>
        <v>1552376346116331</v>
      </c>
      <c r="C824" t="s">
        <v>40</v>
      </c>
      <c r="D824">
        <v>3.6398380000000001</v>
      </c>
      <c r="E824">
        <v>0.49451600000000001</v>
      </c>
      <c r="F824" t="s">
        <v>47</v>
      </c>
      <c r="G824">
        <v>-158.19499999999999</v>
      </c>
      <c r="H824">
        <v>4.7595460000000003</v>
      </c>
      <c r="I824">
        <v>366.00479999999999</v>
      </c>
      <c r="J824">
        <v>-342.8544</v>
      </c>
      <c r="K824">
        <v>1.1096410000000001</v>
      </c>
      <c r="L824">
        <v>368.3981</v>
      </c>
      <c r="M824">
        <v>0.99995480000000003</v>
      </c>
      <c r="N824">
        <v>0</v>
      </c>
      <c r="O824">
        <v>2.5217970000000001E-3</v>
      </c>
      <c r="P824">
        <v>0.9981044</v>
      </c>
      <c r="Q824">
        <v>5.4220400000000002E-2</v>
      </c>
      <c r="R824">
        <v>-2.912006E-2</v>
      </c>
      <c r="S824">
        <v>3.0013429999999999</v>
      </c>
      <c r="T824">
        <v>5.9220189999999999E-2</v>
      </c>
      <c r="U824">
        <v>-3.8818360000000003E-2</v>
      </c>
      <c r="V824">
        <v>3.164583E-2</v>
      </c>
      <c r="W824">
        <v>6.3375710000000002E-2</v>
      </c>
      <c r="X824">
        <v>0.99748789999999998</v>
      </c>
      <c r="Y824">
        <v>1.5450739999999999E-2</v>
      </c>
      <c r="Z824">
        <v>2.021634E-4</v>
      </c>
      <c r="AA824">
        <v>0.99988060000000001</v>
      </c>
      <c r="AB824">
        <v>31</v>
      </c>
      <c r="AC824">
        <v>184.65940000000001</v>
      </c>
      <c r="AD824">
        <v>3.649905</v>
      </c>
      <c r="AE824">
        <v>-2.3933</v>
      </c>
      <c r="AF824">
        <v>2.8578691562301599</v>
      </c>
      <c r="AG824">
        <v>3.649905</v>
      </c>
      <c r="AH824">
        <v>184.58067739345501</v>
      </c>
      <c r="AI824">
        <v>88.867314537089797</v>
      </c>
      <c r="AJ824">
        <v>89.112958296704804</v>
      </c>
      <c r="AK824">
        <v>184.63887913884699</v>
      </c>
      <c r="AL824">
        <v>86.366404232318899</v>
      </c>
      <c r="AM824">
        <v>88.182870648939598</v>
      </c>
      <c r="AN824">
        <v>1.0000000249104</v>
      </c>
    </row>
    <row r="825" spans="1:40" x14ac:dyDescent="0.25">
      <c r="A825" t="str">
        <f>"20190312153906145"</f>
        <v>20190312153906145</v>
      </c>
      <c r="B825" t="str">
        <f>"1552376346136827"</f>
        <v>1552376346136827</v>
      </c>
      <c r="C825" t="s">
        <v>40</v>
      </c>
      <c r="D825">
        <v>3.5958290000000002</v>
      </c>
      <c r="E825">
        <v>0.49458390000000002</v>
      </c>
      <c r="F825" t="s">
        <v>47</v>
      </c>
      <c r="G825">
        <v>-158.19499999999999</v>
      </c>
      <c r="H825">
        <v>4.746829</v>
      </c>
      <c r="I825">
        <v>365.8877</v>
      </c>
      <c r="J825">
        <v>-342.56610000000001</v>
      </c>
      <c r="K825">
        <v>1.109648</v>
      </c>
      <c r="L825">
        <v>368.39879999999999</v>
      </c>
      <c r="M825">
        <v>0.99995460000000003</v>
      </c>
      <c r="N825">
        <v>0</v>
      </c>
      <c r="O825">
        <v>2.476078E-3</v>
      </c>
      <c r="P825">
        <v>0.99810480000000001</v>
      </c>
      <c r="Q825">
        <v>5.4277100000000002E-2</v>
      </c>
      <c r="R825">
        <v>-2.899413E-2</v>
      </c>
      <c r="S825">
        <v>3.0012509999999999</v>
      </c>
      <c r="T825">
        <v>5.911624E-2</v>
      </c>
      <c r="U825">
        <v>-4.0801999999999998E-2</v>
      </c>
      <c r="V825">
        <v>3.1474429999999998E-2</v>
      </c>
      <c r="W825">
        <v>6.3458529999999999E-2</v>
      </c>
      <c r="X825">
        <v>0.99748800000000004</v>
      </c>
      <c r="Y825">
        <v>1.606606E-2</v>
      </c>
      <c r="Z825">
        <v>2.069726E-4</v>
      </c>
      <c r="AA825">
        <v>0.99987090000000001</v>
      </c>
      <c r="AB825">
        <v>31</v>
      </c>
      <c r="AC825">
        <v>184.37110000000001</v>
      </c>
      <c r="AD825">
        <v>3.6371809999999898</v>
      </c>
      <c r="AE825">
        <v>-2.5110999999999901</v>
      </c>
      <c r="AF825">
        <v>2.9664745918389599</v>
      </c>
      <c r="AG825">
        <v>3.6371809999999898</v>
      </c>
      <c r="AH825">
        <v>184.29260818071299</v>
      </c>
      <c r="AI825">
        <v>88.869509253508397</v>
      </c>
      <c r="AJ825">
        <v>89.077815443963701</v>
      </c>
      <c r="AK825">
        <v>184.35236501650999</v>
      </c>
      <c r="AL825">
        <v>86.361649215755705</v>
      </c>
      <c r="AM825">
        <v>88.192706212929707</v>
      </c>
      <c r="AN825">
        <v>0.99999996745879205</v>
      </c>
    </row>
    <row r="826" spans="1:40" x14ac:dyDescent="0.25">
      <c r="A826" t="str">
        <f>"20190312153906168"</f>
        <v>20190312153906168</v>
      </c>
      <c r="B826" t="str">
        <f>"1552376346156347"</f>
        <v>1552376346156347</v>
      </c>
      <c r="C826" t="s">
        <v>40</v>
      </c>
      <c r="D826">
        <v>3.650903</v>
      </c>
      <c r="E826">
        <v>0.49464940000000002</v>
      </c>
      <c r="F826" t="s">
        <v>47</v>
      </c>
      <c r="G826">
        <v>-158.19499999999999</v>
      </c>
      <c r="H826">
        <v>4.761463</v>
      </c>
      <c r="I826">
        <v>365.8811</v>
      </c>
      <c r="J826">
        <v>-342.25650000000002</v>
      </c>
      <c r="K826">
        <v>1.1096509999999999</v>
      </c>
      <c r="L826">
        <v>368.39949999999999</v>
      </c>
      <c r="M826">
        <v>0.99995449999999997</v>
      </c>
      <c r="N826">
        <v>0</v>
      </c>
      <c r="O826">
        <v>2.4265910000000001E-3</v>
      </c>
      <c r="P826">
        <v>0.99808640000000004</v>
      </c>
      <c r="Q826">
        <v>5.465043E-2</v>
      </c>
      <c r="R826">
        <v>-2.8936090000000001E-2</v>
      </c>
      <c r="S826">
        <v>3.0012819999999998</v>
      </c>
      <c r="T826">
        <v>5.9447409999999999E-2</v>
      </c>
      <c r="U826">
        <v>-4.0985109999999998E-2</v>
      </c>
      <c r="V826">
        <v>3.1366949999999998E-2</v>
      </c>
      <c r="W826">
        <v>6.3860630000000002E-2</v>
      </c>
      <c r="X826">
        <v>0.99746570000000001</v>
      </c>
      <c r="Y826">
        <v>1.6077399999999999E-2</v>
      </c>
      <c r="Z826">
        <v>2.0726180000000001E-4</v>
      </c>
      <c r="AA826">
        <v>0.9998707</v>
      </c>
      <c r="AB826">
        <v>31</v>
      </c>
      <c r="AC826">
        <v>184.0615</v>
      </c>
      <c r="AD826">
        <v>3.6518120000000001</v>
      </c>
      <c r="AE826">
        <v>-2.5183999999999802</v>
      </c>
      <c r="AF826">
        <v>2.9638871082572802</v>
      </c>
      <c r="AG826">
        <v>3.6518120000000001</v>
      </c>
      <c r="AH826">
        <v>183.98243875211799</v>
      </c>
      <c r="AI826">
        <v>88.863050127721905</v>
      </c>
      <c r="AJ826">
        <v>89.077066619533994</v>
      </c>
      <c r="AK826">
        <v>184.04254433921099</v>
      </c>
      <c r="AL826">
        <v>86.338563671544605</v>
      </c>
      <c r="AM826">
        <v>88.1988335112258</v>
      </c>
      <c r="AN826">
        <v>0.99999994414639304</v>
      </c>
    </row>
    <row r="827" spans="1:40" x14ac:dyDescent="0.25">
      <c r="A827" t="str">
        <f>"20190312153906189"</f>
        <v>20190312153906189</v>
      </c>
      <c r="B827" t="str">
        <f>"1552376346176844"</f>
        <v>1552376346176844</v>
      </c>
      <c r="C827" t="s">
        <v>40</v>
      </c>
      <c r="D827">
        <v>3.644247</v>
      </c>
      <c r="E827">
        <v>0.49471009999999999</v>
      </c>
      <c r="F827" t="s">
        <v>47</v>
      </c>
      <c r="G827">
        <v>-158.19499999999999</v>
      </c>
      <c r="H827">
        <v>4.8322669999999999</v>
      </c>
      <c r="I827">
        <v>365.87290000000002</v>
      </c>
      <c r="J827">
        <v>-341.95760000000001</v>
      </c>
      <c r="K827">
        <v>1.1096569999999999</v>
      </c>
      <c r="L827">
        <v>368.40019999999998</v>
      </c>
      <c r="M827">
        <v>0.99995429999999996</v>
      </c>
      <c r="N827">
        <v>0</v>
      </c>
      <c r="O827">
        <v>2.37894E-3</v>
      </c>
      <c r="P827">
        <v>0.99809479999999995</v>
      </c>
      <c r="Q827">
        <v>5.4465859999999998E-2</v>
      </c>
      <c r="R827">
        <v>-2.899444E-2</v>
      </c>
      <c r="S827">
        <v>3.0012509999999999</v>
      </c>
      <c r="T827">
        <v>6.0701249999999998E-2</v>
      </c>
      <c r="U827">
        <v>-4.1198730000000003E-2</v>
      </c>
      <c r="V827">
        <v>3.1377790000000003E-2</v>
      </c>
      <c r="W827">
        <v>6.3706929999999995E-2</v>
      </c>
      <c r="X827">
        <v>0.99747529999999995</v>
      </c>
      <c r="Y827">
        <v>1.610089E-2</v>
      </c>
      <c r="Z827">
        <v>2.1090839999999999E-4</v>
      </c>
      <c r="AA827">
        <v>0.99987040000000005</v>
      </c>
      <c r="AB827">
        <v>31</v>
      </c>
      <c r="AC827">
        <v>183.76259999999999</v>
      </c>
      <c r="AD827">
        <v>3.72261</v>
      </c>
      <c r="AE827">
        <v>-2.5272999999999599</v>
      </c>
      <c r="AF827">
        <v>2.9632559735179198</v>
      </c>
      <c r="AG827">
        <v>3.72261</v>
      </c>
      <c r="AH827">
        <v>183.680703711142</v>
      </c>
      <c r="AI827">
        <v>88.839111003364195</v>
      </c>
      <c r="AJ827">
        <v>89.075747585461599</v>
      </c>
      <c r="AK827">
        <v>183.74231855235999</v>
      </c>
      <c r="AL827">
        <v>86.347388412451394</v>
      </c>
      <c r="AM827">
        <v>88.198228791829806</v>
      </c>
      <c r="AN827">
        <v>1.0000000563726901</v>
      </c>
    </row>
    <row r="828" spans="1:40" x14ac:dyDescent="0.25">
      <c r="A828" t="str">
        <f>"20190312153906211"</f>
        <v>20190312153906211</v>
      </c>
      <c r="B828" t="str">
        <f>"1552376346207100"</f>
        <v>1552376346207100</v>
      </c>
      <c r="C828" t="s">
        <v>40</v>
      </c>
      <c r="D828">
        <v>3.6201889999999999</v>
      </c>
      <c r="E828">
        <v>0.49478539999999999</v>
      </c>
      <c r="F828" t="s">
        <v>47</v>
      </c>
      <c r="G828">
        <v>-158.19499999999999</v>
      </c>
      <c r="H828">
        <v>4.8015369999999997</v>
      </c>
      <c r="I828">
        <v>365.8365</v>
      </c>
      <c r="J828">
        <v>-341.63959999999997</v>
      </c>
      <c r="K828">
        <v>1.1096649999999999</v>
      </c>
      <c r="L828">
        <v>368.40089999999998</v>
      </c>
      <c r="M828">
        <v>0.99995400000000001</v>
      </c>
      <c r="N828">
        <v>0</v>
      </c>
      <c r="O828">
        <v>2.3284600000000001E-3</v>
      </c>
      <c r="P828">
        <v>0.99812239999999997</v>
      </c>
      <c r="Q828">
        <v>5.4212660000000003E-2</v>
      </c>
      <c r="R828">
        <v>-2.850718E-2</v>
      </c>
      <c r="S828">
        <v>3.0011899999999998</v>
      </c>
      <c r="T828">
        <v>6.029677E-2</v>
      </c>
      <c r="U828">
        <v>-4.1870119999999997E-2</v>
      </c>
      <c r="V828">
        <v>3.0840200000000002E-2</v>
      </c>
      <c r="W828">
        <v>6.349088E-2</v>
      </c>
      <c r="X828">
        <v>0.9975058</v>
      </c>
      <c r="Y828">
        <v>1.6274360000000002E-2</v>
      </c>
      <c r="Z828">
        <v>2.102354E-4</v>
      </c>
      <c r="AA828">
        <v>0.99986759999999997</v>
      </c>
      <c r="AB828">
        <v>31</v>
      </c>
      <c r="AC828">
        <v>183.44460000000001</v>
      </c>
      <c r="AD828">
        <v>3.691872</v>
      </c>
      <c r="AE828">
        <v>-2.5643999999999698</v>
      </c>
      <c r="AF828">
        <v>2.9903440205411198</v>
      </c>
      <c r="AG828">
        <v>3.691872</v>
      </c>
      <c r="AH828">
        <v>183.363878587611</v>
      </c>
      <c r="AI828">
        <v>88.846708537601998</v>
      </c>
      <c r="AJ828">
        <v>89.065688912508605</v>
      </c>
      <c r="AK828">
        <v>183.42541821382801</v>
      </c>
      <c r="AL828">
        <v>86.3597921267327</v>
      </c>
      <c r="AM828">
        <v>88.229132497986697</v>
      </c>
      <c r="AN828">
        <v>1.0000000154064199</v>
      </c>
    </row>
    <row r="829" spans="1:40" x14ac:dyDescent="0.25">
      <c r="A829" t="str">
        <f>"20190312153906234"</f>
        <v>20190312153906234</v>
      </c>
      <c r="B829" t="str">
        <f>"1552376346226620"</f>
        <v>1552376346226620</v>
      </c>
      <c r="C829" t="s">
        <v>40</v>
      </c>
      <c r="D829">
        <v>3.636225</v>
      </c>
      <c r="E829">
        <v>0.49483850000000001</v>
      </c>
      <c r="F829" t="s">
        <v>47</v>
      </c>
      <c r="G829">
        <v>-158.19499999999999</v>
      </c>
      <c r="H829">
        <v>4.745279</v>
      </c>
      <c r="I829">
        <v>365.89580000000001</v>
      </c>
      <c r="J829">
        <v>-341.32760000000002</v>
      </c>
      <c r="K829">
        <v>1.1096699999999999</v>
      </c>
      <c r="L829">
        <v>368.40159999999997</v>
      </c>
      <c r="M829">
        <v>0.99995389999999995</v>
      </c>
      <c r="N829">
        <v>0</v>
      </c>
      <c r="O829">
        <v>2.2787279999999998E-3</v>
      </c>
      <c r="P829">
        <v>0.99812480000000003</v>
      </c>
      <c r="Q829">
        <v>5.407522E-2</v>
      </c>
      <c r="R829">
        <v>-2.8691890000000001E-2</v>
      </c>
      <c r="S829">
        <v>3.0012819999999998</v>
      </c>
      <c r="T829">
        <v>5.9482569999999999E-2</v>
      </c>
      <c r="U829">
        <v>-4.0985109999999998E-2</v>
      </c>
      <c r="V829">
        <v>3.0975200000000001E-2</v>
      </c>
      <c r="W829">
        <v>6.3395220000000002E-2</v>
      </c>
      <c r="X829">
        <v>0.9975077</v>
      </c>
      <c r="Y829">
        <v>1.5929599999999999E-2</v>
      </c>
      <c r="Z829">
        <v>2.0298979999999999E-4</v>
      </c>
      <c r="AA829">
        <v>0.99987309999999996</v>
      </c>
      <c r="AB829">
        <v>31</v>
      </c>
      <c r="AC829">
        <v>183.1326</v>
      </c>
      <c r="AD829">
        <v>3.6356090000000001</v>
      </c>
      <c r="AE829">
        <v>-2.5057999999999598</v>
      </c>
      <c r="AF829">
        <v>2.921969655546</v>
      </c>
      <c r="AG829">
        <v>3.6356090000000001</v>
      </c>
      <c r="AH829">
        <v>183.054283262718</v>
      </c>
      <c r="AI829">
        <v>88.862353048687297</v>
      </c>
      <c r="AJ829">
        <v>89.085504532701506</v>
      </c>
      <c r="AK829">
        <v>183.113697413099</v>
      </c>
      <c r="AL829">
        <v>86.365284100503402</v>
      </c>
      <c r="AM829">
        <v>88.221389050192101</v>
      </c>
      <c r="AN829">
        <v>1.0000000142465799</v>
      </c>
    </row>
    <row r="830" spans="1:40" x14ac:dyDescent="0.25">
      <c r="A830" t="str">
        <f>"20190312153906256"</f>
        <v>20190312153906256</v>
      </c>
      <c r="B830" t="str">
        <f>"1552376346247116"</f>
        <v>1552376346247116</v>
      </c>
      <c r="C830" t="s">
        <v>40</v>
      </c>
      <c r="D830">
        <v>3.6068539999999998</v>
      </c>
      <c r="E830">
        <v>0.49489250000000001</v>
      </c>
      <c r="F830" t="s">
        <v>47</v>
      </c>
      <c r="G830">
        <v>-158.19499999999999</v>
      </c>
      <c r="H830">
        <v>4.7289379999999896</v>
      </c>
      <c r="I830">
        <v>365.83550000000002</v>
      </c>
      <c r="J830">
        <v>-341.01580000000001</v>
      </c>
      <c r="K830">
        <v>1.10968</v>
      </c>
      <c r="L830">
        <v>368.40230000000003</v>
      </c>
      <c r="M830">
        <v>0.99995350000000005</v>
      </c>
      <c r="N830">
        <v>0</v>
      </c>
      <c r="O830">
        <v>2.2293009999999999E-3</v>
      </c>
      <c r="P830">
        <v>0.99811760000000005</v>
      </c>
      <c r="Q830">
        <v>5.4121599999999999E-2</v>
      </c>
      <c r="R830">
        <v>-2.884871E-2</v>
      </c>
      <c r="S830">
        <v>3.0012210000000001</v>
      </c>
      <c r="T830">
        <v>5.9314850000000002E-2</v>
      </c>
      <c r="U830">
        <v>-4.2053220000000002E-2</v>
      </c>
      <c r="V830">
        <v>3.1083E-2</v>
      </c>
      <c r="W830">
        <v>6.3494690000000006E-2</v>
      </c>
      <c r="X830">
        <v>0.997498</v>
      </c>
      <c r="Y830">
        <v>1.6236199999999999E-2</v>
      </c>
      <c r="Z830">
        <v>2.0447379999999999E-4</v>
      </c>
      <c r="AA830">
        <v>0.99986819999999998</v>
      </c>
      <c r="AB830">
        <v>31</v>
      </c>
      <c r="AC830">
        <v>182.82079999999999</v>
      </c>
      <c r="AD830">
        <v>3.6192579999999999</v>
      </c>
      <c r="AE830">
        <v>-2.5668000000000002</v>
      </c>
      <c r="AF830">
        <v>2.9732091482695102</v>
      </c>
      <c r="AG830">
        <v>3.6192579999999999</v>
      </c>
      <c r="AH830">
        <v>182.74301829399201</v>
      </c>
      <c r="AI830">
        <v>88.865545323256399</v>
      </c>
      <c r="AJ830">
        <v>89.067886103143707</v>
      </c>
      <c r="AK830">
        <v>182.80303535857499</v>
      </c>
      <c r="AL830">
        <v>86.359573311438496</v>
      </c>
      <c r="AM830">
        <v>88.215185773967804</v>
      </c>
      <c r="AN830">
        <v>0.99999999427559705</v>
      </c>
    </row>
    <row r="831" spans="1:40" x14ac:dyDescent="0.25">
      <c r="A831" t="str">
        <f>"20190312153906280"</f>
        <v>20190312153906280</v>
      </c>
      <c r="B831" t="str">
        <f>"1552376346267142"</f>
        <v>1552376346267142</v>
      </c>
      <c r="C831" t="s">
        <v>40</v>
      </c>
      <c r="D831">
        <v>3.622271</v>
      </c>
      <c r="E831">
        <v>0.49495109999999998</v>
      </c>
      <c r="F831" t="s">
        <v>47</v>
      </c>
      <c r="G831">
        <v>-158.19499999999999</v>
      </c>
      <c r="H831">
        <v>4.7299319999999998</v>
      </c>
      <c r="I831">
        <v>365.7978</v>
      </c>
      <c r="J831">
        <v>-340.69220000000001</v>
      </c>
      <c r="K831">
        <v>1.109694</v>
      </c>
      <c r="L831">
        <v>368.40289999999999</v>
      </c>
      <c r="M831">
        <v>0.99995290000000003</v>
      </c>
      <c r="N831">
        <v>0</v>
      </c>
      <c r="O831">
        <v>2.1777559999999999E-3</v>
      </c>
      <c r="P831">
        <v>0.99810080000000001</v>
      </c>
      <c r="Q831">
        <v>5.4469759999999999E-2</v>
      </c>
      <c r="R831">
        <v>-2.8782479999999999E-2</v>
      </c>
      <c r="S831">
        <v>3.0011899999999998</v>
      </c>
      <c r="T831">
        <v>5.943155E-2</v>
      </c>
      <c r="U831">
        <v>-4.2755130000000002E-2</v>
      </c>
      <c r="V831">
        <v>3.0965059999999999E-2</v>
      </c>
      <c r="W831">
        <v>6.3913929999999994E-2</v>
      </c>
      <c r="X831">
        <v>0.99747490000000005</v>
      </c>
      <c r="Y831">
        <v>1.641857E-2</v>
      </c>
      <c r="Z831">
        <v>2.0566249999999999E-4</v>
      </c>
      <c r="AA831">
        <v>0.99986520000000001</v>
      </c>
      <c r="AB831">
        <v>31</v>
      </c>
      <c r="AC831">
        <v>182.49719999999999</v>
      </c>
      <c r="AD831">
        <v>3.6202380000000001</v>
      </c>
      <c r="AE831">
        <v>-2.60509999999999</v>
      </c>
      <c r="AF831">
        <v>3.0013651286362499</v>
      </c>
      <c r="AG831">
        <v>3.6202380000000001</v>
      </c>
      <c r="AH831">
        <v>182.41932347201001</v>
      </c>
      <c r="AI831">
        <v>88.863228573527806</v>
      </c>
      <c r="AJ831">
        <v>89.057391308144204</v>
      </c>
      <c r="AK831">
        <v>182.479927366814</v>
      </c>
      <c r="AL831">
        <v>86.3355037626186</v>
      </c>
      <c r="AM831">
        <v>88.221912490638601</v>
      </c>
      <c r="AN831">
        <v>1.0000000007594201</v>
      </c>
    </row>
    <row r="832" spans="1:40" x14ac:dyDescent="0.25">
      <c r="A832" t="str">
        <f>"20190312153906302"</f>
        <v>20190312153906302</v>
      </c>
      <c r="B832" t="str">
        <f>"1552376346296422"</f>
        <v>1552376346296422</v>
      </c>
      <c r="C832" t="s">
        <v>40</v>
      </c>
      <c r="D832">
        <v>3.668533</v>
      </c>
      <c r="E832">
        <v>0.49500060000000001</v>
      </c>
      <c r="F832" t="s">
        <v>47</v>
      </c>
      <c r="G832">
        <v>-158.19499999999999</v>
      </c>
      <c r="H832">
        <v>4.7867129999999998</v>
      </c>
      <c r="I832">
        <v>365.7919</v>
      </c>
      <c r="J832">
        <v>-340.38199999999898</v>
      </c>
      <c r="K832">
        <v>1.109712</v>
      </c>
      <c r="L832">
        <v>368.40350000000001</v>
      </c>
      <c r="M832">
        <v>0.99995219999999996</v>
      </c>
      <c r="N832">
        <v>0</v>
      </c>
      <c r="O832">
        <v>2.1281910000000002E-3</v>
      </c>
      <c r="P832">
        <v>0.99811490000000003</v>
      </c>
      <c r="Q832">
        <v>5.4268999999999998E-2</v>
      </c>
      <c r="R832">
        <v>-2.866227E-2</v>
      </c>
      <c r="S832">
        <v>3.0011899999999998</v>
      </c>
      <c r="T832">
        <v>6.0470459999999997E-2</v>
      </c>
      <c r="U832">
        <v>-4.2938230000000001E-2</v>
      </c>
      <c r="V832">
        <v>3.0795650000000001E-2</v>
      </c>
      <c r="W832">
        <v>6.3794489999999995E-2</v>
      </c>
      <c r="X832">
        <v>0.99748780000000004</v>
      </c>
      <c r="Y832">
        <v>1.6429880000000001E-2</v>
      </c>
      <c r="Z832">
        <v>2.0837230000000001E-4</v>
      </c>
      <c r="AA832">
        <v>0.999865</v>
      </c>
      <c r="AB832">
        <v>31</v>
      </c>
      <c r="AC832">
        <v>182.18699999999899</v>
      </c>
      <c r="AD832">
        <v>3.6770010000000002</v>
      </c>
      <c r="AE832">
        <v>-2.6116000000000099</v>
      </c>
      <c r="AF832">
        <v>2.9981194841788499</v>
      </c>
      <c r="AG832">
        <v>3.6770010000000002</v>
      </c>
      <c r="AH832">
        <v>182.106865713535</v>
      </c>
      <c r="AI832">
        <v>88.843429214323606</v>
      </c>
      <c r="AJ832">
        <v>89.056795170061406</v>
      </c>
      <c r="AK832">
        <v>182.16865700993401</v>
      </c>
      <c r="AL832">
        <v>86.342361198992904</v>
      </c>
      <c r="AM832">
        <v>88.231657077742994</v>
      </c>
      <c r="AN832">
        <v>1.00000001008106</v>
      </c>
    </row>
    <row r="833" spans="1:40" x14ac:dyDescent="0.25">
      <c r="A833" t="str">
        <f>"20190312153906325"</f>
        <v>20190312153906325</v>
      </c>
      <c r="B833" t="str">
        <f>"1552376346316918"</f>
        <v>1552376346316918</v>
      </c>
      <c r="C833" t="s">
        <v>40</v>
      </c>
      <c r="D833">
        <v>3.6597629999999999</v>
      </c>
      <c r="E833">
        <v>0.51525829999999995</v>
      </c>
      <c r="F833" t="s">
        <v>47</v>
      </c>
      <c r="G833">
        <v>-158.19499999999999</v>
      </c>
      <c r="H833">
        <v>4.7537200000000004</v>
      </c>
      <c r="I833">
        <v>365.77659999999997</v>
      </c>
      <c r="J833">
        <v>-340.06970000000001</v>
      </c>
      <c r="K833">
        <v>1.1097220000000001</v>
      </c>
      <c r="L833">
        <v>368.40410000000003</v>
      </c>
      <c r="M833">
        <v>0.99995140000000005</v>
      </c>
      <c r="N833">
        <v>0</v>
      </c>
      <c r="O833">
        <v>2.078763E-3</v>
      </c>
      <c r="P833">
        <v>0.99811649999999996</v>
      </c>
      <c r="Q833">
        <v>5.4259429999999997E-2</v>
      </c>
      <c r="R833">
        <v>-2.8629430000000001E-2</v>
      </c>
      <c r="S833">
        <v>3.0011899999999998</v>
      </c>
      <c r="T833">
        <v>6.002963E-2</v>
      </c>
      <c r="U833">
        <v>-4.3273930000000002E-2</v>
      </c>
      <c r="V833">
        <v>3.0713420000000002E-2</v>
      </c>
      <c r="W833">
        <v>6.3872999999999999E-2</v>
      </c>
      <c r="X833">
        <v>0.99748530000000002</v>
      </c>
      <c r="Y833">
        <v>1.6492320000000001E-2</v>
      </c>
      <c r="Z833">
        <v>2.0648920000000001E-4</v>
      </c>
      <c r="AA833">
        <v>0.99986399999999998</v>
      </c>
      <c r="AB833">
        <v>31</v>
      </c>
      <c r="AC833">
        <v>181.87469999999999</v>
      </c>
      <c r="AD833">
        <v>3.6439979999999998</v>
      </c>
      <c r="AE833">
        <v>-2.6275000000000501</v>
      </c>
      <c r="AF833">
        <v>3.0043804757844299</v>
      </c>
      <c r="AG833">
        <v>3.6439979999999998</v>
      </c>
      <c r="AH833">
        <v>181.79588139190599</v>
      </c>
      <c r="AI833">
        <v>88.851848262960104</v>
      </c>
      <c r="AJ833">
        <v>89.053209283324804</v>
      </c>
      <c r="AK833">
        <v>181.857217383658</v>
      </c>
      <c r="AL833">
        <v>86.337853673972603</v>
      </c>
      <c r="AM833">
        <v>88.236371472416394</v>
      </c>
      <c r="AN833">
        <v>0.99999999900659298</v>
      </c>
    </row>
    <row r="834" spans="1:40" x14ac:dyDescent="0.25">
      <c r="A834" t="str">
        <f>"20190312153906347"</f>
        <v>20190312153906347</v>
      </c>
      <c r="B834" t="str">
        <f>"1552376346336437"</f>
        <v>1552376346336437</v>
      </c>
      <c r="C834" t="s">
        <v>40</v>
      </c>
      <c r="D834">
        <v>3.557687</v>
      </c>
      <c r="E834">
        <v>0.55934700000000004</v>
      </c>
      <c r="F834" t="s">
        <v>47</v>
      </c>
      <c r="G834">
        <v>-167.55439999999999</v>
      </c>
      <c r="H834">
        <v>4.5269849999999998</v>
      </c>
      <c r="I834">
        <v>356.61509999999998</v>
      </c>
      <c r="J834">
        <v>-339.75920000000002</v>
      </c>
      <c r="K834">
        <v>1.109734</v>
      </c>
      <c r="L834">
        <v>368.40469999999999</v>
      </c>
      <c r="M834">
        <v>0.99995060000000002</v>
      </c>
      <c r="N834">
        <v>0</v>
      </c>
      <c r="O834">
        <v>2.0297879999999998E-3</v>
      </c>
      <c r="P834">
        <v>0.99810430000000006</v>
      </c>
      <c r="Q834">
        <v>5.4352690000000002E-2</v>
      </c>
      <c r="R834">
        <v>-2.8871480000000001E-2</v>
      </c>
      <c r="S834">
        <v>2.9965519999999999</v>
      </c>
      <c r="T834">
        <v>5.9358599999999997E-2</v>
      </c>
      <c r="U834">
        <v>-0.20477290000000001</v>
      </c>
      <c r="V834">
        <v>3.0906630000000001E-2</v>
      </c>
      <c r="W834">
        <v>6.4058119999999996E-2</v>
      </c>
      <c r="X834">
        <v>0.99746749999999995</v>
      </c>
      <c r="Y834">
        <v>7.0188120000000007E-2</v>
      </c>
      <c r="Z834">
        <v>7.3445940000000005E-4</v>
      </c>
      <c r="AA834">
        <v>0.99753349999999996</v>
      </c>
      <c r="AB834">
        <v>31</v>
      </c>
      <c r="AC834">
        <v>172.20480000000001</v>
      </c>
      <c r="AD834">
        <v>3.4172509999999998</v>
      </c>
      <c r="AE834">
        <v>-11.7896</v>
      </c>
      <c r="AF834">
        <v>12.134375407857</v>
      </c>
      <c r="AG834">
        <v>3.4172509999999998</v>
      </c>
      <c r="AH834">
        <v>172.113053717203</v>
      </c>
      <c r="AI834">
        <v>88.865375253584006</v>
      </c>
      <c r="AJ834">
        <v>85.967185658793994</v>
      </c>
      <c r="AK834">
        <v>172.57411141534701</v>
      </c>
      <c r="AL834">
        <v>86.3272254570374</v>
      </c>
      <c r="AM834">
        <v>88.2252523747688</v>
      </c>
      <c r="AN834">
        <v>1.0000000380360601</v>
      </c>
    </row>
    <row r="835" spans="1:40" x14ac:dyDescent="0.25">
      <c r="A835" t="str">
        <f>"20190312153906369"</f>
        <v>20190312153906369</v>
      </c>
      <c r="B835" t="str">
        <f>"1552376346356465"</f>
        <v>1552376346356465</v>
      </c>
      <c r="C835" t="s">
        <v>40</v>
      </c>
      <c r="D835">
        <v>3.5707200000000001</v>
      </c>
      <c r="E835">
        <v>0.56895569999999995</v>
      </c>
      <c r="F835" t="s">
        <v>44</v>
      </c>
      <c r="G835">
        <v>-232.9453</v>
      </c>
      <c r="H835">
        <v>2.6078199999999998</v>
      </c>
      <c r="I835">
        <v>348.51170000000002</v>
      </c>
      <c r="J835">
        <v>-339.44529999999997</v>
      </c>
      <c r="K835">
        <v>1.10975</v>
      </c>
      <c r="L835">
        <v>368.40530000000001</v>
      </c>
      <c r="M835">
        <v>0.9999498</v>
      </c>
      <c r="N835">
        <v>0</v>
      </c>
      <c r="O835">
        <v>1.979654E-3</v>
      </c>
      <c r="P835">
        <v>0.99808770000000002</v>
      </c>
      <c r="Q835">
        <v>5.4310730000000002E-2</v>
      </c>
      <c r="R835">
        <v>-2.9519630000000002E-2</v>
      </c>
      <c r="S835">
        <v>2.9873660000000002</v>
      </c>
      <c r="T835">
        <v>4.1900519999999997E-2</v>
      </c>
      <c r="U835">
        <v>-0.55636600000000003</v>
      </c>
      <c r="V835">
        <v>3.1504699999999997E-2</v>
      </c>
      <c r="W835">
        <v>6.4113310000000007E-2</v>
      </c>
      <c r="X835">
        <v>0.99744520000000003</v>
      </c>
      <c r="Y835">
        <v>0.18501960000000001</v>
      </c>
      <c r="Z835">
        <v>1.3139429999999999E-3</v>
      </c>
      <c r="AA835">
        <v>0.982734</v>
      </c>
      <c r="AB835">
        <v>31</v>
      </c>
      <c r="AC835">
        <v>106.49999999999901</v>
      </c>
      <c r="AD835">
        <v>1.49807</v>
      </c>
      <c r="AE835">
        <v>-19.8935999999999</v>
      </c>
      <c r="AF835">
        <v>20.100561268314799</v>
      </c>
      <c r="AG835">
        <v>1.49807</v>
      </c>
      <c r="AH835">
        <v>106.440056450138</v>
      </c>
      <c r="AI835">
        <v>89.2076575428014</v>
      </c>
      <c r="AJ835">
        <v>79.305975095143907</v>
      </c>
      <c r="AK835">
        <v>108.33172385840901</v>
      </c>
      <c r="AL835">
        <v>86.324056630496401</v>
      </c>
      <c r="AM835">
        <v>88.190891659853904</v>
      </c>
      <c r="AN835">
        <v>0.99999999482214297</v>
      </c>
    </row>
    <row r="836" spans="1:40" x14ac:dyDescent="0.25">
      <c r="A836" t="str">
        <f>"20190312153906392"</f>
        <v>20190312153906392</v>
      </c>
      <c r="B836" t="str">
        <f>"1552376346376963"</f>
        <v>1552376346376963</v>
      </c>
      <c r="C836" t="s">
        <v>40</v>
      </c>
      <c r="D836">
        <v>3.5383049999999998</v>
      </c>
      <c r="E836">
        <v>0.57159469999999901</v>
      </c>
      <c r="F836" t="s">
        <v>44</v>
      </c>
      <c r="G836">
        <v>-245.3451</v>
      </c>
      <c r="H836">
        <v>1.7143930000000001</v>
      </c>
      <c r="I836">
        <v>348.41730000000001</v>
      </c>
      <c r="J836">
        <v>-339.13199999999898</v>
      </c>
      <c r="K836">
        <v>1.1097680000000001</v>
      </c>
      <c r="L836">
        <v>368.40589999999997</v>
      </c>
      <c r="M836">
        <v>0.99994879999999997</v>
      </c>
      <c r="N836">
        <v>0</v>
      </c>
      <c r="O836">
        <v>1.929968E-3</v>
      </c>
      <c r="P836">
        <v>0.99809270000000005</v>
      </c>
      <c r="Q836">
        <v>5.399151E-2</v>
      </c>
      <c r="R836">
        <v>-2.993233E-2</v>
      </c>
      <c r="S836">
        <v>2.9859309999999999</v>
      </c>
      <c r="T836">
        <v>1.918864E-2</v>
      </c>
      <c r="U836">
        <v>-0.6342468</v>
      </c>
      <c r="V836">
        <v>3.186771E-2</v>
      </c>
      <c r="W836">
        <v>6.3895370000000007E-2</v>
      </c>
      <c r="X836">
        <v>0.99744770000000005</v>
      </c>
      <c r="Y836">
        <v>0.2096595</v>
      </c>
      <c r="Z836">
        <v>6.7850080000000001E-4</v>
      </c>
      <c r="AA836">
        <v>0.97777420000000004</v>
      </c>
      <c r="AB836">
        <v>31</v>
      </c>
      <c r="AC836">
        <v>93.786899999999903</v>
      </c>
      <c r="AD836">
        <v>0.60462499999999997</v>
      </c>
      <c r="AE836">
        <v>-19.988599999999899</v>
      </c>
      <c r="AF836">
        <v>20.168775599643201</v>
      </c>
      <c r="AG836">
        <v>0.60462499999999997</v>
      </c>
      <c r="AH836">
        <v>93.744419210947797</v>
      </c>
      <c r="AI836">
        <v>89.638729968788098</v>
      </c>
      <c r="AJ836">
        <v>77.858101825731197</v>
      </c>
      <c r="AK836">
        <v>95.891403231871195</v>
      </c>
      <c r="AL836">
        <v>86.336569500677896</v>
      </c>
      <c r="AM836">
        <v>88.170065051480506</v>
      </c>
      <c r="AN836">
        <v>1.0000000417416799</v>
      </c>
    </row>
    <row r="837" spans="1:40" x14ac:dyDescent="0.25">
      <c r="A837" t="str">
        <f>"20190312153906414"</f>
        <v>20190312153906414</v>
      </c>
      <c r="B837" t="str">
        <f>"1552376346406242"</f>
        <v>1552376346406242</v>
      </c>
      <c r="C837" t="s">
        <v>40</v>
      </c>
      <c r="D837">
        <v>3.5644969999999998</v>
      </c>
      <c r="E837">
        <v>0.57284760000000001</v>
      </c>
      <c r="F837" t="s">
        <v>44</v>
      </c>
      <c r="G837">
        <v>-245.3451</v>
      </c>
      <c r="H837">
        <v>1.5004379999999999</v>
      </c>
      <c r="I837">
        <v>347.78280000000001</v>
      </c>
      <c r="J837">
        <v>-338.81650000000002</v>
      </c>
      <c r="K837">
        <v>1.109783</v>
      </c>
      <c r="L837">
        <v>368.40640000000002</v>
      </c>
      <c r="M837">
        <v>0.99994780000000005</v>
      </c>
      <c r="N837">
        <v>0</v>
      </c>
      <c r="O837">
        <v>1.8800640000000001E-3</v>
      </c>
      <c r="P837">
        <v>0.99810620000000005</v>
      </c>
      <c r="Q837">
        <v>5.3497099999999999E-2</v>
      </c>
      <c r="R837">
        <v>-3.0362730000000001E-2</v>
      </c>
      <c r="S837">
        <v>2.985382</v>
      </c>
      <c r="T837">
        <v>1.243818E-2</v>
      </c>
      <c r="U837">
        <v>-0.65646359999999904</v>
      </c>
      <c r="V837">
        <v>3.2248550000000001E-2</v>
      </c>
      <c r="W837">
        <v>6.3509430000000006E-2</v>
      </c>
      <c r="X837">
        <v>0.99746009999999996</v>
      </c>
      <c r="Y837">
        <v>0.21659590000000001</v>
      </c>
      <c r="Z837">
        <v>4.5362149999999998E-4</v>
      </c>
      <c r="AA837">
        <v>0.9762613</v>
      </c>
      <c r="AB837">
        <v>31</v>
      </c>
      <c r="AC837">
        <v>93.471400000000003</v>
      </c>
      <c r="AD837">
        <v>0.39065499999999997</v>
      </c>
      <c r="AE837">
        <v>-20.6236</v>
      </c>
      <c r="AF837">
        <v>20.798958185927301</v>
      </c>
      <c r="AG837">
        <v>0.39065499999999997</v>
      </c>
      <c r="AH837">
        <v>93.430902908340499</v>
      </c>
      <c r="AI837">
        <v>89.766159292143897</v>
      </c>
      <c r="AJ837">
        <v>77.449843411518899</v>
      </c>
      <c r="AK837">
        <v>95.718769795775899</v>
      </c>
      <c r="AL837">
        <v>86.358727208087601</v>
      </c>
      <c r="AM837">
        <v>88.148234271405599</v>
      </c>
      <c r="AN837">
        <v>1.00000003388401</v>
      </c>
    </row>
    <row r="838" spans="1:40" x14ac:dyDescent="0.25">
      <c r="A838" t="str">
        <f>"20190312153906437"</f>
        <v>20190312153906437</v>
      </c>
      <c r="B838" t="str">
        <f>"1552376346426737"</f>
        <v>1552376346426737</v>
      </c>
      <c r="C838" t="s">
        <v>40</v>
      </c>
      <c r="D838">
        <v>3.5214750000000001</v>
      </c>
      <c r="E838">
        <v>0.57318469999999999</v>
      </c>
      <c r="F838" t="s">
        <v>44</v>
      </c>
      <c r="G838">
        <v>-245.3451</v>
      </c>
      <c r="H838">
        <v>1.300705</v>
      </c>
      <c r="I838">
        <v>347.50450000000001</v>
      </c>
      <c r="J838">
        <v>-338.49009999999998</v>
      </c>
      <c r="K838">
        <v>1.1097980000000001</v>
      </c>
      <c r="L838">
        <v>368.40699999999998</v>
      </c>
      <c r="M838">
        <v>0.99994680000000002</v>
      </c>
      <c r="N838">
        <v>0</v>
      </c>
      <c r="O838">
        <v>1.828559E-3</v>
      </c>
      <c r="P838">
        <v>0.99812719999999999</v>
      </c>
      <c r="Q838">
        <v>5.3163990000000001E-2</v>
      </c>
      <c r="R838">
        <v>-3.0258429999999999E-2</v>
      </c>
      <c r="S838">
        <v>2.9850460000000001</v>
      </c>
      <c r="T838">
        <v>6.0997009999999999E-3</v>
      </c>
      <c r="U838">
        <v>-0.66751099999999997</v>
      </c>
      <c r="V838">
        <v>3.2092870000000003E-2</v>
      </c>
      <c r="W838">
        <v>6.3292909999999994E-2</v>
      </c>
      <c r="X838">
        <v>0.9974788</v>
      </c>
      <c r="Y838">
        <v>0.2200124</v>
      </c>
      <c r="Z838">
        <v>2.257378E-4</v>
      </c>
      <c r="AA838">
        <v>0.97549710000000001</v>
      </c>
      <c r="AB838">
        <v>31</v>
      </c>
      <c r="AC838">
        <v>93.144999999999897</v>
      </c>
      <c r="AD838">
        <v>0.19090699999999899</v>
      </c>
      <c r="AE838">
        <v>-20.9024999999999</v>
      </c>
      <c r="AF838">
        <v>21.072710679462102</v>
      </c>
      <c r="AG838">
        <v>0.19090699999999899</v>
      </c>
      <c r="AH838">
        <v>93.106248476359795</v>
      </c>
      <c r="AI838">
        <v>89.885417786098301</v>
      </c>
      <c r="AJ838">
        <v>77.247121254924807</v>
      </c>
      <c r="AK838">
        <v>95.461348650669194</v>
      </c>
      <c r="AL838">
        <v>86.3711575962936</v>
      </c>
      <c r="AM838">
        <v>88.157202023069004</v>
      </c>
      <c r="AN838">
        <v>0.99999995060527103</v>
      </c>
    </row>
    <row r="839" spans="1:40" x14ac:dyDescent="0.25">
      <c r="A839" t="str">
        <f>"20190312153906458"</f>
        <v>20190312153906458</v>
      </c>
      <c r="B839" t="str">
        <f>"1552376346446257"</f>
        <v>1552376346446257</v>
      </c>
      <c r="C839" t="s">
        <v>40</v>
      </c>
      <c r="D839">
        <v>3.5394510000000001</v>
      </c>
      <c r="E839">
        <v>0.57342819999999906</v>
      </c>
      <c r="F839" t="s">
        <v>44</v>
      </c>
      <c r="G839">
        <v>-245.3451</v>
      </c>
      <c r="H839">
        <v>1.191257</v>
      </c>
      <c r="I839">
        <v>347.5077</v>
      </c>
      <c r="J839">
        <v>-338.19069999999999</v>
      </c>
      <c r="K839">
        <v>1.1098110000000001</v>
      </c>
      <c r="L839">
        <v>368.40750000000003</v>
      </c>
      <c r="M839">
        <v>0.9999458</v>
      </c>
      <c r="N839">
        <v>0</v>
      </c>
      <c r="O839">
        <v>1.780495E-3</v>
      </c>
      <c r="P839">
        <v>0.99814890000000001</v>
      </c>
      <c r="Q839">
        <v>5.3047179999999999E-2</v>
      </c>
      <c r="R839">
        <v>-2.9752669999999998E-2</v>
      </c>
      <c r="S839">
        <v>2.9851990000000002</v>
      </c>
      <c r="T839">
        <v>2.6131869999999999E-3</v>
      </c>
      <c r="U839">
        <v>-0.66979979999999995</v>
      </c>
      <c r="V839">
        <v>3.1539060000000001E-2</v>
      </c>
      <c r="W839">
        <v>6.3284350000000003E-2</v>
      </c>
      <c r="X839">
        <v>0.99749710000000003</v>
      </c>
      <c r="Y839">
        <v>0.22066730000000001</v>
      </c>
      <c r="Z839" s="1">
        <v>9.6937710000000006E-5</v>
      </c>
      <c r="AA839">
        <v>0.97534909999999997</v>
      </c>
      <c r="AB839">
        <v>31</v>
      </c>
      <c r="AC839">
        <v>92.845600000000005</v>
      </c>
      <c r="AD839">
        <v>8.1445999999999893E-2</v>
      </c>
      <c r="AE839">
        <v>-20.899799999999999</v>
      </c>
      <c r="AF839">
        <v>21.065071265336101</v>
      </c>
      <c r="AG839">
        <v>8.1445999999999893E-2</v>
      </c>
      <c r="AH839">
        <v>92.808170896204203</v>
      </c>
      <c r="AI839">
        <v>89.950965940097106</v>
      </c>
      <c r="AJ839">
        <v>77.211992827673598</v>
      </c>
      <c r="AK839">
        <v>95.1687997505677</v>
      </c>
      <c r="AL839">
        <v>86.371649368661394</v>
      </c>
      <c r="AM839">
        <v>88.189014071797303</v>
      </c>
      <c r="AN839">
        <v>1.0000000428845</v>
      </c>
    </row>
    <row r="840" spans="1:40" x14ac:dyDescent="0.25">
      <c r="A840" t="str">
        <f>"20190312153906479"</f>
        <v>20190312153906479</v>
      </c>
      <c r="B840" t="str">
        <f>"1552376346466283"</f>
        <v>1552376346466283</v>
      </c>
      <c r="C840" t="s">
        <v>40</v>
      </c>
      <c r="D840">
        <v>3.5482939999999998</v>
      </c>
      <c r="E840">
        <v>0.57380620000000004</v>
      </c>
      <c r="F840" t="s">
        <v>44</v>
      </c>
      <c r="G840">
        <v>-245.3451</v>
      </c>
      <c r="H840">
        <v>1.159694</v>
      </c>
      <c r="I840">
        <v>347.56420000000003</v>
      </c>
      <c r="J840">
        <v>-337.88440000000003</v>
      </c>
      <c r="K840">
        <v>1.109812</v>
      </c>
      <c r="L840">
        <v>368.40800000000002</v>
      </c>
      <c r="M840">
        <v>0.99994470000000002</v>
      </c>
      <c r="N840">
        <v>0</v>
      </c>
      <c r="O840">
        <v>1.7319290000000001E-3</v>
      </c>
      <c r="P840">
        <v>0.99817719999999999</v>
      </c>
      <c r="Q840">
        <v>5.2894629999999998E-2</v>
      </c>
      <c r="R840">
        <v>-2.906357E-2</v>
      </c>
      <c r="S840">
        <v>2.9855040000000002</v>
      </c>
      <c r="T840">
        <v>1.6065840000000001E-3</v>
      </c>
      <c r="U840">
        <v>-0.67022709999999996</v>
      </c>
      <c r="V840">
        <v>3.0801579999999999E-2</v>
      </c>
      <c r="W840">
        <v>6.3243430000000003E-2</v>
      </c>
      <c r="X840">
        <v>0.99752269999999998</v>
      </c>
      <c r="Y840">
        <v>0.2207316</v>
      </c>
      <c r="Z840" s="1">
        <v>5.9581560000000003E-5</v>
      </c>
      <c r="AA840">
        <v>0.97533460000000005</v>
      </c>
      <c r="AB840">
        <v>31</v>
      </c>
      <c r="AC840">
        <v>92.539299999999997</v>
      </c>
      <c r="AD840">
        <v>4.9881999999999899E-2</v>
      </c>
      <c r="AE840">
        <v>-20.843799999999899</v>
      </c>
      <c r="AF840">
        <v>21.004043047460801</v>
      </c>
      <c r="AG840">
        <v>4.9881999999999899E-2</v>
      </c>
      <c r="AH840">
        <v>92.503033691682901</v>
      </c>
      <c r="AI840">
        <v>89.969870362059297</v>
      </c>
      <c r="AJ840">
        <v>77.207145007417296</v>
      </c>
      <c r="AK840">
        <v>94.857701609928</v>
      </c>
      <c r="AL840">
        <v>86.3739984725879</v>
      </c>
      <c r="AM840">
        <v>88.231378623521096</v>
      </c>
      <c r="AN840">
        <v>1.00000000289197</v>
      </c>
    </row>
    <row r="841" spans="1:40" x14ac:dyDescent="0.25">
      <c r="A841" t="str">
        <f>"20190312153906503"</f>
        <v>20190312153906503</v>
      </c>
      <c r="B841" t="str">
        <f>"1552376346486779"</f>
        <v>1552376346486779</v>
      </c>
      <c r="C841" t="s">
        <v>40</v>
      </c>
      <c r="D841">
        <v>3.553544</v>
      </c>
      <c r="E841">
        <v>0.57408090000000001</v>
      </c>
      <c r="F841" t="s">
        <v>44</v>
      </c>
      <c r="G841">
        <v>-245.3451</v>
      </c>
      <c r="H841">
        <v>1.1321490000000001</v>
      </c>
      <c r="I841">
        <v>347.6114</v>
      </c>
      <c r="J841">
        <v>-337.55650000000003</v>
      </c>
      <c r="K841">
        <v>1.109823</v>
      </c>
      <c r="L841">
        <v>368.4085</v>
      </c>
      <c r="M841">
        <v>0.99994369999999999</v>
      </c>
      <c r="N841">
        <v>0</v>
      </c>
      <c r="O841">
        <v>1.6794550000000001E-3</v>
      </c>
      <c r="P841">
        <v>0.99820299999999995</v>
      </c>
      <c r="Q841">
        <v>5.257158E-2</v>
      </c>
      <c r="R841">
        <v>-2.8756239999999999E-2</v>
      </c>
      <c r="S841">
        <v>2.9858699999999998</v>
      </c>
      <c r="T841">
        <v>7.2324279999999997E-4</v>
      </c>
      <c r="U841">
        <v>-0.67102050000000002</v>
      </c>
      <c r="V841">
        <v>3.0442E-2</v>
      </c>
      <c r="W841">
        <v>6.3037850000000006E-2</v>
      </c>
      <c r="X841">
        <v>0.99754670000000001</v>
      </c>
      <c r="Y841">
        <v>0.2209016</v>
      </c>
      <c r="Z841" s="1">
        <v>2.68259E-5</v>
      </c>
      <c r="AA841">
        <v>0.9752961</v>
      </c>
      <c r="AB841">
        <v>31</v>
      </c>
      <c r="AC841">
        <v>92.211399999999998</v>
      </c>
      <c r="AD841">
        <v>2.2325999999999999E-2</v>
      </c>
      <c r="AE841">
        <v>-20.7971</v>
      </c>
      <c r="AF841">
        <v>20.951942895891801</v>
      </c>
      <c r="AG841">
        <v>2.2325999999999999E-2</v>
      </c>
      <c r="AH841">
        <v>92.1763350885509</v>
      </c>
      <c r="AI841">
        <v>89.986467592376101</v>
      </c>
      <c r="AJ841">
        <v>77.194093266127993</v>
      </c>
      <c r="AK841">
        <v>94.527568253498401</v>
      </c>
      <c r="AL841">
        <v>86.385800705874701</v>
      </c>
      <c r="AM841">
        <v>88.252054788863106</v>
      </c>
      <c r="AN841">
        <v>0.99999995228875505</v>
      </c>
    </row>
    <row r="842" spans="1:40" x14ac:dyDescent="0.25">
      <c r="A842" t="str">
        <f>"20190312153906526"</f>
        <v>20190312153906526</v>
      </c>
      <c r="B842" t="str">
        <f>"1552376346517035"</f>
        <v>1552376346517035</v>
      </c>
      <c r="C842" t="s">
        <v>40</v>
      </c>
      <c r="D842">
        <v>3.526078</v>
      </c>
      <c r="E842">
        <v>0.57475959999999904</v>
      </c>
      <c r="F842" t="s">
        <v>44</v>
      </c>
      <c r="G842">
        <v>-245.3451</v>
      </c>
      <c r="H842">
        <v>1.0581799999999999</v>
      </c>
      <c r="I842">
        <v>347.64960000000002</v>
      </c>
      <c r="J842">
        <v>-337.23579999999998</v>
      </c>
      <c r="K842">
        <v>1.1098380000000001</v>
      </c>
      <c r="L842">
        <v>368.40890000000002</v>
      </c>
      <c r="M842">
        <v>0.99994249999999996</v>
      </c>
      <c r="N842">
        <v>0</v>
      </c>
      <c r="O842">
        <v>1.62813E-3</v>
      </c>
      <c r="P842">
        <v>0.99820699999999996</v>
      </c>
      <c r="Q842">
        <v>5.2466499999999999E-2</v>
      </c>
      <c r="R842">
        <v>-2.881326E-2</v>
      </c>
      <c r="S842">
        <v>2.9861149999999999</v>
      </c>
      <c r="T842">
        <v>-1.669884E-3</v>
      </c>
      <c r="U842">
        <v>-0.67224119999999998</v>
      </c>
      <c r="V842">
        <v>3.0447689999999999E-2</v>
      </c>
      <c r="W842">
        <v>6.304498E-2</v>
      </c>
      <c r="X842">
        <v>0.99754609999999999</v>
      </c>
      <c r="Y842">
        <v>0.22121399999999999</v>
      </c>
      <c r="Z842" s="1">
        <v>-6.1988099999999997E-5</v>
      </c>
      <c r="AA842">
        <v>0.97522529999999996</v>
      </c>
      <c r="AB842">
        <v>31</v>
      </c>
      <c r="AC842">
        <v>91.890699999999896</v>
      </c>
      <c r="AD842">
        <v>-5.1657999999999898E-2</v>
      </c>
      <c r="AE842">
        <v>-20.7593</v>
      </c>
      <c r="AF842">
        <v>20.9088846055487</v>
      </c>
      <c r="AG842">
        <v>-5.1657999999999898E-2</v>
      </c>
      <c r="AH842">
        <v>91.856749836015396</v>
      </c>
      <c r="AI842">
        <v>90.031418092515594</v>
      </c>
      <c r="AJ842">
        <v>77.176547787969298</v>
      </c>
      <c r="AK842">
        <v>94.206404317506099</v>
      </c>
      <c r="AL842">
        <v>86.385391460296105</v>
      </c>
      <c r="AM842">
        <v>88.251727227341604</v>
      </c>
      <c r="AN842">
        <v>0.99999997647737204</v>
      </c>
    </row>
    <row r="843" spans="1:40" x14ac:dyDescent="0.25">
      <c r="A843" t="str">
        <f>"20190312153906547"</f>
        <v>20190312153906547</v>
      </c>
      <c r="B843" t="str">
        <f>"1552376346536555"</f>
        <v>1552376346536555</v>
      </c>
      <c r="C843" t="s">
        <v>40</v>
      </c>
      <c r="D843">
        <v>3.54461</v>
      </c>
      <c r="E843">
        <v>0.57507969999999997</v>
      </c>
      <c r="F843" t="s">
        <v>44</v>
      </c>
      <c r="G843">
        <v>-245.3451</v>
      </c>
      <c r="H843">
        <v>1.091669</v>
      </c>
      <c r="I843">
        <v>347.55040000000002</v>
      </c>
      <c r="J843">
        <v>-336.93509999999998</v>
      </c>
      <c r="K843">
        <v>1.109856</v>
      </c>
      <c r="L843">
        <v>368.40940000000001</v>
      </c>
      <c r="M843">
        <v>0.99994139999999998</v>
      </c>
      <c r="N843">
        <v>0</v>
      </c>
      <c r="O843">
        <v>1.5805229999999999E-3</v>
      </c>
      <c r="P843">
        <v>0.9981949</v>
      </c>
      <c r="Q843">
        <v>5.258438E-2</v>
      </c>
      <c r="R843">
        <v>-2.901579E-2</v>
      </c>
      <c r="S843">
        <v>2.98584</v>
      </c>
      <c r="T843">
        <v>-5.8782099999999998E-4</v>
      </c>
      <c r="U843">
        <v>-0.6777649</v>
      </c>
      <c r="V843">
        <v>3.060276E-2</v>
      </c>
      <c r="W843">
        <v>6.3269119999999998E-2</v>
      </c>
      <c r="X843">
        <v>0.99752719999999995</v>
      </c>
      <c r="Y843">
        <v>0.22290289999999999</v>
      </c>
      <c r="Z843" s="1">
        <v>-2.1973090000000001E-5</v>
      </c>
      <c r="AA843">
        <v>0.97484059999999995</v>
      </c>
      <c r="AB843">
        <v>31</v>
      </c>
      <c r="AC843">
        <v>91.589999999999904</v>
      </c>
      <c r="AD843">
        <v>-1.8186999999999901E-2</v>
      </c>
      <c r="AE843">
        <v>-20.858999999999899</v>
      </c>
      <c r="AF843">
        <v>21.003741560380998</v>
      </c>
      <c r="AG843">
        <v>-1.8186999999999901E-2</v>
      </c>
      <c r="AH843">
        <v>91.556912136281696</v>
      </c>
      <c r="AI843">
        <v>90.011093159125807</v>
      </c>
      <c r="AJ843">
        <v>77.079541699758707</v>
      </c>
      <c r="AK843">
        <v>93.935220499198493</v>
      </c>
      <c r="AL843">
        <v>86.372523625565904</v>
      </c>
      <c r="AM843">
        <v>88.242795574918205</v>
      </c>
      <c r="AN843">
        <v>1.0000000126025099</v>
      </c>
    </row>
    <row r="844" spans="1:40" x14ac:dyDescent="0.25">
      <c r="A844" t="str">
        <f>"20190312153906569"</f>
        <v>20190312153906569</v>
      </c>
      <c r="B844" t="str">
        <f>"1552376346556582"</f>
        <v>1552376346556582</v>
      </c>
      <c r="C844" t="s">
        <v>40</v>
      </c>
      <c r="D844">
        <v>3.558932</v>
      </c>
      <c r="E844">
        <v>0.57547510000000002</v>
      </c>
      <c r="F844" t="s">
        <v>44</v>
      </c>
      <c r="G844">
        <v>-245.3451</v>
      </c>
      <c r="H844">
        <v>1.1283510000000001</v>
      </c>
      <c r="I844">
        <v>347.50709999999998</v>
      </c>
      <c r="J844">
        <v>-336.6259</v>
      </c>
      <c r="K844">
        <v>1.109874</v>
      </c>
      <c r="L844">
        <v>368.40980000000002</v>
      </c>
      <c r="M844">
        <v>0.9999403</v>
      </c>
      <c r="N844">
        <v>0</v>
      </c>
      <c r="O844">
        <v>1.5315509999999999E-3</v>
      </c>
      <c r="P844">
        <v>0.99819310000000006</v>
      </c>
      <c r="Q844">
        <v>5.2496950000000001E-2</v>
      </c>
      <c r="R844">
        <v>-2.9237349999999999E-2</v>
      </c>
      <c r="S844">
        <v>2.9856259999999999</v>
      </c>
      <c r="T844">
        <v>6.05464E-4</v>
      </c>
      <c r="U844">
        <v>-0.68136600000000003</v>
      </c>
      <c r="V844">
        <v>3.0775489999999999E-2</v>
      </c>
      <c r="W844">
        <v>6.3296710000000006E-2</v>
      </c>
      <c r="X844">
        <v>0.99752010000000002</v>
      </c>
      <c r="Y844">
        <v>0.22398799999999999</v>
      </c>
      <c r="Z844" s="1">
        <v>2.2730010000000002E-5</v>
      </c>
      <c r="AA844">
        <v>0.97459189999999996</v>
      </c>
      <c r="AB844">
        <v>32</v>
      </c>
      <c r="AC844">
        <v>91.280799999999999</v>
      </c>
      <c r="AD844">
        <v>1.8477E-2</v>
      </c>
      <c r="AE844">
        <v>-20.902699999999999</v>
      </c>
      <c r="AF844">
        <v>21.0424840458546</v>
      </c>
      <c r="AG844">
        <v>1.8477E-2</v>
      </c>
      <c r="AH844">
        <v>91.248673953712498</v>
      </c>
      <c r="AI844">
        <v>89.9886948478932</v>
      </c>
      <c r="AJ844">
        <v>77.014267650732606</v>
      </c>
      <c r="AK844">
        <v>93.643510050245894</v>
      </c>
      <c r="AL844">
        <v>86.370939531132905</v>
      </c>
      <c r="AM844">
        <v>88.232871153523604</v>
      </c>
      <c r="AN844">
        <v>0.99999997709278599</v>
      </c>
    </row>
    <row r="845" spans="1:40" x14ac:dyDescent="0.25">
      <c r="A845" t="str">
        <f>"20190312153906585"</f>
        <v>20190312153906585</v>
      </c>
      <c r="B845" t="str">
        <f>"1552376346577078"</f>
        <v>1552376346577078</v>
      </c>
      <c r="C845" t="s">
        <v>40</v>
      </c>
      <c r="D845">
        <v>3.5272100000000002</v>
      </c>
      <c r="E845">
        <v>0.57579599999999997</v>
      </c>
      <c r="F845" t="s">
        <v>44</v>
      </c>
      <c r="G845">
        <v>-245.3451</v>
      </c>
      <c r="H845">
        <v>1.10081299999999</v>
      </c>
      <c r="I845">
        <v>347.46660000000003</v>
      </c>
      <c r="J845">
        <v>-336.39980000000003</v>
      </c>
      <c r="K845">
        <v>1.1098870000000001</v>
      </c>
      <c r="L845">
        <v>368.41019999999997</v>
      </c>
      <c r="M845">
        <v>0.99993940000000003</v>
      </c>
      <c r="N845">
        <v>0</v>
      </c>
      <c r="O845">
        <v>1.4951679999999901E-3</v>
      </c>
      <c r="P845">
        <v>0.998197</v>
      </c>
      <c r="Q845">
        <v>5.233173E-2</v>
      </c>
      <c r="R845">
        <v>-2.9404619999999999E-2</v>
      </c>
      <c r="S845">
        <v>2.9854129999999999</v>
      </c>
      <c r="T845">
        <v>-2.938509E-4</v>
      </c>
      <c r="U845">
        <v>-0.68496699999999999</v>
      </c>
      <c r="V845">
        <v>3.0906329999999999E-2</v>
      </c>
      <c r="W845">
        <v>6.3221070000000004E-2</v>
      </c>
      <c r="X845">
        <v>0.99752090000000004</v>
      </c>
      <c r="Y845">
        <v>0.22508449999999999</v>
      </c>
      <c r="Z845" s="1">
        <v>-1.10806399999999E-5</v>
      </c>
      <c r="AA845">
        <v>0.97433919999999996</v>
      </c>
      <c r="AB845">
        <v>32</v>
      </c>
      <c r="AC845">
        <v>91.054699999999997</v>
      </c>
      <c r="AD845">
        <v>-9.0740000000002399E-3</v>
      </c>
      <c r="AE845">
        <v>-20.943599999999901</v>
      </c>
      <c r="AF845">
        <v>21.079726560579601</v>
      </c>
      <c r="AG845">
        <v>-9.0740000000002399E-3</v>
      </c>
      <c r="AH845">
        <v>91.023281288394799</v>
      </c>
      <c r="AI845">
        <v>90.005564477845994</v>
      </c>
      <c r="AJ845">
        <v>76.960954558154995</v>
      </c>
      <c r="AK845">
        <v>93.432289336783995</v>
      </c>
      <c r="AL845">
        <v>86.375282256917899</v>
      </c>
      <c r="AM845">
        <v>88.225364535996604</v>
      </c>
      <c r="AN845">
        <v>1.0000000254314101</v>
      </c>
    </row>
    <row r="846" spans="1:40" x14ac:dyDescent="0.25">
      <c r="A846" t="str">
        <f>"20190312153906599"</f>
        <v>20190312153906599</v>
      </c>
      <c r="B846" t="str">
        <f>"1552376346586838"</f>
        <v>1552376346586838</v>
      </c>
      <c r="C846" t="s">
        <v>40</v>
      </c>
      <c r="D846">
        <v>3.5407350000000002</v>
      </c>
      <c r="E846">
        <v>0.57594409999999996</v>
      </c>
      <c r="F846" t="s">
        <v>44</v>
      </c>
      <c r="G846">
        <v>-245.3451</v>
      </c>
      <c r="H846">
        <v>1.0866720000000001</v>
      </c>
      <c r="I846">
        <v>347.42070000000001</v>
      </c>
      <c r="J846">
        <v>-336.2063</v>
      </c>
      <c r="K846">
        <v>1.109899</v>
      </c>
      <c r="L846">
        <v>368.41039999999998</v>
      </c>
      <c r="M846">
        <v>0.99993849999999995</v>
      </c>
      <c r="N846">
        <v>0</v>
      </c>
      <c r="O846">
        <v>1.463242E-3</v>
      </c>
      <c r="P846">
        <v>0.99819809999999998</v>
      </c>
      <c r="Q846">
        <v>5.2292640000000001E-2</v>
      </c>
      <c r="R846">
        <v>-2.9434399999999999E-2</v>
      </c>
      <c r="S846">
        <v>2.9852289999999999</v>
      </c>
      <c r="T846">
        <v>-7.5852869999999998E-4</v>
      </c>
      <c r="U846">
        <v>-0.68814090000000006</v>
      </c>
      <c r="V846">
        <v>3.0904270000000001E-2</v>
      </c>
      <c r="W846">
        <v>6.3262940000000004E-2</v>
      </c>
      <c r="X846">
        <v>0.99751829999999997</v>
      </c>
      <c r="Y846">
        <v>0.22605020000000001</v>
      </c>
      <c r="Z846" s="1">
        <v>-2.8714319999999999E-5</v>
      </c>
      <c r="AA846">
        <v>0.97411570000000003</v>
      </c>
      <c r="AB846">
        <v>32</v>
      </c>
      <c r="AC846">
        <v>90.861199999999997</v>
      </c>
      <c r="AD846">
        <v>-2.3227000000000102E-2</v>
      </c>
      <c r="AE846">
        <v>-20.9896999999999</v>
      </c>
      <c r="AF846">
        <v>21.122636175304802</v>
      </c>
      <c r="AG846">
        <v>-2.3227000000000102E-2</v>
      </c>
      <c r="AH846">
        <v>90.830382216242697</v>
      </c>
      <c r="AI846">
        <v>90.014270785718296</v>
      </c>
      <c r="AJ846">
        <v>76.908530942814593</v>
      </c>
      <c r="AK846">
        <v>93.254086409318006</v>
      </c>
      <c r="AL846">
        <v>86.3728784371621</v>
      </c>
      <c r="AM846">
        <v>88.225478122902103</v>
      </c>
      <c r="AN846">
        <v>1.00000001615828</v>
      </c>
    </row>
    <row r="847" spans="1:40" x14ac:dyDescent="0.25">
      <c r="A847" t="str">
        <f>"20190312153906615"</f>
        <v>20190312153906615</v>
      </c>
      <c r="B847" t="str">
        <f>"1552376346606358"</f>
        <v>1552376346606358</v>
      </c>
      <c r="C847" t="s">
        <v>40</v>
      </c>
      <c r="D847">
        <v>3.5483419999999999</v>
      </c>
      <c r="E847">
        <v>0.57624909999999996</v>
      </c>
      <c r="F847" t="s">
        <v>44</v>
      </c>
      <c r="G847">
        <v>-245.3451</v>
      </c>
      <c r="H847">
        <v>1.0956699999999999</v>
      </c>
      <c r="I847">
        <v>347.42450000000002</v>
      </c>
      <c r="J847">
        <v>-335.96850000000001</v>
      </c>
      <c r="K847">
        <v>1.1099110000000001</v>
      </c>
      <c r="L847">
        <v>368.41070000000002</v>
      </c>
      <c r="M847">
        <v>0.99993739999999998</v>
      </c>
      <c r="N847">
        <v>0</v>
      </c>
      <c r="O847">
        <v>1.4203039999999901E-3</v>
      </c>
      <c r="P847">
        <v>0.99820050000000005</v>
      </c>
      <c r="Q847">
        <v>5.2185290000000002E-2</v>
      </c>
      <c r="R847">
        <v>-2.9537279999999999E-2</v>
      </c>
      <c r="S847">
        <v>2.985077</v>
      </c>
      <c r="T847">
        <v>-4.6491620000000002E-4</v>
      </c>
      <c r="U847">
        <v>-0.68945310000000004</v>
      </c>
      <c r="V847">
        <v>3.096484E-2</v>
      </c>
      <c r="W847">
        <v>6.3259129999999997E-2</v>
      </c>
      <c r="X847">
        <v>0.99751659999999998</v>
      </c>
      <c r="Y847">
        <v>0.22642590000000001</v>
      </c>
      <c r="Z847" s="1">
        <v>-1.762183E-5</v>
      </c>
      <c r="AA847">
        <v>0.97402840000000002</v>
      </c>
      <c r="AB847">
        <v>32</v>
      </c>
      <c r="AC847">
        <v>90.623400000000004</v>
      </c>
      <c r="AD847">
        <v>-1.42409999999999E-2</v>
      </c>
      <c r="AE847">
        <v>-20.9862</v>
      </c>
      <c r="AF847">
        <v>21.114899040741701</v>
      </c>
      <c r="AG847">
        <v>-1.42409999999999E-2</v>
      </c>
      <c r="AH847">
        <v>90.593497840005696</v>
      </c>
      <c r="AI847">
        <v>90.008771608531902</v>
      </c>
      <c r="AJ847">
        <v>76.880123916093595</v>
      </c>
      <c r="AK847">
        <v>93.021615849188095</v>
      </c>
      <c r="AL847">
        <v>86.373096943044303</v>
      </c>
      <c r="AM847">
        <v>88.221999398056894</v>
      </c>
      <c r="AN847">
        <v>0.99999995306006995</v>
      </c>
    </row>
    <row r="848" spans="1:40" x14ac:dyDescent="0.25">
      <c r="A848" t="str">
        <f>"20190312153906636"</f>
        <v>20190312153906636</v>
      </c>
      <c r="B848" t="str">
        <f>"1552376346626854"</f>
        <v>1552376346626854</v>
      </c>
      <c r="C848" t="s">
        <v>40</v>
      </c>
      <c r="D848">
        <v>3.4761440000000001</v>
      </c>
      <c r="E848">
        <v>0.57662290000000005</v>
      </c>
      <c r="F848" t="s">
        <v>44</v>
      </c>
      <c r="G848">
        <v>-245.3451</v>
      </c>
      <c r="H848">
        <v>1.11054599999999</v>
      </c>
      <c r="I848">
        <v>347.4008</v>
      </c>
      <c r="J848">
        <v>-335.67579999999998</v>
      </c>
      <c r="K848">
        <v>1.1099270000000001</v>
      </c>
      <c r="L848">
        <v>368.41109999999998</v>
      </c>
      <c r="M848">
        <v>0.99993609999999999</v>
      </c>
      <c r="N848">
        <v>0</v>
      </c>
      <c r="O848">
        <v>1.370179E-3</v>
      </c>
      <c r="P848">
        <v>0.99819190000000002</v>
      </c>
      <c r="Q848">
        <v>5.2435469999999998E-2</v>
      </c>
      <c r="R848">
        <v>-2.9388629999999999E-2</v>
      </c>
      <c r="S848">
        <v>2.9849239999999999</v>
      </c>
      <c r="T848" s="1">
        <v>2.348423E-5</v>
      </c>
      <c r="U848">
        <v>-0.69201659999999998</v>
      </c>
      <c r="V848">
        <v>3.0766580000000002E-2</v>
      </c>
      <c r="W848">
        <v>6.3640299999999997E-2</v>
      </c>
      <c r="X848">
        <v>0.99749849999999995</v>
      </c>
      <c r="Y848">
        <v>0.22718189999999999</v>
      </c>
      <c r="Z848" s="1">
        <v>8.9263319999999998E-7</v>
      </c>
      <c r="AA848">
        <v>0.9738523</v>
      </c>
      <c r="AB848">
        <v>32</v>
      </c>
      <c r="AC848">
        <v>90.330699999999894</v>
      </c>
      <c r="AD848">
        <v>6.1899999999970301E-4</v>
      </c>
      <c r="AE848">
        <v>-21.010299999999901</v>
      </c>
      <c r="AF848">
        <v>21.134057295647398</v>
      </c>
      <c r="AG848">
        <v>6.1899999999970301E-4</v>
      </c>
      <c r="AH848">
        <v>90.301825507782198</v>
      </c>
      <c r="AI848">
        <v>89.999617583089005</v>
      </c>
      <c r="AJ848">
        <v>76.827694715400398</v>
      </c>
      <c r="AK848">
        <v>92.741943413952797</v>
      </c>
      <c r="AL848">
        <v>86.351213454580602</v>
      </c>
      <c r="AM848">
        <v>88.233344211150794</v>
      </c>
      <c r="AN848">
        <v>0.99999996386561696</v>
      </c>
    </row>
    <row r="849" spans="1:40" x14ac:dyDescent="0.25">
      <c r="A849" t="str">
        <f>"20190312153906650"</f>
        <v>20190312153906650</v>
      </c>
      <c r="B849" t="str">
        <f>"1552376346636614"</f>
        <v>1552376346636614</v>
      </c>
      <c r="C849" t="s">
        <v>40</v>
      </c>
      <c r="D849">
        <v>3.5211359999999998</v>
      </c>
      <c r="E849">
        <v>0.57678229999999997</v>
      </c>
      <c r="F849" t="s">
        <v>44</v>
      </c>
      <c r="G849">
        <v>-245.3451</v>
      </c>
      <c r="H849">
        <v>1.1224970000000001</v>
      </c>
      <c r="I849">
        <v>347.38979999999998</v>
      </c>
      <c r="J849">
        <v>-335.48200000000003</v>
      </c>
      <c r="K849">
        <v>1.109939</v>
      </c>
      <c r="L849">
        <v>368.41129999999998</v>
      </c>
      <c r="M849">
        <v>0.99993500000000002</v>
      </c>
      <c r="N849">
        <v>0</v>
      </c>
      <c r="O849">
        <v>1.3407009999999999E-3</v>
      </c>
      <c r="P849">
        <v>0.9982048</v>
      </c>
      <c r="Q849">
        <v>5.2172830000000003E-2</v>
      </c>
      <c r="R849">
        <v>-2.941941E-2</v>
      </c>
      <c r="S849">
        <v>2.9849549999999998</v>
      </c>
      <c r="T849">
        <v>4.179478E-4</v>
      </c>
      <c r="U849">
        <v>-0.69464110000000001</v>
      </c>
      <c r="V849">
        <v>3.0767760000000002E-2</v>
      </c>
      <c r="W849">
        <v>6.3465190000000005E-2</v>
      </c>
      <c r="X849">
        <v>0.99750970000000005</v>
      </c>
      <c r="Y849">
        <v>0.22796330000000001</v>
      </c>
      <c r="Z849" s="1">
        <v>1.5934350000000001E-5</v>
      </c>
      <c r="AA849">
        <v>0.97366969999999997</v>
      </c>
      <c r="AB849">
        <v>32</v>
      </c>
      <c r="AC849">
        <v>90.136899999999898</v>
      </c>
      <c r="AD849">
        <v>1.25579999999998E-2</v>
      </c>
      <c r="AE849">
        <v>-21.0215</v>
      </c>
      <c r="AF849">
        <v>21.142335094379899</v>
      </c>
      <c r="AG849">
        <v>1.25579999999998E-2</v>
      </c>
      <c r="AH849">
        <v>90.108631968364804</v>
      </c>
      <c r="AI849">
        <v>89.992226085149497</v>
      </c>
      <c r="AJ849">
        <v>76.795451974459993</v>
      </c>
      <c r="AK849">
        <v>92.555734809662795</v>
      </c>
      <c r="AL849">
        <v>86.361267132164002</v>
      </c>
      <c r="AM849">
        <v>88.233296321135498</v>
      </c>
      <c r="AN849">
        <v>1.00000004349562</v>
      </c>
    </row>
    <row r="850" spans="1:40" x14ac:dyDescent="0.25">
      <c r="A850" t="str">
        <f>"20190312153906663"</f>
        <v>20190312153906663</v>
      </c>
      <c r="B850" t="str">
        <f>"1552376346656642"</f>
        <v>1552376346656642</v>
      </c>
      <c r="C850" t="s">
        <v>40</v>
      </c>
      <c r="D850">
        <v>3.51275</v>
      </c>
      <c r="E850">
        <v>0.57713040000000004</v>
      </c>
      <c r="F850" t="s">
        <v>44</v>
      </c>
      <c r="G850">
        <v>-245.3451</v>
      </c>
      <c r="H850">
        <v>1.0831409999999999</v>
      </c>
      <c r="I850">
        <v>347.4006</v>
      </c>
      <c r="J850">
        <v>-335.29930000000002</v>
      </c>
      <c r="K850">
        <v>1.10995</v>
      </c>
      <c r="L850">
        <v>368.41149999999999</v>
      </c>
      <c r="M850">
        <v>0.9999342</v>
      </c>
      <c r="N850">
        <v>0</v>
      </c>
      <c r="O850">
        <v>1.31376E-3</v>
      </c>
      <c r="P850">
        <v>0.99821910000000003</v>
      </c>
      <c r="Q850">
        <v>5.201882E-2</v>
      </c>
      <c r="R850">
        <v>-2.9203969999999999E-2</v>
      </c>
      <c r="S850">
        <v>2.9848940000000002</v>
      </c>
      <c r="T850">
        <v>-8.8477130000000001E-4</v>
      </c>
      <c r="U850">
        <v>-0.69577029999999995</v>
      </c>
      <c r="V850">
        <v>3.052558E-2</v>
      </c>
      <c r="W850">
        <v>6.3393329999999998E-2</v>
      </c>
      <c r="X850">
        <v>0.99752160000000001</v>
      </c>
      <c r="Y850">
        <v>0.22829079999999999</v>
      </c>
      <c r="Z850" s="1">
        <v>-3.3771359999999997E-5</v>
      </c>
      <c r="AA850">
        <v>0.97359300000000004</v>
      </c>
      <c r="AB850">
        <v>31</v>
      </c>
      <c r="AC850">
        <v>89.9542</v>
      </c>
      <c r="AD850">
        <v>-2.6808999999999999E-2</v>
      </c>
      <c r="AE850">
        <v>-21.0108999999999</v>
      </c>
      <c r="AF850">
        <v>21.129065990393698</v>
      </c>
      <c r="AG850">
        <v>-2.6808999999999999E-2</v>
      </c>
      <c r="AH850">
        <v>89.926509714203902</v>
      </c>
      <c r="AI850">
        <v>90.016628263639305</v>
      </c>
      <c r="AJ850">
        <v>76.777661008998507</v>
      </c>
      <c r="AK850">
        <v>92.375404181674398</v>
      </c>
      <c r="AL850">
        <v>86.365392315340998</v>
      </c>
      <c r="AM850">
        <v>88.2472146335639</v>
      </c>
      <c r="AN850">
        <v>0.99999993389469</v>
      </c>
    </row>
    <row r="851" spans="1:40" x14ac:dyDescent="0.25">
      <c r="A851" t="str">
        <f>"20190312153906676"</f>
        <v>20190312153906676</v>
      </c>
      <c r="B851" t="str">
        <f>"1552376346666402"</f>
        <v>1552376346666402</v>
      </c>
      <c r="C851" t="s">
        <v>40</v>
      </c>
      <c r="D851">
        <v>3.5275989999999999</v>
      </c>
      <c r="E851">
        <v>0.57729519999999901</v>
      </c>
      <c r="F851" t="s">
        <v>44</v>
      </c>
      <c r="G851">
        <v>-245.3451</v>
      </c>
      <c r="H851">
        <v>1.0631980000000001</v>
      </c>
      <c r="I851">
        <v>347.37619999999998</v>
      </c>
      <c r="J851">
        <v>-335.11090000000002</v>
      </c>
      <c r="K851">
        <v>1.109952</v>
      </c>
      <c r="L851">
        <v>368.4117</v>
      </c>
      <c r="M851">
        <v>0.99993319999999997</v>
      </c>
      <c r="N851">
        <v>0</v>
      </c>
      <c r="O851">
        <v>1.2873470000000001E-3</v>
      </c>
      <c r="P851">
        <v>0.99820109999999995</v>
      </c>
      <c r="Q851">
        <v>5.2406880000000003E-2</v>
      </c>
      <c r="R851">
        <v>-2.9123670000000001E-2</v>
      </c>
      <c r="S851">
        <v>2.9850159999999999</v>
      </c>
      <c r="T851">
        <v>-1.5487669999999999E-3</v>
      </c>
      <c r="U851">
        <v>-0.6980286</v>
      </c>
      <c r="V851">
        <v>3.041895E-2</v>
      </c>
      <c r="W851">
        <v>6.3864920000000006E-2</v>
      </c>
      <c r="X851">
        <v>0.99749480000000001</v>
      </c>
      <c r="Y851">
        <v>0.22895470000000001</v>
      </c>
      <c r="Z851" s="1">
        <v>-5.926486E-5</v>
      </c>
      <c r="AA851">
        <v>0.97343710000000006</v>
      </c>
      <c r="AB851">
        <v>31</v>
      </c>
      <c r="AC851">
        <v>89.765799999999999</v>
      </c>
      <c r="AD851">
        <v>-4.6754000000000101E-2</v>
      </c>
      <c r="AE851">
        <v>-21.035499999999999</v>
      </c>
      <c r="AF851">
        <v>21.1510444853424</v>
      </c>
      <c r="AG851">
        <v>-4.6754000000000101E-2</v>
      </c>
      <c r="AH851">
        <v>89.738620756047496</v>
      </c>
      <c r="AI851">
        <v>90.029055076628296</v>
      </c>
      <c r="AJ851">
        <v>76.737657439903302</v>
      </c>
      <c r="AK851">
        <v>92.197553785093206</v>
      </c>
      <c r="AL851">
        <v>86.338317421668506</v>
      </c>
      <c r="AM851">
        <v>88.253286652606803</v>
      </c>
      <c r="AN851">
        <v>0.999999958276373</v>
      </c>
    </row>
    <row r="852" spans="1:40" x14ac:dyDescent="0.25">
      <c r="A852" t="str">
        <f>"20190312153906695"</f>
        <v>20190312153906695</v>
      </c>
      <c r="B852" t="str">
        <f>"1552376346686898"</f>
        <v>1552376346686898</v>
      </c>
      <c r="C852" t="s">
        <v>40</v>
      </c>
      <c r="D852">
        <v>3.5419849999999999</v>
      </c>
      <c r="E852">
        <v>0.577538</v>
      </c>
      <c r="F852" t="s">
        <v>44</v>
      </c>
      <c r="G852">
        <v>-245.3451</v>
      </c>
      <c r="H852">
        <v>1.0968929999999999</v>
      </c>
      <c r="I852">
        <v>347.38470000000001</v>
      </c>
      <c r="J852">
        <v>-334.85669999999999</v>
      </c>
      <c r="K852">
        <v>1.1099680000000001</v>
      </c>
      <c r="L852">
        <v>368.41199999999998</v>
      </c>
      <c r="M852">
        <v>0.99993200000000004</v>
      </c>
      <c r="N852">
        <v>0</v>
      </c>
      <c r="O852">
        <v>1.24836E-3</v>
      </c>
      <c r="P852">
        <v>0.9981968</v>
      </c>
      <c r="Q852">
        <v>5.244356E-2</v>
      </c>
      <c r="R852">
        <v>-2.9207400000000001E-2</v>
      </c>
      <c r="S852">
        <v>2.9850159999999999</v>
      </c>
      <c r="T852">
        <v>-4.3165679999999999E-4</v>
      </c>
      <c r="U852">
        <v>-0.69921880000000003</v>
      </c>
      <c r="V852">
        <v>3.0463299999999999E-2</v>
      </c>
      <c r="W852">
        <v>6.4011479999999996E-2</v>
      </c>
      <c r="X852">
        <v>0.99748409999999998</v>
      </c>
      <c r="Y852">
        <v>0.22928480000000001</v>
      </c>
      <c r="Z852" s="1">
        <v>-1.653495E-5</v>
      </c>
      <c r="AA852">
        <v>0.97335939999999999</v>
      </c>
      <c r="AB852">
        <v>31</v>
      </c>
      <c r="AC852">
        <v>89.511599999999902</v>
      </c>
      <c r="AD852">
        <v>-1.3074999999999899E-2</v>
      </c>
      <c r="AE852">
        <v>-21.027299999999901</v>
      </c>
      <c r="AF852">
        <v>21.139033398752101</v>
      </c>
      <c r="AG852">
        <v>-1.3074999999999899E-2</v>
      </c>
      <c r="AH852">
        <v>89.485277028711195</v>
      </c>
      <c r="AI852">
        <v>90.008147437590395</v>
      </c>
      <c r="AJ852">
        <v>76.708726181839296</v>
      </c>
      <c r="AK852">
        <v>91.948212102761204</v>
      </c>
      <c r="AL852">
        <v>86.329903109982595</v>
      </c>
      <c r="AM852">
        <v>88.250722820588607</v>
      </c>
      <c r="AN852">
        <v>1.0000000059857399</v>
      </c>
    </row>
    <row r="853" spans="1:40" x14ac:dyDescent="0.25">
      <c r="A853" t="str">
        <f>"20190312153906710"</f>
        <v>20190312153906710</v>
      </c>
      <c r="B853" t="str">
        <f>"1552376346696657"</f>
        <v>1552376346696657</v>
      </c>
      <c r="C853" t="s">
        <v>40</v>
      </c>
      <c r="D853">
        <v>3.5367660000000001</v>
      </c>
      <c r="E853">
        <v>0.57766019999999996</v>
      </c>
      <c r="F853" t="s">
        <v>44</v>
      </c>
      <c r="G853">
        <v>-245.3451</v>
      </c>
      <c r="H853">
        <v>1.092932</v>
      </c>
      <c r="I853">
        <v>347.38639999999998</v>
      </c>
      <c r="J853">
        <v>-334.64870000000002</v>
      </c>
      <c r="K853">
        <v>1.1099779999999999</v>
      </c>
      <c r="L853">
        <v>368.41219999999998</v>
      </c>
      <c r="M853">
        <v>0.99993100000000001</v>
      </c>
      <c r="N853">
        <v>0</v>
      </c>
      <c r="O853">
        <v>1.2169959999999999E-3</v>
      </c>
      <c r="P853">
        <v>0.99819950000000002</v>
      </c>
      <c r="Q853">
        <v>5.2450089999999998E-2</v>
      </c>
      <c r="R853">
        <v>-2.9104339999999999E-2</v>
      </c>
      <c r="S853">
        <v>2.9849549999999998</v>
      </c>
      <c r="T853">
        <v>-5.6552890000000002E-4</v>
      </c>
      <c r="U853">
        <v>-0.70114140000000003</v>
      </c>
      <c r="V853">
        <v>3.03288E-2</v>
      </c>
      <c r="W853">
        <v>6.4104739999999993E-2</v>
      </c>
      <c r="X853">
        <v>0.99748219999999999</v>
      </c>
      <c r="Y853">
        <v>0.2298528</v>
      </c>
      <c r="Z853" s="1">
        <v>-2.1709099999999999E-5</v>
      </c>
      <c r="AA853">
        <v>0.97322540000000002</v>
      </c>
      <c r="AB853">
        <v>31</v>
      </c>
      <c r="AC853">
        <v>89.303600000000003</v>
      </c>
      <c r="AD853">
        <v>-1.7046000000000099E-2</v>
      </c>
      <c r="AE853">
        <v>-21.0258</v>
      </c>
      <c r="AF853">
        <v>21.134473240928301</v>
      </c>
      <c r="AG853">
        <v>-1.7046000000000099E-2</v>
      </c>
      <c r="AH853">
        <v>89.277940714917307</v>
      </c>
      <c r="AI853">
        <v>90.010645372396496</v>
      </c>
      <c r="AJ853">
        <v>76.681729348470796</v>
      </c>
      <c r="AK853">
        <v>91.745391971662102</v>
      </c>
      <c r="AL853">
        <v>86.3245486738886</v>
      </c>
      <c r="AM853">
        <v>88.258438057445503</v>
      </c>
      <c r="AN853">
        <v>0.99999999655837302</v>
      </c>
    </row>
    <row r="854" spans="1:40" x14ac:dyDescent="0.25">
      <c r="A854" t="str">
        <f>"20190312153906727"</f>
        <v>20190312153906727</v>
      </c>
      <c r="B854" t="str">
        <f>"1552376346717153"</f>
        <v>1552376346717153</v>
      </c>
      <c r="C854" t="s">
        <v>40</v>
      </c>
      <c r="D854">
        <v>3.7247349999999999</v>
      </c>
      <c r="E854">
        <v>0.55157100000000003</v>
      </c>
      <c r="F854" t="s">
        <v>44</v>
      </c>
      <c r="G854">
        <v>-245.3451</v>
      </c>
      <c r="H854">
        <v>1.0833999999999999</v>
      </c>
      <c r="I854">
        <v>347.41379999999998</v>
      </c>
      <c r="J854">
        <v>-334.392</v>
      </c>
      <c r="K854">
        <v>1.10999</v>
      </c>
      <c r="L854">
        <v>368.41250000000002</v>
      </c>
      <c r="M854">
        <v>0.99992990000000004</v>
      </c>
      <c r="N854">
        <v>0</v>
      </c>
      <c r="O854">
        <v>1.1778540000000001E-3</v>
      </c>
      <c r="P854">
        <v>0.99820410000000004</v>
      </c>
      <c r="Q854">
        <v>5.2304389999999999E-2</v>
      </c>
      <c r="R854">
        <v>-2.921058E-2</v>
      </c>
      <c r="S854">
        <v>2.984985</v>
      </c>
      <c r="T854">
        <v>-8.8572499999999997E-4</v>
      </c>
      <c r="U854">
        <v>-0.70187379999999999</v>
      </c>
      <c r="V854">
        <v>3.039565E-2</v>
      </c>
      <c r="W854">
        <v>6.4060480000000003E-2</v>
      </c>
      <c r="X854">
        <v>0.99748300000000001</v>
      </c>
      <c r="Y854">
        <v>0.23003879999999999</v>
      </c>
      <c r="Z854" s="1">
        <v>-3.4015040000000002E-5</v>
      </c>
      <c r="AA854">
        <v>0.97318139999999997</v>
      </c>
      <c r="AB854">
        <v>31</v>
      </c>
      <c r="AC854">
        <v>89.046899999999994</v>
      </c>
      <c r="AD854">
        <v>-2.65900000000001E-2</v>
      </c>
      <c r="AE854">
        <v>-20.998699999999999</v>
      </c>
      <c r="AF854">
        <v>21.103575176695799</v>
      </c>
      <c r="AG854">
        <v>-2.65900000000001E-2</v>
      </c>
      <c r="AH854">
        <v>89.022095583094</v>
      </c>
      <c r="AI854">
        <v>90.016652160617895</v>
      </c>
      <c r="AJ854">
        <v>76.6636496831252</v>
      </c>
      <c r="AK854">
        <v>91.489316831376996</v>
      </c>
      <c r="AL854">
        <v>86.327089776539495</v>
      </c>
      <c r="AM854">
        <v>88.254603119944704</v>
      </c>
      <c r="AN854">
        <v>0.99999998796287604</v>
      </c>
    </row>
    <row r="855" spans="1:40" x14ac:dyDescent="0.25">
      <c r="A855" t="str">
        <f>"20190312153906745"</f>
        <v>20190312153906745</v>
      </c>
      <c r="B855" t="str">
        <f>"1552376346736673"</f>
        <v>1552376346736673</v>
      </c>
      <c r="C855" t="s">
        <v>40</v>
      </c>
      <c r="D855">
        <v>3.6750419999999999</v>
      </c>
      <c r="E855">
        <v>0.53218690000000002</v>
      </c>
      <c r="F855" t="s">
        <v>53</v>
      </c>
      <c r="G855">
        <v>-168.98349999999999</v>
      </c>
      <c r="H855">
        <v>4.4200400000000002</v>
      </c>
      <c r="I855">
        <v>340.95440000000002</v>
      </c>
      <c r="J855">
        <v>-334.14530000000002</v>
      </c>
      <c r="K855">
        <v>1.109998</v>
      </c>
      <c r="L855">
        <v>368.41269999999997</v>
      </c>
      <c r="M855">
        <v>0.99992899999999996</v>
      </c>
      <c r="N855">
        <v>0</v>
      </c>
      <c r="O855">
        <v>1.139957E-3</v>
      </c>
      <c r="P855">
        <v>0.99821930000000003</v>
      </c>
      <c r="Q855">
        <v>5.2083129999999998E-2</v>
      </c>
      <c r="R855">
        <v>-2.9089670000000001E-2</v>
      </c>
      <c r="S855">
        <v>2.987762</v>
      </c>
      <c r="T855">
        <v>5.9789299999999997E-2</v>
      </c>
      <c r="U855">
        <v>-0.49597170000000002</v>
      </c>
      <c r="V855">
        <v>3.0236499999999999E-2</v>
      </c>
      <c r="W855">
        <v>6.393153E-2</v>
      </c>
      <c r="X855">
        <v>0.9974961</v>
      </c>
      <c r="Y855">
        <v>0.1648522</v>
      </c>
      <c r="Z855">
        <v>1.660749E-3</v>
      </c>
      <c r="AA855">
        <v>0.98631690000000005</v>
      </c>
      <c r="AB855">
        <v>31</v>
      </c>
      <c r="AC855">
        <v>165.1618</v>
      </c>
      <c r="AD855">
        <v>3.3100419999999899</v>
      </c>
      <c r="AE855">
        <v>-27.458299999999898</v>
      </c>
      <c r="AF855">
        <v>27.635771387476399</v>
      </c>
      <c r="AG855">
        <v>3.3100419999999899</v>
      </c>
      <c r="AH855">
        <v>165.06587364438701</v>
      </c>
      <c r="AI855">
        <v>88.866975613887405</v>
      </c>
      <c r="AJ855">
        <v>80.495537155011903</v>
      </c>
      <c r="AK855">
        <v>167.396042008786</v>
      </c>
      <c r="AL855">
        <v>86.334493206749897</v>
      </c>
      <c r="AM855">
        <v>88.263759104505496</v>
      </c>
      <c r="AN855">
        <v>0.99999997798780005</v>
      </c>
    </row>
    <row r="856" spans="1:40" x14ac:dyDescent="0.25">
      <c r="A856" t="str">
        <f>"20190312153906763"</f>
        <v>20190312153906763</v>
      </c>
      <c r="B856" t="str">
        <f>"1552376346756702"</f>
        <v>1552376346756702</v>
      </c>
      <c r="C856" t="s">
        <v>40</v>
      </c>
      <c r="D856">
        <v>3.6312310000000001</v>
      </c>
      <c r="E856">
        <v>0.52228090000000005</v>
      </c>
      <c r="F856" t="s">
        <v>50</v>
      </c>
      <c r="G856">
        <v>0</v>
      </c>
      <c r="H856">
        <v>0</v>
      </c>
      <c r="I856">
        <v>0</v>
      </c>
      <c r="J856">
        <v>-333.91090000000003</v>
      </c>
      <c r="K856">
        <v>1.110007</v>
      </c>
      <c r="L856">
        <v>368.41289999999998</v>
      </c>
      <c r="M856">
        <v>0.99992789999999998</v>
      </c>
      <c r="N856">
        <v>0</v>
      </c>
      <c r="O856">
        <v>1.1052670000000001E-3</v>
      </c>
      <c r="P856">
        <v>0.99823989999999996</v>
      </c>
      <c r="Q856">
        <v>5.1755290000000002E-2</v>
      </c>
      <c r="R856">
        <v>-2.8958729999999999E-2</v>
      </c>
      <c r="S856">
        <v>2.9916990000000001</v>
      </c>
      <c r="T856">
        <v>7.0804240000000004E-2</v>
      </c>
      <c r="U856">
        <v>-0.34149170000000001</v>
      </c>
      <c r="V856">
        <v>3.0071000000000001E-2</v>
      </c>
      <c r="W856">
        <v>6.3684080000000004E-2</v>
      </c>
      <c r="X856">
        <v>0.99751690000000004</v>
      </c>
      <c r="Y856">
        <v>0.1144762</v>
      </c>
      <c r="Z856">
        <v>1.3761489999999999E-3</v>
      </c>
      <c r="AA856">
        <v>0.99342509999999995</v>
      </c>
      <c r="AB856">
        <v>31</v>
      </c>
      <c r="AC856">
        <v>2.9916990000000001</v>
      </c>
      <c r="AD856">
        <v>7.0804240000000004E-2</v>
      </c>
      <c r="AE856">
        <v>-0.34149170000000001</v>
      </c>
      <c r="AF856">
        <v>0.34460781412233599</v>
      </c>
      <c r="AG856">
        <v>7.0804240000000004E-2</v>
      </c>
      <c r="AH856">
        <v>2.98966666553601</v>
      </c>
      <c r="AI856">
        <v>88.652238870881106</v>
      </c>
      <c r="AJ856">
        <v>83.4247453525672</v>
      </c>
      <c r="AK856">
        <v>3.0102947624731602</v>
      </c>
      <c r="AL856">
        <v>86.348699882898003</v>
      </c>
      <c r="AM856">
        <v>88.273292663506894</v>
      </c>
      <c r="AN856">
        <v>0.99999994643602597</v>
      </c>
    </row>
    <row r="857" spans="1:40" x14ac:dyDescent="0.25">
      <c r="A857" t="str">
        <f>"20190312153906776"</f>
        <v>20190312153906776</v>
      </c>
      <c r="B857" t="str">
        <f>"1552376346766461"</f>
        <v>1552376346766461</v>
      </c>
      <c r="C857" t="s">
        <v>40</v>
      </c>
      <c r="D857">
        <v>3.6160990000000002</v>
      </c>
      <c r="E857">
        <v>0.51939619999999997</v>
      </c>
      <c r="F857" t="s">
        <v>47</v>
      </c>
      <c r="G857">
        <v>-169.2955</v>
      </c>
      <c r="H857">
        <v>4.7158319999999998</v>
      </c>
      <c r="I857">
        <v>354.0145</v>
      </c>
      <c r="J857">
        <v>-333.70370000000003</v>
      </c>
      <c r="K857">
        <v>1.1100179999999999</v>
      </c>
      <c r="L857">
        <v>368.41309999999999</v>
      </c>
      <c r="M857">
        <v>0.99992720000000002</v>
      </c>
      <c r="N857">
        <v>0</v>
      </c>
      <c r="O857">
        <v>1.0760120000000001E-3</v>
      </c>
      <c r="P857">
        <v>0.99824829999999998</v>
      </c>
      <c r="Q857">
        <v>5.1637080000000002E-2</v>
      </c>
      <c r="R857">
        <v>-2.8882359999999999E-2</v>
      </c>
      <c r="S857">
        <v>2.9942929999999999</v>
      </c>
      <c r="T857">
        <v>6.5590140000000005E-2</v>
      </c>
      <c r="U857">
        <v>-0.26190190000000002</v>
      </c>
      <c r="V857">
        <v>2.9965640000000002E-2</v>
      </c>
      <c r="W857">
        <v>6.3632209999999995E-2</v>
      </c>
      <c r="X857">
        <v>0.99752339999999995</v>
      </c>
      <c r="Y857">
        <v>8.8185029999999998E-2</v>
      </c>
      <c r="Z857">
        <v>9.8741809999999992E-4</v>
      </c>
      <c r="AA857">
        <v>0.99610359999999998</v>
      </c>
      <c r="AB857">
        <v>31</v>
      </c>
      <c r="AC857">
        <v>164.40819999999999</v>
      </c>
      <c r="AD857">
        <v>3.6058140000000001</v>
      </c>
      <c r="AE857">
        <v>-14.398599999999901</v>
      </c>
      <c r="AF857">
        <v>14.568555265624401</v>
      </c>
      <c r="AG857">
        <v>3.6058140000000001</v>
      </c>
      <c r="AH857">
        <v>164.31417444997601</v>
      </c>
      <c r="AI857">
        <v>88.747777716278506</v>
      </c>
      <c r="AJ857">
        <v>84.933244619634294</v>
      </c>
      <c r="AK857">
        <v>164.99815945127199</v>
      </c>
      <c r="AL857">
        <v>86.351677925326598</v>
      </c>
      <c r="AM857">
        <v>88.279350103740001</v>
      </c>
      <c r="AN857">
        <v>0.99999996563882598</v>
      </c>
    </row>
    <row r="858" spans="1:40" x14ac:dyDescent="0.25">
      <c r="A858" t="str">
        <f>"20190312153906794"</f>
        <v>20190312153906794</v>
      </c>
      <c r="B858" t="str">
        <f>"1552376346786958"</f>
        <v>1552376346786958</v>
      </c>
      <c r="C858" t="s">
        <v>40</v>
      </c>
      <c r="D858">
        <v>3.6775820000000001</v>
      </c>
      <c r="E858">
        <v>0.51580090000000001</v>
      </c>
      <c r="F858" t="s">
        <v>47</v>
      </c>
      <c r="G858">
        <v>-169.2955</v>
      </c>
      <c r="H858">
        <v>4.3772169999999999</v>
      </c>
      <c r="I858">
        <v>355.33260000000001</v>
      </c>
      <c r="J858">
        <v>-333.46109999999999</v>
      </c>
      <c r="K858">
        <v>1.1100239999999999</v>
      </c>
      <c r="L858">
        <v>368.41329999999999</v>
      </c>
      <c r="M858">
        <v>0.99992650000000005</v>
      </c>
      <c r="N858">
        <v>0</v>
      </c>
      <c r="O858">
        <v>1.041733E-3</v>
      </c>
      <c r="P858">
        <v>0.9982993</v>
      </c>
      <c r="Q858">
        <v>5.1010779999999999E-2</v>
      </c>
      <c r="R858">
        <v>-2.8230669999999999E-2</v>
      </c>
      <c r="S858">
        <v>2.9953310000000002</v>
      </c>
      <c r="T858">
        <v>5.9526210000000003E-2</v>
      </c>
      <c r="U858">
        <v>-0.23831179999999999</v>
      </c>
      <c r="V858">
        <v>2.9279340000000001E-2</v>
      </c>
      <c r="W858">
        <v>6.3076850000000004E-2</v>
      </c>
      <c r="X858">
        <v>0.99757910000000005</v>
      </c>
      <c r="Y858">
        <v>8.0332990000000007E-2</v>
      </c>
      <c r="Z858">
        <v>8.1756059999999896E-4</v>
      </c>
      <c r="AA858">
        <v>0.99676779999999998</v>
      </c>
      <c r="AB858">
        <v>31</v>
      </c>
      <c r="AC858">
        <v>164.16559999999899</v>
      </c>
      <c r="AD858">
        <v>3.2671929999999998</v>
      </c>
      <c r="AE858">
        <v>-13.080699999999901</v>
      </c>
      <c r="AF858">
        <v>13.246508497264999</v>
      </c>
      <c r="AG858">
        <v>3.2671929999999998</v>
      </c>
      <c r="AH858">
        <v>164.08730129308299</v>
      </c>
      <c r="AI858">
        <v>88.863014663132205</v>
      </c>
      <c r="AJ858">
        <v>85.3846111917466</v>
      </c>
      <c r="AK858">
        <v>164.653536199847</v>
      </c>
      <c r="AL858">
        <v>86.383561940773504</v>
      </c>
      <c r="AM858">
        <v>88.318828910564605</v>
      </c>
      <c r="AN858">
        <v>1.00000001475678</v>
      </c>
    </row>
    <row r="859" spans="1:40" x14ac:dyDescent="0.25">
      <c r="A859" t="str">
        <f>"20190312153906808"</f>
        <v>20190312153906808</v>
      </c>
      <c r="B859" t="str">
        <f>"1552376346796717"</f>
        <v>1552376346796717</v>
      </c>
      <c r="C859" t="s">
        <v>40</v>
      </c>
      <c r="D859">
        <v>3.6721889999999999</v>
      </c>
      <c r="E859">
        <v>0.51457200000000003</v>
      </c>
      <c r="F859" t="s">
        <v>47</v>
      </c>
      <c r="G859">
        <v>-158.19499999999999</v>
      </c>
      <c r="H859">
        <v>4.1518969999999999</v>
      </c>
      <c r="I859">
        <v>356.26859999999999</v>
      </c>
      <c r="J859">
        <v>-333.26900000000001</v>
      </c>
      <c r="K859">
        <v>1.110031</v>
      </c>
      <c r="L859">
        <v>368.4135</v>
      </c>
      <c r="M859">
        <v>0.99992590000000003</v>
      </c>
      <c r="N859">
        <v>0</v>
      </c>
      <c r="O859">
        <v>1.0121279999999999E-3</v>
      </c>
      <c r="P859">
        <v>0.99830209999999997</v>
      </c>
      <c r="Q859">
        <v>5.1245989999999998E-2</v>
      </c>
      <c r="R859">
        <v>-2.7695359999999999E-2</v>
      </c>
      <c r="S859">
        <v>2.9965519999999999</v>
      </c>
      <c r="T859">
        <v>5.2008869999999999E-2</v>
      </c>
      <c r="U859">
        <v>-0.20764160000000001</v>
      </c>
      <c r="V859">
        <v>2.871456E-2</v>
      </c>
      <c r="W859">
        <v>6.3359520000000003E-2</v>
      </c>
      <c r="X859">
        <v>0.99757759999999995</v>
      </c>
      <c r="Y859">
        <v>7.0126859999999999E-2</v>
      </c>
      <c r="Z859">
        <v>6.2534089999999895E-4</v>
      </c>
      <c r="AA859">
        <v>0.99753789999999998</v>
      </c>
      <c r="AB859">
        <v>31</v>
      </c>
      <c r="AC859">
        <v>175.07400000000001</v>
      </c>
      <c r="AD859">
        <v>3.0418660000000002</v>
      </c>
      <c r="AE859">
        <v>-12.1449</v>
      </c>
      <c r="AF859">
        <v>12.318403224864401</v>
      </c>
      <c r="AG859">
        <v>3.0418660000000002</v>
      </c>
      <c r="AH859">
        <v>175.009038203438</v>
      </c>
      <c r="AI859">
        <v>89.006688302617903</v>
      </c>
      <c r="AJ859">
        <v>85.973748609024298</v>
      </c>
      <c r="AK859">
        <v>175.46840017411799</v>
      </c>
      <c r="AL859">
        <v>86.367333669767703</v>
      </c>
      <c r="AM859">
        <v>88.351237087472398</v>
      </c>
      <c r="AN859">
        <v>1.00000001137619</v>
      </c>
    </row>
    <row r="860" spans="1:40" x14ac:dyDescent="0.25">
      <c r="A860" t="str">
        <f>"20190312153906821"</f>
        <v>20190312153906821</v>
      </c>
      <c r="B860" t="str">
        <f>"1552376346806478"</f>
        <v>1552376346806478</v>
      </c>
      <c r="C860" t="s">
        <v>40</v>
      </c>
      <c r="D860">
        <v>3.6400809999999999</v>
      </c>
      <c r="E860">
        <v>0.5136153</v>
      </c>
      <c r="F860" t="s">
        <v>47</v>
      </c>
      <c r="G860">
        <v>-158.19499999999999</v>
      </c>
      <c r="H860">
        <v>4.1282389999999998</v>
      </c>
      <c r="I860">
        <v>356.95949999999999</v>
      </c>
      <c r="J860">
        <v>-333.08030000000002</v>
      </c>
      <c r="K860">
        <v>1.110034</v>
      </c>
      <c r="L860">
        <v>368.41359999999997</v>
      </c>
      <c r="M860">
        <v>0.99992530000000002</v>
      </c>
      <c r="N860">
        <v>0</v>
      </c>
      <c r="O860">
        <v>9.8124379999999997E-4</v>
      </c>
      <c r="P860">
        <v>0.99831440000000005</v>
      </c>
      <c r="Q860">
        <v>5.1014839999999999E-2</v>
      </c>
      <c r="R860">
        <v>-2.7679249999999999E-2</v>
      </c>
      <c r="S860">
        <v>2.9970089999999998</v>
      </c>
      <c r="T860">
        <v>5.1668760000000001E-2</v>
      </c>
      <c r="U860">
        <v>-0.19607540000000001</v>
      </c>
      <c r="V860">
        <v>2.866751E-2</v>
      </c>
      <c r="W860">
        <v>6.317014E-2</v>
      </c>
      <c r="X860">
        <v>0.99759100000000001</v>
      </c>
      <c r="Y860">
        <v>6.6253380000000001E-2</v>
      </c>
      <c r="Z860">
        <v>5.8735449999999995E-4</v>
      </c>
      <c r="AA860">
        <v>0.99780270000000004</v>
      </c>
      <c r="AB860">
        <v>31</v>
      </c>
      <c r="AC860">
        <v>174.8853</v>
      </c>
      <c r="AD860">
        <v>3.018205</v>
      </c>
      <c r="AE860">
        <v>-11.454099999999899</v>
      </c>
      <c r="AF860">
        <v>11.622265486099399</v>
      </c>
      <c r="AG860">
        <v>3.018205</v>
      </c>
      <c r="AH860">
        <v>174.822128138225</v>
      </c>
      <c r="AI860">
        <v>89.013097137947099</v>
      </c>
      <c r="AJ860">
        <v>86.196543686189798</v>
      </c>
      <c r="AK860">
        <v>175.23402381737799</v>
      </c>
      <c r="AL860">
        <v>86.378206257183706</v>
      </c>
      <c r="AM860">
        <v>88.353959264875698</v>
      </c>
      <c r="AN860">
        <v>1.0000000479991</v>
      </c>
    </row>
    <row r="861" spans="1:40" x14ac:dyDescent="0.25">
      <c r="A861" t="str">
        <f>"20190312153906838"</f>
        <v>20190312153906838</v>
      </c>
      <c r="B861" t="str">
        <f>"1552376346826973"</f>
        <v>1552376346826973</v>
      </c>
      <c r="C861" t="s">
        <v>40</v>
      </c>
      <c r="D861">
        <v>3.7096309999999999</v>
      </c>
      <c r="E861">
        <v>0.51221879999999997</v>
      </c>
      <c r="F861" t="s">
        <v>47</v>
      </c>
      <c r="G861">
        <v>-158.19499999999999</v>
      </c>
      <c r="H861">
        <v>4.0251900000000003</v>
      </c>
      <c r="I861">
        <v>357.39659999999998</v>
      </c>
      <c r="J861">
        <v>-332.84719999999999</v>
      </c>
      <c r="K861">
        <v>1.110033</v>
      </c>
      <c r="L861">
        <v>368.41379999999998</v>
      </c>
      <c r="M861">
        <v>0.99992499999999995</v>
      </c>
      <c r="N861">
        <v>0</v>
      </c>
      <c r="O861">
        <v>9.3948510000000003E-4</v>
      </c>
      <c r="P861">
        <v>0.99834069999999997</v>
      </c>
      <c r="Q861">
        <v>5.0925199999999997E-2</v>
      </c>
      <c r="R861">
        <v>-2.6886239999999999E-2</v>
      </c>
      <c r="S861">
        <v>2.997223</v>
      </c>
      <c r="T861">
        <v>4.9962039999999999E-2</v>
      </c>
      <c r="U861">
        <v>-0.18881229999999999</v>
      </c>
      <c r="V861">
        <v>2.783302E-2</v>
      </c>
      <c r="W861">
        <v>6.3123490000000004E-2</v>
      </c>
      <c r="X861">
        <v>0.99761750000000005</v>
      </c>
      <c r="Y861">
        <v>6.3799819999999993E-2</v>
      </c>
      <c r="Z861">
        <v>5.4683580000000002E-4</v>
      </c>
      <c r="AA861">
        <v>0.99796260000000003</v>
      </c>
      <c r="AB861">
        <v>31</v>
      </c>
      <c r="AC861">
        <v>174.65219999999999</v>
      </c>
      <c r="AD861">
        <v>2.91515699999999</v>
      </c>
      <c r="AE861">
        <v>-11.017200000000001</v>
      </c>
      <c r="AF861">
        <v>11.1781886493035</v>
      </c>
      <c r="AG861">
        <v>2.91515699999999</v>
      </c>
      <c r="AH861">
        <v>174.59332332715999</v>
      </c>
      <c r="AI861">
        <v>89.045384516163296</v>
      </c>
      <c r="AJ861">
        <v>86.3366865324044</v>
      </c>
      <c r="AK861">
        <v>174.97507991778801</v>
      </c>
      <c r="AL861">
        <v>86.380884146310606</v>
      </c>
      <c r="AM861">
        <v>88.401891501746505</v>
      </c>
      <c r="AN861">
        <v>0.99999996414917403</v>
      </c>
    </row>
    <row r="862" spans="1:40" x14ac:dyDescent="0.25">
      <c r="A862" t="str">
        <f>"20190312153906851"</f>
        <v>20190312153906851</v>
      </c>
      <c r="B862" t="str">
        <f>"1552376346846493"</f>
        <v>1552376346846493</v>
      </c>
      <c r="C862" t="s">
        <v>40</v>
      </c>
      <c r="D862">
        <v>3.741536</v>
      </c>
      <c r="E862">
        <v>0.51079359999999996</v>
      </c>
      <c r="F862" t="s">
        <v>47</v>
      </c>
      <c r="G862">
        <v>-158.19499999999999</v>
      </c>
      <c r="H862">
        <v>3.9321329999999999</v>
      </c>
      <c r="I862">
        <v>358.2208</v>
      </c>
      <c r="J862">
        <v>-332.64760000000001</v>
      </c>
      <c r="K862">
        <v>1.1100289999999999</v>
      </c>
      <c r="L862">
        <v>368.41399999999999</v>
      </c>
      <c r="M862">
        <v>0.99992449999999999</v>
      </c>
      <c r="N862">
        <v>0</v>
      </c>
      <c r="O862">
        <v>8.9932550000000003E-4</v>
      </c>
      <c r="P862">
        <v>0.99834800000000001</v>
      </c>
      <c r="Q862">
        <v>5.0726439999999998E-2</v>
      </c>
      <c r="R862">
        <v>-2.6990710000000001E-2</v>
      </c>
      <c r="S862">
        <v>2.9978030000000002</v>
      </c>
      <c r="T862">
        <v>4.8441169999999999E-2</v>
      </c>
      <c r="U862">
        <v>-0.17495729999999901</v>
      </c>
      <c r="V862">
        <v>2.7897640000000001E-2</v>
      </c>
      <c r="W862">
        <v>6.2954079999999996E-2</v>
      </c>
      <c r="X862">
        <v>0.99762640000000002</v>
      </c>
      <c r="Y862">
        <v>5.9152719999999999E-2</v>
      </c>
      <c r="Z862">
        <v>4.9200380000000003E-4</v>
      </c>
      <c r="AA862">
        <v>0.99824880000000005</v>
      </c>
      <c r="AB862">
        <v>31</v>
      </c>
      <c r="AC862">
        <v>174.45259999999999</v>
      </c>
      <c r="AD862">
        <v>2.8221039999999999</v>
      </c>
      <c r="AE862">
        <v>-10.1931999999999</v>
      </c>
      <c r="AF862">
        <v>10.3473987090391</v>
      </c>
      <c r="AG862">
        <v>2.8221039999999999</v>
      </c>
      <c r="AH862">
        <v>174.39787842777901</v>
      </c>
      <c r="AI862">
        <v>89.074548641352493</v>
      </c>
      <c r="AJ862">
        <v>86.604499657898003</v>
      </c>
      <c r="AK862">
        <v>174.72736743607501</v>
      </c>
      <c r="AL862">
        <v>86.390609968916095</v>
      </c>
      <c r="AM862">
        <v>88.398197382216395</v>
      </c>
      <c r="AN862">
        <v>0.99999996424158699</v>
      </c>
    </row>
    <row r="863" spans="1:40" x14ac:dyDescent="0.25">
      <c r="A863" t="str">
        <f>"20190312153906865"</f>
        <v>20190312153906865</v>
      </c>
      <c r="B863" t="str">
        <f>"1552376346856762"</f>
        <v>1552376346856762</v>
      </c>
      <c r="C863" t="s">
        <v>40</v>
      </c>
      <c r="D863">
        <v>3.7638910000000001</v>
      </c>
      <c r="E863">
        <v>0.51023069999999904</v>
      </c>
      <c r="F863" t="s">
        <v>47</v>
      </c>
      <c r="G863">
        <v>-158.19499999999999</v>
      </c>
      <c r="H863">
        <v>3.6941079999999999</v>
      </c>
      <c r="I863">
        <v>358.86989999999997</v>
      </c>
      <c r="J863">
        <v>-332.46570000000003</v>
      </c>
      <c r="K863">
        <v>1.110028</v>
      </c>
      <c r="L863">
        <v>368.41410000000002</v>
      </c>
      <c r="M863">
        <v>0.99992440000000005</v>
      </c>
      <c r="N863">
        <v>0</v>
      </c>
      <c r="O863">
        <v>8.5972350000000002E-4</v>
      </c>
      <c r="P863">
        <v>0.99836159999999996</v>
      </c>
      <c r="Q863">
        <v>5.0496470000000002E-2</v>
      </c>
      <c r="R863">
        <v>-2.691433E-2</v>
      </c>
      <c r="S863">
        <v>2.9982600000000001</v>
      </c>
      <c r="T863">
        <v>4.4413210000000002E-2</v>
      </c>
      <c r="U863">
        <v>-0.16403199999999901</v>
      </c>
      <c r="V863">
        <v>2.778255E-2</v>
      </c>
      <c r="W863">
        <v>6.2747540000000004E-2</v>
      </c>
      <c r="X863">
        <v>0.99764260000000005</v>
      </c>
      <c r="Y863">
        <v>5.5479680000000003E-2</v>
      </c>
      <c r="Z863">
        <v>4.233064E-4</v>
      </c>
      <c r="AA863">
        <v>0.99845980000000001</v>
      </c>
      <c r="AB863">
        <v>31</v>
      </c>
      <c r="AC863">
        <v>174.27070000000001</v>
      </c>
      <c r="AD863">
        <v>2.5840799999999899</v>
      </c>
      <c r="AE863">
        <v>-9.5442000000000409</v>
      </c>
      <c r="AF863">
        <v>9.6919077871082795</v>
      </c>
      <c r="AG863">
        <v>2.5840799999999899</v>
      </c>
      <c r="AH863">
        <v>174.224237713143</v>
      </c>
      <c r="AI863">
        <v>89.151567438332606</v>
      </c>
      <c r="AJ863">
        <v>86.815978831605705</v>
      </c>
      <c r="AK863">
        <v>174.51273750854401</v>
      </c>
      <c r="AL863">
        <v>86.402467197188997</v>
      </c>
      <c r="AM863">
        <v>88.404827989012702</v>
      </c>
      <c r="AN863">
        <v>0.99999994059765496</v>
      </c>
    </row>
    <row r="864" spans="1:40" x14ac:dyDescent="0.25">
      <c r="A864" t="str">
        <f>"20190312153906880"</f>
        <v>20190312153906880</v>
      </c>
      <c r="B864" t="str">
        <f>"1552376346876282"</f>
        <v>1552376346876282</v>
      </c>
      <c r="C864" t="s">
        <v>40</v>
      </c>
      <c r="D864">
        <v>3.7718129999999999</v>
      </c>
      <c r="E864">
        <v>0.50941259999999999</v>
      </c>
      <c r="F864" t="s">
        <v>47</v>
      </c>
      <c r="G864">
        <v>-158.19499999999999</v>
      </c>
      <c r="H864">
        <v>3.5684279999999999</v>
      </c>
      <c r="I864">
        <v>359.15730000000002</v>
      </c>
      <c r="J864">
        <v>-332.25839999999999</v>
      </c>
      <c r="K864">
        <v>1.1100209999999999</v>
      </c>
      <c r="L864">
        <v>368.41419999999999</v>
      </c>
      <c r="M864">
        <v>0.99992389999999998</v>
      </c>
      <c r="N864">
        <v>0</v>
      </c>
      <c r="O864">
        <v>8.1079199999999996E-4</v>
      </c>
      <c r="P864">
        <v>0.99836499999999995</v>
      </c>
      <c r="Q864">
        <v>5.042932E-2</v>
      </c>
      <c r="R864">
        <v>-2.690913E-2</v>
      </c>
      <c r="S864">
        <v>2.9984739999999999</v>
      </c>
      <c r="T864">
        <v>4.2300339999999999E-2</v>
      </c>
      <c r="U864">
        <v>-0.1592712</v>
      </c>
      <c r="V864">
        <v>2.772929E-2</v>
      </c>
      <c r="W864">
        <v>6.2703289999999995E-2</v>
      </c>
      <c r="X864">
        <v>0.9976469</v>
      </c>
      <c r="Y864">
        <v>5.3846930000000001E-2</v>
      </c>
      <c r="Z864">
        <v>3.9096120000000001E-4</v>
      </c>
      <c r="AA864">
        <v>0.99854909999999997</v>
      </c>
      <c r="AB864">
        <v>31</v>
      </c>
      <c r="AC864">
        <v>174.0634</v>
      </c>
      <c r="AD864">
        <v>2.4584069999999998</v>
      </c>
      <c r="AE864">
        <v>-9.2568999999999697</v>
      </c>
      <c r="AF864">
        <v>9.3961678309363101</v>
      </c>
      <c r="AG864">
        <v>2.4584069999999998</v>
      </c>
      <c r="AH864">
        <v>174.02122147291601</v>
      </c>
      <c r="AI864">
        <v>89.191810413472496</v>
      </c>
      <c r="AJ864">
        <v>86.909351105068595</v>
      </c>
      <c r="AK864">
        <v>174.292045882222</v>
      </c>
      <c r="AL864">
        <v>86.405007667529105</v>
      </c>
      <c r="AM864">
        <v>88.407891265940606</v>
      </c>
      <c r="AN864">
        <v>0.99999997659016804</v>
      </c>
    </row>
    <row r="865" spans="1:40" x14ac:dyDescent="0.25">
      <c r="A865" t="str">
        <f>"20190312153906894"</f>
        <v>20190312153906894</v>
      </c>
      <c r="B865" t="str">
        <f>"1552376346887018"</f>
        <v>1552376346887018</v>
      </c>
      <c r="C865" t="s">
        <v>40</v>
      </c>
      <c r="D865">
        <v>3.7490060000000001</v>
      </c>
      <c r="E865">
        <v>0.50909119999999997</v>
      </c>
      <c r="F865" t="s">
        <v>47</v>
      </c>
      <c r="G865">
        <v>-158.19499999999999</v>
      </c>
      <c r="H865">
        <v>3.3134980000000001</v>
      </c>
      <c r="I865">
        <v>359.56110000000001</v>
      </c>
      <c r="J865">
        <v>-332.04230000000001</v>
      </c>
      <c r="K865">
        <v>1.110012</v>
      </c>
      <c r="L865">
        <v>368.4144</v>
      </c>
      <c r="M865">
        <v>0.99992380000000003</v>
      </c>
      <c r="N865">
        <v>0</v>
      </c>
      <c r="O865">
        <v>7.4883630000000001E-4</v>
      </c>
      <c r="P865">
        <v>0.99837319999999996</v>
      </c>
      <c r="Q865">
        <v>5.0194269999999999E-2</v>
      </c>
      <c r="R865">
        <v>-2.70426E-2</v>
      </c>
      <c r="S865">
        <v>2.9988709999999998</v>
      </c>
      <c r="T865">
        <v>3.7964339999999999E-2</v>
      </c>
      <c r="U865">
        <v>-0.15252689999999999</v>
      </c>
      <c r="V865">
        <v>2.780233E-2</v>
      </c>
      <c r="W865">
        <v>6.2486750000000001E-2</v>
      </c>
      <c r="X865">
        <v>0.9976585</v>
      </c>
      <c r="Y865">
        <v>5.1539509999999997E-2</v>
      </c>
      <c r="Z865">
        <v>3.3548390000000001E-4</v>
      </c>
      <c r="AA865">
        <v>0.99867090000000003</v>
      </c>
      <c r="AB865">
        <v>31</v>
      </c>
      <c r="AC865">
        <v>173.84729999999999</v>
      </c>
      <c r="AD865">
        <v>2.2034859999999998</v>
      </c>
      <c r="AE865">
        <v>-8.8532999999999902</v>
      </c>
      <c r="AF865">
        <v>8.9820513233349502</v>
      </c>
      <c r="AG865">
        <v>2.2034859999999998</v>
      </c>
      <c r="AH865">
        <v>173.81277002742399</v>
      </c>
      <c r="AI865">
        <v>89.274647800335401</v>
      </c>
      <c r="AJ865">
        <v>87.041780876206502</v>
      </c>
      <c r="AK865">
        <v>174.058644201124</v>
      </c>
      <c r="AL865">
        <v>86.417439040088695</v>
      </c>
      <c r="AM865">
        <v>88.403718309132799</v>
      </c>
      <c r="AN865">
        <v>1.0000000230506201</v>
      </c>
    </row>
    <row r="866" spans="1:40" x14ac:dyDescent="0.25">
      <c r="A866" t="str">
        <f>"20190312153906910"</f>
        <v>20190312153906910</v>
      </c>
      <c r="B866" t="str">
        <f>"1552376346906538"</f>
        <v>1552376346906538</v>
      </c>
      <c r="C866" t="s">
        <v>40</v>
      </c>
      <c r="D866">
        <v>3.8206730000000002</v>
      </c>
      <c r="E866">
        <v>0.50853590000000004</v>
      </c>
      <c r="F866" t="s">
        <v>47</v>
      </c>
      <c r="G866">
        <v>-158.19499999999999</v>
      </c>
      <c r="H866">
        <v>3.1618900000000001</v>
      </c>
      <c r="I866">
        <v>359.69650000000001</v>
      </c>
      <c r="J866">
        <v>-331.8356</v>
      </c>
      <c r="K866">
        <v>1.1099920000000001</v>
      </c>
      <c r="L866">
        <v>368.41449999999998</v>
      </c>
      <c r="M866">
        <v>0.99992380000000003</v>
      </c>
      <c r="N866">
        <v>0</v>
      </c>
      <c r="O866">
        <v>6.779574E-4</v>
      </c>
      <c r="P866">
        <v>0.99840169999999995</v>
      </c>
      <c r="Q866">
        <v>4.9558390000000001E-2</v>
      </c>
      <c r="R866">
        <v>-2.7165789999999999E-2</v>
      </c>
      <c r="S866">
        <v>2.9990230000000002</v>
      </c>
      <c r="T866">
        <v>3.5398239999999997E-2</v>
      </c>
      <c r="U866">
        <v>-0.15039060000000001</v>
      </c>
      <c r="V866">
        <v>2.785671E-2</v>
      </c>
      <c r="W866">
        <v>6.1861390000000002E-2</v>
      </c>
      <c r="X866">
        <v>0.99769589999999997</v>
      </c>
      <c r="Y866">
        <v>5.0757169999999997E-2</v>
      </c>
      <c r="Z866">
        <v>3.0734890000000002E-4</v>
      </c>
      <c r="AA866">
        <v>0.99871100000000002</v>
      </c>
      <c r="AB866">
        <v>31</v>
      </c>
      <c r="AC866">
        <v>173.64060000000001</v>
      </c>
      <c r="AD866">
        <v>2.051898</v>
      </c>
      <c r="AE866">
        <v>-8.7179999999999591</v>
      </c>
      <c r="AF866">
        <v>8.8344973249943006</v>
      </c>
      <c r="AG866">
        <v>2.051898</v>
      </c>
      <c r="AH866">
        <v>173.61046724658499</v>
      </c>
      <c r="AI866">
        <v>89.323729013906103</v>
      </c>
      <c r="AJ866">
        <v>87.086908506699203</v>
      </c>
      <c r="AK866">
        <v>173.84721155648501</v>
      </c>
      <c r="AL866">
        <v>86.453338789215593</v>
      </c>
      <c r="AM866">
        <v>88.400657604885893</v>
      </c>
      <c r="AN866">
        <v>0.99999996837078198</v>
      </c>
    </row>
    <row r="867" spans="1:40" x14ac:dyDescent="0.25">
      <c r="A867" t="str">
        <f>"20190312153906928"</f>
        <v>20190312153906928</v>
      </c>
      <c r="B867" t="str">
        <f>"1552376346916297"</f>
        <v>1552376346916297</v>
      </c>
      <c r="C867" t="s">
        <v>40</v>
      </c>
      <c r="D867">
        <v>3.84795</v>
      </c>
      <c r="E867">
        <v>0.50829639999999998</v>
      </c>
      <c r="F867" t="s">
        <v>47</v>
      </c>
      <c r="G867">
        <v>-158.19499999999999</v>
      </c>
      <c r="H867">
        <v>2.796014</v>
      </c>
      <c r="I867">
        <v>359.94839999999999</v>
      </c>
      <c r="J867">
        <v>-331.57940000000002</v>
      </c>
      <c r="K867">
        <v>1.109964</v>
      </c>
      <c r="L867">
        <v>368.41449999999998</v>
      </c>
      <c r="M867">
        <v>0.99992380000000003</v>
      </c>
      <c r="N867">
        <v>0</v>
      </c>
      <c r="O867">
        <v>5.7298280000000004E-4</v>
      </c>
      <c r="P867">
        <v>0.99844719999999998</v>
      </c>
      <c r="Q867">
        <v>4.8544820000000002E-2</v>
      </c>
      <c r="R867">
        <v>-2.7328700000000001E-2</v>
      </c>
      <c r="S867">
        <v>2.99939</v>
      </c>
      <c r="T867">
        <v>2.9125089999999999E-2</v>
      </c>
      <c r="U867">
        <v>-0.14624019999999999</v>
      </c>
      <c r="V867">
        <v>2.791706E-2</v>
      </c>
      <c r="W867">
        <v>6.0853360000000002E-2</v>
      </c>
      <c r="X867">
        <v>0.99775619999999998</v>
      </c>
      <c r="Y867">
        <v>4.9268810000000003E-2</v>
      </c>
      <c r="Z867">
        <v>2.4462170000000001E-4</v>
      </c>
      <c r="AA867">
        <v>0.99878549999999999</v>
      </c>
      <c r="AB867">
        <v>31</v>
      </c>
      <c r="AC867">
        <v>173.3844</v>
      </c>
      <c r="AD867">
        <v>1.68605</v>
      </c>
      <c r="AE867">
        <v>-8.4660999999999795</v>
      </c>
      <c r="AF867">
        <v>8.5646444721000403</v>
      </c>
      <c r="AG867">
        <v>1.68605</v>
      </c>
      <c r="AH867">
        <v>173.36316550199601</v>
      </c>
      <c r="AI867">
        <v>89.443464002104704</v>
      </c>
      <c r="AJ867">
        <v>87.171721338318306</v>
      </c>
      <c r="AK867">
        <v>173.58278443557799</v>
      </c>
      <c r="AL867">
        <v>86.511203668900194</v>
      </c>
      <c r="AM867">
        <v>88.397291340688398</v>
      </c>
      <c r="AN867">
        <v>0.99999996415038594</v>
      </c>
    </row>
    <row r="868" spans="1:40" x14ac:dyDescent="0.25">
      <c r="A868" t="str">
        <f>"20190312153906949"</f>
        <v>20190312153906949</v>
      </c>
      <c r="B868" t="str">
        <f>"1552376346936794"</f>
        <v>1552376346936794</v>
      </c>
      <c r="C868" t="s">
        <v>40</v>
      </c>
      <c r="D868">
        <v>3.852417</v>
      </c>
      <c r="E868">
        <v>0.50786160000000002</v>
      </c>
      <c r="F868" t="s">
        <v>47</v>
      </c>
      <c r="G868">
        <v>-158.19499999999999</v>
      </c>
      <c r="H868">
        <v>2.535873</v>
      </c>
      <c r="I868">
        <v>360.03879999999998</v>
      </c>
      <c r="J868">
        <v>-331.28140000000002</v>
      </c>
      <c r="K868">
        <v>1.1099289999999999</v>
      </c>
      <c r="L868">
        <v>368.41449999999998</v>
      </c>
      <c r="M868">
        <v>0.99992380000000003</v>
      </c>
      <c r="N868">
        <v>0</v>
      </c>
      <c r="O868">
        <v>4.204414E-4</v>
      </c>
      <c r="P868">
        <v>0.99851409999999996</v>
      </c>
      <c r="Q868">
        <v>4.7436560000000003E-2</v>
      </c>
      <c r="R868">
        <v>-2.6821879999999999E-2</v>
      </c>
      <c r="S868">
        <v>2.9995120000000002</v>
      </c>
      <c r="T868">
        <v>2.4669409999999999E-2</v>
      </c>
      <c r="U868">
        <v>-0.14489749999999901</v>
      </c>
      <c r="V868">
        <v>2.7261290000000001E-2</v>
      </c>
      <c r="W868">
        <v>5.9741959999999997E-2</v>
      </c>
      <c r="X868">
        <v>0.99784150000000005</v>
      </c>
      <c r="Y868">
        <v>4.8669080000000003E-2</v>
      </c>
      <c r="Z868">
        <v>2.0347489999999999E-4</v>
      </c>
      <c r="AA868">
        <v>0.99881489999999995</v>
      </c>
      <c r="AB868">
        <v>31</v>
      </c>
      <c r="AC868">
        <v>173.0864</v>
      </c>
      <c r="AD868">
        <v>1.4259440000000001</v>
      </c>
      <c r="AE868">
        <v>-8.3756999999999895</v>
      </c>
      <c r="AF868">
        <v>8.44790546572934</v>
      </c>
      <c r="AG868">
        <v>1.4259440000000001</v>
      </c>
      <c r="AH868">
        <v>173.07114401051899</v>
      </c>
      <c r="AI868">
        <v>89.528508488822297</v>
      </c>
      <c r="AJ868">
        <v>87.205510680056193</v>
      </c>
      <c r="AK868">
        <v>173.283067009327</v>
      </c>
      <c r="AL868">
        <v>86.574998300017796</v>
      </c>
      <c r="AM868">
        <v>88.435053641382197</v>
      </c>
      <c r="AN868">
        <v>0.99999996941967695</v>
      </c>
    </row>
    <row r="869" spans="1:40" x14ac:dyDescent="0.25">
      <c r="A869" t="str">
        <f>"20190312153906971"</f>
        <v>20190312153906971</v>
      </c>
      <c r="B869" t="str">
        <f>"1552376346966583"</f>
        <v>1552376346966583</v>
      </c>
      <c r="C869" t="s">
        <v>40</v>
      </c>
      <c r="D869">
        <v>3.9169</v>
      </c>
      <c r="E869">
        <v>0.50730010000000003</v>
      </c>
      <c r="F869" t="s">
        <v>47</v>
      </c>
      <c r="G869">
        <v>-158.19499999999999</v>
      </c>
      <c r="H869">
        <v>2.1212270000000002</v>
      </c>
      <c r="I869">
        <v>360.36239999999998</v>
      </c>
      <c r="J869">
        <v>-330.96679999999998</v>
      </c>
      <c r="K869">
        <v>1.109896</v>
      </c>
      <c r="L869">
        <v>368.4144</v>
      </c>
      <c r="M869">
        <v>0.99992409999999998</v>
      </c>
      <c r="N869">
        <v>0</v>
      </c>
      <c r="O869">
        <v>2.1976149999999999E-4</v>
      </c>
      <c r="P869">
        <v>0.99851849999999998</v>
      </c>
      <c r="Q869">
        <v>4.7850120000000003E-2</v>
      </c>
      <c r="R869">
        <v>-2.5911610000000002E-2</v>
      </c>
      <c r="S869">
        <v>2.9998779999999998</v>
      </c>
      <c r="T869">
        <v>1.7529010000000001E-2</v>
      </c>
      <c r="U869">
        <v>-0.13955689999999901</v>
      </c>
      <c r="V869">
        <v>2.6155479999999998E-2</v>
      </c>
      <c r="W869">
        <v>6.0143229999999999E-2</v>
      </c>
      <c r="X869">
        <v>0.99784700000000004</v>
      </c>
      <c r="Y869">
        <v>4.6689340000000003E-2</v>
      </c>
      <c r="Z869">
        <v>1.3761719999999999E-4</v>
      </c>
      <c r="AA869">
        <v>0.99890950000000001</v>
      </c>
      <c r="AB869">
        <v>31</v>
      </c>
      <c r="AC869">
        <v>172.77179999999899</v>
      </c>
      <c r="AD869">
        <v>1.011331</v>
      </c>
      <c r="AE869">
        <v>-8.0520000000000191</v>
      </c>
      <c r="AF869">
        <v>8.0896946902004192</v>
      </c>
      <c r="AG869">
        <v>1.011331</v>
      </c>
      <c r="AH869">
        <v>172.76411937430399</v>
      </c>
      <c r="AI869">
        <v>89.664971418762804</v>
      </c>
      <c r="AJ869">
        <v>87.319078457564402</v>
      </c>
      <c r="AK869">
        <v>172.95637280467901</v>
      </c>
      <c r="AL869">
        <v>86.551965829127994</v>
      </c>
      <c r="AM869">
        <v>88.498511750521601</v>
      </c>
      <c r="AN869">
        <v>0.99999997632893101</v>
      </c>
    </row>
    <row r="870" spans="1:40" x14ac:dyDescent="0.25">
      <c r="A870" t="str">
        <f>"20190312153907000"</f>
        <v>20190312153907000</v>
      </c>
      <c r="B870" t="str">
        <f>"1552376346987079"</f>
        <v>1552376346987079</v>
      </c>
      <c r="C870" t="s">
        <v>40</v>
      </c>
      <c r="D870">
        <v>3.8955299999999999</v>
      </c>
      <c r="E870">
        <v>0.50705579999999995</v>
      </c>
      <c r="F870" t="s">
        <v>47</v>
      </c>
      <c r="G870">
        <v>-158.19499999999999</v>
      </c>
      <c r="H870">
        <v>1.8757280000000001</v>
      </c>
      <c r="I870">
        <v>360.79829999999998</v>
      </c>
      <c r="J870">
        <v>-330.57740000000001</v>
      </c>
      <c r="K870">
        <v>1.1098539999999999</v>
      </c>
      <c r="L870">
        <v>368.41419999999999</v>
      </c>
      <c r="M870">
        <v>0.99992440000000005</v>
      </c>
      <c r="N870">
        <v>0</v>
      </c>
      <c r="O870" s="1">
        <v>-8.5880219999999905E-5</v>
      </c>
      <c r="P870">
        <v>0.99852969999999996</v>
      </c>
      <c r="Q870">
        <v>4.7884410000000002E-2</v>
      </c>
      <c r="R870">
        <v>-2.5410740000000001E-2</v>
      </c>
      <c r="S870">
        <v>3.000397</v>
      </c>
      <c r="T870">
        <v>1.330113E-2</v>
      </c>
      <c r="U870">
        <v>-0.1322632</v>
      </c>
      <c r="V870">
        <v>2.5355639999999999E-2</v>
      </c>
      <c r="W870">
        <v>6.0157500000000003E-2</v>
      </c>
      <c r="X870">
        <v>0.99786680000000005</v>
      </c>
      <c r="Y870">
        <v>4.3952900000000003E-2</v>
      </c>
      <c r="Z870" s="1">
        <v>9.6996020000000006E-5</v>
      </c>
      <c r="AA870">
        <v>0.99903359999999997</v>
      </c>
      <c r="AB870">
        <v>31</v>
      </c>
      <c r="AC870">
        <v>172.38239999999999</v>
      </c>
      <c r="AD870">
        <v>0.76587399999999906</v>
      </c>
      <c r="AE870">
        <v>-7.6159000000000097</v>
      </c>
      <c r="AF870">
        <v>7.6009448702136098</v>
      </c>
      <c r="AG870">
        <v>0.76587399999999906</v>
      </c>
      <c r="AH870">
        <v>172.37965746673299</v>
      </c>
      <c r="AI870">
        <v>89.745686565006594</v>
      </c>
      <c r="AJ870">
        <v>87.475223307764594</v>
      </c>
      <c r="AK870">
        <v>172.54885463036899</v>
      </c>
      <c r="AL870">
        <v>86.551146789040303</v>
      </c>
      <c r="AM870">
        <v>88.544436377256304</v>
      </c>
      <c r="AN870">
        <v>0.99999999191414901</v>
      </c>
    </row>
    <row r="871" spans="1:40" x14ac:dyDescent="0.25">
      <c r="A871" t="str">
        <f>"20190312153907016"</f>
        <v>20190312153907016</v>
      </c>
      <c r="B871" t="str">
        <f>"1552376347006598"</f>
        <v>1552376347006598</v>
      </c>
      <c r="C871" t="s">
        <v>40</v>
      </c>
      <c r="D871">
        <v>3.9082509999999999</v>
      </c>
      <c r="E871">
        <v>0.50684050000000003</v>
      </c>
      <c r="F871" t="s">
        <v>47</v>
      </c>
      <c r="G871">
        <v>-158.19499999999999</v>
      </c>
      <c r="H871">
        <v>1.7233560000000001</v>
      </c>
      <c r="I871">
        <v>361.01580000000001</v>
      </c>
      <c r="J871">
        <v>-330.33949999999999</v>
      </c>
      <c r="K871">
        <v>1.1098220000000001</v>
      </c>
      <c r="L871">
        <v>368.41390000000001</v>
      </c>
      <c r="M871">
        <v>0.99992440000000005</v>
      </c>
      <c r="N871">
        <v>0</v>
      </c>
      <c r="O871">
        <v>-3.0267899999999998E-4</v>
      </c>
      <c r="P871">
        <v>0.99852510000000005</v>
      </c>
      <c r="Q871">
        <v>4.8013609999999998E-2</v>
      </c>
      <c r="R871">
        <v>-2.5349610000000002E-2</v>
      </c>
      <c r="S871">
        <v>3.0006710000000001</v>
      </c>
      <c r="T871">
        <v>1.0680790000000001E-2</v>
      </c>
      <c r="U871">
        <v>-0.12878419999999999</v>
      </c>
      <c r="V871">
        <v>2.5081800000000001E-2</v>
      </c>
      <c r="W871">
        <v>6.0272689999999997E-2</v>
      </c>
      <c r="X871">
        <v>0.9978667</v>
      </c>
      <c r="Y871">
        <v>4.2576280000000001E-2</v>
      </c>
      <c r="Z871" s="1">
        <v>7.4662399999999999E-5</v>
      </c>
      <c r="AA871">
        <v>0.99909320000000001</v>
      </c>
      <c r="AB871">
        <v>31</v>
      </c>
      <c r="AC871">
        <v>172.14449999999999</v>
      </c>
      <c r="AD871">
        <v>0.61353400000000002</v>
      </c>
      <c r="AE871">
        <v>-7.3980999999999897</v>
      </c>
      <c r="AF871">
        <v>7.3458980593086904</v>
      </c>
      <c r="AG871">
        <v>0.61353400000000002</v>
      </c>
      <c r="AH871">
        <v>172.14454888825799</v>
      </c>
      <c r="AI871">
        <v>89.795980773172403</v>
      </c>
      <c r="AJ871">
        <v>87.556508403198805</v>
      </c>
      <c r="AK871">
        <v>172.30230513318301</v>
      </c>
      <c r="AL871">
        <v>86.544534649892796</v>
      </c>
      <c r="AM871">
        <v>88.560149614152493</v>
      </c>
      <c r="AN871">
        <v>0.99999992240998004</v>
      </c>
    </row>
    <row r="872" spans="1:40" x14ac:dyDescent="0.25">
      <c r="A872" t="str">
        <f>"20190312153907038"</f>
        <v>20190312153907038</v>
      </c>
      <c r="B872" t="str">
        <f>"1552376347027094"</f>
        <v>1552376347027094</v>
      </c>
      <c r="C872" t="s">
        <v>40</v>
      </c>
      <c r="D872">
        <v>3.9345620000000001</v>
      </c>
      <c r="E872">
        <v>0.50668729999999995</v>
      </c>
      <c r="F872" t="s">
        <v>47</v>
      </c>
      <c r="G872">
        <v>-158.19499999999999</v>
      </c>
      <c r="H872">
        <v>1.6478200000000001</v>
      </c>
      <c r="I872">
        <v>361.15899999999999</v>
      </c>
      <c r="J872">
        <v>-330.03640000000001</v>
      </c>
      <c r="K872">
        <v>1.1097999999999999</v>
      </c>
      <c r="L872">
        <v>368.4135</v>
      </c>
      <c r="M872">
        <v>0.99992449999999999</v>
      </c>
      <c r="N872">
        <v>0</v>
      </c>
      <c r="O872">
        <v>-6.0579299999999998E-4</v>
      </c>
      <c r="P872">
        <v>0.99849730000000003</v>
      </c>
      <c r="Q872">
        <v>4.816964E-2</v>
      </c>
      <c r="R872">
        <v>-2.6139559999999999E-2</v>
      </c>
      <c r="S872">
        <v>3.0007320000000002</v>
      </c>
      <c r="T872">
        <v>9.3796250000000008E-3</v>
      </c>
      <c r="U872">
        <v>-0.12646479999999999</v>
      </c>
      <c r="V872">
        <v>2.5573100000000001E-2</v>
      </c>
      <c r="W872">
        <v>6.0411180000000002E-2</v>
      </c>
      <c r="X872">
        <v>0.99784589999999995</v>
      </c>
      <c r="Y872">
        <v>4.1501780000000002E-2</v>
      </c>
      <c r="Z872" s="1">
        <v>6.2940899999999999E-5</v>
      </c>
      <c r="AA872">
        <v>0.99913839999999998</v>
      </c>
      <c r="AB872">
        <v>31</v>
      </c>
      <c r="AC872">
        <v>171.84139999999999</v>
      </c>
      <c r="AD872">
        <v>0.53802000000000005</v>
      </c>
      <c r="AE872">
        <v>-7.2545000000000002</v>
      </c>
      <c r="AF872">
        <v>7.1503205433320698</v>
      </c>
      <c r="AG872">
        <v>0.53802000000000005</v>
      </c>
      <c r="AH872">
        <v>171.84408199817</v>
      </c>
      <c r="AI872">
        <v>89.820770528001106</v>
      </c>
      <c r="AJ872">
        <v>87.617334292320507</v>
      </c>
      <c r="AK872">
        <v>171.99361926300301</v>
      </c>
      <c r="AL872">
        <v>86.536585426200702</v>
      </c>
      <c r="AM872">
        <v>88.531927592557295</v>
      </c>
      <c r="AN872">
        <v>0.99999996712970496</v>
      </c>
    </row>
    <row r="873" spans="1:40" x14ac:dyDescent="0.25">
      <c r="A873" t="str">
        <f>"20190312153907060"</f>
        <v>20190312153907060</v>
      </c>
      <c r="B873" t="str">
        <f>"1552376347057352"</f>
        <v>1552376347057352</v>
      </c>
      <c r="C873" t="s">
        <v>40</v>
      </c>
      <c r="D873">
        <v>3.953554</v>
      </c>
      <c r="E873">
        <v>0.50652229999999998</v>
      </c>
      <c r="F873" t="s">
        <v>47</v>
      </c>
      <c r="G873">
        <v>-158.19499999999999</v>
      </c>
      <c r="H873">
        <v>1.559307</v>
      </c>
      <c r="I873">
        <v>361.13150000000002</v>
      </c>
      <c r="J873">
        <v>-329.72649999999999</v>
      </c>
      <c r="K873">
        <v>1.1097760000000001</v>
      </c>
      <c r="L873">
        <v>368.41300000000001</v>
      </c>
      <c r="M873">
        <v>0.99992429999999999</v>
      </c>
      <c r="N873">
        <v>0</v>
      </c>
      <c r="O873">
        <v>-9.4353009999999997E-4</v>
      </c>
      <c r="P873">
        <v>0.99845050000000002</v>
      </c>
      <c r="Q873">
        <v>4.8300299999999997E-2</v>
      </c>
      <c r="R873">
        <v>-2.763815E-2</v>
      </c>
      <c r="S873">
        <v>3.0008539999999999</v>
      </c>
      <c r="T873">
        <v>7.8512430000000008E-3</v>
      </c>
      <c r="U873">
        <v>-0.12716669999999999</v>
      </c>
      <c r="V873">
        <v>2.6738020000000001E-2</v>
      </c>
      <c r="W873">
        <v>6.0523519999999997E-2</v>
      </c>
      <c r="X873">
        <v>0.99780860000000005</v>
      </c>
      <c r="Y873">
        <v>4.1395929999999997E-2</v>
      </c>
      <c r="Z873" s="1">
        <v>5.1660789999999998E-5</v>
      </c>
      <c r="AA873">
        <v>0.9991428</v>
      </c>
      <c r="AB873">
        <v>31</v>
      </c>
      <c r="AC873">
        <v>171.53149999999999</v>
      </c>
      <c r="AD873">
        <v>0.44953099999999901</v>
      </c>
      <c r="AE873">
        <v>-7.2814999999999896</v>
      </c>
      <c r="AF873">
        <v>7.1195906349094704</v>
      </c>
      <c r="AG873">
        <v>0.44953099999999901</v>
      </c>
      <c r="AH873">
        <v>171.53711846596701</v>
      </c>
      <c r="AI873">
        <v>89.849979906488997</v>
      </c>
      <c r="AJ873">
        <v>87.623321957762101</v>
      </c>
      <c r="AK873">
        <v>171.68539151755499</v>
      </c>
      <c r="AL873">
        <v>86.530137168328295</v>
      </c>
      <c r="AM873">
        <v>88.465027090175894</v>
      </c>
      <c r="AN873">
        <v>1.0000000102103299</v>
      </c>
    </row>
    <row r="874" spans="1:40" x14ac:dyDescent="0.25">
      <c r="A874" t="str">
        <f>"20190312153907083"</f>
        <v>20190312153907083</v>
      </c>
      <c r="B874" t="str">
        <f>"1552376347076870"</f>
        <v>1552376347076870</v>
      </c>
      <c r="C874" t="s">
        <v>40</v>
      </c>
      <c r="D874">
        <v>4.0011799999999997</v>
      </c>
      <c r="E874">
        <v>0.50642169999999997</v>
      </c>
      <c r="F874" t="s">
        <v>47</v>
      </c>
      <c r="G874">
        <v>-158.19499999999999</v>
      </c>
      <c r="H874">
        <v>1.42726</v>
      </c>
      <c r="I874">
        <v>360.95549999999997</v>
      </c>
      <c r="J874">
        <v>-329.40190000000001</v>
      </c>
      <c r="K874">
        <v>1.109764</v>
      </c>
      <c r="L874">
        <v>368.41219999999998</v>
      </c>
      <c r="M874">
        <v>0.99992420000000004</v>
      </c>
      <c r="N874">
        <v>0</v>
      </c>
      <c r="O874">
        <v>-1.3193300000000001E-3</v>
      </c>
      <c r="P874">
        <v>0.99836550000000002</v>
      </c>
      <c r="Q874">
        <v>4.8605259999999997E-2</v>
      </c>
      <c r="R874">
        <v>-3.0067699999999999E-2</v>
      </c>
      <c r="S874">
        <v>3.0007929999999998</v>
      </c>
      <c r="T874">
        <v>5.5556299999999998E-3</v>
      </c>
      <c r="U874">
        <v>-0.13046259999999901</v>
      </c>
      <c r="V874">
        <v>2.8795330000000001E-2</v>
      </c>
      <c r="W874">
        <v>6.0809559999999999E-2</v>
      </c>
      <c r="X874">
        <v>0.99773400000000001</v>
      </c>
      <c r="Y874">
        <v>4.2116729999999998E-2</v>
      </c>
      <c r="Z874" s="1">
        <v>3.6527140000000001E-5</v>
      </c>
      <c r="AA874">
        <v>0.99911269999999996</v>
      </c>
      <c r="AB874">
        <v>31</v>
      </c>
      <c r="AC874">
        <v>171.20689999999999</v>
      </c>
      <c r="AD874">
        <v>0.317496</v>
      </c>
      <c r="AE874">
        <v>-7.4567000000000103</v>
      </c>
      <c r="AF874">
        <v>7.2307733640606102</v>
      </c>
      <c r="AG874">
        <v>0.317496</v>
      </c>
      <c r="AH874">
        <v>171.216001859275</v>
      </c>
      <c r="AI874">
        <v>89.893847775823204</v>
      </c>
      <c r="AJ874">
        <v>87.581728613609997</v>
      </c>
      <c r="AK874">
        <v>171.36891252449399</v>
      </c>
      <c r="AL874">
        <v>86.513718194602106</v>
      </c>
      <c r="AM874">
        <v>88.346860955946497</v>
      </c>
      <c r="AN874">
        <v>1.0000000541865901</v>
      </c>
    </row>
    <row r="875" spans="1:40" x14ac:dyDescent="0.25">
      <c r="A875" t="str">
        <f>"20190312153907107"</f>
        <v>20190312153907107</v>
      </c>
      <c r="B875" t="str">
        <f>"1552376347097366"</f>
        <v>1552376347097366</v>
      </c>
      <c r="C875" t="s">
        <v>40</v>
      </c>
      <c r="D875">
        <v>3.9983089999999999</v>
      </c>
      <c r="E875">
        <v>0.50632529999999998</v>
      </c>
      <c r="F875" t="s">
        <v>47</v>
      </c>
      <c r="G875">
        <v>-158.19499999999999</v>
      </c>
      <c r="H875">
        <v>1.3828069999999999</v>
      </c>
      <c r="I875">
        <v>360.60250000000002</v>
      </c>
      <c r="J875">
        <v>-329.07650000000001</v>
      </c>
      <c r="K875">
        <v>1.10975</v>
      </c>
      <c r="L875">
        <v>368.41129999999998</v>
      </c>
      <c r="M875">
        <v>0.99992369999999997</v>
      </c>
      <c r="N875">
        <v>0</v>
      </c>
      <c r="O875">
        <v>-1.7085239999999999E-3</v>
      </c>
      <c r="P875">
        <v>0.99829979999999996</v>
      </c>
      <c r="Q875">
        <v>4.8593770000000001E-2</v>
      </c>
      <c r="R875">
        <v>-3.21894E-2</v>
      </c>
      <c r="S875">
        <v>3.0005489999999999</v>
      </c>
      <c r="T875">
        <v>4.7868490000000001E-3</v>
      </c>
      <c r="U875">
        <v>-0.1368713</v>
      </c>
      <c r="V875">
        <v>3.053026E-2</v>
      </c>
      <c r="W875">
        <v>6.0781010000000003E-2</v>
      </c>
      <c r="X875">
        <v>0.99768409999999996</v>
      </c>
      <c r="Y875">
        <v>4.3861049999999999E-2</v>
      </c>
      <c r="Z875" s="1">
        <v>3.2243680000000003E-5</v>
      </c>
      <c r="AA875">
        <v>0.99903759999999997</v>
      </c>
      <c r="AB875">
        <v>31</v>
      </c>
      <c r="AC875">
        <v>170.88149999999999</v>
      </c>
      <c r="AD875">
        <v>0.27305699999999899</v>
      </c>
      <c r="AE875">
        <v>-7.8087999999999598</v>
      </c>
      <c r="AF875">
        <v>7.5167924522810203</v>
      </c>
      <c r="AG875">
        <v>0.27305699999999899</v>
      </c>
      <c r="AH875">
        <v>170.89415762757599</v>
      </c>
      <c r="AI875">
        <v>89.908540535081897</v>
      </c>
      <c r="AJ875">
        <v>87.481464159043298</v>
      </c>
      <c r="AK875">
        <v>171.05960902601899</v>
      </c>
      <c r="AL875">
        <v>86.515356816274306</v>
      </c>
      <c r="AM875">
        <v>88.247231429029497</v>
      </c>
      <c r="AN875">
        <v>0.99999999567254805</v>
      </c>
    </row>
    <row r="876" spans="1:40" x14ac:dyDescent="0.25">
      <c r="A876" t="str">
        <f>"20190312153907128"</f>
        <v>20190312153907128</v>
      </c>
      <c r="B876" t="str">
        <f>"1552376347116886"</f>
        <v>1552376347116886</v>
      </c>
      <c r="C876" t="s">
        <v>40</v>
      </c>
      <c r="D876">
        <v>4.0314909999999999</v>
      </c>
      <c r="E876">
        <v>0.50622159999999905</v>
      </c>
      <c r="F876" t="s">
        <v>47</v>
      </c>
      <c r="G876">
        <v>-158.19499999999999</v>
      </c>
      <c r="H876">
        <v>1.291903</v>
      </c>
      <c r="I876">
        <v>360.31709999999998</v>
      </c>
      <c r="J876">
        <v>-328.77420000000001</v>
      </c>
      <c r="K876">
        <v>1.109745</v>
      </c>
      <c r="L876">
        <v>368.41039999999998</v>
      </c>
      <c r="M876">
        <v>0.99992329999999996</v>
      </c>
      <c r="N876">
        <v>0</v>
      </c>
      <c r="O876">
        <v>-2.0769059999999999E-3</v>
      </c>
      <c r="P876">
        <v>0.99826809999999999</v>
      </c>
      <c r="Q876">
        <v>4.8222679999999997E-2</v>
      </c>
      <c r="R876">
        <v>-3.3706529999999998E-2</v>
      </c>
      <c r="S876">
        <v>3.0003660000000001</v>
      </c>
      <c r="T876">
        <v>3.1998159999999999E-3</v>
      </c>
      <c r="U876">
        <v>-0.14212040000000001</v>
      </c>
      <c r="V876">
        <v>3.1680310000000003E-2</v>
      </c>
      <c r="W876">
        <v>6.0396440000000003E-2</v>
      </c>
      <c r="X876">
        <v>0.99767159999999999</v>
      </c>
      <c r="Y876">
        <v>4.5239759999999997E-2</v>
      </c>
      <c r="Z876" s="1">
        <v>2.1896149999999999E-5</v>
      </c>
      <c r="AA876">
        <v>0.99897619999999998</v>
      </c>
      <c r="AB876">
        <v>31</v>
      </c>
      <c r="AC876">
        <v>170.57919999999999</v>
      </c>
      <c r="AD876">
        <v>0.18215799999999999</v>
      </c>
      <c r="AE876">
        <v>-8.0932999999999993</v>
      </c>
      <c r="AF876">
        <v>7.7389703617437702</v>
      </c>
      <c r="AG876">
        <v>0.18215799999999999</v>
      </c>
      <c r="AH876">
        <v>170.59544821685401</v>
      </c>
      <c r="AI876">
        <v>89.938883726996806</v>
      </c>
      <c r="AJ876">
        <v>87.402588700977105</v>
      </c>
      <c r="AK876">
        <v>170.770992256021</v>
      </c>
      <c r="AL876">
        <v>86.537431613555896</v>
      </c>
      <c r="AM876">
        <v>88.181226833785004</v>
      </c>
      <c r="AN876">
        <v>0.999999996726464</v>
      </c>
    </row>
    <row r="877" spans="1:40" x14ac:dyDescent="0.25">
      <c r="A877" t="str">
        <f>"20190312153907150"</f>
        <v>20190312153907150</v>
      </c>
      <c r="B877" t="str">
        <f>"1552376347137382"</f>
        <v>1552376347137382</v>
      </c>
      <c r="C877" t="s">
        <v>40</v>
      </c>
      <c r="D877">
        <v>4.0081550000000004</v>
      </c>
      <c r="E877">
        <v>0.50611479999999998</v>
      </c>
      <c r="F877" t="s">
        <v>47</v>
      </c>
      <c r="G877">
        <v>-158.19499999999999</v>
      </c>
      <c r="H877">
        <v>1.1495230000000001</v>
      </c>
      <c r="I877">
        <v>360.11329999999998</v>
      </c>
      <c r="J877">
        <v>-328.46370000000002</v>
      </c>
      <c r="K877">
        <v>1.1097410000000001</v>
      </c>
      <c r="L877">
        <v>368.40940000000001</v>
      </c>
      <c r="M877">
        <v>0.99992250000000005</v>
      </c>
      <c r="N877">
        <v>0</v>
      </c>
      <c r="O877">
        <v>-2.4575299999999999E-3</v>
      </c>
      <c r="P877">
        <v>0.99824210000000002</v>
      </c>
      <c r="Q877">
        <v>4.7832939999999997E-2</v>
      </c>
      <c r="R877">
        <v>-3.4999410000000002E-2</v>
      </c>
      <c r="S877">
        <v>3.0002439999999999</v>
      </c>
      <c r="T877">
        <v>7.0118899999999996E-4</v>
      </c>
      <c r="U877">
        <v>-0.14593510000000001</v>
      </c>
      <c r="V877">
        <v>3.2593850000000001E-2</v>
      </c>
      <c r="W877">
        <v>5.9994720000000001E-2</v>
      </c>
      <c r="X877">
        <v>0.99766639999999995</v>
      </c>
      <c r="Y877">
        <v>4.6128669999999997E-2</v>
      </c>
      <c r="Z877" s="1">
        <v>4.8131510000000001E-6</v>
      </c>
      <c r="AA877">
        <v>0.99893549999999998</v>
      </c>
      <c r="AB877">
        <v>31</v>
      </c>
      <c r="AC877">
        <v>170.2687</v>
      </c>
      <c r="AD877">
        <v>3.97819999999997E-2</v>
      </c>
      <c r="AE877">
        <v>-8.2961000000000205</v>
      </c>
      <c r="AF877">
        <v>7.8776029091691404</v>
      </c>
      <c r="AG877">
        <v>3.97819999999997E-2</v>
      </c>
      <c r="AH877">
        <v>170.288565917065</v>
      </c>
      <c r="AI877">
        <v>89.986629133666398</v>
      </c>
      <c r="AJ877">
        <v>87.351367417039796</v>
      </c>
      <c r="AK877">
        <v>170.47068338072799</v>
      </c>
      <c r="AL877">
        <v>86.560490250534002</v>
      </c>
      <c r="AM877">
        <v>88.128807328848495</v>
      </c>
      <c r="AN877">
        <v>0.99999998558733005</v>
      </c>
    </row>
    <row r="878" spans="1:40" x14ac:dyDescent="0.25">
      <c r="A878" t="str">
        <f>"20190312153907173"</f>
        <v>20190312153907173</v>
      </c>
      <c r="B878" t="str">
        <f>"1552376347166665"</f>
        <v>1552376347166665</v>
      </c>
      <c r="C878" t="s">
        <v>40</v>
      </c>
      <c r="D878">
        <v>4.0395529999999997</v>
      </c>
      <c r="E878">
        <v>0.50596589999999997</v>
      </c>
      <c r="F878" t="s">
        <v>47</v>
      </c>
      <c r="G878">
        <v>-158.19499999999999</v>
      </c>
      <c r="H878">
        <v>1.010777</v>
      </c>
      <c r="I878">
        <v>359.96620000000001</v>
      </c>
      <c r="J878">
        <v>-328.13729999999998</v>
      </c>
      <c r="K878">
        <v>1.1097440000000001</v>
      </c>
      <c r="L878">
        <v>368.40809999999999</v>
      </c>
      <c r="M878">
        <v>0.99992159999999997</v>
      </c>
      <c r="N878">
        <v>0</v>
      </c>
      <c r="O878">
        <v>-2.8575670000000001E-3</v>
      </c>
      <c r="P878">
        <v>0.99819970000000002</v>
      </c>
      <c r="Q878">
        <v>4.8321459999999997E-2</v>
      </c>
      <c r="R878">
        <v>-3.553626E-2</v>
      </c>
      <c r="S878">
        <v>3.0002140000000002</v>
      </c>
      <c r="T878">
        <v>-1.742244E-3</v>
      </c>
      <c r="U878">
        <v>-0.14877319999999999</v>
      </c>
      <c r="V878">
        <v>3.2732120000000003E-2</v>
      </c>
      <c r="W878">
        <v>6.047259E-2</v>
      </c>
      <c r="X878">
        <v>0.99763299999999999</v>
      </c>
      <c r="Y878">
        <v>4.6672199999999997E-2</v>
      </c>
      <c r="Z878" s="1">
        <v>-1.188463E-5</v>
      </c>
      <c r="AA878">
        <v>0.99891019999999997</v>
      </c>
      <c r="AB878">
        <v>31</v>
      </c>
      <c r="AC878">
        <v>169.94229999999999</v>
      </c>
      <c r="AD878">
        <v>-9.8966999999999999E-2</v>
      </c>
      <c r="AE878">
        <v>-8.4418999999999702</v>
      </c>
      <c r="AF878">
        <v>7.9562052352981301</v>
      </c>
      <c r="AG878">
        <v>-9.8966999999999999E-2</v>
      </c>
      <c r="AH878">
        <v>169.965673635088</v>
      </c>
      <c r="AI878">
        <v>90.0333254842255</v>
      </c>
      <c r="AJ878">
        <v>87.319903221798697</v>
      </c>
      <c r="AK878">
        <v>170.151818122648</v>
      </c>
      <c r="AL878">
        <v>86.533060437630496</v>
      </c>
      <c r="AM878">
        <v>88.120812146544594</v>
      </c>
      <c r="AN878">
        <v>0.99999996425500004</v>
      </c>
    </row>
    <row r="879" spans="1:40" x14ac:dyDescent="0.25">
      <c r="A879" t="str">
        <f>"20190312153907195"</f>
        <v>20190312153907195</v>
      </c>
      <c r="B879" t="str">
        <f>"1552376347187159"</f>
        <v>1552376347187159</v>
      </c>
      <c r="C879" t="s">
        <v>40</v>
      </c>
      <c r="D879">
        <v>4.0179269999999896</v>
      </c>
      <c r="E879">
        <v>0.50578630000000002</v>
      </c>
      <c r="F879" t="s">
        <v>47</v>
      </c>
      <c r="G879">
        <v>-158.19499999999999</v>
      </c>
      <c r="H879">
        <v>0.99825379999999997</v>
      </c>
      <c r="I879">
        <v>359.95690000000002</v>
      </c>
      <c r="J879">
        <v>-327.82130000000001</v>
      </c>
      <c r="K879">
        <v>1.1097459999999999</v>
      </c>
      <c r="L879">
        <v>368.40679999999998</v>
      </c>
      <c r="M879">
        <v>0.99992049999999999</v>
      </c>
      <c r="N879">
        <v>0</v>
      </c>
      <c r="O879">
        <v>-3.2436460000000002E-3</v>
      </c>
      <c r="P879">
        <v>0.99812840000000003</v>
      </c>
      <c r="Q879">
        <v>4.956062E-2</v>
      </c>
      <c r="R879">
        <v>-3.5825080000000002E-2</v>
      </c>
      <c r="S879">
        <v>3.0002140000000002</v>
      </c>
      <c r="T879">
        <v>-1.966715E-3</v>
      </c>
      <c r="U879">
        <v>-0.14920039999999901</v>
      </c>
      <c r="V879">
        <v>3.2637190000000003E-2</v>
      </c>
      <c r="W879">
        <v>6.1702920000000001E-2</v>
      </c>
      <c r="X879">
        <v>0.99756080000000003</v>
      </c>
      <c r="Y879">
        <v>4.6428410000000003E-2</v>
      </c>
      <c r="Z879" s="1">
        <v>-1.3083E-5</v>
      </c>
      <c r="AA879">
        <v>0.99892159999999997</v>
      </c>
      <c r="AB879">
        <v>31</v>
      </c>
      <c r="AC879">
        <v>169.62629999999999</v>
      </c>
      <c r="AD879">
        <v>-0.111492199999999</v>
      </c>
      <c r="AE879">
        <v>-8.4498999999999498</v>
      </c>
      <c r="AF879">
        <v>7.8996036178665401</v>
      </c>
      <c r="AG879">
        <v>-0.111492199999999</v>
      </c>
      <c r="AH879">
        <v>169.65274493321701</v>
      </c>
      <c r="AI879">
        <v>90.037612817504893</v>
      </c>
      <c r="AJ879">
        <v>87.3340410087458</v>
      </c>
      <c r="AK879">
        <v>169.83659803235901</v>
      </c>
      <c r="AL879">
        <v>86.462435917752799</v>
      </c>
      <c r="AM879">
        <v>88.126122775808795</v>
      </c>
      <c r="AN879">
        <v>0.99999999310213095</v>
      </c>
    </row>
    <row r="880" spans="1:40" x14ac:dyDescent="0.25">
      <c r="A880" t="str">
        <f>"20190312153907217"</f>
        <v>20190312153907217</v>
      </c>
      <c r="B880" t="str">
        <f>"1552376347206679"</f>
        <v>1552376347206679</v>
      </c>
      <c r="C880" t="s">
        <v>40</v>
      </c>
      <c r="D880">
        <v>4.0331260000000002</v>
      </c>
      <c r="E880">
        <v>0.50564439999999999</v>
      </c>
      <c r="F880" t="s">
        <v>47</v>
      </c>
      <c r="G880">
        <v>-158.19499999999999</v>
      </c>
      <c r="H880">
        <v>1.1316090000000001</v>
      </c>
      <c r="I880">
        <v>360.02339999999998</v>
      </c>
      <c r="J880">
        <v>-327.52370000000002</v>
      </c>
      <c r="K880">
        <v>1.1097440000000001</v>
      </c>
      <c r="L880">
        <v>368.40550000000002</v>
      </c>
      <c r="M880">
        <v>0.99991940000000001</v>
      </c>
      <c r="N880">
        <v>0</v>
      </c>
      <c r="O880">
        <v>-3.606008E-3</v>
      </c>
      <c r="P880">
        <v>0.99802670000000004</v>
      </c>
      <c r="Q880">
        <v>5.097633E-2</v>
      </c>
      <c r="R880">
        <v>-3.6664830000000002E-2</v>
      </c>
      <c r="S880">
        <v>3.000305</v>
      </c>
      <c r="T880">
        <v>3.882647E-4</v>
      </c>
      <c r="U880">
        <v>-0.1482849</v>
      </c>
      <c r="V880">
        <v>3.3116859999999998E-2</v>
      </c>
      <c r="W880">
        <v>6.3110180000000002E-2</v>
      </c>
      <c r="X880">
        <v>0.99745700000000004</v>
      </c>
      <c r="Y880">
        <v>4.5760830000000002E-2</v>
      </c>
      <c r="Z880" s="1">
        <v>2.4927249999999999E-6</v>
      </c>
      <c r="AA880">
        <v>0.99895239999999996</v>
      </c>
      <c r="AB880">
        <v>31</v>
      </c>
      <c r="AC880">
        <v>169.3287</v>
      </c>
      <c r="AD880">
        <v>2.1864999999999999E-2</v>
      </c>
      <c r="AE880">
        <v>-8.3821000000000296</v>
      </c>
      <c r="AF880">
        <v>7.7713994706509997</v>
      </c>
      <c r="AG880">
        <v>2.1864999999999999E-2</v>
      </c>
      <c r="AH880">
        <v>169.35782426038401</v>
      </c>
      <c r="AI880">
        <v>89.992610584473098</v>
      </c>
      <c r="AJ880">
        <v>87.372685560571895</v>
      </c>
      <c r="AK880">
        <v>169.53603677691001</v>
      </c>
      <c r="AL880">
        <v>86.381648566195693</v>
      </c>
      <c r="AM880">
        <v>88.098404678568102</v>
      </c>
      <c r="AN880">
        <v>1.0000000440424399</v>
      </c>
    </row>
    <row r="881" spans="1:40" x14ac:dyDescent="0.25">
      <c r="A881" t="str">
        <f>"20190312153907239"</f>
        <v>20190312153907239</v>
      </c>
      <c r="B881" t="str">
        <f>"1552376347227174"</f>
        <v>1552376347227174</v>
      </c>
      <c r="C881" t="s">
        <v>40</v>
      </c>
      <c r="D881">
        <v>3.9955829999999999</v>
      </c>
      <c r="E881">
        <v>0.50549860000000002</v>
      </c>
      <c r="F881" t="s">
        <v>47</v>
      </c>
      <c r="G881">
        <v>-158.19499999999999</v>
      </c>
      <c r="H881">
        <v>1.3249709999999999</v>
      </c>
      <c r="I881">
        <v>359.97449999999998</v>
      </c>
      <c r="J881">
        <v>-327.20760000000001</v>
      </c>
      <c r="K881">
        <v>1.109747</v>
      </c>
      <c r="L881">
        <v>368.40379999999999</v>
      </c>
      <c r="M881">
        <v>0.99991790000000003</v>
      </c>
      <c r="N881">
        <v>0</v>
      </c>
      <c r="O881">
        <v>-3.9905309999999899E-3</v>
      </c>
      <c r="P881">
        <v>0.99796470000000004</v>
      </c>
      <c r="Q881">
        <v>5.1260500000000001E-2</v>
      </c>
      <c r="R881">
        <v>-3.793672E-2</v>
      </c>
      <c r="S881">
        <v>3.0002439999999999</v>
      </c>
      <c r="T881">
        <v>3.8150549999999999E-3</v>
      </c>
      <c r="U881">
        <v>-0.1493835</v>
      </c>
      <c r="V881">
        <v>3.4005309999999997E-2</v>
      </c>
      <c r="W881">
        <v>6.3386659999999997E-2</v>
      </c>
      <c r="X881">
        <v>0.99740949999999995</v>
      </c>
      <c r="Y881">
        <v>4.574255E-2</v>
      </c>
      <c r="Z881" s="1">
        <v>2.3993299999999999E-5</v>
      </c>
      <c r="AA881">
        <v>0.99895330000000004</v>
      </c>
      <c r="AB881">
        <v>31</v>
      </c>
      <c r="AC881">
        <v>169.01259999999999</v>
      </c>
      <c r="AD881">
        <v>0.215223999999999</v>
      </c>
      <c r="AE881">
        <v>-8.4293000000000102</v>
      </c>
      <c r="AF881">
        <v>7.7547203051919897</v>
      </c>
      <c r="AG881">
        <v>0.215223999999999</v>
      </c>
      <c r="AH881">
        <v>169.044620522874</v>
      </c>
      <c r="AI881">
        <v>89.9271289116015</v>
      </c>
      <c r="AJ881">
        <v>87.373465864434706</v>
      </c>
      <c r="AK881">
        <v>169.22253318073399</v>
      </c>
      <c r="AL881">
        <v>86.365775380594499</v>
      </c>
      <c r="AM881">
        <v>88.047335260883898</v>
      </c>
      <c r="AN881">
        <v>0.9999999702322</v>
      </c>
    </row>
    <row r="882" spans="1:40" x14ac:dyDescent="0.25">
      <c r="A882" t="str">
        <f>"20190312153907261"</f>
        <v>20190312153907261</v>
      </c>
      <c r="B882" t="str">
        <f>"1552376347257431"</f>
        <v>1552376347257431</v>
      </c>
      <c r="C882" t="s">
        <v>40</v>
      </c>
      <c r="D882">
        <v>3.9811399999999999</v>
      </c>
      <c r="E882">
        <v>0.50524369999999996</v>
      </c>
      <c r="F882" t="s">
        <v>47</v>
      </c>
      <c r="G882">
        <v>-158.19499999999999</v>
      </c>
      <c r="H882">
        <v>1.3139540000000001</v>
      </c>
      <c r="I882">
        <v>359.84570000000002</v>
      </c>
      <c r="J882">
        <v>-326.90100000000001</v>
      </c>
      <c r="K882">
        <v>1.109745</v>
      </c>
      <c r="L882">
        <v>368.40219999999999</v>
      </c>
      <c r="M882">
        <v>0.99991629999999998</v>
      </c>
      <c r="N882">
        <v>0</v>
      </c>
      <c r="O882">
        <v>-4.3633789999999997E-3</v>
      </c>
      <c r="P882">
        <v>0.99799400000000005</v>
      </c>
      <c r="Q882">
        <v>5.0168730000000002E-2</v>
      </c>
      <c r="R882">
        <v>-3.8611409999999999E-2</v>
      </c>
      <c r="S882">
        <v>3.0001530000000001</v>
      </c>
      <c r="T882">
        <v>3.6264660000000001E-3</v>
      </c>
      <c r="U882">
        <v>-0.15191650000000001</v>
      </c>
      <c r="V882">
        <v>3.4307169999999998E-2</v>
      </c>
      <c r="W882">
        <v>6.228972E-2</v>
      </c>
      <c r="X882">
        <v>0.99746829999999997</v>
      </c>
      <c r="Y882">
        <v>4.6212839999999998E-2</v>
      </c>
      <c r="Z882" s="1">
        <v>2.264111E-5</v>
      </c>
      <c r="AA882">
        <v>0.99893160000000003</v>
      </c>
      <c r="AB882">
        <v>31</v>
      </c>
      <c r="AC882">
        <v>168.70599999999999</v>
      </c>
      <c r="AD882">
        <v>0.204209</v>
      </c>
      <c r="AE882">
        <v>-8.5564999999999696</v>
      </c>
      <c r="AF882">
        <v>7.82022427761766</v>
      </c>
      <c r="AG882">
        <v>0.204209</v>
      </c>
      <c r="AH882">
        <v>168.74148517199001</v>
      </c>
      <c r="AI882">
        <v>89.930735685146701</v>
      </c>
      <c r="AJ882">
        <v>87.3465596065097</v>
      </c>
      <c r="AK882">
        <v>168.922723240886</v>
      </c>
      <c r="AL882">
        <v>86.428749980354795</v>
      </c>
      <c r="AM882">
        <v>88.030131386120601</v>
      </c>
      <c r="AN882">
        <v>1.0000000003179801</v>
      </c>
    </row>
    <row r="883" spans="1:40" x14ac:dyDescent="0.25">
      <c r="A883" t="str">
        <f>"20190312153907284"</f>
        <v>20190312153907284</v>
      </c>
      <c r="B883" t="str">
        <f>"1552376347276951"</f>
        <v>1552376347276951</v>
      </c>
      <c r="C883" t="s">
        <v>40</v>
      </c>
      <c r="D883">
        <v>4.0140929999999999</v>
      </c>
      <c r="E883">
        <v>0.50507550000000001</v>
      </c>
      <c r="F883" t="s">
        <v>47</v>
      </c>
      <c r="G883">
        <v>-158.19499999999999</v>
      </c>
      <c r="H883">
        <v>1.046432</v>
      </c>
      <c r="I883">
        <v>359.88029999999998</v>
      </c>
      <c r="J883">
        <v>-326.57929999999999</v>
      </c>
      <c r="K883">
        <v>1.1097399999999999</v>
      </c>
      <c r="L883">
        <v>368.40030000000002</v>
      </c>
      <c r="M883">
        <v>0.99991479999999999</v>
      </c>
      <c r="N883">
        <v>0</v>
      </c>
      <c r="O883">
        <v>-4.7549410000000004E-3</v>
      </c>
      <c r="P883">
        <v>0.99798379999999998</v>
      </c>
      <c r="Q883">
        <v>4.9575599999999997E-2</v>
      </c>
      <c r="R883">
        <v>-3.9636539999999998E-2</v>
      </c>
      <c r="S883">
        <v>3.0002140000000002</v>
      </c>
      <c r="T883">
        <v>-1.1243819999999999E-3</v>
      </c>
      <c r="U883">
        <v>-0.1515503</v>
      </c>
      <c r="V883">
        <v>3.4940850000000002E-2</v>
      </c>
      <c r="W883">
        <v>6.1691490000000002E-2</v>
      </c>
      <c r="X883">
        <v>0.99748349999999997</v>
      </c>
      <c r="Y883">
        <v>4.5699030000000002E-2</v>
      </c>
      <c r="Z883" s="1">
        <v>-6.7768619999999997E-6</v>
      </c>
      <c r="AA883">
        <v>0.99895520000000004</v>
      </c>
      <c r="AB883">
        <v>31</v>
      </c>
      <c r="AC883">
        <v>168.3843</v>
      </c>
      <c r="AD883">
        <v>-6.3307999999999906E-2</v>
      </c>
      <c r="AE883">
        <v>-8.5200000000000298</v>
      </c>
      <c r="AF883">
        <v>7.7191860002644397</v>
      </c>
      <c r="AG883">
        <v>-6.3307999999999906E-2</v>
      </c>
      <c r="AH883">
        <v>168.42288751288899</v>
      </c>
      <c r="AI883">
        <v>90.021514162197093</v>
      </c>
      <c r="AJ883">
        <v>87.375846626489505</v>
      </c>
      <c r="AK883">
        <v>168.59970011417201</v>
      </c>
      <c r="AL883">
        <v>86.463092146181495</v>
      </c>
      <c r="AM883">
        <v>87.993806397461697</v>
      </c>
      <c r="AN883">
        <v>1.0000000178546899</v>
      </c>
    </row>
    <row r="884" spans="1:40" x14ac:dyDescent="0.25">
      <c r="A884" t="str">
        <f>"20190312153907307"</f>
        <v>20190312153907307</v>
      </c>
      <c r="B884" t="str">
        <f>"1552376347296470"</f>
        <v>1552376347296470</v>
      </c>
      <c r="C884" t="s">
        <v>40</v>
      </c>
      <c r="D884">
        <v>4.0237049999999996</v>
      </c>
      <c r="E884">
        <v>0.50487820000000005</v>
      </c>
      <c r="F884" t="s">
        <v>47</v>
      </c>
      <c r="G884">
        <v>-158.19499999999999</v>
      </c>
      <c r="H884">
        <v>0.89026640000000001</v>
      </c>
      <c r="I884">
        <v>359.79860000000002</v>
      </c>
      <c r="J884">
        <v>-326.26429999999999</v>
      </c>
      <c r="K884">
        <v>1.109731</v>
      </c>
      <c r="L884">
        <v>368.39839999999998</v>
      </c>
      <c r="M884">
        <v>0.99991280000000005</v>
      </c>
      <c r="N884">
        <v>0</v>
      </c>
      <c r="O884">
        <v>-5.1379260000000001E-3</v>
      </c>
      <c r="P884">
        <v>0.99797089999999999</v>
      </c>
      <c r="Q884">
        <v>4.8960049999999998E-2</v>
      </c>
      <c r="R884">
        <v>-4.0707880000000002E-2</v>
      </c>
      <c r="S884">
        <v>3.0001530000000001</v>
      </c>
      <c r="T884">
        <v>-3.9088730000000002E-3</v>
      </c>
      <c r="U884">
        <v>-0.15325929999999999</v>
      </c>
      <c r="V884">
        <v>3.562953E-2</v>
      </c>
      <c r="W884">
        <v>6.1071350000000003E-2</v>
      </c>
      <c r="X884">
        <v>0.99749730000000003</v>
      </c>
      <c r="Y884">
        <v>4.588499E-2</v>
      </c>
      <c r="Z884" s="1">
        <v>-2.3182039999999999E-5</v>
      </c>
      <c r="AA884">
        <v>0.99894669999999997</v>
      </c>
      <c r="AB884">
        <v>31</v>
      </c>
      <c r="AC884">
        <v>168.0693</v>
      </c>
      <c r="AD884">
        <v>-0.21946460000000001</v>
      </c>
      <c r="AE884">
        <v>-8.5997999999999593</v>
      </c>
      <c r="AF884">
        <v>7.7360817841846696</v>
      </c>
      <c r="AG884">
        <v>-0.21946460000000001</v>
      </c>
      <c r="AH884">
        <v>168.11098379339401</v>
      </c>
      <c r="AI884">
        <v>90.074719064055202</v>
      </c>
      <c r="AJ884">
        <v>87.365238445075605</v>
      </c>
      <c r="AK884">
        <v>168.28903112819</v>
      </c>
      <c r="AL884">
        <v>86.498690677775002</v>
      </c>
      <c r="AM884">
        <v>87.954326109780197</v>
      </c>
      <c r="AN884">
        <v>1.00000001835306</v>
      </c>
    </row>
    <row r="885" spans="1:40" x14ac:dyDescent="0.25">
      <c r="A885" t="str">
        <f>"20190312153907329"</f>
        <v>20190312153907329</v>
      </c>
      <c r="B885" t="str">
        <f>"1552376347326727"</f>
        <v>1552376347326727</v>
      </c>
      <c r="C885" t="s">
        <v>40</v>
      </c>
      <c r="D885">
        <v>4.0352579999999998</v>
      </c>
      <c r="E885">
        <v>0.50469549999999996</v>
      </c>
      <c r="F885" t="s">
        <v>47</v>
      </c>
      <c r="G885">
        <v>-158.19499999999999</v>
      </c>
      <c r="H885">
        <v>0.74643519999999997</v>
      </c>
      <c r="I885">
        <v>359.72719999999998</v>
      </c>
      <c r="J885">
        <v>-325.9502</v>
      </c>
      <c r="K885">
        <v>1.1097319999999999</v>
      </c>
      <c r="L885">
        <v>368.39640000000003</v>
      </c>
      <c r="M885">
        <v>0.99991079999999999</v>
      </c>
      <c r="N885">
        <v>0</v>
      </c>
      <c r="O885">
        <v>-5.519726E-3</v>
      </c>
      <c r="P885">
        <v>0.99789240000000001</v>
      </c>
      <c r="Q885">
        <v>4.9580810000000003E-2</v>
      </c>
      <c r="R885">
        <v>-4.186699E-2</v>
      </c>
      <c r="S885">
        <v>3.0001220000000002</v>
      </c>
      <c r="T885">
        <v>-6.4834360000000004E-3</v>
      </c>
      <c r="U885">
        <v>-0.15478520000000001</v>
      </c>
      <c r="V885">
        <v>3.6408349999999999E-2</v>
      </c>
      <c r="W885">
        <v>6.1687199999999998E-2</v>
      </c>
      <c r="X885">
        <v>0.99743130000000002</v>
      </c>
      <c r="Y885">
        <v>4.6010750000000003E-2</v>
      </c>
      <c r="Z885" s="1">
        <v>-3.7761929999999997E-5</v>
      </c>
      <c r="AA885">
        <v>0.99894090000000002</v>
      </c>
      <c r="AB885">
        <v>31</v>
      </c>
      <c r="AC885">
        <v>167.7552</v>
      </c>
      <c r="AD885">
        <v>-0.36329679999999998</v>
      </c>
      <c r="AE885">
        <v>-8.6692000000000409</v>
      </c>
      <c r="AF885">
        <v>7.74300046472246</v>
      </c>
      <c r="AG885">
        <v>-0.36329679999999998</v>
      </c>
      <c r="AH885">
        <v>167.79971433886701</v>
      </c>
      <c r="AI885">
        <v>90.123916868926401</v>
      </c>
      <c r="AJ885">
        <v>87.3580004616297</v>
      </c>
      <c r="AK885">
        <v>167.97865987370801</v>
      </c>
      <c r="AL885">
        <v>86.463338486891104</v>
      </c>
      <c r="AM885">
        <v>87.909511112175693</v>
      </c>
      <c r="AN885">
        <v>1.0000000384066201</v>
      </c>
    </row>
    <row r="886" spans="1:40" x14ac:dyDescent="0.25">
      <c r="A886" t="str">
        <f>"20190312153907352"</f>
        <v>20190312153907352</v>
      </c>
      <c r="B886" t="str">
        <f>"1552376347347223"</f>
        <v>1552376347347223</v>
      </c>
      <c r="C886" t="s">
        <v>40</v>
      </c>
      <c r="D886">
        <v>3.8991549999999999</v>
      </c>
      <c r="E886">
        <v>0.50469960000000003</v>
      </c>
      <c r="F886" t="s">
        <v>47</v>
      </c>
      <c r="G886">
        <v>-158.19499999999999</v>
      </c>
      <c r="H886">
        <v>0.78750609999999999</v>
      </c>
      <c r="I886">
        <v>359.63709999999998</v>
      </c>
      <c r="J886">
        <v>-325.63470000000001</v>
      </c>
      <c r="K886">
        <v>1.109734</v>
      </c>
      <c r="L886">
        <v>368.39420000000001</v>
      </c>
      <c r="M886">
        <v>0.99990869999999998</v>
      </c>
      <c r="N886">
        <v>0</v>
      </c>
      <c r="O886">
        <v>-5.902961E-3</v>
      </c>
      <c r="P886">
        <v>0.99782190000000004</v>
      </c>
      <c r="Q886">
        <v>5.0374000000000002E-2</v>
      </c>
      <c r="R886">
        <v>-4.2592730000000002E-2</v>
      </c>
      <c r="S886">
        <v>3.0000309999999999</v>
      </c>
      <c r="T886">
        <v>-5.7609080000000003E-3</v>
      </c>
      <c r="U886">
        <v>-0.1566467</v>
      </c>
      <c r="V886">
        <v>3.675279E-2</v>
      </c>
      <c r="W886">
        <v>6.247581E-2</v>
      </c>
      <c r="X886">
        <v>0.99736950000000002</v>
      </c>
      <c r="Y886">
        <v>4.6247660000000003E-2</v>
      </c>
      <c r="Z886" s="1">
        <v>-3.3046059999999999E-5</v>
      </c>
      <c r="AA886">
        <v>0.99892999999999998</v>
      </c>
      <c r="AB886">
        <v>31</v>
      </c>
      <c r="AC886">
        <v>167.43969999999999</v>
      </c>
      <c r="AD886">
        <v>-0.32222790000000001</v>
      </c>
      <c r="AE886">
        <v>-8.7571000000000296</v>
      </c>
      <c r="AF886">
        <v>7.7684556712424797</v>
      </c>
      <c r="AG886">
        <v>-0.32222790000000001</v>
      </c>
      <c r="AH886">
        <v>167.48786037350601</v>
      </c>
      <c r="AI886">
        <v>90.110112153196994</v>
      </c>
      <c r="AJ886">
        <v>87.344398863415904</v>
      </c>
      <c r="AK886">
        <v>167.66823225295499</v>
      </c>
      <c r="AL886">
        <v>86.418066846004095</v>
      </c>
      <c r="AM886">
        <v>87.889621268181401</v>
      </c>
      <c r="AN886">
        <v>0.99999995696909405</v>
      </c>
    </row>
    <row r="887" spans="1:40" x14ac:dyDescent="0.25">
      <c r="A887" t="str">
        <f>"20190312153907373"</f>
        <v>20190312153907373</v>
      </c>
      <c r="B887" t="str">
        <f>"1552376347366743"</f>
        <v>1552376347366743</v>
      </c>
      <c r="C887" t="s">
        <v>40</v>
      </c>
      <c r="D887">
        <v>3.1585390000000002</v>
      </c>
      <c r="E887">
        <v>0.50471509999999997</v>
      </c>
      <c r="F887" t="s">
        <v>47</v>
      </c>
      <c r="G887">
        <v>-158.19499999999999</v>
      </c>
      <c r="H887">
        <v>0.90099620000000002</v>
      </c>
      <c r="I887">
        <v>359.52839999999998</v>
      </c>
      <c r="J887">
        <v>-325.32819999999998</v>
      </c>
      <c r="K887">
        <v>1.109742</v>
      </c>
      <c r="L887">
        <v>368.392</v>
      </c>
      <c r="M887">
        <v>0.99990650000000003</v>
      </c>
      <c r="N887">
        <v>0</v>
      </c>
      <c r="O887">
        <v>-6.2751100000000004E-3</v>
      </c>
      <c r="P887">
        <v>0.99778120000000003</v>
      </c>
      <c r="Q887">
        <v>5.0706229999999998E-2</v>
      </c>
      <c r="R887">
        <v>-4.3147329999999998E-2</v>
      </c>
      <c r="S887">
        <v>2.9999389999999999</v>
      </c>
      <c r="T887">
        <v>-3.7382840000000001E-3</v>
      </c>
      <c r="U887">
        <v>-0.15884400000000001</v>
      </c>
      <c r="V887">
        <v>3.6936660000000003E-2</v>
      </c>
      <c r="W887">
        <v>6.2805600000000003E-2</v>
      </c>
      <c r="X887">
        <v>0.99734210000000001</v>
      </c>
      <c r="Y887">
        <v>4.660715E-2</v>
      </c>
      <c r="Z887" s="1">
        <v>-2.1204439999999999E-5</v>
      </c>
      <c r="AA887">
        <v>0.9989133</v>
      </c>
      <c r="AB887">
        <v>31</v>
      </c>
      <c r="AC887">
        <v>167.13319999999999</v>
      </c>
      <c r="AD887">
        <v>-0.20874580000000001</v>
      </c>
      <c r="AE887">
        <v>-8.8636000000000195</v>
      </c>
      <c r="AF887">
        <v>7.8145566747913602</v>
      </c>
      <c r="AG887">
        <v>-0.20874580000000001</v>
      </c>
      <c r="AH887">
        <v>167.18527298109001</v>
      </c>
      <c r="AI887">
        <v>90.0714608582648</v>
      </c>
      <c r="AJ887">
        <v>87.323834453962505</v>
      </c>
      <c r="AK887">
        <v>167.36793711041</v>
      </c>
      <c r="AL887">
        <v>86.399134468660193</v>
      </c>
      <c r="AM887">
        <v>87.879014688229901</v>
      </c>
      <c r="AN887">
        <v>1.00000006233786</v>
      </c>
    </row>
    <row r="888" spans="1:40" x14ac:dyDescent="0.25">
      <c r="A888" t="str">
        <f>"20190312153907439"</f>
        <v>20190312153907439</v>
      </c>
      <c r="B888" t="str">
        <f>"1552376347437016"</f>
        <v>1552376347437016</v>
      </c>
      <c r="C888" t="s">
        <v>40</v>
      </c>
      <c r="D888">
        <v>3.740488</v>
      </c>
      <c r="E888">
        <v>0.50439049999999996</v>
      </c>
      <c r="F888" t="s">
        <v>47</v>
      </c>
      <c r="G888">
        <v>-158.19499999999999</v>
      </c>
      <c r="H888">
        <v>0.50870609999999905</v>
      </c>
      <c r="I888">
        <v>359.46519999999998</v>
      </c>
      <c r="J888">
        <v>-324.3947</v>
      </c>
      <c r="K888">
        <v>1.109748</v>
      </c>
      <c r="L888">
        <v>368.3845</v>
      </c>
      <c r="M888">
        <v>0.99989879999999998</v>
      </c>
      <c r="N888">
        <v>0</v>
      </c>
      <c r="O888">
        <v>-7.4109780000000004E-3</v>
      </c>
      <c r="P888">
        <v>0.99767709999999998</v>
      </c>
      <c r="Q888">
        <v>5.268254E-2</v>
      </c>
      <c r="R888">
        <v>-4.3186549999999997E-2</v>
      </c>
      <c r="S888">
        <v>3.0002749999999998</v>
      </c>
      <c r="T888">
        <v>-1.078784E-2</v>
      </c>
      <c r="U888">
        <v>-0.1602478</v>
      </c>
      <c r="V888">
        <v>3.5844559999999998E-2</v>
      </c>
      <c r="W888">
        <v>6.4776159999999999E-2</v>
      </c>
      <c r="X888">
        <v>0.99725589999999997</v>
      </c>
      <c r="Y888">
        <v>4.5932340000000002E-2</v>
      </c>
      <c r="Z888" s="1">
        <v>-5.5890069999999898E-5</v>
      </c>
      <c r="AA888">
        <v>0.99894459999999996</v>
      </c>
      <c r="AB888">
        <v>31</v>
      </c>
      <c r="AC888">
        <v>166.19970000000001</v>
      </c>
      <c r="AD888">
        <v>-0.60104190000000002</v>
      </c>
      <c r="AE888">
        <v>-8.9193000000000193</v>
      </c>
      <c r="AF888">
        <v>7.6871616310167603</v>
      </c>
      <c r="AG888">
        <v>-0.60104190000000002</v>
      </c>
      <c r="AH888">
        <v>166.25907268489101</v>
      </c>
      <c r="AI888">
        <v>90.206907590683798</v>
      </c>
      <c r="AJ888">
        <v>87.352755203134294</v>
      </c>
      <c r="AK888">
        <v>166.437775025224</v>
      </c>
      <c r="AL888">
        <v>86.285999241180804</v>
      </c>
      <c r="AM888">
        <v>87.941492978141099</v>
      </c>
      <c r="AN888">
        <v>1.00000005673537</v>
      </c>
    </row>
    <row r="889" spans="1:40" x14ac:dyDescent="0.25">
      <c r="A889" t="str">
        <f>"20190312153907463"</f>
        <v>20190312153907463</v>
      </c>
      <c r="B889" t="str">
        <f>"1552376347456535"</f>
        <v>1552376347456535</v>
      </c>
      <c r="C889" t="s">
        <v>40</v>
      </c>
      <c r="D889">
        <v>3.9639169999999999</v>
      </c>
      <c r="E889">
        <v>0.4814233</v>
      </c>
      <c r="F889" t="s">
        <v>47</v>
      </c>
      <c r="G889">
        <v>-158.19499999999999</v>
      </c>
      <c r="H889">
        <v>1.0269539999999999</v>
      </c>
      <c r="I889">
        <v>359.63069999999999</v>
      </c>
      <c r="J889">
        <v>-324.06729999999999</v>
      </c>
      <c r="K889">
        <v>1.1097509999999999</v>
      </c>
      <c r="L889">
        <v>368.38170000000002</v>
      </c>
      <c r="M889">
        <v>0.9998958</v>
      </c>
      <c r="N889">
        <v>0</v>
      </c>
      <c r="O889">
        <v>-7.8094740000000003E-3</v>
      </c>
      <c r="P889">
        <v>0.99763610000000003</v>
      </c>
      <c r="Q889">
        <v>5.2813359999999997E-2</v>
      </c>
      <c r="R889">
        <v>-4.3968189999999997E-2</v>
      </c>
      <c r="S889">
        <v>3.0001530000000001</v>
      </c>
      <c r="T889">
        <v>-1.4929769999999999E-3</v>
      </c>
      <c r="U889">
        <v>-0.15801999999999999</v>
      </c>
      <c r="V889">
        <v>3.6228730000000001E-2</v>
      </c>
      <c r="W889">
        <v>6.490464E-2</v>
      </c>
      <c r="X889">
        <v>0.99723360000000005</v>
      </c>
      <c r="Y889">
        <v>4.4796910000000002E-2</v>
      </c>
      <c r="Z889" s="1">
        <v>-7.2548810000000003E-6</v>
      </c>
      <c r="AA889">
        <v>0.99899610000000005</v>
      </c>
      <c r="AB889">
        <v>31</v>
      </c>
      <c r="AC889">
        <v>165.8723</v>
      </c>
      <c r="AD889">
        <v>-8.2796999999999704E-2</v>
      </c>
      <c r="AE889">
        <v>-8.7510000000000296</v>
      </c>
      <c r="AF889">
        <v>7.4552603569837297</v>
      </c>
      <c r="AG889">
        <v>-8.2796999999999704E-2</v>
      </c>
      <c r="AH889">
        <v>165.93554559110601</v>
      </c>
      <c r="AI889">
        <v>90.028560110402694</v>
      </c>
      <c r="AJ889">
        <v>87.4275078694466</v>
      </c>
      <c r="AK889">
        <v>166.10295919384399</v>
      </c>
      <c r="AL889">
        <v>86.278622119017399</v>
      </c>
      <c r="AM889">
        <v>87.919403391050906</v>
      </c>
      <c r="AN889">
        <v>0.99999999306995102</v>
      </c>
    </row>
    <row r="890" spans="1:40" x14ac:dyDescent="0.25">
      <c r="A890" t="str">
        <f>"20190312153907475"</f>
        <v>20190312153907475</v>
      </c>
      <c r="B890" t="str">
        <f>"1552376347467270"</f>
        <v>1552376347467270</v>
      </c>
      <c r="C890" t="s">
        <v>40</v>
      </c>
      <c r="D890">
        <v>4.3678549999999996</v>
      </c>
      <c r="E890">
        <v>0.48200979999999999</v>
      </c>
      <c r="F890" t="s">
        <v>41</v>
      </c>
      <c r="G890">
        <v>-323.17140000000001</v>
      </c>
      <c r="H890">
        <v>0.97162630000000005</v>
      </c>
      <c r="I890">
        <v>368.39389999999997</v>
      </c>
      <c r="J890">
        <v>-323.8922</v>
      </c>
      <c r="K890">
        <v>1.1097549999999901</v>
      </c>
      <c r="L890">
        <v>368.38010000000003</v>
      </c>
      <c r="M890">
        <v>0.99989410000000001</v>
      </c>
      <c r="N890">
        <v>0</v>
      </c>
      <c r="O890">
        <v>-8.0221340000000002E-3</v>
      </c>
      <c r="P890">
        <v>0.99759549999999997</v>
      </c>
      <c r="Q890">
        <v>5.3195430000000002E-2</v>
      </c>
      <c r="R890">
        <v>-4.4424730000000003E-2</v>
      </c>
      <c r="S890">
        <v>3.0337830000000001</v>
      </c>
      <c r="T890">
        <v>-0.46794590000000003</v>
      </c>
      <c r="U890">
        <v>4.2266850000000002E-2</v>
      </c>
      <c r="V890">
        <v>3.6473749999999999E-2</v>
      </c>
      <c r="W890">
        <v>6.5285300000000004E-2</v>
      </c>
      <c r="X890">
        <v>0.99719979999999997</v>
      </c>
      <c r="Y890">
        <v>-2.1601929999999998E-2</v>
      </c>
      <c r="Z890">
        <v>2.886263E-3</v>
      </c>
      <c r="AA890">
        <v>0.9997625</v>
      </c>
      <c r="AB890">
        <v>31</v>
      </c>
      <c r="AC890">
        <v>0.720799999999997</v>
      </c>
      <c r="AD890">
        <v>-0.13812869999999899</v>
      </c>
      <c r="AE890">
        <v>1.3799999999946499E-2</v>
      </c>
      <c r="AF890">
        <v>-1.8888932061359501E-2</v>
      </c>
      <c r="AG890">
        <v>-0.13812869999999899</v>
      </c>
      <c r="AH890">
        <v>0.69514753185284095</v>
      </c>
      <c r="AI890">
        <v>101.234482484517</v>
      </c>
      <c r="AJ890">
        <v>91.556489514250202</v>
      </c>
      <c r="AK890">
        <v>0.70898971823236301</v>
      </c>
      <c r="AL890">
        <v>86.256765475805693</v>
      </c>
      <c r="AM890">
        <v>87.9052735809464</v>
      </c>
      <c r="AN890">
        <v>0.99999997297759502</v>
      </c>
    </row>
    <row r="891" spans="1:40" x14ac:dyDescent="0.25">
      <c r="A891" t="str">
        <f>"20190312153907486"</f>
        <v>20190312153907486</v>
      </c>
      <c r="B891" t="str">
        <f>"1552376347477031"</f>
        <v>1552376347477031</v>
      </c>
      <c r="C891" t="s">
        <v>40</v>
      </c>
      <c r="D891">
        <v>4.0800210000000003</v>
      </c>
      <c r="E891">
        <v>0.48270360000000001</v>
      </c>
      <c r="F891" t="s">
        <v>41</v>
      </c>
      <c r="G891">
        <v>-323.15260000000001</v>
      </c>
      <c r="H891">
        <v>1.0115050000000001</v>
      </c>
      <c r="I891">
        <v>368.38799999999998</v>
      </c>
      <c r="J891">
        <v>-323.73700000000002</v>
      </c>
      <c r="K891">
        <v>1.1097549999999901</v>
      </c>
      <c r="L891">
        <v>368.37860000000001</v>
      </c>
      <c r="M891">
        <v>0.99989249999999996</v>
      </c>
      <c r="N891">
        <v>0</v>
      </c>
      <c r="O891">
        <v>-8.2107150000000004E-3</v>
      </c>
      <c r="P891">
        <v>0.99754790000000004</v>
      </c>
      <c r="Q891">
        <v>5.3592819999999999E-2</v>
      </c>
      <c r="R891">
        <v>-4.5010649999999999E-2</v>
      </c>
      <c r="S891">
        <v>3.0302120000000001</v>
      </c>
      <c r="T891">
        <v>-0.40273490000000001</v>
      </c>
      <c r="U891">
        <v>3.3477779999999999E-2</v>
      </c>
      <c r="V891">
        <v>3.6872250000000002E-2</v>
      </c>
      <c r="W891">
        <v>6.5681169999999997E-2</v>
      </c>
      <c r="X891">
        <v>0.99715920000000002</v>
      </c>
      <c r="Y891">
        <v>-1.9018360000000002E-2</v>
      </c>
      <c r="Z891">
        <v>2.3447920000000001E-3</v>
      </c>
      <c r="AA891">
        <v>0.99981640000000005</v>
      </c>
      <c r="AB891">
        <v>31</v>
      </c>
      <c r="AC891">
        <v>0.58440000000001602</v>
      </c>
      <c r="AD891">
        <v>-9.8249999999999907E-2</v>
      </c>
      <c r="AE891">
        <v>9.4000000000278305E-3</v>
      </c>
      <c r="AF891">
        <v>-1.38081951948616E-2</v>
      </c>
      <c r="AG891">
        <v>-9.8249999999999907E-2</v>
      </c>
      <c r="AH891">
        <v>0.56824595246393805</v>
      </c>
      <c r="AI891">
        <v>99.806646503774104</v>
      </c>
      <c r="AJ891">
        <v>91.391995210620706</v>
      </c>
      <c r="AK891">
        <v>0.57684243190509799</v>
      </c>
      <c r="AL891">
        <v>86.234035202128396</v>
      </c>
      <c r="AM891">
        <v>87.882321882756898</v>
      </c>
      <c r="AN891">
        <v>1.00000002452863</v>
      </c>
    </row>
    <row r="892" spans="1:40" x14ac:dyDescent="0.25">
      <c r="A892" t="str">
        <f>"20190312153907499"</f>
        <v>20190312153907499</v>
      </c>
      <c r="B892" t="str">
        <f>"1552376347486791"</f>
        <v>1552376347486791</v>
      </c>
      <c r="C892" t="s">
        <v>40</v>
      </c>
      <c r="D892">
        <v>4.0910479999999998</v>
      </c>
      <c r="E892">
        <v>0.48397259999999998</v>
      </c>
      <c r="F892" t="s">
        <v>41</v>
      </c>
      <c r="G892">
        <v>-322.87200000000001</v>
      </c>
      <c r="H892">
        <v>1.0112239999999999</v>
      </c>
      <c r="I892">
        <v>368.3852</v>
      </c>
      <c r="J892">
        <v>-323.57159999999999</v>
      </c>
      <c r="K892">
        <v>1.109756</v>
      </c>
      <c r="L892">
        <v>368.37700000000001</v>
      </c>
      <c r="M892">
        <v>0.99989090000000003</v>
      </c>
      <c r="N892">
        <v>0</v>
      </c>
      <c r="O892">
        <v>-8.4118119999999994E-3</v>
      </c>
      <c r="P892">
        <v>0.99752680000000005</v>
      </c>
      <c r="Q892">
        <v>5.384038E-2</v>
      </c>
      <c r="R892">
        <v>-4.5183139999999997E-2</v>
      </c>
      <c r="S892">
        <v>3.0269780000000002</v>
      </c>
      <c r="T892">
        <v>-0.3449258</v>
      </c>
      <c r="U892">
        <v>2.362061E-2</v>
      </c>
      <c r="V892">
        <v>3.6844340000000003E-2</v>
      </c>
      <c r="W892">
        <v>6.5927650000000004E-2</v>
      </c>
      <c r="X892">
        <v>0.99714389999999997</v>
      </c>
      <c r="Y892">
        <v>-1.6056689999999998E-2</v>
      </c>
      <c r="Z892">
        <v>1.867365E-3</v>
      </c>
      <c r="AA892">
        <v>0.99986929999999996</v>
      </c>
      <c r="AB892">
        <v>31</v>
      </c>
      <c r="AC892">
        <v>0.69959999999997502</v>
      </c>
      <c r="AD892">
        <v>-9.8531999999999995E-2</v>
      </c>
      <c r="AE892">
        <v>8.2000000000448294E-3</v>
      </c>
      <c r="AF892">
        <v>-1.3811126922671699E-2</v>
      </c>
      <c r="AG892">
        <v>-9.8531999999999995E-2</v>
      </c>
      <c r="AH892">
        <v>0.68590254067693102</v>
      </c>
      <c r="AI892">
        <v>98.173153771042294</v>
      </c>
      <c r="AJ892">
        <v>91.153534673271096</v>
      </c>
      <c r="AK892">
        <v>0.693081234458085</v>
      </c>
      <c r="AL892">
        <v>86.219882014214306</v>
      </c>
      <c r="AM892">
        <v>87.883890936414701</v>
      </c>
      <c r="AN892">
        <v>0.999999958865883</v>
      </c>
    </row>
    <row r="893" spans="1:40" x14ac:dyDescent="0.25">
      <c r="A893" t="str">
        <f>"20190312153907513"</f>
        <v>20190312153907513</v>
      </c>
      <c r="B893" t="str">
        <f>"1552376347507286"</f>
        <v>1552376347507286</v>
      </c>
      <c r="C893" t="s">
        <v>40</v>
      </c>
      <c r="D893">
        <v>4.0682640000000001</v>
      </c>
      <c r="E893">
        <v>0.4848228</v>
      </c>
      <c r="F893" t="s">
        <v>41</v>
      </c>
      <c r="G893">
        <v>-322.58909999999997</v>
      </c>
      <c r="H893">
        <v>1.0157879999999999</v>
      </c>
      <c r="I893">
        <v>368.3802</v>
      </c>
      <c r="J893">
        <v>-323.36239999999998</v>
      </c>
      <c r="K893">
        <v>1.1097570000000001</v>
      </c>
      <c r="L893">
        <v>368.375</v>
      </c>
      <c r="M893">
        <v>0.99988880000000002</v>
      </c>
      <c r="N893">
        <v>0</v>
      </c>
      <c r="O893">
        <v>-8.6660720000000004E-3</v>
      </c>
      <c r="P893">
        <v>0.99748300000000001</v>
      </c>
      <c r="Q893">
        <v>5.4043870000000001E-2</v>
      </c>
      <c r="R893">
        <v>-4.5906589999999997E-2</v>
      </c>
      <c r="S893">
        <v>3.0235599999999998</v>
      </c>
      <c r="T893">
        <v>-0.28938340000000001</v>
      </c>
      <c r="U893">
        <v>1.0864260000000001E-2</v>
      </c>
      <c r="V893">
        <v>3.7314470000000002E-2</v>
      </c>
      <c r="W893">
        <v>6.6129859999999999E-2</v>
      </c>
      <c r="X893">
        <v>0.99711300000000003</v>
      </c>
      <c r="Y893">
        <v>-1.216451E-2</v>
      </c>
      <c r="Z893">
        <v>1.4083889999999999E-3</v>
      </c>
      <c r="AA893">
        <v>0.99992499999999995</v>
      </c>
      <c r="AB893">
        <v>31</v>
      </c>
      <c r="AC893">
        <v>0.77330000000000598</v>
      </c>
      <c r="AD893">
        <v>-9.39689999999999E-2</v>
      </c>
      <c r="AE893">
        <v>5.2000000000020901E-3</v>
      </c>
      <c r="AF893">
        <v>-1.17285910940248E-2</v>
      </c>
      <c r="AG893">
        <v>-9.39689999999999E-2</v>
      </c>
      <c r="AH893">
        <v>0.76197481171942505</v>
      </c>
      <c r="AI893">
        <v>97.029564296203503</v>
      </c>
      <c r="AJ893">
        <v>90.881847661471596</v>
      </c>
      <c r="AK893">
        <v>0.76783679679011496</v>
      </c>
      <c r="AL893">
        <v>86.208270791184802</v>
      </c>
      <c r="AM893">
        <v>87.856848269380905</v>
      </c>
      <c r="AN893">
        <v>0.99999993141199695</v>
      </c>
    </row>
    <row r="894" spans="1:40" x14ac:dyDescent="0.25">
      <c r="A894" t="str">
        <f>"20190312153907526"</f>
        <v>20190312153907526</v>
      </c>
      <c r="B894" t="str">
        <f>"1552376347517046"</f>
        <v>1552376347517046</v>
      </c>
      <c r="C894" t="s">
        <v>40</v>
      </c>
      <c r="D894">
        <v>4.1276570000000001</v>
      </c>
      <c r="E894">
        <v>0.4843248</v>
      </c>
      <c r="F894" t="s">
        <v>43</v>
      </c>
      <c r="G894">
        <v>-305.7242</v>
      </c>
      <c r="H894">
        <v>-0.05</v>
      </c>
      <c r="I894">
        <v>368.36340000000001</v>
      </c>
      <c r="J894">
        <v>-323.17759999999998</v>
      </c>
      <c r="K894">
        <v>1.109756</v>
      </c>
      <c r="L894">
        <v>368.3732</v>
      </c>
      <c r="M894">
        <v>0.99988679999999996</v>
      </c>
      <c r="N894">
        <v>0</v>
      </c>
      <c r="O894">
        <v>-8.8906499999999999E-3</v>
      </c>
      <c r="P894">
        <v>0.99746729999999995</v>
      </c>
      <c r="Q894">
        <v>5.4081820000000003E-2</v>
      </c>
      <c r="R894">
        <v>-4.6200110000000003E-2</v>
      </c>
      <c r="S894">
        <v>3.0181879999999999</v>
      </c>
      <c r="T894">
        <v>-0.19845399999999999</v>
      </c>
      <c r="U894">
        <v>-1.9836430000000002E-3</v>
      </c>
      <c r="V894">
        <v>3.7384229999999997E-2</v>
      </c>
      <c r="W894">
        <v>6.6166970000000006E-2</v>
      </c>
      <c r="X894">
        <v>0.99710799999999999</v>
      </c>
      <c r="Y894">
        <v>-8.1972009999999994E-3</v>
      </c>
      <c r="Z894">
        <v>8.5319379999999998E-4</v>
      </c>
      <c r="AA894">
        <v>0.99996600000000002</v>
      </c>
      <c r="AB894">
        <v>31</v>
      </c>
      <c r="AC894">
        <v>17.453399999999899</v>
      </c>
      <c r="AD894">
        <v>-1.159756</v>
      </c>
      <c r="AE894">
        <v>-9.7999999999842605E-3</v>
      </c>
      <c r="AF894">
        <v>-0.14474478065987001</v>
      </c>
      <c r="AG894">
        <v>-1.159756</v>
      </c>
      <c r="AH894">
        <v>17.3760743836297</v>
      </c>
      <c r="AI894">
        <v>93.818377929305996</v>
      </c>
      <c r="AJ894">
        <v>90.477269666183105</v>
      </c>
      <c r="AK894">
        <v>17.415336517463398</v>
      </c>
      <c r="AL894">
        <v>86.206140161361404</v>
      </c>
      <c r="AM894">
        <v>87.852834602691999</v>
      </c>
      <c r="AN894">
        <v>1.00000000611783</v>
      </c>
    </row>
    <row r="895" spans="1:40" x14ac:dyDescent="0.25">
      <c r="A895" t="str">
        <f>"20190312153907541"</f>
        <v>20190312153907541</v>
      </c>
      <c r="B895" t="str">
        <f>"1552376347536568"</f>
        <v>1552376347536568</v>
      </c>
      <c r="C895" t="s">
        <v>40</v>
      </c>
      <c r="D895">
        <v>4.1753080000000002</v>
      </c>
      <c r="E895">
        <v>0.48420750000000001</v>
      </c>
      <c r="F895" t="s">
        <v>43</v>
      </c>
      <c r="G895">
        <v>-301.78620000000001</v>
      </c>
      <c r="H895">
        <v>-0.05</v>
      </c>
      <c r="I895">
        <v>368.36970000000002</v>
      </c>
      <c r="J895">
        <v>-322.9794</v>
      </c>
      <c r="K895">
        <v>1.109747</v>
      </c>
      <c r="L895">
        <v>368.37110000000001</v>
      </c>
      <c r="M895">
        <v>0.99988440000000001</v>
      </c>
      <c r="N895">
        <v>0</v>
      </c>
      <c r="O895">
        <v>-9.1314399999999993E-3</v>
      </c>
      <c r="P895">
        <v>0.99745890000000004</v>
      </c>
      <c r="Q895">
        <v>5.3711889999999998E-2</v>
      </c>
      <c r="R895">
        <v>-4.6807019999999998E-2</v>
      </c>
      <c r="S895">
        <v>3.0164789999999999</v>
      </c>
      <c r="T895">
        <v>-0.1635412</v>
      </c>
      <c r="U895">
        <v>-4.8828130000000002E-4</v>
      </c>
      <c r="V895">
        <v>3.7750260000000001E-2</v>
      </c>
      <c r="W895">
        <v>6.5796320000000005E-2</v>
      </c>
      <c r="X895">
        <v>0.99711870000000002</v>
      </c>
      <c r="Y895">
        <v>-8.9437049999999997E-3</v>
      </c>
      <c r="Z895">
        <v>7.3700509999999905E-4</v>
      </c>
      <c r="AA895">
        <v>0.99995970000000001</v>
      </c>
      <c r="AB895">
        <v>31</v>
      </c>
      <c r="AC895">
        <v>21.193199999999901</v>
      </c>
      <c r="AD895">
        <v>-1.1597469999999901</v>
      </c>
      <c r="AE895">
        <v>-1.39999999998963E-3</v>
      </c>
      <c r="AF895">
        <v>-0.19156514209183401</v>
      </c>
      <c r="AG895">
        <v>-1.1597469999999901</v>
      </c>
      <c r="AH895">
        <v>21.129056767924698</v>
      </c>
      <c r="AI895">
        <v>93.141610878399703</v>
      </c>
      <c r="AJ895">
        <v>90.519454017255498</v>
      </c>
      <c r="AK895">
        <v>21.161728431530801</v>
      </c>
      <c r="AL895">
        <v>86.227423084354598</v>
      </c>
      <c r="AM895">
        <v>87.831854859789701</v>
      </c>
      <c r="AN895">
        <v>0.99999996987264905</v>
      </c>
    </row>
    <row r="896" spans="1:40" x14ac:dyDescent="0.25">
      <c r="A896" t="str">
        <f>"20190312153907555"</f>
        <v>20190312153907555</v>
      </c>
      <c r="B896" t="str">
        <f>"1552376347547303"</f>
        <v>1552376347547303</v>
      </c>
      <c r="C896" t="s">
        <v>40</v>
      </c>
      <c r="D896">
        <v>4.1289360000000004</v>
      </c>
      <c r="E896">
        <v>0.48441289999999998</v>
      </c>
      <c r="F896" t="s">
        <v>43</v>
      </c>
      <c r="G896">
        <v>-295.11700000000002</v>
      </c>
      <c r="H896">
        <v>-0.05</v>
      </c>
      <c r="I896">
        <v>368.34629999999999</v>
      </c>
      <c r="J896">
        <v>-322.77859999999998</v>
      </c>
      <c r="K896">
        <v>1.109747</v>
      </c>
      <c r="L896">
        <v>368.36900000000003</v>
      </c>
      <c r="M896">
        <v>0.99988220000000005</v>
      </c>
      <c r="N896">
        <v>0</v>
      </c>
      <c r="O896">
        <v>-9.3759220000000001E-3</v>
      </c>
      <c r="P896">
        <v>0.99746080000000004</v>
      </c>
      <c r="Q896">
        <v>5.3513940000000003E-2</v>
      </c>
      <c r="R896">
        <v>-4.6993399999999998E-2</v>
      </c>
      <c r="S896">
        <v>3.0142820000000001</v>
      </c>
      <c r="T896">
        <v>-0.12546669999999999</v>
      </c>
      <c r="U896">
        <v>-2.6855469999999999E-3</v>
      </c>
      <c r="V896">
        <v>3.7692580000000003E-2</v>
      </c>
      <c r="W896">
        <v>6.5598390000000006E-2</v>
      </c>
      <c r="X896">
        <v>0.99713399999999996</v>
      </c>
      <c r="Y896">
        <v>-8.4702559999999903E-3</v>
      </c>
      <c r="Z896">
        <v>5.6632609999999995E-4</v>
      </c>
      <c r="AA896">
        <v>0.99996390000000002</v>
      </c>
      <c r="AB896">
        <v>31</v>
      </c>
      <c r="AC896">
        <v>27.6615999999999</v>
      </c>
      <c r="AD896">
        <v>-1.1597469999999901</v>
      </c>
      <c r="AE896">
        <v>-2.2700000000042998E-2</v>
      </c>
      <c r="AF896">
        <v>-0.23625785829677101</v>
      </c>
      <c r="AG896">
        <v>-1.1597469999999901</v>
      </c>
      <c r="AH896">
        <v>27.6120600844372</v>
      </c>
      <c r="AI896">
        <v>92.405005169411893</v>
      </c>
      <c r="AJ896">
        <v>90.490229551481093</v>
      </c>
      <c r="AK896">
        <v>27.637414730509501</v>
      </c>
      <c r="AL896">
        <v>86.238788480805994</v>
      </c>
      <c r="AM896">
        <v>87.835197679074199</v>
      </c>
      <c r="AN896">
        <v>1.00000004665682</v>
      </c>
    </row>
    <row r="897" spans="1:40" x14ac:dyDescent="0.25">
      <c r="A897" t="str">
        <f>"20190312153907567"</f>
        <v>20190312153907567</v>
      </c>
      <c r="B897" t="str">
        <f>"1552376347557063"</f>
        <v>1552376347557063</v>
      </c>
      <c r="C897" t="s">
        <v>40</v>
      </c>
      <c r="D897">
        <v>4.0849260000000003</v>
      </c>
      <c r="E897">
        <v>0.48460999999999999</v>
      </c>
      <c r="F897" t="s">
        <v>43</v>
      </c>
      <c r="G897">
        <v>-292.41550000000001</v>
      </c>
      <c r="H897">
        <v>-0.05</v>
      </c>
      <c r="I897">
        <v>368.3177</v>
      </c>
      <c r="J897">
        <v>-322.60129999999998</v>
      </c>
      <c r="K897">
        <v>1.1097440000000001</v>
      </c>
      <c r="L897">
        <v>368.36720000000003</v>
      </c>
      <c r="M897">
        <v>0.99988030000000006</v>
      </c>
      <c r="N897">
        <v>0</v>
      </c>
      <c r="O897">
        <v>-9.5917989999999998E-3</v>
      </c>
      <c r="P897">
        <v>0.99745329999999999</v>
      </c>
      <c r="Q897">
        <v>5.3182640000000003E-2</v>
      </c>
      <c r="R897">
        <v>-4.7525449999999997E-2</v>
      </c>
      <c r="S897">
        <v>3.0135800000000001</v>
      </c>
      <c r="T897">
        <v>-0.11510670000000001</v>
      </c>
      <c r="U897">
        <v>-5.0964360000000002E-3</v>
      </c>
      <c r="V897">
        <v>3.8009109999999999E-2</v>
      </c>
      <c r="W897">
        <v>6.5266740000000004E-2</v>
      </c>
      <c r="X897">
        <v>0.99714369999999997</v>
      </c>
      <c r="Y897">
        <v>-7.8886689999999992E-3</v>
      </c>
      <c r="Z897">
        <v>5.1685930000000004E-4</v>
      </c>
      <c r="AA897">
        <v>0.99996879999999999</v>
      </c>
      <c r="AB897">
        <v>31</v>
      </c>
      <c r="AC897">
        <v>30.185799999999901</v>
      </c>
      <c r="AD897">
        <v>-1.1597440000000001</v>
      </c>
      <c r="AE897">
        <v>-4.9500000000023102E-2</v>
      </c>
      <c r="AF897">
        <v>-0.23970591095039201</v>
      </c>
      <c r="AG897">
        <v>-1.1597440000000001</v>
      </c>
      <c r="AH897">
        <v>30.140395569594101</v>
      </c>
      <c r="AI897">
        <v>92.203473858945003</v>
      </c>
      <c r="AJ897">
        <v>90.455662482607707</v>
      </c>
      <c r="AK897">
        <v>30.163652135656399</v>
      </c>
      <c r="AL897">
        <v>86.257831256314802</v>
      </c>
      <c r="AM897">
        <v>87.817057104247795</v>
      </c>
      <c r="AN897">
        <v>0.99999999912145399</v>
      </c>
    </row>
    <row r="898" spans="1:40" x14ac:dyDescent="0.25">
      <c r="A898" t="str">
        <f>"20190312153907581"</f>
        <v>20190312153907581</v>
      </c>
      <c r="B898" t="str">
        <f>"1552376347576583"</f>
        <v>1552376347576583</v>
      </c>
      <c r="C898" t="s">
        <v>40</v>
      </c>
      <c r="D898">
        <v>4.1418140000000001</v>
      </c>
      <c r="E898">
        <v>0.48461660000000001</v>
      </c>
      <c r="F898" t="s">
        <v>43</v>
      </c>
      <c r="G898">
        <v>-289.85329999999999</v>
      </c>
      <c r="H898">
        <v>-0.05</v>
      </c>
      <c r="I898">
        <v>368.27330000000001</v>
      </c>
      <c r="J898">
        <v>-322.41359999999997</v>
      </c>
      <c r="K898">
        <v>1.1097440000000001</v>
      </c>
      <c r="L898">
        <v>368.36509999999998</v>
      </c>
      <c r="M898">
        <v>0.99987800000000004</v>
      </c>
      <c r="N898">
        <v>0</v>
      </c>
      <c r="O898">
        <v>-9.8200730000000003E-3</v>
      </c>
      <c r="P898">
        <v>0.99745329999999999</v>
      </c>
      <c r="Q898">
        <v>5.2752109999999998E-2</v>
      </c>
      <c r="R898">
        <v>-4.8001679999999998E-2</v>
      </c>
      <c r="S898">
        <v>3.0129389999999998</v>
      </c>
      <c r="T898">
        <v>-0.1067009</v>
      </c>
      <c r="U898">
        <v>-8.6364749999999994E-3</v>
      </c>
      <c r="V898">
        <v>3.825713E-2</v>
      </c>
      <c r="W898">
        <v>6.4835649999999995E-2</v>
      </c>
      <c r="X898">
        <v>0.99716229999999995</v>
      </c>
      <c r="Y898">
        <v>-6.9439360000000004E-3</v>
      </c>
      <c r="Z898">
        <v>4.7059899999999998E-4</v>
      </c>
      <c r="AA898">
        <v>0.99997579999999997</v>
      </c>
      <c r="AB898">
        <v>31</v>
      </c>
      <c r="AC898">
        <v>32.560299999999899</v>
      </c>
      <c r="AD898">
        <v>-1.1597440000000001</v>
      </c>
      <c r="AE898">
        <v>-9.1799999999977899E-2</v>
      </c>
      <c r="AF898">
        <v>-0.22768368956856699</v>
      </c>
      <c r="AG898">
        <v>-1.1597440000000001</v>
      </c>
      <c r="AH898">
        <v>32.518376675090799</v>
      </c>
      <c r="AI898">
        <v>92.042496131073094</v>
      </c>
      <c r="AJ898">
        <v>90.401160901612897</v>
      </c>
      <c r="AK898">
        <v>32.539847381189702</v>
      </c>
      <c r="AL898">
        <v>86.282583178955505</v>
      </c>
      <c r="AM898">
        <v>87.802867654554802</v>
      </c>
      <c r="AN898">
        <v>0.999999961024023</v>
      </c>
    </row>
    <row r="899" spans="1:40" x14ac:dyDescent="0.25">
      <c r="A899" t="str">
        <f>"20190312153907597"</f>
        <v>20190312153907597</v>
      </c>
      <c r="B899" t="str">
        <f>"1552376347587319"</f>
        <v>1552376347587319</v>
      </c>
      <c r="C899" t="s">
        <v>40</v>
      </c>
      <c r="D899">
        <v>4.1795019999999896</v>
      </c>
      <c r="E899">
        <v>0.48439989999999999</v>
      </c>
      <c r="F899" t="s">
        <v>43</v>
      </c>
      <c r="G899">
        <v>-285.4812</v>
      </c>
      <c r="H899">
        <v>-0.05</v>
      </c>
      <c r="I899">
        <v>368.233</v>
      </c>
      <c r="J899">
        <v>-322.18709999999999</v>
      </c>
      <c r="K899">
        <v>1.1097379999999999</v>
      </c>
      <c r="L899">
        <v>368.36259999999999</v>
      </c>
      <c r="M899">
        <v>0.99987539999999997</v>
      </c>
      <c r="N899">
        <v>0</v>
      </c>
      <c r="O899">
        <v>-1.0096030000000001E-2</v>
      </c>
      <c r="P899">
        <v>0.99744960000000005</v>
      </c>
      <c r="Q899">
        <v>5.1727049999999997E-2</v>
      </c>
      <c r="R899">
        <v>-4.9181669999999997E-2</v>
      </c>
      <c r="S899">
        <v>3.0121150000000001</v>
      </c>
      <c r="T899">
        <v>-9.4585779999999994E-2</v>
      </c>
      <c r="U899">
        <v>-1.077271E-2</v>
      </c>
      <c r="V899">
        <v>3.9160680000000003E-2</v>
      </c>
      <c r="W899">
        <v>6.380972E-2</v>
      </c>
      <c r="X899">
        <v>0.99719349999999995</v>
      </c>
      <c r="Y899">
        <v>-6.5122660000000001E-3</v>
      </c>
      <c r="Z899">
        <v>4.1919480000000001E-4</v>
      </c>
      <c r="AA899">
        <v>0.9999787</v>
      </c>
      <c r="AB899">
        <v>31</v>
      </c>
      <c r="AC899">
        <v>36.7058999999999</v>
      </c>
      <c r="AD899">
        <v>-1.1597379999999999</v>
      </c>
      <c r="AE899">
        <v>-0.12959999999998201</v>
      </c>
      <c r="AF899">
        <v>-0.24077740402056599</v>
      </c>
      <c r="AG899">
        <v>-1.1597379999999999</v>
      </c>
      <c r="AH899">
        <v>36.668732666208101</v>
      </c>
      <c r="AI899">
        <v>91.811475725855104</v>
      </c>
      <c r="AJ899">
        <v>90.376215096205101</v>
      </c>
      <c r="AK899">
        <v>36.687857955088703</v>
      </c>
      <c r="AL899">
        <v>86.341486977699105</v>
      </c>
      <c r="AM899">
        <v>87.7510991418809</v>
      </c>
      <c r="AN899">
        <v>1.0000000578333901</v>
      </c>
    </row>
    <row r="900" spans="1:40" x14ac:dyDescent="0.25">
      <c r="A900" t="str">
        <f>"20190312153907609"</f>
        <v>20190312153907609</v>
      </c>
      <c r="B900" t="str">
        <f>"1552376347597079"</f>
        <v>1552376347597079</v>
      </c>
      <c r="C900" t="s">
        <v>40</v>
      </c>
      <c r="D900">
        <v>4.1603370000000002</v>
      </c>
      <c r="E900">
        <v>0.48403439999999998</v>
      </c>
      <c r="F900" t="s">
        <v>43</v>
      </c>
      <c r="G900">
        <v>-284.28289999999998</v>
      </c>
      <c r="H900">
        <v>-0.05</v>
      </c>
      <c r="I900">
        <v>368.20170000000002</v>
      </c>
      <c r="J900">
        <v>-322.01909999999998</v>
      </c>
      <c r="K900">
        <v>1.1097379999999999</v>
      </c>
      <c r="L900">
        <v>368.36070000000001</v>
      </c>
      <c r="M900">
        <v>0.99987329999999996</v>
      </c>
      <c r="N900">
        <v>0</v>
      </c>
      <c r="O900">
        <v>-1.0300220000000001E-2</v>
      </c>
      <c r="P900">
        <v>0.997471</v>
      </c>
      <c r="Q900">
        <v>5.0800320000000003E-2</v>
      </c>
      <c r="R900">
        <v>-4.9710829999999998E-2</v>
      </c>
      <c r="S900">
        <v>3.0117799999999999</v>
      </c>
      <c r="T900">
        <v>-9.2149969999999998E-2</v>
      </c>
      <c r="U900">
        <v>-1.2786870000000001E-2</v>
      </c>
      <c r="V900">
        <v>3.9485260000000001E-2</v>
      </c>
      <c r="W900">
        <v>6.28827E-2</v>
      </c>
      <c r="X900">
        <v>0.99723949999999995</v>
      </c>
      <c r="Y900">
        <v>-6.0478859999999997E-3</v>
      </c>
      <c r="Z900">
        <v>4.0759329999999998E-4</v>
      </c>
      <c r="AA900">
        <v>0.99998160000000003</v>
      </c>
      <c r="AB900">
        <v>31</v>
      </c>
      <c r="AC900">
        <v>37.736199999999997</v>
      </c>
      <c r="AD900">
        <v>-1.1597379999999999</v>
      </c>
      <c r="AE900">
        <v>-0.15899999999999101</v>
      </c>
      <c r="AF900">
        <v>-0.22951145569341799</v>
      </c>
      <c r="AG900">
        <v>-1.1597379999999999</v>
      </c>
      <c r="AH900">
        <v>37.700228350259103</v>
      </c>
      <c r="AI900">
        <v>91.761949922458101</v>
      </c>
      <c r="AJ900">
        <v>90.348800945979207</v>
      </c>
      <c r="AK900">
        <v>37.718760390535401</v>
      </c>
      <c r="AL900">
        <v>86.394707881987301</v>
      </c>
      <c r="AM900">
        <v>87.732583178941596</v>
      </c>
      <c r="AN900">
        <v>0.99999997003840302</v>
      </c>
    </row>
    <row r="901" spans="1:40" x14ac:dyDescent="0.25">
      <c r="A901" t="str">
        <f>"20190312153907621"</f>
        <v>20190312153907621</v>
      </c>
      <c r="B901" t="str">
        <f>"1552376347616599"</f>
        <v>1552376347616599</v>
      </c>
      <c r="C901" t="s">
        <v>40</v>
      </c>
      <c r="D901">
        <v>4.2010540000000001</v>
      </c>
      <c r="E901">
        <v>0.48351670000000002</v>
      </c>
      <c r="F901" t="s">
        <v>43</v>
      </c>
      <c r="G901">
        <v>-283.16590000000002</v>
      </c>
      <c r="H901">
        <v>-0.05</v>
      </c>
      <c r="I901">
        <v>368.20870000000002</v>
      </c>
      <c r="J901">
        <v>-321.85169999999999</v>
      </c>
      <c r="K901">
        <v>1.109737</v>
      </c>
      <c r="L901">
        <v>368.35879999999997</v>
      </c>
      <c r="M901">
        <v>0.99987130000000002</v>
      </c>
      <c r="N901">
        <v>0</v>
      </c>
      <c r="O901">
        <v>-1.0503709999999999E-2</v>
      </c>
      <c r="P901">
        <v>0.99749169999999998</v>
      </c>
      <c r="Q901">
        <v>5.0197850000000002E-2</v>
      </c>
      <c r="R901">
        <v>-4.990671E-2</v>
      </c>
      <c r="S901">
        <v>3.0115970000000001</v>
      </c>
      <c r="T901">
        <v>-8.9893700000000007E-2</v>
      </c>
      <c r="U901">
        <v>-1.177979E-2</v>
      </c>
      <c r="V901">
        <v>3.9477199999999997E-2</v>
      </c>
      <c r="W901">
        <v>6.2280200000000001E-2</v>
      </c>
      <c r="X901">
        <v>0.99727770000000004</v>
      </c>
      <c r="Y901">
        <v>-6.5855599999999999E-3</v>
      </c>
      <c r="Z901">
        <v>4.1173780000000002E-4</v>
      </c>
      <c r="AA901">
        <v>0.99997820000000004</v>
      </c>
      <c r="AB901">
        <v>31</v>
      </c>
      <c r="AC901">
        <v>38.685799999999901</v>
      </c>
      <c r="AD901">
        <v>-1.159737</v>
      </c>
      <c r="AE901">
        <v>-0.15009999999995199</v>
      </c>
      <c r="AF901">
        <v>-0.25605247527570002</v>
      </c>
      <c r="AG901">
        <v>-1.159737</v>
      </c>
      <c r="AH901">
        <v>38.650507510295597</v>
      </c>
      <c r="AI901">
        <v>91.718648775166699</v>
      </c>
      <c r="AJ901">
        <v>90.379568406575302</v>
      </c>
      <c r="AK901">
        <v>38.668750737290097</v>
      </c>
      <c r="AL901">
        <v>86.429296645510206</v>
      </c>
      <c r="AM901">
        <v>87.733132280018907</v>
      </c>
      <c r="AN901">
        <v>1.00000004177458</v>
      </c>
    </row>
    <row r="902" spans="1:40" x14ac:dyDescent="0.25">
      <c r="A902" t="str">
        <f>"20190312153907635"</f>
        <v>20190312153907635</v>
      </c>
      <c r="B902" t="str">
        <f>"1552376347627335"</f>
        <v>1552376347627335</v>
      </c>
      <c r="C902" t="s">
        <v>40</v>
      </c>
      <c r="D902">
        <v>4.199478</v>
      </c>
      <c r="E902">
        <v>0.48336410000000002</v>
      </c>
      <c r="F902" t="s">
        <v>43</v>
      </c>
      <c r="G902">
        <v>-278.90809999999999</v>
      </c>
      <c r="H902">
        <v>-0.05</v>
      </c>
      <c r="I902">
        <v>368.23430000000002</v>
      </c>
      <c r="J902">
        <v>-321.65570000000002</v>
      </c>
      <c r="K902">
        <v>1.1097349999999999</v>
      </c>
      <c r="L902">
        <v>368.35649999999998</v>
      </c>
      <c r="M902">
        <v>0.9998686</v>
      </c>
      <c r="N902">
        <v>0</v>
      </c>
      <c r="O902">
        <v>-1.074164E-2</v>
      </c>
      <c r="P902">
        <v>0.99749189999999999</v>
      </c>
      <c r="Q902">
        <v>4.9736349999999999E-2</v>
      </c>
      <c r="R902">
        <v>-5.036355E-2</v>
      </c>
      <c r="S902">
        <v>3.0111690000000002</v>
      </c>
      <c r="T902">
        <v>-8.131969E-2</v>
      </c>
      <c r="U902">
        <v>-8.7280269999999993E-3</v>
      </c>
      <c r="V902">
        <v>3.969611E-2</v>
      </c>
      <c r="W902">
        <v>6.1818570000000003E-2</v>
      </c>
      <c r="X902">
        <v>0.99729769999999895</v>
      </c>
      <c r="Y902">
        <v>-7.8372449999999996E-3</v>
      </c>
      <c r="Z902">
        <v>3.9585850000000003E-4</v>
      </c>
      <c r="AA902">
        <v>0.9999692</v>
      </c>
      <c r="AB902">
        <v>31</v>
      </c>
      <c r="AC902">
        <v>42.747599999999998</v>
      </c>
      <c r="AD902">
        <v>-1.159735</v>
      </c>
      <c r="AE902">
        <v>-0.122199999999963</v>
      </c>
      <c r="AF902">
        <v>-0.33677235473764</v>
      </c>
      <c r="AG902">
        <v>-1.159735</v>
      </c>
      <c r="AH902">
        <v>42.715006957076703</v>
      </c>
      <c r="AI902">
        <v>91.555180294410306</v>
      </c>
      <c r="AJ902">
        <v>90.451720277397399</v>
      </c>
      <c r="AK902">
        <v>42.732074841180498</v>
      </c>
      <c r="AL902">
        <v>86.455797045466397</v>
      </c>
      <c r="AM902">
        <v>87.720620872611207</v>
      </c>
      <c r="AN902">
        <v>1.0000000095856301</v>
      </c>
    </row>
    <row r="903" spans="1:40" x14ac:dyDescent="0.25">
      <c r="A903" t="str">
        <f>"20190312153907647"</f>
        <v>20190312153907647</v>
      </c>
      <c r="B903" t="str">
        <f>"1552376347637095"</f>
        <v>1552376347637095</v>
      </c>
      <c r="C903" t="s">
        <v>40</v>
      </c>
      <c r="D903">
        <v>4.2008910000000004</v>
      </c>
      <c r="E903">
        <v>0.48317969999999999</v>
      </c>
      <c r="F903" t="s">
        <v>42</v>
      </c>
      <c r="G903">
        <v>-279.01350000000002</v>
      </c>
      <c r="H903" s="1">
        <v>-6.9240119999999899E-7</v>
      </c>
      <c r="I903">
        <v>368.22329999999999</v>
      </c>
      <c r="J903">
        <v>-321.48020000000002</v>
      </c>
      <c r="K903">
        <v>1.1097319999999999</v>
      </c>
      <c r="L903">
        <v>368.35430000000002</v>
      </c>
      <c r="M903">
        <v>0.99986640000000004</v>
      </c>
      <c r="N903">
        <v>0</v>
      </c>
      <c r="O903">
        <v>-1.095526E-2</v>
      </c>
      <c r="P903">
        <v>0.99747790000000003</v>
      </c>
      <c r="Q903">
        <v>4.9661129999999998E-2</v>
      </c>
      <c r="R903">
        <v>-5.0712019999999997E-2</v>
      </c>
      <c r="S903">
        <v>3.0109560000000002</v>
      </c>
      <c r="T903">
        <v>-7.8358049999999999E-2</v>
      </c>
      <c r="U903">
        <v>-9.399414E-3</v>
      </c>
      <c r="V903">
        <v>3.9831539999999999E-2</v>
      </c>
      <c r="W903">
        <v>6.1742890000000002E-2</v>
      </c>
      <c r="X903">
        <v>0.99729699999999999</v>
      </c>
      <c r="Y903">
        <v>-7.8281150000000001E-3</v>
      </c>
      <c r="Z903">
        <v>3.8691270000000002E-4</v>
      </c>
      <c r="AA903">
        <v>0.99996929999999995</v>
      </c>
      <c r="AB903">
        <v>31</v>
      </c>
      <c r="AC903">
        <v>42.466700000000003</v>
      </c>
      <c r="AD903">
        <v>-1.1097326924012001</v>
      </c>
      <c r="AE903">
        <v>-0.13100000000002801</v>
      </c>
      <c r="AF903">
        <v>-0.33404772920901599</v>
      </c>
      <c r="AG903">
        <v>-1.1097326924012001</v>
      </c>
      <c r="AH903">
        <v>42.4366078907711</v>
      </c>
      <c r="AI903">
        <v>91.497917640629893</v>
      </c>
      <c r="AJ903">
        <v>90.451005174269397</v>
      </c>
      <c r="AK903">
        <v>42.452429657312102</v>
      </c>
      <c r="AL903">
        <v>86.460141529914907</v>
      </c>
      <c r="AM903">
        <v>87.7128510255733</v>
      </c>
      <c r="AN903">
        <v>1.00000002112666</v>
      </c>
    </row>
    <row r="904" spans="1:40" x14ac:dyDescent="0.25">
      <c r="A904" t="str">
        <f>"20190312153907661"</f>
        <v>20190312153907661</v>
      </c>
      <c r="B904" t="str">
        <f>"1552376347656616"</f>
        <v>1552376347656616</v>
      </c>
      <c r="C904" t="s">
        <v>40</v>
      </c>
      <c r="D904">
        <v>4.2178990000000001</v>
      </c>
      <c r="E904">
        <v>0.48278320000000002</v>
      </c>
      <c r="F904" t="s">
        <v>42</v>
      </c>
      <c r="G904">
        <v>-277.09989999999999</v>
      </c>
      <c r="H904" s="1">
        <v>-1.4744919999999901E-6</v>
      </c>
      <c r="I904">
        <v>368.21800000000002</v>
      </c>
      <c r="J904">
        <v>-321.29849999999999</v>
      </c>
      <c r="K904">
        <v>1.109702</v>
      </c>
      <c r="L904">
        <v>368.35210000000001</v>
      </c>
      <c r="M904">
        <v>0.99986520000000001</v>
      </c>
      <c r="N904">
        <v>0</v>
      </c>
      <c r="O904">
        <v>-1.1178260000000001E-2</v>
      </c>
      <c r="P904">
        <v>0.99744600000000005</v>
      </c>
      <c r="Q904">
        <v>5.0076320000000001E-2</v>
      </c>
      <c r="R904">
        <v>-5.0930400000000001E-2</v>
      </c>
      <c r="S904">
        <v>3.0108640000000002</v>
      </c>
      <c r="T904">
        <v>-7.528675E-2</v>
      </c>
      <c r="U904">
        <v>-9.2468259999999997E-3</v>
      </c>
      <c r="V904">
        <v>3.9827910000000001E-2</v>
      </c>
      <c r="W904">
        <v>6.2043189999999998E-2</v>
      </c>
      <c r="X904">
        <v>0.99727849999999996</v>
      </c>
      <c r="Y904">
        <v>-8.1020380000000006E-3</v>
      </c>
      <c r="Z904">
        <v>3.8076270000000001E-4</v>
      </c>
      <c r="AA904">
        <v>0.9999671</v>
      </c>
      <c r="AB904">
        <v>31</v>
      </c>
      <c r="AC904">
        <v>44.198599999999999</v>
      </c>
      <c r="AD904">
        <v>-1.109703474492</v>
      </c>
      <c r="AE904">
        <v>-0.13409999999998901</v>
      </c>
      <c r="AF904">
        <v>-0.35978076009948101</v>
      </c>
      <c r="AG904">
        <v>-1.109703474492</v>
      </c>
      <c r="AH904">
        <v>44.169494289542001</v>
      </c>
      <c r="AI904">
        <v>91.439134549421297</v>
      </c>
      <c r="AJ904">
        <v>90.466690043720106</v>
      </c>
      <c r="AK904">
        <v>44.1848968516451</v>
      </c>
      <c r="AL904">
        <v>86.442902528631905</v>
      </c>
      <c r="AM904">
        <v>87.713016862035005</v>
      </c>
      <c r="AN904">
        <v>1.0000000132012901</v>
      </c>
    </row>
    <row r="905" spans="1:40" x14ac:dyDescent="0.25">
      <c r="A905" t="str">
        <f>"20190312153907675"</f>
        <v>20190312153907675</v>
      </c>
      <c r="B905" t="str">
        <f>"1552376347667351"</f>
        <v>1552376347667351</v>
      </c>
      <c r="C905" t="s">
        <v>40</v>
      </c>
      <c r="D905">
        <v>4.2033149999999999</v>
      </c>
      <c r="E905">
        <v>0.4826279</v>
      </c>
      <c r="F905" t="s">
        <v>42</v>
      </c>
      <c r="G905">
        <v>-271.5247</v>
      </c>
      <c r="H905" s="1">
        <v>-3.862957E-6</v>
      </c>
      <c r="I905">
        <v>368.23649999999998</v>
      </c>
      <c r="J905">
        <v>-321.08600000000001</v>
      </c>
      <c r="K905">
        <v>1.1095649999999999</v>
      </c>
      <c r="L905">
        <v>368.34949999999998</v>
      </c>
      <c r="M905">
        <v>0.9998688</v>
      </c>
      <c r="N905">
        <v>0</v>
      </c>
      <c r="O905">
        <v>-1.144595E-2</v>
      </c>
      <c r="P905">
        <v>0.99736119999999995</v>
      </c>
      <c r="Q905">
        <v>5.204218E-2</v>
      </c>
      <c r="R905">
        <v>-5.0625660000000003E-2</v>
      </c>
      <c r="S905">
        <v>3.0106809999999999</v>
      </c>
      <c r="T905">
        <v>-6.7122940000000006E-2</v>
      </c>
      <c r="U905">
        <v>-6.9885249999999998E-3</v>
      </c>
      <c r="V905">
        <v>3.925712E-2</v>
      </c>
      <c r="W905">
        <v>6.3460420000000003E-2</v>
      </c>
      <c r="X905">
        <v>0.99721190000000004</v>
      </c>
      <c r="Y905">
        <v>-9.1204819999999992E-3</v>
      </c>
      <c r="Z905">
        <v>3.56824E-4</v>
      </c>
      <c r="AA905">
        <v>0.99995829999999997</v>
      </c>
      <c r="AB905">
        <v>31</v>
      </c>
      <c r="AC905">
        <v>49.561300000000003</v>
      </c>
      <c r="AD905">
        <v>-1.109568862957</v>
      </c>
      <c r="AE905">
        <v>-0.112999999999999</v>
      </c>
      <c r="AF905">
        <v>-0.45409323438704802</v>
      </c>
      <c r="AG905">
        <v>-1.109568862957</v>
      </c>
      <c r="AH905">
        <v>49.5345191745457</v>
      </c>
      <c r="AI905">
        <v>91.283151922910093</v>
      </c>
      <c r="AJ905">
        <v>90.525227608658298</v>
      </c>
      <c r="AK905">
        <v>49.549025556317403</v>
      </c>
      <c r="AL905">
        <v>86.361540680626703</v>
      </c>
      <c r="AM905">
        <v>87.745608093710501</v>
      </c>
      <c r="AN905">
        <v>0.99999995993943902</v>
      </c>
    </row>
    <row r="906" spans="1:40" x14ac:dyDescent="0.25">
      <c r="A906" t="str">
        <f>"20190312153907688"</f>
        <v>20190312153907688</v>
      </c>
      <c r="B906" t="str">
        <f>"1552376347677111"</f>
        <v>1552376347677111</v>
      </c>
      <c r="C906" t="s">
        <v>40</v>
      </c>
      <c r="D906">
        <v>4.2115080000000003</v>
      </c>
      <c r="E906">
        <v>0.48246869999999997</v>
      </c>
      <c r="F906" t="s">
        <v>42</v>
      </c>
      <c r="G906">
        <v>-264.01130000000001</v>
      </c>
      <c r="H906" s="1">
        <v>-2.7927119999999999E-6</v>
      </c>
      <c r="I906">
        <v>368.25630000000001</v>
      </c>
      <c r="J906">
        <v>-320.899</v>
      </c>
      <c r="K906">
        <v>1.1093980000000001</v>
      </c>
      <c r="L906">
        <v>368.34710000000001</v>
      </c>
      <c r="M906">
        <v>0.99987110000000001</v>
      </c>
      <c r="N906">
        <v>0</v>
      </c>
      <c r="O906">
        <v>-1.168315E-2</v>
      </c>
      <c r="P906">
        <v>0.99732849999999995</v>
      </c>
      <c r="Q906">
        <v>5.2750070000000003E-2</v>
      </c>
      <c r="R906">
        <v>-5.0533649999999999E-2</v>
      </c>
      <c r="S906">
        <v>3.010742</v>
      </c>
      <c r="T906">
        <v>-5.8530569999999997E-2</v>
      </c>
      <c r="U906">
        <v>-4.9133299999999996E-3</v>
      </c>
      <c r="V906">
        <v>3.8928669999999999E-2</v>
      </c>
      <c r="W906">
        <v>6.3717389999999999E-2</v>
      </c>
      <c r="X906">
        <v>0.99720839999999999</v>
      </c>
      <c r="Y906">
        <v>-1.004792E-2</v>
      </c>
      <c r="Z906">
        <v>3.247743E-4</v>
      </c>
      <c r="AA906">
        <v>0.99994950000000005</v>
      </c>
      <c r="AB906">
        <v>31</v>
      </c>
      <c r="AC906">
        <v>56.887700000000002</v>
      </c>
      <c r="AD906">
        <v>-1.109400792712</v>
      </c>
      <c r="AE906">
        <v>-9.0800000000001505E-2</v>
      </c>
      <c r="AF906">
        <v>-0.57365587153435205</v>
      </c>
      <c r="AG906">
        <v>-1.109400792712</v>
      </c>
      <c r="AH906">
        <v>56.863252089099497</v>
      </c>
      <c r="AI906">
        <v>91.1176407365503</v>
      </c>
      <c r="AJ906">
        <v>90.5779997475979</v>
      </c>
      <c r="AK906">
        <v>56.8769662458037</v>
      </c>
      <c r="AL906">
        <v>86.346787562876003</v>
      </c>
      <c r="AM906">
        <v>87.764442712031496</v>
      </c>
      <c r="AN906">
        <v>0.99999997008346997</v>
      </c>
    </row>
    <row r="907" spans="1:40" x14ac:dyDescent="0.25">
      <c r="A907" t="str">
        <f>"20190312153907709"</f>
        <v>20190312153907709</v>
      </c>
      <c r="B907" t="str">
        <f>"1552376347696632"</f>
        <v>1552376347696632</v>
      </c>
      <c r="C907" t="s">
        <v>40</v>
      </c>
      <c r="D907">
        <v>4.2460180000000003</v>
      </c>
      <c r="E907">
        <v>0.48218529999999998</v>
      </c>
      <c r="F907" t="s">
        <v>42</v>
      </c>
      <c r="G907">
        <v>-259.34829999999999</v>
      </c>
      <c r="H907" s="1">
        <v>-5.6481469999999898E-7</v>
      </c>
      <c r="I907">
        <v>368.2747</v>
      </c>
      <c r="J907">
        <v>-320.6114</v>
      </c>
      <c r="K907">
        <v>1.109105</v>
      </c>
      <c r="L907">
        <v>368.34350000000001</v>
      </c>
      <c r="M907">
        <v>0.99987150000000002</v>
      </c>
      <c r="N907">
        <v>0</v>
      </c>
      <c r="O907">
        <v>-1.205064E-2</v>
      </c>
      <c r="P907">
        <v>0.99734460000000003</v>
      </c>
      <c r="Q907">
        <v>5.3346360000000002E-2</v>
      </c>
      <c r="R907">
        <v>-4.958216E-2</v>
      </c>
      <c r="S907">
        <v>3.0106809999999999</v>
      </c>
      <c r="T907">
        <v>-5.4264779999999999E-2</v>
      </c>
      <c r="U907">
        <v>-3.540039E-3</v>
      </c>
      <c r="V907">
        <v>3.7609360000000001E-2</v>
      </c>
      <c r="W907">
        <v>6.3870159999999995E-2</v>
      </c>
      <c r="X907">
        <v>0.99724930000000001</v>
      </c>
      <c r="Y907">
        <v>-1.0871840000000001E-2</v>
      </c>
      <c r="Z907">
        <v>3.1516150000000001E-4</v>
      </c>
      <c r="AA907">
        <v>0.99994090000000002</v>
      </c>
      <c r="AB907">
        <v>32</v>
      </c>
      <c r="AC907">
        <v>61.263100000000001</v>
      </c>
      <c r="AD907">
        <v>-1.1091055648146999</v>
      </c>
      <c r="AE907">
        <v>-6.8800000000010103E-2</v>
      </c>
      <c r="AF907">
        <v>-0.66928645812562604</v>
      </c>
      <c r="AG907">
        <v>-1.1091055648146999</v>
      </c>
      <c r="AH907">
        <v>61.239408793474603</v>
      </c>
      <c r="AI907">
        <v>91.037507203141104</v>
      </c>
      <c r="AJ907">
        <v>90.626161542445999</v>
      </c>
      <c r="AK907">
        <v>61.253108075355897</v>
      </c>
      <c r="AL907">
        <v>86.338016781256201</v>
      </c>
      <c r="AM907">
        <v>87.840222232171101</v>
      </c>
      <c r="AN907">
        <v>1.00000001382426</v>
      </c>
    </row>
    <row r="908" spans="1:40" x14ac:dyDescent="0.25">
      <c r="A908" t="str">
        <f>"20190312153907723"</f>
        <v>20190312153907723</v>
      </c>
      <c r="B908" t="str">
        <f>"1552376347717127"</f>
        <v>1552376347717127</v>
      </c>
      <c r="C908" t="s">
        <v>40</v>
      </c>
      <c r="D908">
        <v>4.2606080000000004</v>
      </c>
      <c r="E908">
        <v>0.48194189999999998</v>
      </c>
      <c r="F908" t="s">
        <v>42</v>
      </c>
      <c r="G908">
        <v>-252.1328</v>
      </c>
      <c r="H908" s="1">
        <v>-3.5783059999999999E-6</v>
      </c>
      <c r="I908">
        <v>368.37049999999999</v>
      </c>
      <c r="J908">
        <v>-320.3981</v>
      </c>
      <c r="K908">
        <v>1.108832</v>
      </c>
      <c r="L908">
        <v>368.34070000000003</v>
      </c>
      <c r="M908">
        <v>0.99986870000000005</v>
      </c>
      <c r="N908">
        <v>0</v>
      </c>
      <c r="O908">
        <v>-1.2323310000000001E-2</v>
      </c>
      <c r="P908">
        <v>0.99735280000000004</v>
      </c>
      <c r="Q908">
        <v>5.3513579999999998E-2</v>
      </c>
      <c r="R908">
        <v>-4.9231049999999998E-2</v>
      </c>
      <c r="S908">
        <v>3.0106510000000002</v>
      </c>
      <c r="T908">
        <v>-4.8761730000000003E-2</v>
      </c>
      <c r="U908">
        <v>1.190186E-3</v>
      </c>
      <c r="V908">
        <v>3.698618E-2</v>
      </c>
      <c r="W908">
        <v>6.3983410000000004E-2</v>
      </c>
      <c r="X908">
        <v>0.99726530000000002</v>
      </c>
      <c r="Y908">
        <v>-1.2716E-2</v>
      </c>
      <c r="Z908">
        <v>3.025576E-4</v>
      </c>
      <c r="AA908">
        <v>0.99991909999999895</v>
      </c>
      <c r="AB908">
        <v>32</v>
      </c>
      <c r="AC908">
        <v>68.265299999999996</v>
      </c>
      <c r="AD908">
        <v>-1.108835578306</v>
      </c>
      <c r="AE908">
        <v>2.9799999999966E-2</v>
      </c>
      <c r="AF908">
        <v>-0.87086899956006603</v>
      </c>
      <c r="AG908">
        <v>-1.108835578306</v>
      </c>
      <c r="AH908">
        <v>68.241743819060702</v>
      </c>
      <c r="AI908">
        <v>90.930820839253002</v>
      </c>
      <c r="AJ908">
        <v>90.731142068825505</v>
      </c>
      <c r="AK908">
        <v>68.256307610508998</v>
      </c>
      <c r="AL908">
        <v>86.331514560849499</v>
      </c>
      <c r="AM908">
        <v>87.876010334430006</v>
      </c>
      <c r="AN908">
        <v>0.99999996642515399</v>
      </c>
    </row>
    <row r="909" spans="1:40" x14ac:dyDescent="0.25">
      <c r="A909" t="str">
        <f>"20190312153907738"</f>
        <v>20190312153907738</v>
      </c>
      <c r="B909" t="str">
        <f>"1552376347726887"</f>
        <v>1552376347726887</v>
      </c>
      <c r="C909" t="s">
        <v>40</v>
      </c>
      <c r="D909">
        <v>4.2589230000000002</v>
      </c>
      <c r="E909">
        <v>0.48181239999999997</v>
      </c>
      <c r="F909" t="s">
        <v>42</v>
      </c>
      <c r="G909">
        <v>-244.41640000000001</v>
      </c>
      <c r="H909" s="1">
        <v>-2.8277419999999999E-6</v>
      </c>
      <c r="I909">
        <v>368.44470000000001</v>
      </c>
      <c r="J909">
        <v>-320.19299999999998</v>
      </c>
      <c r="K909">
        <v>1.1085179999999999</v>
      </c>
      <c r="L909">
        <v>368.33800000000002</v>
      </c>
      <c r="M909">
        <v>0.99986399999999998</v>
      </c>
      <c r="N909">
        <v>0</v>
      </c>
      <c r="O909">
        <v>-1.258329E-2</v>
      </c>
      <c r="P909">
        <v>0.99740030000000002</v>
      </c>
      <c r="Q909">
        <v>5.309154E-2</v>
      </c>
      <c r="R909">
        <v>-4.87217E-2</v>
      </c>
      <c r="S909">
        <v>3.010529</v>
      </c>
      <c r="T909">
        <v>-4.3933989999999999E-2</v>
      </c>
      <c r="U909">
        <v>4.1198729999999996E-3</v>
      </c>
      <c r="V909">
        <v>3.6217220000000001E-2</v>
      </c>
      <c r="W909">
        <v>6.3701220000000003E-2</v>
      </c>
      <c r="X909">
        <v>0.99731159999999996</v>
      </c>
      <c r="Y909">
        <v>-1.394955E-2</v>
      </c>
      <c r="Z909">
        <v>2.8541150000000002E-4</v>
      </c>
      <c r="AA909">
        <v>0.99990270000000003</v>
      </c>
      <c r="AB909">
        <v>32</v>
      </c>
      <c r="AC909">
        <v>75.776599999999902</v>
      </c>
      <c r="AD909">
        <v>-1.108520827742</v>
      </c>
      <c r="AE909">
        <v>0.106699999999989</v>
      </c>
      <c r="AF909">
        <v>-1.0600378194103199</v>
      </c>
      <c r="AG909">
        <v>-1.108520827742</v>
      </c>
      <c r="AH909">
        <v>75.753045906431396</v>
      </c>
      <c r="AI909">
        <v>90.838287293962495</v>
      </c>
      <c r="AJ909">
        <v>90.801706764749994</v>
      </c>
      <c r="AK909">
        <v>75.768571734631607</v>
      </c>
      <c r="AL909">
        <v>86.347715957793596</v>
      </c>
      <c r="AM909">
        <v>87.920226353023295</v>
      </c>
      <c r="AN909">
        <v>0.99999997997428802</v>
      </c>
    </row>
    <row r="910" spans="1:40" x14ac:dyDescent="0.25">
      <c r="A910" t="str">
        <f>"20190312153907757"</f>
        <v>20190312153907757</v>
      </c>
      <c r="B910" t="str">
        <f>"1552376347747385"</f>
        <v>1552376347747385</v>
      </c>
      <c r="C910" t="s">
        <v>40</v>
      </c>
      <c r="D910">
        <v>4.2696170000000002</v>
      </c>
      <c r="E910">
        <v>0.48160130000000001</v>
      </c>
      <c r="F910" t="s">
        <v>42</v>
      </c>
      <c r="G910">
        <v>-243.60040000000001</v>
      </c>
      <c r="H910" s="1">
        <v>-3.2038869999999998E-6</v>
      </c>
      <c r="I910">
        <v>368.49869999999999</v>
      </c>
      <c r="J910">
        <v>-319.91919999999999</v>
      </c>
      <c r="K910">
        <v>1.107939</v>
      </c>
      <c r="L910">
        <v>368.33429999999998</v>
      </c>
      <c r="M910">
        <v>0.99985409999999997</v>
      </c>
      <c r="N910">
        <v>0</v>
      </c>
      <c r="O910">
        <v>-1.2924359999999999E-2</v>
      </c>
      <c r="P910">
        <v>0.99744639999999996</v>
      </c>
      <c r="Q910">
        <v>5.3244850000000003E-2</v>
      </c>
      <c r="R910">
        <v>-4.7599130000000003E-2</v>
      </c>
      <c r="S910">
        <v>3.0104980000000001</v>
      </c>
      <c r="T910">
        <v>-4.357076E-2</v>
      </c>
      <c r="U910">
        <v>6.3171390000000003E-3</v>
      </c>
      <c r="V910">
        <v>3.475607E-2</v>
      </c>
      <c r="W910">
        <v>6.4361230000000005E-2</v>
      </c>
      <c r="X910">
        <v>0.99732120000000002</v>
      </c>
      <c r="Y910">
        <v>-1.50204E-2</v>
      </c>
      <c r="Z910">
        <v>2.9574069999999998E-4</v>
      </c>
      <c r="AA910">
        <v>0.99988719999999998</v>
      </c>
      <c r="AB910">
        <v>32</v>
      </c>
      <c r="AC910">
        <v>76.318799999999896</v>
      </c>
      <c r="AD910">
        <v>-1.1079422038869999</v>
      </c>
      <c r="AE910">
        <v>0.16439999999999999</v>
      </c>
      <c r="AF910">
        <v>-1.15057695368622</v>
      </c>
      <c r="AG910">
        <v>-1.1079422038869999</v>
      </c>
      <c r="AH910">
        <v>76.294220865761901</v>
      </c>
      <c r="AI910">
        <v>90.831894391666694</v>
      </c>
      <c r="AJ910">
        <v>90.863999995589495</v>
      </c>
      <c r="AK910">
        <v>76.310939587762704</v>
      </c>
      <c r="AL910">
        <v>86.3098223488972</v>
      </c>
      <c r="AM910">
        <v>88.0040827903332</v>
      </c>
      <c r="AN910">
        <v>0.99999996414919801</v>
      </c>
    </row>
    <row r="911" spans="1:40" x14ac:dyDescent="0.25">
      <c r="A911" t="str">
        <f>"20190312153907773"</f>
        <v>20190312153907773</v>
      </c>
      <c r="B911" t="str">
        <f>"1552376347766904"</f>
        <v>1552376347766904</v>
      </c>
      <c r="C911" t="s">
        <v>40</v>
      </c>
      <c r="D911">
        <v>4.2882350000000002</v>
      </c>
      <c r="E911">
        <v>0.48143550000000002</v>
      </c>
      <c r="F911" t="s">
        <v>42</v>
      </c>
      <c r="G911">
        <v>-237.7587</v>
      </c>
      <c r="H911" s="1">
        <v>-1.116177E-6</v>
      </c>
      <c r="I911">
        <v>368.64490000000001</v>
      </c>
      <c r="J911">
        <v>-319.69</v>
      </c>
      <c r="K911">
        <v>1.1073010000000001</v>
      </c>
      <c r="L911">
        <v>368.33109999999999</v>
      </c>
      <c r="M911">
        <v>0.99984269999999997</v>
      </c>
      <c r="N911">
        <v>0</v>
      </c>
      <c r="O911">
        <v>-1.3166399999999899E-2</v>
      </c>
      <c r="P911">
        <v>0.99746780000000002</v>
      </c>
      <c r="Q911">
        <v>5.3158829999999997E-2</v>
      </c>
      <c r="R911">
        <v>-4.7247980000000002E-2</v>
      </c>
      <c r="S911">
        <v>3.0103759999999999</v>
      </c>
      <c r="T911">
        <v>-4.0595050000000001E-2</v>
      </c>
      <c r="U911">
        <v>1.138306E-2</v>
      </c>
      <c r="V911">
        <v>3.4166780000000001E-2</v>
      </c>
      <c r="W911">
        <v>6.4988389999999993E-2</v>
      </c>
      <c r="X911">
        <v>0.99730090000000005</v>
      </c>
      <c r="Y911">
        <v>-1.6945430000000001E-2</v>
      </c>
      <c r="Z911">
        <v>2.9179999999999999E-4</v>
      </c>
      <c r="AA911">
        <v>0.99985639999999998</v>
      </c>
      <c r="AB911">
        <v>32</v>
      </c>
      <c r="AC911">
        <v>81.931299999999993</v>
      </c>
      <c r="AD911">
        <v>-1.107302116177</v>
      </c>
      <c r="AE911">
        <v>0.31380000000001401</v>
      </c>
      <c r="AF911">
        <v>-1.3923349287982001</v>
      </c>
      <c r="AG911">
        <v>-1.107302116177</v>
      </c>
      <c r="AH911">
        <v>81.905105026005003</v>
      </c>
      <c r="AI911">
        <v>90.774441468306605</v>
      </c>
      <c r="AJ911">
        <v>90.973898171359195</v>
      </c>
      <c r="AK911">
        <v>81.924422145361206</v>
      </c>
      <c r="AL911">
        <v>86.273813368047598</v>
      </c>
      <c r="AM911">
        <v>88.037857028129395</v>
      </c>
      <c r="AN911">
        <v>0.99999997241558503</v>
      </c>
    </row>
    <row r="912" spans="1:40" x14ac:dyDescent="0.25">
      <c r="A912" t="str">
        <f>"20190312153907786"</f>
        <v>20190312153907786</v>
      </c>
      <c r="B912" t="str">
        <f>"1552376347776664"</f>
        <v>1552376347776664</v>
      </c>
      <c r="C912" t="s">
        <v>40</v>
      </c>
      <c r="D912">
        <v>4.2931660000000003</v>
      </c>
      <c r="E912">
        <v>0.4813501</v>
      </c>
      <c r="F912" t="s">
        <v>42</v>
      </c>
      <c r="G912">
        <v>-234.69030000000001</v>
      </c>
      <c r="H912" s="1">
        <v>-2.4199899999999998E-6</v>
      </c>
      <c r="I912">
        <v>368.71539999999999</v>
      </c>
      <c r="J912">
        <v>-319.50080000000003</v>
      </c>
      <c r="K912">
        <v>1.1067260000000001</v>
      </c>
      <c r="L912">
        <v>368.32839999999999</v>
      </c>
      <c r="M912">
        <v>0.99982979999999999</v>
      </c>
      <c r="N912">
        <v>0</v>
      </c>
      <c r="O912">
        <v>-1.335326E-2</v>
      </c>
      <c r="P912">
        <v>0.99748590000000004</v>
      </c>
      <c r="Q912">
        <v>5.3343929999999998E-2</v>
      </c>
      <c r="R912">
        <v>-4.6653020000000003E-2</v>
      </c>
      <c r="S912">
        <v>3.010345</v>
      </c>
      <c r="T912">
        <v>-3.921616E-2</v>
      </c>
      <c r="U912">
        <v>1.3610840000000001E-2</v>
      </c>
      <c r="V912">
        <v>3.3388170000000002E-2</v>
      </c>
      <c r="W912">
        <v>6.602566E-2</v>
      </c>
      <c r="X912">
        <v>0.99725909999999995</v>
      </c>
      <c r="Y912">
        <v>-1.787246E-2</v>
      </c>
      <c r="Z912">
        <v>2.903658E-4</v>
      </c>
      <c r="AA912">
        <v>0.99984030000000002</v>
      </c>
      <c r="AB912">
        <v>32</v>
      </c>
      <c r="AC912">
        <v>84.810500000000005</v>
      </c>
      <c r="AD912">
        <v>-1.10672841999</v>
      </c>
      <c r="AE912">
        <v>0.38700000000000001</v>
      </c>
      <c r="AF912">
        <v>-1.51929521373641</v>
      </c>
      <c r="AG912">
        <v>-1.10672841999</v>
      </c>
      <c r="AH912">
        <v>84.783331801045605</v>
      </c>
      <c r="AI912">
        <v>90.747754162476497</v>
      </c>
      <c r="AJ912">
        <v>91.026615560699099</v>
      </c>
      <c r="AK912">
        <v>84.804165328292001</v>
      </c>
      <c r="AL912">
        <v>86.214254102456394</v>
      </c>
      <c r="AM912">
        <v>88.082457265014199</v>
      </c>
      <c r="AN912">
        <v>0.99999993510359497</v>
      </c>
    </row>
    <row r="913" spans="1:40" x14ac:dyDescent="0.25">
      <c r="A913" t="str">
        <f>"20190312153907799"</f>
        <v>20190312153907799</v>
      </c>
      <c r="B913" t="str">
        <f>"1552376347787399"</f>
        <v>1552376347787399</v>
      </c>
      <c r="C913" t="s">
        <v>40</v>
      </c>
      <c r="D913">
        <v>4.2486509999999997</v>
      </c>
      <c r="E913">
        <v>0.48129749999999999</v>
      </c>
      <c r="F913" t="s">
        <v>42</v>
      </c>
      <c r="G913">
        <v>-231.77770000000001</v>
      </c>
      <c r="H913" s="1">
        <v>-3.6554530000000002E-6</v>
      </c>
      <c r="I913">
        <v>368.7944</v>
      </c>
      <c r="J913">
        <v>-319.3306</v>
      </c>
      <c r="K913">
        <v>1.1061799999999999</v>
      </c>
      <c r="L913">
        <v>368.32600000000002</v>
      </c>
      <c r="M913">
        <v>0.99981580000000003</v>
      </c>
      <c r="N913">
        <v>0</v>
      </c>
      <c r="O913">
        <v>-1.351665E-2</v>
      </c>
      <c r="P913">
        <v>0.99750099999999997</v>
      </c>
      <c r="Q913">
        <v>5.308247E-2</v>
      </c>
      <c r="R913">
        <v>-4.6629829999999997E-2</v>
      </c>
      <c r="S913">
        <v>3.0103149999999999</v>
      </c>
      <c r="T913">
        <v>-3.7978650000000003E-2</v>
      </c>
      <c r="U913">
        <v>1.5991209999999999E-2</v>
      </c>
      <c r="V913">
        <v>3.3203370000000003E-2</v>
      </c>
      <c r="W913">
        <v>6.6657980000000006E-2</v>
      </c>
      <c r="X913">
        <v>0.99722330000000003</v>
      </c>
      <c r="Y913">
        <v>-1.8826720000000002E-2</v>
      </c>
      <c r="Z913">
        <v>2.8928880000000001E-4</v>
      </c>
      <c r="AA913">
        <v>0.99982269999999895</v>
      </c>
      <c r="AB913">
        <v>32</v>
      </c>
      <c r="AC913">
        <v>87.552899999999994</v>
      </c>
      <c r="AD913">
        <v>-1.106183655453</v>
      </c>
      <c r="AE913">
        <v>0.46840000000003101</v>
      </c>
      <c r="AF913">
        <v>-1.6516253429010701</v>
      </c>
      <c r="AG913">
        <v>-1.106183655453</v>
      </c>
      <c r="AH913">
        <v>87.524597296900396</v>
      </c>
      <c r="AI913">
        <v>90.723967922208601</v>
      </c>
      <c r="AJ913">
        <v>91.081066743796697</v>
      </c>
      <c r="AK913">
        <v>87.547168089764597</v>
      </c>
      <c r="AL913">
        <v>86.177945204739601</v>
      </c>
      <c r="AM913">
        <v>88.092994396163306</v>
      </c>
      <c r="AN913">
        <v>1.0000000300699601</v>
      </c>
    </row>
    <row r="914" spans="1:40" x14ac:dyDescent="0.25">
      <c r="A914" t="str">
        <f>"20190312153907810"</f>
        <v>20190312153907810</v>
      </c>
      <c r="B914" t="str">
        <f>"1552376347797159"</f>
        <v>1552376347797159</v>
      </c>
      <c r="C914" t="s">
        <v>40</v>
      </c>
      <c r="D914">
        <v>4.3142569999999996</v>
      </c>
      <c r="E914">
        <v>0.48126350000000001</v>
      </c>
      <c r="F914" t="s">
        <v>42</v>
      </c>
      <c r="G914">
        <v>-232.3391</v>
      </c>
      <c r="H914" s="1">
        <v>-3.4132619999999998E-6</v>
      </c>
      <c r="I914">
        <v>368.80220000000003</v>
      </c>
      <c r="J914">
        <v>-319.15800000000002</v>
      </c>
      <c r="K914">
        <v>1.1055630000000001</v>
      </c>
      <c r="L914">
        <v>368.32339999999999</v>
      </c>
      <c r="M914">
        <v>0.99979709999999999</v>
      </c>
      <c r="N914">
        <v>0</v>
      </c>
      <c r="O914">
        <v>-1.36893E-2</v>
      </c>
      <c r="P914">
        <v>0.99755150000000004</v>
      </c>
      <c r="Q914">
        <v>5.2132850000000001E-2</v>
      </c>
      <c r="R914">
        <v>-4.6618550000000002E-2</v>
      </c>
      <c r="S914">
        <v>3.010284</v>
      </c>
      <c r="T914">
        <v>-3.8278699999999999E-2</v>
      </c>
      <c r="U914">
        <v>1.6479489999999999E-2</v>
      </c>
      <c r="V914">
        <v>3.3019090000000001E-2</v>
      </c>
      <c r="W914">
        <v>6.6845909999999994E-2</v>
      </c>
      <c r="X914">
        <v>0.99721680000000001</v>
      </c>
      <c r="Y914">
        <v>-1.916174E-2</v>
      </c>
      <c r="Z914">
        <v>2.959053E-4</v>
      </c>
      <c r="AA914">
        <v>0.99981640000000005</v>
      </c>
      <c r="AB914">
        <v>32</v>
      </c>
      <c r="AC914">
        <v>86.818899999999999</v>
      </c>
      <c r="AD914">
        <v>-1.10556641326199</v>
      </c>
      <c r="AE914">
        <v>0.47880000000003498</v>
      </c>
      <c r="AF914">
        <v>-1.66710454693932</v>
      </c>
      <c r="AG914">
        <v>-1.10556641326199</v>
      </c>
      <c r="AH914">
        <v>86.790134516282805</v>
      </c>
      <c r="AI914">
        <v>90.729681813945604</v>
      </c>
      <c r="AJ914">
        <v>91.100428177449402</v>
      </c>
      <c r="AK914">
        <v>86.813184275310505</v>
      </c>
      <c r="AL914">
        <v>86.167153389884206</v>
      </c>
      <c r="AM914">
        <v>88.103558249616896</v>
      </c>
      <c r="AN914">
        <v>0.99999999109519799</v>
      </c>
    </row>
    <row r="915" spans="1:40" x14ac:dyDescent="0.25">
      <c r="A915" t="str">
        <f>"20190312153907823"</f>
        <v>20190312153907823</v>
      </c>
      <c r="B915" t="str">
        <f>"1552376347816679"</f>
        <v>1552376347816679</v>
      </c>
      <c r="C915" t="s">
        <v>40</v>
      </c>
      <c r="D915">
        <v>4.3024269999999998</v>
      </c>
      <c r="E915">
        <v>0.48116560000000003</v>
      </c>
      <c r="F915" t="s">
        <v>42</v>
      </c>
      <c r="G915">
        <v>-237.02690000000001</v>
      </c>
      <c r="H915" s="1">
        <v>-1.4079750000000001E-6</v>
      </c>
      <c r="I915">
        <v>368.7697</v>
      </c>
      <c r="J915">
        <v>-318.98770000000002</v>
      </c>
      <c r="K915">
        <v>1.1049199999999999</v>
      </c>
      <c r="L915">
        <v>368.32089999999999</v>
      </c>
      <c r="M915">
        <v>0.99977669999999996</v>
      </c>
      <c r="N915">
        <v>0</v>
      </c>
      <c r="O915">
        <v>-1.386778E-2</v>
      </c>
      <c r="P915">
        <v>0.99757549999999995</v>
      </c>
      <c r="Q915">
        <v>5.1609769999999999E-2</v>
      </c>
      <c r="R915">
        <v>-4.6685480000000001E-2</v>
      </c>
      <c r="S915">
        <v>3.0102540000000002</v>
      </c>
      <c r="T915">
        <v>-4.052091E-2</v>
      </c>
      <c r="U915">
        <v>1.6357420000000001E-2</v>
      </c>
      <c r="V915">
        <v>3.2907470000000001E-2</v>
      </c>
      <c r="W915">
        <v>6.7486290000000004E-2</v>
      </c>
      <c r="X915">
        <v>0.99717739999999999</v>
      </c>
      <c r="Y915">
        <v>-1.929964E-2</v>
      </c>
      <c r="Z915">
        <v>3.1657380000000001E-4</v>
      </c>
      <c r="AA915">
        <v>0.99981370000000003</v>
      </c>
      <c r="AB915">
        <v>32</v>
      </c>
      <c r="AC915">
        <v>81.960800000000006</v>
      </c>
      <c r="AD915">
        <v>-1.104921407975</v>
      </c>
      <c r="AE915">
        <v>0.44880000000000497</v>
      </c>
      <c r="AF915">
        <v>-1.5852275948971399</v>
      </c>
      <c r="AG915">
        <v>-1.104921407975</v>
      </c>
      <c r="AH915">
        <v>81.931801971932302</v>
      </c>
      <c r="AI915">
        <v>90.772491881202001</v>
      </c>
      <c r="AJ915">
        <v>91.108428197927594</v>
      </c>
      <c r="AK915">
        <v>81.954584815087401</v>
      </c>
      <c r="AL915">
        <v>86.130379440872204</v>
      </c>
      <c r="AM915">
        <v>88.109889829979494</v>
      </c>
      <c r="AN915">
        <v>1.0000000339952599</v>
      </c>
    </row>
    <row r="916" spans="1:40" x14ac:dyDescent="0.25">
      <c r="A916" t="str">
        <f>"20190312153907835"</f>
        <v>20190312153907835</v>
      </c>
      <c r="B916" t="str">
        <f>"1552376347827417"</f>
        <v>1552376347827417</v>
      </c>
      <c r="C916" t="s">
        <v>40</v>
      </c>
      <c r="D916">
        <v>4.2896070000000002</v>
      </c>
      <c r="E916">
        <v>0.48112860000000002</v>
      </c>
      <c r="F916" t="s">
        <v>42</v>
      </c>
      <c r="G916">
        <v>-237.64940000000001</v>
      </c>
      <c r="H916" s="1">
        <v>-1.1393620000000001E-6</v>
      </c>
      <c r="I916">
        <v>368.77850000000001</v>
      </c>
      <c r="J916">
        <v>-318.80020000000002</v>
      </c>
      <c r="K916">
        <v>1.104166</v>
      </c>
      <c r="L916">
        <v>368.31810000000002</v>
      </c>
      <c r="M916">
        <v>0.99975139999999996</v>
      </c>
      <c r="N916">
        <v>0</v>
      </c>
      <c r="O916">
        <v>-1.4076089999999999E-2</v>
      </c>
      <c r="P916">
        <v>0.99762209999999996</v>
      </c>
      <c r="Q916">
        <v>5.0459709999999998E-2</v>
      </c>
      <c r="R916">
        <v>-4.6946139999999997E-2</v>
      </c>
      <c r="S916">
        <v>3.0101619999999998</v>
      </c>
      <c r="T916">
        <v>-4.089081E-2</v>
      </c>
      <c r="U916">
        <v>1.6937259999999999E-2</v>
      </c>
      <c r="V916">
        <v>3.2958469999999997E-2</v>
      </c>
      <c r="W916">
        <v>6.767658E-2</v>
      </c>
      <c r="X916">
        <v>0.99716280000000002</v>
      </c>
      <c r="Y916">
        <v>-1.97009E-2</v>
      </c>
      <c r="Z916">
        <v>3.2503239999999997E-4</v>
      </c>
      <c r="AA916">
        <v>0.99980590000000003</v>
      </c>
      <c r="AB916">
        <v>32</v>
      </c>
      <c r="AC916">
        <v>81.150800000000004</v>
      </c>
      <c r="AD916">
        <v>-1.1041671393619901</v>
      </c>
      <c r="AE916">
        <v>0.46039999999999198</v>
      </c>
      <c r="AF916">
        <v>-1.6025144797349899</v>
      </c>
      <c r="AG916">
        <v>-1.1041671393619901</v>
      </c>
      <c r="AH916">
        <v>81.121258391031603</v>
      </c>
      <c r="AI916">
        <v>90.779670747682502</v>
      </c>
      <c r="AJ916">
        <v>91.131705513955396</v>
      </c>
      <c r="AK916">
        <v>81.144598099158301</v>
      </c>
      <c r="AL916">
        <v>86.119451569829806</v>
      </c>
      <c r="AM916">
        <v>88.106934969928005</v>
      </c>
      <c r="AN916">
        <v>1.0000000149645301</v>
      </c>
    </row>
    <row r="917" spans="1:40" x14ac:dyDescent="0.25">
      <c r="A917" t="str">
        <f>"20190312153907846"</f>
        <v>20190312153907846</v>
      </c>
      <c r="B917" t="str">
        <f>"1552376347837175"</f>
        <v>1552376347837175</v>
      </c>
      <c r="C917" t="s">
        <v>40</v>
      </c>
      <c r="D917">
        <v>4.2653600000000003</v>
      </c>
      <c r="E917">
        <v>0.48122320000000002</v>
      </c>
      <c r="F917" t="s">
        <v>42</v>
      </c>
      <c r="G917">
        <v>-243.4675</v>
      </c>
      <c r="H917" s="1">
        <v>-3.2250309999999998E-6</v>
      </c>
      <c r="I917">
        <v>368.73360000000002</v>
      </c>
      <c r="J917">
        <v>-318.64350000000002</v>
      </c>
      <c r="K917">
        <v>1.1034389999999901</v>
      </c>
      <c r="L917">
        <v>368.31580000000002</v>
      </c>
      <c r="M917">
        <v>0.99973219999999996</v>
      </c>
      <c r="N917">
        <v>0</v>
      </c>
      <c r="O917">
        <v>-1.4272470000000001E-2</v>
      </c>
      <c r="P917">
        <v>0.99764439999999999</v>
      </c>
      <c r="Q917">
        <v>4.958866E-2</v>
      </c>
      <c r="R917">
        <v>-4.7405570000000001E-2</v>
      </c>
      <c r="S917">
        <v>3.0101619999999998</v>
      </c>
      <c r="T917">
        <v>-4.4120670000000001E-2</v>
      </c>
      <c r="U917">
        <v>1.6601560000000001E-2</v>
      </c>
      <c r="V917">
        <v>3.3220350000000003E-2</v>
      </c>
      <c r="W917">
        <v>6.7743670000000006E-2</v>
      </c>
      <c r="X917">
        <v>0.99714950000000002</v>
      </c>
      <c r="Y917">
        <v>-1.9785500000000001E-2</v>
      </c>
      <c r="Z917">
        <v>3.5420519999999997E-4</v>
      </c>
      <c r="AA917">
        <v>0.99980420000000003</v>
      </c>
      <c r="AB917">
        <v>32</v>
      </c>
      <c r="AC917">
        <v>75.176000000000002</v>
      </c>
      <c r="AD917">
        <v>-1.1034422250310001</v>
      </c>
      <c r="AE917">
        <v>0.41779999999999901</v>
      </c>
      <c r="AF917">
        <v>-1.49056156705599</v>
      </c>
      <c r="AG917">
        <v>-1.1034422250310001</v>
      </c>
      <c r="AH917">
        <v>75.146186704929093</v>
      </c>
      <c r="AI917">
        <v>90.841102001323904</v>
      </c>
      <c r="AJ917">
        <v>91.136340948073993</v>
      </c>
      <c r="AK917">
        <v>75.169067672954696</v>
      </c>
      <c r="AL917">
        <v>86.1155985436923</v>
      </c>
      <c r="AM917">
        <v>88.091878778737296</v>
      </c>
      <c r="AN917">
        <v>0.99999996091471999</v>
      </c>
    </row>
    <row r="918" spans="1:40" x14ac:dyDescent="0.25">
      <c r="A918" t="str">
        <f>"20190312153907863"</f>
        <v>20190312153907863</v>
      </c>
      <c r="B918" t="str">
        <f>"1552376347846935"</f>
        <v>1552376347846935</v>
      </c>
      <c r="C918" t="s">
        <v>40</v>
      </c>
      <c r="D918">
        <v>4.4318200000000001</v>
      </c>
      <c r="E918">
        <v>0.48143419999999998</v>
      </c>
      <c r="F918" t="s">
        <v>42</v>
      </c>
      <c r="G918">
        <v>-246.74709999999999</v>
      </c>
      <c r="H918" s="1">
        <v>-1.6880709999999901E-6</v>
      </c>
      <c r="I918">
        <v>368.65839999999997</v>
      </c>
      <c r="J918">
        <v>-318.4631</v>
      </c>
      <c r="K918">
        <v>1.1025590000000001</v>
      </c>
      <c r="L918">
        <v>368.31299999999999</v>
      </c>
      <c r="M918">
        <v>0.99970990000000004</v>
      </c>
      <c r="N918">
        <v>0</v>
      </c>
      <c r="O918">
        <v>-1.450369E-2</v>
      </c>
      <c r="P918">
        <v>0.99766790000000005</v>
      </c>
      <c r="Q918">
        <v>4.8566539999999998E-2</v>
      </c>
      <c r="R918">
        <v>-4.7957420000000001E-2</v>
      </c>
      <c r="S918">
        <v>3.0100709999999999</v>
      </c>
      <c r="T918">
        <v>-4.6197530000000001E-2</v>
      </c>
      <c r="U918">
        <v>1.434326E-2</v>
      </c>
      <c r="V918">
        <v>3.3539989999999999E-2</v>
      </c>
      <c r="W918">
        <v>6.7727010000000004E-2</v>
      </c>
      <c r="X918">
        <v>0.99714000000000003</v>
      </c>
      <c r="Y918">
        <v>-1.9266769999999999E-2</v>
      </c>
      <c r="Z918">
        <v>3.7046099999999999E-4</v>
      </c>
      <c r="AA918">
        <v>0.99981430000000004</v>
      </c>
      <c r="AB918">
        <v>32</v>
      </c>
      <c r="AC918">
        <v>71.715999999999994</v>
      </c>
      <c r="AD918">
        <v>-1.1025606880709999</v>
      </c>
      <c r="AE918">
        <v>0.34539999999992599</v>
      </c>
      <c r="AF918">
        <v>-1.3853752042069301</v>
      </c>
      <c r="AG918">
        <v>-1.1025606880709999</v>
      </c>
      <c r="AH918">
        <v>71.686499944230405</v>
      </c>
      <c r="AI918">
        <v>90.880992978793103</v>
      </c>
      <c r="AJ918">
        <v>91.107129974019301</v>
      </c>
      <c r="AK918">
        <v>71.708361986461995</v>
      </c>
      <c r="AL918">
        <v>86.116555554363202</v>
      </c>
      <c r="AM918">
        <v>88.073514621078701</v>
      </c>
      <c r="AN918">
        <v>1.00000002920636</v>
      </c>
    </row>
    <row r="919" spans="1:40" x14ac:dyDescent="0.25">
      <c r="A919" t="str">
        <f>"20190312153907876"</f>
        <v>20190312153907876</v>
      </c>
      <c r="B919" t="str">
        <f>"1552376347867431"</f>
        <v>1552376347867431</v>
      </c>
      <c r="C919" t="s">
        <v>40</v>
      </c>
      <c r="D919">
        <v>4.2169879999999997</v>
      </c>
      <c r="E919">
        <v>0.5186132</v>
      </c>
      <c r="F919" t="s">
        <v>42</v>
      </c>
      <c r="G919">
        <v>-252.1583</v>
      </c>
      <c r="H919" s="1">
        <v>-3.534885E-6</v>
      </c>
      <c r="I919">
        <v>368.55360000000002</v>
      </c>
      <c r="J919">
        <v>-318.21890000000002</v>
      </c>
      <c r="K919">
        <v>1.1012200000000001</v>
      </c>
      <c r="L919">
        <v>368.30919999999998</v>
      </c>
      <c r="M919">
        <v>0.99968330000000005</v>
      </c>
      <c r="N919">
        <v>0</v>
      </c>
      <c r="O919">
        <v>-1.4825720000000001E-2</v>
      </c>
      <c r="P919">
        <v>0.99769180000000002</v>
      </c>
      <c r="Q919">
        <v>4.7563090000000002E-2</v>
      </c>
      <c r="R919">
        <v>-4.8471090000000001E-2</v>
      </c>
      <c r="S919">
        <v>3.0099179999999999</v>
      </c>
      <c r="T919">
        <v>-5.005097E-2</v>
      </c>
      <c r="U919">
        <v>1.0925290000000001E-2</v>
      </c>
      <c r="V919">
        <v>3.3731160000000003E-2</v>
      </c>
      <c r="W919">
        <v>6.7830730000000006E-2</v>
      </c>
      <c r="X919">
        <v>0.99712650000000003</v>
      </c>
      <c r="Y919">
        <v>-1.845343E-2</v>
      </c>
      <c r="Z919">
        <v>3.9997710000000002E-4</v>
      </c>
      <c r="AA919">
        <v>0.99982959999999999</v>
      </c>
      <c r="AB919">
        <v>32</v>
      </c>
      <c r="AC919">
        <v>66.060599999999994</v>
      </c>
      <c r="AD919">
        <v>-1.1012235348849999</v>
      </c>
      <c r="AE919">
        <v>0.244400000000041</v>
      </c>
      <c r="AF919">
        <v>-1.22363161319063</v>
      </c>
      <c r="AG919">
        <v>-1.1012235348849999</v>
      </c>
      <c r="AH919">
        <v>66.031363407316604</v>
      </c>
      <c r="AI919">
        <v>90.955285204651503</v>
      </c>
      <c r="AJ919">
        <v>91.061630413259707</v>
      </c>
      <c r="AK919">
        <v>66.051880526050795</v>
      </c>
      <c r="AL919">
        <v>86.110599134196207</v>
      </c>
      <c r="AM919">
        <v>88.062516244473599</v>
      </c>
      <c r="AN919">
        <v>1.0000000280447601</v>
      </c>
    </row>
    <row r="920" spans="1:40" x14ac:dyDescent="0.25">
      <c r="A920" t="str">
        <f>"20190312153907888"</f>
        <v>20190312153907888</v>
      </c>
      <c r="B920" t="str">
        <f>"1552376347877192"</f>
        <v>1552376347877192</v>
      </c>
      <c r="C920" t="s">
        <v>40</v>
      </c>
      <c r="D920">
        <v>4.2081949999999999</v>
      </c>
      <c r="E920">
        <v>0.5244645</v>
      </c>
      <c r="F920" t="s">
        <v>41</v>
      </c>
      <c r="G920">
        <v>-317.48289999999997</v>
      </c>
      <c r="H920">
        <v>1.0273460000000001</v>
      </c>
      <c r="I920">
        <v>368.24099999999999</v>
      </c>
      <c r="J920">
        <v>-318.05029999999999</v>
      </c>
      <c r="K920">
        <v>1.100193</v>
      </c>
      <c r="L920">
        <v>368.30650000000003</v>
      </c>
      <c r="M920">
        <v>0.99966690000000002</v>
      </c>
      <c r="N920">
        <v>0</v>
      </c>
      <c r="O920">
        <v>-1.5034199999999999E-2</v>
      </c>
      <c r="P920">
        <v>0.99770550000000002</v>
      </c>
      <c r="Q920">
        <v>4.6815330000000002E-2</v>
      </c>
      <c r="R920">
        <v>-4.8905990000000003E-2</v>
      </c>
      <c r="S920">
        <v>3.0078740000000002</v>
      </c>
      <c r="T920">
        <v>-0.30202010000000001</v>
      </c>
      <c r="U920">
        <v>-0.27780149999999998</v>
      </c>
      <c r="V920">
        <v>3.3958910000000002E-2</v>
      </c>
      <c r="W920">
        <v>6.7713209999999996E-2</v>
      </c>
      <c r="X920">
        <v>0.99712679999999998</v>
      </c>
      <c r="Y920">
        <v>7.6675300000000002E-2</v>
      </c>
      <c r="Z920">
        <v>-2.329079E-3</v>
      </c>
      <c r="AA920">
        <v>0.99705339999999998</v>
      </c>
      <c r="AB920">
        <v>32</v>
      </c>
      <c r="AC920">
        <v>0.56740000000002</v>
      </c>
      <c r="AD920">
        <v>-7.2847000000000106E-2</v>
      </c>
      <c r="AE920">
        <v>-6.5500000000042705E-2</v>
      </c>
      <c r="AF920">
        <v>5.6048594049774102E-2</v>
      </c>
      <c r="AG920">
        <v>-7.2847000000000106E-2</v>
      </c>
      <c r="AH920">
        <v>0.55922415369553002</v>
      </c>
      <c r="AI920">
        <v>97.3852202404575</v>
      </c>
      <c r="AJ920">
        <v>84.2766074036318</v>
      </c>
      <c r="AK920">
        <v>0.56672725748850095</v>
      </c>
      <c r="AL920">
        <v>86.117348217244</v>
      </c>
      <c r="AM920">
        <v>88.049445172291598</v>
      </c>
      <c r="AN920">
        <v>1.00000007082756</v>
      </c>
    </row>
    <row r="921" spans="1:40" x14ac:dyDescent="0.25">
      <c r="A921" t="str">
        <f>"20190312153907902"</f>
        <v>20190312153907902</v>
      </c>
      <c r="B921" t="str">
        <f>"1552376347896712"</f>
        <v>1552376347896712</v>
      </c>
      <c r="C921" t="s">
        <v>40</v>
      </c>
      <c r="D921">
        <v>4.1634039999999999</v>
      </c>
      <c r="E921">
        <v>0.52960039999999997</v>
      </c>
      <c r="F921" t="s">
        <v>41</v>
      </c>
      <c r="G921">
        <v>-317.21519999999998</v>
      </c>
      <c r="H921">
        <v>0.99334370000000005</v>
      </c>
      <c r="I921">
        <v>368.21690000000001</v>
      </c>
      <c r="J921">
        <v>-317.8596</v>
      </c>
      <c r="K921">
        <v>1.0989880000000001</v>
      </c>
      <c r="L921">
        <v>368.30349999999999</v>
      </c>
      <c r="M921">
        <v>0.99964949999999997</v>
      </c>
      <c r="N921">
        <v>0</v>
      </c>
      <c r="O921">
        <v>-1.5262960000000001E-2</v>
      </c>
      <c r="P921">
        <v>0.99772070000000002</v>
      </c>
      <c r="Q921">
        <v>4.6232559999999999E-2</v>
      </c>
      <c r="R921">
        <v>-4.9150869999999999E-2</v>
      </c>
      <c r="S921">
        <v>3.009125</v>
      </c>
      <c r="T921">
        <v>-0.38496029999999998</v>
      </c>
      <c r="U921">
        <v>-0.32324219999999998</v>
      </c>
      <c r="V921">
        <v>3.3976600000000003E-2</v>
      </c>
      <c r="W921">
        <v>6.7789329999999995E-2</v>
      </c>
      <c r="X921">
        <v>0.99712100000000004</v>
      </c>
      <c r="Y921">
        <v>9.1004559999999998E-2</v>
      </c>
      <c r="Z921">
        <v>-3.841924E-3</v>
      </c>
      <c r="AA921">
        <v>0.99584309999999998</v>
      </c>
      <c r="AB921">
        <v>32</v>
      </c>
      <c r="AC921">
        <v>0.64440000000001796</v>
      </c>
      <c r="AD921">
        <v>-0.105644299999999</v>
      </c>
      <c r="AE921">
        <v>-8.6599999999975794E-2</v>
      </c>
      <c r="AF921">
        <v>7.4777998521626796E-2</v>
      </c>
      <c r="AG921">
        <v>-0.105644299999999</v>
      </c>
      <c r="AH921">
        <v>0.629040182675633</v>
      </c>
      <c r="AI921">
        <v>99.468138266434906</v>
      </c>
      <c r="AJ921">
        <v>83.220701699390602</v>
      </c>
      <c r="AK921">
        <v>0.64221804599838495</v>
      </c>
      <c r="AL921">
        <v>86.112976720291101</v>
      </c>
      <c r="AM921">
        <v>88.048418524610696</v>
      </c>
      <c r="AN921">
        <v>1.0000000456252001</v>
      </c>
    </row>
    <row r="922" spans="1:40" x14ac:dyDescent="0.25">
      <c r="A922" t="str">
        <f>"20190312153907915"</f>
        <v>20190312153907915</v>
      </c>
      <c r="B922" t="str">
        <f>"1552376347907447"</f>
        <v>1552376347907447</v>
      </c>
      <c r="C922" t="s">
        <v>40</v>
      </c>
      <c r="D922">
        <v>4.2034440000000002</v>
      </c>
      <c r="E922">
        <v>0.5308136</v>
      </c>
      <c r="F922" t="s">
        <v>41</v>
      </c>
      <c r="G922">
        <v>-316.9479</v>
      </c>
      <c r="H922">
        <v>0.95918150000000002</v>
      </c>
      <c r="I922">
        <v>368.19349999999997</v>
      </c>
      <c r="J922">
        <v>-317.66699999999997</v>
      </c>
      <c r="K922">
        <v>1.0976980000000001</v>
      </c>
      <c r="L922">
        <v>368.30029999999999</v>
      </c>
      <c r="M922">
        <v>0.99963340000000001</v>
      </c>
      <c r="N922">
        <v>0</v>
      </c>
      <c r="O922">
        <v>-1.5482539999999999E-2</v>
      </c>
      <c r="P922">
        <v>0.99772459999999996</v>
      </c>
      <c r="Q922">
        <v>4.579598E-2</v>
      </c>
      <c r="R922">
        <v>-4.9485790000000002E-2</v>
      </c>
      <c r="S922">
        <v>3.0104060000000001</v>
      </c>
      <c r="T922">
        <v>-0.46178380000000002</v>
      </c>
      <c r="U922">
        <v>-0.36218260000000002</v>
      </c>
      <c r="V922">
        <v>3.409413E-2</v>
      </c>
      <c r="W922">
        <v>6.7932519999999996E-2</v>
      </c>
      <c r="X922">
        <v>0.99710719999999997</v>
      </c>
      <c r="Y922">
        <v>0.1030498</v>
      </c>
      <c r="Z922">
        <v>-5.477226E-3</v>
      </c>
      <c r="AA922">
        <v>0.99466109999999996</v>
      </c>
      <c r="AB922">
        <v>32</v>
      </c>
      <c r="AC922">
        <v>0.71910000000002505</v>
      </c>
      <c r="AD922">
        <v>-0.13851649999999999</v>
      </c>
      <c r="AE922">
        <v>-0.106800000000021</v>
      </c>
      <c r="AF922">
        <v>9.2300129314414794E-2</v>
      </c>
      <c r="AG922">
        <v>-0.13851649999999999</v>
      </c>
      <c r="AH922">
        <v>0.69542144947986895</v>
      </c>
      <c r="AI922">
        <v>101.16948719830999</v>
      </c>
      <c r="AJ922">
        <v>82.439579769020398</v>
      </c>
      <c r="AK922">
        <v>0.71506442160157202</v>
      </c>
      <c r="AL922">
        <v>86.104753414210407</v>
      </c>
      <c r="AM922">
        <v>88.041645885636498</v>
      </c>
      <c r="AN922">
        <v>1.0000000026329201</v>
      </c>
    </row>
    <row r="923" spans="1:40" x14ac:dyDescent="0.25">
      <c r="A923" t="str">
        <f>"20190312153907933"</f>
        <v>20190312153907933</v>
      </c>
      <c r="B923" t="str">
        <f>"1552376347926967"</f>
        <v>1552376347926967</v>
      </c>
      <c r="C923" t="s">
        <v>40</v>
      </c>
      <c r="D923">
        <v>4.1797139999999997</v>
      </c>
      <c r="E923">
        <v>0.53210219999999997</v>
      </c>
      <c r="F923" t="s">
        <v>41</v>
      </c>
      <c r="G923">
        <v>-316.93680000000001</v>
      </c>
      <c r="H923">
        <v>0.98086150000000005</v>
      </c>
      <c r="I923">
        <v>368.2097</v>
      </c>
      <c r="J923">
        <v>-317.4178</v>
      </c>
      <c r="K923">
        <v>1.0959110000000001</v>
      </c>
      <c r="L923">
        <v>368.29610000000002</v>
      </c>
      <c r="M923">
        <v>0.99961670000000002</v>
      </c>
      <c r="N923">
        <v>0</v>
      </c>
      <c r="O923">
        <v>-1.5756740000000002E-2</v>
      </c>
      <c r="P923">
        <v>0.99772300000000003</v>
      </c>
      <c r="Q923">
        <v>4.5349479999999998E-2</v>
      </c>
      <c r="R923">
        <v>-4.9922370000000001E-2</v>
      </c>
      <c r="S923">
        <v>3.010529</v>
      </c>
      <c r="T923">
        <v>-0.4819272</v>
      </c>
      <c r="U923">
        <v>-0.37234499999999998</v>
      </c>
      <c r="V923">
        <v>3.4259520000000002E-2</v>
      </c>
      <c r="W923">
        <v>6.8033869999999996E-2</v>
      </c>
      <c r="X923">
        <v>0.99709460000000005</v>
      </c>
      <c r="Y923">
        <v>0.1059581</v>
      </c>
      <c r="Z923">
        <v>-5.8988599999999997E-3</v>
      </c>
      <c r="AA923">
        <v>0.99435309999999999</v>
      </c>
      <c r="AB923">
        <v>32</v>
      </c>
      <c r="AC923">
        <v>0.48099999999999399</v>
      </c>
      <c r="AD923">
        <v>-0.1150495</v>
      </c>
      <c r="AE923">
        <v>-8.6400000000025998E-2</v>
      </c>
      <c r="AF923">
        <v>7.4669901913387501E-2</v>
      </c>
      <c r="AG923">
        <v>-0.1150495</v>
      </c>
      <c r="AH923">
        <v>0.45697517712505198</v>
      </c>
      <c r="AI923">
        <v>103.953598407301</v>
      </c>
      <c r="AJ923">
        <v>80.719862072100995</v>
      </c>
      <c r="AK923">
        <v>0.47711455040742401</v>
      </c>
      <c r="AL923">
        <v>86.098932939755699</v>
      </c>
      <c r="AM923">
        <v>88.032128549168107</v>
      </c>
      <c r="AN923">
        <v>0.99999998176348304</v>
      </c>
    </row>
    <row r="924" spans="1:40" x14ac:dyDescent="0.25">
      <c r="A924" t="str">
        <f>"20190312153907955"</f>
        <v>20190312153907955</v>
      </c>
      <c r="B924" t="str">
        <f>"1552376347947462"</f>
        <v>1552376347947462</v>
      </c>
      <c r="C924" t="s">
        <v>40</v>
      </c>
      <c r="D924">
        <v>4.1153050000000002</v>
      </c>
      <c r="E924">
        <v>0.53305130000000001</v>
      </c>
      <c r="F924" t="s">
        <v>41</v>
      </c>
      <c r="G924">
        <v>-316.6583</v>
      </c>
      <c r="H924">
        <v>0.96954479999999998</v>
      </c>
      <c r="I924">
        <v>368.19929999999999</v>
      </c>
      <c r="J924">
        <v>-317.11500000000001</v>
      </c>
      <c r="K924">
        <v>1.093596</v>
      </c>
      <c r="L924">
        <v>368.29090000000002</v>
      </c>
      <c r="M924">
        <v>0.99960249999999995</v>
      </c>
      <c r="N924">
        <v>0</v>
      </c>
      <c r="O924">
        <v>-1.608805E-2</v>
      </c>
      <c r="P924">
        <v>0.99773250000000002</v>
      </c>
      <c r="Q924">
        <v>4.5013419999999998E-2</v>
      </c>
      <c r="R924">
        <v>-5.0037239999999997E-2</v>
      </c>
      <c r="S924">
        <v>3.0104060000000001</v>
      </c>
      <c r="T924">
        <v>-0.50096830000000003</v>
      </c>
      <c r="U924">
        <v>-0.38336179999999997</v>
      </c>
      <c r="V924">
        <v>3.4046369999999999E-2</v>
      </c>
      <c r="W924">
        <v>6.8080959999999996E-2</v>
      </c>
      <c r="X924">
        <v>0.9970987</v>
      </c>
      <c r="Y924">
        <v>0.10908760000000001</v>
      </c>
      <c r="Z924">
        <v>-6.330802E-3</v>
      </c>
      <c r="AA924">
        <v>0.99401200000000001</v>
      </c>
      <c r="AB924">
        <v>32</v>
      </c>
      <c r="AC924">
        <v>0.45670000000001199</v>
      </c>
      <c r="AD924">
        <v>-0.1240512</v>
      </c>
      <c r="AE924">
        <v>-9.1600000000028103E-2</v>
      </c>
      <c r="AF924">
        <v>7.86596651966468E-2</v>
      </c>
      <c r="AG924">
        <v>-0.1240512</v>
      </c>
      <c r="AH924">
        <v>0.427774197928941</v>
      </c>
      <c r="AI924">
        <v>105.918706784592</v>
      </c>
      <c r="AJ924">
        <v>79.580771258002599</v>
      </c>
      <c r="AK924">
        <v>0.45229062290084798</v>
      </c>
      <c r="AL924">
        <v>86.096228662896095</v>
      </c>
      <c r="AM924">
        <v>88.044370412483204</v>
      </c>
      <c r="AN924">
        <v>0.99999999498319403</v>
      </c>
    </row>
    <row r="925" spans="1:40" x14ac:dyDescent="0.25">
      <c r="A925" t="str">
        <f>"20190312153907977"</f>
        <v>20190312153907977</v>
      </c>
      <c r="B925" t="str">
        <f>"1552376347966984"</f>
        <v>1552376347966984</v>
      </c>
      <c r="C925" t="s">
        <v>40</v>
      </c>
      <c r="D925">
        <v>4.1053920000000002</v>
      </c>
      <c r="E925">
        <v>0.53373549999999903</v>
      </c>
      <c r="F925" t="s">
        <v>41</v>
      </c>
      <c r="G925">
        <v>-316.37549999999999</v>
      </c>
      <c r="H925">
        <v>0.96727810000000003</v>
      </c>
      <c r="I925">
        <v>368.19470000000001</v>
      </c>
      <c r="J925">
        <v>-316.80110000000002</v>
      </c>
      <c r="K925">
        <v>1.0910230000000001</v>
      </c>
      <c r="L925">
        <v>368.28550000000001</v>
      </c>
      <c r="M925">
        <v>0.99959569999999998</v>
      </c>
      <c r="N925">
        <v>0</v>
      </c>
      <c r="O925">
        <v>-1.6443240000000001E-2</v>
      </c>
      <c r="P925">
        <v>0.99775820000000004</v>
      </c>
      <c r="Q925">
        <v>4.4477950000000002E-2</v>
      </c>
      <c r="R925">
        <v>-5.0006910000000002E-2</v>
      </c>
      <c r="S925">
        <v>3.010437</v>
      </c>
      <c r="T925">
        <v>-0.51434950000000002</v>
      </c>
      <c r="U925">
        <v>-0.39089970000000002</v>
      </c>
      <c r="V925">
        <v>3.3662259999999999E-2</v>
      </c>
      <c r="W925">
        <v>6.7590949999999997E-2</v>
      </c>
      <c r="X925">
        <v>0.99714510000000001</v>
      </c>
      <c r="Y925">
        <v>0.1110908</v>
      </c>
      <c r="Z925">
        <v>-6.6057019999999998E-3</v>
      </c>
      <c r="AA925">
        <v>0.99378829999999996</v>
      </c>
      <c r="AB925">
        <v>32</v>
      </c>
      <c r="AC925">
        <v>0.42560000000003101</v>
      </c>
      <c r="AD925">
        <v>-0.12374489999999901</v>
      </c>
      <c r="AE925">
        <v>-9.0800000000001505E-2</v>
      </c>
      <c r="AF925">
        <v>7.7519550947863794E-2</v>
      </c>
      <c r="AG925">
        <v>-0.12374489999999901</v>
      </c>
      <c r="AH925">
        <v>0.395089881703791</v>
      </c>
      <c r="AI925">
        <v>107.084643635467</v>
      </c>
      <c r="AJ925">
        <v>78.899162430696805</v>
      </c>
      <c r="AK925">
        <v>0.421210274898279</v>
      </c>
      <c r="AL925">
        <v>86.124369076673901</v>
      </c>
      <c r="AM925">
        <v>88.066506823090194</v>
      </c>
      <c r="AN925">
        <v>1.00000001736211</v>
      </c>
    </row>
    <row r="926" spans="1:40" x14ac:dyDescent="0.25">
      <c r="A926" t="str">
        <f>"20190312153907990"</f>
        <v>20190312153907990</v>
      </c>
      <c r="B926" t="str">
        <f>"1552376347976743"</f>
        <v>1552376347976743</v>
      </c>
      <c r="C926" t="s">
        <v>40</v>
      </c>
      <c r="D926">
        <v>4.0782629999999997</v>
      </c>
      <c r="E926">
        <v>0.53406969999999898</v>
      </c>
      <c r="F926" t="s">
        <v>41</v>
      </c>
      <c r="G926">
        <v>-316.09190000000001</v>
      </c>
      <c r="H926">
        <v>0.96678459999999999</v>
      </c>
      <c r="I926">
        <v>368.19209999999998</v>
      </c>
      <c r="J926">
        <v>-316.61360000000002</v>
      </c>
      <c r="K926">
        <v>1.0894239999999999</v>
      </c>
      <c r="L926">
        <v>368.28210000000001</v>
      </c>
      <c r="M926">
        <v>0.99959489999999995</v>
      </c>
      <c r="N926">
        <v>0</v>
      </c>
      <c r="O926">
        <v>-1.6641610000000001E-2</v>
      </c>
      <c r="P926">
        <v>0.99776379999999998</v>
      </c>
      <c r="Q926">
        <v>4.4129309999999998E-2</v>
      </c>
      <c r="R926">
        <v>-5.020194E-2</v>
      </c>
      <c r="S926">
        <v>3.010437</v>
      </c>
      <c r="T926">
        <v>-0.52725089999999997</v>
      </c>
      <c r="U926">
        <v>-0.39593509999999998</v>
      </c>
      <c r="V926">
        <v>3.365949E-2</v>
      </c>
      <c r="W926">
        <v>6.7138030000000001E-2</v>
      </c>
      <c r="X926">
        <v>0.99717579999999995</v>
      </c>
      <c r="Y926">
        <v>0.1124431</v>
      </c>
      <c r="Z926">
        <v>-6.8509790000000001E-3</v>
      </c>
      <c r="AA926">
        <v>0.99363449999999998</v>
      </c>
      <c r="AB926">
        <v>32</v>
      </c>
      <c r="AC926">
        <v>0.52170000000000905</v>
      </c>
      <c r="AD926">
        <v>-0.122639399999999</v>
      </c>
      <c r="AE926">
        <v>-9.0000000000031805E-2</v>
      </c>
      <c r="AF926">
        <v>7.7162450814528896E-2</v>
      </c>
      <c r="AG926">
        <v>-0.122639399999999</v>
      </c>
      <c r="AH926">
        <v>0.49648267513799699</v>
      </c>
      <c r="AI926">
        <v>103.716894667554</v>
      </c>
      <c r="AJ926">
        <v>81.165868759265294</v>
      </c>
      <c r="AK926">
        <v>0.51719388333607197</v>
      </c>
      <c r="AL926">
        <v>86.150378597362902</v>
      </c>
      <c r="AM926">
        <v>88.066725281919204</v>
      </c>
      <c r="AN926">
        <v>1.00000002622249</v>
      </c>
    </row>
    <row r="927" spans="1:40" x14ac:dyDescent="0.25">
      <c r="A927" t="str">
        <f>"20190312153908010"</f>
        <v>20190312153908010</v>
      </c>
      <c r="B927" t="str">
        <f>"1552376347997239"</f>
        <v>1552376347997239</v>
      </c>
      <c r="C927" t="s">
        <v>40</v>
      </c>
      <c r="D927">
        <v>4.0596740000000002</v>
      </c>
      <c r="E927">
        <v>0.53483440000000004</v>
      </c>
      <c r="F927" t="s">
        <v>41</v>
      </c>
      <c r="G927">
        <v>-315.81799999999998</v>
      </c>
      <c r="H927">
        <v>0.94831049999999995</v>
      </c>
      <c r="I927">
        <v>368.1764</v>
      </c>
      <c r="J927">
        <v>-316.33150000000001</v>
      </c>
      <c r="K927">
        <v>1.0869949999999999</v>
      </c>
      <c r="L927">
        <v>368.27699999999999</v>
      </c>
      <c r="M927">
        <v>0.99959469999999995</v>
      </c>
      <c r="N927">
        <v>0</v>
      </c>
      <c r="O927">
        <v>-1.6946490000000002E-2</v>
      </c>
      <c r="P927">
        <v>0.99776330000000002</v>
      </c>
      <c r="Q927">
        <v>4.3963009999999997E-2</v>
      </c>
      <c r="R927">
        <v>-5.0359540000000001E-2</v>
      </c>
      <c r="S927">
        <v>3.0102540000000002</v>
      </c>
      <c r="T927">
        <v>-0.53400360000000002</v>
      </c>
      <c r="U927">
        <v>-0.39898679999999997</v>
      </c>
      <c r="V927">
        <v>3.3511270000000003E-2</v>
      </c>
      <c r="W927">
        <v>6.6761689999999999E-2</v>
      </c>
      <c r="X927">
        <v>0.99720600000000004</v>
      </c>
      <c r="Y927">
        <v>0.1130961</v>
      </c>
      <c r="Z927">
        <v>-6.9411949999999998E-3</v>
      </c>
      <c r="AA927">
        <v>0.99355979999999999</v>
      </c>
      <c r="AB927">
        <v>32</v>
      </c>
      <c r="AC927">
        <v>0.51350000000002105</v>
      </c>
      <c r="AD927">
        <v>-0.13868449999999999</v>
      </c>
      <c r="AE927">
        <v>-0.10059999999998499</v>
      </c>
      <c r="AF927">
        <v>8.5850628886472297E-2</v>
      </c>
      <c r="AG927">
        <v>-0.13868449999999999</v>
      </c>
      <c r="AH927">
        <v>0.48132087790387601</v>
      </c>
      <c r="AI927">
        <v>105.83632526566601</v>
      </c>
      <c r="AJ927">
        <v>79.886810297769102</v>
      </c>
      <c r="AK927">
        <v>0.50820616734413104</v>
      </c>
      <c r="AL927">
        <v>86.171989553397296</v>
      </c>
      <c r="AM927">
        <v>88.075290311573895</v>
      </c>
      <c r="AN927">
        <v>0.99999996745233399</v>
      </c>
    </row>
    <row r="928" spans="1:40" x14ac:dyDescent="0.25">
      <c r="A928" t="str">
        <f>"20190312153908022"</f>
        <v>20190312153908022</v>
      </c>
      <c r="B928" t="str">
        <f>"1552376348016759"</f>
        <v>1552376348016759</v>
      </c>
      <c r="C928" t="s">
        <v>40</v>
      </c>
      <c r="D928">
        <v>4.0313220000000003</v>
      </c>
      <c r="E928">
        <v>0.53560010000000002</v>
      </c>
      <c r="F928" t="s">
        <v>41</v>
      </c>
      <c r="G928">
        <v>-315.53789999999998</v>
      </c>
      <c r="H928">
        <v>0.94357009999999997</v>
      </c>
      <c r="I928">
        <v>368.17</v>
      </c>
      <c r="J928">
        <v>-316.15879999999999</v>
      </c>
      <c r="K928">
        <v>1.085504</v>
      </c>
      <c r="L928">
        <v>368.27390000000003</v>
      </c>
      <c r="M928">
        <v>0.99959520000000002</v>
      </c>
      <c r="N928">
        <v>0</v>
      </c>
      <c r="O928">
        <v>-1.714361E-2</v>
      </c>
      <c r="P928">
        <v>0.99777850000000001</v>
      </c>
      <c r="Q928">
        <v>4.3693540000000003E-2</v>
      </c>
      <c r="R928">
        <v>-5.0292410000000003E-2</v>
      </c>
      <c r="S928">
        <v>3.0102540000000002</v>
      </c>
      <c r="T928">
        <v>-0.54413120000000004</v>
      </c>
      <c r="U928">
        <v>-0.40515139999999999</v>
      </c>
      <c r="V928">
        <v>3.32451E-2</v>
      </c>
      <c r="W928">
        <v>6.6321130000000006E-2</v>
      </c>
      <c r="X928">
        <v>0.99724440000000003</v>
      </c>
      <c r="Y928">
        <v>0.1148193</v>
      </c>
      <c r="Z928">
        <v>-7.1885169999999898E-3</v>
      </c>
      <c r="AA928">
        <v>0.99336040000000003</v>
      </c>
      <c r="AB928">
        <v>32</v>
      </c>
      <c r="AC928">
        <v>0.620900000000006</v>
      </c>
      <c r="AD928">
        <v>-0.1419339</v>
      </c>
      <c r="AE928">
        <v>-0.10390000000001</v>
      </c>
      <c r="AF928">
        <v>8.8727344575629502E-2</v>
      </c>
      <c r="AG928">
        <v>-0.1419339</v>
      </c>
      <c r="AH928">
        <v>0.59247390140608303</v>
      </c>
      <c r="AI928">
        <v>103.328726827406</v>
      </c>
      <c r="AJ928">
        <v>81.482829574382905</v>
      </c>
      <c r="AK928">
        <v>0.61566476063844799</v>
      </c>
      <c r="AL928">
        <v>86.197288209386002</v>
      </c>
      <c r="AM928">
        <v>88.090639814023305</v>
      </c>
      <c r="AN928">
        <v>1.00000006114492</v>
      </c>
    </row>
    <row r="929" spans="1:40" x14ac:dyDescent="0.25">
      <c r="A929" t="str">
        <f>"20190312153908044"</f>
        <v>20190312153908044</v>
      </c>
      <c r="B929" t="str">
        <f>"1552376348037255"</f>
        <v>1552376348037255</v>
      </c>
      <c r="C929" t="s">
        <v>40</v>
      </c>
      <c r="D929">
        <v>3.9999799999999999</v>
      </c>
      <c r="E929">
        <v>0.54942500000000005</v>
      </c>
      <c r="F929" t="s">
        <v>41</v>
      </c>
      <c r="G929">
        <v>-315.267</v>
      </c>
      <c r="H929">
        <v>0.92174029999999996</v>
      </c>
      <c r="I929">
        <v>368.15199999999999</v>
      </c>
      <c r="J929">
        <v>-315.86250000000001</v>
      </c>
      <c r="K929">
        <v>1.0829599999999999</v>
      </c>
      <c r="L929">
        <v>368.26839999999999</v>
      </c>
      <c r="M929">
        <v>0.99959799999999999</v>
      </c>
      <c r="N929">
        <v>0</v>
      </c>
      <c r="O929">
        <v>-1.7505650000000001E-2</v>
      </c>
      <c r="P929">
        <v>0.9977433</v>
      </c>
      <c r="Q929">
        <v>4.3660640000000001E-2</v>
      </c>
      <c r="R929">
        <v>-5.1013790000000003E-2</v>
      </c>
      <c r="S929">
        <v>3.0101930000000001</v>
      </c>
      <c r="T929">
        <v>-0.55289390000000005</v>
      </c>
      <c r="U929">
        <v>-0.41049190000000002</v>
      </c>
      <c r="V929">
        <v>3.3601590000000001E-2</v>
      </c>
      <c r="W929">
        <v>6.5886719999999996E-2</v>
      </c>
      <c r="X929">
        <v>0.99726119999999996</v>
      </c>
      <c r="Y929">
        <v>0.1161278</v>
      </c>
      <c r="Z929">
        <v>-7.3547669999999999E-3</v>
      </c>
      <c r="AA929">
        <v>0.99320699999999995</v>
      </c>
      <c r="AB929">
        <v>31</v>
      </c>
      <c r="AC929">
        <v>0.59550000000001502</v>
      </c>
      <c r="AD929">
        <v>-0.16121969999999999</v>
      </c>
      <c r="AE929">
        <v>-0.11639999999999801</v>
      </c>
      <c r="AF929">
        <v>9.8968058094856301E-2</v>
      </c>
      <c r="AG929">
        <v>-0.16121969999999999</v>
      </c>
      <c r="AH929">
        <v>0.558049985276732</v>
      </c>
      <c r="AI929">
        <v>105.878910118376</v>
      </c>
      <c r="AJ929">
        <v>79.943372435058606</v>
      </c>
      <c r="AK929">
        <v>0.58924210156651002</v>
      </c>
      <c r="AL929">
        <v>86.222232448638195</v>
      </c>
      <c r="AM929">
        <v>88.070213468985997</v>
      </c>
      <c r="AN929">
        <v>1.00000001387416</v>
      </c>
    </row>
    <row r="930" spans="1:40" x14ac:dyDescent="0.25">
      <c r="A930" t="str">
        <f>"20190312153908056"</f>
        <v>20190312153908056</v>
      </c>
      <c r="B930" t="str">
        <f>"1552376348047017"</f>
        <v>1552376348047017</v>
      </c>
      <c r="C930" t="s">
        <v>40</v>
      </c>
      <c r="D930">
        <v>3.9941689999999999</v>
      </c>
      <c r="E930">
        <v>0.5488769</v>
      </c>
      <c r="F930" t="s">
        <v>41</v>
      </c>
      <c r="G930">
        <v>-315.00760000000002</v>
      </c>
      <c r="H930">
        <v>0.87405499999999903</v>
      </c>
      <c r="I930">
        <v>368.12169999999998</v>
      </c>
      <c r="J930">
        <v>-315.67970000000003</v>
      </c>
      <c r="K930">
        <v>1.0814060000000001</v>
      </c>
      <c r="L930">
        <v>368.26499999999999</v>
      </c>
      <c r="M930">
        <v>0.99960079999999996</v>
      </c>
      <c r="N930">
        <v>0</v>
      </c>
      <c r="O930">
        <v>-1.7738210000000001E-2</v>
      </c>
      <c r="P930">
        <v>0.99772499999999997</v>
      </c>
      <c r="Q930">
        <v>4.3562289999999997E-2</v>
      </c>
      <c r="R930">
        <v>-5.1450990000000002E-2</v>
      </c>
      <c r="S930">
        <v>3.0126040000000001</v>
      </c>
      <c r="T930">
        <v>-0.73618969999999995</v>
      </c>
      <c r="U930">
        <v>-0.51647949999999998</v>
      </c>
      <c r="V930">
        <v>3.38042E-2</v>
      </c>
      <c r="W930">
        <v>6.5478480000000006E-2</v>
      </c>
      <c r="X930">
        <v>0.99728130000000004</v>
      </c>
      <c r="Y930">
        <v>0.1477455</v>
      </c>
      <c r="Z930">
        <v>-1.3425629999999999E-2</v>
      </c>
      <c r="AA930">
        <v>0.98893430000000004</v>
      </c>
      <c r="AB930">
        <v>31</v>
      </c>
      <c r="AC930">
        <v>0.67210000000000003</v>
      </c>
      <c r="AD930">
        <v>-0.20735099999999901</v>
      </c>
      <c r="AE930">
        <v>-0.14330000000001</v>
      </c>
      <c r="AF930">
        <v>0.12039208622589399</v>
      </c>
      <c r="AG930">
        <v>-0.20735099999999901</v>
      </c>
      <c r="AH930">
        <v>0.61825052643480705</v>
      </c>
      <c r="AI930">
        <v>108.22154092224</v>
      </c>
      <c r="AJ930">
        <v>78.980680525434593</v>
      </c>
      <c r="AK930">
        <v>0.66311568000141596</v>
      </c>
      <c r="AL930">
        <v>86.245673720335404</v>
      </c>
      <c r="AM930">
        <v>88.058625268694598</v>
      </c>
      <c r="AN930">
        <v>1.0000000733052099</v>
      </c>
    </row>
    <row r="931" spans="1:40" x14ac:dyDescent="0.25">
      <c r="A931" t="str">
        <f>"20190312153908069"</f>
        <v>20190312153908069</v>
      </c>
      <c r="B931" t="str">
        <f>"1552376348056775"</f>
        <v>1552376348056775</v>
      </c>
      <c r="C931" t="s">
        <v>40</v>
      </c>
      <c r="D931">
        <v>3.9899930000000001</v>
      </c>
      <c r="E931">
        <v>0.54891650000000003</v>
      </c>
      <c r="F931" t="s">
        <v>41</v>
      </c>
      <c r="G931">
        <v>-314.9896</v>
      </c>
      <c r="H931">
        <v>0.9134603</v>
      </c>
      <c r="I931">
        <v>368.1472</v>
      </c>
      <c r="J931">
        <v>-315.50490000000002</v>
      </c>
      <c r="K931">
        <v>1.0799639999999999</v>
      </c>
      <c r="L931">
        <v>368.26170000000002</v>
      </c>
      <c r="M931">
        <v>0.99960490000000002</v>
      </c>
      <c r="N931">
        <v>0</v>
      </c>
      <c r="O931">
        <v>-1.7958660000000001E-2</v>
      </c>
      <c r="P931">
        <v>0.99768690000000004</v>
      </c>
      <c r="Q931">
        <v>4.3889570000000003E-2</v>
      </c>
      <c r="R931">
        <v>-5.1908959999999997E-2</v>
      </c>
      <c r="S931">
        <v>3.0123600000000001</v>
      </c>
      <c r="T931">
        <v>-0.73318450000000002</v>
      </c>
      <c r="U931">
        <v>-0.51376339999999998</v>
      </c>
      <c r="V931">
        <v>3.4041389999999998E-2</v>
      </c>
      <c r="W931">
        <v>6.5439949999999997E-2</v>
      </c>
      <c r="X931">
        <v>0.99727569999999999</v>
      </c>
      <c r="Y931">
        <v>0.14673800000000001</v>
      </c>
      <c r="Z931">
        <v>-1.3201879999999999E-2</v>
      </c>
      <c r="AA931">
        <v>0.9890873</v>
      </c>
      <c r="AB931">
        <v>31</v>
      </c>
      <c r="AC931">
        <v>0.51530000000002396</v>
      </c>
      <c r="AD931">
        <v>-0.16650369999999901</v>
      </c>
      <c r="AE931">
        <v>-0.11450000000002</v>
      </c>
      <c r="AF931">
        <v>9.5703341680271697E-2</v>
      </c>
      <c r="AG931">
        <v>-0.16650369999999901</v>
      </c>
      <c r="AH931">
        <v>0.47046508219776101</v>
      </c>
      <c r="AI931">
        <v>109.127060921108</v>
      </c>
      <c r="AJ931">
        <v>78.501620990903405</v>
      </c>
      <c r="AK931">
        <v>0.508153525314749</v>
      </c>
      <c r="AL931">
        <v>86.247885843219905</v>
      </c>
      <c r="AM931">
        <v>88.045003014473195</v>
      </c>
      <c r="AN931">
        <v>1.0000000125498101</v>
      </c>
    </row>
    <row r="932" spans="1:40" x14ac:dyDescent="0.25">
      <c r="A932" t="str">
        <f>"20190312153908082"</f>
        <v>20190312153908082</v>
      </c>
      <c r="B932" t="str">
        <f>"1552376348077271"</f>
        <v>1552376348077271</v>
      </c>
      <c r="C932" t="s">
        <v>40</v>
      </c>
      <c r="D932">
        <v>3.9571679999999998</v>
      </c>
      <c r="E932">
        <v>0.54874979999999995</v>
      </c>
      <c r="F932" t="s">
        <v>41</v>
      </c>
      <c r="G932">
        <v>-314.7199</v>
      </c>
      <c r="H932">
        <v>0.88942289999999902</v>
      </c>
      <c r="I932">
        <v>368.12720000000002</v>
      </c>
      <c r="J932">
        <v>-315.32679999999999</v>
      </c>
      <c r="K932">
        <v>1.07853</v>
      </c>
      <c r="L932">
        <v>368.25819999999999</v>
      </c>
      <c r="M932">
        <v>0.99960930000000003</v>
      </c>
      <c r="N932">
        <v>0</v>
      </c>
      <c r="O932">
        <v>-1.817906E-2</v>
      </c>
      <c r="P932">
        <v>0.99767620000000001</v>
      </c>
      <c r="Q932">
        <v>4.3870859999999998E-2</v>
      </c>
      <c r="R932">
        <v>-5.2129849999999998E-2</v>
      </c>
      <c r="S932">
        <v>3.0123289999999998</v>
      </c>
      <c r="T932">
        <v>-0.73113109999999903</v>
      </c>
      <c r="U932">
        <v>-0.51528929999999995</v>
      </c>
      <c r="V932">
        <v>3.4040769999999998E-2</v>
      </c>
      <c r="W932">
        <v>6.5029299999999998E-2</v>
      </c>
      <c r="X932">
        <v>0.99730260000000004</v>
      </c>
      <c r="Y932">
        <v>0.1470272</v>
      </c>
      <c r="Z932">
        <v>-1.3147590000000001E-2</v>
      </c>
      <c r="AA932">
        <v>0.98904510000000001</v>
      </c>
      <c r="AB932">
        <v>31</v>
      </c>
      <c r="AC932">
        <v>0.606899999999996</v>
      </c>
      <c r="AD932">
        <v>-0.1891071</v>
      </c>
      <c r="AE932">
        <v>-0.130999999999971</v>
      </c>
      <c r="AF932">
        <v>0.109760575172912</v>
      </c>
      <c r="AG932">
        <v>-0.1891071</v>
      </c>
      <c r="AH932">
        <v>0.55746594985046705</v>
      </c>
      <c r="AI932">
        <v>108.409308786361</v>
      </c>
      <c r="AJ932">
        <v>78.861396701807806</v>
      </c>
      <c r="AK932">
        <v>0.59881312976201695</v>
      </c>
      <c r="AL932">
        <v>86.271464643627198</v>
      </c>
      <c r="AM932">
        <v>88.045091283225304</v>
      </c>
      <c r="AN932">
        <v>1.0000000299237199</v>
      </c>
    </row>
    <row r="933" spans="1:40" x14ac:dyDescent="0.25">
      <c r="A933" t="str">
        <f>"20190312153908096"</f>
        <v>20190312153908096</v>
      </c>
      <c r="B933" t="str">
        <f>"1552376348087031"</f>
        <v>1552376348087031</v>
      </c>
      <c r="C933" t="s">
        <v>40</v>
      </c>
      <c r="D933">
        <v>3.9620359999999999</v>
      </c>
      <c r="E933">
        <v>0.54893559999999997</v>
      </c>
      <c r="F933" t="s">
        <v>41</v>
      </c>
      <c r="G933">
        <v>-314.44929999999999</v>
      </c>
      <c r="H933">
        <v>0.86549719999999997</v>
      </c>
      <c r="I933">
        <v>368.108</v>
      </c>
      <c r="J933">
        <v>-315.11529999999999</v>
      </c>
      <c r="K933">
        <v>1.0768789999999999</v>
      </c>
      <c r="L933">
        <v>368.25420000000003</v>
      </c>
      <c r="M933">
        <v>0.99961529999999998</v>
      </c>
      <c r="N933">
        <v>0</v>
      </c>
      <c r="O933">
        <v>-1.8431800000000002E-2</v>
      </c>
      <c r="P933">
        <v>0.99760950000000004</v>
      </c>
      <c r="Q933">
        <v>4.461387E-2</v>
      </c>
      <c r="R933">
        <v>-5.2774889999999998E-2</v>
      </c>
      <c r="S933">
        <v>3.0122680000000002</v>
      </c>
      <c r="T933">
        <v>-0.73135689999999998</v>
      </c>
      <c r="U933">
        <v>-0.5148315</v>
      </c>
      <c r="V933">
        <v>3.4433909999999998E-2</v>
      </c>
      <c r="W933">
        <v>6.5271499999999996E-2</v>
      </c>
      <c r="X933">
        <v>0.99727330000000003</v>
      </c>
      <c r="Y933">
        <v>0.14665010000000001</v>
      </c>
      <c r="Z933">
        <v>-1.304715E-2</v>
      </c>
      <c r="AA933">
        <v>0.98910240000000005</v>
      </c>
      <c r="AB933">
        <v>31</v>
      </c>
      <c r="AC933">
        <v>0.66599999999999604</v>
      </c>
      <c r="AD933">
        <v>-0.21138180000000001</v>
      </c>
      <c r="AE933">
        <v>-0.14620000000002101</v>
      </c>
      <c r="AF933">
        <v>0.122157004984062</v>
      </c>
      <c r="AG933">
        <v>-0.21138180000000001</v>
      </c>
      <c r="AH933">
        <v>0.60996159561927399</v>
      </c>
      <c r="AI933">
        <v>108.767861017491</v>
      </c>
      <c r="AJ933">
        <v>78.675193773315797</v>
      </c>
      <c r="AK933">
        <v>0.65700665701979599</v>
      </c>
      <c r="AL933">
        <v>86.257558132112493</v>
      </c>
      <c r="AM933">
        <v>88.022473632167802</v>
      </c>
      <c r="AN933">
        <v>1.00000004888151</v>
      </c>
    </row>
    <row r="934" spans="1:40" x14ac:dyDescent="0.25">
      <c r="A934" t="str">
        <f>"20190312153908111"</f>
        <v>20190312153908111</v>
      </c>
      <c r="B934" t="str">
        <f>"1552376348106552"</f>
        <v>1552376348106552</v>
      </c>
      <c r="C934" t="s">
        <v>40</v>
      </c>
      <c r="D934">
        <v>3.9665050000000002</v>
      </c>
      <c r="E934">
        <v>0.54963109999999904</v>
      </c>
      <c r="F934" t="s">
        <v>41</v>
      </c>
      <c r="G934">
        <v>-314.42899999999997</v>
      </c>
      <c r="H934">
        <v>0.91050989999999998</v>
      </c>
      <c r="I934">
        <v>368.13580000000002</v>
      </c>
      <c r="J934">
        <v>-314.92</v>
      </c>
      <c r="K934">
        <v>1.0754619999999999</v>
      </c>
      <c r="L934">
        <v>368.25040000000001</v>
      </c>
      <c r="M934">
        <v>0.99962110000000004</v>
      </c>
      <c r="N934">
        <v>0</v>
      </c>
      <c r="O934">
        <v>-1.8652269999999999E-2</v>
      </c>
      <c r="P934">
        <v>0.99758239999999998</v>
      </c>
      <c r="Q934">
        <v>4.4688989999999998E-2</v>
      </c>
      <c r="R934">
        <v>-5.3225469999999997E-2</v>
      </c>
      <c r="S934">
        <v>3.0124209999999998</v>
      </c>
      <c r="T934">
        <v>-0.73025200000000001</v>
      </c>
      <c r="U934">
        <v>-0.51821899999999999</v>
      </c>
      <c r="V934">
        <v>3.4663699999999902E-2</v>
      </c>
      <c r="W934">
        <v>6.4867049999999996E-2</v>
      </c>
      <c r="X934">
        <v>0.9972917</v>
      </c>
      <c r="Y934">
        <v>0.14749870000000001</v>
      </c>
      <c r="Z934">
        <v>-1.307463E-2</v>
      </c>
      <c r="AA934">
        <v>0.98897579999999996</v>
      </c>
      <c r="AB934">
        <v>31</v>
      </c>
      <c r="AC934">
        <v>0.490999999999985</v>
      </c>
      <c r="AD934">
        <v>-0.16495209999999999</v>
      </c>
      <c r="AE934">
        <v>-0.114599999999995</v>
      </c>
      <c r="AF934">
        <v>9.5227472315068298E-2</v>
      </c>
      <c r="AG934">
        <v>-0.16495209999999999</v>
      </c>
      <c r="AH934">
        <v>0.44538213885837302</v>
      </c>
      <c r="AI934">
        <v>109.90911676827</v>
      </c>
      <c r="AJ934">
        <v>77.931266236059798</v>
      </c>
      <c r="AK934">
        <v>0.48439933566427001</v>
      </c>
      <c r="AL934">
        <v>86.280780518041595</v>
      </c>
      <c r="AM934">
        <v>88.009324161663201</v>
      </c>
      <c r="AN934">
        <v>1.0000000205811399</v>
      </c>
    </row>
    <row r="935" spans="1:40" x14ac:dyDescent="0.25">
      <c r="A935" t="str">
        <f>"20190312153908124"</f>
        <v>20190312153908124</v>
      </c>
      <c r="B935" t="str">
        <f>"1552376348117288"</f>
        <v>1552376348117288</v>
      </c>
      <c r="C935" t="s">
        <v>40</v>
      </c>
      <c r="D935">
        <v>3.9837500000000001</v>
      </c>
      <c r="E935">
        <v>0.54985600000000001</v>
      </c>
      <c r="F935" t="s">
        <v>41</v>
      </c>
      <c r="G935">
        <v>-314.15789999999998</v>
      </c>
      <c r="H935">
        <v>0.88987729999999998</v>
      </c>
      <c r="I935">
        <v>368.11709999999999</v>
      </c>
      <c r="J935">
        <v>-314.74360000000001</v>
      </c>
      <c r="K935">
        <v>1.0742370000000001</v>
      </c>
      <c r="L935">
        <v>368.24689999999998</v>
      </c>
      <c r="M935">
        <v>0.99962600000000001</v>
      </c>
      <c r="N935">
        <v>0</v>
      </c>
      <c r="O935">
        <v>-1.8846740000000001E-2</v>
      </c>
      <c r="P935">
        <v>0.9975522</v>
      </c>
      <c r="Q935">
        <v>4.5000419999999999E-2</v>
      </c>
      <c r="R935">
        <v>-5.3524589999999997E-2</v>
      </c>
      <c r="S935">
        <v>3.012146</v>
      </c>
      <c r="T935">
        <v>-0.73355380000000003</v>
      </c>
      <c r="U935">
        <v>-0.52490230000000004</v>
      </c>
      <c r="V935">
        <v>3.4768449999999999E-2</v>
      </c>
      <c r="W935">
        <v>6.4746200000000004E-2</v>
      </c>
      <c r="X935">
        <v>0.99729590000000001</v>
      </c>
      <c r="Y935">
        <v>0.149372799999999</v>
      </c>
      <c r="Z935">
        <v>-1.3307950000000001E-2</v>
      </c>
      <c r="AA935">
        <v>0.9886914</v>
      </c>
      <c r="AB935">
        <v>31</v>
      </c>
      <c r="AC935">
        <v>0.58570000000003097</v>
      </c>
      <c r="AD935">
        <v>-0.18435969999999999</v>
      </c>
      <c r="AE935">
        <v>-0.12979999999998801</v>
      </c>
      <c r="AF935">
        <v>0.10849033121049199</v>
      </c>
      <c r="AG935">
        <v>-0.18435969999999999</v>
      </c>
      <c r="AH935">
        <v>0.53729975699181098</v>
      </c>
      <c r="AI935">
        <v>108.58958354367</v>
      </c>
      <c r="AJ935">
        <v>78.5844564748881</v>
      </c>
      <c r="AK935">
        <v>0.57831624550388605</v>
      </c>
      <c r="AL935">
        <v>86.287719274229701</v>
      </c>
      <c r="AM935">
        <v>88.003321815733102</v>
      </c>
      <c r="AN935">
        <v>1.00000001384332</v>
      </c>
    </row>
    <row r="936" spans="1:40" x14ac:dyDescent="0.25">
      <c r="A936" t="str">
        <f>"20190312153908136"</f>
        <v>20190312153908136</v>
      </c>
      <c r="B936" t="str">
        <f>"1552376348127048"</f>
        <v>1552376348127048</v>
      </c>
      <c r="C936" t="s">
        <v>40</v>
      </c>
      <c r="D936">
        <v>3.9384359999999998</v>
      </c>
      <c r="E936">
        <v>0.54991669999999904</v>
      </c>
      <c r="F936" t="s">
        <v>41</v>
      </c>
      <c r="G936">
        <v>-313.8879</v>
      </c>
      <c r="H936">
        <v>0.86546409999999996</v>
      </c>
      <c r="I936">
        <v>368.09699999999998</v>
      </c>
      <c r="J936">
        <v>-314.55160000000001</v>
      </c>
      <c r="K936">
        <v>1.072967</v>
      </c>
      <c r="L936">
        <v>368.24299999999999</v>
      </c>
      <c r="M936">
        <v>0.99963139999999995</v>
      </c>
      <c r="N936">
        <v>0</v>
      </c>
      <c r="O936">
        <v>-1.9053319999999999E-2</v>
      </c>
      <c r="P936">
        <v>0.99751440000000002</v>
      </c>
      <c r="Q936">
        <v>4.5204149999999998E-2</v>
      </c>
      <c r="R936">
        <v>-5.4052650000000001E-2</v>
      </c>
      <c r="S936">
        <v>3.012238</v>
      </c>
      <c r="T936">
        <v>-0.73499440000000005</v>
      </c>
      <c r="U936">
        <v>-0.52737429999999996</v>
      </c>
      <c r="V936">
        <v>3.5089740000000001E-2</v>
      </c>
      <c r="W936">
        <v>6.4481629999999998E-2</v>
      </c>
      <c r="X936">
        <v>0.99730180000000002</v>
      </c>
      <c r="Y936">
        <v>0.1499277</v>
      </c>
      <c r="Z936">
        <v>-1.3349069999999999E-2</v>
      </c>
      <c r="AA936">
        <v>0.98860689999999996</v>
      </c>
      <c r="AB936">
        <v>31</v>
      </c>
      <c r="AC936">
        <v>0.66370000000000495</v>
      </c>
      <c r="AD936">
        <v>-0.20750289999999999</v>
      </c>
      <c r="AE936">
        <v>-0.14600000000007099</v>
      </c>
      <c r="AF936">
        <v>0.121954900216332</v>
      </c>
      <c r="AG936">
        <v>-0.20750289999999999</v>
      </c>
      <c r="AH936">
        <v>0.609531749813229</v>
      </c>
      <c r="AI936">
        <v>108.459730139881</v>
      </c>
      <c r="AJ936">
        <v>78.685679412895794</v>
      </c>
      <c r="AK936">
        <v>0.65533152314348597</v>
      </c>
      <c r="AL936">
        <v>86.302909804120603</v>
      </c>
      <c r="AM936">
        <v>87.984897867498205</v>
      </c>
      <c r="AN936">
        <v>1.0000000253719801</v>
      </c>
    </row>
    <row r="937" spans="1:40" x14ac:dyDescent="0.25">
      <c r="A937" t="str">
        <f>"20190312153908155"</f>
        <v>20190312153908155</v>
      </c>
      <c r="B937" t="str">
        <f>"1552376348146568"</f>
        <v>1552376348146568</v>
      </c>
      <c r="C937" t="s">
        <v>40</v>
      </c>
      <c r="D937">
        <v>3.951759</v>
      </c>
      <c r="E937">
        <v>0.54995360000000004</v>
      </c>
      <c r="F937" t="s">
        <v>41</v>
      </c>
      <c r="G937">
        <v>-313.86930000000001</v>
      </c>
      <c r="H937">
        <v>0.90666780000000002</v>
      </c>
      <c r="I937">
        <v>368.12299999999999</v>
      </c>
      <c r="J937">
        <v>-314.30009999999999</v>
      </c>
      <c r="K937">
        <v>1.0714570000000001</v>
      </c>
      <c r="L937">
        <v>368.23790000000002</v>
      </c>
      <c r="M937">
        <v>0.99963760000000002</v>
      </c>
      <c r="N937">
        <v>0</v>
      </c>
      <c r="O937">
        <v>-1.931662E-2</v>
      </c>
      <c r="P937">
        <v>0.99748859999999995</v>
      </c>
      <c r="Q937">
        <v>4.539762E-2</v>
      </c>
      <c r="R937">
        <v>-5.4368880000000001E-2</v>
      </c>
      <c r="S937">
        <v>3.012054</v>
      </c>
      <c r="T937">
        <v>-0.7342263</v>
      </c>
      <c r="U937">
        <v>-0.52929689999999996</v>
      </c>
      <c r="V937">
        <v>3.5141430000000001E-2</v>
      </c>
      <c r="W937">
        <v>6.4083319999999999E-2</v>
      </c>
      <c r="X937">
        <v>0.99732560000000003</v>
      </c>
      <c r="Y937">
        <v>0.15029489999999901</v>
      </c>
      <c r="Z937">
        <v>-1.3316690000000001E-2</v>
      </c>
      <c r="AA937">
        <v>0.98855159999999997</v>
      </c>
      <c r="AB937">
        <v>31</v>
      </c>
      <c r="AC937">
        <v>0.43079999999997598</v>
      </c>
      <c r="AD937">
        <v>-0.164789199999999</v>
      </c>
      <c r="AE937">
        <v>-0.11489999999997701</v>
      </c>
      <c r="AF937">
        <v>9.3749051122191299E-2</v>
      </c>
      <c r="AG937">
        <v>-0.164789199999999</v>
      </c>
      <c r="AH937">
        <v>0.38090635495769298</v>
      </c>
      <c r="AI937">
        <v>112.786665518361</v>
      </c>
      <c r="AJ937">
        <v>76.173123736164598</v>
      </c>
      <c r="AK937">
        <v>0.42548092350904199</v>
      </c>
      <c r="AL937">
        <v>86.325778388550901</v>
      </c>
      <c r="AM937">
        <v>87.981980032141394</v>
      </c>
      <c r="AN937">
        <v>0.99999997221001302</v>
      </c>
    </row>
    <row r="938" spans="1:40" x14ac:dyDescent="0.25">
      <c r="A938" t="str">
        <f>"20190312153908169"</f>
        <v>20190312153908169</v>
      </c>
      <c r="B938" t="str">
        <f>"1552376348157303"</f>
        <v>1552376348157303</v>
      </c>
      <c r="C938" t="s">
        <v>40</v>
      </c>
      <c r="D938">
        <v>3.9601380000000002</v>
      </c>
      <c r="E938">
        <v>0.54996630000000002</v>
      </c>
      <c r="F938" t="s">
        <v>41</v>
      </c>
      <c r="G938">
        <v>-313.59230000000002</v>
      </c>
      <c r="H938">
        <v>0.89919869999999902</v>
      </c>
      <c r="I938">
        <v>368.11290000000002</v>
      </c>
      <c r="J938">
        <v>-314.11439999999999</v>
      </c>
      <c r="K938">
        <v>1.0704469999999999</v>
      </c>
      <c r="L938">
        <v>368.23410000000001</v>
      </c>
      <c r="M938">
        <v>0.99964149999999996</v>
      </c>
      <c r="N938">
        <v>0</v>
      </c>
      <c r="O938">
        <v>-1.950646E-2</v>
      </c>
      <c r="P938">
        <v>0.99746599999999996</v>
      </c>
      <c r="Q938">
        <v>4.5533270000000001E-2</v>
      </c>
      <c r="R938">
        <v>-5.4667489999999999E-2</v>
      </c>
      <c r="S938">
        <v>3.0119319999999998</v>
      </c>
      <c r="T938">
        <v>-0.73311269999999995</v>
      </c>
      <c r="U938">
        <v>-0.53094479999999999</v>
      </c>
      <c r="V938">
        <v>3.5249160000000002E-2</v>
      </c>
      <c r="W938">
        <v>6.38021E-2</v>
      </c>
      <c r="X938">
        <v>0.9973398</v>
      </c>
      <c r="Y938">
        <v>0.15064549999999999</v>
      </c>
      <c r="Z938">
        <v>-1.3293589999999999E-2</v>
      </c>
      <c r="AA938">
        <v>0.9884984</v>
      </c>
      <c r="AB938">
        <v>31</v>
      </c>
      <c r="AC938">
        <v>0.52209999999996604</v>
      </c>
      <c r="AD938">
        <v>-0.17124829999999999</v>
      </c>
      <c r="AE938">
        <v>-0.121199999999987</v>
      </c>
      <c r="AF938">
        <v>0.100710170898035</v>
      </c>
      <c r="AG938">
        <v>-0.17124829999999999</v>
      </c>
      <c r="AH938">
        <v>0.47579496867363402</v>
      </c>
      <c r="AI938">
        <v>109.398124934471</v>
      </c>
      <c r="AJ938">
        <v>78.048764822757306</v>
      </c>
      <c r="AK938">
        <v>0.51560582908879704</v>
      </c>
      <c r="AL938">
        <v>86.341924045821301</v>
      </c>
      <c r="AM938">
        <v>87.975827500225805</v>
      </c>
      <c r="AN938">
        <v>0.99999994395457603</v>
      </c>
    </row>
    <row r="939" spans="1:40" x14ac:dyDescent="0.25">
      <c r="A939" t="str">
        <f>"20190312153908181"</f>
        <v>20190312153908181</v>
      </c>
      <c r="B939" t="str">
        <f>"1552376348176823"</f>
        <v>1552376348176823</v>
      </c>
      <c r="C939" t="s">
        <v>40</v>
      </c>
      <c r="D939">
        <v>3.9801829999999998</v>
      </c>
      <c r="E939">
        <v>0.54995169999999904</v>
      </c>
      <c r="F939" t="s">
        <v>41</v>
      </c>
      <c r="G939">
        <v>-313.3218</v>
      </c>
      <c r="H939">
        <v>0.87776540000000003</v>
      </c>
      <c r="I939">
        <v>368.09410000000003</v>
      </c>
      <c r="J939">
        <v>-313.93939999999998</v>
      </c>
      <c r="K939">
        <v>1.069542</v>
      </c>
      <c r="L939">
        <v>368.23050000000001</v>
      </c>
      <c r="M939">
        <v>0.99964509999999995</v>
      </c>
      <c r="N939">
        <v>0</v>
      </c>
      <c r="O939">
        <v>-1.9683369999999999E-2</v>
      </c>
      <c r="P939">
        <v>0.99743910000000002</v>
      </c>
      <c r="Q939">
        <v>4.5794870000000001E-2</v>
      </c>
      <c r="R939">
        <v>-5.4940610000000001E-2</v>
      </c>
      <c r="S939">
        <v>3.0119020000000001</v>
      </c>
      <c r="T939">
        <v>-0.73213450000000002</v>
      </c>
      <c r="U939">
        <v>-0.53170779999999995</v>
      </c>
      <c r="V939">
        <v>3.5344449999999999E-2</v>
      </c>
      <c r="W939">
        <v>6.3681699999999994E-2</v>
      </c>
      <c r="X939">
        <v>0.99734420000000001</v>
      </c>
      <c r="Y939">
        <v>0.150728</v>
      </c>
      <c r="Z939">
        <v>-1.3243990000000001E-2</v>
      </c>
      <c r="AA939">
        <v>0.98848659999999999</v>
      </c>
      <c r="AB939">
        <v>31</v>
      </c>
      <c r="AC939">
        <v>0.61759999999998105</v>
      </c>
      <c r="AD939">
        <v>-0.19177659999999999</v>
      </c>
      <c r="AE939">
        <v>-0.13639999999998001</v>
      </c>
      <c r="AF939">
        <v>0.113756636146367</v>
      </c>
      <c r="AG939">
        <v>-0.19177659999999999</v>
      </c>
      <c r="AH939">
        <v>0.56794958656598704</v>
      </c>
      <c r="AI939">
        <v>108.31913423399</v>
      </c>
      <c r="AJ939">
        <v>78.673896423092899</v>
      </c>
      <c r="AK939">
        <v>0.61015208715153302</v>
      </c>
      <c r="AL939">
        <v>86.348836797442701</v>
      </c>
      <c r="AM939">
        <v>87.970369017496395</v>
      </c>
      <c r="AN939">
        <v>1.00000002116716</v>
      </c>
    </row>
    <row r="940" spans="1:40" x14ac:dyDescent="0.25">
      <c r="A940" t="str">
        <f>"20190312153908194"</f>
        <v>20190312153908194</v>
      </c>
      <c r="B940" t="str">
        <f>"1552376348186583"</f>
        <v>1552376348186583</v>
      </c>
      <c r="C940" t="s">
        <v>40</v>
      </c>
      <c r="D940">
        <v>3.9722550000000001</v>
      </c>
      <c r="E940">
        <v>0.55431779999999997</v>
      </c>
      <c r="F940" t="s">
        <v>41</v>
      </c>
      <c r="G940">
        <v>-313.05130000000003</v>
      </c>
      <c r="H940">
        <v>0.85391550000000005</v>
      </c>
      <c r="I940">
        <v>368.07319999999999</v>
      </c>
      <c r="J940">
        <v>-313.75020000000001</v>
      </c>
      <c r="K940">
        <v>1.0686439999999999</v>
      </c>
      <c r="L940">
        <v>368.22660000000002</v>
      </c>
      <c r="M940">
        <v>0.99964830000000005</v>
      </c>
      <c r="N940">
        <v>0</v>
      </c>
      <c r="O940">
        <v>-1.9870860000000001E-2</v>
      </c>
      <c r="P940">
        <v>0.99741690000000005</v>
      </c>
      <c r="Q940">
        <v>4.5977530000000003E-2</v>
      </c>
      <c r="R940">
        <v>-5.5189219999999997E-2</v>
      </c>
      <c r="S940">
        <v>3.0119319999999998</v>
      </c>
      <c r="T940">
        <v>-0.73128959999999998</v>
      </c>
      <c r="U940">
        <v>-0.53250120000000001</v>
      </c>
      <c r="V940">
        <v>3.5404600000000001E-2</v>
      </c>
      <c r="W940">
        <v>6.3471849999999996E-2</v>
      </c>
      <c r="X940">
        <v>0.9973554</v>
      </c>
      <c r="Y940">
        <v>0.15080539999999901</v>
      </c>
      <c r="Z940">
        <v>-1.3193440000000001E-2</v>
      </c>
      <c r="AA940">
        <v>0.9884754</v>
      </c>
      <c r="AB940">
        <v>31</v>
      </c>
      <c r="AC940">
        <v>0.69889999999997998</v>
      </c>
      <c r="AD940">
        <v>-0.21472849999999999</v>
      </c>
      <c r="AE940">
        <v>-0.15340000000003301</v>
      </c>
      <c r="AF940">
        <v>0.12795648979760699</v>
      </c>
      <c r="AG940">
        <v>-0.21472849999999999</v>
      </c>
      <c r="AH940">
        <v>0.64382952445796304</v>
      </c>
      <c r="AI940">
        <v>108.11394523891801</v>
      </c>
      <c r="AJ940">
        <v>78.7593453921681</v>
      </c>
      <c r="AK940">
        <v>0.69065016365548004</v>
      </c>
      <c r="AL940">
        <v>86.360884531542595</v>
      </c>
      <c r="AM940">
        <v>87.966940652618504</v>
      </c>
      <c r="AN940">
        <v>0.99999997767637006</v>
      </c>
    </row>
    <row r="941" spans="1:40" x14ac:dyDescent="0.25">
      <c r="A941" t="str">
        <f>"20190312153908211"</f>
        <v>20190312153908211</v>
      </c>
      <c r="B941" t="str">
        <f>"1552376348207080"</f>
        <v>1552376348207080</v>
      </c>
      <c r="C941" t="s">
        <v>40</v>
      </c>
      <c r="D941">
        <v>3.9404270000000001</v>
      </c>
      <c r="E941">
        <v>0.55403359999999902</v>
      </c>
      <c r="F941" t="s">
        <v>41</v>
      </c>
      <c r="G941">
        <v>-313.03570000000002</v>
      </c>
      <c r="H941">
        <v>0.88968340000000001</v>
      </c>
      <c r="I941">
        <v>368.09160000000003</v>
      </c>
      <c r="J941">
        <v>-313.51859999999999</v>
      </c>
      <c r="K941">
        <v>1.06765</v>
      </c>
      <c r="L941">
        <v>368.22179999999997</v>
      </c>
      <c r="M941">
        <v>0.99965179999999998</v>
      </c>
      <c r="N941">
        <v>0</v>
      </c>
      <c r="O941">
        <v>-2.0092599999999999E-2</v>
      </c>
      <c r="P941">
        <v>0.99740899999999999</v>
      </c>
      <c r="Q941">
        <v>4.5638919999999999E-2</v>
      </c>
      <c r="R941">
        <v>-5.5610510000000002E-2</v>
      </c>
      <c r="S941">
        <v>3.011139</v>
      </c>
      <c r="T941">
        <v>-0.75427979999999994</v>
      </c>
      <c r="U941">
        <v>-0.56765750000000004</v>
      </c>
      <c r="V941">
        <v>3.5602429999999997E-2</v>
      </c>
      <c r="W941">
        <v>6.2683299999999997E-2</v>
      </c>
      <c r="X941">
        <v>0.99739829999999996</v>
      </c>
      <c r="Y941">
        <v>0.16126079999999901</v>
      </c>
      <c r="Z941">
        <v>-1.481096E-2</v>
      </c>
      <c r="AA941">
        <v>0.98680069999999998</v>
      </c>
      <c r="AB941">
        <v>31</v>
      </c>
      <c r="AC941">
        <v>0.48289999999997202</v>
      </c>
      <c r="AD941">
        <v>-0.177966599999999</v>
      </c>
      <c r="AE941">
        <v>-0.130199999999945</v>
      </c>
      <c r="AF941">
        <v>0.10693053203023099</v>
      </c>
      <c r="AG941">
        <v>-0.177966599999999</v>
      </c>
      <c r="AH941">
        <v>0.43086484904972699</v>
      </c>
      <c r="AI941">
        <v>111.845058754351</v>
      </c>
      <c r="AJ941">
        <v>76.062131455191604</v>
      </c>
      <c r="AK941">
        <v>0.478278964143806</v>
      </c>
      <c r="AL941">
        <v>86.406155528207194</v>
      </c>
      <c r="AM941">
        <v>87.9556780156516</v>
      </c>
      <c r="AN941">
        <v>1.0000000489818399</v>
      </c>
    </row>
    <row r="942" spans="1:40" x14ac:dyDescent="0.25">
      <c r="A942" t="str">
        <f>"20190312153908233"</f>
        <v>20190312153908233</v>
      </c>
      <c r="B942" t="str">
        <f>"1552376348226599"</f>
        <v>1552376348226599</v>
      </c>
      <c r="C942" t="s">
        <v>40</v>
      </c>
      <c r="D942">
        <v>3.9582609999999998</v>
      </c>
      <c r="E942">
        <v>0.55421599999999904</v>
      </c>
      <c r="F942" t="s">
        <v>41</v>
      </c>
      <c r="G942">
        <v>-312.76100000000002</v>
      </c>
      <c r="H942">
        <v>0.87743130000000003</v>
      </c>
      <c r="I942">
        <v>368.07900000000001</v>
      </c>
      <c r="J942">
        <v>-313.20729999999998</v>
      </c>
      <c r="K942">
        <v>1.066457</v>
      </c>
      <c r="L942">
        <v>368.21519999999998</v>
      </c>
      <c r="M942">
        <v>0.99965550000000003</v>
      </c>
      <c r="N942">
        <v>0</v>
      </c>
      <c r="O942">
        <v>-2.0378540000000001E-2</v>
      </c>
      <c r="P942">
        <v>0.99738899999999997</v>
      </c>
      <c r="Q942">
        <v>4.6003460000000003E-2</v>
      </c>
      <c r="R942">
        <v>-5.5668899999999903E-2</v>
      </c>
      <c r="S942">
        <v>3.0108030000000001</v>
      </c>
      <c r="T942">
        <v>-0.7560095</v>
      </c>
      <c r="U942">
        <v>-0.56677250000000001</v>
      </c>
      <c r="V942">
        <v>3.5373590000000003E-2</v>
      </c>
      <c r="W942">
        <v>6.2487229999999998E-2</v>
      </c>
      <c r="X942">
        <v>0.99741869999999999</v>
      </c>
      <c r="Y942">
        <v>0.16072330000000001</v>
      </c>
      <c r="Z942">
        <v>-1.4709979999999999E-2</v>
      </c>
      <c r="AA942">
        <v>0.98688989999999999</v>
      </c>
      <c r="AB942">
        <v>31</v>
      </c>
      <c r="AC942">
        <v>0.44630000000000702</v>
      </c>
      <c r="AD942">
        <v>-0.18902569999999999</v>
      </c>
      <c r="AE942">
        <v>-0.13619999999997301</v>
      </c>
      <c r="AF942">
        <v>0.10916179760388001</v>
      </c>
      <c r="AG942">
        <v>-0.18902569999999999</v>
      </c>
      <c r="AH942">
        <v>0.385690461761932</v>
      </c>
      <c r="AI942">
        <v>115.247293766515</v>
      </c>
      <c r="AJ942">
        <v>74.196919429588704</v>
      </c>
      <c r="AK942">
        <v>0.44317507331835898</v>
      </c>
      <c r="AL942">
        <v>86.417411415732104</v>
      </c>
      <c r="AM942">
        <v>87.968848670688303</v>
      </c>
      <c r="AN942">
        <v>1.0000000039461201</v>
      </c>
    </row>
    <row r="943" spans="1:40" x14ac:dyDescent="0.25">
      <c r="A943" t="str">
        <f>"20190312153908256"</f>
        <v>20190312153908256</v>
      </c>
      <c r="B943" t="str">
        <f>"1552376348247096"</f>
        <v>1552376348247096</v>
      </c>
      <c r="C943" t="s">
        <v>40</v>
      </c>
      <c r="D943">
        <v>3.8935230000000001</v>
      </c>
      <c r="E943">
        <v>0.55425909999999901</v>
      </c>
      <c r="F943" t="s">
        <v>41</v>
      </c>
      <c r="G943">
        <v>-312.47800000000001</v>
      </c>
      <c r="H943">
        <v>0.88303659999999995</v>
      </c>
      <c r="I943">
        <v>368.0772</v>
      </c>
      <c r="J943">
        <v>-312.89359999999999</v>
      </c>
      <c r="K943">
        <v>1.065415</v>
      </c>
      <c r="L943">
        <v>368.20850000000002</v>
      </c>
      <c r="M943">
        <v>0.99965820000000005</v>
      </c>
      <c r="N943">
        <v>0</v>
      </c>
      <c r="O943">
        <v>-2.065293E-2</v>
      </c>
      <c r="P943">
        <v>0.99739949999999999</v>
      </c>
      <c r="Q943">
        <v>4.5903390000000002E-2</v>
      </c>
      <c r="R943">
        <v>-5.5565879999999998E-2</v>
      </c>
      <c r="S943">
        <v>3.0110169999999998</v>
      </c>
      <c r="T943">
        <v>-0.75740249999999998</v>
      </c>
      <c r="U943">
        <v>-0.56854249999999995</v>
      </c>
      <c r="V943">
        <v>3.4993820000000002E-2</v>
      </c>
      <c r="W943">
        <v>6.1878049999999997E-2</v>
      </c>
      <c r="X943">
        <v>0.99747010000000003</v>
      </c>
      <c r="Y943">
        <v>0.1609865</v>
      </c>
      <c r="Z943">
        <v>-1.469956E-2</v>
      </c>
      <c r="AA943">
        <v>0.98684720000000004</v>
      </c>
      <c r="AB943">
        <v>31</v>
      </c>
      <c r="AC943">
        <v>0.41559999999998298</v>
      </c>
      <c r="AD943">
        <v>-0.1823784</v>
      </c>
      <c r="AE943">
        <v>-0.13130000000000999</v>
      </c>
      <c r="AF943">
        <v>0.104406334317881</v>
      </c>
      <c r="AG943">
        <v>-0.1823784</v>
      </c>
      <c r="AH943">
        <v>0.35590556259721001</v>
      </c>
      <c r="AI943">
        <v>116.18398232760001</v>
      </c>
      <c r="AJ943">
        <v>73.650736098557701</v>
      </c>
      <c r="AK943">
        <v>0.41331747231383098</v>
      </c>
      <c r="AL943">
        <v>86.452382629820605</v>
      </c>
      <c r="AM943">
        <v>87.990740547858806</v>
      </c>
      <c r="AN943">
        <v>1.000000030452</v>
      </c>
    </row>
    <row r="944" spans="1:40" x14ac:dyDescent="0.25">
      <c r="A944" t="str">
        <f>"20190312153908277"</f>
        <v>20190312153908277</v>
      </c>
      <c r="B944" t="str">
        <f>"1552376348266739"</f>
        <v>1552376348266739</v>
      </c>
      <c r="C944" t="s">
        <v>40</v>
      </c>
      <c r="D944">
        <v>3.9485890000000001</v>
      </c>
      <c r="E944">
        <v>0.54937329999999995</v>
      </c>
      <c r="F944" t="s">
        <v>41</v>
      </c>
      <c r="G944">
        <v>-312.19479999999999</v>
      </c>
      <c r="H944">
        <v>0.88945949999999996</v>
      </c>
      <c r="I944">
        <v>368.07650000000001</v>
      </c>
      <c r="J944">
        <v>-312.59010000000001</v>
      </c>
      <c r="K944">
        <v>1.0645530000000001</v>
      </c>
      <c r="L944">
        <v>368.202</v>
      </c>
      <c r="M944">
        <v>0.99965979999999999</v>
      </c>
      <c r="N944">
        <v>0</v>
      </c>
      <c r="O944">
        <v>-2.0906399999999999E-2</v>
      </c>
      <c r="P944">
        <v>0.9974461</v>
      </c>
      <c r="Q944">
        <v>4.5438859999999998E-2</v>
      </c>
      <c r="R944">
        <v>-5.5106019999999999E-2</v>
      </c>
      <c r="S944">
        <v>3.0110169999999998</v>
      </c>
      <c r="T944">
        <v>-0.75823999999999903</v>
      </c>
      <c r="U944">
        <v>-0.568878199999999</v>
      </c>
      <c r="V944">
        <v>3.4278030000000001E-2</v>
      </c>
      <c r="W944">
        <v>6.0978060000000001E-2</v>
      </c>
      <c r="X944">
        <v>0.99755039999999995</v>
      </c>
      <c r="Y944">
        <v>0.16084560000000001</v>
      </c>
      <c r="Z944">
        <v>-1.463565E-2</v>
      </c>
      <c r="AA944">
        <v>0.9868711</v>
      </c>
      <c r="AB944">
        <v>31</v>
      </c>
      <c r="AC944">
        <v>0.39530000000002002</v>
      </c>
      <c r="AD944">
        <v>-0.17509350000000001</v>
      </c>
      <c r="AE944">
        <v>-0.12549999999998801</v>
      </c>
      <c r="AF944">
        <v>9.9477413965237599E-2</v>
      </c>
      <c r="AG944">
        <v>-0.17509350000000001</v>
      </c>
      <c r="AH944">
        <v>0.33765708202772499</v>
      </c>
      <c r="AI944">
        <v>116.446512895759</v>
      </c>
      <c r="AJ944">
        <v>73.584458625371298</v>
      </c>
      <c r="AK944">
        <v>0.39314856565290801</v>
      </c>
      <c r="AL944">
        <v>86.504045905710896</v>
      </c>
      <c r="AM944">
        <v>88.031965105083998</v>
      </c>
      <c r="AN944">
        <v>1.0000000538411</v>
      </c>
    </row>
    <row r="945" spans="1:40" x14ac:dyDescent="0.25">
      <c r="A945" t="str">
        <f>"20190312153908299"</f>
        <v>20190312153908299</v>
      </c>
      <c r="B945" t="str">
        <f>"1552376348287236"</f>
        <v>1552376348287236</v>
      </c>
      <c r="C945" t="s">
        <v>40</v>
      </c>
      <c r="D945">
        <v>3.959362</v>
      </c>
      <c r="E945">
        <v>0.54998519999999995</v>
      </c>
      <c r="F945" t="s">
        <v>41</v>
      </c>
      <c r="G945">
        <v>-311.65460000000002</v>
      </c>
      <c r="H945">
        <v>0.8417867</v>
      </c>
      <c r="I945">
        <v>368.03730000000002</v>
      </c>
      <c r="J945">
        <v>-312.27940000000001</v>
      </c>
      <c r="K945">
        <v>1.063814</v>
      </c>
      <c r="L945">
        <v>368.1952</v>
      </c>
      <c r="M945">
        <v>0.99966069999999996</v>
      </c>
      <c r="N945">
        <v>0</v>
      </c>
      <c r="O945">
        <v>-2.1154510000000001E-2</v>
      </c>
      <c r="P945">
        <v>0.99744460000000001</v>
      </c>
      <c r="Q945">
        <v>4.5530080000000001E-2</v>
      </c>
      <c r="R945">
        <v>-5.5059089999999998E-2</v>
      </c>
      <c r="S945">
        <v>3.011047</v>
      </c>
      <c r="T945">
        <v>-0.71704950000000001</v>
      </c>
      <c r="U945">
        <v>-0.53002930000000004</v>
      </c>
      <c r="V945">
        <v>3.3981879999999999E-2</v>
      </c>
      <c r="W945">
        <v>6.068059E-2</v>
      </c>
      <c r="X945">
        <v>0.99757859999999998</v>
      </c>
      <c r="Y945">
        <v>0.14902099999999999</v>
      </c>
      <c r="Z945">
        <v>-1.244114E-2</v>
      </c>
      <c r="AA945">
        <v>0.98875579999999996</v>
      </c>
      <c r="AB945">
        <v>31</v>
      </c>
      <c r="AC945">
        <v>0.62479999999999303</v>
      </c>
      <c r="AD945">
        <v>-0.22202730000000001</v>
      </c>
      <c r="AE945">
        <v>-0.157899999999983</v>
      </c>
      <c r="AF945">
        <v>0.129298349670772</v>
      </c>
      <c r="AG945">
        <v>-0.22202730000000001</v>
      </c>
      <c r="AH945">
        <v>0.56136766874508504</v>
      </c>
      <c r="AI945">
        <v>111.07766448854601</v>
      </c>
      <c r="AJ945">
        <v>77.029421171446998</v>
      </c>
      <c r="AK945">
        <v>0.61737172326335699</v>
      </c>
      <c r="AL945">
        <v>86.521121053024999</v>
      </c>
      <c r="AM945">
        <v>88.049010139596604</v>
      </c>
      <c r="AN945">
        <v>0.99999998267452095</v>
      </c>
    </row>
    <row r="946" spans="1:40" x14ac:dyDescent="0.25">
      <c r="A946" t="str">
        <f>"20190312153908323"</f>
        <v>20190312153908323</v>
      </c>
      <c r="B946" t="str">
        <f>"1552376348316515"</f>
        <v>1552376348316515</v>
      </c>
      <c r="C946" t="s">
        <v>40</v>
      </c>
      <c r="D946">
        <v>3.96733</v>
      </c>
      <c r="E946">
        <v>0.55394739999999998</v>
      </c>
      <c r="F946" t="s">
        <v>41</v>
      </c>
      <c r="G946">
        <v>-311.37220000000002</v>
      </c>
      <c r="H946">
        <v>0.84712520000000002</v>
      </c>
      <c r="I946">
        <v>368.03379999999999</v>
      </c>
      <c r="J946">
        <v>-311.9563</v>
      </c>
      <c r="K946">
        <v>1.0631679999999999</v>
      </c>
      <c r="L946">
        <v>368.18810000000002</v>
      </c>
      <c r="M946">
        <v>0.99966069999999996</v>
      </c>
      <c r="N946">
        <v>0</v>
      </c>
      <c r="O946">
        <v>-2.1402890000000001E-2</v>
      </c>
      <c r="P946">
        <v>0.99741109999999999</v>
      </c>
      <c r="Q946">
        <v>4.5966420000000001E-2</v>
      </c>
      <c r="R946">
        <v>-5.5304989999999998E-2</v>
      </c>
      <c r="S946">
        <v>3.0110169999999998</v>
      </c>
      <c r="T946">
        <v>-0.71924129999999997</v>
      </c>
      <c r="U946">
        <v>-0.5346069</v>
      </c>
      <c r="V946">
        <v>3.3978689999999999E-2</v>
      </c>
      <c r="W946">
        <v>6.0762919999999998E-2</v>
      </c>
      <c r="X946">
        <v>0.99757370000000001</v>
      </c>
      <c r="Y946">
        <v>0.15018989999999999</v>
      </c>
      <c r="Z946">
        <v>-1.255538E-2</v>
      </c>
      <c r="AA946">
        <v>0.98857740000000005</v>
      </c>
      <c r="AB946">
        <v>31</v>
      </c>
      <c r="AC946">
        <v>0.58409999999997797</v>
      </c>
      <c r="AD946">
        <v>-0.21604280000000001</v>
      </c>
      <c r="AE946">
        <v>-0.15430000000003399</v>
      </c>
      <c r="AF946">
        <v>0.12568855368351001</v>
      </c>
      <c r="AG946">
        <v>-0.21604280000000001</v>
      </c>
      <c r="AH946">
        <v>0.52068307593523599</v>
      </c>
      <c r="AI946">
        <v>111.966045695234</v>
      </c>
      <c r="AJ946">
        <v>76.428896818899204</v>
      </c>
      <c r="AK946">
        <v>0.57756642001095504</v>
      </c>
      <c r="AL946">
        <v>86.516395180317701</v>
      </c>
      <c r="AM946">
        <v>88.049183569641002</v>
      </c>
      <c r="AN946">
        <v>0.99999998537636603</v>
      </c>
    </row>
    <row r="947" spans="1:40" x14ac:dyDescent="0.25">
      <c r="A947" t="str">
        <f>"20190312153908345"</f>
        <v>20190312153908345</v>
      </c>
      <c r="B947" t="str">
        <f>"1552376348337011"</f>
        <v>1552376348337011</v>
      </c>
      <c r="C947" t="s">
        <v>40</v>
      </c>
      <c r="D947">
        <v>3.9819300000000002</v>
      </c>
      <c r="E947">
        <v>0.55373109999999903</v>
      </c>
      <c r="F947" t="s">
        <v>41</v>
      </c>
      <c r="G947">
        <v>-311.0926</v>
      </c>
      <c r="H947">
        <v>0.84569879999999997</v>
      </c>
      <c r="I947">
        <v>368.0256</v>
      </c>
      <c r="J947">
        <v>-311.64229999999998</v>
      </c>
      <c r="K947">
        <v>1.0626359999999999</v>
      </c>
      <c r="L947">
        <v>368.18110000000001</v>
      </c>
      <c r="M947">
        <v>0.99966010000000005</v>
      </c>
      <c r="N947">
        <v>0</v>
      </c>
      <c r="O947">
        <v>-2.1636030000000001E-2</v>
      </c>
      <c r="P947">
        <v>0.99737330000000002</v>
      </c>
      <c r="Q947">
        <v>4.6182069999999999E-2</v>
      </c>
      <c r="R947">
        <v>-5.5801000000000003E-2</v>
      </c>
      <c r="S947">
        <v>3.0113829999999999</v>
      </c>
      <c r="T947">
        <v>-0.75820790000000005</v>
      </c>
      <c r="U947">
        <v>-0.56613159999999996</v>
      </c>
      <c r="V947">
        <v>3.4241430000000003E-2</v>
      </c>
      <c r="W947">
        <v>6.067964E-2</v>
      </c>
      <c r="X947">
        <v>0.99756979999999995</v>
      </c>
      <c r="Y947">
        <v>0.15930369999999999</v>
      </c>
      <c r="Z947">
        <v>-1.426586E-2</v>
      </c>
      <c r="AA947">
        <v>0.98712650000000002</v>
      </c>
      <c r="AB947">
        <v>31</v>
      </c>
      <c r="AC947">
        <v>0.54969999999997299</v>
      </c>
      <c r="AD947">
        <v>-0.2169372</v>
      </c>
      <c r="AE947">
        <v>-0.15550000000001701</v>
      </c>
      <c r="AF947">
        <v>0.12547476620217399</v>
      </c>
      <c r="AG947">
        <v>-0.2169372</v>
      </c>
      <c r="AH947">
        <v>0.48324860043262102</v>
      </c>
      <c r="AI947">
        <v>113.485260617603</v>
      </c>
      <c r="AJ947">
        <v>75.444650551517498</v>
      </c>
      <c r="AK947">
        <v>0.54436649007577298</v>
      </c>
      <c r="AL947">
        <v>86.5211756450434</v>
      </c>
      <c r="AM947">
        <v>88.034103005561093</v>
      </c>
      <c r="AN947">
        <v>1.0000000000555</v>
      </c>
    </row>
    <row r="948" spans="1:40" x14ac:dyDescent="0.25">
      <c r="A948" t="str">
        <f>"20190312153908367"</f>
        <v>20190312153908367</v>
      </c>
      <c r="B948" t="str">
        <f>"1552376348356532"</f>
        <v>1552376348356532</v>
      </c>
      <c r="C948" t="s">
        <v>40</v>
      </c>
      <c r="D948">
        <v>4.0192880000000004</v>
      </c>
      <c r="E948">
        <v>0.55412240000000001</v>
      </c>
      <c r="F948" t="s">
        <v>41</v>
      </c>
      <c r="G948">
        <v>-310.80959999999999</v>
      </c>
      <c r="H948">
        <v>0.85278949999999998</v>
      </c>
      <c r="I948">
        <v>368.02449999999999</v>
      </c>
      <c r="J948">
        <v>-311.33049999999997</v>
      </c>
      <c r="K948">
        <v>1.062192</v>
      </c>
      <c r="L948">
        <v>368.17410000000001</v>
      </c>
      <c r="M948">
        <v>0.99965919999999997</v>
      </c>
      <c r="N948">
        <v>0</v>
      </c>
      <c r="O948">
        <v>-2.185076E-2</v>
      </c>
      <c r="P948">
        <v>0.9973339</v>
      </c>
      <c r="Q948">
        <v>4.6347039999999999E-2</v>
      </c>
      <c r="R948">
        <v>-5.6366630000000001E-2</v>
      </c>
      <c r="S948">
        <v>3.0113829999999999</v>
      </c>
      <c r="T948">
        <v>-0.75885469999999999</v>
      </c>
      <c r="U948">
        <v>-0.56579590000000002</v>
      </c>
      <c r="V948">
        <v>3.4591869999999997E-2</v>
      </c>
      <c r="W948">
        <v>6.0588719999999999E-2</v>
      </c>
      <c r="X948">
        <v>0.99756319999999998</v>
      </c>
      <c r="Y948">
        <v>0.15899440000000001</v>
      </c>
      <c r="Z948">
        <v>-1.418699E-2</v>
      </c>
      <c r="AA948">
        <v>0.98717759999999999</v>
      </c>
      <c r="AB948">
        <v>31</v>
      </c>
      <c r="AC948">
        <v>0.52089999999998304</v>
      </c>
      <c r="AD948">
        <v>-0.20940249999999999</v>
      </c>
      <c r="AE948">
        <v>-0.14960000000001999</v>
      </c>
      <c r="AF948">
        <v>0.12023152433395499</v>
      </c>
      <c r="AG948">
        <v>-0.20940249999999999</v>
      </c>
      <c r="AH948">
        <v>0.45597211480008198</v>
      </c>
      <c r="AI948">
        <v>113.944377986205</v>
      </c>
      <c r="AJ948">
        <v>75.2283701453307</v>
      </c>
      <c r="AK948">
        <v>0.51596084727930203</v>
      </c>
      <c r="AL948">
        <v>86.526394455265105</v>
      </c>
      <c r="AM948">
        <v>88.013986158619105</v>
      </c>
      <c r="AN948">
        <v>0.99999996422778603</v>
      </c>
    </row>
    <row r="949" spans="1:40" x14ac:dyDescent="0.25">
      <c r="A949" t="str">
        <f>"20190312153908389"</f>
        <v>20190312153908389</v>
      </c>
      <c r="B949" t="str">
        <f>"1552376348386789"</f>
        <v>1552376348386789</v>
      </c>
      <c r="C949" t="s">
        <v>40</v>
      </c>
      <c r="D949">
        <v>4.0161429999999996</v>
      </c>
      <c r="E949">
        <v>0.55440669999999903</v>
      </c>
      <c r="F949" t="s">
        <v>41</v>
      </c>
      <c r="G949">
        <v>-310.52690000000001</v>
      </c>
      <c r="H949">
        <v>0.85906610000000005</v>
      </c>
      <c r="I949">
        <v>368.02210000000002</v>
      </c>
      <c r="J949">
        <v>-311.02100000000002</v>
      </c>
      <c r="K949">
        <v>1.061831</v>
      </c>
      <c r="L949">
        <v>368.1671</v>
      </c>
      <c r="M949">
        <v>0.99965800000000005</v>
      </c>
      <c r="N949">
        <v>0</v>
      </c>
      <c r="O949">
        <v>-2.204128E-2</v>
      </c>
      <c r="P949">
        <v>0.99731219999999998</v>
      </c>
      <c r="Q949">
        <v>4.5873869999999997E-2</v>
      </c>
      <c r="R949">
        <v>-5.7133259999999998E-2</v>
      </c>
      <c r="S949">
        <v>3.0112000000000001</v>
      </c>
      <c r="T949">
        <v>-0.76115129999999998</v>
      </c>
      <c r="U949">
        <v>-0.56973269999999998</v>
      </c>
      <c r="V949">
        <v>3.5165630000000003E-2</v>
      </c>
      <c r="W949">
        <v>5.9899519999999998E-2</v>
      </c>
      <c r="X949">
        <v>0.99758480000000005</v>
      </c>
      <c r="Y949">
        <v>0.1600144</v>
      </c>
      <c r="Z949">
        <v>-1.430677E-2</v>
      </c>
      <c r="AA949">
        <v>0.98701099999999997</v>
      </c>
      <c r="AB949">
        <v>31</v>
      </c>
      <c r="AC949">
        <v>0.49409999999994603</v>
      </c>
      <c r="AD949">
        <v>-0.202764899999999</v>
      </c>
      <c r="AE949">
        <v>-0.14499999999998101</v>
      </c>
      <c r="AF949">
        <v>0.11607535569768899</v>
      </c>
      <c r="AG949">
        <v>-0.202764899999999</v>
      </c>
      <c r="AH949">
        <v>0.43043617783490001</v>
      </c>
      <c r="AI949">
        <v>114.45703869818</v>
      </c>
      <c r="AJ949">
        <v>74.908094949818405</v>
      </c>
      <c r="AK949">
        <v>0.48975748698868599</v>
      </c>
      <c r="AL949">
        <v>86.565954698192002</v>
      </c>
      <c r="AM949">
        <v>87.981115744952803</v>
      </c>
      <c r="AN949">
        <v>1.0000000036102801</v>
      </c>
    </row>
    <row r="950" spans="1:40" x14ac:dyDescent="0.25">
      <c r="A950" t="str">
        <f>"20190312153908412"</f>
        <v>20190312153908412</v>
      </c>
      <c r="B950" t="str">
        <f>"1552376348407284"</f>
        <v>1552376348407284</v>
      </c>
      <c r="C950" t="s">
        <v>40</v>
      </c>
      <c r="D950">
        <v>4.0769159999999998</v>
      </c>
      <c r="E950">
        <v>0.55451850000000003</v>
      </c>
      <c r="F950" t="s">
        <v>41</v>
      </c>
      <c r="G950">
        <v>-310.2448</v>
      </c>
      <c r="H950">
        <v>0.86438309999999996</v>
      </c>
      <c r="I950">
        <v>368.01859999999999</v>
      </c>
      <c r="J950">
        <v>-310.71019999999999</v>
      </c>
      <c r="K950">
        <v>1.0615250000000001</v>
      </c>
      <c r="L950">
        <v>368.16</v>
      </c>
      <c r="M950">
        <v>0.99965680000000001</v>
      </c>
      <c r="N950">
        <v>0</v>
      </c>
      <c r="O950">
        <v>-2.2211399999999999E-2</v>
      </c>
      <c r="P950">
        <v>0.99730750000000001</v>
      </c>
      <c r="Q950">
        <v>4.5879540000000003E-2</v>
      </c>
      <c r="R950">
        <v>-5.7213170000000001E-2</v>
      </c>
      <c r="S950">
        <v>3.010437</v>
      </c>
      <c r="T950">
        <v>-0.76590469999999999</v>
      </c>
      <c r="U950">
        <v>-0.57409670000000002</v>
      </c>
      <c r="V950">
        <v>3.5072399999999997E-2</v>
      </c>
      <c r="W950">
        <v>5.9727219999999998E-2</v>
      </c>
      <c r="X950">
        <v>0.9975984</v>
      </c>
      <c r="Y950">
        <v>0.16119</v>
      </c>
      <c r="Z950">
        <v>-1.4498850000000001E-2</v>
      </c>
      <c r="AA950">
        <v>0.9868169</v>
      </c>
      <c r="AB950">
        <v>31</v>
      </c>
      <c r="AC950">
        <v>0.46539999999998799</v>
      </c>
      <c r="AD950">
        <v>-0.19714190000000001</v>
      </c>
      <c r="AE950">
        <v>-0.141400000000032</v>
      </c>
      <c r="AF950">
        <v>0.112539940313759</v>
      </c>
      <c r="AG950">
        <v>-0.19714190000000001</v>
      </c>
      <c r="AH950">
        <v>0.40233449083825001</v>
      </c>
      <c r="AI950">
        <v>115.261790288863</v>
      </c>
      <c r="AJ950">
        <v>74.372771581066601</v>
      </c>
      <c r="AK950">
        <v>0.461955852240783</v>
      </c>
      <c r="AL950">
        <v>86.575844424155804</v>
      </c>
      <c r="AM950">
        <v>87.986491162473996</v>
      </c>
      <c r="AN950">
        <v>0.99999999086662394</v>
      </c>
    </row>
    <row r="951" spans="1:40" x14ac:dyDescent="0.25">
      <c r="A951" t="str">
        <f>"20190312153908434"</f>
        <v>20190312153908434</v>
      </c>
      <c r="B951" t="str">
        <f>"1552376348426804"</f>
        <v>1552376348426804</v>
      </c>
      <c r="C951" t="s">
        <v>40</v>
      </c>
      <c r="D951">
        <v>4.0697599999999996</v>
      </c>
      <c r="E951">
        <v>0.55463039999999997</v>
      </c>
      <c r="F951" t="s">
        <v>41</v>
      </c>
      <c r="G951">
        <v>-309.9622</v>
      </c>
      <c r="H951">
        <v>0.87109720000000002</v>
      </c>
      <c r="I951">
        <v>368.01679999999999</v>
      </c>
      <c r="J951">
        <v>-310.39499999999998</v>
      </c>
      <c r="K951">
        <v>1.0612790000000001</v>
      </c>
      <c r="L951">
        <v>368.15269999999998</v>
      </c>
      <c r="M951">
        <v>0.99965539999999997</v>
      </c>
      <c r="N951">
        <v>0</v>
      </c>
      <c r="O951">
        <v>-2.236376E-2</v>
      </c>
      <c r="P951">
        <v>0.99731239999999999</v>
      </c>
      <c r="Q951">
        <v>4.560881E-2</v>
      </c>
      <c r="R951">
        <v>-5.7343110000000003E-2</v>
      </c>
      <c r="S951">
        <v>3.010345</v>
      </c>
      <c r="T951">
        <v>-0.76638479999999998</v>
      </c>
      <c r="U951">
        <v>-0.57611080000000003</v>
      </c>
      <c r="V951">
        <v>3.5046590000000002E-2</v>
      </c>
      <c r="W951">
        <v>5.9315010000000001E-2</v>
      </c>
      <c r="X951">
        <v>0.99762390000000001</v>
      </c>
      <c r="Y951">
        <v>0.16166739999999999</v>
      </c>
      <c r="Z951">
        <v>-1.452874E-2</v>
      </c>
      <c r="AA951">
        <v>0.98673840000000002</v>
      </c>
      <c r="AB951">
        <v>31</v>
      </c>
      <c r="AC951">
        <v>0.43279999999998597</v>
      </c>
      <c r="AD951">
        <v>-0.19018180000000001</v>
      </c>
      <c r="AE951">
        <v>-0.135899999999992</v>
      </c>
      <c r="AF951">
        <v>0.107322789401294</v>
      </c>
      <c r="AG951">
        <v>-0.19018180000000001</v>
      </c>
      <c r="AH951">
        <v>0.37059478587384298</v>
      </c>
      <c r="AI951">
        <v>116.239894183413</v>
      </c>
      <c r="AJ951">
        <v>73.849191990506696</v>
      </c>
      <c r="AK951">
        <v>0.43014857141805601</v>
      </c>
      <c r="AL951">
        <v>86.599504262202998</v>
      </c>
      <c r="AM951">
        <v>87.988023084642705</v>
      </c>
      <c r="AN951">
        <v>0.99999998986656902</v>
      </c>
    </row>
    <row r="952" spans="1:40" x14ac:dyDescent="0.25">
      <c r="A952" t="str">
        <f>"20190312153908457"</f>
        <v>20190312153908457</v>
      </c>
      <c r="B952" t="str">
        <f>"1552376348447300"</f>
        <v>1552376348447300</v>
      </c>
      <c r="C952" t="s">
        <v>40</v>
      </c>
      <c r="D952">
        <v>4.0888720000000003</v>
      </c>
      <c r="E952">
        <v>0.55471800000000004</v>
      </c>
      <c r="F952" t="s">
        <v>41</v>
      </c>
      <c r="G952">
        <v>-309.67899999999997</v>
      </c>
      <c r="H952">
        <v>0.87888709999999903</v>
      </c>
      <c r="I952">
        <v>368.01510000000002</v>
      </c>
      <c r="J952">
        <v>-310.0856</v>
      </c>
      <c r="K952">
        <v>1.0610820000000001</v>
      </c>
      <c r="L952">
        <v>368.14569999999998</v>
      </c>
      <c r="M952">
        <v>0.99965400000000004</v>
      </c>
      <c r="N952">
        <v>0</v>
      </c>
      <c r="O952">
        <v>-2.2492669999999999E-2</v>
      </c>
      <c r="P952">
        <v>0.99731369999999997</v>
      </c>
      <c r="Q952">
        <v>4.5360310000000001E-2</v>
      </c>
      <c r="R952">
        <v>-5.7516829999999998E-2</v>
      </c>
      <c r="S952">
        <v>3.0099490000000002</v>
      </c>
      <c r="T952">
        <v>-0.76684390000000002</v>
      </c>
      <c r="U952">
        <v>-0.5773315</v>
      </c>
      <c r="V952">
        <v>3.5088179999999997E-2</v>
      </c>
      <c r="W952">
        <v>5.8960859999999997E-2</v>
      </c>
      <c r="X952">
        <v>0.99764350000000002</v>
      </c>
      <c r="Y952">
        <v>0.1619401</v>
      </c>
      <c r="Z952">
        <v>-1.454039E-2</v>
      </c>
      <c r="AA952">
        <v>0.98669340000000005</v>
      </c>
      <c r="AB952">
        <v>31</v>
      </c>
      <c r="AC952">
        <v>0.40659999999996899</v>
      </c>
      <c r="AD952">
        <v>-0.18219489999999999</v>
      </c>
      <c r="AE952">
        <v>-0.130599999999958</v>
      </c>
      <c r="AF952">
        <v>0.10272381455259599</v>
      </c>
      <c r="AG952">
        <v>-0.18219489999999999</v>
      </c>
      <c r="AH952">
        <v>0.34638869950192802</v>
      </c>
      <c r="AI952">
        <v>116.76074402474499</v>
      </c>
      <c r="AJ952">
        <v>73.481935113346296</v>
      </c>
      <c r="AK952">
        <v>0.40463847420244597</v>
      </c>
      <c r="AL952">
        <v>86.619831369890406</v>
      </c>
      <c r="AM952">
        <v>87.985676967454694</v>
      </c>
      <c r="AN952">
        <v>1.00000005823994</v>
      </c>
    </row>
    <row r="953" spans="1:40" x14ac:dyDescent="0.25">
      <c r="A953" t="str">
        <f>"20190312153908479"</f>
        <v>20190312153908479</v>
      </c>
      <c r="B953" t="str">
        <f>"1552376348467098"</f>
        <v>1552376348467098</v>
      </c>
      <c r="C953" t="s">
        <v>40</v>
      </c>
      <c r="D953">
        <v>4.101413</v>
      </c>
      <c r="E953">
        <v>0.55478359999999904</v>
      </c>
      <c r="F953" t="s">
        <v>41</v>
      </c>
      <c r="G953">
        <v>-309.3965</v>
      </c>
      <c r="H953">
        <v>0.88521839999999996</v>
      </c>
      <c r="I953">
        <v>368.0129</v>
      </c>
      <c r="J953">
        <v>-309.77280000000002</v>
      </c>
      <c r="K953">
        <v>1.060932</v>
      </c>
      <c r="L953">
        <v>368.13850000000002</v>
      </c>
      <c r="M953">
        <v>0.9996526</v>
      </c>
      <c r="N953">
        <v>0</v>
      </c>
      <c r="O953">
        <v>-2.2599540000000001E-2</v>
      </c>
      <c r="P953">
        <v>0.99737399999999998</v>
      </c>
      <c r="Q953">
        <v>4.401356E-2</v>
      </c>
      <c r="R953">
        <v>-5.7516999999999999E-2</v>
      </c>
      <c r="S953">
        <v>3.0096129999999999</v>
      </c>
      <c r="T953">
        <v>-0.76802399999999904</v>
      </c>
      <c r="U953">
        <v>-0.57904049999999996</v>
      </c>
      <c r="V953">
        <v>3.4976380000000001E-2</v>
      </c>
      <c r="W953">
        <v>5.754563E-2</v>
      </c>
      <c r="X953">
        <v>0.99773000000000001</v>
      </c>
      <c r="Y953">
        <v>0.16237199999999999</v>
      </c>
      <c r="Z953">
        <v>-1.45901E-2</v>
      </c>
      <c r="AA953">
        <v>0.98662169999999905</v>
      </c>
      <c r="AB953">
        <v>31</v>
      </c>
      <c r="AC953">
        <v>0.37630000000001401</v>
      </c>
      <c r="AD953">
        <v>-0.175713599999999</v>
      </c>
      <c r="AE953">
        <v>-0.125600000000019</v>
      </c>
      <c r="AF953">
        <v>9.7863431923784799E-2</v>
      </c>
      <c r="AG953">
        <v>-0.175713599999999</v>
      </c>
      <c r="AH953">
        <v>0.31687584197313301</v>
      </c>
      <c r="AI953">
        <v>117.91582481165101</v>
      </c>
      <c r="AJ953">
        <v>72.837302720248204</v>
      </c>
      <c r="AK953">
        <v>0.375316959061329</v>
      </c>
      <c r="AL953">
        <v>86.701055817642498</v>
      </c>
      <c r="AM953">
        <v>87.992263795609901</v>
      </c>
      <c r="AN953">
        <v>0.99999999979499998</v>
      </c>
    </row>
    <row r="954" spans="1:40" x14ac:dyDescent="0.25">
      <c r="A954" t="str">
        <f>"20190312153908501"</f>
        <v>20190312153908501</v>
      </c>
      <c r="B954" t="str">
        <f>"1552376348496378"</f>
        <v>1552376348496378</v>
      </c>
      <c r="C954" t="s">
        <v>40</v>
      </c>
      <c r="D954">
        <v>4.1381290000000002</v>
      </c>
      <c r="E954">
        <v>0.55368869999999903</v>
      </c>
      <c r="F954" t="s">
        <v>41</v>
      </c>
      <c r="G954">
        <v>-308.86259999999999</v>
      </c>
      <c r="H954">
        <v>0.82706919999999995</v>
      </c>
      <c r="I954">
        <v>367.96289999999999</v>
      </c>
      <c r="J954">
        <v>-309.46640000000002</v>
      </c>
      <c r="K954">
        <v>1.060816</v>
      </c>
      <c r="L954">
        <v>368.13150000000002</v>
      </c>
      <c r="M954">
        <v>0.99965110000000001</v>
      </c>
      <c r="N954">
        <v>0</v>
      </c>
      <c r="O954">
        <v>-2.2677969999999999E-2</v>
      </c>
      <c r="P954">
        <v>0.99737039999999999</v>
      </c>
      <c r="Q954">
        <v>4.3476330000000001E-2</v>
      </c>
      <c r="R954">
        <v>-5.7985630000000003E-2</v>
      </c>
      <c r="S954">
        <v>3.0086360000000001</v>
      </c>
      <c r="T954">
        <v>-0.77316689999999999</v>
      </c>
      <c r="U954">
        <v>-0.57940669999999905</v>
      </c>
      <c r="V954">
        <v>3.536313E-2</v>
      </c>
      <c r="W954">
        <v>5.6980070000000001E-2</v>
      </c>
      <c r="X954">
        <v>0.99774890000000005</v>
      </c>
      <c r="Y954">
        <v>0.16241140000000001</v>
      </c>
      <c r="Z954">
        <v>-1.467449E-2</v>
      </c>
      <c r="AA954">
        <v>0.98661399999999999</v>
      </c>
      <c r="AB954">
        <v>31</v>
      </c>
      <c r="AC954">
        <v>0.60380000000003498</v>
      </c>
      <c r="AD954">
        <v>-0.2337468</v>
      </c>
      <c r="AE954">
        <v>-0.16860000000002601</v>
      </c>
      <c r="AF954">
        <v>0.13596029980472399</v>
      </c>
      <c r="AG954">
        <v>-0.2337468</v>
      </c>
      <c r="AH954">
        <v>0.53332245813477597</v>
      </c>
      <c r="AI954">
        <v>113.010971234832</v>
      </c>
      <c r="AJ954">
        <v>75.698173137402904</v>
      </c>
      <c r="AK954">
        <v>0.597959542096412</v>
      </c>
      <c r="AL954">
        <v>86.733513518076904</v>
      </c>
      <c r="AM954">
        <v>87.970120219467503</v>
      </c>
      <c r="AN954">
        <v>1.0000000733959</v>
      </c>
    </row>
    <row r="955" spans="1:40" x14ac:dyDescent="0.25">
      <c r="A955" t="str">
        <f>"20190312153908523"</f>
        <v>20190312153908523</v>
      </c>
      <c r="B955" t="str">
        <f>"1552376348516873"</f>
        <v>1552376348516873</v>
      </c>
      <c r="C955" t="s">
        <v>40</v>
      </c>
      <c r="D955">
        <v>4.1726239999999999</v>
      </c>
      <c r="E955">
        <v>0.51622800000000002</v>
      </c>
      <c r="F955" t="s">
        <v>41</v>
      </c>
      <c r="G955">
        <v>-308.58069999999998</v>
      </c>
      <c r="H955">
        <v>0.83450480000000005</v>
      </c>
      <c r="I955">
        <v>367.96260000000001</v>
      </c>
      <c r="J955">
        <v>-309.14830000000001</v>
      </c>
      <c r="K955">
        <v>1.0607260000000001</v>
      </c>
      <c r="L955">
        <v>368.1241</v>
      </c>
      <c r="M955">
        <v>0.99964989999999998</v>
      </c>
      <c r="N955">
        <v>0</v>
      </c>
      <c r="O955">
        <v>-2.273673E-2</v>
      </c>
      <c r="P955">
        <v>0.99736639999999999</v>
      </c>
      <c r="Q955">
        <v>4.3025109999999998E-2</v>
      </c>
      <c r="R955">
        <v>-5.8392230000000003E-2</v>
      </c>
      <c r="S955">
        <v>3.0080870000000002</v>
      </c>
      <c r="T955">
        <v>-0.76867989999999997</v>
      </c>
      <c r="U955">
        <v>-0.5725403</v>
      </c>
      <c r="V955">
        <v>3.5707839999999998E-2</v>
      </c>
      <c r="W955">
        <v>5.6530669999999998E-2</v>
      </c>
      <c r="X955">
        <v>0.99776209999999999</v>
      </c>
      <c r="Y955">
        <v>0.16032660000000001</v>
      </c>
      <c r="Z955">
        <v>-1.432282E-2</v>
      </c>
      <c r="AA955">
        <v>0.98696010000000001</v>
      </c>
      <c r="AB955">
        <v>31</v>
      </c>
      <c r="AC955">
        <v>0.56760000000002697</v>
      </c>
      <c r="AD955">
        <v>-0.22622120000000001</v>
      </c>
      <c r="AE955">
        <v>-0.16149999999998901</v>
      </c>
      <c r="AF955">
        <v>0.12951876247223701</v>
      </c>
      <c r="AG955">
        <v>-0.22622120000000001</v>
      </c>
      <c r="AH955">
        <v>0.49795107862314902</v>
      </c>
      <c r="AI955">
        <v>113.733873956197</v>
      </c>
      <c r="AJ955">
        <v>75.420235346313007</v>
      </c>
      <c r="AK955">
        <v>0.56205552916392199</v>
      </c>
      <c r="AL955">
        <v>86.759303531530506</v>
      </c>
      <c r="AM955">
        <v>87.950377401581093</v>
      </c>
      <c r="AN955">
        <v>0.99999998734226203</v>
      </c>
    </row>
    <row r="956" spans="1:40" x14ac:dyDescent="0.25">
      <c r="A956" t="str">
        <f>"20190312153908547"</f>
        <v>20190312153908547</v>
      </c>
      <c r="B956" t="str">
        <f>"1552376348537370"</f>
        <v>1552376348537370</v>
      </c>
      <c r="C956" t="s">
        <v>40</v>
      </c>
      <c r="D956">
        <v>4.1806210000000004</v>
      </c>
      <c r="E956">
        <v>0.51346219999999998</v>
      </c>
      <c r="F956" t="s">
        <v>41</v>
      </c>
      <c r="G956">
        <v>-308.28179999999998</v>
      </c>
      <c r="H956">
        <v>0.88243069999999901</v>
      </c>
      <c r="I956">
        <v>368.04360000000003</v>
      </c>
      <c r="J956">
        <v>-308.83260000000001</v>
      </c>
      <c r="K956">
        <v>1.060656</v>
      </c>
      <c r="L956">
        <v>368.11689999999999</v>
      </c>
      <c r="M956">
        <v>0.99964869999999995</v>
      </c>
      <c r="N956">
        <v>0</v>
      </c>
      <c r="O956">
        <v>-2.2772629999999999E-2</v>
      </c>
      <c r="P956">
        <v>0.99730019999999997</v>
      </c>
      <c r="Q956">
        <v>4.3592319999999997E-2</v>
      </c>
      <c r="R956">
        <v>-5.9097570000000002E-2</v>
      </c>
      <c r="S956">
        <v>3.0183110000000002</v>
      </c>
      <c r="T956">
        <v>-0.62116870000000002</v>
      </c>
      <c r="U956">
        <v>-0.2801208</v>
      </c>
      <c r="V956">
        <v>3.6376319999999997E-2</v>
      </c>
      <c r="W956">
        <v>5.7129560000000003E-2</v>
      </c>
      <c r="X956">
        <v>0.99770389999999998</v>
      </c>
      <c r="Y956">
        <v>6.8753819999999993E-2</v>
      </c>
      <c r="Z956">
        <v>-2.3595669999999999E-3</v>
      </c>
      <c r="AA956">
        <v>0.99763089999999999</v>
      </c>
      <c r="AB956">
        <v>31</v>
      </c>
      <c r="AC956">
        <v>0.55080000000003704</v>
      </c>
      <c r="AD956">
        <v>-0.1782253</v>
      </c>
      <c r="AE956">
        <v>-7.3299999999960605E-2</v>
      </c>
      <c r="AF956">
        <v>5.5071017808410401E-2</v>
      </c>
      <c r="AG956">
        <v>-0.1782253</v>
      </c>
      <c r="AH956">
        <v>0.50080427404045902</v>
      </c>
      <c r="AI956">
        <v>109.481018035971</v>
      </c>
      <c r="AJ956">
        <v>83.724674325542793</v>
      </c>
      <c r="AK956">
        <v>0.53441743558732702</v>
      </c>
      <c r="AL956">
        <v>86.724934313321896</v>
      </c>
      <c r="AM956">
        <v>87.911918747553997</v>
      </c>
      <c r="AN956">
        <v>1.00000004767887</v>
      </c>
    </row>
    <row r="957" spans="1:40" x14ac:dyDescent="0.25">
      <c r="A957" t="str">
        <f>"20190312153908569"</f>
        <v>20190312153908569</v>
      </c>
      <c r="B957" t="str">
        <f>"1552376348556890"</f>
        <v>1552376348556890</v>
      </c>
      <c r="C957" t="s">
        <v>40</v>
      </c>
      <c r="D957">
        <v>4.1323049999999997</v>
      </c>
      <c r="E957">
        <v>0.51212609999999903</v>
      </c>
      <c r="F957" t="s">
        <v>41</v>
      </c>
      <c r="G957">
        <v>-307.99849999999998</v>
      </c>
      <c r="H957">
        <v>0.89207329999999996</v>
      </c>
      <c r="I957">
        <v>368.04489999999998</v>
      </c>
      <c r="J957">
        <v>-308.52440000000001</v>
      </c>
      <c r="K957">
        <v>1.0606009999999999</v>
      </c>
      <c r="L957">
        <v>368.10989999999998</v>
      </c>
      <c r="M957">
        <v>0.99964750000000002</v>
      </c>
      <c r="N957">
        <v>0</v>
      </c>
      <c r="O957">
        <v>-2.279105E-2</v>
      </c>
      <c r="P957">
        <v>0.99723669999999998</v>
      </c>
      <c r="Q957">
        <v>4.4411609999999997E-2</v>
      </c>
      <c r="R957">
        <v>-5.9556030000000003E-2</v>
      </c>
      <c r="S957">
        <v>3.0193479999999999</v>
      </c>
      <c r="T957">
        <v>-0.6103035</v>
      </c>
      <c r="U957">
        <v>-0.26031490000000002</v>
      </c>
      <c r="V957">
        <v>3.6816019999999998E-2</v>
      </c>
      <c r="W957">
        <v>5.8008339999999999E-2</v>
      </c>
      <c r="X957">
        <v>0.997637</v>
      </c>
      <c r="Y957">
        <v>6.2371469999999998E-2</v>
      </c>
      <c r="Z957">
        <v>-1.677801E-3</v>
      </c>
      <c r="AA957">
        <v>0.99805160000000004</v>
      </c>
      <c r="AB957">
        <v>31</v>
      </c>
      <c r="AC957">
        <v>0.52590000000003501</v>
      </c>
      <c r="AD957">
        <v>-0.1685277</v>
      </c>
      <c r="AE957">
        <v>-6.4999999999997699E-2</v>
      </c>
      <c r="AF957">
        <v>4.8128179177312103E-2</v>
      </c>
      <c r="AG957">
        <v>-0.1685277</v>
      </c>
      <c r="AH957">
        <v>0.47881440360278699</v>
      </c>
      <c r="AI957">
        <v>109.30046179692</v>
      </c>
      <c r="AJ957">
        <v>84.260175481381907</v>
      </c>
      <c r="AK957">
        <v>0.50988345766038201</v>
      </c>
      <c r="AL957">
        <v>86.674500078122705</v>
      </c>
      <c r="AM957">
        <v>87.886560157269997</v>
      </c>
      <c r="AN957">
        <v>0.99999998530359702</v>
      </c>
    </row>
    <row r="958" spans="1:40" x14ac:dyDescent="0.25">
      <c r="A958" t="str">
        <f>"20190312153908590"</f>
        <v>20190312153908590</v>
      </c>
      <c r="B958" t="str">
        <f>"1552376348586681"</f>
        <v>1552376348586681</v>
      </c>
      <c r="C958" t="s">
        <v>40</v>
      </c>
      <c r="D958">
        <v>4.1570640000000001</v>
      </c>
      <c r="E958">
        <v>0.51138700000000004</v>
      </c>
      <c r="F958" t="s">
        <v>41</v>
      </c>
      <c r="G958">
        <v>-307.71640000000002</v>
      </c>
      <c r="H958">
        <v>0.90026620000000002</v>
      </c>
      <c r="I958">
        <v>368.04250000000002</v>
      </c>
      <c r="J958">
        <v>-308.21879999999999</v>
      </c>
      <c r="K958">
        <v>1.060565</v>
      </c>
      <c r="L958">
        <v>368.10289999999998</v>
      </c>
      <c r="M958">
        <v>0.99964629999999999</v>
      </c>
      <c r="N958">
        <v>0</v>
      </c>
      <c r="O958">
        <v>-2.2797890000000001E-2</v>
      </c>
      <c r="P958">
        <v>0.99720549999999997</v>
      </c>
      <c r="Q958">
        <v>4.4480819999999997E-2</v>
      </c>
      <c r="R958">
        <v>-6.0024210000000001E-2</v>
      </c>
      <c r="S958">
        <v>3.0199889999999998</v>
      </c>
      <c r="T958">
        <v>-0.59938000000000002</v>
      </c>
      <c r="U958">
        <v>-0.25152590000000002</v>
      </c>
      <c r="V958">
        <v>3.7276660000000003E-2</v>
      </c>
      <c r="W958">
        <v>5.8160669999999998E-2</v>
      </c>
      <c r="X958">
        <v>0.99761100000000003</v>
      </c>
      <c r="Y958">
        <v>5.954516E-2</v>
      </c>
      <c r="Z958">
        <v>-1.369524E-3</v>
      </c>
      <c r="AA958">
        <v>0.99822469999999996</v>
      </c>
      <c r="AB958">
        <v>31</v>
      </c>
      <c r="AC958">
        <v>0.50239999999996598</v>
      </c>
      <c r="AD958">
        <v>-0.16029879999999899</v>
      </c>
      <c r="AE958">
        <v>-6.0399999999958702E-2</v>
      </c>
      <c r="AF958">
        <v>4.4467164187202701E-2</v>
      </c>
      <c r="AG958">
        <v>-0.16029879999999899</v>
      </c>
      <c r="AH958">
        <v>0.45771370862117899</v>
      </c>
      <c r="AI958">
        <v>109.217287430501</v>
      </c>
      <c r="AJ958">
        <v>84.451093877825102</v>
      </c>
      <c r="AK958">
        <v>0.48700602976969898</v>
      </c>
      <c r="AL958">
        <v>86.665757367383705</v>
      </c>
      <c r="AM958">
        <v>87.860085628383004</v>
      </c>
      <c r="AN958">
        <v>0.99999996011830095</v>
      </c>
    </row>
    <row r="959" spans="1:40" x14ac:dyDescent="0.25">
      <c r="A959" t="str">
        <f>"20190312153908614"</f>
        <v>20190312153908614</v>
      </c>
      <c r="B959" t="str">
        <f>"1552376348607175"</f>
        <v>1552376348607175</v>
      </c>
      <c r="C959" t="s">
        <v>40</v>
      </c>
      <c r="D959">
        <v>4.1604590000000004</v>
      </c>
      <c r="E959">
        <v>0.51093009999999905</v>
      </c>
      <c r="F959" t="s">
        <v>41</v>
      </c>
      <c r="G959">
        <v>-307.4359</v>
      </c>
      <c r="H959">
        <v>0.90614519999999998</v>
      </c>
      <c r="I959">
        <v>368.03859999999997</v>
      </c>
      <c r="J959">
        <v>-307.89710000000002</v>
      </c>
      <c r="K959">
        <v>1.060541</v>
      </c>
      <c r="L959">
        <v>368.09559999999999</v>
      </c>
      <c r="M959">
        <v>0.9996448</v>
      </c>
      <c r="N959">
        <v>0</v>
      </c>
      <c r="O959">
        <v>-2.2791680000000002E-2</v>
      </c>
      <c r="P959">
        <v>0.99720220000000004</v>
      </c>
      <c r="Q959">
        <v>4.437754E-2</v>
      </c>
      <c r="R959">
        <v>-6.0156649999999999E-2</v>
      </c>
      <c r="S959">
        <v>3.0200499999999999</v>
      </c>
      <c r="T959">
        <v>-0.59576879999999999</v>
      </c>
      <c r="U959">
        <v>-0.24746699999999999</v>
      </c>
      <c r="V959">
        <v>3.7414089999999997E-2</v>
      </c>
      <c r="W959">
        <v>5.8165429999999997E-2</v>
      </c>
      <c r="X959">
        <v>0.99760559999999998</v>
      </c>
      <c r="Y959">
        <v>5.8250169999999997E-2</v>
      </c>
      <c r="Z959">
        <v>-1.2363560000000001E-3</v>
      </c>
      <c r="AA959">
        <v>0.99830129999999995</v>
      </c>
      <c r="AB959">
        <v>31</v>
      </c>
      <c r="AC959">
        <v>0.46120000000001898</v>
      </c>
      <c r="AD959">
        <v>-0.154395799999999</v>
      </c>
      <c r="AE959">
        <v>-5.7000000000016302E-2</v>
      </c>
      <c r="AF959">
        <v>4.1852760919577299E-2</v>
      </c>
      <c r="AG959">
        <v>-0.154395799999999</v>
      </c>
      <c r="AH959">
        <v>0.41641372533104098</v>
      </c>
      <c r="AI959">
        <v>110.249841169783</v>
      </c>
      <c r="AJ959">
        <v>84.260610642532498</v>
      </c>
      <c r="AK959">
        <v>0.44608307219430199</v>
      </c>
      <c r="AL959">
        <v>86.665484250907696</v>
      </c>
      <c r="AM959">
        <v>87.852192043468804</v>
      </c>
      <c r="AN959">
        <v>0.99999998226448605</v>
      </c>
    </row>
    <row r="960" spans="1:40" x14ac:dyDescent="0.25">
      <c r="A960" t="str">
        <f>"20190312153908635"</f>
        <v>20190312153908635</v>
      </c>
      <c r="B960" t="str">
        <f>"1552376348626696"</f>
        <v>1552376348626696</v>
      </c>
      <c r="C960" t="s">
        <v>40</v>
      </c>
      <c r="D960">
        <v>4.1967509999999999</v>
      </c>
      <c r="E960">
        <v>0.51070519999999997</v>
      </c>
      <c r="F960" t="s">
        <v>41</v>
      </c>
      <c r="G960">
        <v>-307.15460000000002</v>
      </c>
      <c r="H960">
        <v>0.91457049999999995</v>
      </c>
      <c r="I960">
        <v>368.03539999999998</v>
      </c>
      <c r="J960">
        <v>-307.59629999999999</v>
      </c>
      <c r="K960">
        <v>1.060527</v>
      </c>
      <c r="L960">
        <v>368.08879999999999</v>
      </c>
      <c r="M960">
        <v>0.99964370000000002</v>
      </c>
      <c r="N960">
        <v>0</v>
      </c>
      <c r="O960">
        <v>-2.276676E-2</v>
      </c>
      <c r="P960">
        <v>0.99725319999999995</v>
      </c>
      <c r="Q960">
        <v>4.3850550000000002E-2</v>
      </c>
      <c r="R960">
        <v>-5.9691790000000002E-2</v>
      </c>
      <c r="S960">
        <v>3.020111</v>
      </c>
      <c r="T960">
        <v>-0.59387679999999998</v>
      </c>
      <c r="U960">
        <v>-0.24444579999999999</v>
      </c>
      <c r="V960">
        <v>3.697143E-2</v>
      </c>
      <c r="W960">
        <v>5.7756040000000002E-2</v>
      </c>
      <c r="X960">
        <v>0.99764589999999997</v>
      </c>
      <c r="Y960">
        <v>5.7303029999999998E-2</v>
      </c>
      <c r="Z960">
        <v>-1.1452560000000001E-3</v>
      </c>
      <c r="AA960">
        <v>0.99835620000000003</v>
      </c>
      <c r="AB960">
        <v>31</v>
      </c>
      <c r="AC960">
        <v>0.44169999999996801</v>
      </c>
      <c r="AD960">
        <v>-0.14595649999999999</v>
      </c>
      <c r="AE960">
        <v>-5.3400000000010502E-2</v>
      </c>
      <c r="AF960">
        <v>3.9119126793140099E-2</v>
      </c>
      <c r="AG960">
        <v>-0.14595649999999999</v>
      </c>
      <c r="AH960">
        <v>0.39977755129152998</v>
      </c>
      <c r="AI960">
        <v>109.96906137636999</v>
      </c>
      <c r="AJ960">
        <v>84.411272083242395</v>
      </c>
      <c r="AK960">
        <v>0.42738237737412499</v>
      </c>
      <c r="AL960">
        <v>86.688980110206302</v>
      </c>
      <c r="AM960">
        <v>87.877665835374799</v>
      </c>
      <c r="AN960">
        <v>0.99999999428976805</v>
      </c>
    </row>
    <row r="961" spans="1:40" x14ac:dyDescent="0.25">
      <c r="A961" t="str">
        <f>"20190312153908656"</f>
        <v>20190312153908656</v>
      </c>
      <c r="B961" t="str">
        <f>"1552376348647190"</f>
        <v>1552376348647190</v>
      </c>
      <c r="C961" t="s">
        <v>40</v>
      </c>
      <c r="D961">
        <v>4.1821999999999999</v>
      </c>
      <c r="E961">
        <v>0.51077029999999901</v>
      </c>
      <c r="F961" t="s">
        <v>41</v>
      </c>
      <c r="G961">
        <v>-306.8759</v>
      </c>
      <c r="H961">
        <v>0.91846559999999999</v>
      </c>
      <c r="I961">
        <v>368.03100000000001</v>
      </c>
      <c r="J961">
        <v>-307.29750000000001</v>
      </c>
      <c r="K961">
        <v>1.0605260000000001</v>
      </c>
      <c r="L961">
        <v>368.08199999999999</v>
      </c>
      <c r="M961">
        <v>0.99964310000000001</v>
      </c>
      <c r="N961">
        <v>0</v>
      </c>
      <c r="O961">
        <v>-2.2720569999999999E-2</v>
      </c>
      <c r="P961">
        <v>0.99726689999999996</v>
      </c>
      <c r="Q961">
        <v>4.4070310000000001E-2</v>
      </c>
      <c r="R961">
        <v>-5.9299499999999998E-2</v>
      </c>
      <c r="S961">
        <v>3.0199579999999999</v>
      </c>
      <c r="T961">
        <v>-0.59562819999999905</v>
      </c>
      <c r="U961">
        <v>-0.2417908</v>
      </c>
      <c r="V961">
        <v>3.6622509999999997E-2</v>
      </c>
      <c r="W961">
        <v>5.8098320000000002E-2</v>
      </c>
      <c r="X961">
        <v>0.9976389</v>
      </c>
      <c r="Y961">
        <v>5.649175E-2</v>
      </c>
      <c r="Z961">
        <v>-1.0785339999999999E-3</v>
      </c>
      <c r="AA961">
        <v>0.99840249999999997</v>
      </c>
      <c r="AB961">
        <v>31</v>
      </c>
      <c r="AC961">
        <v>0.42160000000001202</v>
      </c>
      <c r="AD961">
        <v>-0.1420604</v>
      </c>
      <c r="AE961">
        <v>-5.0999999999987701E-2</v>
      </c>
      <c r="AF961">
        <v>3.7239714967603303E-2</v>
      </c>
      <c r="AG961">
        <v>-0.1420604</v>
      </c>
      <c r="AH961">
        <v>0.38011462246920702</v>
      </c>
      <c r="AI961">
        <v>110.402668917158</v>
      </c>
      <c r="AJ961">
        <v>84.404605810878294</v>
      </c>
      <c r="AK961">
        <v>0.40749856421088898</v>
      </c>
      <c r="AL961">
        <v>86.669335939689304</v>
      </c>
      <c r="AM961">
        <v>87.897662690025896</v>
      </c>
      <c r="AN961">
        <v>0.99999999890936597</v>
      </c>
    </row>
    <row r="962" spans="1:40" x14ac:dyDescent="0.25">
      <c r="A962" t="str">
        <f>"20190312153908679"</f>
        <v>20190312153908679</v>
      </c>
      <c r="B962" t="str">
        <f>"1552376348676979"</f>
        <v>1552376348676979</v>
      </c>
      <c r="C962" t="s">
        <v>40</v>
      </c>
      <c r="D962">
        <v>4.1711029999999996</v>
      </c>
      <c r="E962">
        <v>0.5105326</v>
      </c>
      <c r="F962" t="s">
        <v>41</v>
      </c>
      <c r="G962">
        <v>-306.59780000000001</v>
      </c>
      <c r="H962">
        <v>0.92230559999999995</v>
      </c>
      <c r="I962">
        <v>368.02609999999999</v>
      </c>
      <c r="J962">
        <v>-306.98840000000001</v>
      </c>
      <c r="K962">
        <v>1.0605420000000001</v>
      </c>
      <c r="L962">
        <v>368.07510000000002</v>
      </c>
      <c r="M962">
        <v>0.9996429</v>
      </c>
      <c r="N962">
        <v>0</v>
      </c>
      <c r="O962">
        <v>-2.2648109999999999E-2</v>
      </c>
      <c r="P962">
        <v>0.99728079999999997</v>
      </c>
      <c r="Q962">
        <v>4.4490460000000003E-2</v>
      </c>
      <c r="R962">
        <v>-5.8749900000000001E-2</v>
      </c>
      <c r="S962">
        <v>3.0202640000000001</v>
      </c>
      <c r="T962">
        <v>-0.59669859999999997</v>
      </c>
      <c r="U962">
        <v>-0.24102779999999999</v>
      </c>
      <c r="V962">
        <v>3.6141930000000003E-2</v>
      </c>
      <c r="W962">
        <v>5.8647169999999998E-2</v>
      </c>
      <c r="X962">
        <v>0.99762430000000002</v>
      </c>
      <c r="Y962">
        <v>5.630545E-2</v>
      </c>
      <c r="Z962">
        <v>-1.076278E-3</v>
      </c>
      <c r="AA962">
        <v>0.99841299999999999</v>
      </c>
      <c r="AB962">
        <v>31</v>
      </c>
      <c r="AC962">
        <v>0.390600000000006</v>
      </c>
      <c r="AD962">
        <v>-0.13823640000000001</v>
      </c>
      <c r="AE962">
        <v>-4.9000000000035002E-2</v>
      </c>
      <c r="AF962">
        <v>3.5733840447937197E-2</v>
      </c>
      <c r="AG962">
        <v>-0.13823640000000001</v>
      </c>
      <c r="AH962">
        <v>0.348621120447903</v>
      </c>
      <c r="AI962">
        <v>111.527081156682</v>
      </c>
      <c r="AJ962">
        <v>84.147592451003206</v>
      </c>
      <c r="AK962">
        <v>0.37672655236984498</v>
      </c>
      <c r="AL962">
        <v>86.637835397072195</v>
      </c>
      <c r="AM962">
        <v>87.925196067110207</v>
      </c>
      <c r="AN962">
        <v>0.99999998680181101</v>
      </c>
    </row>
    <row r="963" spans="1:40" x14ac:dyDescent="0.25">
      <c r="A963" t="str">
        <f>"20190312153908702"</f>
        <v>20190312153908702</v>
      </c>
      <c r="B963" t="str">
        <f>"1552376348696499"</f>
        <v>1552376348696499</v>
      </c>
      <c r="C963" t="s">
        <v>40</v>
      </c>
      <c r="D963">
        <v>4.1922620000000004</v>
      </c>
      <c r="E963">
        <v>0.51046329999999995</v>
      </c>
      <c r="F963" t="s">
        <v>41</v>
      </c>
      <c r="G963">
        <v>-306.0684</v>
      </c>
      <c r="H963">
        <v>0.87921729999999998</v>
      </c>
      <c r="I963">
        <v>368.00259999999997</v>
      </c>
      <c r="J963">
        <v>-306.67399999999998</v>
      </c>
      <c r="K963">
        <v>1.0605560000000001</v>
      </c>
      <c r="L963">
        <v>368.06810000000002</v>
      </c>
      <c r="M963">
        <v>0.99964339999999996</v>
      </c>
      <c r="N963">
        <v>0</v>
      </c>
      <c r="O963">
        <v>-2.2550230000000001E-2</v>
      </c>
      <c r="P963">
        <v>0.99731669999999994</v>
      </c>
      <c r="Q963">
        <v>4.4695850000000002E-2</v>
      </c>
      <c r="R963">
        <v>-5.7982150000000003E-2</v>
      </c>
      <c r="S963">
        <v>3.0207519999999999</v>
      </c>
      <c r="T963">
        <v>-0.59547329999999998</v>
      </c>
      <c r="U963">
        <v>-0.23760990000000001</v>
      </c>
      <c r="V963">
        <v>3.5468020000000003E-2</v>
      </c>
      <c r="W963">
        <v>5.897848E-2</v>
      </c>
      <c r="X963">
        <v>0.99762899999999999</v>
      </c>
      <c r="Y963">
        <v>5.5288009999999999E-2</v>
      </c>
      <c r="Z963">
        <v>-9.9385810000000006E-4</v>
      </c>
      <c r="AA963">
        <v>0.99846990000000002</v>
      </c>
      <c r="AB963">
        <v>31</v>
      </c>
      <c r="AC963">
        <v>0.605600000000038</v>
      </c>
      <c r="AD963">
        <v>-0.18133869999999999</v>
      </c>
      <c r="AE963">
        <v>-6.5500000000042705E-2</v>
      </c>
      <c r="AF963">
        <v>4.7606387584724297E-2</v>
      </c>
      <c r="AG963">
        <v>-0.18133869999999999</v>
      </c>
      <c r="AH963">
        <v>0.55751330330371696</v>
      </c>
      <c r="AI963">
        <v>107.956682782849</v>
      </c>
      <c r="AJ963">
        <v>85.119319421917893</v>
      </c>
      <c r="AK963">
        <v>0.58819314482334695</v>
      </c>
      <c r="AL963">
        <v>86.618819968203198</v>
      </c>
      <c r="AM963">
        <v>87.963860007402701</v>
      </c>
      <c r="AN963">
        <v>1.0000000315934101</v>
      </c>
    </row>
    <row r="964" spans="1:40" x14ac:dyDescent="0.25">
      <c r="A964" t="str">
        <f>"20190312153908724"</f>
        <v>20190312153908724</v>
      </c>
      <c r="B964" t="str">
        <f>"1552376348716995"</f>
        <v>1552376348716995</v>
      </c>
      <c r="C964" t="s">
        <v>40</v>
      </c>
      <c r="D964">
        <v>4.2098620000000002</v>
      </c>
      <c r="E964">
        <v>0.51052410000000004</v>
      </c>
      <c r="F964" t="s">
        <v>41</v>
      </c>
      <c r="G964">
        <v>-305.7901</v>
      </c>
      <c r="H964">
        <v>0.88636919999999897</v>
      </c>
      <c r="I964">
        <v>367.99900000000002</v>
      </c>
      <c r="J964">
        <v>-306.36939999999998</v>
      </c>
      <c r="K964">
        <v>1.060565</v>
      </c>
      <c r="L964">
        <v>368.06130000000002</v>
      </c>
      <c r="M964">
        <v>0.99964430000000004</v>
      </c>
      <c r="N964">
        <v>0</v>
      </c>
      <c r="O964">
        <v>-2.2435070000000001E-2</v>
      </c>
      <c r="P964">
        <v>0.9973554</v>
      </c>
      <c r="Q964">
        <v>4.4214759999999999E-2</v>
      </c>
      <c r="R964">
        <v>-5.768235E-2</v>
      </c>
      <c r="S964">
        <v>3.021118</v>
      </c>
      <c r="T964">
        <v>-0.59553829999999996</v>
      </c>
      <c r="U964">
        <v>-0.2349243</v>
      </c>
      <c r="V964">
        <v>3.5279820000000003E-2</v>
      </c>
      <c r="W964">
        <v>5.8611940000000001E-2</v>
      </c>
      <c r="X964">
        <v>0.99765720000000002</v>
      </c>
      <c r="Y964">
        <v>5.4523710000000003E-2</v>
      </c>
      <c r="Z964">
        <v>-9.4179810000000002E-4</v>
      </c>
      <c r="AA964">
        <v>0.99851199999999996</v>
      </c>
      <c r="AB964">
        <v>31</v>
      </c>
      <c r="AC964">
        <v>0.57929999999998905</v>
      </c>
      <c r="AD964">
        <v>-0.17419580000000001</v>
      </c>
      <c r="AE964">
        <v>-6.2299999999993298E-2</v>
      </c>
      <c r="AF964">
        <v>4.52422596960411E-2</v>
      </c>
      <c r="AG964">
        <v>-0.17419580000000001</v>
      </c>
      <c r="AH964">
        <v>0.53291624062716103</v>
      </c>
      <c r="AI964">
        <v>108.040489415896</v>
      </c>
      <c r="AJ964">
        <v>85.147474229323095</v>
      </c>
      <c r="AK964">
        <v>0.56248622945297999</v>
      </c>
      <c r="AL964">
        <v>86.639857305268904</v>
      </c>
      <c r="AM964">
        <v>87.974712329286504</v>
      </c>
      <c r="AN964">
        <v>0.999999956960817</v>
      </c>
    </row>
    <row r="965" spans="1:40" x14ac:dyDescent="0.25">
      <c r="A965" t="str">
        <f>"20190312153908748"</f>
        <v>20190312153908748</v>
      </c>
      <c r="B965" t="str">
        <f>"1552376348736515"</f>
        <v>1552376348736515</v>
      </c>
      <c r="C965" t="s">
        <v>40</v>
      </c>
      <c r="D965">
        <v>4.1689230000000004</v>
      </c>
      <c r="E965">
        <v>0.49205090000000001</v>
      </c>
      <c r="F965" t="s">
        <v>41</v>
      </c>
      <c r="G965">
        <v>-305.51350000000002</v>
      </c>
      <c r="H965">
        <v>0.89104819999999996</v>
      </c>
      <c r="I965">
        <v>367.99459999999999</v>
      </c>
      <c r="J965">
        <v>-306.05669999999998</v>
      </c>
      <c r="K965">
        <v>1.060567</v>
      </c>
      <c r="L965">
        <v>368.05439999999999</v>
      </c>
      <c r="M965">
        <v>0.99964589999999998</v>
      </c>
      <c r="N965">
        <v>0</v>
      </c>
      <c r="O965">
        <v>-2.2297560000000001E-2</v>
      </c>
      <c r="P965">
        <v>0.99738210000000005</v>
      </c>
      <c r="Q965">
        <v>4.4388690000000001E-2</v>
      </c>
      <c r="R965">
        <v>-5.7083799999999997E-2</v>
      </c>
      <c r="S965">
        <v>3.0208740000000001</v>
      </c>
      <c r="T965">
        <v>-0.59839600000000004</v>
      </c>
      <c r="U965">
        <v>-0.23468020000000001</v>
      </c>
      <c r="V965">
        <v>3.4816220000000002E-2</v>
      </c>
      <c r="W965">
        <v>5.8898029999999997E-2</v>
      </c>
      <c r="X965">
        <v>0.99765669999999995</v>
      </c>
      <c r="Y965">
        <v>5.4577420000000001E-2</v>
      </c>
      <c r="Z965">
        <v>-9.784857000000001E-4</v>
      </c>
      <c r="AA965">
        <v>0.99850899999999998</v>
      </c>
      <c r="AB965">
        <v>31</v>
      </c>
      <c r="AC965">
        <v>0.54319999999995605</v>
      </c>
      <c r="AD965">
        <v>-0.1695188</v>
      </c>
      <c r="AE965">
        <v>-5.97999999999956E-2</v>
      </c>
      <c r="AF965">
        <v>4.3487286641050803E-2</v>
      </c>
      <c r="AG965">
        <v>-0.1695188</v>
      </c>
      <c r="AH965">
        <v>0.49661231701902497</v>
      </c>
      <c r="AI965">
        <v>108.780554520976</v>
      </c>
      <c r="AJ965">
        <v>84.995495869186996</v>
      </c>
      <c r="AK965">
        <v>0.52654682704185496</v>
      </c>
      <c r="AL965">
        <v>86.623437398106901</v>
      </c>
      <c r="AM965">
        <v>88.001303209562394</v>
      </c>
      <c r="AN965">
        <v>1.00000001908392</v>
      </c>
    </row>
    <row r="966" spans="1:40" x14ac:dyDescent="0.25">
      <c r="A966" t="str">
        <f>"20190312153908760"</f>
        <v>20190312153908760</v>
      </c>
      <c r="B966" t="str">
        <f>"1552376348757011"</f>
        <v>1552376348757011</v>
      </c>
      <c r="C966" t="s">
        <v>40</v>
      </c>
      <c r="D966">
        <v>4.2397269999999896</v>
      </c>
      <c r="E966">
        <v>0.48677870000000001</v>
      </c>
      <c r="F966" t="s">
        <v>41</v>
      </c>
      <c r="G966">
        <v>-305.20769999999999</v>
      </c>
      <c r="H966">
        <v>0.9527447</v>
      </c>
      <c r="I966">
        <v>368.02820000000003</v>
      </c>
      <c r="J966">
        <v>-305.88330000000002</v>
      </c>
      <c r="K966">
        <v>1.060567</v>
      </c>
      <c r="L966">
        <v>368.05059999999997</v>
      </c>
      <c r="M966">
        <v>0.99964679999999995</v>
      </c>
      <c r="N966">
        <v>0</v>
      </c>
      <c r="O966">
        <v>-2.2214660000000001E-2</v>
      </c>
      <c r="P966">
        <v>0.99740280000000003</v>
      </c>
      <c r="Q966">
        <v>4.4186910000000003E-2</v>
      </c>
      <c r="R966">
        <v>-5.6876969999999999E-2</v>
      </c>
      <c r="S966">
        <v>3.0196839999999998</v>
      </c>
      <c r="T966">
        <v>-0.38385190000000002</v>
      </c>
      <c r="U966">
        <v>-9.2163090000000003E-2</v>
      </c>
      <c r="V966">
        <v>3.4690730000000003E-2</v>
      </c>
      <c r="W966">
        <v>5.8756639999999999E-2</v>
      </c>
      <c r="X966">
        <v>0.99766940000000004</v>
      </c>
      <c r="Y966">
        <v>8.4033670000000001E-3</v>
      </c>
      <c r="Z966">
        <v>2.2799370000000001E-3</v>
      </c>
      <c r="AA966">
        <v>0.99996209999999996</v>
      </c>
      <c r="AB966">
        <v>31</v>
      </c>
      <c r="AC966">
        <v>0.67560000000003095</v>
      </c>
      <c r="AD966">
        <v>-0.1078223</v>
      </c>
      <c r="AE966">
        <v>-2.2399999999947798E-2</v>
      </c>
      <c r="AF966">
        <v>7.2014270218168901E-3</v>
      </c>
      <c r="AG966">
        <v>-0.1078223</v>
      </c>
      <c r="AH966">
        <v>0.65916018391926701</v>
      </c>
      <c r="AI966">
        <v>99.289354313243095</v>
      </c>
      <c r="AJ966">
        <v>89.374059644729599</v>
      </c>
      <c r="AK966">
        <v>0.66795932285800297</v>
      </c>
      <c r="AL966">
        <v>86.631552473552404</v>
      </c>
      <c r="AM966">
        <v>88.0085267407336</v>
      </c>
      <c r="AN966">
        <v>1.00000001059419</v>
      </c>
    </row>
    <row r="967" spans="1:40" x14ac:dyDescent="0.25">
      <c r="A967" t="str">
        <f>"20190312153908772"</f>
        <v>20190312153908772</v>
      </c>
      <c r="B967" t="str">
        <f>"1552376348767279"</f>
        <v>1552376348767279</v>
      </c>
      <c r="C967" t="s">
        <v>40</v>
      </c>
      <c r="D967">
        <v>4.270035</v>
      </c>
      <c r="E967">
        <v>0.48485489999999998</v>
      </c>
      <c r="F967" t="s">
        <v>41</v>
      </c>
      <c r="G967">
        <v>-304.92399999999998</v>
      </c>
      <c r="H967">
        <v>0.97327379999999997</v>
      </c>
      <c r="I967">
        <v>368.03370000000001</v>
      </c>
      <c r="J967">
        <v>-305.70929999999998</v>
      </c>
      <c r="K967">
        <v>1.0605690000000001</v>
      </c>
      <c r="L967">
        <v>368.04680000000002</v>
      </c>
      <c r="M967">
        <v>0.99964799999999998</v>
      </c>
      <c r="N967">
        <v>0</v>
      </c>
      <c r="O967">
        <v>-2.2125450000000001E-2</v>
      </c>
      <c r="P967">
        <v>0.99742229999999998</v>
      </c>
      <c r="Q967">
        <v>4.403108E-2</v>
      </c>
      <c r="R967">
        <v>-5.6657480000000003E-2</v>
      </c>
      <c r="S967">
        <v>3.0169980000000001</v>
      </c>
      <c r="T967">
        <v>-0.27458949999999999</v>
      </c>
      <c r="U967">
        <v>-5.2886959999999997E-2</v>
      </c>
      <c r="V967">
        <v>3.4558949999999998E-2</v>
      </c>
      <c r="W967">
        <v>5.8659070000000001E-2</v>
      </c>
      <c r="X967">
        <v>0.99767969999999895</v>
      </c>
      <c r="Y967">
        <v>-4.4917780000000001E-3</v>
      </c>
      <c r="Z967">
        <v>2.2133880000000002E-3</v>
      </c>
      <c r="AA967">
        <v>0.99998750000000003</v>
      </c>
      <c r="AB967">
        <v>31</v>
      </c>
      <c r="AC967">
        <v>0.78529999999994904</v>
      </c>
      <c r="AD967">
        <v>-8.7295200000000003E-2</v>
      </c>
      <c r="AE967">
        <v>-1.3100000000008501E-2</v>
      </c>
      <c r="AF967">
        <v>-4.22795592371301E-3</v>
      </c>
      <c r="AG967">
        <v>-8.7295200000000003E-2</v>
      </c>
      <c r="AH967">
        <v>0.77581360932620402</v>
      </c>
      <c r="AI967">
        <v>96.419871384699405</v>
      </c>
      <c r="AJ967">
        <v>90.312242050626494</v>
      </c>
      <c r="AK967">
        <v>0.78072087455766503</v>
      </c>
      <c r="AL967">
        <v>86.637152431264894</v>
      </c>
      <c r="AM967">
        <v>88.016106177493597</v>
      </c>
      <c r="AN967">
        <v>0.99999999565522801</v>
      </c>
    </row>
    <row r="968" spans="1:40" x14ac:dyDescent="0.25">
      <c r="A968" t="str">
        <f>"20190312153908793"</f>
        <v>20190312153908793</v>
      </c>
      <c r="B968" t="str">
        <f>"1552376348786799"</f>
        <v>1552376348786799</v>
      </c>
      <c r="C968" t="s">
        <v>40</v>
      </c>
      <c r="D968">
        <v>4.284516</v>
      </c>
      <c r="E968">
        <v>0.48234719999999998</v>
      </c>
      <c r="F968" t="s">
        <v>43</v>
      </c>
      <c r="G968">
        <v>-291.87990000000002</v>
      </c>
      <c r="H968">
        <v>-0.05</v>
      </c>
      <c r="I968">
        <v>367.8732</v>
      </c>
      <c r="J968">
        <v>-305.44940000000003</v>
      </c>
      <c r="K968">
        <v>1.060567</v>
      </c>
      <c r="L968">
        <v>368.04129999999998</v>
      </c>
      <c r="M968">
        <v>0.99964989999999998</v>
      </c>
      <c r="N968">
        <v>0</v>
      </c>
      <c r="O968">
        <v>-2.1986680000000002E-2</v>
      </c>
      <c r="P968">
        <v>0.99744279999999996</v>
      </c>
      <c r="Q968">
        <v>4.3526740000000001E-2</v>
      </c>
      <c r="R968">
        <v>-5.6689740000000002E-2</v>
      </c>
      <c r="S968">
        <v>3.0162960000000001</v>
      </c>
      <c r="T968">
        <v>-0.24222440000000001</v>
      </c>
      <c r="U968">
        <v>-3.7872309999999999E-2</v>
      </c>
      <c r="V968">
        <v>3.4728429999999998E-2</v>
      </c>
      <c r="W968">
        <v>5.8239220000000001E-2</v>
      </c>
      <c r="X968">
        <v>0.99769839999999999</v>
      </c>
      <c r="Y968">
        <v>-9.3346420000000006E-3</v>
      </c>
      <c r="Z968">
        <v>2.1369560000000002E-3</v>
      </c>
      <c r="AA968">
        <v>0.99995420000000002</v>
      </c>
      <c r="AB968">
        <v>31</v>
      </c>
      <c r="AC968">
        <v>13.5695</v>
      </c>
      <c r="AD968">
        <v>-1.1105670000000001</v>
      </c>
      <c r="AE968">
        <v>-0.16809999999998099</v>
      </c>
      <c r="AF968">
        <v>-0.12945423996943101</v>
      </c>
      <c r="AG968">
        <v>-1.1105670000000001</v>
      </c>
      <c r="AH968">
        <v>13.4796391703343</v>
      </c>
      <c r="AI968">
        <v>94.709658615836801</v>
      </c>
      <c r="AJ968">
        <v>90.550233836256794</v>
      </c>
      <c r="AK968">
        <v>13.525930268345499</v>
      </c>
      <c r="AL968">
        <v>86.661249221795998</v>
      </c>
      <c r="AM968">
        <v>88.006422163366693</v>
      </c>
      <c r="AN968">
        <v>0.99999998397951595</v>
      </c>
    </row>
    <row r="969" spans="1:40" x14ac:dyDescent="0.25">
      <c r="A969" t="str">
        <f>"20190312153908806"</f>
        <v>20190312153908806</v>
      </c>
      <c r="B969" t="str">
        <f>"1552376348796559"</f>
        <v>1552376348796559</v>
      </c>
      <c r="C969" t="s">
        <v>40</v>
      </c>
      <c r="D969">
        <v>4.2398170000000004</v>
      </c>
      <c r="E969">
        <v>0.4818461</v>
      </c>
      <c r="F969" t="s">
        <v>43</v>
      </c>
      <c r="G969">
        <v>-289.2944</v>
      </c>
      <c r="H969">
        <v>-0.05</v>
      </c>
      <c r="I969">
        <v>367.93709999999999</v>
      </c>
      <c r="J969">
        <v>-305.2568</v>
      </c>
      <c r="K969">
        <v>1.0605629999999999</v>
      </c>
      <c r="L969">
        <v>368.03710000000001</v>
      </c>
      <c r="M969">
        <v>0.99965130000000002</v>
      </c>
      <c r="N969">
        <v>0</v>
      </c>
      <c r="O969">
        <v>-2.1879349999999999E-2</v>
      </c>
      <c r="P969">
        <v>0.99745119999999998</v>
      </c>
      <c r="Q969">
        <v>4.3257490000000003E-2</v>
      </c>
      <c r="R969">
        <v>-5.6744740000000002E-2</v>
      </c>
      <c r="S969">
        <v>3.015625</v>
      </c>
      <c r="T969">
        <v>-0.20730770000000001</v>
      </c>
      <c r="U969">
        <v>-1.9439700000000001E-2</v>
      </c>
      <c r="V969">
        <v>3.488985E-2</v>
      </c>
      <c r="W969">
        <v>5.802881E-2</v>
      </c>
      <c r="X969">
        <v>0.99770499999999995</v>
      </c>
      <c r="Y969">
        <v>-1.5348789999999999E-2</v>
      </c>
      <c r="Z969">
        <v>2.02929E-3</v>
      </c>
      <c r="AA969">
        <v>0.99988010000000005</v>
      </c>
      <c r="AB969">
        <v>31</v>
      </c>
      <c r="AC969">
        <v>15.962400000000001</v>
      </c>
      <c r="AD969">
        <v>-1.110563</v>
      </c>
      <c r="AE969">
        <v>-0.100000000000022</v>
      </c>
      <c r="AF969">
        <v>-0.24810813424452099</v>
      </c>
      <c r="AG969">
        <v>-1.110563</v>
      </c>
      <c r="AH969">
        <v>15.8838833493522</v>
      </c>
      <c r="AI969">
        <v>93.998988513580898</v>
      </c>
      <c r="AJ969">
        <v>90.894894067786595</v>
      </c>
      <c r="AK969">
        <v>15.9245928701199</v>
      </c>
      <c r="AL969">
        <v>86.673325156000402</v>
      </c>
      <c r="AM969">
        <v>87.997176651544095</v>
      </c>
      <c r="AN969">
        <v>0.99999995572401801</v>
      </c>
    </row>
    <row r="970" spans="1:40" x14ac:dyDescent="0.25">
      <c r="A970" t="str">
        <f>"20190312153908820"</f>
        <v>20190312153908820</v>
      </c>
      <c r="B970" t="str">
        <f>"1552376348807295"</f>
        <v>1552376348807295</v>
      </c>
      <c r="C970" t="s">
        <v>40</v>
      </c>
      <c r="D970">
        <v>4.2351229999999997</v>
      </c>
      <c r="E970">
        <v>0.48152279999999997</v>
      </c>
      <c r="F970" t="s">
        <v>43</v>
      </c>
      <c r="G970">
        <v>-287.91370000000001</v>
      </c>
      <c r="H970">
        <v>-0.05</v>
      </c>
      <c r="I970">
        <v>367.94639999999998</v>
      </c>
      <c r="J970">
        <v>-305.06630000000001</v>
      </c>
      <c r="K970">
        <v>1.060568</v>
      </c>
      <c r="L970">
        <v>368.03309999999999</v>
      </c>
      <c r="M970">
        <v>0.99965289999999996</v>
      </c>
      <c r="N970">
        <v>0</v>
      </c>
      <c r="O970">
        <v>-2.1770210000000002E-2</v>
      </c>
      <c r="P970">
        <v>0.99745620000000002</v>
      </c>
      <c r="Q970">
        <v>4.295214E-2</v>
      </c>
      <c r="R970">
        <v>-5.6893760000000002E-2</v>
      </c>
      <c r="S970">
        <v>3.0151370000000002</v>
      </c>
      <c r="T970">
        <v>-0.19307340000000001</v>
      </c>
      <c r="U970">
        <v>-1.5777590000000001E-2</v>
      </c>
      <c r="V970">
        <v>3.5146509999999999E-2</v>
      </c>
      <c r="W970">
        <v>5.7778889999999999E-2</v>
      </c>
      <c r="X970">
        <v>0.99771049999999994</v>
      </c>
      <c r="Y970">
        <v>-1.646253E-2</v>
      </c>
      <c r="Z970">
        <v>1.9192079999999999E-3</v>
      </c>
      <c r="AA970">
        <v>0.99986269999999999</v>
      </c>
      <c r="AB970">
        <v>31</v>
      </c>
      <c r="AC970">
        <v>17.1526</v>
      </c>
      <c r="AD970">
        <v>-1.110568</v>
      </c>
      <c r="AE970">
        <v>-8.6700000000007493E-2</v>
      </c>
      <c r="AF970">
        <v>-0.28558021775751702</v>
      </c>
      <c r="AG970">
        <v>-1.110568</v>
      </c>
      <c r="AH970">
        <v>17.078827520144099</v>
      </c>
      <c r="AI970">
        <v>93.7199593764757</v>
      </c>
      <c r="AJ970">
        <v>90.957970705375203</v>
      </c>
      <c r="AK970">
        <v>17.117279772388802</v>
      </c>
      <c r="AL970">
        <v>86.687668596497801</v>
      </c>
      <c r="AM970">
        <v>87.982466538174805</v>
      </c>
      <c r="AN970">
        <v>0.99999995955252996</v>
      </c>
    </row>
    <row r="971" spans="1:40" x14ac:dyDescent="0.25">
      <c r="A971" t="str">
        <f>"20190312153908835"</f>
        <v>20190312153908835</v>
      </c>
      <c r="B971" t="str">
        <f>"1552376348826816"</f>
        <v>1552376348826816</v>
      </c>
      <c r="C971" t="s">
        <v>40</v>
      </c>
      <c r="D971">
        <v>4.2444870000000003</v>
      </c>
      <c r="E971">
        <v>0.48108060000000002</v>
      </c>
      <c r="F971" t="s">
        <v>43</v>
      </c>
      <c r="G971">
        <v>-286.61739999999998</v>
      </c>
      <c r="H971">
        <v>-0.05</v>
      </c>
      <c r="I971">
        <v>367.94819999999999</v>
      </c>
      <c r="J971">
        <v>-304.8528</v>
      </c>
      <c r="K971">
        <v>1.060576</v>
      </c>
      <c r="L971">
        <v>368.02850000000001</v>
      </c>
      <c r="M971">
        <v>0.99965470000000001</v>
      </c>
      <c r="N971">
        <v>0</v>
      </c>
      <c r="O971">
        <v>-2.1642709999999999E-2</v>
      </c>
      <c r="P971">
        <v>0.99746729999999995</v>
      </c>
      <c r="Q971">
        <v>4.2830689999999998E-2</v>
      </c>
      <c r="R971">
        <v>-5.6784500000000002E-2</v>
      </c>
      <c r="S971">
        <v>3.0146790000000001</v>
      </c>
      <c r="T971">
        <v>-0.18147430000000001</v>
      </c>
      <c r="U971">
        <v>-1.3854979999999999E-2</v>
      </c>
      <c r="V971">
        <v>3.5163699999999902E-2</v>
      </c>
      <c r="W971">
        <v>5.7715099999999998E-2</v>
      </c>
      <c r="X971">
        <v>0.99771359999999998</v>
      </c>
      <c r="Y971">
        <v>-1.6980269999999999E-2</v>
      </c>
      <c r="Z971">
        <v>1.8123060000000001E-3</v>
      </c>
      <c r="AA971">
        <v>0.99985420000000003</v>
      </c>
      <c r="AB971">
        <v>30</v>
      </c>
      <c r="AC971">
        <v>18.235399999999998</v>
      </c>
      <c r="AD971">
        <v>-1.110576</v>
      </c>
      <c r="AE971">
        <v>-8.0300000000022395E-2</v>
      </c>
      <c r="AF971">
        <v>-0.31326421745301197</v>
      </c>
      <c r="AG971">
        <v>-1.110576</v>
      </c>
      <c r="AH971">
        <v>18.165489945287899</v>
      </c>
      <c r="AI971">
        <v>93.497994984495705</v>
      </c>
      <c r="AJ971">
        <v>90.987968870841001</v>
      </c>
      <c r="AK971">
        <v>18.202102583879402</v>
      </c>
      <c r="AL971">
        <v>86.691329648586603</v>
      </c>
      <c r="AM971">
        <v>87.981486854267203</v>
      </c>
      <c r="AN971">
        <v>0.99999997309532895</v>
      </c>
    </row>
    <row r="972" spans="1:40" x14ac:dyDescent="0.25">
      <c r="A972" t="str">
        <f>"20190312153908847"</f>
        <v>20190312153908847</v>
      </c>
      <c r="B972" t="str">
        <f>"1552376348836576"</f>
        <v>1552376348836576</v>
      </c>
      <c r="C972" t="s">
        <v>40</v>
      </c>
      <c r="D972">
        <v>4.2429819999999996</v>
      </c>
      <c r="E972">
        <v>0.48086830000000003</v>
      </c>
      <c r="F972" t="s">
        <v>43</v>
      </c>
      <c r="G972">
        <v>-284.36750000000001</v>
      </c>
      <c r="H972">
        <v>-0.05</v>
      </c>
      <c r="I972">
        <v>367.95699999999999</v>
      </c>
      <c r="J972">
        <v>-304.69279999999998</v>
      </c>
      <c r="K972">
        <v>1.0605850000000001</v>
      </c>
      <c r="L972">
        <v>368.02510000000001</v>
      </c>
      <c r="M972">
        <v>0.99965630000000005</v>
      </c>
      <c r="N972">
        <v>0</v>
      </c>
      <c r="O972">
        <v>-2.1543360000000001E-2</v>
      </c>
      <c r="P972">
        <v>0.99742799999999998</v>
      </c>
      <c r="Q972">
        <v>4.3032849999999997E-2</v>
      </c>
      <c r="R972">
        <v>-5.7320370000000002E-2</v>
      </c>
      <c r="S972">
        <v>3.0140690000000001</v>
      </c>
      <c r="T972">
        <v>-0.1634022</v>
      </c>
      <c r="U972">
        <v>-1.0528559999999999E-2</v>
      </c>
      <c r="V972">
        <v>3.5798629999999998E-2</v>
      </c>
      <c r="W972">
        <v>5.795645E-2</v>
      </c>
      <c r="X972">
        <v>0.99767700000000004</v>
      </c>
      <c r="Y972">
        <v>-1.7995270000000001E-2</v>
      </c>
      <c r="Z972">
        <v>1.654556E-3</v>
      </c>
      <c r="AA972">
        <v>0.99983670000000002</v>
      </c>
      <c r="AB972">
        <v>30</v>
      </c>
      <c r="AC972">
        <v>20.325299999999899</v>
      </c>
      <c r="AD972">
        <v>-1.1105849999999999</v>
      </c>
      <c r="AE972">
        <v>-6.8100000000015301E-2</v>
      </c>
      <c r="AF972">
        <v>-0.36873904104489402</v>
      </c>
      <c r="AG972">
        <v>-1.1105849999999999</v>
      </c>
      <c r="AH972">
        <v>20.261557059071599</v>
      </c>
      <c r="AI972">
        <v>93.136862543265195</v>
      </c>
      <c r="AJ972">
        <v>91.042607867759799</v>
      </c>
      <c r="AK972">
        <v>20.295321184465902</v>
      </c>
      <c r="AL972">
        <v>86.677478029656498</v>
      </c>
      <c r="AM972">
        <v>87.944995413274896</v>
      </c>
      <c r="AN972">
        <v>0.99999994416773796</v>
      </c>
    </row>
    <row r="973" spans="1:40" x14ac:dyDescent="0.25">
      <c r="A973" t="str">
        <f>"20190312153908870"</f>
        <v>20190312153908870</v>
      </c>
      <c r="B973" t="str">
        <f>"1552376348857072"</f>
        <v>1552376348857072</v>
      </c>
      <c r="C973" t="s">
        <v>40</v>
      </c>
      <c r="D973">
        <v>4.2307420000000002</v>
      </c>
      <c r="E973">
        <v>0.48036820000000002</v>
      </c>
      <c r="F973" t="s">
        <v>43</v>
      </c>
      <c r="G973">
        <v>-283.1909</v>
      </c>
      <c r="H973">
        <v>-0.05</v>
      </c>
      <c r="I973">
        <v>367.94850000000002</v>
      </c>
      <c r="J973">
        <v>-304.38869999999997</v>
      </c>
      <c r="K973">
        <v>1.0605869999999999</v>
      </c>
      <c r="L973">
        <v>368.0188</v>
      </c>
      <c r="M973">
        <v>0.99965950000000003</v>
      </c>
      <c r="N973">
        <v>0</v>
      </c>
      <c r="O973">
        <v>-2.1346270000000001E-2</v>
      </c>
      <c r="P973">
        <v>0.9974189</v>
      </c>
      <c r="Q973">
        <v>4.2495930000000001E-2</v>
      </c>
      <c r="R973">
        <v>-5.7878829999999999E-2</v>
      </c>
      <c r="S973">
        <v>3.0138240000000001</v>
      </c>
      <c r="T973">
        <v>-0.15566579999999999</v>
      </c>
      <c r="U973">
        <v>-1.074219E-2</v>
      </c>
      <c r="V973">
        <v>3.6552580000000001E-2</v>
      </c>
      <c r="W973">
        <v>5.7488989999999997E-2</v>
      </c>
      <c r="X973">
        <v>0.99767680000000003</v>
      </c>
      <c r="Y973">
        <v>-1.7732979999999999E-2</v>
      </c>
      <c r="Z973">
        <v>1.5595139999999999E-3</v>
      </c>
      <c r="AA973">
        <v>0.9998416</v>
      </c>
      <c r="AB973">
        <v>30</v>
      </c>
      <c r="AC973">
        <v>21.197799999999901</v>
      </c>
      <c r="AD973">
        <v>-1.110587</v>
      </c>
      <c r="AE973">
        <v>-7.0299999999974702E-2</v>
      </c>
      <c r="AF973">
        <v>-0.38121457104977302</v>
      </c>
      <c r="AG973">
        <v>-1.110587</v>
      </c>
      <c r="AH973">
        <v>21.136453224115201</v>
      </c>
      <c r="AI973">
        <v>93.007276875831394</v>
      </c>
      <c r="AJ973">
        <v>91.033267875740506</v>
      </c>
      <c r="AK973">
        <v>21.169043032904401</v>
      </c>
      <c r="AL973">
        <v>86.704306551960798</v>
      </c>
      <c r="AM973">
        <v>87.901753112519899</v>
      </c>
      <c r="AN973">
        <v>1.00000003616705</v>
      </c>
    </row>
    <row r="974" spans="1:40" x14ac:dyDescent="0.25">
      <c r="A974" t="str">
        <f>"20190312153908883"</f>
        <v>20190312153908883</v>
      </c>
      <c r="B974" t="str">
        <f>"1552376348876970"</f>
        <v>1552376348876970</v>
      </c>
      <c r="C974" t="s">
        <v>40</v>
      </c>
      <c r="D974">
        <v>4.210966</v>
      </c>
      <c r="E974">
        <v>0.48002460000000002</v>
      </c>
      <c r="F974" t="s">
        <v>43</v>
      </c>
      <c r="G974">
        <v>-281.80590000000001</v>
      </c>
      <c r="H974">
        <v>-0.05</v>
      </c>
      <c r="I974">
        <v>367.95409999999998</v>
      </c>
      <c r="J974">
        <v>-304.2056</v>
      </c>
      <c r="K974">
        <v>1.060592</v>
      </c>
      <c r="L974">
        <v>368.01499999999999</v>
      </c>
      <c r="M974">
        <v>0.99966169999999999</v>
      </c>
      <c r="N974">
        <v>0</v>
      </c>
      <c r="O974">
        <v>-2.122102E-2</v>
      </c>
      <c r="P974">
        <v>0.9974151</v>
      </c>
      <c r="Q974">
        <v>4.2272520000000001E-2</v>
      </c>
      <c r="R974">
        <v>-5.8105990000000003E-2</v>
      </c>
      <c r="S974">
        <v>3.0135800000000001</v>
      </c>
      <c r="T974">
        <v>-0.14820340000000001</v>
      </c>
      <c r="U974">
        <v>-8.6364749999999994E-3</v>
      </c>
      <c r="V974">
        <v>3.6904409999999999E-2</v>
      </c>
      <c r="W974">
        <v>5.7302840000000001E-2</v>
      </c>
      <c r="X974">
        <v>0.99767450000000002</v>
      </c>
      <c r="Y974">
        <v>-1.8310360000000001E-2</v>
      </c>
      <c r="Z974">
        <v>1.493002E-3</v>
      </c>
      <c r="AA974">
        <v>0.99983129999999998</v>
      </c>
      <c r="AB974">
        <v>30</v>
      </c>
      <c r="AC974">
        <v>22.399699999999999</v>
      </c>
      <c r="AD974">
        <v>-1.110592</v>
      </c>
      <c r="AE974">
        <v>-6.0900000000003701E-2</v>
      </c>
      <c r="AF974">
        <v>-0.41349549397670499</v>
      </c>
      <c r="AG974">
        <v>-1.110592</v>
      </c>
      <c r="AH974">
        <v>22.341027897161698</v>
      </c>
      <c r="AI974">
        <v>92.845394026551901</v>
      </c>
      <c r="AJ974">
        <v>91.060329097988898</v>
      </c>
      <c r="AK974">
        <v>22.372436626701202</v>
      </c>
      <c r="AL974">
        <v>86.714989585759596</v>
      </c>
      <c r="AM974">
        <v>87.8815702649879</v>
      </c>
      <c r="AN974">
        <v>0.99999997944988095</v>
      </c>
    </row>
    <row r="975" spans="1:40" x14ac:dyDescent="0.25">
      <c r="A975" t="str">
        <f>"20190312153908896"</f>
        <v>20190312153908896</v>
      </c>
      <c r="B975" t="str">
        <f>"1552376348886732"</f>
        <v>1552376348886732</v>
      </c>
      <c r="C975" t="s">
        <v>40</v>
      </c>
      <c r="D975">
        <v>4.2224000000000004</v>
      </c>
      <c r="E975">
        <v>0.47983559999999997</v>
      </c>
      <c r="F975" t="s">
        <v>43</v>
      </c>
      <c r="G975">
        <v>-280.66719999999998</v>
      </c>
      <c r="H975">
        <v>-0.05</v>
      </c>
      <c r="I975">
        <v>367.96120000000002</v>
      </c>
      <c r="J975">
        <v>-304.03129999999999</v>
      </c>
      <c r="K975">
        <v>1.0606</v>
      </c>
      <c r="L975">
        <v>368.01139999999998</v>
      </c>
      <c r="M975">
        <v>0.99966379999999999</v>
      </c>
      <c r="N975">
        <v>0</v>
      </c>
      <c r="O975">
        <v>-2.1097769999999998E-2</v>
      </c>
      <c r="P975">
        <v>0.99740280000000003</v>
      </c>
      <c r="Q975">
        <v>4.1956449999999999E-2</v>
      </c>
      <c r="R975">
        <v>-5.854562E-2</v>
      </c>
      <c r="S975">
        <v>3.0133969999999999</v>
      </c>
      <c r="T975">
        <v>-0.14217850000000001</v>
      </c>
      <c r="U975">
        <v>-6.8969729999999998E-3</v>
      </c>
      <c r="V975">
        <v>3.7466230000000003E-2</v>
      </c>
      <c r="W975">
        <v>5.702053E-2</v>
      </c>
      <c r="X975">
        <v>0.99766980000000005</v>
      </c>
      <c r="Y975">
        <v>-1.8767499999999999E-2</v>
      </c>
      <c r="Z975">
        <v>1.4374329999999999E-3</v>
      </c>
      <c r="AA975">
        <v>0.99982289999999996</v>
      </c>
      <c r="AB975">
        <v>30</v>
      </c>
      <c r="AC975">
        <v>23.364100000000001</v>
      </c>
      <c r="AD975">
        <v>-1.1106</v>
      </c>
      <c r="AE975">
        <v>-5.0199999999961102E-2</v>
      </c>
      <c r="AF975">
        <v>-0.441799331356928</v>
      </c>
      <c r="AG975">
        <v>-1.1106</v>
      </c>
      <c r="AH975">
        <v>23.307294421267802</v>
      </c>
      <c r="AI975">
        <v>92.727609379712007</v>
      </c>
      <c r="AJ975">
        <v>91.085934966469907</v>
      </c>
      <c r="AK975">
        <v>23.337921763705701</v>
      </c>
      <c r="AL975">
        <v>86.731191461419002</v>
      </c>
      <c r="AM975">
        <v>87.849339957041394</v>
      </c>
      <c r="AN975">
        <v>1.0000000445319599</v>
      </c>
    </row>
    <row r="976" spans="1:40" x14ac:dyDescent="0.25">
      <c r="A976" t="str">
        <f>"20190312153908909"</f>
        <v>20190312153908909</v>
      </c>
      <c r="B976" t="str">
        <f>"1552376348896491"</f>
        <v>1552376348896491</v>
      </c>
      <c r="C976" t="s">
        <v>40</v>
      </c>
      <c r="D976">
        <v>4.2467050000000004</v>
      </c>
      <c r="E976">
        <v>0.47968719999999998</v>
      </c>
      <c r="F976" t="s">
        <v>43</v>
      </c>
      <c r="G976">
        <v>-280.12880000000001</v>
      </c>
      <c r="H976">
        <v>-0.05</v>
      </c>
      <c r="I976">
        <v>367.95940000000002</v>
      </c>
      <c r="J976">
        <v>-303.86340000000001</v>
      </c>
      <c r="K976">
        <v>1.0606120000000001</v>
      </c>
      <c r="L976">
        <v>368.00799999999998</v>
      </c>
      <c r="M976">
        <v>0.99966600000000005</v>
      </c>
      <c r="N976">
        <v>0</v>
      </c>
      <c r="O976">
        <v>-2.097185E-2</v>
      </c>
      <c r="P976">
        <v>0.99738610000000005</v>
      </c>
      <c r="Q976">
        <v>4.2060100000000003E-2</v>
      </c>
      <c r="R976">
        <v>-5.8755399999999999E-2</v>
      </c>
      <c r="S976">
        <v>3.013306</v>
      </c>
      <c r="T976">
        <v>-0.14000950000000001</v>
      </c>
      <c r="U976">
        <v>-6.5612789999999997E-3</v>
      </c>
      <c r="V976">
        <v>3.7801130000000002E-2</v>
      </c>
      <c r="W976">
        <v>5.7152410000000001E-2</v>
      </c>
      <c r="X976">
        <v>0.99764960000000003</v>
      </c>
      <c r="Y976">
        <v>-1.8754389999999999E-2</v>
      </c>
      <c r="Z976">
        <v>1.4094209999999999E-3</v>
      </c>
      <c r="AA976">
        <v>0.99982320000000002</v>
      </c>
      <c r="AB976">
        <v>30</v>
      </c>
      <c r="AC976">
        <v>23.7346</v>
      </c>
      <c r="AD976">
        <v>-1.1106119999999999</v>
      </c>
      <c r="AE976">
        <v>-4.8600000000021702E-2</v>
      </c>
      <c r="AF976">
        <v>-0.448244470624241</v>
      </c>
      <c r="AG976">
        <v>-1.1106119999999999</v>
      </c>
      <c r="AH976">
        <v>23.6785522495584</v>
      </c>
      <c r="AI976">
        <v>92.6849362985608</v>
      </c>
      <c r="AJ976">
        <v>91.084502501801296</v>
      </c>
      <c r="AK976">
        <v>23.7088215387239</v>
      </c>
      <c r="AL976">
        <v>86.723622884201902</v>
      </c>
      <c r="AM976">
        <v>87.830090219296693</v>
      </c>
      <c r="AN976">
        <v>1.00000002388912</v>
      </c>
    </row>
    <row r="977" spans="1:40" x14ac:dyDescent="0.25">
      <c r="A977" t="str">
        <f>"20190312153908921"</f>
        <v>20190312153908921</v>
      </c>
      <c r="B977" t="str">
        <f>"1552376348916987"</f>
        <v>1552376348916987</v>
      </c>
      <c r="C977" t="s">
        <v>40</v>
      </c>
      <c r="D977">
        <v>4.1922769999999998</v>
      </c>
      <c r="E977">
        <v>0.47949310000000001</v>
      </c>
      <c r="F977" t="s">
        <v>43</v>
      </c>
      <c r="G977">
        <v>-279.40230000000003</v>
      </c>
      <c r="H977">
        <v>-0.05</v>
      </c>
      <c r="I977">
        <v>367.95870000000002</v>
      </c>
      <c r="J977">
        <v>-303.69380000000001</v>
      </c>
      <c r="K977">
        <v>1.0606199999999999</v>
      </c>
      <c r="L977">
        <v>368.00459999999998</v>
      </c>
      <c r="M977">
        <v>0.99966829999999995</v>
      </c>
      <c r="N977">
        <v>0</v>
      </c>
      <c r="O977">
        <v>-2.0841269999999999E-2</v>
      </c>
      <c r="P977">
        <v>0.99738479999999996</v>
      </c>
      <c r="Q977">
        <v>4.1728080000000001E-2</v>
      </c>
      <c r="R977">
        <v>-5.9012769999999999E-2</v>
      </c>
      <c r="S977">
        <v>3.013306</v>
      </c>
      <c r="T977">
        <v>-0.13681389999999999</v>
      </c>
      <c r="U977">
        <v>-6.0729979999999996E-3</v>
      </c>
      <c r="V977">
        <v>3.818788E-2</v>
      </c>
      <c r="W977">
        <v>5.6848200000000002E-2</v>
      </c>
      <c r="X977">
        <v>0.99765219999999999</v>
      </c>
      <c r="Y977">
        <v>-1.878784E-2</v>
      </c>
      <c r="Z977">
        <v>1.3721199999999999E-3</v>
      </c>
      <c r="AA977">
        <v>0.99982260000000001</v>
      </c>
      <c r="AB977">
        <v>30</v>
      </c>
      <c r="AC977">
        <v>24.2914999999999</v>
      </c>
      <c r="AD977">
        <v>-1.1106199999999999</v>
      </c>
      <c r="AE977">
        <v>-4.58999999999605E-2</v>
      </c>
      <c r="AF977">
        <v>-0.45947317848256702</v>
      </c>
      <c r="AG977">
        <v>-1.1106199999999999</v>
      </c>
      <c r="AH977">
        <v>24.236516325831101</v>
      </c>
      <c r="AI977">
        <v>92.623229554169995</v>
      </c>
      <c r="AJ977">
        <v>91.086076909705994</v>
      </c>
      <c r="AK977">
        <v>24.266300006354999</v>
      </c>
      <c r="AL977">
        <v>86.741081048397902</v>
      </c>
      <c r="AM977">
        <v>87.8079167470773</v>
      </c>
      <c r="AN977">
        <v>0.99999997209348601</v>
      </c>
    </row>
    <row r="978" spans="1:40" x14ac:dyDescent="0.25">
      <c r="A978" t="str">
        <f>"20190312153908937"</f>
        <v>20190312153908937</v>
      </c>
      <c r="B978" t="str">
        <f>"1552376348926746"</f>
        <v>1552376348926746</v>
      </c>
      <c r="C978" t="s">
        <v>40</v>
      </c>
      <c r="D978">
        <v>4.2819190000000003</v>
      </c>
      <c r="E978">
        <v>0.47930469999999997</v>
      </c>
      <c r="F978" t="s">
        <v>42</v>
      </c>
      <c r="G978">
        <v>-279.6456</v>
      </c>
      <c r="H978" s="1">
        <v>-5.469204E-7</v>
      </c>
      <c r="I978">
        <v>367.96170000000001</v>
      </c>
      <c r="J978">
        <v>-303.47879999999998</v>
      </c>
      <c r="K978">
        <v>1.06063</v>
      </c>
      <c r="L978">
        <v>368.00029999999998</v>
      </c>
      <c r="M978">
        <v>0.99967159999999999</v>
      </c>
      <c r="N978">
        <v>0</v>
      </c>
      <c r="O978">
        <v>-2.0668490000000001E-2</v>
      </c>
      <c r="P978">
        <v>0.99737640000000005</v>
      </c>
      <c r="Q978">
        <v>4.1751509999999999E-2</v>
      </c>
      <c r="R978">
        <v>-5.9140230000000002E-2</v>
      </c>
      <c r="S978">
        <v>3.0130919999999999</v>
      </c>
      <c r="T978">
        <v>-0.1328887</v>
      </c>
      <c r="U978">
        <v>-5.3710939999999999E-3</v>
      </c>
      <c r="V978">
        <v>3.8486899999999998E-2</v>
      </c>
      <c r="W978">
        <v>5.6902960000000002E-2</v>
      </c>
      <c r="X978">
        <v>0.99763760000000001</v>
      </c>
      <c r="Y978">
        <v>-1.8850220000000001E-2</v>
      </c>
      <c r="Z978">
        <v>1.326647E-3</v>
      </c>
      <c r="AA978">
        <v>0.99982139999999997</v>
      </c>
      <c r="AB978">
        <v>30</v>
      </c>
      <c r="AC978">
        <v>23.833199999999898</v>
      </c>
      <c r="AD978">
        <v>-1.0606305469204</v>
      </c>
      <c r="AE978">
        <v>-3.8599999999973898E-2</v>
      </c>
      <c r="AF978">
        <v>-0.45316357513529099</v>
      </c>
      <c r="AG978">
        <v>-1.0606305469204</v>
      </c>
      <c r="AH978">
        <v>23.781807052400499</v>
      </c>
      <c r="AI978">
        <v>92.553145079612193</v>
      </c>
      <c r="AJ978">
        <v>91.091641959823306</v>
      </c>
      <c r="AK978">
        <v>23.809759365867102</v>
      </c>
      <c r="AL978">
        <v>86.737938485351606</v>
      </c>
      <c r="AM978">
        <v>87.790736867072695</v>
      </c>
      <c r="AN978">
        <v>0.99999998463106499</v>
      </c>
    </row>
    <row r="979" spans="1:40" x14ac:dyDescent="0.25">
      <c r="A979" t="str">
        <f>"20190312153908954"</f>
        <v>20190312153908954</v>
      </c>
      <c r="B979" t="str">
        <f>"1552376348947242"</f>
        <v>1552376348947242</v>
      </c>
      <c r="C979" t="s">
        <v>40</v>
      </c>
      <c r="D979">
        <v>4.238092</v>
      </c>
      <c r="E979">
        <v>0.47882970000000002</v>
      </c>
      <c r="F979" t="s">
        <v>42</v>
      </c>
      <c r="G979">
        <v>-279.36040000000003</v>
      </c>
      <c r="H979" s="1">
        <v>-6.4241930000000001E-7</v>
      </c>
      <c r="I979">
        <v>367.96749999999997</v>
      </c>
      <c r="J979">
        <v>-303.26350000000002</v>
      </c>
      <c r="K979">
        <v>1.0606390000000001</v>
      </c>
      <c r="L979">
        <v>367.99599999999998</v>
      </c>
      <c r="M979">
        <v>0.99967490000000003</v>
      </c>
      <c r="N979">
        <v>0</v>
      </c>
      <c r="O979">
        <v>-2.048519E-2</v>
      </c>
      <c r="P979">
        <v>0.99735620000000003</v>
      </c>
      <c r="Q979">
        <v>4.208054E-2</v>
      </c>
      <c r="R979">
        <v>-5.9247769999999998E-2</v>
      </c>
      <c r="S979">
        <v>3.0131839999999999</v>
      </c>
      <c r="T979">
        <v>-0.1325076</v>
      </c>
      <c r="U979">
        <v>-4.0893550000000002E-3</v>
      </c>
      <c r="V979">
        <v>3.8776390000000001E-2</v>
      </c>
      <c r="W979">
        <v>5.7258570000000002E-2</v>
      </c>
      <c r="X979">
        <v>0.99760599999999999</v>
      </c>
      <c r="Y979">
        <v>-1.9092410000000001E-2</v>
      </c>
      <c r="Z979">
        <v>1.3200729999999999E-3</v>
      </c>
      <c r="AA979">
        <v>0.99981679999999995</v>
      </c>
      <c r="AB979">
        <v>30</v>
      </c>
      <c r="AC979">
        <v>23.903099999999899</v>
      </c>
      <c r="AD979">
        <v>-1.0606396424193001</v>
      </c>
      <c r="AE979">
        <v>-2.8500000000008099E-2</v>
      </c>
      <c r="AF979">
        <v>-0.46031563643122703</v>
      </c>
      <c r="AG979">
        <v>-1.0606396424193001</v>
      </c>
      <c r="AH979">
        <v>23.851704884499402</v>
      </c>
      <c r="AI979">
        <v>92.545682810571193</v>
      </c>
      <c r="AJ979">
        <v>91.105617803251207</v>
      </c>
      <c r="AK979">
        <v>23.8797125785355</v>
      </c>
      <c r="AL979">
        <v>86.717530117550893</v>
      </c>
      <c r="AM979">
        <v>87.774065492719103</v>
      </c>
      <c r="AN979">
        <v>0.99999994174793605</v>
      </c>
    </row>
    <row r="980" spans="1:40" x14ac:dyDescent="0.25">
      <c r="A980" t="str">
        <f>"20190312153908968"</f>
        <v>20190312153908968</v>
      </c>
      <c r="B980" t="str">
        <f>"1552376348957002"</f>
        <v>1552376348957002</v>
      </c>
      <c r="C980" t="s">
        <v>40</v>
      </c>
      <c r="D980">
        <v>4.2808219999999997</v>
      </c>
      <c r="E980">
        <v>0.47861579999999898</v>
      </c>
      <c r="F980" t="s">
        <v>42</v>
      </c>
      <c r="G980">
        <v>-278.76909999999998</v>
      </c>
      <c r="H980" s="1">
        <v>-8.379271E-7</v>
      </c>
      <c r="I980">
        <v>367.98899999999998</v>
      </c>
      <c r="J980">
        <v>-303.06810000000002</v>
      </c>
      <c r="K980">
        <v>1.0606469999999999</v>
      </c>
      <c r="L980">
        <v>367.99220000000003</v>
      </c>
      <c r="M980">
        <v>0.99967799999999996</v>
      </c>
      <c r="N980">
        <v>0</v>
      </c>
      <c r="O980">
        <v>-2.0313310000000001E-2</v>
      </c>
      <c r="P980">
        <v>0.99735770000000001</v>
      </c>
      <c r="Q980">
        <v>4.2181280000000002E-2</v>
      </c>
      <c r="R980">
        <v>-5.914614E-2</v>
      </c>
      <c r="S980">
        <v>3.0133670000000001</v>
      </c>
      <c r="T980">
        <v>-0.130482399999999</v>
      </c>
      <c r="U980">
        <v>-8.5449219999999995E-4</v>
      </c>
      <c r="V980">
        <v>3.8845490000000003E-2</v>
      </c>
      <c r="W980">
        <v>5.7379479999999997E-2</v>
      </c>
      <c r="X980">
        <v>0.99759640000000005</v>
      </c>
      <c r="Y980">
        <v>-1.9994379999999999E-2</v>
      </c>
      <c r="Z980">
        <v>1.3119220000000001E-3</v>
      </c>
      <c r="AA980">
        <v>0.99979929999999995</v>
      </c>
      <c r="AB980">
        <v>30</v>
      </c>
      <c r="AC980">
        <v>24.298999999999999</v>
      </c>
      <c r="AD980">
        <v>-1.0606478379270901</v>
      </c>
      <c r="AE980">
        <v>-3.19999999999254E-3</v>
      </c>
      <c r="AF980">
        <v>-0.489518181800567</v>
      </c>
      <c r="AG980">
        <v>-1.0606478379270901</v>
      </c>
      <c r="AH980">
        <v>24.247850409715699</v>
      </c>
      <c r="AI980">
        <v>92.504121933402899</v>
      </c>
      <c r="AJ980">
        <v>91.156536185699906</v>
      </c>
      <c r="AK980">
        <v>24.275972717449701</v>
      </c>
      <c r="AL980">
        <v>86.710591192323506</v>
      </c>
      <c r="AM980">
        <v>87.770081414071697</v>
      </c>
      <c r="AN980">
        <v>0.999999977055685</v>
      </c>
    </row>
    <row r="981" spans="1:40" x14ac:dyDescent="0.25">
      <c r="A981" t="str">
        <f>"20190312153908983"</f>
        <v>20190312153908983</v>
      </c>
      <c r="B981" t="str">
        <f>"1552376348977032"</f>
        <v>1552376348977032</v>
      </c>
      <c r="C981" t="s">
        <v>40</v>
      </c>
      <c r="D981">
        <v>4.2670050000000002</v>
      </c>
      <c r="E981">
        <v>0.47824080000000002</v>
      </c>
      <c r="F981" t="s">
        <v>42</v>
      </c>
      <c r="G981">
        <v>-278.43790000000001</v>
      </c>
      <c r="H981" s="1">
        <v>-9.4702800000000003E-7</v>
      </c>
      <c r="I981">
        <v>368.00259999999997</v>
      </c>
      <c r="J981">
        <v>-302.85700000000003</v>
      </c>
      <c r="K981">
        <v>1.0606469999999999</v>
      </c>
      <c r="L981">
        <v>367.98809999999997</v>
      </c>
      <c r="M981">
        <v>0.9996815</v>
      </c>
      <c r="N981">
        <v>0</v>
      </c>
      <c r="O981">
        <v>-2.012268E-2</v>
      </c>
      <c r="P981">
        <v>0.99737540000000002</v>
      </c>
      <c r="Q981">
        <v>4.2440350000000002E-2</v>
      </c>
      <c r="R981">
        <v>-5.8664199999999903E-2</v>
      </c>
      <c r="S981">
        <v>3.0134889999999999</v>
      </c>
      <c r="T981">
        <v>-0.129769</v>
      </c>
      <c r="U981">
        <v>1.2817379999999999E-3</v>
      </c>
      <c r="V981">
        <v>3.855219E-2</v>
      </c>
      <c r="W981">
        <v>5.7654169999999998E-2</v>
      </c>
      <c r="X981">
        <v>0.99759200000000003</v>
      </c>
      <c r="Y981">
        <v>-2.0512599999999999E-2</v>
      </c>
      <c r="Z981">
        <v>1.307653E-3</v>
      </c>
      <c r="AA981">
        <v>0.99978880000000003</v>
      </c>
      <c r="AB981">
        <v>30</v>
      </c>
      <c r="AC981">
        <v>24.4191</v>
      </c>
      <c r="AD981">
        <v>-1.0606479470279999</v>
      </c>
      <c r="AE981">
        <v>1.4499999999998099E-2</v>
      </c>
      <c r="AF981">
        <v>-0.504979101797151</v>
      </c>
      <c r="AG981">
        <v>-1.0606479470279999</v>
      </c>
      <c r="AH981">
        <v>24.367889818945802</v>
      </c>
      <c r="AI981">
        <v>92.491774919139502</v>
      </c>
      <c r="AJ981">
        <v>91.187178323165497</v>
      </c>
      <c r="AK981">
        <v>24.396188886567298</v>
      </c>
      <c r="AL981">
        <v>86.694826713318406</v>
      </c>
      <c r="AM981">
        <v>87.786891692902202</v>
      </c>
      <c r="AN981">
        <v>1.0000000365680899</v>
      </c>
    </row>
    <row r="982" spans="1:40" x14ac:dyDescent="0.25">
      <c r="A982" t="str">
        <f>"20190312153909000"</f>
        <v>20190312153909000</v>
      </c>
      <c r="B982" t="str">
        <f>"1552376348996554"</f>
        <v>1552376348996554</v>
      </c>
      <c r="C982" t="s">
        <v>40</v>
      </c>
      <c r="D982">
        <v>4.2117979999999999</v>
      </c>
      <c r="E982">
        <v>0.47816560000000002</v>
      </c>
      <c r="F982" t="s">
        <v>42</v>
      </c>
      <c r="G982">
        <v>-277.83920000000001</v>
      </c>
      <c r="H982" s="1">
        <v>-1.189677E-6</v>
      </c>
      <c r="I982">
        <v>368.03559999999999</v>
      </c>
      <c r="J982">
        <v>-302.63729999999998</v>
      </c>
      <c r="K982">
        <v>1.0606530000000001</v>
      </c>
      <c r="L982">
        <v>367.98390000000001</v>
      </c>
      <c r="M982">
        <v>0.99968559999999995</v>
      </c>
      <c r="N982">
        <v>0</v>
      </c>
      <c r="O982">
        <v>-1.9920110000000001E-2</v>
      </c>
      <c r="P982">
        <v>0.99739929999999999</v>
      </c>
      <c r="Q982">
        <v>4.2683239999999997E-2</v>
      </c>
      <c r="R982">
        <v>-5.8077070000000001E-2</v>
      </c>
      <c r="S982">
        <v>3.0136720000000001</v>
      </c>
      <c r="T982">
        <v>-0.12776669999999901</v>
      </c>
      <c r="U982">
        <v>5.7373049999999998E-3</v>
      </c>
      <c r="V982">
        <v>3.8166489999999997E-2</v>
      </c>
      <c r="W982">
        <v>5.7906470000000002E-2</v>
      </c>
      <c r="X982">
        <v>0.99759219999999904</v>
      </c>
      <c r="Y982">
        <v>-2.1788289999999998E-2</v>
      </c>
      <c r="Z982">
        <v>1.3058639999999999E-3</v>
      </c>
      <c r="AA982">
        <v>0.99976180000000003</v>
      </c>
      <c r="AB982">
        <v>30</v>
      </c>
      <c r="AC982">
        <v>24.798099999999899</v>
      </c>
      <c r="AD982">
        <v>-1.0606541896770001</v>
      </c>
      <c r="AE982">
        <v>5.1699999999982503E-2</v>
      </c>
      <c r="AF982">
        <v>-0.54473137136438599</v>
      </c>
      <c r="AG982">
        <v>-1.0606541896770001</v>
      </c>
      <c r="AH982">
        <v>24.7468763432096</v>
      </c>
      <c r="AI982">
        <v>92.453608541156697</v>
      </c>
      <c r="AJ982">
        <v>91.260998304733604</v>
      </c>
      <c r="AK982">
        <v>24.775584923935401</v>
      </c>
      <c r="AL982">
        <v>86.680346738519901</v>
      </c>
      <c r="AM982">
        <v>87.809011751424407</v>
      </c>
      <c r="AN982">
        <v>1.0000000188638101</v>
      </c>
    </row>
    <row r="983" spans="1:40" x14ac:dyDescent="0.25">
      <c r="A983" t="str">
        <f>"20190312153909017"</f>
        <v>20190312153909017</v>
      </c>
      <c r="B983" t="str">
        <f>"1552376349007288"</f>
        <v>1552376349007288</v>
      </c>
      <c r="C983" t="s">
        <v>40</v>
      </c>
      <c r="D983">
        <v>4.1851039999999999</v>
      </c>
      <c r="E983">
        <v>0.4781395</v>
      </c>
      <c r="F983" t="s">
        <v>42</v>
      </c>
      <c r="G983">
        <v>-277.0385</v>
      </c>
      <c r="H983" s="1">
        <v>-1.5301979999999999E-6</v>
      </c>
      <c r="I983">
        <v>368.05250000000001</v>
      </c>
      <c r="J983">
        <v>-302.40660000000003</v>
      </c>
      <c r="K983">
        <v>1.060662</v>
      </c>
      <c r="L983">
        <v>367.97949999999997</v>
      </c>
      <c r="M983">
        <v>0.99968990000000002</v>
      </c>
      <c r="N983">
        <v>0</v>
      </c>
      <c r="O983">
        <v>-1.970272E-2</v>
      </c>
      <c r="P983">
        <v>0.99743979999999999</v>
      </c>
      <c r="Q983">
        <v>4.3255269999999998E-2</v>
      </c>
      <c r="R983">
        <v>-5.6949199999999998E-2</v>
      </c>
      <c r="S983">
        <v>3.0136409999999998</v>
      </c>
      <c r="T983">
        <v>-0.12486609999999999</v>
      </c>
      <c r="U983">
        <v>8.0871580000000005E-3</v>
      </c>
      <c r="V983">
        <v>3.7253950000000001E-2</v>
      </c>
      <c r="W983">
        <v>5.8477710000000002E-2</v>
      </c>
      <c r="X983">
        <v>0.99759330000000002</v>
      </c>
      <c r="Y983">
        <v>-2.2351840000000001E-2</v>
      </c>
      <c r="Z983">
        <v>1.2789240000000001E-3</v>
      </c>
      <c r="AA983">
        <v>0.99974940000000001</v>
      </c>
      <c r="AB983">
        <v>30</v>
      </c>
      <c r="AC983">
        <v>25.368099999999998</v>
      </c>
      <c r="AD983">
        <v>-1.0606635301980001</v>
      </c>
      <c r="AE983">
        <v>7.3000000000035897E-2</v>
      </c>
      <c r="AF983">
        <v>-0.57186466477691</v>
      </c>
      <c r="AG983">
        <v>-1.0606635301980001</v>
      </c>
      <c r="AH983">
        <v>25.317477549091802</v>
      </c>
      <c r="AI983">
        <v>92.398365188796902</v>
      </c>
      <c r="AJ983">
        <v>91.293962284020793</v>
      </c>
      <c r="AK983">
        <v>25.346137886626401</v>
      </c>
      <c r="AL983">
        <v>86.647561294664399</v>
      </c>
      <c r="AM983">
        <v>87.8613502045594</v>
      </c>
      <c r="AN983">
        <v>0.99999994578116602</v>
      </c>
    </row>
    <row r="984" spans="1:40" x14ac:dyDescent="0.25">
      <c r="A984" t="str">
        <f>"20190312153909037"</f>
        <v>20190312153909037</v>
      </c>
      <c r="B984" t="str">
        <f>"1552376349026809"</f>
        <v>1552376349026809</v>
      </c>
      <c r="C984" t="s">
        <v>40</v>
      </c>
      <c r="D984">
        <v>4.179862</v>
      </c>
      <c r="E984">
        <v>0.47806589999999999</v>
      </c>
      <c r="F984" t="s">
        <v>42</v>
      </c>
      <c r="G984">
        <v>-276.20780000000002</v>
      </c>
      <c r="H984" s="1">
        <v>-1.8819389999999999E-6</v>
      </c>
      <c r="I984">
        <v>368.07839999999999</v>
      </c>
      <c r="J984">
        <v>-302.13760000000002</v>
      </c>
      <c r="K984">
        <v>1.060665</v>
      </c>
      <c r="L984">
        <v>367.97449999999998</v>
      </c>
      <c r="M984">
        <v>0.99969520000000001</v>
      </c>
      <c r="N984">
        <v>0</v>
      </c>
      <c r="O984">
        <v>-1.9445560000000001E-2</v>
      </c>
      <c r="P984">
        <v>0.99746610000000002</v>
      </c>
      <c r="Q984">
        <v>4.4008029999999997E-2</v>
      </c>
      <c r="R984">
        <v>-5.5900539999999999E-2</v>
      </c>
      <c r="S984">
        <v>3.0136409999999998</v>
      </c>
      <c r="T984">
        <v>-0.1220079</v>
      </c>
      <c r="U984">
        <v>1.138306E-2</v>
      </c>
      <c r="V984">
        <v>3.6461159999999999E-2</v>
      </c>
      <c r="W984">
        <v>5.921361E-2</v>
      </c>
      <c r="X984">
        <v>0.9975792</v>
      </c>
      <c r="Y984">
        <v>-2.3189169999999999E-2</v>
      </c>
      <c r="Z984">
        <v>1.2562090000000001E-3</v>
      </c>
      <c r="AA984">
        <v>0.99973029999999996</v>
      </c>
      <c r="AB984">
        <v>30</v>
      </c>
      <c r="AC984">
        <v>25.9298</v>
      </c>
      <c r="AD984">
        <v>-1.0606668819389999</v>
      </c>
      <c r="AE984">
        <v>0.10390000000001</v>
      </c>
      <c r="AF984">
        <v>-0.607142292195337</v>
      </c>
      <c r="AG984">
        <v>-1.0606668819389999</v>
      </c>
      <c r="AH984">
        <v>25.879573173265101</v>
      </c>
      <c r="AI984">
        <v>92.346292715241603</v>
      </c>
      <c r="AJ984">
        <v>91.343929080817901</v>
      </c>
      <c r="AK984">
        <v>25.9084145332708</v>
      </c>
      <c r="AL984">
        <v>86.605324196216003</v>
      </c>
      <c r="AM984">
        <v>87.906791678753507</v>
      </c>
      <c r="AN984">
        <v>0.99999996403520797</v>
      </c>
    </row>
    <row r="985" spans="1:40" x14ac:dyDescent="0.25">
      <c r="A985" t="str">
        <f>"20190312153909050"</f>
        <v>20190312153909050</v>
      </c>
      <c r="B985" t="str">
        <f>"1552376349036569"</f>
        <v>1552376349036569</v>
      </c>
      <c r="C985" t="s">
        <v>40</v>
      </c>
      <c r="D985">
        <v>4.1141889999999997</v>
      </c>
      <c r="E985">
        <v>0.47806680000000001</v>
      </c>
      <c r="F985" t="s">
        <v>42</v>
      </c>
      <c r="G985">
        <v>-275.04399999999998</v>
      </c>
      <c r="H985" s="1">
        <v>-2.3757119999999999E-6</v>
      </c>
      <c r="I985">
        <v>368.10939999999999</v>
      </c>
      <c r="J985">
        <v>-301.96120000000002</v>
      </c>
      <c r="K985">
        <v>1.060662</v>
      </c>
      <c r="L985">
        <v>367.97129999999999</v>
      </c>
      <c r="M985">
        <v>0.9996988</v>
      </c>
      <c r="N985">
        <v>0</v>
      </c>
      <c r="O985">
        <v>-1.927514E-2</v>
      </c>
      <c r="P985">
        <v>0.99747660000000005</v>
      </c>
      <c r="Q985">
        <v>4.4209850000000002E-2</v>
      </c>
      <c r="R985">
        <v>-5.5552070000000002E-2</v>
      </c>
      <c r="S985">
        <v>3.0136409999999998</v>
      </c>
      <c r="T985">
        <v>-0.1179785</v>
      </c>
      <c r="U985">
        <v>1.5014649999999999E-2</v>
      </c>
      <c r="V985">
        <v>3.6282420000000003E-2</v>
      </c>
      <c r="W985">
        <v>5.9390680000000001E-2</v>
      </c>
      <c r="X985">
        <v>0.9975752</v>
      </c>
      <c r="Y985">
        <v>-2.422504E-2</v>
      </c>
      <c r="Z985">
        <v>1.228352E-3</v>
      </c>
      <c r="AA985">
        <v>0.99970579999999998</v>
      </c>
      <c r="AB985">
        <v>30</v>
      </c>
      <c r="AC985">
        <v>26.917199999999902</v>
      </c>
      <c r="AD985">
        <v>-1.060664375712</v>
      </c>
      <c r="AE985">
        <v>0.13810000000000799</v>
      </c>
      <c r="AF985">
        <v>-0.65594852915692803</v>
      </c>
      <c r="AG985">
        <v>-1.060664375712</v>
      </c>
      <c r="AH985">
        <v>26.867818495067201</v>
      </c>
      <c r="AI985">
        <v>92.260026326045505</v>
      </c>
      <c r="AJ985">
        <v>91.398536244382996</v>
      </c>
      <c r="AK985">
        <v>26.896746049934801</v>
      </c>
      <c r="AL985">
        <v>86.595160977099098</v>
      </c>
      <c r="AM985">
        <v>87.917035604619699</v>
      </c>
      <c r="AN985">
        <v>0.999999973263479</v>
      </c>
    </row>
    <row r="986" spans="1:40" x14ac:dyDescent="0.25">
      <c r="A986" t="str">
        <f>"20190312153909062"</f>
        <v>20190312153909062</v>
      </c>
      <c r="B986" t="str">
        <f>"1552376349057064"</f>
        <v>1552376349057064</v>
      </c>
      <c r="C986" t="s">
        <v>40</v>
      </c>
      <c r="D986">
        <v>4.1151280000000003</v>
      </c>
      <c r="E986">
        <v>0.47812510000000003</v>
      </c>
      <c r="F986" t="s">
        <v>42</v>
      </c>
      <c r="G986">
        <v>-274.36239999999998</v>
      </c>
      <c r="H986" s="1">
        <v>-2.6665190000000001E-6</v>
      </c>
      <c r="I986">
        <v>368.11849999999998</v>
      </c>
      <c r="J986">
        <v>-301.803</v>
      </c>
      <c r="K986">
        <v>1.060659</v>
      </c>
      <c r="L986">
        <v>367.96839999999997</v>
      </c>
      <c r="M986">
        <v>0.99970219999999999</v>
      </c>
      <c r="N986">
        <v>0</v>
      </c>
      <c r="O986">
        <v>-1.9122360000000001E-2</v>
      </c>
      <c r="P986">
        <v>0.99749160000000003</v>
      </c>
      <c r="Q986">
        <v>4.4389119999999997E-2</v>
      </c>
      <c r="R986">
        <v>-5.5141280000000001E-2</v>
      </c>
      <c r="S986">
        <v>3.0135800000000001</v>
      </c>
      <c r="T986">
        <v>-0.11581610000000001</v>
      </c>
      <c r="U986">
        <v>1.6082760000000001E-2</v>
      </c>
      <c r="V986">
        <v>3.6023800000000002E-2</v>
      </c>
      <c r="W986">
        <v>5.954396E-2</v>
      </c>
      <c r="X986">
        <v>0.99757549999999995</v>
      </c>
      <c r="Y986">
        <v>-2.4427850000000001E-2</v>
      </c>
      <c r="Z986">
        <v>1.2039049999999999E-3</v>
      </c>
      <c r="AA986">
        <v>0.99970079999999995</v>
      </c>
      <c r="AB986">
        <v>30</v>
      </c>
      <c r="AC986">
        <v>27.4406</v>
      </c>
      <c r="AD986">
        <v>-1.0606616665189901</v>
      </c>
      <c r="AE986">
        <v>0.150100000000009</v>
      </c>
      <c r="AF986">
        <v>-0.67385514744524799</v>
      </c>
      <c r="AG986">
        <v>-1.0606616665189901</v>
      </c>
      <c r="AH986">
        <v>27.391787154938498</v>
      </c>
      <c r="AI986">
        <v>92.216822778986398</v>
      </c>
      <c r="AJ986">
        <v>91.4092278807654</v>
      </c>
      <c r="AK986">
        <v>27.420596045163101</v>
      </c>
      <c r="AL986">
        <v>86.586363330232302</v>
      </c>
      <c r="AM986">
        <v>87.931870594466901</v>
      </c>
      <c r="AN986">
        <v>1.0000000377695799</v>
      </c>
    </row>
    <row r="987" spans="1:40" x14ac:dyDescent="0.25">
      <c r="A987" t="str">
        <f>"20190312153909074"</f>
        <v>20190312153909074</v>
      </c>
      <c r="B987" t="str">
        <f>"1552376349067333"</f>
        <v>1552376349067333</v>
      </c>
      <c r="C987" t="s">
        <v>40</v>
      </c>
      <c r="D987">
        <v>4.1110620000000004</v>
      </c>
      <c r="E987">
        <v>0.47810900000000001</v>
      </c>
      <c r="F987" t="s">
        <v>42</v>
      </c>
      <c r="G987">
        <v>-273.3383</v>
      </c>
      <c r="H987" s="1">
        <v>-3.1040670000000002E-6</v>
      </c>
      <c r="I987">
        <v>368.12860000000001</v>
      </c>
      <c r="J987">
        <v>-301.64260000000002</v>
      </c>
      <c r="K987">
        <v>1.060646</v>
      </c>
      <c r="L987">
        <v>367.96550000000002</v>
      </c>
      <c r="M987">
        <v>0.99970559999999997</v>
      </c>
      <c r="N987">
        <v>0</v>
      </c>
      <c r="O987">
        <v>-1.8967029999999999E-2</v>
      </c>
      <c r="P987">
        <v>0.99750890000000003</v>
      </c>
      <c r="Q987">
        <v>4.4351290000000002E-2</v>
      </c>
      <c r="R987">
        <v>-5.4851869999999997E-2</v>
      </c>
      <c r="S987">
        <v>3.013458</v>
      </c>
      <c r="T987">
        <v>-0.1122882</v>
      </c>
      <c r="U987">
        <v>1.696777E-2</v>
      </c>
      <c r="V987">
        <v>3.588943E-2</v>
      </c>
      <c r="W987">
        <v>5.9473980000000003E-2</v>
      </c>
      <c r="X987">
        <v>0.99758449999999999</v>
      </c>
      <c r="Y987">
        <v>-2.4568260000000001E-2</v>
      </c>
      <c r="Z987">
        <v>1.164134E-3</v>
      </c>
      <c r="AA987">
        <v>0.99969750000000002</v>
      </c>
      <c r="AB987">
        <v>30</v>
      </c>
      <c r="AC987">
        <v>28.304300000000001</v>
      </c>
      <c r="AD987">
        <v>-1.0606491040670001</v>
      </c>
      <c r="AE987">
        <v>0.16309999999998501</v>
      </c>
      <c r="AF987">
        <v>-0.69899910697401901</v>
      </c>
      <c r="AG987">
        <v>-1.0606491040670001</v>
      </c>
      <c r="AH987">
        <v>28.256436036264901</v>
      </c>
      <c r="AI987">
        <v>92.149019771957697</v>
      </c>
      <c r="AJ987">
        <v>91.417076525192698</v>
      </c>
      <c r="AK987">
        <v>28.284973992299101</v>
      </c>
      <c r="AL987">
        <v>86.590379946754297</v>
      </c>
      <c r="AM987">
        <v>87.939596698817297</v>
      </c>
      <c r="AN987">
        <v>1.0000000200615</v>
      </c>
    </row>
    <row r="988" spans="1:40" x14ac:dyDescent="0.25">
      <c r="A988" t="str">
        <f>"20190312153909085"</f>
        <v>20190312153909085</v>
      </c>
      <c r="B988" t="str">
        <f>"1552376349077093"</f>
        <v>1552376349077093</v>
      </c>
      <c r="C988" t="s">
        <v>40</v>
      </c>
      <c r="D988">
        <v>4.0546740000000003</v>
      </c>
      <c r="E988">
        <v>0.47804990000000003</v>
      </c>
      <c r="F988" t="s">
        <v>42</v>
      </c>
      <c r="G988">
        <v>-272.9742</v>
      </c>
      <c r="H988" s="1">
        <v>-3.2587069999999998E-6</v>
      </c>
      <c r="I988">
        <v>368.13729999999998</v>
      </c>
      <c r="J988">
        <v>-301.48899999999998</v>
      </c>
      <c r="K988">
        <v>1.0606390000000001</v>
      </c>
      <c r="L988">
        <v>367.96269999999998</v>
      </c>
      <c r="M988">
        <v>0.99970899999999996</v>
      </c>
      <c r="N988">
        <v>0</v>
      </c>
      <c r="O988">
        <v>-1.881859E-2</v>
      </c>
      <c r="P988">
        <v>0.9975039</v>
      </c>
      <c r="Q988">
        <v>4.4495270000000003E-2</v>
      </c>
      <c r="R988">
        <v>-5.4828549999999997E-2</v>
      </c>
      <c r="S988">
        <v>3.0134280000000002</v>
      </c>
      <c r="T988">
        <v>-0.11148810000000001</v>
      </c>
      <c r="U988">
        <v>1.8066410000000001E-2</v>
      </c>
      <c r="V988">
        <v>3.6014360000000002E-2</v>
      </c>
      <c r="W988">
        <v>5.9580599999999997E-2</v>
      </c>
      <c r="X988">
        <v>0.99757359999999995</v>
      </c>
      <c r="Y988">
        <v>-2.47847E-2</v>
      </c>
      <c r="Z988">
        <v>1.154368E-3</v>
      </c>
      <c r="AA988">
        <v>0.99969209999999997</v>
      </c>
      <c r="AB988">
        <v>30</v>
      </c>
      <c r="AC988">
        <v>28.514800000000001</v>
      </c>
      <c r="AD988">
        <v>-1.0606422587069999</v>
      </c>
      <c r="AE988">
        <v>0.17459999999999801</v>
      </c>
      <c r="AF988">
        <v>-0.71025588470476198</v>
      </c>
      <c r="AG988">
        <v>-1.0606422587069999</v>
      </c>
      <c r="AH988">
        <v>28.467078834184399</v>
      </c>
      <c r="AI988">
        <v>92.133107803626601</v>
      </c>
      <c r="AJ988">
        <v>91.429237742541801</v>
      </c>
      <c r="AK988">
        <v>28.495683932384999</v>
      </c>
      <c r="AL988">
        <v>86.584260097756001</v>
      </c>
      <c r="AM988">
        <v>87.932408140680806</v>
      </c>
      <c r="AN988">
        <v>0.99999998471976403</v>
      </c>
    </row>
    <row r="989" spans="1:40" x14ac:dyDescent="0.25">
      <c r="A989" t="str">
        <f>"20190312153909097"</f>
        <v>20190312153909097</v>
      </c>
      <c r="B989" t="str">
        <f>"1552376349086852"</f>
        <v>1552376349086852</v>
      </c>
      <c r="C989" t="s">
        <v>40</v>
      </c>
      <c r="D989">
        <v>4.0537020000000004</v>
      </c>
      <c r="E989">
        <v>0.47802850000000002</v>
      </c>
      <c r="F989" t="s">
        <v>42</v>
      </c>
      <c r="G989">
        <v>-272.50080000000003</v>
      </c>
      <c r="H989" s="1">
        <v>-3.4616890000000002E-6</v>
      </c>
      <c r="I989">
        <v>368.1379</v>
      </c>
      <c r="J989">
        <v>-301.33150000000001</v>
      </c>
      <c r="K989">
        <v>1.060632</v>
      </c>
      <c r="L989">
        <v>367.9599</v>
      </c>
      <c r="M989">
        <v>0.9997125</v>
      </c>
      <c r="N989">
        <v>0</v>
      </c>
      <c r="O989">
        <v>-1.866632E-2</v>
      </c>
      <c r="P989">
        <v>0.99749730000000003</v>
      </c>
      <c r="Q989">
        <v>4.461217E-2</v>
      </c>
      <c r="R989">
        <v>-5.4854750000000001E-2</v>
      </c>
      <c r="S989">
        <v>3.013458</v>
      </c>
      <c r="T989">
        <v>-0.1102587</v>
      </c>
      <c r="U989">
        <v>1.8218990000000001E-2</v>
      </c>
      <c r="V989">
        <v>3.6192509999999997E-2</v>
      </c>
      <c r="W989">
        <v>5.965724E-2</v>
      </c>
      <c r="X989">
        <v>0.99756259999999997</v>
      </c>
      <c r="Y989">
        <v>-2.4683790000000001E-2</v>
      </c>
      <c r="Z989">
        <v>1.13422E-3</v>
      </c>
      <c r="AA989">
        <v>0.99969459999999999</v>
      </c>
      <c r="AB989">
        <v>30</v>
      </c>
      <c r="AC989">
        <v>28.830699999999901</v>
      </c>
      <c r="AD989">
        <v>-1.0606354616889999</v>
      </c>
      <c r="AE989">
        <v>0.17799999999999699</v>
      </c>
      <c r="AF989">
        <v>-0.71522506618945403</v>
      </c>
      <c r="AG989">
        <v>-1.0606354616889999</v>
      </c>
      <c r="AH989">
        <v>28.783399095577099</v>
      </c>
      <c r="AI989">
        <v>92.109678756702706</v>
      </c>
      <c r="AJ989">
        <v>91.423422801894404</v>
      </c>
      <c r="AK989">
        <v>28.811812819973099</v>
      </c>
      <c r="AL989">
        <v>86.579861219392996</v>
      </c>
      <c r="AM989">
        <v>87.922166563315599</v>
      </c>
      <c r="AN989">
        <v>1.00000001249163</v>
      </c>
    </row>
    <row r="990" spans="1:40" x14ac:dyDescent="0.25">
      <c r="A990" t="str">
        <f>"20190312153909110"</f>
        <v>20190312153909110</v>
      </c>
      <c r="B990" t="str">
        <f>"1552376349096612"</f>
        <v>1552376349096612</v>
      </c>
      <c r="C990" t="s">
        <v>40</v>
      </c>
      <c r="D990">
        <v>4.0374869999999996</v>
      </c>
      <c r="E990">
        <v>0.47802050000000001</v>
      </c>
      <c r="F990" t="s">
        <v>42</v>
      </c>
      <c r="G990">
        <v>-272.01350000000002</v>
      </c>
      <c r="H990" s="1">
        <v>-3.6702960000000001E-6</v>
      </c>
      <c r="I990">
        <v>368.14030000000002</v>
      </c>
      <c r="J990">
        <v>-301.16250000000002</v>
      </c>
      <c r="K990">
        <v>1.060629</v>
      </c>
      <c r="L990">
        <v>367.95690000000002</v>
      </c>
      <c r="M990">
        <v>0.9997163</v>
      </c>
      <c r="N990">
        <v>0</v>
      </c>
      <c r="O990">
        <v>-1.850338E-2</v>
      </c>
      <c r="P990">
        <v>0.99750159999999999</v>
      </c>
      <c r="Q990">
        <v>4.466084E-2</v>
      </c>
      <c r="R990">
        <v>-5.4737969999999997E-2</v>
      </c>
      <c r="S990">
        <v>3.013458</v>
      </c>
      <c r="T990">
        <v>-0.1090175</v>
      </c>
      <c r="U990">
        <v>1.8554689999999999E-2</v>
      </c>
      <c r="V990">
        <v>3.623854E-2</v>
      </c>
      <c r="W990">
        <v>5.9657250000000002E-2</v>
      </c>
      <c r="X990">
        <v>0.99756089999999997</v>
      </c>
      <c r="Y990">
        <v>-2.4632999999999999E-2</v>
      </c>
      <c r="Z990">
        <v>1.114648E-3</v>
      </c>
      <c r="AA990">
        <v>0.99969600000000003</v>
      </c>
      <c r="AB990">
        <v>30</v>
      </c>
      <c r="AC990">
        <v>29.149000000000001</v>
      </c>
      <c r="AD990">
        <v>-1.0606326702959901</v>
      </c>
      <c r="AE990">
        <v>0.183400000000006</v>
      </c>
      <c r="AF990">
        <v>-0.72182863915342899</v>
      </c>
      <c r="AG990">
        <v>-1.0606326702959901</v>
      </c>
      <c r="AH990">
        <v>29.1020854375728</v>
      </c>
      <c r="AI990">
        <v>92.086593817886794</v>
      </c>
      <c r="AJ990">
        <v>91.420834826722995</v>
      </c>
      <c r="AK990">
        <v>29.130351097461698</v>
      </c>
      <c r="AL990">
        <v>86.579860548652405</v>
      </c>
      <c r="AM990">
        <v>87.919522732177199</v>
      </c>
      <c r="AN990">
        <v>0.99999998423385095</v>
      </c>
    </row>
    <row r="991" spans="1:40" x14ac:dyDescent="0.25">
      <c r="A991" t="str">
        <f>"20190312153909124"</f>
        <v>20190312153909124</v>
      </c>
      <c r="B991" t="str">
        <f>"1552376349117109"</f>
        <v>1552376349117109</v>
      </c>
      <c r="C991" t="s">
        <v>40</v>
      </c>
      <c r="D991">
        <v>3.9959850000000001</v>
      </c>
      <c r="E991">
        <v>0.4780104</v>
      </c>
      <c r="F991" t="s">
        <v>42</v>
      </c>
      <c r="G991">
        <v>-271.62599999999998</v>
      </c>
      <c r="H991" s="1">
        <v>-3.8361319999999996E-6</v>
      </c>
      <c r="I991">
        <v>368.14260000000002</v>
      </c>
      <c r="J991">
        <v>-300.97269999999997</v>
      </c>
      <c r="K991">
        <v>1.06062099999999</v>
      </c>
      <c r="L991">
        <v>367.95359999999999</v>
      </c>
      <c r="M991">
        <v>0.99972050000000001</v>
      </c>
      <c r="N991">
        <v>0</v>
      </c>
      <c r="O991">
        <v>-1.8320610000000001E-2</v>
      </c>
      <c r="P991">
        <v>0.99748429999999999</v>
      </c>
      <c r="Q991">
        <v>4.4817129999999997E-2</v>
      </c>
      <c r="R991">
        <v>-5.492669E-2</v>
      </c>
      <c r="S991">
        <v>3.0133969999999999</v>
      </c>
      <c r="T991">
        <v>-0.1082085</v>
      </c>
      <c r="U991">
        <v>1.895142E-2</v>
      </c>
      <c r="V991">
        <v>3.6609820000000001E-2</v>
      </c>
      <c r="W991">
        <v>5.9757680000000001E-2</v>
      </c>
      <c r="X991">
        <v>0.99754140000000002</v>
      </c>
      <c r="Y991">
        <v>-2.4582509999999998E-2</v>
      </c>
      <c r="Z991">
        <v>1.098936E-3</v>
      </c>
      <c r="AA991">
        <v>0.99969719999999995</v>
      </c>
      <c r="AB991">
        <v>30</v>
      </c>
      <c r="AC991">
        <v>29.346699999999998</v>
      </c>
      <c r="AD991">
        <v>-1.0606248361320001</v>
      </c>
      <c r="AE991">
        <v>0.18900000000002101</v>
      </c>
      <c r="AF991">
        <v>-0.72572985088736797</v>
      </c>
      <c r="AG991">
        <v>-1.0606248361320001</v>
      </c>
      <c r="AH991">
        <v>29.300040754663801</v>
      </c>
      <c r="AI991">
        <v>92.072495294397399</v>
      </c>
      <c r="AJ991">
        <v>91.418863463451999</v>
      </c>
      <c r="AK991">
        <v>29.328211624380501</v>
      </c>
      <c r="AL991">
        <v>86.574096281438898</v>
      </c>
      <c r="AM991">
        <v>87.898185286068795</v>
      </c>
      <c r="AN991">
        <v>1.0000000519766801</v>
      </c>
    </row>
    <row r="992" spans="1:40" x14ac:dyDescent="0.25">
      <c r="A992" t="str">
        <f>"20190312153909137"</f>
        <v>20190312153909137</v>
      </c>
      <c r="B992" t="str">
        <f>"1552376349126869"</f>
        <v>1552376349126869</v>
      </c>
      <c r="C992" t="s">
        <v>40</v>
      </c>
      <c r="D992">
        <v>4.0461260000000001</v>
      </c>
      <c r="E992">
        <v>0.47803370000000001</v>
      </c>
      <c r="F992" t="s">
        <v>42</v>
      </c>
      <c r="G992">
        <v>-270.78919999999999</v>
      </c>
      <c r="H992" s="1">
        <v>-4.1961060000000001E-6</v>
      </c>
      <c r="I992">
        <v>368.13720000000001</v>
      </c>
      <c r="J992">
        <v>-300.80259999999998</v>
      </c>
      <c r="K992">
        <v>1.0606120000000001</v>
      </c>
      <c r="L992">
        <v>367.95060000000001</v>
      </c>
      <c r="M992">
        <v>0.99972419999999995</v>
      </c>
      <c r="N992">
        <v>0</v>
      </c>
      <c r="O992">
        <v>-1.8157059999999999E-2</v>
      </c>
      <c r="P992">
        <v>0.9974478</v>
      </c>
      <c r="Q992">
        <v>4.5041709999999999E-2</v>
      </c>
      <c r="R992">
        <v>-5.5401029999999997E-2</v>
      </c>
      <c r="S992">
        <v>3.0133359999999998</v>
      </c>
      <c r="T992">
        <v>-0.10588599999999999</v>
      </c>
      <c r="U992">
        <v>1.8341059999999999E-2</v>
      </c>
      <c r="V992">
        <v>3.7248000000000003E-2</v>
      </c>
      <c r="W992">
        <v>5.9931419999999999E-2</v>
      </c>
      <c r="X992">
        <v>0.99750729999999999</v>
      </c>
      <c r="Y992">
        <v>-2.4218099999999999E-2</v>
      </c>
      <c r="Z992">
        <v>1.06324E-3</v>
      </c>
      <c r="AA992">
        <v>0.99970610000000004</v>
      </c>
      <c r="AB992">
        <v>30</v>
      </c>
      <c r="AC992">
        <v>30.013399999999901</v>
      </c>
      <c r="AD992">
        <v>-1.0606161961059899</v>
      </c>
      <c r="AE992">
        <v>0.18659999999999799</v>
      </c>
      <c r="AF992">
        <v>-0.73067237990924105</v>
      </c>
      <c r="AG992">
        <v>-1.0606161961059899</v>
      </c>
      <c r="AH992">
        <v>29.967641059629202</v>
      </c>
      <c r="AI992">
        <v>92.026367216397006</v>
      </c>
      <c r="AJ992">
        <v>91.396711557454296</v>
      </c>
      <c r="AK992">
        <v>29.995304624573802</v>
      </c>
      <c r="AL992">
        <v>86.564123664609198</v>
      </c>
      <c r="AM992">
        <v>87.861507278149801</v>
      </c>
      <c r="AN992">
        <v>1.0000000010802499</v>
      </c>
    </row>
    <row r="993" spans="1:40" x14ac:dyDescent="0.25">
      <c r="A993" t="str">
        <f>"20190312153909153"</f>
        <v>20190312153909153</v>
      </c>
      <c r="B993" t="str">
        <f>"1552376349147364"</f>
        <v>1552376349147364</v>
      </c>
      <c r="C993" t="s">
        <v>40</v>
      </c>
      <c r="D993">
        <v>4.0320400000000003</v>
      </c>
      <c r="E993">
        <v>0.50253110000000001</v>
      </c>
      <c r="F993" t="s">
        <v>42</v>
      </c>
      <c r="G993">
        <v>-270.03190000000001</v>
      </c>
      <c r="H993" s="1">
        <v>-4.5241670000000004E-6</v>
      </c>
      <c r="I993">
        <v>368.1191</v>
      </c>
      <c r="J993">
        <v>-300.60599999999999</v>
      </c>
      <c r="K993">
        <v>1.0606040000000001</v>
      </c>
      <c r="L993">
        <v>367.94729999999998</v>
      </c>
      <c r="M993">
        <v>0.99972850000000002</v>
      </c>
      <c r="N993">
        <v>0</v>
      </c>
      <c r="O993">
        <v>-1.7968910000000001E-2</v>
      </c>
      <c r="P993">
        <v>0.99742810000000004</v>
      </c>
      <c r="Q993">
        <v>4.5299249999999999E-2</v>
      </c>
      <c r="R993">
        <v>-5.5549899999999999E-2</v>
      </c>
      <c r="S993">
        <v>3.013306</v>
      </c>
      <c r="T993">
        <v>-0.1038636</v>
      </c>
      <c r="U993">
        <v>1.6510009999999999E-2</v>
      </c>
      <c r="V993">
        <v>3.7585140000000003E-2</v>
      </c>
      <c r="W993">
        <v>6.0131799999999999E-2</v>
      </c>
      <c r="X993">
        <v>0.9974826</v>
      </c>
      <c r="Y993">
        <v>-2.3424110000000001E-2</v>
      </c>
      <c r="Z993">
        <v>1.0227929999999999E-3</v>
      </c>
      <c r="AA993">
        <v>0.99972510000000003</v>
      </c>
      <c r="AB993">
        <v>30</v>
      </c>
      <c r="AC993">
        <v>30.574099999999898</v>
      </c>
      <c r="AD993">
        <v>-1.060608524167</v>
      </c>
      <c r="AE993">
        <v>0.17180000000001799</v>
      </c>
      <c r="AF993">
        <v>-0.72034913520173505</v>
      </c>
      <c r="AG993">
        <v>-1.060608524167</v>
      </c>
      <c r="AH993">
        <v>30.529337966439101</v>
      </c>
      <c r="AI993">
        <v>91.989138248935504</v>
      </c>
      <c r="AJ993">
        <v>91.351660766726994</v>
      </c>
      <c r="AK993">
        <v>30.5562476424574</v>
      </c>
      <c r="AL993">
        <v>86.552622012204594</v>
      </c>
      <c r="AM993">
        <v>87.842116134090404</v>
      </c>
      <c r="AN993">
        <v>1.0000000067114001</v>
      </c>
    </row>
    <row r="994" spans="1:40" x14ac:dyDescent="0.25">
      <c r="A994" t="str">
        <f>"20190312153909169"</f>
        <v>20190312153909169</v>
      </c>
      <c r="B994" t="str">
        <f>"1552376349157125"</f>
        <v>1552376349157125</v>
      </c>
      <c r="C994" t="s">
        <v>40</v>
      </c>
      <c r="D994">
        <v>3.9691809999999998</v>
      </c>
      <c r="E994">
        <v>0.51118339999999995</v>
      </c>
      <c r="F994" t="s">
        <v>47</v>
      </c>
      <c r="G994">
        <v>-158.19499999999999</v>
      </c>
      <c r="H994">
        <v>1.27173</v>
      </c>
      <c r="I994">
        <v>359.28089999999997</v>
      </c>
      <c r="J994">
        <v>-300.39479999999998</v>
      </c>
      <c r="K994">
        <v>1.0605990000000001</v>
      </c>
      <c r="L994">
        <v>367.94369999999998</v>
      </c>
      <c r="M994">
        <v>0.99973299999999998</v>
      </c>
      <c r="N994">
        <v>0</v>
      </c>
      <c r="O994">
        <v>-1.7766099999999899E-2</v>
      </c>
      <c r="P994">
        <v>0.99743839999999995</v>
      </c>
      <c r="Q994">
        <v>4.535177E-2</v>
      </c>
      <c r="R994">
        <v>-5.532053E-2</v>
      </c>
      <c r="S994">
        <v>2.9973450000000001</v>
      </c>
      <c r="T994">
        <v>4.4454339999999998E-3</v>
      </c>
      <c r="U994">
        <v>-0.1824036</v>
      </c>
      <c r="V994">
        <v>3.7558099999999997E-2</v>
      </c>
      <c r="W994">
        <v>6.0125129999999999E-2</v>
      </c>
      <c r="X994">
        <v>0.99748400000000004</v>
      </c>
      <c r="Y994">
        <v>4.2997830000000001E-2</v>
      </c>
      <c r="Z994" s="1">
        <v>5.5328349999999997E-6</v>
      </c>
      <c r="AA994">
        <v>0.99907520000000005</v>
      </c>
      <c r="AB994">
        <v>30</v>
      </c>
      <c r="AC994">
        <v>142.19979999999899</v>
      </c>
      <c r="AD994">
        <v>0.21113100000000001</v>
      </c>
      <c r="AE994">
        <v>-8.6628000000000007</v>
      </c>
      <c r="AF994">
        <v>6.1348073266340002</v>
      </c>
      <c r="AG994">
        <v>0.21113100000000001</v>
      </c>
      <c r="AH994">
        <v>142.33096012688301</v>
      </c>
      <c r="AI994">
        <v>89.915087447827005</v>
      </c>
      <c r="AJ994">
        <v>87.531941493789503</v>
      </c>
      <c r="AK994">
        <v>142.46326771443401</v>
      </c>
      <c r="AL994">
        <v>86.553004796965396</v>
      </c>
      <c r="AM994">
        <v>87.843670145106998</v>
      </c>
      <c r="AN994">
        <v>0.99999998619456298</v>
      </c>
    </row>
    <row r="995" spans="1:40" x14ac:dyDescent="0.25">
      <c r="A995" t="str">
        <f>"20190312153909183"</f>
        <v>20190312153909183</v>
      </c>
      <c r="B995" t="str">
        <f>"1552376349177158"</f>
        <v>1552376349177158</v>
      </c>
      <c r="C995" t="s">
        <v>40</v>
      </c>
      <c r="D995">
        <v>3.9422869999999999</v>
      </c>
      <c r="E995">
        <v>0.51875660000000001</v>
      </c>
      <c r="F995" t="s">
        <v>47</v>
      </c>
      <c r="G995">
        <v>-158.19499999999999</v>
      </c>
      <c r="H995">
        <v>1.5373139999999901</v>
      </c>
      <c r="I995">
        <v>356.0283</v>
      </c>
      <c r="J995">
        <v>-300.19639999999998</v>
      </c>
      <c r="K995">
        <v>1.0605910000000001</v>
      </c>
      <c r="L995">
        <v>367.94029999999998</v>
      </c>
      <c r="M995">
        <v>0.99973690000000004</v>
      </c>
      <c r="N995">
        <v>0</v>
      </c>
      <c r="O995">
        <v>-1.7575850000000001E-2</v>
      </c>
      <c r="P995">
        <v>0.99741690000000005</v>
      </c>
      <c r="Q995">
        <v>4.555874E-2</v>
      </c>
      <c r="R995">
        <v>-5.5532959999999999E-2</v>
      </c>
      <c r="S995">
        <v>2.993347</v>
      </c>
      <c r="T995">
        <v>1.003683E-2</v>
      </c>
      <c r="U995">
        <v>-0.25082399999999999</v>
      </c>
      <c r="V995">
        <v>3.796099E-2</v>
      </c>
      <c r="W995">
        <v>6.0280300000000002E-2</v>
      </c>
      <c r="X995">
        <v>0.9974594</v>
      </c>
      <c r="Y995">
        <v>6.5971639999999998E-2</v>
      </c>
      <c r="Z995" s="1">
        <v>5.1586470000000003E-5</v>
      </c>
      <c r="AA995">
        <v>0.99782150000000003</v>
      </c>
      <c r="AB995">
        <v>30</v>
      </c>
      <c r="AC995">
        <v>142.00139999999999</v>
      </c>
      <c r="AD995">
        <v>0.47672299999999901</v>
      </c>
      <c r="AE995">
        <v>-11.9119999999999</v>
      </c>
      <c r="AF995">
        <v>9.4139878082348698</v>
      </c>
      <c r="AG995">
        <v>0.47672299999999901</v>
      </c>
      <c r="AH995">
        <v>142.187255608578</v>
      </c>
      <c r="AI995">
        <v>89.808320066393904</v>
      </c>
      <c r="AJ995">
        <v>86.212067682476601</v>
      </c>
      <c r="AK995">
        <v>142.49935469598299</v>
      </c>
      <c r="AL995">
        <v>86.544098113535895</v>
      </c>
      <c r="AM995">
        <v>87.820507439171493</v>
      </c>
      <c r="AN995">
        <v>1.0000000029891101</v>
      </c>
    </row>
    <row r="996" spans="1:40" x14ac:dyDescent="0.25">
      <c r="A996" t="str">
        <f>"20190312153909198"</f>
        <v>20190312153909198</v>
      </c>
      <c r="B996" t="str">
        <f>"1552376349186912"</f>
        <v>1552376349186912</v>
      </c>
      <c r="C996" t="s">
        <v>40</v>
      </c>
      <c r="D996">
        <v>3.9315479999999998</v>
      </c>
      <c r="E996">
        <v>0.52053879999999997</v>
      </c>
      <c r="F996" t="s">
        <v>47</v>
      </c>
      <c r="G996">
        <v>-169.2955</v>
      </c>
      <c r="H996">
        <v>1.7176530000000001</v>
      </c>
      <c r="I996">
        <v>354.28320000000002</v>
      </c>
      <c r="J996">
        <v>-300.00979999999998</v>
      </c>
      <c r="K996">
        <v>1.060589</v>
      </c>
      <c r="L996">
        <v>367.93720000000002</v>
      </c>
      <c r="M996">
        <v>0.99974079999999999</v>
      </c>
      <c r="N996">
        <v>0</v>
      </c>
      <c r="O996">
        <v>-1.7396990000000001E-2</v>
      </c>
      <c r="P996">
        <v>0.99742439999999999</v>
      </c>
      <c r="Q996">
        <v>4.5728329999999998E-2</v>
      </c>
      <c r="R996">
        <v>-5.525795E-2</v>
      </c>
      <c r="S996">
        <v>2.9896850000000001</v>
      </c>
      <c r="T996">
        <v>1.5008809999999999E-2</v>
      </c>
      <c r="U996">
        <v>-0.31192019999999998</v>
      </c>
      <c r="V996">
        <v>3.7864639999999998E-2</v>
      </c>
      <c r="W996">
        <v>6.040595E-2</v>
      </c>
      <c r="X996">
        <v>0.99745550000000005</v>
      </c>
      <c r="Y996">
        <v>8.6447360000000001E-2</v>
      </c>
      <c r="Z996">
        <v>1.2931689999999999E-4</v>
      </c>
      <c r="AA996">
        <v>0.99625640000000004</v>
      </c>
      <c r="AB996">
        <v>30</v>
      </c>
      <c r="AC996">
        <v>130.71429999999901</v>
      </c>
      <c r="AD996">
        <v>0.65706399999999898</v>
      </c>
      <c r="AE996">
        <v>-13.6539999999999</v>
      </c>
      <c r="AF996">
        <v>11.377368152272499</v>
      </c>
      <c r="AG996">
        <v>0.65706399999999898</v>
      </c>
      <c r="AH996">
        <v>130.92880508348799</v>
      </c>
      <c r="AI996">
        <v>89.713543995045697</v>
      </c>
      <c r="AJ996">
        <v>85.033623289155798</v>
      </c>
      <c r="AK996">
        <v>131.42384958508299</v>
      </c>
      <c r="AL996">
        <v>86.536885891404907</v>
      </c>
      <c r="AM996">
        <v>87.826025472314399</v>
      </c>
      <c r="AN996">
        <v>1.0000000421189901</v>
      </c>
    </row>
    <row r="997" spans="1:40" x14ac:dyDescent="0.25">
      <c r="A997" t="str">
        <f>"20190312153909211"</f>
        <v>20190312153909211</v>
      </c>
      <c r="B997" t="str">
        <f>"1552376349207408"</f>
        <v>1552376349207408</v>
      </c>
      <c r="C997" t="s">
        <v>40</v>
      </c>
      <c r="D997">
        <v>3.906752</v>
      </c>
      <c r="E997">
        <v>0.5227908</v>
      </c>
      <c r="F997" t="s">
        <v>47</v>
      </c>
      <c r="G997">
        <v>-169.2955</v>
      </c>
      <c r="H997">
        <v>1.6801330000000001</v>
      </c>
      <c r="I997">
        <v>353.7054</v>
      </c>
      <c r="J997">
        <v>-299.82760000000002</v>
      </c>
      <c r="K997">
        <v>1.0605869999999999</v>
      </c>
      <c r="L997">
        <v>367.93430000000001</v>
      </c>
      <c r="M997">
        <v>0.99974450000000004</v>
      </c>
      <c r="N997">
        <v>0</v>
      </c>
      <c r="O997">
        <v>-1.7222129999999999E-2</v>
      </c>
      <c r="P997">
        <v>0.99743179999999998</v>
      </c>
      <c r="Q997">
        <v>4.5878870000000002E-2</v>
      </c>
      <c r="R997">
        <v>-5.5003490000000002E-2</v>
      </c>
      <c r="S997">
        <v>2.9890439999999998</v>
      </c>
      <c r="T997">
        <v>1.41691E-2</v>
      </c>
      <c r="U997">
        <v>-0.32543949999999999</v>
      </c>
      <c r="V997">
        <v>3.778463E-2</v>
      </c>
      <c r="W997">
        <v>6.0521619999999998E-2</v>
      </c>
      <c r="X997">
        <v>0.99745150000000005</v>
      </c>
      <c r="Y997">
        <v>9.1098109999999996E-2</v>
      </c>
      <c r="Z997">
        <v>1.3389629999999999E-4</v>
      </c>
      <c r="AA997">
        <v>0.99584189999999995</v>
      </c>
      <c r="AB997">
        <v>30</v>
      </c>
      <c r="AC997">
        <v>130.53210000000001</v>
      </c>
      <c r="AD997">
        <v>0.61954599999999904</v>
      </c>
      <c r="AE997">
        <v>-14.228899999999999</v>
      </c>
      <c r="AF997">
        <v>11.978240813168</v>
      </c>
      <c r="AG997">
        <v>0.61954599999999904</v>
      </c>
      <c r="AH997">
        <v>130.75490363188899</v>
      </c>
      <c r="AI997">
        <v>89.72965380171</v>
      </c>
      <c r="AJ997">
        <v>84.765837478197298</v>
      </c>
      <c r="AK997">
        <v>131.303872425793</v>
      </c>
      <c r="AL997">
        <v>86.530246263558695</v>
      </c>
      <c r="AM997">
        <v>87.830606111063503</v>
      </c>
      <c r="AN997">
        <v>1.0000000198019501</v>
      </c>
    </row>
    <row r="998" spans="1:40" x14ac:dyDescent="0.25">
      <c r="A998" t="str">
        <f>"20190312153909228"</f>
        <v>20190312153909228</v>
      </c>
      <c r="B998" t="str">
        <f>"1552376349217167"</f>
        <v>1552376349217167</v>
      </c>
      <c r="C998" t="s">
        <v>40</v>
      </c>
      <c r="D998">
        <v>3.8805719999999999</v>
      </c>
      <c r="E998">
        <v>0.52340819999999999</v>
      </c>
      <c r="F998" t="s">
        <v>47</v>
      </c>
      <c r="G998">
        <v>-158.78319999999999</v>
      </c>
      <c r="H998">
        <v>1.835127</v>
      </c>
      <c r="I998">
        <v>351.76029999999997</v>
      </c>
      <c r="J998">
        <v>-299.61</v>
      </c>
      <c r="K998">
        <v>1.0605880000000001</v>
      </c>
      <c r="L998">
        <v>367.93079999999998</v>
      </c>
      <c r="M998">
        <v>0.99974830000000003</v>
      </c>
      <c r="N998">
        <v>0</v>
      </c>
      <c r="O998">
        <v>-1.7012929999999999E-2</v>
      </c>
      <c r="P998">
        <v>0.99744219999999895</v>
      </c>
      <c r="Q998">
        <v>4.6184719999999999E-2</v>
      </c>
      <c r="R998">
        <v>-5.4554140000000001E-2</v>
      </c>
      <c r="S998">
        <v>2.9880680000000002</v>
      </c>
      <c r="T998">
        <v>1.6410709999999998E-2</v>
      </c>
      <c r="U998">
        <v>-0.34265139999999999</v>
      </c>
      <c r="V998">
        <v>3.7543899999999998E-2</v>
      </c>
      <c r="W998">
        <v>6.0790539999999997E-2</v>
      </c>
      <c r="X998">
        <v>0.9974442</v>
      </c>
      <c r="Y998">
        <v>9.7004980000000005E-2</v>
      </c>
      <c r="Z998">
        <v>1.7239309999999999E-4</v>
      </c>
      <c r="AA998">
        <v>0.9952839</v>
      </c>
      <c r="AB998">
        <v>30</v>
      </c>
      <c r="AC998">
        <v>140.82679999999999</v>
      </c>
      <c r="AD998">
        <v>0.77453899999999998</v>
      </c>
      <c r="AE998">
        <v>-16.170500000000001</v>
      </c>
      <c r="AF998">
        <v>13.771615208782199</v>
      </c>
      <c r="AG998">
        <v>0.77453899999999998</v>
      </c>
      <c r="AH998">
        <v>141.07733877358299</v>
      </c>
      <c r="AI998">
        <v>89.686927511728697</v>
      </c>
      <c r="AJ998">
        <v>84.424594907437793</v>
      </c>
      <c r="AK998">
        <v>141.750036372332</v>
      </c>
      <c r="AL998">
        <v>86.514809732218097</v>
      </c>
      <c r="AM998">
        <v>87.8443987148529</v>
      </c>
      <c r="AN998">
        <v>0.99999998314716998</v>
      </c>
    </row>
    <row r="999" spans="1:40" x14ac:dyDescent="0.25">
      <c r="A999" t="str">
        <f>"20190312153909244"</f>
        <v>20190312153909244</v>
      </c>
      <c r="B999" t="str">
        <f>"1552376349236688"</f>
        <v>1552376349236688</v>
      </c>
      <c r="C999" t="s">
        <v>40</v>
      </c>
      <c r="D999">
        <v>3.92048</v>
      </c>
      <c r="E999">
        <v>0.52434449999999999</v>
      </c>
      <c r="F999" t="s">
        <v>47</v>
      </c>
      <c r="G999">
        <v>-158.78319999999999</v>
      </c>
      <c r="H999">
        <v>1.910768</v>
      </c>
      <c r="I999">
        <v>351.59969999999998</v>
      </c>
      <c r="J999">
        <v>-299.40449999999998</v>
      </c>
      <c r="K999">
        <v>1.0605899999999999</v>
      </c>
      <c r="L999">
        <v>367.92750000000001</v>
      </c>
      <c r="M999">
        <v>0.99975230000000004</v>
      </c>
      <c r="N999">
        <v>0</v>
      </c>
      <c r="O999">
        <v>-1.6815690000000001E-2</v>
      </c>
      <c r="P999">
        <v>0.99745119999999998</v>
      </c>
      <c r="Q999">
        <v>4.6283980000000002E-2</v>
      </c>
      <c r="R999">
        <v>-5.4305260000000001E-2</v>
      </c>
      <c r="S999">
        <v>2.9879150000000001</v>
      </c>
      <c r="T999">
        <v>1.804006E-2</v>
      </c>
      <c r="U999">
        <v>-0.34649659999999999</v>
      </c>
      <c r="V999">
        <v>3.749185E-2</v>
      </c>
      <c r="W999">
        <v>6.0860980000000002E-2</v>
      </c>
      <c r="X999">
        <v>0.99744189999999999</v>
      </c>
      <c r="Y999">
        <v>9.8470749999999996E-2</v>
      </c>
      <c r="Z999">
        <v>1.951015E-4</v>
      </c>
      <c r="AA999">
        <v>0.99514000000000002</v>
      </c>
      <c r="AB999">
        <v>30</v>
      </c>
      <c r="AC999">
        <v>140.62129999999999</v>
      </c>
      <c r="AD999">
        <v>0.85017799999999999</v>
      </c>
      <c r="AE999">
        <v>-16.3278</v>
      </c>
      <c r="AF999">
        <v>13.960091816219199</v>
      </c>
      <c r="AG999">
        <v>0.85017799999999999</v>
      </c>
      <c r="AH999">
        <v>140.870924522954</v>
      </c>
      <c r="AI999">
        <v>89.655900678570802</v>
      </c>
      <c r="AJ999">
        <v>84.340554366142001</v>
      </c>
      <c r="AK999">
        <v>141.56349932839601</v>
      </c>
      <c r="AL999">
        <v>86.510766462179504</v>
      </c>
      <c r="AM999">
        <v>87.847379418528405</v>
      </c>
      <c r="AN999">
        <v>1.0000000207892901</v>
      </c>
    </row>
    <row r="1000" spans="1:40" x14ac:dyDescent="0.25">
      <c r="A1000" t="str">
        <f>"20190312153909259"</f>
        <v>20190312153909259</v>
      </c>
      <c r="B1000" t="str">
        <f>"1552376349246449"</f>
        <v>1552376349246449</v>
      </c>
      <c r="C1000" t="s">
        <v>40</v>
      </c>
      <c r="D1000">
        <v>3.912528</v>
      </c>
      <c r="E1000">
        <v>0.52486909999999998</v>
      </c>
      <c r="F1000" t="s">
        <v>47</v>
      </c>
      <c r="G1000">
        <v>-158.78319999999999</v>
      </c>
      <c r="H1000">
        <v>1.893059</v>
      </c>
      <c r="I1000">
        <v>351.31150000000002</v>
      </c>
      <c r="J1000">
        <v>-299.214</v>
      </c>
      <c r="K1000">
        <v>1.0605929999999999</v>
      </c>
      <c r="L1000">
        <v>367.92450000000002</v>
      </c>
      <c r="M1000">
        <v>0.99975550000000002</v>
      </c>
      <c r="N1000">
        <v>0</v>
      </c>
      <c r="O1000">
        <v>-1.6632689999999999E-2</v>
      </c>
      <c r="P1000">
        <v>0.99748490000000001</v>
      </c>
      <c r="Q1000">
        <v>4.617769E-2</v>
      </c>
      <c r="R1000">
        <v>-5.3774139999999998E-2</v>
      </c>
      <c r="S1000">
        <v>2.9876710000000002</v>
      </c>
      <c r="T1000">
        <v>1.768863E-2</v>
      </c>
      <c r="U1000">
        <v>-0.35302729999999999</v>
      </c>
      <c r="V1000">
        <v>3.714315E-2</v>
      </c>
      <c r="W1000">
        <v>6.0732939999999999E-2</v>
      </c>
      <c r="X1000">
        <v>0.99746270000000004</v>
      </c>
      <c r="Y1000">
        <v>0.1008078</v>
      </c>
      <c r="Z1000">
        <v>1.9926610000000001E-4</v>
      </c>
      <c r="AA1000">
        <v>0.99490590000000001</v>
      </c>
      <c r="AB1000">
        <v>30</v>
      </c>
      <c r="AC1000">
        <v>140.4308</v>
      </c>
      <c r="AD1000">
        <v>0.83246599999999904</v>
      </c>
      <c r="AE1000">
        <v>-16.613</v>
      </c>
      <c r="AF1000">
        <v>14.274216775280999</v>
      </c>
      <c r="AG1000">
        <v>0.83246599999999904</v>
      </c>
      <c r="AH1000">
        <v>140.68284247148</v>
      </c>
      <c r="AI1000">
        <v>89.662698009318802</v>
      </c>
      <c r="AJ1000">
        <v>84.206379387052394</v>
      </c>
      <c r="AK1000">
        <v>141.40759679042799</v>
      </c>
      <c r="AL1000">
        <v>86.5181160350689</v>
      </c>
      <c r="AM1000">
        <v>87.867426128180398</v>
      </c>
      <c r="AN1000">
        <v>0.99999997074212699</v>
      </c>
    </row>
    <row r="1001" spans="1:40" x14ac:dyDescent="0.25">
      <c r="A1001" t="str">
        <f>"20190312153909273"</f>
        <v>20190312153909273</v>
      </c>
      <c r="B1001" t="str">
        <f>"1552376349266477"</f>
        <v>1552376349266477</v>
      </c>
      <c r="C1001" t="s">
        <v>40</v>
      </c>
      <c r="D1001">
        <v>3.965468</v>
      </c>
      <c r="E1001">
        <v>0.52513909999999997</v>
      </c>
      <c r="F1001" t="s">
        <v>47</v>
      </c>
      <c r="G1001">
        <v>-158.78319999999999</v>
      </c>
      <c r="H1001">
        <v>1.900271</v>
      </c>
      <c r="I1001">
        <v>351.20549999999997</v>
      </c>
      <c r="J1001">
        <v>-299.00830000000002</v>
      </c>
      <c r="K1001">
        <v>1.0606</v>
      </c>
      <c r="L1001">
        <v>367.9212</v>
      </c>
      <c r="M1001">
        <v>0.99975899999999995</v>
      </c>
      <c r="N1001">
        <v>0</v>
      </c>
      <c r="O1001">
        <v>-1.6435419999999999E-2</v>
      </c>
      <c r="P1001">
        <v>0.9975041</v>
      </c>
      <c r="Q1001">
        <v>4.6142059999999999E-2</v>
      </c>
      <c r="R1001">
        <v>-5.3448059999999999E-2</v>
      </c>
      <c r="S1001">
        <v>2.987549</v>
      </c>
      <c r="T1001">
        <v>1.7865300000000001E-2</v>
      </c>
      <c r="U1001">
        <v>-0.35568240000000001</v>
      </c>
      <c r="V1001">
        <v>3.7013799999999999E-2</v>
      </c>
      <c r="W1001">
        <v>6.0681060000000002E-2</v>
      </c>
      <c r="X1001">
        <v>0.99747070000000004</v>
      </c>
      <c r="Y1001">
        <v>0.1018807</v>
      </c>
      <c r="Z1001">
        <v>2.0562550000000001E-4</v>
      </c>
      <c r="AA1001">
        <v>0.99479660000000003</v>
      </c>
      <c r="AB1001">
        <v>29</v>
      </c>
      <c r="AC1001">
        <v>140.2251</v>
      </c>
      <c r="AD1001">
        <v>0.83967099999999895</v>
      </c>
      <c r="AE1001">
        <v>-16.715699999999998</v>
      </c>
      <c r="AF1001">
        <v>14.408029802619801</v>
      </c>
      <c r="AG1001">
        <v>0.83967099999999895</v>
      </c>
      <c r="AH1001">
        <v>140.475947954465</v>
      </c>
      <c r="AI1001">
        <v>89.659315563136303</v>
      </c>
      <c r="AJ1001">
        <v>84.143889436539794</v>
      </c>
      <c r="AK1001">
        <v>141.21539690801001</v>
      </c>
      <c r="AL1001">
        <v>86.521094151693305</v>
      </c>
      <c r="AM1001">
        <v>87.874862965445203</v>
      </c>
      <c r="AN1001">
        <v>1.00000000489582</v>
      </c>
    </row>
    <row r="1002" spans="1:40" x14ac:dyDescent="0.25">
      <c r="A1002" t="str">
        <f>"20190312153909285"</f>
        <v>20190312153909285</v>
      </c>
      <c r="B1002" t="str">
        <f>"1552376349277212"</f>
        <v>1552376349277212</v>
      </c>
      <c r="C1002" t="s">
        <v>40</v>
      </c>
      <c r="D1002">
        <v>3.968645</v>
      </c>
      <c r="E1002">
        <v>0.52524510000000002</v>
      </c>
      <c r="F1002" t="s">
        <v>47</v>
      </c>
      <c r="G1002">
        <v>-158.78319999999999</v>
      </c>
      <c r="H1002">
        <v>1.7243839999999999</v>
      </c>
      <c r="I1002">
        <v>351.18040000000002</v>
      </c>
      <c r="J1002">
        <v>-298.84679999999997</v>
      </c>
      <c r="K1002">
        <v>1.060603</v>
      </c>
      <c r="L1002">
        <v>367.91879999999998</v>
      </c>
      <c r="M1002">
        <v>0.99976180000000003</v>
      </c>
      <c r="N1002">
        <v>0</v>
      </c>
      <c r="O1002">
        <v>-1.6280759999999998E-2</v>
      </c>
      <c r="P1002">
        <v>0.99752269999999998</v>
      </c>
      <c r="Q1002">
        <v>4.6040610000000003E-2</v>
      </c>
      <c r="R1002">
        <v>-5.3189119999999999E-2</v>
      </c>
      <c r="S1002">
        <v>2.9877009999999999</v>
      </c>
      <c r="T1002">
        <v>1.4144779999999999E-2</v>
      </c>
      <c r="U1002">
        <v>-0.35668949999999999</v>
      </c>
      <c r="V1002">
        <v>3.6909129999999998E-2</v>
      </c>
      <c r="W1002">
        <v>6.0571590000000002E-2</v>
      </c>
      <c r="X1002">
        <v>0.99748119999999996</v>
      </c>
      <c r="Y1002">
        <v>0.1023598</v>
      </c>
      <c r="Z1002">
        <v>1.6465159999999999E-4</v>
      </c>
      <c r="AA1002">
        <v>0.99474750000000001</v>
      </c>
      <c r="AB1002">
        <v>29</v>
      </c>
      <c r="AC1002">
        <v>140.06359999999901</v>
      </c>
      <c r="AD1002">
        <v>0.66378099999999995</v>
      </c>
      <c r="AE1002">
        <v>-16.738399999999899</v>
      </c>
      <c r="AF1002">
        <v>14.455278141468501</v>
      </c>
      <c r="AG1002">
        <v>0.66378099999999995</v>
      </c>
      <c r="AH1002">
        <v>140.31446765109101</v>
      </c>
      <c r="AI1002">
        <v>89.730381741622793</v>
      </c>
      <c r="AJ1002">
        <v>84.118105525649199</v>
      </c>
      <c r="AK1002">
        <v>141.058659796456</v>
      </c>
      <c r="AL1002">
        <v>86.527377768021793</v>
      </c>
      <c r="AM1002">
        <v>87.880889364311102</v>
      </c>
      <c r="AN1002">
        <v>0.99999997287296205</v>
      </c>
    </row>
    <row r="1003" spans="1:40" x14ac:dyDescent="0.25">
      <c r="A1003" t="str">
        <f>"20190312153909305"</f>
        <v>20190312153909305</v>
      </c>
      <c r="B1003" t="str">
        <f>"1552376349296731"</f>
        <v>1552376349296731</v>
      </c>
      <c r="C1003" t="s">
        <v>40</v>
      </c>
      <c r="D1003">
        <v>3.966942</v>
      </c>
      <c r="E1003">
        <v>0.52557860000000001</v>
      </c>
      <c r="F1003" t="s">
        <v>47</v>
      </c>
      <c r="G1003">
        <v>-158.78319999999999</v>
      </c>
      <c r="H1003">
        <v>1.6401349999999999</v>
      </c>
      <c r="I1003">
        <v>351.20819999999998</v>
      </c>
      <c r="J1003">
        <v>-298.58800000000002</v>
      </c>
      <c r="K1003">
        <v>1.0606139999999999</v>
      </c>
      <c r="L1003">
        <v>367.91480000000001</v>
      </c>
      <c r="M1003">
        <v>0.99976580000000004</v>
      </c>
      <c r="N1003">
        <v>0</v>
      </c>
      <c r="O1003">
        <v>-1.603243E-2</v>
      </c>
      <c r="P1003">
        <v>0.99753709999999995</v>
      </c>
      <c r="Q1003">
        <v>4.6072990000000001E-2</v>
      </c>
      <c r="R1003">
        <v>-5.2887740000000003E-2</v>
      </c>
      <c r="S1003">
        <v>2.9878849999999999</v>
      </c>
      <c r="T1003">
        <v>1.236463E-2</v>
      </c>
      <c r="U1003">
        <v>-0.35647579999999901</v>
      </c>
      <c r="V1003">
        <v>3.6855619999999999E-2</v>
      </c>
      <c r="W1003">
        <v>6.0598720000000002E-2</v>
      </c>
      <c r="X1003">
        <v>0.99748159999999997</v>
      </c>
      <c r="Y1003">
        <v>0.1025298</v>
      </c>
      <c r="Z1003">
        <v>1.45296E-4</v>
      </c>
      <c r="AA1003">
        <v>0.99472989999999994</v>
      </c>
      <c r="AB1003">
        <v>29</v>
      </c>
      <c r="AC1003">
        <v>139.80479999999901</v>
      </c>
      <c r="AD1003">
        <v>0.57952099999999995</v>
      </c>
      <c r="AE1003">
        <v>-16.706600000000002</v>
      </c>
      <c r="AF1003">
        <v>14.4625597578426</v>
      </c>
      <c r="AG1003">
        <v>0.57952099999999995</v>
      </c>
      <c r="AH1003">
        <v>140.05233050449399</v>
      </c>
      <c r="AI1003">
        <v>89.764171833173705</v>
      </c>
      <c r="AJ1003">
        <v>84.104226221432697</v>
      </c>
      <c r="AK1003">
        <v>140.79828393513401</v>
      </c>
      <c r="AL1003">
        <v>86.525820713112594</v>
      </c>
      <c r="AM1003">
        <v>87.883959654630402</v>
      </c>
      <c r="AN1003">
        <v>1.00000004196489</v>
      </c>
    </row>
    <row r="1004" spans="1:40" x14ac:dyDescent="0.25">
      <c r="A1004" t="str">
        <f>"20190312153909318"</f>
        <v>20190312153909318</v>
      </c>
      <c r="B1004" t="str">
        <f>"1552376349306492"</f>
        <v>1552376349306492</v>
      </c>
      <c r="C1004" t="s">
        <v>40</v>
      </c>
      <c r="D1004">
        <v>3.9715760000000002</v>
      </c>
      <c r="E1004">
        <v>0.52567390000000003</v>
      </c>
      <c r="F1004" t="s">
        <v>47</v>
      </c>
      <c r="G1004">
        <v>-158.78319999999999</v>
      </c>
      <c r="H1004">
        <v>1.5386959999999901</v>
      </c>
      <c r="I1004">
        <v>351.13679999999999</v>
      </c>
      <c r="J1004">
        <v>-298.4323</v>
      </c>
      <c r="K1004">
        <v>1.0606180000000001</v>
      </c>
      <c r="L1004">
        <v>367.91250000000002</v>
      </c>
      <c r="M1004">
        <v>0.9997682</v>
      </c>
      <c r="N1004">
        <v>0</v>
      </c>
      <c r="O1004">
        <v>-1.58832E-2</v>
      </c>
      <c r="P1004">
        <v>0.99754259999999995</v>
      </c>
      <c r="Q1004">
        <v>4.6281259999999998E-2</v>
      </c>
      <c r="R1004">
        <v>-5.2598819999999998E-2</v>
      </c>
      <c r="S1004">
        <v>2.9879150000000001</v>
      </c>
      <c r="T1004">
        <v>1.021945E-2</v>
      </c>
      <c r="U1004">
        <v>-0.3585815</v>
      </c>
      <c r="V1004">
        <v>3.6715680000000001E-2</v>
      </c>
      <c r="W1004">
        <v>6.0807659999999999E-2</v>
      </c>
      <c r="X1004">
        <v>0.99747399999999997</v>
      </c>
      <c r="Y1004">
        <v>0.1033684</v>
      </c>
      <c r="Z1004">
        <v>1.2201950000000001E-4</v>
      </c>
      <c r="AA1004">
        <v>0.99464319999999895</v>
      </c>
      <c r="AB1004">
        <v>29</v>
      </c>
      <c r="AC1004">
        <v>139.6491</v>
      </c>
      <c r="AD1004">
        <v>0.478077999999999</v>
      </c>
      <c r="AE1004">
        <v>-16.775700000000001</v>
      </c>
      <c r="AF1004">
        <v>14.555106280166701</v>
      </c>
      <c r="AG1004">
        <v>0.478077999999999</v>
      </c>
      <c r="AH1004">
        <v>139.896343816578</v>
      </c>
      <c r="AI1004">
        <v>89.805250917588097</v>
      </c>
      <c r="AJ1004">
        <v>84.060198830445302</v>
      </c>
      <c r="AK1004">
        <v>140.65229002987201</v>
      </c>
      <c r="AL1004">
        <v>86.513827057660194</v>
      </c>
      <c r="AM1004">
        <v>87.891970905132595</v>
      </c>
      <c r="AN1004">
        <v>0.99999999667426898</v>
      </c>
    </row>
    <row r="1005" spans="1:40" x14ac:dyDescent="0.25">
      <c r="A1005" t="str">
        <f>"20190312153909329"</f>
        <v>20190312153909329</v>
      </c>
      <c r="B1005" t="str">
        <f>"1552376349317228"</f>
        <v>1552376349317228</v>
      </c>
      <c r="C1005" t="s">
        <v>40</v>
      </c>
      <c r="D1005">
        <v>3.9644879999999998</v>
      </c>
      <c r="E1005">
        <v>0.52572269999999999</v>
      </c>
      <c r="F1005" t="s">
        <v>47</v>
      </c>
      <c r="G1005">
        <v>-158.78319999999999</v>
      </c>
      <c r="H1005">
        <v>1.5223310000000001</v>
      </c>
      <c r="I1005">
        <v>351.17250000000001</v>
      </c>
      <c r="J1005">
        <v>-298.26929999999999</v>
      </c>
      <c r="K1005">
        <v>1.060624</v>
      </c>
      <c r="L1005">
        <v>367.9101</v>
      </c>
      <c r="M1005">
        <v>0.99977059999999995</v>
      </c>
      <c r="N1005">
        <v>0</v>
      </c>
      <c r="O1005">
        <v>-1.572687E-2</v>
      </c>
      <c r="P1005">
        <v>0.99754469999999995</v>
      </c>
      <c r="Q1005">
        <v>4.643692E-2</v>
      </c>
      <c r="R1005">
        <v>-5.2426109999999998E-2</v>
      </c>
      <c r="S1005">
        <v>2.9880680000000002</v>
      </c>
      <c r="T1005">
        <v>9.8811390000000006E-3</v>
      </c>
      <c r="U1005">
        <v>-0.35818480000000003</v>
      </c>
      <c r="V1005">
        <v>3.6698870000000001E-2</v>
      </c>
      <c r="W1005">
        <v>6.0972350000000002E-2</v>
      </c>
      <c r="X1005">
        <v>0.99746460000000003</v>
      </c>
      <c r="Y1005">
        <v>0.1033877</v>
      </c>
      <c r="Z1005">
        <v>1.185218E-4</v>
      </c>
      <c r="AA1005">
        <v>0.99464109999999994</v>
      </c>
      <c r="AB1005">
        <v>29</v>
      </c>
      <c r="AC1005">
        <v>139.48609999999999</v>
      </c>
      <c r="AD1005">
        <v>0.46170699999999898</v>
      </c>
      <c r="AE1005">
        <v>-16.737599999999901</v>
      </c>
      <c r="AF1005">
        <v>14.541460795629799</v>
      </c>
      <c r="AG1005">
        <v>0.46170699999999898</v>
      </c>
      <c r="AH1005">
        <v>139.73059409126799</v>
      </c>
      <c r="AI1005">
        <v>89.811697131345497</v>
      </c>
      <c r="AJ1005">
        <v>84.058738700151395</v>
      </c>
      <c r="AK1005">
        <v>140.48596435417801</v>
      </c>
      <c r="AL1005">
        <v>86.504373595896297</v>
      </c>
      <c r="AM1005">
        <v>87.892915341511795</v>
      </c>
      <c r="AN1005">
        <v>1.00000003138847</v>
      </c>
    </row>
    <row r="1006" spans="1:40" x14ac:dyDescent="0.25">
      <c r="A1006" t="str">
        <f>"20190312153909342"</f>
        <v>20190312153909342</v>
      </c>
      <c r="B1006" t="str">
        <f>"1552376349336747"</f>
        <v>1552376349336747</v>
      </c>
      <c r="C1006" t="s">
        <v>40</v>
      </c>
      <c r="D1006">
        <v>3.949945</v>
      </c>
      <c r="E1006">
        <v>0.52586790000000005</v>
      </c>
      <c r="F1006" t="s">
        <v>47</v>
      </c>
      <c r="G1006">
        <v>-158.78319999999999</v>
      </c>
      <c r="H1006">
        <v>1.5236130000000001</v>
      </c>
      <c r="I1006">
        <v>351.20139999999998</v>
      </c>
      <c r="J1006">
        <v>-298.11160000000001</v>
      </c>
      <c r="K1006">
        <v>1.0606329999999999</v>
      </c>
      <c r="L1006">
        <v>367.90769999999998</v>
      </c>
      <c r="M1006">
        <v>0.99977269999999896</v>
      </c>
      <c r="N1006">
        <v>0</v>
      </c>
      <c r="O1006">
        <v>-1.5575210000000001E-2</v>
      </c>
      <c r="P1006">
        <v>0.99755899999999997</v>
      </c>
      <c r="Q1006">
        <v>4.6421799999999999E-2</v>
      </c>
      <c r="R1006">
        <v>-5.2162890000000003E-2</v>
      </c>
      <c r="S1006">
        <v>2.9881289999999998</v>
      </c>
      <c r="T1006">
        <v>9.9202390000000008E-3</v>
      </c>
      <c r="U1006">
        <v>-0.3579407</v>
      </c>
      <c r="V1006">
        <v>3.6586960000000002E-2</v>
      </c>
      <c r="W1006">
        <v>6.0968540000000002E-2</v>
      </c>
      <c r="X1006">
        <v>0.99746889999999999</v>
      </c>
      <c r="Y1006">
        <v>0.1034561</v>
      </c>
      <c r="Z1006">
        <v>1.1960349999999999E-4</v>
      </c>
      <c r="AA1006">
        <v>0.99463400000000002</v>
      </c>
      <c r="AB1006">
        <v>29</v>
      </c>
      <c r="AC1006">
        <v>139.32839999999999</v>
      </c>
      <c r="AD1006">
        <v>0.46298</v>
      </c>
      <c r="AE1006">
        <v>-16.706299999999999</v>
      </c>
      <c r="AF1006">
        <v>14.533815762894699</v>
      </c>
      <c r="AG1006">
        <v>0.46298</v>
      </c>
      <c r="AH1006">
        <v>139.57020818089799</v>
      </c>
      <c r="AI1006">
        <v>89.810962234098</v>
      </c>
      <c r="AJ1006">
        <v>84.055064992754495</v>
      </c>
      <c r="AK1006">
        <v>140.32565397235601</v>
      </c>
      <c r="AL1006">
        <v>86.504592146056495</v>
      </c>
      <c r="AM1006">
        <v>87.899343994591206</v>
      </c>
      <c r="AN1006">
        <v>0.99999998748949104</v>
      </c>
    </row>
    <row r="1007" spans="1:40" x14ac:dyDescent="0.25">
      <c r="A1007" t="str">
        <f>"20190312153909356"</f>
        <v>20190312153909356</v>
      </c>
      <c r="B1007" t="str">
        <f>"1552376349346508"</f>
        <v>1552376349346508</v>
      </c>
      <c r="C1007" t="s">
        <v>40</v>
      </c>
      <c r="D1007">
        <v>3.9645980000000001</v>
      </c>
      <c r="E1007">
        <v>0.52597740000000004</v>
      </c>
      <c r="F1007" t="s">
        <v>47</v>
      </c>
      <c r="G1007">
        <v>-158.78319999999999</v>
      </c>
      <c r="H1007">
        <v>1.4448639999999999</v>
      </c>
      <c r="I1007">
        <v>351.20280000000002</v>
      </c>
      <c r="J1007">
        <v>-297.93090000000001</v>
      </c>
      <c r="K1007">
        <v>1.0606420000000001</v>
      </c>
      <c r="L1007">
        <v>367.9051</v>
      </c>
      <c r="M1007">
        <v>0.99977519999999998</v>
      </c>
      <c r="N1007">
        <v>0</v>
      </c>
      <c r="O1007">
        <v>-1.540189E-2</v>
      </c>
      <c r="P1007">
        <v>0.99757340000000005</v>
      </c>
      <c r="Q1007">
        <v>4.6241039999999997E-2</v>
      </c>
      <c r="R1007">
        <v>-5.2051970000000003E-2</v>
      </c>
      <c r="S1007">
        <v>2.9882200000000001</v>
      </c>
      <c r="T1007">
        <v>8.2426069999999903E-3</v>
      </c>
      <c r="U1007">
        <v>-0.35827639999999999</v>
      </c>
      <c r="V1007">
        <v>3.6648800000000002E-2</v>
      </c>
      <c r="W1007">
        <v>6.0803379999999997E-2</v>
      </c>
      <c r="X1007">
        <v>0.99747669999999999</v>
      </c>
      <c r="Y1007">
        <v>0.1037352</v>
      </c>
      <c r="Z1007">
        <v>1.002332E-4</v>
      </c>
      <c r="AA1007">
        <v>0.99460490000000001</v>
      </c>
      <c r="AB1007">
        <v>29</v>
      </c>
      <c r="AC1007">
        <v>139.14769999999999</v>
      </c>
      <c r="AD1007">
        <v>0.38422199999999901</v>
      </c>
      <c r="AE1007">
        <v>-16.702299999999902</v>
      </c>
      <c r="AF1007">
        <v>14.5568438713776</v>
      </c>
      <c r="AG1007">
        <v>0.38422199999999901</v>
      </c>
      <c r="AH1007">
        <v>139.38741796633701</v>
      </c>
      <c r="AI1007">
        <v>89.842918624827703</v>
      </c>
      <c r="AJ1007">
        <v>84.037961017843003</v>
      </c>
      <c r="AK1007">
        <v>140.146001075176</v>
      </c>
      <c r="AL1007">
        <v>86.514072667092194</v>
      </c>
      <c r="AM1007">
        <v>87.895813052969203</v>
      </c>
      <c r="AN1007">
        <v>0.99999997630187698</v>
      </c>
    </row>
    <row r="1008" spans="1:40" x14ac:dyDescent="0.25">
      <c r="A1008" t="str">
        <f>"20190312153909370"</f>
        <v>20190312153909370</v>
      </c>
      <c r="B1008" t="str">
        <f>"1552376349367005"</f>
        <v>1552376349367005</v>
      </c>
      <c r="C1008" t="s">
        <v>40</v>
      </c>
      <c r="D1008">
        <v>3.973846</v>
      </c>
      <c r="E1008">
        <v>0.52608469999999996</v>
      </c>
      <c r="F1008" t="s">
        <v>47</v>
      </c>
      <c r="G1008">
        <v>-158.78319999999999</v>
      </c>
      <c r="H1008">
        <v>1.383327</v>
      </c>
      <c r="I1008">
        <v>351.185</v>
      </c>
      <c r="J1008">
        <v>-297.74369999999999</v>
      </c>
      <c r="K1008">
        <v>1.0606469999999999</v>
      </c>
      <c r="L1008">
        <v>367.9024</v>
      </c>
      <c r="M1008">
        <v>0.99977760000000004</v>
      </c>
      <c r="N1008">
        <v>0</v>
      </c>
      <c r="O1008">
        <v>-1.5222050000000001E-2</v>
      </c>
      <c r="P1008">
        <v>0.99756670000000003</v>
      </c>
      <c r="Q1008">
        <v>4.652883E-2</v>
      </c>
      <c r="R1008">
        <v>-5.1922179999999998E-2</v>
      </c>
      <c r="S1008">
        <v>2.988251</v>
      </c>
      <c r="T1008">
        <v>6.9316630000000002E-3</v>
      </c>
      <c r="U1008">
        <v>-0.35906979999999999</v>
      </c>
      <c r="V1008">
        <v>3.6698790000000002E-2</v>
      </c>
      <c r="W1008">
        <v>6.1112279999999998E-2</v>
      </c>
      <c r="X1008">
        <v>0.99745600000000001</v>
      </c>
      <c r="Y1008">
        <v>0.1041734</v>
      </c>
      <c r="Z1008" s="1">
        <v>8.5211389999999995E-5</v>
      </c>
      <c r="AA1008">
        <v>0.99455919999999998</v>
      </c>
      <c r="AB1008">
        <v>29</v>
      </c>
      <c r="AC1008">
        <v>138.9605</v>
      </c>
      <c r="AD1008">
        <v>0.32268000000000002</v>
      </c>
      <c r="AE1008">
        <v>-16.717399999999898</v>
      </c>
      <c r="AF1008">
        <v>14.5998960396873</v>
      </c>
      <c r="AG1008">
        <v>0.32268000000000002</v>
      </c>
      <c r="AH1008">
        <v>139.19815665279401</v>
      </c>
      <c r="AI1008">
        <v>89.867905531315301</v>
      </c>
      <c r="AJ1008">
        <v>84.012384645237205</v>
      </c>
      <c r="AK1008">
        <v>139.96209451950801</v>
      </c>
      <c r="AL1008">
        <v>86.496341080401805</v>
      </c>
      <c r="AM1008">
        <v>87.892901779883005</v>
      </c>
      <c r="AN1008">
        <v>0.99999999194513101</v>
      </c>
    </row>
    <row r="1009" spans="1:40" x14ac:dyDescent="0.25">
      <c r="A1009" t="str">
        <f>"20190312153909386"</f>
        <v>20190312153909386</v>
      </c>
      <c r="B1009" t="str">
        <f>"1552376349376764"</f>
        <v>1552376349376764</v>
      </c>
      <c r="C1009" t="s">
        <v>40</v>
      </c>
      <c r="D1009">
        <v>3.9634170000000002</v>
      </c>
      <c r="E1009">
        <v>0.52613559999999904</v>
      </c>
      <c r="F1009" t="s">
        <v>47</v>
      </c>
      <c r="G1009">
        <v>-158.78319999999999</v>
      </c>
      <c r="H1009">
        <v>1.320265</v>
      </c>
      <c r="I1009">
        <v>351.20400000000001</v>
      </c>
      <c r="J1009">
        <v>-297.54059999999998</v>
      </c>
      <c r="K1009">
        <v>1.060656</v>
      </c>
      <c r="L1009">
        <v>367.89949999999999</v>
      </c>
      <c r="M1009">
        <v>0.99978020000000001</v>
      </c>
      <c r="N1009">
        <v>0</v>
      </c>
      <c r="O1009">
        <v>-1.5027220000000001E-2</v>
      </c>
      <c r="P1009">
        <v>0.99756929999999999</v>
      </c>
      <c r="Q1009">
        <v>4.6752370000000001E-2</v>
      </c>
      <c r="R1009">
        <v>-5.1674110000000002E-2</v>
      </c>
      <c r="S1009">
        <v>2.9883419999999998</v>
      </c>
      <c r="T1009">
        <v>5.584955E-3</v>
      </c>
      <c r="U1009">
        <v>-0.35910029999999998</v>
      </c>
      <c r="V1009">
        <v>3.6644919999999997E-2</v>
      </c>
      <c r="W1009">
        <v>6.136262E-2</v>
      </c>
      <c r="X1009">
        <v>0.99744259999999996</v>
      </c>
      <c r="Y1009">
        <v>0.1043736</v>
      </c>
      <c r="Z1009" s="1">
        <v>6.9203229999999997E-5</v>
      </c>
      <c r="AA1009">
        <v>0.99453809999999998</v>
      </c>
      <c r="AB1009">
        <v>29</v>
      </c>
      <c r="AC1009">
        <v>138.75739999999999</v>
      </c>
      <c r="AD1009">
        <v>0.25960899999999998</v>
      </c>
      <c r="AE1009">
        <v>-16.6954999999999</v>
      </c>
      <c r="AF1009">
        <v>14.608203172934701</v>
      </c>
      <c r="AG1009">
        <v>0.25960899999999998</v>
      </c>
      <c r="AH1009">
        <v>138.99216302403499</v>
      </c>
      <c r="AI1009">
        <v>89.893569509752894</v>
      </c>
      <c r="AJ1009">
        <v>84.000188296808204</v>
      </c>
      <c r="AK1009">
        <v>139.75796356156101</v>
      </c>
      <c r="AL1009">
        <v>86.481970645546696</v>
      </c>
      <c r="AM1009">
        <v>87.895963758048595</v>
      </c>
      <c r="AN1009">
        <v>0.99999998079491503</v>
      </c>
    </row>
    <row r="1010" spans="1:40" x14ac:dyDescent="0.25">
      <c r="A1010" t="str">
        <f>"20190312153909401"</f>
        <v>20190312153909401</v>
      </c>
      <c r="B1010" t="str">
        <f>"1552376349397259"</f>
        <v>1552376349397259</v>
      </c>
      <c r="C1010" t="s">
        <v>40</v>
      </c>
      <c r="D1010">
        <v>4.028886</v>
      </c>
      <c r="E1010">
        <v>0.52626709999999999</v>
      </c>
      <c r="F1010" t="s">
        <v>47</v>
      </c>
      <c r="G1010">
        <v>-158.78319999999999</v>
      </c>
      <c r="H1010">
        <v>1.267296</v>
      </c>
      <c r="I1010">
        <v>351.24349999999998</v>
      </c>
      <c r="J1010">
        <v>-297.35210000000001</v>
      </c>
      <c r="K1010">
        <v>1.060665</v>
      </c>
      <c r="L1010">
        <v>367.89690000000002</v>
      </c>
      <c r="M1010">
        <v>0.99978259999999997</v>
      </c>
      <c r="N1010">
        <v>0</v>
      </c>
      <c r="O1010">
        <v>-1.4846710000000001E-2</v>
      </c>
      <c r="P1010">
        <v>0.99756480000000003</v>
      </c>
      <c r="Q1010">
        <v>4.683756E-2</v>
      </c>
      <c r="R1010">
        <v>-5.1681739999999997E-2</v>
      </c>
      <c r="S1010">
        <v>2.9885250000000001</v>
      </c>
      <c r="T1010">
        <v>4.4524669999999999E-3</v>
      </c>
      <c r="U1010">
        <v>-0.3587341</v>
      </c>
      <c r="V1010">
        <v>3.6832959999999998E-2</v>
      </c>
      <c r="W1010">
        <v>6.14759E-2</v>
      </c>
      <c r="X1010">
        <v>0.99742869999999995</v>
      </c>
      <c r="Y1010">
        <v>0.1044259</v>
      </c>
      <c r="Z1010" s="1">
        <v>5.5474279999999997E-5</v>
      </c>
      <c r="AA1010">
        <v>0.99453259999999999</v>
      </c>
      <c r="AB1010">
        <v>29</v>
      </c>
      <c r="AC1010">
        <v>138.56890000000001</v>
      </c>
      <c r="AD1010">
        <v>0.20663099999999901</v>
      </c>
      <c r="AE1010">
        <v>-16.653400000000001</v>
      </c>
      <c r="AF1010">
        <v>14.594019328377501</v>
      </c>
      <c r="AG1010">
        <v>0.20663099999999901</v>
      </c>
      <c r="AH1010">
        <v>138.800594329251</v>
      </c>
      <c r="AI1010">
        <v>89.915172038596495</v>
      </c>
      <c r="AJ1010">
        <v>83.997758947647299</v>
      </c>
      <c r="AK1010">
        <v>139.565873632061</v>
      </c>
      <c r="AL1010">
        <v>86.475467908370902</v>
      </c>
      <c r="AM1010">
        <v>87.8851474251817</v>
      </c>
      <c r="AN1010">
        <v>0.99999998240343002</v>
      </c>
    </row>
    <row r="1011" spans="1:40" x14ac:dyDescent="0.25">
      <c r="A1011" t="str">
        <f>"20190312153909415"</f>
        <v>20190312153909415</v>
      </c>
      <c r="B1011" t="str">
        <f>"1552376349407019"</f>
        <v>1552376349407019</v>
      </c>
      <c r="C1011" t="s">
        <v>40</v>
      </c>
      <c r="D1011">
        <v>3.9558949999999999</v>
      </c>
      <c r="E1011">
        <v>0.52630999999999994</v>
      </c>
      <c r="F1011" t="s">
        <v>47</v>
      </c>
      <c r="G1011">
        <v>-158.78319999999999</v>
      </c>
      <c r="H1011">
        <v>1.1980189999999999</v>
      </c>
      <c r="I1011">
        <v>351.21839999999997</v>
      </c>
      <c r="J1011">
        <v>-297.14550000000003</v>
      </c>
      <c r="K1011">
        <v>1.0606719999999901</v>
      </c>
      <c r="L1011">
        <v>367.89400000000001</v>
      </c>
      <c r="M1011">
        <v>0.99978489999999998</v>
      </c>
      <c r="N1011">
        <v>0</v>
      </c>
      <c r="O1011">
        <v>-1.464848E-2</v>
      </c>
      <c r="P1011">
        <v>0.99758740000000001</v>
      </c>
      <c r="Q1011">
        <v>4.6585500000000002E-2</v>
      </c>
      <c r="R1011">
        <v>-5.1470790000000002E-2</v>
      </c>
      <c r="S1011">
        <v>2.988556</v>
      </c>
      <c r="T1011">
        <v>2.964258E-3</v>
      </c>
      <c r="U1011">
        <v>-0.35971069999999999</v>
      </c>
      <c r="V1011">
        <v>3.6819869999999998E-2</v>
      </c>
      <c r="W1011">
        <v>6.1257909999999999E-2</v>
      </c>
      <c r="X1011">
        <v>0.99744259999999996</v>
      </c>
      <c r="Y1011">
        <v>0.1049423</v>
      </c>
      <c r="Z1011" s="1">
        <v>3.7382249999999999E-5</v>
      </c>
      <c r="AA1011">
        <v>0.99447830000000004</v>
      </c>
      <c r="AB1011">
        <v>29</v>
      </c>
      <c r="AC1011">
        <v>138.3623</v>
      </c>
      <c r="AD1011">
        <v>0.137347</v>
      </c>
      <c r="AE1011">
        <v>-16.675599999999999</v>
      </c>
      <c r="AF1011">
        <v>14.6467803002267</v>
      </c>
      <c r="AG1011">
        <v>0.137347</v>
      </c>
      <c r="AH1011">
        <v>138.59161516897399</v>
      </c>
      <c r="AI1011">
        <v>89.943533240995095</v>
      </c>
      <c r="AJ1011">
        <v>83.967202444433397</v>
      </c>
      <c r="AK1011">
        <v>139.363491749118</v>
      </c>
      <c r="AL1011">
        <v>86.487981417400803</v>
      </c>
      <c r="AM1011">
        <v>87.885927771379301</v>
      </c>
      <c r="AN1011">
        <v>0.99999998732957196</v>
      </c>
    </row>
    <row r="1012" spans="1:40" x14ac:dyDescent="0.25">
      <c r="A1012" t="str">
        <f>"20190312153909429"</f>
        <v>20190312153909429</v>
      </c>
      <c r="B1012" t="str">
        <f>"1552376349416779"</f>
        <v>1552376349416779</v>
      </c>
      <c r="C1012" t="s">
        <v>40</v>
      </c>
      <c r="D1012">
        <v>3.964877</v>
      </c>
      <c r="E1012">
        <v>0.52640549999999997</v>
      </c>
      <c r="F1012" t="s">
        <v>47</v>
      </c>
      <c r="G1012">
        <v>-158.78319999999999</v>
      </c>
      <c r="H1012">
        <v>1.0968089999999999</v>
      </c>
      <c r="I1012">
        <v>351.25659999999999</v>
      </c>
      <c r="J1012">
        <v>-296.98230000000001</v>
      </c>
      <c r="K1012">
        <v>1.060678</v>
      </c>
      <c r="L1012">
        <v>367.89179999999999</v>
      </c>
      <c r="M1012">
        <v>0.99978690000000003</v>
      </c>
      <c r="N1012">
        <v>0</v>
      </c>
      <c r="O1012">
        <v>-1.4492059999999999E-2</v>
      </c>
      <c r="P1012">
        <v>0.99754370000000003</v>
      </c>
      <c r="Q1012">
        <v>4.7142799999999999E-2</v>
      </c>
      <c r="R1012">
        <v>-5.1811830000000003E-2</v>
      </c>
      <c r="S1012">
        <v>2.9886780000000002</v>
      </c>
      <c r="T1012">
        <v>7.8248979999999998E-4</v>
      </c>
      <c r="U1012">
        <v>-0.359375</v>
      </c>
      <c r="V1012">
        <v>3.7317309999999999E-2</v>
      </c>
      <c r="W1012">
        <v>6.184427E-2</v>
      </c>
      <c r="X1012">
        <v>0.99738789999999999</v>
      </c>
      <c r="Y1012">
        <v>0.10498300000000001</v>
      </c>
      <c r="Z1012" s="1">
        <v>9.9137419999999995E-6</v>
      </c>
      <c r="AA1012">
        <v>0.99447399999999997</v>
      </c>
      <c r="AB1012">
        <v>29</v>
      </c>
      <c r="AC1012">
        <v>138.19909999999999</v>
      </c>
      <c r="AD1012">
        <v>3.6130999999999899E-2</v>
      </c>
      <c r="AE1012">
        <v>-16.635199999999902</v>
      </c>
      <c r="AF1012">
        <v>14.6304455636529</v>
      </c>
      <c r="AG1012">
        <v>3.6130999999999899E-2</v>
      </c>
      <c r="AH1012">
        <v>138.425678873397</v>
      </c>
      <c r="AI1012">
        <v>89.985127852084702</v>
      </c>
      <c r="AJ1012">
        <v>83.966710456352303</v>
      </c>
      <c r="AK1012">
        <v>139.196694696393</v>
      </c>
      <c r="AL1012">
        <v>86.454321542234695</v>
      </c>
      <c r="AM1012">
        <v>87.857275496033793</v>
      </c>
      <c r="AN1012">
        <v>0.99999995921193796</v>
      </c>
    </row>
    <row r="1013" spans="1:40" x14ac:dyDescent="0.25">
      <c r="A1013" t="str">
        <f>"20190312153909442"</f>
        <v>20190312153909442</v>
      </c>
      <c r="B1013" t="str">
        <f>"1552376349437275"</f>
        <v>1552376349437275</v>
      </c>
      <c r="C1013" t="s">
        <v>40</v>
      </c>
      <c r="D1013">
        <v>3.9739800000000001</v>
      </c>
      <c r="E1013">
        <v>0.52654299999999998</v>
      </c>
      <c r="F1013" t="s">
        <v>47</v>
      </c>
      <c r="G1013">
        <v>-158.78319999999999</v>
      </c>
      <c r="H1013">
        <v>1.112854</v>
      </c>
      <c r="I1013">
        <v>351.18860000000001</v>
      </c>
      <c r="J1013">
        <v>-296.81150000000002</v>
      </c>
      <c r="K1013">
        <v>1.0606789999999999</v>
      </c>
      <c r="L1013">
        <v>367.8895</v>
      </c>
      <c r="M1013">
        <v>0.99978880000000003</v>
      </c>
      <c r="N1013">
        <v>0</v>
      </c>
      <c r="O1013">
        <v>-1.4328260000000001E-2</v>
      </c>
      <c r="P1013">
        <v>0.99754319999999996</v>
      </c>
      <c r="Q1013">
        <v>4.7112689999999999E-2</v>
      </c>
      <c r="R1013">
        <v>-5.1850399999999998E-2</v>
      </c>
      <c r="S1013">
        <v>2.988556</v>
      </c>
      <c r="T1013">
        <v>1.1302230000000001E-3</v>
      </c>
      <c r="U1013">
        <v>-0.36120609999999997</v>
      </c>
      <c r="V1013">
        <v>3.7519459999999998E-2</v>
      </c>
      <c r="W1013">
        <v>6.1846169999999999E-2</v>
      </c>
      <c r="X1013">
        <v>0.9973803</v>
      </c>
      <c r="Y1013">
        <v>0.1057512</v>
      </c>
      <c r="Z1013" s="1">
        <v>1.4525849999999999E-5</v>
      </c>
      <c r="AA1013">
        <v>0.99439259999999996</v>
      </c>
      <c r="AB1013">
        <v>29</v>
      </c>
      <c r="AC1013">
        <v>138.0283</v>
      </c>
      <c r="AD1013">
        <v>5.2174999999999798E-2</v>
      </c>
      <c r="AE1013">
        <v>-16.700899999999901</v>
      </c>
      <c r="AF1013">
        <v>14.721263085875201</v>
      </c>
      <c r="AG1013">
        <v>5.2174999999999798E-2</v>
      </c>
      <c r="AH1013">
        <v>138.25342900050001</v>
      </c>
      <c r="AI1013">
        <v>89.978498884863598</v>
      </c>
      <c r="AJ1013">
        <v>83.922031389612698</v>
      </c>
      <c r="AK1013">
        <v>139.03499178074</v>
      </c>
      <c r="AL1013">
        <v>86.454212831865405</v>
      </c>
      <c r="AM1013">
        <v>87.845662742023094</v>
      </c>
      <c r="AN1013">
        <v>1.00000006072522</v>
      </c>
    </row>
    <row r="1014" spans="1:40" x14ac:dyDescent="0.25">
      <c r="A1014" t="str">
        <f>"20190312153909461"</f>
        <v>20190312153909461</v>
      </c>
      <c r="B1014" t="str">
        <f>"1552376349456795"</f>
        <v>1552376349456795</v>
      </c>
      <c r="C1014" t="s">
        <v>40</v>
      </c>
      <c r="D1014">
        <v>4.003044</v>
      </c>
      <c r="E1014">
        <v>0.52663769999999999</v>
      </c>
      <c r="F1014" t="s">
        <v>47</v>
      </c>
      <c r="G1014">
        <v>-158.78319999999999</v>
      </c>
      <c r="H1014">
        <v>0.98817440000000001</v>
      </c>
      <c r="I1014">
        <v>351.15519999999998</v>
      </c>
      <c r="J1014">
        <v>-296.55360000000002</v>
      </c>
      <c r="K1014">
        <v>1.0606899999999999</v>
      </c>
      <c r="L1014">
        <v>367.88600000000002</v>
      </c>
      <c r="M1014">
        <v>0.99979150000000006</v>
      </c>
      <c r="N1014">
        <v>0</v>
      </c>
      <c r="O1014">
        <v>-1.4080809999999999E-2</v>
      </c>
      <c r="P1014">
        <v>0.99754880000000001</v>
      </c>
      <c r="Q1014">
        <v>4.6975290000000003E-2</v>
      </c>
      <c r="R1014">
        <v>-5.1863489999999998E-2</v>
      </c>
      <c r="S1014">
        <v>2.9886170000000001</v>
      </c>
      <c r="T1014">
        <v>-1.56796E-3</v>
      </c>
      <c r="U1014">
        <v>-0.36233520000000002</v>
      </c>
      <c r="V1014">
        <v>3.7779800000000002E-2</v>
      </c>
      <c r="W1014">
        <v>6.1759550000000003E-2</v>
      </c>
      <c r="X1014">
        <v>0.99737580000000003</v>
      </c>
      <c r="Y1014">
        <v>0.10636519999999999</v>
      </c>
      <c r="Z1014" s="1">
        <v>-2.0440609999999999E-5</v>
      </c>
      <c r="AA1014">
        <v>0.99432710000000002</v>
      </c>
      <c r="AB1014">
        <v>29</v>
      </c>
      <c r="AC1014">
        <v>137.7704</v>
      </c>
      <c r="AD1014">
        <v>-7.2515599999999902E-2</v>
      </c>
      <c r="AE1014">
        <v>-16.730799999999899</v>
      </c>
      <c r="AF1014">
        <v>14.7890059373736</v>
      </c>
      <c r="AG1014">
        <v>-7.2515599999999902E-2</v>
      </c>
      <c r="AH1014">
        <v>137.992309826178</v>
      </c>
      <c r="AI1014">
        <v>90.029937754229096</v>
      </c>
      <c r="AJ1014">
        <v>83.882806995595601</v>
      </c>
      <c r="AK1014">
        <v>138.78255483414301</v>
      </c>
      <c r="AL1014">
        <v>86.459185156152202</v>
      </c>
      <c r="AM1014">
        <v>87.830718682342606</v>
      </c>
      <c r="AN1014">
        <v>1.00000002086494</v>
      </c>
    </row>
    <row r="1015" spans="1:40" x14ac:dyDescent="0.25">
      <c r="A1015" t="str">
        <f>"20190312153909475"</f>
        <v>20190312153909475</v>
      </c>
      <c r="B1015" t="str">
        <f>"1552376349467533"</f>
        <v>1552376349467533</v>
      </c>
      <c r="C1015" t="s">
        <v>40</v>
      </c>
      <c r="D1015">
        <v>3.9892449999999999</v>
      </c>
      <c r="E1015">
        <v>0.52669100000000002</v>
      </c>
      <c r="F1015" t="s">
        <v>47</v>
      </c>
      <c r="G1015">
        <v>-158.78319999999999</v>
      </c>
      <c r="H1015">
        <v>0.8663902</v>
      </c>
      <c r="I1015">
        <v>351.15940000000001</v>
      </c>
      <c r="J1015">
        <v>-296.38479999999998</v>
      </c>
      <c r="K1015">
        <v>1.0606960000000001</v>
      </c>
      <c r="L1015">
        <v>367.88380000000001</v>
      </c>
      <c r="M1015">
        <v>0.99979320000000005</v>
      </c>
      <c r="N1015">
        <v>0</v>
      </c>
      <c r="O1015">
        <v>-1.391881E-2</v>
      </c>
      <c r="P1015">
        <v>0.99755170000000004</v>
      </c>
      <c r="Q1015">
        <v>4.687434E-2</v>
      </c>
      <c r="R1015">
        <v>-5.1900670000000003E-2</v>
      </c>
      <c r="S1015">
        <v>2.9886780000000002</v>
      </c>
      <c r="T1015">
        <v>-4.213095E-3</v>
      </c>
      <c r="U1015">
        <v>-0.36285400000000001</v>
      </c>
      <c r="V1015">
        <v>3.7978709999999999E-2</v>
      </c>
      <c r="W1015">
        <v>6.1691490000000002E-2</v>
      </c>
      <c r="X1015">
        <v>0.99737240000000005</v>
      </c>
      <c r="Y1015">
        <v>0.106693899999999</v>
      </c>
      <c r="Z1015" s="1">
        <v>-5.5380310000000003E-5</v>
      </c>
      <c r="AA1015">
        <v>0.99429190000000001</v>
      </c>
      <c r="AB1015">
        <v>29</v>
      </c>
      <c r="AC1015">
        <v>137.60159999999999</v>
      </c>
      <c r="AD1015">
        <v>-0.194305799999999</v>
      </c>
      <c r="AE1015">
        <v>-16.724399999999999</v>
      </c>
      <c r="AF1015">
        <v>14.807289363263701</v>
      </c>
      <c r="AG1015">
        <v>-0.194305799999999</v>
      </c>
      <c r="AH1015">
        <v>137.82080594150901</v>
      </c>
      <c r="AI1015">
        <v>90.080315827129994</v>
      </c>
      <c r="AJ1015">
        <v>83.867738320676494</v>
      </c>
      <c r="AK1015">
        <v>138.614097852269</v>
      </c>
      <c r="AL1015">
        <v>86.463091953040305</v>
      </c>
      <c r="AM1015">
        <v>87.819301024349699</v>
      </c>
      <c r="AN1015">
        <v>0.99999996331672103</v>
      </c>
    </row>
    <row r="1016" spans="1:40" x14ac:dyDescent="0.25">
      <c r="A1016" t="str">
        <f>"20190312153909487"</f>
        <v>20190312153909487</v>
      </c>
      <c r="B1016" t="str">
        <f>"1552376349477291"</f>
        <v>1552376349477291</v>
      </c>
      <c r="C1016" t="s">
        <v>40</v>
      </c>
      <c r="D1016">
        <v>4.0246620000000002</v>
      </c>
      <c r="E1016">
        <v>0.526702</v>
      </c>
      <c r="F1016" t="s">
        <v>47</v>
      </c>
      <c r="G1016">
        <v>-158.78319999999999</v>
      </c>
      <c r="H1016">
        <v>0.78748890000000005</v>
      </c>
      <c r="I1016">
        <v>351.15300000000002</v>
      </c>
      <c r="J1016">
        <v>-296.22680000000003</v>
      </c>
      <c r="K1016">
        <v>1.060702</v>
      </c>
      <c r="L1016">
        <v>367.8818</v>
      </c>
      <c r="M1016">
        <v>0.99979490000000004</v>
      </c>
      <c r="N1016">
        <v>0</v>
      </c>
      <c r="O1016">
        <v>-1.376693E-2</v>
      </c>
      <c r="P1016">
        <v>0.99756409999999995</v>
      </c>
      <c r="Q1016">
        <v>4.65625E-2</v>
      </c>
      <c r="R1016">
        <v>-5.1944329999999997E-2</v>
      </c>
      <c r="S1016">
        <v>2.9887999999999999</v>
      </c>
      <c r="T1016">
        <v>-5.9323309999999999E-3</v>
      </c>
      <c r="U1016">
        <v>-0.36340329999999998</v>
      </c>
      <c r="V1016">
        <v>3.8174020000000003E-2</v>
      </c>
      <c r="W1016">
        <v>6.140926E-2</v>
      </c>
      <c r="X1016">
        <v>0.9973824</v>
      </c>
      <c r="Y1016">
        <v>0.10702</v>
      </c>
      <c r="Z1016" s="1">
        <v>-7.8598039999999998E-5</v>
      </c>
      <c r="AA1016">
        <v>0.9942569</v>
      </c>
      <c r="AB1016">
        <v>29</v>
      </c>
      <c r="AC1016">
        <v>137.4436</v>
      </c>
      <c r="AD1016">
        <v>-0.27321309999999999</v>
      </c>
      <c r="AE1016">
        <v>-16.7287999999999</v>
      </c>
      <c r="AF1016">
        <v>14.8347713314408</v>
      </c>
      <c r="AG1016">
        <v>-0.27321309999999999</v>
      </c>
      <c r="AH1016">
        <v>137.660365392584</v>
      </c>
      <c r="AI1016">
        <v>90.113059607149793</v>
      </c>
      <c r="AJ1016">
        <v>83.849338600875299</v>
      </c>
      <c r="AK1016">
        <v>138.45765159742501</v>
      </c>
      <c r="AL1016">
        <v>86.479293397428407</v>
      </c>
      <c r="AM1016">
        <v>87.808119388114704</v>
      </c>
      <c r="AN1016">
        <v>1.0000000024232301</v>
      </c>
    </row>
    <row r="1017" spans="1:40" x14ac:dyDescent="0.25">
      <c r="A1017" t="str">
        <f>"20190312153909499"</f>
        <v>20190312153909499</v>
      </c>
      <c r="B1017" t="str">
        <f>"1552376349487052"</f>
        <v>1552376349487052</v>
      </c>
      <c r="C1017" t="s">
        <v>40</v>
      </c>
      <c r="D1017">
        <v>4.0316020000000004</v>
      </c>
      <c r="E1017">
        <v>0.52674009999999905</v>
      </c>
      <c r="F1017" t="s">
        <v>47</v>
      </c>
      <c r="G1017">
        <v>-158.78319999999999</v>
      </c>
      <c r="H1017">
        <v>0.69077489999999997</v>
      </c>
      <c r="I1017">
        <v>351.16590000000002</v>
      </c>
      <c r="J1017">
        <v>-296.07639999999998</v>
      </c>
      <c r="K1017">
        <v>1.060705</v>
      </c>
      <c r="L1017">
        <v>367.87979999999999</v>
      </c>
      <c r="M1017">
        <v>0.99979629999999997</v>
      </c>
      <c r="N1017">
        <v>0</v>
      </c>
      <c r="O1017">
        <v>-1.36223E-2</v>
      </c>
      <c r="P1017">
        <v>0.99756719999999999</v>
      </c>
      <c r="Q1017">
        <v>4.6570479999999997E-2</v>
      </c>
      <c r="R1017">
        <v>-5.187348E-2</v>
      </c>
      <c r="S1017">
        <v>2.9887700000000001</v>
      </c>
      <c r="T1017">
        <v>-8.0423360000000006E-3</v>
      </c>
      <c r="U1017">
        <v>-0.36349490000000001</v>
      </c>
      <c r="V1017">
        <v>3.8247509999999998E-2</v>
      </c>
      <c r="W1017">
        <v>6.144401E-2</v>
      </c>
      <c r="X1017">
        <v>0.99737750000000003</v>
      </c>
      <c r="Y1017">
        <v>0.107194899999999</v>
      </c>
      <c r="Z1017">
        <v>-1.071765E-4</v>
      </c>
      <c r="AA1017">
        <v>0.99423799999999996</v>
      </c>
      <c r="AB1017">
        <v>29</v>
      </c>
      <c r="AC1017">
        <v>137.29319999999899</v>
      </c>
      <c r="AD1017">
        <v>-0.36993009999999998</v>
      </c>
      <c r="AE1017">
        <v>-16.713899999999899</v>
      </c>
      <c r="AF1017">
        <v>14.8417860349536</v>
      </c>
      <c r="AG1017">
        <v>-0.36993009999999998</v>
      </c>
      <c r="AH1017">
        <v>137.507181314729</v>
      </c>
      <c r="AI1017">
        <v>90.153250100835507</v>
      </c>
      <c r="AJ1017">
        <v>83.839650114538998</v>
      </c>
      <c r="AK1017">
        <v>138.30632803349201</v>
      </c>
      <c r="AL1017">
        <v>86.477298797963599</v>
      </c>
      <c r="AM1017">
        <v>87.803893079197806</v>
      </c>
      <c r="AN1017">
        <v>1.0000000579461601</v>
      </c>
    </row>
    <row r="1018" spans="1:40" x14ac:dyDescent="0.25">
      <c r="A1018" t="str">
        <f>"20190312153909515"</f>
        <v>20190312153909515</v>
      </c>
      <c r="B1018" t="str">
        <f>"1552376349507548"</f>
        <v>1552376349507548</v>
      </c>
      <c r="C1018" t="s">
        <v>40</v>
      </c>
      <c r="D1018">
        <v>4.054379</v>
      </c>
      <c r="E1018">
        <v>0.52670260000000002</v>
      </c>
      <c r="F1018" t="s">
        <v>47</v>
      </c>
      <c r="G1018">
        <v>-158.78319999999999</v>
      </c>
      <c r="H1018">
        <v>0.63945200000000002</v>
      </c>
      <c r="I1018">
        <v>351.1825</v>
      </c>
      <c r="J1018">
        <v>-295.85050000000001</v>
      </c>
      <c r="K1018">
        <v>1.060711</v>
      </c>
      <c r="L1018">
        <v>367.87700000000001</v>
      </c>
      <c r="M1018">
        <v>0.99979879999999999</v>
      </c>
      <c r="N1018">
        <v>0</v>
      </c>
      <c r="O1018">
        <v>-1.340539E-2</v>
      </c>
      <c r="P1018">
        <v>0.99759070000000005</v>
      </c>
      <c r="Q1018">
        <v>4.6173220000000001E-2</v>
      </c>
      <c r="R1018">
        <v>-5.1780739999999999E-2</v>
      </c>
      <c r="S1018">
        <v>2.9888309999999998</v>
      </c>
      <c r="T1018">
        <v>-9.1686249999999997E-3</v>
      </c>
      <c r="U1018">
        <v>-0.36349490000000001</v>
      </c>
      <c r="V1018">
        <v>3.8371250000000003E-2</v>
      </c>
      <c r="W1018">
        <v>6.1085630000000002E-2</v>
      </c>
      <c r="X1018">
        <v>0.99739469999999997</v>
      </c>
      <c r="Y1018">
        <v>0.10740810000000001</v>
      </c>
      <c r="Z1018">
        <v>-1.2317200000000001E-4</v>
      </c>
      <c r="AA1018">
        <v>0.99421499999999996</v>
      </c>
      <c r="AB1018">
        <v>29</v>
      </c>
      <c r="AC1018">
        <v>137.06729999999999</v>
      </c>
      <c r="AD1018">
        <v>-0.42125899999999999</v>
      </c>
      <c r="AE1018">
        <v>-16.694499999999898</v>
      </c>
      <c r="AF1018">
        <v>14.855216090001701</v>
      </c>
      <c r="AG1018">
        <v>-0.42125899999999999</v>
      </c>
      <c r="AH1018">
        <v>137.27752438445299</v>
      </c>
      <c r="AI1018">
        <v>90.174800634557698</v>
      </c>
      <c r="AJ1018">
        <v>83.823883157432306</v>
      </c>
      <c r="AK1018">
        <v>138.079591559904</v>
      </c>
      <c r="AL1018">
        <v>86.497870889814607</v>
      </c>
      <c r="AM1018">
        <v>87.796833086147799</v>
      </c>
      <c r="AN1018">
        <v>0.99999999730357403</v>
      </c>
    </row>
    <row r="1019" spans="1:40" x14ac:dyDescent="0.25">
      <c r="A1019" t="str">
        <f>"20190312153909529"</f>
        <v>20190312153909529</v>
      </c>
      <c r="B1019" t="str">
        <f>"1552376349517307"</f>
        <v>1552376349517307</v>
      </c>
      <c r="C1019" t="s">
        <v>40</v>
      </c>
      <c r="D1019">
        <v>4.0557230000000004</v>
      </c>
      <c r="E1019">
        <v>0.5018203</v>
      </c>
      <c r="F1019" t="s">
        <v>47</v>
      </c>
      <c r="G1019">
        <v>-158.78319999999999</v>
      </c>
      <c r="H1019">
        <v>0.58697319999999997</v>
      </c>
      <c r="I1019">
        <v>351.22590000000002</v>
      </c>
      <c r="J1019">
        <v>-295.69409999999999</v>
      </c>
      <c r="K1019">
        <v>1.060713</v>
      </c>
      <c r="L1019">
        <v>367.87509999999997</v>
      </c>
      <c r="M1019">
        <v>0.99980049999999998</v>
      </c>
      <c r="N1019">
        <v>0</v>
      </c>
      <c r="O1019">
        <v>-1.3255019999999999E-2</v>
      </c>
      <c r="P1019">
        <v>0.99760409999999999</v>
      </c>
      <c r="Q1019">
        <v>4.6077239999999998E-2</v>
      </c>
      <c r="R1019">
        <v>-5.1607269999999997E-2</v>
      </c>
      <c r="S1019">
        <v>2.9889220000000001</v>
      </c>
      <c r="T1019">
        <v>-1.0328530000000001E-2</v>
      </c>
      <c r="U1019">
        <v>-0.36309809999999998</v>
      </c>
      <c r="V1019">
        <v>3.8347949999999999E-2</v>
      </c>
      <c r="W1019">
        <v>6.1014230000000003E-2</v>
      </c>
      <c r="X1019">
        <v>0.99739999999999995</v>
      </c>
      <c r="Y1019">
        <v>0.1074238</v>
      </c>
      <c r="Z1019">
        <v>-1.3929559999999999E-4</v>
      </c>
      <c r="AA1019">
        <v>0.99421329999999997</v>
      </c>
      <c r="AB1019">
        <v>29</v>
      </c>
      <c r="AC1019">
        <v>136.9109</v>
      </c>
      <c r="AD1019">
        <v>-0.47373979999999999</v>
      </c>
      <c r="AE1019">
        <v>-16.649199999999901</v>
      </c>
      <c r="AF1019">
        <v>14.8326026736418</v>
      </c>
      <c r="AG1019">
        <v>-0.47373979999999999</v>
      </c>
      <c r="AH1019">
        <v>137.11796179393599</v>
      </c>
      <c r="AI1019">
        <v>90.196806856578405</v>
      </c>
      <c r="AJ1019">
        <v>83.826091452339199</v>
      </c>
      <c r="AK1019">
        <v>137.91869335951299</v>
      </c>
      <c r="AL1019">
        <v>86.501969570677403</v>
      </c>
      <c r="AM1019">
        <v>87.798181276660003</v>
      </c>
      <c r="AN1019">
        <v>1.0000000307658401</v>
      </c>
    </row>
    <row r="1020" spans="1:40" x14ac:dyDescent="0.25">
      <c r="A1020" t="str">
        <f>"20190312153909540"</f>
        <v>20190312153909540</v>
      </c>
      <c r="B1020" t="str">
        <f>"1552376349536828"</f>
        <v>1552376349536828</v>
      </c>
      <c r="C1020" t="s">
        <v>40</v>
      </c>
      <c r="D1020">
        <v>4.1562279999999996</v>
      </c>
      <c r="E1020">
        <v>0.49642710000000001</v>
      </c>
      <c r="F1020" t="s">
        <v>47</v>
      </c>
      <c r="G1020">
        <v>-158.19499999999999</v>
      </c>
      <c r="H1020">
        <v>1.7053400000000001</v>
      </c>
      <c r="I1020">
        <v>360.29599999999999</v>
      </c>
      <c r="J1020">
        <v>-295.53890000000001</v>
      </c>
      <c r="K1020">
        <v>1.0607169999999999</v>
      </c>
      <c r="L1020">
        <v>367.87310000000002</v>
      </c>
      <c r="M1020">
        <v>0.99980210000000003</v>
      </c>
      <c r="N1020">
        <v>0</v>
      </c>
      <c r="O1020">
        <v>-1.3106069999999999E-2</v>
      </c>
      <c r="P1020">
        <v>0.99762289999999998</v>
      </c>
      <c r="Q1020">
        <v>4.6212900000000001E-2</v>
      </c>
      <c r="R1020">
        <v>-5.1121090000000001E-2</v>
      </c>
      <c r="S1020">
        <v>2.997986</v>
      </c>
      <c r="T1020">
        <v>1.4057160000000001E-2</v>
      </c>
      <c r="U1020">
        <v>-0.1652527</v>
      </c>
      <c r="V1020">
        <v>3.8010179999999998E-2</v>
      </c>
      <c r="W1020">
        <v>6.1173199999999997E-2</v>
      </c>
      <c r="X1020">
        <v>0.99740309999999999</v>
      </c>
      <c r="Y1020">
        <v>4.1944969999999998E-2</v>
      </c>
      <c r="Z1020" s="1">
        <v>3.685637E-5</v>
      </c>
      <c r="AA1020">
        <v>0.99911989999999995</v>
      </c>
      <c r="AB1020">
        <v>29</v>
      </c>
      <c r="AC1020">
        <v>137.34389999999999</v>
      </c>
      <c r="AD1020">
        <v>0.64462299999999995</v>
      </c>
      <c r="AE1020">
        <v>-7.5771000000000299</v>
      </c>
      <c r="AF1020">
        <v>5.7760818176103097</v>
      </c>
      <c r="AG1020">
        <v>0.64462299999999995</v>
      </c>
      <c r="AH1020">
        <v>137.42840004966001</v>
      </c>
      <c r="AI1020">
        <v>89.731486882250806</v>
      </c>
      <c r="AJ1020">
        <v>87.593288978835204</v>
      </c>
      <c r="AK1020">
        <v>137.55124063484601</v>
      </c>
      <c r="AL1020">
        <v>86.492843892914607</v>
      </c>
      <c r="AM1020">
        <v>87.817562907974505</v>
      </c>
      <c r="AN1020">
        <v>0.99999993903573903</v>
      </c>
    </row>
    <row r="1021" spans="1:40" x14ac:dyDescent="0.25">
      <c r="A1021" t="str">
        <f>"20190312153909556"</f>
        <v>20190312153909556</v>
      </c>
      <c r="B1021" t="str">
        <f>"1552376349547564"</f>
        <v>1552376349547564</v>
      </c>
      <c r="C1021" t="s">
        <v>40</v>
      </c>
      <c r="D1021">
        <v>4.0864649999999996</v>
      </c>
      <c r="E1021">
        <v>0.49557319999999999</v>
      </c>
      <c r="F1021" t="s">
        <v>47</v>
      </c>
      <c r="G1021">
        <v>-158.19499999999999</v>
      </c>
      <c r="H1021">
        <v>1.2268600000000001</v>
      </c>
      <c r="I1021">
        <v>362.36020000000002</v>
      </c>
      <c r="J1021">
        <v>-295.33479999999997</v>
      </c>
      <c r="K1021">
        <v>1.060718</v>
      </c>
      <c r="L1021">
        <v>367.8707</v>
      </c>
      <c r="M1021">
        <v>0.99980420000000003</v>
      </c>
      <c r="N1021">
        <v>0</v>
      </c>
      <c r="O1021">
        <v>-1.2909840000000001E-2</v>
      </c>
      <c r="P1021">
        <v>0.99764030000000004</v>
      </c>
      <c r="Q1021">
        <v>4.6213570000000002E-2</v>
      </c>
      <c r="R1021">
        <v>-5.077951E-2</v>
      </c>
      <c r="S1021">
        <v>3.0008240000000002</v>
      </c>
      <c r="T1021">
        <v>3.6319490000000002E-3</v>
      </c>
      <c r="U1021">
        <v>-0.1204529</v>
      </c>
      <c r="V1021">
        <v>3.7864439999999999E-2</v>
      </c>
      <c r="W1021">
        <v>6.1201749999999999E-2</v>
      </c>
      <c r="X1021">
        <v>0.99740700000000004</v>
      </c>
      <c r="Y1021">
        <v>2.7203379999999999E-2</v>
      </c>
      <c r="Z1021" s="1">
        <v>8.3660779999999999E-7</v>
      </c>
      <c r="AA1021">
        <v>0.99962989999999996</v>
      </c>
      <c r="AB1021">
        <v>29</v>
      </c>
      <c r="AC1021">
        <v>137.13979999999901</v>
      </c>
      <c r="AD1021">
        <v>0.16614200000000001</v>
      </c>
      <c r="AE1021">
        <v>-5.5104999999999702</v>
      </c>
      <c r="AF1021">
        <v>3.73938320268029</v>
      </c>
      <c r="AG1021">
        <v>0.16614200000000001</v>
      </c>
      <c r="AH1021">
        <v>137.19931545509399</v>
      </c>
      <c r="AI1021">
        <v>89.9306432612413</v>
      </c>
      <c r="AJ1021">
        <v>88.438783408286099</v>
      </c>
      <c r="AK1021">
        <v>137.25036521352899</v>
      </c>
      <c r="AL1021">
        <v>86.491205406269202</v>
      </c>
      <c r="AM1021">
        <v>87.825931334290303</v>
      </c>
      <c r="AN1021">
        <v>1.00000004683428</v>
      </c>
    </row>
    <row r="1022" spans="1:40" x14ac:dyDescent="0.25">
      <c r="A1022" t="str">
        <f>"20190312153909570"</f>
        <v>20190312153909570</v>
      </c>
      <c r="B1022" t="str">
        <f>"1552376349557324"</f>
        <v>1552376349557324</v>
      </c>
      <c r="C1022" t="s">
        <v>40</v>
      </c>
      <c r="D1022">
        <v>4.1405279999999998</v>
      </c>
      <c r="E1022">
        <v>0.49478430000000001</v>
      </c>
      <c r="F1022" t="s">
        <v>47</v>
      </c>
      <c r="G1022">
        <v>-158.19499999999999</v>
      </c>
      <c r="H1022">
        <v>0.85367109999999902</v>
      </c>
      <c r="I1022">
        <v>362.73820000000001</v>
      </c>
      <c r="J1022">
        <v>-295.17340000000002</v>
      </c>
      <c r="K1022">
        <v>1.0607150000000001</v>
      </c>
      <c r="L1022">
        <v>367.86880000000002</v>
      </c>
      <c r="M1022">
        <v>0.99980590000000003</v>
      </c>
      <c r="N1022">
        <v>0</v>
      </c>
      <c r="O1022">
        <v>-1.275455E-2</v>
      </c>
      <c r="P1022">
        <v>0.99765009999999998</v>
      </c>
      <c r="Q1022">
        <v>4.6240040000000003E-2</v>
      </c>
      <c r="R1022">
        <v>-5.0560760000000003E-2</v>
      </c>
      <c r="S1022">
        <v>3.0015869999999998</v>
      </c>
      <c r="T1022">
        <v>-4.5297150000000001E-3</v>
      </c>
      <c r="U1022">
        <v>-0.112335199999999</v>
      </c>
      <c r="V1022">
        <v>3.780062E-2</v>
      </c>
      <c r="W1022">
        <v>6.1247919999999997E-2</v>
      </c>
      <c r="X1022">
        <v>0.99740649999999997</v>
      </c>
      <c r="Y1022">
        <v>2.4648969999999999E-2</v>
      </c>
      <c r="Z1022" s="1">
        <v>6.4941009999999903E-7</v>
      </c>
      <c r="AA1022">
        <v>0.99969620000000003</v>
      </c>
      <c r="AB1022">
        <v>29</v>
      </c>
      <c r="AC1022">
        <v>136.97839999999999</v>
      </c>
      <c r="AD1022">
        <v>-0.2070439</v>
      </c>
      <c r="AE1022">
        <v>-5.13060000000001</v>
      </c>
      <c r="AF1022">
        <v>3.3828799955880902</v>
      </c>
      <c r="AG1022">
        <v>-0.2070439</v>
      </c>
      <c r="AH1022">
        <v>137.032388550283</v>
      </c>
      <c r="AI1022">
        <v>90.086542456295206</v>
      </c>
      <c r="AJ1022">
        <v>88.585842454327107</v>
      </c>
      <c r="AK1022">
        <v>137.074294658177</v>
      </c>
      <c r="AL1022">
        <v>86.488554784400407</v>
      </c>
      <c r="AM1022">
        <v>87.829591103145404</v>
      </c>
      <c r="AN1022">
        <v>0.99999996040947903</v>
      </c>
    </row>
    <row r="1023" spans="1:40" x14ac:dyDescent="0.25">
      <c r="A1023" t="str">
        <f>"20190312153909585"</f>
        <v>20190312153909585</v>
      </c>
      <c r="B1023" t="str">
        <f>"1552376349576844"</f>
        <v>1552376349576844</v>
      </c>
      <c r="C1023" t="s">
        <v>40</v>
      </c>
      <c r="D1023">
        <v>4.1142279999999998</v>
      </c>
      <c r="E1023">
        <v>0.4940928</v>
      </c>
      <c r="F1023" t="s">
        <v>47</v>
      </c>
      <c r="G1023">
        <v>-158.19499999999999</v>
      </c>
      <c r="H1023">
        <v>0.82470849999999996</v>
      </c>
      <c r="I1023">
        <v>363.08280000000002</v>
      </c>
      <c r="J1023">
        <v>-294.9667</v>
      </c>
      <c r="K1023">
        <v>1.060716</v>
      </c>
      <c r="L1023">
        <v>367.86630000000002</v>
      </c>
      <c r="M1023">
        <v>0.99980800000000003</v>
      </c>
      <c r="N1023">
        <v>0</v>
      </c>
      <c r="O1023">
        <v>-1.255554E-2</v>
      </c>
      <c r="P1023">
        <v>0.99767309999999998</v>
      </c>
      <c r="Q1023">
        <v>4.6331770000000001E-2</v>
      </c>
      <c r="R1023">
        <v>-5.0018699999999902E-2</v>
      </c>
      <c r="S1023">
        <v>3.0019840000000002</v>
      </c>
      <c r="T1023">
        <v>-5.1703449999999998E-3</v>
      </c>
      <c r="U1023">
        <v>-0.10488889999999999</v>
      </c>
      <c r="V1023">
        <v>3.7457049999999999E-2</v>
      </c>
      <c r="W1023">
        <v>6.1363099999999997E-2</v>
      </c>
      <c r="X1023">
        <v>0.99741239999999998</v>
      </c>
      <c r="Y1023">
        <v>2.2366489999999999E-2</v>
      </c>
      <c r="Z1023" s="1">
        <v>2.3636289999999999E-6</v>
      </c>
      <c r="AA1023">
        <v>0.99974980000000002</v>
      </c>
      <c r="AB1023">
        <v>29</v>
      </c>
      <c r="AC1023">
        <v>136.77170000000001</v>
      </c>
      <c r="AD1023">
        <v>-0.23600750000000001</v>
      </c>
      <c r="AE1023">
        <v>-4.7835000000000001</v>
      </c>
      <c r="AF1023">
        <v>3.0656768357579498</v>
      </c>
      <c r="AG1023">
        <v>-0.23600750000000001</v>
      </c>
      <c r="AH1023">
        <v>136.820576011415</v>
      </c>
      <c r="AI1023">
        <v>90.098806974156005</v>
      </c>
      <c r="AJ1023">
        <v>88.716414133554196</v>
      </c>
      <c r="AK1023">
        <v>136.855120817954</v>
      </c>
      <c r="AL1023">
        <v>86.481943082348394</v>
      </c>
      <c r="AM1023">
        <v>87.849312059319502</v>
      </c>
      <c r="AN1023">
        <v>0.99999997815503505</v>
      </c>
    </row>
    <row r="1024" spans="1:40" x14ac:dyDescent="0.25">
      <c r="A1024" t="str">
        <f>"20190312153909600"</f>
        <v>20190312153909600</v>
      </c>
      <c r="B1024" t="str">
        <f>"1552376349597340"</f>
        <v>1552376349597340</v>
      </c>
      <c r="C1024" t="s">
        <v>40</v>
      </c>
      <c r="D1024">
        <v>4.0887180000000001</v>
      </c>
      <c r="E1024">
        <v>0.49383329999999998</v>
      </c>
      <c r="F1024" t="s">
        <v>47</v>
      </c>
      <c r="G1024">
        <v>-158.19499999999999</v>
      </c>
      <c r="H1024">
        <v>0.54928920000000003</v>
      </c>
      <c r="I1024">
        <v>363.41109999999998</v>
      </c>
      <c r="J1024">
        <v>-294.77640000000002</v>
      </c>
      <c r="K1024">
        <v>1.0607169999999999</v>
      </c>
      <c r="L1024">
        <v>367.86419999999998</v>
      </c>
      <c r="M1024">
        <v>0.99981019999999998</v>
      </c>
      <c r="N1024">
        <v>0</v>
      </c>
      <c r="O1024">
        <v>-1.2372360000000001E-2</v>
      </c>
      <c r="P1024">
        <v>0.99769070000000004</v>
      </c>
      <c r="Q1024">
        <v>4.6178360000000002E-2</v>
      </c>
      <c r="R1024">
        <v>-4.9812460000000003E-2</v>
      </c>
      <c r="S1024">
        <v>3.0026250000000001</v>
      </c>
      <c r="T1024">
        <v>-1.12257E-2</v>
      </c>
      <c r="U1024">
        <v>-9.7808839999999994E-2</v>
      </c>
      <c r="V1024">
        <v>3.7433519999999998E-2</v>
      </c>
      <c r="W1024">
        <v>6.1229840000000001E-2</v>
      </c>
      <c r="X1024">
        <v>0.99742149999999996</v>
      </c>
      <c r="Y1024">
        <v>2.0187429999999999E-2</v>
      </c>
      <c r="Z1024" s="1">
        <v>8.5187459999999994E-6</v>
      </c>
      <c r="AA1024">
        <v>0.99979620000000002</v>
      </c>
      <c r="AB1024">
        <v>29</v>
      </c>
      <c r="AC1024">
        <v>136.5814</v>
      </c>
      <c r="AD1024">
        <v>-0.51142779999999899</v>
      </c>
      <c r="AE1024">
        <v>-4.4531000000000001</v>
      </c>
      <c r="AF1024">
        <v>2.7626947379691198</v>
      </c>
      <c r="AG1024">
        <v>-0.51142779999999899</v>
      </c>
      <c r="AH1024">
        <v>136.624131607691</v>
      </c>
      <c r="AI1024">
        <v>90.214431581978104</v>
      </c>
      <c r="AJ1024">
        <v>88.8415722956575</v>
      </c>
      <c r="AK1024">
        <v>136.65301818169101</v>
      </c>
      <c r="AL1024">
        <v>86.489592797455899</v>
      </c>
      <c r="AM1024">
        <v>87.850681415330399</v>
      </c>
      <c r="AN1024">
        <v>1.00000000519413</v>
      </c>
    </row>
    <row r="1025" spans="1:40" x14ac:dyDescent="0.25">
      <c r="A1025" t="str">
        <f>"20190312153909617"</f>
        <v>20190312153909617</v>
      </c>
      <c r="B1025" t="str">
        <f>"1552376349607100"</f>
        <v>1552376349607100</v>
      </c>
      <c r="C1025" t="s">
        <v>40</v>
      </c>
      <c r="D1025">
        <v>4.0829610000000001</v>
      </c>
      <c r="E1025">
        <v>0.49378329999999998</v>
      </c>
      <c r="F1025" t="s">
        <v>47</v>
      </c>
      <c r="G1025">
        <v>-158.19499999999999</v>
      </c>
      <c r="H1025">
        <v>0.33776040000000002</v>
      </c>
      <c r="I1025">
        <v>363.56279999999998</v>
      </c>
      <c r="J1025">
        <v>-294.5548</v>
      </c>
      <c r="K1025">
        <v>1.0607200000000001</v>
      </c>
      <c r="L1025">
        <v>367.86160000000001</v>
      </c>
      <c r="M1025">
        <v>0.99981220000000004</v>
      </c>
      <c r="N1025">
        <v>0</v>
      </c>
      <c r="O1025">
        <v>-1.2159150000000001E-2</v>
      </c>
      <c r="P1025">
        <v>0.99769280000000005</v>
      </c>
      <c r="Q1025">
        <v>4.609978E-2</v>
      </c>
      <c r="R1025">
        <v>-4.9839269999999998E-2</v>
      </c>
      <c r="S1025">
        <v>3.0029910000000002</v>
      </c>
      <c r="T1025">
        <v>-1.5893580000000001E-2</v>
      </c>
      <c r="U1025">
        <v>-9.4573969999999993E-2</v>
      </c>
      <c r="V1025">
        <v>3.7673400000000003E-2</v>
      </c>
      <c r="W1025">
        <v>6.1171290000000003E-2</v>
      </c>
      <c r="X1025">
        <v>0.99741610000000003</v>
      </c>
      <c r="Y1025">
        <v>1.932072E-2</v>
      </c>
      <c r="Z1025" s="1">
        <v>1.3224729999999999E-5</v>
      </c>
      <c r="AA1025">
        <v>0.99981330000000002</v>
      </c>
      <c r="AB1025">
        <v>29</v>
      </c>
      <c r="AC1025">
        <v>136.35980000000001</v>
      </c>
      <c r="AD1025">
        <v>-0.72295959999999904</v>
      </c>
      <c r="AE1025">
        <v>-4.2988000000000204</v>
      </c>
      <c r="AF1025">
        <v>2.6401999202556801</v>
      </c>
      <c r="AG1025">
        <v>-0.72295959999999904</v>
      </c>
      <c r="AH1025">
        <v>136.39816268823199</v>
      </c>
      <c r="AI1025">
        <v>90.303628637610103</v>
      </c>
      <c r="AJ1025">
        <v>88.891088992447706</v>
      </c>
      <c r="AK1025">
        <v>136.42562849746199</v>
      </c>
      <c r="AL1025">
        <v>86.492953902340901</v>
      </c>
      <c r="AM1025">
        <v>87.836909579102993</v>
      </c>
      <c r="AN1025">
        <v>1.00000004416351</v>
      </c>
    </row>
    <row r="1026" spans="1:40" x14ac:dyDescent="0.25">
      <c r="A1026" t="str">
        <f>"20190312153909632"</f>
        <v>20190312153909632</v>
      </c>
      <c r="B1026" t="str">
        <f>"1552376349626620"</f>
        <v>1552376349626620</v>
      </c>
      <c r="C1026" t="s">
        <v>40</v>
      </c>
      <c r="D1026">
        <v>4.0952219999999997</v>
      </c>
      <c r="E1026">
        <v>0.49371490000000001</v>
      </c>
      <c r="F1026" t="s">
        <v>47</v>
      </c>
      <c r="G1026">
        <v>-158.19499999999999</v>
      </c>
      <c r="H1026">
        <v>0.21357970000000001</v>
      </c>
      <c r="I1026">
        <v>363.57990000000001</v>
      </c>
      <c r="J1026">
        <v>-294.37</v>
      </c>
      <c r="K1026">
        <v>1.0607219999999999</v>
      </c>
      <c r="L1026">
        <v>367.8596</v>
      </c>
      <c r="M1026">
        <v>0.99981419999999999</v>
      </c>
      <c r="N1026">
        <v>0</v>
      </c>
      <c r="O1026">
        <v>-1.1981179999999999E-2</v>
      </c>
      <c r="P1026">
        <v>0.99767969999999895</v>
      </c>
      <c r="Q1026">
        <v>4.6417470000000002E-2</v>
      </c>
      <c r="R1026">
        <v>-4.9805429999999998E-2</v>
      </c>
      <c r="S1026">
        <v>3.003082</v>
      </c>
      <c r="T1026">
        <v>-1.8654819999999999E-2</v>
      </c>
      <c r="U1026">
        <v>-9.4299320000000006E-2</v>
      </c>
      <c r="V1026">
        <v>3.7817330000000003E-2</v>
      </c>
      <c r="W1026">
        <v>6.1503500000000003E-2</v>
      </c>
      <c r="X1026">
        <v>0.9973902</v>
      </c>
      <c r="Y1026">
        <v>1.9406340000000001E-2</v>
      </c>
      <c r="Z1026" s="1">
        <v>1.4150760000000001E-5</v>
      </c>
      <c r="AA1026">
        <v>0.99981160000000002</v>
      </c>
      <c r="AB1026">
        <v>29</v>
      </c>
      <c r="AC1026">
        <v>136.17500000000001</v>
      </c>
      <c r="AD1026">
        <v>-0.84714229999999902</v>
      </c>
      <c r="AE1026">
        <v>-4.2796999999999903</v>
      </c>
      <c r="AF1026">
        <v>2.6475671576230102</v>
      </c>
      <c r="AG1026">
        <v>-0.84714229999999902</v>
      </c>
      <c r="AH1026">
        <v>136.211238994133</v>
      </c>
      <c r="AI1026">
        <v>90.356269328813795</v>
      </c>
      <c r="AJ1026">
        <v>88.886469825070904</v>
      </c>
      <c r="AK1026">
        <v>136.23960103526201</v>
      </c>
      <c r="AL1026">
        <v>86.473883683066902</v>
      </c>
      <c r="AM1026">
        <v>87.828597126595895</v>
      </c>
      <c r="AN1026">
        <v>1.0000000210083</v>
      </c>
    </row>
    <row r="1027" spans="1:40" x14ac:dyDescent="0.25">
      <c r="A1027" t="str">
        <f>"20190312153909645"</f>
        <v>20190312153909645</v>
      </c>
      <c r="B1027" t="str">
        <f>"1552376349637357"</f>
        <v>1552376349637357</v>
      </c>
      <c r="C1027" t="s">
        <v>40</v>
      </c>
      <c r="D1027">
        <v>4.0923579999999999</v>
      </c>
      <c r="E1027">
        <v>0.49368210000000001</v>
      </c>
      <c r="F1027" t="s">
        <v>47</v>
      </c>
      <c r="G1027">
        <v>-158.19499999999999</v>
      </c>
      <c r="H1027">
        <v>9.7998139999999997E-2</v>
      </c>
      <c r="I1027">
        <v>363.62400000000002</v>
      </c>
      <c r="J1027">
        <v>-294.20089999999999</v>
      </c>
      <c r="K1027">
        <v>1.0607230000000001</v>
      </c>
      <c r="L1027">
        <v>367.8578</v>
      </c>
      <c r="M1027">
        <v>0.99981600000000004</v>
      </c>
      <c r="N1027">
        <v>0</v>
      </c>
      <c r="O1027">
        <v>-1.1818560000000001E-2</v>
      </c>
      <c r="P1027">
        <v>0.99768579999999996</v>
      </c>
      <c r="Q1027">
        <v>4.6225349999999998E-2</v>
      </c>
      <c r="R1027">
        <v>-4.9862490000000002E-2</v>
      </c>
      <c r="S1027">
        <v>3.0032960000000002</v>
      </c>
      <c r="T1027">
        <v>-2.1230579999999999E-2</v>
      </c>
      <c r="U1027">
        <v>-9.341431E-2</v>
      </c>
      <c r="V1027">
        <v>3.8036929999999997E-2</v>
      </c>
      <c r="W1027">
        <v>6.1323599999999999E-2</v>
      </c>
      <c r="X1027">
        <v>0.99739290000000003</v>
      </c>
      <c r="Y1027">
        <v>1.9272339999999999E-2</v>
      </c>
      <c r="Z1027" s="1">
        <v>1.5427849999999998E-5</v>
      </c>
      <c r="AA1027">
        <v>0.99981430000000004</v>
      </c>
      <c r="AB1027">
        <v>29</v>
      </c>
      <c r="AC1027">
        <v>136.0059</v>
      </c>
      <c r="AD1027">
        <v>-0.96272486000000002</v>
      </c>
      <c r="AE1027">
        <v>-4.2337999999999703</v>
      </c>
      <c r="AF1027">
        <v>2.6257954014412599</v>
      </c>
      <c r="AG1027">
        <v>-0.96272486000000002</v>
      </c>
      <c r="AH1027">
        <v>136.03963230111901</v>
      </c>
      <c r="AI1027">
        <v>90.405388325985498</v>
      </c>
      <c r="AJ1027">
        <v>88.894231682945005</v>
      </c>
      <c r="AK1027">
        <v>136.06837691862901</v>
      </c>
      <c r="AL1027">
        <v>86.484210593347896</v>
      </c>
      <c r="AM1027">
        <v>87.816006172250496</v>
      </c>
      <c r="AN1027">
        <v>0.99999999446559695</v>
      </c>
    </row>
    <row r="1028" spans="1:40" x14ac:dyDescent="0.25">
      <c r="A1028" t="str">
        <f>"20190312153909656"</f>
        <v>20190312153909656</v>
      </c>
      <c r="B1028" t="str">
        <f>"1552376349647116"</f>
        <v>1552376349647116</v>
      </c>
      <c r="C1028" t="s">
        <v>40</v>
      </c>
      <c r="D1028">
        <v>4.1319610000000004</v>
      </c>
      <c r="E1028">
        <v>0.49360920000000003</v>
      </c>
      <c r="F1028" t="s">
        <v>43</v>
      </c>
      <c r="G1028">
        <v>-151.9452</v>
      </c>
      <c r="H1028">
        <v>-0.05</v>
      </c>
      <c r="I1028">
        <v>363.42160000000001</v>
      </c>
      <c r="J1028">
        <v>-294.05669999999998</v>
      </c>
      <c r="K1028">
        <v>1.0607230000000001</v>
      </c>
      <c r="L1028">
        <v>367.8562</v>
      </c>
      <c r="M1028">
        <v>0.99981759999999997</v>
      </c>
      <c r="N1028">
        <v>0</v>
      </c>
      <c r="O1028">
        <v>-1.168012E-2</v>
      </c>
      <c r="P1028">
        <v>0.99766509999999997</v>
      </c>
      <c r="Q1028">
        <v>4.6538070000000001E-2</v>
      </c>
      <c r="R1028">
        <v>-4.9988600000000001E-2</v>
      </c>
      <c r="S1028">
        <v>3.0033569999999998</v>
      </c>
      <c r="T1028">
        <v>-2.3450019999999999E-2</v>
      </c>
      <c r="U1028">
        <v>-9.3658450000000004E-2</v>
      </c>
      <c r="V1028">
        <v>3.8301269999999998E-2</v>
      </c>
      <c r="W1028">
        <v>6.1645800000000001E-2</v>
      </c>
      <c r="X1028">
        <v>0.99736290000000005</v>
      </c>
      <c r="Y1028">
        <v>1.9491290000000001E-2</v>
      </c>
      <c r="Z1028" s="1">
        <v>1.5105109999999999E-5</v>
      </c>
      <c r="AA1028">
        <v>0.99980999999999998</v>
      </c>
      <c r="AB1028">
        <v>29</v>
      </c>
      <c r="AC1028">
        <v>142.11149999999901</v>
      </c>
      <c r="AD1028">
        <v>-1.1107229999999999</v>
      </c>
      <c r="AE1028">
        <v>-4.4345999999999801</v>
      </c>
      <c r="AF1028">
        <v>2.77405921367557</v>
      </c>
      <c r="AG1028">
        <v>-1.1107229999999999</v>
      </c>
      <c r="AH1028">
        <v>142.14493138897899</v>
      </c>
      <c r="AI1028">
        <v>90.447615890826299</v>
      </c>
      <c r="AJ1028">
        <v>88.881974124839402</v>
      </c>
      <c r="AK1028">
        <v>142.176336391402</v>
      </c>
      <c r="AL1028">
        <v>86.465714824093098</v>
      </c>
      <c r="AM1028">
        <v>87.800777138807007</v>
      </c>
      <c r="AN1028">
        <v>0.99999997311883104</v>
      </c>
    </row>
    <row r="1029" spans="1:40" x14ac:dyDescent="0.25">
      <c r="A1029" t="str">
        <f>"20190312153909669"</f>
        <v>20190312153909669</v>
      </c>
      <c r="B1029" t="str">
        <f>"1552376349656875"</f>
        <v>1552376349656875</v>
      </c>
      <c r="C1029" t="s">
        <v>40</v>
      </c>
      <c r="D1029">
        <v>4.0996110000000003</v>
      </c>
      <c r="E1029">
        <v>0.49362810000000001</v>
      </c>
      <c r="F1029" t="s">
        <v>47</v>
      </c>
      <c r="G1029">
        <v>-158.19499999999999</v>
      </c>
      <c r="H1029">
        <v>7.7651499999999998E-2</v>
      </c>
      <c r="I1029">
        <v>363.6318</v>
      </c>
      <c r="J1029">
        <v>-293.8954</v>
      </c>
      <c r="K1029">
        <v>1.0607230000000001</v>
      </c>
      <c r="L1029">
        <v>367.8544</v>
      </c>
      <c r="M1029">
        <v>0.99981900000000001</v>
      </c>
      <c r="N1029">
        <v>0</v>
      </c>
      <c r="O1029">
        <v>-1.1524639999999999E-2</v>
      </c>
      <c r="P1029">
        <v>0.99767050000000002</v>
      </c>
      <c r="Q1029">
        <v>4.680045E-2</v>
      </c>
      <c r="R1029">
        <v>-4.9631769999999999E-2</v>
      </c>
      <c r="S1029">
        <v>3.0033259999999999</v>
      </c>
      <c r="T1029">
        <v>-2.172959E-2</v>
      </c>
      <c r="U1029">
        <v>-9.3383789999999994E-2</v>
      </c>
      <c r="V1029">
        <v>3.8099429999999997E-2</v>
      </c>
      <c r="W1029">
        <v>6.1917079999999999E-2</v>
      </c>
      <c r="X1029">
        <v>0.99735390000000002</v>
      </c>
      <c r="Y1029">
        <v>1.955577E-2</v>
      </c>
      <c r="Z1029" s="1">
        <v>1.263931E-5</v>
      </c>
      <c r="AA1029">
        <v>0.99980880000000005</v>
      </c>
      <c r="AB1029">
        <v>29</v>
      </c>
      <c r="AC1029">
        <v>135.7004</v>
      </c>
      <c r="AD1029">
        <v>-0.98307149999999999</v>
      </c>
      <c r="AE1029">
        <v>-4.2225999999999999</v>
      </c>
      <c r="AF1029">
        <v>2.6581026701365902</v>
      </c>
      <c r="AG1029">
        <v>-0.98307149999999999</v>
      </c>
      <c r="AH1029">
        <v>135.73293886882601</v>
      </c>
      <c r="AI1029">
        <v>90.414888725788799</v>
      </c>
      <c r="AJ1029">
        <v>88.878101357358503</v>
      </c>
      <c r="AK1029">
        <v>135.762522933789</v>
      </c>
      <c r="AL1029">
        <v>86.450142136784805</v>
      </c>
      <c r="AM1029">
        <v>87.812335589530093</v>
      </c>
      <c r="AN1029">
        <v>1.0000000466036201</v>
      </c>
    </row>
    <row r="1030" spans="1:40" x14ac:dyDescent="0.25">
      <c r="A1030" t="str">
        <f>"20190312153909686"</f>
        <v>20190312153909686</v>
      </c>
      <c r="B1030" t="str">
        <f>"1552376349677371"</f>
        <v>1552376349677371</v>
      </c>
      <c r="C1030" t="s">
        <v>40</v>
      </c>
      <c r="D1030">
        <v>4.1066940000000001</v>
      </c>
      <c r="E1030">
        <v>0.49359029999999998</v>
      </c>
      <c r="F1030" t="s">
        <v>47</v>
      </c>
      <c r="G1030">
        <v>-158.19499999999999</v>
      </c>
      <c r="H1030">
        <v>0.16148280000000001</v>
      </c>
      <c r="I1030">
        <v>363.67779999999999</v>
      </c>
      <c r="J1030">
        <v>-293.67829999999998</v>
      </c>
      <c r="K1030">
        <v>1.0607219999999999</v>
      </c>
      <c r="L1030">
        <v>367.85219999999998</v>
      </c>
      <c r="M1030">
        <v>0.99982139999999997</v>
      </c>
      <c r="N1030">
        <v>0</v>
      </c>
      <c r="O1030">
        <v>-1.1315530000000001E-2</v>
      </c>
      <c r="P1030">
        <v>0.99767110000000003</v>
      </c>
      <c r="Q1030">
        <v>4.6998390000000001E-2</v>
      </c>
      <c r="R1030">
        <v>-4.9435079999999999E-2</v>
      </c>
      <c r="S1030">
        <v>3.0032960000000002</v>
      </c>
      <c r="T1030">
        <v>-1.989985E-2</v>
      </c>
      <c r="U1030">
        <v>-9.2437740000000004E-2</v>
      </c>
      <c r="V1030">
        <v>3.8111739999999998E-2</v>
      </c>
      <c r="W1030">
        <v>6.2126010000000002E-2</v>
      </c>
      <c r="X1030">
        <v>0.99734040000000002</v>
      </c>
      <c r="Y1030">
        <v>1.9450579999999999E-2</v>
      </c>
      <c r="Z1030" s="1">
        <v>1.0538479999999999E-5</v>
      </c>
      <c r="AA1030">
        <v>0.9998108</v>
      </c>
      <c r="AB1030">
        <v>28</v>
      </c>
      <c r="AC1030">
        <v>135.48330000000001</v>
      </c>
      <c r="AD1030">
        <v>-0.89923919999999902</v>
      </c>
      <c r="AE1030">
        <v>-4.1743999999999897</v>
      </c>
      <c r="AF1030">
        <v>2.6407754488153401</v>
      </c>
      <c r="AG1030">
        <v>-0.89923919999999902</v>
      </c>
      <c r="AH1030">
        <v>135.51590070453801</v>
      </c>
      <c r="AI1030">
        <v>90.380118312119393</v>
      </c>
      <c r="AJ1030">
        <v>88.883628124936394</v>
      </c>
      <c r="AK1030">
        <v>135.54461136420099</v>
      </c>
      <c r="AL1030">
        <v>86.438148107824006</v>
      </c>
      <c r="AM1030">
        <v>87.811599845030003</v>
      </c>
      <c r="AN1030">
        <v>1.00000000965825</v>
      </c>
    </row>
    <row r="1031" spans="1:40" x14ac:dyDescent="0.25">
      <c r="A1031" t="str">
        <f>"20190312153909698"</f>
        <v>20190312153909698</v>
      </c>
      <c r="B1031" t="str">
        <f>"1552376349687132"</f>
        <v>1552376349687132</v>
      </c>
      <c r="C1031" t="s">
        <v>40</v>
      </c>
      <c r="D1031">
        <v>4.11144</v>
      </c>
      <c r="E1031">
        <v>0.49355860000000001</v>
      </c>
      <c r="F1031" t="s">
        <v>47</v>
      </c>
      <c r="G1031">
        <v>-158.19499999999999</v>
      </c>
      <c r="H1031">
        <v>0.36626049999999999</v>
      </c>
      <c r="I1031">
        <v>363.726</v>
      </c>
      <c r="J1031">
        <v>-293.52370000000002</v>
      </c>
      <c r="K1031">
        <v>1.0607230000000001</v>
      </c>
      <c r="L1031">
        <v>367.85059999999999</v>
      </c>
      <c r="M1031">
        <v>0.99982300000000002</v>
      </c>
      <c r="N1031">
        <v>0</v>
      </c>
      <c r="O1031">
        <v>-1.1166590000000001E-2</v>
      </c>
      <c r="P1031">
        <v>0.99767600000000001</v>
      </c>
      <c r="Q1031">
        <v>4.6996429999999999E-2</v>
      </c>
      <c r="R1031">
        <v>-4.9339529999999999E-2</v>
      </c>
      <c r="S1031">
        <v>3.0031430000000001</v>
      </c>
      <c r="T1031">
        <v>-1.539159E-2</v>
      </c>
      <c r="U1031">
        <v>-9.1461180000000003E-2</v>
      </c>
      <c r="V1031">
        <v>3.8164780000000002E-2</v>
      </c>
      <c r="W1031">
        <v>6.213076E-2</v>
      </c>
      <c r="X1031">
        <v>0.99733810000000001</v>
      </c>
      <c r="Y1031">
        <v>1.9276339999999999E-2</v>
      </c>
      <c r="Z1031" s="1">
        <v>7.8347839999999995E-6</v>
      </c>
      <c r="AA1031">
        <v>0.99981419999999999</v>
      </c>
      <c r="AB1031">
        <v>28</v>
      </c>
      <c r="AC1031">
        <v>135.3287</v>
      </c>
      <c r="AD1031">
        <v>-0.69446249999999898</v>
      </c>
      <c r="AE1031">
        <v>-4.1245999999999796</v>
      </c>
      <c r="AF1031">
        <v>2.61294065946139</v>
      </c>
      <c r="AG1031">
        <v>-0.69446249999999898</v>
      </c>
      <c r="AH1031">
        <v>135.362762204738</v>
      </c>
      <c r="AI1031">
        <v>90.293891833068599</v>
      </c>
      <c r="AJ1031">
        <v>88.894142829095898</v>
      </c>
      <c r="AK1031">
        <v>135.38976005869199</v>
      </c>
      <c r="AL1031">
        <v>86.437875511995003</v>
      </c>
      <c r="AM1031">
        <v>87.808552173260196</v>
      </c>
      <c r="AN1031">
        <v>1.0000000337411099</v>
      </c>
    </row>
    <row r="1032" spans="1:40" x14ac:dyDescent="0.25">
      <c r="A1032" t="str">
        <f>"20190312153909714"</f>
        <v>20190312153909714</v>
      </c>
      <c r="B1032" t="str">
        <f>"1552376349706653"</f>
        <v>1552376349706653</v>
      </c>
      <c r="C1032" t="s">
        <v>40</v>
      </c>
      <c r="D1032">
        <v>4.1356149999999996</v>
      </c>
      <c r="E1032">
        <v>0.49354340000000002</v>
      </c>
      <c r="F1032" t="s">
        <v>47</v>
      </c>
      <c r="G1032">
        <v>-158.19499999999999</v>
      </c>
      <c r="H1032">
        <v>0.35524990000000001</v>
      </c>
      <c r="I1032">
        <v>363.74299999999999</v>
      </c>
      <c r="J1032">
        <v>-293.31799999999998</v>
      </c>
      <c r="K1032">
        <v>1.060724</v>
      </c>
      <c r="L1032">
        <v>367.8485</v>
      </c>
      <c r="M1032">
        <v>0.99982499999999996</v>
      </c>
      <c r="N1032">
        <v>0</v>
      </c>
      <c r="O1032">
        <v>-1.0968429999999999E-2</v>
      </c>
      <c r="P1032">
        <v>0.99768140000000005</v>
      </c>
      <c r="Q1032">
        <v>4.7105359999999999E-2</v>
      </c>
      <c r="R1032">
        <v>-4.9123760000000002E-2</v>
      </c>
      <c r="S1032">
        <v>3.0032040000000002</v>
      </c>
      <c r="T1032">
        <v>-1.565385E-2</v>
      </c>
      <c r="U1032">
        <v>-9.1156009999999996E-2</v>
      </c>
      <c r="V1032">
        <v>3.8146880000000001E-2</v>
      </c>
      <c r="W1032">
        <v>6.2247379999999998E-2</v>
      </c>
      <c r="X1032">
        <v>0.99733150000000004</v>
      </c>
      <c r="Y1032">
        <v>1.937237E-2</v>
      </c>
      <c r="Z1032" s="1">
        <v>6.6852809999999999E-6</v>
      </c>
      <c r="AA1032">
        <v>0.99981240000000005</v>
      </c>
      <c r="AB1032">
        <v>28</v>
      </c>
      <c r="AC1032">
        <v>135.12299999999999</v>
      </c>
      <c r="AD1032">
        <v>-0.70547409999999999</v>
      </c>
      <c r="AE1032">
        <v>-4.1054999999999398</v>
      </c>
      <c r="AF1032">
        <v>2.6229241590110202</v>
      </c>
      <c r="AG1032">
        <v>-0.70547409999999999</v>
      </c>
      <c r="AH1032">
        <v>135.15622509287101</v>
      </c>
      <c r="AI1032">
        <v>90.299007405550398</v>
      </c>
      <c r="AJ1032">
        <v>88.888222705505598</v>
      </c>
      <c r="AK1032">
        <v>135.18351455042301</v>
      </c>
      <c r="AL1032">
        <v>86.4311806737485</v>
      </c>
      <c r="AM1032">
        <v>87.809564520772696</v>
      </c>
      <c r="AN1032">
        <v>1.0000000208314199</v>
      </c>
    </row>
    <row r="1033" spans="1:40" x14ac:dyDescent="0.25">
      <c r="A1033" t="str">
        <f>"20190312153909730"</f>
        <v>20190312153909730</v>
      </c>
      <c r="B1033" t="str">
        <f>"1552376349727148"</f>
        <v>1552376349727148</v>
      </c>
      <c r="C1033" t="s">
        <v>40</v>
      </c>
      <c r="D1033">
        <v>4.0655060000000001</v>
      </c>
      <c r="E1033">
        <v>0.49353140000000001</v>
      </c>
      <c r="F1033" t="s">
        <v>47</v>
      </c>
      <c r="G1033">
        <v>-158.19499999999999</v>
      </c>
      <c r="H1033">
        <v>0.39759640000000002</v>
      </c>
      <c r="I1033">
        <v>363.7801</v>
      </c>
      <c r="J1033">
        <v>-293.12880000000001</v>
      </c>
      <c r="K1033">
        <v>1.060727</v>
      </c>
      <c r="L1033">
        <v>367.84660000000002</v>
      </c>
      <c r="M1033">
        <v>0.99982689999999996</v>
      </c>
      <c r="N1033">
        <v>0</v>
      </c>
      <c r="O1033">
        <v>-1.078586E-2</v>
      </c>
      <c r="P1033">
        <v>0.99767349999999999</v>
      </c>
      <c r="Q1033">
        <v>4.7687019999999997E-2</v>
      </c>
      <c r="R1033">
        <v>-4.872137E-2</v>
      </c>
      <c r="S1033">
        <v>3.0032040000000002</v>
      </c>
      <c r="T1033">
        <v>-1.4736529999999999E-2</v>
      </c>
      <c r="U1033">
        <v>-9.0423580000000003E-2</v>
      </c>
      <c r="V1033">
        <v>3.7926580000000001E-2</v>
      </c>
      <c r="W1033">
        <v>6.2834630000000002E-2</v>
      </c>
      <c r="X1033">
        <v>0.9973031</v>
      </c>
      <c r="Y1033">
        <v>1.9311330000000002E-2</v>
      </c>
      <c r="Z1033" s="1">
        <v>5.5476779999999899E-6</v>
      </c>
      <c r="AA1033">
        <v>0.99981350000000002</v>
      </c>
      <c r="AB1033">
        <v>28</v>
      </c>
      <c r="AC1033">
        <v>134.93379999999999</v>
      </c>
      <c r="AD1033">
        <v>-0.66313059999999902</v>
      </c>
      <c r="AE1033">
        <v>-4.0665000000000102</v>
      </c>
      <c r="AF1033">
        <v>2.6106560518058401</v>
      </c>
      <c r="AG1033">
        <v>-0.66313059999999902</v>
      </c>
      <c r="AH1033">
        <v>134.966558180595</v>
      </c>
      <c r="AI1033">
        <v>90.281456189853699</v>
      </c>
      <c r="AJ1033">
        <v>88.891866810464506</v>
      </c>
      <c r="AK1033">
        <v>134.99343352300301</v>
      </c>
      <c r="AL1033">
        <v>86.397467817046703</v>
      </c>
      <c r="AM1033">
        <v>87.822140214541605</v>
      </c>
      <c r="AN1033">
        <v>1.0000000447336701</v>
      </c>
    </row>
    <row r="1034" spans="1:40" x14ac:dyDescent="0.25">
      <c r="A1034" t="str">
        <f>"20190312153909741"</f>
        <v>20190312153909741</v>
      </c>
      <c r="B1034" t="str">
        <f>"1552376349736907"</f>
        <v>1552376349736907</v>
      </c>
      <c r="C1034" t="s">
        <v>40</v>
      </c>
      <c r="D1034">
        <v>4.0801210000000001</v>
      </c>
      <c r="E1034">
        <v>0.49357630000000002</v>
      </c>
      <c r="F1034" t="s">
        <v>47</v>
      </c>
      <c r="G1034">
        <v>-158.19499999999999</v>
      </c>
      <c r="H1034">
        <v>0.37001990000000001</v>
      </c>
      <c r="I1034">
        <v>363.8485</v>
      </c>
      <c r="J1034">
        <v>-292.97550000000001</v>
      </c>
      <c r="K1034">
        <v>1.0607310000000001</v>
      </c>
      <c r="L1034">
        <v>367.8451</v>
      </c>
      <c r="M1034">
        <v>0.99982850000000001</v>
      </c>
      <c r="N1034">
        <v>0</v>
      </c>
      <c r="O1034">
        <v>-1.063797E-2</v>
      </c>
      <c r="P1034">
        <v>0.99767050000000002</v>
      </c>
      <c r="Q1034">
        <v>4.7999529999999999E-2</v>
      </c>
      <c r="R1034">
        <v>-4.8474250000000003E-2</v>
      </c>
      <c r="S1034">
        <v>3.0033569999999998</v>
      </c>
      <c r="T1034">
        <v>-1.53718E-2</v>
      </c>
      <c r="U1034">
        <v>-8.8989260000000001E-2</v>
      </c>
      <c r="V1034">
        <v>3.7827270000000003E-2</v>
      </c>
      <c r="W1034">
        <v>6.3151100000000002E-2</v>
      </c>
      <c r="X1034">
        <v>0.99728689999999998</v>
      </c>
      <c r="Y1034">
        <v>1.898062E-2</v>
      </c>
      <c r="Z1034" s="1">
        <v>5.8759720000000002E-6</v>
      </c>
      <c r="AA1034">
        <v>0.99981989999999998</v>
      </c>
      <c r="AB1034">
        <v>28</v>
      </c>
      <c r="AC1034">
        <v>134.78049999999999</v>
      </c>
      <c r="AD1034">
        <v>-0.69071109999999902</v>
      </c>
      <c r="AE1034">
        <v>-3.9965999999999999</v>
      </c>
      <c r="AF1034">
        <v>2.5623508765945999</v>
      </c>
      <c r="AG1034">
        <v>-0.69071109999999902</v>
      </c>
      <c r="AH1034">
        <v>134.81185490787399</v>
      </c>
      <c r="AI1034">
        <v>90.293500436907294</v>
      </c>
      <c r="AJ1034">
        <v>88.911117900891796</v>
      </c>
      <c r="AK1034">
        <v>134.837972943604</v>
      </c>
      <c r="AL1034">
        <v>86.3792994032991</v>
      </c>
      <c r="AM1034">
        <v>87.827802176574906</v>
      </c>
      <c r="AN1034">
        <v>1.00000006234923</v>
      </c>
    </row>
    <row r="1035" spans="1:40" x14ac:dyDescent="0.25">
      <c r="A1035" t="str">
        <f>"20190312153909754"</f>
        <v>20190312153909754</v>
      </c>
      <c r="B1035" t="str">
        <f>"1552376349746668"</f>
        <v>1552376349746668</v>
      </c>
      <c r="C1035" t="s">
        <v>40</v>
      </c>
      <c r="D1035">
        <v>4.0760589999999999</v>
      </c>
      <c r="E1035">
        <v>0.49358089999999999</v>
      </c>
      <c r="F1035" t="s">
        <v>47</v>
      </c>
      <c r="G1035">
        <v>-158.19499999999999</v>
      </c>
      <c r="H1035">
        <v>0.3882718</v>
      </c>
      <c r="I1035">
        <v>363.87490000000003</v>
      </c>
      <c r="J1035">
        <v>-292.8184</v>
      </c>
      <c r="K1035">
        <v>1.0607340000000001</v>
      </c>
      <c r="L1035">
        <v>367.84359999999998</v>
      </c>
      <c r="M1035">
        <v>0.99982990000000005</v>
      </c>
      <c r="N1035">
        <v>0</v>
      </c>
      <c r="O1035">
        <v>-1.048638E-2</v>
      </c>
      <c r="P1035">
        <v>0.99766779999999999</v>
      </c>
      <c r="Q1035">
        <v>4.817076E-2</v>
      </c>
      <c r="R1035">
        <v>-4.8360319999999998E-2</v>
      </c>
      <c r="S1035">
        <v>3.003387</v>
      </c>
      <c r="T1035">
        <v>-1.4982820000000001E-2</v>
      </c>
      <c r="U1035">
        <v>-8.8470460000000001E-2</v>
      </c>
      <c r="V1035">
        <v>3.786461E-2</v>
      </c>
      <c r="W1035">
        <v>6.3325740000000005E-2</v>
      </c>
      <c r="X1035">
        <v>0.99727429999999995</v>
      </c>
      <c r="Y1035">
        <v>1.895935E-2</v>
      </c>
      <c r="Z1035" s="1">
        <v>5.024249E-6</v>
      </c>
      <c r="AA1035">
        <v>0.99982020000000005</v>
      </c>
      <c r="AB1035">
        <v>28</v>
      </c>
      <c r="AC1035">
        <v>134.6234</v>
      </c>
      <c r="AD1035">
        <v>-0.67246219999999901</v>
      </c>
      <c r="AE1035">
        <v>-3.9686999999999499</v>
      </c>
      <c r="AF1035">
        <v>2.55654335216615</v>
      </c>
      <c r="AG1035">
        <v>-0.67246219999999901</v>
      </c>
      <c r="AH1035">
        <v>134.65426141172199</v>
      </c>
      <c r="AI1035">
        <v>90.286080685576394</v>
      </c>
      <c r="AJ1035">
        <v>88.912314054025103</v>
      </c>
      <c r="AK1035">
        <v>134.680207289929</v>
      </c>
      <c r="AL1035">
        <v>86.369272806149596</v>
      </c>
      <c r="AM1035">
        <v>87.825632571675001</v>
      </c>
      <c r="AN1035">
        <v>0.99999995373874295</v>
      </c>
    </row>
    <row r="1036" spans="1:40" x14ac:dyDescent="0.25">
      <c r="A1036" t="str">
        <f>"20190312153909768"</f>
        <v>20190312153909768</v>
      </c>
      <c r="B1036" t="str">
        <f>"1552376349757403"</f>
        <v>1552376349757403</v>
      </c>
      <c r="C1036" t="s">
        <v>40</v>
      </c>
      <c r="D1036">
        <v>4.1070099999999998</v>
      </c>
      <c r="E1036">
        <v>0.49361139999999998</v>
      </c>
      <c r="F1036" t="s">
        <v>47</v>
      </c>
      <c r="G1036">
        <v>-158.19499999999999</v>
      </c>
      <c r="H1036">
        <v>0.36940000000000001</v>
      </c>
      <c r="I1036">
        <v>363.89600000000002</v>
      </c>
      <c r="J1036">
        <v>-292.649</v>
      </c>
      <c r="K1036">
        <v>1.0607359999999999</v>
      </c>
      <c r="L1036">
        <v>367.84199999999998</v>
      </c>
      <c r="M1036">
        <v>0.99983169999999999</v>
      </c>
      <c r="N1036">
        <v>0</v>
      </c>
      <c r="O1036">
        <v>-1.0322990000000001E-2</v>
      </c>
      <c r="P1036">
        <v>0.99765700000000002</v>
      </c>
      <c r="Q1036">
        <v>4.8749099999999997E-2</v>
      </c>
      <c r="R1036">
        <v>-4.8003869999999997E-2</v>
      </c>
      <c r="S1036">
        <v>3.003479</v>
      </c>
      <c r="T1036">
        <v>-1.5421870000000001E-2</v>
      </c>
      <c r="U1036">
        <v>-8.8073730000000003E-2</v>
      </c>
      <c r="V1036">
        <v>3.767119E-2</v>
      </c>
      <c r="W1036">
        <v>6.3906790000000005E-2</v>
      </c>
      <c r="X1036">
        <v>0.99724460000000004</v>
      </c>
      <c r="Y1036">
        <v>1.8989889999999999E-2</v>
      </c>
      <c r="Z1036" s="1">
        <v>4.254165E-6</v>
      </c>
      <c r="AA1036">
        <v>0.99981969999999998</v>
      </c>
      <c r="AB1036">
        <v>28</v>
      </c>
      <c r="AC1036">
        <v>134.45400000000001</v>
      </c>
      <c r="AD1036">
        <v>-0.69133599999999995</v>
      </c>
      <c r="AE1036">
        <v>-3.9460000000000202</v>
      </c>
      <c r="AF1036">
        <v>2.5575951886625399</v>
      </c>
      <c r="AG1036">
        <v>-0.69133599999999995</v>
      </c>
      <c r="AH1036">
        <v>134.48402093109399</v>
      </c>
      <c r="AI1036">
        <v>90.2944820121904</v>
      </c>
      <c r="AJ1036">
        <v>88.910489542682697</v>
      </c>
      <c r="AK1036">
        <v>134.51011532375199</v>
      </c>
      <c r="AL1036">
        <v>86.335913668814399</v>
      </c>
      <c r="AM1036">
        <v>87.836664730154496</v>
      </c>
      <c r="AN1036">
        <v>0.99999999429663999</v>
      </c>
    </row>
    <row r="1037" spans="1:40" x14ac:dyDescent="0.25">
      <c r="A1037" t="str">
        <f>"20190312153909782"</f>
        <v>20190312153909782</v>
      </c>
      <c r="B1037" t="str">
        <f>"1552376349776923"</f>
        <v>1552376349776923</v>
      </c>
      <c r="C1037" t="s">
        <v>40</v>
      </c>
      <c r="D1037">
        <v>4.1304600000000002</v>
      </c>
      <c r="E1037">
        <v>0.49354350000000002</v>
      </c>
      <c r="F1037" t="s">
        <v>47</v>
      </c>
      <c r="G1037">
        <v>-158.19499999999999</v>
      </c>
      <c r="H1037">
        <v>0.41495609999999999</v>
      </c>
      <c r="I1037">
        <v>363.93349999999998</v>
      </c>
      <c r="J1037">
        <v>-292.47280000000001</v>
      </c>
      <c r="K1037">
        <v>1.060732</v>
      </c>
      <c r="L1037">
        <v>367.84039999999999</v>
      </c>
      <c r="M1037">
        <v>0.99983330000000004</v>
      </c>
      <c r="N1037">
        <v>0</v>
      </c>
      <c r="O1037">
        <v>-1.01528E-2</v>
      </c>
      <c r="P1037">
        <v>0.99766120000000003</v>
      </c>
      <c r="Q1037">
        <v>4.8953000000000003E-2</v>
      </c>
      <c r="R1037">
        <v>-4.7708149999999998E-2</v>
      </c>
      <c r="S1037">
        <v>3.0035400000000001</v>
      </c>
      <c r="T1037">
        <v>-1.442397E-2</v>
      </c>
      <c r="U1037">
        <v>-8.7310789999999999E-2</v>
      </c>
      <c r="V1037">
        <v>3.7545479999999999E-2</v>
      </c>
      <c r="W1037">
        <v>6.4113310000000007E-2</v>
      </c>
      <c r="X1037">
        <v>0.99723609999999896</v>
      </c>
      <c r="Y1037">
        <v>1.8905749999999999E-2</v>
      </c>
      <c r="Z1037" s="1">
        <v>3.363719E-6</v>
      </c>
      <c r="AA1037">
        <v>0.99982119999999997</v>
      </c>
      <c r="AB1037">
        <v>28</v>
      </c>
      <c r="AC1037">
        <v>134.27780000000001</v>
      </c>
      <c r="AD1037">
        <v>-0.64577589999999996</v>
      </c>
      <c r="AE1037">
        <v>-3.9068999999999998</v>
      </c>
      <c r="AF1037">
        <v>2.5431871630835099</v>
      </c>
      <c r="AG1037">
        <v>-0.64577589999999996</v>
      </c>
      <c r="AH1037">
        <v>134.307444378143</v>
      </c>
      <c r="AI1037">
        <v>90.275437577124805</v>
      </c>
      <c r="AJ1037">
        <v>88.915201760649296</v>
      </c>
      <c r="AK1037">
        <v>134.33307278123101</v>
      </c>
      <c r="AL1037">
        <v>86.324056684029998</v>
      </c>
      <c r="AM1037">
        <v>87.843858665691698</v>
      </c>
      <c r="AN1037">
        <v>1.00000000936539</v>
      </c>
    </row>
    <row r="1038" spans="1:40" x14ac:dyDescent="0.25">
      <c r="A1038" t="str">
        <f>"20190312153909798"</f>
        <v>20190312153909798</v>
      </c>
      <c r="B1038" t="str">
        <f>"1552376349786684"</f>
        <v>1552376349786684</v>
      </c>
      <c r="C1038" t="s">
        <v>40</v>
      </c>
      <c r="D1038">
        <v>4.123564</v>
      </c>
      <c r="E1038">
        <v>0.49354350000000002</v>
      </c>
      <c r="F1038" t="s">
        <v>47</v>
      </c>
      <c r="G1038">
        <v>-158.19499999999999</v>
      </c>
      <c r="H1038">
        <v>0.41531180000000001</v>
      </c>
      <c r="I1038">
        <v>363.98899999999998</v>
      </c>
      <c r="J1038">
        <v>-292.27409999999998</v>
      </c>
      <c r="K1038">
        <v>1.0607329999999999</v>
      </c>
      <c r="L1038">
        <v>367.83859999999999</v>
      </c>
      <c r="M1038">
        <v>0.99983540000000004</v>
      </c>
      <c r="N1038">
        <v>0</v>
      </c>
      <c r="O1038">
        <v>-9.9611470000000001E-3</v>
      </c>
      <c r="P1038">
        <v>0.99766129999999997</v>
      </c>
      <c r="Q1038">
        <v>4.9365520000000003E-2</v>
      </c>
      <c r="R1038">
        <v>-4.7279769999999999E-2</v>
      </c>
      <c r="S1038">
        <v>3.0036320000000001</v>
      </c>
      <c r="T1038">
        <v>-1.443529E-2</v>
      </c>
      <c r="U1038">
        <v>-8.6151119999999998E-2</v>
      </c>
      <c r="V1038">
        <v>3.73082E-2</v>
      </c>
      <c r="W1038">
        <v>6.4527780000000007E-2</v>
      </c>
      <c r="X1038">
        <v>0.9972183</v>
      </c>
      <c r="Y1038">
        <v>1.8710810000000001E-2</v>
      </c>
      <c r="Z1038" s="1">
        <v>2.9137589999999999E-6</v>
      </c>
      <c r="AA1038">
        <v>0.99982490000000002</v>
      </c>
      <c r="AB1038">
        <v>28</v>
      </c>
      <c r="AC1038">
        <v>134.07909999999899</v>
      </c>
      <c r="AD1038">
        <v>-0.64542119999999903</v>
      </c>
      <c r="AE1038">
        <v>-3.84959999999995</v>
      </c>
      <c r="AF1038">
        <v>2.5136155578026398</v>
      </c>
      <c r="AG1038">
        <v>-0.64542119999999903</v>
      </c>
      <c r="AH1038">
        <v>134.10769219429599</v>
      </c>
      <c r="AI1038">
        <v>90.275697320664904</v>
      </c>
      <c r="AJ1038">
        <v>88.926215947687794</v>
      </c>
      <c r="AK1038">
        <v>134.13279963296799</v>
      </c>
      <c r="AL1038">
        <v>86.300260128810507</v>
      </c>
      <c r="AM1038">
        <v>87.857434104798799</v>
      </c>
      <c r="AN1038">
        <v>1.00000003701692</v>
      </c>
    </row>
    <row r="1039" spans="1:40" x14ac:dyDescent="0.25">
      <c r="A1039" t="str">
        <f>"20190312153909814"</f>
        <v>20190312153909814</v>
      </c>
      <c r="B1039" t="str">
        <f>"1552376349807179"</f>
        <v>1552376349807179</v>
      </c>
      <c r="C1039" t="s">
        <v>40</v>
      </c>
      <c r="D1039">
        <v>4.0867319999999996</v>
      </c>
      <c r="E1039">
        <v>0.46245120000000001</v>
      </c>
      <c r="F1039" t="s">
        <v>47</v>
      </c>
      <c r="G1039">
        <v>-158.19499999999999</v>
      </c>
      <c r="H1039">
        <v>0.47260089999999999</v>
      </c>
      <c r="I1039">
        <v>364.05560000000003</v>
      </c>
      <c r="J1039">
        <v>-292.0745</v>
      </c>
      <c r="K1039">
        <v>1.0607359999999999</v>
      </c>
      <c r="L1039">
        <v>367.83679999999998</v>
      </c>
      <c r="M1039">
        <v>0.99983719999999998</v>
      </c>
      <c r="N1039">
        <v>0</v>
      </c>
      <c r="O1039">
        <v>-9.7682989999999994E-3</v>
      </c>
      <c r="P1039">
        <v>0.99766739999999998</v>
      </c>
      <c r="Q1039">
        <v>4.9579999999999999E-2</v>
      </c>
      <c r="R1039">
        <v>-4.6927490000000002E-2</v>
      </c>
      <c r="S1039">
        <v>3.0036619999999998</v>
      </c>
      <c r="T1039">
        <v>-1.317346E-2</v>
      </c>
      <c r="U1039">
        <v>-8.4747310000000006E-2</v>
      </c>
      <c r="V1039">
        <v>3.7148260000000002E-2</v>
      </c>
      <c r="W1039">
        <v>6.4743809999999999E-2</v>
      </c>
      <c r="X1039">
        <v>0.99721020000000005</v>
      </c>
      <c r="Y1039">
        <v>1.843647E-2</v>
      </c>
      <c r="Z1039" s="1">
        <v>2.4149189999999998E-6</v>
      </c>
      <c r="AA1039">
        <v>0.99983</v>
      </c>
      <c r="AB1039">
        <v>28</v>
      </c>
      <c r="AC1039">
        <v>133.87950000000001</v>
      </c>
      <c r="AD1039">
        <v>-0.58813510000000002</v>
      </c>
      <c r="AE1039">
        <v>-3.7811999999999499</v>
      </c>
      <c r="AF1039">
        <v>2.4730463587635101</v>
      </c>
      <c r="AG1039">
        <v>-0.58813510000000002</v>
      </c>
      <c r="AH1039">
        <v>133.90746898368101</v>
      </c>
      <c r="AI1039">
        <v>90.251604315943396</v>
      </c>
      <c r="AJ1039">
        <v>88.941963330887603</v>
      </c>
      <c r="AK1039">
        <v>133.931594893826</v>
      </c>
      <c r="AL1039">
        <v>86.287856330760604</v>
      </c>
      <c r="AM1039">
        <v>87.866593451897799</v>
      </c>
      <c r="AN1039">
        <v>0.99999996856919104</v>
      </c>
    </row>
    <row r="1040" spans="1:40" x14ac:dyDescent="0.25">
      <c r="A1040" t="str">
        <f>"20190312153909831"</f>
        <v>20190312153909831</v>
      </c>
      <c r="B1040" t="str">
        <f>"1552376349826700"</f>
        <v>1552376349826700</v>
      </c>
      <c r="C1040" t="s">
        <v>40</v>
      </c>
      <c r="D1040">
        <v>4.0784949999999904</v>
      </c>
      <c r="E1040">
        <v>0.45699669999999998</v>
      </c>
      <c r="F1040" t="s">
        <v>47</v>
      </c>
      <c r="G1040">
        <v>-158.19499999999999</v>
      </c>
      <c r="H1040">
        <v>2.7052079999999998</v>
      </c>
      <c r="I1040">
        <v>375.06479999999999</v>
      </c>
      <c r="J1040">
        <v>-291.86470000000003</v>
      </c>
      <c r="K1040">
        <v>1.060738</v>
      </c>
      <c r="L1040">
        <v>367.83499999999998</v>
      </c>
      <c r="M1040">
        <v>0.99983909999999998</v>
      </c>
      <c r="N1040">
        <v>0</v>
      </c>
      <c r="O1040">
        <v>-9.5656730000000002E-3</v>
      </c>
      <c r="P1040">
        <v>0.99767600000000001</v>
      </c>
      <c r="Q1040">
        <v>4.9573209999999999E-2</v>
      </c>
      <c r="R1040">
        <v>-4.6746749999999997E-2</v>
      </c>
      <c r="S1040">
        <v>3.012848</v>
      </c>
      <c r="T1040">
        <v>3.7009479999999997E-2</v>
      </c>
      <c r="U1040">
        <v>0.16265869999999999</v>
      </c>
      <c r="V1040">
        <v>3.7169899999999999E-2</v>
      </c>
      <c r="W1040">
        <v>6.4737619999999996E-2</v>
      </c>
      <c r="X1040">
        <v>0.99720980000000004</v>
      </c>
      <c r="Y1040">
        <v>-6.3454750000000004E-2</v>
      </c>
      <c r="Z1040">
        <v>-5.068707E-4</v>
      </c>
      <c r="AA1040">
        <v>0.9979846</v>
      </c>
      <c r="AB1040">
        <v>28</v>
      </c>
      <c r="AC1040">
        <v>133.66970000000001</v>
      </c>
      <c r="AD1040">
        <v>1.6444700000000001</v>
      </c>
      <c r="AE1040">
        <v>7.2298000000000098</v>
      </c>
      <c r="AF1040">
        <v>-8.5069732432251701</v>
      </c>
      <c r="AG1040">
        <v>1.6444700000000001</v>
      </c>
      <c r="AH1040">
        <v>133.574259396293</v>
      </c>
      <c r="AI1040">
        <v>89.296077285066602</v>
      </c>
      <c r="AJ1040">
        <v>93.644087350677296</v>
      </c>
      <c r="AK1040">
        <v>133.854979917111</v>
      </c>
      <c r="AL1040">
        <v>86.288211753949597</v>
      </c>
      <c r="AM1040">
        <v>87.865350971115703</v>
      </c>
      <c r="AN1040">
        <v>0.99999997306265598</v>
      </c>
    </row>
    <row r="1041" spans="1:40" x14ac:dyDescent="0.25">
      <c r="A1041" t="str">
        <f>"20190312153909844"</f>
        <v>20190312153909844</v>
      </c>
      <c r="B1041" t="str">
        <f>"1552376349837436"</f>
        <v>1552376349837436</v>
      </c>
      <c r="C1041" t="s">
        <v>40</v>
      </c>
      <c r="D1041">
        <v>4.0652460000000001</v>
      </c>
      <c r="E1041">
        <v>0.45565929999999999</v>
      </c>
      <c r="F1041" t="s">
        <v>47</v>
      </c>
      <c r="G1041">
        <v>-158.19499999999999</v>
      </c>
      <c r="H1041">
        <v>2.730839</v>
      </c>
      <c r="I1041">
        <v>376.9846</v>
      </c>
      <c r="J1041">
        <v>-291.71120000000002</v>
      </c>
      <c r="K1041">
        <v>1.0607409999999999</v>
      </c>
      <c r="L1041">
        <v>367.83359999999999</v>
      </c>
      <c r="M1041">
        <v>0.99984039999999996</v>
      </c>
      <c r="N1041">
        <v>0</v>
      </c>
      <c r="O1041">
        <v>-9.4171570000000007E-3</v>
      </c>
      <c r="P1041">
        <v>0.9976891</v>
      </c>
      <c r="Q1041">
        <v>4.9575880000000003E-2</v>
      </c>
      <c r="R1041">
        <v>-4.6459609999999998E-2</v>
      </c>
      <c r="S1041">
        <v>3.0147710000000001</v>
      </c>
      <c r="T1041">
        <v>3.7669179999999997E-2</v>
      </c>
      <c r="U1041">
        <v>0.20635990000000001</v>
      </c>
      <c r="V1041">
        <v>3.7031170000000002E-2</v>
      </c>
      <c r="W1041">
        <v>6.474096E-2</v>
      </c>
      <c r="X1041">
        <v>0.99721479999999996</v>
      </c>
      <c r="Y1041">
        <v>-7.7676300000000004E-2</v>
      </c>
      <c r="Z1041">
        <v>-6.0223769999999995E-4</v>
      </c>
      <c r="AA1041">
        <v>0.99697849999999999</v>
      </c>
      <c r="AB1041">
        <v>28</v>
      </c>
      <c r="AC1041">
        <v>133.5162</v>
      </c>
      <c r="AD1041">
        <v>1.6700979999999901</v>
      </c>
      <c r="AE1041">
        <v>9.1509999999999998</v>
      </c>
      <c r="AF1041">
        <v>-10.4064614456711</v>
      </c>
      <c r="AG1041">
        <v>1.6700979999999901</v>
      </c>
      <c r="AH1041">
        <v>133.403316569769</v>
      </c>
      <c r="AI1041">
        <v>89.284914392496603</v>
      </c>
      <c r="AJ1041">
        <v>94.460468538691302</v>
      </c>
      <c r="AK1041">
        <v>133.819014115947</v>
      </c>
      <c r="AL1041">
        <v>86.288020189432302</v>
      </c>
      <c r="AM1041">
        <v>87.873321490555597</v>
      </c>
      <c r="AN1041">
        <v>1.0000000283961601</v>
      </c>
    </row>
    <row r="1042" spans="1:40" x14ac:dyDescent="0.25">
      <c r="A1042" t="str">
        <f>"20190312153909855"</f>
        <v>20190312153909855</v>
      </c>
      <c r="B1042" t="str">
        <f>"1552376349847196"</f>
        <v>1552376349847196</v>
      </c>
      <c r="C1042" t="s">
        <v>40</v>
      </c>
      <c r="D1042">
        <v>4.0524259999999996</v>
      </c>
      <c r="E1042">
        <v>0.45448539999999998</v>
      </c>
      <c r="F1042" t="s">
        <v>47</v>
      </c>
      <c r="G1042">
        <v>-158.19499999999999</v>
      </c>
      <c r="H1042">
        <v>2.6977570000000002</v>
      </c>
      <c r="I1042">
        <v>377.4889</v>
      </c>
      <c r="J1042">
        <v>-291.55180000000001</v>
      </c>
      <c r="K1042">
        <v>1.06074</v>
      </c>
      <c r="L1042">
        <v>367.83229999999998</v>
      </c>
      <c r="M1042">
        <v>0.99984200000000001</v>
      </c>
      <c r="N1042">
        <v>0</v>
      </c>
      <c r="O1042">
        <v>-9.263393E-3</v>
      </c>
      <c r="P1042">
        <v>0.99770239999999999</v>
      </c>
      <c r="Q1042">
        <v>4.964913E-2</v>
      </c>
      <c r="R1042">
        <v>-4.6102829999999997E-2</v>
      </c>
      <c r="S1042">
        <v>3.0152589999999999</v>
      </c>
      <c r="T1042">
        <v>3.6971450000000003E-2</v>
      </c>
      <c r="U1042">
        <v>0.21804809999999999</v>
      </c>
      <c r="V1042">
        <v>3.682767E-2</v>
      </c>
      <c r="W1042">
        <v>6.4814220000000006E-2</v>
      </c>
      <c r="X1042">
        <v>0.99721749999999998</v>
      </c>
      <c r="Y1042">
        <v>-8.1357020000000002E-2</v>
      </c>
      <c r="Z1042">
        <v>-6.1156019999999999E-4</v>
      </c>
      <c r="AA1042">
        <v>0.99668480000000004</v>
      </c>
      <c r="AB1042">
        <v>28</v>
      </c>
      <c r="AC1042">
        <v>133.35679999999999</v>
      </c>
      <c r="AD1042">
        <v>1.6370169999999999</v>
      </c>
      <c r="AE1042">
        <v>9.6566000000000205</v>
      </c>
      <c r="AF1042">
        <v>-10.8900317870153</v>
      </c>
      <c r="AG1042">
        <v>1.6370169999999999</v>
      </c>
      <c r="AH1042">
        <v>133.24164061225801</v>
      </c>
      <c r="AI1042">
        <v>89.298434186268693</v>
      </c>
      <c r="AJ1042">
        <v>94.672481202498204</v>
      </c>
      <c r="AK1042">
        <v>133.69595135989201</v>
      </c>
      <c r="AL1042">
        <v>86.2838135795906</v>
      </c>
      <c r="AM1042">
        <v>87.885003455232606</v>
      </c>
      <c r="AN1042">
        <v>0.99999995134904196</v>
      </c>
    </row>
    <row r="1043" spans="1:40" x14ac:dyDescent="0.25">
      <c r="A1043" t="str">
        <f>"20190312153909867"</f>
        <v>20190312153909867</v>
      </c>
      <c r="B1043" t="str">
        <f>"1552376349856955"</f>
        <v>1552376349856955</v>
      </c>
      <c r="C1043" t="s">
        <v>40</v>
      </c>
      <c r="D1043">
        <v>4.0667739999999997</v>
      </c>
      <c r="E1043">
        <v>0.45362409999999997</v>
      </c>
      <c r="F1043" t="s">
        <v>47</v>
      </c>
      <c r="G1043">
        <v>-158.19499999999999</v>
      </c>
      <c r="H1043">
        <v>2.6437930000000001</v>
      </c>
      <c r="I1043">
        <v>377.9522</v>
      </c>
      <c r="J1043">
        <v>-291.40120000000002</v>
      </c>
      <c r="K1043">
        <v>1.0607420000000001</v>
      </c>
      <c r="L1043">
        <v>367.83109999999999</v>
      </c>
      <c r="M1043">
        <v>0.99984320000000004</v>
      </c>
      <c r="N1043">
        <v>0</v>
      </c>
      <c r="O1043">
        <v>-9.1177340000000006E-3</v>
      </c>
      <c r="P1043">
        <v>0.99773440000000002</v>
      </c>
      <c r="Q1043">
        <v>4.9281369999999998E-2</v>
      </c>
      <c r="R1043">
        <v>-4.5805760000000001E-2</v>
      </c>
      <c r="S1043">
        <v>3.015717</v>
      </c>
      <c r="T1043">
        <v>3.5800930000000002E-2</v>
      </c>
      <c r="U1043">
        <v>0.22885130000000001</v>
      </c>
      <c r="V1043">
        <v>3.6675729999999997E-2</v>
      </c>
      <c r="W1043">
        <v>6.4446409999999996E-2</v>
      </c>
      <c r="X1043">
        <v>0.99724699999999999</v>
      </c>
      <c r="Y1043">
        <v>-8.4751580000000007E-2</v>
      </c>
      <c r="Z1043">
        <v>-6.1042469999999995E-4</v>
      </c>
      <c r="AA1043">
        <v>0.99640189999999995</v>
      </c>
      <c r="AB1043">
        <v>28</v>
      </c>
      <c r="AC1043">
        <v>133.2062</v>
      </c>
      <c r="AD1043">
        <v>1.583051</v>
      </c>
      <c r="AE1043">
        <v>10.1211</v>
      </c>
      <c r="AF1043">
        <v>-11.333766327409201</v>
      </c>
      <c r="AG1043">
        <v>1.583051</v>
      </c>
      <c r="AH1043">
        <v>133.08968058823601</v>
      </c>
      <c r="AI1043">
        <v>89.320978153990794</v>
      </c>
      <c r="AJ1043">
        <v>94.867499878679496</v>
      </c>
      <c r="AK1043">
        <v>133.580774772089</v>
      </c>
      <c r="AL1043">
        <v>86.304931925272896</v>
      </c>
      <c r="AM1043">
        <v>87.893783676229901</v>
      </c>
      <c r="AN1043">
        <v>1.0000000139709599</v>
      </c>
    </row>
    <row r="1044" spans="1:40" x14ac:dyDescent="0.25">
      <c r="A1044" t="str">
        <f>"20190312153909880"</f>
        <v>20190312153909880</v>
      </c>
      <c r="B1044" t="str">
        <f>"1552376349866716"</f>
        <v>1552376349866716</v>
      </c>
      <c r="C1044" t="s">
        <v>40</v>
      </c>
      <c r="D1044">
        <v>4.0522900000000002</v>
      </c>
      <c r="E1044">
        <v>0.45296229999999998</v>
      </c>
      <c r="F1044" t="s">
        <v>47</v>
      </c>
      <c r="G1044">
        <v>-158.19499999999999</v>
      </c>
      <c r="H1044">
        <v>2.6680630000000001</v>
      </c>
      <c r="I1044">
        <v>378.2654</v>
      </c>
      <c r="J1044">
        <v>-291.2432</v>
      </c>
      <c r="K1044">
        <v>1.060737</v>
      </c>
      <c r="L1044">
        <v>367.82979999999998</v>
      </c>
      <c r="M1044">
        <v>0.99984470000000003</v>
      </c>
      <c r="N1044">
        <v>0</v>
      </c>
      <c r="O1044">
        <v>-8.9650400000000005E-3</v>
      </c>
      <c r="P1044">
        <v>0.99775320000000001</v>
      </c>
      <c r="Q1044">
        <v>4.9316619999999999E-2</v>
      </c>
      <c r="R1044">
        <v>-4.5351589999999997E-2</v>
      </c>
      <c r="S1044">
        <v>3.0158390000000002</v>
      </c>
      <c r="T1044">
        <v>3.6392330000000001E-2</v>
      </c>
      <c r="U1044">
        <v>0.23623659999999999</v>
      </c>
      <c r="V1044">
        <v>3.637423E-2</v>
      </c>
      <c r="W1044">
        <v>6.4481150000000001E-2</v>
      </c>
      <c r="X1044">
        <v>0.99725580000000003</v>
      </c>
      <c r="Y1044">
        <v>-8.7021349999999997E-2</v>
      </c>
      <c r="Z1044">
        <v>-6.3225759999999999E-4</v>
      </c>
      <c r="AA1044">
        <v>0.99620620000000004</v>
      </c>
      <c r="AB1044">
        <v>28</v>
      </c>
      <c r="AC1044">
        <v>133.04820000000001</v>
      </c>
      <c r="AD1044">
        <v>1.607326</v>
      </c>
      <c r="AE1044">
        <v>10.435600000000001</v>
      </c>
      <c r="AF1044">
        <v>-11.626413835802699</v>
      </c>
      <c r="AG1044">
        <v>1.607326</v>
      </c>
      <c r="AH1044">
        <v>132.93000376962101</v>
      </c>
      <c r="AI1044">
        <v>89.309874956226807</v>
      </c>
      <c r="AJ1044">
        <v>94.998522325316998</v>
      </c>
      <c r="AK1044">
        <v>133.447153951454</v>
      </c>
      <c r="AL1044">
        <v>86.302937332354702</v>
      </c>
      <c r="AM1044">
        <v>87.911101252862395</v>
      </c>
      <c r="AN1044">
        <v>1.0000000169735199</v>
      </c>
    </row>
    <row r="1045" spans="1:40" x14ac:dyDescent="0.25">
      <c r="A1045" t="str">
        <f>"20190312153909894"</f>
        <v>20190312153909894</v>
      </c>
      <c r="B1045" t="str">
        <f>"1552376349887213"</f>
        <v>1552376349887213</v>
      </c>
      <c r="C1045" t="s">
        <v>40</v>
      </c>
      <c r="D1045">
        <v>4.0250029999999999</v>
      </c>
      <c r="E1045">
        <v>0.45226080000000002</v>
      </c>
      <c r="F1045" t="s">
        <v>47</v>
      </c>
      <c r="G1045">
        <v>-158.19499999999999</v>
      </c>
      <c r="H1045">
        <v>2.7242449999999998</v>
      </c>
      <c r="I1045">
        <v>378.53410000000002</v>
      </c>
      <c r="J1045">
        <v>-291.06830000000002</v>
      </c>
      <c r="K1045">
        <v>1.060738</v>
      </c>
      <c r="L1045">
        <v>367.82839999999999</v>
      </c>
      <c r="M1045">
        <v>0.99984620000000002</v>
      </c>
      <c r="N1045">
        <v>0</v>
      </c>
      <c r="O1045">
        <v>-8.7960119999999902E-3</v>
      </c>
      <c r="P1045">
        <v>0.9977627</v>
      </c>
      <c r="Q1045">
        <v>4.9382240000000001E-2</v>
      </c>
      <c r="R1045">
        <v>-4.5067749999999997E-2</v>
      </c>
      <c r="S1045">
        <v>3.01593</v>
      </c>
      <c r="T1045">
        <v>3.7710309999999997E-2</v>
      </c>
      <c r="U1045">
        <v>0.24264530000000001</v>
      </c>
      <c r="V1045">
        <v>3.625896E-2</v>
      </c>
      <c r="W1045">
        <v>6.4545379999999999E-2</v>
      </c>
      <c r="X1045">
        <v>0.99725580000000003</v>
      </c>
      <c r="Y1045">
        <v>-8.8953400000000002E-2</v>
      </c>
      <c r="Z1045">
        <v>-6.6502740000000003E-4</v>
      </c>
      <c r="AA1045">
        <v>0.99603560000000002</v>
      </c>
      <c r="AB1045">
        <v>28</v>
      </c>
      <c r="AC1045">
        <v>132.8733</v>
      </c>
      <c r="AD1045">
        <v>1.6635070000000001</v>
      </c>
      <c r="AE1045">
        <v>10.7057</v>
      </c>
      <c r="AF1045">
        <v>-11.8723265989171</v>
      </c>
      <c r="AG1045">
        <v>1.6635070000000001</v>
      </c>
      <c r="AH1045">
        <v>132.75330695681501</v>
      </c>
      <c r="AI1045">
        <v>89.284928393226707</v>
      </c>
      <c r="AJ1045">
        <v>95.110451658587706</v>
      </c>
      <c r="AK1045">
        <v>133.293510353583</v>
      </c>
      <c r="AL1045">
        <v>86.2992493846765</v>
      </c>
      <c r="AM1045">
        <v>87.917715140162201</v>
      </c>
      <c r="AN1045">
        <v>0.99999997444663202</v>
      </c>
    </row>
    <row r="1046" spans="1:40" x14ac:dyDescent="0.25">
      <c r="A1046" t="str">
        <f>"20190312153909908"</f>
        <v>20190312153909908</v>
      </c>
      <c r="B1046" t="str">
        <f>"1552376349896972"</f>
        <v>1552376349896972</v>
      </c>
      <c r="C1046" t="s">
        <v>40</v>
      </c>
      <c r="D1046">
        <v>4.007987</v>
      </c>
      <c r="E1046">
        <v>0.4520535</v>
      </c>
      <c r="F1046" t="s">
        <v>47</v>
      </c>
      <c r="G1046">
        <v>-158.19499999999999</v>
      </c>
      <c r="H1046">
        <v>2.789927</v>
      </c>
      <c r="I1046">
        <v>378.81819999999999</v>
      </c>
      <c r="J1046">
        <v>-290.8947</v>
      </c>
      <c r="K1046">
        <v>1.0607409999999999</v>
      </c>
      <c r="L1046">
        <v>367.82709999999997</v>
      </c>
      <c r="M1046">
        <v>0.9998475</v>
      </c>
      <c r="N1046">
        <v>0</v>
      </c>
      <c r="O1046">
        <v>-8.62793699999999E-3</v>
      </c>
      <c r="P1046">
        <v>0.99778160000000005</v>
      </c>
      <c r="Q1046">
        <v>4.9288909999999998E-2</v>
      </c>
      <c r="R1046">
        <v>-4.4748299999999998E-2</v>
      </c>
      <c r="S1046">
        <v>3.016022</v>
      </c>
      <c r="T1046">
        <v>3.9251920000000003E-2</v>
      </c>
      <c r="U1046">
        <v>0.2494507</v>
      </c>
      <c r="V1046">
        <v>3.6107340000000002E-2</v>
      </c>
      <c r="W1046">
        <v>6.4450690000000005E-2</v>
      </c>
      <c r="X1046">
        <v>0.99726740000000003</v>
      </c>
      <c r="Y1046">
        <v>-9.1015170000000006E-2</v>
      </c>
      <c r="Z1046">
        <v>-7.0333660000000003E-4</v>
      </c>
      <c r="AA1046">
        <v>0.99584930000000005</v>
      </c>
      <c r="AB1046">
        <v>28</v>
      </c>
      <c r="AC1046">
        <v>132.69970000000001</v>
      </c>
      <c r="AD1046">
        <v>1.7291859999999999</v>
      </c>
      <c r="AE1046">
        <v>10.991099999999999</v>
      </c>
      <c r="AF1046">
        <v>-12.133701157310901</v>
      </c>
      <c r="AG1046">
        <v>1.7291859999999999</v>
      </c>
      <c r="AH1046">
        <v>132.577559562435</v>
      </c>
      <c r="AI1046">
        <v>89.255853212957405</v>
      </c>
      <c r="AJ1046">
        <v>95.229229559281194</v>
      </c>
      <c r="AK1046">
        <v>133.142878470943</v>
      </c>
      <c r="AL1046">
        <v>86.304685949049698</v>
      </c>
      <c r="AM1046">
        <v>87.926438877140498</v>
      </c>
      <c r="AN1046">
        <v>0.99999994927305402</v>
      </c>
    </row>
    <row r="1047" spans="1:40" x14ac:dyDescent="0.25">
      <c r="A1047" t="str">
        <f>"20190312153909924"</f>
        <v>20190312153909924</v>
      </c>
      <c r="B1047" t="str">
        <f>"1552376349917468"</f>
        <v>1552376349917468</v>
      </c>
      <c r="C1047" t="s">
        <v>40</v>
      </c>
      <c r="D1047">
        <v>4.020823</v>
      </c>
      <c r="E1047">
        <v>0.4516694</v>
      </c>
      <c r="F1047" t="s">
        <v>47</v>
      </c>
      <c r="G1047">
        <v>-158.19499999999999</v>
      </c>
      <c r="H1047">
        <v>2.7901180000000001</v>
      </c>
      <c r="I1047">
        <v>378.91109999999998</v>
      </c>
      <c r="J1047">
        <v>-290.70650000000001</v>
      </c>
      <c r="K1047">
        <v>1.0607439999999999</v>
      </c>
      <c r="L1047">
        <v>367.82569999999998</v>
      </c>
      <c r="M1047">
        <v>0.99984930000000005</v>
      </c>
      <c r="N1047">
        <v>0</v>
      </c>
      <c r="O1047">
        <v>-8.4461509999999903E-3</v>
      </c>
      <c r="P1047">
        <v>0.99780919999999895</v>
      </c>
      <c r="Q1047">
        <v>4.91165E-2</v>
      </c>
      <c r="R1047">
        <v>-4.432407E-2</v>
      </c>
      <c r="S1047">
        <v>3.0160520000000002</v>
      </c>
      <c r="T1047">
        <v>3.9308070000000001E-2</v>
      </c>
      <c r="U1047">
        <v>0.2519226</v>
      </c>
      <c r="V1047">
        <v>3.5864640000000003E-2</v>
      </c>
      <c r="W1047">
        <v>6.4277009999999996E-2</v>
      </c>
      <c r="X1047">
        <v>0.99728740000000005</v>
      </c>
      <c r="Y1047">
        <v>-9.1643810000000006E-2</v>
      </c>
      <c r="Z1047">
        <v>-7.060352E-4</v>
      </c>
      <c r="AA1047">
        <v>0.9957916</v>
      </c>
      <c r="AB1047">
        <v>28</v>
      </c>
      <c r="AC1047">
        <v>132.51150000000001</v>
      </c>
      <c r="AD1047">
        <v>1.729374</v>
      </c>
      <c r="AE1047">
        <v>11.0853999999999</v>
      </c>
      <c r="AF1047">
        <v>-12.202281518812301</v>
      </c>
      <c r="AG1047">
        <v>1.729374</v>
      </c>
      <c r="AH1047">
        <v>132.39074023315499</v>
      </c>
      <c r="AI1047">
        <v>89.254766161926796</v>
      </c>
      <c r="AJ1047">
        <v>95.265999080737203</v>
      </c>
      <c r="AK1047">
        <v>132.963132138872</v>
      </c>
      <c r="AL1047">
        <v>86.314657879034698</v>
      </c>
      <c r="AM1047">
        <v>87.940405802167703</v>
      </c>
      <c r="AN1047">
        <v>0.99999998230781395</v>
      </c>
    </row>
    <row r="1048" spans="1:40" x14ac:dyDescent="0.25">
      <c r="A1048" t="str">
        <f>"20190312153909936"</f>
        <v>20190312153909936</v>
      </c>
      <c r="B1048" t="str">
        <f>"1552376349927228"</f>
        <v>1552376349927228</v>
      </c>
      <c r="C1048" t="s">
        <v>40</v>
      </c>
      <c r="D1048">
        <v>4.0057839999999896</v>
      </c>
      <c r="E1048">
        <v>0.45154850000000002</v>
      </c>
      <c r="F1048" t="s">
        <v>47</v>
      </c>
      <c r="G1048">
        <v>-158.19499999999999</v>
      </c>
      <c r="H1048">
        <v>2.81189</v>
      </c>
      <c r="I1048">
        <v>379.07780000000002</v>
      </c>
      <c r="J1048">
        <v>-290.53309999999999</v>
      </c>
      <c r="K1048">
        <v>1.0607439999999999</v>
      </c>
      <c r="L1048">
        <v>367.82440000000003</v>
      </c>
      <c r="M1048">
        <v>0.99985060000000003</v>
      </c>
      <c r="N1048">
        <v>0</v>
      </c>
      <c r="O1048">
        <v>-8.278311E-3</v>
      </c>
      <c r="P1048">
        <v>0.99781419999999998</v>
      </c>
      <c r="Q1048">
        <v>4.9323980000000003E-2</v>
      </c>
      <c r="R1048">
        <v>-4.3980249999999999E-2</v>
      </c>
      <c r="S1048">
        <v>3.016022</v>
      </c>
      <c r="T1048">
        <v>3.9858820000000003E-2</v>
      </c>
      <c r="U1048">
        <v>0.25610349999999998</v>
      </c>
      <c r="V1048">
        <v>3.5688110000000002E-2</v>
      </c>
      <c r="W1048">
        <v>6.4482570000000003E-2</v>
      </c>
      <c r="X1048">
        <v>0.99728050000000001</v>
      </c>
      <c r="Y1048">
        <v>-9.2847769999999996E-2</v>
      </c>
      <c r="Z1048">
        <v>-7.2161890000000002E-4</v>
      </c>
      <c r="AA1048">
        <v>0.99568000000000001</v>
      </c>
      <c r="AB1048">
        <v>28</v>
      </c>
      <c r="AC1048">
        <v>132.3381</v>
      </c>
      <c r="AD1048">
        <v>1.7511460000000001</v>
      </c>
      <c r="AE1048">
        <v>11.253399999999999</v>
      </c>
      <c r="AF1048">
        <v>-12.3465300955329</v>
      </c>
      <c r="AG1048">
        <v>1.7511460000000001</v>
      </c>
      <c r="AH1048">
        <v>132.21740994288899</v>
      </c>
      <c r="AI1048">
        <v>89.244480162269895</v>
      </c>
      <c r="AJ1048">
        <v>95.334838947883796</v>
      </c>
      <c r="AK1048">
        <v>132.80416713988799</v>
      </c>
      <c r="AL1048">
        <v>86.302855811491895</v>
      </c>
      <c r="AM1048">
        <v>87.950520534233902</v>
      </c>
      <c r="AN1048">
        <v>1.0000000193547101</v>
      </c>
    </row>
    <row r="1049" spans="1:40" x14ac:dyDescent="0.25">
      <c r="A1049" t="str">
        <f>"20190312153909952"</f>
        <v>20190312153909952</v>
      </c>
      <c r="B1049" t="str">
        <f>"1552376349946748"</f>
        <v>1552376349946748</v>
      </c>
      <c r="C1049" t="s">
        <v>40</v>
      </c>
      <c r="D1049">
        <v>4.0151059999999896</v>
      </c>
      <c r="E1049">
        <v>0.45122590000000001</v>
      </c>
      <c r="F1049" t="s">
        <v>47</v>
      </c>
      <c r="G1049">
        <v>-158.19499999999999</v>
      </c>
      <c r="H1049">
        <v>2.8590100000000001</v>
      </c>
      <c r="I1049">
        <v>379.14920000000001</v>
      </c>
      <c r="J1049">
        <v>-290.33879999999999</v>
      </c>
      <c r="K1049">
        <v>1.060738</v>
      </c>
      <c r="L1049">
        <v>367.82299999999998</v>
      </c>
      <c r="M1049">
        <v>0.99985219999999997</v>
      </c>
      <c r="N1049">
        <v>0</v>
      </c>
      <c r="O1049">
        <v>-8.0898500000000009E-3</v>
      </c>
      <c r="P1049">
        <v>0.99781160000000002</v>
      </c>
      <c r="Q1049">
        <v>4.9260819999999997E-2</v>
      </c>
      <c r="R1049">
        <v>-4.4109860000000001E-2</v>
      </c>
      <c r="S1049">
        <v>3.01593</v>
      </c>
      <c r="T1049">
        <v>4.0983680000000001E-2</v>
      </c>
      <c r="U1049">
        <v>0.25808720000000002</v>
      </c>
      <c r="V1049">
        <v>3.600619E-2</v>
      </c>
      <c r="W1049">
        <v>6.4417379999999996E-2</v>
      </c>
      <c r="X1049">
        <v>0.99727330000000003</v>
      </c>
      <c r="Y1049">
        <v>-9.3312259999999994E-2</v>
      </c>
      <c r="Z1049">
        <v>-7.4257700000000002E-4</v>
      </c>
      <c r="AA1049">
        <v>0.99563659999999998</v>
      </c>
      <c r="AB1049">
        <v>28</v>
      </c>
      <c r="AC1049">
        <v>132.1438</v>
      </c>
      <c r="AD1049">
        <v>1.7982720000000001</v>
      </c>
      <c r="AE1049">
        <v>11.326199999999901</v>
      </c>
      <c r="AF1049">
        <v>-12.3926975686571</v>
      </c>
      <c r="AG1049">
        <v>1.7982720000000001</v>
      </c>
      <c r="AH1049">
        <v>132.02356589083399</v>
      </c>
      <c r="AI1049">
        <v>89.223046522993101</v>
      </c>
      <c r="AJ1049">
        <v>95.3624880285644</v>
      </c>
      <c r="AK1049">
        <v>132.616117744962</v>
      </c>
      <c r="AL1049">
        <v>86.306598780343407</v>
      </c>
      <c r="AM1049">
        <v>87.932254861008104</v>
      </c>
      <c r="AN1049">
        <v>1.0000000397286299</v>
      </c>
    </row>
    <row r="1050" spans="1:40" x14ac:dyDescent="0.25">
      <c r="A1050" t="str">
        <f>"20190312153909966"</f>
        <v>20190312153909966</v>
      </c>
      <c r="B1050" t="str">
        <f>"1552376349957485"</f>
        <v>1552376349957485</v>
      </c>
      <c r="C1050" t="s">
        <v>40</v>
      </c>
      <c r="D1050">
        <v>4.0115160000000003</v>
      </c>
      <c r="E1050">
        <v>0.45112720000000001</v>
      </c>
      <c r="F1050" t="s">
        <v>47</v>
      </c>
      <c r="G1050">
        <v>-158.19499999999999</v>
      </c>
      <c r="H1050">
        <v>2.9254169999999999</v>
      </c>
      <c r="I1050">
        <v>379.2192</v>
      </c>
      <c r="J1050">
        <v>-290.1782</v>
      </c>
      <c r="K1050">
        <v>1.060738</v>
      </c>
      <c r="L1050">
        <v>367.8218</v>
      </c>
      <c r="M1050">
        <v>0.9998534</v>
      </c>
      <c r="N1050">
        <v>0</v>
      </c>
      <c r="O1050">
        <v>-7.9340460000000002E-3</v>
      </c>
      <c r="P1050">
        <v>0.99781609999999998</v>
      </c>
      <c r="Q1050">
        <v>4.9328200000000003E-2</v>
      </c>
      <c r="R1050">
        <v>-4.3926750000000001E-2</v>
      </c>
      <c r="S1050">
        <v>3.0159910000000001</v>
      </c>
      <c r="T1050">
        <v>4.2560580000000001E-2</v>
      </c>
      <c r="U1050">
        <v>0.26010129999999998</v>
      </c>
      <c r="V1050">
        <v>3.5978650000000001E-2</v>
      </c>
      <c r="W1050">
        <v>6.4482570000000003E-2</v>
      </c>
      <c r="X1050">
        <v>0.99726999999999999</v>
      </c>
      <c r="Y1050">
        <v>-9.3814659999999994E-2</v>
      </c>
      <c r="Z1050">
        <v>-7.7245129999999995E-4</v>
      </c>
      <c r="AA1050">
        <v>0.99558939999999996</v>
      </c>
      <c r="AB1050">
        <v>28</v>
      </c>
      <c r="AC1050">
        <v>131.98320000000001</v>
      </c>
      <c r="AD1050">
        <v>1.864679</v>
      </c>
      <c r="AE1050">
        <v>11.397399999999999</v>
      </c>
      <c r="AF1050">
        <v>-12.4418574569761</v>
      </c>
      <c r="AG1050">
        <v>1.864679</v>
      </c>
      <c r="AH1050">
        <v>131.862481406238</v>
      </c>
      <c r="AI1050">
        <v>89.193411347548803</v>
      </c>
      <c r="AJ1050">
        <v>95.390173426249504</v>
      </c>
      <c r="AK1050">
        <v>132.46128055912499</v>
      </c>
      <c r="AL1050">
        <v>86.302855588022396</v>
      </c>
      <c r="AM1050">
        <v>87.933828211723693</v>
      </c>
      <c r="AN1050">
        <v>0.99999995899481198</v>
      </c>
    </row>
    <row r="1051" spans="1:40" x14ac:dyDescent="0.25">
      <c r="A1051" t="str">
        <f>"20190312153909986"</f>
        <v>20190312153909986</v>
      </c>
      <c r="B1051" t="str">
        <f>"1552376349967244"</f>
        <v>1552376349967244</v>
      </c>
      <c r="C1051" t="s">
        <v>40</v>
      </c>
      <c r="D1051">
        <v>4.0024189999999997</v>
      </c>
      <c r="E1051">
        <v>0.45095740000000001</v>
      </c>
      <c r="F1051" t="s">
        <v>47</v>
      </c>
      <c r="G1051">
        <v>-158.19499999999999</v>
      </c>
      <c r="H1051">
        <v>2.9366099999999999</v>
      </c>
      <c r="I1051">
        <v>379.26600000000002</v>
      </c>
      <c r="J1051">
        <v>-289.92399999999998</v>
      </c>
      <c r="K1051">
        <v>1.0607310000000001</v>
      </c>
      <c r="L1051">
        <v>367.82010000000002</v>
      </c>
      <c r="M1051">
        <v>0.99985539999999995</v>
      </c>
      <c r="N1051">
        <v>0</v>
      </c>
      <c r="O1051">
        <v>-7.687999E-3</v>
      </c>
      <c r="P1051">
        <v>0.99781319999999996</v>
      </c>
      <c r="Q1051">
        <v>4.9344850000000003E-2</v>
      </c>
      <c r="R1051">
        <v>-4.3977349999999998E-2</v>
      </c>
      <c r="S1051">
        <v>3.0158999999999998</v>
      </c>
      <c r="T1051">
        <v>4.2866830000000002E-2</v>
      </c>
      <c r="U1051">
        <v>0.26150509999999999</v>
      </c>
      <c r="V1051">
        <v>3.6274920000000002E-2</v>
      </c>
      <c r="W1051">
        <v>6.4495419999999998E-2</v>
      </c>
      <c r="X1051">
        <v>0.99725850000000005</v>
      </c>
      <c r="Y1051">
        <v>-9.4032080000000004E-2</v>
      </c>
      <c r="Z1051">
        <v>-7.7606780000000002E-4</v>
      </c>
      <c r="AA1051">
        <v>0.99556889999999998</v>
      </c>
      <c r="AB1051">
        <v>28</v>
      </c>
      <c r="AC1051">
        <v>131.72900000000001</v>
      </c>
      <c r="AD1051">
        <v>1.8758790000000001</v>
      </c>
      <c r="AE1051">
        <v>11.4458999999999</v>
      </c>
      <c r="AF1051">
        <v>-12.455903595207801</v>
      </c>
      <c r="AG1051">
        <v>1.8758790000000001</v>
      </c>
      <c r="AH1051">
        <v>131.610610566124</v>
      </c>
      <c r="AI1051">
        <v>89.187036498526496</v>
      </c>
      <c r="AJ1051">
        <v>95.406488648912003</v>
      </c>
      <c r="AK1051">
        <v>132.212031487243</v>
      </c>
      <c r="AL1051">
        <v>86.302118036335202</v>
      </c>
      <c r="AM1051">
        <v>87.916805029452703</v>
      </c>
      <c r="AN1051">
        <v>1.0000000224221099</v>
      </c>
    </row>
    <row r="1052" spans="1:40" x14ac:dyDescent="0.25">
      <c r="A1052" t="str">
        <f>"20190312153909999"</f>
        <v>20190312153909999</v>
      </c>
      <c r="B1052" t="str">
        <f>"1552376349986764"</f>
        <v>1552376349986764</v>
      </c>
      <c r="C1052" t="s">
        <v>40</v>
      </c>
      <c r="D1052">
        <v>4.000896</v>
      </c>
      <c r="E1052">
        <v>0.45073200000000002</v>
      </c>
      <c r="F1052" t="s">
        <v>47</v>
      </c>
      <c r="G1052">
        <v>-158.19499999999999</v>
      </c>
      <c r="H1052">
        <v>2.9407999999999999</v>
      </c>
      <c r="I1052">
        <v>379.3005</v>
      </c>
      <c r="J1052">
        <v>-289.76799999999997</v>
      </c>
      <c r="K1052">
        <v>1.06073</v>
      </c>
      <c r="L1052">
        <v>367.81909999999999</v>
      </c>
      <c r="M1052">
        <v>0.99985659999999998</v>
      </c>
      <c r="N1052">
        <v>0</v>
      </c>
      <c r="O1052">
        <v>-7.5370799999999998E-3</v>
      </c>
      <c r="P1052">
        <v>0.99782409999999999</v>
      </c>
      <c r="Q1052">
        <v>4.9297779999999999E-2</v>
      </c>
      <c r="R1052">
        <v>-4.378315E-2</v>
      </c>
      <c r="S1052">
        <v>3.0159910000000001</v>
      </c>
      <c r="T1052">
        <v>4.304695E-2</v>
      </c>
      <c r="U1052">
        <v>0.26284790000000002</v>
      </c>
      <c r="V1052">
        <v>3.6231439999999997E-2</v>
      </c>
      <c r="W1052">
        <v>6.4445939999999993E-2</v>
      </c>
      <c r="X1052">
        <v>0.99726329999999996</v>
      </c>
      <c r="Y1052">
        <v>-9.4319029999999998E-2</v>
      </c>
      <c r="Z1052">
        <v>-7.7918330000000002E-4</v>
      </c>
      <c r="AA1052">
        <v>0.99554169999999997</v>
      </c>
      <c r="AB1052">
        <v>28</v>
      </c>
      <c r="AC1052">
        <v>131.57299999999901</v>
      </c>
      <c r="AD1052">
        <v>1.8800699999999999</v>
      </c>
      <c r="AE1052">
        <v>11.481400000000001</v>
      </c>
      <c r="AF1052">
        <v>-12.4703371216444</v>
      </c>
      <c r="AG1052">
        <v>1.8800699999999999</v>
      </c>
      <c r="AH1052">
        <v>131.456077793341</v>
      </c>
      <c r="AI1052">
        <v>89.184279707872705</v>
      </c>
      <c r="AJ1052">
        <v>95.419041384586293</v>
      </c>
      <c r="AK1052">
        <v>132.059624260942</v>
      </c>
      <c r="AL1052">
        <v>86.304959017713003</v>
      </c>
      <c r="AM1052">
        <v>87.919309807453701</v>
      </c>
      <c r="AN1052">
        <v>1.00000004297692</v>
      </c>
    </row>
    <row r="1053" spans="1:40" x14ac:dyDescent="0.25">
      <c r="A1053" t="str">
        <f>"20190312153910020"</f>
        <v>20190312153910020</v>
      </c>
      <c r="B1053" t="str">
        <f>"1552376350007260"</f>
        <v>1552376350007260</v>
      </c>
      <c r="C1053" t="s">
        <v>40</v>
      </c>
      <c r="D1053">
        <v>3.9974850000000002</v>
      </c>
      <c r="E1053">
        <v>0.45053339999999997</v>
      </c>
      <c r="F1053" t="s">
        <v>47</v>
      </c>
      <c r="G1053">
        <v>-158.19499999999999</v>
      </c>
      <c r="H1053">
        <v>2.9604330000000001</v>
      </c>
      <c r="I1053">
        <v>379.3843</v>
      </c>
      <c r="J1053">
        <v>-289.50790000000001</v>
      </c>
      <c r="K1053">
        <v>1.060732</v>
      </c>
      <c r="L1053">
        <v>367.81740000000002</v>
      </c>
      <c r="M1053">
        <v>0.99985860000000004</v>
      </c>
      <c r="N1053">
        <v>0</v>
      </c>
      <c r="O1053">
        <v>-7.2850679999999996E-3</v>
      </c>
      <c r="P1053">
        <v>0.99783529999999998</v>
      </c>
      <c r="Q1053">
        <v>4.9319349999999998E-2</v>
      </c>
      <c r="R1053">
        <v>-4.350416E-2</v>
      </c>
      <c r="S1053">
        <v>3.016022</v>
      </c>
      <c r="T1053">
        <v>4.3548459999999997E-2</v>
      </c>
      <c r="U1053">
        <v>0.26510620000000001</v>
      </c>
      <c r="V1053">
        <v>3.620396E-2</v>
      </c>
      <c r="W1053">
        <v>6.4463530000000005E-2</v>
      </c>
      <c r="X1053">
        <v>0.99726309999999996</v>
      </c>
      <c r="Y1053">
        <v>-9.4806730000000006E-2</v>
      </c>
      <c r="Z1053">
        <v>-7.8810809999999996E-4</v>
      </c>
      <c r="AA1053">
        <v>0.99549540000000003</v>
      </c>
      <c r="AB1053">
        <v>28</v>
      </c>
      <c r="AC1053">
        <v>131.31290000000001</v>
      </c>
      <c r="AD1053">
        <v>1.8997009999999901</v>
      </c>
      <c r="AE1053">
        <v>11.566899999999899</v>
      </c>
      <c r="AF1053">
        <v>-12.5207259516975</v>
      </c>
      <c r="AG1053">
        <v>1.8997009999999901</v>
      </c>
      <c r="AH1053">
        <v>131.19789184186499</v>
      </c>
      <c r="AI1053">
        <v>89.174186063770506</v>
      </c>
      <c r="AJ1053">
        <v>95.451449535777598</v>
      </c>
      <c r="AK1053">
        <v>131.80767908584301</v>
      </c>
      <c r="AL1053">
        <v>86.303948859362293</v>
      </c>
      <c r="AM1053">
        <v>87.920886120005704</v>
      </c>
      <c r="AN1053">
        <v>0.99999998202067597</v>
      </c>
    </row>
    <row r="1054" spans="1:40" x14ac:dyDescent="0.25">
      <c r="A1054" t="str">
        <f>"20190312153910033"</f>
        <v>20190312153910033</v>
      </c>
      <c r="B1054" t="str">
        <f>"1552376350026780"</f>
        <v>1552376350026780</v>
      </c>
      <c r="C1054" t="s">
        <v>40</v>
      </c>
      <c r="D1054">
        <v>4.0114910000000004</v>
      </c>
      <c r="E1054">
        <v>0.4502775</v>
      </c>
      <c r="F1054" t="s">
        <v>47</v>
      </c>
      <c r="G1054">
        <v>-158.19499999999999</v>
      </c>
      <c r="H1054">
        <v>2.9609380000000001</v>
      </c>
      <c r="I1054">
        <v>379.45920000000001</v>
      </c>
      <c r="J1054">
        <v>-289.35019999999997</v>
      </c>
      <c r="K1054">
        <v>1.060732</v>
      </c>
      <c r="L1054">
        <v>367.81639999999999</v>
      </c>
      <c r="M1054">
        <v>0.99985970000000002</v>
      </c>
      <c r="N1054">
        <v>0</v>
      </c>
      <c r="O1054">
        <v>-7.1323580000000001E-3</v>
      </c>
      <c r="P1054">
        <v>0.9978418</v>
      </c>
      <c r="Q1054">
        <v>4.9374019999999998E-2</v>
      </c>
      <c r="R1054">
        <v>-4.329206E-2</v>
      </c>
      <c r="S1054">
        <v>3.0160830000000001</v>
      </c>
      <c r="T1054">
        <v>4.3647169999999999E-2</v>
      </c>
      <c r="U1054">
        <v>0.26739499999999999</v>
      </c>
      <c r="V1054">
        <v>3.6144389999999998E-2</v>
      </c>
      <c r="W1054">
        <v>6.4515409999999995E-2</v>
      </c>
      <c r="X1054">
        <v>0.99726190000000003</v>
      </c>
      <c r="Y1054">
        <v>-9.5402420000000002E-2</v>
      </c>
      <c r="Z1054">
        <v>-7.9194759999999997E-4</v>
      </c>
      <c r="AA1054">
        <v>0.9954385</v>
      </c>
      <c r="AB1054">
        <v>28</v>
      </c>
      <c r="AC1054">
        <v>131.15519999999901</v>
      </c>
      <c r="AD1054">
        <v>1.9002060000000001</v>
      </c>
      <c r="AE1054">
        <v>11.642799999999999</v>
      </c>
      <c r="AF1054">
        <v>-12.575438035215001</v>
      </c>
      <c r="AG1054">
        <v>1.9002060000000001</v>
      </c>
      <c r="AH1054">
        <v>131.041521384699</v>
      </c>
      <c r="AI1054">
        <v>89.173022676003001</v>
      </c>
      <c r="AJ1054">
        <v>95.4816200500848</v>
      </c>
      <c r="AK1054">
        <v>131.657254837842</v>
      </c>
      <c r="AL1054">
        <v>86.300970131913303</v>
      </c>
      <c r="AM1054">
        <v>87.924301603825398</v>
      </c>
      <c r="AN1054">
        <v>0.999999976123774</v>
      </c>
    </row>
    <row r="1055" spans="1:40" x14ac:dyDescent="0.25">
      <c r="A1055" t="str">
        <f>"20190312153910046"</f>
        <v>20190312153910046</v>
      </c>
      <c r="B1055" t="str">
        <f>"1552376350037516"</f>
        <v>1552376350037516</v>
      </c>
      <c r="C1055" t="s">
        <v>40</v>
      </c>
      <c r="D1055">
        <v>4.0012280000000002</v>
      </c>
      <c r="E1055">
        <v>0.45017269999999998</v>
      </c>
      <c r="F1055" t="s">
        <v>47</v>
      </c>
      <c r="G1055">
        <v>-158.19499999999999</v>
      </c>
      <c r="H1055">
        <v>3.0016219999999998</v>
      </c>
      <c r="I1055">
        <v>379.56659999999999</v>
      </c>
      <c r="J1055">
        <v>-289.19380000000001</v>
      </c>
      <c r="K1055">
        <v>1.060737</v>
      </c>
      <c r="L1055">
        <v>367.81549999999999</v>
      </c>
      <c r="M1055">
        <v>0.99986079999999999</v>
      </c>
      <c r="N1055">
        <v>0</v>
      </c>
      <c r="O1055">
        <v>-6.9806010000000003E-3</v>
      </c>
      <c r="P1055">
        <v>0.99786649999999999</v>
      </c>
      <c r="Q1055">
        <v>4.9368189999999999E-2</v>
      </c>
      <c r="R1055">
        <v>-4.2722839999999998E-2</v>
      </c>
      <c r="S1055">
        <v>3.0159910000000001</v>
      </c>
      <c r="T1055">
        <v>4.4633869999999999E-2</v>
      </c>
      <c r="U1055">
        <v>0.27020260000000001</v>
      </c>
      <c r="V1055">
        <v>3.5726639999999997E-2</v>
      </c>
      <c r="W1055">
        <v>6.4506839999999996E-2</v>
      </c>
      <c r="X1055">
        <v>0.99727759999999999</v>
      </c>
      <c r="Y1055">
        <v>-9.6172779999999999E-2</v>
      </c>
      <c r="Z1055">
        <v>-8.1328649999999896E-4</v>
      </c>
      <c r="AA1055">
        <v>0.99536429999999998</v>
      </c>
      <c r="AB1055">
        <v>28</v>
      </c>
      <c r="AC1055">
        <v>130.99879999999999</v>
      </c>
      <c r="AD1055">
        <v>1.940885</v>
      </c>
      <c r="AE1055">
        <v>11.751099999999999</v>
      </c>
      <c r="AF1055">
        <v>-12.6626115477663</v>
      </c>
      <c r="AG1055">
        <v>1.940885</v>
      </c>
      <c r="AH1055">
        <v>130.88506642288399</v>
      </c>
      <c r="AI1055">
        <v>89.154375023208402</v>
      </c>
      <c r="AJ1055">
        <v>95.525941894134405</v>
      </c>
      <c r="AK1055">
        <v>131.51049151423501</v>
      </c>
      <c r="AL1055">
        <v>86.3014625232302</v>
      </c>
      <c r="AM1055">
        <v>87.948303781038504</v>
      </c>
      <c r="AN1055">
        <v>1.00000006833711</v>
      </c>
    </row>
    <row r="1056" spans="1:40" x14ac:dyDescent="0.25">
      <c r="A1056" t="str">
        <f>"20190312153910058"</f>
        <v>20190312153910058</v>
      </c>
      <c r="B1056" t="str">
        <f>"1552376350047276"</f>
        <v>1552376350047276</v>
      </c>
      <c r="C1056" t="s">
        <v>40</v>
      </c>
      <c r="D1056">
        <v>4.0225629999999999</v>
      </c>
      <c r="E1056">
        <v>0.45016669999999998</v>
      </c>
      <c r="F1056" t="s">
        <v>47</v>
      </c>
      <c r="G1056">
        <v>-158.19499999999999</v>
      </c>
      <c r="H1056">
        <v>2.9953669999999999</v>
      </c>
      <c r="I1056">
        <v>379.65539999999999</v>
      </c>
      <c r="J1056">
        <v>-289.05360000000002</v>
      </c>
      <c r="K1056">
        <v>1.0607390000000001</v>
      </c>
      <c r="L1056">
        <v>367.81459999999998</v>
      </c>
      <c r="M1056">
        <v>0.99986180000000002</v>
      </c>
      <c r="N1056">
        <v>0</v>
      </c>
      <c r="O1056">
        <v>-6.8446990000000001E-3</v>
      </c>
      <c r="P1056">
        <v>0.99786960000000002</v>
      </c>
      <c r="Q1056">
        <v>4.9524680000000001E-2</v>
      </c>
      <c r="R1056">
        <v>-4.2475640000000002E-2</v>
      </c>
      <c r="S1056">
        <v>3.0158999999999998</v>
      </c>
      <c r="T1056">
        <v>4.454172E-2</v>
      </c>
      <c r="U1056">
        <v>0.27258300000000002</v>
      </c>
      <c r="V1056">
        <v>3.561479E-2</v>
      </c>
      <c r="W1056">
        <v>6.4660540000000002E-2</v>
      </c>
      <c r="X1056">
        <v>0.99727160000000004</v>
      </c>
      <c r="Y1056">
        <v>-9.6819450000000001E-2</v>
      </c>
      <c r="Z1056">
        <v>-8.1436559999999896E-4</v>
      </c>
      <c r="AA1056">
        <v>0.99530160000000001</v>
      </c>
      <c r="AB1056">
        <v>27</v>
      </c>
      <c r="AC1056">
        <v>130.8586</v>
      </c>
      <c r="AD1056">
        <v>1.93462799999999</v>
      </c>
      <c r="AE1056">
        <v>11.8408</v>
      </c>
      <c r="AF1056">
        <v>-12.7335525340954</v>
      </c>
      <c r="AG1056">
        <v>1.93462799999999</v>
      </c>
      <c r="AH1056">
        <v>130.74613279562601</v>
      </c>
      <c r="AI1056">
        <v>89.156257549611396</v>
      </c>
      <c r="AJ1056">
        <v>95.562574855587499</v>
      </c>
      <c r="AK1056">
        <v>131.378983808859</v>
      </c>
      <c r="AL1056">
        <v>86.292637564828695</v>
      </c>
      <c r="AM1056">
        <v>87.954709302719806</v>
      </c>
      <c r="AN1056">
        <v>1.0000000214331899</v>
      </c>
    </row>
    <row r="1057" spans="1:40" x14ac:dyDescent="0.25">
      <c r="A1057" t="str">
        <f>"20190312153910068"</f>
        <v>20190312153910068</v>
      </c>
      <c r="B1057" t="str">
        <f>"1552376350057036"</f>
        <v>1552376350057036</v>
      </c>
      <c r="C1057" t="s">
        <v>40</v>
      </c>
      <c r="D1057">
        <v>4.0290699999999999</v>
      </c>
      <c r="E1057">
        <v>0.45016669999999998</v>
      </c>
      <c r="F1057" t="s">
        <v>47</v>
      </c>
      <c r="G1057">
        <v>-158.19499999999999</v>
      </c>
      <c r="H1057">
        <v>3.0114830000000001</v>
      </c>
      <c r="I1057">
        <v>379.6925</v>
      </c>
      <c r="J1057">
        <v>-288.91789999999997</v>
      </c>
      <c r="K1057">
        <v>1.06074</v>
      </c>
      <c r="L1057">
        <v>367.81380000000001</v>
      </c>
      <c r="M1057">
        <v>0.99986269999999999</v>
      </c>
      <c r="N1057">
        <v>0</v>
      </c>
      <c r="O1057">
        <v>-6.7130879999999999E-3</v>
      </c>
      <c r="P1057">
        <v>0.99788310000000002</v>
      </c>
      <c r="Q1057">
        <v>4.9497029999999997E-2</v>
      </c>
      <c r="R1057">
        <v>-4.2182589999999999E-2</v>
      </c>
      <c r="S1057">
        <v>3.0158390000000002</v>
      </c>
      <c r="T1057">
        <v>4.4959899999999997E-2</v>
      </c>
      <c r="U1057">
        <v>0.27374270000000001</v>
      </c>
      <c r="V1057">
        <v>3.54533E-2</v>
      </c>
      <c r="W1057">
        <v>6.4630549999999995E-2</v>
      </c>
      <c r="X1057">
        <v>0.99727929999999998</v>
      </c>
      <c r="Y1057">
        <v>-9.7069610000000001E-2</v>
      </c>
      <c r="Z1057">
        <v>-8.2191519999999995E-4</v>
      </c>
      <c r="AA1057">
        <v>0.99527719999999997</v>
      </c>
      <c r="AB1057">
        <v>27</v>
      </c>
      <c r="AC1057">
        <v>130.72289999999899</v>
      </c>
      <c r="AD1057">
        <v>1.9507429999999999</v>
      </c>
      <c r="AE1057">
        <v>11.878699999999901</v>
      </c>
      <c r="AF1057">
        <v>-12.7532705887983</v>
      </c>
      <c r="AG1057">
        <v>1.9507429999999999</v>
      </c>
      <c r="AH1057">
        <v>130.61135445117901</v>
      </c>
      <c r="AI1057">
        <v>89.148373301746403</v>
      </c>
      <c r="AJ1057">
        <v>95.576847070902204</v>
      </c>
      <c r="AK1057">
        <v>131.24700842508699</v>
      </c>
      <c r="AL1057">
        <v>86.294359474021505</v>
      </c>
      <c r="AM1057">
        <v>87.963991254879701</v>
      </c>
      <c r="AN1057">
        <v>1.00000002334134</v>
      </c>
    </row>
    <row r="1058" spans="1:40" x14ac:dyDescent="0.25">
      <c r="A1058" t="str">
        <f>"20190312153910081"</f>
        <v>20190312153910081</v>
      </c>
      <c r="B1058" t="str">
        <f>"1552376350077533"</f>
        <v>1552376350077533</v>
      </c>
      <c r="C1058" t="s">
        <v>40</v>
      </c>
      <c r="D1058">
        <v>4.0862819999999997</v>
      </c>
      <c r="E1058">
        <v>0.4779466</v>
      </c>
      <c r="F1058" t="s">
        <v>47</v>
      </c>
      <c r="G1058">
        <v>-158.19499999999999</v>
      </c>
      <c r="H1058">
        <v>3.0067300000000001</v>
      </c>
      <c r="I1058">
        <v>379.7115</v>
      </c>
      <c r="J1058">
        <v>-288.77170000000001</v>
      </c>
      <c r="K1058">
        <v>1.060746</v>
      </c>
      <c r="L1058">
        <v>367.81299999999999</v>
      </c>
      <c r="M1058">
        <v>0.99986370000000002</v>
      </c>
      <c r="N1058">
        <v>0</v>
      </c>
      <c r="O1058">
        <v>-6.5713439999999998E-3</v>
      </c>
      <c r="P1058">
        <v>0.99790409999999996</v>
      </c>
      <c r="Q1058">
        <v>4.9405730000000002E-2</v>
      </c>
      <c r="R1058">
        <v>-4.1789489999999999E-2</v>
      </c>
      <c r="S1058">
        <v>3.0157470000000002</v>
      </c>
      <c r="T1058">
        <v>4.4895530000000003E-2</v>
      </c>
      <c r="U1058">
        <v>0.27447510000000003</v>
      </c>
      <c r="V1058">
        <v>3.5201690000000001E-2</v>
      </c>
      <c r="W1058">
        <v>6.4536339999999998E-2</v>
      </c>
      <c r="X1058">
        <v>0.99729429999999997</v>
      </c>
      <c r="Y1058">
        <v>-9.7171019999999997E-2</v>
      </c>
      <c r="Z1058">
        <v>-8.1940129999999998E-4</v>
      </c>
      <c r="AA1058">
        <v>0.99526740000000002</v>
      </c>
      <c r="AB1058">
        <v>27</v>
      </c>
      <c r="AC1058">
        <v>130.57669999999999</v>
      </c>
      <c r="AD1058">
        <v>1.9459839999999999</v>
      </c>
      <c r="AE1058">
        <v>11.898499999999901</v>
      </c>
      <c r="AF1058">
        <v>-12.7535966463699</v>
      </c>
      <c r="AG1058">
        <v>1.9459839999999999</v>
      </c>
      <c r="AH1058">
        <v>130.46694390505399</v>
      </c>
      <c r="AI1058">
        <v>89.149519504314299</v>
      </c>
      <c r="AJ1058">
        <v>95.583122799104899</v>
      </c>
      <c r="AK1058">
        <v>131.10325904824501</v>
      </c>
      <c r="AL1058">
        <v>86.299768550527105</v>
      </c>
      <c r="AM1058">
        <v>87.978459038845401</v>
      </c>
      <c r="AN1058">
        <v>1.00000000948597</v>
      </c>
    </row>
    <row r="1059" spans="1:40" x14ac:dyDescent="0.25">
      <c r="A1059" t="str">
        <f>"20190312153910093"</f>
        <v>20190312153910093</v>
      </c>
      <c r="B1059" t="str">
        <f>"1552376350087292"</f>
        <v>1552376350087292</v>
      </c>
      <c r="C1059" t="s">
        <v>40</v>
      </c>
      <c r="D1059">
        <v>4.0701340000000004</v>
      </c>
      <c r="E1059">
        <v>0.4834928</v>
      </c>
      <c r="F1059" t="s">
        <v>47</v>
      </c>
      <c r="G1059">
        <v>-158.78319999999999</v>
      </c>
      <c r="H1059">
        <v>1.0892029999999999</v>
      </c>
      <c r="I1059">
        <v>370.21269999999998</v>
      </c>
      <c r="J1059">
        <v>-288.6182</v>
      </c>
      <c r="K1059">
        <v>1.060745</v>
      </c>
      <c r="L1059">
        <v>367.81220000000002</v>
      </c>
      <c r="M1059">
        <v>0.99986470000000005</v>
      </c>
      <c r="N1059">
        <v>0</v>
      </c>
      <c r="O1059">
        <v>-6.4225659999999898E-3</v>
      </c>
      <c r="P1059">
        <v>0.99789490000000003</v>
      </c>
      <c r="Q1059">
        <v>4.9899949999999998E-2</v>
      </c>
      <c r="R1059">
        <v>-4.1420249999999999E-2</v>
      </c>
      <c r="S1059">
        <v>3.0086059999999999</v>
      </c>
      <c r="T1059">
        <v>6.6065789999999905E-4</v>
      </c>
      <c r="U1059">
        <v>5.5541989999999999E-2</v>
      </c>
      <c r="V1059">
        <v>3.4980980000000002E-2</v>
      </c>
      <c r="W1059">
        <v>6.5027409999999994E-2</v>
      </c>
      <c r="X1059">
        <v>0.9972702</v>
      </c>
      <c r="Y1059">
        <v>-2.4879729999999999E-2</v>
      </c>
      <c r="Z1059" s="1">
        <v>-4.1418120000000002E-6</v>
      </c>
      <c r="AA1059">
        <v>0.99969050000000004</v>
      </c>
      <c r="AB1059">
        <v>27</v>
      </c>
      <c r="AC1059">
        <v>129.83500000000001</v>
      </c>
      <c r="AD1059">
        <v>2.8458000000000001E-2</v>
      </c>
      <c r="AE1059">
        <v>2.4004999999999601</v>
      </c>
      <c r="AF1059">
        <v>-3.23441981343945</v>
      </c>
      <c r="AG1059">
        <v>2.8458000000000001E-2</v>
      </c>
      <c r="AH1059">
        <v>129.81689618075501</v>
      </c>
      <c r="AI1059">
        <v>89.987443719105698</v>
      </c>
      <c r="AJ1059">
        <v>91.427243120900201</v>
      </c>
      <c r="AK1059">
        <v>129.85718622930401</v>
      </c>
      <c r="AL1059">
        <v>86.271573208958202</v>
      </c>
      <c r="AM1059">
        <v>87.991074912383496</v>
      </c>
      <c r="AN1059">
        <v>1.00000004241055</v>
      </c>
    </row>
    <row r="1060" spans="1:40" x14ac:dyDescent="0.25">
      <c r="A1060" t="str">
        <f>"20190312153910109"</f>
        <v>20190312153910109</v>
      </c>
      <c r="B1060" t="str">
        <f>"1552376350097053"</f>
        <v>1552376350097053</v>
      </c>
      <c r="C1060" t="s">
        <v>40</v>
      </c>
      <c r="D1060">
        <v>4.0329560000000004</v>
      </c>
      <c r="E1060">
        <v>0.48675479999999999</v>
      </c>
      <c r="F1060" t="s">
        <v>47</v>
      </c>
      <c r="G1060">
        <v>-158.78319999999999</v>
      </c>
      <c r="H1060">
        <v>0.6484337</v>
      </c>
      <c r="I1060">
        <v>368.37079999999997</v>
      </c>
      <c r="J1060">
        <v>-288.42239999999998</v>
      </c>
      <c r="K1060">
        <v>1.060743</v>
      </c>
      <c r="L1060">
        <v>367.81110000000001</v>
      </c>
      <c r="M1060">
        <v>0.99986589999999997</v>
      </c>
      <c r="N1060">
        <v>0</v>
      </c>
      <c r="O1060">
        <v>-6.2327759999999998E-3</v>
      </c>
      <c r="P1060">
        <v>0.9979325</v>
      </c>
      <c r="Q1060">
        <v>4.9607039999999998E-2</v>
      </c>
      <c r="R1060">
        <v>-4.0864619999999997E-2</v>
      </c>
      <c r="S1060">
        <v>3.0073240000000001</v>
      </c>
      <c r="T1060">
        <v>-9.5481869999999996E-3</v>
      </c>
      <c r="U1060">
        <v>1.293945E-2</v>
      </c>
      <c r="V1060">
        <v>3.4614779999999998E-2</v>
      </c>
      <c r="W1060">
        <v>6.4730960000000004E-2</v>
      </c>
      <c r="X1060">
        <v>0.99730220000000003</v>
      </c>
      <c r="Y1060">
        <v>-1.0535869999999999E-2</v>
      </c>
      <c r="Z1060" s="1">
        <v>3.651648E-5</v>
      </c>
      <c r="AA1060">
        <v>0.99994450000000001</v>
      </c>
      <c r="AB1060">
        <v>27</v>
      </c>
      <c r="AC1060">
        <v>129.63919999999999</v>
      </c>
      <c r="AD1060">
        <v>-0.41230929999999999</v>
      </c>
      <c r="AE1060">
        <v>0.559699999999963</v>
      </c>
      <c r="AF1060">
        <v>-1.3677800537379601</v>
      </c>
      <c r="AG1060">
        <v>-0.41230929999999999</v>
      </c>
      <c r="AH1060">
        <v>129.63188120865701</v>
      </c>
      <c r="AI1060">
        <v>90.182225143918203</v>
      </c>
      <c r="AJ1060">
        <v>90.604520397527395</v>
      </c>
      <c r="AK1060">
        <v>129.63975257200099</v>
      </c>
      <c r="AL1060">
        <v>86.288594168532398</v>
      </c>
      <c r="AM1060">
        <v>88.012152208689102</v>
      </c>
      <c r="AN1060">
        <v>0.99999997915090399</v>
      </c>
    </row>
    <row r="1061" spans="1:40" x14ac:dyDescent="0.25">
      <c r="A1061" t="str">
        <f>"20190312153910133"</f>
        <v>20190312153910133</v>
      </c>
      <c r="B1061" t="str">
        <f>"1552376350127308"</f>
        <v>1552376350127308</v>
      </c>
      <c r="C1061" t="s">
        <v>40</v>
      </c>
      <c r="D1061">
        <v>4.0238490000000002</v>
      </c>
      <c r="E1061">
        <v>0.49140990000000001</v>
      </c>
      <c r="F1061" t="s">
        <v>47</v>
      </c>
      <c r="G1061">
        <v>-158.19499999999999</v>
      </c>
      <c r="H1061">
        <v>0.39102779999999998</v>
      </c>
      <c r="I1061">
        <v>367.32600000000002</v>
      </c>
      <c r="J1061">
        <v>-288.13990000000001</v>
      </c>
      <c r="K1061">
        <v>1.060745</v>
      </c>
      <c r="L1061">
        <v>367.80959999999999</v>
      </c>
      <c r="M1061">
        <v>0.99986779999999997</v>
      </c>
      <c r="N1061">
        <v>0</v>
      </c>
      <c r="O1061">
        <v>-5.9587019999999997E-3</v>
      </c>
      <c r="P1061">
        <v>0.99793770000000004</v>
      </c>
      <c r="Q1061">
        <v>4.9807039999999997E-2</v>
      </c>
      <c r="R1061">
        <v>-4.0499069999999998E-2</v>
      </c>
      <c r="S1061">
        <v>3.0065309999999998</v>
      </c>
      <c r="T1061">
        <v>-1.5459540000000001E-2</v>
      </c>
      <c r="U1061">
        <v>-1.119995E-2</v>
      </c>
      <c r="V1061">
        <v>3.4522669999999998E-2</v>
      </c>
      <c r="W1061">
        <v>6.4924629999999997E-2</v>
      </c>
      <c r="X1061">
        <v>0.99729279999999998</v>
      </c>
      <c r="Y1061">
        <v>-2.2341190000000001E-3</v>
      </c>
      <c r="Z1061" s="1">
        <v>3.638638E-5</v>
      </c>
      <c r="AA1061">
        <v>0.99999749999999998</v>
      </c>
      <c r="AB1061">
        <v>27</v>
      </c>
      <c r="AC1061">
        <v>129.94489999999999</v>
      </c>
      <c r="AD1061">
        <v>-0.66971720000000001</v>
      </c>
      <c r="AE1061">
        <v>-0.48360000000002401</v>
      </c>
      <c r="AF1061">
        <v>-0.29079242400234701</v>
      </c>
      <c r="AG1061">
        <v>-0.66971720000000001</v>
      </c>
      <c r="AH1061">
        <v>129.94202298802099</v>
      </c>
      <c r="AI1061">
        <v>90.295297335734702</v>
      </c>
      <c r="AJ1061">
        <v>90.128219881555196</v>
      </c>
      <c r="AK1061">
        <v>129.94407419956201</v>
      </c>
      <c r="AL1061">
        <v>86.277474290519194</v>
      </c>
      <c r="AM1061">
        <v>88.017418977065205</v>
      </c>
      <c r="AN1061">
        <v>0.99999997562820198</v>
      </c>
    </row>
    <row r="1062" spans="1:40" x14ac:dyDescent="0.25">
      <c r="A1062" t="str">
        <f>"20190312153910144"</f>
        <v>20190312153910144</v>
      </c>
      <c r="B1062" t="str">
        <f>"1552376350137068"</f>
        <v>1552376350137068</v>
      </c>
      <c r="C1062" t="s">
        <v>40</v>
      </c>
      <c r="D1062">
        <v>4.0446410000000004</v>
      </c>
      <c r="E1062">
        <v>0.49234709999999998</v>
      </c>
      <c r="F1062" t="s">
        <v>47</v>
      </c>
      <c r="G1062">
        <v>-158.19499999999999</v>
      </c>
      <c r="H1062">
        <v>5.5008170000000002E-2</v>
      </c>
      <c r="I1062">
        <v>365.78429999999997</v>
      </c>
      <c r="J1062">
        <v>-287.99149999999997</v>
      </c>
      <c r="K1062">
        <v>1.060743</v>
      </c>
      <c r="L1062">
        <v>367.80889999999999</v>
      </c>
      <c r="M1062">
        <v>0.9998686</v>
      </c>
      <c r="N1062">
        <v>0</v>
      </c>
      <c r="O1062">
        <v>-5.8144520000000003E-3</v>
      </c>
      <c r="P1062">
        <v>0.99794870000000002</v>
      </c>
      <c r="Q1062">
        <v>4.9793270000000001E-2</v>
      </c>
      <c r="R1062">
        <v>-4.0237780000000001E-2</v>
      </c>
      <c r="S1062">
        <v>3.005493</v>
      </c>
      <c r="T1062">
        <v>-2.3259640000000002E-2</v>
      </c>
      <c r="U1062">
        <v>-4.6844480000000001E-2</v>
      </c>
      <c r="V1062">
        <v>3.4405459999999999E-2</v>
      </c>
      <c r="W1062">
        <v>6.4907960000000001E-2</v>
      </c>
      <c r="X1062">
        <v>0.99729789999999996</v>
      </c>
      <c r="Y1062">
        <v>9.7696039999999994E-3</v>
      </c>
      <c r="Z1062" s="1">
        <v>7.1985119999999899E-6</v>
      </c>
      <c r="AA1062">
        <v>0.99995230000000002</v>
      </c>
      <c r="AB1062">
        <v>27</v>
      </c>
      <c r="AC1062">
        <v>129.79649999999901</v>
      </c>
      <c r="AD1062">
        <v>-1.00573483</v>
      </c>
      <c r="AE1062">
        <v>-2.0246000000000199</v>
      </c>
      <c r="AF1062">
        <v>1.2697076164057299</v>
      </c>
      <c r="AG1062">
        <v>-1.00573483</v>
      </c>
      <c r="AH1062">
        <v>129.798287496466</v>
      </c>
      <c r="AI1062">
        <v>90.443923046316698</v>
      </c>
      <c r="AJ1062">
        <v>89.439541393733904</v>
      </c>
      <c r="AK1062">
        <v>129.808393784819</v>
      </c>
      <c r="AL1062">
        <v>86.278431297836804</v>
      </c>
      <c r="AM1062">
        <v>88.024154909268603</v>
      </c>
      <c r="AN1062">
        <v>0.99999994014678895</v>
      </c>
    </row>
    <row r="1063" spans="1:40" x14ac:dyDescent="0.25">
      <c r="A1063" t="str">
        <f>"20190312153910155"</f>
        <v>20190312153910155</v>
      </c>
      <c r="B1063" t="str">
        <f>"1552376350146828"</f>
        <v>1552376350146828</v>
      </c>
      <c r="C1063" t="s">
        <v>40</v>
      </c>
      <c r="D1063">
        <v>4.060238</v>
      </c>
      <c r="E1063">
        <v>0.49308849999999999</v>
      </c>
      <c r="F1063" t="s">
        <v>43</v>
      </c>
      <c r="G1063">
        <v>-157.26589999999999</v>
      </c>
      <c r="H1063">
        <v>-0.05</v>
      </c>
      <c r="I1063">
        <v>365.48180000000002</v>
      </c>
      <c r="J1063">
        <v>-287.85520000000002</v>
      </c>
      <c r="K1063">
        <v>1.0607420000000001</v>
      </c>
      <c r="L1063">
        <v>367.80829999999997</v>
      </c>
      <c r="M1063">
        <v>0.99986949999999997</v>
      </c>
      <c r="N1063">
        <v>0</v>
      </c>
      <c r="O1063">
        <v>-5.6822419999999997E-3</v>
      </c>
      <c r="P1063">
        <v>0.99795469999999997</v>
      </c>
      <c r="Q1063">
        <v>4.9704409999999997E-2</v>
      </c>
      <c r="R1063">
        <v>-4.020104E-2</v>
      </c>
      <c r="S1063">
        <v>3.0052490000000001</v>
      </c>
      <c r="T1063">
        <v>-2.5534870000000001E-2</v>
      </c>
      <c r="U1063">
        <v>-5.3497309999999999E-2</v>
      </c>
      <c r="V1063">
        <v>3.4500780000000002E-2</v>
      </c>
      <c r="W1063">
        <v>6.4816620000000005E-2</v>
      </c>
      <c r="X1063">
        <v>0.99730059999999998</v>
      </c>
      <c r="Y1063">
        <v>1.211596E-2</v>
      </c>
      <c r="Z1063" s="1">
        <v>-3.1875349999999999E-6</v>
      </c>
      <c r="AA1063">
        <v>0.9999266</v>
      </c>
      <c r="AB1063">
        <v>27</v>
      </c>
      <c r="AC1063">
        <v>130.58930000000001</v>
      </c>
      <c r="AD1063">
        <v>-1.1107419999999999</v>
      </c>
      <c r="AE1063">
        <v>-2.3264999999999501</v>
      </c>
      <c r="AF1063">
        <v>1.5842229870592699</v>
      </c>
      <c r="AG1063">
        <v>-1.1107419999999999</v>
      </c>
      <c r="AH1063">
        <v>130.59096785897299</v>
      </c>
      <c r="AI1063">
        <v>90.4872818783236</v>
      </c>
      <c r="AJ1063">
        <v>89.304968481808203</v>
      </c>
      <c r="AK1063">
        <v>130.60530003260499</v>
      </c>
      <c r="AL1063">
        <v>86.283675932747698</v>
      </c>
      <c r="AM1063">
        <v>88.018690565863594</v>
      </c>
      <c r="AN1063">
        <v>0.99999999240459603</v>
      </c>
    </row>
    <row r="1064" spans="1:40" x14ac:dyDescent="0.25">
      <c r="A1064" t="str">
        <f>"20190312153910170"</f>
        <v>20190312153910170</v>
      </c>
      <c r="B1064" t="str">
        <f>"1552376350167324"</f>
        <v>1552376350167324</v>
      </c>
      <c r="C1064" t="s">
        <v>40</v>
      </c>
      <c r="D1064">
        <v>4.1075679999999997</v>
      </c>
      <c r="E1064">
        <v>0.49400110000000003</v>
      </c>
      <c r="F1064" t="s">
        <v>49</v>
      </c>
      <c r="G1064">
        <v>-179.97649999999999</v>
      </c>
      <c r="H1064">
        <v>7.3482679999999995E-2</v>
      </c>
      <c r="I1064">
        <v>365.6764</v>
      </c>
      <c r="J1064">
        <v>-287.68529999999998</v>
      </c>
      <c r="K1064">
        <v>1.0607409999999999</v>
      </c>
      <c r="L1064">
        <v>367.8075</v>
      </c>
      <c r="M1064">
        <v>0.99987040000000005</v>
      </c>
      <c r="N1064">
        <v>0</v>
      </c>
      <c r="O1064">
        <v>-5.5173669999999996E-3</v>
      </c>
      <c r="P1064">
        <v>0.99795429999999996</v>
      </c>
      <c r="Q1064">
        <v>4.9754279999999998E-2</v>
      </c>
      <c r="R1064">
        <v>-4.0149070000000002E-2</v>
      </c>
      <c r="S1064">
        <v>3.005096</v>
      </c>
      <c r="T1064">
        <v>-2.7501339999999999E-2</v>
      </c>
      <c r="U1064">
        <v>-5.9387210000000003E-2</v>
      </c>
      <c r="V1064">
        <v>3.4613530000000003E-2</v>
      </c>
      <c r="W1064">
        <v>6.4862299999999998E-2</v>
      </c>
      <c r="X1064">
        <v>0.99729369999999995</v>
      </c>
      <c r="Y1064">
        <v>1.424072E-2</v>
      </c>
      <c r="Z1064" s="1">
        <v>-1.4663279999999999E-5</v>
      </c>
      <c r="AA1064">
        <v>0.99989859999999997</v>
      </c>
      <c r="AB1064">
        <v>27</v>
      </c>
      <c r="AC1064">
        <v>107.7088</v>
      </c>
      <c r="AD1064">
        <v>-0.98725832000000002</v>
      </c>
      <c r="AE1064">
        <v>-2.1311</v>
      </c>
      <c r="AF1064">
        <v>1.53660155030095</v>
      </c>
      <c r="AG1064">
        <v>-0.98725832000000002</v>
      </c>
      <c r="AH1064">
        <v>107.709873864402</v>
      </c>
      <c r="AI1064">
        <v>90.525099456062705</v>
      </c>
      <c r="AJ1064">
        <v>89.182667211009502</v>
      </c>
      <c r="AK1064">
        <v>107.72535797666301</v>
      </c>
      <c r="AL1064">
        <v>86.281053056134098</v>
      </c>
      <c r="AM1064">
        <v>88.012207007392107</v>
      </c>
      <c r="AN1064">
        <v>0.99999996924001899</v>
      </c>
    </row>
    <row r="1065" spans="1:40" x14ac:dyDescent="0.25">
      <c r="A1065" t="str">
        <f>"20190312153910187"</f>
        <v>20190312153910187</v>
      </c>
      <c r="B1065" t="str">
        <f>"1552376350177084"</f>
        <v>1552376350177084</v>
      </c>
      <c r="C1065" t="s">
        <v>40</v>
      </c>
      <c r="D1065">
        <v>4.0946550000000004</v>
      </c>
      <c r="E1065">
        <v>0.49434020000000001</v>
      </c>
      <c r="F1065" t="s">
        <v>49</v>
      </c>
      <c r="G1065">
        <v>-183.7671</v>
      </c>
      <c r="H1065" s="1">
        <v>-7.8607099999999998E-6</v>
      </c>
      <c r="I1065">
        <v>365.50779999999997</v>
      </c>
      <c r="J1065">
        <v>-287.4683</v>
      </c>
      <c r="K1065">
        <v>1.0607470000000001</v>
      </c>
      <c r="L1065">
        <v>367.80650000000003</v>
      </c>
      <c r="M1065">
        <v>0.99987159999999997</v>
      </c>
      <c r="N1065">
        <v>0</v>
      </c>
      <c r="O1065">
        <v>-5.3065930000000001E-3</v>
      </c>
      <c r="P1065">
        <v>0.99795290000000003</v>
      </c>
      <c r="Q1065">
        <v>4.9514120000000002E-2</v>
      </c>
      <c r="R1065">
        <v>-4.0477890000000002E-2</v>
      </c>
      <c r="S1065">
        <v>3.0049739999999998</v>
      </c>
      <c r="T1065">
        <v>-3.067338E-2</v>
      </c>
      <c r="U1065">
        <v>-6.6497799999999996E-2</v>
      </c>
      <c r="V1065">
        <v>3.5152969999999999E-2</v>
      </c>
      <c r="W1065">
        <v>6.4617709999999995E-2</v>
      </c>
      <c r="X1065">
        <v>0.99729069999999997</v>
      </c>
      <c r="Y1065">
        <v>1.6817019999999998E-2</v>
      </c>
      <c r="Z1065" s="1">
        <v>-3.1653009999999997E-5</v>
      </c>
      <c r="AA1065">
        <v>0.99985860000000004</v>
      </c>
      <c r="AB1065">
        <v>27</v>
      </c>
      <c r="AC1065">
        <v>103.7012</v>
      </c>
      <c r="AD1065">
        <v>-1.0607548607099999</v>
      </c>
      <c r="AE1065">
        <v>-2.2987000000000499</v>
      </c>
      <c r="AF1065">
        <v>1.7481218293707399</v>
      </c>
      <c r="AG1065">
        <v>-1.0607548607099999</v>
      </c>
      <c r="AH1065">
        <v>103.701094133197</v>
      </c>
      <c r="AI1065">
        <v>90.585972836991104</v>
      </c>
      <c r="AJ1065">
        <v>89.034238569074404</v>
      </c>
      <c r="AK1065">
        <v>103.72125170488</v>
      </c>
      <c r="AL1065">
        <v>86.295096457934406</v>
      </c>
      <c r="AM1065">
        <v>87.981247303215198</v>
      </c>
      <c r="AN1065">
        <v>0.99999996002597602</v>
      </c>
    </row>
    <row r="1066" spans="1:40" x14ac:dyDescent="0.25">
      <c r="A1066" t="str">
        <f>"20190312153910202"</f>
        <v>20190312153910202</v>
      </c>
      <c r="B1066" t="str">
        <f>"1552376350196606"</f>
        <v>1552376350196606</v>
      </c>
      <c r="C1066" t="s">
        <v>40</v>
      </c>
      <c r="D1066">
        <v>4.1167179999999997</v>
      </c>
      <c r="E1066">
        <v>0.49491970000000002</v>
      </c>
      <c r="F1066" t="s">
        <v>49</v>
      </c>
      <c r="G1066">
        <v>-190.07429999999999</v>
      </c>
      <c r="H1066" s="1">
        <v>-5.9477569999999999E-6</v>
      </c>
      <c r="I1066">
        <v>365.54239999999999</v>
      </c>
      <c r="J1066">
        <v>-287.2953</v>
      </c>
      <c r="K1066">
        <v>1.060746</v>
      </c>
      <c r="L1066">
        <v>367.80579999999998</v>
      </c>
      <c r="M1066">
        <v>0.99987239999999999</v>
      </c>
      <c r="N1066">
        <v>0</v>
      </c>
      <c r="O1066">
        <v>-5.1383799999999997E-3</v>
      </c>
      <c r="P1066">
        <v>0.99796189999999996</v>
      </c>
      <c r="Q1066">
        <v>4.9367670000000002E-2</v>
      </c>
      <c r="R1066">
        <v>-4.0433820000000002E-2</v>
      </c>
      <c r="S1066">
        <v>3.0049130000000002</v>
      </c>
      <c r="T1066">
        <v>-3.2727600000000003E-2</v>
      </c>
      <c r="U1066">
        <v>-6.9854739999999999E-2</v>
      </c>
      <c r="V1066">
        <v>3.5276759999999997E-2</v>
      </c>
      <c r="W1066">
        <v>6.4467350000000007E-2</v>
      </c>
      <c r="X1066">
        <v>0.99729610000000002</v>
      </c>
      <c r="Y1066">
        <v>1.8101909999999999E-2</v>
      </c>
      <c r="Z1066" s="1">
        <v>-4.2600859999999903E-5</v>
      </c>
      <c r="AA1066">
        <v>0.99983610000000001</v>
      </c>
      <c r="AB1066">
        <v>27</v>
      </c>
      <c r="AC1066">
        <v>97.221000000000004</v>
      </c>
      <c r="AD1066">
        <v>-1.060751947757</v>
      </c>
      <c r="AE1066">
        <v>-2.2633999999999901</v>
      </c>
      <c r="AF1066">
        <v>1.76354469059198</v>
      </c>
      <c r="AG1066">
        <v>-1.060751947757</v>
      </c>
      <c r="AH1066">
        <v>97.219780615143193</v>
      </c>
      <c r="AI1066">
        <v>90.625018921987404</v>
      </c>
      <c r="AJ1066">
        <v>88.960781577057006</v>
      </c>
      <c r="AK1066">
        <v>97.241560186100202</v>
      </c>
      <c r="AL1066">
        <v>86.303729599979604</v>
      </c>
      <c r="AM1066">
        <v>87.974155206843704</v>
      </c>
      <c r="AN1066">
        <v>1.00000000004366</v>
      </c>
    </row>
    <row r="1067" spans="1:40" x14ac:dyDescent="0.25">
      <c r="A1067" t="str">
        <f>"20190312153910215"</f>
        <v>20190312153910215</v>
      </c>
      <c r="B1067" t="str">
        <f>"1552376350207340"</f>
        <v>1552376350207340</v>
      </c>
      <c r="C1067" t="s">
        <v>40</v>
      </c>
      <c r="D1067">
        <v>4.1361569999999999</v>
      </c>
      <c r="E1067">
        <v>0.49514279999999999</v>
      </c>
      <c r="F1067" t="s">
        <v>49</v>
      </c>
      <c r="G1067">
        <v>-198.46940000000001</v>
      </c>
      <c r="H1067" s="1">
        <v>-8.9410529999999996E-6</v>
      </c>
      <c r="I1067">
        <v>365.6046</v>
      </c>
      <c r="J1067">
        <v>-287.13679999999999</v>
      </c>
      <c r="K1067">
        <v>1.0607439999999999</v>
      </c>
      <c r="L1067">
        <v>367.80509999999998</v>
      </c>
      <c r="M1067">
        <v>0.99987340000000002</v>
      </c>
      <c r="N1067">
        <v>0</v>
      </c>
      <c r="O1067">
        <v>-4.9841180000000001E-3</v>
      </c>
      <c r="P1067">
        <v>0.99795409999999996</v>
      </c>
      <c r="Q1067">
        <v>4.9374269999999998E-2</v>
      </c>
      <c r="R1067">
        <v>-4.0616819999999998E-2</v>
      </c>
      <c r="S1067">
        <v>3.004883</v>
      </c>
      <c r="T1067">
        <v>-3.5884140000000002E-2</v>
      </c>
      <c r="U1067">
        <v>-7.4462890000000004E-2</v>
      </c>
      <c r="V1067">
        <v>3.5614189999999997E-2</v>
      </c>
      <c r="W1067">
        <v>6.4470189999999997E-2</v>
      </c>
      <c r="X1067">
        <v>0.9972839</v>
      </c>
      <c r="Y1067">
        <v>1.9788509999999999E-2</v>
      </c>
      <c r="Z1067" s="1">
        <v>-5.8619809999999998E-5</v>
      </c>
      <c r="AA1067">
        <v>0.99980420000000003</v>
      </c>
      <c r="AB1067">
        <v>27</v>
      </c>
      <c r="AC1067">
        <v>88.667399999999901</v>
      </c>
      <c r="AD1067">
        <v>-1.0607529410529899</v>
      </c>
      <c r="AE1067">
        <v>-2.2004999999999701</v>
      </c>
      <c r="AF1067">
        <v>1.75824192841795</v>
      </c>
      <c r="AG1067">
        <v>-1.0607529410529899</v>
      </c>
      <c r="AH1067">
        <v>88.664585362209493</v>
      </c>
      <c r="AI1067">
        <v>90.685299799663696</v>
      </c>
      <c r="AJ1067">
        <v>88.863958596204597</v>
      </c>
      <c r="AK1067">
        <v>88.688360617013004</v>
      </c>
      <c r="AL1067">
        <v>86.303566453844596</v>
      </c>
      <c r="AM1067">
        <v>87.9547689340761</v>
      </c>
      <c r="AN1067">
        <v>0.99999997656359996</v>
      </c>
    </row>
    <row r="1068" spans="1:40" x14ac:dyDescent="0.25">
      <c r="A1068" t="str">
        <f>"20190312153910232"</f>
        <v>20190312153910232</v>
      </c>
      <c r="B1068" t="str">
        <f>"1552376350226860"</f>
        <v>1552376350226860</v>
      </c>
      <c r="C1068" t="s">
        <v>40</v>
      </c>
      <c r="D1068">
        <v>4.1611500000000001</v>
      </c>
      <c r="E1068">
        <v>0.49553700000000001</v>
      </c>
      <c r="F1068" t="s">
        <v>49</v>
      </c>
      <c r="G1068">
        <v>-199.38730000000001</v>
      </c>
      <c r="H1068" s="1">
        <v>-9.2805310000000001E-6</v>
      </c>
      <c r="I1068">
        <v>365.56470000000002</v>
      </c>
      <c r="J1068">
        <v>-286.93200000000002</v>
      </c>
      <c r="K1068">
        <v>1.060743</v>
      </c>
      <c r="L1068">
        <v>367.80439999999999</v>
      </c>
      <c r="M1068">
        <v>0.99987440000000005</v>
      </c>
      <c r="N1068">
        <v>0</v>
      </c>
      <c r="O1068">
        <v>-4.7847879999999999E-3</v>
      </c>
      <c r="P1068">
        <v>0.99795060000000002</v>
      </c>
      <c r="Q1068">
        <v>4.9149970000000001E-2</v>
      </c>
      <c r="R1068">
        <v>-4.0974679999999999E-2</v>
      </c>
      <c r="S1068">
        <v>3.0048219999999999</v>
      </c>
      <c r="T1068">
        <v>-3.6323550000000003E-2</v>
      </c>
      <c r="U1068">
        <v>-7.6721189999999995E-2</v>
      </c>
      <c r="V1068">
        <v>3.6171010000000003E-2</v>
      </c>
      <c r="W1068">
        <v>6.4241789999999993E-2</v>
      </c>
      <c r="X1068">
        <v>0.99727860000000002</v>
      </c>
      <c r="Y1068">
        <v>2.073914E-2</v>
      </c>
      <c r="Z1068" s="1">
        <v>-6.7492189999999997E-5</v>
      </c>
      <c r="AA1068">
        <v>0.99978489999999998</v>
      </c>
      <c r="AB1068">
        <v>27</v>
      </c>
      <c r="AC1068">
        <v>87.544700000000006</v>
      </c>
      <c r="AD1068">
        <v>-1.0607522805309999</v>
      </c>
      <c r="AE1068">
        <v>-2.2396999999999698</v>
      </c>
      <c r="AF1068">
        <v>1.8204766072343499</v>
      </c>
      <c r="AG1068">
        <v>-1.0607522805309999</v>
      </c>
      <c r="AH1068">
        <v>87.541571401616693</v>
      </c>
      <c r="AI1068">
        <v>90.694076176154795</v>
      </c>
      <c r="AJ1068">
        <v>88.808673494473894</v>
      </c>
      <c r="AK1068">
        <v>87.566923286949503</v>
      </c>
      <c r="AL1068">
        <v>86.316679999027002</v>
      </c>
      <c r="AM1068">
        <v>87.922808964245704</v>
      </c>
      <c r="AN1068">
        <v>0.99999997778239103</v>
      </c>
    </row>
    <row r="1069" spans="1:40" x14ac:dyDescent="0.25">
      <c r="A1069" t="str">
        <f>"20190312153910244"</f>
        <v>20190312153910244</v>
      </c>
      <c r="B1069" t="str">
        <f>"1552376350236621"</f>
        <v>1552376350236621</v>
      </c>
      <c r="C1069" t="s">
        <v>40</v>
      </c>
      <c r="D1069">
        <v>4.158074</v>
      </c>
      <c r="E1069">
        <v>0.49571080000000001</v>
      </c>
      <c r="F1069" t="s">
        <v>49</v>
      </c>
      <c r="G1069">
        <v>-205.87970000000001</v>
      </c>
      <c r="H1069" s="1">
        <v>-4.2501259999999996E-6</v>
      </c>
      <c r="I1069">
        <v>365.62290000000002</v>
      </c>
      <c r="J1069">
        <v>-286.78590000000003</v>
      </c>
      <c r="K1069">
        <v>1.0607340000000001</v>
      </c>
      <c r="L1069">
        <v>367.80380000000002</v>
      </c>
      <c r="M1069">
        <v>0.99987530000000002</v>
      </c>
      <c r="N1069">
        <v>0</v>
      </c>
      <c r="O1069">
        <v>-4.6429210000000004E-3</v>
      </c>
      <c r="P1069">
        <v>0.99794870000000002</v>
      </c>
      <c r="Q1069">
        <v>4.9110000000000001E-2</v>
      </c>
      <c r="R1069">
        <v>-4.1073739999999997E-2</v>
      </c>
      <c r="S1069">
        <v>3.004791</v>
      </c>
      <c r="T1069">
        <v>-3.9324280000000003E-2</v>
      </c>
      <c r="U1069">
        <v>-8.0871579999999998E-2</v>
      </c>
      <c r="V1069">
        <v>3.6411840000000001E-2</v>
      </c>
      <c r="W1069">
        <v>6.4198019999999995E-2</v>
      </c>
      <c r="X1069">
        <v>0.99727270000000001</v>
      </c>
      <c r="Y1069">
        <v>2.22609E-2</v>
      </c>
      <c r="Z1069" s="1">
        <v>-8.4878769999999996E-5</v>
      </c>
      <c r="AA1069">
        <v>0.99975219999999998</v>
      </c>
      <c r="AB1069">
        <v>27</v>
      </c>
      <c r="AC1069">
        <v>80.906199999999998</v>
      </c>
      <c r="AD1069">
        <v>-1.0607382501260001</v>
      </c>
      <c r="AE1069">
        <v>-2.1808999999999998</v>
      </c>
      <c r="AF1069">
        <v>1.8048825773417301</v>
      </c>
      <c r="AG1069">
        <v>-1.0607382501260001</v>
      </c>
      <c r="AH1069">
        <v>80.901558517277905</v>
      </c>
      <c r="AI1069">
        <v>90.751001925137103</v>
      </c>
      <c r="AJ1069">
        <v>88.7219652564509</v>
      </c>
      <c r="AK1069">
        <v>80.928641019590998</v>
      </c>
      <c r="AL1069">
        <v>86.319193189528804</v>
      </c>
      <c r="AM1069">
        <v>87.9089787067619</v>
      </c>
      <c r="AN1069">
        <v>1.0000000230146899</v>
      </c>
    </row>
    <row r="1070" spans="1:40" x14ac:dyDescent="0.25">
      <c r="A1070" t="str">
        <f>"20190312153910256"</f>
        <v>20190312153910256</v>
      </c>
      <c r="B1070" t="str">
        <f>"1552376350247356"</f>
        <v>1552376350247356</v>
      </c>
      <c r="C1070" t="s">
        <v>40</v>
      </c>
      <c r="D1070">
        <v>4.156358</v>
      </c>
      <c r="E1070">
        <v>0.49581520000000001</v>
      </c>
      <c r="F1070" t="s">
        <v>49</v>
      </c>
      <c r="G1070">
        <v>-207.5154</v>
      </c>
      <c r="H1070" s="1">
        <v>-5.0090699999999996E-6</v>
      </c>
      <c r="I1070">
        <v>365.63650000000001</v>
      </c>
      <c r="J1070">
        <v>-286.64</v>
      </c>
      <c r="K1070">
        <v>1.060735</v>
      </c>
      <c r="L1070">
        <v>367.80329999999998</v>
      </c>
      <c r="M1070">
        <v>0.99987579999999998</v>
      </c>
      <c r="N1070">
        <v>0</v>
      </c>
      <c r="O1070">
        <v>-4.5008139999999997E-3</v>
      </c>
      <c r="P1070">
        <v>0.99795990000000001</v>
      </c>
      <c r="Q1070">
        <v>4.8970039999999999E-2</v>
      </c>
      <c r="R1070">
        <v>-4.0966000000000002E-2</v>
      </c>
      <c r="S1070">
        <v>3.0047609999999998</v>
      </c>
      <c r="T1070">
        <v>-4.0207510000000002E-2</v>
      </c>
      <c r="U1070">
        <v>-8.2153320000000002E-2</v>
      </c>
      <c r="V1070">
        <v>3.6446050000000001E-2</v>
      </c>
      <c r="W1070">
        <v>6.4055260000000003E-2</v>
      </c>
      <c r="X1070">
        <v>0.99728059999999996</v>
      </c>
      <c r="Y1070">
        <v>2.282928E-2</v>
      </c>
      <c r="Z1070" s="1">
        <v>-9.2488519999999995E-5</v>
      </c>
      <c r="AA1070">
        <v>0.9997393</v>
      </c>
      <c r="AB1070">
        <v>27</v>
      </c>
      <c r="AC1070">
        <v>79.124599999999901</v>
      </c>
      <c r="AD1070">
        <v>-1.0607400090700001</v>
      </c>
      <c r="AE1070">
        <v>-2.1667999999999599</v>
      </c>
      <c r="AF1070">
        <v>1.8102872129504799</v>
      </c>
      <c r="AG1070">
        <v>-1.0607400090700001</v>
      </c>
      <c r="AH1070">
        <v>79.119343241190705</v>
      </c>
      <c r="AI1070">
        <v>90.767908108922299</v>
      </c>
      <c r="AJ1070">
        <v>88.689274727931405</v>
      </c>
      <c r="AK1070">
        <v>79.147159039838996</v>
      </c>
      <c r="AL1070">
        <v>86.327389494620405</v>
      </c>
      <c r="AM1070">
        <v>87.907032441767399</v>
      </c>
      <c r="AN1070">
        <v>0.99999999301531495</v>
      </c>
    </row>
    <row r="1071" spans="1:40" x14ac:dyDescent="0.25">
      <c r="A1071" t="str">
        <f>"20190312153910268"</f>
        <v>20190312153910268</v>
      </c>
      <c r="B1071" t="str">
        <f>"1552376350257116"</f>
        <v>1552376350257116</v>
      </c>
      <c r="C1071" t="s">
        <v>40</v>
      </c>
      <c r="D1071">
        <v>4.1574260000000001</v>
      </c>
      <c r="E1071">
        <v>0.495921</v>
      </c>
      <c r="F1071" t="s">
        <v>49</v>
      </c>
      <c r="G1071">
        <v>-208.5909</v>
      </c>
      <c r="H1071" s="1">
        <v>-5.4333320000000002E-6</v>
      </c>
      <c r="I1071">
        <v>365.64710000000002</v>
      </c>
      <c r="J1071">
        <v>-286.49110000000002</v>
      </c>
      <c r="K1071">
        <v>1.0607359999999999</v>
      </c>
      <c r="L1071">
        <v>367.80279999999999</v>
      </c>
      <c r="M1071">
        <v>0.99987649999999995</v>
      </c>
      <c r="N1071">
        <v>0</v>
      </c>
      <c r="O1071">
        <v>-4.355846E-3</v>
      </c>
      <c r="P1071">
        <v>0.99795990000000001</v>
      </c>
      <c r="Q1071">
        <v>4.8872600000000002E-2</v>
      </c>
      <c r="R1071">
        <v>-4.1079240000000003E-2</v>
      </c>
      <c r="S1071">
        <v>3.0047299999999999</v>
      </c>
      <c r="T1071">
        <v>-4.0836329999999997E-2</v>
      </c>
      <c r="U1071">
        <v>-8.3007810000000001E-2</v>
      </c>
      <c r="V1071">
        <v>3.6704309999999997E-2</v>
      </c>
      <c r="W1071">
        <v>6.3954380000000005E-2</v>
      </c>
      <c r="X1071">
        <v>0.99727759999999999</v>
      </c>
      <c r="Y1071">
        <v>2.325849E-2</v>
      </c>
      <c r="Z1071" s="1">
        <v>-9.8821340000000005E-5</v>
      </c>
      <c r="AA1071">
        <v>0.99972950000000005</v>
      </c>
      <c r="AB1071">
        <v>27</v>
      </c>
      <c r="AC1071">
        <v>77.900199999999998</v>
      </c>
      <c r="AD1071">
        <v>-1.060741433332</v>
      </c>
      <c r="AE1071">
        <v>-2.15569999999996</v>
      </c>
      <c r="AF1071">
        <v>1.8159831284441701</v>
      </c>
      <c r="AG1071">
        <v>-1.060741433332</v>
      </c>
      <c r="AH1071">
        <v>77.8944201356191</v>
      </c>
      <c r="AI1071">
        <v>90.779975565398502</v>
      </c>
      <c r="AJ1071">
        <v>88.664482971475195</v>
      </c>
      <c r="AK1071">
        <v>77.922805746299503</v>
      </c>
      <c r="AL1071">
        <v>86.333181358568595</v>
      </c>
      <c r="AM1071">
        <v>87.892208480119905</v>
      </c>
      <c r="AN1071">
        <v>0.99999999027775999</v>
      </c>
    </row>
    <row r="1072" spans="1:40" x14ac:dyDescent="0.25">
      <c r="A1072" t="str">
        <f>"20190312153910281"</f>
        <v>20190312153910281</v>
      </c>
      <c r="B1072" t="str">
        <f>"1552376350276636"</f>
        <v>1552376350276636</v>
      </c>
      <c r="C1072" t="s">
        <v>40</v>
      </c>
      <c r="D1072">
        <v>4.1826280000000002</v>
      </c>
      <c r="E1072">
        <v>0.49614570000000002</v>
      </c>
      <c r="F1072" t="s">
        <v>42</v>
      </c>
      <c r="G1072">
        <v>-210.20419999999999</v>
      </c>
      <c r="H1072" s="1">
        <v>-4.8854470000000001E-6</v>
      </c>
      <c r="I1072">
        <v>365.66579999999999</v>
      </c>
      <c r="J1072">
        <v>-286.34010000000001</v>
      </c>
      <c r="K1072">
        <v>1.0607439999999999</v>
      </c>
      <c r="L1072">
        <v>367.80220000000003</v>
      </c>
      <c r="M1072">
        <v>0.99987720000000002</v>
      </c>
      <c r="N1072">
        <v>0</v>
      </c>
      <c r="O1072">
        <v>-4.2090900000000004E-3</v>
      </c>
      <c r="P1072">
        <v>0.99796039999999997</v>
      </c>
      <c r="Q1072">
        <v>4.890129E-2</v>
      </c>
      <c r="R1072">
        <v>-4.103909E-2</v>
      </c>
      <c r="S1072">
        <v>3.0047299999999999</v>
      </c>
      <c r="T1072">
        <v>-4.177964E-2</v>
      </c>
      <c r="U1072">
        <v>-8.4167480000000003E-2</v>
      </c>
      <c r="V1072">
        <v>3.6810349999999999E-2</v>
      </c>
      <c r="W1072">
        <v>6.3979599999999998E-2</v>
      </c>
      <c r="X1072">
        <v>0.99727209999999999</v>
      </c>
      <c r="Y1072">
        <v>2.3790619999999998E-2</v>
      </c>
      <c r="Z1072">
        <v>-1.0684220000000001E-4</v>
      </c>
      <c r="AA1072">
        <v>0.99971690000000002</v>
      </c>
      <c r="AB1072">
        <v>27</v>
      </c>
      <c r="AC1072">
        <v>76.135900000000007</v>
      </c>
      <c r="AD1072">
        <v>-1.060748885447</v>
      </c>
      <c r="AE1072">
        <v>-2.1364000000000298</v>
      </c>
      <c r="AF1072">
        <v>1.81552956384964</v>
      </c>
      <c r="AG1072">
        <v>-1.060748885447</v>
      </c>
      <c r="AH1072">
        <v>76.129452935905903</v>
      </c>
      <c r="AI1072">
        <v>90.798051575453002</v>
      </c>
      <c r="AJ1072">
        <v>88.6338734307202</v>
      </c>
      <c r="AK1072">
        <v>76.158485673728407</v>
      </c>
      <c r="AL1072">
        <v>86.331733489027798</v>
      </c>
      <c r="AM1072">
        <v>87.886112867631198</v>
      </c>
      <c r="AN1072">
        <v>1.00000001626084</v>
      </c>
    </row>
    <row r="1073" spans="1:40" x14ac:dyDescent="0.25">
      <c r="A1073" t="str">
        <f>"20190312153910294"</f>
        <v>20190312153910294</v>
      </c>
      <c r="B1073" t="str">
        <f>"1552376350287372"</f>
        <v>1552376350287372</v>
      </c>
      <c r="C1073" t="s">
        <v>40</v>
      </c>
      <c r="D1073">
        <v>4.2368629999999996</v>
      </c>
      <c r="E1073">
        <v>0.49624390000000002</v>
      </c>
      <c r="F1073" t="s">
        <v>42</v>
      </c>
      <c r="G1073">
        <v>-212.26089999999999</v>
      </c>
      <c r="H1073" s="1">
        <v>-3.9982780000000001E-6</v>
      </c>
      <c r="I1073">
        <v>365.69330000000002</v>
      </c>
      <c r="J1073">
        <v>-286.19130000000001</v>
      </c>
      <c r="K1073">
        <v>1.060745</v>
      </c>
      <c r="L1073">
        <v>367.80180000000001</v>
      </c>
      <c r="M1073">
        <v>0.99987789999999999</v>
      </c>
      <c r="N1073">
        <v>0</v>
      </c>
      <c r="O1073">
        <v>-4.064715E-3</v>
      </c>
      <c r="P1073">
        <v>0.99795560000000005</v>
      </c>
      <c r="Q1073">
        <v>4.9020279999999999E-2</v>
      </c>
      <c r="R1073">
        <v>-4.1015910000000003E-2</v>
      </c>
      <c r="S1073">
        <v>3.0047000000000001</v>
      </c>
      <c r="T1073">
        <v>-4.302454E-2</v>
      </c>
      <c r="U1073">
        <v>-8.5540770000000002E-2</v>
      </c>
      <c r="V1073">
        <v>3.6931190000000003E-2</v>
      </c>
      <c r="W1073">
        <v>6.4095230000000003E-2</v>
      </c>
      <c r="X1073">
        <v>0.99726020000000004</v>
      </c>
      <c r="Y1073">
        <v>2.4391619999999999E-2</v>
      </c>
      <c r="Z1073">
        <v>-1.163946E-4</v>
      </c>
      <c r="AA1073">
        <v>0.99970250000000005</v>
      </c>
      <c r="AB1073">
        <v>27</v>
      </c>
      <c r="AC1073">
        <v>73.930400000000006</v>
      </c>
      <c r="AD1073">
        <v>-1.0607489982780001</v>
      </c>
      <c r="AE1073">
        <v>-2.10849999999999</v>
      </c>
      <c r="AF1073">
        <v>1.8075705487881599</v>
      </c>
      <c r="AG1073">
        <v>-1.0607489982780001</v>
      </c>
      <c r="AH1073">
        <v>73.923154846074198</v>
      </c>
      <c r="AI1073">
        <v>90.821854975254794</v>
      </c>
      <c r="AJ1073">
        <v>88.599281504527696</v>
      </c>
      <c r="AK1073">
        <v>73.952858782624901</v>
      </c>
      <c r="AL1073">
        <v>86.325094725055195</v>
      </c>
      <c r="AM1073">
        <v>87.879154499884805</v>
      </c>
      <c r="AN1073">
        <v>1.0000000089037999</v>
      </c>
    </row>
    <row r="1074" spans="1:40" x14ac:dyDescent="0.25">
      <c r="A1074" t="str">
        <f>"20190312153910305"</f>
        <v>20190312153910305</v>
      </c>
      <c r="B1074" t="str">
        <f>"1552376350297133"</f>
        <v>1552376350297133</v>
      </c>
      <c r="C1074" t="s">
        <v>40</v>
      </c>
      <c r="D1074">
        <v>4.173648</v>
      </c>
      <c r="E1074">
        <v>0.49639450000000002</v>
      </c>
      <c r="F1074" t="s">
        <v>42</v>
      </c>
      <c r="G1074">
        <v>-211.8073</v>
      </c>
      <c r="H1074" s="1">
        <v>-4.1986750000000001E-6</v>
      </c>
      <c r="I1074">
        <v>365.66070000000002</v>
      </c>
      <c r="J1074">
        <v>-286.05180000000001</v>
      </c>
      <c r="K1074">
        <v>1.060745</v>
      </c>
      <c r="L1074">
        <v>367.8014</v>
      </c>
      <c r="M1074">
        <v>0.9998785</v>
      </c>
      <c r="N1074">
        <v>0</v>
      </c>
      <c r="O1074">
        <v>-3.9294009999999999E-3</v>
      </c>
      <c r="P1074">
        <v>0.99795420000000001</v>
      </c>
      <c r="Q1074">
        <v>4.9189429999999999E-2</v>
      </c>
      <c r="R1074">
        <v>-4.0841820000000001E-2</v>
      </c>
      <c r="S1074">
        <v>3.0046689999999998</v>
      </c>
      <c r="T1074">
        <v>-4.2847870000000003E-2</v>
      </c>
      <c r="U1074">
        <v>-8.6486820000000006E-2</v>
      </c>
      <c r="V1074">
        <v>3.6892359999999999E-2</v>
      </c>
      <c r="W1074">
        <v>6.4260830000000005E-2</v>
      </c>
      <c r="X1074">
        <v>0.997251</v>
      </c>
      <c r="Y1074">
        <v>2.4841660000000002E-2</v>
      </c>
      <c r="Z1074">
        <v>-1.210547E-4</v>
      </c>
      <c r="AA1074">
        <v>0.99969140000000001</v>
      </c>
      <c r="AB1074">
        <v>27</v>
      </c>
      <c r="AC1074">
        <v>74.244500000000002</v>
      </c>
      <c r="AD1074">
        <v>-1.0607491986749999</v>
      </c>
      <c r="AE1074">
        <v>-2.1406999999999798</v>
      </c>
      <c r="AF1074">
        <v>1.8485368402519999</v>
      </c>
      <c r="AG1074">
        <v>-1.0607491986749999</v>
      </c>
      <c r="AH1074">
        <v>74.237198215209403</v>
      </c>
      <c r="AI1074">
        <v>90.818369887262605</v>
      </c>
      <c r="AJ1074">
        <v>88.573606223460004</v>
      </c>
      <c r="AK1074">
        <v>74.267784914837407</v>
      </c>
      <c r="AL1074">
        <v>86.315587016641501</v>
      </c>
      <c r="AM1074">
        <v>87.881362827934893</v>
      </c>
      <c r="AN1074">
        <v>1.0000000287498201</v>
      </c>
    </row>
    <row r="1075" spans="1:40" x14ac:dyDescent="0.25">
      <c r="A1075" t="str">
        <f>"20190312153910321"</f>
        <v>20190312153910321</v>
      </c>
      <c r="B1075" t="str">
        <f>"1552376350316653"</f>
        <v>1552376350316653</v>
      </c>
      <c r="C1075" t="s">
        <v>40</v>
      </c>
      <c r="D1075">
        <v>4.1794409999999997</v>
      </c>
      <c r="E1075">
        <v>0.4970598</v>
      </c>
      <c r="F1075" t="s">
        <v>42</v>
      </c>
      <c r="G1075">
        <v>-212.41390000000001</v>
      </c>
      <c r="H1075" s="1">
        <v>-3.9373149999999998E-6</v>
      </c>
      <c r="I1075">
        <v>365.6669</v>
      </c>
      <c r="J1075">
        <v>-285.86219999999997</v>
      </c>
      <c r="K1075">
        <v>1.06074</v>
      </c>
      <c r="L1075">
        <v>367.80079999999998</v>
      </c>
      <c r="M1075">
        <v>0.99987919999999997</v>
      </c>
      <c r="N1075">
        <v>0</v>
      </c>
      <c r="O1075">
        <v>-3.7454459999999999E-3</v>
      </c>
      <c r="P1075">
        <v>0.99798070000000005</v>
      </c>
      <c r="Q1075">
        <v>4.90407E-2</v>
      </c>
      <c r="R1075">
        <v>-4.0367449999999999E-2</v>
      </c>
      <c r="S1075">
        <v>3.0047299999999999</v>
      </c>
      <c r="T1075">
        <v>-4.3282870000000001E-2</v>
      </c>
      <c r="U1075">
        <v>-8.7097170000000002E-2</v>
      </c>
      <c r="V1075">
        <v>3.6601849999999998E-2</v>
      </c>
      <c r="W1075">
        <v>6.4108070000000003E-2</v>
      </c>
      <c r="X1075">
        <v>0.99727149999999998</v>
      </c>
      <c r="Y1075">
        <v>2.522779E-2</v>
      </c>
      <c r="Z1075">
        <v>-1.2771049999999999E-4</v>
      </c>
      <c r="AA1075">
        <v>0.99968170000000001</v>
      </c>
      <c r="AB1075">
        <v>27</v>
      </c>
      <c r="AC1075">
        <v>73.448299999999904</v>
      </c>
      <c r="AD1075">
        <v>-1.0607439373150001</v>
      </c>
      <c r="AE1075">
        <v>-2.1338999999999801</v>
      </c>
      <c r="AF1075">
        <v>1.85836980364952</v>
      </c>
      <c r="AG1075">
        <v>-1.0607439373150001</v>
      </c>
      <c r="AH1075">
        <v>73.440473253015597</v>
      </c>
      <c r="AI1075">
        <v>90.827234326543902</v>
      </c>
      <c r="AJ1075">
        <v>88.550471908289694</v>
      </c>
      <c r="AK1075">
        <v>73.471639614578905</v>
      </c>
      <c r="AL1075">
        <v>86.324357470329105</v>
      </c>
      <c r="AM1075">
        <v>87.898074245228202</v>
      </c>
      <c r="AN1075">
        <v>0.99999999238739801</v>
      </c>
    </row>
    <row r="1076" spans="1:40" x14ac:dyDescent="0.25">
      <c r="A1076" t="str">
        <f>"20190312153910333"</f>
        <v>20190312153910333</v>
      </c>
      <c r="B1076" t="str">
        <f>"1552376350327389"</f>
        <v>1552376350327389</v>
      </c>
      <c r="C1076" t="s">
        <v>40</v>
      </c>
      <c r="D1076">
        <v>4.2282209999999996</v>
      </c>
      <c r="E1076">
        <v>0.4970598</v>
      </c>
      <c r="F1076" t="s">
        <v>42</v>
      </c>
      <c r="G1076">
        <v>-214.61</v>
      </c>
      <c r="H1076" s="1">
        <v>-2.9985830000000001E-6</v>
      </c>
      <c r="I1076">
        <v>365.64769999999999</v>
      </c>
      <c r="J1076">
        <v>-285.72089999999997</v>
      </c>
      <c r="K1076">
        <v>1.0607390000000001</v>
      </c>
      <c r="L1076">
        <v>367.80040000000002</v>
      </c>
      <c r="M1076">
        <v>0.99987979999999999</v>
      </c>
      <c r="N1076">
        <v>0</v>
      </c>
      <c r="O1076">
        <v>-3.6079900000000002E-3</v>
      </c>
      <c r="P1076">
        <v>0.99798140000000002</v>
      </c>
      <c r="Q1076">
        <v>4.9060449999999999E-2</v>
      </c>
      <c r="R1076">
        <v>-4.0327950000000001E-2</v>
      </c>
      <c r="S1076">
        <v>3.004578</v>
      </c>
      <c r="T1076">
        <v>-4.472959E-2</v>
      </c>
      <c r="U1076">
        <v>-9.0789789999999995E-2</v>
      </c>
      <c r="V1076">
        <v>3.6699370000000002E-2</v>
      </c>
      <c r="W1076">
        <v>6.4124260000000002E-2</v>
      </c>
      <c r="X1076">
        <v>0.99726689999999996</v>
      </c>
      <c r="Y1076">
        <v>2.659388E-2</v>
      </c>
      <c r="Z1076">
        <v>-1.4419459999999901E-4</v>
      </c>
      <c r="AA1076">
        <v>0.99964629999999999</v>
      </c>
      <c r="AB1076">
        <v>27</v>
      </c>
      <c r="AC1076">
        <v>71.110899999999901</v>
      </c>
      <c r="AD1076">
        <v>-1.06074199858299</v>
      </c>
      <c r="AE1076">
        <v>-2.15270000000003</v>
      </c>
      <c r="AF1076">
        <v>1.8956679800121401</v>
      </c>
      <c r="AG1076">
        <v>-1.06074199858299</v>
      </c>
      <c r="AH1076">
        <v>71.102398426547097</v>
      </c>
      <c r="AI1076">
        <v>90.854400820252195</v>
      </c>
      <c r="AJ1076">
        <v>88.472793418354101</v>
      </c>
      <c r="AK1076">
        <v>71.135573327874695</v>
      </c>
      <c r="AL1076">
        <v>86.323428030280596</v>
      </c>
      <c r="AM1076">
        <v>87.892469318303796</v>
      </c>
      <c r="AN1076">
        <v>1.00000001715727</v>
      </c>
    </row>
    <row r="1077" spans="1:40" x14ac:dyDescent="0.25">
      <c r="A1077" t="str">
        <f>"20190312153910344"</f>
        <v>20190312153910344</v>
      </c>
      <c r="B1077" t="str">
        <f>"1552376350337149"</f>
        <v>1552376350337149</v>
      </c>
      <c r="C1077" t="s">
        <v>40</v>
      </c>
      <c r="D1077">
        <v>3.9445009999999998</v>
      </c>
      <c r="E1077">
        <v>0.50565509999999902</v>
      </c>
      <c r="F1077" t="s">
        <v>42</v>
      </c>
      <c r="G1077">
        <v>-214.38319999999999</v>
      </c>
      <c r="H1077" s="1">
        <v>-3.096794E-6</v>
      </c>
      <c r="I1077">
        <v>365.64260000000002</v>
      </c>
      <c r="J1077">
        <v>-285.58819999999997</v>
      </c>
      <c r="K1077">
        <v>1.060737</v>
      </c>
      <c r="L1077">
        <v>367.80009999999999</v>
      </c>
      <c r="M1077">
        <v>0.9998802</v>
      </c>
      <c r="N1077">
        <v>0</v>
      </c>
      <c r="O1077">
        <v>-3.4785229999999999E-3</v>
      </c>
      <c r="P1077">
        <v>0.9979962</v>
      </c>
      <c r="Q1077">
        <v>4.9030560000000001E-2</v>
      </c>
      <c r="R1077">
        <v>-3.9999109999999997E-2</v>
      </c>
      <c r="S1077">
        <v>3.0046080000000002</v>
      </c>
      <c r="T1077">
        <v>-4.4676420000000001E-2</v>
      </c>
      <c r="U1077">
        <v>-9.088135E-2</v>
      </c>
      <c r="V1077">
        <v>3.6499780000000003E-2</v>
      </c>
      <c r="W1077">
        <v>6.4091899999999993E-2</v>
      </c>
      <c r="X1077">
        <v>0.9972763</v>
      </c>
      <c r="Y1077">
        <v>2.675342E-2</v>
      </c>
      <c r="Z1077">
        <v>-1.471322E-4</v>
      </c>
      <c r="AA1077">
        <v>0.99964209999999998</v>
      </c>
      <c r="AB1077">
        <v>27</v>
      </c>
      <c r="AC1077">
        <v>71.204999999999899</v>
      </c>
      <c r="AD1077">
        <v>-1.0607400967939999</v>
      </c>
      <c r="AE1077">
        <v>-2.15749999999997</v>
      </c>
      <c r="AF1077">
        <v>1.9093472020079301</v>
      </c>
      <c r="AG1077">
        <v>-1.0607400967939999</v>
      </c>
      <c r="AH1077">
        <v>71.196289465054505</v>
      </c>
      <c r="AI1077">
        <v>90.853269126638594</v>
      </c>
      <c r="AJ1077">
        <v>88.463805882718503</v>
      </c>
      <c r="AK1077">
        <v>71.229785973864793</v>
      </c>
      <c r="AL1077">
        <v>86.325285924729798</v>
      </c>
      <c r="AM1077">
        <v>87.903940638784405</v>
      </c>
      <c r="AN1077">
        <v>1.0000000120636701</v>
      </c>
    </row>
    <row r="1078" spans="1:40" x14ac:dyDescent="0.25">
      <c r="A1078" t="str">
        <f>"20190312153910356"</f>
        <v>20190312153910356</v>
      </c>
      <c r="B1078" t="str">
        <f>"1552376350346908"</f>
        <v>1552376350346908</v>
      </c>
      <c r="C1078" t="s">
        <v>40</v>
      </c>
      <c r="D1078">
        <v>2.7921040000000001</v>
      </c>
      <c r="E1078">
        <v>0.50565509999999902</v>
      </c>
      <c r="F1078" t="s">
        <v>41</v>
      </c>
      <c r="G1078">
        <v>-284.72410000000002</v>
      </c>
      <c r="H1078">
        <v>0.95066439999999997</v>
      </c>
      <c r="I1078">
        <v>367.75779999999997</v>
      </c>
      <c r="J1078">
        <v>-285.44119999999998</v>
      </c>
      <c r="K1078">
        <v>1.0607359999999999</v>
      </c>
      <c r="L1078">
        <v>367.79969999999997</v>
      </c>
      <c r="M1078">
        <v>0.99988089999999996</v>
      </c>
      <c r="N1078">
        <v>0</v>
      </c>
      <c r="O1078">
        <v>-3.3353480000000001E-3</v>
      </c>
      <c r="P1078">
        <v>0.9980021</v>
      </c>
      <c r="Q1078">
        <v>4.9144899999999998E-2</v>
      </c>
      <c r="R1078">
        <v>-3.9708599999999997E-2</v>
      </c>
      <c r="S1078">
        <v>3.0190429999999999</v>
      </c>
      <c r="T1078">
        <v>-0.38480750000000002</v>
      </c>
      <c r="U1078">
        <v>-0.1466064</v>
      </c>
      <c r="V1078">
        <v>3.6352389999999998E-2</v>
      </c>
      <c r="W1078">
        <v>6.4202289999999995E-2</v>
      </c>
      <c r="X1078">
        <v>0.99727460000000001</v>
      </c>
      <c r="Y1078">
        <v>4.4836389999999997E-2</v>
      </c>
      <c r="Z1078">
        <v>-2.4210540000000002E-3</v>
      </c>
      <c r="AA1078">
        <v>0.99899139999999997</v>
      </c>
      <c r="AB1078">
        <v>27</v>
      </c>
      <c r="AC1078">
        <v>0.71709999999995899</v>
      </c>
      <c r="AD1078">
        <v>-0.11007160000000001</v>
      </c>
      <c r="AE1078">
        <v>-4.1899999999998203E-2</v>
      </c>
      <c r="AF1078">
        <v>3.8601331180565697E-2</v>
      </c>
      <c r="AG1078">
        <v>-0.11007160000000001</v>
      </c>
      <c r="AH1078">
        <v>0.700780953754367</v>
      </c>
      <c r="AI1078">
        <v>98.913216666135199</v>
      </c>
      <c r="AJ1078">
        <v>86.847145278538804</v>
      </c>
      <c r="AK1078">
        <v>0.710422244190279</v>
      </c>
      <c r="AL1078">
        <v>86.318948053060197</v>
      </c>
      <c r="AM1078">
        <v>87.912393690120993</v>
      </c>
      <c r="AN1078">
        <v>1.0000000290525499</v>
      </c>
    </row>
    <row r="1079" spans="1:40" x14ac:dyDescent="0.25">
      <c r="A1079" t="str">
        <f>"20190312153910469"</f>
        <v>20190312153910469</v>
      </c>
      <c r="B1079" t="str">
        <f>"1552376350466957"</f>
        <v>1552376350466957</v>
      </c>
      <c r="C1079" t="s">
        <v>40</v>
      </c>
      <c r="D1079">
        <v>4.5661610000000001</v>
      </c>
      <c r="E1079">
        <v>0.51021019999999995</v>
      </c>
      <c r="F1079" t="s">
        <v>41</v>
      </c>
      <c r="G1079">
        <v>-283.36340000000001</v>
      </c>
      <c r="H1079">
        <v>0.82305490000000003</v>
      </c>
      <c r="I1079">
        <v>367.73790000000002</v>
      </c>
      <c r="J1079">
        <v>-284.09640000000002</v>
      </c>
      <c r="K1079">
        <v>1.0607409999999999</v>
      </c>
      <c r="L1079">
        <v>367.79750000000001</v>
      </c>
      <c r="M1079">
        <v>0.99988480000000002</v>
      </c>
      <c r="N1079">
        <v>0</v>
      </c>
      <c r="O1079">
        <v>-2.025139E-3</v>
      </c>
      <c r="P1079">
        <v>0.99808759999999996</v>
      </c>
      <c r="Q1079">
        <v>4.8501860000000001E-2</v>
      </c>
      <c r="R1079">
        <v>-3.832849E-2</v>
      </c>
      <c r="S1079">
        <v>3.0379330000000002</v>
      </c>
      <c r="T1079">
        <v>-0.825536099999999</v>
      </c>
      <c r="U1079">
        <v>-0.20660400000000001</v>
      </c>
      <c r="V1079">
        <v>3.6280569999999998E-2</v>
      </c>
      <c r="W1079">
        <v>6.3528490000000007E-2</v>
      </c>
      <c r="X1079">
        <v>0.9973204</v>
      </c>
      <c r="Y1079">
        <v>6.3607460000000005E-2</v>
      </c>
      <c r="Z1079">
        <v>-7.9392569999999999E-3</v>
      </c>
      <c r="AA1079">
        <v>0.99794340000000004</v>
      </c>
      <c r="AB1079">
        <v>26</v>
      </c>
      <c r="AC1079">
        <v>0.73300000000000398</v>
      </c>
      <c r="AD1079">
        <v>-0.23768609999999901</v>
      </c>
      <c r="AE1079">
        <v>-5.9599999999989002E-2</v>
      </c>
      <c r="AF1079">
        <v>5.26188699797972E-2</v>
      </c>
      <c r="AG1079">
        <v>-0.23768609999999901</v>
      </c>
      <c r="AH1079">
        <v>0.66378244060483405</v>
      </c>
      <c r="AI1079">
        <v>109.644456690832</v>
      </c>
      <c r="AJ1079">
        <v>85.467569377046203</v>
      </c>
      <c r="AK1079">
        <v>0.70701524457855303</v>
      </c>
      <c r="AL1079">
        <v>86.357633052608605</v>
      </c>
      <c r="AM1079">
        <v>87.9166100497646</v>
      </c>
      <c r="AN1079">
        <v>1.00000006452868</v>
      </c>
    </row>
    <row r="1080" spans="1:40" x14ac:dyDescent="0.25">
      <c r="A1080" t="str">
        <f>"20190312153910483"</f>
        <v>20190312153910483</v>
      </c>
      <c r="B1080" t="str">
        <f>"1552376350476716"</f>
        <v>1552376350476716</v>
      </c>
      <c r="C1080" t="s">
        <v>40</v>
      </c>
      <c r="D1080">
        <v>4.2770739999999998</v>
      </c>
      <c r="E1080">
        <v>0.50835949999999996</v>
      </c>
      <c r="F1080" t="s">
        <v>41</v>
      </c>
      <c r="G1080">
        <v>-283.33390000000003</v>
      </c>
      <c r="H1080">
        <v>0.88803489999999996</v>
      </c>
      <c r="I1080">
        <v>367.7552</v>
      </c>
      <c r="J1080">
        <v>-283.94889999999998</v>
      </c>
      <c r="K1080">
        <v>1.0607470000000001</v>
      </c>
      <c r="L1080">
        <v>367.79730000000001</v>
      </c>
      <c r="M1080">
        <v>0.99988509999999997</v>
      </c>
      <c r="N1080">
        <v>0</v>
      </c>
      <c r="O1080">
        <v>-1.881361E-3</v>
      </c>
      <c r="P1080">
        <v>0.99808940000000002</v>
      </c>
      <c r="Q1080">
        <v>4.8556910000000002E-2</v>
      </c>
      <c r="R1080">
        <v>-3.8208550000000001E-2</v>
      </c>
      <c r="S1080">
        <v>3.032715</v>
      </c>
      <c r="T1080">
        <v>-0.68699379999999999</v>
      </c>
      <c r="U1080">
        <v>-0.1671753</v>
      </c>
      <c r="V1080">
        <v>3.6304459999999997E-2</v>
      </c>
      <c r="W1080">
        <v>6.3579860000000002E-2</v>
      </c>
      <c r="X1080">
        <v>0.99731619999999999</v>
      </c>
      <c r="Y1080">
        <v>5.1898189999999997E-2</v>
      </c>
      <c r="Z1080">
        <v>-5.379829E-3</v>
      </c>
      <c r="AA1080">
        <v>0.99863789999999997</v>
      </c>
      <c r="AB1080">
        <v>26</v>
      </c>
      <c r="AC1080">
        <v>0.61499999999995203</v>
      </c>
      <c r="AD1080">
        <v>-0.17271209999999901</v>
      </c>
      <c r="AE1080">
        <v>-4.2100000000004897E-2</v>
      </c>
      <c r="AF1080">
        <v>3.7962716957557298E-2</v>
      </c>
      <c r="AG1080">
        <v>-0.17271209999999901</v>
      </c>
      <c r="AH1080">
        <v>0.57030933396172101</v>
      </c>
      <c r="AI1080">
        <v>106.81327495396999</v>
      </c>
      <c r="AJ1080">
        <v>86.191716885235394</v>
      </c>
      <c r="AK1080">
        <v>0.59709578274266095</v>
      </c>
      <c r="AL1080">
        <v>86.354683598568698</v>
      </c>
      <c r="AM1080">
        <v>87.915230619173997</v>
      </c>
      <c r="AN1080">
        <v>1.00000000759797</v>
      </c>
    </row>
    <row r="1081" spans="1:40" x14ac:dyDescent="0.25">
      <c r="A1081" t="str">
        <f>"20190312153910495"</f>
        <v>20190312153910495</v>
      </c>
      <c r="B1081" t="str">
        <f>"1552376350487453"</f>
        <v>1552376350487453</v>
      </c>
      <c r="C1081" t="s">
        <v>40</v>
      </c>
      <c r="D1081">
        <v>4.3747230000000004</v>
      </c>
      <c r="E1081">
        <v>0.50842799999999999</v>
      </c>
      <c r="F1081" t="s">
        <v>41</v>
      </c>
      <c r="G1081">
        <v>-283.10039999999998</v>
      </c>
      <c r="H1081">
        <v>0.88433729999999999</v>
      </c>
      <c r="I1081">
        <v>367.75400000000002</v>
      </c>
      <c r="J1081">
        <v>-283.79469999999998</v>
      </c>
      <c r="K1081">
        <v>1.060746</v>
      </c>
      <c r="L1081">
        <v>367.79719999999998</v>
      </c>
      <c r="M1081">
        <v>0.99988549999999998</v>
      </c>
      <c r="N1081">
        <v>0</v>
      </c>
      <c r="O1081">
        <v>-1.731025E-3</v>
      </c>
      <c r="P1081">
        <v>0.9980947</v>
      </c>
      <c r="Q1081">
        <v>4.8622949999999998E-2</v>
      </c>
      <c r="R1081">
        <v>-3.7991009999999999E-2</v>
      </c>
      <c r="S1081">
        <v>3.0304570000000002</v>
      </c>
      <c r="T1081">
        <v>-0.63004689999999997</v>
      </c>
      <c r="U1081">
        <v>-0.15414430000000001</v>
      </c>
      <c r="V1081">
        <v>3.6236810000000001E-2</v>
      </c>
      <c r="W1081">
        <v>6.3642199999999996E-2</v>
      </c>
      <c r="X1081">
        <v>0.9973147</v>
      </c>
      <c r="Y1081">
        <v>4.808171E-2</v>
      </c>
      <c r="Z1081">
        <v>-4.5863479999999996E-3</v>
      </c>
      <c r="AA1081">
        <v>0.99883290000000002</v>
      </c>
      <c r="AB1081">
        <v>26</v>
      </c>
      <c r="AC1081">
        <v>0.69429999999999803</v>
      </c>
      <c r="AD1081">
        <v>-0.176408699999999</v>
      </c>
      <c r="AE1081">
        <v>-4.31999999999561E-2</v>
      </c>
      <c r="AF1081">
        <v>3.9460319564249301E-2</v>
      </c>
      <c r="AG1081">
        <v>-0.176408699999999</v>
      </c>
      <c r="AH1081">
        <v>0.65241781566200696</v>
      </c>
      <c r="AI1081">
        <v>105.10418097046301</v>
      </c>
      <c r="AJ1081">
        <v>86.538784221140105</v>
      </c>
      <c r="AK1081">
        <v>0.67699789693099299</v>
      </c>
      <c r="AL1081">
        <v>86.351104589097801</v>
      </c>
      <c r="AM1081">
        <v>87.919108848561905</v>
      </c>
      <c r="AN1081">
        <v>1.00000002342795</v>
      </c>
    </row>
    <row r="1082" spans="1:40" x14ac:dyDescent="0.25">
      <c r="A1082" t="str">
        <f>"20190312153910507"</f>
        <v>20190312153910507</v>
      </c>
      <c r="B1082" t="str">
        <f>"1552376350497213"</f>
        <v>1552376350497213</v>
      </c>
      <c r="C1082" t="s">
        <v>40</v>
      </c>
      <c r="D1082">
        <v>4.4329280000000004</v>
      </c>
      <c r="E1082">
        <v>0.50816729999999999</v>
      </c>
      <c r="F1082" t="s">
        <v>41</v>
      </c>
      <c r="G1082">
        <v>-283.07960000000003</v>
      </c>
      <c r="H1082">
        <v>0.92651159999999999</v>
      </c>
      <c r="I1082">
        <v>367.76010000000002</v>
      </c>
      <c r="J1082">
        <v>-283.64940000000001</v>
      </c>
      <c r="K1082">
        <v>1.060745</v>
      </c>
      <c r="L1082">
        <v>367.7971</v>
      </c>
      <c r="M1082">
        <v>0.99988580000000005</v>
      </c>
      <c r="N1082">
        <v>0</v>
      </c>
      <c r="O1082">
        <v>-1.589037E-3</v>
      </c>
      <c r="P1082">
        <v>0.99809559999999997</v>
      </c>
      <c r="Q1082">
        <v>4.888145E-2</v>
      </c>
      <c r="R1082">
        <v>-3.7630669999999998E-2</v>
      </c>
      <c r="S1082">
        <v>3.0274350000000001</v>
      </c>
      <c r="T1082">
        <v>-0.56835939999999996</v>
      </c>
      <c r="U1082">
        <v>-0.15637210000000001</v>
      </c>
      <c r="V1082">
        <v>3.6018130000000002E-2</v>
      </c>
      <c r="W1082">
        <v>6.3896800000000004E-2</v>
      </c>
      <c r="X1082">
        <v>0.99730629999999998</v>
      </c>
      <c r="Y1082">
        <v>4.9166769999999999E-2</v>
      </c>
      <c r="Z1082">
        <v>-4.2766849999999997E-3</v>
      </c>
      <c r="AA1082">
        <v>0.99878140000000004</v>
      </c>
      <c r="AB1082">
        <v>26</v>
      </c>
      <c r="AC1082">
        <v>0.56979999999998598</v>
      </c>
      <c r="AD1082">
        <v>-0.1342334</v>
      </c>
      <c r="AE1082">
        <v>-3.6999999999977697E-2</v>
      </c>
      <c r="AF1082">
        <v>3.4204131873947601E-2</v>
      </c>
      <c r="AG1082">
        <v>-0.1342334</v>
      </c>
      <c r="AH1082">
        <v>0.54001427911693201</v>
      </c>
      <c r="AI1082">
        <v>103.93248020953401</v>
      </c>
      <c r="AJ1082">
        <v>86.375766330046005</v>
      </c>
      <c r="AK1082">
        <v>0.557497937182722</v>
      </c>
      <c r="AL1082">
        <v>86.336487178508406</v>
      </c>
      <c r="AM1082">
        <v>87.931638155386693</v>
      </c>
      <c r="AN1082">
        <v>0.99999998137931301</v>
      </c>
    </row>
    <row r="1083" spans="1:40" x14ac:dyDescent="0.25">
      <c r="A1083" t="str">
        <f>"20190312153910524"</f>
        <v>20190312153910524</v>
      </c>
      <c r="B1083" t="str">
        <f>"1552376350516732"</f>
        <v>1552376350516732</v>
      </c>
      <c r="C1083" t="s">
        <v>40</v>
      </c>
      <c r="D1083">
        <v>4.2610199999999896</v>
      </c>
      <c r="E1083">
        <v>0.50814409999999999</v>
      </c>
      <c r="F1083" t="s">
        <v>41</v>
      </c>
      <c r="G1083">
        <v>-282.846</v>
      </c>
      <c r="H1083">
        <v>0.92408990000000002</v>
      </c>
      <c r="I1083">
        <v>367.75580000000002</v>
      </c>
      <c r="J1083">
        <v>-283.46780000000001</v>
      </c>
      <c r="K1083">
        <v>1.0607420000000001</v>
      </c>
      <c r="L1083">
        <v>367.79700000000003</v>
      </c>
      <c r="M1083">
        <v>0.99988619999999995</v>
      </c>
      <c r="N1083">
        <v>0</v>
      </c>
      <c r="O1083">
        <v>-1.411877E-3</v>
      </c>
      <c r="P1083">
        <v>0.99812940000000006</v>
      </c>
      <c r="Q1083">
        <v>4.8520550000000003E-2</v>
      </c>
      <c r="R1083">
        <v>-3.7198200000000001E-2</v>
      </c>
      <c r="S1083">
        <v>3.0250849999999998</v>
      </c>
      <c r="T1083">
        <v>-0.51471899999999904</v>
      </c>
      <c r="U1083">
        <v>-0.15484619999999999</v>
      </c>
      <c r="V1083">
        <v>3.5762830000000002E-2</v>
      </c>
      <c r="W1083">
        <v>6.3532290000000005E-2</v>
      </c>
      <c r="X1083">
        <v>0.99733879999999997</v>
      </c>
      <c r="Y1083">
        <v>4.9027660000000001E-2</v>
      </c>
      <c r="Z1083">
        <v>-3.9002339999999998E-3</v>
      </c>
      <c r="AA1083">
        <v>0.99878979999999995</v>
      </c>
      <c r="AB1083">
        <v>26</v>
      </c>
      <c r="AC1083">
        <v>0.62180000000000701</v>
      </c>
      <c r="AD1083">
        <v>-0.1366521</v>
      </c>
      <c r="AE1083">
        <v>-4.1199999999946599E-2</v>
      </c>
      <c r="AF1083">
        <v>3.8471949867868997E-2</v>
      </c>
      <c r="AG1083">
        <v>-0.1366521</v>
      </c>
      <c r="AH1083">
        <v>0.59332621293465004</v>
      </c>
      <c r="AI1083">
        <v>102.943657346691</v>
      </c>
      <c r="AJ1083">
        <v>86.290069657398206</v>
      </c>
      <c r="AK1083">
        <v>0.61007366958132203</v>
      </c>
      <c r="AL1083">
        <v>86.357414677869897</v>
      </c>
      <c r="AM1083">
        <v>87.946353172392506</v>
      </c>
      <c r="AN1083">
        <v>1.0000000069338399</v>
      </c>
    </row>
    <row r="1084" spans="1:40" x14ac:dyDescent="0.25">
      <c r="A1084" t="str">
        <f>"20190312153910536"</f>
        <v>20190312153910536</v>
      </c>
      <c r="B1084" t="str">
        <f>"1552376350526493"</f>
        <v>1552376350526493</v>
      </c>
      <c r="C1084" t="s">
        <v>40</v>
      </c>
      <c r="D1084">
        <v>4.24831</v>
      </c>
      <c r="E1084">
        <v>0.51058800000000004</v>
      </c>
      <c r="F1084" t="s">
        <v>41</v>
      </c>
      <c r="G1084">
        <v>-282.60980000000001</v>
      </c>
      <c r="H1084">
        <v>0.92784929999999999</v>
      </c>
      <c r="I1084">
        <v>367.75299999999999</v>
      </c>
      <c r="J1084">
        <v>-283.32330000000002</v>
      </c>
      <c r="K1084">
        <v>1.0607409999999999</v>
      </c>
      <c r="L1084">
        <v>367.79689999999999</v>
      </c>
      <c r="M1084">
        <v>0.99988650000000001</v>
      </c>
      <c r="N1084">
        <v>0</v>
      </c>
      <c r="O1084">
        <v>-1.271077E-3</v>
      </c>
      <c r="P1084">
        <v>0.99813540000000001</v>
      </c>
      <c r="Q1084">
        <v>4.8405829999999997E-2</v>
      </c>
      <c r="R1084">
        <v>-3.7190929999999997E-2</v>
      </c>
      <c r="S1084">
        <v>3.022675</v>
      </c>
      <c r="T1084">
        <v>-0.4681958</v>
      </c>
      <c r="U1084">
        <v>-0.15515139999999999</v>
      </c>
      <c r="V1084">
        <v>3.5896079999999997E-2</v>
      </c>
      <c r="W1084">
        <v>6.3414269999999995E-2</v>
      </c>
      <c r="X1084">
        <v>0.99734149999999999</v>
      </c>
      <c r="Y1084">
        <v>4.941943E-2</v>
      </c>
      <c r="Z1084">
        <v>-3.6066459999999998E-3</v>
      </c>
      <c r="AA1084">
        <v>0.99877159999999998</v>
      </c>
      <c r="AB1084">
        <v>26</v>
      </c>
      <c r="AC1084">
        <v>0.71350000000001002</v>
      </c>
      <c r="AD1084">
        <v>-0.132891699999999</v>
      </c>
      <c r="AE1084">
        <v>-4.3899999999950902E-2</v>
      </c>
      <c r="AF1084">
        <v>4.1556769922299799E-2</v>
      </c>
      <c r="AG1084">
        <v>-0.132891699999999</v>
      </c>
      <c r="AH1084">
        <v>0.68971892596156303</v>
      </c>
      <c r="AI1084">
        <v>100.88655910750499</v>
      </c>
      <c r="AJ1084">
        <v>86.551997579151305</v>
      </c>
      <c r="AK1084">
        <v>0.70363297668943603</v>
      </c>
      <c r="AL1084">
        <v>86.364190301224994</v>
      </c>
      <c r="AM1084">
        <v>87.938713580644702</v>
      </c>
      <c r="AN1084">
        <v>0.99999998291062397</v>
      </c>
    </row>
    <row r="1085" spans="1:40" x14ac:dyDescent="0.25">
      <c r="A1085" t="str">
        <f>"20190312153910549"</f>
        <v>20190312153910549</v>
      </c>
      <c r="B1085" t="str">
        <f>"1552376350537229"</f>
        <v>1552376350537229</v>
      </c>
      <c r="C1085" t="s">
        <v>40</v>
      </c>
      <c r="D1085">
        <v>4.2780149999999999</v>
      </c>
      <c r="E1085">
        <v>0.50882910000000003</v>
      </c>
      <c r="F1085" t="s">
        <v>42</v>
      </c>
      <c r="G1085">
        <v>-250.28639999999999</v>
      </c>
      <c r="H1085" s="1">
        <v>-4.8381880000000002E-6</v>
      </c>
      <c r="I1085">
        <v>365.73340000000002</v>
      </c>
      <c r="J1085">
        <v>-283.17630000000003</v>
      </c>
      <c r="K1085">
        <v>1.0607409999999999</v>
      </c>
      <c r="L1085">
        <v>367.79689999999999</v>
      </c>
      <c r="M1085">
        <v>0.99988659999999996</v>
      </c>
      <c r="N1085">
        <v>0</v>
      </c>
      <c r="O1085">
        <v>-1.1275370000000001E-3</v>
      </c>
      <c r="P1085">
        <v>0.99815940000000003</v>
      </c>
      <c r="Q1085">
        <v>4.8047319999999998E-2</v>
      </c>
      <c r="R1085">
        <v>-3.7008180000000002E-2</v>
      </c>
      <c r="S1085">
        <v>3.0032960000000002</v>
      </c>
      <c r="T1085">
        <v>-9.6429470000000003E-2</v>
      </c>
      <c r="U1085">
        <v>-0.1875916</v>
      </c>
      <c r="V1085">
        <v>3.5856840000000001E-2</v>
      </c>
      <c r="W1085">
        <v>6.3052109999999995E-2</v>
      </c>
      <c r="X1085">
        <v>0.99736590000000003</v>
      </c>
      <c r="Y1085">
        <v>6.118407E-2</v>
      </c>
      <c r="Z1085">
        <v>-9.4487529999999996E-4</v>
      </c>
      <c r="AA1085">
        <v>0.99812599999999996</v>
      </c>
      <c r="AB1085">
        <v>26</v>
      </c>
      <c r="AC1085">
        <v>32.889899999999997</v>
      </c>
      <c r="AD1085">
        <v>-1.0607458381879999</v>
      </c>
      <c r="AE1085">
        <v>-2.0634999999999701</v>
      </c>
      <c r="AF1085">
        <v>2.0243125857538899</v>
      </c>
      <c r="AG1085">
        <v>-1.0607458381879999</v>
      </c>
      <c r="AH1085">
        <v>32.858162484282097</v>
      </c>
      <c r="AI1085">
        <v>91.845516123858005</v>
      </c>
      <c r="AJ1085">
        <v>86.474600147699604</v>
      </c>
      <c r="AK1085">
        <v>32.937544914907697</v>
      </c>
      <c r="AL1085">
        <v>86.384982248399893</v>
      </c>
      <c r="AM1085">
        <v>87.941015276571804</v>
      </c>
      <c r="AN1085">
        <v>1.0000000100165201</v>
      </c>
    </row>
    <row r="1086" spans="1:40" x14ac:dyDescent="0.25">
      <c r="A1086" t="str">
        <f>"20190312153910563"</f>
        <v>20190312153910563</v>
      </c>
      <c r="B1086" t="str">
        <f>"1552376350556749"</f>
        <v>1552376350556749</v>
      </c>
      <c r="C1086" t="s">
        <v>40</v>
      </c>
      <c r="D1086">
        <v>4.2745430000000004</v>
      </c>
      <c r="E1086">
        <v>0.50808069999999905</v>
      </c>
      <c r="F1086" t="s">
        <v>42</v>
      </c>
      <c r="G1086">
        <v>-249.4873</v>
      </c>
      <c r="H1086" s="1">
        <v>-1.181499E-6</v>
      </c>
      <c r="I1086">
        <v>365.85649999999998</v>
      </c>
      <c r="J1086">
        <v>-283.01280000000003</v>
      </c>
      <c r="K1086">
        <v>1.06074</v>
      </c>
      <c r="L1086">
        <v>367.79689999999999</v>
      </c>
      <c r="M1086">
        <v>0.99988690000000002</v>
      </c>
      <c r="N1086">
        <v>0</v>
      </c>
      <c r="O1086">
        <v>-9.6790419999999997E-4</v>
      </c>
      <c r="P1086">
        <v>0.99817959999999994</v>
      </c>
      <c r="Q1086">
        <v>4.7775570000000003E-2</v>
      </c>
      <c r="R1086">
        <v>-3.6818759999999999E-2</v>
      </c>
      <c r="S1086">
        <v>3.0036619999999998</v>
      </c>
      <c r="T1086">
        <v>-9.457409E-2</v>
      </c>
      <c r="U1086">
        <v>-0.1730042</v>
      </c>
      <c r="V1086">
        <v>3.5826879999999998E-2</v>
      </c>
      <c r="W1086">
        <v>6.2777050000000001E-2</v>
      </c>
      <c r="X1086">
        <v>0.9973843</v>
      </c>
      <c r="Y1086">
        <v>5.6508559999999999E-2</v>
      </c>
      <c r="Z1086">
        <v>-8.5821940000000005E-4</v>
      </c>
      <c r="AA1086">
        <v>0.99840180000000001</v>
      </c>
      <c r="AB1086">
        <v>26</v>
      </c>
      <c r="AC1086">
        <v>33.525500000000001</v>
      </c>
      <c r="AD1086">
        <v>-1.060741181499</v>
      </c>
      <c r="AE1086">
        <v>-1.9404000000000099</v>
      </c>
      <c r="AF1086">
        <v>1.9060442332066201</v>
      </c>
      <c r="AG1086">
        <v>-1.060741181499</v>
      </c>
      <c r="AH1086">
        <v>33.493944489767003</v>
      </c>
      <c r="AI1086">
        <v>91.811002397182193</v>
      </c>
      <c r="AJ1086">
        <v>86.742974503724795</v>
      </c>
      <c r="AK1086">
        <v>33.564899731068202</v>
      </c>
      <c r="AL1086">
        <v>86.400773210064798</v>
      </c>
      <c r="AM1086">
        <v>87.942772092229902</v>
      </c>
      <c r="AN1086">
        <v>0.99999998261186296</v>
      </c>
    </row>
    <row r="1087" spans="1:40" x14ac:dyDescent="0.25">
      <c r="A1087" t="str">
        <f>"20190312153910576"</f>
        <v>20190312153910576</v>
      </c>
      <c r="B1087" t="str">
        <f>"1552376350566508"</f>
        <v>1552376350566508</v>
      </c>
      <c r="C1087" t="s">
        <v>40</v>
      </c>
      <c r="D1087">
        <v>4.4210880000000001</v>
      </c>
      <c r="E1087">
        <v>0.50838609999999995</v>
      </c>
      <c r="F1087" t="s">
        <v>42</v>
      </c>
      <c r="G1087">
        <v>-250.1189</v>
      </c>
      <c r="H1087" s="1">
        <v>-4.8671579999999999E-6</v>
      </c>
      <c r="I1087">
        <v>365.9753</v>
      </c>
      <c r="J1087">
        <v>-282.85090000000002</v>
      </c>
      <c r="K1087">
        <v>1.0607359999999999</v>
      </c>
      <c r="L1087">
        <v>367.79689999999999</v>
      </c>
      <c r="M1087">
        <v>0.99988699999999997</v>
      </c>
      <c r="N1087">
        <v>0</v>
      </c>
      <c r="O1087">
        <v>-8.0982119999999905E-4</v>
      </c>
      <c r="P1087">
        <v>0.99818490000000004</v>
      </c>
      <c r="Q1087">
        <v>4.7672489999999998E-2</v>
      </c>
      <c r="R1087">
        <v>-3.6802929999999998E-2</v>
      </c>
      <c r="S1087">
        <v>3.0039060000000002</v>
      </c>
      <c r="T1087">
        <v>-9.6868040000000002E-2</v>
      </c>
      <c r="U1087">
        <v>-0.16635129999999901</v>
      </c>
      <c r="V1087">
        <v>3.5968939999999998E-2</v>
      </c>
      <c r="W1087">
        <v>6.2669970000000005E-2</v>
      </c>
      <c r="X1087">
        <v>0.99738590000000005</v>
      </c>
      <c r="Y1087">
        <v>5.4457119999999998E-2</v>
      </c>
      <c r="Z1087">
        <v>-8.510589E-4</v>
      </c>
      <c r="AA1087">
        <v>0.99851570000000001</v>
      </c>
      <c r="AB1087">
        <v>26</v>
      </c>
      <c r="AC1087">
        <v>32.731999999999999</v>
      </c>
      <c r="AD1087">
        <v>-1.0607408671580001</v>
      </c>
      <c r="AE1087">
        <v>-1.8215999999999799</v>
      </c>
      <c r="AF1087">
        <v>1.79321192505251</v>
      </c>
      <c r="AG1087">
        <v>-1.0607408671580001</v>
      </c>
      <c r="AH1087">
        <v>32.699229781168803</v>
      </c>
      <c r="AI1087">
        <v>91.8551991420062</v>
      </c>
      <c r="AJ1087">
        <v>86.861067828829803</v>
      </c>
      <c r="AK1087">
        <v>32.765536902011597</v>
      </c>
      <c r="AL1087">
        <v>86.406920471296701</v>
      </c>
      <c r="AM1087">
        <v>87.93462517607</v>
      </c>
      <c r="AN1087">
        <v>0.99999996165166605</v>
      </c>
    </row>
    <row r="1088" spans="1:40" x14ac:dyDescent="0.25">
      <c r="A1088" t="str">
        <f>"20190312153910590"</f>
        <v>20190312153910590</v>
      </c>
      <c r="B1088" t="str">
        <f>"1552376350587004"</f>
        <v>1552376350587004</v>
      </c>
      <c r="C1088" t="s">
        <v>40</v>
      </c>
      <c r="D1088">
        <v>4.3242479999999999</v>
      </c>
      <c r="E1088">
        <v>0.50773780000000002</v>
      </c>
      <c r="F1088" t="s">
        <v>42</v>
      </c>
      <c r="G1088">
        <v>-250.6395</v>
      </c>
      <c r="H1088" s="1">
        <v>-4.6415569999999996E-6</v>
      </c>
      <c r="I1088">
        <v>365.98790000000002</v>
      </c>
      <c r="J1088">
        <v>-282.69470000000001</v>
      </c>
      <c r="K1088">
        <v>1.0607390000000001</v>
      </c>
      <c r="L1088">
        <v>367.79700000000003</v>
      </c>
      <c r="M1088">
        <v>0.99988719999999998</v>
      </c>
      <c r="N1088">
        <v>0</v>
      </c>
      <c r="O1088">
        <v>-6.5746039999999895E-4</v>
      </c>
      <c r="P1088">
        <v>0.9981833</v>
      </c>
      <c r="Q1088">
        <v>4.7431220000000003E-2</v>
      </c>
      <c r="R1088">
        <v>-3.7156620000000001E-2</v>
      </c>
      <c r="S1088">
        <v>3.0039669999999998</v>
      </c>
      <c r="T1088">
        <v>-9.8922309999999999E-2</v>
      </c>
      <c r="U1088">
        <v>-0.1687012</v>
      </c>
      <c r="V1088">
        <v>3.6474989999999999E-2</v>
      </c>
      <c r="W1088">
        <v>6.2424880000000002E-2</v>
      </c>
      <c r="X1088">
        <v>0.99738289999999996</v>
      </c>
      <c r="Y1088">
        <v>5.538502E-2</v>
      </c>
      <c r="Z1088">
        <v>-8.8933559999999998E-4</v>
      </c>
      <c r="AA1088">
        <v>0.99846469999999998</v>
      </c>
      <c r="AB1088">
        <v>26</v>
      </c>
      <c r="AC1088">
        <v>32.055199999999999</v>
      </c>
      <c r="AD1088">
        <v>-1.060743641557</v>
      </c>
      <c r="AE1088">
        <v>-1.80909999999994</v>
      </c>
      <c r="AF1088">
        <v>1.7860726274804599</v>
      </c>
      <c r="AG1088">
        <v>-1.060743641557</v>
      </c>
      <c r="AH1088">
        <v>32.021429691255598</v>
      </c>
      <c r="AI1088">
        <v>91.894347027528895</v>
      </c>
      <c r="AJ1088">
        <v>86.807497441321601</v>
      </c>
      <c r="AK1088">
        <v>32.088739332914997</v>
      </c>
      <c r="AL1088">
        <v>86.420990673443001</v>
      </c>
      <c r="AM1088">
        <v>87.905586651227793</v>
      </c>
      <c r="AN1088">
        <v>0.99999996987546103</v>
      </c>
    </row>
    <row r="1089" spans="1:40" x14ac:dyDescent="0.25">
      <c r="A1089" t="str">
        <f>"20190312153910606"</f>
        <v>20190312153910606</v>
      </c>
      <c r="B1089" t="str">
        <f>"1552376350597273"</f>
        <v>1552376350597273</v>
      </c>
      <c r="C1089" t="s">
        <v>40</v>
      </c>
      <c r="D1089">
        <v>4.3261599999999998</v>
      </c>
      <c r="E1089">
        <v>0.50804740000000004</v>
      </c>
      <c r="F1089" t="s">
        <v>42</v>
      </c>
      <c r="G1089">
        <v>-250.47219999999999</v>
      </c>
      <c r="H1089" s="1">
        <v>-4.7054379999999997E-6</v>
      </c>
      <c r="I1089">
        <v>366.0326</v>
      </c>
      <c r="J1089">
        <v>-282.51429999999999</v>
      </c>
      <c r="K1089">
        <v>1.06074</v>
      </c>
      <c r="L1089">
        <v>367.79700000000003</v>
      </c>
      <c r="M1089">
        <v>0.99988739999999998</v>
      </c>
      <c r="N1089">
        <v>0</v>
      </c>
      <c r="O1089">
        <v>-4.813749E-4</v>
      </c>
      <c r="P1089">
        <v>0.99818150000000005</v>
      </c>
      <c r="Q1089">
        <v>4.7500790000000001E-2</v>
      </c>
      <c r="R1089">
        <v>-3.711797E-2</v>
      </c>
      <c r="S1089">
        <v>3.0040589999999998</v>
      </c>
      <c r="T1089">
        <v>-9.8891259999999995E-2</v>
      </c>
      <c r="U1089">
        <v>-0.16448969999999999</v>
      </c>
      <c r="V1089">
        <v>3.6612190000000003E-2</v>
      </c>
      <c r="W1089">
        <v>6.2489610000000001E-2</v>
      </c>
      <c r="X1089">
        <v>0.99737390000000004</v>
      </c>
      <c r="Y1089">
        <v>5.4164230000000001E-2</v>
      </c>
      <c r="Z1089">
        <v>-8.7478209999999998E-4</v>
      </c>
      <c r="AA1089">
        <v>0.99853159999999996</v>
      </c>
      <c r="AB1089">
        <v>26</v>
      </c>
      <c r="AC1089">
        <v>32.042099999999998</v>
      </c>
      <c r="AD1089">
        <v>-1.0607447054379999</v>
      </c>
      <c r="AE1089">
        <v>-1.76439999999996</v>
      </c>
      <c r="AF1089">
        <v>1.74706493803979</v>
      </c>
      <c r="AG1089">
        <v>-1.0607447054379999</v>
      </c>
      <c r="AH1089">
        <v>32.007973506472901</v>
      </c>
      <c r="AI1089">
        <v>91.895269255901596</v>
      </c>
      <c r="AJ1089">
        <v>86.875771629905799</v>
      </c>
      <c r="AK1089">
        <v>32.073162974968902</v>
      </c>
      <c r="AL1089">
        <v>86.417274950358802</v>
      </c>
      <c r="AM1089">
        <v>87.897696656470103</v>
      </c>
      <c r="AN1089">
        <v>1.0000000501078701</v>
      </c>
    </row>
    <row r="1090" spans="1:40" x14ac:dyDescent="0.25">
      <c r="A1090" t="str">
        <f>"20190312153910619"</f>
        <v>20190312153910619</v>
      </c>
      <c r="B1090" t="str">
        <f>"1552376350607034"</f>
        <v>1552376350607034</v>
      </c>
      <c r="C1090" t="s">
        <v>40</v>
      </c>
      <c r="D1090">
        <v>4.295553</v>
      </c>
      <c r="E1090">
        <v>0.50829020000000003</v>
      </c>
      <c r="F1090" t="s">
        <v>42</v>
      </c>
      <c r="G1090">
        <v>-249.9709</v>
      </c>
      <c r="H1090" s="1">
        <v>-4.928566E-6</v>
      </c>
      <c r="I1090">
        <v>365.98689999999999</v>
      </c>
      <c r="J1090">
        <v>-282.35500000000002</v>
      </c>
      <c r="K1090">
        <v>1.0607409999999999</v>
      </c>
      <c r="L1090">
        <v>367.7971</v>
      </c>
      <c r="M1090">
        <v>0.99988750000000004</v>
      </c>
      <c r="N1090">
        <v>0</v>
      </c>
      <c r="O1090">
        <v>-3.2531850000000001E-4</v>
      </c>
      <c r="P1090">
        <v>0.99816780000000005</v>
      </c>
      <c r="Q1090">
        <v>4.7670329999999997E-2</v>
      </c>
      <c r="R1090">
        <v>-3.727138E-2</v>
      </c>
      <c r="S1090">
        <v>3.0039060000000002</v>
      </c>
      <c r="T1090">
        <v>-9.7911479999999995E-2</v>
      </c>
      <c r="U1090">
        <v>-0.1670837</v>
      </c>
      <c r="V1090">
        <v>3.6921330000000002E-2</v>
      </c>
      <c r="W1090">
        <v>6.265569E-2</v>
      </c>
      <c r="X1090">
        <v>0.99735209999999996</v>
      </c>
      <c r="Y1090">
        <v>5.5182420000000003E-2</v>
      </c>
      <c r="Z1090">
        <v>-8.8780140000000005E-4</v>
      </c>
      <c r="AA1090">
        <v>0.99847589999999997</v>
      </c>
      <c r="AB1090">
        <v>26</v>
      </c>
      <c r="AC1090">
        <v>32.384099999999997</v>
      </c>
      <c r="AD1090">
        <v>-1.0607459285659999</v>
      </c>
      <c r="AE1090">
        <v>-1.8102</v>
      </c>
      <c r="AF1090">
        <v>1.7977407850788401</v>
      </c>
      <c r="AG1090">
        <v>-1.0607459285659999</v>
      </c>
      <c r="AH1090">
        <v>32.350086959217599</v>
      </c>
      <c r="AI1090">
        <v>91.875140881676799</v>
      </c>
      <c r="AJ1090">
        <v>86.819262801606399</v>
      </c>
      <c r="AK1090">
        <v>32.417359240447801</v>
      </c>
      <c r="AL1090">
        <v>86.407740640548397</v>
      </c>
      <c r="AM1090">
        <v>87.879915405458405</v>
      </c>
      <c r="AN1090">
        <v>1.0000000657363699</v>
      </c>
    </row>
    <row r="1091" spans="1:40" x14ac:dyDescent="0.25">
      <c r="A1091" t="str">
        <f>"20190312153910636"</f>
        <v>20190312153910636</v>
      </c>
      <c r="B1091" t="str">
        <f>"1552376350626553"</f>
        <v>1552376350626553</v>
      </c>
      <c r="C1091" t="s">
        <v>40</v>
      </c>
      <c r="D1091">
        <v>4.3305629999999997</v>
      </c>
      <c r="E1091">
        <v>0.50737690000000002</v>
      </c>
      <c r="F1091" t="s">
        <v>42</v>
      </c>
      <c r="G1091">
        <v>-248.9314</v>
      </c>
      <c r="H1091" s="1">
        <v>-1.3811729999999999E-6</v>
      </c>
      <c r="I1091">
        <v>365.90839999999997</v>
      </c>
      <c r="J1091">
        <v>-282.1481</v>
      </c>
      <c r="K1091">
        <v>1.060745</v>
      </c>
      <c r="L1091">
        <v>367.79730000000001</v>
      </c>
      <c r="M1091">
        <v>0.99988759999999999</v>
      </c>
      <c r="N1091">
        <v>0</v>
      </c>
      <c r="O1091">
        <v>-1.2265209999999901E-4</v>
      </c>
      <c r="P1091">
        <v>0.99813370000000001</v>
      </c>
      <c r="Q1091">
        <v>4.8071540000000003E-2</v>
      </c>
      <c r="R1091">
        <v>-3.7663710000000003E-2</v>
      </c>
      <c r="S1091">
        <v>3.0037229999999999</v>
      </c>
      <c r="T1091">
        <v>-9.5327079999999995E-2</v>
      </c>
      <c r="U1091">
        <v>-0.1697388</v>
      </c>
      <c r="V1091">
        <v>3.7516140000000003E-2</v>
      </c>
      <c r="W1091">
        <v>6.3051159999999995E-2</v>
      </c>
      <c r="X1091">
        <v>0.99730490000000005</v>
      </c>
      <c r="Y1091">
        <v>5.6268800000000001E-2</v>
      </c>
      <c r="Z1091">
        <v>-8.8805739999999996E-4</v>
      </c>
      <c r="AA1091">
        <v>0.99841519999999995</v>
      </c>
      <c r="AB1091">
        <v>26</v>
      </c>
      <c r="AC1091">
        <v>33.216700000000003</v>
      </c>
      <c r="AD1091">
        <v>-1.060746381173</v>
      </c>
      <c r="AE1091">
        <v>-1.88890000000003</v>
      </c>
      <c r="AF1091">
        <v>1.8829114475348101</v>
      </c>
      <c r="AG1091">
        <v>-1.060746381173</v>
      </c>
      <c r="AH1091">
        <v>33.183200680706598</v>
      </c>
      <c r="AI1091">
        <v>91.827976007854403</v>
      </c>
      <c r="AJ1091">
        <v>86.752353163457201</v>
      </c>
      <c r="AK1091">
        <v>33.253501256566601</v>
      </c>
      <c r="AL1091">
        <v>86.385036702969003</v>
      </c>
      <c r="AM1091">
        <v>87.845690486006603</v>
      </c>
      <c r="AN1091">
        <v>0.99999998655092703</v>
      </c>
    </row>
    <row r="1092" spans="1:40" x14ac:dyDescent="0.25">
      <c r="A1092" t="str">
        <f>"20190312153910650"</f>
        <v>20190312153910650</v>
      </c>
      <c r="B1092" t="str">
        <f>"1552376350637289"</f>
        <v>1552376350637289</v>
      </c>
      <c r="C1092" t="s">
        <v>40</v>
      </c>
      <c r="D1092">
        <v>4.32247</v>
      </c>
      <c r="E1092">
        <v>0.50710770000000005</v>
      </c>
      <c r="F1092" t="s">
        <v>42</v>
      </c>
      <c r="G1092">
        <v>-247.74979999999999</v>
      </c>
      <c r="H1092" s="1">
        <v>-1.829968E-6</v>
      </c>
      <c r="I1092">
        <v>365.92689999999999</v>
      </c>
      <c r="J1092">
        <v>-281.99200000000002</v>
      </c>
      <c r="K1092">
        <v>1.060743</v>
      </c>
      <c r="L1092">
        <v>367.79739999999998</v>
      </c>
      <c r="M1092">
        <v>0.99988779999999999</v>
      </c>
      <c r="N1092">
        <v>0</v>
      </c>
      <c r="O1092" s="1">
        <v>2.9888120000000001E-5</v>
      </c>
      <c r="P1092">
        <v>0.99811490000000003</v>
      </c>
      <c r="Q1092">
        <v>4.8385299999999999E-2</v>
      </c>
      <c r="R1092">
        <v>-3.7758899999999998E-2</v>
      </c>
      <c r="S1092">
        <v>3.0039060000000002</v>
      </c>
      <c r="T1092">
        <v>-9.2632290000000006E-2</v>
      </c>
      <c r="U1092">
        <v>-0.16333010000000001</v>
      </c>
      <c r="V1092">
        <v>3.7763619999999998E-2</v>
      </c>
      <c r="W1092">
        <v>6.3360490000000005E-2</v>
      </c>
      <c r="X1092">
        <v>0.99727589999999999</v>
      </c>
      <c r="Y1092">
        <v>5.4296459999999998E-2</v>
      </c>
      <c r="Z1092">
        <v>-8.3728220000000003E-4</v>
      </c>
      <c r="AA1092">
        <v>0.99852450000000004</v>
      </c>
      <c r="AB1092">
        <v>26</v>
      </c>
      <c r="AC1092">
        <v>34.242199999999997</v>
      </c>
      <c r="AD1092">
        <v>-1.060744829968</v>
      </c>
      <c r="AE1092">
        <v>-1.8704999999999901</v>
      </c>
      <c r="AF1092">
        <v>1.8697346553449501</v>
      </c>
      <c r="AG1092">
        <v>-1.060744829968</v>
      </c>
      <c r="AH1092">
        <v>34.209413758450502</v>
      </c>
      <c r="AI1092">
        <v>91.773378787176597</v>
      </c>
      <c r="AJ1092">
        <v>86.871579729564303</v>
      </c>
      <c r="AK1092">
        <v>34.276888379381298</v>
      </c>
      <c r="AL1092">
        <v>86.367277691155806</v>
      </c>
      <c r="AM1092">
        <v>87.831429833219104</v>
      </c>
      <c r="AN1092">
        <v>0.99999993170467405</v>
      </c>
    </row>
    <row r="1093" spans="1:40" x14ac:dyDescent="0.25">
      <c r="A1093" t="str">
        <f>"20190312153910664"</f>
        <v>20190312153910664</v>
      </c>
      <c r="B1093" t="str">
        <f>"1552376350656810"</f>
        <v>1552376350656810</v>
      </c>
      <c r="C1093" t="s">
        <v>40</v>
      </c>
      <c r="D1093">
        <v>4.3493060000000003</v>
      </c>
      <c r="E1093">
        <v>0.50639330000000005</v>
      </c>
      <c r="F1093" t="s">
        <v>42</v>
      </c>
      <c r="G1093">
        <v>-246.76859999999999</v>
      </c>
      <c r="H1093" s="1">
        <v>-2.2135289999999998E-6</v>
      </c>
      <c r="I1093">
        <v>365.90159999999997</v>
      </c>
      <c r="J1093">
        <v>-281.83049999999997</v>
      </c>
      <c r="K1093">
        <v>1.060745</v>
      </c>
      <c r="L1093">
        <v>367.79759999999999</v>
      </c>
      <c r="M1093">
        <v>0.99988759999999999</v>
      </c>
      <c r="N1093">
        <v>0</v>
      </c>
      <c r="O1093">
        <v>1.882105E-4</v>
      </c>
      <c r="P1093">
        <v>0.99810569999999998</v>
      </c>
      <c r="Q1093">
        <v>4.852687E-2</v>
      </c>
      <c r="R1093">
        <v>-3.7818060000000001E-2</v>
      </c>
      <c r="S1093">
        <v>3.0039370000000001</v>
      </c>
      <c r="T1093">
        <v>-9.0462920000000002E-2</v>
      </c>
      <c r="U1093">
        <v>-0.1616821</v>
      </c>
      <c r="V1093">
        <v>3.7980659999999999E-2</v>
      </c>
      <c r="W1093">
        <v>6.3498020000000002E-2</v>
      </c>
      <c r="X1093">
        <v>0.99725900000000001</v>
      </c>
      <c r="Y1093">
        <v>5.3909119999999998E-2</v>
      </c>
      <c r="Z1093">
        <v>-8.1662369999999996E-4</v>
      </c>
      <c r="AA1093">
        <v>0.99854549999999997</v>
      </c>
      <c r="AB1093">
        <v>26</v>
      </c>
      <c r="AC1093">
        <v>35.061899999999902</v>
      </c>
      <c r="AD1093">
        <v>-1.0607472135289999</v>
      </c>
      <c r="AE1093">
        <v>-1.8960000000000099</v>
      </c>
      <c r="AF1093">
        <v>1.9008649791444501</v>
      </c>
      <c r="AG1093">
        <v>-1.0607472135289999</v>
      </c>
      <c r="AH1093">
        <v>35.029574183197397</v>
      </c>
      <c r="AI1093">
        <v>91.731924235830306</v>
      </c>
      <c r="AJ1093">
        <v>86.893915217883901</v>
      </c>
      <c r="AK1093">
        <v>35.097144325088301</v>
      </c>
      <c r="AL1093">
        <v>86.359382228416607</v>
      </c>
      <c r="AM1093">
        <v>87.818941421244801</v>
      </c>
      <c r="AN1093">
        <v>1.0000000210794699</v>
      </c>
    </row>
    <row r="1094" spans="1:40" x14ac:dyDescent="0.25">
      <c r="A1094" t="str">
        <f>"20190312153910679"</f>
        <v>20190312153910679</v>
      </c>
      <c r="B1094" t="str">
        <f>"1552376350666570"</f>
        <v>1552376350666570</v>
      </c>
      <c r="C1094" t="s">
        <v>40</v>
      </c>
      <c r="D1094">
        <v>4.339728</v>
      </c>
      <c r="E1094">
        <v>0.5060287</v>
      </c>
      <c r="F1094" t="s">
        <v>42</v>
      </c>
      <c r="G1094">
        <v>-246.2577</v>
      </c>
      <c r="H1094" s="1">
        <v>-2.3999239999999999E-6</v>
      </c>
      <c r="I1094">
        <v>365.94959999999998</v>
      </c>
      <c r="J1094">
        <v>-281.66460000000001</v>
      </c>
      <c r="K1094">
        <v>1.0607439999999999</v>
      </c>
      <c r="L1094">
        <v>367.7978</v>
      </c>
      <c r="M1094">
        <v>0.99988779999999999</v>
      </c>
      <c r="N1094">
        <v>0</v>
      </c>
      <c r="O1094">
        <v>3.5052679999999999E-4</v>
      </c>
      <c r="P1094">
        <v>0.99809550000000002</v>
      </c>
      <c r="Q1094">
        <v>4.8825029999999998E-2</v>
      </c>
      <c r="R1094">
        <v>-3.7709270000000003E-2</v>
      </c>
      <c r="S1094">
        <v>3.0041500000000001</v>
      </c>
      <c r="T1094">
        <v>-8.9580770000000004E-2</v>
      </c>
      <c r="U1094">
        <v>-0.15606689999999901</v>
      </c>
      <c r="V1094">
        <v>3.8033579999999997E-2</v>
      </c>
      <c r="W1094">
        <v>6.3792109999999999E-2</v>
      </c>
      <c r="X1094">
        <v>0.99723819999999996</v>
      </c>
      <c r="Y1094">
        <v>5.2207259999999998E-2</v>
      </c>
      <c r="Z1094">
        <v>-7.8813159999999995E-4</v>
      </c>
      <c r="AA1094">
        <v>0.99863590000000002</v>
      </c>
      <c r="AB1094">
        <v>26</v>
      </c>
      <c r="AC1094">
        <v>35.4069</v>
      </c>
      <c r="AD1094">
        <v>-1.0607463999240001</v>
      </c>
      <c r="AE1094">
        <v>-1.84820000000002</v>
      </c>
      <c r="AF1094">
        <v>1.8589484237840701</v>
      </c>
      <c r="AG1094">
        <v>-1.0607463999240001</v>
      </c>
      <c r="AH1094">
        <v>35.374586549784603</v>
      </c>
      <c r="AI1094">
        <v>91.715197884058298</v>
      </c>
      <c r="AJ1094">
        <v>86.991851280571794</v>
      </c>
      <c r="AK1094">
        <v>35.439275468545397</v>
      </c>
      <c r="AL1094">
        <v>86.342497830067202</v>
      </c>
      <c r="AM1094">
        <v>87.815859893715199</v>
      </c>
      <c r="AN1094">
        <v>1.0000000070225501</v>
      </c>
    </row>
    <row r="1095" spans="1:40" x14ac:dyDescent="0.25">
      <c r="A1095" t="str">
        <f>"20190312153910694"</f>
        <v>20190312153910694</v>
      </c>
      <c r="B1095" t="str">
        <f>"1552376350687066"</f>
        <v>1552376350687066</v>
      </c>
      <c r="C1095" t="s">
        <v>40</v>
      </c>
      <c r="D1095">
        <v>4.3579059999999998</v>
      </c>
      <c r="E1095">
        <v>0.50544169999999999</v>
      </c>
      <c r="F1095" t="s">
        <v>42</v>
      </c>
      <c r="G1095">
        <v>-245.71129999999999</v>
      </c>
      <c r="H1095" s="1">
        <v>-2.654733E-6</v>
      </c>
      <c r="I1095">
        <v>365.9692</v>
      </c>
      <c r="J1095">
        <v>-281.48360000000002</v>
      </c>
      <c r="K1095">
        <v>1.06074</v>
      </c>
      <c r="L1095">
        <v>367.79809999999998</v>
      </c>
      <c r="M1095">
        <v>0.99988779999999999</v>
      </c>
      <c r="N1095">
        <v>0</v>
      </c>
      <c r="O1095">
        <v>5.2715279999999997E-4</v>
      </c>
      <c r="P1095">
        <v>0.99807749999999995</v>
      </c>
      <c r="Q1095">
        <v>4.9258839999999998E-2</v>
      </c>
      <c r="R1095">
        <v>-3.7617230000000001E-2</v>
      </c>
      <c r="S1095">
        <v>3.0043030000000002</v>
      </c>
      <c r="T1095">
        <v>-8.8637350000000004E-2</v>
      </c>
      <c r="U1095">
        <v>-0.15280150000000001</v>
      </c>
      <c r="V1095">
        <v>3.8118069999999997E-2</v>
      </c>
      <c r="W1095">
        <v>6.4221329999999993E-2</v>
      </c>
      <c r="X1095">
        <v>0.99720739999999997</v>
      </c>
      <c r="Y1095">
        <v>5.1299270000000001E-2</v>
      </c>
      <c r="Z1095">
        <v>-7.7164140000000002E-4</v>
      </c>
      <c r="AA1095">
        <v>0.99868299999999999</v>
      </c>
      <c r="AB1095">
        <v>26</v>
      </c>
      <c r="AC1095">
        <v>35.772300000000001</v>
      </c>
      <c r="AD1095">
        <v>-1.0607426547329999</v>
      </c>
      <c r="AE1095">
        <v>-1.82889999999997</v>
      </c>
      <c r="AF1095">
        <v>1.84614028830831</v>
      </c>
      <c r="AG1095">
        <v>-1.0607426547329999</v>
      </c>
      <c r="AH1095">
        <v>35.739987344806003</v>
      </c>
      <c r="AI1095">
        <v>91.697745220015094</v>
      </c>
      <c r="AJ1095">
        <v>87.043028624625606</v>
      </c>
      <c r="AK1095">
        <v>35.803353255673898</v>
      </c>
      <c r="AL1095">
        <v>86.317854714010494</v>
      </c>
      <c r="AM1095">
        <v>87.810945089166196</v>
      </c>
      <c r="AN1095">
        <v>0.99999998255112599</v>
      </c>
    </row>
    <row r="1096" spans="1:40" x14ac:dyDescent="0.25">
      <c r="A1096" t="str">
        <f>"20190312153910710"</f>
        <v>20190312153910710</v>
      </c>
      <c r="B1096" t="str">
        <f>"1552376350697335"</f>
        <v>1552376350697335</v>
      </c>
      <c r="C1096" t="s">
        <v>40</v>
      </c>
      <c r="D1096">
        <v>4.3561709999999998</v>
      </c>
      <c r="E1096">
        <v>0.50514950000000003</v>
      </c>
      <c r="F1096" t="s">
        <v>42</v>
      </c>
      <c r="G1096">
        <v>-245.16329999999999</v>
      </c>
      <c r="H1096" s="1">
        <v>-2.9061649999999999E-6</v>
      </c>
      <c r="I1096">
        <v>366.01220000000001</v>
      </c>
      <c r="J1096">
        <v>-281.30500000000001</v>
      </c>
      <c r="K1096">
        <v>1.0607409999999999</v>
      </c>
      <c r="L1096">
        <v>367.79840000000002</v>
      </c>
      <c r="M1096">
        <v>0.99988770000000005</v>
      </c>
      <c r="N1096">
        <v>0</v>
      </c>
      <c r="O1096">
        <v>7.0210339999999996E-4</v>
      </c>
      <c r="P1096">
        <v>0.99809959999999998</v>
      </c>
      <c r="Q1096">
        <v>4.9041120000000001E-2</v>
      </c>
      <c r="R1096">
        <v>-3.7315420000000002E-2</v>
      </c>
      <c r="S1096">
        <v>3.0045470000000001</v>
      </c>
      <c r="T1096">
        <v>-8.7748530000000005E-2</v>
      </c>
      <c r="U1096">
        <v>-0.14773559999999999</v>
      </c>
      <c r="V1096">
        <v>3.7990980000000001E-2</v>
      </c>
      <c r="W1096">
        <v>6.3999109999999998E-2</v>
      </c>
      <c r="X1096">
        <v>0.99722650000000002</v>
      </c>
      <c r="Y1096">
        <v>4.9791179999999997E-2</v>
      </c>
      <c r="Z1096">
        <v>-7.4697890000000001E-4</v>
      </c>
      <c r="AA1096">
        <v>0.99875939999999996</v>
      </c>
      <c r="AB1096">
        <v>26</v>
      </c>
      <c r="AC1096">
        <v>36.1417</v>
      </c>
      <c r="AD1096">
        <v>-1.0607439061649999</v>
      </c>
      <c r="AE1096">
        <v>-1.7862</v>
      </c>
      <c r="AF1096">
        <v>1.8100222629787099</v>
      </c>
      <c r="AG1096">
        <v>-1.0607439061649999</v>
      </c>
      <c r="AH1096">
        <v>36.109408064129603</v>
      </c>
      <c r="AI1096">
        <v>91.680518587753696</v>
      </c>
      <c r="AJ1096">
        <v>87.1303902709368</v>
      </c>
      <c r="AK1096">
        <v>36.170301477438301</v>
      </c>
      <c r="AL1096">
        <v>86.330613096327198</v>
      </c>
      <c r="AM1096">
        <v>87.818278330473902</v>
      </c>
      <c r="AN1096">
        <v>0.99999994647219903</v>
      </c>
    </row>
    <row r="1097" spans="1:40" x14ac:dyDescent="0.25">
      <c r="A1097" t="str">
        <f>"20190312153910723"</f>
        <v>20190312153910723</v>
      </c>
      <c r="B1097" t="str">
        <f>"1552376350716854"</f>
        <v>1552376350716854</v>
      </c>
      <c r="C1097" t="s">
        <v>40</v>
      </c>
      <c r="D1097">
        <v>4.3630490000000002</v>
      </c>
      <c r="E1097">
        <v>0.50479350000000001</v>
      </c>
      <c r="F1097" t="s">
        <v>42</v>
      </c>
      <c r="G1097">
        <v>-245.60169999999999</v>
      </c>
      <c r="H1097" s="1">
        <v>-2.687089E-6</v>
      </c>
      <c r="I1097">
        <v>366.0788</v>
      </c>
      <c r="J1097">
        <v>-281.14530000000002</v>
      </c>
      <c r="K1097">
        <v>1.0608139999999999</v>
      </c>
      <c r="L1097">
        <v>367.79860000000002</v>
      </c>
      <c r="M1097">
        <v>0.99988339999999998</v>
      </c>
      <c r="N1097">
        <v>0</v>
      </c>
      <c r="O1097">
        <v>8.5050849999999999E-4</v>
      </c>
      <c r="P1097">
        <v>0.99812160000000005</v>
      </c>
      <c r="Q1097">
        <v>4.8900800000000001E-2</v>
      </c>
      <c r="R1097">
        <v>-3.6909619999999997E-2</v>
      </c>
      <c r="S1097">
        <v>3.0047000000000001</v>
      </c>
      <c r="T1097">
        <v>-8.9269520000000005E-2</v>
      </c>
      <c r="U1097">
        <v>-0.14471439999999999</v>
      </c>
      <c r="V1097">
        <v>3.7733820000000001E-2</v>
      </c>
      <c r="W1097">
        <v>6.4132339999999996E-2</v>
      </c>
      <c r="X1097">
        <v>0.9972278</v>
      </c>
      <c r="Y1097">
        <v>4.893459E-2</v>
      </c>
      <c r="Z1097">
        <v>-7.5159269999999995E-4</v>
      </c>
      <c r="AA1097">
        <v>0.99880170000000001</v>
      </c>
      <c r="AB1097">
        <v>26</v>
      </c>
      <c r="AC1097">
        <v>35.543599999999998</v>
      </c>
      <c r="AD1097">
        <v>-1.0608166870889999</v>
      </c>
      <c r="AE1097">
        <v>-1.71980000000002</v>
      </c>
      <c r="AF1097">
        <v>1.7484791987144701</v>
      </c>
      <c r="AG1097">
        <v>-1.0608166870889999</v>
      </c>
      <c r="AH1097">
        <v>35.510566962697602</v>
      </c>
      <c r="AI1097">
        <v>91.709034086260502</v>
      </c>
      <c r="AJ1097">
        <v>87.181130989353406</v>
      </c>
      <c r="AK1097">
        <v>35.5694092945634</v>
      </c>
      <c r="AL1097">
        <v>86.322964215699102</v>
      </c>
      <c r="AM1097">
        <v>87.833035045735997</v>
      </c>
      <c r="AN1097">
        <v>1.00000004164925</v>
      </c>
    </row>
    <row r="1098" spans="1:40" x14ac:dyDescent="0.25">
      <c r="A1098" t="str">
        <f>"20190312153910736"</f>
        <v>20190312153910736</v>
      </c>
      <c r="B1098" t="str">
        <f>"1552376350726614"</f>
        <v>1552376350726614</v>
      </c>
      <c r="C1098" t="s">
        <v>40</v>
      </c>
      <c r="D1098">
        <v>4.3747069999999999</v>
      </c>
      <c r="E1098">
        <v>0.50462680000000004</v>
      </c>
      <c r="F1098" t="s">
        <v>42</v>
      </c>
      <c r="G1098">
        <v>-246.13480000000001</v>
      </c>
      <c r="H1098" s="1">
        <v>-2.421008E-6</v>
      </c>
      <c r="I1098">
        <v>366.15809999999999</v>
      </c>
      <c r="J1098">
        <v>-280.9948</v>
      </c>
      <c r="K1098">
        <v>1.060956</v>
      </c>
      <c r="L1098">
        <v>367.7989</v>
      </c>
      <c r="M1098">
        <v>0.9998745</v>
      </c>
      <c r="N1098">
        <v>0</v>
      </c>
      <c r="O1098">
        <v>9.8107069999999992E-4</v>
      </c>
      <c r="P1098">
        <v>0.9981582</v>
      </c>
      <c r="Q1098">
        <v>4.8358150000000003E-2</v>
      </c>
      <c r="R1098">
        <v>-3.6634229999999997E-2</v>
      </c>
      <c r="S1098">
        <v>3.0049130000000002</v>
      </c>
      <c r="T1098">
        <v>-9.1048959999999998E-2</v>
      </c>
      <c r="U1098">
        <v>-0.14080809999999999</v>
      </c>
      <c r="V1098">
        <v>3.7589810000000001E-2</v>
      </c>
      <c r="W1098">
        <v>6.4156130000000006E-2</v>
      </c>
      <c r="X1098">
        <v>0.99723170000000005</v>
      </c>
      <c r="Y1098">
        <v>4.7765700000000001E-2</v>
      </c>
      <c r="Z1098">
        <v>-7.5279579999999995E-4</v>
      </c>
      <c r="AA1098">
        <v>0.99885829999999998</v>
      </c>
      <c r="AB1098">
        <v>26</v>
      </c>
      <c r="AC1098">
        <v>34.8599999999999</v>
      </c>
      <c r="AD1098">
        <v>-1.0609584210079901</v>
      </c>
      <c r="AE1098">
        <v>-1.64080000000001</v>
      </c>
      <c r="AF1098">
        <v>1.6734569489226401</v>
      </c>
      <c r="AG1098">
        <v>-1.0609584210079901</v>
      </c>
      <c r="AH1098">
        <v>34.826185810864501</v>
      </c>
      <c r="AI1098">
        <v>91.742931369900703</v>
      </c>
      <c r="AJ1098">
        <v>87.248957238785906</v>
      </c>
      <c r="AK1098">
        <v>34.882507207250299</v>
      </c>
      <c r="AL1098">
        <v>86.321598305046606</v>
      </c>
      <c r="AM1098">
        <v>87.841305798099299</v>
      </c>
      <c r="AN1098">
        <v>1.00000003315865</v>
      </c>
    </row>
    <row r="1099" spans="1:40" x14ac:dyDescent="0.25">
      <c r="A1099" t="str">
        <f>"20190312153910750"</f>
        <v>20190312153910750</v>
      </c>
      <c r="B1099" t="str">
        <f>"1552376350737350"</f>
        <v>1552376350737350</v>
      </c>
      <c r="C1099" t="s">
        <v>40</v>
      </c>
      <c r="D1099">
        <v>4.3698680000000003</v>
      </c>
      <c r="E1099">
        <v>0.50448400000000004</v>
      </c>
      <c r="F1099" t="s">
        <v>42</v>
      </c>
      <c r="G1099">
        <v>-247.00489999999999</v>
      </c>
      <c r="H1099" s="1">
        <v>-2.0346719999999998E-6</v>
      </c>
      <c r="I1099">
        <v>366.2328</v>
      </c>
      <c r="J1099">
        <v>-280.8603</v>
      </c>
      <c r="K1099">
        <v>1.0612980000000001</v>
      </c>
      <c r="L1099">
        <v>367.79919999999998</v>
      </c>
      <c r="M1099">
        <v>0.99986370000000002</v>
      </c>
      <c r="N1099">
        <v>0</v>
      </c>
      <c r="O1099">
        <v>1.0943579999999999E-3</v>
      </c>
      <c r="P1099">
        <v>0.99820399999999998</v>
      </c>
      <c r="Q1099">
        <v>4.760996E-2</v>
      </c>
      <c r="R1099">
        <v>-3.6362720000000001E-2</v>
      </c>
      <c r="S1099">
        <v>3.0050050000000001</v>
      </c>
      <c r="T1099">
        <v>-9.3797859999999997E-2</v>
      </c>
      <c r="U1099">
        <v>-0.13845829999999901</v>
      </c>
      <c r="V1099">
        <v>3.743287E-2</v>
      </c>
      <c r="W1099">
        <v>6.4059060000000001E-2</v>
      </c>
      <c r="X1099">
        <v>0.99724380000000001</v>
      </c>
      <c r="Y1099">
        <v>4.7096949999999999E-2</v>
      </c>
      <c r="Z1099">
        <v>-7.6860860000000004E-4</v>
      </c>
      <c r="AA1099">
        <v>0.99888999999999994</v>
      </c>
      <c r="AB1099">
        <v>26</v>
      </c>
      <c r="AC1099">
        <v>33.855400000000003</v>
      </c>
      <c r="AD1099">
        <v>-1.0613000346719901</v>
      </c>
      <c r="AE1099">
        <v>-1.56639999999998</v>
      </c>
      <c r="AF1099">
        <v>1.60188321174957</v>
      </c>
      <c r="AG1099">
        <v>-1.0613000346719901</v>
      </c>
      <c r="AH1099">
        <v>33.820500912317698</v>
      </c>
      <c r="AI1099">
        <v>91.795361897567503</v>
      </c>
      <c r="AJ1099">
        <v>87.288254049224605</v>
      </c>
      <c r="AK1099">
        <v>33.875044937944601</v>
      </c>
      <c r="AL1099">
        <v>86.327171310688101</v>
      </c>
      <c r="AM1099">
        <v>87.850336077754804</v>
      </c>
      <c r="AN1099">
        <v>0.99999998978147997</v>
      </c>
    </row>
    <row r="1100" spans="1:40" x14ac:dyDescent="0.25">
      <c r="A1100" t="str">
        <f>"20190312153910762"</f>
        <v>20190312153910762</v>
      </c>
      <c r="B1100" t="str">
        <f>"1552376350756870"</f>
        <v>1552376350756870</v>
      </c>
      <c r="C1100" t="s">
        <v>40</v>
      </c>
      <c r="D1100">
        <v>4.406574</v>
      </c>
      <c r="E1100">
        <v>0.48730869999999998</v>
      </c>
      <c r="F1100" t="s">
        <v>42</v>
      </c>
      <c r="G1100">
        <v>-247.66810000000001</v>
      </c>
      <c r="H1100" s="1">
        <v>-1.764046E-6</v>
      </c>
      <c r="I1100">
        <v>366.2928</v>
      </c>
      <c r="J1100">
        <v>-280.71530000000001</v>
      </c>
      <c r="K1100">
        <v>1.0617239999999999</v>
      </c>
      <c r="L1100">
        <v>367.79950000000002</v>
      </c>
      <c r="M1100">
        <v>0.99985409999999997</v>
      </c>
      <c r="N1100">
        <v>0</v>
      </c>
      <c r="O1100">
        <v>1.216967E-3</v>
      </c>
      <c r="P1100">
        <v>0.99824400000000002</v>
      </c>
      <c r="Q1100">
        <v>4.7014840000000002E-2</v>
      </c>
      <c r="R1100">
        <v>-3.6037560000000003E-2</v>
      </c>
      <c r="S1100">
        <v>3.0050050000000001</v>
      </c>
      <c r="T1100">
        <v>-9.6083050000000003E-2</v>
      </c>
      <c r="U1100">
        <v>-0.13638310000000001</v>
      </c>
      <c r="V1100">
        <v>3.7231109999999998E-2</v>
      </c>
      <c r="W1100">
        <v>6.402766E-2</v>
      </c>
      <c r="X1100">
        <v>0.99725339999999996</v>
      </c>
      <c r="Y1100">
        <v>4.6530139999999998E-2</v>
      </c>
      <c r="Z1100">
        <v>-7.8220049999999999E-4</v>
      </c>
      <c r="AA1100">
        <v>0.99891660000000004</v>
      </c>
      <c r="AB1100">
        <v>25</v>
      </c>
      <c r="AC1100">
        <v>33.047199999999997</v>
      </c>
      <c r="AD1100">
        <v>-1.0617257640459901</v>
      </c>
      <c r="AE1100">
        <v>-1.5067000000000199</v>
      </c>
      <c r="AF1100">
        <v>1.5453303244713701</v>
      </c>
      <c r="AG1100">
        <v>-1.0617257640459901</v>
      </c>
      <c r="AH1100">
        <v>33.011338693147302</v>
      </c>
      <c r="AI1100">
        <v>91.840124332415002</v>
      </c>
      <c r="AJ1100">
        <v>87.319820444796207</v>
      </c>
      <c r="AK1100">
        <v>33.064539762764802</v>
      </c>
      <c r="AL1100">
        <v>86.328974211300704</v>
      </c>
      <c r="AM1100">
        <v>87.861932364862398</v>
      </c>
      <c r="AN1100">
        <v>1.0000000203042301</v>
      </c>
    </row>
    <row r="1101" spans="1:40" x14ac:dyDescent="0.25">
      <c r="A1101" t="str">
        <f>"20190312153910775"</f>
        <v>20190312153910775</v>
      </c>
      <c r="B1101" t="str">
        <f>"1552376350766630"</f>
        <v>1552376350766630</v>
      </c>
      <c r="C1101" t="s">
        <v>40</v>
      </c>
      <c r="D1101">
        <v>4.4350149999999999</v>
      </c>
      <c r="E1101">
        <v>0.48197479999999998</v>
      </c>
      <c r="F1101" t="s">
        <v>42</v>
      </c>
      <c r="G1101">
        <v>-253.82409999999999</v>
      </c>
      <c r="H1101" s="1">
        <v>-2.9502309999999999E-6</v>
      </c>
      <c r="I1101">
        <v>367.82100000000003</v>
      </c>
      <c r="J1101">
        <v>-280.56659999999999</v>
      </c>
      <c r="K1101">
        <v>1.0622549999999999</v>
      </c>
      <c r="L1101">
        <v>367.7998</v>
      </c>
      <c r="M1101">
        <v>0.99984839999999997</v>
      </c>
      <c r="N1101">
        <v>0</v>
      </c>
      <c r="O1101">
        <v>1.3440639999999901E-3</v>
      </c>
      <c r="P1101">
        <v>0.99827169999999998</v>
      </c>
      <c r="Q1101">
        <v>4.665507E-2</v>
      </c>
      <c r="R1101">
        <v>-3.5741309999999998E-2</v>
      </c>
      <c r="S1101">
        <v>3.0109859999999999</v>
      </c>
      <c r="T1101">
        <v>-0.1188805</v>
      </c>
      <c r="U1101">
        <v>2.4108889999999998E-3</v>
      </c>
      <c r="V1101">
        <v>3.7061620000000003E-2</v>
      </c>
      <c r="W1101">
        <v>6.3996250000000005E-2</v>
      </c>
      <c r="X1101">
        <v>0.99726170000000003</v>
      </c>
      <c r="Y1101">
        <v>5.4209989999999997E-4</v>
      </c>
      <c r="Z1101" s="1">
        <v>-6.3751459999999998E-5</v>
      </c>
      <c r="AA1101">
        <v>0.99999990000000005</v>
      </c>
      <c r="AB1101">
        <v>25</v>
      </c>
      <c r="AC1101">
        <v>26.7425</v>
      </c>
      <c r="AD1101">
        <v>-1.0622579502309999</v>
      </c>
      <c r="AE1101">
        <v>2.1199999999964799E-2</v>
      </c>
      <c r="AF1101">
        <v>1.47258334541161E-2</v>
      </c>
      <c r="AG1101">
        <v>-1.0622579502309999</v>
      </c>
      <c r="AH1101">
        <v>26.7003761190049</v>
      </c>
      <c r="AI1101">
        <v>92.278275296434003</v>
      </c>
      <c r="AJ1101">
        <v>89.968400144723503</v>
      </c>
      <c r="AK1101">
        <v>26.721502459617199</v>
      </c>
      <c r="AL1101">
        <v>86.330777462438505</v>
      </c>
      <c r="AM1101">
        <v>87.871674377702305</v>
      </c>
      <c r="AN1101">
        <v>0.99999999098898795</v>
      </c>
    </row>
    <row r="1102" spans="1:40" x14ac:dyDescent="0.25">
      <c r="A1102" t="str">
        <f>"20190312153910790"</f>
        <v>20190312153910790</v>
      </c>
      <c r="B1102" t="str">
        <f>"1552376350787126"</f>
        <v>1552376350787126</v>
      </c>
      <c r="C1102" t="s">
        <v>40</v>
      </c>
      <c r="D1102">
        <v>4.4295939999999998</v>
      </c>
      <c r="E1102">
        <v>0.47559069999999998</v>
      </c>
      <c r="F1102" t="s">
        <v>42</v>
      </c>
      <c r="G1102">
        <v>-249.8717</v>
      </c>
      <c r="H1102" s="1">
        <v>-3.9426040000000001E-7</v>
      </c>
      <c r="I1102">
        <v>368.2604</v>
      </c>
      <c r="J1102">
        <v>-280.39859999999999</v>
      </c>
      <c r="K1102">
        <v>1.0627949999999999</v>
      </c>
      <c r="L1102">
        <v>367.80020000000002</v>
      </c>
      <c r="M1102">
        <v>0.99986050000000004</v>
      </c>
      <c r="N1102">
        <v>0</v>
      </c>
      <c r="O1102">
        <v>1.505188E-3</v>
      </c>
      <c r="P1102">
        <v>0.9982548</v>
      </c>
      <c r="Q1102">
        <v>4.7171089999999999E-2</v>
      </c>
      <c r="R1102">
        <v>-3.552574E-2</v>
      </c>
      <c r="S1102">
        <v>3.0116879999999999</v>
      </c>
      <c r="T1102">
        <v>-0.10422530000000001</v>
      </c>
      <c r="U1102">
        <v>4.5196529999999999E-2</v>
      </c>
      <c r="V1102">
        <v>3.7006320000000002E-2</v>
      </c>
      <c r="W1102">
        <v>6.3787819999999995E-2</v>
      </c>
      <c r="X1102">
        <v>0.99727710000000003</v>
      </c>
      <c r="Y1102">
        <v>-1.349293E-2</v>
      </c>
      <c r="Z1102">
        <v>1.81313E-4</v>
      </c>
      <c r="AA1102">
        <v>0.99990889999999999</v>
      </c>
      <c r="AB1102">
        <v>25</v>
      </c>
      <c r="AC1102">
        <v>30.526899999999898</v>
      </c>
      <c r="AD1102">
        <v>-1.0627953942604</v>
      </c>
      <c r="AE1102">
        <v>0.46019999999998601</v>
      </c>
      <c r="AF1102">
        <v>-0.41374301758285797</v>
      </c>
      <c r="AG1102">
        <v>-1.0627953942604</v>
      </c>
      <c r="AH1102">
        <v>30.490609308261899</v>
      </c>
      <c r="AI1102">
        <v>91.996137493940793</v>
      </c>
      <c r="AJ1102">
        <v>90.777428671154794</v>
      </c>
      <c r="AK1102">
        <v>30.511931655071098</v>
      </c>
      <c r="AL1102">
        <v>86.342744046063402</v>
      </c>
      <c r="AM1102">
        <v>87.874879945491301</v>
      </c>
      <c r="AN1102">
        <v>0.99999998394235201</v>
      </c>
    </row>
    <row r="1103" spans="1:40" x14ac:dyDescent="0.25">
      <c r="A1103" t="str">
        <f>"20190312153910805"</f>
        <v>20190312153910805</v>
      </c>
      <c r="B1103" t="str">
        <f>"1552376350797394"</f>
        <v>1552376350797394</v>
      </c>
      <c r="C1103" t="s">
        <v>40</v>
      </c>
      <c r="D1103">
        <v>4.4776150000000001</v>
      </c>
      <c r="E1103">
        <v>0.47384219999999999</v>
      </c>
      <c r="F1103" t="s">
        <v>42</v>
      </c>
      <c r="G1103">
        <v>-246.87200000000001</v>
      </c>
      <c r="H1103" s="1">
        <v>-1.5911019999999999E-6</v>
      </c>
      <c r="I1103">
        <v>368.87220000000002</v>
      </c>
      <c r="J1103">
        <v>-280.23989999999998</v>
      </c>
      <c r="K1103">
        <v>1.0633319999999999</v>
      </c>
      <c r="L1103">
        <v>367.80070000000001</v>
      </c>
      <c r="M1103">
        <v>0.99987899999999996</v>
      </c>
      <c r="N1103">
        <v>0</v>
      </c>
      <c r="O1103">
        <v>1.657419E-3</v>
      </c>
      <c r="P1103">
        <v>0.99821309999999996</v>
      </c>
      <c r="Q1103">
        <v>4.8204709999999998E-2</v>
      </c>
      <c r="R1103">
        <v>-3.5310429999999997E-2</v>
      </c>
      <c r="S1103">
        <v>3.013153</v>
      </c>
      <c r="T1103">
        <v>-9.551722E-2</v>
      </c>
      <c r="U1103">
        <v>9.6343990000000004E-2</v>
      </c>
      <c r="V1103">
        <v>3.6941889999999998E-2</v>
      </c>
      <c r="W1103">
        <v>6.3650300000000007E-2</v>
      </c>
      <c r="X1103">
        <v>0.99728830000000002</v>
      </c>
      <c r="Y1103">
        <v>-3.0286960000000002E-2</v>
      </c>
      <c r="Z1103">
        <v>4.2728699999999999E-4</v>
      </c>
      <c r="AA1103">
        <v>0.99954120000000002</v>
      </c>
      <c r="AB1103">
        <v>25</v>
      </c>
      <c r="AC1103">
        <v>33.367899999999899</v>
      </c>
      <c r="AD1103">
        <v>-1.0633335911020001</v>
      </c>
      <c r="AE1103">
        <v>1.0715000000000101</v>
      </c>
      <c r="AF1103">
        <v>-1.0151574859960999</v>
      </c>
      <c r="AG1103">
        <v>-1.0633335911020001</v>
      </c>
      <c r="AH1103">
        <v>33.335812540155501</v>
      </c>
      <c r="AI1103">
        <v>91.8261344564457</v>
      </c>
      <c r="AJ1103">
        <v>91.744258365854407</v>
      </c>
      <c r="AK1103">
        <v>33.368212729478401</v>
      </c>
      <c r="AL1103">
        <v>86.350639496333102</v>
      </c>
      <c r="AM1103">
        <v>87.878600313407006</v>
      </c>
      <c r="AN1103">
        <v>1.0000000086218701</v>
      </c>
    </row>
    <row r="1104" spans="1:40" x14ac:dyDescent="0.25">
      <c r="A1104" t="str">
        <f>"20190312153910824"</f>
        <v>20190312153910824</v>
      </c>
      <c r="B1104" t="str">
        <f>"1552376350816914"</f>
        <v>1552376350816914</v>
      </c>
      <c r="C1104" t="s">
        <v>40</v>
      </c>
      <c r="D1104">
        <v>4.4547639999999999</v>
      </c>
      <c r="E1104">
        <v>0.47280620000000001</v>
      </c>
      <c r="F1104" t="s">
        <v>42</v>
      </c>
      <c r="G1104">
        <v>-243.7313</v>
      </c>
      <c r="H1104" s="1">
        <v>-3.027628E-6</v>
      </c>
      <c r="I1104">
        <v>369.14350000000002</v>
      </c>
      <c r="J1104">
        <v>-280.0222</v>
      </c>
      <c r="K1104">
        <v>1.0641879999999999</v>
      </c>
      <c r="L1104">
        <v>367.80130000000003</v>
      </c>
      <c r="M1104">
        <v>0.99990809999999997</v>
      </c>
      <c r="N1104">
        <v>0</v>
      </c>
      <c r="O1104">
        <v>1.864947E-3</v>
      </c>
      <c r="P1104">
        <v>0.99814080000000005</v>
      </c>
      <c r="Q1104">
        <v>4.9878850000000002E-2</v>
      </c>
      <c r="R1104">
        <v>-3.5033700000000001E-2</v>
      </c>
      <c r="S1104">
        <v>3.01355</v>
      </c>
      <c r="T1104">
        <v>-8.7771360000000007E-2</v>
      </c>
      <c r="U1104">
        <v>0.1108398</v>
      </c>
      <c r="V1104">
        <v>3.6870809999999997E-2</v>
      </c>
      <c r="W1104">
        <v>6.3284350000000003E-2</v>
      </c>
      <c r="X1104">
        <v>0.99731420000000004</v>
      </c>
      <c r="Y1104">
        <v>-3.4877739999999997E-2</v>
      </c>
      <c r="Z1104">
        <v>4.5334569999999999E-4</v>
      </c>
      <c r="AA1104">
        <v>0.99939149999999999</v>
      </c>
      <c r="AB1104">
        <v>25</v>
      </c>
      <c r="AC1104">
        <v>36.290899999999901</v>
      </c>
      <c r="AD1104">
        <v>-1.064191027628</v>
      </c>
      <c r="AE1104">
        <v>1.3421999999999901</v>
      </c>
      <c r="AF1104">
        <v>-1.27341745247771</v>
      </c>
      <c r="AG1104">
        <v>-1.064191027628</v>
      </c>
      <c r="AH1104">
        <v>36.262201266827603</v>
      </c>
      <c r="AI1104">
        <v>91.679948472811503</v>
      </c>
      <c r="AJ1104">
        <v>92.011225827679695</v>
      </c>
      <c r="AK1104">
        <v>36.300156132825002</v>
      </c>
      <c r="AL1104">
        <v>86.371649174897996</v>
      </c>
      <c r="AM1104">
        <v>87.882733322431093</v>
      </c>
      <c r="AN1104">
        <v>0.99999998955330904</v>
      </c>
    </row>
    <row r="1105" spans="1:40" x14ac:dyDescent="0.25">
      <c r="A1105" t="str">
        <f>"20190312153910837"</f>
        <v>20190312153910837</v>
      </c>
      <c r="B1105" t="str">
        <f>"1552376350826674"</f>
        <v>1552376350826674</v>
      </c>
      <c r="C1105" t="s">
        <v>40</v>
      </c>
      <c r="D1105">
        <v>4.4575680000000002</v>
      </c>
      <c r="E1105">
        <v>0.47250629999999999</v>
      </c>
      <c r="F1105" t="s">
        <v>42</v>
      </c>
      <c r="G1105">
        <v>-236.66249999999999</v>
      </c>
      <c r="H1105" s="1">
        <v>-1.430203E-6</v>
      </c>
      <c r="I1105">
        <v>369.5256</v>
      </c>
      <c r="J1105">
        <v>-279.87549999999999</v>
      </c>
      <c r="K1105">
        <v>1.06487</v>
      </c>
      <c r="L1105">
        <v>367.80180000000001</v>
      </c>
      <c r="M1105">
        <v>0.99992559999999997</v>
      </c>
      <c r="N1105">
        <v>0</v>
      </c>
      <c r="O1105">
        <v>2.0065600000000001E-3</v>
      </c>
      <c r="P1105">
        <v>0.99807449999999998</v>
      </c>
      <c r="Q1105">
        <v>5.1317340000000003E-2</v>
      </c>
      <c r="R1105">
        <v>-3.484143E-2</v>
      </c>
      <c r="S1105">
        <v>3.0134889999999999</v>
      </c>
      <c r="T1105">
        <v>-7.3960780000000004E-2</v>
      </c>
      <c r="U1105">
        <v>0.1198425</v>
      </c>
      <c r="V1105">
        <v>3.6819730000000002E-2</v>
      </c>
      <c r="W1105">
        <v>6.3339080000000006E-2</v>
      </c>
      <c r="X1105">
        <v>0.99731259999999999</v>
      </c>
      <c r="Y1105">
        <v>-3.7721350000000001E-2</v>
      </c>
      <c r="Z1105">
        <v>4.13426E-4</v>
      </c>
      <c r="AA1105">
        <v>0.99928819999999996</v>
      </c>
      <c r="AB1105">
        <v>25</v>
      </c>
      <c r="AC1105">
        <v>43.213000000000001</v>
      </c>
      <c r="AD1105">
        <v>-1.064871430203</v>
      </c>
      <c r="AE1105">
        <v>1.72379999999998</v>
      </c>
      <c r="AF1105">
        <v>-1.6360888429714799</v>
      </c>
      <c r="AG1105">
        <v>-1.064871430203</v>
      </c>
      <c r="AH1105">
        <v>43.190186700570997</v>
      </c>
      <c r="AI1105">
        <v>91.411352502554706</v>
      </c>
      <c r="AJ1105">
        <v>92.169385982159099</v>
      </c>
      <c r="AK1105">
        <v>43.234279976601201</v>
      </c>
      <c r="AL1105">
        <v>86.368507026960799</v>
      </c>
      <c r="AM1105">
        <v>87.885660483592005</v>
      </c>
      <c r="AN1105">
        <v>0.99999997684563902</v>
      </c>
    </row>
    <row r="1106" spans="1:40" x14ac:dyDescent="0.25">
      <c r="A1106" t="str">
        <f>"20190312153910857"</f>
        <v>20190312153910857</v>
      </c>
      <c r="B1106" t="str">
        <f>"1552376350847170"</f>
        <v>1552376350847170</v>
      </c>
      <c r="C1106" t="s">
        <v>40</v>
      </c>
      <c r="D1106">
        <v>4.4584659999999996</v>
      </c>
      <c r="E1106">
        <v>0.47214499999999998</v>
      </c>
      <c r="F1106" t="s">
        <v>42</v>
      </c>
      <c r="G1106">
        <v>-232.23009999999999</v>
      </c>
      <c r="H1106" s="1">
        <v>-3.3471530000000001E-6</v>
      </c>
      <c r="I1106">
        <v>369.73509999999999</v>
      </c>
      <c r="J1106">
        <v>-279.64940000000001</v>
      </c>
      <c r="K1106">
        <v>1.0661639999999999</v>
      </c>
      <c r="L1106">
        <v>367.80250000000001</v>
      </c>
      <c r="M1106">
        <v>0.99994590000000005</v>
      </c>
      <c r="N1106">
        <v>0</v>
      </c>
      <c r="O1106">
        <v>2.2343200000000001E-3</v>
      </c>
      <c r="P1106">
        <v>0.99796859999999998</v>
      </c>
      <c r="Q1106">
        <v>5.3564019999999997E-2</v>
      </c>
      <c r="R1106">
        <v>-3.4491340000000002E-2</v>
      </c>
      <c r="S1106">
        <v>3.0134889999999999</v>
      </c>
      <c r="T1106">
        <v>-6.7351220000000003E-2</v>
      </c>
      <c r="U1106">
        <v>0.1222839</v>
      </c>
      <c r="V1106">
        <v>3.6697800000000003E-2</v>
      </c>
      <c r="W1106">
        <v>6.3712630000000006E-2</v>
      </c>
      <c r="X1106">
        <v>0.99729330000000005</v>
      </c>
      <c r="Y1106">
        <v>-3.8303799999999999E-2</v>
      </c>
      <c r="Z1106">
        <v>3.7790190000000002E-4</v>
      </c>
      <c r="AA1106">
        <v>0.99926610000000005</v>
      </c>
      <c r="AB1106">
        <v>25</v>
      </c>
      <c r="AC1106">
        <v>47.4193</v>
      </c>
      <c r="AD1106">
        <v>-1.066167347153</v>
      </c>
      <c r="AE1106">
        <v>1.9325999999999799</v>
      </c>
      <c r="AF1106">
        <v>-1.8257184062459899</v>
      </c>
      <c r="AG1106">
        <v>-1.066167347153</v>
      </c>
      <c r="AH1106">
        <v>47.399578076312203</v>
      </c>
      <c r="AI1106">
        <v>91.287592663727096</v>
      </c>
      <c r="AJ1106">
        <v>92.205806004011905</v>
      </c>
      <c r="AK1106">
        <v>47.4467065487528</v>
      </c>
      <c r="AL1106">
        <v>86.3470608713167</v>
      </c>
      <c r="AM1106">
        <v>87.892615134353704</v>
      </c>
      <c r="AN1106">
        <v>0.99999997698562304</v>
      </c>
    </row>
    <row r="1107" spans="1:40" x14ac:dyDescent="0.25">
      <c r="A1107" t="str">
        <f>"20190312153910870"</f>
        <v>20190312153910870</v>
      </c>
      <c r="B1107" t="str">
        <f>"1552376350856930"</f>
        <v>1552376350856930</v>
      </c>
      <c r="C1107" t="s">
        <v>40</v>
      </c>
      <c r="D1107">
        <v>4.5092429999999997</v>
      </c>
      <c r="E1107">
        <v>0.47193770000000002</v>
      </c>
      <c r="F1107" t="s">
        <v>42</v>
      </c>
      <c r="G1107">
        <v>-223.7012</v>
      </c>
      <c r="H1107" s="1">
        <v>-2.8248769999999998E-6</v>
      </c>
      <c r="I1107">
        <v>370.14409999999998</v>
      </c>
      <c r="J1107">
        <v>-279.50439999999998</v>
      </c>
      <c r="K1107">
        <v>1.067078</v>
      </c>
      <c r="L1107">
        <v>367.803</v>
      </c>
      <c r="M1107">
        <v>0.99995610000000001</v>
      </c>
      <c r="N1107">
        <v>0</v>
      </c>
      <c r="O1107">
        <v>2.3889480000000001E-3</v>
      </c>
      <c r="P1107">
        <v>0.99791059999999998</v>
      </c>
      <c r="Q1107">
        <v>5.4785500000000001E-2</v>
      </c>
      <c r="R1107">
        <v>-3.425284E-2</v>
      </c>
      <c r="S1107">
        <v>3.01355</v>
      </c>
      <c r="T1107">
        <v>-5.742717E-2</v>
      </c>
      <c r="U1107">
        <v>0.1261292</v>
      </c>
      <c r="V1107">
        <v>3.661437E-2</v>
      </c>
      <c r="W1107">
        <v>6.3851110000000003E-2</v>
      </c>
      <c r="X1107">
        <v>0.99728749999999999</v>
      </c>
      <c r="Y1107">
        <v>-3.9423609999999998E-2</v>
      </c>
      <c r="Z1107">
        <v>3.2993429999999998E-4</v>
      </c>
      <c r="AA1107">
        <v>0.99922250000000001</v>
      </c>
      <c r="AB1107">
        <v>25</v>
      </c>
      <c r="AC1107">
        <v>55.803199999999897</v>
      </c>
      <c r="AD1107">
        <v>-1.0670808248770001</v>
      </c>
      <c r="AE1107">
        <v>2.34109999999992</v>
      </c>
      <c r="AF1107">
        <v>-2.2069713224785801</v>
      </c>
      <c r="AG1107">
        <v>-1.0670808248770001</v>
      </c>
      <c r="AH1107">
        <v>55.788270096346203</v>
      </c>
      <c r="AI1107">
        <v>91.094925617998101</v>
      </c>
      <c r="AJ1107">
        <v>92.265426766905094</v>
      </c>
      <c r="AK1107">
        <v>55.842102971216399</v>
      </c>
      <c r="AL1107">
        <v>86.339110326645795</v>
      </c>
      <c r="AM1107">
        <v>87.897389610930901</v>
      </c>
      <c r="AN1107">
        <v>0.99999996699748805</v>
      </c>
    </row>
    <row r="1108" spans="1:40" x14ac:dyDescent="0.25">
      <c r="A1108" t="str">
        <f>"20190312153910883"</f>
        <v>20190312153910883</v>
      </c>
      <c r="B1108" t="str">
        <f>"1552376350877426"</f>
        <v>1552376350877426</v>
      </c>
      <c r="C1108" t="s">
        <v>40</v>
      </c>
      <c r="D1108">
        <v>4.4591849999999997</v>
      </c>
      <c r="E1108">
        <v>0.4716574</v>
      </c>
      <c r="F1108" t="s">
        <v>42</v>
      </c>
      <c r="G1108">
        <v>-218.63630000000001</v>
      </c>
      <c r="H1108" s="1">
        <v>-7.7579719999999995E-7</v>
      </c>
      <c r="I1108">
        <v>370.39980000000003</v>
      </c>
      <c r="J1108">
        <v>-279.36489999999998</v>
      </c>
      <c r="K1108">
        <v>1.067963</v>
      </c>
      <c r="L1108">
        <v>367.80340000000001</v>
      </c>
      <c r="M1108">
        <v>0.99996439999999998</v>
      </c>
      <c r="N1108">
        <v>0</v>
      </c>
      <c r="O1108">
        <v>2.5382360000000001E-3</v>
      </c>
      <c r="P1108">
        <v>0.99784729999999999</v>
      </c>
      <c r="Q1108">
        <v>5.6000719999999997E-2</v>
      </c>
      <c r="R1108">
        <v>-3.4127270000000001E-2</v>
      </c>
      <c r="S1108">
        <v>3.01355</v>
      </c>
      <c r="T1108">
        <v>-5.2830460000000003E-2</v>
      </c>
      <c r="U1108">
        <v>0.12857060000000001</v>
      </c>
      <c r="V1108">
        <v>3.6638619999999997E-2</v>
      </c>
      <c r="W1108">
        <v>6.4047160000000006E-2</v>
      </c>
      <c r="X1108">
        <v>0.99727410000000005</v>
      </c>
      <c r="Y1108">
        <v>-4.0083470000000003E-2</v>
      </c>
      <c r="Z1108">
        <v>3.0668960000000001E-4</v>
      </c>
      <c r="AA1108">
        <v>0.99919630000000004</v>
      </c>
      <c r="AB1108">
        <v>25</v>
      </c>
      <c r="AC1108">
        <v>60.728599999999901</v>
      </c>
      <c r="AD1108">
        <v>-1.06796377579719</v>
      </c>
      <c r="AE1108">
        <v>2.5964000000000098</v>
      </c>
      <c r="AF1108">
        <v>-2.44148944360456</v>
      </c>
      <c r="AG1108">
        <v>-1.06796377579719</v>
      </c>
      <c r="AH1108">
        <v>60.716251883508598</v>
      </c>
      <c r="AI1108">
        <v>91.006882180996499</v>
      </c>
      <c r="AJ1108">
        <v>92.302706643310103</v>
      </c>
      <c r="AK1108">
        <v>60.774704113729001</v>
      </c>
      <c r="AL1108">
        <v>86.327854677156594</v>
      </c>
      <c r="AM1108">
        <v>87.895970040570603</v>
      </c>
      <c r="AN1108">
        <v>1.00000002885518</v>
      </c>
    </row>
    <row r="1109" spans="1:40" x14ac:dyDescent="0.25">
      <c r="A1109" t="str">
        <f>"20190312153910894"</f>
        <v>20190312153910894</v>
      </c>
      <c r="B1109" t="str">
        <f>"1552376350887188"</f>
        <v>1552376350887188</v>
      </c>
      <c r="C1109" t="s">
        <v>40</v>
      </c>
      <c r="D1109">
        <v>4.4714780000000003</v>
      </c>
      <c r="E1109">
        <v>0.47137279999999998</v>
      </c>
      <c r="F1109" t="s">
        <v>42</v>
      </c>
      <c r="G1109">
        <v>-210.9522</v>
      </c>
      <c r="H1109" s="1">
        <v>-4.1590490000000002E-6</v>
      </c>
      <c r="I1109">
        <v>370.78379999999999</v>
      </c>
      <c r="J1109">
        <v>-279.22570000000002</v>
      </c>
      <c r="K1109">
        <v>1.0688569999999999</v>
      </c>
      <c r="L1109">
        <v>367.80399999999997</v>
      </c>
      <c r="M1109">
        <v>0.99997139999999995</v>
      </c>
      <c r="N1109">
        <v>0</v>
      </c>
      <c r="O1109">
        <v>2.6881090000000002E-3</v>
      </c>
      <c r="P1109">
        <v>0.99778299999999998</v>
      </c>
      <c r="Q1109">
        <v>5.719672E-2</v>
      </c>
      <c r="R1109">
        <v>-3.4021320000000001E-2</v>
      </c>
      <c r="S1109">
        <v>3.013611</v>
      </c>
      <c r="T1109">
        <v>-4.70444E-2</v>
      </c>
      <c r="U1109">
        <v>0.1312866</v>
      </c>
      <c r="V1109">
        <v>3.6682369999999999E-2</v>
      </c>
      <c r="W1109">
        <v>6.4255599999999996E-2</v>
      </c>
      <c r="X1109">
        <v>0.99725909999999995</v>
      </c>
      <c r="Y1109">
        <v>-4.0832849999999997E-2</v>
      </c>
      <c r="Z1109">
        <v>2.7660199999999998E-4</v>
      </c>
      <c r="AA1109">
        <v>0.999166</v>
      </c>
      <c r="AB1109">
        <v>25</v>
      </c>
      <c r="AC1109">
        <v>68.273499999999999</v>
      </c>
      <c r="AD1109">
        <v>-1.068861159049</v>
      </c>
      <c r="AE1109">
        <v>2.9797999999999498</v>
      </c>
      <c r="AF1109">
        <v>-2.7955741533094201</v>
      </c>
      <c r="AG1109">
        <v>-1.068861159049</v>
      </c>
      <c r="AH1109">
        <v>68.264563905896907</v>
      </c>
      <c r="AI1109">
        <v>90.896291574928995</v>
      </c>
      <c r="AJ1109">
        <v>92.345069531726395</v>
      </c>
      <c r="AK1109">
        <v>68.330142574754404</v>
      </c>
      <c r="AL1109">
        <v>86.315887355812706</v>
      </c>
      <c r="AM1109">
        <v>87.893428234241298</v>
      </c>
      <c r="AN1109">
        <v>1.0000000454664899</v>
      </c>
    </row>
    <row r="1110" spans="1:40" x14ac:dyDescent="0.25">
      <c r="A1110" t="str">
        <f>"20190312153910907"</f>
        <v>20190312153910907</v>
      </c>
      <c r="B1110" t="str">
        <f>"1552376350897454"</f>
        <v>1552376350897454</v>
      </c>
      <c r="C1110" t="s">
        <v>40</v>
      </c>
      <c r="D1110">
        <v>4.4577809999999998</v>
      </c>
      <c r="E1110">
        <v>0.47120250000000002</v>
      </c>
      <c r="F1110" t="s">
        <v>49</v>
      </c>
      <c r="G1110">
        <v>-207.65600000000001</v>
      </c>
      <c r="H1110" s="1">
        <v>-5.8486210000000002E-6</v>
      </c>
      <c r="I1110">
        <v>370.98469999999998</v>
      </c>
      <c r="J1110">
        <v>-279.09370000000001</v>
      </c>
      <c r="K1110">
        <v>1.0697000000000001</v>
      </c>
      <c r="L1110">
        <v>367.80450000000002</v>
      </c>
      <c r="M1110">
        <v>0.99997709999999995</v>
      </c>
      <c r="N1110">
        <v>0</v>
      </c>
      <c r="O1110">
        <v>2.8272850000000001E-3</v>
      </c>
      <c r="P1110">
        <v>0.997753</v>
      </c>
      <c r="Q1110">
        <v>5.7864039999999999E-2</v>
      </c>
      <c r="R1110">
        <v>-3.3775010000000001E-2</v>
      </c>
      <c r="S1110">
        <v>3.0138240000000001</v>
      </c>
      <c r="T1110">
        <v>-4.5010210000000002E-2</v>
      </c>
      <c r="U1110">
        <v>0.1339417</v>
      </c>
      <c r="V1110">
        <v>3.6575490000000002E-2</v>
      </c>
      <c r="W1110">
        <v>6.4030980000000001E-2</v>
      </c>
      <c r="X1110">
        <v>0.99727739999999998</v>
      </c>
      <c r="Y1110">
        <v>-4.1569549999999997E-2</v>
      </c>
      <c r="Z1110">
        <v>2.6804029999999998E-4</v>
      </c>
      <c r="AA1110">
        <v>0.99913560000000001</v>
      </c>
      <c r="AB1110">
        <v>25</v>
      </c>
      <c r="AC1110">
        <v>71.437700000000007</v>
      </c>
      <c r="AD1110">
        <v>-1.069705848621</v>
      </c>
      <c r="AE1110">
        <v>3.18019999999995</v>
      </c>
      <c r="AF1110">
        <v>-2.97754243001107</v>
      </c>
      <c r="AG1110">
        <v>-1.069705848621</v>
      </c>
      <c r="AH1110">
        <v>71.430421538410002</v>
      </c>
      <c r="AI1110">
        <v>90.857224146843393</v>
      </c>
      <c r="AJ1110">
        <v>92.386964852987006</v>
      </c>
      <c r="AK1110">
        <v>71.500455597709603</v>
      </c>
      <c r="AL1110">
        <v>86.3287834232123</v>
      </c>
      <c r="AM1110">
        <v>87.899599073482193</v>
      </c>
      <c r="AN1110">
        <v>0.99999997270962904</v>
      </c>
    </row>
    <row r="1111" spans="1:40" x14ac:dyDescent="0.25">
      <c r="A1111" t="str">
        <f>"20190312153910919"</f>
        <v>20190312153910919</v>
      </c>
      <c r="B1111" t="str">
        <f>"1552376350907215"</f>
        <v>1552376350907215</v>
      </c>
      <c r="C1111" t="s">
        <v>40</v>
      </c>
      <c r="D1111">
        <v>4.4459249999999999</v>
      </c>
      <c r="E1111">
        <v>0.47104780000000002</v>
      </c>
      <c r="F1111" t="s">
        <v>49</v>
      </c>
      <c r="G1111">
        <v>-202.53530000000001</v>
      </c>
      <c r="H1111" s="1">
        <v>-3.5671570000000002E-6</v>
      </c>
      <c r="I1111">
        <v>371.26119999999997</v>
      </c>
      <c r="J1111">
        <v>-278.94740000000002</v>
      </c>
      <c r="K1111">
        <v>1.0706209999999901</v>
      </c>
      <c r="L1111">
        <v>367.80500000000001</v>
      </c>
      <c r="M1111">
        <v>0.99998220000000004</v>
      </c>
      <c r="N1111">
        <v>0</v>
      </c>
      <c r="O1111">
        <v>2.9798289999999998E-3</v>
      </c>
      <c r="P1111">
        <v>0.99770700000000001</v>
      </c>
      <c r="Q1111">
        <v>5.8595710000000002E-2</v>
      </c>
      <c r="R1111">
        <v>-3.3876799999999999E-2</v>
      </c>
      <c r="S1111">
        <v>3.0137939999999999</v>
      </c>
      <c r="T1111">
        <v>-4.2109849999999997E-2</v>
      </c>
      <c r="U1111">
        <v>0.1360779</v>
      </c>
      <c r="V1111">
        <v>3.6829529999999999E-2</v>
      </c>
      <c r="W1111">
        <v>6.3801620000000003E-2</v>
      </c>
      <c r="X1111">
        <v>0.99728280000000002</v>
      </c>
      <c r="Y1111">
        <v>-4.2124889999999998E-2</v>
      </c>
      <c r="Z1111">
        <v>2.5251629999999999E-4</v>
      </c>
      <c r="AA1111">
        <v>0.99911229999999995</v>
      </c>
      <c r="AB1111">
        <v>25</v>
      </c>
      <c r="AC1111">
        <v>76.412099999999995</v>
      </c>
      <c r="AD1111">
        <v>-1.0706245671569901</v>
      </c>
      <c r="AE1111">
        <v>3.45619999999996</v>
      </c>
      <c r="AF1111">
        <v>-3.2278542438908202</v>
      </c>
      <c r="AG1111">
        <v>-1.0706245671569901</v>
      </c>
      <c r="AH1111">
        <v>76.407090648798601</v>
      </c>
      <c r="AI1111">
        <v>90.802066930742996</v>
      </c>
      <c r="AJ1111">
        <v>92.419049332950806</v>
      </c>
      <c r="AK1111">
        <v>76.482735185120902</v>
      </c>
      <c r="AL1111">
        <v>86.341951890139001</v>
      </c>
      <c r="AM1111">
        <v>87.885035100065593</v>
      </c>
      <c r="AN1111">
        <v>1.0000000220852401</v>
      </c>
    </row>
    <row r="1112" spans="1:40" x14ac:dyDescent="0.25">
      <c r="A1112" t="str">
        <f>"20190312153910932"</f>
        <v>20190312153910932</v>
      </c>
      <c r="B1112" t="str">
        <f>"1552376350926737"</f>
        <v>1552376350926737</v>
      </c>
      <c r="C1112" t="s">
        <v>40</v>
      </c>
      <c r="D1112">
        <v>4.4369249999999996</v>
      </c>
      <c r="E1112">
        <v>0.47078419999999999</v>
      </c>
      <c r="F1112" t="s">
        <v>49</v>
      </c>
      <c r="G1112">
        <v>-195.51750000000001</v>
      </c>
      <c r="H1112" s="1">
        <v>-1.065696E-5</v>
      </c>
      <c r="I1112">
        <v>371.59309999999999</v>
      </c>
      <c r="J1112">
        <v>-278.79829999999998</v>
      </c>
      <c r="K1112">
        <v>1.071536</v>
      </c>
      <c r="L1112">
        <v>367.8057</v>
      </c>
      <c r="M1112">
        <v>0.99998589999999998</v>
      </c>
      <c r="N1112">
        <v>0</v>
      </c>
      <c r="O1112">
        <v>3.1309829999999999E-3</v>
      </c>
      <c r="P1112">
        <v>0.99766330000000003</v>
      </c>
      <c r="Q1112">
        <v>5.9310460000000002E-2</v>
      </c>
      <c r="R1112">
        <v>-3.3917269999999999E-2</v>
      </c>
      <c r="S1112">
        <v>3.0138240000000001</v>
      </c>
      <c r="T1112">
        <v>-3.8675550000000003E-2</v>
      </c>
      <c r="U1112">
        <v>0.13684079999999901</v>
      </c>
      <c r="V1112">
        <v>3.7020659999999997E-2</v>
      </c>
      <c r="W1112">
        <v>6.3609849999999996E-2</v>
      </c>
      <c r="X1112">
        <v>0.9972879</v>
      </c>
      <c r="Y1112">
        <v>-4.2226420000000001E-2</v>
      </c>
      <c r="Z1112">
        <v>2.3063289999999999E-4</v>
      </c>
      <c r="AA1112">
        <v>0.999108</v>
      </c>
      <c r="AB1112">
        <v>25</v>
      </c>
      <c r="AC1112">
        <v>83.2807999999999</v>
      </c>
      <c r="AD1112">
        <v>-1.0715466569600001</v>
      </c>
      <c r="AE1112">
        <v>3.7873999999999901</v>
      </c>
      <c r="AF1112">
        <v>-3.52604573164313</v>
      </c>
      <c r="AG1112">
        <v>-1.0715466569600001</v>
      </c>
      <c r="AH1112">
        <v>83.278491781394393</v>
      </c>
      <c r="AI1112">
        <v>90.736525878029397</v>
      </c>
      <c r="AJ1112">
        <v>92.424478860379097</v>
      </c>
      <c r="AK1112">
        <v>83.359992827035697</v>
      </c>
      <c r="AL1112">
        <v>86.352961598495398</v>
      </c>
      <c r="AM1112">
        <v>87.874080215512706</v>
      </c>
      <c r="AN1112">
        <v>0.999999948885132</v>
      </c>
    </row>
    <row r="1113" spans="1:40" x14ac:dyDescent="0.25">
      <c r="A1113" t="str">
        <f>"20190312153910947"</f>
        <v>20190312153910947</v>
      </c>
      <c r="B1113" t="str">
        <f>"1552376350937470"</f>
        <v>1552376350937470</v>
      </c>
      <c r="C1113" t="s">
        <v>40</v>
      </c>
      <c r="D1113">
        <v>4.369059</v>
      </c>
      <c r="E1113">
        <v>0.47103830000000002</v>
      </c>
      <c r="F1113" t="s">
        <v>49</v>
      </c>
      <c r="G1113">
        <v>-187.39279999999999</v>
      </c>
      <c r="H1113" s="1">
        <v>-9.0673879999999995E-6</v>
      </c>
      <c r="I1113">
        <v>372.01600000000002</v>
      </c>
      <c r="J1113">
        <v>-278.64420000000001</v>
      </c>
      <c r="K1113">
        <v>1.0725559999999901</v>
      </c>
      <c r="L1113">
        <v>367.80619999999999</v>
      </c>
      <c r="M1113">
        <v>0.99998759999999998</v>
      </c>
      <c r="N1113">
        <v>0</v>
      </c>
      <c r="O1113">
        <v>3.289672E-3</v>
      </c>
      <c r="P1113">
        <v>0.99764679999999994</v>
      </c>
      <c r="Q1113">
        <v>5.9337500000000001E-2</v>
      </c>
      <c r="R1113">
        <v>-3.435212E-2</v>
      </c>
      <c r="S1113">
        <v>3.0138240000000001</v>
      </c>
      <c r="T1113">
        <v>-3.5331010000000003E-2</v>
      </c>
      <c r="U1113">
        <v>0.13882449999999999</v>
      </c>
      <c r="V1113">
        <v>3.7614389999999998E-2</v>
      </c>
      <c r="W1113">
        <v>6.3110650000000004E-2</v>
      </c>
      <c r="X1113">
        <v>0.99729749999999995</v>
      </c>
      <c r="Y1113">
        <v>-4.2724610000000003E-2</v>
      </c>
      <c r="Z1113">
        <v>2.117462E-4</v>
      </c>
      <c r="AA1113">
        <v>0.9990869</v>
      </c>
      <c r="AB1113">
        <v>25</v>
      </c>
      <c r="AC1113">
        <v>91.251400000000004</v>
      </c>
      <c r="AD1113">
        <v>-1.0725650673879901</v>
      </c>
      <c r="AE1113">
        <v>4.2097999999999702</v>
      </c>
      <c r="AF1113">
        <v>-3.9090490372681699</v>
      </c>
      <c r="AG1113">
        <v>-1.0725650673879901</v>
      </c>
      <c r="AH1113">
        <v>91.252174975049996</v>
      </c>
      <c r="AI1113">
        <v>90.672798440419697</v>
      </c>
      <c r="AJ1113">
        <v>92.452929587936694</v>
      </c>
      <c r="AK1113">
        <v>91.342161666323094</v>
      </c>
      <c r="AL1113">
        <v>86.381621604949402</v>
      </c>
      <c r="AM1113">
        <v>87.840037948413297</v>
      </c>
      <c r="AN1113">
        <v>1.00000004999237</v>
      </c>
    </row>
    <row r="1114" spans="1:40" x14ac:dyDescent="0.25">
      <c r="A1114" t="str">
        <f>"20190312153910959"</f>
        <v>20190312153910959</v>
      </c>
      <c r="B1114" t="str">
        <f>"1552376350947231"</f>
        <v>1552376350947231</v>
      </c>
      <c r="C1114" t="s">
        <v>40</v>
      </c>
      <c r="D1114">
        <v>4.4191520000000004</v>
      </c>
      <c r="E1114">
        <v>0.47093190000000001</v>
      </c>
      <c r="F1114" t="s">
        <v>49</v>
      </c>
      <c r="G1114">
        <v>-179.35509999999999</v>
      </c>
      <c r="H1114">
        <v>7.9988370000000003E-2</v>
      </c>
      <c r="I1114">
        <v>372.26760000000002</v>
      </c>
      <c r="J1114">
        <v>-278.50380000000001</v>
      </c>
      <c r="K1114">
        <v>1.0735619999999999</v>
      </c>
      <c r="L1114">
        <v>367.80689999999998</v>
      </c>
      <c r="M1114">
        <v>0.99998799999999999</v>
      </c>
      <c r="N1114">
        <v>0</v>
      </c>
      <c r="O1114">
        <v>3.4368390000000001E-3</v>
      </c>
      <c r="P1114">
        <v>0.99765150000000002</v>
      </c>
      <c r="Q1114">
        <v>5.9252899999999997E-2</v>
      </c>
      <c r="R1114">
        <v>-3.4368709999999997E-2</v>
      </c>
      <c r="S1114">
        <v>3.0135190000000001</v>
      </c>
      <c r="T1114">
        <v>-3.012538E-2</v>
      </c>
      <c r="U1114">
        <v>0.13540650000000001</v>
      </c>
      <c r="V1114">
        <v>3.7778050000000001E-2</v>
      </c>
      <c r="W1114">
        <v>6.2807020000000005E-2</v>
      </c>
      <c r="X1114">
        <v>0.99731049999999999</v>
      </c>
      <c r="Y1114">
        <v>-4.1452160000000002E-2</v>
      </c>
      <c r="Z1114">
        <v>1.7274519999999999E-4</v>
      </c>
      <c r="AA1114">
        <v>0.99914049999999999</v>
      </c>
      <c r="AB1114">
        <v>25</v>
      </c>
      <c r="AC1114">
        <v>99.148700000000005</v>
      </c>
      <c r="AD1114">
        <v>-0.99357362999999999</v>
      </c>
      <c r="AE1114">
        <v>4.4607000000000303</v>
      </c>
      <c r="AF1114">
        <v>-4.1195006092857103</v>
      </c>
      <c r="AG1114">
        <v>-0.99357362999999999</v>
      </c>
      <c r="AH1114">
        <v>99.153508211044397</v>
      </c>
      <c r="AI1114">
        <v>90.573621727337098</v>
      </c>
      <c r="AJ1114">
        <v>92.379082065362496</v>
      </c>
      <c r="AK1114">
        <v>99.244020799168496</v>
      </c>
      <c r="AL1114">
        <v>86.399052968551004</v>
      </c>
      <c r="AM1114">
        <v>87.830677175926894</v>
      </c>
      <c r="AN1114">
        <v>1.0000000681166601</v>
      </c>
    </row>
    <row r="1115" spans="1:40" x14ac:dyDescent="0.25">
      <c r="A1115" t="str">
        <f>"20190312153910981"</f>
        <v>20190312153910981</v>
      </c>
      <c r="B1115" t="str">
        <f>"1552376350976511"</f>
        <v>1552376350976511</v>
      </c>
      <c r="C1115" t="s">
        <v>40</v>
      </c>
      <c r="D1115">
        <v>4.3938439999999996</v>
      </c>
      <c r="E1115">
        <v>0.47053800000000001</v>
      </c>
      <c r="F1115" t="s">
        <v>49</v>
      </c>
      <c r="G1115">
        <v>-179.90530000000001</v>
      </c>
      <c r="H1115">
        <v>7.9988429999999999E-2</v>
      </c>
      <c r="I1115">
        <v>372.25830000000002</v>
      </c>
      <c r="J1115">
        <v>-278.26909999999998</v>
      </c>
      <c r="K1115">
        <v>1.075647</v>
      </c>
      <c r="L1115">
        <v>367.80790000000002</v>
      </c>
      <c r="M1115">
        <v>0.99998569999999998</v>
      </c>
      <c r="N1115">
        <v>0</v>
      </c>
      <c r="O1115">
        <v>3.6932269999999999E-3</v>
      </c>
      <c r="P1115">
        <v>0.99767919999999999</v>
      </c>
      <c r="Q1115">
        <v>5.8659500000000003E-2</v>
      </c>
      <c r="R1115">
        <v>-3.4575210000000002E-2</v>
      </c>
      <c r="S1115">
        <v>3.0135800000000001</v>
      </c>
      <c r="T1115">
        <v>-3.0367729999999999E-2</v>
      </c>
      <c r="U1115">
        <v>0.13604740000000001</v>
      </c>
      <c r="V1115">
        <v>3.8240209999999997E-2</v>
      </c>
      <c r="W1115">
        <v>6.2550990000000001E-2</v>
      </c>
      <c r="X1115">
        <v>0.99730890000000005</v>
      </c>
      <c r="Y1115">
        <v>-4.1407109999999997E-2</v>
      </c>
      <c r="Z1115">
        <v>1.713214E-4</v>
      </c>
      <c r="AA1115">
        <v>0.99914230000000004</v>
      </c>
      <c r="AB1115">
        <v>25</v>
      </c>
      <c r="AC1115">
        <v>98.363799999999898</v>
      </c>
      <c r="AD1115">
        <v>-0.99565857000000002</v>
      </c>
      <c r="AE1115">
        <v>4.4504000000000001</v>
      </c>
      <c r="AF1115">
        <v>-4.0866692277373202</v>
      </c>
      <c r="AG1115">
        <v>-0.99565857000000002</v>
      </c>
      <c r="AH1115">
        <v>98.369507355161005</v>
      </c>
      <c r="AI1115">
        <v>90.579406435048597</v>
      </c>
      <c r="AJ1115">
        <v>92.378931622599794</v>
      </c>
      <c r="AK1115">
        <v>98.459393552174703</v>
      </c>
      <c r="AL1115">
        <v>86.413751029932797</v>
      </c>
      <c r="AM1115">
        <v>87.804160939672002</v>
      </c>
      <c r="AN1115">
        <v>0.99999999101501702</v>
      </c>
    </row>
    <row r="1116" spans="1:40" x14ac:dyDescent="0.25">
      <c r="A1116" t="str">
        <f>"20190312153910996"</f>
        <v>20190312153910996</v>
      </c>
      <c r="B1116" t="str">
        <f>"1552376350987246"</f>
        <v>1552376350987246</v>
      </c>
      <c r="C1116" t="s">
        <v>40</v>
      </c>
      <c r="D1116">
        <v>4.3539219999999998</v>
      </c>
      <c r="E1116">
        <v>0.47045720000000002</v>
      </c>
      <c r="F1116" t="s">
        <v>49</v>
      </c>
      <c r="G1116">
        <v>-180</v>
      </c>
      <c r="H1116">
        <v>4.039181E-2</v>
      </c>
      <c r="I1116">
        <v>372.3177</v>
      </c>
      <c r="J1116">
        <v>-278.09690000000001</v>
      </c>
      <c r="K1116">
        <v>1.0773159999999999</v>
      </c>
      <c r="L1116">
        <v>367.80869999999999</v>
      </c>
      <c r="M1116">
        <v>0.99998410000000004</v>
      </c>
      <c r="N1116">
        <v>0</v>
      </c>
      <c r="O1116">
        <v>3.8770749999999998E-3</v>
      </c>
      <c r="P1116">
        <v>0.9976874</v>
      </c>
      <c r="Q1116">
        <v>5.8525819999999999E-2</v>
      </c>
      <c r="R1116">
        <v>-3.456364E-2</v>
      </c>
      <c r="S1116">
        <v>3.0136409999999998</v>
      </c>
      <c r="T1116">
        <v>-3.1748409999999998E-2</v>
      </c>
      <c r="U1116">
        <v>0.1383057</v>
      </c>
      <c r="V1116">
        <v>3.8411300000000002E-2</v>
      </c>
      <c r="W1116">
        <v>6.2641409999999995E-2</v>
      </c>
      <c r="X1116">
        <v>0.99729659999999998</v>
      </c>
      <c r="Y1116">
        <v>-4.1969470000000002E-2</v>
      </c>
      <c r="Z1116">
        <v>1.8012829999999999E-4</v>
      </c>
      <c r="AA1116">
        <v>0.99911890000000003</v>
      </c>
      <c r="AB1116">
        <v>25</v>
      </c>
      <c r="AC1116">
        <v>98.096900000000005</v>
      </c>
      <c r="AD1116">
        <v>-1.0369241899999999</v>
      </c>
      <c r="AE1116">
        <v>4.5090000000000101</v>
      </c>
      <c r="AF1116">
        <v>-4.1281736001562104</v>
      </c>
      <c r="AG1116">
        <v>-1.0369241899999999</v>
      </c>
      <c r="AH1116">
        <v>98.102706330577803</v>
      </c>
      <c r="AI1116">
        <v>90.605045918853605</v>
      </c>
      <c r="AJ1116">
        <v>92.409591665899299</v>
      </c>
      <c r="AK1116">
        <v>98.194999966558498</v>
      </c>
      <c r="AL1116">
        <v>86.408559987071001</v>
      </c>
      <c r="AM1116">
        <v>87.794319071591104</v>
      </c>
      <c r="AN1116">
        <v>0.99999994129301695</v>
      </c>
    </row>
    <row r="1117" spans="1:40" x14ac:dyDescent="0.25">
      <c r="A1117" t="str">
        <f>"20190312153911015"</f>
        <v>20190312153911015</v>
      </c>
      <c r="B1117" t="str">
        <f>"1552376351007283"</f>
        <v>1552376351007283</v>
      </c>
      <c r="C1117" t="s">
        <v>40</v>
      </c>
      <c r="D1117">
        <v>4.3660050000000004</v>
      </c>
      <c r="E1117">
        <v>0.47036250000000002</v>
      </c>
      <c r="F1117" t="s">
        <v>49</v>
      </c>
      <c r="G1117">
        <v>-180</v>
      </c>
      <c r="H1117">
        <v>3.4253039999999998E-2</v>
      </c>
      <c r="I1117">
        <v>372.33940000000001</v>
      </c>
      <c r="J1117">
        <v>-277.9051</v>
      </c>
      <c r="K1117">
        <v>1.079223</v>
      </c>
      <c r="L1117">
        <v>367.80959999999999</v>
      </c>
      <c r="M1117">
        <v>0.99998350000000003</v>
      </c>
      <c r="N1117">
        <v>0</v>
      </c>
      <c r="O1117">
        <v>4.0800200000000002E-3</v>
      </c>
      <c r="P1117">
        <v>0.99772969999999905</v>
      </c>
      <c r="Q1117">
        <v>5.8337760000000002E-2</v>
      </c>
      <c r="R1117">
        <v>-3.3651899999999998E-2</v>
      </c>
      <c r="S1117">
        <v>3.0137019999999999</v>
      </c>
      <c r="T1117">
        <v>-3.2044650000000001E-2</v>
      </c>
      <c r="U1117">
        <v>0.1391907</v>
      </c>
      <c r="V1117">
        <v>3.7701180000000001E-2</v>
      </c>
      <c r="W1117">
        <v>6.2375399999999998E-2</v>
      </c>
      <c r="X1117">
        <v>0.99734040000000002</v>
      </c>
      <c r="Y1117">
        <v>-4.2058520000000002E-2</v>
      </c>
      <c r="Z1117">
        <v>1.8012059999999999E-4</v>
      </c>
      <c r="AA1117">
        <v>0.99911510000000003</v>
      </c>
      <c r="AB1117">
        <v>25</v>
      </c>
      <c r="AC1117">
        <v>97.905100000000004</v>
      </c>
      <c r="AD1117">
        <v>-1.04496996</v>
      </c>
      <c r="AE1117">
        <v>4.5298000000000203</v>
      </c>
      <c r="AF1117">
        <v>-4.1298348015320103</v>
      </c>
      <c r="AG1117">
        <v>-1.04496996</v>
      </c>
      <c r="AH1117">
        <v>97.911636726490698</v>
      </c>
      <c r="AI1117">
        <v>90.610927519313094</v>
      </c>
      <c r="AJ1117">
        <v>92.4152586770456</v>
      </c>
      <c r="AK1117">
        <v>98.004265744739499</v>
      </c>
      <c r="AL1117">
        <v>86.423831210055496</v>
      </c>
      <c r="AM1117">
        <v>87.835151906803802</v>
      </c>
      <c r="AN1117">
        <v>0.99999997148535502</v>
      </c>
    </row>
    <row r="1118" spans="1:40" x14ac:dyDescent="0.25">
      <c r="A1118" t="str">
        <f>"20190312153911027"</f>
        <v>20190312153911027</v>
      </c>
      <c r="B1118" t="str">
        <f>"1552376351017033"</f>
        <v>1552376351017033</v>
      </c>
      <c r="C1118" t="s">
        <v>40</v>
      </c>
      <c r="D1118">
        <v>4.33833</v>
      </c>
      <c r="E1118">
        <v>0.47028989999999998</v>
      </c>
      <c r="F1118" t="s">
        <v>49</v>
      </c>
      <c r="G1118">
        <v>-179.99100000000001</v>
      </c>
      <c r="H1118">
        <v>5.8974770000000003E-2</v>
      </c>
      <c r="I1118">
        <v>372.43639999999999</v>
      </c>
      <c r="J1118">
        <v>-277.76139999999998</v>
      </c>
      <c r="K1118">
        <v>1.080711</v>
      </c>
      <c r="L1118">
        <v>367.81040000000002</v>
      </c>
      <c r="M1118">
        <v>0.99998339999999997</v>
      </c>
      <c r="N1118">
        <v>0</v>
      </c>
      <c r="O1118">
        <v>4.2283579999999998E-3</v>
      </c>
      <c r="P1118">
        <v>0.99774269999999998</v>
      </c>
      <c r="Q1118">
        <v>5.8296489999999999E-2</v>
      </c>
      <c r="R1118">
        <v>-3.333477E-2</v>
      </c>
      <c r="S1118">
        <v>3.013458</v>
      </c>
      <c r="T1118">
        <v>-3.1399730000000001E-2</v>
      </c>
      <c r="U1118">
        <v>0.14239499999999999</v>
      </c>
      <c r="V1118">
        <v>3.7532040000000003E-2</v>
      </c>
      <c r="W1118">
        <v>6.2251180000000003E-2</v>
      </c>
      <c r="X1118">
        <v>0.99735459999999998</v>
      </c>
      <c r="Y1118">
        <v>-4.2974169999999999E-2</v>
      </c>
      <c r="Z1118">
        <v>1.7972880000000001E-4</v>
      </c>
      <c r="AA1118">
        <v>0.99907619999999997</v>
      </c>
      <c r="AB1118">
        <v>25</v>
      </c>
      <c r="AC1118">
        <v>97.770399999999995</v>
      </c>
      <c r="AD1118">
        <v>-1.0217362299999999</v>
      </c>
      <c r="AE1118">
        <v>4.6259999999999701</v>
      </c>
      <c r="AF1118">
        <v>-4.2120882500659</v>
      </c>
      <c r="AG1118">
        <v>-1.0217362299999999</v>
      </c>
      <c r="AH1118">
        <v>97.778431957669895</v>
      </c>
      <c r="AI1118">
        <v>90.598136069682795</v>
      </c>
      <c r="AJ1118">
        <v>92.466656079139</v>
      </c>
      <c r="AK1118">
        <v>97.874447065874804</v>
      </c>
      <c r="AL1118">
        <v>86.430962562310796</v>
      </c>
      <c r="AM1118">
        <v>87.844885609935105</v>
      </c>
      <c r="AN1118">
        <v>1.00000003078955</v>
      </c>
    </row>
    <row r="1119" spans="1:40" x14ac:dyDescent="0.25">
      <c r="A1119" t="str">
        <f>"20190312153911048"</f>
        <v>20190312153911048</v>
      </c>
      <c r="B1119" t="str">
        <f>"1552376351036553"</f>
        <v>1552376351036553</v>
      </c>
      <c r="C1119" t="s">
        <v>40</v>
      </c>
      <c r="D1119">
        <v>4.2989800000000002</v>
      </c>
      <c r="E1119">
        <v>0.47018120000000002</v>
      </c>
      <c r="F1119" t="s">
        <v>49</v>
      </c>
      <c r="G1119">
        <v>-179.9956</v>
      </c>
      <c r="H1119">
        <v>5.4352600000000001E-2</v>
      </c>
      <c r="I1119">
        <v>372.48450000000003</v>
      </c>
      <c r="J1119">
        <v>-277.5324</v>
      </c>
      <c r="K1119">
        <v>1.0831820000000001</v>
      </c>
      <c r="L1119">
        <v>367.8116</v>
      </c>
      <c r="M1119">
        <v>0.99998229999999999</v>
      </c>
      <c r="N1119">
        <v>0</v>
      </c>
      <c r="O1119">
        <v>4.4581320000000001E-3</v>
      </c>
      <c r="P1119">
        <v>0.99778809999999996</v>
      </c>
      <c r="Q1119">
        <v>5.7972290000000003E-2</v>
      </c>
      <c r="R1119">
        <v>-3.252878E-2</v>
      </c>
      <c r="S1119">
        <v>3.0134889999999999</v>
      </c>
      <c r="T1119">
        <v>-3.1635999999999997E-2</v>
      </c>
      <c r="U1119">
        <v>0.14407349999999999</v>
      </c>
      <c r="V1119">
        <v>3.6955429999999997E-2</v>
      </c>
      <c r="W1119">
        <v>6.1930409999999998E-2</v>
      </c>
      <c r="X1119">
        <v>0.99739610000000001</v>
      </c>
      <c r="Y1119">
        <v>-4.3299299999999999E-2</v>
      </c>
      <c r="Z1119">
        <v>1.8037190000000001E-4</v>
      </c>
      <c r="AA1119">
        <v>0.99906209999999995</v>
      </c>
      <c r="AB1119">
        <v>25</v>
      </c>
      <c r="AC1119">
        <v>97.536799999999999</v>
      </c>
      <c r="AD1119">
        <v>-1.02882939999999</v>
      </c>
      <c r="AE1119">
        <v>4.6729000000000198</v>
      </c>
      <c r="AF1119">
        <v>-4.2375478561632498</v>
      </c>
      <c r="AG1119">
        <v>-1.02882939999999</v>
      </c>
      <c r="AH1119">
        <v>97.5458349156862</v>
      </c>
      <c r="AI1119">
        <v>90.603714750737694</v>
      </c>
      <c r="AJ1119">
        <v>92.487456787444501</v>
      </c>
      <c r="AK1119">
        <v>97.643254816530302</v>
      </c>
      <c r="AL1119">
        <v>86.449376856118903</v>
      </c>
      <c r="AM1119">
        <v>87.878052643633097</v>
      </c>
      <c r="AN1119">
        <v>1.00000002989223</v>
      </c>
    </row>
    <row r="1120" spans="1:40" x14ac:dyDescent="0.25">
      <c r="A1120" t="str">
        <f>"20190312153911061"</f>
        <v>20190312153911061</v>
      </c>
      <c r="B1120" t="str">
        <f>"1552376351057049"</f>
        <v>1552376351057049</v>
      </c>
      <c r="C1120" t="s">
        <v>40</v>
      </c>
      <c r="D1120">
        <v>4.3445229999999997</v>
      </c>
      <c r="E1120">
        <v>0.47009659999999898</v>
      </c>
      <c r="F1120" t="s">
        <v>49</v>
      </c>
      <c r="G1120">
        <v>-180</v>
      </c>
      <c r="H1120">
        <v>4.3049219999999999E-2</v>
      </c>
      <c r="I1120">
        <v>372.58350000000002</v>
      </c>
      <c r="J1120">
        <v>-277.37979999999999</v>
      </c>
      <c r="K1120">
        <v>1.084886</v>
      </c>
      <c r="L1120">
        <v>367.81240000000003</v>
      </c>
      <c r="M1120">
        <v>0.99998089999999995</v>
      </c>
      <c r="N1120">
        <v>0</v>
      </c>
      <c r="O1120">
        <v>4.6067019999999998E-3</v>
      </c>
      <c r="P1120">
        <v>0.9977878</v>
      </c>
      <c r="Q1120">
        <v>5.8039720000000003E-2</v>
      </c>
      <c r="R1120">
        <v>-3.2418040000000002E-2</v>
      </c>
      <c r="S1120">
        <v>3.0132750000000001</v>
      </c>
      <c r="T1120">
        <v>-3.2135009999999999E-2</v>
      </c>
      <c r="U1120">
        <v>0.14743039999999999</v>
      </c>
      <c r="V1120">
        <v>3.6992780000000003E-2</v>
      </c>
      <c r="W1120">
        <v>6.2169309999999998E-2</v>
      </c>
      <c r="X1120">
        <v>0.99737980000000004</v>
      </c>
      <c r="Y1120">
        <v>-4.426451E-2</v>
      </c>
      <c r="Z1120">
        <v>1.8678499999999999E-4</v>
      </c>
      <c r="AA1120">
        <v>0.99901980000000001</v>
      </c>
      <c r="AB1120">
        <v>25</v>
      </c>
      <c r="AC1120">
        <v>97.379800000000003</v>
      </c>
      <c r="AD1120">
        <v>-1.0418367799999999</v>
      </c>
      <c r="AE1120">
        <v>4.7710999999999899</v>
      </c>
      <c r="AF1120">
        <v>-4.32195233086654</v>
      </c>
      <c r="AG1120">
        <v>-1.0418367799999999</v>
      </c>
      <c r="AH1120">
        <v>97.389625193435407</v>
      </c>
      <c r="AI1120">
        <v>90.612302256673203</v>
      </c>
      <c r="AJ1120">
        <v>92.541002271169504</v>
      </c>
      <c r="AK1120">
        <v>97.491044671519802</v>
      </c>
      <c r="AL1120">
        <v>86.435662279654807</v>
      </c>
      <c r="AM1120">
        <v>87.875875322040002</v>
      </c>
      <c r="AN1120">
        <v>0.99999997716302103</v>
      </c>
    </row>
    <row r="1121" spans="1:40" x14ac:dyDescent="0.25">
      <c r="A1121" t="str">
        <f>"20190312153911073"</f>
        <v>20190312153911073</v>
      </c>
      <c r="B1121" t="str">
        <f>"1552376351057049"</f>
        <v>1552376351057049</v>
      </c>
      <c r="C1121" t="s">
        <v>40</v>
      </c>
      <c r="D1121">
        <v>4.3445229999999997</v>
      </c>
      <c r="E1121">
        <v>0.47009659999999898</v>
      </c>
      <c r="F1121" t="s">
        <v>49</v>
      </c>
      <c r="G1121">
        <v>-178.80009999999999</v>
      </c>
      <c r="H1121">
        <v>7.9988459999999997E-2</v>
      </c>
      <c r="I1121">
        <v>372.66559999999998</v>
      </c>
      <c r="J1121">
        <v>-277.23719999999997</v>
      </c>
      <c r="K1121">
        <v>1.0865129999999901</v>
      </c>
      <c r="L1121">
        <v>367.81319999999999</v>
      </c>
      <c r="M1121">
        <v>0.99997879999999995</v>
      </c>
      <c r="N1121">
        <v>0</v>
      </c>
      <c r="O1121">
        <v>4.7432489999999997E-3</v>
      </c>
      <c r="P1121">
        <v>0.99782470000000001</v>
      </c>
      <c r="Q1121">
        <v>5.7603729999999999E-2</v>
      </c>
      <c r="R1121">
        <v>-3.205852E-2</v>
      </c>
      <c r="S1121">
        <v>3.013245</v>
      </c>
      <c r="T1121">
        <v>-3.0716299999999998E-2</v>
      </c>
      <c r="U1121">
        <v>0.148345899999999</v>
      </c>
      <c r="V1121">
        <v>3.6769980000000001E-2</v>
      </c>
      <c r="W1121">
        <v>6.2063670000000001E-2</v>
      </c>
      <c r="X1121">
        <v>0.99739460000000002</v>
      </c>
      <c r="Y1121">
        <v>-4.4431579999999998E-2</v>
      </c>
      <c r="Z1121">
        <v>1.7799959999999999E-4</v>
      </c>
      <c r="AA1121">
        <v>0.99901240000000002</v>
      </c>
      <c r="AB1121">
        <v>25</v>
      </c>
      <c r="AC1121">
        <v>98.437100000000001</v>
      </c>
      <c r="AD1121">
        <v>-1.00652453999999</v>
      </c>
      <c r="AE1121">
        <v>4.8523999999999798</v>
      </c>
      <c r="AF1121">
        <v>-4.3849717457712103</v>
      </c>
      <c r="AG1121">
        <v>-1.00652453999999</v>
      </c>
      <c r="AH1121">
        <v>98.4487409701443</v>
      </c>
      <c r="AI1121">
        <v>90.5851825504472</v>
      </c>
      <c r="AJ1121">
        <v>92.550306144677805</v>
      </c>
      <c r="AK1121">
        <v>98.551487393480798</v>
      </c>
      <c r="AL1121">
        <v>86.441726653426301</v>
      </c>
      <c r="AM1121">
        <v>87.888688181439804</v>
      </c>
      <c r="AN1121">
        <v>0.99999995933611296</v>
      </c>
    </row>
    <row r="1122" spans="1:40" x14ac:dyDescent="0.25">
      <c r="A1122" t="str">
        <f>"20190312153911086"</f>
        <v>20190312153911086</v>
      </c>
      <c r="B1122" t="str">
        <f>"1552376351076569"</f>
        <v>1552376351076569</v>
      </c>
      <c r="C1122" t="s">
        <v>40</v>
      </c>
      <c r="D1122">
        <v>4.3029299999999999</v>
      </c>
      <c r="E1122">
        <v>0.47001670000000001</v>
      </c>
      <c r="F1122" t="s">
        <v>49</v>
      </c>
      <c r="G1122">
        <v>-179.99680000000001</v>
      </c>
      <c r="H1122">
        <v>5.3175350000000003E-2</v>
      </c>
      <c r="I1122">
        <v>372.62909999999999</v>
      </c>
      <c r="J1122">
        <v>-277.108</v>
      </c>
      <c r="K1122">
        <v>1.0879810000000001</v>
      </c>
      <c r="L1122">
        <v>367.81389999999999</v>
      </c>
      <c r="M1122">
        <v>0.99997650000000005</v>
      </c>
      <c r="N1122">
        <v>0</v>
      </c>
      <c r="O1122">
        <v>4.8673700000000002E-3</v>
      </c>
      <c r="P1122">
        <v>0.99785170000000001</v>
      </c>
      <c r="Q1122">
        <v>5.718517E-2</v>
      </c>
      <c r="R1122">
        <v>-3.1969160000000003E-2</v>
      </c>
      <c r="S1122">
        <v>3.0131839999999999</v>
      </c>
      <c r="T1122">
        <v>-3.2019970000000002E-2</v>
      </c>
      <c r="U1122">
        <v>0.149231</v>
      </c>
      <c r="V1122">
        <v>3.6804770000000001E-2</v>
      </c>
      <c r="W1122">
        <v>6.204225E-2</v>
      </c>
      <c r="X1122">
        <v>0.99739469999999997</v>
      </c>
      <c r="Y1122">
        <v>-4.4601090000000003E-2</v>
      </c>
      <c r="Z1122">
        <v>1.851383E-4</v>
      </c>
      <c r="AA1122">
        <v>0.99900480000000003</v>
      </c>
      <c r="AB1122">
        <v>25</v>
      </c>
      <c r="AC1122">
        <v>97.111199999999997</v>
      </c>
      <c r="AD1122">
        <v>-1.03480564999999</v>
      </c>
      <c r="AE1122">
        <v>4.8151999999999999</v>
      </c>
      <c r="AF1122">
        <v>-4.3419694967809104</v>
      </c>
      <c r="AG1122">
        <v>-1.03480564999999</v>
      </c>
      <c r="AH1122">
        <v>97.122486251752093</v>
      </c>
      <c r="AI1122">
        <v>90.609834045830198</v>
      </c>
      <c r="AJ1122">
        <v>92.559767536844006</v>
      </c>
      <c r="AK1122">
        <v>97.225001196019704</v>
      </c>
      <c r="AL1122">
        <v>86.442956478272606</v>
      </c>
      <c r="AM1122">
        <v>87.886692581082499</v>
      </c>
      <c r="AN1122">
        <v>1.0000000097339501</v>
      </c>
    </row>
    <row r="1123" spans="1:40" x14ac:dyDescent="0.25">
      <c r="A1123" t="str">
        <f>"20190312153911097"</f>
        <v>20190312153911097</v>
      </c>
      <c r="B1123" t="str">
        <f>"1552376351087306"</f>
        <v>1552376351087306</v>
      </c>
      <c r="C1123" t="s">
        <v>40</v>
      </c>
      <c r="D1123">
        <v>4.3270949999999999</v>
      </c>
      <c r="E1123">
        <v>0.46996130000000003</v>
      </c>
      <c r="F1123" t="s">
        <v>49</v>
      </c>
      <c r="G1123">
        <v>-180</v>
      </c>
      <c r="H1123">
        <v>3.9598139999999997E-2</v>
      </c>
      <c r="I1123">
        <v>372.65289999999999</v>
      </c>
      <c r="J1123">
        <v>-276.97160000000002</v>
      </c>
      <c r="K1123">
        <v>1.0895239999999999</v>
      </c>
      <c r="L1123">
        <v>367.81470000000002</v>
      </c>
      <c r="M1123">
        <v>0.99997340000000001</v>
      </c>
      <c r="N1123">
        <v>0</v>
      </c>
      <c r="O1123">
        <v>4.9989409999999998E-3</v>
      </c>
      <c r="P1123">
        <v>0.99788129999999997</v>
      </c>
      <c r="Q1123">
        <v>5.6755229999999997E-2</v>
      </c>
      <c r="R1123">
        <v>-3.1805689999999998E-2</v>
      </c>
      <c r="S1123">
        <v>3.0131230000000002</v>
      </c>
      <c r="T1123">
        <v>-3.2529830000000003E-2</v>
      </c>
      <c r="U1123">
        <v>0.15014649999999999</v>
      </c>
      <c r="V1123">
        <v>3.6772880000000001E-2</v>
      </c>
      <c r="W1123">
        <v>6.2073660000000003E-2</v>
      </c>
      <c r="X1123">
        <v>0.99739390000000006</v>
      </c>
      <c r="Y1123">
        <v>-4.4773359999999998E-2</v>
      </c>
      <c r="Z1123">
        <v>1.8759819999999999E-4</v>
      </c>
      <c r="AA1123">
        <v>0.99899720000000003</v>
      </c>
      <c r="AB1123">
        <v>25</v>
      </c>
      <c r="AC1123">
        <v>96.971599999999995</v>
      </c>
      <c r="AD1123">
        <v>-1.0499258600000001</v>
      </c>
      <c r="AE1123">
        <v>4.8381999999999703</v>
      </c>
      <c r="AF1123">
        <v>-4.3528683941618302</v>
      </c>
      <c r="AG1123">
        <v>-1.0499258600000001</v>
      </c>
      <c r="AH1123">
        <v>96.983233708570296</v>
      </c>
      <c r="AI1123">
        <v>90.619627493401396</v>
      </c>
      <c r="AJ1123">
        <v>92.569863998787199</v>
      </c>
      <c r="AK1123">
        <v>97.086546071737203</v>
      </c>
      <c r="AL1123">
        <v>86.441153264462301</v>
      </c>
      <c r="AM1123">
        <v>87.888520335211695</v>
      </c>
      <c r="AN1123">
        <v>0.99999998786324895</v>
      </c>
    </row>
    <row r="1124" spans="1:40" x14ac:dyDescent="0.25">
      <c r="A1124" t="str">
        <f>"20190312153911110"</f>
        <v>20190312153911110</v>
      </c>
      <c r="B1124" t="str">
        <f>"1552376351096597"</f>
        <v>1552376351096597</v>
      </c>
      <c r="C1124" t="s">
        <v>40</v>
      </c>
      <c r="D1124">
        <v>4.2430309999999896</v>
      </c>
      <c r="E1124">
        <v>0.46991620000000001</v>
      </c>
      <c r="F1124" t="s">
        <v>49</v>
      </c>
      <c r="G1124">
        <v>-180</v>
      </c>
      <c r="H1124">
        <v>1.6398139999999999E-2</v>
      </c>
      <c r="I1124">
        <v>372.6823</v>
      </c>
      <c r="J1124">
        <v>-276.83249999999998</v>
      </c>
      <c r="K1124">
        <v>1.0910260000000001</v>
      </c>
      <c r="L1124">
        <v>367.81560000000002</v>
      </c>
      <c r="M1124">
        <v>0.99996989999999997</v>
      </c>
      <c r="N1124">
        <v>0</v>
      </c>
      <c r="O1124">
        <v>5.1353639999999999E-3</v>
      </c>
      <c r="P1124">
        <v>0.99792570000000003</v>
      </c>
      <c r="Q1124">
        <v>5.610793E-2</v>
      </c>
      <c r="R1124">
        <v>-3.1566329999999997E-2</v>
      </c>
      <c r="S1124">
        <v>3.0131230000000002</v>
      </c>
      <c r="T1124">
        <v>-3.3344390000000002E-2</v>
      </c>
      <c r="U1124">
        <v>0.15124509999999999</v>
      </c>
      <c r="V1124">
        <v>3.6669729999999998E-2</v>
      </c>
      <c r="W1124">
        <v>6.1927549999999998E-2</v>
      </c>
      <c r="X1124">
        <v>0.99740680000000004</v>
      </c>
      <c r="Y1124">
        <v>-4.5000270000000002E-2</v>
      </c>
      <c r="Z1124">
        <v>1.9203969999999999E-4</v>
      </c>
      <c r="AA1124">
        <v>0.99898699999999996</v>
      </c>
      <c r="AB1124">
        <v>25</v>
      </c>
      <c r="AC1124">
        <v>96.832499999999897</v>
      </c>
      <c r="AD1124">
        <v>-1.0746278600000001</v>
      </c>
      <c r="AE1124">
        <v>4.8666999999999803</v>
      </c>
      <c r="AF1124">
        <v>-4.3688205663808901</v>
      </c>
      <c r="AG1124">
        <v>-1.0746278600000001</v>
      </c>
      <c r="AH1124">
        <v>96.844318405716905</v>
      </c>
      <c r="AI1124">
        <v>90.635107631939803</v>
      </c>
      <c r="AJ1124">
        <v>92.582963956186006</v>
      </c>
      <c r="AK1124">
        <v>96.948767014576305</v>
      </c>
      <c r="AL1124">
        <v>86.449540957989797</v>
      </c>
      <c r="AM1124">
        <v>87.894465023968607</v>
      </c>
      <c r="AN1124">
        <v>1.0000000076167499</v>
      </c>
    </row>
    <row r="1125" spans="1:40" x14ac:dyDescent="0.25">
      <c r="A1125" t="str">
        <f>"20190312153911125"</f>
        <v>20190312153911125</v>
      </c>
      <c r="B1125" t="str">
        <f>"1552376351117094"</f>
        <v>1552376351117094</v>
      </c>
      <c r="C1125" t="s">
        <v>40</v>
      </c>
      <c r="D1125">
        <v>4.2786479999999996</v>
      </c>
      <c r="E1125">
        <v>0.4697983</v>
      </c>
      <c r="F1125" t="s">
        <v>49</v>
      </c>
      <c r="G1125">
        <v>-181.5746</v>
      </c>
      <c r="H1125" s="1">
        <v>-6.9302789999999996E-6</v>
      </c>
      <c r="I1125">
        <v>372.6234</v>
      </c>
      <c r="J1125">
        <v>-276.66590000000002</v>
      </c>
      <c r="K1125">
        <v>1.092749</v>
      </c>
      <c r="L1125">
        <v>367.81659999999999</v>
      </c>
      <c r="M1125">
        <v>0.9999654</v>
      </c>
      <c r="N1125">
        <v>0</v>
      </c>
      <c r="O1125">
        <v>5.2992559999999996E-3</v>
      </c>
      <c r="P1125">
        <v>0.99795849999999997</v>
      </c>
      <c r="Q1125">
        <v>5.5452389999999997E-2</v>
      </c>
      <c r="R1125">
        <v>-3.1684400000000001E-2</v>
      </c>
      <c r="S1125">
        <v>3.0129700000000001</v>
      </c>
      <c r="T1125">
        <v>-3.4508940000000002E-2</v>
      </c>
      <c r="U1125">
        <v>0.15206910000000001</v>
      </c>
      <c r="V1125">
        <v>3.6951459999999998E-2</v>
      </c>
      <c r="W1125">
        <v>6.1853779999999997E-2</v>
      </c>
      <c r="X1125">
        <v>0.99740099999999998</v>
      </c>
      <c r="Y1125">
        <v>-4.5111390000000001E-2</v>
      </c>
      <c r="Z1125">
        <v>1.9751489999999999E-4</v>
      </c>
      <c r="AA1125">
        <v>0.99898200000000004</v>
      </c>
      <c r="AB1125">
        <v>25</v>
      </c>
      <c r="AC1125">
        <v>95.091300000000004</v>
      </c>
      <c r="AD1125">
        <v>-1.092755930279</v>
      </c>
      <c r="AE1125">
        <v>4.8068000000000097</v>
      </c>
      <c r="AF1125">
        <v>-4.3022423046385203</v>
      </c>
      <c r="AG1125">
        <v>-1.092755930279</v>
      </c>
      <c r="AH1125">
        <v>95.1029106485434</v>
      </c>
      <c r="AI1125">
        <v>90.657641172800297</v>
      </c>
      <c r="AJ1125">
        <v>92.590166593312006</v>
      </c>
      <c r="AK1125">
        <v>95.2064442051893</v>
      </c>
      <c r="AL1125">
        <v>86.453775857181498</v>
      </c>
      <c r="AM1125">
        <v>87.878290803083104</v>
      </c>
      <c r="AN1125">
        <v>1.0000000276487</v>
      </c>
    </row>
    <row r="1126" spans="1:40" x14ac:dyDescent="0.25">
      <c r="A1126" t="str">
        <f>"20190312153911138"</f>
        <v>20190312153911138</v>
      </c>
      <c r="B1126" t="str">
        <f>"1552376351126854"</f>
        <v>1552376351126854</v>
      </c>
      <c r="C1126" t="s">
        <v>40</v>
      </c>
      <c r="D1126">
        <v>4.2278500000000001</v>
      </c>
      <c r="E1126">
        <v>0.46977799999999997</v>
      </c>
      <c r="F1126" t="s">
        <v>49</v>
      </c>
      <c r="G1126">
        <v>-184.99359999999999</v>
      </c>
      <c r="H1126" s="1">
        <v>-8.1550090000000003E-6</v>
      </c>
      <c r="I1126">
        <v>372.46570000000003</v>
      </c>
      <c r="J1126">
        <v>-276.52409999999998</v>
      </c>
      <c r="K1126">
        <v>1.094149</v>
      </c>
      <c r="L1126">
        <v>367.8175</v>
      </c>
      <c r="M1126">
        <v>0.99996160000000001</v>
      </c>
      <c r="N1126">
        <v>0</v>
      </c>
      <c r="O1126">
        <v>5.4390019999999897E-3</v>
      </c>
      <c r="P1126">
        <v>0.99799570000000004</v>
      </c>
      <c r="Q1126">
        <v>5.4716180000000003E-2</v>
      </c>
      <c r="R1126">
        <v>-3.179046E-2</v>
      </c>
      <c r="S1126">
        <v>3.0129700000000001</v>
      </c>
      <c r="T1126">
        <v>-3.5915370000000002E-2</v>
      </c>
      <c r="U1126">
        <v>0.15280150000000001</v>
      </c>
      <c r="V1126">
        <v>3.7197170000000002E-2</v>
      </c>
      <c r="W1126">
        <v>6.1597730000000003E-2</v>
      </c>
      <c r="X1126">
        <v>0.99740770000000001</v>
      </c>
      <c r="Y1126">
        <v>-4.5213780000000002E-2</v>
      </c>
      <c r="Z1126">
        <v>2.0450779999999999E-4</v>
      </c>
      <c r="AA1126">
        <v>0.99897729999999996</v>
      </c>
      <c r="AB1126">
        <v>25</v>
      </c>
      <c r="AC1126">
        <v>91.530500000000004</v>
      </c>
      <c r="AD1126">
        <v>-1.0941571550089999</v>
      </c>
      <c r="AE1126">
        <v>4.6482000000000303</v>
      </c>
      <c r="AF1126">
        <v>-4.1496934574527797</v>
      </c>
      <c r="AG1126">
        <v>-1.0941571550089999</v>
      </c>
      <c r="AH1126">
        <v>91.541380750716996</v>
      </c>
      <c r="AI1126">
        <v>90.684098243997099</v>
      </c>
      <c r="AJ1126">
        <v>92.595517567167093</v>
      </c>
      <c r="AK1126">
        <v>91.641920131664705</v>
      </c>
      <c r="AL1126">
        <v>86.468474424193403</v>
      </c>
      <c r="AM1126">
        <v>87.864209781755505</v>
      </c>
      <c r="AN1126">
        <v>1.00000001490822</v>
      </c>
    </row>
    <row r="1127" spans="1:40" x14ac:dyDescent="0.25">
      <c r="A1127" t="str">
        <f>"20190312153911150"</f>
        <v>20190312153911150</v>
      </c>
      <c r="B1127" t="str">
        <f>"1552376351147351"</f>
        <v>1552376351147351</v>
      </c>
      <c r="C1127" t="s">
        <v>40</v>
      </c>
      <c r="D1127">
        <v>4.2095560000000001</v>
      </c>
      <c r="E1127">
        <v>0.4697943</v>
      </c>
      <c r="F1127" t="s">
        <v>49</v>
      </c>
      <c r="G1127">
        <v>-191.16749999999999</v>
      </c>
      <c r="H1127" s="1">
        <v>-1.209226E-5</v>
      </c>
      <c r="I1127">
        <v>372.1454</v>
      </c>
      <c r="J1127">
        <v>-276.3954</v>
      </c>
      <c r="K1127">
        <v>1.0953269999999999</v>
      </c>
      <c r="L1127">
        <v>367.8184</v>
      </c>
      <c r="M1127">
        <v>0.99995789999999996</v>
      </c>
      <c r="N1127">
        <v>0</v>
      </c>
      <c r="O1127">
        <v>5.5654190000000003E-3</v>
      </c>
      <c r="P1127">
        <v>0.99800520000000004</v>
      </c>
      <c r="Q1127">
        <v>5.4600170000000003E-2</v>
      </c>
      <c r="R1127">
        <v>-3.1700190000000003E-2</v>
      </c>
      <c r="S1127">
        <v>3.0129999999999999</v>
      </c>
      <c r="T1127">
        <v>-3.8622740000000003E-2</v>
      </c>
      <c r="U1127">
        <v>0.15277099999999999</v>
      </c>
      <c r="V1127">
        <v>3.7232660000000001E-2</v>
      </c>
      <c r="W1127">
        <v>6.1888520000000002E-2</v>
      </c>
      <c r="X1127">
        <v>0.99738839999999995</v>
      </c>
      <c r="Y1127">
        <v>-4.5076440000000002E-2</v>
      </c>
      <c r="Z1127">
        <v>2.1742150000000001E-4</v>
      </c>
      <c r="AA1127">
        <v>0.99898350000000002</v>
      </c>
      <c r="AB1127">
        <v>25</v>
      </c>
      <c r="AC1127">
        <v>85.227900000000005</v>
      </c>
      <c r="AD1127">
        <v>-1.0953390922599999</v>
      </c>
      <c r="AE1127">
        <v>4.3269999999999902</v>
      </c>
      <c r="AF1127">
        <v>-3.8519567909373502</v>
      </c>
      <c r="AG1127">
        <v>-1.0953390922599999</v>
      </c>
      <c r="AH1127">
        <v>85.2366197926588</v>
      </c>
      <c r="AI1127">
        <v>90.735492295359705</v>
      </c>
      <c r="AJ1127">
        <v>92.587512371231796</v>
      </c>
      <c r="AK1127">
        <v>85.330643338278804</v>
      </c>
      <c r="AL1127">
        <v>86.451781625585596</v>
      </c>
      <c r="AM1127">
        <v>87.862132574156504</v>
      </c>
      <c r="AN1127">
        <v>1.0000000401665099</v>
      </c>
    </row>
    <row r="1128" spans="1:40" x14ac:dyDescent="0.25">
      <c r="A1128" t="str">
        <f>"20190312153911161"</f>
        <v>20190312153911161</v>
      </c>
      <c r="B1128" t="str">
        <f>"1552376351157110"</f>
        <v>1552376351157110</v>
      </c>
      <c r="C1128" t="s">
        <v>40</v>
      </c>
      <c r="D1128">
        <v>4.2416609999999997</v>
      </c>
      <c r="E1128">
        <v>0.46982869999999999</v>
      </c>
      <c r="F1128" t="s">
        <v>49</v>
      </c>
      <c r="G1128">
        <v>-195.46440000000001</v>
      </c>
      <c r="H1128" s="1">
        <v>-1.0733050000000001E-5</v>
      </c>
      <c r="I1128">
        <v>371.93</v>
      </c>
      <c r="J1128">
        <v>-276.2645</v>
      </c>
      <c r="K1128">
        <v>1.0964830000000001</v>
      </c>
      <c r="L1128">
        <v>367.81920000000002</v>
      </c>
      <c r="M1128">
        <v>0.99995420000000002</v>
      </c>
      <c r="N1128">
        <v>0</v>
      </c>
      <c r="O1128">
        <v>5.693193E-3</v>
      </c>
      <c r="P1128">
        <v>0.99802659999999999</v>
      </c>
      <c r="Q1128">
        <v>5.4179209999999998E-2</v>
      </c>
      <c r="R1128">
        <v>-3.1744469999999997E-2</v>
      </c>
      <c r="S1128">
        <v>3.0130620000000001</v>
      </c>
      <c r="T1128">
        <v>-4.0779469999999998E-2</v>
      </c>
      <c r="U1128">
        <v>0.1530762</v>
      </c>
      <c r="V1128">
        <v>3.7404600000000003E-2</v>
      </c>
      <c r="W1128">
        <v>6.1872820000000002E-2</v>
      </c>
      <c r="X1128">
        <v>0.99738289999999996</v>
      </c>
      <c r="Y1128">
        <v>-4.5048320000000003E-2</v>
      </c>
      <c r="Z1128">
        <v>2.2763779999999999E-4</v>
      </c>
      <c r="AA1128">
        <v>0.99898480000000001</v>
      </c>
      <c r="AB1128">
        <v>25</v>
      </c>
      <c r="AC1128">
        <v>80.800099999999901</v>
      </c>
      <c r="AD1128">
        <v>-1.09649373305</v>
      </c>
      <c r="AE1128">
        <v>4.1107999999999798</v>
      </c>
      <c r="AF1128">
        <v>-3.6500387524343898</v>
      </c>
      <c r="AG1128">
        <v>-1.09649373305</v>
      </c>
      <c r="AH1128">
        <v>80.807351887689606</v>
      </c>
      <c r="AI1128">
        <v>90.776620266779403</v>
      </c>
      <c r="AJ1128">
        <v>92.586271598771205</v>
      </c>
      <c r="AK1128">
        <v>80.897176715271002</v>
      </c>
      <c r="AL1128">
        <v>86.452682752381193</v>
      </c>
      <c r="AM1128">
        <v>87.852257318673495</v>
      </c>
      <c r="AN1128">
        <v>0.99999999958416097</v>
      </c>
    </row>
    <row r="1129" spans="1:40" x14ac:dyDescent="0.25">
      <c r="A1129" t="str">
        <f>"20190312153911173"</f>
        <v>20190312153911173</v>
      </c>
      <c r="B1129" t="str">
        <f>"1552376351166870"</f>
        <v>1552376351166870</v>
      </c>
      <c r="C1129" t="s">
        <v>40</v>
      </c>
      <c r="D1129">
        <v>4.2198789999999997</v>
      </c>
      <c r="E1129">
        <v>0.46985559999999998</v>
      </c>
      <c r="F1129" t="s">
        <v>49</v>
      </c>
      <c r="G1129">
        <v>-198.7056</v>
      </c>
      <c r="H1129" s="1">
        <v>-9.6756980000000008E-6</v>
      </c>
      <c r="I1129">
        <v>371.74930000000001</v>
      </c>
      <c r="J1129">
        <v>-276.13069999999999</v>
      </c>
      <c r="K1129">
        <v>1.0975999999999999</v>
      </c>
      <c r="L1129">
        <v>367.82010000000002</v>
      </c>
      <c r="M1129">
        <v>0.99995020000000001</v>
      </c>
      <c r="N1129">
        <v>0</v>
      </c>
      <c r="O1129">
        <v>5.8228100000000003E-3</v>
      </c>
      <c r="P1129">
        <v>0.99803359999999997</v>
      </c>
      <c r="Q1129">
        <v>5.4027209999999999E-2</v>
      </c>
      <c r="R1129">
        <v>-3.1785420000000002E-2</v>
      </c>
      <c r="S1129">
        <v>3.0130620000000001</v>
      </c>
      <c r="T1129">
        <v>-4.2597290000000003E-2</v>
      </c>
      <c r="U1129">
        <v>0.15267939999999999</v>
      </c>
      <c r="V1129">
        <v>3.757452E-2</v>
      </c>
      <c r="W1129">
        <v>6.2120309999999998E-2</v>
      </c>
      <c r="X1129">
        <v>0.9973611</v>
      </c>
      <c r="Y1129">
        <v>-4.4787319999999999E-2</v>
      </c>
      <c r="Z1129">
        <v>2.3410999999999999E-4</v>
      </c>
      <c r="AA1129">
        <v>0.99899649999999995</v>
      </c>
      <c r="AB1129">
        <v>25</v>
      </c>
      <c r="AC1129">
        <v>77.425099999999901</v>
      </c>
      <c r="AD1129">
        <v>-1.0976096756979901</v>
      </c>
      <c r="AE1129">
        <v>3.9291999999999798</v>
      </c>
      <c r="AF1129">
        <v>-3.4775898320529399</v>
      </c>
      <c r="AG1129">
        <v>-1.0976096756979901</v>
      </c>
      <c r="AH1129">
        <v>77.431145683800807</v>
      </c>
      <c r="AI1129">
        <v>90.811312713819405</v>
      </c>
      <c r="AJ1129">
        <v>92.571541608532399</v>
      </c>
      <c r="AK1129">
        <v>77.516970399688404</v>
      </c>
      <c r="AL1129">
        <v>86.438475186610802</v>
      </c>
      <c r="AM1129">
        <v>87.842462732266696</v>
      </c>
      <c r="AN1129">
        <v>0.99999997063046697</v>
      </c>
    </row>
    <row r="1130" spans="1:40" x14ac:dyDescent="0.25">
      <c r="A1130" t="str">
        <f>"20190312153911186"</f>
        <v>20190312153911186</v>
      </c>
      <c r="B1130" t="str">
        <f>"1552376351176630"</f>
        <v>1552376351176630</v>
      </c>
      <c r="C1130" t="s">
        <v>40</v>
      </c>
      <c r="D1130">
        <v>4.2144890000000004</v>
      </c>
      <c r="E1130">
        <v>0.46985870000000002</v>
      </c>
      <c r="F1130" t="s">
        <v>49</v>
      </c>
      <c r="G1130">
        <v>-200.66589999999999</v>
      </c>
      <c r="H1130" s="1">
        <v>-2.5130520000000001E-6</v>
      </c>
      <c r="I1130">
        <v>371.63249999999999</v>
      </c>
      <c r="J1130">
        <v>-275.99950000000001</v>
      </c>
      <c r="K1130">
        <v>1.098614</v>
      </c>
      <c r="L1130">
        <v>367.82100000000003</v>
      </c>
      <c r="M1130">
        <v>0.99994649999999996</v>
      </c>
      <c r="N1130">
        <v>0</v>
      </c>
      <c r="O1130">
        <v>5.9499289999999996E-3</v>
      </c>
      <c r="P1130">
        <v>0.99805379999999999</v>
      </c>
      <c r="Q1130">
        <v>5.3582310000000001E-2</v>
      </c>
      <c r="R1130">
        <v>-3.190018E-2</v>
      </c>
      <c r="S1130">
        <v>3.0131230000000002</v>
      </c>
      <c r="T1130">
        <v>-4.3824549999999997E-2</v>
      </c>
      <c r="U1130">
        <v>0.15222169999999999</v>
      </c>
      <c r="V1130">
        <v>3.7816450000000001E-2</v>
      </c>
      <c r="W1130">
        <v>6.2052719999999999E-2</v>
      </c>
      <c r="X1130">
        <v>0.99735620000000003</v>
      </c>
      <c r="Y1130">
        <v>-4.4507720000000001E-2</v>
      </c>
      <c r="Z1130">
        <v>2.369704E-4</v>
      </c>
      <c r="AA1130">
        <v>0.99900900000000004</v>
      </c>
      <c r="AB1130">
        <v>25</v>
      </c>
      <c r="AC1130">
        <v>75.333600000000004</v>
      </c>
      <c r="AD1130">
        <v>-1.098616513052</v>
      </c>
      <c r="AE1130">
        <v>3.8115000000000201</v>
      </c>
      <c r="AF1130">
        <v>-3.3624736246112299</v>
      </c>
      <c r="AG1130">
        <v>-1.098616513052</v>
      </c>
      <c r="AH1130">
        <v>75.338963649173607</v>
      </c>
      <c r="AI1130">
        <v>90.834615176329393</v>
      </c>
      <c r="AJ1130">
        <v>92.555487501670299</v>
      </c>
      <c r="AK1130">
        <v>75.421963849070295</v>
      </c>
      <c r="AL1130">
        <v>86.442355422972</v>
      </c>
      <c r="AM1130">
        <v>87.828573655419703</v>
      </c>
      <c r="AN1130">
        <v>1.0000000068142201</v>
      </c>
    </row>
    <row r="1131" spans="1:40" x14ac:dyDescent="0.25">
      <c r="A1131" t="str">
        <f>"20190312153911199"</f>
        <v>20190312153911199</v>
      </c>
      <c r="B1131" t="str">
        <f>"1552376351187366"</f>
        <v>1552376351187366</v>
      </c>
      <c r="C1131" t="s">
        <v>40</v>
      </c>
      <c r="D1131">
        <v>4.2041629999999897</v>
      </c>
      <c r="E1131">
        <v>0.46984550000000003</v>
      </c>
      <c r="F1131" t="s">
        <v>49</v>
      </c>
      <c r="G1131">
        <v>-203.7234</v>
      </c>
      <c r="H1131" s="1">
        <v>-4.119213E-6</v>
      </c>
      <c r="I1131">
        <v>371.46789999999999</v>
      </c>
      <c r="J1131">
        <v>-275.85980000000001</v>
      </c>
      <c r="K1131">
        <v>1.0996509999999999</v>
      </c>
      <c r="L1131">
        <v>367.822</v>
      </c>
      <c r="M1131">
        <v>0.9999422</v>
      </c>
      <c r="N1131">
        <v>0</v>
      </c>
      <c r="O1131">
        <v>6.0854269999999896E-3</v>
      </c>
      <c r="P1131">
        <v>0.99808560000000002</v>
      </c>
      <c r="Q1131">
        <v>5.2949540000000003E-2</v>
      </c>
      <c r="R1131">
        <v>-3.1960559999999999E-2</v>
      </c>
      <c r="S1131">
        <v>3.013153</v>
      </c>
      <c r="T1131">
        <v>-4.5800809999999997E-2</v>
      </c>
      <c r="U1131">
        <v>0.1520386</v>
      </c>
      <c r="V1131">
        <v>3.8012360000000002E-2</v>
      </c>
      <c r="W1131">
        <v>6.1812859999999997E-2</v>
      </c>
      <c r="X1131">
        <v>0.99736360000000002</v>
      </c>
      <c r="Y1131">
        <v>-4.4310919999999997E-2</v>
      </c>
      <c r="Z1131">
        <v>2.4410020000000001E-4</v>
      </c>
      <c r="AA1131">
        <v>0.99901779999999996</v>
      </c>
      <c r="AB1131">
        <v>25</v>
      </c>
      <c r="AC1131">
        <v>72.136399999999995</v>
      </c>
      <c r="AD1131">
        <v>-1.099655119213</v>
      </c>
      <c r="AE1131">
        <v>3.6459000000000401</v>
      </c>
      <c r="AF1131">
        <v>-3.2060913021670698</v>
      </c>
      <c r="AG1131">
        <v>-1.099655119213</v>
      </c>
      <c r="AH1131">
        <v>72.140530412402896</v>
      </c>
      <c r="AI1131">
        <v>90.872444412895803</v>
      </c>
      <c r="AJ1131">
        <v>92.544681918821595</v>
      </c>
      <c r="AK1131">
        <v>72.2201107102577</v>
      </c>
      <c r="AL1131">
        <v>86.456124654886693</v>
      </c>
      <c r="AM1131">
        <v>87.817351504092002</v>
      </c>
      <c r="AN1131">
        <v>0.99999995988955304</v>
      </c>
    </row>
    <row r="1132" spans="1:40" x14ac:dyDescent="0.25">
      <c r="A1132" t="str">
        <f>"20190312153911211"</f>
        <v>20190312153911211</v>
      </c>
      <c r="B1132" t="str">
        <f>"1552376351206886"</f>
        <v>1552376351206886</v>
      </c>
      <c r="C1132" t="s">
        <v>40</v>
      </c>
      <c r="D1132">
        <v>4.2464309999999896</v>
      </c>
      <c r="E1132">
        <v>0.469864</v>
      </c>
      <c r="F1132" t="s">
        <v>49</v>
      </c>
      <c r="G1132">
        <v>-208.79759999999999</v>
      </c>
      <c r="H1132" s="1">
        <v>-6.1957930000000001E-6</v>
      </c>
      <c r="I1132">
        <v>371.20850000000002</v>
      </c>
      <c r="J1132">
        <v>-275.71409999999997</v>
      </c>
      <c r="K1132">
        <v>1.1006279999999999</v>
      </c>
      <c r="L1132">
        <v>367.82299999999998</v>
      </c>
      <c r="M1132">
        <v>0.99993779999999999</v>
      </c>
      <c r="N1132">
        <v>0</v>
      </c>
      <c r="O1132">
        <v>6.2278999999999998E-3</v>
      </c>
      <c r="P1132">
        <v>0.99811179999999999</v>
      </c>
      <c r="Q1132">
        <v>5.2378349999999997E-2</v>
      </c>
      <c r="R1132">
        <v>-3.2086040000000003E-2</v>
      </c>
      <c r="S1132">
        <v>3.013245</v>
      </c>
      <c r="T1132">
        <v>-4.9409870000000002E-2</v>
      </c>
      <c r="U1132">
        <v>0.15216060000000001</v>
      </c>
      <c r="V1132">
        <v>3.8280149999999999E-2</v>
      </c>
      <c r="W1132">
        <v>6.1629150000000001E-2</v>
      </c>
      <c r="X1132">
        <v>0.99736480000000005</v>
      </c>
      <c r="Y1132">
        <v>-4.4206710000000003E-2</v>
      </c>
      <c r="Z1132">
        <v>2.6013570000000001E-4</v>
      </c>
      <c r="AA1132">
        <v>0.99902239999999998</v>
      </c>
      <c r="AB1132">
        <v>25</v>
      </c>
      <c r="AC1132">
        <v>66.9164999999999</v>
      </c>
      <c r="AD1132">
        <v>-1.1006341957929999</v>
      </c>
      <c r="AE1132">
        <v>3.3854999999999702</v>
      </c>
      <c r="AF1132">
        <v>-2.96786637253373</v>
      </c>
      <c r="AG1132">
        <v>-1.1006341957929999</v>
      </c>
      <c r="AH1132">
        <v>66.918230257023296</v>
      </c>
      <c r="AI1132">
        <v>90.941359267680497</v>
      </c>
      <c r="AJ1132">
        <v>92.539440382476798</v>
      </c>
      <c r="AK1132">
        <v>66.993053126202199</v>
      </c>
      <c r="AL1132">
        <v>86.4666708285542</v>
      </c>
      <c r="AM1132">
        <v>87.801992822694899</v>
      </c>
      <c r="AN1132">
        <v>1.0000000331463901</v>
      </c>
    </row>
    <row r="1133" spans="1:40" x14ac:dyDescent="0.25">
      <c r="A1133" t="str">
        <f>"20190312153911227"</f>
        <v>20190312153911227</v>
      </c>
      <c r="B1133" t="str">
        <f>"1552376351216646"</f>
        <v>1552376351216646</v>
      </c>
      <c r="C1133" t="s">
        <v>40</v>
      </c>
      <c r="D1133">
        <v>4.1963670000000004</v>
      </c>
      <c r="E1133">
        <v>0.46985860000000002</v>
      </c>
      <c r="F1133" t="s">
        <v>42</v>
      </c>
      <c r="G1133">
        <v>-211.34739999999999</v>
      </c>
      <c r="H1133" s="1">
        <v>-4.0740920000000003E-6</v>
      </c>
      <c r="I1133">
        <v>371.06299999999999</v>
      </c>
      <c r="J1133">
        <v>-275.55779999999999</v>
      </c>
      <c r="K1133">
        <v>1.101602</v>
      </c>
      <c r="L1133">
        <v>367.82420000000002</v>
      </c>
      <c r="M1133">
        <v>0.99993310000000002</v>
      </c>
      <c r="N1133">
        <v>0</v>
      </c>
      <c r="O1133">
        <v>6.3815219999999997E-3</v>
      </c>
      <c r="P1133">
        <v>0.99814150000000001</v>
      </c>
      <c r="Q1133">
        <v>5.1845559999999999E-2</v>
      </c>
      <c r="R1133">
        <v>-3.2034149999999997E-2</v>
      </c>
      <c r="S1133">
        <v>3.013245</v>
      </c>
      <c r="T1133">
        <v>-5.1524639999999997E-2</v>
      </c>
      <c r="U1133">
        <v>0.15167240000000001</v>
      </c>
      <c r="V1133">
        <v>3.8381989999999998E-2</v>
      </c>
      <c r="W1133">
        <v>6.1490169999999997E-2</v>
      </c>
      <c r="X1133">
        <v>0.99736939999999996</v>
      </c>
      <c r="Y1133">
        <v>-4.3891350000000003E-2</v>
      </c>
      <c r="Z1133">
        <v>2.6594960000000001E-4</v>
      </c>
      <c r="AA1133">
        <v>0.99903629999999999</v>
      </c>
      <c r="AB1133">
        <v>25</v>
      </c>
      <c r="AC1133">
        <v>64.210399999999893</v>
      </c>
      <c r="AD1133">
        <v>-1.101606074092</v>
      </c>
      <c r="AE1133">
        <v>3.2388000000000199</v>
      </c>
      <c r="AF1133">
        <v>-2.82812459140297</v>
      </c>
      <c r="AG1133">
        <v>-1.101606074092</v>
      </c>
      <c r="AH1133">
        <v>64.210910299038602</v>
      </c>
      <c r="AI1133">
        <v>90.981921503120006</v>
      </c>
      <c r="AJ1133">
        <v>92.521922580317593</v>
      </c>
      <c r="AK1133">
        <v>64.282601270313904</v>
      </c>
      <c r="AL1133">
        <v>86.474648700911999</v>
      </c>
      <c r="AM1133">
        <v>87.7961611865002</v>
      </c>
      <c r="AN1133">
        <v>0.99999996910967404</v>
      </c>
    </row>
    <row r="1134" spans="1:40" x14ac:dyDescent="0.25">
      <c r="A1134" t="str">
        <f>"20190312153911241"</f>
        <v>20190312153911241</v>
      </c>
      <c r="B1134" t="str">
        <f>"1552376351237142"</f>
        <v>1552376351237142</v>
      </c>
      <c r="C1134" t="s">
        <v>40</v>
      </c>
      <c r="D1134">
        <v>4.2113639999999997</v>
      </c>
      <c r="E1134">
        <v>0.46988790000000003</v>
      </c>
      <c r="F1134" t="s">
        <v>42</v>
      </c>
      <c r="G1134">
        <v>-213.6302</v>
      </c>
      <c r="H1134" s="1">
        <v>-3.066777E-6</v>
      </c>
      <c r="I1134">
        <v>370.93880000000001</v>
      </c>
      <c r="J1134">
        <v>-275.40410000000003</v>
      </c>
      <c r="K1134">
        <v>1.1024929999999999</v>
      </c>
      <c r="L1134">
        <v>367.82530000000003</v>
      </c>
      <c r="M1134">
        <v>0.9999285</v>
      </c>
      <c r="N1134">
        <v>0</v>
      </c>
      <c r="O1134">
        <v>6.5333409999999998E-3</v>
      </c>
      <c r="P1134">
        <v>0.99815549999999997</v>
      </c>
      <c r="Q1134">
        <v>5.1495730000000003E-2</v>
      </c>
      <c r="R1134">
        <v>-3.2160380000000002E-2</v>
      </c>
      <c r="S1134">
        <v>3.013245</v>
      </c>
      <c r="T1134">
        <v>-5.3601379999999997E-2</v>
      </c>
      <c r="U1134">
        <v>0.1515503</v>
      </c>
      <c r="V1134">
        <v>3.8660060000000003E-2</v>
      </c>
      <c r="W1134">
        <v>6.1508260000000002E-2</v>
      </c>
      <c r="X1134">
        <v>0.99735750000000001</v>
      </c>
      <c r="Y1134">
        <v>-4.3698880000000002E-2</v>
      </c>
      <c r="Z1134">
        <v>2.7225790000000001E-4</v>
      </c>
      <c r="AA1134">
        <v>0.99904470000000001</v>
      </c>
      <c r="AB1134">
        <v>25</v>
      </c>
      <c r="AC1134">
        <v>61.773899999999998</v>
      </c>
      <c r="AD1134">
        <v>-1.1024960667770001</v>
      </c>
      <c r="AE1134">
        <v>3.1134999999999802</v>
      </c>
      <c r="AF1134">
        <v>-2.7089626592426002</v>
      </c>
      <c r="AG1134">
        <v>-1.1024960667770001</v>
      </c>
      <c r="AH1134">
        <v>61.773297529621402</v>
      </c>
      <c r="AI1134">
        <v>91.021493673983997</v>
      </c>
      <c r="AJ1134">
        <v>92.510999919738595</v>
      </c>
      <c r="AK1134">
        <v>61.842495615471101</v>
      </c>
      <c r="AL1134">
        <v>86.473610097241803</v>
      </c>
      <c r="AM1134">
        <v>87.780184261747195</v>
      </c>
      <c r="AN1134">
        <v>0.99999992454683695</v>
      </c>
    </row>
    <row r="1135" spans="1:40" x14ac:dyDescent="0.25">
      <c r="A1135" t="str">
        <f>"20190312153911252"</f>
        <v>20190312153911252</v>
      </c>
      <c r="B1135" t="str">
        <f>"1552376351246902"</f>
        <v>1552376351246902</v>
      </c>
      <c r="C1135" t="s">
        <v>40</v>
      </c>
      <c r="D1135">
        <v>4.1966979999999996</v>
      </c>
      <c r="E1135">
        <v>0.46989049999999999</v>
      </c>
      <c r="F1135" t="s">
        <v>42</v>
      </c>
      <c r="G1135">
        <v>-214.84370000000001</v>
      </c>
      <c r="H1135" s="1">
        <v>-2.5270690000000001E-6</v>
      </c>
      <c r="I1135">
        <v>370.86689999999999</v>
      </c>
      <c r="J1135">
        <v>-275.26659999999998</v>
      </c>
      <c r="K1135">
        <v>1.1032169999999999</v>
      </c>
      <c r="L1135">
        <v>367.82639999999998</v>
      </c>
      <c r="M1135">
        <v>0.99992449999999999</v>
      </c>
      <c r="N1135">
        <v>0</v>
      </c>
      <c r="O1135">
        <v>6.6695529999999999E-3</v>
      </c>
      <c r="P1135">
        <v>0.99817909999999999</v>
      </c>
      <c r="Q1135">
        <v>5.1201570000000002E-2</v>
      </c>
      <c r="R1135">
        <v>-3.1899329999999997E-2</v>
      </c>
      <c r="S1135">
        <v>3.013245</v>
      </c>
      <c r="T1135">
        <v>-5.48557E-2</v>
      </c>
      <c r="U1135">
        <v>0.15133669999999999</v>
      </c>
      <c r="V1135">
        <v>3.8535119999999999E-2</v>
      </c>
      <c r="W1135">
        <v>6.1520159999999997E-2</v>
      </c>
      <c r="X1135">
        <v>0.99736170000000002</v>
      </c>
      <c r="Y1135">
        <v>-4.3491889999999998E-2</v>
      </c>
      <c r="Z1135">
        <v>2.742674E-4</v>
      </c>
      <c r="AA1135">
        <v>0.99905370000000004</v>
      </c>
      <c r="AB1135">
        <v>24</v>
      </c>
      <c r="AC1135">
        <v>60.422899999999899</v>
      </c>
      <c r="AD1135">
        <v>-1.103219527069</v>
      </c>
      <c r="AE1135">
        <v>3.0405000000000002</v>
      </c>
      <c r="AF1135">
        <v>-2.63654045760337</v>
      </c>
      <c r="AG1135">
        <v>-1.103219527069</v>
      </c>
      <c r="AH1135">
        <v>60.421744149140601</v>
      </c>
      <c r="AI1135">
        <v>91.045033186815203</v>
      </c>
      <c r="AJ1135">
        <v>92.498552043160402</v>
      </c>
      <c r="AK1135">
        <v>60.489301574193199</v>
      </c>
      <c r="AL1135">
        <v>86.472927331759394</v>
      </c>
      <c r="AM1135">
        <v>87.787360337909206</v>
      </c>
      <c r="AN1135">
        <v>1.0000000230933599</v>
      </c>
    </row>
    <row r="1136" spans="1:40" x14ac:dyDescent="0.25">
      <c r="A1136" t="str">
        <f>"20190312153911266"</f>
        <v>20190312153911266</v>
      </c>
      <c r="B1136" t="str">
        <f>"1552376351256662"</f>
        <v>1552376351256662</v>
      </c>
      <c r="C1136" t="s">
        <v>40</v>
      </c>
      <c r="D1136">
        <v>4.2005809999999997</v>
      </c>
      <c r="E1136">
        <v>0.4699121</v>
      </c>
      <c r="F1136" t="s">
        <v>42</v>
      </c>
      <c r="G1136">
        <v>-215.8252</v>
      </c>
      <c r="H1136" s="1">
        <v>-2.0935949999999998E-6</v>
      </c>
      <c r="I1136">
        <v>370.82029999999997</v>
      </c>
      <c r="J1136">
        <v>-275.12349999999998</v>
      </c>
      <c r="K1136">
        <v>1.103912</v>
      </c>
      <c r="L1136">
        <v>367.82749999999999</v>
      </c>
      <c r="M1136">
        <v>0.99992040000000004</v>
      </c>
      <c r="N1136">
        <v>0</v>
      </c>
      <c r="O1136">
        <v>6.8111810000000004E-3</v>
      </c>
      <c r="P1136">
        <v>0.99819930000000001</v>
      </c>
      <c r="Q1136">
        <v>5.0848699999999997E-2</v>
      </c>
      <c r="R1136">
        <v>-3.1828530000000001E-2</v>
      </c>
      <c r="S1136">
        <v>3.0131839999999999</v>
      </c>
      <c r="T1136">
        <v>-5.5923939999999998E-2</v>
      </c>
      <c r="U1136">
        <v>0.15176389999999901</v>
      </c>
      <c r="V1136">
        <v>3.8606330000000001E-2</v>
      </c>
      <c r="W1136">
        <v>6.1465899999999997E-2</v>
      </c>
      <c r="X1136">
        <v>0.99736230000000003</v>
      </c>
      <c r="Y1136">
        <v>-4.3492469999999998E-2</v>
      </c>
      <c r="Z1136">
        <v>2.769906E-4</v>
      </c>
      <c r="AA1136">
        <v>0.99905370000000004</v>
      </c>
      <c r="AB1136">
        <v>24</v>
      </c>
      <c r="AC1136">
        <v>59.298299999999898</v>
      </c>
      <c r="AD1136">
        <v>-1.103914093595</v>
      </c>
      <c r="AE1136">
        <v>2.9927999999999799</v>
      </c>
      <c r="AF1136">
        <v>-2.5879217269619899</v>
      </c>
      <c r="AG1136">
        <v>-1.103914093595</v>
      </c>
      <c r="AH1136">
        <v>59.296811941413097</v>
      </c>
      <c r="AI1136">
        <v>91.065524098637894</v>
      </c>
      <c r="AJ1136">
        <v>92.499003763925998</v>
      </c>
      <c r="AK1136">
        <v>59.363523072727403</v>
      </c>
      <c r="AL1136">
        <v>86.476042125066897</v>
      </c>
      <c r="AM1136">
        <v>87.783276953877305</v>
      </c>
      <c r="AN1136">
        <v>1.0000000315200801</v>
      </c>
    </row>
    <row r="1137" spans="1:40" x14ac:dyDescent="0.25">
      <c r="A1137" t="str">
        <f>"20190312153911278"</f>
        <v>20190312153911278</v>
      </c>
      <c r="B1137" t="str">
        <f>"1552376351267398"</f>
        <v>1552376351267398</v>
      </c>
      <c r="C1137" t="s">
        <v>40</v>
      </c>
      <c r="D1137">
        <v>4.2025269999999999</v>
      </c>
      <c r="E1137">
        <v>0.46992719999999999</v>
      </c>
      <c r="F1137" t="s">
        <v>42</v>
      </c>
      <c r="G1137">
        <v>-216.90100000000001</v>
      </c>
      <c r="H1137" s="1">
        <v>-1.6173259999999901E-6</v>
      </c>
      <c r="I1137">
        <v>370.7647</v>
      </c>
      <c r="J1137">
        <v>-274.99329999999998</v>
      </c>
      <c r="K1137">
        <v>1.1045069999999999</v>
      </c>
      <c r="L1137">
        <v>367.82850000000002</v>
      </c>
      <c r="M1137">
        <v>0.99991669999999999</v>
      </c>
      <c r="N1137">
        <v>0</v>
      </c>
      <c r="O1137">
        <v>6.9401480000000002E-3</v>
      </c>
      <c r="P1137">
        <v>0.99821760000000004</v>
      </c>
      <c r="Q1137">
        <v>5.0604179999999999E-2</v>
      </c>
      <c r="R1137">
        <v>-3.163763E-2</v>
      </c>
      <c r="S1137">
        <v>3.0131839999999999</v>
      </c>
      <c r="T1137">
        <v>-5.713058E-2</v>
      </c>
      <c r="U1137">
        <v>0.15200810000000001</v>
      </c>
      <c r="V1137">
        <v>3.8544410000000001E-2</v>
      </c>
      <c r="W1137">
        <v>6.1483030000000001E-2</v>
      </c>
      <c r="X1137">
        <v>0.99736360000000002</v>
      </c>
      <c r="Y1137">
        <v>-4.3444089999999998E-2</v>
      </c>
      <c r="Z1137">
        <v>2.8006340000000002E-4</v>
      </c>
      <c r="AA1137">
        <v>0.99905580000000005</v>
      </c>
      <c r="AB1137">
        <v>24</v>
      </c>
      <c r="AC1137">
        <v>58.092300000000002</v>
      </c>
      <c r="AD1137">
        <v>-1.1045086173259999</v>
      </c>
      <c r="AE1137">
        <v>2.9361999999999799</v>
      </c>
      <c r="AF1137">
        <v>-2.5320232650341499</v>
      </c>
      <c r="AG1137">
        <v>-1.1045086173259999</v>
      </c>
      <c r="AH1137">
        <v>58.090333863222099</v>
      </c>
      <c r="AI1137">
        <v>91.088236972992902</v>
      </c>
      <c r="AJ1137">
        <v>92.495810693430897</v>
      </c>
      <c r="AK1137">
        <v>58.155979653351402</v>
      </c>
      <c r="AL1137">
        <v>86.475058651071393</v>
      </c>
      <c r="AM1137">
        <v>87.786831659746895</v>
      </c>
      <c r="AN1137">
        <v>0.99999999256259398</v>
      </c>
    </row>
    <row r="1138" spans="1:40" x14ac:dyDescent="0.25">
      <c r="A1138" t="str">
        <f>"20190312153911292"</f>
        <v>20190312153911292</v>
      </c>
      <c r="B1138" t="str">
        <f>"1552376351286918"</f>
        <v>1552376351286918</v>
      </c>
      <c r="C1138" t="s">
        <v>40</v>
      </c>
      <c r="D1138">
        <v>4.186985</v>
      </c>
      <c r="E1138">
        <v>0.4698948</v>
      </c>
      <c r="F1138" t="s">
        <v>42</v>
      </c>
      <c r="G1138">
        <v>-217.49680000000001</v>
      </c>
      <c r="H1138" s="1">
        <v>-1.354881E-6</v>
      </c>
      <c r="I1138">
        <v>370.73899999999998</v>
      </c>
      <c r="J1138">
        <v>-274.82670000000002</v>
      </c>
      <c r="K1138">
        <v>1.1051799999999901</v>
      </c>
      <c r="L1138">
        <v>367.82990000000001</v>
      </c>
      <c r="M1138">
        <v>0.99991209999999997</v>
      </c>
      <c r="N1138">
        <v>0</v>
      </c>
      <c r="O1138">
        <v>7.1041300000000002E-3</v>
      </c>
      <c r="P1138">
        <v>0.99820759999999997</v>
      </c>
      <c r="Q1138">
        <v>5.0936019999999999E-2</v>
      </c>
      <c r="R1138">
        <v>-3.1418649999999999E-2</v>
      </c>
      <c r="S1138">
        <v>3.0131230000000002</v>
      </c>
      <c r="T1138">
        <v>-5.7882070000000001E-2</v>
      </c>
      <c r="U1138">
        <v>0.15252689999999999</v>
      </c>
      <c r="V1138">
        <v>3.8488790000000002E-2</v>
      </c>
      <c r="W1138">
        <v>6.2119819999999999E-2</v>
      </c>
      <c r="X1138">
        <v>0.9973263</v>
      </c>
      <c r="Y1138">
        <v>-4.345268E-2</v>
      </c>
      <c r="Z1138">
        <v>2.806854E-4</v>
      </c>
      <c r="AA1138">
        <v>0.99905540000000004</v>
      </c>
      <c r="AB1138">
        <v>24</v>
      </c>
      <c r="AC1138">
        <v>57.329900000000002</v>
      </c>
      <c r="AD1138">
        <v>-1.1051813548810001</v>
      </c>
      <c r="AE1138">
        <v>2.90910000000002</v>
      </c>
      <c r="AF1138">
        <v>-2.5007950242377501</v>
      </c>
      <c r="AG1138">
        <v>-1.1051813548810001</v>
      </c>
      <c r="AH1138">
        <v>57.327871292946597</v>
      </c>
      <c r="AI1138">
        <v>91.103376804635005</v>
      </c>
      <c r="AJ1138">
        <v>92.497811505000499</v>
      </c>
      <c r="AK1138">
        <v>57.393032927012001</v>
      </c>
      <c r="AL1138">
        <v>86.438503434270103</v>
      </c>
      <c r="AM1138">
        <v>87.789939545471796</v>
      </c>
      <c r="AN1138">
        <v>1.00000000383209</v>
      </c>
    </row>
    <row r="1139" spans="1:40" x14ac:dyDescent="0.25">
      <c r="A1139" t="str">
        <f>"20190312153911305"</f>
        <v>20190312153911305</v>
      </c>
      <c r="B1139" t="str">
        <f>"1552376351296678"</f>
        <v>1552376351296678</v>
      </c>
      <c r="C1139" t="s">
        <v>40</v>
      </c>
      <c r="D1139">
        <v>4.2329129999999999</v>
      </c>
      <c r="E1139">
        <v>0.4698195</v>
      </c>
      <c r="F1139" t="s">
        <v>42</v>
      </c>
      <c r="G1139">
        <v>-216.66669999999999</v>
      </c>
      <c r="H1139" s="1">
        <v>-1.7231230000000001E-6</v>
      </c>
      <c r="I1139">
        <v>370.78460000000001</v>
      </c>
      <c r="J1139">
        <v>-274.69470000000001</v>
      </c>
      <c r="K1139">
        <v>1.105675</v>
      </c>
      <c r="L1139">
        <v>367.83089999999999</v>
      </c>
      <c r="M1139">
        <v>0.99990869999999998</v>
      </c>
      <c r="N1139">
        <v>0</v>
      </c>
      <c r="O1139">
        <v>7.2337599999999997E-3</v>
      </c>
      <c r="P1139">
        <v>0.99822010000000005</v>
      </c>
      <c r="Q1139">
        <v>5.0865649999999998E-2</v>
      </c>
      <c r="R1139">
        <v>-3.1139400000000001E-2</v>
      </c>
      <c r="S1139">
        <v>3.0131230000000002</v>
      </c>
      <c r="T1139">
        <v>-5.7256580000000001E-2</v>
      </c>
      <c r="U1139">
        <v>0.1530762</v>
      </c>
      <c r="V1139">
        <v>3.8338839999999999E-2</v>
      </c>
      <c r="W1139">
        <v>6.2275919999999998E-2</v>
      </c>
      <c r="X1139">
        <v>0.99732229999999999</v>
      </c>
      <c r="Y1139">
        <v>-4.3504969999999997E-2</v>
      </c>
      <c r="Z1139">
        <v>2.7568630000000002E-4</v>
      </c>
      <c r="AA1139">
        <v>0.99905319999999997</v>
      </c>
      <c r="AB1139">
        <v>24</v>
      </c>
      <c r="AC1139">
        <v>58.027999999999999</v>
      </c>
      <c r="AD1139">
        <v>-1.105676723123</v>
      </c>
      <c r="AE1139">
        <v>2.95370000000002</v>
      </c>
      <c r="AF1139">
        <v>-2.5329175111782001</v>
      </c>
      <c r="AG1139">
        <v>-1.105676723123</v>
      </c>
      <c r="AH1139">
        <v>58.0268363949925</v>
      </c>
      <c r="AI1139">
        <v>91.090576402098705</v>
      </c>
      <c r="AJ1139">
        <v>92.4994196452962</v>
      </c>
      <c r="AK1139">
        <v>58.0926151429397</v>
      </c>
      <c r="AL1139">
        <v>86.4295420684428</v>
      </c>
      <c r="AM1139">
        <v>87.798532498378506</v>
      </c>
      <c r="AN1139">
        <v>0.99999996347083997</v>
      </c>
    </row>
    <row r="1140" spans="1:40" x14ac:dyDescent="0.25">
      <c r="A1140" t="str">
        <f>"20190312153911316"</f>
        <v>20190312153911316</v>
      </c>
      <c r="B1140" t="str">
        <f>"1552376351307414"</f>
        <v>1552376351307414</v>
      </c>
      <c r="C1140" t="s">
        <v>40</v>
      </c>
      <c r="D1140">
        <v>4.2585889999999997</v>
      </c>
      <c r="E1140">
        <v>0.46993750000000001</v>
      </c>
      <c r="F1140" t="s">
        <v>42</v>
      </c>
      <c r="G1140">
        <v>-216.5915</v>
      </c>
      <c r="H1140" s="1">
        <v>-1.763065E-6</v>
      </c>
      <c r="I1140">
        <v>370.8134</v>
      </c>
      <c r="J1140">
        <v>-274.56819999999999</v>
      </c>
      <c r="K1140">
        <v>1.1061209999999999</v>
      </c>
      <c r="L1140">
        <v>367.83199999999999</v>
      </c>
      <c r="M1140">
        <v>0.99990520000000005</v>
      </c>
      <c r="N1140">
        <v>0</v>
      </c>
      <c r="O1140">
        <v>7.3576800000000001E-3</v>
      </c>
      <c r="P1140">
        <v>0.99823589999999995</v>
      </c>
      <c r="Q1140">
        <v>5.0663439999999997E-2</v>
      </c>
      <c r="R1140">
        <v>-3.0958960000000001E-2</v>
      </c>
      <c r="S1140">
        <v>3.0130620000000001</v>
      </c>
      <c r="T1140">
        <v>-5.7337050000000001E-2</v>
      </c>
      <c r="U1140">
        <v>0.1546631</v>
      </c>
      <c r="V1140">
        <v>3.8282330000000003E-2</v>
      </c>
      <c r="W1140">
        <v>6.2283529999999997E-2</v>
      </c>
      <c r="X1140">
        <v>0.99732399999999999</v>
      </c>
      <c r="Y1140">
        <v>-4.3906899999999999E-2</v>
      </c>
      <c r="Z1140">
        <v>2.7754039999999998E-4</v>
      </c>
      <c r="AA1140">
        <v>0.99903560000000002</v>
      </c>
      <c r="AB1140">
        <v>24</v>
      </c>
      <c r="AC1140">
        <v>57.976700000000001</v>
      </c>
      <c r="AD1140">
        <v>-1.1061227630649999</v>
      </c>
      <c r="AE1140">
        <v>2.9813999999999998</v>
      </c>
      <c r="AF1140">
        <v>-2.5537892644363298</v>
      </c>
      <c r="AG1140">
        <v>-1.1061227630649999</v>
      </c>
      <c r="AH1140">
        <v>57.976020612020001</v>
      </c>
      <c r="AI1140">
        <v>91.091953255883297</v>
      </c>
      <c r="AJ1140">
        <v>92.522194837855693</v>
      </c>
      <c r="AK1140">
        <v>58.042780026283097</v>
      </c>
      <c r="AL1140">
        <v>86.429105215437204</v>
      </c>
      <c r="AM1140">
        <v>87.801777935885596</v>
      </c>
      <c r="AN1140">
        <v>0.99999996793774404</v>
      </c>
    </row>
    <row r="1141" spans="1:40" x14ac:dyDescent="0.25">
      <c r="A1141" t="str">
        <f>"20190312153911328"</f>
        <v>20190312153911328</v>
      </c>
      <c r="B1141" t="str">
        <f>"1552376351317174"</f>
        <v>1552376351317174</v>
      </c>
      <c r="C1141" t="s">
        <v>40</v>
      </c>
      <c r="D1141">
        <v>4.2161479999999996</v>
      </c>
      <c r="E1141">
        <v>0.46993750000000001</v>
      </c>
      <c r="F1141" t="s">
        <v>42</v>
      </c>
      <c r="G1141">
        <v>-216.64760000000001</v>
      </c>
      <c r="H1141" s="1">
        <v>-1.7361589999999999E-6</v>
      </c>
      <c r="I1141">
        <v>370.80279999999999</v>
      </c>
      <c r="J1141">
        <v>-274.44630000000001</v>
      </c>
      <c r="K1141">
        <v>1.1064940000000001</v>
      </c>
      <c r="L1141">
        <v>367.83300000000003</v>
      </c>
      <c r="M1141">
        <v>0.99990219999999996</v>
      </c>
      <c r="N1141">
        <v>0</v>
      </c>
      <c r="O1141">
        <v>7.4773769999999899E-3</v>
      </c>
      <c r="P1141">
        <v>0.99822900000000003</v>
      </c>
      <c r="Q1141">
        <v>5.0883770000000002E-2</v>
      </c>
      <c r="R1141">
        <v>-3.081687E-2</v>
      </c>
      <c r="S1141">
        <v>3.0130309999999998</v>
      </c>
      <c r="T1141">
        <v>-5.7540420000000002E-2</v>
      </c>
      <c r="U1141">
        <v>0.15454100000000001</v>
      </c>
      <c r="V1141">
        <v>3.8259609999999999E-2</v>
      </c>
      <c r="W1141">
        <v>6.2687580000000007E-2</v>
      </c>
      <c r="X1141">
        <v>0.99729959999999995</v>
      </c>
      <c r="Y1141">
        <v>-4.3747439999999999E-2</v>
      </c>
      <c r="Z1141">
        <v>2.7472199999999998E-4</v>
      </c>
      <c r="AA1141">
        <v>0.9990426</v>
      </c>
      <c r="AB1141">
        <v>24</v>
      </c>
      <c r="AC1141">
        <v>57.798699999999997</v>
      </c>
      <c r="AD1141">
        <v>-1.106495736159</v>
      </c>
      <c r="AE1141">
        <v>2.9697999999999598</v>
      </c>
      <c r="AF1141">
        <v>-2.5365769232592501</v>
      </c>
      <c r="AG1141">
        <v>-1.106495736159</v>
      </c>
      <c r="AH1141">
        <v>57.798165087972599</v>
      </c>
      <c r="AI1141">
        <v>91.095689616005998</v>
      </c>
      <c r="AJ1141">
        <v>92.512916316531403</v>
      </c>
      <c r="AK1141">
        <v>57.8643797412388</v>
      </c>
      <c r="AL1141">
        <v>86.405909683451995</v>
      </c>
      <c r="AM1141">
        <v>87.803027572350899</v>
      </c>
      <c r="AN1141">
        <v>1.0000000113018801</v>
      </c>
    </row>
    <row r="1142" spans="1:40" x14ac:dyDescent="0.25">
      <c r="A1142" t="str">
        <f>"20190312153911340"</f>
        <v>20190312153911340</v>
      </c>
      <c r="B1142" t="str">
        <f>"1552376351326934"</f>
        <v>1552376351326934</v>
      </c>
      <c r="C1142" t="s">
        <v>40</v>
      </c>
      <c r="D1142">
        <v>4.1460800000000004</v>
      </c>
      <c r="E1142">
        <v>0.49606470000000003</v>
      </c>
      <c r="F1142" t="s">
        <v>42</v>
      </c>
      <c r="G1142">
        <v>-215.86369999999999</v>
      </c>
      <c r="H1142" s="1">
        <v>-2.0827209999999999E-6</v>
      </c>
      <c r="I1142">
        <v>370.84140000000002</v>
      </c>
      <c r="J1142">
        <v>-274.31689999999998</v>
      </c>
      <c r="K1142">
        <v>1.1068830000000001</v>
      </c>
      <c r="L1142">
        <v>367.83409999999998</v>
      </c>
      <c r="M1142">
        <v>0.99989899999999998</v>
      </c>
      <c r="N1142">
        <v>0</v>
      </c>
      <c r="O1142">
        <v>7.6040550000000002E-3</v>
      </c>
      <c r="P1142">
        <v>0.99826230000000005</v>
      </c>
      <c r="Q1142">
        <v>5.0317199999999999E-2</v>
      </c>
      <c r="R1142">
        <v>-3.0673260000000001E-2</v>
      </c>
      <c r="S1142">
        <v>3.0129999999999999</v>
      </c>
      <c r="T1142">
        <v>-5.6908849999999997E-2</v>
      </c>
      <c r="U1142">
        <v>0.1547241</v>
      </c>
      <c r="V1142">
        <v>3.8242859999999997E-2</v>
      </c>
      <c r="W1142">
        <v>6.2310669999999999E-2</v>
      </c>
      <c r="X1142">
        <v>0.99732390000000004</v>
      </c>
      <c r="Y1142">
        <v>-4.3682110000000003E-2</v>
      </c>
      <c r="Z1142">
        <v>2.6870179999999999E-4</v>
      </c>
      <c r="AA1142">
        <v>0.99904539999999997</v>
      </c>
      <c r="AB1142">
        <v>24</v>
      </c>
      <c r="AC1142">
        <v>58.453199999999903</v>
      </c>
      <c r="AD1142">
        <v>-1.1068850827209999</v>
      </c>
      <c r="AE1142">
        <v>3.0073000000000398</v>
      </c>
      <c r="AF1142">
        <v>-2.5617834670656201</v>
      </c>
      <c r="AG1142">
        <v>-1.1068850827209999</v>
      </c>
      <c r="AH1142">
        <v>58.453474094508699</v>
      </c>
      <c r="AI1142">
        <v>91.083793040574903</v>
      </c>
      <c r="AJ1142">
        <v>92.509440491855798</v>
      </c>
      <c r="AK1142">
        <v>58.5200526557853</v>
      </c>
      <c r="AL1142">
        <v>86.427547470662802</v>
      </c>
      <c r="AM1142">
        <v>87.804041915589593</v>
      </c>
      <c r="AN1142">
        <v>1.0000000487240099</v>
      </c>
    </row>
    <row r="1143" spans="1:40" x14ac:dyDescent="0.25">
      <c r="A1143" t="str">
        <f>"20190312153911352"</f>
        <v>20190312153911352</v>
      </c>
      <c r="B1143" t="str">
        <f>"1552376351347430"</f>
        <v>1552376351347430</v>
      </c>
      <c r="C1143" t="s">
        <v>40</v>
      </c>
      <c r="D1143">
        <v>4.1142899999999996</v>
      </c>
      <c r="E1143">
        <v>0.5070673</v>
      </c>
      <c r="F1143" t="s">
        <v>41</v>
      </c>
      <c r="G1143">
        <v>-273.39620000000002</v>
      </c>
      <c r="H1143">
        <v>1.044773</v>
      </c>
      <c r="I1143">
        <v>367.81920000000002</v>
      </c>
      <c r="J1143">
        <v>-274.18049999999999</v>
      </c>
      <c r="K1143">
        <v>1.107245</v>
      </c>
      <c r="L1143">
        <v>367.83530000000002</v>
      </c>
      <c r="M1143">
        <v>0.9998958</v>
      </c>
      <c r="N1143">
        <v>0</v>
      </c>
      <c r="O1143">
        <v>7.7376600000000004E-3</v>
      </c>
      <c r="P1143">
        <v>0.99827129999999997</v>
      </c>
      <c r="Q1143">
        <v>5.0255220000000003E-2</v>
      </c>
      <c r="R1143">
        <v>-3.0472719999999998E-2</v>
      </c>
      <c r="S1143">
        <v>3.014008</v>
      </c>
      <c r="T1143">
        <v>-0.20364989999999999</v>
      </c>
      <c r="U1143">
        <v>-4.7943119999999999E-2</v>
      </c>
      <c r="V1143">
        <v>3.8175830000000001E-2</v>
      </c>
      <c r="W1143">
        <v>6.2433450000000001E-2</v>
      </c>
      <c r="X1143">
        <v>0.9973187</v>
      </c>
      <c r="Y1143">
        <v>2.357016E-2</v>
      </c>
      <c r="Z1143">
        <v>-1.317566E-3</v>
      </c>
      <c r="AA1143">
        <v>0.99972130000000003</v>
      </c>
      <c r="AB1143">
        <v>24</v>
      </c>
      <c r="AC1143">
        <v>0.78429999999997302</v>
      </c>
      <c r="AD1143">
        <v>-6.2472E-2</v>
      </c>
      <c r="AE1143">
        <v>-1.60999999999944E-2</v>
      </c>
      <c r="AF1143">
        <v>2.2028908961609799E-2</v>
      </c>
      <c r="AG1143">
        <v>-6.2472E-2</v>
      </c>
      <c r="AH1143">
        <v>0.77921021291750703</v>
      </c>
      <c r="AI1143">
        <v>94.581975112460299</v>
      </c>
      <c r="AJ1143">
        <v>88.380632858473604</v>
      </c>
      <c r="AK1143">
        <v>0.78202083062344596</v>
      </c>
      <c r="AL1143">
        <v>86.420498651824303</v>
      </c>
      <c r="AM1143">
        <v>87.807875694464002</v>
      </c>
      <c r="AN1143">
        <v>0.99999995952238896</v>
      </c>
    </row>
    <row r="1144" spans="1:40" x14ac:dyDescent="0.25">
      <c r="A1144" t="str">
        <f>"20190312153911364"</f>
        <v>20190312153911364</v>
      </c>
      <c r="B1144" t="str">
        <f>"1552376351357190"</f>
        <v>1552376351357190</v>
      </c>
      <c r="C1144" t="s">
        <v>40</v>
      </c>
      <c r="D1144">
        <v>4.1166650000000002</v>
      </c>
      <c r="E1144">
        <v>0.51025969999999998</v>
      </c>
      <c r="F1144" t="s">
        <v>41</v>
      </c>
      <c r="G1144">
        <v>-273.40789999999998</v>
      </c>
      <c r="H1144">
        <v>1.0277810000000001</v>
      </c>
      <c r="I1144">
        <v>367.80149999999998</v>
      </c>
      <c r="J1144">
        <v>-274.04930000000002</v>
      </c>
      <c r="K1144">
        <v>1.1075630000000001</v>
      </c>
      <c r="L1144">
        <v>367.8365</v>
      </c>
      <c r="M1144">
        <v>0.99989280000000003</v>
      </c>
      <c r="N1144">
        <v>0</v>
      </c>
      <c r="O1144">
        <v>7.8662899999999997E-3</v>
      </c>
      <c r="P1144">
        <v>0.99826329999999996</v>
      </c>
      <c r="Q1144">
        <v>5.0444620000000003E-2</v>
      </c>
      <c r="R1144">
        <v>-3.0430280000000001E-2</v>
      </c>
      <c r="S1144">
        <v>3.016785</v>
      </c>
      <c r="T1144">
        <v>-0.31060949999999998</v>
      </c>
      <c r="U1144">
        <v>-0.13119510000000001</v>
      </c>
      <c r="V1144">
        <v>3.8261539999999997E-2</v>
      </c>
      <c r="W1144">
        <v>6.2788469999999999E-2</v>
      </c>
      <c r="X1144">
        <v>0.99729319999999999</v>
      </c>
      <c r="Y1144">
        <v>5.0994820000000003E-2</v>
      </c>
      <c r="Z1144">
        <v>-3.42457E-3</v>
      </c>
      <c r="AA1144">
        <v>0.99869300000000005</v>
      </c>
      <c r="AB1144">
        <v>24</v>
      </c>
      <c r="AC1144">
        <v>0.64140000000003194</v>
      </c>
      <c r="AD1144">
        <v>-7.9781999999999798E-2</v>
      </c>
      <c r="AE1144">
        <v>-3.5000000000024997E-2</v>
      </c>
      <c r="AF1144">
        <v>3.94363842018811E-2</v>
      </c>
      <c r="AG1144">
        <v>-7.9781999999999798E-2</v>
      </c>
      <c r="AH1144">
        <v>0.63136520698613496</v>
      </c>
      <c r="AI1144">
        <v>97.188105778400598</v>
      </c>
      <c r="AJ1144">
        <v>86.425829820051902</v>
      </c>
      <c r="AK1144">
        <v>0.63760679145972299</v>
      </c>
      <c r="AL1144">
        <v>86.4001177772125</v>
      </c>
      <c r="AM1144">
        <v>87.802902769351306</v>
      </c>
      <c r="AN1144">
        <v>1.00000003208717</v>
      </c>
    </row>
    <row r="1145" spans="1:40" x14ac:dyDescent="0.25">
      <c r="A1145" t="str">
        <f>"20190312153911377"</f>
        <v>20190312153911377</v>
      </c>
      <c r="B1145" t="str">
        <f>"1552376351366950"</f>
        <v>1552376351366950</v>
      </c>
      <c r="C1145" t="s">
        <v>40</v>
      </c>
      <c r="D1145">
        <v>4.0777519999999896</v>
      </c>
      <c r="E1145">
        <v>0.51236539999999997</v>
      </c>
      <c r="F1145" t="s">
        <v>41</v>
      </c>
      <c r="G1145">
        <v>-273.19990000000001</v>
      </c>
      <c r="H1145">
        <v>1.0122119999999999</v>
      </c>
      <c r="I1145">
        <v>367.79239999999999</v>
      </c>
      <c r="J1145">
        <v>-273.9135</v>
      </c>
      <c r="K1145">
        <v>1.107869</v>
      </c>
      <c r="L1145">
        <v>367.83769999999998</v>
      </c>
      <c r="M1145">
        <v>0.99988960000000005</v>
      </c>
      <c r="N1145">
        <v>0</v>
      </c>
      <c r="O1145">
        <v>8.0002760000000006E-3</v>
      </c>
      <c r="P1145">
        <v>0.99827560000000004</v>
      </c>
      <c r="Q1145">
        <v>5.0221300000000003E-2</v>
      </c>
      <c r="R1145">
        <v>-3.0396980000000001E-2</v>
      </c>
      <c r="S1145">
        <v>3.0176090000000002</v>
      </c>
      <c r="T1145">
        <v>-0.33891939999999998</v>
      </c>
      <c r="U1145">
        <v>-0.15563959999999999</v>
      </c>
      <c r="V1145">
        <v>3.8361970000000002E-2</v>
      </c>
      <c r="W1145">
        <v>6.2730419999999995E-2</v>
      </c>
      <c r="X1145">
        <v>0.99729290000000004</v>
      </c>
      <c r="Y1145">
        <v>5.9076660000000003E-2</v>
      </c>
      <c r="Z1145">
        <v>-4.2002380000000002E-3</v>
      </c>
      <c r="AA1145">
        <v>0.99824460000000004</v>
      </c>
      <c r="AB1145">
        <v>24</v>
      </c>
      <c r="AC1145">
        <v>0.71359999999998502</v>
      </c>
      <c r="AD1145">
        <v>-9.5656999999999798E-2</v>
      </c>
      <c r="AE1145">
        <v>-4.5299999999997398E-2</v>
      </c>
      <c r="AF1145">
        <v>5.0111161383169699E-2</v>
      </c>
      <c r="AG1145">
        <v>-9.5656999999999798E-2</v>
      </c>
      <c r="AH1145">
        <v>0.70067482827726602</v>
      </c>
      <c r="AI1145">
        <v>97.754466875481995</v>
      </c>
      <c r="AJ1145">
        <v>85.909261055602499</v>
      </c>
      <c r="AK1145">
        <v>0.70894753340818295</v>
      </c>
      <c r="AL1145">
        <v>86.403450025568603</v>
      </c>
      <c r="AM1145">
        <v>87.797140776830105</v>
      </c>
      <c r="AN1145">
        <v>0.99999993736303106</v>
      </c>
    </row>
    <row r="1146" spans="1:40" x14ac:dyDescent="0.25">
      <c r="A1146" t="str">
        <f>"20190312153911392"</f>
        <v>20190312153911392</v>
      </c>
      <c r="B1146" t="str">
        <f>"1552376351386783"</f>
        <v>1552376351386783</v>
      </c>
      <c r="C1146" t="s">
        <v>40</v>
      </c>
      <c r="D1146">
        <v>4.0790160000000002</v>
      </c>
      <c r="E1146">
        <v>0.51483270000000003</v>
      </c>
      <c r="F1146" t="s">
        <v>41</v>
      </c>
      <c r="G1146">
        <v>-272.99189999999999</v>
      </c>
      <c r="H1146">
        <v>0.99737600000000004</v>
      </c>
      <c r="I1146">
        <v>367.78519999999997</v>
      </c>
      <c r="J1146">
        <v>-273.74349999999998</v>
      </c>
      <c r="K1146">
        <v>1.1082080000000001</v>
      </c>
      <c r="L1146">
        <v>367.83929999999998</v>
      </c>
      <c r="M1146">
        <v>0.99988600000000005</v>
      </c>
      <c r="N1146">
        <v>0</v>
      </c>
      <c r="O1146">
        <v>8.1673779999999994E-3</v>
      </c>
      <c r="P1146">
        <v>0.99829599999999996</v>
      </c>
      <c r="Q1146">
        <v>4.9806019999999999E-2</v>
      </c>
      <c r="R1146">
        <v>-3.040926E-2</v>
      </c>
      <c r="S1146">
        <v>3.0182500000000001</v>
      </c>
      <c r="T1146">
        <v>-0.3619945</v>
      </c>
      <c r="U1146">
        <v>-0.1713257</v>
      </c>
      <c r="V1146">
        <v>3.854138E-2</v>
      </c>
      <c r="W1146">
        <v>6.2501509999999996E-2</v>
      </c>
      <c r="X1146">
        <v>0.99730039999999998</v>
      </c>
      <c r="Y1146">
        <v>6.4307260000000005E-2</v>
      </c>
      <c r="Z1146">
        <v>-4.8149359999999997E-3</v>
      </c>
      <c r="AA1146">
        <v>0.99791850000000004</v>
      </c>
      <c r="AB1146">
        <v>24</v>
      </c>
      <c r="AC1146">
        <v>0.75159999999999605</v>
      </c>
      <c r="AD1146">
        <v>-0.110832</v>
      </c>
      <c r="AE1146">
        <v>-5.4100000000005297E-2</v>
      </c>
      <c r="AF1146">
        <v>5.8961783909142702E-2</v>
      </c>
      <c r="AG1146">
        <v>-0.110832</v>
      </c>
      <c r="AH1146">
        <v>0.73522800524856702</v>
      </c>
      <c r="AI1146">
        <v>98.545483081689696</v>
      </c>
      <c r="AJ1146">
        <v>85.414963810494498</v>
      </c>
      <c r="AK1146">
        <v>0.74586891870323602</v>
      </c>
      <c r="AL1146">
        <v>86.416591551849905</v>
      </c>
      <c r="AM1146">
        <v>87.786865364899896</v>
      </c>
      <c r="AN1146">
        <v>0.99999998228237197</v>
      </c>
    </row>
    <row r="1147" spans="1:40" x14ac:dyDescent="0.25">
      <c r="A1147" t="str">
        <f>"20190312153911407"</f>
        <v>20190312153911407</v>
      </c>
      <c r="B1147" t="str">
        <f>"1552376351396543"</f>
        <v>1552376351396543</v>
      </c>
      <c r="C1147" t="s">
        <v>40</v>
      </c>
      <c r="D1147">
        <v>4.0938679999999996</v>
      </c>
      <c r="E1147">
        <v>0.51566990000000001</v>
      </c>
      <c r="F1147" t="s">
        <v>41</v>
      </c>
      <c r="G1147">
        <v>-272.98540000000003</v>
      </c>
      <c r="H1147">
        <v>1.0105059999999999</v>
      </c>
      <c r="I1147">
        <v>367.79129999999998</v>
      </c>
      <c r="J1147">
        <v>-273.60070000000002</v>
      </c>
      <c r="K1147">
        <v>1.1084670000000001</v>
      </c>
      <c r="L1147">
        <v>367.84050000000002</v>
      </c>
      <c r="M1147">
        <v>0.99988290000000002</v>
      </c>
      <c r="N1147">
        <v>0</v>
      </c>
      <c r="O1147">
        <v>8.3083140000000007E-3</v>
      </c>
      <c r="P1147">
        <v>0.9983168</v>
      </c>
      <c r="Q1147">
        <v>4.946594E-2</v>
      </c>
      <c r="R1147">
        <v>-3.0280640000000001E-2</v>
      </c>
      <c r="S1147">
        <v>3.0187680000000001</v>
      </c>
      <c r="T1147">
        <v>-0.38921109999999998</v>
      </c>
      <c r="U1147">
        <v>-0.1904602</v>
      </c>
      <c r="V1147">
        <v>3.8553730000000001E-2</v>
      </c>
      <c r="W1147">
        <v>6.230637E-2</v>
      </c>
      <c r="X1147">
        <v>0.99731210000000003</v>
      </c>
      <c r="Y1147">
        <v>7.0606459999999996E-2</v>
      </c>
      <c r="Z1147">
        <v>-5.5943360000000001E-3</v>
      </c>
      <c r="AA1147">
        <v>0.99748859999999995</v>
      </c>
      <c r="AB1147">
        <v>24</v>
      </c>
      <c r="AC1147">
        <v>0.61529999999998997</v>
      </c>
      <c r="AD1147">
        <v>-9.7961000000000201E-2</v>
      </c>
      <c r="AE1147">
        <v>-4.9200000000041599E-2</v>
      </c>
      <c r="AF1147">
        <v>5.2976545378373603E-2</v>
      </c>
      <c r="AG1147">
        <v>-9.7961000000000201E-2</v>
      </c>
      <c r="AH1147">
        <v>0.59976410826561199</v>
      </c>
      <c r="AI1147">
        <v>99.240999523640994</v>
      </c>
      <c r="AJ1147">
        <v>84.952223257340094</v>
      </c>
      <c r="AK1147">
        <v>0.61001627637700895</v>
      </c>
      <c r="AL1147">
        <v>86.427793966609002</v>
      </c>
      <c r="AM1147">
        <v>87.786182850956706</v>
      </c>
      <c r="AN1147">
        <v>0.999999949322948</v>
      </c>
    </row>
    <row r="1148" spans="1:40" x14ac:dyDescent="0.25">
      <c r="A1148" t="str">
        <f>"20190312153911427"</f>
        <v>20190312153911427</v>
      </c>
      <c r="B1148" t="str">
        <f>"1552376351417040"</f>
        <v>1552376351417040</v>
      </c>
      <c r="C1148" t="s">
        <v>40</v>
      </c>
      <c r="D1148">
        <v>4.1318000000000001</v>
      </c>
      <c r="E1148">
        <v>0.51721810000000001</v>
      </c>
      <c r="F1148" t="s">
        <v>41</v>
      </c>
      <c r="G1148">
        <v>-272.77589999999998</v>
      </c>
      <c r="H1148">
        <v>0.9994383</v>
      </c>
      <c r="I1148">
        <v>367.78680000000003</v>
      </c>
      <c r="J1148">
        <v>-273.37970000000001</v>
      </c>
      <c r="K1148">
        <v>1.108814</v>
      </c>
      <c r="L1148">
        <v>367.84269999999998</v>
      </c>
      <c r="M1148">
        <v>0.9998783</v>
      </c>
      <c r="N1148">
        <v>0</v>
      </c>
      <c r="O1148">
        <v>8.5263860000000004E-3</v>
      </c>
      <c r="P1148">
        <v>0.99833050000000001</v>
      </c>
      <c r="Q1148">
        <v>4.9182200000000002E-2</v>
      </c>
      <c r="R1148">
        <v>-3.028726E-2</v>
      </c>
      <c r="S1148">
        <v>3.0188899999999999</v>
      </c>
      <c r="T1148">
        <v>-0.3991518</v>
      </c>
      <c r="U1148">
        <v>-0.19622800000000001</v>
      </c>
      <c r="V1148">
        <v>3.8778279999999998E-2</v>
      </c>
      <c r="W1148">
        <v>6.2229279999999998E-2</v>
      </c>
      <c r="X1148">
        <v>0.99730830000000004</v>
      </c>
      <c r="Y1148">
        <v>7.2666229999999998E-2</v>
      </c>
      <c r="Z1148">
        <v>-5.8995569999999997E-3</v>
      </c>
      <c r="AA1148">
        <v>0.99733890000000003</v>
      </c>
      <c r="AB1148">
        <v>24</v>
      </c>
      <c r="AC1148">
        <v>0.60380000000003498</v>
      </c>
      <c r="AD1148">
        <v>-0.10937569999999899</v>
      </c>
      <c r="AE1148">
        <v>-5.5899999999951398E-2</v>
      </c>
      <c r="AF1148">
        <v>5.9123077877913099E-2</v>
      </c>
      <c r="AG1148">
        <v>-0.10937569999999899</v>
      </c>
      <c r="AH1148">
        <v>0.584291538672989</v>
      </c>
      <c r="AI1148">
        <v>100.550046565919</v>
      </c>
      <c r="AJ1148">
        <v>84.222042173115298</v>
      </c>
      <c r="AK1148">
        <v>0.59737357177322103</v>
      </c>
      <c r="AL1148">
        <v>86.432219816558003</v>
      </c>
      <c r="AM1148">
        <v>87.7732932948052</v>
      </c>
      <c r="AN1148">
        <v>1.0000000417689801</v>
      </c>
    </row>
    <row r="1149" spans="1:40" x14ac:dyDescent="0.25">
      <c r="A1149" t="str">
        <f>"20190312153911442"</f>
        <v>20190312153911442</v>
      </c>
      <c r="B1149" t="str">
        <f>"1552376351426799"</f>
        <v>1552376351426799</v>
      </c>
      <c r="C1149" t="s">
        <v>40</v>
      </c>
      <c r="D1149">
        <v>4.071072</v>
      </c>
      <c r="E1149">
        <v>0.51772280000000004</v>
      </c>
      <c r="F1149" t="s">
        <v>41</v>
      </c>
      <c r="G1149">
        <v>-272.56259999999997</v>
      </c>
      <c r="H1149">
        <v>0.99705149999999998</v>
      </c>
      <c r="I1149">
        <v>367.78620000000001</v>
      </c>
      <c r="J1149">
        <v>-273.2276</v>
      </c>
      <c r="K1149">
        <v>1.1090169999999999</v>
      </c>
      <c r="L1149">
        <v>367.84410000000003</v>
      </c>
      <c r="M1149">
        <v>0.99987539999999997</v>
      </c>
      <c r="N1149">
        <v>0</v>
      </c>
      <c r="O1149">
        <v>8.6763929999999993E-3</v>
      </c>
      <c r="P1149">
        <v>0.99834480000000003</v>
      </c>
      <c r="Q1149">
        <v>4.8952339999999997E-2</v>
      </c>
      <c r="R1149">
        <v>-3.0193390000000001E-2</v>
      </c>
      <c r="S1149">
        <v>3.0190730000000001</v>
      </c>
      <c r="T1149">
        <v>-0.41316380000000003</v>
      </c>
      <c r="U1149">
        <v>-0.20773320000000001</v>
      </c>
      <c r="V1149">
        <v>3.8834279999999999E-2</v>
      </c>
      <c r="W1149">
        <v>6.2129799999999999E-2</v>
      </c>
      <c r="X1149">
        <v>0.99731230000000004</v>
      </c>
      <c r="Y1149">
        <v>7.6508339999999994E-2</v>
      </c>
      <c r="Z1149">
        <v>-6.3854469999999998E-3</v>
      </c>
      <c r="AA1149">
        <v>0.9970485</v>
      </c>
      <c r="AB1149">
        <v>24</v>
      </c>
      <c r="AC1149">
        <v>0.66500000000002002</v>
      </c>
      <c r="AD1149">
        <v>-0.111965499999999</v>
      </c>
      <c r="AE1149">
        <v>-5.7900000000017798E-2</v>
      </c>
      <c r="AF1149">
        <v>6.1925846219990498E-2</v>
      </c>
      <c r="AG1149">
        <v>-0.111965499999999</v>
      </c>
      <c r="AH1149">
        <v>0.64628927749818499</v>
      </c>
      <c r="AI1149">
        <v>99.784632451852204</v>
      </c>
      <c r="AJ1149">
        <v>84.526768674870198</v>
      </c>
      <c r="AK1149">
        <v>0.65883299388345595</v>
      </c>
      <c r="AL1149">
        <v>86.437930568199207</v>
      </c>
      <c r="AM1149">
        <v>87.770089869767105</v>
      </c>
      <c r="AN1149">
        <v>1.0000000185412199</v>
      </c>
    </row>
    <row r="1150" spans="1:40" x14ac:dyDescent="0.25">
      <c r="A1150" t="str">
        <f>"20190312153911455"</f>
        <v>20190312153911455</v>
      </c>
      <c r="B1150" t="str">
        <f>"1552376351447295"</f>
        <v>1552376351447295</v>
      </c>
      <c r="C1150" t="s">
        <v>40</v>
      </c>
      <c r="D1150">
        <v>4.0751039999999996</v>
      </c>
      <c r="E1150">
        <v>0.51853439999999995</v>
      </c>
      <c r="F1150" t="s">
        <v>41</v>
      </c>
      <c r="G1150">
        <v>-272.35300000000001</v>
      </c>
      <c r="H1150">
        <v>0.98772629999999995</v>
      </c>
      <c r="I1150">
        <v>367.78269999999998</v>
      </c>
      <c r="J1150">
        <v>-273.084</v>
      </c>
      <c r="K1150">
        <v>1.1091959999999901</v>
      </c>
      <c r="L1150">
        <v>367.84550000000002</v>
      </c>
      <c r="M1150">
        <v>0.99987269999999995</v>
      </c>
      <c r="N1150">
        <v>0</v>
      </c>
      <c r="O1150">
        <v>8.8178590000000008E-3</v>
      </c>
      <c r="P1150">
        <v>0.99835410000000002</v>
      </c>
      <c r="Q1150">
        <v>4.8809569999999997E-2</v>
      </c>
      <c r="R1150">
        <v>-3.0118700000000002E-2</v>
      </c>
      <c r="S1150">
        <v>3.0191349999999999</v>
      </c>
      <c r="T1150">
        <v>-0.4189234</v>
      </c>
      <c r="U1150">
        <v>-0.21124270000000001</v>
      </c>
      <c r="V1150">
        <v>3.890093E-2</v>
      </c>
      <c r="W1150">
        <v>6.2100780000000001E-2</v>
      </c>
      <c r="X1150">
        <v>0.99731150000000002</v>
      </c>
      <c r="Y1150">
        <v>7.7766089999999996E-2</v>
      </c>
      <c r="Z1150">
        <v>-6.5794979999999996E-3</v>
      </c>
      <c r="AA1150">
        <v>0.99694989999999994</v>
      </c>
      <c r="AB1150">
        <v>24</v>
      </c>
      <c r="AC1150">
        <v>0.73099999999999399</v>
      </c>
      <c r="AD1150">
        <v>-0.121469699999999</v>
      </c>
      <c r="AE1150">
        <v>-6.2800000000038297E-2</v>
      </c>
      <c r="AF1150">
        <v>6.7396646813522199E-2</v>
      </c>
      <c r="AG1150">
        <v>-0.121469699999999</v>
      </c>
      <c r="AH1150">
        <v>0.71093120323398296</v>
      </c>
      <c r="AI1150">
        <v>99.653466739734995</v>
      </c>
      <c r="AJ1150">
        <v>84.584514923591598</v>
      </c>
      <c r="AK1150">
        <v>0.72437584978484504</v>
      </c>
      <c r="AL1150">
        <v>86.439596473325693</v>
      </c>
      <c r="AM1150">
        <v>87.766264831641806</v>
      </c>
      <c r="AN1150">
        <v>1.0000000086318599</v>
      </c>
    </row>
    <row r="1151" spans="1:40" x14ac:dyDescent="0.25">
      <c r="A1151" t="str">
        <f>"20190312153911467"</f>
        <v>20190312153911467</v>
      </c>
      <c r="B1151" t="str">
        <f>"1552376351457055"</f>
        <v>1552376351457055</v>
      </c>
      <c r="C1151" t="s">
        <v>40</v>
      </c>
      <c r="D1151">
        <v>4.0926559999999998</v>
      </c>
      <c r="E1151">
        <v>0.51897389999999999</v>
      </c>
      <c r="F1151" t="s">
        <v>41</v>
      </c>
      <c r="G1151">
        <v>-272.34460000000001</v>
      </c>
      <c r="H1151">
        <v>1.00482</v>
      </c>
      <c r="I1151">
        <v>367.79199999999997</v>
      </c>
      <c r="J1151">
        <v>-272.94760000000002</v>
      </c>
      <c r="K1151">
        <v>1.1093440000000001</v>
      </c>
      <c r="L1151">
        <v>367.84690000000001</v>
      </c>
      <c r="M1151">
        <v>0.99987000000000004</v>
      </c>
      <c r="N1151">
        <v>0</v>
      </c>
      <c r="O1151">
        <v>8.9527999999999899E-3</v>
      </c>
      <c r="P1151">
        <v>0.99835960000000001</v>
      </c>
      <c r="Q1151">
        <v>4.872137E-2</v>
      </c>
      <c r="R1151">
        <v>-3.006905E-2</v>
      </c>
      <c r="S1151">
        <v>3.019196</v>
      </c>
      <c r="T1151">
        <v>-0.42647370000000001</v>
      </c>
      <c r="U1151">
        <v>-0.21743770000000001</v>
      </c>
      <c r="V1151">
        <v>3.8986220000000002E-2</v>
      </c>
      <c r="W1151">
        <v>6.2110770000000003E-2</v>
      </c>
      <c r="X1151">
        <v>0.99730750000000001</v>
      </c>
      <c r="Y1151">
        <v>7.9882510000000004E-2</v>
      </c>
      <c r="Z1151">
        <v>-6.8638179999999998E-3</v>
      </c>
      <c r="AA1151">
        <v>0.99678060000000002</v>
      </c>
      <c r="AB1151">
        <v>24</v>
      </c>
      <c r="AC1151">
        <v>0.60300000000000797</v>
      </c>
      <c r="AD1151">
        <v>-0.10452400000000001</v>
      </c>
      <c r="AE1151">
        <v>-5.4900000000031902E-2</v>
      </c>
      <c r="AF1151">
        <v>5.85519897817997E-2</v>
      </c>
      <c r="AG1151">
        <v>-0.10452400000000001</v>
      </c>
      <c r="AH1151">
        <v>0.58504994601729199</v>
      </c>
      <c r="AI1151">
        <v>100.080176531513</v>
      </c>
      <c r="AJ1151">
        <v>84.284850081276403</v>
      </c>
      <c r="AK1151">
        <v>0.59719095892205598</v>
      </c>
      <c r="AL1151">
        <v>86.439022812744099</v>
      </c>
      <c r="AM1151">
        <v>87.761363391585505</v>
      </c>
      <c r="AN1151">
        <v>0.99999996132806401</v>
      </c>
    </row>
    <row r="1152" spans="1:40" x14ac:dyDescent="0.25">
      <c r="A1152" t="str">
        <f>"20190312153911484"</f>
        <v>20190312153911484</v>
      </c>
      <c r="B1152" t="str">
        <f>"1552376351476575"</f>
        <v>1552376351476575</v>
      </c>
      <c r="C1152" t="s">
        <v>40</v>
      </c>
      <c r="D1152">
        <v>4.1135440000000001</v>
      </c>
      <c r="E1152">
        <v>0.53571049999999998</v>
      </c>
      <c r="F1152" t="s">
        <v>41</v>
      </c>
      <c r="G1152">
        <v>-272.13639999999998</v>
      </c>
      <c r="H1152">
        <v>0.99365170000000003</v>
      </c>
      <c r="I1152">
        <v>367.78739999999999</v>
      </c>
      <c r="J1152">
        <v>-272.76859999999999</v>
      </c>
      <c r="K1152">
        <v>1.109526</v>
      </c>
      <c r="L1152">
        <v>367.84870000000001</v>
      </c>
      <c r="M1152">
        <v>0.99986679999999994</v>
      </c>
      <c r="N1152">
        <v>0</v>
      </c>
      <c r="O1152">
        <v>9.1298430000000003E-3</v>
      </c>
      <c r="P1152">
        <v>0.99837169999999997</v>
      </c>
      <c r="Q1152">
        <v>4.8502179999999999E-2</v>
      </c>
      <c r="R1152">
        <v>-3.0030310000000001E-2</v>
      </c>
      <c r="S1152">
        <v>3.0193180000000002</v>
      </c>
      <c r="T1152">
        <v>-0.43085560000000001</v>
      </c>
      <c r="U1152">
        <v>-0.2205811</v>
      </c>
      <c r="V1152">
        <v>3.9124180000000001E-2</v>
      </c>
      <c r="W1152">
        <v>6.2012739999999997E-2</v>
      </c>
      <c r="X1152">
        <v>0.99730830000000004</v>
      </c>
      <c r="Y1152">
        <v>8.1056829999999996E-2</v>
      </c>
      <c r="Z1152">
        <v>-7.0414750000000002E-3</v>
      </c>
      <c r="AA1152">
        <v>0.99668460000000003</v>
      </c>
      <c r="AB1152">
        <v>24</v>
      </c>
      <c r="AC1152">
        <v>0.63220000000001098</v>
      </c>
      <c r="AD1152">
        <v>-0.1158743</v>
      </c>
      <c r="AE1152">
        <v>-6.1300000000017001E-2</v>
      </c>
      <c r="AF1152">
        <v>6.4909580029195404E-2</v>
      </c>
      <c r="AG1152">
        <v>-0.1158743</v>
      </c>
      <c r="AH1152">
        <v>0.61127003240140898</v>
      </c>
      <c r="AI1152">
        <v>100.67518326452</v>
      </c>
      <c r="AJ1152">
        <v>83.938586754632595</v>
      </c>
      <c r="AK1152">
        <v>0.62553270057773602</v>
      </c>
      <c r="AL1152">
        <v>86.444650729470396</v>
      </c>
      <c r="AM1152">
        <v>87.753451461852293</v>
      </c>
      <c r="AN1152">
        <v>1.0000000633159301</v>
      </c>
    </row>
    <row r="1153" spans="1:40" x14ac:dyDescent="0.25">
      <c r="A1153" t="str">
        <f>"20190312153911497"</f>
        <v>20190312153911497</v>
      </c>
      <c r="B1153" t="str">
        <f>"1552376351487312"</f>
        <v>1552376351487312</v>
      </c>
      <c r="C1153" t="s">
        <v>40</v>
      </c>
      <c r="D1153">
        <v>4.1707510000000001</v>
      </c>
      <c r="E1153">
        <v>0.53644099999999995</v>
      </c>
      <c r="F1153" t="s">
        <v>41</v>
      </c>
      <c r="G1153">
        <v>-271.947</v>
      </c>
      <c r="H1153">
        <v>0.94352100000000005</v>
      </c>
      <c r="I1153">
        <v>367.75420000000003</v>
      </c>
      <c r="J1153">
        <v>-272.6361</v>
      </c>
      <c r="K1153">
        <v>1.1096429999999999</v>
      </c>
      <c r="L1153">
        <v>367.85</v>
      </c>
      <c r="M1153">
        <v>0.99986450000000004</v>
      </c>
      <c r="N1153">
        <v>0</v>
      </c>
      <c r="O1153">
        <v>9.2609960000000005E-3</v>
      </c>
      <c r="P1153">
        <v>0.99836579999999997</v>
      </c>
      <c r="Q1153">
        <v>4.8723219999999998E-2</v>
      </c>
      <c r="R1153">
        <v>-2.986082E-2</v>
      </c>
      <c r="S1153">
        <v>3.0241389999999999</v>
      </c>
      <c r="T1153">
        <v>-0.61100719999999997</v>
      </c>
      <c r="U1153">
        <v>-0.34753420000000002</v>
      </c>
      <c r="V1153">
        <v>3.9085689999999999E-2</v>
      </c>
      <c r="W1153">
        <v>6.231685E-2</v>
      </c>
      <c r="X1153">
        <v>0.99729080000000003</v>
      </c>
      <c r="Y1153">
        <v>0.12077069999999999</v>
      </c>
      <c r="Z1153">
        <v>-1.3886880000000001E-2</v>
      </c>
      <c r="AA1153">
        <v>0.99258329999999995</v>
      </c>
      <c r="AB1153">
        <v>24</v>
      </c>
      <c r="AC1153">
        <v>0.68909999999999605</v>
      </c>
      <c r="AD1153">
        <v>-0.16612199999999999</v>
      </c>
      <c r="AE1153">
        <v>-9.5799999999996999E-2</v>
      </c>
      <c r="AF1153">
        <v>9.6666932832446401E-2</v>
      </c>
      <c r="AG1153">
        <v>-0.16612199999999999</v>
      </c>
      <c r="AH1153">
        <v>0.65106385400853295</v>
      </c>
      <c r="AI1153">
        <v>104.164940825744</v>
      </c>
      <c r="AJ1153">
        <v>81.554687256119493</v>
      </c>
      <c r="AK1153">
        <v>0.67884103940736895</v>
      </c>
      <c r="AL1153">
        <v>86.427192556048894</v>
      </c>
      <c r="AM1153">
        <v>87.7556199915701</v>
      </c>
      <c r="AN1153">
        <v>1.0000000103606601</v>
      </c>
    </row>
    <row r="1154" spans="1:40" x14ac:dyDescent="0.25">
      <c r="A1154" t="str">
        <f>"20190312153911509"</f>
        <v>20190312153911509</v>
      </c>
      <c r="B1154" t="str">
        <f>"1552376351497071"</f>
        <v>1552376351497071</v>
      </c>
      <c r="C1154" t="s">
        <v>40</v>
      </c>
      <c r="D1154">
        <v>4.1322279999999996</v>
      </c>
      <c r="E1154">
        <v>0.53691630000000001</v>
      </c>
      <c r="F1154" t="s">
        <v>41</v>
      </c>
      <c r="G1154">
        <v>-271.93599999999998</v>
      </c>
      <c r="H1154">
        <v>0.96692100000000003</v>
      </c>
      <c r="I1154">
        <v>367.76830000000001</v>
      </c>
      <c r="J1154">
        <v>-272.49900000000002</v>
      </c>
      <c r="K1154">
        <v>1.1097440000000001</v>
      </c>
      <c r="L1154">
        <v>367.85149999999999</v>
      </c>
      <c r="M1154">
        <v>0.99986229999999998</v>
      </c>
      <c r="N1154">
        <v>0</v>
      </c>
      <c r="O1154">
        <v>9.3960669999999993E-3</v>
      </c>
      <c r="P1154">
        <v>0.99838539999999998</v>
      </c>
      <c r="Q1154">
        <v>4.8506760000000003E-2</v>
      </c>
      <c r="R1154">
        <v>-2.957044E-2</v>
      </c>
      <c r="S1154">
        <v>3.0244450000000001</v>
      </c>
      <c r="T1154">
        <v>-0.61655369999999998</v>
      </c>
      <c r="U1154">
        <v>-0.3528442</v>
      </c>
      <c r="V1154">
        <v>3.8930300000000001E-2</v>
      </c>
      <c r="W1154">
        <v>6.2178839999999999E-2</v>
      </c>
      <c r="X1154">
        <v>0.99730549999999996</v>
      </c>
      <c r="Y1154">
        <v>0.1225287</v>
      </c>
      <c r="Z1154">
        <v>-1.4211649999999999E-2</v>
      </c>
      <c r="AA1154">
        <v>0.9923632</v>
      </c>
      <c r="AB1154">
        <v>24</v>
      </c>
      <c r="AC1154">
        <v>0.56300000000004502</v>
      </c>
      <c r="AD1154">
        <v>-0.14282300000000001</v>
      </c>
      <c r="AE1154">
        <v>-8.3199999999976598E-2</v>
      </c>
      <c r="AF1154">
        <v>8.3244157235135396E-2</v>
      </c>
      <c r="AG1154">
        <v>-0.14282300000000001</v>
      </c>
      <c r="AH1154">
        <v>0.52888459095055995</v>
      </c>
      <c r="AI1154">
        <v>104.936495245084</v>
      </c>
      <c r="AJ1154">
        <v>81.055273070237604</v>
      </c>
      <c r="AK1154">
        <v>0.55411813685145594</v>
      </c>
      <c r="AL1154">
        <v>86.435115339499106</v>
      </c>
      <c r="AM1154">
        <v>87.764566648341699</v>
      </c>
      <c r="AN1154">
        <v>1.00000001836604</v>
      </c>
    </row>
    <row r="1155" spans="1:40" x14ac:dyDescent="0.25">
      <c r="A1155" t="str">
        <f>"20190312153911524"</f>
        <v>20190312153911524</v>
      </c>
      <c r="B1155" t="str">
        <f>"1552376351516591"</f>
        <v>1552376351516591</v>
      </c>
      <c r="C1155" t="s">
        <v>40</v>
      </c>
      <c r="D1155">
        <v>4.1008129999999996</v>
      </c>
      <c r="E1155">
        <v>0.53722510000000001</v>
      </c>
      <c r="F1155" t="s">
        <v>41</v>
      </c>
      <c r="G1155">
        <v>-271.73059999999998</v>
      </c>
      <c r="H1155">
        <v>0.95108959999999998</v>
      </c>
      <c r="I1155">
        <v>367.76100000000002</v>
      </c>
      <c r="J1155">
        <v>-272.3458</v>
      </c>
      <c r="K1155">
        <v>1.1098520000000001</v>
      </c>
      <c r="L1155">
        <v>367.85309999999998</v>
      </c>
      <c r="M1155">
        <v>0.99985959999999996</v>
      </c>
      <c r="N1155">
        <v>0</v>
      </c>
      <c r="O1155">
        <v>9.5476689999999999E-3</v>
      </c>
      <c r="P1155">
        <v>0.99840329999999999</v>
      </c>
      <c r="Q1155">
        <v>4.8199869999999999E-2</v>
      </c>
      <c r="R1155">
        <v>-2.9459450000000002E-2</v>
      </c>
      <c r="S1155">
        <v>3.024689</v>
      </c>
      <c r="T1155">
        <v>-0.62468519999999905</v>
      </c>
      <c r="U1155">
        <v>-0.35531620000000003</v>
      </c>
      <c r="V1155">
        <v>3.8971029999999997E-2</v>
      </c>
      <c r="W1155">
        <v>6.1953719999999997E-2</v>
      </c>
      <c r="X1155">
        <v>0.99731789999999998</v>
      </c>
      <c r="Y1155">
        <v>0.1233794</v>
      </c>
      <c r="Z1155">
        <v>-1.4511019999999999E-2</v>
      </c>
      <c r="AA1155">
        <v>0.99225350000000001</v>
      </c>
      <c r="AB1155">
        <v>24</v>
      </c>
      <c r="AC1155">
        <v>0.61520000000001496</v>
      </c>
      <c r="AD1155">
        <v>-0.158762399999999</v>
      </c>
      <c r="AE1155">
        <v>-9.2100000000016197E-2</v>
      </c>
      <c r="AF1155">
        <v>9.1978742957776E-2</v>
      </c>
      <c r="AG1155">
        <v>-0.158762399999999</v>
      </c>
      <c r="AH1155">
        <v>0.57672559106154997</v>
      </c>
      <c r="AI1155">
        <v>105.208156036944</v>
      </c>
      <c r="AJ1155">
        <v>80.938528922348198</v>
      </c>
      <c r="AK1155">
        <v>0.60520905164673999</v>
      </c>
      <c r="AL1155">
        <v>86.448038612578102</v>
      </c>
      <c r="AM1155">
        <v>87.762258044754702</v>
      </c>
      <c r="AN1155">
        <v>0.99999999913075399</v>
      </c>
    </row>
    <row r="1156" spans="1:40" x14ac:dyDescent="0.25">
      <c r="A1156" t="str">
        <f>"20190312153911539"</f>
        <v>20190312153911539</v>
      </c>
      <c r="B1156" t="str">
        <f>"1552376351527327"</f>
        <v>1552376351527327</v>
      </c>
      <c r="C1156" t="s">
        <v>40</v>
      </c>
      <c r="D1156">
        <v>4.0754530000000004</v>
      </c>
      <c r="E1156">
        <v>0.53694830000000004</v>
      </c>
      <c r="F1156" t="s">
        <v>41</v>
      </c>
      <c r="G1156">
        <v>-271.52409999999998</v>
      </c>
      <c r="H1156">
        <v>0.93818389999999996</v>
      </c>
      <c r="I1156">
        <v>367.7559</v>
      </c>
      <c r="J1156">
        <v>-272.19159999999999</v>
      </c>
      <c r="K1156">
        <v>1.109955</v>
      </c>
      <c r="L1156">
        <v>367.85469999999998</v>
      </c>
      <c r="M1156">
        <v>0.99985710000000005</v>
      </c>
      <c r="N1156">
        <v>0</v>
      </c>
      <c r="O1156">
        <v>9.7004940000000005E-3</v>
      </c>
      <c r="P1156">
        <v>0.99842830000000005</v>
      </c>
      <c r="Q1156">
        <v>4.7774940000000002E-2</v>
      </c>
      <c r="R1156">
        <v>-2.9302140000000001E-2</v>
      </c>
      <c r="S1156">
        <v>3.02475</v>
      </c>
      <c r="T1156">
        <v>-0.63203109999999996</v>
      </c>
      <c r="U1156">
        <v>-0.35742190000000001</v>
      </c>
      <c r="V1156">
        <v>3.896662E-2</v>
      </c>
      <c r="W1156">
        <v>6.1606300000000003E-2</v>
      </c>
      <c r="X1156">
        <v>0.99733959999999999</v>
      </c>
      <c r="Y1156">
        <v>0.124126399999999</v>
      </c>
      <c r="Z1156">
        <v>-1.4785690000000001E-2</v>
      </c>
      <c r="AA1156">
        <v>0.99215629999999999</v>
      </c>
      <c r="AB1156">
        <v>24</v>
      </c>
      <c r="AC1156">
        <v>0.66750000000001797</v>
      </c>
      <c r="AD1156">
        <v>-0.17177110000000001</v>
      </c>
      <c r="AE1156">
        <v>-9.8799999999982901E-2</v>
      </c>
      <c r="AF1156">
        <v>9.8864475560307696E-2</v>
      </c>
      <c r="AG1156">
        <v>-0.17177110000000001</v>
      </c>
      <c r="AH1156">
        <v>0.62594768111069798</v>
      </c>
      <c r="AI1156">
        <v>105.16603671794201</v>
      </c>
      <c r="AJ1156">
        <v>81.024637798620802</v>
      </c>
      <c r="AK1156">
        <v>0.65657443965698603</v>
      </c>
      <c r="AL1156">
        <v>86.467982432476603</v>
      </c>
      <c r="AM1156">
        <v>87.762559645993804</v>
      </c>
      <c r="AN1156">
        <v>1.0000000057010301</v>
      </c>
    </row>
    <row r="1157" spans="1:40" x14ac:dyDescent="0.25">
      <c r="A1157" t="str">
        <f>"20190312153911552"</f>
        <v>20190312153911552</v>
      </c>
      <c r="B1157" t="str">
        <f>"1552376351546847"</f>
        <v>1552376351546847</v>
      </c>
      <c r="C1157" t="s">
        <v>40</v>
      </c>
      <c r="D1157">
        <v>4.0899380000000001</v>
      </c>
      <c r="E1157">
        <v>0.53678979999999998</v>
      </c>
      <c r="F1157" t="s">
        <v>41</v>
      </c>
      <c r="G1157">
        <v>-271.31670000000003</v>
      </c>
      <c r="H1157">
        <v>0.92774630000000002</v>
      </c>
      <c r="I1157">
        <v>367.75189999999998</v>
      </c>
      <c r="J1157">
        <v>-272.04160000000002</v>
      </c>
      <c r="K1157">
        <v>1.1100369999999999</v>
      </c>
      <c r="L1157">
        <v>367.85640000000001</v>
      </c>
      <c r="M1157">
        <v>0.99985469999999999</v>
      </c>
      <c r="N1157">
        <v>0</v>
      </c>
      <c r="O1157">
        <v>9.8484969999999995E-3</v>
      </c>
      <c r="P1157">
        <v>0.99842929999999996</v>
      </c>
      <c r="Q1157">
        <v>4.778723E-2</v>
      </c>
      <c r="R1157">
        <v>-2.925034E-2</v>
      </c>
      <c r="S1157">
        <v>3.0244450000000001</v>
      </c>
      <c r="T1157">
        <v>-0.62998109999999996</v>
      </c>
      <c r="U1157">
        <v>-0.3547363</v>
      </c>
      <c r="V1157">
        <v>3.9062619999999999E-2</v>
      </c>
      <c r="W1157">
        <v>6.1685299999999998E-2</v>
      </c>
      <c r="X1157">
        <v>0.99733099999999997</v>
      </c>
      <c r="Y1157">
        <v>0.1234446</v>
      </c>
      <c r="Z1157">
        <v>-1.470131E-2</v>
      </c>
      <c r="AA1157">
        <v>0.99224259999999997</v>
      </c>
      <c r="AB1157">
        <v>24</v>
      </c>
      <c r="AC1157">
        <v>0.72489999999999</v>
      </c>
      <c r="AD1157">
        <v>-0.1822907</v>
      </c>
      <c r="AE1157">
        <v>-0.10450000000003</v>
      </c>
      <c r="AF1157">
        <v>0.10512247901100701</v>
      </c>
      <c r="AG1157">
        <v>-0.1822907</v>
      </c>
      <c r="AH1157">
        <v>0.68160995593436502</v>
      </c>
      <c r="AI1157">
        <v>104.805620511672</v>
      </c>
      <c r="AJ1157">
        <v>81.232537361627607</v>
      </c>
      <c r="AK1157">
        <v>0.713353185265726</v>
      </c>
      <c r="AL1157">
        <v>86.463447576526605</v>
      </c>
      <c r="AM1157">
        <v>87.7570336843267</v>
      </c>
      <c r="AN1157">
        <v>1.0000000440391701</v>
      </c>
    </row>
    <row r="1158" spans="1:40" x14ac:dyDescent="0.25">
      <c r="A1158" t="str">
        <f>"20190312153911564"</f>
        <v>20190312153911564</v>
      </c>
      <c r="B1158" t="str">
        <f>"1552376351556608"</f>
        <v>1552376351556608</v>
      </c>
      <c r="C1158" t="s">
        <v>40</v>
      </c>
      <c r="D1158">
        <v>4.0857250000000001</v>
      </c>
      <c r="E1158">
        <v>0.53644729999999996</v>
      </c>
      <c r="F1158" t="s">
        <v>41</v>
      </c>
      <c r="G1158">
        <v>-271.30360000000002</v>
      </c>
      <c r="H1158">
        <v>0.95636929999999998</v>
      </c>
      <c r="I1158">
        <v>367.77</v>
      </c>
      <c r="J1158">
        <v>-271.9246</v>
      </c>
      <c r="K1158">
        <v>1.1100989999999999</v>
      </c>
      <c r="L1158">
        <v>367.85759999999999</v>
      </c>
      <c r="M1158">
        <v>0.99985299999999999</v>
      </c>
      <c r="N1158">
        <v>0</v>
      </c>
      <c r="O1158">
        <v>9.9642010000000007E-3</v>
      </c>
      <c r="P1158">
        <v>0.99844719999999998</v>
      </c>
      <c r="Q1158">
        <v>4.7610560000000003E-2</v>
      </c>
      <c r="R1158">
        <v>-2.8928519999999999E-2</v>
      </c>
      <c r="S1158">
        <v>3.0245359999999999</v>
      </c>
      <c r="T1158">
        <v>-0.62998449999999995</v>
      </c>
      <c r="U1158">
        <v>-0.35293580000000002</v>
      </c>
      <c r="V1158">
        <v>3.8856549999999997E-2</v>
      </c>
      <c r="W1158">
        <v>6.1557750000000001E-2</v>
      </c>
      <c r="X1158">
        <v>0.99734690000000004</v>
      </c>
      <c r="Y1158">
        <v>0.12298050000000001</v>
      </c>
      <c r="Z1158">
        <v>-1.4677549999999999E-2</v>
      </c>
      <c r="AA1158">
        <v>0.99230059999999998</v>
      </c>
      <c r="AB1158">
        <v>24</v>
      </c>
      <c r="AC1158">
        <v>0.62099999999998001</v>
      </c>
      <c r="AD1158">
        <v>-0.153729699999999</v>
      </c>
      <c r="AE1158">
        <v>-8.7600000000008907E-2</v>
      </c>
      <c r="AF1158">
        <v>8.8468291134120497E-2</v>
      </c>
      <c r="AG1158">
        <v>-0.153729699999999</v>
      </c>
      <c r="AH1158">
        <v>0.58494881789829201</v>
      </c>
      <c r="AI1158">
        <v>104.566363221459</v>
      </c>
      <c r="AJ1158">
        <v>81.399703158999301</v>
      </c>
      <c r="AK1158">
        <v>0.611248377305732</v>
      </c>
      <c r="AL1158">
        <v>86.470769459773194</v>
      </c>
      <c r="AM1158">
        <v>87.768889718374098</v>
      </c>
      <c r="AN1158">
        <v>1.0000000135012801</v>
      </c>
    </row>
    <row r="1159" spans="1:40" x14ac:dyDescent="0.25">
      <c r="A1159" t="str">
        <f>"20190312153911576"</f>
        <v>20190312153911576</v>
      </c>
      <c r="B1159" t="str">
        <f>"1552376351567343"</f>
        <v>1552376351567343</v>
      </c>
      <c r="C1159" t="s">
        <v>40</v>
      </c>
      <c r="D1159">
        <v>4.1020089999999998</v>
      </c>
      <c r="E1159">
        <v>0.53661999999999999</v>
      </c>
      <c r="F1159" t="s">
        <v>41</v>
      </c>
      <c r="G1159">
        <v>-271.10019999999997</v>
      </c>
      <c r="H1159">
        <v>0.93861410000000001</v>
      </c>
      <c r="I1159">
        <v>367.76209999999998</v>
      </c>
      <c r="J1159">
        <v>-271.79109999999997</v>
      </c>
      <c r="K1159">
        <v>1.110158</v>
      </c>
      <c r="L1159">
        <v>367.85910000000001</v>
      </c>
      <c r="M1159">
        <v>0.99985069999999998</v>
      </c>
      <c r="N1159">
        <v>0</v>
      </c>
      <c r="O1159">
        <v>1.0096320000000001E-2</v>
      </c>
      <c r="P1159">
        <v>0.99843999999999999</v>
      </c>
      <c r="Q1159">
        <v>4.7700510000000002E-2</v>
      </c>
      <c r="R1159">
        <v>-2.9021700000000001E-2</v>
      </c>
      <c r="S1159">
        <v>3.0245359999999999</v>
      </c>
      <c r="T1159">
        <v>-0.62924269999999904</v>
      </c>
      <c r="U1159">
        <v>-0.34979250000000001</v>
      </c>
      <c r="V1159">
        <v>3.9081610000000003E-2</v>
      </c>
      <c r="W1159">
        <v>6.1701010000000001E-2</v>
      </c>
      <c r="X1159">
        <v>0.99732920000000003</v>
      </c>
      <c r="Y1159">
        <v>0.1221156</v>
      </c>
      <c r="Z1159">
        <v>-1.4599859999999999E-2</v>
      </c>
      <c r="AA1159">
        <v>0.99240850000000003</v>
      </c>
      <c r="AB1159">
        <v>24</v>
      </c>
      <c r="AC1159">
        <v>0.69089999999999896</v>
      </c>
      <c r="AD1159">
        <v>-0.171543899999999</v>
      </c>
      <c r="AE1159">
        <v>-9.7000000000036807E-2</v>
      </c>
      <c r="AF1159">
        <v>9.80438977834832E-2</v>
      </c>
      <c r="AG1159">
        <v>-0.171543899999999</v>
      </c>
      <c r="AH1159">
        <v>0.65055505880863995</v>
      </c>
      <c r="AI1159">
        <v>104.614138652915</v>
      </c>
      <c r="AJ1159">
        <v>81.429561782359102</v>
      </c>
      <c r="AK1159">
        <v>0.67989837480413295</v>
      </c>
      <c r="AL1159">
        <v>86.462545444444302</v>
      </c>
      <c r="AM1159">
        <v>87.755940351579198</v>
      </c>
      <c r="AN1159">
        <v>0.99999996002392499</v>
      </c>
    </row>
    <row r="1160" spans="1:40" x14ac:dyDescent="0.25">
      <c r="A1160" t="str">
        <f>"20190312153911587"</f>
        <v>20190312153911587</v>
      </c>
      <c r="B1160" t="str">
        <f>"1552376351577104"</f>
        <v>1552376351577104</v>
      </c>
      <c r="C1160" t="s">
        <v>40</v>
      </c>
      <c r="D1160">
        <v>4.0787969999999998</v>
      </c>
      <c r="E1160">
        <v>0.5364951</v>
      </c>
      <c r="F1160" t="s">
        <v>41</v>
      </c>
      <c r="G1160">
        <v>-271.08859999999999</v>
      </c>
      <c r="H1160">
        <v>0.96366830000000003</v>
      </c>
      <c r="I1160">
        <v>367.77730000000003</v>
      </c>
      <c r="J1160">
        <v>-271.66890000000001</v>
      </c>
      <c r="K1160">
        <v>1.1102080000000001</v>
      </c>
      <c r="L1160">
        <v>367.8605</v>
      </c>
      <c r="M1160">
        <v>0.99984899999999999</v>
      </c>
      <c r="N1160">
        <v>0</v>
      </c>
      <c r="O1160">
        <v>1.021713E-2</v>
      </c>
      <c r="P1160">
        <v>0.99844560000000004</v>
      </c>
      <c r="Q1160">
        <v>4.7657520000000002E-2</v>
      </c>
      <c r="R1160">
        <v>-2.8896539999999998E-2</v>
      </c>
      <c r="S1160">
        <v>3.024597</v>
      </c>
      <c r="T1160">
        <v>-0.63075360000000003</v>
      </c>
      <c r="U1160">
        <v>-0.35122680000000001</v>
      </c>
      <c r="V1160">
        <v>3.9077220000000003E-2</v>
      </c>
      <c r="W1160">
        <v>6.1701489999999998E-2</v>
      </c>
      <c r="X1160">
        <v>0.99732940000000003</v>
      </c>
      <c r="Y1160">
        <v>0.12267019999999999</v>
      </c>
      <c r="Z1160">
        <v>-1.47154E-2</v>
      </c>
      <c r="AA1160">
        <v>0.99233839999999995</v>
      </c>
      <c r="AB1160">
        <v>24</v>
      </c>
      <c r="AC1160">
        <v>0.58030000000002202</v>
      </c>
      <c r="AD1160">
        <v>-0.146539699999999</v>
      </c>
      <c r="AE1160">
        <v>-8.3199999999976598E-2</v>
      </c>
      <c r="AF1160">
        <v>8.3883847678176596E-2</v>
      </c>
      <c r="AG1160">
        <v>-0.146539699999999</v>
      </c>
      <c r="AH1160">
        <v>0.54534428406709401</v>
      </c>
      <c r="AI1160">
        <v>104.873643256631</v>
      </c>
      <c r="AJ1160">
        <v>81.255405272117798</v>
      </c>
      <c r="AK1160">
        <v>0.57088595335849401</v>
      </c>
      <c r="AL1160">
        <v>86.462518093716895</v>
      </c>
      <c r="AM1160">
        <v>87.756192616500698</v>
      </c>
      <c r="AN1160">
        <v>1.0000000175477499</v>
      </c>
    </row>
    <row r="1161" spans="1:40" x14ac:dyDescent="0.25">
      <c r="A1161" t="str">
        <f>"20190312153911601"</f>
        <v>20190312153911601</v>
      </c>
      <c r="B1161" t="str">
        <f>"1552376351596624"</f>
        <v>1552376351596624</v>
      </c>
      <c r="C1161" t="s">
        <v>40</v>
      </c>
      <c r="D1161">
        <v>4.0982180000000001</v>
      </c>
      <c r="E1161">
        <v>0.53633969999999997</v>
      </c>
      <c r="F1161" t="s">
        <v>41</v>
      </c>
      <c r="G1161">
        <v>-270.88510000000002</v>
      </c>
      <c r="H1161">
        <v>0.94709460000000001</v>
      </c>
      <c r="I1161">
        <v>367.76960000000003</v>
      </c>
      <c r="J1161">
        <v>-271.53109999999998</v>
      </c>
      <c r="K1161">
        <v>1.11026</v>
      </c>
      <c r="L1161">
        <v>367.8621</v>
      </c>
      <c r="M1161">
        <v>0.99984689999999998</v>
      </c>
      <c r="N1161">
        <v>0</v>
      </c>
      <c r="O1161">
        <v>1.035346E-2</v>
      </c>
      <c r="P1161">
        <v>0.99845609999999996</v>
      </c>
      <c r="Q1161">
        <v>4.766455E-2</v>
      </c>
      <c r="R1161">
        <v>-2.8523489999999999E-2</v>
      </c>
      <c r="S1161">
        <v>3.024597</v>
      </c>
      <c r="T1161">
        <v>-0.62957169999999996</v>
      </c>
      <c r="U1161">
        <v>-0.34994509999999901</v>
      </c>
      <c r="V1161">
        <v>3.884058E-2</v>
      </c>
      <c r="W1161">
        <v>6.1755740000000003E-2</v>
      </c>
      <c r="X1161">
        <v>0.99733530000000004</v>
      </c>
      <c r="Y1161">
        <v>0.1224036</v>
      </c>
      <c r="Z1161">
        <v>-1.468938E-2</v>
      </c>
      <c r="AA1161">
        <v>0.99237169999999997</v>
      </c>
      <c r="AB1161">
        <v>24</v>
      </c>
      <c r="AC1161">
        <v>0.64599999999995805</v>
      </c>
      <c r="AD1161">
        <v>-0.16316539999999999</v>
      </c>
      <c r="AE1161">
        <v>-9.2499999999972701E-2</v>
      </c>
      <c r="AF1161">
        <v>9.3348462641206595E-2</v>
      </c>
      <c r="AG1161">
        <v>-0.16316539999999999</v>
      </c>
      <c r="AH1161">
        <v>0.60705799735865495</v>
      </c>
      <c r="AI1161">
        <v>104.877452469115</v>
      </c>
      <c r="AJ1161">
        <v>81.257993757347407</v>
      </c>
      <c r="AK1161">
        <v>0.63549688857754205</v>
      </c>
      <c r="AL1161">
        <v>86.459403907732494</v>
      </c>
      <c r="AM1161">
        <v>87.769779862982901</v>
      </c>
      <c r="AN1161">
        <v>1.00000003135188</v>
      </c>
    </row>
    <row r="1162" spans="1:40" x14ac:dyDescent="0.25">
      <c r="A1162" t="str">
        <f>"20190312153911616"</f>
        <v>20190312153911616</v>
      </c>
      <c r="B1162" t="str">
        <f>"1552376351607359"</f>
        <v>1552376351607359</v>
      </c>
      <c r="C1162" t="s">
        <v>40</v>
      </c>
      <c r="D1162">
        <v>4.1398720000000004</v>
      </c>
      <c r="E1162">
        <v>0.53656949999999903</v>
      </c>
      <c r="F1162" t="s">
        <v>41</v>
      </c>
      <c r="G1162">
        <v>-270.68049999999999</v>
      </c>
      <c r="H1162">
        <v>0.93336470000000005</v>
      </c>
      <c r="I1162">
        <v>367.76429999999999</v>
      </c>
      <c r="J1162">
        <v>-271.36989999999997</v>
      </c>
      <c r="K1162">
        <v>1.110311</v>
      </c>
      <c r="L1162">
        <v>367.8639</v>
      </c>
      <c r="M1162">
        <v>0.99984439999999997</v>
      </c>
      <c r="N1162">
        <v>0</v>
      </c>
      <c r="O1162">
        <v>1.0513430000000001E-2</v>
      </c>
      <c r="P1162">
        <v>0.99844759999999999</v>
      </c>
      <c r="Q1162">
        <v>4.7868649999999999E-2</v>
      </c>
      <c r="R1162">
        <v>-2.8472959999999999E-2</v>
      </c>
      <c r="S1162">
        <v>3.0247799999999998</v>
      </c>
      <c r="T1162">
        <v>-0.62906410000000001</v>
      </c>
      <c r="U1162">
        <v>-0.34762569999999998</v>
      </c>
      <c r="V1162">
        <v>3.8949520000000001E-2</v>
      </c>
      <c r="W1162">
        <v>6.201036E-2</v>
      </c>
      <c r="X1162">
        <v>0.99731519999999996</v>
      </c>
      <c r="Y1162">
        <v>0.121818</v>
      </c>
      <c r="Z1162">
        <v>-1.4650299999999899E-2</v>
      </c>
      <c r="AA1162">
        <v>0.99244429999999995</v>
      </c>
      <c r="AB1162">
        <v>24</v>
      </c>
      <c r="AC1162">
        <v>0.68939999999997703</v>
      </c>
      <c r="AD1162">
        <v>-0.1769463</v>
      </c>
      <c r="AE1162">
        <v>-9.9600000000009403E-2</v>
      </c>
      <c r="AF1162">
        <v>0.100366427061721</v>
      </c>
      <c r="AG1162">
        <v>-0.1769463</v>
      </c>
      <c r="AH1162">
        <v>0.64658953292680199</v>
      </c>
      <c r="AI1162">
        <v>105.13213390877</v>
      </c>
      <c r="AJ1162">
        <v>81.176715828167602</v>
      </c>
      <c r="AK1162">
        <v>0.67783584801581998</v>
      </c>
      <c r="AL1162">
        <v>86.444787056230098</v>
      </c>
      <c r="AM1162">
        <v>87.763485859716297</v>
      </c>
      <c r="AN1162">
        <v>0.99999997900329896</v>
      </c>
    </row>
    <row r="1163" spans="1:40" x14ac:dyDescent="0.25">
      <c r="A1163" t="str">
        <f>"20190312153911629"</f>
        <v>20190312153911629</v>
      </c>
      <c r="B1163" t="str">
        <f>"1552376351617119"</f>
        <v>1552376351617119</v>
      </c>
      <c r="C1163" t="s">
        <v>40</v>
      </c>
      <c r="D1163">
        <v>4.0968720000000003</v>
      </c>
      <c r="E1163">
        <v>0.5364293</v>
      </c>
      <c r="F1163" t="s">
        <v>41</v>
      </c>
      <c r="G1163">
        <v>-270.66640000000001</v>
      </c>
      <c r="H1163">
        <v>0.96381329999999998</v>
      </c>
      <c r="I1163">
        <v>367.7826</v>
      </c>
      <c r="J1163">
        <v>-271.23070000000001</v>
      </c>
      <c r="K1163">
        <v>1.110352</v>
      </c>
      <c r="L1163">
        <v>367.8655</v>
      </c>
      <c r="M1163">
        <v>0.99984249999999997</v>
      </c>
      <c r="N1163">
        <v>0</v>
      </c>
      <c r="O1163">
        <v>1.0650649999999999E-2</v>
      </c>
      <c r="P1163">
        <v>0.99844460000000002</v>
      </c>
      <c r="Q1163">
        <v>4.8177459999999998E-2</v>
      </c>
      <c r="R1163">
        <v>-2.8065389999999999E-2</v>
      </c>
      <c r="S1163">
        <v>3.0248719999999998</v>
      </c>
      <c r="T1163">
        <v>-0.62992250000000005</v>
      </c>
      <c r="U1163">
        <v>-0.3493347</v>
      </c>
      <c r="V1163">
        <v>3.8678690000000002E-2</v>
      </c>
      <c r="W1163">
        <v>6.2357780000000002E-2</v>
      </c>
      <c r="X1163">
        <v>0.99730410000000003</v>
      </c>
      <c r="Y1163">
        <v>0.12248000000000001</v>
      </c>
      <c r="Z1163">
        <v>-1.4765159999999999E-2</v>
      </c>
      <c r="AA1163">
        <v>0.9923611</v>
      </c>
      <c r="AB1163">
        <v>24</v>
      </c>
      <c r="AC1163">
        <v>0.56430000000000202</v>
      </c>
      <c r="AD1163">
        <v>-0.14653869999999999</v>
      </c>
      <c r="AE1163">
        <v>-8.2899999999995005E-2</v>
      </c>
      <c r="AF1163">
        <v>8.3400759330183594E-2</v>
      </c>
      <c r="AG1163">
        <v>-0.14653869999999999</v>
      </c>
      <c r="AH1163">
        <v>0.52849863066580904</v>
      </c>
      <c r="AI1163">
        <v>105.316801850486</v>
      </c>
      <c r="AJ1163">
        <v>81.032280672028307</v>
      </c>
      <c r="AK1163">
        <v>0.55474325581315298</v>
      </c>
      <c r="AL1163">
        <v>86.424842835891596</v>
      </c>
      <c r="AM1163">
        <v>87.778996822959101</v>
      </c>
      <c r="AN1163">
        <v>1.00000000083172</v>
      </c>
    </row>
    <row r="1164" spans="1:40" x14ac:dyDescent="0.25">
      <c r="A1164" t="str">
        <f>"20190312153911646"</f>
        <v>20190312153911646</v>
      </c>
      <c r="B1164" t="str">
        <f>"1552376351636639"</f>
        <v>1552376351636639</v>
      </c>
      <c r="C1164" t="s">
        <v>40</v>
      </c>
      <c r="D1164">
        <v>4.1145750000000003</v>
      </c>
      <c r="E1164">
        <v>0.53635069999999996</v>
      </c>
      <c r="F1164" t="s">
        <v>41</v>
      </c>
      <c r="G1164">
        <v>-270.46199999999999</v>
      </c>
      <c r="H1164">
        <v>0.95092949999999998</v>
      </c>
      <c r="I1164">
        <v>367.77699999999999</v>
      </c>
      <c r="J1164">
        <v>-271.05869999999999</v>
      </c>
      <c r="K1164">
        <v>1.1104019999999999</v>
      </c>
      <c r="L1164">
        <v>367.86759999999998</v>
      </c>
      <c r="M1164">
        <v>0.99984010000000001</v>
      </c>
      <c r="N1164">
        <v>0</v>
      </c>
      <c r="O1164">
        <v>1.0821030000000001E-2</v>
      </c>
      <c r="P1164">
        <v>0.99846349999999995</v>
      </c>
      <c r="Q1164">
        <v>4.8108030000000003E-2</v>
      </c>
      <c r="R1164">
        <v>-2.7502950000000002E-2</v>
      </c>
      <c r="S1164">
        <v>3.0252080000000001</v>
      </c>
      <c r="T1164">
        <v>-0.62757609999999997</v>
      </c>
      <c r="U1164">
        <v>-0.34719850000000002</v>
      </c>
      <c r="V1164">
        <v>3.8286849999999997E-2</v>
      </c>
      <c r="W1164">
        <v>6.23335E-2</v>
      </c>
      <c r="X1164">
        <v>0.99732069999999995</v>
      </c>
      <c r="Y1164">
        <v>0.1219731</v>
      </c>
      <c r="Z1164">
        <v>-1.4693299999999999E-2</v>
      </c>
      <c r="AA1164">
        <v>0.99242470000000005</v>
      </c>
      <c r="AB1164">
        <v>24</v>
      </c>
      <c r="AC1164">
        <v>0.59669999999999801</v>
      </c>
      <c r="AD1164">
        <v>-0.15947249999999999</v>
      </c>
      <c r="AE1164">
        <v>-9.0599999999994907E-2</v>
      </c>
      <c r="AF1164">
        <v>9.0718562019079296E-2</v>
      </c>
      <c r="AG1164">
        <v>-0.15947249999999999</v>
      </c>
      <c r="AH1164">
        <v>0.55680979736775105</v>
      </c>
      <c r="AI1164">
        <v>105.78436071379301</v>
      </c>
      <c r="AJ1164">
        <v>80.746358459447507</v>
      </c>
      <c r="AK1164">
        <v>0.58625803721209202</v>
      </c>
      <c r="AL1164">
        <v>86.426236554964504</v>
      </c>
      <c r="AM1164">
        <v>87.801511378825296</v>
      </c>
      <c r="AN1164">
        <v>0.99999996337682995</v>
      </c>
    </row>
    <row r="1165" spans="1:40" x14ac:dyDescent="0.25">
      <c r="A1165" t="str">
        <f>"20190312153911662"</f>
        <v>20190312153911662</v>
      </c>
      <c r="B1165" t="str">
        <f>"1552376351657135"</f>
        <v>1552376351657135</v>
      </c>
      <c r="C1165" t="s">
        <v>40</v>
      </c>
      <c r="D1165">
        <v>4.1241789999999998</v>
      </c>
      <c r="E1165">
        <v>0.53621009999999902</v>
      </c>
      <c r="F1165" t="s">
        <v>41</v>
      </c>
      <c r="G1165">
        <v>-270.2552</v>
      </c>
      <c r="H1165">
        <v>0.94386740000000002</v>
      </c>
      <c r="I1165">
        <v>367.77589999999998</v>
      </c>
      <c r="J1165">
        <v>-270.8854</v>
      </c>
      <c r="K1165">
        <v>1.1104430000000001</v>
      </c>
      <c r="L1165">
        <v>367.86959999999999</v>
      </c>
      <c r="M1165">
        <v>0.99983759999999999</v>
      </c>
      <c r="N1165">
        <v>0</v>
      </c>
      <c r="O1165">
        <v>1.0993030000000001E-2</v>
      </c>
      <c r="P1165">
        <v>0.9984866</v>
      </c>
      <c r="Q1165">
        <v>4.7899629999999999E-2</v>
      </c>
      <c r="R1165">
        <v>-2.7028670000000001E-2</v>
      </c>
      <c r="S1165">
        <v>3.02536</v>
      </c>
      <c r="T1165">
        <v>-0.62715189999999998</v>
      </c>
      <c r="U1165">
        <v>-0.34460449999999998</v>
      </c>
      <c r="V1165">
        <v>3.7984589999999999E-2</v>
      </c>
      <c r="W1165">
        <v>6.2165989999999997E-2</v>
      </c>
      <c r="X1165">
        <v>0.99734279999999997</v>
      </c>
      <c r="Y1165">
        <v>0.12131210000000001</v>
      </c>
      <c r="Z1165">
        <v>-1.465115E-2</v>
      </c>
      <c r="AA1165">
        <v>0.99250629999999995</v>
      </c>
      <c r="AB1165">
        <v>24</v>
      </c>
      <c r="AC1165">
        <v>0.63020000000000198</v>
      </c>
      <c r="AD1165">
        <v>-0.16657559999999899</v>
      </c>
      <c r="AE1165">
        <v>-9.3700000000012496E-2</v>
      </c>
      <c r="AF1165">
        <v>9.4184853006687996E-2</v>
      </c>
      <c r="AG1165">
        <v>-0.16657559999999899</v>
      </c>
      <c r="AH1165">
        <v>0.58887898502028302</v>
      </c>
      <c r="AI1165">
        <v>105.60605698461499</v>
      </c>
      <c r="AJ1165">
        <v>80.913117915232604</v>
      </c>
      <c r="AK1165">
        <v>0.61919033911210997</v>
      </c>
      <c r="AL1165">
        <v>86.435853130421705</v>
      </c>
      <c r="AM1165">
        <v>87.818899058592606</v>
      </c>
      <c r="AN1165">
        <v>1.00000005005099</v>
      </c>
    </row>
    <row r="1166" spans="1:40" x14ac:dyDescent="0.25">
      <c r="A1166" t="str">
        <f>"20190312153911678"</f>
        <v>20190312153911678</v>
      </c>
      <c r="B1166" t="str">
        <f>"1552376351666896"</f>
        <v>1552376351666896</v>
      </c>
      <c r="C1166" t="s">
        <v>40</v>
      </c>
      <c r="D1166">
        <v>4.1117790000000003</v>
      </c>
      <c r="E1166">
        <v>0.53615639999999998</v>
      </c>
      <c r="F1166" t="s">
        <v>41</v>
      </c>
      <c r="G1166">
        <v>-270.04860000000002</v>
      </c>
      <c r="H1166">
        <v>0.93734070000000003</v>
      </c>
      <c r="I1166">
        <v>367.7747</v>
      </c>
      <c r="J1166">
        <v>-270.72379999999998</v>
      </c>
      <c r="K1166">
        <v>1.110474</v>
      </c>
      <c r="L1166">
        <v>367.8716</v>
      </c>
      <c r="M1166">
        <v>0.99983529999999998</v>
      </c>
      <c r="N1166">
        <v>0</v>
      </c>
      <c r="O1166">
        <v>1.115359E-2</v>
      </c>
      <c r="P1166">
        <v>0.99847940000000002</v>
      </c>
      <c r="Q1166">
        <v>4.7937970000000003E-2</v>
      </c>
      <c r="R1166">
        <v>-2.7220230000000002E-2</v>
      </c>
      <c r="S1166">
        <v>3.025299</v>
      </c>
      <c r="T1166">
        <v>-0.62595919999999905</v>
      </c>
      <c r="U1166">
        <v>-0.34234619999999999</v>
      </c>
      <c r="V1166">
        <v>3.833636E-2</v>
      </c>
      <c r="W1166">
        <v>6.2238309999999998E-2</v>
      </c>
      <c r="X1166">
        <v>0.99732480000000001</v>
      </c>
      <c r="Y1166">
        <v>0.1207604</v>
      </c>
      <c r="Z1166">
        <v>-1.460122E-2</v>
      </c>
      <c r="AA1166">
        <v>0.99257430000000002</v>
      </c>
      <c r="AB1166">
        <v>23</v>
      </c>
      <c r="AC1166">
        <v>0.67519999999996105</v>
      </c>
      <c r="AD1166">
        <v>-0.17313329999999999</v>
      </c>
      <c r="AE1166">
        <v>-9.6900000000005093E-2</v>
      </c>
      <c r="AF1166">
        <v>9.8105381691465404E-2</v>
      </c>
      <c r="AG1166">
        <v>-0.17313329999999999</v>
      </c>
      <c r="AH1166">
        <v>0.63327920674979299</v>
      </c>
      <c r="AI1166">
        <v>105.118602214166</v>
      </c>
      <c r="AJ1166">
        <v>81.193940488418505</v>
      </c>
      <c r="AK1166">
        <v>0.663808977935193</v>
      </c>
      <c r="AL1166">
        <v>86.431701353831102</v>
      </c>
      <c r="AM1166">
        <v>87.798680275842401</v>
      </c>
      <c r="AN1166">
        <v>1.00000002021237</v>
      </c>
    </row>
    <row r="1167" spans="1:40" x14ac:dyDescent="0.25">
      <c r="A1167" t="str">
        <f>"20190312153911690"</f>
        <v>20190312153911690</v>
      </c>
      <c r="B1167" t="str">
        <f>"1552376351676655"</f>
        <v>1552376351676655</v>
      </c>
      <c r="C1167" t="s">
        <v>40</v>
      </c>
      <c r="D1167">
        <v>4.1346590000000001</v>
      </c>
      <c r="E1167">
        <v>0.53621799999999997</v>
      </c>
      <c r="F1167" t="s">
        <v>41</v>
      </c>
      <c r="G1167">
        <v>-269.84339999999997</v>
      </c>
      <c r="H1167">
        <v>0.92824660000000003</v>
      </c>
      <c r="I1167">
        <v>367.77179999999998</v>
      </c>
      <c r="J1167">
        <v>-270.58839999999998</v>
      </c>
      <c r="K1167">
        <v>1.1104959999999999</v>
      </c>
      <c r="L1167">
        <v>367.87329999999997</v>
      </c>
      <c r="M1167">
        <v>0.99983350000000004</v>
      </c>
      <c r="N1167">
        <v>0</v>
      </c>
      <c r="O1167">
        <v>1.1287510000000001E-2</v>
      </c>
      <c r="P1167">
        <v>0.99849299999999996</v>
      </c>
      <c r="Q1167">
        <v>4.7856679999999999E-2</v>
      </c>
      <c r="R1167">
        <v>-2.686496E-2</v>
      </c>
      <c r="S1167">
        <v>3.0253299999999999</v>
      </c>
      <c r="T1167">
        <v>-0.62623359999999995</v>
      </c>
      <c r="U1167">
        <v>-0.34274290000000002</v>
      </c>
      <c r="V1167">
        <v>3.8115070000000001E-2</v>
      </c>
      <c r="W1167">
        <v>6.2182639999999997E-2</v>
      </c>
      <c r="X1167">
        <v>0.99733669999999996</v>
      </c>
      <c r="Y1167">
        <v>0.1210104</v>
      </c>
      <c r="Z1167">
        <v>-1.466012E-2</v>
      </c>
      <c r="AA1167">
        <v>0.99254299999999995</v>
      </c>
      <c r="AB1167">
        <v>23</v>
      </c>
      <c r="AC1167">
        <v>0.74500000000000399</v>
      </c>
      <c r="AD1167">
        <v>-0.18224939999999901</v>
      </c>
      <c r="AE1167">
        <v>-0.101499999999987</v>
      </c>
      <c r="AF1167">
        <v>0.103804721547606</v>
      </c>
      <c r="AG1167">
        <v>-0.18224939999999901</v>
      </c>
      <c r="AH1167">
        <v>0.70253072780759396</v>
      </c>
      <c r="AI1167">
        <v>104.393318881152</v>
      </c>
      <c r="AJ1167">
        <v>81.594891107665305</v>
      </c>
      <c r="AK1167">
        <v>0.733170981101819</v>
      </c>
      <c r="AL1167">
        <v>86.434897007270905</v>
      </c>
      <c r="AM1167">
        <v>87.8114007087473</v>
      </c>
      <c r="AN1167">
        <v>0.99999996622268095</v>
      </c>
    </row>
    <row r="1168" spans="1:40" x14ac:dyDescent="0.25">
      <c r="A1168" t="str">
        <f>"20190312153911706"</f>
        <v>20190312153911706</v>
      </c>
      <c r="B1168" t="str">
        <f>"1552376351697151"</f>
        <v>1552376351697151</v>
      </c>
      <c r="C1168" t="s">
        <v>40</v>
      </c>
      <c r="D1168">
        <v>4.1500009999999996</v>
      </c>
      <c r="E1168">
        <v>0.53641190000000005</v>
      </c>
      <c r="F1168" t="s">
        <v>41</v>
      </c>
      <c r="G1168">
        <v>-269.83190000000002</v>
      </c>
      <c r="H1168">
        <v>0.95358969999999998</v>
      </c>
      <c r="I1168">
        <v>367.7876</v>
      </c>
      <c r="J1168">
        <v>-270.42559999999997</v>
      </c>
      <c r="K1168">
        <v>1.1105179999999999</v>
      </c>
      <c r="L1168">
        <v>367.87529999999998</v>
      </c>
      <c r="M1168">
        <v>0.99983109999999997</v>
      </c>
      <c r="N1168">
        <v>0</v>
      </c>
      <c r="O1168">
        <v>1.1448699999999999E-2</v>
      </c>
      <c r="P1168">
        <v>0.99849670000000001</v>
      </c>
      <c r="Q1168">
        <v>4.7973330000000002E-2</v>
      </c>
      <c r="R1168">
        <v>-2.6514240000000001E-2</v>
      </c>
      <c r="S1168">
        <v>3.0253909999999999</v>
      </c>
      <c r="T1168">
        <v>-0.62748319999999902</v>
      </c>
      <c r="U1168">
        <v>-0.34234619999999999</v>
      </c>
      <c r="V1168">
        <v>3.7925349999999997E-2</v>
      </c>
      <c r="W1168">
        <v>6.2327800000000003E-2</v>
      </c>
      <c r="X1168">
        <v>0.99733490000000002</v>
      </c>
      <c r="Y1168">
        <v>0.12102499999999999</v>
      </c>
      <c r="Z1168">
        <v>-1.472307E-2</v>
      </c>
      <c r="AA1168">
        <v>0.99254019999999998</v>
      </c>
      <c r="AB1168">
        <v>23</v>
      </c>
      <c r="AC1168">
        <v>0.59369999999995504</v>
      </c>
      <c r="AD1168">
        <v>-0.15692829999999999</v>
      </c>
      <c r="AE1168">
        <v>-8.7699999999983902E-2</v>
      </c>
      <c r="AF1168">
        <v>8.8444690139316898E-2</v>
      </c>
      <c r="AG1168">
        <v>-0.15692829999999999</v>
      </c>
      <c r="AH1168">
        <v>0.55472772584812202</v>
      </c>
      <c r="AI1168">
        <v>105.60844869967499</v>
      </c>
      <c r="AJ1168">
        <v>80.941121200693303</v>
      </c>
      <c r="AK1168">
        <v>0.58324249191854904</v>
      </c>
      <c r="AL1168">
        <v>86.426563889590497</v>
      </c>
      <c r="AM1168">
        <v>87.822280148781005</v>
      </c>
      <c r="AN1168">
        <v>0.99999999479173596</v>
      </c>
    </row>
    <row r="1169" spans="1:40" x14ac:dyDescent="0.25">
      <c r="A1169" t="str">
        <f>"20190312153911728"</f>
        <v>20190312153911728</v>
      </c>
      <c r="B1169" t="str">
        <f>"1552376351716672"</f>
        <v>1552376351716672</v>
      </c>
      <c r="C1169" t="s">
        <v>40</v>
      </c>
      <c r="D1169">
        <v>4.2069080000000003</v>
      </c>
      <c r="E1169">
        <v>0.51679339999999996</v>
      </c>
      <c r="F1169" t="s">
        <v>41</v>
      </c>
      <c r="G1169">
        <v>-269.62720000000002</v>
      </c>
      <c r="H1169">
        <v>0.94471400000000005</v>
      </c>
      <c r="I1169">
        <v>367.78440000000001</v>
      </c>
      <c r="J1169">
        <v>-270.19670000000002</v>
      </c>
      <c r="K1169">
        <v>1.110549</v>
      </c>
      <c r="L1169">
        <v>367.87819999999999</v>
      </c>
      <c r="M1169">
        <v>0.99982819999999994</v>
      </c>
      <c r="N1169">
        <v>0</v>
      </c>
      <c r="O1169">
        <v>1.1675359999999999E-2</v>
      </c>
      <c r="P1169">
        <v>0.99849940000000004</v>
      </c>
      <c r="Q1169">
        <v>4.804377E-2</v>
      </c>
      <c r="R1169">
        <v>-2.6296690000000001E-2</v>
      </c>
      <c r="S1169">
        <v>3.025604</v>
      </c>
      <c r="T1169">
        <v>-0.62852189999999997</v>
      </c>
      <c r="U1169">
        <v>-0.3431091</v>
      </c>
      <c r="V1169">
        <v>3.7933920000000003E-2</v>
      </c>
      <c r="W1169">
        <v>6.2430600000000003E-2</v>
      </c>
      <c r="X1169">
        <v>0.9973282</v>
      </c>
      <c r="Y1169">
        <v>0.12146650000000001</v>
      </c>
      <c r="Z1169">
        <v>-1.483742E-2</v>
      </c>
      <c r="AA1169">
        <v>0.99248460000000005</v>
      </c>
      <c r="AB1169">
        <v>23</v>
      </c>
      <c r="AC1169">
        <v>0.569500000000005</v>
      </c>
      <c r="AD1169">
        <v>-0.16583500000000001</v>
      </c>
      <c r="AE1169">
        <v>-9.3799999999987393E-2</v>
      </c>
      <c r="AF1169">
        <v>9.2783706515091199E-2</v>
      </c>
      <c r="AG1169">
        <v>-0.16583500000000001</v>
      </c>
      <c r="AH1169">
        <v>0.52502294588716503</v>
      </c>
      <c r="AI1169">
        <v>107.277920900832</v>
      </c>
      <c r="AJ1169">
        <v>79.977987361340098</v>
      </c>
      <c r="AK1169">
        <v>0.55835397117573704</v>
      </c>
      <c r="AL1169">
        <v>86.420662589353697</v>
      </c>
      <c r="AM1169">
        <v>87.821773903871403</v>
      </c>
      <c r="AN1169">
        <v>1.00000005030908</v>
      </c>
    </row>
    <row r="1170" spans="1:40" x14ac:dyDescent="0.25">
      <c r="A1170" t="str">
        <f>"20190312153911744"</f>
        <v>20190312153911744</v>
      </c>
      <c r="B1170" t="str">
        <f>"1552376351737168"</f>
        <v>1552376351737168</v>
      </c>
      <c r="C1170" t="s">
        <v>40</v>
      </c>
      <c r="D1170">
        <v>4.2573939999999997</v>
      </c>
      <c r="E1170">
        <v>0.51047010000000004</v>
      </c>
      <c r="F1170" t="s">
        <v>41</v>
      </c>
      <c r="G1170">
        <v>-269.38200000000001</v>
      </c>
      <c r="H1170">
        <v>1.0208189999999999</v>
      </c>
      <c r="I1170">
        <v>367.82510000000002</v>
      </c>
      <c r="J1170">
        <v>-270.04340000000002</v>
      </c>
      <c r="K1170">
        <v>1.110568</v>
      </c>
      <c r="L1170">
        <v>367.8802</v>
      </c>
      <c r="M1170">
        <v>0.99982610000000005</v>
      </c>
      <c r="N1170">
        <v>0</v>
      </c>
      <c r="O1170">
        <v>1.182742E-2</v>
      </c>
      <c r="P1170">
        <v>0.9985039</v>
      </c>
      <c r="Q1170">
        <v>4.8080810000000002E-2</v>
      </c>
      <c r="R1170">
        <v>-2.6044169999999998E-2</v>
      </c>
      <c r="S1170">
        <v>3.0153810000000001</v>
      </c>
      <c r="T1170">
        <v>-0.33229130000000001</v>
      </c>
      <c r="U1170">
        <v>-0.19607540000000001</v>
      </c>
      <c r="V1170">
        <v>3.7833440000000003E-2</v>
      </c>
      <c r="W1170">
        <v>6.2482469999999998E-2</v>
      </c>
      <c r="X1170">
        <v>0.99732869999999996</v>
      </c>
      <c r="Y1170">
        <v>7.6156749999999995E-2</v>
      </c>
      <c r="Z1170">
        <v>-5.4774659999999899E-3</v>
      </c>
      <c r="AA1170">
        <v>0.99708079999999999</v>
      </c>
      <c r="AB1170">
        <v>23</v>
      </c>
      <c r="AC1170">
        <v>0.66140000000001398</v>
      </c>
      <c r="AD1170">
        <v>-8.9748999999999801E-2</v>
      </c>
      <c r="AE1170">
        <v>-5.5099999999981698E-2</v>
      </c>
      <c r="AF1170">
        <v>6.1789705447630398E-2</v>
      </c>
      <c r="AG1170">
        <v>-8.9748999999999801E-2</v>
      </c>
      <c r="AH1170">
        <v>0.64883710337980605</v>
      </c>
      <c r="AI1170">
        <v>97.8403149308173</v>
      </c>
      <c r="AJ1170">
        <v>84.560044653913906</v>
      </c>
      <c r="AK1170">
        <v>0.657922820262834</v>
      </c>
      <c r="AL1170">
        <v>86.417684599047902</v>
      </c>
      <c r="AM1170">
        <v>87.827539177873604</v>
      </c>
      <c r="AN1170">
        <v>0.999999982041612</v>
      </c>
    </row>
    <row r="1171" spans="1:40" x14ac:dyDescent="0.25">
      <c r="A1171" t="str">
        <f>"20190312153911755"</f>
        <v>20190312153911755</v>
      </c>
      <c r="B1171" t="str">
        <f>"1552376351746928"</f>
        <v>1552376351746928</v>
      </c>
      <c r="C1171" t="s">
        <v>40</v>
      </c>
      <c r="D1171">
        <v>4.2708969999999997</v>
      </c>
      <c r="E1171">
        <v>0.50883809999999996</v>
      </c>
      <c r="F1171" t="s">
        <v>41</v>
      </c>
      <c r="G1171">
        <v>-269.16449999999998</v>
      </c>
      <c r="H1171">
        <v>1.0399069999999999</v>
      </c>
      <c r="I1171">
        <v>367.83670000000001</v>
      </c>
      <c r="J1171">
        <v>-269.91149999999999</v>
      </c>
      <c r="K1171">
        <v>1.110579</v>
      </c>
      <c r="L1171">
        <v>367.8818</v>
      </c>
      <c r="M1171">
        <v>0.9998245</v>
      </c>
      <c r="N1171">
        <v>0</v>
      </c>
      <c r="O1171">
        <v>1.1958420000000001E-2</v>
      </c>
      <c r="P1171">
        <v>0.99850539999999999</v>
      </c>
      <c r="Q1171">
        <v>4.8150699999999998E-2</v>
      </c>
      <c r="R1171">
        <v>-2.5864479999999999E-2</v>
      </c>
      <c r="S1171">
        <v>3.0122680000000002</v>
      </c>
      <c r="T1171">
        <v>-0.2425052</v>
      </c>
      <c r="U1171">
        <v>-0.1480408</v>
      </c>
      <c r="V1171">
        <v>3.7784600000000002E-2</v>
      </c>
      <c r="W1171">
        <v>6.2560039999999997E-2</v>
      </c>
      <c r="X1171">
        <v>0.99732569999999998</v>
      </c>
      <c r="Y1171">
        <v>6.0793600000000003E-2</v>
      </c>
      <c r="Z1171">
        <v>-3.4024459999999999E-3</v>
      </c>
      <c r="AA1171">
        <v>0.99814460000000005</v>
      </c>
      <c r="AB1171">
        <v>23</v>
      </c>
      <c r="AC1171">
        <v>0.74700000000001399</v>
      </c>
      <c r="AD1171">
        <v>-7.0671999999999999E-2</v>
      </c>
      <c r="AE1171">
        <v>-4.50999999999908E-2</v>
      </c>
      <c r="AF1171">
        <v>5.3553050624212298E-2</v>
      </c>
      <c r="AG1171">
        <v>-7.0671999999999999E-2</v>
      </c>
      <c r="AH1171">
        <v>0.73980948339804598</v>
      </c>
      <c r="AI1171">
        <v>95.442597617883195</v>
      </c>
      <c r="AJ1171">
        <v>85.859716237193396</v>
      </c>
      <c r="AK1171">
        <v>0.74510437694382303</v>
      </c>
      <c r="AL1171">
        <v>86.413231493583893</v>
      </c>
      <c r="AM1171">
        <v>87.830334452029803</v>
      </c>
      <c r="AN1171">
        <v>0.99999999324122502</v>
      </c>
    </row>
    <row r="1172" spans="1:40" x14ac:dyDescent="0.25">
      <c r="A1172" t="str">
        <f>"20190312153911768"</f>
        <v>20190312153911768</v>
      </c>
      <c r="B1172" t="str">
        <f>"1552376351757663"</f>
        <v>1552376351757663</v>
      </c>
      <c r="C1172" t="s">
        <v>40</v>
      </c>
      <c r="D1172">
        <v>4.2790350000000004</v>
      </c>
      <c r="E1172">
        <v>0.50798520000000003</v>
      </c>
      <c r="F1172" t="s">
        <v>42</v>
      </c>
      <c r="G1172">
        <v>-254.386</v>
      </c>
      <c r="H1172" s="1">
        <v>-2.8222580000000002E-6</v>
      </c>
      <c r="I1172">
        <v>367.18349999999998</v>
      </c>
      <c r="J1172">
        <v>-269.78269999999998</v>
      </c>
      <c r="K1172">
        <v>1.110587</v>
      </c>
      <c r="L1172">
        <v>367.88350000000003</v>
      </c>
      <c r="M1172">
        <v>0.99982289999999996</v>
      </c>
      <c r="N1172">
        <v>0</v>
      </c>
      <c r="O1172">
        <v>1.2086110000000001E-2</v>
      </c>
      <c r="P1172">
        <v>0.99850050000000001</v>
      </c>
      <c r="Q1172">
        <v>4.8369200000000001E-2</v>
      </c>
      <c r="R1172">
        <v>-2.563969E-2</v>
      </c>
      <c r="S1172">
        <v>3.0113530000000002</v>
      </c>
      <c r="T1172">
        <v>-0.21540889999999999</v>
      </c>
      <c r="U1172">
        <v>-0.135437</v>
      </c>
      <c r="V1172">
        <v>3.7687039999999998E-2</v>
      </c>
      <c r="W1172">
        <v>6.2775629999999999E-2</v>
      </c>
      <c r="X1172">
        <v>0.99731579999999997</v>
      </c>
      <c r="Y1172">
        <v>5.6826189999999999E-2</v>
      </c>
      <c r="Z1172">
        <v>-2.8919810000000001E-3</v>
      </c>
      <c r="AA1172">
        <v>0.99837989999999999</v>
      </c>
      <c r="AB1172">
        <v>23</v>
      </c>
      <c r="AC1172">
        <v>15.3966999999999</v>
      </c>
      <c r="AD1172">
        <v>-1.110589822258</v>
      </c>
      <c r="AE1172">
        <v>-0.70000000000004503</v>
      </c>
      <c r="AF1172">
        <v>0.88147758707286294</v>
      </c>
      <c r="AG1172">
        <v>-1.110589822258</v>
      </c>
      <c r="AH1172">
        <v>15.3076330306163</v>
      </c>
      <c r="AI1172">
        <v>94.1427780265536</v>
      </c>
      <c r="AJ1172">
        <v>86.704308731967799</v>
      </c>
      <c r="AK1172">
        <v>15.373159775720501</v>
      </c>
      <c r="AL1172">
        <v>86.400854609072894</v>
      </c>
      <c r="AM1172">
        <v>87.835909743049996</v>
      </c>
      <c r="AN1172">
        <v>0.99999994881774701</v>
      </c>
    </row>
    <row r="1173" spans="1:40" x14ac:dyDescent="0.25">
      <c r="A1173" t="str">
        <f>"20190312153911784"</f>
        <v>20190312153911784</v>
      </c>
      <c r="B1173" t="str">
        <f>"1552376351777184"</f>
        <v>1552376351777184</v>
      </c>
      <c r="C1173" t="s">
        <v>40</v>
      </c>
      <c r="D1173">
        <v>4.3456780000000004</v>
      </c>
      <c r="E1173">
        <v>0.50645699999999905</v>
      </c>
      <c r="F1173" t="s">
        <v>42</v>
      </c>
      <c r="G1173">
        <v>-252.8092</v>
      </c>
      <c r="H1173" s="1">
        <v>-3.5031960000000001E-6</v>
      </c>
      <c r="I1173">
        <v>367.15800000000002</v>
      </c>
      <c r="J1173">
        <v>-269.6232</v>
      </c>
      <c r="K1173">
        <v>1.110595</v>
      </c>
      <c r="L1173">
        <v>367.88560000000001</v>
      </c>
      <c r="M1173">
        <v>0.99982119999999997</v>
      </c>
      <c r="N1173">
        <v>0</v>
      </c>
      <c r="O1173">
        <v>1.224401E-2</v>
      </c>
      <c r="P1173">
        <v>0.99850950000000005</v>
      </c>
      <c r="Q1173">
        <v>4.8163749999999998E-2</v>
      </c>
      <c r="R1173">
        <v>-2.567498E-2</v>
      </c>
      <c r="S1173">
        <v>3.0107729999999999</v>
      </c>
      <c r="T1173">
        <v>-0.19699659999999999</v>
      </c>
      <c r="U1173">
        <v>-0.12869259999999999</v>
      </c>
      <c r="V1173">
        <v>3.7880320000000002E-2</v>
      </c>
      <c r="W1173">
        <v>6.2560050000000006E-2</v>
      </c>
      <c r="X1173">
        <v>0.99732209999999999</v>
      </c>
      <c r="Y1173">
        <v>5.4792859999999999E-2</v>
      </c>
      <c r="Z1173">
        <v>-2.5898679999999999E-3</v>
      </c>
      <c r="AA1173">
        <v>0.9984944</v>
      </c>
      <c r="AB1173">
        <v>23</v>
      </c>
      <c r="AC1173">
        <v>16.813999999999901</v>
      </c>
      <c r="AD1173">
        <v>-1.110598503196</v>
      </c>
      <c r="AE1173">
        <v>-0.72759999999999503</v>
      </c>
      <c r="AF1173">
        <v>0.92939038068584701</v>
      </c>
      <c r="AG1173">
        <v>-1.110598503196</v>
      </c>
      <c r="AH1173">
        <v>16.7309710969142</v>
      </c>
      <c r="AI1173">
        <v>93.791882249317894</v>
      </c>
      <c r="AJ1173">
        <v>86.820538638328003</v>
      </c>
      <c r="AK1173">
        <v>16.793528198707701</v>
      </c>
      <c r="AL1173">
        <v>86.413231032929403</v>
      </c>
      <c r="AM1173">
        <v>87.824835451511106</v>
      </c>
      <c r="AN1173">
        <v>1.0000000248238501</v>
      </c>
    </row>
    <row r="1174" spans="1:40" x14ac:dyDescent="0.25">
      <c r="A1174" t="str">
        <f>"20190312153911795"</f>
        <v>20190312153911795</v>
      </c>
      <c r="B1174" t="str">
        <f>"1552376351786944"</f>
        <v>1552376351786944</v>
      </c>
      <c r="C1174" t="s">
        <v>40</v>
      </c>
      <c r="D1174">
        <v>4.3196440000000003</v>
      </c>
      <c r="E1174">
        <v>0.50591929999999996</v>
      </c>
      <c r="F1174" t="s">
        <v>42</v>
      </c>
      <c r="G1174">
        <v>-250.39859999999999</v>
      </c>
      <c r="H1174" s="1">
        <v>-4.5414670000000002E-6</v>
      </c>
      <c r="I1174">
        <v>367.13470000000001</v>
      </c>
      <c r="J1174">
        <v>-269.4914</v>
      </c>
      <c r="K1174">
        <v>1.1105969999999901</v>
      </c>
      <c r="L1174">
        <v>367.88740000000001</v>
      </c>
      <c r="M1174">
        <v>0.99981969999999998</v>
      </c>
      <c r="N1174">
        <v>0</v>
      </c>
      <c r="O1174">
        <v>1.237513E-2</v>
      </c>
      <c r="P1174">
        <v>0.99851299999999998</v>
      </c>
      <c r="Q1174">
        <v>4.8216950000000001E-2</v>
      </c>
      <c r="R1174">
        <v>-2.5435889999999999E-2</v>
      </c>
      <c r="S1174">
        <v>3.009827</v>
      </c>
      <c r="T1174">
        <v>-0.17387620000000001</v>
      </c>
      <c r="U1174">
        <v>-0.1175537</v>
      </c>
      <c r="V1174">
        <v>3.7772069999999998E-2</v>
      </c>
      <c r="W1174">
        <v>6.2597159999999999E-2</v>
      </c>
      <c r="X1174">
        <v>0.99732390000000004</v>
      </c>
      <c r="Y1174">
        <v>5.128489E-2</v>
      </c>
      <c r="Z1174">
        <v>-2.1936960000000002E-3</v>
      </c>
      <c r="AA1174">
        <v>0.99868170000000001</v>
      </c>
      <c r="AB1174">
        <v>23</v>
      </c>
      <c r="AC1174">
        <v>19.0928</v>
      </c>
      <c r="AD1174">
        <v>-1.1106015414670001</v>
      </c>
      <c r="AE1174">
        <v>-0.75270000000000403</v>
      </c>
      <c r="AF1174">
        <v>0.98561300869497004</v>
      </c>
      <c r="AG1174">
        <v>-1.1106015414670001</v>
      </c>
      <c r="AH1174">
        <v>19.017773512379499</v>
      </c>
      <c r="AI1174">
        <v>93.337698660544305</v>
      </c>
      <c r="AJ1174">
        <v>87.033249576401701</v>
      </c>
      <c r="AK1174">
        <v>19.075654068864299</v>
      </c>
      <c r="AL1174">
        <v>86.411100692949802</v>
      </c>
      <c r="AM1174">
        <v>87.831049350980805</v>
      </c>
      <c r="AN1174">
        <v>1.0000000476116699</v>
      </c>
    </row>
    <row r="1175" spans="1:40" x14ac:dyDescent="0.25">
      <c r="A1175" t="str">
        <f>"20190312153911809"</f>
        <v>20190312153911809</v>
      </c>
      <c r="B1175" t="str">
        <f>"1552376351797679"</f>
        <v>1552376351797679</v>
      </c>
      <c r="C1175" t="s">
        <v>40</v>
      </c>
      <c r="D1175">
        <v>4.3310649999999997</v>
      </c>
      <c r="E1175">
        <v>0.50561369999999894</v>
      </c>
      <c r="F1175" t="s">
        <v>42</v>
      </c>
      <c r="G1175">
        <v>-249.2988</v>
      </c>
      <c r="H1175" s="1">
        <v>-9.1504390000000003E-7</v>
      </c>
      <c r="I1175">
        <v>367.13</v>
      </c>
      <c r="J1175">
        <v>-269.3614</v>
      </c>
      <c r="K1175">
        <v>1.1105959999999999</v>
      </c>
      <c r="L1175">
        <v>367.88920000000002</v>
      </c>
      <c r="M1175">
        <v>0.99981850000000005</v>
      </c>
      <c r="N1175">
        <v>0</v>
      </c>
      <c r="O1175">
        <v>1.250428E-2</v>
      </c>
      <c r="P1175">
        <v>0.99854929999999997</v>
      </c>
      <c r="Q1175">
        <v>4.7459759999999997E-2</v>
      </c>
      <c r="R1175">
        <v>-2.544474E-2</v>
      </c>
      <c r="S1175">
        <v>3.0095209999999999</v>
      </c>
      <c r="T1175">
        <v>-0.16552500000000001</v>
      </c>
      <c r="U1175">
        <v>-0.1128845</v>
      </c>
      <c r="V1175">
        <v>3.7910480000000003E-2</v>
      </c>
      <c r="W1175">
        <v>6.1816660000000002E-2</v>
      </c>
      <c r="X1175">
        <v>0.99736729999999996</v>
      </c>
      <c r="Y1175">
        <v>4.988244E-2</v>
      </c>
      <c r="Z1175">
        <v>-2.057339E-3</v>
      </c>
      <c r="AA1175">
        <v>0.998753</v>
      </c>
      <c r="AB1175">
        <v>23</v>
      </c>
      <c r="AC1175">
        <v>20.0626</v>
      </c>
      <c r="AD1175">
        <v>-1.1105969150438999</v>
      </c>
      <c r="AE1175">
        <v>-0.75920000000002097</v>
      </c>
      <c r="AF1175">
        <v>1.00695367308413</v>
      </c>
      <c r="AG1175">
        <v>-1.1105969150438999</v>
      </c>
      <c r="AH1175">
        <v>19.990367015049902</v>
      </c>
      <c r="AI1175">
        <v>93.175871726651195</v>
      </c>
      <c r="AJ1175">
        <v>87.116337419757897</v>
      </c>
      <c r="AK1175">
        <v>20.046499809289401</v>
      </c>
      <c r="AL1175">
        <v>86.455906718289398</v>
      </c>
      <c r="AM1175">
        <v>87.823203829328506</v>
      </c>
      <c r="AN1175">
        <v>1.0000000175283299</v>
      </c>
    </row>
    <row r="1176" spans="1:40" x14ac:dyDescent="0.25">
      <c r="A1176" t="str">
        <f>"20190312153911825"</f>
        <v>20190312153911825</v>
      </c>
      <c r="B1176" t="str">
        <f>"1552376351817199"</f>
        <v>1552376351817199</v>
      </c>
      <c r="C1176" t="s">
        <v>40</v>
      </c>
      <c r="D1176">
        <v>4.339906</v>
      </c>
      <c r="E1176">
        <v>0.5051892</v>
      </c>
      <c r="F1176" t="s">
        <v>42</v>
      </c>
      <c r="G1176">
        <v>-248.69049999999999</v>
      </c>
      <c r="H1176" s="1">
        <v>-1.148665E-6</v>
      </c>
      <c r="I1176">
        <v>367.12990000000002</v>
      </c>
      <c r="J1176">
        <v>-269.20310000000001</v>
      </c>
      <c r="K1176">
        <v>1.1105929999999999</v>
      </c>
      <c r="L1176">
        <v>367.89139999999998</v>
      </c>
      <c r="M1176">
        <v>0.99981699999999996</v>
      </c>
      <c r="N1176">
        <v>0</v>
      </c>
      <c r="O1176">
        <v>1.2661510000000001E-2</v>
      </c>
      <c r="P1176">
        <v>0.9985619</v>
      </c>
      <c r="Q1176">
        <v>4.7362349999999998E-2</v>
      </c>
      <c r="R1176">
        <v>-2.51217E-2</v>
      </c>
      <c r="S1176">
        <v>3.0092469999999998</v>
      </c>
      <c r="T1176">
        <v>-0.1616795</v>
      </c>
      <c r="U1176">
        <v>-0.1105347</v>
      </c>
      <c r="V1176">
        <v>3.7744659999999999E-2</v>
      </c>
      <c r="W1176">
        <v>6.1685780000000003E-2</v>
      </c>
      <c r="X1176">
        <v>0.99738170000000004</v>
      </c>
      <c r="Y1176">
        <v>4.9269029999999998E-2</v>
      </c>
      <c r="Z1176">
        <v>-2.001802E-3</v>
      </c>
      <c r="AA1176">
        <v>0.99878350000000005</v>
      </c>
      <c r="AB1176">
        <v>23</v>
      </c>
      <c r="AC1176">
        <v>20.512599999999999</v>
      </c>
      <c r="AD1176">
        <v>-1.1105941486649999</v>
      </c>
      <c r="AE1176">
        <v>-0.76149999999995499</v>
      </c>
      <c r="AF1176">
        <v>1.0182055253167499</v>
      </c>
      <c r="AG1176">
        <v>-1.1105941486649999</v>
      </c>
      <c r="AH1176">
        <v>20.4414737612897</v>
      </c>
      <c r="AI1176">
        <v>93.106003883381504</v>
      </c>
      <c r="AJ1176">
        <v>87.148409981961393</v>
      </c>
      <c r="AK1176">
        <v>20.4969268766888</v>
      </c>
      <c r="AL1176">
        <v>86.463419955205296</v>
      </c>
      <c r="AM1176">
        <v>87.832747272018096</v>
      </c>
      <c r="AN1176">
        <v>1.0000000251537999</v>
      </c>
    </row>
    <row r="1177" spans="1:40" x14ac:dyDescent="0.25">
      <c r="A1177" t="str">
        <f>"20190312153911838"</f>
        <v>20190312153911838</v>
      </c>
      <c r="B1177" t="str">
        <f>"1552376351826960"</f>
        <v>1552376351826960</v>
      </c>
      <c r="C1177" t="s">
        <v>40</v>
      </c>
      <c r="D1177">
        <v>4.3481540000000001</v>
      </c>
      <c r="E1177">
        <v>0.50492159999999997</v>
      </c>
      <c r="F1177" t="s">
        <v>42</v>
      </c>
      <c r="G1177">
        <v>-247.02379999999999</v>
      </c>
      <c r="H1177" s="1">
        <v>-1.833119E-6</v>
      </c>
      <c r="I1177">
        <v>367.10329999999999</v>
      </c>
      <c r="J1177">
        <v>-269.05810000000002</v>
      </c>
      <c r="K1177">
        <v>1.1105929999999999</v>
      </c>
      <c r="L1177">
        <v>367.89330000000001</v>
      </c>
      <c r="M1177">
        <v>0.99981580000000003</v>
      </c>
      <c r="N1177">
        <v>0</v>
      </c>
      <c r="O1177">
        <v>1.28048E-2</v>
      </c>
      <c r="P1177">
        <v>0.99857899999999999</v>
      </c>
      <c r="Q1177">
        <v>4.7014109999999998E-2</v>
      </c>
      <c r="R1177">
        <v>-2.50919E-2</v>
      </c>
      <c r="S1177">
        <v>3.0087890000000002</v>
      </c>
      <c r="T1177">
        <v>-0.15066060000000001</v>
      </c>
      <c r="U1177">
        <v>-0.1069031</v>
      </c>
      <c r="V1177">
        <v>3.7858379999999997E-2</v>
      </c>
      <c r="W1177">
        <v>6.1303599999999903E-2</v>
      </c>
      <c r="X1177">
        <v>0.99740090000000003</v>
      </c>
      <c r="Y1177">
        <v>4.8226600000000001E-2</v>
      </c>
      <c r="Z1177">
        <v>-1.846969E-3</v>
      </c>
      <c r="AA1177">
        <v>0.99883469999999996</v>
      </c>
      <c r="AB1177">
        <v>23</v>
      </c>
      <c r="AC1177">
        <v>22.034300000000002</v>
      </c>
      <c r="AD1177">
        <v>-1.1105948331190001</v>
      </c>
      <c r="AE1177">
        <v>-0.79000000000002002</v>
      </c>
      <c r="AF1177">
        <v>1.0693955918907001</v>
      </c>
      <c r="AG1177">
        <v>-1.1105948331190001</v>
      </c>
      <c r="AH1177">
        <v>21.966642539128401</v>
      </c>
      <c r="AI1177">
        <v>92.890891622112406</v>
      </c>
      <c r="AJ1177">
        <v>87.212886868436399</v>
      </c>
      <c r="AK1177">
        <v>22.020681466683801</v>
      </c>
      <c r="AL1177">
        <v>86.485358589281205</v>
      </c>
      <c r="AM1177">
        <v>87.826265666983602</v>
      </c>
      <c r="AN1177">
        <v>0.999999971814996</v>
      </c>
    </row>
    <row r="1178" spans="1:40" x14ac:dyDescent="0.25">
      <c r="A1178" t="str">
        <f>"20190312153911852"</f>
        <v>20190312153911852</v>
      </c>
      <c r="B1178" t="str">
        <f>"1552376351847457"</f>
        <v>1552376351847457</v>
      </c>
      <c r="C1178" t="s">
        <v>40</v>
      </c>
      <c r="D1178">
        <v>4.3570339999999996</v>
      </c>
      <c r="E1178">
        <v>0.50457719999999995</v>
      </c>
      <c r="F1178" t="s">
        <v>42</v>
      </c>
      <c r="G1178">
        <v>-246.64269999999999</v>
      </c>
      <c r="H1178" s="1">
        <v>-2.0114610000000001E-6</v>
      </c>
      <c r="I1178">
        <v>367.11349999999999</v>
      </c>
      <c r="J1178">
        <v>-268.91300000000001</v>
      </c>
      <c r="K1178">
        <v>1.110595</v>
      </c>
      <c r="L1178">
        <v>367.8954</v>
      </c>
      <c r="M1178">
        <v>0.99981450000000005</v>
      </c>
      <c r="N1178">
        <v>0</v>
      </c>
      <c r="O1178">
        <v>1.294857E-2</v>
      </c>
      <c r="P1178">
        <v>0.99858959999999997</v>
      </c>
      <c r="Q1178">
        <v>4.6992409999999998E-2</v>
      </c>
      <c r="R1178">
        <v>-2.471396E-2</v>
      </c>
      <c r="S1178">
        <v>3.008667</v>
      </c>
      <c r="T1178">
        <v>-0.14906749999999999</v>
      </c>
      <c r="U1178">
        <v>-0.1046753</v>
      </c>
      <c r="V1178">
        <v>3.7624070000000003E-2</v>
      </c>
      <c r="W1178">
        <v>6.1246490000000001E-2</v>
      </c>
      <c r="X1178">
        <v>0.99741329999999995</v>
      </c>
      <c r="Y1178">
        <v>4.7635120000000003E-2</v>
      </c>
      <c r="Z1178">
        <v>-1.820038E-3</v>
      </c>
      <c r="AA1178">
        <v>0.99886319999999995</v>
      </c>
      <c r="AB1178">
        <v>23</v>
      </c>
      <c r="AC1178">
        <v>22.270299999999999</v>
      </c>
      <c r="AD1178">
        <v>-1.110597011461</v>
      </c>
      <c r="AE1178">
        <v>-0.78190000000000703</v>
      </c>
      <c r="AF1178">
        <v>1.06758057775286</v>
      </c>
      <c r="AG1178">
        <v>-1.110597011461</v>
      </c>
      <c r="AH1178">
        <v>22.203157671051901</v>
      </c>
      <c r="AI1178">
        <v>92.860236672684707</v>
      </c>
      <c r="AJ1178">
        <v>87.247202885084505</v>
      </c>
      <c r="AK1178">
        <v>22.256535322854099</v>
      </c>
      <c r="AL1178">
        <v>86.488637000467406</v>
      </c>
      <c r="AM1178">
        <v>87.839733211601697</v>
      </c>
      <c r="AN1178">
        <v>0.99999999709878695</v>
      </c>
    </row>
    <row r="1179" spans="1:40" x14ac:dyDescent="0.25">
      <c r="A1179" t="str">
        <f>"20190312153911866"</f>
        <v>20190312153911866</v>
      </c>
      <c r="B1179" t="str">
        <f>"1552376351857217"</f>
        <v>1552376351857217</v>
      </c>
      <c r="C1179" t="s">
        <v>40</v>
      </c>
      <c r="D1179">
        <v>4.3191899999999999</v>
      </c>
      <c r="E1179">
        <v>0.50452180000000002</v>
      </c>
      <c r="F1179" t="s">
        <v>42</v>
      </c>
      <c r="G1179">
        <v>-245.58029999999999</v>
      </c>
      <c r="H1179" s="1">
        <v>-2.5141560000000001E-6</v>
      </c>
      <c r="I1179">
        <v>367.11070000000001</v>
      </c>
      <c r="J1179">
        <v>-268.77260000000001</v>
      </c>
      <c r="K1179">
        <v>1.110595</v>
      </c>
      <c r="L1179">
        <v>367.89729999999997</v>
      </c>
      <c r="M1179">
        <v>0.99981310000000001</v>
      </c>
      <c r="N1179">
        <v>0</v>
      </c>
      <c r="O1179">
        <v>1.3087980000000001E-2</v>
      </c>
      <c r="P1179">
        <v>0.99858910000000001</v>
      </c>
      <c r="Q1179">
        <v>4.7042090000000002E-2</v>
      </c>
      <c r="R1179">
        <v>-2.463941E-2</v>
      </c>
      <c r="S1179">
        <v>3.0084840000000002</v>
      </c>
      <c r="T1179">
        <v>-0.14319870000000001</v>
      </c>
      <c r="U1179">
        <v>-0.1011658</v>
      </c>
      <c r="V1179">
        <v>3.7688770000000003E-2</v>
      </c>
      <c r="W1179">
        <v>6.1261719999999999E-2</v>
      </c>
      <c r="X1179">
        <v>0.99740989999999996</v>
      </c>
      <c r="Y1179">
        <v>4.661933E-2</v>
      </c>
      <c r="Z1179">
        <v>-1.731081E-3</v>
      </c>
      <c r="AA1179">
        <v>0.9989112</v>
      </c>
      <c r="AB1179">
        <v>23</v>
      </c>
      <c r="AC1179">
        <v>23.192299999999999</v>
      </c>
      <c r="AD1179">
        <v>-1.1105975141560001</v>
      </c>
      <c r="AE1179">
        <v>-0.78659999999996399</v>
      </c>
      <c r="AF1179">
        <v>1.08761255061452</v>
      </c>
      <c r="AG1179">
        <v>-1.1105975141560001</v>
      </c>
      <c r="AH1179">
        <v>23.127045071101101</v>
      </c>
      <c r="AI1179">
        <v>92.746291915839805</v>
      </c>
      <c r="AJ1179">
        <v>87.307493009271298</v>
      </c>
      <c r="AK1179">
        <v>23.179226510378701</v>
      </c>
      <c r="AL1179">
        <v>86.487762666951298</v>
      </c>
      <c r="AM1179">
        <v>87.836014481252903</v>
      </c>
      <c r="AN1179">
        <v>0.99999997516974004</v>
      </c>
    </row>
    <row r="1180" spans="1:40" x14ac:dyDescent="0.25">
      <c r="A1180" t="str">
        <f>"20190312153911880"</f>
        <v>20190312153911880</v>
      </c>
      <c r="B1180" t="str">
        <f>"1552376351866976"</f>
        <v>1552376351866976</v>
      </c>
      <c r="C1180" t="s">
        <v>40</v>
      </c>
      <c r="D1180">
        <v>4.3248889999999998</v>
      </c>
      <c r="E1180">
        <v>0.50433470000000002</v>
      </c>
      <c r="F1180" t="s">
        <v>42</v>
      </c>
      <c r="G1180">
        <v>-245.17009999999999</v>
      </c>
      <c r="H1180" s="1">
        <v>-2.7082179999999998E-6</v>
      </c>
      <c r="I1180">
        <v>367.10980000000001</v>
      </c>
      <c r="J1180">
        <v>-268.6259</v>
      </c>
      <c r="K1180">
        <v>1.1105959999999999</v>
      </c>
      <c r="L1180">
        <v>367.89940000000001</v>
      </c>
      <c r="M1180">
        <v>0.99981169999999997</v>
      </c>
      <c r="N1180">
        <v>0</v>
      </c>
      <c r="O1180">
        <v>1.323358E-2</v>
      </c>
      <c r="P1180">
        <v>0.99859140000000002</v>
      </c>
      <c r="Q1180">
        <v>4.7144360000000003E-2</v>
      </c>
      <c r="R1180">
        <v>-2.4347199999999999E-2</v>
      </c>
      <c r="S1180">
        <v>3.0084230000000001</v>
      </c>
      <c r="T1180">
        <v>-0.1415592</v>
      </c>
      <c r="U1180">
        <v>-0.1003723</v>
      </c>
      <c r="V1180">
        <v>3.7542079999999999E-2</v>
      </c>
      <c r="W1180">
        <v>6.1329309999999998E-2</v>
      </c>
      <c r="X1180">
        <v>0.9974113</v>
      </c>
      <c r="Y1180">
        <v>4.6503830000000003E-2</v>
      </c>
      <c r="Z1180">
        <v>-1.71545799999999E-3</v>
      </c>
      <c r="AA1180">
        <v>0.99891660000000004</v>
      </c>
      <c r="AB1180">
        <v>23</v>
      </c>
      <c r="AC1180">
        <v>23.4558</v>
      </c>
      <c r="AD1180">
        <v>-1.110598708218</v>
      </c>
      <c r="AE1180">
        <v>-0.78960000000000696</v>
      </c>
      <c r="AF1180">
        <v>1.09750861077894</v>
      </c>
      <c r="AG1180">
        <v>-1.110598708218</v>
      </c>
      <c r="AH1180">
        <v>23.390914886692201</v>
      </c>
      <c r="AI1180">
        <v>92.715374559999702</v>
      </c>
      <c r="AJ1180">
        <v>87.313635362720106</v>
      </c>
      <c r="AK1180">
        <v>23.442970244359099</v>
      </c>
      <c r="AL1180">
        <v>86.4838828253652</v>
      </c>
      <c r="AM1180">
        <v>87.844432079633805</v>
      </c>
      <c r="AN1180">
        <v>0.999999996701746</v>
      </c>
    </row>
    <row r="1181" spans="1:40" x14ac:dyDescent="0.25">
      <c r="A1181" t="str">
        <f>"20190312153911893"</f>
        <v>20190312153911893</v>
      </c>
      <c r="B1181" t="str">
        <f>"1552376351887472"</f>
        <v>1552376351887472</v>
      </c>
      <c r="C1181" t="s">
        <v>40</v>
      </c>
      <c r="D1181">
        <v>4.3280399999999997</v>
      </c>
      <c r="E1181">
        <v>0.50407659999999999</v>
      </c>
      <c r="F1181" t="s">
        <v>42</v>
      </c>
      <c r="G1181">
        <v>-244.5067</v>
      </c>
      <c r="H1181" s="1">
        <v>-3.021315E-6</v>
      </c>
      <c r="I1181">
        <v>367.11250000000001</v>
      </c>
      <c r="J1181">
        <v>-268.48349999999999</v>
      </c>
      <c r="K1181">
        <v>1.1105969999999901</v>
      </c>
      <c r="L1181">
        <v>367.9015</v>
      </c>
      <c r="M1181">
        <v>0.99981019999999998</v>
      </c>
      <c r="N1181">
        <v>0</v>
      </c>
      <c r="O1181">
        <v>1.3375299999999901E-2</v>
      </c>
      <c r="P1181">
        <v>0.99857819999999997</v>
      </c>
      <c r="Q1181">
        <v>4.7499960000000001E-2</v>
      </c>
      <c r="R1181">
        <v>-2.4201E-2</v>
      </c>
      <c r="S1181">
        <v>3.008362</v>
      </c>
      <c r="T1181">
        <v>-0.13852419999999999</v>
      </c>
      <c r="U1181">
        <v>-9.8144529999999994E-2</v>
      </c>
      <c r="V1181">
        <v>3.7537099999999997E-2</v>
      </c>
      <c r="W1181">
        <v>6.1651989999999997E-2</v>
      </c>
      <c r="X1181">
        <v>0.99739160000000004</v>
      </c>
      <c r="Y1181">
        <v>4.5910430000000002E-2</v>
      </c>
      <c r="Z1181">
        <v>-1.671641E-3</v>
      </c>
      <c r="AA1181">
        <v>0.99894419999999995</v>
      </c>
      <c r="AB1181">
        <v>23</v>
      </c>
      <c r="AC1181">
        <v>23.976800000000001</v>
      </c>
      <c r="AD1181">
        <v>-1.11060002131499</v>
      </c>
      <c r="AE1181">
        <v>-0.78899999999998705</v>
      </c>
      <c r="AF1181">
        <v>1.10728534643372</v>
      </c>
      <c r="AG1181">
        <v>-1.11060002131499</v>
      </c>
      <c r="AH1181">
        <v>23.912850550817399</v>
      </c>
      <c r="AI1181">
        <v>92.656272095122802</v>
      </c>
      <c r="AJ1181">
        <v>87.348810781129103</v>
      </c>
      <c r="AK1181">
        <v>23.9642219717541</v>
      </c>
      <c r="AL1181">
        <v>86.465359592186402</v>
      </c>
      <c r="AM1181">
        <v>87.844675218559502</v>
      </c>
      <c r="AN1181">
        <v>1.0000000027489599</v>
      </c>
    </row>
    <row r="1182" spans="1:40" x14ac:dyDescent="0.25">
      <c r="A1182" t="str">
        <f>"20190312153911907"</f>
        <v>20190312153911907</v>
      </c>
      <c r="B1182" t="str">
        <f>"1552376351897232"</f>
        <v>1552376351897232</v>
      </c>
      <c r="C1182" t="s">
        <v>40</v>
      </c>
      <c r="D1182">
        <v>4.3460679999999998</v>
      </c>
      <c r="E1182">
        <v>0.50400979999999995</v>
      </c>
      <c r="F1182" t="s">
        <v>42</v>
      </c>
      <c r="G1182">
        <v>-243.19499999999999</v>
      </c>
      <c r="H1182" s="1">
        <v>-3.6442160000000002E-6</v>
      </c>
      <c r="I1182">
        <v>367.0967</v>
      </c>
      <c r="J1182">
        <v>-268.33980000000003</v>
      </c>
      <c r="K1182">
        <v>1.1105929999999999</v>
      </c>
      <c r="L1182">
        <v>367.90350000000001</v>
      </c>
      <c r="M1182">
        <v>0.99980860000000005</v>
      </c>
      <c r="N1182">
        <v>0</v>
      </c>
      <c r="O1182">
        <v>1.351868E-2</v>
      </c>
      <c r="P1182">
        <v>0.9985771</v>
      </c>
      <c r="Q1182">
        <v>4.759029E-2</v>
      </c>
      <c r="R1182">
        <v>-2.406171E-2</v>
      </c>
      <c r="S1182">
        <v>3.0082399999999998</v>
      </c>
      <c r="T1182">
        <v>-0.13211329999999999</v>
      </c>
      <c r="U1182">
        <v>-9.5733639999999995E-2</v>
      </c>
      <c r="V1182">
        <v>3.7541079999999998E-2</v>
      </c>
      <c r="W1182">
        <v>6.1711009999999997E-2</v>
      </c>
      <c r="X1182">
        <v>0.99738780000000005</v>
      </c>
      <c r="Y1182">
        <v>4.5261389999999999E-2</v>
      </c>
      <c r="Z1182">
        <v>-1.5864900000000001E-3</v>
      </c>
      <c r="AA1182">
        <v>0.99897389999999997</v>
      </c>
      <c r="AB1182">
        <v>23</v>
      </c>
      <c r="AC1182">
        <v>25.1448</v>
      </c>
      <c r="AD1182">
        <v>-1.110596644216</v>
      </c>
      <c r="AE1182">
        <v>-0.80680000000000895</v>
      </c>
      <c r="AF1182">
        <v>1.1444544384820501</v>
      </c>
      <c r="AG1182">
        <v>-1.110596644216</v>
      </c>
      <c r="AH1182">
        <v>25.0827123721829</v>
      </c>
      <c r="AI1182">
        <v>92.532619314884897</v>
      </c>
      <c r="AJ1182">
        <v>87.387564744697599</v>
      </c>
      <c r="AK1182">
        <v>25.1333575316463</v>
      </c>
      <c r="AL1182">
        <v>86.461971543223896</v>
      </c>
      <c r="AM1182">
        <v>87.844438703597504</v>
      </c>
      <c r="AN1182">
        <v>1.00000000251581</v>
      </c>
    </row>
    <row r="1183" spans="1:40" x14ac:dyDescent="0.25">
      <c r="A1183" t="str">
        <f>"20190312153911925"</f>
        <v>20190312153911925</v>
      </c>
      <c r="B1183" t="str">
        <f>"1552376351916752"</f>
        <v>1552376351916752</v>
      </c>
      <c r="C1183" t="s">
        <v>40</v>
      </c>
      <c r="D1183">
        <v>4.3016209999999999</v>
      </c>
      <c r="E1183">
        <v>0.50380670000000005</v>
      </c>
      <c r="F1183" t="s">
        <v>42</v>
      </c>
      <c r="G1183">
        <v>-242.57589999999999</v>
      </c>
      <c r="H1183" s="1">
        <v>-3.9377539999999998E-6</v>
      </c>
      <c r="I1183">
        <v>367.0917</v>
      </c>
      <c r="J1183">
        <v>-268.16750000000002</v>
      </c>
      <c r="K1183">
        <v>1.1105940000000001</v>
      </c>
      <c r="L1183">
        <v>367.90609999999998</v>
      </c>
      <c r="M1183">
        <v>0.999807</v>
      </c>
      <c r="N1183">
        <v>0</v>
      </c>
      <c r="O1183">
        <v>1.3690030000000001E-2</v>
      </c>
      <c r="P1183">
        <v>0.99858650000000004</v>
      </c>
      <c r="Q1183">
        <v>4.7411380000000003E-2</v>
      </c>
      <c r="R1183">
        <v>-2.4032680000000001E-2</v>
      </c>
      <c r="S1183">
        <v>3.0081790000000002</v>
      </c>
      <c r="T1183">
        <v>-0.12967229999999999</v>
      </c>
      <c r="U1183">
        <v>-9.47876E-2</v>
      </c>
      <c r="V1183">
        <v>3.7683189999999998E-2</v>
      </c>
      <c r="W1183">
        <v>6.1496349999999998E-2</v>
      </c>
      <c r="X1183">
        <v>0.9973957</v>
      </c>
      <c r="Y1183">
        <v>4.5121420000000002E-2</v>
      </c>
      <c r="Z1183">
        <v>-1.5616110000000001E-3</v>
      </c>
      <c r="AA1183">
        <v>0.99898030000000004</v>
      </c>
      <c r="AB1183">
        <v>23</v>
      </c>
      <c r="AC1183">
        <v>25.5916</v>
      </c>
      <c r="AD1183">
        <v>-1.1105979377540001</v>
      </c>
      <c r="AE1183">
        <v>-0.81439999999997703</v>
      </c>
      <c r="AF1183">
        <v>1.16252106460326</v>
      </c>
      <c r="AG1183">
        <v>-1.1105979377540001</v>
      </c>
      <c r="AH1183">
        <v>25.530019024592299</v>
      </c>
      <c r="AI1183">
        <v>92.488315306992902</v>
      </c>
      <c r="AJ1183">
        <v>87.392811525286703</v>
      </c>
      <c r="AK1183">
        <v>25.580593316047899</v>
      </c>
      <c r="AL1183">
        <v>86.474294061681505</v>
      </c>
      <c r="AM1183">
        <v>87.836303789982594</v>
      </c>
      <c r="AN1183">
        <v>1.0000000031251901</v>
      </c>
    </row>
    <row r="1184" spans="1:40" x14ac:dyDescent="0.25">
      <c r="A1184" t="str">
        <f>"20190312153911940"</f>
        <v>20190312153911940</v>
      </c>
      <c r="B1184" t="str">
        <f>"1552376351927488"</f>
        <v>1552376351927488</v>
      </c>
      <c r="C1184" t="s">
        <v>40</v>
      </c>
      <c r="D1184">
        <v>4.3330729999999997</v>
      </c>
      <c r="E1184">
        <v>0.50372910000000004</v>
      </c>
      <c r="F1184" t="s">
        <v>42</v>
      </c>
      <c r="G1184">
        <v>-241.5994</v>
      </c>
      <c r="H1184" s="1">
        <v>-4.4012840000000001E-6</v>
      </c>
      <c r="I1184">
        <v>367.08080000000001</v>
      </c>
      <c r="J1184">
        <v>-268.01130000000001</v>
      </c>
      <c r="K1184">
        <v>1.1105929999999999</v>
      </c>
      <c r="L1184">
        <v>367.90839999999997</v>
      </c>
      <c r="M1184">
        <v>0.99980519999999995</v>
      </c>
      <c r="N1184">
        <v>0</v>
      </c>
      <c r="O1184">
        <v>1.384557E-2</v>
      </c>
      <c r="P1184">
        <v>0.99858690000000006</v>
      </c>
      <c r="Q1184">
        <v>4.7438540000000001E-2</v>
      </c>
      <c r="R1184">
        <v>-2.3954739999999999E-2</v>
      </c>
      <c r="S1184">
        <v>3.007965</v>
      </c>
      <c r="T1184">
        <v>-0.1257385</v>
      </c>
      <c r="U1184">
        <v>-9.3444819999999998E-2</v>
      </c>
      <c r="V1184">
        <v>3.7760729999999999E-2</v>
      </c>
      <c r="W1184">
        <v>6.1493020000000002E-2</v>
      </c>
      <c r="X1184">
        <v>0.99739299999999997</v>
      </c>
      <c r="Y1184">
        <v>4.4836899999999999E-2</v>
      </c>
      <c r="Z1184">
        <v>-1.5149510000000001E-3</v>
      </c>
      <c r="AA1184">
        <v>0.99899320000000003</v>
      </c>
      <c r="AB1184">
        <v>23</v>
      </c>
      <c r="AC1184">
        <v>26.411899999999999</v>
      </c>
      <c r="AD1184">
        <v>-1.1105974012840001</v>
      </c>
      <c r="AE1184">
        <v>-0.82759999999996103</v>
      </c>
      <c r="AF1184">
        <v>1.19114062387582</v>
      </c>
      <c r="AG1184">
        <v>-1.1105974012840001</v>
      </c>
      <c r="AH1184">
        <v>26.351361160369301</v>
      </c>
      <c r="AI1184">
        <v>92.410885478281699</v>
      </c>
      <c r="AJ1184">
        <v>87.411864036681607</v>
      </c>
      <c r="AK1184">
        <v>26.401637782111301</v>
      </c>
      <c r="AL1184">
        <v>86.474485314489201</v>
      </c>
      <c r="AM1184">
        <v>87.831849973472799</v>
      </c>
      <c r="AN1184">
        <v>1.00000003034392</v>
      </c>
    </row>
    <row r="1185" spans="1:40" x14ac:dyDescent="0.25">
      <c r="A1185" t="str">
        <f>"20190312153911952"</f>
        <v>20190312153911952</v>
      </c>
      <c r="B1185" t="str">
        <f>"1552376351947007"</f>
        <v>1552376351947007</v>
      </c>
      <c r="C1185" t="s">
        <v>40</v>
      </c>
      <c r="D1185">
        <v>4.3182919999999996</v>
      </c>
      <c r="E1185">
        <v>0.50365969999999904</v>
      </c>
      <c r="F1185" t="s">
        <v>42</v>
      </c>
      <c r="G1185">
        <v>-240.98949999999999</v>
      </c>
      <c r="H1185" s="1">
        <v>-4.6902509999999999E-6</v>
      </c>
      <c r="I1185">
        <v>367.07690000000002</v>
      </c>
      <c r="J1185">
        <v>-267.87470000000002</v>
      </c>
      <c r="K1185">
        <v>1.1105929999999999</v>
      </c>
      <c r="L1185">
        <v>367.91050000000001</v>
      </c>
      <c r="M1185">
        <v>0.99980360000000001</v>
      </c>
      <c r="N1185">
        <v>0</v>
      </c>
      <c r="O1185">
        <v>1.398169E-2</v>
      </c>
      <c r="P1185">
        <v>0.99860349999999998</v>
      </c>
      <c r="Q1185">
        <v>4.7095400000000003E-2</v>
      </c>
      <c r="R1185">
        <v>-2.3941090000000002E-2</v>
      </c>
      <c r="S1185">
        <v>3.0079039999999999</v>
      </c>
      <c r="T1185">
        <v>-0.1236252</v>
      </c>
      <c r="U1185">
        <v>-9.2559810000000006E-2</v>
      </c>
      <c r="V1185">
        <v>3.7883279999999998E-2</v>
      </c>
      <c r="W1185">
        <v>6.112513E-2</v>
      </c>
      <c r="X1185">
        <v>0.99741100000000005</v>
      </c>
      <c r="Y1185">
        <v>4.468159E-2</v>
      </c>
      <c r="Z1185">
        <v>-1.491949E-3</v>
      </c>
      <c r="AA1185">
        <v>0.9990002</v>
      </c>
      <c r="AB1185">
        <v>23</v>
      </c>
      <c r="AC1185">
        <v>26.885200000000001</v>
      </c>
      <c r="AD1185">
        <v>-1.110597690251</v>
      </c>
      <c r="AE1185">
        <v>-0.83359999999998902</v>
      </c>
      <c r="AF1185">
        <v>1.2073977619496099</v>
      </c>
      <c r="AG1185">
        <v>-1.110597690251</v>
      </c>
      <c r="AH1185">
        <v>26.8251840266289</v>
      </c>
      <c r="AI1185">
        <v>92.368371169525105</v>
      </c>
      <c r="AJ1185">
        <v>87.422864408453194</v>
      </c>
      <c r="AK1185">
        <v>26.8752997127038</v>
      </c>
      <c r="AL1185">
        <v>86.495603702303399</v>
      </c>
      <c r="AM1185">
        <v>87.824859348569206</v>
      </c>
      <c r="AN1185">
        <v>1.00000006367103</v>
      </c>
    </row>
    <row r="1186" spans="1:40" x14ac:dyDescent="0.25">
      <c r="A1186" t="str">
        <f>"20190312153911966"</f>
        <v>20190312153911966</v>
      </c>
      <c r="B1186" t="str">
        <f>"1552376351956770"</f>
        <v>1552376351956770</v>
      </c>
      <c r="C1186" t="s">
        <v>40</v>
      </c>
      <c r="D1186">
        <v>4.2924189999999998</v>
      </c>
      <c r="E1186">
        <v>0.50361800000000001</v>
      </c>
      <c r="F1186" t="s">
        <v>42</v>
      </c>
      <c r="G1186">
        <v>-240.6378</v>
      </c>
      <c r="H1186" s="1">
        <v>-4.8564020000000003E-6</v>
      </c>
      <c r="I1186">
        <v>367.07749999999999</v>
      </c>
      <c r="J1186">
        <v>-267.73750000000001</v>
      </c>
      <c r="K1186">
        <v>1.1105929999999999</v>
      </c>
      <c r="L1186">
        <v>367.91250000000002</v>
      </c>
      <c r="M1186">
        <v>0.99980199999999997</v>
      </c>
      <c r="N1186">
        <v>0</v>
      </c>
      <c r="O1186">
        <v>1.411827E-2</v>
      </c>
      <c r="P1186">
        <v>0.99860720000000003</v>
      </c>
      <c r="Q1186">
        <v>4.7111050000000002E-2</v>
      </c>
      <c r="R1186">
        <v>-2.375677E-2</v>
      </c>
      <c r="S1186">
        <v>3.0077820000000002</v>
      </c>
      <c r="T1186">
        <v>-0.12264369999999999</v>
      </c>
      <c r="U1186">
        <v>-9.1979980000000003E-2</v>
      </c>
      <c r="V1186">
        <v>3.7835470000000003E-2</v>
      </c>
      <c r="W1186">
        <v>6.111751E-2</v>
      </c>
      <c r="X1186">
        <v>0.9974132</v>
      </c>
      <c r="Y1186">
        <v>4.4627630000000001E-2</v>
      </c>
      <c r="Z1186">
        <v>-1.4846449999999999E-3</v>
      </c>
      <c r="AA1186">
        <v>0.99900259999999996</v>
      </c>
      <c r="AB1186">
        <v>23</v>
      </c>
      <c r="AC1186">
        <v>27.099699999999999</v>
      </c>
      <c r="AD1186">
        <v>-1.110597856402</v>
      </c>
      <c r="AE1186">
        <v>-0.83500000000003605</v>
      </c>
      <c r="AF1186">
        <v>1.21551572017976</v>
      </c>
      <c r="AG1186">
        <v>-1.110597856402</v>
      </c>
      <c r="AH1186">
        <v>27.039837765096099</v>
      </c>
      <c r="AI1186">
        <v>92.349597551973304</v>
      </c>
      <c r="AJ1186">
        <v>87.426128548934699</v>
      </c>
      <c r="AK1186">
        <v>27.089919387612898</v>
      </c>
      <c r="AL1186">
        <v>86.496040828014401</v>
      </c>
      <c r="AM1186">
        <v>87.827606606048406</v>
      </c>
      <c r="AN1186">
        <v>0.99999998217648001</v>
      </c>
    </row>
    <row r="1187" spans="1:40" x14ac:dyDescent="0.25">
      <c r="A1187" t="str">
        <f>"20190312153911980"</f>
        <v>20190312153911980</v>
      </c>
      <c r="B1187" t="str">
        <f>"1552376351967504"</f>
        <v>1552376351967504</v>
      </c>
      <c r="C1187" t="s">
        <v>40</v>
      </c>
      <c r="D1187">
        <v>4.3034019999999904</v>
      </c>
      <c r="E1187">
        <v>0.50357189999999996</v>
      </c>
      <c r="F1187" t="s">
        <v>42</v>
      </c>
      <c r="G1187">
        <v>-240.29329999999999</v>
      </c>
      <c r="H1187" s="1">
        <v>-5.018856E-6</v>
      </c>
      <c r="I1187">
        <v>367.0797</v>
      </c>
      <c r="J1187">
        <v>-267.59930000000003</v>
      </c>
      <c r="K1187">
        <v>1.110589</v>
      </c>
      <c r="L1187">
        <v>367.91460000000001</v>
      </c>
      <c r="M1187">
        <v>0.99980040000000003</v>
      </c>
      <c r="N1187">
        <v>0</v>
      </c>
      <c r="O1187">
        <v>1.425563E-2</v>
      </c>
      <c r="P1187">
        <v>0.99862269999999997</v>
      </c>
      <c r="Q1187">
        <v>4.6739599999999999E-2</v>
      </c>
      <c r="R1187">
        <v>-2.384085E-2</v>
      </c>
      <c r="S1187">
        <v>3.0078130000000001</v>
      </c>
      <c r="T1187">
        <v>-0.1217189</v>
      </c>
      <c r="U1187">
        <v>-9.1278079999999998E-2</v>
      </c>
      <c r="V1187">
        <v>3.805704E-2</v>
      </c>
      <c r="W1187">
        <v>6.072437E-2</v>
      </c>
      <c r="X1187">
        <v>0.9974288</v>
      </c>
      <c r="Y1187">
        <v>4.4532339999999997E-2</v>
      </c>
      <c r="Z1187">
        <v>-1.4770779999999999E-3</v>
      </c>
      <c r="AA1187">
        <v>0.99900690000000003</v>
      </c>
      <c r="AB1187">
        <v>23</v>
      </c>
      <c r="AC1187">
        <v>27.306000000000001</v>
      </c>
      <c r="AD1187">
        <v>-1.110594018856</v>
      </c>
      <c r="AE1187">
        <v>-0.83490000000000397</v>
      </c>
      <c r="AF1187">
        <v>1.2220977815973999</v>
      </c>
      <c r="AG1187">
        <v>-1.110594018856</v>
      </c>
      <c r="AH1187">
        <v>27.246292128739601</v>
      </c>
      <c r="AI1187">
        <v>92.331815874598604</v>
      </c>
      <c r="AJ1187">
        <v>87.431792044685693</v>
      </c>
      <c r="AK1187">
        <v>27.296288700611299</v>
      </c>
      <c r="AL1187">
        <v>86.518608067193895</v>
      </c>
      <c r="AM1187">
        <v>87.814931193691294</v>
      </c>
      <c r="AN1187">
        <v>0.99999999923744898</v>
      </c>
    </row>
    <row r="1188" spans="1:40" x14ac:dyDescent="0.25">
      <c r="A1188" t="str">
        <f>"20190312153911996"</f>
        <v>20190312153911996</v>
      </c>
      <c r="B1188" t="str">
        <f>"1552376351987026"</f>
        <v>1552376351987026</v>
      </c>
      <c r="C1188" t="s">
        <v>40</v>
      </c>
      <c r="D1188">
        <v>4.2479420000000001</v>
      </c>
      <c r="E1188">
        <v>0.5035153</v>
      </c>
      <c r="F1188" t="s">
        <v>42</v>
      </c>
      <c r="G1188">
        <v>-240.12039999999999</v>
      </c>
      <c r="H1188" s="1">
        <v>-5.1003040000000002E-6</v>
      </c>
      <c r="I1188">
        <v>367.0813</v>
      </c>
      <c r="J1188">
        <v>-267.43360000000001</v>
      </c>
      <c r="K1188">
        <v>1.1105910000000001</v>
      </c>
      <c r="L1188">
        <v>367.91719999999998</v>
      </c>
      <c r="M1188">
        <v>0.99979830000000003</v>
      </c>
      <c r="N1188">
        <v>0</v>
      </c>
      <c r="O1188">
        <v>1.441983E-2</v>
      </c>
      <c r="P1188">
        <v>0.99862340000000005</v>
      </c>
      <c r="Q1188">
        <v>4.6777970000000002E-2</v>
      </c>
      <c r="R1188">
        <v>-2.373546E-2</v>
      </c>
      <c r="S1188">
        <v>3.00766</v>
      </c>
      <c r="T1188">
        <v>-0.1215585</v>
      </c>
      <c r="U1188">
        <v>-9.1217039999999999E-2</v>
      </c>
      <c r="V1188">
        <v>3.8115469999999999E-2</v>
      </c>
      <c r="W1188">
        <v>6.0738180000000003E-2</v>
      </c>
      <c r="X1188">
        <v>0.99742569999999997</v>
      </c>
      <c r="Y1188">
        <v>4.4677559999999998E-2</v>
      </c>
      <c r="Z1188">
        <v>-1.4847739999999999E-3</v>
      </c>
      <c r="AA1188">
        <v>0.99900040000000001</v>
      </c>
      <c r="AB1188">
        <v>23</v>
      </c>
      <c r="AC1188">
        <v>27.313199999999998</v>
      </c>
      <c r="AD1188">
        <v>-1.1105961003039999</v>
      </c>
      <c r="AE1188">
        <v>-0.83589999999997999</v>
      </c>
      <c r="AF1188">
        <v>1.22767537615097</v>
      </c>
      <c r="AG1188">
        <v>-1.1105961003039999</v>
      </c>
      <c r="AH1188">
        <v>27.253287646486399</v>
      </c>
      <c r="AI1188">
        <v>92.331202180274403</v>
      </c>
      <c r="AJ1188">
        <v>87.420748001395296</v>
      </c>
      <c r="AK1188">
        <v>27.303521715510399</v>
      </c>
      <c r="AL1188">
        <v>86.517815251809793</v>
      </c>
      <c r="AM1188">
        <v>87.811572862972895</v>
      </c>
      <c r="AN1188">
        <v>0.99999997129176099</v>
      </c>
    </row>
    <row r="1189" spans="1:40" x14ac:dyDescent="0.25">
      <c r="A1189" t="str">
        <f>"20190312153912015"</f>
        <v>20190312153912015</v>
      </c>
      <c r="B1189" t="str">
        <f>"1552376352007519"</f>
        <v>1552376352007519</v>
      </c>
      <c r="C1189" t="s">
        <v>40</v>
      </c>
      <c r="D1189">
        <v>4.249835</v>
      </c>
      <c r="E1189">
        <v>0.50345720000000005</v>
      </c>
      <c r="F1189" t="s">
        <v>42</v>
      </c>
      <c r="G1189">
        <v>-239.39859999999999</v>
      </c>
      <c r="H1189" s="1">
        <v>-8.6794169999999995E-7</v>
      </c>
      <c r="I1189">
        <v>367.07119999999998</v>
      </c>
      <c r="J1189">
        <v>-267.24740000000003</v>
      </c>
      <c r="K1189">
        <v>1.11059</v>
      </c>
      <c r="L1189">
        <v>367.92009999999999</v>
      </c>
      <c r="M1189">
        <v>0.99979600000000002</v>
      </c>
      <c r="N1189">
        <v>0</v>
      </c>
      <c r="O1189">
        <v>1.4604590000000001E-2</v>
      </c>
      <c r="P1189">
        <v>0.99863040000000003</v>
      </c>
      <c r="Q1189">
        <v>4.684054E-2</v>
      </c>
      <c r="R1189">
        <v>-2.331424E-2</v>
      </c>
      <c r="S1189">
        <v>3.007568</v>
      </c>
      <c r="T1189">
        <v>-0.119142899999999</v>
      </c>
      <c r="U1189">
        <v>-9.0759279999999998E-2</v>
      </c>
      <c r="V1189">
        <v>3.7878750000000003E-2</v>
      </c>
      <c r="W1189">
        <v>6.0775299999999997E-2</v>
      </c>
      <c r="X1189">
        <v>0.99743250000000006</v>
      </c>
      <c r="Y1189">
        <v>4.47129E-2</v>
      </c>
      <c r="Z1189">
        <v>-1.463354E-3</v>
      </c>
      <c r="AA1189">
        <v>0.99899879999999996</v>
      </c>
      <c r="AB1189">
        <v>23</v>
      </c>
      <c r="AC1189">
        <v>27.848800000000001</v>
      </c>
      <c r="AD1189">
        <v>-1.1105908679417</v>
      </c>
      <c r="AE1189">
        <v>-0.84890000000001398</v>
      </c>
      <c r="AF1189">
        <v>1.2535775557659199</v>
      </c>
      <c r="AG1189">
        <v>-1.1105908679417</v>
      </c>
      <c r="AH1189">
        <v>27.789276324169499</v>
      </c>
      <c r="AI1189">
        <v>92.286269789841796</v>
      </c>
      <c r="AJ1189">
        <v>87.417131610208997</v>
      </c>
      <c r="AK1189">
        <v>27.839697329269299</v>
      </c>
      <c r="AL1189">
        <v>86.515684646532407</v>
      </c>
      <c r="AM1189">
        <v>87.825166032639999</v>
      </c>
      <c r="AN1189">
        <v>1.00000001442395</v>
      </c>
    </row>
    <row r="1190" spans="1:40" x14ac:dyDescent="0.25">
      <c r="A1190" t="str">
        <f>"20190312153912030"</f>
        <v>20190312153912030</v>
      </c>
      <c r="B1190" t="str">
        <f>"1552376352017280"</f>
        <v>1552376352017280</v>
      </c>
      <c r="C1190" t="s">
        <v>40</v>
      </c>
      <c r="D1190">
        <v>4.1998410000000002</v>
      </c>
      <c r="E1190">
        <v>0.50345150000000005</v>
      </c>
      <c r="F1190" t="s">
        <v>42</v>
      </c>
      <c r="G1190">
        <v>-238.70349999999999</v>
      </c>
      <c r="H1190" s="1">
        <v>-1.103205E-6</v>
      </c>
      <c r="I1190">
        <v>367.07600000000002</v>
      </c>
      <c r="J1190">
        <v>-267.08589999999998</v>
      </c>
      <c r="K1190">
        <v>1.110592</v>
      </c>
      <c r="L1190">
        <v>367.92259999999999</v>
      </c>
      <c r="M1190">
        <v>0.99979410000000002</v>
      </c>
      <c r="N1190">
        <v>0</v>
      </c>
      <c r="O1190">
        <v>1.4765230000000001E-2</v>
      </c>
      <c r="P1190">
        <v>0.99864090000000005</v>
      </c>
      <c r="Q1190">
        <v>4.684907E-2</v>
      </c>
      <c r="R1190">
        <v>-2.2849749999999999E-2</v>
      </c>
      <c r="S1190">
        <v>3.0075379999999998</v>
      </c>
      <c r="T1190">
        <v>-0.1170173</v>
      </c>
      <c r="U1190">
        <v>-8.8928220000000002E-2</v>
      </c>
      <c r="V1190">
        <v>3.7575049999999999E-2</v>
      </c>
      <c r="W1190">
        <v>6.0764350000000002E-2</v>
      </c>
      <c r="X1190">
        <v>0.99744460000000001</v>
      </c>
      <c r="Y1190">
        <v>4.4267899999999999E-2</v>
      </c>
      <c r="Z1190">
        <v>-1.4348879999999901E-3</v>
      </c>
      <c r="AA1190">
        <v>0.99901870000000004</v>
      </c>
      <c r="AB1190">
        <v>23</v>
      </c>
      <c r="AC1190">
        <v>28.382399999999901</v>
      </c>
      <c r="AD1190">
        <v>-1.110593103205</v>
      </c>
      <c r="AE1190">
        <v>-0.846600000000023</v>
      </c>
      <c r="AF1190">
        <v>1.2636878104315801</v>
      </c>
      <c r="AG1190">
        <v>-1.110593103205</v>
      </c>
      <c r="AH1190">
        <v>28.3234755875202</v>
      </c>
      <c r="AI1190">
        <v>92.243247779910206</v>
      </c>
      <c r="AJ1190">
        <v>87.4453702722477</v>
      </c>
      <c r="AK1190">
        <v>28.373395871484501</v>
      </c>
      <c r="AL1190">
        <v>86.516313008352398</v>
      </c>
      <c r="AM1190">
        <v>87.842612776085701</v>
      </c>
      <c r="AN1190">
        <v>0.99999996034129102</v>
      </c>
    </row>
    <row r="1191" spans="1:40" x14ac:dyDescent="0.25">
      <c r="A1191" t="str">
        <f>"20190312153912046"</f>
        <v>20190312153912046</v>
      </c>
      <c r="B1191" t="str">
        <f>"1552376352036802"</f>
        <v>1552376352036802</v>
      </c>
      <c r="C1191" t="s">
        <v>40</v>
      </c>
      <c r="D1191">
        <v>4.196625</v>
      </c>
      <c r="E1191">
        <v>0.50341950000000002</v>
      </c>
      <c r="F1191" t="s">
        <v>42</v>
      </c>
      <c r="G1191">
        <v>-238.28219999999999</v>
      </c>
      <c r="H1191" s="1">
        <v>-1.2443530000000001E-6</v>
      </c>
      <c r="I1191">
        <v>367.08440000000002</v>
      </c>
      <c r="J1191">
        <v>-266.9246</v>
      </c>
      <c r="K1191">
        <v>1.110595</v>
      </c>
      <c r="L1191">
        <v>367.92520000000002</v>
      </c>
      <c r="M1191">
        <v>0.99979189999999996</v>
      </c>
      <c r="N1191">
        <v>0</v>
      </c>
      <c r="O1191">
        <v>1.492598E-2</v>
      </c>
      <c r="P1191">
        <v>0.9986467</v>
      </c>
      <c r="Q1191">
        <v>4.6993399999999998E-2</v>
      </c>
      <c r="R1191">
        <v>-2.228316E-2</v>
      </c>
      <c r="S1191">
        <v>3.0075069999999999</v>
      </c>
      <c r="T1191">
        <v>-0.11596099999999999</v>
      </c>
      <c r="U1191">
        <v>-8.7524409999999997E-2</v>
      </c>
      <c r="V1191">
        <v>3.7169099999999997E-2</v>
      </c>
      <c r="W1191">
        <v>6.0889529999999997E-2</v>
      </c>
      <c r="X1191">
        <v>0.99745220000000001</v>
      </c>
      <c r="Y1191">
        <v>4.3963809999999999E-2</v>
      </c>
      <c r="Z1191">
        <v>-1.4223059999999999E-3</v>
      </c>
      <c r="AA1191">
        <v>0.99903209999999998</v>
      </c>
      <c r="AB1191">
        <v>23</v>
      </c>
      <c r="AC1191">
        <v>28.642399999999999</v>
      </c>
      <c r="AD1191">
        <v>-1.110596244353</v>
      </c>
      <c r="AE1191">
        <v>-0.84080000000000099</v>
      </c>
      <c r="AF1191">
        <v>1.2663612564576101</v>
      </c>
      <c r="AG1191">
        <v>-1.110596244353</v>
      </c>
      <c r="AH1191">
        <v>28.5837200319205</v>
      </c>
      <c r="AI1191">
        <v>92.222881491774501</v>
      </c>
      <c r="AJ1191">
        <v>87.463250438725495</v>
      </c>
      <c r="AK1191">
        <v>28.633304833934901</v>
      </c>
      <c r="AL1191">
        <v>86.509127499962005</v>
      </c>
      <c r="AM1191">
        <v>87.865915141979798</v>
      </c>
      <c r="AN1191">
        <v>0.99999998407163504</v>
      </c>
    </row>
    <row r="1192" spans="1:40" x14ac:dyDescent="0.25">
      <c r="A1192" t="str">
        <f>"20190312153912061"</f>
        <v>20190312153912061</v>
      </c>
      <c r="B1192" t="str">
        <f>"1552376352047536"</f>
        <v>1552376352047536</v>
      </c>
      <c r="C1192" t="s">
        <v>40</v>
      </c>
      <c r="D1192">
        <v>4.1938449999999996</v>
      </c>
      <c r="E1192">
        <v>0.50340490000000004</v>
      </c>
      <c r="F1192" t="s">
        <v>42</v>
      </c>
      <c r="G1192">
        <v>-237.6405</v>
      </c>
      <c r="H1192" s="1">
        <v>-1.4607769999999901E-6</v>
      </c>
      <c r="I1192">
        <v>367.0917</v>
      </c>
      <c r="J1192">
        <v>-266.77609999999999</v>
      </c>
      <c r="K1192">
        <v>1.1105969999999901</v>
      </c>
      <c r="L1192">
        <v>367.92759999999998</v>
      </c>
      <c r="M1192">
        <v>0.99978979999999995</v>
      </c>
      <c r="N1192">
        <v>0</v>
      </c>
      <c r="O1192">
        <v>1.507379E-2</v>
      </c>
      <c r="P1192">
        <v>0.99863610000000003</v>
      </c>
      <c r="Q1192">
        <v>4.7280009999999997E-2</v>
      </c>
      <c r="R1192">
        <v>-2.2153389999999998E-2</v>
      </c>
      <c r="S1192">
        <v>3.0075069999999999</v>
      </c>
      <c r="T1192">
        <v>-0.1140592</v>
      </c>
      <c r="U1192">
        <v>-8.560181E-2</v>
      </c>
      <c r="V1192">
        <v>3.7186730000000001E-2</v>
      </c>
      <c r="W1192">
        <v>6.1160350000000002E-2</v>
      </c>
      <c r="X1192">
        <v>0.99743499999999996</v>
      </c>
      <c r="Y1192">
        <v>4.3475029999999998E-2</v>
      </c>
      <c r="Z1192">
        <v>-1.3953479999999901E-3</v>
      </c>
      <c r="AA1192">
        <v>0.99905350000000004</v>
      </c>
      <c r="AB1192">
        <v>23</v>
      </c>
      <c r="AC1192">
        <v>29.135599999999901</v>
      </c>
      <c r="AD1192">
        <v>-1.1105984607770001</v>
      </c>
      <c r="AE1192">
        <v>-0.83589999999997999</v>
      </c>
      <c r="AF1192">
        <v>1.2731829275055599</v>
      </c>
      <c r="AG1192">
        <v>-1.1105984607770001</v>
      </c>
      <c r="AH1192">
        <v>29.077472813897501</v>
      </c>
      <c r="AI1192">
        <v>92.185226587569204</v>
      </c>
      <c r="AJ1192">
        <v>87.492854912822096</v>
      </c>
      <c r="AK1192">
        <v>29.126514534885899</v>
      </c>
      <c r="AL1192">
        <v>86.493581774961697</v>
      </c>
      <c r="AM1192">
        <v>87.864867058167604</v>
      </c>
      <c r="AN1192">
        <v>1.0000000102626001</v>
      </c>
    </row>
    <row r="1193" spans="1:40" x14ac:dyDescent="0.25">
      <c r="A1193" t="str">
        <f>"20190312153912076"</f>
        <v>20190312153912076</v>
      </c>
      <c r="B1193" t="str">
        <f>"1552376352067057"</f>
        <v>1552376352067057</v>
      </c>
      <c r="C1193" t="s">
        <v>40</v>
      </c>
      <c r="D1193">
        <v>4.1404439999999996</v>
      </c>
      <c r="E1193">
        <v>0.50346369999999996</v>
      </c>
      <c r="F1193" t="s">
        <v>42</v>
      </c>
      <c r="G1193">
        <v>-237.0951</v>
      </c>
      <c r="H1193" s="1">
        <v>-1.6767969999999999E-6</v>
      </c>
      <c r="I1193">
        <v>367.08909999999997</v>
      </c>
      <c r="J1193">
        <v>-266.60669999999999</v>
      </c>
      <c r="K1193">
        <v>1.1106049999999901</v>
      </c>
      <c r="L1193">
        <v>367.93040000000002</v>
      </c>
      <c r="M1193">
        <v>0.9997876</v>
      </c>
      <c r="N1193">
        <v>0</v>
      </c>
      <c r="O1193">
        <v>1.5242210000000001E-2</v>
      </c>
      <c r="P1193">
        <v>0.99863349999999995</v>
      </c>
      <c r="Q1193">
        <v>4.7679729999999997E-2</v>
      </c>
      <c r="R1193">
        <v>-2.1402330000000001E-2</v>
      </c>
      <c r="S1193">
        <v>3.0075379999999998</v>
      </c>
      <c r="T1193">
        <v>-0.1125352</v>
      </c>
      <c r="U1193">
        <v>-8.4960939999999999E-2</v>
      </c>
      <c r="V1193">
        <v>3.6603810000000001E-2</v>
      </c>
      <c r="W1193">
        <v>6.1543E-2</v>
      </c>
      <c r="X1193">
        <v>0.99743300000000001</v>
      </c>
      <c r="Y1193">
        <v>4.3431360000000002E-2</v>
      </c>
      <c r="Z1193">
        <v>-1.3821910000000001E-3</v>
      </c>
      <c r="AA1193">
        <v>0.99905540000000004</v>
      </c>
      <c r="AB1193">
        <v>23</v>
      </c>
      <c r="AC1193">
        <v>29.511599999999898</v>
      </c>
      <c r="AD1193">
        <v>-1.11060667679699</v>
      </c>
      <c r="AE1193">
        <v>-0.84130000000004601</v>
      </c>
      <c r="AF1193">
        <v>1.2892431510170601</v>
      </c>
      <c r="AG1193">
        <v>-1.11060667679699</v>
      </c>
      <c r="AH1193">
        <v>29.453667078968401</v>
      </c>
      <c r="AI1193">
        <v>92.157359784966403</v>
      </c>
      <c r="AJ1193">
        <v>87.493654402090101</v>
      </c>
      <c r="AK1193">
        <v>29.502781216212501</v>
      </c>
      <c r="AL1193">
        <v>86.471616075880306</v>
      </c>
      <c r="AM1193">
        <v>87.898301837351397</v>
      </c>
      <c r="AN1193">
        <v>0.99999998462225703</v>
      </c>
    </row>
    <row r="1194" spans="1:40" x14ac:dyDescent="0.25">
      <c r="A1194" t="str">
        <f>"20190312153912092"</f>
        <v>20190312153912092</v>
      </c>
      <c r="B1194" t="str">
        <f>"1552376352087552"</f>
        <v>1552376352087552</v>
      </c>
      <c r="C1194" t="s">
        <v>40</v>
      </c>
      <c r="D1194">
        <v>4.1302430000000001</v>
      </c>
      <c r="E1194">
        <v>0.5035695</v>
      </c>
      <c r="F1194" t="s">
        <v>42</v>
      </c>
      <c r="G1194">
        <v>-236.2586</v>
      </c>
      <c r="H1194" s="1">
        <v>-2.0354590000000002E-6</v>
      </c>
      <c r="I1194">
        <v>367.09019999999998</v>
      </c>
      <c r="J1194">
        <v>-266.45479999999998</v>
      </c>
      <c r="K1194">
        <v>1.1106049999999901</v>
      </c>
      <c r="L1194">
        <v>367.93290000000002</v>
      </c>
      <c r="M1194">
        <v>0.99978529999999999</v>
      </c>
      <c r="N1194">
        <v>0</v>
      </c>
      <c r="O1194">
        <v>1.539369E-2</v>
      </c>
      <c r="P1194">
        <v>0.99864059999999999</v>
      </c>
      <c r="Q1194">
        <v>4.7533909999999999E-2</v>
      </c>
      <c r="R1194">
        <v>-2.138081E-2</v>
      </c>
      <c r="S1194">
        <v>3.007568</v>
      </c>
      <c r="T1194">
        <v>-0.11006340000000001</v>
      </c>
      <c r="U1194">
        <v>-8.3251950000000005E-2</v>
      </c>
      <c r="V1194">
        <v>3.6733839999999997E-2</v>
      </c>
      <c r="W1194">
        <v>6.1383559999999997E-2</v>
      </c>
      <c r="X1194">
        <v>0.99743809999999999</v>
      </c>
      <c r="Y1194">
        <v>4.3017140000000002E-2</v>
      </c>
      <c r="Z1194">
        <v>-1.349814E-3</v>
      </c>
      <c r="AA1194">
        <v>0.9990734</v>
      </c>
      <c r="AB1194">
        <v>23</v>
      </c>
      <c r="AC1194">
        <v>30.196199999999902</v>
      </c>
      <c r="AD1194">
        <v>-1.1106070354590001</v>
      </c>
      <c r="AE1194">
        <v>-0.84270000000003598</v>
      </c>
      <c r="AF1194">
        <v>1.3057108712307199</v>
      </c>
      <c r="AG1194">
        <v>-1.1106070354590001</v>
      </c>
      <c r="AH1194">
        <v>30.1389092969053</v>
      </c>
      <c r="AI1194">
        <v>92.108396321045404</v>
      </c>
      <c r="AJ1194">
        <v>87.519320635916799</v>
      </c>
      <c r="AK1194">
        <v>30.187616376149101</v>
      </c>
      <c r="AL1194">
        <v>86.480768814145094</v>
      </c>
      <c r="AM1194">
        <v>87.890853349373501</v>
      </c>
      <c r="AN1194">
        <v>1.00000003988551</v>
      </c>
    </row>
    <row r="1195" spans="1:40" x14ac:dyDescent="0.25">
      <c r="A1195" t="str">
        <f>"20190312153912107"</f>
        <v>20190312153912107</v>
      </c>
      <c r="B1195" t="str">
        <f>"1552376352097312"</f>
        <v>1552376352097312</v>
      </c>
      <c r="C1195" t="s">
        <v>40</v>
      </c>
      <c r="D1195">
        <v>4.1198129999999997</v>
      </c>
      <c r="E1195">
        <v>0.50362320000000005</v>
      </c>
      <c r="F1195" t="s">
        <v>42</v>
      </c>
      <c r="G1195">
        <v>-236.06989999999999</v>
      </c>
      <c r="H1195" s="1">
        <v>-2.117997E-6</v>
      </c>
      <c r="I1195">
        <v>367.08120000000002</v>
      </c>
      <c r="J1195">
        <v>-266.30880000000002</v>
      </c>
      <c r="K1195">
        <v>1.110606</v>
      </c>
      <c r="L1195">
        <v>367.93520000000001</v>
      </c>
      <c r="M1195">
        <v>0.99978339999999999</v>
      </c>
      <c r="N1195">
        <v>0</v>
      </c>
      <c r="O1195">
        <v>1.553878E-2</v>
      </c>
      <c r="P1195">
        <v>0.99865530000000002</v>
      </c>
      <c r="Q1195">
        <v>4.7349049999999997E-2</v>
      </c>
      <c r="R1195">
        <v>-2.111671E-2</v>
      </c>
      <c r="S1195">
        <v>3.0075069999999999</v>
      </c>
      <c r="T1195">
        <v>-0.109928</v>
      </c>
      <c r="U1195">
        <v>-8.4289550000000005E-2</v>
      </c>
      <c r="V1195">
        <v>3.6614819999999999E-2</v>
      </c>
      <c r="W1195">
        <v>6.1186049999999999E-2</v>
      </c>
      <c r="X1195">
        <v>0.99745459999999997</v>
      </c>
      <c r="Y1195">
        <v>4.350677E-2</v>
      </c>
      <c r="Z1195">
        <v>-1.36242E-3</v>
      </c>
      <c r="AA1195">
        <v>0.99905219999999995</v>
      </c>
      <c r="AB1195">
        <v>23</v>
      </c>
      <c r="AC1195">
        <v>30.238900000000001</v>
      </c>
      <c r="AD1195">
        <v>-1.110608117997</v>
      </c>
      <c r="AE1195">
        <v>-0.85399999999998499</v>
      </c>
      <c r="AF1195">
        <v>1.3220356182639199</v>
      </c>
      <c r="AG1195">
        <v>-1.110608117997</v>
      </c>
      <c r="AH1195">
        <v>30.181297003978301</v>
      </c>
      <c r="AI1195">
        <v>92.105396023943797</v>
      </c>
      <c r="AJ1195">
        <v>87.491868182496603</v>
      </c>
      <c r="AK1195">
        <v>30.230645335653499</v>
      </c>
      <c r="AL1195">
        <v>86.4921065742557</v>
      </c>
      <c r="AM1195">
        <v>87.897715723532997</v>
      </c>
      <c r="AN1195">
        <v>1.0000000284096899</v>
      </c>
    </row>
    <row r="1196" spans="1:40" x14ac:dyDescent="0.25">
      <c r="A1196" t="str">
        <f>"20190312153912120"</f>
        <v>20190312153912120</v>
      </c>
      <c r="B1196" t="str">
        <f>"1552376352107072"</f>
        <v>1552376352107072</v>
      </c>
      <c r="C1196" t="s">
        <v>40</v>
      </c>
      <c r="D1196">
        <v>4.116225</v>
      </c>
      <c r="E1196">
        <v>0.50366809999999995</v>
      </c>
      <c r="F1196" t="s">
        <v>42</v>
      </c>
      <c r="G1196">
        <v>-235.9417</v>
      </c>
      <c r="H1196" s="1">
        <v>-2.1719459999999999E-6</v>
      </c>
      <c r="I1196">
        <v>367.0872</v>
      </c>
      <c r="J1196">
        <v>-266.1696</v>
      </c>
      <c r="K1196">
        <v>1.110606</v>
      </c>
      <c r="L1196">
        <v>367.93759999999997</v>
      </c>
      <c r="M1196">
        <v>0.99978140000000004</v>
      </c>
      <c r="N1196">
        <v>0</v>
      </c>
      <c r="O1196">
        <v>1.5676659999999999E-2</v>
      </c>
      <c r="P1196">
        <v>0.99866670000000002</v>
      </c>
      <c r="Q1196">
        <v>4.7189969999999998E-2</v>
      </c>
      <c r="R1196">
        <v>-2.093248E-2</v>
      </c>
      <c r="S1196">
        <v>3.0074770000000002</v>
      </c>
      <c r="T1196">
        <v>-0.10999159999999999</v>
      </c>
      <c r="U1196">
        <v>-8.3984379999999997E-2</v>
      </c>
      <c r="V1196">
        <v>3.6568539999999997E-2</v>
      </c>
      <c r="W1196">
        <v>6.1016609999999999E-2</v>
      </c>
      <c r="X1196">
        <v>0.99746659999999998</v>
      </c>
      <c r="Y1196">
        <v>4.3543360000000003E-2</v>
      </c>
      <c r="Z1196">
        <v>-1.3689310000000001E-3</v>
      </c>
      <c r="AA1196">
        <v>0.99905060000000001</v>
      </c>
      <c r="AB1196">
        <v>23</v>
      </c>
      <c r="AC1196">
        <v>30.227900000000002</v>
      </c>
      <c r="AD1196">
        <v>-1.1106081719459999</v>
      </c>
      <c r="AE1196">
        <v>-0.85039999999997895</v>
      </c>
      <c r="AF1196">
        <v>1.3224295899388201</v>
      </c>
      <c r="AG1196">
        <v>-1.1106081719459999</v>
      </c>
      <c r="AH1196">
        <v>30.170157105446801</v>
      </c>
      <c r="AI1196">
        <v>92.106170123348093</v>
      </c>
      <c r="AJ1196">
        <v>87.490196521487206</v>
      </c>
      <c r="AK1196">
        <v>30.219540868439399</v>
      </c>
      <c r="AL1196">
        <v>86.501832674427803</v>
      </c>
      <c r="AM1196">
        <v>87.900395803007598</v>
      </c>
      <c r="AN1196">
        <v>0.99999995146458998</v>
      </c>
    </row>
    <row r="1197" spans="1:40" x14ac:dyDescent="0.25">
      <c r="A1197" t="str">
        <f>"20190312153912145"</f>
        <v>20190312153912145</v>
      </c>
      <c r="B1197" t="str">
        <f>"1552376352137329"</f>
        <v>1552376352137329</v>
      </c>
      <c r="C1197" t="s">
        <v>40</v>
      </c>
      <c r="D1197">
        <v>4.0463779999999998</v>
      </c>
      <c r="E1197">
        <v>0.50380749999999996</v>
      </c>
      <c r="F1197" t="s">
        <v>42</v>
      </c>
      <c r="G1197">
        <v>-235.91560000000001</v>
      </c>
      <c r="H1197" s="1">
        <v>-2.181607E-6</v>
      </c>
      <c r="I1197">
        <v>367.0958</v>
      </c>
      <c r="J1197">
        <v>-266.0324</v>
      </c>
      <c r="K1197">
        <v>1.110606</v>
      </c>
      <c r="L1197">
        <v>367.93990000000002</v>
      </c>
      <c r="M1197">
        <v>0.99977930000000004</v>
      </c>
      <c r="N1197">
        <v>0</v>
      </c>
      <c r="O1197">
        <v>1.581254E-2</v>
      </c>
      <c r="P1197">
        <v>0.99865870000000001</v>
      </c>
      <c r="Q1197">
        <v>4.7371320000000001E-2</v>
      </c>
      <c r="R1197">
        <v>-2.0903049999999999E-2</v>
      </c>
      <c r="S1197">
        <v>3.0075379999999998</v>
      </c>
      <c r="T1197">
        <v>-0.1104052</v>
      </c>
      <c r="U1197">
        <v>-8.3679199999999995E-2</v>
      </c>
      <c r="V1197">
        <v>3.6674569999999997E-2</v>
      </c>
      <c r="W1197">
        <v>6.1187949999999998E-2</v>
      </c>
      <c r="X1197">
        <v>0.99745229999999996</v>
      </c>
      <c r="Y1197">
        <v>4.3576879999999998E-2</v>
      </c>
      <c r="Z1197">
        <v>-1.379651E-3</v>
      </c>
      <c r="AA1197">
        <v>0.99904910000000002</v>
      </c>
      <c r="AB1197">
        <v>23</v>
      </c>
      <c r="AC1197">
        <v>30.116799999999898</v>
      </c>
      <c r="AD1197">
        <v>-1.1106081816069999</v>
      </c>
      <c r="AE1197">
        <v>-0.84410000000002505</v>
      </c>
      <c r="AF1197">
        <v>1.3184715406509699</v>
      </c>
      <c r="AG1197">
        <v>-1.1106081816069999</v>
      </c>
      <c r="AH1197">
        <v>30.058840593258701</v>
      </c>
      <c r="AI1197">
        <v>92.113959997826697</v>
      </c>
      <c r="AJ1197">
        <v>87.488443939000604</v>
      </c>
      <c r="AK1197">
        <v>30.108233351485399</v>
      </c>
      <c r="AL1197">
        <v>86.491997548781598</v>
      </c>
      <c r="AM1197">
        <v>87.894283339481305</v>
      </c>
      <c r="AN1197">
        <v>1.0000000400425799</v>
      </c>
    </row>
    <row r="1198" spans="1:40" x14ac:dyDescent="0.25">
      <c r="A1198" t="str">
        <f>"20190312153912160"</f>
        <v>20190312153912160</v>
      </c>
      <c r="B1198" t="str">
        <f>"1552376352156850"</f>
        <v>1552376352156850</v>
      </c>
      <c r="C1198" t="s">
        <v>40</v>
      </c>
      <c r="D1198">
        <v>4.0098640000000003</v>
      </c>
      <c r="E1198">
        <v>0.51234389999999996</v>
      </c>
      <c r="F1198" t="s">
        <v>42</v>
      </c>
      <c r="G1198">
        <v>-235.55119999999999</v>
      </c>
      <c r="H1198" s="1">
        <v>-2.340343E-6</v>
      </c>
      <c r="I1198">
        <v>367.08240000000001</v>
      </c>
      <c r="J1198">
        <v>-265.77940000000001</v>
      </c>
      <c r="K1198">
        <v>1.110608</v>
      </c>
      <c r="L1198">
        <v>367.94420000000002</v>
      </c>
      <c r="M1198">
        <v>0.99977550000000004</v>
      </c>
      <c r="N1198">
        <v>0</v>
      </c>
      <c r="O1198">
        <v>1.606194E-2</v>
      </c>
      <c r="P1198">
        <v>0.998664</v>
      </c>
      <c r="Q1198">
        <v>4.7450930000000002E-2</v>
      </c>
      <c r="R1198">
        <v>-2.046769E-2</v>
      </c>
      <c r="S1198">
        <v>3.0074160000000001</v>
      </c>
      <c r="T1198">
        <v>-0.10957740000000001</v>
      </c>
      <c r="U1198">
        <v>-8.4594730000000007E-2</v>
      </c>
      <c r="V1198">
        <v>3.6488520000000003E-2</v>
      </c>
      <c r="W1198">
        <v>6.1250779999999998E-2</v>
      </c>
      <c r="X1198">
        <v>0.99745519999999999</v>
      </c>
      <c r="Y1198">
        <v>4.4131169999999997E-2</v>
      </c>
      <c r="Z1198">
        <v>-1.38854E-3</v>
      </c>
      <c r="AA1198">
        <v>0.99902480000000005</v>
      </c>
      <c r="AB1198">
        <v>23</v>
      </c>
      <c r="AC1198">
        <v>30.228200000000001</v>
      </c>
      <c r="AD1198">
        <v>-1.1106103403430001</v>
      </c>
      <c r="AE1198">
        <v>-0.861800000000016</v>
      </c>
      <c r="AF1198">
        <v>1.3454439771783899</v>
      </c>
      <c r="AG1198">
        <v>-1.1106103403430001</v>
      </c>
      <c r="AH1198">
        <v>30.169763446256599</v>
      </c>
      <c r="AI1198">
        <v>92.106130801706797</v>
      </c>
      <c r="AJ1198">
        <v>87.446542179541495</v>
      </c>
      <c r="AK1198">
        <v>30.220163818663899</v>
      </c>
      <c r="AL1198">
        <v>86.488390654758007</v>
      </c>
      <c r="AM1198">
        <v>87.904962177041696</v>
      </c>
      <c r="AN1198">
        <v>0.999999973074719</v>
      </c>
    </row>
    <row r="1199" spans="1:40" x14ac:dyDescent="0.25">
      <c r="A1199" t="str">
        <f>"20190312153912176"</f>
        <v>20190312153912176</v>
      </c>
      <c r="B1199" t="str">
        <f>"1552376352167584"</f>
        <v>1552376352167584</v>
      </c>
      <c r="C1199" t="s">
        <v>40</v>
      </c>
      <c r="D1199">
        <v>4.0218099999999897</v>
      </c>
      <c r="E1199">
        <v>0.51259759999999999</v>
      </c>
      <c r="F1199" t="s">
        <v>42</v>
      </c>
      <c r="G1199">
        <v>-216.00790000000001</v>
      </c>
      <c r="H1199" s="1">
        <v>-2.4633959999999999E-6</v>
      </c>
      <c r="I1199">
        <v>365.41160000000002</v>
      </c>
      <c r="J1199">
        <v>-265.60210000000001</v>
      </c>
      <c r="K1199">
        <v>1.1106119999999999</v>
      </c>
      <c r="L1199">
        <v>367.94720000000001</v>
      </c>
      <c r="M1199">
        <v>0.99977300000000002</v>
      </c>
      <c r="N1199">
        <v>0</v>
      </c>
      <c r="O1199">
        <v>1.6233399999999999E-2</v>
      </c>
      <c r="P1199">
        <v>0.99863769999999996</v>
      </c>
      <c r="Q1199">
        <v>4.7881479999999997E-2</v>
      </c>
      <c r="R1199">
        <v>-2.0758619999999998E-2</v>
      </c>
      <c r="S1199">
        <v>3.0040589999999998</v>
      </c>
      <c r="T1199">
        <v>-6.7033049999999997E-2</v>
      </c>
      <c r="U1199">
        <v>-0.15286250000000001</v>
      </c>
      <c r="V1199">
        <v>3.6950190000000001E-2</v>
      </c>
      <c r="W1199">
        <v>6.1670080000000002E-2</v>
      </c>
      <c r="X1199">
        <v>0.99741239999999998</v>
      </c>
      <c r="Y1199">
        <v>6.7006189999999993E-2</v>
      </c>
      <c r="Z1199">
        <v>-1.1090329999999999E-3</v>
      </c>
      <c r="AA1199">
        <v>0.99775199999999997</v>
      </c>
      <c r="AB1199">
        <v>23</v>
      </c>
      <c r="AC1199">
        <v>49.594200000000001</v>
      </c>
      <c r="AD1199">
        <v>-1.110614463396</v>
      </c>
      <c r="AE1199">
        <v>-2.5355999999999801</v>
      </c>
      <c r="AF1199">
        <v>3.3387549738405502</v>
      </c>
      <c r="AG1199">
        <v>-1.110614463396</v>
      </c>
      <c r="AH1199">
        <v>49.5217283311244</v>
      </c>
      <c r="AI1199">
        <v>91.281837288846404</v>
      </c>
      <c r="AJ1199">
        <v>86.142955430308604</v>
      </c>
      <c r="AK1199">
        <v>49.646574163413703</v>
      </c>
      <c r="AL1199">
        <v>86.464321145215706</v>
      </c>
      <c r="AM1199">
        <v>87.878387885582399</v>
      </c>
      <c r="AN1199">
        <v>1.0000000054910001</v>
      </c>
    </row>
    <row r="1200" spans="1:40" x14ac:dyDescent="0.25">
      <c r="A1200" t="str">
        <f>"20190312153912197"</f>
        <v>20190312153912197</v>
      </c>
      <c r="B1200" t="str">
        <f>"1552376352187104"</f>
        <v>1552376352187104</v>
      </c>
      <c r="C1200" t="s">
        <v>40</v>
      </c>
      <c r="D1200">
        <v>4.0104170000000003</v>
      </c>
      <c r="E1200">
        <v>0.51285009999999998</v>
      </c>
      <c r="F1200" t="s">
        <v>42</v>
      </c>
      <c r="G1200">
        <v>-210.69200000000001</v>
      </c>
      <c r="H1200" s="1">
        <v>-4.7773010000000002E-6</v>
      </c>
      <c r="I1200">
        <v>365.09589999999997</v>
      </c>
      <c r="J1200">
        <v>-265.38220000000001</v>
      </c>
      <c r="K1200">
        <v>1.110609</v>
      </c>
      <c r="L1200">
        <v>367.9511</v>
      </c>
      <c r="M1200">
        <v>0.99976969999999998</v>
      </c>
      <c r="N1200">
        <v>0</v>
      </c>
      <c r="O1200">
        <v>1.6444070000000002E-2</v>
      </c>
      <c r="P1200">
        <v>0.99863550000000001</v>
      </c>
      <c r="Q1200">
        <v>4.8165439999999997E-2</v>
      </c>
      <c r="R1200">
        <v>-2.018847E-2</v>
      </c>
      <c r="S1200">
        <v>3.0037539999999998</v>
      </c>
      <c r="T1200">
        <v>-6.0754059999999999E-2</v>
      </c>
      <c r="U1200">
        <v>-0.15597529999999901</v>
      </c>
      <c r="V1200">
        <v>3.659101E-2</v>
      </c>
      <c r="W1200">
        <v>6.1941360000000001E-2</v>
      </c>
      <c r="X1200">
        <v>0.99740879999999998</v>
      </c>
      <c r="Y1200">
        <v>6.8256159999999996E-2</v>
      </c>
      <c r="Z1200">
        <v>-1.0221379999999999E-3</v>
      </c>
      <c r="AA1200">
        <v>0.99766730000000003</v>
      </c>
      <c r="AB1200">
        <v>23</v>
      </c>
      <c r="AC1200">
        <v>54.690199999999997</v>
      </c>
      <c r="AD1200">
        <v>-1.1106137773010001</v>
      </c>
      <c r="AE1200">
        <v>-2.8552000000000199</v>
      </c>
      <c r="AF1200">
        <v>3.7526854953862201</v>
      </c>
      <c r="AG1200">
        <v>-1.1106137773010001</v>
      </c>
      <c r="AH1200">
        <v>54.613387458990402</v>
      </c>
      <c r="AI1200">
        <v>91.162262260790996</v>
      </c>
      <c r="AJ1200">
        <v>86.069176319143295</v>
      </c>
      <c r="AK1200">
        <v>54.753430953095801</v>
      </c>
      <c r="AL1200">
        <v>86.448748062515406</v>
      </c>
      <c r="AM1200">
        <v>87.898985192498202</v>
      </c>
      <c r="AN1200">
        <v>0.99999997420445397</v>
      </c>
    </row>
    <row r="1201" spans="1:40" x14ac:dyDescent="0.25">
      <c r="A1201" t="str">
        <f>"20190312153912220"</f>
        <v>20190312153912220</v>
      </c>
      <c r="B1201" t="str">
        <f>"1552376352217361"</f>
        <v>1552376352217361</v>
      </c>
      <c r="C1201" t="s">
        <v>40</v>
      </c>
      <c r="D1201">
        <v>4.0185449999999996</v>
      </c>
      <c r="E1201">
        <v>0.51314989999999905</v>
      </c>
      <c r="F1201" t="s">
        <v>49</v>
      </c>
      <c r="G1201">
        <v>-208.18899999999999</v>
      </c>
      <c r="H1201" s="1">
        <v>-5.4042730000000004E-6</v>
      </c>
      <c r="I1201">
        <v>364.97190000000001</v>
      </c>
      <c r="J1201">
        <v>-265.1567</v>
      </c>
      <c r="K1201">
        <v>1.1106100000000001</v>
      </c>
      <c r="L1201">
        <v>367.95499999999998</v>
      </c>
      <c r="M1201">
        <v>0.9997663</v>
      </c>
      <c r="N1201">
        <v>0</v>
      </c>
      <c r="O1201">
        <v>1.6655260000000002E-2</v>
      </c>
      <c r="P1201">
        <v>0.99864949999999997</v>
      </c>
      <c r="Q1201">
        <v>4.8061050000000001E-2</v>
      </c>
      <c r="R1201">
        <v>-1.9735559999999999E-2</v>
      </c>
      <c r="S1201">
        <v>3.0037539999999998</v>
      </c>
      <c r="T1201">
        <v>-5.8328869999999998E-2</v>
      </c>
      <c r="U1201">
        <v>-0.15646360000000001</v>
      </c>
      <c r="V1201">
        <v>3.6349840000000001E-2</v>
      </c>
      <c r="W1201">
        <v>6.1825709999999999E-2</v>
      </c>
      <c r="X1201">
        <v>0.9974248</v>
      </c>
      <c r="Y1201">
        <v>6.8629869999999996E-2</v>
      </c>
      <c r="Z1201">
        <v>-9.8906379999999993E-4</v>
      </c>
      <c r="AA1201">
        <v>0.99764169999999996</v>
      </c>
      <c r="AB1201">
        <v>23</v>
      </c>
      <c r="AC1201">
        <v>56.967699999999901</v>
      </c>
      <c r="AD1201">
        <v>-1.1106154042730001</v>
      </c>
      <c r="AE1201">
        <v>-2.9830999999999701</v>
      </c>
      <c r="AF1201">
        <v>3.9300984705259498</v>
      </c>
      <c r="AG1201">
        <v>-1.1106154042730001</v>
      </c>
      <c r="AH1201">
        <v>56.888544748804897</v>
      </c>
      <c r="AI1201">
        <v>91.115764913368494</v>
      </c>
      <c r="AJ1201">
        <v>86.048047129704301</v>
      </c>
      <c r="AK1201">
        <v>57.034951250974302</v>
      </c>
      <c r="AL1201">
        <v>86.455387066251305</v>
      </c>
      <c r="AM1201">
        <v>87.912854067211995</v>
      </c>
      <c r="AN1201">
        <v>0.99999998047003402</v>
      </c>
    </row>
    <row r="1202" spans="1:40" x14ac:dyDescent="0.25">
      <c r="A1202" t="str">
        <f>"20190312153912244"</f>
        <v>20190312153912244</v>
      </c>
      <c r="B1202" t="str">
        <f>"1552376352236879"</f>
        <v>1552376352236879</v>
      </c>
      <c r="C1202" t="s">
        <v>40</v>
      </c>
      <c r="D1202">
        <v>3.9917750000000001</v>
      </c>
      <c r="E1202">
        <v>0.51333279999999903</v>
      </c>
      <c r="F1202" t="s">
        <v>49</v>
      </c>
      <c r="G1202">
        <v>-207.00800000000001</v>
      </c>
      <c r="H1202" s="1">
        <v>-4.9352440000000001E-6</v>
      </c>
      <c r="I1202">
        <v>364.90359999999998</v>
      </c>
      <c r="J1202">
        <v>-264.91730000000001</v>
      </c>
      <c r="K1202">
        <v>1.1106049999999901</v>
      </c>
      <c r="L1202">
        <v>367.95929999999998</v>
      </c>
      <c r="M1202">
        <v>0.9997627</v>
      </c>
      <c r="N1202">
        <v>0</v>
      </c>
      <c r="O1202">
        <v>1.6874070000000001E-2</v>
      </c>
      <c r="P1202">
        <v>0.99863590000000002</v>
      </c>
      <c r="Q1202">
        <v>4.8564950000000003E-2</v>
      </c>
      <c r="R1202">
        <v>-1.9180849999999999E-2</v>
      </c>
      <c r="S1202">
        <v>3.0036930000000002</v>
      </c>
      <c r="T1202">
        <v>-5.736923E-2</v>
      </c>
      <c r="U1202">
        <v>-0.15762329999999999</v>
      </c>
      <c r="V1202">
        <v>3.6013860000000002E-2</v>
      </c>
      <c r="W1202">
        <v>6.2318279999999997E-2</v>
      </c>
      <c r="X1202">
        <v>0.99740640000000003</v>
      </c>
      <c r="Y1202">
        <v>6.9233760000000005E-2</v>
      </c>
      <c r="Z1202">
        <v>-9.8274389999999999E-4</v>
      </c>
      <c r="AA1202">
        <v>0.99760000000000004</v>
      </c>
      <c r="AB1202">
        <v>23</v>
      </c>
      <c r="AC1202">
        <v>57.909300000000002</v>
      </c>
      <c r="AD1202">
        <v>-1.11060993524399</v>
      </c>
      <c r="AE1202">
        <v>-3.0556999999999999</v>
      </c>
      <c r="AF1202">
        <v>4.0310446361399404</v>
      </c>
      <c r="AG1202">
        <v>-1.11060993524399</v>
      </c>
      <c r="AH1202">
        <v>57.828275573997601</v>
      </c>
      <c r="AI1202">
        <v>91.097585177737699</v>
      </c>
      <c r="AJ1202">
        <v>86.012524300462502</v>
      </c>
      <c r="AK1202">
        <v>57.979239656527199</v>
      </c>
      <c r="AL1202">
        <v>86.427110592629802</v>
      </c>
      <c r="AM1202">
        <v>87.932090526262101</v>
      </c>
      <c r="AN1202">
        <v>1.0000000464476</v>
      </c>
    </row>
    <row r="1203" spans="1:40" x14ac:dyDescent="0.25">
      <c r="A1203" t="str">
        <f>"20190312153912265"</f>
        <v>20190312153912265</v>
      </c>
      <c r="B1203" t="str">
        <f>"1552376352257375"</f>
        <v>1552376352257375</v>
      </c>
      <c r="C1203" t="s">
        <v>40</v>
      </c>
      <c r="D1203">
        <v>4.0161089999999904</v>
      </c>
      <c r="E1203">
        <v>0.51343879999999997</v>
      </c>
      <c r="F1203" t="s">
        <v>49</v>
      </c>
      <c r="G1203">
        <v>-205.54349999999999</v>
      </c>
      <c r="H1203" s="1">
        <v>-4.2653620000000001E-6</v>
      </c>
      <c r="I1203">
        <v>364.84789999999998</v>
      </c>
      <c r="J1203">
        <v>-264.70440000000002</v>
      </c>
      <c r="K1203">
        <v>1.1106020000000001</v>
      </c>
      <c r="L1203">
        <v>367.9631</v>
      </c>
      <c r="M1203">
        <v>0.99975979999999998</v>
      </c>
      <c r="N1203">
        <v>0</v>
      </c>
      <c r="O1203">
        <v>1.7062589999999999E-2</v>
      </c>
      <c r="P1203">
        <v>0.99863329999999995</v>
      </c>
      <c r="Q1203">
        <v>4.8869009999999997E-2</v>
      </c>
      <c r="R1203">
        <v>-1.8553159999999999E-2</v>
      </c>
      <c r="S1203">
        <v>3.0038450000000001</v>
      </c>
      <c r="T1203">
        <v>-5.618799E-2</v>
      </c>
      <c r="U1203">
        <v>-0.15740970000000001</v>
      </c>
      <c r="V1203">
        <v>3.5574830000000002E-2</v>
      </c>
      <c r="W1203">
        <v>6.2613349999999998E-2</v>
      </c>
      <c r="X1203">
        <v>0.99740359999999995</v>
      </c>
      <c r="Y1203">
        <v>6.9349040000000001E-2</v>
      </c>
      <c r="Z1203">
        <v>-9.6706730000000005E-4</v>
      </c>
      <c r="AA1203">
        <v>0.99759200000000003</v>
      </c>
      <c r="AB1203">
        <v>23</v>
      </c>
      <c r="AC1203">
        <v>59.160899999999998</v>
      </c>
      <c r="AD1203">
        <v>-1.1106062653619999</v>
      </c>
      <c r="AE1203">
        <v>-3.11520000000001</v>
      </c>
      <c r="AF1203">
        <v>4.1228311885468898</v>
      </c>
      <c r="AG1203">
        <v>-1.1106062653619999</v>
      </c>
      <c r="AH1203">
        <v>59.078365161169003</v>
      </c>
      <c r="AI1203">
        <v>91.074356525304196</v>
      </c>
      <c r="AJ1203">
        <v>86.008039948383697</v>
      </c>
      <c r="AK1203">
        <v>59.232460808262502</v>
      </c>
      <c r="AL1203">
        <v>86.410170974675594</v>
      </c>
      <c r="AM1203">
        <v>87.957272333608302</v>
      </c>
      <c r="AN1203">
        <v>0.99999997071035496</v>
      </c>
    </row>
    <row r="1204" spans="1:40" x14ac:dyDescent="0.25">
      <c r="A1204" t="str">
        <f>"20190312153912287"</f>
        <v>20190312153912287</v>
      </c>
      <c r="B1204" t="str">
        <f>"1552376352276896"</f>
        <v>1552376352276896</v>
      </c>
      <c r="C1204" t="s">
        <v>40</v>
      </c>
      <c r="D1204">
        <v>3.9833769999999999</v>
      </c>
      <c r="E1204">
        <v>0.51361749999999995</v>
      </c>
      <c r="F1204" t="s">
        <v>49</v>
      </c>
      <c r="G1204">
        <v>-204.28909999999999</v>
      </c>
      <c r="H1204" s="1">
        <v>-3.660258E-6</v>
      </c>
      <c r="I1204">
        <v>364.8218</v>
      </c>
      <c r="J1204">
        <v>-264.48110000000003</v>
      </c>
      <c r="K1204">
        <v>1.110592</v>
      </c>
      <c r="L1204">
        <v>367.96719999999999</v>
      </c>
      <c r="M1204">
        <v>0.9997566</v>
      </c>
      <c r="N1204">
        <v>0</v>
      </c>
      <c r="O1204">
        <v>1.7252400000000001E-2</v>
      </c>
      <c r="P1204">
        <v>0.99863089999999999</v>
      </c>
      <c r="Q1204">
        <v>4.9076019999999998E-2</v>
      </c>
      <c r="R1204">
        <v>-1.811426E-2</v>
      </c>
      <c r="S1204">
        <v>3.0039370000000001</v>
      </c>
      <c r="T1204">
        <v>-5.5220959999999999E-2</v>
      </c>
      <c r="U1204">
        <v>-0.15618899999999999</v>
      </c>
      <c r="V1204">
        <v>3.532627E-2</v>
      </c>
      <c r="W1204">
        <v>6.2808929999999999E-2</v>
      </c>
      <c r="X1204">
        <v>0.99740019999999996</v>
      </c>
      <c r="Y1204">
        <v>6.9133089999999994E-2</v>
      </c>
      <c r="Z1204">
        <v>-9.5191120000000001E-4</v>
      </c>
      <c r="AA1204">
        <v>0.99760700000000002</v>
      </c>
      <c r="AB1204">
        <v>23</v>
      </c>
      <c r="AC1204">
        <v>60.192</v>
      </c>
      <c r="AD1204">
        <v>-1.1105956602580001</v>
      </c>
      <c r="AE1204">
        <v>-3.1453999999999902</v>
      </c>
      <c r="AF1204">
        <v>4.1820665829696102</v>
      </c>
      <c r="AG1204">
        <v>-1.1105956602580001</v>
      </c>
      <c r="AH1204">
        <v>60.108361602333197</v>
      </c>
      <c r="AI1204">
        <v>91.055956240128793</v>
      </c>
      <c r="AJ1204">
        <v>86.020033824444397</v>
      </c>
      <c r="AK1204">
        <v>60.263904936054601</v>
      </c>
      <c r="AL1204">
        <v>86.398943190503104</v>
      </c>
      <c r="AM1204">
        <v>87.971525921044105</v>
      </c>
      <c r="AN1204">
        <v>1.0000000329999399</v>
      </c>
    </row>
    <row r="1205" spans="1:40" x14ac:dyDescent="0.25">
      <c r="A1205" t="str">
        <f>"20190312153912309"</f>
        <v>20190312153912309</v>
      </c>
      <c r="B1205" t="str">
        <f>"1552376352297393"</f>
        <v>1552376352297393</v>
      </c>
      <c r="C1205" t="s">
        <v>40</v>
      </c>
      <c r="D1205">
        <v>3.9936669999999999</v>
      </c>
      <c r="E1205">
        <v>0.513737</v>
      </c>
      <c r="F1205" t="s">
        <v>49</v>
      </c>
      <c r="G1205">
        <v>-203.351</v>
      </c>
      <c r="H1205" s="1">
        <v>-3.1960719999999998E-6</v>
      </c>
      <c r="I1205">
        <v>364.78620000000001</v>
      </c>
      <c r="J1205">
        <v>-264.26119999999997</v>
      </c>
      <c r="K1205">
        <v>1.110582</v>
      </c>
      <c r="L1205">
        <v>367.97120000000001</v>
      </c>
      <c r="M1205">
        <v>0.99975369999999997</v>
      </c>
      <c r="N1205">
        <v>0</v>
      </c>
      <c r="O1205">
        <v>1.7430569999999999E-2</v>
      </c>
      <c r="P1205">
        <v>0.99863570000000002</v>
      </c>
      <c r="Q1205">
        <v>4.9102260000000002E-2</v>
      </c>
      <c r="R1205">
        <v>-1.7776179999999999E-2</v>
      </c>
      <c r="S1205">
        <v>3.0039370000000001</v>
      </c>
      <c r="T1205">
        <v>-5.4574730000000002E-2</v>
      </c>
      <c r="U1205">
        <v>-0.15631099999999901</v>
      </c>
      <c r="V1205">
        <v>3.5167179999999999E-2</v>
      </c>
      <c r="W1205">
        <v>6.2818449999999998E-2</v>
      </c>
      <c r="X1205">
        <v>0.99740519999999999</v>
      </c>
      <c r="Y1205">
        <v>6.9351570000000001E-2</v>
      </c>
      <c r="Z1205">
        <v>-9.4599009999999999E-4</v>
      </c>
      <c r="AA1205">
        <v>0.99759189999999998</v>
      </c>
      <c r="AB1205">
        <v>23</v>
      </c>
      <c r="AC1205">
        <v>60.910199999999897</v>
      </c>
      <c r="AD1205">
        <v>-1.1105851960719999</v>
      </c>
      <c r="AE1205">
        <v>-3.1850000000000001</v>
      </c>
      <c r="AF1205">
        <v>4.2449083658751601</v>
      </c>
      <c r="AG1205">
        <v>-1.1105851960719999</v>
      </c>
      <c r="AH1205">
        <v>60.825256836917703</v>
      </c>
      <c r="AI1205">
        <v>91.043488107552406</v>
      </c>
      <c r="AJ1205">
        <v>86.007881584610899</v>
      </c>
      <c r="AK1205">
        <v>60.983313420881103</v>
      </c>
      <c r="AL1205">
        <v>86.398396574652907</v>
      </c>
      <c r="AM1205">
        <v>87.980663582005107</v>
      </c>
      <c r="AN1205">
        <v>1.00000001059829</v>
      </c>
    </row>
    <row r="1206" spans="1:40" x14ac:dyDescent="0.25">
      <c r="A1206" t="str">
        <f>"20190312153912335"</f>
        <v>20190312153912335</v>
      </c>
      <c r="B1206" t="str">
        <f>"1552376352327648"</f>
        <v>1552376352327648</v>
      </c>
      <c r="C1206" t="s">
        <v>40</v>
      </c>
      <c r="D1206">
        <v>3.995387</v>
      </c>
      <c r="E1206">
        <v>0.51215519999999903</v>
      </c>
      <c r="F1206" t="s">
        <v>49</v>
      </c>
      <c r="G1206">
        <v>-203.64519999999999</v>
      </c>
      <c r="H1206" s="1">
        <v>-3.3368759999999999E-6</v>
      </c>
      <c r="I1206">
        <v>364.81889999999999</v>
      </c>
      <c r="J1206">
        <v>-264.00029999999998</v>
      </c>
      <c r="K1206">
        <v>1.1105640000000001</v>
      </c>
      <c r="L1206">
        <v>367.976</v>
      </c>
      <c r="M1206">
        <v>0.99975060000000004</v>
      </c>
      <c r="N1206">
        <v>0</v>
      </c>
      <c r="O1206">
        <v>1.7630670000000001E-2</v>
      </c>
      <c r="P1206">
        <v>0.99861200000000006</v>
      </c>
      <c r="Q1206">
        <v>4.9645120000000001E-2</v>
      </c>
      <c r="R1206">
        <v>-1.75914E-2</v>
      </c>
      <c r="S1206">
        <v>3.0040279999999999</v>
      </c>
      <c r="T1206">
        <v>-5.5038810000000001E-2</v>
      </c>
      <c r="U1206">
        <v>-0.15621949999999901</v>
      </c>
      <c r="V1206">
        <v>3.5182770000000002E-2</v>
      </c>
      <c r="W1206">
        <v>6.3330029999999995E-2</v>
      </c>
      <c r="X1206">
        <v>0.99737229999999999</v>
      </c>
      <c r="Y1206">
        <v>6.9519029999999996E-2</v>
      </c>
      <c r="Z1206">
        <v>-9.5920179999999997E-4</v>
      </c>
      <c r="AA1206">
        <v>0.99758020000000003</v>
      </c>
      <c r="AB1206">
        <v>22</v>
      </c>
      <c r="AC1206">
        <v>60.355099999999901</v>
      </c>
      <c r="AD1206">
        <v>-1.1105673368759901</v>
      </c>
      <c r="AE1206">
        <v>-3.15710000000001</v>
      </c>
      <c r="AF1206">
        <v>4.2193853251643301</v>
      </c>
      <c r="AG1206">
        <v>-1.1105673368759901</v>
      </c>
      <c r="AH1206">
        <v>60.269699626529103</v>
      </c>
      <c r="AI1206">
        <v>91.053071641442997</v>
      </c>
      <c r="AJ1206">
        <v>85.995348040620598</v>
      </c>
      <c r="AK1206">
        <v>60.427421469097901</v>
      </c>
      <c r="AL1206">
        <v>86.369026726182895</v>
      </c>
      <c r="AM1206">
        <v>87.979702543958794</v>
      </c>
      <c r="AN1206">
        <v>1.00000001240598</v>
      </c>
    </row>
    <row r="1207" spans="1:40" x14ac:dyDescent="0.25">
      <c r="A1207" t="str">
        <f>"20190312153912354"</f>
        <v>20190312153912354</v>
      </c>
      <c r="B1207" t="str">
        <f>"1552376352347168"</f>
        <v>1552376352347168</v>
      </c>
      <c r="C1207" t="s">
        <v>40</v>
      </c>
      <c r="D1207">
        <v>4.0203829999999998</v>
      </c>
      <c r="E1207">
        <v>0.51025920000000002</v>
      </c>
      <c r="F1207" t="s">
        <v>49</v>
      </c>
      <c r="G1207">
        <v>-190.63740000000001</v>
      </c>
      <c r="H1207" s="1">
        <v>-6.3113759999999996E-6</v>
      </c>
      <c r="I1207">
        <v>364.47969999999998</v>
      </c>
      <c r="J1207">
        <v>-263.80540000000002</v>
      </c>
      <c r="K1207">
        <v>1.1105609999999999</v>
      </c>
      <c r="L1207">
        <v>367.9796</v>
      </c>
      <c r="M1207">
        <v>0.99974859999999999</v>
      </c>
      <c r="N1207">
        <v>0</v>
      </c>
      <c r="O1207">
        <v>1.77705999999999E-2</v>
      </c>
      <c r="P1207">
        <v>0.99860439999999995</v>
      </c>
      <c r="Q1207">
        <v>4.974224E-2</v>
      </c>
      <c r="R1207">
        <v>-1.7754240000000001E-2</v>
      </c>
      <c r="S1207">
        <v>3.0039060000000002</v>
      </c>
      <c r="T1207">
        <v>-4.5473220000000002E-2</v>
      </c>
      <c r="U1207">
        <v>-0.14315799999999901</v>
      </c>
      <c r="V1207">
        <v>3.5486129999999998E-2</v>
      </c>
      <c r="W1207">
        <v>6.3397120000000001E-2</v>
      </c>
      <c r="X1207">
        <v>0.99735720000000005</v>
      </c>
      <c r="Y1207">
        <v>6.5338339999999995E-2</v>
      </c>
      <c r="Z1207">
        <v>-7.6312489999999999E-4</v>
      </c>
      <c r="AA1207">
        <v>0.9978629</v>
      </c>
      <c r="AB1207">
        <v>22</v>
      </c>
      <c r="AC1207">
        <v>73.168000000000006</v>
      </c>
      <c r="AD1207">
        <v>-1.110567311376</v>
      </c>
      <c r="AE1207">
        <v>-3.4999000000000202</v>
      </c>
      <c r="AF1207">
        <v>4.7986050561736198</v>
      </c>
      <c r="AG1207">
        <v>-1.110567311376</v>
      </c>
      <c r="AH1207">
        <v>73.077445523509894</v>
      </c>
      <c r="AI1207">
        <v>90.868793536048599</v>
      </c>
      <c r="AJ1207">
        <v>86.2430861068203</v>
      </c>
      <c r="AK1207">
        <v>73.243245521206802</v>
      </c>
      <c r="AL1207">
        <v>86.365174684511302</v>
      </c>
      <c r="AM1207">
        <v>87.962266523998395</v>
      </c>
      <c r="AN1207">
        <v>0.99999992231925205</v>
      </c>
    </row>
    <row r="1208" spans="1:40" x14ac:dyDescent="0.25">
      <c r="A1208" t="str">
        <f>"20190312153912376"</f>
        <v>20190312153912376</v>
      </c>
      <c r="B1208" t="str">
        <f>"1552376352366688"</f>
        <v>1552376352366688</v>
      </c>
      <c r="C1208" t="s">
        <v>40</v>
      </c>
      <c r="D1208">
        <v>4.004988</v>
      </c>
      <c r="E1208">
        <v>0.50864979999999904</v>
      </c>
      <c r="F1208" t="s">
        <v>49</v>
      </c>
      <c r="G1208">
        <v>-186.3381</v>
      </c>
      <c r="H1208" s="1">
        <v>-7.3397329999999996E-6</v>
      </c>
      <c r="I1208">
        <v>364.66090000000003</v>
      </c>
      <c r="J1208">
        <v>-263.58819999999997</v>
      </c>
      <c r="K1208">
        <v>1.110549</v>
      </c>
      <c r="L1208">
        <v>367.98360000000002</v>
      </c>
      <c r="M1208">
        <v>0.99974660000000004</v>
      </c>
      <c r="N1208">
        <v>0</v>
      </c>
      <c r="O1208">
        <v>1.7916769999999999E-2</v>
      </c>
      <c r="P1208">
        <v>0.99858279999999999</v>
      </c>
      <c r="Q1208">
        <v>5.0190419999999999E-2</v>
      </c>
      <c r="R1208">
        <v>-1.7710469999999999E-2</v>
      </c>
      <c r="S1208">
        <v>3.0040279999999999</v>
      </c>
      <c r="T1208">
        <v>-4.306567E-2</v>
      </c>
      <c r="U1208">
        <v>-0.12869259999999999</v>
      </c>
      <c r="V1208">
        <v>3.5588830000000002E-2</v>
      </c>
      <c r="W1208">
        <v>6.3806860000000007E-2</v>
      </c>
      <c r="X1208">
        <v>0.99732750000000003</v>
      </c>
      <c r="Y1208">
        <v>6.068784E-2</v>
      </c>
      <c r="Z1208">
        <v>-6.9154939999999999E-4</v>
      </c>
      <c r="AA1208">
        <v>0.9981565</v>
      </c>
      <c r="AB1208">
        <v>22</v>
      </c>
      <c r="AC1208">
        <v>77.250099999999904</v>
      </c>
      <c r="AD1208">
        <v>-1.1105563397330001</v>
      </c>
      <c r="AE1208">
        <v>-3.32269999999999</v>
      </c>
      <c r="AF1208">
        <v>4.7053966864874397</v>
      </c>
      <c r="AG1208">
        <v>-1.1105563397330001</v>
      </c>
      <c r="AH1208">
        <v>77.162242188933106</v>
      </c>
      <c r="AI1208">
        <v>90.823042996123206</v>
      </c>
      <c r="AJ1208">
        <v>86.510392556080504</v>
      </c>
      <c r="AK1208">
        <v>77.313554523023299</v>
      </c>
      <c r="AL1208">
        <v>86.341651007507593</v>
      </c>
      <c r="AM1208">
        <v>87.956313329607397</v>
      </c>
      <c r="AN1208">
        <v>1.00000001123003</v>
      </c>
    </row>
    <row r="1209" spans="1:40" x14ac:dyDescent="0.25">
      <c r="A1209" t="str">
        <f>"20190312153912399"</f>
        <v>20190312153912399</v>
      </c>
      <c r="B1209" t="str">
        <f>"1552376352387184"</f>
        <v>1552376352387184</v>
      </c>
      <c r="C1209" t="s">
        <v>40</v>
      </c>
      <c r="D1209">
        <v>4.021503</v>
      </c>
      <c r="E1209">
        <v>0.50726499999999997</v>
      </c>
      <c r="F1209" t="s">
        <v>49</v>
      </c>
      <c r="G1209">
        <v>-180</v>
      </c>
      <c r="H1209">
        <v>4.3620320000000001E-3</v>
      </c>
      <c r="I1209">
        <v>364.7518</v>
      </c>
      <c r="J1209">
        <v>-263.36489999999998</v>
      </c>
      <c r="K1209">
        <v>1.1105370000000001</v>
      </c>
      <c r="L1209">
        <v>367.98779999999999</v>
      </c>
      <c r="M1209">
        <v>0.99974459999999998</v>
      </c>
      <c r="N1209">
        <v>0</v>
      </c>
      <c r="O1209">
        <v>1.8055769999999999E-2</v>
      </c>
      <c r="P1209">
        <v>0.99859310000000001</v>
      </c>
      <c r="Q1209">
        <v>5.0004180000000002E-2</v>
      </c>
      <c r="R1209">
        <v>-1.764775E-2</v>
      </c>
      <c r="S1209">
        <v>3.004181</v>
      </c>
      <c r="T1209">
        <v>-3.9756659999999999E-2</v>
      </c>
      <c r="U1209">
        <v>-0.1161499</v>
      </c>
      <c r="V1209">
        <v>3.5666249999999997E-2</v>
      </c>
      <c r="W1209">
        <v>6.3576530000000006E-2</v>
      </c>
      <c r="X1209">
        <v>0.99733939999999999</v>
      </c>
      <c r="Y1209">
        <v>5.6665020000000003E-2</v>
      </c>
      <c r="Z1209">
        <v>-6.1366920000000002E-4</v>
      </c>
      <c r="AA1209">
        <v>0.99839310000000003</v>
      </c>
      <c r="AB1209">
        <v>22</v>
      </c>
      <c r="AC1209">
        <v>83.364899999999906</v>
      </c>
      <c r="AD1209">
        <v>-1.1061749679999999</v>
      </c>
      <c r="AE1209">
        <v>-3.23599999999999</v>
      </c>
      <c r="AF1209">
        <v>4.7399955712144504</v>
      </c>
      <c r="AG1209">
        <v>-1.1061749679999999</v>
      </c>
      <c r="AH1209">
        <v>83.278232984827895</v>
      </c>
      <c r="AI1209">
        <v>90.759778788032804</v>
      </c>
      <c r="AJ1209">
        <v>86.742377604702796</v>
      </c>
      <c r="AK1209">
        <v>83.420352853187097</v>
      </c>
      <c r="AL1209">
        <v>86.354874634576404</v>
      </c>
      <c r="AM1209">
        <v>87.951895689408801</v>
      </c>
      <c r="AN1209">
        <v>0.99999996767413102</v>
      </c>
    </row>
    <row r="1210" spans="1:40" x14ac:dyDescent="0.25">
      <c r="A1210" t="str">
        <f>"20190312153912421"</f>
        <v>20190312153912421</v>
      </c>
      <c r="B1210" t="str">
        <f>"1552376352406704"</f>
        <v>1552376352406704</v>
      </c>
      <c r="C1210" t="s">
        <v>40</v>
      </c>
      <c r="D1210">
        <v>4.0379100000000001</v>
      </c>
      <c r="E1210">
        <v>0.50615559999999904</v>
      </c>
      <c r="F1210" t="s">
        <v>49</v>
      </c>
      <c r="G1210">
        <v>-180</v>
      </c>
      <c r="H1210">
        <v>2.3574609999999999E-2</v>
      </c>
      <c r="I1210">
        <v>365.08580000000001</v>
      </c>
      <c r="J1210">
        <v>-263.1377</v>
      </c>
      <c r="K1210">
        <v>1.110514</v>
      </c>
      <c r="L1210">
        <v>367.99209999999999</v>
      </c>
      <c r="M1210">
        <v>0.99974300000000005</v>
      </c>
      <c r="N1210">
        <v>0</v>
      </c>
      <c r="O1210">
        <v>1.8187140000000001E-2</v>
      </c>
      <c r="P1210">
        <v>0.9986102</v>
      </c>
      <c r="Q1210">
        <v>4.980097E-2</v>
      </c>
      <c r="R1210">
        <v>-1.7257829999999998E-2</v>
      </c>
      <c r="S1210">
        <v>3.0043030000000002</v>
      </c>
      <c r="T1210">
        <v>-3.9171930000000001E-2</v>
      </c>
      <c r="U1210">
        <v>-0.1045837</v>
      </c>
      <c r="V1210">
        <v>3.5409070000000001E-2</v>
      </c>
      <c r="W1210">
        <v>6.3319570000000006E-2</v>
      </c>
      <c r="X1210">
        <v>0.9973649</v>
      </c>
      <c r="Y1210">
        <v>5.295623E-2</v>
      </c>
      <c r="Z1210">
        <v>-5.8220250000000004E-4</v>
      </c>
      <c r="AA1210">
        <v>0.9985967</v>
      </c>
      <c r="AB1210">
        <v>22</v>
      </c>
      <c r="AC1210">
        <v>83.137699999999995</v>
      </c>
      <c r="AD1210">
        <v>-1.0869393899999999</v>
      </c>
      <c r="AE1210">
        <v>-2.9062999999999799</v>
      </c>
      <c r="AF1210">
        <v>4.4172405816981604</v>
      </c>
      <c r="AG1210">
        <v>-1.0869393899999999</v>
      </c>
      <c r="AH1210">
        <v>83.0569049332763</v>
      </c>
      <c r="AI1210">
        <v>90.7487109239528</v>
      </c>
      <c r="AJ1210">
        <v>86.955689248862399</v>
      </c>
      <c r="AK1210">
        <v>83.181385590103204</v>
      </c>
      <c r="AL1210">
        <v>86.369627043756793</v>
      </c>
      <c r="AM1210">
        <v>87.966703535879802</v>
      </c>
      <c r="AN1210">
        <v>0.999999956967629</v>
      </c>
    </row>
    <row r="1211" spans="1:40" x14ac:dyDescent="0.25">
      <c r="A1211" t="str">
        <f>"20190312153912444"</f>
        <v>20190312153912444</v>
      </c>
      <c r="B1211" t="str">
        <f>"1552376352436959"</f>
        <v>1552376352436959</v>
      </c>
      <c r="C1211" t="s">
        <v>40</v>
      </c>
      <c r="D1211">
        <v>4.0552929999999998</v>
      </c>
      <c r="E1211">
        <v>0.50482079999999996</v>
      </c>
      <c r="F1211" t="s">
        <v>49</v>
      </c>
      <c r="G1211">
        <v>-180</v>
      </c>
      <c r="H1211">
        <v>3.8160930000000003E-2</v>
      </c>
      <c r="I1211">
        <v>365.36829999999998</v>
      </c>
      <c r="J1211">
        <v>-262.90390000000002</v>
      </c>
      <c r="K1211">
        <v>1.110498</v>
      </c>
      <c r="L1211">
        <v>367.99650000000003</v>
      </c>
      <c r="M1211">
        <v>0.99974149999999995</v>
      </c>
      <c r="N1211">
        <v>0</v>
      </c>
      <c r="O1211">
        <v>1.8313389999999999E-2</v>
      </c>
      <c r="P1211">
        <v>0.99861429999999995</v>
      </c>
      <c r="Q1211">
        <v>4.9759699999999997E-2</v>
      </c>
      <c r="R1211">
        <v>-1.714398E-2</v>
      </c>
      <c r="S1211">
        <v>3.0044559999999998</v>
      </c>
      <c r="T1211">
        <v>-3.8753030000000001E-2</v>
      </c>
      <c r="U1211">
        <v>-9.4818120000000006E-2</v>
      </c>
      <c r="V1211">
        <v>3.5422210000000003E-2</v>
      </c>
      <c r="W1211">
        <v>6.321773E-2</v>
      </c>
      <c r="X1211">
        <v>0.99737100000000001</v>
      </c>
      <c r="Y1211">
        <v>4.9838449999999999E-2</v>
      </c>
      <c r="Z1211">
        <v>-5.5750349999999897E-4</v>
      </c>
      <c r="AA1211">
        <v>0.99875709999999995</v>
      </c>
      <c r="AB1211">
        <v>22</v>
      </c>
      <c r="AC1211">
        <v>82.903899999999993</v>
      </c>
      <c r="AD1211">
        <v>-1.0723370699999999</v>
      </c>
      <c r="AE1211">
        <v>-2.6282000000000401</v>
      </c>
      <c r="AF1211">
        <v>4.14545558811521</v>
      </c>
      <c r="AG1211">
        <v>-1.0723370699999999</v>
      </c>
      <c r="AH1211">
        <v>82.828014773300893</v>
      </c>
      <c r="AI1211">
        <v>90.740814110665895</v>
      </c>
      <c r="AJ1211">
        <v>87.134796857884993</v>
      </c>
      <c r="AK1211">
        <v>82.938620317141101</v>
      </c>
      <c r="AL1211">
        <v>86.375474144715596</v>
      </c>
      <c r="AM1211">
        <v>87.965962060782104</v>
      </c>
      <c r="AN1211">
        <v>1.00000006299431</v>
      </c>
    </row>
    <row r="1212" spans="1:40" x14ac:dyDescent="0.25">
      <c r="A1212" t="str">
        <f>"20190312153912466"</f>
        <v>20190312153912466</v>
      </c>
      <c r="B1212" t="str">
        <f>"1552376352457457"</f>
        <v>1552376352457457</v>
      </c>
      <c r="C1212" t="s">
        <v>40</v>
      </c>
      <c r="D1212">
        <v>4.0444309999999897</v>
      </c>
      <c r="E1212">
        <v>0.50402150000000001</v>
      </c>
      <c r="F1212" t="s">
        <v>49</v>
      </c>
      <c r="G1212">
        <v>-179.98580000000001</v>
      </c>
      <c r="H1212">
        <v>6.4227950000000006E-2</v>
      </c>
      <c r="I1212">
        <v>365.68130000000002</v>
      </c>
      <c r="J1212">
        <v>-262.69349999999997</v>
      </c>
      <c r="K1212">
        <v>1.1104849999999999</v>
      </c>
      <c r="L1212">
        <v>368.00049999999999</v>
      </c>
      <c r="M1212">
        <v>0.99974039999999997</v>
      </c>
      <c r="N1212">
        <v>0</v>
      </c>
      <c r="O1212">
        <v>1.8419830000000002E-2</v>
      </c>
      <c r="P1212">
        <v>0.99861469999999997</v>
      </c>
      <c r="Q1212">
        <v>4.9948230000000003E-2</v>
      </c>
      <c r="R1212">
        <v>-1.6549089999999999E-2</v>
      </c>
      <c r="S1212">
        <v>3.0046080000000002</v>
      </c>
      <c r="T1212">
        <v>-3.791249E-2</v>
      </c>
      <c r="U1212">
        <v>-8.3892820000000007E-2</v>
      </c>
      <c r="V1212">
        <v>3.4934479999999997E-2</v>
      </c>
      <c r="W1212">
        <v>6.3345719999999994E-2</v>
      </c>
      <c r="X1212">
        <v>0.99738000000000004</v>
      </c>
      <c r="Y1212">
        <v>4.6314939999999999E-2</v>
      </c>
      <c r="Z1212">
        <v>-5.2453009999999997E-4</v>
      </c>
      <c r="AA1212">
        <v>0.9989268</v>
      </c>
      <c r="AB1212">
        <v>22</v>
      </c>
      <c r="AC1212">
        <v>82.707699999999903</v>
      </c>
      <c r="AD1212">
        <v>-1.0462570499999999</v>
      </c>
      <c r="AE1212">
        <v>-2.31919999999996</v>
      </c>
      <c r="AF1212">
        <v>3.8417909432988102</v>
      </c>
      <c r="AG1212">
        <v>-1.0462570499999999</v>
      </c>
      <c r="AH1212">
        <v>82.6377285967868</v>
      </c>
      <c r="AI1212">
        <v>90.724587263054701</v>
      </c>
      <c r="AJ1212">
        <v>87.338261387046401</v>
      </c>
      <c r="AK1212">
        <v>82.733597764770806</v>
      </c>
      <c r="AL1212">
        <v>86.368125833533099</v>
      </c>
      <c r="AM1212">
        <v>87.993963865509301</v>
      </c>
      <c r="AN1212">
        <v>0.99999998126759404</v>
      </c>
    </row>
    <row r="1213" spans="1:40" x14ac:dyDescent="0.25">
      <c r="A1213" t="str">
        <f>"20190312153912487"</f>
        <v>20190312153912487</v>
      </c>
      <c r="B1213" t="str">
        <f>"1552376352476976"</f>
        <v>1552376352476976</v>
      </c>
      <c r="C1213" t="s">
        <v>40</v>
      </c>
      <c r="D1213">
        <v>4.0358519999999896</v>
      </c>
      <c r="E1213">
        <v>0.50329599999999997</v>
      </c>
      <c r="F1213" t="s">
        <v>49</v>
      </c>
      <c r="G1213">
        <v>-179.58019999999999</v>
      </c>
      <c r="H1213">
        <v>7.9987899999999904E-2</v>
      </c>
      <c r="I1213">
        <v>365.91109999999998</v>
      </c>
      <c r="J1213">
        <v>-262.47620000000001</v>
      </c>
      <c r="K1213">
        <v>1.1104750000000001</v>
      </c>
      <c r="L1213">
        <v>368.00459999999998</v>
      </c>
      <c r="M1213">
        <v>0.9997393</v>
      </c>
      <c r="N1213">
        <v>0</v>
      </c>
      <c r="O1213">
        <v>1.85221E-2</v>
      </c>
      <c r="P1213">
        <v>0.99862600000000001</v>
      </c>
      <c r="Q1213">
        <v>4.9697489999999997E-2</v>
      </c>
      <c r="R1213">
        <v>-1.6630789999999999E-2</v>
      </c>
      <c r="S1213">
        <v>3.0047299999999999</v>
      </c>
      <c r="T1213">
        <v>-3.7254809999999999E-2</v>
      </c>
      <c r="U1213">
        <v>-7.5531009999999996E-2</v>
      </c>
      <c r="V1213">
        <v>3.5118870000000003E-2</v>
      </c>
      <c r="W1213">
        <v>6.3025960000000006E-2</v>
      </c>
      <c r="X1213">
        <v>0.9973938</v>
      </c>
      <c r="Y1213">
        <v>4.3638250000000003E-2</v>
      </c>
      <c r="Z1213">
        <v>-5.0010539999999996E-4</v>
      </c>
      <c r="AA1213">
        <v>0.99904729999999997</v>
      </c>
      <c r="AB1213">
        <v>22</v>
      </c>
      <c r="AC1213">
        <v>82.896000000000001</v>
      </c>
      <c r="AD1213">
        <v>-1.0304871</v>
      </c>
      <c r="AE1213">
        <v>-2.0935000000000001</v>
      </c>
      <c r="AF1213">
        <v>3.6281253687757098</v>
      </c>
      <c r="AG1213">
        <v>-1.0304871</v>
      </c>
      <c r="AH1213">
        <v>82.830205535846702</v>
      </c>
      <c r="AI1213">
        <v>90.712094889335305</v>
      </c>
      <c r="AJ1213">
        <v>87.491935725058696</v>
      </c>
      <c r="AK1213">
        <v>82.916030696515094</v>
      </c>
      <c r="AL1213">
        <v>86.386483480796798</v>
      </c>
      <c r="AM1213">
        <v>87.983412271223997</v>
      </c>
      <c r="AN1213">
        <v>0.99999999947121898</v>
      </c>
    </row>
    <row r="1214" spans="1:40" x14ac:dyDescent="0.25">
      <c r="A1214" t="str">
        <f>"20190312153912515"</f>
        <v>20190312153912515</v>
      </c>
      <c r="B1214" t="str">
        <f>"1552376352507233"</f>
        <v>1552376352507233</v>
      </c>
      <c r="C1214" t="s">
        <v>40</v>
      </c>
      <c r="D1214">
        <v>4.0136789999999998</v>
      </c>
      <c r="E1214">
        <v>0.50241709999999995</v>
      </c>
      <c r="F1214" t="s">
        <v>49</v>
      </c>
      <c r="G1214">
        <v>-179.98310000000001</v>
      </c>
      <c r="H1214">
        <v>6.6925789999999999E-2</v>
      </c>
      <c r="I1214">
        <v>366.08179999999999</v>
      </c>
      <c r="J1214">
        <v>-262.21719999999999</v>
      </c>
      <c r="K1214">
        <v>1.1104579999999999</v>
      </c>
      <c r="L1214">
        <v>368.00959999999998</v>
      </c>
      <c r="M1214">
        <v>0.99973849999999997</v>
      </c>
      <c r="N1214">
        <v>0</v>
      </c>
      <c r="O1214">
        <v>1.8630279999999999E-2</v>
      </c>
      <c r="P1214">
        <v>0.99859350000000002</v>
      </c>
      <c r="Q1214">
        <v>5.0256790000000003E-2</v>
      </c>
      <c r="R1214">
        <v>-1.6893999999999999E-2</v>
      </c>
      <c r="S1214">
        <v>3.004883</v>
      </c>
      <c r="T1214">
        <v>-3.8012150000000001E-2</v>
      </c>
      <c r="U1214">
        <v>-7.0037840000000004E-2</v>
      </c>
      <c r="V1214">
        <v>3.5489359999999998E-2</v>
      </c>
      <c r="W1214">
        <v>6.3492309999999996E-2</v>
      </c>
      <c r="X1214">
        <v>0.99735110000000005</v>
      </c>
      <c r="Y1214">
        <v>4.1919659999999997E-2</v>
      </c>
      <c r="Z1214">
        <v>-5.0075519999999896E-4</v>
      </c>
      <c r="AA1214">
        <v>0.99912080000000003</v>
      </c>
      <c r="AB1214">
        <v>22</v>
      </c>
      <c r="AC1214">
        <v>82.234099999999899</v>
      </c>
      <c r="AD1214">
        <v>-1.04353221</v>
      </c>
      <c r="AE1214">
        <v>-1.92779999999999</v>
      </c>
      <c r="AF1214">
        <v>3.45908766930014</v>
      </c>
      <c r="AG1214">
        <v>-1.04353221</v>
      </c>
      <c r="AH1214">
        <v>82.170681723254603</v>
      </c>
      <c r="AI1214">
        <v>90.726948808954702</v>
      </c>
      <c r="AJ1214">
        <v>87.589478719405307</v>
      </c>
      <c r="AK1214">
        <v>82.250077093225997</v>
      </c>
      <c r="AL1214">
        <v>86.359709944213805</v>
      </c>
      <c r="AM1214">
        <v>87.962068749060606</v>
      </c>
      <c r="AN1214">
        <v>0.99999999238677795</v>
      </c>
    </row>
    <row r="1215" spans="1:40" x14ac:dyDescent="0.25">
      <c r="A1215" t="str">
        <f>"20190312153912532"</f>
        <v>20190312153912532</v>
      </c>
      <c r="B1215" t="str">
        <f>"1552376352526752"</f>
        <v>1552376352526752</v>
      </c>
      <c r="C1215" t="s">
        <v>40</v>
      </c>
      <c r="D1215">
        <v>4.0131430000000003</v>
      </c>
      <c r="E1215">
        <v>0.50196409999999902</v>
      </c>
      <c r="F1215" t="s">
        <v>49</v>
      </c>
      <c r="G1215">
        <v>-177.0266</v>
      </c>
      <c r="H1215">
        <v>7.9988009999999998E-2</v>
      </c>
      <c r="I1215">
        <v>366.2022</v>
      </c>
      <c r="J1215">
        <v>-262.03039999999999</v>
      </c>
      <c r="K1215">
        <v>1.110444</v>
      </c>
      <c r="L1215">
        <v>368.01319999999998</v>
      </c>
      <c r="M1215">
        <v>0.99973820000000002</v>
      </c>
      <c r="N1215">
        <v>0</v>
      </c>
      <c r="O1215">
        <v>1.8707499999999998E-2</v>
      </c>
      <c r="P1215">
        <v>0.99860459999999995</v>
      </c>
      <c r="Q1215">
        <v>4.9970149999999998E-2</v>
      </c>
      <c r="R1215">
        <v>-1.7094390000000001E-2</v>
      </c>
      <c r="S1215">
        <v>3.0049440000000001</v>
      </c>
      <c r="T1215">
        <v>-3.6347989999999997E-2</v>
      </c>
      <c r="U1215">
        <v>-6.3751219999999997E-2</v>
      </c>
      <c r="V1215">
        <v>3.5767750000000001E-2</v>
      </c>
      <c r="W1215">
        <v>6.3128740000000003E-2</v>
      </c>
      <c r="X1215">
        <v>0.99736420000000003</v>
      </c>
      <c r="Y1215">
        <v>3.990759E-2</v>
      </c>
      <c r="Z1215">
        <v>-4.676007E-4</v>
      </c>
      <c r="AA1215">
        <v>0.99920330000000002</v>
      </c>
      <c r="AB1215">
        <v>22</v>
      </c>
      <c r="AC1215">
        <v>85.003799999999899</v>
      </c>
      <c r="AD1215">
        <v>-1.0304559900000001</v>
      </c>
      <c r="AE1215">
        <v>-1.81099999999997</v>
      </c>
      <c r="AF1215">
        <v>3.4005301286891401</v>
      </c>
      <c r="AG1215">
        <v>-1.0304559900000001</v>
      </c>
      <c r="AH1215">
        <v>84.942562470240901</v>
      </c>
      <c r="AI1215">
        <v>90.694476760996494</v>
      </c>
      <c r="AJ1215">
        <v>87.707485703070105</v>
      </c>
      <c r="AK1215">
        <v>85.016847528676493</v>
      </c>
      <c r="AL1215">
        <v>86.380582722205205</v>
      </c>
      <c r="AM1215">
        <v>87.946123150863997</v>
      </c>
      <c r="AN1215">
        <v>0.99999995859784396</v>
      </c>
    </row>
    <row r="1216" spans="1:40" x14ac:dyDescent="0.25">
      <c r="A1216" t="str">
        <f>"20190312153912556"</f>
        <v>20190312153912556</v>
      </c>
      <c r="B1216" t="str">
        <f>"1552376352547248"</f>
        <v>1552376352547248</v>
      </c>
      <c r="C1216" t="s">
        <v>40</v>
      </c>
      <c r="D1216">
        <v>4.0112129999999997</v>
      </c>
      <c r="E1216">
        <v>0.50149739999999998</v>
      </c>
      <c r="F1216" t="s">
        <v>49</v>
      </c>
      <c r="G1216">
        <v>-179.04300000000001</v>
      </c>
      <c r="H1216">
        <v>7.9987920000000004E-2</v>
      </c>
      <c r="I1216">
        <v>366.34359999999998</v>
      </c>
      <c r="J1216">
        <v>-261.80119999999999</v>
      </c>
      <c r="K1216">
        <v>1.110417</v>
      </c>
      <c r="L1216">
        <v>368.01760000000002</v>
      </c>
      <c r="M1216">
        <v>0.99973780000000001</v>
      </c>
      <c r="N1216">
        <v>0</v>
      </c>
      <c r="O1216">
        <v>1.8806509999999999E-2</v>
      </c>
      <c r="P1216">
        <v>0.99861319999999998</v>
      </c>
      <c r="Q1216">
        <v>4.99449E-2</v>
      </c>
      <c r="R1216">
        <v>-1.666486E-2</v>
      </c>
      <c r="S1216">
        <v>3.0050349999999999</v>
      </c>
      <c r="T1216">
        <v>-3.7313579999999999E-2</v>
      </c>
      <c r="U1216">
        <v>-6.045532E-2</v>
      </c>
      <c r="V1216">
        <v>3.543835E-2</v>
      </c>
      <c r="W1216">
        <v>6.2994060000000004E-2</v>
      </c>
      <c r="X1216">
        <v>0.99738450000000001</v>
      </c>
      <c r="Y1216">
        <v>3.8910239999999999E-2</v>
      </c>
      <c r="Z1216">
        <v>-4.750496E-4</v>
      </c>
      <c r="AA1216">
        <v>0.99924259999999998</v>
      </c>
      <c r="AB1216">
        <v>22</v>
      </c>
      <c r="AC1216">
        <v>82.758199999999903</v>
      </c>
      <c r="AD1216">
        <v>-1.03042908</v>
      </c>
      <c r="AE1216">
        <v>-1.6740000000000299</v>
      </c>
      <c r="AF1216">
        <v>3.2297291201500999</v>
      </c>
      <c r="AG1216">
        <v>-1.03042908</v>
      </c>
      <c r="AH1216">
        <v>82.699260688303696</v>
      </c>
      <c r="AI1216">
        <v>90.713322183812593</v>
      </c>
      <c r="AJ1216">
        <v>87.763512609314404</v>
      </c>
      <c r="AK1216">
        <v>82.768717838749197</v>
      </c>
      <c r="AL1216">
        <v>86.388314801310599</v>
      </c>
      <c r="AM1216">
        <v>87.965063558789396</v>
      </c>
      <c r="AN1216">
        <v>0.999999984543127</v>
      </c>
    </row>
    <row r="1217" spans="1:40" x14ac:dyDescent="0.25">
      <c r="A1217" t="str">
        <f>"20190312153912577"</f>
        <v>20190312153912577</v>
      </c>
      <c r="B1217" t="str">
        <f>"1552376352566768"</f>
        <v>1552376352566768</v>
      </c>
      <c r="C1217" t="s">
        <v>40</v>
      </c>
      <c r="D1217">
        <v>3.9815990000000001</v>
      </c>
      <c r="E1217">
        <v>0.50106300000000004</v>
      </c>
      <c r="F1217" t="s">
        <v>49</v>
      </c>
      <c r="G1217">
        <v>-179.0324</v>
      </c>
      <c r="H1217">
        <v>7.9987920000000004E-2</v>
      </c>
      <c r="I1217">
        <v>366.4819</v>
      </c>
      <c r="J1217">
        <v>-261.58609999999999</v>
      </c>
      <c r="K1217">
        <v>1.1103909999999999</v>
      </c>
      <c r="L1217">
        <v>368.02179999999998</v>
      </c>
      <c r="M1217">
        <v>0.9997374</v>
      </c>
      <c r="N1217">
        <v>0</v>
      </c>
      <c r="O1217">
        <v>1.8899989999999998E-2</v>
      </c>
      <c r="P1217">
        <v>0.99862039999999996</v>
      </c>
      <c r="Q1217">
        <v>4.9884159999999997E-2</v>
      </c>
      <c r="R1217">
        <v>-1.6393660000000001E-2</v>
      </c>
      <c r="S1217">
        <v>3.005096</v>
      </c>
      <c r="T1217">
        <v>-3.7411930000000003E-2</v>
      </c>
      <c r="U1217">
        <v>-5.5755619999999999E-2</v>
      </c>
      <c r="V1217">
        <v>3.5261809999999998E-2</v>
      </c>
      <c r="W1217">
        <v>6.2815599999999999E-2</v>
      </c>
      <c r="X1217">
        <v>0.99740200000000001</v>
      </c>
      <c r="Y1217">
        <v>3.7441139999999998E-2</v>
      </c>
      <c r="Z1217">
        <v>-4.6831800000000001E-4</v>
      </c>
      <c r="AA1217">
        <v>0.99929880000000004</v>
      </c>
      <c r="AB1217">
        <v>22</v>
      </c>
      <c r="AC1217">
        <v>82.553699999999907</v>
      </c>
      <c r="AD1217">
        <v>-1.0304030799999999</v>
      </c>
      <c r="AE1217">
        <v>-1.5398999999999801</v>
      </c>
      <c r="AF1217">
        <v>3.0995373067552201</v>
      </c>
      <c r="AG1217">
        <v>-1.0304030799999999</v>
      </c>
      <c r="AH1217">
        <v>82.496997394552196</v>
      </c>
      <c r="AI1217">
        <v>90.715093408576607</v>
      </c>
      <c r="AJ1217">
        <v>87.848322737689998</v>
      </c>
      <c r="AK1217">
        <v>82.561634196156703</v>
      </c>
      <c r="AL1217">
        <v>86.398560052376595</v>
      </c>
      <c r="AM1217">
        <v>87.975227853987704</v>
      </c>
      <c r="AN1217">
        <v>0.99999997222591697</v>
      </c>
    </row>
    <row r="1218" spans="1:40" x14ac:dyDescent="0.25">
      <c r="A1218" t="str">
        <f>"20190312153912600"</f>
        <v>20190312153912600</v>
      </c>
      <c r="B1218" t="str">
        <f>"1552376352587265"</f>
        <v>1552376352587265</v>
      </c>
      <c r="C1218" t="s">
        <v>40</v>
      </c>
      <c r="D1218">
        <v>3.9897999999999998</v>
      </c>
      <c r="E1218">
        <v>0.50075519999999996</v>
      </c>
      <c r="F1218" t="s">
        <v>49</v>
      </c>
      <c r="G1218">
        <v>-179.83</v>
      </c>
      <c r="H1218">
        <v>7.9987879999999997E-2</v>
      </c>
      <c r="I1218">
        <v>366.62279999999998</v>
      </c>
      <c r="J1218">
        <v>-261.36590000000001</v>
      </c>
      <c r="K1218">
        <v>1.1103620000000001</v>
      </c>
      <c r="L1218">
        <v>368.02600000000001</v>
      </c>
      <c r="M1218">
        <v>0.99973749999999995</v>
      </c>
      <c r="N1218">
        <v>0</v>
      </c>
      <c r="O1218">
        <v>1.899083E-2</v>
      </c>
      <c r="P1218">
        <v>0.99861230000000001</v>
      </c>
      <c r="Q1218">
        <v>5.0210230000000002E-2</v>
      </c>
      <c r="R1218">
        <v>-1.589134E-2</v>
      </c>
      <c r="S1218">
        <v>3.005188</v>
      </c>
      <c r="T1218">
        <v>-3.7875529999999998E-2</v>
      </c>
      <c r="U1218">
        <v>-5.1422120000000002E-2</v>
      </c>
      <c r="V1218">
        <v>3.4850270000000003E-2</v>
      </c>
      <c r="W1218">
        <v>6.3007380000000002E-2</v>
      </c>
      <c r="X1218">
        <v>0.99740439999999997</v>
      </c>
      <c r="Y1218">
        <v>3.6090770000000001E-2</v>
      </c>
      <c r="Z1218">
        <v>-4.667475E-4</v>
      </c>
      <c r="AA1218">
        <v>0.99934840000000003</v>
      </c>
      <c r="AB1218">
        <v>22</v>
      </c>
      <c r="AC1218">
        <v>81.535899999999998</v>
      </c>
      <c r="AD1218">
        <v>-1.0303741200000001</v>
      </c>
      <c r="AE1218">
        <v>-1.40320000000002</v>
      </c>
      <c r="AF1218">
        <v>2.9510373946023201</v>
      </c>
      <c r="AG1218">
        <v>-1.0303741200000001</v>
      </c>
      <c r="AH1218">
        <v>81.4815347429345</v>
      </c>
      <c r="AI1218">
        <v>90.724020083996294</v>
      </c>
      <c r="AJ1218">
        <v>87.925810812591394</v>
      </c>
      <c r="AK1218">
        <v>81.541466730710397</v>
      </c>
      <c r="AL1218">
        <v>86.387550173517994</v>
      </c>
      <c r="AM1218">
        <v>87.998844420783499</v>
      </c>
      <c r="AN1218">
        <v>1.0000000041964401</v>
      </c>
    </row>
    <row r="1219" spans="1:40" x14ac:dyDescent="0.25">
      <c r="A1219" t="str">
        <f>"20190312153912622"</f>
        <v>20190312153912622</v>
      </c>
      <c r="B1219" t="str">
        <f>"1552376352617053"</f>
        <v>1552376352617053</v>
      </c>
      <c r="C1219" t="s">
        <v>40</v>
      </c>
      <c r="D1219">
        <v>3.928607</v>
      </c>
      <c r="E1219">
        <v>0.50032089999999996</v>
      </c>
      <c r="F1219" t="s">
        <v>43</v>
      </c>
      <c r="G1219">
        <v>-163.31450000000001</v>
      </c>
      <c r="H1219">
        <v>-0.05</v>
      </c>
      <c r="I1219">
        <v>366.47770000000003</v>
      </c>
      <c r="J1219">
        <v>-261.1388</v>
      </c>
      <c r="K1219">
        <v>1.1103479999999999</v>
      </c>
      <c r="L1219">
        <v>368.03039999999999</v>
      </c>
      <c r="M1219">
        <v>0.99973769999999995</v>
      </c>
      <c r="N1219">
        <v>0</v>
      </c>
      <c r="O1219">
        <v>1.9078999999999999E-2</v>
      </c>
      <c r="P1219">
        <v>0.99862340000000005</v>
      </c>
      <c r="Q1219">
        <v>5.0056410000000003E-2</v>
      </c>
      <c r="R1219">
        <v>-1.5685370000000001E-2</v>
      </c>
      <c r="S1219">
        <v>3.0051570000000001</v>
      </c>
      <c r="T1219">
        <v>-3.5563709999999998E-2</v>
      </c>
      <c r="U1219">
        <v>-4.7454830000000003E-2</v>
      </c>
      <c r="V1219">
        <v>3.4732270000000003E-2</v>
      </c>
      <c r="W1219">
        <v>6.2706139999999994E-2</v>
      </c>
      <c r="X1219">
        <v>0.99742750000000002</v>
      </c>
      <c r="Y1219">
        <v>3.4860670000000003E-2</v>
      </c>
      <c r="Z1219">
        <v>-4.3203399999999998E-4</v>
      </c>
      <c r="AA1219">
        <v>0.99939210000000001</v>
      </c>
      <c r="AB1219">
        <v>22</v>
      </c>
      <c r="AC1219">
        <v>97.824299999999994</v>
      </c>
      <c r="AD1219">
        <v>-1.1603479999999999</v>
      </c>
      <c r="AE1219">
        <v>-1.55269999999995</v>
      </c>
      <c r="AF1219">
        <v>3.41847612186525</v>
      </c>
      <c r="AG1219">
        <v>-1.1603479999999999</v>
      </c>
      <c r="AH1219">
        <v>97.763113298812499</v>
      </c>
      <c r="AI1219">
        <v>90.679594975083802</v>
      </c>
      <c r="AJ1219">
        <v>87.997358316390503</v>
      </c>
      <c r="AK1219">
        <v>97.829743474841607</v>
      </c>
      <c r="AL1219">
        <v>86.404844151844401</v>
      </c>
      <c r="AM1219">
        <v>88.005660831197503</v>
      </c>
      <c r="AN1219">
        <v>1.00000000416465</v>
      </c>
    </row>
    <row r="1220" spans="1:40" x14ac:dyDescent="0.25">
      <c r="A1220" t="str">
        <f>"20190312153912645"</f>
        <v>20190312153912645</v>
      </c>
      <c r="B1220" t="str">
        <f>"1552376352637549"</f>
        <v>1552376352637549</v>
      </c>
      <c r="C1220" t="s">
        <v>40</v>
      </c>
      <c r="D1220">
        <v>3.990694</v>
      </c>
      <c r="E1220">
        <v>0.50005049999999995</v>
      </c>
      <c r="F1220" t="s">
        <v>43</v>
      </c>
      <c r="G1220">
        <v>-158.79740000000001</v>
      </c>
      <c r="H1220">
        <v>-0.05</v>
      </c>
      <c r="I1220">
        <v>366.54739999999998</v>
      </c>
      <c r="J1220">
        <v>-260.91520000000003</v>
      </c>
      <c r="K1220">
        <v>1.11032999999999</v>
      </c>
      <c r="L1220">
        <v>368.03480000000002</v>
      </c>
      <c r="M1220">
        <v>0.99973789999999996</v>
      </c>
      <c r="N1220">
        <v>0</v>
      </c>
      <c r="O1220">
        <v>1.9163119999999999E-2</v>
      </c>
      <c r="P1220">
        <v>0.99863869999999999</v>
      </c>
      <c r="Q1220">
        <v>4.9836869999999998E-2</v>
      </c>
      <c r="R1220">
        <v>-1.540648E-2</v>
      </c>
      <c r="S1220">
        <v>3.0051570000000001</v>
      </c>
      <c r="T1220">
        <v>-3.4072520000000002E-2</v>
      </c>
      <c r="U1220">
        <v>-4.3548580000000003E-2</v>
      </c>
      <c r="V1220">
        <v>3.4537329999999998E-2</v>
      </c>
      <c r="W1220">
        <v>6.234112E-2</v>
      </c>
      <c r="X1220">
        <v>0.99745709999999999</v>
      </c>
      <c r="Y1220">
        <v>3.364632E-2</v>
      </c>
      <c r="Z1220">
        <v>-4.0799309999999997E-4</v>
      </c>
      <c r="AA1220">
        <v>0.99943369999999998</v>
      </c>
      <c r="AB1220">
        <v>22</v>
      </c>
      <c r="AC1220">
        <v>102.1178</v>
      </c>
      <c r="AD1220">
        <v>-1.1603300000000001</v>
      </c>
      <c r="AE1220">
        <v>-1.48740000000003</v>
      </c>
      <c r="AF1220">
        <v>3.4437314986384</v>
      </c>
      <c r="AG1220">
        <v>-1.1603300000000001</v>
      </c>
      <c r="AH1220">
        <v>102.057365921501</v>
      </c>
      <c r="AI1220">
        <v>90.651019512307201</v>
      </c>
      <c r="AJ1220">
        <v>88.067396272626297</v>
      </c>
      <c r="AK1220">
        <v>102.12204263125</v>
      </c>
      <c r="AL1220">
        <v>86.425799078117606</v>
      </c>
      <c r="AM1220">
        <v>88.016904195480905</v>
      </c>
      <c r="AN1220">
        <v>0.99999995437339495</v>
      </c>
    </row>
    <row r="1221" spans="1:40" x14ac:dyDescent="0.25">
      <c r="A1221" t="str">
        <f>"20190312153912658"</f>
        <v>20190312153912658</v>
      </c>
      <c r="B1221" t="str">
        <f>"1552376352647308"</f>
        <v>1552376352647308</v>
      </c>
      <c r="C1221" t="s">
        <v>40</v>
      </c>
      <c r="D1221">
        <v>3.990281</v>
      </c>
      <c r="E1221">
        <v>0.49993680000000001</v>
      </c>
      <c r="F1221" t="s">
        <v>43</v>
      </c>
      <c r="G1221">
        <v>-159.44589999999999</v>
      </c>
      <c r="H1221">
        <v>-0.05</v>
      </c>
      <c r="I1221">
        <v>366.66329999999999</v>
      </c>
      <c r="J1221">
        <v>-260.7826</v>
      </c>
      <c r="K1221">
        <v>1.1103190000000001</v>
      </c>
      <c r="L1221">
        <v>368.03739999999999</v>
      </c>
      <c r="M1221">
        <v>0.99973800000000002</v>
      </c>
      <c r="N1221">
        <v>0</v>
      </c>
      <c r="O1221">
        <v>1.921227E-2</v>
      </c>
      <c r="P1221">
        <v>0.99863789999999997</v>
      </c>
      <c r="Q1221">
        <v>4.9792240000000001E-2</v>
      </c>
      <c r="R1221">
        <v>-1.5591570000000001E-2</v>
      </c>
      <c r="S1221">
        <v>3.0052189999999999</v>
      </c>
      <c r="T1221">
        <v>-3.4365529999999998E-2</v>
      </c>
      <c r="U1221">
        <v>-4.0618899999999999E-2</v>
      </c>
      <c r="V1221">
        <v>3.4771320000000001E-2</v>
      </c>
      <c r="W1221">
        <v>6.2210729999999999E-2</v>
      </c>
      <c r="X1221">
        <v>0.99745709999999999</v>
      </c>
      <c r="Y1221">
        <v>3.2721E-2</v>
      </c>
      <c r="Z1221">
        <v>-4.0676699999999999E-4</v>
      </c>
      <c r="AA1221">
        <v>0.99946449999999998</v>
      </c>
      <c r="AB1221">
        <v>22</v>
      </c>
      <c r="AC1221">
        <v>101.33669999999999</v>
      </c>
      <c r="AD1221">
        <v>-1.1603190000000001</v>
      </c>
      <c r="AE1221">
        <v>-1.3740999999999901</v>
      </c>
      <c r="AF1221">
        <v>3.3204698561716799</v>
      </c>
      <c r="AG1221">
        <v>-1.1603190000000001</v>
      </c>
      <c r="AH1221">
        <v>101.27831577696701</v>
      </c>
      <c r="AI1221">
        <v>90.6560414813178</v>
      </c>
      <c r="AJ1221">
        <v>88.122196391730995</v>
      </c>
      <c r="AK1221">
        <v>101.33937589538699</v>
      </c>
      <c r="AL1221">
        <v>86.433284363707003</v>
      </c>
      <c r="AM1221">
        <v>88.003479581661594</v>
      </c>
      <c r="AN1221">
        <v>0.999999942981041</v>
      </c>
    </row>
    <row r="1222" spans="1:40" x14ac:dyDescent="0.25">
      <c r="A1222" t="str">
        <f>"20190312153912670"</f>
        <v>20190312153912670</v>
      </c>
      <c r="B1222" t="str">
        <f>"1552376352666829"</f>
        <v>1552376352666829</v>
      </c>
      <c r="C1222" t="s">
        <v>40</v>
      </c>
      <c r="D1222">
        <v>4.0206400000000002</v>
      </c>
      <c r="E1222">
        <v>0.49969049999999998</v>
      </c>
      <c r="F1222" t="s">
        <v>43</v>
      </c>
      <c r="G1222">
        <v>-159.9085</v>
      </c>
      <c r="H1222">
        <v>-0.05</v>
      </c>
      <c r="I1222">
        <v>366.69349999999997</v>
      </c>
      <c r="J1222">
        <v>-260.65089999999998</v>
      </c>
      <c r="K1222">
        <v>1.1103099999999999</v>
      </c>
      <c r="L1222">
        <v>368.04</v>
      </c>
      <c r="M1222">
        <v>0.99973820000000002</v>
      </c>
      <c r="N1222">
        <v>0</v>
      </c>
      <c r="O1222">
        <v>1.926158E-2</v>
      </c>
      <c r="P1222">
        <v>0.99863360000000001</v>
      </c>
      <c r="Q1222">
        <v>4.9895229999999999E-2</v>
      </c>
      <c r="R1222">
        <v>-1.554173E-2</v>
      </c>
      <c r="S1222">
        <v>3.005188</v>
      </c>
      <c r="T1222">
        <v>-3.4567590000000002E-2</v>
      </c>
      <c r="U1222">
        <v>-4.0039060000000001E-2</v>
      </c>
      <c r="V1222">
        <v>3.4770330000000002E-2</v>
      </c>
      <c r="W1222">
        <v>6.2229760000000002E-2</v>
      </c>
      <c r="X1222">
        <v>0.99745600000000001</v>
      </c>
      <c r="Y1222">
        <v>3.257757E-2</v>
      </c>
      <c r="Z1222">
        <v>-4.0890510000000002E-4</v>
      </c>
      <c r="AA1222">
        <v>0.9994691</v>
      </c>
      <c r="AB1222">
        <v>22</v>
      </c>
      <c r="AC1222">
        <v>100.74239999999899</v>
      </c>
      <c r="AD1222">
        <v>-1.16031</v>
      </c>
      <c r="AE1222">
        <v>-1.34650000000004</v>
      </c>
      <c r="AF1222">
        <v>3.2864200713634801</v>
      </c>
      <c r="AG1222">
        <v>-1.16031</v>
      </c>
      <c r="AH1222">
        <v>100.684415676556</v>
      </c>
      <c r="AI1222">
        <v>90.659908889963404</v>
      </c>
      <c r="AJ1222">
        <v>88.130483561204301</v>
      </c>
      <c r="AK1222">
        <v>100.744719148505</v>
      </c>
      <c r="AL1222">
        <v>86.4321920955541</v>
      </c>
      <c r="AM1222">
        <v>88.0035341801416</v>
      </c>
      <c r="AN1222">
        <v>0.99999999540698303</v>
      </c>
    </row>
    <row r="1223" spans="1:40" x14ac:dyDescent="0.25">
      <c r="A1223" t="str">
        <f>"20190312153912690"</f>
        <v>20190312153912690</v>
      </c>
      <c r="B1223" t="str">
        <f>"1552376352677566"</f>
        <v>1552376352677566</v>
      </c>
      <c r="C1223" t="s">
        <v>40</v>
      </c>
      <c r="D1223">
        <v>4.017449</v>
      </c>
      <c r="E1223">
        <v>0.49957889999999999</v>
      </c>
      <c r="F1223" t="s">
        <v>43</v>
      </c>
      <c r="G1223">
        <v>-159.69890000000001</v>
      </c>
      <c r="H1223">
        <v>-0.05</v>
      </c>
      <c r="I1223">
        <v>366.76670000000001</v>
      </c>
      <c r="J1223">
        <v>-260.46839999999997</v>
      </c>
      <c r="K1223">
        <v>1.1102970000000001</v>
      </c>
      <c r="L1223">
        <v>368.04360000000003</v>
      </c>
      <c r="M1223">
        <v>0.99973829999999997</v>
      </c>
      <c r="N1223">
        <v>0</v>
      </c>
      <c r="O1223">
        <v>1.9331129999999998E-2</v>
      </c>
      <c r="P1223">
        <v>0.99863440000000003</v>
      </c>
      <c r="Q1223">
        <v>4.9883139999999999E-2</v>
      </c>
      <c r="R1223">
        <v>-1.55277E-2</v>
      </c>
      <c r="S1223">
        <v>3.0052490000000001</v>
      </c>
      <c r="T1223">
        <v>-3.4541370000000002E-2</v>
      </c>
      <c r="U1223">
        <v>-3.7902829999999998E-2</v>
      </c>
      <c r="V1223">
        <v>3.4825670000000003E-2</v>
      </c>
      <c r="W1223">
        <v>6.2098889999999997E-2</v>
      </c>
      <c r="X1223">
        <v>0.99746219999999997</v>
      </c>
      <c r="Y1223">
        <v>3.1936510000000001E-2</v>
      </c>
      <c r="Z1223">
        <v>-4.0570329999999998E-4</v>
      </c>
      <c r="AA1223">
        <v>0.99948979999999998</v>
      </c>
      <c r="AB1223">
        <v>22</v>
      </c>
      <c r="AC1223">
        <v>100.769499999999</v>
      </c>
      <c r="AD1223">
        <v>-1.1602969999999999</v>
      </c>
      <c r="AE1223">
        <v>-1.2769000000000099</v>
      </c>
      <c r="AF1223">
        <v>3.22436800612964</v>
      </c>
      <c r="AG1223">
        <v>-1.1602969999999999</v>
      </c>
      <c r="AH1223">
        <v>100.712630845687</v>
      </c>
      <c r="AI1223">
        <v>90.659729959084501</v>
      </c>
      <c r="AJ1223">
        <v>88.166271742264499</v>
      </c>
      <c r="AK1223">
        <v>100.77091271803999</v>
      </c>
      <c r="AL1223">
        <v>86.439704833786806</v>
      </c>
      <c r="AM1223">
        <v>88.000371628183899</v>
      </c>
      <c r="AN1223">
        <v>0.99999996992951001</v>
      </c>
    </row>
    <row r="1224" spans="1:40" x14ac:dyDescent="0.25">
      <c r="A1224" t="str">
        <f>"20190312153912704"</f>
        <v>20190312153912704</v>
      </c>
      <c r="B1224" t="str">
        <f>"1552376352697085"</f>
        <v>1552376352697085</v>
      </c>
      <c r="C1224" t="s">
        <v>40</v>
      </c>
      <c r="D1224">
        <v>3.9975200000000002</v>
      </c>
      <c r="E1224">
        <v>0.49938159999999998</v>
      </c>
      <c r="F1224" t="s">
        <v>43</v>
      </c>
      <c r="G1224">
        <v>-160.11089999999999</v>
      </c>
      <c r="H1224">
        <v>-0.05</v>
      </c>
      <c r="I1224">
        <v>366.79419999999999</v>
      </c>
      <c r="J1224">
        <v>-260.32190000000003</v>
      </c>
      <c r="K1224">
        <v>1.110287</v>
      </c>
      <c r="L1224">
        <v>368.04640000000001</v>
      </c>
      <c r="M1224">
        <v>0.99973829999999997</v>
      </c>
      <c r="N1224">
        <v>0</v>
      </c>
      <c r="O1224">
        <v>1.9387830000000002E-2</v>
      </c>
      <c r="P1224">
        <v>0.99862340000000005</v>
      </c>
      <c r="Q1224">
        <v>5.0108270000000003E-2</v>
      </c>
      <c r="R1224">
        <v>-1.550785E-2</v>
      </c>
      <c r="S1224">
        <v>3.0052490000000001</v>
      </c>
      <c r="T1224">
        <v>-3.4745570000000003E-2</v>
      </c>
      <c r="U1224">
        <v>-3.7414549999999998E-2</v>
      </c>
      <c r="V1224">
        <v>3.4861980000000001E-2</v>
      </c>
      <c r="W1224">
        <v>6.2226429999999999E-2</v>
      </c>
      <c r="X1224">
        <v>0.99745300000000003</v>
      </c>
      <c r="Y1224">
        <v>3.183076E-2</v>
      </c>
      <c r="Z1224">
        <v>-4.0814600000000002E-4</v>
      </c>
      <c r="AA1224">
        <v>0.99949319999999997</v>
      </c>
      <c r="AB1224">
        <v>22</v>
      </c>
      <c r="AC1224">
        <v>100.211</v>
      </c>
      <c r="AD1224">
        <v>-1.1602870000000001</v>
      </c>
      <c r="AE1224">
        <v>-1.25220000000001</v>
      </c>
      <c r="AF1224">
        <v>3.1945534839957102</v>
      </c>
      <c r="AG1224">
        <v>-1.1602870000000001</v>
      </c>
      <c r="AH1224">
        <v>100.15445753082599</v>
      </c>
      <c r="AI1224">
        <v>90.663403197331903</v>
      </c>
      <c r="AJ1224">
        <v>88.173097802443607</v>
      </c>
      <c r="AK1224">
        <v>100.21210905463801</v>
      </c>
      <c r="AL1224">
        <v>86.432383229972402</v>
      </c>
      <c r="AM1224">
        <v>87.998270019617394</v>
      </c>
      <c r="AN1224">
        <v>0.99999998672453205</v>
      </c>
    </row>
    <row r="1225" spans="1:40" x14ac:dyDescent="0.25">
      <c r="A1225" t="str">
        <f>"20190312153912717"</f>
        <v>20190312153912717</v>
      </c>
      <c r="B1225" t="str">
        <f>"1552376352707353"</f>
        <v>1552376352707353</v>
      </c>
      <c r="C1225" t="s">
        <v>40</v>
      </c>
      <c r="D1225">
        <v>4.0148960000000002</v>
      </c>
      <c r="E1225">
        <v>0.49930409999999997</v>
      </c>
      <c r="F1225" t="s">
        <v>43</v>
      </c>
      <c r="G1225">
        <v>-158.46289999999999</v>
      </c>
      <c r="H1225">
        <v>-0.05</v>
      </c>
      <c r="I1225">
        <v>366.8415</v>
      </c>
      <c r="J1225">
        <v>-260.19009999999997</v>
      </c>
      <c r="K1225">
        <v>1.110274</v>
      </c>
      <c r="L1225">
        <v>368.04910000000001</v>
      </c>
      <c r="M1225">
        <v>0.99973849999999997</v>
      </c>
      <c r="N1225">
        <v>0</v>
      </c>
      <c r="O1225">
        <v>1.9439109999999999E-2</v>
      </c>
      <c r="P1225">
        <v>0.99862439999999997</v>
      </c>
      <c r="Q1225">
        <v>5.0135440000000003E-2</v>
      </c>
      <c r="R1225">
        <v>-1.536793E-2</v>
      </c>
      <c r="S1225">
        <v>3.0053100000000001</v>
      </c>
      <c r="T1225">
        <v>-3.4233810000000003E-2</v>
      </c>
      <c r="U1225">
        <v>-3.5552979999999998E-2</v>
      </c>
      <c r="V1225">
        <v>3.477305E-2</v>
      </c>
      <c r="W1225">
        <v>6.2164079999999997E-2</v>
      </c>
      <c r="X1225">
        <v>0.99746000000000001</v>
      </c>
      <c r="Y1225">
        <v>3.1262869999999998E-2</v>
      </c>
      <c r="Z1225">
        <v>-3.994774E-4</v>
      </c>
      <c r="AA1225">
        <v>0.99951109999999999</v>
      </c>
      <c r="AB1225">
        <v>22</v>
      </c>
      <c r="AC1225">
        <v>101.727199999999</v>
      </c>
      <c r="AD1225">
        <v>-1.160274</v>
      </c>
      <c r="AE1225">
        <v>-1.20760000000001</v>
      </c>
      <c r="AF1225">
        <v>3.1845872207071402</v>
      </c>
      <c r="AG1225">
        <v>-1.160274</v>
      </c>
      <c r="AH1225">
        <v>101.671274092329</v>
      </c>
      <c r="AI1225">
        <v>90.653511382312303</v>
      </c>
      <c r="AJ1225">
        <v>88.205945850157093</v>
      </c>
      <c r="AK1225">
        <v>101.72775337674</v>
      </c>
      <c r="AL1225">
        <v>86.435962579983894</v>
      </c>
      <c r="AM1225">
        <v>88.003386128128</v>
      </c>
      <c r="AN1225">
        <v>0.99999999472427403</v>
      </c>
    </row>
    <row r="1226" spans="1:40" x14ac:dyDescent="0.25">
      <c r="A1226" t="str">
        <f>"20190312153912728"</f>
        <v>20190312153912728</v>
      </c>
      <c r="B1226" t="str">
        <f>"1552376352717114"</f>
        <v>1552376352717114</v>
      </c>
      <c r="C1226" t="s">
        <v>40</v>
      </c>
      <c r="D1226">
        <v>4.005649</v>
      </c>
      <c r="E1226">
        <v>0.4992202</v>
      </c>
      <c r="F1226" t="s">
        <v>43</v>
      </c>
      <c r="G1226">
        <v>-158.47149999999999</v>
      </c>
      <c r="H1226">
        <v>-0.05</v>
      </c>
      <c r="I1226">
        <v>366.88400000000001</v>
      </c>
      <c r="J1226">
        <v>-260.07479999999998</v>
      </c>
      <c r="K1226">
        <v>1.110266</v>
      </c>
      <c r="L1226">
        <v>368.0514</v>
      </c>
      <c r="M1226">
        <v>0.99973860000000003</v>
      </c>
      <c r="N1226">
        <v>0</v>
      </c>
      <c r="O1226">
        <v>1.9485200000000001E-2</v>
      </c>
      <c r="P1226">
        <v>0.9986024</v>
      </c>
      <c r="Q1226">
        <v>5.0587069999999998E-2</v>
      </c>
      <c r="R1226">
        <v>-1.531822E-2</v>
      </c>
      <c r="S1226">
        <v>3.005341</v>
      </c>
      <c r="T1226">
        <v>-3.4281020000000002E-2</v>
      </c>
      <c r="U1226">
        <v>-3.4423830000000002E-2</v>
      </c>
      <c r="V1226">
        <v>3.4768760000000003E-2</v>
      </c>
      <c r="W1226">
        <v>6.2535289999999993E-2</v>
      </c>
      <c r="X1226">
        <v>0.99743689999999996</v>
      </c>
      <c r="Y1226">
        <v>3.0933329999999998E-2</v>
      </c>
      <c r="Z1226">
        <v>-3.986708E-4</v>
      </c>
      <c r="AA1226">
        <v>0.9995214</v>
      </c>
      <c r="AB1226">
        <v>22</v>
      </c>
      <c r="AC1226">
        <v>101.6033</v>
      </c>
      <c r="AD1226">
        <v>-1.160266</v>
      </c>
      <c r="AE1226">
        <v>-1.16739999999998</v>
      </c>
      <c r="AF1226">
        <v>3.1466702870576801</v>
      </c>
      <c r="AG1226">
        <v>-1.160266</v>
      </c>
      <c r="AH1226">
        <v>101.54801796135</v>
      </c>
      <c r="AI1226">
        <v>90.654306845349893</v>
      </c>
      <c r="AJ1226">
        <v>88.225142558424196</v>
      </c>
      <c r="AK1226">
        <v>101.603384308619</v>
      </c>
      <c r="AL1226">
        <v>86.414652188534703</v>
      </c>
      <c r="AM1226">
        <v>88.0035860566678</v>
      </c>
      <c r="AN1226">
        <v>0.99999994932446401</v>
      </c>
    </row>
    <row r="1227" spans="1:40" x14ac:dyDescent="0.25">
      <c r="A1227" t="str">
        <f>"20190312153912741"</f>
        <v>20190312153912741</v>
      </c>
      <c r="B1227" t="str">
        <f>"1552376352737609"</f>
        <v>1552376352737609</v>
      </c>
      <c r="C1227" t="s">
        <v>40</v>
      </c>
      <c r="D1227">
        <v>4.00495</v>
      </c>
      <c r="E1227">
        <v>0.49908360000000002</v>
      </c>
      <c r="F1227" t="s">
        <v>43</v>
      </c>
      <c r="G1227">
        <v>-154.15960000000001</v>
      </c>
      <c r="H1227">
        <v>-0.05</v>
      </c>
      <c r="I1227">
        <v>366.86399999999998</v>
      </c>
      <c r="J1227">
        <v>-259.95490000000001</v>
      </c>
      <c r="K1227">
        <v>1.110258</v>
      </c>
      <c r="L1227">
        <v>368.05369999999999</v>
      </c>
      <c r="M1227">
        <v>0.99973860000000003</v>
      </c>
      <c r="N1227">
        <v>0</v>
      </c>
      <c r="O1227">
        <v>1.9532899999999999E-2</v>
      </c>
      <c r="P1227">
        <v>0.9985889</v>
      </c>
      <c r="Q1227">
        <v>5.0862699999999997E-2</v>
      </c>
      <c r="R1227">
        <v>-1.527129E-2</v>
      </c>
      <c r="S1227">
        <v>3.0053709999999998</v>
      </c>
      <c r="T1227">
        <v>-3.2922859999999998E-2</v>
      </c>
      <c r="U1227">
        <v>-3.3691409999999998E-2</v>
      </c>
      <c r="V1227">
        <v>3.4769269999999998E-2</v>
      </c>
      <c r="W1227">
        <v>6.2728039999999999E-2</v>
      </c>
      <c r="X1227">
        <v>0.9974248</v>
      </c>
      <c r="Y1227">
        <v>3.07376E-2</v>
      </c>
      <c r="Z1227">
        <v>-3.8232419999999998E-4</v>
      </c>
      <c r="AA1227">
        <v>0.99952739999999995</v>
      </c>
      <c r="AB1227">
        <v>22</v>
      </c>
      <c r="AC1227">
        <v>105.7953</v>
      </c>
      <c r="AD1227">
        <v>-1.160258</v>
      </c>
      <c r="AE1227">
        <v>-1.18969999999995</v>
      </c>
      <c r="AF1227">
        <v>3.2557163803301998</v>
      </c>
      <c r="AG1227">
        <v>-1.160258</v>
      </c>
      <c r="AH1227">
        <v>105.73915683124</v>
      </c>
      <c r="AI1227">
        <v>90.628373966572497</v>
      </c>
      <c r="AJ1227">
        <v>88.236415922551998</v>
      </c>
      <c r="AK1227">
        <v>105.79562928191901</v>
      </c>
      <c r="AL1227">
        <v>86.403586777579406</v>
      </c>
      <c r="AM1227">
        <v>88.003532596553299</v>
      </c>
      <c r="AN1227">
        <v>0.99999997039680599</v>
      </c>
    </row>
    <row r="1228" spans="1:40" x14ac:dyDescent="0.25">
      <c r="A1228" t="str">
        <f>"20190312153912753"</f>
        <v>20190312153912753</v>
      </c>
      <c r="B1228" t="str">
        <f>"1552376352747369"</f>
        <v>1552376352747369</v>
      </c>
      <c r="C1228" t="s">
        <v>40</v>
      </c>
      <c r="D1228">
        <v>4.013776</v>
      </c>
      <c r="E1228">
        <v>0.4990192</v>
      </c>
      <c r="F1228" t="s">
        <v>43</v>
      </c>
      <c r="G1228">
        <v>-151.7321</v>
      </c>
      <c r="H1228">
        <v>-0.05</v>
      </c>
      <c r="I1228">
        <v>366.87779999999998</v>
      </c>
      <c r="J1228">
        <v>-259.82709999999997</v>
      </c>
      <c r="K1228">
        <v>1.110252</v>
      </c>
      <c r="L1228">
        <v>368.05630000000002</v>
      </c>
      <c r="M1228">
        <v>0.99973869999999998</v>
      </c>
      <c r="N1228">
        <v>0</v>
      </c>
      <c r="O1228">
        <v>1.9583489999999999E-2</v>
      </c>
      <c r="P1228">
        <v>0.99856719999999999</v>
      </c>
      <c r="Q1228">
        <v>5.1373229999999999E-2</v>
      </c>
      <c r="R1228">
        <v>-1.499312E-2</v>
      </c>
      <c r="S1228">
        <v>3.0054020000000001</v>
      </c>
      <c r="T1228">
        <v>-3.222096E-2</v>
      </c>
      <c r="U1228">
        <v>-3.2653809999999998E-2</v>
      </c>
      <c r="V1228">
        <v>3.4541240000000001E-2</v>
      </c>
      <c r="W1228">
        <v>6.3151570000000004E-2</v>
      </c>
      <c r="X1228">
        <v>0.99740600000000001</v>
      </c>
      <c r="Y1228">
        <v>3.044314E-2</v>
      </c>
      <c r="Z1228">
        <v>-3.7313409999999999E-4</v>
      </c>
      <c r="AA1228">
        <v>0.99953650000000005</v>
      </c>
      <c r="AB1228">
        <v>22</v>
      </c>
      <c r="AC1228">
        <v>108.094999999999</v>
      </c>
      <c r="AD1228">
        <v>-1.1602520000000001</v>
      </c>
      <c r="AE1228">
        <v>-1.1785000000000401</v>
      </c>
      <c r="AF1228">
        <v>3.29491890607712</v>
      </c>
      <c r="AG1228">
        <v>-1.1602520000000001</v>
      </c>
      <c r="AH1228">
        <v>108.038740701675</v>
      </c>
      <c r="AI1228">
        <v>90.615002512539803</v>
      </c>
      <c r="AJ1228">
        <v>88.253159479284804</v>
      </c>
      <c r="AK1228">
        <v>108.095199559023</v>
      </c>
      <c r="AL1228">
        <v>86.379272098098795</v>
      </c>
      <c r="AM1228">
        <v>88.016578336753099</v>
      </c>
      <c r="AN1228">
        <v>0.99999997344510005</v>
      </c>
    </row>
    <row r="1229" spans="1:40" x14ac:dyDescent="0.25">
      <c r="A1229" t="str">
        <f>"20190312153912767"</f>
        <v>20190312153912767</v>
      </c>
      <c r="B1229" t="str">
        <f>"1552376352757130"</f>
        <v>1552376352757130</v>
      </c>
      <c r="C1229" t="s">
        <v>40</v>
      </c>
      <c r="D1229">
        <v>4.0125510000000002</v>
      </c>
      <c r="E1229">
        <v>0.49895459999999903</v>
      </c>
      <c r="F1229" t="s">
        <v>47</v>
      </c>
      <c r="G1229">
        <v>-158.19499999999999</v>
      </c>
      <c r="H1229">
        <v>7.2445389999999998E-2</v>
      </c>
      <c r="I1229">
        <v>367.00470000000001</v>
      </c>
      <c r="J1229">
        <v>-259.69</v>
      </c>
      <c r="K1229">
        <v>1.110239</v>
      </c>
      <c r="L1229">
        <v>368.0591</v>
      </c>
      <c r="M1229">
        <v>0.99973869999999998</v>
      </c>
      <c r="N1229">
        <v>0</v>
      </c>
      <c r="O1229">
        <v>1.963815E-2</v>
      </c>
      <c r="P1229">
        <v>0.99856029999999996</v>
      </c>
      <c r="Q1229">
        <v>5.1521989999999997E-2</v>
      </c>
      <c r="R1229">
        <v>-1.494433E-2</v>
      </c>
      <c r="S1229">
        <v>3.0054319999999999</v>
      </c>
      <c r="T1229">
        <v>-3.068709E-2</v>
      </c>
      <c r="U1229">
        <v>-3.1097409999999999E-2</v>
      </c>
      <c r="V1229">
        <v>3.4546680000000003E-2</v>
      </c>
      <c r="W1229">
        <v>6.321011E-2</v>
      </c>
      <c r="X1229">
        <v>0.99740209999999996</v>
      </c>
      <c r="Y1229">
        <v>2.9980389999999999E-2</v>
      </c>
      <c r="Z1229">
        <v>-3.5356480000000001E-4</v>
      </c>
      <c r="AA1229">
        <v>0.99955039999999995</v>
      </c>
      <c r="AB1229">
        <v>22</v>
      </c>
      <c r="AC1229">
        <v>101.495</v>
      </c>
      <c r="AD1229">
        <v>-1.03779361</v>
      </c>
      <c r="AE1229">
        <v>-1.05439999999998</v>
      </c>
      <c r="AF1229">
        <v>3.0471885345811698</v>
      </c>
      <c r="AG1229">
        <v>-1.03779361</v>
      </c>
      <c r="AH1229">
        <v>101.44411137650999</v>
      </c>
      <c r="AI1229">
        <v>90.585862641360293</v>
      </c>
      <c r="AJ1229">
        <v>88.279460897121695</v>
      </c>
      <c r="AK1229">
        <v>101.495172823697</v>
      </c>
      <c r="AL1229">
        <v>86.375911276339593</v>
      </c>
      <c r="AM1229">
        <v>88.016258460967194</v>
      </c>
      <c r="AN1229">
        <v>0.999999970094821</v>
      </c>
    </row>
    <row r="1230" spans="1:40" x14ac:dyDescent="0.25">
      <c r="A1230" t="str">
        <f>"20190312153912781"</f>
        <v>20190312153912781</v>
      </c>
      <c r="B1230" t="str">
        <f>"1552376352777627"</f>
        <v>1552376352777627</v>
      </c>
      <c r="C1230" t="s">
        <v>40</v>
      </c>
      <c r="D1230">
        <v>4.054989</v>
      </c>
      <c r="E1230">
        <v>0.49881350000000002</v>
      </c>
      <c r="F1230" t="s">
        <v>47</v>
      </c>
      <c r="G1230">
        <v>-158.19499999999999</v>
      </c>
      <c r="H1230">
        <v>8.4667329999999999E-2</v>
      </c>
      <c r="I1230">
        <v>367.03570000000002</v>
      </c>
      <c r="J1230">
        <v>-259.55059999999997</v>
      </c>
      <c r="K1230">
        <v>1.1102299999999901</v>
      </c>
      <c r="L1230">
        <v>368.06189999999998</v>
      </c>
      <c r="M1230">
        <v>0.99973860000000003</v>
      </c>
      <c r="N1230">
        <v>0</v>
      </c>
      <c r="O1230">
        <v>1.9693760000000001E-2</v>
      </c>
      <c r="P1230">
        <v>0.99855110000000002</v>
      </c>
      <c r="Q1230">
        <v>5.1781420000000002E-2</v>
      </c>
      <c r="R1230">
        <v>-1.465754E-2</v>
      </c>
      <c r="S1230">
        <v>3.0054630000000002</v>
      </c>
      <c r="T1230">
        <v>-3.0366540000000001E-2</v>
      </c>
      <c r="U1230">
        <v>-3.0303960000000001E-2</v>
      </c>
      <c r="V1230">
        <v>3.4315100000000001E-2</v>
      </c>
      <c r="W1230">
        <v>6.3379050000000006E-2</v>
      </c>
      <c r="X1230">
        <v>0.99739940000000005</v>
      </c>
      <c r="Y1230">
        <v>2.9772059999999999E-2</v>
      </c>
      <c r="Z1230">
        <v>-3.4937759999999999E-4</v>
      </c>
      <c r="AA1230">
        <v>0.99955669999999996</v>
      </c>
      <c r="AB1230">
        <v>22</v>
      </c>
      <c r="AC1230">
        <v>101.355599999999</v>
      </c>
      <c r="AD1230">
        <v>-1.02556266999999</v>
      </c>
      <c r="AE1230">
        <v>-1.02619999999996</v>
      </c>
      <c r="AF1230">
        <v>3.0218990881647199</v>
      </c>
      <c r="AG1230">
        <v>-1.02556266999999</v>
      </c>
      <c r="AH1230">
        <v>101.30535834346099</v>
      </c>
      <c r="AI1230">
        <v>90.579754948714694</v>
      </c>
      <c r="AJ1230">
        <v>88.291396034292703</v>
      </c>
      <c r="AK1230">
        <v>101.355608044085</v>
      </c>
      <c r="AL1230">
        <v>86.3662123758901</v>
      </c>
      <c r="AM1230">
        <v>88.029540413747299</v>
      </c>
      <c r="AN1230">
        <v>0.99999999659363603</v>
      </c>
    </row>
    <row r="1231" spans="1:40" x14ac:dyDescent="0.25">
      <c r="A1231" t="str">
        <f>"20190312153912800"</f>
        <v>20190312153912800</v>
      </c>
      <c r="B1231" t="str">
        <f>"1552376352797147"</f>
        <v>1552376352797147</v>
      </c>
      <c r="C1231" t="s">
        <v>40</v>
      </c>
      <c r="D1231">
        <v>4.0510999999999999</v>
      </c>
      <c r="E1231">
        <v>0.49869590000000003</v>
      </c>
      <c r="F1231" t="s">
        <v>47</v>
      </c>
      <c r="G1231">
        <v>-158.19499999999999</v>
      </c>
      <c r="H1231">
        <v>0.1042395</v>
      </c>
      <c r="I1231">
        <v>367.10789999999997</v>
      </c>
      <c r="J1231">
        <v>-259.35570000000001</v>
      </c>
      <c r="K1231">
        <v>1.1102129999999999</v>
      </c>
      <c r="L1231">
        <v>368.06580000000002</v>
      </c>
      <c r="M1231">
        <v>0.99973840000000003</v>
      </c>
      <c r="N1231">
        <v>0</v>
      </c>
      <c r="O1231">
        <v>1.977189E-2</v>
      </c>
      <c r="P1231">
        <v>0.99853069999999999</v>
      </c>
      <c r="Q1231">
        <v>5.2220559999999999E-2</v>
      </c>
      <c r="R1231">
        <v>-1.448472E-2</v>
      </c>
      <c r="S1231">
        <v>3.005493</v>
      </c>
      <c r="T1231">
        <v>-2.9827949999999999E-2</v>
      </c>
      <c r="U1231">
        <v>-2.8289789999999999E-2</v>
      </c>
      <c r="V1231">
        <v>3.421983E-2</v>
      </c>
      <c r="W1231">
        <v>6.3698359999999996E-2</v>
      </c>
      <c r="X1231">
        <v>0.99738230000000005</v>
      </c>
      <c r="Y1231">
        <v>2.9180359999999999E-2</v>
      </c>
      <c r="Z1231">
        <v>-3.4101759999999998E-4</v>
      </c>
      <c r="AA1231">
        <v>0.99957410000000002</v>
      </c>
      <c r="AB1231">
        <v>22</v>
      </c>
      <c r="AC1231">
        <v>101.16070000000001</v>
      </c>
      <c r="AD1231">
        <v>-1.0059735000000001</v>
      </c>
      <c r="AE1231">
        <v>-0.95790000000005204</v>
      </c>
      <c r="AF1231">
        <v>2.9576907232209599</v>
      </c>
      <c r="AG1231">
        <v>-1.0059735000000001</v>
      </c>
      <c r="AH1231">
        <v>101.11198345041301</v>
      </c>
      <c r="AI1231">
        <v>90.569779083198299</v>
      </c>
      <c r="AJ1231">
        <v>88.324482614432199</v>
      </c>
      <c r="AK1231">
        <v>101.160234847363</v>
      </c>
      <c r="AL1231">
        <v>86.347880102774397</v>
      </c>
      <c r="AM1231">
        <v>88.034973099635494</v>
      </c>
      <c r="AN1231">
        <v>0.99999996509260303</v>
      </c>
    </row>
    <row r="1232" spans="1:40" x14ac:dyDescent="0.25">
      <c r="A1232" t="str">
        <f>"20190312153912812"</f>
        <v>20190312153912812</v>
      </c>
      <c r="B1232" t="str">
        <f>"1552376352807413"</f>
        <v>1552376352807413</v>
      </c>
      <c r="C1232" t="s">
        <v>40</v>
      </c>
      <c r="D1232">
        <v>4.0465330000000002</v>
      </c>
      <c r="E1232">
        <v>0.49864370000000002</v>
      </c>
      <c r="F1232" t="s">
        <v>47</v>
      </c>
      <c r="G1232">
        <v>-158.19499999999999</v>
      </c>
      <c r="H1232">
        <v>0.1480938</v>
      </c>
      <c r="I1232">
        <v>367.15469999999999</v>
      </c>
      <c r="J1232">
        <v>-259.23320000000001</v>
      </c>
      <c r="K1232">
        <v>1.110206</v>
      </c>
      <c r="L1232">
        <v>368.06830000000002</v>
      </c>
      <c r="M1232">
        <v>0.99973829999999997</v>
      </c>
      <c r="N1232">
        <v>0</v>
      </c>
      <c r="O1232">
        <v>1.9820580000000001E-2</v>
      </c>
      <c r="P1232">
        <v>0.99850950000000005</v>
      </c>
      <c r="Q1232">
        <v>5.262199E-2</v>
      </c>
      <c r="R1232">
        <v>-1.448347E-2</v>
      </c>
      <c r="S1232">
        <v>3.0055239999999999</v>
      </c>
      <c r="T1232">
        <v>-2.858233E-2</v>
      </c>
      <c r="U1232">
        <v>-2.7069090000000001E-2</v>
      </c>
      <c r="V1232">
        <v>3.4266940000000003E-2</v>
      </c>
      <c r="W1232">
        <v>6.4029089999999997E-2</v>
      </c>
      <c r="X1232">
        <v>0.99735949999999995</v>
      </c>
      <c r="Y1232">
        <v>2.8823189999999999E-2</v>
      </c>
      <c r="Z1232">
        <v>-3.2553909999999999E-4</v>
      </c>
      <c r="AA1232">
        <v>0.99958449999999999</v>
      </c>
      <c r="AB1232">
        <v>22</v>
      </c>
      <c r="AC1232">
        <v>101.0382</v>
      </c>
      <c r="AD1232">
        <v>-0.96211219999999997</v>
      </c>
      <c r="AE1232">
        <v>-0.91360000000003005</v>
      </c>
      <c r="AF1232">
        <v>2.9159225144186798</v>
      </c>
      <c r="AG1232">
        <v>-0.96211219999999997</v>
      </c>
      <c r="AH1232">
        <v>100.991083032446</v>
      </c>
      <c r="AI1232">
        <v>90.545596087262396</v>
      </c>
      <c r="AJ1232">
        <v>88.346154477764003</v>
      </c>
      <c r="AK1232">
        <v>101.03775094518799</v>
      </c>
      <c r="AL1232">
        <v>86.328891887787194</v>
      </c>
      <c r="AM1232">
        <v>88.032225049896596</v>
      </c>
      <c r="AN1232">
        <v>0.99999995989171997</v>
      </c>
    </row>
    <row r="1233" spans="1:40" x14ac:dyDescent="0.25">
      <c r="A1233" t="str">
        <f>"20190312153912824"</f>
        <v>20190312153912824</v>
      </c>
      <c r="B1233" t="str">
        <f>"1552376352817173"</f>
        <v>1552376352817173</v>
      </c>
      <c r="C1233" t="s">
        <v>40</v>
      </c>
      <c r="D1233">
        <v>4.0651970000000004</v>
      </c>
      <c r="E1233">
        <v>0.4986022</v>
      </c>
      <c r="F1233" t="s">
        <v>47</v>
      </c>
      <c r="G1233">
        <v>-158.19499999999999</v>
      </c>
      <c r="H1233">
        <v>0.1838775</v>
      </c>
      <c r="I1233">
        <v>367.1737</v>
      </c>
      <c r="J1233">
        <v>-259.11160000000001</v>
      </c>
      <c r="K1233">
        <v>1.1101989999999999</v>
      </c>
      <c r="L1233">
        <v>368.07069999999999</v>
      </c>
      <c r="M1233">
        <v>0.99973800000000002</v>
      </c>
      <c r="N1233">
        <v>0</v>
      </c>
      <c r="O1233">
        <v>1.9868839999999999E-2</v>
      </c>
      <c r="P1233">
        <v>0.99850340000000004</v>
      </c>
      <c r="Q1233">
        <v>5.2768990000000002E-2</v>
      </c>
      <c r="R1233">
        <v>-1.437416E-2</v>
      </c>
      <c r="S1233">
        <v>3.0055540000000001</v>
      </c>
      <c r="T1233">
        <v>-2.75526E-2</v>
      </c>
      <c r="U1233">
        <v>-2.6611329999999999E-2</v>
      </c>
      <c r="V1233">
        <v>3.4205520000000003E-2</v>
      </c>
      <c r="W1233">
        <v>6.410855E-2</v>
      </c>
      <c r="X1233">
        <v>0.99735649999999998</v>
      </c>
      <c r="Y1233">
        <v>2.871926E-2</v>
      </c>
      <c r="Z1233">
        <v>-3.137743E-4</v>
      </c>
      <c r="AA1233">
        <v>0.99958749999999996</v>
      </c>
      <c r="AB1233">
        <v>22</v>
      </c>
      <c r="AC1233">
        <v>100.9166</v>
      </c>
      <c r="AD1233">
        <v>-0.92632150000000002</v>
      </c>
      <c r="AE1233">
        <v>-0.89699999999999103</v>
      </c>
      <c r="AF1233">
        <v>2.9018037122581801</v>
      </c>
      <c r="AG1233">
        <v>-0.92632150000000002</v>
      </c>
      <c r="AH1233">
        <v>100.87035428500801</v>
      </c>
      <c r="AI1233">
        <v>90.525931278908601</v>
      </c>
      <c r="AJ1233">
        <v>88.352189154632597</v>
      </c>
      <c r="AK1233">
        <v>100.916336189384</v>
      </c>
      <c r="AL1233">
        <v>86.324329777501006</v>
      </c>
      <c r="AM1233">
        <v>88.035743416965005</v>
      </c>
      <c r="AN1233">
        <v>0.99999995593691005</v>
      </c>
    </row>
    <row r="1234" spans="1:40" x14ac:dyDescent="0.25">
      <c r="A1234" t="str">
        <f>"20190312153912836"</f>
        <v>20190312153912836</v>
      </c>
      <c r="B1234" t="str">
        <f>"1552376352826932"</f>
        <v>1552376352826932</v>
      </c>
      <c r="C1234" t="s">
        <v>40</v>
      </c>
      <c r="D1234">
        <v>4.048298</v>
      </c>
      <c r="E1234">
        <v>0.4985676</v>
      </c>
      <c r="F1234" t="s">
        <v>47</v>
      </c>
      <c r="G1234">
        <v>-158.19499999999999</v>
      </c>
      <c r="H1234">
        <v>0.1935424</v>
      </c>
      <c r="I1234">
        <v>367.20589999999999</v>
      </c>
      <c r="J1234">
        <v>-258.9905</v>
      </c>
      <c r="K1234">
        <v>1.1101970000000001</v>
      </c>
      <c r="L1234">
        <v>368.07319999999999</v>
      </c>
      <c r="M1234">
        <v>0.99973789999999996</v>
      </c>
      <c r="N1234">
        <v>0</v>
      </c>
      <c r="O1234">
        <v>1.991648E-2</v>
      </c>
      <c r="P1234">
        <v>0.99850419999999995</v>
      </c>
      <c r="Q1234">
        <v>5.2779470000000002E-2</v>
      </c>
      <c r="R1234">
        <v>-1.426914E-2</v>
      </c>
      <c r="S1234">
        <v>3.0055540000000001</v>
      </c>
      <c r="T1234">
        <v>-2.7297740000000001E-2</v>
      </c>
      <c r="U1234">
        <v>-2.575684E-2</v>
      </c>
      <c r="V1234">
        <v>3.4148310000000001E-2</v>
      </c>
      <c r="W1234">
        <v>6.4053830000000006E-2</v>
      </c>
      <c r="X1234">
        <v>0.99736199999999997</v>
      </c>
      <c r="Y1234">
        <v>2.8482759999999999E-2</v>
      </c>
      <c r="Z1234">
        <v>-3.1023070000000001E-4</v>
      </c>
      <c r="AA1234">
        <v>0.99959419999999999</v>
      </c>
      <c r="AB1234">
        <v>22</v>
      </c>
      <c r="AC1234">
        <v>100.7955</v>
      </c>
      <c r="AD1234">
        <v>-0.91665459999999999</v>
      </c>
      <c r="AE1234">
        <v>-0.86729999999999996</v>
      </c>
      <c r="AF1234">
        <v>2.8745097440751302</v>
      </c>
      <c r="AG1234">
        <v>-0.91665459999999999</v>
      </c>
      <c r="AH1234">
        <v>100.749897867939</v>
      </c>
      <c r="AI1234">
        <v>90.521068806375197</v>
      </c>
      <c r="AJ1234">
        <v>88.365729271112798</v>
      </c>
      <c r="AK1234">
        <v>100.795064275611</v>
      </c>
      <c r="AL1234">
        <v>86.3274715469596</v>
      </c>
      <c r="AM1234">
        <v>88.039036947246004</v>
      </c>
      <c r="AN1234">
        <v>0.99999997962876197</v>
      </c>
    </row>
    <row r="1235" spans="1:40" x14ac:dyDescent="0.25">
      <c r="A1235" t="str">
        <f>"20190312153912849"</f>
        <v>20190312153912849</v>
      </c>
      <c r="B1235" t="str">
        <f>"1552376352836692"</f>
        <v>1552376352836692</v>
      </c>
      <c r="C1235" t="s">
        <v>40</v>
      </c>
      <c r="D1235">
        <v>4.0605120000000001</v>
      </c>
      <c r="E1235">
        <v>0.49851590000000001</v>
      </c>
      <c r="F1235" t="s">
        <v>47</v>
      </c>
      <c r="G1235">
        <v>-158.19499999999999</v>
      </c>
      <c r="H1235">
        <v>0.19007650000000001</v>
      </c>
      <c r="I1235">
        <v>367.22480000000002</v>
      </c>
      <c r="J1235">
        <v>-258.87310000000002</v>
      </c>
      <c r="K1235">
        <v>1.1101909999999999</v>
      </c>
      <c r="L1235">
        <v>368.07560000000001</v>
      </c>
      <c r="M1235">
        <v>0.99973769999999995</v>
      </c>
      <c r="N1235">
        <v>0</v>
      </c>
      <c r="O1235">
        <v>1.99632E-2</v>
      </c>
      <c r="P1235">
        <v>0.99848939999999997</v>
      </c>
      <c r="Q1235">
        <v>5.3109980000000001E-2</v>
      </c>
      <c r="R1235">
        <v>-1.4093990000000001E-2</v>
      </c>
      <c r="S1235">
        <v>3.005585</v>
      </c>
      <c r="T1235">
        <v>-2.7434110000000001E-2</v>
      </c>
      <c r="U1235">
        <v>-2.529907E-2</v>
      </c>
      <c r="V1235">
        <v>3.4019130000000002E-2</v>
      </c>
      <c r="W1235">
        <v>6.4323630000000007E-2</v>
      </c>
      <c r="X1235">
        <v>0.99734909999999999</v>
      </c>
      <c r="Y1235">
        <v>2.8377119999999999E-2</v>
      </c>
      <c r="Z1235">
        <v>-3.1172159999999998E-4</v>
      </c>
      <c r="AA1235">
        <v>0.99959730000000002</v>
      </c>
      <c r="AB1235">
        <v>22</v>
      </c>
      <c r="AC1235">
        <v>100.6781</v>
      </c>
      <c r="AD1235">
        <v>-0.92011449999999995</v>
      </c>
      <c r="AE1235">
        <v>-0.85079999999999201</v>
      </c>
      <c r="AF1235">
        <v>2.8603752138215701</v>
      </c>
      <c r="AG1235">
        <v>-0.92011449999999995</v>
      </c>
      <c r="AH1235">
        <v>100.63264343442</v>
      </c>
      <c r="AI1235">
        <v>90.523646454505794</v>
      </c>
      <c r="AJ1235">
        <v>88.371867145679403</v>
      </c>
      <c r="AK1235">
        <v>100.677491435058</v>
      </c>
      <c r="AL1235">
        <v>86.311981382799004</v>
      </c>
      <c r="AM1235">
        <v>88.046424087960304</v>
      </c>
      <c r="AN1235">
        <v>1.00000002892657</v>
      </c>
    </row>
    <row r="1236" spans="1:40" x14ac:dyDescent="0.25">
      <c r="A1236" t="str">
        <f>"20190312153912868"</f>
        <v>20190312153912868</v>
      </c>
      <c r="B1236" t="str">
        <f>"1552376352857189"</f>
        <v>1552376352857189</v>
      </c>
      <c r="C1236" t="s">
        <v>40</v>
      </c>
      <c r="D1236">
        <v>4.0681599999999998</v>
      </c>
      <c r="E1236">
        <v>0.49844820000000001</v>
      </c>
      <c r="F1236" t="s">
        <v>47</v>
      </c>
      <c r="G1236">
        <v>-158.19499999999999</v>
      </c>
      <c r="H1236">
        <v>0.21916350000000001</v>
      </c>
      <c r="I1236">
        <v>367.27010000000001</v>
      </c>
      <c r="J1236">
        <v>-258.6746</v>
      </c>
      <c r="K1236">
        <v>1.1101829999999999</v>
      </c>
      <c r="L1236">
        <v>368.07960000000003</v>
      </c>
      <c r="M1236">
        <v>0.99973710000000005</v>
      </c>
      <c r="N1236">
        <v>0</v>
      </c>
      <c r="O1236">
        <v>2.0042020000000001E-2</v>
      </c>
      <c r="P1236">
        <v>0.99847379999999997</v>
      </c>
      <c r="Q1236">
        <v>5.3387129999999998E-2</v>
      </c>
      <c r="R1236">
        <v>-1.414428E-2</v>
      </c>
      <c r="S1236">
        <v>3.0056150000000001</v>
      </c>
      <c r="T1236">
        <v>-2.6597860000000001E-2</v>
      </c>
      <c r="U1236">
        <v>-2.4047849999999999E-2</v>
      </c>
      <c r="V1236">
        <v>3.4147829999999997E-2</v>
      </c>
      <c r="W1236">
        <v>6.4501589999999998E-2</v>
      </c>
      <c r="X1236">
        <v>0.99733320000000003</v>
      </c>
      <c r="Y1236">
        <v>2.8039850000000002E-2</v>
      </c>
      <c r="Z1236">
        <v>-3.014224E-4</v>
      </c>
      <c r="AA1236">
        <v>0.99960680000000002</v>
      </c>
      <c r="AB1236">
        <v>23</v>
      </c>
      <c r="AC1236">
        <v>100.4796</v>
      </c>
      <c r="AD1236">
        <v>-0.89101949999999897</v>
      </c>
      <c r="AE1236">
        <v>-0.80950000000001399</v>
      </c>
      <c r="AF1236">
        <v>2.82305447414315</v>
      </c>
      <c r="AG1236">
        <v>-0.89101949999999897</v>
      </c>
      <c r="AH1236">
        <v>100.43529272922601</v>
      </c>
      <c r="AI1236">
        <v>90.508089959985298</v>
      </c>
      <c r="AJ1236">
        <v>88.389943168763295</v>
      </c>
      <c r="AK1236">
        <v>100.47891111033501</v>
      </c>
      <c r="AL1236">
        <v>86.301763777064906</v>
      </c>
      <c r="AM1236">
        <v>88.0390079079326</v>
      </c>
      <c r="AN1236">
        <v>1.0000000206142301</v>
      </c>
    </row>
    <row r="1237" spans="1:40" x14ac:dyDescent="0.25">
      <c r="A1237" t="str">
        <f>"20190312153912890"</f>
        <v>20190312153912890</v>
      </c>
      <c r="B1237" t="str">
        <f>"1552376352887445"</f>
        <v>1552376352887445</v>
      </c>
      <c r="C1237" t="s">
        <v>40</v>
      </c>
      <c r="D1237">
        <v>4.0373460000000003</v>
      </c>
      <c r="E1237">
        <v>0.49838329999999997</v>
      </c>
      <c r="F1237" t="s">
        <v>47</v>
      </c>
      <c r="G1237">
        <v>-158.19499999999999</v>
      </c>
      <c r="H1237">
        <v>0.23485729999999999</v>
      </c>
      <c r="I1237">
        <v>367.27159999999998</v>
      </c>
      <c r="J1237">
        <v>-258.45069999999998</v>
      </c>
      <c r="K1237">
        <v>1.110171</v>
      </c>
      <c r="L1237">
        <v>368.08420000000001</v>
      </c>
      <c r="M1237">
        <v>0.99973670000000003</v>
      </c>
      <c r="N1237">
        <v>0</v>
      </c>
      <c r="O1237">
        <v>2.0130430000000001E-2</v>
      </c>
      <c r="P1237">
        <v>0.99846170000000001</v>
      </c>
      <c r="Q1237">
        <v>5.361523E-2</v>
      </c>
      <c r="R1237">
        <v>-1.413332E-2</v>
      </c>
      <c r="S1237">
        <v>3.005646</v>
      </c>
      <c r="T1237">
        <v>-2.618098E-2</v>
      </c>
      <c r="U1237">
        <v>-2.4169920000000001E-2</v>
      </c>
      <c r="V1237">
        <v>3.4224860000000003E-2</v>
      </c>
      <c r="W1237">
        <v>6.4621979999999996E-2</v>
      </c>
      <c r="X1237">
        <v>0.99732270000000001</v>
      </c>
      <c r="Y1237">
        <v>2.8168789999999999E-2</v>
      </c>
      <c r="Z1237">
        <v>-2.9802650000000002E-4</v>
      </c>
      <c r="AA1237">
        <v>0.99960320000000003</v>
      </c>
      <c r="AB1237">
        <v>23</v>
      </c>
      <c r="AC1237">
        <v>100.2557</v>
      </c>
      <c r="AD1237">
        <v>-0.87531369999999897</v>
      </c>
      <c r="AE1237">
        <v>-0.81260000000003096</v>
      </c>
      <c r="AF1237">
        <v>2.8305323293886202</v>
      </c>
      <c r="AG1237">
        <v>-0.87531369999999897</v>
      </c>
      <c r="AH1237">
        <v>100.21138465771099</v>
      </c>
      <c r="AI1237">
        <v>90.500247682677994</v>
      </c>
      <c r="AJ1237">
        <v>88.382075567400193</v>
      </c>
      <c r="AK1237">
        <v>100.255172945623</v>
      </c>
      <c r="AL1237">
        <v>86.294851272548698</v>
      </c>
      <c r="AM1237">
        <v>88.034567130126007</v>
      </c>
      <c r="AN1237">
        <v>0.99999995463821301</v>
      </c>
    </row>
    <row r="1238" spans="1:40" x14ac:dyDescent="0.25">
      <c r="A1238" t="str">
        <f>"20190312153912905"</f>
        <v>20190312153912905</v>
      </c>
      <c r="B1238" t="str">
        <f>"1552376352897205"</f>
        <v>1552376352897205</v>
      </c>
      <c r="C1238" t="s">
        <v>40</v>
      </c>
      <c r="D1238">
        <v>4.0515179999999997</v>
      </c>
      <c r="E1238">
        <v>0.49837969999999998</v>
      </c>
      <c r="F1238" t="s">
        <v>47</v>
      </c>
      <c r="G1238">
        <v>-158.19499999999999</v>
      </c>
      <c r="H1238">
        <v>0.25627179999999999</v>
      </c>
      <c r="I1238">
        <v>367.30549999999999</v>
      </c>
      <c r="J1238">
        <v>-258.30759999999998</v>
      </c>
      <c r="K1238">
        <v>1.110163</v>
      </c>
      <c r="L1238">
        <v>368.0872</v>
      </c>
      <c r="M1238">
        <v>0.99973619999999996</v>
      </c>
      <c r="N1238">
        <v>0</v>
      </c>
      <c r="O1238">
        <v>2.018702E-2</v>
      </c>
      <c r="P1238">
        <v>0.99845300000000003</v>
      </c>
      <c r="Q1238">
        <v>5.3779889999999997E-2</v>
      </c>
      <c r="R1238">
        <v>-1.412358E-2</v>
      </c>
      <c r="S1238">
        <v>3.0056919999999998</v>
      </c>
      <c r="T1238">
        <v>-2.5597450000000001E-2</v>
      </c>
      <c r="U1238">
        <v>-2.3345950000000001E-2</v>
      </c>
      <c r="V1238">
        <v>3.4271360000000001E-2</v>
      </c>
      <c r="W1238">
        <v>6.4717640000000007E-2</v>
      </c>
      <c r="X1238">
        <v>0.9973149</v>
      </c>
      <c r="Y1238">
        <v>2.795131E-2</v>
      </c>
      <c r="Z1238">
        <v>-2.9093579999999998E-4</v>
      </c>
      <c r="AA1238">
        <v>0.99960919999999998</v>
      </c>
      <c r="AB1238">
        <v>23</v>
      </c>
      <c r="AC1238">
        <v>100.1126</v>
      </c>
      <c r="AD1238">
        <v>-0.85389119999999996</v>
      </c>
      <c r="AE1238">
        <v>-0.78169999999999995</v>
      </c>
      <c r="AF1238">
        <v>2.80243316771816</v>
      </c>
      <c r="AG1238">
        <v>-0.85389119999999996</v>
      </c>
      <c r="AH1238">
        <v>100.06913610466</v>
      </c>
      <c r="AI1238">
        <v>90.488702150943197</v>
      </c>
      <c r="AJ1238">
        <v>88.395852684396203</v>
      </c>
      <c r="AK1238">
        <v>100.112011080459</v>
      </c>
      <c r="AL1238">
        <v>86.289358859981206</v>
      </c>
      <c r="AM1238">
        <v>88.031883490325299</v>
      </c>
      <c r="AN1238">
        <v>0.99999995440271305</v>
      </c>
    </row>
    <row r="1239" spans="1:40" x14ac:dyDescent="0.25">
      <c r="A1239" t="str">
        <f>"20190312153912919"</f>
        <v>20190312153912919</v>
      </c>
      <c r="B1239" t="str">
        <f>"1552376352907472"</f>
        <v>1552376352907472</v>
      </c>
      <c r="C1239" t="s">
        <v>40</v>
      </c>
      <c r="D1239">
        <v>4.0916169999999896</v>
      </c>
      <c r="E1239">
        <v>0.49836429999999998</v>
      </c>
      <c r="F1239" t="s">
        <v>47</v>
      </c>
      <c r="G1239">
        <v>-158.19499999999999</v>
      </c>
      <c r="H1239">
        <v>0.27923789999999998</v>
      </c>
      <c r="I1239">
        <v>367.30959999999999</v>
      </c>
      <c r="J1239">
        <v>-258.16849999999999</v>
      </c>
      <c r="K1239">
        <v>1.1101559999999999</v>
      </c>
      <c r="L1239">
        <v>368.09</v>
      </c>
      <c r="M1239">
        <v>0.99973590000000001</v>
      </c>
      <c r="N1239">
        <v>0</v>
      </c>
      <c r="O1239">
        <v>2.0242340000000001E-2</v>
      </c>
      <c r="P1239">
        <v>0.99847350000000001</v>
      </c>
      <c r="Q1239">
        <v>5.3438729999999997E-2</v>
      </c>
      <c r="R1239">
        <v>-1.398248E-2</v>
      </c>
      <c r="S1239">
        <v>3.0056609999999999</v>
      </c>
      <c r="T1239">
        <v>-2.4944069999999999E-2</v>
      </c>
      <c r="U1239">
        <v>-2.3345950000000001E-2</v>
      </c>
      <c r="V1239">
        <v>3.4185790000000001E-2</v>
      </c>
      <c r="W1239">
        <v>6.4309370000000005E-2</v>
      </c>
      <c r="X1239">
        <v>0.99734429999999996</v>
      </c>
      <c r="Y1239">
        <v>2.800677E-2</v>
      </c>
      <c r="Z1239">
        <v>-2.8420179999999999E-4</v>
      </c>
      <c r="AA1239">
        <v>0.99960769999999999</v>
      </c>
      <c r="AB1239">
        <v>23</v>
      </c>
      <c r="AC1239">
        <v>99.973500000000001</v>
      </c>
      <c r="AD1239">
        <v>-0.83091809999999899</v>
      </c>
      <c r="AE1239">
        <v>-0.78039999999998599</v>
      </c>
      <c r="AF1239">
        <v>2.8038637719367898</v>
      </c>
      <c r="AG1239">
        <v>-0.83091809999999899</v>
      </c>
      <c r="AH1239">
        <v>99.930312556503495</v>
      </c>
      <c r="AI1239">
        <v>90.476214616127294</v>
      </c>
      <c r="AJ1239">
        <v>88.392805761467898</v>
      </c>
      <c r="AK1239">
        <v>99.973093603133904</v>
      </c>
      <c r="AL1239">
        <v>86.312800038561804</v>
      </c>
      <c r="AM1239">
        <v>88.036851532993495</v>
      </c>
      <c r="AN1239">
        <v>1.0000000080250999</v>
      </c>
    </row>
    <row r="1240" spans="1:40" x14ac:dyDescent="0.25">
      <c r="A1240" t="str">
        <f>"20190312153912930"</f>
        <v>20190312153912930</v>
      </c>
      <c r="B1240" t="str">
        <f>"1552376352917232"</f>
        <v>1552376352917232</v>
      </c>
      <c r="C1240" t="s">
        <v>40</v>
      </c>
      <c r="D1240">
        <v>4.0905319999999996</v>
      </c>
      <c r="E1240">
        <v>0.49836000000000003</v>
      </c>
      <c r="F1240" t="s">
        <v>47</v>
      </c>
      <c r="G1240">
        <v>-158.19499999999999</v>
      </c>
      <c r="H1240">
        <v>0.25374170000000001</v>
      </c>
      <c r="I1240">
        <v>367.33280000000002</v>
      </c>
      <c r="J1240">
        <v>-258.0394</v>
      </c>
      <c r="K1240">
        <v>1.1101479999999999</v>
      </c>
      <c r="L1240">
        <v>368.09269999999998</v>
      </c>
      <c r="M1240">
        <v>0.9997355</v>
      </c>
      <c r="N1240">
        <v>0</v>
      </c>
      <c r="O1240">
        <v>2.0293530000000001E-2</v>
      </c>
      <c r="P1240">
        <v>0.9984615</v>
      </c>
      <c r="Q1240">
        <v>5.3677900000000001E-2</v>
      </c>
      <c r="R1240">
        <v>-1.3917590000000001E-2</v>
      </c>
      <c r="S1240">
        <v>3.0056150000000001</v>
      </c>
      <c r="T1240">
        <v>-2.5744679999999999E-2</v>
      </c>
      <c r="U1240">
        <v>-2.2766109999999999E-2</v>
      </c>
      <c r="V1240">
        <v>3.4171939999999998E-2</v>
      </c>
      <c r="W1240">
        <v>6.4485420000000002E-2</v>
      </c>
      <c r="X1240">
        <v>0.99733340000000004</v>
      </c>
      <c r="Y1240">
        <v>2.7865129999999998E-2</v>
      </c>
      <c r="Z1240">
        <v>-2.9315960000000002E-4</v>
      </c>
      <c r="AA1240">
        <v>0.99961169999999999</v>
      </c>
      <c r="AB1240">
        <v>23</v>
      </c>
      <c r="AC1240">
        <v>99.844399999999993</v>
      </c>
      <c r="AD1240">
        <v>-0.85640629999999995</v>
      </c>
      <c r="AE1240">
        <v>-0.75989999999995905</v>
      </c>
      <c r="AF1240">
        <v>2.7858525166172798</v>
      </c>
      <c r="AG1240">
        <v>-0.85640629999999995</v>
      </c>
      <c r="AH1240">
        <v>99.801072055760201</v>
      </c>
      <c r="AI1240">
        <v>90.491459227994994</v>
      </c>
      <c r="AJ1240">
        <v>88.401057724925906</v>
      </c>
      <c r="AK1240">
        <v>99.8436196733375</v>
      </c>
      <c r="AL1240">
        <v>86.302692109320205</v>
      </c>
      <c r="AM1240">
        <v>88.037624829149294</v>
      </c>
      <c r="AN1240">
        <v>1.0000000008157499</v>
      </c>
    </row>
    <row r="1241" spans="1:40" x14ac:dyDescent="0.25">
      <c r="A1241" t="str">
        <f>"20190312153912946"</f>
        <v>20190312153912946</v>
      </c>
      <c r="B1241" t="str">
        <f>"1552376352936753"</f>
        <v>1552376352936753</v>
      </c>
      <c r="C1241" t="s">
        <v>40</v>
      </c>
      <c r="D1241">
        <v>4.1061139999999998</v>
      </c>
      <c r="E1241">
        <v>0.49833620000000001</v>
      </c>
      <c r="F1241" t="s">
        <v>47</v>
      </c>
      <c r="G1241">
        <v>-158.19499999999999</v>
      </c>
      <c r="H1241">
        <v>0.28109919999999999</v>
      </c>
      <c r="I1241">
        <v>367.34359999999998</v>
      </c>
      <c r="J1241">
        <v>-257.8879</v>
      </c>
      <c r="K1241">
        <v>1.110142</v>
      </c>
      <c r="L1241">
        <v>368.0958</v>
      </c>
      <c r="M1241">
        <v>0.99973509999999999</v>
      </c>
      <c r="N1241">
        <v>0</v>
      </c>
      <c r="O1241">
        <v>2.035354E-2</v>
      </c>
      <c r="P1241">
        <v>0.99846120000000005</v>
      </c>
      <c r="Q1241">
        <v>5.3673709999999999E-2</v>
      </c>
      <c r="R1241">
        <v>-1.394013E-2</v>
      </c>
      <c r="S1241">
        <v>3.005646</v>
      </c>
      <c r="T1241">
        <v>-2.4954440000000001E-2</v>
      </c>
      <c r="U1241">
        <v>-2.2552490000000001E-2</v>
      </c>
      <c r="V1241">
        <v>3.4254310000000003E-2</v>
      </c>
      <c r="W1241">
        <v>6.4406909999999998E-2</v>
      </c>
      <c r="X1241">
        <v>0.99733570000000005</v>
      </c>
      <c r="Y1241">
        <v>2.7854090000000001E-2</v>
      </c>
      <c r="Z1241">
        <v>-2.846107E-4</v>
      </c>
      <c r="AA1241">
        <v>0.99961199999999995</v>
      </c>
      <c r="AB1241">
        <v>23</v>
      </c>
      <c r="AC1241">
        <v>99.692899999999995</v>
      </c>
      <c r="AD1241">
        <v>-0.82904279999999997</v>
      </c>
      <c r="AE1241">
        <v>-0.75220000000001597</v>
      </c>
      <c r="AF1241">
        <v>2.7810724266982501</v>
      </c>
      <c r="AG1241">
        <v>-0.82904279999999997</v>
      </c>
      <c r="AH1241">
        <v>99.650044004262796</v>
      </c>
      <c r="AI1241">
        <v>90.476478174631794</v>
      </c>
      <c r="AJ1241">
        <v>88.401381919122997</v>
      </c>
      <c r="AK1241">
        <v>99.692291306089899</v>
      </c>
      <c r="AL1241">
        <v>86.307199965097396</v>
      </c>
      <c r="AM1241">
        <v>88.032902852290505</v>
      </c>
      <c r="AN1241">
        <v>1.0000000531519</v>
      </c>
    </row>
    <row r="1242" spans="1:40" x14ac:dyDescent="0.25">
      <c r="A1242" t="str">
        <f>"20190312153912960"</f>
        <v>20190312153912960</v>
      </c>
      <c r="B1242" t="str">
        <f>"1552376352947488"</f>
        <v>1552376352947488</v>
      </c>
      <c r="C1242" t="s">
        <v>40</v>
      </c>
      <c r="D1242">
        <v>4.1205870000000004</v>
      </c>
      <c r="E1242">
        <v>0.49833620000000001</v>
      </c>
      <c r="F1242" t="s">
        <v>47</v>
      </c>
      <c r="G1242">
        <v>-158.19499999999999</v>
      </c>
      <c r="H1242">
        <v>0.27515460000000003</v>
      </c>
      <c r="I1242">
        <v>367.3458</v>
      </c>
      <c r="J1242">
        <v>-257.74590000000001</v>
      </c>
      <c r="K1242">
        <v>1.110133</v>
      </c>
      <c r="L1242">
        <v>368.09879999999998</v>
      </c>
      <c r="M1242">
        <v>0.99973460000000003</v>
      </c>
      <c r="N1242">
        <v>0</v>
      </c>
      <c r="O1242">
        <v>2.0409650000000001E-2</v>
      </c>
      <c r="P1242">
        <v>0.99845629999999996</v>
      </c>
      <c r="Q1242">
        <v>5.3776350000000001E-2</v>
      </c>
      <c r="R1242">
        <v>-1.389982E-2</v>
      </c>
      <c r="S1242">
        <v>3.0056609999999999</v>
      </c>
      <c r="T1242">
        <v>-2.5171519999999999E-2</v>
      </c>
      <c r="U1242">
        <v>-2.261353E-2</v>
      </c>
      <c r="V1242">
        <v>3.426995E-2</v>
      </c>
      <c r="W1242">
        <v>6.4441639999999994E-2</v>
      </c>
      <c r="X1242">
        <v>0.99733289999999997</v>
      </c>
      <c r="Y1242">
        <v>2.7930409999999999E-2</v>
      </c>
      <c r="Z1242">
        <v>-2.8787419999999999E-4</v>
      </c>
      <c r="AA1242">
        <v>0.99960979999999999</v>
      </c>
      <c r="AB1242">
        <v>23</v>
      </c>
      <c r="AC1242">
        <v>99.550899999999999</v>
      </c>
      <c r="AD1242">
        <v>-0.83497840000000001</v>
      </c>
      <c r="AE1242">
        <v>-0.75299999999998501</v>
      </c>
      <c r="AF1242">
        <v>2.78456227950395</v>
      </c>
      <c r="AG1242">
        <v>-0.83497840000000001</v>
      </c>
      <c r="AH1242">
        <v>99.507792066665701</v>
      </c>
      <c r="AI1242">
        <v>90.480574390788703</v>
      </c>
      <c r="AJ1242">
        <v>88.397089935212406</v>
      </c>
      <c r="AK1242">
        <v>99.550246900746998</v>
      </c>
      <c r="AL1242">
        <v>86.305205869274104</v>
      </c>
      <c r="AM1242">
        <v>88.031999890785499</v>
      </c>
      <c r="AN1242">
        <v>1.0000000339306501</v>
      </c>
    </row>
    <row r="1243" spans="1:40" x14ac:dyDescent="0.25">
      <c r="A1243" t="str">
        <f>"20190312153912972"</f>
        <v>20190312153912972</v>
      </c>
      <c r="B1243" t="str">
        <f>"1552376352967010"</f>
        <v>1552376352967010</v>
      </c>
      <c r="C1243" t="s">
        <v>40</v>
      </c>
      <c r="D1243">
        <v>4.1045680000000004</v>
      </c>
      <c r="E1243">
        <v>0.51014519999999997</v>
      </c>
      <c r="F1243" t="s">
        <v>47</v>
      </c>
      <c r="G1243">
        <v>-158.19499999999999</v>
      </c>
      <c r="H1243">
        <v>0.28684120000000002</v>
      </c>
      <c r="I1243">
        <v>367.35789999999997</v>
      </c>
      <c r="J1243">
        <v>-257.61369999999999</v>
      </c>
      <c r="K1243">
        <v>1.1101190000000001</v>
      </c>
      <c r="L1243">
        <v>368.10149999999999</v>
      </c>
      <c r="M1243">
        <v>0.99973429999999996</v>
      </c>
      <c r="N1243">
        <v>0</v>
      </c>
      <c r="O1243">
        <v>2.0461839999999999E-2</v>
      </c>
      <c r="P1243">
        <v>0.998471</v>
      </c>
      <c r="Q1243">
        <v>5.3540499999999998E-2</v>
      </c>
      <c r="R1243">
        <v>-1.377192E-2</v>
      </c>
      <c r="S1243">
        <v>3.0056609999999999</v>
      </c>
      <c r="T1243">
        <v>-2.4854299999999999E-2</v>
      </c>
      <c r="U1243">
        <v>-2.2369380000000001E-2</v>
      </c>
      <c r="V1243">
        <v>3.4194349999999998E-2</v>
      </c>
      <c r="W1243">
        <v>6.4143290000000006E-2</v>
      </c>
      <c r="X1243">
        <v>0.99735469999999904</v>
      </c>
      <c r="Y1243">
        <v>2.7901430000000001E-2</v>
      </c>
      <c r="Z1243">
        <v>-2.8455819999999998E-4</v>
      </c>
      <c r="AA1243">
        <v>0.99961069999999996</v>
      </c>
      <c r="AB1243">
        <v>23</v>
      </c>
      <c r="AC1243">
        <v>99.418700000000001</v>
      </c>
      <c r="AD1243">
        <v>-0.82327779999999995</v>
      </c>
      <c r="AE1243">
        <v>-0.74360000000001403</v>
      </c>
      <c r="AF1243">
        <v>2.77765795098074</v>
      </c>
      <c r="AG1243">
        <v>-0.82327779999999995</v>
      </c>
      <c r="AH1243">
        <v>99.375852367159695</v>
      </c>
      <c r="AI1243">
        <v>90.474469893626207</v>
      </c>
      <c r="AJ1243">
        <v>88.398940509317697</v>
      </c>
      <c r="AK1243">
        <v>99.418072822440706</v>
      </c>
      <c r="AL1243">
        <v>86.322335402766001</v>
      </c>
      <c r="AM1243">
        <v>88.036380812380301</v>
      </c>
      <c r="AN1243">
        <v>1.0000000064180099</v>
      </c>
    </row>
    <row r="1244" spans="1:40" x14ac:dyDescent="0.25">
      <c r="A1244" t="str">
        <f>"20190312153912986"</f>
        <v>20190312153912986</v>
      </c>
      <c r="B1244" t="str">
        <f>"1552376352976769"</f>
        <v>1552376352976769</v>
      </c>
      <c r="C1244" t="s">
        <v>40</v>
      </c>
      <c r="D1244">
        <v>4.1246280000000004</v>
      </c>
      <c r="E1244">
        <v>0.51090720000000001</v>
      </c>
      <c r="F1244" t="s">
        <v>42</v>
      </c>
      <c r="G1244">
        <v>-219.73660000000001</v>
      </c>
      <c r="H1244" s="1">
        <v>-8.6042059999999897E-7</v>
      </c>
      <c r="I1244">
        <v>366.66730000000001</v>
      </c>
      <c r="J1244">
        <v>-257.48039999999997</v>
      </c>
      <c r="K1244">
        <v>1.110109</v>
      </c>
      <c r="L1244">
        <v>368.10430000000002</v>
      </c>
      <c r="M1244">
        <v>0.99973380000000001</v>
      </c>
      <c r="N1244">
        <v>0</v>
      </c>
      <c r="O1244">
        <v>2.0514910000000001E-2</v>
      </c>
      <c r="P1244">
        <v>0.99844659999999996</v>
      </c>
      <c r="Q1244">
        <v>5.39433E-2</v>
      </c>
      <c r="R1244">
        <v>-1.395148E-2</v>
      </c>
      <c r="S1244">
        <v>3.0077509999999998</v>
      </c>
      <c r="T1244">
        <v>-8.8152289999999994E-2</v>
      </c>
      <c r="U1244">
        <v>-0.1138916</v>
      </c>
      <c r="V1244">
        <v>3.4426270000000002E-2</v>
      </c>
      <c r="W1244">
        <v>6.4484949999999999E-2</v>
      </c>
      <c r="X1244">
        <v>0.99732469999999995</v>
      </c>
      <c r="Y1244">
        <v>5.8298509999999998E-2</v>
      </c>
      <c r="Z1244">
        <v>-1.454803E-3</v>
      </c>
      <c r="AA1244">
        <v>0.99829809999999997</v>
      </c>
      <c r="AB1244">
        <v>23</v>
      </c>
      <c r="AC1244">
        <v>37.743799999999901</v>
      </c>
      <c r="AD1244">
        <v>-1.1101098604205999</v>
      </c>
      <c r="AE1244">
        <v>-1.43700000000001</v>
      </c>
      <c r="AF1244">
        <v>2.20914311352987</v>
      </c>
      <c r="AG1244">
        <v>-1.1101098604205999</v>
      </c>
      <c r="AH1244">
        <v>37.673831715791998</v>
      </c>
      <c r="AI1244">
        <v>91.684915804920294</v>
      </c>
      <c r="AJ1244">
        <v>86.644095004335099</v>
      </c>
      <c r="AK1244">
        <v>37.754870591065099</v>
      </c>
      <c r="AL1244">
        <v>86.302719154557295</v>
      </c>
      <c r="AM1244">
        <v>88.023013860277004</v>
      </c>
      <c r="AN1244">
        <v>1.0000000170363501</v>
      </c>
    </row>
    <row r="1245" spans="1:40" x14ac:dyDescent="0.25">
      <c r="A1245" t="str">
        <f>"20190312153913000"</f>
        <v>20190312153913000</v>
      </c>
      <c r="B1245" t="str">
        <f>"1552376352987505"</f>
        <v>1552376352987505</v>
      </c>
      <c r="C1245" t="s">
        <v>40</v>
      </c>
      <c r="D1245">
        <v>4.1448660000000004</v>
      </c>
      <c r="E1245">
        <v>0.51117199999999996</v>
      </c>
      <c r="F1245" t="s">
        <v>42</v>
      </c>
      <c r="G1245">
        <v>-218.63040000000001</v>
      </c>
      <c r="H1245" s="1">
        <v>-1.2684870000000001E-6</v>
      </c>
      <c r="I1245">
        <v>366.54840000000002</v>
      </c>
      <c r="J1245">
        <v>-257.34019999999998</v>
      </c>
      <c r="K1245">
        <v>1.1101019999999999</v>
      </c>
      <c r="L1245">
        <v>368.10719999999998</v>
      </c>
      <c r="M1245">
        <v>0.99973330000000005</v>
      </c>
      <c r="N1245">
        <v>0</v>
      </c>
      <c r="O1245">
        <v>2.05708E-2</v>
      </c>
      <c r="P1245">
        <v>0.99846559999999995</v>
      </c>
      <c r="Q1245">
        <v>5.3589879999999999E-2</v>
      </c>
      <c r="R1245">
        <v>-1.3949069999999999E-2</v>
      </c>
      <c r="S1245">
        <v>3.0076290000000001</v>
      </c>
      <c r="T1245">
        <v>-8.5940600000000006E-2</v>
      </c>
      <c r="U1245">
        <v>-0.1204529</v>
      </c>
      <c r="V1245">
        <v>3.4480129999999998E-2</v>
      </c>
      <c r="W1245">
        <v>6.4068100000000003E-2</v>
      </c>
      <c r="X1245">
        <v>0.99734970000000001</v>
      </c>
      <c r="Y1245">
        <v>6.0530979999999998E-2</v>
      </c>
      <c r="Z1245">
        <v>-1.4517899999999999E-3</v>
      </c>
      <c r="AA1245">
        <v>0.99816519999999997</v>
      </c>
      <c r="AB1245">
        <v>23</v>
      </c>
      <c r="AC1245">
        <v>38.709799999999902</v>
      </c>
      <c r="AD1245">
        <v>-1.110103268487</v>
      </c>
      <c r="AE1245">
        <v>-1.55879999999996</v>
      </c>
      <c r="AF1245">
        <v>2.3528736625150199</v>
      </c>
      <c r="AG1245">
        <v>-1.110103268487</v>
      </c>
      <c r="AH1245">
        <v>38.637816095739602</v>
      </c>
      <c r="AI1245">
        <v>91.642671320799707</v>
      </c>
      <c r="AJ1245">
        <v>86.515241368713404</v>
      </c>
      <c r="AK1245">
        <v>38.725304083850098</v>
      </c>
      <c r="AL1245">
        <v>86.326652374044897</v>
      </c>
      <c r="AM1245">
        <v>88.019972913806598</v>
      </c>
      <c r="AN1245">
        <v>1.00000001244625</v>
      </c>
    </row>
    <row r="1246" spans="1:40" x14ac:dyDescent="0.25">
      <c r="A1246" t="str">
        <f>"20190312153913013"</f>
        <v>20190312153913013</v>
      </c>
      <c r="B1246" t="str">
        <f>"1552376353007533"</f>
        <v>1552376353007533</v>
      </c>
      <c r="C1246" t="s">
        <v>40</v>
      </c>
      <c r="D1246">
        <v>4.1242020000000004</v>
      </c>
      <c r="E1246">
        <v>0.51184079999999998</v>
      </c>
      <c r="F1246" t="s">
        <v>42</v>
      </c>
      <c r="G1246">
        <v>-219.83070000000001</v>
      </c>
      <c r="H1246" s="1">
        <v>-8.5244159999999895E-7</v>
      </c>
      <c r="I1246">
        <v>366.57690000000002</v>
      </c>
      <c r="J1246">
        <v>-257.2056</v>
      </c>
      <c r="K1246">
        <v>1.1101000000000001</v>
      </c>
      <c r="L1246">
        <v>368.11009999999999</v>
      </c>
      <c r="M1246">
        <v>0.99973290000000004</v>
      </c>
      <c r="N1246">
        <v>0</v>
      </c>
      <c r="O1246">
        <v>2.0624E-2</v>
      </c>
      <c r="P1246">
        <v>0.99845479999999998</v>
      </c>
      <c r="Q1246">
        <v>5.3771689999999997E-2</v>
      </c>
      <c r="R1246">
        <v>-1.403605E-2</v>
      </c>
      <c r="S1246">
        <v>3.0076749999999999</v>
      </c>
      <c r="T1246">
        <v>-8.9012620000000001E-2</v>
      </c>
      <c r="U1246">
        <v>-0.12271120000000001</v>
      </c>
      <c r="V1246">
        <v>3.4619909999999997E-2</v>
      </c>
      <c r="W1246">
        <v>6.4188029999999993E-2</v>
      </c>
      <c r="X1246">
        <v>0.99733720000000003</v>
      </c>
      <c r="Y1246">
        <v>6.132891E-2</v>
      </c>
      <c r="Z1246">
        <v>-1.516992E-3</v>
      </c>
      <c r="AA1246">
        <v>0.99811640000000001</v>
      </c>
      <c r="AB1246">
        <v>23</v>
      </c>
      <c r="AC1246">
        <v>37.374899999999997</v>
      </c>
      <c r="AD1246">
        <v>-1.1101008524416001</v>
      </c>
      <c r="AE1246">
        <v>-1.5331999999999599</v>
      </c>
      <c r="AF1246">
        <v>2.3017085772250701</v>
      </c>
      <c r="AG1246">
        <v>-1.1101008524416001</v>
      </c>
      <c r="AH1246">
        <v>37.302474371325097</v>
      </c>
      <c r="AI1246">
        <v>91.701353524658103</v>
      </c>
      <c r="AJ1246">
        <v>86.469102898192304</v>
      </c>
      <c r="AK1246">
        <v>37.389902119428299</v>
      </c>
      <c r="AL1246">
        <v>86.319766915505795</v>
      </c>
      <c r="AM1246">
        <v>88.011927555679705</v>
      </c>
      <c r="AN1246">
        <v>1.00000006593376</v>
      </c>
    </row>
    <row r="1247" spans="1:40" x14ac:dyDescent="0.25">
      <c r="A1247" t="str">
        <f>"20190312153913027"</f>
        <v>20190312153913027</v>
      </c>
      <c r="B1247" t="str">
        <f>"1552376353017293"</f>
        <v>1552376353017293</v>
      </c>
      <c r="C1247" t="s">
        <v>40</v>
      </c>
      <c r="D1247">
        <v>4.1490960000000001</v>
      </c>
      <c r="E1247">
        <v>0.5119302</v>
      </c>
      <c r="F1247" t="s">
        <v>42</v>
      </c>
      <c r="G1247">
        <v>-219.3022</v>
      </c>
      <c r="H1247" s="1">
        <v>-1.054459E-6</v>
      </c>
      <c r="I1247">
        <v>366.49360000000001</v>
      </c>
      <c r="J1247">
        <v>-257.0634</v>
      </c>
      <c r="K1247">
        <v>1.110093</v>
      </c>
      <c r="L1247">
        <v>368.113</v>
      </c>
      <c r="M1247">
        <v>0.99973230000000002</v>
      </c>
      <c r="N1247">
        <v>0</v>
      </c>
      <c r="O1247">
        <v>2.068043E-2</v>
      </c>
      <c r="P1247">
        <v>0.99845030000000001</v>
      </c>
      <c r="Q1247">
        <v>5.3826699999999901E-2</v>
      </c>
      <c r="R1247">
        <v>-1.412599E-2</v>
      </c>
      <c r="S1247">
        <v>3.007584</v>
      </c>
      <c r="T1247">
        <v>-8.8084819999999994E-2</v>
      </c>
      <c r="U1247">
        <v>-0.1282654</v>
      </c>
      <c r="V1247">
        <v>3.4766150000000003E-2</v>
      </c>
      <c r="W1247">
        <v>6.4178029999999997E-2</v>
      </c>
      <c r="X1247">
        <v>0.99733269999999996</v>
      </c>
      <c r="Y1247">
        <v>6.3226329999999997E-2</v>
      </c>
      <c r="Z1247">
        <v>-1.530596E-3</v>
      </c>
      <c r="AA1247">
        <v>0.9979981</v>
      </c>
      <c r="AB1247">
        <v>23</v>
      </c>
      <c r="AC1247">
        <v>37.761200000000002</v>
      </c>
      <c r="AD1247">
        <v>-1.1100940544589999</v>
      </c>
      <c r="AE1247">
        <v>-1.6194000000000399</v>
      </c>
      <c r="AF1247">
        <v>2.3979449568344999</v>
      </c>
      <c r="AG1247">
        <v>-1.1100940544589999</v>
      </c>
      <c r="AH1247">
        <v>37.687121270001903</v>
      </c>
      <c r="AI1247">
        <v>91.683786614162997</v>
      </c>
      <c r="AJ1247">
        <v>86.359308962327901</v>
      </c>
      <c r="AK1247">
        <v>37.779644763358803</v>
      </c>
      <c r="AL1247">
        <v>86.320340849503907</v>
      </c>
      <c r="AM1247">
        <v>88.003527402724004</v>
      </c>
      <c r="AN1247">
        <v>1.00000000960489</v>
      </c>
    </row>
    <row r="1248" spans="1:40" x14ac:dyDescent="0.25">
      <c r="A1248" t="str">
        <f>"20190312153913040"</f>
        <v>20190312153913040</v>
      </c>
      <c r="B1248" t="str">
        <f>"1552376353027053"</f>
        <v>1552376353027053</v>
      </c>
      <c r="C1248" t="s">
        <v>40</v>
      </c>
      <c r="D1248">
        <v>4.1367659999999997</v>
      </c>
      <c r="E1248">
        <v>0.51199039999999996</v>
      </c>
      <c r="F1248" t="s">
        <v>42</v>
      </c>
      <c r="G1248">
        <v>-219.24299999999999</v>
      </c>
      <c r="H1248" s="1">
        <v>-1.075826E-6</v>
      </c>
      <c r="I1248">
        <v>366.48899999999998</v>
      </c>
      <c r="J1248">
        <v>-256.93360000000001</v>
      </c>
      <c r="K1248">
        <v>1.110082</v>
      </c>
      <c r="L1248">
        <v>368.11579999999998</v>
      </c>
      <c r="M1248">
        <v>0.99973199999999995</v>
      </c>
      <c r="N1248">
        <v>0</v>
      </c>
      <c r="O1248">
        <v>2.0731289999999999E-2</v>
      </c>
      <c r="P1248">
        <v>0.99844860000000002</v>
      </c>
      <c r="Q1248">
        <v>5.3777459999999999E-2</v>
      </c>
      <c r="R1248">
        <v>-1.4445629999999999E-2</v>
      </c>
      <c r="S1248">
        <v>3.007584</v>
      </c>
      <c r="T1248">
        <v>-8.8277699999999903E-2</v>
      </c>
      <c r="U1248">
        <v>-0.1291504</v>
      </c>
      <c r="V1248">
        <v>3.5136349999999997E-2</v>
      </c>
      <c r="W1248">
        <v>6.4069059999999997E-2</v>
      </c>
      <c r="X1248">
        <v>0.99732670000000001</v>
      </c>
      <c r="Y1248">
        <v>6.3569899999999999E-2</v>
      </c>
      <c r="Z1248">
        <v>-1.540467E-3</v>
      </c>
      <c r="AA1248">
        <v>0.99797619999999998</v>
      </c>
      <c r="AB1248">
        <v>23</v>
      </c>
      <c r="AC1248">
        <v>37.690600000000003</v>
      </c>
      <c r="AD1248">
        <v>-1.1100830758260001</v>
      </c>
      <c r="AE1248">
        <v>-1.6267999999999401</v>
      </c>
      <c r="AF1248">
        <v>2.4057835491606099</v>
      </c>
      <c r="AG1248">
        <v>-1.1100830758260001</v>
      </c>
      <c r="AH1248">
        <v>37.616201834159199</v>
      </c>
      <c r="AI1248">
        <v>91.686907452283407</v>
      </c>
      <c r="AJ1248">
        <v>86.340572515290305</v>
      </c>
      <c r="AK1248">
        <v>37.709398289403197</v>
      </c>
      <c r="AL1248">
        <v>86.326597126606899</v>
      </c>
      <c r="AM1248">
        <v>87.982273736980801</v>
      </c>
      <c r="AN1248">
        <v>0.99999997703674703</v>
      </c>
    </row>
    <row r="1249" spans="1:40" x14ac:dyDescent="0.25">
      <c r="A1249" t="str">
        <f>"20190312153913053"</f>
        <v>20190312153913053</v>
      </c>
      <c r="B1249" t="str">
        <f>"1552376353047549"</f>
        <v>1552376353047549</v>
      </c>
      <c r="C1249" t="s">
        <v>40</v>
      </c>
      <c r="D1249">
        <v>4.1587440000000004</v>
      </c>
      <c r="E1249">
        <v>0.51206870000000004</v>
      </c>
      <c r="F1249" t="s">
        <v>42</v>
      </c>
      <c r="G1249">
        <v>-219.33070000000001</v>
      </c>
      <c r="H1249" s="1">
        <v>-1.0480200000000001E-6</v>
      </c>
      <c r="I1249">
        <v>366.4812</v>
      </c>
      <c r="J1249">
        <v>-256.79640000000001</v>
      </c>
      <c r="K1249">
        <v>1.110074</v>
      </c>
      <c r="L1249">
        <v>368.11869999999999</v>
      </c>
      <c r="M1249">
        <v>0.9997315</v>
      </c>
      <c r="N1249">
        <v>0</v>
      </c>
      <c r="O1249">
        <v>2.0785680000000001E-2</v>
      </c>
      <c r="P1249">
        <v>0.99843870000000001</v>
      </c>
      <c r="Q1249">
        <v>5.3983580000000003E-2</v>
      </c>
      <c r="R1249">
        <v>-1.4377310000000001E-2</v>
      </c>
      <c r="S1249">
        <v>3.007584</v>
      </c>
      <c r="T1249">
        <v>-8.8787560000000001E-2</v>
      </c>
      <c r="U1249">
        <v>-0.1307373</v>
      </c>
      <c r="V1249">
        <v>3.5121800000000002E-2</v>
      </c>
      <c r="W1249">
        <v>6.4212759999999994E-2</v>
      </c>
      <c r="X1249">
        <v>0.99731800000000004</v>
      </c>
      <c r="Y1249">
        <v>6.4149040000000004E-2</v>
      </c>
      <c r="Z1249">
        <v>-1.5594910000000001E-3</v>
      </c>
      <c r="AA1249">
        <v>0.99793909999999997</v>
      </c>
      <c r="AB1249">
        <v>23</v>
      </c>
      <c r="AC1249">
        <v>37.465699999999998</v>
      </c>
      <c r="AD1249">
        <v>-1.1100750480199999</v>
      </c>
      <c r="AE1249">
        <v>-1.63749999999998</v>
      </c>
      <c r="AF1249">
        <v>2.41382206684795</v>
      </c>
      <c r="AG1249">
        <v>-1.1100750480199999</v>
      </c>
      <c r="AH1249">
        <v>37.3908043232233</v>
      </c>
      <c r="AI1249">
        <v>91.696993018781399</v>
      </c>
      <c r="AJ1249">
        <v>86.306306542276104</v>
      </c>
      <c r="AK1249">
        <v>37.485077717942801</v>
      </c>
      <c r="AL1249">
        <v>86.318346841825402</v>
      </c>
      <c r="AM1249">
        <v>87.983091009759093</v>
      </c>
      <c r="AN1249">
        <v>1.0000000062530201</v>
      </c>
    </row>
    <row r="1250" spans="1:40" x14ac:dyDescent="0.25">
      <c r="A1250" t="str">
        <f>"20190312153913069"</f>
        <v>20190312153913069</v>
      </c>
      <c r="B1250" t="str">
        <f>"1552376353057310"</f>
        <v>1552376353057310</v>
      </c>
      <c r="C1250" t="s">
        <v>40</v>
      </c>
      <c r="D1250">
        <v>4.1835589999999998</v>
      </c>
      <c r="E1250">
        <v>0.51211399999999996</v>
      </c>
      <c r="F1250" t="s">
        <v>42</v>
      </c>
      <c r="G1250">
        <v>-219.40649999999999</v>
      </c>
      <c r="H1250" s="1">
        <v>-1.0195989999999999E-6</v>
      </c>
      <c r="I1250">
        <v>366.49119999999999</v>
      </c>
      <c r="J1250">
        <v>-256.63420000000002</v>
      </c>
      <c r="K1250">
        <v>1.1100669999999999</v>
      </c>
      <c r="L1250">
        <v>368.12220000000002</v>
      </c>
      <c r="M1250">
        <v>0.99973089999999998</v>
      </c>
      <c r="N1250">
        <v>0</v>
      </c>
      <c r="O1250">
        <v>2.0850130000000001E-2</v>
      </c>
      <c r="P1250">
        <v>0.99844719999999998</v>
      </c>
      <c r="Q1250">
        <v>5.376744E-2</v>
      </c>
      <c r="R1250">
        <v>-1.458388E-2</v>
      </c>
      <c r="S1250">
        <v>3.0076290000000001</v>
      </c>
      <c r="T1250">
        <v>-8.9293960000000006E-2</v>
      </c>
      <c r="U1250">
        <v>-0.13092039999999999</v>
      </c>
      <c r="V1250">
        <v>3.539308E-2</v>
      </c>
      <c r="W1250">
        <v>6.3923439999999998E-2</v>
      </c>
      <c r="X1250">
        <v>0.99732699999999996</v>
      </c>
      <c r="Y1250">
        <v>6.4272839999999998E-2</v>
      </c>
      <c r="Z1250">
        <v>-1.5721039999999999E-3</v>
      </c>
      <c r="AA1250">
        <v>0.99793109999999996</v>
      </c>
      <c r="AB1250">
        <v>23</v>
      </c>
      <c r="AC1250">
        <v>37.227699999999999</v>
      </c>
      <c r="AD1250">
        <v>-1.11006801959899</v>
      </c>
      <c r="AE1250">
        <v>-1.63100000000002</v>
      </c>
      <c r="AF1250">
        <v>2.4047538713793699</v>
      </c>
      <c r="AG1250">
        <v>-1.11006801959899</v>
      </c>
      <c r="AH1250">
        <v>37.152627657042601</v>
      </c>
      <c r="AI1250">
        <v>91.707836154404106</v>
      </c>
      <c r="AJ1250">
        <v>86.296619496615804</v>
      </c>
      <c r="AK1250">
        <v>37.246917107498902</v>
      </c>
      <c r="AL1250">
        <v>86.334957799403497</v>
      </c>
      <c r="AM1250">
        <v>87.967543791273997</v>
      </c>
      <c r="AN1250">
        <v>1.00000001061116</v>
      </c>
    </row>
    <row r="1251" spans="1:40" x14ac:dyDescent="0.25">
      <c r="A1251" t="str">
        <f>"20190312153913083"</f>
        <v>20190312153913083</v>
      </c>
      <c r="B1251" t="str">
        <f>"1552376353076829"</f>
        <v>1552376353076829</v>
      </c>
      <c r="C1251" t="s">
        <v>40</v>
      </c>
      <c r="D1251">
        <v>4.1516780000000004</v>
      </c>
      <c r="E1251">
        <v>0.51217889999999999</v>
      </c>
      <c r="F1251" t="s">
        <v>42</v>
      </c>
      <c r="G1251">
        <v>-219.59030000000001</v>
      </c>
      <c r="H1251" s="1">
        <v>-9.5605759999999998E-7</v>
      </c>
      <c r="I1251">
        <v>366.495</v>
      </c>
      <c r="J1251">
        <v>-256.48509999999999</v>
      </c>
      <c r="K1251">
        <v>1.1100589999999999</v>
      </c>
      <c r="L1251">
        <v>368.12540000000001</v>
      </c>
      <c r="M1251">
        <v>0.99973029999999996</v>
      </c>
      <c r="N1251">
        <v>0</v>
      </c>
      <c r="O1251">
        <v>2.090935E-2</v>
      </c>
      <c r="P1251">
        <v>0.99843649999999995</v>
      </c>
      <c r="Q1251">
        <v>5.3944220000000001E-2</v>
      </c>
      <c r="R1251">
        <v>-1.46622E-2</v>
      </c>
      <c r="S1251">
        <v>3.007584</v>
      </c>
      <c r="T1251">
        <v>-9.0125919999999998E-2</v>
      </c>
      <c r="U1251">
        <v>-0.13211059999999999</v>
      </c>
      <c r="V1251">
        <v>3.5530140000000002E-2</v>
      </c>
      <c r="W1251">
        <v>6.4035739999999994E-2</v>
      </c>
      <c r="X1251">
        <v>0.9973149</v>
      </c>
      <c r="Y1251">
        <v>6.4725820000000003E-2</v>
      </c>
      <c r="Z1251">
        <v>-1.5953110000000001E-3</v>
      </c>
      <c r="AA1251">
        <v>0.99790179999999995</v>
      </c>
      <c r="AB1251">
        <v>23</v>
      </c>
      <c r="AC1251">
        <v>36.894799999999897</v>
      </c>
      <c r="AD1251">
        <v>-1.1100599560576001</v>
      </c>
      <c r="AE1251">
        <v>-1.6304000000000001</v>
      </c>
      <c r="AF1251">
        <v>2.3993614415032001</v>
      </c>
      <c r="AG1251">
        <v>-1.1100599560576001</v>
      </c>
      <c r="AH1251">
        <v>36.819375409029298</v>
      </c>
      <c r="AI1251">
        <v>91.7232230552858</v>
      </c>
      <c r="AJ1251">
        <v>86.271550503563304</v>
      </c>
      <c r="AK1251">
        <v>36.914164949840703</v>
      </c>
      <c r="AL1251">
        <v>86.328510191772494</v>
      </c>
      <c r="AM1251">
        <v>87.959654993449703</v>
      </c>
      <c r="AN1251">
        <v>0.99999998830388803</v>
      </c>
    </row>
    <row r="1252" spans="1:40" x14ac:dyDescent="0.25">
      <c r="A1252" t="str">
        <f>"20190312153913096"</f>
        <v>20190312153913096</v>
      </c>
      <c r="B1252" t="str">
        <f>"1552376353087564"</f>
        <v>1552376353087564</v>
      </c>
      <c r="C1252" t="s">
        <v>40</v>
      </c>
      <c r="D1252">
        <v>4.1933699999999998</v>
      </c>
      <c r="E1252">
        <v>0.51220379999999999</v>
      </c>
      <c r="F1252" t="s">
        <v>42</v>
      </c>
      <c r="G1252">
        <v>-219.85169999999999</v>
      </c>
      <c r="H1252" s="1">
        <v>-8.6279609999999996E-7</v>
      </c>
      <c r="I1252">
        <v>366.51100000000002</v>
      </c>
      <c r="J1252">
        <v>-256.35610000000003</v>
      </c>
      <c r="K1252">
        <v>1.1100540000000001</v>
      </c>
      <c r="L1252">
        <v>368.12810000000002</v>
      </c>
      <c r="M1252">
        <v>0.99972989999999995</v>
      </c>
      <c r="N1252">
        <v>0</v>
      </c>
      <c r="O1252">
        <v>2.0960289999999999E-2</v>
      </c>
      <c r="P1252">
        <v>0.99842929999999996</v>
      </c>
      <c r="Q1252">
        <v>5.4099880000000003E-2</v>
      </c>
      <c r="R1252">
        <v>-1.456997E-2</v>
      </c>
      <c r="S1252">
        <v>3.0077060000000002</v>
      </c>
      <c r="T1252">
        <v>-9.1138960000000005E-2</v>
      </c>
      <c r="U1252">
        <v>-0.13253779999999901</v>
      </c>
      <c r="V1252">
        <v>3.5488779999999998E-2</v>
      </c>
      <c r="W1252">
        <v>6.4137570000000005E-2</v>
      </c>
      <c r="X1252">
        <v>0.99730989999999997</v>
      </c>
      <c r="Y1252">
        <v>6.491537E-2</v>
      </c>
      <c r="Z1252">
        <v>-1.6175759999999999E-3</v>
      </c>
      <c r="AA1252">
        <v>0.99788949999999998</v>
      </c>
      <c r="AB1252">
        <v>23</v>
      </c>
      <c r="AC1252">
        <v>36.504399999999997</v>
      </c>
      <c r="AD1252">
        <v>-1.1100548627961</v>
      </c>
      <c r="AE1252">
        <v>-1.6171000000000499</v>
      </c>
      <c r="AF1252">
        <v>2.3797298614370601</v>
      </c>
      <c r="AG1252">
        <v>-1.1100548627961</v>
      </c>
      <c r="AH1252">
        <v>36.428863300401503</v>
      </c>
      <c r="AI1252">
        <v>91.741658395966496</v>
      </c>
      <c r="AJ1252">
        <v>86.262441132928998</v>
      </c>
      <c r="AK1252">
        <v>36.523381789905102</v>
      </c>
      <c r="AL1252">
        <v>86.322664004535199</v>
      </c>
      <c r="AM1252">
        <v>87.962017909857593</v>
      </c>
      <c r="AN1252">
        <v>1.0000000590147</v>
      </c>
    </row>
    <row r="1253" spans="1:40" x14ac:dyDescent="0.25">
      <c r="A1253" t="str">
        <f>"20190312153913109"</f>
        <v>20190312153913109</v>
      </c>
      <c r="B1253" t="str">
        <f>"1552376353097327"</f>
        <v>1552376353097327</v>
      </c>
      <c r="C1253" t="s">
        <v>40</v>
      </c>
      <c r="D1253">
        <v>4.1755699999999996</v>
      </c>
      <c r="E1253">
        <v>0.51227009999999995</v>
      </c>
      <c r="F1253" t="s">
        <v>42</v>
      </c>
      <c r="G1253">
        <v>-219.8817</v>
      </c>
      <c r="H1253" s="1">
        <v>-8.4971840000000003E-7</v>
      </c>
      <c r="I1253">
        <v>366.52190000000002</v>
      </c>
      <c r="J1253">
        <v>-256.22559999999999</v>
      </c>
      <c r="K1253">
        <v>1.110052</v>
      </c>
      <c r="L1253">
        <v>368.1309</v>
      </c>
      <c r="M1253">
        <v>0.99972930000000004</v>
      </c>
      <c r="N1253">
        <v>0</v>
      </c>
      <c r="O1253">
        <v>2.1012099999999999E-2</v>
      </c>
      <c r="P1253">
        <v>0.99842030000000004</v>
      </c>
      <c r="Q1253">
        <v>5.4278640000000003E-2</v>
      </c>
      <c r="R1253">
        <v>-1.4525059999999999E-2</v>
      </c>
      <c r="S1253">
        <v>3.0077210000000001</v>
      </c>
      <c r="T1253">
        <v>-9.1536160000000005E-2</v>
      </c>
      <c r="U1253">
        <v>-0.13244629999999999</v>
      </c>
      <c r="V1253">
        <v>3.5495319999999997E-2</v>
      </c>
      <c r="W1253">
        <v>6.4267019999999994E-2</v>
      </c>
      <c r="X1253">
        <v>0.99730129999999995</v>
      </c>
      <c r="Y1253">
        <v>6.4936149999999998E-2</v>
      </c>
      <c r="Z1253">
        <v>-1.6265069999999999E-3</v>
      </c>
      <c r="AA1253">
        <v>0.99788809999999994</v>
      </c>
      <c r="AB1253">
        <v>23</v>
      </c>
      <c r="AC1253">
        <v>36.343899999999898</v>
      </c>
      <c r="AD1253">
        <v>-1.1100528497183999</v>
      </c>
      <c r="AE1253">
        <v>-1.60899999999998</v>
      </c>
      <c r="AF1253">
        <v>2.37013778837404</v>
      </c>
      <c r="AG1253">
        <v>-1.1100528497183999</v>
      </c>
      <c r="AH1253">
        <v>36.268297422444903</v>
      </c>
      <c r="AI1253">
        <v>91.749358247838202</v>
      </c>
      <c r="AJ1253">
        <v>86.261030166597607</v>
      </c>
      <c r="AK1253">
        <v>36.362606732575898</v>
      </c>
      <c r="AL1253">
        <v>86.315231608391699</v>
      </c>
      <c r="AM1253">
        <v>87.961625097490398</v>
      </c>
      <c r="AN1253">
        <v>1.0000000252916299</v>
      </c>
    </row>
    <row r="1254" spans="1:40" x14ac:dyDescent="0.25">
      <c r="A1254" t="str">
        <f>"20190312153913122"</f>
        <v>20190312153913122</v>
      </c>
      <c r="B1254" t="str">
        <f>"1552376353117353"</f>
        <v>1552376353117353</v>
      </c>
      <c r="C1254" t="s">
        <v>40</v>
      </c>
      <c r="D1254">
        <v>4.1926690000000004</v>
      </c>
      <c r="E1254">
        <v>0.51239140000000005</v>
      </c>
      <c r="F1254" t="s">
        <v>42</v>
      </c>
      <c r="G1254">
        <v>-219.66329999999999</v>
      </c>
      <c r="H1254" s="1">
        <v>-9.2527659999999999E-7</v>
      </c>
      <c r="I1254">
        <v>366.5172</v>
      </c>
      <c r="J1254">
        <v>-256.09059999999999</v>
      </c>
      <c r="K1254">
        <v>1.1100460000000001</v>
      </c>
      <c r="L1254">
        <v>368.13380000000001</v>
      </c>
      <c r="M1254">
        <v>0.99972859999999997</v>
      </c>
      <c r="N1254">
        <v>0</v>
      </c>
      <c r="O1254">
        <v>2.1065569999999999E-2</v>
      </c>
      <c r="P1254">
        <v>0.9984132</v>
      </c>
      <c r="Q1254">
        <v>5.438482E-2</v>
      </c>
      <c r="R1254">
        <v>-1.4623769999999999E-2</v>
      </c>
      <c r="S1254">
        <v>3.0077820000000002</v>
      </c>
      <c r="T1254">
        <v>-9.1317889999999999E-2</v>
      </c>
      <c r="U1254">
        <v>-0.13275149999999999</v>
      </c>
      <c r="V1254">
        <v>3.5646990000000003E-2</v>
      </c>
      <c r="W1254">
        <v>6.4323640000000001E-2</v>
      </c>
      <c r="X1254">
        <v>0.99729219999999996</v>
      </c>
      <c r="Y1254">
        <v>6.508978E-2</v>
      </c>
      <c r="Z1254">
        <v>-1.6265470000000001E-3</v>
      </c>
      <c r="AA1254">
        <v>0.99787809999999999</v>
      </c>
      <c r="AB1254">
        <v>23</v>
      </c>
      <c r="AC1254">
        <v>36.427300000000002</v>
      </c>
      <c r="AD1254">
        <v>-1.1100469252766001</v>
      </c>
      <c r="AE1254">
        <v>-1.6166</v>
      </c>
      <c r="AF1254">
        <v>2.3814339949265002</v>
      </c>
      <c r="AG1254">
        <v>-1.1100469252766001</v>
      </c>
      <c r="AH1254">
        <v>36.351469933470597</v>
      </c>
      <c r="AI1254">
        <v>91.745330546335794</v>
      </c>
      <c r="AJ1254">
        <v>86.251831865861604</v>
      </c>
      <c r="AK1254">
        <v>36.446300201426801</v>
      </c>
      <c r="AL1254">
        <v>86.311980647791998</v>
      </c>
      <c r="AM1254">
        <v>87.952903939238695</v>
      </c>
      <c r="AN1254">
        <v>0.999999985369874</v>
      </c>
    </row>
    <row r="1255" spans="1:40" x14ac:dyDescent="0.25">
      <c r="A1255" t="str">
        <f>"20190312153913135"</f>
        <v>20190312153913135</v>
      </c>
      <c r="B1255" t="str">
        <f>"1552376353127113"</f>
        <v>1552376353127113</v>
      </c>
      <c r="C1255" t="s">
        <v>40</v>
      </c>
      <c r="D1255">
        <v>4.1864860000000004</v>
      </c>
      <c r="E1255">
        <v>0.51240829999999904</v>
      </c>
      <c r="F1255" t="s">
        <v>42</v>
      </c>
      <c r="G1255">
        <v>-219.7484</v>
      </c>
      <c r="H1255" s="1">
        <v>-8.9699850000000001E-7</v>
      </c>
      <c r="I1255">
        <v>366.51459999999997</v>
      </c>
      <c r="J1255">
        <v>-255.9409</v>
      </c>
      <c r="K1255">
        <v>1.110042</v>
      </c>
      <c r="L1255">
        <v>368.137</v>
      </c>
      <c r="M1255">
        <v>0.99972780000000006</v>
      </c>
      <c r="N1255">
        <v>0</v>
      </c>
      <c r="O1255">
        <v>2.1124839999999999E-2</v>
      </c>
      <c r="P1255">
        <v>0.99840930000000006</v>
      </c>
      <c r="Q1255">
        <v>5.4545580000000003E-2</v>
      </c>
      <c r="R1255">
        <v>-1.428069E-2</v>
      </c>
      <c r="S1255">
        <v>3.0078130000000001</v>
      </c>
      <c r="T1255">
        <v>-9.1871380000000002E-2</v>
      </c>
      <c r="U1255">
        <v>-0.1340027</v>
      </c>
      <c r="V1255">
        <v>3.5362949999999997E-2</v>
      </c>
      <c r="W1255">
        <v>6.4433550000000006E-2</v>
      </c>
      <c r="X1255">
        <v>0.9972953</v>
      </c>
      <c r="Y1255">
        <v>6.5562049999999997E-2</v>
      </c>
      <c r="Z1255">
        <v>-1.6453870000000001E-3</v>
      </c>
      <c r="AA1255">
        <v>0.99784709999999999</v>
      </c>
      <c r="AB1255">
        <v>23</v>
      </c>
      <c r="AC1255">
        <v>36.192500000000003</v>
      </c>
      <c r="AD1255">
        <v>-1.1100428969984999</v>
      </c>
      <c r="AE1255">
        <v>-1.6223999999999701</v>
      </c>
      <c r="AF1255">
        <v>2.3843977229903102</v>
      </c>
      <c r="AG1255">
        <v>-1.1100428969984999</v>
      </c>
      <c r="AH1255">
        <v>36.116242343823103</v>
      </c>
      <c r="AI1255">
        <v>91.756626050834598</v>
      </c>
      <c r="AJ1255">
        <v>86.222808695078697</v>
      </c>
      <c r="AK1255">
        <v>36.2118835297522</v>
      </c>
      <c r="AL1255">
        <v>86.305670483481293</v>
      </c>
      <c r="AM1255">
        <v>87.969208069984802</v>
      </c>
      <c r="AN1255">
        <v>1.0000000680001899</v>
      </c>
    </row>
    <row r="1256" spans="1:40" x14ac:dyDescent="0.25">
      <c r="A1256" t="str">
        <f>"20190312153913159"</f>
        <v>20190312153913159</v>
      </c>
      <c r="B1256" t="str">
        <f>"1552376353147609"</f>
        <v>1552376353147609</v>
      </c>
      <c r="C1256" t="s">
        <v>40</v>
      </c>
      <c r="D1256">
        <v>4.1898299999999997</v>
      </c>
      <c r="E1256">
        <v>0.51250660000000003</v>
      </c>
      <c r="F1256" t="s">
        <v>42</v>
      </c>
      <c r="G1256">
        <v>-219.73699999999999</v>
      </c>
      <c r="H1256" s="1">
        <v>-8.9494860000000001E-7</v>
      </c>
      <c r="I1256">
        <v>366.53699999999998</v>
      </c>
      <c r="J1256">
        <v>-255.71860000000001</v>
      </c>
      <c r="K1256">
        <v>1.1100289999999999</v>
      </c>
      <c r="L1256">
        <v>368.14179999999999</v>
      </c>
      <c r="M1256">
        <v>0.99972669999999997</v>
      </c>
      <c r="N1256">
        <v>0</v>
      </c>
      <c r="O1256">
        <v>2.121226E-2</v>
      </c>
      <c r="P1256">
        <v>0.99841970000000002</v>
      </c>
      <c r="Q1256">
        <v>5.4464560000000002E-2</v>
      </c>
      <c r="R1256">
        <v>-1.385463E-2</v>
      </c>
      <c r="S1256">
        <v>3.0079189999999998</v>
      </c>
      <c r="T1256">
        <v>-9.2225070000000006E-2</v>
      </c>
      <c r="U1256">
        <v>-0.13293460000000001</v>
      </c>
      <c r="V1256">
        <v>3.5024649999999997E-2</v>
      </c>
      <c r="W1256">
        <v>6.428557E-2</v>
      </c>
      <c r="X1256">
        <v>0.99731669999999994</v>
      </c>
      <c r="Y1256">
        <v>6.5293840000000006E-2</v>
      </c>
      <c r="Z1256">
        <v>-1.650241E-3</v>
      </c>
      <c r="AA1256">
        <v>0.99786470000000005</v>
      </c>
      <c r="AB1256">
        <v>23</v>
      </c>
      <c r="AC1256">
        <v>35.9816</v>
      </c>
      <c r="AD1256">
        <v>-1.1100298949486</v>
      </c>
      <c r="AE1256">
        <v>-1.60480000000001</v>
      </c>
      <c r="AF1256">
        <v>2.3654799843349101</v>
      </c>
      <c r="AG1256">
        <v>-1.1100298949486</v>
      </c>
      <c r="AH1256">
        <v>35.905356145130298</v>
      </c>
      <c r="AI1256">
        <v>91.766932328998806</v>
      </c>
      <c r="AJ1256">
        <v>86.230744940103904</v>
      </c>
      <c r="AK1256">
        <v>36.000309190791803</v>
      </c>
      <c r="AL1256">
        <v>86.314166403512701</v>
      </c>
      <c r="AM1256">
        <v>87.988662749916799</v>
      </c>
      <c r="AN1256">
        <v>0.99999998035836801</v>
      </c>
    </row>
    <row r="1257" spans="1:40" x14ac:dyDescent="0.25">
      <c r="A1257" t="str">
        <f>"20190312153913174"</f>
        <v>20190312153913174</v>
      </c>
      <c r="B1257" t="str">
        <f>"1552376353167130"</f>
        <v>1552376353167130</v>
      </c>
      <c r="C1257" t="s">
        <v>40</v>
      </c>
      <c r="D1257">
        <v>4.1958500000000001</v>
      </c>
      <c r="E1257">
        <v>0.51263239999999999</v>
      </c>
      <c r="F1257" t="s">
        <v>42</v>
      </c>
      <c r="G1257">
        <v>-220.02789999999999</v>
      </c>
      <c r="H1257" s="1">
        <v>-4.8016010000000001E-6</v>
      </c>
      <c r="I1257">
        <v>366.56479999999999</v>
      </c>
      <c r="J1257">
        <v>-255.54679999999999</v>
      </c>
      <c r="K1257">
        <v>1.11002</v>
      </c>
      <c r="L1257">
        <v>368.14550000000003</v>
      </c>
      <c r="M1257">
        <v>0.99972559999999999</v>
      </c>
      <c r="N1257">
        <v>0</v>
      </c>
      <c r="O1257">
        <v>2.128002E-2</v>
      </c>
      <c r="P1257">
        <v>0.99842880000000001</v>
      </c>
      <c r="Q1257">
        <v>5.4325039999999998E-2</v>
      </c>
      <c r="R1257">
        <v>-1.374276E-2</v>
      </c>
      <c r="S1257">
        <v>3.0080260000000001</v>
      </c>
      <c r="T1257">
        <v>-9.3553899999999995E-2</v>
      </c>
      <c r="U1257">
        <v>-0.1329041</v>
      </c>
      <c r="V1257">
        <v>3.4980629999999999E-2</v>
      </c>
      <c r="W1257">
        <v>6.4100470000000007E-2</v>
      </c>
      <c r="X1257">
        <v>0.99733019999999994</v>
      </c>
      <c r="Y1257">
        <v>6.5348569999999995E-2</v>
      </c>
      <c r="Z1257">
        <v>-1.676905E-3</v>
      </c>
      <c r="AA1257">
        <v>0.99786109999999995</v>
      </c>
      <c r="AB1257">
        <v>23</v>
      </c>
      <c r="AC1257">
        <v>35.518900000000002</v>
      </c>
      <c r="AD1257">
        <v>-1.1100248016009999</v>
      </c>
      <c r="AE1257">
        <v>-1.58070000000003</v>
      </c>
      <c r="AF1257">
        <v>2.3339461840918698</v>
      </c>
      <c r="AG1257">
        <v>-1.1100248016009999</v>
      </c>
      <c r="AH1257">
        <v>35.442669950084202</v>
      </c>
      <c r="AI1257">
        <v>91.789979103695103</v>
      </c>
      <c r="AJ1257">
        <v>86.232437558044396</v>
      </c>
      <c r="AK1257">
        <v>35.536774094464597</v>
      </c>
      <c r="AL1257">
        <v>86.324793922064103</v>
      </c>
      <c r="AM1257">
        <v>87.991215754035593</v>
      </c>
      <c r="AN1257">
        <v>1.0000000212807201</v>
      </c>
    </row>
    <row r="1258" spans="1:40" x14ac:dyDescent="0.25">
      <c r="A1258" t="str">
        <f>"20190312153913188"</f>
        <v>20190312153913188</v>
      </c>
      <c r="B1258" t="str">
        <f>"1552376353176890"</f>
        <v>1552376353176890</v>
      </c>
      <c r="C1258" t="s">
        <v>40</v>
      </c>
      <c r="D1258">
        <v>4.2094750000000003</v>
      </c>
      <c r="E1258">
        <v>0.51265139999999998</v>
      </c>
      <c r="F1258" t="s">
        <v>42</v>
      </c>
      <c r="G1258">
        <v>-220.54060000000001</v>
      </c>
      <c r="H1258" s="1">
        <v>-4.5765839999999999E-6</v>
      </c>
      <c r="I1258">
        <v>366.59350000000001</v>
      </c>
      <c r="J1258">
        <v>-255.4042</v>
      </c>
      <c r="K1258">
        <v>1.1100159999999999</v>
      </c>
      <c r="L1258">
        <v>368.14859999999999</v>
      </c>
      <c r="M1258">
        <v>0.99972470000000002</v>
      </c>
      <c r="N1258">
        <v>0</v>
      </c>
      <c r="O1258">
        <v>2.1336580000000001E-2</v>
      </c>
      <c r="P1258">
        <v>0.99843700000000002</v>
      </c>
      <c r="Q1258">
        <v>5.4240579999999997E-2</v>
      </c>
      <c r="R1258">
        <v>-1.3476419999999999E-2</v>
      </c>
      <c r="S1258">
        <v>3.0080870000000002</v>
      </c>
      <c r="T1258">
        <v>-9.5384239999999995E-2</v>
      </c>
      <c r="U1258">
        <v>-0.1333618</v>
      </c>
      <c r="V1258">
        <v>3.477094E-2</v>
      </c>
      <c r="W1258">
        <v>6.3981979999999994E-2</v>
      </c>
      <c r="X1258">
        <v>0.99734509999999998</v>
      </c>
      <c r="Y1258">
        <v>6.5553910000000007E-2</v>
      </c>
      <c r="Z1258">
        <v>-1.714702E-3</v>
      </c>
      <c r="AA1258">
        <v>0.99784759999999995</v>
      </c>
      <c r="AB1258">
        <v>23</v>
      </c>
      <c r="AC1258">
        <v>34.863599999999899</v>
      </c>
      <c r="AD1258">
        <v>-1.1100205765840001</v>
      </c>
      <c r="AE1258">
        <v>-1.5550999999999799</v>
      </c>
      <c r="AF1258">
        <v>2.2963281663380202</v>
      </c>
      <c r="AG1258">
        <v>-1.1100205765840001</v>
      </c>
      <c r="AH1258">
        <v>34.787285913552601</v>
      </c>
      <c r="AI1258">
        <v>91.823653326360201</v>
      </c>
      <c r="AJ1258">
        <v>86.223352690844195</v>
      </c>
      <c r="AK1258">
        <v>34.880661260349001</v>
      </c>
      <c r="AL1258">
        <v>86.331596712876106</v>
      </c>
      <c r="AM1258">
        <v>88.0032773614614</v>
      </c>
      <c r="AN1258">
        <v>0.99999998026360604</v>
      </c>
    </row>
    <row r="1259" spans="1:40" x14ac:dyDescent="0.25">
      <c r="A1259" t="str">
        <f>"20190312153913203"</f>
        <v>20190312153913203</v>
      </c>
      <c r="B1259" t="str">
        <f>"1552376353197385"</f>
        <v>1552376353197385</v>
      </c>
      <c r="C1259" t="s">
        <v>40</v>
      </c>
      <c r="D1259">
        <v>4.2178979999999999</v>
      </c>
      <c r="E1259">
        <v>0.51268630000000004</v>
      </c>
      <c r="F1259" t="s">
        <v>42</v>
      </c>
      <c r="G1259">
        <v>-220.6438</v>
      </c>
      <c r="H1259" s="1">
        <v>-4.5282570000000002E-6</v>
      </c>
      <c r="I1259">
        <v>366.61630000000002</v>
      </c>
      <c r="J1259">
        <v>-255.2535</v>
      </c>
      <c r="K1259">
        <v>1.1100099999999999</v>
      </c>
      <c r="L1259">
        <v>368.15190000000001</v>
      </c>
      <c r="M1259">
        <v>0.9997239</v>
      </c>
      <c r="N1259">
        <v>0</v>
      </c>
      <c r="O1259">
        <v>2.1396109999999999E-2</v>
      </c>
      <c r="P1259">
        <v>0.99843570000000004</v>
      </c>
      <c r="Q1259">
        <v>5.4271180000000002E-2</v>
      </c>
      <c r="R1259">
        <v>-1.3460400000000001E-2</v>
      </c>
      <c r="S1259">
        <v>3.0081180000000001</v>
      </c>
      <c r="T1259">
        <v>-9.6059439999999996E-2</v>
      </c>
      <c r="U1259">
        <v>-0.13259889999999999</v>
      </c>
      <c r="V1259">
        <v>3.4814320000000003E-2</v>
      </c>
      <c r="W1259">
        <v>6.397912E-2</v>
      </c>
      <c r="X1259">
        <v>0.9973438</v>
      </c>
      <c r="Y1259">
        <v>6.5359719999999996E-2</v>
      </c>
      <c r="Z1259">
        <v>-1.7256260000000001E-3</v>
      </c>
      <c r="AA1259">
        <v>0.99786030000000003</v>
      </c>
      <c r="AB1259">
        <v>23</v>
      </c>
      <c r="AC1259">
        <v>34.609699999999997</v>
      </c>
      <c r="AD1259">
        <v>-1.110014528257</v>
      </c>
      <c r="AE1259">
        <v>-1.5355999999999801</v>
      </c>
      <c r="AF1259">
        <v>2.2734623396698899</v>
      </c>
      <c r="AG1259">
        <v>-1.110014528257</v>
      </c>
      <c r="AH1259">
        <v>34.533466312003597</v>
      </c>
      <c r="AI1259">
        <v>91.837059274884197</v>
      </c>
      <c r="AJ1259">
        <v>86.233447899015999</v>
      </c>
      <c r="AK1259">
        <v>34.626017079432103</v>
      </c>
      <c r="AL1259">
        <v>86.331761024596204</v>
      </c>
      <c r="AM1259">
        <v>88.000785679627995</v>
      </c>
      <c r="AN1259">
        <v>1.00000001003573</v>
      </c>
    </row>
    <row r="1260" spans="1:40" x14ac:dyDescent="0.25">
      <c r="A1260" t="str">
        <f>"20190312153913218"</f>
        <v>20190312153913218</v>
      </c>
      <c r="B1260" t="str">
        <f>"1552376353207653"</f>
        <v>1552376353207653</v>
      </c>
      <c r="C1260" t="s">
        <v>40</v>
      </c>
      <c r="D1260">
        <v>4.1698180000000002</v>
      </c>
      <c r="E1260">
        <v>0.51274059999999999</v>
      </c>
      <c r="F1260" t="s">
        <v>42</v>
      </c>
      <c r="G1260">
        <v>-220.6944</v>
      </c>
      <c r="H1260" s="1">
        <v>-4.504996E-6</v>
      </c>
      <c r="I1260">
        <v>366.625</v>
      </c>
      <c r="J1260">
        <v>-255.09620000000001</v>
      </c>
      <c r="K1260">
        <v>1.1100080000000001</v>
      </c>
      <c r="L1260">
        <v>368.15530000000001</v>
      </c>
      <c r="M1260">
        <v>0.99972280000000002</v>
      </c>
      <c r="N1260">
        <v>0</v>
      </c>
      <c r="O1260">
        <v>2.1457960000000002E-2</v>
      </c>
      <c r="P1260">
        <v>0.99843630000000005</v>
      </c>
      <c r="Q1260">
        <v>5.4265599999999997E-2</v>
      </c>
      <c r="R1260">
        <v>-1.343859E-2</v>
      </c>
      <c r="S1260">
        <v>3.0081630000000001</v>
      </c>
      <c r="T1260">
        <v>-9.6620079999999997E-2</v>
      </c>
      <c r="U1260">
        <v>-0.1329041</v>
      </c>
      <c r="V1260">
        <v>3.485415E-2</v>
      </c>
      <c r="W1260">
        <v>6.3941999999999999E-2</v>
      </c>
      <c r="X1260">
        <v>0.99734480000000003</v>
      </c>
      <c r="Y1260">
        <v>6.5521179999999998E-2</v>
      </c>
      <c r="Z1260">
        <v>-1.740239E-3</v>
      </c>
      <c r="AA1260">
        <v>0.9978496</v>
      </c>
      <c r="AB1260">
        <v>23</v>
      </c>
      <c r="AC1260">
        <v>34.401800000000001</v>
      </c>
      <c r="AD1260">
        <v>-1.1100125049959999</v>
      </c>
      <c r="AE1260">
        <v>-1.53030000000001</v>
      </c>
      <c r="AF1260">
        <v>2.2658204264602402</v>
      </c>
      <c r="AG1260">
        <v>-1.1100125049959999</v>
      </c>
      <c r="AH1260">
        <v>34.325373981966997</v>
      </c>
      <c r="AI1260">
        <v>91.848163705927504</v>
      </c>
      <c r="AJ1260">
        <v>86.223380404546404</v>
      </c>
      <c r="AK1260">
        <v>34.417980315063602</v>
      </c>
      <c r="AL1260">
        <v>86.333892246488503</v>
      </c>
      <c r="AM1260">
        <v>87.998502304019198</v>
      </c>
      <c r="AN1260">
        <v>1.00000002061163</v>
      </c>
    </row>
    <row r="1261" spans="1:40" x14ac:dyDescent="0.25">
      <c r="A1261" t="str">
        <f>"20190312153913232"</f>
        <v>20190312153913232</v>
      </c>
      <c r="B1261" t="str">
        <f>"1552376353227172"</f>
        <v>1552376353227172</v>
      </c>
      <c r="C1261" t="s">
        <v>40</v>
      </c>
      <c r="D1261">
        <v>4.2116540000000002</v>
      </c>
      <c r="E1261">
        <v>0.512818</v>
      </c>
      <c r="F1261" t="s">
        <v>42</v>
      </c>
      <c r="G1261">
        <v>-220.52539999999999</v>
      </c>
      <c r="H1261" s="1">
        <v>-4.5776349999999999E-6</v>
      </c>
      <c r="I1261">
        <v>366.62439999999998</v>
      </c>
      <c r="J1261">
        <v>-254.95140000000001</v>
      </c>
      <c r="K1261">
        <v>1.110009</v>
      </c>
      <c r="L1261">
        <v>368.1585</v>
      </c>
      <c r="M1261">
        <v>0.99972179999999999</v>
      </c>
      <c r="N1261">
        <v>0</v>
      </c>
      <c r="O1261">
        <v>2.1515300000000001E-2</v>
      </c>
      <c r="P1261">
        <v>0.99843150000000003</v>
      </c>
      <c r="Q1261">
        <v>5.4335069999999999E-2</v>
      </c>
      <c r="R1261">
        <v>-1.3499479999999999E-2</v>
      </c>
      <c r="S1261">
        <v>3.0081479999999998</v>
      </c>
      <c r="T1261">
        <v>-9.658659E-2</v>
      </c>
      <c r="U1261">
        <v>-0.1332092</v>
      </c>
      <c r="V1261">
        <v>3.4972240000000002E-2</v>
      </c>
      <c r="W1261">
        <v>6.3986260000000003E-2</v>
      </c>
      <c r="X1261">
        <v>0.99733780000000005</v>
      </c>
      <c r="Y1261">
        <v>6.5679589999999996E-2</v>
      </c>
      <c r="Z1261">
        <v>-1.744022E-3</v>
      </c>
      <c r="AA1261">
        <v>0.99783920000000004</v>
      </c>
      <c r="AB1261">
        <v>23</v>
      </c>
      <c r="AC1261">
        <v>34.426000000000002</v>
      </c>
      <c r="AD1261">
        <v>-1.110013577635</v>
      </c>
      <c r="AE1261">
        <v>-1.53410000000002</v>
      </c>
      <c r="AF1261">
        <v>2.2721076725485498</v>
      </c>
      <c r="AG1261">
        <v>-1.110013577635</v>
      </c>
      <c r="AH1261">
        <v>34.349381875859699</v>
      </c>
      <c r="AI1261">
        <v>91.846858019830705</v>
      </c>
      <c r="AJ1261">
        <v>86.215570624516303</v>
      </c>
      <c r="AK1261">
        <v>34.442337880460798</v>
      </c>
      <c r="AL1261">
        <v>86.331351030843805</v>
      </c>
      <c r="AM1261">
        <v>87.991712451690603</v>
      </c>
      <c r="AN1261">
        <v>0.99999999317412203</v>
      </c>
    </row>
    <row r="1262" spans="1:40" x14ac:dyDescent="0.25">
      <c r="A1262" t="str">
        <f>"20190312153913244"</f>
        <v>20190312153913244</v>
      </c>
      <c r="B1262" t="str">
        <f>"1552376353236932"</f>
        <v>1552376353236932</v>
      </c>
      <c r="C1262" t="s">
        <v>40</v>
      </c>
      <c r="D1262">
        <v>4.2142109999999997</v>
      </c>
      <c r="E1262">
        <v>0.51287519999999998</v>
      </c>
      <c r="F1262" t="s">
        <v>42</v>
      </c>
      <c r="G1262">
        <v>-220.5762</v>
      </c>
      <c r="H1262" s="1">
        <v>-4.5553350000000002E-6</v>
      </c>
      <c r="I1262">
        <v>366.62720000000002</v>
      </c>
      <c r="J1262">
        <v>-254.8236</v>
      </c>
      <c r="K1262">
        <v>1.110006</v>
      </c>
      <c r="L1262">
        <v>368.16129999999998</v>
      </c>
      <c r="M1262">
        <v>0.99972090000000002</v>
      </c>
      <c r="N1262">
        <v>0</v>
      </c>
      <c r="O1262">
        <v>2.1565589999999999E-2</v>
      </c>
      <c r="P1262">
        <v>0.99843669999999995</v>
      </c>
      <c r="Q1262">
        <v>5.427017E-2</v>
      </c>
      <c r="R1262">
        <v>-1.338551E-2</v>
      </c>
      <c r="S1262">
        <v>3.0081790000000002</v>
      </c>
      <c r="T1262">
        <v>-9.7137089999999995E-2</v>
      </c>
      <c r="U1262">
        <v>-0.1340027</v>
      </c>
      <c r="V1262">
        <v>3.4908540000000002E-2</v>
      </c>
      <c r="W1262">
        <v>6.3900579999999998E-2</v>
      </c>
      <c r="X1262">
        <v>0.9973455</v>
      </c>
      <c r="Y1262">
        <v>6.5991309999999997E-2</v>
      </c>
      <c r="Z1262">
        <v>-1.760581E-3</v>
      </c>
      <c r="AA1262">
        <v>0.9978186</v>
      </c>
      <c r="AB1262">
        <v>23</v>
      </c>
      <c r="AC1262">
        <v>34.247399999999999</v>
      </c>
      <c r="AD1262">
        <v>-1.1100105553349999</v>
      </c>
      <c r="AE1262">
        <v>-1.5340999999999601</v>
      </c>
      <c r="AF1262">
        <v>2.2699631028113898</v>
      </c>
      <c r="AG1262">
        <v>-1.1100105553349999</v>
      </c>
      <c r="AH1262">
        <v>34.170524726630397</v>
      </c>
      <c r="AI1262">
        <v>91.856478434050004</v>
      </c>
      <c r="AJ1262">
        <v>86.199400095335704</v>
      </c>
      <c r="AK1262">
        <v>34.263823721446201</v>
      </c>
      <c r="AL1262">
        <v>86.336270109075102</v>
      </c>
      <c r="AM1262">
        <v>87.995382913260798</v>
      </c>
      <c r="AN1262">
        <v>0.99999996832975802</v>
      </c>
    </row>
    <row r="1263" spans="1:40" x14ac:dyDescent="0.25">
      <c r="A1263" t="str">
        <f>"20190312153913258"</f>
        <v>20190312153913258</v>
      </c>
      <c r="B1263" t="str">
        <f>"1552376353246693"</f>
        <v>1552376353246693</v>
      </c>
      <c r="C1263" t="s">
        <v>40</v>
      </c>
      <c r="D1263">
        <v>4.2220409999999999</v>
      </c>
      <c r="E1263">
        <v>0.5129262</v>
      </c>
      <c r="F1263" t="s">
        <v>42</v>
      </c>
      <c r="G1263">
        <v>-220.4288</v>
      </c>
      <c r="H1263" s="1">
        <v>-4.6182470000000003E-6</v>
      </c>
      <c r="I1263">
        <v>366.62909999999999</v>
      </c>
      <c r="J1263">
        <v>-254.67619999999999</v>
      </c>
      <c r="K1263">
        <v>1.1100019999999999</v>
      </c>
      <c r="L1263">
        <v>368.16449999999998</v>
      </c>
      <c r="M1263">
        <v>0.99971989999999999</v>
      </c>
      <c r="N1263">
        <v>0</v>
      </c>
      <c r="O1263">
        <v>2.1623750000000001E-2</v>
      </c>
      <c r="P1263">
        <v>0.99842220000000004</v>
      </c>
      <c r="Q1263">
        <v>5.455861E-2</v>
      </c>
      <c r="R1263">
        <v>-1.3299429999999999E-2</v>
      </c>
      <c r="S1263">
        <v>3.0081790000000002</v>
      </c>
      <c r="T1263">
        <v>-9.7081539999999994E-2</v>
      </c>
      <c r="U1263">
        <v>-0.1340027</v>
      </c>
      <c r="V1263">
        <v>3.4880010000000003E-2</v>
      </c>
      <c r="W1263">
        <v>6.4167080000000001E-2</v>
      </c>
      <c r="X1263">
        <v>0.99732940000000003</v>
      </c>
      <c r="Y1263">
        <v>6.6049330000000003E-2</v>
      </c>
      <c r="Z1263">
        <v>-1.7623859999999999E-3</v>
      </c>
      <c r="AA1263">
        <v>0.9978148</v>
      </c>
      <c r="AB1263">
        <v>23</v>
      </c>
      <c r="AC1263">
        <v>34.247399999999999</v>
      </c>
      <c r="AD1263">
        <v>-1.1100066182470001</v>
      </c>
      <c r="AE1263">
        <v>-1.5353999999999799</v>
      </c>
      <c r="AF1263">
        <v>2.27324918316689</v>
      </c>
      <c r="AG1263">
        <v>-1.1100066182470001</v>
      </c>
      <c r="AH1263">
        <v>34.1703649160414</v>
      </c>
      <c r="AI1263">
        <v>91.8564686840717</v>
      </c>
      <c r="AJ1263">
        <v>86.193896621548205</v>
      </c>
      <c r="AK1263">
        <v>34.263882077732497</v>
      </c>
      <c r="AL1263">
        <v>86.320969427551006</v>
      </c>
      <c r="AM1263">
        <v>87.996987600733306</v>
      </c>
      <c r="AN1263">
        <v>0.99999998067884299</v>
      </c>
    </row>
    <row r="1264" spans="1:40" x14ac:dyDescent="0.25">
      <c r="A1264" t="str">
        <f>"20190312153913274"</f>
        <v>20190312153913274</v>
      </c>
      <c r="B1264" t="str">
        <f>"1552376353267189"</f>
        <v>1552376353267189</v>
      </c>
      <c r="C1264" t="s">
        <v>40</v>
      </c>
      <c r="D1264">
        <v>4.2015589999999996</v>
      </c>
      <c r="E1264">
        <v>0.51299659999999903</v>
      </c>
      <c r="F1264" t="s">
        <v>42</v>
      </c>
      <c r="G1264">
        <v>-220.04310000000001</v>
      </c>
      <c r="H1264" s="1">
        <v>-4.7858809999999999E-6</v>
      </c>
      <c r="I1264">
        <v>366.61680000000001</v>
      </c>
      <c r="J1264">
        <v>-254.49850000000001</v>
      </c>
      <c r="K1264">
        <v>1.110009</v>
      </c>
      <c r="L1264">
        <v>368.16849999999999</v>
      </c>
      <c r="M1264">
        <v>0.99971849999999995</v>
      </c>
      <c r="N1264">
        <v>0</v>
      </c>
      <c r="O1264">
        <v>2.1693529999999999E-2</v>
      </c>
      <c r="P1264">
        <v>0.9984246</v>
      </c>
      <c r="Q1264">
        <v>5.4461040000000002E-2</v>
      </c>
      <c r="R1264">
        <v>-1.351045E-2</v>
      </c>
      <c r="S1264">
        <v>3.0082239999999998</v>
      </c>
      <c r="T1264">
        <v>-9.6414570000000005E-2</v>
      </c>
      <c r="U1264">
        <v>-0.13442989999999999</v>
      </c>
      <c r="V1264">
        <v>3.5160619999999997E-2</v>
      </c>
      <c r="W1264">
        <v>6.4049540000000002E-2</v>
      </c>
      <c r="X1264">
        <v>0.99732710000000002</v>
      </c>
      <c r="Y1264">
        <v>6.6260219999999995E-2</v>
      </c>
      <c r="Z1264">
        <v>-1.755864E-3</v>
      </c>
      <c r="AA1264">
        <v>0.99780080000000004</v>
      </c>
      <c r="AB1264">
        <v>23</v>
      </c>
      <c r="AC1264">
        <v>34.455399999999997</v>
      </c>
      <c r="AD1264">
        <v>-1.110013785881</v>
      </c>
      <c r="AE1264">
        <v>-1.5516999999999801</v>
      </c>
      <c r="AF1264">
        <v>2.29644996866858</v>
      </c>
      <c r="AG1264">
        <v>-1.110013785881</v>
      </c>
      <c r="AH1264">
        <v>34.378019746681403</v>
      </c>
      <c r="AI1264">
        <v>91.845241256644897</v>
      </c>
      <c r="AJ1264">
        <v>86.178322502954401</v>
      </c>
      <c r="AK1264">
        <v>34.472511581935201</v>
      </c>
      <c r="AL1264">
        <v>86.327717847781997</v>
      </c>
      <c r="AM1264">
        <v>87.980881979816502</v>
      </c>
      <c r="AN1264">
        <v>0.99999997858370204</v>
      </c>
    </row>
    <row r="1265" spans="1:40" x14ac:dyDescent="0.25">
      <c r="A1265" t="str">
        <f>"20190312153913289"</f>
        <v>20190312153913289</v>
      </c>
      <c r="B1265" t="str">
        <f>"1552376353276949"</f>
        <v>1552376353276949</v>
      </c>
      <c r="C1265" t="s">
        <v>40</v>
      </c>
      <c r="D1265">
        <v>4.2445909999999998</v>
      </c>
      <c r="E1265">
        <v>0.51303220000000005</v>
      </c>
      <c r="F1265" t="s">
        <v>42</v>
      </c>
      <c r="G1265">
        <v>-220.07679999999999</v>
      </c>
      <c r="H1265" s="1">
        <v>-4.7715409999999996E-6</v>
      </c>
      <c r="I1265">
        <v>366.61619999999999</v>
      </c>
      <c r="J1265">
        <v>-254.35759999999999</v>
      </c>
      <c r="K1265">
        <v>1.110009</v>
      </c>
      <c r="L1265">
        <v>368.17160000000001</v>
      </c>
      <c r="M1265">
        <v>0.99971739999999998</v>
      </c>
      <c r="N1265">
        <v>0</v>
      </c>
      <c r="O1265">
        <v>2.1749129999999998E-2</v>
      </c>
      <c r="P1265">
        <v>0.99842730000000002</v>
      </c>
      <c r="Q1265">
        <v>5.4471369999999998E-2</v>
      </c>
      <c r="R1265">
        <v>-1.32563E-2</v>
      </c>
      <c r="S1265">
        <v>3.0081790000000002</v>
      </c>
      <c r="T1265">
        <v>-9.7005839999999996E-2</v>
      </c>
      <c r="U1265">
        <v>-0.13565060000000001</v>
      </c>
      <c r="V1265">
        <v>3.4962229999999997E-2</v>
      </c>
      <c r="W1265">
        <v>6.4050499999999996E-2</v>
      </c>
      <c r="X1265">
        <v>0.9973341</v>
      </c>
      <c r="Y1265">
        <v>6.6719650000000005E-2</v>
      </c>
      <c r="Z1265">
        <v>-1.775832E-3</v>
      </c>
      <c r="AA1265">
        <v>0.99777020000000005</v>
      </c>
      <c r="AB1265">
        <v>23</v>
      </c>
      <c r="AC1265">
        <v>34.280799999999999</v>
      </c>
      <c r="AD1265">
        <v>-1.1100137715409999</v>
      </c>
      <c r="AE1265">
        <v>-1.5554000000000101</v>
      </c>
      <c r="AF1265">
        <v>2.2982392835049299</v>
      </c>
      <c r="AG1265">
        <v>-1.1100137715409999</v>
      </c>
      <c r="AH1265">
        <v>34.203073181288097</v>
      </c>
      <c r="AI1265">
        <v>91.854624247546397</v>
      </c>
      <c r="AJ1265">
        <v>86.155849298685098</v>
      </c>
      <c r="AK1265">
        <v>34.298166852206599</v>
      </c>
      <c r="AL1265">
        <v>86.327663050466796</v>
      </c>
      <c r="AM1265">
        <v>87.992279365049797</v>
      </c>
      <c r="AN1265">
        <v>1.00000006554981</v>
      </c>
    </row>
    <row r="1266" spans="1:40" x14ac:dyDescent="0.25">
      <c r="A1266" t="str">
        <f>"20190312153913306"</f>
        <v>20190312153913306</v>
      </c>
      <c r="B1266" t="str">
        <f>"1552376353297446"</f>
        <v>1552376353297446</v>
      </c>
      <c r="C1266" t="s">
        <v>40</v>
      </c>
      <c r="D1266">
        <v>4.2159230000000001</v>
      </c>
      <c r="E1266">
        <v>0.51311340000000005</v>
      </c>
      <c r="F1266" t="s">
        <v>42</v>
      </c>
      <c r="G1266">
        <v>-220.06540000000001</v>
      </c>
      <c r="H1266" s="1">
        <v>-4.7741319999999998E-6</v>
      </c>
      <c r="I1266">
        <v>366.62900000000002</v>
      </c>
      <c r="J1266">
        <v>-254.1765</v>
      </c>
      <c r="K1266">
        <v>1.1100080000000001</v>
      </c>
      <c r="L1266">
        <v>368.17559999999997</v>
      </c>
      <c r="M1266">
        <v>0.99971589999999999</v>
      </c>
      <c r="N1266">
        <v>0</v>
      </c>
      <c r="O1266">
        <v>2.1820200000000001E-2</v>
      </c>
      <c r="P1266">
        <v>0.99844549999999999</v>
      </c>
      <c r="Q1266">
        <v>5.4155130000000003E-2</v>
      </c>
      <c r="R1266">
        <v>-1.3187559999999999E-2</v>
      </c>
      <c r="S1266">
        <v>3.0082239999999998</v>
      </c>
      <c r="T1266">
        <v>-9.7373840000000003E-2</v>
      </c>
      <c r="U1266">
        <v>-0.13531489999999999</v>
      </c>
      <c r="V1266">
        <v>3.4964820000000001E-2</v>
      </c>
      <c r="W1266">
        <v>6.3728339999999994E-2</v>
      </c>
      <c r="X1266">
        <v>0.99735459999999998</v>
      </c>
      <c r="Y1266">
        <v>6.6678429999999997E-2</v>
      </c>
      <c r="Z1266">
        <v>-1.784175E-3</v>
      </c>
      <c r="AA1266">
        <v>0.99777289999999996</v>
      </c>
      <c r="AB1266">
        <v>23</v>
      </c>
      <c r="AC1266">
        <v>34.111099999999901</v>
      </c>
      <c r="AD1266">
        <v>-1.1100127741319901</v>
      </c>
      <c r="AE1266">
        <v>-1.54659999999995</v>
      </c>
      <c r="AF1266">
        <v>2.2881589879182398</v>
      </c>
      <c r="AG1266">
        <v>-1.1100127741319901</v>
      </c>
      <c r="AH1266">
        <v>34.033264421155899</v>
      </c>
      <c r="AI1266">
        <v>91.863864829526193</v>
      </c>
      <c r="AJ1266">
        <v>86.153620577739702</v>
      </c>
      <c r="AK1266">
        <v>34.1281538773055</v>
      </c>
      <c r="AL1266">
        <v>86.346159075545501</v>
      </c>
      <c r="AM1266">
        <v>87.992171991671896</v>
      </c>
      <c r="AN1266">
        <v>1.00000001904897</v>
      </c>
    </row>
    <row r="1267" spans="1:40" x14ac:dyDescent="0.25">
      <c r="A1267" t="str">
        <f>"20190312153913322"</f>
        <v>20190312153913322</v>
      </c>
      <c r="B1267" t="str">
        <f>"1552376353306736"</f>
        <v>1552376353306736</v>
      </c>
      <c r="C1267" t="s">
        <v>40</v>
      </c>
      <c r="D1267">
        <v>4.2410459999999999</v>
      </c>
      <c r="E1267">
        <v>0.51314799999999905</v>
      </c>
      <c r="F1267" t="s">
        <v>42</v>
      </c>
      <c r="G1267">
        <v>-220.22880000000001</v>
      </c>
      <c r="H1267" s="1">
        <v>-4.7010559999999901E-6</v>
      </c>
      <c r="I1267">
        <v>366.64580000000001</v>
      </c>
      <c r="J1267">
        <v>-254.0138</v>
      </c>
      <c r="K1267">
        <v>1.1100080000000001</v>
      </c>
      <c r="L1267">
        <v>368.17919999999998</v>
      </c>
      <c r="M1267">
        <v>0.99971460000000001</v>
      </c>
      <c r="N1267">
        <v>0</v>
      </c>
      <c r="O1267">
        <v>2.188302E-2</v>
      </c>
      <c r="P1267">
        <v>0.99845079999999997</v>
      </c>
      <c r="Q1267">
        <v>5.4072990000000001E-2</v>
      </c>
      <c r="R1267">
        <v>-1.31314E-2</v>
      </c>
      <c r="S1267">
        <v>3.008194</v>
      </c>
      <c r="T1267">
        <v>-9.8361130000000005E-2</v>
      </c>
      <c r="U1267">
        <v>-0.13555909999999999</v>
      </c>
      <c r="V1267">
        <v>3.4971540000000002E-2</v>
      </c>
      <c r="W1267">
        <v>6.3646030000000006E-2</v>
      </c>
      <c r="X1267">
        <v>0.99735960000000001</v>
      </c>
      <c r="Y1267">
        <v>6.6821340000000007E-2</v>
      </c>
      <c r="Z1267">
        <v>-1.806658E-3</v>
      </c>
      <c r="AA1267">
        <v>0.99776330000000002</v>
      </c>
      <c r="AB1267">
        <v>23</v>
      </c>
      <c r="AC1267">
        <v>33.784999999999997</v>
      </c>
      <c r="AD1267">
        <v>-1.1100127010559999</v>
      </c>
      <c r="AE1267">
        <v>-1.5333999999999699</v>
      </c>
      <c r="AF1267">
        <v>2.2699392823814</v>
      </c>
      <c r="AG1267">
        <v>-1.1100127010559999</v>
      </c>
      <c r="AH1267">
        <v>33.707041341833197</v>
      </c>
      <c r="AI1267">
        <v>91.8818767541797</v>
      </c>
      <c r="AJ1267">
        <v>86.147337174252002</v>
      </c>
      <c r="AK1267">
        <v>33.801618135264697</v>
      </c>
      <c r="AL1267">
        <v>86.350884610224597</v>
      </c>
      <c r="AM1267">
        <v>87.991796476162307</v>
      </c>
      <c r="AN1267">
        <v>0.99999999872844603</v>
      </c>
    </row>
    <row r="1268" spans="1:40" x14ac:dyDescent="0.25">
      <c r="A1268" t="str">
        <f>"20190312153913336"</f>
        <v>20190312153913336</v>
      </c>
      <c r="B1268" t="str">
        <f>"1552376353327231"</f>
        <v>1552376353327231</v>
      </c>
      <c r="C1268" t="s">
        <v>40</v>
      </c>
      <c r="D1268">
        <v>4.2260070000000001</v>
      </c>
      <c r="E1268">
        <v>0.51682609999999995</v>
      </c>
      <c r="F1268" t="s">
        <v>42</v>
      </c>
      <c r="G1268">
        <v>-220.16919999999999</v>
      </c>
      <c r="H1268" s="1">
        <v>-4.7255989999999999E-6</v>
      </c>
      <c r="I1268">
        <v>366.65159999999997</v>
      </c>
      <c r="J1268">
        <v>-253.85429999999999</v>
      </c>
      <c r="K1268">
        <v>1.110007</v>
      </c>
      <c r="L1268">
        <v>368.18279999999999</v>
      </c>
      <c r="M1268">
        <v>0.99971319999999997</v>
      </c>
      <c r="N1268">
        <v>0</v>
      </c>
      <c r="O1268">
        <v>2.194368E-2</v>
      </c>
      <c r="P1268">
        <v>0.99845720000000004</v>
      </c>
      <c r="Q1268">
        <v>5.3948919999999997E-2</v>
      </c>
      <c r="R1268">
        <v>-1.315881E-2</v>
      </c>
      <c r="S1268">
        <v>3.008194</v>
      </c>
      <c r="T1268">
        <v>-9.8660590000000006E-2</v>
      </c>
      <c r="U1268">
        <v>-0.1357727</v>
      </c>
      <c r="V1268">
        <v>3.5059519999999997E-2</v>
      </c>
      <c r="W1268">
        <v>6.3524689999999995E-2</v>
      </c>
      <c r="X1268">
        <v>0.99736420000000003</v>
      </c>
      <c r="Y1268">
        <v>6.6952189999999995E-2</v>
      </c>
      <c r="Z1268">
        <v>-1.816284E-3</v>
      </c>
      <c r="AA1268">
        <v>0.99775449999999999</v>
      </c>
      <c r="AB1268">
        <v>23</v>
      </c>
      <c r="AC1268">
        <v>33.685099999999998</v>
      </c>
      <c r="AD1268">
        <v>-1.1100117255990001</v>
      </c>
      <c r="AE1268">
        <v>-1.5312000000000101</v>
      </c>
      <c r="AF1268">
        <v>2.26758309063014</v>
      </c>
      <c r="AG1268">
        <v>-1.1100117255990001</v>
      </c>
      <c r="AH1268">
        <v>33.606968772266796</v>
      </c>
      <c r="AI1268">
        <v>91.887458268898996</v>
      </c>
      <c r="AJ1268">
        <v>86.1398984725774</v>
      </c>
      <c r="AK1268">
        <v>33.701667750483701</v>
      </c>
      <c r="AL1268">
        <v>86.357850806132205</v>
      </c>
      <c r="AM1268">
        <v>87.986757748201597</v>
      </c>
      <c r="AN1268">
        <v>0.99999995181193202</v>
      </c>
    </row>
    <row r="1269" spans="1:40" x14ac:dyDescent="0.25">
      <c r="A1269" t="str">
        <f>"20190312153913351"</f>
        <v>20190312153913351</v>
      </c>
      <c r="B1269" t="str">
        <f>"1552376353346753"</f>
        <v>1552376353346753</v>
      </c>
      <c r="C1269" t="s">
        <v>40</v>
      </c>
      <c r="D1269">
        <v>4.2379419999999897</v>
      </c>
      <c r="E1269">
        <v>0.51643589999999995</v>
      </c>
      <c r="F1269" t="s">
        <v>42</v>
      </c>
      <c r="G1269">
        <v>-223.44569999999999</v>
      </c>
      <c r="H1269" s="1">
        <v>-3.3438110000000002E-6</v>
      </c>
      <c r="I1269">
        <v>366.51729999999998</v>
      </c>
      <c r="J1269">
        <v>-253.70009999999999</v>
      </c>
      <c r="K1269">
        <v>1.110006</v>
      </c>
      <c r="L1269">
        <v>368.18619999999999</v>
      </c>
      <c r="M1269">
        <v>0.99971189999999999</v>
      </c>
      <c r="N1269">
        <v>0</v>
      </c>
      <c r="O1269">
        <v>2.2001039999999999E-2</v>
      </c>
      <c r="P1269">
        <v>0.99846259999999998</v>
      </c>
      <c r="Q1269">
        <v>5.3913229999999999E-2</v>
      </c>
      <c r="R1269">
        <v>-1.2884980000000001E-2</v>
      </c>
      <c r="S1269">
        <v>3.0083920000000002</v>
      </c>
      <c r="T1269">
        <v>-0.1098157</v>
      </c>
      <c r="U1269">
        <v>-0.16476440000000001</v>
      </c>
      <c r="V1269">
        <v>3.4843440000000003E-2</v>
      </c>
      <c r="W1269">
        <v>6.3494679999999998E-2</v>
      </c>
      <c r="X1269">
        <v>0.99737379999999998</v>
      </c>
      <c r="Y1269">
        <v>7.6576720000000001E-2</v>
      </c>
      <c r="Z1269">
        <v>-2.1984819999999999E-3</v>
      </c>
      <c r="AA1269">
        <v>0.99706130000000004</v>
      </c>
      <c r="AB1269">
        <v>23</v>
      </c>
      <c r="AC1269">
        <v>30.2544</v>
      </c>
      <c r="AD1269">
        <v>-1.1100093438109999</v>
      </c>
      <c r="AE1269">
        <v>-1.6689000000000001</v>
      </c>
      <c r="AF1269">
        <v>2.3310266434412998</v>
      </c>
      <c r="AG1269">
        <v>-1.1100093438109999</v>
      </c>
      <c r="AH1269">
        <v>30.1698686038782</v>
      </c>
      <c r="AI1269">
        <v>92.100819443344804</v>
      </c>
      <c r="AJ1269">
        <v>85.581910741535694</v>
      </c>
      <c r="AK1269">
        <v>30.280138334080501</v>
      </c>
      <c r="AL1269">
        <v>86.359574155445301</v>
      </c>
      <c r="AM1269">
        <v>87.999174956322307</v>
      </c>
      <c r="AN1269">
        <v>1.00000006831288</v>
      </c>
    </row>
    <row r="1270" spans="1:40" x14ac:dyDescent="0.25">
      <c r="A1270" t="str">
        <f>"20190312153913366"</f>
        <v>20190312153913366</v>
      </c>
      <c r="B1270" t="str">
        <f>"1552376353357489"</f>
        <v>1552376353357489</v>
      </c>
      <c r="C1270" t="s">
        <v>40</v>
      </c>
      <c r="D1270">
        <v>4.2698549999999997</v>
      </c>
      <c r="E1270">
        <v>0.51207009999999997</v>
      </c>
      <c r="F1270" t="s">
        <v>42</v>
      </c>
      <c r="G1270">
        <v>-223.547</v>
      </c>
      <c r="H1270" s="1">
        <v>-3.2908649999999998E-6</v>
      </c>
      <c r="I1270">
        <v>366.57089999999999</v>
      </c>
      <c r="J1270">
        <v>-253.5522</v>
      </c>
      <c r="K1270">
        <v>1.1100049999999999</v>
      </c>
      <c r="L1270">
        <v>368.18950000000001</v>
      </c>
      <c r="M1270">
        <v>0.99971069999999995</v>
      </c>
      <c r="N1270">
        <v>0</v>
      </c>
      <c r="O1270">
        <v>2.2054810000000001E-2</v>
      </c>
      <c r="P1270">
        <v>0.99847509999999995</v>
      </c>
      <c r="Q1270">
        <v>5.3671000000000003E-2</v>
      </c>
      <c r="R1270">
        <v>-1.2941319999999999E-2</v>
      </c>
      <c r="S1270">
        <v>3.008499</v>
      </c>
      <c r="T1270">
        <v>-0.1107498</v>
      </c>
      <c r="U1270">
        <v>-0.16116329999999901</v>
      </c>
      <c r="V1270">
        <v>3.4953909999999998E-2</v>
      </c>
      <c r="W1270">
        <v>6.3259129999999997E-2</v>
      </c>
      <c r="X1270">
        <v>0.99738479999999996</v>
      </c>
      <c r="Y1270">
        <v>7.5438019999999995E-2</v>
      </c>
      <c r="Z1270">
        <v>-2.1982019999999998E-3</v>
      </c>
      <c r="AA1270">
        <v>0.99714809999999998</v>
      </c>
      <c r="AB1270">
        <v>23</v>
      </c>
      <c r="AC1270">
        <v>30.005199999999999</v>
      </c>
      <c r="AD1270">
        <v>-1.110008290865</v>
      </c>
      <c r="AE1270">
        <v>-1.61860000000001</v>
      </c>
      <c r="AF1270">
        <v>2.2768887364018799</v>
      </c>
      <c r="AG1270">
        <v>-1.110008290865</v>
      </c>
      <c r="AH1270">
        <v>29.921371436873599</v>
      </c>
      <c r="AI1270">
        <v>92.118437312995994</v>
      </c>
      <c r="AJ1270">
        <v>85.648422003167795</v>
      </c>
      <c r="AK1270">
        <v>30.028400047073799</v>
      </c>
      <c r="AL1270">
        <v>86.373096991171494</v>
      </c>
      <c r="AM1270">
        <v>87.992858704259405</v>
      </c>
      <c r="AN1270">
        <v>0.99999996631184096</v>
      </c>
    </row>
    <row r="1271" spans="1:40" x14ac:dyDescent="0.25">
      <c r="A1271" t="str">
        <f>"20190312153913378"</f>
        <v>20190312153913378</v>
      </c>
      <c r="B1271" t="str">
        <f>"1552376353367249"</f>
        <v>1552376353367249</v>
      </c>
      <c r="C1271" t="s">
        <v>40</v>
      </c>
      <c r="D1271">
        <v>4.2632089999999998</v>
      </c>
      <c r="E1271">
        <v>0.50870439999999995</v>
      </c>
      <c r="F1271" t="s">
        <v>42</v>
      </c>
      <c r="G1271">
        <v>-220.16540000000001</v>
      </c>
      <c r="H1271" s="1">
        <v>-4.7041100000000003E-6</v>
      </c>
      <c r="I1271">
        <v>366.78190000000001</v>
      </c>
      <c r="J1271">
        <v>-253.41679999999999</v>
      </c>
      <c r="K1271">
        <v>1.110001</v>
      </c>
      <c r="L1271">
        <v>368.19260000000003</v>
      </c>
      <c r="M1271">
        <v>0.99970950000000003</v>
      </c>
      <c r="N1271">
        <v>0</v>
      </c>
      <c r="O1271">
        <v>2.2103089999999999E-2</v>
      </c>
      <c r="P1271">
        <v>0.99849019999999999</v>
      </c>
      <c r="Q1271">
        <v>5.3454380000000003E-2</v>
      </c>
      <c r="R1271">
        <v>-1.265664E-2</v>
      </c>
      <c r="S1271">
        <v>3.0083009999999999</v>
      </c>
      <c r="T1271">
        <v>-0.1000168</v>
      </c>
      <c r="U1271">
        <v>-0.1268311</v>
      </c>
      <c r="V1271">
        <v>3.4718270000000002E-2</v>
      </c>
      <c r="W1271">
        <v>6.3050200000000001E-2</v>
      </c>
      <c r="X1271">
        <v>0.99740629999999997</v>
      </c>
      <c r="Y1271">
        <v>6.4149570000000003E-2</v>
      </c>
      <c r="Z1271">
        <v>-1.800028E-3</v>
      </c>
      <c r="AA1271">
        <v>0.99793869999999896</v>
      </c>
      <c r="AB1271">
        <v>24</v>
      </c>
      <c r="AC1271">
        <v>33.251399999999897</v>
      </c>
      <c r="AD1271">
        <v>-1.11000570411</v>
      </c>
      <c r="AE1271">
        <v>-1.4107000000000101</v>
      </c>
      <c r="AF1271">
        <v>2.1429641919036899</v>
      </c>
      <c r="AG1271">
        <v>-1.11000570411</v>
      </c>
      <c r="AH1271">
        <v>33.175190447145297</v>
      </c>
      <c r="AI1271">
        <v>91.912356824138797</v>
      </c>
      <c r="AJ1271">
        <v>86.3040918399264</v>
      </c>
      <c r="AK1271">
        <v>33.262857204324703</v>
      </c>
      <c r="AL1271">
        <v>86.385091889277405</v>
      </c>
      <c r="AM1271">
        <v>88.006421728686206</v>
      </c>
      <c r="AN1271">
        <v>1.0000000066357599</v>
      </c>
    </row>
    <row r="1272" spans="1:40" x14ac:dyDescent="0.25">
      <c r="A1272" t="str">
        <f>"20190312153913392"</f>
        <v>20190312153913392</v>
      </c>
      <c r="B1272" t="str">
        <f>"1552376353386769"</f>
        <v>1552376353386769</v>
      </c>
      <c r="C1272" t="s">
        <v>40</v>
      </c>
      <c r="D1272">
        <v>4.2341179999999996</v>
      </c>
      <c r="E1272">
        <v>0.4809736</v>
      </c>
      <c r="F1272" t="s">
        <v>42</v>
      </c>
      <c r="G1272">
        <v>-218.5763</v>
      </c>
      <c r="H1272" s="1">
        <v>-1.154757E-6</v>
      </c>
      <c r="I1272">
        <v>367.04500000000002</v>
      </c>
      <c r="J1272">
        <v>-253.26509999999999</v>
      </c>
      <c r="K1272">
        <v>1.110001</v>
      </c>
      <c r="L1272">
        <v>368.19600000000003</v>
      </c>
      <c r="M1272">
        <v>0.99970820000000005</v>
      </c>
      <c r="N1272">
        <v>0</v>
      </c>
      <c r="O1272">
        <v>2.2153849999999999E-2</v>
      </c>
      <c r="P1272">
        <v>0.99850269999999997</v>
      </c>
      <c r="Q1272">
        <v>5.3238960000000002E-2</v>
      </c>
      <c r="R1272">
        <v>-1.257774E-2</v>
      </c>
      <c r="S1272">
        <v>3.0083920000000002</v>
      </c>
      <c r="T1272">
        <v>-9.5845819999999998E-2</v>
      </c>
      <c r="U1272">
        <v>-9.9090579999999998E-2</v>
      </c>
      <c r="V1272">
        <v>3.4690789999999999E-2</v>
      </c>
      <c r="W1272">
        <v>6.2846529999999998E-2</v>
      </c>
      <c r="X1272">
        <v>0.99742010000000003</v>
      </c>
      <c r="Y1272">
        <v>5.5015870000000001E-2</v>
      </c>
      <c r="Z1272">
        <v>-1.581423E-3</v>
      </c>
      <c r="AA1272">
        <v>0.99848429999999999</v>
      </c>
      <c r="AB1272">
        <v>24</v>
      </c>
      <c r="AC1272">
        <v>34.688799999999901</v>
      </c>
      <c r="AD1272">
        <v>-1.110002154757</v>
      </c>
      <c r="AE1272">
        <v>-1.1509999999999501</v>
      </c>
      <c r="AF1272">
        <v>1.91728259112588</v>
      </c>
      <c r="AG1272">
        <v>-1.110002154757</v>
      </c>
      <c r="AH1272">
        <v>34.619376652159602</v>
      </c>
      <c r="AI1272">
        <v>91.833639287987594</v>
      </c>
      <c r="AJ1272">
        <v>86.830096127866597</v>
      </c>
      <c r="AK1272">
        <v>34.690190502531102</v>
      </c>
      <c r="AL1272">
        <v>86.396784473273598</v>
      </c>
      <c r="AM1272">
        <v>88.008025940757193</v>
      </c>
      <c r="AN1272">
        <v>0.99999999656393701</v>
      </c>
    </row>
    <row r="1273" spans="1:40" x14ac:dyDescent="0.25">
      <c r="A1273" t="str">
        <f>"20190312153913407"</f>
        <v>20190312153913407</v>
      </c>
      <c r="B1273" t="str">
        <f>"1552376353397504"</f>
        <v>1552376353397504</v>
      </c>
      <c r="C1273" t="s">
        <v>40</v>
      </c>
      <c r="D1273">
        <v>4.2257429999999996</v>
      </c>
      <c r="E1273">
        <v>0.48045330000000003</v>
      </c>
      <c r="F1273" t="s">
        <v>49</v>
      </c>
      <c r="G1273">
        <v>-197.74950000000001</v>
      </c>
      <c r="H1273" s="1">
        <v>-9.7645650000000006E-6</v>
      </c>
      <c r="I1273">
        <v>370.43049999999999</v>
      </c>
      <c r="J1273">
        <v>-253.11259999999999</v>
      </c>
      <c r="K1273">
        <v>1.1100000000000001</v>
      </c>
      <c r="L1273">
        <v>368.19940000000003</v>
      </c>
      <c r="M1273">
        <v>0.99970700000000001</v>
      </c>
      <c r="N1273">
        <v>0</v>
      </c>
      <c r="O1273">
        <v>2.2202920000000001E-2</v>
      </c>
      <c r="P1273">
        <v>0.99850539999999999</v>
      </c>
      <c r="Q1273">
        <v>5.3217399999999998E-2</v>
      </c>
      <c r="R1273">
        <v>-1.2452329999999999E-2</v>
      </c>
      <c r="S1273">
        <v>3.0092620000000001</v>
      </c>
      <c r="T1273">
        <v>-6.0168979999999997E-2</v>
      </c>
      <c r="U1273">
        <v>0.1211243</v>
      </c>
      <c r="V1273">
        <v>3.4614730000000003E-2</v>
      </c>
      <c r="W1273">
        <v>6.2838439999999995E-2</v>
      </c>
      <c r="X1273">
        <v>0.99742319999999995</v>
      </c>
      <c r="Y1273">
        <v>-1.802285E-2</v>
      </c>
      <c r="Z1273">
        <v>-2.635693E-4</v>
      </c>
      <c r="AA1273">
        <v>0.99983750000000005</v>
      </c>
      <c r="AB1273">
        <v>24</v>
      </c>
      <c r="AC1273">
        <v>55.363099999999903</v>
      </c>
      <c r="AD1273">
        <v>-1.110009764565</v>
      </c>
      <c r="AE1273">
        <v>2.2310999999999601</v>
      </c>
      <c r="AF1273">
        <v>-1.0008686552447299</v>
      </c>
      <c r="AG1273">
        <v>-1.110009764565</v>
      </c>
      <c r="AH1273">
        <v>55.376765435431501</v>
      </c>
      <c r="AI1273">
        <v>91.148134556695496</v>
      </c>
      <c r="AJ1273">
        <v>91.035439797820402</v>
      </c>
      <c r="AK1273">
        <v>55.396931411706198</v>
      </c>
      <c r="AL1273">
        <v>86.397248726248407</v>
      </c>
      <c r="AM1273">
        <v>88.012396034969598</v>
      </c>
      <c r="AN1273">
        <v>0.99999994448642104</v>
      </c>
    </row>
    <row r="1274" spans="1:40" x14ac:dyDescent="0.25">
      <c r="A1274" t="str">
        <f>"20190312153913421"</f>
        <v>20190312153913421</v>
      </c>
      <c r="B1274" t="str">
        <f>"1552376353417532"</f>
        <v>1552376353417532</v>
      </c>
      <c r="C1274" t="s">
        <v>40</v>
      </c>
      <c r="D1274">
        <v>4.2292480000000001</v>
      </c>
      <c r="E1274">
        <v>0.48047630000000002</v>
      </c>
      <c r="F1274" t="s">
        <v>49</v>
      </c>
      <c r="G1274">
        <v>-198.82550000000001</v>
      </c>
      <c r="H1274" s="1">
        <v>-9.4397700000000003E-6</v>
      </c>
      <c r="I1274">
        <v>370.46429999999998</v>
      </c>
      <c r="J1274">
        <v>-252.96459999999999</v>
      </c>
      <c r="K1274">
        <v>1.109998</v>
      </c>
      <c r="L1274">
        <v>368.20269999999999</v>
      </c>
      <c r="M1274">
        <v>0.99970590000000004</v>
      </c>
      <c r="N1274">
        <v>0</v>
      </c>
      <c r="O1274">
        <v>2.2248529999999999E-2</v>
      </c>
      <c r="P1274">
        <v>0.998498</v>
      </c>
      <c r="Q1274">
        <v>5.3427189999999999E-2</v>
      </c>
      <c r="R1274">
        <v>-1.2147689999999999E-2</v>
      </c>
      <c r="S1274">
        <v>3.0093380000000001</v>
      </c>
      <c r="T1274">
        <v>-6.153202E-2</v>
      </c>
      <c r="U1274">
        <v>0.1255493</v>
      </c>
      <c r="V1274">
        <v>3.4356009999999999E-2</v>
      </c>
      <c r="W1274">
        <v>6.3063060000000004E-2</v>
      </c>
      <c r="X1274">
        <v>0.99741800000000003</v>
      </c>
      <c r="Y1274">
        <v>-1.944369E-2</v>
      </c>
      <c r="Z1274">
        <v>-2.559358E-4</v>
      </c>
      <c r="AA1274">
        <v>0.99981089999999995</v>
      </c>
      <c r="AB1274">
        <v>24</v>
      </c>
      <c r="AC1274">
        <v>54.1390999999999</v>
      </c>
      <c r="AD1274">
        <v>-1.1100074397699999</v>
      </c>
      <c r="AE1274">
        <v>2.2615999999999801</v>
      </c>
      <c r="AF1274">
        <v>-1.0560255152634701</v>
      </c>
      <c r="AG1274">
        <v>-1.1100074397699999</v>
      </c>
      <c r="AH1274">
        <v>54.153292704151497</v>
      </c>
      <c r="AI1274">
        <v>91.174033001918204</v>
      </c>
      <c r="AJ1274">
        <v>91.117164518961701</v>
      </c>
      <c r="AK1274">
        <v>54.174961163869298</v>
      </c>
      <c r="AL1274">
        <v>86.384353484830399</v>
      </c>
      <c r="AM1274">
        <v>88.027229873665902</v>
      </c>
      <c r="AN1274">
        <v>0.99999997584184097</v>
      </c>
    </row>
    <row r="1275" spans="1:40" x14ac:dyDescent="0.25">
      <c r="A1275" t="str">
        <f>"20190312153913435"</f>
        <v>20190312153913435</v>
      </c>
      <c r="B1275" t="str">
        <f>"1552376353427292"</f>
        <v>1552376353427292</v>
      </c>
      <c r="C1275" t="s">
        <v>40</v>
      </c>
      <c r="D1275">
        <v>4.2332460000000003</v>
      </c>
      <c r="E1275">
        <v>0.4804118</v>
      </c>
      <c r="F1275" t="s">
        <v>49</v>
      </c>
      <c r="G1275">
        <v>-200.81800000000001</v>
      </c>
      <c r="H1275" s="1">
        <v>-2.8950179999999999E-6</v>
      </c>
      <c r="I1275">
        <v>370.39510000000001</v>
      </c>
      <c r="J1275">
        <v>-252.822</v>
      </c>
      <c r="K1275">
        <v>1.1099969999999999</v>
      </c>
      <c r="L1275">
        <v>368.20600000000002</v>
      </c>
      <c r="M1275">
        <v>0.99970479999999995</v>
      </c>
      <c r="N1275">
        <v>0</v>
      </c>
      <c r="O1275">
        <v>2.2289429999999999E-2</v>
      </c>
      <c r="P1275">
        <v>0.99849639999999995</v>
      </c>
      <c r="Q1275">
        <v>5.3495729999999998E-2</v>
      </c>
      <c r="R1275">
        <v>-1.1974510000000001E-2</v>
      </c>
      <c r="S1275">
        <v>3.0094599999999998</v>
      </c>
      <c r="T1275">
        <v>-6.4059850000000002E-2</v>
      </c>
      <c r="U1275">
        <v>0.1265259</v>
      </c>
      <c r="V1275">
        <v>3.4224009999999999E-2</v>
      </c>
      <c r="W1275">
        <v>6.3146809999999998E-2</v>
      </c>
      <c r="X1275">
        <v>0.99741729999999995</v>
      </c>
      <c r="Y1275">
        <v>-1.9724950000000002E-2</v>
      </c>
      <c r="Z1275">
        <v>-2.6431250000000001E-4</v>
      </c>
      <c r="AA1275">
        <v>0.99980539999999996</v>
      </c>
      <c r="AB1275">
        <v>24</v>
      </c>
      <c r="AC1275">
        <v>52.003999999999998</v>
      </c>
      <c r="AD1275">
        <v>-1.1099998950179999</v>
      </c>
      <c r="AE1275">
        <v>2.18910000000005</v>
      </c>
      <c r="AF1275">
        <v>-1.0288944578461201</v>
      </c>
      <c r="AG1275">
        <v>-1.1099998950179999</v>
      </c>
      <c r="AH1275">
        <v>52.016218927016098</v>
      </c>
      <c r="AI1275">
        <v>91.222238508108902</v>
      </c>
      <c r="AJ1275">
        <v>91.133177778265804</v>
      </c>
      <c r="AK1275">
        <v>52.038233588733497</v>
      </c>
      <c r="AL1275">
        <v>86.379545599695902</v>
      </c>
      <c r="AM1275">
        <v>88.034802165438194</v>
      </c>
      <c r="AN1275">
        <v>1.0000000364064701</v>
      </c>
    </row>
    <row r="1276" spans="1:40" x14ac:dyDescent="0.25">
      <c r="A1276" t="str">
        <f>"20190312153913448"</f>
        <v>20190312153913448</v>
      </c>
      <c r="B1276" t="str">
        <f>"1552376353437052"</f>
        <v>1552376353437052</v>
      </c>
      <c r="C1276" t="s">
        <v>40</v>
      </c>
      <c r="D1276">
        <v>4.2073749999999999</v>
      </c>
      <c r="E1276">
        <v>0.48043010000000003</v>
      </c>
      <c r="F1276" t="s">
        <v>49</v>
      </c>
      <c r="G1276">
        <v>-201.36250000000001</v>
      </c>
      <c r="H1276" s="1">
        <v>-3.1709110000000001E-6</v>
      </c>
      <c r="I1276">
        <v>370.38659999999999</v>
      </c>
      <c r="J1276">
        <v>-252.6788</v>
      </c>
      <c r="K1276">
        <v>1.109996</v>
      </c>
      <c r="L1276">
        <v>368.20920000000001</v>
      </c>
      <c r="M1276">
        <v>0.99970380000000003</v>
      </c>
      <c r="N1276">
        <v>0</v>
      </c>
      <c r="O1276">
        <v>2.2326249999999999E-2</v>
      </c>
      <c r="P1276">
        <v>0.99847330000000001</v>
      </c>
      <c r="Q1276">
        <v>5.397267E-2</v>
      </c>
      <c r="R1276">
        <v>-1.176371E-2</v>
      </c>
      <c r="S1276">
        <v>3.009506</v>
      </c>
      <c r="T1276">
        <v>-6.4916130000000002E-2</v>
      </c>
      <c r="U1276">
        <v>0.12753299999999901</v>
      </c>
      <c r="V1276">
        <v>3.4050150000000001E-2</v>
      </c>
      <c r="W1276">
        <v>6.3641729999999994E-2</v>
      </c>
      <c r="X1276">
        <v>0.99739180000000005</v>
      </c>
      <c r="Y1276">
        <v>-2.002141E-2</v>
      </c>
      <c r="Z1276">
        <v>-2.654364E-4</v>
      </c>
      <c r="AA1276">
        <v>0.99979949999999995</v>
      </c>
      <c r="AB1276">
        <v>24</v>
      </c>
      <c r="AC1276">
        <v>51.316299999999899</v>
      </c>
      <c r="AD1276">
        <v>-1.109999170911</v>
      </c>
      <c r="AE1276">
        <v>2.1773999999999698</v>
      </c>
      <c r="AF1276">
        <v>-1.0306215565213901</v>
      </c>
      <c r="AG1276">
        <v>-1.109999170911</v>
      </c>
      <c r="AH1276">
        <v>51.328150800305004</v>
      </c>
      <c r="AI1276">
        <v>91.238609705863695</v>
      </c>
      <c r="AJ1276">
        <v>91.150291423235203</v>
      </c>
      <c r="AK1276">
        <v>51.350495066075403</v>
      </c>
      <c r="AL1276">
        <v>86.351131642901905</v>
      </c>
      <c r="AM1276">
        <v>88.044727768737999</v>
      </c>
      <c r="AN1276">
        <v>1.0000000426098199</v>
      </c>
    </row>
    <row r="1277" spans="1:40" x14ac:dyDescent="0.25">
      <c r="A1277" t="str">
        <f>"20190312153913462"</f>
        <v>20190312153913462</v>
      </c>
      <c r="B1277" t="str">
        <f>"1552376353457548"</f>
        <v>1552376353457548</v>
      </c>
      <c r="C1277" t="s">
        <v>40</v>
      </c>
      <c r="D1277">
        <v>4.2081600000000003</v>
      </c>
      <c r="E1277">
        <v>0.4805777</v>
      </c>
      <c r="F1277" t="s">
        <v>49</v>
      </c>
      <c r="G1277">
        <v>-200.95949999999999</v>
      </c>
      <c r="H1277" s="1">
        <v>-2.9625110000000001E-6</v>
      </c>
      <c r="I1277">
        <v>370.4119</v>
      </c>
      <c r="J1277">
        <v>-252.53739999999999</v>
      </c>
      <c r="K1277">
        <v>1.1099969999999999</v>
      </c>
      <c r="L1277">
        <v>368.2124</v>
      </c>
      <c r="M1277">
        <v>0.99970289999999995</v>
      </c>
      <c r="N1277">
        <v>0</v>
      </c>
      <c r="O1277">
        <v>2.2359670000000002E-2</v>
      </c>
      <c r="P1277">
        <v>0.99847889999999995</v>
      </c>
      <c r="Q1277">
        <v>5.389795E-2</v>
      </c>
      <c r="R1277">
        <v>-1.161712E-2</v>
      </c>
      <c r="S1277">
        <v>3.0095830000000001</v>
      </c>
      <c r="T1277">
        <v>-6.459165E-2</v>
      </c>
      <c r="U1277">
        <v>0.1281738</v>
      </c>
      <c r="V1277">
        <v>3.3937670000000003E-2</v>
      </c>
      <c r="W1277">
        <v>6.358606E-2</v>
      </c>
      <c r="X1277">
        <v>0.99739920000000004</v>
      </c>
      <c r="Y1277">
        <v>-2.0199399999999999E-2</v>
      </c>
      <c r="Z1277">
        <v>-2.6290949999999998E-4</v>
      </c>
      <c r="AA1277">
        <v>0.99979589999999996</v>
      </c>
      <c r="AB1277">
        <v>24</v>
      </c>
      <c r="AC1277">
        <v>51.5779</v>
      </c>
      <c r="AD1277">
        <v>-1.109999962511</v>
      </c>
      <c r="AE1277">
        <v>2.1995</v>
      </c>
      <c r="AF1277">
        <v>-1.0451477549866299</v>
      </c>
      <c r="AG1277">
        <v>-1.109999962511</v>
      </c>
      <c r="AH1277">
        <v>51.590335749688897</v>
      </c>
      <c r="AI1277">
        <v>91.232313388391603</v>
      </c>
      <c r="AJ1277">
        <v>91.160573280397799</v>
      </c>
      <c r="AK1277">
        <v>51.612858635345397</v>
      </c>
      <c r="AL1277">
        <v>86.354327829636603</v>
      </c>
      <c r="AM1277">
        <v>88.051196201367702</v>
      </c>
      <c r="AN1277">
        <v>1.00000005831599</v>
      </c>
    </row>
    <row r="1278" spans="1:40" x14ac:dyDescent="0.25">
      <c r="A1278" t="str">
        <f>"20190312153913476"</f>
        <v>20190312153913476</v>
      </c>
      <c r="B1278" t="str">
        <f>"1552376353467307"</f>
        <v>1552376353467307</v>
      </c>
      <c r="C1278" t="s">
        <v>40</v>
      </c>
      <c r="D1278">
        <v>4.2078720000000001</v>
      </c>
      <c r="E1278">
        <v>0.48062450000000001</v>
      </c>
      <c r="F1278" t="s">
        <v>49</v>
      </c>
      <c r="G1278">
        <v>-201.2303</v>
      </c>
      <c r="H1278" s="1">
        <v>-3.1043029999999999E-6</v>
      </c>
      <c r="I1278">
        <v>370.38709999999998</v>
      </c>
      <c r="J1278">
        <v>-252.3871</v>
      </c>
      <c r="K1278">
        <v>1.1099969999999999</v>
      </c>
      <c r="L1278">
        <v>368.2158</v>
      </c>
      <c r="M1278">
        <v>0.99970210000000004</v>
      </c>
      <c r="N1278">
        <v>0</v>
      </c>
      <c r="O1278">
        <v>2.239031E-2</v>
      </c>
      <c r="P1278">
        <v>0.99847580000000002</v>
      </c>
      <c r="Q1278">
        <v>5.394214E-2</v>
      </c>
      <c r="R1278">
        <v>-1.168603E-2</v>
      </c>
      <c r="S1278">
        <v>3.0095670000000001</v>
      </c>
      <c r="T1278">
        <v>-6.5110329999999994E-2</v>
      </c>
      <c r="U1278">
        <v>0.1275635</v>
      </c>
      <c r="V1278">
        <v>3.4037930000000001E-2</v>
      </c>
      <c r="W1278">
        <v>6.3652199999999895E-2</v>
      </c>
      <c r="X1278">
        <v>0.99739149999999999</v>
      </c>
      <c r="Y1278">
        <v>-1.9966640000000001E-2</v>
      </c>
      <c r="Z1278">
        <v>-2.6820179999999998E-4</v>
      </c>
      <c r="AA1278">
        <v>0.99980060000000004</v>
      </c>
      <c r="AB1278">
        <v>24</v>
      </c>
      <c r="AC1278">
        <v>51.156799999999997</v>
      </c>
      <c r="AD1278">
        <v>-1.1100001043029999</v>
      </c>
      <c r="AE1278">
        <v>2.1712999999999698</v>
      </c>
      <c r="AF1278">
        <v>-1.0248033332177</v>
      </c>
      <c r="AG1278">
        <v>-1.1100001043029999</v>
      </c>
      <c r="AH1278">
        <v>51.168545451357701</v>
      </c>
      <c r="AI1278">
        <v>91.242474294434004</v>
      </c>
      <c r="AJ1278">
        <v>91.147366147362604</v>
      </c>
      <c r="AK1278">
        <v>51.1908425962202</v>
      </c>
      <c r="AL1278">
        <v>86.3505303588353</v>
      </c>
      <c r="AM1278">
        <v>88.045428349725398</v>
      </c>
      <c r="AN1278">
        <v>0.99999999375788695</v>
      </c>
    </row>
    <row r="1279" spans="1:40" x14ac:dyDescent="0.25">
      <c r="A1279" t="str">
        <f>"20190312153913496"</f>
        <v>20190312153913496</v>
      </c>
      <c r="B1279" t="str">
        <f>"1552376353486828"</f>
        <v>1552376353486828</v>
      </c>
      <c r="C1279" t="s">
        <v>40</v>
      </c>
      <c r="D1279">
        <v>4.2068139999999996</v>
      </c>
      <c r="E1279">
        <v>0.48066930000000002</v>
      </c>
      <c r="F1279" t="s">
        <v>49</v>
      </c>
      <c r="G1279">
        <v>-200.5686</v>
      </c>
      <c r="H1279" s="1">
        <v>-2.7687479999999999E-6</v>
      </c>
      <c r="I1279">
        <v>370.39859999999999</v>
      </c>
      <c r="J1279">
        <v>-252.17609999999999</v>
      </c>
      <c r="K1279">
        <v>1.109993</v>
      </c>
      <c r="L1279">
        <v>368.22059999999999</v>
      </c>
      <c r="M1279">
        <v>0.99970099999999995</v>
      </c>
      <c r="N1279">
        <v>0</v>
      </c>
      <c r="O1279">
        <v>2.2424380000000001E-2</v>
      </c>
      <c r="P1279">
        <v>0.99848029999999999</v>
      </c>
      <c r="Q1279">
        <v>5.3812659999999998E-2</v>
      </c>
      <c r="R1279">
        <v>-1.1888930000000001E-2</v>
      </c>
      <c r="S1279">
        <v>3.0095519999999998</v>
      </c>
      <c r="T1279">
        <v>-6.446731E-2</v>
      </c>
      <c r="U1279">
        <v>0.12676999999999999</v>
      </c>
      <c r="V1279">
        <v>3.4276090000000002E-2</v>
      </c>
      <c r="W1279">
        <v>6.3557509999999998E-2</v>
      </c>
      <c r="X1279">
        <v>0.99738939999999998</v>
      </c>
      <c r="Y1279">
        <v>-1.966971E-2</v>
      </c>
      <c r="Z1279">
        <v>-2.6946449999999997E-4</v>
      </c>
      <c r="AA1279">
        <v>0.99980650000000004</v>
      </c>
      <c r="AB1279">
        <v>24</v>
      </c>
      <c r="AC1279">
        <v>51.607499999999902</v>
      </c>
      <c r="AD1279">
        <v>-1.109995768748</v>
      </c>
      <c r="AE1279">
        <v>2.1779999999999902</v>
      </c>
      <c r="AF1279">
        <v>-1.01966020550105</v>
      </c>
      <c r="AG1279">
        <v>-1.109995768748</v>
      </c>
      <c r="AH1279">
        <v>51.619526905538699</v>
      </c>
      <c r="AI1279">
        <v>91.231624510117797</v>
      </c>
      <c r="AJ1279">
        <v>91.131638216874094</v>
      </c>
      <c r="AK1279">
        <v>51.641527431834803</v>
      </c>
      <c r="AL1279">
        <v>86.355966768067404</v>
      </c>
      <c r="AM1279">
        <v>88.031758985279893</v>
      </c>
      <c r="AN1279">
        <v>1.0000000113277201</v>
      </c>
    </row>
    <row r="1280" spans="1:40" x14ac:dyDescent="0.25">
      <c r="A1280" t="str">
        <f>"20190312153913511"</f>
        <v>20190312153913511</v>
      </c>
      <c r="B1280" t="str">
        <f>"1552376353497563"</f>
        <v>1552376353497563</v>
      </c>
      <c r="C1280" t="s">
        <v>40</v>
      </c>
      <c r="D1280">
        <v>4.2146129999999999</v>
      </c>
      <c r="E1280">
        <v>0.4806935</v>
      </c>
      <c r="F1280" t="s">
        <v>49</v>
      </c>
      <c r="G1280">
        <v>-201.42509999999999</v>
      </c>
      <c r="H1280" s="1">
        <v>-3.2121020000000002E-6</v>
      </c>
      <c r="I1280">
        <v>370.34289999999999</v>
      </c>
      <c r="J1280">
        <v>-252.01900000000001</v>
      </c>
      <c r="K1280">
        <v>1.1099810000000001</v>
      </c>
      <c r="L1280">
        <v>368.22410000000002</v>
      </c>
      <c r="M1280">
        <v>0.99970029999999999</v>
      </c>
      <c r="N1280">
        <v>0</v>
      </c>
      <c r="O1280">
        <v>2.2441800000000001E-2</v>
      </c>
      <c r="P1280">
        <v>0.99848769999999998</v>
      </c>
      <c r="Q1280">
        <v>5.3633020000000003E-2</v>
      </c>
      <c r="R1280">
        <v>-1.2072029999999999E-2</v>
      </c>
      <c r="S1280">
        <v>3.0096129999999999</v>
      </c>
      <c r="T1280">
        <v>-6.5824389999999997E-2</v>
      </c>
      <c r="U1280">
        <v>0.12585450000000001</v>
      </c>
      <c r="V1280">
        <v>3.4477800000000003E-2</v>
      </c>
      <c r="W1280">
        <v>6.3404740000000001E-2</v>
      </c>
      <c r="X1280">
        <v>0.99739219999999895</v>
      </c>
      <c r="Y1280">
        <v>-1.9347920000000001E-2</v>
      </c>
      <c r="Z1280">
        <v>-2.790302E-4</v>
      </c>
      <c r="AA1280">
        <v>0.99981279999999995</v>
      </c>
      <c r="AB1280">
        <v>24</v>
      </c>
      <c r="AC1280">
        <v>50.593899999999998</v>
      </c>
      <c r="AD1280">
        <v>-1.1099842121019901</v>
      </c>
      <c r="AE1280">
        <v>2.1187999999999598</v>
      </c>
      <c r="AF1280">
        <v>-0.98232183948473595</v>
      </c>
      <c r="AG1280">
        <v>-1.1099842121019901</v>
      </c>
      <c r="AH1280">
        <v>50.604394269332303</v>
      </c>
      <c r="AI1280">
        <v>91.256318585739194</v>
      </c>
      <c r="AJ1280">
        <v>91.112073931034402</v>
      </c>
      <c r="AK1280">
        <v>50.626097425275397</v>
      </c>
      <c r="AL1280">
        <v>86.364737639545098</v>
      </c>
      <c r="AM1280">
        <v>88.020190906282195</v>
      </c>
      <c r="AN1280">
        <v>1.0000000401840701</v>
      </c>
    </row>
    <row r="1281" spans="1:40" x14ac:dyDescent="0.25">
      <c r="A1281" t="str">
        <f>"20190312153913525"</f>
        <v>20190312153913525</v>
      </c>
      <c r="B1281" t="str">
        <f>"1552376353517592"</f>
        <v>1552376353517592</v>
      </c>
      <c r="C1281" t="s">
        <v>40</v>
      </c>
      <c r="D1281">
        <v>4.2152599999999998</v>
      </c>
      <c r="E1281">
        <v>0.48064089999999998</v>
      </c>
      <c r="F1281" t="s">
        <v>49</v>
      </c>
      <c r="G1281">
        <v>-201.08449999999999</v>
      </c>
      <c r="H1281" s="1">
        <v>-3.0416919999999998E-6</v>
      </c>
      <c r="I1281">
        <v>370.33859999999999</v>
      </c>
      <c r="J1281">
        <v>-251.86580000000001</v>
      </c>
      <c r="K1281">
        <v>1.109977</v>
      </c>
      <c r="L1281">
        <v>368.2276</v>
      </c>
      <c r="M1281">
        <v>0.99969980000000003</v>
      </c>
      <c r="N1281">
        <v>0</v>
      </c>
      <c r="O1281">
        <v>2.245393E-2</v>
      </c>
      <c r="P1281">
        <v>0.99848029999999999</v>
      </c>
      <c r="Q1281">
        <v>5.3777579999999998E-2</v>
      </c>
      <c r="R1281">
        <v>-1.2041609999999999E-2</v>
      </c>
      <c r="S1281">
        <v>3.0095830000000001</v>
      </c>
      <c r="T1281">
        <v>-6.5585969999999993E-2</v>
      </c>
      <c r="U1281">
        <v>0.12493899999999999</v>
      </c>
      <c r="V1281">
        <v>3.446018E-2</v>
      </c>
      <c r="W1281">
        <v>6.3575590000000001E-2</v>
      </c>
      <c r="X1281">
        <v>0.99738190000000004</v>
      </c>
      <c r="Y1281">
        <v>-1.903266E-2</v>
      </c>
      <c r="Z1281">
        <v>-2.817222E-4</v>
      </c>
      <c r="AA1281">
        <v>0.99981880000000001</v>
      </c>
      <c r="AB1281">
        <v>24</v>
      </c>
      <c r="AC1281">
        <v>50.781300000000002</v>
      </c>
      <c r="AD1281">
        <v>-1.109980041692</v>
      </c>
      <c r="AE1281">
        <v>2.11099999999999</v>
      </c>
      <c r="AF1281">
        <v>-0.96971065172830095</v>
      </c>
      <c r="AG1281">
        <v>-1.109980041692</v>
      </c>
      <c r="AH1281">
        <v>50.791673159313198</v>
      </c>
      <c r="AI1281">
        <v>91.251690769732093</v>
      </c>
      <c r="AJ1281">
        <v>91.0937536628781</v>
      </c>
      <c r="AK1281">
        <v>50.813053999573</v>
      </c>
      <c r="AL1281">
        <v>86.354928745503202</v>
      </c>
      <c r="AM1281">
        <v>88.021181471183198</v>
      </c>
      <c r="AN1281">
        <v>1.00000000704854</v>
      </c>
    </row>
    <row r="1282" spans="1:40" x14ac:dyDescent="0.25">
      <c r="A1282" t="str">
        <f>"20190312153913539"</f>
        <v>20190312153913539</v>
      </c>
      <c r="B1282" t="str">
        <f>"1552376353527352"</f>
        <v>1552376353527352</v>
      </c>
      <c r="C1282" t="s">
        <v>40</v>
      </c>
      <c r="D1282">
        <v>4.2375559999999997</v>
      </c>
      <c r="E1282">
        <v>0.48072169999999997</v>
      </c>
      <c r="F1282" t="s">
        <v>49</v>
      </c>
      <c r="G1282">
        <v>-200.08629999999999</v>
      </c>
      <c r="H1282" s="1">
        <v>-2.502756E-6</v>
      </c>
      <c r="I1282">
        <v>370.38189999999997</v>
      </c>
      <c r="J1282">
        <v>-251.7165</v>
      </c>
      <c r="K1282">
        <v>1.1099779999999999</v>
      </c>
      <c r="L1282">
        <v>368.23099999999999</v>
      </c>
      <c r="M1282">
        <v>0.99969920000000001</v>
      </c>
      <c r="N1282">
        <v>0</v>
      </c>
      <c r="O1282">
        <v>2.2461890000000002E-2</v>
      </c>
      <c r="P1282">
        <v>0.99851080000000003</v>
      </c>
      <c r="Q1282">
        <v>5.3200570000000003E-2</v>
      </c>
      <c r="R1282">
        <v>-1.2068580000000001E-2</v>
      </c>
      <c r="S1282">
        <v>3.0095670000000001</v>
      </c>
      <c r="T1282">
        <v>-6.4515110000000001E-2</v>
      </c>
      <c r="U1282">
        <v>0.12521360000000001</v>
      </c>
      <c r="V1282">
        <v>3.449671E-2</v>
      </c>
      <c r="W1282">
        <v>6.3025940000000003E-2</v>
      </c>
      <c r="X1282">
        <v>0.99741550000000001</v>
      </c>
      <c r="Y1282">
        <v>-1.9115940000000001E-2</v>
      </c>
      <c r="Z1282">
        <v>-2.7640260000000002E-4</v>
      </c>
      <c r="AA1282">
        <v>0.99981730000000002</v>
      </c>
      <c r="AB1282">
        <v>24</v>
      </c>
      <c r="AC1282">
        <v>51.630200000000002</v>
      </c>
      <c r="AD1282">
        <v>-1.1099805027559999</v>
      </c>
      <c r="AE1282">
        <v>2.1508999999999698</v>
      </c>
      <c r="AF1282">
        <v>-0.99013232849723798</v>
      </c>
      <c r="AG1282">
        <v>-1.1099805027559999</v>
      </c>
      <c r="AH1282">
        <v>51.641661008566203</v>
      </c>
      <c r="AI1282">
        <v>91.231093754237904</v>
      </c>
      <c r="AJ1282">
        <v>91.098404901637593</v>
      </c>
      <c r="AK1282">
        <v>51.663077438999899</v>
      </c>
      <c r="AL1282">
        <v>86.386484579806904</v>
      </c>
      <c r="AM1282">
        <v>88.019152145035804</v>
      </c>
      <c r="AN1282">
        <v>0.99999998587697803</v>
      </c>
    </row>
    <row r="1283" spans="1:40" x14ac:dyDescent="0.25">
      <c r="A1283" t="str">
        <f>"20190312153913556"</f>
        <v>20190312153913556</v>
      </c>
      <c r="B1283" t="str">
        <f>"1552376353546872"</f>
        <v>1552376353546872</v>
      </c>
      <c r="C1283" t="s">
        <v>40</v>
      </c>
      <c r="D1283">
        <v>4.2213329999999996</v>
      </c>
      <c r="E1283">
        <v>0.48071150000000001</v>
      </c>
      <c r="F1283" t="s">
        <v>49</v>
      </c>
      <c r="G1283">
        <v>-200.6645</v>
      </c>
      <c r="H1283" s="1">
        <v>-2.8285920000000001E-6</v>
      </c>
      <c r="I1283">
        <v>370.34629999999999</v>
      </c>
      <c r="J1283">
        <v>-251.5317</v>
      </c>
      <c r="K1283">
        <v>1.1099730000000001</v>
      </c>
      <c r="L1283">
        <v>368.23509999999999</v>
      </c>
      <c r="M1283">
        <v>0.9996988</v>
      </c>
      <c r="N1283">
        <v>0</v>
      </c>
      <c r="O1283">
        <v>2.2466469999999999E-2</v>
      </c>
      <c r="P1283">
        <v>0.99850459999999996</v>
      </c>
      <c r="Q1283">
        <v>5.3329559999999998E-2</v>
      </c>
      <c r="R1283">
        <v>-1.2032050000000001E-2</v>
      </c>
      <c r="S1283">
        <v>3.0094599999999998</v>
      </c>
      <c r="T1283">
        <v>-6.5432069999999995E-2</v>
      </c>
      <c r="U1283">
        <v>0.12469479999999999</v>
      </c>
      <c r="V1283">
        <v>3.4465349999999999E-2</v>
      </c>
      <c r="W1283">
        <v>6.3190609999999994E-2</v>
      </c>
      <c r="X1283">
        <v>0.99740620000000002</v>
      </c>
      <c r="Y1283">
        <v>-1.894084E-2</v>
      </c>
      <c r="Z1283">
        <v>-2.8234350000000001E-4</v>
      </c>
      <c r="AA1283">
        <v>0.99982059999999995</v>
      </c>
      <c r="AB1283">
        <v>24</v>
      </c>
      <c r="AC1283">
        <v>50.867199999999997</v>
      </c>
      <c r="AD1283">
        <v>-1.1099758285919901</v>
      </c>
      <c r="AE1283">
        <v>2.11119999999999</v>
      </c>
      <c r="AF1283">
        <v>-0.96734508050953405</v>
      </c>
      <c r="AG1283">
        <v>-1.1099758285919901</v>
      </c>
      <c r="AH1283">
        <v>50.877609101677798</v>
      </c>
      <c r="AI1283">
        <v>91.249574376813101</v>
      </c>
      <c r="AJ1283">
        <v>91.089243660767707</v>
      </c>
      <c r="AK1283">
        <v>50.898908738282103</v>
      </c>
      <c r="AL1283">
        <v>86.377030965602799</v>
      </c>
      <c r="AM1283">
        <v>88.020933007826997</v>
      </c>
      <c r="AN1283">
        <v>1.0000000206706099</v>
      </c>
    </row>
    <row r="1284" spans="1:40" x14ac:dyDescent="0.25">
      <c r="A1284" t="str">
        <f>"20190312153913571"</f>
        <v>20190312153913571</v>
      </c>
      <c r="B1284" t="str">
        <f>"1552376353557609"</f>
        <v>1552376353557609</v>
      </c>
      <c r="C1284" t="s">
        <v>40</v>
      </c>
      <c r="D1284">
        <v>4.2450140000000003</v>
      </c>
      <c r="E1284">
        <v>0.48065180000000002</v>
      </c>
      <c r="F1284" t="s">
        <v>49</v>
      </c>
      <c r="G1284">
        <v>-199.6919</v>
      </c>
      <c r="H1284" s="1">
        <v>-9.1440340000000006E-6</v>
      </c>
      <c r="I1284">
        <v>370.3904</v>
      </c>
      <c r="J1284">
        <v>-251.39179999999999</v>
      </c>
      <c r="K1284">
        <v>1.109974</v>
      </c>
      <c r="L1284">
        <v>368.23820000000001</v>
      </c>
      <c r="M1284">
        <v>0.99969859999999999</v>
      </c>
      <c r="N1284">
        <v>0</v>
      </c>
      <c r="O1284">
        <v>2.246664E-2</v>
      </c>
      <c r="P1284">
        <v>0.99852810000000003</v>
      </c>
      <c r="Q1284">
        <v>5.2875690000000003E-2</v>
      </c>
      <c r="R1284">
        <v>-1.2096030000000001E-2</v>
      </c>
      <c r="S1284">
        <v>3.00943</v>
      </c>
      <c r="T1284">
        <v>-6.4437149999999999E-2</v>
      </c>
      <c r="U1284">
        <v>0.12512210000000001</v>
      </c>
      <c r="V1284">
        <v>3.4530360000000003E-2</v>
      </c>
      <c r="W1284">
        <v>6.2765630000000003E-2</v>
      </c>
      <c r="X1284">
        <v>0.9974307</v>
      </c>
      <c r="Y1284">
        <v>-1.9082720000000001E-2</v>
      </c>
      <c r="Z1284">
        <v>-2.765388E-4</v>
      </c>
      <c r="AA1284">
        <v>0.99981779999999998</v>
      </c>
      <c r="AB1284">
        <v>24</v>
      </c>
      <c r="AC1284">
        <v>51.6998999999999</v>
      </c>
      <c r="AD1284">
        <v>-1.109983144034</v>
      </c>
      <c r="AE1284">
        <v>2.1521999999999899</v>
      </c>
      <c r="AF1284">
        <v>-0.98962140399766796</v>
      </c>
      <c r="AG1284">
        <v>-1.109983144034</v>
      </c>
      <c r="AH1284">
        <v>51.711409272348099</v>
      </c>
      <c r="AI1284">
        <v>91.2294375327685</v>
      </c>
      <c r="AJ1284">
        <v>91.096357844723002</v>
      </c>
      <c r="AK1284">
        <v>51.732787108714497</v>
      </c>
      <c r="AL1284">
        <v>86.401428651699504</v>
      </c>
      <c r="AM1284">
        <v>88.017251649707504</v>
      </c>
      <c r="AN1284">
        <v>0.99999993568675605</v>
      </c>
    </row>
    <row r="1285" spans="1:40" x14ac:dyDescent="0.25">
      <c r="A1285" t="str">
        <f>"20190312153913583"</f>
        <v>20190312153913583</v>
      </c>
      <c r="B1285" t="str">
        <f>"1552376353577128"</f>
        <v>1552376353577128</v>
      </c>
      <c r="C1285" t="s">
        <v>40</v>
      </c>
      <c r="D1285">
        <v>4.2339799999999999</v>
      </c>
      <c r="E1285">
        <v>0.48062830000000001</v>
      </c>
      <c r="F1285" t="s">
        <v>49</v>
      </c>
      <c r="G1285">
        <v>-200.6942</v>
      </c>
      <c r="H1285" s="1">
        <v>-2.8432659999999999E-6</v>
      </c>
      <c r="I1285">
        <v>370.3476</v>
      </c>
      <c r="J1285">
        <v>-251.25200000000001</v>
      </c>
      <c r="K1285">
        <v>1.1099760000000001</v>
      </c>
      <c r="L1285">
        <v>368.2414</v>
      </c>
      <c r="M1285">
        <v>0.99969819999999998</v>
      </c>
      <c r="N1285">
        <v>0</v>
      </c>
      <c r="O1285">
        <v>2.2465809999999999E-2</v>
      </c>
      <c r="P1285">
        <v>0.99852779999999997</v>
      </c>
      <c r="Q1285">
        <v>5.2926819999999999E-2</v>
      </c>
      <c r="R1285">
        <v>-1.188241E-2</v>
      </c>
      <c r="S1285">
        <v>3.00943</v>
      </c>
      <c r="T1285">
        <v>-6.5888639999999998E-2</v>
      </c>
      <c r="U1285">
        <v>0.12521360000000001</v>
      </c>
      <c r="V1285">
        <v>3.4316399999999997E-2</v>
      </c>
      <c r="W1285">
        <v>6.2846059999999995E-2</v>
      </c>
      <c r="X1285">
        <v>0.99743309999999996</v>
      </c>
      <c r="Y1285">
        <v>-1.9113939999999999E-2</v>
      </c>
      <c r="Z1285">
        <v>-2.8240680000000002E-4</v>
      </c>
      <c r="AA1285">
        <v>0.99981730000000002</v>
      </c>
      <c r="AB1285">
        <v>24</v>
      </c>
      <c r="AC1285">
        <v>50.5578</v>
      </c>
      <c r="AD1285">
        <v>-1.109978843266</v>
      </c>
      <c r="AE1285">
        <v>2.1061999999999999</v>
      </c>
      <c r="AF1285">
        <v>-0.96932391589246603</v>
      </c>
      <c r="AG1285">
        <v>-1.109978843266</v>
      </c>
      <c r="AH1285">
        <v>50.5680264762984</v>
      </c>
      <c r="AI1285">
        <v>91.257221634001795</v>
      </c>
      <c r="AJ1285">
        <v>91.0981517853225</v>
      </c>
      <c r="AK1285">
        <v>50.589494399470297</v>
      </c>
      <c r="AL1285">
        <v>86.396811524926505</v>
      </c>
      <c r="AM1285">
        <v>88.029532348733895</v>
      </c>
      <c r="AN1285">
        <v>1.00000001577104</v>
      </c>
    </row>
    <row r="1286" spans="1:40" x14ac:dyDescent="0.25">
      <c r="A1286" t="str">
        <f>"20190312153913596"</f>
        <v>20190312153913596</v>
      </c>
      <c r="B1286" t="str">
        <f>"1552376353586888"</f>
        <v>1552376353586888</v>
      </c>
      <c r="C1286" t="s">
        <v>40</v>
      </c>
      <c r="D1286">
        <v>4.240685</v>
      </c>
      <c r="E1286">
        <v>0.48055049999999999</v>
      </c>
      <c r="F1286" t="s">
        <v>49</v>
      </c>
      <c r="G1286">
        <v>-200.227</v>
      </c>
      <c r="H1286" s="1">
        <v>-2.5876250000000001E-6</v>
      </c>
      <c r="I1286">
        <v>370.37580000000003</v>
      </c>
      <c r="J1286">
        <v>-251.1001</v>
      </c>
      <c r="K1286">
        <v>1.109977</v>
      </c>
      <c r="L1286">
        <v>368.2448</v>
      </c>
      <c r="M1286">
        <v>0.99969790000000003</v>
      </c>
      <c r="N1286">
        <v>0</v>
      </c>
      <c r="O1286">
        <v>2.246312E-2</v>
      </c>
      <c r="P1286">
        <v>0.99854050000000005</v>
      </c>
      <c r="Q1286">
        <v>5.2736150000000002E-2</v>
      </c>
      <c r="R1286">
        <v>-1.16518E-2</v>
      </c>
      <c r="S1286">
        <v>3.0094150000000002</v>
      </c>
      <c r="T1286">
        <v>-6.5465690000000007E-2</v>
      </c>
      <c r="U1286">
        <v>0.125885</v>
      </c>
      <c r="V1286">
        <v>3.4083769999999999E-2</v>
      </c>
      <c r="W1286">
        <v>6.2689010000000003E-2</v>
      </c>
      <c r="X1286">
        <v>0.99745090000000003</v>
      </c>
      <c r="Y1286">
        <v>-1.9339430000000001E-2</v>
      </c>
      <c r="Z1286">
        <v>-2.7808450000000001E-4</v>
      </c>
      <c r="AA1286">
        <v>0.99981299999999995</v>
      </c>
      <c r="AB1286">
        <v>24</v>
      </c>
      <c r="AC1286">
        <v>50.873100000000001</v>
      </c>
      <c r="AD1286">
        <v>-1.109979587625</v>
      </c>
      <c r="AE1286">
        <v>2.1310000000000202</v>
      </c>
      <c r="AF1286">
        <v>-0.987167700228756</v>
      </c>
      <c r="AG1286">
        <v>-1.109979587625</v>
      </c>
      <c r="AH1286">
        <v>50.883952387176301</v>
      </c>
      <c r="AI1286">
        <v>91.249413596657504</v>
      </c>
      <c r="AJ1286">
        <v>91.111420120911703</v>
      </c>
      <c r="AK1286">
        <v>50.905629996040197</v>
      </c>
      <c r="AL1286">
        <v>86.405827392268293</v>
      </c>
      <c r="AM1286">
        <v>88.042914573904199</v>
      </c>
      <c r="AN1286">
        <v>0.99999995663149999</v>
      </c>
    </row>
    <row r="1287" spans="1:40" x14ac:dyDescent="0.25">
      <c r="A1287" t="str">
        <f>"20190312153913609"</f>
        <v>20190312153913609</v>
      </c>
      <c r="B1287" t="str">
        <f>"1552376353597624"</f>
        <v>1552376353597624</v>
      </c>
      <c r="C1287" t="s">
        <v>40</v>
      </c>
      <c r="D1287">
        <v>4.2646050000000004</v>
      </c>
      <c r="E1287">
        <v>0.48049180000000002</v>
      </c>
      <c r="F1287" t="s">
        <v>49</v>
      </c>
      <c r="G1287">
        <v>-200.5549</v>
      </c>
      <c r="H1287" s="1">
        <v>-2.764916E-6</v>
      </c>
      <c r="I1287">
        <v>370.38479999999998</v>
      </c>
      <c r="J1287">
        <v>-250.9691</v>
      </c>
      <c r="K1287">
        <v>1.109979</v>
      </c>
      <c r="L1287">
        <v>368.24779999999998</v>
      </c>
      <c r="M1287">
        <v>0.99969770000000002</v>
      </c>
      <c r="N1287">
        <v>0</v>
      </c>
      <c r="O1287">
        <v>2.245842E-2</v>
      </c>
      <c r="P1287">
        <v>0.99854200000000004</v>
      </c>
      <c r="Q1287">
        <v>5.2735850000000001E-2</v>
      </c>
      <c r="R1287">
        <v>-1.1527839999999999E-2</v>
      </c>
      <c r="S1287">
        <v>3.009369</v>
      </c>
      <c r="T1287">
        <v>-6.608617E-2</v>
      </c>
      <c r="U1287">
        <v>0.12741089999999999</v>
      </c>
      <c r="V1287">
        <v>3.3955220000000001E-2</v>
      </c>
      <c r="W1287">
        <v>6.2718979999999994E-2</v>
      </c>
      <c r="X1287">
        <v>0.99745349999999999</v>
      </c>
      <c r="Y1287">
        <v>-1.9850690000000001E-2</v>
      </c>
      <c r="Z1287">
        <v>-2.7500689999999998E-4</v>
      </c>
      <c r="AA1287">
        <v>0.99980290000000005</v>
      </c>
      <c r="AB1287">
        <v>24</v>
      </c>
      <c r="AC1287">
        <v>50.414200000000001</v>
      </c>
      <c r="AD1287">
        <v>-1.109981764916</v>
      </c>
      <c r="AE1287">
        <v>2.137</v>
      </c>
      <c r="AF1287">
        <v>-1.00369530419177</v>
      </c>
      <c r="AG1287">
        <v>-1.109981764916</v>
      </c>
      <c r="AH1287">
        <v>50.425079025506101</v>
      </c>
      <c r="AI1287">
        <v>91.260769720082706</v>
      </c>
      <c r="AJ1287">
        <v>91.140303852893496</v>
      </c>
      <c r="AK1287">
        <v>50.4472799912011</v>
      </c>
      <c r="AL1287">
        <v>86.404107209879598</v>
      </c>
      <c r="AM1287">
        <v>88.050295267990705</v>
      </c>
      <c r="AN1287">
        <v>1.0000000560398601</v>
      </c>
    </row>
    <row r="1288" spans="1:40" x14ac:dyDescent="0.25">
      <c r="A1288" t="str">
        <f>"20190312153913623"</f>
        <v>20190312153913623</v>
      </c>
      <c r="B1288" t="str">
        <f>"1552376353617145"</f>
        <v>1552376353617145</v>
      </c>
      <c r="C1288" t="s">
        <v>40</v>
      </c>
      <c r="D1288">
        <v>4.2552219999999998</v>
      </c>
      <c r="E1288">
        <v>0.48042839999999998</v>
      </c>
      <c r="F1288" t="s">
        <v>49</v>
      </c>
      <c r="G1288">
        <v>-200.58760000000001</v>
      </c>
      <c r="H1288" s="1">
        <v>-2.7795350000000001E-6</v>
      </c>
      <c r="I1288">
        <v>370.3931</v>
      </c>
      <c r="J1288">
        <v>-250.82429999999999</v>
      </c>
      <c r="K1288">
        <v>1.10998</v>
      </c>
      <c r="L1288">
        <v>368.25099999999998</v>
      </c>
      <c r="M1288">
        <v>0.99969750000000002</v>
      </c>
      <c r="N1288">
        <v>0</v>
      </c>
      <c r="O1288">
        <v>2.2451260000000001E-2</v>
      </c>
      <c r="P1288">
        <v>0.99856040000000001</v>
      </c>
      <c r="Q1288">
        <v>5.2470269999999999E-2</v>
      </c>
      <c r="R1288">
        <v>-1.1121509999999999E-2</v>
      </c>
      <c r="S1288">
        <v>3.009369</v>
      </c>
      <c r="T1288">
        <v>-6.6300990000000004E-2</v>
      </c>
      <c r="U1288">
        <v>0.12814329999999999</v>
      </c>
      <c r="V1288">
        <v>3.3542519999999999E-2</v>
      </c>
      <c r="W1288">
        <v>6.2487699999999903E-2</v>
      </c>
      <c r="X1288">
        <v>0.99748190000000003</v>
      </c>
      <c r="Y1288">
        <v>-2.0100690000000001E-2</v>
      </c>
      <c r="Z1288">
        <v>-2.7298900000000001E-4</v>
      </c>
      <c r="AA1288">
        <v>0.99979790000000002</v>
      </c>
      <c r="AB1288">
        <v>24</v>
      </c>
      <c r="AC1288">
        <v>50.2366999999999</v>
      </c>
      <c r="AD1288">
        <v>-1.1099827795349999</v>
      </c>
      <c r="AE1288">
        <v>2.1421000000000201</v>
      </c>
      <c r="AF1288">
        <v>-1.0131322096300499</v>
      </c>
      <c r="AG1288">
        <v>-1.1099827795349999</v>
      </c>
      <c r="AH1288">
        <v>50.247645306881303</v>
      </c>
      <c r="AI1288">
        <v>91.265214905243198</v>
      </c>
      <c r="AJ1288">
        <v>91.155085676233</v>
      </c>
      <c r="AK1288">
        <v>50.270113959799197</v>
      </c>
      <c r="AL1288">
        <v>86.417384337550601</v>
      </c>
      <c r="AM1288">
        <v>88.074029291754698</v>
      </c>
      <c r="AN1288">
        <v>0.99999997706342403</v>
      </c>
    </row>
    <row r="1289" spans="1:40" x14ac:dyDescent="0.25">
      <c r="A1289" t="str">
        <f>"20190312153913638"</f>
        <v>20190312153913638</v>
      </c>
      <c r="B1289" t="str">
        <f>"1552376353626905"</f>
        <v>1552376353626905</v>
      </c>
      <c r="C1289" t="s">
        <v>40</v>
      </c>
      <c r="D1289">
        <v>4.2763460000000002</v>
      </c>
      <c r="E1289">
        <v>0.48040840000000001</v>
      </c>
      <c r="F1289" t="s">
        <v>49</v>
      </c>
      <c r="G1289">
        <v>-200.89169999999999</v>
      </c>
      <c r="H1289" s="1">
        <v>-2.9287730000000001E-6</v>
      </c>
      <c r="I1289">
        <v>370.41019999999997</v>
      </c>
      <c r="J1289">
        <v>-250.65520000000001</v>
      </c>
      <c r="K1289">
        <v>1.109982</v>
      </c>
      <c r="L1289">
        <v>368.25479999999999</v>
      </c>
      <c r="M1289">
        <v>0.99969759999999996</v>
      </c>
      <c r="N1289">
        <v>0</v>
      </c>
      <c r="O1289">
        <v>2.2438019999999999E-2</v>
      </c>
      <c r="P1289">
        <v>0.99858150000000001</v>
      </c>
      <c r="Q1289">
        <v>5.2080769999999998E-2</v>
      </c>
      <c r="R1289">
        <v>-1.109228E-2</v>
      </c>
      <c r="S1289">
        <v>3.0093079999999999</v>
      </c>
      <c r="T1289">
        <v>-6.6895720000000006E-2</v>
      </c>
      <c r="U1289">
        <v>0.13012699999999999</v>
      </c>
      <c r="V1289">
        <v>3.3500759999999997E-2</v>
      </c>
      <c r="W1289">
        <v>6.2138859999999997E-2</v>
      </c>
      <c r="X1289">
        <v>0.99750510000000003</v>
      </c>
      <c r="Y1289">
        <v>-2.077244E-2</v>
      </c>
      <c r="Z1289">
        <v>-2.6768210000000002E-4</v>
      </c>
      <c r="AA1289">
        <v>0.99978420000000001</v>
      </c>
      <c r="AB1289">
        <v>24</v>
      </c>
      <c r="AC1289">
        <v>49.763500000000001</v>
      </c>
      <c r="AD1289">
        <v>-1.1099849287729999</v>
      </c>
      <c r="AE1289">
        <v>2.1553999999999802</v>
      </c>
      <c r="AF1289">
        <v>-1.03769104863249</v>
      </c>
      <c r="AG1289">
        <v>-1.1099849287729999</v>
      </c>
      <c r="AH1289">
        <v>49.774617827726303</v>
      </c>
      <c r="AI1289">
        <v>91.277219313741796</v>
      </c>
      <c r="AJ1289">
        <v>91.194317679683394</v>
      </c>
      <c r="AK1289">
        <v>49.797805666020302</v>
      </c>
      <c r="AL1289">
        <v>86.437410332022594</v>
      </c>
      <c r="AM1289">
        <v>88.076470002642495</v>
      </c>
      <c r="AN1289">
        <v>0.99999998168434301</v>
      </c>
    </row>
    <row r="1290" spans="1:40" x14ac:dyDescent="0.25">
      <c r="A1290" t="str">
        <f>"20190312153913655"</f>
        <v>20190312153913655</v>
      </c>
      <c r="B1290" t="str">
        <f>"1552376353647400"</f>
        <v>1552376353647400</v>
      </c>
      <c r="C1290" t="s">
        <v>40</v>
      </c>
      <c r="D1290">
        <v>4.3101219999999998</v>
      </c>
      <c r="E1290">
        <v>0.48034019999999999</v>
      </c>
      <c r="F1290" t="s">
        <v>49</v>
      </c>
      <c r="G1290">
        <v>-201.8135</v>
      </c>
      <c r="H1290" s="1">
        <v>-3.4020409999999999E-6</v>
      </c>
      <c r="I1290">
        <v>370.36779999999999</v>
      </c>
      <c r="J1290">
        <v>-250.4794</v>
      </c>
      <c r="K1290">
        <v>1.10998</v>
      </c>
      <c r="L1290">
        <v>368.25869999999998</v>
      </c>
      <c r="M1290">
        <v>0.99969739999999996</v>
      </c>
      <c r="N1290">
        <v>0</v>
      </c>
      <c r="O1290">
        <v>2.24164E-2</v>
      </c>
      <c r="P1290">
        <v>0.99859290000000001</v>
      </c>
      <c r="Q1290">
        <v>5.1974579999999999E-2</v>
      </c>
      <c r="R1290">
        <v>-1.054563E-2</v>
      </c>
      <c r="S1290">
        <v>3.009277</v>
      </c>
      <c r="T1290">
        <v>-6.83893E-2</v>
      </c>
      <c r="U1290">
        <v>0.130188</v>
      </c>
      <c r="V1290">
        <v>3.2933850000000001E-2</v>
      </c>
      <c r="W1290">
        <v>6.207414E-2</v>
      </c>
      <c r="X1290">
        <v>0.99752799999999997</v>
      </c>
      <c r="Y1290">
        <v>-2.081473E-2</v>
      </c>
      <c r="Z1290">
        <v>-2.7268879999999999E-4</v>
      </c>
      <c r="AA1290">
        <v>0.99978330000000004</v>
      </c>
      <c r="AB1290">
        <v>24</v>
      </c>
      <c r="AC1290">
        <v>48.665899999999901</v>
      </c>
      <c r="AD1290">
        <v>-1.109983402041</v>
      </c>
      <c r="AE1290">
        <v>2.10910000000001</v>
      </c>
      <c r="AF1290">
        <v>-1.0170716119032499</v>
      </c>
      <c r="AG1290">
        <v>-1.109983402041</v>
      </c>
      <c r="AH1290">
        <v>48.6756764979582</v>
      </c>
      <c r="AI1290">
        <v>91.306041891816093</v>
      </c>
      <c r="AJ1290">
        <v>91.197013303809598</v>
      </c>
      <c r="AK1290">
        <v>48.698952559068701</v>
      </c>
      <c r="AL1290">
        <v>86.441125660155805</v>
      </c>
      <c r="AM1290">
        <v>88.109040103421506</v>
      </c>
      <c r="AN1290">
        <v>0.99999997405828001</v>
      </c>
    </row>
    <row r="1291" spans="1:40" x14ac:dyDescent="0.25">
      <c r="A1291" t="str">
        <f>"20190312153913666"</f>
        <v>20190312153913666</v>
      </c>
      <c r="B1291" t="str">
        <f>"1552376353657161"</f>
        <v>1552376353657161</v>
      </c>
      <c r="C1291" t="s">
        <v>40</v>
      </c>
      <c r="D1291">
        <v>4.2425369999999996</v>
      </c>
      <c r="E1291">
        <v>0.48031499999999999</v>
      </c>
      <c r="F1291" t="s">
        <v>49</v>
      </c>
      <c r="G1291">
        <v>-201.95179999999999</v>
      </c>
      <c r="H1291" s="1">
        <v>-3.4661429999999999E-6</v>
      </c>
      <c r="I1291">
        <v>370.39260000000002</v>
      </c>
      <c r="J1291">
        <v>-250.34870000000001</v>
      </c>
      <c r="K1291">
        <v>1.1099749999999999</v>
      </c>
      <c r="L1291">
        <v>368.26170000000002</v>
      </c>
      <c r="M1291">
        <v>0.99969770000000002</v>
      </c>
      <c r="N1291">
        <v>0</v>
      </c>
      <c r="O1291">
        <v>2.239381E-2</v>
      </c>
      <c r="P1291">
        <v>0.99859149999999997</v>
      </c>
      <c r="Q1291">
        <v>5.2008430000000001E-2</v>
      </c>
      <c r="R1291">
        <v>-1.0475969999999999E-2</v>
      </c>
      <c r="S1291">
        <v>3.0091860000000001</v>
      </c>
      <c r="T1291">
        <v>-6.8829769999999998E-2</v>
      </c>
      <c r="U1291">
        <v>0.1323242</v>
      </c>
      <c r="V1291">
        <v>3.2842700000000002E-2</v>
      </c>
      <c r="W1291">
        <v>6.213838E-2</v>
      </c>
      <c r="X1291">
        <v>0.99752700000000005</v>
      </c>
      <c r="Y1291">
        <v>-2.1546829999999999E-2</v>
      </c>
      <c r="Z1291">
        <v>-2.6556419999999999E-4</v>
      </c>
      <c r="AA1291">
        <v>0.99976779999999998</v>
      </c>
      <c r="AB1291">
        <v>24</v>
      </c>
      <c r="AC1291">
        <v>48.396900000000002</v>
      </c>
      <c r="AD1291">
        <v>-1.1099784661430001</v>
      </c>
      <c r="AE1291">
        <v>2.1308999999999898</v>
      </c>
      <c r="AF1291">
        <v>-1.0459696304269299</v>
      </c>
      <c r="AG1291">
        <v>-1.1099784661430001</v>
      </c>
      <c r="AH1291">
        <v>48.407070213532101</v>
      </c>
      <c r="AI1291">
        <v>91.313260745766399</v>
      </c>
      <c r="AJ1291">
        <v>91.2378423377166</v>
      </c>
      <c r="AK1291">
        <v>48.431090750889602</v>
      </c>
      <c r="AL1291">
        <v>86.437437840111599</v>
      </c>
      <c r="AM1291">
        <v>88.114267981928904</v>
      </c>
      <c r="AN1291">
        <v>0.99999996847065598</v>
      </c>
    </row>
    <row r="1292" spans="1:40" x14ac:dyDescent="0.25">
      <c r="A1292" t="str">
        <f>"20190312153913680"</f>
        <v>20190312153913680</v>
      </c>
      <c r="B1292" t="str">
        <f>"1552376353666920"</f>
        <v>1552376353666920</v>
      </c>
      <c r="C1292" t="s">
        <v>40</v>
      </c>
      <c r="D1292">
        <v>4.2689170000000001</v>
      </c>
      <c r="E1292">
        <v>0.48031499999999999</v>
      </c>
      <c r="F1292" t="s">
        <v>49</v>
      </c>
      <c r="G1292">
        <v>-202.40440000000001</v>
      </c>
      <c r="H1292" s="1">
        <v>-3.6969839999999999E-6</v>
      </c>
      <c r="I1292">
        <v>370.37869999999998</v>
      </c>
      <c r="J1292">
        <v>-250.2106</v>
      </c>
      <c r="K1292">
        <v>1.109972</v>
      </c>
      <c r="L1292">
        <v>368.2647</v>
      </c>
      <c r="M1292">
        <v>0.99969799999999998</v>
      </c>
      <c r="N1292">
        <v>0</v>
      </c>
      <c r="O1292">
        <v>2.2365889999999999E-2</v>
      </c>
      <c r="P1292">
        <v>0.99860389999999999</v>
      </c>
      <c r="Q1292">
        <v>5.180332E-2</v>
      </c>
      <c r="R1292">
        <v>-1.033822E-2</v>
      </c>
      <c r="S1292">
        <v>3.0092469999999998</v>
      </c>
      <c r="T1292">
        <v>-6.9668289999999994E-2</v>
      </c>
      <c r="U1292">
        <v>0.13287349999999901</v>
      </c>
      <c r="V1292">
        <v>3.2678119999999998E-2</v>
      </c>
      <c r="W1292">
        <v>6.1966100000000003E-2</v>
      </c>
      <c r="X1292">
        <v>0.99754319999999996</v>
      </c>
      <c r="Y1292">
        <v>-2.175595E-2</v>
      </c>
      <c r="Z1292">
        <v>-2.65727E-4</v>
      </c>
      <c r="AA1292">
        <v>0.99976330000000002</v>
      </c>
      <c r="AB1292">
        <v>24</v>
      </c>
      <c r="AC1292">
        <v>47.806199999999897</v>
      </c>
      <c r="AD1292">
        <v>-1.109975696984</v>
      </c>
      <c r="AE1292">
        <v>2.1139999999999701</v>
      </c>
      <c r="AF1292">
        <v>-1.0436259846108</v>
      </c>
      <c r="AG1292">
        <v>-1.109975696984</v>
      </c>
      <c r="AH1292">
        <v>47.815797539855701</v>
      </c>
      <c r="AI1292">
        <v>91.329484645424003</v>
      </c>
      <c r="AJ1292">
        <v>91.250337234461597</v>
      </c>
      <c r="AK1292">
        <v>47.840063708320102</v>
      </c>
      <c r="AL1292">
        <v>86.447328093740893</v>
      </c>
      <c r="AM1292">
        <v>88.123741362935903</v>
      </c>
      <c r="AN1292">
        <v>1.0000000464710901</v>
      </c>
    </row>
    <row r="1293" spans="1:40" x14ac:dyDescent="0.25">
      <c r="A1293" t="str">
        <f>"20190312153913697"</f>
        <v>20190312153913697</v>
      </c>
      <c r="B1293" t="str">
        <f>"1552376353687416"</f>
        <v>1552376353687416</v>
      </c>
      <c r="C1293" t="s">
        <v>40</v>
      </c>
      <c r="D1293">
        <v>4.2926409999999997</v>
      </c>
      <c r="E1293">
        <v>0.48034969999999999</v>
      </c>
      <c r="F1293" t="s">
        <v>49</v>
      </c>
      <c r="G1293">
        <v>-203.25810000000001</v>
      </c>
      <c r="H1293" s="1">
        <v>-4.1342579999999996E-6</v>
      </c>
      <c r="I1293">
        <v>370.34410000000003</v>
      </c>
      <c r="J1293">
        <v>-250.04130000000001</v>
      </c>
      <c r="K1293">
        <v>1.1099650000000001</v>
      </c>
      <c r="L1293">
        <v>368.26839999999999</v>
      </c>
      <c r="M1293">
        <v>0.99969859999999999</v>
      </c>
      <c r="N1293">
        <v>0</v>
      </c>
      <c r="O1293">
        <v>2.2320679999999999E-2</v>
      </c>
      <c r="P1293">
        <v>0.99858219999999998</v>
      </c>
      <c r="Q1293">
        <v>5.2245809999999997E-2</v>
      </c>
      <c r="R1293">
        <v>-1.0205260000000001E-2</v>
      </c>
      <c r="S1293">
        <v>3.0092620000000001</v>
      </c>
      <c r="T1293">
        <v>-7.1140170000000003E-2</v>
      </c>
      <c r="U1293">
        <v>0.13327030000000001</v>
      </c>
      <c r="V1293">
        <v>3.2501780000000001E-2</v>
      </c>
      <c r="W1293">
        <v>6.2451060000000003E-2</v>
      </c>
      <c r="X1293">
        <v>0.99751869999999998</v>
      </c>
      <c r="Y1293">
        <v>-2.1932420000000001E-2</v>
      </c>
      <c r="Z1293">
        <v>-2.6818490000000001E-4</v>
      </c>
      <c r="AA1293">
        <v>0.99975939999999996</v>
      </c>
      <c r="AB1293">
        <v>24</v>
      </c>
      <c r="AC1293">
        <v>46.783200000000001</v>
      </c>
      <c r="AD1293">
        <v>-1.10996913425799</v>
      </c>
      <c r="AE1293">
        <v>2.0757000000000398</v>
      </c>
      <c r="AF1293">
        <v>-1.0303165712689799</v>
      </c>
      <c r="AG1293">
        <v>-1.10996913425799</v>
      </c>
      <c r="AH1293">
        <v>46.791588907363803</v>
      </c>
      <c r="AI1293">
        <v>91.358560809307207</v>
      </c>
      <c r="AJ1293">
        <v>91.261407329852005</v>
      </c>
      <c r="AK1293">
        <v>46.816090996491397</v>
      </c>
      <c r="AL1293">
        <v>86.419487948413604</v>
      </c>
      <c r="AM1293">
        <v>88.133813183427904</v>
      </c>
      <c r="AN1293">
        <v>1.0000000287239901</v>
      </c>
    </row>
    <row r="1294" spans="1:40" x14ac:dyDescent="0.25">
      <c r="A1294" t="str">
        <f>"20190312153913715"</f>
        <v>20190312153913715</v>
      </c>
      <c r="B1294" t="str">
        <f>"1552376353706936"</f>
        <v>1552376353706936</v>
      </c>
      <c r="C1294" t="s">
        <v>40</v>
      </c>
      <c r="D1294">
        <v>4.2840099999999897</v>
      </c>
      <c r="E1294">
        <v>0.48039470000000001</v>
      </c>
      <c r="F1294" t="s">
        <v>49</v>
      </c>
      <c r="G1294">
        <v>-203.03460000000001</v>
      </c>
      <c r="H1294" s="1">
        <v>-4.020741E-6</v>
      </c>
      <c r="I1294">
        <v>370.34870000000001</v>
      </c>
      <c r="J1294">
        <v>-249.83760000000001</v>
      </c>
      <c r="K1294">
        <v>1.109953</v>
      </c>
      <c r="L1294">
        <v>368.27289999999999</v>
      </c>
      <c r="M1294">
        <v>0.99969960000000002</v>
      </c>
      <c r="N1294">
        <v>0</v>
      </c>
      <c r="O1294">
        <v>2.2246800000000001E-2</v>
      </c>
      <c r="P1294">
        <v>0.99856789999999995</v>
      </c>
      <c r="Q1294">
        <v>5.2500940000000003E-2</v>
      </c>
      <c r="R1294">
        <v>-1.029689E-2</v>
      </c>
      <c r="S1294">
        <v>3.0093230000000002</v>
      </c>
      <c r="T1294">
        <v>-7.1059109999999995E-2</v>
      </c>
      <c r="U1294">
        <v>0.13317870000000001</v>
      </c>
      <c r="V1294">
        <v>3.2522000000000002E-2</v>
      </c>
      <c r="W1294">
        <v>6.2758969999999997E-2</v>
      </c>
      <c r="X1294">
        <v>0.99749869999999996</v>
      </c>
      <c r="Y1294">
        <v>-2.1975020000000001E-2</v>
      </c>
      <c r="Z1294">
        <v>-2.6562910000000001E-4</v>
      </c>
      <c r="AA1294">
        <v>0.99975849999999999</v>
      </c>
      <c r="AB1294">
        <v>24</v>
      </c>
      <c r="AC1294">
        <v>46.802999999999997</v>
      </c>
      <c r="AD1294">
        <v>-1.1099570207410001</v>
      </c>
      <c r="AE1294">
        <v>2.0758000000000099</v>
      </c>
      <c r="AF1294">
        <v>-1.03343405622434</v>
      </c>
      <c r="AG1294">
        <v>-1.1099570207410001</v>
      </c>
      <c r="AH1294">
        <v>46.811321628587699</v>
      </c>
      <c r="AI1294">
        <v>91.3579718104005</v>
      </c>
      <c r="AJ1294">
        <v>91.264689634502105</v>
      </c>
      <c r="AK1294">
        <v>46.8358817911176</v>
      </c>
      <c r="AL1294">
        <v>86.401811272700002</v>
      </c>
      <c r="AM1294">
        <v>88.132615599331302</v>
      </c>
      <c r="AN1294">
        <v>1.0000000126505699</v>
      </c>
    </row>
    <row r="1295" spans="1:40" x14ac:dyDescent="0.25">
      <c r="A1295" t="str">
        <f>"20190312153913729"</f>
        <v>20190312153913729</v>
      </c>
      <c r="B1295" t="str">
        <f>"1552376353717672"</f>
        <v>1552376353717672</v>
      </c>
      <c r="C1295" t="s">
        <v>40</v>
      </c>
      <c r="D1295">
        <v>4.2617890000000003</v>
      </c>
      <c r="E1295">
        <v>0.48039850000000001</v>
      </c>
      <c r="F1295" t="s">
        <v>49</v>
      </c>
      <c r="G1295">
        <v>-202.8613</v>
      </c>
      <c r="H1295" s="1">
        <v>-3.9347639999999999E-6</v>
      </c>
      <c r="I1295">
        <v>370.34320000000002</v>
      </c>
      <c r="J1295">
        <v>-249.6857</v>
      </c>
      <c r="K1295">
        <v>1.109945</v>
      </c>
      <c r="L1295">
        <v>368.27620000000002</v>
      </c>
      <c r="M1295">
        <v>0.9997007</v>
      </c>
      <c r="N1295">
        <v>0</v>
      </c>
      <c r="O1295">
        <v>2.217467E-2</v>
      </c>
      <c r="P1295">
        <v>0.9985735</v>
      </c>
      <c r="Q1295">
        <v>5.2312930000000001E-2</v>
      </c>
      <c r="R1295">
        <v>-1.0688309999999999E-2</v>
      </c>
      <c r="S1295">
        <v>3.0094150000000002</v>
      </c>
      <c r="T1295">
        <v>-7.1106550000000004E-2</v>
      </c>
      <c r="U1295">
        <v>0.13262939999999901</v>
      </c>
      <c r="V1295">
        <v>3.2843740000000003E-2</v>
      </c>
      <c r="W1295">
        <v>6.2613820000000001E-2</v>
      </c>
      <c r="X1295">
        <v>0.99749730000000003</v>
      </c>
      <c r="Y1295">
        <v>-2.1863670000000002E-2</v>
      </c>
      <c r="Z1295">
        <v>-2.6541210000000001E-4</v>
      </c>
      <c r="AA1295">
        <v>0.99976089999999995</v>
      </c>
      <c r="AB1295">
        <v>24</v>
      </c>
      <c r="AC1295">
        <v>46.824399999999997</v>
      </c>
      <c r="AD1295">
        <v>-1.1099489347639999</v>
      </c>
      <c r="AE1295">
        <v>2.0670000000000002</v>
      </c>
      <c r="AF1295">
        <v>-1.02754437159048</v>
      </c>
      <c r="AG1295">
        <v>-1.1099489347639999</v>
      </c>
      <c r="AH1295">
        <v>46.832458560627899</v>
      </c>
      <c r="AI1295">
        <v>91.357353311720004</v>
      </c>
      <c r="AJ1295">
        <v>91.256916953726403</v>
      </c>
      <c r="AK1295">
        <v>46.8568779252982</v>
      </c>
      <c r="AL1295">
        <v>86.410144215216704</v>
      </c>
      <c r="AM1295">
        <v>88.114152203284405</v>
      </c>
      <c r="AN1295">
        <v>1.00000003260973</v>
      </c>
    </row>
    <row r="1296" spans="1:40" x14ac:dyDescent="0.25">
      <c r="A1296" t="str">
        <f>"20190312153913749"</f>
        <v>20190312153913749</v>
      </c>
      <c r="B1296" t="str">
        <f>"1552376353737192"</f>
        <v>1552376353737192</v>
      </c>
      <c r="C1296" t="s">
        <v>40</v>
      </c>
      <c r="D1296">
        <v>4.2803279999999999</v>
      </c>
      <c r="E1296">
        <v>0.48040060000000001</v>
      </c>
      <c r="F1296" t="s">
        <v>49</v>
      </c>
      <c r="G1296">
        <v>-203.39070000000001</v>
      </c>
      <c r="H1296" s="1">
        <v>-4.2100259999999998E-6</v>
      </c>
      <c r="I1296">
        <v>370.30329999999998</v>
      </c>
      <c r="J1296">
        <v>-249.46260000000001</v>
      </c>
      <c r="K1296">
        <v>1.1099300000000001</v>
      </c>
      <c r="L1296">
        <v>368.28100000000001</v>
      </c>
      <c r="M1296">
        <v>0.99970289999999995</v>
      </c>
      <c r="N1296">
        <v>0</v>
      </c>
      <c r="O1296">
        <v>2.2045490000000001E-2</v>
      </c>
      <c r="P1296">
        <v>0.99856140000000004</v>
      </c>
      <c r="Q1296">
        <v>5.2415349999999999E-2</v>
      </c>
      <c r="R1296">
        <v>-1.1312920000000001E-2</v>
      </c>
      <c r="S1296">
        <v>3.0094759999999998</v>
      </c>
      <c r="T1296">
        <v>-7.2153930000000005E-2</v>
      </c>
      <c r="U1296">
        <v>0.1317749</v>
      </c>
      <c r="V1296">
        <v>3.3342450000000003E-2</v>
      </c>
      <c r="W1296">
        <v>6.2783240000000004E-2</v>
      </c>
      <c r="X1296">
        <v>0.99747010000000003</v>
      </c>
      <c r="Y1296">
        <v>-2.1708640000000001E-2</v>
      </c>
      <c r="Z1296">
        <v>-2.6808069999999999E-4</v>
      </c>
      <c r="AA1296">
        <v>0.99976430000000005</v>
      </c>
      <c r="AB1296">
        <v>24</v>
      </c>
      <c r="AC1296">
        <v>46.071899999999999</v>
      </c>
      <c r="AD1296">
        <v>-1.1099342100259999</v>
      </c>
      <c r="AE1296">
        <v>2.0222999999999698</v>
      </c>
      <c r="AF1296">
        <v>-1.0054934886592699</v>
      </c>
      <c r="AG1296">
        <v>-1.1099342100259999</v>
      </c>
      <c r="AH1296">
        <v>46.078594608759303</v>
      </c>
      <c r="AI1296">
        <v>91.379536946138799</v>
      </c>
      <c r="AJ1296">
        <v>91.250068328559195</v>
      </c>
      <c r="AK1296">
        <v>46.102926720813599</v>
      </c>
      <c r="AL1296">
        <v>86.400418009244106</v>
      </c>
      <c r="AM1296">
        <v>88.085485861911394</v>
      </c>
      <c r="AN1296">
        <v>1.0000000272954499</v>
      </c>
    </row>
    <row r="1297" spans="1:40" x14ac:dyDescent="0.25">
      <c r="A1297" t="str">
        <f>"20190312153913765"</f>
        <v>20190312153913765</v>
      </c>
      <c r="B1297" t="str">
        <f>"1552376353756713"</f>
        <v>1552376353756713</v>
      </c>
      <c r="C1297" t="s">
        <v>40</v>
      </c>
      <c r="D1297">
        <v>4.2812890000000001</v>
      </c>
      <c r="E1297">
        <v>0.48039189999999998</v>
      </c>
      <c r="F1297" t="s">
        <v>49</v>
      </c>
      <c r="G1297">
        <v>-203.595</v>
      </c>
      <c r="H1297" s="1">
        <v>-4.3221340000000002E-6</v>
      </c>
      <c r="I1297">
        <v>370.26139999999998</v>
      </c>
      <c r="J1297">
        <v>-249.29390000000001</v>
      </c>
      <c r="K1297">
        <v>1.10992</v>
      </c>
      <c r="L1297">
        <v>368.28460000000001</v>
      </c>
      <c r="M1297">
        <v>0.99970499999999995</v>
      </c>
      <c r="N1297">
        <v>0</v>
      </c>
      <c r="O1297">
        <v>2.1927789999999999E-2</v>
      </c>
      <c r="P1297">
        <v>0.99856730000000005</v>
      </c>
      <c r="Q1297">
        <v>5.2222209999999998E-2</v>
      </c>
      <c r="R1297">
        <v>-1.167519E-2</v>
      </c>
      <c r="S1297">
        <v>3.0096129999999999</v>
      </c>
      <c r="T1297">
        <v>-7.2828649999999995E-2</v>
      </c>
      <c r="U1297">
        <v>0.1299438</v>
      </c>
      <c r="V1297">
        <v>3.35897E-2</v>
      </c>
      <c r="W1297">
        <v>6.2643799999999999E-2</v>
      </c>
      <c r="X1297">
        <v>0.99747059999999999</v>
      </c>
      <c r="Y1297">
        <v>-2.1217340000000001E-2</v>
      </c>
      <c r="Z1297">
        <v>-2.7367450000000002E-4</v>
      </c>
      <c r="AA1297">
        <v>0.99977490000000002</v>
      </c>
      <c r="AB1297">
        <v>24</v>
      </c>
      <c r="AC1297">
        <v>45.698900000000002</v>
      </c>
      <c r="AD1297">
        <v>-1.1099243221340001</v>
      </c>
      <c r="AE1297">
        <v>1.9767999999999599</v>
      </c>
      <c r="AF1297">
        <v>-0.97362083591051696</v>
      </c>
      <c r="AG1297">
        <v>-1.1099243221340001</v>
      </c>
      <c r="AH1297">
        <v>45.7043495990427</v>
      </c>
      <c r="AI1297">
        <v>91.390831868808903</v>
      </c>
      <c r="AJ1297">
        <v>91.220363689928504</v>
      </c>
      <c r="AK1297">
        <v>45.728190887072103</v>
      </c>
      <c r="AL1297">
        <v>86.408423192280097</v>
      </c>
      <c r="AM1297">
        <v>88.071300485228093</v>
      </c>
      <c r="AN1297">
        <v>1.00000005574444</v>
      </c>
    </row>
    <row r="1298" spans="1:40" x14ac:dyDescent="0.25">
      <c r="A1298" t="str">
        <f>"20190312153913779"</f>
        <v>20190312153913779</v>
      </c>
      <c r="B1298" t="str">
        <f>"1552376353767448"</f>
        <v>1552376353767448</v>
      </c>
      <c r="C1298" t="s">
        <v>40</v>
      </c>
      <c r="D1298">
        <v>4.2915559999999999</v>
      </c>
      <c r="E1298">
        <v>0.48042560000000001</v>
      </c>
      <c r="F1298" t="s">
        <v>49</v>
      </c>
      <c r="G1298">
        <v>-204.37710000000001</v>
      </c>
      <c r="H1298" s="1">
        <v>-4.7279500000000002E-6</v>
      </c>
      <c r="I1298">
        <v>370.20609999999999</v>
      </c>
      <c r="J1298">
        <v>-249.15119999999999</v>
      </c>
      <c r="K1298">
        <v>1.109912</v>
      </c>
      <c r="L1298">
        <v>368.28769999999997</v>
      </c>
      <c r="M1298">
        <v>0.99970689999999995</v>
      </c>
      <c r="N1298">
        <v>0</v>
      </c>
      <c r="O1298">
        <v>2.1818259999999999E-2</v>
      </c>
      <c r="P1298">
        <v>0.99857640000000003</v>
      </c>
      <c r="Q1298">
        <v>5.1993709999999999E-2</v>
      </c>
      <c r="R1298">
        <v>-1.190868E-2</v>
      </c>
      <c r="S1298">
        <v>3.0096889999999998</v>
      </c>
      <c r="T1298">
        <v>-7.437146E-2</v>
      </c>
      <c r="U1298">
        <v>0.1287537</v>
      </c>
      <c r="V1298">
        <v>3.3716160000000002E-2</v>
      </c>
      <c r="W1298">
        <v>6.2462480000000001E-2</v>
      </c>
      <c r="X1298">
        <v>0.99747770000000002</v>
      </c>
      <c r="Y1298">
        <v>-2.09312E-2</v>
      </c>
      <c r="Z1298">
        <v>-2.8029580000000001E-4</v>
      </c>
      <c r="AA1298">
        <v>0.99978089999999997</v>
      </c>
      <c r="AB1298">
        <v>24</v>
      </c>
      <c r="AC1298">
        <v>44.774099999999898</v>
      </c>
      <c r="AD1298">
        <v>-1.10991672795</v>
      </c>
      <c r="AE1298">
        <v>1.9184000000000201</v>
      </c>
      <c r="AF1298">
        <v>-0.94041971879920505</v>
      </c>
      <c r="AG1298">
        <v>-1.10991672795</v>
      </c>
      <c r="AH1298">
        <v>44.777833074916003</v>
      </c>
      <c r="AI1298">
        <v>91.419597796988896</v>
      </c>
      <c r="AJ1298">
        <v>91.203143545650505</v>
      </c>
      <c r="AK1298">
        <v>44.801458003903498</v>
      </c>
      <c r="AL1298">
        <v>86.4188324320899</v>
      </c>
      <c r="AM1298">
        <v>88.064058515953306</v>
      </c>
      <c r="AN1298">
        <v>1.00000005142509</v>
      </c>
    </row>
    <row r="1299" spans="1:40" x14ac:dyDescent="0.25">
      <c r="A1299" t="str">
        <f>"20190312153913790"</f>
        <v>20190312153913790</v>
      </c>
      <c r="B1299" t="str">
        <f>"1552376353777208"</f>
        <v>1552376353777208</v>
      </c>
      <c r="C1299" t="s">
        <v>40</v>
      </c>
      <c r="D1299">
        <v>4.3081199999999997</v>
      </c>
      <c r="E1299">
        <v>0.48044609999999899</v>
      </c>
      <c r="F1299" t="s">
        <v>49</v>
      </c>
      <c r="G1299">
        <v>-204.95</v>
      </c>
      <c r="H1299" s="1">
        <v>-5.0247490000000002E-6</v>
      </c>
      <c r="I1299">
        <v>370.1678</v>
      </c>
      <c r="J1299">
        <v>-249.01929999999999</v>
      </c>
      <c r="K1299">
        <v>1.1099049999999999</v>
      </c>
      <c r="L1299">
        <v>368.29039999999998</v>
      </c>
      <c r="M1299">
        <v>0.99970879999999995</v>
      </c>
      <c r="N1299">
        <v>0</v>
      </c>
      <c r="O1299">
        <v>2.1703650000000001E-2</v>
      </c>
      <c r="P1299">
        <v>0.9985638</v>
      </c>
      <c r="Q1299">
        <v>5.2111419999999999E-2</v>
      </c>
      <c r="R1299">
        <v>-1.243506E-2</v>
      </c>
      <c r="S1299">
        <v>3.009735</v>
      </c>
      <c r="T1299">
        <v>-7.5576190000000001E-2</v>
      </c>
      <c r="U1299">
        <v>0.1280212</v>
      </c>
      <c r="V1299">
        <v>3.4129529999999998E-2</v>
      </c>
      <c r="W1299">
        <v>6.2625710000000001E-2</v>
      </c>
      <c r="X1299">
        <v>0.99745329999999999</v>
      </c>
      <c r="Y1299">
        <v>-2.0802310000000001E-2</v>
      </c>
      <c r="Z1299">
        <v>-2.8357490000000001E-4</v>
      </c>
      <c r="AA1299">
        <v>0.99978359999999999</v>
      </c>
      <c r="AB1299">
        <v>24</v>
      </c>
      <c r="AC1299">
        <v>44.069299999999998</v>
      </c>
      <c r="AD1299">
        <v>-1.1099100247489999</v>
      </c>
      <c r="AE1299">
        <v>1.8774000000000199</v>
      </c>
      <c r="AF1299">
        <v>-0.91985742676585303</v>
      </c>
      <c r="AG1299">
        <v>-1.1099100247489999</v>
      </c>
      <c r="AH1299">
        <v>44.071762309292701</v>
      </c>
      <c r="AI1299">
        <v>91.442326765313496</v>
      </c>
      <c r="AJ1299">
        <v>91.195692987140902</v>
      </c>
      <c r="AK1299">
        <v>44.095331623601702</v>
      </c>
      <c r="AL1299">
        <v>86.409461313929995</v>
      </c>
      <c r="AM1299">
        <v>88.0402937999838</v>
      </c>
      <c r="AN1299">
        <v>0.99999994502595502</v>
      </c>
    </row>
    <row r="1300" spans="1:40" x14ac:dyDescent="0.25">
      <c r="A1300" t="str">
        <f>"20190312153913804"</f>
        <v>20190312153913804</v>
      </c>
      <c r="B1300" t="str">
        <f>"1552376353796728"</f>
        <v>1552376353796728</v>
      </c>
      <c r="C1300" t="s">
        <v>40</v>
      </c>
      <c r="D1300">
        <v>4.4024580000000002</v>
      </c>
      <c r="E1300">
        <v>0.49684279999999997</v>
      </c>
      <c r="F1300" t="s">
        <v>49</v>
      </c>
      <c r="G1300">
        <v>-204.74420000000001</v>
      </c>
      <c r="H1300" s="1">
        <v>-4.9252779999999999E-6</v>
      </c>
      <c r="I1300">
        <v>370.14940000000001</v>
      </c>
      <c r="J1300">
        <v>-248.8801</v>
      </c>
      <c r="K1300">
        <v>1.109899</v>
      </c>
      <c r="L1300">
        <v>368.29329999999999</v>
      </c>
      <c r="M1300">
        <v>0.99971100000000002</v>
      </c>
      <c r="N1300">
        <v>0</v>
      </c>
      <c r="O1300">
        <v>2.1575859999999999E-2</v>
      </c>
      <c r="P1300">
        <v>0.99856549999999999</v>
      </c>
      <c r="Q1300">
        <v>5.2042310000000001E-2</v>
      </c>
      <c r="R1300">
        <v>-1.2606849999999999E-2</v>
      </c>
      <c r="S1300">
        <v>3.009827</v>
      </c>
      <c r="T1300">
        <v>-7.5451850000000001E-2</v>
      </c>
      <c r="U1300">
        <v>0.12637329999999999</v>
      </c>
      <c r="V1300">
        <v>3.417514E-2</v>
      </c>
      <c r="W1300">
        <v>6.2605720000000004E-2</v>
      </c>
      <c r="X1300">
        <v>0.99745300000000003</v>
      </c>
      <c r="Y1300">
        <v>-2.038247E-2</v>
      </c>
      <c r="Z1300">
        <v>-2.8516289999999997E-4</v>
      </c>
      <c r="AA1300">
        <v>0.99979220000000002</v>
      </c>
      <c r="AB1300">
        <v>24</v>
      </c>
      <c r="AC1300">
        <v>44.1358999999999</v>
      </c>
      <c r="AD1300">
        <v>-1.1099039252780001</v>
      </c>
      <c r="AE1300">
        <v>1.8561000000000201</v>
      </c>
      <c r="AF1300">
        <v>-0.90277445652441302</v>
      </c>
      <c r="AG1300">
        <v>-1.1099039252780001</v>
      </c>
      <c r="AH1300">
        <v>44.1378106828383</v>
      </c>
      <c r="AI1300">
        <v>91.440173884242796</v>
      </c>
      <c r="AJ1300">
        <v>91.171738112820094</v>
      </c>
      <c r="AK1300">
        <v>44.160992066718499</v>
      </c>
      <c r="AL1300">
        <v>86.410608932848305</v>
      </c>
      <c r="AM1300">
        <v>88.037676345429304</v>
      </c>
      <c r="AN1300">
        <v>0.999999951789867</v>
      </c>
    </row>
    <row r="1301" spans="1:40" x14ac:dyDescent="0.25">
      <c r="A1301" t="str">
        <f>"20190312153913819"</f>
        <v>20190312153913819</v>
      </c>
      <c r="B1301" t="str">
        <f>"1552376353807464"</f>
        <v>1552376353807464</v>
      </c>
      <c r="C1301" t="s">
        <v>40</v>
      </c>
      <c r="D1301">
        <v>4.2722239999999996</v>
      </c>
      <c r="E1301">
        <v>0.50610540000000004</v>
      </c>
      <c r="F1301" t="s">
        <v>42</v>
      </c>
      <c r="G1301">
        <v>-231.16659999999999</v>
      </c>
      <c r="H1301" s="1">
        <v>-4.0077190000000001E-6</v>
      </c>
      <c r="I1301">
        <v>368.28660000000002</v>
      </c>
      <c r="J1301">
        <v>-248.73060000000001</v>
      </c>
      <c r="K1301">
        <v>1.1098889999999999</v>
      </c>
      <c r="L1301">
        <v>368.29640000000001</v>
      </c>
      <c r="M1301">
        <v>0.99971350000000003</v>
      </c>
      <c r="N1301">
        <v>0</v>
      </c>
      <c r="O1301">
        <v>2.14313E-2</v>
      </c>
      <c r="P1301">
        <v>0.99858000000000002</v>
      </c>
      <c r="Q1301">
        <v>5.1641590000000001E-2</v>
      </c>
      <c r="R1301">
        <v>-1.308114E-2</v>
      </c>
      <c r="S1301">
        <v>3.0141450000000001</v>
      </c>
      <c r="T1301">
        <v>-0.18886069999999999</v>
      </c>
      <c r="U1301">
        <v>-1.12915E-3</v>
      </c>
      <c r="V1301">
        <v>3.450686E-2</v>
      </c>
      <c r="W1301">
        <v>6.2258800000000003E-2</v>
      </c>
      <c r="X1301">
        <v>0.99746330000000005</v>
      </c>
      <c r="Y1301">
        <v>2.1722419999999999E-2</v>
      </c>
      <c r="Z1301">
        <v>-2.0214069999999998E-3</v>
      </c>
      <c r="AA1301">
        <v>0.99976200000000004</v>
      </c>
      <c r="AB1301">
        <v>24</v>
      </c>
      <c r="AC1301">
        <v>17.564</v>
      </c>
      <c r="AD1301">
        <v>-1.1098930077189999</v>
      </c>
      <c r="AE1301">
        <v>-9.7999999999842605E-3</v>
      </c>
      <c r="AF1301">
        <v>0.38470231512501601</v>
      </c>
      <c r="AG1301">
        <v>-1.1098930077189999</v>
      </c>
      <c r="AH1301">
        <v>17.4899156668803</v>
      </c>
      <c r="AI1301">
        <v>93.630189704792699</v>
      </c>
      <c r="AJ1301">
        <v>88.739944445806103</v>
      </c>
      <c r="AK1301">
        <v>17.529318537650902</v>
      </c>
      <c r="AL1301">
        <v>86.430524860545404</v>
      </c>
      <c r="AM1301">
        <v>88.018664660332902</v>
      </c>
      <c r="AN1301">
        <v>0.99999995820569398</v>
      </c>
    </row>
    <row r="1302" spans="1:40" x14ac:dyDescent="0.25">
      <c r="A1302" t="str">
        <f>"20190312153913834"</f>
        <v>20190312153913834</v>
      </c>
      <c r="B1302" t="str">
        <f>"1552376353826984"</f>
        <v>1552376353826984</v>
      </c>
      <c r="C1302" t="s">
        <v>40</v>
      </c>
      <c r="D1302">
        <v>4.3158269999999996</v>
      </c>
      <c r="E1302">
        <v>0.51948269999999996</v>
      </c>
      <c r="F1302" t="s">
        <v>41</v>
      </c>
      <c r="G1302">
        <v>-247.79519999999999</v>
      </c>
      <c r="H1302">
        <v>1.032251</v>
      </c>
      <c r="I1302">
        <v>368.2731</v>
      </c>
      <c r="J1302">
        <v>-248.54329999999999</v>
      </c>
      <c r="K1302">
        <v>1.109888</v>
      </c>
      <c r="L1302">
        <v>368.30009999999999</v>
      </c>
      <c r="M1302">
        <v>0.99971699999999997</v>
      </c>
      <c r="N1302">
        <v>0</v>
      </c>
      <c r="O1302">
        <v>2.1236999999999999E-2</v>
      </c>
      <c r="P1302">
        <v>0.99858670000000005</v>
      </c>
      <c r="Q1302">
        <v>5.1372859999999999E-2</v>
      </c>
      <c r="R1302">
        <v>-1.362212E-2</v>
      </c>
      <c r="S1302">
        <v>3.016235</v>
      </c>
      <c r="T1302">
        <v>-0.25046990000000002</v>
      </c>
      <c r="U1302">
        <v>-7.4371339999999994E-2</v>
      </c>
      <c r="V1302">
        <v>3.4855440000000001E-2</v>
      </c>
      <c r="W1302">
        <v>6.2057950000000001E-2</v>
      </c>
      <c r="X1302">
        <v>0.99746380000000001</v>
      </c>
      <c r="Y1302">
        <v>4.5645640000000001E-2</v>
      </c>
      <c r="Z1302">
        <v>-3.6520329999999998E-3</v>
      </c>
      <c r="AA1302">
        <v>0.99895100000000003</v>
      </c>
      <c r="AB1302">
        <v>24</v>
      </c>
      <c r="AC1302">
        <v>0.74809999999999299</v>
      </c>
      <c r="AD1302">
        <v>-7.7636999999999901E-2</v>
      </c>
      <c r="AE1302">
        <v>-2.6999999999986798E-2</v>
      </c>
      <c r="AF1302">
        <v>4.2425887565353003E-2</v>
      </c>
      <c r="AG1302">
        <v>-7.7636999999999901E-2</v>
      </c>
      <c r="AH1302">
        <v>0.73940475425087004</v>
      </c>
      <c r="AI1302">
        <v>95.984283402626801</v>
      </c>
      <c r="AJ1302">
        <v>86.716058576053499</v>
      </c>
      <c r="AK1302">
        <v>0.74467902502588101</v>
      </c>
      <c r="AL1302">
        <v>86.4420553825219</v>
      </c>
      <c r="AM1302">
        <v>87.998666884554396</v>
      </c>
      <c r="AN1302">
        <v>1.0000000615831099</v>
      </c>
    </row>
    <row r="1303" spans="1:40" x14ac:dyDescent="0.25">
      <c r="A1303" t="str">
        <f>"20190312153913847"</f>
        <v>20190312153913847</v>
      </c>
      <c r="B1303" t="str">
        <f>"1552376353836747"</f>
        <v>1552376353836747</v>
      </c>
      <c r="C1303" t="s">
        <v>40</v>
      </c>
      <c r="D1303">
        <v>4.302117</v>
      </c>
      <c r="E1303">
        <v>0.52298770000000006</v>
      </c>
      <c r="F1303" t="s">
        <v>41</v>
      </c>
      <c r="G1303">
        <v>-247.80350000000001</v>
      </c>
      <c r="H1303">
        <v>1.0148839999999999</v>
      </c>
      <c r="I1303">
        <v>368.25639999999999</v>
      </c>
      <c r="J1303">
        <v>-248.4109</v>
      </c>
      <c r="K1303">
        <v>1.10989</v>
      </c>
      <c r="L1303">
        <v>368.30279999999999</v>
      </c>
      <c r="M1303">
        <v>0.99971949999999998</v>
      </c>
      <c r="N1303">
        <v>0</v>
      </c>
      <c r="O1303">
        <v>2.1092880000000001E-2</v>
      </c>
      <c r="P1303">
        <v>0.99859339999999996</v>
      </c>
      <c r="Q1303">
        <v>5.1193599999999999E-2</v>
      </c>
      <c r="R1303">
        <v>-1.3814770000000001E-2</v>
      </c>
      <c r="S1303">
        <v>3.0217740000000002</v>
      </c>
      <c r="T1303">
        <v>-0.38811040000000002</v>
      </c>
      <c r="U1303">
        <v>-0.17807010000000001</v>
      </c>
      <c r="V1303">
        <v>3.4904850000000001E-2</v>
      </c>
      <c r="W1303">
        <v>6.1928509999999999E-2</v>
      </c>
      <c r="X1303">
        <v>0.99747010000000003</v>
      </c>
      <c r="Y1303">
        <v>7.9051380000000004E-2</v>
      </c>
      <c r="Z1303">
        <v>-7.7476609999999899E-3</v>
      </c>
      <c r="AA1303">
        <v>0.99684039999999996</v>
      </c>
      <c r="AB1303">
        <v>24</v>
      </c>
      <c r="AC1303">
        <v>0.60739999999998395</v>
      </c>
      <c r="AD1303">
        <v>-9.5005999999999896E-2</v>
      </c>
      <c r="AE1303">
        <v>-4.6400000000005499E-2</v>
      </c>
      <c r="AF1303">
        <v>5.7796424836884699E-2</v>
      </c>
      <c r="AG1303">
        <v>-9.5005999999999896E-2</v>
      </c>
      <c r="AH1303">
        <v>0.591889284168025</v>
      </c>
      <c r="AI1303">
        <v>99.076494887815301</v>
      </c>
      <c r="AJ1303">
        <v>84.422899554125195</v>
      </c>
      <c r="AK1303">
        <v>0.60224537480404305</v>
      </c>
      <c r="AL1303">
        <v>86.449485979917895</v>
      </c>
      <c r="AM1303">
        <v>87.995844816194904</v>
      </c>
      <c r="AN1303">
        <v>1.0000000446491699</v>
      </c>
    </row>
    <row r="1304" spans="1:40" x14ac:dyDescent="0.25">
      <c r="A1304" t="str">
        <f>"20190312153913864"</f>
        <v>20190312153913864</v>
      </c>
      <c r="B1304" t="str">
        <f>"1552376353857242"</f>
        <v>1552376353857242</v>
      </c>
      <c r="C1304" t="s">
        <v>40</v>
      </c>
      <c r="D1304">
        <v>4.2822500000000003</v>
      </c>
      <c r="E1304">
        <v>0.52795400000000003</v>
      </c>
      <c r="F1304" t="s">
        <v>41</v>
      </c>
      <c r="G1304">
        <v>-247.59819999999999</v>
      </c>
      <c r="H1304">
        <v>0.99408949999999996</v>
      </c>
      <c r="I1304">
        <v>368.2475</v>
      </c>
      <c r="J1304">
        <v>-248.2407</v>
      </c>
      <c r="K1304">
        <v>1.109896</v>
      </c>
      <c r="L1304">
        <v>368.30619999999999</v>
      </c>
      <c r="M1304">
        <v>0.99972280000000002</v>
      </c>
      <c r="N1304">
        <v>0</v>
      </c>
      <c r="O1304">
        <v>2.090378E-2</v>
      </c>
      <c r="P1304">
        <v>0.99857770000000001</v>
      </c>
      <c r="Q1304">
        <v>5.1311750000000003E-2</v>
      </c>
      <c r="R1304">
        <v>-1.4489200000000001E-2</v>
      </c>
      <c r="S1304">
        <v>3.0234679999999998</v>
      </c>
      <c r="T1304">
        <v>-0.43099460000000001</v>
      </c>
      <c r="U1304">
        <v>-0.2048645</v>
      </c>
      <c r="V1304">
        <v>3.5390980000000002E-2</v>
      </c>
      <c r="W1304">
        <v>6.211125E-2</v>
      </c>
      <c r="X1304">
        <v>0.99744160000000004</v>
      </c>
      <c r="Y1304">
        <v>8.7355699999999994E-2</v>
      </c>
      <c r="Z1304">
        <v>-9.1499960000000005E-3</v>
      </c>
      <c r="AA1304">
        <v>0.9961352</v>
      </c>
      <c r="AB1304">
        <v>24</v>
      </c>
      <c r="AC1304">
        <v>0.64250000000001195</v>
      </c>
      <c r="AD1304">
        <v>-0.11580649999999899</v>
      </c>
      <c r="AE1304">
        <v>-5.8699999999987498E-2</v>
      </c>
      <c r="AF1304">
        <v>6.98675877946347E-2</v>
      </c>
      <c r="AG1304">
        <v>-0.11580649999999899</v>
      </c>
      <c r="AH1304">
        <v>0.62112069380564405</v>
      </c>
      <c r="AI1304">
        <v>100.496682758969</v>
      </c>
      <c r="AJ1304">
        <v>83.5819866733071</v>
      </c>
      <c r="AK1304">
        <v>0.63567565750160304</v>
      </c>
      <c r="AL1304">
        <v>86.438995527832404</v>
      </c>
      <c r="AM1304">
        <v>87.967897590443499</v>
      </c>
      <c r="AN1304">
        <v>1.0000000371262401</v>
      </c>
    </row>
    <row r="1305" spans="1:40" x14ac:dyDescent="0.25">
      <c r="A1305" t="str">
        <f>"20190312153913875"</f>
        <v>20190312153913875</v>
      </c>
      <c r="B1305" t="str">
        <f>"1552376353867000"</f>
        <v>1552376353867000</v>
      </c>
      <c r="C1305" t="s">
        <v>40</v>
      </c>
      <c r="D1305">
        <v>4.2257429999999996</v>
      </c>
      <c r="E1305">
        <v>0.529703699999999</v>
      </c>
      <c r="F1305" t="s">
        <v>41</v>
      </c>
      <c r="G1305">
        <v>-247.39240000000001</v>
      </c>
      <c r="H1305">
        <v>0.97400240000000005</v>
      </c>
      <c r="I1305">
        <v>368.23739999999998</v>
      </c>
      <c r="J1305">
        <v>-248.10470000000001</v>
      </c>
      <c r="K1305">
        <v>1.1099030000000001</v>
      </c>
      <c r="L1305">
        <v>368.30889999999999</v>
      </c>
      <c r="M1305">
        <v>0.99972539999999999</v>
      </c>
      <c r="N1305">
        <v>0</v>
      </c>
      <c r="O1305">
        <v>2.0749099999999999E-2</v>
      </c>
      <c r="P1305">
        <v>0.99856639999999997</v>
      </c>
      <c r="Q1305">
        <v>5.141482E-2</v>
      </c>
      <c r="R1305">
        <v>-1.489876E-2</v>
      </c>
      <c r="S1305">
        <v>3.0256810000000001</v>
      </c>
      <c r="T1305">
        <v>-0.48487190000000002</v>
      </c>
      <c r="U1305">
        <v>-0.24435419999999999</v>
      </c>
      <c r="V1305">
        <v>3.5646579999999997E-2</v>
      </c>
      <c r="W1305">
        <v>6.2268299999999999E-2</v>
      </c>
      <c r="X1305">
        <v>0.9974227</v>
      </c>
      <c r="Y1305">
        <v>9.9636929999999999E-2</v>
      </c>
      <c r="Z1305">
        <v>-1.1219700000000001E-2</v>
      </c>
      <c r="AA1305">
        <v>0.99496059999999997</v>
      </c>
      <c r="AB1305">
        <v>24</v>
      </c>
      <c r="AC1305">
        <v>0.71229999999999805</v>
      </c>
      <c r="AD1305">
        <v>-0.13590060000000001</v>
      </c>
      <c r="AE1305">
        <v>-7.1500000000014496E-2</v>
      </c>
      <c r="AF1305">
        <v>8.3264369499904595E-2</v>
      </c>
      <c r="AG1305">
        <v>-0.13590060000000001</v>
      </c>
      <c r="AH1305">
        <v>0.68594285439398195</v>
      </c>
      <c r="AI1305">
        <v>101.126834877608</v>
      </c>
      <c r="AJ1305">
        <v>83.078912822518703</v>
      </c>
      <c r="AK1305">
        <v>0.70421554072793702</v>
      </c>
      <c r="AL1305">
        <v>86.429979753259303</v>
      </c>
      <c r="AM1305">
        <v>87.953195069664204</v>
      </c>
      <c r="AN1305">
        <v>1.00000003116293</v>
      </c>
    </row>
    <row r="1306" spans="1:40" x14ac:dyDescent="0.25">
      <c r="A1306" t="str">
        <f>"20190312153913889"</f>
        <v>20190312153913889</v>
      </c>
      <c r="B1306" t="str">
        <f>"1552376353876760"</f>
        <v>1552376353876760</v>
      </c>
      <c r="C1306" t="s">
        <v>40</v>
      </c>
      <c r="D1306">
        <v>4.2613620000000001</v>
      </c>
      <c r="E1306">
        <v>0.53117999999999999</v>
      </c>
      <c r="F1306" t="s">
        <v>41</v>
      </c>
      <c r="G1306">
        <v>-247.3844</v>
      </c>
      <c r="H1306">
        <v>0.99080069999999998</v>
      </c>
      <c r="I1306">
        <v>368.24689999999998</v>
      </c>
      <c r="J1306">
        <v>-247.97030000000001</v>
      </c>
      <c r="K1306">
        <v>1.1099079999999999</v>
      </c>
      <c r="L1306">
        <v>368.31150000000002</v>
      </c>
      <c r="M1306">
        <v>0.99972810000000001</v>
      </c>
      <c r="N1306">
        <v>0</v>
      </c>
      <c r="O1306">
        <v>2.059304E-2</v>
      </c>
      <c r="P1306">
        <v>0.99856129999999999</v>
      </c>
      <c r="Q1306">
        <v>5.1316010000000002E-2</v>
      </c>
      <c r="R1306">
        <v>-1.556592E-2</v>
      </c>
      <c r="S1306">
        <v>3.0262150000000001</v>
      </c>
      <c r="T1306">
        <v>-0.50063789999999997</v>
      </c>
      <c r="U1306">
        <v>-0.25921630000000001</v>
      </c>
      <c r="V1306">
        <v>3.615811E-2</v>
      </c>
      <c r="W1306">
        <v>6.222453E-2</v>
      </c>
      <c r="X1306">
        <v>0.99740700000000004</v>
      </c>
      <c r="Y1306">
        <v>0.1041614</v>
      </c>
      <c r="Z1306">
        <v>-1.19209E-2</v>
      </c>
      <c r="AA1306">
        <v>0.99448899999999996</v>
      </c>
      <c r="AB1306">
        <v>24</v>
      </c>
      <c r="AC1306">
        <v>0.58590000000000897</v>
      </c>
      <c r="AD1306">
        <v>-0.119107299999999</v>
      </c>
      <c r="AE1306">
        <v>-6.4600000000041194E-2</v>
      </c>
      <c r="AF1306">
        <v>7.3645518828704695E-2</v>
      </c>
      <c r="AG1306">
        <v>-0.119107299999999</v>
      </c>
      <c r="AH1306">
        <v>0.56151841546850401</v>
      </c>
      <c r="AI1306">
        <v>101.877081050193</v>
      </c>
      <c r="AJ1306">
        <v>82.528063708905407</v>
      </c>
      <c r="AK1306">
        <v>0.57871680662228797</v>
      </c>
      <c r="AL1306">
        <v>86.432492394866401</v>
      </c>
      <c r="AM1306">
        <v>87.923816198868806</v>
      </c>
      <c r="AN1306">
        <v>1.00000001235074</v>
      </c>
    </row>
    <row r="1307" spans="1:40" x14ac:dyDescent="0.25">
      <c r="A1307" t="str">
        <f>"20190312153913903"</f>
        <v>20190312153913903</v>
      </c>
      <c r="B1307" t="str">
        <f>"1552376353897256"</f>
        <v>1552376353897256</v>
      </c>
      <c r="C1307" t="s">
        <v>40</v>
      </c>
      <c r="D1307">
        <v>4.2817930000000004</v>
      </c>
      <c r="E1307">
        <v>0.53331629999999997</v>
      </c>
      <c r="F1307" t="s">
        <v>41</v>
      </c>
      <c r="G1307">
        <v>-247.17670000000001</v>
      </c>
      <c r="H1307">
        <v>0.97458739999999999</v>
      </c>
      <c r="I1307">
        <v>368.23989999999998</v>
      </c>
      <c r="J1307">
        <v>-247.82069999999999</v>
      </c>
      <c r="K1307">
        <v>1.1099129999999999</v>
      </c>
      <c r="L1307">
        <v>368.31439999999998</v>
      </c>
      <c r="M1307">
        <v>0.99973089999999998</v>
      </c>
      <c r="N1307">
        <v>0</v>
      </c>
      <c r="O1307">
        <v>2.04178E-2</v>
      </c>
      <c r="P1307">
        <v>0.99855950000000004</v>
      </c>
      <c r="Q1307">
        <v>5.125184E-2</v>
      </c>
      <c r="R1307">
        <v>-1.5886259999999999E-2</v>
      </c>
      <c r="S1307">
        <v>3.0265960000000001</v>
      </c>
      <c r="T1307">
        <v>-0.51619250000000005</v>
      </c>
      <c r="U1307">
        <v>-0.27270509999999998</v>
      </c>
      <c r="V1307">
        <v>3.6304000000000003E-2</v>
      </c>
      <c r="W1307">
        <v>6.222453E-2</v>
      </c>
      <c r="X1307">
        <v>0.99740169999999995</v>
      </c>
      <c r="Y1307">
        <v>0.1082139</v>
      </c>
      <c r="Z1307">
        <v>-1.259509E-2</v>
      </c>
      <c r="AA1307">
        <v>0.99404780000000004</v>
      </c>
      <c r="AB1307">
        <v>24</v>
      </c>
      <c r="AC1307">
        <v>0.64399999999997704</v>
      </c>
      <c r="AD1307">
        <v>-0.13532559999999899</v>
      </c>
      <c r="AE1307">
        <v>-7.4500000000000399E-2</v>
      </c>
      <c r="AF1307">
        <v>8.3975295238421496E-2</v>
      </c>
      <c r="AG1307">
        <v>-0.13532559999999899</v>
      </c>
      <c r="AH1307">
        <v>0.61552443575981197</v>
      </c>
      <c r="AI1307">
        <v>102.289112878673</v>
      </c>
      <c r="AJ1307">
        <v>82.231165363972494</v>
      </c>
      <c r="AK1307">
        <v>0.63579493489896199</v>
      </c>
      <c r="AL1307">
        <v>86.432492393100205</v>
      </c>
      <c r="AM1307">
        <v>87.915435563383596</v>
      </c>
      <c r="AN1307">
        <v>1.0000000118562999</v>
      </c>
    </row>
    <row r="1308" spans="1:40" x14ac:dyDescent="0.25">
      <c r="A1308" t="str">
        <f>"20190312153913918"</f>
        <v>20190312153913918</v>
      </c>
      <c r="B1308" t="str">
        <f>"1552376353907017"</f>
        <v>1552376353907017</v>
      </c>
      <c r="C1308" t="s">
        <v>40</v>
      </c>
      <c r="D1308">
        <v>4.2927989999999996</v>
      </c>
      <c r="E1308">
        <v>0.5342751</v>
      </c>
      <c r="F1308" t="s">
        <v>41</v>
      </c>
      <c r="G1308">
        <v>-246.96889999999999</v>
      </c>
      <c r="H1308">
        <v>0.95846200000000004</v>
      </c>
      <c r="I1308">
        <v>368.23270000000002</v>
      </c>
      <c r="J1308">
        <v>-247.6551</v>
      </c>
      <c r="K1308">
        <v>1.109915</v>
      </c>
      <c r="L1308">
        <v>368.3175</v>
      </c>
      <c r="M1308">
        <v>0.99973400000000001</v>
      </c>
      <c r="N1308">
        <v>0</v>
      </c>
      <c r="O1308">
        <v>2.0220910000000002E-2</v>
      </c>
      <c r="P1308">
        <v>0.99855479999999996</v>
      </c>
      <c r="Q1308">
        <v>5.1195699999999997E-2</v>
      </c>
      <c r="R1308">
        <v>-1.635122E-2</v>
      </c>
      <c r="S1308">
        <v>3.0273590000000001</v>
      </c>
      <c r="T1308">
        <v>-0.53828900000000002</v>
      </c>
      <c r="U1308">
        <v>-0.2897034</v>
      </c>
      <c r="V1308">
        <v>3.6572779999999999E-2</v>
      </c>
      <c r="W1308">
        <v>6.2243090000000001E-2</v>
      </c>
      <c r="X1308">
        <v>0.99739069999999996</v>
      </c>
      <c r="Y1308">
        <v>0.1132943</v>
      </c>
      <c r="Z1308">
        <v>-1.35321E-2</v>
      </c>
      <c r="AA1308">
        <v>0.9934693</v>
      </c>
      <c r="AB1308">
        <v>24</v>
      </c>
      <c r="AC1308">
        <v>0.68620000000001302</v>
      </c>
      <c r="AD1308">
        <v>-0.15145299999999901</v>
      </c>
      <c r="AE1308">
        <v>-8.4799999999972897E-2</v>
      </c>
      <c r="AF1308">
        <v>9.4142043901035602E-2</v>
      </c>
      <c r="AG1308">
        <v>-0.15145299999999901</v>
      </c>
      <c r="AH1308">
        <v>0.65301245481789105</v>
      </c>
      <c r="AI1308">
        <v>102.92862655025201</v>
      </c>
      <c r="AJ1308">
        <v>81.796431863830193</v>
      </c>
      <c r="AK1308">
        <v>0.67692392614395902</v>
      </c>
      <c r="AL1308">
        <v>86.431426838128502</v>
      </c>
      <c r="AM1308">
        <v>87.899992926528299</v>
      </c>
      <c r="AN1308">
        <v>0.99999998946808299</v>
      </c>
    </row>
    <row r="1309" spans="1:40" x14ac:dyDescent="0.25">
      <c r="A1309" t="str">
        <f>"20190312153913934"</f>
        <v>20190312153913934</v>
      </c>
      <c r="B1309" t="str">
        <f>"1552376353927514"</f>
        <v>1552376353927514</v>
      </c>
      <c r="C1309" t="s">
        <v>40</v>
      </c>
      <c r="D1309">
        <v>4.2960180000000001</v>
      </c>
      <c r="E1309">
        <v>0.53565569999999996</v>
      </c>
      <c r="F1309" t="s">
        <v>41</v>
      </c>
      <c r="G1309">
        <v>-246.7585</v>
      </c>
      <c r="H1309">
        <v>0.94774639999999999</v>
      </c>
      <c r="I1309">
        <v>368.22910000000002</v>
      </c>
      <c r="J1309">
        <v>-247.48419999999999</v>
      </c>
      <c r="K1309">
        <v>1.109926</v>
      </c>
      <c r="L1309">
        <v>368.32069999999999</v>
      </c>
      <c r="M1309">
        <v>0.99973730000000005</v>
      </c>
      <c r="N1309">
        <v>0</v>
      </c>
      <c r="O1309">
        <v>2.0018620000000001E-2</v>
      </c>
      <c r="P1309">
        <v>0.99856619999999996</v>
      </c>
      <c r="Q1309">
        <v>5.0731129999999999E-2</v>
      </c>
      <c r="R1309">
        <v>-1.709544E-2</v>
      </c>
      <c r="S1309">
        <v>3.0275120000000002</v>
      </c>
      <c r="T1309">
        <v>-0.54761389999999999</v>
      </c>
      <c r="U1309">
        <v>-0.29873660000000002</v>
      </c>
      <c r="V1309">
        <v>3.7115490000000001E-2</v>
      </c>
      <c r="W1309">
        <v>6.1861869999999999E-2</v>
      </c>
      <c r="X1309">
        <v>0.99739440000000001</v>
      </c>
      <c r="Y1309">
        <v>0.1159147</v>
      </c>
      <c r="Z1309">
        <v>-1.395855E-2</v>
      </c>
      <c r="AA1309">
        <v>0.99316110000000002</v>
      </c>
      <c r="AB1309">
        <v>24</v>
      </c>
      <c r="AC1309">
        <v>0.72569999999998902</v>
      </c>
      <c r="AD1309">
        <v>-0.16217959999999901</v>
      </c>
      <c r="AE1309">
        <v>-9.1599999999971204E-2</v>
      </c>
      <c r="AF1309">
        <v>0.10113809250571</v>
      </c>
      <c r="AG1309">
        <v>-0.16217959999999901</v>
      </c>
      <c r="AH1309">
        <v>0.68980957434724699</v>
      </c>
      <c r="AI1309">
        <v>103.095298570967</v>
      </c>
      <c r="AJ1309">
        <v>81.658871259541002</v>
      </c>
      <c r="AK1309">
        <v>0.71579912354862796</v>
      </c>
      <c r="AL1309">
        <v>86.453311417296604</v>
      </c>
      <c r="AM1309">
        <v>87.868866970227501</v>
      </c>
      <c r="AN1309">
        <v>1.00000001985459</v>
      </c>
    </row>
    <row r="1310" spans="1:40" x14ac:dyDescent="0.25">
      <c r="A1310" t="str">
        <f>"20190312153913951"</f>
        <v>20190312153913951</v>
      </c>
      <c r="B1310" t="str">
        <f>"1552376353947033"</f>
        <v>1552376353947033</v>
      </c>
      <c r="C1310" t="s">
        <v>40</v>
      </c>
      <c r="D1310">
        <v>4.289364</v>
      </c>
      <c r="E1310">
        <v>0.53657069999999996</v>
      </c>
      <c r="F1310" t="s">
        <v>41</v>
      </c>
      <c r="G1310">
        <v>-246.74700000000001</v>
      </c>
      <c r="H1310">
        <v>0.97278149999999997</v>
      </c>
      <c r="I1310">
        <v>368.245</v>
      </c>
      <c r="J1310">
        <v>-247.31120000000001</v>
      </c>
      <c r="K1310">
        <v>1.1099330000000001</v>
      </c>
      <c r="L1310">
        <v>368.32389999999998</v>
      </c>
      <c r="M1310">
        <v>0.99974010000000002</v>
      </c>
      <c r="N1310">
        <v>0</v>
      </c>
      <c r="O1310">
        <v>1.9819469999999999E-2</v>
      </c>
      <c r="P1310">
        <v>0.99857870000000004</v>
      </c>
      <c r="Q1310">
        <v>5.036699E-2</v>
      </c>
      <c r="R1310">
        <v>-1.7435010000000001E-2</v>
      </c>
      <c r="S1310">
        <v>3.027603</v>
      </c>
      <c r="T1310">
        <v>-0.56325530000000001</v>
      </c>
      <c r="U1310">
        <v>-0.3113708</v>
      </c>
      <c r="V1310">
        <v>3.7256480000000002E-2</v>
      </c>
      <c r="W1310">
        <v>6.1586780000000001E-2</v>
      </c>
      <c r="X1310">
        <v>0.99740609999999996</v>
      </c>
      <c r="Y1310">
        <v>0.1196319</v>
      </c>
      <c r="Z1310">
        <v>-1.465266E-2</v>
      </c>
      <c r="AA1310">
        <v>0.99271019999999999</v>
      </c>
      <c r="AB1310">
        <v>24</v>
      </c>
      <c r="AC1310">
        <v>0.56419999999999904</v>
      </c>
      <c r="AD1310">
        <v>-0.13715149999999901</v>
      </c>
      <c r="AE1310">
        <v>-7.8899999999975906E-2</v>
      </c>
      <c r="AF1310">
        <v>8.5133093516568698E-2</v>
      </c>
      <c r="AG1310">
        <v>-0.13715149999999901</v>
      </c>
      <c r="AH1310">
        <v>0.53170785058068504</v>
      </c>
      <c r="AI1310">
        <v>104.289471704612</v>
      </c>
      <c r="AJ1310">
        <v>80.903436175484998</v>
      </c>
      <c r="AK1310">
        <v>0.55567203990580905</v>
      </c>
      <c r="AL1310">
        <v>86.469102785921805</v>
      </c>
      <c r="AM1310">
        <v>87.860804048150001</v>
      </c>
      <c r="AN1310">
        <v>0.99999995254498297</v>
      </c>
    </row>
    <row r="1311" spans="1:40" x14ac:dyDescent="0.25">
      <c r="A1311" t="str">
        <f>"20190312153913965"</f>
        <v>20190312153913965</v>
      </c>
      <c r="B1311" t="str">
        <f>"1552376353956792"</f>
        <v>1552376353956792</v>
      </c>
      <c r="C1311" t="s">
        <v>40</v>
      </c>
      <c r="D1311">
        <v>4.3290980000000001</v>
      </c>
      <c r="E1311">
        <v>0.53717859999999995</v>
      </c>
      <c r="F1311" t="s">
        <v>41</v>
      </c>
      <c r="G1311">
        <v>-246.53649999999999</v>
      </c>
      <c r="H1311">
        <v>0.9628253</v>
      </c>
      <c r="I1311">
        <v>368.24200000000002</v>
      </c>
      <c r="J1311">
        <v>-247.14920000000001</v>
      </c>
      <c r="K1311">
        <v>1.1099479999999999</v>
      </c>
      <c r="L1311">
        <v>368.32690000000002</v>
      </c>
      <c r="M1311">
        <v>0.99974289999999999</v>
      </c>
      <c r="N1311">
        <v>0</v>
      </c>
      <c r="O1311">
        <v>1.9637330000000001E-2</v>
      </c>
      <c r="P1311">
        <v>0.99859180000000003</v>
      </c>
      <c r="Q1311">
        <v>4.999878E-2</v>
      </c>
      <c r="R1311">
        <v>-1.7744010000000001E-2</v>
      </c>
      <c r="S1311">
        <v>3.027695</v>
      </c>
      <c r="T1311">
        <v>-0.57511119999999905</v>
      </c>
      <c r="U1311">
        <v>-0.31912230000000003</v>
      </c>
      <c r="V1311">
        <v>3.7383600000000003E-2</v>
      </c>
      <c r="W1311">
        <v>6.1306449999999998E-2</v>
      </c>
      <c r="X1311">
        <v>0.99741860000000004</v>
      </c>
      <c r="Y1311">
        <v>0.1218274</v>
      </c>
      <c r="Z1311">
        <v>-1.5125309999999999E-2</v>
      </c>
      <c r="AA1311">
        <v>0.99243610000000004</v>
      </c>
      <c r="AB1311">
        <v>24</v>
      </c>
      <c r="AC1311">
        <v>0.61270000000001801</v>
      </c>
      <c r="AD1311">
        <v>-0.147122699999999</v>
      </c>
      <c r="AE1311">
        <v>-8.4900000000061399E-2</v>
      </c>
      <c r="AF1311">
        <v>9.1726985110558504E-2</v>
      </c>
      <c r="AG1311">
        <v>-0.147122699999999</v>
      </c>
      <c r="AH1311">
        <v>0.57820417939733904</v>
      </c>
      <c r="AI1311">
        <v>104.106595073092</v>
      </c>
      <c r="AJ1311">
        <v>80.985651243094907</v>
      </c>
      <c r="AK1311">
        <v>0.60363813806395095</v>
      </c>
      <c r="AL1311">
        <v>86.485194873077901</v>
      </c>
      <c r="AM1311">
        <v>87.853538751727498</v>
      </c>
      <c r="AN1311">
        <v>0.99999993899325901</v>
      </c>
    </row>
    <row r="1312" spans="1:40" x14ac:dyDescent="0.25">
      <c r="A1312" t="str">
        <f>"20190312153913979"</f>
        <v>20190312153913979</v>
      </c>
      <c r="B1312" t="str">
        <f>"1552376353967528"</f>
        <v>1552376353967528</v>
      </c>
      <c r="C1312" t="s">
        <v>40</v>
      </c>
      <c r="D1312">
        <v>4.3270960000000001</v>
      </c>
      <c r="E1312">
        <v>0.53717859999999995</v>
      </c>
      <c r="F1312" t="s">
        <v>41</v>
      </c>
      <c r="G1312">
        <v>-246.32650000000001</v>
      </c>
      <c r="H1312">
        <v>0.95170080000000001</v>
      </c>
      <c r="I1312">
        <v>368.23849999999999</v>
      </c>
      <c r="J1312">
        <v>-246.99700000000001</v>
      </c>
      <c r="K1312">
        <v>1.109969</v>
      </c>
      <c r="L1312">
        <v>368.3297</v>
      </c>
      <c r="M1312">
        <v>0.99974499999999999</v>
      </c>
      <c r="N1312">
        <v>0</v>
      </c>
      <c r="O1312">
        <v>1.9469210000000001E-2</v>
      </c>
      <c r="P1312">
        <v>0.9985889</v>
      </c>
      <c r="Q1312">
        <v>4.9966919999999998E-2</v>
      </c>
      <c r="R1312">
        <v>-1.7990030000000001E-2</v>
      </c>
      <c r="S1312">
        <v>3.027603</v>
      </c>
      <c r="T1312">
        <v>-0.58241899999999902</v>
      </c>
      <c r="U1312">
        <v>-0.32473750000000001</v>
      </c>
      <c r="V1312">
        <v>3.7461599999999998E-2</v>
      </c>
      <c r="W1312">
        <v>6.1361659999999998E-2</v>
      </c>
      <c r="X1312">
        <v>0.99741230000000003</v>
      </c>
      <c r="Y1312">
        <v>0.1233953</v>
      </c>
      <c r="Z1312">
        <v>-1.543015E-2</v>
      </c>
      <c r="AA1312">
        <v>0.99223760000000005</v>
      </c>
      <c r="AB1312">
        <v>24</v>
      </c>
      <c r="AC1312">
        <v>0.67050000000000398</v>
      </c>
      <c r="AD1312">
        <v>-0.158268199999999</v>
      </c>
      <c r="AE1312">
        <v>-9.1200000000014797E-2</v>
      </c>
      <c r="AF1312">
        <v>9.8831099182237994E-2</v>
      </c>
      <c r="AG1312">
        <v>-0.158268199999999</v>
      </c>
      <c r="AH1312">
        <v>0.63391856483640996</v>
      </c>
      <c r="AI1312">
        <v>103.85741870027</v>
      </c>
      <c r="AJ1312">
        <v>81.138635580343305</v>
      </c>
      <c r="AK1312">
        <v>0.66080947037785698</v>
      </c>
      <c r="AL1312">
        <v>86.482025681827594</v>
      </c>
      <c r="AM1312">
        <v>87.849050839889699</v>
      </c>
      <c r="AN1312">
        <v>0.99999996049190198</v>
      </c>
    </row>
    <row r="1313" spans="1:40" x14ac:dyDescent="0.25">
      <c r="A1313" t="str">
        <f>"20190312153913993"</f>
        <v>20190312153913993</v>
      </c>
      <c r="B1313" t="str">
        <f>"1552376353987048"</f>
        <v>1552376353987048</v>
      </c>
      <c r="C1313" t="s">
        <v>40</v>
      </c>
      <c r="D1313">
        <v>4.3397220000000001</v>
      </c>
      <c r="E1313">
        <v>0.55068859999999997</v>
      </c>
      <c r="F1313" t="s">
        <v>41</v>
      </c>
      <c r="G1313">
        <v>-246.1165</v>
      </c>
      <c r="H1313">
        <v>0.94058790000000003</v>
      </c>
      <c r="I1313">
        <v>368.23489999999998</v>
      </c>
      <c r="J1313">
        <v>-246.8372</v>
      </c>
      <c r="K1313">
        <v>1.10999</v>
      </c>
      <c r="L1313">
        <v>368.33260000000001</v>
      </c>
      <c r="M1313">
        <v>0.99974750000000001</v>
      </c>
      <c r="N1313">
        <v>0</v>
      </c>
      <c r="O1313">
        <v>1.928875E-2</v>
      </c>
      <c r="P1313">
        <v>0.99860749999999998</v>
      </c>
      <c r="Q1313">
        <v>4.9626099999999999E-2</v>
      </c>
      <c r="R1313">
        <v>-1.79004E-2</v>
      </c>
      <c r="S1313">
        <v>3.0275120000000002</v>
      </c>
      <c r="T1313">
        <v>-0.58251430000000004</v>
      </c>
      <c r="U1313">
        <v>-0.32559199999999999</v>
      </c>
      <c r="V1313">
        <v>3.7191500000000002E-2</v>
      </c>
      <c r="W1313">
        <v>6.1118459999999999E-2</v>
      </c>
      <c r="X1313">
        <v>0.99743740000000003</v>
      </c>
      <c r="Y1313">
        <v>0.1234968</v>
      </c>
      <c r="Z1313">
        <v>-1.540819E-2</v>
      </c>
      <c r="AA1313">
        <v>0.99222529999999998</v>
      </c>
      <c r="AB1313">
        <v>24</v>
      </c>
      <c r="AC1313">
        <v>0.72069999999999301</v>
      </c>
      <c r="AD1313">
        <v>-0.1694021</v>
      </c>
      <c r="AE1313">
        <v>-9.7700000000031595E-2</v>
      </c>
      <c r="AF1313">
        <v>0.105841954830465</v>
      </c>
      <c r="AG1313">
        <v>-0.1694021</v>
      </c>
      <c r="AH1313">
        <v>0.68169746323046898</v>
      </c>
      <c r="AI1313">
        <v>103.79647224509699</v>
      </c>
      <c r="AJ1313">
        <v>81.174588323979293</v>
      </c>
      <c r="AK1313">
        <v>0.71035978367416097</v>
      </c>
      <c r="AL1313">
        <v>86.495986429080503</v>
      </c>
      <c r="AM1313">
        <v>87.864598568244105</v>
      </c>
      <c r="AN1313">
        <v>1.00000002037189</v>
      </c>
    </row>
    <row r="1314" spans="1:40" x14ac:dyDescent="0.25">
      <c r="A1314" t="str">
        <f>"20190312153914007"</f>
        <v>20190312153914007</v>
      </c>
      <c r="B1314" t="str">
        <f>"1552376353996808"</f>
        <v>1552376353996808</v>
      </c>
      <c r="C1314" t="s">
        <v>40</v>
      </c>
      <c r="D1314">
        <v>4.3504620000000003</v>
      </c>
      <c r="E1314">
        <v>0.55148520000000001</v>
      </c>
      <c r="F1314" t="s">
        <v>41</v>
      </c>
      <c r="G1314">
        <v>-246.11869999999999</v>
      </c>
      <c r="H1314">
        <v>0.93548949999999997</v>
      </c>
      <c r="I1314">
        <v>368.2312</v>
      </c>
      <c r="J1314">
        <v>-246.69640000000001</v>
      </c>
      <c r="K1314">
        <v>1.1100110000000001</v>
      </c>
      <c r="L1314">
        <v>368.33510000000001</v>
      </c>
      <c r="M1314">
        <v>0.99974949999999996</v>
      </c>
      <c r="N1314">
        <v>0</v>
      </c>
      <c r="O1314">
        <v>1.912498E-2</v>
      </c>
      <c r="P1314">
        <v>0.99862070000000003</v>
      </c>
      <c r="Q1314">
        <v>4.9315779999999997E-2</v>
      </c>
      <c r="R1314">
        <v>-1.8021619999999999E-2</v>
      </c>
      <c r="S1314">
        <v>3.0331419999999998</v>
      </c>
      <c r="T1314">
        <v>-0.73668149999999999</v>
      </c>
      <c r="U1314">
        <v>-0.42749019999999999</v>
      </c>
      <c r="V1314">
        <v>3.714841E-2</v>
      </c>
      <c r="W1314">
        <v>6.089667E-2</v>
      </c>
      <c r="X1314">
        <v>0.99745260000000002</v>
      </c>
      <c r="Y1314">
        <v>0.15354709999999999</v>
      </c>
      <c r="Z1314">
        <v>-2.285129E-2</v>
      </c>
      <c r="AA1314">
        <v>0.98787709999999995</v>
      </c>
      <c r="AB1314">
        <v>24</v>
      </c>
      <c r="AC1314">
        <v>0.57770000000002097</v>
      </c>
      <c r="AD1314">
        <v>-0.1745215</v>
      </c>
      <c r="AE1314">
        <v>-0.10390000000001</v>
      </c>
      <c r="AF1314">
        <v>0.105595287259863</v>
      </c>
      <c r="AG1314">
        <v>-0.1745215</v>
      </c>
      <c r="AH1314">
        <v>0.52885469116882999</v>
      </c>
      <c r="AI1314">
        <v>107.932164864863</v>
      </c>
      <c r="AJ1314">
        <v>78.708366688721696</v>
      </c>
      <c r="AK1314">
        <v>0.56682925385429905</v>
      </c>
      <c r="AL1314">
        <v>86.5087178745394</v>
      </c>
      <c r="AM1314">
        <v>87.8671028270834</v>
      </c>
      <c r="AN1314">
        <v>1.0000000490146801</v>
      </c>
    </row>
    <row r="1315" spans="1:40" x14ac:dyDescent="0.25">
      <c r="A1315" t="str">
        <f>"20190312153914022"</f>
        <v>20190312153914022</v>
      </c>
      <c r="B1315" t="str">
        <f>"1552376354017304"</f>
        <v>1552376354017304</v>
      </c>
      <c r="C1315" t="s">
        <v>40</v>
      </c>
      <c r="D1315">
        <v>4.3401719999999999</v>
      </c>
      <c r="E1315">
        <v>0.55143619999999904</v>
      </c>
      <c r="F1315" t="s">
        <v>41</v>
      </c>
      <c r="G1315">
        <v>-245.91139999999999</v>
      </c>
      <c r="H1315">
        <v>0.91777920000000002</v>
      </c>
      <c r="I1315">
        <v>368.2226</v>
      </c>
      <c r="J1315">
        <v>-246.53530000000001</v>
      </c>
      <c r="K1315">
        <v>1.1100319999999999</v>
      </c>
      <c r="L1315">
        <v>368.33800000000002</v>
      </c>
      <c r="M1315">
        <v>0.99975190000000003</v>
      </c>
      <c r="N1315">
        <v>0</v>
      </c>
      <c r="O1315">
        <v>1.8933910000000002E-2</v>
      </c>
      <c r="P1315">
        <v>0.99862649999999997</v>
      </c>
      <c r="Q1315">
        <v>4.9166260000000003E-2</v>
      </c>
      <c r="R1315">
        <v>-1.8111140000000001E-2</v>
      </c>
      <c r="S1315">
        <v>3.0330050000000002</v>
      </c>
      <c r="T1315">
        <v>-0.74287250000000005</v>
      </c>
      <c r="U1315">
        <v>-0.43423460000000003</v>
      </c>
      <c r="V1315">
        <v>3.7046469999999998E-2</v>
      </c>
      <c r="W1315">
        <v>6.0853839999999999E-2</v>
      </c>
      <c r="X1315">
        <v>0.99745890000000004</v>
      </c>
      <c r="Y1315">
        <v>0.15538920000000001</v>
      </c>
      <c r="Z1315">
        <v>-2.321082E-2</v>
      </c>
      <c r="AA1315">
        <v>0.98758060000000003</v>
      </c>
      <c r="AB1315">
        <v>24</v>
      </c>
      <c r="AC1315">
        <v>0.62390000000001999</v>
      </c>
      <c r="AD1315">
        <v>-0.192252799999999</v>
      </c>
      <c r="AE1315">
        <v>-0.115400000000022</v>
      </c>
      <c r="AF1315">
        <v>0.116497012170366</v>
      </c>
      <c r="AG1315">
        <v>-0.192252799999999</v>
      </c>
      <c r="AH1315">
        <v>0.56933086175006198</v>
      </c>
      <c r="AI1315">
        <v>108.305621160626</v>
      </c>
      <c r="AJ1315">
        <v>78.4357183352341</v>
      </c>
      <c r="AK1315">
        <v>0.61210319644119704</v>
      </c>
      <c r="AL1315">
        <v>86.511176045422999</v>
      </c>
      <c r="AM1315">
        <v>87.872963809045004</v>
      </c>
      <c r="AN1315">
        <v>0.99999994398570602</v>
      </c>
    </row>
    <row r="1316" spans="1:40" x14ac:dyDescent="0.25">
      <c r="A1316" t="str">
        <f>"20190312153914040"</f>
        <v>20190312153914040</v>
      </c>
      <c r="B1316" t="str">
        <f>"1552376354037800"</f>
        <v>1552376354037800</v>
      </c>
      <c r="C1316" t="s">
        <v>40</v>
      </c>
      <c r="D1316">
        <v>4.3135830000000004</v>
      </c>
      <c r="E1316">
        <v>0.55167219999999995</v>
      </c>
      <c r="F1316" t="s">
        <v>41</v>
      </c>
      <c r="G1316">
        <v>-245.7022</v>
      </c>
      <c r="H1316">
        <v>0.90426150000000005</v>
      </c>
      <c r="I1316">
        <v>368.21850000000001</v>
      </c>
      <c r="J1316">
        <v>-246.33760000000001</v>
      </c>
      <c r="K1316">
        <v>1.1100559999999999</v>
      </c>
      <c r="L1316">
        <v>368.3415</v>
      </c>
      <c r="M1316">
        <v>0.9997547</v>
      </c>
      <c r="N1316">
        <v>0</v>
      </c>
      <c r="O1316">
        <v>1.8694599999999999E-2</v>
      </c>
      <c r="P1316">
        <v>0.99863329999999995</v>
      </c>
      <c r="Q1316">
        <v>4.8855419999999997E-2</v>
      </c>
      <c r="R1316">
        <v>-1.858042E-2</v>
      </c>
      <c r="S1316">
        <v>3.0331269999999999</v>
      </c>
      <c r="T1316">
        <v>-0.74927600000000005</v>
      </c>
      <c r="U1316">
        <v>-0.43405149999999998</v>
      </c>
      <c r="V1316">
        <v>3.727598E-2</v>
      </c>
      <c r="W1316">
        <v>6.0689630000000001E-2</v>
      </c>
      <c r="X1316">
        <v>0.99746040000000002</v>
      </c>
      <c r="Y1316">
        <v>0.15502099999999999</v>
      </c>
      <c r="Z1316">
        <v>-2.3301769999999999E-2</v>
      </c>
      <c r="AA1316">
        <v>0.98763630000000002</v>
      </c>
      <c r="AB1316">
        <v>24</v>
      </c>
      <c r="AC1316">
        <v>0.63540000000000396</v>
      </c>
      <c r="AD1316">
        <v>-0.20579449999999999</v>
      </c>
      <c r="AE1316">
        <v>-0.12299999999999001</v>
      </c>
      <c r="AF1316">
        <v>0.122474433048279</v>
      </c>
      <c r="AG1316">
        <v>-0.20579449999999999</v>
      </c>
      <c r="AH1316">
        <v>0.57486448938830303</v>
      </c>
      <c r="AI1316">
        <v>109.29667302419099</v>
      </c>
      <c r="AJ1316">
        <v>77.972995462612801</v>
      </c>
      <c r="AK1316">
        <v>0.62275239392588599</v>
      </c>
      <c r="AL1316">
        <v>86.520602167345899</v>
      </c>
      <c r="AM1316">
        <v>87.859801843047805</v>
      </c>
      <c r="AN1316">
        <v>0.99999998972132798</v>
      </c>
    </row>
    <row r="1317" spans="1:40" x14ac:dyDescent="0.25">
      <c r="A1317" t="str">
        <f>"20190312153914063"</f>
        <v>20190312153914063</v>
      </c>
      <c r="B1317" t="str">
        <f>"1552376354057320"</f>
        <v>1552376354057320</v>
      </c>
      <c r="C1317" t="s">
        <v>40</v>
      </c>
      <c r="D1317">
        <v>4.3543310000000002</v>
      </c>
      <c r="E1317">
        <v>0.55185830000000002</v>
      </c>
      <c r="F1317" t="s">
        <v>41</v>
      </c>
      <c r="G1317">
        <v>-245.49019999999999</v>
      </c>
      <c r="H1317">
        <v>0.89879349999999902</v>
      </c>
      <c r="I1317">
        <v>368.2192</v>
      </c>
      <c r="J1317">
        <v>-246.09460000000001</v>
      </c>
      <c r="K1317">
        <v>1.110093</v>
      </c>
      <c r="L1317">
        <v>368.34570000000002</v>
      </c>
      <c r="M1317">
        <v>0.99975780000000003</v>
      </c>
      <c r="N1317">
        <v>0</v>
      </c>
      <c r="O1317">
        <v>1.8398149999999999E-2</v>
      </c>
      <c r="P1317">
        <v>0.99863900000000005</v>
      </c>
      <c r="Q1317">
        <v>4.8594610000000003E-2</v>
      </c>
      <c r="R1317">
        <v>-1.894469E-2</v>
      </c>
      <c r="S1317">
        <v>3.0329739999999998</v>
      </c>
      <c r="T1317">
        <v>-0.75619919999999996</v>
      </c>
      <c r="U1317">
        <v>-0.43713380000000002</v>
      </c>
      <c r="V1317">
        <v>3.7344629999999997E-2</v>
      </c>
      <c r="W1317">
        <v>6.0639650000000003E-2</v>
      </c>
      <c r="X1317">
        <v>0.99746089999999998</v>
      </c>
      <c r="Y1317">
        <v>0.15561639999999999</v>
      </c>
      <c r="Z1317">
        <v>-2.3510610000000001E-2</v>
      </c>
      <c r="AA1317">
        <v>0.98753769999999996</v>
      </c>
      <c r="AB1317">
        <v>24</v>
      </c>
      <c r="AC1317">
        <v>0.60440000000002603</v>
      </c>
      <c r="AD1317">
        <v>-0.2112995</v>
      </c>
      <c r="AE1317">
        <v>-0.12650000000002101</v>
      </c>
      <c r="AF1317">
        <v>0.123176249214536</v>
      </c>
      <c r="AG1317">
        <v>-0.2112995</v>
      </c>
      <c r="AH1317">
        <v>0.53887235085690399</v>
      </c>
      <c r="AI1317">
        <v>110.919607010177</v>
      </c>
      <c r="AJ1317">
        <v>77.124450148688297</v>
      </c>
      <c r="AK1317">
        <v>0.59177975429111895</v>
      </c>
      <c r="AL1317">
        <v>86.523471192097801</v>
      </c>
      <c r="AM1317">
        <v>87.855865056679903</v>
      </c>
      <c r="AN1317">
        <v>1.0000000177853801</v>
      </c>
    </row>
    <row r="1318" spans="1:40" x14ac:dyDescent="0.25">
      <c r="A1318" t="str">
        <f>"20190312153914085"</f>
        <v>20190312153914085</v>
      </c>
      <c r="B1318" t="str">
        <f>"1552376354077816"</f>
        <v>1552376354077816</v>
      </c>
      <c r="C1318" t="s">
        <v>40</v>
      </c>
      <c r="D1318">
        <v>4.3342320000000001</v>
      </c>
      <c r="E1318">
        <v>0.55211129999999997</v>
      </c>
      <c r="F1318" t="s">
        <v>41</v>
      </c>
      <c r="G1318">
        <v>-245.27440000000001</v>
      </c>
      <c r="H1318">
        <v>0.90409799999999996</v>
      </c>
      <c r="I1318">
        <v>368.22660000000002</v>
      </c>
      <c r="J1318">
        <v>-245.85429999999999</v>
      </c>
      <c r="K1318">
        <v>1.1101299999999901</v>
      </c>
      <c r="L1318">
        <v>368.34980000000002</v>
      </c>
      <c r="M1318">
        <v>0.99976019999999999</v>
      </c>
      <c r="N1318">
        <v>0</v>
      </c>
      <c r="O1318">
        <v>1.8101269999999999E-2</v>
      </c>
      <c r="P1318">
        <v>0.99860479999999996</v>
      </c>
      <c r="Q1318">
        <v>4.9224280000000002E-2</v>
      </c>
      <c r="R1318">
        <v>-1.9120160000000001E-2</v>
      </c>
      <c r="S1318">
        <v>3.0328219999999999</v>
      </c>
      <c r="T1318">
        <v>-0.76175380000000004</v>
      </c>
      <c r="U1318">
        <v>-0.43984990000000002</v>
      </c>
      <c r="V1318">
        <v>3.7224260000000002E-2</v>
      </c>
      <c r="W1318">
        <v>6.1502540000000001E-2</v>
      </c>
      <c r="X1318">
        <v>0.99741259999999998</v>
      </c>
      <c r="Y1318">
        <v>0.156115</v>
      </c>
      <c r="Z1318">
        <v>-2.3666159999999999E-2</v>
      </c>
      <c r="AA1318">
        <v>0.98745530000000004</v>
      </c>
      <c r="AB1318">
        <v>24</v>
      </c>
      <c r="AC1318">
        <v>0.57989999999997999</v>
      </c>
      <c r="AD1318">
        <v>-0.20603199999999899</v>
      </c>
      <c r="AE1318">
        <v>-0.12319999999999701</v>
      </c>
      <c r="AF1318">
        <v>0.119272006829432</v>
      </c>
      <c r="AG1318">
        <v>-0.20603199999999899</v>
      </c>
      <c r="AH1318">
        <v>0.51533338570154397</v>
      </c>
      <c r="AI1318">
        <v>111.281260607115</v>
      </c>
      <c r="AJ1318">
        <v>76.968556769047098</v>
      </c>
      <c r="AK1318">
        <v>0.56766494964524306</v>
      </c>
      <c r="AL1318">
        <v>86.473938898281105</v>
      </c>
      <c r="AM1318">
        <v>87.862666258373096</v>
      </c>
      <c r="AN1318">
        <v>1.00000005129887</v>
      </c>
    </row>
    <row r="1319" spans="1:40" x14ac:dyDescent="0.25">
      <c r="A1319" t="str">
        <f>"20190312153914108"</f>
        <v>20190312153914108</v>
      </c>
      <c r="B1319" t="str">
        <f>"1552376354097337"</f>
        <v>1552376354097337</v>
      </c>
      <c r="C1319" t="s">
        <v>40</v>
      </c>
      <c r="D1319">
        <v>4.3348810000000002</v>
      </c>
      <c r="E1319">
        <v>0.55218449999999997</v>
      </c>
      <c r="F1319" t="s">
        <v>41</v>
      </c>
      <c r="G1319">
        <v>-245.05869999999999</v>
      </c>
      <c r="H1319">
        <v>0.91027119999999995</v>
      </c>
      <c r="I1319">
        <v>368.23360000000002</v>
      </c>
      <c r="J1319">
        <v>-245.61760000000001</v>
      </c>
      <c r="K1319">
        <v>1.1101559999999999</v>
      </c>
      <c r="L1319">
        <v>368.3537</v>
      </c>
      <c r="M1319">
        <v>0.9997625</v>
      </c>
      <c r="N1319">
        <v>0</v>
      </c>
      <c r="O1319">
        <v>1.7799949999999998E-2</v>
      </c>
      <c r="P1319">
        <v>0.99861250000000001</v>
      </c>
      <c r="Q1319">
        <v>4.9122819999999998E-2</v>
      </c>
      <c r="R1319">
        <v>-1.8978539999999999E-2</v>
      </c>
      <c r="S1319">
        <v>3.0332789999999998</v>
      </c>
      <c r="T1319">
        <v>-0.76193520000000003</v>
      </c>
      <c r="U1319">
        <v>-0.442749</v>
      </c>
      <c r="V1319">
        <v>3.678377E-2</v>
      </c>
      <c r="W1319">
        <v>6.1644379999999999E-2</v>
      </c>
      <c r="X1319">
        <v>0.99742010000000003</v>
      </c>
      <c r="Y1319">
        <v>0.15671170000000001</v>
      </c>
      <c r="Z1319">
        <v>-2.36659E-2</v>
      </c>
      <c r="AA1319">
        <v>0.98736080000000004</v>
      </c>
      <c r="AB1319">
        <v>24</v>
      </c>
      <c r="AC1319">
        <v>0.55890000000002205</v>
      </c>
      <c r="AD1319">
        <v>-0.1998848</v>
      </c>
      <c r="AE1319">
        <v>-0.120099999999979</v>
      </c>
      <c r="AF1319">
        <v>0.115864486921467</v>
      </c>
      <c r="AG1319">
        <v>-0.1998848</v>
      </c>
      <c r="AH1319">
        <v>0.49602872843159601</v>
      </c>
      <c r="AI1319">
        <v>111.42539978316699</v>
      </c>
      <c r="AJ1319">
        <v>76.852345558422599</v>
      </c>
      <c r="AK1319">
        <v>0.54719558845999605</v>
      </c>
      <c r="AL1319">
        <v>86.465796312535005</v>
      </c>
      <c r="AM1319">
        <v>87.887951033330793</v>
      </c>
      <c r="AN1319">
        <v>0.99999996560250304</v>
      </c>
    </row>
    <row r="1320" spans="1:40" x14ac:dyDescent="0.25">
      <c r="A1320" t="str">
        <f>"20190312153914132"</f>
        <v>20190312153914132</v>
      </c>
      <c r="B1320" t="str">
        <f>"1552376354127593"</f>
        <v>1552376354127593</v>
      </c>
      <c r="C1320" t="s">
        <v>40</v>
      </c>
      <c r="D1320">
        <v>4.2796419999999999</v>
      </c>
      <c r="E1320">
        <v>0.55256209999999994</v>
      </c>
      <c r="F1320" t="s">
        <v>41</v>
      </c>
      <c r="G1320">
        <v>-244.84379999999999</v>
      </c>
      <c r="H1320">
        <v>0.91531099999999999</v>
      </c>
      <c r="I1320">
        <v>368.24040000000002</v>
      </c>
      <c r="J1320">
        <v>-245.37710000000001</v>
      </c>
      <c r="K1320">
        <v>1.1101730000000001</v>
      </c>
      <c r="L1320">
        <v>368.35770000000002</v>
      </c>
      <c r="M1320">
        <v>0.99976520000000002</v>
      </c>
      <c r="N1320">
        <v>0</v>
      </c>
      <c r="O1320">
        <v>1.7477969999999999E-2</v>
      </c>
      <c r="P1320">
        <v>0.99863480000000004</v>
      </c>
      <c r="Q1320">
        <v>4.878263E-2</v>
      </c>
      <c r="R1320">
        <v>-1.867197E-2</v>
      </c>
      <c r="S1320">
        <v>3.0333100000000002</v>
      </c>
      <c r="T1320">
        <v>-0.7639203</v>
      </c>
      <c r="U1320">
        <v>-0.44320680000000001</v>
      </c>
      <c r="V1320">
        <v>3.6158250000000003E-2</v>
      </c>
      <c r="W1320">
        <v>6.154871E-2</v>
      </c>
      <c r="X1320">
        <v>0.99744889999999997</v>
      </c>
      <c r="Y1320">
        <v>0.1565269</v>
      </c>
      <c r="Z1320">
        <v>-2.362297E-2</v>
      </c>
      <c r="AA1320">
        <v>0.98739120000000002</v>
      </c>
      <c r="AB1320">
        <v>24</v>
      </c>
      <c r="AC1320">
        <v>0.53330000000002498</v>
      </c>
      <c r="AD1320">
        <v>-0.19486199999999901</v>
      </c>
      <c r="AE1320">
        <v>-0.1173</v>
      </c>
      <c r="AF1320">
        <v>0.11230233804954701</v>
      </c>
      <c r="AG1320">
        <v>-0.19486199999999901</v>
      </c>
      <c r="AH1320">
        <v>0.47116601752235399</v>
      </c>
      <c r="AI1320">
        <v>111.915132001475</v>
      </c>
      <c r="AJ1320">
        <v>76.593698808278205</v>
      </c>
      <c r="AK1320">
        <v>0.52209235796290898</v>
      </c>
      <c r="AL1320">
        <v>86.471288298435496</v>
      </c>
      <c r="AM1320">
        <v>87.923895305771595</v>
      </c>
      <c r="AN1320">
        <v>0.99999998542846802</v>
      </c>
    </row>
    <row r="1321" spans="1:40" x14ac:dyDescent="0.25">
      <c r="A1321" t="str">
        <f>"20190312153914152"</f>
        <v>20190312153914152</v>
      </c>
      <c r="B1321" t="str">
        <f>"1552376354147112"</f>
        <v>1552376354147112</v>
      </c>
      <c r="C1321" t="s">
        <v>40</v>
      </c>
      <c r="D1321">
        <v>4.2214600000000004</v>
      </c>
      <c r="E1321">
        <v>0.55253439999999998</v>
      </c>
      <c r="F1321" t="s">
        <v>41</v>
      </c>
      <c r="G1321">
        <v>-244.62909999999999</v>
      </c>
      <c r="H1321">
        <v>0.92101359999999999</v>
      </c>
      <c r="I1321">
        <v>368.24790000000002</v>
      </c>
      <c r="J1321">
        <v>-245.13929999999999</v>
      </c>
      <c r="K1321">
        <v>1.1101799999999999</v>
      </c>
      <c r="L1321">
        <v>368.36149999999998</v>
      </c>
      <c r="M1321">
        <v>0.9997682</v>
      </c>
      <c r="N1321">
        <v>0</v>
      </c>
      <c r="O1321">
        <v>1.7138110000000002E-2</v>
      </c>
      <c r="P1321">
        <v>0.9986718</v>
      </c>
      <c r="Q1321">
        <v>4.8024419999999998E-2</v>
      </c>
      <c r="R1321">
        <v>-1.8684240000000001E-2</v>
      </c>
      <c r="S1321">
        <v>3.0332490000000001</v>
      </c>
      <c r="T1321">
        <v>-0.76696169999999997</v>
      </c>
      <c r="U1321">
        <v>-0.4453125</v>
      </c>
      <c r="V1321">
        <v>3.5833370000000003E-2</v>
      </c>
      <c r="W1321">
        <v>6.1017080000000001E-2</v>
      </c>
      <c r="X1321">
        <v>0.99749330000000003</v>
      </c>
      <c r="Y1321">
        <v>0.1568253</v>
      </c>
      <c r="Z1321">
        <v>-2.3666280000000001E-2</v>
      </c>
      <c r="AA1321">
        <v>0.98734279999999996</v>
      </c>
      <c r="AB1321">
        <v>24</v>
      </c>
      <c r="AC1321">
        <v>0.51019999999999699</v>
      </c>
      <c r="AD1321">
        <v>-0.18916640000000001</v>
      </c>
      <c r="AE1321">
        <v>-0.113599999999962</v>
      </c>
      <c r="AF1321">
        <v>0.108161338274363</v>
      </c>
      <c r="AG1321">
        <v>-0.18916640000000001</v>
      </c>
      <c r="AH1321">
        <v>0.44932680087930099</v>
      </c>
      <c r="AI1321">
        <v>112.259668853478</v>
      </c>
      <c r="AJ1321">
        <v>76.465340324642099</v>
      </c>
      <c r="AK1321">
        <v>0.49937698783052498</v>
      </c>
      <c r="AL1321">
        <v>86.501805861639397</v>
      </c>
      <c r="AM1321">
        <v>87.942624396755093</v>
      </c>
      <c r="AN1321">
        <v>0.99999999900108605</v>
      </c>
    </row>
    <row r="1322" spans="1:40" x14ac:dyDescent="0.25">
      <c r="A1322" t="str">
        <f>"20190312153914175"</f>
        <v>20190312153914175</v>
      </c>
      <c r="B1322" t="str">
        <f>"1552376354167608"</f>
        <v>1552376354167608</v>
      </c>
      <c r="C1322" t="s">
        <v>40</v>
      </c>
      <c r="D1322">
        <v>4.252936</v>
      </c>
      <c r="E1322">
        <v>0.55248219999999904</v>
      </c>
      <c r="F1322" t="s">
        <v>41</v>
      </c>
      <c r="G1322">
        <v>-244.4145</v>
      </c>
      <c r="H1322">
        <v>0.92654440000000005</v>
      </c>
      <c r="I1322">
        <v>368.25479999999999</v>
      </c>
      <c r="J1322">
        <v>-244.90610000000001</v>
      </c>
      <c r="K1322">
        <v>1.1101810000000001</v>
      </c>
      <c r="L1322">
        <v>368.36509999999998</v>
      </c>
      <c r="M1322">
        <v>0.99977159999999998</v>
      </c>
      <c r="N1322">
        <v>0</v>
      </c>
      <c r="O1322">
        <v>1.678193E-2</v>
      </c>
      <c r="P1322">
        <v>0.99868319999999999</v>
      </c>
      <c r="Q1322">
        <v>4.7766709999999997E-2</v>
      </c>
      <c r="R1322">
        <v>-1.872586E-2</v>
      </c>
      <c r="S1322">
        <v>3.0326080000000002</v>
      </c>
      <c r="T1322">
        <v>-0.76838649999999997</v>
      </c>
      <c r="U1322">
        <v>-0.4454651</v>
      </c>
      <c r="V1322">
        <v>3.5521869999999997E-2</v>
      </c>
      <c r="W1322">
        <v>6.0961399999999999E-2</v>
      </c>
      <c r="X1322">
        <v>0.9975079</v>
      </c>
      <c r="Y1322">
        <v>0.1565502</v>
      </c>
      <c r="Z1322">
        <v>-2.359108E-2</v>
      </c>
      <c r="AA1322">
        <v>0.98738820000000005</v>
      </c>
      <c r="AB1322">
        <v>24</v>
      </c>
      <c r="AC1322">
        <v>0.49160000000000498</v>
      </c>
      <c r="AD1322">
        <v>-0.18363660000000001</v>
      </c>
      <c r="AE1322">
        <v>-0.110299999999995</v>
      </c>
      <c r="AF1322">
        <v>0.10463441772349399</v>
      </c>
      <c r="AG1322">
        <v>-0.18363660000000001</v>
      </c>
      <c r="AH1322">
        <v>0.432254230275461</v>
      </c>
      <c r="AI1322">
        <v>112.436191633579</v>
      </c>
      <c r="AJ1322">
        <v>76.392347446214401</v>
      </c>
      <c r="AK1322">
        <v>0.48115951806332002</v>
      </c>
      <c r="AL1322">
        <v>86.505002229714293</v>
      </c>
      <c r="AM1322">
        <v>87.960523848415704</v>
      </c>
      <c r="AN1322">
        <v>1.0000000530503299</v>
      </c>
    </row>
    <row r="1323" spans="1:40" x14ac:dyDescent="0.25">
      <c r="A1323" t="str">
        <f>"20190312153914196"</f>
        <v>20190312153914196</v>
      </c>
      <c r="B1323" t="str">
        <f>"1552376354187128"</f>
        <v>1552376354187128</v>
      </c>
      <c r="C1323" t="s">
        <v>40</v>
      </c>
      <c r="D1323">
        <v>4.229946</v>
      </c>
      <c r="E1323">
        <v>0.5523981</v>
      </c>
      <c r="F1323" t="s">
        <v>41</v>
      </c>
      <c r="G1323">
        <v>-244.20050000000001</v>
      </c>
      <c r="H1323">
        <v>0.93184389999999995</v>
      </c>
      <c r="I1323">
        <v>368.26119999999997</v>
      </c>
      <c r="J1323">
        <v>-244.67089999999999</v>
      </c>
      <c r="K1323">
        <v>1.1101829999999999</v>
      </c>
      <c r="L1323">
        <v>368.36860000000001</v>
      </c>
      <c r="M1323">
        <v>0.99977539999999998</v>
      </c>
      <c r="N1323">
        <v>0</v>
      </c>
      <c r="O1323">
        <v>1.6400209999999998E-2</v>
      </c>
      <c r="P1323">
        <v>0.99868699999999999</v>
      </c>
      <c r="Q1323">
        <v>4.7494479999999999E-2</v>
      </c>
      <c r="R1323">
        <v>-1.9197949999999998E-2</v>
      </c>
      <c r="S1323">
        <v>3.0322719999999999</v>
      </c>
      <c r="T1323">
        <v>-0.76639040000000003</v>
      </c>
      <c r="U1323">
        <v>-0.44570920000000003</v>
      </c>
      <c r="V1323">
        <v>3.5615380000000002E-2</v>
      </c>
      <c r="W1323">
        <v>6.0871920000000003E-2</v>
      </c>
      <c r="X1323">
        <v>0.99751000000000001</v>
      </c>
      <c r="Y1323">
        <v>0.15631249999999999</v>
      </c>
      <c r="Z1323">
        <v>-2.341004E-2</v>
      </c>
      <c r="AA1323">
        <v>0.98743020000000004</v>
      </c>
      <c r="AB1323">
        <v>24</v>
      </c>
      <c r="AC1323">
        <v>0.470399999999983</v>
      </c>
      <c r="AD1323">
        <v>-0.178339099999999</v>
      </c>
      <c r="AE1323">
        <v>-0.107400000000041</v>
      </c>
      <c r="AF1323">
        <v>0.101266638669452</v>
      </c>
      <c r="AG1323">
        <v>-0.178339099999999</v>
      </c>
      <c r="AH1323">
        <v>0.41225594975083502</v>
      </c>
      <c r="AI1323">
        <v>112.78749109039801</v>
      </c>
      <c r="AJ1323">
        <v>76.199100146742197</v>
      </c>
      <c r="AK1323">
        <v>0.46045057802242201</v>
      </c>
      <c r="AL1323">
        <v>86.510138489827895</v>
      </c>
      <c r="AM1323">
        <v>87.955163856419304</v>
      </c>
      <c r="AN1323">
        <v>1.00000002301851</v>
      </c>
    </row>
    <row r="1324" spans="1:40" x14ac:dyDescent="0.25">
      <c r="A1324" t="str">
        <f>"20190312153914220"</f>
        <v>20190312153914220</v>
      </c>
      <c r="B1324" t="str">
        <f>"1552376354207624"</f>
        <v>1552376354207624</v>
      </c>
      <c r="C1324" t="s">
        <v>40</v>
      </c>
      <c r="D1324">
        <v>4.2509350000000001</v>
      </c>
      <c r="E1324">
        <v>0.55237559999999997</v>
      </c>
      <c r="F1324" t="s">
        <v>41</v>
      </c>
      <c r="G1324">
        <v>-243.98670000000001</v>
      </c>
      <c r="H1324">
        <v>0.93747009999999997</v>
      </c>
      <c r="I1324">
        <v>368.26760000000002</v>
      </c>
      <c r="J1324">
        <v>-244.44239999999999</v>
      </c>
      <c r="K1324">
        <v>1.1101890000000001</v>
      </c>
      <c r="L1324">
        <v>368.37189999999998</v>
      </c>
      <c r="M1324">
        <v>0.99977959999999999</v>
      </c>
      <c r="N1324">
        <v>0</v>
      </c>
      <c r="O1324">
        <v>1.6005700000000001E-2</v>
      </c>
      <c r="P1324">
        <v>0.99869569999999996</v>
      </c>
      <c r="Q1324">
        <v>4.7091800000000003E-2</v>
      </c>
      <c r="R1324">
        <v>-1.972728E-2</v>
      </c>
      <c r="S1324">
        <v>3.0317539999999998</v>
      </c>
      <c r="T1324">
        <v>-0.76526919999999898</v>
      </c>
      <c r="U1324">
        <v>-0.44671630000000001</v>
      </c>
      <c r="V1324">
        <v>3.5752840000000001E-2</v>
      </c>
      <c r="W1324">
        <v>6.0626329999999999E-2</v>
      </c>
      <c r="X1324">
        <v>0.99751999999999996</v>
      </c>
      <c r="Y1324">
        <v>0.15629509999999999</v>
      </c>
      <c r="Z1324">
        <v>-2.3280390000000001E-2</v>
      </c>
      <c r="AA1324">
        <v>0.98743599999999998</v>
      </c>
      <c r="AB1324">
        <v>24</v>
      </c>
      <c r="AC1324">
        <v>0.45569999999997801</v>
      </c>
      <c r="AD1324">
        <v>-0.17271889999999901</v>
      </c>
      <c r="AE1324">
        <v>-0.104299999999966</v>
      </c>
      <c r="AF1324">
        <v>9.8179207736536905E-2</v>
      </c>
      <c r="AG1324">
        <v>-0.17271889999999901</v>
      </c>
      <c r="AH1324">
        <v>0.39944591665717899</v>
      </c>
      <c r="AI1324">
        <v>112.777473429053</v>
      </c>
      <c r="AJ1324">
        <v>76.191088270214493</v>
      </c>
      <c r="AK1324">
        <v>0.44612556033372303</v>
      </c>
      <c r="AL1324">
        <v>86.524235660786303</v>
      </c>
      <c r="AM1324">
        <v>87.947298970506495</v>
      </c>
      <c r="AN1324">
        <v>0.99999998392866696</v>
      </c>
    </row>
    <row r="1325" spans="1:40" x14ac:dyDescent="0.25">
      <c r="A1325" t="str">
        <f>"20190312153914241"</f>
        <v>20190312153914241</v>
      </c>
      <c r="B1325" t="str">
        <f>"1552376354236904"</f>
        <v>1552376354236904</v>
      </c>
      <c r="C1325" t="s">
        <v>40</v>
      </c>
      <c r="D1325">
        <v>4.2230530000000002</v>
      </c>
      <c r="E1325">
        <v>0.55226790000000003</v>
      </c>
      <c r="F1325" t="s">
        <v>41</v>
      </c>
      <c r="G1325">
        <v>-243.58320000000001</v>
      </c>
      <c r="H1325">
        <v>0.8935168</v>
      </c>
      <c r="I1325">
        <v>368.24450000000002</v>
      </c>
      <c r="J1325">
        <v>-244.2029</v>
      </c>
      <c r="K1325">
        <v>1.110188</v>
      </c>
      <c r="L1325">
        <v>368.37520000000001</v>
      </c>
      <c r="M1325">
        <v>0.99978440000000002</v>
      </c>
      <c r="N1325">
        <v>0</v>
      </c>
      <c r="O1325">
        <v>1.557278E-2</v>
      </c>
      <c r="P1325">
        <v>0.99870349999999997</v>
      </c>
      <c r="Q1325">
        <v>4.6477739999999997E-2</v>
      </c>
      <c r="R1325">
        <v>-2.0766239999999998E-2</v>
      </c>
      <c r="S1325">
        <v>3.0311129999999999</v>
      </c>
      <c r="T1325">
        <v>-0.76440319999999995</v>
      </c>
      <c r="U1325">
        <v>-0.44815060000000001</v>
      </c>
      <c r="V1325">
        <v>3.6360950000000003E-2</v>
      </c>
      <c r="W1325">
        <v>6.0156550000000003E-2</v>
      </c>
      <c r="X1325">
        <v>0.99752649999999998</v>
      </c>
      <c r="Y1325">
        <v>0.15637609999999999</v>
      </c>
      <c r="Z1325">
        <v>-2.3161810000000001E-2</v>
      </c>
      <c r="AA1325">
        <v>0.98742600000000003</v>
      </c>
      <c r="AB1325">
        <v>24</v>
      </c>
      <c r="AC1325">
        <v>0.61969999999999403</v>
      </c>
      <c r="AD1325">
        <v>-0.21667119999999901</v>
      </c>
      <c r="AE1325">
        <v>-0.13069999999998999</v>
      </c>
      <c r="AF1325">
        <v>0.125631469271931</v>
      </c>
      <c r="AG1325">
        <v>-0.21667119999999901</v>
      </c>
      <c r="AH1325">
        <v>0.55287966114273501</v>
      </c>
      <c r="AI1325">
        <v>110.91455022565999</v>
      </c>
      <c r="AJ1325">
        <v>77.1980003299971</v>
      </c>
      <c r="AK1325">
        <v>0.60696424498167101</v>
      </c>
      <c r="AL1325">
        <v>86.551201428535705</v>
      </c>
      <c r="AM1325">
        <v>87.912429380082301</v>
      </c>
      <c r="AN1325">
        <v>1.0000000236975199</v>
      </c>
    </row>
    <row r="1326" spans="1:40" x14ac:dyDescent="0.25">
      <c r="A1326" t="str">
        <f>"20190312153914264"</f>
        <v>20190312153914264</v>
      </c>
      <c r="B1326" t="str">
        <f>"1552376354257401"</f>
        <v>1552376354257401</v>
      </c>
      <c r="C1326" t="s">
        <v>40</v>
      </c>
      <c r="D1326">
        <v>4.2589730000000001</v>
      </c>
      <c r="E1326">
        <v>0.55241390000000001</v>
      </c>
      <c r="F1326" t="s">
        <v>41</v>
      </c>
      <c r="G1326">
        <v>-243.37039999999999</v>
      </c>
      <c r="H1326">
        <v>0.900393</v>
      </c>
      <c r="I1326">
        <v>368.25139999999999</v>
      </c>
      <c r="J1326">
        <v>-243.9666</v>
      </c>
      <c r="K1326">
        <v>1.110188</v>
      </c>
      <c r="L1326">
        <v>368.3784</v>
      </c>
      <c r="M1326">
        <v>0.9997895</v>
      </c>
      <c r="N1326">
        <v>0</v>
      </c>
      <c r="O1326">
        <v>1.51313E-2</v>
      </c>
      <c r="P1326">
        <v>0.99870910000000002</v>
      </c>
      <c r="Q1326">
        <v>4.6013709999999999E-2</v>
      </c>
      <c r="R1326">
        <v>-2.1518949999999998E-2</v>
      </c>
      <c r="S1326">
        <v>3.0300449999999999</v>
      </c>
      <c r="T1326">
        <v>-0.76356099999999905</v>
      </c>
      <c r="U1326">
        <v>-0.45101930000000001</v>
      </c>
      <c r="V1326">
        <v>3.6673799999999999E-2</v>
      </c>
      <c r="W1326">
        <v>5.9817179999999998E-2</v>
      </c>
      <c r="X1326">
        <v>0.99753539999999996</v>
      </c>
      <c r="Y1326">
        <v>0.15691140000000001</v>
      </c>
      <c r="Z1326">
        <v>-2.3100389999999998E-2</v>
      </c>
      <c r="AA1326">
        <v>0.98734250000000001</v>
      </c>
      <c r="AB1326">
        <v>24</v>
      </c>
      <c r="AC1326">
        <v>0.59620000000001006</v>
      </c>
      <c r="AD1326">
        <v>-0.20979499999999901</v>
      </c>
      <c r="AE1326">
        <v>-0.12700000000000899</v>
      </c>
      <c r="AF1326">
        <v>0.121603686339464</v>
      </c>
      <c r="AG1326">
        <v>-0.20979499999999901</v>
      </c>
      <c r="AH1326">
        <v>0.53127993026930098</v>
      </c>
      <c r="AI1326">
        <v>111.053285550254</v>
      </c>
      <c r="AJ1326">
        <v>77.1077532194724</v>
      </c>
      <c r="AK1326">
        <v>0.58400322162065199</v>
      </c>
      <c r="AL1326">
        <v>86.570680786565603</v>
      </c>
      <c r="AM1326">
        <v>87.894502766029007</v>
      </c>
      <c r="AN1326">
        <v>0.99999996844137495</v>
      </c>
    </row>
    <row r="1327" spans="1:40" x14ac:dyDescent="0.25">
      <c r="A1327" t="str">
        <f>"20190312153914286"</f>
        <v>20190312153914286</v>
      </c>
      <c r="B1327" t="str">
        <f>"1552376354276920"</f>
        <v>1552376354276920</v>
      </c>
      <c r="C1327" t="s">
        <v>40</v>
      </c>
      <c r="D1327">
        <v>4.265263</v>
      </c>
      <c r="E1327">
        <v>0.55257100000000003</v>
      </c>
      <c r="F1327" t="s">
        <v>41</v>
      </c>
      <c r="G1327">
        <v>-243.1584</v>
      </c>
      <c r="H1327">
        <v>0.90612749999999997</v>
      </c>
      <c r="I1327">
        <v>368.25689999999997</v>
      </c>
      <c r="J1327">
        <v>-243.7295</v>
      </c>
      <c r="K1327">
        <v>1.1101909999999999</v>
      </c>
      <c r="L1327">
        <v>368.38150000000002</v>
      </c>
      <c r="M1327">
        <v>0.99979479999999998</v>
      </c>
      <c r="N1327">
        <v>0</v>
      </c>
      <c r="O1327">
        <v>1.4677600000000001E-2</v>
      </c>
      <c r="P1327">
        <v>0.99870809999999999</v>
      </c>
      <c r="Q1327">
        <v>4.5622940000000001E-2</v>
      </c>
      <c r="R1327">
        <v>-2.2388689999999999E-2</v>
      </c>
      <c r="S1327">
        <v>3.0293429999999999</v>
      </c>
      <c r="T1327">
        <v>-0.76494899999999999</v>
      </c>
      <c r="U1327">
        <v>-0.4545593</v>
      </c>
      <c r="V1327">
        <v>3.7090829999999998E-2</v>
      </c>
      <c r="W1327">
        <v>5.9535400000000002E-2</v>
      </c>
      <c r="X1327">
        <v>0.99753689999999995</v>
      </c>
      <c r="Y1327">
        <v>0.15759819999999999</v>
      </c>
      <c r="Z1327">
        <v>-2.311705E-2</v>
      </c>
      <c r="AA1327">
        <v>0.98723269999999996</v>
      </c>
      <c r="AB1327">
        <v>23</v>
      </c>
      <c r="AC1327">
        <v>0.57110000000000105</v>
      </c>
      <c r="AD1327">
        <v>-0.20406349999999901</v>
      </c>
      <c r="AE1327">
        <v>-0.124600000000043</v>
      </c>
      <c r="AF1327">
        <v>0.118524704249916</v>
      </c>
      <c r="AG1327">
        <v>-0.20406349999999901</v>
      </c>
      <c r="AH1327">
        <v>0.50737384262395302</v>
      </c>
      <c r="AI1327">
        <v>111.387849652524</v>
      </c>
      <c r="AJ1327">
        <v>76.851255709710003</v>
      </c>
      <c r="AK1327">
        <v>0.559569686213233</v>
      </c>
      <c r="AL1327">
        <v>86.5868546278313</v>
      </c>
      <c r="AM1327">
        <v>87.870585571736797</v>
      </c>
      <c r="AN1327">
        <v>1.0000000301924199</v>
      </c>
    </row>
    <row r="1328" spans="1:40" x14ac:dyDescent="0.25">
      <c r="A1328" t="str">
        <f>"20190312153914309"</f>
        <v>20190312153914309</v>
      </c>
      <c r="B1328" t="str">
        <f>"1552376354297416"</f>
        <v>1552376354297416</v>
      </c>
      <c r="C1328" t="s">
        <v>40</v>
      </c>
      <c r="D1328">
        <v>4.2724349999999998</v>
      </c>
      <c r="E1328">
        <v>0.55264399999999902</v>
      </c>
      <c r="F1328" t="s">
        <v>41</v>
      </c>
      <c r="G1328">
        <v>-242.9468</v>
      </c>
      <c r="H1328">
        <v>0.91216439999999999</v>
      </c>
      <c r="I1328">
        <v>368.26280000000003</v>
      </c>
      <c r="J1328">
        <v>-243.49789999999999</v>
      </c>
      <c r="K1328">
        <v>1.1101920000000001</v>
      </c>
      <c r="L1328">
        <v>368.3843</v>
      </c>
      <c r="M1328">
        <v>0.99980000000000002</v>
      </c>
      <c r="N1328">
        <v>0</v>
      </c>
      <c r="O1328">
        <v>1.4227709999999999E-2</v>
      </c>
      <c r="P1328">
        <v>0.99867450000000002</v>
      </c>
      <c r="Q1328">
        <v>4.5856010000000003E-2</v>
      </c>
      <c r="R1328">
        <v>-2.3384459999999999E-2</v>
      </c>
      <c r="S1328">
        <v>3.02861</v>
      </c>
      <c r="T1328">
        <v>-0.76623169999999996</v>
      </c>
      <c r="U1328">
        <v>-0.45867920000000001</v>
      </c>
      <c r="V1328">
        <v>3.7637440000000001E-2</v>
      </c>
      <c r="W1328">
        <v>5.9860490000000002E-2</v>
      </c>
      <c r="X1328">
        <v>0.99749699999999997</v>
      </c>
      <c r="Y1328">
        <v>0.15847069999999999</v>
      </c>
      <c r="Z1328">
        <v>-2.3154359999999999E-2</v>
      </c>
      <c r="AA1328">
        <v>0.98709210000000003</v>
      </c>
      <c r="AB1328">
        <v>23</v>
      </c>
      <c r="AC1328">
        <v>0.55109999999999004</v>
      </c>
      <c r="AD1328">
        <v>-0.1980276</v>
      </c>
      <c r="AE1328">
        <v>-0.12149999999996899</v>
      </c>
      <c r="AF1328">
        <v>0.115150425488977</v>
      </c>
      <c r="AG1328">
        <v>-0.1980276</v>
      </c>
      <c r="AH1328">
        <v>0.48909154203474398</v>
      </c>
      <c r="AI1328">
        <v>111.510041673684</v>
      </c>
      <c r="AJ1328">
        <v>76.7517032438939</v>
      </c>
      <c r="AK1328">
        <v>0.54007877882951105</v>
      </c>
      <c r="AL1328">
        <v>86.568195166473899</v>
      </c>
      <c r="AM1328">
        <v>87.839147432541495</v>
      </c>
      <c r="AN1328">
        <v>1.00000006008089</v>
      </c>
    </row>
    <row r="1329" spans="1:40" x14ac:dyDescent="0.25">
      <c r="A1329" t="str">
        <f>"20190312153914331"</f>
        <v>20190312153914331</v>
      </c>
      <c r="B1329" t="str">
        <f>"1552376354327672"</f>
        <v>1552376354327672</v>
      </c>
      <c r="C1329" t="s">
        <v>40</v>
      </c>
      <c r="D1329">
        <v>4.2910789999999999</v>
      </c>
      <c r="E1329">
        <v>0.55283579999999999</v>
      </c>
      <c r="F1329" t="s">
        <v>41</v>
      </c>
      <c r="G1329">
        <v>-242.73570000000001</v>
      </c>
      <c r="H1329">
        <v>0.917767</v>
      </c>
      <c r="I1329">
        <v>368.26769999999999</v>
      </c>
      <c r="J1329">
        <v>-243.2671</v>
      </c>
      <c r="K1329">
        <v>1.110193</v>
      </c>
      <c r="L1329">
        <v>368.38709999999998</v>
      </c>
      <c r="M1329">
        <v>0.99980519999999995</v>
      </c>
      <c r="N1329">
        <v>0</v>
      </c>
      <c r="O1329">
        <v>1.377597E-2</v>
      </c>
      <c r="P1329">
        <v>0.99863679999999999</v>
      </c>
      <c r="Q1329">
        <v>4.6213129999999998E-2</v>
      </c>
      <c r="R1329">
        <v>-2.427352E-2</v>
      </c>
      <c r="S1329">
        <v>3.0282749999999998</v>
      </c>
      <c r="T1329">
        <v>-0.76452290000000001</v>
      </c>
      <c r="U1329">
        <v>-0.4625244</v>
      </c>
      <c r="V1329">
        <v>3.807522E-2</v>
      </c>
      <c r="W1329">
        <v>6.0296959999999997E-2</v>
      </c>
      <c r="X1329">
        <v>0.99745399999999995</v>
      </c>
      <c r="Y1329">
        <v>0.159278799999999</v>
      </c>
      <c r="Z1329">
        <v>-2.3092789999999998E-2</v>
      </c>
      <c r="AA1329">
        <v>0.98696349999999999</v>
      </c>
      <c r="AB1329">
        <v>23</v>
      </c>
      <c r="AC1329">
        <v>0.53139999999998999</v>
      </c>
      <c r="AD1329">
        <v>-0.19242600000000001</v>
      </c>
      <c r="AE1329">
        <v>-0.11939999999998401</v>
      </c>
      <c r="AF1329">
        <v>0.112648795834509</v>
      </c>
      <c r="AG1329">
        <v>-0.19242600000000001</v>
      </c>
      <c r="AH1329">
        <v>0.47092260598895203</v>
      </c>
      <c r="AI1329">
        <v>111.673031289731</v>
      </c>
      <c r="AJ1329">
        <v>76.547141993802001</v>
      </c>
      <c r="AK1329">
        <v>0.52104281734843105</v>
      </c>
      <c r="AL1329">
        <v>86.543141691199907</v>
      </c>
      <c r="AM1329">
        <v>87.813943567156898</v>
      </c>
      <c r="AN1329">
        <v>0.99999996393964397</v>
      </c>
    </row>
    <row r="1330" spans="1:40" x14ac:dyDescent="0.25">
      <c r="A1330" t="str">
        <f>"20190312153914354"</f>
        <v>20190312153914354</v>
      </c>
      <c r="B1330" t="str">
        <f>"1552376354347192"</f>
        <v>1552376354347192</v>
      </c>
      <c r="C1330" t="s">
        <v>40</v>
      </c>
      <c r="D1330">
        <v>4.2834009999999996</v>
      </c>
      <c r="E1330">
        <v>0.55278319999999903</v>
      </c>
      <c r="F1330" t="s">
        <v>41</v>
      </c>
      <c r="G1330">
        <v>-242.5249</v>
      </c>
      <c r="H1330">
        <v>0.92306960000000005</v>
      </c>
      <c r="I1330">
        <v>368.27249999999998</v>
      </c>
      <c r="J1330">
        <v>-243.029</v>
      </c>
      <c r="K1330">
        <v>1.1101970000000001</v>
      </c>
      <c r="L1330">
        <v>368.38990000000001</v>
      </c>
      <c r="M1330">
        <v>0.99981050000000005</v>
      </c>
      <c r="N1330">
        <v>0</v>
      </c>
      <c r="O1330">
        <v>1.330918E-2</v>
      </c>
      <c r="P1330">
        <v>0.99863539999999995</v>
      </c>
      <c r="Q1330">
        <v>4.622768E-2</v>
      </c>
      <c r="R1330">
        <v>-2.4302770000000001E-2</v>
      </c>
      <c r="S1330">
        <v>3.028076</v>
      </c>
      <c r="T1330">
        <v>-0.76352489999999995</v>
      </c>
      <c r="U1330">
        <v>-0.46661380000000002</v>
      </c>
      <c r="V1330">
        <v>3.7638409999999997E-2</v>
      </c>
      <c r="W1330">
        <v>6.0383579999999999E-2</v>
      </c>
      <c r="X1330">
        <v>0.99746539999999995</v>
      </c>
      <c r="Y1330">
        <v>0.16013260000000001</v>
      </c>
      <c r="Z1330">
        <v>-2.305285E-2</v>
      </c>
      <c r="AA1330">
        <v>0.98682630000000005</v>
      </c>
      <c r="AB1330">
        <v>23</v>
      </c>
      <c r="AC1330">
        <v>0.50410000000002197</v>
      </c>
      <c r="AD1330">
        <v>-0.187127399999999</v>
      </c>
      <c r="AE1330">
        <v>-0.11740000000003099</v>
      </c>
      <c r="AF1330">
        <v>0.109753725334523</v>
      </c>
      <c r="AG1330">
        <v>-0.187127399999999</v>
      </c>
      <c r="AH1330">
        <v>0.44440528340472202</v>
      </c>
      <c r="AI1330">
        <v>112.23432893318601</v>
      </c>
      <c r="AJ1330">
        <v>76.127394031631198</v>
      </c>
      <c r="AK1330">
        <v>0.49452866446101701</v>
      </c>
      <c r="AL1330">
        <v>86.538169883999799</v>
      </c>
      <c r="AM1330">
        <v>87.839023402078297</v>
      </c>
      <c r="AN1330">
        <v>1.00000002541905</v>
      </c>
    </row>
    <row r="1331" spans="1:40" x14ac:dyDescent="0.25">
      <c r="A1331" t="str">
        <f>"20190312153914376"</f>
        <v>20190312153914376</v>
      </c>
      <c r="B1331" t="str">
        <f>"1552376354367688"</f>
        <v>1552376354367688</v>
      </c>
      <c r="C1331" t="s">
        <v>40</v>
      </c>
      <c r="D1331">
        <v>4.3375690000000002</v>
      </c>
      <c r="E1331">
        <v>0.55270269999999899</v>
      </c>
      <c r="F1331" t="s">
        <v>41</v>
      </c>
      <c r="G1331">
        <v>-242.31389999999999</v>
      </c>
      <c r="H1331">
        <v>0.92993919999999997</v>
      </c>
      <c r="I1331">
        <v>368.27940000000001</v>
      </c>
      <c r="J1331">
        <v>-242.8006</v>
      </c>
      <c r="K1331">
        <v>1.1102030000000001</v>
      </c>
      <c r="L1331">
        <v>368.39240000000001</v>
      </c>
      <c r="M1331">
        <v>0.99981529999999996</v>
      </c>
      <c r="N1331">
        <v>0</v>
      </c>
      <c r="O1331">
        <v>1.286265E-2</v>
      </c>
      <c r="P1331">
        <v>0.99860420000000005</v>
      </c>
      <c r="Q1331">
        <v>4.6621299999999997E-2</v>
      </c>
      <c r="R1331">
        <v>-2.4826239999999999E-2</v>
      </c>
      <c r="S1331">
        <v>3.0280909999999999</v>
      </c>
      <c r="T1331">
        <v>-0.76334290000000005</v>
      </c>
      <c r="U1331">
        <v>-0.4660339</v>
      </c>
      <c r="V1331">
        <v>3.7715609999999997E-2</v>
      </c>
      <c r="W1331">
        <v>6.0835260000000002E-2</v>
      </c>
      <c r="X1331">
        <v>0.99743499999999996</v>
      </c>
      <c r="Y1331">
        <v>0.15954099999999999</v>
      </c>
      <c r="Z1331">
        <v>-2.286446E-2</v>
      </c>
      <c r="AA1331">
        <v>0.98692650000000004</v>
      </c>
      <c r="AB1331">
        <v>23</v>
      </c>
      <c r="AC1331">
        <v>0.48670000000001301</v>
      </c>
      <c r="AD1331">
        <v>-0.1802638</v>
      </c>
      <c r="AE1331">
        <v>-0.112999999999999</v>
      </c>
      <c r="AF1331">
        <v>0.10551697374739399</v>
      </c>
      <c r="AG1331">
        <v>-0.1802638</v>
      </c>
      <c r="AH1331">
        <v>0.429323423181663</v>
      </c>
      <c r="AI1331">
        <v>112.182902421827</v>
      </c>
      <c r="AJ1331">
        <v>76.191815844953496</v>
      </c>
      <c r="AK1331">
        <v>0.47743844737481</v>
      </c>
      <c r="AL1331">
        <v>86.512242729595599</v>
      </c>
      <c r="AM1331">
        <v>87.834529311532805</v>
      </c>
      <c r="AN1331">
        <v>0.99999998766096898</v>
      </c>
    </row>
    <row r="1332" spans="1:40" x14ac:dyDescent="0.25">
      <c r="A1332" t="str">
        <f>"20190312153914401"</f>
        <v>20190312153914401</v>
      </c>
      <c r="B1332" t="str">
        <f>"1552376354387209"</f>
        <v>1552376354387209</v>
      </c>
      <c r="C1332" t="s">
        <v>40</v>
      </c>
      <c r="D1332">
        <v>4.261107</v>
      </c>
      <c r="E1332">
        <v>0.5526432</v>
      </c>
      <c r="F1332" t="s">
        <v>41</v>
      </c>
      <c r="G1332">
        <v>-242.10400000000001</v>
      </c>
      <c r="H1332">
        <v>0.93511310000000003</v>
      </c>
      <c r="I1332">
        <v>368.28480000000002</v>
      </c>
      <c r="J1332">
        <v>-242.56989999999999</v>
      </c>
      <c r="K1332">
        <v>1.1102110000000001</v>
      </c>
      <c r="L1332">
        <v>368.39479999999998</v>
      </c>
      <c r="M1332">
        <v>0.9998205</v>
      </c>
      <c r="N1332">
        <v>0</v>
      </c>
      <c r="O1332">
        <v>1.2412019999999999E-2</v>
      </c>
      <c r="P1332">
        <v>0.99858709999999995</v>
      </c>
      <c r="Q1332">
        <v>4.6863679999999998E-2</v>
      </c>
      <c r="R1332">
        <v>-2.505479E-2</v>
      </c>
      <c r="S1332">
        <v>3.0281069999999999</v>
      </c>
      <c r="T1332">
        <v>-0.76103089999999995</v>
      </c>
      <c r="U1332">
        <v>-0.46725460000000002</v>
      </c>
      <c r="V1332">
        <v>3.7494230000000003E-2</v>
      </c>
      <c r="W1332">
        <v>6.1128460000000003E-2</v>
      </c>
      <c r="X1332">
        <v>0.99742540000000002</v>
      </c>
      <c r="Y1332">
        <v>0.15953030000000001</v>
      </c>
      <c r="Z1332">
        <v>-2.2684220000000001E-2</v>
      </c>
      <c r="AA1332">
        <v>0.98693240000000004</v>
      </c>
      <c r="AB1332">
        <v>23</v>
      </c>
      <c r="AC1332">
        <v>0.465899999999976</v>
      </c>
      <c r="AD1332">
        <v>-0.1750979</v>
      </c>
      <c r="AE1332">
        <v>-0.10999999999995599</v>
      </c>
      <c r="AF1332">
        <v>0.102113322191405</v>
      </c>
      <c r="AG1332">
        <v>-0.1750979</v>
      </c>
      <c r="AH1332">
        <v>0.409687321419688</v>
      </c>
      <c r="AI1332">
        <v>112.524100558391</v>
      </c>
      <c r="AJ1332">
        <v>76.004371369049693</v>
      </c>
      <c r="AK1332">
        <v>0.45708872933535999</v>
      </c>
      <c r="AL1332">
        <v>86.495412211526698</v>
      </c>
      <c r="AM1332">
        <v>87.847207319070705</v>
      </c>
      <c r="AN1332">
        <v>0.99999996723521101</v>
      </c>
    </row>
    <row r="1333" spans="1:40" x14ac:dyDescent="0.25">
      <c r="A1333" t="str">
        <f>"20190312153914421"</f>
        <v>20190312153914421</v>
      </c>
      <c r="B1333" t="str">
        <f>"1552376354407705"</f>
        <v>1552376354407705</v>
      </c>
      <c r="C1333" t="s">
        <v>40</v>
      </c>
      <c r="D1333">
        <v>4.3330039999999999</v>
      </c>
      <c r="E1333">
        <v>0.55266179999999998</v>
      </c>
      <c r="F1333" t="s">
        <v>41</v>
      </c>
      <c r="G1333">
        <v>-241.70679999999999</v>
      </c>
      <c r="H1333">
        <v>0.89346329999999996</v>
      </c>
      <c r="I1333">
        <v>368.26139999999998</v>
      </c>
      <c r="J1333">
        <v>-242.3407</v>
      </c>
      <c r="K1333">
        <v>1.1102190000000001</v>
      </c>
      <c r="L1333">
        <v>368.3972</v>
      </c>
      <c r="M1333">
        <v>0.99982539999999998</v>
      </c>
      <c r="N1333">
        <v>0</v>
      </c>
      <c r="O1333">
        <v>1.1965440000000001E-2</v>
      </c>
      <c r="P1333">
        <v>0.99858409999999997</v>
      </c>
      <c r="Q1333">
        <v>4.6738799999999997E-2</v>
      </c>
      <c r="R1333">
        <v>-2.540999E-2</v>
      </c>
      <c r="S1333">
        <v>3.0281829999999998</v>
      </c>
      <c r="T1333">
        <v>-0.7604611</v>
      </c>
      <c r="U1333">
        <v>-0.46740720000000002</v>
      </c>
      <c r="V1333">
        <v>3.7402959999999999E-2</v>
      </c>
      <c r="W1333">
        <v>6.1046120000000002E-2</v>
      </c>
      <c r="X1333">
        <v>0.99743389999999998</v>
      </c>
      <c r="Y1333">
        <v>0.15916720000000001</v>
      </c>
      <c r="Z1333">
        <v>-2.2512609999999999E-2</v>
      </c>
      <c r="AA1333">
        <v>0.98699490000000001</v>
      </c>
      <c r="AB1333">
        <v>23</v>
      </c>
      <c r="AC1333">
        <v>0.63390000000001101</v>
      </c>
      <c r="AD1333">
        <v>-0.2167557</v>
      </c>
      <c r="AE1333">
        <v>-0.13580000000001699</v>
      </c>
      <c r="AF1333">
        <v>0.12895929714210699</v>
      </c>
      <c r="AG1333">
        <v>-0.2167557</v>
      </c>
      <c r="AH1333">
        <v>0.56865796975312599</v>
      </c>
      <c r="AI1333">
        <v>110.391693782218</v>
      </c>
      <c r="AJ1333">
        <v>77.222673113973897</v>
      </c>
      <c r="AK1333">
        <v>0.62208152228275004</v>
      </c>
      <c r="AL1333">
        <v>86.500138879512207</v>
      </c>
      <c r="AM1333">
        <v>87.852461107045997</v>
      </c>
      <c r="AN1333">
        <v>0.99999999752651303</v>
      </c>
    </row>
    <row r="1334" spans="1:40" x14ac:dyDescent="0.25">
      <c r="A1334" t="str">
        <f>"20190312153914443"</f>
        <v>20190312153914443</v>
      </c>
      <c r="B1334" t="str">
        <f>"1552376354436985"</f>
        <v>1552376354436985</v>
      </c>
      <c r="C1334" t="s">
        <v>40</v>
      </c>
      <c r="D1334">
        <v>4.2279749999999998</v>
      </c>
      <c r="E1334">
        <v>0.54012499999999997</v>
      </c>
      <c r="F1334" t="s">
        <v>41</v>
      </c>
      <c r="G1334">
        <v>-241.4984</v>
      </c>
      <c r="H1334">
        <v>0.89850189999999996</v>
      </c>
      <c r="I1334">
        <v>368.26639999999998</v>
      </c>
      <c r="J1334">
        <v>-242.1052</v>
      </c>
      <c r="K1334">
        <v>1.110228</v>
      </c>
      <c r="L1334">
        <v>368.39940000000001</v>
      </c>
      <c r="M1334">
        <v>0.99983010000000005</v>
      </c>
      <c r="N1334">
        <v>0</v>
      </c>
      <c r="O1334">
        <v>1.1506870000000001E-2</v>
      </c>
      <c r="P1334">
        <v>0.99858230000000003</v>
      </c>
      <c r="Q1334">
        <v>4.6494889999999997E-2</v>
      </c>
      <c r="R1334">
        <v>-2.5920720000000001E-2</v>
      </c>
      <c r="S1334">
        <v>3.0279539999999998</v>
      </c>
      <c r="T1334">
        <v>-0.76117250000000003</v>
      </c>
      <c r="U1334">
        <v>-0.46914670000000003</v>
      </c>
      <c r="V1334">
        <v>3.7455250000000002E-2</v>
      </c>
      <c r="W1334">
        <v>6.0839079999999997E-2</v>
      </c>
      <c r="X1334">
        <v>0.99744460000000001</v>
      </c>
      <c r="Y1334">
        <v>0.15928059999999999</v>
      </c>
      <c r="Z1334">
        <v>-2.2434780000000001E-2</v>
      </c>
      <c r="AA1334">
        <v>0.98697840000000003</v>
      </c>
      <c r="AB1334">
        <v>23</v>
      </c>
      <c r="AC1334">
        <v>0.60679999999999201</v>
      </c>
      <c r="AD1334">
        <v>-0.211726099999999</v>
      </c>
      <c r="AE1334">
        <v>-0.133000000000038</v>
      </c>
      <c r="AF1334">
        <v>0.125406323210798</v>
      </c>
      <c r="AG1334">
        <v>-0.211726099999999</v>
      </c>
      <c r="AH1334">
        <v>0.54223941258085995</v>
      </c>
      <c r="AI1334">
        <v>110.82804257283</v>
      </c>
      <c r="AJ1334">
        <v>76.977882741024501</v>
      </c>
      <c r="AK1334">
        <v>0.59546474948438199</v>
      </c>
      <c r="AL1334">
        <v>86.512023530652101</v>
      </c>
      <c r="AM1334">
        <v>87.849484674718099</v>
      </c>
      <c r="AN1334">
        <v>1.00000000973848</v>
      </c>
    </row>
    <row r="1335" spans="1:40" x14ac:dyDescent="0.25">
      <c r="A1335" t="str">
        <f>"20190312153914466"</f>
        <v>20190312153914466</v>
      </c>
      <c r="B1335" t="str">
        <f>"1552376354457481"</f>
        <v>1552376354457481</v>
      </c>
      <c r="C1335" t="s">
        <v>40</v>
      </c>
      <c r="D1335">
        <v>4.345059</v>
      </c>
      <c r="E1335">
        <v>0.53849930000000001</v>
      </c>
      <c r="F1335" t="s">
        <v>41</v>
      </c>
      <c r="G1335">
        <v>-241.24629999999999</v>
      </c>
      <c r="H1335">
        <v>0.99905659999999996</v>
      </c>
      <c r="I1335">
        <v>368.29059999999998</v>
      </c>
      <c r="J1335">
        <v>-241.87200000000001</v>
      </c>
      <c r="K1335">
        <v>1.110228</v>
      </c>
      <c r="L1335">
        <v>368.40159999999997</v>
      </c>
      <c r="M1335">
        <v>0.99983469999999997</v>
      </c>
      <c r="N1335">
        <v>0</v>
      </c>
      <c r="O1335">
        <v>1.105341E-2</v>
      </c>
      <c r="P1335">
        <v>0.99858029999999998</v>
      </c>
      <c r="Q1335">
        <v>4.6149549999999998E-2</v>
      </c>
      <c r="R1335">
        <v>-2.6596700000000001E-2</v>
      </c>
      <c r="S1335">
        <v>3.012527</v>
      </c>
      <c r="T1335">
        <v>-0.38992189999999999</v>
      </c>
      <c r="U1335">
        <v>-0.38165280000000001</v>
      </c>
      <c r="V1335">
        <v>3.7677929999999998E-2</v>
      </c>
      <c r="W1335">
        <v>6.0524950000000001E-2</v>
      </c>
      <c r="X1335">
        <v>0.99745530000000004</v>
      </c>
      <c r="Y1335">
        <v>0.13544</v>
      </c>
      <c r="Z1335">
        <v>-1.011402E-2</v>
      </c>
      <c r="AA1335">
        <v>0.99073389999999995</v>
      </c>
      <c r="AB1335">
        <v>23</v>
      </c>
      <c r="AC1335">
        <v>0.62570000000002302</v>
      </c>
      <c r="AD1335">
        <v>-0.1111714</v>
      </c>
      <c r="AE1335">
        <v>-0.11099999999999</v>
      </c>
      <c r="AF1335">
        <v>0.114408548295407</v>
      </c>
      <c r="AG1335">
        <v>-0.1111714</v>
      </c>
      <c r="AH1335">
        <v>0.60589122494182401</v>
      </c>
      <c r="AI1335">
        <v>100.220507157865</v>
      </c>
      <c r="AJ1335">
        <v>79.306919876900295</v>
      </c>
      <c r="AK1335">
        <v>0.62654016037483695</v>
      </c>
      <c r="AL1335">
        <v>86.5300549998679</v>
      </c>
      <c r="AM1335">
        <v>87.836734666498103</v>
      </c>
      <c r="AN1335">
        <v>0.99999998573983795</v>
      </c>
    </row>
    <row r="1336" spans="1:40" x14ac:dyDescent="0.25">
      <c r="A1336" t="str">
        <f>"20190312153914487"</f>
        <v>20190312153914487</v>
      </c>
      <c r="B1336" t="str">
        <f>"1552376354477001"</f>
        <v>1552376354477001</v>
      </c>
      <c r="C1336" t="s">
        <v>40</v>
      </c>
      <c r="D1336">
        <v>4.3448320000000002</v>
      </c>
      <c r="E1336">
        <v>0.53784390000000004</v>
      </c>
      <c r="F1336" t="s">
        <v>41</v>
      </c>
      <c r="G1336">
        <v>-241.0256</v>
      </c>
      <c r="H1336">
        <v>1.0299100000000001</v>
      </c>
      <c r="I1336">
        <v>368.29599999999999</v>
      </c>
      <c r="J1336">
        <v>-241.65190000000001</v>
      </c>
      <c r="K1336">
        <v>1.110231</v>
      </c>
      <c r="L1336">
        <v>368.40359999999998</v>
      </c>
      <c r="M1336">
        <v>0.99983909999999998</v>
      </c>
      <c r="N1336">
        <v>0</v>
      </c>
      <c r="O1336">
        <v>1.0625920000000001E-2</v>
      </c>
      <c r="P1336">
        <v>0.99859370000000003</v>
      </c>
      <c r="Q1336">
        <v>4.5687169999999999E-2</v>
      </c>
      <c r="R1336">
        <v>-2.6897379999999999E-2</v>
      </c>
      <c r="S1336">
        <v>3.0074770000000002</v>
      </c>
      <c r="T1336">
        <v>-0.28561950000000003</v>
      </c>
      <c r="U1336">
        <v>-0.37423709999999999</v>
      </c>
      <c r="V1336">
        <v>3.7551189999999998E-2</v>
      </c>
      <c r="W1336">
        <v>6.0088009999999997E-2</v>
      </c>
      <c r="X1336">
        <v>0.99748650000000005</v>
      </c>
      <c r="Y1336">
        <v>0.13338359999999999</v>
      </c>
      <c r="Z1336">
        <v>-7.2986659999999997E-3</v>
      </c>
      <c r="AA1336">
        <v>0.99103759999999996</v>
      </c>
      <c r="AB1336">
        <v>23</v>
      </c>
      <c r="AC1336">
        <v>0.62630000000001396</v>
      </c>
      <c r="AD1336">
        <v>-8.0320999999999795E-2</v>
      </c>
      <c r="AE1336">
        <v>-0.10759999999999</v>
      </c>
      <c r="AF1336">
        <v>0.11245311421274</v>
      </c>
      <c r="AG1336">
        <v>-8.0320999999999795E-2</v>
      </c>
      <c r="AH1336">
        <v>0.61529144636016797</v>
      </c>
      <c r="AI1336">
        <v>97.317550918628498</v>
      </c>
      <c r="AJ1336">
        <v>79.642706064520397</v>
      </c>
      <c r="AK1336">
        <v>0.63061932249268304</v>
      </c>
      <c r="AL1336">
        <v>86.555135479193694</v>
      </c>
      <c r="AM1336">
        <v>87.844071894074403</v>
      </c>
      <c r="AN1336">
        <v>0.99999998924921296</v>
      </c>
    </row>
    <row r="1337" spans="1:40" x14ac:dyDescent="0.25">
      <c r="A1337" t="str">
        <f>"20190312153914511"</f>
        <v>20190312153914511</v>
      </c>
      <c r="B1337" t="str">
        <f>"1552376354497497"</f>
        <v>1552376354497497</v>
      </c>
      <c r="C1337" t="s">
        <v>40</v>
      </c>
      <c r="D1337">
        <v>4.3965329999999998</v>
      </c>
      <c r="E1337">
        <v>0.53718080000000001</v>
      </c>
      <c r="F1337" t="s">
        <v>41</v>
      </c>
      <c r="G1337">
        <v>-240.8108</v>
      </c>
      <c r="H1337">
        <v>1.044708</v>
      </c>
      <c r="I1337">
        <v>368.29950000000002</v>
      </c>
      <c r="J1337">
        <v>-241.41409999999999</v>
      </c>
      <c r="K1337">
        <v>1.1102369999999999</v>
      </c>
      <c r="L1337">
        <v>368.40550000000002</v>
      </c>
      <c r="M1337">
        <v>0.99984360000000005</v>
      </c>
      <c r="N1337">
        <v>0</v>
      </c>
      <c r="O1337">
        <v>1.0164940000000001E-2</v>
      </c>
      <c r="P1337">
        <v>0.99858369999999996</v>
      </c>
      <c r="Q1337">
        <v>4.5697920000000003E-2</v>
      </c>
      <c r="R1337">
        <v>-2.7246449999999998E-2</v>
      </c>
      <c r="S1337">
        <v>3.0049290000000002</v>
      </c>
      <c r="T1337">
        <v>-0.23426720000000001</v>
      </c>
      <c r="U1337">
        <v>-0.37158200000000002</v>
      </c>
      <c r="V1337">
        <v>3.7439819999999999E-2</v>
      </c>
      <c r="W1337">
        <v>6.0120850000000003E-2</v>
      </c>
      <c r="X1337">
        <v>0.99748870000000001</v>
      </c>
      <c r="Y1337">
        <v>0.13237950000000001</v>
      </c>
      <c r="Z1337">
        <v>-5.9214159999999997E-3</v>
      </c>
      <c r="AA1337">
        <v>0.99118139999999999</v>
      </c>
      <c r="AB1337">
        <v>23</v>
      </c>
      <c r="AC1337">
        <v>0.60329999999998996</v>
      </c>
      <c r="AD1337">
        <v>-6.5529000000000101E-2</v>
      </c>
      <c r="AE1337">
        <v>-0.105999999999994</v>
      </c>
      <c r="AF1337">
        <v>0.110858949413705</v>
      </c>
      <c r="AG1337">
        <v>-6.5529000000000101E-2</v>
      </c>
      <c r="AH1337">
        <v>0.59537743936087095</v>
      </c>
      <c r="AI1337">
        <v>96.175561651810796</v>
      </c>
      <c r="AJ1337">
        <v>79.452347158122507</v>
      </c>
      <c r="AK1337">
        <v>0.60914534538648302</v>
      </c>
      <c r="AL1337">
        <v>86.553250451738805</v>
      </c>
      <c r="AM1337">
        <v>87.850464714207007</v>
      </c>
      <c r="AN1337">
        <v>0.99999998167702198</v>
      </c>
    </row>
    <row r="1338" spans="1:40" x14ac:dyDescent="0.25">
      <c r="A1338" t="str">
        <f>"20190312153914532"</f>
        <v>20190312153914532</v>
      </c>
      <c r="B1338" t="str">
        <f>"1552376354526777"</f>
        <v>1552376354526777</v>
      </c>
      <c r="C1338" t="s">
        <v>40</v>
      </c>
      <c r="D1338">
        <v>4.3573579999999996</v>
      </c>
      <c r="E1338">
        <v>0.53666700000000001</v>
      </c>
      <c r="F1338" t="s">
        <v>42</v>
      </c>
      <c r="G1338">
        <v>-225.90049999999999</v>
      </c>
      <c r="H1338" s="1">
        <v>-2.293094E-6</v>
      </c>
      <c r="I1338">
        <v>366.50400000000002</v>
      </c>
      <c r="J1338">
        <v>-241.18539999999999</v>
      </c>
      <c r="K1338">
        <v>1.1102430000000001</v>
      </c>
      <c r="L1338">
        <v>368.40730000000002</v>
      </c>
      <c r="M1338">
        <v>0.99984770000000001</v>
      </c>
      <c r="N1338">
        <v>0</v>
      </c>
      <c r="O1338">
        <v>9.7218670000000004E-3</v>
      </c>
      <c r="P1338">
        <v>0.99857149999999995</v>
      </c>
      <c r="Q1338">
        <v>4.5890269999999997E-2</v>
      </c>
      <c r="R1338">
        <v>-2.7375799999999999E-2</v>
      </c>
      <c r="S1338">
        <v>3.0040439999999999</v>
      </c>
      <c r="T1338">
        <v>-0.21498390000000001</v>
      </c>
      <c r="U1338">
        <v>-0.36819459999999998</v>
      </c>
      <c r="V1338">
        <v>3.7126579999999999E-2</v>
      </c>
      <c r="W1338">
        <v>6.033123E-2</v>
      </c>
      <c r="X1338">
        <v>0.99748769999999998</v>
      </c>
      <c r="Y1338">
        <v>0.13094629999999999</v>
      </c>
      <c r="Z1338">
        <v>-5.3546569999999996E-3</v>
      </c>
      <c r="AA1338">
        <v>0.99137500000000001</v>
      </c>
      <c r="AB1338">
        <v>23</v>
      </c>
      <c r="AC1338">
        <v>15.284899999999899</v>
      </c>
      <c r="AD1338">
        <v>-1.1102452930940001</v>
      </c>
      <c r="AE1338">
        <v>-1.9033</v>
      </c>
      <c r="AF1338">
        <v>2.0412181865847101</v>
      </c>
      <c r="AG1338">
        <v>-1.1102452930940001</v>
      </c>
      <c r="AH1338">
        <v>15.1867685340164</v>
      </c>
      <c r="AI1338">
        <v>94.144098909251198</v>
      </c>
      <c r="AJ1338">
        <v>82.344885355190499</v>
      </c>
      <c r="AK1338">
        <v>15.3635007339432</v>
      </c>
      <c r="AL1338">
        <v>86.541174625147093</v>
      </c>
      <c r="AM1338">
        <v>87.868429992386893</v>
      </c>
      <c r="AN1338">
        <v>0.99999997595354895</v>
      </c>
    </row>
    <row r="1339" spans="1:40" x14ac:dyDescent="0.25">
      <c r="A1339" t="str">
        <f>"20190312153914555"</f>
        <v>20190312153914555</v>
      </c>
      <c r="B1339" t="str">
        <f>"1552376354547272"</f>
        <v>1552376354547272</v>
      </c>
      <c r="C1339" t="s">
        <v>40</v>
      </c>
      <c r="D1339">
        <v>4.3507059999999997</v>
      </c>
      <c r="E1339">
        <v>0.53669140000000004</v>
      </c>
      <c r="F1339" t="s">
        <v>42</v>
      </c>
      <c r="G1339">
        <v>-223.47149999999999</v>
      </c>
      <c r="H1339" s="1">
        <v>-3.3794950000000001E-6</v>
      </c>
      <c r="I1339">
        <v>366.25389999999999</v>
      </c>
      <c r="J1339">
        <v>-240.958</v>
      </c>
      <c r="K1339">
        <v>1.110252</v>
      </c>
      <c r="L1339">
        <v>368.40899999999999</v>
      </c>
      <c r="M1339">
        <v>0.99985179999999996</v>
      </c>
      <c r="N1339">
        <v>0</v>
      </c>
      <c r="O1339">
        <v>9.2806759999999999E-3</v>
      </c>
      <c r="P1339">
        <v>0.99855459999999996</v>
      </c>
      <c r="Q1339">
        <v>4.6164480000000001E-2</v>
      </c>
      <c r="R1339">
        <v>-2.753357E-2</v>
      </c>
      <c r="S1339">
        <v>3.0029300000000001</v>
      </c>
      <c r="T1339">
        <v>-0.18821170000000001</v>
      </c>
      <c r="U1339">
        <v>-0.36505130000000002</v>
      </c>
      <c r="V1339">
        <v>3.6843550000000003E-2</v>
      </c>
      <c r="W1339">
        <v>6.0620140000000003E-2</v>
      </c>
      <c r="X1339">
        <v>0.9974807</v>
      </c>
      <c r="Y1339">
        <v>0.1296166</v>
      </c>
      <c r="Z1339">
        <v>-4.622223E-3</v>
      </c>
      <c r="AA1339">
        <v>0.99155340000000003</v>
      </c>
      <c r="AB1339">
        <v>23</v>
      </c>
      <c r="AC1339">
        <v>17.486499999999999</v>
      </c>
      <c r="AD1339">
        <v>-1.1102553794949901</v>
      </c>
      <c r="AE1339">
        <v>-2.1551</v>
      </c>
      <c r="AF1339">
        <v>2.3081452704435899</v>
      </c>
      <c r="AG1339">
        <v>-1.1102553794949901</v>
      </c>
      <c r="AH1339">
        <v>17.396662807068498</v>
      </c>
      <c r="AI1339">
        <v>93.620027692147502</v>
      </c>
      <c r="AJ1339">
        <v>82.442281408955296</v>
      </c>
      <c r="AK1339">
        <v>17.584199680963799</v>
      </c>
      <c r="AL1339">
        <v>86.524591023149199</v>
      </c>
      <c r="AM1339">
        <v>87.884650108918507</v>
      </c>
      <c r="AN1339">
        <v>0.99999999771135595</v>
      </c>
    </row>
    <row r="1340" spans="1:40" x14ac:dyDescent="0.25">
      <c r="A1340" t="str">
        <f>"20190312153914578"</f>
        <v>20190312153914578</v>
      </c>
      <c r="B1340" t="str">
        <f>"1552376354566793"</f>
        <v>1552376354566793</v>
      </c>
      <c r="C1340" t="s">
        <v>40</v>
      </c>
      <c r="D1340">
        <v>4.3280960000000004</v>
      </c>
      <c r="E1340">
        <v>0.53625619999999996</v>
      </c>
      <c r="F1340" t="s">
        <v>42</v>
      </c>
      <c r="G1340">
        <v>-222.23099999999999</v>
      </c>
      <c r="H1340" s="1">
        <v>-3.9342499999999996E-6</v>
      </c>
      <c r="I1340">
        <v>366.12639999999999</v>
      </c>
      <c r="J1340">
        <v>-240.73249999999999</v>
      </c>
      <c r="K1340">
        <v>1.11026</v>
      </c>
      <c r="L1340">
        <v>368.41059999999999</v>
      </c>
      <c r="M1340">
        <v>0.99985550000000001</v>
      </c>
      <c r="N1340">
        <v>0</v>
      </c>
      <c r="O1340">
        <v>8.8428389999999999E-3</v>
      </c>
      <c r="P1340">
        <v>0.99851990000000002</v>
      </c>
      <c r="Q1340">
        <v>4.6667710000000001E-2</v>
      </c>
      <c r="R1340">
        <v>-2.7933920000000001E-2</v>
      </c>
      <c r="S1340">
        <v>3.0024869999999999</v>
      </c>
      <c r="T1340">
        <v>-0.17800579999999999</v>
      </c>
      <c r="U1340">
        <v>-0.36596679999999998</v>
      </c>
      <c r="V1340">
        <v>3.6806779999999997E-2</v>
      </c>
      <c r="W1340">
        <v>6.1134639999999997E-2</v>
      </c>
      <c r="X1340">
        <v>0.99745059999999997</v>
      </c>
      <c r="Y1340">
        <v>0.129527</v>
      </c>
      <c r="Z1340">
        <v>-4.3440919999999999E-3</v>
      </c>
      <c r="AA1340">
        <v>0.99156639999999996</v>
      </c>
      <c r="AB1340">
        <v>23</v>
      </c>
      <c r="AC1340">
        <v>18.5015</v>
      </c>
      <c r="AD1340">
        <v>-1.11026393425</v>
      </c>
      <c r="AE1340">
        <v>-2.28419999999999</v>
      </c>
      <c r="AF1340">
        <v>2.43908212679192</v>
      </c>
      <c r="AG1340">
        <v>-1.11026393425</v>
      </c>
      <c r="AH1340">
        <v>18.415255462270899</v>
      </c>
      <c r="AI1340">
        <v>93.420412203618895</v>
      </c>
      <c r="AJ1340">
        <v>82.455146048566206</v>
      </c>
      <c r="AK1340">
        <v>18.609230004640999</v>
      </c>
      <c r="AL1340">
        <v>86.495057369276793</v>
      </c>
      <c r="AM1340">
        <v>87.886695607656193</v>
      </c>
      <c r="AN1340">
        <v>0.99999994135112702</v>
      </c>
    </row>
    <row r="1341" spans="1:40" x14ac:dyDescent="0.25">
      <c r="A1341" t="str">
        <f>"20190312153914595"</f>
        <v>20190312153914595</v>
      </c>
      <c r="B1341" t="str">
        <f>"1552376354587288"</f>
        <v>1552376354587288</v>
      </c>
      <c r="C1341" t="s">
        <v>40</v>
      </c>
      <c r="D1341">
        <v>4.3499860000000004</v>
      </c>
      <c r="E1341">
        <v>0.53616049999999904</v>
      </c>
      <c r="F1341" t="s">
        <v>42</v>
      </c>
      <c r="G1341">
        <v>-220.9265</v>
      </c>
      <c r="H1341" s="1">
        <v>-4.5147089999999998E-6</v>
      </c>
      <c r="I1341">
        <v>366.00900000000001</v>
      </c>
      <c r="J1341">
        <v>-240.55840000000001</v>
      </c>
      <c r="K1341">
        <v>1.1102650000000001</v>
      </c>
      <c r="L1341">
        <v>368.41180000000003</v>
      </c>
      <c r="M1341">
        <v>0.99985829999999998</v>
      </c>
      <c r="N1341">
        <v>0</v>
      </c>
      <c r="O1341">
        <v>8.5039079999999993E-3</v>
      </c>
      <c r="P1341">
        <v>0.99849869999999996</v>
      </c>
      <c r="Q1341">
        <v>4.6866600000000001E-2</v>
      </c>
      <c r="R1341">
        <v>-2.8360400000000001E-2</v>
      </c>
      <c r="S1341">
        <v>3.002151</v>
      </c>
      <c r="T1341">
        <v>-0.16829059999999901</v>
      </c>
      <c r="U1341">
        <v>-0.3640137</v>
      </c>
      <c r="V1341">
        <v>3.689452E-2</v>
      </c>
      <c r="W1341">
        <v>6.1340249999999999E-2</v>
      </c>
      <c r="X1341">
        <v>0.99743479999999995</v>
      </c>
      <c r="Y1341">
        <v>0.12859580000000001</v>
      </c>
      <c r="Z1341">
        <v>-4.0630869999999999E-3</v>
      </c>
      <c r="AA1341">
        <v>0.99168880000000004</v>
      </c>
      <c r="AB1341">
        <v>23</v>
      </c>
      <c r="AC1341">
        <v>19.631900000000002</v>
      </c>
      <c r="AD1341">
        <v>-1.110269514709</v>
      </c>
      <c r="AE1341">
        <v>-2.4028000000000098</v>
      </c>
      <c r="AF1341">
        <v>2.56160648091867</v>
      </c>
      <c r="AG1341">
        <v>-1.110269514709</v>
      </c>
      <c r="AH1341">
        <v>19.5491515296481</v>
      </c>
      <c r="AI1341">
        <v>93.223056678254693</v>
      </c>
      <c r="AJ1341">
        <v>82.5348278098853</v>
      </c>
      <c r="AK1341">
        <v>19.7475024164454</v>
      </c>
      <c r="AL1341">
        <v>86.483254860136199</v>
      </c>
      <c r="AM1341">
        <v>87.881628971598303</v>
      </c>
      <c r="AN1341">
        <v>1.0000000060635601</v>
      </c>
    </row>
    <row r="1342" spans="1:40" x14ac:dyDescent="0.25">
      <c r="A1342" t="str">
        <f>"20190312153914606"</f>
        <v>20190312153914606</v>
      </c>
      <c r="B1342" t="str">
        <f>"1552376354597049"</f>
        <v>1552376354597049</v>
      </c>
      <c r="C1342" t="s">
        <v>40</v>
      </c>
      <c r="D1342">
        <v>4.3785069999999999</v>
      </c>
      <c r="E1342">
        <v>0.53615999999999997</v>
      </c>
      <c r="F1342" t="s">
        <v>42</v>
      </c>
      <c r="G1342">
        <v>-220.0967</v>
      </c>
      <c r="H1342" s="1">
        <v>-4.8854209999999998E-6</v>
      </c>
      <c r="I1342">
        <v>365.92610000000002</v>
      </c>
      <c r="J1342">
        <v>-240.4297</v>
      </c>
      <c r="K1342">
        <v>1.110268</v>
      </c>
      <c r="L1342">
        <v>368.41250000000002</v>
      </c>
      <c r="M1342">
        <v>0.99986039999999998</v>
      </c>
      <c r="N1342">
        <v>0</v>
      </c>
      <c r="O1342">
        <v>8.2534369999999902E-3</v>
      </c>
      <c r="P1342">
        <v>0.99848590000000004</v>
      </c>
      <c r="Q1342">
        <v>4.6873430000000001E-2</v>
      </c>
      <c r="R1342">
        <v>-2.8789769999999999E-2</v>
      </c>
      <c r="S1342">
        <v>3.0018009999999999</v>
      </c>
      <c r="T1342">
        <v>-0.16287960000000001</v>
      </c>
      <c r="U1342">
        <v>-0.36465449999999999</v>
      </c>
      <c r="V1342">
        <v>3.707386E-2</v>
      </c>
      <c r="W1342">
        <v>6.135119E-2</v>
      </c>
      <c r="X1342">
        <v>0.99742750000000002</v>
      </c>
      <c r="Y1342">
        <v>0.12858359999999999</v>
      </c>
      <c r="Z1342">
        <v>-3.9191829999999997E-3</v>
      </c>
      <c r="AA1342">
        <v>0.99169090000000004</v>
      </c>
      <c r="AB1342">
        <v>23</v>
      </c>
      <c r="AC1342">
        <v>20.332999999999998</v>
      </c>
      <c r="AD1342">
        <v>-1.110272885421</v>
      </c>
      <c r="AE1342">
        <v>-2.4864000000000002</v>
      </c>
      <c r="AF1342">
        <v>2.6463758298228002</v>
      </c>
      <c r="AG1342">
        <v>-1.110272885421</v>
      </c>
      <c r="AH1342">
        <v>20.252288236256501</v>
      </c>
      <c r="AI1342">
        <v>93.111534293393106</v>
      </c>
      <c r="AJ1342">
        <v>82.555314974854397</v>
      </c>
      <c r="AK1342">
        <v>20.454612920248199</v>
      </c>
      <c r="AL1342">
        <v>86.482626941186595</v>
      </c>
      <c r="AM1342">
        <v>87.871325699574797</v>
      </c>
      <c r="AN1342">
        <v>1.00000002868298</v>
      </c>
    </row>
    <row r="1343" spans="1:40" x14ac:dyDescent="0.25">
      <c r="A1343" t="str">
        <f>"20190312153914619"</f>
        <v>20190312153914619</v>
      </c>
      <c r="B1343" t="str">
        <f>"1552376354606809"</f>
        <v>1552376354606809</v>
      </c>
      <c r="C1343" t="s">
        <v>40</v>
      </c>
      <c r="D1343">
        <v>4.3630149999999999</v>
      </c>
      <c r="E1343">
        <v>0.53616459999999999</v>
      </c>
      <c r="F1343" t="s">
        <v>42</v>
      </c>
      <c r="G1343">
        <v>-219.70760000000001</v>
      </c>
      <c r="H1343" s="1">
        <v>-1.078182E-6</v>
      </c>
      <c r="I1343">
        <v>365.88600000000002</v>
      </c>
      <c r="J1343">
        <v>-240.3065</v>
      </c>
      <c r="K1343">
        <v>1.110271</v>
      </c>
      <c r="L1343">
        <v>368.41329999999999</v>
      </c>
      <c r="M1343">
        <v>0.99986209999999998</v>
      </c>
      <c r="N1343">
        <v>0</v>
      </c>
      <c r="O1343">
        <v>8.0139959999999903E-3</v>
      </c>
      <c r="P1343">
        <v>0.99848539999999997</v>
      </c>
      <c r="Q1343">
        <v>4.6656789999999997E-2</v>
      </c>
      <c r="R1343">
        <v>-2.9154940000000001E-2</v>
      </c>
      <c r="S1343">
        <v>3.001541</v>
      </c>
      <c r="T1343">
        <v>-0.16081889999999999</v>
      </c>
      <c r="U1343">
        <v>-0.36596679999999998</v>
      </c>
      <c r="V1343">
        <v>3.7199749999999997E-2</v>
      </c>
      <c r="W1343">
        <v>6.1138449999999997E-2</v>
      </c>
      <c r="X1343">
        <v>0.99743590000000004</v>
      </c>
      <c r="Y1343">
        <v>0.12878870000000001</v>
      </c>
      <c r="Z1343">
        <v>-3.8625909999999999E-3</v>
      </c>
      <c r="AA1343">
        <v>0.99166449999999995</v>
      </c>
      <c r="AB1343">
        <v>23</v>
      </c>
      <c r="AC1343">
        <v>20.598899999999901</v>
      </c>
      <c r="AD1343">
        <v>-1.1102720781819999</v>
      </c>
      <c r="AE1343">
        <v>-2.5273000000000199</v>
      </c>
      <c r="AF1343">
        <v>2.6846321550521499</v>
      </c>
      <c r="AG1343">
        <v>-1.1102720781819999</v>
      </c>
      <c r="AH1343">
        <v>20.519254678700001</v>
      </c>
      <c r="AI1343">
        <v>93.071062600604094</v>
      </c>
      <c r="AJ1343">
        <v>82.546058458546895</v>
      </c>
      <c r="AK1343">
        <v>20.7238936125643</v>
      </c>
      <c r="AL1343">
        <v>86.494839055206896</v>
      </c>
      <c r="AM1343">
        <v>87.864122112674096</v>
      </c>
      <c r="AN1343">
        <v>1.0000000530386299</v>
      </c>
    </row>
    <row r="1344" spans="1:40" x14ac:dyDescent="0.25">
      <c r="A1344" t="str">
        <f>"20190312153914632"</f>
        <v>20190312153914632</v>
      </c>
      <c r="B1344" t="str">
        <f>"1552376354627305"</f>
        <v>1552376354627305</v>
      </c>
      <c r="C1344" t="s">
        <v>40</v>
      </c>
      <c r="D1344">
        <v>4.3674229999999996</v>
      </c>
      <c r="E1344">
        <v>0.53619539999999999</v>
      </c>
      <c r="F1344" t="s">
        <v>42</v>
      </c>
      <c r="G1344">
        <v>-219.41589999999999</v>
      </c>
      <c r="H1344" s="1">
        <v>-1.184805E-6</v>
      </c>
      <c r="I1344">
        <v>365.85829999999999</v>
      </c>
      <c r="J1344">
        <v>-240.17070000000001</v>
      </c>
      <c r="K1344">
        <v>1.1102719999999999</v>
      </c>
      <c r="L1344">
        <v>368.41410000000002</v>
      </c>
      <c r="M1344">
        <v>0.99986419999999998</v>
      </c>
      <c r="N1344">
        <v>0</v>
      </c>
      <c r="O1344">
        <v>7.748698E-3</v>
      </c>
      <c r="P1344">
        <v>0.99848000000000003</v>
      </c>
      <c r="Q1344">
        <v>4.6168569999999999E-2</v>
      </c>
      <c r="R1344">
        <v>-3.0104309999999999E-2</v>
      </c>
      <c r="S1344">
        <v>3.0012660000000002</v>
      </c>
      <c r="T1344">
        <v>-0.15950699999999901</v>
      </c>
      <c r="U1344">
        <v>-0.36706539999999999</v>
      </c>
      <c r="V1344">
        <v>3.7883550000000002E-2</v>
      </c>
      <c r="W1344">
        <v>6.0652980000000002E-2</v>
      </c>
      <c r="X1344">
        <v>0.99743970000000004</v>
      </c>
      <c r="Y1344">
        <v>0.1288974</v>
      </c>
      <c r="Z1344">
        <v>-3.8202240000000001E-3</v>
      </c>
      <c r="AA1344">
        <v>0.99165060000000005</v>
      </c>
      <c r="AB1344">
        <v>23</v>
      </c>
      <c r="AC1344">
        <v>20.754799999999999</v>
      </c>
      <c r="AD1344">
        <v>-1.110273184805</v>
      </c>
      <c r="AE1344">
        <v>-2.5558000000000298</v>
      </c>
      <c r="AF1344">
        <v>2.7089266339637699</v>
      </c>
      <c r="AG1344">
        <v>-1.110273184805</v>
      </c>
      <c r="AH1344">
        <v>20.6760858439592</v>
      </c>
      <c r="AI1344">
        <v>93.047743753362795</v>
      </c>
      <c r="AJ1344">
        <v>82.535772417094293</v>
      </c>
      <c r="AK1344">
        <v>20.8823254423416</v>
      </c>
      <c r="AL1344">
        <v>86.522705799269204</v>
      </c>
      <c r="AM1344">
        <v>87.824906388003896</v>
      </c>
      <c r="AN1344">
        <v>0.99999995123978502</v>
      </c>
    </row>
    <row r="1345" spans="1:40" x14ac:dyDescent="0.25">
      <c r="A1345" t="str">
        <f>"20190312153914647"</f>
        <v>20190312153914647</v>
      </c>
      <c r="B1345" t="str">
        <f>"1552376354637066"</f>
        <v>1552376354637066</v>
      </c>
      <c r="C1345" t="s">
        <v>40</v>
      </c>
      <c r="D1345">
        <v>4.3493360000000001</v>
      </c>
      <c r="E1345">
        <v>0.53619709999999998</v>
      </c>
      <c r="F1345" t="s">
        <v>42</v>
      </c>
      <c r="G1345">
        <v>-219.06229999999999</v>
      </c>
      <c r="H1345" s="1">
        <v>-1.3176779999999999E-6</v>
      </c>
      <c r="I1345">
        <v>365.81119999999999</v>
      </c>
      <c r="J1345">
        <v>-240.01679999999999</v>
      </c>
      <c r="K1345">
        <v>1.1102749999999999</v>
      </c>
      <c r="L1345">
        <v>368.41489999999999</v>
      </c>
      <c r="M1345">
        <v>0.99986649999999999</v>
      </c>
      <c r="N1345">
        <v>0</v>
      </c>
      <c r="O1345">
        <v>7.4485910000000001E-3</v>
      </c>
      <c r="P1345">
        <v>0.99846880000000005</v>
      </c>
      <c r="Q1345">
        <v>4.6096239999999997E-2</v>
      </c>
      <c r="R1345">
        <v>-3.0583900000000001E-2</v>
      </c>
      <c r="S1345">
        <v>3.000702</v>
      </c>
      <c r="T1345">
        <v>-0.157832</v>
      </c>
      <c r="U1345">
        <v>-0.37002560000000001</v>
      </c>
      <c r="V1345">
        <v>3.8063300000000001E-2</v>
      </c>
      <c r="W1345">
        <v>6.0583959999999999E-2</v>
      </c>
      <c r="X1345">
        <v>0.99743709999999997</v>
      </c>
      <c r="Y1345">
        <v>0.12958939999999999</v>
      </c>
      <c r="Z1345">
        <v>-3.783041E-3</v>
      </c>
      <c r="AA1345">
        <v>0.99156049999999996</v>
      </c>
      <c r="AB1345">
        <v>23</v>
      </c>
      <c r="AC1345">
        <v>20.954499999999999</v>
      </c>
      <c r="AD1345">
        <v>-1.1102763176779999</v>
      </c>
      <c r="AE1345">
        <v>-2.6036999999999999</v>
      </c>
      <c r="AF1345">
        <v>2.7521168883251801</v>
      </c>
      <c r="AG1345">
        <v>-1.1102763176779999</v>
      </c>
      <c r="AH1345">
        <v>20.876803787687201</v>
      </c>
      <c r="AI1345">
        <v>93.018189534751002</v>
      </c>
      <c r="AJ1345">
        <v>82.490198004817103</v>
      </c>
      <c r="AK1345">
        <v>21.086673451689599</v>
      </c>
      <c r="AL1345">
        <v>86.526667808603605</v>
      </c>
      <c r="AM1345">
        <v>87.814590288374305</v>
      </c>
      <c r="AN1345">
        <v>0.99999999973628995</v>
      </c>
    </row>
    <row r="1346" spans="1:40" x14ac:dyDescent="0.25">
      <c r="A1346" t="str">
        <f>"20190312153914659"</f>
        <v>20190312153914659</v>
      </c>
      <c r="B1346" t="str">
        <f>"1552376354646824"</f>
        <v>1552376354646824</v>
      </c>
      <c r="C1346" t="s">
        <v>40</v>
      </c>
      <c r="D1346">
        <v>4.2887430000000002</v>
      </c>
      <c r="E1346">
        <v>0.535995</v>
      </c>
      <c r="F1346" t="s">
        <v>42</v>
      </c>
      <c r="G1346">
        <v>-218.78530000000001</v>
      </c>
      <c r="H1346" s="1">
        <v>-1.4186259999999999E-6</v>
      </c>
      <c r="I1346">
        <v>365.786</v>
      </c>
      <c r="J1346">
        <v>-239.8974</v>
      </c>
      <c r="K1346">
        <v>1.110279</v>
      </c>
      <c r="L1346">
        <v>368.41559999999998</v>
      </c>
      <c r="M1346">
        <v>0.99986830000000004</v>
      </c>
      <c r="N1346">
        <v>0</v>
      </c>
      <c r="O1346">
        <v>7.2156E-3</v>
      </c>
      <c r="P1346">
        <v>0.99847229999999998</v>
      </c>
      <c r="Q1346">
        <v>4.5754589999999998E-2</v>
      </c>
      <c r="R1346">
        <v>-3.098559E-2</v>
      </c>
      <c r="S1346">
        <v>3.0004430000000002</v>
      </c>
      <c r="T1346">
        <v>-0.15690399999999999</v>
      </c>
      <c r="U1346">
        <v>-0.37152099999999999</v>
      </c>
      <c r="V1346">
        <v>3.823211E-2</v>
      </c>
      <c r="W1346">
        <v>6.0244600000000002E-2</v>
      </c>
      <c r="X1346">
        <v>0.99745119999999998</v>
      </c>
      <c r="Y1346">
        <v>0.12985759999999999</v>
      </c>
      <c r="Z1346">
        <v>-3.7558829999999998E-3</v>
      </c>
      <c r="AA1346">
        <v>0.99152549999999995</v>
      </c>
      <c r="AB1346">
        <v>23</v>
      </c>
      <c r="AC1346">
        <v>21.112100000000002</v>
      </c>
      <c r="AD1346">
        <v>-1.110280418626</v>
      </c>
      <c r="AE1346">
        <v>-2.62959999999998</v>
      </c>
      <c r="AF1346">
        <v>2.7743283993516301</v>
      </c>
      <c r="AG1346">
        <v>-1.110280418626</v>
      </c>
      <c r="AH1346">
        <v>21.035285939344</v>
      </c>
      <c r="AI1346">
        <v>92.995478472104693</v>
      </c>
      <c r="AJ1346">
        <v>82.486665762626302</v>
      </c>
      <c r="AK1346">
        <v>21.246479125384401</v>
      </c>
      <c r="AL1346">
        <v>86.546147291004303</v>
      </c>
      <c r="AM1346">
        <v>87.8049384984364</v>
      </c>
      <c r="AN1346">
        <v>1.0000000012228201</v>
      </c>
    </row>
    <row r="1347" spans="1:40" x14ac:dyDescent="0.25">
      <c r="A1347" t="str">
        <f>"20190312153914677"</f>
        <v>20190312153914677</v>
      </c>
      <c r="B1347" t="str">
        <f>"1552376354667321"</f>
        <v>1552376354667321</v>
      </c>
      <c r="C1347" t="s">
        <v>40</v>
      </c>
      <c r="D1347">
        <v>4.3416499999999996</v>
      </c>
      <c r="E1347">
        <v>0.53579109999999996</v>
      </c>
      <c r="F1347" t="s">
        <v>42</v>
      </c>
      <c r="G1347">
        <v>-218.3724</v>
      </c>
      <c r="H1347" s="1">
        <v>-1.568068E-6</v>
      </c>
      <c r="I1347">
        <v>365.7525</v>
      </c>
      <c r="J1347">
        <v>-239.72</v>
      </c>
      <c r="K1347">
        <v>1.110276</v>
      </c>
      <c r="L1347">
        <v>368.41649999999998</v>
      </c>
      <c r="M1347">
        <v>0.99987060000000005</v>
      </c>
      <c r="N1347">
        <v>0</v>
      </c>
      <c r="O1347">
        <v>6.8697289999999998E-3</v>
      </c>
      <c r="P1347">
        <v>0.99842569999999997</v>
      </c>
      <c r="Q1347">
        <v>4.6367810000000002E-2</v>
      </c>
      <c r="R1347">
        <v>-3.1561569999999997E-2</v>
      </c>
      <c r="S1347">
        <v>3.0001679999999999</v>
      </c>
      <c r="T1347">
        <v>-0.1547511</v>
      </c>
      <c r="U1347">
        <v>-0.3711853</v>
      </c>
      <c r="V1347">
        <v>3.8462929999999999E-2</v>
      </c>
      <c r="W1347">
        <v>6.0859549999999998E-2</v>
      </c>
      <c r="X1347">
        <v>0.99740499999999999</v>
      </c>
      <c r="Y1347">
        <v>0.12942239999999999</v>
      </c>
      <c r="Z1347">
        <v>-3.6758390000000002E-3</v>
      </c>
      <c r="AA1347">
        <v>0.99158279999999999</v>
      </c>
      <c r="AB1347">
        <v>23</v>
      </c>
      <c r="AC1347">
        <v>21.3476</v>
      </c>
      <c r="AD1347">
        <v>-1.1102775680679999</v>
      </c>
      <c r="AE1347">
        <v>-2.6639999999999802</v>
      </c>
      <c r="AF1347">
        <v>2.8031386884521798</v>
      </c>
      <c r="AG1347">
        <v>-1.1102775680679999</v>
      </c>
      <c r="AH1347">
        <v>21.272134774837099</v>
      </c>
      <c r="AI1347">
        <v>92.962221993111896</v>
      </c>
      <c r="AJ1347">
        <v>82.493092536623905</v>
      </c>
      <c r="AK1347">
        <v>21.4847392505398</v>
      </c>
      <c r="AL1347">
        <v>86.510848502337495</v>
      </c>
      <c r="AM1347">
        <v>87.791597073317007</v>
      </c>
      <c r="AN1347">
        <v>1.0000000079176901</v>
      </c>
    </row>
    <row r="1348" spans="1:40" x14ac:dyDescent="0.25">
      <c r="A1348" t="str">
        <f>"20190312153914691"</f>
        <v>20190312153914691</v>
      </c>
      <c r="B1348" t="str">
        <f>"1552376354686841"</f>
        <v>1552376354686841</v>
      </c>
      <c r="C1348" t="s">
        <v>40</v>
      </c>
      <c r="D1348">
        <v>4.2600680000000004</v>
      </c>
      <c r="E1348">
        <v>0.53552259999999996</v>
      </c>
      <c r="F1348" t="s">
        <v>42</v>
      </c>
      <c r="G1348">
        <v>-217.38130000000001</v>
      </c>
      <c r="H1348" s="1">
        <v>-1.9331070000000002E-6</v>
      </c>
      <c r="I1348">
        <v>365.6481</v>
      </c>
      <c r="J1348">
        <v>-239.57210000000001</v>
      </c>
      <c r="K1348">
        <v>1.110279</v>
      </c>
      <c r="L1348">
        <v>368.4171</v>
      </c>
      <c r="M1348">
        <v>0.99987250000000005</v>
      </c>
      <c r="N1348">
        <v>0</v>
      </c>
      <c r="O1348">
        <v>6.5809629999999996E-3</v>
      </c>
      <c r="P1348">
        <v>0.9984113</v>
      </c>
      <c r="Q1348">
        <v>4.6469650000000001E-2</v>
      </c>
      <c r="R1348">
        <v>-3.1869309999999998E-2</v>
      </c>
      <c r="S1348">
        <v>2.999908</v>
      </c>
      <c r="T1348">
        <v>-0.14910090000000001</v>
      </c>
      <c r="U1348">
        <v>-0.37176510000000001</v>
      </c>
      <c r="V1348">
        <v>3.8482000000000002E-2</v>
      </c>
      <c r="W1348">
        <v>6.0962349999999998E-2</v>
      </c>
      <c r="X1348">
        <v>0.99739800000000001</v>
      </c>
      <c r="Y1348">
        <v>0.12934849999999901</v>
      </c>
      <c r="Z1348">
        <v>-3.5259340000000001E-3</v>
      </c>
      <c r="AA1348">
        <v>0.9915929</v>
      </c>
      <c r="AB1348">
        <v>23</v>
      </c>
      <c r="AC1348">
        <v>22.190799999999999</v>
      </c>
      <c r="AD1348">
        <v>-1.110280933107</v>
      </c>
      <c r="AE1348">
        <v>-2.7690000000000001</v>
      </c>
      <c r="AF1348">
        <v>2.9078246472830198</v>
      </c>
      <c r="AG1348">
        <v>-1.110280933107</v>
      </c>
      <c r="AH1348">
        <v>22.117575815047299</v>
      </c>
      <c r="AI1348">
        <v>92.849302247488197</v>
      </c>
      <c r="AJ1348">
        <v>82.5102097981258</v>
      </c>
      <c r="AK1348">
        <v>22.3355171837173</v>
      </c>
      <c r="AL1348">
        <v>86.504947586624297</v>
      </c>
      <c r="AM1348">
        <v>87.790487736061706</v>
      </c>
      <c r="AN1348">
        <v>1.00000002142276</v>
      </c>
    </row>
    <row r="1349" spans="1:40" x14ac:dyDescent="0.25">
      <c r="A1349" t="str">
        <f>"20190312153914705"</f>
        <v>20190312153914705</v>
      </c>
      <c r="B1349" t="str">
        <f>"1552376354697577"</f>
        <v>1552376354697577</v>
      </c>
      <c r="C1349" t="s">
        <v>40</v>
      </c>
      <c r="D1349">
        <v>4.3255119999999998</v>
      </c>
      <c r="E1349">
        <v>0.5354409</v>
      </c>
      <c r="F1349" t="s">
        <v>42</v>
      </c>
      <c r="G1349">
        <v>-216.62219999999999</v>
      </c>
      <c r="H1349" s="1">
        <v>-2.2090279999999999E-6</v>
      </c>
      <c r="I1349">
        <v>365.58199999999999</v>
      </c>
      <c r="J1349">
        <v>-239.43520000000001</v>
      </c>
      <c r="K1349">
        <v>1.1102799999999999</v>
      </c>
      <c r="L1349">
        <v>368.41770000000002</v>
      </c>
      <c r="M1349">
        <v>0.99987409999999999</v>
      </c>
      <c r="N1349">
        <v>0</v>
      </c>
      <c r="O1349">
        <v>6.3131189999999998E-3</v>
      </c>
      <c r="P1349">
        <v>0.99840260000000003</v>
      </c>
      <c r="Q1349">
        <v>4.6674E-2</v>
      </c>
      <c r="R1349">
        <v>-3.1838669999999999E-2</v>
      </c>
      <c r="S1349">
        <v>2.9997099999999999</v>
      </c>
      <c r="T1349">
        <v>-0.1451211</v>
      </c>
      <c r="U1349">
        <v>-0.37057499999999999</v>
      </c>
      <c r="V1349">
        <v>3.8184160000000002E-2</v>
      </c>
      <c r="W1349">
        <v>6.1168439999999998E-2</v>
      </c>
      <c r="X1349">
        <v>0.99739679999999997</v>
      </c>
      <c r="Y1349">
        <v>0.1287131</v>
      </c>
      <c r="Z1349">
        <v>-3.4040289999999998E-3</v>
      </c>
      <c r="AA1349">
        <v>0.991676</v>
      </c>
      <c r="AB1349">
        <v>23</v>
      </c>
      <c r="AC1349">
        <v>22.812999999999999</v>
      </c>
      <c r="AD1349">
        <v>-1.110282209028</v>
      </c>
      <c r="AE1349">
        <v>-2.8357000000000299</v>
      </c>
      <c r="AF1349">
        <v>2.97274565555003</v>
      </c>
      <c r="AG1349">
        <v>-1.110282209028</v>
      </c>
      <c r="AH1349">
        <v>22.741593903393401</v>
      </c>
      <c r="AI1349">
        <v>92.771514030423901</v>
      </c>
      <c r="AJ1349">
        <v>82.552612175077002</v>
      </c>
      <c r="AK1349">
        <v>22.961925803014299</v>
      </c>
      <c r="AL1349">
        <v>86.493117319870606</v>
      </c>
      <c r="AM1349">
        <v>87.807569359412497</v>
      </c>
      <c r="AN1349">
        <v>0.99999999238858905</v>
      </c>
    </row>
    <row r="1350" spans="1:40" x14ac:dyDescent="0.25">
      <c r="A1350" t="str">
        <f>"20190312153914720"</f>
        <v>20190312153914720</v>
      </c>
      <c r="B1350" t="str">
        <f>"1552376354707336"</f>
        <v>1552376354707336</v>
      </c>
      <c r="C1350" t="s">
        <v>40</v>
      </c>
      <c r="D1350">
        <v>4.4234450000000001</v>
      </c>
      <c r="E1350">
        <v>0.5354409</v>
      </c>
      <c r="F1350" t="s">
        <v>42</v>
      </c>
      <c r="G1350">
        <v>-216.29640000000001</v>
      </c>
      <c r="H1350" s="1">
        <v>-2.324755E-6</v>
      </c>
      <c r="I1350">
        <v>365.56369999999998</v>
      </c>
      <c r="J1350">
        <v>-239.29050000000001</v>
      </c>
      <c r="K1350">
        <v>1.110285</v>
      </c>
      <c r="L1350">
        <v>368.41829999999999</v>
      </c>
      <c r="M1350">
        <v>0.99987599999999999</v>
      </c>
      <c r="N1350">
        <v>0</v>
      </c>
      <c r="O1350">
        <v>6.0289439999999996E-3</v>
      </c>
      <c r="P1350">
        <v>0.99841279999999999</v>
      </c>
      <c r="Q1350">
        <v>4.6528510000000002E-2</v>
      </c>
      <c r="R1350">
        <v>-3.1736559999999997E-2</v>
      </c>
      <c r="S1350">
        <v>2.9997410000000002</v>
      </c>
      <c r="T1350">
        <v>-0.1439375</v>
      </c>
      <c r="U1350">
        <v>-0.36999510000000002</v>
      </c>
      <c r="V1350">
        <v>3.7798039999999998E-2</v>
      </c>
      <c r="W1350">
        <v>6.1024229999999999E-2</v>
      </c>
      <c r="X1350">
        <v>0.99742039999999998</v>
      </c>
      <c r="Y1350">
        <v>0.12824449999999901</v>
      </c>
      <c r="Z1350">
        <v>-3.351531E-3</v>
      </c>
      <c r="AA1350">
        <v>0.99173690000000003</v>
      </c>
      <c r="AB1350">
        <v>23</v>
      </c>
      <c r="AC1350">
        <v>22.9941</v>
      </c>
      <c r="AD1350">
        <v>-1.110287324755</v>
      </c>
      <c r="AE1350">
        <v>-2.8546</v>
      </c>
      <c r="AF1350">
        <v>2.9863359192960401</v>
      </c>
      <c r="AG1350">
        <v>-1.110287324755</v>
      </c>
      <c r="AH1350">
        <v>22.923833961652601</v>
      </c>
      <c r="AI1350">
        <v>92.749684852171697</v>
      </c>
      <c r="AJ1350">
        <v>82.577757493245798</v>
      </c>
      <c r="AK1350">
        <v>23.144180773313298</v>
      </c>
      <c r="AL1350">
        <v>86.5013956155519</v>
      </c>
      <c r="AM1350">
        <v>87.829769313803297</v>
      </c>
      <c r="AN1350">
        <v>1.00000005140554</v>
      </c>
    </row>
    <row r="1351" spans="1:40" x14ac:dyDescent="0.25">
      <c r="A1351" t="str">
        <f>"20190312153914735"</f>
        <v>20190312153914735</v>
      </c>
      <c r="B1351" t="str">
        <f>"1552376354726857"</f>
        <v>1552376354726857</v>
      </c>
      <c r="C1351" t="s">
        <v>40</v>
      </c>
      <c r="D1351">
        <v>4.3696210000000004</v>
      </c>
      <c r="E1351">
        <v>0.49536609999999998</v>
      </c>
      <c r="F1351" t="s">
        <v>42</v>
      </c>
      <c r="G1351">
        <v>-216.21700000000001</v>
      </c>
      <c r="H1351" s="1">
        <v>-2.3490310000000001E-6</v>
      </c>
      <c r="I1351">
        <v>365.57400000000001</v>
      </c>
      <c r="J1351">
        <v>-239.13390000000001</v>
      </c>
      <c r="K1351">
        <v>1.110284</v>
      </c>
      <c r="L1351">
        <v>368.41890000000001</v>
      </c>
      <c r="M1351">
        <v>0.99987789999999999</v>
      </c>
      <c r="N1351">
        <v>0</v>
      </c>
      <c r="O1351">
        <v>5.7212169999999998E-3</v>
      </c>
      <c r="P1351">
        <v>0.99842350000000002</v>
      </c>
      <c r="Q1351">
        <v>4.6660939999999998E-2</v>
      </c>
      <c r="R1351">
        <v>-3.1199270000000001E-2</v>
      </c>
      <c r="S1351">
        <v>2.9997410000000002</v>
      </c>
      <c r="T1351">
        <v>-0.1443461</v>
      </c>
      <c r="U1351">
        <v>-0.36978149999999999</v>
      </c>
      <c r="V1351">
        <v>3.6953989999999999E-2</v>
      </c>
      <c r="W1351">
        <v>6.1157490000000002E-2</v>
      </c>
      <c r="X1351">
        <v>0.99744379999999999</v>
      </c>
      <c r="Y1351">
        <v>0.1278696</v>
      </c>
      <c r="Z1351">
        <v>-3.3373220000000002E-3</v>
      </c>
      <c r="AA1351">
        <v>0.99178529999999998</v>
      </c>
      <c r="AB1351">
        <v>22</v>
      </c>
      <c r="AC1351">
        <v>22.916899999999998</v>
      </c>
      <c r="AD1351">
        <v>-1.110286349031</v>
      </c>
      <c r="AE1351">
        <v>-2.8448999999999902</v>
      </c>
      <c r="AF1351">
        <v>2.9691163816672699</v>
      </c>
      <c r="AG1351">
        <v>-1.110286349031</v>
      </c>
      <c r="AH1351">
        <v>22.847432253036501</v>
      </c>
      <c r="AI1351">
        <v>92.758975277775505</v>
      </c>
      <c r="AJ1351">
        <v>82.595676804143807</v>
      </c>
      <c r="AK1351">
        <v>23.0662859693931</v>
      </c>
      <c r="AL1351">
        <v>86.493745859735</v>
      </c>
      <c r="AM1351">
        <v>87.878236631136105</v>
      </c>
      <c r="AN1351">
        <v>0.99999998505922905</v>
      </c>
    </row>
    <row r="1352" spans="1:40" x14ac:dyDescent="0.25">
      <c r="A1352" t="str">
        <f>"20190312153914751"</f>
        <v>20190312153914751</v>
      </c>
      <c r="B1352" t="str">
        <f>"1552376354737593"</f>
        <v>1552376354737593</v>
      </c>
      <c r="C1352" t="s">
        <v>40</v>
      </c>
      <c r="D1352">
        <v>4.3848320000000003</v>
      </c>
      <c r="E1352">
        <v>0.48935390000000001</v>
      </c>
      <c r="F1352" t="s">
        <v>49</v>
      </c>
      <c r="G1352">
        <v>-206.3887</v>
      </c>
      <c r="H1352" s="1">
        <v>-3.9870519999999999E-6</v>
      </c>
      <c r="I1352">
        <v>367.87880000000001</v>
      </c>
      <c r="J1352">
        <v>-238.9811</v>
      </c>
      <c r="K1352">
        <v>1.110284</v>
      </c>
      <c r="L1352">
        <v>368.41950000000003</v>
      </c>
      <c r="M1352">
        <v>0.99987950000000003</v>
      </c>
      <c r="N1352">
        <v>0</v>
      </c>
      <c r="O1352">
        <v>5.4192700000000003E-3</v>
      </c>
      <c r="P1352">
        <v>0.9984421</v>
      </c>
      <c r="Q1352">
        <v>4.6356769999999999E-2</v>
      </c>
      <c r="R1352">
        <v>-3.1062269999999999E-2</v>
      </c>
      <c r="S1352">
        <v>3.0079500000000001</v>
      </c>
      <c r="T1352">
        <v>-0.1019902</v>
      </c>
      <c r="U1352">
        <v>-4.9621579999999998E-2</v>
      </c>
      <c r="V1352">
        <v>3.6515270000000002E-2</v>
      </c>
      <c r="W1352">
        <v>6.0853839999999999E-2</v>
      </c>
      <c r="X1352">
        <v>0.99747850000000005</v>
      </c>
      <c r="Y1352">
        <v>2.1897739999999999E-2</v>
      </c>
      <c r="Z1352">
        <v>-5.548164E-4</v>
      </c>
      <c r="AA1352">
        <v>0.99976010000000004</v>
      </c>
      <c r="AB1352">
        <v>22</v>
      </c>
      <c r="AC1352">
        <v>32.592399999999998</v>
      </c>
      <c r="AD1352">
        <v>-1.1102879870519999</v>
      </c>
      <c r="AE1352">
        <v>-0.54070000000001495</v>
      </c>
      <c r="AF1352">
        <v>0.71650650116383097</v>
      </c>
      <c r="AG1352">
        <v>-1.1102879870519999</v>
      </c>
      <c r="AH1352">
        <v>32.551226056245397</v>
      </c>
      <c r="AI1352">
        <v>91.953068524512005</v>
      </c>
      <c r="AJ1352">
        <v>88.739028442144303</v>
      </c>
      <c r="AK1352">
        <v>32.578036140092799</v>
      </c>
      <c r="AL1352">
        <v>86.511176088697297</v>
      </c>
      <c r="AM1352">
        <v>87.903476589608701</v>
      </c>
      <c r="AN1352">
        <v>0.99999995637408301</v>
      </c>
    </row>
    <row r="1353" spans="1:40" x14ac:dyDescent="0.25">
      <c r="A1353" t="str">
        <f>"20190312153914766"</f>
        <v>20190312153914766</v>
      </c>
      <c r="B1353" t="str">
        <f>"1552376354757113"</f>
        <v>1552376354757113</v>
      </c>
      <c r="C1353" t="s">
        <v>40</v>
      </c>
      <c r="D1353">
        <v>4.3495549999999996</v>
      </c>
      <c r="E1353">
        <v>0.48361929999999997</v>
      </c>
      <c r="F1353" t="s">
        <v>49</v>
      </c>
      <c r="G1353">
        <v>-207.5986</v>
      </c>
      <c r="H1353" s="1">
        <v>-4.4329649999999998E-6</v>
      </c>
      <c r="I1353">
        <v>368.40960000000001</v>
      </c>
      <c r="J1353">
        <v>-238.82550000000001</v>
      </c>
      <c r="K1353">
        <v>1.110282</v>
      </c>
      <c r="L1353">
        <v>368.41989999999998</v>
      </c>
      <c r="M1353">
        <v>0.99988109999999997</v>
      </c>
      <c r="N1353">
        <v>0</v>
      </c>
      <c r="O1353">
        <v>5.1099259999999999E-3</v>
      </c>
      <c r="P1353">
        <v>0.99846570000000001</v>
      </c>
      <c r="Q1353">
        <v>4.5806279999999998E-2</v>
      </c>
      <c r="R1353">
        <v>-3.111709E-2</v>
      </c>
      <c r="S1353">
        <v>3.009598</v>
      </c>
      <c r="T1353">
        <v>-0.10647710000000001</v>
      </c>
      <c r="U1353">
        <v>-9.4604490000000003E-4</v>
      </c>
      <c r="V1353">
        <v>3.6261050000000003E-2</v>
      </c>
      <c r="W1353">
        <v>6.0303620000000002E-2</v>
      </c>
      <c r="X1353">
        <v>0.9975212</v>
      </c>
      <c r="Y1353">
        <v>5.4182190000000002E-3</v>
      </c>
      <c r="Z1353">
        <v>-2.7656330000000001E-4</v>
      </c>
      <c r="AA1353">
        <v>0.99998529999999997</v>
      </c>
      <c r="AB1353">
        <v>22</v>
      </c>
      <c r="AC1353">
        <v>31.226900000000001</v>
      </c>
      <c r="AD1353">
        <v>-1.110286432965</v>
      </c>
      <c r="AE1353">
        <v>-1.0299999999972401E-2</v>
      </c>
      <c r="AF1353">
        <v>0.16966941020410001</v>
      </c>
      <c r="AG1353">
        <v>-1.110286432965</v>
      </c>
      <c r="AH1353">
        <v>31.187013281706101</v>
      </c>
      <c r="AI1353">
        <v>92.038891337336494</v>
      </c>
      <c r="AJ1353">
        <v>89.688291882235106</v>
      </c>
      <c r="AK1353">
        <v>31.2072318718802</v>
      </c>
      <c r="AL1353">
        <v>86.542759417588599</v>
      </c>
      <c r="AM1353">
        <v>87.918148777010103</v>
      </c>
      <c r="AN1353">
        <v>0.99999996739082198</v>
      </c>
    </row>
    <row r="1354" spans="1:40" x14ac:dyDescent="0.25">
      <c r="A1354" t="str">
        <f>"20190312153914778"</f>
        <v>20190312153914778</v>
      </c>
      <c r="B1354" t="str">
        <f>"1552376354766874"</f>
        <v>1552376354766874</v>
      </c>
      <c r="C1354" t="s">
        <v>40</v>
      </c>
      <c r="D1354">
        <v>4.3302170000000002</v>
      </c>
      <c r="E1354">
        <v>0.48198410000000003</v>
      </c>
      <c r="F1354" t="s">
        <v>49</v>
      </c>
      <c r="G1354">
        <v>-209.09829999999999</v>
      </c>
      <c r="H1354" s="1">
        <v>-5.0317119999999999E-6</v>
      </c>
      <c r="I1354">
        <v>368.85980000000001</v>
      </c>
      <c r="J1354">
        <v>-238.7004</v>
      </c>
      <c r="K1354">
        <v>1.110285</v>
      </c>
      <c r="L1354">
        <v>368.4203</v>
      </c>
      <c r="M1354">
        <v>0.9998823</v>
      </c>
      <c r="N1354">
        <v>0</v>
      </c>
      <c r="O1354">
        <v>4.8601809999999999E-3</v>
      </c>
      <c r="P1354">
        <v>0.9984866</v>
      </c>
      <c r="Q1354">
        <v>4.5231479999999998E-2</v>
      </c>
      <c r="R1354">
        <v>-3.1283640000000001E-2</v>
      </c>
      <c r="S1354">
        <v>3.0111539999999999</v>
      </c>
      <c r="T1354">
        <v>-0.1124641</v>
      </c>
      <c r="U1354">
        <v>4.4555659999999997E-2</v>
      </c>
      <c r="V1354">
        <v>3.6178259999999997E-2</v>
      </c>
      <c r="W1354">
        <v>5.972864E-2</v>
      </c>
      <c r="X1354">
        <v>0.99755879999999997</v>
      </c>
      <c r="Y1354">
        <v>-9.9313800000000001E-3</v>
      </c>
      <c r="Z1354" s="1">
        <v>3.9220319999999999E-6</v>
      </c>
      <c r="AA1354">
        <v>0.99995069999999997</v>
      </c>
      <c r="AB1354">
        <v>22</v>
      </c>
      <c r="AC1354">
        <v>29.6021</v>
      </c>
      <c r="AD1354">
        <v>-1.1102900317119999</v>
      </c>
      <c r="AE1354">
        <v>0.43950000000000899</v>
      </c>
      <c r="AF1354">
        <v>-0.29519282678383202</v>
      </c>
      <c r="AG1354">
        <v>-1.1102900317119999</v>
      </c>
      <c r="AH1354">
        <v>29.562307922092799</v>
      </c>
      <c r="AI1354">
        <v>92.150775247515696</v>
      </c>
      <c r="AJ1354">
        <v>90.572104893113703</v>
      </c>
      <c r="AK1354">
        <v>29.584623243167002</v>
      </c>
      <c r="AL1354">
        <v>86.575762840910798</v>
      </c>
      <c r="AM1354">
        <v>87.922976042536703</v>
      </c>
      <c r="AN1354">
        <v>0.99999996819515802</v>
      </c>
    </row>
    <row r="1355" spans="1:40" x14ac:dyDescent="0.25">
      <c r="A1355" t="str">
        <f>"20190312153914793"</f>
        <v>20190312153914793</v>
      </c>
      <c r="B1355" t="str">
        <f>"1552376354787369"</f>
        <v>1552376354787369</v>
      </c>
      <c r="C1355" t="s">
        <v>40</v>
      </c>
      <c r="D1355">
        <v>4.3238779999999997</v>
      </c>
      <c r="E1355">
        <v>0.47991200000000001</v>
      </c>
      <c r="F1355" t="s">
        <v>49</v>
      </c>
      <c r="G1355">
        <v>-209.64420000000001</v>
      </c>
      <c r="H1355" s="1">
        <v>-5.2616879999999996E-6</v>
      </c>
      <c r="I1355">
        <v>368.96949999999998</v>
      </c>
      <c r="J1355">
        <v>-238.55359999999999</v>
      </c>
      <c r="K1355">
        <v>1.1102810000000001</v>
      </c>
      <c r="L1355">
        <v>368.42070000000001</v>
      </c>
      <c r="M1355">
        <v>0.99988379999999999</v>
      </c>
      <c r="N1355">
        <v>0</v>
      </c>
      <c r="O1355">
        <v>4.564182E-3</v>
      </c>
      <c r="P1355">
        <v>0.9984807</v>
      </c>
      <c r="Q1355">
        <v>4.5179179999999999E-2</v>
      </c>
      <c r="R1355">
        <v>-3.1548560000000003E-2</v>
      </c>
      <c r="S1355">
        <v>3.01152</v>
      </c>
      <c r="T1355">
        <v>-0.1150755</v>
      </c>
      <c r="U1355">
        <v>5.6915279999999999E-2</v>
      </c>
      <c r="V1355">
        <v>3.6147749999999999E-2</v>
      </c>
      <c r="W1355">
        <v>5.967534E-2</v>
      </c>
      <c r="X1355">
        <v>0.99756310000000004</v>
      </c>
      <c r="Y1355">
        <v>-1.432464E-2</v>
      </c>
      <c r="Z1355" s="1">
        <v>9.9218300000000005E-5</v>
      </c>
      <c r="AA1355">
        <v>0.99989740000000005</v>
      </c>
      <c r="AB1355">
        <v>22</v>
      </c>
      <c r="AC1355">
        <v>28.909399999999899</v>
      </c>
      <c r="AD1355">
        <v>-1.1102862616879901</v>
      </c>
      <c r="AE1355">
        <v>0.54879999999997098</v>
      </c>
      <c r="AF1355">
        <v>-0.41621885880271597</v>
      </c>
      <c r="AG1355">
        <v>-1.1102862616879901</v>
      </c>
      <c r="AH1355">
        <v>28.869037439481499</v>
      </c>
      <c r="AI1355">
        <v>92.202247970377201</v>
      </c>
      <c r="AJ1355">
        <v>90.826003702729196</v>
      </c>
      <c r="AK1355">
        <v>28.8933780718611</v>
      </c>
      <c r="AL1355">
        <v>86.578822177052899</v>
      </c>
      <c r="AM1355">
        <v>87.924735052420701</v>
      </c>
      <c r="AN1355">
        <v>0.99999997225789305</v>
      </c>
    </row>
    <row r="1356" spans="1:40" x14ac:dyDescent="0.25">
      <c r="A1356" t="str">
        <f>"20190312153914806"</f>
        <v>20190312153914806</v>
      </c>
      <c r="B1356" t="str">
        <f>"1552376354797129"</f>
        <v>1552376354797129</v>
      </c>
      <c r="C1356" t="s">
        <v>40</v>
      </c>
      <c r="D1356">
        <v>4.2796580000000004</v>
      </c>
      <c r="E1356">
        <v>0.47916920000000002</v>
      </c>
      <c r="F1356" t="s">
        <v>49</v>
      </c>
      <c r="G1356">
        <v>-209.6378</v>
      </c>
      <c r="H1356" s="1">
        <v>-5.225216E-6</v>
      </c>
      <c r="I1356">
        <v>369.12060000000002</v>
      </c>
      <c r="J1356">
        <v>-238.4188</v>
      </c>
      <c r="K1356">
        <v>1.110279</v>
      </c>
      <c r="L1356">
        <v>368.42099999999999</v>
      </c>
      <c r="M1356">
        <v>0.99988500000000002</v>
      </c>
      <c r="N1356">
        <v>0</v>
      </c>
      <c r="O1356">
        <v>4.2906489999999997E-3</v>
      </c>
      <c r="P1356">
        <v>0.99846789999999996</v>
      </c>
      <c r="Q1356">
        <v>4.5127529999999999E-2</v>
      </c>
      <c r="R1356">
        <v>-3.2023820000000001E-2</v>
      </c>
      <c r="S1356">
        <v>3.0121150000000001</v>
      </c>
      <c r="T1356">
        <v>-0.1156567</v>
      </c>
      <c r="U1356">
        <v>7.2906490000000004E-2</v>
      </c>
      <c r="V1356">
        <v>3.6350140000000003E-2</v>
      </c>
      <c r="W1356">
        <v>5.962249E-2</v>
      </c>
      <c r="X1356">
        <v>0.99755899999999997</v>
      </c>
      <c r="Y1356">
        <v>-1.989577E-2</v>
      </c>
      <c r="Z1356">
        <v>2.1709520000000001E-4</v>
      </c>
      <c r="AA1356">
        <v>0.99980210000000003</v>
      </c>
      <c r="AB1356">
        <v>22</v>
      </c>
      <c r="AC1356">
        <v>28.780999999999999</v>
      </c>
      <c r="AD1356">
        <v>-1.1102842252159999</v>
      </c>
      <c r="AE1356">
        <v>0.69960000000003197</v>
      </c>
      <c r="AF1356">
        <v>-0.57523577316401697</v>
      </c>
      <c r="AG1356">
        <v>-1.1102842252159999</v>
      </c>
      <c r="AH1356">
        <v>28.740990454361999</v>
      </c>
      <c r="AI1356">
        <v>92.211832795864396</v>
      </c>
      <c r="AJ1356">
        <v>91.146591739662995</v>
      </c>
      <c r="AK1356">
        <v>28.768179635722799</v>
      </c>
      <c r="AL1356">
        <v>86.5818559820638</v>
      </c>
      <c r="AM1356">
        <v>87.913117391360501</v>
      </c>
      <c r="AN1356">
        <v>1.0000000662363999</v>
      </c>
    </row>
    <row r="1357" spans="1:40" x14ac:dyDescent="0.25">
      <c r="A1357" t="str">
        <f>"20190312153914820"</f>
        <v>20190312153914820</v>
      </c>
      <c r="B1357" t="str">
        <f>"1552376354806889"</f>
        <v>1552376354806889</v>
      </c>
      <c r="C1357" t="s">
        <v>40</v>
      </c>
      <c r="D1357">
        <v>4.2813780000000001</v>
      </c>
      <c r="E1357">
        <v>0.47866789999999998</v>
      </c>
      <c r="F1357" t="s">
        <v>49</v>
      </c>
      <c r="G1357">
        <v>-209.21260000000001</v>
      </c>
      <c r="H1357" s="1">
        <v>-5.0163359999999999E-6</v>
      </c>
      <c r="I1357">
        <v>369.16930000000002</v>
      </c>
      <c r="J1357">
        <v>-238.28890000000001</v>
      </c>
      <c r="K1357">
        <v>1.110279</v>
      </c>
      <c r="L1357">
        <v>368.42129999999997</v>
      </c>
      <c r="M1357">
        <v>0.9998861</v>
      </c>
      <c r="N1357">
        <v>0</v>
      </c>
      <c r="O1357">
        <v>4.0258749999999999E-3</v>
      </c>
      <c r="P1357">
        <v>0.99846590000000002</v>
      </c>
      <c r="Q1357">
        <v>4.503836E-2</v>
      </c>
      <c r="R1357">
        <v>-3.2209740000000001E-2</v>
      </c>
      <c r="S1357">
        <v>3.0122529999999998</v>
      </c>
      <c r="T1357">
        <v>-0.11451160000000001</v>
      </c>
      <c r="U1357">
        <v>7.7178960000000005E-2</v>
      </c>
      <c r="V1357">
        <v>3.6271829999999998E-2</v>
      </c>
      <c r="W1357">
        <v>5.9532059999999998E-2</v>
      </c>
      <c r="X1357">
        <v>0.99756719999999999</v>
      </c>
      <c r="Y1357">
        <v>-2.157541E-2</v>
      </c>
      <c r="Z1357">
        <v>2.5690400000000002E-4</v>
      </c>
      <c r="AA1357">
        <v>0.99976719999999997</v>
      </c>
      <c r="AB1357">
        <v>22</v>
      </c>
      <c r="AC1357">
        <v>29.0763</v>
      </c>
      <c r="AD1357">
        <v>-1.1102840163359999</v>
      </c>
      <c r="AE1357">
        <v>0.74800000000004696</v>
      </c>
      <c r="AF1357">
        <v>-0.630005992650015</v>
      </c>
      <c r="AG1357">
        <v>-1.1102840163359999</v>
      </c>
      <c r="AH1357">
        <v>29.036765234680502</v>
      </c>
      <c r="AI1357">
        <v>92.189247506241003</v>
      </c>
      <c r="AJ1357">
        <v>91.242942233735803</v>
      </c>
      <c r="AK1357">
        <v>29.064813321981902</v>
      </c>
      <c r="AL1357">
        <v>86.587046284422797</v>
      </c>
      <c r="AM1357">
        <v>87.9176263537057</v>
      </c>
      <c r="AN1357">
        <v>1.0000000151676101</v>
      </c>
    </row>
    <row r="1358" spans="1:40" x14ac:dyDescent="0.25">
      <c r="A1358" t="str">
        <f>"20190312153914833"</f>
        <v>20190312153914833</v>
      </c>
      <c r="B1358" t="str">
        <f>"1552376354827388"</f>
        <v>1552376354827388</v>
      </c>
      <c r="C1358" t="s">
        <v>40</v>
      </c>
      <c r="D1358">
        <v>4.2555769999999997</v>
      </c>
      <c r="E1358">
        <v>0.47819299999999998</v>
      </c>
      <c r="F1358" t="s">
        <v>42</v>
      </c>
      <c r="G1358">
        <v>-209.95939999999999</v>
      </c>
      <c r="H1358" s="1">
        <v>-4.3672579999999998E-6</v>
      </c>
      <c r="I1358">
        <v>369.17919999999998</v>
      </c>
      <c r="J1358">
        <v>-238.15289999999999</v>
      </c>
      <c r="K1358">
        <v>1.110282</v>
      </c>
      <c r="L1358">
        <v>368.42149999999998</v>
      </c>
      <c r="M1358">
        <v>0.99988730000000003</v>
      </c>
      <c r="N1358">
        <v>0</v>
      </c>
      <c r="O1358">
        <v>3.7451870000000001E-3</v>
      </c>
      <c r="P1358">
        <v>0.99842569999999997</v>
      </c>
      <c r="Q1358">
        <v>4.5193009999999999E-2</v>
      </c>
      <c r="R1358">
        <v>-3.3230599999999999E-2</v>
      </c>
      <c r="S1358">
        <v>3.012527</v>
      </c>
      <c r="T1358">
        <v>-0.11806609999999999</v>
      </c>
      <c r="U1358">
        <v>8.0596920000000002E-2</v>
      </c>
      <c r="V1358">
        <v>3.7012549999999998E-2</v>
      </c>
      <c r="W1358">
        <v>5.9684380000000002E-2</v>
      </c>
      <c r="X1358">
        <v>0.9975309</v>
      </c>
      <c r="Y1358">
        <v>-2.2985160000000001E-2</v>
      </c>
      <c r="Z1358">
        <v>3.034496E-4</v>
      </c>
      <c r="AA1358">
        <v>0.99973579999999995</v>
      </c>
      <c r="AB1358">
        <v>22</v>
      </c>
      <c r="AC1358">
        <v>28.1935</v>
      </c>
      <c r="AD1358">
        <v>-1.1102863672579999</v>
      </c>
      <c r="AE1358">
        <v>0.75769999999999904</v>
      </c>
      <c r="AF1358">
        <v>-0.65108458375699596</v>
      </c>
      <c r="AG1358">
        <v>-1.1102863672579999</v>
      </c>
      <c r="AH1358">
        <v>28.152511223787702</v>
      </c>
      <c r="AI1358">
        <v>92.257872920323393</v>
      </c>
      <c r="AJ1358">
        <v>91.324846288453003</v>
      </c>
      <c r="AK1358">
        <v>28.181918585469202</v>
      </c>
      <c r="AL1358">
        <v>86.578303479913203</v>
      </c>
      <c r="AM1358">
        <v>87.875062796062593</v>
      </c>
      <c r="AN1358">
        <v>1.0000000252641399</v>
      </c>
    </row>
    <row r="1359" spans="1:40" x14ac:dyDescent="0.25">
      <c r="A1359" t="str">
        <f>"20190312153914849"</f>
        <v>20190312153914849</v>
      </c>
      <c r="B1359" t="str">
        <f>"1552376354837145"</f>
        <v>1552376354837145</v>
      </c>
      <c r="C1359" t="s">
        <v>40</v>
      </c>
      <c r="D1359">
        <v>4.2866929999999996</v>
      </c>
      <c r="E1359">
        <v>0.477881</v>
      </c>
      <c r="F1359" t="s">
        <v>42</v>
      </c>
      <c r="G1359">
        <v>-210.60679999999999</v>
      </c>
      <c r="H1359" s="1">
        <v>-4.0913750000000003E-6</v>
      </c>
      <c r="I1359">
        <v>369.16890000000001</v>
      </c>
      <c r="J1359">
        <v>-237.994</v>
      </c>
      <c r="K1359">
        <v>1.110282</v>
      </c>
      <c r="L1359">
        <v>368.42169999999999</v>
      </c>
      <c r="M1359">
        <v>0.99988849999999996</v>
      </c>
      <c r="N1359">
        <v>0</v>
      </c>
      <c r="O1359">
        <v>3.4140120000000001E-3</v>
      </c>
      <c r="P1359">
        <v>0.99838959999999999</v>
      </c>
      <c r="Q1359">
        <v>4.5613069999999999E-2</v>
      </c>
      <c r="R1359">
        <v>-3.373491E-2</v>
      </c>
      <c r="S1359">
        <v>3.0129549999999998</v>
      </c>
      <c r="T1359">
        <v>-0.1214411</v>
      </c>
      <c r="U1359">
        <v>8.1756590000000004E-2</v>
      </c>
      <c r="V1359">
        <v>3.7186700000000003E-2</v>
      </c>
      <c r="W1359">
        <v>6.010182E-2</v>
      </c>
      <c r="X1359">
        <v>0.99749929999999998</v>
      </c>
      <c r="Y1359">
        <v>-2.3695310000000001E-2</v>
      </c>
      <c r="Z1359">
        <v>3.3971609999999998E-4</v>
      </c>
      <c r="AA1359">
        <v>0.99971909999999997</v>
      </c>
      <c r="AB1359">
        <v>22</v>
      </c>
      <c r="AC1359">
        <v>27.3872</v>
      </c>
      <c r="AD1359">
        <v>-1.1102860913749999</v>
      </c>
      <c r="AE1359">
        <v>0.74720000000001996</v>
      </c>
      <c r="AF1359">
        <v>-0.65261374894400104</v>
      </c>
      <c r="AG1359">
        <v>-1.1102860913749999</v>
      </c>
      <c r="AH1359">
        <v>27.3446835205803</v>
      </c>
      <c r="AI1359">
        <v>92.324462913722201</v>
      </c>
      <c r="AJ1359">
        <v>91.367173126051696</v>
      </c>
      <c r="AK1359">
        <v>27.374995100469199</v>
      </c>
      <c r="AL1359">
        <v>86.554342713209806</v>
      </c>
      <c r="AM1359">
        <v>87.8650062848141</v>
      </c>
      <c r="AN1359">
        <v>0.99999996646234501</v>
      </c>
    </row>
    <row r="1360" spans="1:40" x14ac:dyDescent="0.25">
      <c r="A1360" t="str">
        <f>"20190312153914862"</f>
        <v>20190312153914862</v>
      </c>
      <c r="B1360" t="str">
        <f>"1552376354857641"</f>
        <v>1552376354857641</v>
      </c>
      <c r="C1360" t="s">
        <v>40</v>
      </c>
      <c r="D1360">
        <v>4.3262960000000001</v>
      </c>
      <c r="E1360">
        <v>0.47701969999999999</v>
      </c>
      <c r="F1360" t="s">
        <v>42</v>
      </c>
      <c r="G1360">
        <v>-210.17230000000001</v>
      </c>
      <c r="H1360" s="1">
        <v>-4.2747949999999998E-6</v>
      </c>
      <c r="I1360">
        <v>369.18560000000002</v>
      </c>
      <c r="J1360">
        <v>-237.86510000000001</v>
      </c>
      <c r="K1360">
        <v>1.110282</v>
      </c>
      <c r="L1360">
        <v>368.42180000000002</v>
      </c>
      <c r="M1360">
        <v>0.99988940000000004</v>
      </c>
      <c r="N1360">
        <v>0</v>
      </c>
      <c r="O1360">
        <v>3.1423219999999999E-3</v>
      </c>
      <c r="P1360">
        <v>0.99834750000000005</v>
      </c>
      <c r="Q1360">
        <v>4.592632E-2</v>
      </c>
      <c r="R1360">
        <v>-3.4547260000000003E-2</v>
      </c>
      <c r="S1360">
        <v>3.0131230000000002</v>
      </c>
      <c r="T1360">
        <v>-0.1202449</v>
      </c>
      <c r="U1360">
        <v>8.2733150000000005E-2</v>
      </c>
      <c r="V1360">
        <v>3.7728310000000001E-2</v>
      </c>
      <c r="W1360">
        <v>6.0412149999999998E-2</v>
      </c>
      <c r="X1360">
        <v>0.99746020000000002</v>
      </c>
      <c r="Y1360">
        <v>-2.4288850000000001E-2</v>
      </c>
      <c r="Z1360">
        <v>3.5902520000000003E-4</v>
      </c>
      <c r="AA1360">
        <v>0.99970490000000001</v>
      </c>
      <c r="AB1360">
        <v>22</v>
      </c>
      <c r="AC1360">
        <v>27.692799999999998</v>
      </c>
      <c r="AD1360">
        <v>-1.110286274795</v>
      </c>
      <c r="AE1360">
        <v>0.76380000000000303</v>
      </c>
      <c r="AF1360">
        <v>-0.67568204156488099</v>
      </c>
      <c r="AG1360">
        <v>-1.110286274795</v>
      </c>
      <c r="AH1360">
        <v>27.650650485748201</v>
      </c>
      <c r="AI1360">
        <v>92.298738203070897</v>
      </c>
      <c r="AJ1360">
        <v>91.399823351456405</v>
      </c>
      <c r="AK1360">
        <v>27.681180504420301</v>
      </c>
      <c r="AL1360">
        <v>86.536529694833504</v>
      </c>
      <c r="AM1360">
        <v>87.833855500910005</v>
      </c>
      <c r="AN1360">
        <v>0.99999995191355795</v>
      </c>
    </row>
    <row r="1361" spans="1:40" x14ac:dyDescent="0.25">
      <c r="A1361" t="str">
        <f>"20190312153914878"</f>
        <v>20190312153914878</v>
      </c>
      <c r="B1361" t="str">
        <f>"1552376354867401"</f>
        <v>1552376354867401</v>
      </c>
      <c r="C1361" t="s">
        <v>40</v>
      </c>
      <c r="D1361">
        <v>4.330381</v>
      </c>
      <c r="E1361">
        <v>0.47664410000000001</v>
      </c>
      <c r="F1361" t="s">
        <v>49</v>
      </c>
      <c r="G1361">
        <v>-209.92930000000001</v>
      </c>
      <c r="H1361" s="1">
        <v>-5.3221169999999899E-6</v>
      </c>
      <c r="I1361">
        <v>369.22750000000002</v>
      </c>
      <c r="J1361">
        <v>-237.71270000000001</v>
      </c>
      <c r="K1361">
        <v>1.110284</v>
      </c>
      <c r="L1361">
        <v>368.42200000000003</v>
      </c>
      <c r="M1361">
        <v>0.99989039999999996</v>
      </c>
      <c r="N1361">
        <v>0</v>
      </c>
      <c r="O1361">
        <v>2.817937E-3</v>
      </c>
      <c r="P1361">
        <v>0.99829699999999999</v>
      </c>
      <c r="Q1361">
        <v>4.6517830000000003E-2</v>
      </c>
      <c r="R1361">
        <v>-3.5202280000000002E-2</v>
      </c>
      <c r="S1361">
        <v>3.0135040000000002</v>
      </c>
      <c r="T1361">
        <v>-0.1197694</v>
      </c>
      <c r="U1361">
        <v>8.6914060000000001E-2</v>
      </c>
      <c r="V1361">
        <v>3.8060240000000002E-2</v>
      </c>
      <c r="W1361">
        <v>6.1000430000000001E-2</v>
      </c>
      <c r="X1361">
        <v>0.99741179999999996</v>
      </c>
      <c r="Y1361">
        <v>-2.5994079999999999E-2</v>
      </c>
      <c r="Z1361">
        <v>4.0430650000000001E-4</v>
      </c>
      <c r="AA1361">
        <v>0.99966200000000005</v>
      </c>
      <c r="AB1361">
        <v>22</v>
      </c>
      <c r="AC1361">
        <v>27.7834</v>
      </c>
      <c r="AD1361">
        <v>-1.110289322117</v>
      </c>
      <c r="AE1361">
        <v>0.80550000000005095</v>
      </c>
      <c r="AF1361">
        <v>-0.72603815938167504</v>
      </c>
      <c r="AG1361">
        <v>-1.110289322117</v>
      </c>
      <c r="AH1361">
        <v>27.741294457479501</v>
      </c>
      <c r="AI1361">
        <v>92.291140996350407</v>
      </c>
      <c r="AJ1361">
        <v>91.4991884532309</v>
      </c>
      <c r="AK1361">
        <v>27.772995732622601</v>
      </c>
      <c r="AL1361">
        <v>86.502761503104395</v>
      </c>
      <c r="AM1361">
        <v>87.814710432221801</v>
      </c>
      <c r="AN1361">
        <v>0.99999996655414003</v>
      </c>
    </row>
    <row r="1362" spans="1:40" x14ac:dyDescent="0.25">
      <c r="A1362" t="str">
        <f>"20190312153914893"</f>
        <v>20190312153914893</v>
      </c>
      <c r="B1362" t="str">
        <f>"1552376354886921"</f>
        <v>1552376354886921</v>
      </c>
      <c r="C1362" t="s">
        <v>40</v>
      </c>
      <c r="D1362">
        <v>4.3033239999999999</v>
      </c>
      <c r="E1362">
        <v>0.4760876</v>
      </c>
      <c r="F1362" t="s">
        <v>49</v>
      </c>
      <c r="G1362">
        <v>-209.45609999999999</v>
      </c>
      <c r="H1362" s="1">
        <v>-5.1120609999999997E-6</v>
      </c>
      <c r="I1362">
        <v>369.24919999999997</v>
      </c>
      <c r="J1362">
        <v>-237.56049999999999</v>
      </c>
      <c r="K1362">
        <v>1.1102829999999999</v>
      </c>
      <c r="L1362">
        <v>368.42200000000003</v>
      </c>
      <c r="M1362">
        <v>0.99989119999999998</v>
      </c>
      <c r="N1362">
        <v>0</v>
      </c>
      <c r="O1362">
        <v>2.4899779999999999E-3</v>
      </c>
      <c r="P1362">
        <v>0.99825609999999998</v>
      </c>
      <c r="Q1362">
        <v>4.6924180000000003E-2</v>
      </c>
      <c r="R1362">
        <v>-3.582196E-2</v>
      </c>
      <c r="S1362">
        <v>3.0137480000000001</v>
      </c>
      <c r="T1362">
        <v>-0.1184195</v>
      </c>
      <c r="U1362">
        <v>8.8226319999999997E-2</v>
      </c>
      <c r="V1362">
        <v>3.8352850000000001E-2</v>
      </c>
      <c r="W1362">
        <v>6.1403550000000001E-2</v>
      </c>
      <c r="X1362">
        <v>0.99737589999999998</v>
      </c>
      <c r="Y1362">
        <v>-2.6754110000000001E-2</v>
      </c>
      <c r="Z1362">
        <v>4.275212E-4</v>
      </c>
      <c r="AA1362">
        <v>0.99964200000000003</v>
      </c>
      <c r="AB1362">
        <v>22</v>
      </c>
      <c r="AC1362">
        <v>28.104399999999998</v>
      </c>
      <c r="AD1362">
        <v>-1.110288112061</v>
      </c>
      <c r="AE1362">
        <v>0.82720000000000404</v>
      </c>
      <c r="AF1362">
        <v>-0.75603177338263305</v>
      </c>
      <c r="AG1362">
        <v>-1.110288112061</v>
      </c>
      <c r="AH1362">
        <v>28.0626130405903</v>
      </c>
      <c r="AI1362">
        <v>92.264886127958306</v>
      </c>
      <c r="AJ1362">
        <v>91.543226006590302</v>
      </c>
      <c r="AK1362">
        <v>28.094742824949599</v>
      </c>
      <c r="AL1362">
        <v>86.479621206812496</v>
      </c>
      <c r="AM1362">
        <v>87.797847053178202</v>
      </c>
      <c r="AN1362">
        <v>1.0000000114782599</v>
      </c>
    </row>
    <row r="1363" spans="1:40" x14ac:dyDescent="0.25">
      <c r="A1363" t="str">
        <f>"20190312153914906"</f>
        <v>20190312153914906</v>
      </c>
      <c r="B1363" t="str">
        <f>"1552376354897657"</f>
        <v>1552376354897657</v>
      </c>
      <c r="C1363" t="s">
        <v>40</v>
      </c>
      <c r="D1363">
        <v>4.2926799999999998</v>
      </c>
      <c r="E1363">
        <v>0.47579260000000001</v>
      </c>
      <c r="F1363" t="s">
        <v>49</v>
      </c>
      <c r="G1363">
        <v>-209.03569999999999</v>
      </c>
      <c r="H1363" s="1">
        <v>-4.9087909999999999E-6</v>
      </c>
      <c r="I1363">
        <v>369.28269999999998</v>
      </c>
      <c r="J1363">
        <v>-237.43440000000001</v>
      </c>
      <c r="K1363">
        <v>1.110284</v>
      </c>
      <c r="L1363">
        <v>368.42200000000003</v>
      </c>
      <c r="M1363">
        <v>0.99989189999999994</v>
      </c>
      <c r="N1363">
        <v>0</v>
      </c>
      <c r="O1363">
        <v>2.2158490000000002E-3</v>
      </c>
      <c r="P1363">
        <v>0.99824449999999998</v>
      </c>
      <c r="Q1363">
        <v>4.7005100000000001E-2</v>
      </c>
      <c r="R1363">
        <v>-3.6036659999999998E-2</v>
      </c>
      <c r="S1363">
        <v>3.0140380000000002</v>
      </c>
      <c r="T1363">
        <v>-0.1173174</v>
      </c>
      <c r="U1363">
        <v>9.0942380000000003E-2</v>
      </c>
      <c r="V1363">
        <v>3.8294380000000003E-2</v>
      </c>
      <c r="W1363">
        <v>6.1482559999999999E-2</v>
      </c>
      <c r="X1363">
        <v>0.99737330000000002</v>
      </c>
      <c r="Y1363">
        <v>-2.7924620000000001E-2</v>
      </c>
      <c r="Z1363">
        <v>4.5692980000000002E-4</v>
      </c>
      <c r="AA1363">
        <v>0.99960990000000005</v>
      </c>
      <c r="AB1363">
        <v>22</v>
      </c>
      <c r="AC1363">
        <v>28.398700000000002</v>
      </c>
      <c r="AD1363">
        <v>-1.110288908791</v>
      </c>
      <c r="AE1363">
        <v>0.86070000000000801</v>
      </c>
      <c r="AF1363">
        <v>-0.79654757427941403</v>
      </c>
      <c r="AG1363">
        <v>-1.110288908791</v>
      </c>
      <c r="AH1363">
        <v>28.357232435763699</v>
      </c>
      <c r="AI1363">
        <v>92.241309945755802</v>
      </c>
      <c r="AJ1363">
        <v>91.609001035066399</v>
      </c>
      <c r="AK1363">
        <v>28.390136683626601</v>
      </c>
      <c r="AL1363">
        <v>86.475085770807695</v>
      </c>
      <c r="AM1363">
        <v>87.801195273289395</v>
      </c>
      <c r="AN1363">
        <v>1.00000003213831</v>
      </c>
    </row>
    <row r="1364" spans="1:40" x14ac:dyDescent="0.25">
      <c r="A1364" t="str">
        <f>"20190312153914922"</f>
        <v>20190312153914922</v>
      </c>
      <c r="B1364" t="str">
        <f>"1552376354917177"</f>
        <v>1552376354917177</v>
      </c>
      <c r="C1364" t="s">
        <v>40</v>
      </c>
      <c r="D1364">
        <v>4.2947449999999998</v>
      </c>
      <c r="E1364">
        <v>0.47545359999999998</v>
      </c>
      <c r="F1364" t="s">
        <v>49</v>
      </c>
      <c r="G1364">
        <v>-208.8329</v>
      </c>
      <c r="H1364" s="1">
        <v>-4.8108270000000003E-6</v>
      </c>
      <c r="I1364">
        <v>369.29860000000002</v>
      </c>
      <c r="J1364">
        <v>-237.2868</v>
      </c>
      <c r="K1364">
        <v>1.1102879999999999</v>
      </c>
      <c r="L1364">
        <v>368.42200000000003</v>
      </c>
      <c r="M1364">
        <v>0.99989260000000002</v>
      </c>
      <c r="N1364">
        <v>0</v>
      </c>
      <c r="O1364">
        <v>1.8928479999999999E-3</v>
      </c>
      <c r="P1364">
        <v>0.9982067</v>
      </c>
      <c r="Q1364">
        <v>4.7363620000000002E-2</v>
      </c>
      <c r="R1364">
        <v>-3.660803E-2</v>
      </c>
      <c r="S1364">
        <v>3.0141300000000002</v>
      </c>
      <c r="T1364">
        <v>-0.1170066</v>
      </c>
      <c r="U1364">
        <v>9.2376710000000001E-2</v>
      </c>
      <c r="V1364">
        <v>3.8543830000000001E-2</v>
      </c>
      <c r="W1364">
        <v>6.1838079999999997E-2</v>
      </c>
      <c r="X1364">
        <v>0.9973417</v>
      </c>
      <c r="Y1364">
        <v>-2.8721110000000001E-2</v>
      </c>
      <c r="Z1364">
        <v>4.8368560000000002E-4</v>
      </c>
      <c r="AA1364">
        <v>0.99958740000000001</v>
      </c>
      <c r="AB1364">
        <v>22</v>
      </c>
      <c r="AC1364">
        <v>28.453900000000001</v>
      </c>
      <c r="AD1364">
        <v>-1.110292810827</v>
      </c>
      <c r="AE1364">
        <v>0.876600000000053</v>
      </c>
      <c r="AF1364">
        <v>-0.82148421100060698</v>
      </c>
      <c r="AG1364">
        <v>-1.110292810827</v>
      </c>
      <c r="AH1364">
        <v>28.412288371592499</v>
      </c>
      <c r="AI1364">
        <v>92.236926724873797</v>
      </c>
      <c r="AJ1364">
        <v>91.656130918880507</v>
      </c>
      <c r="AK1364">
        <v>28.445838306248401</v>
      </c>
      <c r="AL1364">
        <v>86.454677101747095</v>
      </c>
      <c r="AM1364">
        <v>87.786816380935505</v>
      </c>
      <c r="AN1364">
        <v>1.0000000207640201</v>
      </c>
    </row>
    <row r="1365" spans="1:40" x14ac:dyDescent="0.25">
      <c r="A1365" t="str">
        <f>"20190312153914945"</f>
        <v>20190312153914945</v>
      </c>
      <c r="B1365" t="str">
        <f>"1552376354937673"</f>
        <v>1552376354937673</v>
      </c>
      <c r="C1365" t="s">
        <v>40</v>
      </c>
      <c r="D1365">
        <v>4.2764430000000004</v>
      </c>
      <c r="E1365">
        <v>0.47506939999999998</v>
      </c>
      <c r="F1365" t="s">
        <v>49</v>
      </c>
      <c r="G1365">
        <v>-209.1431</v>
      </c>
      <c r="H1365" s="1">
        <v>-4.956628E-6</v>
      </c>
      <c r="I1365">
        <v>369.29270000000002</v>
      </c>
      <c r="J1365">
        <v>-237.12029999999999</v>
      </c>
      <c r="K1365">
        <v>1.1102879999999999</v>
      </c>
      <c r="L1365">
        <v>368.42180000000002</v>
      </c>
      <c r="M1365">
        <v>0.99989329999999998</v>
      </c>
      <c r="N1365">
        <v>0</v>
      </c>
      <c r="O1365">
        <v>1.5258089999999999E-3</v>
      </c>
      <c r="P1365">
        <v>0.99817449999999996</v>
      </c>
      <c r="Q1365">
        <v>4.7834250000000002E-2</v>
      </c>
      <c r="R1365">
        <v>-3.6872040000000002E-2</v>
      </c>
      <c r="S1365">
        <v>3.0144500000000001</v>
      </c>
      <c r="T1365">
        <v>-0.11892270000000001</v>
      </c>
      <c r="U1365">
        <v>9.3261720000000006E-2</v>
      </c>
      <c r="V1365">
        <v>3.8442129999999998E-2</v>
      </c>
      <c r="W1365">
        <v>6.230542E-2</v>
      </c>
      <c r="X1365">
        <v>0.99731650000000005</v>
      </c>
      <c r="Y1365">
        <v>-2.93765E-2</v>
      </c>
      <c r="Z1365">
        <v>5.1893809999999996E-4</v>
      </c>
      <c r="AA1365">
        <v>0.99956829999999997</v>
      </c>
      <c r="AB1365">
        <v>22</v>
      </c>
      <c r="AC1365">
        <v>27.9771999999999</v>
      </c>
      <c r="AD1365">
        <v>-1.110292956628</v>
      </c>
      <c r="AE1365">
        <v>0.870900000000006</v>
      </c>
      <c r="AF1365">
        <v>-0.82690554304433594</v>
      </c>
      <c r="AG1365">
        <v>-1.110292956628</v>
      </c>
      <c r="AH1365">
        <v>27.934543484928</v>
      </c>
      <c r="AI1365">
        <v>92.275098000655007</v>
      </c>
      <c r="AJ1365">
        <v>91.695548257924898</v>
      </c>
      <c r="AK1365">
        <v>27.9688262702958</v>
      </c>
      <c r="AL1365">
        <v>86.427848620248795</v>
      </c>
      <c r="AM1365">
        <v>87.792594482973399</v>
      </c>
      <c r="AN1365">
        <v>0.99999998194628104</v>
      </c>
    </row>
    <row r="1366" spans="1:40" x14ac:dyDescent="0.25">
      <c r="A1366" t="str">
        <f>"20190312153914961"</f>
        <v>20190312153914961</v>
      </c>
      <c r="B1366" t="str">
        <f>"1552376354957194"</f>
        <v>1552376354957194</v>
      </c>
      <c r="C1366" t="s">
        <v>40</v>
      </c>
      <c r="D1366">
        <v>4.2772790000000001</v>
      </c>
      <c r="E1366">
        <v>0.47471469999999999</v>
      </c>
      <c r="F1366" t="s">
        <v>49</v>
      </c>
      <c r="G1366">
        <v>-209.61930000000001</v>
      </c>
      <c r="H1366" s="1">
        <v>-5.1772349999999899E-6</v>
      </c>
      <c r="I1366">
        <v>369.29820000000001</v>
      </c>
      <c r="J1366">
        <v>-236.9008</v>
      </c>
      <c r="K1366">
        <v>1.1102829999999999</v>
      </c>
      <c r="L1366">
        <v>368.42160000000001</v>
      </c>
      <c r="M1366">
        <v>0.99989399999999995</v>
      </c>
      <c r="N1366">
        <v>0</v>
      </c>
      <c r="O1366">
        <v>1.037619E-3</v>
      </c>
      <c r="P1366">
        <v>0.99817670000000003</v>
      </c>
      <c r="Q1366">
        <v>4.7533829999999999E-2</v>
      </c>
      <c r="R1366">
        <v>-3.7204510000000003E-2</v>
      </c>
      <c r="S1366">
        <v>3.0148470000000001</v>
      </c>
      <c r="T1366">
        <v>-0.1217178</v>
      </c>
      <c r="U1366">
        <v>9.6069340000000003E-2</v>
      </c>
      <c r="V1366">
        <v>3.828703E-2</v>
      </c>
      <c r="W1366">
        <v>6.2001309999999997E-2</v>
      </c>
      <c r="X1366">
        <v>0.99734149999999999</v>
      </c>
      <c r="Y1366">
        <v>-3.0787809999999999E-2</v>
      </c>
      <c r="Z1366">
        <v>5.7921640000000005E-4</v>
      </c>
      <c r="AA1366">
        <v>0.99952580000000002</v>
      </c>
      <c r="AB1366">
        <v>22</v>
      </c>
      <c r="AC1366">
        <v>27.281499999999902</v>
      </c>
      <c r="AD1366">
        <v>-1.110288177235</v>
      </c>
      <c r="AE1366">
        <v>0.87659999999999605</v>
      </c>
      <c r="AF1366">
        <v>-0.84688749960727305</v>
      </c>
      <c r="AG1366">
        <v>-1.110288177235</v>
      </c>
      <c r="AH1366">
        <v>27.237328745949501</v>
      </c>
      <c r="AI1366">
        <v>92.333156444397403</v>
      </c>
      <c r="AJ1366">
        <v>91.780918096168705</v>
      </c>
      <c r="AK1366">
        <v>27.2731009510915</v>
      </c>
      <c r="AL1366">
        <v>86.445306882991005</v>
      </c>
      <c r="AM1366">
        <v>87.801546858777897</v>
      </c>
      <c r="AN1366">
        <v>1.0000000633650901</v>
      </c>
    </row>
    <row r="1367" spans="1:40" x14ac:dyDescent="0.25">
      <c r="A1367" t="str">
        <f>"20190312153914976"</f>
        <v>20190312153914976</v>
      </c>
      <c r="B1367" t="str">
        <f>"1552376354966953"</f>
        <v>1552376354966953</v>
      </c>
      <c r="C1367" t="s">
        <v>40</v>
      </c>
      <c r="D1367">
        <v>4.2850919999999997</v>
      </c>
      <c r="E1367">
        <v>0.47459089999999998</v>
      </c>
      <c r="F1367" t="s">
        <v>42</v>
      </c>
      <c r="G1367">
        <v>-210.21119999999999</v>
      </c>
      <c r="H1367" s="1">
        <v>-4.2400949999999999E-6</v>
      </c>
      <c r="I1367">
        <v>369.28719999999998</v>
      </c>
      <c r="J1367">
        <v>-236.74279999999999</v>
      </c>
      <c r="K1367">
        <v>1.110285</v>
      </c>
      <c r="L1367">
        <v>368.42140000000001</v>
      </c>
      <c r="M1367">
        <v>0.99989439999999996</v>
      </c>
      <c r="N1367">
        <v>0</v>
      </c>
      <c r="O1367">
        <v>6.8408089999999998E-4</v>
      </c>
      <c r="P1367">
        <v>0.99818130000000005</v>
      </c>
      <c r="Q1367">
        <v>4.7292279999999999E-2</v>
      </c>
      <c r="R1367">
        <v>-3.7387959999999998E-2</v>
      </c>
      <c r="S1367">
        <v>3.0150760000000001</v>
      </c>
      <c r="T1367">
        <v>-0.1254268</v>
      </c>
      <c r="U1367">
        <v>9.7778320000000002E-2</v>
      </c>
      <c r="V1367">
        <v>3.8117570000000003E-2</v>
      </c>
      <c r="W1367">
        <v>6.175717E-2</v>
      </c>
      <c r="X1367">
        <v>0.99736309999999995</v>
      </c>
      <c r="Y1367">
        <v>-3.170216E-2</v>
      </c>
      <c r="Z1367">
        <v>6.3050400000000005E-4</v>
      </c>
      <c r="AA1367">
        <v>0.99949719999999997</v>
      </c>
      <c r="AB1367">
        <v>22</v>
      </c>
      <c r="AC1367">
        <v>26.531600000000001</v>
      </c>
      <c r="AD1367">
        <v>-1.110289240095</v>
      </c>
      <c r="AE1367">
        <v>0.86579999999997803</v>
      </c>
      <c r="AF1367">
        <v>-0.84616785831597097</v>
      </c>
      <c r="AG1367">
        <v>-1.110289240095</v>
      </c>
      <c r="AH1367">
        <v>26.4858524177228</v>
      </c>
      <c r="AI1367">
        <v>92.399215974173103</v>
      </c>
      <c r="AJ1367">
        <v>91.829858511749094</v>
      </c>
      <c r="AK1367">
        <v>26.5226152657408</v>
      </c>
      <c r="AL1367">
        <v>86.459321796326506</v>
      </c>
      <c r="AM1367">
        <v>87.811315175494698</v>
      </c>
      <c r="AN1367">
        <v>1.00000002521536</v>
      </c>
    </row>
    <row r="1368" spans="1:40" x14ac:dyDescent="0.25">
      <c r="A1368" t="str">
        <f>"20190312153914992"</f>
        <v>20190312153914992</v>
      </c>
      <c r="B1368" t="str">
        <f>"1552376354987449"</f>
        <v>1552376354987449</v>
      </c>
      <c r="C1368" t="s">
        <v>40</v>
      </c>
      <c r="D1368">
        <v>4.3035139999999998</v>
      </c>
      <c r="E1368">
        <v>0.47427849999999999</v>
      </c>
      <c r="F1368" t="s">
        <v>42</v>
      </c>
      <c r="G1368">
        <v>-210.4845</v>
      </c>
      <c r="H1368" s="1">
        <v>-4.124206E-6</v>
      </c>
      <c r="I1368">
        <v>369.27949999999998</v>
      </c>
      <c r="J1368">
        <v>-236.60669999999999</v>
      </c>
      <c r="K1368">
        <v>1.110285</v>
      </c>
      <c r="L1368">
        <v>368.42110000000002</v>
      </c>
      <c r="M1368">
        <v>0.99989459999999997</v>
      </c>
      <c r="N1368">
        <v>0</v>
      </c>
      <c r="O1368">
        <v>3.7876819999999999E-4</v>
      </c>
      <c r="P1368">
        <v>0.99817440000000002</v>
      </c>
      <c r="Q1368">
        <v>4.7116230000000002E-2</v>
      </c>
      <c r="R1368">
        <v>-3.7791320000000003E-2</v>
      </c>
      <c r="S1368">
        <v>3.0151979999999998</v>
      </c>
      <c r="T1368">
        <v>-0.12749250000000001</v>
      </c>
      <c r="U1368">
        <v>9.8541260000000006E-2</v>
      </c>
      <c r="V1368">
        <v>3.8215970000000002E-2</v>
      </c>
      <c r="W1368">
        <v>6.1578699999999903E-2</v>
      </c>
      <c r="X1368">
        <v>0.99737039999999999</v>
      </c>
      <c r="Y1368">
        <v>-3.2257019999999997E-2</v>
      </c>
      <c r="Z1368">
        <v>6.6547470000000001E-4</v>
      </c>
      <c r="AA1368">
        <v>0.99947940000000002</v>
      </c>
      <c r="AB1368">
        <v>22</v>
      </c>
      <c r="AC1368">
        <v>26.1221999999999</v>
      </c>
      <c r="AD1368">
        <v>-1.110289124206</v>
      </c>
      <c r="AE1368">
        <v>0.85839999999995997</v>
      </c>
      <c r="AF1368">
        <v>-0.84697617371489498</v>
      </c>
      <c r="AG1368">
        <v>-1.110289124206</v>
      </c>
      <c r="AH1368">
        <v>26.075467181332801</v>
      </c>
      <c r="AI1368">
        <v>92.436888475911203</v>
      </c>
      <c r="AJ1368">
        <v>91.860411697055198</v>
      </c>
      <c r="AK1368">
        <v>26.112833996005399</v>
      </c>
      <c r="AL1368">
        <v>86.4695669809376</v>
      </c>
      <c r="AM1368">
        <v>87.805686675993599</v>
      </c>
      <c r="AN1368">
        <v>1.0000000557264399</v>
      </c>
    </row>
    <row r="1369" spans="1:40" x14ac:dyDescent="0.25">
      <c r="A1369" t="str">
        <f>"20190312153915005"</f>
        <v>20190312153915005</v>
      </c>
      <c r="B1369" t="str">
        <f>"1552376354997209"</f>
        <v>1552376354997209</v>
      </c>
      <c r="C1369" t="s">
        <v>40</v>
      </c>
      <c r="D1369">
        <v>4.2970699999999997</v>
      </c>
      <c r="E1369">
        <v>0.47412539999999997</v>
      </c>
      <c r="F1369" t="s">
        <v>42</v>
      </c>
      <c r="G1369">
        <v>-211.03620000000001</v>
      </c>
      <c r="H1369" s="1">
        <v>-3.8897969999999997E-6</v>
      </c>
      <c r="I1369">
        <v>369.26679999999999</v>
      </c>
      <c r="J1369">
        <v>-236.4579</v>
      </c>
      <c r="K1369">
        <v>1.110284</v>
      </c>
      <c r="L1369">
        <v>368.42079999999999</v>
      </c>
      <c r="M1369">
        <v>0.99989470000000003</v>
      </c>
      <c r="N1369">
        <v>0</v>
      </c>
      <c r="O1369" s="1">
        <v>4.4913049999999999E-5</v>
      </c>
      <c r="P1369">
        <v>0.99816079999999996</v>
      </c>
      <c r="Q1369">
        <v>4.7053209999999998E-2</v>
      </c>
      <c r="R1369">
        <v>-3.8231319999999999E-2</v>
      </c>
      <c r="S1369">
        <v>3.0154420000000002</v>
      </c>
      <c r="T1369">
        <v>-0.1309323</v>
      </c>
      <c r="U1369">
        <v>9.9731449999999999E-2</v>
      </c>
      <c r="V1369">
        <v>3.832211E-2</v>
      </c>
      <c r="W1369">
        <v>6.1512539999999997E-2</v>
      </c>
      <c r="X1369">
        <v>0.99737039999999999</v>
      </c>
      <c r="Y1369">
        <v>-3.2979609999999999E-2</v>
      </c>
      <c r="Z1369">
        <v>7.1351610000000001E-4</v>
      </c>
      <c r="AA1369">
        <v>0.99945569999999895</v>
      </c>
      <c r="AB1369">
        <v>22</v>
      </c>
      <c r="AC1369">
        <v>25.421699999999898</v>
      </c>
      <c r="AD1369">
        <v>-1.1102878897969899</v>
      </c>
      <c r="AE1369">
        <v>0.84600000000000297</v>
      </c>
      <c r="AF1369">
        <v>-0.843251399496043</v>
      </c>
      <c r="AG1369">
        <v>-1.1102878897969899</v>
      </c>
      <c r="AH1369">
        <v>25.3733920518521</v>
      </c>
      <c r="AI1369">
        <v>92.504167348853997</v>
      </c>
      <c r="AJ1369">
        <v>91.9034495038714</v>
      </c>
      <c r="AK1369">
        <v>25.4116673269972</v>
      </c>
      <c r="AL1369">
        <v>86.473364834015797</v>
      </c>
      <c r="AM1369">
        <v>87.799598231942895</v>
      </c>
      <c r="AN1369">
        <v>1.00000004574413</v>
      </c>
    </row>
    <row r="1370" spans="1:40" x14ac:dyDescent="0.25">
      <c r="A1370" t="str">
        <f>"20190312153915020"</f>
        <v>20190312153915020</v>
      </c>
      <c r="B1370" t="str">
        <f>"1552376355006971"</f>
        <v>1552376355006971</v>
      </c>
      <c r="C1370" t="s">
        <v>40</v>
      </c>
      <c r="D1370">
        <v>4.2882249999999997</v>
      </c>
      <c r="E1370">
        <v>0.47398040000000002</v>
      </c>
      <c r="F1370" t="s">
        <v>42</v>
      </c>
      <c r="G1370">
        <v>-211.22030000000001</v>
      </c>
      <c r="H1370" s="1">
        <v>-3.8123840000000001E-6</v>
      </c>
      <c r="I1370">
        <v>369.25799999999998</v>
      </c>
      <c r="J1370">
        <v>-236.31800000000001</v>
      </c>
      <c r="K1370">
        <v>1.110284</v>
      </c>
      <c r="L1370">
        <v>368.42039999999997</v>
      </c>
      <c r="M1370">
        <v>0.99989450000000002</v>
      </c>
      <c r="N1370">
        <v>0</v>
      </c>
      <c r="O1370">
        <v>-2.6927100000000002E-4</v>
      </c>
      <c r="P1370">
        <v>0.99814829999999999</v>
      </c>
      <c r="Q1370">
        <v>4.716683E-2</v>
      </c>
      <c r="R1370">
        <v>-3.8410340000000001E-2</v>
      </c>
      <c r="S1370">
        <v>3.015625</v>
      </c>
      <c r="T1370">
        <v>-0.13266700000000001</v>
      </c>
      <c r="U1370">
        <v>0.1000366</v>
      </c>
      <c r="V1370">
        <v>3.8187749999999999E-2</v>
      </c>
      <c r="W1370">
        <v>6.1623909999999997E-2</v>
      </c>
      <c r="X1370">
        <v>0.99736860000000005</v>
      </c>
      <c r="Y1370">
        <v>-3.3391169999999998E-2</v>
      </c>
      <c r="Z1370">
        <v>7.4577409999999997E-4</v>
      </c>
      <c r="AA1370">
        <v>0.9994421</v>
      </c>
      <c r="AB1370">
        <v>22</v>
      </c>
      <c r="AC1370">
        <v>25.0976999999999</v>
      </c>
      <c r="AD1370">
        <v>-1.1102878123839901</v>
      </c>
      <c r="AE1370">
        <v>0.83760000000006496</v>
      </c>
      <c r="AF1370">
        <v>-0.84271136657142298</v>
      </c>
      <c r="AG1370">
        <v>-1.1102878123839901</v>
      </c>
      <c r="AH1370">
        <v>25.048506728314901</v>
      </c>
      <c r="AI1370">
        <v>92.536570040247796</v>
      </c>
      <c r="AJ1370">
        <v>91.926885328794</v>
      </c>
      <c r="AK1370">
        <v>25.0872595313262</v>
      </c>
      <c r="AL1370">
        <v>86.466971397589504</v>
      </c>
      <c r="AM1370">
        <v>87.807301497581506</v>
      </c>
      <c r="AN1370">
        <v>0.99999996739985397</v>
      </c>
    </row>
    <row r="1371" spans="1:40" x14ac:dyDescent="0.25">
      <c r="A1371" t="str">
        <f>"20190312153915035"</f>
        <v>20190312153915035</v>
      </c>
      <c r="B1371" t="str">
        <f>"1552376355027466"</f>
        <v>1552376355027466</v>
      </c>
      <c r="C1371" t="s">
        <v>40</v>
      </c>
      <c r="D1371">
        <v>4.4549310000000002</v>
      </c>
      <c r="E1371">
        <v>0.47392909999999999</v>
      </c>
      <c r="F1371" t="s">
        <v>42</v>
      </c>
      <c r="G1371">
        <v>-211.24870000000001</v>
      </c>
      <c r="H1371" s="1">
        <v>-3.8004589999999998E-6</v>
      </c>
      <c r="I1371">
        <v>369.25659999999999</v>
      </c>
      <c r="J1371">
        <v>-236.17240000000001</v>
      </c>
      <c r="K1371">
        <v>1.1102860000000001</v>
      </c>
      <c r="L1371">
        <v>368.42</v>
      </c>
      <c r="M1371">
        <v>0.99989459999999997</v>
      </c>
      <c r="N1371">
        <v>0</v>
      </c>
      <c r="O1371">
        <v>-5.9703529999999999E-4</v>
      </c>
      <c r="P1371">
        <v>0.99814530000000001</v>
      </c>
      <c r="Q1371">
        <v>4.7358169999999998E-2</v>
      </c>
      <c r="R1371">
        <v>-3.8253639999999998E-2</v>
      </c>
      <c r="S1371">
        <v>3.0157470000000002</v>
      </c>
      <c r="T1371">
        <v>-0.13356299999999999</v>
      </c>
      <c r="U1371">
        <v>0.10058590000000001</v>
      </c>
      <c r="V1371">
        <v>3.7703830000000001E-2</v>
      </c>
      <c r="W1371">
        <v>6.1812859999999997E-2</v>
      </c>
      <c r="X1371">
        <v>0.99737540000000002</v>
      </c>
      <c r="Y1371">
        <v>-3.3898020000000001E-2</v>
      </c>
      <c r="Z1371">
        <v>7.7649529999999998E-4</v>
      </c>
      <c r="AA1371">
        <v>0.99942500000000001</v>
      </c>
      <c r="AB1371">
        <v>22</v>
      </c>
      <c r="AC1371">
        <v>24.9237</v>
      </c>
      <c r="AD1371">
        <v>-1.1102898004590001</v>
      </c>
      <c r="AE1371">
        <v>0.83659999999997503</v>
      </c>
      <c r="AF1371">
        <v>-0.84979723413978503</v>
      </c>
      <c r="AG1371">
        <v>-1.1102898004590001</v>
      </c>
      <c r="AH1371">
        <v>24.8738897344534</v>
      </c>
      <c r="AI1371">
        <v>92.554313047514498</v>
      </c>
      <c r="AJ1371">
        <v>91.956705012637798</v>
      </c>
      <c r="AK1371">
        <v>24.913154944765701</v>
      </c>
      <c r="AL1371">
        <v>86.4561249692823</v>
      </c>
      <c r="AM1371">
        <v>87.835075787456205</v>
      </c>
      <c r="AN1371">
        <v>1.0000000484916001</v>
      </c>
    </row>
    <row r="1372" spans="1:40" x14ac:dyDescent="0.25">
      <c r="A1372" t="str">
        <f>"20190312153915051"</f>
        <v>20190312153915051</v>
      </c>
      <c r="B1372" t="str">
        <f>"1552376355046986"</f>
        <v>1552376355046986</v>
      </c>
      <c r="C1372" t="s">
        <v>40</v>
      </c>
      <c r="D1372">
        <v>4.3639780000000004</v>
      </c>
      <c r="E1372">
        <v>0.49196519999999999</v>
      </c>
      <c r="F1372" t="s">
        <v>42</v>
      </c>
      <c r="G1372">
        <v>-211.18520000000001</v>
      </c>
      <c r="H1372" s="1">
        <v>-3.8270190000000003E-6</v>
      </c>
      <c r="I1372">
        <v>369.2604</v>
      </c>
      <c r="J1372">
        <v>-236.0085</v>
      </c>
      <c r="K1372">
        <v>1.110287</v>
      </c>
      <c r="L1372">
        <v>368.41950000000003</v>
      </c>
      <c r="M1372">
        <v>0.99989439999999996</v>
      </c>
      <c r="N1372">
        <v>0</v>
      </c>
      <c r="O1372">
        <v>-9.6496590000000001E-4</v>
      </c>
      <c r="P1372">
        <v>0.99813410000000002</v>
      </c>
      <c r="Q1372">
        <v>4.7373690000000003E-2</v>
      </c>
      <c r="R1372">
        <v>-3.8526739999999997E-2</v>
      </c>
      <c r="S1372">
        <v>3.0158390000000002</v>
      </c>
      <c r="T1372">
        <v>-0.13400629999999999</v>
      </c>
      <c r="U1372">
        <v>0.1014404</v>
      </c>
      <c r="V1372">
        <v>3.7609410000000003E-2</v>
      </c>
      <c r="W1372">
        <v>6.1825230000000002E-2</v>
      </c>
      <c r="X1372">
        <v>0.99737819999999999</v>
      </c>
      <c r="Y1372">
        <v>-3.4546390000000003E-2</v>
      </c>
      <c r="Z1372">
        <v>8.0977369999999998E-4</v>
      </c>
      <c r="AA1372">
        <v>0.99940280000000004</v>
      </c>
      <c r="AB1372">
        <v>22</v>
      </c>
      <c r="AC1372">
        <v>24.8232999999999</v>
      </c>
      <c r="AD1372">
        <v>-1.1102908270189999</v>
      </c>
      <c r="AE1372">
        <v>0.840899999999976</v>
      </c>
      <c r="AF1372">
        <v>-0.86313098749097095</v>
      </c>
      <c r="AG1372">
        <v>-1.1102908270189999</v>
      </c>
      <c r="AH1372">
        <v>24.772973572634299</v>
      </c>
      <c r="AI1372">
        <v>92.564647108222701</v>
      </c>
      <c r="AJ1372">
        <v>91.9954716324918</v>
      </c>
      <c r="AK1372">
        <v>24.812858772268999</v>
      </c>
      <c r="AL1372">
        <v>86.455414868809399</v>
      </c>
      <c r="AM1372">
        <v>87.8404982268125</v>
      </c>
      <c r="AN1372">
        <v>1.00000005031016</v>
      </c>
    </row>
    <row r="1373" spans="1:40" x14ac:dyDescent="0.25">
      <c r="A1373" t="str">
        <f>"20190312153915065"</f>
        <v>20190312153915065</v>
      </c>
      <c r="B1373" t="str">
        <f>"1552376355057722"</f>
        <v>1552376355057722</v>
      </c>
      <c r="C1373" t="s">
        <v>40</v>
      </c>
      <c r="D1373">
        <v>4.3199399999999999</v>
      </c>
      <c r="E1373">
        <v>0.52899799999999997</v>
      </c>
      <c r="F1373" t="s">
        <v>42</v>
      </c>
      <c r="G1373">
        <v>-212.87389999999999</v>
      </c>
      <c r="H1373" s="1">
        <v>-3.31015E-6</v>
      </c>
      <c r="I1373">
        <v>368.09</v>
      </c>
      <c r="J1373">
        <v>-235.87700000000001</v>
      </c>
      <c r="K1373">
        <v>1.1102860000000001</v>
      </c>
      <c r="L1373">
        <v>368.41899999999998</v>
      </c>
      <c r="M1373">
        <v>0.99989399999999995</v>
      </c>
      <c r="N1373">
        <v>0</v>
      </c>
      <c r="O1373">
        <v>-1.2595950000000001E-3</v>
      </c>
      <c r="P1373">
        <v>0.99812389999999995</v>
      </c>
      <c r="Q1373">
        <v>4.7555279999999998E-2</v>
      </c>
      <c r="R1373">
        <v>-3.8567410000000003E-2</v>
      </c>
      <c r="S1373">
        <v>3.010818</v>
      </c>
      <c r="T1373">
        <v>-0.14449699999999999</v>
      </c>
      <c r="U1373">
        <v>-4.2877199999999997E-2</v>
      </c>
      <c r="V1373">
        <v>3.7356019999999997E-2</v>
      </c>
      <c r="W1373">
        <v>6.2004650000000001E-2</v>
      </c>
      <c r="X1373">
        <v>0.99737659999999995</v>
      </c>
      <c r="Y1373">
        <v>1.296652E-2</v>
      </c>
      <c r="Z1373">
        <v>-2.5053409999999999E-4</v>
      </c>
      <c r="AA1373">
        <v>0.99991589999999997</v>
      </c>
      <c r="AB1373">
        <v>22</v>
      </c>
      <c r="AC1373">
        <v>23.0031</v>
      </c>
      <c r="AD1373">
        <v>-1.11028931015</v>
      </c>
      <c r="AE1373">
        <v>-0.32900000000006402</v>
      </c>
      <c r="AF1373">
        <v>0.29932490662165701</v>
      </c>
      <c r="AG1373">
        <v>-1.11028931015</v>
      </c>
      <c r="AH1373">
        <v>22.950040475363998</v>
      </c>
      <c r="AI1373">
        <v>92.7694911476746</v>
      </c>
      <c r="AJ1373">
        <v>89.252764650688604</v>
      </c>
      <c r="AK1373">
        <v>22.978831466652199</v>
      </c>
      <c r="AL1373">
        <v>86.445115153931596</v>
      </c>
      <c r="AM1373">
        <v>87.855030600709199</v>
      </c>
      <c r="AN1373">
        <v>1.0000000655396999</v>
      </c>
    </row>
    <row r="1374" spans="1:40" x14ac:dyDescent="0.25">
      <c r="A1374" t="str">
        <f>"20190312153915079"</f>
        <v>20190312153915079</v>
      </c>
      <c r="B1374" t="str">
        <f>"1552376355067481"</f>
        <v>1552376355067481</v>
      </c>
      <c r="C1374" t="s">
        <v>40</v>
      </c>
      <c r="D1374">
        <v>4.283118</v>
      </c>
      <c r="E1374">
        <v>0.53173789999999999</v>
      </c>
      <c r="F1374" t="s">
        <v>42</v>
      </c>
      <c r="G1374">
        <v>-215.10429999999999</v>
      </c>
      <c r="H1374" s="1">
        <v>-2.709997E-6</v>
      </c>
      <c r="I1374">
        <v>366.07929999999999</v>
      </c>
      <c r="J1374">
        <v>-235.74250000000001</v>
      </c>
      <c r="K1374">
        <v>1.1102890000000001</v>
      </c>
      <c r="L1374">
        <v>368.41849999999999</v>
      </c>
      <c r="M1374">
        <v>0.9998937</v>
      </c>
      <c r="N1374">
        <v>0</v>
      </c>
      <c r="O1374">
        <v>-1.561137E-3</v>
      </c>
      <c r="P1374">
        <v>0.99813280000000004</v>
      </c>
      <c r="Q1374">
        <v>4.7389489999999999E-2</v>
      </c>
      <c r="R1374">
        <v>-3.8540129999999999E-2</v>
      </c>
      <c r="S1374">
        <v>3.0002140000000002</v>
      </c>
      <c r="T1374">
        <v>-0.16035869999999999</v>
      </c>
      <c r="U1374">
        <v>-0.33792109999999997</v>
      </c>
      <c r="V1374">
        <v>3.702743E-2</v>
      </c>
      <c r="W1374">
        <v>6.183665E-2</v>
      </c>
      <c r="X1374">
        <v>0.99739920000000004</v>
      </c>
      <c r="Y1374">
        <v>0.110219899999999</v>
      </c>
      <c r="Z1374">
        <v>-2.8510929999999999E-3</v>
      </c>
      <c r="AA1374">
        <v>0.99390319999999999</v>
      </c>
      <c r="AB1374">
        <v>22</v>
      </c>
      <c r="AC1374">
        <v>20.638200000000001</v>
      </c>
      <c r="AD1374">
        <v>-1.11029170999699</v>
      </c>
      <c r="AE1374">
        <v>-2.3391999999999999</v>
      </c>
      <c r="AF1374">
        <v>2.3004012993446699</v>
      </c>
      <c r="AG1374">
        <v>-1.11029170999699</v>
      </c>
      <c r="AH1374">
        <v>20.583011004318902</v>
      </c>
      <c r="AI1374">
        <v>93.068596387447101</v>
      </c>
      <c r="AJ1374">
        <v>83.6229647367621</v>
      </c>
      <c r="AK1374">
        <v>20.7409000726398</v>
      </c>
      <c r="AL1374">
        <v>86.454759057786006</v>
      </c>
      <c r="AM1374">
        <v>87.873928860997196</v>
      </c>
      <c r="AN1374">
        <v>0.99999998300813298</v>
      </c>
    </row>
    <row r="1375" spans="1:40" x14ac:dyDescent="0.25">
      <c r="A1375" t="str">
        <f>"20190312153915092"</f>
        <v>20190312153915092</v>
      </c>
      <c r="B1375" t="str">
        <f>"1552376355087001"</f>
        <v>1552376355087001</v>
      </c>
      <c r="C1375" t="s">
        <v>40</v>
      </c>
      <c r="D1375">
        <v>4.2537349999999998</v>
      </c>
      <c r="E1375">
        <v>0.53402019999999994</v>
      </c>
      <c r="F1375" t="s">
        <v>42</v>
      </c>
      <c r="G1375">
        <v>-214.16849999999999</v>
      </c>
      <c r="H1375" s="1">
        <v>-3.1554190000000002E-6</v>
      </c>
      <c r="I1375">
        <v>365.8313</v>
      </c>
      <c r="J1375">
        <v>-235.60990000000001</v>
      </c>
      <c r="K1375">
        <v>1.1102909999999999</v>
      </c>
      <c r="L1375">
        <v>368.41800000000001</v>
      </c>
      <c r="M1375">
        <v>0.99989309999999998</v>
      </c>
      <c r="N1375">
        <v>0</v>
      </c>
      <c r="O1375">
        <v>-1.8577909999999999E-3</v>
      </c>
      <c r="P1375">
        <v>0.99810399999999999</v>
      </c>
      <c r="Q1375">
        <v>4.7667649999999999E-2</v>
      </c>
      <c r="R1375">
        <v>-3.8935560000000001E-2</v>
      </c>
      <c r="S1375">
        <v>2.999069</v>
      </c>
      <c r="T1375">
        <v>-0.15434529999999999</v>
      </c>
      <c r="U1375">
        <v>-0.35964970000000002</v>
      </c>
      <c r="V1375">
        <v>3.7126920000000001E-2</v>
      </c>
      <c r="W1375">
        <v>6.211125E-2</v>
      </c>
      <c r="X1375">
        <v>0.99737849999999995</v>
      </c>
      <c r="Y1375">
        <v>0.117072</v>
      </c>
      <c r="Z1375">
        <v>-2.9045899999999999E-3</v>
      </c>
      <c r="AA1375">
        <v>0.99311919999999998</v>
      </c>
      <c r="AB1375">
        <v>22</v>
      </c>
      <c r="AC1375">
        <v>21.441400000000002</v>
      </c>
      <c r="AD1375">
        <v>-1.110294155419</v>
      </c>
      <c r="AE1375">
        <v>-2.5867</v>
      </c>
      <c r="AF1375">
        <v>2.5401441438092802</v>
      </c>
      <c r="AG1375">
        <v>-1.110294155419</v>
      </c>
      <c r="AH1375">
        <v>21.389636566946901</v>
      </c>
      <c r="AI1375">
        <v>92.950747608004505</v>
      </c>
      <c r="AJ1375">
        <v>83.227510380737201</v>
      </c>
      <c r="AK1375">
        <v>21.568533511784199</v>
      </c>
      <c r="AL1375">
        <v>86.438995552033902</v>
      </c>
      <c r="AM1375">
        <v>87.868177323713397</v>
      </c>
      <c r="AN1375">
        <v>1.00000004391374</v>
      </c>
    </row>
    <row r="1376" spans="1:40" x14ac:dyDescent="0.25">
      <c r="A1376" t="str">
        <f>"20190312153915104"</f>
        <v>20190312153915104</v>
      </c>
      <c r="B1376" t="str">
        <f>"1552376355096762"</f>
        <v>1552376355096762</v>
      </c>
      <c r="C1376" t="s">
        <v>40</v>
      </c>
      <c r="D1376">
        <v>4.334937</v>
      </c>
      <c r="E1376">
        <v>0.53421350000000001</v>
      </c>
      <c r="F1376" t="s">
        <v>42</v>
      </c>
      <c r="G1376">
        <v>-214.078</v>
      </c>
      <c r="H1376" s="1">
        <v>-3.218315E-6</v>
      </c>
      <c r="I1376">
        <v>365.69580000000002</v>
      </c>
      <c r="J1376">
        <v>-235.50530000000001</v>
      </c>
      <c r="K1376">
        <v>1.1102939999999999</v>
      </c>
      <c r="L1376">
        <v>368.41750000000002</v>
      </c>
      <c r="M1376">
        <v>0.99989269999999997</v>
      </c>
      <c r="N1376">
        <v>0</v>
      </c>
      <c r="O1376">
        <v>-2.091636E-3</v>
      </c>
      <c r="P1376">
        <v>0.99810719999999997</v>
      </c>
      <c r="Q1376">
        <v>4.7337410000000003E-2</v>
      </c>
      <c r="R1376">
        <v>-3.9262890000000002E-2</v>
      </c>
      <c r="S1376">
        <v>2.998291</v>
      </c>
      <c r="T1376">
        <v>-0.1546062</v>
      </c>
      <c r="U1376">
        <v>-0.37905879999999997</v>
      </c>
      <c r="V1376">
        <v>3.7220370000000003E-2</v>
      </c>
      <c r="W1376">
        <v>6.1779059999999997E-2</v>
      </c>
      <c r="X1376">
        <v>0.99739560000000005</v>
      </c>
      <c r="Y1376">
        <v>0.1231926</v>
      </c>
      <c r="Z1376">
        <v>-3.0541700000000001E-3</v>
      </c>
      <c r="AA1376">
        <v>0.99237810000000004</v>
      </c>
      <c r="AB1376">
        <v>22</v>
      </c>
      <c r="AC1376">
        <v>21.427299999999999</v>
      </c>
      <c r="AD1376">
        <v>-1.1102972183149999</v>
      </c>
      <c r="AE1376">
        <v>-2.72169999999999</v>
      </c>
      <c r="AF1376">
        <v>2.6698165956537698</v>
      </c>
      <c r="AG1376">
        <v>-1.1102972183149999</v>
      </c>
      <c r="AH1376">
        <v>21.376462139078001</v>
      </c>
      <c r="AI1376">
        <v>92.950399739877099</v>
      </c>
      <c r="AJ1376">
        <v>82.880898370662806</v>
      </c>
      <c r="AK1376">
        <v>21.5711338169986</v>
      </c>
      <c r="AL1376">
        <v>86.458065087080598</v>
      </c>
      <c r="AM1376">
        <v>87.8628530143841</v>
      </c>
      <c r="AN1376">
        <v>0.99999999554839003</v>
      </c>
    </row>
    <row r="1377" spans="1:40" x14ac:dyDescent="0.25">
      <c r="A1377" t="str">
        <f>"20190312153915119"</f>
        <v>20190312153915119</v>
      </c>
      <c r="B1377" t="str">
        <f>"1552376355107497"</f>
        <v>1552376355107497</v>
      </c>
      <c r="C1377" t="s">
        <v>40</v>
      </c>
      <c r="D1377">
        <v>4.2755879999999999</v>
      </c>
      <c r="E1377">
        <v>0.534694</v>
      </c>
      <c r="F1377" t="s">
        <v>42</v>
      </c>
      <c r="G1377">
        <v>-214.47389999999999</v>
      </c>
      <c r="H1377" s="1">
        <v>-3.0401849999999999E-6</v>
      </c>
      <c r="I1377">
        <v>365.74250000000001</v>
      </c>
      <c r="J1377">
        <v>-235.36080000000001</v>
      </c>
      <c r="K1377">
        <v>1.1102970000000001</v>
      </c>
      <c r="L1377">
        <v>368.41680000000002</v>
      </c>
      <c r="M1377">
        <v>0.99989209999999995</v>
      </c>
      <c r="N1377">
        <v>0</v>
      </c>
      <c r="O1377">
        <v>-2.4143960000000001E-3</v>
      </c>
      <c r="P1377">
        <v>0.9980888</v>
      </c>
      <c r="Q1377">
        <v>4.737334E-2</v>
      </c>
      <c r="R1377">
        <v>-3.9685379999999999E-2</v>
      </c>
      <c r="S1377">
        <v>2.9982150000000001</v>
      </c>
      <c r="T1377">
        <v>-0.15828220000000001</v>
      </c>
      <c r="U1377">
        <v>-0.38134770000000001</v>
      </c>
      <c r="V1377">
        <v>3.7320590000000001E-2</v>
      </c>
      <c r="W1377">
        <v>6.1811909999999998E-2</v>
      </c>
      <c r="X1377">
        <v>0.99738990000000005</v>
      </c>
      <c r="Y1377">
        <v>0.1236133</v>
      </c>
      <c r="Z1377">
        <v>-3.1207079999999998E-3</v>
      </c>
      <c r="AA1377">
        <v>0.99232549999999997</v>
      </c>
      <c r="AB1377">
        <v>22</v>
      </c>
      <c r="AC1377">
        <v>20.886900000000001</v>
      </c>
      <c r="AD1377">
        <v>-1.1103000401849901</v>
      </c>
      <c r="AE1377">
        <v>-2.6743000000000099</v>
      </c>
      <c r="AF1377">
        <v>2.6165831235652202</v>
      </c>
      <c r="AG1377">
        <v>-1.1103000401849901</v>
      </c>
      <c r="AH1377">
        <v>20.8353708007295</v>
      </c>
      <c r="AI1377">
        <v>93.026631655968501</v>
      </c>
      <c r="AJ1377">
        <v>82.842056536209498</v>
      </c>
      <c r="AK1377">
        <v>21.028360607181298</v>
      </c>
      <c r="AL1377">
        <v>86.456179600881299</v>
      </c>
      <c r="AM1377">
        <v>87.857091630157996</v>
      </c>
      <c r="AN1377">
        <v>1.0000000756389</v>
      </c>
    </row>
    <row r="1378" spans="1:40" x14ac:dyDescent="0.25">
      <c r="A1378" t="str">
        <f>"20190312153915131"</f>
        <v>20190312153915131</v>
      </c>
      <c r="B1378" t="str">
        <f>"1552376355117257"</f>
        <v>1552376355117257</v>
      </c>
      <c r="C1378" t="s">
        <v>40</v>
      </c>
      <c r="D1378">
        <v>4.2973059999999998</v>
      </c>
      <c r="E1378">
        <v>0.5351996</v>
      </c>
      <c r="F1378" t="s">
        <v>42</v>
      </c>
      <c r="G1378">
        <v>-214.36070000000001</v>
      </c>
      <c r="H1378" s="1">
        <v>-3.0947179999999999E-6</v>
      </c>
      <c r="I1378">
        <v>365.70870000000002</v>
      </c>
      <c r="J1378">
        <v>-235.23099999999999</v>
      </c>
      <c r="K1378">
        <v>1.1102989999999999</v>
      </c>
      <c r="L1378">
        <v>368.4162</v>
      </c>
      <c r="M1378">
        <v>0.99989139999999999</v>
      </c>
      <c r="N1378">
        <v>0</v>
      </c>
      <c r="O1378">
        <v>-2.7040190000000002E-3</v>
      </c>
      <c r="P1378">
        <v>0.99807380000000001</v>
      </c>
      <c r="Q1378">
        <v>4.7566450000000003E-2</v>
      </c>
      <c r="R1378">
        <v>-3.9831489999999997E-2</v>
      </c>
      <c r="S1378">
        <v>2.9979100000000001</v>
      </c>
      <c r="T1378">
        <v>-0.15850249999999999</v>
      </c>
      <c r="U1378">
        <v>-0.38659670000000002</v>
      </c>
      <c r="V1378">
        <v>3.7177460000000002E-2</v>
      </c>
      <c r="W1378">
        <v>6.2002269999999998E-2</v>
      </c>
      <c r="X1378">
        <v>0.99738340000000003</v>
      </c>
      <c r="Y1378">
        <v>0.12504580000000001</v>
      </c>
      <c r="Z1378">
        <v>-3.1474630000000001E-3</v>
      </c>
      <c r="AA1378">
        <v>0.99214599999999997</v>
      </c>
      <c r="AB1378">
        <v>22</v>
      </c>
      <c r="AC1378">
        <v>20.870299999999901</v>
      </c>
      <c r="AD1378">
        <v>-1.110302094718</v>
      </c>
      <c r="AE1378">
        <v>-2.70749999999998</v>
      </c>
      <c r="AF1378">
        <v>2.6436920190190301</v>
      </c>
      <c r="AG1378">
        <v>-1.110302094718</v>
      </c>
      <c r="AH1378">
        <v>20.819596182489899</v>
      </c>
      <c r="AI1378">
        <v>93.028401174875597</v>
      </c>
      <c r="AJ1378">
        <v>82.763257337657606</v>
      </c>
      <c r="AK1378">
        <v>21.0161238917863</v>
      </c>
      <c r="AL1378">
        <v>86.445251710519599</v>
      </c>
      <c r="AM1378">
        <v>87.865288484737803</v>
      </c>
      <c r="AN1378">
        <v>1.00000004580638</v>
      </c>
    </row>
    <row r="1379" spans="1:40" x14ac:dyDescent="0.25">
      <c r="A1379" t="str">
        <f>"20190312153915147"</f>
        <v>20190312153915147</v>
      </c>
      <c r="B1379" t="str">
        <f>"1552376355136777"</f>
        <v>1552376355136777</v>
      </c>
      <c r="C1379" t="s">
        <v>40</v>
      </c>
      <c r="D1379">
        <v>4.3168949999999997</v>
      </c>
      <c r="E1379">
        <v>0.53565240000000003</v>
      </c>
      <c r="F1379" t="s">
        <v>42</v>
      </c>
      <c r="G1379">
        <v>-213.982</v>
      </c>
      <c r="H1379" s="1">
        <v>-3.2684950000000002E-6</v>
      </c>
      <c r="I1379">
        <v>365.64499999999998</v>
      </c>
      <c r="J1379">
        <v>-235.09190000000001</v>
      </c>
      <c r="K1379">
        <v>1.1103000000000001</v>
      </c>
      <c r="L1379">
        <v>368.41539999999998</v>
      </c>
      <c r="M1379">
        <v>0.99989039999999996</v>
      </c>
      <c r="N1379">
        <v>0</v>
      </c>
      <c r="O1379">
        <v>-3.014381E-3</v>
      </c>
      <c r="P1379">
        <v>0.99803790000000003</v>
      </c>
      <c r="Q1379">
        <v>4.753483E-2</v>
      </c>
      <c r="R1379">
        <v>-4.0752320000000002E-2</v>
      </c>
      <c r="S1379">
        <v>2.9976349999999998</v>
      </c>
      <c r="T1379">
        <v>-0.15663160000000001</v>
      </c>
      <c r="U1379">
        <v>-0.39093020000000001</v>
      </c>
      <c r="V1379">
        <v>3.7788580000000002E-2</v>
      </c>
      <c r="W1379">
        <v>6.1966569999999999E-2</v>
      </c>
      <c r="X1379">
        <v>0.99736259999999999</v>
      </c>
      <c r="Y1379">
        <v>0.12616269999999999</v>
      </c>
      <c r="Z1379">
        <v>-3.1232579999999999E-3</v>
      </c>
      <c r="AA1379">
        <v>0.99200460000000001</v>
      </c>
      <c r="AB1379">
        <v>22</v>
      </c>
      <c r="AC1379">
        <v>21.1099</v>
      </c>
      <c r="AD1379">
        <v>-1.1103032684950001</v>
      </c>
      <c r="AE1379">
        <v>-2.7703999999999902</v>
      </c>
      <c r="AF1379">
        <v>2.6994063135791602</v>
      </c>
      <c r="AG1379">
        <v>-1.1103032684950001</v>
      </c>
      <c r="AH1379">
        <v>21.060880190360201</v>
      </c>
      <c r="AI1379">
        <v>92.993326315794206</v>
      </c>
      <c r="AJ1379">
        <v>82.696131499685904</v>
      </c>
      <c r="AK1379">
        <v>21.2621786792071</v>
      </c>
      <c r="AL1379">
        <v>86.447300927030597</v>
      </c>
      <c r="AM1379">
        <v>87.830186335185104</v>
      </c>
      <c r="AN1379">
        <v>0.99999999422736996</v>
      </c>
    </row>
    <row r="1380" spans="1:40" x14ac:dyDescent="0.25">
      <c r="A1380" t="str">
        <f>"20190312153915169"</f>
        <v>20190312153915169</v>
      </c>
      <c r="B1380" t="str">
        <f>"1552376355157273"</f>
        <v>1552376355157273</v>
      </c>
      <c r="C1380" t="s">
        <v>40</v>
      </c>
      <c r="D1380">
        <v>4.3046600000000002</v>
      </c>
      <c r="E1380">
        <v>0.53589180000000003</v>
      </c>
      <c r="F1380" t="s">
        <v>42</v>
      </c>
      <c r="G1380">
        <v>-214.09219999999999</v>
      </c>
      <c r="H1380" s="1">
        <v>-3.2234520000000001E-6</v>
      </c>
      <c r="I1380">
        <v>365.63240000000002</v>
      </c>
      <c r="J1380">
        <v>-234.87729999999999</v>
      </c>
      <c r="K1380">
        <v>1.1103050000000001</v>
      </c>
      <c r="L1380">
        <v>368.41419999999999</v>
      </c>
      <c r="M1380">
        <v>0.99988900000000003</v>
      </c>
      <c r="N1380">
        <v>0</v>
      </c>
      <c r="O1380">
        <v>-3.493393E-3</v>
      </c>
      <c r="P1380">
        <v>0.99800429999999996</v>
      </c>
      <c r="Q1380">
        <v>4.7326750000000001E-2</v>
      </c>
      <c r="R1380">
        <v>-4.1803559999999997E-2</v>
      </c>
      <c r="S1380">
        <v>2.9972080000000001</v>
      </c>
      <c r="T1380">
        <v>-0.1584689</v>
      </c>
      <c r="U1380">
        <v>-0.39721679999999998</v>
      </c>
      <c r="V1380">
        <v>3.8361359999999997E-2</v>
      </c>
      <c r="W1380">
        <v>6.1753370000000002E-2</v>
      </c>
      <c r="X1380">
        <v>0.99735399999999996</v>
      </c>
      <c r="Y1380">
        <v>0.12774540000000001</v>
      </c>
      <c r="Z1380">
        <v>-3.1762919999999998E-3</v>
      </c>
      <c r="AA1380">
        <v>0.99180190000000001</v>
      </c>
      <c r="AB1380">
        <v>22</v>
      </c>
      <c r="AC1380">
        <v>20.7851</v>
      </c>
      <c r="AD1380">
        <v>-1.1103082234520001</v>
      </c>
      <c r="AE1380">
        <v>-2.7817999999999699</v>
      </c>
      <c r="AF1380">
        <v>2.70159145811451</v>
      </c>
      <c r="AG1380">
        <v>-1.1103082234520001</v>
      </c>
      <c r="AH1380">
        <v>20.7365608814391</v>
      </c>
      <c r="AI1380">
        <v>93.0392546001395</v>
      </c>
      <c r="AJ1380">
        <v>82.5772244620766</v>
      </c>
      <c r="AK1380">
        <v>20.941259225444199</v>
      </c>
      <c r="AL1380">
        <v>86.459539978354101</v>
      </c>
      <c r="AM1380">
        <v>87.797310587055804</v>
      </c>
      <c r="AN1380">
        <v>1.0000000369816999</v>
      </c>
    </row>
    <row r="1381" spans="1:40" x14ac:dyDescent="0.25">
      <c r="A1381" t="str">
        <f>"20190312153915185"</f>
        <v>20190312153915185</v>
      </c>
      <c r="B1381" t="str">
        <f>"1552376355176793"</f>
        <v>1552376355176793</v>
      </c>
      <c r="C1381" t="s">
        <v>40</v>
      </c>
      <c r="D1381">
        <v>4.3092199999999998</v>
      </c>
      <c r="E1381">
        <v>0.536269</v>
      </c>
      <c r="F1381" t="s">
        <v>42</v>
      </c>
      <c r="G1381">
        <v>-213.85640000000001</v>
      </c>
      <c r="H1381" s="1">
        <v>-3.3317429999999999E-6</v>
      </c>
      <c r="I1381">
        <v>365.59230000000002</v>
      </c>
      <c r="J1381">
        <v>-234.71690000000001</v>
      </c>
      <c r="K1381">
        <v>1.1103069999999999</v>
      </c>
      <c r="L1381">
        <v>368.41329999999999</v>
      </c>
      <c r="M1381">
        <v>0.99988779999999999</v>
      </c>
      <c r="N1381">
        <v>0</v>
      </c>
      <c r="O1381">
        <v>-3.8513110000000001E-3</v>
      </c>
      <c r="P1381">
        <v>0.99798240000000005</v>
      </c>
      <c r="Q1381">
        <v>4.7499230000000003E-2</v>
      </c>
      <c r="R1381">
        <v>-4.213099E-2</v>
      </c>
      <c r="S1381">
        <v>2.996658</v>
      </c>
      <c r="T1381">
        <v>-0.15828059999999999</v>
      </c>
      <c r="U1381">
        <v>-0.40228269999999999</v>
      </c>
      <c r="V1381">
        <v>3.8331560000000001E-2</v>
      </c>
      <c r="W1381">
        <v>6.1921839999999999E-2</v>
      </c>
      <c r="X1381">
        <v>0.99734469999999997</v>
      </c>
      <c r="Y1381">
        <v>0.12906029999999999</v>
      </c>
      <c r="Z1381">
        <v>-3.1884859999999999E-3</v>
      </c>
      <c r="AA1381">
        <v>0.99163159999999895</v>
      </c>
      <c r="AB1381">
        <v>22</v>
      </c>
      <c r="AC1381">
        <v>20.860499999999998</v>
      </c>
      <c r="AD1381">
        <v>-1.1103103317430001</v>
      </c>
      <c r="AE1381">
        <v>-2.8209999999999602</v>
      </c>
      <c r="AF1381">
        <v>2.73302689528406</v>
      </c>
      <c r="AG1381">
        <v>-1.1103103317430001</v>
      </c>
      <c r="AH1381">
        <v>20.813306759744801</v>
      </c>
      <c r="AI1381">
        <v>93.027674155067302</v>
      </c>
      <c r="AJ1381">
        <v>82.519204716552295</v>
      </c>
      <c r="AK1381">
        <v>21.021321635862002</v>
      </c>
      <c r="AL1381">
        <v>86.449868849315493</v>
      </c>
      <c r="AM1381">
        <v>87.798999500694606</v>
      </c>
      <c r="AN1381">
        <v>1.0000000366895501</v>
      </c>
    </row>
    <row r="1382" spans="1:40" x14ac:dyDescent="0.25">
      <c r="A1382" t="str">
        <f>"20190312153915199"</f>
        <v>20190312153915199</v>
      </c>
      <c r="B1382" t="str">
        <f>"1552376355187530"</f>
        <v>1552376355187530</v>
      </c>
      <c r="C1382" t="s">
        <v>40</v>
      </c>
      <c r="D1382">
        <v>4.3100230000000002</v>
      </c>
      <c r="E1382">
        <v>0.53632380000000002</v>
      </c>
      <c r="F1382" t="s">
        <v>42</v>
      </c>
      <c r="G1382">
        <v>-213.68360000000001</v>
      </c>
      <c r="H1382" s="1">
        <v>-3.411253E-6</v>
      </c>
      <c r="I1382">
        <v>365.56189999999998</v>
      </c>
      <c r="J1382">
        <v>-234.5899</v>
      </c>
      <c r="K1382">
        <v>1.1103099999999999</v>
      </c>
      <c r="L1382">
        <v>368.41239999999999</v>
      </c>
      <c r="M1382">
        <v>0.99988659999999996</v>
      </c>
      <c r="N1382">
        <v>0</v>
      </c>
      <c r="O1382">
        <v>-4.13438E-3</v>
      </c>
      <c r="P1382">
        <v>0.9979654</v>
      </c>
      <c r="Q1382">
        <v>4.7569899999999998E-2</v>
      </c>
      <c r="R1382">
        <v>-4.2453629999999999E-2</v>
      </c>
      <c r="S1382">
        <v>2.9964750000000002</v>
      </c>
      <c r="T1382">
        <v>-0.1581784</v>
      </c>
      <c r="U1382">
        <v>-0.40621950000000001</v>
      </c>
      <c r="V1382">
        <v>3.8371549999999997E-2</v>
      </c>
      <c r="W1382">
        <v>6.1989889999999999E-2</v>
      </c>
      <c r="X1382">
        <v>0.99733890000000003</v>
      </c>
      <c r="Y1382">
        <v>0.1300663</v>
      </c>
      <c r="Z1382">
        <v>-3.197896E-3</v>
      </c>
      <c r="AA1382">
        <v>0.9915001</v>
      </c>
      <c r="AB1382">
        <v>21</v>
      </c>
      <c r="AC1382">
        <v>20.906299999999899</v>
      </c>
      <c r="AD1382">
        <v>-1.110313411253</v>
      </c>
      <c r="AE1382">
        <v>-2.85050000000001</v>
      </c>
      <c r="AF1382">
        <v>2.7563992595737301</v>
      </c>
      <c r="AG1382">
        <v>-1.110313411253</v>
      </c>
      <c r="AH1382">
        <v>20.860143930727599</v>
      </c>
      <c r="AI1382">
        <v>93.020574794550896</v>
      </c>
      <c r="AJ1382">
        <v>82.472708182433493</v>
      </c>
      <c r="AK1382">
        <v>21.070741267455698</v>
      </c>
      <c r="AL1382">
        <v>86.445962243015501</v>
      </c>
      <c r="AM1382">
        <v>87.796692733770996</v>
      </c>
      <c r="AN1382">
        <v>1.00000000188241</v>
      </c>
    </row>
    <row r="1383" spans="1:40" x14ac:dyDescent="0.25">
      <c r="A1383" t="str">
        <f>"20190312153915215"</f>
        <v>20190312153915215</v>
      </c>
      <c r="B1383" t="str">
        <f>"1552376355207049"</f>
        <v>1552376355207049</v>
      </c>
      <c r="C1383" t="s">
        <v>40</v>
      </c>
      <c r="D1383">
        <v>4.3083710000000002</v>
      </c>
      <c r="E1383">
        <v>0.53649749999999996</v>
      </c>
      <c r="F1383" t="s">
        <v>42</v>
      </c>
      <c r="G1383">
        <v>-213.51740000000001</v>
      </c>
      <c r="H1383" s="1">
        <v>-3.4853400000000002E-6</v>
      </c>
      <c r="I1383">
        <v>365.54610000000002</v>
      </c>
      <c r="J1383">
        <v>-234.42570000000001</v>
      </c>
      <c r="K1383">
        <v>1.110317</v>
      </c>
      <c r="L1383">
        <v>368.41140000000001</v>
      </c>
      <c r="M1383">
        <v>0.99988529999999998</v>
      </c>
      <c r="N1383">
        <v>0</v>
      </c>
      <c r="O1383">
        <v>-4.5012389999999998E-3</v>
      </c>
      <c r="P1383">
        <v>0.9979287</v>
      </c>
      <c r="Q1383">
        <v>4.7971229999999997E-2</v>
      </c>
      <c r="R1383">
        <v>-4.2865960000000002E-2</v>
      </c>
      <c r="S1383">
        <v>2.9963229999999998</v>
      </c>
      <c r="T1383">
        <v>-0.15787599999999999</v>
      </c>
      <c r="U1383">
        <v>-0.40756229999999999</v>
      </c>
      <c r="V1383">
        <v>3.8417699999999999E-2</v>
      </c>
      <c r="W1383">
        <v>6.2387289999999998E-2</v>
      </c>
      <c r="X1383">
        <v>0.99731239999999999</v>
      </c>
      <c r="Y1383">
        <v>0.1301466</v>
      </c>
      <c r="Z1383">
        <v>-3.1747310000000001E-3</v>
      </c>
      <c r="AA1383">
        <v>0.99148970000000003</v>
      </c>
      <c r="AB1383">
        <v>21</v>
      </c>
      <c r="AC1383">
        <v>20.908300000000001</v>
      </c>
      <c r="AD1383">
        <v>-1.1103204853399999</v>
      </c>
      <c r="AE1383">
        <v>-2.8652999999999902</v>
      </c>
      <c r="AF1383">
        <v>2.76349828324014</v>
      </c>
      <c r="AG1383">
        <v>-1.1103204853399999</v>
      </c>
      <c r="AH1383">
        <v>20.863235774181</v>
      </c>
      <c r="AI1383">
        <v>93.020021501824999</v>
      </c>
      <c r="AJ1383">
        <v>82.454650480905102</v>
      </c>
      <c r="AK1383">
        <v>21.074732295113598</v>
      </c>
      <c r="AL1383">
        <v>86.423148945145499</v>
      </c>
      <c r="AM1383">
        <v>87.793986844280596</v>
      </c>
      <c r="AN1383">
        <v>1.0000000584102899</v>
      </c>
    </row>
    <row r="1384" spans="1:40" x14ac:dyDescent="0.25">
      <c r="A1384" t="str">
        <f>"20190312153915235"</f>
        <v>20190312153915235</v>
      </c>
      <c r="B1384" t="str">
        <f>"1552376355227076"</f>
        <v>1552376355227076</v>
      </c>
      <c r="C1384" t="s">
        <v>40</v>
      </c>
      <c r="D1384">
        <v>4.3605559999999999</v>
      </c>
      <c r="E1384">
        <v>0.53669919999999904</v>
      </c>
      <c r="F1384" t="s">
        <v>42</v>
      </c>
      <c r="G1384">
        <v>-213.25540000000001</v>
      </c>
      <c r="H1384" s="1">
        <v>-3.6036269999999998E-6</v>
      </c>
      <c r="I1384">
        <v>365.51310000000001</v>
      </c>
      <c r="J1384">
        <v>-234.2373</v>
      </c>
      <c r="K1384">
        <v>1.1103209999999999</v>
      </c>
      <c r="L1384">
        <v>368.41</v>
      </c>
      <c r="M1384">
        <v>0.99988319999999997</v>
      </c>
      <c r="N1384">
        <v>0</v>
      </c>
      <c r="O1384">
        <v>-4.9219700000000003E-3</v>
      </c>
      <c r="P1384">
        <v>0.99787969999999904</v>
      </c>
      <c r="Q1384">
        <v>4.8719470000000001E-2</v>
      </c>
      <c r="R1384">
        <v>-4.3158780000000001E-2</v>
      </c>
      <c r="S1384">
        <v>2.9961549999999999</v>
      </c>
      <c r="T1384">
        <v>-0.1571391</v>
      </c>
      <c r="U1384">
        <v>-0.41018680000000002</v>
      </c>
      <c r="V1384">
        <v>3.8291199999999997E-2</v>
      </c>
      <c r="W1384">
        <v>6.3131099999999996E-2</v>
      </c>
      <c r="X1384">
        <v>0.9972704</v>
      </c>
      <c r="Y1384">
        <v>0.13059100000000001</v>
      </c>
      <c r="Z1384">
        <v>-3.1495680000000002E-3</v>
      </c>
      <c r="AA1384">
        <v>0.99143130000000002</v>
      </c>
      <c r="AB1384">
        <v>21</v>
      </c>
      <c r="AC1384">
        <v>20.9819</v>
      </c>
      <c r="AD1384">
        <v>-1.11032460362699</v>
      </c>
      <c r="AE1384">
        <v>-2.8969000000000098</v>
      </c>
      <c r="AF1384">
        <v>2.7859262097039301</v>
      </c>
      <c r="AG1384">
        <v>-1.11032460362699</v>
      </c>
      <c r="AH1384">
        <v>20.938368060068498</v>
      </c>
      <c r="AI1384">
        <v>93.008982502351998</v>
      </c>
      <c r="AJ1384">
        <v>82.421102206052893</v>
      </c>
      <c r="AK1384">
        <v>21.1520557532887</v>
      </c>
      <c r="AL1384">
        <v>86.380447388492698</v>
      </c>
      <c r="AM1384">
        <v>87.801151050028494</v>
      </c>
      <c r="AN1384">
        <v>1.0000000012504</v>
      </c>
    </row>
    <row r="1385" spans="1:40" x14ac:dyDescent="0.25">
      <c r="A1385" t="str">
        <f>"20190312153915250"</f>
        <v>20190312153915250</v>
      </c>
      <c r="B1385" t="str">
        <f>"1552376355236838"</f>
        <v>1552376355236838</v>
      </c>
      <c r="C1385" t="s">
        <v>40</v>
      </c>
      <c r="D1385">
        <v>4.3405849999999999</v>
      </c>
      <c r="E1385">
        <v>0.5367343</v>
      </c>
      <c r="F1385" t="s">
        <v>42</v>
      </c>
      <c r="G1385">
        <v>-212.8485</v>
      </c>
      <c r="H1385" s="1">
        <v>-3.786889E-6</v>
      </c>
      <c r="I1385">
        <v>365.46390000000002</v>
      </c>
      <c r="J1385">
        <v>-234.09989999999999</v>
      </c>
      <c r="K1385">
        <v>1.1103209999999999</v>
      </c>
      <c r="L1385">
        <v>368.40899999999999</v>
      </c>
      <c r="M1385">
        <v>0.99988169999999998</v>
      </c>
      <c r="N1385">
        <v>0</v>
      </c>
      <c r="O1385">
        <v>-5.22888E-3</v>
      </c>
      <c r="P1385">
        <v>0.9978631</v>
      </c>
      <c r="Q1385">
        <v>4.8960629999999998E-2</v>
      </c>
      <c r="R1385">
        <v>-4.3267710000000001E-2</v>
      </c>
      <c r="S1385">
        <v>2.99614</v>
      </c>
      <c r="T1385">
        <v>-0.1555337</v>
      </c>
      <c r="U1385">
        <v>-0.41268919999999998</v>
      </c>
      <c r="V1385">
        <v>3.8094129999999997E-2</v>
      </c>
      <c r="W1385">
        <v>6.3369060000000005E-2</v>
      </c>
      <c r="X1385">
        <v>0.9972628</v>
      </c>
      <c r="Y1385">
        <v>0.13110329999999901</v>
      </c>
      <c r="Z1385">
        <v>-3.1146530000000002E-3</v>
      </c>
      <c r="AA1385">
        <v>0.99136380000000002</v>
      </c>
      <c r="AB1385">
        <v>21</v>
      </c>
      <c r="AC1385">
        <v>21.251399999999901</v>
      </c>
      <c r="AD1385">
        <v>-1.1103247868889901</v>
      </c>
      <c r="AE1385">
        <v>-2.9450999999999601</v>
      </c>
      <c r="AF1385">
        <v>2.8263571796927698</v>
      </c>
      <c r="AG1385">
        <v>-1.1103247868889901</v>
      </c>
      <c r="AH1385">
        <v>21.209704128721</v>
      </c>
      <c r="AI1385">
        <v>92.970479244310695</v>
      </c>
      <c r="AJ1385">
        <v>82.409612354180297</v>
      </c>
      <c r="AK1385">
        <v>21.425981080628802</v>
      </c>
      <c r="AL1385">
        <v>86.366785730965205</v>
      </c>
      <c r="AM1385">
        <v>87.8124399978783</v>
      </c>
      <c r="AN1385">
        <v>0.99999994638478795</v>
      </c>
    </row>
    <row r="1386" spans="1:40" x14ac:dyDescent="0.25">
      <c r="A1386" t="str">
        <f>"20190312153915263"</f>
        <v>20190312153915263</v>
      </c>
      <c r="B1386" t="str">
        <f>"1552376355257333"</f>
        <v>1552376355257333</v>
      </c>
      <c r="C1386" t="s">
        <v>40</v>
      </c>
      <c r="D1386">
        <v>4.3496180000000004</v>
      </c>
      <c r="E1386">
        <v>0.53700909999999902</v>
      </c>
      <c r="F1386" t="s">
        <v>42</v>
      </c>
      <c r="G1386">
        <v>-212.54400000000001</v>
      </c>
      <c r="H1386" s="1">
        <v>-3.9231440000000001E-6</v>
      </c>
      <c r="I1386">
        <v>365.43209999999999</v>
      </c>
      <c r="J1386">
        <v>-233.97559999999999</v>
      </c>
      <c r="K1386">
        <v>1.1103179999999999</v>
      </c>
      <c r="L1386">
        <v>368.40809999999999</v>
      </c>
      <c r="M1386">
        <v>0.99988030000000006</v>
      </c>
      <c r="N1386">
        <v>0</v>
      </c>
      <c r="O1386">
        <v>-5.5064689999999999E-3</v>
      </c>
      <c r="P1386">
        <v>0.99784550000000005</v>
      </c>
      <c r="Q1386">
        <v>4.9081340000000001E-2</v>
      </c>
      <c r="R1386">
        <v>-4.3536890000000002E-2</v>
      </c>
      <c r="S1386">
        <v>2.9960629999999999</v>
      </c>
      <c r="T1386">
        <v>-0.154324499999999</v>
      </c>
      <c r="U1386">
        <v>-0.41375729999999999</v>
      </c>
      <c r="V1386">
        <v>3.8086250000000002E-2</v>
      </c>
      <c r="W1386">
        <v>6.3486589999999996E-2</v>
      </c>
      <c r="X1386">
        <v>0.99725569999999997</v>
      </c>
      <c r="Y1386">
        <v>0.1311812</v>
      </c>
      <c r="Z1386">
        <v>-3.0782470000000001E-3</v>
      </c>
      <c r="AA1386">
        <v>0.99135359999999995</v>
      </c>
      <c r="AB1386">
        <v>21</v>
      </c>
      <c r="AC1386">
        <v>21.4315999999999</v>
      </c>
      <c r="AD1386">
        <v>-1.110321923144</v>
      </c>
      <c r="AE1386">
        <v>-2.9759999999999902</v>
      </c>
      <c r="AF1386">
        <v>2.8504241773624601</v>
      </c>
      <c r="AG1386">
        <v>-1.110321923144</v>
      </c>
      <c r="AH1386">
        <v>21.3913349727707</v>
      </c>
      <c r="AI1386">
        <v>92.945296794888904</v>
      </c>
      <c r="AJ1386">
        <v>82.409972157557803</v>
      </c>
      <c r="AK1386">
        <v>21.608955196427001</v>
      </c>
      <c r="AL1386">
        <v>86.360038440587005</v>
      </c>
      <c r="AM1386">
        <v>87.812876512259294</v>
      </c>
      <c r="AN1386">
        <v>1.00000002036569</v>
      </c>
    </row>
    <row r="1387" spans="1:40" x14ac:dyDescent="0.25">
      <c r="A1387" t="str">
        <f>"20190312153915291"</f>
        <v>20190312153915291</v>
      </c>
      <c r="B1387" t="str">
        <f>"1552376355276852"</f>
        <v>1552376355276852</v>
      </c>
      <c r="C1387" t="s">
        <v>40</v>
      </c>
      <c r="D1387">
        <v>4.3446669999999896</v>
      </c>
      <c r="E1387">
        <v>0.53713109999999997</v>
      </c>
      <c r="F1387" t="s">
        <v>42</v>
      </c>
      <c r="G1387">
        <v>-212.56950000000001</v>
      </c>
      <c r="H1387" s="1">
        <v>-3.9121589999999999E-6</v>
      </c>
      <c r="I1387">
        <v>365.4323</v>
      </c>
      <c r="J1387">
        <v>-233.70849999999999</v>
      </c>
      <c r="K1387">
        <v>1.110311</v>
      </c>
      <c r="L1387">
        <v>368.4058</v>
      </c>
      <c r="M1387">
        <v>0.99987689999999996</v>
      </c>
      <c r="N1387">
        <v>0</v>
      </c>
      <c r="O1387">
        <v>-6.1036019999999996E-3</v>
      </c>
      <c r="P1387">
        <v>0.99784110000000004</v>
      </c>
      <c r="Q1387">
        <v>4.8780070000000002E-2</v>
      </c>
      <c r="R1387">
        <v>-4.3974489999999998E-2</v>
      </c>
      <c r="S1387">
        <v>2.9959560000000001</v>
      </c>
      <c r="T1387">
        <v>-0.15539810000000001</v>
      </c>
      <c r="U1387">
        <v>-0.41647339999999999</v>
      </c>
      <c r="V1387">
        <v>3.7927370000000002E-2</v>
      </c>
      <c r="W1387">
        <v>6.3179639999999995E-2</v>
      </c>
      <c r="X1387">
        <v>0.99728130000000004</v>
      </c>
      <c r="Y1387">
        <v>0.1314739</v>
      </c>
      <c r="Z1387">
        <v>-3.0763019999999999E-3</v>
      </c>
      <c r="AA1387">
        <v>0.9913149</v>
      </c>
      <c r="AB1387">
        <v>21</v>
      </c>
      <c r="AC1387">
        <v>21.1389999999999</v>
      </c>
      <c r="AD1387">
        <v>-1.1103149121589999</v>
      </c>
      <c r="AE1387">
        <v>-2.9735</v>
      </c>
      <c r="AF1387">
        <v>2.8367328847082902</v>
      </c>
      <c r="AG1387">
        <v>-1.1103149121589999</v>
      </c>
      <c r="AH1387">
        <v>21.0996763165315</v>
      </c>
      <c r="AI1387">
        <v>92.985449805818703</v>
      </c>
      <c r="AJ1387">
        <v>82.3428194512517</v>
      </c>
      <c r="AK1387">
        <v>21.318447254097698</v>
      </c>
      <c r="AL1387">
        <v>86.377660944247907</v>
      </c>
      <c r="AM1387">
        <v>87.822047332102798</v>
      </c>
      <c r="AN1387">
        <v>1.00000007181766</v>
      </c>
    </row>
    <row r="1388" spans="1:40" x14ac:dyDescent="0.25">
      <c r="A1388" t="str">
        <f>"20190312153915314"</f>
        <v>20190312153915314</v>
      </c>
      <c r="B1388" t="str">
        <f>"1552376355307108"</f>
        <v>1552376355307108</v>
      </c>
      <c r="C1388" t="s">
        <v>40</v>
      </c>
      <c r="D1388">
        <v>4.355143</v>
      </c>
      <c r="E1388">
        <v>0.53734759999999904</v>
      </c>
      <c r="F1388" t="s">
        <v>42</v>
      </c>
      <c r="G1388">
        <v>-212.59139999999999</v>
      </c>
      <c r="H1388" s="1">
        <v>-3.8984300000000002E-6</v>
      </c>
      <c r="I1388">
        <v>365.45690000000002</v>
      </c>
      <c r="J1388">
        <v>-233.4922</v>
      </c>
      <c r="K1388">
        <v>1.110314</v>
      </c>
      <c r="L1388">
        <v>368.404</v>
      </c>
      <c r="M1388">
        <v>0.99987389999999998</v>
      </c>
      <c r="N1388">
        <v>0</v>
      </c>
      <c r="O1388">
        <v>-6.5867869999999898E-3</v>
      </c>
      <c r="P1388">
        <v>0.99783250000000001</v>
      </c>
      <c r="Q1388">
        <v>4.8612620000000002E-2</v>
      </c>
      <c r="R1388">
        <v>-4.4357019999999997E-2</v>
      </c>
      <c r="S1388">
        <v>2.9957579999999999</v>
      </c>
      <c r="T1388">
        <v>-0.15751289999999901</v>
      </c>
      <c r="U1388">
        <v>-0.41833500000000001</v>
      </c>
      <c r="V1388">
        <v>3.7827109999999997E-2</v>
      </c>
      <c r="W1388">
        <v>6.3007389999999996E-2</v>
      </c>
      <c r="X1388">
        <v>0.99729590000000001</v>
      </c>
      <c r="Y1388">
        <v>0.131604</v>
      </c>
      <c r="Z1388">
        <v>-3.0963219999999999E-3</v>
      </c>
      <c r="AA1388">
        <v>0.99129750000000005</v>
      </c>
      <c r="AB1388">
        <v>21</v>
      </c>
      <c r="AC1388">
        <v>20.9008</v>
      </c>
      <c r="AD1388">
        <v>-1.1103178984299999</v>
      </c>
      <c r="AE1388">
        <v>-2.9470999999999701</v>
      </c>
      <c r="AF1388">
        <v>2.8016003609772602</v>
      </c>
      <c r="AG1388">
        <v>-1.1103178984299999</v>
      </c>
      <c r="AH1388">
        <v>20.862033911382301</v>
      </c>
      <c r="AI1388">
        <v>93.019463710596398</v>
      </c>
      <c r="AJ1388">
        <v>82.351405816951299</v>
      </c>
      <c r="AK1388">
        <v>21.0785727538148</v>
      </c>
      <c r="AL1388">
        <v>86.387549464151704</v>
      </c>
      <c r="AM1388">
        <v>87.827830939560997</v>
      </c>
      <c r="AN1388">
        <v>0.99999996680118597</v>
      </c>
    </row>
    <row r="1389" spans="1:40" x14ac:dyDescent="0.25">
      <c r="A1389" t="str">
        <f>"20190312153915336"</f>
        <v>20190312153915336</v>
      </c>
      <c r="B1389" t="str">
        <f>"1552376355327136"</f>
        <v>1552376355327136</v>
      </c>
      <c r="C1389" t="s">
        <v>40</v>
      </c>
      <c r="D1389">
        <v>4.3413690000000003</v>
      </c>
      <c r="E1389">
        <v>0.53757140000000003</v>
      </c>
      <c r="F1389" t="s">
        <v>42</v>
      </c>
      <c r="G1389">
        <v>-212.59569999999999</v>
      </c>
      <c r="H1389" s="1">
        <v>-3.8953889999999999E-6</v>
      </c>
      <c r="I1389">
        <v>365.46359999999999</v>
      </c>
      <c r="J1389">
        <v>-233.28319999999999</v>
      </c>
      <c r="K1389">
        <v>1.110325</v>
      </c>
      <c r="L1389">
        <v>368.40199999999999</v>
      </c>
      <c r="M1389">
        <v>0.99987090000000001</v>
      </c>
      <c r="N1389">
        <v>0</v>
      </c>
      <c r="O1389">
        <v>-7.0521990000000003E-3</v>
      </c>
      <c r="P1389">
        <v>0.99779689999999999</v>
      </c>
      <c r="Q1389">
        <v>4.91172E-2</v>
      </c>
      <c r="R1389">
        <v>-4.4604409999999997E-2</v>
      </c>
      <c r="S1389">
        <v>2.9955289999999999</v>
      </c>
      <c r="T1389">
        <v>-0.15916440000000001</v>
      </c>
      <c r="U1389">
        <v>-0.42150880000000002</v>
      </c>
      <c r="V1389">
        <v>3.7610070000000002E-2</v>
      </c>
      <c r="W1389">
        <v>6.3506569999999998E-2</v>
      </c>
      <c r="X1389">
        <v>0.99727250000000001</v>
      </c>
      <c r="Y1389">
        <v>0.1321793</v>
      </c>
      <c r="Z1389">
        <v>-3.1193610000000002E-3</v>
      </c>
      <c r="AA1389">
        <v>0.99122089999999996</v>
      </c>
      <c r="AB1389">
        <v>21</v>
      </c>
      <c r="AC1389">
        <v>20.6875</v>
      </c>
      <c r="AD1389">
        <v>-1.110328895389</v>
      </c>
      <c r="AE1389">
        <v>-2.9384000000000001</v>
      </c>
      <c r="AF1389">
        <v>2.7845566931272301</v>
      </c>
      <c r="AG1389">
        <v>-1.110328895389</v>
      </c>
      <c r="AH1389">
        <v>20.649402858919899</v>
      </c>
      <c r="AI1389">
        <v>93.050303132027906</v>
      </c>
      <c r="AJ1389">
        <v>82.320034582682496</v>
      </c>
      <c r="AK1389">
        <v>20.865867455323901</v>
      </c>
      <c r="AL1389">
        <v>86.358891356773398</v>
      </c>
      <c r="AM1389">
        <v>87.840231695146201</v>
      </c>
      <c r="AN1389">
        <v>1.0000000205274</v>
      </c>
    </row>
    <row r="1390" spans="1:40" x14ac:dyDescent="0.25">
      <c r="A1390" t="str">
        <f>"20190312153915359"</f>
        <v>20190312153915359</v>
      </c>
      <c r="B1390" t="str">
        <f>"1552376355347634"</f>
        <v>1552376355347634</v>
      </c>
      <c r="C1390" t="s">
        <v>40</v>
      </c>
      <c r="D1390">
        <v>4.3522100000000004</v>
      </c>
      <c r="E1390">
        <v>0.53767580000000004</v>
      </c>
      <c r="F1390" t="s">
        <v>42</v>
      </c>
      <c r="G1390">
        <v>-212.32679999999999</v>
      </c>
      <c r="H1390" s="1">
        <v>-4.0160329999999996E-6</v>
      </c>
      <c r="I1390">
        <v>365.43369999999999</v>
      </c>
      <c r="J1390">
        <v>-233.07069999999999</v>
      </c>
      <c r="K1390">
        <v>1.11032999999999</v>
      </c>
      <c r="L1390">
        <v>368.4</v>
      </c>
      <c r="M1390">
        <v>0.99986750000000002</v>
      </c>
      <c r="N1390">
        <v>0</v>
      </c>
      <c r="O1390">
        <v>-7.5221200000000002E-3</v>
      </c>
      <c r="P1390">
        <v>0.99775219999999998</v>
      </c>
      <c r="Q1390">
        <v>4.9695469999999999E-2</v>
      </c>
      <c r="R1390">
        <v>-4.4958669999999999E-2</v>
      </c>
      <c r="S1390">
        <v>2.9954679999999998</v>
      </c>
      <c r="T1390">
        <v>-0.1587083</v>
      </c>
      <c r="U1390">
        <v>-0.42428589999999999</v>
      </c>
      <c r="V1390">
        <v>3.7495529999999999E-2</v>
      </c>
      <c r="W1390">
        <v>6.408047E-2</v>
      </c>
      <c r="X1390">
        <v>0.99724009999999996</v>
      </c>
      <c r="Y1390">
        <v>0.13261829999999999</v>
      </c>
      <c r="Z1390">
        <v>-3.0971079999999999E-3</v>
      </c>
      <c r="AA1390">
        <v>0.9911624</v>
      </c>
      <c r="AB1390">
        <v>21</v>
      </c>
      <c r="AC1390">
        <v>20.7439</v>
      </c>
      <c r="AD1390">
        <v>-1.11033401603299</v>
      </c>
      <c r="AE1390">
        <v>-2.96629999999998</v>
      </c>
      <c r="AF1390">
        <v>2.8022939669448599</v>
      </c>
      <c r="AG1390">
        <v>-1.11033401603299</v>
      </c>
      <c r="AH1390">
        <v>20.707489790412598</v>
      </c>
      <c r="AI1390">
        <v>93.041584122312599</v>
      </c>
      <c r="AJ1390">
        <v>82.293121418766802</v>
      </c>
      <c r="AK1390">
        <v>20.925721648831502</v>
      </c>
      <c r="AL1390">
        <v>86.3259421908229</v>
      </c>
      <c r="AM1390">
        <v>87.846733093849195</v>
      </c>
      <c r="AN1390">
        <v>1.0000000192267</v>
      </c>
    </row>
    <row r="1391" spans="1:40" x14ac:dyDescent="0.25">
      <c r="A1391" t="str">
        <f>"20190312153915380"</f>
        <v>20190312153915380</v>
      </c>
      <c r="B1391" t="str">
        <f>"1552376355367152"</f>
        <v>1552376355367152</v>
      </c>
      <c r="C1391" t="s">
        <v>40</v>
      </c>
      <c r="D1391">
        <v>4.3529039999999997</v>
      </c>
      <c r="E1391">
        <v>0.53788019999999903</v>
      </c>
      <c r="F1391" t="s">
        <v>42</v>
      </c>
      <c r="G1391">
        <v>-211.90520000000001</v>
      </c>
      <c r="H1391" s="1">
        <v>-4.2048160000000004E-6</v>
      </c>
      <c r="I1391">
        <v>365.38920000000002</v>
      </c>
      <c r="J1391">
        <v>-232.86019999999999</v>
      </c>
      <c r="K1391">
        <v>1.1103419999999999</v>
      </c>
      <c r="L1391">
        <v>368.39780000000002</v>
      </c>
      <c r="M1391">
        <v>0.99986410000000003</v>
      </c>
      <c r="N1391">
        <v>0</v>
      </c>
      <c r="O1391">
        <v>-7.9829549999999999E-3</v>
      </c>
      <c r="P1391">
        <v>0.99773400000000001</v>
      </c>
      <c r="Q1391">
        <v>4.954505E-2</v>
      </c>
      <c r="R1391">
        <v>-4.5526759999999999E-2</v>
      </c>
      <c r="S1391">
        <v>2.9953919999999998</v>
      </c>
      <c r="T1391">
        <v>-0.1571362</v>
      </c>
      <c r="U1391">
        <v>-0.42608639999999998</v>
      </c>
      <c r="V1391">
        <v>3.760289E-2</v>
      </c>
      <c r="W1391">
        <v>6.3924880000000003E-2</v>
      </c>
      <c r="X1391">
        <v>0.99724599999999997</v>
      </c>
      <c r="Y1391">
        <v>0.132752799999999</v>
      </c>
      <c r="Z1391">
        <v>-3.0458970000000001E-3</v>
      </c>
      <c r="AA1391">
        <v>0.99114449999999998</v>
      </c>
      <c r="AB1391">
        <v>21</v>
      </c>
      <c r="AC1391">
        <v>20.954999999999899</v>
      </c>
      <c r="AD1391">
        <v>-1.110346204816</v>
      </c>
      <c r="AE1391">
        <v>-3.0085999999999999</v>
      </c>
      <c r="AF1391">
        <v>2.83340936470836</v>
      </c>
      <c r="AG1391">
        <v>-1.110346204816</v>
      </c>
      <c r="AH1391">
        <v>20.920800423786101</v>
      </c>
      <c r="AI1391">
        <v>93.010619211443696</v>
      </c>
      <c r="AJ1391">
        <v>82.287074040600999</v>
      </c>
      <c r="AK1391">
        <v>21.1409783996497</v>
      </c>
      <c r="AL1391">
        <v>86.334874997612502</v>
      </c>
      <c r="AM1391">
        <v>87.840586291559305</v>
      </c>
      <c r="AN1391">
        <v>0.99999997606768198</v>
      </c>
    </row>
    <row r="1392" spans="1:40" x14ac:dyDescent="0.25">
      <c r="A1392" t="str">
        <f>"20190312153915403"</f>
        <v>20190312153915403</v>
      </c>
      <c r="B1392" t="str">
        <f>"1552376355397408"</f>
        <v>1552376355397408</v>
      </c>
      <c r="C1392" t="s">
        <v>40</v>
      </c>
      <c r="D1392">
        <v>4.3813490000000002</v>
      </c>
      <c r="E1392">
        <v>0.53814069999999903</v>
      </c>
      <c r="F1392" t="s">
        <v>42</v>
      </c>
      <c r="G1392">
        <v>-211.94049999999999</v>
      </c>
      <c r="H1392" s="1">
        <v>-4.1877609999999999E-6</v>
      </c>
      <c r="I1392">
        <v>365.4</v>
      </c>
      <c r="J1392">
        <v>-232.6506</v>
      </c>
      <c r="K1392">
        <v>1.1103449999999999</v>
      </c>
      <c r="L1392">
        <v>368.3956</v>
      </c>
      <c r="M1392">
        <v>0.99986030000000004</v>
      </c>
      <c r="N1392">
        <v>0</v>
      </c>
      <c r="O1392">
        <v>-8.4367490000000003E-3</v>
      </c>
      <c r="P1392">
        <v>0.99767240000000001</v>
      </c>
      <c r="Q1392">
        <v>4.9526720000000003E-2</v>
      </c>
      <c r="R1392">
        <v>-4.6872740000000003E-2</v>
      </c>
      <c r="S1392">
        <v>2.9951319999999999</v>
      </c>
      <c r="T1392">
        <v>-0.15897030000000001</v>
      </c>
      <c r="U1392">
        <v>-0.4291992</v>
      </c>
      <c r="V1392">
        <v>3.849553E-2</v>
      </c>
      <c r="W1392">
        <v>6.3901070000000004E-2</v>
      </c>
      <c r="X1392">
        <v>0.99721349999999997</v>
      </c>
      <c r="Y1392">
        <v>0.1333203</v>
      </c>
      <c r="Z1392">
        <v>-3.0724699999999999E-3</v>
      </c>
      <c r="AA1392">
        <v>0.99106819999999896</v>
      </c>
      <c r="AB1392">
        <v>21</v>
      </c>
      <c r="AC1392">
        <v>20.710100000000001</v>
      </c>
      <c r="AD1392">
        <v>-1.1103491877609999</v>
      </c>
      <c r="AE1392">
        <v>-2.99560000000002</v>
      </c>
      <c r="AF1392">
        <v>2.8128296135372799</v>
      </c>
      <c r="AG1392">
        <v>-1.1103491877609999</v>
      </c>
      <c r="AH1392">
        <v>20.676423167045598</v>
      </c>
      <c r="AI1392">
        <v>93.045898328525993</v>
      </c>
      <c r="AJ1392">
        <v>82.253014751847701</v>
      </c>
      <c r="AK1392">
        <v>20.896395879105398</v>
      </c>
      <c r="AL1392">
        <v>86.336242124314097</v>
      </c>
      <c r="AM1392">
        <v>87.789303125479094</v>
      </c>
      <c r="AN1392">
        <v>1.0000000085796801</v>
      </c>
    </row>
    <row r="1393" spans="1:40" x14ac:dyDescent="0.25">
      <c r="A1393" t="str">
        <f>"20190312153915426"</f>
        <v>20190312153915426</v>
      </c>
      <c r="B1393" t="str">
        <f>"1552376355417435"</f>
        <v>1552376355417435</v>
      </c>
      <c r="C1393" t="s">
        <v>40</v>
      </c>
      <c r="D1393">
        <v>4.38089</v>
      </c>
      <c r="E1393">
        <v>0.53829419999999994</v>
      </c>
      <c r="F1393" t="s">
        <v>42</v>
      </c>
      <c r="G1393">
        <v>-212.0068</v>
      </c>
      <c r="H1393" s="1">
        <v>-4.1600659999999997E-6</v>
      </c>
      <c r="I1393">
        <v>365.39569999999998</v>
      </c>
      <c r="J1393">
        <v>-232.44200000000001</v>
      </c>
      <c r="K1393">
        <v>1.1103590000000001</v>
      </c>
      <c r="L1393">
        <v>368.39330000000001</v>
      </c>
      <c r="M1393">
        <v>0.99985650000000004</v>
      </c>
      <c r="N1393">
        <v>0</v>
      </c>
      <c r="O1393">
        <v>-8.8808700000000008E-3</v>
      </c>
      <c r="P1393">
        <v>0.99763990000000002</v>
      </c>
      <c r="Q1393">
        <v>4.9648329999999997E-2</v>
      </c>
      <c r="R1393">
        <v>-4.743605E-2</v>
      </c>
      <c r="S1393">
        <v>2.9945219999999999</v>
      </c>
      <c r="T1393">
        <v>-0.16106329999999999</v>
      </c>
      <c r="U1393">
        <v>-0.43515009999999998</v>
      </c>
      <c r="V1393">
        <v>3.8614999999999997E-2</v>
      </c>
      <c r="W1393">
        <v>6.4017669999999999E-2</v>
      </c>
      <c r="X1393">
        <v>0.99720140000000002</v>
      </c>
      <c r="Y1393">
        <v>0.1348316</v>
      </c>
      <c r="Z1393">
        <v>-3.1297159999999998E-3</v>
      </c>
      <c r="AA1393">
        <v>0.99086359999999996</v>
      </c>
      <c r="AB1393">
        <v>21</v>
      </c>
      <c r="AC1393">
        <v>20.435199999999998</v>
      </c>
      <c r="AD1393">
        <v>-1.110363160066</v>
      </c>
      <c r="AE1393">
        <v>-2.99760000000003</v>
      </c>
      <c r="AF1393">
        <v>2.8078652544546601</v>
      </c>
      <c r="AG1393">
        <v>-1.110363160066</v>
      </c>
      <c r="AH1393">
        <v>20.402052195212299</v>
      </c>
      <c r="AI1393">
        <v>93.086163956918099</v>
      </c>
      <c r="AJ1393">
        <v>82.163804070420397</v>
      </c>
      <c r="AK1393">
        <v>20.624275682083301</v>
      </c>
      <c r="AL1393">
        <v>86.329547721088502</v>
      </c>
      <c r="AM1393">
        <v>87.782422236219602</v>
      </c>
      <c r="AN1393">
        <v>1.00000000622959</v>
      </c>
    </row>
    <row r="1394" spans="1:40" x14ac:dyDescent="0.25">
      <c r="A1394" t="str">
        <f>"20190312153915447"</f>
        <v>20190312153915447</v>
      </c>
      <c r="B1394" t="str">
        <f>"1552376355436955"</f>
        <v>1552376355436955</v>
      </c>
      <c r="C1394" t="s">
        <v>40</v>
      </c>
      <c r="D1394">
        <v>4.3728509999999998</v>
      </c>
      <c r="E1394">
        <v>0.53845699999999996</v>
      </c>
      <c r="F1394" t="s">
        <v>42</v>
      </c>
      <c r="G1394">
        <v>-211.87899999999999</v>
      </c>
      <c r="H1394" s="1">
        <v>-4.2169149999999996E-6</v>
      </c>
      <c r="I1394">
        <v>365.38440000000003</v>
      </c>
      <c r="J1394">
        <v>-232.233</v>
      </c>
      <c r="K1394">
        <v>1.1103689999999999</v>
      </c>
      <c r="L1394">
        <v>368.39100000000002</v>
      </c>
      <c r="M1394">
        <v>0.99985270000000004</v>
      </c>
      <c r="N1394">
        <v>0</v>
      </c>
      <c r="O1394">
        <v>-9.3141030000000007E-3</v>
      </c>
      <c r="P1394">
        <v>0.99751540000000005</v>
      </c>
      <c r="Q1394">
        <v>5.0931539999999997E-2</v>
      </c>
      <c r="R1394">
        <v>-4.8674469999999997E-2</v>
      </c>
      <c r="S1394">
        <v>2.994278</v>
      </c>
      <c r="T1394">
        <v>-0.1616841</v>
      </c>
      <c r="U1394">
        <v>-0.4381409</v>
      </c>
      <c r="V1394">
        <v>3.9421749999999998E-2</v>
      </c>
      <c r="W1394">
        <v>6.52948E-2</v>
      </c>
      <c r="X1394">
        <v>0.99708699999999995</v>
      </c>
      <c r="Y1394">
        <v>0.13538129999999901</v>
      </c>
      <c r="Z1394">
        <v>-3.1332970000000002E-3</v>
      </c>
      <c r="AA1394">
        <v>0.99078860000000002</v>
      </c>
      <c r="AB1394">
        <v>21</v>
      </c>
      <c r="AC1394">
        <v>20.3539999999999</v>
      </c>
      <c r="AD1394">
        <v>-1.110373216915</v>
      </c>
      <c r="AE1394">
        <v>-3.00659999999993</v>
      </c>
      <c r="AF1394">
        <v>2.8086903240996999</v>
      </c>
      <c r="AG1394">
        <v>-1.110373216915</v>
      </c>
      <c r="AH1394">
        <v>20.321936222910999</v>
      </c>
      <c r="AI1394">
        <v>93.098090951458801</v>
      </c>
      <c r="AJ1394">
        <v>82.131014550856804</v>
      </c>
      <c r="AK1394">
        <v>20.545139616600199</v>
      </c>
      <c r="AL1394">
        <v>86.256220048688704</v>
      </c>
      <c r="AM1394">
        <v>87.735880530600596</v>
      </c>
      <c r="AN1394">
        <v>0.99999998542455104</v>
      </c>
    </row>
    <row r="1395" spans="1:40" x14ac:dyDescent="0.25">
      <c r="A1395" t="str">
        <f>"20190312153915470"</f>
        <v>20190312153915470</v>
      </c>
      <c r="B1395" t="str">
        <f>"1552376355457451"</f>
        <v>1552376355457451</v>
      </c>
      <c r="C1395" t="s">
        <v>40</v>
      </c>
      <c r="D1395">
        <v>4.3921479999999997</v>
      </c>
      <c r="E1395">
        <v>0.53859409999999996</v>
      </c>
      <c r="F1395" t="s">
        <v>42</v>
      </c>
      <c r="G1395">
        <v>-211.2927</v>
      </c>
      <c r="H1395" s="1">
        <v>-4.4849479999999997E-6</v>
      </c>
      <c r="I1395">
        <v>365.29109999999997</v>
      </c>
      <c r="J1395">
        <v>-232.0274</v>
      </c>
      <c r="K1395">
        <v>1.1103809999999901</v>
      </c>
      <c r="L1395">
        <v>368.38850000000002</v>
      </c>
      <c r="M1395">
        <v>0.99984890000000004</v>
      </c>
      <c r="N1395">
        <v>0</v>
      </c>
      <c r="O1395">
        <v>-9.7229619999999999E-3</v>
      </c>
      <c r="P1395">
        <v>0.99742759999999997</v>
      </c>
      <c r="Q1395">
        <v>5.1931570000000003E-2</v>
      </c>
      <c r="R1395">
        <v>-4.9413829999999999E-2</v>
      </c>
      <c r="S1395">
        <v>2.993973</v>
      </c>
      <c r="T1395">
        <v>-0.15875719999999999</v>
      </c>
      <c r="U1395">
        <v>-0.44320680000000001</v>
      </c>
      <c r="V1395">
        <v>3.9752599999999999E-2</v>
      </c>
      <c r="W1395">
        <v>6.6289719999999996E-2</v>
      </c>
      <c r="X1395">
        <v>0.99700820000000001</v>
      </c>
      <c r="Y1395">
        <v>0.1366367</v>
      </c>
      <c r="Z1395">
        <v>-3.0881289999999998E-3</v>
      </c>
      <c r="AA1395">
        <v>0.99061639999999995</v>
      </c>
      <c r="AB1395">
        <v>21</v>
      </c>
      <c r="AC1395">
        <v>20.7347</v>
      </c>
      <c r="AD1395">
        <v>-1.1103854849479999</v>
      </c>
      <c r="AE1395">
        <v>-3.0974000000000501</v>
      </c>
      <c r="AF1395">
        <v>2.8875297618529201</v>
      </c>
      <c r="AG1395">
        <v>-1.1103854849479999</v>
      </c>
      <c r="AH1395">
        <v>20.7057544741944</v>
      </c>
      <c r="AI1395">
        <v>93.040289699115803</v>
      </c>
      <c r="AJ1395">
        <v>82.060994016966404</v>
      </c>
      <c r="AK1395">
        <v>20.935592955452499</v>
      </c>
      <c r="AL1395">
        <v>86.199091505302505</v>
      </c>
      <c r="AM1395">
        <v>87.716718505043104</v>
      </c>
      <c r="AN1395">
        <v>0.99999997352583803</v>
      </c>
    </row>
    <row r="1396" spans="1:40" x14ac:dyDescent="0.25">
      <c r="A1396" t="str">
        <f>"20190312153915492"</f>
        <v>20190312153915492</v>
      </c>
      <c r="B1396" t="str">
        <f>"1552376355487707"</f>
        <v>1552376355487707</v>
      </c>
      <c r="C1396" t="s">
        <v>40</v>
      </c>
      <c r="D1396">
        <v>4.3956720000000002</v>
      </c>
      <c r="E1396">
        <v>0.53875569999999995</v>
      </c>
      <c r="F1396" t="s">
        <v>42</v>
      </c>
      <c r="G1396">
        <v>-210.7159</v>
      </c>
      <c r="H1396" s="1">
        <v>-4.7469999999999996E-6</v>
      </c>
      <c r="I1396">
        <v>365.209</v>
      </c>
      <c r="J1396">
        <v>-231.81659999999999</v>
      </c>
      <c r="K1396">
        <v>1.1104000000000001</v>
      </c>
      <c r="L1396">
        <v>368.38600000000002</v>
      </c>
      <c r="M1396">
        <v>0.99984490000000004</v>
      </c>
      <c r="N1396">
        <v>0</v>
      </c>
      <c r="O1396">
        <v>-1.012041E-2</v>
      </c>
      <c r="P1396">
        <v>0.99734970000000001</v>
      </c>
      <c r="Q1396">
        <v>5.3211899999999999E-2</v>
      </c>
      <c r="R1396">
        <v>-4.9619669999999998E-2</v>
      </c>
      <c r="S1396">
        <v>2.993744</v>
      </c>
      <c r="T1396">
        <v>-0.15598139999999999</v>
      </c>
      <c r="U1396">
        <v>-0.44665529999999998</v>
      </c>
      <c r="V1396">
        <v>3.9560650000000003E-2</v>
      </c>
      <c r="W1396">
        <v>6.7565260000000002E-2</v>
      </c>
      <c r="X1396">
        <v>0.99693019999999999</v>
      </c>
      <c r="Y1396">
        <v>0.1373759</v>
      </c>
      <c r="Z1396">
        <v>-3.0327459999999998E-3</v>
      </c>
      <c r="AA1396">
        <v>0.99051429999999996</v>
      </c>
      <c r="AB1396">
        <v>21</v>
      </c>
      <c r="AC1396">
        <v>21.1006999999999</v>
      </c>
      <c r="AD1396">
        <v>-1.110404747</v>
      </c>
      <c r="AE1396">
        <v>-3.1769999999999601</v>
      </c>
      <c r="AF1396">
        <v>2.9552647624211601</v>
      </c>
      <c r="AG1396">
        <v>-1.110404747</v>
      </c>
      <c r="AH1396">
        <v>21.074706706407</v>
      </c>
      <c r="AI1396">
        <v>92.986896741305003</v>
      </c>
      <c r="AJ1396">
        <v>82.017575583251698</v>
      </c>
      <c r="AK1396">
        <v>21.3098533847431</v>
      </c>
      <c r="AL1396">
        <v>86.125844180548</v>
      </c>
      <c r="AM1396">
        <v>87.727554411461597</v>
      </c>
      <c r="AN1396">
        <v>0.99999996652966405</v>
      </c>
    </row>
    <row r="1397" spans="1:40" x14ac:dyDescent="0.25">
      <c r="A1397" t="str">
        <f>"20190312153915515"</f>
        <v>20190312153915515</v>
      </c>
      <c r="B1397" t="str">
        <f>"1552376355507227"</f>
        <v>1552376355507227</v>
      </c>
      <c r="C1397" t="s">
        <v>40</v>
      </c>
      <c r="D1397">
        <v>4.3896839999999999</v>
      </c>
      <c r="E1397">
        <v>0.53886069999999997</v>
      </c>
      <c r="F1397" t="s">
        <v>42</v>
      </c>
      <c r="G1397">
        <v>-209.96510000000001</v>
      </c>
      <c r="H1397" s="1">
        <v>-5.0866199999999901E-6</v>
      </c>
      <c r="I1397">
        <v>365.11</v>
      </c>
      <c r="J1397">
        <v>-231.60919999999999</v>
      </c>
      <c r="K1397">
        <v>1.1104210000000001</v>
      </c>
      <c r="L1397">
        <v>368.38350000000003</v>
      </c>
      <c r="M1397">
        <v>0.99984130000000004</v>
      </c>
      <c r="N1397">
        <v>0</v>
      </c>
      <c r="O1397">
        <v>-1.0485380000000001E-2</v>
      </c>
      <c r="P1397">
        <v>0.99726919999999997</v>
      </c>
      <c r="Q1397">
        <v>5.419802E-2</v>
      </c>
      <c r="R1397">
        <v>-5.0169430000000001E-2</v>
      </c>
      <c r="S1397">
        <v>2.9937589999999998</v>
      </c>
      <c r="T1397">
        <v>-0.1521306</v>
      </c>
      <c r="U1397">
        <v>-0.448822</v>
      </c>
      <c r="V1397">
        <v>3.9744420000000003E-2</v>
      </c>
      <c r="W1397">
        <v>6.8547170000000004E-2</v>
      </c>
      <c r="X1397">
        <v>0.99685590000000002</v>
      </c>
      <c r="Y1397">
        <v>0.13772309999999999</v>
      </c>
      <c r="Z1397">
        <v>-2.9481400000000001E-3</v>
      </c>
      <c r="AA1397">
        <v>0.99046639999999997</v>
      </c>
      <c r="AB1397">
        <v>21</v>
      </c>
      <c r="AC1397">
        <v>21.644099999999899</v>
      </c>
      <c r="AD1397">
        <v>-1.11042608662</v>
      </c>
      <c r="AE1397">
        <v>-3.2735000000000101</v>
      </c>
      <c r="AF1397">
        <v>3.0385310245023698</v>
      </c>
      <c r="AG1397">
        <v>-1.11042608662</v>
      </c>
      <c r="AH1397">
        <v>21.621600085393901</v>
      </c>
      <c r="AI1397">
        <v>92.911412463732802</v>
      </c>
      <c r="AJ1397">
        <v>82.000485157885507</v>
      </c>
      <c r="AK1397">
        <v>21.8622804650708</v>
      </c>
      <c r="AL1397">
        <v>86.069454305271904</v>
      </c>
      <c r="AM1397">
        <v>87.716839445144501</v>
      </c>
      <c r="AN1397">
        <v>1.00000000940047</v>
      </c>
    </row>
    <row r="1398" spans="1:40" x14ac:dyDescent="0.25">
      <c r="A1398" t="str">
        <f>"20190312153915538"</f>
        <v>20190312153915538</v>
      </c>
      <c r="B1398" t="str">
        <f>"1552376355527253"</f>
        <v>1552376355527253</v>
      </c>
      <c r="C1398" t="s">
        <v>40</v>
      </c>
      <c r="D1398">
        <v>4.384639</v>
      </c>
      <c r="E1398">
        <v>0.53905309999999995</v>
      </c>
      <c r="F1398" t="s">
        <v>49</v>
      </c>
      <c r="G1398">
        <v>-209.29259999999999</v>
      </c>
      <c r="H1398" s="1">
        <v>-5.766515E-6</v>
      </c>
      <c r="I1398">
        <v>365.0179</v>
      </c>
      <c r="J1398">
        <v>-231.3972</v>
      </c>
      <c r="K1398">
        <v>1.1104499999999999</v>
      </c>
      <c r="L1398">
        <v>368.3809</v>
      </c>
      <c r="M1398">
        <v>0.9998378</v>
      </c>
      <c r="N1398">
        <v>0</v>
      </c>
      <c r="O1398">
        <v>-1.082609E-2</v>
      </c>
      <c r="P1398">
        <v>0.99716539999999998</v>
      </c>
      <c r="Q1398">
        <v>5.4789709999999998E-2</v>
      </c>
      <c r="R1398">
        <v>-5.1569770000000001E-2</v>
      </c>
      <c r="S1398">
        <v>2.9936219999999998</v>
      </c>
      <c r="T1398">
        <v>-0.14895649999999999</v>
      </c>
      <c r="U1398">
        <v>-0.45147710000000002</v>
      </c>
      <c r="V1398">
        <v>4.0802379999999999E-2</v>
      </c>
      <c r="W1398">
        <v>6.9134180000000003E-2</v>
      </c>
      <c r="X1398">
        <v>0.99677260000000001</v>
      </c>
      <c r="Y1398">
        <v>0.13825770000000001</v>
      </c>
      <c r="Z1398">
        <v>-2.8830219999999998E-3</v>
      </c>
      <c r="AA1398">
        <v>0.9903921</v>
      </c>
      <c r="AB1398">
        <v>21</v>
      </c>
      <c r="AC1398">
        <v>22.104600000000001</v>
      </c>
      <c r="AD1398">
        <v>-1.1104557665150001</v>
      </c>
      <c r="AE1398">
        <v>-3.3629999999999902</v>
      </c>
      <c r="AF1398">
        <v>3.1157862842955399</v>
      </c>
      <c r="AG1398">
        <v>-1.1104557665150001</v>
      </c>
      <c r="AH1398">
        <v>22.085240701631101</v>
      </c>
      <c r="AI1398">
        <v>92.850255197719804</v>
      </c>
      <c r="AJ1398">
        <v>81.969707369245796</v>
      </c>
      <c r="AK1398">
        <v>22.3315716649719</v>
      </c>
      <c r="AL1398">
        <v>86.035741063910393</v>
      </c>
      <c r="AM1398">
        <v>87.655935052461999</v>
      </c>
      <c r="AN1398">
        <v>0.99999999258434802</v>
      </c>
    </row>
    <row r="1399" spans="1:40" x14ac:dyDescent="0.25">
      <c r="A1399" t="str">
        <f>"20190312153915560"</f>
        <v>20190312153915560</v>
      </c>
      <c r="B1399" t="str">
        <f>"1552376355547750"</f>
        <v>1552376355547750</v>
      </c>
      <c r="C1399" t="s">
        <v>40</v>
      </c>
      <c r="D1399">
        <v>4.3827059999999998</v>
      </c>
      <c r="E1399">
        <v>0.53924469999999902</v>
      </c>
      <c r="F1399" t="s">
        <v>49</v>
      </c>
      <c r="G1399">
        <v>-208.8586</v>
      </c>
      <c r="H1399" s="1">
        <v>-5.6343009999999998E-6</v>
      </c>
      <c r="I1399">
        <v>364.9341</v>
      </c>
      <c r="J1399">
        <v>-231.19059999999999</v>
      </c>
      <c r="K1399">
        <v>1.110476</v>
      </c>
      <c r="L1399">
        <v>368.37819999999999</v>
      </c>
      <c r="M1399">
        <v>0.99983449999999996</v>
      </c>
      <c r="N1399">
        <v>0</v>
      </c>
      <c r="O1399">
        <v>-1.112173E-2</v>
      </c>
      <c r="P1399">
        <v>0.99707820000000003</v>
      </c>
      <c r="Q1399">
        <v>5.562247E-2</v>
      </c>
      <c r="R1399">
        <v>-5.2354390000000001E-2</v>
      </c>
      <c r="S1399">
        <v>2.992966</v>
      </c>
      <c r="T1399">
        <v>-0.14746039999999999</v>
      </c>
      <c r="U1399">
        <v>-0.45770260000000001</v>
      </c>
      <c r="V1399">
        <v>4.1289359999999997E-2</v>
      </c>
      <c r="W1399">
        <v>6.9962839999999998E-2</v>
      </c>
      <c r="X1399">
        <v>0.99669470000000004</v>
      </c>
      <c r="Y1399">
        <v>0.14001160000000001</v>
      </c>
      <c r="Z1399">
        <v>-2.8827420000000002E-3</v>
      </c>
      <c r="AA1399">
        <v>0.99014570000000002</v>
      </c>
      <c r="AB1399">
        <v>21</v>
      </c>
      <c r="AC1399">
        <v>22.331999999999901</v>
      </c>
      <c r="AD1399">
        <v>-1.110481634301</v>
      </c>
      <c r="AE1399">
        <v>-3.4440999999999899</v>
      </c>
      <c r="AF1399">
        <v>3.1877914673502898</v>
      </c>
      <c r="AG1399">
        <v>-1.110481634301</v>
      </c>
      <c r="AH1399">
        <v>22.315030852217699</v>
      </c>
      <c r="AI1399">
        <v>92.8203225979602</v>
      </c>
      <c r="AJ1399">
        <v>81.870073991141894</v>
      </c>
      <c r="AK1399">
        <v>22.568911932896899</v>
      </c>
      <c r="AL1399">
        <v>85.988146995771999</v>
      </c>
      <c r="AM1399">
        <v>87.627805017432195</v>
      </c>
      <c r="AN1399">
        <v>0.99999996761908205</v>
      </c>
    </row>
    <row r="1400" spans="1:40" x14ac:dyDescent="0.25">
      <c r="A1400" t="str">
        <f>"20190312153915581"</f>
        <v>20190312153915581</v>
      </c>
      <c r="B1400" t="str">
        <f>"1552376355577029"</f>
        <v>1552376355577029</v>
      </c>
      <c r="C1400" t="s">
        <v>40</v>
      </c>
      <c r="D1400">
        <v>4.3892290000000003</v>
      </c>
      <c r="E1400">
        <v>0.53947929999999999</v>
      </c>
      <c r="F1400" t="s">
        <v>49</v>
      </c>
      <c r="G1400">
        <v>-208.30629999999999</v>
      </c>
      <c r="H1400" s="1">
        <v>-5.4628889999999997E-6</v>
      </c>
      <c r="I1400">
        <v>364.84789999999998</v>
      </c>
      <c r="J1400">
        <v>-230.9896</v>
      </c>
      <c r="K1400">
        <v>1.1104989999999999</v>
      </c>
      <c r="L1400">
        <v>368.37569999999999</v>
      </c>
      <c r="M1400">
        <v>0.99983169999999999</v>
      </c>
      <c r="N1400">
        <v>0</v>
      </c>
      <c r="O1400">
        <v>-1.138131E-2</v>
      </c>
      <c r="P1400">
        <v>0.99704130000000002</v>
      </c>
      <c r="Q1400">
        <v>5.6463449999999998E-2</v>
      </c>
      <c r="R1400">
        <v>-5.2161270000000003E-2</v>
      </c>
      <c r="S1400">
        <v>2.992661</v>
      </c>
      <c r="T1400">
        <v>-0.14522170000000001</v>
      </c>
      <c r="U1400">
        <v>-0.46166990000000002</v>
      </c>
      <c r="V1400">
        <v>4.0834099999999998E-2</v>
      </c>
      <c r="W1400">
        <v>7.0800929999999998E-2</v>
      </c>
      <c r="X1400">
        <v>0.99665429999999999</v>
      </c>
      <c r="Y1400">
        <v>0.1410556</v>
      </c>
      <c r="Z1400">
        <v>-2.8516869999999999E-3</v>
      </c>
      <c r="AA1400">
        <v>0.98999760000000003</v>
      </c>
      <c r="AB1400">
        <v>21</v>
      </c>
      <c r="AC1400">
        <v>22.683299999999999</v>
      </c>
      <c r="AD1400">
        <v>-1.110504462889</v>
      </c>
      <c r="AE1400">
        <v>-3.5278000000000098</v>
      </c>
      <c r="AF1400">
        <v>3.2617460011052599</v>
      </c>
      <c r="AG1400">
        <v>-1.110504462889</v>
      </c>
      <c r="AH1400">
        <v>22.6689363524609</v>
      </c>
      <c r="AI1400">
        <v>92.7760164657725</v>
      </c>
      <c r="AJ1400">
        <v>81.812127315521295</v>
      </c>
      <c r="AK1400">
        <v>22.9293018317119</v>
      </c>
      <c r="AL1400">
        <v>85.940008705042402</v>
      </c>
      <c r="AM1400">
        <v>87.653836659555907</v>
      </c>
      <c r="AN1400">
        <v>0.99999999456008204</v>
      </c>
    </row>
    <row r="1401" spans="1:40" x14ac:dyDescent="0.25">
      <c r="A1401" t="str">
        <f>"20190312153915604"</f>
        <v>20190312153915604</v>
      </c>
      <c r="B1401" t="str">
        <f>"1552376355597526"</f>
        <v>1552376355597526</v>
      </c>
      <c r="C1401" t="s">
        <v>40</v>
      </c>
      <c r="D1401">
        <v>4.4094220000000002</v>
      </c>
      <c r="E1401">
        <v>0.539695699999999</v>
      </c>
      <c r="F1401" t="s">
        <v>49</v>
      </c>
      <c r="G1401">
        <v>-207.8475</v>
      </c>
      <c r="H1401" s="1">
        <v>-5.3177379999999997E-6</v>
      </c>
      <c r="I1401">
        <v>364.79399999999998</v>
      </c>
      <c r="J1401">
        <v>-230.78380000000001</v>
      </c>
      <c r="K1401">
        <v>1.11052</v>
      </c>
      <c r="L1401">
        <v>368.37299999999999</v>
      </c>
      <c r="M1401">
        <v>0.99982910000000003</v>
      </c>
      <c r="N1401">
        <v>0</v>
      </c>
      <c r="O1401">
        <v>-1.1619239999999999E-2</v>
      </c>
      <c r="P1401">
        <v>0.99698419999999999</v>
      </c>
      <c r="Q1401">
        <v>5.7635690000000003E-2</v>
      </c>
      <c r="R1401">
        <v>-5.1968239999999999E-2</v>
      </c>
      <c r="S1401">
        <v>2.9927980000000001</v>
      </c>
      <c r="T1401">
        <v>-0.14361360000000001</v>
      </c>
      <c r="U1401">
        <v>-0.46319579999999999</v>
      </c>
      <c r="V1401">
        <v>4.0402029999999998E-2</v>
      </c>
      <c r="W1401">
        <v>7.1969539999999999E-2</v>
      </c>
      <c r="X1401">
        <v>0.99658820000000004</v>
      </c>
      <c r="Y1401">
        <v>0.1413095</v>
      </c>
      <c r="Z1401">
        <v>-2.814623E-3</v>
      </c>
      <c r="AA1401">
        <v>0.98996139999999999</v>
      </c>
      <c r="AB1401">
        <v>21</v>
      </c>
      <c r="AC1401">
        <v>22.936299999999999</v>
      </c>
      <c r="AD1401">
        <v>-1.1105253177379999</v>
      </c>
      <c r="AE1401">
        <v>-3.5790000000000002</v>
      </c>
      <c r="AF1401">
        <v>3.30466549073852</v>
      </c>
      <c r="AG1401">
        <v>-1.1105253177379999</v>
      </c>
      <c r="AH1401">
        <v>22.923878231499401</v>
      </c>
      <c r="AI1401">
        <v>92.745137474723094</v>
      </c>
      <c r="AJ1401">
        <v>81.796855662558201</v>
      </c>
      <c r="AK1401">
        <v>23.187459405023802</v>
      </c>
      <c r="AL1401">
        <v>85.872881004363705</v>
      </c>
      <c r="AM1401">
        <v>87.678480563916295</v>
      </c>
      <c r="AN1401">
        <v>0.99999998954758595</v>
      </c>
    </row>
    <row r="1402" spans="1:40" x14ac:dyDescent="0.25">
      <c r="A1402" t="str">
        <f>"20190312153915626"</f>
        <v>20190312153915626</v>
      </c>
      <c r="B1402" t="str">
        <f>"1552376355617553"</f>
        <v>1552376355617553</v>
      </c>
      <c r="C1402" t="s">
        <v>40</v>
      </c>
      <c r="D1402">
        <v>4.3851719999999998</v>
      </c>
      <c r="E1402">
        <v>0.5398655</v>
      </c>
      <c r="F1402" t="s">
        <v>49</v>
      </c>
      <c r="G1402">
        <v>-207.55369999999999</v>
      </c>
      <c r="H1402" s="1">
        <v>-5.2195959999999999E-6</v>
      </c>
      <c r="I1402">
        <v>364.76749999999998</v>
      </c>
      <c r="J1402">
        <v>-230.57749999999999</v>
      </c>
      <c r="K1402">
        <v>1.110544</v>
      </c>
      <c r="L1402">
        <v>368.37040000000002</v>
      </c>
      <c r="M1402">
        <v>0.99982669999999996</v>
      </c>
      <c r="N1402">
        <v>0</v>
      </c>
      <c r="O1402">
        <v>-1.18304E-2</v>
      </c>
      <c r="P1402">
        <v>0.9969732</v>
      </c>
      <c r="Q1402">
        <v>5.8537859999999997E-2</v>
      </c>
      <c r="R1402">
        <v>-5.1167879999999999E-2</v>
      </c>
      <c r="S1402">
        <v>2.9931179999999999</v>
      </c>
      <c r="T1402">
        <v>-0.14308709999999999</v>
      </c>
      <c r="U1402">
        <v>-0.46456910000000001</v>
      </c>
      <c r="V1402">
        <v>3.9388600000000003E-2</v>
      </c>
      <c r="W1402">
        <v>7.2867920000000003E-2</v>
      </c>
      <c r="X1402">
        <v>0.99656350000000005</v>
      </c>
      <c r="Y1402">
        <v>0.14152899999999999</v>
      </c>
      <c r="Z1402">
        <v>-2.7991100000000001E-3</v>
      </c>
      <c r="AA1402">
        <v>0.98993019999999998</v>
      </c>
      <c r="AB1402">
        <v>21</v>
      </c>
      <c r="AC1402">
        <v>23.023799999999898</v>
      </c>
      <c r="AD1402">
        <v>-1.1105492195960001</v>
      </c>
      <c r="AE1402">
        <v>-3.6029000000000302</v>
      </c>
      <c r="AF1402">
        <v>3.3226931090457099</v>
      </c>
      <c r="AG1402">
        <v>-1.1105492195960001</v>
      </c>
      <c r="AH1402">
        <v>23.0125553427958</v>
      </c>
      <c r="AI1402">
        <v>92.734546216069106</v>
      </c>
      <c r="AJ1402">
        <v>81.784065366649003</v>
      </c>
      <c r="AK1402">
        <v>23.277699896495001</v>
      </c>
      <c r="AL1402">
        <v>85.821272165490697</v>
      </c>
      <c r="AM1402">
        <v>87.736595345092596</v>
      </c>
      <c r="AN1402">
        <v>1.00000000255366</v>
      </c>
    </row>
    <row r="1403" spans="1:40" x14ac:dyDescent="0.25">
      <c r="A1403" t="str">
        <f>"20190312153915648"</f>
        <v>20190312153915648</v>
      </c>
      <c r="B1403" t="str">
        <f>"1552376355637074"</f>
        <v>1552376355637074</v>
      </c>
      <c r="C1403" t="s">
        <v>40</v>
      </c>
      <c r="D1403">
        <v>4.4062289999999997</v>
      </c>
      <c r="E1403">
        <v>0.54003599999999996</v>
      </c>
      <c r="F1403" t="s">
        <v>49</v>
      </c>
      <c r="G1403">
        <v>-207.07</v>
      </c>
      <c r="H1403" s="1">
        <v>-5.0021589999999997E-6</v>
      </c>
      <c r="I1403">
        <v>364.7319</v>
      </c>
      <c r="J1403">
        <v>-230.3766</v>
      </c>
      <c r="K1403">
        <v>1.1105609999999999</v>
      </c>
      <c r="L1403">
        <v>368.36779999999999</v>
      </c>
      <c r="M1403">
        <v>0.99982459999999995</v>
      </c>
      <c r="N1403">
        <v>0</v>
      </c>
      <c r="O1403">
        <v>-1.2011920000000001E-2</v>
      </c>
      <c r="P1403">
        <v>0.99690219999999896</v>
      </c>
      <c r="Q1403">
        <v>5.9441599999999997E-2</v>
      </c>
      <c r="R1403">
        <v>-5.1505130000000003E-2</v>
      </c>
      <c r="S1403">
        <v>2.9936370000000001</v>
      </c>
      <c r="T1403">
        <v>-0.1414261</v>
      </c>
      <c r="U1403">
        <v>-0.46334839999999999</v>
      </c>
      <c r="V1403">
        <v>3.9543809999999999E-2</v>
      </c>
      <c r="W1403">
        <v>7.3766239999999997E-2</v>
      </c>
      <c r="X1403">
        <v>0.99649129999999997</v>
      </c>
      <c r="Y1403">
        <v>0.14093329999999901</v>
      </c>
      <c r="Z1403">
        <v>-2.7437669999999998E-3</v>
      </c>
      <c r="AA1403">
        <v>0.99001530000000004</v>
      </c>
      <c r="AB1403">
        <v>21</v>
      </c>
      <c r="AC1403">
        <v>23.3066</v>
      </c>
      <c r="AD1403">
        <v>-1.110566002159</v>
      </c>
      <c r="AE1403">
        <v>-3.6358999999999901</v>
      </c>
      <c r="AF1403">
        <v>3.34823000962942</v>
      </c>
      <c r="AG1403">
        <v>-1.110566002159</v>
      </c>
      <c r="AH1403">
        <v>23.296956708978598</v>
      </c>
      <c r="AI1403">
        <v>92.7015080111304</v>
      </c>
      <c r="AJ1403">
        <v>81.821474941416696</v>
      </c>
      <c r="AK1403">
        <v>23.5625166937354</v>
      </c>
      <c r="AL1403">
        <v>85.769663486400503</v>
      </c>
      <c r="AM1403">
        <v>87.7275213085139</v>
      </c>
      <c r="AN1403">
        <v>1.0000000410243699</v>
      </c>
    </row>
    <row r="1404" spans="1:40" x14ac:dyDescent="0.25">
      <c r="A1404" t="str">
        <f>"20190312153915671"</f>
        <v>20190312153915671</v>
      </c>
      <c r="B1404" t="str">
        <f>"1552376355667330"</f>
        <v>1552376355667330</v>
      </c>
      <c r="C1404" t="s">
        <v>40</v>
      </c>
      <c r="D1404">
        <v>4.4832739999999998</v>
      </c>
      <c r="E1404">
        <v>0.50289879999999998</v>
      </c>
      <c r="F1404" t="s">
        <v>49</v>
      </c>
      <c r="G1404">
        <v>-206.61269999999999</v>
      </c>
      <c r="H1404" s="1">
        <v>-4.8030859999999998E-6</v>
      </c>
      <c r="I1404">
        <v>364.66899999999998</v>
      </c>
      <c r="J1404">
        <v>-230.16749999999999</v>
      </c>
      <c r="K1404">
        <v>1.110582</v>
      </c>
      <c r="L1404">
        <v>368.36509999999998</v>
      </c>
      <c r="M1404">
        <v>0.99982260000000001</v>
      </c>
      <c r="N1404">
        <v>0</v>
      </c>
      <c r="O1404">
        <v>-1.2178430000000001E-2</v>
      </c>
      <c r="P1404">
        <v>0.99678549999999999</v>
      </c>
      <c r="Q1404">
        <v>6.1227530000000002E-2</v>
      </c>
      <c r="R1404">
        <v>-5.1674070000000003E-2</v>
      </c>
      <c r="S1404">
        <v>2.9936069999999999</v>
      </c>
      <c r="T1404">
        <v>-0.13990129999999901</v>
      </c>
      <c r="U1404">
        <v>-0.46594239999999998</v>
      </c>
      <c r="V1404">
        <v>3.9545950000000003E-2</v>
      </c>
      <c r="W1404">
        <v>7.5546530000000001E-2</v>
      </c>
      <c r="X1404">
        <v>0.99635779999999996</v>
      </c>
      <c r="Y1404">
        <v>0.14161009999999999</v>
      </c>
      <c r="Z1404">
        <v>-2.7220489999999998E-3</v>
      </c>
      <c r="AA1404">
        <v>0.98991879999999999</v>
      </c>
      <c r="AB1404">
        <v>21</v>
      </c>
      <c r="AC1404">
        <v>23.5548</v>
      </c>
      <c r="AD1404">
        <v>-1.110586803086</v>
      </c>
      <c r="AE1404">
        <v>-3.69609999999994</v>
      </c>
      <c r="AF1404">
        <v>3.4015556808195302</v>
      </c>
      <c r="AG1404">
        <v>-1.110586803086</v>
      </c>
      <c r="AH1404">
        <v>23.546982311302099</v>
      </c>
      <c r="AI1404">
        <v>92.6726365188904</v>
      </c>
      <c r="AJ1404">
        <v>81.780016339885194</v>
      </c>
      <c r="AK1404">
        <v>23.817312192304101</v>
      </c>
      <c r="AL1404">
        <v>85.6673747969743</v>
      </c>
      <c r="AM1404">
        <v>87.727094275265202</v>
      </c>
      <c r="AN1404">
        <v>1.0000000129886399</v>
      </c>
    </row>
    <row r="1405" spans="1:40" x14ac:dyDescent="0.25">
      <c r="A1405" t="str">
        <f>"20190312153915694"</f>
        <v>20190312153915694</v>
      </c>
      <c r="B1405" t="str">
        <f>"1552376355686849"</f>
        <v>1552376355686849</v>
      </c>
      <c r="C1405" t="s">
        <v>40</v>
      </c>
      <c r="D1405">
        <v>4.4280670000000004</v>
      </c>
      <c r="E1405">
        <v>0.48914489999999999</v>
      </c>
      <c r="F1405" t="s">
        <v>49</v>
      </c>
      <c r="G1405">
        <v>-208.7697</v>
      </c>
      <c r="H1405" s="1">
        <v>-5.256088E-6</v>
      </c>
      <c r="I1405">
        <v>367.15750000000003</v>
      </c>
      <c r="J1405">
        <v>-229.96</v>
      </c>
      <c r="K1405">
        <v>1.1105989999999999</v>
      </c>
      <c r="L1405">
        <v>368.36239999999998</v>
      </c>
      <c r="M1405">
        <v>0.99982090000000001</v>
      </c>
      <c r="N1405">
        <v>0</v>
      </c>
      <c r="O1405">
        <v>-1.232312E-2</v>
      </c>
      <c r="P1405">
        <v>0.99667669999999997</v>
      </c>
      <c r="Q1405">
        <v>6.2666689999999997E-2</v>
      </c>
      <c r="R1405">
        <v>-5.2045300000000003E-2</v>
      </c>
      <c r="S1405">
        <v>3.0104829999999998</v>
      </c>
      <c r="T1405">
        <v>-0.15624930000000001</v>
      </c>
      <c r="U1405">
        <v>-0.1698914</v>
      </c>
      <c r="V1405">
        <v>3.9772099999999998E-2</v>
      </c>
      <c r="W1405">
        <v>7.6980469999999995E-2</v>
      </c>
      <c r="X1405">
        <v>0.99623899999999999</v>
      </c>
      <c r="Y1405">
        <v>4.3992049999999998E-2</v>
      </c>
      <c r="Z1405">
        <v>-5.0130680000000003E-4</v>
      </c>
      <c r="AA1405">
        <v>0.99903180000000003</v>
      </c>
      <c r="AB1405">
        <v>20</v>
      </c>
      <c r="AC1405">
        <v>21.190300000000001</v>
      </c>
      <c r="AD1405">
        <v>-1.1106042560879901</v>
      </c>
      <c r="AE1405">
        <v>-1.2048999999999499</v>
      </c>
      <c r="AF1405">
        <v>0.94107422395771001</v>
      </c>
      <c r="AG1405">
        <v>-1.1106042560879901</v>
      </c>
      <c r="AH1405">
        <v>21.145642308044199</v>
      </c>
      <c r="AI1405">
        <v>93.003539483313403</v>
      </c>
      <c r="AJ1405">
        <v>87.451766929652806</v>
      </c>
      <c r="AK1405">
        <v>21.195689446875399</v>
      </c>
      <c r="AL1405">
        <v>85.5849759601996</v>
      </c>
      <c r="AM1405">
        <v>87.713837740639207</v>
      </c>
      <c r="AN1405">
        <v>0.99999997891041503</v>
      </c>
    </row>
    <row r="1406" spans="1:40" x14ac:dyDescent="0.25">
      <c r="A1406" t="str">
        <f>"20190312153915716"</f>
        <v>20190312153915716</v>
      </c>
      <c r="B1406" t="str">
        <f>"1552376355707346"</f>
        <v>1552376355707346</v>
      </c>
      <c r="C1406" t="s">
        <v>40</v>
      </c>
      <c r="D1406">
        <v>4.4957510000000003</v>
      </c>
      <c r="E1406">
        <v>0.48039130000000002</v>
      </c>
      <c r="F1406" t="s">
        <v>49</v>
      </c>
      <c r="G1406">
        <v>-206.49590000000001</v>
      </c>
      <c r="H1406" s="1">
        <v>-4.0363619999999901E-6</v>
      </c>
      <c r="I1406">
        <v>367.88159999999999</v>
      </c>
      <c r="J1406">
        <v>-229.7586</v>
      </c>
      <c r="K1406">
        <v>1.110611</v>
      </c>
      <c r="L1406">
        <v>368.35969999999998</v>
      </c>
      <c r="M1406">
        <v>0.99981949999999997</v>
      </c>
      <c r="N1406">
        <v>0</v>
      </c>
      <c r="O1406">
        <v>-1.244613E-2</v>
      </c>
      <c r="P1406">
        <v>0.99660629999999994</v>
      </c>
      <c r="Q1406">
        <v>6.3292879999999996E-2</v>
      </c>
      <c r="R1406">
        <v>-5.2632100000000001E-2</v>
      </c>
      <c r="S1406">
        <v>3.0157620000000001</v>
      </c>
      <c r="T1406">
        <v>-0.1427418</v>
      </c>
      <c r="U1406">
        <v>-6.1798100000000002E-2</v>
      </c>
      <c r="V1406">
        <v>4.0234890000000002E-2</v>
      </c>
      <c r="W1406">
        <v>7.7600899999999903E-2</v>
      </c>
      <c r="X1406">
        <v>0.99617230000000001</v>
      </c>
      <c r="Y1406">
        <v>8.0459399999999997E-3</v>
      </c>
      <c r="Z1406">
        <v>3.9845000000000001E-4</v>
      </c>
      <c r="AA1406">
        <v>0.99996759999999996</v>
      </c>
      <c r="AB1406">
        <v>20</v>
      </c>
      <c r="AC1406">
        <v>23.262699999999899</v>
      </c>
      <c r="AD1406">
        <v>-1.110615036362</v>
      </c>
      <c r="AE1406">
        <v>-0.47809999999998298</v>
      </c>
      <c r="AF1406">
        <v>0.188074035684065</v>
      </c>
      <c r="AG1406">
        <v>-1.110615036362</v>
      </c>
      <c r="AH1406">
        <v>23.213959008730701</v>
      </c>
      <c r="AI1406">
        <v>92.738997978179498</v>
      </c>
      <c r="AJ1406">
        <v>89.535813227058199</v>
      </c>
      <c r="AK1406">
        <v>23.241272135167598</v>
      </c>
      <c r="AL1406">
        <v>85.549321369122296</v>
      </c>
      <c r="AM1406">
        <v>87.687109886643498</v>
      </c>
      <c r="AN1406">
        <v>0.99999999867070599</v>
      </c>
    </row>
    <row r="1407" spans="1:40" x14ac:dyDescent="0.25">
      <c r="A1407" t="str">
        <f>"20190312153915739"</f>
        <v>20190312153915739</v>
      </c>
      <c r="B1407" t="str">
        <f>"1552376355726866"</f>
        <v>1552376355726866</v>
      </c>
      <c r="C1407" t="s">
        <v>40</v>
      </c>
      <c r="D1407">
        <v>4.4539249999999999</v>
      </c>
      <c r="E1407">
        <v>0.47571259999999999</v>
      </c>
      <c r="F1407" t="s">
        <v>49</v>
      </c>
      <c r="G1407">
        <v>-206.7919</v>
      </c>
      <c r="H1407" s="1">
        <v>-4.058315E-6</v>
      </c>
      <c r="I1407">
        <v>368.40449999999998</v>
      </c>
      <c r="J1407">
        <v>-229.5557</v>
      </c>
      <c r="K1407">
        <v>1.110617</v>
      </c>
      <c r="L1407">
        <v>368.3571</v>
      </c>
      <c r="M1407">
        <v>0.99981810000000004</v>
      </c>
      <c r="N1407">
        <v>0</v>
      </c>
      <c r="O1407">
        <v>-1.2557749999999999E-2</v>
      </c>
      <c r="P1407">
        <v>0.99659359999999997</v>
      </c>
      <c r="Q1407">
        <v>6.3364030000000002E-2</v>
      </c>
      <c r="R1407">
        <v>-5.278646E-2</v>
      </c>
      <c r="S1407">
        <v>3.019806</v>
      </c>
      <c r="T1407">
        <v>-0.14603079999999999</v>
      </c>
      <c r="U1407">
        <v>5.8898930000000002E-3</v>
      </c>
      <c r="V1407">
        <v>4.0276640000000002E-2</v>
      </c>
      <c r="W1407">
        <v>7.7667929999999996E-2</v>
      </c>
      <c r="X1407">
        <v>0.99616539999999998</v>
      </c>
      <c r="Y1407">
        <v>-1.447769E-2</v>
      </c>
      <c r="Z1407">
        <v>9.5681010000000003E-4</v>
      </c>
      <c r="AA1407">
        <v>0.99989470000000003</v>
      </c>
      <c r="AB1407">
        <v>20</v>
      </c>
      <c r="AC1407">
        <v>22.7638</v>
      </c>
      <c r="AD1407">
        <v>-1.110621058315</v>
      </c>
      <c r="AE1407">
        <v>4.7399999999981901E-2</v>
      </c>
      <c r="AF1407">
        <v>-0.33249637246208802</v>
      </c>
      <c r="AG1407">
        <v>-1.110621058315</v>
      </c>
      <c r="AH1407">
        <v>22.707357960510699</v>
      </c>
      <c r="AI1407">
        <v>92.799816071345404</v>
      </c>
      <c r="AJ1407">
        <v>90.838903298149404</v>
      </c>
      <c r="AK1407">
        <v>22.7369333578573</v>
      </c>
      <c r="AL1407">
        <v>85.545469255649195</v>
      </c>
      <c r="AM1407">
        <v>87.684696491827495</v>
      </c>
      <c r="AN1407">
        <v>1.0000000096186601</v>
      </c>
    </row>
    <row r="1408" spans="1:40" x14ac:dyDescent="0.25">
      <c r="A1408" t="str">
        <f>"20190312153915761"</f>
        <v>20190312153915761</v>
      </c>
      <c r="B1408" t="str">
        <f>"1552376355757121"</f>
        <v>1552376355757121</v>
      </c>
      <c r="C1408" t="s">
        <v>40</v>
      </c>
      <c r="D1408">
        <v>4.5050280000000003</v>
      </c>
      <c r="E1408">
        <v>0.47192820000000002</v>
      </c>
      <c r="F1408" t="s">
        <v>49</v>
      </c>
      <c r="G1408">
        <v>-207.73410000000001</v>
      </c>
      <c r="H1408" s="1">
        <v>-4.4388599999999997E-6</v>
      </c>
      <c r="I1408">
        <v>368.66750000000002</v>
      </c>
      <c r="J1408">
        <v>-229.3545</v>
      </c>
      <c r="K1408">
        <v>1.1106210000000001</v>
      </c>
      <c r="L1408">
        <v>368.3544</v>
      </c>
      <c r="M1408">
        <v>0.99981699999999996</v>
      </c>
      <c r="N1408">
        <v>0</v>
      </c>
      <c r="O1408">
        <v>-1.2660889999999999E-2</v>
      </c>
      <c r="P1408">
        <v>0.99659660000000005</v>
      </c>
      <c r="Q1408">
        <v>6.2263489999999998E-2</v>
      </c>
      <c r="R1408">
        <v>-5.4025839999999999E-2</v>
      </c>
      <c r="S1408">
        <v>3.0223080000000002</v>
      </c>
      <c r="T1408">
        <v>-0.15382179999999901</v>
      </c>
      <c r="U1408">
        <v>4.2999269999999999E-2</v>
      </c>
      <c r="V1408">
        <v>4.1412150000000002E-2</v>
      </c>
      <c r="W1408">
        <v>7.6563049999999994E-2</v>
      </c>
      <c r="X1408">
        <v>0.99620439999999999</v>
      </c>
      <c r="Y1408">
        <v>-2.6834509999999999E-2</v>
      </c>
      <c r="Z1408">
        <v>1.326402E-3</v>
      </c>
      <c r="AA1408">
        <v>0.99963900000000006</v>
      </c>
      <c r="AB1408">
        <v>20</v>
      </c>
      <c r="AC1408">
        <v>21.620399999999901</v>
      </c>
      <c r="AD1408">
        <v>-1.1106254388600001</v>
      </c>
      <c r="AE1408">
        <v>0.31310000000001897</v>
      </c>
      <c r="AF1408">
        <v>-0.58529240839622798</v>
      </c>
      <c r="AG1408">
        <v>-1.1106254388600001</v>
      </c>
      <c r="AH1408">
        <v>21.5578271488497</v>
      </c>
      <c r="AI1408">
        <v>92.948096914153197</v>
      </c>
      <c r="AJ1408">
        <v>91.555191463311104</v>
      </c>
      <c r="AK1408">
        <v>21.594350359490999</v>
      </c>
      <c r="AL1408">
        <v>85.608963412941407</v>
      </c>
      <c r="AM1408">
        <v>87.619588826411999</v>
      </c>
      <c r="AN1408">
        <v>1.0000000366861399</v>
      </c>
    </row>
    <row r="1409" spans="1:40" x14ac:dyDescent="0.25">
      <c r="A1409" t="str">
        <f>"20190312153915783"</f>
        <v>20190312153915783</v>
      </c>
      <c r="B1409" t="str">
        <f>"1552376355777618"</f>
        <v>1552376355777618</v>
      </c>
      <c r="C1409" t="s">
        <v>40</v>
      </c>
      <c r="D1409">
        <v>4.5044269999999997</v>
      </c>
      <c r="E1409">
        <v>0.47057769999999999</v>
      </c>
      <c r="F1409" t="s">
        <v>49</v>
      </c>
      <c r="G1409">
        <v>-208.7259</v>
      </c>
      <c r="H1409" s="1">
        <v>-4.8654750000000002E-6</v>
      </c>
      <c r="I1409">
        <v>368.82709999999997</v>
      </c>
      <c r="J1409">
        <v>-229.15270000000001</v>
      </c>
      <c r="K1409">
        <v>1.1106210000000001</v>
      </c>
      <c r="L1409">
        <v>368.35169999999999</v>
      </c>
      <c r="M1409">
        <v>0.99981580000000003</v>
      </c>
      <c r="N1409">
        <v>0</v>
      </c>
      <c r="O1409">
        <v>-1.2760280000000001E-2</v>
      </c>
      <c r="P1409">
        <v>0.99659640000000005</v>
      </c>
      <c r="Q1409">
        <v>6.0844059999999998E-2</v>
      </c>
      <c r="R1409">
        <v>-5.5620280000000001E-2</v>
      </c>
      <c r="S1409">
        <v>3.0241850000000001</v>
      </c>
      <c r="T1409">
        <v>-0.16281889999999999</v>
      </c>
      <c r="U1409">
        <v>6.9305420000000006E-2</v>
      </c>
      <c r="V1409">
        <v>4.290749E-2</v>
      </c>
      <c r="W1409">
        <v>7.5138559999999993E-2</v>
      </c>
      <c r="X1409">
        <v>0.99624959999999996</v>
      </c>
      <c r="Y1409">
        <v>-3.5597419999999998E-2</v>
      </c>
      <c r="Z1409">
        <v>1.6439390000000001E-3</v>
      </c>
      <c r="AA1409">
        <v>0.9993649</v>
      </c>
      <c r="AB1409">
        <v>20</v>
      </c>
      <c r="AC1409">
        <v>20.4268</v>
      </c>
      <c r="AD1409">
        <v>-1.1106258654750001</v>
      </c>
      <c r="AE1409">
        <v>0.47539999999997901</v>
      </c>
      <c r="AF1409">
        <v>-0.73387146424039196</v>
      </c>
      <c r="AG1409">
        <v>-1.1106258654750001</v>
      </c>
      <c r="AH1409">
        <v>20.358917136411598</v>
      </c>
      <c r="AI1409">
        <v>93.120499159349905</v>
      </c>
      <c r="AJ1409">
        <v>92.064429053116001</v>
      </c>
      <c r="AK1409">
        <v>20.402391136980999</v>
      </c>
      <c r="AL1409">
        <v>85.690816589742695</v>
      </c>
      <c r="AM1409">
        <v>87.533851252487906</v>
      </c>
      <c r="AN1409">
        <v>1.00000006069856</v>
      </c>
    </row>
    <row r="1410" spans="1:40" x14ac:dyDescent="0.25">
      <c r="A1410" t="str">
        <f>"20190312153915805"</f>
        <v>20190312153915805</v>
      </c>
      <c r="B1410" t="str">
        <f>"1552376355797137"</f>
        <v>1552376355797137</v>
      </c>
      <c r="C1410" t="s">
        <v>40</v>
      </c>
      <c r="D1410">
        <v>4.4744679999999999</v>
      </c>
      <c r="E1410">
        <v>0.46972969999999997</v>
      </c>
      <c r="F1410" t="s">
        <v>49</v>
      </c>
      <c r="G1410">
        <v>-209.3135</v>
      </c>
      <c r="H1410" s="1">
        <v>-5.1345109999999998E-6</v>
      </c>
      <c r="I1410">
        <v>368.84829999999999</v>
      </c>
      <c r="J1410">
        <v>-228.95060000000001</v>
      </c>
      <c r="K1410">
        <v>1.1106100000000001</v>
      </c>
      <c r="L1410">
        <v>368.34910000000002</v>
      </c>
      <c r="M1410">
        <v>0.9998146</v>
      </c>
      <c r="N1410">
        <v>0</v>
      </c>
      <c r="O1410">
        <v>-1.285795E-2</v>
      </c>
      <c r="P1410">
        <v>0.99652790000000002</v>
      </c>
      <c r="Q1410">
        <v>6.0110730000000001E-2</v>
      </c>
      <c r="R1410">
        <v>-5.7611620000000002E-2</v>
      </c>
      <c r="S1410">
        <v>3.0248110000000001</v>
      </c>
      <c r="T1410">
        <v>-0.16933290000000001</v>
      </c>
      <c r="U1410">
        <v>7.5714110000000001E-2</v>
      </c>
      <c r="V1410">
        <v>4.4802759999999997E-2</v>
      </c>
      <c r="W1410">
        <v>7.4399160000000006E-2</v>
      </c>
      <c r="X1410">
        <v>0.99622160000000004</v>
      </c>
      <c r="Y1410">
        <v>-3.77971E-2</v>
      </c>
      <c r="Z1410">
        <v>1.77619E-3</v>
      </c>
      <c r="AA1410">
        <v>0.9992839</v>
      </c>
      <c r="AB1410">
        <v>20</v>
      </c>
      <c r="AC1410">
        <v>19.6371</v>
      </c>
      <c r="AD1410">
        <v>-1.110615134511</v>
      </c>
      <c r="AE1410">
        <v>0.499199999999973</v>
      </c>
      <c r="AF1410">
        <v>-0.74928233825435697</v>
      </c>
      <c r="AG1410">
        <v>-1.110615134511</v>
      </c>
      <c r="AH1410">
        <v>19.566510155064599</v>
      </c>
      <c r="AI1410">
        <v>93.246306883559797</v>
      </c>
      <c r="AJ1410">
        <v>92.193020045303399</v>
      </c>
      <c r="AK1410">
        <v>19.612322902901401</v>
      </c>
      <c r="AL1410">
        <v>85.733299740794394</v>
      </c>
      <c r="AM1410">
        <v>87.424990054955401</v>
      </c>
      <c r="AN1410">
        <v>0.99999999930944095</v>
      </c>
    </row>
    <row r="1411" spans="1:40" x14ac:dyDescent="0.25">
      <c r="A1411" t="str">
        <f>"20190312153915820"</f>
        <v>20190312153915820</v>
      </c>
      <c r="B1411" t="str">
        <f>"1552376355806898"</f>
        <v>1552376355806898</v>
      </c>
      <c r="C1411" t="s">
        <v>40</v>
      </c>
      <c r="D1411">
        <v>4.466488</v>
      </c>
      <c r="E1411">
        <v>0.46917609999999899</v>
      </c>
      <c r="F1411" t="s">
        <v>49</v>
      </c>
      <c r="G1411">
        <v>-209.56039999999999</v>
      </c>
      <c r="H1411" s="1">
        <v>-5.2511590000000002E-6</v>
      </c>
      <c r="I1411">
        <v>368.84100000000001</v>
      </c>
      <c r="J1411">
        <v>-228.81809999999999</v>
      </c>
      <c r="K1411">
        <v>1.1106039999999999</v>
      </c>
      <c r="L1411">
        <v>368.34730000000002</v>
      </c>
      <c r="M1411">
        <v>0.99981379999999997</v>
      </c>
      <c r="N1411">
        <v>0</v>
      </c>
      <c r="O1411">
        <v>-1.292271E-2</v>
      </c>
      <c r="P1411">
        <v>0.99648559999999997</v>
      </c>
      <c r="Q1411">
        <v>6.0000850000000001E-2</v>
      </c>
      <c r="R1411">
        <v>-5.8451969999999999E-2</v>
      </c>
      <c r="S1411">
        <v>3.02536</v>
      </c>
      <c r="T1411">
        <v>-0.17328450000000001</v>
      </c>
      <c r="U1411">
        <v>7.6751710000000001E-2</v>
      </c>
      <c r="V1411">
        <v>4.5579340000000003E-2</v>
      </c>
      <c r="W1411">
        <v>7.4285039999999997E-2</v>
      </c>
      <c r="X1411">
        <v>0.99619489999999999</v>
      </c>
      <c r="Y1411">
        <v>-3.8195319999999998E-2</v>
      </c>
      <c r="Z1411">
        <v>1.832335E-3</v>
      </c>
      <c r="AA1411">
        <v>0.99926859999999995</v>
      </c>
      <c r="AB1411">
        <v>20</v>
      </c>
      <c r="AC1411">
        <v>19.2577</v>
      </c>
      <c r="AD1411">
        <v>-1.110609251159</v>
      </c>
      <c r="AE1411">
        <v>0.49369999999998898</v>
      </c>
      <c r="AF1411">
        <v>-0.74008613568159698</v>
      </c>
      <c r="AG1411">
        <v>-1.110609251159</v>
      </c>
      <c r="AH1411">
        <v>19.185941740326498</v>
      </c>
      <c r="AI1411">
        <v>93.310505098982702</v>
      </c>
      <c r="AJ1411">
        <v>92.209054906733897</v>
      </c>
      <c r="AK1411">
        <v>19.232304616457</v>
      </c>
      <c r="AL1411">
        <v>85.739856529281695</v>
      </c>
      <c r="AM1411">
        <v>87.380348149619095</v>
      </c>
      <c r="AN1411">
        <v>1.0000000110943199</v>
      </c>
    </row>
    <row r="1412" spans="1:40" x14ac:dyDescent="0.25">
      <c r="A1412" t="str">
        <f>"20190312153915834"</f>
        <v>20190312153915834</v>
      </c>
      <c r="B1412" t="str">
        <f>"1552376355827393"</f>
        <v>1552376355827393</v>
      </c>
      <c r="C1412" t="s">
        <v>40</v>
      </c>
      <c r="D1412">
        <v>4.5051670000000001</v>
      </c>
      <c r="E1412">
        <v>0.46832459999999998</v>
      </c>
      <c r="F1412" t="s">
        <v>49</v>
      </c>
      <c r="G1412">
        <v>-209.6079</v>
      </c>
      <c r="H1412" s="1">
        <v>-5.2717760000000003E-6</v>
      </c>
      <c r="I1412">
        <v>368.84769999999997</v>
      </c>
      <c r="J1412">
        <v>-228.685</v>
      </c>
      <c r="K1412">
        <v>1.110598</v>
      </c>
      <c r="L1412">
        <v>368.34550000000002</v>
      </c>
      <c r="M1412">
        <v>0.99981299999999995</v>
      </c>
      <c r="N1412">
        <v>0</v>
      </c>
      <c r="O1412">
        <v>-1.298915E-2</v>
      </c>
      <c r="P1412">
        <v>0.99644469999999996</v>
      </c>
      <c r="Q1412">
        <v>6.001534E-2</v>
      </c>
      <c r="R1412">
        <v>-5.9131980000000001E-2</v>
      </c>
      <c r="S1412">
        <v>3.0257260000000001</v>
      </c>
      <c r="T1412">
        <v>-0.174927799999999</v>
      </c>
      <c r="U1412">
        <v>7.8826899999999894E-2</v>
      </c>
      <c r="V1412">
        <v>4.6194329999999999E-2</v>
      </c>
      <c r="W1412">
        <v>7.42955E-2</v>
      </c>
      <c r="X1412">
        <v>0.99616579999999999</v>
      </c>
      <c r="Y1412">
        <v>-3.8940610000000001E-2</v>
      </c>
      <c r="Z1412">
        <v>1.874805E-3</v>
      </c>
      <c r="AA1412">
        <v>0.99923969999999995</v>
      </c>
      <c r="AB1412">
        <v>20</v>
      </c>
      <c r="AC1412">
        <v>19.077100000000002</v>
      </c>
      <c r="AD1412">
        <v>-1.1106032717759999</v>
      </c>
      <c r="AE1412">
        <v>0.50219999999995901</v>
      </c>
      <c r="AF1412">
        <v>-0.74744690208279796</v>
      </c>
      <c r="AG1412">
        <v>-1.1106032717759999</v>
      </c>
      <c r="AH1412">
        <v>19.004601261002801</v>
      </c>
      <c r="AI1412">
        <v>93.341906512411796</v>
      </c>
      <c r="AJ1412">
        <v>92.252269935566403</v>
      </c>
      <c r="AK1412">
        <v>19.0516924599475</v>
      </c>
      <c r="AL1412">
        <v>85.739255589623696</v>
      </c>
      <c r="AM1412">
        <v>87.344974672232595</v>
      </c>
      <c r="AN1412">
        <v>1.00000001926701</v>
      </c>
    </row>
    <row r="1413" spans="1:40" x14ac:dyDescent="0.25">
      <c r="A1413" t="str">
        <f>"20190312153915847"</f>
        <v>20190312153915847</v>
      </c>
      <c r="B1413" t="str">
        <f>"1552376355837154"</f>
        <v>1552376355837154</v>
      </c>
      <c r="C1413" t="s">
        <v>40</v>
      </c>
      <c r="D1413">
        <v>4.4366960000000004</v>
      </c>
      <c r="E1413">
        <v>0.46788679999999999</v>
      </c>
      <c r="F1413" t="s">
        <v>49</v>
      </c>
      <c r="G1413">
        <v>-209.63220000000001</v>
      </c>
      <c r="H1413" s="1">
        <v>-5.2775559999999997E-6</v>
      </c>
      <c r="I1413">
        <v>368.87270000000001</v>
      </c>
      <c r="J1413">
        <v>-228.56639999999999</v>
      </c>
      <c r="K1413">
        <v>1.11059</v>
      </c>
      <c r="L1413">
        <v>368.34379999999999</v>
      </c>
      <c r="M1413">
        <v>0.99981220000000004</v>
      </c>
      <c r="N1413">
        <v>0</v>
      </c>
      <c r="O1413">
        <v>-1.3050799999999901E-2</v>
      </c>
      <c r="P1413">
        <v>0.99640430000000002</v>
      </c>
      <c r="Q1413">
        <v>6.00481E-2</v>
      </c>
      <c r="R1413">
        <v>-5.9773449999999999E-2</v>
      </c>
      <c r="S1413">
        <v>3.0263209999999998</v>
      </c>
      <c r="T1413">
        <v>-0.1764067</v>
      </c>
      <c r="U1413">
        <v>8.3740229999999999E-2</v>
      </c>
      <c r="V1413">
        <v>4.6775400000000002E-2</v>
      </c>
      <c r="W1413">
        <v>7.4324029999999999E-2</v>
      </c>
      <c r="X1413">
        <v>0.99613649999999998</v>
      </c>
      <c r="Y1413">
        <v>-4.0613799999999999E-2</v>
      </c>
      <c r="Z1413">
        <v>1.9425239999999999E-3</v>
      </c>
      <c r="AA1413">
        <v>0.99917299999999998</v>
      </c>
      <c r="AB1413">
        <v>20</v>
      </c>
      <c r="AC1413">
        <v>18.934199999999901</v>
      </c>
      <c r="AD1413">
        <v>-1.110595277556</v>
      </c>
      <c r="AE1413">
        <v>0.52890000000002102</v>
      </c>
      <c r="AF1413">
        <v>-0.77332822847035598</v>
      </c>
      <c r="AG1413">
        <v>-1.110595277556</v>
      </c>
      <c r="AH1413">
        <v>18.860844287223099</v>
      </c>
      <c r="AI1413">
        <v>93.367070635412503</v>
      </c>
      <c r="AJ1413">
        <v>92.347913929742802</v>
      </c>
      <c r="AK1413">
        <v>18.909333823441699</v>
      </c>
      <c r="AL1413">
        <v>85.737616169037395</v>
      </c>
      <c r="AM1413">
        <v>87.311547329318302</v>
      </c>
      <c r="AN1413">
        <v>0.99999996305642402</v>
      </c>
    </row>
    <row r="1414" spans="1:40" x14ac:dyDescent="0.25">
      <c r="A1414" t="str">
        <f>"20190312153915861"</f>
        <v>20190312153915861</v>
      </c>
      <c r="B1414" t="str">
        <f>"1552376355857650"</f>
        <v>1552376355857650</v>
      </c>
      <c r="C1414" t="s">
        <v>40</v>
      </c>
      <c r="D1414">
        <v>4.4015890000000004</v>
      </c>
      <c r="E1414">
        <v>0.46702850000000001</v>
      </c>
      <c r="F1414" t="s">
        <v>49</v>
      </c>
      <c r="G1414">
        <v>-209.62100000000001</v>
      </c>
      <c r="H1414" s="1">
        <v>-5.2713179999999999E-6</v>
      </c>
      <c r="I1414">
        <v>368.87740000000002</v>
      </c>
      <c r="J1414">
        <v>-228.44970000000001</v>
      </c>
      <c r="K1414">
        <v>1.1105860000000001</v>
      </c>
      <c r="L1414">
        <v>368.34219999999999</v>
      </c>
      <c r="M1414">
        <v>0.99981140000000002</v>
      </c>
      <c r="N1414">
        <v>0</v>
      </c>
      <c r="O1414">
        <v>-1.311257E-2</v>
      </c>
      <c r="P1414">
        <v>0.99639420000000001</v>
      </c>
      <c r="Q1414">
        <v>5.9888719999999999E-2</v>
      </c>
      <c r="R1414">
        <v>-6.0100880000000002E-2</v>
      </c>
      <c r="S1414">
        <v>3.026627</v>
      </c>
      <c r="T1414">
        <v>-0.1774232</v>
      </c>
      <c r="U1414">
        <v>8.5235599999999995E-2</v>
      </c>
      <c r="V1414">
        <v>4.704158E-2</v>
      </c>
      <c r="W1414">
        <v>7.4161870000000005E-2</v>
      </c>
      <c r="X1414">
        <v>0.99613609999999997</v>
      </c>
      <c r="Y1414">
        <v>-4.1163940000000003E-2</v>
      </c>
      <c r="Z1414">
        <v>1.973214E-3</v>
      </c>
      <c r="AA1414">
        <v>0.99915050000000005</v>
      </c>
      <c r="AB1414">
        <v>20</v>
      </c>
      <c r="AC1414">
        <v>18.828700000000001</v>
      </c>
      <c r="AD1414">
        <v>-1.110591271318</v>
      </c>
      <c r="AE1414">
        <v>0.53520000000003098</v>
      </c>
      <c r="AF1414">
        <v>-0.77936266506168905</v>
      </c>
      <c r="AG1414">
        <v>-1.110591271318</v>
      </c>
      <c r="AH1414">
        <v>18.7548648194213</v>
      </c>
      <c r="AI1414">
        <v>93.385963809203801</v>
      </c>
      <c r="AJ1414">
        <v>92.379570044612294</v>
      </c>
      <c r="AK1414">
        <v>18.803876555922901</v>
      </c>
      <c r="AL1414">
        <v>85.746933171916595</v>
      </c>
      <c r="AM1414">
        <v>87.296269979253395</v>
      </c>
      <c r="AN1414">
        <v>1.000000011467</v>
      </c>
    </row>
    <row r="1415" spans="1:40" x14ac:dyDescent="0.25">
      <c r="A1415" t="str">
        <f>"20190312153915873"</f>
        <v>20190312153915873</v>
      </c>
      <c r="B1415" t="str">
        <f>"1552376355867410"</f>
        <v>1552376355867410</v>
      </c>
      <c r="C1415" t="s">
        <v>40</v>
      </c>
      <c r="D1415">
        <v>4.4286479999999999</v>
      </c>
      <c r="E1415">
        <v>0.46664489999999997</v>
      </c>
      <c r="F1415" t="s">
        <v>49</v>
      </c>
      <c r="G1415">
        <v>-209.9067</v>
      </c>
      <c r="H1415" s="1">
        <v>-5.3653369999999997E-6</v>
      </c>
      <c r="I1415">
        <v>368.90249999999997</v>
      </c>
      <c r="J1415">
        <v>-228.34</v>
      </c>
      <c r="K1415">
        <v>1.1105860000000001</v>
      </c>
      <c r="L1415">
        <v>368.34070000000003</v>
      </c>
      <c r="M1415">
        <v>0.99981070000000005</v>
      </c>
      <c r="N1415">
        <v>0</v>
      </c>
      <c r="O1415">
        <v>-1.3172299999999901E-2</v>
      </c>
      <c r="P1415">
        <v>0.99641559999999996</v>
      </c>
      <c r="Q1415">
        <v>5.964465E-2</v>
      </c>
      <c r="R1415">
        <v>-5.9989269999999997E-2</v>
      </c>
      <c r="S1415">
        <v>3.0272830000000002</v>
      </c>
      <c r="T1415">
        <v>-0.18131230000000001</v>
      </c>
      <c r="U1415">
        <v>9.1461180000000003E-2</v>
      </c>
      <c r="V1415">
        <v>4.6870450000000001E-2</v>
      </c>
      <c r="W1415">
        <v>7.3915069999999999E-2</v>
      </c>
      <c r="X1415">
        <v>0.99616249999999995</v>
      </c>
      <c r="Y1415">
        <v>-4.3262500000000002E-2</v>
      </c>
      <c r="Z1415">
        <v>2.0822430000000001E-3</v>
      </c>
      <c r="AA1415">
        <v>0.99906159999999999</v>
      </c>
      <c r="AB1415">
        <v>20</v>
      </c>
      <c r="AC1415">
        <v>18.433299999999999</v>
      </c>
      <c r="AD1415">
        <v>-1.1105913653370001</v>
      </c>
      <c r="AE1415">
        <v>0.56179999999994801</v>
      </c>
      <c r="AF1415">
        <v>-0.80167774370754197</v>
      </c>
      <c r="AG1415">
        <v>-1.1105913653370001</v>
      </c>
      <c r="AH1415">
        <v>18.357723422100602</v>
      </c>
      <c r="AI1415">
        <v>93.458727947260499</v>
      </c>
      <c r="AJ1415">
        <v>92.500505366240802</v>
      </c>
      <c r="AK1415">
        <v>18.408750898088002</v>
      </c>
      <c r="AL1415">
        <v>85.761112645277095</v>
      </c>
      <c r="AM1415">
        <v>87.306162503731002</v>
      </c>
      <c r="AN1415">
        <v>1.00000000153127</v>
      </c>
    </row>
    <row r="1416" spans="1:40" x14ac:dyDescent="0.25">
      <c r="A1416" t="str">
        <f>"20190312153915885"</f>
        <v>20190312153915885</v>
      </c>
      <c r="B1416" t="str">
        <f>"1552376355877170"</f>
        <v>1552376355877170</v>
      </c>
      <c r="C1416" t="s">
        <v>40</v>
      </c>
      <c r="D1416">
        <v>4.4661080000000002</v>
      </c>
      <c r="E1416">
        <v>0.46623350000000002</v>
      </c>
      <c r="F1416" t="s">
        <v>42</v>
      </c>
      <c r="G1416">
        <v>-210.0643</v>
      </c>
      <c r="H1416" s="1">
        <v>-4.3693620000000003E-6</v>
      </c>
      <c r="I1416">
        <v>368.91379999999998</v>
      </c>
      <c r="J1416">
        <v>-228.22470000000001</v>
      </c>
      <c r="K1416">
        <v>1.1105830000000001</v>
      </c>
      <c r="L1416">
        <v>368.33909999999997</v>
      </c>
      <c r="M1416">
        <v>0.99980970000000002</v>
      </c>
      <c r="N1416">
        <v>0</v>
      </c>
      <c r="O1416">
        <v>-1.323656E-2</v>
      </c>
      <c r="P1416">
        <v>0.99643139999999997</v>
      </c>
      <c r="Q1416">
        <v>5.9443639999999999E-2</v>
      </c>
      <c r="R1416">
        <v>-5.9926970000000003E-2</v>
      </c>
      <c r="S1416">
        <v>3.0275120000000002</v>
      </c>
      <c r="T1416">
        <v>-0.18397720000000001</v>
      </c>
      <c r="U1416">
        <v>9.4940189999999994E-2</v>
      </c>
      <c r="V1416">
        <v>4.6743949999999999E-2</v>
      </c>
      <c r="W1416">
        <v>7.3711550000000001E-2</v>
      </c>
      <c r="X1416">
        <v>0.9961835</v>
      </c>
      <c r="Y1416">
        <v>-4.446605E-2</v>
      </c>
      <c r="Z1416">
        <v>2.1530249999999998E-3</v>
      </c>
      <c r="AA1416">
        <v>0.99900860000000002</v>
      </c>
      <c r="AB1416">
        <v>20</v>
      </c>
      <c r="AC1416">
        <v>18.160399999999999</v>
      </c>
      <c r="AD1416">
        <v>-1.1105873693619901</v>
      </c>
      <c r="AE1416">
        <v>0.57470000000000698</v>
      </c>
      <c r="AF1416">
        <v>-0.81202174739799904</v>
      </c>
      <c r="AG1416">
        <v>-1.1105873693619901</v>
      </c>
      <c r="AH1416">
        <v>18.083638355905101</v>
      </c>
      <c r="AI1416">
        <v>93.510816473437998</v>
      </c>
      <c r="AJ1416">
        <v>92.571063715771203</v>
      </c>
      <c r="AK1416">
        <v>18.1358969949213</v>
      </c>
      <c r="AL1416">
        <v>85.772805277726803</v>
      </c>
      <c r="AM1416">
        <v>87.313478863759599</v>
      </c>
      <c r="AN1416">
        <v>0.99999997756862702</v>
      </c>
    </row>
    <row r="1417" spans="1:40" x14ac:dyDescent="0.25">
      <c r="A1417" t="str">
        <f>"20190312153915902"</f>
        <v>20190312153915902</v>
      </c>
      <c r="B1417" t="str">
        <f>"1552376355897665"</f>
        <v>1552376355897665</v>
      </c>
      <c r="C1417" t="s">
        <v>40</v>
      </c>
      <c r="D1417">
        <v>4.4343029999999999</v>
      </c>
      <c r="E1417">
        <v>0.46571889999999999</v>
      </c>
      <c r="F1417" t="s">
        <v>42</v>
      </c>
      <c r="G1417">
        <v>-210.27500000000001</v>
      </c>
      <c r="H1417" s="1">
        <v>-4.2773800000000002E-6</v>
      </c>
      <c r="I1417">
        <v>368.9228</v>
      </c>
      <c r="J1417">
        <v>-228.0795</v>
      </c>
      <c r="K1417">
        <v>1.110579</v>
      </c>
      <c r="L1417">
        <v>368.33710000000002</v>
      </c>
      <c r="M1417">
        <v>0.99980880000000005</v>
      </c>
      <c r="N1417">
        <v>0</v>
      </c>
      <c r="O1417">
        <v>-1.3319289999999999E-2</v>
      </c>
      <c r="P1417">
        <v>0.99645879999999998</v>
      </c>
      <c r="Q1417">
        <v>5.9317540000000002E-2</v>
      </c>
      <c r="R1417">
        <v>-5.959528E-2</v>
      </c>
      <c r="S1417">
        <v>3.027847</v>
      </c>
      <c r="T1417">
        <v>-0.1873379</v>
      </c>
      <c r="U1417">
        <v>9.8449709999999996E-2</v>
      </c>
      <c r="V1417">
        <v>4.6329790000000003E-2</v>
      </c>
      <c r="W1417">
        <v>7.35822E-2</v>
      </c>
      <c r="X1417">
        <v>0.9962124</v>
      </c>
      <c r="Y1417">
        <v>-4.5695569999999998E-2</v>
      </c>
      <c r="Z1417">
        <v>2.2351010000000002E-3</v>
      </c>
      <c r="AA1417">
        <v>0.99895290000000003</v>
      </c>
      <c r="AB1417">
        <v>20</v>
      </c>
      <c r="AC1417">
        <v>17.804499999999901</v>
      </c>
      <c r="AD1417">
        <v>-1.11058327738</v>
      </c>
      <c r="AE1417">
        <v>0.58569999999997402</v>
      </c>
      <c r="AF1417">
        <v>-0.81963004234874004</v>
      </c>
      <c r="AG1417">
        <v>-1.11058327738</v>
      </c>
      <c r="AH1417">
        <v>17.7262231730598</v>
      </c>
      <c r="AI1417">
        <v>93.581192942076498</v>
      </c>
      <c r="AJ1417">
        <v>92.647372604517699</v>
      </c>
      <c r="AK1417">
        <v>17.779881231421101</v>
      </c>
      <c r="AL1417">
        <v>85.780236626316906</v>
      </c>
      <c r="AM1417">
        <v>87.3373246589818</v>
      </c>
      <c r="AN1417">
        <v>0.99999996775602096</v>
      </c>
    </row>
    <row r="1418" spans="1:40" x14ac:dyDescent="0.25">
      <c r="A1418" t="str">
        <f>"20190312153915916"</f>
        <v>20190312153915916</v>
      </c>
      <c r="B1418" t="str">
        <f>"1552376355907426"</f>
        <v>1552376355907426</v>
      </c>
      <c r="C1418" t="s">
        <v>40</v>
      </c>
      <c r="D1418">
        <v>4.7531429999999997</v>
      </c>
      <c r="E1418">
        <v>0.46571889999999999</v>
      </c>
      <c r="F1418" t="s">
        <v>42</v>
      </c>
      <c r="G1418">
        <v>-210.37459999999999</v>
      </c>
      <c r="H1418" s="1">
        <v>-4.2309030000000003E-6</v>
      </c>
      <c r="I1418">
        <v>368.94380000000001</v>
      </c>
      <c r="J1418">
        <v>-227.9486</v>
      </c>
      <c r="K1418">
        <v>1.110574</v>
      </c>
      <c r="L1418">
        <v>368.33530000000002</v>
      </c>
      <c r="M1418">
        <v>0.99980780000000002</v>
      </c>
      <c r="N1418">
        <v>0</v>
      </c>
      <c r="O1418">
        <v>-1.339391E-2</v>
      </c>
      <c r="P1418">
        <v>0.99651029999999996</v>
      </c>
      <c r="Q1418">
        <v>5.872434E-2</v>
      </c>
      <c r="R1418">
        <v>-5.9320810000000002E-2</v>
      </c>
      <c r="S1418">
        <v>3.028168</v>
      </c>
      <c r="T1418">
        <v>-0.18994920000000001</v>
      </c>
      <c r="U1418">
        <v>0.1037598</v>
      </c>
      <c r="V1418">
        <v>4.5980439999999997E-2</v>
      </c>
      <c r="W1418">
        <v>7.2986800000000004E-2</v>
      </c>
      <c r="X1418">
        <v>0.99627239999999995</v>
      </c>
      <c r="Y1418">
        <v>-4.7509549999999998E-2</v>
      </c>
      <c r="Z1418">
        <v>2.3273880000000001E-3</v>
      </c>
      <c r="AA1418">
        <v>0.99886799999999998</v>
      </c>
      <c r="AB1418">
        <v>20</v>
      </c>
      <c r="AC1418">
        <v>17.574000000000002</v>
      </c>
      <c r="AD1418">
        <v>-1.1105782309029999</v>
      </c>
      <c r="AE1418">
        <v>0.60849999999999205</v>
      </c>
      <c r="AF1418">
        <v>-0.84050155612852195</v>
      </c>
      <c r="AG1418">
        <v>-1.1105782309029999</v>
      </c>
      <c r="AH1418">
        <v>17.494491082745601</v>
      </c>
      <c r="AI1418">
        <v>93.628179774742804</v>
      </c>
      <c r="AJ1418">
        <v>92.750591064109003</v>
      </c>
      <c r="AK1418">
        <v>17.549844589541902</v>
      </c>
      <c r="AL1418">
        <v>85.814442581960705</v>
      </c>
      <c r="AM1418">
        <v>87.357532930073106</v>
      </c>
      <c r="AN1418">
        <v>0.99999998441929605</v>
      </c>
    </row>
    <row r="1419" spans="1:40" x14ac:dyDescent="0.25">
      <c r="A1419" t="str">
        <f>"20190312153915931"</f>
        <v>20190312153915931</v>
      </c>
      <c r="B1419" t="str">
        <f>"1552376355917185"</f>
        <v>1552376355917185</v>
      </c>
      <c r="C1419" t="s">
        <v>40</v>
      </c>
      <c r="D1419">
        <v>4.7118080000000004</v>
      </c>
      <c r="E1419">
        <v>0.48770540000000001</v>
      </c>
      <c r="F1419" t="s">
        <v>42</v>
      </c>
      <c r="G1419">
        <v>-210.4102</v>
      </c>
      <c r="H1419" s="1">
        <v>-4.2162109999999996E-6</v>
      </c>
      <c r="I1419">
        <v>368.94060000000002</v>
      </c>
      <c r="J1419">
        <v>-227.82069999999999</v>
      </c>
      <c r="K1419">
        <v>1.110571</v>
      </c>
      <c r="L1419">
        <v>368.33350000000002</v>
      </c>
      <c r="M1419">
        <v>0.999807</v>
      </c>
      <c r="N1419">
        <v>0</v>
      </c>
      <c r="O1419">
        <v>-1.3467689999999999E-2</v>
      </c>
      <c r="P1419">
        <v>0.99652909999999995</v>
      </c>
      <c r="Q1419">
        <v>5.8490920000000002E-2</v>
      </c>
      <c r="R1419">
        <v>-5.9235040000000003E-2</v>
      </c>
      <c r="S1419">
        <v>3.0280300000000002</v>
      </c>
      <c r="T1419">
        <v>-0.19174160000000001</v>
      </c>
      <c r="U1419">
        <v>0.104522699999999</v>
      </c>
      <c r="V1419">
        <v>4.5820890000000003E-2</v>
      </c>
      <c r="W1419">
        <v>7.2750449999999994E-2</v>
      </c>
      <c r="X1419">
        <v>0.99629710000000005</v>
      </c>
      <c r="Y1419">
        <v>-4.7833109999999998E-2</v>
      </c>
      <c r="Z1419">
        <v>2.3643000000000002E-3</v>
      </c>
      <c r="AA1419">
        <v>0.99885259999999998</v>
      </c>
      <c r="AB1419">
        <v>20</v>
      </c>
      <c r="AC1419">
        <v>17.4104999999999</v>
      </c>
      <c r="AD1419">
        <v>-1.1105752162109901</v>
      </c>
      <c r="AE1419">
        <v>0.60710000000000197</v>
      </c>
      <c r="AF1419">
        <v>-0.83814198798738904</v>
      </c>
      <c r="AG1419">
        <v>-1.1105752162109901</v>
      </c>
      <c r="AH1419">
        <v>17.330314481828101</v>
      </c>
      <c r="AI1419">
        <v>93.662391830513201</v>
      </c>
      <c r="AJ1419">
        <v>92.768825146292599</v>
      </c>
      <c r="AK1419">
        <v>17.3860765942737</v>
      </c>
      <c r="AL1419">
        <v>85.828020796333604</v>
      </c>
      <c r="AM1419">
        <v>87.366754432017601</v>
      </c>
      <c r="AN1419">
        <v>1.000000046702</v>
      </c>
    </row>
    <row r="1420" spans="1:40" x14ac:dyDescent="0.25">
      <c r="A1420" t="str">
        <f>"20190312153915944"</f>
        <v>20190312153915944</v>
      </c>
      <c r="B1420" t="str">
        <f>"1552376355937682"</f>
        <v>1552376355937682</v>
      </c>
      <c r="C1420" t="s">
        <v>40</v>
      </c>
      <c r="D1420">
        <v>4.4241950000000001</v>
      </c>
      <c r="E1420">
        <v>0.49909340000000002</v>
      </c>
      <c r="F1420" t="s">
        <v>49</v>
      </c>
      <c r="G1420">
        <v>-207.11529999999999</v>
      </c>
      <c r="H1420" s="1">
        <v>-4.3330660000000004E-6</v>
      </c>
      <c r="I1420">
        <v>367.84480000000002</v>
      </c>
      <c r="J1420">
        <v>-227.70249999999999</v>
      </c>
      <c r="K1420">
        <v>1.1105659999999999</v>
      </c>
      <c r="L1420">
        <v>368.33179999999999</v>
      </c>
      <c r="M1420">
        <v>0.99980610000000003</v>
      </c>
      <c r="N1420">
        <v>0</v>
      </c>
      <c r="O1420">
        <v>-1.3536579999999999E-2</v>
      </c>
      <c r="P1420">
        <v>0.99653550000000002</v>
      </c>
      <c r="Q1420">
        <v>5.8253010000000001E-2</v>
      </c>
      <c r="R1420">
        <v>-5.9360879999999998E-2</v>
      </c>
      <c r="S1420">
        <v>3.0157319999999999</v>
      </c>
      <c r="T1420">
        <v>-0.16175529999999999</v>
      </c>
      <c r="U1420">
        <v>-7.1166989999999999E-2</v>
      </c>
      <c r="V1420">
        <v>4.5878059999999998E-2</v>
      </c>
      <c r="W1420">
        <v>7.2509799999999999E-2</v>
      </c>
      <c r="X1420">
        <v>0.99631199999999998</v>
      </c>
      <c r="Y1420">
        <v>1.0060650000000001E-2</v>
      </c>
      <c r="Z1420">
        <v>4.5588939999999999E-4</v>
      </c>
      <c r="AA1420">
        <v>0.99994930000000004</v>
      </c>
      <c r="AB1420">
        <v>20</v>
      </c>
      <c r="AC1420">
        <v>20.587199999999999</v>
      </c>
      <c r="AD1420">
        <v>-1.1105703330659999</v>
      </c>
      <c r="AE1420">
        <v>-0.48699999999996602</v>
      </c>
      <c r="AF1420">
        <v>0.20764267903201</v>
      </c>
      <c r="AG1420">
        <v>-1.1105703330659999</v>
      </c>
      <c r="AH1420">
        <v>20.532190439145001</v>
      </c>
      <c r="AI1420">
        <v>93.095909508439505</v>
      </c>
      <c r="AJ1420">
        <v>89.420585756225293</v>
      </c>
      <c r="AK1420">
        <v>20.563251838562799</v>
      </c>
      <c r="AL1420">
        <v>85.841845485779601</v>
      </c>
      <c r="AM1420">
        <v>87.363512980258804</v>
      </c>
      <c r="AN1420">
        <v>1.0000000344147</v>
      </c>
    </row>
    <row r="1421" spans="1:40" x14ac:dyDescent="0.25">
      <c r="A1421" t="str">
        <f>"20190312153915959"</f>
        <v>20190312153915959</v>
      </c>
      <c r="B1421" t="str">
        <f>"1552376355947442"</f>
        <v>1552376355947442</v>
      </c>
      <c r="C1421" t="s">
        <v>40</v>
      </c>
      <c r="D1421">
        <v>4.4578720000000001</v>
      </c>
      <c r="E1421">
        <v>0.55815150000000002</v>
      </c>
      <c r="F1421" t="s">
        <v>49</v>
      </c>
      <c r="G1421">
        <v>-206.82550000000001</v>
      </c>
      <c r="H1421" s="1">
        <v>-4.339664E-6</v>
      </c>
      <c r="I1421">
        <v>367.20620000000002</v>
      </c>
      <c r="J1421">
        <v>-227.5789</v>
      </c>
      <c r="K1421">
        <v>1.110562</v>
      </c>
      <c r="L1421">
        <v>368.33</v>
      </c>
      <c r="M1421">
        <v>0.99980500000000005</v>
      </c>
      <c r="N1421">
        <v>0</v>
      </c>
      <c r="O1421">
        <v>-1.3609049999999999E-2</v>
      </c>
      <c r="P1421">
        <v>0.99653700000000001</v>
      </c>
      <c r="Q1421">
        <v>5.8015570000000002E-2</v>
      </c>
      <c r="R1421">
        <v>-5.9571480000000003E-2</v>
      </c>
      <c r="S1421">
        <v>3.0101170000000002</v>
      </c>
      <c r="T1421">
        <v>-0.16012560000000001</v>
      </c>
      <c r="U1421">
        <v>-0.16229250000000001</v>
      </c>
      <c r="V1421">
        <v>4.6016340000000003E-2</v>
      </c>
      <c r="W1421">
        <v>7.2269159999999999E-2</v>
      </c>
      <c r="X1421">
        <v>0.99632299999999996</v>
      </c>
      <c r="Y1421">
        <v>4.020431E-2</v>
      </c>
      <c r="Z1421">
        <v>-3.4492080000000003E-4</v>
      </c>
      <c r="AA1421">
        <v>0.99919139999999995</v>
      </c>
      <c r="AB1421">
        <v>20</v>
      </c>
      <c r="AC1421">
        <v>20.753399999999999</v>
      </c>
      <c r="AD1421">
        <v>-1.110566339664</v>
      </c>
      <c r="AE1421">
        <v>-1.1237999999999599</v>
      </c>
      <c r="AF1421">
        <v>0.838837865817331</v>
      </c>
      <c r="AG1421">
        <v>-1.110566339664</v>
      </c>
      <c r="AH1421">
        <v>20.707648303833299</v>
      </c>
      <c r="AI1421">
        <v>93.067362763569193</v>
      </c>
      <c r="AJ1421">
        <v>87.6802964022976</v>
      </c>
      <c r="AK1421">
        <v>20.7543659222626</v>
      </c>
      <c r="AL1421">
        <v>85.8556689665009</v>
      </c>
      <c r="AM1421">
        <v>87.355606823614806</v>
      </c>
      <c r="AN1421">
        <v>0.999999927681548</v>
      </c>
    </row>
    <row r="1422" spans="1:40" x14ac:dyDescent="0.25">
      <c r="A1422" t="str">
        <f>"20190312153915972"</f>
        <v>20190312153915972</v>
      </c>
      <c r="B1422" t="str">
        <f>"1552376355966961"</f>
        <v>1552376355966961</v>
      </c>
      <c r="C1422" t="s">
        <v>40</v>
      </c>
      <c r="D1422">
        <v>4.3930059999999997</v>
      </c>
      <c r="E1422">
        <v>0.56166680000000002</v>
      </c>
      <c r="F1422" t="s">
        <v>42</v>
      </c>
      <c r="G1422">
        <v>-210.2379</v>
      </c>
      <c r="H1422" s="1">
        <v>-5.0504400000000002E-6</v>
      </c>
      <c r="I1422">
        <v>364.65410000000003</v>
      </c>
      <c r="J1422">
        <v>-227.4511</v>
      </c>
      <c r="K1422">
        <v>1.110555</v>
      </c>
      <c r="L1422">
        <v>368.32819999999998</v>
      </c>
      <c r="M1422">
        <v>0.99980400000000003</v>
      </c>
      <c r="N1422">
        <v>0</v>
      </c>
      <c r="O1422">
        <v>-1.3686429999999999E-2</v>
      </c>
      <c r="P1422">
        <v>0.9965425</v>
      </c>
      <c r="Q1422">
        <v>5.7331710000000001E-2</v>
      </c>
      <c r="R1422">
        <v>-6.0135189999999998E-2</v>
      </c>
      <c r="S1422">
        <v>2.9837340000000001</v>
      </c>
      <c r="T1422">
        <v>-0.1910859</v>
      </c>
      <c r="U1422">
        <v>-0.63247679999999995</v>
      </c>
      <c r="V1422">
        <v>4.65029E-2</v>
      </c>
      <c r="W1422">
        <v>7.1581909999999999E-2</v>
      </c>
      <c r="X1422">
        <v>0.99635010000000002</v>
      </c>
      <c r="Y1422">
        <v>0.193605</v>
      </c>
      <c r="Z1422">
        <v>-5.2595089999999999E-3</v>
      </c>
      <c r="AA1422">
        <v>0.98106550000000003</v>
      </c>
      <c r="AB1422">
        <v>20</v>
      </c>
      <c r="AC1422">
        <v>17.213200000000001</v>
      </c>
      <c r="AD1422">
        <v>-1.1105600504399999</v>
      </c>
      <c r="AE1422">
        <v>-3.67409999999995</v>
      </c>
      <c r="AF1422">
        <v>3.4245108302979399</v>
      </c>
      <c r="AG1422">
        <v>-1.1105600504399999</v>
      </c>
      <c r="AH1422">
        <v>17.193427699719201</v>
      </c>
      <c r="AI1422">
        <v>93.624718970009695</v>
      </c>
      <c r="AJ1422">
        <v>78.735494077254799</v>
      </c>
      <c r="AK1422">
        <v>17.566290846901399</v>
      </c>
      <c r="AL1422">
        <v>85.895148065109396</v>
      </c>
      <c r="AM1422">
        <v>87.327758874643294</v>
      </c>
      <c r="AN1422">
        <v>1.0000000056588301</v>
      </c>
    </row>
    <row r="1423" spans="1:40" x14ac:dyDescent="0.25">
      <c r="A1423" t="str">
        <f>"20190312153915989"</f>
        <v>20190312153915989</v>
      </c>
      <c r="B1423" t="str">
        <f>"1552376355977698"</f>
        <v>1552376355977698</v>
      </c>
      <c r="C1423" t="s">
        <v>40</v>
      </c>
      <c r="D1423">
        <v>4.4097559999999998</v>
      </c>
      <c r="E1423">
        <v>0.56181000000000003</v>
      </c>
      <c r="F1423" t="s">
        <v>42</v>
      </c>
      <c r="G1423">
        <v>-210.55670000000001</v>
      </c>
      <c r="H1423" s="1">
        <v>-4.9274039999999997E-6</v>
      </c>
      <c r="I1423">
        <v>364.57679999999999</v>
      </c>
      <c r="J1423">
        <v>-227.30879999999999</v>
      </c>
      <c r="K1423">
        <v>1.110549</v>
      </c>
      <c r="L1423">
        <v>368.3261</v>
      </c>
      <c r="M1423">
        <v>0.99980279999999999</v>
      </c>
      <c r="N1423">
        <v>0</v>
      </c>
      <c r="O1423">
        <v>-1.3776460000000001E-2</v>
      </c>
      <c r="P1423">
        <v>0.99653150000000001</v>
      </c>
      <c r="Q1423">
        <v>5.712979E-2</v>
      </c>
      <c r="R1423">
        <v>-6.0504519999999999E-2</v>
      </c>
      <c r="S1423">
        <v>2.981735</v>
      </c>
      <c r="T1423">
        <v>-0.19600490000000001</v>
      </c>
      <c r="U1423">
        <v>-0.66207890000000003</v>
      </c>
      <c r="V1423">
        <v>4.6783320000000003E-2</v>
      </c>
      <c r="W1423">
        <v>7.1376439999999999E-2</v>
      </c>
      <c r="X1423">
        <v>0.99635169999999995</v>
      </c>
      <c r="Y1423">
        <v>0.2029058</v>
      </c>
      <c r="Z1423">
        <v>-5.6884309999999999E-3</v>
      </c>
      <c r="AA1423">
        <v>0.97918179999999999</v>
      </c>
      <c r="AB1423">
        <v>20</v>
      </c>
      <c r="AC1423">
        <v>16.752099999999899</v>
      </c>
      <c r="AD1423">
        <v>-1.1105539274039999</v>
      </c>
      <c r="AE1423">
        <v>-3.7492999999999999</v>
      </c>
      <c r="AF1423">
        <v>3.5034732209808199</v>
      </c>
      <c r="AG1423">
        <v>-1.1105539274039999</v>
      </c>
      <c r="AH1423">
        <v>16.732140311039899</v>
      </c>
      <c r="AI1423">
        <v>93.716922280485505</v>
      </c>
      <c r="AJ1423">
        <v>78.173927643093506</v>
      </c>
      <c r="AK1423">
        <v>17.131029566962098</v>
      </c>
      <c r="AL1423">
        <v>85.906950765919802</v>
      </c>
      <c r="AM1423">
        <v>87.311672708725098</v>
      </c>
      <c r="AN1423">
        <v>0.99999999265509198</v>
      </c>
    </row>
    <row r="1424" spans="1:40" x14ac:dyDescent="0.25">
      <c r="A1424" t="str">
        <f>"20190312153916007"</f>
        <v>20190312153916007</v>
      </c>
      <c r="B1424" t="str">
        <f>"1552376355997217"</f>
        <v>1552376355997217</v>
      </c>
      <c r="C1424" t="s">
        <v>40</v>
      </c>
      <c r="D1424">
        <v>4.4323680000000003</v>
      </c>
      <c r="E1424">
        <v>0.56244759999999905</v>
      </c>
      <c r="F1424" t="s">
        <v>42</v>
      </c>
      <c r="G1424">
        <v>-210.91820000000001</v>
      </c>
      <c r="H1424" s="1">
        <v>-4.7543520000000001E-6</v>
      </c>
      <c r="I1424">
        <v>364.67809999999997</v>
      </c>
      <c r="J1424">
        <v>-227.14590000000001</v>
      </c>
      <c r="K1424">
        <v>1.110549</v>
      </c>
      <c r="L1424">
        <v>368.32380000000001</v>
      </c>
      <c r="M1424">
        <v>0.99980150000000001</v>
      </c>
      <c r="N1424">
        <v>0</v>
      </c>
      <c r="O1424">
        <v>-1.388992E-2</v>
      </c>
      <c r="P1424">
        <v>0.9965273</v>
      </c>
      <c r="Q1424">
        <v>5.6192949999999998E-2</v>
      </c>
      <c r="R1424">
        <v>-6.1448379999999997E-2</v>
      </c>
      <c r="S1424">
        <v>2.9817200000000001</v>
      </c>
      <c r="T1424">
        <v>-0.20202729999999999</v>
      </c>
      <c r="U1424">
        <v>-0.66363530000000004</v>
      </c>
      <c r="V1424">
        <v>4.761489E-2</v>
      </c>
      <c r="W1424">
        <v>7.0435170000000005E-2</v>
      </c>
      <c r="X1424">
        <v>0.99637929999999997</v>
      </c>
      <c r="Y1424">
        <v>0.2032581</v>
      </c>
      <c r="Z1424">
        <v>-5.8667340000000002E-3</v>
      </c>
      <c r="AA1424">
        <v>0.97910759999999997</v>
      </c>
      <c r="AB1424">
        <v>20</v>
      </c>
      <c r="AC1424">
        <v>16.227699999999999</v>
      </c>
      <c r="AD1424">
        <v>-1.1105537543520001</v>
      </c>
      <c r="AE1424">
        <v>-3.6457000000000299</v>
      </c>
      <c r="AF1424">
        <v>3.4047440012645702</v>
      </c>
      <c r="AG1424">
        <v>-1.1105537543520001</v>
      </c>
      <c r="AH1424">
        <v>16.204531260280302</v>
      </c>
      <c r="AI1424">
        <v>93.837029228908904</v>
      </c>
      <c r="AJ1424">
        <v>78.134151025614003</v>
      </c>
      <c r="AK1424">
        <v>16.5955549687515</v>
      </c>
      <c r="AL1424">
        <v>85.961017682736298</v>
      </c>
      <c r="AM1424">
        <v>87.264035545046696</v>
      </c>
      <c r="AN1424">
        <v>1.00000000019556</v>
      </c>
    </row>
    <row r="1425" spans="1:40" x14ac:dyDescent="0.25">
      <c r="A1425" t="str">
        <f>"20190312153916023"</f>
        <v>20190312153916023</v>
      </c>
      <c r="B1425" t="str">
        <f>"1552376356017714"</f>
        <v>1552376356017714</v>
      </c>
      <c r="C1425" t="s">
        <v>40</v>
      </c>
      <c r="D1425">
        <v>4.3974699999999904</v>
      </c>
      <c r="E1425">
        <v>0.56292359999999997</v>
      </c>
      <c r="F1425" t="s">
        <v>42</v>
      </c>
      <c r="G1425">
        <v>-212.02510000000001</v>
      </c>
      <c r="H1425" s="1">
        <v>-4.2363990000000004E-6</v>
      </c>
      <c r="I1425">
        <v>364.9212</v>
      </c>
      <c r="J1425">
        <v>-227.01</v>
      </c>
      <c r="K1425">
        <v>1.1105400000000001</v>
      </c>
      <c r="L1425">
        <v>368.3218</v>
      </c>
      <c r="M1425">
        <v>0.99979980000000002</v>
      </c>
      <c r="N1425">
        <v>0</v>
      </c>
      <c r="O1425">
        <v>-1.399567E-2</v>
      </c>
      <c r="P1425">
        <v>0.99652209999999997</v>
      </c>
      <c r="Q1425">
        <v>5.6128600000000001E-2</v>
      </c>
      <c r="R1425">
        <v>-6.1588850000000001E-2</v>
      </c>
      <c r="S1425">
        <v>2.98143</v>
      </c>
      <c r="T1425">
        <v>-0.21897050000000001</v>
      </c>
      <c r="U1425">
        <v>-0.67089840000000001</v>
      </c>
      <c r="V1425">
        <v>4.7651480000000003E-2</v>
      </c>
      <c r="W1425">
        <v>7.0366659999999998E-2</v>
      </c>
      <c r="X1425">
        <v>0.9963824</v>
      </c>
      <c r="Y1425">
        <v>0.20536869999999999</v>
      </c>
      <c r="Z1425">
        <v>-6.4252659999999998E-3</v>
      </c>
      <c r="AA1425">
        <v>0.97866359999999997</v>
      </c>
      <c r="AB1425">
        <v>20</v>
      </c>
      <c r="AC1425">
        <v>14.9848999999999</v>
      </c>
      <c r="AD1425">
        <v>-1.1105442363989999</v>
      </c>
      <c r="AE1425">
        <v>-3.4005999999999901</v>
      </c>
      <c r="AF1425">
        <v>3.1739428656848001</v>
      </c>
      <c r="AG1425">
        <v>-1.1105442363989999</v>
      </c>
      <c r="AH1425">
        <v>14.9529251516957</v>
      </c>
      <c r="AI1425">
        <v>94.155280573968994</v>
      </c>
      <c r="AJ1425">
        <v>78.016129975823603</v>
      </c>
      <c r="AK1425">
        <v>15.326356136011</v>
      </c>
      <c r="AL1425">
        <v>85.964952814848203</v>
      </c>
      <c r="AM1425">
        <v>87.261944777879805</v>
      </c>
      <c r="AN1425">
        <v>1.0000000087077501</v>
      </c>
    </row>
    <row r="1426" spans="1:40" x14ac:dyDescent="0.25">
      <c r="A1426" t="str">
        <f>"20190312153916035"</f>
        <v>20190312153916035</v>
      </c>
      <c r="B1426" t="str">
        <f>"1552376356027474"</f>
        <v>1552376356027474</v>
      </c>
      <c r="C1426" t="s">
        <v>40</v>
      </c>
      <c r="D1426">
        <v>4.4085159999999997</v>
      </c>
      <c r="E1426">
        <v>0.56321299999999996</v>
      </c>
      <c r="F1426" t="s">
        <v>42</v>
      </c>
      <c r="G1426">
        <v>-211.7955</v>
      </c>
      <c r="H1426" s="1">
        <v>-4.3427309999999997E-6</v>
      </c>
      <c r="I1426">
        <v>364.87700000000001</v>
      </c>
      <c r="J1426">
        <v>-226.89529999999999</v>
      </c>
      <c r="K1426">
        <v>1.1105290000000001</v>
      </c>
      <c r="L1426">
        <v>368.32010000000002</v>
      </c>
      <c r="M1426">
        <v>0.99979859999999998</v>
      </c>
      <c r="N1426">
        <v>0</v>
      </c>
      <c r="O1426">
        <v>-1.409357E-2</v>
      </c>
      <c r="P1426">
        <v>0.99645910000000004</v>
      </c>
      <c r="Q1426">
        <v>5.6224139999999999E-2</v>
      </c>
      <c r="R1426">
        <v>-6.2518229999999994E-2</v>
      </c>
      <c r="S1426">
        <v>2.9810180000000002</v>
      </c>
      <c r="T1426">
        <v>-0.2175907</v>
      </c>
      <c r="U1426">
        <v>-0.67492680000000005</v>
      </c>
      <c r="V1426">
        <v>4.8485609999999998E-2</v>
      </c>
      <c r="W1426">
        <v>7.0457530000000004E-2</v>
      </c>
      <c r="X1426">
        <v>0.99633570000000005</v>
      </c>
      <c r="Y1426">
        <v>0.20656350000000001</v>
      </c>
      <c r="Z1426">
        <v>-6.4207689999999998E-3</v>
      </c>
      <c r="AA1426">
        <v>0.97841219999999995</v>
      </c>
      <c r="AB1426">
        <v>20</v>
      </c>
      <c r="AC1426">
        <v>15.099799999999901</v>
      </c>
      <c r="AD1426">
        <v>-1.110533342731</v>
      </c>
      <c r="AE1426">
        <v>-3.44310000000007</v>
      </c>
      <c r="AF1426">
        <v>3.2134037693526301</v>
      </c>
      <c r="AG1426">
        <v>-1.110533342731</v>
      </c>
      <c r="AH1426">
        <v>15.069348334652799</v>
      </c>
      <c r="AI1426">
        <v>94.1224299735877</v>
      </c>
      <c r="AJ1426">
        <v>77.962481843767605</v>
      </c>
      <c r="AK1426">
        <v>15.448123100277</v>
      </c>
      <c r="AL1426">
        <v>85.959733246219301</v>
      </c>
      <c r="AM1426">
        <v>87.213960132552302</v>
      </c>
      <c r="AN1426">
        <v>0.99999997250263095</v>
      </c>
    </row>
    <row r="1427" spans="1:40" x14ac:dyDescent="0.25">
      <c r="A1427" t="str">
        <f>"20190312153916048"</f>
        <v>20190312153916048</v>
      </c>
      <c r="B1427" t="str">
        <f>"1552376356037234"</f>
        <v>1552376356037234</v>
      </c>
      <c r="C1427" t="s">
        <v>40</v>
      </c>
      <c r="D1427">
        <v>4.3951419999999999</v>
      </c>
      <c r="E1427">
        <v>0.56343880000000002</v>
      </c>
      <c r="F1427" t="s">
        <v>42</v>
      </c>
      <c r="G1427">
        <v>-211.6114</v>
      </c>
      <c r="H1427" s="1">
        <v>-4.4295980000000003E-6</v>
      </c>
      <c r="I1427">
        <v>364.83249999999998</v>
      </c>
      <c r="J1427">
        <v>-226.78530000000001</v>
      </c>
      <c r="K1427">
        <v>1.1105149999999999</v>
      </c>
      <c r="L1427">
        <v>368.3184</v>
      </c>
      <c r="M1427">
        <v>0.99979709999999999</v>
      </c>
      <c r="N1427">
        <v>0</v>
      </c>
      <c r="O1427">
        <v>-1.42007E-2</v>
      </c>
      <c r="P1427">
        <v>0.99642850000000005</v>
      </c>
      <c r="Q1427">
        <v>5.5972910000000001E-2</v>
      </c>
      <c r="R1427">
        <v>-6.3228619999999999E-2</v>
      </c>
      <c r="S1427">
        <v>2.980194</v>
      </c>
      <c r="T1427">
        <v>-0.21654029999999999</v>
      </c>
      <c r="U1427">
        <v>-0.68002320000000005</v>
      </c>
      <c r="V1427">
        <v>4.9091309999999999E-2</v>
      </c>
      <c r="W1427">
        <v>7.0201139999999995E-2</v>
      </c>
      <c r="X1427">
        <v>0.99632419999999999</v>
      </c>
      <c r="Y1427">
        <v>0.20810870000000001</v>
      </c>
      <c r="Z1427">
        <v>-6.4380699999999997E-3</v>
      </c>
      <c r="AA1427">
        <v>0.97808450000000002</v>
      </c>
      <c r="AB1427">
        <v>20</v>
      </c>
      <c r="AC1427">
        <v>15.1739</v>
      </c>
      <c r="AD1427">
        <v>-1.1105194295980001</v>
      </c>
      <c r="AE1427">
        <v>-3.4859000000000102</v>
      </c>
      <c r="AF1427">
        <v>3.2534936153418399</v>
      </c>
      <c r="AG1427">
        <v>-1.1105194295980001</v>
      </c>
      <c r="AH1427">
        <v>15.144824492730301</v>
      </c>
      <c r="AI1427">
        <v>94.100579091692794</v>
      </c>
      <c r="AJ1427">
        <v>77.875679720007398</v>
      </c>
      <c r="AK1427">
        <v>15.5301056990668</v>
      </c>
      <c r="AL1427">
        <v>85.974460025553199</v>
      </c>
      <c r="AM1427">
        <v>87.179179261575399</v>
      </c>
      <c r="AN1427">
        <v>1.00000003414022</v>
      </c>
    </row>
    <row r="1428" spans="1:40" x14ac:dyDescent="0.25">
      <c r="A1428" t="str">
        <f>"20190312153916062"</f>
        <v>20190312153916062</v>
      </c>
      <c r="B1428" t="str">
        <f>"1552376356056754"</f>
        <v>1552376356056754</v>
      </c>
      <c r="C1428" t="s">
        <v>40</v>
      </c>
      <c r="D1428">
        <v>4.4262069999999998</v>
      </c>
      <c r="E1428">
        <v>0.56357919999999995</v>
      </c>
      <c r="F1428" t="s">
        <v>42</v>
      </c>
      <c r="G1428">
        <v>-211.6174</v>
      </c>
      <c r="H1428" s="1">
        <v>-4.4261109999999999E-6</v>
      </c>
      <c r="I1428">
        <v>364.83769999999998</v>
      </c>
      <c r="J1428">
        <v>-226.6592</v>
      </c>
      <c r="K1428">
        <v>1.110498</v>
      </c>
      <c r="L1428">
        <v>368.31639999999999</v>
      </c>
      <c r="M1428">
        <v>0.99979530000000005</v>
      </c>
      <c r="N1428">
        <v>0</v>
      </c>
      <c r="O1428">
        <v>-1.433446E-2</v>
      </c>
      <c r="P1428">
        <v>0.99632379999999998</v>
      </c>
      <c r="Q1428">
        <v>5.5666699999999902E-2</v>
      </c>
      <c r="R1428">
        <v>-6.5117620000000001E-2</v>
      </c>
      <c r="S1428">
        <v>2.9796299999999998</v>
      </c>
      <c r="T1428">
        <v>-0.2181517</v>
      </c>
      <c r="U1428">
        <v>-0.68374630000000003</v>
      </c>
      <c r="V1428">
        <v>5.0851140000000003E-2</v>
      </c>
      <c r="W1428">
        <v>6.9888629999999993E-2</v>
      </c>
      <c r="X1428">
        <v>0.99625779999999997</v>
      </c>
      <c r="Y1428">
        <v>0.20916960000000001</v>
      </c>
      <c r="Z1428">
        <v>-6.5148080000000004E-3</v>
      </c>
      <c r="AA1428">
        <v>0.97785759999999999</v>
      </c>
      <c r="AB1428">
        <v>20</v>
      </c>
      <c r="AC1428">
        <v>15.041799999999901</v>
      </c>
      <c r="AD1428">
        <v>-1.1105024261109999</v>
      </c>
      <c r="AE1428">
        <v>-3.4786999999999999</v>
      </c>
      <c r="AF1428">
        <v>3.2459107061539898</v>
      </c>
      <c r="AG1428">
        <v>-1.1105024261109999</v>
      </c>
      <c r="AH1428">
        <v>15.0124529453075</v>
      </c>
      <c r="AI1428">
        <v>94.135368502425095</v>
      </c>
      <c r="AJ1428">
        <v>77.799622665007604</v>
      </c>
      <c r="AK1428">
        <v>15.3994446453694</v>
      </c>
      <c r="AL1428">
        <v>85.992409204318307</v>
      </c>
      <c r="AM1428">
        <v>87.078036002972595</v>
      </c>
      <c r="AN1428">
        <v>0.99999993155170497</v>
      </c>
    </row>
    <row r="1429" spans="1:40" x14ac:dyDescent="0.25">
      <c r="A1429" t="str">
        <f>"20190312153916077"</f>
        <v>20190312153916077</v>
      </c>
      <c r="B1429" t="str">
        <f>"1552376356067490"</f>
        <v>1552376356067490</v>
      </c>
      <c r="C1429" t="s">
        <v>40</v>
      </c>
      <c r="D1429">
        <v>4.4138659999999996</v>
      </c>
      <c r="E1429">
        <v>0.56367480000000003</v>
      </c>
      <c r="F1429" t="s">
        <v>42</v>
      </c>
      <c r="G1429">
        <v>-211.6405</v>
      </c>
      <c r="H1429" s="1">
        <v>-4.4164179999999998E-6</v>
      </c>
      <c r="I1429">
        <v>364.83629999999999</v>
      </c>
      <c r="J1429">
        <v>-226.5308</v>
      </c>
      <c r="K1429">
        <v>1.110473</v>
      </c>
      <c r="L1429">
        <v>368.31450000000001</v>
      </c>
      <c r="M1429">
        <v>0.99979320000000005</v>
      </c>
      <c r="N1429">
        <v>0</v>
      </c>
      <c r="O1429">
        <v>-1.4485909999999999E-2</v>
      </c>
      <c r="P1429">
        <v>0.9962415</v>
      </c>
      <c r="Q1429">
        <v>5.5831649999999997E-2</v>
      </c>
      <c r="R1429">
        <v>-6.6227430000000004E-2</v>
      </c>
      <c r="S1429">
        <v>2.9782869999999999</v>
      </c>
      <c r="T1429">
        <v>-0.22021840000000001</v>
      </c>
      <c r="U1429">
        <v>-0.69012450000000003</v>
      </c>
      <c r="V1429">
        <v>5.1814220000000001E-2</v>
      </c>
      <c r="W1429">
        <v>7.0047029999999996E-2</v>
      </c>
      <c r="X1429">
        <v>0.99619709999999995</v>
      </c>
      <c r="Y1429">
        <v>0.21109140000000001</v>
      </c>
      <c r="Z1429">
        <v>-6.6366919999999996E-3</v>
      </c>
      <c r="AA1429">
        <v>0.97744379999999997</v>
      </c>
      <c r="AB1429">
        <v>20</v>
      </c>
      <c r="AC1429">
        <v>14.8902999999999</v>
      </c>
      <c r="AD1429">
        <v>-1.110477416418</v>
      </c>
      <c r="AE1429">
        <v>-3.47820000000001</v>
      </c>
      <c r="AF1429">
        <v>3.2449993363586298</v>
      </c>
      <c r="AG1429">
        <v>-1.110477416418</v>
      </c>
      <c r="AH1429">
        <v>14.860751770865299</v>
      </c>
      <c r="AI1429">
        <v>94.175487705341396</v>
      </c>
      <c r="AJ1429">
        <v>77.682218846725206</v>
      </c>
      <c r="AK1429">
        <v>15.251397443533399</v>
      </c>
      <c r="AL1429">
        <v>85.983311454047296</v>
      </c>
      <c r="AM1429">
        <v>87.022613894391597</v>
      </c>
      <c r="AN1429">
        <v>0.99999998092721898</v>
      </c>
    </row>
    <row r="1430" spans="1:40" x14ac:dyDescent="0.25">
      <c r="A1430" t="str">
        <f>"20190312153916089"</f>
        <v>20190312153916089</v>
      </c>
      <c r="B1430" t="str">
        <f>"1552376356077250"</f>
        <v>1552376356077250</v>
      </c>
      <c r="C1430" t="s">
        <v>40</v>
      </c>
      <c r="D1430">
        <v>4.410876</v>
      </c>
      <c r="E1430">
        <v>0.56380149999999996</v>
      </c>
      <c r="F1430" t="s">
        <v>42</v>
      </c>
      <c r="G1430">
        <v>-211.4778</v>
      </c>
      <c r="H1430" s="1">
        <v>-4.4921510000000001E-6</v>
      </c>
      <c r="I1430">
        <v>364.803</v>
      </c>
      <c r="J1430">
        <v>-226.42339999999999</v>
      </c>
      <c r="K1430">
        <v>1.110455</v>
      </c>
      <c r="L1430">
        <v>368.31270000000001</v>
      </c>
      <c r="M1430">
        <v>0.99979099999999999</v>
      </c>
      <c r="N1430">
        <v>0</v>
      </c>
      <c r="O1430">
        <v>-1.4633149999999999E-2</v>
      </c>
      <c r="P1430">
        <v>0.99619979999999997</v>
      </c>
      <c r="Q1430">
        <v>5.5745009999999998E-2</v>
      </c>
      <c r="R1430">
        <v>-6.6922620000000002E-2</v>
      </c>
      <c r="S1430">
        <v>2.9774780000000001</v>
      </c>
      <c r="T1430">
        <v>-0.21965100000000001</v>
      </c>
      <c r="U1430">
        <v>-0.69454959999999999</v>
      </c>
      <c r="V1430">
        <v>5.2365740000000001E-2</v>
      </c>
      <c r="W1430">
        <v>6.9955690000000001E-2</v>
      </c>
      <c r="X1430">
        <v>0.99617469999999997</v>
      </c>
      <c r="Y1430">
        <v>0.2123835</v>
      </c>
      <c r="Z1430">
        <v>-6.6565629999999999E-3</v>
      </c>
      <c r="AA1430">
        <v>0.97716369999999997</v>
      </c>
      <c r="AB1430">
        <v>20</v>
      </c>
      <c r="AC1430">
        <v>14.945599999999899</v>
      </c>
      <c r="AD1430">
        <v>-1.110459492151</v>
      </c>
      <c r="AE1430">
        <v>-3.5096999999999499</v>
      </c>
      <c r="AF1430">
        <v>3.2734738848189902</v>
      </c>
      <c r="AG1430">
        <v>-1.110459492151</v>
      </c>
      <c r="AH1430">
        <v>14.917315524374199</v>
      </c>
      <c r="AI1430">
        <v>94.158708031550205</v>
      </c>
      <c r="AJ1430">
        <v>77.623122882190202</v>
      </c>
      <c r="AK1430">
        <v>15.3125782940704</v>
      </c>
      <c r="AL1430">
        <v>85.988557801360102</v>
      </c>
      <c r="AM1430">
        <v>86.990912451793605</v>
      </c>
      <c r="AN1430">
        <v>1.0000000011046</v>
      </c>
    </row>
    <row r="1431" spans="1:40" x14ac:dyDescent="0.25">
      <c r="A1431" t="str">
        <f>"20190312153916102"</f>
        <v>20190312153916102</v>
      </c>
      <c r="B1431" t="str">
        <f>"1552376356097746"</f>
        <v>1552376356097746</v>
      </c>
      <c r="C1431" t="s">
        <v>40</v>
      </c>
      <c r="D1431">
        <v>4.3080569999999998</v>
      </c>
      <c r="E1431">
        <v>0.56407280000000004</v>
      </c>
      <c r="F1431" t="s">
        <v>42</v>
      </c>
      <c r="G1431">
        <v>-211.35120000000001</v>
      </c>
      <c r="H1431" s="1">
        <v>-4.550819E-6</v>
      </c>
      <c r="I1431">
        <v>364.7783</v>
      </c>
      <c r="J1431">
        <v>-226.31</v>
      </c>
      <c r="K1431">
        <v>1.1104369999999999</v>
      </c>
      <c r="L1431">
        <v>368.3109</v>
      </c>
      <c r="M1431">
        <v>0.99978849999999997</v>
      </c>
      <c r="N1431">
        <v>0</v>
      </c>
      <c r="O1431">
        <v>-1.480009E-2</v>
      </c>
      <c r="P1431">
        <v>0.99613450000000003</v>
      </c>
      <c r="Q1431">
        <v>5.6081249999999999E-2</v>
      </c>
      <c r="R1431">
        <v>-6.7609749999999996E-2</v>
      </c>
      <c r="S1431">
        <v>2.9768219999999999</v>
      </c>
      <c r="T1431">
        <v>-0.2193195</v>
      </c>
      <c r="U1431">
        <v>-0.69805909999999904</v>
      </c>
      <c r="V1431">
        <v>5.2890310000000003E-2</v>
      </c>
      <c r="W1431">
        <v>7.0285790000000001E-2</v>
      </c>
      <c r="X1431">
        <v>0.99612369999999995</v>
      </c>
      <c r="Y1431">
        <v>0.21335950000000001</v>
      </c>
      <c r="Z1431">
        <v>-6.6704090000000004E-3</v>
      </c>
      <c r="AA1431">
        <v>0.97695100000000001</v>
      </c>
      <c r="AB1431">
        <v>20</v>
      </c>
      <c r="AC1431">
        <v>14.958799999999901</v>
      </c>
      <c r="AD1431">
        <v>-1.110441550819</v>
      </c>
      <c r="AE1431">
        <v>-3.5326</v>
      </c>
      <c r="AF1431">
        <v>3.29360785844684</v>
      </c>
      <c r="AG1431">
        <v>-1.110441550819</v>
      </c>
      <c r="AH1431">
        <v>14.9315143668118</v>
      </c>
      <c r="AI1431">
        <v>94.153710226679607</v>
      </c>
      <c r="AJ1431">
        <v>77.560835171690599</v>
      </c>
      <c r="AK1431">
        <v>15.3307225677499</v>
      </c>
      <c r="AL1431">
        <v>85.969597594116394</v>
      </c>
      <c r="AM1431">
        <v>86.960670056422302</v>
      </c>
      <c r="AN1431">
        <v>0.99999995143475295</v>
      </c>
    </row>
    <row r="1432" spans="1:40" x14ac:dyDescent="0.25">
      <c r="A1432" t="str">
        <f>"20190312153916114"</f>
        <v>20190312153916114</v>
      </c>
      <c r="B1432" t="str">
        <f>"1552376356107508"</f>
        <v>1552376356107508</v>
      </c>
      <c r="C1432" t="s">
        <v>40</v>
      </c>
      <c r="D1432">
        <v>4.4244629999999896</v>
      </c>
      <c r="E1432">
        <v>0.56403449999999999</v>
      </c>
      <c r="F1432" t="s">
        <v>42</v>
      </c>
      <c r="G1432">
        <v>-211.54480000000001</v>
      </c>
      <c r="H1432" s="1">
        <v>-4.4598619999999997E-6</v>
      </c>
      <c r="I1432">
        <v>364.82299999999998</v>
      </c>
      <c r="J1432">
        <v>-226.1979</v>
      </c>
      <c r="K1432">
        <v>1.11042</v>
      </c>
      <c r="L1432">
        <v>368.3091</v>
      </c>
      <c r="M1432">
        <v>0.99978599999999995</v>
      </c>
      <c r="N1432">
        <v>0</v>
      </c>
      <c r="O1432">
        <v>-1.4982179999999999E-2</v>
      </c>
      <c r="P1432">
        <v>0.99608890000000005</v>
      </c>
      <c r="Q1432">
        <v>5.6522349999999999E-2</v>
      </c>
      <c r="R1432">
        <v>-6.791208E-2</v>
      </c>
      <c r="S1432">
        <v>2.9765169999999999</v>
      </c>
      <c r="T1432">
        <v>-0.2238531</v>
      </c>
      <c r="U1432">
        <v>-0.703125</v>
      </c>
      <c r="V1432">
        <v>5.3015039999999999E-2</v>
      </c>
      <c r="W1432">
        <v>7.0721489999999998E-2</v>
      </c>
      <c r="X1432">
        <v>0.99608629999999998</v>
      </c>
      <c r="Y1432">
        <v>0.2147548</v>
      </c>
      <c r="Z1432">
        <v>-6.84551E-3</v>
      </c>
      <c r="AA1432">
        <v>0.97664399999999996</v>
      </c>
      <c r="AB1432">
        <v>20</v>
      </c>
      <c r="AC1432">
        <v>14.653099999999901</v>
      </c>
      <c r="AD1432">
        <v>-1.1104244598619999</v>
      </c>
      <c r="AE1432">
        <v>-3.48609999999996</v>
      </c>
      <c r="AF1432">
        <v>3.2484950005781501</v>
      </c>
      <c r="AG1432">
        <v>-1.1104244598619999</v>
      </c>
      <c r="AH1432">
        <v>14.624205569243699</v>
      </c>
      <c r="AI1432">
        <v>94.239232803016293</v>
      </c>
      <c r="AJ1432">
        <v>77.476152192146102</v>
      </c>
      <c r="AK1432">
        <v>15.0217559153828</v>
      </c>
      <c r="AL1432">
        <v>85.9445718246631</v>
      </c>
      <c r="AM1432">
        <v>86.953401789782205</v>
      </c>
      <c r="AN1432">
        <v>1.0000000203308499</v>
      </c>
    </row>
    <row r="1433" spans="1:40" x14ac:dyDescent="0.25">
      <c r="A1433" t="str">
        <f>"20190312153916128"</f>
        <v>20190312153916128</v>
      </c>
      <c r="B1433" t="str">
        <f>"1552376356117266"</f>
        <v>1552376356117266</v>
      </c>
      <c r="C1433" t="s">
        <v>40</v>
      </c>
      <c r="D1433">
        <v>4.4169519999999904</v>
      </c>
      <c r="E1433">
        <v>0.56396480000000004</v>
      </c>
      <c r="F1433" t="s">
        <v>42</v>
      </c>
      <c r="G1433">
        <v>-211.2944</v>
      </c>
      <c r="H1433" s="1">
        <v>-4.5750360000000004E-6</v>
      </c>
      <c r="I1433">
        <v>364.7792</v>
      </c>
      <c r="J1433">
        <v>-226.07419999999999</v>
      </c>
      <c r="K1433">
        <v>1.110409</v>
      </c>
      <c r="L1433">
        <v>368.30689999999998</v>
      </c>
      <c r="M1433">
        <v>0.99978250000000002</v>
      </c>
      <c r="N1433">
        <v>0</v>
      </c>
      <c r="O1433">
        <v>-1.520961E-2</v>
      </c>
      <c r="P1433">
        <v>0.99593030000000005</v>
      </c>
      <c r="Q1433">
        <v>5.883712E-2</v>
      </c>
      <c r="R1433">
        <v>-6.8271230000000002E-2</v>
      </c>
      <c r="S1433">
        <v>2.9763030000000001</v>
      </c>
      <c r="T1433">
        <v>-0.22175600000000001</v>
      </c>
      <c r="U1433">
        <v>-0.70492549999999998</v>
      </c>
      <c r="V1433">
        <v>5.3154510000000002E-2</v>
      </c>
      <c r="W1433">
        <v>7.3028650000000001E-2</v>
      </c>
      <c r="X1433">
        <v>0.99591240000000003</v>
      </c>
      <c r="Y1433">
        <v>0.21511739999999999</v>
      </c>
      <c r="Z1433">
        <v>-6.7781889999999996E-3</v>
      </c>
      <c r="AA1433">
        <v>0.9765646</v>
      </c>
      <c r="AB1433">
        <v>20</v>
      </c>
      <c r="AC1433">
        <v>14.7797999999999</v>
      </c>
      <c r="AD1433">
        <v>-1.110413575036</v>
      </c>
      <c r="AE1433">
        <v>-3.5276999999999799</v>
      </c>
      <c r="AF1433">
        <v>3.2849312900579002</v>
      </c>
      <c r="AG1433">
        <v>-1.110413575036</v>
      </c>
      <c r="AH1433">
        <v>14.7529644362484</v>
      </c>
      <c r="AI1433">
        <v>94.201855078606798</v>
      </c>
      <c r="AJ1433">
        <v>77.447158002425496</v>
      </c>
      <c r="AK1433">
        <v>15.154990978065101</v>
      </c>
      <c r="AL1433">
        <v>85.812038600345801</v>
      </c>
      <c r="AM1433">
        <v>86.944869706199199</v>
      </c>
      <c r="AN1433">
        <v>1.0000000470639601</v>
      </c>
    </row>
    <row r="1434" spans="1:40" x14ac:dyDescent="0.25">
      <c r="A1434" t="str">
        <f>"20190312153916143"</f>
        <v>20190312153916143</v>
      </c>
      <c r="B1434" t="str">
        <f>"1552376356137762"</f>
        <v>1552376356137762</v>
      </c>
      <c r="C1434" t="s">
        <v>40</v>
      </c>
      <c r="D1434">
        <v>4.4224209999999999</v>
      </c>
      <c r="E1434">
        <v>0.56393450000000001</v>
      </c>
      <c r="F1434" t="s">
        <v>42</v>
      </c>
      <c r="G1434">
        <v>-210.52289999999999</v>
      </c>
      <c r="H1434" s="1">
        <v>-4.9354990000000002E-6</v>
      </c>
      <c r="I1434">
        <v>364.613</v>
      </c>
      <c r="J1434">
        <v>-225.95070000000001</v>
      </c>
      <c r="K1434">
        <v>1.1104000000000001</v>
      </c>
      <c r="L1434">
        <v>368.3048</v>
      </c>
      <c r="M1434">
        <v>0.99977870000000002</v>
      </c>
      <c r="N1434">
        <v>0</v>
      </c>
      <c r="O1434">
        <v>-1.5456610000000001E-2</v>
      </c>
      <c r="P1434">
        <v>0.99577890000000002</v>
      </c>
      <c r="Q1434">
        <v>6.0402860000000003E-2</v>
      </c>
      <c r="R1434">
        <v>-6.9110740000000004E-2</v>
      </c>
      <c r="S1434">
        <v>2.976334</v>
      </c>
      <c r="T1434">
        <v>-0.21251890000000001</v>
      </c>
      <c r="U1434">
        <v>-0.70697019999999899</v>
      </c>
      <c r="V1434">
        <v>5.3754620000000003E-2</v>
      </c>
      <c r="W1434">
        <v>7.4586520000000003E-2</v>
      </c>
      <c r="X1434">
        <v>0.99576469999999995</v>
      </c>
      <c r="Y1434">
        <v>0.21555150000000001</v>
      </c>
      <c r="Z1434">
        <v>-6.4938890000000001E-3</v>
      </c>
      <c r="AA1434">
        <v>0.97647090000000003</v>
      </c>
      <c r="AB1434">
        <v>20</v>
      </c>
      <c r="AC1434">
        <v>15.4278</v>
      </c>
      <c r="AD1434">
        <v>-1.110404935499</v>
      </c>
      <c r="AE1434">
        <v>-3.6917999999999398</v>
      </c>
      <c r="AF1434">
        <v>3.4360374618487102</v>
      </c>
      <c r="AG1434">
        <v>-1.110404935499</v>
      </c>
      <c r="AH1434">
        <v>15.407532404640101</v>
      </c>
      <c r="AI1434">
        <v>94.023617040262906</v>
      </c>
      <c r="AJ1434">
        <v>77.428174227877705</v>
      </c>
      <c r="AK1434">
        <v>15.825024719097399</v>
      </c>
      <c r="AL1434">
        <v>85.722534995233005</v>
      </c>
      <c r="AM1434">
        <v>86.909986609563106</v>
      </c>
      <c r="AN1434">
        <v>1.00000002295157</v>
      </c>
    </row>
    <row r="1435" spans="1:40" x14ac:dyDescent="0.25">
      <c r="A1435" t="str">
        <f>"20190312153916156"</f>
        <v>20190312153916156</v>
      </c>
      <c r="B1435" t="str">
        <f>"1552376356147521"</f>
        <v>1552376356147521</v>
      </c>
      <c r="C1435" t="s">
        <v>40</v>
      </c>
      <c r="D1435">
        <v>4.4218830000000002</v>
      </c>
      <c r="E1435">
        <v>0.56389389999999995</v>
      </c>
      <c r="F1435" t="s">
        <v>42</v>
      </c>
      <c r="G1435">
        <v>-210.00380000000001</v>
      </c>
      <c r="H1435" s="1">
        <v>-5.1782270000000004E-6</v>
      </c>
      <c r="I1435">
        <v>364.50009999999997</v>
      </c>
      <c r="J1435">
        <v>-225.83420000000001</v>
      </c>
      <c r="K1435">
        <v>1.110382</v>
      </c>
      <c r="L1435">
        <v>368.30270000000002</v>
      </c>
      <c r="M1435">
        <v>0.99977490000000002</v>
      </c>
      <c r="N1435">
        <v>0</v>
      </c>
      <c r="O1435">
        <v>-1.570848E-2</v>
      </c>
      <c r="P1435">
        <v>0.99563780000000002</v>
      </c>
      <c r="Q1435">
        <v>6.1446220000000003E-2</v>
      </c>
      <c r="R1435">
        <v>-7.0212839999999999E-2</v>
      </c>
      <c r="S1435">
        <v>2.9759980000000001</v>
      </c>
      <c r="T1435">
        <v>-0.20722209999999999</v>
      </c>
      <c r="U1435">
        <v>-0.71002200000000004</v>
      </c>
      <c r="V1435">
        <v>5.4612319999999999E-2</v>
      </c>
      <c r="W1435">
        <v>7.5622129999999996E-2</v>
      </c>
      <c r="X1435">
        <v>0.99563990000000002</v>
      </c>
      <c r="Y1435">
        <v>0.2163004</v>
      </c>
      <c r="Z1435">
        <v>-6.3407969999999996E-3</v>
      </c>
      <c r="AA1435">
        <v>0.97630629999999996</v>
      </c>
      <c r="AB1435">
        <v>20</v>
      </c>
      <c r="AC1435">
        <v>15.8303999999999</v>
      </c>
      <c r="AD1435">
        <v>-1.1103871782269901</v>
      </c>
      <c r="AE1435">
        <v>-3.8026000000000399</v>
      </c>
      <c r="AF1435">
        <v>3.5369812756695498</v>
      </c>
      <c r="AG1435">
        <v>-1.1103871782269901</v>
      </c>
      <c r="AH1435">
        <v>15.814622177614201</v>
      </c>
      <c r="AI1435">
        <v>93.919774431608801</v>
      </c>
      <c r="AJ1435">
        <v>77.393118384603795</v>
      </c>
      <c r="AK1435">
        <v>16.243320807356302</v>
      </c>
      <c r="AL1435">
        <v>85.663030802220007</v>
      </c>
      <c r="AM1435">
        <v>86.8603879931363</v>
      </c>
      <c r="AN1435">
        <v>1.00000001125676</v>
      </c>
    </row>
    <row r="1436" spans="1:40" x14ac:dyDescent="0.25">
      <c r="A1436" t="str">
        <f>"20190312153916169"</f>
        <v>20190312153916169</v>
      </c>
      <c r="B1436" t="str">
        <f>"1552376356157282"</f>
        <v>1552376356157282</v>
      </c>
      <c r="C1436" t="s">
        <v>40</v>
      </c>
      <c r="D1436">
        <v>4.3786250000000004</v>
      </c>
      <c r="E1436">
        <v>0.56391059999999904</v>
      </c>
      <c r="F1436" t="s">
        <v>49</v>
      </c>
      <c r="G1436">
        <v>-209.57599999999999</v>
      </c>
      <c r="H1436" s="1">
        <v>-5.957478E-6</v>
      </c>
      <c r="I1436">
        <v>364.40260000000001</v>
      </c>
      <c r="J1436">
        <v>-225.72040000000001</v>
      </c>
      <c r="K1436">
        <v>1.110366</v>
      </c>
      <c r="L1436">
        <v>368.30070000000001</v>
      </c>
      <c r="M1436">
        <v>0.99977050000000001</v>
      </c>
      <c r="N1436">
        <v>0</v>
      </c>
      <c r="O1436">
        <v>-1.5985269999999999E-2</v>
      </c>
      <c r="P1436">
        <v>0.99554750000000003</v>
      </c>
      <c r="Q1436">
        <v>6.1808019999999998E-2</v>
      </c>
      <c r="R1436">
        <v>-7.116989E-2</v>
      </c>
      <c r="S1436">
        <v>2.9753419999999999</v>
      </c>
      <c r="T1436">
        <v>-0.2032079</v>
      </c>
      <c r="U1436">
        <v>-0.71374510000000002</v>
      </c>
      <c r="V1436">
        <v>5.5298880000000002E-2</v>
      </c>
      <c r="W1436">
        <v>7.5977779999999995E-2</v>
      </c>
      <c r="X1436">
        <v>0.99557490000000004</v>
      </c>
      <c r="Y1436">
        <v>0.2172502</v>
      </c>
      <c r="Z1436">
        <v>-6.232029E-3</v>
      </c>
      <c r="AA1436">
        <v>0.97609599999999996</v>
      </c>
      <c r="AB1436">
        <v>20</v>
      </c>
      <c r="AC1436">
        <v>16.144400000000001</v>
      </c>
      <c r="AD1436">
        <v>-1.110371957478</v>
      </c>
      <c r="AE1436">
        <v>-3.8980999999999999</v>
      </c>
      <c r="AF1436">
        <v>3.6233076485462901</v>
      </c>
      <c r="AG1436">
        <v>-1.110371957478</v>
      </c>
      <c r="AH1436">
        <v>16.132546592888801</v>
      </c>
      <c r="AI1436">
        <v>93.841937239601407</v>
      </c>
      <c r="AJ1436">
        <v>77.341643046915607</v>
      </c>
      <c r="AK1436">
        <v>16.571672932196499</v>
      </c>
      <c r="AL1436">
        <v>85.642594651676703</v>
      </c>
      <c r="AM1436">
        <v>86.820791616571796</v>
      </c>
      <c r="AN1436">
        <v>0.99999998534649603</v>
      </c>
    </row>
    <row r="1437" spans="1:40" x14ac:dyDescent="0.25">
      <c r="A1437" t="str">
        <f>"20190312153916185"</f>
        <v>20190312153916185</v>
      </c>
      <c r="B1437" t="str">
        <f>"1552376356177779"</f>
        <v>1552376356177779</v>
      </c>
      <c r="C1437" t="s">
        <v>40</v>
      </c>
      <c r="D1437">
        <v>4.2949289999999998</v>
      </c>
      <c r="E1437">
        <v>0.56393669999999996</v>
      </c>
      <c r="F1437" t="s">
        <v>49</v>
      </c>
      <c r="G1437">
        <v>-209.3973</v>
      </c>
      <c r="H1437" s="1">
        <v>-5.9033059999999996E-6</v>
      </c>
      <c r="I1437">
        <v>364.36630000000002</v>
      </c>
      <c r="J1437">
        <v>-225.58779999999999</v>
      </c>
      <c r="K1437">
        <v>1.110347</v>
      </c>
      <c r="L1437">
        <v>368.29820000000001</v>
      </c>
      <c r="M1437">
        <v>0.99976500000000001</v>
      </c>
      <c r="N1437">
        <v>0</v>
      </c>
      <c r="O1437">
        <v>-1.6330089999999998E-2</v>
      </c>
      <c r="P1437">
        <v>0.99541089999999999</v>
      </c>
      <c r="Q1437">
        <v>6.2720330000000005E-2</v>
      </c>
      <c r="R1437">
        <v>-7.2274229999999995E-2</v>
      </c>
      <c r="S1437">
        <v>2.9746860000000002</v>
      </c>
      <c r="T1437">
        <v>-0.20235159999999999</v>
      </c>
      <c r="U1437">
        <v>-0.71697999999999995</v>
      </c>
      <c r="V1437">
        <v>5.6066779999999997E-2</v>
      </c>
      <c r="W1437">
        <v>7.688159E-2</v>
      </c>
      <c r="X1437">
        <v>0.99546259999999998</v>
      </c>
      <c r="Y1437">
        <v>0.21796869999999999</v>
      </c>
      <c r="Z1437">
        <v>-6.2073719999999897E-3</v>
      </c>
      <c r="AA1437">
        <v>0.97593600000000003</v>
      </c>
      <c r="AB1437">
        <v>20</v>
      </c>
      <c r="AC1437">
        <v>16.190499999999901</v>
      </c>
      <c r="AD1437">
        <v>-1.110352903306</v>
      </c>
      <c r="AE1437">
        <v>-3.9318999999999802</v>
      </c>
      <c r="AF1437">
        <v>3.6507421760168599</v>
      </c>
      <c r="AG1437">
        <v>-1.110352903306</v>
      </c>
      <c r="AH1437">
        <v>16.180691349370498</v>
      </c>
      <c r="AI1437">
        <v>93.829633872585205</v>
      </c>
      <c r="AJ1437">
        <v>77.285625381066694</v>
      </c>
      <c r="AK1437">
        <v>16.6245473487017</v>
      </c>
      <c r="AL1437">
        <v>85.590658411982005</v>
      </c>
      <c r="AM1437">
        <v>86.776373589148307</v>
      </c>
      <c r="AN1437">
        <v>1.00000002534962</v>
      </c>
    </row>
    <row r="1438" spans="1:40" x14ac:dyDescent="0.25">
      <c r="A1438" t="str">
        <f>"20190312153916200"</f>
        <v>20190312153916200</v>
      </c>
      <c r="B1438" t="str">
        <f>"1552376356187538"</f>
        <v>1552376356187538</v>
      </c>
      <c r="C1438" t="s">
        <v>40</v>
      </c>
      <c r="D1438">
        <v>4.3841559999999999</v>
      </c>
      <c r="E1438">
        <v>0.56391910000000001</v>
      </c>
      <c r="F1438" t="s">
        <v>49</v>
      </c>
      <c r="G1438">
        <v>-209.45060000000001</v>
      </c>
      <c r="H1438" s="1">
        <v>-5.9177190000000004E-6</v>
      </c>
      <c r="I1438">
        <v>364.38839999999999</v>
      </c>
      <c r="J1438">
        <v>-225.45949999999999</v>
      </c>
      <c r="K1438">
        <v>1.11032999999999</v>
      </c>
      <c r="L1438">
        <v>368.29570000000001</v>
      </c>
      <c r="M1438">
        <v>0.99975910000000001</v>
      </c>
      <c r="N1438">
        <v>0</v>
      </c>
      <c r="O1438">
        <v>-1.669054E-2</v>
      </c>
      <c r="P1438">
        <v>0.9952472</v>
      </c>
      <c r="Q1438">
        <v>6.4270279999999999E-2</v>
      </c>
      <c r="R1438">
        <v>-7.3161190000000001E-2</v>
      </c>
      <c r="S1438">
        <v>2.974396</v>
      </c>
      <c r="T1438">
        <v>-0.2046598</v>
      </c>
      <c r="U1438">
        <v>-0.72064209999999995</v>
      </c>
      <c r="V1438">
        <v>5.6603199999999902E-2</v>
      </c>
      <c r="W1438">
        <v>7.8422359999999997E-2</v>
      </c>
      <c r="X1438">
        <v>0.99531199999999997</v>
      </c>
      <c r="Y1438">
        <v>0.21876280000000001</v>
      </c>
      <c r="Z1438">
        <v>-6.280229E-3</v>
      </c>
      <c r="AA1438">
        <v>0.97575780000000001</v>
      </c>
      <c r="AB1438">
        <v>19</v>
      </c>
      <c r="AC1438">
        <v>16.008899999999901</v>
      </c>
      <c r="AD1438">
        <v>-1.11033591771899</v>
      </c>
      <c r="AE1438">
        <v>-3.9073000000000202</v>
      </c>
      <c r="AF1438">
        <v>3.6230824831321402</v>
      </c>
      <c r="AG1438">
        <v>-1.11033591771899</v>
      </c>
      <c r="AH1438">
        <v>15.9992544956083</v>
      </c>
      <c r="AI1438">
        <v>93.872183720829895</v>
      </c>
      <c r="AJ1438">
        <v>77.240390671074806</v>
      </c>
      <c r="AK1438">
        <v>16.4418890929539</v>
      </c>
      <c r="AL1438">
        <v>85.502111231266795</v>
      </c>
      <c r="AM1438">
        <v>86.7451060986822</v>
      </c>
      <c r="AN1438">
        <v>0.99999998307110405</v>
      </c>
    </row>
    <row r="1439" spans="1:40" x14ac:dyDescent="0.25">
      <c r="A1439" t="str">
        <f>"20190312153916218"</f>
        <v>20190312153916218</v>
      </c>
      <c r="B1439" t="str">
        <f>"1552376356207059"</f>
        <v>1552376356207059</v>
      </c>
      <c r="C1439" t="s">
        <v>40</v>
      </c>
      <c r="D1439">
        <v>4.3868369999999999</v>
      </c>
      <c r="E1439">
        <v>0.56392059999999999</v>
      </c>
      <c r="F1439" t="s">
        <v>49</v>
      </c>
      <c r="G1439">
        <v>-208.96879999999999</v>
      </c>
      <c r="H1439" s="1">
        <v>-5.773005E-6</v>
      </c>
      <c r="I1439">
        <v>364.28219999999999</v>
      </c>
      <c r="J1439">
        <v>-225.2945</v>
      </c>
      <c r="K1439">
        <v>1.1102970000000001</v>
      </c>
      <c r="L1439">
        <v>368.29239999999999</v>
      </c>
      <c r="M1439">
        <v>0.99975040000000004</v>
      </c>
      <c r="N1439">
        <v>0</v>
      </c>
      <c r="O1439">
        <v>-1.7203030000000001E-2</v>
      </c>
      <c r="P1439">
        <v>0.99508209999999997</v>
      </c>
      <c r="Q1439">
        <v>6.6636260000000003E-2</v>
      </c>
      <c r="R1439">
        <v>-7.3289919999999995E-2</v>
      </c>
      <c r="S1439">
        <v>2.9740449999999998</v>
      </c>
      <c r="T1439">
        <v>-0.20024510000000001</v>
      </c>
      <c r="U1439">
        <v>-0.72381589999999996</v>
      </c>
      <c r="V1439">
        <v>5.6233270000000002E-2</v>
      </c>
      <c r="W1439">
        <v>8.0778520000000006E-2</v>
      </c>
      <c r="X1439">
        <v>0.99514449999999999</v>
      </c>
      <c r="Y1439">
        <v>0.2192915</v>
      </c>
      <c r="Z1439">
        <v>-6.1285849999999998E-3</v>
      </c>
      <c r="AA1439">
        <v>0.97564010000000001</v>
      </c>
      <c r="AB1439">
        <v>19</v>
      </c>
      <c r="AC1439">
        <v>16.325700000000001</v>
      </c>
      <c r="AD1439">
        <v>-1.1103027730049999</v>
      </c>
      <c r="AE1439">
        <v>-4.0101999999999904</v>
      </c>
      <c r="AF1439">
        <v>3.7125319786370699</v>
      </c>
      <c r="AG1439">
        <v>-1.1103027730049999</v>
      </c>
      <c r="AH1439">
        <v>16.321084076401998</v>
      </c>
      <c r="AI1439">
        <v>93.795112710946597</v>
      </c>
      <c r="AJ1439">
        <v>77.185070150251605</v>
      </c>
      <c r="AK1439">
        <v>16.774786179535301</v>
      </c>
      <c r="AL1439">
        <v>85.366683346863496</v>
      </c>
      <c r="AM1439">
        <v>86.765790027652898</v>
      </c>
      <c r="AN1439">
        <v>0.99999996291426596</v>
      </c>
    </row>
    <row r="1440" spans="1:40" x14ac:dyDescent="0.25">
      <c r="A1440" t="str">
        <f>"20190312153916235"</f>
        <v>20190312153916235</v>
      </c>
      <c r="B1440" t="str">
        <f>"1552376356227554"</f>
        <v>1552376356227554</v>
      </c>
      <c r="C1440" t="s">
        <v>40</v>
      </c>
      <c r="D1440">
        <v>4.4014629999999997</v>
      </c>
      <c r="E1440">
        <v>0.56399379999999999</v>
      </c>
      <c r="F1440" t="s">
        <v>49</v>
      </c>
      <c r="G1440">
        <v>-208.3091</v>
      </c>
      <c r="H1440" s="1">
        <v>-5.5718340000000003E-6</v>
      </c>
      <c r="I1440">
        <v>364.15640000000002</v>
      </c>
      <c r="J1440">
        <v>-225.14879999999999</v>
      </c>
      <c r="K1440">
        <v>1.1102669999999999</v>
      </c>
      <c r="L1440">
        <v>368.28930000000003</v>
      </c>
      <c r="M1440">
        <v>0.99974180000000001</v>
      </c>
      <c r="N1440">
        <v>0</v>
      </c>
      <c r="O1440">
        <v>-1.7699840000000001E-2</v>
      </c>
      <c r="P1440">
        <v>0.99501499999999998</v>
      </c>
      <c r="Q1440">
        <v>6.7719870000000001E-2</v>
      </c>
      <c r="R1440">
        <v>-7.320836E-2</v>
      </c>
      <c r="S1440">
        <v>2.9745180000000002</v>
      </c>
      <c r="T1440">
        <v>-0.194438</v>
      </c>
      <c r="U1440">
        <v>-0.72430419999999995</v>
      </c>
      <c r="V1440">
        <v>5.5664890000000002E-2</v>
      </c>
      <c r="W1440">
        <v>8.1854049999999998E-2</v>
      </c>
      <c r="X1440">
        <v>0.99508859999999999</v>
      </c>
      <c r="Y1440">
        <v>0.2189488</v>
      </c>
      <c r="Z1440">
        <v>-5.9072229999999996E-3</v>
      </c>
      <c r="AA1440">
        <v>0.97571850000000004</v>
      </c>
      <c r="AB1440">
        <v>19</v>
      </c>
      <c r="AC1440">
        <v>16.839699999999901</v>
      </c>
      <c r="AD1440">
        <v>-1.1102725718340001</v>
      </c>
      <c r="AE1440">
        <v>-4.1329000000000002</v>
      </c>
      <c r="AF1440">
        <v>3.81850611639288</v>
      </c>
      <c r="AG1440">
        <v>-1.1102725718340001</v>
      </c>
      <c r="AH1440">
        <v>16.8411709555076</v>
      </c>
      <c r="AI1440">
        <v>93.678719580865604</v>
      </c>
      <c r="AJ1440">
        <v>77.224958469291494</v>
      </c>
      <c r="AK1440">
        <v>17.304298116286901</v>
      </c>
      <c r="AL1440">
        <v>85.3048554033263</v>
      </c>
      <c r="AM1440">
        <v>86.798232104479496</v>
      </c>
      <c r="AN1440">
        <v>0.999999993665037</v>
      </c>
    </row>
    <row r="1441" spans="1:40" x14ac:dyDescent="0.25">
      <c r="A1441" t="str">
        <f>"20190312153916251"</f>
        <v>20190312153916251</v>
      </c>
      <c r="B1441" t="str">
        <f>"1552376356247073"</f>
        <v>1552376356247073</v>
      </c>
      <c r="C1441" t="s">
        <v>40</v>
      </c>
      <c r="D1441">
        <v>4.3254609999999998</v>
      </c>
      <c r="E1441">
        <v>0.56405559999999999</v>
      </c>
      <c r="F1441" t="s">
        <v>49</v>
      </c>
      <c r="G1441">
        <v>-208.02</v>
      </c>
      <c r="H1441" s="1">
        <v>-5.481178E-6</v>
      </c>
      <c r="I1441">
        <v>364.11720000000003</v>
      </c>
      <c r="J1441">
        <v>-225.00630000000001</v>
      </c>
      <c r="K1441">
        <v>1.110236</v>
      </c>
      <c r="L1441">
        <v>368.28620000000001</v>
      </c>
      <c r="M1441">
        <v>0.99973239999999997</v>
      </c>
      <c r="N1441">
        <v>0</v>
      </c>
      <c r="O1441">
        <v>-1.822727E-2</v>
      </c>
      <c r="P1441">
        <v>0.99503949999999997</v>
      </c>
      <c r="Q1441">
        <v>6.8250439999999996E-2</v>
      </c>
      <c r="R1441">
        <v>-7.237913E-2</v>
      </c>
      <c r="S1441">
        <v>2.9748380000000001</v>
      </c>
      <c r="T1441">
        <v>-0.19282589999999999</v>
      </c>
      <c r="U1441">
        <v>-0.72457890000000003</v>
      </c>
      <c r="V1441">
        <v>5.4316669999999997E-2</v>
      </c>
      <c r="W1441">
        <v>8.2379179999999996E-2</v>
      </c>
      <c r="X1441">
        <v>0.9951198</v>
      </c>
      <c r="Y1441">
        <v>0.21850359999999999</v>
      </c>
      <c r="Z1441">
        <v>-5.8098389999999998E-3</v>
      </c>
      <c r="AA1441">
        <v>0.97581890000000004</v>
      </c>
      <c r="AB1441">
        <v>19</v>
      </c>
      <c r="AC1441">
        <v>16.9863</v>
      </c>
      <c r="AD1441">
        <v>-1.1102414811779999</v>
      </c>
      <c r="AE1441">
        <v>-4.1689999999999801</v>
      </c>
      <c r="AF1441">
        <v>3.8431764957810799</v>
      </c>
      <c r="AG1441">
        <v>-1.1102414811779999</v>
      </c>
      <c r="AH1441">
        <v>16.991012074336599</v>
      </c>
      <c r="AI1441">
        <v>93.646692573174505</v>
      </c>
      <c r="AJ1441">
        <v>77.254802327754305</v>
      </c>
      <c r="AK1441">
        <v>17.455575986901898</v>
      </c>
      <c r="AL1441">
        <v>85.274665850893399</v>
      </c>
      <c r="AM1441">
        <v>86.875722089274106</v>
      </c>
      <c r="AN1441">
        <v>1.0000000231446999</v>
      </c>
    </row>
    <row r="1442" spans="1:40" x14ac:dyDescent="0.25">
      <c r="A1442" t="str">
        <f>"20190312153916267"</f>
        <v>20190312153916267</v>
      </c>
      <c r="B1442" t="str">
        <f>"1552376356256834"</f>
        <v>1552376356256834</v>
      </c>
      <c r="C1442" t="s">
        <v>40</v>
      </c>
      <c r="D1442">
        <v>4.2577980000000002</v>
      </c>
      <c r="E1442">
        <v>0.56405559999999999</v>
      </c>
      <c r="F1442" t="s">
        <v>49</v>
      </c>
      <c r="G1442">
        <v>-207.8759</v>
      </c>
      <c r="H1442" s="1">
        <v>-5.4313120000000003E-6</v>
      </c>
      <c r="I1442">
        <v>364.1277</v>
      </c>
      <c r="J1442">
        <v>-224.87260000000001</v>
      </c>
      <c r="K1442">
        <v>1.1102019999999999</v>
      </c>
      <c r="L1442">
        <v>368.28320000000002</v>
      </c>
      <c r="M1442">
        <v>0.99972249999999996</v>
      </c>
      <c r="N1442">
        <v>0</v>
      </c>
      <c r="O1442">
        <v>-1.87663E-2</v>
      </c>
      <c r="P1442">
        <v>0.99508560000000001</v>
      </c>
      <c r="Q1442">
        <v>6.7962389999999998E-2</v>
      </c>
      <c r="R1442">
        <v>-7.2014670000000003E-2</v>
      </c>
      <c r="S1442">
        <v>2.9756619999999998</v>
      </c>
      <c r="T1442">
        <v>-0.19285559999999999</v>
      </c>
      <c r="U1442">
        <v>-0.72235109999999902</v>
      </c>
      <c r="V1442">
        <v>5.34204E-2</v>
      </c>
      <c r="W1442">
        <v>8.2086430000000002E-2</v>
      </c>
      <c r="X1442">
        <v>0.99519250000000004</v>
      </c>
      <c r="Y1442">
        <v>0.21722900000000001</v>
      </c>
      <c r="Z1442">
        <v>-5.7346410000000004E-3</v>
      </c>
      <c r="AA1442">
        <v>0.97610379999999997</v>
      </c>
      <c r="AB1442">
        <v>19</v>
      </c>
      <c r="AC1442">
        <v>16.996700000000001</v>
      </c>
      <c r="AD1442">
        <v>-1.1102074313120001</v>
      </c>
      <c r="AE1442">
        <v>-4.1555000000000097</v>
      </c>
      <c r="AF1442">
        <v>3.8203899495881299</v>
      </c>
      <c r="AG1442">
        <v>-1.1102074313120001</v>
      </c>
      <c r="AH1442">
        <v>17.003243742450401</v>
      </c>
      <c r="AI1442">
        <v>93.645136732289203</v>
      </c>
      <c r="AJ1442">
        <v>77.336744436213607</v>
      </c>
      <c r="AK1442">
        <v>17.4624808567578</v>
      </c>
      <c r="AL1442">
        <v>85.2914961609725</v>
      </c>
      <c r="AM1442">
        <v>86.927399679994593</v>
      </c>
      <c r="AN1442">
        <v>1.0000000165912699</v>
      </c>
    </row>
    <row r="1443" spans="1:40" x14ac:dyDescent="0.25">
      <c r="A1443" t="str">
        <f>"20190312153916280"</f>
        <v>20190312153916280</v>
      </c>
      <c r="B1443" t="str">
        <f>"1552376356267570"</f>
        <v>1552376356267570</v>
      </c>
      <c r="C1443" t="s">
        <v>40</v>
      </c>
      <c r="D1443">
        <v>4.3650840000000004</v>
      </c>
      <c r="E1443">
        <v>0.5640908</v>
      </c>
      <c r="F1443" t="s">
        <v>49</v>
      </c>
      <c r="G1443">
        <v>-207.81890000000001</v>
      </c>
      <c r="H1443" s="1">
        <v>-5.4089640000000001E-6</v>
      </c>
      <c r="I1443">
        <v>364.14870000000002</v>
      </c>
      <c r="J1443">
        <v>-224.76599999999999</v>
      </c>
      <c r="K1443">
        <v>1.1101700000000001</v>
      </c>
      <c r="L1443">
        <v>368.28070000000002</v>
      </c>
      <c r="M1443">
        <v>0.99971390000000004</v>
      </c>
      <c r="N1443">
        <v>0</v>
      </c>
      <c r="O1443">
        <v>-1.9222050000000001E-2</v>
      </c>
      <c r="P1443">
        <v>0.99514959999999997</v>
      </c>
      <c r="Q1443">
        <v>6.7659910000000004E-2</v>
      </c>
      <c r="R1443">
        <v>-7.1410290000000001E-2</v>
      </c>
      <c r="S1443">
        <v>2.9758300000000002</v>
      </c>
      <c r="T1443">
        <v>-0.19372900000000001</v>
      </c>
      <c r="U1443">
        <v>-0.7214661</v>
      </c>
      <c r="V1443">
        <v>5.2366160000000002E-2</v>
      </c>
      <c r="W1443">
        <v>8.178038E-2</v>
      </c>
      <c r="X1443">
        <v>0.99527370000000004</v>
      </c>
      <c r="Y1443">
        <v>0.21649599999999999</v>
      </c>
      <c r="Z1443">
        <v>-5.7077660000000004E-3</v>
      </c>
      <c r="AA1443">
        <v>0.97626679999999999</v>
      </c>
      <c r="AB1443">
        <v>19</v>
      </c>
      <c r="AC1443">
        <v>16.947099999999899</v>
      </c>
      <c r="AD1443">
        <v>-1.1101754089639999</v>
      </c>
      <c r="AE1443">
        <v>-4.1319999999999997</v>
      </c>
      <c r="AF1443">
        <v>3.7900934666366801</v>
      </c>
      <c r="AG1443">
        <v>-1.1101754089639999</v>
      </c>
      <c r="AH1443">
        <v>16.954725928825901</v>
      </c>
      <c r="AI1443">
        <v>93.656324319739696</v>
      </c>
      <c r="AJ1443">
        <v>77.399152849684597</v>
      </c>
      <c r="AK1443">
        <v>17.408619395176402</v>
      </c>
      <c r="AL1443">
        <v>85.309090572737006</v>
      </c>
      <c r="AM1443">
        <v>86.988169290434996</v>
      </c>
      <c r="AN1443">
        <v>0.99999999158888997</v>
      </c>
    </row>
    <row r="1444" spans="1:40" x14ac:dyDescent="0.25">
      <c r="A1444" t="str">
        <f>"20190312153916293"</f>
        <v>20190312153916293</v>
      </c>
      <c r="B1444" t="str">
        <f>"1552376356287090"</f>
        <v>1552376356287090</v>
      </c>
      <c r="C1444" t="s">
        <v>40</v>
      </c>
      <c r="D1444">
        <v>4.3516890000000004</v>
      </c>
      <c r="E1444">
        <v>0.56414989999999998</v>
      </c>
      <c r="F1444" t="s">
        <v>49</v>
      </c>
      <c r="G1444">
        <v>-207.87909999999999</v>
      </c>
      <c r="H1444" s="1">
        <v>-5.4213710000000001E-6</v>
      </c>
      <c r="I1444">
        <v>364.19810000000001</v>
      </c>
      <c r="J1444">
        <v>-224.6404</v>
      </c>
      <c r="K1444">
        <v>1.110131</v>
      </c>
      <c r="L1444">
        <v>368.27760000000001</v>
      </c>
      <c r="M1444">
        <v>0.99970250000000005</v>
      </c>
      <c r="N1444">
        <v>0</v>
      </c>
      <c r="O1444">
        <v>-1.9807060000000001E-2</v>
      </c>
      <c r="P1444">
        <v>0.99520560000000002</v>
      </c>
      <c r="Q1444">
        <v>6.7230269999999995E-2</v>
      </c>
      <c r="R1444">
        <v>-7.1034879999999995E-2</v>
      </c>
      <c r="S1444">
        <v>2.9762879999999998</v>
      </c>
      <c r="T1444">
        <v>-0.19566610000000001</v>
      </c>
      <c r="U1444">
        <v>-0.7195435</v>
      </c>
      <c r="V1444">
        <v>5.1413349999999997E-2</v>
      </c>
      <c r="W1444">
        <v>8.1346470000000004E-2</v>
      </c>
      <c r="X1444">
        <v>0.99535890000000005</v>
      </c>
      <c r="Y1444">
        <v>0.21529029999999999</v>
      </c>
      <c r="Z1444">
        <v>-5.6874309999999997E-3</v>
      </c>
      <c r="AA1444">
        <v>0.97653350000000005</v>
      </c>
      <c r="AB1444">
        <v>19</v>
      </c>
      <c r="AC1444">
        <v>16.761299999999999</v>
      </c>
      <c r="AD1444">
        <v>-1.1101364213710001</v>
      </c>
      <c r="AE1444">
        <v>-4.0794999999999897</v>
      </c>
      <c r="AF1444">
        <v>3.7312214536570698</v>
      </c>
      <c r="AG1444">
        <v>-1.1101364213710001</v>
      </c>
      <c r="AH1444">
        <v>16.769374050525599</v>
      </c>
      <c r="AI1444">
        <v>93.697311243084599</v>
      </c>
      <c r="AJ1444">
        <v>77.455910342063206</v>
      </c>
      <c r="AK1444">
        <v>17.2152932724577</v>
      </c>
      <c r="AL1444">
        <v>85.334034749061104</v>
      </c>
      <c r="AM1444">
        <v>87.043124502910899</v>
      </c>
      <c r="AN1444">
        <v>0.99999996027444604</v>
      </c>
    </row>
    <row r="1445" spans="1:40" x14ac:dyDescent="0.25">
      <c r="A1445" t="str">
        <f>"20190312153916307"</f>
        <v>20190312153916307</v>
      </c>
      <c r="B1445" t="str">
        <f>"1552376356296850"</f>
        <v>1552376356296850</v>
      </c>
      <c r="C1445" t="s">
        <v>40</v>
      </c>
      <c r="D1445">
        <v>4.3345200000000004</v>
      </c>
      <c r="E1445">
        <v>0.56417919999999999</v>
      </c>
      <c r="F1445" t="s">
        <v>49</v>
      </c>
      <c r="G1445">
        <v>-207.95</v>
      </c>
      <c r="H1445" s="1">
        <v>-5.4377849999999996E-6</v>
      </c>
      <c r="I1445">
        <v>364.24509999999998</v>
      </c>
      <c r="J1445">
        <v>-224.52539999999999</v>
      </c>
      <c r="K1445">
        <v>1.110088</v>
      </c>
      <c r="L1445">
        <v>368.2747</v>
      </c>
      <c r="M1445">
        <v>0.99969090000000005</v>
      </c>
      <c r="N1445">
        <v>0</v>
      </c>
      <c r="O1445">
        <v>-2.038419E-2</v>
      </c>
      <c r="P1445">
        <v>0.99539359999999999</v>
      </c>
      <c r="Q1445">
        <v>6.6429440000000006E-2</v>
      </c>
      <c r="R1445">
        <v>-6.9130780000000003E-2</v>
      </c>
      <c r="S1445">
        <v>2.9765009999999998</v>
      </c>
      <c r="T1445">
        <v>-0.1979774</v>
      </c>
      <c r="U1445">
        <v>-0.71914669999999903</v>
      </c>
      <c r="V1445">
        <v>4.8936269999999997E-2</v>
      </c>
      <c r="W1445">
        <v>8.0545160000000005E-2</v>
      </c>
      <c r="X1445">
        <v>0.99554900000000002</v>
      </c>
      <c r="Y1445">
        <v>0.21458079999999999</v>
      </c>
      <c r="Z1445">
        <v>-5.6931680000000002E-3</v>
      </c>
      <c r="AA1445">
        <v>0.97668960000000005</v>
      </c>
      <c r="AB1445">
        <v>19</v>
      </c>
      <c r="AC1445">
        <v>16.575399999999998</v>
      </c>
      <c r="AD1445">
        <v>-1.110093437785</v>
      </c>
      <c r="AE1445">
        <v>-4.0296000000000101</v>
      </c>
      <c r="AF1445">
        <v>3.6752873814187201</v>
      </c>
      <c r="AG1445">
        <v>-1.110093437785</v>
      </c>
      <c r="AH1445">
        <v>16.5838710087307</v>
      </c>
      <c r="AI1445">
        <v>93.739104865321295</v>
      </c>
      <c r="AJ1445">
        <v>77.504176680117595</v>
      </c>
      <c r="AK1445">
        <v>17.022479913656799</v>
      </c>
      <c r="AL1445">
        <v>85.380097986864996</v>
      </c>
      <c r="AM1445">
        <v>87.185887614144207</v>
      </c>
      <c r="AN1445">
        <v>1.00000004636096</v>
      </c>
    </row>
    <row r="1446" spans="1:40" x14ac:dyDescent="0.25">
      <c r="A1446" t="str">
        <f>"20190312153916331"</f>
        <v>20190312153916331</v>
      </c>
      <c r="B1446" t="str">
        <f>"1552376356327105"</f>
        <v>1552376356327105</v>
      </c>
      <c r="C1446" t="s">
        <v>40</v>
      </c>
      <c r="D1446">
        <v>4.3172389999999998</v>
      </c>
      <c r="E1446">
        <v>0.56435979999999997</v>
      </c>
      <c r="F1446" t="s">
        <v>49</v>
      </c>
      <c r="G1446">
        <v>-208.09950000000001</v>
      </c>
      <c r="H1446" s="1">
        <v>-5.4733949999999996E-6</v>
      </c>
      <c r="I1446">
        <v>364.33749999999998</v>
      </c>
      <c r="J1446">
        <v>-224.33160000000001</v>
      </c>
      <c r="K1446">
        <v>1.1100289999999999</v>
      </c>
      <c r="L1446">
        <v>368.26960000000003</v>
      </c>
      <c r="M1446">
        <v>0.99966920000000004</v>
      </c>
      <c r="N1446">
        <v>0</v>
      </c>
      <c r="O1446">
        <v>-2.1425960000000001E-2</v>
      </c>
      <c r="P1446">
        <v>0.99548499999999995</v>
      </c>
      <c r="Q1446">
        <v>6.5437270000000006E-2</v>
      </c>
      <c r="R1446">
        <v>-6.8760730000000006E-2</v>
      </c>
      <c r="S1446">
        <v>2.977722</v>
      </c>
      <c r="T1446">
        <v>-0.20123969999999999</v>
      </c>
      <c r="U1446">
        <v>-0.71374510000000002</v>
      </c>
      <c r="V1446">
        <v>4.753607E-2</v>
      </c>
      <c r="W1446">
        <v>7.9547030000000005E-2</v>
      </c>
      <c r="X1446">
        <v>0.99569700000000005</v>
      </c>
      <c r="Y1446">
        <v>0.21179100000000001</v>
      </c>
      <c r="Z1446">
        <v>-5.6235679999999998E-3</v>
      </c>
      <c r="AA1446">
        <v>0.97729880000000002</v>
      </c>
      <c r="AB1446">
        <v>19</v>
      </c>
      <c r="AC1446">
        <v>16.232099999999999</v>
      </c>
      <c r="AD1446">
        <v>-1.1100344733950001</v>
      </c>
      <c r="AE1446">
        <v>-3.9321000000000401</v>
      </c>
      <c r="AF1446">
        <v>3.5676143525622002</v>
      </c>
      <c r="AG1446">
        <v>-1.1100344733950001</v>
      </c>
      <c r="AH1446">
        <v>16.240889405300699</v>
      </c>
      <c r="AI1446">
        <v>93.819197070828494</v>
      </c>
      <c r="AJ1446">
        <v>77.610690892486005</v>
      </c>
      <c r="AK1446">
        <v>16.665129383714401</v>
      </c>
      <c r="AL1446">
        <v>85.4374703364889</v>
      </c>
      <c r="AM1446">
        <v>87.266688819410604</v>
      </c>
      <c r="AN1446">
        <v>0.99999996187093199</v>
      </c>
    </row>
    <row r="1447" spans="1:40" x14ac:dyDescent="0.25">
      <c r="A1447" t="str">
        <f>"20190312153916353"</f>
        <v>20190312153916353</v>
      </c>
      <c r="B1447" t="str">
        <f>"1552376356347602"</f>
        <v>1552376356347602</v>
      </c>
      <c r="C1447" t="s">
        <v>40</v>
      </c>
      <c r="D1447">
        <v>4.3161639999999997</v>
      </c>
      <c r="E1447">
        <v>0.5645308</v>
      </c>
      <c r="F1447" t="s">
        <v>49</v>
      </c>
      <c r="G1447">
        <v>-208.36359999999999</v>
      </c>
      <c r="H1447" s="1">
        <v>-5.5457649999999996E-6</v>
      </c>
      <c r="I1447">
        <v>364.4402</v>
      </c>
      <c r="J1447">
        <v>-224.14019999999999</v>
      </c>
      <c r="K1447">
        <v>1.1099669999999999</v>
      </c>
      <c r="L1447">
        <v>368.26420000000002</v>
      </c>
      <c r="M1447">
        <v>0.99964470000000005</v>
      </c>
      <c r="N1447">
        <v>0</v>
      </c>
      <c r="O1447">
        <v>-2.2544399999999999E-2</v>
      </c>
      <c r="P1447">
        <v>0.99551579999999995</v>
      </c>
      <c r="Q1447">
        <v>6.4778089999999997E-2</v>
      </c>
      <c r="R1447">
        <v>-6.8938490000000005E-2</v>
      </c>
      <c r="S1447">
        <v>2.9779049999999998</v>
      </c>
      <c r="T1447">
        <v>-0.2070129</v>
      </c>
      <c r="U1447">
        <v>-0.71414180000000005</v>
      </c>
      <c r="V1447">
        <v>4.6607429999999998E-2</v>
      </c>
      <c r="W1447">
        <v>7.8881069999999998E-2</v>
      </c>
      <c r="X1447">
        <v>0.99579390000000001</v>
      </c>
      <c r="Y1447">
        <v>0.21078810000000001</v>
      </c>
      <c r="Z1447">
        <v>-5.6732980000000002E-3</v>
      </c>
      <c r="AA1447">
        <v>0.97751529999999998</v>
      </c>
      <c r="AB1447">
        <v>19</v>
      </c>
      <c r="AC1447">
        <v>15.7766</v>
      </c>
      <c r="AD1447">
        <v>-1.10997254576499</v>
      </c>
      <c r="AE1447">
        <v>-3.8240000000000101</v>
      </c>
      <c r="AF1447">
        <v>3.4511828391432999</v>
      </c>
      <c r="AG1447">
        <v>-1.10997254576499</v>
      </c>
      <c r="AH1447">
        <v>15.7850092055026</v>
      </c>
      <c r="AI1447">
        <v>93.929783754927698</v>
      </c>
      <c r="AJ1447">
        <v>77.667106240834002</v>
      </c>
      <c r="AK1447">
        <v>16.195963005000699</v>
      </c>
      <c r="AL1447">
        <v>85.475747414526197</v>
      </c>
      <c r="AM1447">
        <v>87.320267153682707</v>
      </c>
      <c r="AN1447">
        <v>0.99999998350637898</v>
      </c>
    </row>
    <row r="1448" spans="1:40" x14ac:dyDescent="0.25">
      <c r="A1448" t="str">
        <f>"20190312153916374"</f>
        <v>20190312153916374</v>
      </c>
      <c r="B1448" t="str">
        <f>"1552376356367122"</f>
        <v>1552376356367122</v>
      </c>
      <c r="C1448" t="s">
        <v>40</v>
      </c>
      <c r="D1448">
        <v>4.2942739999999997</v>
      </c>
      <c r="E1448">
        <v>0.56456099999999998</v>
      </c>
      <c r="F1448" t="s">
        <v>49</v>
      </c>
      <c r="G1448">
        <v>-208.49590000000001</v>
      </c>
      <c r="H1448" s="1">
        <v>-5.57948E-6</v>
      </c>
      <c r="I1448">
        <v>364.50779999999997</v>
      </c>
      <c r="J1448">
        <v>-223.95189999999999</v>
      </c>
      <c r="K1448">
        <v>1.109926</v>
      </c>
      <c r="L1448">
        <v>368.25850000000003</v>
      </c>
      <c r="M1448">
        <v>0.99961739999999999</v>
      </c>
      <c r="N1448">
        <v>0</v>
      </c>
      <c r="O1448">
        <v>-2.372196E-2</v>
      </c>
      <c r="P1448">
        <v>0.99545419999999996</v>
      </c>
      <c r="Q1448">
        <v>6.4069379999999995E-2</v>
      </c>
      <c r="R1448">
        <v>-7.0472049999999994E-2</v>
      </c>
      <c r="S1448">
        <v>2.9777680000000002</v>
      </c>
      <c r="T1448">
        <v>-0.21127489999999999</v>
      </c>
      <c r="U1448">
        <v>-0.71499630000000003</v>
      </c>
      <c r="V1448">
        <v>4.697453E-2</v>
      </c>
      <c r="W1448">
        <v>7.8165170000000006E-2</v>
      </c>
      <c r="X1448">
        <v>0.99583310000000003</v>
      </c>
      <c r="Y1448">
        <v>0.20989920000000001</v>
      </c>
      <c r="Z1448">
        <v>-5.6766799999999999E-3</v>
      </c>
      <c r="AA1448">
        <v>0.97770659999999998</v>
      </c>
      <c r="AB1448">
        <v>19</v>
      </c>
      <c r="AC1448">
        <v>15.4559999999999</v>
      </c>
      <c r="AD1448">
        <v>-1.10993157948</v>
      </c>
      <c r="AE1448">
        <v>-3.7507000000000499</v>
      </c>
      <c r="AF1448">
        <v>3.3665647220156401</v>
      </c>
      <c r="AG1448">
        <v>-1.10993157948</v>
      </c>
      <c r="AH1448">
        <v>15.465313304784001</v>
      </c>
      <c r="AI1448">
        <v>94.011401963590799</v>
      </c>
      <c r="AJ1448">
        <v>77.7191661865334</v>
      </c>
      <c r="AK1448">
        <v>15.8663676294789</v>
      </c>
      <c r="AL1448">
        <v>85.516892500377395</v>
      </c>
      <c r="AM1448">
        <v>87.299297722217602</v>
      </c>
      <c r="AN1448">
        <v>0.99999998166272897</v>
      </c>
    </row>
    <row r="1449" spans="1:40" x14ac:dyDescent="0.25">
      <c r="A1449" t="str">
        <f>"20190312153916397"</f>
        <v>20190312153916397</v>
      </c>
      <c r="B1449" t="str">
        <f>"1552376356387618"</f>
        <v>1552376356387618</v>
      </c>
      <c r="C1449" t="s">
        <v>40</v>
      </c>
      <c r="D1449">
        <v>4.2986779999999998</v>
      </c>
      <c r="E1449">
        <v>0.56476700000000002</v>
      </c>
      <c r="F1449" t="s">
        <v>49</v>
      </c>
      <c r="G1449">
        <v>-208.52099999999999</v>
      </c>
      <c r="H1449" s="1">
        <v>-5.5840259999999997E-6</v>
      </c>
      <c r="I1449">
        <v>364.53250000000003</v>
      </c>
      <c r="J1449">
        <v>-223.75960000000001</v>
      </c>
      <c r="K1449">
        <v>1.1098980000000001</v>
      </c>
      <c r="L1449">
        <v>368.2525</v>
      </c>
      <c r="M1449">
        <v>0.99958659999999999</v>
      </c>
      <c r="N1449">
        <v>0</v>
      </c>
      <c r="O1449">
        <v>-2.4990910000000002E-2</v>
      </c>
      <c r="P1449">
        <v>0.99535379999999996</v>
      </c>
      <c r="Q1449">
        <v>6.2936480000000003E-2</v>
      </c>
      <c r="R1449">
        <v>-7.2873439999999998E-2</v>
      </c>
      <c r="S1449">
        <v>2.9766080000000001</v>
      </c>
      <c r="T1449">
        <v>-0.2141045</v>
      </c>
      <c r="U1449">
        <v>-0.71875</v>
      </c>
      <c r="V1449">
        <v>4.811493E-2</v>
      </c>
      <c r="W1449">
        <v>7.7023750000000002E-2</v>
      </c>
      <c r="X1449">
        <v>0.99586759999999996</v>
      </c>
      <c r="Y1449">
        <v>0.209901</v>
      </c>
      <c r="Z1449">
        <v>-5.664199E-3</v>
      </c>
      <c r="AA1449">
        <v>0.97770630000000003</v>
      </c>
      <c r="AB1449">
        <v>19</v>
      </c>
      <c r="AC1449">
        <v>15.2386</v>
      </c>
      <c r="AD1449">
        <v>-1.1099035840260001</v>
      </c>
      <c r="AE1449">
        <v>-3.7199999999999598</v>
      </c>
      <c r="AF1449">
        <v>3.3213443823678199</v>
      </c>
      <c r="AG1449">
        <v>-1.1099035840260001</v>
      </c>
      <c r="AH1449">
        <v>15.2504625958854</v>
      </c>
      <c r="AI1449">
        <v>94.067538902511103</v>
      </c>
      <c r="AJ1449">
        <v>77.713608558445998</v>
      </c>
      <c r="AK1449">
        <v>15.6473583668497</v>
      </c>
      <c r="AL1449">
        <v>85.582488866223301</v>
      </c>
      <c r="AM1449">
        <v>87.233929120428002</v>
      </c>
      <c r="AN1449">
        <v>0.99999999064136302</v>
      </c>
    </row>
    <row r="1450" spans="1:40" x14ac:dyDescent="0.25">
      <c r="A1450" t="str">
        <f>"20190312153916419"</f>
        <v>20190312153916419</v>
      </c>
      <c r="B1450" t="str">
        <f>"1552376356407138"</f>
        <v>1552376356407138</v>
      </c>
      <c r="C1450" t="s">
        <v>40</v>
      </c>
      <c r="D1450">
        <v>4.2814969999999999</v>
      </c>
      <c r="E1450">
        <v>0.56487549999999997</v>
      </c>
      <c r="F1450" t="s">
        <v>49</v>
      </c>
      <c r="G1450">
        <v>-208.63669999999999</v>
      </c>
      <c r="H1450" s="1">
        <v>-5.6185950000000004E-6</v>
      </c>
      <c r="I1450">
        <v>364.5591</v>
      </c>
      <c r="J1450">
        <v>-223.57159999999999</v>
      </c>
      <c r="K1450">
        <v>1.109882</v>
      </c>
      <c r="L1450">
        <v>368.24619999999999</v>
      </c>
      <c r="M1450">
        <v>0.99955340000000004</v>
      </c>
      <c r="N1450">
        <v>0</v>
      </c>
      <c r="O1450">
        <v>-2.628397E-2</v>
      </c>
      <c r="P1450">
        <v>0.9950793</v>
      </c>
      <c r="Q1450">
        <v>6.2280130000000003E-2</v>
      </c>
      <c r="R1450">
        <v>-7.7062229999999995E-2</v>
      </c>
      <c r="S1450">
        <v>2.9746090000000001</v>
      </c>
      <c r="T1450">
        <v>-0.21831229999999999</v>
      </c>
      <c r="U1450">
        <v>-0.72647090000000003</v>
      </c>
      <c r="V1450">
        <v>5.1020820000000001E-2</v>
      </c>
      <c r="W1450">
        <v>7.635575E-2</v>
      </c>
      <c r="X1450">
        <v>0.99577439999999995</v>
      </c>
      <c r="Y1450">
        <v>0.2111644</v>
      </c>
      <c r="Z1450">
        <v>-5.7296569999999896E-3</v>
      </c>
      <c r="AA1450">
        <v>0.97743380000000002</v>
      </c>
      <c r="AB1450">
        <v>19</v>
      </c>
      <c r="AC1450">
        <v>14.934900000000001</v>
      </c>
      <c r="AD1450">
        <v>-1.109887618595</v>
      </c>
      <c r="AE1450">
        <v>-3.6870999999999801</v>
      </c>
      <c r="AF1450">
        <v>3.27618372731959</v>
      </c>
      <c r="AG1450">
        <v>-1.109887618595</v>
      </c>
      <c r="AH1450">
        <v>14.9488450369301</v>
      </c>
      <c r="AI1450">
        <v>94.148081121156494</v>
      </c>
      <c r="AJ1450">
        <v>77.638514970375397</v>
      </c>
      <c r="AK1450">
        <v>15.3438325811778</v>
      </c>
      <c r="AL1450">
        <v>85.620875494378495</v>
      </c>
      <c r="AM1450">
        <v>87.066882267528399</v>
      </c>
      <c r="AN1450">
        <v>0.99999999016344698</v>
      </c>
    </row>
    <row r="1451" spans="1:40" x14ac:dyDescent="0.25">
      <c r="A1451" t="str">
        <f>"20190312153916442"</f>
        <v>20190312153916442</v>
      </c>
      <c r="B1451" t="str">
        <f>"1552376356437394"</f>
        <v>1552376356437394</v>
      </c>
      <c r="C1451" t="s">
        <v>40</v>
      </c>
      <c r="D1451">
        <v>4.2448079999999999</v>
      </c>
      <c r="E1451">
        <v>0.56518369999999996</v>
      </c>
      <c r="F1451" t="s">
        <v>49</v>
      </c>
      <c r="G1451">
        <v>-208.6028</v>
      </c>
      <c r="H1451" s="1">
        <v>-5.6126250000000003E-6</v>
      </c>
      <c r="I1451">
        <v>364.52480000000003</v>
      </c>
      <c r="J1451">
        <v>-223.38220000000001</v>
      </c>
      <c r="K1451">
        <v>1.1098889999999999</v>
      </c>
      <c r="L1451">
        <v>368.23970000000003</v>
      </c>
      <c r="M1451">
        <v>0.99951760000000001</v>
      </c>
      <c r="N1451">
        <v>0</v>
      </c>
      <c r="O1451">
        <v>-2.761278E-2</v>
      </c>
      <c r="P1451">
        <v>0.99470910000000001</v>
      </c>
      <c r="Q1451">
        <v>6.2152100000000002E-2</v>
      </c>
      <c r="R1451">
        <v>-8.1799940000000002E-2</v>
      </c>
      <c r="S1451">
        <v>2.9714200000000002</v>
      </c>
      <c r="T1451">
        <v>-0.22032080000000001</v>
      </c>
      <c r="U1451">
        <v>-0.73873900000000003</v>
      </c>
      <c r="V1451">
        <v>5.444102E-2</v>
      </c>
      <c r="W1451">
        <v>7.6215499999999894E-2</v>
      </c>
      <c r="X1451">
        <v>0.99560400000000004</v>
      </c>
      <c r="Y1451">
        <v>0.21389759999999999</v>
      </c>
      <c r="Z1451">
        <v>-5.7883999999999904E-3</v>
      </c>
      <c r="AA1451">
        <v>0.97683889999999995</v>
      </c>
      <c r="AB1451">
        <v>19</v>
      </c>
      <c r="AC1451">
        <v>14.779400000000001</v>
      </c>
      <c r="AD1451">
        <v>-1.109894612625</v>
      </c>
      <c r="AE1451">
        <v>-3.7149000000000001</v>
      </c>
      <c r="AF1451">
        <v>3.28790102249428</v>
      </c>
      <c r="AG1451">
        <v>-1.109894612625</v>
      </c>
      <c r="AH1451">
        <v>14.7978575015619</v>
      </c>
      <c r="AI1451">
        <v>94.187622146973197</v>
      </c>
      <c r="AJ1451">
        <v>77.473080524332801</v>
      </c>
      <c r="AK1451">
        <v>15.1993008333076</v>
      </c>
      <c r="AL1451">
        <v>85.628934649837106</v>
      </c>
      <c r="AM1451">
        <v>86.870103632450807</v>
      </c>
      <c r="AN1451">
        <v>0.99999997595744405</v>
      </c>
    </row>
    <row r="1452" spans="1:40" x14ac:dyDescent="0.25">
      <c r="A1452" t="str">
        <f>"20190312153916464"</f>
        <v>20190312153916464</v>
      </c>
      <c r="B1452" t="str">
        <f>"1552376356457889"</f>
        <v>1552376356457889</v>
      </c>
      <c r="C1452" t="s">
        <v>40</v>
      </c>
      <c r="D1452">
        <v>4.2423109999999999</v>
      </c>
      <c r="E1452">
        <v>0.56539079999999997</v>
      </c>
      <c r="F1452" t="s">
        <v>49</v>
      </c>
      <c r="G1452">
        <v>-208.5444</v>
      </c>
      <c r="H1452" s="1">
        <v>-5.6021939999999997E-6</v>
      </c>
      <c r="I1452">
        <v>364.46640000000002</v>
      </c>
      <c r="J1452">
        <v>-223.18950000000001</v>
      </c>
      <c r="K1452">
        <v>1.1099030000000001</v>
      </c>
      <c r="L1452">
        <v>368.2328</v>
      </c>
      <c r="M1452">
        <v>0.99947929999999996</v>
      </c>
      <c r="N1452">
        <v>0</v>
      </c>
      <c r="O1452">
        <v>-2.8971710000000001E-2</v>
      </c>
      <c r="P1452">
        <v>0.99430609999999997</v>
      </c>
      <c r="Q1452">
        <v>6.2110470000000001E-2</v>
      </c>
      <c r="R1452">
        <v>-8.65898999999999E-2</v>
      </c>
      <c r="S1452">
        <v>2.9677280000000001</v>
      </c>
      <c r="T1452">
        <v>-0.22199089999999999</v>
      </c>
      <c r="U1452">
        <v>-0.75469969999999997</v>
      </c>
      <c r="V1452">
        <v>5.7883879999999999E-2</v>
      </c>
      <c r="W1452">
        <v>7.6161779999999998E-2</v>
      </c>
      <c r="X1452">
        <v>0.99541389999999996</v>
      </c>
      <c r="Y1452">
        <v>0.2177789</v>
      </c>
      <c r="Z1452">
        <v>-5.8784390000000001E-3</v>
      </c>
      <c r="AA1452">
        <v>0.97598039999999997</v>
      </c>
      <c r="AB1452">
        <v>19</v>
      </c>
      <c r="AC1452">
        <v>14.645099999999999</v>
      </c>
      <c r="AD1452">
        <v>-1.1099086021939999</v>
      </c>
      <c r="AE1452">
        <v>-3.7663999999999702</v>
      </c>
      <c r="AF1452">
        <v>3.32258234803809</v>
      </c>
      <c r="AG1452">
        <v>-1.1099086021939999</v>
      </c>
      <c r="AH1452">
        <v>14.669053930873</v>
      </c>
      <c r="AI1452">
        <v>94.220434954600094</v>
      </c>
      <c r="AJ1452">
        <v>77.237685734072301</v>
      </c>
      <c r="AK1452">
        <v>15.081531546616199</v>
      </c>
      <c r="AL1452">
        <v>85.632021640559401</v>
      </c>
      <c r="AM1452">
        <v>86.671965948391801</v>
      </c>
      <c r="AN1452">
        <v>0.99999999630491598</v>
      </c>
    </row>
    <row r="1453" spans="1:40" x14ac:dyDescent="0.25">
      <c r="A1453" t="str">
        <f>"20190312153916487"</f>
        <v>20190312153916487</v>
      </c>
      <c r="B1453" t="str">
        <f>"1552376356477410"</f>
        <v>1552376356477410</v>
      </c>
      <c r="C1453" t="s">
        <v>40</v>
      </c>
      <c r="D1453">
        <v>4.2442460000000004</v>
      </c>
      <c r="E1453">
        <v>0.56554780000000004</v>
      </c>
      <c r="F1453" t="s">
        <v>49</v>
      </c>
      <c r="G1453">
        <v>-208.42099999999999</v>
      </c>
      <c r="H1453" s="1">
        <v>-5.5721889999999997E-6</v>
      </c>
      <c r="I1453">
        <v>364.39409999999998</v>
      </c>
      <c r="J1453">
        <v>-222.99959999999999</v>
      </c>
      <c r="K1453">
        <v>1.109917</v>
      </c>
      <c r="L1453">
        <v>368.22559999999999</v>
      </c>
      <c r="M1453">
        <v>0.99943970000000004</v>
      </c>
      <c r="N1453">
        <v>0</v>
      </c>
      <c r="O1453">
        <v>-3.0309829999999999E-2</v>
      </c>
      <c r="P1453">
        <v>0.99393770000000004</v>
      </c>
      <c r="Q1453">
        <v>6.146066E-2</v>
      </c>
      <c r="R1453">
        <v>-9.1163149999999998E-2</v>
      </c>
      <c r="S1453">
        <v>2.9640049999999998</v>
      </c>
      <c r="T1453">
        <v>-0.22275629999999999</v>
      </c>
      <c r="U1453">
        <v>-0.77041630000000005</v>
      </c>
      <c r="V1453">
        <v>6.112861E-2</v>
      </c>
      <c r="W1453">
        <v>7.5501830000000006E-2</v>
      </c>
      <c r="X1453">
        <v>0.99527019999999999</v>
      </c>
      <c r="Y1453">
        <v>0.221607</v>
      </c>
      <c r="Z1453">
        <v>-5.9447619999999897E-3</v>
      </c>
      <c r="AA1453">
        <v>0.97511789999999998</v>
      </c>
      <c r="AB1453">
        <v>19</v>
      </c>
      <c r="AC1453">
        <v>14.5785999999999</v>
      </c>
      <c r="AD1453">
        <v>-1.109922572189</v>
      </c>
      <c r="AE1453">
        <v>-3.8315000000000001</v>
      </c>
      <c r="AF1453">
        <v>3.3695506758902498</v>
      </c>
      <c r="AG1453">
        <v>-1.109922572189</v>
      </c>
      <c r="AH1453">
        <v>14.6088376088522</v>
      </c>
      <c r="AI1453">
        <v>94.234017569193099</v>
      </c>
      <c r="AJ1453">
        <v>77.011786415099706</v>
      </c>
      <c r="AK1453">
        <v>15.033427292386101</v>
      </c>
      <c r="AL1453">
        <v>85.669943206856203</v>
      </c>
      <c r="AM1453">
        <v>86.485359207249104</v>
      </c>
      <c r="AN1453">
        <v>1.0000000021509601</v>
      </c>
    </row>
    <row r="1454" spans="1:40" x14ac:dyDescent="0.25">
      <c r="A1454" t="str">
        <f>"20190312153916508"</f>
        <v>20190312153916508</v>
      </c>
      <c r="B1454" t="str">
        <f>"1552376356497907"</f>
        <v>1552376356497907</v>
      </c>
      <c r="C1454" t="s">
        <v>40</v>
      </c>
      <c r="D1454">
        <v>4.2593610000000002</v>
      </c>
      <c r="E1454">
        <v>0.56573839999999997</v>
      </c>
      <c r="F1454" t="s">
        <v>49</v>
      </c>
      <c r="G1454">
        <v>-208.37540000000001</v>
      </c>
      <c r="H1454" s="1">
        <v>-5.5640990000000004E-6</v>
      </c>
      <c r="I1454">
        <v>364.34809999999999</v>
      </c>
      <c r="J1454">
        <v>-222.81720000000001</v>
      </c>
      <c r="K1454">
        <v>1.109923</v>
      </c>
      <c r="L1454">
        <v>368.21850000000001</v>
      </c>
      <c r="M1454">
        <v>0.99939979999999995</v>
      </c>
      <c r="N1454">
        <v>0</v>
      </c>
      <c r="O1454">
        <v>-3.1594009999999999E-2</v>
      </c>
      <c r="P1454">
        <v>0.99364759999999996</v>
      </c>
      <c r="Q1454">
        <v>6.0209070000000003E-2</v>
      </c>
      <c r="R1454">
        <v>-9.5076519999999998E-2</v>
      </c>
      <c r="S1454">
        <v>2.9601899999999999</v>
      </c>
      <c r="T1454">
        <v>-0.2246667</v>
      </c>
      <c r="U1454">
        <v>-0.78488159999999996</v>
      </c>
      <c r="V1454">
        <v>6.3764660000000001E-2</v>
      </c>
      <c r="W1454">
        <v>7.4241760000000004E-2</v>
      </c>
      <c r="X1454">
        <v>0.99519959999999996</v>
      </c>
      <c r="Y1454">
        <v>0.2251011</v>
      </c>
      <c r="Z1454">
        <v>-6.0341609999999997E-3</v>
      </c>
      <c r="AA1454">
        <v>0.97431670000000004</v>
      </c>
      <c r="AB1454">
        <v>19</v>
      </c>
      <c r="AC1454">
        <v>14.441800000000001</v>
      </c>
      <c r="AD1454">
        <v>-1.109928564099</v>
      </c>
      <c r="AE1454">
        <v>-3.8704000000000098</v>
      </c>
      <c r="AF1454">
        <v>3.3934460114834701</v>
      </c>
      <c r="AG1454">
        <v>-1.109928564099</v>
      </c>
      <c r="AH1454">
        <v>14.477100658771599</v>
      </c>
      <c r="AI1454">
        <v>94.268907463121593</v>
      </c>
      <c r="AJ1454">
        <v>76.807980402226704</v>
      </c>
      <c r="AK1454">
        <v>14.910863849370401</v>
      </c>
      <c r="AL1454">
        <v>85.742343140898797</v>
      </c>
      <c r="AM1454">
        <v>86.333942717588997</v>
      </c>
      <c r="AN1454">
        <v>1.0000000073164801</v>
      </c>
    </row>
    <row r="1455" spans="1:40" x14ac:dyDescent="0.25">
      <c r="A1455" t="str">
        <f>"20190312153916531"</f>
        <v>20190312153916531</v>
      </c>
      <c r="B1455" t="str">
        <f>"1552376356527187"</f>
        <v>1552376356527187</v>
      </c>
      <c r="C1455" t="s">
        <v>40</v>
      </c>
      <c r="D1455">
        <v>4.2185350000000001</v>
      </c>
      <c r="E1455">
        <v>0.5659457</v>
      </c>
      <c r="F1455" t="s">
        <v>49</v>
      </c>
      <c r="G1455">
        <v>-208.464</v>
      </c>
      <c r="H1455" s="1">
        <v>-5.5946169999999996E-6</v>
      </c>
      <c r="I1455">
        <v>364.34269999999998</v>
      </c>
      <c r="J1455">
        <v>-222.62970000000001</v>
      </c>
      <c r="K1455">
        <v>1.109918</v>
      </c>
      <c r="L1455">
        <v>368.21100000000001</v>
      </c>
      <c r="M1455">
        <v>0.99935700000000005</v>
      </c>
      <c r="N1455">
        <v>0</v>
      </c>
      <c r="O1455">
        <v>-3.2922550000000002E-2</v>
      </c>
      <c r="P1455">
        <v>0.99336990000000003</v>
      </c>
      <c r="Q1455">
        <v>5.886123E-2</v>
      </c>
      <c r="R1455">
        <v>-9.8750110000000002E-2</v>
      </c>
      <c r="S1455">
        <v>2.9566349999999999</v>
      </c>
      <c r="T1455">
        <v>-0.22863539999999999</v>
      </c>
      <c r="U1455">
        <v>-0.79840089999999997</v>
      </c>
      <c r="V1455">
        <v>6.6118280000000001E-2</v>
      </c>
      <c r="W1455">
        <v>7.2885039999999998E-2</v>
      </c>
      <c r="X1455">
        <v>0.99514630000000004</v>
      </c>
      <c r="Y1455">
        <v>0.22822819999999999</v>
      </c>
      <c r="Z1455">
        <v>-6.16213E-3</v>
      </c>
      <c r="AA1455">
        <v>0.97358820000000001</v>
      </c>
      <c r="AB1455">
        <v>19</v>
      </c>
      <c r="AC1455">
        <v>14.1656999999999</v>
      </c>
      <c r="AD1455">
        <v>-1.1099235946170001</v>
      </c>
      <c r="AE1455">
        <v>-3.8683000000000298</v>
      </c>
      <c r="AF1455">
        <v>3.3804714598372199</v>
      </c>
      <c r="AG1455">
        <v>-1.1099235946170001</v>
      </c>
      <c r="AH1455">
        <v>14.2042355730255</v>
      </c>
      <c r="AI1455">
        <v>94.347103618733101</v>
      </c>
      <c r="AJ1455">
        <v>76.613187847387394</v>
      </c>
      <c r="AK1455">
        <v>14.643081161103501</v>
      </c>
      <c r="AL1455">
        <v>85.820288666020602</v>
      </c>
      <c r="AM1455">
        <v>86.198811383563793</v>
      </c>
      <c r="AN1455">
        <v>1.0000000072048201</v>
      </c>
    </row>
    <row r="1456" spans="1:40" x14ac:dyDescent="0.25">
      <c r="A1456" t="str">
        <f>"20190312153916554"</f>
        <v>20190312153916554</v>
      </c>
      <c r="B1456" t="str">
        <f>"1552376356547682"</f>
        <v>1552376356547682</v>
      </c>
      <c r="C1456" t="s">
        <v>40</v>
      </c>
      <c r="D1456">
        <v>4.2551759999999996</v>
      </c>
      <c r="E1456">
        <v>0.56604239999999995</v>
      </c>
      <c r="F1456" t="s">
        <v>49</v>
      </c>
      <c r="G1456">
        <v>-208.5256</v>
      </c>
      <c r="H1456" s="1">
        <v>-5.6156610000000003E-6</v>
      </c>
      <c r="I1456">
        <v>364.3399</v>
      </c>
      <c r="J1456">
        <v>-222.43440000000001</v>
      </c>
      <c r="K1456">
        <v>1.109909</v>
      </c>
      <c r="L1456">
        <v>368.2029</v>
      </c>
      <c r="M1456">
        <v>0.99930980000000003</v>
      </c>
      <c r="N1456">
        <v>0</v>
      </c>
      <c r="O1456">
        <v>-3.4328560000000001E-2</v>
      </c>
      <c r="P1456">
        <v>0.99301779999999995</v>
      </c>
      <c r="Q1456">
        <v>5.7638149999999999E-2</v>
      </c>
      <c r="R1456">
        <v>-0.1029264</v>
      </c>
      <c r="S1456">
        <v>2.9531860000000001</v>
      </c>
      <c r="T1456">
        <v>-0.23240179999999999</v>
      </c>
      <c r="U1456">
        <v>-0.81054689999999996</v>
      </c>
      <c r="V1456">
        <v>6.8901749999999998E-2</v>
      </c>
      <c r="W1456">
        <v>7.1649920000000006E-2</v>
      </c>
      <c r="X1456">
        <v>0.99504720000000002</v>
      </c>
      <c r="Y1456">
        <v>0.23084959999999999</v>
      </c>
      <c r="Z1456">
        <v>-6.2600420000000004E-3</v>
      </c>
      <c r="AA1456">
        <v>0.97296930000000004</v>
      </c>
      <c r="AB1456">
        <v>19</v>
      </c>
      <c r="AC1456">
        <v>13.908799999999999</v>
      </c>
      <c r="AD1456">
        <v>-1.109914615661</v>
      </c>
      <c r="AE1456">
        <v>-3.863</v>
      </c>
      <c r="AF1456">
        <v>3.3633218322078098</v>
      </c>
      <c r="AG1456">
        <v>-1.109914615661</v>
      </c>
      <c r="AH1456">
        <v>13.950749430827299</v>
      </c>
      <c r="AI1456">
        <v>94.422654448530594</v>
      </c>
      <c r="AJ1456">
        <v>76.4454800450672</v>
      </c>
      <c r="AK1456">
        <v>14.393305870535499</v>
      </c>
      <c r="AL1456">
        <v>85.891241514719496</v>
      </c>
      <c r="AM1456">
        <v>86.038893508206698</v>
      </c>
      <c r="AN1456">
        <v>1.00000004620845</v>
      </c>
    </row>
    <row r="1457" spans="1:40" x14ac:dyDescent="0.25">
      <c r="A1457" t="str">
        <f>"20190312153916576"</f>
        <v>20190312153916576</v>
      </c>
      <c r="B1457" t="str">
        <f>"1552376356567202"</f>
        <v>1552376356567202</v>
      </c>
      <c r="C1457" t="s">
        <v>40</v>
      </c>
      <c r="D1457">
        <v>4.2515799999999997</v>
      </c>
      <c r="E1457">
        <v>0.56611060000000002</v>
      </c>
      <c r="F1457" t="s">
        <v>49</v>
      </c>
      <c r="G1457">
        <v>-208.54470000000001</v>
      </c>
      <c r="H1457" s="1">
        <v>-5.6247999999999999E-6</v>
      </c>
      <c r="I1457">
        <v>364.32229999999998</v>
      </c>
      <c r="J1457">
        <v>-222.2483</v>
      </c>
      <c r="K1457">
        <v>1.1098760000000001</v>
      </c>
      <c r="L1457">
        <v>368.19490000000002</v>
      </c>
      <c r="M1457">
        <v>0.99926159999999997</v>
      </c>
      <c r="N1457">
        <v>0</v>
      </c>
      <c r="O1457">
        <v>-3.5707999999999997E-2</v>
      </c>
      <c r="P1457">
        <v>0.9926294</v>
      </c>
      <c r="Q1457">
        <v>5.7572669999999999E-2</v>
      </c>
      <c r="R1457">
        <v>-0.10664220000000001</v>
      </c>
      <c r="S1457">
        <v>2.9493710000000002</v>
      </c>
      <c r="T1457">
        <v>-0.23568140000000001</v>
      </c>
      <c r="U1457">
        <v>-0.82400509999999905</v>
      </c>
      <c r="V1457">
        <v>7.1257860000000006E-2</v>
      </c>
      <c r="W1457">
        <v>7.157049E-2</v>
      </c>
      <c r="X1457">
        <v>0.99488690000000002</v>
      </c>
      <c r="Y1457">
        <v>0.23392830000000001</v>
      </c>
      <c r="Z1457">
        <v>-6.3651000000000003E-3</v>
      </c>
      <c r="AA1457">
        <v>0.97223300000000001</v>
      </c>
      <c r="AB1457">
        <v>19</v>
      </c>
      <c r="AC1457">
        <v>13.7035999999999</v>
      </c>
      <c r="AD1457">
        <v>-1.1098816248000001</v>
      </c>
      <c r="AE1457">
        <v>-3.87260000000003</v>
      </c>
      <c r="AF1457">
        <v>3.3603397908555501</v>
      </c>
      <c r="AG1457">
        <v>-1.1098816248000001</v>
      </c>
      <c r="AH1457">
        <v>13.749632503690201</v>
      </c>
      <c r="AI1457">
        <v>94.483561012580495</v>
      </c>
      <c r="AJ1457">
        <v>76.266411417461796</v>
      </c>
      <c r="AK1457">
        <v>14.1977503400225</v>
      </c>
      <c r="AL1457">
        <v>85.895803962935602</v>
      </c>
      <c r="AM1457">
        <v>85.903238358942701</v>
      </c>
      <c r="AN1457">
        <v>0.99999998072111396</v>
      </c>
    </row>
    <row r="1458" spans="1:40" x14ac:dyDescent="0.25">
      <c r="A1458" t="str">
        <f>"20190312153916599"</f>
        <v>20190312153916599</v>
      </c>
      <c r="B1458" t="str">
        <f>"1552376356587699"</f>
        <v>1552376356587699</v>
      </c>
      <c r="C1458" t="s">
        <v>40</v>
      </c>
      <c r="D1458">
        <v>4.2276509999999998</v>
      </c>
      <c r="E1458">
        <v>0.56618859999999904</v>
      </c>
      <c r="F1458" t="s">
        <v>49</v>
      </c>
      <c r="G1458">
        <v>-208.3948</v>
      </c>
      <c r="H1458" s="1">
        <v>-5.583401E-6</v>
      </c>
      <c r="I1458">
        <v>364.26600000000002</v>
      </c>
      <c r="J1458">
        <v>-222.06299999999999</v>
      </c>
      <c r="K1458">
        <v>1.109839</v>
      </c>
      <c r="L1458">
        <v>368.1866</v>
      </c>
      <c r="M1458">
        <v>0.99920929999999997</v>
      </c>
      <c r="N1458">
        <v>0</v>
      </c>
      <c r="O1458">
        <v>-3.7141609999999999E-2</v>
      </c>
      <c r="P1458">
        <v>0.99183350000000003</v>
      </c>
      <c r="Q1458">
        <v>6.0236039999999998E-2</v>
      </c>
      <c r="R1458">
        <v>-0.1124178</v>
      </c>
      <c r="S1458">
        <v>2.9462130000000002</v>
      </c>
      <c r="T1458">
        <v>-0.236038</v>
      </c>
      <c r="U1458">
        <v>-0.83554079999999997</v>
      </c>
      <c r="V1458">
        <v>7.5641509999999995E-2</v>
      </c>
      <c r="W1458">
        <v>7.4208949999999996E-2</v>
      </c>
      <c r="X1458">
        <v>0.99436990000000003</v>
      </c>
      <c r="Y1458">
        <v>0.2363249</v>
      </c>
      <c r="Z1458">
        <v>-6.3598780000000002E-3</v>
      </c>
      <c r="AA1458">
        <v>0.97165330000000005</v>
      </c>
      <c r="AB1458">
        <v>19</v>
      </c>
      <c r="AC1458">
        <v>13.668199999999899</v>
      </c>
      <c r="AD1458">
        <v>-1.109844583401</v>
      </c>
      <c r="AE1458">
        <v>-3.9206000000000301</v>
      </c>
      <c r="AF1458">
        <v>3.3895350456043101</v>
      </c>
      <c r="AG1458">
        <v>-1.109844583401</v>
      </c>
      <c r="AH1458">
        <v>13.720811492575899</v>
      </c>
      <c r="AI1458">
        <v>94.490053416672396</v>
      </c>
      <c r="AJ1458">
        <v>76.123700079423301</v>
      </c>
      <c r="AK1458">
        <v>14.1767898636993</v>
      </c>
      <c r="AL1458">
        <v>85.744228406598793</v>
      </c>
      <c r="AM1458">
        <v>85.649899927553406</v>
      </c>
      <c r="AN1458">
        <v>1.0000000521605901</v>
      </c>
    </row>
    <row r="1459" spans="1:40" x14ac:dyDescent="0.25">
      <c r="A1459" t="str">
        <f>"20190312153916620"</f>
        <v>20190312153916620</v>
      </c>
      <c r="B1459" t="str">
        <f>"1552376356607219"</f>
        <v>1552376356607219</v>
      </c>
      <c r="C1459" t="s">
        <v>40</v>
      </c>
      <c r="D1459">
        <v>4.2521550000000001</v>
      </c>
      <c r="E1459">
        <v>0.56619339999999996</v>
      </c>
      <c r="F1459" t="s">
        <v>49</v>
      </c>
      <c r="G1459">
        <v>-207.7501</v>
      </c>
      <c r="H1459" s="1">
        <v>-5.4032780000000002E-6</v>
      </c>
      <c r="I1459">
        <v>364.0376</v>
      </c>
      <c r="J1459">
        <v>-221.87889999999999</v>
      </c>
      <c r="K1459">
        <v>1.1098110000000001</v>
      </c>
      <c r="L1459">
        <v>368.17790000000002</v>
      </c>
      <c r="M1459">
        <v>0.99915209999999999</v>
      </c>
      <c r="N1459">
        <v>0</v>
      </c>
      <c r="O1459">
        <v>-3.8649349999999999E-2</v>
      </c>
      <c r="P1459">
        <v>0.99050919999999998</v>
      </c>
      <c r="Q1459">
        <v>6.4843780000000004E-2</v>
      </c>
      <c r="R1459">
        <v>-0.1211908</v>
      </c>
      <c r="S1459">
        <v>2.9418790000000001</v>
      </c>
      <c r="T1459">
        <v>-0.2281175</v>
      </c>
      <c r="U1459">
        <v>-0.85278319999999996</v>
      </c>
      <c r="V1459">
        <v>8.297475E-2</v>
      </c>
      <c r="W1459">
        <v>7.8776979999999996E-2</v>
      </c>
      <c r="X1459">
        <v>0.99343309999999996</v>
      </c>
      <c r="Y1459">
        <v>0.24052499999999999</v>
      </c>
      <c r="Z1459">
        <v>-6.1962780000000004E-3</v>
      </c>
      <c r="AA1459">
        <v>0.97062320000000002</v>
      </c>
      <c r="AB1459">
        <v>19</v>
      </c>
      <c r="AC1459">
        <v>14.128799999999901</v>
      </c>
      <c r="AD1459">
        <v>-1.109816403278</v>
      </c>
      <c r="AE1459">
        <v>-4.1403000000000203</v>
      </c>
      <c r="AF1459">
        <v>3.5707921899662201</v>
      </c>
      <c r="AG1459">
        <v>-1.109816403278</v>
      </c>
      <c r="AH1459">
        <v>14.197604368958</v>
      </c>
      <c r="AI1459">
        <v>94.335208360953104</v>
      </c>
      <c r="AJ1459">
        <v>75.882537563483993</v>
      </c>
      <c r="AK1459">
        <v>14.681764850669801</v>
      </c>
      <c r="AL1459">
        <v>85.481729901248002</v>
      </c>
      <c r="AM1459">
        <v>85.2255527398233</v>
      </c>
      <c r="AN1459">
        <v>0.99999997294554599</v>
      </c>
    </row>
    <row r="1460" spans="1:40" x14ac:dyDescent="0.25">
      <c r="A1460" t="str">
        <f>"20190312153916645"</f>
        <v>20190312153916645</v>
      </c>
      <c r="B1460" t="str">
        <f>"1552376356637474"</f>
        <v>1552376356637474</v>
      </c>
      <c r="C1460" t="s">
        <v>40</v>
      </c>
      <c r="D1460">
        <v>4.2799319999999996</v>
      </c>
      <c r="E1460">
        <v>0.56613570000000002</v>
      </c>
      <c r="F1460" t="s">
        <v>49</v>
      </c>
      <c r="G1460">
        <v>-206.7577</v>
      </c>
      <c r="H1460" s="1">
        <v>-5.0958770000000002E-6</v>
      </c>
      <c r="I1460">
        <v>363.65320000000003</v>
      </c>
      <c r="J1460">
        <v>-221.67769999999999</v>
      </c>
      <c r="K1460">
        <v>1.109764</v>
      </c>
      <c r="L1460">
        <v>368.16800000000001</v>
      </c>
      <c r="M1460">
        <v>0.99908350000000001</v>
      </c>
      <c r="N1460">
        <v>0</v>
      </c>
      <c r="O1460">
        <v>-4.0387630000000001E-2</v>
      </c>
      <c r="P1460">
        <v>0.98914460000000004</v>
      </c>
      <c r="Q1460">
        <v>6.5896549999999998E-2</v>
      </c>
      <c r="R1460">
        <v>-0.13134279999999901</v>
      </c>
      <c r="S1460">
        <v>2.9354100000000001</v>
      </c>
      <c r="T1460">
        <v>-0.21544350000000001</v>
      </c>
      <c r="U1460">
        <v>-0.8783569</v>
      </c>
      <c r="V1460">
        <v>9.1455389999999998E-2</v>
      </c>
      <c r="W1460">
        <v>7.9786590000000004E-2</v>
      </c>
      <c r="X1460">
        <v>0.99260769999999998</v>
      </c>
      <c r="Y1460">
        <v>0.2472298</v>
      </c>
      <c r="Z1460">
        <v>-5.9745429999999997E-3</v>
      </c>
      <c r="AA1460">
        <v>0.96893850000000004</v>
      </c>
      <c r="AB1460">
        <v>19</v>
      </c>
      <c r="AC1460">
        <v>14.9199999999999</v>
      </c>
      <c r="AD1460">
        <v>-1.1097690958769999</v>
      </c>
      <c r="AE1460">
        <v>-4.5147999999999797</v>
      </c>
      <c r="AF1460">
        <v>3.8887614817831402</v>
      </c>
      <c r="AG1460">
        <v>-1.1097690958769999</v>
      </c>
      <c r="AH1460">
        <v>15.014086030529899</v>
      </c>
      <c r="AI1460">
        <v>94.092769785573907</v>
      </c>
      <c r="AJ1460">
        <v>75.479059864581799</v>
      </c>
      <c r="AK1460">
        <v>15.549174661071801</v>
      </c>
      <c r="AL1460">
        <v>85.423701046911006</v>
      </c>
      <c r="AM1460">
        <v>84.735830456789699</v>
      </c>
      <c r="AN1460">
        <v>1.0000000172015799</v>
      </c>
    </row>
    <row r="1461" spans="1:40" x14ac:dyDescent="0.25">
      <c r="A1461" t="str">
        <f>"20190312153916666"</f>
        <v>20190312153916666</v>
      </c>
      <c r="B1461" t="str">
        <f>"1552376356656994"</f>
        <v>1552376356656994</v>
      </c>
      <c r="C1461" t="s">
        <v>40</v>
      </c>
      <c r="D1461">
        <v>4.2484440000000001</v>
      </c>
      <c r="E1461">
        <v>0.5660231</v>
      </c>
      <c r="F1461" t="s">
        <v>49</v>
      </c>
      <c r="G1461">
        <v>-206.3126</v>
      </c>
      <c r="H1461" s="1">
        <v>-4.9447619999999999E-6</v>
      </c>
      <c r="I1461">
        <v>363.3997</v>
      </c>
      <c r="J1461">
        <v>-221.4957</v>
      </c>
      <c r="K1461">
        <v>1.109718</v>
      </c>
      <c r="L1461">
        <v>368.15870000000001</v>
      </c>
      <c r="M1461">
        <v>0.99901490000000004</v>
      </c>
      <c r="N1461">
        <v>0</v>
      </c>
      <c r="O1461">
        <v>-4.204977E-2</v>
      </c>
      <c r="P1461">
        <v>0.98827330000000002</v>
      </c>
      <c r="Q1461">
        <v>6.3150369999999997E-2</v>
      </c>
      <c r="R1461">
        <v>-0.13902539999999999</v>
      </c>
      <c r="S1461">
        <v>2.9264070000000002</v>
      </c>
      <c r="T1461">
        <v>-0.2113651</v>
      </c>
      <c r="U1461">
        <v>-0.9081726</v>
      </c>
      <c r="V1461">
        <v>9.7517400000000004E-2</v>
      </c>
      <c r="W1461">
        <v>7.7008519999999997E-2</v>
      </c>
      <c r="X1461">
        <v>0.99224999999999997</v>
      </c>
      <c r="Y1461">
        <v>0.25546039999999998</v>
      </c>
      <c r="Z1461">
        <v>-6.0439169999999898E-3</v>
      </c>
      <c r="AA1461">
        <v>0.96680060000000001</v>
      </c>
      <c r="AB1461">
        <v>19</v>
      </c>
      <c r="AC1461">
        <v>15.1830999999999</v>
      </c>
      <c r="AD1461">
        <v>-1.1097229447620001</v>
      </c>
      <c r="AE1461">
        <v>-4.7590000000000101</v>
      </c>
      <c r="AF1461">
        <v>4.0963544730108801</v>
      </c>
      <c r="AG1461">
        <v>-1.1097229447620001</v>
      </c>
      <c r="AH1461">
        <v>15.2954035983533</v>
      </c>
      <c r="AI1461">
        <v>94.008897654672396</v>
      </c>
      <c r="AJ1461">
        <v>75.007118079708405</v>
      </c>
      <c r="AK1461">
        <v>15.873278685237199</v>
      </c>
      <c r="AL1461">
        <v>85.583364161619699</v>
      </c>
      <c r="AM1461">
        <v>84.387049585536701</v>
      </c>
      <c r="AN1461">
        <v>1.0000000089776699</v>
      </c>
    </row>
    <row r="1462" spans="1:40" x14ac:dyDescent="0.25">
      <c r="A1462" t="str">
        <f>"20190312153916688"</f>
        <v>20190312153916688</v>
      </c>
      <c r="B1462" t="str">
        <f>"1552376356677492"</f>
        <v>1552376356677492</v>
      </c>
      <c r="C1462" t="s">
        <v>40</v>
      </c>
      <c r="D1462">
        <v>4.2644659999999996</v>
      </c>
      <c r="E1462">
        <v>0.56586000000000003</v>
      </c>
      <c r="F1462" t="s">
        <v>49</v>
      </c>
      <c r="G1462">
        <v>-206.69479999999999</v>
      </c>
      <c r="H1462" s="1">
        <v>-5.1134489999999999E-6</v>
      </c>
      <c r="I1462">
        <v>363.4418</v>
      </c>
      <c r="J1462">
        <v>-221.3175</v>
      </c>
      <c r="K1462">
        <v>1.1096760000000001</v>
      </c>
      <c r="L1462">
        <v>368.14920000000001</v>
      </c>
      <c r="M1462">
        <v>0.99894070000000001</v>
      </c>
      <c r="N1462">
        <v>0</v>
      </c>
      <c r="O1462">
        <v>-4.377897E-2</v>
      </c>
      <c r="P1462">
        <v>0.98771200000000003</v>
      </c>
      <c r="Q1462">
        <v>6.0911529999999998E-2</v>
      </c>
      <c r="R1462">
        <v>-0.14392750000000001</v>
      </c>
      <c r="S1462">
        <v>2.9187319999999999</v>
      </c>
      <c r="T1462">
        <v>-0.2188377</v>
      </c>
      <c r="U1462">
        <v>-0.9301758</v>
      </c>
      <c r="V1462">
        <v>0.10072399999999999</v>
      </c>
      <c r="W1462">
        <v>7.4745800000000001E-2</v>
      </c>
      <c r="X1462">
        <v>0.9921027</v>
      </c>
      <c r="Y1462">
        <v>0.26108559999999997</v>
      </c>
      <c r="Z1462">
        <v>-6.3455990000000004E-3</v>
      </c>
      <c r="AA1462">
        <v>0.96529480000000001</v>
      </c>
      <c r="AB1462">
        <v>19</v>
      </c>
      <c r="AC1462">
        <v>14.6227</v>
      </c>
      <c r="AD1462">
        <v>-1.1096811134489999</v>
      </c>
      <c r="AE1462">
        <v>-4.7073999999999998</v>
      </c>
      <c r="AF1462">
        <v>4.04156532577126</v>
      </c>
      <c r="AG1462">
        <v>-1.1096811134489999</v>
      </c>
      <c r="AH1462">
        <v>14.737879050318</v>
      </c>
      <c r="AI1462">
        <v>94.153165558480197</v>
      </c>
      <c r="AJ1462">
        <v>74.664784478842805</v>
      </c>
      <c r="AK1462">
        <v>15.322229647078901</v>
      </c>
      <c r="AL1462">
        <v>85.713383335286494</v>
      </c>
      <c r="AM1462">
        <v>84.202864825718905</v>
      </c>
      <c r="AN1462">
        <v>1.00000001307046</v>
      </c>
    </row>
    <row r="1463" spans="1:40" x14ac:dyDescent="0.25">
      <c r="A1463" t="str">
        <f>"20190312153916714"</f>
        <v>20190312153916714</v>
      </c>
      <c r="B1463" t="str">
        <f>"1552376356707747"</f>
        <v>1552376356707747</v>
      </c>
      <c r="C1463" t="s">
        <v>40</v>
      </c>
      <c r="D1463">
        <v>4.3220400000000003</v>
      </c>
      <c r="E1463">
        <v>0.56566039999999995</v>
      </c>
      <c r="F1463" t="s">
        <v>49</v>
      </c>
      <c r="G1463">
        <v>-206.90770000000001</v>
      </c>
      <c r="H1463" s="1">
        <v>-5.204274E-6</v>
      </c>
      <c r="I1463">
        <v>363.4794</v>
      </c>
      <c r="J1463">
        <v>-221.13239999999999</v>
      </c>
      <c r="K1463">
        <v>1.109618</v>
      </c>
      <c r="L1463">
        <v>368.13889999999998</v>
      </c>
      <c r="M1463">
        <v>0.99885469999999998</v>
      </c>
      <c r="N1463">
        <v>0</v>
      </c>
      <c r="O1463">
        <v>-4.5700230000000001E-2</v>
      </c>
      <c r="P1463">
        <v>0.98717670000000002</v>
      </c>
      <c r="Q1463">
        <v>6.0110549999999999E-2</v>
      </c>
      <c r="R1463">
        <v>-0.1478824</v>
      </c>
      <c r="S1463">
        <v>2.9135439999999999</v>
      </c>
      <c r="T1463">
        <v>-0.2243687</v>
      </c>
      <c r="U1463">
        <v>-0.94418329999999995</v>
      </c>
      <c r="V1463">
        <v>0.10279820000000001</v>
      </c>
      <c r="W1463">
        <v>7.3920299999999994E-2</v>
      </c>
      <c r="X1463">
        <v>0.99195180000000005</v>
      </c>
      <c r="Y1463">
        <v>0.26389970000000001</v>
      </c>
      <c r="Z1463">
        <v>-6.4740259999999999E-3</v>
      </c>
      <c r="AA1463">
        <v>0.96452839999999995</v>
      </c>
      <c r="AB1463">
        <v>19</v>
      </c>
      <c r="AC1463">
        <v>14.224699999999901</v>
      </c>
      <c r="AD1463">
        <v>-1.109623204274</v>
      </c>
      <c r="AE1463">
        <v>-4.65949999999998</v>
      </c>
      <c r="AF1463">
        <v>3.9826073714283101</v>
      </c>
      <c r="AG1463">
        <v>-1.109623204274</v>
      </c>
      <c r="AH1463">
        <v>14.3439706056921</v>
      </c>
      <c r="AI1463">
        <v>94.262854057169093</v>
      </c>
      <c r="AJ1463">
        <v>74.482671333766504</v>
      </c>
      <c r="AK1463">
        <v>14.9278906034101</v>
      </c>
      <c r="AL1463">
        <v>85.760812274930103</v>
      </c>
      <c r="AM1463">
        <v>84.083429575360299</v>
      </c>
      <c r="AN1463">
        <v>1.0000000270992799</v>
      </c>
    </row>
    <row r="1464" spans="1:40" x14ac:dyDescent="0.25">
      <c r="A1464" t="str">
        <f>"20190312153916734"</f>
        <v>20190312153916734</v>
      </c>
      <c r="B1464" t="str">
        <f>"1552376356727266"</f>
        <v>1552376356727266</v>
      </c>
      <c r="C1464" t="s">
        <v>40</v>
      </c>
      <c r="D1464">
        <v>4.256062</v>
      </c>
      <c r="E1464">
        <v>0.56528500000000004</v>
      </c>
      <c r="F1464" t="s">
        <v>49</v>
      </c>
      <c r="G1464">
        <v>-206.8383</v>
      </c>
      <c r="H1464" s="1">
        <v>-5.1788530000000003E-6</v>
      </c>
      <c r="I1464">
        <v>363.44830000000002</v>
      </c>
      <c r="J1464">
        <v>-220.94229999999999</v>
      </c>
      <c r="K1464">
        <v>1.10954</v>
      </c>
      <c r="L1464">
        <v>368.1277</v>
      </c>
      <c r="M1464">
        <v>0.99875559999999997</v>
      </c>
      <c r="N1464">
        <v>0</v>
      </c>
      <c r="O1464">
        <v>-4.7816030000000002E-2</v>
      </c>
      <c r="P1464">
        <v>0.98668710000000004</v>
      </c>
      <c r="Q1464">
        <v>6.0336279999999999E-2</v>
      </c>
      <c r="R1464">
        <v>-0.15102489999999999</v>
      </c>
      <c r="S1464">
        <v>2.9096829999999998</v>
      </c>
      <c r="T1464">
        <v>-0.2258732</v>
      </c>
      <c r="U1464">
        <v>-0.95480350000000003</v>
      </c>
      <c r="V1464">
        <v>0.10387150000000001</v>
      </c>
      <c r="W1464">
        <v>7.412146E-2</v>
      </c>
      <c r="X1464">
        <v>0.99182490000000001</v>
      </c>
      <c r="Y1464">
        <v>0.26540659999999999</v>
      </c>
      <c r="Z1464">
        <v>-6.4198049999999998E-3</v>
      </c>
      <c r="AA1464">
        <v>0.96411519999999995</v>
      </c>
      <c r="AB1464">
        <v>18</v>
      </c>
      <c r="AC1464">
        <v>14.1039999999999</v>
      </c>
      <c r="AD1464">
        <v>-1.109545178853</v>
      </c>
      <c r="AE1464">
        <v>-4.6793999999999798</v>
      </c>
      <c r="AF1464">
        <v>3.9774069768144802</v>
      </c>
      <c r="AG1464">
        <v>-1.109545178853</v>
      </c>
      <c r="AH1464">
        <v>14.2322904494941</v>
      </c>
      <c r="AI1464">
        <v>94.293873119920605</v>
      </c>
      <c r="AJ1464">
        <v>74.386257189220501</v>
      </c>
      <c r="AK1464">
        <v>14.819208757618901</v>
      </c>
      <c r="AL1464">
        <v>85.749254647293498</v>
      </c>
      <c r="AM1464">
        <v>84.021341314090193</v>
      </c>
      <c r="AN1464">
        <v>0.99999995580239398</v>
      </c>
    </row>
    <row r="1465" spans="1:40" x14ac:dyDescent="0.25">
      <c r="A1465" t="str">
        <f>"20190312153916756"</f>
        <v>20190312153916756</v>
      </c>
      <c r="B1465" t="str">
        <f>"1552376356747762"</f>
        <v>1552376356747762</v>
      </c>
      <c r="C1465" t="s">
        <v>40</v>
      </c>
      <c r="D1465">
        <v>4.3005699999999996</v>
      </c>
      <c r="E1465">
        <v>0.565191</v>
      </c>
      <c r="F1465" t="s">
        <v>49</v>
      </c>
      <c r="G1465">
        <v>-206.5487</v>
      </c>
      <c r="H1465" s="1">
        <v>-5.0611440000000001E-6</v>
      </c>
      <c r="I1465">
        <v>363.37079999999997</v>
      </c>
      <c r="J1465">
        <v>-220.7544</v>
      </c>
      <c r="K1465">
        <v>1.1094520000000001</v>
      </c>
      <c r="L1465">
        <v>368.11610000000002</v>
      </c>
      <c r="M1465">
        <v>0.99864569999999997</v>
      </c>
      <c r="N1465">
        <v>0</v>
      </c>
      <c r="O1465">
        <v>-5.0056900000000001E-2</v>
      </c>
      <c r="P1465">
        <v>0.98629699999999998</v>
      </c>
      <c r="Q1465">
        <v>6.0692919999999997E-2</v>
      </c>
      <c r="R1465">
        <v>-0.15341089999999999</v>
      </c>
      <c r="S1465">
        <v>2.9071349999999998</v>
      </c>
      <c r="T1465">
        <v>-0.22409950000000001</v>
      </c>
      <c r="U1465">
        <v>-0.96078490000000005</v>
      </c>
      <c r="V1465">
        <v>0.10406360000000001</v>
      </c>
      <c r="W1465">
        <v>7.4454320000000004E-2</v>
      </c>
      <c r="X1465">
        <v>0.99177990000000005</v>
      </c>
      <c r="Y1465">
        <v>0.26529849999999999</v>
      </c>
      <c r="Z1465">
        <v>-6.2015799999999999E-3</v>
      </c>
      <c r="AA1465">
        <v>0.96414639999999996</v>
      </c>
      <c r="AB1465">
        <v>18</v>
      </c>
      <c r="AC1465">
        <v>14.2057</v>
      </c>
      <c r="AD1465">
        <v>-1.109457061144</v>
      </c>
      <c r="AE1465">
        <v>-4.7453000000000403</v>
      </c>
      <c r="AF1465">
        <v>4.00620216956567</v>
      </c>
      <c r="AG1465">
        <v>-1.109457061144</v>
      </c>
      <c r="AH1465">
        <v>14.346722768678401</v>
      </c>
      <c r="AI1465">
        <v>94.259657944918501</v>
      </c>
      <c r="AJ1465">
        <v>74.398054244162594</v>
      </c>
      <c r="AK1465">
        <v>14.9368338343597</v>
      </c>
      <c r="AL1465">
        <v>85.730130622720694</v>
      </c>
      <c r="AM1465">
        <v>84.010094895189397</v>
      </c>
      <c r="AN1465">
        <v>1.00000002432781</v>
      </c>
    </row>
    <row r="1466" spans="1:40" x14ac:dyDescent="0.25">
      <c r="A1466" t="str">
        <f>"20190312153916778"</f>
        <v>20190312153916778</v>
      </c>
      <c r="B1466" t="str">
        <f>"1552376356767282"</f>
        <v>1552376356767282</v>
      </c>
      <c r="C1466" t="s">
        <v>40</v>
      </c>
      <c r="D1466">
        <v>4.2656470000000004</v>
      </c>
      <c r="E1466">
        <v>0.56540440000000003</v>
      </c>
      <c r="F1466" t="s">
        <v>49</v>
      </c>
      <c r="G1466">
        <v>-206.28489999999999</v>
      </c>
      <c r="H1466" s="1">
        <v>-4.9540880000000002E-6</v>
      </c>
      <c r="I1466">
        <v>363.29930000000002</v>
      </c>
      <c r="J1466">
        <v>-220.58189999999999</v>
      </c>
      <c r="K1466">
        <v>1.1093550000000001</v>
      </c>
      <c r="L1466">
        <v>368.10489999999999</v>
      </c>
      <c r="M1466">
        <v>0.99853329999999996</v>
      </c>
      <c r="N1466">
        <v>0</v>
      </c>
      <c r="O1466">
        <v>-5.225175E-2</v>
      </c>
      <c r="P1466">
        <v>0.98603269999999998</v>
      </c>
      <c r="Q1466">
        <v>5.9924020000000001E-2</v>
      </c>
      <c r="R1466">
        <v>-0.1553996</v>
      </c>
      <c r="S1466">
        <v>2.9049529999999999</v>
      </c>
      <c r="T1466">
        <v>-0.22273899999999999</v>
      </c>
      <c r="U1466">
        <v>-0.96704100000000004</v>
      </c>
      <c r="V1466">
        <v>0.1038945</v>
      </c>
      <c r="W1466">
        <v>7.3664930000000003E-2</v>
      </c>
      <c r="X1466">
        <v>0.99185659999999998</v>
      </c>
      <c r="Y1466">
        <v>0.26527840000000003</v>
      </c>
      <c r="Z1466">
        <v>-6.0028659999999999E-3</v>
      </c>
      <c r="AA1466">
        <v>0.96415320000000004</v>
      </c>
      <c r="AB1466">
        <v>18</v>
      </c>
      <c r="AC1466">
        <v>14.296999999999899</v>
      </c>
      <c r="AD1466">
        <v>-1.1093599540879999</v>
      </c>
      <c r="AE1466">
        <v>-4.8055999999999699</v>
      </c>
      <c r="AF1466">
        <v>4.0301141838920902</v>
      </c>
      <c r="AG1466">
        <v>-1.1093599540879999</v>
      </c>
      <c r="AH1466">
        <v>14.4504204254628</v>
      </c>
      <c r="AI1466">
        <v>94.229213548709396</v>
      </c>
      <c r="AJ1466">
        <v>74.416611196776103</v>
      </c>
      <c r="AK1466">
        <v>15.042843824077099</v>
      </c>
      <c r="AL1466">
        <v>85.775484003774196</v>
      </c>
      <c r="AM1466">
        <v>84.020216803558796</v>
      </c>
      <c r="AN1466">
        <v>1.00000005200285</v>
      </c>
    </row>
    <row r="1467" spans="1:40" x14ac:dyDescent="0.25">
      <c r="A1467" t="str">
        <f>"20190312153916800"</f>
        <v>20190312153916800</v>
      </c>
      <c r="B1467" t="str">
        <f>"1552376356787778"</f>
        <v>1552376356787778</v>
      </c>
      <c r="C1467" t="s">
        <v>40</v>
      </c>
      <c r="D1467">
        <v>4.2641710000000002</v>
      </c>
      <c r="E1467">
        <v>0.56564309999999995</v>
      </c>
      <c r="F1467" t="s">
        <v>49</v>
      </c>
      <c r="G1467">
        <v>-206.297</v>
      </c>
      <c r="H1467" s="1">
        <v>-4.9565540000000001E-6</v>
      </c>
      <c r="I1467">
        <v>363.31369999999998</v>
      </c>
      <c r="J1467">
        <v>-220.39699999999999</v>
      </c>
      <c r="K1467">
        <v>1.1092599999999999</v>
      </c>
      <c r="L1467">
        <v>368.09230000000002</v>
      </c>
      <c r="M1467">
        <v>0.99839889999999998</v>
      </c>
      <c r="N1467">
        <v>0</v>
      </c>
      <c r="O1467">
        <v>-5.4760459999999997E-2</v>
      </c>
      <c r="P1467">
        <v>0.98592500000000005</v>
      </c>
      <c r="Q1467">
        <v>5.781787E-2</v>
      </c>
      <c r="R1467">
        <v>-0.15687300000000001</v>
      </c>
      <c r="S1467">
        <v>2.902771</v>
      </c>
      <c r="T1467">
        <v>-0.22542770000000001</v>
      </c>
      <c r="U1467">
        <v>-0.97360230000000003</v>
      </c>
      <c r="V1467">
        <v>0.1028853</v>
      </c>
      <c r="W1467">
        <v>7.154481E-2</v>
      </c>
      <c r="X1467">
        <v>0.99211689999999997</v>
      </c>
      <c r="Y1467">
        <v>0.26502730000000002</v>
      </c>
      <c r="Z1467">
        <v>-5.8795509999999898E-3</v>
      </c>
      <c r="AA1467">
        <v>0.96422300000000005</v>
      </c>
      <c r="AB1467">
        <v>18</v>
      </c>
      <c r="AC1467">
        <v>14.1</v>
      </c>
      <c r="AD1467">
        <v>-1.109264956554</v>
      </c>
      <c r="AE1467">
        <v>-4.7786000000000399</v>
      </c>
      <c r="AF1467">
        <v>3.9771490389864801</v>
      </c>
      <c r="AG1467">
        <v>-1.109264956554</v>
      </c>
      <c r="AH1467">
        <v>14.2613711927994</v>
      </c>
      <c r="AI1467">
        <v>94.284721760614403</v>
      </c>
      <c r="AJ1467">
        <v>74.417508540718401</v>
      </c>
      <c r="AK1467">
        <v>14.847049926532801</v>
      </c>
      <c r="AL1467">
        <v>85.897279154842593</v>
      </c>
      <c r="AM1467">
        <v>84.079430539571902</v>
      </c>
      <c r="AN1467">
        <v>0.99999999402981798</v>
      </c>
    </row>
    <row r="1468" spans="1:40" x14ac:dyDescent="0.25">
      <c r="A1468" t="str">
        <f>"20190312153916822"</f>
        <v>20190312153916822</v>
      </c>
      <c r="B1468" t="str">
        <f>"1552376356817058"</f>
        <v>1552376356817058</v>
      </c>
      <c r="C1468" t="s">
        <v>40</v>
      </c>
      <c r="D1468">
        <v>4.2517009999999997</v>
      </c>
      <c r="E1468">
        <v>0.5659516</v>
      </c>
      <c r="F1468" t="s">
        <v>49</v>
      </c>
      <c r="G1468">
        <v>-206.48310000000001</v>
      </c>
      <c r="H1468" s="1">
        <v>-5.02551999999999E-6</v>
      </c>
      <c r="I1468">
        <v>363.39359999999999</v>
      </c>
      <c r="J1468">
        <v>-220.214</v>
      </c>
      <c r="K1468">
        <v>1.1091789999999999</v>
      </c>
      <c r="L1468">
        <v>368.07920000000001</v>
      </c>
      <c r="M1468">
        <v>0.99825189999999997</v>
      </c>
      <c r="N1468">
        <v>0</v>
      </c>
      <c r="O1468">
        <v>-5.7378970000000001E-2</v>
      </c>
      <c r="P1468">
        <v>0.98574689999999998</v>
      </c>
      <c r="Q1468">
        <v>5.5229769999999997E-2</v>
      </c>
      <c r="R1468">
        <v>-0.15891169999999999</v>
      </c>
      <c r="S1468">
        <v>2.900528</v>
      </c>
      <c r="T1468">
        <v>-0.23124030000000001</v>
      </c>
      <c r="U1468">
        <v>-0.97949219999999904</v>
      </c>
      <c r="V1468">
        <v>0.1023289</v>
      </c>
      <c r="W1468">
        <v>6.8945809999999996E-2</v>
      </c>
      <c r="X1468">
        <v>0.99235839999999997</v>
      </c>
      <c r="Y1468">
        <v>0.26446120000000001</v>
      </c>
      <c r="Z1468">
        <v>-5.8096869999999896E-3</v>
      </c>
      <c r="AA1468">
        <v>0.96437879999999998</v>
      </c>
      <c r="AB1468">
        <v>18</v>
      </c>
      <c r="AC1468">
        <v>13.7309</v>
      </c>
      <c r="AD1468">
        <v>-1.1091840255200001</v>
      </c>
      <c r="AE1468">
        <v>-4.6856000000000204</v>
      </c>
      <c r="AF1468">
        <v>3.86733094011693</v>
      </c>
      <c r="AG1468">
        <v>-1.1091840255200001</v>
      </c>
      <c r="AH1468">
        <v>13.8959361218203</v>
      </c>
      <c r="AI1468">
        <v>94.397289795107199</v>
      </c>
      <c r="AJ1468">
        <v>74.447763213599799</v>
      </c>
      <c r="AK1468">
        <v>14.466636737838</v>
      </c>
      <c r="AL1468">
        <v>86.046559560390506</v>
      </c>
      <c r="AM1468">
        <v>84.112646179143397</v>
      </c>
      <c r="AN1468">
        <v>0.99999996127116197</v>
      </c>
    </row>
    <row r="1469" spans="1:40" x14ac:dyDescent="0.25">
      <c r="A1469" t="str">
        <f>"20190312153916835"</f>
        <v>20190312153916835</v>
      </c>
      <c r="B1469" t="str">
        <f>"1552376356827794"</f>
        <v>1552376356827794</v>
      </c>
      <c r="C1469" t="s">
        <v>40</v>
      </c>
      <c r="D1469">
        <v>4.3238859999999999</v>
      </c>
      <c r="E1469">
        <v>0.56602649999999999</v>
      </c>
      <c r="F1469" t="s">
        <v>49</v>
      </c>
      <c r="G1469">
        <v>-206.71770000000001</v>
      </c>
      <c r="H1469" s="1">
        <v>-5.115548E-6</v>
      </c>
      <c r="I1469">
        <v>363.4803</v>
      </c>
      <c r="J1469">
        <v>-220.101</v>
      </c>
      <c r="K1469">
        <v>1.1091439999999999</v>
      </c>
      <c r="L1469">
        <v>368.07069999999999</v>
      </c>
      <c r="M1469">
        <v>0.99815469999999895</v>
      </c>
      <c r="N1469">
        <v>0</v>
      </c>
      <c r="O1469">
        <v>-5.9046029999999999E-2</v>
      </c>
      <c r="P1469">
        <v>0.98552099999999998</v>
      </c>
      <c r="Q1469">
        <v>5.448389E-2</v>
      </c>
      <c r="R1469">
        <v>-0.16056239999999999</v>
      </c>
      <c r="S1469">
        <v>2.8975680000000001</v>
      </c>
      <c r="T1469">
        <v>-0.2381337</v>
      </c>
      <c r="U1469">
        <v>-0.98733519999999997</v>
      </c>
      <c r="V1469">
        <v>0.1023337</v>
      </c>
      <c r="W1469">
        <v>6.8192749999999996E-2</v>
      </c>
      <c r="X1469">
        <v>0.99240989999999996</v>
      </c>
      <c r="Y1469">
        <v>0.26545619999999998</v>
      </c>
      <c r="Z1469">
        <v>-5.8931499999999998E-3</v>
      </c>
      <c r="AA1469">
        <v>0.96410490000000004</v>
      </c>
      <c r="AB1469">
        <v>18</v>
      </c>
      <c r="AC1469">
        <v>13.383299999999901</v>
      </c>
      <c r="AD1469">
        <v>-1.109149115548</v>
      </c>
      <c r="AE1469">
        <v>-4.5903999999999803</v>
      </c>
      <c r="AF1469">
        <v>3.7689178022929601</v>
      </c>
      <c r="AG1469">
        <v>-1.109149115548</v>
      </c>
      <c r="AH1469">
        <v>13.5477607780331</v>
      </c>
      <c r="AI1469">
        <v>94.509827303491406</v>
      </c>
      <c r="AJ1469">
        <v>74.453704634087501</v>
      </c>
      <c r="AK1469">
        <v>14.1059127765549</v>
      </c>
      <c r="AL1469">
        <v>86.089808367357705</v>
      </c>
      <c r="AM1469">
        <v>84.112675343348599</v>
      </c>
      <c r="AN1469">
        <v>0.99999992346312805</v>
      </c>
    </row>
    <row r="1470" spans="1:40" x14ac:dyDescent="0.25">
      <c r="A1470" t="str">
        <f>"20190312153916848"</f>
        <v>20190312153916848</v>
      </c>
      <c r="B1470" t="str">
        <f>"1552376356837554"</f>
        <v>1552376356837554</v>
      </c>
      <c r="C1470" t="s">
        <v>40</v>
      </c>
      <c r="D1470">
        <v>4.2518339999999997</v>
      </c>
      <c r="E1470">
        <v>0.56611690000000003</v>
      </c>
      <c r="F1470" t="s">
        <v>49</v>
      </c>
      <c r="G1470">
        <v>-206.7353</v>
      </c>
      <c r="H1470" s="1">
        <v>-5.121808E-6</v>
      </c>
      <c r="I1470">
        <v>363.48919999999998</v>
      </c>
      <c r="J1470">
        <v>-220.00040000000001</v>
      </c>
      <c r="K1470">
        <v>1.109124</v>
      </c>
      <c r="L1470">
        <v>368.06299999999999</v>
      </c>
      <c r="M1470">
        <v>0.99806309999999998</v>
      </c>
      <c r="N1470">
        <v>0</v>
      </c>
      <c r="O1470">
        <v>-6.0572349999999997E-2</v>
      </c>
      <c r="P1470">
        <v>0.98531299999999999</v>
      </c>
      <c r="Q1470">
        <v>5.3791319999999997E-2</v>
      </c>
      <c r="R1470">
        <v>-0.16206519999999999</v>
      </c>
      <c r="S1470">
        <v>2.895645</v>
      </c>
      <c r="T1470">
        <v>-0.2402946</v>
      </c>
      <c r="U1470">
        <v>-0.99258420000000003</v>
      </c>
      <c r="V1470">
        <v>0.1023276</v>
      </c>
      <c r="W1470">
        <v>6.7496749999999994E-2</v>
      </c>
      <c r="X1470">
        <v>0.99245819999999996</v>
      </c>
      <c r="Y1470">
        <v>0.26573459999999899</v>
      </c>
      <c r="Z1470">
        <v>-5.8375839999999998E-3</v>
      </c>
      <c r="AA1470">
        <v>0.96402849999999995</v>
      </c>
      <c r="AB1470">
        <v>18</v>
      </c>
      <c r="AC1470">
        <v>13.2651</v>
      </c>
      <c r="AD1470">
        <v>-1.1091291218079999</v>
      </c>
      <c r="AE1470">
        <v>-4.5738000000000598</v>
      </c>
      <c r="AF1470">
        <v>3.7384621085953</v>
      </c>
      <c r="AG1470">
        <v>-1.1091291218079999</v>
      </c>
      <c r="AH1470">
        <v>13.4338735734763</v>
      </c>
      <c r="AI1470">
        <v>94.547711693759695</v>
      </c>
      <c r="AJ1470">
        <v>74.448846909023501</v>
      </c>
      <c r="AK1470">
        <v>13.9883961029988</v>
      </c>
      <c r="AL1470">
        <v>86.129778679361095</v>
      </c>
      <c r="AM1470">
        <v>84.113308305279403</v>
      </c>
      <c r="AN1470">
        <v>1.00000001386478</v>
      </c>
    </row>
    <row r="1471" spans="1:40" x14ac:dyDescent="0.25">
      <c r="A1471" t="str">
        <f>"20190312153916863"</f>
        <v>20190312153916863</v>
      </c>
      <c r="B1471" t="str">
        <f>"1552376356857075"</f>
        <v>1552376356857075</v>
      </c>
      <c r="C1471" t="s">
        <v>40</v>
      </c>
      <c r="D1471">
        <v>4.2709489999999999</v>
      </c>
      <c r="E1471">
        <v>0.56629419999999897</v>
      </c>
      <c r="F1471" t="s">
        <v>49</v>
      </c>
      <c r="G1471">
        <v>-206.7439</v>
      </c>
      <c r="H1471" s="1">
        <v>-5.1249709999999999E-6</v>
      </c>
      <c r="I1471">
        <v>363.49299999999999</v>
      </c>
      <c r="J1471">
        <v>-219.8742</v>
      </c>
      <c r="K1471">
        <v>1.1091040000000001</v>
      </c>
      <c r="L1471">
        <v>368.05309999999997</v>
      </c>
      <c r="M1471">
        <v>0.99794329999999998</v>
      </c>
      <c r="N1471">
        <v>0</v>
      </c>
      <c r="O1471">
        <v>-6.2516840000000004E-2</v>
      </c>
      <c r="P1471">
        <v>0.98496790000000001</v>
      </c>
      <c r="Q1471">
        <v>5.3127840000000003E-2</v>
      </c>
      <c r="R1471">
        <v>-0.1643664</v>
      </c>
      <c r="S1471">
        <v>2.8938449999999998</v>
      </c>
      <c r="T1471">
        <v>-0.24211840000000001</v>
      </c>
      <c r="U1471">
        <v>-0.99761960000000005</v>
      </c>
      <c r="V1471">
        <v>0.102711</v>
      </c>
      <c r="W1471">
        <v>6.682689E-2</v>
      </c>
      <c r="X1471">
        <v>0.99246389999999995</v>
      </c>
      <c r="Y1471">
        <v>0.26553759999999998</v>
      </c>
      <c r="Z1471">
        <v>-5.7188029999999997E-3</v>
      </c>
      <c r="AA1471">
        <v>0.96408360000000004</v>
      </c>
      <c r="AB1471">
        <v>18</v>
      </c>
      <c r="AC1471">
        <v>13.1303</v>
      </c>
      <c r="AD1471">
        <v>-1.1091091249709999</v>
      </c>
      <c r="AE1471">
        <v>-4.5600999999999203</v>
      </c>
      <c r="AF1471">
        <v>3.7066303793160902</v>
      </c>
      <c r="AG1471">
        <v>-1.1091091249709999</v>
      </c>
      <c r="AH1471">
        <v>13.3050078673296</v>
      </c>
      <c r="AI1471">
        <v>94.591130896340502</v>
      </c>
      <c r="AJ1471">
        <v>74.432741747397003</v>
      </c>
      <c r="AK1471">
        <v>13.8561346041985</v>
      </c>
      <c r="AL1471">
        <v>86.1682455851155</v>
      </c>
      <c r="AM1471">
        <v>84.091441556883098</v>
      </c>
      <c r="AN1471">
        <v>0.99999998777564003</v>
      </c>
    </row>
    <row r="1472" spans="1:40" x14ac:dyDescent="0.25">
      <c r="A1472" t="str">
        <f>"20190312153916878"</f>
        <v>20190312153916878</v>
      </c>
      <c r="B1472" t="str">
        <f>"1552376356867810"</f>
        <v>1552376356867810</v>
      </c>
      <c r="C1472" t="s">
        <v>40</v>
      </c>
      <c r="D1472">
        <v>4.2620639999999996</v>
      </c>
      <c r="E1472">
        <v>0.5663878</v>
      </c>
      <c r="F1472" t="s">
        <v>49</v>
      </c>
      <c r="G1472">
        <v>-206.71549999999999</v>
      </c>
      <c r="H1472" s="1">
        <v>-5.1155429999999997E-6</v>
      </c>
      <c r="I1472">
        <v>363.47590000000002</v>
      </c>
      <c r="J1472">
        <v>-219.76060000000001</v>
      </c>
      <c r="K1472">
        <v>1.1090880000000001</v>
      </c>
      <c r="L1472">
        <v>368.04390000000001</v>
      </c>
      <c r="M1472">
        <v>0.99782990000000005</v>
      </c>
      <c r="N1472">
        <v>0</v>
      </c>
      <c r="O1472">
        <v>-6.4298480000000005E-2</v>
      </c>
      <c r="P1472">
        <v>0.98473270000000002</v>
      </c>
      <c r="Q1472">
        <v>5.1332099999999999E-2</v>
      </c>
      <c r="R1472">
        <v>-0.1663326</v>
      </c>
      <c r="S1472">
        <v>2.8911289999999998</v>
      </c>
      <c r="T1472">
        <v>-0.24368490000000001</v>
      </c>
      <c r="U1472">
        <v>-1.005676</v>
      </c>
      <c r="V1472">
        <v>0.10291</v>
      </c>
      <c r="W1472">
        <v>6.5028370000000002E-2</v>
      </c>
      <c r="X1472">
        <v>0.99256279999999997</v>
      </c>
      <c r="Y1472">
        <v>0.26648830000000001</v>
      </c>
      <c r="Z1472">
        <v>-5.6525450000000001E-3</v>
      </c>
      <c r="AA1472">
        <v>0.96382159999999995</v>
      </c>
      <c r="AB1472">
        <v>18</v>
      </c>
      <c r="AC1472">
        <v>13.0451</v>
      </c>
      <c r="AD1472">
        <v>-1.1090931155429999</v>
      </c>
      <c r="AE1472">
        <v>-4.5679999999999801</v>
      </c>
      <c r="AF1472">
        <v>3.6958838220662802</v>
      </c>
      <c r="AG1472">
        <v>-1.1090931155429999</v>
      </c>
      <c r="AH1472">
        <v>13.226680778637601</v>
      </c>
      <c r="AI1472">
        <v>94.617138996571299</v>
      </c>
      <c r="AJ1472">
        <v>74.388233540411505</v>
      </c>
      <c r="AK1472">
        <v>13.7780524452891</v>
      </c>
      <c r="AL1472">
        <v>86.271518058714705</v>
      </c>
      <c r="AM1472">
        <v>84.080660772819002</v>
      </c>
      <c r="AN1472">
        <v>1.00000003447434</v>
      </c>
    </row>
    <row r="1473" spans="1:40" x14ac:dyDescent="0.25">
      <c r="A1473" t="str">
        <f>"20190312153916893"</f>
        <v>20190312153916893</v>
      </c>
      <c r="B1473" t="str">
        <f>"1552376356887331"</f>
        <v>1552376356887331</v>
      </c>
      <c r="C1473" t="s">
        <v>40</v>
      </c>
      <c r="D1473">
        <v>4.3330699999999904</v>
      </c>
      <c r="E1473">
        <v>0.56652130000000001</v>
      </c>
      <c r="F1473" t="s">
        <v>49</v>
      </c>
      <c r="G1473">
        <v>-206.8691</v>
      </c>
      <c r="H1473" s="1">
        <v>-5.1755690000000003E-6</v>
      </c>
      <c r="I1473">
        <v>363.52780000000001</v>
      </c>
      <c r="J1473">
        <v>-219.6422</v>
      </c>
      <c r="K1473">
        <v>1.109075</v>
      </c>
      <c r="L1473">
        <v>368.03410000000002</v>
      </c>
      <c r="M1473">
        <v>0.99770579999999998</v>
      </c>
      <c r="N1473">
        <v>0</v>
      </c>
      <c r="O1473">
        <v>-6.6198679999999996E-2</v>
      </c>
      <c r="P1473">
        <v>0.98448869999999999</v>
      </c>
      <c r="Q1473">
        <v>5.078506E-2</v>
      </c>
      <c r="R1473">
        <v>-0.1679377</v>
      </c>
      <c r="S1473">
        <v>2.8885350000000001</v>
      </c>
      <c r="T1473">
        <v>-0.24850920000000001</v>
      </c>
      <c r="U1473">
        <v>-1.0119020000000001</v>
      </c>
      <c r="V1473">
        <v>0.102635</v>
      </c>
      <c r="W1473">
        <v>6.4480659999999995E-2</v>
      </c>
      <c r="X1473">
        <v>0.99262700000000004</v>
      </c>
      <c r="Y1473">
        <v>0.2667525</v>
      </c>
      <c r="Z1473">
        <v>-5.6207080000000003E-3</v>
      </c>
      <c r="AA1473">
        <v>0.96374870000000001</v>
      </c>
      <c r="AB1473">
        <v>18</v>
      </c>
      <c r="AC1473">
        <v>12.773099999999999</v>
      </c>
      <c r="AD1473">
        <v>-1.1090801755689901</v>
      </c>
      <c r="AE1473">
        <v>-4.5063000000000004</v>
      </c>
      <c r="AF1473">
        <v>3.6264512609033499</v>
      </c>
      <c r="AG1473">
        <v>-1.1090801755689901</v>
      </c>
      <c r="AH1473">
        <v>12.9565458170929</v>
      </c>
      <c r="AI1473">
        <v>94.712350927532995</v>
      </c>
      <c r="AJ1473">
        <v>74.363419036601002</v>
      </c>
      <c r="AK1473">
        <v>13.5001217436724</v>
      </c>
      <c r="AL1473">
        <v>86.302965513815593</v>
      </c>
      <c r="AM1473">
        <v>84.096745919935302</v>
      </c>
      <c r="AN1473">
        <v>1.0000000299340099</v>
      </c>
    </row>
    <row r="1474" spans="1:40" x14ac:dyDescent="0.25">
      <c r="A1474" t="str">
        <f>"20190312153916904"</f>
        <v>20190312153916904</v>
      </c>
      <c r="B1474" t="str">
        <f>"1552376356897091"</f>
        <v>1552376356897091</v>
      </c>
      <c r="C1474" t="s">
        <v>40</v>
      </c>
      <c r="D1474">
        <v>4.342282</v>
      </c>
      <c r="E1474">
        <v>0.56657480000000005</v>
      </c>
      <c r="F1474" t="s">
        <v>49</v>
      </c>
      <c r="G1474">
        <v>-206.78530000000001</v>
      </c>
      <c r="H1474" s="1">
        <v>-5.1426709999999997E-6</v>
      </c>
      <c r="I1474">
        <v>363.50020000000001</v>
      </c>
      <c r="J1474">
        <v>-219.53819999999999</v>
      </c>
      <c r="K1474">
        <v>1.109064</v>
      </c>
      <c r="L1474">
        <v>368.02530000000002</v>
      </c>
      <c r="M1474">
        <v>0.99759240000000005</v>
      </c>
      <c r="N1474">
        <v>0</v>
      </c>
      <c r="O1474">
        <v>-6.7883910000000006E-2</v>
      </c>
      <c r="P1474">
        <v>0.98424109999999998</v>
      </c>
      <c r="Q1474">
        <v>5.0161940000000002E-2</v>
      </c>
      <c r="R1474">
        <v>-0.1695681</v>
      </c>
      <c r="S1474">
        <v>2.8864899999999998</v>
      </c>
      <c r="T1474">
        <v>-0.2489992</v>
      </c>
      <c r="U1474">
        <v>-1.017914</v>
      </c>
      <c r="V1474">
        <v>0.102599</v>
      </c>
      <c r="W1474">
        <v>6.3855389999999998E-2</v>
      </c>
      <c r="X1474">
        <v>0.99267110000000003</v>
      </c>
      <c r="Y1474">
        <v>0.26712590000000003</v>
      </c>
      <c r="Z1474">
        <v>-5.5094769999999996E-3</v>
      </c>
      <c r="AA1474">
        <v>0.96364590000000006</v>
      </c>
      <c r="AB1474">
        <v>18</v>
      </c>
      <c r="AC1474">
        <v>12.752899999999901</v>
      </c>
      <c r="AD1474">
        <v>-1.109069142671</v>
      </c>
      <c r="AE1474">
        <v>-4.5251000000000001</v>
      </c>
      <c r="AF1474">
        <v>3.6245086075843198</v>
      </c>
      <c r="AG1474">
        <v>-1.109069142671</v>
      </c>
      <c r="AH1474">
        <v>12.9437407501284</v>
      </c>
      <c r="AI1474">
        <v>94.716790470434901</v>
      </c>
      <c r="AJ1474">
        <v>74.356681407064897</v>
      </c>
      <c r="AK1474">
        <v>13.487309650786999</v>
      </c>
      <c r="AL1474">
        <v>86.338864680657593</v>
      </c>
      <c r="AM1474">
        <v>84.099062230125199</v>
      </c>
      <c r="AN1474">
        <v>0.99999998920413102</v>
      </c>
    </row>
    <row r="1475" spans="1:40" x14ac:dyDescent="0.25">
      <c r="A1475" t="str">
        <f>"20190312153916918"</f>
        <v>20190312153916918</v>
      </c>
      <c r="B1475" t="str">
        <f>"1552376356907826"</f>
        <v>1552376356907826</v>
      </c>
      <c r="C1475" t="s">
        <v>40</v>
      </c>
      <c r="D1475">
        <v>4.3517380000000001</v>
      </c>
      <c r="E1475">
        <v>0.56662760000000001</v>
      </c>
      <c r="F1475" t="s">
        <v>49</v>
      </c>
      <c r="G1475">
        <v>-206.76089999999999</v>
      </c>
      <c r="H1475" s="1">
        <v>-5.1333060000000002E-6</v>
      </c>
      <c r="I1475">
        <v>363.49119999999999</v>
      </c>
      <c r="J1475">
        <v>-219.43100000000001</v>
      </c>
      <c r="K1475">
        <v>1.1090519999999999</v>
      </c>
      <c r="L1475">
        <v>368.01600000000002</v>
      </c>
      <c r="M1475">
        <v>0.99747169999999996</v>
      </c>
      <c r="N1475">
        <v>0</v>
      </c>
      <c r="O1475">
        <v>-6.9635890000000006E-2</v>
      </c>
      <c r="P1475">
        <v>0.98401930000000004</v>
      </c>
      <c r="Q1475">
        <v>4.9671849999999997E-2</v>
      </c>
      <c r="R1475">
        <v>-0.17099320000000001</v>
      </c>
      <c r="S1475">
        <v>2.8844449999999999</v>
      </c>
      <c r="T1475">
        <v>-0.25036950000000002</v>
      </c>
      <c r="U1475">
        <v>-1.02356</v>
      </c>
      <c r="V1475">
        <v>0.10229050000000001</v>
      </c>
      <c r="W1475">
        <v>6.3364760000000006E-2</v>
      </c>
      <c r="X1475">
        <v>0.99273440000000002</v>
      </c>
      <c r="Y1475">
        <v>0.2673219</v>
      </c>
      <c r="Z1475">
        <v>-5.4037729999999997E-3</v>
      </c>
      <c r="AA1475">
        <v>0.96359209999999995</v>
      </c>
      <c r="AB1475">
        <v>18</v>
      </c>
      <c r="AC1475">
        <v>12.6700999999999</v>
      </c>
      <c r="AD1475">
        <v>-1.109057133306</v>
      </c>
      <c r="AE1475">
        <v>-4.5247999999999697</v>
      </c>
      <c r="AF1475">
        <v>3.60692076506635</v>
      </c>
      <c r="AG1475">
        <v>-1.109057133306</v>
      </c>
      <c r="AH1475">
        <v>12.867020097561401</v>
      </c>
      <c r="AI1475">
        <v>94.744364098664406</v>
      </c>
      <c r="AJ1475">
        <v>74.340597632200399</v>
      </c>
      <c r="AK1475">
        <v>13.4089556387309</v>
      </c>
      <c r="AL1475">
        <v>86.367032845196107</v>
      </c>
      <c r="AM1475">
        <v>84.117053340419105</v>
      </c>
      <c r="AN1475">
        <v>1.00000001407173</v>
      </c>
    </row>
    <row r="1476" spans="1:40" x14ac:dyDescent="0.25">
      <c r="A1476" t="str">
        <f>"20190312153916932"</f>
        <v>20190312153916932</v>
      </c>
      <c r="B1476" t="str">
        <f>"1552376356927346"</f>
        <v>1552376356927346</v>
      </c>
      <c r="C1476" t="s">
        <v>40</v>
      </c>
      <c r="D1476">
        <v>4.3306870000000002</v>
      </c>
      <c r="E1476">
        <v>0.56672140000000004</v>
      </c>
      <c r="F1476" t="s">
        <v>49</v>
      </c>
      <c r="G1476">
        <v>-206.71879999999999</v>
      </c>
      <c r="H1476" s="1">
        <v>-5.1159189999999999E-6</v>
      </c>
      <c r="I1476">
        <v>363.4812</v>
      </c>
      <c r="J1476">
        <v>-219.31970000000001</v>
      </c>
      <c r="K1476">
        <v>1.109035</v>
      </c>
      <c r="L1476">
        <v>368.0061</v>
      </c>
      <c r="M1476">
        <v>0.99734129999999999</v>
      </c>
      <c r="N1476">
        <v>0</v>
      </c>
      <c r="O1476">
        <v>-7.1478620000000007E-2</v>
      </c>
      <c r="P1476">
        <v>0.9837108</v>
      </c>
      <c r="Q1476">
        <v>4.9099400000000001E-2</v>
      </c>
      <c r="R1476">
        <v>-0.1729232</v>
      </c>
      <c r="S1476">
        <v>2.8827210000000001</v>
      </c>
      <c r="T1476">
        <v>-0.25149899999999997</v>
      </c>
      <c r="U1476">
        <v>-1.028351</v>
      </c>
      <c r="V1476">
        <v>0.10240109999999999</v>
      </c>
      <c r="W1476">
        <v>6.2788949999999996E-2</v>
      </c>
      <c r="X1476">
        <v>0.99275959999999996</v>
      </c>
      <c r="Y1476">
        <v>0.26714569999999999</v>
      </c>
      <c r="Z1476">
        <v>-5.2678309999999997E-3</v>
      </c>
      <c r="AA1476">
        <v>0.96364179999999999</v>
      </c>
      <c r="AB1476">
        <v>18</v>
      </c>
      <c r="AC1476">
        <v>12.600899999999999</v>
      </c>
      <c r="AD1476">
        <v>-1.109040115919</v>
      </c>
      <c r="AE1476">
        <v>-4.5248999999999997</v>
      </c>
      <c r="AF1476">
        <v>3.58791961673864</v>
      </c>
      <c r="AG1476">
        <v>-1.109040115919</v>
      </c>
      <c r="AH1476">
        <v>12.804272031258099</v>
      </c>
      <c r="AI1476">
        <v>94.7675703326898</v>
      </c>
      <c r="AJ1476">
        <v>74.346453425352493</v>
      </c>
      <c r="AK1476">
        <v>13.343632166893499</v>
      </c>
      <c r="AL1476">
        <v>86.400090214992602</v>
      </c>
      <c r="AM1476">
        <v>84.110885621500898</v>
      </c>
      <c r="AN1476">
        <v>1.0000000304577299</v>
      </c>
    </row>
    <row r="1477" spans="1:40" x14ac:dyDescent="0.25">
      <c r="A1477" t="str">
        <f>"20190312153916946"</f>
        <v>20190312153916946</v>
      </c>
      <c r="B1477" t="str">
        <f>"1552376356937108"</f>
        <v>1552376356937108</v>
      </c>
      <c r="C1477" t="s">
        <v>40</v>
      </c>
      <c r="D1477">
        <v>4.3442080000000001</v>
      </c>
      <c r="E1477">
        <v>0.56676419999999905</v>
      </c>
      <c r="F1477" t="s">
        <v>49</v>
      </c>
      <c r="G1477">
        <v>-206.6781</v>
      </c>
      <c r="H1477" s="1">
        <v>-5.1006120000000003E-6</v>
      </c>
      <c r="I1477">
        <v>363.46469999999999</v>
      </c>
      <c r="J1477">
        <v>-219.2073</v>
      </c>
      <c r="K1477">
        <v>1.1090139999999999</v>
      </c>
      <c r="L1477">
        <v>367.99579999999997</v>
      </c>
      <c r="M1477">
        <v>0.99720509999999996</v>
      </c>
      <c r="N1477">
        <v>0</v>
      </c>
      <c r="O1477">
        <v>-7.3354970000000005E-2</v>
      </c>
      <c r="P1477">
        <v>0.98330859999999998</v>
      </c>
      <c r="Q1477">
        <v>4.8482499999999998E-2</v>
      </c>
      <c r="R1477">
        <v>-0.17536669999999999</v>
      </c>
      <c r="S1477">
        <v>2.8804020000000001</v>
      </c>
      <c r="T1477">
        <v>-0.2526969</v>
      </c>
      <c r="U1477">
        <v>-1.0347599999999999</v>
      </c>
      <c r="V1477">
        <v>0.1029972</v>
      </c>
      <c r="W1477">
        <v>6.216646E-2</v>
      </c>
      <c r="X1477">
        <v>0.99273710000000004</v>
      </c>
      <c r="Y1477">
        <v>0.26747749999999998</v>
      </c>
      <c r="Z1477">
        <v>-5.1510820000000004E-3</v>
      </c>
      <c r="AA1477">
        <v>0.96355029999999997</v>
      </c>
      <c r="AB1477">
        <v>18</v>
      </c>
      <c r="AC1477">
        <v>12.529199999999999</v>
      </c>
      <c r="AD1477">
        <v>-1.10901910061199</v>
      </c>
      <c r="AE1477">
        <v>-4.5310999999999799</v>
      </c>
      <c r="AF1477">
        <v>3.5749490871523002</v>
      </c>
      <c r="AG1477">
        <v>-1.10901910061199</v>
      </c>
      <c r="AH1477">
        <v>12.7395817537383</v>
      </c>
      <c r="AI1477">
        <v>94.791074915696697</v>
      </c>
      <c r="AJ1477">
        <v>74.324952875097097</v>
      </c>
      <c r="AK1477">
        <v>13.278069422978399</v>
      </c>
      <c r="AL1477">
        <v>86.435826044960194</v>
      </c>
      <c r="AM1477">
        <v>84.076713491896996</v>
      </c>
      <c r="AN1477">
        <v>1.00000002083659</v>
      </c>
    </row>
    <row r="1478" spans="1:40" x14ac:dyDescent="0.25">
      <c r="A1478" t="str">
        <f>"20190312153916961"</f>
        <v>20190312153916961</v>
      </c>
      <c r="B1478" t="str">
        <f>"1552376356947843"</f>
        <v>1552376356947843</v>
      </c>
      <c r="C1478" t="s">
        <v>40</v>
      </c>
      <c r="D1478">
        <v>4.3527909999999999</v>
      </c>
      <c r="E1478">
        <v>0.56680889999999995</v>
      </c>
      <c r="F1478" t="s">
        <v>49</v>
      </c>
      <c r="G1478">
        <v>-206.66569999999999</v>
      </c>
      <c r="H1478" s="1">
        <v>-5.0972080000000003E-6</v>
      </c>
      <c r="I1478">
        <v>363.45400000000001</v>
      </c>
      <c r="J1478">
        <v>-219.08930000000001</v>
      </c>
      <c r="K1478">
        <v>1.1090009999999999</v>
      </c>
      <c r="L1478">
        <v>367.98480000000001</v>
      </c>
      <c r="M1478">
        <v>0.99705710000000003</v>
      </c>
      <c r="N1478">
        <v>0</v>
      </c>
      <c r="O1478">
        <v>-7.5340760000000007E-2</v>
      </c>
      <c r="P1478">
        <v>0.98289400000000005</v>
      </c>
      <c r="Q1478">
        <v>4.8365440000000003E-2</v>
      </c>
      <c r="R1478">
        <v>-0.17770859999999999</v>
      </c>
      <c r="S1478">
        <v>2.8776250000000001</v>
      </c>
      <c r="T1478">
        <v>-0.25446149999999901</v>
      </c>
      <c r="U1478">
        <v>-1.042114</v>
      </c>
      <c r="V1478">
        <v>0.1033859</v>
      </c>
      <c r="W1478">
        <v>6.2043670000000002E-2</v>
      </c>
      <c r="X1478">
        <v>0.99270429999999998</v>
      </c>
      <c r="Y1478">
        <v>0.26802890000000001</v>
      </c>
      <c r="Z1478">
        <v>-5.0447360000000002E-3</v>
      </c>
      <c r="AA1478">
        <v>0.96339770000000002</v>
      </c>
      <c r="AB1478">
        <v>18</v>
      </c>
      <c r="AC1478">
        <v>12.4236</v>
      </c>
      <c r="AD1478">
        <v>-1.109006097208</v>
      </c>
      <c r="AE1478">
        <v>-4.5307999999999904</v>
      </c>
      <c r="AF1478">
        <v>3.5568075264676802</v>
      </c>
      <c r="AG1478">
        <v>-1.109006097208</v>
      </c>
      <c r="AH1478">
        <v>12.640768379354499</v>
      </c>
      <c r="AI1478">
        <v>94.827345118932001</v>
      </c>
      <c r="AJ1478">
        <v>74.284677849406094</v>
      </c>
      <c r="AK1478">
        <v>13.1783837978892</v>
      </c>
      <c r="AL1478">
        <v>86.442874728066897</v>
      </c>
      <c r="AM1478">
        <v>84.054324453869995</v>
      </c>
      <c r="AN1478">
        <v>0.99999994427218197</v>
      </c>
    </row>
    <row r="1479" spans="1:40" x14ac:dyDescent="0.25">
      <c r="A1479" t="str">
        <f>"20190312153916976"</f>
        <v>20190312153916976</v>
      </c>
      <c r="B1479" t="str">
        <f>"1552376356967364"</f>
        <v>1552376356967364</v>
      </c>
      <c r="C1479" t="s">
        <v>40</v>
      </c>
      <c r="D1479">
        <v>4.3411390000000001</v>
      </c>
      <c r="E1479">
        <v>0.56692759999999998</v>
      </c>
      <c r="F1479" t="s">
        <v>49</v>
      </c>
      <c r="G1479">
        <v>-206.55449999999999</v>
      </c>
      <c r="H1479" s="1">
        <v>-5.0552329999999997E-6</v>
      </c>
      <c r="I1479">
        <v>363.40960000000001</v>
      </c>
      <c r="J1479">
        <v>-218.96870000000001</v>
      </c>
      <c r="K1479">
        <v>1.1089830000000001</v>
      </c>
      <c r="L1479">
        <v>367.97340000000003</v>
      </c>
      <c r="M1479">
        <v>0.99689989999999995</v>
      </c>
      <c r="N1479">
        <v>0</v>
      </c>
      <c r="O1479">
        <v>-7.7392489999999994E-2</v>
      </c>
      <c r="P1479">
        <v>0.98235309999999998</v>
      </c>
      <c r="Q1479">
        <v>4.8128560000000001E-2</v>
      </c>
      <c r="R1479">
        <v>-0.1807376</v>
      </c>
      <c r="S1479">
        <v>2.8749850000000001</v>
      </c>
      <c r="T1479">
        <v>-0.25436259999999999</v>
      </c>
      <c r="U1479">
        <v>-1.049377</v>
      </c>
      <c r="V1479">
        <v>0.1044035</v>
      </c>
      <c r="W1479">
        <v>6.1797619999999998E-2</v>
      </c>
      <c r="X1479">
        <v>0.99261319999999997</v>
      </c>
      <c r="Y1479">
        <v>0.26848499999999997</v>
      </c>
      <c r="Z1479">
        <v>-4.8906870000000003E-3</v>
      </c>
      <c r="AA1479">
        <v>0.9632714</v>
      </c>
      <c r="AB1479">
        <v>18</v>
      </c>
      <c r="AC1479">
        <v>12.414199999999999</v>
      </c>
      <c r="AD1479">
        <v>-1.108988055233</v>
      </c>
      <c r="AE1479">
        <v>-4.5638000000000103</v>
      </c>
      <c r="AF1479">
        <v>3.5641899364021499</v>
      </c>
      <c r="AG1479">
        <v>-1.108988055233</v>
      </c>
      <c r="AH1479">
        <v>12.641327867141101</v>
      </c>
      <c r="AI1479">
        <v>94.826337828102595</v>
      </c>
      <c r="AJ1479">
        <v>74.254338153828797</v>
      </c>
      <c r="AK1479">
        <v>13.1809132708609</v>
      </c>
      <c r="AL1479">
        <v>86.456999660024096</v>
      </c>
      <c r="AM1479">
        <v>83.995681138189894</v>
      </c>
      <c r="AN1479">
        <v>1.00000000073207</v>
      </c>
    </row>
    <row r="1480" spans="1:40" x14ac:dyDescent="0.25">
      <c r="A1480" t="str">
        <f>"20190312153916990"</f>
        <v>20190312153916990</v>
      </c>
      <c r="B1480" t="str">
        <f>"1552376356977124"</f>
        <v>1552376356977124</v>
      </c>
      <c r="C1480" t="s">
        <v>40</v>
      </c>
      <c r="D1480">
        <v>4.3628169999999997</v>
      </c>
      <c r="E1480">
        <v>0.56697640000000005</v>
      </c>
      <c r="F1480" t="s">
        <v>49</v>
      </c>
      <c r="G1480">
        <v>-206.46090000000001</v>
      </c>
      <c r="H1480" s="1">
        <v>-5.022929E-6</v>
      </c>
      <c r="I1480">
        <v>363.35860000000002</v>
      </c>
      <c r="J1480">
        <v>-218.8527</v>
      </c>
      <c r="K1480">
        <v>1.1089719999999901</v>
      </c>
      <c r="L1480">
        <v>367.96199999999999</v>
      </c>
      <c r="M1480">
        <v>0.99674260000000003</v>
      </c>
      <c r="N1480">
        <v>0</v>
      </c>
      <c r="O1480">
        <v>-7.9394129999999993E-2</v>
      </c>
      <c r="P1480">
        <v>0.98166039999999999</v>
      </c>
      <c r="Q1480">
        <v>4.7836200000000002E-2</v>
      </c>
      <c r="R1480">
        <v>-0.18453890000000001</v>
      </c>
      <c r="S1480">
        <v>2.8714599999999999</v>
      </c>
      <c r="T1480">
        <v>-0.2545944</v>
      </c>
      <c r="U1480">
        <v>-1.059418</v>
      </c>
      <c r="V1480">
        <v>0.10625329999999999</v>
      </c>
      <c r="W1480">
        <v>6.1491599999999903E-2</v>
      </c>
      <c r="X1480">
        <v>0.99243590000000004</v>
      </c>
      <c r="Y1480">
        <v>0.26989999999999997</v>
      </c>
      <c r="Z1480">
        <v>-4.7888119999999999E-3</v>
      </c>
      <c r="AA1480">
        <v>0.96287639999999997</v>
      </c>
      <c r="AB1480">
        <v>18</v>
      </c>
      <c r="AC1480">
        <v>12.3917999999999</v>
      </c>
      <c r="AD1480">
        <v>-1.1089770229289999</v>
      </c>
      <c r="AE1480">
        <v>-4.6033999999999597</v>
      </c>
      <c r="AF1480">
        <v>3.5797373470609699</v>
      </c>
      <c r="AG1480">
        <v>-1.1089770229289999</v>
      </c>
      <c r="AH1480">
        <v>12.629312862405</v>
      </c>
      <c r="AI1480">
        <v>94.828973182422601</v>
      </c>
      <c r="AJ1480">
        <v>74.174792259147495</v>
      </c>
      <c r="AK1480">
        <v>13.1736059181925</v>
      </c>
      <c r="AL1480">
        <v>86.474566715008194</v>
      </c>
      <c r="AM1480">
        <v>83.889012301565899</v>
      </c>
      <c r="AN1480">
        <v>0.99999999812012996</v>
      </c>
    </row>
    <row r="1481" spans="1:40" x14ac:dyDescent="0.25">
      <c r="A1481" t="str">
        <f>"20190312153917021"</f>
        <v>20190312153917021</v>
      </c>
      <c r="B1481" t="str">
        <f>"1552376357017139"</f>
        <v>1552376357017139</v>
      </c>
      <c r="C1481" t="s">
        <v>40</v>
      </c>
      <c r="D1481">
        <v>4.344411</v>
      </c>
      <c r="E1481">
        <v>0.56712169999999995</v>
      </c>
      <c r="F1481" t="s">
        <v>49</v>
      </c>
      <c r="G1481">
        <v>-206.39009999999999</v>
      </c>
      <c r="H1481" s="1">
        <v>-5.0014680000000003E-6</v>
      </c>
      <c r="I1481">
        <v>363.30680000000001</v>
      </c>
      <c r="J1481">
        <v>-218.6045</v>
      </c>
      <c r="K1481">
        <v>1.1089389999999999</v>
      </c>
      <c r="L1481">
        <v>367.93680000000001</v>
      </c>
      <c r="M1481">
        <v>0.99638539999999998</v>
      </c>
      <c r="N1481">
        <v>0</v>
      </c>
      <c r="O1481">
        <v>-8.3758029999999997E-2</v>
      </c>
      <c r="P1481">
        <v>0.98049719999999996</v>
      </c>
      <c r="Q1481">
        <v>4.7288959999999998E-2</v>
      </c>
      <c r="R1481">
        <v>-0.19075929999999999</v>
      </c>
      <c r="S1481">
        <v>2.8671570000000002</v>
      </c>
      <c r="T1481">
        <v>-0.25513380000000002</v>
      </c>
      <c r="U1481">
        <v>-1.0709839999999999</v>
      </c>
      <c r="V1481">
        <v>0.1082007</v>
      </c>
      <c r="W1481">
        <v>6.0924760000000001E-2</v>
      </c>
      <c r="X1481">
        <v>0.99226049999999999</v>
      </c>
      <c r="Y1481">
        <v>0.26957959999999997</v>
      </c>
      <c r="Z1481">
        <v>-4.4175809999999899E-3</v>
      </c>
      <c r="AA1481">
        <v>0.96296800000000005</v>
      </c>
      <c r="AB1481">
        <v>18</v>
      </c>
      <c r="AC1481">
        <v>12.214399999999999</v>
      </c>
      <c r="AD1481">
        <v>-1.1089440014680001</v>
      </c>
      <c r="AE1481">
        <v>-4.6299999999999901</v>
      </c>
      <c r="AF1481">
        <v>3.5648778441148301</v>
      </c>
      <c r="AG1481">
        <v>-1.1089440014680001</v>
      </c>
      <c r="AH1481">
        <v>12.469440078410299</v>
      </c>
      <c r="AI1481">
        <v>94.887313822715598</v>
      </c>
      <c r="AJ1481">
        <v>74.045340760518897</v>
      </c>
      <c r="AK1481">
        <v>13.016337684268899</v>
      </c>
      <c r="AL1481">
        <v>86.507105476672095</v>
      </c>
      <c r="AM1481">
        <v>83.776790166739403</v>
      </c>
      <c r="AN1481">
        <v>1.0000000588608899</v>
      </c>
    </row>
    <row r="1482" spans="1:40" x14ac:dyDescent="0.25">
      <c r="A1482" t="str">
        <f>"20190312153917035"</f>
        <v>20190312153917035</v>
      </c>
      <c r="B1482" t="str">
        <f>"1552376357027407"</f>
        <v>1552376357027407</v>
      </c>
      <c r="C1482" t="s">
        <v>40</v>
      </c>
      <c r="D1482">
        <v>4.3367570000000004</v>
      </c>
      <c r="E1482">
        <v>0.56715599999999999</v>
      </c>
      <c r="F1482" t="s">
        <v>49</v>
      </c>
      <c r="G1482">
        <v>-206.21899999999999</v>
      </c>
      <c r="H1482" s="1">
        <v>-4.9419689999999996E-6</v>
      </c>
      <c r="I1482">
        <v>363.21559999999999</v>
      </c>
      <c r="J1482">
        <v>-218.49090000000001</v>
      </c>
      <c r="K1482">
        <v>1.1089230000000001</v>
      </c>
      <c r="L1482">
        <v>367.92489999999998</v>
      </c>
      <c r="M1482">
        <v>0.99621159999999997</v>
      </c>
      <c r="N1482">
        <v>0</v>
      </c>
      <c r="O1482">
        <v>-8.5800799999999997E-2</v>
      </c>
      <c r="P1482">
        <v>0.97989389999999998</v>
      </c>
      <c r="Q1482">
        <v>4.6981799999999997E-2</v>
      </c>
      <c r="R1482">
        <v>-0.1939099</v>
      </c>
      <c r="S1482">
        <v>2.8599399999999999</v>
      </c>
      <c r="T1482">
        <v>-0.25606669999999998</v>
      </c>
      <c r="U1482">
        <v>-1.090179</v>
      </c>
      <c r="V1482">
        <v>0.10935599999999999</v>
      </c>
      <c r="W1482">
        <v>6.0606809999999997E-2</v>
      </c>
      <c r="X1482">
        <v>0.99215319999999996</v>
      </c>
      <c r="Y1482">
        <v>0.27404079999999997</v>
      </c>
      <c r="Z1482">
        <v>-4.4576059999999898E-3</v>
      </c>
      <c r="AA1482">
        <v>0.96170770000000005</v>
      </c>
      <c r="AB1482">
        <v>18</v>
      </c>
      <c r="AC1482">
        <v>12.271899999999899</v>
      </c>
      <c r="AD1482">
        <v>-1.1089279419689999</v>
      </c>
      <c r="AE1482">
        <v>-4.7092999999999803</v>
      </c>
      <c r="AF1482">
        <v>3.6131692506312398</v>
      </c>
      <c r="AG1482">
        <v>-1.1089279419689999</v>
      </c>
      <c r="AH1482">
        <v>12.5414756681289</v>
      </c>
      <c r="AI1482">
        <v>94.856475831922495</v>
      </c>
      <c r="AJ1482">
        <v>73.928434947429807</v>
      </c>
      <c r="AK1482">
        <v>13.098600121709801</v>
      </c>
      <c r="AL1482">
        <v>86.525356003620402</v>
      </c>
      <c r="AM1482">
        <v>83.710197551171902</v>
      </c>
      <c r="AN1482">
        <v>0.99999994621230603</v>
      </c>
    </row>
    <row r="1483" spans="1:40" x14ac:dyDescent="0.25">
      <c r="A1483" t="str">
        <f>"20190312153917049"</f>
        <v>20190312153917049</v>
      </c>
      <c r="B1483" t="str">
        <f>"1552376357037167"</f>
        <v>1552376357037167</v>
      </c>
      <c r="C1483" t="s">
        <v>40</v>
      </c>
      <c r="D1483">
        <v>4.3506390000000001</v>
      </c>
      <c r="E1483">
        <v>0.56721219999999895</v>
      </c>
      <c r="F1483" t="s">
        <v>49</v>
      </c>
      <c r="G1483">
        <v>-206.17</v>
      </c>
      <c r="H1483" s="1">
        <v>-4.9266600000000004E-6</v>
      </c>
      <c r="I1483">
        <v>363.1816</v>
      </c>
      <c r="J1483">
        <v>-218.3777</v>
      </c>
      <c r="K1483">
        <v>1.1089059999999999</v>
      </c>
      <c r="L1483">
        <v>367.91269999999997</v>
      </c>
      <c r="M1483">
        <v>0.99603090000000005</v>
      </c>
      <c r="N1483">
        <v>0</v>
      </c>
      <c r="O1483">
        <v>-8.7873649999999998E-2</v>
      </c>
      <c r="P1483">
        <v>0.97951169999999999</v>
      </c>
      <c r="Q1483">
        <v>4.6906719999999999E-2</v>
      </c>
      <c r="R1483">
        <v>-0.19584969999999999</v>
      </c>
      <c r="S1483">
        <v>2.856293</v>
      </c>
      <c r="T1483">
        <v>-0.25707600000000003</v>
      </c>
      <c r="U1483">
        <v>-1.0996090000000001</v>
      </c>
      <c r="V1483">
        <v>0.1092577</v>
      </c>
      <c r="W1483">
        <v>6.052685E-2</v>
      </c>
      <c r="X1483">
        <v>0.99216899999999997</v>
      </c>
      <c r="Y1483">
        <v>0.27521410000000002</v>
      </c>
      <c r="Z1483">
        <v>-4.3511770000000003E-3</v>
      </c>
      <c r="AA1483">
        <v>0.96137309999999998</v>
      </c>
      <c r="AB1483">
        <v>18</v>
      </c>
      <c r="AC1483">
        <v>12.207700000000001</v>
      </c>
      <c r="AD1483">
        <v>-1.1089109266599999</v>
      </c>
      <c r="AE1483">
        <v>-4.7310999999999597</v>
      </c>
      <c r="AF1483">
        <v>3.6140252848988199</v>
      </c>
      <c r="AG1483">
        <v>-1.1089109266599999</v>
      </c>
      <c r="AH1483">
        <v>12.486669482389599</v>
      </c>
      <c r="AI1483">
        <v>94.875890235823206</v>
      </c>
      <c r="AJ1483">
        <v>73.857934507970995</v>
      </c>
      <c r="AK1483">
        <v>13.0463702601756</v>
      </c>
      <c r="AL1483">
        <v>86.529946107586994</v>
      </c>
      <c r="AM1483">
        <v>83.715905467526397</v>
      </c>
      <c r="AN1483">
        <v>1.0000000345705999</v>
      </c>
    </row>
    <row r="1484" spans="1:40" x14ac:dyDescent="0.25">
      <c r="A1484" t="str">
        <f>"20190312153917068"</f>
        <v>20190312153917068</v>
      </c>
      <c r="B1484" t="str">
        <f>"1552376357057663"</f>
        <v>1552376357057663</v>
      </c>
      <c r="C1484" t="s">
        <v>40</v>
      </c>
      <c r="D1484">
        <v>4.3584209999999999</v>
      </c>
      <c r="E1484">
        <v>0.56730480000000005</v>
      </c>
      <c r="F1484" t="s">
        <v>49</v>
      </c>
      <c r="G1484">
        <v>-206.07509999999999</v>
      </c>
      <c r="H1484" s="1">
        <v>-4.8899910000000002E-6</v>
      </c>
      <c r="I1484">
        <v>363.14780000000002</v>
      </c>
      <c r="J1484">
        <v>-218.23140000000001</v>
      </c>
      <c r="K1484">
        <v>1.108884</v>
      </c>
      <c r="L1484">
        <v>367.8965</v>
      </c>
      <c r="M1484">
        <v>0.99578670000000002</v>
      </c>
      <c r="N1484">
        <v>0</v>
      </c>
      <c r="O1484">
        <v>-9.0598670000000006E-2</v>
      </c>
      <c r="P1484">
        <v>0.97900909999999997</v>
      </c>
      <c r="Q1484">
        <v>4.7529450000000001E-2</v>
      </c>
      <c r="R1484">
        <v>-0.19819790000000001</v>
      </c>
      <c r="S1484">
        <v>2.8540649999999999</v>
      </c>
      <c r="T1484">
        <v>-0.25725619999999999</v>
      </c>
      <c r="U1484">
        <v>-1.1054079999999999</v>
      </c>
      <c r="V1484">
        <v>0.10893129999999999</v>
      </c>
      <c r="W1484">
        <v>6.1143210000000003E-2</v>
      </c>
      <c r="X1484">
        <v>0.99216709999999997</v>
      </c>
      <c r="Y1484">
        <v>0.27454590000000001</v>
      </c>
      <c r="Z1484">
        <v>-4.0930250000000001E-3</v>
      </c>
      <c r="AA1484">
        <v>0.96156529999999996</v>
      </c>
      <c r="AB1484">
        <v>18</v>
      </c>
      <c r="AC1484">
        <v>12.1563</v>
      </c>
      <c r="AD1484">
        <v>-1.1088888899910001</v>
      </c>
      <c r="AE1484">
        <v>-4.7486999999999799</v>
      </c>
      <c r="AF1484">
        <v>3.6017099424765502</v>
      </c>
      <c r="AG1484">
        <v>-1.1088888899910001</v>
      </c>
      <c r="AH1484">
        <v>12.446709405097501</v>
      </c>
      <c r="AI1484">
        <v>94.891449974903693</v>
      </c>
      <c r="AJ1484">
        <v>73.861118764051795</v>
      </c>
      <c r="AK1484">
        <v>13.004711611374701</v>
      </c>
      <c r="AL1484">
        <v>86.494565760831193</v>
      </c>
      <c r="AM1484">
        <v>83.734517347228604</v>
      </c>
      <c r="AN1484">
        <v>1.0000000372855999</v>
      </c>
    </row>
    <row r="1485" spans="1:40" x14ac:dyDescent="0.25">
      <c r="A1485" t="str">
        <f>"20190312153917083"</f>
        <v>20190312153917083</v>
      </c>
      <c r="B1485" t="str">
        <f>"1552376357077183"</f>
        <v>1552376357077183</v>
      </c>
      <c r="C1485" t="s">
        <v>40</v>
      </c>
      <c r="D1485">
        <v>4.3681130000000001</v>
      </c>
      <c r="E1485">
        <v>0.56741889999999995</v>
      </c>
      <c r="F1485" t="s">
        <v>49</v>
      </c>
      <c r="G1485">
        <v>-205.82339999999999</v>
      </c>
      <c r="H1485" s="1">
        <v>-4.7939729999999996E-6</v>
      </c>
      <c r="I1485">
        <v>363.05200000000002</v>
      </c>
      <c r="J1485">
        <v>-218.11529999999999</v>
      </c>
      <c r="K1485">
        <v>1.10886</v>
      </c>
      <c r="L1485">
        <v>367.88339999999999</v>
      </c>
      <c r="M1485">
        <v>0.99558340000000001</v>
      </c>
      <c r="N1485">
        <v>0</v>
      </c>
      <c r="O1485">
        <v>-9.2806940000000004E-2</v>
      </c>
      <c r="P1485">
        <v>0.9786608</v>
      </c>
      <c r="Q1485">
        <v>4.7433240000000002E-2</v>
      </c>
      <c r="R1485">
        <v>-0.19993320000000001</v>
      </c>
      <c r="S1485">
        <v>2.851318</v>
      </c>
      <c r="T1485">
        <v>-0.2548203</v>
      </c>
      <c r="U1485">
        <v>-1.113251</v>
      </c>
      <c r="V1485">
        <v>0.1084927</v>
      </c>
      <c r="W1485">
        <v>6.104279E-2</v>
      </c>
      <c r="X1485">
        <v>0.99222129999999997</v>
      </c>
      <c r="Y1485">
        <v>0.27504050000000002</v>
      </c>
      <c r="Z1485">
        <v>-3.8898100000000001E-3</v>
      </c>
      <c r="AA1485">
        <v>0.96142479999999997</v>
      </c>
      <c r="AB1485">
        <v>18</v>
      </c>
      <c r="AC1485">
        <v>12.291899999999901</v>
      </c>
      <c r="AD1485">
        <v>-1.1088647939730001</v>
      </c>
      <c r="AE1485">
        <v>-4.8314000000000297</v>
      </c>
      <c r="AF1485">
        <v>3.6439696657313498</v>
      </c>
      <c r="AG1485">
        <v>-1.1088647939730001</v>
      </c>
      <c r="AH1485">
        <v>12.5984647522217</v>
      </c>
      <c r="AI1485">
        <v>94.832874598090001</v>
      </c>
      <c r="AJ1485">
        <v>73.868059051732502</v>
      </c>
      <c r="AK1485">
        <v>13.1616644148472</v>
      </c>
      <c r="AL1485">
        <v>86.500330033197898</v>
      </c>
      <c r="AM1485">
        <v>83.7598833896229</v>
      </c>
      <c r="AN1485">
        <v>0.999999998168982</v>
      </c>
    </row>
    <row r="1486" spans="1:40" x14ac:dyDescent="0.25">
      <c r="A1486" t="str">
        <f>"20190312153917101"</f>
        <v>20190312153917101</v>
      </c>
      <c r="B1486" t="str">
        <f>"1552376357097679"</f>
        <v>1552376357097679</v>
      </c>
      <c r="C1486" t="s">
        <v>40</v>
      </c>
      <c r="D1486">
        <v>4.2899459999999996</v>
      </c>
      <c r="E1486">
        <v>0.56755080000000002</v>
      </c>
      <c r="F1486" t="s">
        <v>49</v>
      </c>
      <c r="G1486">
        <v>-205.69229999999999</v>
      </c>
      <c r="H1486" s="1">
        <v>-4.743824E-6</v>
      </c>
      <c r="I1486">
        <v>363.0027</v>
      </c>
      <c r="J1486">
        <v>-217.97</v>
      </c>
      <c r="K1486">
        <v>1.1088279999999999</v>
      </c>
      <c r="L1486">
        <v>367.86649999999997</v>
      </c>
      <c r="M1486">
        <v>0.99531559999999997</v>
      </c>
      <c r="N1486">
        <v>0</v>
      </c>
      <c r="O1486">
        <v>-9.5635380000000006E-2</v>
      </c>
      <c r="P1486">
        <v>0.97821860000000005</v>
      </c>
      <c r="Q1486">
        <v>4.7779380000000003E-2</v>
      </c>
      <c r="R1486">
        <v>-0.20200399999999999</v>
      </c>
      <c r="S1486">
        <v>2.8490600000000001</v>
      </c>
      <c r="T1486">
        <v>-0.2543049</v>
      </c>
      <c r="U1486">
        <v>-1.119324</v>
      </c>
      <c r="V1486">
        <v>0.10778210000000001</v>
      </c>
      <c r="W1486">
        <v>6.1382609999999997E-2</v>
      </c>
      <c r="X1486">
        <v>0.99227779999999999</v>
      </c>
      <c r="Y1486">
        <v>0.2743583</v>
      </c>
      <c r="Z1486">
        <v>-3.614225E-3</v>
      </c>
      <c r="AA1486">
        <v>0.96162069999999999</v>
      </c>
      <c r="AB1486">
        <v>18</v>
      </c>
      <c r="AC1486">
        <v>12.277699999999999</v>
      </c>
      <c r="AD1486">
        <v>-1.108832743824</v>
      </c>
      <c r="AE1486">
        <v>-4.8637999999999604</v>
      </c>
      <c r="AF1486">
        <v>3.6415287924435802</v>
      </c>
      <c r="AG1486">
        <v>-1.108832743824</v>
      </c>
      <c r="AH1486">
        <v>12.597796534664701</v>
      </c>
      <c r="AI1486">
        <v>94.833219700208303</v>
      </c>
      <c r="AJ1486">
        <v>73.877492591961797</v>
      </c>
      <c r="AK1486">
        <v>13.160346482094701</v>
      </c>
      <c r="AL1486">
        <v>86.4808232748411</v>
      </c>
      <c r="AM1486">
        <v>83.800785543505299</v>
      </c>
      <c r="AN1486">
        <v>1.0000000191318299</v>
      </c>
    </row>
    <row r="1487" spans="1:40" x14ac:dyDescent="0.25">
      <c r="A1487" t="str">
        <f>"20190312153917114"</f>
        <v>20190312153917114</v>
      </c>
      <c r="B1487" t="str">
        <f>"1552376357107439"</f>
        <v>1552376357107439</v>
      </c>
      <c r="C1487" t="s">
        <v>40</v>
      </c>
      <c r="D1487">
        <v>4.2793970000000003</v>
      </c>
      <c r="E1487">
        <v>0.56761280000000003</v>
      </c>
      <c r="F1487" t="s">
        <v>49</v>
      </c>
      <c r="G1487">
        <v>-205.43440000000001</v>
      </c>
      <c r="H1487" s="1">
        <v>-4.6456890000000002E-6</v>
      </c>
      <c r="I1487">
        <v>362.90350000000001</v>
      </c>
      <c r="J1487">
        <v>-217.86009999999999</v>
      </c>
      <c r="K1487">
        <v>1.108795</v>
      </c>
      <c r="L1487">
        <v>367.8535</v>
      </c>
      <c r="M1487">
        <v>0.9951023</v>
      </c>
      <c r="N1487">
        <v>0</v>
      </c>
      <c r="O1487">
        <v>-9.782834E-2</v>
      </c>
      <c r="P1487">
        <v>0.97787950000000001</v>
      </c>
      <c r="Q1487">
        <v>4.772552E-2</v>
      </c>
      <c r="R1487">
        <v>-0.20365179999999999</v>
      </c>
      <c r="S1487">
        <v>2.84639</v>
      </c>
      <c r="T1487">
        <v>-0.25177620000000001</v>
      </c>
      <c r="U1487">
        <v>-1.1269229999999999</v>
      </c>
      <c r="V1487">
        <v>0.10727150000000001</v>
      </c>
      <c r="W1487">
        <v>6.1323130000000003E-2</v>
      </c>
      <c r="X1487">
        <v>0.99233680000000002</v>
      </c>
      <c r="Y1487">
        <v>0.27478580000000002</v>
      </c>
      <c r="Z1487">
        <v>-3.4140379999999999E-3</v>
      </c>
      <c r="AA1487">
        <v>0.9614994</v>
      </c>
      <c r="AB1487">
        <v>18</v>
      </c>
      <c r="AC1487">
        <v>12.4256999999999</v>
      </c>
      <c r="AD1487">
        <v>-1.1087996456889999</v>
      </c>
      <c r="AE1487">
        <v>-4.9499999999999797</v>
      </c>
      <c r="AF1487">
        <v>3.6852182769058399</v>
      </c>
      <c r="AG1487">
        <v>-1.1087996456889999</v>
      </c>
      <c r="AH1487">
        <v>12.7626772228055</v>
      </c>
      <c r="AI1487">
        <v>94.7713218379088</v>
      </c>
      <c r="AJ1487">
        <v>73.893946585558894</v>
      </c>
      <c r="AK1487">
        <v>13.330273826753899</v>
      </c>
      <c r="AL1487">
        <v>86.484237637716404</v>
      </c>
      <c r="AM1487">
        <v>83.830290267249197</v>
      </c>
      <c r="AN1487">
        <v>1.0000000128097399</v>
      </c>
    </row>
    <row r="1488" spans="1:40" x14ac:dyDescent="0.25">
      <c r="A1488" t="str">
        <f>"20190312153917126"</f>
        <v>20190312153917126</v>
      </c>
      <c r="B1488" t="str">
        <f>"1552376357117202"</f>
        <v>1552376357117202</v>
      </c>
      <c r="C1488" t="s">
        <v>40</v>
      </c>
      <c r="D1488">
        <v>4.2962170000000004</v>
      </c>
      <c r="E1488">
        <v>0.56768229999999997</v>
      </c>
      <c r="F1488" t="s">
        <v>49</v>
      </c>
      <c r="G1488">
        <v>-205.3116</v>
      </c>
      <c r="H1488" s="1">
        <v>-4.598917E-6</v>
      </c>
      <c r="I1488">
        <v>362.85640000000001</v>
      </c>
      <c r="J1488">
        <v>-217.77209999999999</v>
      </c>
      <c r="K1488">
        <v>1.1087670000000001</v>
      </c>
      <c r="L1488">
        <v>367.84269999999998</v>
      </c>
      <c r="M1488">
        <v>0.99492440000000004</v>
      </c>
      <c r="N1488">
        <v>0</v>
      </c>
      <c r="O1488">
        <v>-9.9623400000000001E-2</v>
      </c>
      <c r="P1488">
        <v>0.97755720000000002</v>
      </c>
      <c r="Q1488">
        <v>4.7846850000000003E-2</v>
      </c>
      <c r="R1488">
        <v>-0.2051655</v>
      </c>
      <c r="S1488">
        <v>2.8442379999999998</v>
      </c>
      <c r="T1488">
        <v>-0.25132080000000001</v>
      </c>
      <c r="U1488">
        <v>-1.1326290000000001</v>
      </c>
      <c r="V1488">
        <v>0.1070231</v>
      </c>
      <c r="W1488">
        <v>6.1439250000000001E-2</v>
      </c>
      <c r="X1488">
        <v>0.99235640000000003</v>
      </c>
      <c r="Y1488">
        <v>0.27497389999999999</v>
      </c>
      <c r="Z1488">
        <v>-3.2667180000000001E-3</v>
      </c>
      <c r="AA1488">
        <v>0.96144609999999997</v>
      </c>
      <c r="AB1488">
        <v>18</v>
      </c>
      <c r="AC1488">
        <v>12.4604999999999</v>
      </c>
      <c r="AD1488">
        <v>-1.1087715989169999</v>
      </c>
      <c r="AE1488">
        <v>-4.9862999999999698</v>
      </c>
      <c r="AF1488">
        <v>3.6947902596638098</v>
      </c>
      <c r="AG1488">
        <v>-1.1087715989169999</v>
      </c>
      <c r="AH1488">
        <v>12.8078869608003</v>
      </c>
      <c r="AI1488">
        <v>94.754780317750203</v>
      </c>
      <c r="AJ1488">
        <v>73.908326786783803</v>
      </c>
      <c r="AK1488">
        <v>13.3762034195847</v>
      </c>
      <c r="AL1488">
        <v>86.477571749555196</v>
      </c>
      <c r="AM1488">
        <v>83.8445878082468</v>
      </c>
      <c r="AN1488">
        <v>0.99999997499756599</v>
      </c>
    </row>
    <row r="1489" spans="1:40" x14ac:dyDescent="0.25">
      <c r="A1489" t="str">
        <f>"20190312153917139"</f>
        <v>20190312153917139</v>
      </c>
      <c r="B1489" t="str">
        <f>"1552376357127469"</f>
        <v>1552376357127469</v>
      </c>
      <c r="C1489" t="s">
        <v>40</v>
      </c>
      <c r="D1489">
        <v>4.2750810000000001</v>
      </c>
      <c r="E1489">
        <v>0.56773799999999996</v>
      </c>
      <c r="F1489" t="s">
        <v>49</v>
      </c>
      <c r="G1489">
        <v>-205.1651</v>
      </c>
      <c r="H1489" s="1">
        <v>-4.544191E-6</v>
      </c>
      <c r="I1489">
        <v>362.7955</v>
      </c>
      <c r="J1489">
        <v>-217.66820000000001</v>
      </c>
      <c r="K1489">
        <v>1.108735</v>
      </c>
      <c r="L1489">
        <v>367.82979999999998</v>
      </c>
      <c r="M1489">
        <v>0.99470720000000001</v>
      </c>
      <c r="N1489">
        <v>0</v>
      </c>
      <c r="O1489">
        <v>-0.1017663</v>
      </c>
      <c r="P1489">
        <v>0.97712429999999995</v>
      </c>
      <c r="Q1489">
        <v>4.8546579999999999E-2</v>
      </c>
      <c r="R1489">
        <v>-0.2070544</v>
      </c>
      <c r="S1489">
        <v>2.8422999999999998</v>
      </c>
      <c r="T1489">
        <v>-0.2499779</v>
      </c>
      <c r="U1489">
        <v>-1.1379090000000001</v>
      </c>
      <c r="V1489">
        <v>0.10681499999999999</v>
      </c>
      <c r="W1489">
        <v>6.213171E-2</v>
      </c>
      <c r="X1489">
        <v>0.99233570000000004</v>
      </c>
      <c r="Y1489">
        <v>0.2746828</v>
      </c>
      <c r="Z1489">
        <v>-3.0594400000000001E-3</v>
      </c>
      <c r="AA1489">
        <v>0.96153</v>
      </c>
      <c r="AB1489">
        <v>18</v>
      </c>
      <c r="AC1489">
        <v>12.5031</v>
      </c>
      <c r="AD1489">
        <v>-1.108739544191</v>
      </c>
      <c r="AE1489">
        <v>-5.0342999999999698</v>
      </c>
      <c r="AF1489">
        <v>3.7105283298762499</v>
      </c>
      <c r="AG1489">
        <v>-1.108739544191</v>
      </c>
      <c r="AH1489">
        <v>12.863506143038499</v>
      </c>
      <c r="AI1489">
        <v>94.7342089547125</v>
      </c>
      <c r="AJ1489">
        <v>73.909588443765102</v>
      </c>
      <c r="AK1489">
        <v>13.4338049023966</v>
      </c>
      <c r="AL1489">
        <v>86.437820739564998</v>
      </c>
      <c r="AM1489">
        <v>83.856337848894199</v>
      </c>
      <c r="AN1489">
        <v>0.99999996755350595</v>
      </c>
    </row>
    <row r="1490" spans="1:40" x14ac:dyDescent="0.25">
      <c r="A1490" t="str">
        <f>"20190312153917151"</f>
        <v>20190312153917151</v>
      </c>
      <c r="B1490" t="str">
        <f>"1552376357146989"</f>
        <v>1552376357146989</v>
      </c>
      <c r="C1490" t="s">
        <v>40</v>
      </c>
      <c r="D1490">
        <v>4.2445750000000002</v>
      </c>
      <c r="E1490">
        <v>0.56787719999999997</v>
      </c>
      <c r="F1490" t="s">
        <v>49</v>
      </c>
      <c r="G1490">
        <v>-204.9092</v>
      </c>
      <c r="H1490" s="1">
        <v>-4.4452649999999997E-6</v>
      </c>
      <c r="I1490">
        <v>362.68880000000001</v>
      </c>
      <c r="J1490">
        <v>-217.56489999999999</v>
      </c>
      <c r="K1490">
        <v>1.1086990000000001</v>
      </c>
      <c r="L1490">
        <v>367.81670000000003</v>
      </c>
      <c r="M1490">
        <v>0.99448040000000004</v>
      </c>
      <c r="N1490">
        <v>0</v>
      </c>
      <c r="O1490">
        <v>-0.103960999999999</v>
      </c>
      <c r="P1490">
        <v>0.97672170000000003</v>
      </c>
      <c r="Q1490">
        <v>4.9197810000000002E-2</v>
      </c>
      <c r="R1490">
        <v>-0.2087919</v>
      </c>
      <c r="S1490">
        <v>2.8400270000000001</v>
      </c>
      <c r="T1490">
        <v>-0.24679619999999999</v>
      </c>
      <c r="U1490">
        <v>-1.1443479999999999</v>
      </c>
      <c r="V1490">
        <v>0.1064026</v>
      </c>
      <c r="W1490">
        <v>6.2776090000000007E-2</v>
      </c>
      <c r="X1490">
        <v>0.99233950000000004</v>
      </c>
      <c r="Y1490">
        <v>0.2747252</v>
      </c>
      <c r="Z1490">
        <v>-2.8429420000000002E-3</v>
      </c>
      <c r="AA1490">
        <v>0.9615186</v>
      </c>
      <c r="AB1490">
        <v>18</v>
      </c>
      <c r="AC1490">
        <v>12.6556999999999</v>
      </c>
      <c r="AD1490">
        <v>-1.108703445265</v>
      </c>
      <c r="AE1490">
        <v>-5.1279000000000101</v>
      </c>
      <c r="AF1490">
        <v>3.7594929687013199</v>
      </c>
      <c r="AG1490">
        <v>-1.108703445265</v>
      </c>
      <c r="AH1490">
        <v>13.0343379322407</v>
      </c>
      <c r="AI1490">
        <v>94.672315823818707</v>
      </c>
      <c r="AJ1490">
        <v>73.910856423702697</v>
      </c>
      <c r="AK1490">
        <v>13.610913857750599</v>
      </c>
      <c r="AL1490">
        <v>86.400828446690795</v>
      </c>
      <c r="AM1490">
        <v>83.879900696629406</v>
      </c>
      <c r="AN1490">
        <v>1.0000000170113399</v>
      </c>
    </row>
    <row r="1491" spans="1:40" x14ac:dyDescent="0.25">
      <c r="A1491" t="str">
        <f>"20190312153917168"</f>
        <v>20190312153917168</v>
      </c>
      <c r="B1491" t="str">
        <f>"1552376357157725"</f>
        <v>1552376357157725</v>
      </c>
      <c r="C1491" t="s">
        <v>40</v>
      </c>
      <c r="D1491">
        <v>4.2406459999999999</v>
      </c>
      <c r="E1491">
        <v>0.56793979999999999</v>
      </c>
      <c r="F1491" t="s">
        <v>49</v>
      </c>
      <c r="G1491">
        <v>-204.64500000000001</v>
      </c>
      <c r="H1491" s="1">
        <v>-4.337201E-6</v>
      </c>
      <c r="I1491">
        <v>362.57639999999998</v>
      </c>
      <c r="J1491">
        <v>-217.43799999999999</v>
      </c>
      <c r="K1491">
        <v>1.108649</v>
      </c>
      <c r="L1491">
        <v>367.80020000000002</v>
      </c>
      <c r="M1491">
        <v>0.99418790000000001</v>
      </c>
      <c r="N1491">
        <v>0</v>
      </c>
      <c r="O1491">
        <v>-0.1067222</v>
      </c>
      <c r="P1491">
        <v>0.97623260000000001</v>
      </c>
      <c r="Q1491">
        <v>5.0329659999999998E-2</v>
      </c>
      <c r="R1491">
        <v>-0.21080189999999999</v>
      </c>
      <c r="S1491">
        <v>2.837723</v>
      </c>
      <c r="T1491">
        <v>-0.2435137</v>
      </c>
      <c r="U1491">
        <v>-1.15097</v>
      </c>
      <c r="V1491">
        <v>0.105708</v>
      </c>
      <c r="W1491">
        <v>6.3900600000000002E-2</v>
      </c>
      <c r="X1491">
        <v>0.9923419</v>
      </c>
      <c r="Y1491">
        <v>0.27427889999999999</v>
      </c>
      <c r="Z1491">
        <v>-2.5637289999999998E-3</v>
      </c>
      <c r="AA1491">
        <v>0.96164680000000002</v>
      </c>
      <c r="AB1491">
        <v>18</v>
      </c>
      <c r="AC1491">
        <v>12.7929999999999</v>
      </c>
      <c r="AD1491">
        <v>-1.1086533372009999</v>
      </c>
      <c r="AE1491">
        <v>-5.2238000000000397</v>
      </c>
      <c r="AF1491">
        <v>3.80403994881507</v>
      </c>
      <c r="AG1491">
        <v>-1.1086533372009999</v>
      </c>
      <c r="AH1491">
        <v>13.192555623093799</v>
      </c>
      <c r="AI1491">
        <v>94.6164177885275</v>
      </c>
      <c r="AJ1491">
        <v>73.915217773359203</v>
      </c>
      <c r="AK1491">
        <v>13.7747361507469</v>
      </c>
      <c r="AL1491">
        <v>86.336268920053996</v>
      </c>
      <c r="AM1491">
        <v>83.919567255577206</v>
      </c>
      <c r="AN1491">
        <v>0.99999995721998403</v>
      </c>
    </row>
    <row r="1492" spans="1:40" x14ac:dyDescent="0.25">
      <c r="A1492" t="str">
        <f>"20190312153917183"</f>
        <v>20190312153917183</v>
      </c>
      <c r="B1492" t="str">
        <f>"1552376357177244"</f>
        <v>1552376357177244</v>
      </c>
      <c r="C1492" t="s">
        <v>40</v>
      </c>
      <c r="D1492">
        <v>4.2473460000000003</v>
      </c>
      <c r="E1492">
        <v>0.56805190000000005</v>
      </c>
      <c r="F1492" t="s">
        <v>49</v>
      </c>
      <c r="G1492">
        <v>-204.25370000000001</v>
      </c>
      <c r="H1492" s="1">
        <v>-4.1760530000000003E-6</v>
      </c>
      <c r="I1492">
        <v>362.4151</v>
      </c>
      <c r="J1492">
        <v>-217.32599999999999</v>
      </c>
      <c r="K1492">
        <v>1.1086049999999901</v>
      </c>
      <c r="L1492">
        <v>367.78519999999997</v>
      </c>
      <c r="M1492">
        <v>0.99391680000000004</v>
      </c>
      <c r="N1492">
        <v>0</v>
      </c>
      <c r="O1492">
        <v>-0.10921740000000001</v>
      </c>
      <c r="P1492">
        <v>0.9758502</v>
      </c>
      <c r="Q1492">
        <v>5.05935E-2</v>
      </c>
      <c r="R1492">
        <v>-0.21250179999999999</v>
      </c>
      <c r="S1492">
        <v>2.8352659999999998</v>
      </c>
      <c r="T1492">
        <v>-0.2384126</v>
      </c>
      <c r="U1492">
        <v>-1.1580509999999999</v>
      </c>
      <c r="V1492">
        <v>0.1049547</v>
      </c>
      <c r="W1492">
        <v>6.4159939999999999E-2</v>
      </c>
      <c r="X1492">
        <v>0.99240519999999999</v>
      </c>
      <c r="Y1492">
        <v>0.2742445</v>
      </c>
      <c r="Z1492">
        <v>-2.3115280000000002E-3</v>
      </c>
      <c r="AA1492">
        <v>0.96165719999999999</v>
      </c>
      <c r="AB1492">
        <v>18</v>
      </c>
      <c r="AC1492">
        <v>13.072299999999901</v>
      </c>
      <c r="AD1492">
        <v>-1.1086091760529999</v>
      </c>
      <c r="AE1492">
        <v>-5.3700999999999697</v>
      </c>
      <c r="AF1492">
        <v>3.8861888559682898</v>
      </c>
      <c r="AG1492">
        <v>-1.1086091760529999</v>
      </c>
      <c r="AH1492">
        <v>13.4975928482702</v>
      </c>
      <c r="AI1492">
        <v>94.512860888654501</v>
      </c>
      <c r="AJ1492">
        <v>73.937981408005299</v>
      </c>
      <c r="AK1492">
        <v>14.0895880290077</v>
      </c>
      <c r="AL1492">
        <v>86.321379560448094</v>
      </c>
      <c r="AM1492">
        <v>83.9629589255957</v>
      </c>
      <c r="AN1492">
        <v>1.00000003396996</v>
      </c>
    </row>
    <row r="1493" spans="1:40" x14ac:dyDescent="0.25">
      <c r="A1493" t="str">
        <f>"20190312153917195"</f>
        <v>20190312153917195</v>
      </c>
      <c r="B1493" t="str">
        <f>"1552376357187004"</f>
        <v>1552376357187004</v>
      </c>
      <c r="C1493" t="s">
        <v>40</v>
      </c>
      <c r="D1493">
        <v>4.2532889999999997</v>
      </c>
      <c r="E1493">
        <v>0.56810799999999995</v>
      </c>
      <c r="F1493" t="s">
        <v>49</v>
      </c>
      <c r="G1493">
        <v>-204.01990000000001</v>
      </c>
      <c r="H1493" s="1">
        <v>-4.0805829999999997E-6</v>
      </c>
      <c r="I1493">
        <v>362.3152</v>
      </c>
      <c r="J1493">
        <v>-217.2242</v>
      </c>
      <c r="K1493">
        <v>1.1085659999999999</v>
      </c>
      <c r="L1493">
        <v>367.77140000000003</v>
      </c>
      <c r="M1493">
        <v>0.99365939999999997</v>
      </c>
      <c r="N1493">
        <v>0</v>
      </c>
      <c r="O1493">
        <v>-0.1115353</v>
      </c>
      <c r="P1493">
        <v>0.97557669999999996</v>
      </c>
      <c r="Q1493">
        <v>5.0535570000000002E-2</v>
      </c>
      <c r="R1493">
        <v>-0.21376829999999999</v>
      </c>
      <c r="S1493">
        <v>2.8328700000000002</v>
      </c>
      <c r="T1493">
        <v>-0.2360235</v>
      </c>
      <c r="U1493">
        <v>-1.1645810000000001</v>
      </c>
      <c r="V1493">
        <v>0.1039332</v>
      </c>
      <c r="W1493">
        <v>6.4100470000000007E-2</v>
      </c>
      <c r="X1493">
        <v>0.99251650000000002</v>
      </c>
      <c r="Y1493">
        <v>0.27420119999999998</v>
      </c>
      <c r="Z1493">
        <v>-2.105333E-3</v>
      </c>
      <c r="AA1493">
        <v>0.96167000000000002</v>
      </c>
      <c r="AB1493">
        <v>18</v>
      </c>
      <c r="AC1493">
        <v>13.2042999999999</v>
      </c>
      <c r="AD1493">
        <v>-1.1085700805830001</v>
      </c>
      <c r="AE1493">
        <v>-5.4562000000000204</v>
      </c>
      <c r="AF1493">
        <v>3.9256213019811299</v>
      </c>
      <c r="AG1493">
        <v>-1.1085700805830001</v>
      </c>
      <c r="AH1493">
        <v>13.648344900658399</v>
      </c>
      <c r="AI1493">
        <v>94.463403866913595</v>
      </c>
      <c r="AJ1493">
        <v>73.953379304235298</v>
      </c>
      <c r="AK1493">
        <v>14.244885003307701</v>
      </c>
      <c r="AL1493">
        <v>86.324793812626694</v>
      </c>
      <c r="AM1493">
        <v>84.021953993860194</v>
      </c>
      <c r="AN1493">
        <v>0.99999999154435504</v>
      </c>
    </row>
    <row r="1494" spans="1:40" x14ac:dyDescent="0.25">
      <c r="A1494" t="str">
        <f>"20190312153917209"</f>
        <v>20190312153917209</v>
      </c>
      <c r="B1494" t="str">
        <f>"1552376357197740"</f>
        <v>1552376357197740</v>
      </c>
      <c r="C1494" t="s">
        <v>40</v>
      </c>
      <c r="D1494">
        <v>4.241638</v>
      </c>
      <c r="E1494">
        <v>0.56816429999999996</v>
      </c>
      <c r="F1494" t="s">
        <v>49</v>
      </c>
      <c r="G1494">
        <v>-203.85759999999999</v>
      </c>
      <c r="H1494" s="1">
        <v>-4.0134170000000002E-6</v>
      </c>
      <c r="I1494">
        <v>362.24979999999999</v>
      </c>
      <c r="J1494">
        <v>-217.11750000000001</v>
      </c>
      <c r="K1494">
        <v>1.1085229999999999</v>
      </c>
      <c r="L1494">
        <v>367.75650000000002</v>
      </c>
      <c r="M1494">
        <v>0.99337629999999999</v>
      </c>
      <c r="N1494">
        <v>0</v>
      </c>
      <c r="O1494">
        <v>-0.1140288</v>
      </c>
      <c r="P1494">
        <v>0.97525110000000004</v>
      </c>
      <c r="Q1494">
        <v>5.0700490000000001E-2</v>
      </c>
      <c r="R1494">
        <v>-0.21520919999999999</v>
      </c>
      <c r="S1494">
        <v>2.8310089999999999</v>
      </c>
      <c r="T1494">
        <v>-0.23479369999999999</v>
      </c>
      <c r="U1494">
        <v>-1.1694639999999901</v>
      </c>
      <c r="V1494">
        <v>0.1029162</v>
      </c>
      <c r="W1494">
        <v>6.4264160000000001E-2</v>
      </c>
      <c r="X1494">
        <v>0.99261189999999999</v>
      </c>
      <c r="Y1494">
        <v>0.27344230000000003</v>
      </c>
      <c r="Z1494">
        <v>-1.8697970000000001E-3</v>
      </c>
      <c r="AA1494">
        <v>0.96188660000000004</v>
      </c>
      <c r="AB1494">
        <v>18</v>
      </c>
      <c r="AC1494">
        <v>13.2599</v>
      </c>
      <c r="AD1494">
        <v>-1.108527013417</v>
      </c>
      <c r="AE1494">
        <v>-5.5067000000000199</v>
      </c>
      <c r="AF1494">
        <v>3.9351554902961898</v>
      </c>
      <c r="AG1494">
        <v>-1.108527013417</v>
      </c>
      <c r="AH1494">
        <v>13.7195984405797</v>
      </c>
      <c r="AI1494">
        <v>94.441081559774503</v>
      </c>
      <c r="AJ1494">
        <v>73.995662900715701</v>
      </c>
      <c r="AK1494">
        <v>14.315783675476601</v>
      </c>
      <c r="AL1494">
        <v>86.3153957398182</v>
      </c>
      <c r="AM1494">
        <v>84.080597424940294</v>
      </c>
      <c r="AN1494">
        <v>1.00000000525227</v>
      </c>
    </row>
    <row r="1495" spans="1:40" x14ac:dyDescent="0.25">
      <c r="A1495" t="str">
        <f>"20190312153917225"</f>
        <v>20190312153917225</v>
      </c>
      <c r="B1495" t="str">
        <f>"1552376357217260"</f>
        <v>1552376357217260</v>
      </c>
      <c r="C1495" t="s">
        <v>40</v>
      </c>
      <c r="D1495">
        <v>4.2145999999999999</v>
      </c>
      <c r="E1495">
        <v>0.56828269999999903</v>
      </c>
      <c r="F1495" t="s">
        <v>49</v>
      </c>
      <c r="G1495">
        <v>-203.6747</v>
      </c>
      <c r="H1495" s="1">
        <v>-3.9379799999999997E-6</v>
      </c>
      <c r="I1495">
        <v>362.17489999999998</v>
      </c>
      <c r="J1495">
        <v>-216.99610000000001</v>
      </c>
      <c r="K1495">
        <v>1.108482</v>
      </c>
      <c r="L1495">
        <v>367.73910000000001</v>
      </c>
      <c r="M1495">
        <v>0.99304020000000004</v>
      </c>
      <c r="N1495">
        <v>0</v>
      </c>
      <c r="O1495">
        <v>-0.116919</v>
      </c>
      <c r="P1495">
        <v>0.97541710000000004</v>
      </c>
      <c r="Q1495">
        <v>5.0369070000000002E-2</v>
      </c>
      <c r="R1495">
        <v>-0.214534</v>
      </c>
      <c r="S1495">
        <v>2.829056</v>
      </c>
      <c r="T1495">
        <v>-0.2332911</v>
      </c>
      <c r="U1495">
        <v>-1.174652</v>
      </c>
      <c r="V1495">
        <v>9.9340159999999997E-2</v>
      </c>
      <c r="W1495">
        <v>6.3949140000000002E-2</v>
      </c>
      <c r="X1495">
        <v>0.99299649999999995</v>
      </c>
      <c r="Y1495">
        <v>0.27240019999999998</v>
      </c>
      <c r="Z1495">
        <v>-1.5926619999999999E-3</v>
      </c>
      <c r="AA1495">
        <v>0.96218269999999995</v>
      </c>
      <c r="AB1495">
        <v>18</v>
      </c>
      <c r="AC1495">
        <v>13.321400000000001</v>
      </c>
      <c r="AD1495">
        <v>-1.1084859379799901</v>
      </c>
      <c r="AE1495">
        <v>-5.56420000000002</v>
      </c>
      <c r="AF1495">
        <v>3.9450902730843098</v>
      </c>
      <c r="AG1495">
        <v>-1.1084859379799901</v>
      </c>
      <c r="AH1495">
        <v>13.7992884871885</v>
      </c>
      <c r="AI1495">
        <v>94.416463453756904</v>
      </c>
      <c r="AJ1495">
        <v>74.045251808859007</v>
      </c>
      <c r="AK1495">
        <v>14.394889408749799</v>
      </c>
      <c r="AL1495">
        <v>86.333482256338201</v>
      </c>
      <c r="AM1495">
        <v>84.2870925924788</v>
      </c>
      <c r="AN1495">
        <v>1.0000000044538999</v>
      </c>
    </row>
    <row r="1496" spans="1:40" x14ac:dyDescent="0.25">
      <c r="A1496" t="str">
        <f>"20190312153917247"</f>
        <v>20190312153917247</v>
      </c>
      <c r="B1496" t="str">
        <f>"1552376357237286"</f>
        <v>1552376357237286</v>
      </c>
      <c r="C1496" t="s">
        <v>40</v>
      </c>
      <c r="D1496">
        <v>4.3097409999999998</v>
      </c>
      <c r="E1496">
        <v>0.56836900000000001</v>
      </c>
      <c r="F1496" t="s">
        <v>49</v>
      </c>
      <c r="G1496">
        <v>-203.5249</v>
      </c>
      <c r="H1496" s="1">
        <v>-3.8684239999999999E-6</v>
      </c>
      <c r="I1496">
        <v>362.14859999999999</v>
      </c>
      <c r="J1496">
        <v>-216.82820000000001</v>
      </c>
      <c r="K1496">
        <v>1.108433</v>
      </c>
      <c r="L1496">
        <v>367.71449999999999</v>
      </c>
      <c r="M1496">
        <v>0.99254909999999996</v>
      </c>
      <c r="N1496">
        <v>0</v>
      </c>
      <c r="O1496">
        <v>-0.1210157</v>
      </c>
      <c r="P1496">
        <v>0.97494970000000003</v>
      </c>
      <c r="Q1496">
        <v>5.0577730000000001E-2</v>
      </c>
      <c r="R1496">
        <v>-0.21659890000000001</v>
      </c>
      <c r="S1496">
        <v>2.829361</v>
      </c>
      <c r="T1496">
        <v>-0.2328163</v>
      </c>
      <c r="U1496">
        <v>-1.174194</v>
      </c>
      <c r="V1496">
        <v>9.7354350000000006E-2</v>
      </c>
      <c r="W1496">
        <v>6.4162789999999997E-2</v>
      </c>
      <c r="X1496">
        <v>0.99317940000000005</v>
      </c>
      <c r="Y1496">
        <v>0.26828370000000001</v>
      </c>
      <c r="Z1496">
        <v>-1.1091390000000001E-3</v>
      </c>
      <c r="AA1496">
        <v>0.96333930000000001</v>
      </c>
      <c r="AB1496">
        <v>17</v>
      </c>
      <c r="AC1496">
        <v>13.3033</v>
      </c>
      <c r="AD1496">
        <v>-1.108436868424</v>
      </c>
      <c r="AE1496">
        <v>-5.5658999999999903</v>
      </c>
      <c r="AF1496">
        <v>3.8919214050706401</v>
      </c>
      <c r="AG1496">
        <v>-1.108436868424</v>
      </c>
      <c r="AH1496">
        <v>13.797620203428</v>
      </c>
      <c r="AI1496">
        <v>94.421217778902701</v>
      </c>
      <c r="AJ1496">
        <v>74.247730308474502</v>
      </c>
      <c r="AK1496">
        <v>14.3788041155227</v>
      </c>
      <c r="AL1496">
        <v>86.321215904042006</v>
      </c>
      <c r="AM1496">
        <v>84.401585157219102</v>
      </c>
      <c r="AN1496">
        <v>1.00000002683443</v>
      </c>
    </row>
    <row r="1497" spans="1:40" x14ac:dyDescent="0.25">
      <c r="A1497" t="str">
        <f>"20190312153917262"</f>
        <v>20190312153917262</v>
      </c>
      <c r="B1497" t="str">
        <f>"1552376357257783"</f>
        <v>1552376357257783</v>
      </c>
      <c r="C1497" t="s">
        <v>40</v>
      </c>
      <c r="D1497">
        <v>4.3049489999999997</v>
      </c>
      <c r="E1497">
        <v>0.58870319999999898</v>
      </c>
      <c r="F1497" t="s">
        <v>49</v>
      </c>
      <c r="G1497">
        <v>-203.2884</v>
      </c>
      <c r="H1497" s="1">
        <v>-3.7696209999999998E-6</v>
      </c>
      <c r="I1497">
        <v>362.0573</v>
      </c>
      <c r="J1497">
        <v>-216.709</v>
      </c>
      <c r="K1497">
        <v>1.108406</v>
      </c>
      <c r="L1497">
        <v>367.69639999999998</v>
      </c>
      <c r="M1497">
        <v>0.99218280000000003</v>
      </c>
      <c r="N1497">
        <v>0</v>
      </c>
      <c r="O1497">
        <v>-0.12398339999999899</v>
      </c>
      <c r="P1497">
        <v>0.97477049999999998</v>
      </c>
      <c r="Q1497">
        <v>5.0839090000000003E-2</v>
      </c>
      <c r="R1497">
        <v>-0.2173445</v>
      </c>
      <c r="S1497">
        <v>2.8267359999999999</v>
      </c>
      <c r="T1497">
        <v>-0.2314097</v>
      </c>
      <c r="U1497">
        <v>-1.1810609999999999</v>
      </c>
      <c r="V1497">
        <v>9.5149460000000005E-2</v>
      </c>
      <c r="W1497">
        <v>6.4434039999999998E-2</v>
      </c>
      <c r="X1497">
        <v>0.99337549999999997</v>
      </c>
      <c r="Y1497">
        <v>0.26772849999999998</v>
      </c>
      <c r="Z1497">
        <v>-8.5274690000000002E-4</v>
      </c>
      <c r="AA1497">
        <v>0.96349399999999996</v>
      </c>
      <c r="AB1497">
        <v>17</v>
      </c>
      <c r="AC1497">
        <v>13.4206</v>
      </c>
      <c r="AD1497">
        <v>-1.108409769621</v>
      </c>
      <c r="AE1497">
        <v>-5.6390999999999796</v>
      </c>
      <c r="AF1497">
        <v>3.9088207233679202</v>
      </c>
      <c r="AG1497">
        <v>-1.108409769621</v>
      </c>
      <c r="AH1497">
        <v>13.9354631592059</v>
      </c>
      <c r="AI1497">
        <v>94.379342738050795</v>
      </c>
      <c r="AJ1497">
        <v>74.331484136767799</v>
      </c>
      <c r="AK1497">
        <v>14.515666885348599</v>
      </c>
      <c r="AL1497">
        <v>86.305642189622304</v>
      </c>
      <c r="AM1497">
        <v>84.528673760788905</v>
      </c>
      <c r="AN1497">
        <v>1.0000000246246299</v>
      </c>
    </row>
    <row r="1498" spans="1:40" x14ac:dyDescent="0.25">
      <c r="A1498" t="str">
        <f>"20190312153917276"</f>
        <v>20190312153917276</v>
      </c>
      <c r="B1498" t="str">
        <f>"1552376357267543"</f>
        <v>1552376357267543</v>
      </c>
      <c r="C1498" t="s">
        <v>40</v>
      </c>
      <c r="D1498">
        <v>4.4435000000000002</v>
      </c>
      <c r="E1498">
        <v>0.59068390000000004</v>
      </c>
      <c r="F1498" t="s">
        <v>49</v>
      </c>
      <c r="G1498">
        <v>-206.1079</v>
      </c>
      <c r="H1498" s="1">
        <v>-5.0256109999999999E-6</v>
      </c>
      <c r="I1498">
        <v>362.60500000000002</v>
      </c>
      <c r="J1498">
        <v>-216.59800000000001</v>
      </c>
      <c r="K1498">
        <v>1.108392</v>
      </c>
      <c r="L1498">
        <v>367.67930000000001</v>
      </c>
      <c r="M1498">
        <v>0.99182919999999997</v>
      </c>
      <c r="N1498">
        <v>0</v>
      </c>
      <c r="O1498">
        <v>-0.12678110000000001</v>
      </c>
      <c r="P1498">
        <v>0.97501420000000005</v>
      </c>
      <c r="Q1498">
        <v>5.1961170000000001E-2</v>
      </c>
      <c r="R1498">
        <v>-0.2159808</v>
      </c>
      <c r="S1498">
        <v>2.7937470000000002</v>
      </c>
      <c r="T1498">
        <v>-0.29210589999999997</v>
      </c>
      <c r="U1498">
        <v>-1.341766</v>
      </c>
      <c r="V1498">
        <v>9.0970889999999999E-2</v>
      </c>
      <c r="W1498">
        <v>6.5581730000000005E-2</v>
      </c>
      <c r="X1498">
        <v>0.99369169999999996</v>
      </c>
      <c r="Y1498">
        <v>0.31432179999999998</v>
      </c>
      <c r="Z1498">
        <v>-3.1179620000000002E-3</v>
      </c>
      <c r="AA1498">
        <v>0.94931140000000003</v>
      </c>
      <c r="AB1498">
        <v>17</v>
      </c>
      <c r="AC1498">
        <v>10.490099999999901</v>
      </c>
      <c r="AD1498">
        <v>-1.1083970256110001</v>
      </c>
      <c r="AE1498">
        <v>-5.0742999999999903</v>
      </c>
      <c r="AF1498">
        <v>3.67006114436492</v>
      </c>
      <c r="AG1498">
        <v>-1.1083970256110001</v>
      </c>
      <c r="AH1498">
        <v>10.949759319737399</v>
      </c>
      <c r="AI1498">
        <v>95.482343352064007</v>
      </c>
      <c r="AJ1498">
        <v>71.470250898597698</v>
      </c>
      <c r="AK1498">
        <v>11.6015137775178</v>
      </c>
      <c r="AL1498">
        <v>86.239744650545205</v>
      </c>
      <c r="AM1498">
        <v>84.769243449123294</v>
      </c>
      <c r="AN1498">
        <v>0.99999993039303503</v>
      </c>
    </row>
    <row r="1499" spans="1:40" x14ac:dyDescent="0.25">
      <c r="A1499" t="str">
        <f>"20190312153917290"</f>
        <v>20190312153917290</v>
      </c>
      <c r="B1499" t="str">
        <f>"1552376357277303"</f>
        <v>1552376357277303</v>
      </c>
      <c r="C1499" t="s">
        <v>40</v>
      </c>
      <c r="D1499">
        <v>4.4505039999999996</v>
      </c>
      <c r="E1499">
        <v>0.59164550000000005</v>
      </c>
      <c r="F1499" t="s">
        <v>49</v>
      </c>
      <c r="G1499">
        <v>-206.71209999999999</v>
      </c>
      <c r="H1499" s="1">
        <v>-5.2347540000000003E-6</v>
      </c>
      <c r="I1499">
        <v>362.892</v>
      </c>
      <c r="J1499">
        <v>-216.48269999999999</v>
      </c>
      <c r="K1499">
        <v>1.108385</v>
      </c>
      <c r="L1499">
        <v>367.66109999999998</v>
      </c>
      <c r="M1499">
        <v>0.99144909999999997</v>
      </c>
      <c r="N1499">
        <v>0</v>
      </c>
      <c r="O1499">
        <v>-0.12971949999999999</v>
      </c>
      <c r="P1499">
        <v>0.97488830000000004</v>
      </c>
      <c r="Q1499">
        <v>5.3570729999999997E-2</v>
      </c>
      <c r="R1499">
        <v>-0.2161555</v>
      </c>
      <c r="S1499">
        <v>2.7938839999999998</v>
      </c>
      <c r="T1499">
        <v>-0.31324980000000002</v>
      </c>
      <c r="U1499">
        <v>-1.3529659999999999</v>
      </c>
      <c r="V1499">
        <v>8.8222809999999999E-2</v>
      </c>
      <c r="W1499">
        <v>6.7208439999999994E-2</v>
      </c>
      <c r="X1499">
        <v>0.99383089999999996</v>
      </c>
      <c r="Y1499">
        <v>0.31447239999999999</v>
      </c>
      <c r="Z1499">
        <v>-3.0433679999999999E-3</v>
      </c>
      <c r="AA1499">
        <v>0.94926169999999999</v>
      </c>
      <c r="AB1499">
        <v>17</v>
      </c>
      <c r="AC1499">
        <v>9.7706</v>
      </c>
      <c r="AD1499">
        <v>-1.108390234754</v>
      </c>
      <c r="AE1499">
        <v>-4.7690999999999804</v>
      </c>
      <c r="AF1499">
        <v>3.4256292664646502</v>
      </c>
      <c r="AG1499">
        <v>-1.108390234754</v>
      </c>
      <c r="AH1499">
        <v>10.200721802337201</v>
      </c>
      <c r="AI1499">
        <v>95.881004238579806</v>
      </c>
      <c r="AJ1499">
        <v>71.436803580443893</v>
      </c>
      <c r="AK1499">
        <v>10.8174946301089</v>
      </c>
      <c r="AL1499">
        <v>86.146335353912306</v>
      </c>
      <c r="AM1499">
        <v>84.927125416524902</v>
      </c>
      <c r="AN1499">
        <v>1.0000000482031599</v>
      </c>
    </row>
    <row r="1500" spans="1:40" x14ac:dyDescent="0.25">
      <c r="A1500" t="str">
        <f>"20190312153917304"</f>
        <v>20190312153917304</v>
      </c>
      <c r="B1500" t="str">
        <f>"1552376357297799"</f>
        <v>1552376357297799</v>
      </c>
      <c r="C1500" t="s">
        <v>40</v>
      </c>
      <c r="D1500">
        <v>4.428687</v>
      </c>
      <c r="E1500">
        <v>0.59344739999999996</v>
      </c>
      <c r="F1500" t="s">
        <v>49</v>
      </c>
      <c r="G1500">
        <v>-206.72290000000001</v>
      </c>
      <c r="H1500" s="1">
        <v>-5.2357739999999996E-6</v>
      </c>
      <c r="I1500">
        <v>362.90859999999998</v>
      </c>
      <c r="J1500">
        <v>-216.376</v>
      </c>
      <c r="K1500">
        <v>1.1083809999999901</v>
      </c>
      <c r="L1500">
        <v>367.6438</v>
      </c>
      <c r="M1500">
        <v>0.99108779999999996</v>
      </c>
      <c r="N1500">
        <v>0</v>
      </c>
      <c r="O1500">
        <v>-0.1324506</v>
      </c>
      <c r="P1500">
        <v>0.97438060000000004</v>
      </c>
      <c r="Q1500">
        <v>5.3930930000000002E-2</v>
      </c>
      <c r="R1500">
        <v>-0.21834390000000001</v>
      </c>
      <c r="S1500">
        <v>2.7931370000000002</v>
      </c>
      <c r="T1500">
        <v>-0.31720989999999999</v>
      </c>
      <c r="U1500">
        <v>-1.360107</v>
      </c>
      <c r="V1500">
        <v>8.771988E-2</v>
      </c>
      <c r="W1500">
        <v>6.7572389999999996E-2</v>
      </c>
      <c r="X1500">
        <v>0.99385069999999998</v>
      </c>
      <c r="Y1500">
        <v>0.31391550000000001</v>
      </c>
      <c r="Z1500">
        <v>-2.7647129999999998E-3</v>
      </c>
      <c r="AA1500">
        <v>0.94944689999999998</v>
      </c>
      <c r="AB1500">
        <v>17</v>
      </c>
      <c r="AC1500">
        <v>9.6530999999999594</v>
      </c>
      <c r="AD1500">
        <v>-1.10838623577399</v>
      </c>
      <c r="AE1500">
        <v>-4.7352000000000096</v>
      </c>
      <c r="AF1500">
        <v>3.3788775695786901</v>
      </c>
      <c r="AG1500">
        <v>-1.10838623577399</v>
      </c>
      <c r="AH1500">
        <v>10.088073325679</v>
      </c>
      <c r="AI1500">
        <v>95.947759438151493</v>
      </c>
      <c r="AJ1500">
        <v>71.482352318300798</v>
      </c>
      <c r="AK1500">
        <v>10.696474049991</v>
      </c>
      <c r="AL1500">
        <v>86.125434892859005</v>
      </c>
      <c r="AM1500">
        <v>84.955994609535693</v>
      </c>
      <c r="AN1500">
        <v>1.000000009564</v>
      </c>
    </row>
    <row r="1501" spans="1:40" x14ac:dyDescent="0.25">
      <c r="A1501" t="str">
        <f>"20190312153917318"</f>
        <v>20190312153917318</v>
      </c>
      <c r="B1501" t="str">
        <f>"1552376357307559"</f>
        <v>1552376357307559</v>
      </c>
      <c r="C1501" t="s">
        <v>40</v>
      </c>
      <c r="D1501">
        <v>4.3884540000000003</v>
      </c>
      <c r="E1501">
        <v>0.59392639999999997</v>
      </c>
      <c r="F1501" t="s">
        <v>49</v>
      </c>
      <c r="G1501">
        <v>-206.8683</v>
      </c>
      <c r="H1501" s="1">
        <v>-5.2797240000000003E-6</v>
      </c>
      <c r="I1501">
        <v>362.93880000000001</v>
      </c>
      <c r="J1501">
        <v>-216.27279999999999</v>
      </c>
      <c r="K1501">
        <v>1.1083889999999901</v>
      </c>
      <c r="L1501">
        <v>367.62700000000001</v>
      </c>
      <c r="M1501">
        <v>0.99073040000000001</v>
      </c>
      <c r="N1501">
        <v>0</v>
      </c>
      <c r="O1501">
        <v>-0.13509889999999999</v>
      </c>
      <c r="P1501">
        <v>0.97373410000000005</v>
      </c>
      <c r="Q1501">
        <v>5.3773019999999998E-2</v>
      </c>
      <c r="R1501">
        <v>-0.221248</v>
      </c>
      <c r="S1501">
        <v>2.7877350000000001</v>
      </c>
      <c r="T1501">
        <v>-0.32498969999999999</v>
      </c>
      <c r="U1501">
        <v>-1.3795470000000001</v>
      </c>
      <c r="V1501">
        <v>8.8023249999999997E-2</v>
      </c>
      <c r="W1501">
        <v>6.7414920000000003E-2</v>
      </c>
      <c r="X1501">
        <v>0.99383460000000001</v>
      </c>
      <c r="Y1501">
        <v>0.3173839</v>
      </c>
      <c r="Z1501">
        <v>-2.7404529999999999E-3</v>
      </c>
      <c r="AA1501">
        <v>0.94829319999999895</v>
      </c>
      <c r="AB1501">
        <v>17</v>
      </c>
      <c r="AC1501">
        <v>9.4044999999999792</v>
      </c>
      <c r="AD1501">
        <v>-1.1083942797239901</v>
      </c>
      <c r="AE1501">
        <v>-4.68819999999993</v>
      </c>
      <c r="AF1501">
        <v>3.3374138377687101</v>
      </c>
      <c r="AG1501">
        <v>-1.1083942797239901</v>
      </c>
      <c r="AH1501">
        <v>9.8421967851046901</v>
      </c>
      <c r="AI1501">
        <v>96.087683091915807</v>
      </c>
      <c r="AJ1501">
        <v>71.268594352995294</v>
      </c>
      <c r="AK1501">
        <v>10.4515887098842</v>
      </c>
      <c r="AL1501">
        <v>86.134477990225193</v>
      </c>
      <c r="AM1501">
        <v>84.938559332580894</v>
      </c>
      <c r="AN1501">
        <v>1.00000003806816</v>
      </c>
    </row>
    <row r="1502" spans="1:40" x14ac:dyDescent="0.25">
      <c r="A1502" t="str">
        <f>"20190312153917330"</f>
        <v>20190312153917330</v>
      </c>
      <c r="B1502" t="str">
        <f>"1552376357317319"</f>
        <v>1552376357317319</v>
      </c>
      <c r="C1502" t="s">
        <v>40</v>
      </c>
      <c r="D1502">
        <v>4.3993669999999998</v>
      </c>
      <c r="E1502">
        <v>0.59477440000000004</v>
      </c>
      <c r="F1502" t="s">
        <v>49</v>
      </c>
      <c r="G1502">
        <v>-206.81720000000001</v>
      </c>
      <c r="H1502" s="1">
        <v>-5.2686179999999999E-6</v>
      </c>
      <c r="I1502">
        <v>362.90039999999999</v>
      </c>
      <c r="J1502">
        <v>-216.1773</v>
      </c>
      <c r="K1502">
        <v>1.1084020000000001</v>
      </c>
      <c r="L1502">
        <v>367.61099999999999</v>
      </c>
      <c r="M1502">
        <v>0.9903923</v>
      </c>
      <c r="N1502">
        <v>0</v>
      </c>
      <c r="O1502">
        <v>-0.1375557</v>
      </c>
      <c r="P1502">
        <v>0.97296190000000005</v>
      </c>
      <c r="Q1502">
        <v>5.346559E-2</v>
      </c>
      <c r="R1502">
        <v>-0.22469210000000001</v>
      </c>
      <c r="S1502">
        <v>2.782883</v>
      </c>
      <c r="T1502">
        <v>-0.32621119999999998</v>
      </c>
      <c r="U1502">
        <v>-1.3910830000000001</v>
      </c>
      <c r="V1502">
        <v>8.9069220000000005E-2</v>
      </c>
      <c r="W1502">
        <v>6.7103300000000005E-2</v>
      </c>
      <c r="X1502">
        <v>0.99376240000000005</v>
      </c>
      <c r="Y1502">
        <v>0.31883709999999998</v>
      </c>
      <c r="Z1502">
        <v>-2.5687990000000001E-3</v>
      </c>
      <c r="AA1502">
        <v>0.94780609999999998</v>
      </c>
      <c r="AB1502">
        <v>17</v>
      </c>
      <c r="AC1502">
        <v>9.3600999999999797</v>
      </c>
      <c r="AD1502">
        <v>-1.108407268618</v>
      </c>
      <c r="AE1502">
        <v>-4.7106000000000003</v>
      </c>
      <c r="AF1502">
        <v>3.3407673927134098</v>
      </c>
      <c r="AG1502">
        <v>-1.108407268618</v>
      </c>
      <c r="AH1502">
        <v>9.8093831013838404</v>
      </c>
      <c r="AI1502">
        <v>96.105239070097596</v>
      </c>
      <c r="AJ1502">
        <v>71.192771772400704</v>
      </c>
      <c r="AK1502">
        <v>10.4217700164155</v>
      </c>
      <c r="AL1502">
        <v>86.152372657554295</v>
      </c>
      <c r="AM1502">
        <v>84.878362695363293</v>
      </c>
      <c r="AN1502">
        <v>0.99999994323802699</v>
      </c>
    </row>
    <row r="1503" spans="1:40" x14ac:dyDescent="0.25">
      <c r="A1503" t="str">
        <f>"20190312153917347"</f>
        <v>20190312153917347</v>
      </c>
      <c r="B1503" t="str">
        <f>"1552376357337348"</f>
        <v>1552376357337348</v>
      </c>
      <c r="C1503" t="s">
        <v>40</v>
      </c>
      <c r="D1503">
        <v>4.4182189999999997</v>
      </c>
      <c r="E1503">
        <v>0.59570249999999902</v>
      </c>
      <c r="F1503" t="s">
        <v>49</v>
      </c>
      <c r="G1503">
        <v>-206.86940000000001</v>
      </c>
      <c r="H1503" s="1">
        <v>-5.2869689999999997E-6</v>
      </c>
      <c r="I1503">
        <v>362.89479999999998</v>
      </c>
      <c r="J1503">
        <v>-216.0521</v>
      </c>
      <c r="K1503">
        <v>1.108433</v>
      </c>
      <c r="L1503">
        <v>367.58980000000003</v>
      </c>
      <c r="M1503">
        <v>0.9899405</v>
      </c>
      <c r="N1503">
        <v>0</v>
      </c>
      <c r="O1503">
        <v>-0.1407706</v>
      </c>
      <c r="P1503">
        <v>0.97152229999999995</v>
      </c>
      <c r="Q1503">
        <v>5.1933189999999997E-2</v>
      </c>
      <c r="R1503">
        <v>-0.23118749999999999</v>
      </c>
      <c r="S1503">
        <v>2.776627</v>
      </c>
      <c r="T1503">
        <v>-0.33064759999999999</v>
      </c>
      <c r="U1503">
        <v>-1.4068909999999999</v>
      </c>
      <c r="V1503">
        <v>9.2459840000000001E-2</v>
      </c>
      <c r="W1503">
        <v>6.555366E-2</v>
      </c>
      <c r="X1503">
        <v>0.9935562</v>
      </c>
      <c r="Y1503">
        <v>0.32089659999999998</v>
      </c>
      <c r="Z1503">
        <v>-2.370905E-3</v>
      </c>
      <c r="AA1503">
        <v>0.94711120000000004</v>
      </c>
      <c r="AB1503">
        <v>17</v>
      </c>
      <c r="AC1503">
        <v>9.1826999999999792</v>
      </c>
      <c r="AD1503">
        <v>-1.1084382869689999</v>
      </c>
      <c r="AE1503">
        <v>-4.69500000000005</v>
      </c>
      <c r="AF1503">
        <v>3.31713777274914</v>
      </c>
      <c r="AG1503">
        <v>-1.1084382869689999</v>
      </c>
      <c r="AH1503">
        <v>9.6408640887135597</v>
      </c>
      <c r="AI1503">
        <v>96.204692409751601</v>
      </c>
      <c r="AJ1503">
        <v>71.013166596181193</v>
      </c>
      <c r="AK1503">
        <v>10.255647167120401</v>
      </c>
      <c r="AL1503">
        <v>86.241356724149497</v>
      </c>
      <c r="AM1503">
        <v>84.683395696316893</v>
      </c>
      <c r="AN1503">
        <v>1.00000001345533</v>
      </c>
    </row>
    <row r="1504" spans="1:40" x14ac:dyDescent="0.25">
      <c r="A1504" t="str">
        <f>"20190312153917360"</f>
        <v>20190312153917360</v>
      </c>
      <c r="B1504" t="str">
        <f>"1552376357347107"</f>
        <v>1552376357347107</v>
      </c>
      <c r="C1504" t="s">
        <v>40</v>
      </c>
      <c r="D1504">
        <v>4.4087249999999996</v>
      </c>
      <c r="E1504">
        <v>0.59595969999999998</v>
      </c>
      <c r="F1504" t="s">
        <v>49</v>
      </c>
      <c r="G1504">
        <v>-207.0498</v>
      </c>
      <c r="H1504" s="1">
        <v>-5.3423380000000003E-6</v>
      </c>
      <c r="I1504">
        <v>362.92700000000002</v>
      </c>
      <c r="J1504">
        <v>-215.9496</v>
      </c>
      <c r="K1504">
        <v>1.1084590000000001</v>
      </c>
      <c r="L1504">
        <v>367.57209999999998</v>
      </c>
      <c r="M1504">
        <v>0.98956370000000005</v>
      </c>
      <c r="N1504">
        <v>0</v>
      </c>
      <c r="O1504">
        <v>-0.14339589999999999</v>
      </c>
      <c r="P1504">
        <v>0.97036889999999998</v>
      </c>
      <c r="Q1504">
        <v>5.1077740000000003E-2</v>
      </c>
      <c r="R1504">
        <v>-0.23616870000000001</v>
      </c>
      <c r="S1504">
        <v>2.7653050000000001</v>
      </c>
      <c r="T1504">
        <v>-0.34048879999999998</v>
      </c>
      <c r="U1504">
        <v>-1.432312</v>
      </c>
      <c r="V1504">
        <v>9.4908069999999997E-2</v>
      </c>
      <c r="W1504">
        <v>6.4686240000000006E-2</v>
      </c>
      <c r="X1504">
        <v>0.99338219999999999</v>
      </c>
      <c r="Y1504">
        <v>0.32675110000000002</v>
      </c>
      <c r="Z1504">
        <v>-2.489949E-3</v>
      </c>
      <c r="AA1504">
        <v>0.94510720000000004</v>
      </c>
      <c r="AB1504">
        <v>17</v>
      </c>
      <c r="AC1504">
        <v>8.8997999999999902</v>
      </c>
      <c r="AD1504">
        <v>-1.1084643423379901</v>
      </c>
      <c r="AE1504">
        <v>-4.64510000000001</v>
      </c>
      <c r="AF1504">
        <v>3.2807645672832701</v>
      </c>
      <c r="AG1504">
        <v>-1.1084643423379901</v>
      </c>
      <c r="AH1504">
        <v>9.3598509900267004</v>
      </c>
      <c r="AI1504">
        <v>96.376965259825099</v>
      </c>
      <c r="AJ1504">
        <v>70.683690492118401</v>
      </c>
      <c r="AK1504">
        <v>9.9799258464018692</v>
      </c>
      <c r="AL1504">
        <v>86.291161981225002</v>
      </c>
      <c r="AM1504">
        <v>84.542506950737007</v>
      </c>
      <c r="AN1504">
        <v>1.0000000233366499</v>
      </c>
    </row>
    <row r="1505" spans="1:40" x14ac:dyDescent="0.25">
      <c r="A1505" t="str">
        <f>"20190312153917371"</f>
        <v>20190312153917371</v>
      </c>
      <c r="B1505" t="str">
        <f>"1552376357357844"</f>
        <v>1552376357357844</v>
      </c>
      <c r="C1505" t="s">
        <v>40</v>
      </c>
      <c r="D1505">
        <v>4.398021</v>
      </c>
      <c r="E1505">
        <v>0.59613419999999995</v>
      </c>
      <c r="F1505" t="s">
        <v>49</v>
      </c>
      <c r="G1505">
        <v>-207.09790000000001</v>
      </c>
      <c r="H1505" s="1">
        <v>-5.3591400000000003E-6</v>
      </c>
      <c r="I1505">
        <v>362.92250000000001</v>
      </c>
      <c r="J1505">
        <v>-215.8563</v>
      </c>
      <c r="K1505">
        <v>1.108487</v>
      </c>
      <c r="L1505">
        <v>367.5557</v>
      </c>
      <c r="M1505">
        <v>0.98921630000000005</v>
      </c>
      <c r="N1505">
        <v>0</v>
      </c>
      <c r="O1505">
        <v>-0.1457736</v>
      </c>
      <c r="P1505">
        <v>0.96912039999999999</v>
      </c>
      <c r="Q1505">
        <v>5.0442819999999999E-2</v>
      </c>
      <c r="R1505">
        <v>-0.24137420000000001</v>
      </c>
      <c r="S1505">
        <v>2.757263</v>
      </c>
      <c r="T1505">
        <v>-0.34528239999999999</v>
      </c>
      <c r="U1505">
        <v>-1.448334</v>
      </c>
      <c r="V1505">
        <v>9.7842780000000004E-2</v>
      </c>
      <c r="W1505">
        <v>6.4035750000000002E-2</v>
      </c>
      <c r="X1505">
        <v>0.99313960000000001</v>
      </c>
      <c r="Y1505">
        <v>0.3298818</v>
      </c>
      <c r="Z1505">
        <v>-2.441665E-3</v>
      </c>
      <c r="AA1505">
        <v>0.9440191</v>
      </c>
      <c r="AB1505">
        <v>17</v>
      </c>
      <c r="AC1505">
        <v>8.7583999999999893</v>
      </c>
      <c r="AD1505">
        <v>-1.10849235914</v>
      </c>
      <c r="AE1505">
        <v>-4.63319999999998</v>
      </c>
      <c r="AF1505">
        <v>3.2659500279231901</v>
      </c>
      <c r="AG1505">
        <v>-1.10849235914</v>
      </c>
      <c r="AH1505">
        <v>9.22483339754762</v>
      </c>
      <c r="AI1505">
        <v>96.462595875761295</v>
      </c>
      <c r="AJ1505">
        <v>70.504055469755599</v>
      </c>
      <c r="AK1505">
        <v>9.8484890266310998</v>
      </c>
      <c r="AL1505">
        <v>86.328509756161395</v>
      </c>
      <c r="AM1505">
        <v>84.373453464933405</v>
      </c>
      <c r="AN1505">
        <v>1.00000002598217</v>
      </c>
    </row>
    <row r="1506" spans="1:40" x14ac:dyDescent="0.25">
      <c r="A1506" t="str">
        <f>"20190312153917384"</f>
        <v>20190312153917384</v>
      </c>
      <c r="B1506" t="str">
        <f>"1552376357367603"</f>
        <v>1552376357367603</v>
      </c>
      <c r="C1506" t="s">
        <v>40</v>
      </c>
      <c r="D1506">
        <v>4.4190719999999999</v>
      </c>
      <c r="E1506">
        <v>0.59628559999999997</v>
      </c>
      <c r="F1506" t="s">
        <v>49</v>
      </c>
      <c r="G1506">
        <v>-207.1028</v>
      </c>
      <c r="H1506" s="1">
        <v>-5.365579E-6</v>
      </c>
      <c r="I1506">
        <v>362.89170000000001</v>
      </c>
      <c r="J1506">
        <v>-215.7664</v>
      </c>
      <c r="K1506">
        <v>1.1085160000000001</v>
      </c>
      <c r="L1506">
        <v>367.53980000000001</v>
      </c>
      <c r="M1506">
        <v>0.98887729999999996</v>
      </c>
      <c r="N1506">
        <v>0</v>
      </c>
      <c r="O1506">
        <v>-0.148055399999999</v>
      </c>
      <c r="P1506">
        <v>0.96791099999999997</v>
      </c>
      <c r="Q1506">
        <v>4.9790639999999997E-2</v>
      </c>
      <c r="R1506">
        <v>-0.24631040000000001</v>
      </c>
      <c r="S1506">
        <v>2.7489170000000001</v>
      </c>
      <c r="T1506">
        <v>-0.34810659999999999</v>
      </c>
      <c r="U1506">
        <v>-1.464661</v>
      </c>
      <c r="V1506">
        <v>0.1006034</v>
      </c>
      <c r="W1506">
        <v>6.3369049999999996E-2</v>
      </c>
      <c r="X1506">
        <v>0.99290650000000003</v>
      </c>
      <c r="Y1506">
        <v>0.33323330000000001</v>
      </c>
      <c r="Z1506">
        <v>-2.402075E-3</v>
      </c>
      <c r="AA1506">
        <v>0.94284140000000005</v>
      </c>
      <c r="AB1506">
        <v>17</v>
      </c>
      <c r="AC1506">
        <v>8.6636000000000006</v>
      </c>
      <c r="AD1506">
        <v>-1.1085213655790001</v>
      </c>
      <c r="AE1506">
        <v>-4.6481000000000003</v>
      </c>
      <c r="AF1506">
        <v>3.2724406715112999</v>
      </c>
      <c r="AG1506">
        <v>-1.1085213655790001</v>
      </c>
      <c r="AH1506">
        <v>9.1401517137881605</v>
      </c>
      <c r="AI1506">
        <v>96.513978776615005</v>
      </c>
      <c r="AJ1506">
        <v>70.301152619690896</v>
      </c>
      <c r="AK1506">
        <v>9.7713899173848908</v>
      </c>
      <c r="AL1506">
        <v>86.366786497099298</v>
      </c>
      <c r="AM1506">
        <v>84.214414361646803</v>
      </c>
      <c r="AN1506">
        <v>0.99999999916585602</v>
      </c>
    </row>
    <row r="1507" spans="1:40" x14ac:dyDescent="0.25">
      <c r="A1507" t="str">
        <f>"20190312153917396"</f>
        <v>20190312153917396</v>
      </c>
      <c r="B1507" t="str">
        <f>"1552376357387123"</f>
        <v>1552376357387123</v>
      </c>
      <c r="C1507" t="s">
        <v>40</v>
      </c>
      <c r="D1507">
        <v>4.3823740000000004</v>
      </c>
      <c r="E1507">
        <v>0.59654640000000003</v>
      </c>
      <c r="F1507" t="s">
        <v>49</v>
      </c>
      <c r="G1507">
        <v>-207.096</v>
      </c>
      <c r="H1507" s="1">
        <v>-5.3685289999999997E-6</v>
      </c>
      <c r="I1507">
        <v>362.85829999999999</v>
      </c>
      <c r="J1507">
        <v>-215.6687</v>
      </c>
      <c r="K1507">
        <v>1.1085430000000001</v>
      </c>
      <c r="L1507">
        <v>367.5222</v>
      </c>
      <c r="M1507">
        <v>0.98850470000000001</v>
      </c>
      <c r="N1507">
        <v>0</v>
      </c>
      <c r="O1507">
        <v>-0.15052380000000001</v>
      </c>
      <c r="P1507">
        <v>0.96681300000000003</v>
      </c>
      <c r="Q1507">
        <v>4.958891E-2</v>
      </c>
      <c r="R1507">
        <v>-0.25062719999999999</v>
      </c>
      <c r="S1507">
        <v>2.740891</v>
      </c>
      <c r="T1507">
        <v>-0.35042810000000002</v>
      </c>
      <c r="U1507">
        <v>-1.479919</v>
      </c>
      <c r="V1507">
        <v>0.1025496</v>
      </c>
      <c r="W1507">
        <v>6.3157749999999999E-2</v>
      </c>
      <c r="X1507">
        <v>0.99272079999999996</v>
      </c>
      <c r="Y1507">
        <v>0.3360783</v>
      </c>
      <c r="Z1507">
        <v>-2.3061890000000002E-3</v>
      </c>
      <c r="AA1507">
        <v>0.94183119999999998</v>
      </c>
      <c r="AB1507">
        <v>17</v>
      </c>
      <c r="AC1507">
        <v>8.5727000000000206</v>
      </c>
      <c r="AD1507">
        <v>-1.1085483685290001</v>
      </c>
      <c r="AE1507">
        <v>-4.6639000000000097</v>
      </c>
      <c r="AF1507">
        <v>3.2779317833508501</v>
      </c>
      <c r="AG1507">
        <v>-1.1085483685290001</v>
      </c>
      <c r="AH1507">
        <v>9.0602049906069304</v>
      </c>
      <c r="AI1507">
        <v>96.563305663985602</v>
      </c>
      <c r="AJ1507">
        <v>70.110157869106004</v>
      </c>
      <c r="AK1507">
        <v>9.6985066238822899</v>
      </c>
      <c r="AL1507">
        <v>86.378917232488405</v>
      </c>
      <c r="AM1507">
        <v>84.102176619923895</v>
      </c>
      <c r="AN1507">
        <v>0.99999995429892996</v>
      </c>
    </row>
    <row r="1508" spans="1:40" x14ac:dyDescent="0.25">
      <c r="A1508" t="str">
        <f>"20190312153917409"</f>
        <v>20190312153917409</v>
      </c>
      <c r="B1508" t="str">
        <f>"1552376357397860"</f>
        <v>1552376357397860</v>
      </c>
      <c r="C1508" t="s">
        <v>40</v>
      </c>
      <c r="D1508">
        <v>4.3608739999999999</v>
      </c>
      <c r="E1508">
        <v>0.59657150000000003</v>
      </c>
      <c r="F1508" t="s">
        <v>49</v>
      </c>
      <c r="G1508">
        <v>-207.0685</v>
      </c>
      <c r="H1508" s="1">
        <v>-5.3650250000000004E-6</v>
      </c>
      <c r="I1508">
        <v>362.82170000000002</v>
      </c>
      <c r="J1508">
        <v>-215.57159999999999</v>
      </c>
      <c r="K1508">
        <v>1.1085689999999999</v>
      </c>
      <c r="L1508">
        <v>367.50450000000001</v>
      </c>
      <c r="M1508">
        <v>0.98813169999999995</v>
      </c>
      <c r="N1508">
        <v>0</v>
      </c>
      <c r="O1508">
        <v>-0.15295329999999999</v>
      </c>
      <c r="P1508">
        <v>0.96567199999999997</v>
      </c>
      <c r="Q1508">
        <v>4.9529429999999999E-2</v>
      </c>
      <c r="R1508">
        <v>-0.25499899999999998</v>
      </c>
      <c r="S1508">
        <v>2.7337189999999998</v>
      </c>
      <c r="T1508">
        <v>-0.35237030000000003</v>
      </c>
      <c r="U1508">
        <v>-1.4941409999999999</v>
      </c>
      <c r="V1508">
        <v>0.1045975</v>
      </c>
      <c r="W1508">
        <v>6.3087809999999994E-2</v>
      </c>
      <c r="X1508">
        <v>0.99251160000000005</v>
      </c>
      <c r="Y1508">
        <v>0.33856150000000002</v>
      </c>
      <c r="Z1508">
        <v>-2.1886750000000002E-3</v>
      </c>
      <c r="AA1508">
        <v>0.94094169999999999</v>
      </c>
      <c r="AB1508">
        <v>17</v>
      </c>
      <c r="AC1508">
        <v>8.5030999999999892</v>
      </c>
      <c r="AD1508">
        <v>-1.108574365025</v>
      </c>
      <c r="AE1508">
        <v>-4.6827999999999799</v>
      </c>
      <c r="AF1508">
        <v>3.28414944289894</v>
      </c>
      <c r="AG1508">
        <v>-1.108574365025</v>
      </c>
      <c r="AH1508">
        <v>9.0019483039052197</v>
      </c>
      <c r="AI1508">
        <v>96.599191611840695</v>
      </c>
      <c r="AJ1508">
        <v>69.956689649758601</v>
      </c>
      <c r="AK1508">
        <v>9.6462245439480601</v>
      </c>
      <c r="AL1508">
        <v>86.382932645076806</v>
      </c>
      <c r="AM1508">
        <v>83.983994532843994</v>
      </c>
      <c r="AN1508">
        <v>0.99999999245570304</v>
      </c>
    </row>
    <row r="1509" spans="1:40" x14ac:dyDescent="0.25">
      <c r="A1509" t="str">
        <f>"20190312153917425"</f>
        <v>20190312153917425</v>
      </c>
      <c r="B1509" t="str">
        <f>"1552376357417380"</f>
        <v>1552376357417380</v>
      </c>
      <c r="C1509" t="s">
        <v>40</v>
      </c>
      <c r="D1509">
        <v>4.2711819999999996</v>
      </c>
      <c r="E1509">
        <v>0.59675369999999905</v>
      </c>
      <c r="F1509" t="s">
        <v>49</v>
      </c>
      <c r="G1509">
        <v>-207.00810000000001</v>
      </c>
      <c r="H1509" s="1">
        <v>-5.3525080000000002E-6</v>
      </c>
      <c r="I1509">
        <v>362.7724</v>
      </c>
      <c r="J1509">
        <v>-215.45179999999999</v>
      </c>
      <c r="K1509">
        <v>1.1086039999999999</v>
      </c>
      <c r="L1509">
        <v>367.48230000000001</v>
      </c>
      <c r="M1509">
        <v>0.98766580000000004</v>
      </c>
      <c r="N1509">
        <v>0</v>
      </c>
      <c r="O1509">
        <v>-0.1559343</v>
      </c>
      <c r="P1509">
        <v>0.96432839999999997</v>
      </c>
      <c r="Q1509">
        <v>5.0196020000000001E-2</v>
      </c>
      <c r="R1509">
        <v>-0.25990639999999998</v>
      </c>
      <c r="S1509">
        <v>2.7268370000000002</v>
      </c>
      <c r="T1509">
        <v>-0.35299799999999998</v>
      </c>
      <c r="U1509">
        <v>-1.5068049999999999</v>
      </c>
      <c r="V1509">
        <v>0.10665479999999999</v>
      </c>
      <c r="W1509">
        <v>6.3743560000000005E-2</v>
      </c>
      <c r="X1509">
        <v>0.99225070000000004</v>
      </c>
      <c r="Y1509">
        <v>0.34007979999999999</v>
      </c>
      <c r="Z1509">
        <v>-1.9393399999999999E-3</v>
      </c>
      <c r="AA1509">
        <v>0.94039459999999997</v>
      </c>
      <c r="AB1509">
        <v>17</v>
      </c>
      <c r="AC1509">
        <v>8.4436999999999696</v>
      </c>
      <c r="AD1509">
        <v>-1.1086093525080001</v>
      </c>
      <c r="AE1509">
        <v>-4.7099000000000002</v>
      </c>
      <c r="AF1509">
        <v>3.2921955183270399</v>
      </c>
      <c r="AG1509">
        <v>-1.1086093525080001</v>
      </c>
      <c r="AH1509">
        <v>8.95713605073915</v>
      </c>
      <c r="AI1509">
        <v>96.626343408504695</v>
      </c>
      <c r="AJ1509">
        <v>69.819095130408499</v>
      </c>
      <c r="AK1509">
        <v>9.6071771222774807</v>
      </c>
      <c r="AL1509">
        <v>86.345285076647301</v>
      </c>
      <c r="AM1509">
        <v>83.864960240449406</v>
      </c>
      <c r="AN1509">
        <v>0.99999996972750105</v>
      </c>
    </row>
    <row r="1510" spans="1:40" x14ac:dyDescent="0.25">
      <c r="A1510" t="str">
        <f>"20190312153917440"</f>
        <v>20190312153917440</v>
      </c>
      <c r="B1510" t="str">
        <f>"1552376357427645"</f>
        <v>1552376357427645</v>
      </c>
      <c r="C1510" t="s">
        <v>40</v>
      </c>
      <c r="D1510">
        <v>4.2858809999999998</v>
      </c>
      <c r="E1510">
        <v>0.59687559999999995</v>
      </c>
      <c r="F1510" t="s">
        <v>49</v>
      </c>
      <c r="G1510">
        <v>-206.83189999999999</v>
      </c>
      <c r="H1510" s="1">
        <v>-5.3117829999999999E-6</v>
      </c>
      <c r="I1510">
        <v>362.65550000000002</v>
      </c>
      <c r="J1510">
        <v>-215.34129999999999</v>
      </c>
      <c r="K1510">
        <v>1.1086370000000001</v>
      </c>
      <c r="L1510">
        <v>367.46159999999998</v>
      </c>
      <c r="M1510">
        <v>0.98723110000000003</v>
      </c>
      <c r="N1510">
        <v>0</v>
      </c>
      <c r="O1510">
        <v>-0.15866359999999999</v>
      </c>
      <c r="P1510">
        <v>0.96345599999999998</v>
      </c>
      <c r="Q1510">
        <v>5.0379930000000003E-2</v>
      </c>
      <c r="R1510">
        <v>-0.2630865</v>
      </c>
      <c r="S1510">
        <v>2.718842</v>
      </c>
      <c r="T1510">
        <v>-0.34967140000000002</v>
      </c>
      <c r="U1510">
        <v>-1.5224610000000001</v>
      </c>
      <c r="V1510">
        <v>0.1071845</v>
      </c>
      <c r="W1510">
        <v>6.3926780000000002E-2</v>
      </c>
      <c r="X1510">
        <v>0.9921818</v>
      </c>
      <c r="Y1510">
        <v>0.34280280000000002</v>
      </c>
      <c r="Z1510">
        <v>-1.7718580000000001E-3</v>
      </c>
      <c r="AA1510">
        <v>0.93940570000000001</v>
      </c>
      <c r="AB1510">
        <v>17</v>
      </c>
      <c r="AC1510">
        <v>8.5093999999999994</v>
      </c>
      <c r="AD1510">
        <v>-1.108642311783</v>
      </c>
      <c r="AE1510">
        <v>-4.8060999999999501</v>
      </c>
      <c r="AF1510">
        <v>3.35180590390758</v>
      </c>
      <c r="AG1510">
        <v>-1.108642311783</v>
      </c>
      <c r="AH1510">
        <v>9.0477818763082798</v>
      </c>
      <c r="AI1510">
        <v>96.554596476727795</v>
      </c>
      <c r="AJ1510">
        <v>69.672544325322093</v>
      </c>
      <c r="AK1510">
        <v>9.7121597739224796</v>
      </c>
      <c r="AL1510">
        <v>86.334765770028099</v>
      </c>
      <c r="AM1510">
        <v>83.834299871669103</v>
      </c>
      <c r="AN1510">
        <v>0.99999993724632696</v>
      </c>
    </row>
    <row r="1511" spans="1:40" x14ac:dyDescent="0.25">
      <c r="A1511" t="str">
        <f>"20190312153917453"</f>
        <v>20190312153917453</v>
      </c>
      <c r="B1511" t="str">
        <f>"1552376357447165"</f>
        <v>1552376357447165</v>
      </c>
      <c r="C1511" t="s">
        <v>40</v>
      </c>
      <c r="D1511">
        <v>4.218108</v>
      </c>
      <c r="E1511">
        <v>0.59682219999999997</v>
      </c>
      <c r="F1511" t="s">
        <v>49</v>
      </c>
      <c r="G1511">
        <v>-206.70099999999999</v>
      </c>
      <c r="H1511" s="1">
        <v>-5.2792490000000001E-6</v>
      </c>
      <c r="I1511">
        <v>362.58319999999998</v>
      </c>
      <c r="J1511">
        <v>-215.2414</v>
      </c>
      <c r="K1511">
        <v>1.108662</v>
      </c>
      <c r="L1511">
        <v>367.44260000000003</v>
      </c>
      <c r="M1511">
        <v>0.98683449999999995</v>
      </c>
      <c r="N1511">
        <v>0</v>
      </c>
      <c r="O1511">
        <v>-0.16111159999999999</v>
      </c>
      <c r="P1511">
        <v>0.96276890000000004</v>
      </c>
      <c r="Q1511">
        <v>5.1095080000000001E-2</v>
      </c>
      <c r="R1511">
        <v>-0.2654533</v>
      </c>
      <c r="S1511">
        <v>2.7136079999999998</v>
      </c>
      <c r="T1511">
        <v>-0.34818310000000002</v>
      </c>
      <c r="U1511">
        <v>-1.532135</v>
      </c>
      <c r="V1511">
        <v>0.1071677</v>
      </c>
      <c r="W1511">
        <v>6.4642450000000004E-2</v>
      </c>
      <c r="X1511">
        <v>0.9921373</v>
      </c>
      <c r="Y1511">
        <v>0.34380660000000002</v>
      </c>
      <c r="Z1511">
        <v>-1.544314E-3</v>
      </c>
      <c r="AA1511">
        <v>0.93903919999999996</v>
      </c>
      <c r="AB1511">
        <v>17</v>
      </c>
      <c r="AC1511">
        <v>8.5404</v>
      </c>
      <c r="AD1511">
        <v>-1.108667279249</v>
      </c>
      <c r="AE1511">
        <v>-4.8594000000000497</v>
      </c>
      <c r="AF1511">
        <v>3.37682118367182</v>
      </c>
      <c r="AG1511">
        <v>-1.108667279249</v>
      </c>
      <c r="AH1511">
        <v>9.0959964216014697</v>
      </c>
      <c r="AI1511">
        <v>96.518641260034698</v>
      </c>
      <c r="AJ1511">
        <v>69.632929922367595</v>
      </c>
      <c r="AK1511">
        <v>9.7657163252041492</v>
      </c>
      <c r="AL1511">
        <v>86.293676109767304</v>
      </c>
      <c r="AM1511">
        <v>83.834984460147098</v>
      </c>
      <c r="AN1511">
        <v>0.99999999215829105</v>
      </c>
    </row>
    <row r="1512" spans="1:40" x14ac:dyDescent="0.25">
      <c r="A1512" t="str">
        <f>"20190312153917465"</f>
        <v>20190312153917465</v>
      </c>
      <c r="B1512" t="str">
        <f>"1552376357456924"</f>
        <v>1552376357456924</v>
      </c>
      <c r="C1512" t="s">
        <v>40</v>
      </c>
      <c r="D1512">
        <v>4.239579</v>
      </c>
      <c r="E1512">
        <v>0.59679199999999999</v>
      </c>
      <c r="F1512" t="s">
        <v>49</v>
      </c>
      <c r="G1512">
        <v>-206.46870000000001</v>
      </c>
      <c r="H1512" s="1">
        <v>-5.220506E-6</v>
      </c>
      <c r="I1512">
        <v>362.4615</v>
      </c>
      <c r="J1512">
        <v>-215.1497</v>
      </c>
      <c r="K1512">
        <v>1.1086830000000001</v>
      </c>
      <c r="L1512">
        <v>367.42489999999998</v>
      </c>
      <c r="M1512">
        <v>0.98646719999999999</v>
      </c>
      <c r="N1512">
        <v>0</v>
      </c>
      <c r="O1512">
        <v>-0.16334670000000001</v>
      </c>
      <c r="P1512">
        <v>0.96221749999999995</v>
      </c>
      <c r="Q1512">
        <v>5.1740759999999997E-2</v>
      </c>
      <c r="R1512">
        <v>-0.26732159999999999</v>
      </c>
      <c r="S1512">
        <v>2.7099609999999998</v>
      </c>
      <c r="T1512">
        <v>-0.34247739999999999</v>
      </c>
      <c r="U1512">
        <v>-1.5386959999999901</v>
      </c>
      <c r="V1512">
        <v>0.106851</v>
      </c>
      <c r="W1512">
        <v>6.5291009999999997E-2</v>
      </c>
      <c r="X1512">
        <v>0.99212900000000004</v>
      </c>
      <c r="Y1512">
        <v>0.34398970000000001</v>
      </c>
      <c r="Z1512">
        <v>-1.277905E-3</v>
      </c>
      <c r="AA1512">
        <v>0.93897249999999999</v>
      </c>
      <c r="AB1512">
        <v>17</v>
      </c>
      <c r="AC1512">
        <v>8.6809999999999796</v>
      </c>
      <c r="AD1512">
        <v>-1.108688220506</v>
      </c>
      <c r="AE1512">
        <v>-4.9633999999999698</v>
      </c>
      <c r="AF1512">
        <v>3.43632599630903</v>
      </c>
      <c r="AG1512">
        <v>-1.108688220506</v>
      </c>
      <c r="AH1512">
        <v>9.2613704600348594</v>
      </c>
      <c r="AI1512">
        <v>96.403760207932507</v>
      </c>
      <c r="AJ1512">
        <v>69.643201824003896</v>
      </c>
      <c r="AK1512">
        <v>9.9403475151125598</v>
      </c>
      <c r="AL1512">
        <v>86.256437727749898</v>
      </c>
      <c r="AM1512">
        <v>83.853012488961298</v>
      </c>
      <c r="AN1512">
        <v>1.00000000241441</v>
      </c>
    </row>
    <row r="1513" spans="1:40" x14ac:dyDescent="0.25">
      <c r="A1513" t="str">
        <f>"20190312153917477"</f>
        <v>20190312153917477</v>
      </c>
      <c r="B1513" t="str">
        <f>"1552376357467661"</f>
        <v>1552376357467661</v>
      </c>
      <c r="C1513" t="s">
        <v>40</v>
      </c>
      <c r="D1513">
        <v>4.2292540000000001</v>
      </c>
      <c r="E1513">
        <v>0.59666140000000001</v>
      </c>
      <c r="F1513" t="s">
        <v>49</v>
      </c>
      <c r="G1513">
        <v>-206.27619999999999</v>
      </c>
      <c r="H1513" s="1">
        <v>-5.1573919999999997E-6</v>
      </c>
      <c r="I1513">
        <v>362.36430000000001</v>
      </c>
      <c r="J1513">
        <v>-215.05629999999999</v>
      </c>
      <c r="K1513">
        <v>1.1087070000000001</v>
      </c>
      <c r="L1513">
        <v>367.40679999999998</v>
      </c>
      <c r="M1513">
        <v>0.98608879999999999</v>
      </c>
      <c r="N1513">
        <v>0</v>
      </c>
      <c r="O1513">
        <v>-0.1656157</v>
      </c>
      <c r="P1513">
        <v>0.96149910000000005</v>
      </c>
      <c r="Q1513">
        <v>5.250262E-2</v>
      </c>
      <c r="R1513">
        <v>-0.2697464</v>
      </c>
      <c r="S1513">
        <v>2.7070620000000001</v>
      </c>
      <c r="T1513">
        <v>-0.33823229999999999</v>
      </c>
      <c r="U1513">
        <v>-1.543884</v>
      </c>
      <c r="V1513">
        <v>0.10707700000000001</v>
      </c>
      <c r="W1513">
        <v>6.6052299999999994E-2</v>
      </c>
      <c r="X1513">
        <v>0.9920542</v>
      </c>
      <c r="Y1513">
        <v>0.34366170000000001</v>
      </c>
      <c r="Z1513">
        <v>-9.9004059999999996E-4</v>
      </c>
      <c r="AA1513">
        <v>0.93909299999999996</v>
      </c>
      <c r="AB1513">
        <v>17</v>
      </c>
      <c r="AC1513">
        <v>8.7800999999999991</v>
      </c>
      <c r="AD1513">
        <v>-1.10871215739199</v>
      </c>
      <c r="AE1513">
        <v>-5.0424999999999596</v>
      </c>
      <c r="AF1513">
        <v>3.4768926795893398</v>
      </c>
      <c r="AG1513">
        <v>-1.10871215739199</v>
      </c>
      <c r="AH1513">
        <v>9.38153590495833</v>
      </c>
      <c r="AI1513">
        <v>96.3234160771093</v>
      </c>
      <c r="AJ1513">
        <v>69.664781628188905</v>
      </c>
      <c r="AK1513">
        <v>10.066342001410099</v>
      </c>
      <c r="AL1513">
        <v>86.212724509334194</v>
      </c>
      <c r="AM1513">
        <v>83.839649997392996</v>
      </c>
      <c r="AN1513">
        <v>0.99999996300096405</v>
      </c>
    </row>
    <row r="1514" spans="1:40" x14ac:dyDescent="0.25">
      <c r="A1514" t="str">
        <f>"20190312153917492"</f>
        <v>20190312153917492</v>
      </c>
      <c r="B1514" t="str">
        <f>"1552376357487180"</f>
        <v>1552376357487180</v>
      </c>
      <c r="C1514" t="s">
        <v>40</v>
      </c>
      <c r="D1514">
        <v>4.2010589999999999</v>
      </c>
      <c r="E1514">
        <v>0.59652469999999902</v>
      </c>
      <c r="F1514" t="s">
        <v>49</v>
      </c>
      <c r="G1514">
        <v>-206.1079</v>
      </c>
      <c r="H1514" s="1">
        <v>-5.0978959999999998E-6</v>
      </c>
      <c r="I1514">
        <v>362.27890000000002</v>
      </c>
      <c r="J1514">
        <v>-214.94659999999999</v>
      </c>
      <c r="K1514">
        <v>1.1087290000000001</v>
      </c>
      <c r="L1514">
        <v>367.38510000000002</v>
      </c>
      <c r="M1514">
        <v>0.98564130000000005</v>
      </c>
      <c r="N1514">
        <v>0</v>
      </c>
      <c r="O1514">
        <v>-0.16825809999999999</v>
      </c>
      <c r="P1514">
        <v>0.96040409999999998</v>
      </c>
      <c r="Q1514">
        <v>5.3537460000000002E-2</v>
      </c>
      <c r="R1514">
        <v>-0.27341890000000002</v>
      </c>
      <c r="S1514">
        <v>2.703735</v>
      </c>
      <c r="T1514">
        <v>-0.33499489999999998</v>
      </c>
      <c r="U1514">
        <v>-1.549377</v>
      </c>
      <c r="V1514">
        <v>0.1082205</v>
      </c>
      <c r="W1514">
        <v>6.7079979999999997E-2</v>
      </c>
      <c r="X1514">
        <v>0.9918612</v>
      </c>
      <c r="Y1514">
        <v>0.3431169</v>
      </c>
      <c r="Z1514">
        <v>-6.57253E-4</v>
      </c>
      <c r="AA1514">
        <v>0.93929249999999997</v>
      </c>
      <c r="AB1514">
        <v>17</v>
      </c>
      <c r="AC1514">
        <v>8.8386999999999798</v>
      </c>
      <c r="AD1514">
        <v>-1.1087340978960001</v>
      </c>
      <c r="AE1514">
        <v>-5.1062000000000003</v>
      </c>
      <c r="AF1514">
        <v>3.5047060181737701</v>
      </c>
      <c r="AG1514">
        <v>-1.1087340978960001</v>
      </c>
      <c r="AH1514">
        <v>9.46029512773557</v>
      </c>
      <c r="AI1514">
        <v>96.2716111637002</v>
      </c>
      <c r="AJ1514">
        <v>69.672107268370397</v>
      </c>
      <c r="AK1514">
        <v>10.1493566041162</v>
      </c>
      <c r="AL1514">
        <v>86.153712109037599</v>
      </c>
      <c r="AM1514">
        <v>83.773174206342603</v>
      </c>
      <c r="AN1514">
        <v>1.00000002020124</v>
      </c>
    </row>
    <row r="1515" spans="1:40" x14ac:dyDescent="0.25">
      <c r="A1515" t="str">
        <f>"20190312153917506"</f>
        <v>20190312153917506</v>
      </c>
      <c r="B1515" t="str">
        <f>"1552376357496941"</f>
        <v>1552376357496941</v>
      </c>
      <c r="C1515" t="s">
        <v>40</v>
      </c>
      <c r="D1515">
        <v>4.2248000000000001</v>
      </c>
      <c r="E1515">
        <v>0.59640839999999995</v>
      </c>
      <c r="F1515" t="s">
        <v>49</v>
      </c>
      <c r="G1515">
        <v>-205.8972</v>
      </c>
      <c r="H1515" s="1">
        <v>-5.0254350000000001E-6</v>
      </c>
      <c r="I1515">
        <v>362.16300000000001</v>
      </c>
      <c r="J1515">
        <v>-214.84110000000001</v>
      </c>
      <c r="K1515">
        <v>1.1087560000000001</v>
      </c>
      <c r="L1515">
        <v>367.36399999999998</v>
      </c>
      <c r="M1515">
        <v>0.98520680000000005</v>
      </c>
      <c r="N1515">
        <v>0</v>
      </c>
      <c r="O1515">
        <v>-0.17078470000000001</v>
      </c>
      <c r="P1515">
        <v>0.95940859999999994</v>
      </c>
      <c r="Q1515">
        <v>5.368245E-2</v>
      </c>
      <c r="R1515">
        <v>-0.27686319999999998</v>
      </c>
      <c r="S1515">
        <v>2.6987459999999999</v>
      </c>
      <c r="T1515">
        <v>-0.33065040000000001</v>
      </c>
      <c r="U1515">
        <v>-1.5573429999999999</v>
      </c>
      <c r="V1515">
        <v>0.1092356</v>
      </c>
      <c r="W1515">
        <v>6.7219860000000006E-2</v>
      </c>
      <c r="X1515">
        <v>0.99174039999999997</v>
      </c>
      <c r="Y1515">
        <v>0.3435763</v>
      </c>
      <c r="Z1515">
        <v>-3.9958769999999999E-4</v>
      </c>
      <c r="AA1515">
        <v>0.93912470000000003</v>
      </c>
      <c r="AB1515">
        <v>17</v>
      </c>
      <c r="AC1515">
        <v>8.94390000000001</v>
      </c>
      <c r="AD1515">
        <v>-1.10876102543499</v>
      </c>
      <c r="AE1515">
        <v>-5.2010000000000201</v>
      </c>
      <c r="AF1515">
        <v>3.5560990111759301</v>
      </c>
      <c r="AG1515">
        <v>-1.10876102543499</v>
      </c>
      <c r="AH1515">
        <v>9.5906685012465598</v>
      </c>
      <c r="AI1515">
        <v>96.186525695545399</v>
      </c>
      <c r="AJ1515">
        <v>69.655854399458505</v>
      </c>
      <c r="AK1515">
        <v>10.288640021383401</v>
      </c>
      <c r="AL1515">
        <v>86.145679264495001</v>
      </c>
      <c r="AM1515">
        <v>83.714472889368594</v>
      </c>
      <c r="AN1515">
        <v>0.99999997343896896</v>
      </c>
    </row>
    <row r="1516" spans="1:40" x14ac:dyDescent="0.25">
      <c r="A1516" t="str">
        <f>"20190312153917517"</f>
        <v>20190312153917517</v>
      </c>
      <c r="B1516" t="str">
        <f>"1552376357507677"</f>
        <v>1552376357507677</v>
      </c>
      <c r="C1516" t="s">
        <v>40</v>
      </c>
      <c r="D1516">
        <v>4.2174889999999996</v>
      </c>
      <c r="E1516">
        <v>0.59633700000000001</v>
      </c>
      <c r="F1516" t="s">
        <v>49</v>
      </c>
      <c r="G1516">
        <v>-205.798</v>
      </c>
      <c r="H1516" s="1">
        <v>-4.9915310000000002E-6</v>
      </c>
      <c r="I1516">
        <v>362.10770000000002</v>
      </c>
      <c r="J1516">
        <v>-214.75540000000001</v>
      </c>
      <c r="K1516">
        <v>1.1087750000000001</v>
      </c>
      <c r="L1516">
        <v>367.3467</v>
      </c>
      <c r="M1516">
        <v>0.98485020000000001</v>
      </c>
      <c r="N1516">
        <v>0</v>
      </c>
      <c r="O1516">
        <v>-0.17282990000000001</v>
      </c>
      <c r="P1516">
        <v>0.95847090000000001</v>
      </c>
      <c r="Q1516">
        <v>5.415031E-2</v>
      </c>
      <c r="R1516">
        <v>-0.28000269999999999</v>
      </c>
      <c r="S1516">
        <v>2.6935880000000001</v>
      </c>
      <c r="T1516">
        <v>-0.33025860000000001</v>
      </c>
      <c r="U1516">
        <v>-1.5656429999999999</v>
      </c>
      <c r="V1516">
        <v>0.1104276</v>
      </c>
      <c r="W1516">
        <v>6.7680870000000004E-2</v>
      </c>
      <c r="X1516">
        <v>0.99157700000000004</v>
      </c>
      <c r="Y1516">
        <v>0.3445781</v>
      </c>
      <c r="Z1516">
        <v>-2.335459E-4</v>
      </c>
      <c r="AA1516">
        <v>0.93875770000000003</v>
      </c>
      <c r="AB1516">
        <v>17</v>
      </c>
      <c r="AC1516">
        <v>8.9573999999999998</v>
      </c>
      <c r="AD1516">
        <v>-1.1087799915309999</v>
      </c>
      <c r="AE1516">
        <v>-5.2389999999999697</v>
      </c>
      <c r="AF1516">
        <v>3.57111374857576</v>
      </c>
      <c r="AG1516">
        <v>-1.1087799915309999</v>
      </c>
      <c r="AH1516">
        <v>9.6183143910685391</v>
      </c>
      <c r="AI1516">
        <v>96.167997035594695</v>
      </c>
      <c r="AJ1516">
        <v>69.6309096397232</v>
      </c>
      <c r="AK1516">
        <v>10.3196035873633</v>
      </c>
      <c r="AL1516">
        <v>86.119204957327796</v>
      </c>
      <c r="AM1516">
        <v>83.645403484193693</v>
      </c>
      <c r="AN1516">
        <v>0.99999995096735705</v>
      </c>
    </row>
    <row r="1517" spans="1:40" x14ac:dyDescent="0.25">
      <c r="A1517" t="str">
        <f>"20190312153917536"</f>
        <v>20190312153917536</v>
      </c>
      <c r="B1517" t="str">
        <f>"1552376357527705"</f>
        <v>1552376357527705</v>
      </c>
      <c r="C1517" t="s">
        <v>40</v>
      </c>
      <c r="D1517">
        <v>4.2687429999999997</v>
      </c>
      <c r="E1517">
        <v>0.59622159999999902</v>
      </c>
      <c r="F1517" t="s">
        <v>49</v>
      </c>
      <c r="G1517">
        <v>-205.67959999999999</v>
      </c>
      <c r="H1517" s="1">
        <v>-4.9523809999999999E-6</v>
      </c>
      <c r="I1517">
        <v>362.03530000000001</v>
      </c>
      <c r="J1517">
        <v>-214.60990000000001</v>
      </c>
      <c r="K1517">
        <v>1.108814</v>
      </c>
      <c r="L1517">
        <v>367.31689999999998</v>
      </c>
      <c r="M1517">
        <v>0.98424319999999998</v>
      </c>
      <c r="N1517">
        <v>0</v>
      </c>
      <c r="O1517">
        <v>-0.17625479999999999</v>
      </c>
      <c r="P1517">
        <v>0.95672400000000002</v>
      </c>
      <c r="Q1517">
        <v>5.4349139999999997E-2</v>
      </c>
      <c r="R1517">
        <v>-0.28587679999999999</v>
      </c>
      <c r="S1517">
        <v>2.6888580000000002</v>
      </c>
      <c r="T1517">
        <v>-0.3284937</v>
      </c>
      <c r="U1517">
        <v>-1.5735779999999999</v>
      </c>
      <c r="V1517">
        <v>0.1130589</v>
      </c>
      <c r="W1517">
        <v>6.7867350000000007E-2</v>
      </c>
      <c r="X1517">
        <v>0.99126769999999997</v>
      </c>
      <c r="Y1517">
        <v>0.34412700000000002</v>
      </c>
      <c r="Z1517">
        <v>1.64877599999999E-4</v>
      </c>
      <c r="AA1517">
        <v>0.93892310000000001</v>
      </c>
      <c r="AB1517">
        <v>17</v>
      </c>
      <c r="AC1517">
        <v>8.9303000000000097</v>
      </c>
      <c r="AD1517">
        <v>-1.1088189523809999</v>
      </c>
      <c r="AE1517">
        <v>-5.2815999999999601</v>
      </c>
      <c r="AF1517">
        <v>3.5837997937716599</v>
      </c>
      <c r="AG1517">
        <v>-1.1088189523809999</v>
      </c>
      <c r="AH1517">
        <v>9.6116841359772902</v>
      </c>
      <c r="AI1517">
        <v>96.169280281498402</v>
      </c>
      <c r="AJ1517">
        <v>69.551593381797105</v>
      </c>
      <c r="AK1517">
        <v>10.3178278896672</v>
      </c>
      <c r="AL1517">
        <v>86.108495900377903</v>
      </c>
      <c r="AM1517">
        <v>83.493254959726798</v>
      </c>
      <c r="AN1517">
        <v>0.99999997256425999</v>
      </c>
    </row>
    <row r="1518" spans="1:40" x14ac:dyDescent="0.25">
      <c r="A1518" t="str">
        <f>"20190312153917551"</f>
        <v>20190312153917551</v>
      </c>
      <c r="B1518" t="str">
        <f>"1552376357537465"</f>
        <v>1552376357537465</v>
      </c>
      <c r="C1518" t="s">
        <v>40</v>
      </c>
      <c r="D1518">
        <v>4.2095339999999997</v>
      </c>
      <c r="E1518">
        <v>0.59608019999999995</v>
      </c>
      <c r="F1518" t="s">
        <v>49</v>
      </c>
      <c r="G1518">
        <v>-205.54570000000001</v>
      </c>
      <c r="H1518" s="1">
        <v>-4.9100350000000003E-6</v>
      </c>
      <c r="I1518">
        <v>361.94510000000002</v>
      </c>
      <c r="J1518">
        <v>-214.5076</v>
      </c>
      <c r="K1518">
        <v>1.108846</v>
      </c>
      <c r="L1518">
        <v>367.29559999999998</v>
      </c>
      <c r="M1518">
        <v>0.98381560000000001</v>
      </c>
      <c r="N1518">
        <v>0</v>
      </c>
      <c r="O1518">
        <v>-0.17862600000000001</v>
      </c>
      <c r="P1518">
        <v>0.955569</v>
      </c>
      <c r="Q1518">
        <v>5.4517749999999997E-2</v>
      </c>
      <c r="R1518">
        <v>-0.2896821</v>
      </c>
      <c r="S1518">
        <v>2.6797789999999999</v>
      </c>
      <c r="T1518">
        <v>-0.32781529999999998</v>
      </c>
      <c r="U1518">
        <v>-1.5881350000000001</v>
      </c>
      <c r="V1518">
        <v>0.1146133</v>
      </c>
      <c r="W1518">
        <v>6.8030049999999995E-2</v>
      </c>
      <c r="X1518">
        <v>0.99107800000000001</v>
      </c>
      <c r="Y1518">
        <v>0.3470318</v>
      </c>
      <c r="Z1518">
        <v>2.5651420000000002E-4</v>
      </c>
      <c r="AA1518">
        <v>0.9378533</v>
      </c>
      <c r="AB1518">
        <v>17</v>
      </c>
      <c r="AC1518">
        <v>8.9618999999999804</v>
      </c>
      <c r="AD1518">
        <v>-1.1088509100349999</v>
      </c>
      <c r="AE1518">
        <v>-5.3504999999999496</v>
      </c>
      <c r="AF1518">
        <v>3.6225580252663501</v>
      </c>
      <c r="AG1518">
        <v>-1.1088509100349999</v>
      </c>
      <c r="AH1518">
        <v>9.6644962298363595</v>
      </c>
      <c r="AI1518">
        <v>96.1320621958901</v>
      </c>
      <c r="AJ1518">
        <v>69.452417213114302</v>
      </c>
      <c r="AK1518">
        <v>10.3805088682409</v>
      </c>
      <c r="AL1518">
        <v>86.099152190534895</v>
      </c>
      <c r="AM1518">
        <v>83.4033280259668</v>
      </c>
      <c r="AN1518">
        <v>0.99999994916194501</v>
      </c>
    </row>
    <row r="1519" spans="1:40" x14ac:dyDescent="0.25">
      <c r="A1519" t="str">
        <f>"20190312153917562"</f>
        <v>20190312153917562</v>
      </c>
      <c r="B1519" t="str">
        <f>"1552376357547225"</f>
        <v>1552376357547225</v>
      </c>
      <c r="C1519" t="s">
        <v>40</v>
      </c>
      <c r="D1519">
        <v>4.2631709999999998</v>
      </c>
      <c r="E1519">
        <v>0.59599360000000001</v>
      </c>
      <c r="F1519" t="s">
        <v>49</v>
      </c>
      <c r="G1519">
        <v>-205.44669999999999</v>
      </c>
      <c r="H1519" s="1">
        <v>-4.8774930000000003E-6</v>
      </c>
      <c r="I1519">
        <v>361.88389999999998</v>
      </c>
      <c r="J1519">
        <v>-214.41890000000001</v>
      </c>
      <c r="K1519">
        <v>1.1088800000000001</v>
      </c>
      <c r="L1519">
        <v>367.27710000000002</v>
      </c>
      <c r="M1519">
        <v>0.98344419999999999</v>
      </c>
      <c r="N1519">
        <v>0</v>
      </c>
      <c r="O1519">
        <v>-0.18066080000000001</v>
      </c>
      <c r="P1519">
        <v>0.95450679999999999</v>
      </c>
      <c r="Q1519">
        <v>5.4032179999999999E-2</v>
      </c>
      <c r="R1519">
        <v>-0.29325410000000002</v>
      </c>
      <c r="S1519">
        <v>2.6740110000000001</v>
      </c>
      <c r="T1519">
        <v>-0.32723869999999999</v>
      </c>
      <c r="U1519">
        <v>-1.5970759999999999</v>
      </c>
      <c r="V1519">
        <v>0.1162585</v>
      </c>
      <c r="W1519">
        <v>6.7539089999999996E-2</v>
      </c>
      <c r="X1519">
        <v>0.99092000000000002</v>
      </c>
      <c r="Y1519">
        <v>0.34829979999999999</v>
      </c>
      <c r="Z1519">
        <v>4.0437470000000001E-4</v>
      </c>
      <c r="AA1519">
        <v>0.93738310000000002</v>
      </c>
      <c r="AB1519">
        <v>17</v>
      </c>
      <c r="AC1519">
        <v>8.9722000000000097</v>
      </c>
      <c r="AD1519">
        <v>-1.10888487749299</v>
      </c>
      <c r="AE1519">
        <v>-5.3932000000000304</v>
      </c>
      <c r="AF1519">
        <v>3.6424826329594602</v>
      </c>
      <c r="AG1519">
        <v>-1.10888487749299</v>
      </c>
      <c r="AH1519">
        <v>9.6902439878826403</v>
      </c>
      <c r="AI1519">
        <v>96.113961567289607</v>
      </c>
      <c r="AJ1519">
        <v>69.399174319774403</v>
      </c>
      <c r="AK1519">
        <v>10.4114424527843</v>
      </c>
      <c r="AL1519">
        <v>86.127347200848305</v>
      </c>
      <c r="AM1519">
        <v>83.3084323858548</v>
      </c>
      <c r="AN1519">
        <v>1.00000000695013</v>
      </c>
    </row>
    <row r="1520" spans="1:40" x14ac:dyDescent="0.25">
      <c r="A1520" t="str">
        <f>"20190312153917581"</f>
        <v>20190312153917581</v>
      </c>
      <c r="B1520" t="str">
        <f>"1552376357577481"</f>
        <v>1552376357577481</v>
      </c>
      <c r="C1520" t="s">
        <v>40</v>
      </c>
      <c r="D1520">
        <v>4.1511110000000002</v>
      </c>
      <c r="E1520">
        <v>0.59573580000000004</v>
      </c>
      <c r="F1520" t="s">
        <v>49</v>
      </c>
      <c r="G1520">
        <v>-205.42240000000001</v>
      </c>
      <c r="H1520" s="1">
        <v>-4.8708519999999998E-6</v>
      </c>
      <c r="I1520">
        <v>361.86270000000002</v>
      </c>
      <c r="J1520">
        <v>-214.27770000000001</v>
      </c>
      <c r="K1520">
        <v>1.1089359999999999</v>
      </c>
      <c r="L1520">
        <v>367.24709999999999</v>
      </c>
      <c r="M1520">
        <v>0.98285440000000002</v>
      </c>
      <c r="N1520">
        <v>0</v>
      </c>
      <c r="O1520">
        <v>-0.18384200000000001</v>
      </c>
      <c r="P1520">
        <v>0.95258310000000002</v>
      </c>
      <c r="Q1520">
        <v>5.2568049999999998E-2</v>
      </c>
      <c r="R1520">
        <v>-0.29970350000000001</v>
      </c>
      <c r="S1520">
        <v>2.668228</v>
      </c>
      <c r="T1520">
        <v>-0.32887660000000002</v>
      </c>
      <c r="U1520">
        <v>-1.605804</v>
      </c>
      <c r="V1520">
        <v>0.1197257</v>
      </c>
      <c r="W1520">
        <v>6.6064670000000006E-2</v>
      </c>
      <c r="X1520">
        <v>0.99060649999999995</v>
      </c>
      <c r="Y1520">
        <v>0.34842210000000001</v>
      </c>
      <c r="Z1520">
        <v>7.4573049999999996E-4</v>
      </c>
      <c r="AA1520">
        <v>0.93733750000000005</v>
      </c>
      <c r="AB1520">
        <v>17</v>
      </c>
      <c r="AC1520">
        <v>8.8552999999999997</v>
      </c>
      <c r="AD1520">
        <v>-1.1089408708519899</v>
      </c>
      <c r="AE1520">
        <v>-5.3843999999999701</v>
      </c>
      <c r="AF1520">
        <v>3.6229896659002798</v>
      </c>
      <c r="AG1520">
        <v>-1.1089408708519899</v>
      </c>
      <c r="AH1520">
        <v>9.5845788280250801</v>
      </c>
      <c r="AI1520">
        <v>96.176885414584603</v>
      </c>
      <c r="AJ1520">
        <v>69.293309168274305</v>
      </c>
      <c r="AK1520">
        <v>10.3063065782506</v>
      </c>
      <c r="AL1520">
        <v>86.212014390569195</v>
      </c>
      <c r="AM1520">
        <v>83.108599732586796</v>
      </c>
      <c r="AN1520">
        <v>1.00000001085247</v>
      </c>
    </row>
    <row r="1521" spans="1:40" x14ac:dyDescent="0.25">
      <c r="A1521" t="str">
        <f>"20190312153917596"</f>
        <v>20190312153917596</v>
      </c>
      <c r="B1521" t="str">
        <f>"1552376357587241"</f>
        <v>1552376357587241</v>
      </c>
      <c r="C1521" t="s">
        <v>40</v>
      </c>
      <c r="D1521">
        <v>4.2978930000000002</v>
      </c>
      <c r="E1521">
        <v>0.59227030000000003</v>
      </c>
      <c r="F1521" t="s">
        <v>49</v>
      </c>
      <c r="G1521">
        <v>-205.447</v>
      </c>
      <c r="H1521" s="1">
        <v>-4.882021E-6</v>
      </c>
      <c r="I1521">
        <v>361.86399999999998</v>
      </c>
      <c r="J1521">
        <v>-214.17099999999999</v>
      </c>
      <c r="K1521">
        <v>1.108981</v>
      </c>
      <c r="L1521">
        <v>367.22430000000003</v>
      </c>
      <c r="M1521">
        <v>0.98241160000000005</v>
      </c>
      <c r="N1521">
        <v>0</v>
      </c>
      <c r="O1521">
        <v>-0.18619459999999999</v>
      </c>
      <c r="P1521">
        <v>0.95131770000000004</v>
      </c>
      <c r="Q1521">
        <v>5.1400870000000001E-2</v>
      </c>
      <c r="R1521">
        <v>-0.30389640000000001</v>
      </c>
      <c r="S1521">
        <v>2.657959</v>
      </c>
      <c r="T1521">
        <v>-0.33378010000000002</v>
      </c>
      <c r="U1521">
        <v>-1.6202700000000001</v>
      </c>
      <c r="V1521">
        <v>0.1216938</v>
      </c>
      <c r="W1521">
        <v>6.4895599999999998E-2</v>
      </c>
      <c r="X1521">
        <v>0.99044390000000004</v>
      </c>
      <c r="Y1521">
        <v>0.35147020000000001</v>
      </c>
      <c r="Z1521">
        <v>8.4069560000000002E-4</v>
      </c>
      <c r="AA1521">
        <v>0.93619870000000005</v>
      </c>
      <c r="AB1521">
        <v>17</v>
      </c>
      <c r="AC1521">
        <v>8.7239999999999895</v>
      </c>
      <c r="AD1521">
        <v>-1.1089858820209999</v>
      </c>
      <c r="AE1521">
        <v>-5.3602999999999899</v>
      </c>
      <c r="AF1521">
        <v>3.5997938347471599</v>
      </c>
      <c r="AG1521">
        <v>-1.1089858820209999</v>
      </c>
      <c r="AH1521">
        <v>9.4586146236950892</v>
      </c>
      <c r="AI1521">
        <v>96.253435932195799</v>
      </c>
      <c r="AJ1521">
        <v>69.163994787954806</v>
      </c>
      <c r="AK1521">
        <v>10.181048862410201</v>
      </c>
      <c r="AL1521">
        <v>86.279141079142406</v>
      </c>
      <c r="AM1521">
        <v>82.995293825444804</v>
      </c>
      <c r="AN1521">
        <v>0.99999996945250402</v>
      </c>
    </row>
    <row r="1522" spans="1:40" x14ac:dyDescent="0.25">
      <c r="A1522" t="str">
        <f>"20190312153917608"</f>
        <v>20190312153917608</v>
      </c>
      <c r="B1522" t="str">
        <f>"1552376357597001"</f>
        <v>1552376357597001</v>
      </c>
      <c r="C1522" t="s">
        <v>40</v>
      </c>
      <c r="D1522">
        <v>4.2742329999999997</v>
      </c>
      <c r="E1522">
        <v>0.59165590000000001</v>
      </c>
      <c r="F1522" t="s">
        <v>49</v>
      </c>
      <c r="G1522">
        <v>-204.07849999999999</v>
      </c>
      <c r="H1522" s="1">
        <v>-4.3746950000000003E-6</v>
      </c>
      <c r="I1522">
        <v>361.1216</v>
      </c>
      <c r="J1522">
        <v>-214.08070000000001</v>
      </c>
      <c r="K1522">
        <v>1.109019</v>
      </c>
      <c r="L1522">
        <v>367.2047</v>
      </c>
      <c r="M1522">
        <v>0.98204060000000004</v>
      </c>
      <c r="N1522">
        <v>0</v>
      </c>
      <c r="O1522">
        <v>-0.18814239999999999</v>
      </c>
      <c r="P1522">
        <v>0.95019750000000003</v>
      </c>
      <c r="Q1522">
        <v>5.0032069999999998E-2</v>
      </c>
      <c r="R1522">
        <v>-0.30760690000000002</v>
      </c>
      <c r="S1522">
        <v>2.6562190000000001</v>
      </c>
      <c r="T1522">
        <v>-0.29186889999999999</v>
      </c>
      <c r="U1522">
        <v>-1.6061399999999999</v>
      </c>
      <c r="V1522">
        <v>0.12357029999999999</v>
      </c>
      <c r="W1522">
        <v>6.3524189999999994E-2</v>
      </c>
      <c r="X1522">
        <v>0.99030050000000003</v>
      </c>
      <c r="Y1522">
        <v>0.34648859999999998</v>
      </c>
      <c r="Z1522">
        <v>1.1796630000000001E-3</v>
      </c>
      <c r="AA1522">
        <v>0.93805340000000004</v>
      </c>
      <c r="AB1522">
        <v>17</v>
      </c>
      <c r="AC1522">
        <v>10.0022</v>
      </c>
      <c r="AD1522">
        <v>-1.109023374695</v>
      </c>
      <c r="AE1522">
        <v>-6.0831</v>
      </c>
      <c r="AF1522">
        <v>4.0560192726068198</v>
      </c>
      <c r="AG1522">
        <v>-1.109023374695</v>
      </c>
      <c r="AH1522">
        <v>10.8705875888972</v>
      </c>
      <c r="AI1522">
        <v>95.459961455263098</v>
      </c>
      <c r="AJ1522">
        <v>69.538515580384001</v>
      </c>
      <c r="AK1522">
        <v>11.6555094145757</v>
      </c>
      <c r="AL1522">
        <v>86.357879727966804</v>
      </c>
      <c r="AM1522">
        <v>82.887360746662907</v>
      </c>
      <c r="AN1522">
        <v>1.0000000110287399</v>
      </c>
    </row>
    <row r="1523" spans="1:40" x14ac:dyDescent="0.25">
      <c r="A1523" t="str">
        <f>"20190312153917623"</f>
        <v>20190312153917623</v>
      </c>
      <c r="B1523" t="str">
        <f>"1552376357617498"</f>
        <v>1552376357617498</v>
      </c>
      <c r="C1523" t="s">
        <v>40</v>
      </c>
      <c r="D1523">
        <v>4.2941289999999999</v>
      </c>
      <c r="E1523">
        <v>0.59094579999999997</v>
      </c>
      <c r="F1523" t="s">
        <v>49</v>
      </c>
      <c r="G1523">
        <v>-204.61410000000001</v>
      </c>
      <c r="H1523" s="1">
        <v>-4.5706620000000004E-6</v>
      </c>
      <c r="I1523">
        <v>361.45339999999999</v>
      </c>
      <c r="J1523">
        <v>-213.98070000000001</v>
      </c>
      <c r="K1523">
        <v>1.109065</v>
      </c>
      <c r="L1523">
        <v>367.18299999999999</v>
      </c>
      <c r="M1523">
        <v>0.98163060000000002</v>
      </c>
      <c r="N1523">
        <v>0</v>
      </c>
      <c r="O1523">
        <v>-0.1902702</v>
      </c>
      <c r="P1523">
        <v>0.94911080000000003</v>
      </c>
      <c r="Q1523">
        <v>4.872373E-2</v>
      </c>
      <c r="R1523">
        <v>-0.3111505</v>
      </c>
      <c r="S1523">
        <v>2.6520079999999999</v>
      </c>
      <c r="T1523">
        <v>-0.31068499999999999</v>
      </c>
      <c r="U1523">
        <v>-1.6112059999999999</v>
      </c>
      <c r="V1523">
        <v>0.12509480000000001</v>
      </c>
      <c r="W1523">
        <v>6.2216899999999999E-2</v>
      </c>
      <c r="X1523">
        <v>0.99019210000000002</v>
      </c>
      <c r="Y1523">
        <v>0.3463444</v>
      </c>
      <c r="Z1523">
        <v>1.4833769999999999E-3</v>
      </c>
      <c r="AA1523">
        <v>0.9381062</v>
      </c>
      <c r="AB1523">
        <v>17</v>
      </c>
      <c r="AC1523">
        <v>9.3666</v>
      </c>
      <c r="AD1523">
        <v>-1.109069570662</v>
      </c>
      <c r="AE1523">
        <v>-5.72960000000006</v>
      </c>
      <c r="AF1523">
        <v>3.8037395874737698</v>
      </c>
      <c r="AG1523">
        <v>-1.109069570662</v>
      </c>
      <c r="AH1523">
        <v>10.1818539104937</v>
      </c>
      <c r="AI1523">
        <v>95.826195275966498</v>
      </c>
      <c r="AJ1523">
        <v>69.515304523505407</v>
      </c>
      <c r="AK1523">
        <v>10.925594684799499</v>
      </c>
      <c r="AL1523">
        <v>86.432930449342507</v>
      </c>
      <c r="AM1523">
        <v>82.799746697650505</v>
      </c>
      <c r="AN1523">
        <v>1.0000000232675199</v>
      </c>
    </row>
    <row r="1524" spans="1:40" x14ac:dyDescent="0.25">
      <c r="A1524" t="str">
        <f>"20190312153917637"</f>
        <v>20190312153917637</v>
      </c>
      <c r="B1524" t="str">
        <f>"1552376357627764"</f>
        <v>1552376357627764</v>
      </c>
      <c r="C1524" t="s">
        <v>40</v>
      </c>
      <c r="D1524">
        <v>4.2874689999999998</v>
      </c>
      <c r="E1524">
        <v>0.5903794</v>
      </c>
      <c r="F1524" t="s">
        <v>49</v>
      </c>
      <c r="G1524">
        <v>-204.84299999999999</v>
      </c>
      <c r="H1524" s="1">
        <v>-4.6513160000000003E-6</v>
      </c>
      <c r="I1524">
        <v>361.60919999999999</v>
      </c>
      <c r="J1524">
        <v>-213.86240000000001</v>
      </c>
      <c r="K1524">
        <v>1.1091120000000001</v>
      </c>
      <c r="L1524">
        <v>367.15699999999998</v>
      </c>
      <c r="M1524">
        <v>0.98115079999999999</v>
      </c>
      <c r="N1524">
        <v>0</v>
      </c>
      <c r="O1524">
        <v>-0.1927295</v>
      </c>
      <c r="P1524">
        <v>0.94761850000000003</v>
      </c>
      <c r="Q1524">
        <v>4.6432260000000003E-2</v>
      </c>
      <c r="R1524">
        <v>-0.31601119999999999</v>
      </c>
      <c r="S1524">
        <v>2.6478579999999998</v>
      </c>
      <c r="T1524">
        <v>-0.32137909999999997</v>
      </c>
      <c r="U1524">
        <v>-1.615143</v>
      </c>
      <c r="V1524">
        <v>0.1276506</v>
      </c>
      <c r="W1524">
        <v>5.9922839999999998E-2</v>
      </c>
      <c r="X1524">
        <v>0.99000730000000003</v>
      </c>
      <c r="Y1524">
        <v>0.34562530000000002</v>
      </c>
      <c r="Z1524">
        <v>1.8380580000000001E-3</v>
      </c>
      <c r="AA1524">
        <v>0.93837079999999995</v>
      </c>
      <c r="AB1524">
        <v>17</v>
      </c>
      <c r="AC1524">
        <v>9.0194000000000099</v>
      </c>
      <c r="AD1524">
        <v>-1.109116651316</v>
      </c>
      <c r="AE1524">
        <v>-5.5477999999999899</v>
      </c>
      <c r="AF1524">
        <v>3.6650824269854598</v>
      </c>
      <c r="AG1524">
        <v>-1.109116651316</v>
      </c>
      <c r="AH1524">
        <v>9.8119547213786902</v>
      </c>
      <c r="AI1524">
        <v>96.0445882261061</v>
      </c>
      <c r="AJ1524">
        <v>69.517713601826898</v>
      </c>
      <c r="AK1524">
        <v>10.5326836275096</v>
      </c>
      <c r="AL1524">
        <v>86.564615931382605</v>
      </c>
      <c r="AM1524">
        <v>82.652873715530404</v>
      </c>
      <c r="AN1524">
        <v>0.99999993824365596</v>
      </c>
    </row>
    <row r="1525" spans="1:40" x14ac:dyDescent="0.25">
      <c r="A1525" t="str">
        <f>"20190312153917656"</f>
        <v>20190312153917656</v>
      </c>
      <c r="B1525" t="str">
        <f>"1552376357647284"</f>
        <v>1552376357647284</v>
      </c>
      <c r="C1525" t="s">
        <v>40</v>
      </c>
      <c r="D1525">
        <v>4.3097339999999997</v>
      </c>
      <c r="E1525">
        <v>0.58954490000000004</v>
      </c>
      <c r="F1525" t="s">
        <v>49</v>
      </c>
      <c r="G1525">
        <v>-204.96199999999999</v>
      </c>
      <c r="H1525" s="1">
        <v>-4.6953179999999998E-6</v>
      </c>
      <c r="I1525">
        <v>361.68079999999998</v>
      </c>
      <c r="J1525">
        <v>-213.72540000000001</v>
      </c>
      <c r="K1525">
        <v>1.1091770000000001</v>
      </c>
      <c r="L1525">
        <v>367.12670000000003</v>
      </c>
      <c r="M1525">
        <v>0.98060519999999995</v>
      </c>
      <c r="N1525">
        <v>0</v>
      </c>
      <c r="O1525">
        <v>-0.19548779999999999</v>
      </c>
      <c r="P1525">
        <v>0.94627969999999895</v>
      </c>
      <c r="Q1525">
        <v>4.5563550000000001E-2</v>
      </c>
      <c r="R1525">
        <v>-0.32012360000000001</v>
      </c>
      <c r="S1525">
        <v>2.640228</v>
      </c>
      <c r="T1525">
        <v>-0.32901019999999997</v>
      </c>
      <c r="U1525">
        <v>-1.6244809999999901</v>
      </c>
      <c r="V1525">
        <v>0.12914619999999999</v>
      </c>
      <c r="W1525">
        <v>5.9057489999999997E-2</v>
      </c>
      <c r="X1525">
        <v>0.98986540000000001</v>
      </c>
      <c r="Y1525">
        <v>0.34657250000000001</v>
      </c>
      <c r="Z1525">
        <v>2.130641E-3</v>
      </c>
      <c r="AA1525">
        <v>0.93802079999999999</v>
      </c>
      <c r="AB1525">
        <v>17</v>
      </c>
      <c r="AC1525">
        <v>8.7633999999999901</v>
      </c>
      <c r="AD1525">
        <v>-1.109181695318</v>
      </c>
      <c r="AE1525">
        <v>-5.4459000000000497</v>
      </c>
      <c r="AF1525">
        <v>3.5860556528445802</v>
      </c>
      <c r="AG1525">
        <v>-1.109181695318</v>
      </c>
      <c r="AH1525">
        <v>9.5486464935895192</v>
      </c>
      <c r="AI1525">
        <v>96.206251431171196</v>
      </c>
      <c r="AJ1525">
        <v>69.416009011120394</v>
      </c>
      <c r="AK1525">
        <v>10.2599575553735</v>
      </c>
      <c r="AL1525">
        <v>86.614285081888198</v>
      </c>
      <c r="AM1525">
        <v>82.566695560170103</v>
      </c>
      <c r="AN1525">
        <v>1.00000001910835</v>
      </c>
    </row>
    <row r="1526" spans="1:40" x14ac:dyDescent="0.25">
      <c r="A1526" t="str">
        <f>"20190312153917670"</f>
        <v>20190312153917670</v>
      </c>
      <c r="B1526" t="str">
        <f>"1552376357657045"</f>
        <v>1552376357657045</v>
      </c>
      <c r="C1526" t="s">
        <v>40</v>
      </c>
      <c r="D1526">
        <v>4.2699189999999998</v>
      </c>
      <c r="E1526">
        <v>0.58894139999999995</v>
      </c>
      <c r="F1526" t="s">
        <v>49</v>
      </c>
      <c r="G1526">
        <v>-204.8554</v>
      </c>
      <c r="H1526" s="1">
        <v>-4.6504130000000001E-6</v>
      </c>
      <c r="I1526">
        <v>361.64139999999998</v>
      </c>
      <c r="J1526">
        <v>-213.62430000000001</v>
      </c>
      <c r="K1526">
        <v>1.1092139999999999</v>
      </c>
      <c r="L1526">
        <v>367.10410000000002</v>
      </c>
      <c r="M1526">
        <v>0.98020850000000004</v>
      </c>
      <c r="N1526">
        <v>0</v>
      </c>
      <c r="O1526">
        <v>-0.19746759999999999</v>
      </c>
      <c r="P1526">
        <v>0.94517019999999996</v>
      </c>
      <c r="Q1526">
        <v>4.5512869999999997E-2</v>
      </c>
      <c r="R1526">
        <v>-0.32339230000000002</v>
      </c>
      <c r="S1526">
        <v>2.6349640000000001</v>
      </c>
      <c r="T1526">
        <v>-0.32949840000000002</v>
      </c>
      <c r="U1526">
        <v>-1.629486</v>
      </c>
      <c r="V1526">
        <v>0.13056280000000001</v>
      </c>
      <c r="W1526">
        <v>5.9004649999999999E-2</v>
      </c>
      <c r="X1526">
        <v>0.98968270000000003</v>
      </c>
      <c r="Y1526">
        <v>0.34681000000000001</v>
      </c>
      <c r="Z1526">
        <v>2.3389909999999999E-3</v>
      </c>
      <c r="AA1526">
        <v>0.93793249999999995</v>
      </c>
      <c r="AB1526">
        <v>17</v>
      </c>
      <c r="AC1526">
        <v>8.7689000000000004</v>
      </c>
      <c r="AD1526">
        <v>-1.1092186504129999</v>
      </c>
      <c r="AE1526">
        <v>-5.4627000000000399</v>
      </c>
      <c r="AF1526">
        <v>3.5820779906021198</v>
      </c>
      <c r="AG1526">
        <v>-1.1092186504129999</v>
      </c>
      <c r="AH1526">
        <v>9.5647575806462797</v>
      </c>
      <c r="AI1526">
        <v>96.198203356194497</v>
      </c>
      <c r="AJ1526">
        <v>69.468674148175893</v>
      </c>
      <c r="AK1526">
        <v>10.2735697944634</v>
      </c>
      <c r="AL1526">
        <v>86.617317882841505</v>
      </c>
      <c r="AM1526">
        <v>82.484715342730098</v>
      </c>
      <c r="AN1526">
        <v>1.00000002007237</v>
      </c>
    </row>
    <row r="1527" spans="1:40" x14ac:dyDescent="0.25">
      <c r="A1527" t="str">
        <f>"20190312153917683"</f>
        <v>20190312153917683</v>
      </c>
      <c r="B1527" t="str">
        <f>"1552376357677541"</f>
        <v>1552376357677541</v>
      </c>
      <c r="C1527" t="s">
        <v>40</v>
      </c>
      <c r="D1527">
        <v>4.2921500000000004</v>
      </c>
      <c r="E1527">
        <v>0.5880145</v>
      </c>
      <c r="F1527" t="s">
        <v>49</v>
      </c>
      <c r="G1527">
        <v>-204.69829999999999</v>
      </c>
      <c r="H1527" s="1">
        <v>-4.5895979999999996E-6</v>
      </c>
      <c r="I1527">
        <v>361.55919999999998</v>
      </c>
      <c r="J1527">
        <v>-213.52879999999999</v>
      </c>
      <c r="K1527">
        <v>1.10924</v>
      </c>
      <c r="L1527">
        <v>367.08260000000001</v>
      </c>
      <c r="M1527">
        <v>0.97983589999999998</v>
      </c>
      <c r="N1527">
        <v>0</v>
      </c>
      <c r="O1527">
        <v>-0.19930890000000001</v>
      </c>
      <c r="P1527">
        <v>0.94365639999999995</v>
      </c>
      <c r="Q1527">
        <v>4.5217399999999998E-2</v>
      </c>
      <c r="R1527">
        <v>-0.32782349999999999</v>
      </c>
      <c r="S1527">
        <v>2.63063</v>
      </c>
      <c r="T1527">
        <v>-0.32690429999999998</v>
      </c>
      <c r="U1527">
        <v>-1.634155</v>
      </c>
      <c r="V1527">
        <v>0.13333989999999901</v>
      </c>
      <c r="W1527">
        <v>5.869953E-2</v>
      </c>
      <c r="X1527">
        <v>0.9893305</v>
      </c>
      <c r="Y1527">
        <v>0.3469623</v>
      </c>
      <c r="Z1527">
        <v>2.5138069999999998E-3</v>
      </c>
      <c r="AA1527">
        <v>0.93787569999999998</v>
      </c>
      <c r="AB1527">
        <v>17</v>
      </c>
      <c r="AC1527">
        <v>8.8305000000000007</v>
      </c>
      <c r="AD1527">
        <v>-1.1092445895980001</v>
      </c>
      <c r="AE1527">
        <v>-5.5234000000000298</v>
      </c>
      <c r="AF1527">
        <v>3.6114290609588799</v>
      </c>
      <c r="AG1527">
        <v>-1.1092445895980001</v>
      </c>
      <c r="AH1527">
        <v>9.6448769951429192</v>
      </c>
      <c r="AI1527">
        <v>96.147389639592504</v>
      </c>
      <c r="AJ1527">
        <v>69.472082959670402</v>
      </c>
      <c r="AK1527">
        <v>10.358402177620199</v>
      </c>
      <c r="AL1527">
        <v>86.634830260598804</v>
      </c>
      <c r="AM1527">
        <v>82.324049493067605</v>
      </c>
      <c r="AN1527">
        <v>1.0000000009922401</v>
      </c>
    </row>
    <row r="1528" spans="1:40" x14ac:dyDescent="0.25">
      <c r="A1528" t="str">
        <f>"20190312153917696"</f>
        <v>20190312153917696</v>
      </c>
      <c r="B1528" t="str">
        <f>"1552376357687300"</f>
        <v>1552376357687300</v>
      </c>
      <c r="C1528" t="s">
        <v>40</v>
      </c>
      <c r="D1528">
        <v>4.322038</v>
      </c>
      <c r="E1528">
        <v>0.58759849999999902</v>
      </c>
      <c r="F1528" t="s">
        <v>49</v>
      </c>
      <c r="G1528">
        <v>-204.4007</v>
      </c>
      <c r="H1528" s="1">
        <v>-4.4799729999999998E-6</v>
      </c>
      <c r="I1528">
        <v>361.37799999999999</v>
      </c>
      <c r="J1528">
        <v>-213.43430000000001</v>
      </c>
      <c r="K1528">
        <v>1.1092679999999999</v>
      </c>
      <c r="L1528">
        <v>367.06119999999999</v>
      </c>
      <c r="M1528">
        <v>0.97947019999999996</v>
      </c>
      <c r="N1528">
        <v>0</v>
      </c>
      <c r="O1528">
        <v>-0.20109859999999999</v>
      </c>
      <c r="P1528">
        <v>0.94253540000000002</v>
      </c>
      <c r="Q1528">
        <v>4.5219589999999997E-2</v>
      </c>
      <c r="R1528">
        <v>-0.33103270000000001</v>
      </c>
      <c r="S1528">
        <v>2.624603</v>
      </c>
      <c r="T1528">
        <v>-0.31894060000000002</v>
      </c>
      <c r="U1528">
        <v>-1.64022799999999</v>
      </c>
      <c r="V1528">
        <v>0.1348956</v>
      </c>
      <c r="W1528">
        <v>5.8697149999999997E-2</v>
      </c>
      <c r="X1528">
        <v>0.98911970000000005</v>
      </c>
      <c r="Y1528">
        <v>0.34781820000000002</v>
      </c>
      <c r="Z1528">
        <v>2.5976689999999999E-3</v>
      </c>
      <c r="AA1528">
        <v>0.93755840000000001</v>
      </c>
      <c r="AB1528">
        <v>17</v>
      </c>
      <c r="AC1528">
        <v>9.0335999999999999</v>
      </c>
      <c r="AD1528">
        <v>-1.1092724799729901</v>
      </c>
      <c r="AE1528">
        <v>-5.6831999999999399</v>
      </c>
      <c r="AF1528">
        <v>3.7101709473812599</v>
      </c>
      <c r="AG1528">
        <v>-1.1092724799729901</v>
      </c>
      <c r="AH1528">
        <v>9.8852244824599307</v>
      </c>
      <c r="AI1528">
        <v>95.997444619637207</v>
      </c>
      <c r="AJ1528">
        <v>69.427635884643394</v>
      </c>
      <c r="AK1528">
        <v>10.616662232653001</v>
      </c>
      <c r="AL1528">
        <v>86.634966788091702</v>
      </c>
      <c r="AM1528">
        <v>82.233944507497498</v>
      </c>
      <c r="AN1528">
        <v>0.99999997962278597</v>
      </c>
    </row>
    <row r="1529" spans="1:40" x14ac:dyDescent="0.25">
      <c r="A1529" t="str">
        <f>"20190312153917707"</f>
        <v>20190312153917707</v>
      </c>
      <c r="B1529" t="str">
        <f>"1552376357697062"</f>
        <v>1552376357697062</v>
      </c>
      <c r="C1529" t="s">
        <v>40</v>
      </c>
      <c r="D1529">
        <v>4.2461520000000004</v>
      </c>
      <c r="E1529">
        <v>0.58759849999999902</v>
      </c>
      <c r="F1529" t="s">
        <v>49</v>
      </c>
      <c r="G1529">
        <v>-204.25630000000001</v>
      </c>
      <c r="H1529" s="1">
        <v>-4.4258229999999996E-6</v>
      </c>
      <c r="I1529">
        <v>361.2946</v>
      </c>
      <c r="J1529">
        <v>-213.34700000000001</v>
      </c>
      <c r="K1529">
        <v>1.1092900000000001</v>
      </c>
      <c r="L1529">
        <v>367.04129999999998</v>
      </c>
      <c r="M1529">
        <v>0.97913680000000003</v>
      </c>
      <c r="N1529">
        <v>0</v>
      </c>
      <c r="O1529">
        <v>-0.20271620000000001</v>
      </c>
      <c r="P1529">
        <v>0.9415578</v>
      </c>
      <c r="Q1529">
        <v>4.470818E-2</v>
      </c>
      <c r="R1529">
        <v>-0.33387169999999999</v>
      </c>
      <c r="S1529">
        <v>2.6199490000000001</v>
      </c>
      <c r="T1529">
        <v>-0.31665179999999998</v>
      </c>
      <c r="U1529">
        <v>-1.6461490000000001</v>
      </c>
      <c r="V1529">
        <v>0.1362341</v>
      </c>
      <c r="W1529">
        <v>5.8180660000000002E-2</v>
      </c>
      <c r="X1529">
        <v>0.98896680000000003</v>
      </c>
      <c r="Y1529">
        <v>0.3485529</v>
      </c>
      <c r="Z1529">
        <v>2.7105829999999999E-3</v>
      </c>
      <c r="AA1529">
        <v>0.93728520000000004</v>
      </c>
      <c r="AB1529">
        <v>17</v>
      </c>
      <c r="AC1529">
        <v>9.0906999999999893</v>
      </c>
      <c r="AD1529">
        <v>-1.109294425823</v>
      </c>
      <c r="AE1529">
        <v>-5.7466999999999704</v>
      </c>
      <c r="AF1529">
        <v>3.7445097053246399</v>
      </c>
      <c r="AG1529">
        <v>-1.109294425823</v>
      </c>
      <c r="AH1529">
        <v>9.9610085039893104</v>
      </c>
      <c r="AI1529">
        <v>95.951110241914506</v>
      </c>
      <c r="AJ1529">
        <v>69.397919756834398</v>
      </c>
      <c r="AK1529">
        <v>10.699232564673901</v>
      </c>
      <c r="AL1529">
        <v>86.664610299777607</v>
      </c>
      <c r="AM1529">
        <v>82.156642743086294</v>
      </c>
      <c r="AN1529">
        <v>1.00000002535154</v>
      </c>
    </row>
    <row r="1530" spans="1:40" x14ac:dyDescent="0.25">
      <c r="A1530" t="str">
        <f>"20190312153917721"</f>
        <v>20190312153917721</v>
      </c>
      <c r="B1530" t="str">
        <f>"1552376357707796"</f>
        <v>1552376357707796</v>
      </c>
      <c r="C1530" t="s">
        <v>40</v>
      </c>
      <c r="D1530">
        <v>4.2791259999999998</v>
      </c>
      <c r="E1530">
        <v>0.57981640000000001</v>
      </c>
      <c r="F1530" t="s">
        <v>49</v>
      </c>
      <c r="G1530">
        <v>-204.22630000000001</v>
      </c>
      <c r="H1530" s="1">
        <v>-4.415803E-6</v>
      </c>
      <c r="I1530">
        <v>361.27179999999998</v>
      </c>
      <c r="J1530">
        <v>-213.2499</v>
      </c>
      <c r="K1530">
        <v>1.1093109999999999</v>
      </c>
      <c r="L1530">
        <v>367.01900000000001</v>
      </c>
      <c r="M1530">
        <v>0.97876649999999998</v>
      </c>
      <c r="N1530">
        <v>0</v>
      </c>
      <c r="O1530">
        <v>-0.20449700000000001</v>
      </c>
      <c r="P1530">
        <v>0.94058350000000002</v>
      </c>
      <c r="Q1530">
        <v>4.4973850000000003E-2</v>
      </c>
      <c r="R1530">
        <v>-0.33657150000000002</v>
      </c>
      <c r="S1530">
        <v>2.614792</v>
      </c>
      <c r="T1530">
        <v>-0.318023</v>
      </c>
      <c r="U1530">
        <v>-1.65405299999999</v>
      </c>
      <c r="V1530">
        <v>0.13727310000000001</v>
      </c>
      <c r="W1530">
        <v>5.8442479999999998E-2</v>
      </c>
      <c r="X1530">
        <v>0.98880769999999996</v>
      </c>
      <c r="Y1530">
        <v>0.34970269999999998</v>
      </c>
      <c r="Z1530">
        <v>2.8482429999999999E-3</v>
      </c>
      <c r="AA1530">
        <v>0.93685640000000003</v>
      </c>
      <c r="AB1530">
        <v>17</v>
      </c>
      <c r="AC1530">
        <v>9.0235999999999805</v>
      </c>
      <c r="AD1530">
        <v>-1.1093154158030001</v>
      </c>
      <c r="AE1530">
        <v>-5.7472000000000198</v>
      </c>
      <c r="AF1530">
        <v>3.7400290211066798</v>
      </c>
      <c r="AG1530">
        <v>-1.1093154158030001</v>
      </c>
      <c r="AH1530">
        <v>9.9018087736634097</v>
      </c>
      <c r="AI1530">
        <v>95.983025939907904</v>
      </c>
      <c r="AJ1530">
        <v>69.307862497493502</v>
      </c>
      <c r="AK1530">
        <v>10.6425661736564</v>
      </c>
      <c r="AL1530">
        <v>86.6495836244424</v>
      </c>
      <c r="AM1530">
        <v>82.096322249026301</v>
      </c>
      <c r="AN1530">
        <v>1.00000004751572</v>
      </c>
    </row>
    <row r="1531" spans="1:40" x14ac:dyDescent="0.25">
      <c r="A1531" t="str">
        <f>"20190312153917737"</f>
        <v>20190312153917737</v>
      </c>
      <c r="B1531" t="str">
        <f>"1552376357727823"</f>
        <v>1552376357727823</v>
      </c>
      <c r="C1531" t="s">
        <v>40</v>
      </c>
      <c r="D1531">
        <v>4.2627030000000001</v>
      </c>
      <c r="E1531">
        <v>0.58023719999999901</v>
      </c>
      <c r="F1531" t="s">
        <v>49</v>
      </c>
      <c r="G1531">
        <v>-201.36429999999999</v>
      </c>
      <c r="H1531" s="1">
        <v>-3.310479E-6</v>
      </c>
      <c r="I1531">
        <v>359.76119999999997</v>
      </c>
      <c r="J1531">
        <v>-213.12889999999999</v>
      </c>
      <c r="K1531">
        <v>1.109337</v>
      </c>
      <c r="L1531">
        <v>366.99099999999999</v>
      </c>
      <c r="M1531">
        <v>0.97830669999999997</v>
      </c>
      <c r="N1531">
        <v>0</v>
      </c>
      <c r="O1531">
        <v>-0.20668590000000001</v>
      </c>
      <c r="P1531">
        <v>0.93928880000000003</v>
      </c>
      <c r="Q1531">
        <v>4.5246349999999998E-2</v>
      </c>
      <c r="R1531">
        <v>-0.34013110000000002</v>
      </c>
      <c r="S1531">
        <v>2.6271969999999998</v>
      </c>
      <c r="T1531">
        <v>-0.24520239999999999</v>
      </c>
      <c r="U1531">
        <v>-1.6042479999999999</v>
      </c>
      <c r="V1531">
        <v>0.1388076</v>
      </c>
      <c r="W1531">
        <v>5.8706670000000002E-2</v>
      </c>
      <c r="X1531">
        <v>0.9885777</v>
      </c>
      <c r="Y1531">
        <v>0.3330844</v>
      </c>
      <c r="Z1531">
        <v>3.0994600000000001E-3</v>
      </c>
      <c r="AA1531">
        <v>0.94289199999999995</v>
      </c>
      <c r="AB1531">
        <v>17</v>
      </c>
      <c r="AC1531">
        <v>11.7646</v>
      </c>
      <c r="AD1531">
        <v>-1.1093403104790001</v>
      </c>
      <c r="AE1531">
        <v>-7.2298000000000098</v>
      </c>
      <c r="AF1531">
        <v>4.6120752673600398</v>
      </c>
      <c r="AG1531">
        <v>-1.1093403104790001</v>
      </c>
      <c r="AH1531">
        <v>12.9215686168174</v>
      </c>
      <c r="AI1531">
        <v>94.622637356722507</v>
      </c>
      <c r="AJ1531">
        <v>70.357072392429899</v>
      </c>
      <c r="AK1531">
        <v>13.764766969163301</v>
      </c>
      <c r="AL1531">
        <v>86.634420276496201</v>
      </c>
      <c r="AM1531">
        <v>82.007271347815902</v>
      </c>
      <c r="AN1531">
        <v>0.99999994592876795</v>
      </c>
    </row>
    <row r="1532" spans="1:40" x14ac:dyDescent="0.25">
      <c r="A1532" t="str">
        <f>"20190312153917755"</f>
        <v>20190312153917755</v>
      </c>
      <c r="B1532" t="str">
        <f>"1552376357747344"</f>
        <v>1552376357747344</v>
      </c>
      <c r="C1532" t="s">
        <v>40</v>
      </c>
      <c r="D1532">
        <v>4.2610479999999997</v>
      </c>
      <c r="E1532">
        <v>0.58051809999999904</v>
      </c>
      <c r="F1532" t="s">
        <v>49</v>
      </c>
      <c r="G1532">
        <v>-202.01820000000001</v>
      </c>
      <c r="H1532" s="1">
        <v>-3.5572340000000001E-6</v>
      </c>
      <c r="I1532">
        <v>360.13260000000002</v>
      </c>
      <c r="J1532">
        <v>-213.00069999999999</v>
      </c>
      <c r="K1532">
        <v>1.1093489999999999</v>
      </c>
      <c r="L1532">
        <v>366.96109999999999</v>
      </c>
      <c r="M1532">
        <v>0.97782069999999999</v>
      </c>
      <c r="N1532">
        <v>0</v>
      </c>
      <c r="O1532">
        <v>-0.2089742</v>
      </c>
      <c r="P1532">
        <v>0.93836339999999996</v>
      </c>
      <c r="Q1532">
        <v>4.5643360000000001E-2</v>
      </c>
      <c r="R1532">
        <v>-0.34262419999999999</v>
      </c>
      <c r="S1532">
        <v>2.6206969999999998</v>
      </c>
      <c r="T1532">
        <v>-0.26166270000000003</v>
      </c>
      <c r="U1532">
        <v>-1.6177060000000001</v>
      </c>
      <c r="V1532">
        <v>0.13912339999999901</v>
      </c>
      <c r="W1532">
        <v>5.909843E-2</v>
      </c>
      <c r="X1532">
        <v>0.98851</v>
      </c>
      <c r="Y1532">
        <v>0.33537640000000002</v>
      </c>
      <c r="Z1532">
        <v>3.4025180000000002E-3</v>
      </c>
      <c r="AA1532">
        <v>0.94207810000000003</v>
      </c>
      <c r="AB1532">
        <v>17</v>
      </c>
      <c r="AC1532">
        <v>10.9824999999999</v>
      </c>
      <c r="AD1532">
        <v>-1.1093525572339999</v>
      </c>
      <c r="AE1532">
        <v>-6.82849999999996</v>
      </c>
      <c r="AF1532">
        <v>4.3504075310863097</v>
      </c>
      <c r="AG1532">
        <v>-1.1093525572339999</v>
      </c>
      <c r="AH1532">
        <v>12.078213858398801</v>
      </c>
      <c r="AI1532">
        <v>94.938827574971</v>
      </c>
      <c r="AJ1532">
        <v>70.191673106552102</v>
      </c>
      <c r="AK1532">
        <v>12.885649335287299</v>
      </c>
      <c r="AL1532">
        <v>86.611935164253893</v>
      </c>
      <c r="AM1532">
        <v>81.988781438363901</v>
      </c>
      <c r="AN1532">
        <v>0.99999998247801203</v>
      </c>
    </row>
    <row r="1533" spans="1:40" x14ac:dyDescent="0.25">
      <c r="A1533" t="str">
        <f>"20190312153917767"</f>
        <v>20190312153917767</v>
      </c>
      <c r="B1533" t="str">
        <f>"1552376357757104"</f>
        <v>1552376357757104</v>
      </c>
      <c r="C1533" t="s">
        <v>40</v>
      </c>
      <c r="D1533">
        <v>4.2937649999999996</v>
      </c>
      <c r="E1533">
        <v>0.58041969999999898</v>
      </c>
      <c r="F1533" t="s">
        <v>49</v>
      </c>
      <c r="G1533">
        <v>-202.19900000000001</v>
      </c>
      <c r="H1533" s="1">
        <v>-3.623556E-6</v>
      </c>
      <c r="I1533">
        <v>360.24360000000001</v>
      </c>
      <c r="J1533">
        <v>-212.90719999999999</v>
      </c>
      <c r="K1533">
        <v>1.1093569999999999</v>
      </c>
      <c r="L1533">
        <v>366.93900000000002</v>
      </c>
      <c r="M1533">
        <v>0.97746460000000002</v>
      </c>
      <c r="N1533">
        <v>0</v>
      </c>
      <c r="O1533">
        <v>-0.2106334</v>
      </c>
      <c r="P1533">
        <v>0.93774349999999995</v>
      </c>
      <c r="Q1533">
        <v>4.5623940000000002E-2</v>
      </c>
      <c r="R1533">
        <v>-0.34431879999999998</v>
      </c>
      <c r="S1533">
        <v>2.6161189999999999</v>
      </c>
      <c r="T1533">
        <v>-0.26867929999999901</v>
      </c>
      <c r="U1533">
        <v>-1.6269229999999999</v>
      </c>
      <c r="V1533">
        <v>0.13923089999999999</v>
      </c>
      <c r="W1533">
        <v>5.9075570000000001E-2</v>
      </c>
      <c r="X1533">
        <v>0.98849620000000005</v>
      </c>
      <c r="Y1533">
        <v>0.33688679999999999</v>
      </c>
      <c r="Z1533">
        <v>3.571847E-3</v>
      </c>
      <c r="AA1533">
        <v>0.9415384</v>
      </c>
      <c r="AB1533">
        <v>17</v>
      </c>
      <c r="AC1533">
        <v>10.7081999999999</v>
      </c>
      <c r="AD1533">
        <v>-1.1093606235559901</v>
      </c>
      <c r="AE1533">
        <v>-6.6954000000000002</v>
      </c>
      <c r="AF1533">
        <v>4.25658889388232</v>
      </c>
      <c r="AG1533">
        <v>-1.1093606235559901</v>
      </c>
      <c r="AH1533">
        <v>11.787375259585501</v>
      </c>
      <c r="AI1533">
        <v>95.058607982209494</v>
      </c>
      <c r="AJ1533">
        <v>70.144627746938497</v>
      </c>
      <c r="AK1533">
        <v>12.581392828892501</v>
      </c>
      <c r="AL1533">
        <v>86.6132471346926</v>
      </c>
      <c r="AM1533">
        <v>81.982561193047403</v>
      </c>
      <c r="AN1533">
        <v>0.99999995195003599</v>
      </c>
    </row>
    <row r="1534" spans="1:40" x14ac:dyDescent="0.25">
      <c r="A1534" t="str">
        <f>"20190312153917782"</f>
        <v>20190312153917782</v>
      </c>
      <c r="B1534" t="str">
        <f>"1552376357777600"</f>
        <v>1552376357777600</v>
      </c>
      <c r="C1534" t="s">
        <v>40</v>
      </c>
      <c r="D1534">
        <v>4.288322</v>
      </c>
      <c r="E1534">
        <v>0.58006780000000002</v>
      </c>
      <c r="F1534" t="s">
        <v>49</v>
      </c>
      <c r="G1534">
        <v>-202.2021</v>
      </c>
      <c r="H1534" s="1">
        <v>-3.6224089999999999E-6</v>
      </c>
      <c r="I1534">
        <v>360.2559</v>
      </c>
      <c r="J1534">
        <v>-212.8031</v>
      </c>
      <c r="K1534">
        <v>1.1093580000000001</v>
      </c>
      <c r="L1534">
        <v>366.91430000000003</v>
      </c>
      <c r="M1534">
        <v>0.9770662</v>
      </c>
      <c r="N1534">
        <v>0</v>
      </c>
      <c r="O1534">
        <v>-0.212474</v>
      </c>
      <c r="P1534">
        <v>0.93704790000000004</v>
      </c>
      <c r="Q1534">
        <v>4.6176050000000003E-2</v>
      </c>
      <c r="R1534">
        <v>-0.34613490000000002</v>
      </c>
      <c r="S1534">
        <v>2.6133120000000001</v>
      </c>
      <c r="T1534">
        <v>-0.27081630000000001</v>
      </c>
      <c r="U1534">
        <v>-1.63147</v>
      </c>
      <c r="V1534">
        <v>0.1392912</v>
      </c>
      <c r="W1534">
        <v>5.9622500000000002E-2</v>
      </c>
      <c r="X1534">
        <v>0.98845490000000003</v>
      </c>
      <c r="Y1534">
        <v>0.3367464</v>
      </c>
      <c r="Z1534">
        <v>3.7742740000000002E-3</v>
      </c>
      <c r="AA1534">
        <v>0.94158779999999997</v>
      </c>
      <c r="AB1534">
        <v>17</v>
      </c>
      <c r="AC1534">
        <v>10.601000000000001</v>
      </c>
      <c r="AD1534">
        <v>-1.1093616224089999</v>
      </c>
      <c r="AE1534">
        <v>-6.6584000000000199</v>
      </c>
      <c r="AF1534">
        <v>4.2205347651917702</v>
      </c>
      <c r="AG1534">
        <v>-1.1093616224089999</v>
      </c>
      <c r="AH1534">
        <v>11.6820334013553</v>
      </c>
      <c r="AI1534">
        <v>95.103712485105206</v>
      </c>
      <c r="AJ1534">
        <v>70.136009970723805</v>
      </c>
      <c r="AK1534">
        <v>12.470505254553499</v>
      </c>
      <c r="AL1534">
        <v>86.581855130484001</v>
      </c>
      <c r="AM1534">
        <v>81.978803301191505</v>
      </c>
      <c r="AN1534">
        <v>0.99999998511885002</v>
      </c>
    </row>
    <row r="1535" spans="1:40" x14ac:dyDescent="0.25">
      <c r="A1535" t="str">
        <f>"20190312153917805"</f>
        <v>20190312153917805</v>
      </c>
      <c r="B1535" t="str">
        <f>"1552376357797120"</f>
        <v>1552376357797120</v>
      </c>
      <c r="C1535" t="s">
        <v>40</v>
      </c>
      <c r="D1535">
        <v>4.3091200000000001</v>
      </c>
      <c r="E1535">
        <v>0.57979290000000006</v>
      </c>
      <c r="F1535" t="s">
        <v>49</v>
      </c>
      <c r="G1535">
        <v>-202.03380000000001</v>
      </c>
      <c r="H1535" s="1">
        <v>-3.5557079999999999E-6</v>
      </c>
      <c r="I1535">
        <v>360.1748</v>
      </c>
      <c r="J1535">
        <v>-212.6369</v>
      </c>
      <c r="K1535">
        <v>1.109367</v>
      </c>
      <c r="L1535">
        <v>366.87450000000001</v>
      </c>
      <c r="M1535">
        <v>0.97642450000000003</v>
      </c>
      <c r="N1535">
        <v>0</v>
      </c>
      <c r="O1535">
        <v>-0.21540490000000001</v>
      </c>
      <c r="P1535">
        <v>0.93612850000000003</v>
      </c>
      <c r="Q1535">
        <v>4.7679979999999997E-2</v>
      </c>
      <c r="R1535">
        <v>-0.34841139999999998</v>
      </c>
      <c r="S1535">
        <v>2.6111759999999999</v>
      </c>
      <c r="T1535">
        <v>-0.26898100000000003</v>
      </c>
      <c r="U1535">
        <v>-1.6340939999999999</v>
      </c>
      <c r="V1535">
        <v>0.13874829999999999</v>
      </c>
      <c r="W1535">
        <v>6.1120849999999997E-2</v>
      </c>
      <c r="X1535">
        <v>0.98843970000000003</v>
      </c>
      <c r="Y1535">
        <v>0.33497070000000001</v>
      </c>
      <c r="Z1535">
        <v>4.0970800000000003E-3</v>
      </c>
      <c r="AA1535">
        <v>0.94221969999999999</v>
      </c>
      <c r="AB1535">
        <v>17</v>
      </c>
      <c r="AC1535">
        <v>10.6030999999999</v>
      </c>
      <c r="AD1535">
        <v>-1.109370555708</v>
      </c>
      <c r="AE1535">
        <v>-6.6997</v>
      </c>
      <c r="AF1535">
        <v>4.2251538759869698</v>
      </c>
      <c r="AG1535">
        <v>-1.109370555708</v>
      </c>
      <c r="AH1535">
        <v>11.7058517251059</v>
      </c>
      <c r="AI1535">
        <v>95.093974436814406</v>
      </c>
      <c r="AJ1535">
        <v>70.153269605915398</v>
      </c>
      <c r="AK1535">
        <v>12.4943824543594</v>
      </c>
      <c r="AL1535">
        <v>86.4958489705228</v>
      </c>
      <c r="AM1535">
        <v>82.009540802456499</v>
      </c>
      <c r="AN1535">
        <v>0.99999994479684895</v>
      </c>
    </row>
    <row r="1536" spans="1:40" x14ac:dyDescent="0.25">
      <c r="A1536" t="str">
        <f>"20190312153917822"</f>
        <v>20190312153917822</v>
      </c>
      <c r="B1536" t="str">
        <f>"1552376357817616"</f>
        <v>1552376357817616</v>
      </c>
      <c r="C1536" t="s">
        <v>40</v>
      </c>
      <c r="D1536">
        <v>4.3334919999999997</v>
      </c>
      <c r="E1536">
        <v>0.57947799999999905</v>
      </c>
      <c r="F1536" t="s">
        <v>49</v>
      </c>
      <c r="G1536">
        <v>-201.8526</v>
      </c>
      <c r="H1536" s="1">
        <v>-3.4809180000000001E-6</v>
      </c>
      <c r="I1536">
        <v>360.10070000000002</v>
      </c>
      <c r="J1536">
        <v>-212.52719999999999</v>
      </c>
      <c r="K1536">
        <v>1.109367</v>
      </c>
      <c r="L1536">
        <v>366.84789999999998</v>
      </c>
      <c r="M1536">
        <v>0.97599689999999995</v>
      </c>
      <c r="N1536">
        <v>0</v>
      </c>
      <c r="O1536">
        <v>-0.21733420000000001</v>
      </c>
      <c r="P1536">
        <v>0.93555900000000003</v>
      </c>
      <c r="Q1536">
        <v>4.8458809999999998E-2</v>
      </c>
      <c r="R1536">
        <v>-0.3498308</v>
      </c>
      <c r="S1536">
        <v>2.608536</v>
      </c>
      <c r="T1536">
        <v>-0.26833790000000002</v>
      </c>
      <c r="U1536">
        <v>-1.638458</v>
      </c>
      <c r="V1536">
        <v>0.13830499999999901</v>
      </c>
      <c r="W1536">
        <v>6.1896630000000001E-2</v>
      </c>
      <c r="X1536">
        <v>0.98845360000000004</v>
      </c>
      <c r="Y1536">
        <v>0.3346787</v>
      </c>
      <c r="Z1536">
        <v>4.2749190000000003E-3</v>
      </c>
      <c r="AA1536">
        <v>0.94232260000000001</v>
      </c>
      <c r="AB1536">
        <v>16</v>
      </c>
      <c r="AC1536">
        <v>10.6745999999999</v>
      </c>
      <c r="AD1536">
        <v>-1.1093704809180001</v>
      </c>
      <c r="AE1536">
        <v>-6.7471999999999603</v>
      </c>
      <c r="AF1536">
        <v>4.2330405310588199</v>
      </c>
      <c r="AG1536">
        <v>-1.1093704809180001</v>
      </c>
      <c r="AH1536">
        <v>11.794912382630599</v>
      </c>
      <c r="AI1536">
        <v>95.059007979685802</v>
      </c>
      <c r="AJ1536">
        <v>70.257598264476698</v>
      </c>
      <c r="AK1536">
        <v>12.5805124345335</v>
      </c>
      <c r="AL1536">
        <v>86.451315895221796</v>
      </c>
      <c r="AM1536">
        <v>82.034852668903298</v>
      </c>
      <c r="AN1536">
        <v>0.99999999259165795</v>
      </c>
    </row>
    <row r="1537" spans="1:40" x14ac:dyDescent="0.25">
      <c r="A1537" t="str">
        <f>"20190312153917835"</f>
        <v>20190312153917835</v>
      </c>
      <c r="B1537" t="str">
        <f>"1552376357826907"</f>
        <v>1552376357826907</v>
      </c>
      <c r="C1537" t="s">
        <v>40</v>
      </c>
      <c r="D1537">
        <v>4.3216859999999997</v>
      </c>
      <c r="E1537">
        <v>0.57922969999999996</v>
      </c>
      <c r="F1537" t="s">
        <v>49</v>
      </c>
      <c r="G1537">
        <v>-201.72229999999999</v>
      </c>
      <c r="H1537" s="1">
        <v>-3.4264290000000001E-6</v>
      </c>
      <c r="I1537">
        <v>360.05079999999998</v>
      </c>
      <c r="J1537">
        <v>-212.42330000000001</v>
      </c>
      <c r="K1537">
        <v>1.1093660000000001</v>
      </c>
      <c r="L1537">
        <v>366.82249999999999</v>
      </c>
      <c r="M1537">
        <v>0.97558829999999996</v>
      </c>
      <c r="N1537">
        <v>0</v>
      </c>
      <c r="O1537">
        <v>-0.21916099999999999</v>
      </c>
      <c r="P1537">
        <v>0.93507039999999997</v>
      </c>
      <c r="Q1537">
        <v>4.8982350000000001E-2</v>
      </c>
      <c r="R1537">
        <v>-0.35106209999999999</v>
      </c>
      <c r="S1537">
        <v>2.607224</v>
      </c>
      <c r="T1537">
        <v>-0.2676906</v>
      </c>
      <c r="U1537">
        <v>-1.640137</v>
      </c>
      <c r="V1537">
        <v>0.1377632</v>
      </c>
      <c r="W1537">
        <v>6.2417269999999997E-2</v>
      </c>
      <c r="X1537">
        <v>0.9884965</v>
      </c>
      <c r="Y1537">
        <v>0.33357530000000002</v>
      </c>
      <c r="Z1537">
        <v>4.4805259999999899E-3</v>
      </c>
      <c r="AA1537">
        <v>0.94271280000000002</v>
      </c>
      <c r="AB1537">
        <v>16</v>
      </c>
      <c r="AC1537">
        <v>10.701000000000001</v>
      </c>
      <c r="AD1537">
        <v>-1.1093694264289999</v>
      </c>
      <c r="AE1537">
        <v>-6.7717000000000098</v>
      </c>
      <c r="AF1537">
        <v>4.2291116220990501</v>
      </c>
      <c r="AG1537">
        <v>-1.1093694264289999</v>
      </c>
      <c r="AH1537">
        <v>11.8342123822272</v>
      </c>
      <c r="AI1537">
        <v>95.044716478339893</v>
      </c>
      <c r="AJ1537">
        <v>70.334981792839798</v>
      </c>
      <c r="AK1537">
        <v>12.616048047789301</v>
      </c>
      <c r="AL1537">
        <v>86.421427556369096</v>
      </c>
      <c r="AM1537">
        <v>82.065997373080293</v>
      </c>
      <c r="AN1537">
        <v>0.999999972690371</v>
      </c>
    </row>
    <row r="1538" spans="1:40" x14ac:dyDescent="0.25">
      <c r="A1538" t="str">
        <f>"20190312153917866"</f>
        <v>20190312153917866</v>
      </c>
      <c r="B1538" t="str">
        <f>"1552376357857164"</f>
        <v>1552376357857164</v>
      </c>
      <c r="C1538" t="s">
        <v>40</v>
      </c>
      <c r="D1538">
        <v>4.2652780000000003</v>
      </c>
      <c r="E1538">
        <v>0.57932359999999905</v>
      </c>
      <c r="F1538" t="s">
        <v>49</v>
      </c>
      <c r="G1538">
        <v>-201.649</v>
      </c>
      <c r="H1538" s="1">
        <v>-3.3932360000000001E-6</v>
      </c>
      <c r="I1538">
        <v>360.03429999999997</v>
      </c>
      <c r="J1538">
        <v>-212.20240000000001</v>
      </c>
      <c r="K1538">
        <v>1.109364</v>
      </c>
      <c r="L1538">
        <v>366.7679</v>
      </c>
      <c r="M1538">
        <v>0.97470919999999905</v>
      </c>
      <c r="N1538">
        <v>0</v>
      </c>
      <c r="O1538">
        <v>-0.22303819999999999</v>
      </c>
      <c r="P1538">
        <v>0.93418069999999997</v>
      </c>
      <c r="Q1538">
        <v>4.9706430000000003E-2</v>
      </c>
      <c r="R1538">
        <v>-0.35332069999999999</v>
      </c>
      <c r="S1538">
        <v>2.6059269999999999</v>
      </c>
      <c r="T1538">
        <v>-0.26831759999999999</v>
      </c>
      <c r="U1538">
        <v>-1.6418459999999999</v>
      </c>
      <c r="V1538">
        <v>0.13623109999999999</v>
      </c>
      <c r="W1538">
        <v>6.3141569999999994E-2</v>
      </c>
      <c r="X1538">
        <v>0.98866279999999995</v>
      </c>
      <c r="Y1538">
        <v>0.33050309999999999</v>
      </c>
      <c r="Z1538">
        <v>4.9835569999999996E-3</v>
      </c>
      <c r="AA1538">
        <v>0.94379170000000001</v>
      </c>
      <c r="AB1538">
        <v>16</v>
      </c>
      <c r="AC1538">
        <v>10.5534</v>
      </c>
      <c r="AD1538">
        <v>-1.109367393236</v>
      </c>
      <c r="AE1538">
        <v>-6.7336000000000196</v>
      </c>
      <c r="AF1538">
        <v>4.1771000007797996</v>
      </c>
      <c r="AG1538">
        <v>-1.109367393236</v>
      </c>
      <c r="AH1538">
        <v>11.697638975486999</v>
      </c>
      <c r="AI1538">
        <v>95.103737184243599</v>
      </c>
      <c r="AJ1538">
        <v>70.348904899749996</v>
      </c>
      <c r="AK1538">
        <v>12.4705099346628</v>
      </c>
      <c r="AL1538">
        <v>86.379846121344102</v>
      </c>
      <c r="AM1538">
        <v>82.154431669714796</v>
      </c>
      <c r="AN1538">
        <v>0.99999995128655605</v>
      </c>
    </row>
    <row r="1539" spans="1:40" x14ac:dyDescent="0.25">
      <c r="A1539" t="str">
        <f>"20190312153917880"</f>
        <v>20190312153917880</v>
      </c>
      <c r="B1539" t="str">
        <f>"1552376357866924"</f>
        <v>1552376357866924</v>
      </c>
      <c r="C1539" t="s">
        <v>40</v>
      </c>
      <c r="D1539">
        <v>4.2620100000000001</v>
      </c>
      <c r="E1539">
        <v>0.57944949999999995</v>
      </c>
      <c r="F1539" t="s">
        <v>49</v>
      </c>
      <c r="G1539">
        <v>-201.24619999999999</v>
      </c>
      <c r="H1539" s="1">
        <v>-3.2365599999999998E-6</v>
      </c>
      <c r="I1539">
        <v>359.82670000000002</v>
      </c>
      <c r="J1539">
        <v>-212.10550000000001</v>
      </c>
      <c r="K1539">
        <v>1.109372</v>
      </c>
      <c r="L1539">
        <v>366.74369999999999</v>
      </c>
      <c r="M1539">
        <v>0.97432039999999998</v>
      </c>
      <c r="N1539">
        <v>0</v>
      </c>
      <c r="O1539">
        <v>-0.2247315</v>
      </c>
      <c r="P1539">
        <v>0.93379760000000001</v>
      </c>
      <c r="Q1539">
        <v>4.9702669999999997E-2</v>
      </c>
      <c r="R1539">
        <v>-0.3543328</v>
      </c>
      <c r="S1539">
        <v>2.601944</v>
      </c>
      <c r="T1539">
        <v>-0.26346049999999999</v>
      </c>
      <c r="U1539">
        <v>-1.6484380000000001</v>
      </c>
      <c r="V1539">
        <v>0.13558339999999999</v>
      </c>
      <c r="W1539">
        <v>6.3138719999999995E-2</v>
      </c>
      <c r="X1539">
        <v>0.98875210000000002</v>
      </c>
      <c r="Y1539">
        <v>0.33124019999999998</v>
      </c>
      <c r="Z1539">
        <v>5.0102139999999998E-3</v>
      </c>
      <c r="AA1539">
        <v>0.94353319999999996</v>
      </c>
      <c r="AB1539">
        <v>16</v>
      </c>
      <c r="AC1539">
        <v>10.859299999999999</v>
      </c>
      <c r="AD1539">
        <v>-1.10937523656</v>
      </c>
      <c r="AE1539">
        <v>-6.9169999999999696</v>
      </c>
      <c r="AF1539">
        <v>4.2676833675702301</v>
      </c>
      <c r="AG1539">
        <v>-1.10937523656</v>
      </c>
      <c r="AH1539">
        <v>12.046654302069699</v>
      </c>
      <c r="AI1539">
        <v>94.961057103804194</v>
      </c>
      <c r="AJ1539">
        <v>70.492649538168806</v>
      </c>
      <c r="AK1539">
        <v>12.828316904992001</v>
      </c>
      <c r="AL1539">
        <v>86.380010047095496</v>
      </c>
      <c r="AM1539">
        <v>82.191968094215795</v>
      </c>
      <c r="AN1539">
        <v>1.0000000357865999</v>
      </c>
    </row>
    <row r="1540" spans="1:40" x14ac:dyDescent="0.25">
      <c r="A1540" t="str">
        <f>"20190312153917895"</f>
        <v>20190312153917895</v>
      </c>
      <c r="B1540" t="str">
        <f>"1552376357887419"</f>
        <v>1552376357887419</v>
      </c>
      <c r="C1540" t="s">
        <v>40</v>
      </c>
      <c r="D1540">
        <v>4.2747409999999997</v>
      </c>
      <c r="E1540">
        <v>0.57967789999999997</v>
      </c>
      <c r="F1540" t="s">
        <v>49</v>
      </c>
      <c r="G1540">
        <v>-201.15649999999999</v>
      </c>
      <c r="H1540" s="1">
        <v>-3.2004459999999999E-6</v>
      </c>
      <c r="I1540">
        <v>359.78590000000003</v>
      </c>
      <c r="J1540">
        <v>-212.0018</v>
      </c>
      <c r="K1540">
        <v>1.109381</v>
      </c>
      <c r="L1540">
        <v>366.71749999999997</v>
      </c>
      <c r="M1540">
        <v>0.97390270000000001</v>
      </c>
      <c r="N1540">
        <v>0</v>
      </c>
      <c r="O1540">
        <v>-0.22653419999999999</v>
      </c>
      <c r="P1540">
        <v>0.93368969999999996</v>
      </c>
      <c r="Q1540">
        <v>4.9593270000000002E-2</v>
      </c>
      <c r="R1540">
        <v>-0.35463230000000001</v>
      </c>
      <c r="S1540">
        <v>2.5997919999999999</v>
      </c>
      <c r="T1540">
        <v>-0.26341690000000001</v>
      </c>
      <c r="U1540">
        <v>-1.6520999999999999</v>
      </c>
      <c r="V1540">
        <v>0.134066299999999</v>
      </c>
      <c r="W1540">
        <v>6.3036410000000001E-2</v>
      </c>
      <c r="X1540">
        <v>0.98896550000000005</v>
      </c>
      <c r="Y1540">
        <v>0.33080229999999999</v>
      </c>
      <c r="Z1540">
        <v>5.1889700000000002E-3</v>
      </c>
      <c r="AA1540">
        <v>0.94368580000000002</v>
      </c>
      <c r="AB1540">
        <v>16</v>
      </c>
      <c r="AC1540">
        <v>10.8453</v>
      </c>
      <c r="AD1540">
        <v>-1.1093842004459999</v>
      </c>
      <c r="AE1540">
        <v>-6.93159999999994</v>
      </c>
      <c r="AF1540">
        <v>4.2626262426902901</v>
      </c>
      <c r="AG1540">
        <v>-1.1093842004459999</v>
      </c>
      <c r="AH1540">
        <v>12.0442235725335</v>
      </c>
      <c r="AI1540">
        <v>94.962634459603805</v>
      </c>
      <c r="AJ1540">
        <v>70.510386585377603</v>
      </c>
      <c r="AK1540">
        <v>12.8243532879535</v>
      </c>
      <c r="AL1540">
        <v>86.385883769583103</v>
      </c>
      <c r="AM1540">
        <v>82.279921667538005</v>
      </c>
      <c r="AN1540">
        <v>1.00000006098581</v>
      </c>
    </row>
    <row r="1541" spans="1:40" x14ac:dyDescent="0.25">
      <c r="A1541" t="str">
        <f>"20190312153917908"</f>
        <v>20190312153917908</v>
      </c>
      <c r="B1541" t="str">
        <f>"1552376357897179"</f>
        <v>1552376357897179</v>
      </c>
      <c r="C1541" t="s">
        <v>40</v>
      </c>
      <c r="D1541">
        <v>4.3527180000000003</v>
      </c>
      <c r="E1541">
        <v>0.57966090000000003</v>
      </c>
      <c r="F1541" t="s">
        <v>49</v>
      </c>
      <c r="G1541">
        <v>-201.04089999999999</v>
      </c>
      <c r="H1541" s="1">
        <v>-3.1531860000000002E-6</v>
      </c>
      <c r="I1541">
        <v>359.73680000000002</v>
      </c>
      <c r="J1541">
        <v>-211.9041</v>
      </c>
      <c r="K1541">
        <v>1.109391</v>
      </c>
      <c r="L1541">
        <v>366.6927</v>
      </c>
      <c r="M1541">
        <v>0.97350879999999995</v>
      </c>
      <c r="N1541">
        <v>0</v>
      </c>
      <c r="O1541">
        <v>-0.22822210000000001</v>
      </c>
      <c r="P1541">
        <v>0.93335290000000004</v>
      </c>
      <c r="Q1541">
        <v>4.9398930000000001E-2</v>
      </c>
      <c r="R1541">
        <v>-0.35554550000000001</v>
      </c>
      <c r="S1541">
        <v>2.5984500000000001</v>
      </c>
      <c r="T1541">
        <v>-0.26299739999999999</v>
      </c>
      <c r="U1541">
        <v>-1.6549069999999999</v>
      </c>
      <c r="V1541">
        <v>0.13331409999999999</v>
      </c>
      <c r="W1541">
        <v>6.2845570000000003E-2</v>
      </c>
      <c r="X1541">
        <v>0.98907920000000005</v>
      </c>
      <c r="Y1541">
        <v>0.33012239999999998</v>
      </c>
      <c r="Z1541">
        <v>5.3604009999999999E-3</v>
      </c>
      <c r="AA1541">
        <v>0.94392290000000001</v>
      </c>
      <c r="AB1541">
        <v>16</v>
      </c>
      <c r="AC1541">
        <v>10.863200000000001</v>
      </c>
      <c r="AD1541">
        <v>-1.1093941531860001</v>
      </c>
      <c r="AE1541">
        <v>-6.9558999999999802</v>
      </c>
      <c r="AF1541">
        <v>4.2613073453994801</v>
      </c>
      <c r="AG1541">
        <v>-1.1093941531860001</v>
      </c>
      <c r="AH1541">
        <v>12.0747857747509</v>
      </c>
      <c r="AI1541">
        <v>94.951735811329499</v>
      </c>
      <c r="AJ1541">
        <v>70.561575976279897</v>
      </c>
      <c r="AK1541">
        <v>12.8526241361524</v>
      </c>
      <c r="AL1541">
        <v>86.396839379924799</v>
      </c>
      <c r="AM1541">
        <v>82.323590369358996</v>
      </c>
      <c r="AN1541">
        <v>0.99999993940003495</v>
      </c>
    </row>
    <row r="1542" spans="1:40" x14ac:dyDescent="0.25">
      <c r="A1542" t="str">
        <f>"20190312153917924"</f>
        <v>20190312153917924</v>
      </c>
      <c r="B1542" t="str">
        <f>"1552376357917676"</f>
        <v>1552376357917676</v>
      </c>
      <c r="C1542" t="s">
        <v>40</v>
      </c>
      <c r="D1542">
        <v>4.3888639999999999</v>
      </c>
      <c r="E1542">
        <v>0.57962469999999999</v>
      </c>
      <c r="F1542" t="s">
        <v>49</v>
      </c>
      <c r="G1542">
        <v>-201.08260000000001</v>
      </c>
      <c r="H1542" s="1">
        <v>-3.1626660000000001E-6</v>
      </c>
      <c r="I1542">
        <v>359.78859999999997</v>
      </c>
      <c r="J1542">
        <v>-211.7919</v>
      </c>
      <c r="K1542">
        <v>1.109405</v>
      </c>
      <c r="L1542">
        <v>366.66399999999999</v>
      </c>
      <c r="M1542">
        <v>0.97305459999999999</v>
      </c>
      <c r="N1542">
        <v>0</v>
      </c>
      <c r="O1542">
        <v>-0.2301511</v>
      </c>
      <c r="P1542">
        <v>0.9328227</v>
      </c>
      <c r="Q1542">
        <v>4.9418990000000003E-2</v>
      </c>
      <c r="R1542">
        <v>-0.356931</v>
      </c>
      <c r="S1542">
        <v>2.5971220000000002</v>
      </c>
      <c r="T1542">
        <v>-0.2662503</v>
      </c>
      <c r="U1542">
        <v>-1.656952</v>
      </c>
      <c r="V1542">
        <v>0.13282060000000001</v>
      </c>
      <c r="W1542">
        <v>6.2868419999999994E-2</v>
      </c>
      <c r="X1542">
        <v>0.98914420000000003</v>
      </c>
      <c r="Y1542">
        <v>0.32900000000000001</v>
      </c>
      <c r="Z1542">
        <v>5.6508740000000002E-3</v>
      </c>
      <c r="AA1542">
        <v>0.94431299999999996</v>
      </c>
      <c r="AB1542">
        <v>16</v>
      </c>
      <c r="AC1542">
        <v>10.709299999999899</v>
      </c>
      <c r="AD1542">
        <v>-1.109408162666</v>
      </c>
      <c r="AE1542">
        <v>-6.8754000000000097</v>
      </c>
      <c r="AF1542">
        <v>4.1939239739793601</v>
      </c>
      <c r="AG1542">
        <v>-1.109408162666</v>
      </c>
      <c r="AH1542">
        <v>11.913749962496301</v>
      </c>
      <c r="AI1542">
        <v>95.019777608109806</v>
      </c>
      <c r="AJ1542">
        <v>70.606716309735504</v>
      </c>
      <c r="AK1542">
        <v>12.679007174845699</v>
      </c>
      <c r="AL1542">
        <v>86.395527793103597</v>
      </c>
      <c r="AM1542">
        <v>82.352166444683604</v>
      </c>
      <c r="AN1542">
        <v>0.99999999920564797</v>
      </c>
    </row>
    <row r="1543" spans="1:40" x14ac:dyDescent="0.25">
      <c r="A1543" t="str">
        <f>"20190312153917937"</f>
        <v>20190312153917937</v>
      </c>
      <c r="B1543" t="str">
        <f>"1552376357926967"</f>
        <v>1552376357926967</v>
      </c>
      <c r="C1543" t="s">
        <v>40</v>
      </c>
      <c r="D1543">
        <v>4.3922970000000001</v>
      </c>
      <c r="E1543">
        <v>0.57961629999999997</v>
      </c>
      <c r="F1543" t="s">
        <v>49</v>
      </c>
      <c r="G1543">
        <v>-201.13740000000001</v>
      </c>
      <c r="H1543" s="1">
        <v>-3.1776299999999998E-6</v>
      </c>
      <c r="I1543">
        <v>359.84550000000002</v>
      </c>
      <c r="J1543">
        <v>-211.69560000000001</v>
      </c>
      <c r="K1543">
        <v>1.109415</v>
      </c>
      <c r="L1543">
        <v>366.63929999999999</v>
      </c>
      <c r="M1543">
        <v>0.97266410000000003</v>
      </c>
      <c r="N1543">
        <v>0</v>
      </c>
      <c r="O1543">
        <v>-0.23179569999999999</v>
      </c>
      <c r="P1543">
        <v>0.93239709999999998</v>
      </c>
      <c r="Q1543">
        <v>4.9801190000000002E-2</v>
      </c>
      <c r="R1543">
        <v>-0.35798829999999998</v>
      </c>
      <c r="S1543">
        <v>2.5949399999999998</v>
      </c>
      <c r="T1543">
        <v>-0.2702002</v>
      </c>
      <c r="U1543">
        <v>-1.6606749999999999</v>
      </c>
      <c r="V1543">
        <v>0.132273</v>
      </c>
      <c r="W1543">
        <v>6.3253879999999998E-2</v>
      </c>
      <c r="X1543">
        <v>0.98919299999999999</v>
      </c>
      <c r="Y1543">
        <v>0.3287216</v>
      </c>
      <c r="Z1543">
        <v>5.8967319999999896E-3</v>
      </c>
      <c r="AA1543">
        <v>0.94440849999999998</v>
      </c>
      <c r="AB1543">
        <v>16</v>
      </c>
      <c r="AC1543">
        <v>10.558199999999999</v>
      </c>
      <c r="AD1543">
        <v>-1.1094181776300001</v>
      </c>
      <c r="AE1543">
        <v>-6.7937999999999699</v>
      </c>
      <c r="AF1543">
        <v>4.1289072406693803</v>
      </c>
      <c r="AG1543">
        <v>-1.1094181776300001</v>
      </c>
      <c r="AH1543">
        <v>11.7537375779428</v>
      </c>
      <c r="AI1543">
        <v>95.088975960210007</v>
      </c>
      <c r="AJ1543">
        <v>70.644409182096197</v>
      </c>
      <c r="AK1543">
        <v>12.5071591796879</v>
      </c>
      <c r="AL1543">
        <v>86.373398503851007</v>
      </c>
      <c r="AM1543">
        <v>82.383697775753404</v>
      </c>
      <c r="AN1543">
        <v>0.99999999555652697</v>
      </c>
    </row>
    <row r="1544" spans="1:40" x14ac:dyDescent="0.25">
      <c r="A1544" t="str">
        <f>"20190312153917950"</f>
        <v>20190312153917950</v>
      </c>
      <c r="B1544" t="str">
        <f>"1552376357937703"</f>
        <v>1552376357937703</v>
      </c>
      <c r="C1544" t="s">
        <v>40</v>
      </c>
      <c r="D1544">
        <v>4.373685</v>
      </c>
      <c r="E1544">
        <v>0.5795766</v>
      </c>
      <c r="F1544" t="s">
        <v>49</v>
      </c>
      <c r="G1544">
        <v>-201.04580000000001</v>
      </c>
      <c r="H1544" s="1">
        <v>-3.140129E-6</v>
      </c>
      <c r="I1544">
        <v>359.80680000000001</v>
      </c>
      <c r="J1544">
        <v>-211.60550000000001</v>
      </c>
      <c r="K1544">
        <v>1.109426</v>
      </c>
      <c r="L1544">
        <v>366.61590000000001</v>
      </c>
      <c r="M1544">
        <v>0.97229980000000005</v>
      </c>
      <c r="N1544">
        <v>0</v>
      </c>
      <c r="O1544">
        <v>-0.23331930000000001</v>
      </c>
      <c r="P1544">
        <v>0.93219260000000004</v>
      </c>
      <c r="Q1544">
        <v>4.9846340000000003E-2</v>
      </c>
      <c r="R1544">
        <v>-0.35851430000000001</v>
      </c>
      <c r="S1544">
        <v>2.5931850000000001</v>
      </c>
      <c r="T1544">
        <v>-0.27013860000000001</v>
      </c>
      <c r="U1544">
        <v>-1.6636959999999901</v>
      </c>
      <c r="V1544">
        <v>0.13127929999999999</v>
      </c>
      <c r="W1544">
        <v>6.3304330000000006E-2</v>
      </c>
      <c r="X1544">
        <v>0.98932209999999998</v>
      </c>
      <c r="Y1544">
        <v>0.32831909999999997</v>
      </c>
      <c r="Z1544">
        <v>6.0524690000000004E-3</v>
      </c>
      <c r="AA1544">
        <v>0.94454749999999998</v>
      </c>
      <c r="AB1544">
        <v>16</v>
      </c>
      <c r="AC1544">
        <v>10.5596999999999</v>
      </c>
      <c r="AD1544">
        <v>-1.109429140129</v>
      </c>
      <c r="AE1544">
        <v>-6.8090999999999999</v>
      </c>
      <c r="AF1544">
        <v>4.1249505761094696</v>
      </c>
      <c r="AG1544">
        <v>-1.109429140129</v>
      </c>
      <c r="AH1544">
        <v>11.7653183380031</v>
      </c>
      <c r="AI1544">
        <v>95.085121001030203</v>
      </c>
      <c r="AJ1544">
        <v>70.679203745664495</v>
      </c>
      <c r="AK1544">
        <v>12.5167394263388</v>
      </c>
      <c r="AL1544">
        <v>86.370501980288793</v>
      </c>
      <c r="AM1544">
        <v>82.441226075397495</v>
      </c>
      <c r="AN1544">
        <v>0.99999995517682305</v>
      </c>
    </row>
    <row r="1545" spans="1:40" x14ac:dyDescent="0.25">
      <c r="A1545" t="str">
        <f>"20190312153917964"</f>
        <v>20190312153917964</v>
      </c>
      <c r="B1545" t="str">
        <f>"1552376357957223"</f>
        <v>1552376357957223</v>
      </c>
      <c r="C1545" t="s">
        <v>40</v>
      </c>
      <c r="D1545">
        <v>4.3775409999999999</v>
      </c>
      <c r="E1545">
        <v>0.57950939999999995</v>
      </c>
      <c r="F1545" t="s">
        <v>49</v>
      </c>
      <c r="G1545">
        <v>-200.9667</v>
      </c>
      <c r="H1545" s="1">
        <v>-3.105901E-6</v>
      </c>
      <c r="I1545">
        <v>359.78160000000003</v>
      </c>
      <c r="J1545">
        <v>-211.51240000000001</v>
      </c>
      <c r="K1545">
        <v>1.109437</v>
      </c>
      <c r="L1545">
        <v>366.5917</v>
      </c>
      <c r="M1545">
        <v>0.97192310000000004</v>
      </c>
      <c r="N1545">
        <v>0</v>
      </c>
      <c r="O1545">
        <v>-0.2348838</v>
      </c>
      <c r="P1545">
        <v>0.93172969999999999</v>
      </c>
      <c r="Q1545">
        <v>5.0174179999999999E-2</v>
      </c>
      <c r="R1545">
        <v>-0.35966969999999998</v>
      </c>
      <c r="S1545">
        <v>2.5922390000000002</v>
      </c>
      <c r="T1545">
        <v>-0.27032240000000002</v>
      </c>
      <c r="U1545">
        <v>-1.6652530000000001</v>
      </c>
      <c r="V1545">
        <v>0.13091659999999999</v>
      </c>
      <c r="W1545">
        <v>6.3633640000000005E-2</v>
      </c>
      <c r="X1545">
        <v>0.98934909999999998</v>
      </c>
      <c r="Y1545">
        <v>0.32736579999999998</v>
      </c>
      <c r="Z1545">
        <v>6.2432140000000004E-3</v>
      </c>
      <c r="AA1545">
        <v>0.94487699999999997</v>
      </c>
      <c r="AB1545">
        <v>16</v>
      </c>
      <c r="AC1545">
        <v>10.5457</v>
      </c>
      <c r="AD1545">
        <v>-1.109440105901</v>
      </c>
      <c r="AE1545">
        <v>-6.8100999999999701</v>
      </c>
      <c r="AF1545">
        <v>4.1101807521480502</v>
      </c>
      <c r="AG1545">
        <v>-1.109440105901</v>
      </c>
      <c r="AH1545">
        <v>11.7585072831326</v>
      </c>
      <c r="AI1545">
        <v>95.089763476356694</v>
      </c>
      <c r="AJ1545">
        <v>70.732950103572094</v>
      </c>
      <c r="AK1545">
        <v>12.505476268075199</v>
      </c>
      <c r="AL1545">
        <v>86.351596020858807</v>
      </c>
      <c r="AM1545">
        <v>82.462072419665006</v>
      </c>
      <c r="AN1545">
        <v>1.0000000189830001</v>
      </c>
    </row>
    <row r="1546" spans="1:40" x14ac:dyDescent="0.25">
      <c r="A1546" t="str">
        <f>"20190312153917976"</f>
        <v>20190312153917976</v>
      </c>
      <c r="B1546" t="str">
        <f>"1552376357966983"</f>
        <v>1552376357966983</v>
      </c>
      <c r="C1546" t="s">
        <v>40</v>
      </c>
      <c r="D1546">
        <v>4.3361519999999896</v>
      </c>
      <c r="E1546">
        <v>0.57948690000000003</v>
      </c>
      <c r="F1546" t="s">
        <v>49</v>
      </c>
      <c r="G1546">
        <v>-200.92509999999999</v>
      </c>
      <c r="H1546" s="1">
        <v>-3.0868159999999998E-6</v>
      </c>
      <c r="I1546">
        <v>359.77319999999997</v>
      </c>
      <c r="J1546">
        <v>-211.41569999999999</v>
      </c>
      <c r="K1546">
        <v>1.109443</v>
      </c>
      <c r="L1546">
        <v>366.56630000000001</v>
      </c>
      <c r="M1546">
        <v>0.97153120000000004</v>
      </c>
      <c r="N1546">
        <v>0</v>
      </c>
      <c r="O1546">
        <v>-0.23649980000000001</v>
      </c>
      <c r="P1546">
        <v>0.93121589999999999</v>
      </c>
      <c r="Q1546">
        <v>5.0188789999999997E-2</v>
      </c>
      <c r="R1546">
        <v>-0.36099599999999998</v>
      </c>
      <c r="S1546">
        <v>2.5904389999999999</v>
      </c>
      <c r="T1546">
        <v>-0.27145049999999998</v>
      </c>
      <c r="U1546">
        <v>-1.668304</v>
      </c>
      <c r="V1546">
        <v>0.13067819999999999</v>
      </c>
      <c r="W1546">
        <v>6.3649830000000004E-2</v>
      </c>
      <c r="X1546">
        <v>0.98937960000000003</v>
      </c>
      <c r="Y1546">
        <v>0.32688509999999998</v>
      </c>
      <c r="Z1546">
        <v>6.4391259999999999E-3</v>
      </c>
      <c r="AA1546">
        <v>0.9450421</v>
      </c>
      <c r="AB1546">
        <v>16</v>
      </c>
      <c r="AC1546">
        <v>10.490600000000001</v>
      </c>
      <c r="AD1546">
        <v>-1.1094460868160001</v>
      </c>
      <c r="AE1546">
        <v>-6.7931000000000301</v>
      </c>
      <c r="AF1546">
        <v>4.0868801399822301</v>
      </c>
      <c r="AG1546">
        <v>-1.1094460868160001</v>
      </c>
      <c r="AH1546">
        <v>11.707406247161099</v>
      </c>
      <c r="AI1546">
        <v>95.112624874562997</v>
      </c>
      <c r="AJ1546">
        <v>70.756670449652603</v>
      </c>
      <c r="AK1546">
        <v>12.449771922979201</v>
      </c>
      <c r="AL1546">
        <v>86.3506666051628</v>
      </c>
      <c r="AM1546">
        <v>82.475870915981105</v>
      </c>
      <c r="AN1546">
        <v>1.00000004285521</v>
      </c>
    </row>
    <row r="1547" spans="1:40" x14ac:dyDescent="0.25">
      <c r="A1547" t="str">
        <f>"20190312153917993"</f>
        <v>20190312153917993</v>
      </c>
      <c r="B1547" t="str">
        <f>"1552376357987479"</f>
        <v>1552376357987479</v>
      </c>
      <c r="C1547" t="s">
        <v>40</v>
      </c>
      <c r="D1547">
        <v>4.345491</v>
      </c>
      <c r="E1547">
        <v>0.57954810000000001</v>
      </c>
      <c r="F1547" t="s">
        <v>49</v>
      </c>
      <c r="G1547">
        <v>-200.86500000000001</v>
      </c>
      <c r="H1547" s="1">
        <v>-3.0617790000000001E-6</v>
      </c>
      <c r="I1547">
        <v>359.74979999999999</v>
      </c>
      <c r="J1547">
        <v>-211.3039</v>
      </c>
      <c r="K1547">
        <v>1.109453</v>
      </c>
      <c r="L1547">
        <v>366.53680000000003</v>
      </c>
      <c r="M1547">
        <v>0.97107929999999998</v>
      </c>
      <c r="N1547">
        <v>0</v>
      </c>
      <c r="O1547">
        <v>-0.23834830000000001</v>
      </c>
      <c r="P1547">
        <v>0.93067639999999996</v>
      </c>
      <c r="Q1547">
        <v>4.9717909999999997E-2</v>
      </c>
      <c r="R1547">
        <v>-0.36244920000000003</v>
      </c>
      <c r="S1547">
        <v>2.5880580000000002</v>
      </c>
      <c r="T1547">
        <v>-0.2721459</v>
      </c>
      <c r="U1547">
        <v>-1.6720889999999999</v>
      </c>
      <c r="V1547">
        <v>0.13033059999999999</v>
      </c>
      <c r="W1547">
        <v>6.3180130000000001E-2</v>
      </c>
      <c r="X1547">
        <v>0.98945550000000004</v>
      </c>
      <c r="Y1547">
        <v>0.32646429999999999</v>
      </c>
      <c r="Z1547">
        <v>6.6446789999999997E-3</v>
      </c>
      <c r="AA1547">
        <v>0.94518619999999998</v>
      </c>
      <c r="AB1547">
        <v>16</v>
      </c>
      <c r="AC1547">
        <v>10.438899999999901</v>
      </c>
      <c r="AD1547">
        <v>-1.1094560617789999</v>
      </c>
      <c r="AE1547">
        <v>-6.7870000000000301</v>
      </c>
      <c r="AF1547">
        <v>4.0707020241037197</v>
      </c>
      <c r="AG1547">
        <v>-1.1094560617789999</v>
      </c>
      <c r="AH1547">
        <v>11.6632162138618</v>
      </c>
      <c r="AI1547">
        <v>95.1320408421808</v>
      </c>
      <c r="AJ1547">
        <v>70.759963615203901</v>
      </c>
      <c r="AK1547">
        <v>12.402907730582699</v>
      </c>
      <c r="AL1547">
        <v>86.377632517441597</v>
      </c>
      <c r="AM1547">
        <v>82.496225555941507</v>
      </c>
      <c r="AN1547">
        <v>0.99999999030171305</v>
      </c>
    </row>
    <row r="1548" spans="1:40" x14ac:dyDescent="0.25">
      <c r="A1548" t="str">
        <f>"20190312153918007"</f>
        <v>20190312153918007</v>
      </c>
      <c r="B1548" t="str">
        <f>"1552376357997239"</f>
        <v>1552376357997239</v>
      </c>
      <c r="C1548" t="s">
        <v>40</v>
      </c>
      <c r="D1548">
        <v>4.3690740000000003</v>
      </c>
      <c r="E1548">
        <v>0.57960489999999998</v>
      </c>
      <c r="F1548" t="s">
        <v>49</v>
      </c>
      <c r="G1548">
        <v>-200.88130000000001</v>
      </c>
      <c r="H1548" s="1">
        <v>-3.063762E-6</v>
      </c>
      <c r="I1548">
        <v>359.77780000000001</v>
      </c>
      <c r="J1548">
        <v>-211.20330000000001</v>
      </c>
      <c r="K1548">
        <v>1.1094599999999999</v>
      </c>
      <c r="L1548">
        <v>366.51</v>
      </c>
      <c r="M1548">
        <v>0.97067210000000004</v>
      </c>
      <c r="N1548">
        <v>0</v>
      </c>
      <c r="O1548">
        <v>-0.2400021</v>
      </c>
      <c r="P1548">
        <v>0.93017329999999998</v>
      </c>
      <c r="Q1548">
        <v>4.869097E-2</v>
      </c>
      <c r="R1548">
        <v>-0.36387799999999998</v>
      </c>
      <c r="S1548">
        <v>2.5852360000000001</v>
      </c>
      <c r="T1548">
        <v>-0.27519260000000001</v>
      </c>
      <c r="U1548">
        <v>-1.6765139999999901</v>
      </c>
      <c r="V1548">
        <v>0.13014690000000001</v>
      </c>
      <c r="W1548">
        <v>6.2153609999999998E-2</v>
      </c>
      <c r="X1548">
        <v>0.98954470000000005</v>
      </c>
      <c r="Y1548">
        <v>0.3264628</v>
      </c>
      <c r="Z1548">
        <v>6.8722560000000002E-3</v>
      </c>
      <c r="AA1548">
        <v>0.9451851</v>
      </c>
      <c r="AB1548">
        <v>16</v>
      </c>
      <c r="AC1548">
        <v>10.321999999999999</v>
      </c>
      <c r="AD1548">
        <v>-1.109463063762</v>
      </c>
      <c r="AE1548">
        <v>-6.7321999999999704</v>
      </c>
      <c r="AF1548">
        <v>4.0252266882423804</v>
      </c>
      <c r="AG1548">
        <v>-1.109463063762</v>
      </c>
      <c r="AH1548">
        <v>11.5425969560292</v>
      </c>
      <c r="AI1548">
        <v>95.185881220490501</v>
      </c>
      <c r="AJ1548">
        <v>70.774906502696794</v>
      </c>
      <c r="AK1548">
        <v>12.2745632374812</v>
      </c>
      <c r="AL1548">
        <v>86.436563648092502</v>
      </c>
      <c r="AM1548">
        <v>82.507349587506994</v>
      </c>
      <c r="AN1548">
        <v>1.0000000000568601</v>
      </c>
    </row>
    <row r="1549" spans="1:40" x14ac:dyDescent="0.25">
      <c r="A1549" t="str">
        <f>"20190312153918021"</f>
        <v>20190312153918021</v>
      </c>
      <c r="B1549" t="str">
        <f>"1552376358006999"</f>
        <v>1552376358006999</v>
      </c>
      <c r="C1549" t="s">
        <v>40</v>
      </c>
      <c r="D1549">
        <v>4.3533419999999996</v>
      </c>
      <c r="E1549">
        <v>0.57967119999999905</v>
      </c>
      <c r="F1549" t="s">
        <v>49</v>
      </c>
      <c r="G1549">
        <v>-200.9057</v>
      </c>
      <c r="H1549" s="1">
        <v>-3.070383E-6</v>
      </c>
      <c r="I1549">
        <v>359.80340000000001</v>
      </c>
      <c r="J1549">
        <v>-211.1079</v>
      </c>
      <c r="K1549">
        <v>1.1094649999999999</v>
      </c>
      <c r="L1549">
        <v>366.4846</v>
      </c>
      <c r="M1549">
        <v>0.97028409999999998</v>
      </c>
      <c r="N1549">
        <v>0</v>
      </c>
      <c r="O1549">
        <v>-0.24156530000000001</v>
      </c>
      <c r="P1549">
        <v>0.92962529999999999</v>
      </c>
      <c r="Q1549">
        <v>4.7944889999999997E-2</v>
      </c>
      <c r="R1549">
        <v>-0.36537380000000003</v>
      </c>
      <c r="S1549">
        <v>2.5819399999999999</v>
      </c>
      <c r="T1549">
        <v>-0.27817890000000001</v>
      </c>
      <c r="U1549">
        <v>-1.6815800000000001</v>
      </c>
      <c r="V1549">
        <v>0.1301329</v>
      </c>
      <c r="W1549">
        <v>6.1407349999999999E-2</v>
      </c>
      <c r="X1549">
        <v>0.9895931</v>
      </c>
      <c r="Y1549">
        <v>0.32679140000000001</v>
      </c>
      <c r="Z1549">
        <v>7.0776110000000001E-3</v>
      </c>
      <c r="AA1549">
        <v>0.94506999999999997</v>
      </c>
      <c r="AB1549">
        <v>16</v>
      </c>
      <c r="AC1549">
        <v>10.202199999999999</v>
      </c>
      <c r="AD1549">
        <v>-1.109468070383</v>
      </c>
      <c r="AE1549">
        <v>-6.6811999999999898</v>
      </c>
      <c r="AF1549">
        <v>3.9855695383887899</v>
      </c>
      <c r="AG1549">
        <v>-1.109468070383</v>
      </c>
      <c r="AH1549">
        <v>11.4195860036175</v>
      </c>
      <c r="AI1549">
        <v>95.240997230537403</v>
      </c>
      <c r="AJ1549">
        <v>70.7604132737127</v>
      </c>
      <c r="AK1549">
        <v>12.145889363836099</v>
      </c>
      <c r="AL1549">
        <v>86.479402921233202</v>
      </c>
      <c r="AM1549">
        <v>82.5085086784608</v>
      </c>
      <c r="AN1549">
        <v>0.99999996893202003</v>
      </c>
    </row>
    <row r="1550" spans="1:40" x14ac:dyDescent="0.25">
      <c r="A1550" t="str">
        <f>"20190312153918035"</f>
        <v>20190312153918035</v>
      </c>
      <c r="B1550" t="str">
        <f>"1552376358027496"</f>
        <v>1552376358027496</v>
      </c>
      <c r="C1550" t="s">
        <v>40</v>
      </c>
      <c r="D1550">
        <v>4.3290519999999999</v>
      </c>
      <c r="E1550">
        <v>0.57976110000000003</v>
      </c>
      <c r="F1550" t="s">
        <v>49</v>
      </c>
      <c r="G1550">
        <v>-200.91900000000001</v>
      </c>
      <c r="H1550" s="1">
        <v>-3.0728949999999999E-6</v>
      </c>
      <c r="I1550">
        <v>359.82209999999998</v>
      </c>
      <c r="J1550">
        <v>-211.00890000000001</v>
      </c>
      <c r="K1550">
        <v>1.1094660000000001</v>
      </c>
      <c r="L1550">
        <v>366.4579</v>
      </c>
      <c r="M1550">
        <v>0.96988070000000004</v>
      </c>
      <c r="N1550">
        <v>0</v>
      </c>
      <c r="O1550">
        <v>-0.24318119999999999</v>
      </c>
      <c r="P1550">
        <v>0.92905590000000005</v>
      </c>
      <c r="Q1550">
        <v>4.752141E-2</v>
      </c>
      <c r="R1550">
        <v>-0.36687530000000002</v>
      </c>
      <c r="S1550">
        <v>2.578827</v>
      </c>
      <c r="T1550">
        <v>-0.28080870000000002</v>
      </c>
      <c r="U1550">
        <v>-1.6862790000000001</v>
      </c>
      <c r="V1550">
        <v>0.13007589999999999</v>
      </c>
      <c r="W1550">
        <v>6.0982340000000003E-2</v>
      </c>
      <c r="X1550">
        <v>0.98962689999999998</v>
      </c>
      <c r="Y1550">
        <v>0.32694499999999999</v>
      </c>
      <c r="Z1550">
        <v>7.290075E-3</v>
      </c>
      <c r="AA1550">
        <v>0.9450153</v>
      </c>
      <c r="AB1550">
        <v>16</v>
      </c>
      <c r="AC1550">
        <v>10.0899</v>
      </c>
      <c r="AD1550">
        <v>-1.1094690728950001</v>
      </c>
      <c r="AE1550">
        <v>-6.6358000000000104</v>
      </c>
      <c r="AF1550">
        <v>3.9493142583796401</v>
      </c>
      <c r="AG1550">
        <v>-1.1094690728950001</v>
      </c>
      <c r="AH1550">
        <v>11.3053888905556</v>
      </c>
      <c r="AI1550">
        <v>95.293120932682001</v>
      </c>
      <c r="AJ1550">
        <v>70.744147285896204</v>
      </c>
      <c r="AK1550">
        <v>12.026629731635101</v>
      </c>
      <c r="AL1550">
        <v>86.503800010912201</v>
      </c>
      <c r="AM1550">
        <v>82.512005661275495</v>
      </c>
      <c r="AN1550">
        <v>0.99999999337814705</v>
      </c>
    </row>
    <row r="1551" spans="1:40" x14ac:dyDescent="0.25">
      <c r="A1551" t="str">
        <f>"20190312153918049"</f>
        <v>20190312153918049</v>
      </c>
      <c r="B1551" t="str">
        <f>"1552376358037255"</f>
        <v>1552376358037255</v>
      </c>
      <c r="C1551" t="s">
        <v>40</v>
      </c>
      <c r="D1551">
        <v>4.3327859999999996</v>
      </c>
      <c r="E1551">
        <v>0.57981590000000005</v>
      </c>
      <c r="F1551" t="s">
        <v>49</v>
      </c>
      <c r="G1551">
        <v>-200.90950000000001</v>
      </c>
      <c r="H1551" s="1">
        <v>-3.0669939999999999E-6</v>
      </c>
      <c r="I1551">
        <v>359.82729999999998</v>
      </c>
      <c r="J1551">
        <v>-210.91309999999999</v>
      </c>
      <c r="K1551">
        <v>1.1094630000000001</v>
      </c>
      <c r="L1551">
        <v>366.43189999999998</v>
      </c>
      <c r="M1551">
        <v>0.96948840000000003</v>
      </c>
      <c r="N1551">
        <v>0</v>
      </c>
      <c r="O1551">
        <v>-0.24473980000000001</v>
      </c>
      <c r="P1551">
        <v>0.9284135</v>
      </c>
      <c r="Q1551">
        <v>4.7078179999999997E-2</v>
      </c>
      <c r="R1551">
        <v>-0.36855450000000001</v>
      </c>
      <c r="S1551">
        <v>2.5757750000000001</v>
      </c>
      <c r="T1551">
        <v>-0.28296399999999999</v>
      </c>
      <c r="U1551">
        <v>-1.69110099999999</v>
      </c>
      <c r="V1551">
        <v>0.13026779999999999</v>
      </c>
      <c r="W1551">
        <v>6.053542E-2</v>
      </c>
      <c r="X1551">
        <v>0.98962910000000004</v>
      </c>
      <c r="Y1551">
        <v>0.32717570000000001</v>
      </c>
      <c r="Z1551">
        <v>7.4832989999999997E-3</v>
      </c>
      <c r="AA1551">
        <v>0.94493389999999999</v>
      </c>
      <c r="AB1551">
        <v>16</v>
      </c>
      <c r="AC1551">
        <v>10.003599999999899</v>
      </c>
      <c r="AD1551">
        <v>-1.109466066994</v>
      </c>
      <c r="AE1551">
        <v>-6.6045999999999996</v>
      </c>
      <c r="AF1551">
        <v>3.9215954700128002</v>
      </c>
      <c r="AG1551">
        <v>-1.109466066994</v>
      </c>
      <c r="AH1551">
        <v>11.2197722284811</v>
      </c>
      <c r="AI1551">
        <v>95.332943415729105</v>
      </c>
      <c r="AJ1551">
        <v>70.734181950133404</v>
      </c>
      <c r="AK1551">
        <v>11.9370479953475</v>
      </c>
      <c r="AL1551">
        <v>86.529454047329395</v>
      </c>
      <c r="AM1551">
        <v>82.501100792611197</v>
      </c>
      <c r="AN1551">
        <v>0.99999999617911295</v>
      </c>
    </row>
    <row r="1552" spans="1:40" x14ac:dyDescent="0.25">
      <c r="A1552" t="str">
        <f>"20190312153918065"</f>
        <v>20190312153918065</v>
      </c>
      <c r="B1552" t="str">
        <f>"1552376358057751"</f>
        <v>1552376358057751</v>
      </c>
      <c r="C1552" t="s">
        <v>40</v>
      </c>
      <c r="D1552">
        <v>4.3254130000000002</v>
      </c>
      <c r="E1552">
        <v>0.57991669999999995</v>
      </c>
      <c r="F1552" t="s">
        <v>49</v>
      </c>
      <c r="G1552">
        <v>-200.8768</v>
      </c>
      <c r="H1552" s="1">
        <v>-3.0532639999999999E-6</v>
      </c>
      <c r="I1552">
        <v>359.81479999999999</v>
      </c>
      <c r="J1552">
        <v>-210.8049</v>
      </c>
      <c r="K1552">
        <v>1.1094599999999999</v>
      </c>
      <c r="L1552">
        <v>366.4024</v>
      </c>
      <c r="M1552">
        <v>0.96904239999999997</v>
      </c>
      <c r="N1552">
        <v>0</v>
      </c>
      <c r="O1552">
        <v>-0.2465002</v>
      </c>
      <c r="P1552">
        <v>0.92781579999999997</v>
      </c>
      <c r="Q1552">
        <v>4.6793010000000003E-2</v>
      </c>
      <c r="R1552">
        <v>-0.37009249999999999</v>
      </c>
      <c r="S1552">
        <v>2.5724490000000002</v>
      </c>
      <c r="T1552">
        <v>-0.28437200000000001</v>
      </c>
      <c r="U1552">
        <v>-1.696045</v>
      </c>
      <c r="V1552">
        <v>0.130106</v>
      </c>
      <c r="W1552">
        <v>6.0248410000000002E-2</v>
      </c>
      <c r="X1552">
        <v>0.98966790000000004</v>
      </c>
      <c r="Y1552">
        <v>0.32728990000000002</v>
      </c>
      <c r="Z1552">
        <v>7.6839959999999898E-3</v>
      </c>
      <c r="AA1552">
        <v>0.94489279999999998</v>
      </c>
      <c r="AB1552">
        <v>16</v>
      </c>
      <c r="AC1552">
        <v>9.9281000000000006</v>
      </c>
      <c r="AD1552">
        <v>-1.109463053264</v>
      </c>
      <c r="AE1552">
        <v>-6.5876000000000001</v>
      </c>
      <c r="AF1552">
        <v>3.9029272312757501</v>
      </c>
      <c r="AG1552">
        <v>-1.109463053264</v>
      </c>
      <c r="AH1552">
        <v>11.1490195881026</v>
      </c>
      <c r="AI1552">
        <v>95.365671296615503</v>
      </c>
      <c r="AJ1552">
        <v>70.706426884631995</v>
      </c>
      <c r="AK1552">
        <v>11.8644168426049</v>
      </c>
      <c r="AL1552">
        <v>86.545928582979897</v>
      </c>
      <c r="AM1552">
        <v>82.510599345270904</v>
      </c>
      <c r="AN1552">
        <v>0.99999999721696897</v>
      </c>
    </row>
    <row r="1553" spans="1:40" x14ac:dyDescent="0.25">
      <c r="A1553" t="str">
        <f>"20190312153918078"</f>
        <v>20190312153918078</v>
      </c>
      <c r="B1553" t="str">
        <f>"1552376358067511"</f>
        <v>1552376358067511</v>
      </c>
      <c r="C1553" t="s">
        <v>40</v>
      </c>
      <c r="D1553">
        <v>4.2881769999999904</v>
      </c>
      <c r="E1553">
        <v>0.57997509999999997</v>
      </c>
      <c r="F1553" t="s">
        <v>49</v>
      </c>
      <c r="G1553">
        <v>-200.8305</v>
      </c>
      <c r="H1553" s="1">
        <v>-3.0341389999999999E-6</v>
      </c>
      <c r="I1553">
        <v>359.79610000000002</v>
      </c>
      <c r="J1553">
        <v>-210.71340000000001</v>
      </c>
      <c r="K1553">
        <v>1.1094649999999999</v>
      </c>
      <c r="L1553">
        <v>366.37729999999999</v>
      </c>
      <c r="M1553">
        <v>0.96866240000000003</v>
      </c>
      <c r="N1553">
        <v>0</v>
      </c>
      <c r="O1553">
        <v>-0.2479894</v>
      </c>
      <c r="P1553">
        <v>0.9272049</v>
      </c>
      <c r="Q1553">
        <v>4.6704410000000002E-2</v>
      </c>
      <c r="R1553">
        <v>-0.37163170000000001</v>
      </c>
      <c r="S1553">
        <v>2.5690770000000001</v>
      </c>
      <c r="T1553">
        <v>-0.28576109999999999</v>
      </c>
      <c r="U1553">
        <v>-1.7015690000000001</v>
      </c>
      <c r="V1553">
        <v>0.13022600000000001</v>
      </c>
      <c r="W1553">
        <v>6.0156069999999999E-2</v>
      </c>
      <c r="X1553">
        <v>0.98965780000000003</v>
      </c>
      <c r="Y1553">
        <v>0.32782109999999998</v>
      </c>
      <c r="Z1553">
        <v>7.8385909999999902E-3</v>
      </c>
      <c r="AA1553">
        <v>0.94470730000000003</v>
      </c>
      <c r="AB1553">
        <v>16</v>
      </c>
      <c r="AC1553">
        <v>9.8828999999999994</v>
      </c>
      <c r="AD1553">
        <v>-1.109468034139</v>
      </c>
      <c r="AE1553">
        <v>-6.58119999999996</v>
      </c>
      <c r="AF1553">
        <v>3.8905202245377999</v>
      </c>
      <c r="AG1553">
        <v>-1.109468034139</v>
      </c>
      <c r="AH1553">
        <v>11.109355944385101</v>
      </c>
      <c r="AI1553">
        <v>95.3845178124635</v>
      </c>
      <c r="AJ1553">
        <v>70.699636602559295</v>
      </c>
      <c r="AK1553">
        <v>11.8230645957535</v>
      </c>
      <c r="AL1553">
        <v>86.551229114276396</v>
      </c>
      <c r="AM1553">
        <v>82.503694574670405</v>
      </c>
      <c r="AN1553">
        <v>1.00000006246734</v>
      </c>
    </row>
    <row r="1554" spans="1:40" x14ac:dyDescent="0.25">
      <c r="A1554" t="str">
        <f>"20190312153918094"</f>
        <v>20190312153918094</v>
      </c>
      <c r="B1554" t="str">
        <f>"1552376358087031"</f>
        <v>1552376358087031</v>
      </c>
      <c r="C1554" t="s">
        <v>40</v>
      </c>
      <c r="D1554">
        <v>4.3111230000000003</v>
      </c>
      <c r="E1554">
        <v>0.5800592</v>
      </c>
      <c r="F1554" t="s">
        <v>49</v>
      </c>
      <c r="G1554">
        <v>-200.76220000000001</v>
      </c>
      <c r="H1554" s="1">
        <v>-3.007484E-6</v>
      </c>
      <c r="I1554">
        <v>359.76139999999998</v>
      </c>
      <c r="J1554">
        <v>-210.5967</v>
      </c>
      <c r="K1554">
        <v>1.109464</v>
      </c>
      <c r="L1554">
        <v>366.34500000000003</v>
      </c>
      <c r="M1554">
        <v>0.96817390000000003</v>
      </c>
      <c r="N1554">
        <v>0</v>
      </c>
      <c r="O1554">
        <v>-0.2498901</v>
      </c>
      <c r="P1554">
        <v>0.92651220000000001</v>
      </c>
      <c r="Q1554">
        <v>4.7231349999999998E-2</v>
      </c>
      <c r="R1554">
        <v>-0.37328850000000002</v>
      </c>
      <c r="S1554">
        <v>2.5661160000000001</v>
      </c>
      <c r="T1554">
        <v>-0.28610039999999998</v>
      </c>
      <c r="U1554">
        <v>-1.7060550000000001</v>
      </c>
      <c r="V1554">
        <v>0.13006119999999999</v>
      </c>
      <c r="W1554">
        <v>6.067964E-2</v>
      </c>
      <c r="X1554">
        <v>0.98964739999999995</v>
      </c>
      <c r="Y1554">
        <v>0.32762239999999998</v>
      </c>
      <c r="Z1554">
        <v>8.0412330000000001E-3</v>
      </c>
      <c r="AA1554">
        <v>0.94477460000000002</v>
      </c>
      <c r="AB1554">
        <v>16</v>
      </c>
      <c r="AC1554">
        <v>9.8344999999999896</v>
      </c>
      <c r="AD1554">
        <v>-1.1094670074840001</v>
      </c>
      <c r="AE1554">
        <v>-6.5836000000000396</v>
      </c>
      <c r="AF1554">
        <v>3.8827823844190399</v>
      </c>
      <c r="AG1554">
        <v>-1.1094670074840001</v>
      </c>
      <c r="AH1554">
        <v>11.0704753011963</v>
      </c>
      <c r="AI1554">
        <v>95.402421940100794</v>
      </c>
      <c r="AJ1554">
        <v>70.672541491903104</v>
      </c>
      <c r="AK1554">
        <v>11.7839865699112</v>
      </c>
      <c r="AL1554">
        <v>86.521175489473507</v>
      </c>
      <c r="AM1554">
        <v>82.512995618233305</v>
      </c>
      <c r="AN1554">
        <v>0.99999995539136299</v>
      </c>
    </row>
    <row r="1555" spans="1:40" x14ac:dyDescent="0.25">
      <c r="A1555" t="str">
        <f>"20190312153918107"</f>
        <v>20190312153918107</v>
      </c>
      <c r="B1555" t="str">
        <f>"1552376358097770"</f>
        <v>1552376358097770</v>
      </c>
      <c r="C1555" t="s">
        <v>40</v>
      </c>
      <c r="D1555">
        <v>4.3127389999999997</v>
      </c>
      <c r="E1555">
        <v>0.5801075</v>
      </c>
      <c r="F1555" t="s">
        <v>49</v>
      </c>
      <c r="G1555">
        <v>-200.62649999999999</v>
      </c>
      <c r="H1555" s="1">
        <v>-2.955649E-6</v>
      </c>
      <c r="I1555">
        <v>359.68720000000002</v>
      </c>
      <c r="J1555">
        <v>-210.50839999999999</v>
      </c>
      <c r="K1555">
        <v>1.1094679999999999</v>
      </c>
      <c r="L1555">
        <v>366.32040000000001</v>
      </c>
      <c r="M1555">
        <v>0.96780069999999996</v>
      </c>
      <c r="N1555">
        <v>0</v>
      </c>
      <c r="O1555">
        <v>-0.25133169999999999</v>
      </c>
      <c r="P1555">
        <v>0.92622230000000005</v>
      </c>
      <c r="Q1555">
        <v>4.7780330000000003E-2</v>
      </c>
      <c r="R1555">
        <v>-0.37393779999999999</v>
      </c>
      <c r="S1555">
        <v>2.5629119999999999</v>
      </c>
      <c r="T1555">
        <v>-0.2851979</v>
      </c>
      <c r="U1555">
        <v>-1.7114560000000001</v>
      </c>
      <c r="V1555">
        <v>0.12928899999999999</v>
      </c>
      <c r="W1555">
        <v>6.1228869999999998E-2</v>
      </c>
      <c r="X1555">
        <v>0.98971480000000001</v>
      </c>
      <c r="Y1555">
        <v>0.32814399999999999</v>
      </c>
      <c r="Z1555">
        <v>8.1286680000000004E-3</v>
      </c>
      <c r="AA1555">
        <v>0.94459280000000001</v>
      </c>
      <c r="AB1555">
        <v>16</v>
      </c>
      <c r="AC1555">
        <v>9.8818999999999999</v>
      </c>
      <c r="AD1555">
        <v>-1.1094709556489999</v>
      </c>
      <c r="AE1555">
        <v>-6.63319999999998</v>
      </c>
      <c r="AF1555">
        <v>3.9024514359754998</v>
      </c>
      <c r="AG1555">
        <v>-1.1094709556489999</v>
      </c>
      <c r="AH1555">
        <v>11.1351709839553</v>
      </c>
      <c r="AI1555">
        <v>95.371689276099502</v>
      </c>
      <c r="AJ1555">
        <v>70.686388402164496</v>
      </c>
      <c r="AK1555">
        <v>11.8512482825015</v>
      </c>
      <c r="AL1555">
        <v>86.489648470036698</v>
      </c>
      <c r="AM1555">
        <v>82.557448814791002</v>
      </c>
      <c r="AN1555">
        <v>1.0000000026907501</v>
      </c>
    </row>
    <row r="1556" spans="1:40" x14ac:dyDescent="0.25">
      <c r="A1556" t="str">
        <f>"20190312153918124"</f>
        <v>20190312153918124</v>
      </c>
      <c r="B1556" t="str">
        <f>"1552376358117287"</f>
        <v>1552376358117287</v>
      </c>
      <c r="C1556" t="s">
        <v>40</v>
      </c>
      <c r="D1556">
        <v>4.3133359999999996</v>
      </c>
      <c r="E1556">
        <v>0.58023480000000005</v>
      </c>
      <c r="F1556" t="s">
        <v>49</v>
      </c>
      <c r="G1556">
        <v>-200.4759</v>
      </c>
      <c r="H1556" s="1">
        <v>-2.897931E-6</v>
      </c>
      <c r="I1556">
        <v>359.60570000000001</v>
      </c>
      <c r="J1556">
        <v>-210.4057</v>
      </c>
      <c r="K1556">
        <v>1.109467</v>
      </c>
      <c r="L1556">
        <v>366.29169999999999</v>
      </c>
      <c r="M1556">
        <v>0.96736369999999905</v>
      </c>
      <c r="N1556">
        <v>0</v>
      </c>
      <c r="O1556">
        <v>-0.25300879999999998</v>
      </c>
      <c r="P1556">
        <v>0.92583020000000005</v>
      </c>
      <c r="Q1556">
        <v>4.8225249999999997E-2</v>
      </c>
      <c r="R1556">
        <v>-0.37485059999999998</v>
      </c>
      <c r="S1556">
        <v>2.5614469999999998</v>
      </c>
      <c r="T1556">
        <v>-0.28326669999999998</v>
      </c>
      <c r="U1556">
        <v>-1.714386</v>
      </c>
      <c r="V1556">
        <v>0.1285558</v>
      </c>
      <c r="W1556">
        <v>6.1673409999999998E-2</v>
      </c>
      <c r="X1556">
        <v>0.98978270000000002</v>
      </c>
      <c r="Y1556">
        <v>0.32751629999999998</v>
      </c>
      <c r="Z1556">
        <v>8.2636540000000005E-3</v>
      </c>
      <c r="AA1556">
        <v>0.94480940000000002</v>
      </c>
      <c r="AB1556">
        <v>16</v>
      </c>
      <c r="AC1556">
        <v>9.9298000000000002</v>
      </c>
      <c r="AD1556">
        <v>-1.109469897931</v>
      </c>
      <c r="AE1556">
        <v>-6.6859999999999697</v>
      </c>
      <c r="AF1556">
        <v>3.9221608014301301</v>
      </c>
      <c r="AG1556">
        <v>-1.109469897931</v>
      </c>
      <c r="AH1556">
        <v>11.2022181674875</v>
      </c>
      <c r="AI1556">
        <v>95.340280285394897</v>
      </c>
      <c r="AJ1556">
        <v>70.703645797445603</v>
      </c>
      <c r="AK1556">
        <v>11.920736582890999</v>
      </c>
      <c r="AL1556">
        <v>86.464129960644897</v>
      </c>
      <c r="AM1556">
        <v>82.599688503603801</v>
      </c>
      <c r="AN1556">
        <v>0.99999999821697805</v>
      </c>
    </row>
    <row r="1557" spans="1:40" x14ac:dyDescent="0.25">
      <c r="A1557" t="str">
        <f>"20190312153918136"</f>
        <v>20190312153918136</v>
      </c>
      <c r="B1557" t="str">
        <f>"1552376358127048"</f>
        <v>1552376358127048</v>
      </c>
      <c r="C1557" t="s">
        <v>40</v>
      </c>
      <c r="D1557">
        <v>4.3039160000000001</v>
      </c>
      <c r="E1557">
        <v>0.58029189999999997</v>
      </c>
      <c r="F1557" t="s">
        <v>49</v>
      </c>
      <c r="G1557">
        <v>-200.3409</v>
      </c>
      <c r="H1557" s="1">
        <v>-6.6938509999999997E-6</v>
      </c>
      <c r="I1557">
        <v>359.53660000000002</v>
      </c>
      <c r="J1557">
        <v>-210.3057</v>
      </c>
      <c r="K1557">
        <v>1.109467</v>
      </c>
      <c r="L1557">
        <v>366.26350000000002</v>
      </c>
      <c r="M1557">
        <v>0.96693390000000001</v>
      </c>
      <c r="N1557">
        <v>0</v>
      </c>
      <c r="O1557">
        <v>-0.2546466</v>
      </c>
      <c r="P1557">
        <v>0.92537510000000001</v>
      </c>
      <c r="Q1557">
        <v>4.8352230000000003E-2</v>
      </c>
      <c r="R1557">
        <v>-0.37595640000000002</v>
      </c>
      <c r="S1557">
        <v>2.5594939999999999</v>
      </c>
      <c r="T1557">
        <v>-0.28213939999999998</v>
      </c>
      <c r="U1557">
        <v>-1.7178340000000001</v>
      </c>
      <c r="V1557">
        <v>0.12806400000000001</v>
      </c>
      <c r="W1557">
        <v>6.1799050000000001E-2</v>
      </c>
      <c r="X1557">
        <v>0.98983860000000001</v>
      </c>
      <c r="Y1557">
        <v>0.32713809999999999</v>
      </c>
      <c r="Z1557">
        <v>8.4044840000000003E-3</v>
      </c>
      <c r="AA1557">
        <v>0.94493910000000003</v>
      </c>
      <c r="AB1557">
        <v>16</v>
      </c>
      <c r="AC1557">
        <v>9.9647999999999897</v>
      </c>
      <c r="AD1557">
        <v>-1.1094736938509999</v>
      </c>
      <c r="AE1557">
        <v>-6.7268999999999997</v>
      </c>
      <c r="AF1557">
        <v>3.9338504351013102</v>
      </c>
      <c r="AG1557">
        <v>-1.1094736938509999</v>
      </c>
      <c r="AH1557">
        <v>11.253553799522701</v>
      </c>
      <c r="AI1557">
        <v>95.316997432447906</v>
      </c>
      <c r="AJ1557">
        <v>70.732151875832699</v>
      </c>
      <c r="AK1557">
        <v>11.9728269110451</v>
      </c>
      <c r="AL1557">
        <v>86.456917504992802</v>
      </c>
      <c r="AM1557">
        <v>82.628098690461798</v>
      </c>
      <c r="AN1557">
        <v>0.99999998236343102</v>
      </c>
    </row>
    <row r="1558" spans="1:40" x14ac:dyDescent="0.25">
      <c r="A1558" t="str">
        <f>"20190312153918151"</f>
        <v>20190312153918151</v>
      </c>
      <c r="B1558" t="str">
        <f>"1552376358147544"</f>
        <v>1552376358147544</v>
      </c>
      <c r="C1558" t="s">
        <v>40</v>
      </c>
      <c r="D1558">
        <v>4.3144309999999999</v>
      </c>
      <c r="E1558">
        <v>0.58043009999999995</v>
      </c>
      <c r="F1558" t="s">
        <v>49</v>
      </c>
      <c r="G1558">
        <v>-200.24610000000001</v>
      </c>
      <c r="H1558" s="1">
        <v>-6.7185939999999998E-6</v>
      </c>
      <c r="I1558">
        <v>359.49020000000002</v>
      </c>
      <c r="J1558">
        <v>-210.20650000000001</v>
      </c>
      <c r="K1558">
        <v>1.1094619999999999</v>
      </c>
      <c r="L1558">
        <v>366.2353</v>
      </c>
      <c r="M1558">
        <v>0.96650340000000001</v>
      </c>
      <c r="N1558">
        <v>0</v>
      </c>
      <c r="O1558">
        <v>-0.2562759</v>
      </c>
      <c r="P1558">
        <v>0.9252766</v>
      </c>
      <c r="Q1558">
        <v>4.8780589999999999E-2</v>
      </c>
      <c r="R1558">
        <v>-0.37614350000000002</v>
      </c>
      <c r="S1558">
        <v>2.557159</v>
      </c>
      <c r="T1558">
        <v>-0.28202840000000001</v>
      </c>
      <c r="U1558">
        <v>-1.7217709999999999</v>
      </c>
      <c r="V1558">
        <v>0.12660160000000001</v>
      </c>
      <c r="W1558">
        <v>6.2231670000000003E-2</v>
      </c>
      <c r="X1558">
        <v>0.98999970000000004</v>
      </c>
      <c r="Y1558">
        <v>0.32695370000000001</v>
      </c>
      <c r="Z1558">
        <v>8.5646819999999901E-3</v>
      </c>
      <c r="AA1558">
        <v>0.94500150000000005</v>
      </c>
      <c r="AB1558">
        <v>16</v>
      </c>
      <c r="AC1558">
        <v>9.9603999999999893</v>
      </c>
      <c r="AD1558">
        <v>-1.109468718594</v>
      </c>
      <c r="AE1558">
        <v>-6.7450999999999697</v>
      </c>
      <c r="AF1558">
        <v>3.93347653732279</v>
      </c>
      <c r="AG1558">
        <v>-1.109468718594</v>
      </c>
      <c r="AH1558">
        <v>11.2606803646045</v>
      </c>
      <c r="AI1558">
        <v>95.314046656457904</v>
      </c>
      <c r="AJ1558">
        <v>70.745143488357002</v>
      </c>
      <c r="AK1558">
        <v>11.979402354917299</v>
      </c>
      <c r="AL1558">
        <v>86.4320827357908</v>
      </c>
      <c r="AM1558">
        <v>82.712543493084695</v>
      </c>
      <c r="AN1558">
        <v>1.00000007593681</v>
      </c>
    </row>
    <row r="1559" spans="1:40" x14ac:dyDescent="0.25">
      <c r="A1559" t="str">
        <f>"20190312153918166"</f>
        <v>20190312153918166</v>
      </c>
      <c r="B1559" t="str">
        <f>"1552376358157304"</f>
        <v>1552376358157304</v>
      </c>
      <c r="C1559" t="s">
        <v>40</v>
      </c>
      <c r="D1559">
        <v>4.3166979999999997</v>
      </c>
      <c r="E1559">
        <v>0.58043009999999995</v>
      </c>
      <c r="F1559" t="s">
        <v>49</v>
      </c>
      <c r="G1559">
        <v>-200.13059999999999</v>
      </c>
      <c r="H1559" s="1">
        <v>-6.7510180000000003E-6</v>
      </c>
      <c r="I1559">
        <v>359.44560000000001</v>
      </c>
      <c r="J1559">
        <v>-210.1165</v>
      </c>
      <c r="K1559">
        <v>1.109464</v>
      </c>
      <c r="L1559">
        <v>366.20960000000002</v>
      </c>
      <c r="M1559">
        <v>0.96611009999999997</v>
      </c>
      <c r="N1559">
        <v>0</v>
      </c>
      <c r="O1559">
        <v>-0.25775439999999999</v>
      </c>
      <c r="P1559">
        <v>0.92480430000000002</v>
      </c>
      <c r="Q1559">
        <v>4.8809930000000001E-2</v>
      </c>
      <c r="R1559">
        <v>-0.3772992</v>
      </c>
      <c r="S1559">
        <v>2.5567319999999998</v>
      </c>
      <c r="T1559">
        <v>-0.28152379999999999</v>
      </c>
      <c r="U1559">
        <v>-1.7228699999999999</v>
      </c>
      <c r="V1559">
        <v>0.12632389999999999</v>
      </c>
      <c r="W1559">
        <v>6.2260210000000003E-2</v>
      </c>
      <c r="X1559">
        <v>0.9900333</v>
      </c>
      <c r="Y1559">
        <v>0.32587110000000002</v>
      </c>
      <c r="Z1559">
        <v>8.7412800000000006E-3</v>
      </c>
      <c r="AA1559">
        <v>0.94537380000000004</v>
      </c>
      <c r="AB1559">
        <v>16</v>
      </c>
      <c r="AC1559">
        <v>9.9859000000000098</v>
      </c>
      <c r="AD1559">
        <v>-1.109470751018</v>
      </c>
      <c r="AE1559">
        <v>-6.7640000000000002</v>
      </c>
      <c r="AF1559">
        <v>3.9280055233791802</v>
      </c>
      <c r="AG1559">
        <v>-1.109470751018</v>
      </c>
      <c r="AH1559">
        <v>11.2964470125393</v>
      </c>
      <c r="AI1559">
        <v>95.299930666472207</v>
      </c>
      <c r="AJ1559">
        <v>70.826391997798396</v>
      </c>
      <c r="AK1559">
        <v>12.011239230244801</v>
      </c>
      <c r="AL1559">
        <v>86.430444059710496</v>
      </c>
      <c r="AM1559">
        <v>82.728601357610799</v>
      </c>
      <c r="AN1559">
        <v>0.99999999828467201</v>
      </c>
    </row>
    <row r="1560" spans="1:40" x14ac:dyDescent="0.25">
      <c r="A1560" t="str">
        <f>"20190312153918179"</f>
        <v>20190312153918179</v>
      </c>
      <c r="B1560" t="str">
        <f>"1552376358167063"</f>
        <v>1552376358167063</v>
      </c>
      <c r="C1560" t="s">
        <v>40</v>
      </c>
      <c r="D1560">
        <v>4.2975719999999997</v>
      </c>
      <c r="E1560">
        <v>0.58057630000000005</v>
      </c>
      <c r="F1560" t="s">
        <v>49</v>
      </c>
      <c r="G1560">
        <v>-200.04759999999999</v>
      </c>
      <c r="H1560" s="1">
        <v>-6.7669999999999998E-6</v>
      </c>
      <c r="I1560">
        <v>359.40539999999999</v>
      </c>
      <c r="J1560">
        <v>-210.0146</v>
      </c>
      <c r="K1560">
        <v>1.109461</v>
      </c>
      <c r="L1560">
        <v>366.18040000000002</v>
      </c>
      <c r="M1560">
        <v>0.9656612</v>
      </c>
      <c r="N1560">
        <v>0</v>
      </c>
      <c r="O1560">
        <v>-0.2594321</v>
      </c>
      <c r="P1560">
        <v>0.92427930000000003</v>
      </c>
      <c r="Q1560">
        <v>4.9122279999999997E-2</v>
      </c>
      <c r="R1560">
        <v>-0.37854399999999999</v>
      </c>
      <c r="S1560">
        <v>2.5545040000000001</v>
      </c>
      <c r="T1560">
        <v>-0.2814739</v>
      </c>
      <c r="U1560">
        <v>-1.726227</v>
      </c>
      <c r="V1560">
        <v>0.12594169999999999</v>
      </c>
      <c r="W1560">
        <v>6.2570979999999998E-2</v>
      </c>
      <c r="X1560">
        <v>0.99006240000000001</v>
      </c>
      <c r="Y1560">
        <v>0.325472599999999</v>
      </c>
      <c r="Z1560">
        <v>8.9183790000000006E-3</v>
      </c>
      <c r="AA1560">
        <v>0.94550940000000006</v>
      </c>
      <c r="AB1560">
        <v>16</v>
      </c>
      <c r="AC1560">
        <v>9.9670000000000094</v>
      </c>
      <c r="AD1560">
        <v>-1.1094677669999999</v>
      </c>
      <c r="AE1560">
        <v>-6.7750000000000297</v>
      </c>
      <c r="AF1560">
        <v>3.9237241787187802</v>
      </c>
      <c r="AG1560">
        <v>-1.1094677669999999</v>
      </c>
      <c r="AH1560">
        <v>11.2878346537002</v>
      </c>
      <c r="AI1560">
        <v>95.304123610322193</v>
      </c>
      <c r="AJ1560">
        <v>70.832218631455603</v>
      </c>
      <c r="AK1560">
        <v>12.001739095895701</v>
      </c>
      <c r="AL1560">
        <v>86.412603463033307</v>
      </c>
      <c r="AM1560">
        <v>82.750577784907904</v>
      </c>
      <c r="AN1560">
        <v>0.99999999761540503</v>
      </c>
    </row>
    <row r="1561" spans="1:40" x14ac:dyDescent="0.25">
      <c r="A1561" t="str">
        <f>"20190312153918192"</f>
        <v>20190312153918192</v>
      </c>
      <c r="B1561" t="str">
        <f>"1552376358177799"</f>
        <v>1552376358177799</v>
      </c>
      <c r="C1561" t="s">
        <v>40</v>
      </c>
      <c r="D1561">
        <v>4.298324</v>
      </c>
      <c r="E1561">
        <v>0.58066030000000002</v>
      </c>
      <c r="F1561" t="s">
        <v>49</v>
      </c>
      <c r="G1561">
        <v>-199.9616</v>
      </c>
      <c r="H1561" s="1">
        <v>-6.763027E-6</v>
      </c>
      <c r="I1561">
        <v>359.36099999999999</v>
      </c>
      <c r="J1561">
        <v>-209.9248</v>
      </c>
      <c r="K1561">
        <v>1.1094649999999999</v>
      </c>
      <c r="L1561">
        <v>366.15440000000001</v>
      </c>
      <c r="M1561">
        <v>0.9652617</v>
      </c>
      <c r="N1561">
        <v>0</v>
      </c>
      <c r="O1561">
        <v>-0.26091429999999999</v>
      </c>
      <c r="P1561">
        <v>0.92381270000000004</v>
      </c>
      <c r="Q1561">
        <v>4.9262670000000001E-2</v>
      </c>
      <c r="R1561">
        <v>-0.37966280000000002</v>
      </c>
      <c r="S1561">
        <v>2.5518190000000001</v>
      </c>
      <c r="T1561">
        <v>-0.28162219999999999</v>
      </c>
      <c r="U1561">
        <v>-1.730988</v>
      </c>
      <c r="V1561">
        <v>0.1256224</v>
      </c>
      <c r="W1561">
        <v>6.27109E-2</v>
      </c>
      <c r="X1561">
        <v>0.99009409999999998</v>
      </c>
      <c r="Y1561">
        <v>0.32569619999999999</v>
      </c>
      <c r="Z1561">
        <v>9.0522569999999993E-3</v>
      </c>
      <c r="AA1561">
        <v>0.94543120000000003</v>
      </c>
      <c r="AB1561">
        <v>16</v>
      </c>
      <c r="AC1561">
        <v>9.9632000000000005</v>
      </c>
      <c r="AD1561">
        <v>-1.1094717630269999</v>
      </c>
      <c r="AE1561">
        <v>-6.7934000000000099</v>
      </c>
      <c r="AF1561">
        <v>3.9250256972372601</v>
      </c>
      <c r="AG1561">
        <v>-1.1094717630269999</v>
      </c>
      <c r="AH1561">
        <v>11.2950814864551</v>
      </c>
      <c r="AI1561">
        <v>95.300935078746306</v>
      </c>
      <c r="AJ1561">
        <v>70.837729076223795</v>
      </c>
      <c r="AK1561">
        <v>12.0089808103181</v>
      </c>
      <c r="AL1561">
        <v>86.404570819308503</v>
      </c>
      <c r="AM1561">
        <v>82.768991522523393</v>
      </c>
      <c r="AN1561">
        <v>0.99999998560768899</v>
      </c>
    </row>
    <row r="1562" spans="1:40" x14ac:dyDescent="0.25">
      <c r="A1562" t="str">
        <f>"20190312153918208"</f>
        <v>20190312153918208</v>
      </c>
      <c r="B1562" t="str">
        <f>"1552376358197319"</f>
        <v>1552376358197319</v>
      </c>
      <c r="C1562" t="s">
        <v>40</v>
      </c>
      <c r="D1562">
        <v>4.3239679999999998</v>
      </c>
      <c r="E1562">
        <v>0.58080600000000004</v>
      </c>
      <c r="F1562" t="s">
        <v>49</v>
      </c>
      <c r="G1562">
        <v>-199.892</v>
      </c>
      <c r="H1562" s="1">
        <v>-6.7412220000000001E-6</v>
      </c>
      <c r="I1562">
        <v>359.32839999999999</v>
      </c>
      <c r="J1562">
        <v>-209.82230000000001</v>
      </c>
      <c r="K1562">
        <v>1.10947</v>
      </c>
      <c r="L1562">
        <v>366.12450000000001</v>
      </c>
      <c r="M1562">
        <v>0.96480290000000002</v>
      </c>
      <c r="N1562">
        <v>0</v>
      </c>
      <c r="O1562">
        <v>-0.26260499999999998</v>
      </c>
      <c r="P1562">
        <v>0.92321940000000002</v>
      </c>
      <c r="Q1562">
        <v>4.935059E-2</v>
      </c>
      <c r="R1562">
        <v>-0.38109140000000002</v>
      </c>
      <c r="S1562">
        <v>2.5495760000000001</v>
      </c>
      <c r="T1562">
        <v>-0.28194399999999997</v>
      </c>
      <c r="U1562">
        <v>-1.73465</v>
      </c>
      <c r="V1562">
        <v>0.12542039999999999</v>
      </c>
      <c r="W1562">
        <v>6.2797510000000001E-2</v>
      </c>
      <c r="X1562">
        <v>0.99011420000000006</v>
      </c>
      <c r="Y1562">
        <v>0.32536209999999999</v>
      </c>
      <c r="Z1562">
        <v>9.2391939999999992E-3</v>
      </c>
      <c r="AA1562">
        <v>0.94554439999999995</v>
      </c>
      <c r="AB1562">
        <v>16</v>
      </c>
      <c r="AC1562">
        <v>9.9303000000000097</v>
      </c>
      <c r="AD1562">
        <v>-1.1094767412219999</v>
      </c>
      <c r="AE1562">
        <v>-6.7961000000000196</v>
      </c>
      <c r="AF1562">
        <v>3.9162413381755199</v>
      </c>
      <c r="AG1562">
        <v>-1.1094767412219999</v>
      </c>
      <c r="AH1562">
        <v>11.270760872905999</v>
      </c>
      <c r="AI1562">
        <v>95.312380412452498</v>
      </c>
      <c r="AJ1562">
        <v>70.839239429837605</v>
      </c>
      <c r="AK1562">
        <v>11.983235602806801</v>
      </c>
      <c r="AL1562">
        <v>86.399598562837795</v>
      </c>
      <c r="AM1562">
        <v>82.780641172060896</v>
      </c>
      <c r="AN1562">
        <v>0.99999996651999901</v>
      </c>
    </row>
    <row r="1563" spans="1:40" x14ac:dyDescent="0.25">
      <c r="A1563" t="str">
        <f>"20190312153918221"</f>
        <v>20190312153918221</v>
      </c>
      <c r="B1563" t="str">
        <f>"1552376358217815"</f>
        <v>1552376358217815</v>
      </c>
      <c r="C1563" t="s">
        <v>40</v>
      </c>
      <c r="D1563">
        <v>4.2774260000000002</v>
      </c>
      <c r="E1563">
        <v>0.58593479999999998</v>
      </c>
      <c r="F1563" t="s">
        <v>49</v>
      </c>
      <c r="G1563">
        <v>-199.84049999999999</v>
      </c>
      <c r="H1563" s="1">
        <v>-6.7249230000000002E-6</v>
      </c>
      <c r="I1563">
        <v>359.30369999999999</v>
      </c>
      <c r="J1563">
        <v>-209.72720000000001</v>
      </c>
      <c r="K1563">
        <v>1.1094869999999999</v>
      </c>
      <c r="L1563">
        <v>366.09660000000002</v>
      </c>
      <c r="M1563">
        <v>0.96437459999999997</v>
      </c>
      <c r="N1563">
        <v>0</v>
      </c>
      <c r="O1563">
        <v>-0.26417400000000002</v>
      </c>
      <c r="P1563">
        <v>0.92280090000000004</v>
      </c>
      <c r="Q1563">
        <v>4.9763689999999999E-2</v>
      </c>
      <c r="R1563">
        <v>-0.38205030000000001</v>
      </c>
      <c r="S1563">
        <v>2.5464020000000001</v>
      </c>
      <c r="T1563">
        <v>-0.28303270000000003</v>
      </c>
      <c r="U1563">
        <v>-1.74002099999999</v>
      </c>
      <c r="V1563">
        <v>0.12484480000000001</v>
      </c>
      <c r="W1563">
        <v>6.3211059999999999E-2</v>
      </c>
      <c r="X1563">
        <v>0.99016059999999995</v>
      </c>
      <c r="Y1563">
        <v>0.32573550000000001</v>
      </c>
      <c r="Z1563">
        <v>9.4058200000000005E-3</v>
      </c>
      <c r="AA1563">
        <v>0.94541419999999998</v>
      </c>
      <c r="AB1563">
        <v>16</v>
      </c>
      <c r="AC1563">
        <v>9.88670000000001</v>
      </c>
      <c r="AD1563">
        <v>-1.1094937249229999</v>
      </c>
      <c r="AE1563">
        <v>-6.7929000000000297</v>
      </c>
      <c r="AF1563">
        <v>3.9060565804961902</v>
      </c>
      <c r="AG1563">
        <v>-1.1094937249229999</v>
      </c>
      <c r="AH1563">
        <v>11.233981171144199</v>
      </c>
      <c r="AI1563">
        <v>95.329374504168996</v>
      </c>
      <c r="AJ1563">
        <v>70.827430754405995</v>
      </c>
      <c r="AK1563">
        <v>11.9453165420303</v>
      </c>
      <c r="AL1563">
        <v>86.375856619781402</v>
      </c>
      <c r="AM1563">
        <v>82.813759498605904</v>
      </c>
      <c r="AN1563">
        <v>0.99999993799285902</v>
      </c>
    </row>
    <row r="1564" spans="1:40" x14ac:dyDescent="0.25">
      <c r="A1564" t="str">
        <f>"20190312153918236"</f>
        <v>20190312153918236</v>
      </c>
      <c r="B1564" t="str">
        <f>"1552376358227577"</f>
        <v>1552376358227577</v>
      </c>
      <c r="C1564" t="s">
        <v>40</v>
      </c>
      <c r="D1564">
        <v>4.3096670000000001</v>
      </c>
      <c r="E1564">
        <v>0.58636489999999997</v>
      </c>
      <c r="F1564" t="s">
        <v>49</v>
      </c>
      <c r="G1564">
        <v>-202.88749999999999</v>
      </c>
      <c r="H1564" s="1">
        <v>-3.7369880000000001E-6</v>
      </c>
      <c r="I1564">
        <v>361.2946</v>
      </c>
      <c r="J1564">
        <v>-209.6241</v>
      </c>
      <c r="K1564">
        <v>1.1094930000000001</v>
      </c>
      <c r="L1564">
        <v>366.06630000000001</v>
      </c>
      <c r="M1564">
        <v>0.9639065</v>
      </c>
      <c r="N1564">
        <v>0</v>
      </c>
      <c r="O1564">
        <v>-0.26587739999999999</v>
      </c>
      <c r="P1564">
        <v>0.92215720000000001</v>
      </c>
      <c r="Q1564">
        <v>5.032855E-2</v>
      </c>
      <c r="R1564">
        <v>-0.38352730000000002</v>
      </c>
      <c r="S1564">
        <v>2.5360260000000001</v>
      </c>
      <c r="T1564">
        <v>-0.4113752</v>
      </c>
      <c r="U1564">
        <v>-1.7804869999999999</v>
      </c>
      <c r="V1564">
        <v>0.1246902</v>
      </c>
      <c r="W1564">
        <v>6.3774499999999998E-2</v>
      </c>
      <c r="X1564">
        <v>0.99014400000000002</v>
      </c>
      <c r="Y1564">
        <v>0.33566449999999998</v>
      </c>
      <c r="Z1564">
        <v>1.312089E-2</v>
      </c>
      <c r="AA1564">
        <v>0.94189020000000001</v>
      </c>
      <c r="AB1564">
        <v>16</v>
      </c>
      <c r="AC1564">
        <v>6.7366000000000099</v>
      </c>
      <c r="AD1564">
        <v>-1.109496736988</v>
      </c>
      <c r="AE1564">
        <v>-4.7717000000000098</v>
      </c>
      <c r="AF1564">
        <v>2.7588034699915398</v>
      </c>
      <c r="AG1564">
        <v>-1.109496736988</v>
      </c>
      <c r="AH1564">
        <v>7.62516040267026</v>
      </c>
      <c r="AI1564">
        <v>97.791102921037506</v>
      </c>
      <c r="AJ1564">
        <v>70.109740350268495</v>
      </c>
      <c r="AK1564">
        <v>8.1844395508718204</v>
      </c>
      <c r="AL1564">
        <v>86.343508793326805</v>
      </c>
      <c r="AM1564">
        <v>82.822446550076293</v>
      </c>
      <c r="AN1564">
        <v>0.99999998678114399</v>
      </c>
    </row>
    <row r="1565" spans="1:40" x14ac:dyDescent="0.25">
      <c r="A1565" t="str">
        <f>"20190312153918250"</f>
        <v>20190312153918250</v>
      </c>
      <c r="B1565" t="str">
        <f>"1552376358237335"</f>
        <v>1552376358237335</v>
      </c>
      <c r="C1565" t="s">
        <v>40</v>
      </c>
      <c r="D1565">
        <v>4.3203100000000001</v>
      </c>
      <c r="E1565">
        <v>0.58639649999999999</v>
      </c>
      <c r="F1565" t="s">
        <v>49</v>
      </c>
      <c r="G1565">
        <v>-202.80369999999999</v>
      </c>
      <c r="H1565" s="1">
        <v>-3.7046760000000001E-6</v>
      </c>
      <c r="I1565">
        <v>361.25029999999998</v>
      </c>
      <c r="J1565">
        <v>-209.53299999999999</v>
      </c>
      <c r="K1565">
        <v>1.1094999999999999</v>
      </c>
      <c r="L1565">
        <v>366.03919999999999</v>
      </c>
      <c r="M1565">
        <v>0.96349039999999997</v>
      </c>
      <c r="N1565">
        <v>0</v>
      </c>
      <c r="O1565">
        <v>-0.26738109999999998</v>
      </c>
      <c r="P1565">
        <v>0.9214793</v>
      </c>
      <c r="Q1565">
        <v>5.1126919999999999E-2</v>
      </c>
      <c r="R1565">
        <v>-0.38504769999999999</v>
      </c>
      <c r="S1565">
        <v>2.5321039999999999</v>
      </c>
      <c r="T1565">
        <v>-0.41191149999999999</v>
      </c>
      <c r="U1565">
        <v>-1.7879640000000001</v>
      </c>
      <c r="V1565">
        <v>0.124791899999999</v>
      </c>
      <c r="W1565">
        <v>6.4569660000000001E-2</v>
      </c>
      <c r="X1565">
        <v>0.99007959999999995</v>
      </c>
      <c r="Y1565">
        <v>0.3367406</v>
      </c>
      <c r="Z1565">
        <v>1.326663E-2</v>
      </c>
      <c r="AA1565">
        <v>0.94150400000000001</v>
      </c>
      <c r="AB1565">
        <v>16</v>
      </c>
      <c r="AC1565">
        <v>6.7292999999999896</v>
      </c>
      <c r="AD1565">
        <v>-1.1095037046759999</v>
      </c>
      <c r="AE1565">
        <v>-4.7889000000000097</v>
      </c>
      <c r="AF1565">
        <v>2.7651460936915302</v>
      </c>
      <c r="AG1565">
        <v>-1.1095037046759999</v>
      </c>
      <c r="AH1565">
        <v>7.6271937901492999</v>
      </c>
      <c r="AI1565">
        <v>97.787289057852504</v>
      </c>
      <c r="AJ1565">
        <v>70.072504882751403</v>
      </c>
      <c r="AK1565">
        <v>8.18847461390944</v>
      </c>
      <c r="AL1565">
        <v>86.297855195605507</v>
      </c>
      <c r="AM1565">
        <v>82.816191150540305</v>
      </c>
      <c r="AN1565">
        <v>0.99999993681713994</v>
      </c>
    </row>
    <row r="1566" spans="1:40" x14ac:dyDescent="0.25">
      <c r="A1566" t="str">
        <f>"20190312153918264"</f>
        <v>20190312153918264</v>
      </c>
      <c r="B1566" t="str">
        <f>"1552376358256855"</f>
        <v>1552376358256855</v>
      </c>
      <c r="C1566" t="s">
        <v>40</v>
      </c>
      <c r="D1566">
        <v>4.2699150000000001</v>
      </c>
      <c r="E1566">
        <v>0.58663900000000002</v>
      </c>
      <c r="F1566" t="s">
        <v>49</v>
      </c>
      <c r="G1566">
        <v>-202.68100000000001</v>
      </c>
      <c r="H1566" s="1">
        <v>-3.6577569999999998E-6</v>
      </c>
      <c r="I1566">
        <v>361.18349999999998</v>
      </c>
      <c r="J1566">
        <v>-209.4391</v>
      </c>
      <c r="K1566">
        <v>1.1095029999999999</v>
      </c>
      <c r="L1566">
        <v>366.01130000000001</v>
      </c>
      <c r="M1566">
        <v>0.96305949999999996</v>
      </c>
      <c r="N1566">
        <v>0</v>
      </c>
      <c r="O1566">
        <v>-0.2689298</v>
      </c>
      <c r="P1566">
        <v>0.92079140000000004</v>
      </c>
      <c r="Q1566">
        <v>5.1627600000000003E-2</v>
      </c>
      <c r="R1566">
        <v>-0.38662410000000003</v>
      </c>
      <c r="S1566">
        <v>2.5293580000000002</v>
      </c>
      <c r="T1566">
        <v>-0.40956629999999999</v>
      </c>
      <c r="U1566">
        <v>-1.7924800000000001</v>
      </c>
      <c r="V1566">
        <v>0.12490270000000001</v>
      </c>
      <c r="W1566">
        <v>6.5067860000000005E-2</v>
      </c>
      <c r="X1566">
        <v>0.9900331</v>
      </c>
      <c r="Y1566">
        <v>0.33684720000000001</v>
      </c>
      <c r="Z1566">
        <v>1.339632E-2</v>
      </c>
      <c r="AA1566">
        <v>0.94146410000000003</v>
      </c>
      <c r="AB1566">
        <v>16</v>
      </c>
      <c r="AC1566">
        <v>6.7581000000000104</v>
      </c>
      <c r="AD1566">
        <v>-1.1095066577570001</v>
      </c>
      <c r="AE1566">
        <v>-4.8278000000000203</v>
      </c>
      <c r="AF1566">
        <v>2.7826192822986902</v>
      </c>
      <c r="AG1566">
        <v>-1.1095066577570001</v>
      </c>
      <c r="AH1566">
        <v>7.6706557545843097</v>
      </c>
      <c r="AI1566">
        <v>97.743174807774594</v>
      </c>
      <c r="AJ1566">
        <v>70.061173189387006</v>
      </c>
      <c r="AK1566">
        <v>8.2348609459519704</v>
      </c>
      <c r="AL1566">
        <v>86.269250610915805</v>
      </c>
      <c r="AM1566">
        <v>82.809545356476505</v>
      </c>
      <c r="AN1566">
        <v>1.00000002498393</v>
      </c>
    </row>
    <row r="1567" spans="1:40" x14ac:dyDescent="0.25">
      <c r="A1567" t="str">
        <f>"20190312153918276"</f>
        <v>20190312153918276</v>
      </c>
      <c r="B1567" t="str">
        <f>"1552376358267592"</f>
        <v>1552376358267592</v>
      </c>
      <c r="C1567" t="s">
        <v>40</v>
      </c>
      <c r="D1567">
        <v>4.2233689999999999</v>
      </c>
      <c r="E1567">
        <v>0.58746549999999997</v>
      </c>
      <c r="F1567" t="s">
        <v>49</v>
      </c>
      <c r="G1567">
        <v>-202.77080000000001</v>
      </c>
      <c r="H1567" s="1">
        <v>-3.68482E-6</v>
      </c>
      <c r="I1567">
        <v>361.26519999999999</v>
      </c>
      <c r="J1567">
        <v>-209.35499999999999</v>
      </c>
      <c r="K1567">
        <v>1.1095060000000001</v>
      </c>
      <c r="L1567">
        <v>365.98610000000002</v>
      </c>
      <c r="M1567">
        <v>0.96267040000000004</v>
      </c>
      <c r="N1567">
        <v>0</v>
      </c>
      <c r="O1567">
        <v>-0.27031850000000002</v>
      </c>
      <c r="P1567">
        <v>0.92020979999999997</v>
      </c>
      <c r="Q1567">
        <v>5.1387540000000002E-2</v>
      </c>
      <c r="R1567">
        <v>-0.38803779999999999</v>
      </c>
      <c r="S1567">
        <v>2.5265810000000002</v>
      </c>
      <c r="T1567">
        <v>-0.42038550000000002</v>
      </c>
      <c r="U1567">
        <v>-1.7982479999999901</v>
      </c>
      <c r="V1567">
        <v>0.1249908</v>
      </c>
      <c r="W1567">
        <v>6.4826129999999996E-2</v>
      </c>
      <c r="X1567">
        <v>0.99003779999999997</v>
      </c>
      <c r="Y1567">
        <v>0.33738030000000002</v>
      </c>
      <c r="Z1567">
        <v>1.390074E-2</v>
      </c>
      <c r="AA1567">
        <v>0.94126580000000004</v>
      </c>
      <c r="AB1567">
        <v>16</v>
      </c>
      <c r="AC1567">
        <v>6.5841999999999796</v>
      </c>
      <c r="AD1567">
        <v>-1.1095096848199999</v>
      </c>
      <c r="AE1567">
        <v>-4.7209000000000199</v>
      </c>
      <c r="AF1567">
        <v>2.71420406678279</v>
      </c>
      <c r="AG1567">
        <v>-1.1095096848199999</v>
      </c>
      <c r="AH1567">
        <v>7.4751072009989503</v>
      </c>
      <c r="AI1567">
        <v>97.9423557197197</v>
      </c>
      <c r="AJ1567">
        <v>70.044090287724998</v>
      </c>
      <c r="AK1567">
        <v>8.0296415314306504</v>
      </c>
      <c r="AL1567">
        <v>86.283129878873396</v>
      </c>
      <c r="AM1567">
        <v>82.804560517236496</v>
      </c>
      <c r="AN1567">
        <v>0.99999998632212805</v>
      </c>
    </row>
    <row r="1568" spans="1:40" x14ac:dyDescent="0.25">
      <c r="A1568" t="str">
        <f>"20190312153918288"</f>
        <v>20190312153918288</v>
      </c>
      <c r="B1568" t="str">
        <f>"1552376358277352"</f>
        <v>1552376358277352</v>
      </c>
      <c r="C1568" t="s">
        <v>40</v>
      </c>
      <c r="D1568">
        <v>4.2057169999999999</v>
      </c>
      <c r="E1568">
        <v>0.58825569999999905</v>
      </c>
      <c r="F1568" t="s">
        <v>49</v>
      </c>
      <c r="G1568">
        <v>-202.62039999999999</v>
      </c>
      <c r="H1568" s="1">
        <v>-3.6334070000000002E-6</v>
      </c>
      <c r="I1568">
        <v>361.15559999999999</v>
      </c>
      <c r="J1568">
        <v>-209.27809999999999</v>
      </c>
      <c r="K1568">
        <v>1.1095079999999999</v>
      </c>
      <c r="L1568">
        <v>365.96280000000002</v>
      </c>
      <c r="M1568">
        <v>0.96231319999999998</v>
      </c>
      <c r="N1568">
        <v>0</v>
      </c>
      <c r="O1568">
        <v>-0.2715881</v>
      </c>
      <c r="P1568">
        <v>0.91960249999999999</v>
      </c>
      <c r="Q1568">
        <v>5.0907330000000001E-2</v>
      </c>
      <c r="R1568">
        <v>-0.38953739999999998</v>
      </c>
      <c r="S1568">
        <v>2.5208740000000001</v>
      </c>
      <c r="T1568">
        <v>-0.41530529999999999</v>
      </c>
      <c r="U1568">
        <v>-1.8081050000000001</v>
      </c>
      <c r="V1568">
        <v>0.1252904</v>
      </c>
      <c r="W1568">
        <v>6.4343150000000002E-2</v>
      </c>
      <c r="X1568">
        <v>0.99003149999999995</v>
      </c>
      <c r="Y1568">
        <v>0.33958529999999998</v>
      </c>
      <c r="Z1568">
        <v>1.3752179999999999E-2</v>
      </c>
      <c r="AA1568">
        <v>0.9404747</v>
      </c>
      <c r="AB1568">
        <v>16</v>
      </c>
      <c r="AC1568">
        <v>6.6577000000000002</v>
      </c>
      <c r="AD1568">
        <v>-1.1095116334070001</v>
      </c>
      <c r="AE1568">
        <v>-4.8072000000000203</v>
      </c>
      <c r="AF1568">
        <v>2.76762887711826</v>
      </c>
      <c r="AG1568">
        <v>-1.1095116334070001</v>
      </c>
      <c r="AH1568">
        <v>7.5748367651278503</v>
      </c>
      <c r="AI1568">
        <v>97.833454439191598</v>
      </c>
      <c r="AJ1568">
        <v>69.929141050799203</v>
      </c>
      <c r="AK1568">
        <v>8.1405735476351406</v>
      </c>
      <c r="AL1568">
        <v>86.310860718541903</v>
      </c>
      <c r="AM1568">
        <v>82.787449218974601</v>
      </c>
      <c r="AN1568">
        <v>1.0000000481381599</v>
      </c>
    </row>
    <row r="1569" spans="1:40" x14ac:dyDescent="0.25">
      <c r="A1569" t="str">
        <f>"20190312153918300"</f>
        <v>20190312153918300</v>
      </c>
      <c r="B1569" t="str">
        <f>"1552376358287111"</f>
        <v>1552376358287111</v>
      </c>
      <c r="C1569" t="s">
        <v>40</v>
      </c>
      <c r="D1569">
        <v>4.2909499999999996</v>
      </c>
      <c r="E1569">
        <v>0.58816029999999997</v>
      </c>
      <c r="F1569" t="s">
        <v>49</v>
      </c>
      <c r="G1569">
        <v>-202.53039999999999</v>
      </c>
      <c r="H1569" s="1">
        <v>-3.6036839999999999E-6</v>
      </c>
      <c r="I1569">
        <v>361.08550000000002</v>
      </c>
      <c r="J1569">
        <v>-209.18960000000001</v>
      </c>
      <c r="K1569">
        <v>1.1095090000000001</v>
      </c>
      <c r="L1569">
        <v>365.93610000000001</v>
      </c>
      <c r="M1569">
        <v>0.96189999999999998</v>
      </c>
      <c r="N1569">
        <v>0</v>
      </c>
      <c r="O1569">
        <v>-0.27304820000000002</v>
      </c>
      <c r="P1569">
        <v>0.91893539999999996</v>
      </c>
      <c r="Q1569">
        <v>5.0576210000000003E-2</v>
      </c>
      <c r="R1569">
        <v>-0.39115220000000001</v>
      </c>
      <c r="S1569">
        <v>2.5151059999999998</v>
      </c>
      <c r="T1569">
        <v>-0.41355760000000003</v>
      </c>
      <c r="U1569">
        <v>-1.817963</v>
      </c>
      <c r="V1569">
        <v>0.12552079999999999</v>
      </c>
      <c r="W1569">
        <v>6.4010049999999999E-2</v>
      </c>
      <c r="X1569">
        <v>0.99002389999999996</v>
      </c>
      <c r="Y1569">
        <v>0.34160380000000001</v>
      </c>
      <c r="Z1569">
        <v>1.3752179999999999E-2</v>
      </c>
      <c r="AA1569">
        <v>0.93974349999999995</v>
      </c>
      <c r="AB1569">
        <v>16</v>
      </c>
      <c r="AC1569">
        <v>6.6592000000000198</v>
      </c>
      <c r="AD1569">
        <v>-1.109512603684</v>
      </c>
      <c r="AE1569">
        <v>-4.8505999999999796</v>
      </c>
      <c r="AF1569">
        <v>2.7970542844308599</v>
      </c>
      <c r="AG1569">
        <v>-1.109512603684</v>
      </c>
      <c r="AH1569">
        <v>7.5929647062864101</v>
      </c>
      <c r="AI1569">
        <v>97.807499099424206</v>
      </c>
      <c r="AJ1569">
        <v>69.777491047612202</v>
      </c>
      <c r="AK1569">
        <v>8.1674747577631202</v>
      </c>
      <c r="AL1569">
        <v>86.329985336883595</v>
      </c>
      <c r="AM1569">
        <v>82.774271032100899</v>
      </c>
      <c r="AN1569">
        <v>1.0000000401524201</v>
      </c>
    </row>
    <row r="1570" spans="1:40" x14ac:dyDescent="0.25">
      <c r="A1570" t="str">
        <f>"20190312153918319"</f>
        <v>20190312153918319</v>
      </c>
      <c r="B1570" t="str">
        <f>"1552376358307608"</f>
        <v>1552376358307608</v>
      </c>
      <c r="C1570" t="s">
        <v>40</v>
      </c>
      <c r="D1570">
        <v>4.3114790000000003</v>
      </c>
      <c r="E1570">
        <v>0.588207699999999</v>
      </c>
      <c r="F1570" t="s">
        <v>49</v>
      </c>
      <c r="G1570">
        <v>-202.51429999999999</v>
      </c>
      <c r="H1570" s="1">
        <v>-3.5931400000000002E-6</v>
      </c>
      <c r="I1570">
        <v>361.09640000000002</v>
      </c>
      <c r="J1570">
        <v>-209.06989999999999</v>
      </c>
      <c r="K1570">
        <v>1.1094999999999999</v>
      </c>
      <c r="L1570">
        <v>365.89960000000002</v>
      </c>
      <c r="M1570">
        <v>0.96133729999999995</v>
      </c>
      <c r="N1570">
        <v>0</v>
      </c>
      <c r="O1570">
        <v>-0.27502280000000001</v>
      </c>
      <c r="P1570">
        <v>0.91793069999999999</v>
      </c>
      <c r="Q1570">
        <v>4.9241340000000001E-2</v>
      </c>
      <c r="R1570">
        <v>-0.39367340000000001</v>
      </c>
      <c r="S1570">
        <v>2.5122990000000001</v>
      </c>
      <c r="T1570">
        <v>-0.4175721</v>
      </c>
      <c r="U1570">
        <v>-1.821442</v>
      </c>
      <c r="V1570">
        <v>0.12618199999999999</v>
      </c>
      <c r="W1570">
        <v>6.2671400000000002E-2</v>
      </c>
      <c r="X1570">
        <v>0.9900255</v>
      </c>
      <c r="Y1570">
        <v>0.34103489999999997</v>
      </c>
      <c r="Z1570">
        <v>1.420333E-2</v>
      </c>
      <c r="AA1570">
        <v>0.93994330000000004</v>
      </c>
      <c r="AB1570">
        <v>16</v>
      </c>
      <c r="AC1570">
        <v>6.5555999999999903</v>
      </c>
      <c r="AD1570">
        <v>-1.1095035931399999</v>
      </c>
      <c r="AE1570">
        <v>-4.8032000000000004</v>
      </c>
      <c r="AF1570">
        <v>2.76332385250956</v>
      </c>
      <c r="AG1570">
        <v>-1.1095035931399999</v>
      </c>
      <c r="AH1570">
        <v>7.4843721254942004</v>
      </c>
      <c r="AI1570">
        <v>97.9171623578099</v>
      </c>
      <c r="AJ1570">
        <v>69.735222965343695</v>
      </c>
      <c r="AK1570">
        <v>8.0549849813586505</v>
      </c>
      <c r="AL1570">
        <v>86.406838680701696</v>
      </c>
      <c r="AM1570">
        <v>82.736625451545606</v>
      </c>
      <c r="AN1570">
        <v>1.0000000460761</v>
      </c>
    </row>
    <row r="1571" spans="1:40" x14ac:dyDescent="0.25">
      <c r="A1571" t="str">
        <f>"20190312153918332"</f>
        <v>20190312153918332</v>
      </c>
      <c r="B1571" t="str">
        <f>"1552376358327127"</f>
        <v>1552376358327127</v>
      </c>
      <c r="C1571" t="s">
        <v>40</v>
      </c>
      <c r="D1571">
        <v>4.283633</v>
      </c>
      <c r="E1571">
        <v>0.58811400000000003</v>
      </c>
      <c r="F1571" t="s">
        <v>49</v>
      </c>
      <c r="G1571">
        <v>-202.58080000000001</v>
      </c>
      <c r="H1571" s="1">
        <v>-3.6109719999999999E-6</v>
      </c>
      <c r="I1571">
        <v>361.16699999999997</v>
      </c>
      <c r="J1571">
        <v>-208.97499999999999</v>
      </c>
      <c r="K1571">
        <v>1.1095010000000001</v>
      </c>
      <c r="L1571">
        <v>365.87049999999999</v>
      </c>
      <c r="M1571">
        <v>0.96088859999999998</v>
      </c>
      <c r="N1571">
        <v>0</v>
      </c>
      <c r="O1571">
        <v>-0.27658630000000001</v>
      </c>
      <c r="P1571">
        <v>0.91715409999999997</v>
      </c>
      <c r="Q1571">
        <v>4.8794709999999998E-2</v>
      </c>
      <c r="R1571">
        <v>-0.39553440000000001</v>
      </c>
      <c r="S1571">
        <v>2.507034</v>
      </c>
      <c r="T1571">
        <v>-0.42865379999999997</v>
      </c>
      <c r="U1571">
        <v>-1.82843</v>
      </c>
      <c r="V1571">
        <v>0.1265714</v>
      </c>
      <c r="W1571">
        <v>6.222167E-2</v>
      </c>
      <c r="X1571">
        <v>0.99000410000000005</v>
      </c>
      <c r="Y1571">
        <v>0.34212589999999998</v>
      </c>
      <c r="Z1571">
        <v>1.4724009999999999E-2</v>
      </c>
      <c r="AA1571">
        <v>0.93953880000000001</v>
      </c>
      <c r="AB1571">
        <v>16</v>
      </c>
      <c r="AC1571">
        <v>6.3941999999999801</v>
      </c>
      <c r="AD1571">
        <v>-1.1095046109719999</v>
      </c>
      <c r="AE1571">
        <v>-4.7035000000000204</v>
      </c>
      <c r="AF1571">
        <v>2.69853581253235</v>
      </c>
      <c r="AG1571">
        <v>-1.1095046109719999</v>
      </c>
      <c r="AH1571">
        <v>7.3030764006313698</v>
      </c>
      <c r="AI1571">
        <v>98.110360231571207</v>
      </c>
      <c r="AJ1571">
        <v>69.720389824708604</v>
      </c>
      <c r="AK1571">
        <v>7.86435127183079</v>
      </c>
      <c r="AL1571">
        <v>86.432656487551796</v>
      </c>
      <c r="AM1571">
        <v>82.714295221084797</v>
      </c>
      <c r="AN1571">
        <v>0.99999998676617896</v>
      </c>
    </row>
    <row r="1572" spans="1:40" x14ac:dyDescent="0.25">
      <c r="A1572" t="str">
        <f>"20190312153918346"</f>
        <v>20190312153918346</v>
      </c>
      <c r="B1572" t="str">
        <f>"1552376358337863"</f>
        <v>1552376358337863</v>
      </c>
      <c r="C1572" t="s">
        <v>40</v>
      </c>
      <c r="D1572">
        <v>4.3005360000000001</v>
      </c>
      <c r="E1572">
        <v>0.588099699999999</v>
      </c>
      <c r="F1572" t="s">
        <v>49</v>
      </c>
      <c r="G1572">
        <v>-202.5881</v>
      </c>
      <c r="H1572" s="1">
        <v>-3.6084200000000002E-6</v>
      </c>
      <c r="I1572">
        <v>361.19490000000002</v>
      </c>
      <c r="J1572">
        <v>-208.8843</v>
      </c>
      <c r="K1572">
        <v>1.1094980000000001</v>
      </c>
      <c r="L1572">
        <v>365.8424</v>
      </c>
      <c r="M1572">
        <v>0.96045670000000005</v>
      </c>
      <c r="N1572">
        <v>0</v>
      </c>
      <c r="O1572">
        <v>-0.27808260000000001</v>
      </c>
      <c r="P1572">
        <v>0.91645069999999995</v>
      </c>
      <c r="Q1572">
        <v>4.8137970000000002E-2</v>
      </c>
      <c r="R1572">
        <v>-0.39724159999999997</v>
      </c>
      <c r="S1572">
        <v>2.5036930000000002</v>
      </c>
      <c r="T1572">
        <v>-0.43492589999999998</v>
      </c>
      <c r="U1572">
        <v>-1.832794</v>
      </c>
      <c r="V1572">
        <v>0.12686120000000001</v>
      </c>
      <c r="W1572">
        <v>6.1562520000000003E-2</v>
      </c>
      <c r="X1572">
        <v>0.9900082</v>
      </c>
      <c r="Y1572">
        <v>0.34231899999999998</v>
      </c>
      <c r="Z1572">
        <v>1.5142950000000001E-2</v>
      </c>
      <c r="AA1572">
        <v>0.93946180000000001</v>
      </c>
      <c r="AB1572">
        <v>16</v>
      </c>
      <c r="AC1572">
        <v>6.29619999999999</v>
      </c>
      <c r="AD1572">
        <v>-1.10950160841999</v>
      </c>
      <c r="AE1572">
        <v>-4.6474999999999804</v>
      </c>
      <c r="AF1572">
        <v>2.6596596911235699</v>
      </c>
      <c r="AG1572">
        <v>-1.10950160841999</v>
      </c>
      <c r="AH1572">
        <v>7.1956864974533801</v>
      </c>
      <c r="AI1572">
        <v>98.229437585568405</v>
      </c>
      <c r="AJ1572">
        <v>69.714749046169501</v>
      </c>
      <c r="AK1572">
        <v>7.7513023203399198</v>
      </c>
      <c r="AL1572">
        <v>86.470495492912804</v>
      </c>
      <c r="AM1572">
        <v>82.697823512750404</v>
      </c>
      <c r="AN1572">
        <v>0.999999972000714</v>
      </c>
    </row>
    <row r="1573" spans="1:40" x14ac:dyDescent="0.25">
      <c r="A1573" t="str">
        <f>"20190312153918359"</f>
        <v>20190312153918359</v>
      </c>
      <c r="B1573" t="str">
        <f>"1552376358347624"</f>
        <v>1552376358347624</v>
      </c>
      <c r="C1573" t="s">
        <v>40</v>
      </c>
      <c r="D1573">
        <v>4.4426759999999996</v>
      </c>
      <c r="E1573">
        <v>0.588099699999999</v>
      </c>
      <c r="F1573" t="s">
        <v>49</v>
      </c>
      <c r="G1573">
        <v>-202.5668</v>
      </c>
      <c r="H1573" s="1">
        <v>-3.596563E-6</v>
      </c>
      <c r="I1573">
        <v>361.20030000000003</v>
      </c>
      <c r="J1573">
        <v>-208.79740000000001</v>
      </c>
      <c r="K1573">
        <v>1.1094999999999999</v>
      </c>
      <c r="L1573">
        <v>365.81549999999999</v>
      </c>
      <c r="M1573">
        <v>0.96004100000000003</v>
      </c>
      <c r="N1573">
        <v>0</v>
      </c>
      <c r="O1573">
        <v>-0.2795144</v>
      </c>
      <c r="P1573">
        <v>0.91564520000000005</v>
      </c>
      <c r="Q1573">
        <v>4.7802339999999999E-2</v>
      </c>
      <c r="R1573">
        <v>-0.39913549999999998</v>
      </c>
      <c r="S1573">
        <v>2.5002140000000002</v>
      </c>
      <c r="T1573">
        <v>-0.43910159999999998</v>
      </c>
      <c r="U1573">
        <v>-1.837189</v>
      </c>
      <c r="V1573">
        <v>0.12742600000000001</v>
      </c>
      <c r="W1573">
        <v>6.1223649999999998E-2</v>
      </c>
      <c r="X1573">
        <v>0.98995670000000002</v>
      </c>
      <c r="Y1573">
        <v>0.34261160000000002</v>
      </c>
      <c r="Z1573">
        <v>1.547801E-2</v>
      </c>
      <c r="AA1573">
        <v>0.93934969999999995</v>
      </c>
      <c r="AB1573">
        <v>16</v>
      </c>
      <c r="AC1573">
        <v>6.2306000000000097</v>
      </c>
      <c r="AD1573">
        <v>-1.109503596563</v>
      </c>
      <c r="AE1573">
        <v>-4.61519999999995</v>
      </c>
      <c r="AF1573">
        <v>2.6355343510521401</v>
      </c>
      <c r="AG1573">
        <v>-1.109503596563</v>
      </c>
      <c r="AH1573">
        <v>7.12643058312071</v>
      </c>
      <c r="AI1573">
        <v>98.307765532352605</v>
      </c>
      <c r="AJ1573">
        <v>69.704330898222693</v>
      </c>
      <c r="AK1573">
        <v>7.6787402874690498</v>
      </c>
      <c r="AL1573">
        <v>86.489948086801803</v>
      </c>
      <c r="AM1573">
        <v>82.665289235124405</v>
      </c>
      <c r="AN1573">
        <v>0.999999994335106</v>
      </c>
    </row>
    <row r="1574" spans="1:40" x14ac:dyDescent="0.25">
      <c r="A1574" t="str">
        <f>"20190312153918372"</f>
        <v>20190312153918372</v>
      </c>
      <c r="B1574" t="str">
        <f>"1552376358357385"</f>
        <v>1552376358357385</v>
      </c>
      <c r="C1574" t="s">
        <v>40</v>
      </c>
      <c r="D1574">
        <v>4.5234629999999996</v>
      </c>
      <c r="E1574">
        <v>0.59865959999999996</v>
      </c>
      <c r="F1574" t="s">
        <v>49</v>
      </c>
      <c r="G1574">
        <v>-202.50460000000001</v>
      </c>
      <c r="H1574" s="1">
        <v>-3.5716330000000001E-6</v>
      </c>
      <c r="I1574">
        <v>361.17149999999998</v>
      </c>
      <c r="J1574">
        <v>-208.7107</v>
      </c>
      <c r="K1574">
        <v>1.109502</v>
      </c>
      <c r="L1574">
        <v>365.78840000000002</v>
      </c>
      <c r="M1574">
        <v>0.95962389999999997</v>
      </c>
      <c r="N1574">
        <v>0</v>
      </c>
      <c r="O1574">
        <v>-0.28094340000000001</v>
      </c>
      <c r="P1574">
        <v>0.91503889999999999</v>
      </c>
      <c r="Q1574">
        <v>4.7499239999999998E-2</v>
      </c>
      <c r="R1574">
        <v>-0.4005591</v>
      </c>
      <c r="S1574">
        <v>2.4963069999999998</v>
      </c>
      <c r="T1574">
        <v>-0.440135</v>
      </c>
      <c r="U1574">
        <v>-1.842255</v>
      </c>
      <c r="V1574">
        <v>0.1274863</v>
      </c>
      <c r="W1574">
        <v>6.0919040000000001E-2</v>
      </c>
      <c r="X1574">
        <v>0.98996779999999995</v>
      </c>
      <c r="Y1574">
        <v>0.34315390000000001</v>
      </c>
      <c r="Z1574">
        <v>1.5686470000000001E-2</v>
      </c>
      <c r="AA1574">
        <v>0.93914819999999999</v>
      </c>
      <c r="AB1574">
        <v>16</v>
      </c>
      <c r="AC1574">
        <v>6.2060999999999904</v>
      </c>
      <c r="AD1574">
        <v>-1.109505571633</v>
      </c>
      <c r="AE1574">
        <v>-4.6169000000000402</v>
      </c>
      <c r="AF1574">
        <v>2.6330108664796401</v>
      </c>
      <c r="AG1574">
        <v>-1.109505571633</v>
      </c>
      <c r="AH1574">
        <v>7.1070838693071003</v>
      </c>
      <c r="AI1574">
        <v>98.328336186226096</v>
      </c>
      <c r="AJ1574">
        <v>69.671492623590794</v>
      </c>
      <c r="AK1574">
        <v>7.6599210153793198</v>
      </c>
      <c r="AL1574">
        <v>86.507433841888798</v>
      </c>
      <c r="AM1574">
        <v>82.661937538630099</v>
      </c>
      <c r="AN1574">
        <v>1.00000006557952</v>
      </c>
    </row>
    <row r="1575" spans="1:40" x14ac:dyDescent="0.25">
      <c r="A1575" t="str">
        <f>"20190312153918385"</f>
        <v>20190312153918385</v>
      </c>
      <c r="B1575" t="str">
        <f>"1552376358377879"</f>
        <v>1552376358377879</v>
      </c>
      <c r="C1575" t="s">
        <v>40</v>
      </c>
      <c r="D1575">
        <v>4.5010810000000001</v>
      </c>
      <c r="E1575">
        <v>0.60620750000000001</v>
      </c>
      <c r="F1575" t="s">
        <v>49</v>
      </c>
      <c r="G1575">
        <v>-201.24950000000001</v>
      </c>
      <c r="H1575" s="1">
        <v>-3.2122919999999999E-6</v>
      </c>
      <c r="I1575">
        <v>359.94349999999997</v>
      </c>
      <c r="J1575">
        <v>-208.62119999999999</v>
      </c>
      <c r="K1575">
        <v>1.109504</v>
      </c>
      <c r="L1575">
        <v>365.76029999999997</v>
      </c>
      <c r="M1575">
        <v>0.95919100000000002</v>
      </c>
      <c r="N1575">
        <v>0</v>
      </c>
      <c r="O1575">
        <v>-0.28241759999999999</v>
      </c>
      <c r="P1575">
        <v>0.91458680000000003</v>
      </c>
      <c r="Q1575">
        <v>4.7127059999999998E-2</v>
      </c>
      <c r="R1575">
        <v>-0.4016342</v>
      </c>
      <c r="S1575">
        <v>2.45546</v>
      </c>
      <c r="T1575">
        <v>-0.3651354</v>
      </c>
      <c r="U1575">
        <v>-1.9235530000000001</v>
      </c>
      <c r="V1575">
        <v>0.12712119999999999</v>
      </c>
      <c r="W1575">
        <v>6.0547320000000002E-2</v>
      </c>
      <c r="X1575">
        <v>0.99003750000000001</v>
      </c>
      <c r="Y1575">
        <v>0.3686315</v>
      </c>
      <c r="Z1575">
        <v>1.156944E-2</v>
      </c>
      <c r="AA1575">
        <v>0.92950359999999999</v>
      </c>
      <c r="AB1575">
        <v>16</v>
      </c>
      <c r="AC1575">
        <v>7.3716999999999704</v>
      </c>
      <c r="AD1575">
        <v>-1.109507212292</v>
      </c>
      <c r="AE1575">
        <v>-5.8167999999999997</v>
      </c>
      <c r="AF1575">
        <v>3.4497018793836398</v>
      </c>
      <c r="AG1575">
        <v>-1.109507212292</v>
      </c>
      <c r="AH1575">
        <v>8.5944913251603108</v>
      </c>
      <c r="AI1575">
        <v>96.831732698573205</v>
      </c>
      <c r="AJ1575">
        <v>68.130202655200193</v>
      </c>
      <c r="AK1575">
        <v>9.3272037851119602</v>
      </c>
      <c r="AL1575">
        <v>86.528771038004393</v>
      </c>
      <c r="AM1575">
        <v>82.683234037886194</v>
      </c>
      <c r="AN1575">
        <v>1.0000000144274299</v>
      </c>
    </row>
    <row r="1576" spans="1:40" x14ac:dyDescent="0.25">
      <c r="A1576" t="str">
        <f>"20190312153918400"</f>
        <v>20190312153918400</v>
      </c>
      <c r="B1576" t="str">
        <f>"1552376358387639"</f>
        <v>1552376358387639</v>
      </c>
      <c r="C1576" t="s">
        <v>40</v>
      </c>
      <c r="D1576">
        <v>4.5130299999999997</v>
      </c>
      <c r="E1576">
        <v>0.60804019999999903</v>
      </c>
      <c r="F1576" t="s">
        <v>49</v>
      </c>
      <c r="G1576">
        <v>-201.38239999999999</v>
      </c>
      <c r="H1576" s="1">
        <v>-3.2985240000000001E-6</v>
      </c>
      <c r="I1576">
        <v>359.85629999999998</v>
      </c>
      <c r="J1576">
        <v>-208.5258</v>
      </c>
      <c r="K1576">
        <v>1.109507</v>
      </c>
      <c r="L1576">
        <v>365.7303</v>
      </c>
      <c r="M1576">
        <v>0.95872679999999999</v>
      </c>
      <c r="N1576">
        <v>0</v>
      </c>
      <c r="O1576">
        <v>-0.28399000000000002</v>
      </c>
      <c r="P1576">
        <v>0.91407419999999995</v>
      </c>
      <c r="Q1576">
        <v>4.6760000000000003E-2</v>
      </c>
      <c r="R1576">
        <v>-0.4028427</v>
      </c>
      <c r="S1576">
        <v>2.4292910000000001</v>
      </c>
      <c r="T1576">
        <v>-0.37234440000000002</v>
      </c>
      <c r="U1576">
        <v>-1.9813540000000001</v>
      </c>
      <c r="V1576">
        <v>0.12679939999999901</v>
      </c>
      <c r="W1576">
        <v>6.0180339999999999E-2</v>
      </c>
      <c r="X1576">
        <v>0.99010120000000001</v>
      </c>
      <c r="Y1576">
        <v>0.38520409999999999</v>
      </c>
      <c r="Z1576">
        <v>1.0880539999999999E-2</v>
      </c>
      <c r="AA1576">
        <v>0.92276729999999996</v>
      </c>
      <c r="AB1576">
        <v>16</v>
      </c>
      <c r="AC1576">
        <v>7.1434000000000104</v>
      </c>
      <c r="AD1576">
        <v>-1.109510298524</v>
      </c>
      <c r="AE1576">
        <v>-5.8740000000000201</v>
      </c>
      <c r="AF1576">
        <v>3.5521303182679902</v>
      </c>
      <c r="AG1576">
        <v>-1.109510298524</v>
      </c>
      <c r="AH1576">
        <v>8.3966977672110801</v>
      </c>
      <c r="AI1576">
        <v>96.938494768874804</v>
      </c>
      <c r="AJ1576">
        <v>67.069744327219198</v>
      </c>
      <c r="AK1576">
        <v>9.1843985265436405</v>
      </c>
      <c r="AL1576">
        <v>86.549836060671694</v>
      </c>
      <c r="AM1576">
        <v>82.702020546252399</v>
      </c>
      <c r="AN1576">
        <v>1.0000000737021499</v>
      </c>
    </row>
    <row r="1577" spans="1:40" x14ac:dyDescent="0.25">
      <c r="A1577" t="str">
        <f>"20190312153918413"</f>
        <v>20190312153918413</v>
      </c>
      <c r="B1577" t="str">
        <f>"1552376358407160"</f>
        <v>1552376358407160</v>
      </c>
      <c r="C1577" t="s">
        <v>40</v>
      </c>
      <c r="D1577">
        <v>4.5280839999999998</v>
      </c>
      <c r="E1577">
        <v>0.60982729999999996</v>
      </c>
      <c r="F1577" t="s">
        <v>49</v>
      </c>
      <c r="G1577">
        <v>-201.40790000000001</v>
      </c>
      <c r="H1577" s="1">
        <v>-3.3118650000000001E-6</v>
      </c>
      <c r="I1577">
        <v>359.85399999999998</v>
      </c>
      <c r="J1577">
        <v>-208.4342</v>
      </c>
      <c r="K1577">
        <v>1.109505</v>
      </c>
      <c r="L1577">
        <v>365.70119999999997</v>
      </c>
      <c r="M1577">
        <v>0.95827859999999998</v>
      </c>
      <c r="N1577">
        <v>0</v>
      </c>
      <c r="O1577">
        <v>-0.285499</v>
      </c>
      <c r="P1577">
        <v>0.91357909999999998</v>
      </c>
      <c r="Q1577">
        <v>4.6231519999999998E-2</v>
      </c>
      <c r="R1577">
        <v>-0.40402500000000002</v>
      </c>
      <c r="S1577">
        <v>2.4205930000000002</v>
      </c>
      <c r="T1577">
        <v>-0.37731480000000001</v>
      </c>
      <c r="U1577">
        <v>-1.9983519999999999</v>
      </c>
      <c r="V1577">
        <v>0.12651189999999901</v>
      </c>
      <c r="W1577">
        <v>5.9652009999999998E-2</v>
      </c>
      <c r="X1577">
        <v>0.99016990000000005</v>
      </c>
      <c r="Y1577">
        <v>0.38920080000000001</v>
      </c>
      <c r="Z1577">
        <v>1.094322E-2</v>
      </c>
      <c r="AA1577">
        <v>0.92108789999999996</v>
      </c>
      <c r="AB1577">
        <v>15</v>
      </c>
      <c r="AC1577">
        <v>7.0262999999999902</v>
      </c>
      <c r="AD1577">
        <v>-1.109508311865</v>
      </c>
      <c r="AE1577">
        <v>-5.8471999999999298</v>
      </c>
      <c r="AF1577">
        <v>3.5453599821460502</v>
      </c>
      <c r="AG1577">
        <v>-1.109508311865</v>
      </c>
      <c r="AH1577">
        <v>8.2813285186764496</v>
      </c>
      <c r="AI1577">
        <v>97.021457488894001</v>
      </c>
      <c r="AJ1577">
        <v>66.823512297498198</v>
      </c>
      <c r="AK1577">
        <v>9.0763973101304902</v>
      </c>
      <c r="AL1577">
        <v>86.580161460617305</v>
      </c>
      <c r="AM1577">
        <v>82.718889693951198</v>
      </c>
      <c r="AN1577">
        <v>1.0000000270023199</v>
      </c>
    </row>
    <row r="1578" spans="1:40" x14ac:dyDescent="0.25">
      <c r="A1578" t="str">
        <f>"20190312153918427"</f>
        <v>20190312153918427</v>
      </c>
      <c r="B1578" t="str">
        <f>"1552376358417895"</f>
        <v>1552376358417895</v>
      </c>
      <c r="C1578" t="s">
        <v>40</v>
      </c>
      <c r="D1578">
        <v>4.5094580000000004</v>
      </c>
      <c r="E1578">
        <v>0.61052620000000002</v>
      </c>
      <c r="F1578" t="s">
        <v>49</v>
      </c>
      <c r="G1578">
        <v>-201.36670000000001</v>
      </c>
      <c r="H1578" s="1">
        <v>-3.3033179999999999E-6</v>
      </c>
      <c r="I1578">
        <v>359.79899999999998</v>
      </c>
      <c r="J1578">
        <v>-208.34649999999999</v>
      </c>
      <c r="K1578">
        <v>1.109507</v>
      </c>
      <c r="L1578">
        <v>365.67320000000001</v>
      </c>
      <c r="M1578">
        <v>0.95784659999999999</v>
      </c>
      <c r="N1578">
        <v>0</v>
      </c>
      <c r="O1578">
        <v>-0.28694530000000001</v>
      </c>
      <c r="P1578">
        <v>0.91320860000000004</v>
      </c>
      <c r="Q1578">
        <v>4.5890819999999999E-2</v>
      </c>
      <c r="R1578">
        <v>-0.40490130000000002</v>
      </c>
      <c r="S1578">
        <v>2.4120940000000002</v>
      </c>
      <c r="T1578">
        <v>-0.37866650000000002</v>
      </c>
      <c r="U1578">
        <v>-2.0144039999999999</v>
      </c>
      <c r="V1578">
        <v>0.12596009999999999</v>
      </c>
      <c r="W1578">
        <v>5.9312620000000003E-2</v>
      </c>
      <c r="X1578">
        <v>0.99026060000000005</v>
      </c>
      <c r="Y1578">
        <v>0.39300020000000002</v>
      </c>
      <c r="Z1578">
        <v>1.090621E-2</v>
      </c>
      <c r="AA1578">
        <v>0.91947369999999995</v>
      </c>
      <c r="AB1578">
        <v>15</v>
      </c>
      <c r="AC1578">
        <v>6.9797999999999796</v>
      </c>
      <c r="AD1578">
        <v>-1.109510303318</v>
      </c>
      <c r="AE1578">
        <v>-5.8741999999999699</v>
      </c>
      <c r="AF1578">
        <v>3.5712851438236202</v>
      </c>
      <c r="AG1578">
        <v>-1.109510303318</v>
      </c>
      <c r="AH1578">
        <v>8.2499271538624992</v>
      </c>
      <c r="AI1578">
        <v>97.035845228567297</v>
      </c>
      <c r="AJ1578">
        <v>66.5928471022183</v>
      </c>
      <c r="AK1578">
        <v>9.05794616542304</v>
      </c>
      <c r="AL1578">
        <v>86.599641457423402</v>
      </c>
      <c r="AM1578">
        <v>82.750965657670307</v>
      </c>
      <c r="AN1578">
        <v>0.99999999479781698</v>
      </c>
    </row>
    <row r="1579" spans="1:40" x14ac:dyDescent="0.25">
      <c r="A1579" t="str">
        <f>"20190312153918443"</f>
        <v>20190312153918443</v>
      </c>
      <c r="B1579" t="str">
        <f>"1552376358437415"</f>
        <v>1552376358437415</v>
      </c>
      <c r="C1579" t="s">
        <v>40</v>
      </c>
      <c r="D1579">
        <v>4.4716529999999999</v>
      </c>
      <c r="E1579">
        <v>0.61164049999999903</v>
      </c>
      <c r="F1579" t="s">
        <v>49</v>
      </c>
      <c r="G1579">
        <v>-201.31950000000001</v>
      </c>
      <c r="H1579" s="1">
        <v>-3.2853020000000002E-6</v>
      </c>
      <c r="I1579">
        <v>359.77319999999997</v>
      </c>
      <c r="J1579">
        <v>-208.24690000000001</v>
      </c>
      <c r="K1579">
        <v>1.109518</v>
      </c>
      <c r="L1579">
        <v>365.64139999999998</v>
      </c>
      <c r="M1579">
        <v>0.95735369999999997</v>
      </c>
      <c r="N1579">
        <v>0</v>
      </c>
      <c r="O1579">
        <v>-0.28858549999999999</v>
      </c>
      <c r="P1579">
        <v>0.91285720000000004</v>
      </c>
      <c r="Q1579">
        <v>4.6390029999999999E-2</v>
      </c>
      <c r="R1579">
        <v>-0.40563529999999998</v>
      </c>
      <c r="S1579">
        <v>2.4078369999999998</v>
      </c>
      <c r="T1579">
        <v>-0.38018370000000001</v>
      </c>
      <c r="U1579">
        <v>-2.0216980000000002</v>
      </c>
      <c r="V1579">
        <v>0.12506780000000001</v>
      </c>
      <c r="W1579">
        <v>5.9813360000000003E-2</v>
      </c>
      <c r="X1579">
        <v>0.99034359999999999</v>
      </c>
      <c r="Y1579">
        <v>0.39385959999999998</v>
      </c>
      <c r="Z1579">
        <v>1.1098240000000001E-2</v>
      </c>
      <c r="AA1579">
        <v>0.91910360000000002</v>
      </c>
      <c r="AB1579">
        <v>15</v>
      </c>
      <c r="AC1579">
        <v>6.9273999999999996</v>
      </c>
      <c r="AD1579">
        <v>-1.109521285302</v>
      </c>
      <c r="AE1579">
        <v>-5.8681999999999999</v>
      </c>
      <c r="AF1579">
        <v>3.56588617987483</v>
      </c>
      <c r="AG1579">
        <v>-1.109521285302</v>
      </c>
      <c r="AH1579">
        <v>8.2037249045208807</v>
      </c>
      <c r="AI1579">
        <v>97.070589658809496</v>
      </c>
      <c r="AJ1579">
        <v>66.5070189554839</v>
      </c>
      <c r="AK1579">
        <v>9.0137497213654996</v>
      </c>
      <c r="AL1579">
        <v>86.570900223813894</v>
      </c>
      <c r="AM1579">
        <v>82.802374158073704</v>
      </c>
      <c r="AN1579">
        <v>1.00000001934614</v>
      </c>
    </row>
    <row r="1580" spans="1:40" x14ac:dyDescent="0.25">
      <c r="A1580" t="str">
        <f>"20190312153918455"</f>
        <v>20190312153918455</v>
      </c>
      <c r="B1580" t="str">
        <f>"1552376358447175"</f>
        <v>1552376358447175</v>
      </c>
      <c r="C1580" t="s">
        <v>40</v>
      </c>
      <c r="D1580">
        <v>4.4570420000000004</v>
      </c>
      <c r="E1580">
        <v>0.61190500000000003</v>
      </c>
      <c r="F1580" t="s">
        <v>49</v>
      </c>
      <c r="G1580">
        <v>-201.2473</v>
      </c>
      <c r="H1580" s="1">
        <v>-3.260394E-6</v>
      </c>
      <c r="I1580">
        <v>359.72160000000002</v>
      </c>
      <c r="J1580">
        <v>-208.1557</v>
      </c>
      <c r="K1580">
        <v>1.1095219999999999</v>
      </c>
      <c r="L1580">
        <v>365.61200000000002</v>
      </c>
      <c r="M1580">
        <v>0.95689919999999995</v>
      </c>
      <c r="N1580">
        <v>0</v>
      </c>
      <c r="O1580">
        <v>-0.29008899999999999</v>
      </c>
      <c r="P1580">
        <v>0.91232530000000001</v>
      </c>
      <c r="Q1580">
        <v>4.6479270000000003E-2</v>
      </c>
      <c r="R1580">
        <v>-0.4068196</v>
      </c>
      <c r="S1580">
        <v>2.402771</v>
      </c>
      <c r="T1580">
        <v>-0.38086779999999998</v>
      </c>
      <c r="U1580">
        <v>-2.0320740000000002</v>
      </c>
      <c r="V1580">
        <v>0.1247984</v>
      </c>
      <c r="W1580">
        <v>5.9902379999999998E-2</v>
      </c>
      <c r="X1580">
        <v>0.99037220000000004</v>
      </c>
      <c r="Y1580">
        <v>0.39568300000000001</v>
      </c>
      <c r="Z1580">
        <v>1.1181389999999999E-2</v>
      </c>
      <c r="AA1580">
        <v>0.91831910000000005</v>
      </c>
      <c r="AB1580">
        <v>15</v>
      </c>
      <c r="AC1580">
        <v>6.9084000000000003</v>
      </c>
      <c r="AD1580">
        <v>-1.10952526039399</v>
      </c>
      <c r="AE1580">
        <v>-5.8903999999999401</v>
      </c>
      <c r="AF1580">
        <v>3.5793571198118102</v>
      </c>
      <c r="AG1580">
        <v>-1.10952526039399</v>
      </c>
      <c r="AH1580">
        <v>8.1977432378988908</v>
      </c>
      <c r="AI1580">
        <v>97.070695862740394</v>
      </c>
      <c r="AJ1580">
        <v>66.4126127087887</v>
      </c>
      <c r="AK1580">
        <v>9.0136473133308801</v>
      </c>
      <c r="AL1580">
        <v>86.565790577170105</v>
      </c>
      <c r="AM1580">
        <v>82.817921237710095</v>
      </c>
      <c r="AN1580">
        <v>1.0000000151525299</v>
      </c>
    </row>
    <row r="1581" spans="1:40" x14ac:dyDescent="0.25">
      <c r="A1581" t="str">
        <f>"20190312153918473"</f>
        <v>20190312153918473</v>
      </c>
      <c r="B1581" t="str">
        <f>"1552376358467671"</f>
        <v>1552376358467671</v>
      </c>
      <c r="C1581" t="s">
        <v>40</v>
      </c>
      <c r="D1581">
        <v>4.4808960000000004</v>
      </c>
      <c r="E1581">
        <v>0.61273409999999995</v>
      </c>
      <c r="F1581" t="s">
        <v>49</v>
      </c>
      <c r="G1581">
        <v>-201.13470000000001</v>
      </c>
      <c r="H1581" s="1">
        <v>-3.219683E-6</v>
      </c>
      <c r="I1581">
        <v>359.6497</v>
      </c>
      <c r="J1581">
        <v>-208.05260000000001</v>
      </c>
      <c r="K1581">
        <v>1.109526</v>
      </c>
      <c r="L1581">
        <v>365.57850000000002</v>
      </c>
      <c r="M1581">
        <v>0.95638190000000001</v>
      </c>
      <c r="N1581">
        <v>0</v>
      </c>
      <c r="O1581">
        <v>-0.2917901</v>
      </c>
      <c r="P1581">
        <v>0.91167849999999995</v>
      </c>
      <c r="Q1581">
        <v>4.7140840000000003E-2</v>
      </c>
      <c r="R1581">
        <v>-0.40819149999999998</v>
      </c>
      <c r="S1581">
        <v>2.399124</v>
      </c>
      <c r="T1581">
        <v>-0.37913010000000003</v>
      </c>
      <c r="U1581">
        <v>-2.0373540000000001</v>
      </c>
      <c r="V1581">
        <v>0.12453790000000001</v>
      </c>
      <c r="W1581">
        <v>6.0562539999999998E-2</v>
      </c>
      <c r="X1581">
        <v>0.99036480000000005</v>
      </c>
      <c r="Y1581">
        <v>0.39593010000000001</v>
      </c>
      <c r="Z1581">
        <v>1.132936E-2</v>
      </c>
      <c r="AA1581">
        <v>0.91821079999999999</v>
      </c>
      <c r="AB1581">
        <v>15</v>
      </c>
      <c r="AC1581">
        <v>6.9179000000000004</v>
      </c>
      <c r="AD1581">
        <v>-1.109529219683</v>
      </c>
      <c r="AE1581">
        <v>-5.9288000000000203</v>
      </c>
      <c r="AF1581">
        <v>3.59860394158967</v>
      </c>
      <c r="AG1581">
        <v>-1.109529219683</v>
      </c>
      <c r="AH1581">
        <v>8.2249411980174703</v>
      </c>
      <c r="AI1581">
        <v>97.045280913227103</v>
      </c>
      <c r="AJ1581">
        <v>66.369498683978506</v>
      </c>
      <c r="AK1581">
        <v>9.0460302414153002</v>
      </c>
      <c r="AL1581">
        <v>86.5278972504873</v>
      </c>
      <c r="AM1581">
        <v>82.832703807304199</v>
      </c>
      <c r="AN1581">
        <v>0.99999997343335001</v>
      </c>
    </row>
    <row r="1582" spans="1:40" x14ac:dyDescent="0.25">
      <c r="A1582" t="str">
        <f>"20190312153918487"</f>
        <v>20190312153918487</v>
      </c>
      <c r="B1582" t="str">
        <f>"1552376358477431"</f>
        <v>1552376358477431</v>
      </c>
      <c r="C1582" t="s">
        <v>40</v>
      </c>
      <c r="D1582">
        <v>4.4930719999999997</v>
      </c>
      <c r="E1582">
        <v>0.61307849999999997</v>
      </c>
      <c r="F1582" t="s">
        <v>49</v>
      </c>
      <c r="G1582">
        <v>-200.96459999999999</v>
      </c>
      <c r="H1582" s="1">
        <v>-6.4376469999999901E-6</v>
      </c>
      <c r="I1582">
        <v>359.51670000000001</v>
      </c>
      <c r="J1582">
        <v>-207.9554</v>
      </c>
      <c r="K1582">
        <v>1.1095349999999999</v>
      </c>
      <c r="L1582">
        <v>365.54680000000002</v>
      </c>
      <c r="M1582">
        <v>0.95589100000000005</v>
      </c>
      <c r="N1582">
        <v>0</v>
      </c>
      <c r="O1582">
        <v>-0.2933944</v>
      </c>
      <c r="P1582">
        <v>0.91127950000000002</v>
      </c>
      <c r="Q1582">
        <v>4.7485590000000001E-2</v>
      </c>
      <c r="R1582">
        <v>-0.4090413</v>
      </c>
      <c r="S1582">
        <v>2.3935089999999999</v>
      </c>
      <c r="T1582">
        <v>-0.37467220000000001</v>
      </c>
      <c r="U1582">
        <v>-2.0469970000000002</v>
      </c>
      <c r="V1582">
        <v>0.12380480000000001</v>
      </c>
      <c r="W1582">
        <v>6.0908570000000002E-2</v>
      </c>
      <c r="X1582">
        <v>0.99043550000000002</v>
      </c>
      <c r="Y1582">
        <v>0.39760879999999998</v>
      </c>
      <c r="Z1582">
        <v>1.1284229999999999E-2</v>
      </c>
      <c r="AA1582">
        <v>0.91748569999999996</v>
      </c>
      <c r="AB1582">
        <v>15</v>
      </c>
      <c r="AC1582">
        <v>6.9908000000000001</v>
      </c>
      <c r="AD1582">
        <v>-1.1095414376470001</v>
      </c>
      <c r="AE1582">
        <v>-6.0301</v>
      </c>
      <c r="AF1582">
        <v>3.66054185356781</v>
      </c>
      <c r="AG1582">
        <v>-1.1095414376470001</v>
      </c>
      <c r="AH1582">
        <v>8.3321062467932308</v>
      </c>
      <c r="AI1582">
        <v>96.951062150525203</v>
      </c>
      <c r="AJ1582">
        <v>66.282688862026802</v>
      </c>
      <c r="AK1582">
        <v>9.1681319455725703</v>
      </c>
      <c r="AL1582">
        <v>86.508034549099705</v>
      </c>
      <c r="AM1582">
        <v>82.874963003428505</v>
      </c>
      <c r="AN1582">
        <v>0.999999981031367</v>
      </c>
    </row>
    <row r="1583" spans="1:40" x14ac:dyDescent="0.25">
      <c r="A1583" t="str">
        <f>"20190312153918498"</f>
        <v>20190312153918498</v>
      </c>
      <c r="B1583" t="str">
        <f>"1552376358487191"</f>
        <v>1552376358487191</v>
      </c>
      <c r="C1583" t="s">
        <v>40</v>
      </c>
      <c r="D1583">
        <v>4.4575079999999998</v>
      </c>
      <c r="E1583">
        <v>0.61328909999999903</v>
      </c>
      <c r="F1583" t="s">
        <v>49</v>
      </c>
      <c r="G1583">
        <v>-200.83250000000001</v>
      </c>
      <c r="H1583" s="1">
        <v>-6.4660539999999998E-6</v>
      </c>
      <c r="I1583">
        <v>359.43110000000001</v>
      </c>
      <c r="J1583">
        <v>-207.87790000000001</v>
      </c>
      <c r="K1583">
        <v>1.1095379999999999</v>
      </c>
      <c r="L1583">
        <v>365.52140000000003</v>
      </c>
      <c r="M1583">
        <v>0.95549770000000001</v>
      </c>
      <c r="N1583">
        <v>0</v>
      </c>
      <c r="O1583">
        <v>-0.29467320000000002</v>
      </c>
      <c r="P1583">
        <v>0.91078049999999999</v>
      </c>
      <c r="Q1583">
        <v>4.7813170000000002E-2</v>
      </c>
      <c r="R1583">
        <v>-0.41011379999999997</v>
      </c>
      <c r="S1583">
        <v>2.3902890000000001</v>
      </c>
      <c r="T1583">
        <v>-0.37233929999999998</v>
      </c>
      <c r="U1583">
        <v>-2.0523069999999999</v>
      </c>
      <c r="V1583">
        <v>0.1236506</v>
      </c>
      <c r="W1583">
        <v>6.1235070000000003E-2</v>
      </c>
      <c r="X1583">
        <v>0.99043460000000005</v>
      </c>
      <c r="Y1583">
        <v>0.39817940000000002</v>
      </c>
      <c r="Z1583">
        <v>1.133458E-2</v>
      </c>
      <c r="AA1583">
        <v>0.91723750000000004</v>
      </c>
      <c r="AB1583">
        <v>15</v>
      </c>
      <c r="AC1583">
        <v>7.0453999999999999</v>
      </c>
      <c r="AD1583">
        <v>-1.1095444660539999</v>
      </c>
      <c r="AE1583">
        <v>-6.0903000000000098</v>
      </c>
      <c r="AF1583">
        <v>3.6911419311746201</v>
      </c>
      <c r="AG1583">
        <v>-1.1095444660539999</v>
      </c>
      <c r="AH1583">
        <v>8.4079818145559706</v>
      </c>
      <c r="AI1583">
        <v>96.889775206579799</v>
      </c>
      <c r="AJ1583">
        <v>66.2983090744289</v>
      </c>
      <c r="AK1583">
        <v>9.2493121837318508</v>
      </c>
      <c r="AL1583">
        <v>86.4892923858975</v>
      </c>
      <c r="AM1583">
        <v>82.8837398625503</v>
      </c>
      <c r="AN1583">
        <v>0.99999995077771098</v>
      </c>
    </row>
    <row r="1584" spans="1:40" x14ac:dyDescent="0.25">
      <c r="A1584" t="str">
        <f>"20190312153918511"</f>
        <v>20190312153918511</v>
      </c>
      <c r="B1584" t="str">
        <f>"1552376358496953"</f>
        <v>1552376358496953</v>
      </c>
      <c r="C1584" t="s">
        <v>40</v>
      </c>
      <c r="D1584">
        <v>4.4481320000000002</v>
      </c>
      <c r="E1584">
        <v>0.61347689999999999</v>
      </c>
      <c r="F1584" t="s">
        <v>49</v>
      </c>
      <c r="G1584">
        <v>-200.7242</v>
      </c>
      <c r="H1584" s="1">
        <v>-6.4879829999999997E-6</v>
      </c>
      <c r="I1584">
        <v>359.35610000000003</v>
      </c>
      <c r="J1584">
        <v>-207.79140000000001</v>
      </c>
      <c r="K1584">
        <v>1.10954</v>
      </c>
      <c r="L1584">
        <v>365.49290000000002</v>
      </c>
      <c r="M1584">
        <v>0.95505569999999895</v>
      </c>
      <c r="N1584">
        <v>0</v>
      </c>
      <c r="O1584">
        <v>-0.29610229999999998</v>
      </c>
      <c r="P1584">
        <v>0.91024269999999996</v>
      </c>
      <c r="Q1584">
        <v>4.8185789999999999E-2</v>
      </c>
      <c r="R1584">
        <v>-0.41126230000000003</v>
      </c>
      <c r="S1584">
        <v>2.3870089999999999</v>
      </c>
      <c r="T1584">
        <v>-0.37022529999999998</v>
      </c>
      <c r="U1584">
        <v>-2.0571899999999999</v>
      </c>
      <c r="V1584">
        <v>0.1234246</v>
      </c>
      <c r="W1584">
        <v>6.1606769999999998E-2</v>
      </c>
      <c r="X1584">
        <v>0.99043979999999998</v>
      </c>
      <c r="Y1584">
        <v>0.39852270000000001</v>
      </c>
      <c r="Z1584">
        <v>1.1424409999999999E-2</v>
      </c>
      <c r="AA1584">
        <v>0.91708730000000005</v>
      </c>
      <c r="AB1584">
        <v>15</v>
      </c>
      <c r="AC1584">
        <v>7.0672000000000104</v>
      </c>
      <c r="AD1584">
        <v>-1.1095464879829999</v>
      </c>
      <c r="AE1584">
        <v>-6.1367999999999903</v>
      </c>
      <c r="AF1584">
        <v>3.7165066735068901</v>
      </c>
      <c r="AG1584">
        <v>-1.1095464879829999</v>
      </c>
      <c r="AH1584">
        <v>8.4487848959266891</v>
      </c>
      <c r="AI1584">
        <v>96.854625236689202</v>
      </c>
      <c r="AJ1584">
        <v>66.255952561610499</v>
      </c>
      <c r="AK1584">
        <v>9.2965306152809308</v>
      </c>
      <c r="AL1584">
        <v>86.467955473460805</v>
      </c>
      <c r="AM1584">
        <v>82.896650394449907</v>
      </c>
      <c r="AN1584">
        <v>1.00000001170951</v>
      </c>
    </row>
    <row r="1585" spans="1:40" x14ac:dyDescent="0.25">
      <c r="A1585" t="str">
        <f>"20190312153918526"</f>
        <v>20190312153918526</v>
      </c>
      <c r="B1585" t="str">
        <f>"1552376358517448"</f>
        <v>1552376358517448</v>
      </c>
      <c r="C1585" t="s">
        <v>40</v>
      </c>
      <c r="D1585">
        <v>4.4557149999999996</v>
      </c>
      <c r="E1585">
        <v>0.6138846</v>
      </c>
      <c r="F1585" t="s">
        <v>49</v>
      </c>
      <c r="G1585">
        <v>-200.59110000000001</v>
      </c>
      <c r="H1585" s="1">
        <v>-6.5150299999999999E-6</v>
      </c>
      <c r="I1585">
        <v>359.2645</v>
      </c>
      <c r="J1585">
        <v>-207.70079999999999</v>
      </c>
      <c r="K1585">
        <v>1.1095429999999999</v>
      </c>
      <c r="L1585">
        <v>365.46289999999999</v>
      </c>
      <c r="M1585">
        <v>0.9545901</v>
      </c>
      <c r="N1585">
        <v>0</v>
      </c>
      <c r="O1585">
        <v>-0.29759999999999998</v>
      </c>
      <c r="P1585">
        <v>0.90964319999999999</v>
      </c>
      <c r="Q1585">
        <v>4.8188290000000002E-2</v>
      </c>
      <c r="R1585">
        <v>-0.41258610000000001</v>
      </c>
      <c r="S1585">
        <v>2.3836520000000001</v>
      </c>
      <c r="T1585">
        <v>-0.36731449999999999</v>
      </c>
      <c r="U1585">
        <v>-2.0619200000000002</v>
      </c>
      <c r="V1585">
        <v>0.12331159999999999</v>
      </c>
      <c r="W1585">
        <v>6.1607250000000002E-2</v>
      </c>
      <c r="X1585">
        <v>0.99045380000000005</v>
      </c>
      <c r="Y1585">
        <v>0.3987832</v>
      </c>
      <c r="Z1585">
        <v>1.150197E-2</v>
      </c>
      <c r="AA1585">
        <v>0.91697309999999999</v>
      </c>
      <c r="AB1585">
        <v>15</v>
      </c>
      <c r="AC1585">
        <v>7.1096999999999699</v>
      </c>
      <c r="AD1585">
        <v>-1.1095495150300001</v>
      </c>
      <c r="AE1585">
        <v>-6.1983999999999897</v>
      </c>
      <c r="AF1585">
        <v>3.7495646449369699</v>
      </c>
      <c r="AG1585">
        <v>-1.1095495150300001</v>
      </c>
      <c r="AH1585">
        <v>8.51450179224544</v>
      </c>
      <c r="AI1585">
        <v>96.801024800202399</v>
      </c>
      <c r="AJ1585">
        <v>66.232558246456307</v>
      </c>
      <c r="AK1585">
        <v>9.3694757549724006</v>
      </c>
      <c r="AL1585">
        <v>86.467927760820103</v>
      </c>
      <c r="AM1585">
        <v>82.903186733004503</v>
      </c>
      <c r="AN1585">
        <v>0.99999996694077997</v>
      </c>
    </row>
    <row r="1586" spans="1:40" x14ac:dyDescent="0.25">
      <c r="A1586" t="str">
        <f>"20190312153918539"</f>
        <v>20190312153918539</v>
      </c>
      <c r="B1586" t="str">
        <f>"1552376358527208"</f>
        <v>1552376358527208</v>
      </c>
      <c r="C1586" t="s">
        <v>40</v>
      </c>
      <c r="D1586">
        <v>4.4246930000000004</v>
      </c>
      <c r="E1586">
        <v>0.61413070000000003</v>
      </c>
      <c r="F1586" t="s">
        <v>49</v>
      </c>
      <c r="G1586">
        <v>-200.54480000000001</v>
      </c>
      <c r="H1586" s="1">
        <v>-6.527717E-6</v>
      </c>
      <c r="I1586">
        <v>359.24400000000003</v>
      </c>
      <c r="J1586">
        <v>-207.6097</v>
      </c>
      <c r="K1586">
        <v>1.109545</v>
      </c>
      <c r="L1586">
        <v>365.43259999999998</v>
      </c>
      <c r="M1586">
        <v>0.95411880000000004</v>
      </c>
      <c r="N1586">
        <v>0</v>
      </c>
      <c r="O1586">
        <v>-0.29910740000000002</v>
      </c>
      <c r="P1586">
        <v>0.90895340000000002</v>
      </c>
      <c r="Q1586">
        <v>4.832608E-2</v>
      </c>
      <c r="R1586">
        <v>-0.4140875</v>
      </c>
      <c r="S1586">
        <v>2.379562</v>
      </c>
      <c r="T1586">
        <v>-0.36895699999999998</v>
      </c>
      <c r="U1586">
        <v>-2.0679630000000002</v>
      </c>
      <c r="V1586">
        <v>0.12338499999999999</v>
      </c>
      <c r="W1586">
        <v>6.1742890000000002E-2</v>
      </c>
      <c r="X1586">
        <v>0.99043630000000005</v>
      </c>
      <c r="Y1586">
        <v>0.3994412</v>
      </c>
      <c r="Z1586">
        <v>1.169543E-2</v>
      </c>
      <c r="AA1586">
        <v>0.91668419999999895</v>
      </c>
      <c r="AB1586">
        <v>15</v>
      </c>
      <c r="AC1586">
        <v>7.06489999999999</v>
      </c>
      <c r="AD1586">
        <v>-1.1095515277170001</v>
      </c>
      <c r="AE1586">
        <v>-6.1885999999999504</v>
      </c>
      <c r="AF1586">
        <v>3.7396681056238301</v>
      </c>
      <c r="AG1586">
        <v>-1.1095515277170001</v>
      </c>
      <c r="AH1586">
        <v>8.4743647205961405</v>
      </c>
      <c r="AI1586">
        <v>96.830652095484794</v>
      </c>
      <c r="AJ1586">
        <v>66.188522907744897</v>
      </c>
      <c r="AK1586">
        <v>9.3290449431098601</v>
      </c>
      <c r="AL1586">
        <v>86.460141644743402</v>
      </c>
      <c r="AM1586">
        <v>82.898881351021302</v>
      </c>
      <c r="AN1586">
        <v>1.00000005352411</v>
      </c>
    </row>
    <row r="1587" spans="1:40" x14ac:dyDescent="0.25">
      <c r="A1587" t="str">
        <f>"20190312153918556"</f>
        <v>20190312153918556</v>
      </c>
      <c r="B1587" t="str">
        <f>"1552376358547703"</f>
        <v>1552376358547703</v>
      </c>
      <c r="C1587" t="s">
        <v>40</v>
      </c>
      <c r="D1587">
        <v>4.4183949999999896</v>
      </c>
      <c r="E1587">
        <v>0.61443729999999996</v>
      </c>
      <c r="F1587" t="s">
        <v>49</v>
      </c>
      <c r="G1587">
        <v>-200.47309999999999</v>
      </c>
      <c r="H1587" s="1">
        <v>-6.5443610000000004E-6</v>
      </c>
      <c r="I1587">
        <v>359.20170000000002</v>
      </c>
      <c r="J1587">
        <v>-207.49510000000001</v>
      </c>
      <c r="K1587">
        <v>1.109542</v>
      </c>
      <c r="L1587">
        <v>365.39420000000001</v>
      </c>
      <c r="M1587">
        <v>0.95352060000000005</v>
      </c>
      <c r="N1587">
        <v>0</v>
      </c>
      <c r="O1587">
        <v>-0.30100949999999999</v>
      </c>
      <c r="P1587">
        <v>0.90806949999999997</v>
      </c>
      <c r="Q1587">
        <v>4.8808980000000002E-2</v>
      </c>
      <c r="R1587">
        <v>-0.41596610000000001</v>
      </c>
      <c r="S1587">
        <v>2.3753660000000001</v>
      </c>
      <c r="T1587">
        <v>-0.36930429999999997</v>
      </c>
      <c r="U1587">
        <v>-2.0738829999999999</v>
      </c>
      <c r="V1587">
        <v>0.1234668</v>
      </c>
      <c r="W1587">
        <v>6.2222609999999998E-2</v>
      </c>
      <c r="X1587">
        <v>0.99039600000000005</v>
      </c>
      <c r="Y1587">
        <v>0.3997213</v>
      </c>
      <c r="Z1587">
        <v>1.1922449999999999E-2</v>
      </c>
      <c r="AA1587">
        <v>0.91655920000000002</v>
      </c>
      <c r="AB1587">
        <v>15</v>
      </c>
      <c r="AC1587">
        <v>7.02200000000001</v>
      </c>
      <c r="AD1587">
        <v>-1.109548544361</v>
      </c>
      <c r="AE1587">
        <v>-6.1924999999999901</v>
      </c>
      <c r="AF1587">
        <v>3.7388401305898</v>
      </c>
      <c r="AG1587">
        <v>-1.109548544361</v>
      </c>
      <c r="AH1587">
        <v>8.4418798554659809</v>
      </c>
      <c r="AI1587">
        <v>96.852651414778805</v>
      </c>
      <c r="AJ1587">
        <v>66.111835632187393</v>
      </c>
      <c r="AK1587">
        <v>9.2992128155303995</v>
      </c>
      <c r="AL1587">
        <v>86.432602466341606</v>
      </c>
      <c r="AM1587">
        <v>82.893935479406593</v>
      </c>
      <c r="AN1587">
        <v>0.99999997035672505</v>
      </c>
    </row>
    <row r="1588" spans="1:40" x14ac:dyDescent="0.25">
      <c r="A1588" t="str">
        <f>"20190312153918570"</f>
        <v>20190312153918570</v>
      </c>
      <c r="B1588" t="str">
        <f>"1552376358557464"</f>
        <v>1552376358557464</v>
      </c>
      <c r="C1588" t="s">
        <v>40</v>
      </c>
      <c r="D1588">
        <v>4.4114610000000001</v>
      </c>
      <c r="E1588">
        <v>0.61453100000000005</v>
      </c>
      <c r="F1588" t="s">
        <v>49</v>
      </c>
      <c r="G1588">
        <v>-200.34360000000001</v>
      </c>
      <c r="H1588" s="1">
        <v>-6.5644129999999999E-6</v>
      </c>
      <c r="I1588">
        <v>359.11399999999998</v>
      </c>
      <c r="J1588">
        <v>-207.41380000000001</v>
      </c>
      <c r="K1588">
        <v>1.1095410000000001</v>
      </c>
      <c r="L1588">
        <v>365.36680000000001</v>
      </c>
      <c r="M1588">
        <v>0.95309279999999996</v>
      </c>
      <c r="N1588">
        <v>0</v>
      </c>
      <c r="O1588">
        <v>-0.3023614</v>
      </c>
      <c r="P1588">
        <v>0.90750920000000002</v>
      </c>
      <c r="Q1588">
        <v>4.8724879999999998E-2</v>
      </c>
      <c r="R1588">
        <v>-0.41719679999999998</v>
      </c>
      <c r="S1588">
        <v>2.3700559999999999</v>
      </c>
      <c r="T1588">
        <v>-0.36771510000000002</v>
      </c>
      <c r="U1588">
        <v>-2.0813290000000002</v>
      </c>
      <c r="V1588">
        <v>0.123403399999999</v>
      </c>
      <c r="W1588">
        <v>6.2136480000000001E-2</v>
      </c>
      <c r="X1588">
        <v>0.99040930000000005</v>
      </c>
      <c r="Y1588">
        <v>0.40107150000000003</v>
      </c>
      <c r="Z1588">
        <v>1.195037E-2</v>
      </c>
      <c r="AA1588">
        <v>0.91596880000000003</v>
      </c>
      <c r="AB1588">
        <v>15</v>
      </c>
      <c r="AC1588">
        <v>7.0701999999999998</v>
      </c>
      <c r="AD1588">
        <v>-1.109547564413</v>
      </c>
      <c r="AE1588">
        <v>-6.2527999999999704</v>
      </c>
      <c r="AF1588">
        <v>3.7700105382215798</v>
      </c>
      <c r="AG1588">
        <v>-1.109547564413</v>
      </c>
      <c r="AH1588">
        <v>8.5123544942674894</v>
      </c>
      <c r="AI1588">
        <v>96.796456927857605</v>
      </c>
      <c r="AJ1588">
        <v>66.112073313114493</v>
      </c>
      <c r="AK1588">
        <v>9.3757268673992709</v>
      </c>
      <c r="AL1588">
        <v>86.437546887655202</v>
      </c>
      <c r="AM1588">
        <v>82.897641559742695</v>
      </c>
      <c r="AN1588">
        <v>0.99999996140241898</v>
      </c>
    </row>
    <row r="1589" spans="1:40" x14ac:dyDescent="0.25">
      <c r="A1589" t="str">
        <f>"20190312153918583"</f>
        <v>20190312153918583</v>
      </c>
      <c r="B1589" t="str">
        <f>"1552376358576985"</f>
        <v>1552376358576985</v>
      </c>
      <c r="C1589" t="s">
        <v>40</v>
      </c>
      <c r="D1589">
        <v>4.3701210000000001</v>
      </c>
      <c r="E1589">
        <v>0.62588390000000005</v>
      </c>
      <c r="F1589" t="s">
        <v>49</v>
      </c>
      <c r="G1589">
        <v>-200.28129999999999</v>
      </c>
      <c r="H1589" s="1">
        <v>-6.575454E-6</v>
      </c>
      <c r="I1589">
        <v>359.08089999999999</v>
      </c>
      <c r="J1589">
        <v>-207.32220000000001</v>
      </c>
      <c r="K1589">
        <v>1.1095330000000001</v>
      </c>
      <c r="L1589">
        <v>365.33580000000001</v>
      </c>
      <c r="M1589">
        <v>0.95260650000000002</v>
      </c>
      <c r="N1589">
        <v>0</v>
      </c>
      <c r="O1589">
        <v>-0.30388959999999998</v>
      </c>
      <c r="P1589">
        <v>0.90683020000000003</v>
      </c>
      <c r="Q1589">
        <v>4.8699560000000003E-2</v>
      </c>
      <c r="R1589">
        <v>-0.41867359999999998</v>
      </c>
      <c r="S1589">
        <v>2.3666529999999999</v>
      </c>
      <c r="T1589">
        <v>-0.36816330000000003</v>
      </c>
      <c r="U1589">
        <v>-2.0857239999999999</v>
      </c>
      <c r="V1589">
        <v>0.123427</v>
      </c>
      <c r="W1589">
        <v>6.2107919999999997E-2</v>
      </c>
      <c r="X1589">
        <v>0.99040819999999996</v>
      </c>
      <c r="Y1589">
        <v>0.40122000000000002</v>
      </c>
      <c r="Z1589">
        <v>1.214368E-2</v>
      </c>
      <c r="AA1589">
        <v>0.91590119999999997</v>
      </c>
      <c r="AB1589">
        <v>15</v>
      </c>
      <c r="AC1589">
        <v>7.0409000000000201</v>
      </c>
      <c r="AD1589">
        <v>-1.1095395754539901</v>
      </c>
      <c r="AE1589">
        <v>-6.2549000000000197</v>
      </c>
      <c r="AF1589">
        <v>3.7668864812208298</v>
      </c>
      <c r="AG1589">
        <v>-1.1095395754539901</v>
      </c>
      <c r="AH1589">
        <v>8.4909825385072608</v>
      </c>
      <c r="AI1589">
        <v>96.811487386755104</v>
      </c>
      <c r="AJ1589">
        <v>66.076309993208397</v>
      </c>
      <c r="AK1589">
        <v>9.3550679474356695</v>
      </c>
      <c r="AL1589">
        <v>86.439186596346005</v>
      </c>
      <c r="AM1589">
        <v>82.896289351723198</v>
      </c>
      <c r="AN1589">
        <v>1.0000000103414799</v>
      </c>
    </row>
    <row r="1590" spans="1:40" x14ac:dyDescent="0.25">
      <c r="A1590" t="str">
        <f>"20190312153918598"</f>
        <v>20190312153918598</v>
      </c>
      <c r="B1590" t="str">
        <f>"1552376358587720"</f>
        <v>1552376358587720</v>
      </c>
      <c r="C1590" t="s">
        <v>40</v>
      </c>
      <c r="D1590">
        <v>4.1591069999999997</v>
      </c>
      <c r="E1590">
        <v>0.62588390000000005</v>
      </c>
      <c r="F1590" t="s">
        <v>49</v>
      </c>
      <c r="G1590">
        <v>-199.83539999999999</v>
      </c>
      <c r="H1590" s="1">
        <v>-6.40151999999999E-6</v>
      </c>
      <c r="I1590">
        <v>358.34</v>
      </c>
      <c r="J1590">
        <v>-207.23089999999999</v>
      </c>
      <c r="K1590">
        <v>1.109524</v>
      </c>
      <c r="L1590">
        <v>365.30470000000003</v>
      </c>
      <c r="M1590">
        <v>0.95211829999999997</v>
      </c>
      <c r="N1590">
        <v>0</v>
      </c>
      <c r="O1590">
        <v>-0.30541580000000002</v>
      </c>
      <c r="P1590">
        <v>0.90618259999999995</v>
      </c>
      <c r="Q1590">
        <v>4.8059350000000001E-2</v>
      </c>
      <c r="R1590">
        <v>-0.42014659999999898</v>
      </c>
      <c r="S1590">
        <v>2.3240810000000001</v>
      </c>
      <c r="T1590">
        <v>-0.34442689999999998</v>
      </c>
      <c r="U1590">
        <v>-2.1716609999999998</v>
      </c>
      <c r="V1590">
        <v>0.1234377</v>
      </c>
      <c r="W1590">
        <v>6.146542E-2</v>
      </c>
      <c r="X1590">
        <v>0.99044690000000002</v>
      </c>
      <c r="Y1590">
        <v>0.4262302</v>
      </c>
      <c r="Z1590">
        <v>9.9703480000000004E-3</v>
      </c>
      <c r="AA1590">
        <v>0.90455980000000002</v>
      </c>
      <c r="AB1590">
        <v>15</v>
      </c>
      <c r="AC1590">
        <v>7.3954999999999904</v>
      </c>
      <c r="AD1590">
        <v>-1.10953040152</v>
      </c>
      <c r="AE1590">
        <v>-6.9647000000000503</v>
      </c>
      <c r="AF1590">
        <v>4.3213864934433399</v>
      </c>
      <c r="AG1590">
        <v>-1.10953040152</v>
      </c>
      <c r="AH1590">
        <v>9.0613097516175092</v>
      </c>
      <c r="AI1590">
        <v>96.306841846617701</v>
      </c>
      <c r="AJ1590">
        <v>64.503279095641105</v>
      </c>
      <c r="AK1590">
        <v>10.1001372937386</v>
      </c>
      <c r="AL1590">
        <v>86.476069436239598</v>
      </c>
      <c r="AM1590">
        <v>82.895954569619306</v>
      </c>
      <c r="AN1590">
        <v>0.99999996267833702</v>
      </c>
    </row>
    <row r="1591" spans="1:40" x14ac:dyDescent="0.25">
      <c r="A1591" t="str">
        <f>"20190312153918653"</f>
        <v>20190312153918653</v>
      </c>
      <c r="B1591" t="str">
        <f>"1552376358647256"</f>
        <v>1552376358647256</v>
      </c>
      <c r="C1591" t="s">
        <v>40</v>
      </c>
      <c r="D1591">
        <v>3.6959789999999999</v>
      </c>
      <c r="E1591">
        <v>0.73502250000000002</v>
      </c>
      <c r="F1591" t="s">
        <v>49</v>
      </c>
      <c r="G1591">
        <v>-199.78229999999999</v>
      </c>
      <c r="H1591" s="1">
        <v>-6.3861590000000003E-6</v>
      </c>
      <c r="I1591">
        <v>358.31889999999999</v>
      </c>
      <c r="J1591">
        <v>-206.8793</v>
      </c>
      <c r="K1591">
        <v>1.1095139999999999</v>
      </c>
      <c r="L1591">
        <v>365.18329999999997</v>
      </c>
      <c r="M1591">
        <v>0.95019229999999999</v>
      </c>
      <c r="N1591">
        <v>0</v>
      </c>
      <c r="O1591">
        <v>-0.31135649999999998</v>
      </c>
      <c r="P1591">
        <v>0.90367319999999995</v>
      </c>
      <c r="Q1591">
        <v>4.663904E-2</v>
      </c>
      <c r="R1591">
        <v>-0.42567549999999998</v>
      </c>
      <c r="S1591">
        <v>2.320068</v>
      </c>
      <c r="T1591">
        <v>-0.34558889999999998</v>
      </c>
      <c r="U1591">
        <v>-2.1759029999999999</v>
      </c>
      <c r="V1591">
        <v>0.12327780000000001</v>
      </c>
      <c r="W1591">
        <v>6.0034700000000003E-2</v>
      </c>
      <c r="X1591">
        <v>0.99055459999999995</v>
      </c>
      <c r="Y1591">
        <v>0.4222862</v>
      </c>
      <c r="Z1591">
        <v>1.092918E-2</v>
      </c>
      <c r="AA1591">
        <v>0.9063966</v>
      </c>
      <c r="AB1591">
        <v>15</v>
      </c>
      <c r="AC1591">
        <v>7.0970000000000004</v>
      </c>
      <c r="AD1591">
        <v>-1.1095203861589999</v>
      </c>
      <c r="AE1591">
        <v>-6.8643999999999803</v>
      </c>
      <c r="AF1591">
        <v>4.25942989861099</v>
      </c>
      <c r="AG1591">
        <v>-1.1095203861589999</v>
      </c>
      <c r="AH1591">
        <v>8.7708861896665606</v>
      </c>
      <c r="AI1591">
        <v>96.491863767177193</v>
      </c>
      <c r="AJ1591">
        <v>64.097270342272097</v>
      </c>
      <c r="AK1591">
        <v>9.8133696099029706</v>
      </c>
      <c r="AL1591">
        <v>86.558195472882701</v>
      </c>
      <c r="AM1591">
        <v>82.905826786617695</v>
      </c>
      <c r="AN1591">
        <v>0.99999999837904496</v>
      </c>
    </row>
    <row r="1592" spans="1:40" x14ac:dyDescent="0.25">
      <c r="A1592" t="str">
        <f>"20190312153918666"</f>
        <v>20190312153918666</v>
      </c>
      <c r="B1592" t="str">
        <f>"1552376358657016"</f>
        <v>1552376358657016</v>
      </c>
      <c r="C1592" t="s">
        <v>40</v>
      </c>
      <c r="D1592">
        <v>3.629928</v>
      </c>
      <c r="E1592">
        <v>0.7350949</v>
      </c>
      <c r="F1592" t="s">
        <v>49</v>
      </c>
      <c r="G1592">
        <v>-205.6387</v>
      </c>
      <c r="H1592" s="1">
        <v>-4.6463839999999997E-6</v>
      </c>
      <c r="I1592">
        <v>363.32960000000003</v>
      </c>
      <c r="J1592">
        <v>-206.79480000000001</v>
      </c>
      <c r="K1592">
        <v>1.1095079999999999</v>
      </c>
      <c r="L1592">
        <v>365.15379999999999</v>
      </c>
      <c r="M1592">
        <v>0.94971930000000004</v>
      </c>
      <c r="N1592">
        <v>0</v>
      </c>
      <c r="O1592">
        <v>-0.31279679999999999</v>
      </c>
      <c r="P1592">
        <v>0.90315179999999995</v>
      </c>
      <c r="Q1592">
        <v>4.5600139999999997E-2</v>
      </c>
      <c r="R1592">
        <v>-0.42689300000000002</v>
      </c>
      <c r="S1592">
        <v>2.0026090000000001</v>
      </c>
      <c r="T1592">
        <v>-1.7911009999999901</v>
      </c>
      <c r="U1592">
        <v>-2.9924930000000001</v>
      </c>
      <c r="V1592">
        <v>0.1230917</v>
      </c>
      <c r="W1592">
        <v>5.8994659999999997E-2</v>
      </c>
      <c r="X1592">
        <v>0.99064019999999997</v>
      </c>
      <c r="Y1592">
        <v>0.58552959999999998</v>
      </c>
      <c r="Z1592">
        <v>2.6832520000000001E-3</v>
      </c>
      <c r="AA1592">
        <v>0.81064669999999905</v>
      </c>
      <c r="AB1592">
        <v>15</v>
      </c>
      <c r="AC1592">
        <v>1.1560999999999999</v>
      </c>
      <c r="AD1592">
        <v>-1.1095126463839999</v>
      </c>
      <c r="AE1592">
        <v>-1.8241999999999601</v>
      </c>
      <c r="AF1592">
        <v>1.0847042045309301</v>
      </c>
      <c r="AG1592">
        <v>-1.1095126463839999</v>
      </c>
      <c r="AH1592">
        <v>1.3202793625187601</v>
      </c>
      <c r="AI1592">
        <v>122.996639440254</v>
      </c>
      <c r="AJ1592">
        <v>50.594441871302898</v>
      </c>
      <c r="AK1592">
        <v>2.0373362802704098</v>
      </c>
      <c r="AL1592">
        <v>86.617891100970994</v>
      </c>
      <c r="AM1592">
        <v>82.917033131883201</v>
      </c>
      <c r="AN1592">
        <v>0.99999997118672201</v>
      </c>
    </row>
    <row r="1593" spans="1:40" x14ac:dyDescent="0.25">
      <c r="A1593" t="str">
        <f>"20190312153918702"</f>
        <v>20190312153918702</v>
      </c>
      <c r="B1593" t="str">
        <f>"1552376358698008"</f>
        <v>1552376358698008</v>
      </c>
      <c r="C1593" t="s">
        <v>40</v>
      </c>
      <c r="D1593">
        <v>4.170331</v>
      </c>
      <c r="E1593">
        <v>0.71519089999999996</v>
      </c>
      <c r="F1593" t="s">
        <v>49</v>
      </c>
      <c r="G1593">
        <v>-205.54750000000001</v>
      </c>
      <c r="H1593" s="1">
        <v>-4.6146179999999999E-6</v>
      </c>
      <c r="I1593">
        <v>363.28120000000001</v>
      </c>
      <c r="J1593">
        <v>-206.56739999999999</v>
      </c>
      <c r="K1593">
        <v>1.109497</v>
      </c>
      <c r="L1593">
        <v>365.0736</v>
      </c>
      <c r="M1593">
        <v>0.9484245</v>
      </c>
      <c r="N1593">
        <v>0</v>
      </c>
      <c r="O1593">
        <v>-0.31670150000000002</v>
      </c>
      <c r="P1593">
        <v>0.90130440000000001</v>
      </c>
      <c r="Q1593">
        <v>4.4206490000000001E-2</v>
      </c>
      <c r="R1593">
        <v>-0.43092540000000001</v>
      </c>
      <c r="S1593">
        <v>1.995377</v>
      </c>
      <c r="T1593">
        <v>-1.774918</v>
      </c>
      <c r="U1593">
        <v>-2.9956670000000001</v>
      </c>
      <c r="V1593">
        <v>0.1234188</v>
      </c>
      <c r="W1593">
        <v>5.7594190000000003E-2</v>
      </c>
      <c r="X1593">
        <v>0.9906819</v>
      </c>
      <c r="Y1593">
        <v>0.58494480000000004</v>
      </c>
      <c r="Z1593">
        <v>4.8655870000000002E-3</v>
      </c>
      <c r="AA1593">
        <v>0.81105850000000002</v>
      </c>
      <c r="AB1593">
        <v>15</v>
      </c>
      <c r="AC1593">
        <v>1.0198999999999701</v>
      </c>
      <c r="AD1593">
        <v>-1.1095016146179999</v>
      </c>
      <c r="AE1593">
        <v>-1.79239999999998</v>
      </c>
      <c r="AF1593">
        <v>1.0679633904974799</v>
      </c>
      <c r="AG1593">
        <v>-1.1095016146179999</v>
      </c>
      <c r="AH1593">
        <v>1.19050942504853</v>
      </c>
      <c r="AI1593">
        <v>124.750156520375</v>
      </c>
      <c r="AJ1593">
        <v>48.105856257464197</v>
      </c>
      <c r="AK1593">
        <v>1.94649745117023</v>
      </c>
      <c r="AL1593">
        <v>86.698268777439097</v>
      </c>
      <c r="AM1593">
        <v>82.8986988786626</v>
      </c>
      <c r="AN1593">
        <v>0.99999995895140203</v>
      </c>
    </row>
    <row r="1594" spans="1:40" x14ac:dyDescent="0.25">
      <c r="A1594" t="str">
        <f>"20190312153918715"</f>
        <v>20190312153918715</v>
      </c>
      <c r="B1594" t="str">
        <f>"1552376358707768"</f>
        <v>1552376358707768</v>
      </c>
      <c r="C1594" t="s">
        <v>40</v>
      </c>
      <c r="D1594">
        <v>4.1257830000000002</v>
      </c>
      <c r="E1594">
        <v>0.65809930000000005</v>
      </c>
      <c r="F1594" t="s">
        <v>49</v>
      </c>
      <c r="G1594">
        <v>-205.0943</v>
      </c>
      <c r="H1594" s="1">
        <v>-4.4641360000000003E-6</v>
      </c>
      <c r="I1594">
        <v>363.00779999999997</v>
      </c>
      <c r="J1594">
        <v>-206.47919999999999</v>
      </c>
      <c r="K1594">
        <v>1.109499</v>
      </c>
      <c r="L1594">
        <v>365.04219999999998</v>
      </c>
      <c r="M1594">
        <v>0.94791389999999998</v>
      </c>
      <c r="N1594">
        <v>0</v>
      </c>
      <c r="O1594">
        <v>-0.31822650000000002</v>
      </c>
      <c r="P1594">
        <v>0.90054319999999899</v>
      </c>
      <c r="Q1594">
        <v>4.4241379999999997E-2</v>
      </c>
      <c r="R1594">
        <v>-0.43251010000000001</v>
      </c>
      <c r="S1594">
        <v>2.037582</v>
      </c>
      <c r="T1594">
        <v>-1.534626</v>
      </c>
      <c r="U1594">
        <v>-2.8573909999999998</v>
      </c>
      <c r="V1594">
        <v>0.1235691</v>
      </c>
      <c r="W1594">
        <v>5.7626080000000003E-2</v>
      </c>
      <c r="X1594">
        <v>0.99066140000000003</v>
      </c>
      <c r="Y1594">
        <v>0.56570769999999904</v>
      </c>
      <c r="Z1594">
        <v>1.0208790000000001E-2</v>
      </c>
      <c r="AA1594">
        <v>0.82454269999999996</v>
      </c>
      <c r="AB1594">
        <v>15</v>
      </c>
      <c r="AC1594">
        <v>1.38489999999998</v>
      </c>
      <c r="AD1594">
        <v>-1.109503464136</v>
      </c>
      <c r="AE1594">
        <v>-2.0344000000000002</v>
      </c>
      <c r="AF1594">
        <v>1.23654521845823</v>
      </c>
      <c r="AG1594">
        <v>-1.109503464136</v>
      </c>
      <c r="AH1594">
        <v>1.62922260919993</v>
      </c>
      <c r="AI1594">
        <v>118.47782306870801</v>
      </c>
      <c r="AJ1594">
        <v>52.8022770514972</v>
      </c>
      <c r="AK1594">
        <v>2.3268881203336602</v>
      </c>
      <c r="AL1594">
        <v>86.6964388714688</v>
      </c>
      <c r="AM1594">
        <v>82.889993711332096</v>
      </c>
      <c r="AN1594">
        <v>1.0000000485104601</v>
      </c>
    </row>
    <row r="1595" spans="1:40" x14ac:dyDescent="0.25">
      <c r="A1595" t="str">
        <f>"20190312153918727"</f>
        <v>20190312153918727</v>
      </c>
      <c r="B1595" t="str">
        <f>"1552376358717528"</f>
        <v>1552376358717528</v>
      </c>
      <c r="C1595" t="s">
        <v>40</v>
      </c>
      <c r="D1595">
        <v>4.0839429999999997</v>
      </c>
      <c r="E1595">
        <v>0.65589609999999998</v>
      </c>
      <c r="F1595" t="s">
        <v>49</v>
      </c>
      <c r="G1595">
        <v>-202.56739999999999</v>
      </c>
      <c r="H1595" s="1">
        <v>-3.712546E-6</v>
      </c>
      <c r="I1595">
        <v>360.67849999999999</v>
      </c>
      <c r="J1595">
        <v>-206.41</v>
      </c>
      <c r="K1595">
        <v>1.109499</v>
      </c>
      <c r="L1595">
        <v>365.01740000000001</v>
      </c>
      <c r="M1595">
        <v>0.94750959999999995</v>
      </c>
      <c r="N1595">
        <v>0</v>
      </c>
      <c r="O1595">
        <v>-0.3194285</v>
      </c>
      <c r="P1595">
        <v>0.89988359999999901</v>
      </c>
      <c r="Q1595">
        <v>4.4401419999999997E-2</v>
      </c>
      <c r="R1595">
        <v>-0.43386479999999999</v>
      </c>
      <c r="S1595">
        <v>2.1890109999999998</v>
      </c>
      <c r="T1595">
        <v>-0.62087029999999999</v>
      </c>
      <c r="U1595">
        <v>-2.4418950000000001</v>
      </c>
      <c r="V1595">
        <v>0.1238066</v>
      </c>
      <c r="W1595">
        <v>5.7783180000000003E-2</v>
      </c>
      <c r="X1595">
        <v>0.99062249999999996</v>
      </c>
      <c r="Y1595">
        <v>0.48940790000000001</v>
      </c>
      <c r="Z1595">
        <v>1.3460939999999999E-2</v>
      </c>
      <c r="AA1595">
        <v>0.87195109999999998</v>
      </c>
      <c r="AB1595">
        <v>15</v>
      </c>
      <c r="AC1595">
        <v>3.8426</v>
      </c>
      <c r="AD1595">
        <v>-1.109502712546</v>
      </c>
      <c r="AE1595">
        <v>-4.3389000000000202</v>
      </c>
      <c r="AF1595">
        <v>2.7820384975813601</v>
      </c>
      <c r="AG1595">
        <v>-1.109502712546</v>
      </c>
      <c r="AH1595">
        <v>4.8496296572250497</v>
      </c>
      <c r="AI1595">
        <v>101.224317448552</v>
      </c>
      <c r="AJ1595">
        <v>60.158831491109801</v>
      </c>
      <c r="AK1595">
        <v>5.6999686212652501</v>
      </c>
      <c r="AL1595">
        <v>86.687422367169702</v>
      </c>
      <c r="AM1595">
        <v>82.876191670923404</v>
      </c>
      <c r="AN1595">
        <v>0.99999995380036</v>
      </c>
    </row>
    <row r="1596" spans="1:40" x14ac:dyDescent="0.25">
      <c r="A1596" t="str">
        <f>"20190312153918739"</f>
        <v>20190312153918739</v>
      </c>
      <c r="B1596" t="str">
        <f>"1552376358727291"</f>
        <v>1552376358727291</v>
      </c>
      <c r="C1596" t="s">
        <v>40</v>
      </c>
      <c r="D1596">
        <v>4.1363370000000002</v>
      </c>
      <c r="E1596">
        <v>0.65523430000000005</v>
      </c>
      <c r="F1596" t="s">
        <v>49</v>
      </c>
      <c r="G1596">
        <v>-201.85419999999999</v>
      </c>
      <c r="H1596" s="1">
        <v>-3.51229E-6</v>
      </c>
      <c r="I1596">
        <v>359.96300000000002</v>
      </c>
      <c r="J1596">
        <v>-206.3322</v>
      </c>
      <c r="K1596">
        <v>1.1094980000000001</v>
      </c>
      <c r="L1596">
        <v>364.98939999999999</v>
      </c>
      <c r="M1596">
        <v>0.94705170000000005</v>
      </c>
      <c r="N1596">
        <v>0</v>
      </c>
      <c r="O1596">
        <v>-0.32078319999999999</v>
      </c>
      <c r="P1596">
        <v>0.89929150000000002</v>
      </c>
      <c r="Q1596">
        <v>4.486714E-2</v>
      </c>
      <c r="R1596">
        <v>-0.4350424</v>
      </c>
      <c r="S1596">
        <v>2.189117</v>
      </c>
      <c r="T1596">
        <v>-0.53312280000000001</v>
      </c>
      <c r="U1596">
        <v>-2.4286799999999999</v>
      </c>
      <c r="V1596">
        <v>0.1236955</v>
      </c>
      <c r="W1596">
        <v>5.8246829999999999E-2</v>
      </c>
      <c r="X1596">
        <v>0.99060930000000003</v>
      </c>
      <c r="Y1596">
        <v>0.48659520000000001</v>
      </c>
      <c r="Z1596">
        <v>1.2121710000000001E-2</v>
      </c>
      <c r="AA1596">
        <v>0.87354339999999997</v>
      </c>
      <c r="AB1596">
        <v>15</v>
      </c>
      <c r="AC1596">
        <v>4.4779999999999998</v>
      </c>
      <c r="AD1596">
        <v>-1.1095015122899901</v>
      </c>
      <c r="AE1596">
        <v>-5.0263999999999598</v>
      </c>
      <c r="AF1596">
        <v>3.2362032610272302</v>
      </c>
      <c r="AG1596">
        <v>-1.1095015122899901</v>
      </c>
      <c r="AH1596">
        <v>5.6990336297706001</v>
      </c>
      <c r="AI1596">
        <v>99.608610111625396</v>
      </c>
      <c r="AJ1596">
        <v>60.409870023156103</v>
      </c>
      <c r="AK1596">
        <v>6.64702861929399</v>
      </c>
      <c r="AL1596">
        <v>86.660812605249006</v>
      </c>
      <c r="AM1596">
        <v>82.882424883358297</v>
      </c>
      <c r="AN1596">
        <v>1.00000002758589</v>
      </c>
    </row>
    <row r="1597" spans="1:40" x14ac:dyDescent="0.25">
      <c r="A1597" t="str">
        <f>"20190312153918750"</f>
        <v>20190312153918750</v>
      </c>
      <c r="B1597" t="str">
        <f>"1552376358747785"</f>
        <v>1552376358747785</v>
      </c>
      <c r="C1597" t="s">
        <v>40</v>
      </c>
      <c r="D1597">
        <v>4.140002</v>
      </c>
      <c r="E1597">
        <v>0.65430540000000004</v>
      </c>
      <c r="F1597" t="s">
        <v>49</v>
      </c>
      <c r="G1597">
        <v>-201.24279999999999</v>
      </c>
      <c r="H1597" s="1">
        <v>-6.2745900000000002E-6</v>
      </c>
      <c r="I1597">
        <v>359.33839999999998</v>
      </c>
      <c r="J1597">
        <v>-206.2559</v>
      </c>
      <c r="K1597">
        <v>1.1094949999999999</v>
      </c>
      <c r="L1597">
        <v>364.96179999999998</v>
      </c>
      <c r="M1597">
        <v>0.94659769999999999</v>
      </c>
      <c r="N1597">
        <v>0</v>
      </c>
      <c r="O1597">
        <v>-0.32212109999999999</v>
      </c>
      <c r="P1597">
        <v>0.89865849999999903</v>
      </c>
      <c r="Q1597">
        <v>4.5414370000000003E-2</v>
      </c>
      <c r="R1597">
        <v>-0.43629180000000001</v>
      </c>
      <c r="S1597">
        <v>2.1856990000000001</v>
      </c>
      <c r="T1597">
        <v>-0.47648940000000001</v>
      </c>
      <c r="U1597">
        <v>-2.4268800000000001</v>
      </c>
      <c r="V1597">
        <v>0.1236834</v>
      </c>
      <c r="W1597">
        <v>5.8790920000000003E-2</v>
      </c>
      <c r="X1597">
        <v>0.99057870000000003</v>
      </c>
      <c r="Y1597">
        <v>0.48615989999999998</v>
      </c>
      <c r="Z1597">
        <v>1.110791E-2</v>
      </c>
      <c r="AA1597">
        <v>0.87379929999999995</v>
      </c>
      <c r="AB1597">
        <v>15</v>
      </c>
      <c r="AC1597">
        <v>5.0130999999999997</v>
      </c>
      <c r="AD1597">
        <v>-1.1095012745899999</v>
      </c>
      <c r="AE1597">
        <v>-5.6234000000000002</v>
      </c>
      <c r="AF1597">
        <v>3.6298934318551401</v>
      </c>
      <c r="AG1597">
        <v>-1.1095012745899999</v>
      </c>
      <c r="AH1597">
        <v>6.4182187794360299</v>
      </c>
      <c r="AI1597">
        <v>98.557092113251898</v>
      </c>
      <c r="AJ1597">
        <v>60.509197973436002</v>
      </c>
      <c r="AK1597">
        <v>7.4565844530620904</v>
      </c>
      <c r="AL1597">
        <v>86.629585134067298</v>
      </c>
      <c r="AM1597">
        <v>82.882896397349896</v>
      </c>
      <c r="AN1597">
        <v>1.00000005830184</v>
      </c>
    </row>
    <row r="1598" spans="1:40" x14ac:dyDescent="0.25">
      <c r="A1598" t="str">
        <f>"20190312153918766"</f>
        <v>20190312153918766</v>
      </c>
      <c r="B1598" t="str">
        <f>"1552376358757544"</f>
        <v>1552376358757544</v>
      </c>
      <c r="C1598" t="s">
        <v>40</v>
      </c>
      <c r="D1598">
        <v>4.1089129999999896</v>
      </c>
      <c r="E1598">
        <v>0.65345830000000005</v>
      </c>
      <c r="F1598" t="s">
        <v>49</v>
      </c>
      <c r="G1598">
        <v>-200.50579999999999</v>
      </c>
      <c r="H1598" s="1">
        <v>-6.3282010000000001E-6</v>
      </c>
      <c r="I1598">
        <v>358.58010000000002</v>
      </c>
      <c r="J1598">
        <v>-206.1593</v>
      </c>
      <c r="K1598">
        <v>1.109497</v>
      </c>
      <c r="L1598">
        <v>364.92669999999998</v>
      </c>
      <c r="M1598">
        <v>0.94601740000000001</v>
      </c>
      <c r="N1598">
        <v>0</v>
      </c>
      <c r="O1598">
        <v>-0.32382129999999998</v>
      </c>
      <c r="P1598">
        <v>0.89808459999999901</v>
      </c>
      <c r="Q1598">
        <v>4.6526810000000002E-2</v>
      </c>
      <c r="R1598">
        <v>-0.4373552</v>
      </c>
      <c r="S1598">
        <v>2.1832280000000002</v>
      </c>
      <c r="T1598">
        <v>-0.42125820000000003</v>
      </c>
      <c r="U1598">
        <v>-2.4230040000000002</v>
      </c>
      <c r="V1598">
        <v>0.123097499999999</v>
      </c>
      <c r="W1598">
        <v>5.9902379999999998E-2</v>
      </c>
      <c r="X1598">
        <v>0.99058500000000005</v>
      </c>
      <c r="Y1598">
        <v>0.48477690000000001</v>
      </c>
      <c r="Z1598">
        <v>1.018585E-2</v>
      </c>
      <c r="AA1598">
        <v>0.87457850000000004</v>
      </c>
      <c r="AB1598">
        <v>15</v>
      </c>
      <c r="AC1598">
        <v>5.6535000000000002</v>
      </c>
      <c r="AD1598">
        <v>-1.1095033282009901</v>
      </c>
      <c r="AE1598">
        <v>-6.3465999999999596</v>
      </c>
      <c r="AF1598">
        <v>4.1037406079145304</v>
      </c>
      <c r="AG1598">
        <v>-1.1095033282009901</v>
      </c>
      <c r="AH1598">
        <v>7.2801264052184704</v>
      </c>
      <c r="AI1598">
        <v>97.5624747387551</v>
      </c>
      <c r="AJ1598">
        <v>60.590442012222702</v>
      </c>
      <c r="AK1598">
        <v>8.4304166616066603</v>
      </c>
      <c r="AL1598">
        <v>86.565790407928503</v>
      </c>
      <c r="AM1598">
        <v>82.916312072813298</v>
      </c>
      <c r="AN1598">
        <v>0.99999996593045604</v>
      </c>
    </row>
    <row r="1599" spans="1:40" x14ac:dyDescent="0.25">
      <c r="A1599" t="str">
        <f>"20190312153918781"</f>
        <v>20190312153918781</v>
      </c>
      <c r="B1599" t="str">
        <f>"1552376358777064"</f>
        <v>1552376358777064</v>
      </c>
      <c r="C1599" t="s">
        <v>40</v>
      </c>
      <c r="D1599">
        <v>4.3352969999999997</v>
      </c>
      <c r="E1599">
        <v>0.64770300000000003</v>
      </c>
      <c r="F1599" t="s">
        <v>49</v>
      </c>
      <c r="G1599">
        <v>-200.07830000000001</v>
      </c>
      <c r="H1599" s="1">
        <v>-6.347462E-6</v>
      </c>
      <c r="I1599">
        <v>358.18459999999999</v>
      </c>
      <c r="J1599">
        <v>-206.06469999999999</v>
      </c>
      <c r="K1599">
        <v>1.1095010000000001</v>
      </c>
      <c r="L1599">
        <v>364.8922</v>
      </c>
      <c r="M1599">
        <v>0.94544300000000003</v>
      </c>
      <c r="N1599">
        <v>0</v>
      </c>
      <c r="O1599">
        <v>-0.32549450000000002</v>
      </c>
      <c r="P1599">
        <v>0.89742569999999999</v>
      </c>
      <c r="Q1599">
        <v>4.6980269999999998E-2</v>
      </c>
      <c r="R1599">
        <v>-0.43865730000000003</v>
      </c>
      <c r="S1599">
        <v>2.182617</v>
      </c>
      <c r="T1599">
        <v>-0.3982251</v>
      </c>
      <c r="U1599">
        <v>-2.4198909999999998</v>
      </c>
      <c r="V1599">
        <v>0.12279089999999999</v>
      </c>
      <c r="W1599">
        <v>6.0353599999999903E-2</v>
      </c>
      <c r="X1599">
        <v>0.99059569999999997</v>
      </c>
      <c r="Y1599">
        <v>0.48295260000000001</v>
      </c>
      <c r="Z1599">
        <v>9.9908110000000005E-3</v>
      </c>
      <c r="AA1599">
        <v>0.87558950000000002</v>
      </c>
      <c r="AB1599">
        <v>15</v>
      </c>
      <c r="AC1599">
        <v>5.9863999999999704</v>
      </c>
      <c r="AD1599">
        <v>-1.1095073474619901</v>
      </c>
      <c r="AE1599">
        <v>-6.70760000000001</v>
      </c>
      <c r="AF1599">
        <v>4.3276237147555996</v>
      </c>
      <c r="AG1599">
        <v>-1.1095073474619901</v>
      </c>
      <c r="AH1599">
        <v>7.72616759688768</v>
      </c>
      <c r="AI1599">
        <v>97.141291883064895</v>
      </c>
      <c r="AJ1599">
        <v>60.745698697817801</v>
      </c>
      <c r="AK1599">
        <v>8.9248529010726205</v>
      </c>
      <c r="AL1599">
        <v>86.539890667182803</v>
      </c>
      <c r="AM1599">
        <v>82.933852450117698</v>
      </c>
      <c r="AN1599">
        <v>1.00000000150713</v>
      </c>
    </row>
    <row r="1600" spans="1:40" x14ac:dyDescent="0.25">
      <c r="A1600" t="str">
        <f>"20190312153918799"</f>
        <v>20190312153918799</v>
      </c>
      <c r="B1600" t="str">
        <f>"1552376358787800"</f>
        <v>1552376358787800</v>
      </c>
      <c r="C1600" t="s">
        <v>40</v>
      </c>
      <c r="D1600">
        <v>4.386393</v>
      </c>
      <c r="E1600">
        <v>0.64545160000000001</v>
      </c>
      <c r="F1600" t="s">
        <v>49</v>
      </c>
      <c r="G1600">
        <v>-199.70150000000001</v>
      </c>
      <c r="H1600" s="1">
        <v>-6.2664249999999999E-6</v>
      </c>
      <c r="I1600">
        <v>357.99889999999999</v>
      </c>
      <c r="J1600">
        <v>-205.95429999999999</v>
      </c>
      <c r="K1600">
        <v>1.10949599999999</v>
      </c>
      <c r="L1600">
        <v>364.85160000000002</v>
      </c>
      <c r="M1600">
        <v>0.94476309999999997</v>
      </c>
      <c r="N1600">
        <v>0</v>
      </c>
      <c r="O1600">
        <v>-0.32746310000000001</v>
      </c>
      <c r="P1600">
        <v>0.89677809999999902</v>
      </c>
      <c r="Q1600">
        <v>4.76151E-2</v>
      </c>
      <c r="R1600">
        <v>-0.43991140000000001</v>
      </c>
      <c r="S1600">
        <v>2.198715</v>
      </c>
      <c r="T1600">
        <v>-0.3833703</v>
      </c>
      <c r="U1600">
        <v>-2.381866</v>
      </c>
      <c r="V1600">
        <v>0.1221254</v>
      </c>
      <c r="W1600">
        <v>6.0987100000000002E-2</v>
      </c>
      <c r="X1600">
        <v>0.99063920000000005</v>
      </c>
      <c r="Y1600">
        <v>0.47114299999999998</v>
      </c>
      <c r="Z1600">
        <v>1.0720250000000001E-2</v>
      </c>
      <c r="AA1600">
        <v>0.88199169999999905</v>
      </c>
      <c r="AB1600">
        <v>15</v>
      </c>
      <c r="AC1600">
        <v>6.2527999999999704</v>
      </c>
      <c r="AD1600">
        <v>-1.1095022664249901</v>
      </c>
      <c r="AE1600">
        <v>-6.85270000000002</v>
      </c>
      <c r="AF1600">
        <v>4.3646056089977598</v>
      </c>
      <c r="AG1600">
        <v>-1.1095022664249901</v>
      </c>
      <c r="AH1600">
        <v>8.0372301598559108</v>
      </c>
      <c r="AI1600">
        <v>96.916861043853203</v>
      </c>
      <c r="AJ1600">
        <v>61.4958946385782</v>
      </c>
      <c r="AK1600">
        <v>9.2129173470619197</v>
      </c>
      <c r="AL1600">
        <v>86.503526910102394</v>
      </c>
      <c r="AM1600">
        <v>82.972070925587104</v>
      </c>
      <c r="AN1600">
        <v>1.0000000321341</v>
      </c>
    </row>
    <row r="1601" spans="1:40" x14ac:dyDescent="0.25">
      <c r="A1601" t="str">
        <f>"20190312153918811"</f>
        <v>20190312153918811</v>
      </c>
      <c r="B1601" t="str">
        <f>"1552376358807320"</f>
        <v>1552376358807320</v>
      </c>
      <c r="C1601" t="s">
        <v>40</v>
      </c>
      <c r="D1601">
        <v>4.3959929999999998</v>
      </c>
      <c r="E1601">
        <v>0.64221470000000003</v>
      </c>
      <c r="F1601" t="s">
        <v>49</v>
      </c>
      <c r="G1601">
        <v>-199.49170000000001</v>
      </c>
      <c r="H1601" s="1">
        <v>-6.2013189999999997E-6</v>
      </c>
      <c r="I1601">
        <v>357.90230000000003</v>
      </c>
      <c r="J1601">
        <v>-205.87719999999999</v>
      </c>
      <c r="K1601">
        <v>1.109494</v>
      </c>
      <c r="L1601">
        <v>364.82299999999998</v>
      </c>
      <c r="M1601">
        <v>0.94428190000000001</v>
      </c>
      <c r="N1601">
        <v>0</v>
      </c>
      <c r="O1601">
        <v>-0.32884760000000002</v>
      </c>
      <c r="P1601">
        <v>0.89632040000000002</v>
      </c>
      <c r="Q1601">
        <v>4.7518190000000002E-2</v>
      </c>
      <c r="R1601">
        <v>-0.44085410000000003</v>
      </c>
      <c r="S1601">
        <v>2.203217</v>
      </c>
      <c r="T1601">
        <v>-0.37825009999999998</v>
      </c>
      <c r="U1601">
        <v>-2.3691409999999999</v>
      </c>
      <c r="V1601">
        <v>0.1217131</v>
      </c>
      <c r="W1601">
        <v>6.0888579999999998E-2</v>
      </c>
      <c r="X1601">
        <v>0.99069600000000002</v>
      </c>
      <c r="Y1601">
        <v>0.4666498</v>
      </c>
      <c r="Z1601">
        <v>1.107086E-2</v>
      </c>
      <c r="AA1601">
        <v>0.88437289999999902</v>
      </c>
      <c r="AB1601">
        <v>15</v>
      </c>
      <c r="AC1601">
        <v>6.3854999999999702</v>
      </c>
      <c r="AD1601">
        <v>-1.1095002013190001</v>
      </c>
      <c r="AE1601">
        <v>-6.9207000000000098</v>
      </c>
      <c r="AF1601">
        <v>4.37492306624039</v>
      </c>
      <c r="AG1601">
        <v>-1.1095002013190001</v>
      </c>
      <c r="AH1601">
        <v>8.1926248065252594</v>
      </c>
      <c r="AI1601">
        <v>96.812310294760096</v>
      </c>
      <c r="AJ1601">
        <v>61.897448769948902</v>
      </c>
      <c r="AK1601">
        <v>9.3536112679938803</v>
      </c>
      <c r="AL1601">
        <v>86.509182196684804</v>
      </c>
      <c r="AM1601">
        <v>82.995958995451105</v>
      </c>
      <c r="AN1601">
        <v>1.00000003115101</v>
      </c>
    </row>
    <row r="1602" spans="1:40" x14ac:dyDescent="0.25">
      <c r="A1602" t="str">
        <f>"20190312153918822"</f>
        <v>20190312153918822</v>
      </c>
      <c r="B1602" t="str">
        <f>"1552376358817081"</f>
        <v>1552376358817081</v>
      </c>
      <c r="C1602" t="s">
        <v>40</v>
      </c>
      <c r="D1602">
        <v>4.407089</v>
      </c>
      <c r="E1602">
        <v>0.64115089999999997</v>
      </c>
      <c r="F1602" t="s">
        <v>49</v>
      </c>
      <c r="G1602">
        <v>-199.2688</v>
      </c>
      <c r="H1602" s="1">
        <v>-6.1347870000000004E-6</v>
      </c>
      <c r="I1602">
        <v>357.8075</v>
      </c>
      <c r="J1602">
        <v>-205.80529999999999</v>
      </c>
      <c r="K1602">
        <v>1.109491</v>
      </c>
      <c r="L1602">
        <v>364.79629999999997</v>
      </c>
      <c r="M1602">
        <v>0.94382980000000005</v>
      </c>
      <c r="N1602">
        <v>0</v>
      </c>
      <c r="O1602">
        <v>-0.33014359999999998</v>
      </c>
      <c r="P1602">
        <v>0.89589110000000005</v>
      </c>
      <c r="Q1602">
        <v>4.763332E-2</v>
      </c>
      <c r="R1602">
        <v>-0.44171319999999997</v>
      </c>
      <c r="S1602">
        <v>2.2118069999999999</v>
      </c>
      <c r="T1602">
        <v>-0.37134909999999999</v>
      </c>
      <c r="U1602">
        <v>-2.3480829999999999</v>
      </c>
      <c r="V1602">
        <v>0.12130580000000001</v>
      </c>
      <c r="W1602">
        <v>6.1002800000000003E-2</v>
      </c>
      <c r="X1602">
        <v>0.99073889999999998</v>
      </c>
      <c r="Y1602">
        <v>0.45984560000000002</v>
      </c>
      <c r="Z1602">
        <v>1.1504199999999999E-2</v>
      </c>
      <c r="AA1602">
        <v>0.88792439999999995</v>
      </c>
      <c r="AB1602">
        <v>15</v>
      </c>
      <c r="AC1602">
        <v>6.5364999999999798</v>
      </c>
      <c r="AD1602">
        <v>-1.109497134787</v>
      </c>
      <c r="AE1602">
        <v>-6.9887999999999604</v>
      </c>
      <c r="AF1602">
        <v>4.3797983242246996</v>
      </c>
      <c r="AG1602">
        <v>-1.109497134787</v>
      </c>
      <c r="AH1602">
        <v>8.36500606998138</v>
      </c>
      <c r="AI1602">
        <v>96.701726585539404</v>
      </c>
      <c r="AJ1602">
        <v>62.364084532653898</v>
      </c>
      <c r="AK1602">
        <v>9.5072048365335693</v>
      </c>
      <c r="AL1602">
        <v>86.502625587582202</v>
      </c>
      <c r="AM1602">
        <v>83.019464922244197</v>
      </c>
      <c r="AN1602">
        <v>1.00000000334734</v>
      </c>
    </row>
    <row r="1603" spans="1:40" x14ac:dyDescent="0.25">
      <c r="A1603" t="str">
        <f>"20190312153918834"</f>
        <v>20190312153918834</v>
      </c>
      <c r="B1603" t="str">
        <f>"1552376358827816"</f>
        <v>1552376358827816</v>
      </c>
      <c r="C1603" t="s">
        <v>40</v>
      </c>
      <c r="D1603">
        <v>4.3570010000000003</v>
      </c>
      <c r="E1603">
        <v>0.64030189999999998</v>
      </c>
      <c r="F1603" t="s">
        <v>49</v>
      </c>
      <c r="G1603">
        <v>-199.14490000000001</v>
      </c>
      <c r="H1603" s="1">
        <v>-6.0954359999999901E-6</v>
      </c>
      <c r="I1603">
        <v>357.74770000000001</v>
      </c>
      <c r="J1603">
        <v>-205.7319</v>
      </c>
      <c r="K1603">
        <v>1.1094869999999999</v>
      </c>
      <c r="L1603">
        <v>364.76889999999997</v>
      </c>
      <c r="M1603">
        <v>0.94336430000000004</v>
      </c>
      <c r="N1603">
        <v>0</v>
      </c>
      <c r="O1603">
        <v>-0.33147080000000001</v>
      </c>
      <c r="P1603">
        <v>0.89530609999999999</v>
      </c>
      <c r="Q1603">
        <v>4.7812180000000003E-2</v>
      </c>
      <c r="R1603">
        <v>-0.4428783</v>
      </c>
      <c r="S1603">
        <v>2.2133639999999999</v>
      </c>
      <c r="T1603">
        <v>-0.36870829999999999</v>
      </c>
      <c r="U1603">
        <v>-2.3423769999999999</v>
      </c>
      <c r="V1603">
        <v>0.12120549999999999</v>
      </c>
      <c r="W1603">
        <v>6.1178910000000003E-2</v>
      </c>
      <c r="X1603">
        <v>0.99074030000000002</v>
      </c>
      <c r="Y1603">
        <v>0.45723900000000001</v>
      </c>
      <c r="Z1603">
        <v>1.1765009999999999E-2</v>
      </c>
      <c r="AA1603">
        <v>0.889266</v>
      </c>
      <c r="AB1603">
        <v>15</v>
      </c>
      <c r="AC1603">
        <v>6.5869999999999802</v>
      </c>
      <c r="AD1603">
        <v>-1.1094930954359901</v>
      </c>
      <c r="AE1603">
        <v>-7.0211999999999604</v>
      </c>
      <c r="AF1603">
        <v>4.38237217655794</v>
      </c>
      <c r="AG1603">
        <v>-1.1094930954359901</v>
      </c>
      <c r="AH1603">
        <v>8.4301171209702996</v>
      </c>
      <c r="AI1603">
        <v>96.660519024744801</v>
      </c>
      <c r="AJ1603">
        <v>62.5324634078532</v>
      </c>
      <c r="AK1603">
        <v>9.5657219014544808</v>
      </c>
      <c r="AL1603">
        <v>86.492516289048694</v>
      </c>
      <c r="AM1603">
        <v>83.0251895629807</v>
      </c>
      <c r="AN1603">
        <v>0.99999998715156302</v>
      </c>
    </row>
    <row r="1604" spans="1:40" x14ac:dyDescent="0.25">
      <c r="A1604" t="str">
        <f>"20190312153918847"</f>
        <v>20190312153918847</v>
      </c>
      <c r="B1604" t="str">
        <f>"1552376358837576"</f>
        <v>1552376358837576</v>
      </c>
      <c r="C1604" t="s">
        <v>40</v>
      </c>
      <c r="D1604">
        <v>4.3430049999999998</v>
      </c>
      <c r="E1604">
        <v>0.63943130000000004</v>
      </c>
      <c r="F1604" t="s">
        <v>49</v>
      </c>
      <c r="G1604">
        <v>-199.0258</v>
      </c>
      <c r="H1604" s="1">
        <v>-6.0547849999999998E-6</v>
      </c>
      <c r="I1604">
        <v>357.68189999999998</v>
      </c>
      <c r="J1604">
        <v>-205.6559</v>
      </c>
      <c r="K1604">
        <v>1.109486</v>
      </c>
      <c r="L1604">
        <v>364.74040000000002</v>
      </c>
      <c r="M1604">
        <v>0.94287619999999905</v>
      </c>
      <c r="N1604">
        <v>0</v>
      </c>
      <c r="O1604">
        <v>-0.33285690000000001</v>
      </c>
      <c r="P1604">
        <v>0.89463869999999901</v>
      </c>
      <c r="Q1604">
        <v>4.7661170000000003E-2</v>
      </c>
      <c r="R1604">
        <v>-0.44424150000000001</v>
      </c>
      <c r="S1604">
        <v>2.213333</v>
      </c>
      <c r="T1604">
        <v>-0.36618430000000002</v>
      </c>
      <c r="U1604">
        <v>-2.3390499999999999</v>
      </c>
      <c r="V1604">
        <v>0.1212558</v>
      </c>
      <c r="W1604">
        <v>6.1025179999999998E-2</v>
      </c>
      <c r="X1604">
        <v>0.99074359999999995</v>
      </c>
      <c r="Y1604">
        <v>0.45533590000000002</v>
      </c>
      <c r="Z1604">
        <v>1.198516E-2</v>
      </c>
      <c r="AA1604">
        <v>0.89023909999999995</v>
      </c>
      <c r="AB1604">
        <v>15</v>
      </c>
      <c r="AC1604">
        <v>6.6300999999999899</v>
      </c>
      <c r="AD1604">
        <v>-1.109492054785</v>
      </c>
      <c r="AE1604">
        <v>-7.0585000000000298</v>
      </c>
      <c r="AF1604">
        <v>4.3912021794819802</v>
      </c>
      <c r="AG1604">
        <v>-1.109492054785</v>
      </c>
      <c r="AH1604">
        <v>8.4902111478022508</v>
      </c>
      <c r="AI1604">
        <v>96.620862937395998</v>
      </c>
      <c r="AJ1604">
        <v>62.651648760137</v>
      </c>
      <c r="AK1604">
        <v>9.6227498426896592</v>
      </c>
      <c r="AL1604">
        <v>86.501340767233401</v>
      </c>
      <c r="AM1604">
        <v>83.022346574230795</v>
      </c>
      <c r="AN1604">
        <v>0.99999996128431501</v>
      </c>
    </row>
    <row r="1605" spans="1:40" x14ac:dyDescent="0.25">
      <c r="A1605" t="str">
        <f>"20190312153918860"</f>
        <v>20190312153918860</v>
      </c>
      <c r="B1605" t="str">
        <f>"1552376358847336"</f>
        <v>1552376358847336</v>
      </c>
      <c r="C1605" t="s">
        <v>40</v>
      </c>
      <c r="D1605">
        <v>4.4187519999999996</v>
      </c>
      <c r="E1605">
        <v>0.63812219999999997</v>
      </c>
      <c r="F1605" t="s">
        <v>49</v>
      </c>
      <c r="G1605">
        <v>-198.94450000000001</v>
      </c>
      <c r="H1605" s="1">
        <v>-6.0332619999999997E-6</v>
      </c>
      <c r="I1605">
        <v>357.65550000000002</v>
      </c>
      <c r="J1605">
        <v>-205.5772</v>
      </c>
      <c r="K1605">
        <v>1.10948</v>
      </c>
      <c r="L1605">
        <v>364.71080000000001</v>
      </c>
      <c r="M1605">
        <v>0.94236770000000003</v>
      </c>
      <c r="N1605">
        <v>0</v>
      </c>
      <c r="O1605">
        <v>-0.33429429999999999</v>
      </c>
      <c r="P1605">
        <v>0.89389019999999997</v>
      </c>
      <c r="Q1605">
        <v>4.763738E-2</v>
      </c>
      <c r="R1605">
        <v>-0.44574809999999998</v>
      </c>
      <c r="S1605">
        <v>2.21286</v>
      </c>
      <c r="T1605">
        <v>-0.36581649999999999</v>
      </c>
      <c r="U1605">
        <v>-2.3359679999999998</v>
      </c>
      <c r="V1605">
        <v>0.12141449999999999</v>
      </c>
      <c r="W1605">
        <v>6.0998040000000003E-2</v>
      </c>
      <c r="X1605">
        <v>0.99072590000000005</v>
      </c>
      <c r="Y1605">
        <v>0.45350620000000003</v>
      </c>
      <c r="Z1605">
        <v>1.2275360000000001E-2</v>
      </c>
      <c r="AA1605">
        <v>0.89116859999999998</v>
      </c>
      <c r="AB1605">
        <v>15</v>
      </c>
      <c r="AC1605">
        <v>6.6326999999999998</v>
      </c>
      <c r="AD1605">
        <v>-1.109486033262</v>
      </c>
      <c r="AE1605">
        <v>-7.0552999999999804</v>
      </c>
      <c r="AF1605">
        <v>4.3744102561173204</v>
      </c>
      <c r="AG1605">
        <v>-1.109486033262</v>
      </c>
      <c r="AH1605">
        <v>8.4982484652522192</v>
      </c>
      <c r="AI1605">
        <v>96.621209799095794</v>
      </c>
      <c r="AJ1605">
        <v>62.763191522453397</v>
      </c>
      <c r="AK1605">
        <v>9.6221957641688807</v>
      </c>
      <c r="AL1605">
        <v>86.502898901239305</v>
      </c>
      <c r="AM1605">
        <v>83.013180812253793</v>
      </c>
      <c r="AN1605">
        <v>1.0000000253124499</v>
      </c>
    </row>
    <row r="1606" spans="1:40" x14ac:dyDescent="0.25">
      <c r="A1606" t="str">
        <f>"20190312153918878"</f>
        <v>20190312153918878</v>
      </c>
      <c r="B1606" t="str">
        <f>"1552376358867832"</f>
        <v>1552376358867832</v>
      </c>
      <c r="C1606" t="s">
        <v>40</v>
      </c>
      <c r="D1606">
        <v>4.4173679999999997</v>
      </c>
      <c r="E1606">
        <v>0.63608290000000001</v>
      </c>
      <c r="F1606" t="s">
        <v>49</v>
      </c>
      <c r="G1606">
        <v>-198.89340000000001</v>
      </c>
      <c r="H1606" s="1">
        <v>-6.0317319999999901E-6</v>
      </c>
      <c r="I1606">
        <v>357.6748</v>
      </c>
      <c r="J1606">
        <v>-205.46459999999999</v>
      </c>
      <c r="K1606">
        <v>1.1094759999999999</v>
      </c>
      <c r="L1606">
        <v>364.66800000000001</v>
      </c>
      <c r="M1606">
        <v>0.94163070000000004</v>
      </c>
      <c r="N1606">
        <v>0</v>
      </c>
      <c r="O1606">
        <v>-0.3363642</v>
      </c>
      <c r="P1606">
        <v>0.89262129999999995</v>
      </c>
      <c r="Q1606">
        <v>4.6866749999999999E-2</v>
      </c>
      <c r="R1606">
        <v>-0.44836490000000001</v>
      </c>
      <c r="S1606">
        <v>2.2136689999999999</v>
      </c>
      <c r="T1606">
        <v>-0.36745990000000001</v>
      </c>
      <c r="U1606">
        <v>-2.330292</v>
      </c>
      <c r="V1606">
        <v>0.12212489999999999</v>
      </c>
      <c r="W1606">
        <v>6.0221759999999999E-2</v>
      </c>
      <c r="X1606">
        <v>0.99068610000000001</v>
      </c>
      <c r="Y1606">
        <v>0.45032299999999997</v>
      </c>
      <c r="Z1606">
        <v>1.280192E-2</v>
      </c>
      <c r="AA1606">
        <v>0.89277390000000001</v>
      </c>
      <c r="AB1606">
        <v>15</v>
      </c>
      <c r="AC1606">
        <v>6.57119999999997</v>
      </c>
      <c r="AD1606">
        <v>-1.109482031732</v>
      </c>
      <c r="AE1606">
        <v>-6.9931999999999999</v>
      </c>
      <c r="AF1606">
        <v>4.3173999610348597</v>
      </c>
      <c r="AG1606">
        <v>-1.109482031732</v>
      </c>
      <c r="AH1606">
        <v>8.4280585673645305</v>
      </c>
      <c r="AI1606">
        <v>96.682495940170696</v>
      </c>
      <c r="AJ1606">
        <v>62.875522129570598</v>
      </c>
      <c r="AK1606">
        <v>9.5343098343407497</v>
      </c>
      <c r="AL1606">
        <v>86.547458476120795</v>
      </c>
      <c r="AM1606">
        <v>82.972428791700906</v>
      </c>
      <c r="AN1606">
        <v>1.0000000501553501</v>
      </c>
    </row>
    <row r="1607" spans="1:40" x14ac:dyDescent="0.25">
      <c r="A1607" t="str">
        <f>"20190312153918889"</f>
        <v>20190312153918889</v>
      </c>
      <c r="B1607" t="str">
        <f>"1552376358877592"</f>
        <v>1552376358877592</v>
      </c>
      <c r="C1607" t="s">
        <v>40</v>
      </c>
      <c r="D1607">
        <v>4.4336260000000003</v>
      </c>
      <c r="E1607">
        <v>0.63530799999999998</v>
      </c>
      <c r="F1607" t="s">
        <v>49</v>
      </c>
      <c r="G1607">
        <v>-198.87289999999999</v>
      </c>
      <c r="H1607" s="1">
        <v>-6.0555739999999998E-6</v>
      </c>
      <c r="I1607">
        <v>357.75560000000002</v>
      </c>
      <c r="J1607">
        <v>-205.38919999999999</v>
      </c>
      <c r="K1607">
        <v>1.1094759999999999</v>
      </c>
      <c r="L1607">
        <v>364.63929999999999</v>
      </c>
      <c r="M1607">
        <v>0.94113250000000004</v>
      </c>
      <c r="N1607">
        <v>0</v>
      </c>
      <c r="O1607">
        <v>-0.33775579999999999</v>
      </c>
      <c r="P1607">
        <v>0.89183989999999902</v>
      </c>
      <c r="Q1607">
        <v>4.6344679999999999E-2</v>
      </c>
      <c r="R1607">
        <v>-0.44997130000000002</v>
      </c>
      <c r="S1607">
        <v>2.214172</v>
      </c>
      <c r="T1607">
        <v>-0.3726778</v>
      </c>
      <c r="U1607">
        <v>-2.3218990000000002</v>
      </c>
      <c r="V1607">
        <v>0.1224336</v>
      </c>
      <c r="W1607">
        <v>5.9697699999999999E-2</v>
      </c>
      <c r="X1607">
        <v>0.99067969999999905</v>
      </c>
      <c r="Y1607">
        <v>0.44729400000000002</v>
      </c>
      <c r="Z1607">
        <v>1.337518E-2</v>
      </c>
      <c r="AA1607">
        <v>0.89428700000000005</v>
      </c>
      <c r="AB1607">
        <v>15</v>
      </c>
      <c r="AC1607">
        <v>6.5163000000000002</v>
      </c>
      <c r="AD1607">
        <v>-1.1094820555739999</v>
      </c>
      <c r="AE1607">
        <v>-6.88369999999997</v>
      </c>
      <c r="AF1607">
        <v>4.2201455951759996</v>
      </c>
      <c r="AG1607">
        <v>-1.1094820555739999</v>
      </c>
      <c r="AH1607">
        <v>8.3441983877509198</v>
      </c>
      <c r="AI1607">
        <v>96.766651981412593</v>
      </c>
      <c r="AJ1607">
        <v>63.171627106386097</v>
      </c>
      <c r="AK1607">
        <v>9.4162745292535508</v>
      </c>
      <c r="AL1607">
        <v>86.577538969887101</v>
      </c>
      <c r="AM1607">
        <v>82.9547981539761</v>
      </c>
      <c r="AN1607">
        <v>1.0000000348931599</v>
      </c>
    </row>
    <row r="1608" spans="1:40" x14ac:dyDescent="0.25">
      <c r="A1608" t="str">
        <f>"20190312153918901"</f>
        <v>20190312153918901</v>
      </c>
      <c r="B1608" t="str">
        <f>"1552376358887352"</f>
        <v>1552376358887352</v>
      </c>
      <c r="C1608" t="s">
        <v>40</v>
      </c>
      <c r="D1608">
        <v>4.4177939999999998</v>
      </c>
      <c r="E1608">
        <v>0.63460609999999995</v>
      </c>
      <c r="F1608" t="s">
        <v>49</v>
      </c>
      <c r="G1608">
        <v>-198.8443</v>
      </c>
      <c r="H1608" s="1">
        <v>-6.058137E-6</v>
      </c>
      <c r="I1608">
        <v>357.77659999999997</v>
      </c>
      <c r="J1608">
        <v>-205.31979999999999</v>
      </c>
      <c r="K1608">
        <v>1.1094759999999999</v>
      </c>
      <c r="L1608">
        <v>364.61259999999999</v>
      </c>
      <c r="M1608">
        <v>0.94067049999999997</v>
      </c>
      <c r="N1608">
        <v>0</v>
      </c>
      <c r="O1608">
        <v>-0.33904020000000001</v>
      </c>
      <c r="P1608">
        <v>0.89104189999999905</v>
      </c>
      <c r="Q1608">
        <v>4.612571E-2</v>
      </c>
      <c r="R1608">
        <v>-0.45157140000000001</v>
      </c>
      <c r="S1608">
        <v>2.2127379999999999</v>
      </c>
      <c r="T1608">
        <v>-0.37509550000000003</v>
      </c>
      <c r="U1608">
        <v>-2.3201290000000001</v>
      </c>
      <c r="V1608">
        <v>0.122855199999999</v>
      </c>
      <c r="W1608">
        <v>5.9475420000000001E-2</v>
      </c>
      <c r="X1608">
        <v>0.99064079999999999</v>
      </c>
      <c r="Y1608">
        <v>0.4460266</v>
      </c>
      <c r="Z1608">
        <v>1.371518E-2</v>
      </c>
      <c r="AA1608">
        <v>0.8949146</v>
      </c>
      <c r="AB1608">
        <v>15</v>
      </c>
      <c r="AC1608">
        <v>6.4754999999999798</v>
      </c>
      <c r="AD1608">
        <v>-1.109482058137</v>
      </c>
      <c r="AE1608">
        <v>-6.8360000000000101</v>
      </c>
      <c r="AF1608">
        <v>4.1773762021437904</v>
      </c>
      <c r="AG1608">
        <v>-1.109482058137</v>
      </c>
      <c r="AH1608">
        <v>8.2946344211837992</v>
      </c>
      <c r="AI1608">
        <v>96.812498061548894</v>
      </c>
      <c r="AJ1608">
        <v>63.2690820170424</v>
      </c>
      <c r="AK1608">
        <v>9.3532017273579804</v>
      </c>
      <c r="AL1608">
        <v>86.590297090131102</v>
      </c>
      <c r="AM1608">
        <v>82.930508269058393</v>
      </c>
      <c r="AN1608">
        <v>0.99999996018792703</v>
      </c>
    </row>
    <row r="1609" spans="1:40" x14ac:dyDescent="0.25">
      <c r="A1609" t="str">
        <f>"20190312153918912"</f>
        <v>20190312153918912</v>
      </c>
      <c r="B1609" t="str">
        <f>"1552376358907848"</f>
        <v>1552376358907848</v>
      </c>
      <c r="C1609" t="s">
        <v>40</v>
      </c>
      <c r="D1609">
        <v>4.4244560000000002</v>
      </c>
      <c r="E1609">
        <v>0.63324150000000001</v>
      </c>
      <c r="F1609" t="s">
        <v>49</v>
      </c>
      <c r="G1609">
        <v>-198.81039999999999</v>
      </c>
      <c r="H1609" s="1">
        <v>-6.0560689999999997E-6</v>
      </c>
      <c r="I1609">
        <v>357.78629999999998</v>
      </c>
      <c r="J1609">
        <v>-205.2482</v>
      </c>
      <c r="K1609">
        <v>1.109477</v>
      </c>
      <c r="L1609">
        <v>364.58510000000001</v>
      </c>
      <c r="M1609">
        <v>0.94019180000000002</v>
      </c>
      <c r="N1609">
        <v>0</v>
      </c>
      <c r="O1609">
        <v>-0.34036569999999999</v>
      </c>
      <c r="P1609">
        <v>0.89018390000000003</v>
      </c>
      <c r="Q1609">
        <v>4.5694249999999999E-2</v>
      </c>
      <c r="R1609">
        <v>-0.45330419999999999</v>
      </c>
      <c r="S1609">
        <v>2.211166</v>
      </c>
      <c r="T1609">
        <v>-0.37687860000000001</v>
      </c>
      <c r="U1609">
        <v>-2.318848</v>
      </c>
      <c r="V1609">
        <v>0.12337770000000001</v>
      </c>
      <c r="W1609">
        <v>5.9041299999999998E-2</v>
      </c>
      <c r="X1609">
        <v>0.99060190000000004</v>
      </c>
      <c r="Y1609">
        <v>0.44484319999999999</v>
      </c>
      <c r="Z1609">
        <v>1.4033840000000001E-2</v>
      </c>
      <c r="AA1609">
        <v>0.89549849999999998</v>
      </c>
      <c r="AB1609">
        <v>15</v>
      </c>
      <c r="AC1609">
        <v>6.43780000000001</v>
      </c>
      <c r="AD1609">
        <v>-1.1094830560690001</v>
      </c>
      <c r="AE1609">
        <v>-6.7988000000000204</v>
      </c>
      <c r="AF1609">
        <v>4.1431957745873396</v>
      </c>
      <c r="AG1609">
        <v>-1.1094830560690001</v>
      </c>
      <c r="AH1609">
        <v>8.2517798630731001</v>
      </c>
      <c r="AI1609">
        <v>96.851706223547893</v>
      </c>
      <c r="AJ1609">
        <v>63.338899752271303</v>
      </c>
      <c r="AK1609">
        <v>9.2999405797500305</v>
      </c>
      <c r="AL1609">
        <v>86.615214352556293</v>
      </c>
      <c r="AM1609">
        <v>82.900472113962707</v>
      </c>
      <c r="AN1609">
        <v>1.0000000281232899</v>
      </c>
    </row>
    <row r="1610" spans="1:40" x14ac:dyDescent="0.25">
      <c r="A1610" t="str">
        <f>"20190312153918923"</f>
        <v>20190312153918923</v>
      </c>
      <c r="B1610" t="str">
        <f>"1552376358917608"</f>
        <v>1552376358917608</v>
      </c>
      <c r="C1610" t="s">
        <v>40</v>
      </c>
      <c r="D1610">
        <v>4.4069379999999896</v>
      </c>
      <c r="E1610">
        <v>0.6326562</v>
      </c>
      <c r="F1610" t="s">
        <v>49</v>
      </c>
      <c r="G1610">
        <v>-198.79069999999999</v>
      </c>
      <c r="H1610" s="1">
        <v>-6.0674539999999999E-6</v>
      </c>
      <c r="I1610">
        <v>357.8295</v>
      </c>
      <c r="J1610">
        <v>-205.18350000000001</v>
      </c>
      <c r="K1610">
        <v>1.1094759999999999</v>
      </c>
      <c r="L1610">
        <v>364.56009999999998</v>
      </c>
      <c r="M1610">
        <v>0.93975620000000004</v>
      </c>
      <c r="N1610">
        <v>0</v>
      </c>
      <c r="O1610">
        <v>-0.3415666</v>
      </c>
      <c r="P1610">
        <v>0.88939210000000002</v>
      </c>
      <c r="Q1610">
        <v>4.5125949999999998E-2</v>
      </c>
      <c r="R1610">
        <v>-0.4549127</v>
      </c>
      <c r="S1610">
        <v>2.211487</v>
      </c>
      <c r="T1610">
        <v>-0.37995790000000002</v>
      </c>
      <c r="U1610">
        <v>-2.3135680000000001</v>
      </c>
      <c r="V1610">
        <v>0.1238911</v>
      </c>
      <c r="W1610">
        <v>5.8470559999999998E-2</v>
      </c>
      <c r="X1610">
        <v>0.9905716</v>
      </c>
      <c r="Y1610">
        <v>0.44262170000000001</v>
      </c>
      <c r="Z1610">
        <v>1.446281E-2</v>
      </c>
      <c r="AA1610">
        <v>0.89659179999999905</v>
      </c>
      <c r="AB1610">
        <v>15</v>
      </c>
      <c r="AC1610">
        <v>6.3928000000000198</v>
      </c>
      <c r="AD1610">
        <v>-1.109482067454</v>
      </c>
      <c r="AE1610">
        <v>-6.7305999999999804</v>
      </c>
      <c r="AF1610">
        <v>4.0836149713647796</v>
      </c>
      <c r="AG1610">
        <v>-1.109482067454</v>
      </c>
      <c r="AH1610">
        <v>8.1904103972804592</v>
      </c>
      <c r="AI1610">
        <v>96.912159910572299</v>
      </c>
      <c r="AJ1610">
        <v>63.499848811376403</v>
      </c>
      <c r="AK1610">
        <v>9.2189849857908204</v>
      </c>
      <c r="AL1610">
        <v>86.647971685523004</v>
      </c>
      <c r="AM1610">
        <v>82.871017029803696</v>
      </c>
      <c r="AN1610">
        <v>0.99999995288624</v>
      </c>
    </row>
    <row r="1611" spans="1:40" x14ac:dyDescent="0.25">
      <c r="A1611" t="str">
        <f>"20190312153918944"</f>
        <v>20190312153918944</v>
      </c>
      <c r="B1611" t="str">
        <f>"1552376358937128"</f>
        <v>1552376358937128</v>
      </c>
      <c r="C1611" t="s">
        <v>40</v>
      </c>
      <c r="D1611">
        <v>4.4501489999999997</v>
      </c>
      <c r="E1611">
        <v>0.63162719999999895</v>
      </c>
      <c r="F1611" t="s">
        <v>49</v>
      </c>
      <c r="G1611">
        <v>-198.76990000000001</v>
      </c>
      <c r="H1611" s="1">
        <v>-6.07016899999999E-6</v>
      </c>
      <c r="I1611">
        <v>357.84719999999999</v>
      </c>
      <c r="J1611">
        <v>-205.05350000000001</v>
      </c>
      <c r="K1611">
        <v>1.1094710000000001</v>
      </c>
      <c r="L1611">
        <v>364.50959999999998</v>
      </c>
      <c r="M1611">
        <v>0.93887619999999905</v>
      </c>
      <c r="N1611">
        <v>0</v>
      </c>
      <c r="O1611">
        <v>-0.34397850000000002</v>
      </c>
      <c r="P1611">
        <v>0.88777240000000002</v>
      </c>
      <c r="Q1611">
        <v>4.447197E-2</v>
      </c>
      <c r="R1611">
        <v>-0.45813029999999999</v>
      </c>
      <c r="S1611">
        <v>2.2095639999999999</v>
      </c>
      <c r="T1611">
        <v>-0.38223420000000002</v>
      </c>
      <c r="U1611">
        <v>-2.3126829999999998</v>
      </c>
      <c r="V1611">
        <v>0.1249205</v>
      </c>
      <c r="W1611">
        <v>5.7812210000000003E-2</v>
      </c>
      <c r="X1611">
        <v>0.99048099999999994</v>
      </c>
      <c r="Y1611">
        <v>0.44055569999999999</v>
      </c>
      <c r="Z1611">
        <v>1.500482E-2</v>
      </c>
      <c r="AA1611">
        <v>0.89759990000000001</v>
      </c>
      <c r="AB1611">
        <v>15</v>
      </c>
      <c r="AC1611">
        <v>6.2835999999999999</v>
      </c>
      <c r="AD1611">
        <v>-1.10947707016899</v>
      </c>
      <c r="AE1611">
        <v>-6.6623999999999901</v>
      </c>
      <c r="AF1611">
        <v>4.03491638516474</v>
      </c>
      <c r="AG1611">
        <v>-1.10947707016899</v>
      </c>
      <c r="AH1611">
        <v>8.0735326896418993</v>
      </c>
      <c r="AI1611">
        <v>97.007915732538606</v>
      </c>
      <c r="AJ1611">
        <v>63.445452734839002</v>
      </c>
      <c r="AK1611">
        <v>9.0935922327327905</v>
      </c>
      <c r="AL1611">
        <v>86.685756429293306</v>
      </c>
      <c r="AM1611">
        <v>82.811749355966995</v>
      </c>
      <c r="AN1611">
        <v>0.99999999715316701</v>
      </c>
    </row>
    <row r="1612" spans="1:40" x14ac:dyDescent="0.25">
      <c r="A1612" t="str">
        <f>"20190312153918956"</f>
        <v>20190312153918956</v>
      </c>
      <c r="B1612" t="str">
        <f>"1552376358947864"</f>
        <v>1552376358947864</v>
      </c>
      <c r="C1612" t="s">
        <v>40</v>
      </c>
      <c r="D1612">
        <v>4.4224930000000002</v>
      </c>
      <c r="E1612">
        <v>0.63112950000000001</v>
      </c>
      <c r="F1612" t="s">
        <v>49</v>
      </c>
      <c r="G1612">
        <v>-198.69300000000001</v>
      </c>
      <c r="H1612" s="1">
        <v>-6.0533780000000002E-6</v>
      </c>
      <c r="I1612">
        <v>357.8329</v>
      </c>
      <c r="J1612">
        <v>-204.98070000000001</v>
      </c>
      <c r="K1612">
        <v>1.1094759999999999</v>
      </c>
      <c r="L1612">
        <v>364.48110000000003</v>
      </c>
      <c r="M1612">
        <v>0.9383804</v>
      </c>
      <c r="N1612">
        <v>0</v>
      </c>
      <c r="O1612">
        <v>-0.34532869999999999</v>
      </c>
      <c r="P1612">
        <v>0.88683840000000003</v>
      </c>
      <c r="Q1612">
        <v>4.3828140000000002E-2</v>
      </c>
      <c r="R1612">
        <v>-0.45999630000000002</v>
      </c>
      <c r="S1612">
        <v>2.2043910000000002</v>
      </c>
      <c r="T1612">
        <v>-0.38451930000000001</v>
      </c>
      <c r="U1612">
        <v>-2.313965</v>
      </c>
      <c r="V1612">
        <v>0.12556610000000001</v>
      </c>
      <c r="W1612">
        <v>5.7165750000000001E-2</v>
      </c>
      <c r="X1612">
        <v>0.99043689999999995</v>
      </c>
      <c r="Y1612">
        <v>0.44056210000000001</v>
      </c>
      <c r="Z1612">
        <v>1.5281390000000001E-2</v>
      </c>
      <c r="AA1612">
        <v>0.8975921</v>
      </c>
      <c r="AB1612">
        <v>15</v>
      </c>
      <c r="AC1612">
        <v>6.2877000000000196</v>
      </c>
      <c r="AD1612">
        <v>-1.1094820533779901</v>
      </c>
      <c r="AE1612">
        <v>-6.6482000000000303</v>
      </c>
      <c r="AF1612">
        <v>4.0086737934008703</v>
      </c>
      <c r="AG1612">
        <v>-1.1094820533779901</v>
      </c>
      <c r="AH1612">
        <v>8.0780945137487699</v>
      </c>
      <c r="AI1612">
        <v>97.013805660956706</v>
      </c>
      <c r="AJ1612">
        <v>63.607552625611099</v>
      </c>
      <c r="AK1612">
        <v>9.0860347226788001</v>
      </c>
      <c r="AL1612">
        <v>86.722857263471695</v>
      </c>
      <c r="AM1612">
        <v>82.774673125399104</v>
      </c>
      <c r="AN1612">
        <v>1.00000001066194</v>
      </c>
    </row>
    <row r="1613" spans="1:40" x14ac:dyDescent="0.25">
      <c r="A1613" t="str">
        <f>"20190312153918968"</f>
        <v>20190312153918968</v>
      </c>
      <c r="B1613" t="str">
        <f>"1552376358957625"</f>
        <v>1552376358957625</v>
      </c>
      <c r="C1613" t="s">
        <v>40</v>
      </c>
      <c r="D1613">
        <v>4.4447900000000002</v>
      </c>
      <c r="E1613">
        <v>0.63074229999999998</v>
      </c>
      <c r="F1613" t="s">
        <v>49</v>
      </c>
      <c r="G1613">
        <v>-198.6583</v>
      </c>
      <c r="H1613" s="1">
        <v>-6.0477270000000002E-6</v>
      </c>
      <c r="I1613">
        <v>357.83229999999998</v>
      </c>
      <c r="J1613">
        <v>-204.91120000000001</v>
      </c>
      <c r="K1613">
        <v>1.1094790000000001</v>
      </c>
      <c r="L1613">
        <v>364.4538</v>
      </c>
      <c r="M1613">
        <v>0.9379054</v>
      </c>
      <c r="N1613">
        <v>0</v>
      </c>
      <c r="O1613">
        <v>-0.34661720000000001</v>
      </c>
      <c r="P1613">
        <v>0.88615730000000004</v>
      </c>
      <c r="Q1613">
        <v>4.35778E-2</v>
      </c>
      <c r="R1613">
        <v>-0.46133160000000001</v>
      </c>
      <c r="S1613">
        <v>2.2012019999999999</v>
      </c>
      <c r="T1613">
        <v>-0.38627889999999998</v>
      </c>
      <c r="U1613">
        <v>-2.31488</v>
      </c>
      <c r="V1613">
        <v>0.12569159999999999</v>
      </c>
      <c r="W1613">
        <v>5.6915340000000002E-2</v>
      </c>
      <c r="X1613">
        <v>0.99043539999999997</v>
      </c>
      <c r="Y1613">
        <v>0.44015910000000003</v>
      </c>
      <c r="Z1613">
        <v>1.5553269999999999E-2</v>
      </c>
      <c r="AA1613">
        <v>0.8977851</v>
      </c>
      <c r="AB1613">
        <v>15</v>
      </c>
      <c r="AC1613">
        <v>6.2529000000000101</v>
      </c>
      <c r="AD1613">
        <v>-1.109485047727</v>
      </c>
      <c r="AE1613">
        <v>-6.6215000000000197</v>
      </c>
      <c r="AF1613">
        <v>3.9842320347029299</v>
      </c>
      <c r="AG1613">
        <v>-1.109485047727</v>
      </c>
      <c r="AH1613">
        <v>8.0411903825068798</v>
      </c>
      <c r="AI1613">
        <v>97.047806748910602</v>
      </c>
      <c r="AJ1613">
        <v>63.642601833304802</v>
      </c>
      <c r="AK1613">
        <v>9.0424446221806694</v>
      </c>
      <c r="AL1613">
        <v>86.737228088191202</v>
      </c>
      <c r="AM1613">
        <v>82.767517195377394</v>
      </c>
      <c r="AN1613">
        <v>1.00000000790551</v>
      </c>
    </row>
    <row r="1614" spans="1:40" x14ac:dyDescent="0.25">
      <c r="A1614" t="str">
        <f>"20190312153918980"</f>
        <v>20190312153918980</v>
      </c>
      <c r="B1614" t="str">
        <f>"1552376358967384"</f>
        <v>1552376358967384</v>
      </c>
      <c r="C1614" t="s">
        <v>40</v>
      </c>
      <c r="D1614">
        <v>4.4469580000000004</v>
      </c>
      <c r="E1614">
        <v>0.63028469999999903</v>
      </c>
      <c r="F1614" t="s">
        <v>49</v>
      </c>
      <c r="G1614">
        <v>-198.61330000000001</v>
      </c>
      <c r="H1614" s="1">
        <v>-6.0373550000000002E-6</v>
      </c>
      <c r="I1614">
        <v>357.82229999999998</v>
      </c>
      <c r="J1614">
        <v>-204.83879999999999</v>
      </c>
      <c r="K1614">
        <v>1.109486</v>
      </c>
      <c r="L1614">
        <v>364.42529999999999</v>
      </c>
      <c r="M1614">
        <v>0.93740829999999997</v>
      </c>
      <c r="N1614">
        <v>0</v>
      </c>
      <c r="O1614">
        <v>-0.34795920000000002</v>
      </c>
      <c r="P1614">
        <v>0.88529360000000001</v>
      </c>
      <c r="Q1614">
        <v>4.3190970000000002E-2</v>
      </c>
      <c r="R1614">
        <v>-0.4630224</v>
      </c>
      <c r="S1614">
        <v>2.19902</v>
      </c>
      <c r="T1614">
        <v>-0.38739709999999999</v>
      </c>
      <c r="U1614">
        <v>-2.3155209999999999</v>
      </c>
      <c r="V1614">
        <v>0.12615689999999999</v>
      </c>
      <c r="W1614">
        <v>5.6526380000000001E-2</v>
      </c>
      <c r="X1614">
        <v>0.99039849999999996</v>
      </c>
      <c r="Y1614">
        <v>0.43945149999999999</v>
      </c>
      <c r="Z1614">
        <v>1.5826030000000001E-2</v>
      </c>
      <c r="AA1614">
        <v>0.89812689999999995</v>
      </c>
      <c r="AB1614">
        <v>15</v>
      </c>
      <c r="AC1614">
        <v>6.2254999999999798</v>
      </c>
      <c r="AD1614">
        <v>-1.1094920373549999</v>
      </c>
      <c r="AE1614">
        <v>-6.6029999999999998</v>
      </c>
      <c r="AF1614">
        <v>3.9646108552131198</v>
      </c>
      <c r="AG1614">
        <v>-1.1094920373549999</v>
      </c>
      <c r="AH1614">
        <v>8.0143928417093893</v>
      </c>
      <c r="AI1614">
        <v>97.073381569965605</v>
      </c>
      <c r="AJ1614">
        <v>63.679025252382601</v>
      </c>
      <c r="AK1614">
        <v>9.0099724991517292</v>
      </c>
      <c r="AL1614">
        <v>86.759549738968801</v>
      </c>
      <c r="AM1614">
        <v>82.740760635118406</v>
      </c>
      <c r="AN1614">
        <v>0.99999999192788203</v>
      </c>
    </row>
    <row r="1615" spans="1:40" x14ac:dyDescent="0.25">
      <c r="A1615" t="str">
        <f>"20190312153918991"</f>
        <v>20190312153918991</v>
      </c>
      <c r="B1615" t="str">
        <f>"1552376358987880"</f>
        <v>1552376358987880</v>
      </c>
      <c r="C1615" t="s">
        <v>40</v>
      </c>
      <c r="D1615">
        <v>4.4492019999999997</v>
      </c>
      <c r="E1615">
        <v>0.62958990000000004</v>
      </c>
      <c r="F1615" t="s">
        <v>49</v>
      </c>
      <c r="G1615">
        <v>-198.56460000000001</v>
      </c>
      <c r="H1615" s="1">
        <v>-6.0245929999999999E-6</v>
      </c>
      <c r="I1615">
        <v>357.80689999999998</v>
      </c>
      <c r="J1615">
        <v>-204.76179999999999</v>
      </c>
      <c r="K1615">
        <v>1.109491</v>
      </c>
      <c r="L1615">
        <v>364.39479999999998</v>
      </c>
      <c r="M1615">
        <v>0.93687810000000005</v>
      </c>
      <c r="N1615">
        <v>0</v>
      </c>
      <c r="O1615">
        <v>-0.34938419999999998</v>
      </c>
      <c r="P1615">
        <v>0.88457559999999902</v>
      </c>
      <c r="Q1615">
        <v>4.293686E-2</v>
      </c>
      <c r="R1615">
        <v>-0.46441640000000001</v>
      </c>
      <c r="S1615">
        <v>2.1960600000000001</v>
      </c>
      <c r="T1615">
        <v>-0.38834170000000001</v>
      </c>
      <c r="U1615">
        <v>-2.3165589999999998</v>
      </c>
      <c r="V1615">
        <v>0.12620490000000001</v>
      </c>
      <c r="W1615">
        <v>5.6272160000000002E-2</v>
      </c>
      <c r="X1615">
        <v>0.99040689999999998</v>
      </c>
      <c r="Y1615">
        <v>0.4388994</v>
      </c>
      <c r="Z1615">
        <v>1.6094890000000001E-2</v>
      </c>
      <c r="AA1615">
        <v>0.89839199999999997</v>
      </c>
      <c r="AB1615">
        <v>15</v>
      </c>
      <c r="AC1615">
        <v>6.1971999999999801</v>
      </c>
      <c r="AD1615">
        <v>-1.109497024593</v>
      </c>
      <c r="AE1615">
        <v>-6.5878999999999897</v>
      </c>
      <c r="AF1615">
        <v>3.9478308185753002</v>
      </c>
      <c r="AG1615">
        <v>-1.109497024593</v>
      </c>
      <c r="AH1615">
        <v>7.9882948540574601</v>
      </c>
      <c r="AI1615">
        <v>97.097638865852204</v>
      </c>
      <c r="AJ1615">
        <v>63.701328170004302</v>
      </c>
      <c r="AK1615">
        <v>8.9793767319917404</v>
      </c>
      <c r="AL1615">
        <v>86.774138817013494</v>
      </c>
      <c r="AM1615">
        <v>82.738089063159904</v>
      </c>
      <c r="AN1615">
        <v>1.0000000301713401</v>
      </c>
    </row>
    <row r="1616" spans="1:40" x14ac:dyDescent="0.25">
      <c r="A1616" t="str">
        <f>"20190312153919012"</f>
        <v>20190312153919012</v>
      </c>
      <c r="B1616" t="str">
        <f>"1552376358997640"</f>
        <v>1552376358997640</v>
      </c>
      <c r="C1616" t="s">
        <v>40</v>
      </c>
      <c r="D1616">
        <v>4.4745419999999996</v>
      </c>
      <c r="E1616">
        <v>0.62923009999999902</v>
      </c>
      <c r="F1616" t="s">
        <v>49</v>
      </c>
      <c r="G1616">
        <v>-198.51089999999999</v>
      </c>
      <c r="H1616" s="1">
        <v>-6.0145209999999997E-6</v>
      </c>
      <c r="I1616">
        <v>357.80189999999999</v>
      </c>
      <c r="J1616">
        <v>-204.64269999999999</v>
      </c>
      <c r="K1616">
        <v>1.10949599999999</v>
      </c>
      <c r="L1616">
        <v>364.34739999999999</v>
      </c>
      <c r="M1616">
        <v>0.93605510000000003</v>
      </c>
      <c r="N1616">
        <v>0</v>
      </c>
      <c r="O1616">
        <v>-0.35158319999999998</v>
      </c>
      <c r="P1616">
        <v>0.88342989999999999</v>
      </c>
      <c r="Q1616">
        <v>4.3131030000000001E-2</v>
      </c>
      <c r="R1616">
        <v>-0.46657409999999999</v>
      </c>
      <c r="S1616">
        <v>2.1949160000000001</v>
      </c>
      <c r="T1616">
        <v>-0.38958569999999998</v>
      </c>
      <c r="U1616">
        <v>-2.3150330000000001</v>
      </c>
      <c r="V1616">
        <v>0.1262993</v>
      </c>
      <c r="W1616">
        <v>5.6465439999999999E-2</v>
      </c>
      <c r="X1616">
        <v>0.99038389999999998</v>
      </c>
      <c r="Y1616">
        <v>0.43675049999999999</v>
      </c>
      <c r="Z1616">
        <v>1.6589349999999999E-2</v>
      </c>
      <c r="AA1616">
        <v>0.899429699999999</v>
      </c>
      <c r="AB1616">
        <v>15</v>
      </c>
      <c r="AC1616">
        <v>6.1317999999999904</v>
      </c>
      <c r="AD1616">
        <v>-1.10950201452099</v>
      </c>
      <c r="AE1616">
        <v>-6.5454999999999997</v>
      </c>
      <c r="AF1616">
        <v>3.9116294901279498</v>
      </c>
      <c r="AG1616">
        <v>-1.10950201452099</v>
      </c>
      <c r="AH1616">
        <v>7.9205484848075303</v>
      </c>
      <c r="AI1616">
        <v>97.158717907460499</v>
      </c>
      <c r="AJ1616">
        <v>63.717149507356901</v>
      </c>
      <c r="AK1616">
        <v>8.9031976440182294</v>
      </c>
      <c r="AL1616">
        <v>86.763047163717403</v>
      </c>
      <c r="AM1616">
        <v>82.732548309836304</v>
      </c>
      <c r="AN1616">
        <v>1.0000000642370399</v>
      </c>
    </row>
    <row r="1617" spans="1:40" x14ac:dyDescent="0.25">
      <c r="A1617" t="str">
        <f>"20190312153919023"</f>
        <v>20190312153919023</v>
      </c>
      <c r="B1617" t="str">
        <f>"1552376359017160"</f>
        <v>1552376359017160</v>
      </c>
      <c r="C1617" t="s">
        <v>40</v>
      </c>
      <c r="D1617">
        <v>4.4939099999999996</v>
      </c>
      <c r="E1617">
        <v>0.62863829999999998</v>
      </c>
      <c r="F1617" t="s">
        <v>49</v>
      </c>
      <c r="G1617">
        <v>-198.3903</v>
      </c>
      <c r="H1617" s="1">
        <v>-5.9720319999999998E-6</v>
      </c>
      <c r="I1617">
        <v>357.7312</v>
      </c>
      <c r="J1617">
        <v>-204.5703</v>
      </c>
      <c r="K1617">
        <v>1.109502</v>
      </c>
      <c r="L1617">
        <v>364.31849999999997</v>
      </c>
      <c r="M1617">
        <v>0.9355521</v>
      </c>
      <c r="N1617">
        <v>0</v>
      </c>
      <c r="O1617">
        <v>-0.35291980000000001</v>
      </c>
      <c r="P1617">
        <v>0.882907</v>
      </c>
      <c r="Q1617">
        <v>4.3130549999999997E-2</v>
      </c>
      <c r="R1617">
        <v>-0.46756320000000001</v>
      </c>
      <c r="S1617">
        <v>2.190582</v>
      </c>
      <c r="T1617">
        <v>-0.3887195</v>
      </c>
      <c r="U1617">
        <v>-2.3180239999999999</v>
      </c>
      <c r="V1617">
        <v>0.12599279999999999</v>
      </c>
      <c r="W1617">
        <v>5.6465439999999999E-2</v>
      </c>
      <c r="X1617">
        <v>0.99042280000000005</v>
      </c>
      <c r="Y1617">
        <v>0.43694260000000001</v>
      </c>
      <c r="Z1617">
        <v>1.672038E-2</v>
      </c>
      <c r="AA1617">
        <v>0.89933399999999997</v>
      </c>
      <c r="AB1617">
        <v>15</v>
      </c>
      <c r="AC1617">
        <v>6.18</v>
      </c>
      <c r="AD1617">
        <v>-1.109507972032</v>
      </c>
      <c r="AE1617">
        <v>-6.5872999999999697</v>
      </c>
      <c r="AF1617">
        <v>3.9229046552638702</v>
      </c>
      <c r="AG1617">
        <v>-1.109507972032</v>
      </c>
      <c r="AH1617">
        <v>7.9867607336232203</v>
      </c>
      <c r="AI1617">
        <v>97.107492145719704</v>
      </c>
      <c r="AJ1617">
        <v>63.840840137912203</v>
      </c>
      <c r="AK1617">
        <v>8.9670806782608601</v>
      </c>
      <c r="AL1617">
        <v>86.763046719542601</v>
      </c>
      <c r="AM1617">
        <v>82.750278623844906</v>
      </c>
      <c r="AN1617">
        <v>0.99999992716303399</v>
      </c>
    </row>
    <row r="1618" spans="1:40" x14ac:dyDescent="0.25">
      <c r="A1618" t="str">
        <f>"20190312153919035"</f>
        <v>20190312153919035</v>
      </c>
      <c r="B1618" t="str">
        <f>"1552376359027896"</f>
        <v>1552376359027896</v>
      </c>
      <c r="C1618" t="s">
        <v>40</v>
      </c>
      <c r="D1618">
        <v>4.4697490000000002</v>
      </c>
      <c r="E1618">
        <v>0.62834719999999999</v>
      </c>
      <c r="F1618" t="s">
        <v>49</v>
      </c>
      <c r="G1618">
        <v>-198.33500000000001</v>
      </c>
      <c r="H1618" s="1">
        <v>-5.9610129999999999E-6</v>
      </c>
      <c r="I1618">
        <v>357.72410000000002</v>
      </c>
      <c r="J1618">
        <v>-204.4974</v>
      </c>
      <c r="K1618">
        <v>1.1095120000000001</v>
      </c>
      <c r="L1618">
        <v>364.28919999999999</v>
      </c>
      <c r="M1618">
        <v>0.93504430000000005</v>
      </c>
      <c r="N1618">
        <v>0</v>
      </c>
      <c r="O1618">
        <v>-0.35426340000000001</v>
      </c>
      <c r="P1618">
        <v>0.88243660000000002</v>
      </c>
      <c r="Q1618">
        <v>4.352114E-2</v>
      </c>
      <c r="R1618">
        <v>-0.46841440000000001</v>
      </c>
      <c r="S1618">
        <v>2.1902309999999998</v>
      </c>
      <c r="T1618">
        <v>-0.38972669999999998</v>
      </c>
      <c r="U1618">
        <v>-2.3163450000000001</v>
      </c>
      <c r="V1618">
        <v>0.125532</v>
      </c>
      <c r="W1618">
        <v>5.6856770000000001E-2</v>
      </c>
      <c r="X1618">
        <v>0.99045899999999998</v>
      </c>
      <c r="Y1618">
        <v>0.43541200000000002</v>
      </c>
      <c r="Z1618">
        <v>1.7050630000000001E-2</v>
      </c>
      <c r="AA1618">
        <v>0.90006980000000003</v>
      </c>
      <c r="AB1618">
        <v>14</v>
      </c>
      <c r="AC1618">
        <v>6.1623999999999901</v>
      </c>
      <c r="AD1618">
        <v>-1.1095179610129999</v>
      </c>
      <c r="AE1618">
        <v>-6.56509999999997</v>
      </c>
      <c r="AF1618">
        <v>3.8967544084492198</v>
      </c>
      <c r="AG1618">
        <v>-1.1095179610129999</v>
      </c>
      <c r="AH1618">
        <v>7.9676795480486602</v>
      </c>
      <c r="AI1618">
        <v>97.130272315129005</v>
      </c>
      <c r="AJ1618">
        <v>63.938122186629499</v>
      </c>
      <c r="AK1618">
        <v>8.9386599893928107</v>
      </c>
      <c r="AL1618">
        <v>86.740589328923903</v>
      </c>
      <c r="AM1618">
        <v>82.776774052267001</v>
      </c>
      <c r="AN1618">
        <v>1.0000000029999101</v>
      </c>
    </row>
    <row r="1619" spans="1:40" x14ac:dyDescent="0.25">
      <c r="A1619" t="str">
        <f>"20190312153919048"</f>
        <v>20190312153919048</v>
      </c>
      <c r="B1619" t="str">
        <f>"1552376359037656"</f>
        <v>1552376359037656</v>
      </c>
      <c r="C1619" t="s">
        <v>40</v>
      </c>
      <c r="D1619">
        <v>4.4774770000000004</v>
      </c>
      <c r="E1619">
        <v>0.62802290000000005</v>
      </c>
      <c r="F1619" t="s">
        <v>49</v>
      </c>
      <c r="G1619">
        <v>-198.24029999999999</v>
      </c>
      <c r="H1619" s="1">
        <v>-5.9277489999999999E-6</v>
      </c>
      <c r="I1619">
        <v>357.66890000000001</v>
      </c>
      <c r="J1619">
        <v>-204.4263</v>
      </c>
      <c r="K1619">
        <v>1.1095159999999999</v>
      </c>
      <c r="L1619">
        <v>364.26049999999998</v>
      </c>
      <c r="M1619">
        <v>0.93454729999999997</v>
      </c>
      <c r="N1619">
        <v>0</v>
      </c>
      <c r="O1619">
        <v>-0.355572099999999</v>
      </c>
      <c r="P1619">
        <v>0.88175579999999998</v>
      </c>
      <c r="Q1619">
        <v>4.3678429999999997E-2</v>
      </c>
      <c r="R1619">
        <v>-0.46967989999999998</v>
      </c>
      <c r="S1619">
        <v>2.1892849999999999</v>
      </c>
      <c r="T1619">
        <v>-0.38820389999999999</v>
      </c>
      <c r="U1619">
        <v>-2.3163450000000001</v>
      </c>
      <c r="V1619">
        <v>0.12556889999999901</v>
      </c>
      <c r="W1619">
        <v>5.7012930000000003E-2</v>
      </c>
      <c r="X1619">
        <v>0.99044529999999997</v>
      </c>
      <c r="Y1619">
        <v>0.43436580000000002</v>
      </c>
      <c r="Z1619">
        <v>1.722978E-2</v>
      </c>
      <c r="AA1619">
        <v>0.90057180000000003</v>
      </c>
      <c r="AB1619">
        <v>14</v>
      </c>
      <c r="AC1619">
        <v>6.1859999999999999</v>
      </c>
      <c r="AD1619">
        <v>-1.109521927749</v>
      </c>
      <c r="AE1619">
        <v>-6.5915999999999704</v>
      </c>
      <c r="AF1619">
        <v>3.9021829996716</v>
      </c>
      <c r="AG1619">
        <v>-1.109521927749</v>
      </c>
      <c r="AH1619">
        <v>8.0050743961864796</v>
      </c>
      <c r="AI1619">
        <v>97.101780519184999</v>
      </c>
      <c r="AJ1619">
        <v>64.0124479698801</v>
      </c>
      <c r="AK1619">
        <v>8.9743683432073595</v>
      </c>
      <c r="AL1619">
        <v>86.731627334299802</v>
      </c>
      <c r="AM1619">
        <v>82.774574342474594</v>
      </c>
      <c r="AN1619">
        <v>0.999999957563241</v>
      </c>
    </row>
    <row r="1620" spans="1:40" x14ac:dyDescent="0.25">
      <c r="A1620" t="str">
        <f>"20190312153919067"</f>
        <v>20190312153919067</v>
      </c>
      <c r="B1620" t="str">
        <f>"1552376359057176"</f>
        <v>1552376359057176</v>
      </c>
      <c r="C1620" t="s">
        <v>40</v>
      </c>
      <c r="D1620">
        <v>4.5035499999999997</v>
      </c>
      <c r="E1620">
        <v>0.62759690000000001</v>
      </c>
      <c r="F1620" t="s">
        <v>49</v>
      </c>
      <c r="G1620">
        <v>-198.17160000000001</v>
      </c>
      <c r="H1620" s="1">
        <v>-5.9046880000000001E-6</v>
      </c>
      <c r="I1620">
        <v>357.63209999999998</v>
      </c>
      <c r="J1620">
        <v>-204.30950000000001</v>
      </c>
      <c r="K1620">
        <v>1.1095159999999999</v>
      </c>
      <c r="L1620">
        <v>364.2131</v>
      </c>
      <c r="M1620">
        <v>0.93372710000000003</v>
      </c>
      <c r="N1620">
        <v>0</v>
      </c>
      <c r="O1620">
        <v>-0.35772029999999999</v>
      </c>
      <c r="P1620">
        <v>0.88053700000000001</v>
      </c>
      <c r="Q1620">
        <v>4.3111549999999998E-2</v>
      </c>
      <c r="R1620">
        <v>-0.47201300000000002</v>
      </c>
      <c r="S1620">
        <v>2.1870120000000002</v>
      </c>
      <c r="T1620">
        <v>-0.38794990000000001</v>
      </c>
      <c r="U1620">
        <v>-2.3176570000000001</v>
      </c>
      <c r="V1620">
        <v>0.12590180000000001</v>
      </c>
      <c r="W1620">
        <v>5.6443550000000002E-2</v>
      </c>
      <c r="X1620">
        <v>0.99043570000000003</v>
      </c>
      <c r="Y1620">
        <v>0.43303910000000001</v>
      </c>
      <c r="Z1620">
        <v>1.759262E-2</v>
      </c>
      <c r="AA1620">
        <v>0.90120350000000005</v>
      </c>
      <c r="AB1620">
        <v>14</v>
      </c>
      <c r="AC1620">
        <v>6.1379000000000001</v>
      </c>
      <c r="AD1620">
        <v>-1.1095219046879901</v>
      </c>
      <c r="AE1620">
        <v>-6.5810000000000102</v>
      </c>
      <c r="AF1620">
        <v>3.8904425032672201</v>
      </c>
      <c r="AG1620">
        <v>-1.1095219046879901</v>
      </c>
      <c r="AH1620">
        <v>7.9649720500101298</v>
      </c>
      <c r="AI1620">
        <v>97.134440392896806</v>
      </c>
      <c r="AJ1620">
        <v>63.967083114693402</v>
      </c>
      <c r="AK1620">
        <v>8.9334965990732407</v>
      </c>
      <c r="AL1620">
        <v>86.7643031853368</v>
      </c>
      <c r="AM1620">
        <v>82.755552537202107</v>
      </c>
      <c r="AN1620">
        <v>1.0000000067071599</v>
      </c>
    </row>
    <row r="1621" spans="1:40" x14ac:dyDescent="0.25">
      <c r="A1621" t="str">
        <f>"20190312153919080"</f>
        <v>20190312153919080</v>
      </c>
      <c r="B1621" t="str">
        <f>"1552376359067912"</f>
        <v>1552376359067912</v>
      </c>
      <c r="C1621" t="s">
        <v>40</v>
      </c>
      <c r="D1621">
        <v>4.4848840000000001</v>
      </c>
      <c r="E1621">
        <v>0.62735090000000004</v>
      </c>
      <c r="F1621" t="s">
        <v>49</v>
      </c>
      <c r="G1621">
        <v>-198.15690000000001</v>
      </c>
      <c r="H1621" s="1">
        <v>-5.9163600000000004E-6</v>
      </c>
      <c r="I1621">
        <v>357.67380000000003</v>
      </c>
      <c r="J1621">
        <v>-204.23240000000001</v>
      </c>
      <c r="K1621">
        <v>1.109521</v>
      </c>
      <c r="L1621">
        <v>364.18169999999998</v>
      </c>
      <c r="M1621">
        <v>0.93318239999999997</v>
      </c>
      <c r="N1621">
        <v>0</v>
      </c>
      <c r="O1621">
        <v>-0.35913929999999999</v>
      </c>
      <c r="P1621">
        <v>0.87939849999999997</v>
      </c>
      <c r="Q1621">
        <v>4.218885E-2</v>
      </c>
      <c r="R1621">
        <v>-0.47421419999999997</v>
      </c>
      <c r="S1621">
        <v>2.1827239999999999</v>
      </c>
      <c r="T1621">
        <v>-0.39361380000000001</v>
      </c>
      <c r="U1621">
        <v>-2.3198850000000002</v>
      </c>
      <c r="V1621">
        <v>0.1268551</v>
      </c>
      <c r="W1621">
        <v>5.5516120000000002E-2</v>
      </c>
      <c r="X1621">
        <v>0.99036650000000004</v>
      </c>
      <c r="Y1621">
        <v>0.43297530000000001</v>
      </c>
      <c r="Z1621">
        <v>1.8048829999999998E-2</v>
      </c>
      <c r="AA1621">
        <v>0.9012251</v>
      </c>
      <c r="AB1621">
        <v>14</v>
      </c>
      <c r="AC1621">
        <v>6.0754999999999999</v>
      </c>
      <c r="AD1621">
        <v>-1.1095269163599999</v>
      </c>
      <c r="AE1621">
        <v>-6.5078999999999496</v>
      </c>
      <c r="AF1621">
        <v>3.83196190641454</v>
      </c>
      <c r="AG1621">
        <v>-1.1095269163599999</v>
      </c>
      <c r="AH1621">
        <v>7.8850886829832998</v>
      </c>
      <c r="AI1621">
        <v>97.212927922971403</v>
      </c>
      <c r="AJ1621">
        <v>64.081371940209294</v>
      </c>
      <c r="AK1621">
        <v>8.8368323266230906</v>
      </c>
      <c r="AL1621">
        <v>86.817524542697996</v>
      </c>
      <c r="AM1621">
        <v>82.700784040804294</v>
      </c>
      <c r="AN1621">
        <v>1.0000000301490499</v>
      </c>
    </row>
    <row r="1622" spans="1:40" x14ac:dyDescent="0.25">
      <c r="A1622" t="str">
        <f>"20190312153919092"</f>
        <v>20190312153919092</v>
      </c>
      <c r="B1622" t="str">
        <f>"1552376359087433"</f>
        <v>1552376359087433</v>
      </c>
      <c r="C1622" t="s">
        <v>40</v>
      </c>
      <c r="D1622">
        <v>4.4982089999999904</v>
      </c>
      <c r="E1622">
        <v>0.62695610000000002</v>
      </c>
      <c r="F1622" t="s">
        <v>49</v>
      </c>
      <c r="G1622">
        <v>-198.1481</v>
      </c>
      <c r="H1622" s="1">
        <v>-5.9207139999999999E-6</v>
      </c>
      <c r="I1622">
        <v>357.6909</v>
      </c>
      <c r="J1622">
        <v>-204.1585</v>
      </c>
      <c r="K1622">
        <v>1.1095200000000001</v>
      </c>
      <c r="L1622">
        <v>364.15140000000002</v>
      </c>
      <c r="M1622">
        <v>0.93265869999999995</v>
      </c>
      <c r="N1622">
        <v>0</v>
      </c>
      <c r="O1622">
        <v>-0.36049710000000001</v>
      </c>
      <c r="P1622">
        <v>0.8782818</v>
      </c>
      <c r="Q1622">
        <v>4.1461070000000003E-2</v>
      </c>
      <c r="R1622">
        <v>-0.4763424</v>
      </c>
      <c r="S1622">
        <v>2.177689</v>
      </c>
      <c r="T1622">
        <v>-0.39712570000000003</v>
      </c>
      <c r="U1622">
        <v>-2.3232119999999998</v>
      </c>
      <c r="V1622">
        <v>0.12779799999999999</v>
      </c>
      <c r="W1622">
        <v>5.4783859999999997E-2</v>
      </c>
      <c r="X1622">
        <v>0.990286</v>
      </c>
      <c r="Y1622">
        <v>0.43334139999999999</v>
      </c>
      <c r="Z1622">
        <v>1.8372980000000001E-2</v>
      </c>
      <c r="AA1622">
        <v>0.90104260000000003</v>
      </c>
      <c r="AB1622">
        <v>14</v>
      </c>
      <c r="AC1622">
        <v>6.0103999999999997</v>
      </c>
      <c r="AD1622">
        <v>-1.109525920714</v>
      </c>
      <c r="AE1622">
        <v>-6.4605000000000201</v>
      </c>
      <c r="AF1622">
        <v>3.7990115570874599</v>
      </c>
      <c r="AG1622">
        <v>-1.109525920714</v>
      </c>
      <c r="AH1622">
        <v>7.8118862801746998</v>
      </c>
      <c r="AI1622">
        <v>97.27883824992</v>
      </c>
      <c r="AJ1622">
        <v>64.065803882653398</v>
      </c>
      <c r="AK1622">
        <v>8.7572315165240493</v>
      </c>
      <c r="AL1622">
        <v>86.859543745298296</v>
      </c>
      <c r="AM1622">
        <v>82.646530168150505</v>
      </c>
      <c r="AN1622">
        <v>0.99999998095824905</v>
      </c>
    </row>
    <row r="1623" spans="1:40" x14ac:dyDescent="0.25">
      <c r="A1623" t="str">
        <f>"20190312153919104"</f>
        <v>20190312153919104</v>
      </c>
      <c r="B1623" t="str">
        <f>"1552376359097192"</f>
        <v>1552376359097192</v>
      </c>
      <c r="C1623" t="s">
        <v>40</v>
      </c>
      <c r="D1623">
        <v>4.492083</v>
      </c>
      <c r="E1623">
        <v>0.62675990000000004</v>
      </c>
      <c r="F1623" t="s">
        <v>49</v>
      </c>
      <c r="G1623">
        <v>-198.1482</v>
      </c>
      <c r="H1623" s="1">
        <v>-5.9303660000000003E-6</v>
      </c>
      <c r="I1623">
        <v>357.71969999999999</v>
      </c>
      <c r="J1623">
        <v>-204.0891</v>
      </c>
      <c r="K1623">
        <v>1.1095189999999999</v>
      </c>
      <c r="L1623">
        <v>364.12290000000002</v>
      </c>
      <c r="M1623">
        <v>0.93216480000000002</v>
      </c>
      <c r="N1623">
        <v>0</v>
      </c>
      <c r="O1623">
        <v>-0.36177290000000001</v>
      </c>
      <c r="P1623">
        <v>0.877140699999999</v>
      </c>
      <c r="Q1623">
        <v>4.1125990000000001E-2</v>
      </c>
      <c r="R1623">
        <v>-0.4784697</v>
      </c>
      <c r="S1623">
        <v>2.1733090000000002</v>
      </c>
      <c r="T1623">
        <v>-0.4012058</v>
      </c>
      <c r="U1623">
        <v>-2.3257140000000001</v>
      </c>
      <c r="V1623">
        <v>0.1288369</v>
      </c>
      <c r="W1623">
        <v>5.4442959999999999E-2</v>
      </c>
      <c r="X1623">
        <v>0.9901702</v>
      </c>
      <c r="Y1623">
        <v>0.43349169999999998</v>
      </c>
      <c r="Z1623">
        <v>1.8730810000000001E-2</v>
      </c>
      <c r="AA1623">
        <v>0.90096290000000001</v>
      </c>
      <c r="AB1623">
        <v>14</v>
      </c>
      <c r="AC1623">
        <v>5.9408999999999903</v>
      </c>
      <c r="AD1623">
        <v>-1.109524930366</v>
      </c>
      <c r="AE1623">
        <v>-6.4032000000000204</v>
      </c>
      <c r="AF1623">
        <v>3.75928519631502</v>
      </c>
      <c r="AG1623">
        <v>-1.109524930366</v>
      </c>
      <c r="AH1623">
        <v>7.7304126597440703</v>
      </c>
      <c r="AI1623">
        <v>97.354749230530501</v>
      </c>
      <c r="AJ1623">
        <v>64.066431995170106</v>
      </c>
      <c r="AK1623">
        <v>8.6673266148373802</v>
      </c>
      <c r="AL1623">
        <v>86.879105142288793</v>
      </c>
      <c r="AM1623">
        <v>82.586556992865098</v>
      </c>
      <c r="AN1623">
        <v>1.0000000038315999</v>
      </c>
    </row>
    <row r="1624" spans="1:40" x14ac:dyDescent="0.25">
      <c r="A1624" t="str">
        <f>"20190312153919116"</f>
        <v>20190312153919116</v>
      </c>
      <c r="B1624" t="str">
        <f>"1552376359107928"</f>
        <v>1552376359107928</v>
      </c>
      <c r="C1624" t="s">
        <v>40</v>
      </c>
      <c r="D1624">
        <v>4.4488339999999997</v>
      </c>
      <c r="E1624">
        <v>0.6265366</v>
      </c>
      <c r="F1624" t="s">
        <v>49</v>
      </c>
      <c r="G1624">
        <v>-198.1249</v>
      </c>
      <c r="H1624" s="1">
        <v>-5.9248410000000001E-6</v>
      </c>
      <c r="I1624">
        <v>357.71409999999997</v>
      </c>
      <c r="J1624">
        <v>-204.01300000000001</v>
      </c>
      <c r="K1624">
        <v>1.109521</v>
      </c>
      <c r="L1624">
        <v>364.0915</v>
      </c>
      <c r="M1624">
        <v>0.9316198</v>
      </c>
      <c r="N1624">
        <v>0</v>
      </c>
      <c r="O1624">
        <v>-0.36317349999999998</v>
      </c>
      <c r="P1624">
        <v>0.87589479999999997</v>
      </c>
      <c r="Q1624">
        <v>4.0639179999999997E-2</v>
      </c>
      <c r="R1624">
        <v>-0.48078789999999999</v>
      </c>
      <c r="S1624">
        <v>2.1682130000000002</v>
      </c>
      <c r="T1624">
        <v>-0.40335539999999998</v>
      </c>
      <c r="U1624">
        <v>-2.3298649999999999</v>
      </c>
      <c r="V1624">
        <v>0.1299583</v>
      </c>
      <c r="W1624">
        <v>5.3950159999999997E-2</v>
      </c>
      <c r="X1624">
        <v>0.9900506</v>
      </c>
      <c r="Y1624">
        <v>0.4339925</v>
      </c>
      <c r="Z1624">
        <v>1.899087E-2</v>
      </c>
      <c r="AA1624">
        <v>0.90071630000000003</v>
      </c>
      <c r="AB1624">
        <v>14</v>
      </c>
      <c r="AC1624">
        <v>5.8880999999999997</v>
      </c>
      <c r="AD1624">
        <v>-1.109526924841</v>
      </c>
      <c r="AE1624">
        <v>-6.3774000000000202</v>
      </c>
      <c r="AF1624">
        <v>3.7421254344629902</v>
      </c>
      <c r="AG1624">
        <v>-1.109526924841</v>
      </c>
      <c r="AH1624">
        <v>7.6768747731883797</v>
      </c>
      <c r="AI1624">
        <v>97.402154788458901</v>
      </c>
      <c r="AJ1624">
        <v>64.012883191107505</v>
      </c>
      <c r="AK1624">
        <v>8.6121402129446398</v>
      </c>
      <c r="AL1624">
        <v>86.907382003388193</v>
      </c>
      <c r="AM1624">
        <v>82.521864181995099</v>
      </c>
      <c r="AN1624">
        <v>0.99999998503163701</v>
      </c>
    </row>
    <row r="1625" spans="1:40" x14ac:dyDescent="0.25">
      <c r="A1625" t="str">
        <f>"20190312153919127"</f>
        <v>20190312153919127</v>
      </c>
      <c r="B1625" t="str">
        <f>"1552376359117688"</f>
        <v>1552376359117688</v>
      </c>
      <c r="C1625" t="s">
        <v>40</v>
      </c>
      <c r="D1625">
        <v>4.4776889999999998</v>
      </c>
      <c r="E1625">
        <v>0.62634719999999999</v>
      </c>
      <c r="F1625" t="s">
        <v>49</v>
      </c>
      <c r="G1625">
        <v>-198.08840000000001</v>
      </c>
      <c r="H1625" s="1">
        <v>-5.9136590000000002E-6</v>
      </c>
      <c r="I1625">
        <v>357.6977</v>
      </c>
      <c r="J1625">
        <v>-203.953</v>
      </c>
      <c r="K1625">
        <v>1.109523</v>
      </c>
      <c r="L1625">
        <v>364.06659999999999</v>
      </c>
      <c r="M1625">
        <v>0.93118840000000003</v>
      </c>
      <c r="N1625">
        <v>0</v>
      </c>
      <c r="O1625">
        <v>-0.36427799999999999</v>
      </c>
      <c r="P1625">
        <v>0.87478519999999904</v>
      </c>
      <c r="Q1625">
        <v>4.124353E-2</v>
      </c>
      <c r="R1625">
        <v>-0.48275230000000002</v>
      </c>
      <c r="S1625">
        <v>2.1627040000000002</v>
      </c>
      <c r="T1625">
        <v>-0.40502250000000001</v>
      </c>
      <c r="U1625">
        <v>-2.3339840000000001</v>
      </c>
      <c r="V1625">
        <v>0.1310182</v>
      </c>
      <c r="W1625">
        <v>5.4548649999999997E-2</v>
      </c>
      <c r="X1625">
        <v>0.98987809999999998</v>
      </c>
      <c r="Y1625">
        <v>0.43485580000000001</v>
      </c>
      <c r="Z1625">
        <v>1.9165930000000001E-2</v>
      </c>
      <c r="AA1625">
        <v>0.90029619999999999</v>
      </c>
      <c r="AB1625">
        <v>14</v>
      </c>
      <c r="AC1625">
        <v>5.8645999999999896</v>
      </c>
      <c r="AD1625">
        <v>-1.1095289136589901</v>
      </c>
      <c r="AE1625">
        <v>-6.3688999999999902</v>
      </c>
      <c r="AF1625">
        <v>3.7333459986716599</v>
      </c>
      <c r="AG1625">
        <v>-1.1095289136589901</v>
      </c>
      <c r="AH1625">
        <v>7.6560951375199604</v>
      </c>
      <c r="AI1625">
        <v>97.4215250162367</v>
      </c>
      <c r="AJ1625">
        <v>64.0047223738746</v>
      </c>
      <c r="AK1625">
        <v>8.5898032288754909</v>
      </c>
      <c r="AL1625">
        <v>86.873040491079607</v>
      </c>
      <c r="AM1625">
        <v>82.460274868484206</v>
      </c>
      <c r="AN1625">
        <v>0.99999998840383597</v>
      </c>
    </row>
    <row r="1626" spans="1:40" x14ac:dyDescent="0.25">
      <c r="A1626" t="str">
        <f>"20190312153919138"</f>
        <v>20190312153919138</v>
      </c>
      <c r="B1626" t="str">
        <f>"1552376359127449"</f>
        <v>1552376359127449</v>
      </c>
      <c r="C1626" t="s">
        <v>40</v>
      </c>
      <c r="D1626">
        <v>4.461932</v>
      </c>
      <c r="E1626">
        <v>0.62613830000000004</v>
      </c>
      <c r="F1626" t="s">
        <v>49</v>
      </c>
      <c r="G1626">
        <v>-198.01339999999999</v>
      </c>
      <c r="H1626" s="1">
        <v>-5.8809659999999996E-6</v>
      </c>
      <c r="I1626">
        <v>357.63499999999999</v>
      </c>
      <c r="J1626">
        <v>-203.8844</v>
      </c>
      <c r="K1626">
        <v>1.1095280000000001</v>
      </c>
      <c r="L1626">
        <v>364.03809999999999</v>
      </c>
      <c r="M1626">
        <v>0.93069369999999996</v>
      </c>
      <c r="N1626">
        <v>0</v>
      </c>
      <c r="O1626">
        <v>-0.36554029999999998</v>
      </c>
      <c r="P1626">
        <v>0.87379309999999999</v>
      </c>
      <c r="Q1626">
        <v>4.1279719999999999E-2</v>
      </c>
      <c r="R1626">
        <v>-0.4845428</v>
      </c>
      <c r="S1626">
        <v>2.1585390000000002</v>
      </c>
      <c r="T1626">
        <v>-0.40322550000000001</v>
      </c>
      <c r="U1626">
        <v>-2.3373719999999998</v>
      </c>
      <c r="V1626">
        <v>0.13170409999999999</v>
      </c>
      <c r="W1626">
        <v>5.458056E-2</v>
      </c>
      <c r="X1626">
        <v>0.98978529999999998</v>
      </c>
      <c r="Y1626">
        <v>0.43516260000000001</v>
      </c>
      <c r="Z1626">
        <v>1.9236090000000001E-2</v>
      </c>
      <c r="AA1626">
        <v>0.90014640000000001</v>
      </c>
      <c r="AB1626">
        <v>14</v>
      </c>
      <c r="AC1626">
        <v>5.8710000000000004</v>
      </c>
      <c r="AD1626">
        <v>-1.109533880966</v>
      </c>
      <c r="AE1626">
        <v>-6.4030999999999896</v>
      </c>
      <c r="AF1626">
        <v>3.7523888728670798</v>
      </c>
      <c r="AG1626">
        <v>-1.109533880966</v>
      </c>
      <c r="AH1626">
        <v>7.6801522170662198</v>
      </c>
      <c r="AI1626">
        <v>97.395823409862103</v>
      </c>
      <c r="AJ1626">
        <v>63.960669342242397</v>
      </c>
      <c r="AK1626">
        <v>8.6195258433126902</v>
      </c>
      <c r="AL1626">
        <v>86.871209409168998</v>
      </c>
      <c r="AM1626">
        <v>82.420558593741205</v>
      </c>
      <c r="AN1626">
        <v>0.99999997379140604</v>
      </c>
    </row>
    <row r="1627" spans="1:40" x14ac:dyDescent="0.25">
      <c r="A1627" t="str">
        <f>"20190312153919150"</f>
        <v>20190312153919150</v>
      </c>
      <c r="B1627" t="str">
        <f>"1552376359137208"</f>
        <v>1552376359137208</v>
      </c>
      <c r="C1627" t="s">
        <v>40</v>
      </c>
      <c r="D1627">
        <v>4.4931479999999997</v>
      </c>
      <c r="E1627">
        <v>0.62593030000000005</v>
      </c>
      <c r="F1627" t="s">
        <v>49</v>
      </c>
      <c r="G1627">
        <v>-197.95750000000001</v>
      </c>
      <c r="H1627" s="1">
        <v>-5.8602899999999998E-6</v>
      </c>
      <c r="I1627">
        <v>357.59930000000003</v>
      </c>
      <c r="J1627">
        <v>-203.8098</v>
      </c>
      <c r="K1627">
        <v>1.1095280000000001</v>
      </c>
      <c r="L1627">
        <v>364.00689999999997</v>
      </c>
      <c r="M1627">
        <v>0.93015159999999997</v>
      </c>
      <c r="N1627">
        <v>0</v>
      </c>
      <c r="O1627">
        <v>-0.36691760000000001</v>
      </c>
      <c r="P1627">
        <v>0.87256489999999998</v>
      </c>
      <c r="Q1627">
        <v>4.1758240000000002E-2</v>
      </c>
      <c r="R1627">
        <v>-0.48671009999999998</v>
      </c>
      <c r="S1627">
        <v>2.1544650000000001</v>
      </c>
      <c r="T1627">
        <v>-0.4033233</v>
      </c>
      <c r="U1627">
        <v>-2.3405459999999998</v>
      </c>
      <c r="V1627">
        <v>0.13270560000000001</v>
      </c>
      <c r="W1627">
        <v>5.5052869999999997E-2</v>
      </c>
      <c r="X1627">
        <v>0.98962539999999999</v>
      </c>
      <c r="Y1627">
        <v>0.43529390000000001</v>
      </c>
      <c r="Z1627">
        <v>1.9423719999999998E-2</v>
      </c>
      <c r="AA1627">
        <v>0.90007879999999996</v>
      </c>
      <c r="AB1627">
        <v>14</v>
      </c>
      <c r="AC1627">
        <v>5.8522999999999801</v>
      </c>
      <c r="AD1627">
        <v>-1.10953386029</v>
      </c>
      <c r="AE1627">
        <v>-6.40759999999994</v>
      </c>
      <c r="AF1627">
        <v>3.7517575127279299</v>
      </c>
      <c r="AG1627">
        <v>-1.10953386029</v>
      </c>
      <c r="AH1627">
        <v>7.6699427783574299</v>
      </c>
      <c r="AI1627">
        <v>97.403917432345096</v>
      </c>
      <c r="AJ1627">
        <v>63.934401189059002</v>
      </c>
      <c r="AK1627">
        <v>8.6101551696074399</v>
      </c>
      <c r="AL1627">
        <v>86.8441074143294</v>
      </c>
      <c r="AM1627">
        <v>82.362381559480795</v>
      </c>
      <c r="AN1627">
        <v>1.00000001354587</v>
      </c>
    </row>
    <row r="1628" spans="1:40" x14ac:dyDescent="0.25">
      <c r="A1628" t="str">
        <f>"20190312153919161"</f>
        <v>20190312153919161</v>
      </c>
      <c r="B1628" t="str">
        <f>"1552376359157704"</f>
        <v>1552376359157704</v>
      </c>
      <c r="C1628" t="s">
        <v>40</v>
      </c>
      <c r="D1628">
        <v>4.4929459999999999</v>
      </c>
      <c r="E1628">
        <v>0.62595719999999899</v>
      </c>
      <c r="F1628" t="s">
        <v>49</v>
      </c>
      <c r="G1628">
        <v>-197.8922</v>
      </c>
      <c r="H1628" s="1">
        <v>-5.835304E-6</v>
      </c>
      <c r="I1628">
        <v>357.55520000000001</v>
      </c>
      <c r="J1628">
        <v>-203.74809999999999</v>
      </c>
      <c r="K1628">
        <v>1.1095299999999999</v>
      </c>
      <c r="L1628">
        <v>363.98110000000003</v>
      </c>
      <c r="M1628">
        <v>0.92970140000000001</v>
      </c>
      <c r="N1628">
        <v>0</v>
      </c>
      <c r="O1628">
        <v>-0.36805700000000002</v>
      </c>
      <c r="P1628">
        <v>0.87172450000000001</v>
      </c>
      <c r="Q1628">
        <v>4.1651340000000002E-2</v>
      </c>
      <c r="R1628">
        <v>-0.48822290000000002</v>
      </c>
      <c r="S1628">
        <v>2.1499480000000002</v>
      </c>
      <c r="T1628">
        <v>-0.40311069999999999</v>
      </c>
      <c r="U1628">
        <v>-2.3440249999999998</v>
      </c>
      <c r="V1628">
        <v>0.13320789999999999</v>
      </c>
      <c r="W1628">
        <v>5.4941940000000002E-2</v>
      </c>
      <c r="X1628">
        <v>0.98956409999999995</v>
      </c>
      <c r="Y1628">
        <v>0.43580239999999998</v>
      </c>
      <c r="Z1628">
        <v>1.9538420000000001E-2</v>
      </c>
      <c r="AA1628">
        <v>0.89983029999999997</v>
      </c>
      <c r="AB1628">
        <v>14</v>
      </c>
      <c r="AC1628">
        <v>5.8558999999999903</v>
      </c>
      <c r="AD1628">
        <v>-1.1095358353039999</v>
      </c>
      <c r="AE1628">
        <v>-6.4259000000000102</v>
      </c>
      <c r="AF1628">
        <v>3.7580161888589099</v>
      </c>
      <c r="AG1628">
        <v>-1.1095358353039999</v>
      </c>
      <c r="AH1628">
        <v>7.6849074998247202</v>
      </c>
      <c r="AI1628">
        <v>97.390070738550804</v>
      </c>
      <c r="AJ1628">
        <v>63.940786639918301</v>
      </c>
      <c r="AK1628">
        <v>8.62621346399518</v>
      </c>
      <c r="AL1628">
        <v>86.850472935896505</v>
      </c>
      <c r="AM1628">
        <v>82.333346551697701</v>
      </c>
      <c r="AN1628">
        <v>1.00000003470109</v>
      </c>
    </row>
    <row r="1629" spans="1:40" x14ac:dyDescent="0.25">
      <c r="A1629" t="str">
        <f>"20190312153919172"</f>
        <v>20190312153919172</v>
      </c>
      <c r="B1629" t="str">
        <f>"1552376359167465"</f>
        <v>1552376359167465</v>
      </c>
      <c r="C1629" t="s">
        <v>40</v>
      </c>
      <c r="D1629">
        <v>4.4656770000000003</v>
      </c>
      <c r="E1629">
        <v>0.6483255</v>
      </c>
      <c r="F1629" t="s">
        <v>49</v>
      </c>
      <c r="G1629">
        <v>-197.87620000000001</v>
      </c>
      <c r="H1629" s="1">
        <v>-5.8341869999999901E-6</v>
      </c>
      <c r="I1629">
        <v>357.55930000000001</v>
      </c>
      <c r="J1629">
        <v>-203.67920000000001</v>
      </c>
      <c r="K1629">
        <v>1.109526</v>
      </c>
      <c r="L1629">
        <v>363.95209999999997</v>
      </c>
      <c r="M1629">
        <v>0.92919479999999999</v>
      </c>
      <c r="N1629">
        <v>0</v>
      </c>
      <c r="O1629">
        <v>-0.3693342</v>
      </c>
      <c r="P1629">
        <v>0.87066129999999997</v>
      </c>
      <c r="Q1629">
        <v>4.1469970000000002E-2</v>
      </c>
      <c r="R1629">
        <v>-0.4901317</v>
      </c>
      <c r="S1629">
        <v>2.1462249999999998</v>
      </c>
      <c r="T1629">
        <v>-0.4055417</v>
      </c>
      <c r="U1629">
        <v>-2.3471980000000001</v>
      </c>
      <c r="V1629">
        <v>0.1340131</v>
      </c>
      <c r="W1629">
        <v>5.47553E-2</v>
      </c>
      <c r="X1629">
        <v>0.9894657</v>
      </c>
      <c r="Y1629">
        <v>0.43594929999999898</v>
      </c>
      <c r="Z1629">
        <v>1.9822960000000001E-2</v>
      </c>
      <c r="AA1629">
        <v>0.89975289999999997</v>
      </c>
      <c r="AB1629">
        <v>14</v>
      </c>
      <c r="AC1629">
        <v>5.8029999999999902</v>
      </c>
      <c r="AD1629">
        <v>-1.109531834187</v>
      </c>
      <c r="AE1629">
        <v>-6.3927999999999603</v>
      </c>
      <c r="AF1629">
        <v>3.73557706766519</v>
      </c>
      <c r="AG1629">
        <v>-1.109531834187</v>
      </c>
      <c r="AH1629">
        <v>7.6279564434927902</v>
      </c>
      <c r="AI1629">
        <v>97.4425413141538</v>
      </c>
      <c r="AJ1629">
        <v>63.907997875919897</v>
      </c>
      <c r="AK1629">
        <v>8.5657058333428395</v>
      </c>
      <c r="AL1629">
        <v>86.861182672254799</v>
      </c>
      <c r="AM1629">
        <v>82.286802406891994</v>
      </c>
      <c r="AN1629">
        <v>1.0000000126630899</v>
      </c>
    </row>
    <row r="1630" spans="1:40" x14ac:dyDescent="0.25">
      <c r="A1630" t="str">
        <f>"20190312153919184"</f>
        <v>20190312153919184</v>
      </c>
      <c r="B1630" t="str">
        <f>"1552376359177225"</f>
        <v>1552376359177225</v>
      </c>
      <c r="C1630" t="s">
        <v>40</v>
      </c>
      <c r="D1630">
        <v>4.4392649999999998</v>
      </c>
      <c r="E1630">
        <v>0.65033269999999999</v>
      </c>
      <c r="F1630" t="s">
        <v>49</v>
      </c>
      <c r="G1630">
        <v>-198.9194</v>
      </c>
      <c r="H1630" s="1">
        <v>-6.1939650000000004E-6</v>
      </c>
      <c r="I1630">
        <v>358.14729999999997</v>
      </c>
      <c r="J1630">
        <v>-203.61519999999999</v>
      </c>
      <c r="K1630">
        <v>1.1095250000000001</v>
      </c>
      <c r="L1630">
        <v>363.92500000000001</v>
      </c>
      <c r="M1630">
        <v>0.92872129999999997</v>
      </c>
      <c r="N1630">
        <v>0</v>
      </c>
      <c r="O1630">
        <v>-0.37052309999999999</v>
      </c>
      <c r="P1630">
        <v>0.8697471</v>
      </c>
      <c r="Q1630">
        <v>4.0840509999999997E-2</v>
      </c>
      <c r="R1630">
        <v>-0.4918052</v>
      </c>
      <c r="S1630">
        <v>2.05661</v>
      </c>
      <c r="T1630">
        <v>-0.47940840000000001</v>
      </c>
      <c r="U1630">
        <v>-2.5081180000000001</v>
      </c>
      <c r="V1630">
        <v>0.13463720000000001</v>
      </c>
      <c r="W1630">
        <v>5.4121570000000001E-2</v>
      </c>
      <c r="X1630">
        <v>0.98941579999999996</v>
      </c>
      <c r="Y1630">
        <v>0.4820139</v>
      </c>
      <c r="Z1630">
        <v>1.9389130000000001E-2</v>
      </c>
      <c r="AA1630">
        <v>0.87594899999999998</v>
      </c>
      <c r="AB1630">
        <v>14</v>
      </c>
      <c r="AC1630">
        <v>4.6957999999999904</v>
      </c>
      <c r="AD1630">
        <v>-1.1095311939650001</v>
      </c>
      <c r="AE1630">
        <v>-5.7777000000000296</v>
      </c>
      <c r="AF1630">
        <v>3.5475294048537398</v>
      </c>
      <c r="AG1630">
        <v>-1.1095311939650001</v>
      </c>
      <c r="AH1630">
        <v>6.3612048691660297</v>
      </c>
      <c r="AI1630">
        <v>98.661514492240002</v>
      </c>
      <c r="AJ1630">
        <v>60.852378971831797</v>
      </c>
      <c r="AK1630">
        <v>7.3675607724799201</v>
      </c>
      <c r="AL1630">
        <v>86.897546525515494</v>
      </c>
      <c r="AM1630">
        <v>82.250931336147403</v>
      </c>
      <c r="AN1630">
        <v>0.99999997262637197</v>
      </c>
    </row>
    <row r="1631" spans="1:40" x14ac:dyDescent="0.25">
      <c r="A1631" t="str">
        <f>"20190312153919194"</f>
        <v>20190312153919194</v>
      </c>
      <c r="B1631" t="str">
        <f>"1552376359187960"</f>
        <v>1552376359187960</v>
      </c>
      <c r="C1631" t="s">
        <v>40</v>
      </c>
      <c r="D1631">
        <v>4.4035739999999999</v>
      </c>
      <c r="E1631">
        <v>0.65204969999999995</v>
      </c>
      <c r="F1631" t="s">
        <v>49</v>
      </c>
      <c r="G1631">
        <v>-198.93979999999999</v>
      </c>
      <c r="H1631" s="1">
        <v>-6.19766899999999E-6</v>
      </c>
      <c r="I1631">
        <v>358.14890000000003</v>
      </c>
      <c r="J1631">
        <v>-203.5463</v>
      </c>
      <c r="K1631">
        <v>1.1095200000000001</v>
      </c>
      <c r="L1631">
        <v>363.89580000000001</v>
      </c>
      <c r="M1631">
        <v>0.92820879999999995</v>
      </c>
      <c r="N1631">
        <v>0</v>
      </c>
      <c r="O1631">
        <v>-0.37180530000000001</v>
      </c>
      <c r="P1631">
        <v>0.8688323</v>
      </c>
      <c r="Q1631">
        <v>4.0302060000000001E-2</v>
      </c>
      <c r="R1631">
        <v>-0.4934634</v>
      </c>
      <c r="S1631">
        <v>2.0440830000000001</v>
      </c>
      <c r="T1631">
        <v>-0.48508689999999999</v>
      </c>
      <c r="U1631">
        <v>-2.5253299999999999</v>
      </c>
      <c r="V1631">
        <v>0.13514849999999901</v>
      </c>
      <c r="W1631">
        <v>5.3578279999999999E-2</v>
      </c>
      <c r="X1631">
        <v>0.98937569999999997</v>
      </c>
      <c r="Y1631">
        <v>0.48629440000000002</v>
      </c>
      <c r="Z1631">
        <v>1.943421E-2</v>
      </c>
      <c r="AA1631">
        <v>0.87357890000000005</v>
      </c>
      <c r="AB1631">
        <v>14</v>
      </c>
      <c r="AC1631">
        <v>4.6065000000000103</v>
      </c>
      <c r="AD1631">
        <v>-1.1095261976690001</v>
      </c>
      <c r="AE1631">
        <v>-5.7468999999999797</v>
      </c>
      <c r="AF1631">
        <v>3.5415740020049702</v>
      </c>
      <c r="AG1631">
        <v>-1.1095261976690001</v>
      </c>
      <c r="AH1631">
        <v>6.2708215745073996</v>
      </c>
      <c r="AI1631">
        <v>98.758260126538602</v>
      </c>
      <c r="AJ1631">
        <v>60.543527372415703</v>
      </c>
      <c r="AK1631">
        <v>7.2867686949908599</v>
      </c>
      <c r="AL1631">
        <v>86.928720104655497</v>
      </c>
      <c r="AM1631">
        <v>82.221551534713797</v>
      </c>
      <c r="AN1631">
        <v>1.0000000124452399</v>
      </c>
    </row>
    <row r="1632" spans="1:40" x14ac:dyDescent="0.25">
      <c r="A1632" t="str">
        <f>"20190312153919206"</f>
        <v>20190312153919206</v>
      </c>
      <c r="B1632" t="str">
        <f>"1552376359197721"</f>
        <v>1552376359197721</v>
      </c>
      <c r="C1632" t="s">
        <v>40</v>
      </c>
      <c r="D1632">
        <v>4.4123960000000002</v>
      </c>
      <c r="E1632">
        <v>0.65294430000000003</v>
      </c>
      <c r="F1632" t="s">
        <v>49</v>
      </c>
      <c r="G1632">
        <v>-198.96619999999999</v>
      </c>
      <c r="H1632" s="1">
        <v>-6.2087140000000003E-6</v>
      </c>
      <c r="I1632">
        <v>358.1696</v>
      </c>
      <c r="J1632">
        <v>-203.48509999999999</v>
      </c>
      <c r="K1632">
        <v>1.1095139999999999</v>
      </c>
      <c r="L1632">
        <v>363.8698</v>
      </c>
      <c r="M1632">
        <v>0.9277474</v>
      </c>
      <c r="N1632">
        <v>0</v>
      </c>
      <c r="O1632">
        <v>-0.37295539999999999</v>
      </c>
      <c r="P1632">
        <v>0.86802999999999997</v>
      </c>
      <c r="Q1632">
        <v>4.0015580000000002E-2</v>
      </c>
      <c r="R1632">
        <v>-0.49489670000000002</v>
      </c>
      <c r="S1632">
        <v>2.0325009999999999</v>
      </c>
      <c r="T1632">
        <v>-0.49236530000000001</v>
      </c>
      <c r="U1632">
        <v>-2.5411069999999998</v>
      </c>
      <c r="V1632">
        <v>0.13555049999999999</v>
      </c>
      <c r="W1632">
        <v>5.3287349999999997E-2</v>
      </c>
      <c r="X1632">
        <v>0.9893364</v>
      </c>
      <c r="Y1632">
        <v>0.49022209999999999</v>
      </c>
      <c r="Z1632">
        <v>1.954796E-2</v>
      </c>
      <c r="AA1632">
        <v>0.87137830000000005</v>
      </c>
      <c r="AB1632">
        <v>14</v>
      </c>
      <c r="AC1632">
        <v>4.5189000000000004</v>
      </c>
      <c r="AD1632">
        <v>-1.1095202087139999</v>
      </c>
      <c r="AE1632">
        <v>-5.7001999999999899</v>
      </c>
      <c r="AF1632">
        <v>3.52141118100216</v>
      </c>
      <c r="AG1632">
        <v>-1.1095202087139999</v>
      </c>
      <c r="AH1632">
        <v>6.1752459013589496</v>
      </c>
      <c r="AI1632">
        <v>98.871072925935295</v>
      </c>
      <c r="AJ1632">
        <v>60.306209237765501</v>
      </c>
      <c r="AK1632">
        <v>7.1947921263565604</v>
      </c>
      <c r="AL1632">
        <v>86.945412962197196</v>
      </c>
      <c r="AM1632">
        <v>82.198392902343002</v>
      </c>
      <c r="AN1632">
        <v>0.99999999604261602</v>
      </c>
    </row>
    <row r="1633" spans="1:40" x14ac:dyDescent="0.25">
      <c r="A1633" t="str">
        <f>"20190312153919217"</f>
        <v>20190312153919217</v>
      </c>
      <c r="B1633" t="str">
        <f>"1552376359207480"</f>
        <v>1552376359207480</v>
      </c>
      <c r="C1633" t="s">
        <v>40</v>
      </c>
      <c r="D1633">
        <v>4.3893019999999998</v>
      </c>
      <c r="E1633">
        <v>0.65329530000000002</v>
      </c>
      <c r="F1633" t="s">
        <v>49</v>
      </c>
      <c r="G1633">
        <v>-198.9246</v>
      </c>
      <c r="H1633" s="1">
        <v>-6.1871350000000004E-6</v>
      </c>
      <c r="I1633">
        <v>358.12450000000001</v>
      </c>
      <c r="J1633">
        <v>-203.4152</v>
      </c>
      <c r="K1633">
        <v>1.1095090000000001</v>
      </c>
      <c r="L1633">
        <v>363.8399</v>
      </c>
      <c r="M1633">
        <v>0.92721750000000003</v>
      </c>
      <c r="N1633">
        <v>0</v>
      </c>
      <c r="O1633">
        <v>-0.37427060000000001</v>
      </c>
      <c r="P1633">
        <v>0.86692389999999997</v>
      </c>
      <c r="Q1633">
        <v>3.9888510000000002E-2</v>
      </c>
      <c r="R1633">
        <v>-0.49684220000000001</v>
      </c>
      <c r="S1633">
        <v>2.0246279999999999</v>
      </c>
      <c r="T1633">
        <v>-0.49256899999999998</v>
      </c>
      <c r="U1633">
        <v>-2.5505979999999999</v>
      </c>
      <c r="V1633">
        <v>0.13636470000000001</v>
      </c>
      <c r="W1633">
        <v>5.3153560000000002E-2</v>
      </c>
      <c r="X1633">
        <v>0.98923170000000005</v>
      </c>
      <c r="Y1633">
        <v>0.4922086</v>
      </c>
      <c r="Z1633">
        <v>1.9589680000000002E-2</v>
      </c>
      <c r="AA1633">
        <v>0.87025680000000005</v>
      </c>
      <c r="AB1633">
        <v>14</v>
      </c>
      <c r="AC1633">
        <v>4.4905999999999997</v>
      </c>
      <c r="AD1633">
        <v>-1.109515187135</v>
      </c>
      <c r="AE1633">
        <v>-5.7153999999999803</v>
      </c>
      <c r="AF1633">
        <v>3.5366540480233799</v>
      </c>
      <c r="AG1633">
        <v>-1.109515187135</v>
      </c>
      <c r="AH1633">
        <v>6.1599326660293796</v>
      </c>
      <c r="AI1633">
        <v>98.878064756641095</v>
      </c>
      <c r="AJ1633">
        <v>60.13821072575</v>
      </c>
      <c r="AK1633">
        <v>7.1891387701100298</v>
      </c>
      <c r="AL1633">
        <v>86.953089438515093</v>
      </c>
      <c r="AM1633">
        <v>82.1512935775404</v>
      </c>
      <c r="AN1633">
        <v>0.99999999431582598</v>
      </c>
    </row>
    <row r="1634" spans="1:40" x14ac:dyDescent="0.25">
      <c r="A1634" t="str">
        <f>"20190312153919231"</f>
        <v>20190312153919231</v>
      </c>
      <c r="B1634" t="str">
        <f>"1552376359227000"</f>
        <v>1552376359227000</v>
      </c>
      <c r="C1634" t="s">
        <v>40</v>
      </c>
      <c r="D1634">
        <v>4.4092989999999999</v>
      </c>
      <c r="E1634">
        <v>0.65313859999999901</v>
      </c>
      <c r="F1634" t="s">
        <v>49</v>
      </c>
      <c r="G1634">
        <v>-198.8202</v>
      </c>
      <c r="H1634" s="1">
        <v>-6.133738E-6</v>
      </c>
      <c r="I1634">
        <v>358.01369999999997</v>
      </c>
      <c r="J1634">
        <v>-203.33340000000001</v>
      </c>
      <c r="K1634">
        <v>1.1094949999999999</v>
      </c>
      <c r="L1634">
        <v>363.8048</v>
      </c>
      <c r="M1634">
        <v>0.92658499999999999</v>
      </c>
      <c r="N1634">
        <v>0</v>
      </c>
      <c r="O1634">
        <v>-0.37583430000000001</v>
      </c>
      <c r="P1634">
        <v>0.86581810000000003</v>
      </c>
      <c r="Q1634">
        <v>3.9955999999999998E-2</v>
      </c>
      <c r="R1634">
        <v>-0.49876160000000003</v>
      </c>
      <c r="S1634">
        <v>2.017166</v>
      </c>
      <c r="T1634">
        <v>-0.48705890000000002</v>
      </c>
      <c r="U1634">
        <v>-2.557617</v>
      </c>
      <c r="V1634">
        <v>0.13689089999999901</v>
      </c>
      <c r="W1634">
        <v>5.3212599999999999E-2</v>
      </c>
      <c r="X1634">
        <v>0.98915580000000003</v>
      </c>
      <c r="Y1634">
        <v>0.49349929999999997</v>
      </c>
      <c r="Z1634">
        <v>1.9515810000000001E-2</v>
      </c>
      <c r="AA1634">
        <v>0.86952719999999994</v>
      </c>
      <c r="AB1634">
        <v>14</v>
      </c>
      <c r="AC1634">
        <v>4.5132000000000101</v>
      </c>
      <c r="AD1634">
        <v>-1.1095011337379901</v>
      </c>
      <c r="AE1634">
        <v>-5.7911000000000197</v>
      </c>
      <c r="AF1634">
        <v>3.5881388209516198</v>
      </c>
      <c r="AG1634">
        <v>-1.1095011337379901</v>
      </c>
      <c r="AH1634">
        <v>6.2169867396566998</v>
      </c>
      <c r="AI1634">
        <v>98.786487904011196</v>
      </c>
      <c r="AJ1634">
        <v>60.008572639103498</v>
      </c>
      <c r="AK1634">
        <v>7.2633778013575201</v>
      </c>
      <c r="AL1634">
        <v>86.949701760109406</v>
      </c>
      <c r="AM1634">
        <v>82.120789895257104</v>
      </c>
      <c r="AN1634">
        <v>0.99999994798760306</v>
      </c>
    </row>
    <row r="1635" spans="1:40" x14ac:dyDescent="0.25">
      <c r="A1635" t="str">
        <f>"20190312153919246"</f>
        <v>20190312153919246</v>
      </c>
      <c r="B1635" t="str">
        <f>"1552376359237736"</f>
        <v>1552376359237736</v>
      </c>
      <c r="C1635" t="s">
        <v>40</v>
      </c>
      <c r="D1635">
        <v>4.4193470000000001</v>
      </c>
      <c r="E1635">
        <v>0.65302649999999995</v>
      </c>
      <c r="F1635" t="s">
        <v>49</v>
      </c>
      <c r="G1635">
        <v>-198.70079999999999</v>
      </c>
      <c r="H1635" s="1">
        <v>-6.0794050000000001E-6</v>
      </c>
      <c r="I1635">
        <v>357.90710000000001</v>
      </c>
      <c r="J1635">
        <v>-203.2482</v>
      </c>
      <c r="K1635">
        <v>1.1094740000000001</v>
      </c>
      <c r="L1635">
        <v>363.76799999999997</v>
      </c>
      <c r="M1635">
        <v>0.9259155</v>
      </c>
      <c r="N1635">
        <v>0</v>
      </c>
      <c r="O1635">
        <v>-0.37748029999999999</v>
      </c>
      <c r="P1635">
        <v>0.86387789999999998</v>
      </c>
      <c r="Q1635">
        <v>4.0687760000000003E-2</v>
      </c>
      <c r="R1635">
        <v>-0.50205540000000004</v>
      </c>
      <c r="S1635">
        <v>2.0117799999999999</v>
      </c>
      <c r="T1635">
        <v>-0.48182170000000002</v>
      </c>
      <c r="U1635">
        <v>-2.561188</v>
      </c>
      <c r="V1635">
        <v>0.1389185</v>
      </c>
      <c r="W1635">
        <v>5.3927299999999997E-2</v>
      </c>
      <c r="X1635">
        <v>0.9888344</v>
      </c>
      <c r="Y1635">
        <v>0.4937145</v>
      </c>
      <c r="Z1635">
        <v>1.9561370000000002E-2</v>
      </c>
      <c r="AA1635">
        <v>0.86940409999999901</v>
      </c>
      <c r="AB1635">
        <v>14</v>
      </c>
      <c r="AC1635">
        <v>4.5473999999999997</v>
      </c>
      <c r="AD1635">
        <v>-1.1094800794049999</v>
      </c>
      <c r="AE1635">
        <v>-5.8609000000000098</v>
      </c>
      <c r="AF1635">
        <v>3.6293108837379799</v>
      </c>
      <c r="AG1635">
        <v>-1.1094800794049999</v>
      </c>
      <c r="AH1635">
        <v>6.2829463310753599</v>
      </c>
      <c r="AI1635">
        <v>98.693669087405993</v>
      </c>
      <c r="AJ1635">
        <v>59.987347772687301</v>
      </c>
      <c r="AK1635">
        <v>7.3401810697413197</v>
      </c>
      <c r="AL1635">
        <v>86.908693700440395</v>
      </c>
      <c r="AM1635">
        <v>82.003017867354004</v>
      </c>
      <c r="AN1635">
        <v>0.99999998697544901</v>
      </c>
    </row>
    <row r="1636" spans="1:40" x14ac:dyDescent="0.25">
      <c r="A1636" t="str">
        <f>"20190312153919260"</f>
        <v>20190312153919260</v>
      </c>
      <c r="B1636" t="str">
        <f>"1552376359247497"</f>
        <v>1552376359247497</v>
      </c>
      <c r="C1636" t="s">
        <v>40</v>
      </c>
      <c r="D1636">
        <v>4.3741989999999999</v>
      </c>
      <c r="E1636">
        <v>0.65305579999999996</v>
      </c>
      <c r="F1636" t="s">
        <v>49</v>
      </c>
      <c r="G1636">
        <v>-198.58779999999999</v>
      </c>
      <c r="H1636" s="1">
        <v>-6.0218620000000001E-6</v>
      </c>
      <c r="I1636">
        <v>357.78789999999998</v>
      </c>
      <c r="J1636">
        <v>-203.1711</v>
      </c>
      <c r="K1636">
        <v>1.109459</v>
      </c>
      <c r="L1636">
        <v>363.73450000000003</v>
      </c>
      <c r="M1636">
        <v>0.92529899999999998</v>
      </c>
      <c r="N1636">
        <v>0</v>
      </c>
      <c r="O1636">
        <v>-0.37898900000000002</v>
      </c>
      <c r="P1636">
        <v>0.86264649999999998</v>
      </c>
      <c r="Q1636">
        <v>4.0975919999999999E-2</v>
      </c>
      <c r="R1636">
        <v>-0.50414479999999995</v>
      </c>
      <c r="S1636">
        <v>2.0021209999999998</v>
      </c>
      <c r="T1636">
        <v>-0.47663650000000002</v>
      </c>
      <c r="U1636">
        <v>-2.569061</v>
      </c>
      <c r="V1636">
        <v>0.13970920000000001</v>
      </c>
      <c r="W1636">
        <v>5.4203939999999999E-2</v>
      </c>
      <c r="X1636">
        <v>0.98870789999999997</v>
      </c>
      <c r="Y1636">
        <v>0.49564380000000002</v>
      </c>
      <c r="Z1636">
        <v>1.9434989999999999E-2</v>
      </c>
      <c r="AA1636">
        <v>0.86830839999999998</v>
      </c>
      <c r="AB1636">
        <v>14</v>
      </c>
      <c r="AC1636">
        <v>4.5833000000000004</v>
      </c>
      <c r="AD1636">
        <v>-1.1094650218619999</v>
      </c>
      <c r="AE1636">
        <v>-5.9466000000000401</v>
      </c>
      <c r="AF1636">
        <v>3.68524480532631</v>
      </c>
      <c r="AG1636">
        <v>-1.1094650218619999</v>
      </c>
      <c r="AH1636">
        <v>6.3564288842988397</v>
      </c>
      <c r="AI1636">
        <v>98.586777562904402</v>
      </c>
      <c r="AJ1636">
        <v>59.8962768824912</v>
      </c>
      <c r="AK1636">
        <v>7.43075568640689</v>
      </c>
      <c r="AL1636">
        <v>86.892820280350506</v>
      </c>
      <c r="AM1636">
        <v>81.957078779027697</v>
      </c>
      <c r="AN1636">
        <v>1.00000001959928</v>
      </c>
    </row>
    <row r="1637" spans="1:40" x14ac:dyDescent="0.25">
      <c r="A1637" t="str">
        <f>"20190312153919272"</f>
        <v>20190312153919272</v>
      </c>
      <c r="B1637" t="str">
        <f>"1552376359267992"</f>
        <v>1552376359267992</v>
      </c>
      <c r="C1637" t="s">
        <v>40</v>
      </c>
      <c r="D1637">
        <v>4.4014660000000001</v>
      </c>
      <c r="E1637">
        <v>0.65301379999999998</v>
      </c>
      <c r="F1637" t="s">
        <v>49</v>
      </c>
      <c r="G1637">
        <v>-198.5095</v>
      </c>
      <c r="H1637" s="1">
        <v>-5.9867900000000002E-6</v>
      </c>
      <c r="I1637">
        <v>357.71969999999999</v>
      </c>
      <c r="J1637">
        <v>-203.0967</v>
      </c>
      <c r="K1637">
        <v>1.1094389999999901</v>
      </c>
      <c r="L1637">
        <v>363.70209999999997</v>
      </c>
      <c r="M1637">
        <v>0.92469009999999996</v>
      </c>
      <c r="N1637">
        <v>0</v>
      </c>
      <c r="O1637">
        <v>-0.3804727</v>
      </c>
      <c r="P1637">
        <v>0.86128629999999995</v>
      </c>
      <c r="Q1637">
        <v>4.1538680000000001E-2</v>
      </c>
      <c r="R1637">
        <v>-0.50641990000000003</v>
      </c>
      <c r="S1637">
        <v>1.995468</v>
      </c>
      <c r="T1637">
        <v>-0.47493160000000001</v>
      </c>
      <c r="U1637">
        <v>-2.5747990000000001</v>
      </c>
      <c r="V1637">
        <v>0.14074809999999999</v>
      </c>
      <c r="W1637">
        <v>5.4752919999999997E-2</v>
      </c>
      <c r="X1637">
        <v>0.98853029999999997</v>
      </c>
      <c r="Y1637">
        <v>0.4966023</v>
      </c>
      <c r="Z1637">
        <v>1.9522810000000002E-2</v>
      </c>
      <c r="AA1637">
        <v>0.86775859999999905</v>
      </c>
      <c r="AB1637">
        <v>14</v>
      </c>
      <c r="AC1637">
        <v>4.5871999999999904</v>
      </c>
      <c r="AD1637">
        <v>-1.10944498678999</v>
      </c>
      <c r="AE1637">
        <v>-5.9823999999999797</v>
      </c>
      <c r="AF1637">
        <v>3.70663993789237</v>
      </c>
      <c r="AG1637">
        <v>-1.10944498678999</v>
      </c>
      <c r="AH1637">
        <v>6.3803075335522896</v>
      </c>
      <c r="AI1637">
        <v>98.550635850980001</v>
      </c>
      <c r="AJ1637">
        <v>59.845552221981499</v>
      </c>
      <c r="AK1637">
        <v>7.46179415627343</v>
      </c>
      <c r="AL1637">
        <v>86.861319301707297</v>
      </c>
      <c r="AM1637">
        <v>81.896625275540998</v>
      </c>
      <c r="AN1637">
        <v>1.0000000319601099</v>
      </c>
    </row>
    <row r="1638" spans="1:40" x14ac:dyDescent="0.25">
      <c r="A1638" t="str">
        <f>"20190312153919284"</f>
        <v>20190312153919284</v>
      </c>
      <c r="B1638" t="str">
        <f>"1552376359277752"</f>
        <v>1552376359277752</v>
      </c>
      <c r="C1638" t="s">
        <v>40</v>
      </c>
      <c r="D1638">
        <v>4.4223739999999996</v>
      </c>
      <c r="E1638">
        <v>0.65296909999999997</v>
      </c>
      <c r="F1638" t="s">
        <v>49</v>
      </c>
      <c r="G1638">
        <v>-198.43350000000001</v>
      </c>
      <c r="H1638" s="1">
        <v>-5.9523029999999996E-6</v>
      </c>
      <c r="I1638">
        <v>357.65210000000002</v>
      </c>
      <c r="J1638">
        <v>-203.0258</v>
      </c>
      <c r="K1638">
        <v>1.1094139999999999</v>
      </c>
      <c r="L1638">
        <v>363.67090000000002</v>
      </c>
      <c r="M1638">
        <v>0.92409680000000005</v>
      </c>
      <c r="N1638">
        <v>0</v>
      </c>
      <c r="O1638">
        <v>-0.38191160000000002</v>
      </c>
      <c r="P1638">
        <v>0.86020549999999996</v>
      </c>
      <c r="Q1638">
        <v>4.1936370000000001E-2</v>
      </c>
      <c r="R1638">
        <v>-0.50822040000000002</v>
      </c>
      <c r="S1638">
        <v>1.988861</v>
      </c>
      <c r="T1638">
        <v>-0.47317759999999998</v>
      </c>
      <c r="U1638">
        <v>-2.580292</v>
      </c>
      <c r="V1638">
        <v>0.14128979999999999</v>
      </c>
      <c r="W1638">
        <v>5.5138569999999998E-2</v>
      </c>
      <c r="X1638">
        <v>0.98843159999999997</v>
      </c>
      <c r="Y1638">
        <v>0.49755129999999997</v>
      </c>
      <c r="Z1638">
        <v>1.9602080000000001E-2</v>
      </c>
      <c r="AA1638">
        <v>0.86721309999999996</v>
      </c>
      <c r="AB1638">
        <v>14</v>
      </c>
      <c r="AC1638">
        <v>4.5922999999999901</v>
      </c>
      <c r="AD1638">
        <v>-1.1094199523029999</v>
      </c>
      <c r="AE1638">
        <v>-6.0187999999999899</v>
      </c>
      <c r="AF1638">
        <v>3.7283951109868401</v>
      </c>
      <c r="AG1638">
        <v>-1.1094199523029999</v>
      </c>
      <c r="AH1638">
        <v>6.4054429614738897</v>
      </c>
      <c r="AI1638">
        <v>98.513314687150498</v>
      </c>
      <c r="AJ1638">
        <v>59.797739796968301</v>
      </c>
      <c r="AK1638">
        <v>7.4940938255998697</v>
      </c>
      <c r="AL1638">
        <v>86.8391898076286</v>
      </c>
      <c r="AM1638">
        <v>81.865052876217305</v>
      </c>
      <c r="AN1638">
        <v>1.0000000486821199</v>
      </c>
    </row>
    <row r="1639" spans="1:40" x14ac:dyDescent="0.25">
      <c r="A1639" t="str">
        <f>"20190312153919296"</f>
        <v>20190312153919296</v>
      </c>
      <c r="B1639" t="str">
        <f>"1552376359287512"</f>
        <v>1552376359287512</v>
      </c>
      <c r="C1639" t="s">
        <v>40</v>
      </c>
      <c r="D1639">
        <v>4.409808</v>
      </c>
      <c r="E1639">
        <v>0.65292659999999902</v>
      </c>
      <c r="F1639" t="s">
        <v>49</v>
      </c>
      <c r="G1639">
        <v>-198.3578</v>
      </c>
      <c r="H1639" s="1">
        <v>-5.91928199999999E-6</v>
      </c>
      <c r="I1639">
        <v>357.58879999999999</v>
      </c>
      <c r="J1639">
        <v>-202.95509999999999</v>
      </c>
      <c r="K1639">
        <v>1.1093839999999999</v>
      </c>
      <c r="L1639">
        <v>363.63979999999998</v>
      </c>
      <c r="M1639">
        <v>0.92349539999999997</v>
      </c>
      <c r="N1639">
        <v>0</v>
      </c>
      <c r="O1639">
        <v>-0.38336350000000002</v>
      </c>
      <c r="P1639">
        <v>0.8591413</v>
      </c>
      <c r="Q1639">
        <v>4.25619E-2</v>
      </c>
      <c r="R1639">
        <v>-0.50996579999999903</v>
      </c>
      <c r="S1639">
        <v>1.9835659999999999</v>
      </c>
      <c r="T1639">
        <v>-0.47142289999999998</v>
      </c>
      <c r="U1639">
        <v>-2.584473</v>
      </c>
      <c r="V1639">
        <v>0.14176059999999999</v>
      </c>
      <c r="W1639">
        <v>5.5751790000000002E-2</v>
      </c>
      <c r="X1639">
        <v>0.98832980000000004</v>
      </c>
      <c r="Y1639">
        <v>0.49800119999999998</v>
      </c>
      <c r="Z1639">
        <v>1.972461E-2</v>
      </c>
      <c r="AA1639">
        <v>0.8669519</v>
      </c>
      <c r="AB1639">
        <v>14</v>
      </c>
      <c r="AC1639">
        <v>4.59729999999999</v>
      </c>
      <c r="AD1639">
        <v>-1.109389919282</v>
      </c>
      <c r="AE1639">
        <v>-6.0509999999999797</v>
      </c>
      <c r="AF1639">
        <v>3.7461575915451801</v>
      </c>
      <c r="AG1639">
        <v>-1.109389919282</v>
      </c>
      <c r="AH1639">
        <v>6.4289260069469503</v>
      </c>
      <c r="AI1639">
        <v>98.480130385078596</v>
      </c>
      <c r="AJ1639">
        <v>59.770495702493903</v>
      </c>
      <c r="AK1639">
        <v>7.5230002190944401</v>
      </c>
      <c r="AL1639">
        <v>86.804000802318001</v>
      </c>
      <c r="AM1639">
        <v>81.837481216091803</v>
      </c>
      <c r="AN1639">
        <v>1.0000000616842999</v>
      </c>
    </row>
    <row r="1640" spans="1:40" x14ac:dyDescent="0.25">
      <c r="A1640" t="str">
        <f>"20190312153919313"</f>
        <v>20190312153919313</v>
      </c>
      <c r="B1640" t="str">
        <f>"1552376359307032"</f>
        <v>1552376359307032</v>
      </c>
      <c r="C1640" t="s">
        <v>40</v>
      </c>
      <c r="D1640">
        <v>4.4121810000000004</v>
      </c>
      <c r="E1640">
        <v>0.65291889999999997</v>
      </c>
      <c r="F1640" t="s">
        <v>49</v>
      </c>
      <c r="G1640">
        <v>-198.2936</v>
      </c>
      <c r="H1640" s="1">
        <v>-5.8926659999999998E-6</v>
      </c>
      <c r="I1640">
        <v>357.53919999999999</v>
      </c>
      <c r="J1640">
        <v>-202.85650000000001</v>
      </c>
      <c r="K1640">
        <v>1.10934</v>
      </c>
      <c r="L1640">
        <v>363.59589999999997</v>
      </c>
      <c r="M1640">
        <v>0.92262230000000001</v>
      </c>
      <c r="N1640">
        <v>0</v>
      </c>
      <c r="O1640">
        <v>-0.38545970000000002</v>
      </c>
      <c r="P1640">
        <v>0.857786099999999</v>
      </c>
      <c r="Q1640">
        <v>4.2672179999999997E-2</v>
      </c>
      <c r="R1640">
        <v>-0.51223249999999998</v>
      </c>
      <c r="S1640">
        <v>1.978348</v>
      </c>
      <c r="T1640">
        <v>-0.47083150000000001</v>
      </c>
      <c r="U1640">
        <v>-2.5891109999999999</v>
      </c>
      <c r="V1640">
        <v>0.14213509999999999</v>
      </c>
      <c r="W1640">
        <v>5.5844629999999999E-2</v>
      </c>
      <c r="X1640">
        <v>0.98827069999999995</v>
      </c>
      <c r="Y1640">
        <v>0.4979075</v>
      </c>
      <c r="Z1640">
        <v>2.0039230000000002E-2</v>
      </c>
      <c r="AA1640">
        <v>0.86699859999999895</v>
      </c>
      <c r="AB1640">
        <v>14</v>
      </c>
      <c r="AC1640">
        <v>4.5629000000000097</v>
      </c>
      <c r="AD1640">
        <v>-1.109345892666</v>
      </c>
      <c r="AE1640">
        <v>-6.05669999999997</v>
      </c>
      <c r="AF1640">
        <v>3.7493534517172802</v>
      </c>
      <c r="AG1640">
        <v>-1.109345892666</v>
      </c>
      <c r="AH1640">
        <v>6.4079278765305201</v>
      </c>
      <c r="AI1640">
        <v>98.498394259203096</v>
      </c>
      <c r="AJ1640">
        <v>59.6675987666639</v>
      </c>
      <c r="AK1640">
        <v>7.5066530015910597</v>
      </c>
      <c r="AL1640">
        <v>86.798672941983597</v>
      </c>
      <c r="AM1640">
        <v>81.815726599220596</v>
      </c>
      <c r="AN1640">
        <v>0.99999999291516795</v>
      </c>
    </row>
    <row r="1641" spans="1:40" x14ac:dyDescent="0.25">
      <c r="A1641" t="str">
        <f>"20190312153919328"</f>
        <v>20190312153919328</v>
      </c>
      <c r="B1641" t="str">
        <f>"1552376359317768"</f>
        <v>1552376359317768</v>
      </c>
      <c r="C1641" t="s">
        <v>40</v>
      </c>
      <c r="D1641">
        <v>4.407419</v>
      </c>
      <c r="E1641">
        <v>0.65294090000000005</v>
      </c>
      <c r="F1641" t="s">
        <v>49</v>
      </c>
      <c r="G1641">
        <v>-198.23570000000001</v>
      </c>
      <c r="H1641" s="1">
        <v>-5.8753199999999899E-6</v>
      </c>
      <c r="I1641">
        <v>357.51440000000002</v>
      </c>
      <c r="J1641">
        <v>-202.7756</v>
      </c>
      <c r="K1641">
        <v>1.1092949999999999</v>
      </c>
      <c r="L1641">
        <v>363.55970000000002</v>
      </c>
      <c r="M1641">
        <v>0.9218769</v>
      </c>
      <c r="N1641">
        <v>0</v>
      </c>
      <c r="O1641">
        <v>-0.38723869999999999</v>
      </c>
      <c r="P1641">
        <v>0.85682049999999998</v>
      </c>
      <c r="Q1641">
        <v>4.2610240000000001E-2</v>
      </c>
      <c r="R1641">
        <v>-0.51385130000000001</v>
      </c>
      <c r="S1641">
        <v>1.9714659999999999</v>
      </c>
      <c r="T1641">
        <v>-0.4733038</v>
      </c>
      <c r="U1641">
        <v>-2.5946959999999999</v>
      </c>
      <c r="V1641">
        <v>0.14209939999999999</v>
      </c>
      <c r="W1641">
        <v>5.5768930000000001E-2</v>
      </c>
      <c r="X1641">
        <v>0.98828009999999999</v>
      </c>
      <c r="Y1641">
        <v>0.49858780000000003</v>
      </c>
      <c r="Z1641">
        <v>2.0371170000000001E-2</v>
      </c>
      <c r="AA1641">
        <v>0.86659979999999903</v>
      </c>
      <c r="AB1641">
        <v>14</v>
      </c>
      <c r="AC1641">
        <v>4.5398999999999798</v>
      </c>
      <c r="AD1641">
        <v>-1.10930087532</v>
      </c>
      <c r="AE1641">
        <v>-6.0452999999999903</v>
      </c>
      <c r="AF1641">
        <v>3.7349467468564299</v>
      </c>
      <c r="AG1641">
        <v>-1.10930087532</v>
      </c>
      <c r="AH1641">
        <v>6.3892626873980101</v>
      </c>
      <c r="AI1641">
        <v>98.524512593724097</v>
      </c>
      <c r="AJ1641">
        <v>59.6908888325828</v>
      </c>
      <c r="AK1641">
        <v>7.4835187794523197</v>
      </c>
      <c r="AL1641">
        <v>86.803016975575801</v>
      </c>
      <c r="AM1641">
        <v>81.817831172438602</v>
      </c>
      <c r="AN1641">
        <v>0.99999998454485695</v>
      </c>
    </row>
    <row r="1642" spans="1:40" x14ac:dyDescent="0.25">
      <c r="A1642" t="str">
        <f>"20190312153919339"</f>
        <v>20190312153919339</v>
      </c>
      <c r="B1642" t="str">
        <f>"1552376359327529"</f>
        <v>1552376359327529</v>
      </c>
      <c r="C1642" t="s">
        <v>40</v>
      </c>
      <c r="D1642">
        <v>4.3705069999999999</v>
      </c>
      <c r="E1642">
        <v>0.6528659</v>
      </c>
      <c r="F1642" t="s">
        <v>49</v>
      </c>
      <c r="G1642">
        <v>-198.1748</v>
      </c>
      <c r="H1642" s="1">
        <v>-5.8541549999999899E-6</v>
      </c>
      <c r="I1642">
        <v>357.4796</v>
      </c>
      <c r="J1642">
        <v>-202.70939999999999</v>
      </c>
      <c r="K1642">
        <v>1.1092580000000001</v>
      </c>
      <c r="L1642">
        <v>363.5299</v>
      </c>
      <c r="M1642">
        <v>0.92125310000000005</v>
      </c>
      <c r="N1642">
        <v>0</v>
      </c>
      <c r="O1642">
        <v>-0.38872060000000003</v>
      </c>
      <c r="P1642">
        <v>0.85590750000000004</v>
      </c>
      <c r="Q1642">
        <v>4.21681E-2</v>
      </c>
      <c r="R1642">
        <v>-0.51540710000000001</v>
      </c>
      <c r="S1642">
        <v>1.9663999999999999</v>
      </c>
      <c r="T1642">
        <v>-0.47412690000000002</v>
      </c>
      <c r="U1642">
        <v>-2.5986940000000001</v>
      </c>
      <c r="V1642">
        <v>0.14230119999999999</v>
      </c>
      <c r="W1642">
        <v>5.531378E-2</v>
      </c>
      <c r="X1642">
        <v>0.98827670000000001</v>
      </c>
      <c r="Y1642">
        <v>0.49891540000000001</v>
      </c>
      <c r="Z1642">
        <v>2.0616780000000001E-2</v>
      </c>
      <c r="AA1642">
        <v>0.86640539999999999</v>
      </c>
      <c r="AB1642">
        <v>14</v>
      </c>
      <c r="AC1642">
        <v>4.5345999999999798</v>
      </c>
      <c r="AD1642">
        <v>-1.109263854155</v>
      </c>
      <c r="AE1642">
        <v>-6.0502999999999902</v>
      </c>
      <c r="AF1642">
        <v>3.73121691042709</v>
      </c>
      <c r="AG1642">
        <v>-1.109263854155</v>
      </c>
      <c r="AH1642">
        <v>6.3924210001382997</v>
      </c>
      <c r="AI1642">
        <v>98.523272437968302</v>
      </c>
      <c r="AJ1642">
        <v>59.728152886700002</v>
      </c>
      <c r="AK1642">
        <v>7.4843498163702202</v>
      </c>
      <c r="AL1642">
        <v>86.829135645549499</v>
      </c>
      <c r="AM1642">
        <v>81.806341266298503</v>
      </c>
      <c r="AN1642">
        <v>1.0000000407711001</v>
      </c>
    </row>
    <row r="1643" spans="1:40" x14ac:dyDescent="0.25">
      <c r="A1643" t="str">
        <f>"20190312153919350"</f>
        <v>20190312153919350</v>
      </c>
      <c r="B1643" t="str">
        <f>"1552376359347048"</f>
        <v>1552376359347048</v>
      </c>
      <c r="C1643" t="s">
        <v>40</v>
      </c>
      <c r="D1643">
        <v>4.4183139999999996</v>
      </c>
      <c r="E1643">
        <v>0.65275240000000001</v>
      </c>
      <c r="F1643" t="s">
        <v>49</v>
      </c>
      <c r="G1643">
        <v>-198.1446</v>
      </c>
      <c r="H1643" s="1">
        <v>-5.8480739999999997E-6</v>
      </c>
      <c r="I1643">
        <v>357.47550000000001</v>
      </c>
      <c r="J1643">
        <v>-202.64340000000001</v>
      </c>
      <c r="K1643">
        <v>1.1092139999999999</v>
      </c>
      <c r="L1643">
        <v>363.5</v>
      </c>
      <c r="M1643">
        <v>0.92060609999999998</v>
      </c>
      <c r="N1643">
        <v>0</v>
      </c>
      <c r="O1643">
        <v>-0.3902506</v>
      </c>
      <c r="P1643">
        <v>0.85504049999999998</v>
      </c>
      <c r="Q1643">
        <v>4.1999059999999998E-2</v>
      </c>
      <c r="R1643">
        <v>-0.51685800000000004</v>
      </c>
      <c r="S1643">
        <v>1.9617309999999999</v>
      </c>
      <c r="T1643">
        <v>-0.47671459999999999</v>
      </c>
      <c r="U1643">
        <v>-2.6018979999999998</v>
      </c>
      <c r="V1643">
        <v>0.14233750000000001</v>
      </c>
      <c r="W1643">
        <v>5.5132380000000002E-2</v>
      </c>
      <c r="X1643">
        <v>0.98828150000000003</v>
      </c>
      <c r="Y1643">
        <v>0.49897920000000001</v>
      </c>
      <c r="Z1643">
        <v>2.097193E-2</v>
      </c>
      <c r="AA1643">
        <v>0.86636019999999903</v>
      </c>
      <c r="AB1643">
        <v>14</v>
      </c>
      <c r="AC1643">
        <v>4.4988000000000099</v>
      </c>
      <c r="AD1643">
        <v>-1.1092198480740001</v>
      </c>
      <c r="AE1643">
        <v>-6.0244999999999802</v>
      </c>
      <c r="AF1643">
        <v>3.71014465139723</v>
      </c>
      <c r="AG1643">
        <v>-1.1092198480740001</v>
      </c>
      <c r="AH1643">
        <v>6.3549943234651796</v>
      </c>
      <c r="AI1643">
        <v>98.571942609514906</v>
      </c>
      <c r="AJ1643">
        <v>59.722951818263503</v>
      </c>
      <c r="AK1643">
        <v>7.4418744182448799</v>
      </c>
      <c r="AL1643">
        <v>86.839544643557701</v>
      </c>
      <c r="AM1643">
        <v>81.804318779870997</v>
      </c>
      <c r="AN1643">
        <v>0.99999993323647995</v>
      </c>
    </row>
    <row r="1644" spans="1:40" x14ac:dyDescent="0.25">
      <c r="A1644" t="str">
        <f>"20190312153919361"</f>
        <v>20190312153919361</v>
      </c>
      <c r="B1644" t="str">
        <f>"1552376359357784"</f>
        <v>1552376359357784</v>
      </c>
      <c r="C1644" t="s">
        <v>40</v>
      </c>
      <c r="D1644">
        <v>4.3847009999999997</v>
      </c>
      <c r="E1644">
        <v>0.65276690000000004</v>
      </c>
      <c r="F1644" t="s">
        <v>49</v>
      </c>
      <c r="G1644">
        <v>-198.1217</v>
      </c>
      <c r="H1644" s="1">
        <v>-5.84821E-6</v>
      </c>
      <c r="I1644">
        <v>357.48660000000001</v>
      </c>
      <c r="J1644">
        <v>-202.58160000000001</v>
      </c>
      <c r="K1644">
        <v>1.1091719999999901</v>
      </c>
      <c r="L1644">
        <v>363.47190000000001</v>
      </c>
      <c r="M1644">
        <v>0.91998690000000005</v>
      </c>
      <c r="N1644">
        <v>0</v>
      </c>
      <c r="O1644">
        <v>-0.391708</v>
      </c>
      <c r="P1644">
        <v>0.85422609999999999</v>
      </c>
      <c r="Q1644">
        <v>4.1734380000000001E-2</v>
      </c>
      <c r="R1644">
        <v>-0.51822440000000003</v>
      </c>
      <c r="S1644">
        <v>1.958099</v>
      </c>
      <c r="T1644">
        <v>-0.48033900000000002</v>
      </c>
      <c r="U1644">
        <v>-2.604034</v>
      </c>
      <c r="V1644">
        <v>0.1423517</v>
      </c>
      <c r="W1644">
        <v>5.4856710000000003E-2</v>
      </c>
      <c r="X1644">
        <v>0.98829480000000003</v>
      </c>
      <c r="Y1644">
        <v>0.49871680000000002</v>
      </c>
      <c r="Z1644">
        <v>2.1392189999999998E-2</v>
      </c>
      <c r="AA1644">
        <v>0.86650099999999997</v>
      </c>
      <c r="AB1644">
        <v>14</v>
      </c>
      <c r="AC1644">
        <v>4.4599000000000002</v>
      </c>
      <c r="AD1644">
        <v>-1.1091778482100001</v>
      </c>
      <c r="AE1644">
        <v>-5.9852999999999899</v>
      </c>
      <c r="AF1644">
        <v>3.6785454902333798</v>
      </c>
      <c r="AG1644">
        <v>-1.1091778482100001</v>
      </c>
      <c r="AH1644">
        <v>6.3088383354126201</v>
      </c>
      <c r="AI1644">
        <v>98.636121992238401</v>
      </c>
      <c r="AJ1644">
        <v>59.754474926561201</v>
      </c>
      <c r="AK1644">
        <v>7.38670519007277</v>
      </c>
      <c r="AL1644">
        <v>86.855363327611698</v>
      </c>
      <c r="AM1644">
        <v>81.803621069712406</v>
      </c>
      <c r="AN1644">
        <v>0.99999993841597501</v>
      </c>
    </row>
    <row r="1645" spans="1:40" x14ac:dyDescent="0.25">
      <c r="A1645" t="str">
        <f>"20190312153919372"</f>
        <v>20190312153919372</v>
      </c>
      <c r="B1645" t="str">
        <f>"1552376359367545"</f>
        <v>1552376359367545</v>
      </c>
      <c r="C1645" t="s">
        <v>40</v>
      </c>
      <c r="D1645">
        <v>4.3812819999999997</v>
      </c>
      <c r="E1645">
        <v>0.65281979999999995</v>
      </c>
      <c r="F1645" t="s">
        <v>49</v>
      </c>
      <c r="G1645">
        <v>-198.084</v>
      </c>
      <c r="H1645" s="1">
        <v>-5.8366619999999998E-6</v>
      </c>
      <c r="I1645">
        <v>357.46969999999999</v>
      </c>
      <c r="J1645">
        <v>-202.51740000000001</v>
      </c>
      <c r="K1645">
        <v>1.1091249999999999</v>
      </c>
      <c r="L1645">
        <v>363.44240000000002</v>
      </c>
      <c r="M1645">
        <v>0.91932440000000004</v>
      </c>
      <c r="N1645">
        <v>0</v>
      </c>
      <c r="O1645">
        <v>-0.39326030000000001</v>
      </c>
      <c r="P1645">
        <v>0.85307529999999998</v>
      </c>
      <c r="Q1645">
        <v>4.1443870000000001E-2</v>
      </c>
      <c r="R1645">
        <v>-0.52013980000000004</v>
      </c>
      <c r="S1645">
        <v>1.9537659999999999</v>
      </c>
      <c r="T1645">
        <v>-0.48182209999999998</v>
      </c>
      <c r="U1645">
        <v>-2.6073</v>
      </c>
      <c r="V1645">
        <v>0.1429002</v>
      </c>
      <c r="W1645">
        <v>5.4551990000000002E-2</v>
      </c>
      <c r="X1645">
        <v>0.98823260000000002</v>
      </c>
      <c r="Y1645">
        <v>0.49870350000000002</v>
      </c>
      <c r="Z1645">
        <v>2.1712579999999999E-2</v>
      </c>
      <c r="AA1645">
        <v>0.86650059999999995</v>
      </c>
      <c r="AB1645">
        <v>14</v>
      </c>
      <c r="AC1645">
        <v>4.4333999999999998</v>
      </c>
      <c r="AD1645">
        <v>-1.1091308366620001</v>
      </c>
      <c r="AE1645">
        <v>-5.9727000000000299</v>
      </c>
      <c r="AF1645">
        <v>3.6662080132672101</v>
      </c>
      <c r="AG1645">
        <v>-1.1091308366620001</v>
      </c>
      <c r="AH1645">
        <v>6.2854153157420001</v>
      </c>
      <c r="AI1645">
        <v>98.666675319942698</v>
      </c>
      <c r="AJ1645">
        <v>59.745496181425302</v>
      </c>
      <c r="AK1645">
        <v>7.3605501221541401</v>
      </c>
      <c r="AL1645">
        <v>86.872848965627696</v>
      </c>
      <c r="AM1645">
        <v>81.771960127411603</v>
      </c>
      <c r="AN1645">
        <v>1.0000000292378699</v>
      </c>
    </row>
    <row r="1646" spans="1:40" x14ac:dyDescent="0.25">
      <c r="A1646" t="str">
        <f>"20190312153919383"</f>
        <v>20190312153919383</v>
      </c>
      <c r="B1646" t="str">
        <f>"1552376359377813"</f>
        <v>1552376359377813</v>
      </c>
      <c r="C1646" t="s">
        <v>40</v>
      </c>
      <c r="D1646">
        <v>4.3945259999999999</v>
      </c>
      <c r="E1646">
        <v>0.65278579999999997</v>
      </c>
      <c r="F1646" t="s">
        <v>49</v>
      </c>
      <c r="G1646">
        <v>-198.04689999999999</v>
      </c>
      <c r="H1646" s="1">
        <v>-5.8234129999999997E-6</v>
      </c>
      <c r="I1646">
        <v>357.44740000000002</v>
      </c>
      <c r="J1646">
        <v>-202.4579</v>
      </c>
      <c r="K1646">
        <v>1.1090880000000001</v>
      </c>
      <c r="L1646">
        <v>363.41489999999999</v>
      </c>
      <c r="M1646">
        <v>0.9186917</v>
      </c>
      <c r="N1646">
        <v>0</v>
      </c>
      <c r="O1646">
        <v>-0.39473619999999998</v>
      </c>
      <c r="P1646">
        <v>0.85207690000000003</v>
      </c>
      <c r="Q1646">
        <v>4.1050490000000002E-2</v>
      </c>
      <c r="R1646">
        <v>-0.52180490000000002</v>
      </c>
      <c r="S1646">
        <v>1.947678</v>
      </c>
      <c r="T1646">
        <v>-0.48321429999999999</v>
      </c>
      <c r="U1646">
        <v>-2.6118160000000001</v>
      </c>
      <c r="V1646">
        <v>0.14323939999999999</v>
      </c>
      <c r="W1646">
        <v>5.4146329999999999E-2</v>
      </c>
      <c r="X1646">
        <v>0.98820580000000002</v>
      </c>
      <c r="Y1646">
        <v>0.49932759999999998</v>
      </c>
      <c r="Z1646">
        <v>2.1964899999999999E-2</v>
      </c>
      <c r="AA1646">
        <v>0.86613479999999998</v>
      </c>
      <c r="AB1646">
        <v>14</v>
      </c>
      <c r="AC1646">
        <v>4.4109999999999996</v>
      </c>
      <c r="AD1646">
        <v>-1.1090938234129999</v>
      </c>
      <c r="AE1646">
        <v>-5.9674999999999701</v>
      </c>
      <c r="AF1646">
        <v>3.65971529289979</v>
      </c>
      <c r="AG1646">
        <v>-1.1090938234129999</v>
      </c>
      <c r="AH1646">
        <v>6.2685186885325903</v>
      </c>
      <c r="AI1646">
        <v>98.687396365389603</v>
      </c>
      <c r="AJ1646">
        <v>59.722566917016998</v>
      </c>
      <c r="AK1646">
        <v>7.3428830633954503</v>
      </c>
      <c r="AL1646">
        <v>86.896125967547107</v>
      </c>
      <c r="AM1646">
        <v>81.752477118518897</v>
      </c>
      <c r="AN1646">
        <v>1.00000002695923</v>
      </c>
    </row>
    <row r="1647" spans="1:40" x14ac:dyDescent="0.25">
      <c r="A1647" t="str">
        <f>"20190312153919394"</f>
        <v>20190312153919394</v>
      </c>
      <c r="B1647" t="str">
        <f>"1552376359387573"</f>
        <v>1552376359387573</v>
      </c>
      <c r="C1647" t="s">
        <v>40</v>
      </c>
      <c r="D1647">
        <v>4.4155319999999998</v>
      </c>
      <c r="E1647">
        <v>0.65273800000000004</v>
      </c>
      <c r="F1647" t="s">
        <v>49</v>
      </c>
      <c r="G1647">
        <v>-198.00890000000001</v>
      </c>
      <c r="H1647" s="1">
        <v>-5.8100199999999898E-6</v>
      </c>
      <c r="I1647">
        <v>357.42520000000002</v>
      </c>
      <c r="J1647">
        <v>-202.3946</v>
      </c>
      <c r="K1647">
        <v>1.1090500000000001</v>
      </c>
      <c r="L1647">
        <v>363.38560000000001</v>
      </c>
      <c r="M1647">
        <v>0.91800440000000005</v>
      </c>
      <c r="N1647">
        <v>0</v>
      </c>
      <c r="O1647">
        <v>-0.39633099999999999</v>
      </c>
      <c r="P1647">
        <v>0.85078549999999997</v>
      </c>
      <c r="Q1647">
        <v>4.0852470000000002E-2</v>
      </c>
      <c r="R1647">
        <v>-0.52392269999999996</v>
      </c>
      <c r="S1647">
        <v>1.9425349999999999</v>
      </c>
      <c r="T1647">
        <v>-0.48426150000000001</v>
      </c>
      <c r="U1647">
        <v>-2.6152950000000001</v>
      </c>
      <c r="V1647">
        <v>0.14398239999999901</v>
      </c>
      <c r="W1647">
        <v>5.393444E-2</v>
      </c>
      <c r="X1647">
        <v>0.98810940000000003</v>
      </c>
      <c r="Y1647">
        <v>0.49947930000000001</v>
      </c>
      <c r="Z1647">
        <v>2.2263729999999999E-2</v>
      </c>
      <c r="AA1647">
        <v>0.86603969999999897</v>
      </c>
      <c r="AB1647">
        <v>14</v>
      </c>
      <c r="AC1647">
        <v>4.3856999999999804</v>
      </c>
      <c r="AD1647">
        <v>-1.1090558100200001</v>
      </c>
      <c r="AE1647">
        <v>-5.9603999999999902</v>
      </c>
      <c r="AF1647">
        <v>3.6518136702329902</v>
      </c>
      <c r="AG1647">
        <v>-1.1090558100200001</v>
      </c>
      <c r="AH1647">
        <v>6.2486357430934101</v>
      </c>
      <c r="AI1647">
        <v>98.712105126393993</v>
      </c>
      <c r="AJ1647">
        <v>59.6972265937898</v>
      </c>
      <c r="AK1647">
        <v>7.3219667113217701</v>
      </c>
      <c r="AL1647">
        <v>86.908284117164996</v>
      </c>
      <c r="AM1647">
        <v>81.709491751049995</v>
      </c>
      <c r="AN1647">
        <v>1.0000000208481099</v>
      </c>
    </row>
    <row r="1648" spans="1:40" x14ac:dyDescent="0.25">
      <c r="A1648" t="str">
        <f>"20190312153919405"</f>
        <v>20190312153919405</v>
      </c>
      <c r="B1648" t="str">
        <f>"1552376359397332"</f>
        <v>1552376359397332</v>
      </c>
      <c r="C1648" t="s">
        <v>40</v>
      </c>
      <c r="D1648">
        <v>4.6421359999999998</v>
      </c>
      <c r="E1648">
        <v>0.65285660000000001</v>
      </c>
      <c r="F1648" t="s">
        <v>49</v>
      </c>
      <c r="G1648">
        <v>-197.97720000000001</v>
      </c>
      <c r="H1648" s="1">
        <v>-5.7993779999999997E-6</v>
      </c>
      <c r="I1648">
        <v>357.40820000000002</v>
      </c>
      <c r="J1648">
        <v>-202.3364</v>
      </c>
      <c r="K1648">
        <v>1.1090230000000001</v>
      </c>
      <c r="L1648">
        <v>363.35840000000002</v>
      </c>
      <c r="M1648">
        <v>0.91734990000000005</v>
      </c>
      <c r="N1648">
        <v>0</v>
      </c>
      <c r="O1648">
        <v>-0.39784370000000002</v>
      </c>
      <c r="P1648">
        <v>0.84944629999999999</v>
      </c>
      <c r="Q1648">
        <v>4.0699029999999997E-2</v>
      </c>
      <c r="R1648">
        <v>-0.52610369999999995</v>
      </c>
      <c r="S1648">
        <v>1.936142</v>
      </c>
      <c r="T1648">
        <v>-0.48610219999999998</v>
      </c>
      <c r="U1648">
        <v>-2.619904</v>
      </c>
      <c r="V1648">
        <v>0.14488980000000001</v>
      </c>
      <c r="W1648">
        <v>5.3766840000000003E-2</v>
      </c>
      <c r="X1648">
        <v>0.98798580000000003</v>
      </c>
      <c r="Y1648">
        <v>0.50014389999999997</v>
      </c>
      <c r="Z1648">
        <v>2.2542309999999999E-2</v>
      </c>
      <c r="AA1648">
        <v>0.86564889999999906</v>
      </c>
      <c r="AB1648">
        <v>14</v>
      </c>
      <c r="AC1648">
        <v>4.35919999999998</v>
      </c>
      <c r="AD1648">
        <v>-1.1090287993779999</v>
      </c>
      <c r="AE1648">
        <v>-5.9501999999999899</v>
      </c>
      <c r="AF1648">
        <v>3.6421530233790298</v>
      </c>
      <c r="AG1648">
        <v>-1.1090287993779999</v>
      </c>
      <c r="AH1648">
        <v>6.2260183303270296</v>
      </c>
      <c r="AI1648">
        <v>98.740913142374694</v>
      </c>
      <c r="AJ1648">
        <v>59.672830050534003</v>
      </c>
      <c r="AK1648">
        <v>7.2978440496578898</v>
      </c>
      <c r="AL1648">
        <v>86.917900575897207</v>
      </c>
      <c r="AM1648">
        <v>81.656947724660895</v>
      </c>
      <c r="AN1648">
        <v>0.99999993411462995</v>
      </c>
    </row>
    <row r="1649" spans="1:40" x14ac:dyDescent="0.25">
      <c r="A1649" t="str">
        <f>"20190312153919414"</f>
        <v>20190312153919414</v>
      </c>
      <c r="B1649" t="str">
        <f>"1552376359407092"</f>
        <v>1552376359407092</v>
      </c>
      <c r="C1649" t="s">
        <v>40</v>
      </c>
      <c r="D1649">
        <v>4.4202469999999998</v>
      </c>
      <c r="E1649">
        <v>0.65296259999999995</v>
      </c>
      <c r="F1649" t="s">
        <v>49</v>
      </c>
      <c r="G1649">
        <v>-197.94040000000001</v>
      </c>
      <c r="H1649" s="1">
        <v>-5.7819319999999997E-6</v>
      </c>
      <c r="I1649">
        <v>357.3732</v>
      </c>
      <c r="J1649">
        <v>-202.2757</v>
      </c>
      <c r="K1649">
        <v>1.108989</v>
      </c>
      <c r="L1649">
        <v>363.32979999999998</v>
      </c>
      <c r="M1649">
        <v>0.91665660000000004</v>
      </c>
      <c r="N1649">
        <v>0</v>
      </c>
      <c r="O1649">
        <v>-0.39943869999999998</v>
      </c>
      <c r="P1649">
        <v>0.84804210000000002</v>
      </c>
      <c r="Q1649">
        <v>4.0855299999999997E-2</v>
      </c>
      <c r="R1649">
        <v>-0.52835219999999905</v>
      </c>
      <c r="S1649">
        <v>1.9286650000000001</v>
      </c>
      <c r="T1649">
        <v>-0.48657349999999999</v>
      </c>
      <c r="U1649">
        <v>-2.6259160000000001</v>
      </c>
      <c r="V1649">
        <v>0.14579739999999999</v>
      </c>
      <c r="W1649">
        <v>5.3908730000000002E-2</v>
      </c>
      <c r="X1649">
        <v>0.98784459999999996</v>
      </c>
      <c r="Y1649">
        <v>0.50118629999999997</v>
      </c>
      <c r="Z1649">
        <v>2.2737529999999999E-2</v>
      </c>
      <c r="AA1649">
        <v>0.865040699999999</v>
      </c>
      <c r="AB1649">
        <v>14</v>
      </c>
      <c r="AC1649">
        <v>4.3352999999999797</v>
      </c>
      <c r="AD1649">
        <v>-1.1089947819320001</v>
      </c>
      <c r="AE1649">
        <v>-5.9565999999999804</v>
      </c>
      <c r="AF1649">
        <v>3.6462018389890898</v>
      </c>
      <c r="AG1649">
        <v>-1.1089947819320001</v>
      </c>
      <c r="AH1649">
        <v>6.2130935644063099</v>
      </c>
      <c r="AI1649">
        <v>98.751525098597995</v>
      </c>
      <c r="AJ1649">
        <v>59.593129866581002</v>
      </c>
      <c r="AK1649">
        <v>7.2888400254818997</v>
      </c>
      <c r="AL1649">
        <v>86.909759252860297</v>
      </c>
      <c r="AM1649">
        <v>81.604245882978603</v>
      </c>
      <c r="AN1649">
        <v>0.999999993383066</v>
      </c>
    </row>
    <row r="1650" spans="1:40" x14ac:dyDescent="0.25">
      <c r="A1650" t="str">
        <f>"20190312153919425"</f>
        <v>20190312153919425</v>
      </c>
      <c r="B1650" t="str">
        <f>"1552376359417828"</f>
        <v>1552376359417828</v>
      </c>
      <c r="C1650" t="s">
        <v>40</v>
      </c>
      <c r="D1650">
        <v>4.4237380000000002</v>
      </c>
      <c r="E1650">
        <v>0.65300409999999998</v>
      </c>
      <c r="F1650" t="s">
        <v>49</v>
      </c>
      <c r="G1650">
        <v>-197.89439999999999</v>
      </c>
      <c r="H1650" s="1">
        <v>-5.7595759999999899E-6</v>
      </c>
      <c r="I1650">
        <v>357.3279</v>
      </c>
      <c r="J1650">
        <v>-202.22139999999999</v>
      </c>
      <c r="K1650">
        <v>1.1089629999999999</v>
      </c>
      <c r="L1650">
        <v>363.30419999999998</v>
      </c>
      <c r="M1650">
        <v>0.91601359999999998</v>
      </c>
      <c r="N1650">
        <v>0</v>
      </c>
      <c r="O1650">
        <v>-0.40091100000000002</v>
      </c>
      <c r="P1650">
        <v>0.84655539999999996</v>
      </c>
      <c r="Q1650">
        <v>4.0826290000000001E-2</v>
      </c>
      <c r="R1650">
        <v>-0.53073319999999902</v>
      </c>
      <c r="S1650">
        <v>1.921219</v>
      </c>
      <c r="T1650">
        <v>-0.48630859999999898</v>
      </c>
      <c r="U1650">
        <v>-2.6319270000000001</v>
      </c>
      <c r="V1650">
        <v>0.14699000000000001</v>
      </c>
      <c r="W1650">
        <v>5.3864929999999998E-2</v>
      </c>
      <c r="X1650">
        <v>0.98767020000000005</v>
      </c>
      <c r="Y1650">
        <v>0.50233689999999998</v>
      </c>
      <c r="Z1650">
        <v>2.2869179999999999E-2</v>
      </c>
      <c r="AA1650">
        <v>0.86436950000000001</v>
      </c>
      <c r="AB1650">
        <v>14</v>
      </c>
      <c r="AC1650">
        <v>4.3269999999999902</v>
      </c>
      <c r="AD1650">
        <v>-1.1089687595759901</v>
      </c>
      <c r="AE1650">
        <v>-5.9762999999999797</v>
      </c>
      <c r="AF1650">
        <v>3.6573624646106202</v>
      </c>
      <c r="AG1650">
        <v>-1.1089687595759901</v>
      </c>
      <c r="AH1650">
        <v>6.2196520947189002</v>
      </c>
      <c r="AI1650">
        <v>98.737819452086597</v>
      </c>
      <c r="AJ1650">
        <v>59.543054638074501</v>
      </c>
      <c r="AK1650">
        <v>7.3000126086602997</v>
      </c>
      <c r="AL1650">
        <v>86.912272348297506</v>
      </c>
      <c r="AM1650">
        <v>81.535087822020998</v>
      </c>
      <c r="AN1650">
        <v>0.99999995737597103</v>
      </c>
    </row>
    <row r="1651" spans="1:40" x14ac:dyDescent="0.25">
      <c r="A1651" t="str">
        <f>"20190312153919436"</f>
        <v>20190312153919436</v>
      </c>
      <c r="B1651" t="str">
        <f>"1552376359427589"</f>
        <v>1552376359427589</v>
      </c>
      <c r="C1651" t="s">
        <v>40</v>
      </c>
      <c r="D1651">
        <v>4.5684129999999996</v>
      </c>
      <c r="E1651">
        <v>0.6530724</v>
      </c>
      <c r="F1651" t="s">
        <v>49</v>
      </c>
      <c r="G1651">
        <v>-197.86189999999999</v>
      </c>
      <c r="H1651" s="1">
        <v>-5.7440310000000002E-6</v>
      </c>
      <c r="I1651">
        <v>357.29669999999999</v>
      </c>
      <c r="J1651">
        <v>-202.15719999999999</v>
      </c>
      <c r="K1651">
        <v>1.1089230000000001</v>
      </c>
      <c r="L1651">
        <v>363.27379999999999</v>
      </c>
      <c r="M1651">
        <v>0.91524289999999997</v>
      </c>
      <c r="N1651">
        <v>0</v>
      </c>
      <c r="O1651">
        <v>-0.40266730000000001</v>
      </c>
      <c r="P1651">
        <v>0.84506199999999998</v>
      </c>
      <c r="Q1651">
        <v>4.1236830000000002E-2</v>
      </c>
      <c r="R1651">
        <v>-0.5330762</v>
      </c>
      <c r="S1651">
        <v>1.913834</v>
      </c>
      <c r="T1651">
        <v>-0.48683409999999999</v>
      </c>
      <c r="U1651">
        <v>-2.6372990000000001</v>
      </c>
      <c r="V1651">
        <v>0.14784610000000001</v>
      </c>
      <c r="W1651">
        <v>5.4261549999999999E-2</v>
      </c>
      <c r="X1651">
        <v>0.98752079999999998</v>
      </c>
      <c r="Y1651">
        <v>0.50310589999999999</v>
      </c>
      <c r="Z1651">
        <v>2.312024E-2</v>
      </c>
      <c r="AA1651">
        <v>0.8639154</v>
      </c>
      <c r="AB1651">
        <v>14</v>
      </c>
      <c r="AC1651">
        <v>4.2952999999999903</v>
      </c>
      <c r="AD1651">
        <v>-1.1089287440309901</v>
      </c>
      <c r="AE1651">
        <v>-5.9771000000000001</v>
      </c>
      <c r="AF1651">
        <v>3.65823779603843</v>
      </c>
      <c r="AG1651">
        <v>-1.1089287440309901</v>
      </c>
      <c r="AH1651">
        <v>6.1979393870764197</v>
      </c>
      <c r="AI1651">
        <v>98.759338012709705</v>
      </c>
      <c r="AJ1651">
        <v>59.449428691279103</v>
      </c>
      <c r="AK1651">
        <v>7.2819557385070297</v>
      </c>
      <c r="AL1651">
        <v>86.889514724492599</v>
      </c>
      <c r="AM1651">
        <v>81.485237749352393</v>
      </c>
      <c r="AN1651">
        <v>1.0000000577631201</v>
      </c>
    </row>
    <row r="1652" spans="1:40" x14ac:dyDescent="0.25">
      <c r="A1652" t="str">
        <f>"20190312153919448"</f>
        <v>20190312153919448</v>
      </c>
      <c r="B1652" t="str">
        <f>"1552376359437348"</f>
        <v>1552376359437348</v>
      </c>
      <c r="C1652" t="s">
        <v>40</v>
      </c>
      <c r="D1652">
        <v>4.4363890000000001</v>
      </c>
      <c r="E1652">
        <v>0.65319719999999903</v>
      </c>
      <c r="F1652" t="s">
        <v>49</v>
      </c>
      <c r="G1652">
        <v>-197.8006</v>
      </c>
      <c r="H1652" s="1">
        <v>-5.7133669999999898E-6</v>
      </c>
      <c r="I1652">
        <v>357.23360000000002</v>
      </c>
      <c r="J1652">
        <v>-202.09479999999999</v>
      </c>
      <c r="K1652">
        <v>1.1088929999999999</v>
      </c>
      <c r="L1652">
        <v>363.24380000000002</v>
      </c>
      <c r="M1652">
        <v>0.91446130000000003</v>
      </c>
      <c r="N1652">
        <v>0</v>
      </c>
      <c r="O1652">
        <v>-0.40443829999999997</v>
      </c>
      <c r="P1652">
        <v>0.84359789999999901</v>
      </c>
      <c r="Q1652">
        <v>4.0741840000000001E-2</v>
      </c>
      <c r="R1652">
        <v>-0.53542780000000001</v>
      </c>
      <c r="S1652">
        <v>1.9064179999999999</v>
      </c>
      <c r="T1652">
        <v>-0.48525059999999898</v>
      </c>
      <c r="U1652">
        <v>-2.6430660000000001</v>
      </c>
      <c r="V1652">
        <v>0.148677799999999</v>
      </c>
      <c r="W1652">
        <v>5.375398E-2</v>
      </c>
      <c r="X1652">
        <v>0.98742370000000002</v>
      </c>
      <c r="Y1652">
        <v>0.50393739999999998</v>
      </c>
      <c r="Z1652">
        <v>2.3266930000000002E-2</v>
      </c>
      <c r="AA1652">
        <v>0.86342669999999999</v>
      </c>
      <c r="AB1652">
        <v>14</v>
      </c>
      <c r="AC1652">
        <v>4.2941999999999796</v>
      </c>
      <c r="AD1652">
        <v>-1.1088987133670001</v>
      </c>
      <c r="AE1652">
        <v>-6.0101999999999904</v>
      </c>
      <c r="AF1652">
        <v>3.6768502349892902</v>
      </c>
      <c r="AG1652">
        <v>-1.1088987133670001</v>
      </c>
      <c r="AH1652">
        <v>6.2181045719782801</v>
      </c>
      <c r="AI1652">
        <v>98.727075536635198</v>
      </c>
      <c r="AJ1652">
        <v>59.403594783307099</v>
      </c>
      <c r="AK1652">
        <v>7.3084682714714599</v>
      </c>
      <c r="AL1652">
        <v>86.918638888808104</v>
      </c>
      <c r="AM1652">
        <v>81.437216918067094</v>
      </c>
      <c r="AN1652">
        <v>1.00000007095018</v>
      </c>
    </row>
    <row r="1653" spans="1:40" x14ac:dyDescent="0.25">
      <c r="A1653" t="str">
        <f>"20190312153919459"</f>
        <v>20190312153919459</v>
      </c>
      <c r="B1653" t="str">
        <f>"1552376359447109"</f>
        <v>1552376359447109</v>
      </c>
      <c r="C1653" t="s">
        <v>40</v>
      </c>
      <c r="D1653">
        <v>4.4220680000000003</v>
      </c>
      <c r="E1653">
        <v>0.65311909999999995</v>
      </c>
      <c r="F1653" t="s">
        <v>49</v>
      </c>
      <c r="G1653">
        <v>-197.77019999999999</v>
      </c>
      <c r="H1653" s="1">
        <v>-5.6997599999999998E-6</v>
      </c>
      <c r="I1653">
        <v>357.2072</v>
      </c>
      <c r="J1653">
        <v>-202.02789999999999</v>
      </c>
      <c r="K1653">
        <v>1.108859</v>
      </c>
      <c r="L1653">
        <v>363.21159999999998</v>
      </c>
      <c r="M1653">
        <v>0.91361170000000003</v>
      </c>
      <c r="N1653">
        <v>0</v>
      </c>
      <c r="O1653">
        <v>-0.40635470000000001</v>
      </c>
      <c r="P1653">
        <v>0.84198830000000002</v>
      </c>
      <c r="Q1653">
        <v>4.0736019999999998E-2</v>
      </c>
      <c r="R1653">
        <v>-0.53795599999999999</v>
      </c>
      <c r="S1653">
        <v>1.8980710000000001</v>
      </c>
      <c r="T1653">
        <v>-0.48669770000000001</v>
      </c>
      <c r="U1653">
        <v>-2.6495060000000001</v>
      </c>
      <c r="V1653">
        <v>0.1495745</v>
      </c>
      <c r="W1653">
        <v>5.3734940000000002E-2</v>
      </c>
      <c r="X1653">
        <v>0.98728919999999998</v>
      </c>
      <c r="Y1653">
        <v>0.50491819999999998</v>
      </c>
      <c r="Z1653">
        <v>2.356865E-2</v>
      </c>
      <c r="AA1653">
        <v>0.86284539999999998</v>
      </c>
      <c r="AB1653">
        <v>14</v>
      </c>
      <c r="AC1653">
        <v>4.2576999999999998</v>
      </c>
      <c r="AD1653">
        <v>-1.10886469976</v>
      </c>
      <c r="AE1653">
        <v>-6.0043999999999702</v>
      </c>
      <c r="AF1653">
        <v>3.67256435444714</v>
      </c>
      <c r="AG1653">
        <v>-1.10886469976</v>
      </c>
      <c r="AH1653">
        <v>6.1899262676216198</v>
      </c>
      <c r="AI1653">
        <v>98.758360587200798</v>
      </c>
      <c r="AJ1653">
        <v>59.3187887205697</v>
      </c>
      <c r="AK1653">
        <v>7.28234145440336</v>
      </c>
      <c r="AL1653">
        <v>86.919731066936194</v>
      </c>
      <c r="AM1653">
        <v>81.385189890241406</v>
      </c>
      <c r="AN1653">
        <v>0.99999996963184601</v>
      </c>
    </row>
    <row r="1654" spans="1:40" x14ac:dyDescent="0.25">
      <c r="A1654" t="str">
        <f>"20190312153919472"</f>
        <v>20190312153919472</v>
      </c>
      <c r="B1654" t="str">
        <f>"1552376359467606"</f>
        <v>1552376359467606</v>
      </c>
      <c r="C1654" t="s">
        <v>40</v>
      </c>
      <c r="D1654">
        <v>4.4369769999999997</v>
      </c>
      <c r="E1654">
        <v>0.65305459999999904</v>
      </c>
      <c r="F1654" t="s">
        <v>49</v>
      </c>
      <c r="G1654">
        <v>-197.7251</v>
      </c>
      <c r="H1654" s="1">
        <v>-5.6800800000000003E-6</v>
      </c>
      <c r="I1654">
        <v>357.1694</v>
      </c>
      <c r="J1654">
        <v>-201.95249999999999</v>
      </c>
      <c r="K1654">
        <v>1.1088279999999999</v>
      </c>
      <c r="L1654">
        <v>363.17500000000001</v>
      </c>
      <c r="M1654">
        <v>0.91262010000000005</v>
      </c>
      <c r="N1654">
        <v>0</v>
      </c>
      <c r="O1654">
        <v>-0.4085763</v>
      </c>
      <c r="P1654">
        <v>0.84040780000000004</v>
      </c>
      <c r="Q1654">
        <v>4.0411910000000002E-2</v>
      </c>
      <c r="R1654">
        <v>-0.54044609999999904</v>
      </c>
      <c r="S1654">
        <v>1.8904719999999999</v>
      </c>
      <c r="T1654">
        <v>-0.4871914</v>
      </c>
      <c r="U1654">
        <v>-2.6546940000000001</v>
      </c>
      <c r="V1654">
        <v>0.15009210000000001</v>
      </c>
      <c r="W1654">
        <v>5.3399250000000002E-2</v>
      </c>
      <c r="X1654">
        <v>0.98722889999999996</v>
      </c>
      <c r="Y1654">
        <v>0.50526740000000003</v>
      </c>
      <c r="Z1654">
        <v>2.3933949999999999E-2</v>
      </c>
      <c r="AA1654">
        <v>0.86263080000000003</v>
      </c>
      <c r="AB1654">
        <v>14</v>
      </c>
      <c r="AC1654">
        <v>4.2273999999999798</v>
      </c>
      <c r="AD1654">
        <v>-1.1088336800799901</v>
      </c>
      <c r="AE1654">
        <v>-6.00560000000001</v>
      </c>
      <c r="AF1654">
        <v>3.67030824706351</v>
      </c>
      <c r="AG1654">
        <v>-1.1088336800799901</v>
      </c>
      <c r="AH1654">
        <v>6.1716732182316303</v>
      </c>
      <c r="AI1654">
        <v>98.778345974650193</v>
      </c>
      <c r="AJ1654">
        <v>59.259953392019199</v>
      </c>
      <c r="AK1654">
        <v>7.2656882035482298</v>
      </c>
      <c r="AL1654">
        <v>86.938992464898504</v>
      </c>
      <c r="AM1654">
        <v>81.355308032932498</v>
      </c>
      <c r="AN1654">
        <v>1.00000000968909</v>
      </c>
    </row>
    <row r="1655" spans="1:40" x14ac:dyDescent="0.25">
      <c r="A1655" t="str">
        <f>"20190312153919485"</f>
        <v>20190312153919485</v>
      </c>
      <c r="B1655" t="str">
        <f>"1552376359477870"</f>
        <v>1552376359477870</v>
      </c>
      <c r="C1655" t="s">
        <v>40</v>
      </c>
      <c r="D1655">
        <v>4.4356730000000004</v>
      </c>
      <c r="E1655">
        <v>0.65304689999999999</v>
      </c>
      <c r="F1655" t="s">
        <v>49</v>
      </c>
      <c r="G1655">
        <v>-197.6619</v>
      </c>
      <c r="H1655" s="1">
        <v>-5.6511729999999997E-6</v>
      </c>
      <c r="I1655">
        <v>357.11250000000001</v>
      </c>
      <c r="J1655">
        <v>-201.886</v>
      </c>
      <c r="K1655">
        <v>1.108797</v>
      </c>
      <c r="L1655">
        <v>363.14240000000001</v>
      </c>
      <c r="M1655">
        <v>0.91172249999999999</v>
      </c>
      <c r="N1655">
        <v>0</v>
      </c>
      <c r="O1655">
        <v>-0.41057539999999998</v>
      </c>
      <c r="P1655">
        <v>0.83897630000000001</v>
      </c>
      <c r="Q1655">
        <v>4.0276840000000001E-2</v>
      </c>
      <c r="R1655">
        <v>-0.54267559999999904</v>
      </c>
      <c r="S1655">
        <v>1.882538</v>
      </c>
      <c r="T1655">
        <v>-0.48650739999999998</v>
      </c>
      <c r="U1655">
        <v>-2.6599430000000002</v>
      </c>
      <c r="V1655">
        <v>0.15055079999999901</v>
      </c>
      <c r="W1655">
        <v>5.3254969999999999E-2</v>
      </c>
      <c r="X1655">
        <v>0.98716680000000001</v>
      </c>
      <c r="Y1655">
        <v>0.50590769999999996</v>
      </c>
      <c r="Z1655">
        <v>2.4181649999999999E-2</v>
      </c>
      <c r="AA1655">
        <v>0.86224869999999898</v>
      </c>
      <c r="AB1655">
        <v>14</v>
      </c>
      <c r="AC1655">
        <v>4.2240999999999902</v>
      </c>
      <c r="AD1655">
        <v>-1.108802651173</v>
      </c>
      <c r="AE1655">
        <v>-6.0298999999999898</v>
      </c>
      <c r="AF1655">
        <v>3.6801666577523102</v>
      </c>
      <c r="AG1655">
        <v>-1.108802651173</v>
      </c>
      <c r="AH1655">
        <v>6.1871965488151703</v>
      </c>
      <c r="AI1655">
        <v>98.756038540653293</v>
      </c>
      <c r="AJ1655">
        <v>59.255666706849397</v>
      </c>
      <c r="AK1655">
        <v>7.28385001779625</v>
      </c>
      <c r="AL1655">
        <v>86.947270736962494</v>
      </c>
      <c r="AM1655">
        <v>81.328752545806296</v>
      </c>
      <c r="AN1655">
        <v>0.99999996311628903</v>
      </c>
    </row>
    <row r="1656" spans="1:40" x14ac:dyDescent="0.25">
      <c r="A1656" t="str">
        <f>"20190312153919496"</f>
        <v>20190312153919496</v>
      </c>
      <c r="B1656" t="str">
        <f>"1552376359487631"</f>
        <v>1552376359487631</v>
      </c>
      <c r="C1656" t="s">
        <v>40</v>
      </c>
      <c r="D1656">
        <v>4.4138250000000001</v>
      </c>
      <c r="E1656">
        <v>0.65302859999999996</v>
      </c>
      <c r="F1656" t="s">
        <v>49</v>
      </c>
      <c r="G1656">
        <v>-197.607</v>
      </c>
      <c r="H1656" s="1">
        <v>-5.6256890000000001E-6</v>
      </c>
      <c r="I1656">
        <v>357.06199999999899</v>
      </c>
      <c r="J1656">
        <v>-201.8177</v>
      </c>
      <c r="K1656">
        <v>1.1087659999999999</v>
      </c>
      <c r="L1656">
        <v>363.10879999999997</v>
      </c>
      <c r="M1656">
        <v>0.91078400000000004</v>
      </c>
      <c r="N1656">
        <v>0</v>
      </c>
      <c r="O1656">
        <v>-0.41265279999999999</v>
      </c>
      <c r="P1656">
        <v>0.83768399999999998</v>
      </c>
      <c r="Q1656">
        <v>3.9976440000000002E-2</v>
      </c>
      <c r="R1656">
        <v>-0.54469040000000002</v>
      </c>
      <c r="S1656">
        <v>1.875381</v>
      </c>
      <c r="T1656">
        <v>-0.48595640000000001</v>
      </c>
      <c r="U1656">
        <v>-2.6648559999999999</v>
      </c>
      <c r="V1656">
        <v>0.1506691</v>
      </c>
      <c r="W1656">
        <v>5.2947840000000003E-2</v>
      </c>
      <c r="X1656">
        <v>0.98716530000000002</v>
      </c>
      <c r="Y1656">
        <v>0.50625540000000002</v>
      </c>
      <c r="Z1656">
        <v>2.4471610000000001E-2</v>
      </c>
      <c r="AA1656">
        <v>0.86203629999999998</v>
      </c>
      <c r="AB1656">
        <v>14</v>
      </c>
      <c r="AC1656">
        <v>4.2107000000000001</v>
      </c>
      <c r="AD1656">
        <v>-1.1087716256889999</v>
      </c>
      <c r="AE1656">
        <v>-6.0468000000000099</v>
      </c>
      <c r="AF1656">
        <v>3.6866531390508301</v>
      </c>
      <c r="AG1656">
        <v>-1.1087716256889999</v>
      </c>
      <c r="AH1656">
        <v>6.1906932385328304</v>
      </c>
      <c r="AI1656">
        <v>98.748233559998198</v>
      </c>
      <c r="AJ1656">
        <v>59.225550301300402</v>
      </c>
      <c r="AK1656">
        <v>7.2900938717702797</v>
      </c>
      <c r="AL1656">
        <v>86.964892936205601</v>
      </c>
      <c r="AM1656">
        <v>81.322029543059799</v>
      </c>
      <c r="AN1656">
        <v>0.99999999048978205</v>
      </c>
    </row>
    <row r="1657" spans="1:40" x14ac:dyDescent="0.25">
      <c r="A1657" t="str">
        <f>"20190312153919508"</f>
        <v>20190312153919508</v>
      </c>
      <c r="B1657" t="str">
        <f>"1552376359497391"</f>
        <v>1552376359497391</v>
      </c>
      <c r="C1657" t="s">
        <v>40</v>
      </c>
      <c r="D1657">
        <v>4.4466349999999997</v>
      </c>
      <c r="E1657">
        <v>0.65294379999999996</v>
      </c>
      <c r="F1657" t="s">
        <v>49</v>
      </c>
      <c r="G1657">
        <v>-197.55940000000001</v>
      </c>
      <c r="H1657" s="1">
        <v>-5.6062440000000002E-6</v>
      </c>
      <c r="I1657">
        <v>357.02620000000002</v>
      </c>
      <c r="J1657">
        <v>-201.75749999999999</v>
      </c>
      <c r="K1657">
        <v>1.108744</v>
      </c>
      <c r="L1657">
        <v>363.07889999999998</v>
      </c>
      <c r="M1657">
        <v>0.90992890000000004</v>
      </c>
      <c r="N1657">
        <v>0</v>
      </c>
      <c r="O1657">
        <v>-0.41453449999999997</v>
      </c>
      <c r="P1657">
        <v>0.83640969999999903</v>
      </c>
      <c r="Q1657">
        <v>3.9690620000000003E-2</v>
      </c>
      <c r="R1657">
        <v>-0.54666569999999903</v>
      </c>
      <c r="S1657">
        <v>1.86879</v>
      </c>
      <c r="T1657">
        <v>-0.48659059999999998</v>
      </c>
      <c r="U1657">
        <v>-2.669403</v>
      </c>
      <c r="V1657">
        <v>0.15095439999999999</v>
      </c>
      <c r="W1657">
        <v>5.2656429999999997E-2</v>
      </c>
      <c r="X1657">
        <v>0.9871373</v>
      </c>
      <c r="Y1657">
        <v>0.50660179999999999</v>
      </c>
      <c r="Z1657">
        <v>2.4788069999999999E-2</v>
      </c>
      <c r="AA1657">
        <v>0.86182380000000003</v>
      </c>
      <c r="AB1657">
        <v>14</v>
      </c>
      <c r="AC1657">
        <v>4.1980999999999797</v>
      </c>
      <c r="AD1657">
        <v>-1.1087496062440001</v>
      </c>
      <c r="AE1657">
        <v>-6.0526999999999598</v>
      </c>
      <c r="AF1657">
        <v>3.6841580974918902</v>
      </c>
      <c r="AG1657">
        <v>-1.1087496062440001</v>
      </c>
      <c r="AH1657">
        <v>6.1893982622485497</v>
      </c>
      <c r="AI1657">
        <v>98.750919204016199</v>
      </c>
      <c r="AJ1657">
        <v>59.237331968287499</v>
      </c>
      <c r="AK1657">
        <v>7.2877292365582997</v>
      </c>
      <c r="AL1657">
        <v>86.981612821713895</v>
      </c>
      <c r="AM1657">
        <v>81.305605351086896</v>
      </c>
      <c r="AN1657">
        <v>0.99999998977549698</v>
      </c>
    </row>
    <row r="1658" spans="1:40" x14ac:dyDescent="0.25">
      <c r="A1658" t="str">
        <f>"20190312153919518"</f>
        <v>20190312153919518</v>
      </c>
      <c r="B1658" t="str">
        <f>"1552376359507151"</f>
        <v>1552376359507151</v>
      </c>
      <c r="C1658" t="s">
        <v>40</v>
      </c>
      <c r="D1658">
        <v>4.4480620000000002</v>
      </c>
      <c r="E1658">
        <v>0.65290649999999995</v>
      </c>
      <c r="F1658" t="s">
        <v>49</v>
      </c>
      <c r="G1658">
        <v>-197.51509999999999</v>
      </c>
      <c r="H1658" s="1">
        <v>-5.5877970000000002E-6</v>
      </c>
      <c r="I1658">
        <v>356.99169999999998</v>
      </c>
      <c r="J1658">
        <v>-201.69800000000001</v>
      </c>
      <c r="K1658">
        <v>1.108722</v>
      </c>
      <c r="L1658">
        <v>363.04930000000002</v>
      </c>
      <c r="M1658">
        <v>0.90907570000000004</v>
      </c>
      <c r="N1658">
        <v>0</v>
      </c>
      <c r="O1658">
        <v>-0.41640260000000001</v>
      </c>
      <c r="P1658">
        <v>0.83516369999999895</v>
      </c>
      <c r="Q1658">
        <v>3.9697530000000002E-2</v>
      </c>
      <c r="R1658">
        <v>-0.54856740000000004</v>
      </c>
      <c r="S1658">
        <v>1.8628849999999999</v>
      </c>
      <c r="T1658">
        <v>-0.48686040000000003</v>
      </c>
      <c r="U1658">
        <v>-2.6729129999999999</v>
      </c>
      <c r="V1658">
        <v>0.1511757</v>
      </c>
      <c r="W1658">
        <v>5.2657860000000001E-2</v>
      </c>
      <c r="X1658">
        <v>0.98710330000000002</v>
      </c>
      <c r="Y1658">
        <v>0.50665749999999998</v>
      </c>
      <c r="Z1658">
        <v>2.51124E-2</v>
      </c>
      <c r="AA1658">
        <v>0.86178169999999898</v>
      </c>
      <c r="AB1658">
        <v>14</v>
      </c>
      <c r="AC1658">
        <v>4.1828999999999796</v>
      </c>
      <c r="AD1658">
        <v>-1.108727587797</v>
      </c>
      <c r="AE1658">
        <v>-6.0576000000000301</v>
      </c>
      <c r="AF1658">
        <v>3.6818845536985498</v>
      </c>
      <c r="AG1658">
        <v>-1.108727587797</v>
      </c>
      <c r="AH1658">
        <v>6.18526776126442</v>
      </c>
      <c r="AI1658">
        <v>98.756387912357795</v>
      </c>
      <c r="AJ1658">
        <v>59.236066045619602</v>
      </c>
      <c r="AK1658">
        <v>7.2830685846862098</v>
      </c>
      <c r="AL1658">
        <v>86.981530605443197</v>
      </c>
      <c r="AM1658">
        <v>81.292759200129197</v>
      </c>
      <c r="AN1658">
        <v>0.99999993368057705</v>
      </c>
    </row>
    <row r="1659" spans="1:40" x14ac:dyDescent="0.25">
      <c r="A1659" t="str">
        <f>"20190312153919529"</f>
        <v>20190312153919529</v>
      </c>
      <c r="B1659" t="str">
        <f>"1552376359517888"</f>
        <v>1552376359517888</v>
      </c>
      <c r="C1659" t="s">
        <v>40</v>
      </c>
      <c r="D1659">
        <v>4.4560519999999997</v>
      </c>
      <c r="E1659">
        <v>0.65290419999999905</v>
      </c>
      <c r="F1659" t="s">
        <v>49</v>
      </c>
      <c r="G1659">
        <v>-197.46109999999999</v>
      </c>
      <c r="H1659" s="1">
        <v>-5.5625090000000001E-6</v>
      </c>
      <c r="I1659">
        <v>356.94139999999999</v>
      </c>
      <c r="J1659">
        <v>-201.6371</v>
      </c>
      <c r="K1659">
        <v>1.1087</v>
      </c>
      <c r="L1659">
        <v>363.01859999999999</v>
      </c>
      <c r="M1659">
        <v>0.90817639999999999</v>
      </c>
      <c r="N1659">
        <v>0</v>
      </c>
      <c r="O1659">
        <v>-0.4183598</v>
      </c>
      <c r="P1659">
        <v>0.833835199999999</v>
      </c>
      <c r="Q1659">
        <v>3.9539110000000002E-2</v>
      </c>
      <c r="R1659">
        <v>-0.55059530000000001</v>
      </c>
      <c r="S1659">
        <v>1.856903</v>
      </c>
      <c r="T1659">
        <v>-0.4859195</v>
      </c>
      <c r="U1659">
        <v>-2.6768800000000001</v>
      </c>
      <c r="V1659">
        <v>0.15144739999999901</v>
      </c>
      <c r="W1659">
        <v>5.2494060000000002E-2</v>
      </c>
      <c r="X1659">
        <v>0.98707040000000001</v>
      </c>
      <c r="Y1659">
        <v>0.50671929999999998</v>
      </c>
      <c r="Z1659">
        <v>2.5386579999999999E-2</v>
      </c>
      <c r="AA1659">
        <v>0.86173729999999904</v>
      </c>
      <c r="AB1659">
        <v>14</v>
      </c>
      <c r="AC1659">
        <v>4.1760000000000099</v>
      </c>
      <c r="AD1659">
        <v>-1.1087055625090001</v>
      </c>
      <c r="AE1659">
        <v>-6.0772000000000004</v>
      </c>
      <c r="AF1659">
        <v>3.6890565727569502</v>
      </c>
      <c r="AG1659">
        <v>-1.1087055625090001</v>
      </c>
      <c r="AH1659">
        <v>6.1955361846128003</v>
      </c>
      <c r="AI1659">
        <v>98.741281566321007</v>
      </c>
      <c r="AJ1659">
        <v>59.228831500891403</v>
      </c>
      <c r="AK1659">
        <v>7.2954119168273301</v>
      </c>
      <c r="AL1659">
        <v>86.990928725973305</v>
      </c>
      <c r="AM1659">
        <v>81.277064346043105</v>
      </c>
      <c r="AN1659">
        <v>0.99999995792910101</v>
      </c>
    </row>
    <row r="1660" spans="1:40" x14ac:dyDescent="0.25">
      <c r="A1660" t="str">
        <f>"20190312153919540"</f>
        <v>20190312153919540</v>
      </c>
      <c r="B1660" t="str">
        <f>"1552376359537407"</f>
        <v>1552376359537407</v>
      </c>
      <c r="C1660" t="s">
        <v>40</v>
      </c>
      <c r="D1660">
        <v>4.476947</v>
      </c>
      <c r="E1660">
        <v>0.65279750000000003</v>
      </c>
      <c r="F1660" t="s">
        <v>49</v>
      </c>
      <c r="G1660">
        <v>-197.42500000000001</v>
      </c>
      <c r="H1660" s="1">
        <v>-5.548244E-6</v>
      </c>
      <c r="I1660">
        <v>356.91559999999998</v>
      </c>
      <c r="J1660">
        <v>-201.5795</v>
      </c>
      <c r="K1660">
        <v>1.1086780000000001</v>
      </c>
      <c r="L1660">
        <v>362.98950000000002</v>
      </c>
      <c r="M1660">
        <v>0.90731419999999996</v>
      </c>
      <c r="N1660">
        <v>0</v>
      </c>
      <c r="O1660">
        <v>-0.42022660000000001</v>
      </c>
      <c r="P1660">
        <v>0.83264640000000001</v>
      </c>
      <c r="Q1660">
        <v>3.932302E-2</v>
      </c>
      <c r="R1660">
        <v>-0.55240739999999999</v>
      </c>
      <c r="S1660">
        <v>1.850525</v>
      </c>
      <c r="T1660">
        <v>-0.4870853</v>
      </c>
      <c r="U1660">
        <v>-2.6812130000000001</v>
      </c>
      <c r="V1660">
        <v>0.151561</v>
      </c>
      <c r="W1660">
        <v>5.227358E-2</v>
      </c>
      <c r="X1660">
        <v>0.98706470000000002</v>
      </c>
      <c r="Y1660">
        <v>0.50699470000000002</v>
      </c>
      <c r="Z1660">
        <v>2.5736100000000001E-2</v>
      </c>
      <c r="AA1660">
        <v>0.86156489999999997</v>
      </c>
      <c r="AB1660">
        <v>14</v>
      </c>
      <c r="AC1660">
        <v>4.1544999999999801</v>
      </c>
      <c r="AD1660">
        <v>-1.1086835482439901</v>
      </c>
      <c r="AE1660">
        <v>-6.0739000000000303</v>
      </c>
      <c r="AF1660">
        <v>3.6818892334715998</v>
      </c>
      <c r="AG1660">
        <v>-1.1086835482439901</v>
      </c>
      <c r="AH1660">
        <v>6.1821277489980604</v>
      </c>
      <c r="AI1660">
        <v>98.759274831390996</v>
      </c>
      <c r="AJ1660">
        <v>59.223244887441197</v>
      </c>
      <c r="AK1660">
        <v>7.28039772558017</v>
      </c>
      <c r="AL1660">
        <v>87.003578773043998</v>
      </c>
      <c r="AM1660">
        <v>81.270572426427094</v>
      </c>
      <c r="AN1660">
        <v>0.99999999293655295</v>
      </c>
    </row>
    <row r="1661" spans="1:40" x14ac:dyDescent="0.25">
      <c r="A1661" t="str">
        <f>"20190312153919551"</f>
        <v>20190312153919551</v>
      </c>
      <c r="B1661" t="str">
        <f>"1552376359547168"</f>
        <v>1552376359547168</v>
      </c>
      <c r="C1661" t="s">
        <v>40</v>
      </c>
      <c r="D1661">
        <v>4.4747500000000002</v>
      </c>
      <c r="E1661">
        <v>0.65266800000000003</v>
      </c>
      <c r="F1661" t="s">
        <v>49</v>
      </c>
      <c r="G1661">
        <v>-197.39109999999999</v>
      </c>
      <c r="H1661" s="1">
        <v>-5.536251E-6</v>
      </c>
      <c r="I1661">
        <v>356.8956</v>
      </c>
      <c r="J1661">
        <v>-201.5187</v>
      </c>
      <c r="K1661">
        <v>1.1086590000000001</v>
      </c>
      <c r="L1661">
        <v>362.95850000000002</v>
      </c>
      <c r="M1661">
        <v>0.90638229999999997</v>
      </c>
      <c r="N1661">
        <v>0</v>
      </c>
      <c r="O1661">
        <v>-0.42223260000000001</v>
      </c>
      <c r="P1661">
        <v>0.83141089999999995</v>
      </c>
      <c r="Q1661">
        <v>3.93202E-2</v>
      </c>
      <c r="R1661">
        <v>-0.55426549999999997</v>
      </c>
      <c r="S1661">
        <v>1.8450470000000001</v>
      </c>
      <c r="T1661">
        <v>-0.48839690000000002</v>
      </c>
      <c r="U1661">
        <v>-2.6844790000000001</v>
      </c>
      <c r="V1661">
        <v>0.15158369999999999</v>
      </c>
      <c r="W1661">
        <v>5.2267859999999999E-2</v>
      </c>
      <c r="X1661">
        <v>0.98706150000000004</v>
      </c>
      <c r="Y1661">
        <v>0.50678500000000004</v>
      </c>
      <c r="Z1661">
        <v>2.616185E-2</v>
      </c>
      <c r="AA1661">
        <v>0.86167539999999998</v>
      </c>
      <c r="AB1661">
        <v>14</v>
      </c>
      <c r="AC1661">
        <v>4.1276000000000002</v>
      </c>
      <c r="AD1661">
        <v>-1.1086645362509999</v>
      </c>
      <c r="AE1661">
        <v>-6.0629000000000097</v>
      </c>
      <c r="AF1661">
        <v>3.6690253709423502</v>
      </c>
      <c r="AG1661">
        <v>-1.1086645362509999</v>
      </c>
      <c r="AH1661">
        <v>6.1609716962319503</v>
      </c>
      <c r="AI1661">
        <v>98.788898911822898</v>
      </c>
      <c r="AJ1661">
        <v>59.225056919691802</v>
      </c>
      <c r="AK1661">
        <v>7.2559256107219303</v>
      </c>
      <c r="AL1661">
        <v>87.003906902869403</v>
      </c>
      <c r="AM1661">
        <v>81.2692572544982</v>
      </c>
      <c r="AN1661">
        <v>0.99999997603845903</v>
      </c>
    </row>
    <row r="1662" spans="1:40" x14ac:dyDescent="0.25">
      <c r="A1662" t="str">
        <f>"20190312153919561"</f>
        <v>20190312153919561</v>
      </c>
      <c r="B1662" t="str">
        <f>"1552376359557902"</f>
        <v>1552376359557902</v>
      </c>
      <c r="C1662" t="s">
        <v>40</v>
      </c>
      <c r="D1662">
        <v>4.4881209999999996</v>
      </c>
      <c r="E1662">
        <v>0.65258229999999995</v>
      </c>
      <c r="F1662" t="s">
        <v>49</v>
      </c>
      <c r="G1662">
        <v>-197.34880000000001</v>
      </c>
      <c r="H1662" s="1">
        <v>-5.5192749999999998E-6</v>
      </c>
      <c r="I1662">
        <v>356.8646</v>
      </c>
      <c r="J1662">
        <v>-201.46129999999999</v>
      </c>
      <c r="K1662">
        <v>1.1086450000000001</v>
      </c>
      <c r="L1662">
        <v>362.92910000000001</v>
      </c>
      <c r="M1662">
        <v>0.90548839999999997</v>
      </c>
      <c r="N1662">
        <v>0</v>
      </c>
      <c r="O1662">
        <v>-0.42414619999999997</v>
      </c>
      <c r="P1662">
        <v>0.83003119999999997</v>
      </c>
      <c r="Q1662">
        <v>3.9209830000000001E-2</v>
      </c>
      <c r="R1662">
        <v>-0.55633719999999998</v>
      </c>
      <c r="S1662">
        <v>1.8394170000000001</v>
      </c>
      <c r="T1662">
        <v>-0.48904609999999898</v>
      </c>
      <c r="U1662">
        <v>-2.6880799999999998</v>
      </c>
      <c r="V1662">
        <v>0.1519597</v>
      </c>
      <c r="W1662">
        <v>5.2153100000000001E-2</v>
      </c>
      <c r="X1662">
        <v>0.98700980000000005</v>
      </c>
      <c r="Y1662">
        <v>0.50674569999999997</v>
      </c>
      <c r="Z1662">
        <v>2.652274E-2</v>
      </c>
      <c r="AA1662">
        <v>0.86168750000000005</v>
      </c>
      <c r="AB1662">
        <v>14</v>
      </c>
      <c r="AC1662">
        <v>4.1124999999999803</v>
      </c>
      <c r="AD1662">
        <v>-1.108650519275</v>
      </c>
      <c r="AE1662">
        <v>-6.0644999999999998</v>
      </c>
      <c r="AF1662">
        <v>3.66352412216182</v>
      </c>
      <c r="AG1662">
        <v>-1.108650519275</v>
      </c>
      <c r="AH1662">
        <v>6.1557373232740602</v>
      </c>
      <c r="AI1662">
        <v>98.797620105934499</v>
      </c>
      <c r="AJ1662">
        <v>59.2414402343449</v>
      </c>
      <c r="AK1662">
        <v>7.2486976044458897</v>
      </c>
      <c r="AL1662">
        <v>87.010491280796401</v>
      </c>
      <c r="AM1662">
        <v>81.2474844062546</v>
      </c>
      <c r="AN1662">
        <v>1.0000000207798601</v>
      </c>
    </row>
    <row r="1663" spans="1:40" x14ac:dyDescent="0.25">
      <c r="A1663" t="str">
        <f>"20190312153919572"</f>
        <v>20190312153919572</v>
      </c>
      <c r="B1663" t="str">
        <f>"1552376359567663"</f>
        <v>1552376359567663</v>
      </c>
      <c r="C1663" t="s">
        <v>40</v>
      </c>
      <c r="D1663">
        <v>4.4664729999999997</v>
      </c>
      <c r="E1663">
        <v>0.6524858</v>
      </c>
      <c r="F1663" t="s">
        <v>49</v>
      </c>
      <c r="G1663">
        <v>-197.31190000000001</v>
      </c>
      <c r="H1663" s="1">
        <v>-5.5047519999999997E-6</v>
      </c>
      <c r="I1663">
        <v>356.83839999999998</v>
      </c>
      <c r="J1663">
        <v>-201.40190000000001</v>
      </c>
      <c r="K1663">
        <v>1.108622</v>
      </c>
      <c r="L1663">
        <v>362.89839999999998</v>
      </c>
      <c r="M1663">
        <v>0.90454639999999997</v>
      </c>
      <c r="N1663">
        <v>0</v>
      </c>
      <c r="O1663">
        <v>-0.42615120000000001</v>
      </c>
      <c r="P1663">
        <v>0.82876419999999995</v>
      </c>
      <c r="Q1663">
        <v>3.8825249999999999E-2</v>
      </c>
      <c r="R1663">
        <v>-0.55824980000000002</v>
      </c>
      <c r="S1663">
        <v>1.8335269999999999</v>
      </c>
      <c r="T1663">
        <v>-0.48989139999999998</v>
      </c>
      <c r="U1663">
        <v>-2.6913450000000001</v>
      </c>
      <c r="V1663">
        <v>0.15204139999999999</v>
      </c>
      <c r="W1663">
        <v>5.176596E-2</v>
      </c>
      <c r="X1663">
        <v>0.98701760000000005</v>
      </c>
      <c r="Y1663">
        <v>0.50662499999999999</v>
      </c>
      <c r="Z1663">
        <v>2.6920920000000001E-2</v>
      </c>
      <c r="AA1663">
        <v>0.86174609999999996</v>
      </c>
      <c r="AB1663">
        <v>14</v>
      </c>
      <c r="AC1663">
        <v>4.09</v>
      </c>
      <c r="AD1663">
        <v>-1.108627504752</v>
      </c>
      <c r="AE1663">
        <v>-6.06</v>
      </c>
      <c r="AF1663">
        <v>3.6549097225074401</v>
      </c>
      <c r="AG1663">
        <v>-1.108627504752</v>
      </c>
      <c r="AH1663">
        <v>6.1414558702977002</v>
      </c>
      <c r="AI1663">
        <v>98.817648322301494</v>
      </c>
      <c r="AJ1663">
        <v>59.242232082780397</v>
      </c>
      <c r="AK1663">
        <v>7.23221267875787</v>
      </c>
      <c r="AL1663">
        <v>87.032702776602804</v>
      </c>
      <c r="AM1663">
        <v>81.242919737266902</v>
      </c>
      <c r="AN1663">
        <v>1.00000002231922</v>
      </c>
    </row>
    <row r="1664" spans="1:40" x14ac:dyDescent="0.25">
      <c r="A1664" t="str">
        <f>"20190312153919582"</f>
        <v>20190312153919582</v>
      </c>
      <c r="B1664" t="str">
        <f>"1552376359576955"</f>
        <v>1552376359576955</v>
      </c>
      <c r="C1664" t="s">
        <v>40</v>
      </c>
      <c r="D1664">
        <v>4.4830459999999999</v>
      </c>
      <c r="E1664">
        <v>0.65241090000000002</v>
      </c>
      <c r="F1664" t="s">
        <v>49</v>
      </c>
      <c r="G1664">
        <v>-197.27809999999999</v>
      </c>
      <c r="H1664" s="1">
        <v>-5.4925369999999999E-6</v>
      </c>
      <c r="I1664">
        <v>356.8177</v>
      </c>
      <c r="J1664">
        <v>-201.34540000000001</v>
      </c>
      <c r="K1664">
        <v>1.108609</v>
      </c>
      <c r="L1664">
        <v>362.8691</v>
      </c>
      <c r="M1664">
        <v>0.90363210000000005</v>
      </c>
      <c r="N1664">
        <v>0</v>
      </c>
      <c r="O1664">
        <v>-0.42808669999999999</v>
      </c>
      <c r="P1664">
        <v>0.82761870000000004</v>
      </c>
      <c r="Q1664">
        <v>3.8644280000000003E-2</v>
      </c>
      <c r="R1664">
        <v>-0.55995909999999904</v>
      </c>
      <c r="S1664">
        <v>1.8276209999999999</v>
      </c>
      <c r="T1664">
        <v>-0.49133270000000001</v>
      </c>
      <c r="U1664">
        <v>-2.6949160000000001</v>
      </c>
      <c r="V1664">
        <v>0.15196279999999901</v>
      </c>
      <c r="W1664">
        <v>5.1583579999999997E-2</v>
      </c>
      <c r="X1664">
        <v>0.98703920000000001</v>
      </c>
      <c r="Y1664">
        <v>0.50661400000000001</v>
      </c>
      <c r="Z1664">
        <v>2.7330219999999999E-2</v>
      </c>
      <c r="AA1664">
        <v>0.861739699999999</v>
      </c>
      <c r="AB1664">
        <v>14</v>
      </c>
      <c r="AC1664">
        <v>4.0673000000000101</v>
      </c>
      <c r="AD1664">
        <v>-1.1086144925370001</v>
      </c>
      <c r="AE1664">
        <v>-6.0514000000000001</v>
      </c>
      <c r="AF1664">
        <v>3.6432128244837698</v>
      </c>
      <c r="AG1664">
        <v>-1.1086144925370001</v>
      </c>
      <c r="AH1664">
        <v>6.1248677501419904</v>
      </c>
      <c r="AI1664">
        <v>98.842189781936995</v>
      </c>
      <c r="AJ1664">
        <v>59.254840566335602</v>
      </c>
      <c r="AK1664">
        <v>7.2122139967055601</v>
      </c>
      <c r="AL1664">
        <v>87.043166206468101</v>
      </c>
      <c r="AM1664">
        <v>81.247565289721805</v>
      </c>
      <c r="AN1664">
        <v>0.99999997032304699</v>
      </c>
    </row>
    <row r="1665" spans="1:40" x14ac:dyDescent="0.25">
      <c r="A1665" t="str">
        <f>"20190312153919593"</f>
        <v>20190312153919593</v>
      </c>
      <c r="B1665" t="str">
        <f>"1552376359587691"</f>
        <v>1552376359587691</v>
      </c>
      <c r="C1665" t="s">
        <v>40</v>
      </c>
      <c r="D1665">
        <v>4.4952100000000002</v>
      </c>
      <c r="E1665">
        <v>0.6522964</v>
      </c>
      <c r="F1665" t="s">
        <v>49</v>
      </c>
      <c r="G1665">
        <v>-197.2414</v>
      </c>
      <c r="H1665" s="1">
        <v>-5.4782929999999997E-6</v>
      </c>
      <c r="I1665">
        <v>356.79230000000001</v>
      </c>
      <c r="J1665">
        <v>-201.28469999999999</v>
      </c>
      <c r="K1665">
        <v>1.108595</v>
      </c>
      <c r="L1665">
        <v>362.8374</v>
      </c>
      <c r="M1665">
        <v>0.90263649999999995</v>
      </c>
      <c r="N1665">
        <v>0</v>
      </c>
      <c r="O1665">
        <v>-0.43018200000000001</v>
      </c>
      <c r="P1665">
        <v>0.82596059999999905</v>
      </c>
      <c r="Q1665">
        <v>3.8083850000000002E-2</v>
      </c>
      <c r="R1665">
        <v>-0.56244059999999996</v>
      </c>
      <c r="S1665">
        <v>1.822235</v>
      </c>
      <c r="T1665">
        <v>-0.49225150000000001</v>
      </c>
      <c r="U1665">
        <v>-2.698242</v>
      </c>
      <c r="V1665">
        <v>0.15262329999999999</v>
      </c>
      <c r="W1665">
        <v>5.1016890000000002E-2</v>
      </c>
      <c r="X1665">
        <v>0.98696680000000003</v>
      </c>
      <c r="Y1665">
        <v>0.50630569999999997</v>
      </c>
      <c r="Z1665">
        <v>2.7763989999999999E-2</v>
      </c>
      <c r="AA1665">
        <v>0.86190710000000004</v>
      </c>
      <c r="AB1665">
        <v>14</v>
      </c>
      <c r="AC1665">
        <v>4.0432999999999799</v>
      </c>
      <c r="AD1665">
        <v>-1.1086004782929999</v>
      </c>
      <c r="AE1665">
        <v>-6.0450999999999899</v>
      </c>
      <c r="AF1665">
        <v>3.63310823964063</v>
      </c>
      <c r="AG1665">
        <v>-1.1086004782929999</v>
      </c>
      <c r="AH1665">
        <v>6.1087752852325004</v>
      </c>
      <c r="AI1665">
        <v>98.865337213571294</v>
      </c>
      <c r="AJ1665">
        <v>59.2585292907129</v>
      </c>
      <c r="AK1665">
        <v>7.1934418734624996</v>
      </c>
      <c r="AL1665">
        <v>87.075678135478398</v>
      </c>
      <c r="AM1665">
        <v>81.209481307775107</v>
      </c>
      <c r="AN1665">
        <v>1.0000000295352001</v>
      </c>
    </row>
    <row r="1666" spans="1:40" x14ac:dyDescent="0.25">
      <c r="A1666" t="str">
        <f>"20190312153919606"</f>
        <v>20190312153919606</v>
      </c>
      <c r="B1666" t="str">
        <f>"1552376359597451"</f>
        <v>1552376359597451</v>
      </c>
      <c r="C1666" t="s">
        <v>40</v>
      </c>
      <c r="D1666">
        <v>4.4803899999999999</v>
      </c>
      <c r="E1666">
        <v>0.65219159999999998</v>
      </c>
      <c r="F1666" t="s">
        <v>49</v>
      </c>
      <c r="G1666">
        <v>-197.21639999999999</v>
      </c>
      <c r="H1666" s="1">
        <v>-5.469274E-6</v>
      </c>
      <c r="I1666">
        <v>356.77699999999999</v>
      </c>
      <c r="J1666">
        <v>-201.2166</v>
      </c>
      <c r="K1666">
        <v>1.1085780000000001</v>
      </c>
      <c r="L1666">
        <v>362.80149999999998</v>
      </c>
      <c r="M1666">
        <v>0.9014913</v>
      </c>
      <c r="N1666">
        <v>0</v>
      </c>
      <c r="O1666">
        <v>-0.43257600000000002</v>
      </c>
      <c r="P1666">
        <v>0.82383709999999899</v>
      </c>
      <c r="Q1666">
        <v>3.7687169999999999E-2</v>
      </c>
      <c r="R1666">
        <v>-0.56557199999999996</v>
      </c>
      <c r="S1666">
        <v>1.8144229999999999</v>
      </c>
      <c r="T1666">
        <v>-0.49441950000000001</v>
      </c>
      <c r="U1666">
        <v>-2.70282</v>
      </c>
      <c r="V1666">
        <v>0.15374399999999999</v>
      </c>
      <c r="W1666">
        <v>5.0610670000000003E-2</v>
      </c>
      <c r="X1666">
        <v>0.98681370000000002</v>
      </c>
      <c r="Y1666">
        <v>0.5064208</v>
      </c>
      <c r="Z1666">
        <v>2.8287590000000001E-2</v>
      </c>
      <c r="AA1666">
        <v>0.86182239999999999</v>
      </c>
      <c r="AB1666">
        <v>14</v>
      </c>
      <c r="AC1666">
        <v>4.0002000000000004</v>
      </c>
      <c r="AD1666">
        <v>-1.108583469274</v>
      </c>
      <c r="AE1666">
        <v>-6.0244999999999802</v>
      </c>
      <c r="AF1666">
        <v>3.6160218208022501</v>
      </c>
      <c r="AG1666">
        <v>-1.108583469274</v>
      </c>
      <c r="AH1666">
        <v>6.0701462849412398</v>
      </c>
      <c r="AI1666">
        <v>98.916973999881705</v>
      </c>
      <c r="AJ1666">
        <v>59.217494385951298</v>
      </c>
      <c r="AK1666">
        <v>7.1520099998148501</v>
      </c>
      <c r="AL1666">
        <v>87.098982754190402</v>
      </c>
      <c r="AM1666">
        <v>81.144600456662204</v>
      </c>
      <c r="AN1666">
        <v>0.99999996798076896</v>
      </c>
    </row>
    <row r="1667" spans="1:40" x14ac:dyDescent="0.25">
      <c r="A1667" t="str">
        <f>"20190312153919617"</f>
        <v>20190312153919617</v>
      </c>
      <c r="B1667" t="str">
        <f>"1552376359607214"</f>
        <v>1552376359607214</v>
      </c>
      <c r="C1667" t="s">
        <v>40</v>
      </c>
      <c r="D1667">
        <v>4.4709279999999998</v>
      </c>
      <c r="E1667">
        <v>0.65219159999999998</v>
      </c>
      <c r="F1667" t="s">
        <v>49</v>
      </c>
      <c r="G1667">
        <v>-197.18369999999999</v>
      </c>
      <c r="H1667" s="1">
        <v>-5.4544970000000002E-6</v>
      </c>
      <c r="I1667">
        <v>356.74810000000002</v>
      </c>
      <c r="J1667">
        <v>-201.1557</v>
      </c>
      <c r="K1667">
        <v>1.108562</v>
      </c>
      <c r="L1667">
        <v>362.76920000000001</v>
      </c>
      <c r="M1667">
        <v>0.90045450000000005</v>
      </c>
      <c r="N1667">
        <v>0</v>
      </c>
      <c r="O1667">
        <v>-0.4347297</v>
      </c>
      <c r="P1667">
        <v>0.82196930000000001</v>
      </c>
      <c r="Q1667">
        <v>3.7290009999999998E-2</v>
      </c>
      <c r="R1667">
        <v>-0.56830939999999996</v>
      </c>
      <c r="S1667">
        <v>1.8046260000000001</v>
      </c>
      <c r="T1667">
        <v>-0.49606909999999999</v>
      </c>
      <c r="U1667">
        <v>-2.7087400000000001</v>
      </c>
      <c r="V1667">
        <v>0.15465989999999999</v>
      </c>
      <c r="W1667">
        <v>5.0204440000000003E-2</v>
      </c>
      <c r="X1667">
        <v>0.9866914</v>
      </c>
      <c r="Y1667">
        <v>0.50738909999999904</v>
      </c>
      <c r="Z1667">
        <v>2.8671510000000001E-2</v>
      </c>
      <c r="AA1667">
        <v>0.86123989999999995</v>
      </c>
      <c r="AB1667">
        <v>14</v>
      </c>
      <c r="AC1667">
        <v>3.972</v>
      </c>
      <c r="AD1667">
        <v>-1.1085674544969999</v>
      </c>
      <c r="AE1667">
        <v>-6.0210999999999899</v>
      </c>
      <c r="AF1667">
        <v>3.6100673585059302</v>
      </c>
      <c r="AG1667">
        <v>-1.1085674544969999</v>
      </c>
      <c r="AH1667">
        <v>6.0518108421296004</v>
      </c>
      <c r="AI1667">
        <v>98.940250601037604</v>
      </c>
      <c r="AJ1667">
        <v>59.182790994170396</v>
      </c>
      <c r="AK1667">
        <v>7.1334369418280597</v>
      </c>
      <c r="AL1667">
        <v>87.122287867208996</v>
      </c>
      <c r="AM1667">
        <v>81.091603235207799</v>
      </c>
      <c r="AN1667">
        <v>1.00000004464884</v>
      </c>
    </row>
    <row r="1668" spans="1:40" x14ac:dyDescent="0.25">
      <c r="A1668" t="str">
        <f>"20190312153919628"</f>
        <v>20190312153919628</v>
      </c>
      <c r="B1668" t="str">
        <f>"1552376359616971"</f>
        <v>1552376359616971</v>
      </c>
      <c r="C1668" t="s">
        <v>40</v>
      </c>
      <c r="D1668">
        <v>4.5103210000000002</v>
      </c>
      <c r="E1668">
        <v>0.65273059999999905</v>
      </c>
      <c r="F1668" t="s">
        <v>49</v>
      </c>
      <c r="G1668">
        <v>-197.1568</v>
      </c>
      <c r="H1668" s="1">
        <v>-5.442263E-6</v>
      </c>
      <c r="I1668">
        <v>356.72410000000002</v>
      </c>
      <c r="J1668">
        <v>-201.09690000000001</v>
      </c>
      <c r="K1668">
        <v>1.10854599999999</v>
      </c>
      <c r="L1668">
        <v>362.73779999999999</v>
      </c>
      <c r="M1668">
        <v>0.89942459999999902</v>
      </c>
      <c r="N1668">
        <v>0</v>
      </c>
      <c r="O1668">
        <v>-0.43685689999999999</v>
      </c>
      <c r="P1668">
        <v>0.81982919999999904</v>
      </c>
      <c r="Q1668">
        <v>3.6654569999999997E-2</v>
      </c>
      <c r="R1668">
        <v>-0.57143369999999905</v>
      </c>
      <c r="S1668">
        <v>1.795593</v>
      </c>
      <c r="T1668">
        <v>-0.4977779</v>
      </c>
      <c r="U1668">
        <v>-2.7144170000000001</v>
      </c>
      <c r="V1668">
        <v>0.15607019999999999</v>
      </c>
      <c r="W1668">
        <v>4.9556759999999998E-2</v>
      </c>
      <c r="X1668">
        <v>0.98650199999999999</v>
      </c>
      <c r="Y1668">
        <v>0.50817869999999998</v>
      </c>
      <c r="Z1668">
        <v>2.9069569999999999E-2</v>
      </c>
      <c r="AA1668">
        <v>0.86076090000000005</v>
      </c>
      <c r="AB1668">
        <v>14</v>
      </c>
      <c r="AC1668">
        <v>3.9401000000000002</v>
      </c>
      <c r="AD1668">
        <v>-1.1085514422629901</v>
      </c>
      <c r="AE1668">
        <v>-6.0136999999999698</v>
      </c>
      <c r="AF1668">
        <v>3.6023190651901</v>
      </c>
      <c r="AG1668">
        <v>-1.1085514422629901</v>
      </c>
      <c r="AH1668">
        <v>6.0282212347408102</v>
      </c>
      <c r="AI1668">
        <v>98.970464340285901</v>
      </c>
      <c r="AJ1668">
        <v>59.138482863465697</v>
      </c>
      <c r="AK1668">
        <v>7.1095035130841202</v>
      </c>
      <c r="AL1668">
        <v>87.159443287048603</v>
      </c>
      <c r="AM1668">
        <v>81.009992961251697</v>
      </c>
      <c r="AN1668">
        <v>0.99999998789686795</v>
      </c>
    </row>
    <row r="1669" spans="1:40" x14ac:dyDescent="0.25">
      <c r="A1669" t="str">
        <f>"20190312153919640"</f>
        <v>20190312153919640</v>
      </c>
      <c r="B1669" t="str">
        <f>"1552376359637467"</f>
        <v>1552376359637467</v>
      </c>
      <c r="C1669" t="s">
        <v>40</v>
      </c>
      <c r="D1669">
        <v>4.4686570000000003</v>
      </c>
      <c r="E1669">
        <v>0.67882629999999999</v>
      </c>
      <c r="F1669" t="s">
        <v>49</v>
      </c>
      <c r="G1669">
        <v>-197.1628</v>
      </c>
      <c r="H1669" s="1">
        <v>-5.4439599999999996E-6</v>
      </c>
      <c r="I1669">
        <v>356.72640000000001</v>
      </c>
      <c r="J1669">
        <v>-201.0343</v>
      </c>
      <c r="K1669">
        <v>1.108535</v>
      </c>
      <c r="L1669">
        <v>362.70420000000001</v>
      </c>
      <c r="M1669">
        <v>0.89831550000000004</v>
      </c>
      <c r="N1669">
        <v>0</v>
      </c>
      <c r="O1669">
        <v>-0.43913289999999999</v>
      </c>
      <c r="P1669">
        <v>0.81753299999999995</v>
      </c>
      <c r="Q1669">
        <v>3.6428130000000003E-2</v>
      </c>
      <c r="R1669">
        <v>-0.57472840000000003</v>
      </c>
      <c r="S1669">
        <v>1.782883</v>
      </c>
      <c r="T1669">
        <v>-0.50237940000000003</v>
      </c>
      <c r="U1669">
        <v>-2.7242739999999999</v>
      </c>
      <c r="V1669">
        <v>0.1575397</v>
      </c>
      <c r="W1669">
        <v>4.9316720000000001E-2</v>
      </c>
      <c r="X1669">
        <v>0.98628039999999995</v>
      </c>
      <c r="Y1669">
        <v>0.51021930000000004</v>
      </c>
      <c r="Z1669">
        <v>2.9543199999999999E-2</v>
      </c>
      <c r="AA1669">
        <v>0.85953679999999999</v>
      </c>
      <c r="AB1669">
        <v>14</v>
      </c>
      <c r="AC1669">
        <v>3.8714999999999899</v>
      </c>
      <c r="AD1669">
        <v>-1.10854044396</v>
      </c>
      <c r="AE1669">
        <v>-5.9778000000000002</v>
      </c>
      <c r="AF1669">
        <v>3.5833838989114302</v>
      </c>
      <c r="AG1669">
        <v>-1.10854044396</v>
      </c>
      <c r="AH1669">
        <v>5.9590902125778999</v>
      </c>
      <c r="AI1669">
        <v>99.057958642150894</v>
      </c>
      <c r="AJ1669">
        <v>58.9802149153887</v>
      </c>
      <c r="AK1669">
        <v>7.0413250347157303</v>
      </c>
      <c r="AL1669">
        <v>87.173213329326103</v>
      </c>
      <c r="AM1669">
        <v>80.924743323091604</v>
      </c>
      <c r="AN1669">
        <v>0.99999996168590299</v>
      </c>
    </row>
    <row r="1670" spans="1:40" x14ac:dyDescent="0.25">
      <c r="A1670" t="str">
        <f>"20190312153919653"</f>
        <v>20190312153919653</v>
      </c>
      <c r="B1670" t="str">
        <f>"1552376359647228"</f>
        <v>1552376359647228</v>
      </c>
      <c r="C1670" t="s">
        <v>40</v>
      </c>
      <c r="D1670">
        <v>4.4581330000000001</v>
      </c>
      <c r="E1670">
        <v>0.67847309999999905</v>
      </c>
      <c r="F1670" t="s">
        <v>49</v>
      </c>
      <c r="G1670">
        <v>-197.9066</v>
      </c>
      <c r="H1670" s="1">
        <v>-5.7249720000000003E-6</v>
      </c>
      <c r="I1670">
        <v>357.21879999999999</v>
      </c>
      <c r="J1670">
        <v>-200.9667</v>
      </c>
      <c r="K1670">
        <v>1.1085199999999999</v>
      </c>
      <c r="L1670">
        <v>362.66750000000002</v>
      </c>
      <c r="M1670">
        <v>0.89708770000000004</v>
      </c>
      <c r="N1670">
        <v>0</v>
      </c>
      <c r="O1670">
        <v>-0.44163570000000002</v>
      </c>
      <c r="P1670">
        <v>0.81517109999999904</v>
      </c>
      <c r="Q1670">
        <v>3.5906689999999998E-2</v>
      </c>
      <c r="R1670">
        <v>-0.57810640000000002</v>
      </c>
      <c r="S1670">
        <v>1.65509</v>
      </c>
      <c r="T1670">
        <v>-0.58660970000000001</v>
      </c>
      <c r="U1670">
        <v>-2.9027099999999999</v>
      </c>
      <c r="V1670">
        <v>0.15886110000000001</v>
      </c>
      <c r="W1670">
        <v>4.8782359999999997E-2</v>
      </c>
      <c r="X1670">
        <v>0.98609500000000005</v>
      </c>
      <c r="Y1670">
        <v>0.5586875</v>
      </c>
      <c r="Z1670">
        <v>2.9192909999999999E-2</v>
      </c>
      <c r="AA1670">
        <v>0.8288643</v>
      </c>
      <c r="AB1670">
        <v>14</v>
      </c>
      <c r="AC1670">
        <v>3.0600999999999998</v>
      </c>
      <c r="AD1670">
        <v>-1.108525724972</v>
      </c>
      <c r="AE1670">
        <v>-5.4487000000000299</v>
      </c>
      <c r="AF1670">
        <v>3.42895545081086</v>
      </c>
      <c r="AG1670">
        <v>-1.108525724972</v>
      </c>
      <c r="AH1670">
        <v>4.9948440008980404</v>
      </c>
      <c r="AI1670">
        <v>100.368626361247</v>
      </c>
      <c r="AJ1670">
        <v>55.5304402343573</v>
      </c>
      <c r="AK1670">
        <v>6.1591420960940102</v>
      </c>
      <c r="AL1670">
        <v>87.203866790510801</v>
      </c>
      <c r="AM1670">
        <v>80.848213759129607</v>
      </c>
      <c r="AN1670">
        <v>0.99999995838268896</v>
      </c>
    </row>
    <row r="1671" spans="1:40" x14ac:dyDescent="0.25">
      <c r="A1671" t="str">
        <f>"20190312153919666"</f>
        <v>20190312153919666</v>
      </c>
      <c r="B1671" t="str">
        <f>"1552376359656987"</f>
        <v>1552376359656987</v>
      </c>
      <c r="C1671" t="s">
        <v>40</v>
      </c>
      <c r="D1671">
        <v>4.4544839999999999</v>
      </c>
      <c r="E1671">
        <v>0.67901719999999999</v>
      </c>
      <c r="F1671" t="s">
        <v>49</v>
      </c>
      <c r="G1671">
        <v>-197.88300000000001</v>
      </c>
      <c r="H1671" s="1">
        <v>-5.7207400000000004E-6</v>
      </c>
      <c r="I1671">
        <v>357.21719999999999</v>
      </c>
      <c r="J1671">
        <v>-200.89439999999999</v>
      </c>
      <c r="K1671">
        <v>1.1084989999999999</v>
      </c>
      <c r="L1671">
        <v>362.62790000000001</v>
      </c>
      <c r="M1671">
        <v>0.89574699999999996</v>
      </c>
      <c r="N1671">
        <v>0</v>
      </c>
      <c r="O1671">
        <v>-0.44434849999999998</v>
      </c>
      <c r="P1671">
        <v>0.81245529999999999</v>
      </c>
      <c r="Q1671">
        <v>3.627143E-2</v>
      </c>
      <c r="R1671">
        <v>-0.58189460000000004</v>
      </c>
      <c r="S1671">
        <v>1.6446989999999999</v>
      </c>
      <c r="T1671">
        <v>-0.59123709999999996</v>
      </c>
      <c r="U1671">
        <v>-2.9069210000000001</v>
      </c>
      <c r="V1671">
        <v>0.16047910000000001</v>
      </c>
      <c r="W1671">
        <v>4.9131460000000002E-2</v>
      </c>
      <c r="X1671">
        <v>0.98581569999999996</v>
      </c>
      <c r="Y1671">
        <v>0.55893280000000001</v>
      </c>
      <c r="Z1671">
        <v>2.9953850000000001E-2</v>
      </c>
      <c r="AA1671">
        <v>0.82867179999999996</v>
      </c>
      <c r="AB1671">
        <v>14</v>
      </c>
      <c r="AC1671">
        <v>3.0114000000000001</v>
      </c>
      <c r="AD1671">
        <v>-1.1085047207399901</v>
      </c>
      <c r="AE1671">
        <v>-5.4107000000000101</v>
      </c>
      <c r="AF1671">
        <v>3.3998903280461299</v>
      </c>
      <c r="AG1671">
        <v>-1.1085047207399901</v>
      </c>
      <c r="AH1671">
        <v>4.9437500943650301</v>
      </c>
      <c r="AI1671">
        <v>100.467422667565</v>
      </c>
      <c r="AJ1671">
        <v>55.483119015644299</v>
      </c>
      <c r="AK1671">
        <v>6.1015327544952802</v>
      </c>
      <c r="AL1671">
        <v>87.183840988035598</v>
      </c>
      <c r="AM1671">
        <v>80.754030252169301</v>
      </c>
      <c r="AN1671">
        <v>1.0000000181325099</v>
      </c>
    </row>
    <row r="1672" spans="1:40" x14ac:dyDescent="0.25">
      <c r="A1672" t="str">
        <f>"20190312153919680"</f>
        <v>20190312153919680</v>
      </c>
      <c r="B1672" t="str">
        <f>"1552376359677482"</f>
        <v>1552376359677482</v>
      </c>
      <c r="C1672" t="s">
        <v>40</v>
      </c>
      <c r="D1672">
        <v>4.4878130000000001</v>
      </c>
      <c r="E1672">
        <v>0.67828630000000001</v>
      </c>
      <c r="F1672" t="s">
        <v>49</v>
      </c>
      <c r="G1672">
        <v>-197.91560000000001</v>
      </c>
      <c r="H1672" s="1">
        <v>-5.7517909999999899E-6</v>
      </c>
      <c r="I1672">
        <v>357.29469999999998</v>
      </c>
      <c r="J1672">
        <v>-200.8202</v>
      </c>
      <c r="K1672">
        <v>1.1084799999999999</v>
      </c>
      <c r="L1672">
        <v>362.58710000000002</v>
      </c>
      <c r="M1672">
        <v>0.89434360000000002</v>
      </c>
      <c r="N1672">
        <v>0</v>
      </c>
      <c r="O1672">
        <v>-0.44716630000000002</v>
      </c>
      <c r="P1672">
        <v>0.80978450000000002</v>
      </c>
      <c r="Q1672">
        <v>3.6424900000000003E-2</v>
      </c>
      <c r="R1672">
        <v>-0.58559600000000001</v>
      </c>
      <c r="S1672">
        <v>1.629745</v>
      </c>
      <c r="T1672">
        <v>-0.60648919999999995</v>
      </c>
      <c r="U1672">
        <v>-2.9179080000000002</v>
      </c>
      <c r="V1672">
        <v>0.16188139999999901</v>
      </c>
      <c r="W1672">
        <v>4.9270059999999997E-2</v>
      </c>
      <c r="X1672">
        <v>0.98557939999999999</v>
      </c>
      <c r="Y1672">
        <v>0.56080030000000003</v>
      </c>
      <c r="Z1672">
        <v>3.1077750000000001E-2</v>
      </c>
      <c r="AA1672">
        <v>0.82736759999999998</v>
      </c>
      <c r="AB1672">
        <v>13</v>
      </c>
      <c r="AC1672">
        <v>2.9045999999999799</v>
      </c>
      <c r="AD1672">
        <v>-1.1084857517909901</v>
      </c>
      <c r="AE1672">
        <v>-5.2924000000000397</v>
      </c>
      <c r="AF1672">
        <v>3.3226935820880299</v>
      </c>
      <c r="AG1672">
        <v>-1.1084857517909901</v>
      </c>
      <c r="AH1672">
        <v>4.8028472176303403</v>
      </c>
      <c r="AI1672">
        <v>100.747102800002</v>
      </c>
      <c r="AJ1672">
        <v>55.323838322058002</v>
      </c>
      <c r="AK1672">
        <v>5.9444406547859696</v>
      </c>
      <c r="AL1672">
        <v>87.175889943388</v>
      </c>
      <c r="AM1672">
        <v>80.672453800522803</v>
      </c>
      <c r="AN1672">
        <v>0.99999994009135995</v>
      </c>
    </row>
    <row r="1673" spans="1:40" x14ac:dyDescent="0.25">
      <c r="A1673" t="str">
        <f>"20190312153919698"</f>
        <v>20190312153919698</v>
      </c>
      <c r="B1673" t="str">
        <f>"1552376359687243"</f>
        <v>1552376359687243</v>
      </c>
      <c r="C1673" t="s">
        <v>40</v>
      </c>
      <c r="D1673">
        <v>4.4720779999999998</v>
      </c>
      <c r="E1673">
        <v>0.67792940000000002</v>
      </c>
      <c r="F1673" t="s">
        <v>49</v>
      </c>
      <c r="G1673">
        <v>-197.8194</v>
      </c>
      <c r="H1673" s="1">
        <v>-5.6978519999999996E-6</v>
      </c>
      <c r="I1673">
        <v>357.17849999999999</v>
      </c>
      <c r="J1673">
        <v>-200.72300000000001</v>
      </c>
      <c r="K1673">
        <v>1.1084480000000001</v>
      </c>
      <c r="L1673">
        <v>362.53289999999998</v>
      </c>
      <c r="M1673">
        <v>0.89244969999999901</v>
      </c>
      <c r="N1673">
        <v>0</v>
      </c>
      <c r="O1673">
        <v>-0.45093440000000001</v>
      </c>
      <c r="P1673">
        <v>0.80593090000000001</v>
      </c>
      <c r="Q1673">
        <v>3.674471E-2</v>
      </c>
      <c r="R1673">
        <v>-0.59086859999999997</v>
      </c>
      <c r="S1673">
        <v>1.6200410000000001</v>
      </c>
      <c r="T1673">
        <v>-0.59844149999999996</v>
      </c>
      <c r="U1673">
        <v>-2.9199519999999999</v>
      </c>
      <c r="V1673">
        <v>0.16417010000000001</v>
      </c>
      <c r="W1673">
        <v>4.9566279999999997E-2</v>
      </c>
      <c r="X1673">
        <v>0.98518600000000001</v>
      </c>
      <c r="Y1673">
        <v>0.55976419999999905</v>
      </c>
      <c r="Z1673">
        <v>3.1578639999999998E-2</v>
      </c>
      <c r="AA1673">
        <v>0.82804999999999995</v>
      </c>
      <c r="AB1673">
        <v>13</v>
      </c>
      <c r="AC1673">
        <v>2.90359999999998</v>
      </c>
      <c r="AD1673">
        <v>-1.1084536978520001</v>
      </c>
      <c r="AE1673">
        <v>-5.3543999999999903</v>
      </c>
      <c r="AF1673">
        <v>3.3583137050385901</v>
      </c>
      <c r="AG1673">
        <v>-1.1084536978520001</v>
      </c>
      <c r="AH1673">
        <v>4.8457999719932898</v>
      </c>
      <c r="AI1673">
        <v>100.64779537669899</v>
      </c>
      <c r="AJ1673">
        <v>55.276648301021297</v>
      </c>
      <c r="AK1673">
        <v>5.9990597521863398</v>
      </c>
      <c r="AL1673">
        <v>87.158897325913003</v>
      </c>
      <c r="AM1673">
        <v>80.539237672739304</v>
      </c>
      <c r="AN1673">
        <v>1.0000000462215199</v>
      </c>
    </row>
    <row r="1674" spans="1:40" x14ac:dyDescent="0.25">
      <c r="A1674" t="str">
        <f>"20190312153919712"</f>
        <v>20190312153919712</v>
      </c>
      <c r="B1674" t="str">
        <f>"1552376359707739"</f>
        <v>1552376359707739</v>
      </c>
      <c r="C1674" t="s">
        <v>40</v>
      </c>
      <c r="D1674">
        <v>4.5070899999999998</v>
      </c>
      <c r="E1674">
        <v>0.67730669999999904</v>
      </c>
      <c r="F1674" t="s">
        <v>49</v>
      </c>
      <c r="G1674">
        <v>-197.74459999999999</v>
      </c>
      <c r="H1674" s="1">
        <v>-5.6570890000000003E-6</v>
      </c>
      <c r="I1674">
        <v>357.09160000000003</v>
      </c>
      <c r="J1674">
        <v>-200.64590000000001</v>
      </c>
      <c r="K1674">
        <v>1.1084179999999999</v>
      </c>
      <c r="L1674">
        <v>362.48950000000002</v>
      </c>
      <c r="M1674">
        <v>0.89089819999999997</v>
      </c>
      <c r="N1674">
        <v>0</v>
      </c>
      <c r="O1674">
        <v>-0.45399129999999899</v>
      </c>
      <c r="P1674">
        <v>0.80344799999999905</v>
      </c>
      <c r="Q1674">
        <v>3.654731E-2</v>
      </c>
      <c r="R1674">
        <v>-0.59425209999999995</v>
      </c>
      <c r="S1674">
        <v>1.6027979999999999</v>
      </c>
      <c r="T1674">
        <v>-0.59651149999999997</v>
      </c>
      <c r="U1674">
        <v>-2.928223</v>
      </c>
      <c r="V1674">
        <v>0.16493369999999999</v>
      </c>
      <c r="W1674">
        <v>4.9357690000000003E-2</v>
      </c>
      <c r="X1674">
        <v>0.98506890000000003</v>
      </c>
      <c r="Y1674">
        <v>0.56167819999999902</v>
      </c>
      <c r="Z1674">
        <v>3.1913879999999999E-2</v>
      </c>
      <c r="AA1674">
        <v>0.82673999999999903</v>
      </c>
      <c r="AB1674">
        <v>13</v>
      </c>
      <c r="AC1674">
        <v>2.90130000000002</v>
      </c>
      <c r="AD1674">
        <v>-1.108423657089</v>
      </c>
      <c r="AE1674">
        <v>-5.3978999999999902</v>
      </c>
      <c r="AF1674">
        <v>3.3815240561883599</v>
      </c>
      <c r="AG1674">
        <v>-1.108423657089</v>
      </c>
      <c r="AH1674">
        <v>4.8763186109900998</v>
      </c>
      <c r="AI1674">
        <v>100.58033968207501</v>
      </c>
      <c r="AJ1674">
        <v>55.260301679837198</v>
      </c>
      <c r="AK1674">
        <v>6.0367036652517196</v>
      </c>
      <c r="AL1674">
        <v>87.170863230713294</v>
      </c>
      <c r="AM1674">
        <v>80.494924858720495</v>
      </c>
      <c r="AN1674">
        <v>1.0000000223525101</v>
      </c>
    </row>
    <row r="1675" spans="1:40" x14ac:dyDescent="0.25">
      <c r="A1675" t="str">
        <f>"20190312153919726"</f>
        <v>20190312153919726</v>
      </c>
      <c r="B1675" t="str">
        <f>"1552376359717500"</f>
        <v>1552376359717500</v>
      </c>
      <c r="C1675" t="s">
        <v>40</v>
      </c>
      <c r="D1675">
        <v>4.5132919999999999</v>
      </c>
      <c r="E1675">
        <v>0.67703970000000002</v>
      </c>
      <c r="F1675" t="s">
        <v>49</v>
      </c>
      <c r="G1675">
        <v>-197.67179999999999</v>
      </c>
      <c r="H1675" s="1">
        <v>-5.62133299999999E-6</v>
      </c>
      <c r="I1675">
        <v>357.0188</v>
      </c>
      <c r="J1675">
        <v>-200.57419999999999</v>
      </c>
      <c r="K1675">
        <v>1.108395</v>
      </c>
      <c r="L1675">
        <v>362.44869999999997</v>
      </c>
      <c r="M1675">
        <v>0.88942169999999898</v>
      </c>
      <c r="N1675">
        <v>0</v>
      </c>
      <c r="O1675">
        <v>-0.45687719999999998</v>
      </c>
      <c r="P1675">
        <v>0.80057319999999998</v>
      </c>
      <c r="Q1675">
        <v>3.6558029999999998E-2</v>
      </c>
      <c r="R1675">
        <v>-0.5981185</v>
      </c>
      <c r="S1675">
        <v>1.5932919999999999</v>
      </c>
      <c r="T1675">
        <v>-0.59379199999999999</v>
      </c>
      <c r="U1675">
        <v>-2.9306950000000001</v>
      </c>
      <c r="V1675">
        <v>0.1664931</v>
      </c>
      <c r="W1675">
        <v>4.9351970000000002E-2</v>
      </c>
      <c r="X1675">
        <v>0.98480679999999998</v>
      </c>
      <c r="Y1675">
        <v>0.56140939999999995</v>
      </c>
      <c r="Z1675">
        <v>3.2409359999999998E-2</v>
      </c>
      <c r="AA1675">
        <v>0.82690330000000001</v>
      </c>
      <c r="AB1675">
        <v>13</v>
      </c>
      <c r="AC1675">
        <v>2.9024000000000001</v>
      </c>
      <c r="AD1675">
        <v>-1.108400621333</v>
      </c>
      <c r="AE1675">
        <v>-5.4298999999999698</v>
      </c>
      <c r="AF1675">
        <v>3.3937783799190702</v>
      </c>
      <c r="AG1675">
        <v>-1.108400621333</v>
      </c>
      <c r="AH1675">
        <v>4.9038140548640703</v>
      </c>
      <c r="AI1675">
        <v>100.528822908992</v>
      </c>
      <c r="AJ1675">
        <v>55.314087062088397</v>
      </c>
      <c r="AK1675">
        <v>6.0657790854975797</v>
      </c>
      <c r="AL1675">
        <v>87.171191302878</v>
      </c>
      <c r="AM1675">
        <v>80.404214025320996</v>
      </c>
      <c r="AN1675">
        <v>1.0000000013083601</v>
      </c>
    </row>
    <row r="1676" spans="1:40" x14ac:dyDescent="0.25">
      <c r="A1676" t="str">
        <f>"20190312153919737"</f>
        <v>20190312153919737</v>
      </c>
      <c r="B1676" t="str">
        <f>"1552376359727259"</f>
        <v>1552376359727259</v>
      </c>
      <c r="C1676" t="s">
        <v>40</v>
      </c>
      <c r="D1676">
        <v>4.5014110000000001</v>
      </c>
      <c r="E1676">
        <v>0.67673430000000001</v>
      </c>
      <c r="F1676" t="s">
        <v>49</v>
      </c>
      <c r="G1676">
        <v>-197.62860000000001</v>
      </c>
      <c r="H1676" s="1">
        <v>-5.6004060000000004E-6</v>
      </c>
      <c r="I1676">
        <v>356.97640000000001</v>
      </c>
      <c r="J1676">
        <v>-200.51499999999999</v>
      </c>
      <c r="K1676">
        <v>1.1083769999999999</v>
      </c>
      <c r="L1676">
        <v>362.41480000000001</v>
      </c>
      <c r="M1676">
        <v>0.88818419999999898</v>
      </c>
      <c r="N1676">
        <v>0</v>
      </c>
      <c r="O1676">
        <v>-0.45927839999999998</v>
      </c>
      <c r="P1676">
        <v>0.79858609999999997</v>
      </c>
      <c r="Q1676">
        <v>3.6952810000000003E-2</v>
      </c>
      <c r="R1676">
        <v>-0.60074589999999894</v>
      </c>
      <c r="S1676">
        <v>1.580643</v>
      </c>
      <c r="T1676">
        <v>-0.59477170000000001</v>
      </c>
      <c r="U1676">
        <v>-2.9364319999999999</v>
      </c>
      <c r="V1676">
        <v>0.16708110000000001</v>
      </c>
      <c r="W1676">
        <v>4.9737249999999997E-2</v>
      </c>
      <c r="X1676">
        <v>0.9846878</v>
      </c>
      <c r="Y1676">
        <v>0.56261319999999904</v>
      </c>
      <c r="Z1676">
        <v>3.2837190000000002E-2</v>
      </c>
      <c r="AA1676">
        <v>0.82606789999999997</v>
      </c>
      <c r="AB1676">
        <v>13</v>
      </c>
      <c r="AC1676">
        <v>2.8863999999999801</v>
      </c>
      <c r="AD1676">
        <v>-1.108382600406</v>
      </c>
      <c r="AE1676">
        <v>-5.4383999999999997</v>
      </c>
      <c r="AF1676">
        <v>3.3949524521500298</v>
      </c>
      <c r="AG1676">
        <v>-1.108382600406</v>
      </c>
      <c r="AH1676">
        <v>4.90298428267986</v>
      </c>
      <c r="AI1676">
        <v>100.528679712967</v>
      </c>
      <c r="AJ1676">
        <v>55.300275041466101</v>
      </c>
      <c r="AK1676">
        <v>6.0657620310598999</v>
      </c>
      <c r="AL1676">
        <v>87.149089168607404</v>
      </c>
      <c r="AM1676">
        <v>80.369816342715794</v>
      </c>
      <c r="AN1676">
        <v>0.99999997574180599</v>
      </c>
    </row>
    <row r="1677" spans="1:40" x14ac:dyDescent="0.25">
      <c r="A1677" t="str">
        <f>"20190312153919749"</f>
        <v>20190312153919749</v>
      </c>
      <c r="B1677" t="str">
        <f>"1552376359737019"</f>
        <v>1552376359737019</v>
      </c>
      <c r="C1677" t="s">
        <v>40</v>
      </c>
      <c r="D1677">
        <v>4.5095210000000003</v>
      </c>
      <c r="E1677">
        <v>0.67641989999999996</v>
      </c>
      <c r="F1677" t="s">
        <v>49</v>
      </c>
      <c r="G1677">
        <v>-197.57759999999999</v>
      </c>
      <c r="H1677" s="1">
        <v>-5.5742620000000004E-6</v>
      </c>
      <c r="I1677">
        <v>356.9221</v>
      </c>
      <c r="J1677">
        <v>-200.45359999999999</v>
      </c>
      <c r="K1677">
        <v>1.108355</v>
      </c>
      <c r="L1677">
        <v>362.3793</v>
      </c>
      <c r="M1677">
        <v>0.8868608</v>
      </c>
      <c r="N1677">
        <v>0</v>
      </c>
      <c r="O1677">
        <v>-0.46182849999999998</v>
      </c>
      <c r="P1677">
        <v>0.79642019999999902</v>
      </c>
      <c r="Q1677">
        <v>3.722168E-2</v>
      </c>
      <c r="R1677">
        <v>-0.6035973</v>
      </c>
      <c r="S1677">
        <v>1.5723720000000001</v>
      </c>
      <c r="T1677">
        <v>-0.59330190000000005</v>
      </c>
      <c r="U1677">
        <v>-2.9401549999999999</v>
      </c>
      <c r="V1677">
        <v>0.16778319999999999</v>
      </c>
      <c r="W1677">
        <v>4.999634E-2</v>
      </c>
      <c r="X1677">
        <v>0.98455530000000002</v>
      </c>
      <c r="Y1677">
        <v>0.562519199999999</v>
      </c>
      <c r="Z1677">
        <v>3.3294020000000001E-2</v>
      </c>
      <c r="AA1677">
        <v>0.8261136</v>
      </c>
      <c r="AB1677">
        <v>13</v>
      </c>
      <c r="AC1677">
        <v>2.8759999999999999</v>
      </c>
      <c r="AD1677">
        <v>-1.108360574262</v>
      </c>
      <c r="AE1677">
        <v>-5.4572000000000003</v>
      </c>
      <c r="AF1677">
        <v>3.4020653577648701</v>
      </c>
      <c r="AG1677">
        <v>-1.108360574262</v>
      </c>
      <c r="AH1677">
        <v>4.9127881644027704</v>
      </c>
      <c r="AI1677">
        <v>100.507615561965</v>
      </c>
      <c r="AJ1677">
        <v>55.297717504621801</v>
      </c>
      <c r="AK1677">
        <v>6.0776639763463596</v>
      </c>
      <c r="AL1677">
        <v>87.134225946665794</v>
      </c>
      <c r="AM1677">
        <v>80.328834602493899</v>
      </c>
      <c r="AN1677">
        <v>0.99999998748686203</v>
      </c>
    </row>
    <row r="1678" spans="1:40" x14ac:dyDescent="0.25">
      <c r="A1678" t="str">
        <f>"20190312153919760"</f>
        <v>20190312153919760</v>
      </c>
      <c r="B1678" t="str">
        <f>"1552376359757515"</f>
        <v>1552376359757515</v>
      </c>
      <c r="C1678" t="s">
        <v>40</v>
      </c>
      <c r="D1678">
        <v>4.5331340000000004</v>
      </c>
      <c r="E1678">
        <v>0.67588700000000002</v>
      </c>
      <c r="F1678" t="s">
        <v>49</v>
      </c>
      <c r="G1678">
        <v>-197.5181</v>
      </c>
      <c r="H1678" s="1">
        <v>-5.5418449999999998E-6</v>
      </c>
      <c r="I1678">
        <v>356.85309999999998</v>
      </c>
      <c r="J1678">
        <v>-200.3973</v>
      </c>
      <c r="K1678">
        <v>1.1083339999999999</v>
      </c>
      <c r="L1678">
        <v>362.34649999999999</v>
      </c>
      <c r="M1678">
        <v>0.88563040000000004</v>
      </c>
      <c r="N1678">
        <v>0</v>
      </c>
      <c r="O1678">
        <v>-0.46418369999999998</v>
      </c>
      <c r="P1678">
        <v>0.79428759999999998</v>
      </c>
      <c r="Q1678">
        <v>3.7342880000000002E-2</v>
      </c>
      <c r="R1678">
        <v>-0.60639370000000004</v>
      </c>
      <c r="S1678">
        <v>1.563599</v>
      </c>
      <c r="T1678">
        <v>-0.59035979999999999</v>
      </c>
      <c r="U1678">
        <v>-2.9435120000000001</v>
      </c>
      <c r="V1678">
        <v>0.16863449999999999</v>
      </c>
      <c r="W1678">
        <v>5.01073E-2</v>
      </c>
      <c r="X1678">
        <v>0.98440419999999995</v>
      </c>
      <c r="Y1678">
        <v>0.56267389999999995</v>
      </c>
      <c r="Z1678">
        <v>3.3606459999999998E-2</v>
      </c>
      <c r="AA1678">
        <v>0.82599560000000005</v>
      </c>
      <c r="AB1678">
        <v>13</v>
      </c>
      <c r="AC1678">
        <v>2.8791999999999902</v>
      </c>
      <c r="AD1678">
        <v>-1.1083395418449999</v>
      </c>
      <c r="AE1678">
        <v>-5.4934000000000003</v>
      </c>
      <c r="AF1678">
        <v>3.4197761643478199</v>
      </c>
      <c r="AG1678">
        <v>-1.1083395418449999</v>
      </c>
      <c r="AH1678">
        <v>4.94250958268427</v>
      </c>
      <c r="AI1678">
        <v>100.44840724807401</v>
      </c>
      <c r="AJ1678">
        <v>55.320218561249803</v>
      </c>
      <c r="AK1678">
        <v>6.1116026154507601</v>
      </c>
      <c r="AL1678">
        <v>87.127860414270401</v>
      </c>
      <c r="AM1678">
        <v>80.279235206043396</v>
      </c>
      <c r="AN1678">
        <v>0.99999998254058897</v>
      </c>
    </row>
    <row r="1679" spans="1:40" x14ac:dyDescent="0.25">
      <c r="A1679" t="str">
        <f>"20190312153919771"</f>
        <v>20190312153919771</v>
      </c>
      <c r="B1679" t="str">
        <f>"1552376359767276"</f>
        <v>1552376359767276</v>
      </c>
      <c r="C1679" t="s">
        <v>40</v>
      </c>
      <c r="D1679">
        <v>4.5305299999999997</v>
      </c>
      <c r="E1679">
        <v>0.67563229999999996</v>
      </c>
      <c r="F1679" t="s">
        <v>49</v>
      </c>
      <c r="G1679">
        <v>-197.4761</v>
      </c>
      <c r="H1679" s="1">
        <v>-5.5226950000000002E-6</v>
      </c>
      <c r="I1679">
        <v>356.81540000000001</v>
      </c>
      <c r="J1679">
        <v>-200.3398</v>
      </c>
      <c r="K1679">
        <v>1.1083130000000001</v>
      </c>
      <c r="L1679">
        <v>362.31270000000001</v>
      </c>
      <c r="M1679">
        <v>0.8843434</v>
      </c>
      <c r="N1679">
        <v>0</v>
      </c>
      <c r="O1679">
        <v>-0.4666304</v>
      </c>
      <c r="P1679">
        <v>0.79197569999999995</v>
      </c>
      <c r="Q1679">
        <v>3.7022340000000001E-2</v>
      </c>
      <c r="R1679">
        <v>-0.60942909999999995</v>
      </c>
      <c r="S1679">
        <v>1.555771</v>
      </c>
      <c r="T1679">
        <v>-0.59027779999999996</v>
      </c>
      <c r="U1679">
        <v>-2.9457399999999998</v>
      </c>
      <c r="V1679">
        <v>0.16967499999999999</v>
      </c>
      <c r="W1679">
        <v>4.9774400000000003E-2</v>
      </c>
      <c r="X1679">
        <v>0.98424230000000001</v>
      </c>
      <c r="Y1679">
        <v>0.56239240000000001</v>
      </c>
      <c r="Z1679">
        <v>3.4146040000000003E-2</v>
      </c>
      <c r="AA1679">
        <v>0.82616509999999999</v>
      </c>
      <c r="AB1679">
        <v>13</v>
      </c>
      <c r="AC1679">
        <v>2.8636999999999899</v>
      </c>
      <c r="AD1679">
        <v>-1.1083185226950001</v>
      </c>
      <c r="AE1679">
        <v>-5.4972999999999903</v>
      </c>
      <c r="AF1679">
        <v>3.41632717678121</v>
      </c>
      <c r="AG1679">
        <v>-1.1083185226950001</v>
      </c>
      <c r="AH1679">
        <v>4.9402471783684998</v>
      </c>
      <c r="AI1679">
        <v>100.454716505037</v>
      </c>
      <c r="AJ1679">
        <v>55.334994304631898</v>
      </c>
      <c r="AK1679">
        <v>6.1078395124577902</v>
      </c>
      <c r="AL1679">
        <v>87.146958062288505</v>
      </c>
      <c r="AM1679">
        <v>80.218833765213006</v>
      </c>
      <c r="AN1679">
        <v>1.00000000081482</v>
      </c>
    </row>
    <row r="1680" spans="1:40" x14ac:dyDescent="0.25">
      <c r="A1680" t="str">
        <f>"20190312153919782"</f>
        <v>20190312153919782</v>
      </c>
      <c r="B1680" t="str">
        <f>"1552376359778012"</f>
        <v>1552376359778012</v>
      </c>
      <c r="C1680" t="s">
        <v>40</v>
      </c>
      <c r="D1680">
        <v>4.5402459999999998</v>
      </c>
      <c r="E1680">
        <v>0.67525979999999997</v>
      </c>
      <c r="F1680" t="s">
        <v>49</v>
      </c>
      <c r="G1680">
        <v>-197.44120000000001</v>
      </c>
      <c r="H1680" s="1">
        <v>-5.5061760000000001E-6</v>
      </c>
      <c r="I1680">
        <v>356.78230000000002</v>
      </c>
      <c r="J1680">
        <v>-200.27969999999999</v>
      </c>
      <c r="K1680">
        <v>1.108287</v>
      </c>
      <c r="L1680">
        <v>362.27719999999999</v>
      </c>
      <c r="M1680">
        <v>0.88297309999999996</v>
      </c>
      <c r="N1680">
        <v>0</v>
      </c>
      <c r="O1680">
        <v>-0.46921829999999998</v>
      </c>
      <c r="P1680">
        <v>0.78980079999999997</v>
      </c>
      <c r="Q1680">
        <v>3.6720379999999997E-2</v>
      </c>
      <c r="R1680">
        <v>-0.61226329999999995</v>
      </c>
      <c r="S1680">
        <v>1.545944</v>
      </c>
      <c r="T1680">
        <v>-0.59111259999999999</v>
      </c>
      <c r="U1680">
        <v>-2.9495849999999999</v>
      </c>
      <c r="V1680">
        <v>0.17031459999999901</v>
      </c>
      <c r="W1680">
        <v>4.9462939999999997E-2</v>
      </c>
      <c r="X1680">
        <v>0.98414749999999995</v>
      </c>
      <c r="Y1680">
        <v>0.56259340000000002</v>
      </c>
      <c r="Z1680">
        <v>3.4713239999999999E-2</v>
      </c>
      <c r="AA1680">
        <v>0.82600459999999998</v>
      </c>
      <c r="AB1680">
        <v>13</v>
      </c>
      <c r="AC1680">
        <v>2.8384999999999798</v>
      </c>
      <c r="AD1680">
        <v>-1.1082925061759901</v>
      </c>
      <c r="AE1680">
        <v>-5.4948999999999701</v>
      </c>
      <c r="AF1680">
        <v>3.4107851586836699</v>
      </c>
      <c r="AG1680">
        <v>-1.1082925061759901</v>
      </c>
      <c r="AH1680">
        <v>4.9269045047040603</v>
      </c>
      <c r="AI1680">
        <v>100.478575533084</v>
      </c>
      <c r="AJ1680">
        <v>55.306015692243299</v>
      </c>
      <c r="AK1680">
        <v>6.0939441806120804</v>
      </c>
      <c r="AL1680">
        <v>87.164825336935095</v>
      </c>
      <c r="AM1680">
        <v>80.181751933442399</v>
      </c>
      <c r="AN1680">
        <v>0.999999973581426</v>
      </c>
    </row>
    <row r="1681" spans="1:40" x14ac:dyDescent="0.25">
      <c r="A1681" t="str">
        <f>"20190312153919794"</f>
        <v>20190312153919794</v>
      </c>
      <c r="B1681" t="str">
        <f>"1552376359787771"</f>
        <v>1552376359787771</v>
      </c>
      <c r="C1681" t="s">
        <v>40</v>
      </c>
      <c r="D1681">
        <v>4.5113770000000004</v>
      </c>
      <c r="E1681">
        <v>0.67502459999999997</v>
      </c>
      <c r="F1681" t="s">
        <v>49</v>
      </c>
      <c r="G1681">
        <v>-197.40170000000001</v>
      </c>
      <c r="H1681" s="1">
        <v>-5.4889299999999996E-6</v>
      </c>
      <c r="I1681">
        <v>356.74930000000001</v>
      </c>
      <c r="J1681">
        <v>-200.2191</v>
      </c>
      <c r="K1681">
        <v>1.10826</v>
      </c>
      <c r="L1681">
        <v>362.24110000000002</v>
      </c>
      <c r="M1681">
        <v>0.8815653</v>
      </c>
      <c r="N1681">
        <v>0</v>
      </c>
      <c r="O1681">
        <v>-0.47185719999999998</v>
      </c>
      <c r="P1681">
        <v>0.78733980000000003</v>
      </c>
      <c r="Q1681">
        <v>3.5492320000000001E-2</v>
      </c>
      <c r="R1681">
        <v>-0.61549670000000001</v>
      </c>
      <c r="S1681">
        <v>1.5371549999999901</v>
      </c>
      <c r="T1681">
        <v>-0.59194769999999997</v>
      </c>
      <c r="U1681">
        <v>-2.952515</v>
      </c>
      <c r="V1681">
        <v>0.17137649999999999</v>
      </c>
      <c r="W1681">
        <v>4.8222250000000001E-2</v>
      </c>
      <c r="X1681">
        <v>0.98402480000000003</v>
      </c>
      <c r="Y1681">
        <v>0.56241660000000004</v>
      </c>
      <c r="Z1681">
        <v>3.5335249999999999E-2</v>
      </c>
      <c r="AA1681">
        <v>0.82609869999999996</v>
      </c>
      <c r="AB1681">
        <v>13</v>
      </c>
      <c r="AC1681">
        <v>2.8173999999999899</v>
      </c>
      <c r="AD1681">
        <v>-1.1082654889299901</v>
      </c>
      <c r="AE1681">
        <v>-5.4918000000000102</v>
      </c>
      <c r="AF1681">
        <v>3.4026106369555298</v>
      </c>
      <c r="AG1681">
        <v>-1.1082654889299901</v>
      </c>
      <c r="AH1681">
        <v>4.9170349602660401</v>
      </c>
      <c r="AI1681">
        <v>100.50020203941099</v>
      </c>
      <c r="AJ1681">
        <v>55.316588859504598</v>
      </c>
      <c r="AK1681">
        <v>6.0813850676597196</v>
      </c>
      <c r="AL1681">
        <v>87.235996795291399</v>
      </c>
      <c r="AM1681">
        <v>80.120530621330303</v>
      </c>
      <c r="AN1681">
        <v>1.00000004858117</v>
      </c>
    </row>
    <row r="1682" spans="1:40" x14ac:dyDescent="0.25">
      <c r="A1682" t="str">
        <f>"20190312153919805"</f>
        <v>20190312153919805</v>
      </c>
      <c r="B1682" t="str">
        <f>"1552376359797531"</f>
        <v>1552376359797531</v>
      </c>
      <c r="C1682" t="s">
        <v>40</v>
      </c>
      <c r="D1682">
        <v>4.5193570000000003</v>
      </c>
      <c r="E1682">
        <v>0.67487280000000005</v>
      </c>
      <c r="F1682" t="s">
        <v>49</v>
      </c>
      <c r="G1682">
        <v>-197.37100000000001</v>
      </c>
      <c r="H1682" s="1">
        <v>-5.4736159999999898E-6</v>
      </c>
      <c r="I1682">
        <v>356.71789999999999</v>
      </c>
      <c r="J1682">
        <v>-200.16159999999999</v>
      </c>
      <c r="K1682">
        <v>1.1082289999999999</v>
      </c>
      <c r="L1682">
        <v>362.20650000000001</v>
      </c>
      <c r="M1682">
        <v>0.88019340000000001</v>
      </c>
      <c r="N1682">
        <v>0</v>
      </c>
      <c r="O1682">
        <v>-0.47441139999999998</v>
      </c>
      <c r="P1682">
        <v>0.78490680000000002</v>
      </c>
      <c r="Q1682">
        <v>3.4640410000000003E-2</v>
      </c>
      <c r="R1682">
        <v>-0.618645</v>
      </c>
      <c r="S1682">
        <v>1.5250699999999999</v>
      </c>
      <c r="T1682">
        <v>-0.59343269999999904</v>
      </c>
      <c r="U1682">
        <v>-2.9574889999999998</v>
      </c>
      <c r="V1682">
        <v>0.1724444</v>
      </c>
      <c r="W1682">
        <v>4.7358270000000001E-2</v>
      </c>
      <c r="X1682">
        <v>0.98388019999999998</v>
      </c>
      <c r="Y1682">
        <v>0.56325909999999901</v>
      </c>
      <c r="Z1682">
        <v>3.5872679999999997E-2</v>
      </c>
      <c r="AA1682">
        <v>0.82550129999999999</v>
      </c>
      <c r="AB1682">
        <v>13</v>
      </c>
      <c r="AC1682">
        <v>2.7906000000000102</v>
      </c>
      <c r="AD1682">
        <v>-1.1082344736159999</v>
      </c>
      <c r="AE1682">
        <v>-5.4886000000000204</v>
      </c>
      <c r="AF1682">
        <v>3.3974152973106402</v>
      </c>
      <c r="AG1682">
        <v>-1.1082344736159999</v>
      </c>
      <c r="AH1682">
        <v>4.9018148027874204</v>
      </c>
      <c r="AI1682">
        <v>100.526542797804</v>
      </c>
      <c r="AJ1682">
        <v>55.274427173362497</v>
      </c>
      <c r="AK1682">
        <v>6.0661687012262702</v>
      </c>
      <c r="AL1682">
        <v>87.285555866041705</v>
      </c>
      <c r="AM1682">
        <v>80.058760977559999</v>
      </c>
      <c r="AN1682">
        <v>1.00000006239039</v>
      </c>
    </row>
    <row r="1683" spans="1:40" x14ac:dyDescent="0.25">
      <c r="A1683" t="str">
        <f>"20190312153919816"</f>
        <v>20190312153919816</v>
      </c>
      <c r="B1683" t="str">
        <f>"1552376359807291"</f>
        <v>1552376359807291</v>
      </c>
      <c r="C1683" t="s">
        <v>40</v>
      </c>
      <c r="D1683">
        <v>4.5588490000000004</v>
      </c>
      <c r="E1683">
        <v>0.67464939999999995</v>
      </c>
      <c r="F1683" t="s">
        <v>49</v>
      </c>
      <c r="G1683">
        <v>-197.333</v>
      </c>
      <c r="H1683" s="1">
        <v>-5.4505940000000002E-6</v>
      </c>
      <c r="I1683">
        <v>356.66680000000002</v>
      </c>
      <c r="J1683">
        <v>-200.10509999999999</v>
      </c>
      <c r="K1683">
        <v>1.1082000000000001</v>
      </c>
      <c r="L1683">
        <v>362.17230000000001</v>
      </c>
      <c r="M1683">
        <v>0.87882839999999995</v>
      </c>
      <c r="N1683">
        <v>0</v>
      </c>
      <c r="O1683">
        <v>-0.47693530000000001</v>
      </c>
      <c r="P1683">
        <v>0.78239939999999997</v>
      </c>
      <c r="Q1683">
        <v>3.3608649999999997E-2</v>
      </c>
      <c r="R1683">
        <v>-0.62187009999999998</v>
      </c>
      <c r="S1683">
        <v>1.5129239999999999</v>
      </c>
      <c r="T1683">
        <v>-0.59275489999999997</v>
      </c>
      <c r="U1683">
        <v>-2.9629819999999998</v>
      </c>
      <c r="V1683">
        <v>0.17364599999999999</v>
      </c>
      <c r="W1683">
        <v>4.631275E-2</v>
      </c>
      <c r="X1683">
        <v>0.9837186</v>
      </c>
      <c r="Y1683">
        <v>0.56421049999999995</v>
      </c>
      <c r="Z1683">
        <v>3.6260630000000002E-2</v>
      </c>
      <c r="AA1683">
        <v>0.82483430000000002</v>
      </c>
      <c r="AB1683">
        <v>13</v>
      </c>
      <c r="AC1683">
        <v>2.7720999999999898</v>
      </c>
      <c r="AD1683">
        <v>-1.108205450594</v>
      </c>
      <c r="AE1683">
        <v>-5.5054999999999801</v>
      </c>
      <c r="AF1683">
        <v>3.4065084246284201</v>
      </c>
      <c r="AG1683">
        <v>-1.108205450594</v>
      </c>
      <c r="AH1683">
        <v>4.9039461123733403</v>
      </c>
      <c r="AI1683">
        <v>100.514320642511</v>
      </c>
      <c r="AJ1683">
        <v>55.214363571968597</v>
      </c>
      <c r="AK1683">
        <v>6.0729816763145399</v>
      </c>
      <c r="AL1683">
        <v>87.345525509563501</v>
      </c>
      <c r="AM1683">
        <v>79.989275049538904</v>
      </c>
      <c r="AN1683">
        <v>1.0000000440572601</v>
      </c>
    </row>
    <row r="1684" spans="1:40" x14ac:dyDescent="0.25">
      <c r="A1684" t="str">
        <f>"20190312153919827"</f>
        <v>20190312153919827</v>
      </c>
      <c r="B1684" t="str">
        <f>"1552376359817051"</f>
        <v>1552376359817051</v>
      </c>
      <c r="C1684" t="s">
        <v>40</v>
      </c>
      <c r="D1684">
        <v>4.4786710000000003</v>
      </c>
      <c r="E1684">
        <v>0.6747668</v>
      </c>
      <c r="F1684" t="s">
        <v>49</v>
      </c>
      <c r="G1684">
        <v>-197.3134</v>
      </c>
      <c r="H1684" s="1">
        <v>-5.4434439999999998E-6</v>
      </c>
      <c r="I1684">
        <v>356.65460000000002</v>
      </c>
      <c r="J1684">
        <v>-200.0498</v>
      </c>
      <c r="K1684">
        <v>1.1081700000000001</v>
      </c>
      <c r="L1684">
        <v>362.13850000000002</v>
      </c>
      <c r="M1684">
        <v>0.87745390000000001</v>
      </c>
      <c r="N1684">
        <v>0</v>
      </c>
      <c r="O1684">
        <v>-0.47945919999999997</v>
      </c>
      <c r="P1684">
        <v>0.77971759999999901</v>
      </c>
      <c r="Q1684">
        <v>3.2530860000000002E-2</v>
      </c>
      <c r="R1684">
        <v>-0.62528609999999996</v>
      </c>
      <c r="S1684">
        <v>1.501358</v>
      </c>
      <c r="T1684">
        <v>-0.596001</v>
      </c>
      <c r="U1684">
        <v>-2.9674680000000002</v>
      </c>
      <c r="V1684">
        <v>0.17509649999999999</v>
      </c>
      <c r="W1684">
        <v>4.5219559999999999E-2</v>
      </c>
      <c r="X1684">
        <v>0.98351230000000001</v>
      </c>
      <c r="Y1684">
        <v>0.56489899999999904</v>
      </c>
      <c r="Z1684">
        <v>3.6920540000000002E-2</v>
      </c>
      <c r="AA1684">
        <v>0.82433369999999995</v>
      </c>
      <c r="AB1684">
        <v>13</v>
      </c>
      <c r="AC1684">
        <v>2.7364000000000002</v>
      </c>
      <c r="AD1684">
        <v>-1.1081754434440001</v>
      </c>
      <c r="AE1684">
        <v>-5.4839000000000002</v>
      </c>
      <c r="AF1684">
        <v>3.3894000637500001</v>
      </c>
      <c r="AG1684">
        <v>-1.1081754434440001</v>
      </c>
      <c r="AH1684">
        <v>4.8715823232378401</v>
      </c>
      <c r="AI1684">
        <v>100.576973010242</v>
      </c>
      <c r="AJ1684">
        <v>55.171760324903801</v>
      </c>
      <c r="AK1684">
        <v>6.0372510249023303</v>
      </c>
      <c r="AL1684">
        <v>87.408226316278999</v>
      </c>
      <c r="AM1684">
        <v>79.905292156272196</v>
      </c>
      <c r="AN1684">
        <v>1.0000000185850599</v>
      </c>
    </row>
    <row r="1685" spans="1:40" x14ac:dyDescent="0.25">
      <c r="A1685" t="str">
        <f>"20190312153919985"</f>
        <v>20190312153919985</v>
      </c>
      <c r="B1685" t="str">
        <f>"1552376359977116"</f>
        <v>1552376359977116</v>
      </c>
      <c r="C1685" t="s">
        <v>40</v>
      </c>
      <c r="D1685">
        <v>4.1289819999999997</v>
      </c>
      <c r="E1685">
        <v>0.6747668</v>
      </c>
      <c r="F1685" t="s">
        <v>49</v>
      </c>
      <c r="G1685">
        <v>-197.30529999999999</v>
      </c>
      <c r="H1685" s="1">
        <v>-5.4406169999999999E-6</v>
      </c>
      <c r="I1685">
        <v>356.65</v>
      </c>
      <c r="J1685">
        <v>-199.26070000000001</v>
      </c>
      <c r="K1685">
        <v>1.1078939999999999</v>
      </c>
      <c r="L1685">
        <v>361.62569999999999</v>
      </c>
      <c r="M1685">
        <v>0.85488220000000004</v>
      </c>
      <c r="N1685">
        <v>0</v>
      </c>
      <c r="O1685">
        <v>-0.51863309999999996</v>
      </c>
      <c r="P1685">
        <v>0.73051350000000004</v>
      </c>
      <c r="Q1685">
        <v>2.8335659999999999E-2</v>
      </c>
      <c r="R1685">
        <v>-0.68231049999999904</v>
      </c>
      <c r="S1685">
        <v>1.4873350000000001</v>
      </c>
      <c r="T1685">
        <v>-0.60055519999999996</v>
      </c>
      <c r="U1685">
        <v>-2.974396</v>
      </c>
      <c r="V1685">
        <v>0.20471020000000001</v>
      </c>
      <c r="W1685">
        <v>4.0731910000000003E-2</v>
      </c>
      <c r="X1685">
        <v>0.97797480000000003</v>
      </c>
      <c r="Y1685">
        <v>0.53187299999999904</v>
      </c>
      <c r="Z1685">
        <v>4.8719230000000002E-2</v>
      </c>
      <c r="AA1685">
        <v>0.8454216</v>
      </c>
      <c r="AB1685">
        <v>13</v>
      </c>
      <c r="AC1685">
        <v>1.95540000000002</v>
      </c>
      <c r="AD1685">
        <v>-1.107899440617</v>
      </c>
      <c r="AE1685">
        <v>-4.9757000000000096</v>
      </c>
      <c r="AF1685">
        <v>3.1064126050320899</v>
      </c>
      <c r="AG1685">
        <v>-1.107899440617</v>
      </c>
      <c r="AH1685">
        <v>4.07750478625164</v>
      </c>
      <c r="AI1685">
        <v>102.195938701925</v>
      </c>
      <c r="AJ1685">
        <v>52.6983429885221</v>
      </c>
      <c r="AK1685">
        <v>5.2443575130922104</v>
      </c>
      <c r="AL1685">
        <v>87.6655877369991</v>
      </c>
      <c r="AM1685">
        <v>78.177512596134406</v>
      </c>
      <c r="AN1685">
        <v>1.0000000319556599</v>
      </c>
    </row>
    <row r="1686" spans="1:40" x14ac:dyDescent="0.25">
      <c r="A1686" t="str">
        <f>"20190312153920063"</f>
        <v>20190312153920063</v>
      </c>
      <c r="B1686" t="str">
        <f>"1552376360057148"</f>
        <v>1552376360057148</v>
      </c>
      <c r="C1686" t="s">
        <v>40</v>
      </c>
      <c r="D1686">
        <v>4.6304439999999998</v>
      </c>
      <c r="E1686">
        <v>0.6736181</v>
      </c>
      <c r="F1686" t="s">
        <v>49</v>
      </c>
      <c r="G1686">
        <v>-197.001</v>
      </c>
      <c r="H1686" s="1">
        <v>-5.2117149999999998E-6</v>
      </c>
      <c r="I1686">
        <v>356.10809999999998</v>
      </c>
      <c r="J1686">
        <v>-198.8912</v>
      </c>
      <c r="K1686">
        <v>1.107801</v>
      </c>
      <c r="L1686">
        <v>361.36349999999999</v>
      </c>
      <c r="M1686">
        <v>0.84213830000000001</v>
      </c>
      <c r="N1686">
        <v>0</v>
      </c>
      <c r="O1686">
        <v>-0.53907899999999997</v>
      </c>
      <c r="P1686">
        <v>0.70449379999999995</v>
      </c>
      <c r="Q1686">
        <v>2.9985649999999999E-2</v>
      </c>
      <c r="R1686">
        <v>-0.70907640000000005</v>
      </c>
      <c r="S1686">
        <v>1.2590790000000001</v>
      </c>
      <c r="T1686">
        <v>-0.61731720000000001</v>
      </c>
      <c r="U1686">
        <v>-3.0744020000000001</v>
      </c>
      <c r="V1686">
        <v>0.21766849999999999</v>
      </c>
      <c r="W1686">
        <v>4.2244080000000003E-2</v>
      </c>
      <c r="X1686">
        <v>0.97510810000000003</v>
      </c>
      <c r="Y1686">
        <v>0.57379119999999995</v>
      </c>
      <c r="Z1686">
        <v>5.0279169999999998E-2</v>
      </c>
      <c r="AA1686">
        <v>0.81745679999999998</v>
      </c>
      <c r="AB1686">
        <v>13</v>
      </c>
      <c r="AC1686">
        <v>1.8902000000000201</v>
      </c>
      <c r="AD1686">
        <v>-1.107806211715</v>
      </c>
      <c r="AE1686">
        <v>-5.2553999999999998</v>
      </c>
      <c r="AF1686">
        <v>3.2781644810680999</v>
      </c>
      <c r="AG1686">
        <v>-1.107806211715</v>
      </c>
      <c r="AH1686">
        <v>4.2578006103383599</v>
      </c>
      <c r="AI1686">
        <v>101.64880757342399</v>
      </c>
      <c r="AJ1686">
        <v>52.406618053166397</v>
      </c>
      <c r="AK1686">
        <v>5.4865711519170599</v>
      </c>
      <c r="AL1686">
        <v>87.578871966425297</v>
      </c>
      <c r="AM1686">
        <v>77.4164530734609</v>
      </c>
      <c r="AN1686">
        <v>0.999999972436452</v>
      </c>
    </row>
    <row r="1687" spans="1:40" x14ac:dyDescent="0.25">
      <c r="A1687" t="str">
        <f>"20190312153920075"</f>
        <v>20190312153920075</v>
      </c>
      <c r="B1687" t="str">
        <f>"1552376360067882"</f>
        <v>1552376360067882</v>
      </c>
      <c r="C1687" t="s">
        <v>40</v>
      </c>
      <c r="D1687">
        <v>4.5663499999999999</v>
      </c>
      <c r="E1687">
        <v>0.67270149999999995</v>
      </c>
      <c r="F1687" t="s">
        <v>49</v>
      </c>
      <c r="G1687">
        <v>-196.7602</v>
      </c>
      <c r="H1687" s="1">
        <v>-4.9123800000000001E-6</v>
      </c>
      <c r="I1687">
        <v>355.57769999999999</v>
      </c>
      <c r="J1687">
        <v>-198.82640000000001</v>
      </c>
      <c r="K1687">
        <v>1.1077889999999999</v>
      </c>
      <c r="L1687">
        <v>361.31599999999997</v>
      </c>
      <c r="M1687">
        <v>0.83975010000000005</v>
      </c>
      <c r="N1687">
        <v>0</v>
      </c>
      <c r="O1687">
        <v>-0.54279160000000004</v>
      </c>
      <c r="P1687">
        <v>0.7002292</v>
      </c>
      <c r="Q1687">
        <v>2.9891330000000001E-2</v>
      </c>
      <c r="R1687">
        <v>-0.71329240000000005</v>
      </c>
      <c r="S1687">
        <v>1.1476139999999999</v>
      </c>
      <c r="T1687">
        <v>-0.59659549999999995</v>
      </c>
      <c r="U1687">
        <v>-3.1158450000000002</v>
      </c>
      <c r="V1687">
        <v>0.21921560000000001</v>
      </c>
      <c r="W1687">
        <v>4.2133089999999998E-2</v>
      </c>
      <c r="X1687">
        <v>0.97476629999999997</v>
      </c>
      <c r="Y1687">
        <v>0.59897579999999995</v>
      </c>
      <c r="Z1687">
        <v>4.688092E-2</v>
      </c>
      <c r="AA1687">
        <v>0.79939369999999998</v>
      </c>
      <c r="AB1687">
        <v>13</v>
      </c>
      <c r="AC1687">
        <v>2.0661999999999998</v>
      </c>
      <c r="AD1687">
        <v>-1.10779391237999</v>
      </c>
      <c r="AE1687">
        <v>-5.7382999999999802</v>
      </c>
      <c r="AF1687">
        <v>3.5794921856758801</v>
      </c>
      <c r="AG1687">
        <v>-1.10779391237999</v>
      </c>
      <c r="AH1687">
        <v>4.6953618358437801</v>
      </c>
      <c r="AI1687">
        <v>100.626804397811</v>
      </c>
      <c r="AJ1687">
        <v>52.680045046815899</v>
      </c>
      <c r="AK1687">
        <v>6.0071952214922399</v>
      </c>
      <c r="AL1687">
        <v>87.585236978222795</v>
      </c>
      <c r="AM1687">
        <v>77.325592733942898</v>
      </c>
      <c r="AN1687">
        <v>1.0000000080859901</v>
      </c>
    </row>
    <row r="1688" spans="1:40" x14ac:dyDescent="0.25">
      <c r="A1688" t="str">
        <f>"20190312153920089"</f>
        <v>20190312153920089</v>
      </c>
      <c r="B1688" t="str">
        <f>"1552376360077643"</f>
        <v>1552376360077643</v>
      </c>
      <c r="C1688" t="s">
        <v>40</v>
      </c>
      <c r="D1688">
        <v>4.595072</v>
      </c>
      <c r="E1688">
        <v>0.67172739999999997</v>
      </c>
      <c r="F1688" t="s">
        <v>49</v>
      </c>
      <c r="G1688">
        <v>-196.70179999999999</v>
      </c>
      <c r="H1688" s="1">
        <v>-4.8525779999999997E-6</v>
      </c>
      <c r="I1688">
        <v>355.47710000000001</v>
      </c>
      <c r="J1688">
        <v>-198.76750000000001</v>
      </c>
      <c r="K1688">
        <v>1.1077729999999999</v>
      </c>
      <c r="L1688">
        <v>361.27210000000002</v>
      </c>
      <c r="M1688">
        <v>0.83751960000000003</v>
      </c>
      <c r="N1688">
        <v>0</v>
      </c>
      <c r="O1688">
        <v>-0.54622630000000005</v>
      </c>
      <c r="P1688">
        <v>0.69645000000000001</v>
      </c>
      <c r="Q1688">
        <v>2.9273239999999999E-2</v>
      </c>
      <c r="R1688">
        <v>-0.71700799999999998</v>
      </c>
      <c r="S1688">
        <v>1.1342620000000001</v>
      </c>
      <c r="T1688">
        <v>-0.59141180000000004</v>
      </c>
      <c r="U1688">
        <v>-3.1171570000000002</v>
      </c>
      <c r="V1688">
        <v>0.22039320000000001</v>
      </c>
      <c r="W1688">
        <v>4.1503249999999998E-2</v>
      </c>
      <c r="X1688">
        <v>0.9745277</v>
      </c>
      <c r="Y1688">
        <v>0.5988831</v>
      </c>
      <c r="Z1688">
        <v>4.7272370000000001E-2</v>
      </c>
      <c r="AA1688">
        <v>0.79944009999999999</v>
      </c>
      <c r="AB1688">
        <v>13</v>
      </c>
      <c r="AC1688">
        <v>2.0657000000000201</v>
      </c>
      <c r="AD1688">
        <v>-1.107777852578</v>
      </c>
      <c r="AE1688">
        <v>-5.7950000000000097</v>
      </c>
      <c r="AF1688">
        <v>3.6084587691111798</v>
      </c>
      <c r="AG1688">
        <v>-1.107777852578</v>
      </c>
      <c r="AH1688">
        <v>4.7421755651070399</v>
      </c>
      <c r="AI1688">
        <v>100.53113674014401</v>
      </c>
      <c r="AJ1688">
        <v>52.731442479916197</v>
      </c>
      <c r="AK1688">
        <v>6.0610539965698997</v>
      </c>
      <c r="AL1688">
        <v>87.621355633707907</v>
      </c>
      <c r="AM1688">
        <v>77.256706441972597</v>
      </c>
      <c r="AN1688">
        <v>0.99999996021704496</v>
      </c>
    </row>
    <row r="1689" spans="1:40" x14ac:dyDescent="0.25">
      <c r="A1689" t="str">
        <f>"20190312153920103"</f>
        <v>20190312153920103</v>
      </c>
      <c r="B1689" t="str">
        <f>"1552376360097163"</f>
        <v>1552376360097163</v>
      </c>
      <c r="C1689" t="s">
        <v>40</v>
      </c>
      <c r="D1689">
        <v>4.5937060000000001</v>
      </c>
      <c r="E1689">
        <v>0.67005519999999996</v>
      </c>
      <c r="F1689" t="s">
        <v>49</v>
      </c>
      <c r="G1689">
        <v>-196.65049999999999</v>
      </c>
      <c r="H1689" s="1">
        <v>-4.8041079999999997E-6</v>
      </c>
      <c r="I1689">
        <v>355.39749999999998</v>
      </c>
      <c r="J1689">
        <v>-198.70359999999999</v>
      </c>
      <c r="K1689">
        <v>1.107758</v>
      </c>
      <c r="L1689">
        <v>361.2242</v>
      </c>
      <c r="M1689">
        <v>0.83506449999999999</v>
      </c>
      <c r="N1689">
        <v>0</v>
      </c>
      <c r="O1689">
        <v>-0.54997229999999997</v>
      </c>
      <c r="P1689">
        <v>0.6923473</v>
      </c>
      <c r="Q1689">
        <v>2.8430400000000002E-2</v>
      </c>
      <c r="R1689">
        <v>-0.72100419999999998</v>
      </c>
      <c r="S1689">
        <v>1.1232599999999999</v>
      </c>
      <c r="T1689">
        <v>-0.58778039999999998</v>
      </c>
      <c r="U1689">
        <v>-3.1170040000000001</v>
      </c>
      <c r="V1689">
        <v>0.22161339999999999</v>
      </c>
      <c r="W1689">
        <v>4.0646620000000001E-2</v>
      </c>
      <c r="X1689">
        <v>0.97428709999999996</v>
      </c>
      <c r="Y1689">
        <v>0.59784079999999995</v>
      </c>
      <c r="Z1689">
        <v>4.7946809999999999E-2</v>
      </c>
      <c r="AA1689">
        <v>0.80017959999999999</v>
      </c>
      <c r="AB1689">
        <v>13</v>
      </c>
      <c r="AC1689">
        <v>2.0531000000000001</v>
      </c>
      <c r="AD1689">
        <v>-1.1077628041079901</v>
      </c>
      <c r="AE1689">
        <v>-5.8267000000000104</v>
      </c>
      <c r="AF1689">
        <v>3.6204824932315698</v>
      </c>
      <c r="AG1689">
        <v>-1.1077628041079901</v>
      </c>
      <c r="AH1689">
        <v>4.7662325133880197</v>
      </c>
      <c r="AI1689">
        <v>100.485532046236</v>
      </c>
      <c r="AJ1689">
        <v>52.779297654567301</v>
      </c>
      <c r="AK1689">
        <v>6.08703575524562</v>
      </c>
      <c r="AL1689">
        <v>87.670478469727499</v>
      </c>
      <c r="AM1689">
        <v>77.185416447285206</v>
      </c>
      <c r="AN1689">
        <v>1.00000000000169</v>
      </c>
    </row>
    <row r="1690" spans="1:40" x14ac:dyDescent="0.25">
      <c r="A1690" t="str">
        <f>"20190312153920116"</f>
        <v>20190312153920116</v>
      </c>
      <c r="B1690" t="str">
        <f>"1552376360107901"</f>
        <v>1552376360107901</v>
      </c>
      <c r="C1690" t="s">
        <v>40</v>
      </c>
      <c r="D1690">
        <v>4.6317159999999999</v>
      </c>
      <c r="E1690">
        <v>0.66951210000000005</v>
      </c>
      <c r="F1690" t="s">
        <v>49</v>
      </c>
      <c r="G1690">
        <v>-196.57339999999999</v>
      </c>
      <c r="H1690" s="1">
        <v>-4.7298440000000004E-6</v>
      </c>
      <c r="I1690">
        <v>355.2747</v>
      </c>
      <c r="J1690">
        <v>-198.63650000000001</v>
      </c>
      <c r="K1690">
        <v>1.1077379999999999</v>
      </c>
      <c r="L1690">
        <v>361.17340000000002</v>
      </c>
      <c r="M1690">
        <v>0.83243180000000006</v>
      </c>
      <c r="N1690">
        <v>0</v>
      </c>
      <c r="O1690">
        <v>-0.55394889999999997</v>
      </c>
      <c r="P1690">
        <v>0.68854490000000002</v>
      </c>
      <c r="Q1690">
        <v>2.740511E-2</v>
      </c>
      <c r="R1690">
        <v>-0.72467590000000004</v>
      </c>
      <c r="S1690">
        <v>1.1147</v>
      </c>
      <c r="T1690">
        <v>-0.57968500000000001</v>
      </c>
      <c r="U1690">
        <v>-3.1133120000000001</v>
      </c>
      <c r="V1690">
        <v>0.2221195</v>
      </c>
      <c r="W1690">
        <v>3.9614629999999998E-2</v>
      </c>
      <c r="X1690">
        <v>0.97421440000000004</v>
      </c>
      <c r="Y1690">
        <v>0.59575549999999999</v>
      </c>
      <c r="Z1690">
        <v>4.8436029999999998E-2</v>
      </c>
      <c r="AA1690">
        <v>0.80170399999999997</v>
      </c>
      <c r="AB1690">
        <v>13</v>
      </c>
      <c r="AC1690">
        <v>2.0631000000000199</v>
      </c>
      <c r="AD1690">
        <v>-1.1077427298439999</v>
      </c>
      <c r="AE1690">
        <v>-5.8987000000000096</v>
      </c>
      <c r="AF1690">
        <v>3.6529988221387502</v>
      </c>
      <c r="AG1690">
        <v>-1.1077427298439999</v>
      </c>
      <c r="AH1690">
        <v>4.8335771636129001</v>
      </c>
      <c r="AI1690">
        <v>100.36123117338001</v>
      </c>
      <c r="AJ1690">
        <v>52.919662544753599</v>
      </c>
      <c r="AK1690">
        <v>6.1591365098258297</v>
      </c>
      <c r="AL1690">
        <v>87.729654914194796</v>
      </c>
      <c r="AM1690">
        <v>77.156194482415799</v>
      </c>
      <c r="AN1690">
        <v>1.0000000441788199</v>
      </c>
    </row>
    <row r="1691" spans="1:40" x14ac:dyDescent="0.25">
      <c r="A1691" t="str">
        <f>"20190312153920129"</f>
        <v>20190312153920129</v>
      </c>
      <c r="B1691" t="str">
        <f>"1552376360117659"</f>
        <v>1552376360117659</v>
      </c>
      <c r="C1691" t="s">
        <v>40</v>
      </c>
      <c r="D1691">
        <v>4.5382220000000002</v>
      </c>
      <c r="E1691">
        <v>0.66877810000000004</v>
      </c>
      <c r="F1691" t="s">
        <v>49</v>
      </c>
      <c r="G1691">
        <v>-196.52430000000001</v>
      </c>
      <c r="H1691" s="1">
        <v>-4.6795800000000003E-6</v>
      </c>
      <c r="I1691">
        <v>355.1902</v>
      </c>
      <c r="J1691">
        <v>-198.57839999999999</v>
      </c>
      <c r="K1691">
        <v>1.1077250000000001</v>
      </c>
      <c r="L1691">
        <v>361.12880000000001</v>
      </c>
      <c r="M1691">
        <v>0.83009179999999905</v>
      </c>
      <c r="N1691">
        <v>0</v>
      </c>
      <c r="O1691">
        <v>-0.55744890000000002</v>
      </c>
      <c r="P1691">
        <v>0.68534719999999905</v>
      </c>
      <c r="Q1691">
        <v>2.4025999999999999E-2</v>
      </c>
      <c r="R1691">
        <v>-0.72781980000000002</v>
      </c>
      <c r="S1691">
        <v>1.1001430000000001</v>
      </c>
      <c r="T1691">
        <v>-0.57695569999999996</v>
      </c>
      <c r="U1691">
        <v>-3.1162719999999999</v>
      </c>
      <c r="V1691">
        <v>0.222385</v>
      </c>
      <c r="W1691">
        <v>3.6232470000000003E-2</v>
      </c>
      <c r="X1691">
        <v>0.97428539999999997</v>
      </c>
      <c r="Y1691">
        <v>0.59598130000000005</v>
      </c>
      <c r="Z1691">
        <v>4.8956640000000003E-2</v>
      </c>
      <c r="AA1691">
        <v>0.80150459999999901</v>
      </c>
      <c r="AB1691">
        <v>13</v>
      </c>
      <c r="AC1691">
        <v>2.0540999999999698</v>
      </c>
      <c r="AD1691">
        <v>-1.10772967957999</v>
      </c>
      <c r="AE1691">
        <v>-5.9386000000000001</v>
      </c>
      <c r="AF1691">
        <v>3.6708290708104498</v>
      </c>
      <c r="AG1691">
        <v>-1.10772967957999</v>
      </c>
      <c r="AH1691">
        <v>4.8648755366045702</v>
      </c>
      <c r="AI1691">
        <v>100.301685340595</v>
      </c>
      <c r="AJ1691">
        <v>52.963341675516197</v>
      </c>
      <c r="AK1691">
        <v>6.1942768017568604</v>
      </c>
      <c r="AL1691">
        <v>87.923577817914705</v>
      </c>
      <c r="AM1691">
        <v>77.142258203326193</v>
      </c>
      <c r="AN1691">
        <v>0.99999996038022898</v>
      </c>
    </row>
    <row r="1692" spans="1:40" x14ac:dyDescent="0.25">
      <c r="A1692" t="str">
        <f>"20190312153920144"</f>
        <v>20190312153920144</v>
      </c>
      <c r="B1692" t="str">
        <f>"1552376360137179"</f>
        <v>1552376360137179</v>
      </c>
      <c r="C1692" t="s">
        <v>40</v>
      </c>
      <c r="D1692">
        <v>4.5028629999999996</v>
      </c>
      <c r="E1692">
        <v>0.66740529999999998</v>
      </c>
      <c r="F1692" t="s">
        <v>49</v>
      </c>
      <c r="G1692">
        <v>-196.49539999999999</v>
      </c>
      <c r="H1692" s="1">
        <v>-4.6565869999999999E-6</v>
      </c>
      <c r="I1692">
        <v>355.15460000000002</v>
      </c>
      <c r="J1692">
        <v>-198.51179999999999</v>
      </c>
      <c r="K1692">
        <v>1.1077129999999999</v>
      </c>
      <c r="L1692">
        <v>361.0772</v>
      </c>
      <c r="M1692">
        <v>0.82735899999999996</v>
      </c>
      <c r="N1692">
        <v>0</v>
      </c>
      <c r="O1692">
        <v>-0.56149669999999996</v>
      </c>
      <c r="P1692">
        <v>0.68206789999999995</v>
      </c>
      <c r="Q1692">
        <v>2.4691769999999998E-2</v>
      </c>
      <c r="R1692">
        <v>-0.73087199999999997</v>
      </c>
      <c r="S1692">
        <v>1.0869599999999999</v>
      </c>
      <c r="T1692">
        <v>-0.57803740000000003</v>
      </c>
      <c r="U1692">
        <v>-3.1174620000000002</v>
      </c>
      <c r="V1692">
        <v>0.22199450000000001</v>
      </c>
      <c r="W1692">
        <v>3.6898649999999998E-2</v>
      </c>
      <c r="X1692">
        <v>0.97434949999999998</v>
      </c>
      <c r="Y1692">
        <v>0.59521250000000003</v>
      </c>
      <c r="Z1692">
        <v>5.0026010000000003E-2</v>
      </c>
      <c r="AA1692">
        <v>0.80200959999999999</v>
      </c>
      <c r="AB1692">
        <v>13</v>
      </c>
      <c r="AC1692">
        <v>2.0164</v>
      </c>
      <c r="AD1692">
        <v>-1.1077176565869999</v>
      </c>
      <c r="AE1692">
        <v>-5.9225999999999797</v>
      </c>
      <c r="AF1692">
        <v>3.65375243622004</v>
      </c>
      <c r="AG1692">
        <v>-1.1077176565869999</v>
      </c>
      <c r="AH1692">
        <v>4.8425023462532497</v>
      </c>
      <c r="AI1692">
        <v>100.348340757042</v>
      </c>
      <c r="AJ1692">
        <v>52.964810152589301</v>
      </c>
      <c r="AK1692">
        <v>6.1665852986370604</v>
      </c>
      <c r="AL1692">
        <v>87.885383072059</v>
      </c>
      <c r="AM1692">
        <v>77.164903893107294</v>
      </c>
      <c r="AN1692">
        <v>1.00000000827616</v>
      </c>
    </row>
    <row r="1693" spans="1:40" x14ac:dyDescent="0.25">
      <c r="A1693" t="str">
        <f>"20190312153920155"</f>
        <v>20190312153920155</v>
      </c>
      <c r="B1693" t="str">
        <f>"1552376360147916"</f>
        <v>1552376360147916</v>
      </c>
      <c r="C1693" t="s">
        <v>40</v>
      </c>
      <c r="D1693">
        <v>4.6610360000000002</v>
      </c>
      <c r="E1693">
        <v>0.66636309999999999</v>
      </c>
      <c r="F1693" t="s">
        <v>49</v>
      </c>
      <c r="G1693">
        <v>-196.39680000000001</v>
      </c>
      <c r="H1693" s="1">
        <v>-4.5521489999999999E-6</v>
      </c>
      <c r="I1693">
        <v>354.97739999999999</v>
      </c>
      <c r="J1693">
        <v>-198.4539</v>
      </c>
      <c r="K1693">
        <v>1.1077049999999999</v>
      </c>
      <c r="L1693">
        <v>361.03199999999998</v>
      </c>
      <c r="M1693">
        <v>0.82494069999999997</v>
      </c>
      <c r="N1693">
        <v>0</v>
      </c>
      <c r="O1693">
        <v>-0.56504359999999998</v>
      </c>
      <c r="P1693">
        <v>0.67948039999999998</v>
      </c>
      <c r="Q1693">
        <v>2.4491619999999999E-2</v>
      </c>
      <c r="R1693">
        <v>-0.73328490000000002</v>
      </c>
      <c r="S1693">
        <v>1.080292</v>
      </c>
      <c r="T1693">
        <v>-0.56580019999999998</v>
      </c>
      <c r="U1693">
        <v>-3.1156619999999999</v>
      </c>
      <c r="V1693">
        <v>0.2212607</v>
      </c>
      <c r="W1693">
        <v>3.6702800000000001E-2</v>
      </c>
      <c r="X1693">
        <v>0.97452380000000005</v>
      </c>
      <c r="Y1693">
        <v>0.59324880000000002</v>
      </c>
      <c r="Z1693">
        <v>4.9969029999999998E-2</v>
      </c>
      <c r="AA1693">
        <v>0.80346689999999998</v>
      </c>
      <c r="AB1693">
        <v>13</v>
      </c>
      <c r="AC1693">
        <v>2.0570999999999899</v>
      </c>
      <c r="AD1693">
        <v>-1.1077095521489999</v>
      </c>
      <c r="AE1693">
        <v>-6.05459999999999</v>
      </c>
      <c r="AF1693">
        <v>3.7210541082166899</v>
      </c>
      <c r="AG1693">
        <v>-1.1077095521489999</v>
      </c>
      <c r="AH1693">
        <v>4.9694827198276501</v>
      </c>
      <c r="AI1693">
        <v>100.116610770927</v>
      </c>
      <c r="AJ1693">
        <v>53.174829367289099</v>
      </c>
      <c r="AK1693">
        <v>6.3062685187727396</v>
      </c>
      <c r="AL1693">
        <v>87.896612070437598</v>
      </c>
      <c r="AM1693">
        <v>77.208144642167497</v>
      </c>
      <c r="AN1693">
        <v>1.0000000148293799</v>
      </c>
    </row>
    <row r="1694" spans="1:40" x14ac:dyDescent="0.25">
      <c r="A1694" t="str">
        <f>"20190312153920169"</f>
        <v>20190312153920169</v>
      </c>
      <c r="B1694" t="str">
        <f>"1552376360157676"</f>
        <v>1552376360157676</v>
      </c>
      <c r="C1694" t="s">
        <v>40</v>
      </c>
      <c r="D1694">
        <v>4.6557430000000002</v>
      </c>
      <c r="E1694">
        <v>0.66529729999999998</v>
      </c>
      <c r="F1694" t="s">
        <v>49</v>
      </c>
      <c r="G1694">
        <v>-196.33109999999999</v>
      </c>
      <c r="H1694" s="1">
        <v>-4.4915320000000001E-6</v>
      </c>
      <c r="I1694">
        <v>354.87849999999997</v>
      </c>
      <c r="J1694">
        <v>-198.39850000000001</v>
      </c>
      <c r="K1694">
        <v>1.1076999999999999</v>
      </c>
      <c r="L1694">
        <v>360.988</v>
      </c>
      <c r="M1694">
        <v>0.82256749999999901</v>
      </c>
      <c r="N1694">
        <v>0</v>
      </c>
      <c r="O1694">
        <v>-0.56849280000000002</v>
      </c>
      <c r="P1694">
        <v>0.67727519999999997</v>
      </c>
      <c r="Q1694">
        <v>2.4590049999999999E-2</v>
      </c>
      <c r="R1694">
        <v>-0.73531880000000005</v>
      </c>
      <c r="S1694">
        <v>1.074371</v>
      </c>
      <c r="T1694">
        <v>-0.56063619999999903</v>
      </c>
      <c r="U1694">
        <v>-3.1144099999999999</v>
      </c>
      <c r="V1694">
        <v>0.22010579999999999</v>
      </c>
      <c r="W1694">
        <v>3.6810490000000001E-2</v>
      </c>
      <c r="X1694">
        <v>0.97478120000000001</v>
      </c>
      <c r="Y1694">
        <v>0.59120989999999995</v>
      </c>
      <c r="Z1694">
        <v>5.0472320000000001E-2</v>
      </c>
      <c r="AA1694">
        <v>0.80493689999999996</v>
      </c>
      <c r="AB1694">
        <v>13</v>
      </c>
      <c r="AC1694">
        <v>2.0674000000000201</v>
      </c>
      <c r="AD1694">
        <v>-1.107704491532</v>
      </c>
      <c r="AE1694">
        <v>-6.1095000000000796</v>
      </c>
      <c r="AF1694">
        <v>3.7402371004308601</v>
      </c>
      <c r="AG1694">
        <v>-1.107704491532</v>
      </c>
      <c r="AH1694">
        <v>5.0260517534275904</v>
      </c>
      <c r="AI1694">
        <v>100.026705012577</v>
      </c>
      <c r="AJ1694">
        <v>53.344482066801902</v>
      </c>
      <c r="AK1694">
        <v>6.3621992295221501</v>
      </c>
      <c r="AL1694">
        <v>87.890437645599107</v>
      </c>
      <c r="AM1694">
        <v>77.275984564534298</v>
      </c>
      <c r="AN1694">
        <v>0.99999998162055903</v>
      </c>
    </row>
    <row r="1695" spans="1:40" x14ac:dyDescent="0.25">
      <c r="A1695" t="str">
        <f>"20190312153920183"</f>
        <v>20190312153920183</v>
      </c>
      <c r="B1695" t="str">
        <f>"1552376360177196"</f>
        <v>1552376360177196</v>
      </c>
      <c r="C1695" t="s">
        <v>40</v>
      </c>
      <c r="D1695">
        <v>4.6681850000000003</v>
      </c>
      <c r="E1695">
        <v>0.66343909999999995</v>
      </c>
      <c r="F1695" t="s">
        <v>49</v>
      </c>
      <c r="G1695">
        <v>-196.27170000000001</v>
      </c>
      <c r="H1695" s="1">
        <v>-4.4460560000000001E-6</v>
      </c>
      <c r="I1695">
        <v>354.8091</v>
      </c>
      <c r="J1695">
        <v>-198.3356</v>
      </c>
      <c r="K1695">
        <v>1.107688</v>
      </c>
      <c r="L1695">
        <v>360.93770000000001</v>
      </c>
      <c r="M1695">
        <v>0.81983320000000004</v>
      </c>
      <c r="N1695">
        <v>0</v>
      </c>
      <c r="O1695">
        <v>-0.57242869999999901</v>
      </c>
      <c r="P1695">
        <v>0.67451030000000001</v>
      </c>
      <c r="Q1695">
        <v>2.642069E-2</v>
      </c>
      <c r="R1695">
        <v>-0.73779280000000003</v>
      </c>
      <c r="S1695">
        <v>1.071091</v>
      </c>
      <c r="T1695">
        <v>-0.55788149999999903</v>
      </c>
      <c r="U1695">
        <v>-3.1119080000000001</v>
      </c>
      <c r="V1695">
        <v>0.219055</v>
      </c>
      <c r="W1695">
        <v>3.8648340000000003E-2</v>
      </c>
      <c r="X1695">
        <v>0.9749468</v>
      </c>
      <c r="Y1695">
        <v>0.58797349999999904</v>
      </c>
      <c r="Z1695">
        <v>5.1394000000000002E-2</v>
      </c>
      <c r="AA1695">
        <v>0.80724589999999996</v>
      </c>
      <c r="AB1695">
        <v>13</v>
      </c>
      <c r="AC1695">
        <v>2.0638999999999799</v>
      </c>
      <c r="AD1695">
        <v>-1.107692446056</v>
      </c>
      <c r="AE1695">
        <v>-6.1285999999999996</v>
      </c>
      <c r="AF1695">
        <v>3.7338258953233798</v>
      </c>
      <c r="AG1695">
        <v>-1.107692446056</v>
      </c>
      <c r="AH1695">
        <v>5.0525166067124001</v>
      </c>
      <c r="AI1695">
        <v>99.999329313743502</v>
      </c>
      <c r="AJ1695">
        <v>53.535480675423003</v>
      </c>
      <c r="AK1695">
        <v>6.3793700655112904</v>
      </c>
      <c r="AL1695">
        <v>87.785061647946804</v>
      </c>
      <c r="AM1695">
        <v>77.3368477418786</v>
      </c>
      <c r="AN1695">
        <v>1.0000000250199901</v>
      </c>
    </row>
    <row r="1696" spans="1:40" x14ac:dyDescent="0.25">
      <c r="A1696" t="str">
        <f>"20190312153920197"</f>
        <v>20190312153920197</v>
      </c>
      <c r="B1696" t="str">
        <f>"1552376360187931"</f>
        <v>1552376360187931</v>
      </c>
      <c r="C1696" t="s">
        <v>40</v>
      </c>
      <c r="D1696">
        <v>4.687214</v>
      </c>
      <c r="E1696">
        <v>0.66255540000000002</v>
      </c>
      <c r="F1696" t="s">
        <v>49</v>
      </c>
      <c r="G1696">
        <v>-196.1721</v>
      </c>
      <c r="H1696" s="1">
        <v>-4.357379E-6</v>
      </c>
      <c r="I1696">
        <v>354.6662</v>
      </c>
      <c r="J1696">
        <v>-198.267</v>
      </c>
      <c r="K1696">
        <v>1.1076859999999999</v>
      </c>
      <c r="L1696">
        <v>360.88229999999999</v>
      </c>
      <c r="M1696">
        <v>0.81677959999999905</v>
      </c>
      <c r="N1696">
        <v>0</v>
      </c>
      <c r="O1696">
        <v>-0.57677699999999998</v>
      </c>
      <c r="P1696">
        <v>0.67265750000000002</v>
      </c>
      <c r="Q1696">
        <v>2.89717E-2</v>
      </c>
      <c r="R1696">
        <v>-0.73938649999999995</v>
      </c>
      <c r="S1696">
        <v>1.071564</v>
      </c>
      <c r="T1696">
        <v>-0.54863329999999999</v>
      </c>
      <c r="U1696">
        <v>-3.1062620000000001</v>
      </c>
      <c r="V1696">
        <v>0.2162596</v>
      </c>
      <c r="W1696">
        <v>4.1222639999999998E-2</v>
      </c>
      <c r="X1696">
        <v>0.97546520000000003</v>
      </c>
      <c r="Y1696">
        <v>0.58321529999999999</v>
      </c>
      <c r="Z1696">
        <v>5.1954119999999999E-2</v>
      </c>
      <c r="AA1696">
        <v>0.81065449999999994</v>
      </c>
      <c r="AB1696">
        <v>13</v>
      </c>
      <c r="AC1696">
        <v>2.0948999999999902</v>
      </c>
      <c r="AD1696">
        <v>-1.107690357379</v>
      </c>
      <c r="AE1696">
        <v>-6.2160999999999804</v>
      </c>
      <c r="AF1696">
        <v>3.7620039758514401</v>
      </c>
      <c r="AG1696">
        <v>-1.107690357379</v>
      </c>
      <c r="AH1696">
        <v>5.1500471604632798</v>
      </c>
      <c r="AI1696">
        <v>99.852874097309893</v>
      </c>
      <c r="AJ1696">
        <v>53.852636763811603</v>
      </c>
      <c r="AK1696">
        <v>6.4732246675940699</v>
      </c>
      <c r="AL1696">
        <v>87.637447123162104</v>
      </c>
      <c r="AM1696">
        <v>77.499766453903703</v>
      </c>
      <c r="AN1696">
        <v>0.99999993852588198</v>
      </c>
    </row>
    <row r="1697" spans="1:40" x14ac:dyDescent="0.25">
      <c r="A1697" t="str">
        <f>"20190312153920208"</f>
        <v>20190312153920208</v>
      </c>
      <c r="B1697" t="str">
        <f>"1552376360197691"</f>
        <v>1552376360197691</v>
      </c>
      <c r="C1697" t="s">
        <v>40</v>
      </c>
      <c r="D1697">
        <v>4.6914030000000002</v>
      </c>
      <c r="E1697">
        <v>0.66164719999999999</v>
      </c>
      <c r="F1697" t="s">
        <v>49</v>
      </c>
      <c r="G1697">
        <v>-196.0804</v>
      </c>
      <c r="H1697" s="1">
        <v>-4.2810280000000001E-6</v>
      </c>
      <c r="I1697">
        <v>354.55</v>
      </c>
      <c r="J1697">
        <v>-198.21709999999999</v>
      </c>
      <c r="K1697">
        <v>1.10768</v>
      </c>
      <c r="L1697">
        <v>360.84140000000002</v>
      </c>
      <c r="M1697">
        <v>0.81450250000000002</v>
      </c>
      <c r="N1697">
        <v>0</v>
      </c>
      <c r="O1697">
        <v>-0.57998830000000001</v>
      </c>
      <c r="P1697">
        <v>0.67071879999999995</v>
      </c>
      <c r="Q1697">
        <v>3.0706959999999998E-2</v>
      </c>
      <c r="R1697">
        <v>-0.74107599999999996</v>
      </c>
      <c r="S1697">
        <v>1.0716859999999999</v>
      </c>
      <c r="T1697">
        <v>-0.54291650000000002</v>
      </c>
      <c r="U1697">
        <v>-3.1036990000000002</v>
      </c>
      <c r="V1697">
        <v>0.21493019999999999</v>
      </c>
      <c r="W1697">
        <v>4.2969170000000001E-2</v>
      </c>
      <c r="X1697">
        <v>0.97568370000000004</v>
      </c>
      <c r="Y1697">
        <v>0.57985180000000003</v>
      </c>
      <c r="Z1697">
        <v>5.2407240000000001E-2</v>
      </c>
      <c r="AA1697">
        <v>0.8130347</v>
      </c>
      <c r="AB1697">
        <v>13</v>
      </c>
      <c r="AC1697">
        <v>2.1366999999999901</v>
      </c>
      <c r="AD1697">
        <v>-1.1076842810279901</v>
      </c>
      <c r="AE1697">
        <v>-6.2914000000000003</v>
      </c>
      <c r="AF1697">
        <v>3.7804195375626701</v>
      </c>
      <c r="AG1697">
        <v>-1.1076842810279901</v>
      </c>
      <c r="AH1697">
        <v>5.2440764708668599</v>
      </c>
      <c r="AI1697">
        <v>99.722892799569195</v>
      </c>
      <c r="AJ1697">
        <v>54.212419355948803</v>
      </c>
      <c r="AK1697">
        <v>6.5588775242964799</v>
      </c>
      <c r="AL1697">
        <v>87.537289703836507</v>
      </c>
      <c r="AM1697">
        <v>77.576910844411003</v>
      </c>
      <c r="AN1697">
        <v>1.0000000114440999</v>
      </c>
    </row>
    <row r="1698" spans="1:40" x14ac:dyDescent="0.25">
      <c r="A1698" t="str">
        <f>"20190312153920221"</f>
        <v>20190312153920221</v>
      </c>
      <c r="B1698" t="str">
        <f>"1552376360207451"</f>
        <v>1552376360207451</v>
      </c>
      <c r="C1698" t="s">
        <v>40</v>
      </c>
      <c r="D1698">
        <v>4.7102170000000001</v>
      </c>
      <c r="E1698">
        <v>0.6608115</v>
      </c>
      <c r="F1698" t="s">
        <v>49</v>
      </c>
      <c r="G1698">
        <v>-196.01259999999999</v>
      </c>
      <c r="H1698" s="1">
        <v>-4.2168760000000004E-6</v>
      </c>
      <c r="I1698">
        <v>354.45240000000001</v>
      </c>
      <c r="J1698">
        <v>-198.16390000000001</v>
      </c>
      <c r="K1698">
        <v>1.1076729999999999</v>
      </c>
      <c r="L1698">
        <v>360.79750000000001</v>
      </c>
      <c r="M1698">
        <v>0.81204359999999998</v>
      </c>
      <c r="N1698">
        <v>0</v>
      </c>
      <c r="O1698">
        <v>-0.58342609999999995</v>
      </c>
      <c r="P1698">
        <v>0.66800740000000003</v>
      </c>
      <c r="Q1698">
        <v>3.2304369999999999E-2</v>
      </c>
      <c r="R1698">
        <v>-0.74345329999999998</v>
      </c>
      <c r="S1698">
        <v>1.070282</v>
      </c>
      <c r="T1698">
        <v>-0.53777069999999905</v>
      </c>
      <c r="U1698">
        <v>-3.1018370000000002</v>
      </c>
      <c r="V1698">
        <v>0.21432760000000001</v>
      </c>
      <c r="W1698">
        <v>4.4569810000000001E-2</v>
      </c>
      <c r="X1698">
        <v>0.97574439999999996</v>
      </c>
      <c r="Y1698">
        <v>0.57665219999999995</v>
      </c>
      <c r="Z1698">
        <v>5.2922219999999999E-2</v>
      </c>
      <c r="AA1698">
        <v>0.8152739</v>
      </c>
      <c r="AB1698">
        <v>13</v>
      </c>
      <c r="AC1698">
        <v>2.15130000000002</v>
      </c>
      <c r="AD1698">
        <v>-1.1076772168759901</v>
      </c>
      <c r="AE1698">
        <v>-6.3451000000000004</v>
      </c>
      <c r="AF1698">
        <v>3.794057271112</v>
      </c>
      <c r="AG1698">
        <v>-1.1076772168759901</v>
      </c>
      <c r="AH1698">
        <v>5.3044021237454899</v>
      </c>
      <c r="AI1698">
        <v>99.639519086185999</v>
      </c>
      <c r="AJ1698">
        <v>54.425156999724599</v>
      </c>
      <c r="AK1698">
        <v>6.6150208830856796</v>
      </c>
      <c r="AL1698">
        <v>87.445491675928906</v>
      </c>
      <c r="AM1698">
        <v>77.611411341937099</v>
      </c>
      <c r="AN1698">
        <v>0.99999996110827705</v>
      </c>
    </row>
    <row r="1699" spans="1:40" x14ac:dyDescent="0.25">
      <c r="A1699" t="str">
        <f>"20190312153920233"</f>
        <v>20190312153920233</v>
      </c>
      <c r="B1699" t="str">
        <f>"1552376360227949"</f>
        <v>1552376360227949</v>
      </c>
      <c r="C1699" t="s">
        <v>40</v>
      </c>
      <c r="D1699">
        <v>4.7378640000000001</v>
      </c>
      <c r="E1699">
        <v>0.65933050000000004</v>
      </c>
      <c r="F1699" t="s">
        <v>49</v>
      </c>
      <c r="G1699">
        <v>-195.95179999999999</v>
      </c>
      <c r="H1699" s="1">
        <v>-4.1550470000000003E-6</v>
      </c>
      <c r="I1699">
        <v>354.35629999999998</v>
      </c>
      <c r="J1699">
        <v>-198.10849999999999</v>
      </c>
      <c r="K1699">
        <v>1.107667</v>
      </c>
      <c r="L1699">
        <v>360.75130000000001</v>
      </c>
      <c r="M1699">
        <v>0.80942990000000004</v>
      </c>
      <c r="N1699">
        <v>0</v>
      </c>
      <c r="O1699">
        <v>-0.58704630000000002</v>
      </c>
      <c r="P1699">
        <v>0.66495079999999995</v>
      </c>
      <c r="Q1699">
        <v>3.3589590000000003E-2</v>
      </c>
      <c r="R1699">
        <v>-0.7461314</v>
      </c>
      <c r="S1699">
        <v>1.0651250000000001</v>
      </c>
      <c r="T1699">
        <v>-0.5333272</v>
      </c>
      <c r="U1699">
        <v>-3.1013489999999999</v>
      </c>
      <c r="V1699">
        <v>0.2139393</v>
      </c>
      <c r="W1699">
        <v>4.5857380000000003E-2</v>
      </c>
      <c r="X1699">
        <v>0.97577000000000003</v>
      </c>
      <c r="Y1699">
        <v>0.57423469999999999</v>
      </c>
      <c r="Z1699">
        <v>5.345337E-2</v>
      </c>
      <c r="AA1699">
        <v>0.81694389999999995</v>
      </c>
      <c r="AB1699">
        <v>13</v>
      </c>
      <c r="AC1699">
        <v>2.1566999999999998</v>
      </c>
      <c r="AD1699">
        <v>-1.107671155047</v>
      </c>
      <c r="AE1699">
        <v>-6.3950000000000404</v>
      </c>
      <c r="AF1699">
        <v>3.8080331677019101</v>
      </c>
      <c r="AG1699">
        <v>-1.107671155047</v>
      </c>
      <c r="AH1699">
        <v>5.3561272756865801</v>
      </c>
      <c r="AI1699">
        <v>99.567160228850497</v>
      </c>
      <c r="AJ1699">
        <v>54.588404623779198</v>
      </c>
      <c r="AK1699">
        <v>6.6645443495706997</v>
      </c>
      <c r="AL1699">
        <v>87.371643943734199</v>
      </c>
      <c r="AM1699">
        <v>77.633479148373297</v>
      </c>
      <c r="AN1699">
        <v>1.00000000814247</v>
      </c>
    </row>
    <row r="1700" spans="1:40" x14ac:dyDescent="0.25">
      <c r="A1700" t="str">
        <f>"20190312153920245"</f>
        <v>20190312153920245</v>
      </c>
      <c r="B1700" t="str">
        <f>"1552376360237709"</f>
        <v>1552376360237709</v>
      </c>
      <c r="C1700" t="s">
        <v>40</v>
      </c>
      <c r="D1700">
        <v>4.7396979999999997</v>
      </c>
      <c r="E1700">
        <v>0.65861639999999999</v>
      </c>
      <c r="F1700" t="s">
        <v>49</v>
      </c>
      <c r="G1700">
        <v>-195.88159999999999</v>
      </c>
      <c r="H1700" s="1">
        <v>-4.0906820000000004E-6</v>
      </c>
      <c r="I1700">
        <v>354.2593</v>
      </c>
      <c r="J1700">
        <v>-198.05690000000001</v>
      </c>
      <c r="K1700">
        <v>1.107669</v>
      </c>
      <c r="L1700">
        <v>360.70780000000002</v>
      </c>
      <c r="M1700">
        <v>0.80694909999999997</v>
      </c>
      <c r="N1700">
        <v>0</v>
      </c>
      <c r="O1700">
        <v>-0.59045170000000002</v>
      </c>
      <c r="P1700">
        <v>0.66168260000000001</v>
      </c>
      <c r="Q1700">
        <v>3.4769420000000002E-2</v>
      </c>
      <c r="R1700">
        <v>-0.74897769999999997</v>
      </c>
      <c r="S1700">
        <v>1.062546</v>
      </c>
      <c r="T1700">
        <v>-0.52851400000000004</v>
      </c>
      <c r="U1700">
        <v>-3.0975950000000001</v>
      </c>
      <c r="V1700">
        <v>0.2140601</v>
      </c>
      <c r="W1700">
        <v>4.703533E-2</v>
      </c>
      <c r="X1700">
        <v>0.97568739999999998</v>
      </c>
      <c r="Y1700">
        <v>0.57114799999999999</v>
      </c>
      <c r="Z1700">
        <v>5.3983990000000003E-2</v>
      </c>
      <c r="AA1700">
        <v>0.81906999999999996</v>
      </c>
      <c r="AB1700">
        <v>13</v>
      </c>
      <c r="AC1700">
        <v>2.17530000000002</v>
      </c>
      <c r="AD1700">
        <v>-1.107673090682</v>
      </c>
      <c r="AE1700">
        <v>-6.4485000000000197</v>
      </c>
      <c r="AF1700">
        <v>3.8184387262895401</v>
      </c>
      <c r="AG1700">
        <v>-1.107673090682</v>
      </c>
      <c r="AH1700">
        <v>5.4198620059469302</v>
      </c>
      <c r="AI1700">
        <v>99.484958148457807</v>
      </c>
      <c r="AJ1700">
        <v>54.834273363022099</v>
      </c>
      <c r="AK1700">
        <v>6.7217793883581001</v>
      </c>
      <c r="AL1700">
        <v>87.304079372516995</v>
      </c>
      <c r="AM1700">
        <v>77.6256962335287</v>
      </c>
      <c r="AN1700">
        <v>0.99999997559948905</v>
      </c>
    </row>
    <row r="1701" spans="1:40" x14ac:dyDescent="0.25">
      <c r="A1701" t="str">
        <f>"20190312153920265"</f>
        <v>20190312153920265</v>
      </c>
      <c r="B1701" t="str">
        <f>"1552376360257227"</f>
        <v>1552376360257227</v>
      </c>
      <c r="C1701" t="s">
        <v>40</v>
      </c>
      <c r="D1701">
        <v>4.7334690000000004</v>
      </c>
      <c r="E1701">
        <v>0.6573021</v>
      </c>
      <c r="F1701" t="s">
        <v>49</v>
      </c>
      <c r="G1701">
        <v>-195.83170000000001</v>
      </c>
      <c r="H1701" s="1">
        <v>-4.0316569999999997E-6</v>
      </c>
      <c r="I1701">
        <v>354.16399999999999</v>
      </c>
      <c r="J1701">
        <v>-197.97139999999999</v>
      </c>
      <c r="K1701">
        <v>1.107664</v>
      </c>
      <c r="L1701">
        <v>360.63479999999998</v>
      </c>
      <c r="M1701">
        <v>0.80274000000000001</v>
      </c>
      <c r="N1701">
        <v>0</v>
      </c>
      <c r="O1701">
        <v>-0.59616119999999995</v>
      </c>
      <c r="P1701">
        <v>0.65576599999999996</v>
      </c>
      <c r="Q1701">
        <v>3.6967220000000002E-2</v>
      </c>
      <c r="R1701">
        <v>-0.75405880000000003</v>
      </c>
      <c r="S1701">
        <v>1.0538019999999999</v>
      </c>
      <c r="T1701">
        <v>-0.52455090000000004</v>
      </c>
      <c r="U1701">
        <v>-3.0988769999999999</v>
      </c>
      <c r="V1701">
        <v>0.2147541</v>
      </c>
      <c r="W1701">
        <v>4.9225280000000003E-2</v>
      </c>
      <c r="X1701">
        <v>0.97542689999999999</v>
      </c>
      <c r="Y1701">
        <v>0.56757389999999996</v>
      </c>
      <c r="Z1701">
        <v>5.5029630000000003E-2</v>
      </c>
      <c r="AA1701">
        <v>0.82148129999999997</v>
      </c>
      <c r="AB1701">
        <v>13</v>
      </c>
      <c r="AC1701">
        <v>2.1396999999999702</v>
      </c>
      <c r="AD1701">
        <v>-1.107668031657</v>
      </c>
      <c r="AE1701">
        <v>-6.4707999999999899</v>
      </c>
      <c r="AF1701">
        <v>3.8182990889275099</v>
      </c>
      <c r="AG1701">
        <v>-1.107668031657</v>
      </c>
      <c r="AH1701">
        <v>5.4323304670657997</v>
      </c>
      <c r="AI1701">
        <v>99.470726786852296</v>
      </c>
      <c r="AJ1701">
        <v>54.897223474381398</v>
      </c>
      <c r="AK1701">
        <v>6.7317568809539603</v>
      </c>
      <c r="AL1701">
        <v>87.178459060257097</v>
      </c>
      <c r="AM1701">
        <v>77.583607192202805</v>
      </c>
      <c r="AN1701">
        <v>1.00000004445074</v>
      </c>
    </row>
    <row r="1702" spans="1:40" x14ac:dyDescent="0.25">
      <c r="A1702" t="str">
        <f>"20190312153920278"</f>
        <v>20190312153920278</v>
      </c>
      <c r="B1702" t="str">
        <f>"1552376360267965"</f>
        <v>1552376360267965</v>
      </c>
      <c r="C1702" t="s">
        <v>40</v>
      </c>
      <c r="D1702">
        <v>4.7478939999999996</v>
      </c>
      <c r="E1702">
        <v>0.65666999999999998</v>
      </c>
      <c r="F1702" t="s">
        <v>49</v>
      </c>
      <c r="G1702">
        <v>-195.7433</v>
      </c>
      <c r="H1702" s="1">
        <v>-3.9187960000000004E-6</v>
      </c>
      <c r="I1702">
        <v>353.9787</v>
      </c>
      <c r="J1702">
        <v>-197.91249999999999</v>
      </c>
      <c r="K1702">
        <v>1.1076589999999999</v>
      </c>
      <c r="L1702">
        <v>360.58390000000003</v>
      </c>
      <c r="M1702">
        <v>0.79977500000000001</v>
      </c>
      <c r="N1702">
        <v>0</v>
      </c>
      <c r="O1702">
        <v>-0.60013280000000002</v>
      </c>
      <c r="P1702">
        <v>0.65127709999999905</v>
      </c>
      <c r="Q1702">
        <v>3.804536E-2</v>
      </c>
      <c r="R1702">
        <v>-0.75788580000000005</v>
      </c>
      <c r="S1702">
        <v>1.0380400000000001</v>
      </c>
      <c r="T1702">
        <v>-0.51606640000000004</v>
      </c>
      <c r="U1702">
        <v>-3.101105</v>
      </c>
      <c r="V1702">
        <v>0.21567839999999999</v>
      </c>
      <c r="W1702">
        <v>5.0293499999999998E-2</v>
      </c>
      <c r="X1702">
        <v>0.97516840000000005</v>
      </c>
      <c r="Y1702">
        <v>0.56746730000000001</v>
      </c>
      <c r="Z1702">
        <v>5.4974540000000002E-2</v>
      </c>
      <c r="AA1702">
        <v>0.82155869999999998</v>
      </c>
      <c r="AB1702">
        <v>12</v>
      </c>
      <c r="AC1702">
        <v>2.16919999999998</v>
      </c>
      <c r="AD1702">
        <v>-1.1076629187960001</v>
      </c>
      <c r="AE1702">
        <v>-6.6052000000000204</v>
      </c>
      <c r="AF1702">
        <v>3.88270607583231</v>
      </c>
      <c r="AG1702">
        <v>-1.1076629187960001</v>
      </c>
      <c r="AH1702">
        <v>5.5583471070833603</v>
      </c>
      <c r="AI1702">
        <v>99.278341272056494</v>
      </c>
      <c r="AJ1702">
        <v>55.064310907283101</v>
      </c>
      <c r="AK1702">
        <v>6.8700470286456401</v>
      </c>
      <c r="AL1702">
        <v>87.117178546262707</v>
      </c>
      <c r="AM1702">
        <v>77.528633206585297</v>
      </c>
      <c r="AN1702">
        <v>1.00000000836368</v>
      </c>
    </row>
    <row r="1703" spans="1:40" x14ac:dyDescent="0.25">
      <c r="A1703" t="str">
        <f>"20190312153920294"</f>
        <v>20190312153920294</v>
      </c>
      <c r="B1703" t="str">
        <f>"1552376360287483"</f>
        <v>1552376360287483</v>
      </c>
      <c r="C1703" t="s">
        <v>40</v>
      </c>
      <c r="D1703">
        <v>4.7997459999999998</v>
      </c>
      <c r="E1703">
        <v>0.65548219999999902</v>
      </c>
      <c r="F1703" t="s">
        <v>49</v>
      </c>
      <c r="G1703">
        <v>-195.70099999999999</v>
      </c>
      <c r="H1703" s="1">
        <v>-3.858318E-6</v>
      </c>
      <c r="I1703">
        <v>353.87709999999998</v>
      </c>
      <c r="J1703">
        <v>-197.84270000000001</v>
      </c>
      <c r="K1703">
        <v>1.10765</v>
      </c>
      <c r="L1703">
        <v>360.52269999999999</v>
      </c>
      <c r="M1703">
        <v>0.79617320000000003</v>
      </c>
      <c r="N1703">
        <v>0</v>
      </c>
      <c r="O1703">
        <v>-0.60490299999999997</v>
      </c>
      <c r="P1703">
        <v>0.64630120000000002</v>
      </c>
      <c r="Q1703">
        <v>3.9343379999999997E-2</v>
      </c>
      <c r="R1703">
        <v>-0.76206770000000001</v>
      </c>
      <c r="S1703">
        <v>1.023666</v>
      </c>
      <c r="T1703">
        <v>-0.51272419999999996</v>
      </c>
      <c r="U1703">
        <v>-3.1044619999999998</v>
      </c>
      <c r="V1703">
        <v>0.21619279999999999</v>
      </c>
      <c r="W1703">
        <v>5.158596E-2</v>
      </c>
      <c r="X1703">
        <v>0.97498700000000005</v>
      </c>
      <c r="Y1703">
        <v>0.56628639999999997</v>
      </c>
      <c r="Z1703">
        <v>5.5657430000000001E-2</v>
      </c>
      <c r="AA1703">
        <v>0.82232719999999904</v>
      </c>
      <c r="AB1703">
        <v>12</v>
      </c>
      <c r="AC1703">
        <v>2.1417000000000099</v>
      </c>
      <c r="AD1703">
        <v>-1.107653858318</v>
      </c>
      <c r="AE1703">
        <v>-6.6456</v>
      </c>
      <c r="AF1703">
        <v>3.8978332006960801</v>
      </c>
      <c r="AG1703">
        <v>-1.107653858318</v>
      </c>
      <c r="AH1703">
        <v>5.5851229004566401</v>
      </c>
      <c r="AI1703">
        <v>99.237282070392595</v>
      </c>
      <c r="AJ1703">
        <v>55.088977995818098</v>
      </c>
      <c r="AK1703">
        <v>6.9002607590945901</v>
      </c>
      <c r="AL1703">
        <v>87.043029879079398</v>
      </c>
      <c r="AM1703">
        <v>77.497569856616593</v>
      </c>
      <c r="AN1703">
        <v>1.0000000441049799</v>
      </c>
    </row>
    <row r="1704" spans="1:40" x14ac:dyDescent="0.25">
      <c r="A1704" t="str">
        <f>"20190312153920309"</f>
        <v>20190312153920309</v>
      </c>
      <c r="B1704" t="str">
        <f>"1552376360297243"</f>
        <v>1552376360297243</v>
      </c>
      <c r="C1704" t="s">
        <v>40</v>
      </c>
      <c r="D1704">
        <v>4.7649220000000003</v>
      </c>
      <c r="E1704">
        <v>0.65502499999999997</v>
      </c>
      <c r="F1704" t="s">
        <v>49</v>
      </c>
      <c r="G1704">
        <v>-195.64150000000001</v>
      </c>
      <c r="H1704" s="1">
        <v>-3.7892320000000001E-6</v>
      </c>
      <c r="I1704">
        <v>353.76609999999999</v>
      </c>
      <c r="J1704">
        <v>-197.77879999999999</v>
      </c>
      <c r="K1704">
        <v>1.1076469999999901</v>
      </c>
      <c r="L1704">
        <v>360.46589999999998</v>
      </c>
      <c r="M1704">
        <v>0.79279750000000004</v>
      </c>
      <c r="N1704">
        <v>0</v>
      </c>
      <c r="O1704">
        <v>-0.60932039999999998</v>
      </c>
      <c r="P1704">
        <v>0.64126030000000001</v>
      </c>
      <c r="Q1704">
        <v>4.1644819999999999E-2</v>
      </c>
      <c r="R1704">
        <v>-0.7661926</v>
      </c>
      <c r="S1704">
        <v>1.011566</v>
      </c>
      <c r="T1704">
        <v>-0.50902239999999999</v>
      </c>
      <c r="U1704">
        <v>-3.1050110000000002</v>
      </c>
      <c r="V1704">
        <v>0.2171254</v>
      </c>
      <c r="W1704">
        <v>5.3877790000000002E-2</v>
      </c>
      <c r="X1704">
        <v>0.97465570000000001</v>
      </c>
      <c r="Y1704">
        <v>0.56468759999999996</v>
      </c>
      <c r="Z1704">
        <v>5.6288629999999999E-2</v>
      </c>
      <c r="AA1704">
        <v>0.82338299999999998</v>
      </c>
      <c r="AB1704">
        <v>12</v>
      </c>
      <c r="AC1704">
        <v>2.1372999999999802</v>
      </c>
      <c r="AD1704">
        <v>-1.10765078923199</v>
      </c>
      <c r="AE1704">
        <v>-6.6997999999999802</v>
      </c>
      <c r="AF1704">
        <v>3.9126222943487701</v>
      </c>
      <c r="AG1704">
        <v>-1.10765078923199</v>
      </c>
      <c r="AH1704">
        <v>5.6374957566305302</v>
      </c>
      <c r="AI1704">
        <v>99.169200449904693</v>
      </c>
      <c r="AJ1704">
        <v>55.237978471248503</v>
      </c>
      <c r="AK1704">
        <v>6.9510331530750502</v>
      </c>
      <c r="AL1704">
        <v>86.911534567989406</v>
      </c>
      <c r="AM1704">
        <v>77.441211773376807</v>
      </c>
      <c r="AN1704">
        <v>0.99999999456146704</v>
      </c>
    </row>
    <row r="1705" spans="1:40" x14ac:dyDescent="0.25">
      <c r="A1705" t="str">
        <f>"20190312153920323"</f>
        <v>20190312153920323</v>
      </c>
      <c r="B1705" t="str">
        <f>"1552376360317739"</f>
        <v>1552376360317739</v>
      </c>
      <c r="C1705" t="s">
        <v>40</v>
      </c>
      <c r="D1705">
        <v>4.8251920000000004</v>
      </c>
      <c r="E1705">
        <v>0.65394509999999995</v>
      </c>
      <c r="F1705" t="s">
        <v>49</v>
      </c>
      <c r="G1705">
        <v>-195.5864</v>
      </c>
      <c r="H1705" s="1">
        <v>-3.7005060000000001E-6</v>
      </c>
      <c r="I1705">
        <v>353.61399999999998</v>
      </c>
      <c r="J1705">
        <v>-197.7193</v>
      </c>
      <c r="K1705">
        <v>1.10764</v>
      </c>
      <c r="L1705">
        <v>360.41239999999999</v>
      </c>
      <c r="M1705">
        <v>0.78959559999999995</v>
      </c>
      <c r="N1705">
        <v>0</v>
      </c>
      <c r="O1705">
        <v>-0.61346389999999995</v>
      </c>
      <c r="P1705">
        <v>0.63712360000000001</v>
      </c>
      <c r="Q1705">
        <v>4.2489689999999997E-2</v>
      </c>
      <c r="R1705">
        <v>-0.76958979999999999</v>
      </c>
      <c r="S1705">
        <v>0.99507140000000005</v>
      </c>
      <c r="T1705">
        <v>-0.50274969999999997</v>
      </c>
      <c r="U1705">
        <v>-3.109985</v>
      </c>
      <c r="V1705">
        <v>0.21724260000000001</v>
      </c>
      <c r="W1705">
        <v>5.4722920000000001E-2</v>
      </c>
      <c r="X1705">
        <v>0.97458250000000002</v>
      </c>
      <c r="Y1705">
        <v>0.56474590000000002</v>
      </c>
      <c r="Z1705">
        <v>5.6388849999999997E-2</v>
      </c>
      <c r="AA1705">
        <v>0.82333609999999902</v>
      </c>
      <c r="AB1705">
        <v>12</v>
      </c>
      <c r="AC1705">
        <v>2.1328999999999998</v>
      </c>
      <c r="AD1705">
        <v>-1.107643700506</v>
      </c>
      <c r="AE1705">
        <v>-6.7983999999999503</v>
      </c>
      <c r="AF1705">
        <v>3.96413781165209</v>
      </c>
      <c r="AG1705">
        <v>-1.107643700506</v>
      </c>
      <c r="AH1705">
        <v>5.7171263071861498</v>
      </c>
      <c r="AI1705">
        <v>99.046289436413403</v>
      </c>
      <c r="AJ1705">
        <v>55.263356585243599</v>
      </c>
      <c r="AK1705">
        <v>7.0446289021750799</v>
      </c>
      <c r="AL1705">
        <v>86.863040646978007</v>
      </c>
      <c r="AM1705">
        <v>77.433734212407401</v>
      </c>
      <c r="AN1705">
        <v>0.99999999726716804</v>
      </c>
    </row>
    <row r="1706" spans="1:40" x14ac:dyDescent="0.25">
      <c r="A1706" t="str">
        <f>"20190312153920336"</f>
        <v>20190312153920336</v>
      </c>
      <c r="B1706" t="str">
        <f>"1552376360327500"</f>
        <v>1552376360327500</v>
      </c>
      <c r="C1706" t="s">
        <v>40</v>
      </c>
      <c r="D1706">
        <v>4.8302329999999998</v>
      </c>
      <c r="E1706">
        <v>0.65339859999999905</v>
      </c>
      <c r="F1706" t="s">
        <v>49</v>
      </c>
      <c r="G1706">
        <v>-195.52850000000001</v>
      </c>
      <c r="H1706" s="1">
        <v>-3.6306480000000001E-6</v>
      </c>
      <c r="I1706">
        <v>353.50069999999999</v>
      </c>
      <c r="J1706">
        <v>-197.6611</v>
      </c>
      <c r="K1706">
        <v>1.1076349999999999</v>
      </c>
      <c r="L1706">
        <v>360.35969999999998</v>
      </c>
      <c r="M1706">
        <v>0.78641309999999998</v>
      </c>
      <c r="N1706">
        <v>0</v>
      </c>
      <c r="O1706">
        <v>-0.61753809999999998</v>
      </c>
      <c r="P1706">
        <v>0.63305219999999995</v>
      </c>
      <c r="Q1706">
        <v>4.3139660000000003E-2</v>
      </c>
      <c r="R1706">
        <v>-0.77290619999999999</v>
      </c>
      <c r="S1706">
        <v>0.98564149999999995</v>
      </c>
      <c r="T1706">
        <v>-0.49834089999999998</v>
      </c>
      <c r="U1706">
        <v>-3.1096499999999998</v>
      </c>
      <c r="V1706">
        <v>0.21732609999999999</v>
      </c>
      <c r="W1706">
        <v>5.5373770000000003E-2</v>
      </c>
      <c r="X1706">
        <v>0.97452709999999998</v>
      </c>
      <c r="Y1706">
        <v>0.56276470000000001</v>
      </c>
      <c r="Z1706">
        <v>5.6876639999999999E-2</v>
      </c>
      <c r="AA1706">
        <v>0.82465809999999995</v>
      </c>
      <c r="AB1706">
        <v>12</v>
      </c>
      <c r="AC1706">
        <v>2.1325999999999898</v>
      </c>
      <c r="AD1706">
        <v>-1.1076386306479999</v>
      </c>
      <c r="AE1706">
        <v>-6.8589999999999796</v>
      </c>
      <c r="AF1706">
        <v>3.9827489930085802</v>
      </c>
      <c r="AG1706">
        <v>-1.1076386306479999</v>
      </c>
      <c r="AH1706">
        <v>5.7760431501577996</v>
      </c>
      <c r="AI1706">
        <v>98.971361253631997</v>
      </c>
      <c r="AJ1706">
        <v>55.412612421212799</v>
      </c>
      <c r="AK1706">
        <v>7.1029449772541096</v>
      </c>
      <c r="AL1706">
        <v>86.825692997616002</v>
      </c>
      <c r="AM1706">
        <v>77.428365779920199</v>
      </c>
      <c r="AN1706">
        <v>0.99999997838981602</v>
      </c>
    </row>
    <row r="1707" spans="1:40" x14ac:dyDescent="0.25">
      <c r="A1707" t="str">
        <f>"20190312153920352"</f>
        <v>20190312153920352</v>
      </c>
      <c r="B1707" t="str">
        <f>"1552376360337260"</f>
        <v>1552376360337260</v>
      </c>
      <c r="C1707" t="s">
        <v>40</v>
      </c>
      <c r="D1707">
        <v>4.8510949999999999</v>
      </c>
      <c r="E1707">
        <v>0.65287949999999995</v>
      </c>
      <c r="F1707" t="s">
        <v>49</v>
      </c>
      <c r="G1707">
        <v>-195.4933</v>
      </c>
      <c r="H1707" s="1">
        <v>-3.584434E-6</v>
      </c>
      <c r="I1707">
        <v>353.42439999999999</v>
      </c>
      <c r="J1707">
        <v>-197.5959</v>
      </c>
      <c r="K1707">
        <v>1.1076299999999999</v>
      </c>
      <c r="L1707">
        <v>360.2996</v>
      </c>
      <c r="M1707">
        <v>0.78275189999999994</v>
      </c>
      <c r="N1707">
        <v>0</v>
      </c>
      <c r="O1707">
        <v>-0.62217210000000001</v>
      </c>
      <c r="P1707">
        <v>0.62841999999999998</v>
      </c>
      <c r="Q1707">
        <v>4.3552420000000001E-2</v>
      </c>
      <c r="R1707">
        <v>-0.77665450000000003</v>
      </c>
      <c r="S1707">
        <v>0.97283940000000002</v>
      </c>
      <c r="T1707">
        <v>-0.49707259999999998</v>
      </c>
      <c r="U1707">
        <v>-3.1123349999999999</v>
      </c>
      <c r="V1707">
        <v>0.21738299999999999</v>
      </c>
      <c r="W1707">
        <v>5.5788450000000003E-2</v>
      </c>
      <c r="X1707">
        <v>0.97449079999999999</v>
      </c>
      <c r="Y1707">
        <v>0.56121430000000005</v>
      </c>
      <c r="Z1707">
        <v>5.7746230000000003E-2</v>
      </c>
      <c r="AA1707">
        <v>0.82565359999999999</v>
      </c>
      <c r="AB1707">
        <v>12</v>
      </c>
      <c r="AC1707">
        <v>2.10259999999999</v>
      </c>
      <c r="AD1707">
        <v>-1.107633584434</v>
      </c>
      <c r="AE1707">
        <v>-6.8752000000000004</v>
      </c>
      <c r="AF1707">
        <v>3.97935640746987</v>
      </c>
      <c r="AG1707">
        <v>-1.107633584434</v>
      </c>
      <c r="AH1707">
        <v>5.78662195711376</v>
      </c>
      <c r="AI1707">
        <v>98.962789563595805</v>
      </c>
      <c r="AJ1707">
        <v>55.484392298148101</v>
      </c>
      <c r="AK1707">
        <v>7.1096500089377601</v>
      </c>
      <c r="AL1707">
        <v>86.801896930142604</v>
      </c>
      <c r="AM1707">
        <v>77.424725446103807</v>
      </c>
      <c r="AN1707">
        <v>1.0000000195635199</v>
      </c>
    </row>
    <row r="1708" spans="1:40" x14ac:dyDescent="0.25">
      <c r="A1708" t="str">
        <f>"20190312153920376"</f>
        <v>20190312153920376</v>
      </c>
      <c r="B1708" t="str">
        <f>"1552376360367515"</f>
        <v>1552376360367515</v>
      </c>
      <c r="C1708" t="s">
        <v>40</v>
      </c>
      <c r="D1708">
        <v>4.8141059999999998</v>
      </c>
      <c r="E1708">
        <v>0.65128019999999998</v>
      </c>
      <c r="F1708" t="s">
        <v>49</v>
      </c>
      <c r="G1708">
        <v>-195.45660000000001</v>
      </c>
      <c r="H1708" s="1">
        <v>-3.5299069999999998E-6</v>
      </c>
      <c r="I1708">
        <v>353.3322</v>
      </c>
      <c r="J1708">
        <v>-197.499</v>
      </c>
      <c r="K1708">
        <v>1.107615</v>
      </c>
      <c r="L1708">
        <v>360.209</v>
      </c>
      <c r="M1708">
        <v>0.777171099999999</v>
      </c>
      <c r="N1708">
        <v>0</v>
      </c>
      <c r="O1708">
        <v>-0.6291291</v>
      </c>
      <c r="P1708">
        <v>0.62069669999999999</v>
      </c>
      <c r="Q1708">
        <v>4.3425169999999999E-2</v>
      </c>
      <c r="R1708">
        <v>-0.78284790000000004</v>
      </c>
      <c r="S1708">
        <v>0.95684809999999998</v>
      </c>
      <c r="T1708">
        <v>-0.49540659999999997</v>
      </c>
      <c r="U1708">
        <v>-3.1162719999999999</v>
      </c>
      <c r="V1708">
        <v>0.21835019999999999</v>
      </c>
      <c r="W1708">
        <v>5.565324E-2</v>
      </c>
      <c r="X1708">
        <v>0.97428230000000005</v>
      </c>
      <c r="Y1708">
        <v>0.55805700000000003</v>
      </c>
      <c r="Z1708">
        <v>5.9119720000000001E-2</v>
      </c>
      <c r="AA1708">
        <v>0.82769389999999998</v>
      </c>
      <c r="AB1708">
        <v>12</v>
      </c>
      <c r="AC1708">
        <v>2.04240000000001</v>
      </c>
      <c r="AD1708">
        <v>-1.107618529907</v>
      </c>
      <c r="AE1708">
        <v>-6.8768000000000002</v>
      </c>
      <c r="AF1708">
        <v>3.9653936451887501</v>
      </c>
      <c r="AG1708">
        <v>-1.107618529907</v>
      </c>
      <c r="AH1708">
        <v>5.7765754098100404</v>
      </c>
      <c r="AI1708">
        <v>98.983038800722994</v>
      </c>
      <c r="AJ1708">
        <v>55.531920978824701</v>
      </c>
      <c r="AK1708">
        <v>7.0936583674658804</v>
      </c>
      <c r="AL1708">
        <v>86.809656032969599</v>
      </c>
      <c r="AM1708">
        <v>77.367949419205203</v>
      </c>
      <c r="AN1708">
        <v>1.00000004652791</v>
      </c>
    </row>
    <row r="1709" spans="1:40" x14ac:dyDescent="0.25">
      <c r="A1709" t="str">
        <f>"20190312153920388"</f>
        <v>20190312153920388</v>
      </c>
      <c r="B1709" t="str">
        <f>"1552376360377276"</f>
        <v>1552376360377276</v>
      </c>
      <c r="C1709" t="s">
        <v>40</v>
      </c>
      <c r="D1709">
        <v>4.8178999999999998</v>
      </c>
      <c r="E1709">
        <v>0.65077510000000005</v>
      </c>
      <c r="F1709" t="s">
        <v>49</v>
      </c>
      <c r="G1709">
        <v>-195.41730000000001</v>
      </c>
      <c r="H1709" s="1">
        <v>-3.489929E-6</v>
      </c>
      <c r="I1709">
        <v>353.27010000000001</v>
      </c>
      <c r="J1709">
        <v>-197.44759999999999</v>
      </c>
      <c r="K1709">
        <v>1.1076060000000001</v>
      </c>
      <c r="L1709">
        <v>360.16</v>
      </c>
      <c r="M1709">
        <v>0.7741228</v>
      </c>
      <c r="N1709">
        <v>0</v>
      </c>
      <c r="O1709">
        <v>-0.63287569999999904</v>
      </c>
      <c r="P1709">
        <v>0.61620010000000003</v>
      </c>
      <c r="Q1709">
        <v>4.3283160000000001E-2</v>
      </c>
      <c r="R1709">
        <v>-0.78639950000000003</v>
      </c>
      <c r="S1709">
        <v>0.93542479999999995</v>
      </c>
      <c r="T1709">
        <v>-0.49771700000000002</v>
      </c>
      <c r="U1709">
        <v>-3.118042</v>
      </c>
      <c r="V1709">
        <v>0.21923390000000001</v>
      </c>
      <c r="W1709">
        <v>5.5503280000000002E-2</v>
      </c>
      <c r="X1709">
        <v>0.97409230000000002</v>
      </c>
      <c r="Y1709">
        <v>0.55939709999999998</v>
      </c>
      <c r="Z1709">
        <v>6.0075740000000002E-2</v>
      </c>
      <c r="AA1709">
        <v>0.82671989999999995</v>
      </c>
      <c r="AB1709">
        <v>12</v>
      </c>
      <c r="AC1709">
        <v>2.03029999999998</v>
      </c>
      <c r="AD1709">
        <v>-1.1076094899290001</v>
      </c>
      <c r="AE1709">
        <v>-6.8899000000000097</v>
      </c>
      <c r="AF1709">
        <v>3.9550652123958301</v>
      </c>
      <c r="AG1709">
        <v>-1.1076094899290001</v>
      </c>
      <c r="AH1709">
        <v>5.7949565545857302</v>
      </c>
      <c r="AI1709">
        <v>98.971209897994697</v>
      </c>
      <c r="AJ1709">
        <v>55.686413820780601</v>
      </c>
      <c r="AK1709">
        <v>7.1028769583895102</v>
      </c>
      <c r="AL1709">
        <v>86.818261142543406</v>
      </c>
      <c r="AM1709">
        <v>77.316082058929794</v>
      </c>
      <c r="AN1709">
        <v>0.99999996295962801</v>
      </c>
    </row>
    <row r="1710" spans="1:40" x14ac:dyDescent="0.25">
      <c r="A1710" t="str">
        <f>"20190312153920401"</f>
        <v>20190312153920401</v>
      </c>
      <c r="B1710" t="str">
        <f>"1552376360397771"</f>
        <v>1552376360397771</v>
      </c>
      <c r="C1710" t="s">
        <v>40</v>
      </c>
      <c r="D1710">
        <v>4.8503400000000001</v>
      </c>
      <c r="E1710">
        <v>0.64974670000000001</v>
      </c>
      <c r="F1710" t="s">
        <v>49</v>
      </c>
      <c r="G1710">
        <v>-195.40629999999999</v>
      </c>
      <c r="H1710" s="1">
        <v>-3.4741360000000001E-6</v>
      </c>
      <c r="I1710">
        <v>353.24360000000001</v>
      </c>
      <c r="J1710">
        <v>-197.39699999999999</v>
      </c>
      <c r="K1710">
        <v>1.1075969999999999</v>
      </c>
      <c r="L1710">
        <v>360.1114</v>
      </c>
      <c r="M1710">
        <v>0.77107769999999898</v>
      </c>
      <c r="N1710">
        <v>0</v>
      </c>
      <c r="O1710">
        <v>-0.63658210000000004</v>
      </c>
      <c r="P1710">
        <v>0.61154739999999996</v>
      </c>
      <c r="Q1710">
        <v>4.3066729999999998E-2</v>
      </c>
      <c r="R1710">
        <v>-0.79003509999999999</v>
      </c>
      <c r="S1710">
        <v>0.92103579999999996</v>
      </c>
      <c r="T1710">
        <v>-0.49974069999999998</v>
      </c>
      <c r="U1710">
        <v>-3.1206049999999999</v>
      </c>
      <c r="V1710">
        <v>0.2203204</v>
      </c>
      <c r="W1710">
        <v>5.5275690000000002E-2</v>
      </c>
      <c r="X1710">
        <v>0.97386010000000001</v>
      </c>
      <c r="Y1710">
        <v>0.55913119999999905</v>
      </c>
      <c r="Z1710">
        <v>6.1070909999999999E-2</v>
      </c>
      <c r="AA1710">
        <v>0.82682679999999997</v>
      </c>
      <c r="AB1710">
        <v>12</v>
      </c>
      <c r="AC1710">
        <v>1.9907000000000299</v>
      </c>
      <c r="AD1710">
        <v>-1.1076004741359999</v>
      </c>
      <c r="AE1710">
        <v>-6.8677999999999804</v>
      </c>
      <c r="AF1710">
        <v>3.93437172154148</v>
      </c>
      <c r="AG1710">
        <v>-1.1076004741359999</v>
      </c>
      <c r="AH1710">
        <v>5.76908021387435</v>
      </c>
      <c r="AI1710">
        <v>99.012887363645405</v>
      </c>
      <c r="AJ1710">
        <v>55.706967850569697</v>
      </c>
      <c r="AK1710">
        <v>7.0702437134576996</v>
      </c>
      <c r="AL1710">
        <v>86.831321216641399</v>
      </c>
      <c r="AM1710">
        <v>77.252330685770005</v>
      </c>
      <c r="AN1710">
        <v>0.99999998746657204</v>
      </c>
    </row>
    <row r="1711" spans="1:40" x14ac:dyDescent="0.25">
      <c r="A1711" t="str">
        <f>"20190312153920413"</f>
        <v>20190312153920413</v>
      </c>
      <c r="B1711" t="str">
        <f>"1552376360407532"</f>
        <v>1552376360407532</v>
      </c>
      <c r="C1711" t="s">
        <v>40</v>
      </c>
      <c r="D1711">
        <v>4.8236970000000001</v>
      </c>
      <c r="E1711">
        <v>0.64934029999999998</v>
      </c>
      <c r="F1711" t="s">
        <v>49</v>
      </c>
      <c r="G1711">
        <v>-195.39570000000001</v>
      </c>
      <c r="H1711" s="1">
        <v>-3.4720520000000001E-6</v>
      </c>
      <c r="I1711">
        <v>353.24400000000003</v>
      </c>
      <c r="J1711">
        <v>-197.34540000000001</v>
      </c>
      <c r="K1711">
        <v>1.1075820000000001</v>
      </c>
      <c r="L1711">
        <v>360.06119999999999</v>
      </c>
      <c r="M1711">
        <v>0.76791189999999998</v>
      </c>
      <c r="N1711">
        <v>0</v>
      </c>
      <c r="O1711">
        <v>-0.64039729999999995</v>
      </c>
      <c r="P1711">
        <v>0.60682380000000002</v>
      </c>
      <c r="Q1711">
        <v>4.2736320000000001E-2</v>
      </c>
      <c r="R1711">
        <v>-0.79368669999999997</v>
      </c>
      <c r="S1711">
        <v>0.90945430000000005</v>
      </c>
      <c r="T1711">
        <v>-0.50333939999999999</v>
      </c>
      <c r="U1711">
        <v>-3.1207889999999998</v>
      </c>
      <c r="V1711">
        <v>0.22131439999999999</v>
      </c>
      <c r="W1711">
        <v>5.4935270000000001E-2</v>
      </c>
      <c r="X1711">
        <v>0.97365400000000002</v>
      </c>
      <c r="Y1711">
        <v>0.55788599999999999</v>
      </c>
      <c r="Z1711">
        <v>6.2389479999999997E-2</v>
      </c>
      <c r="AA1711">
        <v>0.82756919999999901</v>
      </c>
      <c r="AB1711">
        <v>12</v>
      </c>
      <c r="AC1711">
        <v>1.9497</v>
      </c>
      <c r="AD1711">
        <v>-1.107585472052</v>
      </c>
      <c r="AE1711">
        <v>-6.81719999999995</v>
      </c>
      <c r="AF1711">
        <v>3.89186702088627</v>
      </c>
      <c r="AG1711">
        <v>-1.107585472052</v>
      </c>
      <c r="AH1711">
        <v>5.7238440156776598</v>
      </c>
      <c r="AI1711">
        <v>99.091277814592004</v>
      </c>
      <c r="AJ1711">
        <v>55.786672505708196</v>
      </c>
      <c r="AK1711">
        <v>7.0096907779139501</v>
      </c>
      <c r="AL1711">
        <v>86.850855660776702</v>
      </c>
      <c r="AM1711">
        <v>77.194088843223795</v>
      </c>
      <c r="AN1711">
        <v>1.00000002962666</v>
      </c>
    </row>
    <row r="1712" spans="1:40" x14ac:dyDescent="0.25">
      <c r="A1712" t="str">
        <f>"20190312153920426"</f>
        <v>20190312153920426</v>
      </c>
      <c r="B1712" t="str">
        <f>"1552376360417291"</f>
        <v>1552376360417291</v>
      </c>
      <c r="C1712" t="s">
        <v>40</v>
      </c>
      <c r="D1712">
        <v>4.8324379999999998</v>
      </c>
      <c r="E1712">
        <v>0.64935399999999999</v>
      </c>
      <c r="F1712" t="s">
        <v>49</v>
      </c>
      <c r="G1712">
        <v>-195.38380000000001</v>
      </c>
      <c r="H1712" s="1">
        <v>-3.4459879999999998E-6</v>
      </c>
      <c r="I1712">
        <v>353.19749999999999</v>
      </c>
      <c r="J1712">
        <v>-197.2946</v>
      </c>
      <c r="K1712">
        <v>1.1075699999999999</v>
      </c>
      <c r="L1712">
        <v>360.01130000000001</v>
      </c>
      <c r="M1712">
        <v>0.76473849999999999</v>
      </c>
      <c r="N1712">
        <v>0</v>
      </c>
      <c r="O1712">
        <v>-0.64418359999999997</v>
      </c>
      <c r="P1712">
        <v>0.60221400000000003</v>
      </c>
      <c r="Q1712">
        <v>4.2367700000000001E-2</v>
      </c>
      <c r="R1712">
        <v>-0.79720979999999997</v>
      </c>
      <c r="S1712">
        <v>0.8928528</v>
      </c>
      <c r="T1712">
        <v>-0.50415580000000004</v>
      </c>
      <c r="U1712">
        <v>-3.1242679999999998</v>
      </c>
      <c r="V1712">
        <v>0.22216079999999999</v>
      </c>
      <c r="W1712">
        <v>5.4558179999999998E-2</v>
      </c>
      <c r="X1712">
        <v>0.97348239999999997</v>
      </c>
      <c r="Y1712">
        <v>0.55811299999999997</v>
      </c>
      <c r="Z1712">
        <v>6.3224139999999998E-2</v>
      </c>
      <c r="AA1712">
        <v>0.8273528</v>
      </c>
      <c r="AB1712">
        <v>12</v>
      </c>
      <c r="AC1712">
        <v>1.9107999999999901</v>
      </c>
      <c r="AD1712">
        <v>-1.107573445988</v>
      </c>
      <c r="AE1712">
        <v>-6.8138000000000103</v>
      </c>
      <c r="AF1712">
        <v>3.8851040270016299</v>
      </c>
      <c r="AG1712">
        <v>-1.107573445988</v>
      </c>
      <c r="AH1712">
        <v>5.7112911893371203</v>
      </c>
      <c r="AI1712">
        <v>99.1095349927879</v>
      </c>
      <c r="AJ1712">
        <v>55.774516562317402</v>
      </c>
      <c r="AK1712">
        <v>6.9956843330929299</v>
      </c>
      <c r="AL1712">
        <v>86.872493682971097</v>
      </c>
      <c r="AM1712">
        <v>77.144546901436101</v>
      </c>
      <c r="AN1712">
        <v>0.999999999585656</v>
      </c>
    </row>
    <row r="1713" spans="1:40" x14ac:dyDescent="0.25">
      <c r="A1713" t="str">
        <f>"20190312153920442"</f>
        <v>20190312153920442</v>
      </c>
      <c r="B1713" t="str">
        <f>"1552376360437788"</f>
        <v>1552376360437788</v>
      </c>
      <c r="C1713" t="s">
        <v>40</v>
      </c>
      <c r="D1713">
        <v>4.9420840000000004</v>
      </c>
      <c r="E1713">
        <v>0.68416309999999902</v>
      </c>
      <c r="F1713" t="s">
        <v>49</v>
      </c>
      <c r="G1713">
        <v>-195.3775</v>
      </c>
      <c r="H1713" s="1">
        <v>-3.420326E-6</v>
      </c>
      <c r="I1713">
        <v>353.14929999999998</v>
      </c>
      <c r="J1713">
        <v>-197.23060000000001</v>
      </c>
      <c r="K1713">
        <v>1.107545</v>
      </c>
      <c r="L1713">
        <v>359.9477</v>
      </c>
      <c r="M1713">
        <v>0.76066489999999998</v>
      </c>
      <c r="N1713">
        <v>0</v>
      </c>
      <c r="O1713">
        <v>-0.64898849999999997</v>
      </c>
      <c r="P1713">
        <v>0.59520410000000001</v>
      </c>
      <c r="Q1713">
        <v>4.099643E-2</v>
      </c>
      <c r="R1713">
        <v>-0.80252840000000003</v>
      </c>
      <c r="S1713">
        <v>0.87431340000000002</v>
      </c>
      <c r="T1713">
        <v>-0.50512749999999995</v>
      </c>
      <c r="U1713">
        <v>-3.1295470000000001</v>
      </c>
      <c r="V1713">
        <v>0.224606</v>
      </c>
      <c r="W1713">
        <v>5.316212E-2</v>
      </c>
      <c r="X1713">
        <v>0.97299840000000004</v>
      </c>
      <c r="Y1713">
        <v>0.55782330000000002</v>
      </c>
      <c r="Z1713">
        <v>6.4294459999999998E-2</v>
      </c>
      <c r="AA1713">
        <v>0.82746559999999902</v>
      </c>
      <c r="AB1713">
        <v>12</v>
      </c>
      <c r="AC1713">
        <v>1.85310000000001</v>
      </c>
      <c r="AD1713">
        <v>-1.107548420326</v>
      </c>
      <c r="AE1713">
        <v>-6.7984000000000098</v>
      </c>
      <c r="AF1713">
        <v>3.8733740986965701</v>
      </c>
      <c r="AG1713">
        <v>-1.107548420326</v>
      </c>
      <c r="AH1713">
        <v>5.6818903452352902</v>
      </c>
      <c r="AI1713">
        <v>99.1495795912425</v>
      </c>
      <c r="AJ1713">
        <v>55.717542976788799</v>
      </c>
      <c r="AK1713">
        <v>6.96516821814794</v>
      </c>
      <c r="AL1713">
        <v>86.9525982373289</v>
      </c>
      <c r="AM1713">
        <v>77.001586654452794</v>
      </c>
      <c r="AN1713">
        <v>0.99999997632072601</v>
      </c>
    </row>
    <row r="1714" spans="1:40" x14ac:dyDescent="0.25">
      <c r="A1714" t="str">
        <f>"20190312153920455"</f>
        <v>20190312153920455</v>
      </c>
      <c r="B1714" t="str">
        <f>"1552376360447548"</f>
        <v>1552376360447548</v>
      </c>
      <c r="C1714" t="s">
        <v>40</v>
      </c>
      <c r="D1714">
        <v>4.9154819999999999</v>
      </c>
      <c r="E1714">
        <v>0.68651240000000002</v>
      </c>
      <c r="F1714" t="s">
        <v>49</v>
      </c>
      <c r="G1714">
        <v>-196.2653</v>
      </c>
      <c r="H1714" s="1">
        <v>-4.4721160000000004E-6</v>
      </c>
      <c r="I1714">
        <v>354.8682</v>
      </c>
      <c r="J1714">
        <v>-197.17869999999999</v>
      </c>
      <c r="K1714">
        <v>1.107529</v>
      </c>
      <c r="L1714">
        <v>359.8954</v>
      </c>
      <c r="M1714">
        <v>0.75729069999999898</v>
      </c>
      <c r="N1714">
        <v>0</v>
      </c>
      <c r="O1714">
        <v>-0.65292269999999997</v>
      </c>
      <c r="P1714">
        <v>0.5901653</v>
      </c>
      <c r="Q1714">
        <v>4.0080009999999999E-2</v>
      </c>
      <c r="R1714">
        <v>-0.80628719999999998</v>
      </c>
      <c r="S1714">
        <v>0.62881469999999995</v>
      </c>
      <c r="T1714">
        <v>-0.7214351</v>
      </c>
      <c r="U1714">
        <v>-3.308716</v>
      </c>
      <c r="V1714">
        <v>0.22568740000000001</v>
      </c>
      <c r="W1714">
        <v>5.2235009999999998E-2</v>
      </c>
      <c r="X1714">
        <v>0.97279839999999995</v>
      </c>
      <c r="Y1714">
        <v>0.62062189999999995</v>
      </c>
      <c r="Z1714">
        <v>8.2113149999999996E-2</v>
      </c>
      <c r="AA1714">
        <v>0.77979869999999996</v>
      </c>
      <c r="AB1714">
        <v>12</v>
      </c>
      <c r="AC1714">
        <v>0.91339999999999499</v>
      </c>
      <c r="AD1714">
        <v>-1.107533472116</v>
      </c>
      <c r="AE1714">
        <v>-5.0271999999999899</v>
      </c>
      <c r="AF1714">
        <v>3.0669004560769699</v>
      </c>
      <c r="AG1714">
        <v>-1.107533472116</v>
      </c>
      <c r="AH1714">
        <v>3.7961255713136701</v>
      </c>
      <c r="AI1714">
        <v>102.786345562642</v>
      </c>
      <c r="AJ1714">
        <v>51.065158544848103</v>
      </c>
      <c r="AK1714">
        <v>5.00430596112228</v>
      </c>
      <c r="AL1714">
        <v>87.005791754420102</v>
      </c>
      <c r="AM1714">
        <v>76.938551127778993</v>
      </c>
      <c r="AN1714">
        <v>1.00000001291551</v>
      </c>
    </row>
    <row r="1715" spans="1:40" x14ac:dyDescent="0.25">
      <c r="A1715" t="str">
        <f>"20190312153920467"</f>
        <v>20190312153920467</v>
      </c>
      <c r="B1715" t="str">
        <f>"1552376360457308"</f>
        <v>1552376360457308</v>
      </c>
      <c r="C1715" t="s">
        <v>40</v>
      </c>
      <c r="D1715">
        <v>4.8727549999999997</v>
      </c>
      <c r="E1715">
        <v>0.68728610000000001</v>
      </c>
      <c r="F1715" t="s">
        <v>49</v>
      </c>
      <c r="G1715">
        <v>-196.32749999999999</v>
      </c>
      <c r="H1715" s="1">
        <v>-4.6062680000000002E-6</v>
      </c>
      <c r="I1715">
        <v>355.12650000000002</v>
      </c>
      <c r="J1715">
        <v>-197.13399999999999</v>
      </c>
      <c r="K1715">
        <v>1.1075140000000001</v>
      </c>
      <c r="L1715">
        <v>359.84989999999999</v>
      </c>
      <c r="M1715">
        <v>0.75432489999999996</v>
      </c>
      <c r="N1715">
        <v>0</v>
      </c>
      <c r="O1715">
        <v>-0.65634669999999995</v>
      </c>
      <c r="P1715">
        <v>0.58539209999999997</v>
      </c>
      <c r="Q1715">
        <v>3.9385299999999998E-2</v>
      </c>
      <c r="R1715">
        <v>-0.8097934</v>
      </c>
      <c r="S1715">
        <v>0.59338380000000002</v>
      </c>
      <c r="T1715">
        <v>-0.77214249999999995</v>
      </c>
      <c r="U1715">
        <v>-3.3247680000000002</v>
      </c>
      <c r="V1715">
        <v>0.2270488</v>
      </c>
      <c r="W1715">
        <v>5.1526910000000002E-2</v>
      </c>
      <c r="X1715">
        <v>0.97251929999999998</v>
      </c>
      <c r="Y1715">
        <v>0.62553950000000003</v>
      </c>
      <c r="Z1715">
        <v>8.7847170000000002E-2</v>
      </c>
      <c r="AA1715">
        <v>0.775231</v>
      </c>
      <c r="AB1715">
        <v>12</v>
      </c>
      <c r="AC1715">
        <v>0.80650000000002797</v>
      </c>
      <c r="AD1715">
        <v>-1.10751860626799</v>
      </c>
      <c r="AE1715">
        <v>-4.7233999999999696</v>
      </c>
      <c r="AF1715">
        <v>2.8800853983480201</v>
      </c>
      <c r="AG1715">
        <v>-1.10751860626799</v>
      </c>
      <c r="AH1715">
        <v>3.5208405180317999</v>
      </c>
      <c r="AI1715">
        <v>103.683955992238</v>
      </c>
      <c r="AJ1715">
        <v>50.716464761987403</v>
      </c>
      <c r="AK1715">
        <v>4.6816457916444003</v>
      </c>
      <c r="AL1715">
        <v>87.046417523892401</v>
      </c>
      <c r="AM1715">
        <v>76.858846850917701</v>
      </c>
      <c r="AN1715">
        <v>0.99999998445403804</v>
      </c>
    </row>
    <row r="1716" spans="1:40" x14ac:dyDescent="0.25">
      <c r="A1716" t="str">
        <f>"20190312153920480"</f>
        <v>20190312153920480</v>
      </c>
      <c r="B1716" t="str">
        <f>"1552376360477804"</f>
        <v>1552376360477804</v>
      </c>
      <c r="C1716" t="s">
        <v>40</v>
      </c>
      <c r="D1716">
        <v>4.9618039999999999</v>
      </c>
      <c r="E1716">
        <v>0.68850269999999902</v>
      </c>
      <c r="F1716" t="s">
        <v>49</v>
      </c>
      <c r="G1716">
        <v>-196.333</v>
      </c>
      <c r="H1716" s="1">
        <v>-4.621547E-6</v>
      </c>
      <c r="I1716">
        <v>355.1567</v>
      </c>
      <c r="J1716">
        <v>-197.0814</v>
      </c>
      <c r="K1716">
        <v>1.107504</v>
      </c>
      <c r="L1716">
        <v>359.79579999999999</v>
      </c>
      <c r="M1716">
        <v>0.7507895</v>
      </c>
      <c r="N1716">
        <v>0</v>
      </c>
      <c r="O1716">
        <v>-0.66038790000000003</v>
      </c>
      <c r="P1716">
        <v>0.57997379999999998</v>
      </c>
      <c r="Q1716">
        <v>3.8810659999999997E-2</v>
      </c>
      <c r="R1716">
        <v>-0.81371070000000001</v>
      </c>
      <c r="S1716">
        <v>0.56863399999999997</v>
      </c>
      <c r="T1716">
        <v>-0.78625970000000001</v>
      </c>
      <c r="U1716">
        <v>-3.3317869999999998</v>
      </c>
      <c r="V1716">
        <v>0.22833609999999999</v>
      </c>
      <c r="W1716">
        <v>5.0940220000000001E-2</v>
      </c>
      <c r="X1716">
        <v>0.97224880000000002</v>
      </c>
      <c r="Y1716">
        <v>0.62717959999999995</v>
      </c>
      <c r="Z1716">
        <v>9.0321380000000007E-2</v>
      </c>
      <c r="AA1716">
        <v>0.77361990000000003</v>
      </c>
      <c r="AB1716">
        <v>12</v>
      </c>
      <c r="AC1716">
        <v>0.74840000000000295</v>
      </c>
      <c r="AD1716">
        <v>-1.107508621547</v>
      </c>
      <c r="AE1716">
        <v>-4.6390999999999796</v>
      </c>
      <c r="AF1716">
        <v>2.8317580401849902</v>
      </c>
      <c r="AG1716">
        <v>-1.107508621547</v>
      </c>
      <c r="AH1716">
        <v>3.43505387735319</v>
      </c>
      <c r="AI1716">
        <v>103.97033738741</v>
      </c>
      <c r="AJ1716">
        <v>50.498826731024202</v>
      </c>
      <c r="AK1716">
        <v>4.58748559510245</v>
      </c>
      <c r="AL1716">
        <v>87.080076649861994</v>
      </c>
      <c r="AM1716">
        <v>76.783399898144197</v>
      </c>
      <c r="AN1716">
        <v>1.00000000483914</v>
      </c>
    </row>
    <row r="1717" spans="1:40" x14ac:dyDescent="0.25">
      <c r="A1717" t="str">
        <f>"20190312153920500"</f>
        <v>20190312153920500</v>
      </c>
      <c r="B1717" t="str">
        <f>"1552376360487563"</f>
        <v>1552376360487563</v>
      </c>
      <c r="C1717" t="s">
        <v>40</v>
      </c>
      <c r="D1717">
        <v>4.751684</v>
      </c>
      <c r="E1717">
        <v>0.68841379999999996</v>
      </c>
      <c r="F1717" t="s">
        <v>49</v>
      </c>
      <c r="G1717">
        <v>-196.357</v>
      </c>
      <c r="H1717" s="1">
        <v>-4.697325E-6</v>
      </c>
      <c r="I1717">
        <v>355.30799999999999</v>
      </c>
      <c r="J1717">
        <v>-197.00790000000001</v>
      </c>
      <c r="K1717">
        <v>1.1074900000000001</v>
      </c>
      <c r="L1717">
        <v>359.71910000000003</v>
      </c>
      <c r="M1717">
        <v>0.74573590000000001</v>
      </c>
      <c r="N1717">
        <v>0</v>
      </c>
      <c r="O1717">
        <v>-0.66608900000000004</v>
      </c>
      <c r="P1717">
        <v>0.57179489999999999</v>
      </c>
      <c r="Q1717">
        <v>3.7467760000000003E-2</v>
      </c>
      <c r="R1717">
        <v>-0.81954110000000002</v>
      </c>
      <c r="S1717">
        <v>0.53935239999999995</v>
      </c>
      <c r="T1717">
        <v>-0.82467590000000002</v>
      </c>
      <c r="U1717">
        <v>-3.341736</v>
      </c>
      <c r="V1717">
        <v>0.2307043</v>
      </c>
      <c r="W1717">
        <v>4.9575809999999998E-2</v>
      </c>
      <c r="X1717">
        <v>0.97176019999999996</v>
      </c>
      <c r="Y1717">
        <v>0.62809930000000003</v>
      </c>
      <c r="Z1717">
        <v>9.6076700000000001E-2</v>
      </c>
      <c r="AA1717">
        <v>0.77217910000000001</v>
      </c>
      <c r="AB1717">
        <v>12</v>
      </c>
      <c r="AC1717">
        <v>0.65090000000000703</v>
      </c>
      <c r="AD1717">
        <v>-1.1074946973249999</v>
      </c>
      <c r="AE1717">
        <v>-4.41109999999997</v>
      </c>
      <c r="AF1717">
        <v>2.6902779361861202</v>
      </c>
      <c r="AG1717">
        <v>-1.1074946973249999</v>
      </c>
      <c r="AH1717">
        <v>3.2249750798103101</v>
      </c>
      <c r="AI1717">
        <v>104.77280676847499</v>
      </c>
      <c r="AJ1717">
        <v>50.165096994213897</v>
      </c>
      <c r="AK1717">
        <v>4.34334020587041</v>
      </c>
      <c r="AL1717">
        <v>87.158350666050893</v>
      </c>
      <c r="AM1717">
        <v>76.644734889158599</v>
      </c>
      <c r="AN1717">
        <v>1.00000006063984</v>
      </c>
    </row>
    <row r="1718" spans="1:40" x14ac:dyDescent="0.25">
      <c r="A1718" t="str">
        <f>"20190312153920521"</f>
        <v>20190312153920521</v>
      </c>
      <c r="B1718" t="str">
        <f>"1552376360517820"</f>
        <v>1552376360517820</v>
      </c>
      <c r="C1718" t="s">
        <v>40</v>
      </c>
      <c r="D1718">
        <v>4.7015699999999896</v>
      </c>
      <c r="E1718">
        <v>0.68739919999999899</v>
      </c>
      <c r="F1718" t="s">
        <v>49</v>
      </c>
      <c r="G1718">
        <v>-196.29470000000001</v>
      </c>
      <c r="H1718" s="1">
        <v>-4.5462569999999999E-6</v>
      </c>
      <c r="I1718">
        <v>355.01330000000002</v>
      </c>
      <c r="J1718">
        <v>-196.92509999999999</v>
      </c>
      <c r="K1718">
        <v>1.1074839999999999</v>
      </c>
      <c r="L1718">
        <v>359.63099999999997</v>
      </c>
      <c r="M1718">
        <v>0.73987139999999996</v>
      </c>
      <c r="N1718">
        <v>0</v>
      </c>
      <c r="O1718">
        <v>-0.67259679999999999</v>
      </c>
      <c r="P1718">
        <v>0.56316350000000004</v>
      </c>
      <c r="Q1718">
        <v>3.6205069999999999E-2</v>
      </c>
      <c r="R1718">
        <v>-0.82555210000000001</v>
      </c>
      <c r="S1718">
        <v>0.50668329999999995</v>
      </c>
      <c r="T1718">
        <v>-0.78677439999999998</v>
      </c>
      <c r="U1718">
        <v>-3.343048</v>
      </c>
      <c r="V1718">
        <v>0.23242070000000001</v>
      </c>
      <c r="W1718">
        <v>4.8301799999999999E-2</v>
      </c>
      <c r="X1718">
        <v>0.97141520000000003</v>
      </c>
      <c r="Y1718">
        <v>0.62893909999999997</v>
      </c>
      <c r="Z1718">
        <v>9.3768240000000003E-2</v>
      </c>
      <c r="AA1718">
        <v>0.7717792</v>
      </c>
      <c r="AB1718">
        <v>12</v>
      </c>
      <c r="AC1718">
        <v>0.63039999999997998</v>
      </c>
      <c r="AD1718">
        <v>-1.1074885462570001</v>
      </c>
      <c r="AE1718">
        <v>-4.6176999999999504</v>
      </c>
      <c r="AF1718">
        <v>2.8328376474614898</v>
      </c>
      <c r="AG1718">
        <v>-1.1074885462570001</v>
      </c>
      <c r="AH1718">
        <v>3.3816709026060199</v>
      </c>
      <c r="AI1718">
        <v>104.092855988415</v>
      </c>
      <c r="AJ1718">
        <v>50.046972802692103</v>
      </c>
      <c r="AK1718">
        <v>4.5483181628485303</v>
      </c>
      <c r="AL1718">
        <v>87.231433376175403</v>
      </c>
      <c r="AM1718">
        <v>76.544368776285495</v>
      </c>
      <c r="AN1718">
        <v>0.99999996823138404</v>
      </c>
    </row>
    <row r="1719" spans="1:40" x14ac:dyDescent="0.25">
      <c r="A1719" t="str">
        <f>"20190312153920533"</f>
        <v>20190312153920533</v>
      </c>
      <c r="B1719" t="str">
        <f>"1552376360527580"</f>
        <v>1552376360527580</v>
      </c>
      <c r="C1719" t="s">
        <v>40</v>
      </c>
      <c r="D1719">
        <v>4.6572480000000001</v>
      </c>
      <c r="E1719">
        <v>0.68668580000000001</v>
      </c>
      <c r="F1719" t="s">
        <v>49</v>
      </c>
      <c r="G1719">
        <v>-196.1969</v>
      </c>
      <c r="H1719" s="1">
        <v>-4.305933E-6</v>
      </c>
      <c r="I1719">
        <v>354.54820000000001</v>
      </c>
      <c r="J1719">
        <v>-196.87629999999999</v>
      </c>
      <c r="K1719">
        <v>1.1074850000000001</v>
      </c>
      <c r="L1719">
        <v>359.57839999999999</v>
      </c>
      <c r="M1719">
        <v>0.73634900000000003</v>
      </c>
      <c r="N1719">
        <v>0</v>
      </c>
      <c r="O1719">
        <v>-0.67645109999999997</v>
      </c>
      <c r="P1719">
        <v>0.55809900000000001</v>
      </c>
      <c r="Q1719">
        <v>3.5702289999999998E-2</v>
      </c>
      <c r="R1719">
        <v>-0.82900599999999902</v>
      </c>
      <c r="S1719">
        <v>0.47845460000000001</v>
      </c>
      <c r="T1719">
        <v>-0.72764449999999903</v>
      </c>
      <c r="U1719">
        <v>-3.3395389999999998</v>
      </c>
      <c r="V1719">
        <v>0.2333073</v>
      </c>
      <c r="W1719">
        <v>4.7795030000000002E-2</v>
      </c>
      <c r="X1719">
        <v>0.97122779999999997</v>
      </c>
      <c r="Y1719">
        <v>0.63141219999999998</v>
      </c>
      <c r="Z1719">
        <v>8.7943199999999999E-2</v>
      </c>
      <c r="AA1719">
        <v>0.77044440000000003</v>
      </c>
      <c r="AB1719">
        <v>12</v>
      </c>
      <c r="AC1719">
        <v>0.67939999999998602</v>
      </c>
      <c r="AD1719">
        <v>-1.107489305933</v>
      </c>
      <c r="AE1719">
        <v>-5.0301999999999696</v>
      </c>
      <c r="AF1719">
        <v>3.0972850361601201</v>
      </c>
      <c r="AG1719">
        <v>-1.107489305933</v>
      </c>
      <c r="AH1719">
        <v>3.7259808132580399</v>
      </c>
      <c r="AI1719">
        <v>102.875132034418</v>
      </c>
      <c r="AJ1719">
        <v>50.264369439568299</v>
      </c>
      <c r="AK1719">
        <v>4.9701750652008698</v>
      </c>
      <c r="AL1719">
        <v>87.260502959500499</v>
      </c>
      <c r="AM1719">
        <v>76.492406875718004</v>
      </c>
      <c r="AN1719">
        <v>1.00000005030941</v>
      </c>
    </row>
    <row r="1720" spans="1:40" x14ac:dyDescent="0.25">
      <c r="A1720" t="str">
        <f>"20190312153920546"</f>
        <v>20190312153920546</v>
      </c>
      <c r="B1720" t="str">
        <f>"1552376360537339"</f>
        <v>1552376360537339</v>
      </c>
      <c r="C1720" t="s">
        <v>40</v>
      </c>
      <c r="D1720">
        <v>4.646407</v>
      </c>
      <c r="E1720">
        <v>0.68630849999999999</v>
      </c>
      <c r="F1720" t="s">
        <v>49</v>
      </c>
      <c r="G1720">
        <v>-196.15969999999999</v>
      </c>
      <c r="H1720" s="1">
        <v>-4.2289770000000001E-6</v>
      </c>
      <c r="I1720">
        <v>354.41160000000002</v>
      </c>
      <c r="J1720">
        <v>-196.82910000000001</v>
      </c>
      <c r="K1720">
        <v>1.10749599999999</v>
      </c>
      <c r="L1720">
        <v>359.52679999999998</v>
      </c>
      <c r="M1720">
        <v>0.73288039999999999</v>
      </c>
      <c r="N1720">
        <v>0</v>
      </c>
      <c r="O1720">
        <v>-0.68020769999999997</v>
      </c>
      <c r="P1720">
        <v>0.55317519999999998</v>
      </c>
      <c r="Q1720">
        <v>3.5251709999999999E-2</v>
      </c>
      <c r="R1720">
        <v>-0.83231880000000003</v>
      </c>
      <c r="S1720">
        <v>0.46296690000000001</v>
      </c>
      <c r="T1720">
        <v>-0.71547749999999999</v>
      </c>
      <c r="U1720">
        <v>-3.3379210000000001</v>
      </c>
      <c r="V1720">
        <v>0.23410819999999999</v>
      </c>
      <c r="W1720">
        <v>4.7342540000000002E-2</v>
      </c>
      <c r="X1720">
        <v>0.97105719999999995</v>
      </c>
      <c r="Y1720">
        <v>0.63098989999999999</v>
      </c>
      <c r="Z1720">
        <v>8.7695380000000003E-2</v>
      </c>
      <c r="AA1720">
        <v>0.77081860000000002</v>
      </c>
      <c r="AB1720">
        <v>12</v>
      </c>
      <c r="AC1720">
        <v>0.66940000000002398</v>
      </c>
      <c r="AD1720">
        <v>-1.10750022897699</v>
      </c>
      <c r="AE1720">
        <v>-5.11519999999995</v>
      </c>
      <c r="AF1720">
        <v>3.1487164249314001</v>
      </c>
      <c r="AG1720">
        <v>-1.10750022897699</v>
      </c>
      <c r="AH1720">
        <v>3.7954676812869801</v>
      </c>
      <c r="AI1720">
        <v>102.65722433625599</v>
      </c>
      <c r="AJ1720">
        <v>50.320931344659598</v>
      </c>
      <c r="AK1720">
        <v>5.0543591880188803</v>
      </c>
      <c r="AL1720">
        <v>87.286458040562195</v>
      </c>
      <c r="AM1720">
        <v>76.445452238002304</v>
      </c>
      <c r="AN1720">
        <v>1.0000000255363599</v>
      </c>
    </row>
    <row r="1721" spans="1:40" x14ac:dyDescent="0.25">
      <c r="A1721" t="str">
        <f>"20190312153920559"</f>
        <v>20190312153920559</v>
      </c>
      <c r="B1721" t="str">
        <f>"1552376360547101"</f>
        <v>1552376360547101</v>
      </c>
      <c r="C1721" t="s">
        <v>40</v>
      </c>
      <c r="D1721">
        <v>4.6640730000000001</v>
      </c>
      <c r="E1721">
        <v>0.6858339</v>
      </c>
      <c r="F1721" t="s">
        <v>49</v>
      </c>
      <c r="G1721">
        <v>-196.1292</v>
      </c>
      <c r="H1721" s="1">
        <v>-4.1591069999999997E-6</v>
      </c>
      <c r="I1721">
        <v>354.28620000000001</v>
      </c>
      <c r="J1721">
        <v>-196.7833</v>
      </c>
      <c r="K1721">
        <v>1.107504</v>
      </c>
      <c r="L1721">
        <v>359.47629999999998</v>
      </c>
      <c r="M1721">
        <v>0.72947439999999997</v>
      </c>
      <c r="N1721">
        <v>0</v>
      </c>
      <c r="O1721">
        <v>-0.68385909999999905</v>
      </c>
      <c r="P1721">
        <v>0.54843350000000002</v>
      </c>
      <c r="Q1721">
        <v>3.4980490000000003E-2</v>
      </c>
      <c r="R1721">
        <v>-0.8354625</v>
      </c>
      <c r="S1721">
        <v>0.4458008</v>
      </c>
      <c r="T1721">
        <v>-0.70540380000000003</v>
      </c>
      <c r="U1721">
        <v>-3.3379210000000001</v>
      </c>
      <c r="V1721">
        <v>0.2347862</v>
      </c>
      <c r="W1721">
        <v>4.7071050000000003E-2</v>
      </c>
      <c r="X1721">
        <v>0.97090670000000001</v>
      </c>
      <c r="Y1721">
        <v>0.631081</v>
      </c>
      <c r="Z1721">
        <v>8.7542590000000003E-2</v>
      </c>
      <c r="AA1721">
        <v>0.77076140000000004</v>
      </c>
      <c r="AB1721">
        <v>12</v>
      </c>
      <c r="AC1721">
        <v>0.65409999999999902</v>
      </c>
      <c r="AD1721">
        <v>-1.107508159107</v>
      </c>
      <c r="AE1721">
        <v>-5.19009999999997</v>
      </c>
      <c r="AF1721">
        <v>3.1958273443831899</v>
      </c>
      <c r="AG1721">
        <v>-1.107508159107</v>
      </c>
      <c r="AH1721">
        <v>3.8541050880733598</v>
      </c>
      <c r="AI1721">
        <v>102.473172921432</v>
      </c>
      <c r="AJ1721">
        <v>50.334447450805399</v>
      </c>
      <c r="AK1721">
        <v>5.1277687903715901</v>
      </c>
      <c r="AL1721">
        <v>87.302030649548897</v>
      </c>
      <c r="AM1721">
        <v>76.405622547226102</v>
      </c>
      <c r="AN1721">
        <v>1.0000000317817099</v>
      </c>
    </row>
    <row r="1722" spans="1:40" x14ac:dyDescent="0.25">
      <c r="A1722" t="str">
        <f>"20190312153920574"</f>
        <v>20190312153920574</v>
      </c>
      <c r="B1722" t="str">
        <f>"1552376360567598"</f>
        <v>1552376360567598</v>
      </c>
      <c r="C1722" t="s">
        <v>40</v>
      </c>
      <c r="D1722">
        <v>4.6828209999999997</v>
      </c>
      <c r="E1722">
        <v>0.68442630000000004</v>
      </c>
      <c r="F1722" t="s">
        <v>49</v>
      </c>
      <c r="G1722">
        <v>-196.0975</v>
      </c>
      <c r="H1722" s="1">
        <v>-4.0890000000000002E-6</v>
      </c>
      <c r="I1722">
        <v>354.16079999999999</v>
      </c>
      <c r="J1722">
        <v>-196.72640000000001</v>
      </c>
      <c r="K1722">
        <v>1.1075189999999999</v>
      </c>
      <c r="L1722">
        <v>359.4128</v>
      </c>
      <c r="M1722">
        <v>0.72517140000000002</v>
      </c>
      <c r="N1722">
        <v>0</v>
      </c>
      <c r="O1722">
        <v>-0.68842009999999998</v>
      </c>
      <c r="P1722">
        <v>0.5425352</v>
      </c>
      <c r="Q1722">
        <v>3.4641249999999998E-2</v>
      </c>
      <c r="R1722">
        <v>-0.83931859999999903</v>
      </c>
      <c r="S1722">
        <v>0.43055729999999998</v>
      </c>
      <c r="T1722">
        <v>-0.69533929999999999</v>
      </c>
      <c r="U1722">
        <v>-3.3372799999999998</v>
      </c>
      <c r="V1722">
        <v>0.23554259999999999</v>
      </c>
      <c r="W1722">
        <v>4.6733820000000002E-2</v>
      </c>
      <c r="X1722">
        <v>0.97073969999999998</v>
      </c>
      <c r="Y1722">
        <v>0.62975080000000005</v>
      </c>
      <c r="Z1722">
        <v>8.7769810000000004E-2</v>
      </c>
      <c r="AA1722">
        <v>0.77182280000000003</v>
      </c>
      <c r="AB1722">
        <v>12</v>
      </c>
      <c r="AC1722">
        <v>0.628900000000015</v>
      </c>
      <c r="AD1722">
        <v>-1.1075230890000001</v>
      </c>
      <c r="AE1722">
        <v>-5.2519999999999998</v>
      </c>
      <c r="AF1722">
        <v>3.2342089579933999</v>
      </c>
      <c r="AG1722">
        <v>-1.1075230890000001</v>
      </c>
      <c r="AH1722">
        <v>3.90103602833375</v>
      </c>
      <c r="AI1722">
        <v>102.328695204177</v>
      </c>
      <c r="AJ1722">
        <v>50.339091482065299</v>
      </c>
      <c r="AK1722">
        <v>5.1869834269053596</v>
      </c>
      <c r="AL1722">
        <v>87.321373615359306</v>
      </c>
      <c r="AM1722">
        <v>76.361200626377695</v>
      </c>
      <c r="AN1722">
        <v>0.99999996575132</v>
      </c>
    </row>
    <row r="1723" spans="1:40" x14ac:dyDescent="0.25">
      <c r="A1723" t="str">
        <f>"20190312153920588"</f>
        <v>20190312153920588</v>
      </c>
      <c r="B1723" t="str">
        <f>"1552376360577357"</f>
        <v>1552376360577357</v>
      </c>
      <c r="C1723" t="s">
        <v>40</v>
      </c>
      <c r="D1723">
        <v>4.6884370000000004</v>
      </c>
      <c r="E1723">
        <v>0.68365730000000002</v>
      </c>
      <c r="F1723" t="s">
        <v>49</v>
      </c>
      <c r="G1723">
        <v>-196.04769999999999</v>
      </c>
      <c r="H1723" s="1">
        <v>-3.9899160000000001E-6</v>
      </c>
      <c r="I1723">
        <v>353.98590000000002</v>
      </c>
      <c r="J1723">
        <v>-196.67500000000001</v>
      </c>
      <c r="K1723">
        <v>1.107537</v>
      </c>
      <c r="L1723">
        <v>359.3546</v>
      </c>
      <c r="M1723">
        <v>0.72122280000000005</v>
      </c>
      <c r="N1723">
        <v>0</v>
      </c>
      <c r="O1723">
        <v>-0.69255599999999995</v>
      </c>
      <c r="P1723">
        <v>0.53621490000000005</v>
      </c>
      <c r="Q1723">
        <v>3.4413939999999997E-2</v>
      </c>
      <c r="R1723">
        <v>-0.84337980000000001</v>
      </c>
      <c r="S1723">
        <v>0.41683959999999998</v>
      </c>
      <c r="T1723">
        <v>-0.68019799999999997</v>
      </c>
      <c r="U1723">
        <v>-3.333008</v>
      </c>
      <c r="V1723">
        <v>0.2372871</v>
      </c>
      <c r="W1723">
        <v>4.6497570000000002E-2</v>
      </c>
      <c r="X1723">
        <v>0.97032609999999997</v>
      </c>
      <c r="Y1723">
        <v>0.62841250000000004</v>
      </c>
      <c r="Z1723">
        <v>8.7299699999999994E-2</v>
      </c>
      <c r="AA1723">
        <v>0.77296609999999999</v>
      </c>
      <c r="AB1723">
        <v>12</v>
      </c>
      <c r="AC1723">
        <v>0.62730000000001895</v>
      </c>
      <c r="AD1723">
        <v>-1.107540989916</v>
      </c>
      <c r="AE1723">
        <v>-5.3686999999999898</v>
      </c>
      <c r="AF1723">
        <v>3.2994136417519999</v>
      </c>
      <c r="AG1723">
        <v>-1.107540989916</v>
      </c>
      <c r="AH1723">
        <v>4.0029121028240002</v>
      </c>
      <c r="AI1723">
        <v>102.051967975056</v>
      </c>
      <c r="AJ1723">
        <v>50.502833399024802</v>
      </c>
      <c r="AK1723">
        <v>5.3043456454739299</v>
      </c>
      <c r="AL1723">
        <v>87.334924475845597</v>
      </c>
      <c r="AM1723">
        <v>76.258367477577707</v>
      </c>
      <c r="AN1723">
        <v>0.99999996609176101</v>
      </c>
    </row>
    <row r="1724" spans="1:40" x14ac:dyDescent="0.25">
      <c r="A1724" t="str">
        <f>"20190312153920601"</f>
        <v>20190312153920601</v>
      </c>
      <c r="B1724" t="str">
        <f>"1552376360597852"</f>
        <v>1552376360597852</v>
      </c>
      <c r="C1724" t="s">
        <v>40</v>
      </c>
      <c r="D1724">
        <v>4.6282690000000004</v>
      </c>
      <c r="E1724">
        <v>0.67197819999999997</v>
      </c>
      <c r="F1724" t="s">
        <v>49</v>
      </c>
      <c r="G1724">
        <v>-196.0196</v>
      </c>
      <c r="H1724" s="1">
        <v>-3.927687E-6</v>
      </c>
      <c r="I1724">
        <v>353.87459999999999</v>
      </c>
      <c r="J1724">
        <v>-196.62739999999999</v>
      </c>
      <c r="K1724">
        <v>1.107556</v>
      </c>
      <c r="L1724">
        <v>359.30029999999999</v>
      </c>
      <c r="M1724">
        <v>0.71752099999999996</v>
      </c>
      <c r="N1724">
        <v>0</v>
      </c>
      <c r="O1724">
        <v>-0.69639050000000002</v>
      </c>
      <c r="P1724">
        <v>0.53064270000000002</v>
      </c>
      <c r="Q1724">
        <v>3.3993509999999998E-2</v>
      </c>
      <c r="R1724">
        <v>-0.84691380000000005</v>
      </c>
      <c r="S1724">
        <v>0.39840700000000001</v>
      </c>
      <c r="T1724">
        <v>-0.67325190000000001</v>
      </c>
      <c r="U1724">
        <v>-3.331207</v>
      </c>
      <c r="V1724">
        <v>0.2385196</v>
      </c>
      <c r="W1724">
        <v>4.6074110000000001E-2</v>
      </c>
      <c r="X1724">
        <v>0.97004409999999996</v>
      </c>
      <c r="Y1724">
        <v>0.62848230000000005</v>
      </c>
      <c r="Z1724">
        <v>8.7538060000000001E-2</v>
      </c>
      <c r="AA1724">
        <v>0.77288230000000002</v>
      </c>
      <c r="AB1724">
        <v>12</v>
      </c>
      <c r="AC1724">
        <v>0.60779999999999701</v>
      </c>
      <c r="AD1724">
        <v>-1.1075599276870001</v>
      </c>
      <c r="AE1724">
        <v>-5.4257</v>
      </c>
      <c r="AF1724">
        <v>3.33297759965739</v>
      </c>
      <c r="AG1724">
        <v>-1.1075599276870001</v>
      </c>
      <c r="AH1724">
        <v>4.0483414550694201</v>
      </c>
      <c r="AI1724">
        <v>101.92626179050301</v>
      </c>
      <c r="AJ1724">
        <v>50.535558329902003</v>
      </c>
      <c r="AK1724">
        <v>5.3595239723383603</v>
      </c>
      <c r="AL1724">
        <v>87.359213041231598</v>
      </c>
      <c r="AM1724">
        <v>76.185856596052801</v>
      </c>
      <c r="AN1724">
        <v>0.99999998957063096</v>
      </c>
    </row>
    <row r="1725" spans="1:40" x14ac:dyDescent="0.25">
      <c r="A1725" t="str">
        <f>"20190312153920613"</f>
        <v>20190312153920613</v>
      </c>
      <c r="B1725" t="str">
        <f>"1552376360607612"</f>
        <v>1552376360607612</v>
      </c>
      <c r="C1725" t="s">
        <v>40</v>
      </c>
      <c r="D1725">
        <v>4.6337199999999896</v>
      </c>
      <c r="E1725">
        <v>0.67086809999999997</v>
      </c>
      <c r="F1725" t="s">
        <v>49</v>
      </c>
      <c r="G1725">
        <v>-195.63300000000001</v>
      </c>
      <c r="H1725" s="1">
        <v>-2.9247979999999999E-6</v>
      </c>
      <c r="I1725">
        <v>352.05200000000002</v>
      </c>
      <c r="J1725">
        <v>-196.58269999999999</v>
      </c>
      <c r="K1725">
        <v>1.1075790000000001</v>
      </c>
      <c r="L1725">
        <v>359.24880000000002</v>
      </c>
      <c r="M1725">
        <v>0.71400819999999998</v>
      </c>
      <c r="N1725">
        <v>0</v>
      </c>
      <c r="O1725">
        <v>-0.69999180000000005</v>
      </c>
      <c r="P1725">
        <v>0.52525290000000002</v>
      </c>
      <c r="Q1725">
        <v>3.378892E-2</v>
      </c>
      <c r="R1725">
        <v>-0.85027529999999996</v>
      </c>
      <c r="S1725">
        <v>0.45004270000000002</v>
      </c>
      <c r="T1725">
        <v>-0.5012778</v>
      </c>
      <c r="U1725">
        <v>-3.280548</v>
      </c>
      <c r="V1725">
        <v>0.23980270000000001</v>
      </c>
      <c r="W1725">
        <v>4.5865959999999997E-2</v>
      </c>
      <c r="X1725">
        <v>0.96973759999999998</v>
      </c>
      <c r="Y1725">
        <v>0.61169589999999996</v>
      </c>
      <c r="Z1725">
        <v>6.8467239999999999E-2</v>
      </c>
      <c r="AA1725">
        <v>0.78812459999999995</v>
      </c>
      <c r="AB1725">
        <v>12</v>
      </c>
      <c r="AC1725">
        <v>0.94970000000000698</v>
      </c>
      <c r="AD1725">
        <v>-1.1075819247980001</v>
      </c>
      <c r="AE1725">
        <v>-7.1968000000000503</v>
      </c>
      <c r="AF1725">
        <v>4.3724588594692699</v>
      </c>
      <c r="AG1725">
        <v>-1.1075819247980001</v>
      </c>
      <c r="AH1725">
        <v>5.58632958701891</v>
      </c>
      <c r="AI1725">
        <v>98.873858109166903</v>
      </c>
      <c r="AJ1725">
        <v>51.949467231515399</v>
      </c>
      <c r="AK1725">
        <v>7.1799869395907301</v>
      </c>
      <c r="AL1725">
        <v>87.371151851536595</v>
      </c>
      <c r="AM1725">
        <v>76.1101940299897</v>
      </c>
      <c r="AN1725">
        <v>1.0000000170338801</v>
      </c>
    </row>
    <row r="1726" spans="1:40" x14ac:dyDescent="0.25">
      <c r="A1726" t="str">
        <f>"20190312153920626"</f>
        <v>20190312153920626</v>
      </c>
      <c r="B1726" t="str">
        <f>"1552376360617371"</f>
        <v>1552376360617371</v>
      </c>
      <c r="C1726" t="s">
        <v>40</v>
      </c>
      <c r="D1726">
        <v>4.6398890000000002</v>
      </c>
      <c r="E1726">
        <v>0.66946530000000004</v>
      </c>
      <c r="F1726" t="s">
        <v>49</v>
      </c>
      <c r="G1726">
        <v>-195.62639999999999</v>
      </c>
      <c r="H1726" s="1">
        <v>-2.9366700000000002E-6</v>
      </c>
      <c r="I1726">
        <v>352.07850000000002</v>
      </c>
      <c r="J1726">
        <v>-196.53919999999999</v>
      </c>
      <c r="K1726">
        <v>1.107602</v>
      </c>
      <c r="L1726">
        <v>359.1979</v>
      </c>
      <c r="M1726">
        <v>0.71054719999999905</v>
      </c>
      <c r="N1726">
        <v>0</v>
      </c>
      <c r="O1726">
        <v>-0.70350480000000004</v>
      </c>
      <c r="P1726">
        <v>0.51972079999999998</v>
      </c>
      <c r="Q1726">
        <v>3.3360819999999999E-2</v>
      </c>
      <c r="R1726">
        <v>-0.85368469999999996</v>
      </c>
      <c r="S1726">
        <v>0.43724059999999998</v>
      </c>
      <c r="T1726">
        <v>-0.50638530000000004</v>
      </c>
      <c r="U1726">
        <v>-3.2782290000000001</v>
      </c>
      <c r="V1726">
        <v>0.24132329999999999</v>
      </c>
      <c r="W1726">
        <v>4.5432489999999999E-2</v>
      </c>
      <c r="X1726">
        <v>0.96938069999999998</v>
      </c>
      <c r="Y1726">
        <v>0.61074799999999996</v>
      </c>
      <c r="Z1726">
        <v>7.0017079999999995E-2</v>
      </c>
      <c r="AA1726">
        <v>0.78872330000000002</v>
      </c>
      <c r="AB1726">
        <v>12</v>
      </c>
      <c r="AC1726">
        <v>0.91280000000000405</v>
      </c>
      <c r="AD1726">
        <v>-1.10760493667</v>
      </c>
      <c r="AE1726">
        <v>-7.1193999999999802</v>
      </c>
      <c r="AF1726">
        <v>4.3142285645332104</v>
      </c>
      <c r="AG1726">
        <v>-1.10760493667</v>
      </c>
      <c r="AH1726">
        <v>5.5261062975534401</v>
      </c>
      <c r="AI1726">
        <v>98.977782588006207</v>
      </c>
      <c r="AJ1726">
        <v>52.020858489410998</v>
      </c>
      <c r="AK1726">
        <v>7.0976903014029702</v>
      </c>
      <c r="AL1726">
        <v>87.396013710362297</v>
      </c>
      <c r="AM1726">
        <v>76.020616248652303</v>
      </c>
      <c r="AN1726">
        <v>0.99999999390148997</v>
      </c>
    </row>
    <row r="1727" spans="1:40" x14ac:dyDescent="0.25">
      <c r="A1727" t="str">
        <f>"20190312153920638"</f>
        <v>20190312153920638</v>
      </c>
      <c r="B1727" t="str">
        <f>"1552376360627132"</f>
        <v>1552376360627132</v>
      </c>
      <c r="C1727" t="s">
        <v>40</v>
      </c>
      <c r="D1727">
        <v>4.5895849999999996</v>
      </c>
      <c r="E1727">
        <v>0.66887479999999999</v>
      </c>
      <c r="F1727" t="s">
        <v>49</v>
      </c>
      <c r="G1727">
        <v>-195.60130000000001</v>
      </c>
      <c r="H1727" s="1">
        <v>-2.8797539999999999E-6</v>
      </c>
      <c r="I1727">
        <v>351.97649999999999</v>
      </c>
      <c r="J1727">
        <v>-196.4939</v>
      </c>
      <c r="K1727">
        <v>1.107626</v>
      </c>
      <c r="L1727">
        <v>359.14449999999999</v>
      </c>
      <c r="M1727">
        <v>0.70690169999999997</v>
      </c>
      <c r="N1727">
        <v>0</v>
      </c>
      <c r="O1727">
        <v>-0.70716789999999996</v>
      </c>
      <c r="P1727">
        <v>0.51404700000000003</v>
      </c>
      <c r="Q1727">
        <v>3.2987620000000002E-2</v>
      </c>
      <c r="R1727">
        <v>-0.8571278</v>
      </c>
      <c r="S1727">
        <v>0.42536930000000001</v>
      </c>
      <c r="T1727">
        <v>-0.50228629999999996</v>
      </c>
      <c r="U1727">
        <v>-3.2748409999999999</v>
      </c>
      <c r="V1727">
        <v>0.24274799999999999</v>
      </c>
      <c r="W1727">
        <v>4.5055209999999998E-2</v>
      </c>
      <c r="X1727">
        <v>0.96904250000000003</v>
      </c>
      <c r="Y1727">
        <v>0.60938970000000003</v>
      </c>
      <c r="Z1727">
        <v>7.0400249999999998E-2</v>
      </c>
      <c r="AA1727">
        <v>0.78973919999999997</v>
      </c>
      <c r="AB1727">
        <v>12</v>
      </c>
      <c r="AC1727">
        <v>0.89259999999998696</v>
      </c>
      <c r="AD1727">
        <v>-1.1076288797539999</v>
      </c>
      <c r="AE1727">
        <v>-7.1680000000000001</v>
      </c>
      <c r="AF1727">
        <v>4.3343899233226502</v>
      </c>
      <c r="AG1727">
        <v>-1.1076288797539999</v>
      </c>
      <c r="AH1727">
        <v>5.5695820538981096</v>
      </c>
      <c r="AI1727">
        <v>98.919542918166101</v>
      </c>
      <c r="AJ1727">
        <v>52.109041757686398</v>
      </c>
      <c r="AK1727">
        <v>7.14381004771053</v>
      </c>
      <c r="AL1727">
        <v>87.417652346598203</v>
      </c>
      <c r="AM1727">
        <v>75.936638217550097</v>
      </c>
      <c r="AN1727">
        <v>0.99999996512919598</v>
      </c>
    </row>
    <row r="1728" spans="1:40" x14ac:dyDescent="0.25">
      <c r="A1728" t="str">
        <f>"20190312153920655"</f>
        <v>20190312153920655</v>
      </c>
      <c r="B1728" t="str">
        <f>"1552376360647627"</f>
        <v>1552376360647627</v>
      </c>
      <c r="C1728" t="s">
        <v>40</v>
      </c>
      <c r="D1728">
        <v>4.5774439999999998</v>
      </c>
      <c r="E1728">
        <v>0.6671163</v>
      </c>
      <c r="F1728" t="s">
        <v>49</v>
      </c>
      <c r="G1728">
        <v>-195.58539999999999</v>
      </c>
      <c r="H1728" s="1">
        <v>-2.8085109999999898E-6</v>
      </c>
      <c r="I1728">
        <v>351.84190000000001</v>
      </c>
      <c r="J1728">
        <v>-196.43379999999999</v>
      </c>
      <c r="K1728">
        <v>1.107656</v>
      </c>
      <c r="L1728">
        <v>359.07279999999997</v>
      </c>
      <c r="M1728">
        <v>0.70201340000000001</v>
      </c>
      <c r="N1728">
        <v>0</v>
      </c>
      <c r="O1728">
        <v>-0.71202109999999996</v>
      </c>
      <c r="P1728">
        <v>0.50594329999999998</v>
      </c>
      <c r="Q1728">
        <v>3.2371320000000002E-2</v>
      </c>
      <c r="R1728">
        <v>-0.86195929999999998</v>
      </c>
      <c r="S1728">
        <v>0.40739439999999999</v>
      </c>
      <c r="T1728">
        <v>-0.49672230000000001</v>
      </c>
      <c r="U1728">
        <v>-3.274902</v>
      </c>
      <c r="V1728">
        <v>0.24521680000000001</v>
      </c>
      <c r="W1728">
        <v>4.4426420000000001E-2</v>
      </c>
      <c r="X1728">
        <v>0.96844980000000003</v>
      </c>
      <c r="Y1728">
        <v>0.60823369999999999</v>
      </c>
      <c r="Z1728">
        <v>7.0733009999999999E-2</v>
      </c>
      <c r="AA1728">
        <v>0.79060010000000003</v>
      </c>
      <c r="AB1728">
        <v>12</v>
      </c>
      <c r="AC1728">
        <v>0.84839999999999705</v>
      </c>
      <c r="AD1728">
        <v>-1.107658808511</v>
      </c>
      <c r="AE1728">
        <v>-7.2308999999999601</v>
      </c>
      <c r="AF1728">
        <v>4.3713811571400596</v>
      </c>
      <c r="AG1728">
        <v>-1.107658808511</v>
      </c>
      <c r="AH1728">
        <v>5.6147617421350899</v>
      </c>
      <c r="AI1728">
        <v>98.847769981501997</v>
      </c>
      <c r="AJ1728">
        <v>52.097405192789999</v>
      </c>
      <c r="AK1728">
        <v>7.2014880877506897</v>
      </c>
      <c r="AL1728">
        <v>87.453715564265295</v>
      </c>
      <c r="AM1728">
        <v>75.791030216554503</v>
      </c>
      <c r="AN1728">
        <v>1.00000000045814</v>
      </c>
    </row>
    <row r="1729" spans="1:40" x14ac:dyDescent="0.25">
      <c r="A1729" t="str">
        <f>"20190312153920668"</f>
        <v>20190312153920668</v>
      </c>
      <c r="B1729" t="str">
        <f>"1552376360657387"</f>
        <v>1552376360657387</v>
      </c>
      <c r="C1729" t="s">
        <v>40</v>
      </c>
      <c r="D1729">
        <v>4.5701530000000004</v>
      </c>
      <c r="E1729">
        <v>0.66626790000000002</v>
      </c>
      <c r="F1729" t="s">
        <v>49</v>
      </c>
      <c r="G1729">
        <v>-195.5549</v>
      </c>
      <c r="H1729" s="1">
        <v>-2.694961E-6</v>
      </c>
      <c r="I1729">
        <v>351.65859999999998</v>
      </c>
      <c r="J1729">
        <v>-196.39160000000001</v>
      </c>
      <c r="K1729">
        <v>1.107677</v>
      </c>
      <c r="L1729">
        <v>359.02179999999998</v>
      </c>
      <c r="M1729">
        <v>0.69853659999999995</v>
      </c>
      <c r="N1729">
        <v>0</v>
      </c>
      <c r="O1729">
        <v>-0.71543219999999996</v>
      </c>
      <c r="P1729">
        <v>0.50077090000000002</v>
      </c>
      <c r="Q1729">
        <v>3.2244839999999997E-2</v>
      </c>
      <c r="R1729">
        <v>-0.86497919999999995</v>
      </c>
      <c r="S1729">
        <v>0.3877563</v>
      </c>
      <c r="T1729">
        <v>-0.488705</v>
      </c>
      <c r="U1729">
        <v>-3.27121</v>
      </c>
      <c r="V1729">
        <v>0.24630050000000001</v>
      </c>
      <c r="W1729">
        <v>4.429781E-2</v>
      </c>
      <c r="X1729">
        <v>0.96818070000000001</v>
      </c>
      <c r="Y1729">
        <v>0.60896159999999999</v>
      </c>
      <c r="Z1729">
        <v>7.035603E-2</v>
      </c>
      <c r="AA1729">
        <v>0.79007320000000003</v>
      </c>
      <c r="AB1729">
        <v>12</v>
      </c>
      <c r="AC1729">
        <v>0.83670000000000699</v>
      </c>
      <c r="AD1729">
        <v>-1.1076796949609999</v>
      </c>
      <c r="AE1729">
        <v>-7.3632</v>
      </c>
      <c r="AF1729">
        <v>4.4459921746275004</v>
      </c>
      <c r="AG1729">
        <v>-1.1076796949609999</v>
      </c>
      <c r="AH1729">
        <v>5.7250223566946596</v>
      </c>
      <c r="AI1729">
        <v>98.688279081250101</v>
      </c>
      <c r="AJ1729">
        <v>52.167462385057199</v>
      </c>
      <c r="AK1729">
        <v>7.3327813078075303</v>
      </c>
      <c r="AL1729">
        <v>87.461091762110698</v>
      </c>
      <c r="AM1729">
        <v>75.726990913236307</v>
      </c>
      <c r="AN1729">
        <v>1.0000000500617601</v>
      </c>
    </row>
    <row r="1730" spans="1:40" x14ac:dyDescent="0.25">
      <c r="A1730" t="str">
        <f>"20190312153920683"</f>
        <v>20190312153920683</v>
      </c>
      <c r="B1730" t="str">
        <f>"1552376360677883"</f>
        <v>1552376360677883</v>
      </c>
      <c r="C1730" t="s">
        <v>40</v>
      </c>
      <c r="D1730">
        <v>4.5785970000000002</v>
      </c>
      <c r="E1730">
        <v>0.66531809999999902</v>
      </c>
      <c r="F1730" t="s">
        <v>49</v>
      </c>
      <c r="G1730">
        <v>-195.53489999999999</v>
      </c>
      <c r="H1730" s="1">
        <v>-2.60724E-6</v>
      </c>
      <c r="I1730">
        <v>351.51940000000002</v>
      </c>
      <c r="J1730">
        <v>-196.34299999999999</v>
      </c>
      <c r="K1730">
        <v>1.107702</v>
      </c>
      <c r="L1730">
        <v>358.96269999999998</v>
      </c>
      <c r="M1730">
        <v>0.69450149999999999</v>
      </c>
      <c r="N1730">
        <v>0</v>
      </c>
      <c r="O1730">
        <v>-0.71935000000000004</v>
      </c>
      <c r="P1730">
        <v>0.49528660000000002</v>
      </c>
      <c r="Q1730">
        <v>3.1978529999999998E-2</v>
      </c>
      <c r="R1730">
        <v>-0.86814080000000005</v>
      </c>
      <c r="S1730">
        <v>0.37342829999999999</v>
      </c>
      <c r="T1730">
        <v>-0.48280970000000001</v>
      </c>
      <c r="U1730">
        <v>-3.270111</v>
      </c>
      <c r="V1730">
        <v>0.24698419999999999</v>
      </c>
      <c r="W1730">
        <v>4.4033889999999999E-2</v>
      </c>
      <c r="X1730">
        <v>0.9680185</v>
      </c>
      <c r="Y1730">
        <v>0.60791709999999999</v>
      </c>
      <c r="Z1730">
        <v>7.0418949999999994E-2</v>
      </c>
      <c r="AA1730">
        <v>0.79087159999999901</v>
      </c>
      <c r="AB1730">
        <v>12</v>
      </c>
      <c r="AC1730">
        <v>0.80809999999999504</v>
      </c>
      <c r="AD1730">
        <v>-1.1077046072400001</v>
      </c>
      <c r="AE1730">
        <v>-7.4432999999999598</v>
      </c>
      <c r="AF1730">
        <v>4.4902549773126799</v>
      </c>
      <c r="AG1730">
        <v>-1.1077046072400001</v>
      </c>
      <c r="AH1730">
        <v>5.7894401478949504</v>
      </c>
      <c r="AI1730">
        <v>98.597330536779296</v>
      </c>
      <c r="AJ1730">
        <v>52.203059456324098</v>
      </c>
      <c r="AK1730">
        <v>7.4099268879146196</v>
      </c>
      <c r="AL1730">
        <v>87.476227900389802</v>
      </c>
      <c r="AM1730">
        <v>75.686696686241504</v>
      </c>
      <c r="AN1730">
        <v>0.99999999743021095</v>
      </c>
    </row>
    <row r="1731" spans="1:40" x14ac:dyDescent="0.25">
      <c r="A1731" t="str">
        <f>"20190312153920697"</f>
        <v>20190312153920697</v>
      </c>
      <c r="B1731" t="str">
        <f>"1552376360687643"</f>
        <v>1552376360687643</v>
      </c>
      <c r="C1731" t="s">
        <v>40</v>
      </c>
      <c r="D1731">
        <v>4.5582390000000004</v>
      </c>
      <c r="E1731">
        <v>0.65419799999999995</v>
      </c>
      <c r="F1731" t="s">
        <v>49</v>
      </c>
      <c r="G1731">
        <v>-195.51490000000001</v>
      </c>
      <c r="H1731" s="1">
        <v>-2.5439159999999999E-6</v>
      </c>
      <c r="I1731">
        <v>351.42140000000001</v>
      </c>
      <c r="J1731">
        <v>-196.2894</v>
      </c>
      <c r="K1731">
        <v>1.107728</v>
      </c>
      <c r="L1731">
        <v>358.89659999999998</v>
      </c>
      <c r="M1731">
        <v>0.68999480000000002</v>
      </c>
      <c r="N1731">
        <v>0</v>
      </c>
      <c r="O1731">
        <v>-0.72367440000000005</v>
      </c>
      <c r="P1731">
        <v>0.48940479999999997</v>
      </c>
      <c r="Q1731">
        <v>3.1792479999999998E-2</v>
      </c>
      <c r="R1731">
        <v>-0.87147739999999996</v>
      </c>
      <c r="S1731">
        <v>0.35893249999999999</v>
      </c>
      <c r="T1731">
        <v>-0.48010380000000002</v>
      </c>
      <c r="U1731">
        <v>-3.2685550000000001</v>
      </c>
      <c r="V1731">
        <v>0.24748400000000001</v>
      </c>
      <c r="W1731">
        <v>4.3851910000000001E-2</v>
      </c>
      <c r="X1731">
        <v>0.96789910000000001</v>
      </c>
      <c r="Y1731">
        <v>0.60640649999999996</v>
      </c>
      <c r="Z1731">
        <v>7.1046949999999998E-2</v>
      </c>
      <c r="AA1731">
        <v>0.79197450000000003</v>
      </c>
      <c r="AB1731">
        <v>12</v>
      </c>
      <c r="AC1731">
        <v>0.77449999999998898</v>
      </c>
      <c r="AD1731">
        <v>-1.1077305439159999</v>
      </c>
      <c r="AE1731">
        <v>-7.4751999999999699</v>
      </c>
      <c r="AF1731">
        <v>4.5000593979608103</v>
      </c>
      <c r="AG1731">
        <v>-1.1077305439159999</v>
      </c>
      <c r="AH1731">
        <v>5.8182059138120801</v>
      </c>
      <c r="AI1731">
        <v>98.564427931153801</v>
      </c>
      <c r="AJ1731">
        <v>52.280037924524301</v>
      </c>
      <c r="AK1731">
        <v>7.4383547642350099</v>
      </c>
      <c r="AL1731">
        <v>87.486664659275505</v>
      </c>
      <c r="AM1731">
        <v>75.657229541851194</v>
      </c>
      <c r="AN1731">
        <v>0.99999999402372897</v>
      </c>
    </row>
    <row r="1732" spans="1:40" x14ac:dyDescent="0.25">
      <c r="A1732" t="str">
        <f>"20190312153920712"</f>
        <v>20190312153920712</v>
      </c>
      <c r="B1732" t="str">
        <f>"1552376360707164"</f>
        <v>1552376360707164</v>
      </c>
      <c r="C1732" t="s">
        <v>40</v>
      </c>
      <c r="D1732">
        <v>4.5468299999999999</v>
      </c>
      <c r="E1732">
        <v>0.65378999999999998</v>
      </c>
      <c r="F1732" t="s">
        <v>49</v>
      </c>
      <c r="G1732">
        <v>-195.3837</v>
      </c>
      <c r="H1732" s="1">
        <v>-2.7650580000000001E-6</v>
      </c>
      <c r="I1732">
        <v>351.85399999999998</v>
      </c>
      <c r="J1732">
        <v>-196.23939999999999</v>
      </c>
      <c r="K1732">
        <v>1.107745</v>
      </c>
      <c r="L1732">
        <v>358.834</v>
      </c>
      <c r="M1732">
        <v>0.68573269999999997</v>
      </c>
      <c r="N1732">
        <v>0</v>
      </c>
      <c r="O1732">
        <v>-0.72771419999999998</v>
      </c>
      <c r="P1732">
        <v>0.48413499999999998</v>
      </c>
      <c r="Q1732">
        <v>3.1196700000000001E-2</v>
      </c>
      <c r="R1732">
        <v>-0.87443700000000002</v>
      </c>
      <c r="S1732">
        <v>0.41511540000000002</v>
      </c>
      <c r="T1732">
        <v>-0.50770439999999994</v>
      </c>
      <c r="U1732">
        <v>-3.2278440000000002</v>
      </c>
      <c r="V1732">
        <v>0.24765039999999999</v>
      </c>
      <c r="W1732">
        <v>4.326025E-2</v>
      </c>
      <c r="X1732">
        <v>0.96788320000000005</v>
      </c>
      <c r="Y1732">
        <v>0.58693790000000001</v>
      </c>
      <c r="Z1732">
        <v>7.8092040000000001E-2</v>
      </c>
      <c r="AA1732">
        <v>0.80585699999999905</v>
      </c>
      <c r="AB1732">
        <v>12</v>
      </c>
      <c r="AC1732">
        <v>0.85569999999998403</v>
      </c>
      <c r="AD1732">
        <v>-1.1077477650580001</v>
      </c>
      <c r="AE1732">
        <v>-6.9799999999999596</v>
      </c>
      <c r="AF1732">
        <v>4.0633054231557404</v>
      </c>
      <c r="AG1732">
        <v>-1.1077477650580001</v>
      </c>
      <c r="AH1732">
        <v>5.5295910659157599</v>
      </c>
      <c r="AI1732">
        <v>99.170290452205194</v>
      </c>
      <c r="AJ1732">
        <v>53.690464801946497</v>
      </c>
      <c r="AK1732">
        <v>6.9508225001860904</v>
      </c>
      <c r="AL1732">
        <v>87.520596570372703</v>
      </c>
      <c r="AM1732">
        <v>75.647758146907904</v>
      </c>
      <c r="AN1732">
        <v>1.0000000293462299</v>
      </c>
    </row>
    <row r="1733" spans="1:40" x14ac:dyDescent="0.25">
      <c r="A1733" t="str">
        <f>"20190312153920734"</f>
        <v>20190312153920734</v>
      </c>
      <c r="B1733" t="str">
        <f>"1552376360727660"</f>
        <v>1552376360727660</v>
      </c>
      <c r="C1733" t="s">
        <v>40</v>
      </c>
      <c r="D1733">
        <v>4.5492049999999997</v>
      </c>
      <c r="E1733">
        <v>0.65323909999999996</v>
      </c>
      <c r="F1733" t="s">
        <v>49</v>
      </c>
      <c r="G1733">
        <v>-195.3707</v>
      </c>
      <c r="H1733" s="1">
        <v>-2.7252510000000001E-6</v>
      </c>
      <c r="I1733">
        <v>351.79250000000002</v>
      </c>
      <c r="J1733">
        <v>-196.16560000000001</v>
      </c>
      <c r="K1733">
        <v>1.107764</v>
      </c>
      <c r="L1733">
        <v>358.7405</v>
      </c>
      <c r="M1733">
        <v>0.67935780000000001</v>
      </c>
      <c r="N1733">
        <v>0</v>
      </c>
      <c r="O1733">
        <v>-0.73366929999999997</v>
      </c>
      <c r="P1733">
        <v>0.47706870000000001</v>
      </c>
      <c r="Q1733">
        <v>3.015518E-2</v>
      </c>
      <c r="R1733">
        <v>-0.87834849999999998</v>
      </c>
      <c r="S1733">
        <v>0.39825440000000001</v>
      </c>
      <c r="T1733">
        <v>-0.50787689999999996</v>
      </c>
      <c r="U1733">
        <v>-3.2283629999999999</v>
      </c>
      <c r="V1733">
        <v>0.2470242</v>
      </c>
      <c r="W1733">
        <v>4.2232169999999999E-2</v>
      </c>
      <c r="X1733">
        <v>0.96808859999999997</v>
      </c>
      <c r="Y1733">
        <v>0.58406899999999995</v>
      </c>
      <c r="Z1733">
        <v>7.9596189999999997E-2</v>
      </c>
      <c r="AA1733">
        <v>0.80779199999999995</v>
      </c>
      <c r="AB1733">
        <v>12</v>
      </c>
      <c r="AC1733">
        <v>0.79490000000001204</v>
      </c>
      <c r="AD1733">
        <v>-1.107766725251</v>
      </c>
      <c r="AE1733">
        <v>-6.9479999999999702</v>
      </c>
      <c r="AF1733">
        <v>4.0361296647533402</v>
      </c>
      <c r="AG1733">
        <v>-1.107766725251</v>
      </c>
      <c r="AH1733">
        <v>5.5001191145252903</v>
      </c>
      <c r="AI1733">
        <v>99.223080581606794</v>
      </c>
      <c r="AJ1733">
        <v>53.7278154396177</v>
      </c>
      <c r="AK1733">
        <v>6.9114976714342999</v>
      </c>
      <c r="AL1733">
        <v>87.579555094822794</v>
      </c>
      <c r="AM1733">
        <v>75.685467859879495</v>
      </c>
      <c r="AN1733">
        <v>1.00000002450925</v>
      </c>
    </row>
    <row r="1734" spans="1:40" x14ac:dyDescent="0.25">
      <c r="A1734" t="str">
        <f>"20190312153920747"</f>
        <v>20190312153920747</v>
      </c>
      <c r="B1734" t="str">
        <f>"1552376360737420"</f>
        <v>1552376360737420</v>
      </c>
      <c r="C1734" t="s">
        <v>40</v>
      </c>
      <c r="D1734">
        <v>4.5501740000000002</v>
      </c>
      <c r="E1734">
        <v>0.65248390000000001</v>
      </c>
      <c r="F1734" t="s">
        <v>49</v>
      </c>
      <c r="G1734">
        <v>-195.39850000000001</v>
      </c>
      <c r="H1734" s="1">
        <v>-2.925862E-6</v>
      </c>
      <c r="I1734">
        <v>352.1574</v>
      </c>
      <c r="J1734">
        <v>-196.12289999999999</v>
      </c>
      <c r="K1734">
        <v>1.1077760000000001</v>
      </c>
      <c r="L1734">
        <v>358.68549999999999</v>
      </c>
      <c r="M1734">
        <v>0.67561199999999999</v>
      </c>
      <c r="N1734">
        <v>0</v>
      </c>
      <c r="O1734">
        <v>-0.737120199999999</v>
      </c>
      <c r="P1734">
        <v>0.4729003</v>
      </c>
      <c r="Q1734">
        <v>2.9463110000000001E-2</v>
      </c>
      <c r="R1734">
        <v>-0.8806233</v>
      </c>
      <c r="S1734">
        <v>0.37635800000000003</v>
      </c>
      <c r="T1734">
        <v>-0.54349099999999995</v>
      </c>
      <c r="U1734">
        <v>-3.2297669999999998</v>
      </c>
      <c r="V1734">
        <v>0.24669089999999999</v>
      </c>
      <c r="W1734">
        <v>4.1545180000000001E-2</v>
      </c>
      <c r="X1734">
        <v>0.96820329999999999</v>
      </c>
      <c r="Y1734">
        <v>0.58532090000000003</v>
      </c>
      <c r="Z1734">
        <v>8.5763069999999997E-2</v>
      </c>
      <c r="AA1734">
        <v>0.80625309999999994</v>
      </c>
      <c r="AB1734">
        <v>12</v>
      </c>
      <c r="AC1734">
        <v>0.72439999999997395</v>
      </c>
      <c r="AD1734">
        <v>-1.1077789258619899</v>
      </c>
      <c r="AE1734">
        <v>-6.5280999999999896</v>
      </c>
      <c r="AF1734">
        <v>3.76965418680442</v>
      </c>
      <c r="AG1734">
        <v>-1.1077789258619899</v>
      </c>
      <c r="AH1734">
        <v>5.1552975014335098</v>
      </c>
      <c r="AI1734">
        <v>99.840405779358903</v>
      </c>
      <c r="AJ1734">
        <v>53.824999704236099</v>
      </c>
      <c r="AK1734">
        <v>6.4818638650439597</v>
      </c>
      <c r="AL1734">
        <v>87.618951280904696</v>
      </c>
      <c r="AM1734">
        <v>75.7056138927706</v>
      </c>
      <c r="AN1734">
        <v>1.00000001612746</v>
      </c>
    </row>
    <row r="1735" spans="1:40" x14ac:dyDescent="0.25">
      <c r="A1735" t="str">
        <f>"20190312153920759"</f>
        <v>20190312153920759</v>
      </c>
      <c r="B1735" t="str">
        <f>"1552376360747180"</f>
        <v>1552376360747180</v>
      </c>
      <c r="C1735" t="s">
        <v>40</v>
      </c>
      <c r="D1735">
        <v>4.587345</v>
      </c>
      <c r="E1735">
        <v>0.65184600000000004</v>
      </c>
      <c r="F1735" t="s">
        <v>49</v>
      </c>
      <c r="G1735">
        <v>-195.3904</v>
      </c>
      <c r="H1735" s="1">
        <v>-2.9589620000000002E-6</v>
      </c>
      <c r="I1735">
        <v>352.22680000000003</v>
      </c>
      <c r="J1735">
        <v>-196.08080000000001</v>
      </c>
      <c r="K1735">
        <v>1.107782</v>
      </c>
      <c r="L1735">
        <v>358.63099999999997</v>
      </c>
      <c r="M1735">
        <v>0.67188490000000001</v>
      </c>
      <c r="N1735">
        <v>0</v>
      </c>
      <c r="O1735">
        <v>-0.74051929999999999</v>
      </c>
      <c r="P1735">
        <v>0.46896189999999999</v>
      </c>
      <c r="Q1735">
        <v>2.870062E-2</v>
      </c>
      <c r="R1735">
        <v>-0.88275219999999899</v>
      </c>
      <c r="S1735">
        <v>0.36618040000000002</v>
      </c>
      <c r="T1735">
        <v>-0.55375399999999997</v>
      </c>
      <c r="U1735">
        <v>-3.228577</v>
      </c>
      <c r="V1735">
        <v>0.24614150000000001</v>
      </c>
      <c r="W1735">
        <v>4.079004E-2</v>
      </c>
      <c r="X1735">
        <v>0.96837519999999999</v>
      </c>
      <c r="Y1735">
        <v>0.58370949999999999</v>
      </c>
      <c r="Z1735">
        <v>8.8303640000000003E-2</v>
      </c>
      <c r="AA1735">
        <v>0.80714669999999999</v>
      </c>
      <c r="AB1735">
        <v>12</v>
      </c>
      <c r="AC1735">
        <v>0.690400000000011</v>
      </c>
      <c r="AD1735">
        <v>-1.1077849589619999</v>
      </c>
      <c r="AE1735">
        <v>-6.4041999999999399</v>
      </c>
      <c r="AF1735">
        <v>3.6830768846161699</v>
      </c>
      <c r="AG1735">
        <v>-1.1077849589619999</v>
      </c>
      <c r="AH1735">
        <v>5.0572472957357197</v>
      </c>
      <c r="AI1735">
        <v>100.041183191595</v>
      </c>
      <c r="AJ1735">
        <v>53.935009965697397</v>
      </c>
      <c r="AK1735">
        <v>6.3535811211884798</v>
      </c>
      <c r="AL1735">
        <v>87.662254280651496</v>
      </c>
      <c r="AM1735">
        <v>75.738576853067798</v>
      </c>
      <c r="AN1735">
        <v>0.99999999668024497</v>
      </c>
    </row>
    <row r="1736" spans="1:40" x14ac:dyDescent="0.25">
      <c r="A1736" t="str">
        <f>"20190312153920771"</f>
        <v>20190312153920771</v>
      </c>
      <c r="B1736" t="str">
        <f>"1552376360767676"</f>
        <v>1552376360767676</v>
      </c>
      <c r="C1736" t="s">
        <v>40</v>
      </c>
      <c r="D1736">
        <v>4.5519879999999997</v>
      </c>
      <c r="E1736">
        <v>0.65016960000000001</v>
      </c>
      <c r="F1736" t="s">
        <v>49</v>
      </c>
      <c r="G1736">
        <v>-195.3537</v>
      </c>
      <c r="H1736" s="1">
        <v>-2.8485080000000001E-6</v>
      </c>
      <c r="I1736">
        <v>352.02350000000001</v>
      </c>
      <c r="J1736">
        <v>-196.0401</v>
      </c>
      <c r="K1736">
        <v>1.107788</v>
      </c>
      <c r="L1736">
        <v>358.57749999999999</v>
      </c>
      <c r="M1736">
        <v>0.66823769999999905</v>
      </c>
      <c r="N1736">
        <v>0</v>
      </c>
      <c r="O1736">
        <v>-0.74381229999999998</v>
      </c>
      <c r="P1736">
        <v>0.46533059999999998</v>
      </c>
      <c r="Q1736">
        <v>2.7858020000000001E-2</v>
      </c>
      <c r="R1736">
        <v>-0.884698599999999</v>
      </c>
      <c r="S1736">
        <v>0.35517880000000002</v>
      </c>
      <c r="T1736">
        <v>-0.54108149999999999</v>
      </c>
      <c r="U1736">
        <v>-3.227325</v>
      </c>
      <c r="V1736">
        <v>0.24537249999999999</v>
      </c>
      <c r="W1736">
        <v>3.9955299999999999E-2</v>
      </c>
      <c r="X1736">
        <v>0.96860520000000006</v>
      </c>
      <c r="Y1736">
        <v>0.58244569999999996</v>
      </c>
      <c r="Z1736">
        <v>8.7218459999999998E-2</v>
      </c>
      <c r="AA1736">
        <v>0.80817700000000003</v>
      </c>
      <c r="AB1736">
        <v>12</v>
      </c>
      <c r="AC1736">
        <v>0.68639999999999102</v>
      </c>
      <c r="AD1736">
        <v>-1.1077908485079999</v>
      </c>
      <c r="AE1736">
        <v>-6.5539999999999701</v>
      </c>
      <c r="AF1736">
        <v>3.76312312637869</v>
      </c>
      <c r="AG1736">
        <v>-1.1077908485079999</v>
      </c>
      <c r="AH1736">
        <v>5.1875638113750098</v>
      </c>
      <c r="AI1736">
        <v>99.807029047211799</v>
      </c>
      <c r="AJ1736">
        <v>54.042403144089597</v>
      </c>
      <c r="AK1736">
        <v>6.5037769430855903</v>
      </c>
      <c r="AL1736">
        <v>87.710120535609306</v>
      </c>
      <c r="AM1736">
        <v>75.784562529101805</v>
      </c>
      <c r="AN1736">
        <v>1.0000000616106799</v>
      </c>
    </row>
    <row r="1737" spans="1:40" x14ac:dyDescent="0.25">
      <c r="A1737" t="str">
        <f>"20190312153920790"</f>
        <v>20190312153920790</v>
      </c>
      <c r="B1737" t="str">
        <f>"1552376360777435"</f>
        <v>1552376360777435</v>
      </c>
      <c r="C1737" t="s">
        <v>40</v>
      </c>
      <c r="D1737">
        <v>4.5505829999999996</v>
      </c>
      <c r="E1737">
        <v>0.64944979999999997</v>
      </c>
      <c r="F1737" t="s">
        <v>49</v>
      </c>
      <c r="G1737">
        <v>-195.29339999999999</v>
      </c>
      <c r="H1737" s="1">
        <v>-2.6825769999999999E-6</v>
      </c>
      <c r="I1737">
        <v>351.7552</v>
      </c>
      <c r="J1737">
        <v>-195.9821</v>
      </c>
      <c r="K1737">
        <v>1.1077889999999999</v>
      </c>
      <c r="L1737">
        <v>358.50040000000001</v>
      </c>
      <c r="M1737">
        <v>0.66297249999999996</v>
      </c>
      <c r="N1737">
        <v>0</v>
      </c>
      <c r="O1737">
        <v>-0.74850919999999999</v>
      </c>
      <c r="P1737">
        <v>0.46042040000000001</v>
      </c>
      <c r="Q1737">
        <v>2.6752720000000001E-2</v>
      </c>
      <c r="R1737">
        <v>-0.88729809999999998</v>
      </c>
      <c r="S1737">
        <v>0.35263060000000002</v>
      </c>
      <c r="T1737">
        <v>-0.52317820000000004</v>
      </c>
      <c r="U1737">
        <v>-3.2219540000000002</v>
      </c>
      <c r="V1737">
        <v>0.24391840000000001</v>
      </c>
      <c r="W1737">
        <v>3.8865610000000002E-2</v>
      </c>
      <c r="X1737">
        <v>0.96901669999999995</v>
      </c>
      <c r="Y1737">
        <v>0.5772581</v>
      </c>
      <c r="Z1737">
        <v>8.5922899999999997E-2</v>
      </c>
      <c r="AA1737">
        <v>0.81202849999999904</v>
      </c>
      <c r="AB1737">
        <v>12</v>
      </c>
      <c r="AC1737">
        <v>0.68870000000001097</v>
      </c>
      <c r="AD1737">
        <v>-1.107791682577</v>
      </c>
      <c r="AE1737">
        <v>-6.7452000000000103</v>
      </c>
      <c r="AF1737">
        <v>3.85390415631172</v>
      </c>
      <c r="AG1737">
        <v>-1.107791682577</v>
      </c>
      <c r="AH1737">
        <v>5.3628297168967203</v>
      </c>
      <c r="AI1737">
        <v>99.522488774798902</v>
      </c>
      <c r="AJ1737">
        <v>54.297744857996598</v>
      </c>
      <c r="AK1737">
        <v>6.6962468764565504</v>
      </c>
      <c r="AL1737">
        <v>87.772603674582498</v>
      </c>
      <c r="AM1737">
        <v>75.871180485264702</v>
      </c>
      <c r="AN1737">
        <v>1.0000000431890601</v>
      </c>
    </row>
    <row r="1738" spans="1:40" x14ac:dyDescent="0.25">
      <c r="A1738" t="str">
        <f>"20190312153920812"</f>
        <v>20190312153920812</v>
      </c>
      <c r="B1738" t="str">
        <f>"1552376360807692"</f>
        <v>1552376360807692</v>
      </c>
      <c r="C1738" t="s">
        <v>40</v>
      </c>
      <c r="D1738">
        <v>4.5091789999999996</v>
      </c>
      <c r="E1738">
        <v>0.64758389999999999</v>
      </c>
      <c r="F1738" t="s">
        <v>49</v>
      </c>
      <c r="G1738">
        <v>-195.25829999999999</v>
      </c>
      <c r="H1738" s="1">
        <v>-2.5949849999999999E-6</v>
      </c>
      <c r="I1738">
        <v>351.62299999999999</v>
      </c>
      <c r="J1738">
        <v>-195.90940000000001</v>
      </c>
      <c r="K1738">
        <v>1.107809</v>
      </c>
      <c r="L1738">
        <v>358.40219999999999</v>
      </c>
      <c r="M1738">
        <v>0.65626319999999905</v>
      </c>
      <c r="N1738">
        <v>0</v>
      </c>
      <c r="O1738">
        <v>-0.75439869999999898</v>
      </c>
      <c r="P1738">
        <v>0.45315870000000003</v>
      </c>
      <c r="Q1738">
        <v>2.6960270000000001E-2</v>
      </c>
      <c r="R1738">
        <v>-0.8910226</v>
      </c>
      <c r="S1738">
        <v>0.3389587</v>
      </c>
      <c r="T1738">
        <v>-0.51880000000000004</v>
      </c>
      <c r="U1738">
        <v>-3.2207949999999999</v>
      </c>
      <c r="V1738">
        <v>0.2431758</v>
      </c>
      <c r="W1738">
        <v>3.9080499999999997E-2</v>
      </c>
      <c r="X1738">
        <v>0.96919469999999996</v>
      </c>
      <c r="Y1738">
        <v>0.5733859</v>
      </c>
      <c r="Z1738">
        <v>8.6822529999999995E-2</v>
      </c>
      <c r="AA1738">
        <v>0.81467199999999995</v>
      </c>
      <c r="AB1738">
        <v>12</v>
      </c>
      <c r="AC1738">
        <v>0.651100000000013</v>
      </c>
      <c r="AD1738">
        <v>-1.107811594985</v>
      </c>
      <c r="AE1738">
        <v>-6.7791999999999399</v>
      </c>
      <c r="AF1738">
        <v>3.8561165122528398</v>
      </c>
      <c r="AG1738">
        <v>-1.107811594985</v>
      </c>
      <c r="AH1738">
        <v>5.3992080664489803</v>
      </c>
      <c r="AI1738">
        <v>99.479169252482507</v>
      </c>
      <c r="AJ1738">
        <v>54.465559426360798</v>
      </c>
      <c r="AK1738">
        <v>6.7266878053660299</v>
      </c>
      <c r="AL1738">
        <v>87.760282063372898</v>
      </c>
      <c r="AM1738">
        <v>75.914964199791996</v>
      </c>
      <c r="AN1738">
        <v>1.0000000608469799</v>
      </c>
    </row>
    <row r="1739" spans="1:40" x14ac:dyDescent="0.25">
      <c r="A1739" t="str">
        <f>"20190312153920825"</f>
        <v>20190312153920825</v>
      </c>
      <c r="B1739" t="str">
        <f>"1552376360817452"</f>
        <v>1552376360817452</v>
      </c>
      <c r="C1739" t="s">
        <v>40</v>
      </c>
      <c r="D1739">
        <v>4.5271970000000001</v>
      </c>
      <c r="E1739">
        <v>0.64693489999999998</v>
      </c>
      <c r="F1739" t="s">
        <v>49</v>
      </c>
      <c r="G1739">
        <v>-195.2022</v>
      </c>
      <c r="H1739" s="1">
        <v>-2.450268E-6</v>
      </c>
      <c r="I1739">
        <v>351.40370000000001</v>
      </c>
      <c r="J1739">
        <v>-195.87029999999999</v>
      </c>
      <c r="K1739">
        <v>1.10782</v>
      </c>
      <c r="L1739">
        <v>358.34859999999998</v>
      </c>
      <c r="M1739">
        <v>0.65259709999999904</v>
      </c>
      <c r="N1739">
        <v>0</v>
      </c>
      <c r="O1739">
        <v>-0.75757249999999998</v>
      </c>
      <c r="P1739">
        <v>0.4493374</v>
      </c>
      <c r="Q1739">
        <v>2.687931E-2</v>
      </c>
      <c r="R1739">
        <v>-0.89295769999999997</v>
      </c>
      <c r="S1739">
        <v>0.32507320000000001</v>
      </c>
      <c r="T1739">
        <v>-0.50923469999999904</v>
      </c>
      <c r="U1739">
        <v>-3.217041</v>
      </c>
      <c r="V1739">
        <v>0.2426275</v>
      </c>
      <c r="W1739">
        <v>3.9005699999999997E-2</v>
      </c>
      <c r="X1739">
        <v>0.96933510000000001</v>
      </c>
      <c r="Y1739">
        <v>0.57282089999999997</v>
      </c>
      <c r="Z1739">
        <v>8.609733E-2</v>
      </c>
      <c r="AA1739">
        <v>0.81514629999999999</v>
      </c>
      <c r="AB1739">
        <v>12</v>
      </c>
      <c r="AC1739">
        <v>0.66809999999998104</v>
      </c>
      <c r="AD1739">
        <v>-1.1078224502680001</v>
      </c>
      <c r="AE1739">
        <v>-6.9448999999999597</v>
      </c>
      <c r="AF1739">
        <v>3.9274724426343801</v>
      </c>
      <c r="AG1739">
        <v>-1.1078224502680001</v>
      </c>
      <c r="AH1739">
        <v>5.5577165810741</v>
      </c>
      <c r="AI1739">
        <v>99.245860269276704</v>
      </c>
      <c r="AJ1739">
        <v>54.752291608777</v>
      </c>
      <c r="AK1739">
        <v>6.8949636666567198</v>
      </c>
      <c r="AL1739">
        <v>87.764571016045707</v>
      </c>
      <c r="AM1739">
        <v>75.947417373332698</v>
      </c>
      <c r="AN1739">
        <v>1.0000000422403701</v>
      </c>
    </row>
    <row r="1740" spans="1:40" x14ac:dyDescent="0.25">
      <c r="A1740" t="str">
        <f>"20190312153920837"</f>
        <v>20190312153920837</v>
      </c>
      <c r="B1740" t="str">
        <f>"1552376360827211"</f>
        <v>1552376360827211</v>
      </c>
      <c r="C1740" t="s">
        <v>40</v>
      </c>
      <c r="D1740">
        <v>4.5172589999999904</v>
      </c>
      <c r="E1740">
        <v>0.64632069999999997</v>
      </c>
      <c r="F1740" t="s">
        <v>49</v>
      </c>
      <c r="G1740">
        <v>-195.18780000000001</v>
      </c>
      <c r="H1740" s="1">
        <v>-2.4416169999999999E-6</v>
      </c>
      <c r="I1740">
        <v>351.3956</v>
      </c>
      <c r="J1740">
        <v>-195.828</v>
      </c>
      <c r="K1740">
        <v>1.107831</v>
      </c>
      <c r="L1740">
        <v>358.29</v>
      </c>
      <c r="M1740">
        <v>0.64858450000000001</v>
      </c>
      <c r="N1740">
        <v>0</v>
      </c>
      <c r="O1740">
        <v>-0.76101090000000005</v>
      </c>
      <c r="P1740">
        <v>0.44495449999999998</v>
      </c>
      <c r="Q1740">
        <v>2.6846769999999999E-2</v>
      </c>
      <c r="R1740">
        <v>-0.89515100000000003</v>
      </c>
      <c r="S1740">
        <v>0.31571959999999999</v>
      </c>
      <c r="T1740">
        <v>-0.51242659999999995</v>
      </c>
      <c r="U1740">
        <v>-3.2161249999999999</v>
      </c>
      <c r="V1740">
        <v>0.2422559</v>
      </c>
      <c r="W1740">
        <v>3.8977110000000002E-2</v>
      </c>
      <c r="X1740">
        <v>0.96942910000000004</v>
      </c>
      <c r="Y1740">
        <v>0.57082880000000003</v>
      </c>
      <c r="Z1740">
        <v>8.7544709999999998E-2</v>
      </c>
      <c r="AA1740">
        <v>0.81638869999999997</v>
      </c>
      <c r="AB1740">
        <v>12</v>
      </c>
      <c r="AC1740">
        <v>0.640199999999992</v>
      </c>
      <c r="AD1740">
        <v>-1.1078334416169999</v>
      </c>
      <c r="AE1740">
        <v>-6.8944000000000099</v>
      </c>
      <c r="AF1740">
        <v>3.8853396157933102</v>
      </c>
      <c r="AG1740">
        <v>-1.1078334416169999</v>
      </c>
      <c r="AH1740">
        <v>5.5211674383915401</v>
      </c>
      <c r="AI1740">
        <v>99.318814904199897</v>
      </c>
      <c r="AJ1740">
        <v>54.865295841170401</v>
      </c>
      <c r="AK1740">
        <v>6.8415238614780103</v>
      </c>
      <c r="AL1740">
        <v>87.766210160808399</v>
      </c>
      <c r="AM1740">
        <v>75.969395754093895</v>
      </c>
      <c r="AN1740">
        <v>0.99999995805778497</v>
      </c>
    </row>
    <row r="1741" spans="1:40" x14ac:dyDescent="0.25">
      <c r="A1741" t="str">
        <f>"20190312153920858"</f>
        <v>20190312153920858</v>
      </c>
      <c r="B1741" t="str">
        <f>"1552376360847708"</f>
        <v>1552376360847708</v>
      </c>
      <c r="C1741" t="s">
        <v>40</v>
      </c>
      <c r="D1741">
        <v>4.5082979999999999</v>
      </c>
      <c r="E1741">
        <v>0.64543549999999905</v>
      </c>
      <c r="F1741" t="s">
        <v>49</v>
      </c>
      <c r="G1741">
        <v>-195.173</v>
      </c>
      <c r="H1741" s="1">
        <v>-2.4173379999999999E-6</v>
      </c>
      <c r="I1741">
        <v>351.3612</v>
      </c>
      <c r="J1741">
        <v>-195.7655</v>
      </c>
      <c r="K1741">
        <v>1.1078520000000001</v>
      </c>
      <c r="L1741">
        <v>358.20229999999998</v>
      </c>
      <c r="M1741">
        <v>0.64257869999999995</v>
      </c>
      <c r="N1741">
        <v>0</v>
      </c>
      <c r="O1741">
        <v>-0.76608880000000001</v>
      </c>
      <c r="P1741">
        <v>0.43858439999999999</v>
      </c>
      <c r="Q1741">
        <v>2.6936620000000001E-2</v>
      </c>
      <c r="R1741">
        <v>-0.89828660000000005</v>
      </c>
      <c r="S1741">
        <v>0.30397030000000003</v>
      </c>
      <c r="T1741">
        <v>-0.5141597</v>
      </c>
      <c r="U1741">
        <v>-3.2157290000000001</v>
      </c>
      <c r="V1741">
        <v>0.2415138</v>
      </c>
      <c r="W1741">
        <v>3.9077170000000001E-2</v>
      </c>
      <c r="X1741">
        <v>0.96961030000000004</v>
      </c>
      <c r="Y1741">
        <v>0.56734289999999998</v>
      </c>
      <c r="Z1741">
        <v>8.9202169999999997E-2</v>
      </c>
      <c r="AA1741">
        <v>0.81863609999999998</v>
      </c>
      <c r="AB1741">
        <v>12</v>
      </c>
      <c r="AC1741">
        <v>0.59250000000000103</v>
      </c>
      <c r="AD1741">
        <v>-1.1078544173379901</v>
      </c>
      <c r="AE1741">
        <v>-6.8410999999999804</v>
      </c>
      <c r="AF1741">
        <v>3.84241623712547</v>
      </c>
      <c r="AG1741">
        <v>-1.1078544173379901</v>
      </c>
      <c r="AH1741">
        <v>5.4795511197304201</v>
      </c>
      <c r="AI1741">
        <v>99.3993096570006</v>
      </c>
      <c r="AJ1741">
        <v>54.960775120892798</v>
      </c>
      <c r="AK1741">
        <v>6.7835819758501996</v>
      </c>
      <c r="AL1741">
        <v>87.760472951480295</v>
      </c>
      <c r="AM1741">
        <v>76.013196920425102</v>
      </c>
      <c r="AN1741">
        <v>1.00000003733586</v>
      </c>
    </row>
    <row r="1742" spans="1:40" x14ac:dyDescent="0.25">
      <c r="A1742" t="str">
        <f>"20190312153920871"</f>
        <v>20190312153920871</v>
      </c>
      <c r="B1742" t="str">
        <f>"1552376360867228"</f>
        <v>1552376360867228</v>
      </c>
      <c r="C1742" t="s">
        <v>40</v>
      </c>
      <c r="D1742">
        <v>4.4963360000000003</v>
      </c>
      <c r="E1742">
        <v>0.64591069999999995</v>
      </c>
      <c r="F1742" t="s">
        <v>49</v>
      </c>
      <c r="G1742">
        <v>-195.14750000000001</v>
      </c>
      <c r="H1742" s="1">
        <v>-2.3576449999999999E-6</v>
      </c>
      <c r="I1742">
        <v>351.27190000000002</v>
      </c>
      <c r="J1742">
        <v>-195.72499999999999</v>
      </c>
      <c r="K1742">
        <v>1.107866</v>
      </c>
      <c r="L1742">
        <v>358.14449999999999</v>
      </c>
      <c r="M1742">
        <v>0.63862489999999905</v>
      </c>
      <c r="N1742">
        <v>0</v>
      </c>
      <c r="O1742">
        <v>-0.76938819999999997</v>
      </c>
      <c r="P1742">
        <v>0.4343458</v>
      </c>
      <c r="Q1742">
        <v>2.676222E-2</v>
      </c>
      <c r="R1742">
        <v>-0.90034879999999995</v>
      </c>
      <c r="S1742">
        <v>0.28672789999999998</v>
      </c>
      <c r="T1742">
        <v>-0.51394929999999905</v>
      </c>
      <c r="U1742">
        <v>-3.2151179999999999</v>
      </c>
      <c r="V1742">
        <v>0.24109079999999999</v>
      </c>
      <c r="W1742">
        <v>3.8909449999999998E-2</v>
      </c>
      <c r="X1742">
        <v>0.96972230000000004</v>
      </c>
      <c r="Y1742">
        <v>0.56745249999999903</v>
      </c>
      <c r="Z1742">
        <v>8.9928449999999993E-2</v>
      </c>
      <c r="AA1742">
        <v>0.8184806</v>
      </c>
      <c r="AB1742">
        <v>12</v>
      </c>
      <c r="AC1742">
        <v>0.57749999999998602</v>
      </c>
      <c r="AD1742">
        <v>-1.1078683576449999</v>
      </c>
      <c r="AE1742">
        <v>-6.8725999999999701</v>
      </c>
      <c r="AF1742">
        <v>3.8458500494291399</v>
      </c>
      <c r="AG1742">
        <v>-1.1078683576449999</v>
      </c>
      <c r="AH1742">
        <v>5.5147687805893204</v>
      </c>
      <c r="AI1742">
        <v>99.3570901896137</v>
      </c>
      <c r="AJ1742">
        <v>55.1091275683196</v>
      </c>
      <c r="AK1742">
        <v>6.8140009982335403</v>
      </c>
      <c r="AL1742">
        <v>87.770089894937698</v>
      </c>
      <c r="AM1742">
        <v>76.038284476095797</v>
      </c>
      <c r="AN1742">
        <v>1.0000000291306099</v>
      </c>
    </row>
    <row r="1743" spans="1:40" x14ac:dyDescent="0.25">
      <c r="A1743" t="str">
        <f>"20190312153920886"</f>
        <v>20190312153920886</v>
      </c>
      <c r="B1743" t="str">
        <f>"1552376360876988"</f>
        <v>1552376360876988</v>
      </c>
      <c r="C1743" t="s">
        <v>40</v>
      </c>
      <c r="D1743">
        <v>4.4750209999999999</v>
      </c>
      <c r="E1743">
        <v>0.6462078</v>
      </c>
      <c r="F1743" t="s">
        <v>49</v>
      </c>
      <c r="G1743">
        <v>-195.1422</v>
      </c>
      <c r="H1743" s="1">
        <v>-2.275627E-6</v>
      </c>
      <c r="I1743">
        <v>351.13569999999999</v>
      </c>
      <c r="J1743">
        <v>-195.6815</v>
      </c>
      <c r="K1743">
        <v>1.107882</v>
      </c>
      <c r="L1743">
        <v>358.08190000000002</v>
      </c>
      <c r="M1743">
        <v>0.63434140000000006</v>
      </c>
      <c r="N1743">
        <v>0</v>
      </c>
      <c r="O1743">
        <v>-0.77292349999999999</v>
      </c>
      <c r="P1743">
        <v>0.42969209999999902</v>
      </c>
      <c r="Q1743">
        <v>2.646602E-2</v>
      </c>
      <c r="R1743">
        <v>-0.90258769999999999</v>
      </c>
      <c r="S1743">
        <v>0.26759339999999998</v>
      </c>
      <c r="T1743">
        <v>-0.50867439999999997</v>
      </c>
      <c r="U1743">
        <v>-3.2180789999999999</v>
      </c>
      <c r="V1743">
        <v>0.24071219999999999</v>
      </c>
      <c r="W1743">
        <v>3.8620229999999998E-2</v>
      </c>
      <c r="X1743">
        <v>0.96982789999999996</v>
      </c>
      <c r="Y1743">
        <v>0.56779569999999902</v>
      </c>
      <c r="Z1743">
        <v>8.9721700000000001E-2</v>
      </c>
      <c r="AA1743">
        <v>0.81826529999999997</v>
      </c>
      <c r="AB1743">
        <v>12</v>
      </c>
      <c r="AC1743">
        <v>0.539299999999997</v>
      </c>
      <c r="AD1743">
        <v>-1.107884275627</v>
      </c>
      <c r="AE1743">
        <v>-6.9462000000000304</v>
      </c>
      <c r="AF1743">
        <v>3.8914246083988902</v>
      </c>
      <c r="AG1743">
        <v>-1.107884275627</v>
      </c>
      <c r="AH1743">
        <v>5.5706916067774799</v>
      </c>
      <c r="AI1743">
        <v>99.259882042389293</v>
      </c>
      <c r="AJ1743">
        <v>55.063651103343098</v>
      </c>
      <c r="AK1743">
        <v>6.8849980413109204</v>
      </c>
      <c r="AL1743">
        <v>87.786673425605997</v>
      </c>
      <c r="AM1743">
        <v>76.060812425859297</v>
      </c>
      <c r="AN1743">
        <v>1.00000002050625</v>
      </c>
    </row>
    <row r="1744" spans="1:40" x14ac:dyDescent="0.25">
      <c r="A1744" t="str">
        <f>"20190312153920903"</f>
        <v>20190312153920903</v>
      </c>
      <c r="B1744" t="str">
        <f>"1552376360897399"</f>
        <v>1552376360897399</v>
      </c>
      <c r="C1744" t="s">
        <v>40</v>
      </c>
      <c r="D1744">
        <v>4.4716420000000001</v>
      </c>
      <c r="E1744">
        <v>0.64636549999999904</v>
      </c>
      <c r="F1744" t="s">
        <v>49</v>
      </c>
      <c r="G1744">
        <v>-195.13990000000001</v>
      </c>
      <c r="H1744" s="1">
        <v>-2.2262450000000001E-6</v>
      </c>
      <c r="I1744">
        <v>351.05329999999998</v>
      </c>
      <c r="J1744">
        <v>-195.6292</v>
      </c>
      <c r="K1744">
        <v>1.107901</v>
      </c>
      <c r="L1744">
        <v>358.00560000000002</v>
      </c>
      <c r="M1744">
        <v>0.62912230000000002</v>
      </c>
      <c r="N1744">
        <v>0</v>
      </c>
      <c r="O1744">
        <v>-0.77717769999999897</v>
      </c>
      <c r="P1744">
        <v>0.42498730000000001</v>
      </c>
      <c r="Q1744">
        <v>2.589576E-2</v>
      </c>
      <c r="R1744">
        <v>-0.90482879999999999</v>
      </c>
      <c r="S1744">
        <v>0.24818419999999999</v>
      </c>
      <c r="T1744">
        <v>-0.50763829999999999</v>
      </c>
      <c r="U1744">
        <v>-3.2205509999999999</v>
      </c>
      <c r="V1744">
        <v>0.2392339</v>
      </c>
      <c r="W1744">
        <v>3.8069409999999998E-2</v>
      </c>
      <c r="X1744">
        <v>0.97021539999999995</v>
      </c>
      <c r="Y1744">
        <v>0.56722309999999998</v>
      </c>
      <c r="Z1744">
        <v>9.0465370000000003E-2</v>
      </c>
      <c r="AA1744">
        <v>0.81858050000000004</v>
      </c>
      <c r="AB1744">
        <v>12</v>
      </c>
      <c r="AC1744">
        <v>0.48929999999998502</v>
      </c>
      <c r="AD1744">
        <v>-1.1079032262449999</v>
      </c>
      <c r="AE1744">
        <v>-6.9523000000000303</v>
      </c>
      <c r="AF1744">
        <v>3.89553411005922</v>
      </c>
      <c r="AG1744">
        <v>-1.1079032262449999</v>
      </c>
      <c r="AH1744">
        <v>5.5708004423616204</v>
      </c>
      <c r="AI1744">
        <v>99.256766855894</v>
      </c>
      <c r="AJ1744">
        <v>55.0357808716237</v>
      </c>
      <c r="AK1744">
        <v>6.8874126586095699</v>
      </c>
      <c r="AL1744">
        <v>87.8182563358545</v>
      </c>
      <c r="AM1744">
        <v>76.148430372257707</v>
      </c>
      <c r="AN1744">
        <v>1.00000003064205</v>
      </c>
    </row>
    <row r="1745" spans="1:40" x14ac:dyDescent="0.25">
      <c r="A1745" t="str">
        <f>"20190312153920918"</f>
        <v>20190312153920918</v>
      </c>
      <c r="B1745" t="str">
        <f>"1552376360907160"</f>
        <v>1552376360907160</v>
      </c>
      <c r="C1745" t="s">
        <v>40</v>
      </c>
      <c r="D1745">
        <v>4.505382</v>
      </c>
      <c r="E1745">
        <v>0.64640609999999998</v>
      </c>
      <c r="F1745" t="s">
        <v>49</v>
      </c>
      <c r="G1745">
        <v>-195.12350000000001</v>
      </c>
      <c r="H1745" s="1">
        <v>-2.129643E-6</v>
      </c>
      <c r="I1745">
        <v>350.89749999999998</v>
      </c>
      <c r="J1745">
        <v>-195.5848</v>
      </c>
      <c r="K1745">
        <v>1.1079220000000001</v>
      </c>
      <c r="L1745">
        <v>357.94009999999997</v>
      </c>
      <c r="M1745">
        <v>0.6246469</v>
      </c>
      <c r="N1745">
        <v>0</v>
      </c>
      <c r="O1745">
        <v>-0.78077940000000001</v>
      </c>
      <c r="P1745">
        <v>0.42016559999999997</v>
      </c>
      <c r="Q1745">
        <v>2.585726E-2</v>
      </c>
      <c r="R1745">
        <v>-0.90707899999999997</v>
      </c>
      <c r="S1745">
        <v>0.22923279999999999</v>
      </c>
      <c r="T1745">
        <v>-0.50223309999999999</v>
      </c>
      <c r="U1745">
        <v>-3.2222599999999999</v>
      </c>
      <c r="V1745">
        <v>0.2388217</v>
      </c>
      <c r="W1745">
        <v>3.8039389999999999E-2</v>
      </c>
      <c r="X1745">
        <v>0.97031809999999996</v>
      </c>
      <c r="Y1745">
        <v>0.56733319999999998</v>
      </c>
      <c r="Z1745">
        <v>9.0270970000000006E-2</v>
      </c>
      <c r="AA1745">
        <v>0.81852569999999902</v>
      </c>
      <c r="AB1745">
        <v>12</v>
      </c>
      <c r="AC1745">
        <v>0.46129999999999399</v>
      </c>
      <c r="AD1745">
        <v>-1.10792412964299</v>
      </c>
      <c r="AE1745">
        <v>-7.0425999999999904</v>
      </c>
      <c r="AF1745">
        <v>3.9422198618736699</v>
      </c>
      <c r="AG1745">
        <v>-1.10792412964299</v>
      </c>
      <c r="AH1745">
        <v>5.6482544648472803</v>
      </c>
      <c r="AI1745">
        <v>99.137733119465494</v>
      </c>
      <c r="AJ1745">
        <v>55.086744596259997</v>
      </c>
      <c r="AK1745">
        <v>6.9764870684366498</v>
      </c>
      <c r="AL1745">
        <v>87.819977551143793</v>
      </c>
      <c r="AM1745">
        <v>76.172787250480695</v>
      </c>
      <c r="AN1745">
        <v>1.0000000073850299</v>
      </c>
    </row>
    <row r="1746" spans="1:40" x14ac:dyDescent="0.25">
      <c r="A1746" t="str">
        <f>"20190312153920937"</f>
        <v>20190312153920937</v>
      </c>
      <c r="B1746" t="str">
        <f>"1552376360927656"</f>
        <v>1552376360927656</v>
      </c>
      <c r="C1746" t="s">
        <v>40</v>
      </c>
      <c r="D1746">
        <v>4.5223890000000004</v>
      </c>
      <c r="E1746">
        <v>0.64631309999999997</v>
      </c>
      <c r="F1746" t="s">
        <v>49</v>
      </c>
      <c r="G1746">
        <v>-195.11619999999999</v>
      </c>
      <c r="H1746" s="1">
        <v>-2.0686080000000002E-6</v>
      </c>
      <c r="I1746">
        <v>350.79759999999999</v>
      </c>
      <c r="J1746">
        <v>-195.52930000000001</v>
      </c>
      <c r="K1746">
        <v>1.1079460000000001</v>
      </c>
      <c r="L1746">
        <v>357.8571</v>
      </c>
      <c r="M1746">
        <v>0.61898569999999997</v>
      </c>
      <c r="N1746">
        <v>0</v>
      </c>
      <c r="O1746">
        <v>-0.78527530000000001</v>
      </c>
      <c r="P1746">
        <v>0.41496050000000001</v>
      </c>
      <c r="Q1746">
        <v>2.5572629999999999E-2</v>
      </c>
      <c r="R1746">
        <v>-0.90948019999999996</v>
      </c>
      <c r="S1746">
        <v>0.2114868</v>
      </c>
      <c r="T1746">
        <v>-0.50003779999999998</v>
      </c>
      <c r="U1746">
        <v>-3.2236020000000001</v>
      </c>
      <c r="V1746">
        <v>0.23736640000000001</v>
      </c>
      <c r="W1746">
        <v>3.7775889999999999E-2</v>
      </c>
      <c r="X1746">
        <v>0.97068540000000003</v>
      </c>
      <c r="Y1746">
        <v>0.5659111</v>
      </c>
      <c r="Z1746">
        <v>9.0924779999999997E-2</v>
      </c>
      <c r="AA1746">
        <v>0.81943719999999998</v>
      </c>
      <c r="AB1746">
        <v>11</v>
      </c>
      <c r="AC1746">
        <v>0.41310000000001401</v>
      </c>
      <c r="AD1746">
        <v>-1.1079480686080001</v>
      </c>
      <c r="AE1746">
        <v>-7.0595000000000097</v>
      </c>
      <c r="AF1746">
        <v>3.9488026884874601</v>
      </c>
      <c r="AG1746">
        <v>-1.1079480686080001</v>
      </c>
      <c r="AH1746">
        <v>5.6609699113060996</v>
      </c>
      <c r="AI1746">
        <v>99.119450530824196</v>
      </c>
      <c r="AJ1746">
        <v>55.1023462550761</v>
      </c>
      <c r="AK1746">
        <v>6.9905058423586901</v>
      </c>
      <c r="AL1746">
        <v>87.835085801235905</v>
      </c>
      <c r="AM1746">
        <v>76.258844484208097</v>
      </c>
      <c r="AN1746">
        <v>0.99999998574370597</v>
      </c>
    </row>
    <row r="1747" spans="1:40" x14ac:dyDescent="0.25">
      <c r="A1747" t="str">
        <f>"20190312153920952"</f>
        <v>20190312153920952</v>
      </c>
      <c r="B1747" t="str">
        <f>"1552376360947176"</f>
        <v>1552376360947176</v>
      </c>
      <c r="C1747" t="s">
        <v>40</v>
      </c>
      <c r="D1747">
        <v>4.5182799999999999</v>
      </c>
      <c r="E1747">
        <v>0.64604680000000003</v>
      </c>
      <c r="F1747" t="s">
        <v>49</v>
      </c>
      <c r="G1747">
        <v>-195.09809999999999</v>
      </c>
      <c r="H1747" s="1">
        <v>-1.9755629999999998E-6</v>
      </c>
      <c r="I1747">
        <v>350.64859999999999</v>
      </c>
      <c r="J1747">
        <v>-195.48599999999999</v>
      </c>
      <c r="K1747">
        <v>1.1079699999999999</v>
      </c>
      <c r="L1747">
        <v>357.79109999999997</v>
      </c>
      <c r="M1747">
        <v>0.61450559999999999</v>
      </c>
      <c r="N1747">
        <v>0</v>
      </c>
      <c r="O1747">
        <v>-0.78878609999999905</v>
      </c>
      <c r="P1747">
        <v>0.41022579999999997</v>
      </c>
      <c r="Q1747">
        <v>2.5446880000000002E-2</v>
      </c>
      <c r="R1747">
        <v>-0.91162900000000002</v>
      </c>
      <c r="S1747">
        <v>0.1929169</v>
      </c>
      <c r="T1747">
        <v>-0.4956064</v>
      </c>
      <c r="U1747">
        <v>-3.2244869999999999</v>
      </c>
      <c r="V1747">
        <v>0.23688690000000001</v>
      </c>
      <c r="W1747">
        <v>3.7661050000000001E-2</v>
      </c>
      <c r="X1747">
        <v>0.97080699999999998</v>
      </c>
      <c r="Y1747">
        <v>0.56595130000000005</v>
      </c>
      <c r="Z1747">
        <v>9.0880890000000006E-2</v>
      </c>
      <c r="AA1747">
        <v>0.81941430000000004</v>
      </c>
      <c r="AB1747">
        <v>11</v>
      </c>
      <c r="AC1747">
        <v>0.38790000000000102</v>
      </c>
      <c r="AD1747">
        <v>-1.107971975563</v>
      </c>
      <c r="AE1747">
        <v>-7.1424999999999796</v>
      </c>
      <c r="AF1747">
        <v>3.9878638040039802</v>
      </c>
      <c r="AG1747">
        <v>-1.107971975563</v>
      </c>
      <c r="AH1747">
        <v>5.7352530118182701</v>
      </c>
      <c r="AI1747">
        <v>99.012714622845607</v>
      </c>
      <c r="AJ1747">
        <v>55.188151933002203</v>
      </c>
      <c r="AK1747">
        <v>7.0727495875005104</v>
      </c>
      <c r="AL1747">
        <v>87.841670353433102</v>
      </c>
      <c r="AM1747">
        <v>76.287206564267706</v>
      </c>
      <c r="AN1747">
        <v>0.99999999466385603</v>
      </c>
    </row>
    <row r="1748" spans="1:40" x14ac:dyDescent="0.25">
      <c r="A1748" t="str">
        <f>"20190312153920969"</f>
        <v>20190312153920969</v>
      </c>
      <c r="B1748" t="str">
        <f>"1552376360956936"</f>
        <v>1552376360956936</v>
      </c>
      <c r="C1748" t="s">
        <v>40</v>
      </c>
      <c r="D1748">
        <v>4.5132479999999999</v>
      </c>
      <c r="E1748">
        <v>0.6458834</v>
      </c>
      <c r="F1748" t="s">
        <v>49</v>
      </c>
      <c r="G1748">
        <v>-195.08590000000001</v>
      </c>
      <c r="H1748" s="1">
        <v>-1.8933219999999999E-6</v>
      </c>
      <c r="I1748">
        <v>350.51510000000002</v>
      </c>
      <c r="J1748">
        <v>-195.4365</v>
      </c>
      <c r="K1748">
        <v>1.1080000000000001</v>
      </c>
      <c r="L1748">
        <v>357.71510000000001</v>
      </c>
      <c r="M1748">
        <v>0.60936040000000002</v>
      </c>
      <c r="N1748">
        <v>0</v>
      </c>
      <c r="O1748">
        <v>-0.79276809999999998</v>
      </c>
      <c r="P1748">
        <v>0.40555099999999999</v>
      </c>
      <c r="Q1748">
        <v>2.5279889999999999E-2</v>
      </c>
      <c r="R1748">
        <v>-0.9137229</v>
      </c>
      <c r="S1748">
        <v>0.1773071</v>
      </c>
      <c r="T1748">
        <v>-0.49105680000000002</v>
      </c>
      <c r="U1748">
        <v>-3.2247309999999998</v>
      </c>
      <c r="V1748">
        <v>0.23554059999999999</v>
      </c>
      <c r="W1748">
        <v>3.7514770000000003E-2</v>
      </c>
      <c r="X1748">
        <v>0.97114020000000001</v>
      </c>
      <c r="Y1748">
        <v>0.56456740000000005</v>
      </c>
      <c r="Z1748">
        <v>9.1000910000000004E-2</v>
      </c>
      <c r="AA1748">
        <v>0.820355099999999</v>
      </c>
      <c r="AB1748">
        <v>11</v>
      </c>
      <c r="AC1748">
        <v>0.35059999999998498</v>
      </c>
      <c r="AD1748">
        <v>-1.1080018933219999</v>
      </c>
      <c r="AE1748">
        <v>-7.1999999999999797</v>
      </c>
      <c r="AF1748">
        <v>4.0150007917244901</v>
      </c>
      <c r="AG1748">
        <v>-1.1080018933219999</v>
      </c>
      <c r="AH1748">
        <v>5.7854735674908699</v>
      </c>
      <c r="AI1748">
        <v>98.941528471146896</v>
      </c>
      <c r="AJ1748">
        <v>55.240139818871299</v>
      </c>
      <c r="AK1748">
        <v>7.1287869903153203</v>
      </c>
      <c r="AL1748">
        <v>87.850057540386402</v>
      </c>
      <c r="AM1748">
        <v>76.366726775388898</v>
      </c>
      <c r="AN1748">
        <v>1.00000001013627</v>
      </c>
    </row>
    <row r="1749" spans="1:40" x14ac:dyDescent="0.25">
      <c r="A1749" t="str">
        <f>"20190312153920984"</f>
        <v>20190312153920984</v>
      </c>
      <c r="B1749" t="str">
        <f>"1552376360977432"</f>
        <v>1552376360977432</v>
      </c>
      <c r="C1749" t="s">
        <v>40</v>
      </c>
      <c r="D1749">
        <v>4.5516379999999996</v>
      </c>
      <c r="E1749">
        <v>0.64572130000000005</v>
      </c>
      <c r="F1749" t="s">
        <v>49</v>
      </c>
      <c r="G1749">
        <v>-195.06979999999999</v>
      </c>
      <c r="H1749" s="1">
        <v>-1.821883E-6</v>
      </c>
      <c r="I1749">
        <v>350.40170000000001</v>
      </c>
      <c r="J1749">
        <v>-195.3955</v>
      </c>
      <c r="K1749">
        <v>1.1080319999999999</v>
      </c>
      <c r="L1749">
        <v>357.65120000000002</v>
      </c>
      <c r="M1749">
        <v>0.60505159999999902</v>
      </c>
      <c r="N1749">
        <v>0</v>
      </c>
      <c r="O1749">
        <v>-0.79606180000000004</v>
      </c>
      <c r="P1749">
        <v>0.4009819</v>
      </c>
      <c r="Q1749">
        <v>2.5063970000000001E-2</v>
      </c>
      <c r="R1749">
        <v>-0.91574310000000003</v>
      </c>
      <c r="S1749">
        <v>0.16172790000000001</v>
      </c>
      <c r="T1749">
        <v>-0.48859659999999999</v>
      </c>
      <c r="U1749">
        <v>-3.225006</v>
      </c>
      <c r="V1749">
        <v>0.235123</v>
      </c>
      <c r="W1749">
        <v>3.7310349999999999E-2</v>
      </c>
      <c r="X1749">
        <v>0.97124920000000003</v>
      </c>
      <c r="Y1749">
        <v>0.56406149999999999</v>
      </c>
      <c r="Z1749">
        <v>9.1289200000000001E-2</v>
      </c>
      <c r="AA1749">
        <v>0.82067099999999904</v>
      </c>
      <c r="AB1749">
        <v>11</v>
      </c>
      <c r="AC1749">
        <v>0.32570000000001098</v>
      </c>
      <c r="AD1749">
        <v>-1.1080338218829999</v>
      </c>
      <c r="AE1749">
        <v>-7.24950000000001</v>
      </c>
      <c r="AF1749">
        <v>4.0334186760772397</v>
      </c>
      <c r="AG1749">
        <v>-1.1080338218829999</v>
      </c>
      <c r="AH1749">
        <v>5.8327234648395399</v>
      </c>
      <c r="AI1749">
        <v>98.880577316315097</v>
      </c>
      <c r="AJ1749">
        <v>55.335541043143103</v>
      </c>
      <c r="AK1749">
        <v>7.1775252130699698</v>
      </c>
      <c r="AL1749">
        <v>87.861778015987497</v>
      </c>
      <c r="AM1749">
        <v>76.391468613406801</v>
      </c>
      <c r="AN1749">
        <v>0.99999994792337898</v>
      </c>
    </row>
    <row r="1750" spans="1:40" x14ac:dyDescent="0.25">
      <c r="A1750" t="str">
        <f>"20190312153921002"</f>
        <v>20190312153921002</v>
      </c>
      <c r="B1750" t="str">
        <f>"1552376360997785"</f>
        <v>1552376360997785</v>
      </c>
      <c r="C1750" t="s">
        <v>40</v>
      </c>
      <c r="D1750">
        <v>4.5240499999999999</v>
      </c>
      <c r="E1750">
        <v>0.64519419999999905</v>
      </c>
      <c r="F1750" t="s">
        <v>49</v>
      </c>
      <c r="G1750">
        <v>-195.0615</v>
      </c>
      <c r="H1750" s="1">
        <v>-1.752219E-6</v>
      </c>
      <c r="I1750">
        <v>350.28769999999997</v>
      </c>
      <c r="J1750">
        <v>-195.34190000000001</v>
      </c>
      <c r="K1750">
        <v>1.1080669999999999</v>
      </c>
      <c r="L1750">
        <v>357.5668</v>
      </c>
      <c r="M1750">
        <v>0.59938780000000003</v>
      </c>
      <c r="N1750">
        <v>0</v>
      </c>
      <c r="O1750">
        <v>-0.80033500000000002</v>
      </c>
      <c r="P1750">
        <v>0.39591500000000002</v>
      </c>
      <c r="Q1750">
        <v>2.433424E-2</v>
      </c>
      <c r="R1750">
        <v>-0.91796469999999997</v>
      </c>
      <c r="S1750">
        <v>0.1463013</v>
      </c>
      <c r="T1750">
        <v>-0.48533090000000001</v>
      </c>
      <c r="U1750">
        <v>-3.2252809999999998</v>
      </c>
      <c r="V1750">
        <v>0.23360120000000001</v>
      </c>
      <c r="W1750">
        <v>3.6605110000000003E-2</v>
      </c>
      <c r="X1750">
        <v>0.97164320000000004</v>
      </c>
      <c r="Y1750">
        <v>0.56214430000000004</v>
      </c>
      <c r="Z1750">
        <v>9.1709449999999998E-2</v>
      </c>
      <c r="AA1750">
        <v>0.82193869999999902</v>
      </c>
      <c r="AB1750">
        <v>11</v>
      </c>
      <c r="AC1750">
        <v>0.28040000000001403</v>
      </c>
      <c r="AD1750">
        <v>-1.10806875221899</v>
      </c>
      <c r="AE1750">
        <v>-7.2791000000000201</v>
      </c>
      <c r="AF1750">
        <v>4.04539575140263</v>
      </c>
      <c r="AG1750">
        <v>-1.10806875221899</v>
      </c>
      <c r="AH1750">
        <v>5.8588168853988396</v>
      </c>
      <c r="AI1750">
        <v>98.846141940658796</v>
      </c>
      <c r="AJ1750">
        <v>55.375697988661699</v>
      </c>
      <c r="AK1750">
        <v>7.2054686483076997</v>
      </c>
      <c r="AL1750">
        <v>87.902212988688703</v>
      </c>
      <c r="AM1750">
        <v>76.481585406062607</v>
      </c>
      <c r="AN1750">
        <v>0.99999998141289503</v>
      </c>
    </row>
    <row r="1751" spans="1:40" x14ac:dyDescent="0.25">
      <c r="A1751" t="str">
        <f>"20190312153921018"</f>
        <v>20190312153921018</v>
      </c>
      <c r="B1751" t="str">
        <f>"1552376361007546"</f>
        <v>1552376361007546</v>
      </c>
      <c r="C1751" t="s">
        <v>40</v>
      </c>
      <c r="D1751">
        <v>4.5405519999999999</v>
      </c>
      <c r="E1751">
        <v>0.64488869999999998</v>
      </c>
      <c r="F1751" t="s">
        <v>49</v>
      </c>
      <c r="G1751">
        <v>-195.04060000000001</v>
      </c>
      <c r="H1751" s="1">
        <v>-1.6664390000000001E-6</v>
      </c>
      <c r="I1751">
        <v>350.15219999999999</v>
      </c>
      <c r="J1751">
        <v>-195.29949999999999</v>
      </c>
      <c r="K1751">
        <v>1.1080989999999999</v>
      </c>
      <c r="L1751">
        <v>357.49930000000001</v>
      </c>
      <c r="M1751">
        <v>0.59486890000000003</v>
      </c>
      <c r="N1751">
        <v>0</v>
      </c>
      <c r="O1751">
        <v>-0.80369939999999995</v>
      </c>
      <c r="P1751">
        <v>0.39129900000000001</v>
      </c>
      <c r="Q1751">
        <v>2.4076569999999999E-2</v>
      </c>
      <c r="R1751">
        <v>-0.91994860000000001</v>
      </c>
      <c r="S1751">
        <v>0.13104250000000001</v>
      </c>
      <c r="T1751">
        <v>-0.48186319999999999</v>
      </c>
      <c r="U1751">
        <v>-3.224396</v>
      </c>
      <c r="V1751">
        <v>0.23300609999999999</v>
      </c>
      <c r="W1751">
        <v>3.6360660000000003E-2</v>
      </c>
      <c r="X1751">
        <v>0.97179530000000003</v>
      </c>
      <c r="Y1751">
        <v>0.56137380000000003</v>
      </c>
      <c r="Z1751">
        <v>9.1854149999999996E-2</v>
      </c>
      <c r="AA1751">
        <v>0.82244899999999999</v>
      </c>
      <c r="AB1751">
        <v>11</v>
      </c>
      <c r="AC1751">
        <v>0.25889999999998198</v>
      </c>
      <c r="AD1751">
        <v>-1.1081006664389901</v>
      </c>
      <c r="AE1751">
        <v>-7.34710000000001</v>
      </c>
      <c r="AF1751">
        <v>4.0704206814275397</v>
      </c>
      <c r="AG1751">
        <v>-1.1081006664389901</v>
      </c>
      <c r="AH1751">
        <v>5.9248656270318296</v>
      </c>
      <c r="AI1751">
        <v>98.763298181087094</v>
      </c>
      <c r="AJ1751">
        <v>55.510685143129599</v>
      </c>
      <c r="AK1751">
        <v>7.27325541344032</v>
      </c>
      <c r="AL1751">
        <v>87.916228358572795</v>
      </c>
      <c r="AM1751">
        <v>76.516797882651602</v>
      </c>
      <c r="AN1751">
        <v>1.0000000226674599</v>
      </c>
    </row>
    <row r="1752" spans="1:40" x14ac:dyDescent="0.25">
      <c r="A1752" t="str">
        <f>"20190312153921035"</f>
        <v>20190312153921035</v>
      </c>
      <c r="B1752" t="str">
        <f>"1552376361027068"</f>
        <v>1552376361027068</v>
      </c>
      <c r="C1752" t="s">
        <v>40</v>
      </c>
      <c r="D1752">
        <v>4.5121310000000001</v>
      </c>
      <c r="E1752">
        <v>0.64431799999999995</v>
      </c>
      <c r="F1752" t="s">
        <v>49</v>
      </c>
      <c r="G1752">
        <v>-195.03059999999999</v>
      </c>
      <c r="H1752" s="1">
        <v>-1.610115E-6</v>
      </c>
      <c r="I1752">
        <v>350.06150000000002</v>
      </c>
      <c r="J1752">
        <v>-195.2483</v>
      </c>
      <c r="K1752">
        <v>1.1081369999999999</v>
      </c>
      <c r="L1752">
        <v>357.41640000000001</v>
      </c>
      <c r="M1752">
        <v>0.589368</v>
      </c>
      <c r="N1752">
        <v>0</v>
      </c>
      <c r="O1752">
        <v>-0.80774269999999904</v>
      </c>
      <c r="P1752">
        <v>0.38673390000000002</v>
      </c>
      <c r="Q1752">
        <v>2.365167E-2</v>
      </c>
      <c r="R1752">
        <v>-0.92188809999999999</v>
      </c>
      <c r="S1752">
        <v>0.1165924</v>
      </c>
      <c r="T1752">
        <v>-0.48032079999999999</v>
      </c>
      <c r="U1752">
        <v>-3.2239990000000001</v>
      </c>
      <c r="V1752">
        <v>0.23118739999999999</v>
      </c>
      <c r="W1752">
        <v>3.5960850000000003E-2</v>
      </c>
      <c r="X1752">
        <v>0.97224440000000001</v>
      </c>
      <c r="Y1752">
        <v>0.55941739999999995</v>
      </c>
      <c r="Z1752">
        <v>9.2546139999999999E-2</v>
      </c>
      <c r="AA1752">
        <v>0.82370350000000003</v>
      </c>
      <c r="AB1752">
        <v>11</v>
      </c>
      <c r="AC1752">
        <v>0.217700000000007</v>
      </c>
      <c r="AD1752">
        <v>-1.1081386101149999</v>
      </c>
      <c r="AE1752">
        <v>-7.3548999999999802</v>
      </c>
      <c r="AF1752">
        <v>4.0670636260620796</v>
      </c>
      <c r="AG1752">
        <v>-1.1081386101149999</v>
      </c>
      <c r="AH1752">
        <v>5.9351575163450399</v>
      </c>
      <c r="AI1752">
        <v>98.755694749315794</v>
      </c>
      <c r="AJ1752">
        <v>55.579128546690697</v>
      </c>
      <c r="AK1752">
        <v>7.2797714566799403</v>
      </c>
      <c r="AL1752">
        <v>87.939150697716002</v>
      </c>
      <c r="AM1752">
        <v>76.624198787228394</v>
      </c>
      <c r="AN1752">
        <v>0.99999998499142095</v>
      </c>
    </row>
    <row r="1753" spans="1:40" x14ac:dyDescent="0.25">
      <c r="A1753" t="str">
        <f>"20190312153921048"</f>
        <v>20190312153921048</v>
      </c>
      <c r="B1753" t="str">
        <f>"1552376361037803"</f>
        <v>1552376361037803</v>
      </c>
      <c r="C1753" t="s">
        <v>40</v>
      </c>
      <c r="D1753">
        <v>4.5115930000000004</v>
      </c>
      <c r="E1753">
        <v>0.64392819999999995</v>
      </c>
      <c r="F1753" t="s">
        <v>49</v>
      </c>
      <c r="G1753">
        <v>-195.00720000000001</v>
      </c>
      <c r="H1753" s="1">
        <v>-1.529364E-6</v>
      </c>
      <c r="I1753">
        <v>349.93560000000002</v>
      </c>
      <c r="J1753">
        <v>-195.21369999999999</v>
      </c>
      <c r="K1753">
        <v>1.1081620000000001</v>
      </c>
      <c r="L1753">
        <v>357.35969999999998</v>
      </c>
      <c r="M1753">
        <v>0.58562360000000002</v>
      </c>
      <c r="N1753">
        <v>0</v>
      </c>
      <c r="O1753">
        <v>-0.81046180000000001</v>
      </c>
      <c r="P1753">
        <v>0.38322000000000001</v>
      </c>
      <c r="Q1753">
        <v>2.359675E-2</v>
      </c>
      <c r="R1753">
        <v>-0.92335610000000001</v>
      </c>
      <c r="S1753">
        <v>0.10385129999999999</v>
      </c>
      <c r="T1753">
        <v>-0.47740510000000003</v>
      </c>
      <c r="U1753">
        <v>-3.2228699999999999</v>
      </c>
      <c r="V1753">
        <v>0.23038839999999999</v>
      </c>
      <c r="W1753">
        <v>3.5917959999999999E-2</v>
      </c>
      <c r="X1753">
        <v>0.97243570000000001</v>
      </c>
      <c r="Y1753">
        <v>0.55883660000000002</v>
      </c>
      <c r="Z1753">
        <v>9.2635759999999998E-2</v>
      </c>
      <c r="AA1753">
        <v>0.82408749999999997</v>
      </c>
      <c r="AB1753">
        <v>11</v>
      </c>
      <c r="AC1753">
        <v>0.20649999999997701</v>
      </c>
      <c r="AD1753">
        <v>-1.108163529364</v>
      </c>
      <c r="AE1753">
        <v>-7.4240999999999504</v>
      </c>
      <c r="AF1753">
        <v>4.0897291926954802</v>
      </c>
      <c r="AG1753">
        <v>-1.108163529364</v>
      </c>
      <c r="AH1753">
        <v>6.0047993697688904</v>
      </c>
      <c r="AI1753">
        <v>98.672471208984504</v>
      </c>
      <c r="AJ1753">
        <v>55.742132999133098</v>
      </c>
      <c r="AK1753">
        <v>7.3492534824004396</v>
      </c>
      <c r="AL1753">
        <v>87.941609841693506</v>
      </c>
      <c r="AM1753">
        <v>76.671302298430405</v>
      </c>
      <c r="AN1753">
        <v>1.0000000526698001</v>
      </c>
    </row>
    <row r="1754" spans="1:40" x14ac:dyDescent="0.25">
      <c r="A1754" t="str">
        <f>"20190312153921061"</f>
        <v>20190312153921061</v>
      </c>
      <c r="B1754" t="str">
        <f>"1552376361057321"</f>
        <v>1552376361057321</v>
      </c>
      <c r="C1754" t="s">
        <v>40</v>
      </c>
      <c r="D1754">
        <v>4.4809489999999998</v>
      </c>
      <c r="E1754">
        <v>0.64356519999999995</v>
      </c>
      <c r="F1754" t="s">
        <v>49</v>
      </c>
      <c r="G1754">
        <v>-194.9941</v>
      </c>
      <c r="H1754" s="1">
        <v>-1.478419E-6</v>
      </c>
      <c r="I1754">
        <v>349.85539999999997</v>
      </c>
      <c r="J1754">
        <v>-195.18029999999999</v>
      </c>
      <c r="K1754">
        <v>1.108188</v>
      </c>
      <c r="L1754">
        <v>357.30470000000003</v>
      </c>
      <c r="M1754">
        <v>0.58200350000000001</v>
      </c>
      <c r="N1754">
        <v>0</v>
      </c>
      <c r="O1754">
        <v>-0.81306540000000005</v>
      </c>
      <c r="P1754">
        <v>0.3801523</v>
      </c>
      <c r="Q1754">
        <v>2.35415E-2</v>
      </c>
      <c r="R1754">
        <v>-0.92462440000000001</v>
      </c>
      <c r="S1754">
        <v>9.4299320000000006E-2</v>
      </c>
      <c r="T1754">
        <v>-0.47580459999999902</v>
      </c>
      <c r="U1754">
        <v>-3.2220460000000002</v>
      </c>
      <c r="V1754">
        <v>0.2292775</v>
      </c>
      <c r="W1754">
        <v>3.587746E-2</v>
      </c>
      <c r="X1754">
        <v>0.9726996</v>
      </c>
      <c r="Y1754">
        <v>0.55758439999999998</v>
      </c>
      <c r="Z1754">
        <v>9.2972639999999995E-2</v>
      </c>
      <c r="AA1754">
        <v>0.8248974</v>
      </c>
      <c r="AB1754">
        <v>11</v>
      </c>
      <c r="AC1754">
        <v>0.18619999999998499</v>
      </c>
      <c r="AD1754">
        <v>-1.1081894784189901</v>
      </c>
      <c r="AE1754">
        <v>-7.4493000000000498</v>
      </c>
      <c r="AF1754">
        <v>4.0939905026424999</v>
      </c>
      <c r="AG1754">
        <v>-1.1081894784189901</v>
      </c>
      <c r="AH1754">
        <v>6.0323263484218597</v>
      </c>
      <c r="AI1754">
        <v>98.643193545020296</v>
      </c>
      <c r="AJ1754">
        <v>55.836233181384998</v>
      </c>
      <c r="AK1754">
        <v>7.37413068298022</v>
      </c>
      <c r="AL1754">
        <v>87.943931581337296</v>
      </c>
      <c r="AM1754">
        <v>76.736765644053307</v>
      </c>
      <c r="AN1754">
        <v>0.99999993799122799</v>
      </c>
    </row>
    <row r="1755" spans="1:40" x14ac:dyDescent="0.25">
      <c r="A1755" t="str">
        <f>"20190312153921080"</f>
        <v>20190312153921080</v>
      </c>
      <c r="B1755" t="str">
        <f>"1552376361068058"</f>
        <v>1552376361068058</v>
      </c>
      <c r="C1755" t="s">
        <v>40</v>
      </c>
      <c r="D1755">
        <v>4.4878010000000002</v>
      </c>
      <c r="E1755">
        <v>0.63195619999999997</v>
      </c>
      <c r="F1755" t="s">
        <v>49</v>
      </c>
      <c r="G1755">
        <v>-194.97929999999999</v>
      </c>
      <c r="H1755" s="1">
        <v>-1.4263049999999999E-6</v>
      </c>
      <c r="I1755">
        <v>349.774</v>
      </c>
      <c r="J1755">
        <v>-195.12870000000001</v>
      </c>
      <c r="K1755">
        <v>1.1082270000000001</v>
      </c>
      <c r="L1755">
        <v>357.21839999999997</v>
      </c>
      <c r="M1755">
        <v>0.57636759999999998</v>
      </c>
      <c r="N1755">
        <v>0</v>
      </c>
      <c r="O1755">
        <v>-0.81707069999999904</v>
      </c>
      <c r="P1755">
        <v>0.37569789999999997</v>
      </c>
      <c r="Q1755">
        <v>2.3333530000000002E-2</v>
      </c>
      <c r="R1755">
        <v>-0.92644859999999896</v>
      </c>
      <c r="S1755">
        <v>8.6013790000000007E-2</v>
      </c>
      <c r="T1755">
        <v>-0.4740335</v>
      </c>
      <c r="U1755">
        <v>-3.2212519999999998</v>
      </c>
      <c r="V1755">
        <v>0.2272294</v>
      </c>
      <c r="W1755">
        <v>3.5694950000000003E-2</v>
      </c>
      <c r="X1755">
        <v>0.97318689999999997</v>
      </c>
      <c r="Y1755">
        <v>0.55397559999999901</v>
      </c>
      <c r="Z1755">
        <v>9.3691410000000003E-2</v>
      </c>
      <c r="AA1755">
        <v>0.82724419999999899</v>
      </c>
      <c r="AB1755">
        <v>11</v>
      </c>
      <c r="AC1755">
        <v>0.14940000000001399</v>
      </c>
      <c r="AD1755">
        <v>-1.108228426305</v>
      </c>
      <c r="AE1755">
        <v>-7.4443999999999697</v>
      </c>
      <c r="AF1755">
        <v>4.0786952768885998</v>
      </c>
      <c r="AG1755">
        <v>-1.108228426305</v>
      </c>
      <c r="AH1755">
        <v>6.03561029870641</v>
      </c>
      <c r="AI1755">
        <v>98.650337879257705</v>
      </c>
      <c r="AJ1755">
        <v>55.950281303439901</v>
      </c>
      <c r="AK1755">
        <v>7.3683456138019698</v>
      </c>
      <c r="AL1755">
        <v>87.954395537668105</v>
      </c>
      <c r="AM1755">
        <v>76.8574656461318</v>
      </c>
      <c r="AN1755">
        <v>1.00000003600573</v>
      </c>
    </row>
    <row r="1756" spans="1:40" x14ac:dyDescent="0.25">
      <c r="A1756" t="str">
        <f>"20190312153921094"</f>
        <v>20190312153921094</v>
      </c>
      <c r="B1756" t="str">
        <f>"1552376361087577"</f>
        <v>1552376361087577</v>
      </c>
      <c r="C1756" t="s">
        <v>40</v>
      </c>
      <c r="D1756">
        <v>4.5016259999999999</v>
      </c>
      <c r="E1756">
        <v>0.62983840000000002</v>
      </c>
      <c r="F1756" t="s">
        <v>42</v>
      </c>
      <c r="G1756">
        <v>-194.6874</v>
      </c>
      <c r="H1756" s="1">
        <v>-4.6339279999999997E-6</v>
      </c>
      <c r="I1756">
        <v>348.16050000000001</v>
      </c>
      <c r="J1756">
        <v>-195.09200000000001</v>
      </c>
      <c r="K1756">
        <v>1.108257</v>
      </c>
      <c r="L1756">
        <v>357.15640000000002</v>
      </c>
      <c r="M1756">
        <v>0.57234810000000003</v>
      </c>
      <c r="N1756">
        <v>0</v>
      </c>
      <c r="O1756">
        <v>-0.8198915</v>
      </c>
      <c r="P1756">
        <v>0.37205260000000001</v>
      </c>
      <c r="Q1756">
        <v>2.3007240000000002E-2</v>
      </c>
      <c r="R1756">
        <v>-0.92792640000000004</v>
      </c>
      <c r="S1756">
        <v>0.15516659999999999</v>
      </c>
      <c r="T1756">
        <v>-0.3896927</v>
      </c>
      <c r="U1756">
        <v>-3.1850589999999999</v>
      </c>
      <c r="V1756">
        <v>0.22627559999999999</v>
      </c>
      <c r="W1756">
        <v>3.5381860000000001E-2</v>
      </c>
      <c r="X1756">
        <v>0.97342050000000002</v>
      </c>
      <c r="Y1756">
        <v>0.53165169999999995</v>
      </c>
      <c r="Z1756">
        <v>7.9550629999999997E-2</v>
      </c>
      <c r="AA1756">
        <v>0.84321889999999999</v>
      </c>
      <c r="AB1756">
        <v>11</v>
      </c>
      <c r="AC1756">
        <v>0.404600000000016</v>
      </c>
      <c r="AD1756">
        <v>-1.108261633928</v>
      </c>
      <c r="AE1756">
        <v>-8.9959000000000007</v>
      </c>
      <c r="AF1756">
        <v>4.7456484369914698</v>
      </c>
      <c r="AG1756">
        <v>-1.108261633928</v>
      </c>
      <c r="AH1756">
        <v>7.4944617207823603</v>
      </c>
      <c r="AI1756">
        <v>97.121407006499297</v>
      </c>
      <c r="AJ1756">
        <v>57.657161897275799</v>
      </c>
      <c r="AK1756">
        <v>8.9395961553656598</v>
      </c>
      <c r="AL1756">
        <v>87.972345531415499</v>
      </c>
      <c r="AM1756">
        <v>76.9137614733052</v>
      </c>
      <c r="AN1756">
        <v>0.99999999649633398</v>
      </c>
    </row>
    <row r="1757" spans="1:40" x14ac:dyDescent="0.25">
      <c r="A1757" t="str">
        <f>"20190312153921108"</f>
        <v>20190312153921108</v>
      </c>
      <c r="B1757" t="str">
        <f>"1552376361097337"</f>
        <v>1552376361097337</v>
      </c>
      <c r="C1757" t="s">
        <v>40</v>
      </c>
      <c r="D1757">
        <v>4.5322509999999996</v>
      </c>
      <c r="E1757">
        <v>0.62924099999999905</v>
      </c>
      <c r="F1757" t="s">
        <v>42</v>
      </c>
      <c r="G1757">
        <v>-194.6524</v>
      </c>
      <c r="H1757" s="1">
        <v>-4.6835530000000001E-6</v>
      </c>
      <c r="I1757">
        <v>348.32459999999998</v>
      </c>
      <c r="J1757">
        <v>-195.0565</v>
      </c>
      <c r="K1757">
        <v>1.1082809999999901</v>
      </c>
      <c r="L1757">
        <v>357.09570000000002</v>
      </c>
      <c r="M1757">
        <v>0.56844119999999998</v>
      </c>
      <c r="N1757">
        <v>0</v>
      </c>
      <c r="O1757">
        <v>-0.82260509999999998</v>
      </c>
      <c r="P1757">
        <v>0.36839949999999999</v>
      </c>
      <c r="Q1757">
        <v>2.292452E-2</v>
      </c>
      <c r="R1757">
        <v>-0.92938480000000001</v>
      </c>
      <c r="S1757">
        <v>0.15826419999999999</v>
      </c>
      <c r="T1757">
        <v>-0.39897060000000001</v>
      </c>
      <c r="U1757">
        <v>-3.1794129999999998</v>
      </c>
      <c r="V1757">
        <v>0.22547149999999999</v>
      </c>
      <c r="W1757">
        <v>3.5309899999999998E-2</v>
      </c>
      <c r="X1757">
        <v>0.97360970000000002</v>
      </c>
      <c r="Y1757">
        <v>0.52672669999999999</v>
      </c>
      <c r="Z1757">
        <v>8.2256259999999998E-2</v>
      </c>
      <c r="AA1757">
        <v>0.84604550000000001</v>
      </c>
      <c r="AB1757">
        <v>11</v>
      </c>
      <c r="AC1757">
        <v>0.40409999999999902</v>
      </c>
      <c r="AD1757">
        <v>-1.1082856835529999</v>
      </c>
      <c r="AE1757">
        <v>-8.7711000000000396</v>
      </c>
      <c r="AF1757">
        <v>4.58091094325989</v>
      </c>
      <c r="AG1757">
        <v>-1.1082856835529999</v>
      </c>
      <c r="AH1757">
        <v>7.3288224245004701</v>
      </c>
      <c r="AI1757">
        <v>97.307366152623999</v>
      </c>
      <c r="AJ1757">
        <v>57.992385381236801</v>
      </c>
      <c r="AK1757">
        <v>8.7134769384160098</v>
      </c>
      <c r="AL1757">
        <v>87.976471155434197</v>
      </c>
      <c r="AM1757">
        <v>76.961120532464705</v>
      </c>
      <c r="AN1757">
        <v>1.0000000171421699</v>
      </c>
    </row>
    <row r="1758" spans="1:40" x14ac:dyDescent="0.25">
      <c r="A1758" t="str">
        <f>"20190312153921127"</f>
        <v>20190312153921127</v>
      </c>
      <c r="B1758" t="str">
        <f>"1552376361117835"</f>
        <v>1552376361117835</v>
      </c>
      <c r="C1758" t="s">
        <v>40</v>
      </c>
      <c r="D1758">
        <v>4.507498</v>
      </c>
      <c r="E1758">
        <v>0.62774929999999995</v>
      </c>
      <c r="F1758" t="s">
        <v>42</v>
      </c>
      <c r="G1758">
        <v>-194.64779999999999</v>
      </c>
      <c r="H1758" s="1">
        <v>-4.7168049999999998E-6</v>
      </c>
      <c r="I1758">
        <v>348.42469999999997</v>
      </c>
      <c r="J1758">
        <v>-195.00810000000001</v>
      </c>
      <c r="K1758">
        <v>1.10832</v>
      </c>
      <c r="L1758">
        <v>357.01209999999998</v>
      </c>
      <c r="M1758">
        <v>0.56309379999999998</v>
      </c>
      <c r="N1758">
        <v>0</v>
      </c>
      <c r="O1758">
        <v>-0.82627519999999999</v>
      </c>
      <c r="P1758">
        <v>0.36371779999999998</v>
      </c>
      <c r="Q1758">
        <v>2.3103559999999999E-2</v>
      </c>
      <c r="R1758">
        <v>-0.93122269999999896</v>
      </c>
      <c r="S1758">
        <v>0.14981079999999999</v>
      </c>
      <c r="T1758">
        <v>-0.40627049999999998</v>
      </c>
      <c r="U1758">
        <v>-3.1785890000000001</v>
      </c>
      <c r="V1758">
        <v>0.2240501</v>
      </c>
      <c r="W1758">
        <v>3.5505290000000002E-2</v>
      </c>
      <c r="X1758">
        <v>0.97393070000000004</v>
      </c>
      <c r="Y1758">
        <v>0.52344939999999995</v>
      </c>
      <c r="Z1758">
        <v>8.4576849999999995E-2</v>
      </c>
      <c r="AA1758">
        <v>0.84784869999999901</v>
      </c>
      <c r="AB1758">
        <v>11</v>
      </c>
      <c r="AC1758">
        <v>0.36030000000002299</v>
      </c>
      <c r="AD1758">
        <v>-1.1083247168050001</v>
      </c>
      <c r="AE1758">
        <v>-8.5874000000000006</v>
      </c>
      <c r="AF1758">
        <v>4.46401764147548</v>
      </c>
      <c r="AG1758">
        <v>-1.1083247168050001</v>
      </c>
      <c r="AH1758">
        <v>7.1797618858983903</v>
      </c>
      <c r="AI1758">
        <v>97.468590353309693</v>
      </c>
      <c r="AJ1758">
        <v>58.128713202547701</v>
      </c>
      <c r="AK1758">
        <v>8.5267120227837196</v>
      </c>
      <c r="AL1758">
        <v>87.965269156940096</v>
      </c>
      <c r="AM1758">
        <v>77.044663143799795</v>
      </c>
      <c r="AN1758">
        <v>1.0000000406652401</v>
      </c>
    </row>
    <row r="1759" spans="1:40" x14ac:dyDescent="0.25">
      <c r="A1759" t="str">
        <f>"20190312153921148"</f>
        <v>20190312153921148</v>
      </c>
      <c r="B1759" t="str">
        <f>"1552376361137361"</f>
        <v>1552376361137361</v>
      </c>
      <c r="C1759" t="s">
        <v>40</v>
      </c>
      <c r="D1759">
        <v>4.4727920000000001</v>
      </c>
      <c r="E1759">
        <v>0.62675760000000003</v>
      </c>
      <c r="F1759" t="s">
        <v>42</v>
      </c>
      <c r="G1759">
        <v>-194.61330000000001</v>
      </c>
      <c r="H1759" s="1">
        <v>-4.6862860000000004E-6</v>
      </c>
      <c r="I1759">
        <v>348.35300000000001</v>
      </c>
      <c r="J1759">
        <v>-194.95339999999999</v>
      </c>
      <c r="K1759">
        <v>1.108363</v>
      </c>
      <c r="L1759">
        <v>356.91640000000001</v>
      </c>
      <c r="M1759">
        <v>0.55701400000000001</v>
      </c>
      <c r="N1759">
        <v>0</v>
      </c>
      <c r="O1759">
        <v>-0.83038599999999996</v>
      </c>
      <c r="P1759">
        <v>0.35794419999999999</v>
      </c>
      <c r="Q1759">
        <v>2.411845E-2</v>
      </c>
      <c r="R1759">
        <v>-0.93343149999999997</v>
      </c>
      <c r="S1759">
        <v>0.1447754</v>
      </c>
      <c r="T1759">
        <v>-0.406393</v>
      </c>
      <c r="U1759">
        <v>-3.1750790000000002</v>
      </c>
      <c r="V1759">
        <v>0.22291900000000001</v>
      </c>
      <c r="W1759">
        <v>3.6533639999999999E-2</v>
      </c>
      <c r="X1759">
        <v>0.97415209999999997</v>
      </c>
      <c r="Y1759">
        <v>0.51850050000000003</v>
      </c>
      <c r="Z1759">
        <v>8.5658949999999998E-2</v>
      </c>
      <c r="AA1759">
        <v>0.85077599999999998</v>
      </c>
      <c r="AB1759">
        <v>11</v>
      </c>
      <c r="AC1759">
        <v>0.34009999999997798</v>
      </c>
      <c r="AD1759">
        <v>-1.1083676862859999</v>
      </c>
      <c r="AE1759">
        <v>-8.5633999999999997</v>
      </c>
      <c r="AF1759">
        <v>4.4141254355630997</v>
      </c>
      <c r="AG1759">
        <v>-1.1083676862859999</v>
      </c>
      <c r="AH1759">
        <v>7.1809694507230297</v>
      </c>
      <c r="AI1759">
        <v>97.490959970527797</v>
      </c>
      <c r="AJ1759">
        <v>58.421053079624002</v>
      </c>
      <c r="AK1759">
        <v>8.5017236217784493</v>
      </c>
      <c r="AL1759">
        <v>87.906310594603397</v>
      </c>
      <c r="AM1759">
        <v>77.110708780123701</v>
      </c>
      <c r="AN1759">
        <v>0.99999995067352798</v>
      </c>
    </row>
    <row r="1760" spans="1:40" x14ac:dyDescent="0.25">
      <c r="A1760" t="str">
        <f>"20190312153921160"</f>
        <v>20190312153921160</v>
      </c>
      <c r="B1760" t="str">
        <f>"1552376361157850"</f>
        <v>1552376361157850</v>
      </c>
      <c r="C1760" t="s">
        <v>40</v>
      </c>
      <c r="D1760">
        <v>4.4832789999999996</v>
      </c>
      <c r="E1760">
        <v>0.62590939999999995</v>
      </c>
      <c r="F1760" t="s">
        <v>42</v>
      </c>
      <c r="G1760">
        <v>-194.58920000000001</v>
      </c>
      <c r="H1760" s="1">
        <v>-4.6263890000000002E-6</v>
      </c>
      <c r="I1760">
        <v>348.18950000000001</v>
      </c>
      <c r="J1760">
        <v>-194.9211</v>
      </c>
      <c r="K1760">
        <v>1.1083889999999901</v>
      </c>
      <c r="L1760">
        <v>356.85910000000001</v>
      </c>
      <c r="M1760">
        <v>0.55340080000000003</v>
      </c>
      <c r="N1760">
        <v>0</v>
      </c>
      <c r="O1760">
        <v>-0.832798699999999</v>
      </c>
      <c r="P1760">
        <v>0.3544776</v>
      </c>
      <c r="Q1760">
        <v>2.4565940000000001E-2</v>
      </c>
      <c r="R1760">
        <v>-0.93474170000000001</v>
      </c>
      <c r="S1760">
        <v>0.13244629999999999</v>
      </c>
      <c r="T1760">
        <v>-0.40306320000000001</v>
      </c>
      <c r="U1760">
        <v>-3.1735530000000001</v>
      </c>
      <c r="V1760">
        <v>0.22229470000000001</v>
      </c>
      <c r="W1760">
        <v>3.6987760000000001E-2</v>
      </c>
      <c r="X1760">
        <v>0.97427770000000002</v>
      </c>
      <c r="Y1760">
        <v>0.5180728</v>
      </c>
      <c r="Z1760">
        <v>8.5469939999999994E-2</v>
      </c>
      <c r="AA1760">
        <v>0.85105549999999996</v>
      </c>
      <c r="AB1760">
        <v>11</v>
      </c>
      <c r="AC1760">
        <v>0.33189999999998998</v>
      </c>
      <c r="AD1760">
        <v>-1.10839362638899</v>
      </c>
      <c r="AE1760">
        <v>-8.6696000000000009</v>
      </c>
      <c r="AF1760">
        <v>4.4491797975272203</v>
      </c>
      <c r="AG1760">
        <v>-1.10839362638899</v>
      </c>
      <c r="AH1760">
        <v>7.2855143261775597</v>
      </c>
      <c r="AI1760">
        <v>97.3978876670392</v>
      </c>
      <c r="AJ1760">
        <v>58.588067650710798</v>
      </c>
      <c r="AK1760">
        <v>8.6082783585733704</v>
      </c>
      <c r="AL1760">
        <v>87.880274008647802</v>
      </c>
      <c r="AM1760">
        <v>77.147207492816307</v>
      </c>
      <c r="AN1760">
        <v>1.0000000323775899</v>
      </c>
    </row>
    <row r="1761" spans="1:40" x14ac:dyDescent="0.25">
      <c r="A1761" t="str">
        <f>"20190312153921173"</f>
        <v>20190312153921173</v>
      </c>
      <c r="B1761" t="str">
        <f>"1552376361167609"</f>
        <v>1552376361167609</v>
      </c>
      <c r="C1761" t="s">
        <v>40</v>
      </c>
      <c r="D1761">
        <v>4.4800550000000001</v>
      </c>
      <c r="E1761">
        <v>0.62542810000000004</v>
      </c>
      <c r="F1761" t="s">
        <v>42</v>
      </c>
      <c r="G1761">
        <v>-194.5675</v>
      </c>
      <c r="H1761" s="1">
        <v>-4.5705529999999997E-6</v>
      </c>
      <c r="I1761">
        <v>348.03680000000003</v>
      </c>
      <c r="J1761">
        <v>-194.88939999999999</v>
      </c>
      <c r="K1761">
        <v>1.108412</v>
      </c>
      <c r="L1761">
        <v>356.8023</v>
      </c>
      <c r="M1761">
        <v>0.54984429999999995</v>
      </c>
      <c r="N1761">
        <v>0</v>
      </c>
      <c r="O1761">
        <v>-0.83515130000000004</v>
      </c>
      <c r="P1761">
        <v>0.35071809999999998</v>
      </c>
      <c r="Q1761">
        <v>2.5311279999999999E-2</v>
      </c>
      <c r="R1761">
        <v>-0.93613919999999995</v>
      </c>
      <c r="S1761">
        <v>0.1271362</v>
      </c>
      <c r="T1761">
        <v>-0.39848169999999999</v>
      </c>
      <c r="U1761">
        <v>-3.1717219999999999</v>
      </c>
      <c r="V1761">
        <v>0.2220461</v>
      </c>
      <c r="W1761">
        <v>3.7735400000000002E-2</v>
      </c>
      <c r="X1761">
        <v>0.97430570000000005</v>
      </c>
      <c r="Y1761">
        <v>0.51583699999999999</v>
      </c>
      <c r="Z1761">
        <v>8.507787E-2</v>
      </c>
      <c r="AA1761">
        <v>0.85245170000000003</v>
      </c>
      <c r="AB1761">
        <v>11</v>
      </c>
      <c r="AC1761">
        <v>0.32189999999999902</v>
      </c>
      <c r="AD1761">
        <v>-1.108416570553</v>
      </c>
      <c r="AE1761">
        <v>-8.7654999999999692</v>
      </c>
      <c r="AF1761">
        <v>4.47973037973546</v>
      </c>
      <c r="AG1761">
        <v>-1.108416570553</v>
      </c>
      <c r="AH1761">
        <v>7.3803847406704799</v>
      </c>
      <c r="AI1761">
        <v>97.315893085148105</v>
      </c>
      <c r="AJ1761">
        <v>58.743174840304199</v>
      </c>
      <c r="AK1761">
        <v>8.7044040858247698</v>
      </c>
      <c r="AL1761">
        <v>87.837407423777606</v>
      </c>
      <c r="AM1761">
        <v>77.161461363719894</v>
      </c>
      <c r="AN1761">
        <v>1.0000000139954299</v>
      </c>
    </row>
    <row r="1762" spans="1:40" x14ac:dyDescent="0.25">
      <c r="A1762" t="str">
        <f>"20190312153921192"</f>
        <v>20190312153921192</v>
      </c>
      <c r="B1762" t="str">
        <f>"1552376361188105"</f>
        <v>1552376361188105</v>
      </c>
      <c r="C1762" t="s">
        <v>40</v>
      </c>
      <c r="D1762">
        <v>4.4543109999999997</v>
      </c>
      <c r="E1762">
        <v>0.6245868</v>
      </c>
      <c r="F1762" t="s">
        <v>42</v>
      </c>
      <c r="G1762">
        <v>-194.55940000000001</v>
      </c>
      <c r="H1762" s="1">
        <v>-4.5365139999999996E-6</v>
      </c>
      <c r="I1762">
        <v>347.94099999999997</v>
      </c>
      <c r="J1762">
        <v>-194.8442</v>
      </c>
      <c r="K1762">
        <v>1.108449</v>
      </c>
      <c r="L1762">
        <v>356.72050000000002</v>
      </c>
      <c r="M1762">
        <v>0.54474560000000005</v>
      </c>
      <c r="N1762">
        <v>0</v>
      </c>
      <c r="O1762">
        <v>-0.83848619999999996</v>
      </c>
      <c r="P1762">
        <v>0.34622380000000003</v>
      </c>
      <c r="Q1762">
        <v>2.6341719999999999E-2</v>
      </c>
      <c r="R1762">
        <v>-0.93778229999999996</v>
      </c>
      <c r="S1762">
        <v>0.118103</v>
      </c>
      <c r="T1762">
        <v>-0.3966653</v>
      </c>
      <c r="U1762">
        <v>-3.171173</v>
      </c>
      <c r="V1762">
        <v>0.2207693</v>
      </c>
      <c r="W1762">
        <v>3.8775570000000002E-2</v>
      </c>
      <c r="X1762">
        <v>0.97455499999999995</v>
      </c>
      <c r="Y1762">
        <v>0.51304459999999996</v>
      </c>
      <c r="Z1762">
        <v>8.5425539999999994E-2</v>
      </c>
      <c r="AA1762">
        <v>0.85410049999999904</v>
      </c>
      <c r="AB1762">
        <v>11</v>
      </c>
      <c r="AC1762">
        <v>0.28479999999998901</v>
      </c>
      <c r="AD1762">
        <v>-1.108453536514</v>
      </c>
      <c r="AE1762">
        <v>-8.7795000000000396</v>
      </c>
      <c r="AF1762">
        <v>4.4730060151774396</v>
      </c>
      <c r="AG1762">
        <v>-1.108453536514</v>
      </c>
      <c r="AH1762">
        <v>7.3995325755201797</v>
      </c>
      <c r="AI1762">
        <v>97.305342483397595</v>
      </c>
      <c r="AJ1762">
        <v>58.8471029617005</v>
      </c>
      <c r="AK1762">
        <v>8.7171976225509695</v>
      </c>
      <c r="AL1762">
        <v>87.777766467301007</v>
      </c>
      <c r="AM1762">
        <v>77.236017761803097</v>
      </c>
      <c r="AN1762">
        <v>1.00000003833815</v>
      </c>
    </row>
    <row r="1763" spans="1:40" x14ac:dyDescent="0.25">
      <c r="A1763" t="str">
        <f>"20190312153921204"</f>
        <v>20190312153921204</v>
      </c>
      <c r="B1763" t="str">
        <f>"1552376361197865"</f>
        <v>1552376361197865</v>
      </c>
      <c r="C1763" t="s">
        <v>40</v>
      </c>
      <c r="D1763">
        <v>4.4650780000000001</v>
      </c>
      <c r="E1763">
        <v>0.6245868</v>
      </c>
      <c r="F1763" t="s">
        <v>42</v>
      </c>
      <c r="G1763">
        <v>-194.53569999999999</v>
      </c>
      <c r="H1763" s="1">
        <v>-4.4733190000000003E-6</v>
      </c>
      <c r="I1763">
        <v>347.76760000000002</v>
      </c>
      <c r="J1763">
        <v>-194.81190000000001</v>
      </c>
      <c r="K1763">
        <v>1.1084689999999999</v>
      </c>
      <c r="L1763">
        <v>356.66140000000001</v>
      </c>
      <c r="M1763">
        <v>0.5410914</v>
      </c>
      <c r="N1763">
        <v>0</v>
      </c>
      <c r="O1763">
        <v>-0.84084919999999996</v>
      </c>
      <c r="P1763">
        <v>0.34267360000000002</v>
      </c>
      <c r="Q1763">
        <v>2.689161E-2</v>
      </c>
      <c r="R1763">
        <v>-0.93906940000000005</v>
      </c>
      <c r="S1763">
        <v>0.1092224</v>
      </c>
      <c r="T1763">
        <v>-0.3924494</v>
      </c>
      <c r="U1763">
        <v>-3.1697690000000001</v>
      </c>
      <c r="V1763">
        <v>0.22020680000000001</v>
      </c>
      <c r="W1763">
        <v>3.9329219999999998E-2</v>
      </c>
      <c r="X1763">
        <v>0.97465999999999997</v>
      </c>
      <c r="Y1763">
        <v>0.51169350000000002</v>
      </c>
      <c r="Z1763">
        <v>8.5044499999999995E-2</v>
      </c>
      <c r="AA1763">
        <v>0.85494859999999995</v>
      </c>
      <c r="AB1763">
        <v>11</v>
      </c>
      <c r="AC1763">
        <v>0.27620000000001699</v>
      </c>
      <c r="AD1763">
        <v>-1.108473473319</v>
      </c>
      <c r="AE1763">
        <v>-8.8937999999999899</v>
      </c>
      <c r="AF1763">
        <v>4.5105592246200503</v>
      </c>
      <c r="AG1763">
        <v>-1.108473473319</v>
      </c>
      <c r="AH1763">
        <v>7.5119529233291997</v>
      </c>
      <c r="AI1763">
        <v>97.210050053435907</v>
      </c>
      <c r="AJ1763">
        <v>59.017249312145701</v>
      </c>
      <c r="AK1763">
        <v>8.8319473890060696</v>
      </c>
      <c r="AL1763">
        <v>87.7460202863154</v>
      </c>
      <c r="AM1763">
        <v>77.268804741837897</v>
      </c>
      <c r="AN1763">
        <v>0.99999996895602306</v>
      </c>
    </row>
    <row r="1764" spans="1:40" x14ac:dyDescent="0.25">
      <c r="A1764" t="str">
        <f>"20190312153921218"</f>
        <v>20190312153921218</v>
      </c>
      <c r="B1764" t="str">
        <f>"1552376361207626"</f>
        <v>1552376361207626</v>
      </c>
      <c r="C1764" t="s">
        <v>40</v>
      </c>
      <c r="D1764">
        <v>4.4798749999999998</v>
      </c>
      <c r="E1764">
        <v>0.61542169999999996</v>
      </c>
      <c r="F1764" t="s">
        <v>42</v>
      </c>
      <c r="G1764">
        <v>-194.5359</v>
      </c>
      <c r="H1764" s="1">
        <v>-4.4378680000000003E-6</v>
      </c>
      <c r="I1764">
        <v>347.66340000000002</v>
      </c>
      <c r="J1764">
        <v>-194.77979999999999</v>
      </c>
      <c r="K1764">
        <v>1.1084879999999999</v>
      </c>
      <c r="L1764">
        <v>356.60239999999999</v>
      </c>
      <c r="M1764">
        <v>0.53744369999999997</v>
      </c>
      <c r="N1764">
        <v>0</v>
      </c>
      <c r="O1764">
        <v>-0.84318570000000004</v>
      </c>
      <c r="P1764">
        <v>0.33914119999999998</v>
      </c>
      <c r="Q1764">
        <v>2.764805E-2</v>
      </c>
      <c r="R1764">
        <v>-0.94032930000000003</v>
      </c>
      <c r="S1764">
        <v>9.7259520000000002E-2</v>
      </c>
      <c r="T1764">
        <v>-0.3905592</v>
      </c>
      <c r="U1764">
        <v>-3.1703800000000002</v>
      </c>
      <c r="V1764">
        <v>0.21963830000000001</v>
      </c>
      <c r="W1764">
        <v>4.0088699999999901E-2</v>
      </c>
      <c r="X1764">
        <v>0.9747574</v>
      </c>
      <c r="Y1764">
        <v>0.51120569999999999</v>
      </c>
      <c r="Z1764">
        <v>8.5061880000000006E-2</v>
      </c>
      <c r="AA1764">
        <v>0.85523869999999902</v>
      </c>
      <c r="AB1764">
        <v>11</v>
      </c>
      <c r="AC1764">
        <v>0.24389999999999601</v>
      </c>
      <c r="AD1764">
        <v>-1.1084924378679999</v>
      </c>
      <c r="AE1764">
        <v>-8.9389999999999592</v>
      </c>
      <c r="AF1764">
        <v>4.5293987861506597</v>
      </c>
      <c r="AG1764">
        <v>-1.1084924378679999</v>
      </c>
      <c r="AH1764">
        <v>7.5529960197884201</v>
      </c>
      <c r="AI1764">
        <v>97.173807704846297</v>
      </c>
      <c r="AJ1764">
        <v>59.049625560005502</v>
      </c>
      <c r="AK1764">
        <v>8.8764834097593699</v>
      </c>
      <c r="AL1764">
        <v>87.702471095598199</v>
      </c>
      <c r="AM1764">
        <v>77.301832974906105</v>
      </c>
      <c r="AN1764">
        <v>1.0000000377746601</v>
      </c>
    </row>
    <row r="1765" spans="1:40" x14ac:dyDescent="0.25">
      <c r="A1765" t="str">
        <f>"20190312153921230"</f>
        <v>20190312153921230</v>
      </c>
      <c r="B1765" t="str">
        <f>"1552376361217385"</f>
        <v>1552376361217385</v>
      </c>
      <c r="C1765" t="s">
        <v>40</v>
      </c>
      <c r="D1765">
        <v>4.4523359999999998</v>
      </c>
      <c r="E1765">
        <v>0.61542169999999996</v>
      </c>
      <c r="F1765" t="s">
        <v>42</v>
      </c>
      <c r="G1765">
        <v>-194.34780000000001</v>
      </c>
      <c r="H1765" s="1">
        <v>-4.4415310000000004E-6</v>
      </c>
      <c r="I1765">
        <v>347.7722</v>
      </c>
      <c r="J1765">
        <v>-194.74959999999999</v>
      </c>
      <c r="K1765">
        <v>1.1085050000000001</v>
      </c>
      <c r="L1765">
        <v>356.54579999999999</v>
      </c>
      <c r="M1765">
        <v>0.53397700000000003</v>
      </c>
      <c r="N1765">
        <v>0</v>
      </c>
      <c r="O1765">
        <v>-0.84538530000000001</v>
      </c>
      <c r="P1765">
        <v>0.33584999999999998</v>
      </c>
      <c r="Q1765">
        <v>2.8378919999999998E-2</v>
      </c>
      <c r="R1765">
        <v>-0.94148790000000004</v>
      </c>
      <c r="S1765">
        <v>0.1539459</v>
      </c>
      <c r="T1765">
        <v>-0.3949896</v>
      </c>
      <c r="U1765">
        <v>-3.1464840000000001</v>
      </c>
      <c r="V1765">
        <v>0.2190357</v>
      </c>
      <c r="W1765">
        <v>4.0821950000000003E-2</v>
      </c>
      <c r="X1765">
        <v>0.97486249999999997</v>
      </c>
      <c r="Y1765">
        <v>0.49200080000000002</v>
      </c>
      <c r="Z1765">
        <v>8.7779490000000002E-2</v>
      </c>
      <c r="AA1765">
        <v>0.86615819999999999</v>
      </c>
      <c r="AB1765">
        <v>11</v>
      </c>
      <c r="AC1765">
        <v>0.40179999999998001</v>
      </c>
      <c r="AD1765">
        <v>-1.108509441531</v>
      </c>
      <c r="AE1765">
        <v>-8.7735999999999805</v>
      </c>
      <c r="AF1765">
        <v>4.2775023427775398</v>
      </c>
      <c r="AG1765">
        <v>-1.108509441531</v>
      </c>
      <c r="AH1765">
        <v>7.5126818322385303</v>
      </c>
      <c r="AI1765">
        <v>97.306840639050506</v>
      </c>
      <c r="AJ1765">
        <v>60.344073264116503</v>
      </c>
      <c r="AK1765">
        <v>8.7158595552520008</v>
      </c>
      <c r="AL1765">
        <v>87.660424413145293</v>
      </c>
      <c r="AM1765">
        <v>77.336867834984304</v>
      </c>
      <c r="AN1765">
        <v>0.99999998169127002</v>
      </c>
    </row>
    <row r="1766" spans="1:40" x14ac:dyDescent="0.25">
      <c r="A1766" t="str">
        <f>"20190312153921248"</f>
        <v>20190312153921248</v>
      </c>
      <c r="B1766" t="str">
        <f>"1552376361237885"</f>
        <v>1552376361237885</v>
      </c>
      <c r="C1766" t="s">
        <v>40</v>
      </c>
      <c r="D1766">
        <v>4.4067080000000001</v>
      </c>
      <c r="E1766">
        <v>0.61376269999999999</v>
      </c>
      <c r="F1766" t="s">
        <v>42</v>
      </c>
      <c r="G1766">
        <v>-194.3458</v>
      </c>
      <c r="H1766" s="1">
        <v>-4.4008929999999997E-6</v>
      </c>
      <c r="I1766">
        <v>347.65379999999999</v>
      </c>
      <c r="J1766">
        <v>-194.70609999999999</v>
      </c>
      <c r="K1766">
        <v>1.1085290000000001</v>
      </c>
      <c r="L1766">
        <v>356.46390000000002</v>
      </c>
      <c r="M1766">
        <v>0.52897590000000005</v>
      </c>
      <c r="N1766">
        <v>0</v>
      </c>
      <c r="O1766">
        <v>-0.84852380000000005</v>
      </c>
      <c r="P1766">
        <v>0.3310012</v>
      </c>
      <c r="Q1766">
        <v>2.9768900000000001E-2</v>
      </c>
      <c r="R1766">
        <v>-0.94316080000000002</v>
      </c>
      <c r="S1766">
        <v>0.14291379999999901</v>
      </c>
      <c r="T1766">
        <v>-0.39236169999999998</v>
      </c>
      <c r="U1766">
        <v>-3.1473689999999999</v>
      </c>
      <c r="V1766">
        <v>0.2182771</v>
      </c>
      <c r="W1766">
        <v>4.2213599999999997E-2</v>
      </c>
      <c r="X1766">
        <v>0.97497339999999999</v>
      </c>
      <c r="Y1766">
        <v>0.48990909999999899</v>
      </c>
      <c r="Z1766">
        <v>8.7826600000000005E-2</v>
      </c>
      <c r="AA1766">
        <v>0.86733819999999995</v>
      </c>
      <c r="AB1766">
        <v>11</v>
      </c>
      <c r="AC1766">
        <v>0.36029999999999501</v>
      </c>
      <c r="AD1766">
        <v>-1.1085334008929999</v>
      </c>
      <c r="AE1766">
        <v>-8.8101000000000305</v>
      </c>
      <c r="AF1766">
        <v>4.2872626191174996</v>
      </c>
      <c r="AG1766">
        <v>-1.1085334008929999</v>
      </c>
      <c r="AH1766">
        <v>7.5476107772628298</v>
      </c>
      <c r="AI1766">
        <v>97.277694498644195</v>
      </c>
      <c r="AJ1766">
        <v>60.402164015898997</v>
      </c>
      <c r="AK1766">
        <v>8.7507654243061399</v>
      </c>
      <c r="AL1766">
        <v>87.580619981235003</v>
      </c>
      <c r="AM1766">
        <v>77.380707190802895</v>
      </c>
      <c r="AN1766">
        <v>1.0000000055584599</v>
      </c>
    </row>
    <row r="1767" spans="1:40" x14ac:dyDescent="0.25">
      <c r="A1767" t="str">
        <f>"20190312153921263"</f>
        <v>20190312153921263</v>
      </c>
      <c r="B1767" t="str">
        <f>"1552376361257401"</f>
        <v>1552376361257401</v>
      </c>
      <c r="C1767" t="s">
        <v>40</v>
      </c>
      <c r="D1767">
        <v>4.4282709999999996</v>
      </c>
      <c r="E1767">
        <v>0.61273009999999895</v>
      </c>
      <c r="F1767" t="s">
        <v>42</v>
      </c>
      <c r="G1767">
        <v>-194.2998</v>
      </c>
      <c r="H1767" s="1">
        <v>-4.2575990000000003E-6</v>
      </c>
      <c r="I1767">
        <v>347.25670000000002</v>
      </c>
      <c r="J1767">
        <v>-194.6748</v>
      </c>
      <c r="K1767">
        <v>1.1085449999999999</v>
      </c>
      <c r="L1767">
        <v>356.40440000000001</v>
      </c>
      <c r="M1767">
        <v>0.52534910000000001</v>
      </c>
      <c r="N1767">
        <v>0</v>
      </c>
      <c r="O1767">
        <v>-0.85077429999999998</v>
      </c>
      <c r="P1767">
        <v>0.32732539999999999</v>
      </c>
      <c r="Q1767">
        <v>2.995246E-2</v>
      </c>
      <c r="R1767">
        <v>-0.94443710000000003</v>
      </c>
      <c r="S1767">
        <v>0.13873289999999999</v>
      </c>
      <c r="T1767">
        <v>-0.37853569999999997</v>
      </c>
      <c r="U1767">
        <v>-3.1440429999999999</v>
      </c>
      <c r="V1767">
        <v>0.21790880000000001</v>
      </c>
      <c r="W1767">
        <v>4.2397009999999999E-2</v>
      </c>
      <c r="X1767">
        <v>0.97504780000000002</v>
      </c>
      <c r="Y1767">
        <v>0.48730760000000001</v>
      </c>
      <c r="Z1767">
        <v>8.5346770000000002E-2</v>
      </c>
      <c r="AA1767">
        <v>0.86904959999999898</v>
      </c>
      <c r="AB1767">
        <v>11</v>
      </c>
      <c r="AC1767">
        <v>0.375</v>
      </c>
      <c r="AD1767">
        <v>-1.1085492575989999</v>
      </c>
      <c r="AE1767">
        <v>-9.1476999999999808</v>
      </c>
      <c r="AF1767">
        <v>4.4222908549189199</v>
      </c>
      <c r="AG1767">
        <v>-1.1085492575989999</v>
      </c>
      <c r="AH1767">
        <v>7.8650894800495701</v>
      </c>
      <c r="AI1767">
        <v>97.004079799245602</v>
      </c>
      <c r="AJ1767">
        <v>60.652330044237701</v>
      </c>
      <c r="AK1767">
        <v>9.0909389169221306</v>
      </c>
      <c r="AL1767">
        <v>87.570101888424801</v>
      </c>
      <c r="AM1767">
        <v>77.402250144342702</v>
      </c>
      <c r="AN1767">
        <v>0.99999998192960904</v>
      </c>
    </row>
    <row r="1768" spans="1:40" x14ac:dyDescent="0.25">
      <c r="A1768" t="str">
        <f>"20190312153921275"</f>
        <v>20190312153921275</v>
      </c>
      <c r="B1768" t="str">
        <f>"1552376361268137"</f>
        <v>1552376361268137</v>
      </c>
      <c r="C1768" t="s">
        <v>40</v>
      </c>
      <c r="D1768">
        <v>4.3656249999999996</v>
      </c>
      <c r="E1768">
        <v>0.61223319999999903</v>
      </c>
      <c r="F1768" t="s">
        <v>42</v>
      </c>
      <c r="G1768">
        <v>-194.2696</v>
      </c>
      <c r="H1768" s="1">
        <v>-4.1356519999999996E-6</v>
      </c>
      <c r="I1768">
        <v>346.91410000000002</v>
      </c>
      <c r="J1768">
        <v>-194.64179999999999</v>
      </c>
      <c r="K1768">
        <v>1.1085499999999999</v>
      </c>
      <c r="L1768">
        <v>356.3408</v>
      </c>
      <c r="M1768">
        <v>0.52149729999999905</v>
      </c>
      <c r="N1768">
        <v>0</v>
      </c>
      <c r="O1768">
        <v>-0.85314069999999997</v>
      </c>
      <c r="P1768">
        <v>0.32345810000000003</v>
      </c>
      <c r="Q1768">
        <v>3.0538760000000002E-2</v>
      </c>
      <c r="R1768">
        <v>-0.94574959999999997</v>
      </c>
      <c r="S1768">
        <v>0.13412479999999999</v>
      </c>
      <c r="T1768">
        <v>-0.36696620000000002</v>
      </c>
      <c r="U1768">
        <v>-3.1416019999999998</v>
      </c>
      <c r="V1768">
        <v>0.2174817</v>
      </c>
      <c r="W1768">
        <v>4.2983460000000001E-2</v>
      </c>
      <c r="X1768">
        <v>0.97511749999999997</v>
      </c>
      <c r="Y1768">
        <v>0.48461130000000002</v>
      </c>
      <c r="Z1768">
        <v>8.3328150000000004E-2</v>
      </c>
      <c r="AA1768">
        <v>0.87075159999999996</v>
      </c>
      <c r="AB1768">
        <v>11</v>
      </c>
      <c r="AC1768">
        <v>0.37219999999999198</v>
      </c>
      <c r="AD1768">
        <v>-1.1085541356519999</v>
      </c>
      <c r="AE1768">
        <v>-9.4266999999999808</v>
      </c>
      <c r="AF1768">
        <v>4.53626512814514</v>
      </c>
      <c r="AG1768">
        <v>-1.1085541356519999</v>
      </c>
      <c r="AH1768">
        <v>8.1250047852470892</v>
      </c>
      <c r="AI1768">
        <v>96.793525729347195</v>
      </c>
      <c r="AJ1768">
        <v>60.824973961003998</v>
      </c>
      <c r="AK1768">
        <v>9.3713550965047201</v>
      </c>
      <c r="AL1768">
        <v>87.536470169770695</v>
      </c>
      <c r="AM1768">
        <v>77.427025944130193</v>
      </c>
      <c r="AN1768">
        <v>1.0000000032373499</v>
      </c>
    </row>
    <row r="1769" spans="1:40" x14ac:dyDescent="0.25">
      <c r="A1769" t="str">
        <f>"20190312153921293"</f>
        <v>20190312153921293</v>
      </c>
      <c r="B1769" t="str">
        <f>"1552376361287658"</f>
        <v>1552376361287658</v>
      </c>
      <c r="C1769" t="s">
        <v>40</v>
      </c>
      <c r="D1769">
        <v>4.3880189999999999</v>
      </c>
      <c r="E1769">
        <v>0.61095849999999996</v>
      </c>
      <c r="F1769" t="s">
        <v>42</v>
      </c>
      <c r="G1769">
        <v>-194.2653</v>
      </c>
      <c r="H1769" s="1">
        <v>-4.1316100000000002E-6</v>
      </c>
      <c r="I1769">
        <v>346.90440000000001</v>
      </c>
      <c r="J1769">
        <v>-194.60210000000001</v>
      </c>
      <c r="K1769">
        <v>1.1085659999999999</v>
      </c>
      <c r="L1769">
        <v>356.2636</v>
      </c>
      <c r="M1769">
        <v>0.51684589999999997</v>
      </c>
      <c r="N1769">
        <v>0</v>
      </c>
      <c r="O1769">
        <v>-0.85596709999999998</v>
      </c>
      <c r="P1769">
        <v>0.31890359999999901</v>
      </c>
      <c r="Q1769">
        <v>3.062424E-2</v>
      </c>
      <c r="R1769">
        <v>-0.94729240000000003</v>
      </c>
      <c r="S1769">
        <v>0.12530519999999901</v>
      </c>
      <c r="T1769">
        <v>-0.36901020000000001</v>
      </c>
      <c r="U1769">
        <v>-3.1411440000000002</v>
      </c>
      <c r="V1769">
        <v>0.21686320000000001</v>
      </c>
      <c r="W1769">
        <v>4.3071119999999997E-2</v>
      </c>
      <c r="X1769">
        <v>0.97525139999999999</v>
      </c>
      <c r="Y1769">
        <v>0.48228929999999998</v>
      </c>
      <c r="Z1769">
        <v>8.4362160000000005E-2</v>
      </c>
      <c r="AA1769">
        <v>0.87194039999999995</v>
      </c>
      <c r="AB1769">
        <v>11</v>
      </c>
      <c r="AC1769">
        <v>0.33680000000000998</v>
      </c>
      <c r="AD1769">
        <v>-1.1085701316099901</v>
      </c>
      <c r="AE1769">
        <v>-9.35919999999998</v>
      </c>
      <c r="AF1769">
        <v>4.4865445570420404</v>
      </c>
      <c r="AG1769">
        <v>-1.1085701316099901</v>
      </c>
      <c r="AH1769">
        <v>8.0729071914134796</v>
      </c>
      <c r="AI1769">
        <v>96.844413685297795</v>
      </c>
      <c r="AJ1769">
        <v>60.936740240788403</v>
      </c>
      <c r="AK1769">
        <v>9.3021417060909606</v>
      </c>
      <c r="AL1769">
        <v>87.531443034738899</v>
      </c>
      <c r="AM1769">
        <v>77.463317299747402</v>
      </c>
      <c r="AN1769">
        <v>1.00000003104712</v>
      </c>
    </row>
    <row r="1770" spans="1:40" x14ac:dyDescent="0.25">
      <c r="A1770" t="str">
        <f>"20190312153921316"</f>
        <v>20190312153921316</v>
      </c>
      <c r="B1770" t="str">
        <f>"1552376361308154"</f>
        <v>1552376361308154</v>
      </c>
      <c r="C1770" t="s">
        <v>40</v>
      </c>
      <c r="D1770">
        <v>4.3810039999999999</v>
      </c>
      <c r="E1770">
        <v>0.61029730000000004</v>
      </c>
      <c r="F1770" t="s">
        <v>42</v>
      </c>
      <c r="G1770">
        <v>-194.2458</v>
      </c>
      <c r="H1770" s="1">
        <v>-4.1355779999999997E-6</v>
      </c>
      <c r="I1770">
        <v>346.92630000000003</v>
      </c>
      <c r="J1770">
        <v>-194.5479</v>
      </c>
      <c r="K1770">
        <v>1.1085879999999999</v>
      </c>
      <c r="L1770">
        <v>356.15649999999999</v>
      </c>
      <c r="M1770">
        <v>0.51042739999999998</v>
      </c>
      <c r="N1770">
        <v>0</v>
      </c>
      <c r="O1770">
        <v>-0.85981039999999997</v>
      </c>
      <c r="P1770">
        <v>0.31276199999999998</v>
      </c>
      <c r="Q1770">
        <v>3.0865110000000001E-2</v>
      </c>
      <c r="R1770">
        <v>-0.94933029999999996</v>
      </c>
      <c r="S1770">
        <v>0.1197815</v>
      </c>
      <c r="T1770">
        <v>-0.37263439999999998</v>
      </c>
      <c r="U1770">
        <v>-3.1386409999999998</v>
      </c>
      <c r="V1770">
        <v>0.21587629999999999</v>
      </c>
      <c r="W1770">
        <v>4.3318849999999999E-2</v>
      </c>
      <c r="X1770">
        <v>0.97545930000000003</v>
      </c>
      <c r="Y1770">
        <v>0.47724139999999998</v>
      </c>
      <c r="Z1770">
        <v>8.6083309999999996E-2</v>
      </c>
      <c r="AA1770">
        <v>0.87454580000000004</v>
      </c>
      <c r="AB1770">
        <v>11</v>
      </c>
      <c r="AC1770">
        <v>0.30209999999999498</v>
      </c>
      <c r="AD1770">
        <v>-1.108592135578</v>
      </c>
      <c r="AE1770">
        <v>-9.2301999999999609</v>
      </c>
      <c r="AF1770">
        <v>4.3887798936340401</v>
      </c>
      <c r="AG1770">
        <v>-1.108592135578</v>
      </c>
      <c r="AH1770">
        <v>7.9762547292290504</v>
      </c>
      <c r="AI1770">
        <v>96.942746892330902</v>
      </c>
      <c r="AJ1770">
        <v>61.179060780725102</v>
      </c>
      <c r="AK1770">
        <v>9.1712052088796092</v>
      </c>
      <c r="AL1770">
        <v>87.517235746930098</v>
      </c>
      <c r="AM1770">
        <v>77.521154242374195</v>
      </c>
      <c r="AN1770">
        <v>0.99999997281175002</v>
      </c>
    </row>
    <row r="1771" spans="1:40" x14ac:dyDescent="0.25">
      <c r="A1771" t="str">
        <f>"20190312153921338"</f>
        <v>20190312153921338</v>
      </c>
      <c r="B1771" t="str">
        <f>"1552376361327673"</f>
        <v>1552376361327673</v>
      </c>
      <c r="C1771" t="s">
        <v>40</v>
      </c>
      <c r="D1771">
        <v>4.3467840000000004</v>
      </c>
      <c r="E1771">
        <v>0.60878089999999996</v>
      </c>
      <c r="F1771" t="s">
        <v>42</v>
      </c>
      <c r="G1771">
        <v>-194.23859999999999</v>
      </c>
      <c r="H1771" s="1">
        <v>-4.1040180000000001E-6</v>
      </c>
      <c r="I1771">
        <v>346.83730000000003</v>
      </c>
      <c r="J1771">
        <v>-194.50040000000001</v>
      </c>
      <c r="K1771">
        <v>1.1086119999999999</v>
      </c>
      <c r="L1771">
        <v>356.06119999999999</v>
      </c>
      <c r="M1771">
        <v>0.50477190000000005</v>
      </c>
      <c r="N1771">
        <v>0</v>
      </c>
      <c r="O1771">
        <v>-0.86314269999999904</v>
      </c>
      <c r="P1771">
        <v>0.30748360000000002</v>
      </c>
      <c r="Q1771">
        <v>3.0303489999999999E-2</v>
      </c>
      <c r="R1771">
        <v>-0.95107109999999995</v>
      </c>
      <c r="S1771">
        <v>0.1041412</v>
      </c>
      <c r="T1771">
        <v>-0.37328210000000001</v>
      </c>
      <c r="U1771">
        <v>-3.1379389999999998</v>
      </c>
      <c r="V1771">
        <v>0.214894</v>
      </c>
      <c r="W1771">
        <v>4.276717E-2</v>
      </c>
      <c r="X1771">
        <v>0.97570060000000003</v>
      </c>
      <c r="Y1771">
        <v>0.4758233</v>
      </c>
      <c r="Z1771">
        <v>8.6878059999999993E-2</v>
      </c>
      <c r="AA1771">
        <v>0.87523960000000001</v>
      </c>
      <c r="AB1771">
        <v>11</v>
      </c>
      <c r="AC1771">
        <v>0.26180000000002202</v>
      </c>
      <c r="AD1771">
        <v>-1.108616104018</v>
      </c>
      <c r="AE1771">
        <v>-9.2238999999999507</v>
      </c>
      <c r="AF1771">
        <v>4.3673774399788696</v>
      </c>
      <c r="AG1771">
        <v>-1.108616104018</v>
      </c>
      <c r="AH1771">
        <v>7.9792880895204403</v>
      </c>
      <c r="AI1771">
        <v>96.948667984885901</v>
      </c>
      <c r="AJ1771">
        <v>61.306382350247603</v>
      </c>
      <c r="AK1771">
        <v>9.1636266720598805</v>
      </c>
      <c r="AL1771">
        <v>87.548874222939901</v>
      </c>
      <c r="AM1771">
        <v>77.579146742369105</v>
      </c>
      <c r="AN1771">
        <v>1.00000006145308</v>
      </c>
    </row>
    <row r="1772" spans="1:40" x14ac:dyDescent="0.25">
      <c r="A1772" t="str">
        <f>"20190312153921359"</f>
        <v>20190312153921359</v>
      </c>
      <c r="B1772" t="str">
        <f>"1552376361347193"</f>
        <v>1552376361347193</v>
      </c>
      <c r="C1772" t="s">
        <v>40</v>
      </c>
      <c r="D1772">
        <v>4.3320270000000001</v>
      </c>
      <c r="E1772">
        <v>0.60765729999999996</v>
      </c>
      <c r="F1772" t="s">
        <v>42</v>
      </c>
      <c r="G1772">
        <v>-194.209</v>
      </c>
      <c r="H1772" s="1">
        <v>-4.0817189999999997E-6</v>
      </c>
      <c r="I1772">
        <v>346.78719999999998</v>
      </c>
      <c r="J1772">
        <v>-194.45310000000001</v>
      </c>
      <c r="K1772">
        <v>1.108644</v>
      </c>
      <c r="L1772">
        <v>355.96480000000003</v>
      </c>
      <c r="M1772">
        <v>0.49910159999999998</v>
      </c>
      <c r="N1772">
        <v>0</v>
      </c>
      <c r="O1772">
        <v>-0.86643400000000004</v>
      </c>
      <c r="P1772">
        <v>0.30177179999999998</v>
      </c>
      <c r="Q1772">
        <v>2.9766339999999999E-2</v>
      </c>
      <c r="R1772">
        <v>-0.95291579999999998</v>
      </c>
      <c r="S1772">
        <v>9.8495479999999996E-2</v>
      </c>
      <c r="T1772">
        <v>-0.37468649999999998</v>
      </c>
      <c r="U1772">
        <v>-3.1343990000000002</v>
      </c>
      <c r="V1772">
        <v>0.2143524</v>
      </c>
      <c r="W1772">
        <v>4.2238850000000001E-2</v>
      </c>
      <c r="X1772">
        <v>0.97584269999999995</v>
      </c>
      <c r="Y1772">
        <v>0.4716013</v>
      </c>
      <c r="Z1772">
        <v>8.8013460000000002E-2</v>
      </c>
      <c r="AA1772">
        <v>0.87740859999999998</v>
      </c>
      <c r="AB1772">
        <v>11</v>
      </c>
      <c r="AC1772">
        <v>0.24410000000000301</v>
      </c>
      <c r="AD1772">
        <v>-1.1086480817190001</v>
      </c>
      <c r="AE1772">
        <v>-9.1776000000000302</v>
      </c>
      <c r="AF1772">
        <v>4.3066721945246504</v>
      </c>
      <c r="AG1772">
        <v>-1.1086480817190001</v>
      </c>
      <c r="AH1772">
        <v>7.9583316212493802</v>
      </c>
      <c r="AI1772">
        <v>96.984927261979294</v>
      </c>
      <c r="AJ1772">
        <v>61.5798467241057</v>
      </c>
      <c r="AK1772">
        <v>9.1165546207966504</v>
      </c>
      <c r="AL1772">
        <v>87.579172014727405</v>
      </c>
      <c r="AM1772">
        <v>77.611231664072406</v>
      </c>
      <c r="AN1772">
        <v>1.0000000234891799</v>
      </c>
    </row>
    <row r="1773" spans="1:40" x14ac:dyDescent="0.25">
      <c r="A1773" t="str">
        <f>"20190312153921372"</f>
        <v>20190312153921372</v>
      </c>
      <c r="B1773" t="str">
        <f>"1552376361368035"</f>
        <v>1552376361368035</v>
      </c>
      <c r="C1773" t="s">
        <v>40</v>
      </c>
      <c r="D1773">
        <v>4.2806749999999996</v>
      </c>
      <c r="E1773">
        <v>0.59750150000000002</v>
      </c>
      <c r="F1773" t="s">
        <v>42</v>
      </c>
      <c r="G1773">
        <v>-194.19239999999999</v>
      </c>
      <c r="H1773" s="1">
        <v>-4.0542500000000002E-6</v>
      </c>
      <c r="I1773">
        <v>346.71510000000001</v>
      </c>
      <c r="J1773">
        <v>-194.42519999999999</v>
      </c>
      <c r="K1773">
        <v>1.10866</v>
      </c>
      <c r="L1773">
        <v>355.90699999999998</v>
      </c>
      <c r="M1773">
        <v>0.49572559999999899</v>
      </c>
      <c r="N1773">
        <v>0</v>
      </c>
      <c r="O1773">
        <v>-0.86837019999999998</v>
      </c>
      <c r="P1773">
        <v>0.29833860000000001</v>
      </c>
      <c r="Q1773">
        <v>2.9626329999999999E-2</v>
      </c>
      <c r="R1773">
        <v>-0.95400059999999998</v>
      </c>
      <c r="S1773">
        <v>8.8287350000000001E-2</v>
      </c>
      <c r="T1773">
        <v>-0.37539060000000002</v>
      </c>
      <c r="U1773">
        <v>-3.131958</v>
      </c>
      <c r="V1773">
        <v>0.21406729999999999</v>
      </c>
      <c r="W1773">
        <v>4.2104019999999999E-2</v>
      </c>
      <c r="X1773">
        <v>0.97591110000000003</v>
      </c>
      <c r="Y1773">
        <v>0.47100730000000002</v>
      </c>
      <c r="Z1773">
        <v>8.8604169999999996E-2</v>
      </c>
      <c r="AA1773">
        <v>0.87766819999999901</v>
      </c>
      <c r="AB1773">
        <v>11</v>
      </c>
      <c r="AC1773">
        <v>0.23279999999999701</v>
      </c>
      <c r="AD1773">
        <v>-1.1086640542499999</v>
      </c>
      <c r="AE1773">
        <v>-9.1918999999999702</v>
      </c>
      <c r="AF1773">
        <v>4.2925104195565202</v>
      </c>
      <c r="AG1773">
        <v>-1.1086640542499999</v>
      </c>
      <c r="AH1773">
        <v>7.9820981879708102</v>
      </c>
      <c r="AI1773">
        <v>96.974195737361597</v>
      </c>
      <c r="AJ1773">
        <v>61.7300948248932</v>
      </c>
      <c r="AK1773">
        <v>9.1306447291302604</v>
      </c>
      <c r="AL1773">
        <v>87.586904065593998</v>
      </c>
      <c r="AM1773">
        <v>77.628042030146304</v>
      </c>
      <c r="AN1773">
        <v>1.0000000162663301</v>
      </c>
    </row>
    <row r="1774" spans="1:40" x14ac:dyDescent="0.25">
      <c r="A1774" t="str">
        <f>"20190312153921385"</f>
        <v>20190312153921385</v>
      </c>
      <c r="B1774" t="str">
        <f>"1552376361378016"</f>
        <v>1552376361378016</v>
      </c>
      <c r="C1774" t="s">
        <v>40</v>
      </c>
      <c r="D1774">
        <v>4.2894420000000002</v>
      </c>
      <c r="E1774">
        <v>0.59716130000000001</v>
      </c>
      <c r="F1774" t="s">
        <v>42</v>
      </c>
      <c r="G1774">
        <v>-193.619</v>
      </c>
      <c r="H1774" s="1">
        <v>-9.8702799999999996E-7</v>
      </c>
      <c r="I1774">
        <v>339.64530000000002</v>
      </c>
      <c r="J1774">
        <v>-194.39680000000001</v>
      </c>
      <c r="K1774">
        <v>1.1086780000000001</v>
      </c>
      <c r="L1774">
        <v>355.84809999999999</v>
      </c>
      <c r="M1774">
        <v>0.49229460000000003</v>
      </c>
      <c r="N1774">
        <v>0</v>
      </c>
      <c r="O1774">
        <v>-0.87032009999999904</v>
      </c>
      <c r="P1774">
        <v>0.29482989999999998</v>
      </c>
      <c r="Q1774">
        <v>2.950734E-2</v>
      </c>
      <c r="R1774">
        <v>-0.95509429999999995</v>
      </c>
      <c r="S1774">
        <v>0.15383910000000001</v>
      </c>
      <c r="T1774">
        <v>-0.211557</v>
      </c>
      <c r="U1774">
        <v>-3.1030880000000001</v>
      </c>
      <c r="V1774">
        <v>0.21380170000000001</v>
      </c>
      <c r="W1774">
        <v>4.1988730000000002E-2</v>
      </c>
      <c r="X1774">
        <v>0.97597429999999996</v>
      </c>
      <c r="Y1774">
        <v>0.44864799999999999</v>
      </c>
      <c r="Z1774">
        <v>5.1216749999999998E-2</v>
      </c>
      <c r="AA1774">
        <v>0.89223969999999897</v>
      </c>
      <c r="AB1774">
        <v>11</v>
      </c>
      <c r="AC1774">
        <v>0.77779999999998495</v>
      </c>
      <c r="AD1774">
        <v>-1.1086789870280001</v>
      </c>
      <c r="AE1774">
        <v>-16.2027999999999</v>
      </c>
      <c r="AF1774">
        <v>7.2663628019989099</v>
      </c>
      <c r="AG1774">
        <v>-1.1086789870280001</v>
      </c>
      <c r="AH1774">
        <v>14.418545442407</v>
      </c>
      <c r="AI1774">
        <v>93.928089347290197</v>
      </c>
      <c r="AJ1774">
        <v>63.253746780337899</v>
      </c>
      <c r="AK1774">
        <v>16.1840554293819</v>
      </c>
      <c r="AL1774">
        <v>87.5935155693073</v>
      </c>
      <c r="AM1774">
        <v>77.643696042022796</v>
      </c>
      <c r="AN1774">
        <v>1.0000000273151901</v>
      </c>
    </row>
    <row r="1775" spans="1:40" x14ac:dyDescent="0.25">
      <c r="A1775" t="str">
        <f>"20190312153921398"</f>
        <v>20190312153921398</v>
      </c>
      <c r="B1775" t="str">
        <f>"1552376361387777"</f>
        <v>1552376361387777</v>
      </c>
      <c r="C1775" t="s">
        <v>40</v>
      </c>
      <c r="D1775">
        <v>4.296564</v>
      </c>
      <c r="E1775">
        <v>0.59662499999999996</v>
      </c>
      <c r="F1775" t="s">
        <v>42</v>
      </c>
      <c r="G1775">
        <v>-193.6311</v>
      </c>
      <c r="H1775" s="1">
        <v>-4.8934550000000001E-6</v>
      </c>
      <c r="I1775">
        <v>339.47370000000001</v>
      </c>
      <c r="J1775">
        <v>-194.36840000000001</v>
      </c>
      <c r="K1775">
        <v>1.1086959999999999</v>
      </c>
      <c r="L1775">
        <v>355.7885</v>
      </c>
      <c r="M1775">
        <v>0.4888422</v>
      </c>
      <c r="N1775">
        <v>0</v>
      </c>
      <c r="O1775">
        <v>-0.87226380000000003</v>
      </c>
      <c r="P1775">
        <v>0.2912902</v>
      </c>
      <c r="Q1775">
        <v>2.9292749999999999E-2</v>
      </c>
      <c r="R1775">
        <v>-0.95618590000000003</v>
      </c>
      <c r="S1775">
        <v>0.1450958</v>
      </c>
      <c r="T1775">
        <v>-0.21008089999999999</v>
      </c>
      <c r="U1775">
        <v>-3.102722</v>
      </c>
      <c r="V1775">
        <v>0.2135495</v>
      </c>
      <c r="W1775">
        <v>4.1778620000000002E-2</v>
      </c>
      <c r="X1775">
        <v>0.97603850000000003</v>
      </c>
      <c r="Y1775">
        <v>0.44761089999999998</v>
      </c>
      <c r="Z1775">
        <v>5.1080149999999998E-2</v>
      </c>
      <c r="AA1775">
        <v>0.89276829999999996</v>
      </c>
      <c r="AB1775">
        <v>11</v>
      </c>
      <c r="AC1775">
        <v>0.73730000000000395</v>
      </c>
      <c r="AD1775">
        <v>-1.108700893455</v>
      </c>
      <c r="AE1775">
        <v>-16.314799999999899</v>
      </c>
      <c r="AF1775">
        <v>7.2992959057595499</v>
      </c>
      <c r="AG1775">
        <v>-1.108700893455</v>
      </c>
      <c r="AH1775">
        <v>14.5256685129442</v>
      </c>
      <c r="AI1775">
        <v>93.901550132145502</v>
      </c>
      <c r="AJ1775">
        <v>63.320007450666601</v>
      </c>
      <c r="AK1775">
        <v>16.294292992913999</v>
      </c>
      <c r="AL1775">
        <v>87.605564487487996</v>
      </c>
      <c r="AM1775">
        <v>77.658611477433894</v>
      </c>
      <c r="AN1775">
        <v>0.99999999776080195</v>
      </c>
    </row>
    <row r="1776" spans="1:40" x14ac:dyDescent="0.25">
      <c r="A1776" t="str">
        <f>"20190312153921416"</f>
        <v>20190312153921416</v>
      </c>
      <c r="B1776" t="str">
        <f>"1552376361407297"</f>
        <v>1552376361407297</v>
      </c>
      <c r="C1776" t="s">
        <v>40</v>
      </c>
      <c r="D1776">
        <v>4.2563550000000001</v>
      </c>
      <c r="E1776">
        <v>0.59568080000000001</v>
      </c>
      <c r="F1776" t="s">
        <v>42</v>
      </c>
      <c r="G1776">
        <v>-193.65219999999999</v>
      </c>
      <c r="H1776" s="1">
        <v>-1.0024970000000001E-6</v>
      </c>
      <c r="I1776">
        <v>339.66079999999999</v>
      </c>
      <c r="J1776">
        <v>-194.32980000000001</v>
      </c>
      <c r="K1776">
        <v>1.108719</v>
      </c>
      <c r="L1776">
        <v>355.70650000000001</v>
      </c>
      <c r="M1776">
        <v>0.48413859999999997</v>
      </c>
      <c r="N1776">
        <v>0</v>
      </c>
      <c r="O1776">
        <v>-0.87488349999999904</v>
      </c>
      <c r="P1776">
        <v>0.2867035</v>
      </c>
      <c r="Q1776">
        <v>2.9478049999999999E-2</v>
      </c>
      <c r="R1776">
        <v>-0.95756580000000002</v>
      </c>
      <c r="S1776">
        <v>0.1377563</v>
      </c>
      <c r="T1776">
        <v>-0.21324360000000001</v>
      </c>
      <c r="U1776">
        <v>-3.1019589999999999</v>
      </c>
      <c r="V1776">
        <v>0.21296709999999999</v>
      </c>
      <c r="W1776">
        <v>4.1972530000000001E-2</v>
      </c>
      <c r="X1776">
        <v>0.97615739999999995</v>
      </c>
      <c r="Y1776">
        <v>0.44489390000000001</v>
      </c>
      <c r="Z1776">
        <v>5.2172700000000002E-2</v>
      </c>
      <c r="AA1776">
        <v>0.89406229999999998</v>
      </c>
      <c r="AB1776">
        <v>11</v>
      </c>
      <c r="AC1776">
        <v>0.67760000000001197</v>
      </c>
      <c r="AD1776">
        <v>-1.1087200024969901</v>
      </c>
      <c r="AE1776">
        <v>-16.0457</v>
      </c>
      <c r="AF1776">
        <v>7.1421592787042902</v>
      </c>
      <c r="AG1776">
        <v>-1.1087200024969901</v>
      </c>
      <c r="AH1776">
        <v>14.2993753666351</v>
      </c>
      <c r="AI1776">
        <v>93.967973669242895</v>
      </c>
      <c r="AJ1776">
        <v>63.459086192963497</v>
      </c>
      <c r="AK1776">
        <v>16.0222294042449</v>
      </c>
      <c r="AL1776">
        <v>87.594444452214702</v>
      </c>
      <c r="AM1776">
        <v>77.692695537673302</v>
      </c>
      <c r="AN1776">
        <v>0.99999997426588505</v>
      </c>
    </row>
    <row r="1777" spans="1:40" x14ac:dyDescent="0.25">
      <c r="A1777" t="str">
        <f>"20190312153921439"</f>
        <v>20190312153921439</v>
      </c>
      <c r="B1777" t="str">
        <f>"1552376361427796"</f>
        <v>1552376361427796</v>
      </c>
      <c r="C1777" t="s">
        <v>40</v>
      </c>
      <c r="D1777">
        <v>4.2871739999999896</v>
      </c>
      <c r="E1777">
        <v>0.59458259999999996</v>
      </c>
      <c r="F1777" t="s">
        <v>42</v>
      </c>
      <c r="G1777">
        <v>-193.6395</v>
      </c>
      <c r="H1777" s="1">
        <v>-4.8345610000000002E-6</v>
      </c>
      <c r="I1777">
        <v>339.29629999999997</v>
      </c>
      <c r="J1777">
        <v>-194.2842</v>
      </c>
      <c r="K1777">
        <v>1.1087629999999999</v>
      </c>
      <c r="L1777">
        <v>355.60860000000002</v>
      </c>
      <c r="M1777">
        <v>0.4785857</v>
      </c>
      <c r="N1777">
        <v>0</v>
      </c>
      <c r="O1777">
        <v>-0.87793369999999904</v>
      </c>
      <c r="P1777">
        <v>0.28112500000000001</v>
      </c>
      <c r="Q1777">
        <v>2.9347060000000001E-2</v>
      </c>
      <c r="R1777">
        <v>-0.95922269999999998</v>
      </c>
      <c r="S1777">
        <v>0.130416899999999</v>
      </c>
      <c r="T1777">
        <v>-0.20946629999999999</v>
      </c>
      <c r="U1777">
        <v>-3.100311</v>
      </c>
      <c r="V1777">
        <v>0.21246080000000001</v>
      </c>
      <c r="W1777">
        <v>4.1851520000000003E-2</v>
      </c>
      <c r="X1777">
        <v>0.9762729</v>
      </c>
      <c r="Y1777">
        <v>0.44130979999999997</v>
      </c>
      <c r="Z1777">
        <v>5.1645690000000001E-2</v>
      </c>
      <c r="AA1777">
        <v>0.89586739999999998</v>
      </c>
      <c r="AB1777">
        <v>11</v>
      </c>
      <c r="AC1777">
        <v>0.64470000000000005</v>
      </c>
      <c r="AD1777">
        <v>-1.1087678345609999</v>
      </c>
      <c r="AE1777">
        <v>-16.3123</v>
      </c>
      <c r="AF1777">
        <v>7.2082600185705497</v>
      </c>
      <c r="AG1777">
        <v>-1.1087678345609999</v>
      </c>
      <c r="AH1777">
        <v>14.5638570925798</v>
      </c>
      <c r="AI1777">
        <v>93.903330013407299</v>
      </c>
      <c r="AJ1777">
        <v>63.667273546884601</v>
      </c>
      <c r="AK1777">
        <v>16.287857809404102</v>
      </c>
      <c r="AL1777">
        <v>87.601383873951704</v>
      </c>
      <c r="AM1777">
        <v>77.722474402298403</v>
      </c>
      <c r="AN1777">
        <v>0.99999995826867905</v>
      </c>
    </row>
    <row r="1778" spans="1:40" x14ac:dyDescent="0.25">
      <c r="A1778" t="str">
        <f>"20190312153921452"</f>
        <v>20190312153921452</v>
      </c>
      <c r="B1778" t="str">
        <f>"1552376361447312"</f>
        <v>1552376361447312</v>
      </c>
      <c r="C1778" t="s">
        <v>40</v>
      </c>
      <c r="D1778">
        <v>4.2474460000000001</v>
      </c>
      <c r="E1778">
        <v>0.58706459999999905</v>
      </c>
      <c r="F1778" t="s">
        <v>42</v>
      </c>
      <c r="G1778">
        <v>-193.6414</v>
      </c>
      <c r="H1778" s="1">
        <v>-4.7854559999999998E-6</v>
      </c>
      <c r="I1778">
        <v>339.15100000000001</v>
      </c>
      <c r="J1778">
        <v>-194.25470000000001</v>
      </c>
      <c r="K1778">
        <v>1.1087929999999999</v>
      </c>
      <c r="L1778">
        <v>355.54450000000003</v>
      </c>
      <c r="M1778">
        <v>0.47500530000000002</v>
      </c>
      <c r="N1778">
        <v>0</v>
      </c>
      <c r="O1778">
        <v>-0.87987610000000005</v>
      </c>
      <c r="P1778">
        <v>0.27743489999999998</v>
      </c>
      <c r="Q1778">
        <v>2.8934910000000001E-2</v>
      </c>
      <c r="R1778">
        <v>-0.96030899999999997</v>
      </c>
      <c r="S1778">
        <v>0.1210022</v>
      </c>
      <c r="T1778">
        <v>-0.2087445</v>
      </c>
      <c r="U1778">
        <v>-3.0984189999999998</v>
      </c>
      <c r="V1778">
        <v>0.21223790000000001</v>
      </c>
      <c r="W1778">
        <v>4.1447039999999997E-2</v>
      </c>
      <c r="X1778">
        <v>0.9763387</v>
      </c>
      <c r="Y1778">
        <v>0.44034970000000001</v>
      </c>
      <c r="Z1778">
        <v>5.1710249999999999E-2</v>
      </c>
      <c r="AA1778">
        <v>0.89633600000000002</v>
      </c>
      <c r="AB1778">
        <v>11</v>
      </c>
      <c r="AC1778">
        <v>0.61330000000000895</v>
      </c>
      <c r="AD1778">
        <v>-1.1087977854560001</v>
      </c>
      <c r="AE1778">
        <v>-16.3935</v>
      </c>
      <c r="AF1778">
        <v>7.2150921194338897</v>
      </c>
      <c r="AG1778">
        <v>-1.1087977854560001</v>
      </c>
      <c r="AH1778">
        <v>14.650027541478501</v>
      </c>
      <c r="AI1778">
        <v>93.884302130928106</v>
      </c>
      <c r="AJ1778">
        <v>63.779899950578702</v>
      </c>
      <c r="AK1778">
        <v>16.367965474885001</v>
      </c>
      <c r="AL1778">
        <v>87.624579145809193</v>
      </c>
      <c r="AM1778">
        <v>77.735766656294302</v>
      </c>
      <c r="AN1778">
        <v>1.0000000202194299</v>
      </c>
    </row>
    <row r="1779" spans="1:40" x14ac:dyDescent="0.25">
      <c r="A1779" t="str">
        <f>"20190312153921471"</f>
        <v>20190312153921471</v>
      </c>
      <c r="B1779" t="str">
        <f>"1552376361467808"</f>
        <v>1552376361467808</v>
      </c>
      <c r="C1779" t="s">
        <v>40</v>
      </c>
      <c r="D1779">
        <v>4.1233139999999997</v>
      </c>
      <c r="E1779">
        <v>0.58674969999999904</v>
      </c>
      <c r="F1779" t="s">
        <v>42</v>
      </c>
      <c r="G1779">
        <v>-193.65610000000001</v>
      </c>
      <c r="H1779" s="1">
        <v>-3.080332E-6</v>
      </c>
      <c r="I1779">
        <v>344.50189999999998</v>
      </c>
      <c r="J1779">
        <v>-194.21729999999999</v>
      </c>
      <c r="K1779">
        <v>1.1088290000000001</v>
      </c>
      <c r="L1779">
        <v>355.46230000000003</v>
      </c>
      <c r="M1779">
        <v>0.47044849999999999</v>
      </c>
      <c r="N1779">
        <v>0</v>
      </c>
      <c r="O1779">
        <v>-0.88232119999999903</v>
      </c>
      <c r="P1779">
        <v>0.2733042</v>
      </c>
      <c r="Q1779">
        <v>2.7645989999999999E-2</v>
      </c>
      <c r="R1779">
        <v>-0.96153049999999995</v>
      </c>
      <c r="S1779">
        <v>0.1672516</v>
      </c>
      <c r="T1779">
        <v>-0.30977139999999997</v>
      </c>
      <c r="U1779">
        <v>-3.0850520000000001</v>
      </c>
      <c r="V1779">
        <v>0.21139340000000001</v>
      </c>
      <c r="W1779">
        <v>4.0171610000000003E-2</v>
      </c>
      <c r="X1779">
        <v>0.97657519999999998</v>
      </c>
      <c r="Y1779">
        <v>0.42210150000000002</v>
      </c>
      <c r="Z1779">
        <v>7.7668520000000005E-2</v>
      </c>
      <c r="AA1779">
        <v>0.90321530000000005</v>
      </c>
      <c r="AB1779">
        <v>11</v>
      </c>
      <c r="AC1779">
        <v>0.56119999999998504</v>
      </c>
      <c r="AD1779">
        <v>-1.108832080332</v>
      </c>
      <c r="AE1779">
        <v>-10.9604</v>
      </c>
      <c r="AF1779">
        <v>4.6144774525503003</v>
      </c>
      <c r="AG1779">
        <v>-1.108832080332</v>
      </c>
      <c r="AH1779">
        <v>9.8351431517221908</v>
      </c>
      <c r="AI1779">
        <v>95.827777370932793</v>
      </c>
      <c r="AJ1779">
        <v>64.864850200529006</v>
      </c>
      <c r="AK1779">
        <v>10.9202999756113</v>
      </c>
      <c r="AL1779">
        <v>87.697716842485406</v>
      </c>
      <c r="AM1779">
        <v>77.785967608480505</v>
      </c>
      <c r="AN1779">
        <v>1.0000000245342899</v>
      </c>
    </row>
    <row r="1780" spans="1:40" x14ac:dyDescent="0.25">
      <c r="A1780" t="str">
        <f>"20190312153921485"</f>
        <v>20190312153921485</v>
      </c>
      <c r="B1780" t="str">
        <f>"1552376361477568"</f>
        <v>1552376361477568</v>
      </c>
      <c r="C1780" t="s">
        <v>40</v>
      </c>
      <c r="D1780">
        <v>4.1469189999999996</v>
      </c>
      <c r="E1780">
        <v>0.59203229999999996</v>
      </c>
      <c r="F1780" t="s">
        <v>42</v>
      </c>
      <c r="G1780">
        <v>-193.66579999999999</v>
      </c>
      <c r="H1780" s="1">
        <v>-3.1308050000000001E-6</v>
      </c>
      <c r="I1780">
        <v>344.61349999999999</v>
      </c>
      <c r="J1780">
        <v>-194.1891</v>
      </c>
      <c r="K1780">
        <v>1.1088559999999901</v>
      </c>
      <c r="L1780">
        <v>355.39960000000002</v>
      </c>
      <c r="M1780">
        <v>0.46701219999999999</v>
      </c>
      <c r="N1780">
        <v>0</v>
      </c>
      <c r="O1780">
        <v>-0.88414499999999996</v>
      </c>
      <c r="P1780">
        <v>0.269866099999999</v>
      </c>
      <c r="Q1780">
        <v>2.7118679999999999E-2</v>
      </c>
      <c r="R1780">
        <v>-0.96251580000000003</v>
      </c>
      <c r="S1780">
        <v>0.1567993</v>
      </c>
      <c r="T1780">
        <v>-0.3152624</v>
      </c>
      <c r="U1780">
        <v>-3.0845340000000001</v>
      </c>
      <c r="V1780">
        <v>0.21108560000000001</v>
      </c>
      <c r="W1780">
        <v>3.9652270000000003E-2</v>
      </c>
      <c r="X1780">
        <v>0.97666299999999995</v>
      </c>
      <c r="Y1780">
        <v>0.42162250000000001</v>
      </c>
      <c r="Z1780">
        <v>7.9334379999999996E-2</v>
      </c>
      <c r="AA1780">
        <v>0.90329429999999999</v>
      </c>
      <c r="AB1780">
        <v>11</v>
      </c>
      <c r="AC1780">
        <v>0.52330000000000598</v>
      </c>
      <c r="AD1780">
        <v>-1.10885913080499</v>
      </c>
      <c r="AE1780">
        <v>-10.786099999999999</v>
      </c>
      <c r="AF1780">
        <v>4.52726035648499</v>
      </c>
      <c r="AG1780">
        <v>-1.10885913080499</v>
      </c>
      <c r="AH1780">
        <v>9.6797172702657797</v>
      </c>
      <c r="AI1780">
        <v>95.924172827475005</v>
      </c>
      <c r="AJ1780">
        <v>64.934233168608202</v>
      </c>
      <c r="AK1780">
        <v>10.7434901842768</v>
      </c>
      <c r="AL1780">
        <v>87.727496560151906</v>
      </c>
      <c r="AM1780">
        <v>77.804282743217897</v>
      </c>
      <c r="AN1780">
        <v>1.0000000243062499</v>
      </c>
    </row>
    <row r="1781" spans="1:40" x14ac:dyDescent="0.25">
      <c r="A1781" t="str">
        <f>"20190312153921506"</f>
        <v>20190312153921506</v>
      </c>
      <c r="B1781" t="str">
        <f>"1552376361498065"</f>
        <v>1552376361498065</v>
      </c>
      <c r="C1781" t="s">
        <v>40</v>
      </c>
      <c r="D1781">
        <v>4.0870240000000004</v>
      </c>
      <c r="E1781">
        <v>0.59273169999999897</v>
      </c>
      <c r="F1781" t="s">
        <v>42</v>
      </c>
      <c r="G1781">
        <v>-193.39179999999999</v>
      </c>
      <c r="H1781" s="1">
        <v>-1.817723E-6</v>
      </c>
      <c r="I1781">
        <v>331.7226</v>
      </c>
      <c r="J1781">
        <v>-194.14490000000001</v>
      </c>
      <c r="K1781">
        <v>1.1089009999999999</v>
      </c>
      <c r="L1781">
        <v>355.30040000000002</v>
      </c>
      <c r="M1781">
        <v>0.46164430000000001</v>
      </c>
      <c r="N1781">
        <v>0</v>
      </c>
      <c r="O1781">
        <v>-0.88695990000000002</v>
      </c>
      <c r="P1781">
        <v>0.26496409999999998</v>
      </c>
      <c r="Q1781">
        <v>2.6559699999999999E-2</v>
      </c>
      <c r="R1781">
        <v>-0.96389279999999999</v>
      </c>
      <c r="S1781">
        <v>0.1041107</v>
      </c>
      <c r="T1781">
        <v>-0.14479320000000001</v>
      </c>
      <c r="U1781">
        <v>-3.0917050000000001</v>
      </c>
      <c r="V1781">
        <v>0.2101354</v>
      </c>
      <c r="W1781">
        <v>3.9108619999999997E-2</v>
      </c>
      <c r="X1781">
        <v>0.97688980000000003</v>
      </c>
      <c r="Y1781">
        <v>0.43157129999999999</v>
      </c>
      <c r="Z1781">
        <v>3.657875E-2</v>
      </c>
      <c r="AA1781">
        <v>0.9013369</v>
      </c>
      <c r="AB1781">
        <v>11</v>
      </c>
      <c r="AC1781">
        <v>0.75310000000001698</v>
      </c>
      <c r="AD1781">
        <v>-1.10890281772299</v>
      </c>
      <c r="AE1781">
        <v>-23.5778</v>
      </c>
      <c r="AF1781">
        <v>10.1950130650393</v>
      </c>
      <c r="AG1781">
        <v>-1.10890281772299</v>
      </c>
      <c r="AH1781">
        <v>21.215332140678601</v>
      </c>
      <c r="AI1781">
        <v>92.697298599864197</v>
      </c>
      <c r="AJ1781">
        <v>64.333420397449501</v>
      </c>
      <c r="AK1781">
        <v>23.563918916317501</v>
      </c>
      <c r="AL1781">
        <v>87.758669595176102</v>
      </c>
      <c r="AM1781">
        <v>77.860284518760807</v>
      </c>
      <c r="AN1781">
        <v>1.0000000259177499</v>
      </c>
    </row>
    <row r="1782" spans="1:40" x14ac:dyDescent="0.25">
      <c r="A1782" t="str">
        <f>"20190312153921529"</f>
        <v>20190312153921529</v>
      </c>
      <c r="B1782" t="str">
        <f>"1552376361517584"</f>
        <v>1552376361517584</v>
      </c>
      <c r="C1782" t="s">
        <v>40</v>
      </c>
      <c r="D1782">
        <v>4.0772459999999997</v>
      </c>
      <c r="E1782">
        <v>0.59392860000000003</v>
      </c>
      <c r="F1782" t="s">
        <v>42</v>
      </c>
      <c r="G1782">
        <v>-193.52770000000001</v>
      </c>
      <c r="H1782" s="1">
        <v>-2.124616E-6</v>
      </c>
      <c r="I1782">
        <v>332.3537</v>
      </c>
      <c r="J1782">
        <v>-194.10040000000001</v>
      </c>
      <c r="K1782">
        <v>1.108943</v>
      </c>
      <c r="L1782">
        <v>355.19929999999999</v>
      </c>
      <c r="M1782">
        <v>0.45625729999999998</v>
      </c>
      <c r="N1782">
        <v>0</v>
      </c>
      <c r="O1782">
        <v>-0.88974330000000001</v>
      </c>
      <c r="P1782">
        <v>0.26035979999999997</v>
      </c>
      <c r="Q1782">
        <v>2.68451E-2</v>
      </c>
      <c r="R1782">
        <v>-0.96513859999999996</v>
      </c>
      <c r="S1782">
        <v>8.3206180000000005E-2</v>
      </c>
      <c r="T1782">
        <v>-0.149501</v>
      </c>
      <c r="U1782">
        <v>-3.093658</v>
      </c>
      <c r="V1782">
        <v>0.20886660000000001</v>
      </c>
      <c r="W1782">
        <v>3.940975E-2</v>
      </c>
      <c r="X1782">
        <v>0.97714970000000001</v>
      </c>
      <c r="Y1782">
        <v>0.4322049</v>
      </c>
      <c r="Z1782">
        <v>3.7934540000000003E-2</v>
      </c>
      <c r="AA1782">
        <v>0.90097720000000003</v>
      </c>
      <c r="AB1782">
        <v>11</v>
      </c>
      <c r="AC1782">
        <v>0.57269999999999699</v>
      </c>
      <c r="AD1782">
        <v>-1.108945124616</v>
      </c>
      <c r="AE1782">
        <v>-22.845599999999902</v>
      </c>
      <c r="AF1782">
        <v>9.8915466071059104</v>
      </c>
      <c r="AG1782">
        <v>-1.108945124616</v>
      </c>
      <c r="AH1782">
        <v>20.5415644942025</v>
      </c>
      <c r="AI1782">
        <v>92.784665345721393</v>
      </c>
      <c r="AJ1782">
        <v>64.287411267521705</v>
      </c>
      <c r="AK1782">
        <v>22.826044892609801</v>
      </c>
      <c r="AL1782">
        <v>87.741402658230498</v>
      </c>
      <c r="AM1782">
        <v>77.934545006790799</v>
      </c>
      <c r="AN1782">
        <v>0.99999996060035501</v>
      </c>
    </row>
    <row r="1783" spans="1:40" x14ac:dyDescent="0.25">
      <c r="A1783" t="str">
        <f>"20190312153921549"</f>
        <v>20190312153921549</v>
      </c>
      <c r="B1783" t="str">
        <f>"1552376361537108"</f>
        <v>1552376361537108</v>
      </c>
      <c r="C1783" t="s">
        <v>40</v>
      </c>
      <c r="D1783">
        <v>4.0619639999999997</v>
      </c>
      <c r="E1783">
        <v>0.59351140000000002</v>
      </c>
      <c r="F1783" t="s">
        <v>42</v>
      </c>
      <c r="G1783">
        <v>-193.63630000000001</v>
      </c>
      <c r="H1783" s="1">
        <v>-1.5453080000000001E-6</v>
      </c>
      <c r="I1783">
        <v>330.9359</v>
      </c>
      <c r="J1783">
        <v>-194.0608</v>
      </c>
      <c r="K1783">
        <v>1.1089739999999999</v>
      </c>
      <c r="L1783">
        <v>355.10820000000001</v>
      </c>
      <c r="M1783">
        <v>0.45148100000000002</v>
      </c>
      <c r="N1783">
        <v>0</v>
      </c>
      <c r="O1783">
        <v>-0.89217649999999904</v>
      </c>
      <c r="P1783">
        <v>0.25691350000000002</v>
      </c>
      <c r="Q1783">
        <v>2.6666180000000001E-2</v>
      </c>
      <c r="R1783">
        <v>-0.9660666</v>
      </c>
      <c r="S1783">
        <v>5.9219359999999999E-2</v>
      </c>
      <c r="T1783">
        <v>-0.14151369999999999</v>
      </c>
      <c r="U1783">
        <v>-3.0962830000000001</v>
      </c>
      <c r="V1783">
        <v>0.2071122</v>
      </c>
      <c r="W1783">
        <v>3.9247270000000001E-2</v>
      </c>
      <c r="X1783">
        <v>0.9775296</v>
      </c>
      <c r="Y1783">
        <v>0.43436740000000001</v>
      </c>
      <c r="Z1783">
        <v>3.6022449999999998E-2</v>
      </c>
      <c r="AA1783">
        <v>0.90001520000000002</v>
      </c>
      <c r="AB1783">
        <v>11</v>
      </c>
      <c r="AC1783">
        <v>0.42449999999999399</v>
      </c>
      <c r="AD1783">
        <v>-1.1089755453079999</v>
      </c>
      <c r="AE1783">
        <v>-24.1723</v>
      </c>
      <c r="AF1783">
        <v>10.5134633342249</v>
      </c>
      <c r="AG1783">
        <v>-1.1089755453079999</v>
      </c>
      <c r="AH1783">
        <v>21.713946306236998</v>
      </c>
      <c r="AI1783">
        <v>92.631885031604199</v>
      </c>
      <c r="AJ1783">
        <v>64.164652345312305</v>
      </c>
      <c r="AK1783">
        <v>24.150739165299399</v>
      </c>
      <c r="AL1783">
        <v>87.750719295239705</v>
      </c>
      <c r="AM1783">
        <v>78.037473412584703</v>
      </c>
      <c r="AN1783">
        <v>0.99999996523372503</v>
      </c>
    </row>
    <row r="1784" spans="1:40" x14ac:dyDescent="0.25">
      <c r="A1784" t="str">
        <f>"20190312153921564"</f>
        <v>20190312153921564</v>
      </c>
      <c r="B1784" t="str">
        <f>"1552376361557600"</f>
        <v>1552376361557600</v>
      </c>
      <c r="C1784" t="s">
        <v>40</v>
      </c>
      <c r="D1784">
        <v>4.1047060000000002</v>
      </c>
      <c r="E1784">
        <v>0.59308890000000003</v>
      </c>
      <c r="F1784" t="s">
        <v>42</v>
      </c>
      <c r="G1784">
        <v>-193.6474</v>
      </c>
      <c r="H1784" s="1">
        <v>-1.2899670000000001E-6</v>
      </c>
      <c r="I1784">
        <v>330.3338</v>
      </c>
      <c r="J1784">
        <v>-194.0334</v>
      </c>
      <c r="K1784">
        <v>1.1089960000000001</v>
      </c>
      <c r="L1784">
        <v>355.0446</v>
      </c>
      <c r="M1784">
        <v>0.44818479999999999</v>
      </c>
      <c r="N1784">
        <v>0</v>
      </c>
      <c r="O1784">
        <v>-0.893837199999999</v>
      </c>
      <c r="P1784">
        <v>0.2545153</v>
      </c>
      <c r="Q1784">
        <v>2.6361309999999999E-2</v>
      </c>
      <c r="R1784">
        <v>-0.96670979999999995</v>
      </c>
      <c r="S1784">
        <v>5.1651000000000002E-2</v>
      </c>
      <c r="T1784">
        <v>-0.13856179999999901</v>
      </c>
      <c r="U1784">
        <v>-3.095459</v>
      </c>
      <c r="V1784">
        <v>0.20592929999999901</v>
      </c>
      <c r="W1784">
        <v>3.8952340000000002E-2</v>
      </c>
      <c r="X1784">
        <v>0.97779130000000003</v>
      </c>
      <c r="Y1784">
        <v>0.43323830000000002</v>
      </c>
      <c r="Z1784">
        <v>3.540447E-2</v>
      </c>
      <c r="AA1784">
        <v>0.90058369999999999</v>
      </c>
      <c r="AB1784">
        <v>11</v>
      </c>
      <c r="AC1784">
        <v>0.38599999999999501</v>
      </c>
      <c r="AD1784">
        <v>-1.108997289967</v>
      </c>
      <c r="AE1784">
        <v>-24.710799999999999</v>
      </c>
      <c r="AF1784">
        <v>10.7094139626348</v>
      </c>
      <c r="AG1784">
        <v>-1.108997289967</v>
      </c>
      <c r="AH1784">
        <v>22.217757423072602</v>
      </c>
      <c r="AI1784">
        <v>92.574509758492695</v>
      </c>
      <c r="AJ1784">
        <v>64.264981376224995</v>
      </c>
      <c r="AK1784">
        <v>24.689069794601998</v>
      </c>
      <c r="AL1784">
        <v>87.767630535910399</v>
      </c>
      <c r="AM1784">
        <v>78.106937375908899</v>
      </c>
      <c r="AN1784">
        <v>0.99999999387282701</v>
      </c>
    </row>
    <row r="1785" spans="1:40" x14ac:dyDescent="0.25">
      <c r="A1785" t="str">
        <f>"20190312153921577"</f>
        <v>20190312153921577</v>
      </c>
      <c r="B1785" t="str">
        <f>"1552376361567361"</f>
        <v>1552376361567361</v>
      </c>
      <c r="C1785" t="s">
        <v>40</v>
      </c>
      <c r="D1785">
        <v>4.0817300000000003</v>
      </c>
      <c r="E1785">
        <v>0.59273799999999999</v>
      </c>
      <c r="F1785" t="s">
        <v>42</v>
      </c>
      <c r="G1785">
        <v>-193.65620000000001</v>
      </c>
      <c r="H1785" s="1">
        <v>-1.2189690000000001E-6</v>
      </c>
      <c r="I1785">
        <v>330.16289999999998</v>
      </c>
      <c r="J1785">
        <v>-194.0078</v>
      </c>
      <c r="K1785">
        <v>1.1090139999999999</v>
      </c>
      <c r="L1785">
        <v>354.98450000000003</v>
      </c>
      <c r="M1785">
        <v>0.44509749999999998</v>
      </c>
      <c r="N1785">
        <v>0</v>
      </c>
      <c r="O1785">
        <v>-0.89537869999999997</v>
      </c>
      <c r="P1785">
        <v>0.2524363</v>
      </c>
      <c r="Q1785">
        <v>2.6177550000000001E-2</v>
      </c>
      <c r="R1785">
        <v>-0.96725950000000005</v>
      </c>
      <c r="S1785">
        <v>4.6920780000000002E-2</v>
      </c>
      <c r="T1785">
        <v>-0.13793159999999999</v>
      </c>
      <c r="U1785">
        <v>-3.0946660000000001</v>
      </c>
      <c r="V1785">
        <v>0.2046558</v>
      </c>
      <c r="W1785">
        <v>3.8778899999999998E-2</v>
      </c>
      <c r="X1785">
        <v>0.97806559999999998</v>
      </c>
      <c r="Y1785">
        <v>0.43149999999999999</v>
      </c>
      <c r="Z1785">
        <v>3.5373620000000001E-2</v>
      </c>
      <c r="AA1785">
        <v>0.90141910000000003</v>
      </c>
      <c r="AB1785">
        <v>11</v>
      </c>
      <c r="AC1785">
        <v>0.35159999999998998</v>
      </c>
      <c r="AD1785">
        <v>-1.1090152189689999</v>
      </c>
      <c r="AE1785">
        <v>-24.8216</v>
      </c>
      <c r="AF1785">
        <v>10.7128297613601</v>
      </c>
      <c r="AG1785">
        <v>-1.1090152189689999</v>
      </c>
      <c r="AH1785">
        <v>22.338716228724401</v>
      </c>
      <c r="AI1785">
        <v>92.563084304803695</v>
      </c>
      <c r="AJ1785">
        <v>64.3793306696586</v>
      </c>
      <c r="AK1785">
        <v>24.799453199602301</v>
      </c>
      <c r="AL1785">
        <v>87.777575574098506</v>
      </c>
      <c r="AM1785">
        <v>78.181632347178507</v>
      </c>
      <c r="AN1785">
        <v>1.0000000587311</v>
      </c>
    </row>
    <row r="1786" spans="1:40" x14ac:dyDescent="0.25">
      <c r="A1786" t="str">
        <f>"20190312153921596"</f>
        <v>20190312153921596</v>
      </c>
      <c r="B1786" t="str">
        <f>"1552376361587856"</f>
        <v>1552376361587856</v>
      </c>
      <c r="C1786" t="s">
        <v>40</v>
      </c>
      <c r="D1786">
        <v>4.0981820000000004</v>
      </c>
      <c r="E1786">
        <v>0.59229290000000001</v>
      </c>
      <c r="F1786" t="s">
        <v>42</v>
      </c>
      <c r="G1786">
        <v>-193.65940000000001</v>
      </c>
      <c r="H1786" s="1">
        <v>-1.1101500000000001E-6</v>
      </c>
      <c r="I1786">
        <v>329.90730000000002</v>
      </c>
      <c r="J1786">
        <v>-193.97110000000001</v>
      </c>
      <c r="K1786">
        <v>1.1090359999999999</v>
      </c>
      <c r="L1786">
        <v>354.89780000000002</v>
      </c>
      <c r="M1786">
        <v>0.4407046</v>
      </c>
      <c r="N1786">
        <v>0</v>
      </c>
      <c r="O1786">
        <v>-0.89754920000000005</v>
      </c>
      <c r="P1786">
        <v>0.25033699999999998</v>
      </c>
      <c r="Q1786">
        <v>2.5470219999999998E-2</v>
      </c>
      <c r="R1786">
        <v>-0.96782380000000001</v>
      </c>
      <c r="S1786">
        <v>4.2984010000000003E-2</v>
      </c>
      <c r="T1786">
        <v>-0.13682839999999999</v>
      </c>
      <c r="U1786">
        <v>-3.0939939999999999</v>
      </c>
      <c r="V1786">
        <v>0.201986</v>
      </c>
      <c r="W1786">
        <v>3.8089430000000001E-2</v>
      </c>
      <c r="X1786">
        <v>0.9786475</v>
      </c>
      <c r="Y1786">
        <v>0.42822120000000002</v>
      </c>
      <c r="Z1786">
        <v>3.5276509999999997E-2</v>
      </c>
      <c r="AA1786">
        <v>0.90298520000000004</v>
      </c>
      <c r="AB1786">
        <v>11</v>
      </c>
      <c r="AC1786">
        <v>0.31170000000000098</v>
      </c>
      <c r="AD1786">
        <v>-1.1090371101500001</v>
      </c>
      <c r="AE1786">
        <v>-24.990500000000001</v>
      </c>
      <c r="AF1786">
        <v>10.7135582225019</v>
      </c>
      <c r="AG1786">
        <v>-1.1090371101500001</v>
      </c>
      <c r="AH1786">
        <v>22.525302163971499</v>
      </c>
      <c r="AI1786">
        <v>92.545824073925004</v>
      </c>
      <c r="AJ1786">
        <v>64.563151445664104</v>
      </c>
      <c r="AK1786">
        <v>24.967970095241</v>
      </c>
      <c r="AL1786">
        <v>87.817108460229804</v>
      </c>
      <c r="AM1786">
        <v>78.338300287003193</v>
      </c>
      <c r="AN1786">
        <v>1.0000000390649799</v>
      </c>
    </row>
    <row r="1787" spans="1:40" x14ac:dyDescent="0.25">
      <c r="A1787" t="str">
        <f>"20190312153921609"</f>
        <v>20190312153921609</v>
      </c>
      <c r="B1787" t="str">
        <f>"1552376361597617"</f>
        <v>1552376361597617</v>
      </c>
      <c r="C1787" t="s">
        <v>40</v>
      </c>
      <c r="D1787">
        <v>4.1363820000000002</v>
      </c>
      <c r="E1787">
        <v>0.59201359999999903</v>
      </c>
      <c r="F1787" t="s">
        <v>42</v>
      </c>
      <c r="G1787">
        <v>-193.6583</v>
      </c>
      <c r="H1787" s="1">
        <v>-1.3625249999999999E-6</v>
      </c>
      <c r="I1787">
        <v>330.49619999999999</v>
      </c>
      <c r="J1787">
        <v>-193.9477</v>
      </c>
      <c r="K1787">
        <v>1.1090500000000001</v>
      </c>
      <c r="L1787">
        <v>354.84179999999998</v>
      </c>
      <c r="M1787">
        <v>0.43790479999999998</v>
      </c>
      <c r="N1787">
        <v>0</v>
      </c>
      <c r="O1787">
        <v>-0.89891869999999996</v>
      </c>
      <c r="P1787">
        <v>0.24833160000000001</v>
      </c>
      <c r="Q1787">
        <v>2.527277E-2</v>
      </c>
      <c r="R1787">
        <v>-0.96834549999999997</v>
      </c>
      <c r="S1787">
        <v>3.965759E-2</v>
      </c>
      <c r="T1787">
        <v>-0.14058399999999999</v>
      </c>
      <c r="U1787">
        <v>-3.0932010000000001</v>
      </c>
      <c r="V1787">
        <v>0.200962</v>
      </c>
      <c r="W1787">
        <v>3.7898830000000001E-2</v>
      </c>
      <c r="X1787">
        <v>0.9788656</v>
      </c>
      <c r="Y1787">
        <v>0.42637079999999999</v>
      </c>
      <c r="Z1787">
        <v>3.6364809999999997E-2</v>
      </c>
      <c r="AA1787">
        <v>0.90381719999999999</v>
      </c>
      <c r="AB1787">
        <v>11</v>
      </c>
      <c r="AC1787">
        <v>0.28939999999999999</v>
      </c>
      <c r="AD1787">
        <v>-1.109051362525</v>
      </c>
      <c r="AE1787">
        <v>-24.345599999999902</v>
      </c>
      <c r="AF1787">
        <v>10.380329604400499</v>
      </c>
      <c r="AG1787">
        <v>-1.109051362525</v>
      </c>
      <c r="AH1787">
        <v>21.967894629759499</v>
      </c>
      <c r="AI1787">
        <v>92.613496778504796</v>
      </c>
      <c r="AJ1787">
        <v>64.708200841349296</v>
      </c>
      <c r="AK1787">
        <v>24.322204507094501</v>
      </c>
      <c r="AL1787">
        <v>87.828036743074506</v>
      </c>
      <c r="AM1787">
        <v>78.398329121411194</v>
      </c>
      <c r="AN1787">
        <v>0.99999995481136295</v>
      </c>
    </row>
    <row r="1788" spans="1:40" x14ac:dyDescent="0.25">
      <c r="A1788" t="str">
        <f>"20190312153921629"</f>
        <v>20190312153921629</v>
      </c>
      <c r="B1788" t="str">
        <f>"1552376361617140"</f>
        <v>1552376361617140</v>
      </c>
      <c r="C1788" t="s">
        <v>40</v>
      </c>
      <c r="D1788">
        <v>4.1094970000000002</v>
      </c>
      <c r="E1788">
        <v>0.59147850000000002</v>
      </c>
      <c r="F1788" t="s">
        <v>42</v>
      </c>
      <c r="G1788">
        <v>-193.66970000000001</v>
      </c>
      <c r="H1788" s="1">
        <v>-1.4109159999999999E-6</v>
      </c>
      <c r="I1788">
        <v>330.60199999999998</v>
      </c>
      <c r="J1788">
        <v>-193.90989999999999</v>
      </c>
      <c r="K1788">
        <v>1.109073</v>
      </c>
      <c r="L1788">
        <v>354.75060000000002</v>
      </c>
      <c r="M1788">
        <v>0.43338470000000001</v>
      </c>
      <c r="N1788">
        <v>0</v>
      </c>
      <c r="O1788">
        <v>-0.90110679999999999</v>
      </c>
      <c r="P1788">
        <v>0.24543760000000001</v>
      </c>
      <c r="Q1788">
        <v>2.5341700000000002E-2</v>
      </c>
      <c r="R1788">
        <v>-0.96908130000000003</v>
      </c>
      <c r="S1788">
        <v>3.5476679999999997E-2</v>
      </c>
      <c r="T1788">
        <v>-0.1414975</v>
      </c>
      <c r="U1788">
        <v>-3.0926209999999998</v>
      </c>
      <c r="V1788">
        <v>0.1989658</v>
      </c>
      <c r="W1788">
        <v>3.7979829999999999E-2</v>
      </c>
      <c r="X1788">
        <v>0.97927019999999998</v>
      </c>
      <c r="Y1788">
        <v>0.42304510000000001</v>
      </c>
      <c r="Z1788">
        <v>3.6792480000000002E-2</v>
      </c>
      <c r="AA1788">
        <v>0.90536139999999998</v>
      </c>
      <c r="AB1788">
        <v>11</v>
      </c>
      <c r="AC1788">
        <v>0.24019999999998701</v>
      </c>
      <c r="AD1788">
        <v>-1.109074410916</v>
      </c>
      <c r="AE1788">
        <v>-24.148599999999998</v>
      </c>
      <c r="AF1788">
        <v>10.2285592612701</v>
      </c>
      <c r="AG1788">
        <v>-1.109074410916</v>
      </c>
      <c r="AH1788">
        <v>21.820559624684801</v>
      </c>
      <c r="AI1788">
        <v>92.634987426101006</v>
      </c>
      <c r="AJ1788">
        <v>64.884794976601398</v>
      </c>
      <c r="AK1788">
        <v>24.124474977596702</v>
      </c>
      <c r="AL1788">
        <v>87.823392519472705</v>
      </c>
      <c r="AM1788">
        <v>78.515112594106299</v>
      </c>
      <c r="AN1788">
        <v>0.99999999083225399</v>
      </c>
    </row>
    <row r="1789" spans="1:40" x14ac:dyDescent="0.25">
      <c r="A1789" t="str">
        <f>"20190312153921644"</f>
        <v>20190312153921644</v>
      </c>
      <c r="B1789" t="str">
        <f>"1552376361637633"</f>
        <v>1552376361637633</v>
      </c>
      <c r="C1789" t="s">
        <v>40</v>
      </c>
      <c r="D1789">
        <v>4.0974930000000001</v>
      </c>
      <c r="E1789">
        <v>0.59098619999999902</v>
      </c>
      <c r="F1789" t="s">
        <v>42</v>
      </c>
      <c r="G1789">
        <v>-193.6713</v>
      </c>
      <c r="H1789" s="1">
        <v>-1.347498E-6</v>
      </c>
      <c r="I1789">
        <v>330.45310000000001</v>
      </c>
      <c r="J1789">
        <v>-193.88380000000001</v>
      </c>
      <c r="K1789">
        <v>1.1090869999999999</v>
      </c>
      <c r="L1789">
        <v>354.68689999999998</v>
      </c>
      <c r="M1789">
        <v>0.43025590000000002</v>
      </c>
      <c r="N1789">
        <v>0</v>
      </c>
      <c r="O1789">
        <v>-0.90260510000000005</v>
      </c>
      <c r="P1789">
        <v>0.24326390000000001</v>
      </c>
      <c r="Q1789">
        <v>2.547346E-2</v>
      </c>
      <c r="R1789">
        <v>-0.96962579999999998</v>
      </c>
      <c r="S1789">
        <v>3.0364990000000001E-2</v>
      </c>
      <c r="T1789">
        <v>-0.14112279999999999</v>
      </c>
      <c r="U1789">
        <v>-3.0917050000000001</v>
      </c>
      <c r="V1789">
        <v>0.1977611</v>
      </c>
      <c r="W1789">
        <v>3.8117529999999997E-2</v>
      </c>
      <c r="X1789">
        <v>0.97950890000000002</v>
      </c>
      <c r="Y1789">
        <v>0.42139490000000002</v>
      </c>
      <c r="Z1789">
        <v>3.6825419999999998E-2</v>
      </c>
      <c r="AA1789">
        <v>0.90612919999999997</v>
      </c>
      <c r="AB1789">
        <v>11</v>
      </c>
      <c r="AC1789">
        <v>0.21250000000000499</v>
      </c>
      <c r="AD1789">
        <v>-1.109088347498</v>
      </c>
      <c r="AE1789">
        <v>-24.233799999999899</v>
      </c>
      <c r="AF1789">
        <v>10.2144800255937</v>
      </c>
      <c r="AG1789">
        <v>-1.109088347498</v>
      </c>
      <c r="AH1789">
        <v>21.921089612466101</v>
      </c>
      <c r="AI1789">
        <v>92.625759828389405</v>
      </c>
      <c r="AJ1789">
        <v>65.016086546132101</v>
      </c>
      <c r="AK1789">
        <v>24.209499147102999</v>
      </c>
      <c r="AL1789">
        <v>87.815497285201701</v>
      </c>
      <c r="AM1789">
        <v>78.585529075379199</v>
      </c>
      <c r="AN1789">
        <v>1.0000000419728501</v>
      </c>
    </row>
    <row r="1790" spans="1:40" x14ac:dyDescent="0.25">
      <c r="A1790" t="str">
        <f>"20190312153921662"</f>
        <v>20190312153921662</v>
      </c>
      <c r="B1790" t="str">
        <f>"1552376361657152"</f>
        <v>1552376361657152</v>
      </c>
      <c r="C1790" t="s">
        <v>40</v>
      </c>
      <c r="D1790">
        <v>4.120673</v>
      </c>
      <c r="E1790">
        <v>0.59060249999999903</v>
      </c>
      <c r="F1790" t="s">
        <v>42</v>
      </c>
      <c r="G1790">
        <v>-193.6671</v>
      </c>
      <c r="H1790" s="1">
        <v>-1.204634E-6</v>
      </c>
      <c r="I1790">
        <v>330.12270000000001</v>
      </c>
      <c r="J1790">
        <v>-193.85130000000001</v>
      </c>
      <c r="K1790">
        <v>1.1091</v>
      </c>
      <c r="L1790">
        <v>354.6071</v>
      </c>
      <c r="M1790">
        <v>0.42636659999999998</v>
      </c>
      <c r="N1790">
        <v>0</v>
      </c>
      <c r="O1790">
        <v>-0.9044489</v>
      </c>
      <c r="P1790">
        <v>0.24070720000000001</v>
      </c>
      <c r="Q1790">
        <v>2.5392950000000001E-2</v>
      </c>
      <c r="R1790">
        <v>-0.97026570000000001</v>
      </c>
      <c r="S1790">
        <v>2.726746E-2</v>
      </c>
      <c r="T1790">
        <v>-0.1395526</v>
      </c>
      <c r="U1790">
        <v>-3.0908199999999999</v>
      </c>
      <c r="V1790">
        <v>0.19612479999999999</v>
      </c>
      <c r="W1790">
        <v>3.804416E-2</v>
      </c>
      <c r="X1790">
        <v>0.97984059999999995</v>
      </c>
      <c r="Y1790">
        <v>0.41839520000000002</v>
      </c>
      <c r="Z1790">
        <v>3.6582429999999999E-2</v>
      </c>
      <c r="AA1790">
        <v>0.907528</v>
      </c>
      <c r="AB1790">
        <v>11</v>
      </c>
      <c r="AC1790">
        <v>0.184200000000004</v>
      </c>
      <c r="AD1790">
        <v>-1.1091012046340001</v>
      </c>
      <c r="AE1790">
        <v>-24.484399999999901</v>
      </c>
      <c r="AF1790">
        <v>10.2526380761088</v>
      </c>
      <c r="AG1790">
        <v>-1.1091012046340001</v>
      </c>
      <c r="AH1790">
        <v>22.179957748204799</v>
      </c>
      <c r="AI1790">
        <v>92.598868162175705</v>
      </c>
      <c r="AJ1790">
        <v>65.191360538544998</v>
      </c>
      <c r="AK1790">
        <v>24.460114854880501</v>
      </c>
      <c r="AL1790">
        <v>87.819703923522198</v>
      </c>
      <c r="AM1790">
        <v>78.681258374718297</v>
      </c>
      <c r="AN1790">
        <v>0.99999994834675099</v>
      </c>
    </row>
    <row r="1791" spans="1:40" x14ac:dyDescent="0.25">
      <c r="A1791" t="str">
        <f>"20190312153921674"</f>
        <v>20190312153921674</v>
      </c>
      <c r="B1791" t="str">
        <f>"1552376361667890"</f>
        <v>1552376361667890</v>
      </c>
      <c r="C1791" t="s">
        <v>40</v>
      </c>
      <c r="D1791">
        <v>4.1398979999999996</v>
      </c>
      <c r="E1791">
        <v>0.59042629999999996</v>
      </c>
      <c r="F1791" t="s">
        <v>42</v>
      </c>
      <c r="G1791">
        <v>-193.6755</v>
      </c>
      <c r="H1791" s="1">
        <v>-1.0577189999999999E-6</v>
      </c>
      <c r="I1791">
        <v>329.77510000000001</v>
      </c>
      <c r="J1791">
        <v>-193.82740000000001</v>
      </c>
      <c r="K1791">
        <v>1.1091089999999999</v>
      </c>
      <c r="L1791">
        <v>354.54770000000002</v>
      </c>
      <c r="M1791">
        <v>0.42349019999999998</v>
      </c>
      <c r="N1791">
        <v>0</v>
      </c>
      <c r="O1791">
        <v>-0.90579929999999997</v>
      </c>
      <c r="P1791">
        <v>0.238292</v>
      </c>
      <c r="Q1791">
        <v>2.5512509999999999E-2</v>
      </c>
      <c r="R1791">
        <v>-0.97085849999999996</v>
      </c>
      <c r="S1791">
        <v>2.1881100000000001E-2</v>
      </c>
      <c r="T1791">
        <v>-0.138018899999999</v>
      </c>
      <c r="U1791">
        <v>-3.0901489999999998</v>
      </c>
      <c r="V1791">
        <v>0.19544739999999999</v>
      </c>
      <c r="W1791">
        <v>3.816423E-2</v>
      </c>
      <c r="X1791">
        <v>0.97997129999999999</v>
      </c>
      <c r="Y1791">
        <v>0.41708909999999899</v>
      </c>
      <c r="Z1791">
        <v>3.6292089999999999E-2</v>
      </c>
      <c r="AA1791">
        <v>0.90814070000000002</v>
      </c>
      <c r="AB1791">
        <v>11</v>
      </c>
      <c r="AC1791">
        <v>0.151900000000011</v>
      </c>
      <c r="AD1791">
        <v>-1.1091100577190001</v>
      </c>
      <c r="AE1791">
        <v>-24.772600000000001</v>
      </c>
      <c r="AF1791">
        <v>10.3336004659756</v>
      </c>
      <c r="AG1791">
        <v>-1.1091100577190001</v>
      </c>
      <c r="AH1791">
        <v>22.4603787345544</v>
      </c>
      <c r="AI1791">
        <v>92.568597644883695</v>
      </c>
      <c r="AJ1791">
        <v>65.293724804865406</v>
      </c>
      <c r="AK1791">
        <v>24.748374423589301</v>
      </c>
      <c r="AL1791">
        <v>87.812819470340997</v>
      </c>
      <c r="AM1791">
        <v>78.720814236668403</v>
      </c>
      <c r="AN1791">
        <v>0.99999997172097099</v>
      </c>
    </row>
    <row r="1792" spans="1:40" x14ac:dyDescent="0.25">
      <c r="A1792" t="str">
        <f>"20190312153921697"</f>
        <v>20190312153921697</v>
      </c>
      <c r="B1792" t="str">
        <f>"1552376361687409"</f>
        <v>1552376361687409</v>
      </c>
      <c r="C1792" t="s">
        <v>40</v>
      </c>
      <c r="D1792">
        <v>4.1008180000000003</v>
      </c>
      <c r="E1792">
        <v>0.58996309999999996</v>
      </c>
      <c r="F1792" t="s">
        <v>42</v>
      </c>
      <c r="G1792">
        <v>-193.70150000000001</v>
      </c>
      <c r="H1792" s="1">
        <v>-4.883005E-6</v>
      </c>
      <c r="I1792">
        <v>329.40629999999999</v>
      </c>
      <c r="J1792">
        <v>-193.7885</v>
      </c>
      <c r="K1792">
        <v>1.109113</v>
      </c>
      <c r="L1792">
        <v>354.44990000000001</v>
      </c>
      <c r="M1792">
        <v>0.41877930000000002</v>
      </c>
      <c r="N1792">
        <v>0</v>
      </c>
      <c r="O1792">
        <v>-0.90798719999999999</v>
      </c>
      <c r="P1792">
        <v>0.23413220000000001</v>
      </c>
      <c r="Q1792">
        <v>2.5794319999999999E-2</v>
      </c>
      <c r="R1792">
        <v>-0.97186260000000002</v>
      </c>
      <c r="S1792">
        <v>1.5472410000000001E-2</v>
      </c>
      <c r="T1792">
        <v>-0.13630590000000001</v>
      </c>
      <c r="U1792">
        <v>-3.0897830000000002</v>
      </c>
      <c r="V1792">
        <v>0.19455049999999999</v>
      </c>
      <c r="W1792">
        <v>3.8442980000000002E-2</v>
      </c>
      <c r="X1792">
        <v>0.98013890000000004</v>
      </c>
      <c r="Y1792">
        <v>0.4142496</v>
      </c>
      <c r="Z1792">
        <v>3.601911E-2</v>
      </c>
      <c r="AA1792">
        <v>0.90945039999999999</v>
      </c>
      <c r="AB1792">
        <v>11</v>
      </c>
      <c r="AC1792">
        <v>8.6999999999989003E-2</v>
      </c>
      <c r="AD1792">
        <v>-1.1091178830049999</v>
      </c>
      <c r="AE1792">
        <v>-25.043600000000001</v>
      </c>
      <c r="AF1792">
        <v>10.3893224933343</v>
      </c>
      <c r="AG1792">
        <v>-1.1091178830049999</v>
      </c>
      <c r="AH1792">
        <v>22.7332000056251</v>
      </c>
      <c r="AI1792">
        <v>92.540780372482402</v>
      </c>
      <c r="AJ1792">
        <v>65.439077891593797</v>
      </c>
      <c r="AK1792">
        <v>25.0193234689641</v>
      </c>
      <c r="AL1792">
        <v>87.796836629931306</v>
      </c>
      <c r="AM1792">
        <v>78.773127172637203</v>
      </c>
      <c r="AN1792">
        <v>1.0000000115273699</v>
      </c>
    </row>
    <row r="1793" spans="1:40" x14ac:dyDescent="0.25">
      <c r="A1793" t="str">
        <f>"20190312153921720"</f>
        <v>20190312153921720</v>
      </c>
      <c r="B1793" t="str">
        <f>"1552376361707904"</f>
        <v>1552376361707904</v>
      </c>
      <c r="C1793" t="s">
        <v>40</v>
      </c>
      <c r="D1793">
        <v>4.1032690000000001</v>
      </c>
      <c r="E1793">
        <v>0.589557199999999</v>
      </c>
      <c r="F1793" t="s">
        <v>42</v>
      </c>
      <c r="G1793">
        <v>-193.74359999999999</v>
      </c>
      <c r="H1793" s="1">
        <v>-4.7041910000000002E-6</v>
      </c>
      <c r="I1793">
        <v>328.85890000000001</v>
      </c>
      <c r="J1793">
        <v>-193.74889999999999</v>
      </c>
      <c r="K1793">
        <v>1.109111</v>
      </c>
      <c r="L1793">
        <v>354.34899999999999</v>
      </c>
      <c r="M1793">
        <v>0.41394189999999997</v>
      </c>
      <c r="N1793">
        <v>0</v>
      </c>
      <c r="O1793">
        <v>-0.91020270000000003</v>
      </c>
      <c r="P1793">
        <v>0.23033020000000001</v>
      </c>
      <c r="Q1793">
        <v>2.6900899999999998E-2</v>
      </c>
      <c r="R1793">
        <v>-0.97274090000000002</v>
      </c>
      <c r="S1793">
        <v>5.4168699999999998E-3</v>
      </c>
      <c r="T1793">
        <v>-0.13388139999999901</v>
      </c>
      <c r="U1793">
        <v>-3.0890810000000002</v>
      </c>
      <c r="V1793">
        <v>0.19315889999999999</v>
      </c>
      <c r="W1793">
        <v>3.9545539999999997E-2</v>
      </c>
      <c r="X1793">
        <v>0.98037019999999997</v>
      </c>
      <c r="Y1793">
        <v>0.41236610000000001</v>
      </c>
      <c r="Z1793">
        <v>3.5548719999999999E-2</v>
      </c>
      <c r="AA1793">
        <v>0.91032440000000003</v>
      </c>
      <c r="AB1793">
        <v>11</v>
      </c>
      <c r="AC1793">
        <v>5.3000000000054098E-3</v>
      </c>
      <c r="AD1793">
        <v>-1.109115704191</v>
      </c>
      <c r="AE1793">
        <v>-25.490099999999899</v>
      </c>
      <c r="AF1793">
        <v>10.527630721037401</v>
      </c>
      <c r="AG1793">
        <v>-1.109115704191</v>
      </c>
      <c r="AH1793">
        <v>23.161625839564799</v>
      </c>
      <c r="AI1793">
        <v>92.496171980187796</v>
      </c>
      <c r="AJ1793">
        <v>65.556826382069005</v>
      </c>
      <c r="AK1793">
        <v>25.466096241391401</v>
      </c>
      <c r="AL1793">
        <v>87.733616414935298</v>
      </c>
      <c r="AM1793">
        <v>78.853977671712599</v>
      </c>
      <c r="AN1793">
        <v>0.99999996971557004</v>
      </c>
    </row>
    <row r="1794" spans="1:40" x14ac:dyDescent="0.25">
      <c r="A1794" t="str">
        <f>"20190312153921740"</f>
        <v>20190312153921740</v>
      </c>
      <c r="B1794" t="str">
        <f>"1552376361727425"</f>
        <v>1552376361727425</v>
      </c>
      <c r="C1794" t="s">
        <v>40</v>
      </c>
      <c r="D1794">
        <v>4.0963209999999997</v>
      </c>
      <c r="E1794">
        <v>0.58914979999999995</v>
      </c>
      <c r="F1794" t="s">
        <v>42</v>
      </c>
      <c r="G1794">
        <v>-193.7792</v>
      </c>
      <c r="H1794" s="1">
        <v>-4.4283919999999996E-6</v>
      </c>
      <c r="I1794">
        <v>328.0299</v>
      </c>
      <c r="J1794">
        <v>-193.71279999999999</v>
      </c>
      <c r="K1794">
        <v>1.109102</v>
      </c>
      <c r="L1794">
        <v>354.25560000000002</v>
      </c>
      <c r="M1794">
        <v>0.40947660000000002</v>
      </c>
      <c r="N1794">
        <v>0</v>
      </c>
      <c r="O1794">
        <v>-0.91222020000000004</v>
      </c>
      <c r="P1794">
        <v>0.22729959999999999</v>
      </c>
      <c r="Q1794">
        <v>2.8269030000000001E-2</v>
      </c>
      <c r="R1794">
        <v>-0.97341449999999996</v>
      </c>
      <c r="S1794">
        <v>-3.5552980000000001E-3</v>
      </c>
      <c r="T1794">
        <v>-0.13015299999999999</v>
      </c>
      <c r="U1794">
        <v>-3.0885009999999999</v>
      </c>
      <c r="V1794">
        <v>0.19139690000000001</v>
      </c>
      <c r="W1794">
        <v>4.0912480000000001E-2</v>
      </c>
      <c r="X1794">
        <v>0.98065970000000002</v>
      </c>
      <c r="Y1794">
        <v>0.41054649999999998</v>
      </c>
      <c r="Z1794">
        <v>3.4710419999999999E-2</v>
      </c>
      <c r="AA1794">
        <v>0.91117879999999996</v>
      </c>
      <c r="AB1794">
        <v>10</v>
      </c>
      <c r="AC1794">
        <v>-6.6400000000015696E-2</v>
      </c>
      <c r="AD1794">
        <v>-1.109106428392</v>
      </c>
      <c r="AE1794">
        <v>-26.2257</v>
      </c>
      <c r="AF1794">
        <v>10.7810893591406</v>
      </c>
      <c r="AG1794">
        <v>-1.109106428392</v>
      </c>
      <c r="AH1794">
        <v>23.855947100007501</v>
      </c>
      <c r="AI1794">
        <v>92.425960802908804</v>
      </c>
      <c r="AJ1794">
        <v>65.680618906353502</v>
      </c>
      <c r="AK1794">
        <v>26.2024467727278</v>
      </c>
      <c r="AL1794">
        <v>87.655233192654293</v>
      </c>
      <c r="AM1794">
        <v>78.956320789098697</v>
      </c>
      <c r="AN1794">
        <v>1.0000000257767201</v>
      </c>
    </row>
    <row r="1795" spans="1:40" x14ac:dyDescent="0.25">
      <c r="A1795" t="str">
        <f>"20190312153921754"</f>
        <v>20190312153921754</v>
      </c>
      <c r="B1795" t="str">
        <f>"1552376361747921"</f>
        <v>1552376361747921</v>
      </c>
      <c r="C1795" t="s">
        <v>40</v>
      </c>
      <c r="D1795">
        <v>4.1082190000000001</v>
      </c>
      <c r="E1795">
        <v>0.58135839999999905</v>
      </c>
      <c r="F1795" t="s">
        <v>42</v>
      </c>
      <c r="G1795">
        <v>-193.80340000000001</v>
      </c>
      <c r="H1795" s="1">
        <v>-4.0889400000000002E-6</v>
      </c>
      <c r="I1795">
        <v>327.01979999999998</v>
      </c>
      <c r="J1795">
        <v>-193.68799999999999</v>
      </c>
      <c r="K1795">
        <v>1.109092</v>
      </c>
      <c r="L1795">
        <v>354.19069999999999</v>
      </c>
      <c r="M1795">
        <v>0.4063716</v>
      </c>
      <c r="N1795">
        <v>0</v>
      </c>
      <c r="O1795">
        <v>-0.91360779999999997</v>
      </c>
      <c r="P1795">
        <v>0.22492809999999999</v>
      </c>
      <c r="Q1795">
        <v>2.8996290000000001E-2</v>
      </c>
      <c r="R1795">
        <v>-0.97394420000000004</v>
      </c>
      <c r="S1795">
        <v>-1.0269169999999999E-2</v>
      </c>
      <c r="T1795">
        <v>-0.12574739999999901</v>
      </c>
      <c r="U1795">
        <v>-3.0879210000000001</v>
      </c>
      <c r="V1795">
        <v>0.19044440000000001</v>
      </c>
      <c r="W1795">
        <v>4.1636649999999997E-2</v>
      </c>
      <c r="X1795">
        <v>0.98081459999999998</v>
      </c>
      <c r="Y1795">
        <v>0.4094276</v>
      </c>
      <c r="Z1795">
        <v>3.3637670000000001E-2</v>
      </c>
      <c r="AA1795">
        <v>0.91172229999999999</v>
      </c>
      <c r="AB1795">
        <v>10</v>
      </c>
      <c r="AC1795">
        <v>-0.115400000000022</v>
      </c>
      <c r="AD1795">
        <v>-1.1090960889399999</v>
      </c>
      <c r="AE1795">
        <v>-27.1709</v>
      </c>
      <c r="AF1795">
        <v>11.129388442206301</v>
      </c>
      <c r="AG1795">
        <v>-1.1090960889399999</v>
      </c>
      <c r="AH1795">
        <v>24.737699643552201</v>
      </c>
      <c r="AI1795">
        <v>92.341343008319001</v>
      </c>
      <c r="AJ1795">
        <v>65.777217267654393</v>
      </c>
      <c r="AK1795">
        <v>27.148612577563199</v>
      </c>
      <c r="AL1795">
        <v>87.613705810695194</v>
      </c>
      <c r="AM1795">
        <v>79.011632450761596</v>
      </c>
      <c r="AN1795">
        <v>0.99999997984387101</v>
      </c>
    </row>
    <row r="1796" spans="1:40" x14ac:dyDescent="0.25">
      <c r="A1796" t="str">
        <f>"20190312153921774"</f>
        <v>20190312153921774</v>
      </c>
      <c r="B1796" t="str">
        <f>"1552376361767440"</f>
        <v>1552376361767440</v>
      </c>
      <c r="C1796" t="s">
        <v>40</v>
      </c>
      <c r="D1796">
        <v>4.0533729999999997</v>
      </c>
      <c r="E1796">
        <v>0.58133049999999997</v>
      </c>
      <c r="F1796" t="s">
        <v>42</v>
      </c>
      <c r="G1796">
        <v>-193.3246</v>
      </c>
      <c r="H1796" s="1">
        <v>-4.3231740000000001E-6</v>
      </c>
      <c r="I1796">
        <v>327.95769999999999</v>
      </c>
      <c r="J1796">
        <v>-193.6567</v>
      </c>
      <c r="K1796">
        <v>1.109073</v>
      </c>
      <c r="L1796">
        <v>354.10759999999999</v>
      </c>
      <c r="M1796">
        <v>0.40238679999999999</v>
      </c>
      <c r="N1796">
        <v>0</v>
      </c>
      <c r="O1796">
        <v>-0.91537000000000002</v>
      </c>
      <c r="P1796">
        <v>0.22290889999999999</v>
      </c>
      <c r="Q1796">
        <v>2.967732E-2</v>
      </c>
      <c r="R1796">
        <v>-0.97438760000000002</v>
      </c>
      <c r="S1796">
        <v>4.2587279999999998E-2</v>
      </c>
      <c r="T1796">
        <v>-0.1299775</v>
      </c>
      <c r="U1796">
        <v>-3.0743100000000001</v>
      </c>
      <c r="V1796">
        <v>0.1881977</v>
      </c>
      <c r="W1796">
        <v>4.2320789999999997E-2</v>
      </c>
      <c r="X1796">
        <v>0.9812189</v>
      </c>
      <c r="Y1796">
        <v>0.38969920000000002</v>
      </c>
      <c r="Z1796">
        <v>3.5219199999999902E-2</v>
      </c>
      <c r="AA1796">
        <v>0.92026850000000004</v>
      </c>
      <c r="AB1796">
        <v>10</v>
      </c>
      <c r="AC1796">
        <v>0.33209999999999601</v>
      </c>
      <c r="AD1796">
        <v>-1.1090773231740001</v>
      </c>
      <c r="AE1796">
        <v>-26.149899999999999</v>
      </c>
      <c r="AF1796">
        <v>10.2009668345761</v>
      </c>
      <c r="AG1796">
        <v>-1.1090773231740001</v>
      </c>
      <c r="AH1796">
        <v>24.0294475999474</v>
      </c>
      <c r="AI1796">
        <v>92.432756790737699</v>
      </c>
      <c r="AJ1796">
        <v>66.997835246215203</v>
      </c>
      <c r="AK1796">
        <v>26.128607479686298</v>
      </c>
      <c r="AL1796">
        <v>87.574472883126404</v>
      </c>
      <c r="AM1796">
        <v>79.142531601780505</v>
      </c>
      <c r="AN1796">
        <v>0.99999997663436102</v>
      </c>
    </row>
    <row r="1797" spans="1:40" x14ac:dyDescent="0.25">
      <c r="A1797" t="str">
        <f>"20190312153921787"</f>
        <v>20190312153921787</v>
      </c>
      <c r="B1797" t="str">
        <f>"1552376361777201"</f>
        <v>1552376361777201</v>
      </c>
      <c r="C1797" t="s">
        <v>40</v>
      </c>
      <c r="D1797">
        <v>4.0770939999999998</v>
      </c>
      <c r="E1797">
        <v>0.5813661</v>
      </c>
      <c r="F1797" t="s">
        <v>42</v>
      </c>
      <c r="G1797">
        <v>-193.345</v>
      </c>
      <c r="H1797" s="1">
        <v>-4.1945729999999999E-6</v>
      </c>
      <c r="I1797">
        <v>327.56920000000002</v>
      </c>
      <c r="J1797">
        <v>-193.63249999999999</v>
      </c>
      <c r="K1797">
        <v>1.1090599999999999</v>
      </c>
      <c r="L1797">
        <v>354.0428</v>
      </c>
      <c r="M1797">
        <v>0.39927570000000001</v>
      </c>
      <c r="N1797">
        <v>0</v>
      </c>
      <c r="O1797">
        <v>-0.91673099999999996</v>
      </c>
      <c r="P1797">
        <v>0.22058700000000001</v>
      </c>
      <c r="Q1797">
        <v>2.9892470000000001E-2</v>
      </c>
      <c r="R1797">
        <v>-0.97490940000000004</v>
      </c>
      <c r="S1797">
        <v>3.6102290000000002E-2</v>
      </c>
      <c r="T1797">
        <v>-0.1284884</v>
      </c>
      <c r="U1797">
        <v>-3.0745239999999998</v>
      </c>
      <c r="V1797">
        <v>0.1872018</v>
      </c>
      <c r="W1797">
        <v>4.2535650000000001E-2</v>
      </c>
      <c r="X1797">
        <v>0.9814001</v>
      </c>
      <c r="Y1797">
        <v>0.38851340000000001</v>
      </c>
      <c r="Z1797">
        <v>3.4909240000000001E-2</v>
      </c>
      <c r="AA1797">
        <v>0.92078159999999998</v>
      </c>
      <c r="AB1797">
        <v>10</v>
      </c>
      <c r="AC1797">
        <v>0.28749999999999398</v>
      </c>
      <c r="AD1797">
        <v>-1.109064194573</v>
      </c>
      <c r="AE1797">
        <v>-26.473599999999902</v>
      </c>
      <c r="AF1797">
        <v>10.289592644901401</v>
      </c>
      <c r="AG1797">
        <v>-1.109064194573</v>
      </c>
      <c r="AH1797">
        <v>24.343476538506501</v>
      </c>
      <c r="AI1797">
        <v>92.402964843126597</v>
      </c>
      <c r="AJ1797">
        <v>67.087007972976096</v>
      </c>
      <c r="AK1797">
        <v>26.452043213455401</v>
      </c>
      <c r="AL1797">
        <v>87.562151214300599</v>
      </c>
      <c r="AM1797">
        <v>79.200579178289402</v>
      </c>
      <c r="AN1797">
        <v>0.999999975862086</v>
      </c>
    </row>
    <row r="1798" spans="1:40" x14ac:dyDescent="0.25">
      <c r="A1798" t="str">
        <f>"20190312153921808"</f>
        <v>20190312153921808</v>
      </c>
      <c r="B1798" t="str">
        <f>"1552376361797696"</f>
        <v>1552376361797696</v>
      </c>
      <c r="C1798" t="s">
        <v>40</v>
      </c>
      <c r="D1798">
        <v>4.0191739999999996</v>
      </c>
      <c r="E1798">
        <v>0.58096610000000004</v>
      </c>
      <c r="F1798" t="s">
        <v>42</v>
      </c>
      <c r="G1798">
        <v>-193.3869</v>
      </c>
      <c r="H1798" s="1">
        <v>-4.1217949999999997E-6</v>
      </c>
      <c r="I1798">
        <v>327.33339999999998</v>
      </c>
      <c r="J1798">
        <v>-193.59989999999999</v>
      </c>
      <c r="K1798">
        <v>1.1090500000000001</v>
      </c>
      <c r="L1798">
        <v>353.95409999999998</v>
      </c>
      <c r="M1798">
        <v>0.39500180000000001</v>
      </c>
      <c r="N1798">
        <v>0</v>
      </c>
      <c r="O1798">
        <v>-0.91858099999999998</v>
      </c>
      <c r="P1798">
        <v>0.21831239999999999</v>
      </c>
      <c r="Q1798">
        <v>2.9946799999999999E-2</v>
      </c>
      <c r="R1798">
        <v>-0.97541949999999999</v>
      </c>
      <c r="S1798">
        <v>2.8274540000000001E-2</v>
      </c>
      <c r="T1798">
        <v>-0.1276735</v>
      </c>
      <c r="U1798">
        <v>-3.074738</v>
      </c>
      <c r="V1798">
        <v>0.18491949999999999</v>
      </c>
      <c r="W1798">
        <v>4.2595670000000002E-2</v>
      </c>
      <c r="X1798">
        <v>0.98183010000000004</v>
      </c>
      <c r="Y1798">
        <v>0.38656600000000002</v>
      </c>
      <c r="Z1798">
        <v>3.4817309999999997E-2</v>
      </c>
      <c r="AA1798">
        <v>0.92160430000000004</v>
      </c>
      <c r="AB1798">
        <v>10</v>
      </c>
      <c r="AC1798">
        <v>0.212999999999993</v>
      </c>
      <c r="AD1798">
        <v>-1.1090541217950001</v>
      </c>
      <c r="AE1798">
        <v>-26.620699999999999</v>
      </c>
      <c r="AF1798">
        <v>10.302627787999301</v>
      </c>
      <c r="AG1798">
        <v>-1.1090541217950001</v>
      </c>
      <c r="AH1798">
        <v>24.497128106834801</v>
      </c>
      <c r="AI1798">
        <v>92.389698763637895</v>
      </c>
      <c r="AJ1798">
        <v>67.190095573546699</v>
      </c>
      <c r="AK1798">
        <v>26.598560597630101</v>
      </c>
      <c r="AL1798">
        <v>87.5587092094177</v>
      </c>
      <c r="AM1798">
        <v>79.333766663507404</v>
      </c>
      <c r="AN1798">
        <v>0.99999997892450398</v>
      </c>
    </row>
    <row r="1799" spans="1:40" x14ac:dyDescent="0.25">
      <c r="A1799" t="str">
        <f>"20190312153921829"</f>
        <v>20190312153921829</v>
      </c>
      <c r="B1799" t="str">
        <f>"1552376361817220"</f>
        <v>1552376361817220</v>
      </c>
      <c r="C1799" t="s">
        <v>40</v>
      </c>
      <c r="D1799">
        <v>4.0152369999999999</v>
      </c>
      <c r="E1799">
        <v>0.58062219999999998</v>
      </c>
      <c r="F1799" t="s">
        <v>42</v>
      </c>
      <c r="G1799">
        <v>-193.3905</v>
      </c>
      <c r="H1799" s="1">
        <v>-4.2604470000000001E-6</v>
      </c>
      <c r="I1799">
        <v>327.73899999999998</v>
      </c>
      <c r="J1799">
        <v>-193.56469999999999</v>
      </c>
      <c r="K1799">
        <v>1.10904</v>
      </c>
      <c r="L1799">
        <v>353.8571</v>
      </c>
      <c r="M1799">
        <v>0.39032270000000002</v>
      </c>
      <c r="N1799">
        <v>0</v>
      </c>
      <c r="O1799">
        <v>-0.92057900000000004</v>
      </c>
      <c r="P1799">
        <v>0.2152307</v>
      </c>
      <c r="Q1799">
        <v>2.9962329999999999E-2</v>
      </c>
      <c r="R1799">
        <v>-0.97610370000000002</v>
      </c>
      <c r="S1799">
        <v>2.4551389999999999E-2</v>
      </c>
      <c r="T1799">
        <v>-0.1300528</v>
      </c>
      <c r="U1799">
        <v>-3.0740970000000001</v>
      </c>
      <c r="V1799">
        <v>0.1830244</v>
      </c>
      <c r="W1799">
        <v>4.261711E-2</v>
      </c>
      <c r="X1799">
        <v>0.98218419999999895</v>
      </c>
      <c r="Y1799">
        <v>0.38298480000000001</v>
      </c>
      <c r="Z1799">
        <v>3.5630290000000002E-2</v>
      </c>
      <c r="AA1799">
        <v>0.92306719999999998</v>
      </c>
      <c r="AB1799">
        <v>10</v>
      </c>
      <c r="AC1799">
        <v>0.17419999999998401</v>
      </c>
      <c r="AD1799">
        <v>-1.1090442604469899</v>
      </c>
      <c r="AE1799">
        <v>-26.118099999999899</v>
      </c>
      <c r="AF1799">
        <v>10.016977569237101</v>
      </c>
      <c r="AG1799">
        <v>-1.1090442604469899</v>
      </c>
      <c r="AH1799">
        <v>24.070569836979001</v>
      </c>
      <c r="AI1799">
        <v>92.435795650168203</v>
      </c>
      <c r="AJ1799">
        <v>67.405343231457195</v>
      </c>
      <c r="AK1799">
        <v>26.095251504270099</v>
      </c>
      <c r="AL1799">
        <v>87.557479663974703</v>
      </c>
      <c r="AM1799">
        <v>79.444327487547497</v>
      </c>
      <c r="AN1799">
        <v>0.99999997589487499</v>
      </c>
    </row>
    <row r="1800" spans="1:40" x14ac:dyDescent="0.25">
      <c r="A1800" t="str">
        <f>"20190312153921843"</f>
        <v>20190312153921843</v>
      </c>
      <c r="B1800" t="str">
        <f>"1552376361837714"</f>
        <v>1552376361837714</v>
      </c>
      <c r="C1800" t="s">
        <v>40</v>
      </c>
      <c r="D1800">
        <v>3.9970370000000002</v>
      </c>
      <c r="E1800">
        <v>0.5773355</v>
      </c>
      <c r="F1800" t="s">
        <v>42</v>
      </c>
      <c r="G1800">
        <v>-193.4186</v>
      </c>
      <c r="H1800" s="1">
        <v>-4.2343699999999899E-6</v>
      </c>
      <c r="I1800">
        <v>327.64769999999999</v>
      </c>
      <c r="J1800">
        <v>-193.5438</v>
      </c>
      <c r="K1800">
        <v>1.1090390000000001</v>
      </c>
      <c r="L1800">
        <v>353.79849999999999</v>
      </c>
      <c r="M1800">
        <v>0.38748680000000002</v>
      </c>
      <c r="N1800">
        <v>0</v>
      </c>
      <c r="O1800">
        <v>-0.92177600000000004</v>
      </c>
      <c r="P1800">
        <v>0.2132665</v>
      </c>
      <c r="Q1800">
        <v>2.9898250000000001E-2</v>
      </c>
      <c r="R1800">
        <v>-0.97653650000000003</v>
      </c>
      <c r="S1800">
        <v>1.7135620000000001E-2</v>
      </c>
      <c r="T1800">
        <v>-0.13006319999999999</v>
      </c>
      <c r="U1800">
        <v>-3.0737000000000001</v>
      </c>
      <c r="V1800">
        <v>0.18197720000000001</v>
      </c>
      <c r="W1800">
        <v>4.25566E-2</v>
      </c>
      <c r="X1800">
        <v>0.98238139999999996</v>
      </c>
      <c r="Y1800">
        <v>0.38236720000000002</v>
      </c>
      <c r="Z1800">
        <v>3.571846E-2</v>
      </c>
      <c r="AA1800">
        <v>0.92331980000000002</v>
      </c>
      <c r="AB1800">
        <v>10</v>
      </c>
      <c r="AC1800">
        <v>0.125200000000006</v>
      </c>
      <c r="AD1800">
        <v>-1.1090432343700001</v>
      </c>
      <c r="AE1800">
        <v>-26.1508</v>
      </c>
      <c r="AF1800">
        <v>10.000613749101699</v>
      </c>
      <c r="AG1800">
        <v>-1.1090432343700001</v>
      </c>
      <c r="AH1800">
        <v>24.112536305671298</v>
      </c>
      <c r="AI1800">
        <v>92.432766601469595</v>
      </c>
      <c r="AJ1800">
        <v>67.4738935226179</v>
      </c>
      <c r="AK1800">
        <v>26.1276990825205</v>
      </c>
      <c r="AL1800">
        <v>87.560949815019299</v>
      </c>
      <c r="AM1800">
        <v>79.505437465416705</v>
      </c>
      <c r="AN1800">
        <v>0.99999999029467901</v>
      </c>
    </row>
    <row r="1801" spans="1:40" x14ac:dyDescent="0.25">
      <c r="A1801" t="str">
        <f>"20190312153921864"</f>
        <v>20190312153921864</v>
      </c>
      <c r="B1801" t="str">
        <f>"1552376361857233"</f>
        <v>1552376361857233</v>
      </c>
      <c r="C1801" t="s">
        <v>40</v>
      </c>
      <c r="D1801">
        <v>4.0083169999999999</v>
      </c>
      <c r="E1801">
        <v>0.58589150000000001</v>
      </c>
      <c r="F1801" t="s">
        <v>42</v>
      </c>
      <c r="G1801">
        <v>-193.09889999999999</v>
      </c>
      <c r="H1801" s="1">
        <v>-4.1757030000000004E-6</v>
      </c>
      <c r="I1801">
        <v>316.7285</v>
      </c>
      <c r="J1801">
        <v>-193.5119</v>
      </c>
      <c r="K1801">
        <v>1.109035</v>
      </c>
      <c r="L1801">
        <v>353.70800000000003</v>
      </c>
      <c r="M1801">
        <v>0.38310620000000001</v>
      </c>
      <c r="N1801">
        <v>0</v>
      </c>
      <c r="O1801">
        <v>-0.92360529999999996</v>
      </c>
      <c r="P1801">
        <v>0.21084349999999999</v>
      </c>
      <c r="Q1801">
        <v>3.034034E-2</v>
      </c>
      <c r="R1801">
        <v>-0.9770489</v>
      </c>
      <c r="S1801">
        <v>3.6804200000000002E-2</v>
      </c>
      <c r="T1801">
        <v>-9.1753009999999996E-2</v>
      </c>
      <c r="U1801">
        <v>-3.0668639999999998</v>
      </c>
      <c r="V1801">
        <v>0.17974519999999999</v>
      </c>
      <c r="W1801">
        <v>4.3010140000000002E-2</v>
      </c>
      <c r="X1801">
        <v>0.98277250000000005</v>
      </c>
      <c r="Y1801">
        <v>0.37202750000000001</v>
      </c>
      <c r="Z1801">
        <v>2.5410240000000001E-2</v>
      </c>
      <c r="AA1801">
        <v>0.92787379999999997</v>
      </c>
      <c r="AB1801">
        <v>10</v>
      </c>
      <c r="AC1801">
        <v>0.41300000000001003</v>
      </c>
      <c r="AD1801">
        <v>-1.109039175703</v>
      </c>
      <c r="AE1801">
        <v>-36.979500000000002</v>
      </c>
      <c r="AF1801">
        <v>13.774499752124401</v>
      </c>
      <c r="AG1801">
        <v>-1.109039175703</v>
      </c>
      <c r="AH1801">
        <v>34.284989784114799</v>
      </c>
      <c r="AI1801">
        <v>91.719259466970101</v>
      </c>
      <c r="AJ1801">
        <v>68.111478307616593</v>
      </c>
      <c r="AK1801">
        <v>36.965217919165298</v>
      </c>
      <c r="AL1801">
        <v>87.534940090250302</v>
      </c>
      <c r="AM1801">
        <v>79.635384295506</v>
      </c>
      <c r="AN1801">
        <v>0.99999999791105398</v>
      </c>
    </row>
    <row r="1802" spans="1:40" x14ac:dyDescent="0.25">
      <c r="A1802" t="str">
        <f>"20190312153921885"</f>
        <v>20190312153921885</v>
      </c>
      <c r="B1802" t="str">
        <f>"1552376361877729"</f>
        <v>1552376361877729</v>
      </c>
      <c r="C1802" t="s">
        <v>40</v>
      </c>
      <c r="D1802">
        <v>3.9899589999999998</v>
      </c>
      <c r="E1802">
        <v>0.58553520000000003</v>
      </c>
      <c r="F1802" t="s">
        <v>42</v>
      </c>
      <c r="G1802">
        <v>-194.04660000000001</v>
      </c>
      <c r="H1802" s="1">
        <v>-4.9861849999999996E-6</v>
      </c>
      <c r="I1802">
        <v>309.52960000000002</v>
      </c>
      <c r="J1802">
        <v>-193.4785</v>
      </c>
      <c r="K1802">
        <v>1.1090310000000001</v>
      </c>
      <c r="L1802">
        <v>353.61200000000002</v>
      </c>
      <c r="M1802">
        <v>0.37844440000000001</v>
      </c>
      <c r="N1802">
        <v>0</v>
      </c>
      <c r="O1802">
        <v>-0.9255253</v>
      </c>
      <c r="P1802">
        <v>0.20774899999999999</v>
      </c>
      <c r="Q1802">
        <v>3.016953E-2</v>
      </c>
      <c r="R1802">
        <v>-0.97771680000000005</v>
      </c>
      <c r="S1802">
        <v>-3.7292480000000003E-2</v>
      </c>
      <c r="T1802">
        <v>-7.7343460000000003E-2</v>
      </c>
      <c r="U1802">
        <v>-3.0809630000000001</v>
      </c>
      <c r="V1802">
        <v>0.17790159999999999</v>
      </c>
      <c r="W1802">
        <v>4.2850069999999997E-2</v>
      </c>
      <c r="X1802">
        <v>0.98311490000000001</v>
      </c>
      <c r="Y1802">
        <v>0.3896464</v>
      </c>
      <c r="Z1802">
        <v>2.1300989999999999E-2</v>
      </c>
      <c r="AA1802">
        <v>0.92071820000000004</v>
      </c>
      <c r="AB1802">
        <v>10</v>
      </c>
      <c r="AC1802">
        <v>-0.56810000000001504</v>
      </c>
      <c r="AD1802">
        <v>-1.1090359861850001</v>
      </c>
      <c r="AE1802">
        <v>-44.0823999999999</v>
      </c>
      <c r="AF1802">
        <v>17.199216809486298</v>
      </c>
      <c r="AG1802">
        <v>-1.1090359861850001</v>
      </c>
      <c r="AH1802">
        <v>40.562422018185003</v>
      </c>
      <c r="AI1802">
        <v>91.441949414045396</v>
      </c>
      <c r="AJ1802">
        <v>67.0221576867322</v>
      </c>
      <c r="AK1802">
        <v>44.072135183806402</v>
      </c>
      <c r="AL1802">
        <v>87.544119911569894</v>
      </c>
      <c r="AM1802">
        <v>79.742919549969301</v>
      </c>
      <c r="AN1802">
        <v>1.0000000071917801</v>
      </c>
    </row>
    <row r="1803" spans="1:40" x14ac:dyDescent="0.25">
      <c r="A1803" t="str">
        <f>"20190312153921898"</f>
        <v>20190312153921898</v>
      </c>
      <c r="B1803" t="str">
        <f>"1552376361887488"</f>
        <v>1552376361887488</v>
      </c>
      <c r="C1803" t="s">
        <v>40</v>
      </c>
      <c r="D1803">
        <v>3.9900720000000001</v>
      </c>
      <c r="E1803">
        <v>0.58543029999999996</v>
      </c>
      <c r="F1803" t="s">
        <v>42</v>
      </c>
      <c r="G1803">
        <v>-194.15819999999999</v>
      </c>
      <c r="H1803" s="1">
        <v>-3.8508909999999901E-6</v>
      </c>
      <c r="I1803">
        <v>306.13529999999997</v>
      </c>
      <c r="J1803">
        <v>-193.458</v>
      </c>
      <c r="K1803">
        <v>1.109032</v>
      </c>
      <c r="L1803">
        <v>353.55220000000003</v>
      </c>
      <c r="M1803">
        <v>0.3755426</v>
      </c>
      <c r="N1803">
        <v>0</v>
      </c>
      <c r="O1803">
        <v>-0.92670640000000004</v>
      </c>
      <c r="P1803">
        <v>0.20545450000000001</v>
      </c>
      <c r="Q1803">
        <v>3.0164320000000001E-2</v>
      </c>
      <c r="R1803">
        <v>-0.97820169999999995</v>
      </c>
      <c r="S1803">
        <v>-4.4097900000000002E-2</v>
      </c>
      <c r="T1803">
        <v>-7.1947220000000006E-2</v>
      </c>
      <c r="U1803">
        <v>-3.079987</v>
      </c>
      <c r="V1803">
        <v>0.17712720000000001</v>
      </c>
      <c r="W1803">
        <v>4.284959E-2</v>
      </c>
      <c r="X1803">
        <v>0.98325469999999904</v>
      </c>
      <c r="Y1803">
        <v>0.38879940000000002</v>
      </c>
      <c r="Z1803">
        <v>1.9866849999999998E-2</v>
      </c>
      <c r="AA1803">
        <v>0.92110820000000004</v>
      </c>
      <c r="AB1803">
        <v>10</v>
      </c>
      <c r="AC1803">
        <v>-0.70019999999999505</v>
      </c>
      <c r="AD1803">
        <v>-1.1090358508910001</v>
      </c>
      <c r="AE1803">
        <v>-47.416899999999998</v>
      </c>
      <c r="AF1803">
        <v>18.4475452378367</v>
      </c>
      <c r="AG1803">
        <v>-1.1090358508910001</v>
      </c>
      <c r="AH1803">
        <v>43.658708821262103</v>
      </c>
      <c r="AI1803">
        <v>91.340435537657896</v>
      </c>
      <c r="AJ1803">
        <v>67.094003754598205</v>
      </c>
      <c r="AK1803">
        <v>47.409120870992098</v>
      </c>
      <c r="AL1803">
        <v>87.544147344257397</v>
      </c>
      <c r="AM1803">
        <v>79.788048061722193</v>
      </c>
      <c r="AN1803">
        <v>0.99999996870754804</v>
      </c>
    </row>
    <row r="1804" spans="1:40" x14ac:dyDescent="0.25">
      <c r="A1804" t="str">
        <f>"20190312153921913"</f>
        <v>20190312153921913</v>
      </c>
      <c r="B1804" t="str">
        <f>"1552376361907985"</f>
        <v>1552376361907985</v>
      </c>
      <c r="C1804" t="s">
        <v>40</v>
      </c>
      <c r="D1804">
        <v>3.9909819999999998</v>
      </c>
      <c r="E1804">
        <v>0.58495030000000003</v>
      </c>
      <c r="F1804" t="s">
        <v>42</v>
      </c>
      <c r="G1804">
        <v>-194.24350000000001</v>
      </c>
      <c r="H1804" s="1">
        <v>-3.6980020000000001E-6</v>
      </c>
      <c r="I1804">
        <v>305.64159999999998</v>
      </c>
      <c r="J1804">
        <v>-193.4357</v>
      </c>
      <c r="K1804">
        <v>1.109035</v>
      </c>
      <c r="L1804">
        <v>353.48660000000001</v>
      </c>
      <c r="M1804">
        <v>0.37235469999999998</v>
      </c>
      <c r="N1804">
        <v>0</v>
      </c>
      <c r="O1804">
        <v>-0.92799209999999999</v>
      </c>
      <c r="P1804">
        <v>0.20296719999999999</v>
      </c>
      <c r="Q1804">
        <v>3.0204129999999999E-2</v>
      </c>
      <c r="R1804">
        <v>-0.97871989999999998</v>
      </c>
      <c r="S1804">
        <v>-5.0491330000000001E-2</v>
      </c>
      <c r="T1804">
        <v>-7.1287160000000002E-2</v>
      </c>
      <c r="U1804">
        <v>-3.0796199999999998</v>
      </c>
      <c r="V1804">
        <v>0.17624529999999999</v>
      </c>
      <c r="W1804">
        <v>4.289486E-2</v>
      </c>
      <c r="X1804">
        <v>0.98341120000000004</v>
      </c>
      <c r="Y1804">
        <v>0.38754529999999998</v>
      </c>
      <c r="Z1804">
        <v>1.9737169999999998E-2</v>
      </c>
      <c r="AA1804">
        <v>0.92163930000000005</v>
      </c>
      <c r="AB1804">
        <v>10</v>
      </c>
      <c r="AC1804">
        <v>-0.80780000000001395</v>
      </c>
      <c r="AD1804">
        <v>-1.1090386980019999</v>
      </c>
      <c r="AE1804">
        <v>-47.844999999999999</v>
      </c>
      <c r="AF1804">
        <v>18.556670483469301</v>
      </c>
      <c r="AG1804">
        <v>-1.1090386980019999</v>
      </c>
      <c r="AH1804">
        <v>44.0793442936289</v>
      </c>
      <c r="AI1804">
        <v>91.328392075202402</v>
      </c>
      <c r="AJ1804">
        <v>67.169717176841004</v>
      </c>
      <c r="AK1804">
        <v>47.838985980286097</v>
      </c>
      <c r="AL1804">
        <v>87.541551208784</v>
      </c>
      <c r="AM1804">
        <v>79.839413767288093</v>
      </c>
      <c r="AN1804">
        <v>0.99999998153597403</v>
      </c>
    </row>
    <row r="1805" spans="1:40" x14ac:dyDescent="0.25">
      <c r="A1805" t="str">
        <f>"20190312153921932"</f>
        <v>20190312153921932</v>
      </c>
      <c r="B1805" t="str">
        <f>"1552376361927505"</f>
        <v>1552376361927505</v>
      </c>
      <c r="C1805" t="s">
        <v>40</v>
      </c>
      <c r="D1805">
        <v>3.9404520000000001</v>
      </c>
      <c r="E1805">
        <v>0.58469130000000002</v>
      </c>
      <c r="F1805" t="s">
        <v>42</v>
      </c>
      <c r="G1805">
        <v>-194.245</v>
      </c>
      <c r="H1805" s="1">
        <v>-4.4235010000000003E-6</v>
      </c>
      <c r="I1805">
        <v>307.77269999999999</v>
      </c>
      <c r="J1805">
        <v>-193.4084</v>
      </c>
      <c r="K1805">
        <v>1.1090439999999999</v>
      </c>
      <c r="L1805">
        <v>353.40480000000002</v>
      </c>
      <c r="M1805">
        <v>0.36838120000000002</v>
      </c>
      <c r="N1805">
        <v>0</v>
      </c>
      <c r="O1805">
        <v>-0.92957679999999998</v>
      </c>
      <c r="P1805">
        <v>0.2000721</v>
      </c>
      <c r="Q1805">
        <v>2.9794419999999999E-2</v>
      </c>
      <c r="R1805">
        <v>-0.9793288</v>
      </c>
      <c r="S1805">
        <v>-5.450439E-2</v>
      </c>
      <c r="T1805">
        <v>-7.4693800000000005E-2</v>
      </c>
      <c r="U1805">
        <v>-3.078827</v>
      </c>
      <c r="V1805">
        <v>0.1749482</v>
      </c>
      <c r="W1805">
        <v>4.2494200000000003E-2</v>
      </c>
      <c r="X1805">
        <v>0.98366019999999998</v>
      </c>
      <c r="Y1805">
        <v>0.38480379999999997</v>
      </c>
      <c r="Z1805">
        <v>2.075637E-2</v>
      </c>
      <c r="AA1805">
        <v>0.92276499999999995</v>
      </c>
      <c r="AB1805">
        <v>10</v>
      </c>
      <c r="AC1805">
        <v>-0.83660000000000401</v>
      </c>
      <c r="AD1805">
        <v>-1.1090484235009901</v>
      </c>
      <c r="AE1805">
        <v>-45.632100000000001</v>
      </c>
      <c r="AF1805">
        <v>17.578914519786601</v>
      </c>
      <c r="AG1805">
        <v>-1.1090484235009901</v>
      </c>
      <c r="AH1805">
        <v>42.089338491429103</v>
      </c>
      <c r="AI1805">
        <v>91.392837723181202</v>
      </c>
      <c r="AJ1805">
        <v>67.331795017108604</v>
      </c>
      <c r="AK1805">
        <v>45.6263152001751</v>
      </c>
      <c r="AL1805">
        <v>87.564528355387097</v>
      </c>
      <c r="AM1805">
        <v>79.915151783151202</v>
      </c>
      <c r="AN1805">
        <v>1.00000000939046</v>
      </c>
    </row>
    <row r="1806" spans="1:40" x14ac:dyDescent="0.25">
      <c r="A1806" t="str">
        <f>"20190312153921953"</f>
        <v>20190312153921953</v>
      </c>
      <c r="B1806" t="str">
        <f>"1552376361948001"</f>
        <v>1552376361948001</v>
      </c>
      <c r="C1806" t="s">
        <v>40</v>
      </c>
      <c r="D1806">
        <v>3.9168270000000001</v>
      </c>
      <c r="E1806">
        <v>0.58446019999999999</v>
      </c>
      <c r="F1806" t="s">
        <v>42</v>
      </c>
      <c r="G1806">
        <v>-194.31610000000001</v>
      </c>
      <c r="H1806" s="1">
        <v>-4.4970600000000003E-6</v>
      </c>
      <c r="I1806">
        <v>307.95179999999999</v>
      </c>
      <c r="J1806">
        <v>-193.37710000000001</v>
      </c>
      <c r="K1806">
        <v>1.109056</v>
      </c>
      <c r="L1806">
        <v>353.31</v>
      </c>
      <c r="M1806">
        <v>0.36377359999999997</v>
      </c>
      <c r="N1806">
        <v>0</v>
      </c>
      <c r="O1806">
        <v>-0.93138940000000003</v>
      </c>
      <c r="P1806">
        <v>0.1964468</v>
      </c>
      <c r="Q1806">
        <v>2.9738230000000001E-2</v>
      </c>
      <c r="R1806">
        <v>-0.98006369999999998</v>
      </c>
      <c r="S1806">
        <v>-6.1477660000000003E-2</v>
      </c>
      <c r="T1806">
        <v>-7.5108170000000002E-2</v>
      </c>
      <c r="U1806">
        <v>-3.078217</v>
      </c>
      <c r="V1806">
        <v>0.17371600000000001</v>
      </c>
      <c r="W1806">
        <v>4.2446079999999997E-2</v>
      </c>
      <c r="X1806">
        <v>0.98388059999999999</v>
      </c>
      <c r="Y1806">
        <v>0.38232500000000003</v>
      </c>
      <c r="Z1806">
        <v>2.095377E-2</v>
      </c>
      <c r="AA1806">
        <v>0.92379029999999995</v>
      </c>
      <c r="AB1806">
        <v>10</v>
      </c>
      <c r="AC1806">
        <v>-0.93899999999999195</v>
      </c>
      <c r="AD1806">
        <v>-1.10906049706</v>
      </c>
      <c r="AE1806">
        <v>-45.358199999999997</v>
      </c>
      <c r="AF1806">
        <v>17.365898559657399</v>
      </c>
      <c r="AG1806">
        <v>-1.10906049706</v>
      </c>
      <c r="AH1806">
        <v>41.8833590881856</v>
      </c>
      <c r="AI1806">
        <v>91.4012056517752</v>
      </c>
      <c r="AJ1806">
        <v>67.479868963126705</v>
      </c>
      <c r="AK1806">
        <v>45.354384754732898</v>
      </c>
      <c r="AL1806">
        <v>87.567287838573904</v>
      </c>
      <c r="AM1806">
        <v>79.986936798505099</v>
      </c>
      <c r="AN1806">
        <v>0.99999997670986196</v>
      </c>
    </row>
    <row r="1807" spans="1:40" x14ac:dyDescent="0.25">
      <c r="A1807" t="str">
        <f>"20190312153921976"</f>
        <v>20190312153921976</v>
      </c>
      <c r="B1807" t="str">
        <f>"1552376361967521"</f>
        <v>1552376361967521</v>
      </c>
      <c r="C1807" t="s">
        <v>40</v>
      </c>
      <c r="D1807">
        <v>3.9048159999999998</v>
      </c>
      <c r="E1807">
        <v>0.58415819999999996</v>
      </c>
      <c r="F1807" t="s">
        <v>42</v>
      </c>
      <c r="G1807">
        <v>-194.4555</v>
      </c>
      <c r="H1807" s="1">
        <v>-4.0234030000000002E-6</v>
      </c>
      <c r="I1807">
        <v>306.4873</v>
      </c>
      <c r="J1807">
        <v>-193.34450000000001</v>
      </c>
      <c r="K1807">
        <v>1.109065</v>
      </c>
      <c r="L1807">
        <v>353.20940000000002</v>
      </c>
      <c r="M1807">
        <v>0.35888360000000002</v>
      </c>
      <c r="N1807">
        <v>0</v>
      </c>
      <c r="O1807">
        <v>-0.93328449999999996</v>
      </c>
      <c r="P1807">
        <v>0.19234580000000001</v>
      </c>
      <c r="Q1807">
        <v>2.9525389999999999E-2</v>
      </c>
      <c r="R1807">
        <v>-0.9808829</v>
      </c>
      <c r="S1807">
        <v>-7.0877079999999995E-2</v>
      </c>
      <c r="T1807">
        <v>-7.2893739999999999E-2</v>
      </c>
      <c r="U1807">
        <v>-3.0774539999999999</v>
      </c>
      <c r="V1807">
        <v>0.17267089999999999</v>
      </c>
      <c r="W1807">
        <v>4.2240750000000001E-2</v>
      </c>
      <c r="X1807">
        <v>0.98407339999999999</v>
      </c>
      <c r="Y1807">
        <v>0.380303</v>
      </c>
      <c r="Z1807">
        <v>2.041755E-2</v>
      </c>
      <c r="AA1807">
        <v>0.92463649999999997</v>
      </c>
      <c r="AB1807">
        <v>10</v>
      </c>
      <c r="AC1807">
        <v>-1.11099999999999</v>
      </c>
      <c r="AD1807">
        <v>-1.1090690234029901</v>
      </c>
      <c r="AE1807">
        <v>-46.722099999999998</v>
      </c>
      <c r="AF1807">
        <v>17.796278309483</v>
      </c>
      <c r="AG1807">
        <v>-1.1090690234029901</v>
      </c>
      <c r="AH1807">
        <v>43.185917103606499</v>
      </c>
      <c r="AI1807">
        <v>91.360188235029497</v>
      </c>
      <c r="AJ1807">
        <v>67.604164685697398</v>
      </c>
      <c r="AK1807">
        <v>46.722168098738997</v>
      </c>
      <c r="AL1807">
        <v>87.579062971054597</v>
      </c>
      <c r="AM1807">
        <v>80.047879649263393</v>
      </c>
      <c r="AN1807">
        <v>0.99999998862746597</v>
      </c>
    </row>
    <row r="1808" spans="1:40" x14ac:dyDescent="0.25">
      <c r="A1808" t="str">
        <f>"20190312153922000"</f>
        <v>20190312153922000</v>
      </c>
      <c r="B1808" t="str">
        <f>"1552376361988016"</f>
        <v>1552376361988016</v>
      </c>
      <c r="C1808" t="s">
        <v>40</v>
      </c>
      <c r="D1808">
        <v>3.9452319999999999</v>
      </c>
      <c r="E1808">
        <v>0.58378459999999999</v>
      </c>
      <c r="F1808" t="s">
        <v>42</v>
      </c>
      <c r="G1808">
        <v>-194.58090000000001</v>
      </c>
      <c r="H1808" s="1">
        <v>-4.0428749999999998E-6</v>
      </c>
      <c r="I1808">
        <v>306.47919999999999</v>
      </c>
      <c r="J1808">
        <v>-193.31049999999999</v>
      </c>
      <c r="K1808">
        <v>1.1090739999999999</v>
      </c>
      <c r="L1808">
        <v>353.1026</v>
      </c>
      <c r="M1808">
        <v>0.35369889999999998</v>
      </c>
      <c r="N1808">
        <v>0</v>
      </c>
      <c r="O1808">
        <v>-0.93526169999999997</v>
      </c>
      <c r="P1808">
        <v>0.18739449999999999</v>
      </c>
      <c r="Q1808">
        <v>2.9458970000000001E-2</v>
      </c>
      <c r="R1808">
        <v>-0.98184309999999997</v>
      </c>
      <c r="S1808">
        <v>-8.1405640000000001E-2</v>
      </c>
      <c r="T1808">
        <v>-7.3019029999999999E-2</v>
      </c>
      <c r="U1808">
        <v>-3.0766300000000002</v>
      </c>
      <c r="V1808">
        <v>0.1721742</v>
      </c>
      <c r="W1808">
        <v>4.2177390000000002E-2</v>
      </c>
      <c r="X1808">
        <v>0.98416320000000002</v>
      </c>
      <c r="Y1808">
        <v>0.3783377</v>
      </c>
      <c r="Z1808">
        <v>2.0536809999999999E-2</v>
      </c>
      <c r="AA1808">
        <v>0.92543980000000003</v>
      </c>
      <c r="AB1808">
        <v>10</v>
      </c>
      <c r="AC1808">
        <v>-1.27040000000002</v>
      </c>
      <c r="AD1808">
        <v>-1.109078042875</v>
      </c>
      <c r="AE1808">
        <v>-46.623399999999997</v>
      </c>
      <c r="AF1808">
        <v>17.6704246760874</v>
      </c>
      <c r="AG1808">
        <v>-1.109078042875</v>
      </c>
      <c r="AH1808">
        <v>43.135291958042899</v>
      </c>
      <c r="AI1808">
        <v>91.362960305865599</v>
      </c>
      <c r="AJ1808">
        <v>67.723481075834698</v>
      </c>
      <c r="AK1808">
        <v>46.6275388010569</v>
      </c>
      <c r="AL1808">
        <v>87.582696608154393</v>
      </c>
      <c r="AM1808">
        <v>80.076825200203103</v>
      </c>
      <c r="AN1808">
        <v>1.0000000458035401</v>
      </c>
    </row>
    <row r="1809" spans="1:40" x14ac:dyDescent="0.25">
      <c r="A1809" t="str">
        <f>"20190312153922021"</f>
        <v>20190312153922021</v>
      </c>
      <c r="B1809" t="str">
        <f>"1552376362007536"</f>
        <v>1552376362007536</v>
      </c>
      <c r="C1809" t="s">
        <v>40</v>
      </c>
      <c r="D1809">
        <v>3.974494</v>
      </c>
      <c r="E1809">
        <v>0.58332839999999997</v>
      </c>
      <c r="F1809" t="s">
        <v>42</v>
      </c>
      <c r="G1809">
        <v>-194.75749999999999</v>
      </c>
      <c r="H1809" s="1">
        <v>-3.8334130000000002E-6</v>
      </c>
      <c r="I1809">
        <v>305.77159999999998</v>
      </c>
      <c r="J1809">
        <v>-193.2825</v>
      </c>
      <c r="K1809">
        <v>1.1090770000000001</v>
      </c>
      <c r="L1809">
        <v>353.0129</v>
      </c>
      <c r="M1809">
        <v>0.34934599999999999</v>
      </c>
      <c r="N1809">
        <v>0</v>
      </c>
      <c r="O1809">
        <v>-0.93689639999999996</v>
      </c>
      <c r="P1809">
        <v>0.18356839999999999</v>
      </c>
      <c r="Q1809">
        <v>2.9224090000000001E-2</v>
      </c>
      <c r="R1809">
        <v>-0.98257260000000002</v>
      </c>
      <c r="S1809">
        <v>-9.4024659999999996E-2</v>
      </c>
      <c r="T1809">
        <v>-7.2069170000000002E-2</v>
      </c>
      <c r="U1809">
        <v>-3.0756230000000002</v>
      </c>
      <c r="V1809">
        <v>0.1714318</v>
      </c>
      <c r="W1809">
        <v>4.1947289999999998E-2</v>
      </c>
      <c r="X1809">
        <v>0.98430260000000003</v>
      </c>
      <c r="Y1809">
        <v>0.37783549999999999</v>
      </c>
      <c r="Z1809">
        <v>2.0334669999999999E-2</v>
      </c>
      <c r="AA1809">
        <v>0.92564950000000001</v>
      </c>
      <c r="AB1809">
        <v>10</v>
      </c>
      <c r="AC1809">
        <v>-1.4749999999999901</v>
      </c>
      <c r="AD1809">
        <v>-1.109080833413</v>
      </c>
      <c r="AE1809">
        <v>-47.241300000000003</v>
      </c>
      <c r="AF1809">
        <v>17.877269970558299</v>
      </c>
      <c r="AG1809">
        <v>-1.109080833413</v>
      </c>
      <c r="AH1809">
        <v>43.724834807369298</v>
      </c>
      <c r="AI1809">
        <v>91.344967212473307</v>
      </c>
      <c r="AJ1809">
        <v>67.762384754520895</v>
      </c>
      <c r="AK1809">
        <v>47.251328244050598</v>
      </c>
      <c r="AL1809">
        <v>87.595891989174206</v>
      </c>
      <c r="AM1809">
        <v>80.120139743015997</v>
      </c>
      <c r="AN1809">
        <v>1.00000002277817</v>
      </c>
    </row>
    <row r="1810" spans="1:40" x14ac:dyDescent="0.25">
      <c r="A1810" t="str">
        <f>"20190312153922041"</f>
        <v>20190312153922041</v>
      </c>
      <c r="B1810" t="str">
        <f>"1552376362028032"</f>
        <v>1552376362028032</v>
      </c>
      <c r="C1810" t="s">
        <v>40</v>
      </c>
      <c r="D1810">
        <v>3.9400680000000001</v>
      </c>
      <c r="E1810">
        <v>0.58286349999999998</v>
      </c>
      <c r="F1810" t="s">
        <v>42</v>
      </c>
      <c r="G1810">
        <v>-194.81620000000001</v>
      </c>
      <c r="H1810" s="1">
        <v>-4.229681E-6</v>
      </c>
      <c r="I1810">
        <v>306.90550000000002</v>
      </c>
      <c r="J1810">
        <v>-193.25450000000001</v>
      </c>
      <c r="K1810">
        <v>1.109083</v>
      </c>
      <c r="L1810">
        <v>352.92180000000002</v>
      </c>
      <c r="M1810">
        <v>0.34492830000000002</v>
      </c>
      <c r="N1810">
        <v>0</v>
      </c>
      <c r="O1810">
        <v>-0.93853209999999998</v>
      </c>
      <c r="P1810">
        <v>0.17907770000000001</v>
      </c>
      <c r="Q1810">
        <v>2.8173469999999999E-2</v>
      </c>
      <c r="R1810">
        <v>-0.98343190000000003</v>
      </c>
      <c r="S1810">
        <v>-0.10226440000000001</v>
      </c>
      <c r="T1810">
        <v>-7.3954820000000004E-2</v>
      </c>
      <c r="U1810">
        <v>-3.0744929999999999</v>
      </c>
      <c r="V1810">
        <v>0.17129739999999999</v>
      </c>
      <c r="W1810">
        <v>4.0898669999999998E-2</v>
      </c>
      <c r="X1810">
        <v>0.98437010000000003</v>
      </c>
      <c r="Y1810">
        <v>0.37596069999999998</v>
      </c>
      <c r="Z1810">
        <v>2.094114E-2</v>
      </c>
      <c r="AA1810">
        <v>0.92639890000000003</v>
      </c>
      <c r="AB1810">
        <v>10</v>
      </c>
      <c r="AC1810">
        <v>-1.5617000000000001</v>
      </c>
      <c r="AD1810">
        <v>-1.1090872296809999</v>
      </c>
      <c r="AE1810">
        <v>-46.016300000000001</v>
      </c>
      <c r="AF1810">
        <v>17.329552076393298</v>
      </c>
      <c r="AG1810">
        <v>-1.1090872296809999</v>
      </c>
      <c r="AH1810">
        <v>42.628246363268097</v>
      </c>
      <c r="AI1810">
        <v>91.380684742413095</v>
      </c>
      <c r="AJ1810">
        <v>67.876908434619395</v>
      </c>
      <c r="AK1810">
        <v>46.029456195559703</v>
      </c>
      <c r="AL1810">
        <v>87.656025042949096</v>
      </c>
      <c r="AM1810">
        <v>80.128396593400197</v>
      </c>
      <c r="AN1810">
        <v>0.99999999711426901</v>
      </c>
    </row>
    <row r="1811" spans="1:40" x14ac:dyDescent="0.25">
      <c r="A1811" t="str">
        <f>"20190312153922055"</f>
        <v>20190312153922055</v>
      </c>
      <c r="B1811" t="str">
        <f>"1552376362047552"</f>
        <v>1552376362047552</v>
      </c>
      <c r="C1811" t="s">
        <v>40</v>
      </c>
      <c r="D1811">
        <v>3.9449969999999999</v>
      </c>
      <c r="E1811">
        <v>0.58240319999999901</v>
      </c>
      <c r="F1811" t="s">
        <v>42</v>
      </c>
      <c r="G1811">
        <v>-194.8794</v>
      </c>
      <c r="H1811" s="1">
        <v>-4.8141500000000003E-6</v>
      </c>
      <c r="I1811">
        <v>308.58999999999997</v>
      </c>
      <c r="J1811">
        <v>-193.2346</v>
      </c>
      <c r="K1811">
        <v>1.1090880000000001</v>
      </c>
      <c r="L1811">
        <v>352.85599999999999</v>
      </c>
      <c r="M1811">
        <v>0.34172979999999997</v>
      </c>
      <c r="N1811">
        <v>0</v>
      </c>
      <c r="O1811">
        <v>-0.93970109999999996</v>
      </c>
      <c r="P1811">
        <v>0.1759541</v>
      </c>
      <c r="Q1811">
        <v>2.781956E-2</v>
      </c>
      <c r="R1811">
        <v>-0.98400529999999997</v>
      </c>
      <c r="S1811">
        <v>-0.1126404</v>
      </c>
      <c r="T1811">
        <v>-7.6886769999999993E-2</v>
      </c>
      <c r="U1811">
        <v>-3.0732729999999999</v>
      </c>
      <c r="V1811">
        <v>0.1710721</v>
      </c>
      <c r="W1811">
        <v>4.054609E-2</v>
      </c>
      <c r="X1811">
        <v>0.98442390000000002</v>
      </c>
      <c r="Y1811">
        <v>0.37594</v>
      </c>
      <c r="Z1811">
        <v>2.182185E-2</v>
      </c>
      <c r="AA1811">
        <v>0.92638699999999996</v>
      </c>
      <c r="AB1811">
        <v>10</v>
      </c>
      <c r="AC1811">
        <v>-1.6448</v>
      </c>
      <c r="AD1811">
        <v>-1.1090928141499901</v>
      </c>
      <c r="AE1811">
        <v>-44.265999999999998</v>
      </c>
      <c r="AF1811">
        <v>16.6637075785703</v>
      </c>
      <c r="AG1811">
        <v>-1.1090928141499901</v>
      </c>
      <c r="AH1811">
        <v>41.012767652468199</v>
      </c>
      <c r="AI1811">
        <v>91.435165467710803</v>
      </c>
      <c r="AJ1811">
        <v>67.887828840704401</v>
      </c>
      <c r="AK1811">
        <v>44.282686770902203</v>
      </c>
      <c r="AL1811">
        <v>87.676243240750907</v>
      </c>
      <c r="AM1811">
        <v>80.141653581046796</v>
      </c>
      <c r="AN1811">
        <v>1.00000003185195</v>
      </c>
    </row>
    <row r="1812" spans="1:40" x14ac:dyDescent="0.25">
      <c r="A1812" t="str">
        <f>"20190312153922075"</f>
        <v>20190312153922075</v>
      </c>
      <c r="B1812" t="str">
        <f>"1552376362068048"</f>
        <v>1552376362068048</v>
      </c>
      <c r="C1812" t="s">
        <v>40</v>
      </c>
      <c r="D1812">
        <v>3.923054</v>
      </c>
      <c r="E1812">
        <v>0.57516460000000003</v>
      </c>
      <c r="F1812" t="s">
        <v>42</v>
      </c>
      <c r="G1812">
        <v>-194.94370000000001</v>
      </c>
      <c r="H1812" s="1">
        <v>-4.8527180000000002E-6</v>
      </c>
      <c r="I1812">
        <v>308.66980000000001</v>
      </c>
      <c r="J1812">
        <v>-193.209</v>
      </c>
      <c r="K1812">
        <v>1.109094</v>
      </c>
      <c r="L1812">
        <v>352.77030000000002</v>
      </c>
      <c r="M1812">
        <v>0.33757930000000003</v>
      </c>
      <c r="N1812">
        <v>0</v>
      </c>
      <c r="O1812">
        <v>-0.94120040000000005</v>
      </c>
      <c r="P1812">
        <v>0.1717602</v>
      </c>
      <c r="Q1812">
        <v>2.7499329999999999E-2</v>
      </c>
      <c r="R1812">
        <v>-0.98475489999999999</v>
      </c>
      <c r="S1812">
        <v>-0.11883539999999999</v>
      </c>
      <c r="T1812">
        <v>-7.7114580000000002E-2</v>
      </c>
      <c r="U1812">
        <v>-3.072235</v>
      </c>
      <c r="V1812">
        <v>0.1709224</v>
      </c>
      <c r="W1812">
        <v>4.0227350000000002E-2</v>
      </c>
      <c r="X1812">
        <v>0.98446290000000003</v>
      </c>
      <c r="Y1812">
        <v>0.37372610000000001</v>
      </c>
      <c r="Z1812">
        <v>2.1960569999999999E-2</v>
      </c>
      <c r="AA1812">
        <v>0.92727910000000002</v>
      </c>
      <c r="AB1812">
        <v>10</v>
      </c>
      <c r="AC1812">
        <v>-1.7346999999999999</v>
      </c>
      <c r="AD1812">
        <v>-1.1090988527179999</v>
      </c>
      <c r="AE1812">
        <v>-44.100499999999997</v>
      </c>
      <c r="AF1812">
        <v>16.511192954571602</v>
      </c>
      <c r="AG1812">
        <v>-1.1090988527179999</v>
      </c>
      <c r="AH1812">
        <v>40.899705616758602</v>
      </c>
      <c r="AI1812">
        <v>91.440443795655199</v>
      </c>
      <c r="AJ1812">
        <v>68.016092149786402</v>
      </c>
      <c r="AK1812">
        <v>44.120692566931801</v>
      </c>
      <c r="AL1812">
        <v>87.694520429482694</v>
      </c>
      <c r="AM1812">
        <v>80.150493846547107</v>
      </c>
      <c r="AN1812">
        <v>0.99999995399309505</v>
      </c>
    </row>
    <row r="1813" spans="1:40" x14ac:dyDescent="0.25">
      <c r="A1813" t="str">
        <f>"20190312153922099"</f>
        <v>20190312153922099</v>
      </c>
      <c r="B1813" t="str">
        <f>"1552376362087568"</f>
        <v>1552376362087568</v>
      </c>
      <c r="C1813" t="s">
        <v>40</v>
      </c>
      <c r="D1813">
        <v>3.9263309999999998</v>
      </c>
      <c r="E1813">
        <v>0.57499800000000001</v>
      </c>
      <c r="F1813" t="s">
        <v>42</v>
      </c>
      <c r="G1813">
        <v>-194.1893</v>
      </c>
      <c r="H1813" s="1">
        <v>-2.607507E-6</v>
      </c>
      <c r="I1813">
        <v>312.74970000000002</v>
      </c>
      <c r="J1813">
        <v>-193.1797</v>
      </c>
      <c r="K1813">
        <v>1.10911</v>
      </c>
      <c r="L1813">
        <v>352.67070000000001</v>
      </c>
      <c r="M1813">
        <v>0.3327563</v>
      </c>
      <c r="N1813">
        <v>0</v>
      </c>
      <c r="O1813">
        <v>-0.94291619999999998</v>
      </c>
      <c r="P1813">
        <v>0.16712850000000001</v>
      </c>
      <c r="Q1813">
        <v>2.7801849999999999E-2</v>
      </c>
      <c r="R1813">
        <v>-0.98554299999999995</v>
      </c>
      <c r="S1813">
        <v>-7.4996950000000007E-2</v>
      </c>
      <c r="T1813">
        <v>-8.4854600000000002E-2</v>
      </c>
      <c r="U1813">
        <v>-3.06189</v>
      </c>
      <c r="V1813">
        <v>0.17050750000000001</v>
      </c>
      <c r="W1813">
        <v>4.0534180000000003E-2</v>
      </c>
      <c r="X1813">
        <v>0.98452229999999996</v>
      </c>
      <c r="Y1813">
        <v>0.35576550000000001</v>
      </c>
      <c r="Z1813">
        <v>2.4421120000000001E-2</v>
      </c>
      <c r="AA1813">
        <v>0.93425610000000003</v>
      </c>
      <c r="AB1813">
        <v>10</v>
      </c>
      <c r="AC1813">
        <v>-1.0096000000000001</v>
      </c>
      <c r="AD1813">
        <v>-1.1091126075069999</v>
      </c>
      <c r="AE1813">
        <v>-39.9209999999999</v>
      </c>
      <c r="AF1813">
        <v>14.2262562103978</v>
      </c>
      <c r="AG1813">
        <v>-1.1091126075069999</v>
      </c>
      <c r="AH1813">
        <v>37.280849636635402</v>
      </c>
      <c r="AI1813">
        <v>91.592139431768004</v>
      </c>
      <c r="AJ1813">
        <v>69.113301258454399</v>
      </c>
      <c r="AK1813">
        <v>39.918394834580099</v>
      </c>
      <c r="AL1813">
        <v>87.676926105190205</v>
      </c>
      <c r="AM1813">
        <v>80.174517404781298</v>
      </c>
      <c r="AN1813">
        <v>0.99999999325090605</v>
      </c>
    </row>
    <row r="1814" spans="1:40" x14ac:dyDescent="0.25">
      <c r="A1814" t="str">
        <f>"20190312153922112"</f>
        <v>20190312153922112</v>
      </c>
      <c r="B1814" t="str">
        <f>"1552376362097328"</f>
        <v>1552376362097328</v>
      </c>
      <c r="C1814" t="s">
        <v>40</v>
      </c>
      <c r="D1814">
        <v>3.9053239999999998</v>
      </c>
      <c r="E1814">
        <v>0.57443369999999905</v>
      </c>
      <c r="F1814" t="s">
        <v>42</v>
      </c>
      <c r="G1814">
        <v>-194.37200000000001</v>
      </c>
      <c r="H1814" s="1">
        <v>-1.9312790000000001E-6</v>
      </c>
      <c r="I1814">
        <v>311.21629999999999</v>
      </c>
      <c r="J1814">
        <v>-193.16069999999999</v>
      </c>
      <c r="K1814">
        <v>1.109119</v>
      </c>
      <c r="L1814">
        <v>352.60469999999998</v>
      </c>
      <c r="M1814">
        <v>0.329571</v>
      </c>
      <c r="N1814">
        <v>0</v>
      </c>
      <c r="O1814">
        <v>-0.94403440000000005</v>
      </c>
      <c r="P1814">
        <v>0.16395709999999999</v>
      </c>
      <c r="Q1814">
        <v>2.7854500000000001E-2</v>
      </c>
      <c r="R1814">
        <v>-0.98607420000000001</v>
      </c>
      <c r="S1814">
        <v>-8.8043209999999997E-2</v>
      </c>
      <c r="T1814">
        <v>-8.1902859999999994E-2</v>
      </c>
      <c r="U1814">
        <v>-3.0612180000000002</v>
      </c>
      <c r="V1814">
        <v>0.17034929999999901</v>
      </c>
      <c r="W1814">
        <v>4.0589460000000001E-2</v>
      </c>
      <c r="X1814">
        <v>0.98454739999999996</v>
      </c>
      <c r="Y1814">
        <v>0.35659479999999999</v>
      </c>
      <c r="Z1814">
        <v>2.3616209999999999E-2</v>
      </c>
      <c r="AA1814">
        <v>0.93396060000000003</v>
      </c>
      <c r="AB1814">
        <v>10</v>
      </c>
      <c r="AC1814">
        <v>-1.21130000000002</v>
      </c>
      <c r="AD1814">
        <v>-1.109120931279</v>
      </c>
      <c r="AE1814">
        <v>-41.388399999999898</v>
      </c>
      <c r="AF1814">
        <v>14.774669830609501</v>
      </c>
      <c r="AG1814">
        <v>-1.109120931279</v>
      </c>
      <c r="AH1814">
        <v>38.6486530240416</v>
      </c>
      <c r="AI1814">
        <v>91.535481164259707</v>
      </c>
      <c r="AJ1814">
        <v>69.079063349877501</v>
      </c>
      <c r="AK1814">
        <v>41.391296167388603</v>
      </c>
      <c r="AL1814">
        <v>87.673756167830206</v>
      </c>
      <c r="AM1814">
        <v>80.183701625873894</v>
      </c>
      <c r="AN1814">
        <v>0.99999998556017</v>
      </c>
    </row>
    <row r="1815" spans="1:40" x14ac:dyDescent="0.25">
      <c r="A1815" t="str">
        <f>"20190312153922133"</f>
        <v>20190312153922133</v>
      </c>
      <c r="B1815" t="str">
        <f>"1552376362117825"</f>
        <v>1552376362117825</v>
      </c>
      <c r="C1815" t="s">
        <v>40</v>
      </c>
      <c r="D1815">
        <v>3.9214190000000002</v>
      </c>
      <c r="E1815">
        <v>0.57336290000000001</v>
      </c>
      <c r="F1815" t="s">
        <v>42</v>
      </c>
      <c r="G1815">
        <v>-194.39599999999999</v>
      </c>
      <c r="H1815" s="1">
        <v>-2.3790020000000001E-6</v>
      </c>
      <c r="I1815">
        <v>312.14999999999998</v>
      </c>
      <c r="J1815">
        <v>-193.13679999999999</v>
      </c>
      <c r="K1815">
        <v>1.1091359999999999</v>
      </c>
      <c r="L1815">
        <v>352.52109999999999</v>
      </c>
      <c r="M1815">
        <v>0.32554670000000002</v>
      </c>
      <c r="N1815">
        <v>0</v>
      </c>
      <c r="O1815">
        <v>-0.94542990000000005</v>
      </c>
      <c r="P1815">
        <v>0.15998789999999999</v>
      </c>
      <c r="Q1815">
        <v>2.7416900000000001E-2</v>
      </c>
      <c r="R1815">
        <v>-0.98673840000000002</v>
      </c>
      <c r="S1815">
        <v>-9.3444819999999998E-2</v>
      </c>
      <c r="T1815">
        <v>-8.3899860000000007E-2</v>
      </c>
      <c r="U1815">
        <v>-3.0602109999999998</v>
      </c>
      <c r="V1815">
        <v>0.17011780000000001</v>
      </c>
      <c r="W1815">
        <v>4.0155400000000001E-2</v>
      </c>
      <c r="X1815">
        <v>0.98460530000000002</v>
      </c>
      <c r="Y1815">
        <v>0.35426929999999901</v>
      </c>
      <c r="Z1815">
        <v>2.4268310000000001E-2</v>
      </c>
      <c r="AA1815">
        <v>0.93482849999999995</v>
      </c>
      <c r="AB1815">
        <v>10</v>
      </c>
      <c r="AC1815">
        <v>-1.2591999999999901</v>
      </c>
      <c r="AD1815">
        <v>-1.109138379002</v>
      </c>
      <c r="AE1815">
        <v>-40.371099999999998</v>
      </c>
      <c r="AF1815">
        <v>14.323664744831699</v>
      </c>
      <c r="AG1815">
        <v>-1.109138379002</v>
      </c>
      <c r="AH1815">
        <v>37.733093331513999</v>
      </c>
      <c r="AI1815">
        <v>91.574144890546606</v>
      </c>
      <c r="AJ1815">
        <v>69.212995897995697</v>
      </c>
      <c r="AK1815">
        <v>40.375535811068303</v>
      </c>
      <c r="AL1815">
        <v>87.698646437351996</v>
      </c>
      <c r="AM1815">
        <v>80.197347999934095</v>
      </c>
      <c r="AN1815">
        <v>1.00000005940704</v>
      </c>
    </row>
    <row r="1816" spans="1:40" x14ac:dyDescent="0.25">
      <c r="A1816" t="str">
        <f>"20190312153922154"</f>
        <v>20190312153922154</v>
      </c>
      <c r="B1816" t="str">
        <f>"1552376362148081"</f>
        <v>1552376362148081</v>
      </c>
      <c r="C1816" t="s">
        <v>40</v>
      </c>
      <c r="D1816">
        <v>3.8773300000000002</v>
      </c>
      <c r="E1816">
        <v>0.57185739999999996</v>
      </c>
      <c r="F1816" t="s">
        <v>42</v>
      </c>
      <c r="G1816">
        <v>-194.5959</v>
      </c>
      <c r="H1816" s="1">
        <v>-4.0791039999999997E-6</v>
      </c>
      <c r="I1816">
        <v>306.57780000000002</v>
      </c>
      <c r="J1816">
        <v>-193.11</v>
      </c>
      <c r="K1816">
        <v>1.1091549999999999</v>
      </c>
      <c r="L1816">
        <v>352.42520000000002</v>
      </c>
      <c r="M1816">
        <v>0.32094840000000002</v>
      </c>
      <c r="N1816">
        <v>0</v>
      </c>
      <c r="O1816">
        <v>-0.94700070000000003</v>
      </c>
      <c r="P1816">
        <v>0.15570010000000001</v>
      </c>
      <c r="Q1816">
        <v>2.627937E-2</v>
      </c>
      <c r="R1816">
        <v>-0.98745479999999997</v>
      </c>
      <c r="S1816">
        <v>-9.7122189999999997E-2</v>
      </c>
      <c r="T1816">
        <v>-7.3827980000000001E-2</v>
      </c>
      <c r="U1816">
        <v>-3.0581360000000002</v>
      </c>
      <c r="V1816">
        <v>0.16961389999999901</v>
      </c>
      <c r="W1816">
        <v>3.9025230000000001E-2</v>
      </c>
      <c r="X1816">
        <v>0.98473759999999999</v>
      </c>
      <c r="Y1816">
        <v>0.35086810000000002</v>
      </c>
      <c r="Z1816">
        <v>2.1443150000000001E-2</v>
      </c>
      <c r="AA1816">
        <v>0.93617930000000005</v>
      </c>
      <c r="AB1816">
        <v>10</v>
      </c>
      <c r="AC1816">
        <v>-1.48589999999998</v>
      </c>
      <c r="AD1816">
        <v>-1.10915907910399</v>
      </c>
      <c r="AE1816">
        <v>-45.847399999999901</v>
      </c>
      <c r="AF1816">
        <v>16.113842579344301</v>
      </c>
      <c r="AG1816">
        <v>-1.10915907910399</v>
      </c>
      <c r="AH1816">
        <v>42.919433259212603</v>
      </c>
      <c r="AI1816">
        <v>91.385935164918493</v>
      </c>
      <c r="AJ1816">
        <v>69.421656377734905</v>
      </c>
      <c r="AK1816">
        <v>45.858084432591099</v>
      </c>
      <c r="AL1816">
        <v>87.763451065022494</v>
      </c>
      <c r="AM1816">
        <v>80.2271110696514</v>
      </c>
      <c r="AN1816">
        <v>0.99999999225176095</v>
      </c>
    </row>
    <row r="1817" spans="1:40" x14ac:dyDescent="0.25">
      <c r="A1817" t="str">
        <f>"20190312153922178"</f>
        <v>20190312153922178</v>
      </c>
      <c r="B1817" t="str">
        <f>"1552376362167601"</f>
        <v>1552376362167601</v>
      </c>
      <c r="C1817" t="s">
        <v>40</v>
      </c>
      <c r="D1817">
        <v>3.9186239999999999</v>
      </c>
      <c r="E1817">
        <v>0.57101999999999997</v>
      </c>
      <c r="F1817" t="s">
        <v>42</v>
      </c>
      <c r="G1817">
        <v>-194.64439999999999</v>
      </c>
      <c r="H1817" s="1">
        <v>-3.4679010000000001E-6</v>
      </c>
      <c r="I1817">
        <v>304.79230000000001</v>
      </c>
      <c r="J1817">
        <v>-193.08179999999999</v>
      </c>
      <c r="K1817">
        <v>1.1091789999999999</v>
      </c>
      <c r="L1817">
        <v>352.3229</v>
      </c>
      <c r="M1817">
        <v>0.31607590000000002</v>
      </c>
      <c r="N1817">
        <v>0</v>
      </c>
      <c r="O1817">
        <v>-0.94863819999999999</v>
      </c>
      <c r="P1817">
        <v>0.1513331</v>
      </c>
      <c r="Q1817">
        <v>2.5218000000000001E-2</v>
      </c>
      <c r="R1817">
        <v>-0.98816130000000002</v>
      </c>
      <c r="S1817">
        <v>-9.8434450000000007E-2</v>
      </c>
      <c r="T1817">
        <v>-7.1150660000000004E-2</v>
      </c>
      <c r="U1817">
        <v>-3.0555729999999999</v>
      </c>
      <c r="V1817">
        <v>0.16890729999999901</v>
      </c>
      <c r="W1817">
        <v>3.7972209999999999E-2</v>
      </c>
      <c r="X1817">
        <v>0.9849002</v>
      </c>
      <c r="Y1817">
        <v>0.3464777</v>
      </c>
      <c r="Z1817">
        <v>2.0759400000000001E-2</v>
      </c>
      <c r="AA1817">
        <v>0.93782849999999995</v>
      </c>
      <c r="AB1817">
        <v>10</v>
      </c>
      <c r="AC1817">
        <v>-1.5626</v>
      </c>
      <c r="AD1817">
        <v>-1.1091824679009901</v>
      </c>
      <c r="AE1817">
        <v>-47.5305999999999</v>
      </c>
      <c r="AF1817">
        <v>16.4981432519922</v>
      </c>
      <c r="AG1817">
        <v>-1.1091824679009901</v>
      </c>
      <c r="AH1817">
        <v>44.575243792868399</v>
      </c>
      <c r="AI1817">
        <v>91.336826770211104</v>
      </c>
      <c r="AJ1817">
        <v>69.689530927743505</v>
      </c>
      <c r="AK1817">
        <v>47.543363108892599</v>
      </c>
      <c r="AL1817">
        <v>87.823829414351593</v>
      </c>
      <c r="AM1817">
        <v>80.268620077863204</v>
      </c>
      <c r="AN1817">
        <v>0.99999998434280601</v>
      </c>
    </row>
    <row r="1818" spans="1:40" x14ac:dyDescent="0.25">
      <c r="A1818" t="str">
        <f>"20190312153922199"</f>
        <v>20190312153922199</v>
      </c>
      <c r="B1818" t="str">
        <f>"1552376362187124"</f>
        <v>1552376362187124</v>
      </c>
      <c r="C1818" t="s">
        <v>40</v>
      </c>
      <c r="D1818">
        <v>3.9150230000000001</v>
      </c>
      <c r="E1818">
        <v>0.57044859999999997</v>
      </c>
      <c r="F1818" t="s">
        <v>42</v>
      </c>
      <c r="G1818">
        <v>-194.69149999999999</v>
      </c>
      <c r="H1818" s="1">
        <v>-3.795909E-6</v>
      </c>
      <c r="I1818">
        <v>305.69580000000002</v>
      </c>
      <c r="J1818">
        <v>-193.0566</v>
      </c>
      <c r="K1818">
        <v>1.1092089999999999</v>
      </c>
      <c r="L1818">
        <v>352.22989999999999</v>
      </c>
      <c r="M1818">
        <v>0.31168099999999999</v>
      </c>
      <c r="N1818">
        <v>0</v>
      </c>
      <c r="O1818">
        <v>-0.95009140000000003</v>
      </c>
      <c r="P1818">
        <v>0.1473835</v>
      </c>
      <c r="Q1818">
        <v>2.4720949999999998E-2</v>
      </c>
      <c r="R1818">
        <v>-0.9887705</v>
      </c>
      <c r="S1818">
        <v>-0.1054382</v>
      </c>
      <c r="T1818">
        <v>-7.2649240000000004E-2</v>
      </c>
      <c r="U1818">
        <v>-3.0539860000000001</v>
      </c>
      <c r="V1818">
        <v>0.16828290000000001</v>
      </c>
      <c r="W1818">
        <v>3.7483790000000003E-2</v>
      </c>
      <c r="X1818">
        <v>0.98502579999999995</v>
      </c>
      <c r="Y1818">
        <v>0.34429779999999999</v>
      </c>
      <c r="Z1818">
        <v>2.126786E-2</v>
      </c>
      <c r="AA1818">
        <v>0.9386196</v>
      </c>
      <c r="AB1818">
        <v>10</v>
      </c>
      <c r="AC1818">
        <v>-1.63489999999998</v>
      </c>
      <c r="AD1818">
        <v>-1.1092127959089999</v>
      </c>
      <c r="AE1818">
        <v>-46.534099999999903</v>
      </c>
      <c r="AF1818">
        <v>16.0494471555206</v>
      </c>
      <c r="AG1818">
        <v>-1.1092127959089999</v>
      </c>
      <c r="AH1818">
        <v>43.6812544896693</v>
      </c>
      <c r="AI1818">
        <v>91.365408093956205</v>
      </c>
      <c r="AJ1818">
        <v>69.825565116561805</v>
      </c>
      <c r="AK1818">
        <v>46.549619770903803</v>
      </c>
      <c r="AL1818">
        <v>87.851833786449603</v>
      </c>
      <c r="AM1818">
        <v>80.305122839363307</v>
      </c>
      <c r="AN1818">
        <v>0.99999999780540605</v>
      </c>
    </row>
    <row r="1819" spans="1:40" x14ac:dyDescent="0.25">
      <c r="A1819" t="str">
        <f>"20190312153922221"</f>
        <v>20190312153922221</v>
      </c>
      <c r="B1819" t="str">
        <f>"1552376362207617"</f>
        <v>1552376362207617</v>
      </c>
      <c r="C1819" t="s">
        <v>40</v>
      </c>
      <c r="D1819">
        <v>3.9273729999999998</v>
      </c>
      <c r="E1819">
        <v>0.56973929999999995</v>
      </c>
      <c r="F1819" t="s">
        <v>42</v>
      </c>
      <c r="G1819">
        <v>-194.81020000000001</v>
      </c>
      <c r="H1819" s="1">
        <v>-3.5988109999999998E-6</v>
      </c>
      <c r="I1819">
        <v>305.05470000000003</v>
      </c>
      <c r="J1819">
        <v>-193.03149999999999</v>
      </c>
      <c r="K1819">
        <v>1.1092340000000001</v>
      </c>
      <c r="L1819">
        <v>352.13560000000001</v>
      </c>
      <c r="M1819">
        <v>0.30725380000000002</v>
      </c>
      <c r="N1819">
        <v>0</v>
      </c>
      <c r="O1819">
        <v>-0.9515325</v>
      </c>
      <c r="P1819">
        <v>0.14347969999999999</v>
      </c>
      <c r="Q1819">
        <v>2.5477659999999999E-2</v>
      </c>
      <c r="R1819">
        <v>-0.98932560000000003</v>
      </c>
      <c r="S1819">
        <v>-0.1134796</v>
      </c>
      <c r="T1819">
        <v>-7.1779250000000003E-2</v>
      </c>
      <c r="U1819">
        <v>-3.0527950000000001</v>
      </c>
      <c r="V1819">
        <v>0.1675777</v>
      </c>
      <c r="W1819">
        <v>3.8247139999999999E-2</v>
      </c>
      <c r="X1819">
        <v>0.98511669999999996</v>
      </c>
      <c r="Y1819">
        <v>0.34240769999999998</v>
      </c>
      <c r="Z1819">
        <v>2.107931E-2</v>
      </c>
      <c r="AA1819">
        <v>0.93931500000000001</v>
      </c>
      <c r="AB1819">
        <v>10</v>
      </c>
      <c r="AC1819">
        <v>-1.7787000000000099</v>
      </c>
      <c r="AD1819">
        <v>-1.1092375988109999</v>
      </c>
      <c r="AE1819">
        <v>-47.0808999999999</v>
      </c>
      <c r="AF1819">
        <v>16.150786558615899</v>
      </c>
      <c r="AG1819">
        <v>-1.1092375988109999</v>
      </c>
      <c r="AH1819">
        <v>44.231982099486899</v>
      </c>
      <c r="AI1819">
        <v>91.349438487869705</v>
      </c>
      <c r="AJ1819">
        <v>69.940930516679998</v>
      </c>
      <c r="AK1819">
        <v>47.101449605738402</v>
      </c>
      <c r="AL1819">
        <v>87.808065714243298</v>
      </c>
      <c r="AM1819">
        <v>80.345857653396294</v>
      </c>
      <c r="AN1819">
        <v>1.00000002093717</v>
      </c>
    </row>
    <row r="1820" spans="1:40" x14ac:dyDescent="0.25">
      <c r="A1820" t="str">
        <f>"20190312153922235"</f>
        <v>20190312153922235</v>
      </c>
      <c r="B1820" t="str">
        <f>"1552376362227137"</f>
        <v>1552376362227137</v>
      </c>
      <c r="C1820" t="s">
        <v>40</v>
      </c>
      <c r="D1820">
        <v>3.9052199999999999</v>
      </c>
      <c r="E1820">
        <v>0.56945649999999903</v>
      </c>
      <c r="F1820" t="s">
        <v>42</v>
      </c>
      <c r="G1820">
        <v>-194.99809999999999</v>
      </c>
      <c r="H1820" s="1">
        <v>-2.3360269999999999E-6</v>
      </c>
      <c r="I1820">
        <v>301.93450000000001</v>
      </c>
      <c r="J1820">
        <v>-193.0145</v>
      </c>
      <c r="K1820">
        <v>1.109254</v>
      </c>
      <c r="L1820">
        <v>352.07089999999999</v>
      </c>
      <c r="M1820">
        <v>0.30423620000000001</v>
      </c>
      <c r="N1820">
        <v>0</v>
      </c>
      <c r="O1820">
        <v>-0.95250179999999995</v>
      </c>
      <c r="P1820">
        <v>0.14080680000000001</v>
      </c>
      <c r="Q1820">
        <v>2.5697129999999999E-2</v>
      </c>
      <c r="R1820">
        <v>-0.98970400000000003</v>
      </c>
      <c r="S1820">
        <v>-0.1195374</v>
      </c>
      <c r="T1820">
        <v>-6.7423819999999995E-2</v>
      </c>
      <c r="U1820">
        <v>-3.0514220000000001</v>
      </c>
      <c r="V1820">
        <v>0.16711319999999999</v>
      </c>
      <c r="W1820">
        <v>3.8470610000000002E-2</v>
      </c>
      <c r="X1820">
        <v>0.98518689999999998</v>
      </c>
      <c r="Y1820">
        <v>0.34130860000000002</v>
      </c>
      <c r="Z1820">
        <v>1.984549E-2</v>
      </c>
      <c r="AA1820">
        <v>0.93974179999999996</v>
      </c>
      <c r="AB1820">
        <v>10</v>
      </c>
      <c r="AC1820">
        <v>-1.98359999999999</v>
      </c>
      <c r="AD1820">
        <v>-1.109256336027</v>
      </c>
      <c r="AE1820">
        <v>-50.136399999999902</v>
      </c>
      <c r="AF1820">
        <v>17.1358640699859</v>
      </c>
      <c r="AG1820">
        <v>-1.109256336027</v>
      </c>
      <c r="AH1820">
        <v>47.132752308701598</v>
      </c>
      <c r="AI1820">
        <v>91.267077457533702</v>
      </c>
      <c r="AJ1820">
        <v>70.020456576015903</v>
      </c>
      <c r="AK1820">
        <v>50.163379344273302</v>
      </c>
      <c r="AL1820">
        <v>87.795252391430594</v>
      </c>
      <c r="AM1820">
        <v>80.372789092691406</v>
      </c>
      <c r="AN1820">
        <v>1.0000000186898099</v>
      </c>
    </row>
    <row r="1821" spans="1:40" x14ac:dyDescent="0.25">
      <c r="A1821" t="str">
        <f>"20190312153922254"</f>
        <v>20190312153922254</v>
      </c>
      <c r="B1821" t="str">
        <f>"1552376362247632"</f>
        <v>1552376362247632</v>
      </c>
      <c r="C1821" t="s">
        <v>40</v>
      </c>
      <c r="D1821">
        <v>3.9229090000000002</v>
      </c>
      <c r="E1821">
        <v>0.56210550000000004</v>
      </c>
      <c r="F1821" t="s">
        <v>42</v>
      </c>
      <c r="G1821">
        <v>-195.1473</v>
      </c>
      <c r="H1821" s="1">
        <v>-1.6723230000000001E-6</v>
      </c>
      <c r="I1821">
        <v>300.29489999999998</v>
      </c>
      <c r="J1821">
        <v>-192.9939</v>
      </c>
      <c r="K1821">
        <v>1.1092839999999999</v>
      </c>
      <c r="L1821">
        <v>351.99149999999997</v>
      </c>
      <c r="M1821">
        <v>0.30056050000000001</v>
      </c>
      <c r="N1821">
        <v>0</v>
      </c>
      <c r="O1821">
        <v>-0.95366799999999996</v>
      </c>
      <c r="P1821">
        <v>0.13854949999999999</v>
      </c>
      <c r="Q1821">
        <v>2.5937769999999999E-2</v>
      </c>
      <c r="R1821">
        <v>-0.99001589999999995</v>
      </c>
      <c r="S1821">
        <v>-0.12567139999999999</v>
      </c>
      <c r="T1821">
        <v>-6.5359589999999995E-2</v>
      </c>
      <c r="U1821">
        <v>-3.050751</v>
      </c>
      <c r="V1821">
        <v>0.16555610000000001</v>
      </c>
      <c r="W1821">
        <v>3.8721239999999997E-2</v>
      </c>
      <c r="X1821">
        <v>0.98543990000000004</v>
      </c>
      <c r="Y1821">
        <v>0.33957809999999999</v>
      </c>
      <c r="Z1821">
        <v>1.9285750000000001E-2</v>
      </c>
      <c r="AA1821">
        <v>0.94038010000000005</v>
      </c>
      <c r="AB1821">
        <v>10</v>
      </c>
      <c r="AC1821">
        <v>-2.1534</v>
      </c>
      <c r="AD1821">
        <v>-1.109285672323</v>
      </c>
      <c r="AE1821">
        <v>-51.696599999999897</v>
      </c>
      <c r="AF1821">
        <v>17.585091843512998</v>
      </c>
      <c r="AG1821">
        <v>-1.109285672323</v>
      </c>
      <c r="AH1821">
        <v>48.636208675028598</v>
      </c>
      <c r="AI1821">
        <v>91.228741683906804</v>
      </c>
      <c r="AJ1821">
        <v>70.121844462434893</v>
      </c>
      <c r="AK1821">
        <v>51.7295540685258</v>
      </c>
      <c r="AL1821">
        <v>87.780881549328896</v>
      </c>
      <c r="AM1821">
        <v>80.463240020513695</v>
      </c>
      <c r="AN1821">
        <v>0.99999997659317796</v>
      </c>
    </row>
    <row r="1822" spans="1:40" x14ac:dyDescent="0.25">
      <c r="A1822" t="str">
        <f>"20190312153922289"</f>
        <v>20190312153922289</v>
      </c>
      <c r="B1822" t="str">
        <f>"1552376362277889"</f>
        <v>1552376362277889</v>
      </c>
      <c r="C1822" t="s">
        <v>40</v>
      </c>
      <c r="D1822">
        <v>3.9507650000000001</v>
      </c>
      <c r="E1822">
        <v>0.5611081</v>
      </c>
      <c r="F1822" t="s">
        <v>42</v>
      </c>
      <c r="G1822">
        <v>-195.05879999999999</v>
      </c>
      <c r="H1822" s="1">
        <v>-4.5649140000000001E-6</v>
      </c>
      <c r="I1822">
        <v>267.76409999999998</v>
      </c>
      <c r="J1822">
        <v>-192.95570000000001</v>
      </c>
      <c r="K1822">
        <v>1.10934</v>
      </c>
      <c r="L1822">
        <v>351.84089999999998</v>
      </c>
      <c r="M1822">
        <v>0.29370879999999999</v>
      </c>
      <c r="N1822">
        <v>0</v>
      </c>
      <c r="O1822">
        <v>-0.9558006</v>
      </c>
      <c r="P1822">
        <v>0.13477890000000001</v>
      </c>
      <c r="Q1822">
        <v>2.563563E-2</v>
      </c>
      <c r="R1822">
        <v>-0.99054439999999999</v>
      </c>
      <c r="S1822">
        <v>-7.4569700000000003E-2</v>
      </c>
      <c r="T1822">
        <v>-4.0059919999999999E-2</v>
      </c>
      <c r="U1822">
        <v>-3.0417179999999999</v>
      </c>
      <c r="V1822">
        <v>0.16223000000000001</v>
      </c>
      <c r="W1822">
        <v>3.8442980000000002E-2</v>
      </c>
      <c r="X1822">
        <v>0.98600379999999999</v>
      </c>
      <c r="Y1822">
        <v>0.31707170000000001</v>
      </c>
      <c r="Z1822">
        <v>1.195504E-2</v>
      </c>
      <c r="AA1822">
        <v>0.94832620000000001</v>
      </c>
      <c r="AB1822">
        <v>10</v>
      </c>
      <c r="AC1822">
        <v>-2.10309999999998</v>
      </c>
      <c r="AD1822">
        <v>-1.1093445649139999</v>
      </c>
      <c r="AE1822">
        <v>-84.076799999999906</v>
      </c>
      <c r="AF1822">
        <v>26.702002992567699</v>
      </c>
      <c r="AG1822">
        <v>-1.1093445649139999</v>
      </c>
      <c r="AH1822">
        <v>79.736276032278695</v>
      </c>
      <c r="AI1822">
        <v>90.755835788181898</v>
      </c>
      <c r="AJ1822">
        <v>71.485384908573295</v>
      </c>
      <c r="AK1822">
        <v>84.095786604767198</v>
      </c>
      <c r="AL1822">
        <v>87.796836526519996</v>
      </c>
      <c r="AM1822">
        <v>80.656674063644004</v>
      </c>
      <c r="AN1822">
        <v>0.999999964612859</v>
      </c>
    </row>
    <row r="1823" spans="1:40" x14ac:dyDescent="0.25">
      <c r="A1823" t="str">
        <f>"20190312153922310"</f>
        <v>20190312153922310</v>
      </c>
      <c r="B1823" t="str">
        <f>"1552376362297409"</f>
        <v>1552376362297409</v>
      </c>
      <c r="C1823" t="s">
        <v>40</v>
      </c>
      <c r="D1823">
        <v>3.940156</v>
      </c>
      <c r="E1823">
        <v>0.55749300000000002</v>
      </c>
      <c r="F1823" t="s">
        <v>42</v>
      </c>
      <c r="G1823">
        <v>-195.13050000000001</v>
      </c>
      <c r="H1823" s="1">
        <v>-4.5819680000000003E-6</v>
      </c>
      <c r="I1823">
        <v>267.77679999999998</v>
      </c>
      <c r="J1823">
        <v>-192.9332</v>
      </c>
      <c r="K1823">
        <v>1.1093770000000001</v>
      </c>
      <c r="L1823">
        <v>351.75060000000002</v>
      </c>
      <c r="M1823">
        <v>0.28967029999999999</v>
      </c>
      <c r="N1823">
        <v>0</v>
      </c>
      <c r="O1823">
        <v>-0.95703240000000001</v>
      </c>
      <c r="P1823">
        <v>0.132686</v>
      </c>
      <c r="Q1823">
        <v>2.5817329999999999E-2</v>
      </c>
      <c r="R1823">
        <v>-0.99082179999999997</v>
      </c>
      <c r="S1823">
        <v>-7.8659060000000003E-2</v>
      </c>
      <c r="T1823">
        <v>-4.0122030000000003E-2</v>
      </c>
      <c r="U1823">
        <v>-3.040375</v>
      </c>
      <c r="V1823">
        <v>0.16014389999999901</v>
      </c>
      <c r="W1823">
        <v>3.863929E-2</v>
      </c>
      <c r="X1823">
        <v>0.98633709999999997</v>
      </c>
      <c r="Y1823">
        <v>0.31435069999999998</v>
      </c>
      <c r="Z1823">
        <v>1.2008990000000001E-2</v>
      </c>
      <c r="AA1823">
        <v>0.94923100000000005</v>
      </c>
      <c r="AB1823">
        <v>10</v>
      </c>
      <c r="AC1823">
        <v>-2.19730000000001</v>
      </c>
      <c r="AD1823">
        <v>-1.109381581968</v>
      </c>
      <c r="AE1823">
        <v>-83.973799999999997</v>
      </c>
      <c r="AF1823">
        <v>26.425374383269801</v>
      </c>
      <c r="AG1823">
        <v>-1.109381581968</v>
      </c>
      <c r="AH1823">
        <v>79.722430916633598</v>
      </c>
      <c r="AI1823">
        <v>90.756766039919299</v>
      </c>
      <c r="AJ1823">
        <v>71.661332176132603</v>
      </c>
      <c r="AK1823">
        <v>83.9952208762368</v>
      </c>
      <c r="AL1823">
        <v>87.7855804385336</v>
      </c>
      <c r="AM1823">
        <v>80.777803980237593</v>
      </c>
      <c r="AN1823">
        <v>0.99999996913766098</v>
      </c>
    </row>
    <row r="1824" spans="1:40" x14ac:dyDescent="0.25">
      <c r="A1824" t="str">
        <f>"20190312153922334"</f>
        <v>20190312153922334</v>
      </c>
      <c r="B1824" t="str">
        <f>"1552376362327664"</f>
        <v>1552376362327664</v>
      </c>
      <c r="C1824" t="s">
        <v>40</v>
      </c>
      <c r="D1824">
        <v>3.9063500000000002</v>
      </c>
      <c r="E1824">
        <v>0.55878070000000002</v>
      </c>
      <c r="F1824" t="s">
        <v>42</v>
      </c>
      <c r="G1824">
        <v>-194.53790000000001</v>
      </c>
      <c r="H1824" s="1">
        <v>-3.7853750000000002E-6</v>
      </c>
      <c r="I1824">
        <v>265.74489999999997</v>
      </c>
      <c r="J1824">
        <v>-192.90780000000001</v>
      </c>
      <c r="K1824">
        <v>1.109424</v>
      </c>
      <c r="L1824">
        <v>351.64710000000002</v>
      </c>
      <c r="M1824">
        <v>0.28510869999999999</v>
      </c>
      <c r="N1824">
        <v>0</v>
      </c>
      <c r="O1824">
        <v>-0.95840130000000001</v>
      </c>
      <c r="P1824">
        <v>0.13028229999999999</v>
      </c>
      <c r="Q1824">
        <v>2.6125659999999998E-2</v>
      </c>
      <c r="R1824">
        <v>-0.99113289999999998</v>
      </c>
      <c r="S1824">
        <v>-5.6655879999999999E-2</v>
      </c>
      <c r="T1824">
        <v>-3.9167170000000001E-2</v>
      </c>
      <c r="U1824">
        <v>-3.0364689999999999</v>
      </c>
      <c r="V1824">
        <v>0.15783129999999901</v>
      </c>
      <c r="W1824">
        <v>3.8963299999999999E-2</v>
      </c>
      <c r="X1824">
        <v>0.98669709999999999</v>
      </c>
      <c r="Y1824">
        <v>0.3029637</v>
      </c>
      <c r="Z1824">
        <v>1.1789900000000001E-2</v>
      </c>
      <c r="AA1824">
        <v>0.95292909999999997</v>
      </c>
      <c r="AB1824">
        <v>10</v>
      </c>
      <c r="AC1824">
        <v>-1.6300999999999899</v>
      </c>
      <c r="AD1824">
        <v>-1.1094277853750001</v>
      </c>
      <c r="AE1824">
        <v>-85.902199999999993</v>
      </c>
      <c r="AF1824">
        <v>26.051755584363899</v>
      </c>
      <c r="AG1824">
        <v>-1.1094277853750001</v>
      </c>
      <c r="AH1824">
        <v>81.8577435392654</v>
      </c>
      <c r="AI1824">
        <v>90.739924601789895</v>
      </c>
      <c r="AJ1824">
        <v>72.345992428946005</v>
      </c>
      <c r="AK1824">
        <v>85.910505622878006</v>
      </c>
      <c r="AL1824">
        <v>87.767002138876194</v>
      </c>
      <c r="AM1824">
        <v>80.912001208272201</v>
      </c>
      <c r="AN1824">
        <v>1.0000000125774899</v>
      </c>
    </row>
    <row r="1825" spans="1:40" x14ac:dyDescent="0.25">
      <c r="A1825" t="str">
        <f>"20190312153922355"</f>
        <v>20190312153922355</v>
      </c>
      <c r="B1825" t="str">
        <f>"1552376362347185"</f>
        <v>1552376362347185</v>
      </c>
      <c r="C1825" t="s">
        <v>40</v>
      </c>
      <c r="D1825">
        <v>3.9404729999999999</v>
      </c>
      <c r="E1825">
        <v>0.55851139999999999</v>
      </c>
      <c r="F1825" t="s">
        <v>42</v>
      </c>
      <c r="G1825">
        <v>-195.04480000000001</v>
      </c>
      <c r="H1825" s="1">
        <v>-3.190202E-6</v>
      </c>
      <c r="I1825">
        <v>263.89659999999998</v>
      </c>
      <c r="J1825">
        <v>-192.8854</v>
      </c>
      <c r="K1825">
        <v>1.109459</v>
      </c>
      <c r="L1825">
        <v>351.55430000000001</v>
      </c>
      <c r="M1825">
        <v>0.28109260000000003</v>
      </c>
      <c r="N1825">
        <v>0</v>
      </c>
      <c r="O1825">
        <v>-0.95958719999999997</v>
      </c>
      <c r="P1825">
        <v>0.1283464</v>
      </c>
      <c r="Q1825">
        <v>2.5837490000000001E-2</v>
      </c>
      <c r="R1825">
        <v>-0.99139290000000002</v>
      </c>
      <c r="S1825">
        <v>-7.3974609999999996E-2</v>
      </c>
      <c r="T1825">
        <v>-3.840387E-2</v>
      </c>
      <c r="U1825">
        <v>-3.0375670000000001</v>
      </c>
      <c r="V1825">
        <v>0.15562219999999999</v>
      </c>
      <c r="W1825">
        <v>3.8690280000000001E-2</v>
      </c>
      <c r="X1825">
        <v>0.98705860000000001</v>
      </c>
      <c r="Y1825">
        <v>0.30439650000000001</v>
      </c>
      <c r="Z1825">
        <v>1.15747E-2</v>
      </c>
      <c r="AA1825">
        <v>0.95247510000000002</v>
      </c>
      <c r="AB1825">
        <v>10</v>
      </c>
      <c r="AC1825">
        <v>-2.1594000000000002</v>
      </c>
      <c r="AD1825">
        <v>-1.1094621902020001</v>
      </c>
      <c r="AE1825">
        <v>-87.657700000000006</v>
      </c>
      <c r="AF1825">
        <v>26.7101830045555</v>
      </c>
      <c r="AG1825">
        <v>-1.1094621902020001</v>
      </c>
      <c r="AH1825">
        <v>83.502336972535105</v>
      </c>
      <c r="AI1825">
        <v>90.725036167730593</v>
      </c>
      <c r="AJ1825">
        <v>72.261904394886301</v>
      </c>
      <c r="AK1825">
        <v>87.677277913739601</v>
      </c>
      <c r="AL1825">
        <v>87.782656683242394</v>
      </c>
      <c r="AM1825">
        <v>81.040352214473003</v>
      </c>
      <c r="AN1825">
        <v>0.999999943366637</v>
      </c>
    </row>
    <row r="1826" spans="1:40" x14ac:dyDescent="0.25">
      <c r="A1826" t="str">
        <f>"20190312153922378"</f>
        <v>20190312153922378</v>
      </c>
      <c r="B1826" t="str">
        <f>"1552376362367696"</f>
        <v>1552376362367696</v>
      </c>
      <c r="C1826" t="s">
        <v>40</v>
      </c>
      <c r="D1826">
        <v>3.983171</v>
      </c>
      <c r="E1826">
        <v>0.54183859999999995</v>
      </c>
      <c r="F1826" t="s">
        <v>42</v>
      </c>
      <c r="G1826">
        <v>-195.3252</v>
      </c>
      <c r="H1826" s="1">
        <v>-4.0319299999999999E-6</v>
      </c>
      <c r="I1826">
        <v>256.0591</v>
      </c>
      <c r="J1826">
        <v>-192.86240000000001</v>
      </c>
      <c r="K1826">
        <v>1.109505</v>
      </c>
      <c r="L1826">
        <v>351.4579</v>
      </c>
      <c r="M1826">
        <v>0.27700859999999999</v>
      </c>
      <c r="N1826">
        <v>0</v>
      </c>
      <c r="O1826">
        <v>-0.96077429999999997</v>
      </c>
      <c r="P1826">
        <v>0.12737899999999999</v>
      </c>
      <c r="Q1826">
        <v>2.550237E-2</v>
      </c>
      <c r="R1826">
        <v>-0.99152629999999997</v>
      </c>
      <c r="S1826">
        <v>-7.7590939999999997E-2</v>
      </c>
      <c r="T1826">
        <v>-3.5283330000000002E-2</v>
      </c>
      <c r="U1826">
        <v>-3.0369570000000001</v>
      </c>
      <c r="V1826">
        <v>0.15238189999999999</v>
      </c>
      <c r="W1826">
        <v>3.8374850000000002E-2</v>
      </c>
      <c r="X1826">
        <v>0.98757640000000002</v>
      </c>
      <c r="Y1826">
        <v>0.30148200000000003</v>
      </c>
      <c r="Z1826">
        <v>1.0662349999999999E-2</v>
      </c>
      <c r="AA1826">
        <v>0.95341220000000004</v>
      </c>
      <c r="AB1826">
        <v>10</v>
      </c>
      <c r="AC1826">
        <v>-2.4627999999999801</v>
      </c>
      <c r="AD1826">
        <v>-1.1095090319299901</v>
      </c>
      <c r="AE1826">
        <v>-95.398799999999994</v>
      </c>
      <c r="AF1826">
        <v>28.7911682029399</v>
      </c>
      <c r="AG1826">
        <v>-1.1095090319299901</v>
      </c>
      <c r="AH1826">
        <v>90.9703442738913</v>
      </c>
      <c r="AI1826">
        <v>90.6662005999695</v>
      </c>
      <c r="AJ1826">
        <v>72.437962057381895</v>
      </c>
      <c r="AK1826">
        <v>95.424136957544505</v>
      </c>
      <c r="AL1826">
        <v>87.800743068765001</v>
      </c>
      <c r="AM1826">
        <v>81.228501755712998</v>
      </c>
      <c r="AN1826">
        <v>1.0000000091985399</v>
      </c>
    </row>
    <row r="1827" spans="1:40" x14ac:dyDescent="0.25">
      <c r="A1827" t="str">
        <f>"20190312153922398"</f>
        <v>20190312153922398</v>
      </c>
      <c r="B1827" t="str">
        <f>"1552376362387201"</f>
        <v>1552376362387201</v>
      </c>
      <c r="C1827" t="s">
        <v>40</v>
      </c>
      <c r="D1827">
        <v>3.9614739999999999</v>
      </c>
      <c r="E1827">
        <v>0.53943909999999995</v>
      </c>
      <c r="F1827" t="s">
        <v>42</v>
      </c>
      <c r="G1827">
        <v>-190.96979999999999</v>
      </c>
      <c r="H1827" s="1">
        <v>-5.8329990000000005E-7</v>
      </c>
      <c r="I1827">
        <v>240.27969999999999</v>
      </c>
      <c r="J1827">
        <v>-192.84100000000001</v>
      </c>
      <c r="K1827">
        <v>1.1095489999999999</v>
      </c>
      <c r="L1827">
        <v>351.36709999999999</v>
      </c>
      <c r="M1827">
        <v>0.273258</v>
      </c>
      <c r="N1827">
        <v>0</v>
      </c>
      <c r="O1827">
        <v>-0.96184780000000003</v>
      </c>
      <c r="P1827">
        <v>0.1270763</v>
      </c>
      <c r="Q1827">
        <v>2.4259670000000001E-2</v>
      </c>
      <c r="R1827">
        <v>-0.99159649999999999</v>
      </c>
      <c r="S1827">
        <v>5.1406859999999999E-2</v>
      </c>
      <c r="T1827">
        <v>-3.013623E-2</v>
      </c>
      <c r="U1827">
        <v>-3.019806</v>
      </c>
      <c r="V1827">
        <v>0.14882919999999999</v>
      </c>
      <c r="W1827">
        <v>3.7152629999999999E-2</v>
      </c>
      <c r="X1827">
        <v>0.98816470000000001</v>
      </c>
      <c r="Y1827">
        <v>0.2568705</v>
      </c>
      <c r="Z1827">
        <v>9.2416040000000005E-3</v>
      </c>
      <c r="AA1827">
        <v>0.96640159999999997</v>
      </c>
      <c r="AB1827">
        <v>10</v>
      </c>
      <c r="AC1827">
        <v>1.87119999999998</v>
      </c>
      <c r="AD1827">
        <v>-1.1095495832998901</v>
      </c>
      <c r="AE1827">
        <v>-111.0874</v>
      </c>
      <c r="AF1827">
        <v>28.555417512116499</v>
      </c>
      <c r="AG1827">
        <v>-1.1095495832998901</v>
      </c>
      <c r="AH1827">
        <v>107.359387696882</v>
      </c>
      <c r="AI1827">
        <v>90.572231568440301</v>
      </c>
      <c r="AJ1827">
        <v>75.105336371558707</v>
      </c>
      <c r="AK1827">
        <v>111.09761966945401</v>
      </c>
      <c r="AL1827">
        <v>87.8708210055254</v>
      </c>
      <c r="AM1827">
        <v>81.4349589003007</v>
      </c>
      <c r="AN1827">
        <v>0.99999996150732195</v>
      </c>
    </row>
    <row r="1828" spans="1:40" x14ac:dyDescent="0.25">
      <c r="A1828" t="str">
        <f>"20190312153922422"</f>
        <v>20190312153922422</v>
      </c>
      <c r="B1828" t="str">
        <f>"1552376362417457"</f>
        <v>1552376362417457</v>
      </c>
      <c r="C1828" t="s">
        <v>40</v>
      </c>
      <c r="D1828">
        <v>3.948118</v>
      </c>
      <c r="E1828">
        <v>0.53910880000000005</v>
      </c>
      <c r="F1828" t="s">
        <v>54</v>
      </c>
      <c r="G1828">
        <v>-191.5505</v>
      </c>
      <c r="H1828" s="1">
        <v>1.3870640000000001E-6</v>
      </c>
      <c r="I1828">
        <v>295.29289999999997</v>
      </c>
      <c r="J1828">
        <v>-192.81880000000001</v>
      </c>
      <c r="K1828">
        <v>1.1095889999999999</v>
      </c>
      <c r="L1828">
        <v>351.27109999999999</v>
      </c>
      <c r="M1828">
        <v>0.26937800000000001</v>
      </c>
      <c r="N1828">
        <v>0</v>
      </c>
      <c r="O1828">
        <v>-0.96294179999999996</v>
      </c>
      <c r="P1828">
        <v>0.12648319999999999</v>
      </c>
      <c r="Q1828">
        <v>2.2139659999999999E-2</v>
      </c>
      <c r="R1828">
        <v>-0.99172179999999999</v>
      </c>
      <c r="S1828">
        <v>6.9458010000000001E-2</v>
      </c>
      <c r="T1828">
        <v>-5.9717659999999999E-2</v>
      </c>
      <c r="U1828">
        <v>-3.018005</v>
      </c>
      <c r="V1828">
        <v>0.14543879999999901</v>
      </c>
      <c r="W1828">
        <v>3.5050659999999997E-2</v>
      </c>
      <c r="X1828">
        <v>0.98874620000000002</v>
      </c>
      <c r="Y1828">
        <v>0.24717620000000001</v>
      </c>
      <c r="Z1828">
        <v>1.837797E-2</v>
      </c>
      <c r="AA1828">
        <v>0.96879630000000005</v>
      </c>
      <c r="AB1828">
        <v>10</v>
      </c>
      <c r="AC1828">
        <v>1.26830000000001</v>
      </c>
      <c r="AD1828">
        <v>-1.1095876129359901</v>
      </c>
      <c r="AE1828">
        <v>-55.978200000000001</v>
      </c>
      <c r="AF1828">
        <v>13.853793636972499</v>
      </c>
      <c r="AG1828">
        <v>-1.1095876129359901</v>
      </c>
      <c r="AH1828">
        <v>54.228949301617298</v>
      </c>
      <c r="AI1828">
        <v>91.135710107652699</v>
      </c>
      <c r="AJ1828">
        <v>75.669241551516507</v>
      </c>
      <c r="AK1828">
        <v>55.981583803640099</v>
      </c>
      <c r="AL1828">
        <v>87.991333720363002</v>
      </c>
      <c r="AM1828">
        <v>81.632131645428501</v>
      </c>
      <c r="AN1828">
        <v>1.0000000206631501</v>
      </c>
    </row>
    <row r="1829" spans="1:40" x14ac:dyDescent="0.25">
      <c r="A1829" t="str">
        <f>"20190312153922444"</f>
        <v>20190312153922444</v>
      </c>
      <c r="B1829" t="str">
        <f>"1552376362437953"</f>
        <v>1552376362437953</v>
      </c>
      <c r="C1829" t="s">
        <v>40</v>
      </c>
      <c r="D1829">
        <v>3.9805250000000001</v>
      </c>
      <c r="E1829">
        <v>0.5387149</v>
      </c>
      <c r="F1829" t="s">
        <v>54</v>
      </c>
      <c r="G1829">
        <v>-191.5256</v>
      </c>
      <c r="H1829" s="1">
        <v>1.2747029999999999E-6</v>
      </c>
      <c r="I1829">
        <v>295.61700000000002</v>
      </c>
      <c r="J1829">
        <v>-192.79660000000001</v>
      </c>
      <c r="K1829">
        <v>1.1096140000000001</v>
      </c>
      <c r="L1829">
        <v>351.17419999999998</v>
      </c>
      <c r="M1829">
        <v>0.26554460000000002</v>
      </c>
      <c r="N1829">
        <v>0</v>
      </c>
      <c r="O1829">
        <v>-0.96400620000000004</v>
      </c>
      <c r="P1829">
        <v>0.12566849999999999</v>
      </c>
      <c r="Q1829">
        <v>2.1107839999999999E-2</v>
      </c>
      <c r="R1829">
        <v>-0.99184810000000001</v>
      </c>
      <c r="S1829">
        <v>7.0114140000000005E-2</v>
      </c>
      <c r="T1829">
        <v>-6.015968E-2</v>
      </c>
      <c r="U1829">
        <v>-3.0174560000000001</v>
      </c>
      <c r="V1829">
        <v>0.14231569999999999</v>
      </c>
      <c r="W1829">
        <v>3.4032750000000001E-2</v>
      </c>
      <c r="X1829">
        <v>0.98923609999999995</v>
      </c>
      <c r="Y1829">
        <v>0.24310419999999999</v>
      </c>
      <c r="Z1829">
        <v>1.8559309999999999E-2</v>
      </c>
      <c r="AA1829">
        <v>0.96982259999999998</v>
      </c>
      <c r="AB1829">
        <v>10</v>
      </c>
      <c r="AC1829">
        <v>1.2710000000000099</v>
      </c>
      <c r="AD1829">
        <v>-1.1096127252969901</v>
      </c>
      <c r="AE1829">
        <v>-55.557199999999902</v>
      </c>
      <c r="AF1829">
        <v>13.523475780547001</v>
      </c>
      <c r="AG1829">
        <v>-1.1096127252969901</v>
      </c>
      <c r="AH1829">
        <v>53.8783120255125</v>
      </c>
      <c r="AI1829">
        <v>91.144340988980701</v>
      </c>
      <c r="AJ1829">
        <v>75.909824323812401</v>
      </c>
      <c r="AK1829">
        <v>55.560670841033499</v>
      </c>
      <c r="AL1829">
        <v>88.049690499181494</v>
      </c>
      <c r="AM1829">
        <v>81.813357251879907</v>
      </c>
      <c r="AN1829">
        <v>1.00000002404113</v>
      </c>
    </row>
    <row r="1830" spans="1:40" x14ac:dyDescent="0.25">
      <c r="A1830" t="str">
        <f>"20190312153922466"</f>
        <v>20190312153922466</v>
      </c>
      <c r="B1830" t="str">
        <f>"1552376362457473"</f>
        <v>1552376362457473</v>
      </c>
      <c r="C1830" t="s">
        <v>40</v>
      </c>
      <c r="D1830">
        <v>3.9753660000000002</v>
      </c>
      <c r="E1830">
        <v>0.53846769999999999</v>
      </c>
      <c r="F1830" t="s">
        <v>54</v>
      </c>
      <c r="G1830">
        <v>-191.52430000000001</v>
      </c>
      <c r="H1830" s="1">
        <v>7.1319540000000005E-7</v>
      </c>
      <c r="I1830">
        <v>297.20569999999998</v>
      </c>
      <c r="J1830">
        <v>-192.77529999999999</v>
      </c>
      <c r="K1830">
        <v>1.1096440000000001</v>
      </c>
      <c r="L1830">
        <v>351.07990000000001</v>
      </c>
      <c r="M1830">
        <v>0.26190950000000002</v>
      </c>
      <c r="N1830">
        <v>0</v>
      </c>
      <c r="O1830">
        <v>-0.96500039999999998</v>
      </c>
      <c r="P1830">
        <v>0.1250259</v>
      </c>
      <c r="Q1830">
        <v>2.080547E-2</v>
      </c>
      <c r="R1830">
        <v>-0.99193540000000002</v>
      </c>
      <c r="S1830">
        <v>7.1121219999999999E-2</v>
      </c>
      <c r="T1830">
        <v>-6.2028880000000002E-2</v>
      </c>
      <c r="U1830">
        <v>-3.0169069999999998</v>
      </c>
      <c r="V1830">
        <v>0.1392245</v>
      </c>
      <c r="W1830">
        <v>3.3743000000000002E-2</v>
      </c>
      <c r="X1830">
        <v>0.98968579999999995</v>
      </c>
      <c r="Y1830">
        <v>0.23911879999999999</v>
      </c>
      <c r="Z1830">
        <v>1.917992E-2</v>
      </c>
      <c r="AA1830">
        <v>0.97080089999999997</v>
      </c>
      <c r="AB1830">
        <v>10</v>
      </c>
      <c r="AC1830">
        <v>1.2509999999999699</v>
      </c>
      <c r="AD1830">
        <v>-1.1096432868046</v>
      </c>
      <c r="AE1830">
        <v>-53.874200000000002</v>
      </c>
      <c r="AF1830">
        <v>12.898626406455101</v>
      </c>
      <c r="AG1830">
        <v>-1.1096432868046</v>
      </c>
      <c r="AH1830">
        <v>52.298745801179798</v>
      </c>
      <c r="AI1830">
        <v>91.180132621641903</v>
      </c>
      <c r="AJ1830">
        <v>76.145436025901702</v>
      </c>
      <c r="AK1830">
        <v>53.877311400752703</v>
      </c>
      <c r="AL1830">
        <v>88.066301478171596</v>
      </c>
      <c r="AM1830">
        <v>81.992436375745896</v>
      </c>
      <c r="AN1830">
        <v>1.00000001708544</v>
      </c>
    </row>
    <row r="1831" spans="1:40" x14ac:dyDescent="0.25">
      <c r="A1831" t="str">
        <f>"20190312153922488"</f>
        <v>20190312153922488</v>
      </c>
      <c r="B1831" t="str">
        <f>"1552376362477972"</f>
        <v>1552376362477972</v>
      </c>
      <c r="C1831" t="s">
        <v>40</v>
      </c>
      <c r="D1831">
        <v>3.9915400000000001</v>
      </c>
      <c r="E1831">
        <v>0.53830269999999902</v>
      </c>
      <c r="F1831" t="s">
        <v>54</v>
      </c>
      <c r="G1831">
        <v>-191.4614</v>
      </c>
      <c r="H1831" s="1">
        <v>1.3110550000000001E-6</v>
      </c>
      <c r="I1831">
        <v>295.53019999999998</v>
      </c>
      <c r="J1831">
        <v>-192.75409999999999</v>
      </c>
      <c r="K1831">
        <v>1.1096760000000001</v>
      </c>
      <c r="L1831">
        <v>350.98509999999999</v>
      </c>
      <c r="M1831">
        <v>0.25835730000000001</v>
      </c>
      <c r="N1831">
        <v>0</v>
      </c>
      <c r="O1831">
        <v>-0.96595770000000003</v>
      </c>
      <c r="P1831">
        <v>0.12464790000000001</v>
      </c>
      <c r="Q1831">
        <v>1.8550569999999999E-2</v>
      </c>
      <c r="R1831">
        <v>-0.99202809999999997</v>
      </c>
      <c r="S1831">
        <v>7.13501E-2</v>
      </c>
      <c r="T1831">
        <v>-6.026053E-2</v>
      </c>
      <c r="U1831">
        <v>-3.0166930000000001</v>
      </c>
      <c r="V1831">
        <v>0.13596259999999999</v>
      </c>
      <c r="W1831">
        <v>3.1501639999999997E-2</v>
      </c>
      <c r="X1831">
        <v>0.99021300000000001</v>
      </c>
      <c r="Y1831">
        <v>0.23546919999999999</v>
      </c>
      <c r="Z1831">
        <v>1.867218E-2</v>
      </c>
      <c r="AA1831">
        <v>0.97170250000000002</v>
      </c>
      <c r="AB1831">
        <v>10</v>
      </c>
      <c r="AC1831">
        <v>1.29269999999999</v>
      </c>
      <c r="AD1831">
        <v>-1.109674688945</v>
      </c>
      <c r="AE1831">
        <v>-55.454900000000002</v>
      </c>
      <c r="AF1831">
        <v>13.074411442315199</v>
      </c>
      <c r="AG1831">
        <v>-1.109674688945</v>
      </c>
      <c r="AH1831">
        <v>53.884278732346502</v>
      </c>
      <c r="AI1831">
        <v>91.1465057038033</v>
      </c>
      <c r="AJ1831">
        <v>76.361400143066106</v>
      </c>
      <c r="AK1831">
        <v>55.4588776210215</v>
      </c>
      <c r="AL1831">
        <v>88.194790299099793</v>
      </c>
      <c r="AM1831">
        <v>82.181809404369105</v>
      </c>
      <c r="AN1831">
        <v>0.99999998364522402</v>
      </c>
    </row>
    <row r="1832" spans="1:40" x14ac:dyDescent="0.25">
      <c r="A1832" t="str">
        <f>"20190312153922510"</f>
        <v>20190312153922510</v>
      </c>
      <c r="B1832" t="str">
        <f>"1552376362507249"</f>
        <v>1552376362507249</v>
      </c>
      <c r="C1832" t="s">
        <v>40</v>
      </c>
      <c r="D1832">
        <v>4.0484609999999996</v>
      </c>
      <c r="E1832">
        <v>0.53758819999999996</v>
      </c>
      <c r="F1832" t="s">
        <v>54</v>
      </c>
      <c r="G1832">
        <v>-191.50110000000001</v>
      </c>
      <c r="H1832" s="1">
        <v>3.9019339999999997E-7</v>
      </c>
      <c r="I1832">
        <v>298.12529999999998</v>
      </c>
      <c r="J1832">
        <v>-192.73429999999999</v>
      </c>
      <c r="K1832">
        <v>1.1096969999999999</v>
      </c>
      <c r="L1832">
        <v>350.89569999999998</v>
      </c>
      <c r="M1832">
        <v>0.25510729999999998</v>
      </c>
      <c r="N1832">
        <v>0</v>
      </c>
      <c r="O1832">
        <v>-0.96682109999999999</v>
      </c>
      <c r="P1832">
        <v>0.1248359</v>
      </c>
      <c r="Q1832">
        <v>1.4630890000000001E-2</v>
      </c>
      <c r="R1832">
        <v>-0.99206950000000005</v>
      </c>
      <c r="S1832">
        <v>7.1502689999999994E-2</v>
      </c>
      <c r="T1832">
        <v>-6.3320520000000005E-2</v>
      </c>
      <c r="U1832">
        <v>-3.0162960000000001</v>
      </c>
      <c r="V1832">
        <v>0.1324495</v>
      </c>
      <c r="W1832">
        <v>2.7598520000000001E-2</v>
      </c>
      <c r="X1832">
        <v>0.99080539999999995</v>
      </c>
      <c r="Y1832">
        <v>0.23214770000000001</v>
      </c>
      <c r="Z1832">
        <v>1.965803E-2</v>
      </c>
      <c r="AA1832">
        <v>0.97248190000000001</v>
      </c>
      <c r="AB1832">
        <v>10</v>
      </c>
      <c r="AC1832">
        <v>1.2331999999999801</v>
      </c>
      <c r="AD1832">
        <v>-1.1096966098065999</v>
      </c>
      <c r="AE1832">
        <v>-52.770400000000002</v>
      </c>
      <c r="AF1832">
        <v>12.2654969401621</v>
      </c>
      <c r="AG1832">
        <v>-1.1096966098065999</v>
      </c>
      <c r="AH1832">
        <v>51.316003954617202</v>
      </c>
      <c r="AI1832">
        <v>91.204885633285997</v>
      </c>
      <c r="AJ1832">
        <v>76.557427668752894</v>
      </c>
      <c r="AK1832">
        <v>52.773157036747698</v>
      </c>
      <c r="AL1832">
        <v>88.418520388967494</v>
      </c>
      <c r="AM1832">
        <v>82.385919523641604</v>
      </c>
      <c r="AN1832">
        <v>0.99999994451279794</v>
      </c>
    </row>
    <row r="1833" spans="1:40" x14ac:dyDescent="0.25">
      <c r="A1833" t="str">
        <f>"20190312153922534"</f>
        <v>20190312153922534</v>
      </c>
      <c r="B1833" t="str">
        <f>"1552376362527745"</f>
        <v>1552376362527745</v>
      </c>
      <c r="C1833" t="s">
        <v>40</v>
      </c>
      <c r="D1833">
        <v>4.0731310000000001</v>
      </c>
      <c r="E1833">
        <v>0.53723489999999996</v>
      </c>
      <c r="F1833" t="s">
        <v>42</v>
      </c>
      <c r="G1833">
        <v>-191.6875</v>
      </c>
      <c r="H1833" s="1">
        <v>-7.6861359999999898E-7</v>
      </c>
      <c r="I1833">
        <v>310.26780000000002</v>
      </c>
      <c r="J1833">
        <v>-192.71209999999999</v>
      </c>
      <c r="K1833">
        <v>1.1097410000000001</v>
      </c>
      <c r="L1833">
        <v>350.79430000000002</v>
      </c>
      <c r="M1833">
        <v>0.25154569999999998</v>
      </c>
      <c r="N1833">
        <v>0</v>
      </c>
      <c r="O1833">
        <v>-0.96775420000000001</v>
      </c>
      <c r="P1833">
        <v>0.12444139999999999</v>
      </c>
      <c r="Q1833">
        <v>1.24136E-2</v>
      </c>
      <c r="R1833">
        <v>-0.99214950000000002</v>
      </c>
      <c r="S1833">
        <v>7.7697749999999996E-2</v>
      </c>
      <c r="T1833">
        <v>-8.2362060000000001E-2</v>
      </c>
      <c r="U1833">
        <v>-3.0154109999999998</v>
      </c>
      <c r="V1833">
        <v>0.129193899999999</v>
      </c>
      <c r="W1833">
        <v>2.5396780000000001E-2</v>
      </c>
      <c r="X1833">
        <v>0.99129409999999896</v>
      </c>
      <c r="Y1833">
        <v>0.22656200000000001</v>
      </c>
      <c r="Z1833">
        <v>2.5628769999999999E-2</v>
      </c>
      <c r="AA1833">
        <v>0.97365950000000001</v>
      </c>
      <c r="AB1833">
        <v>10</v>
      </c>
      <c r="AC1833">
        <v>1.02459999999999</v>
      </c>
      <c r="AD1833">
        <v>-1.1097417686136</v>
      </c>
      <c r="AE1833">
        <v>-40.526499999999999</v>
      </c>
      <c r="AF1833">
        <v>9.1966268754481693</v>
      </c>
      <c r="AG1833">
        <v>-1.1097417686136</v>
      </c>
      <c r="AH1833">
        <v>39.4513469190846</v>
      </c>
      <c r="AI1833">
        <v>91.569218515826506</v>
      </c>
      <c r="AJ1833">
        <v>76.877943675815999</v>
      </c>
      <c r="AK1833">
        <v>40.524292053152401</v>
      </c>
      <c r="AL1833">
        <v>88.544715260449493</v>
      </c>
      <c r="AM1833">
        <v>82.574578257477498</v>
      </c>
      <c r="AN1833">
        <v>1.0000000264631901</v>
      </c>
    </row>
    <row r="1834" spans="1:40" x14ac:dyDescent="0.25">
      <c r="A1834" t="str">
        <f>"20190312153922557"</f>
        <v>20190312153922557</v>
      </c>
      <c r="B1834" t="str">
        <f>"1552376362547265"</f>
        <v>1552376362547265</v>
      </c>
      <c r="C1834" t="s">
        <v>40</v>
      </c>
      <c r="D1834">
        <v>4.0854229999999996</v>
      </c>
      <c r="E1834">
        <v>0.53704149999999995</v>
      </c>
      <c r="F1834" t="s">
        <v>42</v>
      </c>
      <c r="G1834">
        <v>-191.7551</v>
      </c>
      <c r="H1834" s="1">
        <v>-2.7050119999999998E-6</v>
      </c>
      <c r="I1834">
        <v>314.3261</v>
      </c>
      <c r="J1834">
        <v>-192.69110000000001</v>
      </c>
      <c r="K1834">
        <v>1.109793</v>
      </c>
      <c r="L1834">
        <v>350.6979</v>
      </c>
      <c r="M1834">
        <v>0.24829200000000001</v>
      </c>
      <c r="N1834">
        <v>0</v>
      </c>
      <c r="O1834">
        <v>-0.96859419999999996</v>
      </c>
      <c r="P1834">
        <v>0.1234075</v>
      </c>
      <c r="Q1834">
        <v>1.305836E-2</v>
      </c>
      <c r="R1834">
        <v>-0.99227050000000006</v>
      </c>
      <c r="S1834">
        <v>7.9116820000000004E-2</v>
      </c>
      <c r="T1834">
        <v>-9.1746449999999993E-2</v>
      </c>
      <c r="U1834">
        <v>-3.0149539999999999</v>
      </c>
      <c r="V1834">
        <v>0.12688969999999999</v>
      </c>
      <c r="W1834">
        <v>2.6054600000000001E-2</v>
      </c>
      <c r="X1834">
        <v>0.99157459999999997</v>
      </c>
      <c r="Y1834">
        <v>0.2228272</v>
      </c>
      <c r="Z1834">
        <v>2.8601939999999999E-2</v>
      </c>
      <c r="AA1834">
        <v>0.97443829999999998</v>
      </c>
      <c r="AB1834">
        <v>10</v>
      </c>
      <c r="AC1834">
        <v>0.93600000000000705</v>
      </c>
      <c r="AD1834">
        <v>-1.109795705012</v>
      </c>
      <c r="AE1834">
        <v>-36.3718</v>
      </c>
      <c r="AF1834">
        <v>8.11738687279197</v>
      </c>
      <c r="AG1834">
        <v>-1.109795705012</v>
      </c>
      <c r="AH1834">
        <v>35.432077304188198</v>
      </c>
      <c r="AI1834">
        <v>91.748743500621501</v>
      </c>
      <c r="AJ1834">
        <v>77.096377280385099</v>
      </c>
      <c r="AK1834">
        <v>36.366959155796998</v>
      </c>
      <c r="AL1834">
        <v>88.507012452490898</v>
      </c>
      <c r="AM1834">
        <v>82.707614340377106</v>
      </c>
      <c r="AN1834">
        <v>1.0000000127562001</v>
      </c>
    </row>
    <row r="1835" spans="1:40" x14ac:dyDescent="0.25">
      <c r="A1835" t="str">
        <f>"20190312153922579"</f>
        <v>20190312153922579</v>
      </c>
      <c r="B1835" t="str">
        <f>"1552376362567765"</f>
        <v>1552376362567765</v>
      </c>
      <c r="C1835" t="s">
        <v>40</v>
      </c>
      <c r="D1835">
        <v>4.090662</v>
      </c>
      <c r="E1835">
        <v>0.53671759999999902</v>
      </c>
      <c r="F1835" t="s">
        <v>42</v>
      </c>
      <c r="G1835">
        <v>-191.7586</v>
      </c>
      <c r="H1835" s="1">
        <v>-2.8714039999999998E-6</v>
      </c>
      <c r="I1835">
        <v>314.67610000000002</v>
      </c>
      <c r="J1835">
        <v>-192.67169999999999</v>
      </c>
      <c r="K1835">
        <v>1.10985</v>
      </c>
      <c r="L1835">
        <v>350.60750000000002</v>
      </c>
      <c r="M1835">
        <v>0.2453775</v>
      </c>
      <c r="N1835">
        <v>0</v>
      </c>
      <c r="O1835">
        <v>-0.96933670000000005</v>
      </c>
      <c r="P1835">
        <v>0.12244339999999999</v>
      </c>
      <c r="Q1835">
        <v>1.351108E-2</v>
      </c>
      <c r="R1835">
        <v>-0.99238369999999998</v>
      </c>
      <c r="S1835">
        <v>7.8048709999999993E-2</v>
      </c>
      <c r="T1835">
        <v>-9.2885969999999998E-2</v>
      </c>
      <c r="U1835">
        <v>-3.0148929999999998</v>
      </c>
      <c r="V1835">
        <v>0.12486510000000001</v>
      </c>
      <c r="W1835">
        <v>2.6518880000000002E-2</v>
      </c>
      <c r="X1835">
        <v>0.99181929999999996</v>
      </c>
      <c r="Y1835">
        <v>0.22023899999999999</v>
      </c>
      <c r="Z1835">
        <v>2.900084E-2</v>
      </c>
      <c r="AA1835">
        <v>0.97501470000000001</v>
      </c>
      <c r="AB1835">
        <v>9</v>
      </c>
      <c r="AC1835">
        <v>0.91309999999998503</v>
      </c>
      <c r="AD1835">
        <v>-1.1098528714039999</v>
      </c>
      <c r="AE1835">
        <v>-35.931399999999996</v>
      </c>
      <c r="AF1835">
        <v>7.9247988372296199</v>
      </c>
      <c r="AG1835">
        <v>-1.1098528714039999</v>
      </c>
      <c r="AH1835">
        <v>35.023374952034501</v>
      </c>
      <c r="AI1835">
        <v>91.770310190923993</v>
      </c>
      <c r="AJ1835">
        <v>77.250282946941297</v>
      </c>
      <c r="AK1835">
        <v>35.925909912450599</v>
      </c>
      <c r="AL1835">
        <v>88.480402004991404</v>
      </c>
      <c r="AM1835">
        <v>82.8244978967695</v>
      </c>
      <c r="AN1835">
        <v>1.00000003402347</v>
      </c>
    </row>
    <row r="1836" spans="1:40" x14ac:dyDescent="0.25">
      <c r="A1836" t="str">
        <f>"20190312153922600"</f>
        <v>20190312153922600</v>
      </c>
      <c r="B1836" t="str">
        <f>"1552376362598017"</f>
        <v>1552376362598017</v>
      </c>
      <c r="C1836" t="s">
        <v>40</v>
      </c>
      <c r="D1836">
        <v>4.1011059999999997</v>
      </c>
      <c r="E1836">
        <v>0.53648289999999998</v>
      </c>
      <c r="F1836" t="s">
        <v>42</v>
      </c>
      <c r="G1836">
        <v>-191.7551</v>
      </c>
      <c r="H1836" s="1">
        <v>-3.08409E-6</v>
      </c>
      <c r="I1836">
        <v>315.12799999999999</v>
      </c>
      <c r="J1836">
        <v>-192.65209999999999</v>
      </c>
      <c r="K1836">
        <v>1.1099019999999999</v>
      </c>
      <c r="L1836">
        <v>350.51589999999999</v>
      </c>
      <c r="M1836">
        <v>0.24255850000000001</v>
      </c>
      <c r="N1836">
        <v>0</v>
      </c>
      <c r="O1836">
        <v>-0.97004630000000003</v>
      </c>
      <c r="P1836">
        <v>0.12161859999999999</v>
      </c>
      <c r="Q1836">
        <v>1.132937E-2</v>
      </c>
      <c r="R1836">
        <v>-0.99251239999999996</v>
      </c>
      <c r="S1836">
        <v>7.7880859999999996E-2</v>
      </c>
      <c r="T1836">
        <v>-9.4305749999999994E-2</v>
      </c>
      <c r="U1836">
        <v>-3.0147400000000002</v>
      </c>
      <c r="V1836">
        <v>0.1228056</v>
      </c>
      <c r="W1836">
        <v>2.4348060000000001E-2</v>
      </c>
      <c r="X1836">
        <v>0.99213200000000001</v>
      </c>
      <c r="Y1836">
        <v>0.2174557</v>
      </c>
      <c r="Z1836">
        <v>2.9488159999999999E-2</v>
      </c>
      <c r="AA1836">
        <v>0.97562470000000001</v>
      </c>
      <c r="AB1836">
        <v>9</v>
      </c>
      <c r="AC1836">
        <v>0.89699999999999103</v>
      </c>
      <c r="AD1836">
        <v>-1.10990508409</v>
      </c>
      <c r="AE1836">
        <v>-35.387900000000002</v>
      </c>
      <c r="AF1836">
        <v>7.7066054426972697</v>
      </c>
      <c r="AG1836">
        <v>-1.10990508409</v>
      </c>
      <c r="AH1836">
        <v>34.514578915327903</v>
      </c>
      <c r="AI1836">
        <v>91.7976221346388</v>
      </c>
      <c r="AJ1836">
        <v>77.413150252974503</v>
      </c>
      <c r="AK1836">
        <v>35.381913662880002</v>
      </c>
      <c r="AL1836">
        <v>88.604821013615094</v>
      </c>
      <c r="AM1836">
        <v>82.943847787429604</v>
      </c>
      <c r="AN1836">
        <v>0.99999997442056099</v>
      </c>
    </row>
    <row r="1837" spans="1:40" x14ac:dyDescent="0.25">
      <c r="A1837" t="str">
        <f>"20190312153922622"</f>
        <v>20190312153922622</v>
      </c>
      <c r="B1837" t="str">
        <f>"1552376362617537"</f>
        <v>1552376362617537</v>
      </c>
      <c r="C1837" t="s">
        <v>40</v>
      </c>
      <c r="D1837">
        <v>4.1215440000000001</v>
      </c>
      <c r="E1837">
        <v>0.53614249999999997</v>
      </c>
      <c r="F1837" t="s">
        <v>42</v>
      </c>
      <c r="G1837">
        <v>-191.7912</v>
      </c>
      <c r="H1837" s="1">
        <v>-3.9493189999999999E-6</v>
      </c>
      <c r="I1837">
        <v>316.93810000000002</v>
      </c>
      <c r="J1837">
        <v>-192.63290000000001</v>
      </c>
      <c r="K1837">
        <v>1.109937</v>
      </c>
      <c r="L1837">
        <v>350.42599999999999</v>
      </c>
      <c r="M1837">
        <v>0.23989750000000001</v>
      </c>
      <c r="N1837">
        <v>0</v>
      </c>
      <c r="O1837">
        <v>-0.97070800000000002</v>
      </c>
      <c r="P1837">
        <v>0.1204794</v>
      </c>
      <c r="Q1837">
        <v>9.2552699999999995E-3</v>
      </c>
      <c r="R1837">
        <v>-0.99267280000000002</v>
      </c>
      <c r="S1837">
        <v>7.7285770000000004E-2</v>
      </c>
      <c r="T1837">
        <v>-9.9638340000000006E-2</v>
      </c>
      <c r="U1837">
        <v>-3.0143430000000002</v>
      </c>
      <c r="V1837">
        <v>0.121223499999999</v>
      </c>
      <c r="W1837">
        <v>2.2280100000000001E-2</v>
      </c>
      <c r="X1837">
        <v>0.99237509999999995</v>
      </c>
      <c r="Y1837">
        <v>0.21496870000000001</v>
      </c>
      <c r="Z1837">
        <v>3.119984E-2</v>
      </c>
      <c r="AA1837">
        <v>0.97612239999999995</v>
      </c>
      <c r="AB1837">
        <v>9</v>
      </c>
      <c r="AC1837">
        <v>0.841700000000003</v>
      </c>
      <c r="AD1837">
        <v>-1.109940949319</v>
      </c>
      <c r="AE1837">
        <v>-33.487899999999897</v>
      </c>
      <c r="AF1837">
        <v>7.2093358205237301</v>
      </c>
      <c r="AG1837">
        <v>-1.109940949319</v>
      </c>
      <c r="AH1837">
        <v>32.6758855455626</v>
      </c>
      <c r="AI1837">
        <v>91.899830192344595</v>
      </c>
      <c r="AJ1837">
        <v>77.558063809842594</v>
      </c>
      <c r="AK1837">
        <v>33.480143190714898</v>
      </c>
      <c r="AL1837">
        <v>88.723338587646296</v>
      </c>
      <c r="AM1837">
        <v>83.035542720637196</v>
      </c>
      <c r="AN1837">
        <v>0.99999993945413301</v>
      </c>
    </row>
    <row r="1838" spans="1:40" x14ac:dyDescent="0.25">
      <c r="A1838" t="str">
        <f>"20190312153922645"</f>
        <v>20190312153922645</v>
      </c>
      <c r="B1838" t="str">
        <f>"1552376362638033"</f>
        <v>1552376362638033</v>
      </c>
      <c r="C1838" t="s">
        <v>40</v>
      </c>
      <c r="D1838">
        <v>4.1071849999999896</v>
      </c>
      <c r="E1838">
        <v>0.53594449999999905</v>
      </c>
      <c r="F1838" t="s">
        <v>42</v>
      </c>
      <c r="G1838">
        <v>-191.84129999999999</v>
      </c>
      <c r="H1838" s="1">
        <v>-4.9143749999999999E-6</v>
      </c>
      <c r="I1838">
        <v>319.23289999999997</v>
      </c>
      <c r="J1838">
        <v>-192.61240000000001</v>
      </c>
      <c r="K1838">
        <v>1.1099540000000001</v>
      </c>
      <c r="L1838">
        <v>350.32889999999998</v>
      </c>
      <c r="M1838">
        <v>0.23713480000000001</v>
      </c>
      <c r="N1838">
        <v>0</v>
      </c>
      <c r="O1838">
        <v>-0.97138670000000005</v>
      </c>
      <c r="P1838">
        <v>0.1187551</v>
      </c>
      <c r="Q1838">
        <v>9.1829419999999995E-3</v>
      </c>
      <c r="R1838">
        <v>-0.99288140000000003</v>
      </c>
      <c r="S1838">
        <v>7.6492309999999994E-2</v>
      </c>
      <c r="T1838">
        <v>-0.1072419</v>
      </c>
      <c r="U1838">
        <v>-3.013855</v>
      </c>
      <c r="V1838">
        <v>0.12012200000000001</v>
      </c>
      <c r="W1838">
        <v>2.2208599999999998E-2</v>
      </c>
      <c r="X1838">
        <v>0.99251069999999997</v>
      </c>
      <c r="Y1838">
        <v>0.21244399999999999</v>
      </c>
      <c r="Z1838">
        <v>3.3629350000000002E-2</v>
      </c>
      <c r="AA1838">
        <v>0.97659439999999997</v>
      </c>
      <c r="AB1838">
        <v>9</v>
      </c>
      <c r="AC1838">
        <v>0.77110000000001799</v>
      </c>
      <c r="AD1838">
        <v>-1.1099589143749999</v>
      </c>
      <c r="AE1838">
        <v>-31.096</v>
      </c>
      <c r="AF1838">
        <v>6.6170614572767299</v>
      </c>
      <c r="AG1838">
        <v>-1.1099589143749999</v>
      </c>
      <c r="AH1838">
        <v>30.353105105520299</v>
      </c>
      <c r="AI1838">
        <v>92.046253653263406</v>
      </c>
      <c r="AJ1838">
        <v>77.701776255124997</v>
      </c>
      <c r="AK1838">
        <v>31.085824754504099</v>
      </c>
      <c r="AL1838">
        <v>88.727436331182304</v>
      </c>
      <c r="AM1838">
        <v>83.099146115534197</v>
      </c>
      <c r="AN1838">
        <v>1.00000000320622</v>
      </c>
    </row>
    <row r="1839" spans="1:40" x14ac:dyDescent="0.25">
      <c r="A1839" t="str">
        <f>"20190312153922668"</f>
        <v>20190312153922668</v>
      </c>
      <c r="B1839" t="str">
        <f>"1552376362657553"</f>
        <v>1552376362657553</v>
      </c>
      <c r="C1839" t="s">
        <v>40</v>
      </c>
      <c r="D1839">
        <v>4.1325640000000003</v>
      </c>
      <c r="E1839">
        <v>0.53560819999999998</v>
      </c>
      <c r="F1839" t="s">
        <v>42</v>
      </c>
      <c r="G1839">
        <v>-191.87469999999999</v>
      </c>
      <c r="H1839" s="1">
        <v>-6.31189E-7</v>
      </c>
      <c r="I1839">
        <v>319.89769999999999</v>
      </c>
      <c r="J1839">
        <v>-192.59309999999999</v>
      </c>
      <c r="K1839">
        <v>1.1099650000000001</v>
      </c>
      <c r="L1839">
        <v>350.2371</v>
      </c>
      <c r="M1839">
        <v>0.2346327</v>
      </c>
      <c r="N1839">
        <v>0</v>
      </c>
      <c r="O1839">
        <v>-0.97199420000000003</v>
      </c>
      <c r="P1839">
        <v>0.11618390000000001</v>
      </c>
      <c r="Q1839">
        <v>9.417056E-3</v>
      </c>
      <c r="R1839">
        <v>-0.99318329999999999</v>
      </c>
      <c r="S1839">
        <v>7.3059079999999998E-2</v>
      </c>
      <c r="T1839">
        <v>-0.1099271</v>
      </c>
      <c r="U1839">
        <v>-3.0138240000000001</v>
      </c>
      <c r="V1839">
        <v>0.1201348</v>
      </c>
      <c r="W1839">
        <v>2.243885E-2</v>
      </c>
      <c r="X1839">
        <v>0.99250389999999999</v>
      </c>
      <c r="Y1839">
        <v>0.2110399</v>
      </c>
      <c r="Z1839">
        <v>3.450976E-2</v>
      </c>
      <c r="AA1839">
        <v>0.97686810000000002</v>
      </c>
      <c r="AB1839">
        <v>9</v>
      </c>
      <c r="AC1839">
        <v>0.71840000000000204</v>
      </c>
      <c r="AD1839">
        <v>-1.1099656311889901</v>
      </c>
      <c r="AE1839">
        <v>-30.339400000000001</v>
      </c>
      <c r="AF1839">
        <v>6.4123180080358901</v>
      </c>
      <c r="AG1839">
        <v>-1.1099656311889901</v>
      </c>
      <c r="AH1839">
        <v>29.6212483994628</v>
      </c>
      <c r="AI1839">
        <v>92.097442055193895</v>
      </c>
      <c r="AJ1839">
        <v>77.785259369960499</v>
      </c>
      <c r="AK1839">
        <v>30.327680469849302</v>
      </c>
      <c r="AL1839">
        <v>88.7142405977593</v>
      </c>
      <c r="AM1839">
        <v>83.098371034894299</v>
      </c>
      <c r="AN1839">
        <v>0.99999993183778402</v>
      </c>
    </row>
    <row r="1840" spans="1:40" x14ac:dyDescent="0.25">
      <c r="A1840" t="str">
        <f>"20190312153922689"</f>
        <v>20190312153922689</v>
      </c>
      <c r="B1840" t="str">
        <f>"1552376362678053"</f>
        <v>1552376362678053</v>
      </c>
      <c r="C1840" t="s">
        <v>40</v>
      </c>
      <c r="D1840">
        <v>4.1909070000000002</v>
      </c>
      <c r="E1840">
        <v>0.53534329999999997</v>
      </c>
      <c r="F1840" t="s">
        <v>42</v>
      </c>
      <c r="G1840">
        <v>-191.88740000000001</v>
      </c>
      <c r="H1840" s="1">
        <v>-4.8685619999999997E-6</v>
      </c>
      <c r="I1840">
        <v>319.09230000000002</v>
      </c>
      <c r="J1840">
        <v>-192.5744</v>
      </c>
      <c r="K1840">
        <v>1.1099749999999999</v>
      </c>
      <c r="L1840">
        <v>350.14729999999997</v>
      </c>
      <c r="M1840">
        <v>0.23228779999999999</v>
      </c>
      <c r="N1840">
        <v>0</v>
      </c>
      <c r="O1840">
        <v>-0.97255729999999996</v>
      </c>
      <c r="P1840">
        <v>0.114261</v>
      </c>
      <c r="Q1840">
        <v>7.7351669999999898E-3</v>
      </c>
      <c r="R1840">
        <v>-0.993421</v>
      </c>
      <c r="S1840">
        <v>6.8283079999999996E-2</v>
      </c>
      <c r="T1840">
        <v>-0.10740089999999999</v>
      </c>
      <c r="U1840">
        <v>-3.0135800000000001</v>
      </c>
      <c r="V1840">
        <v>0.1196633</v>
      </c>
      <c r="W1840">
        <v>2.0755530000000001E-2</v>
      </c>
      <c r="X1840">
        <v>0.99259759999999997</v>
      </c>
      <c r="Y1840">
        <v>0.2102272</v>
      </c>
      <c r="Z1840">
        <v>3.375413E-2</v>
      </c>
      <c r="AA1840">
        <v>0.97706970000000004</v>
      </c>
      <c r="AB1840">
        <v>9</v>
      </c>
      <c r="AC1840">
        <v>0.68699999999998296</v>
      </c>
      <c r="AD1840">
        <v>-1.1099798685619999</v>
      </c>
      <c r="AE1840">
        <v>-31.0549999999999</v>
      </c>
      <c r="AF1840">
        <v>6.5377744734663201</v>
      </c>
      <c r="AG1840">
        <v>-1.1099798685619999</v>
      </c>
      <c r="AH1840">
        <v>30.326277382896802</v>
      </c>
      <c r="AI1840">
        <v>92.049127272693696</v>
      </c>
      <c r="AJ1840">
        <v>77.834296060321506</v>
      </c>
      <c r="AK1840">
        <v>31.042835731919201</v>
      </c>
      <c r="AL1840">
        <v>88.810710384861693</v>
      </c>
      <c r="AM1840">
        <v>83.125841279835996</v>
      </c>
      <c r="AN1840">
        <v>1.0000000464591099</v>
      </c>
    </row>
    <row r="1841" spans="1:40" x14ac:dyDescent="0.25">
      <c r="A1841" t="str">
        <f>"20190312153922711"</f>
        <v>20190312153922711</v>
      </c>
      <c r="B1841" t="str">
        <f>"1552376362707492"</f>
        <v>1552376362707492</v>
      </c>
      <c r="C1841" t="s">
        <v>40</v>
      </c>
      <c r="D1841">
        <v>4.1446259999999997</v>
      </c>
      <c r="E1841">
        <v>0.53489240000000005</v>
      </c>
      <c r="F1841" t="s">
        <v>42</v>
      </c>
      <c r="G1841">
        <v>-191.93109999999999</v>
      </c>
      <c r="H1841" s="1">
        <v>-7.1726720000000002E-7</v>
      </c>
      <c r="I1841">
        <v>320.0634</v>
      </c>
      <c r="J1841">
        <v>-192.5557</v>
      </c>
      <c r="K1841">
        <v>1.1099969999999999</v>
      </c>
      <c r="L1841">
        <v>350.05720000000002</v>
      </c>
      <c r="M1841">
        <v>0.23003760000000001</v>
      </c>
      <c r="N1841">
        <v>0</v>
      </c>
      <c r="O1841">
        <v>-0.97309210000000002</v>
      </c>
      <c r="P1841">
        <v>0.1121104</v>
      </c>
      <c r="Q1841">
        <v>6.2158889999999996E-3</v>
      </c>
      <c r="R1841">
        <v>-0.99367640000000002</v>
      </c>
      <c r="S1841">
        <v>6.4437869999999994E-2</v>
      </c>
      <c r="T1841">
        <v>-0.1111789</v>
      </c>
      <c r="U1841">
        <v>-3.013306</v>
      </c>
      <c r="V1841">
        <v>0.11951580000000001</v>
      </c>
      <c r="W1841">
        <v>1.9236639999999999E-2</v>
      </c>
      <c r="X1841">
        <v>0.99264589999999997</v>
      </c>
      <c r="Y1841">
        <v>0.2092106</v>
      </c>
      <c r="Z1841">
        <v>3.4977040000000001E-2</v>
      </c>
      <c r="AA1841">
        <v>0.97724489999999997</v>
      </c>
      <c r="AB1841">
        <v>9</v>
      </c>
      <c r="AC1841">
        <v>0.62460000000001503</v>
      </c>
      <c r="AD1841">
        <v>-1.1099977172672</v>
      </c>
      <c r="AE1841">
        <v>-29.9938</v>
      </c>
      <c r="AF1841">
        <v>6.2838549913410899</v>
      </c>
      <c r="AG1841">
        <v>-1.1099977172672</v>
      </c>
      <c r="AH1841">
        <v>29.292869286802901</v>
      </c>
      <c r="AI1841">
        <v>92.121849643037706</v>
      </c>
      <c r="AJ1841">
        <v>77.8925052636137</v>
      </c>
      <c r="AK1841">
        <v>29.9798452220532</v>
      </c>
      <c r="AL1841">
        <v>88.897753704733205</v>
      </c>
      <c r="AM1841">
        <v>83.134564496016495</v>
      </c>
      <c r="AN1841">
        <v>0.99999997877746905</v>
      </c>
    </row>
    <row r="1842" spans="1:40" x14ac:dyDescent="0.25">
      <c r="A1842" t="str">
        <f>"20190312153922735"</f>
        <v>20190312153922735</v>
      </c>
      <c r="B1842" t="str">
        <f>"1552376362727989"</f>
        <v>1552376362727989</v>
      </c>
      <c r="C1842" t="s">
        <v>40</v>
      </c>
      <c r="D1842">
        <v>4.1729849999999997</v>
      </c>
      <c r="E1842">
        <v>0.53461759999999903</v>
      </c>
      <c r="F1842" t="s">
        <v>42</v>
      </c>
      <c r="G1842">
        <v>-191.95820000000001</v>
      </c>
      <c r="H1842" s="1">
        <v>-1.025753E-6</v>
      </c>
      <c r="I1842">
        <v>320.76569999999998</v>
      </c>
      <c r="J1842">
        <v>-192.53540000000001</v>
      </c>
      <c r="K1842">
        <v>1.1100219999999901</v>
      </c>
      <c r="L1842">
        <v>349.95890000000003</v>
      </c>
      <c r="M1842">
        <v>0.22769249999999999</v>
      </c>
      <c r="N1842">
        <v>0</v>
      </c>
      <c r="O1842">
        <v>-0.97364360000000005</v>
      </c>
      <c r="P1842">
        <v>0.1094022</v>
      </c>
      <c r="Q1842">
        <v>4.9557759999999899E-3</v>
      </c>
      <c r="R1842">
        <v>-0.99398540000000002</v>
      </c>
      <c r="S1842">
        <v>6.14624E-2</v>
      </c>
      <c r="T1842">
        <v>-0.1141725</v>
      </c>
      <c r="U1842">
        <v>-3.0128780000000002</v>
      </c>
      <c r="V1842">
        <v>0.1198282</v>
      </c>
      <c r="W1842">
        <v>1.7977529999999999E-2</v>
      </c>
      <c r="X1842">
        <v>0.99263190000000001</v>
      </c>
      <c r="Y1842">
        <v>0.2078169</v>
      </c>
      <c r="Z1842">
        <v>3.5959820000000003E-2</v>
      </c>
      <c r="AA1842">
        <v>0.97750649999999994</v>
      </c>
      <c r="AB1842">
        <v>9</v>
      </c>
      <c r="AC1842">
        <v>0.57720000000000404</v>
      </c>
      <c r="AD1842">
        <v>-1.1100230257529999</v>
      </c>
      <c r="AE1842">
        <v>-29.193200000000001</v>
      </c>
      <c r="AF1842">
        <v>6.0768335869568801</v>
      </c>
      <c r="AG1842">
        <v>-1.1100230257529999</v>
      </c>
      <c r="AH1842">
        <v>28.516472595244199</v>
      </c>
      <c r="AI1842">
        <v>92.180246264298901</v>
      </c>
      <c r="AJ1842">
        <v>77.970263887711297</v>
      </c>
      <c r="AK1842">
        <v>29.177890034006602</v>
      </c>
      <c r="AL1842">
        <v>88.969907953842807</v>
      </c>
      <c r="AM1842">
        <v>83.116694864553907</v>
      </c>
      <c r="AN1842">
        <v>1.0000000389988699</v>
      </c>
    </row>
    <row r="1843" spans="1:40" x14ac:dyDescent="0.25">
      <c r="A1843" t="str">
        <f>"20190312153922759"</f>
        <v>20190312153922759</v>
      </c>
      <c r="B1843" t="str">
        <f>"1552376362747508"</f>
        <v>1552376362747508</v>
      </c>
      <c r="C1843" t="s">
        <v>40</v>
      </c>
      <c r="D1843">
        <v>4.1793579999999997</v>
      </c>
      <c r="E1843">
        <v>0.53433609999999998</v>
      </c>
      <c r="F1843" t="s">
        <v>42</v>
      </c>
      <c r="G1843">
        <v>-192.0094</v>
      </c>
      <c r="H1843" s="1">
        <v>-1.3411209999999999E-6</v>
      </c>
      <c r="I1843">
        <v>321.46899999999999</v>
      </c>
      <c r="J1843">
        <v>-192.5162</v>
      </c>
      <c r="K1843">
        <v>1.1100460000000001</v>
      </c>
      <c r="L1843">
        <v>349.8657</v>
      </c>
      <c r="M1843">
        <v>0.22557849999999999</v>
      </c>
      <c r="N1843">
        <v>0</v>
      </c>
      <c r="O1843">
        <v>-0.9741358</v>
      </c>
      <c r="P1843">
        <v>0.1073124</v>
      </c>
      <c r="Q1843">
        <v>3.8354249999999999E-3</v>
      </c>
      <c r="R1843">
        <v>-0.99421820000000005</v>
      </c>
      <c r="S1843">
        <v>5.5618290000000001E-2</v>
      </c>
      <c r="T1843">
        <v>-0.1173749</v>
      </c>
      <c r="U1843">
        <v>-3.012543</v>
      </c>
      <c r="V1843">
        <v>0.119759199999999</v>
      </c>
      <c r="W1843">
        <v>1.6860940000000001E-2</v>
      </c>
      <c r="X1843">
        <v>0.99265979999999998</v>
      </c>
      <c r="Y1843">
        <v>0.20758750000000001</v>
      </c>
      <c r="Z1843">
        <v>3.7001300000000001E-2</v>
      </c>
      <c r="AA1843">
        <v>0.97751639999999995</v>
      </c>
      <c r="AB1843">
        <v>9</v>
      </c>
      <c r="AC1843">
        <v>0.50679999999999803</v>
      </c>
      <c r="AD1843">
        <v>-1.1100473411209999</v>
      </c>
      <c r="AE1843">
        <v>-28.396699999999999</v>
      </c>
      <c r="AF1843">
        <v>5.9034885833414599</v>
      </c>
      <c r="AG1843">
        <v>-1.1100473411209999</v>
      </c>
      <c r="AH1843">
        <v>27.7366087497719</v>
      </c>
      <c r="AI1843">
        <v>92.241652837474007</v>
      </c>
      <c r="AJ1843">
        <v>77.984406210221195</v>
      </c>
      <c r="AK1843">
        <v>28.3796202844769</v>
      </c>
      <c r="AL1843">
        <v>89.033893537048598</v>
      </c>
      <c r="AM1843">
        <v>83.120811946165901</v>
      </c>
      <c r="AN1843">
        <v>1.0000000179091799</v>
      </c>
    </row>
    <row r="1844" spans="1:40" x14ac:dyDescent="0.25">
      <c r="A1844" t="str">
        <f>"20190312153922779"</f>
        <v>20190312153922779</v>
      </c>
      <c r="B1844" t="str">
        <f>"1552376362768008"</f>
        <v>1552376362768008</v>
      </c>
      <c r="C1844" t="s">
        <v>40</v>
      </c>
      <c r="D1844">
        <v>4.1767459999999996</v>
      </c>
      <c r="E1844">
        <v>0.53400259999999999</v>
      </c>
      <c r="F1844" t="s">
        <v>42</v>
      </c>
      <c r="G1844">
        <v>-192.03720000000001</v>
      </c>
      <c r="H1844" s="1">
        <v>-1.5641429999999999E-6</v>
      </c>
      <c r="I1844">
        <v>321.97160000000002</v>
      </c>
      <c r="J1844">
        <v>-192.4982</v>
      </c>
      <c r="K1844">
        <v>1.1100719999999999</v>
      </c>
      <c r="L1844">
        <v>349.77760000000001</v>
      </c>
      <c r="M1844">
        <v>0.22367480000000001</v>
      </c>
      <c r="N1844">
        <v>0</v>
      </c>
      <c r="O1844">
        <v>-0.97457459999999996</v>
      </c>
      <c r="P1844">
        <v>0.105670899999999</v>
      </c>
      <c r="Q1844">
        <v>3.2251089999999999E-3</v>
      </c>
      <c r="R1844">
        <v>-0.99439619999999995</v>
      </c>
      <c r="S1844">
        <v>5.1727290000000002E-2</v>
      </c>
      <c r="T1844">
        <v>-0.119878399999999</v>
      </c>
      <c r="U1844">
        <v>-3.0123899999999999</v>
      </c>
      <c r="V1844">
        <v>0.11945739999999901</v>
      </c>
      <c r="W1844">
        <v>1.625306E-2</v>
      </c>
      <c r="X1844">
        <v>0.99270630000000004</v>
      </c>
      <c r="Y1844">
        <v>0.20693800000000001</v>
      </c>
      <c r="Z1844">
        <v>3.7820439999999997E-2</v>
      </c>
      <c r="AA1844">
        <v>0.97762269999999896</v>
      </c>
      <c r="AB1844">
        <v>9</v>
      </c>
      <c r="AC1844">
        <v>0.46099999999998398</v>
      </c>
      <c r="AD1844">
        <v>-1.110073564143</v>
      </c>
      <c r="AE1844">
        <v>-27.805999999999901</v>
      </c>
      <c r="AF1844">
        <v>5.76154440839223</v>
      </c>
      <c r="AG1844">
        <v>-1.110073564143</v>
      </c>
      <c r="AH1844">
        <v>27.161224459349</v>
      </c>
      <c r="AI1844">
        <v>92.289477538394294</v>
      </c>
      <c r="AJ1844">
        <v>78.023721096713004</v>
      </c>
      <c r="AK1844">
        <v>27.787762979751001</v>
      </c>
      <c r="AL1844">
        <v>89.068727267791303</v>
      </c>
      <c r="AM1844">
        <v>83.138300751152698</v>
      </c>
      <c r="AN1844">
        <v>1.0000000152169</v>
      </c>
    </row>
    <row r="1845" spans="1:40" x14ac:dyDescent="0.25">
      <c r="A1845" t="str">
        <f>"20190312153922802"</f>
        <v>20190312153922802</v>
      </c>
      <c r="B1845" t="str">
        <f>"1552376362787525"</f>
        <v>1552376362787525</v>
      </c>
      <c r="C1845" t="s">
        <v>40</v>
      </c>
      <c r="D1845">
        <v>4.1733960000000003</v>
      </c>
      <c r="E1845">
        <v>0.53380159999999999</v>
      </c>
      <c r="F1845" t="s">
        <v>42</v>
      </c>
      <c r="G1845">
        <v>-192.04409999999999</v>
      </c>
      <c r="H1845" s="1">
        <v>-1.5698979999999999E-6</v>
      </c>
      <c r="I1845">
        <v>321.98079999999999</v>
      </c>
      <c r="J1845">
        <v>-192.48</v>
      </c>
      <c r="K1845">
        <v>1.110079</v>
      </c>
      <c r="L1845">
        <v>349.6884</v>
      </c>
      <c r="M1845">
        <v>0.2218154</v>
      </c>
      <c r="N1845">
        <v>0</v>
      </c>
      <c r="O1845">
        <v>-0.97499959999999997</v>
      </c>
      <c r="P1845">
        <v>0.1043762</v>
      </c>
      <c r="Q1845">
        <v>2.3791709999999998E-3</v>
      </c>
      <c r="R1845">
        <v>-0.99453539999999996</v>
      </c>
      <c r="S1845">
        <v>4.9209589999999998E-2</v>
      </c>
      <c r="T1845">
        <v>-0.12028949999999999</v>
      </c>
      <c r="U1845">
        <v>-3.0121150000000001</v>
      </c>
      <c r="V1845">
        <v>0.11885569999999999</v>
      </c>
      <c r="W1845">
        <v>1.540535E-2</v>
      </c>
      <c r="X1845">
        <v>0.99279200000000001</v>
      </c>
      <c r="Y1845">
        <v>0.20588719999999999</v>
      </c>
      <c r="Z1845">
        <v>3.798344E-2</v>
      </c>
      <c r="AA1845">
        <v>0.97783830000000005</v>
      </c>
      <c r="AB1845">
        <v>9</v>
      </c>
      <c r="AC1845">
        <v>0.43590000000000301</v>
      </c>
      <c r="AD1845">
        <v>-1.1100805698980001</v>
      </c>
      <c r="AE1845">
        <v>-27.707599999999999</v>
      </c>
      <c r="AF1845">
        <v>5.7123002699230501</v>
      </c>
      <c r="AG1845">
        <v>-1.1100805698980001</v>
      </c>
      <c r="AH1845">
        <v>27.070502290007699</v>
      </c>
      <c r="AI1845">
        <v>92.297671636987204</v>
      </c>
      <c r="AJ1845">
        <v>78.084496432043593</v>
      </c>
      <c r="AK1845">
        <v>27.688892131660701</v>
      </c>
      <c r="AL1845">
        <v>89.117303527674693</v>
      </c>
      <c r="AM1845">
        <v>83.173119470737703</v>
      </c>
      <c r="AN1845">
        <v>0.99999997874755597</v>
      </c>
    </row>
    <row r="1846" spans="1:40" x14ac:dyDescent="0.25">
      <c r="A1846" t="str">
        <f>"20190312153922824"</f>
        <v>20190312153922824</v>
      </c>
      <c r="B1846" t="str">
        <f>"1552376362817781"</f>
        <v>1552376362817781</v>
      </c>
      <c r="C1846" t="s">
        <v>40</v>
      </c>
      <c r="D1846">
        <v>4.1656630000000003</v>
      </c>
      <c r="E1846">
        <v>0.53353479999999998</v>
      </c>
      <c r="F1846" t="s">
        <v>42</v>
      </c>
      <c r="G1846">
        <v>-192.05260000000001</v>
      </c>
      <c r="H1846" s="1">
        <v>-1.632267E-6</v>
      </c>
      <c r="I1846">
        <v>322.12090000000001</v>
      </c>
      <c r="J1846">
        <v>-192.46129999999999</v>
      </c>
      <c r="K1846">
        <v>1.110063</v>
      </c>
      <c r="L1846">
        <v>349.59609999999998</v>
      </c>
      <c r="M1846">
        <v>0.2199537</v>
      </c>
      <c r="N1846">
        <v>0</v>
      </c>
      <c r="O1846">
        <v>-0.97542169999999895</v>
      </c>
      <c r="P1846">
        <v>0.10229149999999999</v>
      </c>
      <c r="Q1846">
        <v>1.4816429999999999E-3</v>
      </c>
      <c r="R1846">
        <v>-0.99475369999999996</v>
      </c>
      <c r="S1846">
        <v>4.669189E-2</v>
      </c>
      <c r="T1846">
        <v>-0.12128129999999999</v>
      </c>
      <c r="U1846">
        <v>-3.0118710000000002</v>
      </c>
      <c r="V1846">
        <v>0.1190411</v>
      </c>
      <c r="W1846">
        <v>1.4486580000000001E-2</v>
      </c>
      <c r="X1846">
        <v>0.99278370000000005</v>
      </c>
      <c r="Y1846">
        <v>0.20483489999999999</v>
      </c>
      <c r="Z1846">
        <v>3.8329259999999997E-2</v>
      </c>
      <c r="AA1846">
        <v>0.97804579999999997</v>
      </c>
      <c r="AB1846">
        <v>9</v>
      </c>
      <c r="AC1846">
        <v>0.40869999999998102</v>
      </c>
      <c r="AD1846">
        <v>-1.110064632267</v>
      </c>
      <c r="AE1846">
        <v>-27.475199999999901</v>
      </c>
      <c r="AF1846">
        <v>5.6359072547643798</v>
      </c>
      <c r="AG1846">
        <v>-1.110064632267</v>
      </c>
      <c r="AH1846">
        <v>26.848309688193101</v>
      </c>
      <c r="AI1846">
        <v>92.317145588127303</v>
      </c>
      <c r="AJ1846">
        <v>78.144794795303298</v>
      </c>
      <c r="AK1846">
        <v>27.455917890051399</v>
      </c>
      <c r="AL1846">
        <v>89.169951121800395</v>
      </c>
      <c r="AM1846">
        <v>83.162514507920505</v>
      </c>
      <c r="AN1846">
        <v>1.0000000597374901</v>
      </c>
    </row>
    <row r="1847" spans="1:40" x14ac:dyDescent="0.25">
      <c r="A1847" t="str">
        <f>"20190312153922847"</f>
        <v>20190312153922847</v>
      </c>
      <c r="B1847" t="str">
        <f>"1552376362837304"</f>
        <v>1552376362837304</v>
      </c>
      <c r="C1847" t="s">
        <v>40</v>
      </c>
      <c r="D1847">
        <v>4.1387390000000002</v>
      </c>
      <c r="E1847">
        <v>0.53334490000000001</v>
      </c>
      <c r="F1847" t="s">
        <v>42</v>
      </c>
      <c r="G1847">
        <v>-192.07140000000001</v>
      </c>
      <c r="H1847" s="1">
        <v>-1.586952E-6</v>
      </c>
      <c r="I1847">
        <v>322.00360000000001</v>
      </c>
      <c r="J1847">
        <v>-192.4427</v>
      </c>
      <c r="K1847">
        <v>1.1100239999999999</v>
      </c>
      <c r="L1847">
        <v>349.50400000000002</v>
      </c>
      <c r="M1847">
        <v>0.21813859999999999</v>
      </c>
      <c r="N1847">
        <v>0</v>
      </c>
      <c r="O1847">
        <v>-0.97582979999999997</v>
      </c>
      <c r="P1847">
        <v>0.1006165</v>
      </c>
      <c r="Q1847">
        <v>3.1692619999999999E-4</v>
      </c>
      <c r="R1847">
        <v>-0.99492570000000002</v>
      </c>
      <c r="S1847">
        <v>4.2556759999999999E-2</v>
      </c>
      <c r="T1847">
        <v>-0.12116</v>
      </c>
      <c r="U1847">
        <v>-3.0116269999999998</v>
      </c>
      <c r="V1847">
        <v>0.1188657</v>
      </c>
      <c r="W1847">
        <v>1.3262660000000001E-2</v>
      </c>
      <c r="X1847">
        <v>0.99282179999999998</v>
      </c>
      <c r="Y1847">
        <v>0.20435519999999999</v>
      </c>
      <c r="Z1847">
        <v>3.8320979999999998E-2</v>
      </c>
      <c r="AA1847">
        <v>0.97814639999999997</v>
      </c>
      <c r="AB1847">
        <v>9</v>
      </c>
      <c r="AC1847">
        <v>0.37129999999999003</v>
      </c>
      <c r="AD1847">
        <v>-1.1100255869519999</v>
      </c>
      <c r="AE1847">
        <v>-27.500399999999999</v>
      </c>
      <c r="AF1847">
        <v>5.6278896882692901</v>
      </c>
      <c r="AG1847">
        <v>-1.1100255869519999</v>
      </c>
      <c r="AH1847">
        <v>26.8752379752762</v>
      </c>
      <c r="AI1847">
        <v>92.314981281424494</v>
      </c>
      <c r="AJ1847">
        <v>78.172711490712899</v>
      </c>
      <c r="AK1847">
        <v>27.4806061682551</v>
      </c>
      <c r="AL1847">
        <v>89.240083307930107</v>
      </c>
      <c r="AM1847">
        <v>83.1727535031293</v>
      </c>
      <c r="AN1847">
        <v>1.000000039671</v>
      </c>
    </row>
    <row r="1848" spans="1:40" x14ac:dyDescent="0.25">
      <c r="A1848" t="str">
        <f>"20190312153922868"</f>
        <v>20190312153922868</v>
      </c>
      <c r="B1848" t="str">
        <f>"1552376362857801"</f>
        <v>1552376362857801</v>
      </c>
      <c r="C1848" t="s">
        <v>40</v>
      </c>
      <c r="D1848">
        <v>4.1916219999999997</v>
      </c>
      <c r="E1848">
        <v>0.53316540000000001</v>
      </c>
      <c r="F1848" t="s">
        <v>42</v>
      </c>
      <c r="G1848">
        <v>-192.09350000000001</v>
      </c>
      <c r="H1848" s="1">
        <v>-1.7052749999999999E-6</v>
      </c>
      <c r="I1848">
        <v>322.26569999999998</v>
      </c>
      <c r="J1848">
        <v>-192.42529999999999</v>
      </c>
      <c r="K1848">
        <v>1.1099669999999999</v>
      </c>
      <c r="L1848">
        <v>349.41699999999997</v>
      </c>
      <c r="M1848">
        <v>0.2164469</v>
      </c>
      <c r="N1848">
        <v>0</v>
      </c>
      <c r="O1848">
        <v>-0.97620770000000001</v>
      </c>
      <c r="P1848">
        <v>9.9465880000000007E-2</v>
      </c>
      <c r="Q1848">
        <v>-7.7790170000000003E-4</v>
      </c>
      <c r="R1848">
        <v>-0.99504079999999995</v>
      </c>
      <c r="S1848">
        <v>3.8604739999999999E-2</v>
      </c>
      <c r="T1848">
        <v>-0.1227248</v>
      </c>
      <c r="U1848">
        <v>-3.0114749999999999</v>
      </c>
      <c r="V1848">
        <v>0.1182928</v>
      </c>
      <c r="W1848">
        <v>1.206542E-2</v>
      </c>
      <c r="X1848">
        <v>0.99290540000000005</v>
      </c>
      <c r="Y1848">
        <v>0.20394119999999999</v>
      </c>
      <c r="Z1848">
        <v>3.8842059999999998E-2</v>
      </c>
      <c r="AA1848">
        <v>0.97821230000000003</v>
      </c>
      <c r="AB1848">
        <v>9</v>
      </c>
      <c r="AC1848">
        <v>0.33179999999998699</v>
      </c>
      <c r="AD1848">
        <v>-1.109968705275</v>
      </c>
      <c r="AE1848">
        <v>-27.1512999999999</v>
      </c>
      <c r="AF1848">
        <v>5.5441148273370002</v>
      </c>
      <c r="AG1848">
        <v>-1.109968705275</v>
      </c>
      <c r="AH1848">
        <v>26.5350348610982</v>
      </c>
      <c r="AI1848">
        <v>92.344730197096993</v>
      </c>
      <c r="AJ1848">
        <v>78.198640231860395</v>
      </c>
      <c r="AK1848">
        <v>27.1307448262131</v>
      </c>
      <c r="AL1848">
        <v>89.308685545754898</v>
      </c>
      <c r="AM1848">
        <v>83.205917323544199</v>
      </c>
      <c r="AN1848">
        <v>0.99999994712038598</v>
      </c>
    </row>
    <row r="1849" spans="1:40" x14ac:dyDescent="0.25">
      <c r="A1849" t="str">
        <f>"20190312153922884"</f>
        <v>20190312153922884</v>
      </c>
      <c r="B1849" t="str">
        <f>"1552376362877317"</f>
        <v>1552376362877317</v>
      </c>
      <c r="C1849" t="s">
        <v>40</v>
      </c>
      <c r="D1849">
        <v>4.2594539999999999</v>
      </c>
      <c r="E1849">
        <v>0.53289180000000003</v>
      </c>
      <c r="F1849" t="s">
        <v>42</v>
      </c>
      <c r="G1849">
        <v>-192.09989999999999</v>
      </c>
      <c r="H1849" s="1">
        <v>-1.745184E-6</v>
      </c>
      <c r="I1849">
        <v>322.35480000000001</v>
      </c>
      <c r="J1849">
        <v>-192.41300000000001</v>
      </c>
      <c r="K1849">
        <v>1.1099129999999999</v>
      </c>
      <c r="L1849">
        <v>349.35489999999999</v>
      </c>
      <c r="M1849">
        <v>0.21524299999999999</v>
      </c>
      <c r="N1849">
        <v>0</v>
      </c>
      <c r="O1849">
        <v>-0.97647519999999999</v>
      </c>
      <c r="P1849">
        <v>9.8539230000000005E-2</v>
      </c>
      <c r="Q1849">
        <v>-1.4624810000000001E-3</v>
      </c>
      <c r="R1849">
        <v>-0.99513249999999998</v>
      </c>
      <c r="S1849">
        <v>3.6209110000000003E-2</v>
      </c>
      <c r="T1849">
        <v>-0.12350709999999999</v>
      </c>
      <c r="U1849">
        <v>-3.0112299999999999</v>
      </c>
      <c r="V1849">
        <v>0.11799270000000001</v>
      </c>
      <c r="W1849">
        <v>1.1278689999999999E-2</v>
      </c>
      <c r="X1849">
        <v>0.99295040000000001</v>
      </c>
      <c r="Y1849">
        <v>0.20351089999999999</v>
      </c>
      <c r="Z1849">
        <v>3.9110770000000003E-2</v>
      </c>
      <c r="AA1849">
        <v>0.97829120000000003</v>
      </c>
      <c r="AB1849">
        <v>9</v>
      </c>
      <c r="AC1849">
        <v>0.313099999999991</v>
      </c>
      <c r="AD1849">
        <v>-1.1099147451839999</v>
      </c>
      <c r="AE1849">
        <v>-27.0000999999999</v>
      </c>
      <c r="AF1849">
        <v>5.4970190333657198</v>
      </c>
      <c r="AG1849">
        <v>-1.1099147451839999</v>
      </c>
      <c r="AH1849">
        <v>26.389934108368301</v>
      </c>
      <c r="AI1849">
        <v>92.357792664520105</v>
      </c>
      <c r="AJ1849">
        <v>78.233550320094096</v>
      </c>
      <c r="AK1849">
        <v>26.979209611083601</v>
      </c>
      <c r="AL1849">
        <v>89.353764957428297</v>
      </c>
      <c r="AM1849">
        <v>83.223297166453193</v>
      </c>
      <c r="AN1849">
        <v>0.999999991480783</v>
      </c>
    </row>
    <row r="1850" spans="1:40" x14ac:dyDescent="0.25">
      <c r="A1850" t="str">
        <f>"20190312153922902"</f>
        <v>20190312153922902</v>
      </c>
      <c r="B1850" t="str">
        <f>"1552376362897343"</f>
        <v>1552376362897343</v>
      </c>
      <c r="C1850" t="s">
        <v>40</v>
      </c>
      <c r="D1850">
        <v>4.2931220000000003</v>
      </c>
      <c r="E1850">
        <v>0.53259489999999998</v>
      </c>
      <c r="F1850" t="s">
        <v>42</v>
      </c>
      <c r="G1850">
        <v>-192.09790000000001</v>
      </c>
      <c r="H1850" s="1">
        <v>-1.805034E-6</v>
      </c>
      <c r="I1850">
        <v>322.49549999999999</v>
      </c>
      <c r="J1850">
        <v>-192.39879999999999</v>
      </c>
      <c r="K1850">
        <v>1.1098520000000001</v>
      </c>
      <c r="L1850">
        <v>349.28300000000002</v>
      </c>
      <c r="M1850">
        <v>0.21384259999999999</v>
      </c>
      <c r="N1850">
        <v>0</v>
      </c>
      <c r="O1850">
        <v>-0.9767846</v>
      </c>
      <c r="P1850">
        <v>9.8427329999999993E-2</v>
      </c>
      <c r="Q1850">
        <v>-1.915555E-3</v>
      </c>
      <c r="R1850">
        <v>-0.99514250000000004</v>
      </c>
      <c r="S1850">
        <v>3.5324099999999997E-2</v>
      </c>
      <c r="T1850">
        <v>-0.1244236</v>
      </c>
      <c r="U1850">
        <v>-3.0109859999999999</v>
      </c>
      <c r="V1850">
        <v>0.11668009999999999</v>
      </c>
      <c r="W1850">
        <v>1.0683160000000001E-2</v>
      </c>
      <c r="X1850">
        <v>0.99311210000000005</v>
      </c>
      <c r="Y1850">
        <v>0.2023932</v>
      </c>
      <c r="Z1850">
        <v>3.9427549999999999E-2</v>
      </c>
      <c r="AA1850">
        <v>0.97851030000000006</v>
      </c>
      <c r="AB1850">
        <v>9</v>
      </c>
      <c r="AC1850">
        <v>0.30089999999998401</v>
      </c>
      <c r="AD1850">
        <v>-1.1098538050339899</v>
      </c>
      <c r="AE1850">
        <v>-26.787500000000001</v>
      </c>
      <c r="AF1850">
        <v>5.4255253879882099</v>
      </c>
      <c r="AG1850">
        <v>-1.1098538050339899</v>
      </c>
      <c r="AH1850">
        <v>26.187156173822999</v>
      </c>
      <c r="AI1850">
        <v>92.376426908923193</v>
      </c>
      <c r="AJ1850">
        <v>78.294910330953201</v>
      </c>
      <c r="AK1850">
        <v>26.766308106955002</v>
      </c>
      <c r="AL1850">
        <v>89.3878883821437</v>
      </c>
      <c r="AM1850">
        <v>83.299075767720296</v>
      </c>
      <c r="AN1850">
        <v>1.0000000094049999</v>
      </c>
    </row>
    <row r="1851" spans="1:40" x14ac:dyDescent="0.25">
      <c r="A1851" t="str">
        <f>"20190312153922916"</f>
        <v>20190312153922916</v>
      </c>
      <c r="B1851" t="str">
        <f>"1552376362908078"</f>
        <v>1552376362908078</v>
      </c>
      <c r="C1851" t="s">
        <v>40</v>
      </c>
      <c r="D1851">
        <v>4.2664589999999896</v>
      </c>
      <c r="E1851">
        <v>0.53259489999999998</v>
      </c>
      <c r="F1851" t="s">
        <v>42</v>
      </c>
      <c r="G1851">
        <v>-192.06829999999999</v>
      </c>
      <c r="H1851" s="1">
        <v>-1.7801669999999899E-6</v>
      </c>
      <c r="I1851">
        <v>322.45589999999999</v>
      </c>
      <c r="J1851">
        <v>-192.38679999999999</v>
      </c>
      <c r="K1851">
        <v>1.1097999999999999</v>
      </c>
      <c r="L1851">
        <v>349.22129999999999</v>
      </c>
      <c r="M1851">
        <v>0.2126323</v>
      </c>
      <c r="N1851">
        <v>0</v>
      </c>
      <c r="O1851">
        <v>-0.97705070000000005</v>
      </c>
      <c r="P1851">
        <v>9.7834329999999997E-2</v>
      </c>
      <c r="Q1851">
        <v>-1.4134620000000001E-3</v>
      </c>
      <c r="R1851">
        <v>-0.99520180000000003</v>
      </c>
      <c r="S1851">
        <v>3.7094120000000001E-2</v>
      </c>
      <c r="T1851">
        <v>-0.1245549</v>
      </c>
      <c r="U1851">
        <v>-3.0107119999999998</v>
      </c>
      <c r="V1851">
        <v>0.1160422</v>
      </c>
      <c r="W1851">
        <v>1.10422E-2</v>
      </c>
      <c r="X1851">
        <v>0.99318289999999998</v>
      </c>
      <c r="Y1851">
        <v>0.20060310000000001</v>
      </c>
      <c r="Z1851">
        <v>3.9496580000000003E-2</v>
      </c>
      <c r="AA1851">
        <v>0.97887610000000003</v>
      </c>
      <c r="AB1851">
        <v>9</v>
      </c>
      <c r="AC1851">
        <v>0.31850000000000001</v>
      </c>
      <c r="AD1851">
        <v>-1.1098017801669999</v>
      </c>
      <c r="AE1851">
        <v>-26.7654</v>
      </c>
      <c r="AF1851">
        <v>5.3711936355669696</v>
      </c>
      <c r="AG1851">
        <v>-1.1098017801669999</v>
      </c>
      <c r="AH1851">
        <v>26.175969429758698</v>
      </c>
      <c r="AI1851">
        <v>92.378263455050302</v>
      </c>
      <c r="AJ1851">
        <v>78.404119362644494</v>
      </c>
      <c r="AK1851">
        <v>26.744396733702601</v>
      </c>
      <c r="AL1851">
        <v>89.367315684283597</v>
      </c>
      <c r="AM1851">
        <v>83.335850660208806</v>
      </c>
      <c r="AN1851">
        <v>0.99999999760704394</v>
      </c>
    </row>
    <row r="1852" spans="1:40" x14ac:dyDescent="0.25">
      <c r="A1852" t="str">
        <f>"20190312153922938"</f>
        <v>20190312153922938</v>
      </c>
      <c r="B1852" t="str">
        <f>"1552376362927598"</f>
        <v>1552376362927598</v>
      </c>
      <c r="C1852" t="s">
        <v>40</v>
      </c>
      <c r="D1852">
        <v>4.2659570000000002</v>
      </c>
      <c r="E1852">
        <v>0.51466420000000002</v>
      </c>
      <c r="F1852" t="s">
        <v>42</v>
      </c>
      <c r="G1852">
        <v>-192.06950000000001</v>
      </c>
      <c r="H1852" s="1">
        <v>-1.5850839999999899E-6</v>
      </c>
      <c r="I1852">
        <v>322.00040000000001</v>
      </c>
      <c r="J1852">
        <v>-192.37039999999999</v>
      </c>
      <c r="K1852">
        <v>1.1097269999999999</v>
      </c>
      <c r="L1852">
        <v>349.13690000000003</v>
      </c>
      <c r="M1852">
        <v>0.2109617</v>
      </c>
      <c r="N1852">
        <v>0</v>
      </c>
      <c r="O1852">
        <v>-0.97741529999999999</v>
      </c>
      <c r="P1852">
        <v>9.8117930000000006E-2</v>
      </c>
      <c r="Q1852">
        <v>-1.1562639999999999E-3</v>
      </c>
      <c r="R1852">
        <v>-0.99517420000000001</v>
      </c>
      <c r="S1852">
        <v>3.5095210000000002E-2</v>
      </c>
      <c r="T1852">
        <v>-0.122752399999999</v>
      </c>
      <c r="U1852">
        <v>-3.010834</v>
      </c>
      <c r="V1852">
        <v>0.1140613</v>
      </c>
      <c r="W1852">
        <v>1.1082730000000001E-2</v>
      </c>
      <c r="X1852">
        <v>0.99341190000000001</v>
      </c>
      <c r="Y1852">
        <v>0.1995777</v>
      </c>
      <c r="Z1852">
        <v>3.8950859999999997E-2</v>
      </c>
      <c r="AA1852">
        <v>0.97910759999999997</v>
      </c>
      <c r="AB1852">
        <v>9</v>
      </c>
      <c r="AC1852">
        <v>0.30089999999998401</v>
      </c>
      <c r="AD1852">
        <v>-1.109728585084</v>
      </c>
      <c r="AE1852">
        <v>-27.136500000000002</v>
      </c>
      <c r="AF1852">
        <v>5.42201109622766</v>
      </c>
      <c r="AG1852">
        <v>-1.109728585084</v>
      </c>
      <c r="AH1852">
        <v>26.544776089268801</v>
      </c>
      <c r="AI1852">
        <v>92.345534197477903</v>
      </c>
      <c r="AJ1852">
        <v>78.455620143760996</v>
      </c>
      <c r="AK1852">
        <v>27.115582964221598</v>
      </c>
      <c r="AL1852">
        <v>89.364993348962003</v>
      </c>
      <c r="AM1852">
        <v>83.450110765204698</v>
      </c>
      <c r="AN1852">
        <v>1.0000000050617699</v>
      </c>
    </row>
    <row r="1853" spans="1:40" x14ac:dyDescent="0.25">
      <c r="A1853" t="str">
        <f>"20190312153922960"</f>
        <v>20190312153922960</v>
      </c>
      <c r="B1853" t="str">
        <f>"1552376362948095"</f>
        <v>1552376362948095</v>
      </c>
      <c r="C1853" t="s">
        <v>40</v>
      </c>
      <c r="D1853">
        <v>4.2825680000000004</v>
      </c>
      <c r="E1853">
        <v>0.51265989999999995</v>
      </c>
      <c r="F1853" t="s">
        <v>41</v>
      </c>
      <c r="G1853">
        <v>-192.32239999999999</v>
      </c>
      <c r="H1853">
        <v>1.0198750000000001</v>
      </c>
      <c r="I1853">
        <v>348.3272</v>
      </c>
      <c r="J1853">
        <v>-192.3526</v>
      </c>
      <c r="K1853">
        <v>1.109642</v>
      </c>
      <c r="L1853">
        <v>349.04399999999998</v>
      </c>
      <c r="M1853">
        <v>0.2091027</v>
      </c>
      <c r="N1853">
        <v>0</v>
      </c>
      <c r="O1853">
        <v>-0.97781799999999996</v>
      </c>
      <c r="P1853">
        <v>9.8477029999999993E-2</v>
      </c>
      <c r="Q1853">
        <v>-1.784143E-3</v>
      </c>
      <c r="R1853">
        <v>-0.99513779999999996</v>
      </c>
      <c r="S1853">
        <v>0.1784973</v>
      </c>
      <c r="T1853">
        <v>-0.33250999999999997</v>
      </c>
      <c r="U1853">
        <v>-2.996521</v>
      </c>
      <c r="V1853">
        <v>0.1118125</v>
      </c>
      <c r="W1853">
        <v>1.018823E-2</v>
      </c>
      <c r="X1853">
        <v>0.99367709999999998</v>
      </c>
      <c r="Y1853">
        <v>0.15093480000000001</v>
      </c>
      <c r="Z1853">
        <v>0.1059232</v>
      </c>
      <c r="AA1853">
        <v>0.98285250000000002</v>
      </c>
      <c r="AB1853">
        <v>9</v>
      </c>
      <c r="AC1853">
        <v>3.02000000000077E-2</v>
      </c>
      <c r="AD1853">
        <v>-8.9766999999999902E-2</v>
      </c>
      <c r="AE1853">
        <v>-0.71680000000003397</v>
      </c>
      <c r="AF1853">
        <v>0.11850831218030999</v>
      </c>
      <c r="AG1853">
        <v>-8.9766999999999902E-2</v>
      </c>
      <c r="AH1853">
        <v>0.69636523804172501</v>
      </c>
      <c r="AI1853">
        <v>97.242374524139606</v>
      </c>
      <c r="AJ1853">
        <v>80.341861377862401</v>
      </c>
      <c r="AK1853">
        <v>0.71205819923496005</v>
      </c>
      <c r="AL1853">
        <v>89.416247325229804</v>
      </c>
      <c r="AM1853">
        <v>83.579856613445202</v>
      </c>
      <c r="AN1853">
        <v>1.0000000071255899</v>
      </c>
    </row>
    <row r="1854" spans="1:40" x14ac:dyDescent="0.25">
      <c r="A1854" t="str">
        <f>"20190312153922983"</f>
        <v>20190312153922983</v>
      </c>
      <c r="B1854" t="str">
        <f>"1552376362977375"</f>
        <v>1552376362977375</v>
      </c>
      <c r="C1854" t="s">
        <v>40</v>
      </c>
      <c r="D1854">
        <v>4.2847790000000003</v>
      </c>
      <c r="E1854">
        <v>0.51125399999999999</v>
      </c>
      <c r="F1854" t="s">
        <v>41</v>
      </c>
      <c r="G1854">
        <v>-192.30160000000001</v>
      </c>
      <c r="H1854">
        <v>0.98425229999999997</v>
      </c>
      <c r="I1854">
        <v>348.26400000000001</v>
      </c>
      <c r="J1854">
        <v>-192.33459999999999</v>
      </c>
      <c r="K1854">
        <v>1.1095459999999999</v>
      </c>
      <c r="L1854">
        <v>348.94909999999999</v>
      </c>
      <c r="M1854">
        <v>0.20718349999999999</v>
      </c>
      <c r="N1854">
        <v>0</v>
      </c>
      <c r="O1854">
        <v>-0.97822989999999999</v>
      </c>
      <c r="P1854">
        <v>9.9047650000000001E-2</v>
      </c>
      <c r="Q1854">
        <v>-3.727911E-3</v>
      </c>
      <c r="R1854">
        <v>-0.9950755</v>
      </c>
      <c r="S1854">
        <v>0.19569400000000001</v>
      </c>
      <c r="T1854">
        <v>-0.48136020000000002</v>
      </c>
      <c r="U1854">
        <v>-2.9943849999999999</v>
      </c>
      <c r="V1854">
        <v>0.1092887</v>
      </c>
      <c r="W1854">
        <v>7.9552939999999999E-3</v>
      </c>
      <c r="X1854">
        <v>0.99397820000000003</v>
      </c>
      <c r="Y1854">
        <v>0.14372499999999999</v>
      </c>
      <c r="Z1854">
        <v>0.1526072</v>
      </c>
      <c r="AA1854">
        <v>0.97778019999999999</v>
      </c>
      <c r="AB1854">
        <v>9</v>
      </c>
      <c r="AC1854">
        <v>3.2999999999986998E-2</v>
      </c>
      <c r="AD1854">
        <v>-0.12529369999999901</v>
      </c>
      <c r="AE1854">
        <v>-0.68509999999997695</v>
      </c>
      <c r="AF1854">
        <v>0.10612624158551</v>
      </c>
      <c r="AG1854">
        <v>-0.12529369999999901</v>
      </c>
      <c r="AH1854">
        <v>0.65520655186141596</v>
      </c>
      <c r="AI1854">
        <v>100.689801485196</v>
      </c>
      <c r="AJ1854">
        <v>80.799494149481305</v>
      </c>
      <c r="AK1854">
        <v>0.67546792374981302</v>
      </c>
      <c r="AL1854">
        <v>89.544190414019397</v>
      </c>
      <c r="AM1854">
        <v>83.725486677725797</v>
      </c>
      <c r="AN1854">
        <v>0.99999998436277804</v>
      </c>
    </row>
    <row r="1855" spans="1:40" x14ac:dyDescent="0.25">
      <c r="A1855" t="str">
        <f>"20190312153923004"</f>
        <v>20190312153923004</v>
      </c>
      <c r="B1855" t="str">
        <f>"1552376362997402"</f>
        <v>1552376362997402</v>
      </c>
      <c r="C1855" t="s">
        <v>40</v>
      </c>
      <c r="D1855">
        <v>4.2879120000000004</v>
      </c>
      <c r="E1855">
        <v>0.51063099999999995</v>
      </c>
      <c r="F1855" t="s">
        <v>41</v>
      </c>
      <c r="G1855">
        <v>-192.28200000000001</v>
      </c>
      <c r="H1855">
        <v>0.9617407</v>
      </c>
      <c r="I1855">
        <v>348.19349999999997</v>
      </c>
      <c r="J1855">
        <v>-192.31800000000001</v>
      </c>
      <c r="K1855">
        <v>1.1094679999999999</v>
      </c>
      <c r="L1855">
        <v>348.86059999999998</v>
      </c>
      <c r="M1855">
        <v>0.20537739999999999</v>
      </c>
      <c r="N1855">
        <v>0</v>
      </c>
      <c r="O1855">
        <v>-0.97861410000000004</v>
      </c>
      <c r="P1855">
        <v>9.9361329999999998E-2</v>
      </c>
      <c r="Q1855">
        <v>-5.0429389999999998E-3</v>
      </c>
      <c r="R1855">
        <v>-0.99503869999999905</v>
      </c>
      <c r="S1855">
        <v>0.20864869999999999</v>
      </c>
      <c r="T1855">
        <v>-0.58519480000000001</v>
      </c>
      <c r="U1855">
        <v>-2.9918520000000002</v>
      </c>
      <c r="V1855">
        <v>0.107136999999999</v>
      </c>
      <c r="W1855">
        <v>6.3588830000000001E-3</v>
      </c>
      <c r="X1855">
        <v>0.994224</v>
      </c>
      <c r="Y1855">
        <v>0.13801260000000001</v>
      </c>
      <c r="Z1855">
        <v>0.18474969999999999</v>
      </c>
      <c r="AA1855">
        <v>0.97304679999999999</v>
      </c>
      <c r="AB1855">
        <v>9</v>
      </c>
      <c r="AC1855">
        <v>3.5999999999972901E-2</v>
      </c>
      <c r="AD1855">
        <v>-0.14772730000000001</v>
      </c>
      <c r="AE1855">
        <v>-0.66710000000000402</v>
      </c>
      <c r="AF1855">
        <v>9.7039141672741094E-2</v>
      </c>
      <c r="AG1855">
        <v>-0.14772730000000001</v>
      </c>
      <c r="AH1855">
        <v>0.62949161718024704</v>
      </c>
      <c r="AI1855">
        <v>103.058152226703</v>
      </c>
      <c r="AJ1855">
        <v>81.236564425637297</v>
      </c>
      <c r="AK1855">
        <v>0.65383457103618703</v>
      </c>
      <c r="AL1855">
        <v>89.635660410757794</v>
      </c>
      <c r="AM1855">
        <v>83.849573290660203</v>
      </c>
      <c r="AN1855">
        <v>1.0000000671689999</v>
      </c>
    </row>
    <row r="1856" spans="1:40" x14ac:dyDescent="0.25">
      <c r="A1856" t="str">
        <f>"20190312153923027"</f>
        <v>20190312153923027</v>
      </c>
      <c r="B1856" t="str">
        <f>"1552376363017899"</f>
        <v>1552376363017899</v>
      </c>
      <c r="C1856" t="s">
        <v>40</v>
      </c>
      <c r="D1856">
        <v>4.2902269999999998</v>
      </c>
      <c r="E1856">
        <v>0.51052470000000005</v>
      </c>
      <c r="F1856" t="s">
        <v>41</v>
      </c>
      <c r="G1856">
        <v>-192.2646</v>
      </c>
      <c r="H1856">
        <v>0.95444059999999997</v>
      </c>
      <c r="I1856">
        <v>348.11430000000001</v>
      </c>
      <c r="J1856">
        <v>-192.3005</v>
      </c>
      <c r="K1856">
        <v>1.1093999999999999</v>
      </c>
      <c r="L1856">
        <v>348.76589999999999</v>
      </c>
      <c r="M1856">
        <v>0.20342589999999999</v>
      </c>
      <c r="N1856">
        <v>0</v>
      </c>
      <c r="O1856">
        <v>-0.97902540000000005</v>
      </c>
      <c r="P1856">
        <v>9.8903770000000002E-2</v>
      </c>
      <c r="Q1856">
        <v>-5.1112939999999997E-3</v>
      </c>
      <c r="R1856">
        <v>-0.99508399999999997</v>
      </c>
      <c r="S1856">
        <v>0.21398929999999999</v>
      </c>
      <c r="T1856">
        <v>-0.6213187</v>
      </c>
      <c r="U1856">
        <v>-2.9904480000000002</v>
      </c>
      <c r="V1856">
        <v>0.105611</v>
      </c>
      <c r="W1856">
        <v>5.9759899999999996E-3</v>
      </c>
      <c r="X1856">
        <v>0.99438950000000004</v>
      </c>
      <c r="Y1856">
        <v>0.1344321</v>
      </c>
      <c r="Z1856">
        <v>0.19595319999999999</v>
      </c>
      <c r="AA1856">
        <v>0.97135490000000002</v>
      </c>
      <c r="AB1856">
        <v>9</v>
      </c>
      <c r="AC1856">
        <v>3.5899999999998003E-2</v>
      </c>
      <c r="AD1856">
        <v>-0.1549594</v>
      </c>
      <c r="AE1856">
        <v>-0.65159999999997298</v>
      </c>
      <c r="AF1856">
        <v>9.22121883691292E-2</v>
      </c>
      <c r="AG1856">
        <v>-0.1549594</v>
      </c>
      <c r="AH1856">
        <v>0.61083550161727096</v>
      </c>
      <c r="AI1856">
        <v>104.081650428606</v>
      </c>
      <c r="AJ1856">
        <v>81.415406106096796</v>
      </c>
      <c r="AK1856">
        <v>0.63689521380538505</v>
      </c>
      <c r="AL1856">
        <v>89.657598934910695</v>
      </c>
      <c r="AM1856">
        <v>83.937520939223106</v>
      </c>
      <c r="AN1856">
        <v>0.999999936743863</v>
      </c>
    </row>
    <row r="1857" spans="1:40" x14ac:dyDescent="0.25">
      <c r="A1857" t="str">
        <f>"20190312153923049"</f>
        <v>20190312153923049</v>
      </c>
      <c r="B1857" t="str">
        <f>"1552376363037417"</f>
        <v>1552376363037417</v>
      </c>
      <c r="C1857" t="s">
        <v>40</v>
      </c>
      <c r="D1857">
        <v>4.3441879999999999</v>
      </c>
      <c r="E1857">
        <v>0.51026919999999998</v>
      </c>
      <c r="F1857" t="s">
        <v>41</v>
      </c>
      <c r="G1857">
        <v>-192.24860000000001</v>
      </c>
      <c r="H1857">
        <v>0.9512912</v>
      </c>
      <c r="I1857">
        <v>348.03230000000002</v>
      </c>
      <c r="J1857">
        <v>-192.28360000000001</v>
      </c>
      <c r="K1857">
        <v>1.1093309999999901</v>
      </c>
      <c r="L1857">
        <v>348.67340000000002</v>
      </c>
      <c r="M1857">
        <v>0.20149719999999999</v>
      </c>
      <c r="N1857">
        <v>0</v>
      </c>
      <c r="O1857">
        <v>-0.97942770000000001</v>
      </c>
      <c r="P1857">
        <v>9.8247020000000004E-2</v>
      </c>
      <c r="Q1857">
        <v>-4.4851689999999998E-3</v>
      </c>
      <c r="R1857">
        <v>-0.99515209999999998</v>
      </c>
      <c r="S1857">
        <v>0.21313480000000001</v>
      </c>
      <c r="T1857">
        <v>-0.64425829999999995</v>
      </c>
      <c r="U1857">
        <v>-2.990326</v>
      </c>
      <c r="V1857">
        <v>0.10430929999999999</v>
      </c>
      <c r="W1857">
        <v>6.2802070000000003E-3</v>
      </c>
      <c r="X1857">
        <v>0.99452510000000005</v>
      </c>
      <c r="Y1857">
        <v>0.1328558</v>
      </c>
      <c r="Z1857">
        <v>0.2030342</v>
      </c>
      <c r="AA1857">
        <v>0.97011670000000005</v>
      </c>
      <c r="AB1857">
        <v>9</v>
      </c>
      <c r="AC1857">
        <v>3.4999999999996499E-2</v>
      </c>
      <c r="AD1857">
        <v>-0.15803979999999901</v>
      </c>
      <c r="AE1857">
        <v>-0.64109999999999401</v>
      </c>
      <c r="AF1857">
        <v>8.9483912266382498E-2</v>
      </c>
      <c r="AG1857">
        <v>-0.15803979999999901</v>
      </c>
      <c r="AH1857">
        <v>0.59872588799181203</v>
      </c>
      <c r="AI1857">
        <v>104.631120455199</v>
      </c>
      <c r="AJ1857">
        <v>81.4996509669229</v>
      </c>
      <c r="AK1857">
        <v>0.62566495657829602</v>
      </c>
      <c r="AL1857">
        <v>89.640168287254795</v>
      </c>
      <c r="AM1857">
        <v>84.012507780130505</v>
      </c>
      <c r="AN1857">
        <v>1.00000002279823</v>
      </c>
    </row>
    <row r="1858" spans="1:40" x14ac:dyDescent="0.25">
      <c r="A1858" t="str">
        <f>"20190312153923070"</f>
        <v>20190312153923070</v>
      </c>
      <c r="B1858" t="str">
        <f>"1552376363067674"</f>
        <v>1552376363067674</v>
      </c>
      <c r="C1858" t="s">
        <v>40</v>
      </c>
      <c r="D1858">
        <v>4.3103230000000003</v>
      </c>
      <c r="E1858">
        <v>0.50986889999999996</v>
      </c>
      <c r="F1858" t="s">
        <v>41</v>
      </c>
      <c r="G1858">
        <v>-192.2319</v>
      </c>
      <c r="H1858">
        <v>0.95017050000000003</v>
      </c>
      <c r="I1858">
        <v>347.94869999999997</v>
      </c>
      <c r="J1858">
        <v>-192.26740000000001</v>
      </c>
      <c r="K1858">
        <v>1.1092660000000001</v>
      </c>
      <c r="L1858">
        <v>348.58350000000002</v>
      </c>
      <c r="M1858">
        <v>0.19960559999999999</v>
      </c>
      <c r="N1858">
        <v>0</v>
      </c>
      <c r="O1858">
        <v>-0.97981859999999998</v>
      </c>
      <c r="P1858">
        <v>9.6277039999999994E-2</v>
      </c>
      <c r="Q1858">
        <v>-4.2659159999999998E-3</v>
      </c>
      <c r="R1858">
        <v>-0.99534549999999999</v>
      </c>
      <c r="S1858">
        <v>0.21319579999999999</v>
      </c>
      <c r="T1858">
        <v>-0.65692280000000003</v>
      </c>
      <c r="U1858">
        <v>-2.990631</v>
      </c>
      <c r="V1858">
        <v>0.10435709999999999</v>
      </c>
      <c r="W1858">
        <v>6.1705350000000004E-3</v>
      </c>
      <c r="X1858">
        <v>0.99452070000000004</v>
      </c>
      <c r="Y1858">
        <v>0.1309874</v>
      </c>
      <c r="Z1858">
        <v>0.20697570000000001</v>
      </c>
      <c r="AA1858">
        <v>0.96953769999999995</v>
      </c>
      <c r="AB1858">
        <v>9</v>
      </c>
      <c r="AC1858">
        <v>3.5500000000013097E-2</v>
      </c>
      <c r="AD1858">
        <v>-0.1590955</v>
      </c>
      <c r="AE1858">
        <v>-0.634800000000041</v>
      </c>
      <c r="AF1858">
        <v>8.6514100463296606E-2</v>
      </c>
      <c r="AG1858">
        <v>-0.1590955</v>
      </c>
      <c r="AH1858">
        <v>0.59203925198982899</v>
      </c>
      <c r="AI1858">
        <v>104.890430921557</v>
      </c>
      <c r="AJ1858">
        <v>81.6862683761684</v>
      </c>
      <c r="AK1858">
        <v>0.61911755232419297</v>
      </c>
      <c r="AL1858">
        <v>89.646452126325997</v>
      </c>
      <c r="AM1858">
        <v>84.009757633001001</v>
      </c>
      <c r="AN1858">
        <v>0.99999995127554198</v>
      </c>
    </row>
    <row r="1859" spans="1:40" x14ac:dyDescent="0.25">
      <c r="A1859" t="str">
        <f>"20190312153923091"</f>
        <v>20190312153923091</v>
      </c>
      <c r="B1859" t="str">
        <f>"1552376363087194"</f>
        <v>1552376363087194</v>
      </c>
      <c r="C1859" t="s">
        <v>40</v>
      </c>
      <c r="D1859">
        <v>4.3389199999999999</v>
      </c>
      <c r="E1859">
        <v>0.50960109999999903</v>
      </c>
      <c r="F1859" t="s">
        <v>41</v>
      </c>
      <c r="G1859">
        <v>-192.21700000000001</v>
      </c>
      <c r="H1859">
        <v>0.94810349999999999</v>
      </c>
      <c r="I1859">
        <v>347.86450000000002</v>
      </c>
      <c r="J1859">
        <v>-192.25110000000001</v>
      </c>
      <c r="K1859">
        <v>1.1092029999999999</v>
      </c>
      <c r="L1859">
        <v>348.49180000000001</v>
      </c>
      <c r="M1859">
        <v>0.1976617</v>
      </c>
      <c r="N1859">
        <v>0</v>
      </c>
      <c r="O1859">
        <v>-0.98021630000000004</v>
      </c>
      <c r="P1859">
        <v>9.3112329999999993E-2</v>
      </c>
      <c r="Q1859">
        <v>-3.8405900000000001E-3</v>
      </c>
      <c r="R1859">
        <v>-0.99564839999999999</v>
      </c>
      <c r="S1859">
        <v>0.21026610000000001</v>
      </c>
      <c r="T1859">
        <v>-0.67037690000000005</v>
      </c>
      <c r="U1859">
        <v>-2.9908450000000002</v>
      </c>
      <c r="V1859">
        <v>0.1055461</v>
      </c>
      <c r="W1859">
        <v>6.2444450000000004E-3</v>
      </c>
      <c r="X1859">
        <v>0.99439480000000002</v>
      </c>
      <c r="Y1859">
        <v>0.1300326</v>
      </c>
      <c r="Z1859">
        <v>0.21115030000000001</v>
      </c>
      <c r="AA1859">
        <v>0.96876569999999995</v>
      </c>
      <c r="AB1859">
        <v>10</v>
      </c>
      <c r="AC1859">
        <v>3.40999999999951E-2</v>
      </c>
      <c r="AD1859">
        <v>-0.16109950000000001</v>
      </c>
      <c r="AE1859">
        <v>-0.62729999999999098</v>
      </c>
      <c r="AF1859">
        <v>8.4984117121695193E-2</v>
      </c>
      <c r="AG1859">
        <v>-0.16109950000000001</v>
      </c>
      <c r="AH1859">
        <v>0.58330518555169697</v>
      </c>
      <c r="AI1859">
        <v>105.28557776250901</v>
      </c>
      <c r="AJ1859">
        <v>81.710667205757204</v>
      </c>
      <c r="AK1859">
        <v>0.61108124546143905</v>
      </c>
      <c r="AL1859">
        <v>89.642217329212997</v>
      </c>
      <c r="AM1859">
        <v>83.941250782909506</v>
      </c>
      <c r="AN1859">
        <v>0.99999999529280403</v>
      </c>
    </row>
    <row r="1860" spans="1:40" x14ac:dyDescent="0.25">
      <c r="A1860" t="str">
        <f>"20190312153923115"</f>
        <v>20190312153923115</v>
      </c>
      <c r="B1860" t="str">
        <f>"1552376363107222"</f>
        <v>1552376363107222</v>
      </c>
      <c r="C1860" t="s">
        <v>40</v>
      </c>
      <c r="D1860">
        <v>4.3229850000000001</v>
      </c>
      <c r="E1860">
        <v>0.50921510000000003</v>
      </c>
      <c r="F1860" t="s">
        <v>41</v>
      </c>
      <c r="G1860">
        <v>-192.20269999999999</v>
      </c>
      <c r="H1860">
        <v>0.94798870000000002</v>
      </c>
      <c r="I1860">
        <v>347.77850000000001</v>
      </c>
      <c r="J1860">
        <v>-192.233</v>
      </c>
      <c r="K1860">
        <v>1.1091260000000001</v>
      </c>
      <c r="L1860">
        <v>348.38889999999998</v>
      </c>
      <c r="M1860">
        <v>0.1954632</v>
      </c>
      <c r="N1860">
        <v>0</v>
      </c>
      <c r="O1860">
        <v>-0.98066129999999996</v>
      </c>
      <c r="P1860">
        <v>8.8903709999999997E-2</v>
      </c>
      <c r="Q1860">
        <v>-3.359674E-3</v>
      </c>
      <c r="R1860">
        <v>-0.9960348</v>
      </c>
      <c r="S1860">
        <v>0.20300289999999999</v>
      </c>
      <c r="T1860">
        <v>-0.67602059999999997</v>
      </c>
      <c r="U1860">
        <v>-2.9914860000000001</v>
      </c>
      <c r="V1860">
        <v>0.1075185</v>
      </c>
      <c r="W1860">
        <v>6.3145379999999997E-3</v>
      </c>
      <c r="X1860">
        <v>0.99418300000000004</v>
      </c>
      <c r="Y1860">
        <v>0.13018969999999999</v>
      </c>
      <c r="Z1860">
        <v>0.21295729999999999</v>
      </c>
      <c r="AA1860">
        <v>0.96834900000000002</v>
      </c>
      <c r="AB1860">
        <v>10</v>
      </c>
      <c r="AC1860">
        <v>3.0300000000010999E-2</v>
      </c>
      <c r="AD1860">
        <v>-0.16113730000000001</v>
      </c>
      <c r="AE1860">
        <v>-0.61039999999996997</v>
      </c>
      <c r="AF1860">
        <v>8.3777094277488695E-2</v>
      </c>
      <c r="AG1860">
        <v>-0.16113730000000001</v>
      </c>
      <c r="AH1860">
        <v>0.56525271205344596</v>
      </c>
      <c r="AI1860">
        <v>105.74796742479801</v>
      </c>
      <c r="AJ1860">
        <v>81.569465093986196</v>
      </c>
      <c r="AK1860">
        <v>0.59371243835769905</v>
      </c>
      <c r="AL1860">
        <v>89.638201207555099</v>
      </c>
      <c r="AM1860">
        <v>83.827588643615499</v>
      </c>
      <c r="AN1860">
        <v>0.99999996936070101</v>
      </c>
    </row>
    <row r="1861" spans="1:40" x14ac:dyDescent="0.25">
      <c r="A1861" t="str">
        <f>"20190312153923130"</f>
        <v>20190312153923130</v>
      </c>
      <c r="B1861" t="str">
        <f>"1552376363117958"</f>
        <v>1552376363117958</v>
      </c>
      <c r="C1861" t="s">
        <v>40</v>
      </c>
      <c r="D1861">
        <v>4.3338260000000002</v>
      </c>
      <c r="E1861">
        <v>0.50909349999999998</v>
      </c>
      <c r="F1861" t="s">
        <v>41</v>
      </c>
      <c r="G1861">
        <v>-192.18780000000001</v>
      </c>
      <c r="H1861">
        <v>0.95049980000000001</v>
      </c>
      <c r="I1861">
        <v>347.69049999999999</v>
      </c>
      <c r="J1861">
        <v>-192.2217</v>
      </c>
      <c r="K1861">
        <v>1.109078</v>
      </c>
      <c r="L1861">
        <v>348.32400000000001</v>
      </c>
      <c r="M1861">
        <v>0.19406509999999999</v>
      </c>
      <c r="N1861">
        <v>0</v>
      </c>
      <c r="O1861">
        <v>-0.98094159999999997</v>
      </c>
      <c r="P1861">
        <v>8.6374480000000003E-2</v>
      </c>
      <c r="Q1861">
        <v>-2.5770509999999999E-3</v>
      </c>
      <c r="R1861">
        <v>-0.99625969999999997</v>
      </c>
      <c r="S1861">
        <v>0.19401550000000001</v>
      </c>
      <c r="T1861">
        <v>-0.67946799999999996</v>
      </c>
      <c r="U1861">
        <v>-2.9923099999999998</v>
      </c>
      <c r="V1861">
        <v>0.1086265</v>
      </c>
      <c r="W1861">
        <v>6.8290349999999998E-3</v>
      </c>
      <c r="X1861">
        <v>0.99405920000000003</v>
      </c>
      <c r="Y1861">
        <v>0.1317034</v>
      </c>
      <c r="Z1861">
        <v>0.21402270000000001</v>
      </c>
      <c r="AA1861">
        <v>0.96790929999999997</v>
      </c>
      <c r="AB1861">
        <v>10</v>
      </c>
      <c r="AC1861">
        <v>3.3899999999988398E-2</v>
      </c>
      <c r="AD1861">
        <v>-0.1585782</v>
      </c>
      <c r="AE1861">
        <v>-0.63350000000002604</v>
      </c>
      <c r="AF1861">
        <v>8.4416016018145398E-2</v>
      </c>
      <c r="AG1861">
        <v>-0.1585782</v>
      </c>
      <c r="AH1861">
        <v>0.59110136294169102</v>
      </c>
      <c r="AI1861">
        <v>104.87333823130101</v>
      </c>
      <c r="AJ1861">
        <v>81.872465848233404</v>
      </c>
      <c r="AK1861">
        <v>0.61779764530721604</v>
      </c>
      <c r="AL1861">
        <v>89.608722083925798</v>
      </c>
      <c r="AM1861">
        <v>83.763708775790903</v>
      </c>
      <c r="AN1861">
        <v>1.00000002266296</v>
      </c>
    </row>
    <row r="1862" spans="1:40" x14ac:dyDescent="0.25">
      <c r="A1862" t="str">
        <f>"20190312153923151"</f>
        <v>20190312153923151</v>
      </c>
      <c r="B1862" t="str">
        <f>"1552376363147238"</f>
        <v>1552376363147238</v>
      </c>
      <c r="C1862" t="s">
        <v>40</v>
      </c>
      <c r="D1862">
        <v>4.3725940000000003</v>
      </c>
      <c r="E1862">
        <v>0.50968480000000005</v>
      </c>
      <c r="F1862" t="s">
        <v>41</v>
      </c>
      <c r="G1862">
        <v>-192.17670000000001</v>
      </c>
      <c r="H1862">
        <v>0.94574740000000002</v>
      </c>
      <c r="I1862">
        <v>347.60430000000002</v>
      </c>
      <c r="J1862">
        <v>-192.20599999999999</v>
      </c>
      <c r="K1862">
        <v>1.1090089999999999</v>
      </c>
      <c r="L1862">
        <v>348.23250000000002</v>
      </c>
      <c r="M1862">
        <v>0.1920819</v>
      </c>
      <c r="N1862">
        <v>0</v>
      </c>
      <c r="O1862">
        <v>-0.98133550000000003</v>
      </c>
      <c r="P1862">
        <v>8.3177879999999996E-2</v>
      </c>
      <c r="Q1862">
        <v>-1.5065790000000001E-3</v>
      </c>
      <c r="R1862">
        <v>-0.99653369999999997</v>
      </c>
      <c r="S1862">
        <v>0.1875</v>
      </c>
      <c r="T1862">
        <v>-0.67929240000000002</v>
      </c>
      <c r="U1862">
        <v>-2.9931950000000001</v>
      </c>
      <c r="V1862">
        <v>0.1098074</v>
      </c>
      <c r="W1862">
        <v>7.5166149999999999E-3</v>
      </c>
      <c r="X1862">
        <v>0.99392440000000004</v>
      </c>
      <c r="Y1862">
        <v>0.1318154</v>
      </c>
      <c r="Z1862">
        <v>0.2140493</v>
      </c>
      <c r="AA1862">
        <v>0.96788819999999998</v>
      </c>
      <c r="AB1862">
        <v>10</v>
      </c>
      <c r="AC1862">
        <v>2.9299999999977899E-2</v>
      </c>
      <c r="AD1862">
        <v>-0.16326159999999901</v>
      </c>
      <c r="AE1862">
        <v>-0.62819999999999199</v>
      </c>
      <c r="AF1862">
        <v>8.6113035324411599E-2</v>
      </c>
      <c r="AG1862">
        <v>-0.16326159999999901</v>
      </c>
      <c r="AH1862">
        <v>0.58284832141208298</v>
      </c>
      <c r="AI1862">
        <v>105.488152392179</v>
      </c>
      <c r="AJ1862">
        <v>81.595624316817293</v>
      </c>
      <c r="AK1862">
        <v>0.611377110023123</v>
      </c>
      <c r="AL1862">
        <v>89.569325602352194</v>
      </c>
      <c r="AM1862">
        <v>83.695607643667302</v>
      </c>
      <c r="AN1862">
        <v>0.99999993875558701</v>
      </c>
    </row>
    <row r="1863" spans="1:40" x14ac:dyDescent="0.25">
      <c r="A1863" t="str">
        <f>"20190312153923172"</f>
        <v>20190312153923172</v>
      </c>
      <c r="B1863" t="str">
        <f>"1552376363167734"</f>
        <v>1552376363167734</v>
      </c>
      <c r="C1863" t="s">
        <v>40</v>
      </c>
      <c r="D1863">
        <v>4.3595819999999996</v>
      </c>
      <c r="E1863">
        <v>0.51028569999999995</v>
      </c>
      <c r="F1863" t="s">
        <v>41</v>
      </c>
      <c r="G1863">
        <v>-192.16460000000001</v>
      </c>
      <c r="H1863">
        <v>0.94564599999999999</v>
      </c>
      <c r="I1863">
        <v>347.51510000000002</v>
      </c>
      <c r="J1863">
        <v>-192.18950000000001</v>
      </c>
      <c r="K1863">
        <v>1.1089359999999999</v>
      </c>
      <c r="L1863">
        <v>348.13569999999999</v>
      </c>
      <c r="M1863">
        <v>0.18996199999999999</v>
      </c>
      <c r="N1863">
        <v>0</v>
      </c>
      <c r="O1863">
        <v>-0.98175159999999995</v>
      </c>
      <c r="P1863">
        <v>8.0745620000000004E-2</v>
      </c>
      <c r="Q1863">
        <v>-1.23145E-3</v>
      </c>
      <c r="R1863">
        <v>-0.99673389999999995</v>
      </c>
      <c r="S1863">
        <v>0.17337040000000001</v>
      </c>
      <c r="T1863">
        <v>-0.68180640000000003</v>
      </c>
      <c r="U1863">
        <v>-2.9949650000000001</v>
      </c>
      <c r="V1863">
        <v>0.11008610000000001</v>
      </c>
      <c r="W1863">
        <v>7.3840579999999998E-3</v>
      </c>
      <c r="X1863">
        <v>0.99389459999999996</v>
      </c>
      <c r="Y1863">
        <v>0.134267</v>
      </c>
      <c r="Z1863">
        <v>0.21480850000000001</v>
      </c>
      <c r="AA1863">
        <v>0.96738290000000005</v>
      </c>
      <c r="AB1863">
        <v>10</v>
      </c>
      <c r="AC1863">
        <v>2.4900000000002299E-2</v>
      </c>
      <c r="AD1863">
        <v>-0.16328999999999999</v>
      </c>
      <c r="AE1863">
        <v>-0.62059999999996696</v>
      </c>
      <c r="AF1863">
        <v>8.7406980117035696E-2</v>
      </c>
      <c r="AG1863">
        <v>-0.16328999999999999</v>
      </c>
      <c r="AH1863">
        <v>0.57433190427759195</v>
      </c>
      <c r="AI1863">
        <v>105.699425931858</v>
      </c>
      <c r="AJ1863">
        <v>81.346615117255894</v>
      </c>
      <c r="AK1863">
        <v>0.60345732288564102</v>
      </c>
      <c r="AL1863">
        <v>89.576920785522603</v>
      </c>
      <c r="AM1863">
        <v>83.679547947305593</v>
      </c>
      <c r="AN1863">
        <v>0.99999997481745795</v>
      </c>
    </row>
    <row r="1864" spans="1:40" x14ac:dyDescent="0.25">
      <c r="A1864" t="str">
        <f>"20190312153923193"</f>
        <v>20190312153923193</v>
      </c>
      <c r="B1864" t="str">
        <f>"1552376363187254"</f>
        <v>1552376363187254</v>
      </c>
      <c r="C1864" t="s">
        <v>40</v>
      </c>
      <c r="D1864">
        <v>4.3400910000000001</v>
      </c>
      <c r="E1864">
        <v>0.51077299999999903</v>
      </c>
      <c r="F1864" t="s">
        <v>41</v>
      </c>
      <c r="G1864">
        <v>-192.15119999999999</v>
      </c>
      <c r="H1864">
        <v>0.94673039999999997</v>
      </c>
      <c r="I1864">
        <v>347.4246</v>
      </c>
      <c r="J1864">
        <v>-192.17429999999999</v>
      </c>
      <c r="K1864">
        <v>1.1088629999999999</v>
      </c>
      <c r="L1864">
        <v>348.04430000000002</v>
      </c>
      <c r="M1864">
        <v>0.18794420000000001</v>
      </c>
      <c r="N1864">
        <v>0</v>
      </c>
      <c r="O1864">
        <v>-0.9821434</v>
      </c>
      <c r="P1864">
        <v>7.8409489999999998E-2</v>
      </c>
      <c r="Q1864">
        <v>-4.3335090000000003E-4</v>
      </c>
      <c r="R1864">
        <v>-0.99692159999999996</v>
      </c>
      <c r="S1864">
        <v>0.1615906</v>
      </c>
      <c r="T1864">
        <v>-0.6833844</v>
      </c>
      <c r="U1864">
        <v>-2.9958499999999999</v>
      </c>
      <c r="V1864">
        <v>0.1103736</v>
      </c>
      <c r="W1864">
        <v>7.79555599999999E-3</v>
      </c>
      <c r="X1864">
        <v>0.99385959999999995</v>
      </c>
      <c r="Y1864">
        <v>0.1360432</v>
      </c>
      <c r="Z1864">
        <v>0.2153428</v>
      </c>
      <c r="AA1864">
        <v>0.96701590000000004</v>
      </c>
      <c r="AB1864">
        <v>10</v>
      </c>
      <c r="AC1864">
        <v>2.3099999999999399E-2</v>
      </c>
      <c r="AD1864">
        <v>-0.16213259999999899</v>
      </c>
      <c r="AE1864">
        <v>-0.61970000000002201</v>
      </c>
      <c r="AF1864">
        <v>8.7784296528788705E-2</v>
      </c>
      <c r="AG1864">
        <v>-0.16213259999999899</v>
      </c>
      <c r="AH1864">
        <v>0.57377673187545897</v>
      </c>
      <c r="AI1864">
        <v>105.606151307438</v>
      </c>
      <c r="AJ1864">
        <v>81.3015495911268</v>
      </c>
      <c r="AK1864">
        <v>0.602671387027372</v>
      </c>
      <c r="AL1864">
        <v>89.553343019736502</v>
      </c>
      <c r="AM1864">
        <v>83.662954263530594</v>
      </c>
      <c r="AN1864">
        <v>1.00000000339123</v>
      </c>
    </row>
    <row r="1865" spans="1:40" x14ac:dyDescent="0.25">
      <c r="A1865" t="str">
        <f>"20190312153923215"</f>
        <v>20190312153923215</v>
      </c>
      <c r="B1865" t="str">
        <f>"1552376363207752"</f>
        <v>1552376363207752</v>
      </c>
      <c r="C1865" t="s">
        <v>40</v>
      </c>
      <c r="D1865">
        <v>4.3725110000000003</v>
      </c>
      <c r="E1865">
        <v>0.51123689999999999</v>
      </c>
      <c r="F1865" t="s">
        <v>41</v>
      </c>
      <c r="G1865">
        <v>-192.13839999999999</v>
      </c>
      <c r="H1865">
        <v>0.94672970000000001</v>
      </c>
      <c r="I1865">
        <v>347.33330000000001</v>
      </c>
      <c r="J1865">
        <v>-192.1567</v>
      </c>
      <c r="K1865">
        <v>1.108776</v>
      </c>
      <c r="L1865">
        <v>347.93790000000001</v>
      </c>
      <c r="M1865">
        <v>0.1855665</v>
      </c>
      <c r="N1865">
        <v>0</v>
      </c>
      <c r="O1865">
        <v>-0.982599</v>
      </c>
      <c r="P1865">
        <v>7.5962249999999995E-2</v>
      </c>
      <c r="Q1865">
        <v>1.1792510000000001E-3</v>
      </c>
      <c r="R1865">
        <v>-0.99710989999999999</v>
      </c>
      <c r="S1865">
        <v>0.15133669999999999</v>
      </c>
      <c r="T1865">
        <v>-0.6833745</v>
      </c>
      <c r="U1865">
        <v>-2.9970400000000001</v>
      </c>
      <c r="V1865">
        <v>0.11040949999999999</v>
      </c>
      <c r="W1865">
        <v>8.9551839999999997E-3</v>
      </c>
      <c r="X1865">
        <v>0.9938458</v>
      </c>
      <c r="Y1865">
        <v>0.13696459999999999</v>
      </c>
      <c r="Z1865">
        <v>0.2154102</v>
      </c>
      <c r="AA1865">
        <v>0.96687080000000003</v>
      </c>
      <c r="AB1865">
        <v>10</v>
      </c>
      <c r="AC1865">
        <v>1.8300000000010599E-2</v>
      </c>
      <c r="AD1865">
        <v>-0.1620463</v>
      </c>
      <c r="AE1865">
        <v>-0.60460000000000402</v>
      </c>
      <c r="AF1865">
        <v>8.7905943669464401E-2</v>
      </c>
      <c r="AG1865">
        <v>-0.1620463</v>
      </c>
      <c r="AH1865">
        <v>0.55748370003180303</v>
      </c>
      <c r="AI1865">
        <v>106.020193912705</v>
      </c>
      <c r="AJ1865">
        <v>81.039186096944903</v>
      </c>
      <c r="AK1865">
        <v>0.58717504551646105</v>
      </c>
      <c r="AL1865">
        <v>89.486898875149393</v>
      </c>
      <c r="AM1865">
        <v>83.660822554636098</v>
      </c>
      <c r="AN1865">
        <v>0.99999996359418097</v>
      </c>
    </row>
    <row r="1866" spans="1:40" x14ac:dyDescent="0.25">
      <c r="A1866" t="str">
        <f>"20190312153923238"</f>
        <v>20190312153923238</v>
      </c>
      <c r="B1866" t="str">
        <f>"1552376363227270"</f>
        <v>1552376363227270</v>
      </c>
      <c r="C1866" t="s">
        <v>40</v>
      </c>
      <c r="D1866">
        <v>4.425389</v>
      </c>
      <c r="E1866">
        <v>0.51153300000000002</v>
      </c>
      <c r="F1866" t="s">
        <v>41</v>
      </c>
      <c r="G1866">
        <v>-192.12389999999999</v>
      </c>
      <c r="H1866">
        <v>0.95034660000000004</v>
      </c>
      <c r="I1866">
        <v>347.2396</v>
      </c>
      <c r="J1866">
        <v>-192.1397</v>
      </c>
      <c r="K1866">
        <v>1.108684</v>
      </c>
      <c r="L1866">
        <v>347.83269999999999</v>
      </c>
      <c r="M1866">
        <v>0.18318190000000001</v>
      </c>
      <c r="N1866">
        <v>0</v>
      </c>
      <c r="O1866">
        <v>-0.98304990000000003</v>
      </c>
      <c r="P1866">
        <v>7.3377269999999994E-2</v>
      </c>
      <c r="Q1866">
        <v>1.9783539999999999E-3</v>
      </c>
      <c r="R1866">
        <v>-0.99730249999999998</v>
      </c>
      <c r="S1866">
        <v>0.1408539</v>
      </c>
      <c r="T1866">
        <v>-0.68039740000000004</v>
      </c>
      <c r="U1866">
        <v>-2.9987490000000001</v>
      </c>
      <c r="V1866">
        <v>0.11057500000000001</v>
      </c>
      <c r="W1866">
        <v>9.3023069999999992E-3</v>
      </c>
      <c r="X1866">
        <v>0.99382420000000005</v>
      </c>
      <c r="Y1866">
        <v>0.1379502</v>
      </c>
      <c r="Z1866">
        <v>0.21454860000000001</v>
      </c>
      <c r="AA1866">
        <v>0.96692219999999995</v>
      </c>
      <c r="AB1866">
        <v>10</v>
      </c>
      <c r="AC1866">
        <v>1.5800000000012901E-2</v>
      </c>
      <c r="AD1866">
        <v>-0.15833739999999899</v>
      </c>
      <c r="AE1866">
        <v>-0.59309999999999197</v>
      </c>
      <c r="AF1866">
        <v>8.6924859388762599E-2</v>
      </c>
      <c r="AG1866">
        <v>-0.15833739999999899</v>
      </c>
      <c r="AH1866">
        <v>0.54700048025568704</v>
      </c>
      <c r="AI1866">
        <v>105.954051936761</v>
      </c>
      <c r="AJ1866">
        <v>80.970523437289401</v>
      </c>
      <c r="AK1866">
        <v>0.57605224486887296</v>
      </c>
      <c r="AL1866">
        <v>89.4670093565325</v>
      </c>
      <c r="AM1866">
        <v>83.651261020524899</v>
      </c>
      <c r="AN1866">
        <v>0.99999995202308001</v>
      </c>
    </row>
    <row r="1867" spans="1:40" x14ac:dyDescent="0.25">
      <c r="A1867" t="str">
        <f>"20190312153923259"</f>
        <v>20190312153923259</v>
      </c>
      <c r="B1867" t="str">
        <f>"1552376363247766"</f>
        <v>1552376363247766</v>
      </c>
      <c r="C1867" t="s">
        <v>40</v>
      </c>
      <c r="D1867">
        <v>4.4030610000000001</v>
      </c>
      <c r="E1867">
        <v>0.51163230000000004</v>
      </c>
      <c r="F1867" t="s">
        <v>41</v>
      </c>
      <c r="G1867">
        <v>-192.1063</v>
      </c>
      <c r="H1867">
        <v>0.93313880000000005</v>
      </c>
      <c r="I1867">
        <v>347.05770000000001</v>
      </c>
      <c r="J1867">
        <v>-192.12360000000001</v>
      </c>
      <c r="K1867">
        <v>1.108595</v>
      </c>
      <c r="L1867">
        <v>347.73149999999998</v>
      </c>
      <c r="M1867">
        <v>0.18085109999999999</v>
      </c>
      <c r="N1867">
        <v>0</v>
      </c>
      <c r="O1867">
        <v>-0.98348440000000004</v>
      </c>
      <c r="P1867">
        <v>7.0907049999999999E-2</v>
      </c>
      <c r="Q1867">
        <v>2.4146409999999999E-3</v>
      </c>
      <c r="R1867">
        <v>-0.99748020000000004</v>
      </c>
      <c r="S1867">
        <v>0.12950130000000001</v>
      </c>
      <c r="T1867">
        <v>-0.67938350000000003</v>
      </c>
      <c r="U1867">
        <v>-2.9999389999999999</v>
      </c>
      <c r="V1867">
        <v>0.1106806</v>
      </c>
      <c r="W1867">
        <v>9.3065990000000005E-3</v>
      </c>
      <c r="X1867">
        <v>0.99381240000000004</v>
      </c>
      <c r="Y1867">
        <v>0.139268</v>
      </c>
      <c r="Z1867">
        <v>0.2143003</v>
      </c>
      <c r="AA1867">
        <v>0.96678839999999999</v>
      </c>
      <c r="AB1867">
        <v>10</v>
      </c>
      <c r="AC1867">
        <v>1.73000000000058E-2</v>
      </c>
      <c r="AD1867">
        <v>-0.17545619999999901</v>
      </c>
      <c r="AE1867">
        <v>-0.67379999999997098</v>
      </c>
      <c r="AF1867">
        <v>9.8192139321779406E-2</v>
      </c>
      <c r="AG1867">
        <v>-0.17545619999999901</v>
      </c>
      <c r="AH1867">
        <v>0.62356340023121304</v>
      </c>
      <c r="AI1867">
        <v>105.53335935722301</v>
      </c>
      <c r="AJ1867">
        <v>81.051153524407098</v>
      </c>
      <c r="AK1867">
        <v>0.65517775332419503</v>
      </c>
      <c r="AL1867">
        <v>89.466763429816396</v>
      </c>
      <c r="AM1867">
        <v>83.645172666095704</v>
      </c>
      <c r="AN1867">
        <v>0.99999994719753205</v>
      </c>
    </row>
    <row r="1868" spans="1:40" x14ac:dyDescent="0.25">
      <c r="A1868" t="str">
        <f>"20190312153923273"</f>
        <v>20190312153923273</v>
      </c>
      <c r="B1868" t="str">
        <f>"1552376363267286"</f>
        <v>1552376363267286</v>
      </c>
      <c r="C1868" t="s">
        <v>40</v>
      </c>
      <c r="D1868">
        <v>4.3899480000000004</v>
      </c>
      <c r="E1868">
        <v>0.51175459999999995</v>
      </c>
      <c r="F1868" t="s">
        <v>41</v>
      </c>
      <c r="G1868">
        <v>-192.09270000000001</v>
      </c>
      <c r="H1868">
        <v>0.9339402</v>
      </c>
      <c r="I1868">
        <v>346.96120000000002</v>
      </c>
      <c r="J1868">
        <v>-192.1131</v>
      </c>
      <c r="K1868">
        <v>1.108535</v>
      </c>
      <c r="L1868">
        <v>347.66399999999999</v>
      </c>
      <c r="M1868">
        <v>0.179281</v>
      </c>
      <c r="N1868">
        <v>0</v>
      </c>
      <c r="O1868">
        <v>-0.98377389999999998</v>
      </c>
      <c r="P1868">
        <v>6.9294679999999997E-2</v>
      </c>
      <c r="Q1868">
        <v>2.7571029999999999E-3</v>
      </c>
      <c r="R1868">
        <v>-0.99759260000000005</v>
      </c>
      <c r="S1868">
        <v>0.1211243</v>
      </c>
      <c r="T1868">
        <v>-0.68015239999999999</v>
      </c>
      <c r="U1868">
        <v>-3.0005799999999998</v>
      </c>
      <c r="V1868">
        <v>0.1107009</v>
      </c>
      <c r="W1868">
        <v>9.3676300000000001E-3</v>
      </c>
      <c r="X1868">
        <v>0.99380959999999996</v>
      </c>
      <c r="Y1868">
        <v>0.14039189999999999</v>
      </c>
      <c r="Z1868">
        <v>0.21457509999999999</v>
      </c>
      <c r="AA1868">
        <v>0.9665648</v>
      </c>
      <c r="AB1868">
        <v>11</v>
      </c>
      <c r="AC1868">
        <v>2.0399999999994999E-2</v>
      </c>
      <c r="AD1868">
        <v>-0.17459479999999999</v>
      </c>
      <c r="AE1868">
        <v>-0.70279999999996701</v>
      </c>
      <c r="AF1868">
        <v>9.9779382033141906E-2</v>
      </c>
      <c r="AG1868">
        <v>-0.17459479999999999</v>
      </c>
      <c r="AH1868">
        <v>0.65469856056432096</v>
      </c>
      <c r="AI1868">
        <v>104.76915122371</v>
      </c>
      <c r="AJ1868">
        <v>81.334513914015304</v>
      </c>
      <c r="AK1868">
        <v>0.68488646830766697</v>
      </c>
      <c r="AL1868">
        <v>89.463266476831805</v>
      </c>
      <c r="AM1868">
        <v>83.643998899892495</v>
      </c>
      <c r="AN1868">
        <v>0.99999998140239299</v>
      </c>
    </row>
    <row r="1869" spans="1:40" x14ac:dyDescent="0.25">
      <c r="A1869" t="str">
        <f>"20190312153923292"</f>
        <v>20190312153923292</v>
      </c>
      <c r="B1869" t="str">
        <f>"1552376363287783"</f>
        <v>1552376363287783</v>
      </c>
      <c r="C1869" t="s">
        <v>40</v>
      </c>
      <c r="D1869">
        <v>4.394279</v>
      </c>
      <c r="E1869">
        <v>0.51182299999999903</v>
      </c>
      <c r="F1869" t="s">
        <v>41</v>
      </c>
      <c r="G1869">
        <v>-192.08609999999999</v>
      </c>
      <c r="H1869">
        <v>0.9477082</v>
      </c>
      <c r="I1869">
        <v>346.95609999999999</v>
      </c>
      <c r="J1869">
        <v>-192.09870000000001</v>
      </c>
      <c r="K1869">
        <v>1.1084639999999999</v>
      </c>
      <c r="L1869">
        <v>347.57150000000001</v>
      </c>
      <c r="M1869">
        <v>0.17710960000000001</v>
      </c>
      <c r="N1869">
        <v>0</v>
      </c>
      <c r="O1869">
        <v>-0.98416970000000004</v>
      </c>
      <c r="P1869">
        <v>6.7164799999999997E-2</v>
      </c>
      <c r="Q1869">
        <v>3.534719E-3</v>
      </c>
      <c r="R1869">
        <v>-0.9977357</v>
      </c>
      <c r="S1869">
        <v>0.1152344</v>
      </c>
      <c r="T1869">
        <v>-0.68153260000000004</v>
      </c>
      <c r="U1869">
        <v>-3.00116</v>
      </c>
      <c r="V1869">
        <v>0.1106301</v>
      </c>
      <c r="W1869">
        <v>9.7719720000000003E-3</v>
      </c>
      <c r="X1869">
        <v>0.99381359999999996</v>
      </c>
      <c r="Y1869">
        <v>0.14011209999999999</v>
      </c>
      <c r="Z1869">
        <v>0.21509059999999999</v>
      </c>
      <c r="AA1869">
        <v>0.96649090000000004</v>
      </c>
      <c r="AB1869">
        <v>11</v>
      </c>
      <c r="AC1869">
        <v>1.26000000000203E-2</v>
      </c>
      <c r="AD1869">
        <v>-0.16075579999999901</v>
      </c>
      <c r="AE1869">
        <v>-0.61540000000002204</v>
      </c>
      <c r="AF1869">
        <v>9.0426895704844495E-2</v>
      </c>
      <c r="AG1869">
        <v>-0.16075579999999901</v>
      </c>
      <c r="AH1869">
        <v>0.56908612432807304</v>
      </c>
      <c r="AI1869">
        <v>105.588072207005</v>
      </c>
      <c r="AJ1869">
        <v>80.971273129486207</v>
      </c>
      <c r="AK1869">
        <v>0.59822944394538202</v>
      </c>
      <c r="AL1869">
        <v>89.440098330632694</v>
      </c>
      <c r="AM1869">
        <v>83.648056072088295</v>
      </c>
      <c r="AN1869">
        <v>0.99999999100386905</v>
      </c>
    </row>
    <row r="1870" spans="1:40" x14ac:dyDescent="0.25">
      <c r="A1870" t="str">
        <f>"20190312153923317"</f>
        <v>20190312153923317</v>
      </c>
      <c r="B1870" t="str">
        <f>"1552376363307302"</f>
        <v>1552376363307302</v>
      </c>
      <c r="C1870" t="s">
        <v>40</v>
      </c>
      <c r="D1870">
        <v>4.3216999999999999</v>
      </c>
      <c r="E1870">
        <v>0.51173389999999996</v>
      </c>
      <c r="F1870" t="s">
        <v>41</v>
      </c>
      <c r="G1870">
        <v>-192.0729</v>
      </c>
      <c r="H1870">
        <v>0.94728570000000001</v>
      </c>
      <c r="I1870">
        <v>346.85890000000001</v>
      </c>
      <c r="J1870">
        <v>-192.0812</v>
      </c>
      <c r="K1870">
        <v>1.1083750000000001</v>
      </c>
      <c r="L1870">
        <v>347.45620000000002</v>
      </c>
      <c r="M1870">
        <v>0.17437230000000001</v>
      </c>
      <c r="N1870">
        <v>0</v>
      </c>
      <c r="O1870">
        <v>-0.98466100000000001</v>
      </c>
      <c r="P1870">
        <v>6.511815E-2</v>
      </c>
      <c r="Q1870">
        <v>5.6099039999999998E-3</v>
      </c>
      <c r="R1870">
        <v>-0.99786189999999997</v>
      </c>
      <c r="S1870">
        <v>0.1084442</v>
      </c>
      <c r="T1870">
        <v>-0.67903440000000004</v>
      </c>
      <c r="U1870">
        <v>-3.0018919999999998</v>
      </c>
      <c r="V1870">
        <v>0.10990759999999999</v>
      </c>
      <c r="W1870">
        <v>1.1400759999999999E-2</v>
      </c>
      <c r="X1870">
        <v>0.99387639999999999</v>
      </c>
      <c r="Y1870">
        <v>0.13954549999999999</v>
      </c>
      <c r="Z1870">
        <v>0.21446709999999999</v>
      </c>
      <c r="AA1870">
        <v>0.9667114</v>
      </c>
      <c r="AB1870">
        <v>11</v>
      </c>
      <c r="AC1870">
        <v>8.2999999999913109E-3</v>
      </c>
      <c r="AD1870">
        <v>-0.16108929999999999</v>
      </c>
      <c r="AE1870">
        <v>-0.59730000000001804</v>
      </c>
      <c r="AF1870">
        <v>8.9474891466387402E-2</v>
      </c>
      <c r="AG1870">
        <v>-0.16108929999999999</v>
      </c>
      <c r="AH1870">
        <v>0.549626406530347</v>
      </c>
      <c r="AI1870">
        <v>106.13413219608999</v>
      </c>
      <c r="AJ1870">
        <v>80.753803443506399</v>
      </c>
      <c r="AK1870">
        <v>0.57969363075065194</v>
      </c>
      <c r="AL1870">
        <v>89.346770403138294</v>
      </c>
      <c r="AM1870">
        <v>83.689598934020594</v>
      </c>
      <c r="AN1870">
        <v>0.99999997817164799</v>
      </c>
    </row>
    <row r="1871" spans="1:40" x14ac:dyDescent="0.25">
      <c r="A1871" t="str">
        <f>"20190312153923339"</f>
        <v>20190312153923339</v>
      </c>
      <c r="B1871" t="str">
        <f>"1552376363327798"</f>
        <v>1552376363327798</v>
      </c>
      <c r="C1871" t="s">
        <v>40</v>
      </c>
      <c r="D1871">
        <v>4.2931730000000003</v>
      </c>
      <c r="E1871">
        <v>0.51294399999999996</v>
      </c>
      <c r="F1871" t="s">
        <v>41</v>
      </c>
      <c r="G1871">
        <v>-192.05609999999999</v>
      </c>
      <c r="H1871">
        <v>1.035283</v>
      </c>
      <c r="I1871">
        <v>346.7176</v>
      </c>
      <c r="J1871">
        <v>-192.06450000000001</v>
      </c>
      <c r="K1871">
        <v>1.1082920000000001</v>
      </c>
      <c r="L1871">
        <v>347.34370000000001</v>
      </c>
      <c r="M1871">
        <v>0.17165949999999999</v>
      </c>
      <c r="N1871">
        <v>0</v>
      </c>
      <c r="O1871">
        <v>-0.98514000000000002</v>
      </c>
      <c r="P1871">
        <v>6.3751580000000002E-2</v>
      </c>
      <c r="Q1871">
        <v>7.2013880000000004E-3</v>
      </c>
      <c r="R1871">
        <v>-0.99793980000000004</v>
      </c>
      <c r="S1871">
        <v>0.10246280000000001</v>
      </c>
      <c r="T1871">
        <v>-0.2969466</v>
      </c>
      <c r="U1871">
        <v>-3.0013730000000001</v>
      </c>
      <c r="V1871">
        <v>0.10853260000000001</v>
      </c>
      <c r="W1871">
        <v>1.257083E-2</v>
      </c>
      <c r="X1871">
        <v>0.99401340000000005</v>
      </c>
      <c r="Y1871">
        <v>0.13810520000000001</v>
      </c>
      <c r="Z1871">
        <v>9.5770980000000006E-2</v>
      </c>
      <c r="AA1871">
        <v>0.98577630000000005</v>
      </c>
      <c r="AB1871">
        <v>11</v>
      </c>
      <c r="AC1871">
        <v>8.4000000000230505E-3</v>
      </c>
      <c r="AD1871">
        <v>-7.3009000000000102E-2</v>
      </c>
      <c r="AE1871">
        <v>-0.62610000000000798</v>
      </c>
      <c r="AF1871">
        <v>9.7871841703157603E-2</v>
      </c>
      <c r="AG1871">
        <v>-7.3009000000000102E-2</v>
      </c>
      <c r="AH1871">
        <v>0.60995554787272099</v>
      </c>
      <c r="AI1871">
        <v>96.740171627833007</v>
      </c>
      <c r="AJ1871">
        <v>80.884175598337507</v>
      </c>
      <c r="AK1871">
        <v>0.622057056756114</v>
      </c>
      <c r="AL1871">
        <v>89.279725521398802</v>
      </c>
      <c r="AM1871">
        <v>83.768772353757399</v>
      </c>
      <c r="AN1871">
        <v>0.99999999520460403</v>
      </c>
    </row>
    <row r="1872" spans="1:40" x14ac:dyDescent="0.25">
      <c r="A1872" t="str">
        <f>"20190312153923362"</f>
        <v>20190312153923362</v>
      </c>
      <c r="B1872" t="str">
        <f>"1552376363357079"</f>
        <v>1552376363357079</v>
      </c>
      <c r="C1872" t="s">
        <v>40</v>
      </c>
      <c r="D1872">
        <v>4.3744839999999998</v>
      </c>
      <c r="E1872">
        <v>0.51309959999999999</v>
      </c>
      <c r="F1872" t="s">
        <v>42</v>
      </c>
      <c r="G1872">
        <v>-191.49010000000001</v>
      </c>
      <c r="H1872" s="1">
        <v>-3.9363150000000001E-6</v>
      </c>
      <c r="I1872">
        <v>327.84059999999999</v>
      </c>
      <c r="J1872">
        <v>-192.04730000000001</v>
      </c>
      <c r="K1872">
        <v>1.1081970000000001</v>
      </c>
      <c r="L1872">
        <v>347.2253</v>
      </c>
      <c r="M1872">
        <v>0.16876350000000001</v>
      </c>
      <c r="N1872">
        <v>0</v>
      </c>
      <c r="O1872">
        <v>-0.98564280000000004</v>
      </c>
      <c r="P1872">
        <v>6.288175E-2</v>
      </c>
      <c r="Q1872">
        <v>8.1564259999999996E-3</v>
      </c>
      <c r="R1872">
        <v>-0.99798759999999997</v>
      </c>
      <c r="S1872">
        <v>8.8409420000000002E-2</v>
      </c>
      <c r="T1872">
        <v>-0.17058209999999999</v>
      </c>
      <c r="U1872">
        <v>-3.0018009999999999</v>
      </c>
      <c r="V1872">
        <v>0.10647810000000001</v>
      </c>
      <c r="W1872">
        <v>1.3098169999999999E-2</v>
      </c>
      <c r="X1872">
        <v>0.99422880000000002</v>
      </c>
      <c r="Y1872">
        <v>0.13971979999999901</v>
      </c>
      <c r="Z1872">
        <v>5.5225940000000001E-2</v>
      </c>
      <c r="AA1872">
        <v>0.98864980000000002</v>
      </c>
      <c r="AB1872">
        <v>11</v>
      </c>
      <c r="AC1872">
        <v>0.55719999999999403</v>
      </c>
      <c r="AD1872">
        <v>-1.1082009363149901</v>
      </c>
      <c r="AE1872">
        <v>-19.384699999999999</v>
      </c>
      <c r="AF1872">
        <v>2.7134057673580401</v>
      </c>
      <c r="AG1872">
        <v>-1.1082009363149901</v>
      </c>
      <c r="AH1872">
        <v>19.138188412996598</v>
      </c>
      <c r="AI1872">
        <v>93.281281389209994</v>
      </c>
      <c r="AJ1872">
        <v>81.930407498306593</v>
      </c>
      <c r="AK1872">
        <v>19.361325778596399</v>
      </c>
      <c r="AL1872">
        <v>89.249508699790496</v>
      </c>
      <c r="AM1872">
        <v>83.887140869266105</v>
      </c>
      <c r="AN1872">
        <v>1.0000000272931899</v>
      </c>
    </row>
    <row r="1873" spans="1:40" x14ac:dyDescent="0.25">
      <c r="A1873" t="str">
        <f>"20190312153923384"</f>
        <v>20190312153923384</v>
      </c>
      <c r="B1873" t="str">
        <f>"1552376363377574"</f>
        <v>1552376363377574</v>
      </c>
      <c r="C1873" t="s">
        <v>40</v>
      </c>
      <c r="D1873">
        <v>4.3585250000000002</v>
      </c>
      <c r="E1873">
        <v>0.51295639999999998</v>
      </c>
      <c r="F1873" t="s">
        <v>42</v>
      </c>
      <c r="G1873">
        <v>-191.24610000000001</v>
      </c>
      <c r="H1873" s="1">
        <v>-4.647079E-6</v>
      </c>
      <c r="I1873">
        <v>318.81180000000001</v>
      </c>
      <c r="J1873">
        <v>-192.03030000000001</v>
      </c>
      <c r="K1873">
        <v>1.108104</v>
      </c>
      <c r="L1873">
        <v>347.10599999999999</v>
      </c>
      <c r="M1873">
        <v>0.16581940000000001</v>
      </c>
      <c r="N1873">
        <v>0</v>
      </c>
      <c r="O1873">
        <v>-0.98614440000000003</v>
      </c>
      <c r="P1873">
        <v>6.2751730000000006E-2</v>
      </c>
      <c r="Q1873">
        <v>8.8105289999999992E-3</v>
      </c>
      <c r="R1873">
        <v>-0.9979903</v>
      </c>
      <c r="S1873">
        <v>8.4640499999999994E-2</v>
      </c>
      <c r="T1873">
        <v>-0.117074499999999</v>
      </c>
      <c r="U1873">
        <v>-3.001709</v>
      </c>
      <c r="V1873">
        <v>0.1036388</v>
      </c>
      <c r="W1873">
        <v>1.3339429999999999E-2</v>
      </c>
      <c r="X1873">
        <v>0.99452560000000001</v>
      </c>
      <c r="Y1873">
        <v>0.137979399999999</v>
      </c>
      <c r="Z1873">
        <v>3.7970599999999903E-2</v>
      </c>
      <c r="AA1873">
        <v>0.989707</v>
      </c>
      <c r="AB1873">
        <v>11</v>
      </c>
      <c r="AC1873">
        <v>0.78419999999999801</v>
      </c>
      <c r="AD1873">
        <v>-1.108108647079</v>
      </c>
      <c r="AE1873">
        <v>-28.294199999999901</v>
      </c>
      <c r="AF1873">
        <v>3.91244187053106</v>
      </c>
      <c r="AG1873">
        <v>-1.108108647079</v>
      </c>
      <c r="AH1873">
        <v>27.989629268459801</v>
      </c>
      <c r="AI1873">
        <v>92.245347239606801</v>
      </c>
      <c r="AJ1873">
        <v>82.042649355603203</v>
      </c>
      <c r="AK1873">
        <v>28.283466066764799</v>
      </c>
      <c r="AL1873">
        <v>89.235684333800293</v>
      </c>
      <c r="AM1873">
        <v>84.050721413698497</v>
      </c>
      <c r="AN1873">
        <v>1.00000005515676</v>
      </c>
    </row>
    <row r="1874" spans="1:40" x14ac:dyDescent="0.25">
      <c r="A1874" t="str">
        <f>"20190312153923405"</f>
        <v>20190312153923405</v>
      </c>
      <c r="B1874" t="str">
        <f>"1552376363398071"</f>
        <v>1552376363398071</v>
      </c>
      <c r="C1874" t="s">
        <v>40</v>
      </c>
      <c r="D1874">
        <v>4.3648449999999999</v>
      </c>
      <c r="E1874">
        <v>0.51284200000000002</v>
      </c>
      <c r="F1874" t="s">
        <v>42</v>
      </c>
      <c r="G1874">
        <v>-191.1447</v>
      </c>
      <c r="H1874" s="1">
        <v>-3.3590349999999998E-6</v>
      </c>
      <c r="I1874">
        <v>316.05329999999998</v>
      </c>
      <c r="J1874">
        <v>-192.0145</v>
      </c>
      <c r="K1874">
        <v>1.108023</v>
      </c>
      <c r="L1874">
        <v>346.99270000000001</v>
      </c>
      <c r="M1874">
        <v>0.16300490000000001</v>
      </c>
      <c r="N1874">
        <v>0</v>
      </c>
      <c r="O1874">
        <v>-0.98661529999999997</v>
      </c>
      <c r="P1874">
        <v>6.2196309999999998E-2</v>
      </c>
      <c r="Q1874">
        <v>9.5704940000000006E-3</v>
      </c>
      <c r="R1874">
        <v>-0.99801810000000002</v>
      </c>
      <c r="S1874">
        <v>8.560181E-2</v>
      </c>
      <c r="T1874">
        <v>-0.1071116</v>
      </c>
      <c r="U1874">
        <v>-3.001617</v>
      </c>
      <c r="V1874">
        <v>0.10135470000000001</v>
      </c>
      <c r="W1874">
        <v>1.3721819999999999E-2</v>
      </c>
      <c r="X1874">
        <v>0.99475570000000002</v>
      </c>
      <c r="Y1874">
        <v>0.1348316</v>
      </c>
      <c r="Z1874">
        <v>3.4777299999999997E-2</v>
      </c>
      <c r="AA1874">
        <v>0.99025799999999997</v>
      </c>
      <c r="AB1874">
        <v>12</v>
      </c>
      <c r="AC1874">
        <v>0.86979999999999702</v>
      </c>
      <c r="AD1874">
        <v>-1.1080263590349999</v>
      </c>
      <c r="AE1874">
        <v>-30.939399999999999</v>
      </c>
      <c r="AF1874">
        <v>4.1798003441069298</v>
      </c>
      <c r="AG1874">
        <v>-1.1080263590349999</v>
      </c>
      <c r="AH1874">
        <v>30.628117159642098</v>
      </c>
      <c r="AI1874">
        <v>92.052861266494105</v>
      </c>
      <c r="AJ1874">
        <v>82.228885666823004</v>
      </c>
      <c r="AK1874">
        <v>30.931860824620198</v>
      </c>
      <c r="AL1874">
        <v>89.213772939274406</v>
      </c>
      <c r="AM1874">
        <v>84.1822648197858</v>
      </c>
      <c r="AN1874">
        <v>0.99999998311934601</v>
      </c>
    </row>
    <row r="1875" spans="1:40" x14ac:dyDescent="0.25">
      <c r="A1875" t="str">
        <f>"20190312153923428"</f>
        <v>20190312153923428</v>
      </c>
      <c r="B1875" t="str">
        <f>"1552376363417592"</f>
        <v>1552376363417592</v>
      </c>
      <c r="C1875" t="s">
        <v>40</v>
      </c>
      <c r="D1875">
        <v>4.3229579999999999</v>
      </c>
      <c r="E1875">
        <v>0.51290990000000003</v>
      </c>
      <c r="F1875" t="s">
        <v>42</v>
      </c>
      <c r="G1875">
        <v>-191.07239999999999</v>
      </c>
      <c r="H1875" s="1">
        <v>-2.1944670000000001E-6</v>
      </c>
      <c r="I1875">
        <v>313.63029999999998</v>
      </c>
      <c r="J1875">
        <v>-191.9982</v>
      </c>
      <c r="K1875">
        <v>1.1079429999999999</v>
      </c>
      <c r="L1875">
        <v>346.87279999999998</v>
      </c>
      <c r="M1875">
        <v>0.1600145</v>
      </c>
      <c r="N1875">
        <v>0</v>
      </c>
      <c r="O1875">
        <v>-0.98710659999999895</v>
      </c>
      <c r="P1875">
        <v>6.0280529999999999E-2</v>
      </c>
      <c r="Q1875">
        <v>1.001468E-2</v>
      </c>
      <c r="R1875">
        <v>-0.9981314</v>
      </c>
      <c r="S1875">
        <v>8.4762569999999995E-2</v>
      </c>
      <c r="T1875">
        <v>-9.9690319999999999E-2</v>
      </c>
      <c r="U1875">
        <v>-3.0016479999999999</v>
      </c>
      <c r="V1875">
        <v>0.1002498</v>
      </c>
      <c r="W1875">
        <v>1.3773779999999999E-2</v>
      </c>
      <c r="X1875">
        <v>0.99486699999999995</v>
      </c>
      <c r="Y1875">
        <v>0.132103</v>
      </c>
      <c r="Z1875">
        <v>3.2400709999999999E-2</v>
      </c>
      <c r="AA1875">
        <v>0.99070630000000004</v>
      </c>
      <c r="AB1875">
        <v>12</v>
      </c>
      <c r="AC1875">
        <v>0.92580000000000895</v>
      </c>
      <c r="AD1875">
        <v>-1.107945194467</v>
      </c>
      <c r="AE1875">
        <v>-33.2425</v>
      </c>
      <c r="AF1875">
        <v>4.4005692796921299</v>
      </c>
      <c r="AG1875">
        <v>-1.107945194467</v>
      </c>
      <c r="AH1875">
        <v>32.925748258369801</v>
      </c>
      <c r="AI1875">
        <v>91.910291744857005</v>
      </c>
      <c r="AJ1875">
        <v>82.387457071822794</v>
      </c>
      <c r="AK1875">
        <v>33.2369891974718</v>
      </c>
      <c r="AL1875">
        <v>89.210795616839405</v>
      </c>
      <c r="AM1875">
        <v>84.245897309421693</v>
      </c>
      <c r="AN1875">
        <v>1.00000004355226</v>
      </c>
    </row>
    <row r="1876" spans="1:40" x14ac:dyDescent="0.25">
      <c r="A1876" t="str">
        <f>"20190312153923449"</f>
        <v>20190312153923449</v>
      </c>
      <c r="B1876" t="str">
        <f>"1552376363438090"</f>
        <v>1552376363438090</v>
      </c>
      <c r="C1876" t="s">
        <v>40</v>
      </c>
      <c r="D1876">
        <v>4.3081649999999998</v>
      </c>
      <c r="E1876">
        <v>0.51290150000000001</v>
      </c>
      <c r="F1876" t="s">
        <v>42</v>
      </c>
      <c r="G1876">
        <v>-191.11150000000001</v>
      </c>
      <c r="H1876" s="1">
        <v>-1.9383920000000001E-6</v>
      </c>
      <c r="I1876">
        <v>313.06659999999999</v>
      </c>
      <c r="J1876">
        <v>-191.9828</v>
      </c>
      <c r="K1876">
        <v>1.1078730000000001</v>
      </c>
      <c r="L1876">
        <v>346.75689999999997</v>
      </c>
      <c r="M1876">
        <v>0.157119799999999</v>
      </c>
      <c r="N1876">
        <v>0</v>
      </c>
      <c r="O1876">
        <v>-0.98757269999999997</v>
      </c>
      <c r="P1876">
        <v>5.7533220000000003E-2</v>
      </c>
      <c r="Q1876">
        <v>1.017209E-2</v>
      </c>
      <c r="R1876">
        <v>-0.99829179999999995</v>
      </c>
      <c r="S1876">
        <v>7.8735349999999996E-2</v>
      </c>
      <c r="T1876">
        <v>-9.8380449999999994E-2</v>
      </c>
      <c r="U1876">
        <v>-3.0018310000000001</v>
      </c>
      <c r="V1876">
        <v>0.1000709</v>
      </c>
      <c r="W1876">
        <v>1.3557319999999999E-2</v>
      </c>
      <c r="X1876">
        <v>0.99488790000000005</v>
      </c>
      <c r="Y1876">
        <v>0.13118560000000001</v>
      </c>
      <c r="Z1876">
        <v>3.1999140000000002E-2</v>
      </c>
      <c r="AA1876">
        <v>0.99084130000000004</v>
      </c>
      <c r="AB1876">
        <v>12</v>
      </c>
      <c r="AC1876">
        <v>0.87129999999998997</v>
      </c>
      <c r="AD1876">
        <v>-1.1078749383919999</v>
      </c>
      <c r="AE1876">
        <v>-33.690299999999901</v>
      </c>
      <c r="AF1876">
        <v>4.4281858169988597</v>
      </c>
      <c r="AG1876">
        <v>-1.1078749383919999</v>
      </c>
      <c r="AH1876">
        <v>33.372681159283196</v>
      </c>
      <c r="AI1876">
        <v>91.884845088969499</v>
      </c>
      <c r="AJ1876">
        <v>82.441635581248903</v>
      </c>
      <c r="AK1876">
        <v>33.683409332609997</v>
      </c>
      <c r="AL1876">
        <v>89.223198953867197</v>
      </c>
      <c r="AM1876">
        <v>84.256216884628302</v>
      </c>
      <c r="AN1876">
        <v>0.99999995975940004</v>
      </c>
    </row>
    <row r="1877" spans="1:40" x14ac:dyDescent="0.25">
      <c r="A1877" t="str">
        <f>"20190312153923471"</f>
        <v>20190312153923471</v>
      </c>
      <c r="B1877" t="str">
        <f>"1552376363467367"</f>
        <v>1552376363467367</v>
      </c>
      <c r="C1877" t="s">
        <v>40</v>
      </c>
      <c r="D1877">
        <v>4.320621</v>
      </c>
      <c r="E1877">
        <v>0.5130323</v>
      </c>
      <c r="F1877" t="s">
        <v>42</v>
      </c>
      <c r="G1877">
        <v>-191.18620000000001</v>
      </c>
      <c r="H1877" s="1">
        <v>-1.8802720000000001E-6</v>
      </c>
      <c r="I1877">
        <v>312.90159999999997</v>
      </c>
      <c r="J1877">
        <v>-191.96690000000001</v>
      </c>
      <c r="K1877">
        <v>1.107799</v>
      </c>
      <c r="L1877">
        <v>346.6354</v>
      </c>
      <c r="M1877">
        <v>0.154086</v>
      </c>
      <c r="N1877">
        <v>0</v>
      </c>
      <c r="O1877">
        <v>-0.98805189999999998</v>
      </c>
      <c r="P1877">
        <v>5.4073879999999998E-2</v>
      </c>
      <c r="Q1877">
        <v>1.037981E-2</v>
      </c>
      <c r="R1877">
        <v>-0.99848289999999995</v>
      </c>
      <c r="S1877">
        <v>7.0632929999999997E-2</v>
      </c>
      <c r="T1877">
        <v>-9.8240380000000002E-2</v>
      </c>
      <c r="U1877">
        <v>-3.0021059999999999</v>
      </c>
      <c r="V1877">
        <v>0.10046239999999999</v>
      </c>
      <c r="W1877">
        <v>1.337757E-2</v>
      </c>
      <c r="X1877">
        <v>0.99485089999999998</v>
      </c>
      <c r="Y1877">
        <v>0.13081569999999901</v>
      </c>
      <c r="Z1877">
        <v>3.1975940000000001E-2</v>
      </c>
      <c r="AA1877">
        <v>0.99089090000000002</v>
      </c>
      <c r="AB1877">
        <v>12</v>
      </c>
      <c r="AC1877">
        <v>0.78069999999999595</v>
      </c>
      <c r="AD1877">
        <v>-1.1078008802720001</v>
      </c>
      <c r="AE1877">
        <v>-33.733800000000002</v>
      </c>
      <c r="AF1877">
        <v>4.4217923674738904</v>
      </c>
      <c r="AG1877">
        <v>-1.1078008802720001</v>
      </c>
      <c r="AH1877">
        <v>33.415206481743702</v>
      </c>
      <c r="AI1877">
        <v>91.882410583173197</v>
      </c>
      <c r="AJ1877">
        <v>82.461917286472897</v>
      </c>
      <c r="AK1877">
        <v>33.724701551666101</v>
      </c>
      <c r="AL1877">
        <v>89.233498822735498</v>
      </c>
      <c r="AM1877">
        <v>84.233684024418196</v>
      </c>
      <c r="AN1877">
        <v>0.99999998321183703</v>
      </c>
    </row>
    <row r="1878" spans="1:40" x14ac:dyDescent="0.25">
      <c r="A1878" t="str">
        <f>"20190312153923494"</f>
        <v>20190312153923494</v>
      </c>
      <c r="B1878" t="str">
        <f>"1552376363487863"</f>
        <v>1552376363487863</v>
      </c>
      <c r="C1878" t="s">
        <v>40</v>
      </c>
      <c r="D1878">
        <v>4.2615040000000004</v>
      </c>
      <c r="E1878">
        <v>0.51294689999999998</v>
      </c>
      <c r="F1878" t="s">
        <v>42</v>
      </c>
      <c r="G1878">
        <v>-191.3262</v>
      </c>
      <c r="H1878" s="1">
        <v>-2.4913370000000001E-6</v>
      </c>
      <c r="I1878">
        <v>314.1155</v>
      </c>
      <c r="J1878">
        <v>-191.95050000000001</v>
      </c>
      <c r="K1878">
        <v>1.107726</v>
      </c>
      <c r="L1878">
        <v>346.50619999999998</v>
      </c>
      <c r="M1878">
        <v>0.15087300000000001</v>
      </c>
      <c r="N1878">
        <v>0</v>
      </c>
      <c r="O1878">
        <v>-0.98854909999999996</v>
      </c>
      <c r="P1878">
        <v>5.0195650000000001E-2</v>
      </c>
      <c r="Q1878">
        <v>1.092721E-2</v>
      </c>
      <c r="R1878">
        <v>-0.9986796</v>
      </c>
      <c r="S1878">
        <v>5.9158330000000002E-2</v>
      </c>
      <c r="T1878">
        <v>-0.1022762</v>
      </c>
      <c r="U1878">
        <v>-3.0023499999999999</v>
      </c>
      <c r="V1878">
        <v>0.10109170000000001</v>
      </c>
      <c r="W1878">
        <v>1.3519649999999999E-2</v>
      </c>
      <c r="X1878">
        <v>0.99478520000000004</v>
      </c>
      <c r="Y1878">
        <v>0.13138029999999901</v>
      </c>
      <c r="Z1878">
        <v>3.3310699999999999E-2</v>
      </c>
      <c r="AA1878">
        <v>0.99077219999999999</v>
      </c>
      <c r="AB1878">
        <v>12</v>
      </c>
      <c r="AC1878">
        <v>0.62430000000000496</v>
      </c>
      <c r="AD1878">
        <v>-1.107728491337</v>
      </c>
      <c r="AE1878">
        <v>-32.390699999999903</v>
      </c>
      <c r="AF1878">
        <v>4.2647619058999302</v>
      </c>
      <c r="AG1878">
        <v>-1.107728491337</v>
      </c>
      <c r="AH1878">
        <v>32.076614147237599</v>
      </c>
      <c r="AI1878">
        <v>91.960617455068999</v>
      </c>
      <c r="AJ1878">
        <v>82.426628446221699</v>
      </c>
      <c r="AK1878">
        <v>32.377838588690501</v>
      </c>
      <c r="AL1878">
        <v>89.225357478902595</v>
      </c>
      <c r="AM1878">
        <v>84.197428711406602</v>
      </c>
      <c r="AN1878">
        <v>0.99999995344202497</v>
      </c>
    </row>
    <row r="1879" spans="1:40" x14ac:dyDescent="0.25">
      <c r="A1879" t="str">
        <f>"20190312153923518"</f>
        <v>20190312153923518</v>
      </c>
      <c r="B1879" t="str">
        <f>"1552376363507383"</f>
        <v>1552376363507383</v>
      </c>
      <c r="C1879" t="s">
        <v>40</v>
      </c>
      <c r="D1879">
        <v>4.2531140000000001</v>
      </c>
      <c r="E1879">
        <v>0.51273550000000001</v>
      </c>
      <c r="F1879" t="s">
        <v>42</v>
      </c>
      <c r="G1879">
        <v>-191.43100000000001</v>
      </c>
      <c r="H1879" s="1">
        <v>-2.4979729999999999E-6</v>
      </c>
      <c r="I1879">
        <v>314.07060000000001</v>
      </c>
      <c r="J1879">
        <v>-191.93360000000001</v>
      </c>
      <c r="K1879">
        <v>1.1076490000000001</v>
      </c>
      <c r="L1879">
        <v>346.37009999999998</v>
      </c>
      <c r="M1879">
        <v>0.14751610000000001</v>
      </c>
      <c r="N1879">
        <v>0</v>
      </c>
      <c r="O1879">
        <v>-0.98905690000000002</v>
      </c>
      <c r="P1879">
        <v>4.6487590000000002E-2</v>
      </c>
      <c r="Q1879">
        <v>1.193518E-2</v>
      </c>
      <c r="R1879">
        <v>-0.99884799999999996</v>
      </c>
      <c r="S1879">
        <v>4.8095699999999998E-2</v>
      </c>
      <c r="T1879">
        <v>-0.1025476</v>
      </c>
      <c r="U1879">
        <v>-3.0027159999999999</v>
      </c>
      <c r="V1879">
        <v>0.1014082</v>
      </c>
      <c r="W1879">
        <v>1.4108020000000001E-2</v>
      </c>
      <c r="X1879">
        <v>0.99474479999999998</v>
      </c>
      <c r="Y1879">
        <v>0.13166610000000001</v>
      </c>
      <c r="Z1879">
        <v>3.3421239999999998E-2</v>
      </c>
      <c r="AA1879">
        <v>0.99073060000000002</v>
      </c>
      <c r="AB1879">
        <v>13</v>
      </c>
      <c r="AC1879">
        <v>0.50260000000002902</v>
      </c>
      <c r="AD1879">
        <v>-1.1076514979730001</v>
      </c>
      <c r="AE1879">
        <v>-32.299499999999902</v>
      </c>
      <c r="AF1879">
        <v>4.2625962161195599</v>
      </c>
      <c r="AG1879">
        <v>-1.1076514979730001</v>
      </c>
      <c r="AH1879">
        <v>31.982669018583699</v>
      </c>
      <c r="AI1879">
        <v>91.9661524868269</v>
      </c>
      <c r="AJ1879">
        <v>82.408453944689796</v>
      </c>
      <c r="AK1879">
        <v>32.2844813477763</v>
      </c>
      <c r="AL1879">
        <v>89.191643129852494</v>
      </c>
      <c r="AM1879">
        <v>84.179151669472901</v>
      </c>
      <c r="AN1879">
        <v>0.99999993819129795</v>
      </c>
    </row>
    <row r="1880" spans="1:40" x14ac:dyDescent="0.25">
      <c r="A1880" t="str">
        <f>"20190312153923539"</f>
        <v>20190312153923539</v>
      </c>
      <c r="B1880" t="str">
        <f>"1552376363527892"</f>
        <v>1552376363527892</v>
      </c>
      <c r="C1880" t="s">
        <v>40</v>
      </c>
      <c r="D1880">
        <v>4.1621889999999997</v>
      </c>
      <c r="E1880">
        <v>0.51272329999999999</v>
      </c>
      <c r="F1880" t="s">
        <v>42</v>
      </c>
      <c r="G1880">
        <v>-191.5127</v>
      </c>
      <c r="H1880" s="1">
        <v>-2.3713040000000002E-6</v>
      </c>
      <c r="I1880">
        <v>313.75659999999999</v>
      </c>
      <c r="J1880">
        <v>-191.91829999999999</v>
      </c>
      <c r="K1880">
        <v>1.1075919999999999</v>
      </c>
      <c r="L1880">
        <v>346.24369999999999</v>
      </c>
      <c r="M1880">
        <v>0.14443249999999999</v>
      </c>
      <c r="N1880">
        <v>0</v>
      </c>
      <c r="O1880">
        <v>-0.98951250000000002</v>
      </c>
      <c r="P1880">
        <v>4.2934809999999997E-2</v>
      </c>
      <c r="Q1880">
        <v>1.302798E-2</v>
      </c>
      <c r="R1880">
        <v>-0.99899329999999997</v>
      </c>
      <c r="S1880">
        <v>3.8757319999999998E-2</v>
      </c>
      <c r="T1880">
        <v>-0.1019863</v>
      </c>
      <c r="U1880">
        <v>-3.002869</v>
      </c>
      <c r="V1880">
        <v>0.1018459</v>
      </c>
      <c r="W1880">
        <v>1.481843E-2</v>
      </c>
      <c r="X1880">
        <v>0.99468979999999996</v>
      </c>
      <c r="Y1880">
        <v>0.13165729999999901</v>
      </c>
      <c r="Z1880">
        <v>3.3260680000000001E-2</v>
      </c>
      <c r="AA1880">
        <v>0.99073710000000004</v>
      </c>
      <c r="AB1880">
        <v>13</v>
      </c>
      <c r="AC1880">
        <v>0.40559999999999202</v>
      </c>
      <c r="AD1880">
        <v>-1.107594371304</v>
      </c>
      <c r="AE1880">
        <v>-32.487099999999998</v>
      </c>
      <c r="AF1880">
        <v>4.28587501058563</v>
      </c>
      <c r="AG1880">
        <v>-1.107594371304</v>
      </c>
      <c r="AH1880">
        <v>32.167657563371499</v>
      </c>
      <c r="AI1880">
        <v>91.954764608061595</v>
      </c>
      <c r="AJ1880">
        <v>82.410862352633401</v>
      </c>
      <c r="AK1880">
        <v>32.47081278644</v>
      </c>
      <c r="AL1880">
        <v>89.150935414166696</v>
      </c>
      <c r="AM1880">
        <v>84.153880241856498</v>
      </c>
      <c r="AN1880">
        <v>0.99999998571925697</v>
      </c>
    </row>
    <row r="1881" spans="1:40" x14ac:dyDescent="0.25">
      <c r="A1881" t="str">
        <f>"20190312153923563"</f>
        <v>20190312153923563</v>
      </c>
      <c r="B1881" t="str">
        <f>"1552376363558134"</f>
        <v>1552376363558134</v>
      </c>
      <c r="C1881" t="s">
        <v>40</v>
      </c>
      <c r="D1881">
        <v>4.1631140000000002</v>
      </c>
      <c r="E1881">
        <v>0.5126925</v>
      </c>
      <c r="F1881" t="s">
        <v>42</v>
      </c>
      <c r="G1881">
        <v>-191.59780000000001</v>
      </c>
      <c r="H1881" s="1">
        <v>-1.8567590000000001E-6</v>
      </c>
      <c r="I1881">
        <v>312.62020000000001</v>
      </c>
      <c r="J1881">
        <v>-191.9014</v>
      </c>
      <c r="K1881">
        <v>1.1075200000000001</v>
      </c>
      <c r="L1881">
        <v>346.10050000000001</v>
      </c>
      <c r="M1881">
        <v>0.14098559999999999</v>
      </c>
      <c r="N1881">
        <v>0</v>
      </c>
      <c r="O1881">
        <v>-0.99001030000000001</v>
      </c>
      <c r="P1881">
        <v>3.8860789999999999E-2</v>
      </c>
      <c r="Q1881">
        <v>1.379581E-2</v>
      </c>
      <c r="R1881">
        <v>-0.99914950000000002</v>
      </c>
      <c r="S1881">
        <v>2.862549E-2</v>
      </c>
      <c r="T1881">
        <v>-9.8923800000000006E-2</v>
      </c>
      <c r="U1881">
        <v>-3.0030519999999998</v>
      </c>
      <c r="V1881">
        <v>0.1024381</v>
      </c>
      <c r="W1881">
        <v>1.516553E-2</v>
      </c>
      <c r="X1881">
        <v>0.99462379999999995</v>
      </c>
      <c r="Y1881">
        <v>0.13154759999999999</v>
      </c>
      <c r="Z1881">
        <v>3.2286380000000003E-2</v>
      </c>
      <c r="AA1881">
        <v>0.99078390000000005</v>
      </c>
      <c r="AB1881">
        <v>13</v>
      </c>
      <c r="AC1881">
        <v>0.30359999999998799</v>
      </c>
      <c r="AD1881">
        <v>-1.1075218567589999</v>
      </c>
      <c r="AE1881">
        <v>-33.4803</v>
      </c>
      <c r="AF1881">
        <v>4.4148482943052798</v>
      </c>
      <c r="AG1881">
        <v>-1.1075218567589999</v>
      </c>
      <c r="AH1881">
        <v>33.152414494091303</v>
      </c>
      <c r="AI1881">
        <v>91.896636087238207</v>
      </c>
      <c r="AJ1881">
        <v>82.414651430040195</v>
      </c>
      <c r="AK1881">
        <v>33.463414005641503</v>
      </c>
      <c r="AL1881">
        <v>89.131045852384304</v>
      </c>
      <c r="AM1881">
        <v>84.1197370503386</v>
      </c>
      <c r="AN1881">
        <v>1.0000000305791099</v>
      </c>
    </row>
    <row r="1882" spans="1:40" x14ac:dyDescent="0.25">
      <c r="A1882" t="str">
        <f>"20190312153923586"</f>
        <v>20190312153923586</v>
      </c>
      <c r="B1882" t="str">
        <f>"1552376363577655"</f>
        <v>1552376363577655</v>
      </c>
      <c r="C1882" t="s">
        <v>40</v>
      </c>
      <c r="D1882">
        <v>4.1620900000000001</v>
      </c>
      <c r="E1882">
        <v>0.51261559999999995</v>
      </c>
      <c r="F1882" t="s">
        <v>42</v>
      </c>
      <c r="G1882">
        <v>-191.69749999999999</v>
      </c>
      <c r="H1882" s="1">
        <v>-4.5452390000000001E-6</v>
      </c>
      <c r="I1882">
        <v>309.45830000000001</v>
      </c>
      <c r="J1882">
        <v>-191.88489999999999</v>
      </c>
      <c r="K1882">
        <v>1.107443</v>
      </c>
      <c r="L1882">
        <v>345.95699999999999</v>
      </c>
      <c r="M1882">
        <v>0.1375826</v>
      </c>
      <c r="N1882">
        <v>0</v>
      </c>
      <c r="O1882">
        <v>-0.99048950000000002</v>
      </c>
      <c r="P1882">
        <v>3.5374610000000001E-2</v>
      </c>
      <c r="Q1882">
        <v>1.332088E-2</v>
      </c>
      <c r="R1882">
        <v>-0.99928550000000005</v>
      </c>
      <c r="S1882">
        <v>1.670837E-2</v>
      </c>
      <c r="T1882">
        <v>-9.0773110000000004E-2</v>
      </c>
      <c r="U1882">
        <v>-3.0032040000000002</v>
      </c>
      <c r="V1882">
        <v>0.1024891</v>
      </c>
      <c r="W1882">
        <v>1.428538E-2</v>
      </c>
      <c r="X1882">
        <v>0.9946315</v>
      </c>
      <c r="Y1882">
        <v>0.1320723</v>
      </c>
      <c r="Z1882">
        <v>2.9648239999999999E-2</v>
      </c>
      <c r="AA1882">
        <v>0.99079660000000003</v>
      </c>
      <c r="AB1882">
        <v>13</v>
      </c>
      <c r="AC1882">
        <v>0.18739999999999599</v>
      </c>
      <c r="AD1882">
        <v>-1.107447545239</v>
      </c>
      <c r="AE1882">
        <v>-36.4986999999999</v>
      </c>
      <c r="AF1882">
        <v>4.8315241327743896</v>
      </c>
      <c r="AG1882">
        <v>-1.107447545239</v>
      </c>
      <c r="AH1882">
        <v>36.144115675635803</v>
      </c>
      <c r="AI1882">
        <v>91.739517679902406</v>
      </c>
      <c r="AJ1882">
        <v>82.386186495553801</v>
      </c>
      <c r="AK1882">
        <v>36.482422664685799</v>
      </c>
      <c r="AL1882">
        <v>89.181480138689295</v>
      </c>
      <c r="AM1882">
        <v>84.116875247530899</v>
      </c>
      <c r="AN1882">
        <v>0.99999995424640098</v>
      </c>
    </row>
    <row r="1883" spans="1:40" x14ac:dyDescent="0.25">
      <c r="A1883" t="str">
        <f>"20190312153923606"</f>
        <v>20190312153923606</v>
      </c>
      <c r="B1883" t="str">
        <f>"1552376363598151"</f>
        <v>1552376363598151</v>
      </c>
      <c r="C1883" t="s">
        <v>40</v>
      </c>
      <c r="D1883">
        <v>4.1153459999999997</v>
      </c>
      <c r="E1883">
        <v>0.51247109999999996</v>
      </c>
      <c r="F1883" t="s">
        <v>42</v>
      </c>
      <c r="G1883">
        <v>-191.8031</v>
      </c>
      <c r="H1883" s="1">
        <v>-4.311379E-6</v>
      </c>
      <c r="I1883">
        <v>308.71609999999998</v>
      </c>
      <c r="J1883">
        <v>-191.87</v>
      </c>
      <c r="K1883">
        <v>1.107378</v>
      </c>
      <c r="L1883">
        <v>345.82420000000002</v>
      </c>
      <c r="M1883">
        <v>0.1344862</v>
      </c>
      <c r="N1883">
        <v>0</v>
      </c>
      <c r="O1883">
        <v>-0.99091510000000005</v>
      </c>
      <c r="P1883">
        <v>3.2352510000000001E-2</v>
      </c>
      <c r="Q1883">
        <v>1.3739370000000001E-2</v>
      </c>
      <c r="R1883">
        <v>-0.99938229999999995</v>
      </c>
      <c r="S1883">
        <v>6.5917969999999999E-3</v>
      </c>
      <c r="T1883">
        <v>-8.9305640000000006E-2</v>
      </c>
      <c r="U1883">
        <v>-3.0031430000000001</v>
      </c>
      <c r="V1883">
        <v>0.1023881</v>
      </c>
      <c r="W1883">
        <v>1.434212E-2</v>
      </c>
      <c r="X1883">
        <v>0.99464109999999994</v>
      </c>
      <c r="Y1883">
        <v>0.1323116</v>
      </c>
      <c r="Z1883">
        <v>2.9188579999999999E-2</v>
      </c>
      <c r="AA1883">
        <v>0.9907783</v>
      </c>
      <c r="AB1883">
        <v>14</v>
      </c>
      <c r="AC1883">
        <v>6.6900000000003901E-2</v>
      </c>
      <c r="AD1883">
        <v>-1.107382311379</v>
      </c>
      <c r="AE1883">
        <v>-37.1081</v>
      </c>
      <c r="AF1883">
        <v>4.91985556972719</v>
      </c>
      <c r="AG1883">
        <v>-1.107382311379</v>
      </c>
      <c r="AH1883">
        <v>36.747261987223602</v>
      </c>
      <c r="AI1883">
        <v>91.710835597033693</v>
      </c>
      <c r="AJ1883">
        <v>82.374381854233704</v>
      </c>
      <c r="AK1883">
        <v>37.091677475791997</v>
      </c>
      <c r="AL1883">
        <v>89.178228854736503</v>
      </c>
      <c r="AM1883">
        <v>84.1226886190084</v>
      </c>
      <c r="AN1883">
        <v>0.99999996861845597</v>
      </c>
    </row>
    <row r="1884" spans="1:40" x14ac:dyDescent="0.25">
      <c r="A1884" t="str">
        <f>"20190312153923629"</f>
        <v>20190312153923629</v>
      </c>
      <c r="B1884" t="str">
        <f>"1552376363617671"</f>
        <v>1552376363617671</v>
      </c>
      <c r="C1884" t="s">
        <v>40</v>
      </c>
      <c r="D1884">
        <v>4.1241949999999896</v>
      </c>
      <c r="E1884">
        <v>0.51227889999999998</v>
      </c>
      <c r="F1884" t="s">
        <v>42</v>
      </c>
      <c r="G1884">
        <v>-191.887</v>
      </c>
      <c r="H1884" s="1">
        <v>-3.6650859999999999E-6</v>
      </c>
      <c r="I1884">
        <v>306.9622</v>
      </c>
      <c r="J1884">
        <v>-191.85480000000001</v>
      </c>
      <c r="K1884">
        <v>1.107313</v>
      </c>
      <c r="L1884">
        <v>345.68579999999997</v>
      </c>
      <c r="M1884">
        <v>0.13131889999999999</v>
      </c>
      <c r="N1884">
        <v>0</v>
      </c>
      <c r="O1884">
        <v>-0.99133990000000005</v>
      </c>
      <c r="P1884">
        <v>3.0020109999999999E-2</v>
      </c>
      <c r="Q1884">
        <v>1.370885E-2</v>
      </c>
      <c r="R1884">
        <v>-0.99945519999999999</v>
      </c>
      <c r="S1884">
        <v>-1.3122559999999999E-3</v>
      </c>
      <c r="T1884">
        <v>-8.5573430000000006E-2</v>
      </c>
      <c r="U1884">
        <v>-3.003082</v>
      </c>
      <c r="V1884">
        <v>0.10153</v>
      </c>
      <c r="W1884">
        <v>1.395067E-2</v>
      </c>
      <c r="X1884">
        <v>0.99473460000000002</v>
      </c>
      <c r="Y1884">
        <v>0.1317517</v>
      </c>
      <c r="Z1884">
        <v>2.798954E-2</v>
      </c>
      <c r="AA1884">
        <v>0.99088750000000003</v>
      </c>
      <c r="AB1884">
        <v>14</v>
      </c>
      <c r="AC1884">
        <v>-3.2199999999988897E-2</v>
      </c>
      <c r="AD1884">
        <v>-1.107316665086</v>
      </c>
      <c r="AE1884">
        <v>-38.723599999999898</v>
      </c>
      <c r="AF1884">
        <v>5.1128823220072102</v>
      </c>
      <c r="AG1884">
        <v>-1.107316665086</v>
      </c>
      <c r="AH1884">
        <v>38.352670993640203</v>
      </c>
      <c r="AI1884">
        <v>91.639287183822702</v>
      </c>
      <c r="AJ1884">
        <v>82.406541379920398</v>
      </c>
      <c r="AK1884">
        <v>38.707816887314699</v>
      </c>
      <c r="AL1884">
        <v>89.200659512738596</v>
      </c>
      <c r="AM1884">
        <v>84.1721490737728</v>
      </c>
      <c r="AN1884">
        <v>0.99999994326530295</v>
      </c>
    </row>
    <row r="1885" spans="1:40" x14ac:dyDescent="0.25">
      <c r="A1885" t="str">
        <f>"20190312153923650"</f>
        <v>20190312153923650</v>
      </c>
      <c r="B1885" t="str">
        <f>"1552376363638167"</f>
        <v>1552376363638167</v>
      </c>
      <c r="C1885" t="s">
        <v>40</v>
      </c>
      <c r="D1885">
        <v>4.1632530000000001</v>
      </c>
      <c r="E1885">
        <v>0.51200409999999996</v>
      </c>
      <c r="F1885" t="s">
        <v>42</v>
      </c>
      <c r="G1885">
        <v>-191.94499999999999</v>
      </c>
      <c r="H1885" s="1">
        <v>-3.215318E-6</v>
      </c>
      <c r="I1885">
        <v>305.8777</v>
      </c>
      <c r="J1885">
        <v>-191.84</v>
      </c>
      <c r="K1885">
        <v>1.107253</v>
      </c>
      <c r="L1885">
        <v>345.54719999999998</v>
      </c>
      <c r="M1885">
        <v>0.1282182</v>
      </c>
      <c r="N1885">
        <v>0</v>
      </c>
      <c r="O1885">
        <v>-0.99174609999999996</v>
      </c>
      <c r="P1885">
        <v>2.7920569999999999E-2</v>
      </c>
      <c r="Q1885">
        <v>1.2741260000000001E-2</v>
      </c>
      <c r="R1885">
        <v>-0.99952890000000005</v>
      </c>
      <c r="S1885">
        <v>-6.8054200000000004E-3</v>
      </c>
      <c r="T1885">
        <v>-8.3532330000000002E-2</v>
      </c>
      <c r="U1885">
        <v>-3.0029910000000002</v>
      </c>
      <c r="V1885">
        <v>0.1005066</v>
      </c>
      <c r="W1885">
        <v>1.2636629999999999E-2</v>
      </c>
      <c r="X1885">
        <v>0.99485610000000002</v>
      </c>
      <c r="Y1885">
        <v>0.13046430000000001</v>
      </c>
      <c r="Z1885">
        <v>2.734253E-2</v>
      </c>
      <c r="AA1885">
        <v>0.99107590000000001</v>
      </c>
      <c r="AB1885">
        <v>14</v>
      </c>
      <c r="AC1885">
        <v>-0.104999999999989</v>
      </c>
      <c r="AD1885">
        <v>-1.1072562153179999</v>
      </c>
      <c r="AE1885">
        <v>-39.6694999999999</v>
      </c>
      <c r="AF1885">
        <v>5.1864439855518896</v>
      </c>
      <c r="AG1885">
        <v>-1.1072562153179999</v>
      </c>
      <c r="AH1885">
        <v>39.2979882931375</v>
      </c>
      <c r="AI1885">
        <v>91.600065670442405</v>
      </c>
      <c r="AJ1885">
        <v>82.481705733021698</v>
      </c>
      <c r="AK1885">
        <v>39.654219213460699</v>
      </c>
      <c r="AL1885">
        <v>89.275955134394806</v>
      </c>
      <c r="AM1885">
        <v>84.231194100754706</v>
      </c>
      <c r="AN1885">
        <v>0.99999996038426198</v>
      </c>
    </row>
    <row r="1886" spans="1:40" x14ac:dyDescent="0.25">
      <c r="A1886" t="str">
        <f>"20190312153923673"</f>
        <v>20190312153923673</v>
      </c>
      <c r="B1886" t="str">
        <f>"1552376363667447"</f>
        <v>1552376363667447</v>
      </c>
      <c r="C1886" t="s">
        <v>40</v>
      </c>
      <c r="D1886">
        <v>4.0963240000000001</v>
      </c>
      <c r="E1886">
        <v>0.51145079999999998</v>
      </c>
      <c r="F1886" t="s">
        <v>42</v>
      </c>
      <c r="G1886">
        <v>-191.98159999999999</v>
      </c>
      <c r="H1886" s="1">
        <v>-3.4379909999999999E-6</v>
      </c>
      <c r="I1886">
        <v>306.3741</v>
      </c>
      <c r="J1886">
        <v>-191.8246</v>
      </c>
      <c r="K1886">
        <v>1.1071959999999901</v>
      </c>
      <c r="L1886">
        <v>345.39929999999998</v>
      </c>
      <c r="M1886">
        <v>0.1249895</v>
      </c>
      <c r="N1886">
        <v>0</v>
      </c>
      <c r="O1886">
        <v>-0.99215810000000004</v>
      </c>
      <c r="P1886">
        <v>2.6035510000000001E-2</v>
      </c>
      <c r="Q1886">
        <v>1.2091859999999999E-2</v>
      </c>
      <c r="R1886">
        <v>-0.99958800000000003</v>
      </c>
      <c r="S1886">
        <v>-1.0848999999999999E-2</v>
      </c>
      <c r="T1886">
        <v>-8.4875699999999998E-2</v>
      </c>
      <c r="U1886">
        <v>-3.002777</v>
      </c>
      <c r="V1886">
        <v>9.9142499999999995E-2</v>
      </c>
      <c r="W1886">
        <v>1.163725E-2</v>
      </c>
      <c r="X1886">
        <v>0.99500520000000003</v>
      </c>
      <c r="Y1886">
        <v>0.12857180000000001</v>
      </c>
      <c r="Z1886">
        <v>2.7804769999999999E-2</v>
      </c>
      <c r="AA1886">
        <v>0.99131040000000004</v>
      </c>
      <c r="AB1886">
        <v>14</v>
      </c>
      <c r="AC1886">
        <v>-0.15699999999998199</v>
      </c>
      <c r="AD1886">
        <v>-1.107199437991</v>
      </c>
      <c r="AE1886">
        <v>-39.025199999999899</v>
      </c>
      <c r="AF1886">
        <v>5.0294605505052301</v>
      </c>
      <c r="AG1886">
        <v>-1.107199437991</v>
      </c>
      <c r="AH1886">
        <v>38.668418463769598</v>
      </c>
      <c r="AI1886">
        <v>91.626419597749504</v>
      </c>
      <c r="AJ1886">
        <v>82.589348777659893</v>
      </c>
      <c r="AK1886">
        <v>39.009844276974199</v>
      </c>
      <c r="AL1886">
        <v>89.333219642404401</v>
      </c>
      <c r="AM1886">
        <v>84.309819477773502</v>
      </c>
      <c r="AN1886">
        <v>1.00000000446042</v>
      </c>
    </row>
    <row r="1887" spans="1:40" x14ac:dyDescent="0.25">
      <c r="A1887" t="str">
        <f>"20190312153923695"</f>
        <v>20190312153923695</v>
      </c>
      <c r="B1887" t="str">
        <f>"1552376363687943"</f>
        <v>1552376363687943</v>
      </c>
      <c r="C1887" t="s">
        <v>40</v>
      </c>
      <c r="D1887">
        <v>4.1439830000000004</v>
      </c>
      <c r="E1887">
        <v>0.51110089999999997</v>
      </c>
      <c r="F1887" t="s">
        <v>42</v>
      </c>
      <c r="G1887">
        <v>-191.98310000000001</v>
      </c>
      <c r="H1887" s="1">
        <v>-3.6001250000000001E-6</v>
      </c>
      <c r="I1887">
        <v>306.75119999999998</v>
      </c>
      <c r="J1887">
        <v>-191.809</v>
      </c>
      <c r="K1887">
        <v>1.107156</v>
      </c>
      <c r="L1887">
        <v>345.24669999999998</v>
      </c>
      <c r="M1887">
        <v>0.1217509</v>
      </c>
      <c r="N1887">
        <v>0</v>
      </c>
      <c r="O1887">
        <v>-0.99256060000000002</v>
      </c>
      <c r="P1887">
        <v>2.4480539999999999E-2</v>
      </c>
      <c r="Q1887">
        <v>1.3284580000000001E-2</v>
      </c>
      <c r="R1887">
        <v>-0.99961219999999995</v>
      </c>
      <c r="S1887">
        <v>-1.231384E-2</v>
      </c>
      <c r="T1887">
        <v>-8.6017969999999999E-2</v>
      </c>
      <c r="U1887">
        <v>-3.0025629999999999</v>
      </c>
      <c r="V1887">
        <v>9.7443539999999995E-2</v>
      </c>
      <c r="W1887">
        <v>1.2493590000000001E-2</v>
      </c>
      <c r="X1887">
        <v>0.99516260000000001</v>
      </c>
      <c r="Y1887">
        <v>0.12581869999999901</v>
      </c>
      <c r="Z1887">
        <v>2.8202990000000001E-2</v>
      </c>
      <c r="AA1887">
        <v>0.99165230000000004</v>
      </c>
      <c r="AB1887">
        <v>15</v>
      </c>
      <c r="AC1887">
        <v>-0.17409999999998099</v>
      </c>
      <c r="AD1887">
        <v>-1.1071596001249999</v>
      </c>
      <c r="AE1887">
        <v>-38.4954999999999</v>
      </c>
      <c r="AF1887">
        <v>4.8556505738524596</v>
      </c>
      <c r="AG1887">
        <v>-1.1071596001249999</v>
      </c>
      <c r="AH1887">
        <v>38.1563614915258</v>
      </c>
      <c r="AI1887">
        <v>91.648760753549595</v>
      </c>
      <c r="AJ1887">
        <v>82.747712110474794</v>
      </c>
      <c r="AK1887">
        <v>38.480008668755502</v>
      </c>
      <c r="AL1887">
        <v>89.284151374707704</v>
      </c>
      <c r="AM1887">
        <v>84.407584907968698</v>
      </c>
      <c r="AN1887">
        <v>0.999999966858789</v>
      </c>
    </row>
    <row r="1888" spans="1:40" x14ac:dyDescent="0.25">
      <c r="A1888" t="str">
        <f>"20190312153923719"</f>
        <v>20190312153923719</v>
      </c>
      <c r="B1888" t="str">
        <f>"1552376363707463"</f>
        <v>1552376363707463</v>
      </c>
      <c r="C1888" t="s">
        <v>40</v>
      </c>
      <c r="D1888">
        <v>4.1280320000000001</v>
      </c>
      <c r="E1888">
        <v>0.51072919999999999</v>
      </c>
      <c r="F1888" t="s">
        <v>42</v>
      </c>
      <c r="G1888">
        <v>-192.00290000000001</v>
      </c>
      <c r="H1888" s="1">
        <v>-2.6343630000000002E-6</v>
      </c>
      <c r="I1888">
        <v>304.48759999999999</v>
      </c>
      <c r="J1888">
        <v>-191.79339999999999</v>
      </c>
      <c r="K1888">
        <v>1.107113</v>
      </c>
      <c r="L1888">
        <v>345.08839999999998</v>
      </c>
      <c r="M1888">
        <v>0.1185089</v>
      </c>
      <c r="N1888">
        <v>0</v>
      </c>
      <c r="O1888">
        <v>-0.99295259999999996</v>
      </c>
      <c r="P1888">
        <v>2.348304E-2</v>
      </c>
      <c r="Q1888">
        <v>1.4424350000000001E-2</v>
      </c>
      <c r="R1888">
        <v>-0.99962010000000001</v>
      </c>
      <c r="S1888">
        <v>-1.428223E-2</v>
      </c>
      <c r="T1888">
        <v>-8.1560969999999997E-2</v>
      </c>
      <c r="U1888">
        <v>-3.0025940000000002</v>
      </c>
      <c r="V1888">
        <v>9.5186839999999995E-2</v>
      </c>
      <c r="W1888">
        <v>1.331368E-2</v>
      </c>
      <c r="X1888">
        <v>0.99537039999999999</v>
      </c>
      <c r="Y1888">
        <v>0.1232288</v>
      </c>
      <c r="Z1888">
        <v>2.676284E-2</v>
      </c>
      <c r="AA1888">
        <v>0.99201729999999999</v>
      </c>
      <c r="AB1888">
        <v>15</v>
      </c>
      <c r="AC1888">
        <v>-0.209500000000019</v>
      </c>
      <c r="AD1888">
        <v>-1.107115634363</v>
      </c>
      <c r="AE1888">
        <v>-40.6007999999999</v>
      </c>
      <c r="AF1888">
        <v>5.0158521670187302</v>
      </c>
      <c r="AG1888">
        <v>-1.107115634363</v>
      </c>
      <c r="AH1888">
        <v>40.259922991141003</v>
      </c>
      <c r="AI1888">
        <v>91.563112642034298</v>
      </c>
      <c r="AJ1888">
        <v>82.898299159848406</v>
      </c>
      <c r="AK1888">
        <v>40.586276957142097</v>
      </c>
      <c r="AL1888">
        <v>89.237159797299</v>
      </c>
      <c r="AM1888">
        <v>84.5374407470443</v>
      </c>
      <c r="AN1888">
        <v>1.00000001089024</v>
      </c>
    </row>
    <row r="1889" spans="1:40" x14ac:dyDescent="0.25">
      <c r="A1889" t="str">
        <f>"20190312153923739"</f>
        <v>20190312153923739</v>
      </c>
      <c r="B1889" t="str">
        <f>"1552376363727962"</f>
        <v>1552376363727962</v>
      </c>
      <c r="C1889" t="s">
        <v>40</v>
      </c>
      <c r="D1889">
        <v>4.131348</v>
      </c>
      <c r="E1889">
        <v>0.51036619999999999</v>
      </c>
      <c r="F1889" t="s">
        <v>42</v>
      </c>
      <c r="G1889">
        <v>-191.9973</v>
      </c>
      <c r="H1889" s="1">
        <v>-1.7573429999999901E-6</v>
      </c>
      <c r="I1889">
        <v>302.4468</v>
      </c>
      <c r="J1889">
        <v>-191.77889999999999</v>
      </c>
      <c r="K1889">
        <v>1.107084</v>
      </c>
      <c r="L1889">
        <v>344.93860000000001</v>
      </c>
      <c r="M1889">
        <v>0.1155518</v>
      </c>
      <c r="N1889">
        <v>0</v>
      </c>
      <c r="O1889">
        <v>-0.99330099999999999</v>
      </c>
      <c r="P1889">
        <v>2.3605859999999999E-2</v>
      </c>
      <c r="Q1889">
        <v>1.344218E-2</v>
      </c>
      <c r="R1889">
        <v>-0.99963120000000005</v>
      </c>
      <c r="S1889">
        <v>-1.435852E-2</v>
      </c>
      <c r="T1889">
        <v>-7.795858E-2</v>
      </c>
      <c r="U1889">
        <v>-3.0026549999999999</v>
      </c>
      <c r="V1889">
        <v>9.2097799999999994E-2</v>
      </c>
      <c r="W1889">
        <v>1.206017E-2</v>
      </c>
      <c r="X1889">
        <v>0.99567689999999998</v>
      </c>
      <c r="Y1889">
        <v>0.12029860000000001</v>
      </c>
      <c r="Z1889">
        <v>2.5599299999999998E-2</v>
      </c>
      <c r="AA1889">
        <v>0.99240759999999995</v>
      </c>
      <c r="AB1889">
        <v>15</v>
      </c>
      <c r="AC1889">
        <v>-0.21840000000000201</v>
      </c>
      <c r="AD1889">
        <v>-1.107085757343</v>
      </c>
      <c r="AE1889">
        <v>-42.491799999999998</v>
      </c>
      <c r="AF1889">
        <v>5.1234654333320799</v>
      </c>
      <c r="AG1889">
        <v>-1.107085757343</v>
      </c>
      <c r="AH1889">
        <v>42.153316401361003</v>
      </c>
      <c r="AI1889">
        <v>91.493445431373701</v>
      </c>
      <c r="AJ1889">
        <v>83.070056817146593</v>
      </c>
      <c r="AK1889">
        <v>42.477966294938199</v>
      </c>
      <c r="AL1889">
        <v>89.308986386884698</v>
      </c>
      <c r="AM1889">
        <v>84.7153108931482</v>
      </c>
      <c r="AN1889">
        <v>0.99999997082943903</v>
      </c>
    </row>
    <row r="1890" spans="1:40" x14ac:dyDescent="0.25">
      <c r="A1890" t="str">
        <f>"20190312153923765"</f>
        <v>20190312153923765</v>
      </c>
      <c r="B1890" t="str">
        <f>"1552376363758214"</f>
        <v>1552376363758214</v>
      </c>
      <c r="C1890" t="s">
        <v>40</v>
      </c>
      <c r="D1890">
        <v>4.0890300000000002</v>
      </c>
      <c r="E1890">
        <v>0.50290509999999999</v>
      </c>
      <c r="F1890" t="s">
        <v>42</v>
      </c>
      <c r="G1890">
        <v>-191.9342</v>
      </c>
      <c r="H1890" s="1">
        <v>-2.2318680000000001E-6</v>
      </c>
      <c r="I1890">
        <v>303.59199999999998</v>
      </c>
      <c r="J1890">
        <v>-191.7627</v>
      </c>
      <c r="K1890">
        <v>1.1070500000000001</v>
      </c>
      <c r="L1890">
        <v>344.76659999999998</v>
      </c>
      <c r="M1890">
        <v>0.11228109999999999</v>
      </c>
      <c r="N1890">
        <v>0</v>
      </c>
      <c r="O1890">
        <v>-0.99367550000000004</v>
      </c>
      <c r="P1890">
        <v>2.2304109999999999E-2</v>
      </c>
      <c r="Q1890">
        <v>1.143487E-2</v>
      </c>
      <c r="R1890">
        <v>-0.99968599999999996</v>
      </c>
      <c r="S1890">
        <v>-1.127625E-2</v>
      </c>
      <c r="T1890">
        <v>-8.0393549999999994E-2</v>
      </c>
      <c r="U1890">
        <v>-3.002472</v>
      </c>
      <c r="V1890">
        <v>9.0112159999999997E-2</v>
      </c>
      <c r="W1890">
        <v>9.7662489999999994E-3</v>
      </c>
      <c r="X1890">
        <v>0.99588379999999999</v>
      </c>
      <c r="Y1890">
        <v>0.1160109</v>
      </c>
      <c r="Z1890">
        <v>2.642187E-2</v>
      </c>
      <c r="AA1890">
        <v>0.99289640000000001</v>
      </c>
      <c r="AB1890">
        <v>16</v>
      </c>
      <c r="AC1890">
        <v>-0.17150000000000801</v>
      </c>
      <c r="AD1890">
        <v>-1.1070522318680001</v>
      </c>
      <c r="AE1890">
        <v>-41.174599999999998</v>
      </c>
      <c r="AF1890">
        <v>4.7900867272712997</v>
      </c>
      <c r="AG1890">
        <v>-1.1070522318680001</v>
      </c>
      <c r="AH1890">
        <v>40.865433957548802</v>
      </c>
      <c r="AI1890">
        <v>91.541227158573193</v>
      </c>
      <c r="AJ1890">
        <v>83.314519528061695</v>
      </c>
      <c r="AK1890">
        <v>41.160104324912098</v>
      </c>
      <c r="AL1890">
        <v>89.440426289787098</v>
      </c>
      <c r="AM1890">
        <v>84.829693469458903</v>
      </c>
      <c r="AN1890">
        <v>1.00000006205091</v>
      </c>
    </row>
    <row r="1891" spans="1:40" x14ac:dyDescent="0.25">
      <c r="A1891" t="str">
        <f>"20190312153923787"</f>
        <v>20190312153923787</v>
      </c>
      <c r="B1891" t="str">
        <f>"1552376363777735"</f>
        <v>1552376363777735</v>
      </c>
      <c r="C1891" t="s">
        <v>40</v>
      </c>
      <c r="D1891">
        <v>4.1071970000000002</v>
      </c>
      <c r="E1891">
        <v>0.50270669999999995</v>
      </c>
      <c r="F1891" t="s">
        <v>42</v>
      </c>
      <c r="G1891">
        <v>-191.12899999999999</v>
      </c>
      <c r="H1891" s="1">
        <v>-1.232981E-6</v>
      </c>
      <c r="I1891">
        <v>301.76299999999998</v>
      </c>
      <c r="J1891">
        <v>-191.7474</v>
      </c>
      <c r="K1891">
        <v>1.107024</v>
      </c>
      <c r="L1891">
        <v>344.59949999999998</v>
      </c>
      <c r="M1891">
        <v>0.1092188</v>
      </c>
      <c r="N1891">
        <v>0</v>
      </c>
      <c r="O1891">
        <v>-0.99401640000000002</v>
      </c>
      <c r="P1891">
        <v>2.2288140000000001E-2</v>
      </c>
      <c r="Q1891">
        <v>1.061725E-2</v>
      </c>
      <c r="R1891">
        <v>-0.99969520000000001</v>
      </c>
      <c r="S1891">
        <v>4.4219969999999997E-2</v>
      </c>
      <c r="T1891">
        <v>-7.7250840000000001E-2</v>
      </c>
      <c r="U1891">
        <v>-3.0008240000000002</v>
      </c>
      <c r="V1891">
        <v>8.705678E-2</v>
      </c>
      <c r="W1891">
        <v>8.7029459999999996E-3</v>
      </c>
      <c r="X1891">
        <v>0.99616530000000003</v>
      </c>
      <c r="Y1891">
        <v>9.4565620000000003E-2</v>
      </c>
      <c r="Z1891">
        <v>2.5444810000000002E-2</v>
      </c>
      <c r="AA1891">
        <v>0.99519340000000001</v>
      </c>
      <c r="AB1891">
        <v>16</v>
      </c>
      <c r="AC1891">
        <v>0.61839999999997897</v>
      </c>
      <c r="AD1891">
        <v>-1.107025232981</v>
      </c>
      <c r="AE1891">
        <v>-42.836500000000001</v>
      </c>
      <c r="AF1891">
        <v>4.0611450480885196</v>
      </c>
      <c r="AG1891">
        <v>-1.107025232981</v>
      </c>
      <c r="AH1891">
        <v>42.619323020039303</v>
      </c>
      <c r="AI1891">
        <v>91.481201185768398</v>
      </c>
      <c r="AJ1891">
        <v>84.556787727827697</v>
      </c>
      <c r="AK1891">
        <v>42.826686757844399</v>
      </c>
      <c r="AL1891">
        <v>89.501351612356302</v>
      </c>
      <c r="AM1891">
        <v>85.005501975752594</v>
      </c>
      <c r="AN1891">
        <v>0.99999996456856799</v>
      </c>
    </row>
    <row r="1892" spans="1:40" x14ac:dyDescent="0.25">
      <c r="A1892" t="str">
        <f>"20190312153923807"</f>
        <v>20190312153923807</v>
      </c>
      <c r="B1892" t="str">
        <f>"1552376363798231"</f>
        <v>1552376363798231</v>
      </c>
      <c r="C1892" t="s">
        <v>40</v>
      </c>
      <c r="D1892">
        <v>4.0286670000000004</v>
      </c>
      <c r="E1892">
        <v>0.5028762</v>
      </c>
      <c r="F1892" t="s">
        <v>42</v>
      </c>
      <c r="G1892">
        <v>-191.1147</v>
      </c>
      <c r="H1892" s="1">
        <v>-1.803548E-6</v>
      </c>
      <c r="I1892">
        <v>303.10180000000003</v>
      </c>
      <c r="J1892">
        <v>-191.7336</v>
      </c>
      <c r="K1892">
        <v>1.1070009999999999</v>
      </c>
      <c r="L1892">
        <v>344.44529999999997</v>
      </c>
      <c r="M1892">
        <v>0.1065039</v>
      </c>
      <c r="N1892">
        <v>0</v>
      </c>
      <c r="O1892">
        <v>-0.99431049999999999</v>
      </c>
      <c r="P1892">
        <v>2.2782529999999999E-2</v>
      </c>
      <c r="Q1892">
        <v>1.0551700000000001E-2</v>
      </c>
      <c r="R1892">
        <v>-0.99968489999999999</v>
      </c>
      <c r="S1892">
        <v>4.5745849999999998E-2</v>
      </c>
      <c r="T1892">
        <v>-8.0050109999999994E-2</v>
      </c>
      <c r="U1892">
        <v>-3.0007320000000002</v>
      </c>
      <c r="V1892">
        <v>8.3842509999999995E-2</v>
      </c>
      <c r="W1892">
        <v>8.4383119999999999E-3</v>
      </c>
      <c r="X1892">
        <v>0.99644330000000003</v>
      </c>
      <c r="Y1892">
        <v>9.1340589999999999E-2</v>
      </c>
      <c r="Z1892">
        <v>2.6382679999999999E-2</v>
      </c>
      <c r="AA1892">
        <v>0.99547019999999997</v>
      </c>
      <c r="AB1892">
        <v>16</v>
      </c>
      <c r="AC1892">
        <v>0.61889999999999601</v>
      </c>
      <c r="AD1892">
        <v>-1.107002803548</v>
      </c>
      <c r="AE1892">
        <v>-41.343499999999899</v>
      </c>
      <c r="AF1892">
        <v>3.7851588178334499</v>
      </c>
      <c r="AG1892">
        <v>-1.107002803548</v>
      </c>
      <c r="AH1892">
        <v>41.1447727469413</v>
      </c>
      <c r="AI1892">
        <v>91.534697405263003</v>
      </c>
      <c r="AJ1892">
        <v>84.743806374749099</v>
      </c>
      <c r="AK1892">
        <v>41.333342556351802</v>
      </c>
      <c r="AL1892">
        <v>89.516514603545502</v>
      </c>
      <c r="AM1892">
        <v>85.190360434379201</v>
      </c>
      <c r="AN1892">
        <v>1.0000000108536899</v>
      </c>
    </row>
    <row r="1893" spans="1:40" x14ac:dyDescent="0.25">
      <c r="A1893" t="str">
        <f>"20190312153923830"</f>
        <v>20190312153923830</v>
      </c>
      <c r="B1893" t="str">
        <f>"1552376363827512"</f>
        <v>1552376363827512</v>
      </c>
      <c r="C1893" t="s">
        <v>40</v>
      </c>
      <c r="D1893">
        <v>3.1916120000000001</v>
      </c>
      <c r="E1893">
        <v>0.5062953</v>
      </c>
      <c r="F1893" t="s">
        <v>42</v>
      </c>
      <c r="G1893">
        <v>-191.10040000000001</v>
      </c>
      <c r="H1893" s="1">
        <v>-1.759216E-6</v>
      </c>
      <c r="I1893">
        <v>303.00740000000002</v>
      </c>
      <c r="J1893">
        <v>-191.71889999999999</v>
      </c>
      <c r="K1893">
        <v>1.1069830000000001</v>
      </c>
      <c r="L1893">
        <v>344.27820000000003</v>
      </c>
      <c r="M1893">
        <v>0.1036806</v>
      </c>
      <c r="N1893">
        <v>0</v>
      </c>
      <c r="O1893">
        <v>-0.99460870000000001</v>
      </c>
      <c r="P1893">
        <v>2.3931859999999999E-2</v>
      </c>
      <c r="Q1893">
        <v>9.3687549999999994E-3</v>
      </c>
      <c r="R1893">
        <v>-0.99966980000000005</v>
      </c>
      <c r="S1893">
        <v>4.5852660000000003E-2</v>
      </c>
      <c r="T1893">
        <v>-8.0163719999999994E-2</v>
      </c>
      <c r="U1893">
        <v>-3.0007320000000002</v>
      </c>
      <c r="V1893">
        <v>7.9864279999999996E-2</v>
      </c>
      <c r="W1893">
        <v>7.0679239999999997E-3</v>
      </c>
      <c r="X1893">
        <v>0.99678069999999996</v>
      </c>
      <c r="Y1893">
        <v>8.8477669999999994E-2</v>
      </c>
      <c r="Z1893">
        <v>2.6435480000000001E-2</v>
      </c>
      <c r="AA1893">
        <v>0.99572729999999998</v>
      </c>
      <c r="AB1893">
        <v>16</v>
      </c>
      <c r="AC1893">
        <v>0.61849999999998295</v>
      </c>
      <c r="AD1893">
        <v>-1.106984759216</v>
      </c>
      <c r="AE1893">
        <v>-41.270800000000001</v>
      </c>
      <c r="AF1893">
        <v>3.6611894771936599</v>
      </c>
      <c r="AG1893">
        <v>-1.106984759216</v>
      </c>
      <c r="AH1893">
        <v>41.0829523977566</v>
      </c>
      <c r="AI1893">
        <v>91.537377946574694</v>
      </c>
      <c r="AJ1893">
        <v>84.907425043616996</v>
      </c>
      <c r="AK1893">
        <v>41.2606192556702</v>
      </c>
      <c r="AL1893">
        <v>89.595034417708703</v>
      </c>
      <c r="AM1893">
        <v>85.419120794680396</v>
      </c>
      <c r="AN1893">
        <v>1.0000000113310299</v>
      </c>
    </row>
    <row r="1894" spans="1:40" x14ac:dyDescent="0.25">
      <c r="A1894" t="str">
        <f>"20190312153923908"</f>
        <v>20190312153923908</v>
      </c>
      <c r="B1894" t="str">
        <f>"1552376363897783"</f>
        <v>1552376363897783</v>
      </c>
      <c r="C1894" t="s">
        <v>40</v>
      </c>
      <c r="D1894">
        <v>3.1435659999999999</v>
      </c>
      <c r="E1894">
        <v>0.52204079999999997</v>
      </c>
      <c r="F1894" t="s">
        <v>42</v>
      </c>
      <c r="G1894">
        <v>-191.4418</v>
      </c>
      <c r="H1894" s="1">
        <v>-3.3945560000000001E-6</v>
      </c>
      <c r="I1894">
        <v>306.60770000000002</v>
      </c>
      <c r="J1894">
        <v>-191.66849999999999</v>
      </c>
      <c r="K1894">
        <v>1.1069869999999999</v>
      </c>
      <c r="L1894">
        <v>343.67070000000001</v>
      </c>
      <c r="M1894">
        <v>9.4512319999999997E-2</v>
      </c>
      <c r="N1894">
        <v>0</v>
      </c>
      <c r="O1894">
        <v>-0.99552039999999997</v>
      </c>
      <c r="P1894">
        <v>2.9403789999999999E-2</v>
      </c>
      <c r="Q1894">
        <v>3.9764249999999996E-3</v>
      </c>
      <c r="R1894">
        <v>-0.99956</v>
      </c>
      <c r="S1894">
        <v>2.207947E-2</v>
      </c>
      <c r="T1894">
        <v>-8.8194729999999999E-2</v>
      </c>
      <c r="U1894">
        <v>-3.0012509999999999</v>
      </c>
      <c r="V1894">
        <v>6.5202179999999998E-2</v>
      </c>
      <c r="W1894">
        <v>1.192394E-3</v>
      </c>
      <c r="X1894">
        <v>0.99787130000000002</v>
      </c>
      <c r="Y1894">
        <v>8.7189500000000003E-2</v>
      </c>
      <c r="Z1894">
        <v>2.9119809999999999E-2</v>
      </c>
      <c r="AA1894">
        <v>0.99576600000000004</v>
      </c>
      <c r="AB1894">
        <v>17</v>
      </c>
      <c r="AC1894">
        <v>0.22669999999999299</v>
      </c>
      <c r="AD1894">
        <v>-1.106990394556</v>
      </c>
      <c r="AE1894">
        <v>-37.062999999999903</v>
      </c>
      <c r="AF1894">
        <v>3.2743155212108399</v>
      </c>
      <c r="AG1894">
        <v>-1.106990394556</v>
      </c>
      <c r="AH1894">
        <v>36.885615622230503</v>
      </c>
      <c r="AI1894">
        <v>91.712283665828394</v>
      </c>
      <c r="AJ1894">
        <v>84.927182356421199</v>
      </c>
      <c r="AK1894">
        <v>37.047202454396199</v>
      </c>
      <c r="AL1894">
        <v>89.9316808359074</v>
      </c>
      <c r="AM1894">
        <v>86.261535280115893</v>
      </c>
      <c r="AN1894">
        <v>0.99999993872194504</v>
      </c>
    </row>
    <row r="1895" spans="1:40" x14ac:dyDescent="0.25">
      <c r="A1895" t="str">
        <f>"20190312153923929"</f>
        <v>20190312153923929</v>
      </c>
      <c r="B1895" t="str">
        <f>"1552376363928039"</f>
        <v>1552376363928039</v>
      </c>
      <c r="C1895" t="s">
        <v>40</v>
      </c>
      <c r="D1895">
        <v>4.1109049999999998</v>
      </c>
      <c r="E1895">
        <v>0.52104819999999996</v>
      </c>
      <c r="F1895" t="s">
        <v>41</v>
      </c>
      <c r="G1895">
        <v>-191.68979999999999</v>
      </c>
      <c r="H1895">
        <v>0.90881749999999994</v>
      </c>
      <c r="I1895">
        <v>342.9273</v>
      </c>
      <c r="J1895">
        <v>-191.65440000000001</v>
      </c>
      <c r="K1895">
        <v>1.107</v>
      </c>
      <c r="L1895">
        <v>343.4932</v>
      </c>
      <c r="M1895">
        <v>9.2143269999999999E-2</v>
      </c>
      <c r="N1895">
        <v>0</v>
      </c>
      <c r="O1895">
        <v>-0.99574220000000002</v>
      </c>
      <c r="P1895">
        <v>3.1220120000000001E-2</v>
      </c>
      <c r="Q1895">
        <v>1.8702E-3</v>
      </c>
      <c r="R1895">
        <v>-0.99951080000000003</v>
      </c>
      <c r="S1895">
        <v>-8.6105349999999997E-2</v>
      </c>
      <c r="T1895">
        <v>-0.8015272</v>
      </c>
      <c r="U1895">
        <v>-3.0070190000000001</v>
      </c>
      <c r="V1895">
        <v>6.1008890000000003E-2</v>
      </c>
      <c r="W1895">
        <v>-1.003737E-3</v>
      </c>
      <c r="X1895">
        <v>0.99813669999999999</v>
      </c>
      <c r="Y1895">
        <v>0.1196455</v>
      </c>
      <c r="Z1895">
        <v>0.25495430000000002</v>
      </c>
      <c r="AA1895">
        <v>0.9595224</v>
      </c>
      <c r="AB1895">
        <v>18</v>
      </c>
      <c r="AC1895">
        <v>-3.5399999999981398E-2</v>
      </c>
      <c r="AD1895">
        <v>-0.19818250000000001</v>
      </c>
      <c r="AE1895">
        <v>-0.56589999999999896</v>
      </c>
      <c r="AF1895">
        <v>7.7879170094813405E-2</v>
      </c>
      <c r="AG1895">
        <v>-0.19818250000000001</v>
      </c>
      <c r="AH1895">
        <v>0.49923982943455902</v>
      </c>
      <c r="AI1895">
        <v>111.416347809212</v>
      </c>
      <c r="AJ1895">
        <v>81.133575293788397</v>
      </c>
      <c r="AK1895">
        <v>0.54275397348592003</v>
      </c>
      <c r="AL1895">
        <v>90.057509904531997</v>
      </c>
      <c r="AM1895">
        <v>86.502274166305398</v>
      </c>
      <c r="AN1895">
        <v>0.99999998201694296</v>
      </c>
    </row>
    <row r="1896" spans="1:40" x14ac:dyDescent="0.25">
      <c r="A1896" t="str">
        <f>"20190312153923945"</f>
        <v>20190312153923945</v>
      </c>
      <c r="B1896" t="str">
        <f>"1552376363937800"</f>
        <v>1552376363937800</v>
      </c>
      <c r="C1896" t="s">
        <v>40</v>
      </c>
      <c r="D1896">
        <v>4.2091919999999998</v>
      </c>
      <c r="E1896">
        <v>0.52103189999999999</v>
      </c>
      <c r="F1896" t="s">
        <v>41</v>
      </c>
      <c r="G1896">
        <v>-191.67269999999999</v>
      </c>
      <c r="H1896">
        <v>0.95981260000000002</v>
      </c>
      <c r="I1896">
        <v>342.74220000000003</v>
      </c>
      <c r="J1896">
        <v>-191.6447</v>
      </c>
      <c r="K1896">
        <v>1.10701</v>
      </c>
      <c r="L1896">
        <v>343.36900000000003</v>
      </c>
      <c r="M1896">
        <v>9.0569490000000002E-2</v>
      </c>
      <c r="N1896">
        <v>0</v>
      </c>
      <c r="O1896">
        <v>-0.99588639999999995</v>
      </c>
      <c r="P1896">
        <v>3.1807439999999999E-2</v>
      </c>
      <c r="Q1896">
        <v>1.0618120000000001E-3</v>
      </c>
      <c r="R1896">
        <v>-0.99949370000000004</v>
      </c>
      <c r="S1896">
        <v>-7.3638919999999997E-2</v>
      </c>
      <c r="T1896">
        <v>-0.58889499999999995</v>
      </c>
      <c r="U1896">
        <v>-3.0049130000000002</v>
      </c>
      <c r="V1896">
        <v>5.8842859999999997E-2</v>
      </c>
      <c r="W1896">
        <v>-1.860961E-3</v>
      </c>
      <c r="X1896">
        <v>0.99826550000000003</v>
      </c>
      <c r="Y1896">
        <v>0.11448469999999999</v>
      </c>
      <c r="Z1896">
        <v>0.1904786</v>
      </c>
      <c r="AA1896">
        <v>0.97499290000000005</v>
      </c>
      <c r="AB1896">
        <v>18</v>
      </c>
      <c r="AC1896">
        <v>-2.79999999999915E-2</v>
      </c>
      <c r="AD1896">
        <v>-0.14719740000000001</v>
      </c>
      <c r="AE1896">
        <v>-0.62680000000000202</v>
      </c>
      <c r="AF1896">
        <v>8.0237820441503793E-2</v>
      </c>
      <c r="AG1896">
        <v>-0.14719740000000001</v>
      </c>
      <c r="AH1896">
        <v>0.58925548478178502</v>
      </c>
      <c r="AI1896">
        <v>103.902331733868</v>
      </c>
      <c r="AJ1896">
        <v>82.245831180360497</v>
      </c>
      <c r="AK1896">
        <v>0.61263954226068396</v>
      </c>
      <c r="AL1896">
        <v>90.106625275143102</v>
      </c>
      <c r="AM1896">
        <v>86.626597907572403</v>
      </c>
      <c r="AN1896">
        <v>0.99999997691953602</v>
      </c>
    </row>
    <row r="1897" spans="1:40" x14ac:dyDescent="0.25">
      <c r="A1897" t="str">
        <f>"20190312153923965"</f>
        <v>20190312153923965</v>
      </c>
      <c r="B1897" t="str">
        <f>"1552376363957320"</f>
        <v>1552376363957320</v>
      </c>
      <c r="C1897" t="s">
        <v>40</v>
      </c>
      <c r="D1897">
        <v>4.3587369999999996</v>
      </c>
      <c r="E1897">
        <v>0.52619150000000003</v>
      </c>
      <c r="F1897" t="s">
        <v>41</v>
      </c>
      <c r="G1897">
        <v>-191.66399999999999</v>
      </c>
      <c r="H1897">
        <v>0.96867239999999999</v>
      </c>
      <c r="I1897">
        <v>342.57310000000001</v>
      </c>
      <c r="J1897">
        <v>-191.63229999999999</v>
      </c>
      <c r="K1897">
        <v>1.107027</v>
      </c>
      <c r="L1897">
        <v>343.20650000000001</v>
      </c>
      <c r="M1897">
        <v>8.8612759999999999E-2</v>
      </c>
      <c r="N1897">
        <v>0</v>
      </c>
      <c r="O1897">
        <v>-0.99606220000000001</v>
      </c>
      <c r="P1897">
        <v>3.3764040000000002E-2</v>
      </c>
      <c r="Q1897">
        <v>-1.05719E-3</v>
      </c>
      <c r="R1897">
        <v>-0.99942929999999996</v>
      </c>
      <c r="S1897">
        <v>-7.2021479999999999E-2</v>
      </c>
      <c r="T1897">
        <v>-0.52216569999999995</v>
      </c>
      <c r="U1897">
        <v>-3.0043329999999999</v>
      </c>
      <c r="V1897">
        <v>5.4921940000000002E-2</v>
      </c>
      <c r="W1897">
        <v>-4.0185819999999997E-3</v>
      </c>
      <c r="X1897">
        <v>0.9984826</v>
      </c>
      <c r="Y1897">
        <v>0.112106</v>
      </c>
      <c r="Z1897">
        <v>0.1696666</v>
      </c>
      <c r="AA1897">
        <v>0.97910450000000004</v>
      </c>
      <c r="AB1897">
        <v>18</v>
      </c>
      <c r="AC1897">
        <v>-3.1700000000029101E-2</v>
      </c>
      <c r="AD1897">
        <v>-0.13835459999999999</v>
      </c>
      <c r="AE1897">
        <v>-0.63339999999999397</v>
      </c>
      <c r="AF1897">
        <v>8.3718414226637394E-2</v>
      </c>
      <c r="AG1897">
        <v>-0.13835459999999999</v>
      </c>
      <c r="AH1897">
        <v>0.59956408834818997</v>
      </c>
      <c r="AI1897">
        <v>102.873369409826</v>
      </c>
      <c r="AJ1897">
        <v>82.051062543881699</v>
      </c>
      <c r="AK1897">
        <v>0.62098942362859899</v>
      </c>
      <c r="AL1897">
        <v>90.230248399770105</v>
      </c>
      <c r="AM1897">
        <v>86.851595139277904</v>
      </c>
      <c r="AN1897">
        <v>1.0000000354987</v>
      </c>
    </row>
    <row r="1898" spans="1:40" x14ac:dyDescent="0.25">
      <c r="A1898" t="str">
        <f>"20190312153923988"</f>
        <v>20190312153923988</v>
      </c>
      <c r="B1898" t="str">
        <f>"1552376363977816"</f>
        <v>1552376363977816</v>
      </c>
      <c r="C1898" t="s">
        <v>40</v>
      </c>
      <c r="D1898">
        <v>3.9750049999999999</v>
      </c>
      <c r="E1898">
        <v>0.5244529</v>
      </c>
      <c r="F1898" t="s">
        <v>54</v>
      </c>
      <c r="G1898">
        <v>-193.60939999999999</v>
      </c>
      <c r="H1898" s="1">
        <v>3.0357480000000001E-6</v>
      </c>
      <c r="I1898">
        <v>287.91770000000002</v>
      </c>
      <c r="J1898">
        <v>-191.61779999999999</v>
      </c>
      <c r="K1898">
        <v>1.1070500000000001</v>
      </c>
      <c r="L1898">
        <v>343.01350000000002</v>
      </c>
      <c r="M1898">
        <v>8.6442519999999995E-2</v>
      </c>
      <c r="N1898">
        <v>0</v>
      </c>
      <c r="O1898">
        <v>-0.99625280000000005</v>
      </c>
      <c r="P1898">
        <v>3.4786619999999997E-2</v>
      </c>
      <c r="Q1898">
        <v>-2.7128759999999999E-3</v>
      </c>
      <c r="R1898">
        <v>-0.99939109999999998</v>
      </c>
      <c r="S1898">
        <v>-0.1074677</v>
      </c>
      <c r="T1898">
        <v>-6.017339E-2</v>
      </c>
      <c r="U1898">
        <v>-3.00528</v>
      </c>
      <c r="V1898">
        <v>5.1721059999999999E-2</v>
      </c>
      <c r="W1898">
        <v>-5.6812E-3</v>
      </c>
      <c r="X1898">
        <v>0.99864540000000002</v>
      </c>
      <c r="Y1898">
        <v>0.1219836</v>
      </c>
      <c r="Z1898">
        <v>1.9825019999999999E-2</v>
      </c>
      <c r="AA1898">
        <v>0.9923341</v>
      </c>
      <c r="AB1898">
        <v>18</v>
      </c>
      <c r="AC1898">
        <v>-1.9916</v>
      </c>
      <c r="AD1898">
        <v>-1.107046964252</v>
      </c>
      <c r="AE1898">
        <v>-55.095799999999997</v>
      </c>
      <c r="AF1898">
        <v>6.7440647694696896</v>
      </c>
      <c r="AG1898">
        <v>-1.107046964252</v>
      </c>
      <c r="AH1898">
        <v>54.695352766765097</v>
      </c>
      <c r="AI1898">
        <v>91.150809125545194</v>
      </c>
      <c r="AJ1898">
        <v>82.970776108260793</v>
      </c>
      <c r="AK1898">
        <v>55.120681934068401</v>
      </c>
      <c r="AL1898">
        <v>90.325510537031505</v>
      </c>
      <c r="AM1898">
        <v>87.0352308218948</v>
      </c>
      <c r="AN1898">
        <v>0.99999998951106095</v>
      </c>
    </row>
    <row r="1899" spans="1:40" x14ac:dyDescent="0.25">
      <c r="A1899" t="str">
        <f>"20190312153924011"</f>
        <v>20190312153924011</v>
      </c>
      <c r="B1899" t="str">
        <f>"1552376363997336"</f>
        <v>1552376363997336</v>
      </c>
      <c r="C1899" t="s">
        <v>40</v>
      </c>
      <c r="D1899">
        <v>4.1145959999999997</v>
      </c>
      <c r="E1899">
        <v>0.52350280000000005</v>
      </c>
      <c r="F1899" t="s">
        <v>55</v>
      </c>
      <c r="G1899">
        <v>-197.76439999999999</v>
      </c>
      <c r="H1899" s="1">
        <v>-8.9920899999999907E-6</v>
      </c>
      <c r="I1899">
        <v>139.0556</v>
      </c>
      <c r="J1899">
        <v>-191.60380000000001</v>
      </c>
      <c r="K1899">
        <v>1.1070979999999999</v>
      </c>
      <c r="L1899">
        <v>342.82479999999998</v>
      </c>
      <c r="M1899">
        <v>8.4463720000000006E-2</v>
      </c>
      <c r="N1899">
        <v>0</v>
      </c>
      <c r="O1899">
        <v>-0.99642260000000005</v>
      </c>
      <c r="P1899">
        <v>3.6344969999999997E-2</v>
      </c>
      <c r="Q1899">
        <v>-4.7360149999999997E-3</v>
      </c>
      <c r="R1899">
        <v>-0.99932799999999999</v>
      </c>
      <c r="S1899">
        <v>-9.0560909999999994E-2</v>
      </c>
      <c r="T1899">
        <v>-1.6310809999999999E-2</v>
      </c>
      <c r="U1899">
        <v>-3.0050050000000001</v>
      </c>
      <c r="V1899">
        <v>4.817565E-2</v>
      </c>
      <c r="W1899">
        <v>-7.65577599999999E-3</v>
      </c>
      <c r="X1899">
        <v>0.99880950000000002</v>
      </c>
      <c r="Y1899">
        <v>0.11444070000000001</v>
      </c>
      <c r="Z1899">
        <v>5.3796449999999997E-3</v>
      </c>
      <c r="AA1899">
        <v>0.99341550000000001</v>
      </c>
      <c r="AB1899">
        <v>19</v>
      </c>
      <c r="AC1899">
        <v>-6.1605999999999801</v>
      </c>
      <c r="AD1899">
        <v>-1.1071069920900001</v>
      </c>
      <c r="AE1899">
        <v>-203.76920000000001</v>
      </c>
      <c r="AF1899">
        <v>23.349069134561699</v>
      </c>
      <c r="AG1899">
        <v>-1.1071069920900001</v>
      </c>
      <c r="AH1899">
        <v>202.51471444861801</v>
      </c>
      <c r="AI1899">
        <v>90.311160049387098</v>
      </c>
      <c r="AJ1899">
        <v>83.423084787888797</v>
      </c>
      <c r="AK1899">
        <v>203.85930021352399</v>
      </c>
      <c r="AL1899">
        <v>90.438647955922605</v>
      </c>
      <c r="AM1899">
        <v>87.238588654165994</v>
      </c>
      <c r="AN1899">
        <v>0.99999996072466601</v>
      </c>
    </row>
    <row r="1900" spans="1:40" x14ac:dyDescent="0.25">
      <c r="A1900" t="str">
        <f>"20190312153924033"</f>
        <v>20190312153924033</v>
      </c>
      <c r="B1900" t="str">
        <f>"1552376364027591"</f>
        <v>1552376364027591</v>
      </c>
      <c r="C1900" t="s">
        <v>40</v>
      </c>
      <c r="D1900">
        <v>4.0972489999999997</v>
      </c>
      <c r="E1900">
        <v>0.5232002</v>
      </c>
      <c r="F1900" t="s">
        <v>42</v>
      </c>
      <c r="G1900">
        <v>-194.15209999999999</v>
      </c>
      <c r="H1900" s="1">
        <v>-3.6928430000000002E-6</v>
      </c>
      <c r="I1900">
        <v>245.0667</v>
      </c>
      <c r="J1900">
        <v>-191.58969999999999</v>
      </c>
      <c r="K1900">
        <v>1.107154</v>
      </c>
      <c r="L1900">
        <v>342.63040000000001</v>
      </c>
      <c r="M1900">
        <v>8.2558039999999999E-2</v>
      </c>
      <c r="N1900">
        <v>0</v>
      </c>
      <c r="O1900">
        <v>-0.99658250000000004</v>
      </c>
      <c r="P1900">
        <v>3.7260519999999998E-2</v>
      </c>
      <c r="Q1900">
        <v>-6.0928669999999897E-3</v>
      </c>
      <c r="R1900">
        <v>-0.99928720000000004</v>
      </c>
      <c r="S1900">
        <v>-7.8323359999999995E-2</v>
      </c>
      <c r="T1900">
        <v>-3.4027929999999998E-2</v>
      </c>
      <c r="U1900">
        <v>-3.0047000000000001</v>
      </c>
      <c r="V1900">
        <v>4.5347819999999997E-2</v>
      </c>
      <c r="W1900">
        <v>-8.896358E-3</v>
      </c>
      <c r="X1900">
        <v>0.99893160000000003</v>
      </c>
      <c r="Y1900">
        <v>0.10849780000000001</v>
      </c>
      <c r="Z1900">
        <v>1.1230840000000001E-2</v>
      </c>
      <c r="AA1900">
        <v>0.99403319999999995</v>
      </c>
      <c r="AB1900">
        <v>19</v>
      </c>
      <c r="AC1900">
        <v>-2.56239999999999</v>
      </c>
      <c r="AD1900">
        <v>-1.107157692843</v>
      </c>
      <c r="AE1900">
        <v>-97.563699999999997</v>
      </c>
      <c r="AF1900">
        <v>10.6069855701205</v>
      </c>
      <c r="AG1900">
        <v>-1.107157692843</v>
      </c>
      <c r="AH1900">
        <v>97.006608978008899</v>
      </c>
      <c r="AI1900">
        <v>90.650026960564105</v>
      </c>
      <c r="AJ1900">
        <v>83.759902162804707</v>
      </c>
      <c r="AK1900">
        <v>97.591065812675097</v>
      </c>
      <c r="AL1900">
        <v>90.5097305129446</v>
      </c>
      <c r="AM1900">
        <v>87.400766918840503</v>
      </c>
      <c r="AN1900">
        <v>0.99999995572148703</v>
      </c>
    </row>
    <row r="1901" spans="1:40" x14ac:dyDescent="0.25">
      <c r="A1901" t="str">
        <f>"20190312153924053"</f>
        <v>20190312153924053</v>
      </c>
      <c r="B1901" t="str">
        <f>"1552376364048087"</f>
        <v>1552376364048087</v>
      </c>
      <c r="C1901" t="s">
        <v>40</v>
      </c>
      <c r="D1901">
        <v>4.1324730000000001</v>
      </c>
      <c r="E1901">
        <v>0.52286860000000002</v>
      </c>
      <c r="F1901" t="s">
        <v>54</v>
      </c>
      <c r="G1901">
        <v>-193.1361</v>
      </c>
      <c r="H1901" s="1">
        <v>4.0206899999999996E-6</v>
      </c>
      <c r="I1901">
        <v>278.95440000000002</v>
      </c>
      <c r="J1901">
        <v>-191.57689999999999</v>
      </c>
      <c r="K1901">
        <v>1.107224</v>
      </c>
      <c r="L1901">
        <v>342.45069999999998</v>
      </c>
      <c r="M1901">
        <v>8.0898970000000001E-2</v>
      </c>
      <c r="N1901">
        <v>0</v>
      </c>
      <c r="O1901">
        <v>-0.99671909999999997</v>
      </c>
      <c r="P1901">
        <v>3.7850790000000002E-2</v>
      </c>
      <c r="Q1901">
        <v>-7.9830100000000005E-3</v>
      </c>
      <c r="R1901">
        <v>-0.99925169999999996</v>
      </c>
      <c r="S1901">
        <v>-7.2967530000000003E-2</v>
      </c>
      <c r="T1901">
        <v>-5.2240250000000002E-2</v>
      </c>
      <c r="U1901">
        <v>-3.0045169999999999</v>
      </c>
      <c r="V1901">
        <v>4.3091030000000002E-2</v>
      </c>
      <c r="W1901">
        <v>-1.060681E-2</v>
      </c>
      <c r="X1901">
        <v>0.99901490000000004</v>
      </c>
      <c r="Y1901">
        <v>0.105070899999999</v>
      </c>
      <c r="Z1901">
        <v>1.724846E-2</v>
      </c>
      <c r="AA1901">
        <v>0.99431510000000001</v>
      </c>
      <c r="AB1901">
        <v>19</v>
      </c>
      <c r="AC1901">
        <v>-1.5591999999999999</v>
      </c>
      <c r="AD1901">
        <v>-1.1072199793099999</v>
      </c>
      <c r="AE1901">
        <v>-63.496299999999898</v>
      </c>
      <c r="AF1901">
        <v>6.6888584313940997</v>
      </c>
      <c r="AG1901">
        <v>-1.1072199793099999</v>
      </c>
      <c r="AH1901">
        <v>63.142851030243399</v>
      </c>
      <c r="AI1901">
        <v>90.998999273965495</v>
      </c>
      <c r="AJ1901">
        <v>83.953085906609203</v>
      </c>
      <c r="AK1901">
        <v>63.505798155958303</v>
      </c>
      <c r="AL1901">
        <v>90.607736809028296</v>
      </c>
      <c r="AM1901">
        <v>87.530162253181601</v>
      </c>
      <c r="AN1901">
        <v>1.0000000558534199</v>
      </c>
    </row>
    <row r="1902" spans="1:40" x14ac:dyDescent="0.25">
      <c r="A1902" t="str">
        <f>"20190312153924076"</f>
        <v>20190312153924076</v>
      </c>
      <c r="B1902" t="str">
        <f>"1552376364067607"</f>
        <v>1552376364067607</v>
      </c>
      <c r="C1902" t="s">
        <v>40</v>
      </c>
      <c r="D1902">
        <v>4.1938680000000002</v>
      </c>
      <c r="E1902">
        <v>0.52203940000000004</v>
      </c>
      <c r="F1902" t="s">
        <v>54</v>
      </c>
      <c r="G1902">
        <v>-192.8168</v>
      </c>
      <c r="H1902" s="1">
        <v>3.1530379999999999E-6</v>
      </c>
      <c r="I1902">
        <v>288.1841</v>
      </c>
      <c r="J1902">
        <v>-191.56280000000001</v>
      </c>
      <c r="K1902">
        <v>1.107321</v>
      </c>
      <c r="L1902">
        <v>342.25060000000002</v>
      </c>
      <c r="M1902">
        <v>7.9141059999999999E-2</v>
      </c>
      <c r="N1902">
        <v>0</v>
      </c>
      <c r="O1902">
        <v>-0.9968612</v>
      </c>
      <c r="P1902">
        <v>3.7886120000000002E-2</v>
      </c>
      <c r="Q1902">
        <v>-9.1421699999999998E-3</v>
      </c>
      <c r="R1902">
        <v>-0.99924080000000004</v>
      </c>
      <c r="S1902">
        <v>-6.8649290000000002E-2</v>
      </c>
      <c r="T1902">
        <v>-6.1299680000000002E-2</v>
      </c>
      <c r="U1902">
        <v>-3.0043950000000001</v>
      </c>
      <c r="V1902">
        <v>4.1292349999999998E-2</v>
      </c>
      <c r="W1902">
        <v>-1.148337E-2</v>
      </c>
      <c r="X1902">
        <v>0.99908110000000006</v>
      </c>
      <c r="Y1902">
        <v>0.1018879</v>
      </c>
      <c r="Z1902">
        <v>2.0247370000000001E-2</v>
      </c>
      <c r="AA1902">
        <v>0.99458979999999997</v>
      </c>
      <c r="AB1902">
        <v>19</v>
      </c>
      <c r="AC1902">
        <v>-1.25399999999999</v>
      </c>
      <c r="AD1902">
        <v>-1.107317846962</v>
      </c>
      <c r="AE1902">
        <v>-54.066499999999998</v>
      </c>
      <c r="AF1902">
        <v>5.5266393965183802</v>
      </c>
      <c r="AG1902">
        <v>-1.107317846962</v>
      </c>
      <c r="AH1902">
        <v>53.775128366826998</v>
      </c>
      <c r="AI1902">
        <v>91.1734678504274</v>
      </c>
      <c r="AJ1902">
        <v>84.132133749244502</v>
      </c>
      <c r="AK1902">
        <v>54.069717279657297</v>
      </c>
      <c r="AL1902">
        <v>90.657963106577498</v>
      </c>
      <c r="AM1902">
        <v>87.633293600765299</v>
      </c>
      <c r="AN1902">
        <v>0.99999998516614397</v>
      </c>
    </row>
    <row r="1903" spans="1:40" x14ac:dyDescent="0.25">
      <c r="A1903" t="str">
        <f>"20190312153924098"</f>
        <v>20190312153924098</v>
      </c>
      <c r="B1903" t="str">
        <f>"1552376364088106"</f>
        <v>1552376364088106</v>
      </c>
      <c r="C1903" t="s">
        <v>40</v>
      </c>
      <c r="D1903">
        <v>4.2035609999999997</v>
      </c>
      <c r="E1903">
        <v>0.52136309999999997</v>
      </c>
      <c r="F1903" t="s">
        <v>54</v>
      </c>
      <c r="G1903">
        <v>-192.5754</v>
      </c>
      <c r="H1903" s="1">
        <v>1.8555770000000001E-6</v>
      </c>
      <c r="I1903">
        <v>293.05360000000002</v>
      </c>
      <c r="J1903">
        <v>-191.54920000000001</v>
      </c>
      <c r="K1903">
        <v>1.107429</v>
      </c>
      <c r="L1903">
        <v>342.05430000000001</v>
      </c>
      <c r="M1903">
        <v>7.7494389999999996E-2</v>
      </c>
      <c r="N1903">
        <v>0</v>
      </c>
      <c r="O1903">
        <v>-0.99699119999999997</v>
      </c>
      <c r="P1903">
        <v>3.7233580000000002E-2</v>
      </c>
      <c r="Q1903">
        <v>-9.2519939999999995E-3</v>
      </c>
      <c r="R1903">
        <v>-0.99926409999999999</v>
      </c>
      <c r="S1903">
        <v>-6.1828609999999999E-2</v>
      </c>
      <c r="T1903">
        <v>-6.7612889999999995E-2</v>
      </c>
      <c r="U1903">
        <v>-3.0039669999999998</v>
      </c>
      <c r="V1903">
        <v>4.0295879999999999E-2</v>
      </c>
      <c r="W1903">
        <v>-1.12312E-2</v>
      </c>
      <c r="X1903">
        <v>0.99912460000000003</v>
      </c>
      <c r="Y1903">
        <v>9.7988989999999998E-2</v>
      </c>
      <c r="Z1903">
        <v>2.234413E-2</v>
      </c>
      <c r="AA1903">
        <v>0.99493659999999995</v>
      </c>
      <c r="AB1903">
        <v>19</v>
      </c>
      <c r="AC1903">
        <v>-1.02619999999998</v>
      </c>
      <c r="AD1903">
        <v>-1.1074271444229999</v>
      </c>
      <c r="AE1903">
        <v>-49.000700000000002</v>
      </c>
      <c r="AF1903">
        <v>4.81793957544782</v>
      </c>
      <c r="AG1903">
        <v>-1.1074271444229999</v>
      </c>
      <c r="AH1903">
        <v>48.748930578362298</v>
      </c>
      <c r="AI1903">
        <v>91.2950543572085</v>
      </c>
      <c r="AJ1903">
        <v>84.355690524673307</v>
      </c>
      <c r="AK1903">
        <v>48.998950694549201</v>
      </c>
      <c r="AL1903">
        <v>90.643513931863097</v>
      </c>
      <c r="AM1903">
        <v>87.690444965553397</v>
      </c>
      <c r="AN1903">
        <v>0.99999993206178395</v>
      </c>
    </row>
    <row r="1904" spans="1:40" x14ac:dyDescent="0.25">
      <c r="A1904" t="str">
        <f>"20190312153924121"</f>
        <v>20190312153924121</v>
      </c>
      <c r="B1904" t="str">
        <f>"1552376364107623"</f>
        <v>1552376364107623</v>
      </c>
      <c r="C1904" t="s">
        <v>40</v>
      </c>
      <c r="D1904">
        <v>4.1917519999999904</v>
      </c>
      <c r="E1904">
        <v>0.52101070000000005</v>
      </c>
      <c r="F1904" t="s">
        <v>54</v>
      </c>
      <c r="G1904">
        <v>-192.47880000000001</v>
      </c>
      <c r="H1904" s="1">
        <v>1.613073E-6</v>
      </c>
      <c r="I1904">
        <v>294.2235</v>
      </c>
      <c r="J1904">
        <v>-191.53540000000001</v>
      </c>
      <c r="K1904">
        <v>1.1075440000000001</v>
      </c>
      <c r="L1904">
        <v>341.85219999999998</v>
      </c>
      <c r="M1904">
        <v>7.5871460000000002E-2</v>
      </c>
      <c r="N1904">
        <v>0</v>
      </c>
      <c r="O1904">
        <v>-0.99711660000000002</v>
      </c>
      <c r="P1904">
        <v>3.6104299999999999E-2</v>
      </c>
      <c r="Q1904">
        <v>-9.9039309999999995E-3</v>
      </c>
      <c r="R1904">
        <v>-0.9992993</v>
      </c>
      <c r="S1904">
        <v>-5.8380130000000002E-2</v>
      </c>
      <c r="T1904">
        <v>-6.9546700000000003E-2</v>
      </c>
      <c r="U1904">
        <v>-3.003784</v>
      </c>
      <c r="V1904">
        <v>3.9798760000000002E-2</v>
      </c>
      <c r="W1904">
        <v>-1.144499E-2</v>
      </c>
      <c r="X1904">
        <v>0.99914219999999998</v>
      </c>
      <c r="Y1904">
        <v>9.5227870000000006E-2</v>
      </c>
      <c r="Z1904">
        <v>2.2991959999999999E-2</v>
      </c>
      <c r="AA1904">
        <v>0.99519000000000002</v>
      </c>
      <c r="AB1904">
        <v>20</v>
      </c>
      <c r="AC1904">
        <v>-0.94339999999999602</v>
      </c>
      <c r="AD1904">
        <v>-1.107542386927</v>
      </c>
      <c r="AE1904">
        <v>-47.628699999999903</v>
      </c>
      <c r="AF1904">
        <v>4.5518829886892096</v>
      </c>
      <c r="AG1904">
        <v>-1.107542386927</v>
      </c>
      <c r="AH1904">
        <v>47.394220279365598</v>
      </c>
      <c r="AI1904">
        <v>91.332555943973901</v>
      </c>
      <c r="AJ1904">
        <v>84.513968476577702</v>
      </c>
      <c r="AK1904">
        <v>47.6251866638923</v>
      </c>
      <c r="AL1904">
        <v>90.655763918994396</v>
      </c>
      <c r="AM1904">
        <v>87.718947210693898</v>
      </c>
      <c r="AN1904">
        <v>1.00000003245723</v>
      </c>
    </row>
    <row r="1905" spans="1:40" x14ac:dyDescent="0.25">
      <c r="A1905" t="str">
        <f>"20190312153924142"</f>
        <v>20190312153924142</v>
      </c>
      <c r="B1905" t="str">
        <f>"1552376364137879"</f>
        <v>1552376364137879</v>
      </c>
      <c r="C1905" t="s">
        <v>40</v>
      </c>
      <c r="D1905">
        <v>4.2420749999999998</v>
      </c>
      <c r="E1905">
        <v>0.52030949999999998</v>
      </c>
      <c r="F1905" t="s">
        <v>54</v>
      </c>
      <c r="G1905">
        <v>-192.43600000000001</v>
      </c>
      <c r="H1905" s="1">
        <v>1.051376E-6</v>
      </c>
      <c r="I1905">
        <v>296.0204</v>
      </c>
      <c r="J1905">
        <v>-191.5222</v>
      </c>
      <c r="K1905">
        <v>1.107634</v>
      </c>
      <c r="L1905">
        <v>341.65629999999999</v>
      </c>
      <c r="M1905">
        <v>7.4352199999999993E-2</v>
      </c>
      <c r="N1905">
        <v>0</v>
      </c>
      <c r="O1905">
        <v>-0.9972318</v>
      </c>
      <c r="P1905">
        <v>3.467493E-2</v>
      </c>
      <c r="Q1905">
        <v>-1.163864E-2</v>
      </c>
      <c r="R1905">
        <v>-0.99933130000000003</v>
      </c>
      <c r="S1905">
        <v>-5.9020999999999997E-2</v>
      </c>
      <c r="T1905">
        <v>-7.2581649999999998E-2</v>
      </c>
      <c r="U1905">
        <v>-3.0035400000000001</v>
      </c>
      <c r="V1905">
        <v>3.9702630000000003E-2</v>
      </c>
      <c r="W1905">
        <v>-1.2728140000000001E-2</v>
      </c>
      <c r="X1905">
        <v>0.99913050000000003</v>
      </c>
      <c r="Y1905">
        <v>9.3924469999999996E-2</v>
      </c>
      <c r="Z1905">
        <v>2.4002289999999999E-2</v>
      </c>
      <c r="AA1905">
        <v>0.99528989999999995</v>
      </c>
      <c r="AB1905">
        <v>20</v>
      </c>
      <c r="AC1905">
        <v>-0.91379999999997996</v>
      </c>
      <c r="AD1905">
        <v>-1.107632948624</v>
      </c>
      <c r="AE1905">
        <v>-45.6358999999999</v>
      </c>
      <c r="AF1905">
        <v>4.3018678785967799</v>
      </c>
      <c r="AG1905">
        <v>-1.107632948624</v>
      </c>
      <c r="AH1905">
        <v>45.414896191654599</v>
      </c>
      <c r="AI1905">
        <v>91.3908976289907</v>
      </c>
      <c r="AJ1905">
        <v>84.588876042172799</v>
      </c>
      <c r="AK1905">
        <v>45.631630631531699</v>
      </c>
      <c r="AL1905">
        <v>90.7292883733883</v>
      </c>
      <c r="AM1905">
        <v>87.724424451892503</v>
      </c>
      <c r="AN1905">
        <v>1.0000000302035099</v>
      </c>
    </row>
    <row r="1906" spans="1:40" x14ac:dyDescent="0.25">
      <c r="A1906" t="str">
        <f>"20190312153924165"</f>
        <v>20190312153924165</v>
      </c>
      <c r="B1906" t="str">
        <f>"1552376364157400"</f>
        <v>1552376364157400</v>
      </c>
      <c r="C1906" t="s">
        <v>40</v>
      </c>
      <c r="D1906">
        <v>4.2490649999999999</v>
      </c>
      <c r="E1906">
        <v>0.51988540000000005</v>
      </c>
      <c r="F1906" t="s">
        <v>42</v>
      </c>
      <c r="G1906">
        <v>-192.32329999999999</v>
      </c>
      <c r="H1906" s="1">
        <v>-7.716771E-7</v>
      </c>
      <c r="I1906">
        <v>299.947</v>
      </c>
      <c r="J1906">
        <v>-191.50890000000001</v>
      </c>
      <c r="K1906">
        <v>1.1077140000000001</v>
      </c>
      <c r="L1906">
        <v>341.4556</v>
      </c>
      <c r="M1906">
        <v>7.286318E-2</v>
      </c>
      <c r="N1906">
        <v>0</v>
      </c>
      <c r="O1906">
        <v>-0.99734179999999995</v>
      </c>
      <c r="P1906">
        <v>3.2785479999999999E-2</v>
      </c>
      <c r="Q1906">
        <v>-1.2121689999999999E-2</v>
      </c>
      <c r="R1906">
        <v>-0.99938910000000003</v>
      </c>
      <c r="S1906">
        <v>-5.7678220000000002E-2</v>
      </c>
      <c r="T1906">
        <v>-7.9750059999999998E-2</v>
      </c>
      <c r="U1906">
        <v>-3.003082</v>
      </c>
      <c r="V1906">
        <v>4.0099799999999998E-2</v>
      </c>
      <c r="W1906">
        <v>-1.2740130000000001E-2</v>
      </c>
      <c r="X1906">
        <v>0.99911450000000002</v>
      </c>
      <c r="Y1906">
        <v>9.1994759999999995E-2</v>
      </c>
      <c r="Z1906">
        <v>2.6382139999999998E-2</v>
      </c>
      <c r="AA1906">
        <v>0.99541000000000002</v>
      </c>
      <c r="AB1906">
        <v>20</v>
      </c>
      <c r="AC1906">
        <v>-0.81439999999997703</v>
      </c>
      <c r="AD1906">
        <v>-1.1077147716771001</v>
      </c>
      <c r="AE1906">
        <v>-41.508600000000001</v>
      </c>
      <c r="AF1906">
        <v>3.83395496124955</v>
      </c>
      <c r="AG1906">
        <v>-1.1077147716771001</v>
      </c>
      <c r="AH1906">
        <v>41.309520267036703</v>
      </c>
      <c r="AI1906">
        <v>91.529448325188</v>
      </c>
      <c r="AJ1906">
        <v>84.6975431189218</v>
      </c>
      <c r="AK1906">
        <v>41.5018398068446</v>
      </c>
      <c r="AL1906">
        <v>90.729975395039801</v>
      </c>
      <c r="AM1906">
        <v>87.701647984648304</v>
      </c>
      <c r="AN1906">
        <v>1.0000000444913499</v>
      </c>
    </row>
    <row r="1907" spans="1:40" x14ac:dyDescent="0.25">
      <c r="A1907" t="str">
        <f>"20190312153924188"</f>
        <v>20190312153924188</v>
      </c>
      <c r="B1907" t="str">
        <f>"1552376364177895"</f>
        <v>1552376364177895</v>
      </c>
      <c r="C1907" t="s">
        <v>40</v>
      </c>
      <c r="D1907">
        <v>4.2459009999999999</v>
      </c>
      <c r="E1907">
        <v>0.51943009999999901</v>
      </c>
      <c r="F1907" t="s">
        <v>42</v>
      </c>
      <c r="G1907">
        <v>-192.31729999999999</v>
      </c>
      <c r="H1907" s="1">
        <v>-1.206145E-6</v>
      </c>
      <c r="I1907">
        <v>300.96339999999998</v>
      </c>
      <c r="J1907">
        <v>-191.49469999999999</v>
      </c>
      <c r="K1907">
        <v>1.107799</v>
      </c>
      <c r="L1907">
        <v>341.23770000000002</v>
      </c>
      <c r="M1907">
        <v>7.1343719999999999E-2</v>
      </c>
      <c r="N1907">
        <v>0</v>
      </c>
      <c r="O1907">
        <v>-0.99745170000000005</v>
      </c>
      <c r="P1907">
        <v>3.0541889999999999E-2</v>
      </c>
      <c r="Q1907">
        <v>-1.1804540000000001E-2</v>
      </c>
      <c r="R1907">
        <v>-0.99946369999999896</v>
      </c>
      <c r="S1907">
        <v>-5.9951780000000003E-2</v>
      </c>
      <c r="T1907">
        <v>-8.2146410000000003E-2</v>
      </c>
      <c r="U1907">
        <v>-3.0028380000000001</v>
      </c>
      <c r="V1907">
        <v>4.0822600000000001E-2</v>
      </c>
      <c r="W1907">
        <v>-1.1910459999999999E-2</v>
      </c>
      <c r="X1907">
        <v>0.99909539999999997</v>
      </c>
      <c r="Y1907">
        <v>9.1232250000000001E-2</v>
      </c>
      <c r="Z1907">
        <v>2.7181759999999999E-2</v>
      </c>
      <c r="AA1907">
        <v>0.99545859999999997</v>
      </c>
      <c r="AB1907">
        <v>20</v>
      </c>
      <c r="AC1907">
        <v>-0.822599999999994</v>
      </c>
      <c r="AD1907">
        <v>-1.1078002061450001</v>
      </c>
      <c r="AE1907">
        <v>-40.274299999999997</v>
      </c>
      <c r="AF1907">
        <v>3.6910310098366299</v>
      </c>
      <c r="AG1907">
        <v>-1.1078002061450001</v>
      </c>
      <c r="AH1907">
        <v>40.082671322214701</v>
      </c>
      <c r="AI1907">
        <v>91.5764645759036</v>
      </c>
      <c r="AJ1907">
        <v>84.738730002655103</v>
      </c>
      <c r="AK1907">
        <v>40.267498948121897</v>
      </c>
      <c r="AL1907">
        <v>90.682435238601101</v>
      </c>
      <c r="AM1907">
        <v>87.660221080616395</v>
      </c>
      <c r="AN1907">
        <v>0.99999998101466503</v>
      </c>
    </row>
    <row r="1908" spans="1:40" x14ac:dyDescent="0.25">
      <c r="A1908" t="str">
        <f>"20190312153924211"</f>
        <v>20190312153924211</v>
      </c>
      <c r="B1908" t="str">
        <f>"1552376364197416"</f>
        <v>1552376364197416</v>
      </c>
      <c r="C1908" t="s">
        <v>40</v>
      </c>
      <c r="D1908">
        <v>4.3114080000000001</v>
      </c>
      <c r="E1908">
        <v>0.51911629999999997</v>
      </c>
      <c r="F1908" t="s">
        <v>42</v>
      </c>
      <c r="G1908">
        <v>-192.34460000000001</v>
      </c>
      <c r="H1908" s="1">
        <v>-1.165705E-6</v>
      </c>
      <c r="I1908">
        <v>300.85230000000001</v>
      </c>
      <c r="J1908">
        <v>-191.48159999999999</v>
      </c>
      <c r="K1908">
        <v>1.10788</v>
      </c>
      <c r="L1908">
        <v>341.03309999999999</v>
      </c>
      <c r="M1908">
        <v>7.0028809999999997E-2</v>
      </c>
      <c r="N1908">
        <v>0</v>
      </c>
      <c r="O1908">
        <v>-0.99754500000000002</v>
      </c>
      <c r="P1908">
        <v>2.8356260000000001E-2</v>
      </c>
      <c r="Q1908">
        <v>-1.16539E-2</v>
      </c>
      <c r="R1908">
        <v>-0.99953009999999998</v>
      </c>
      <c r="S1908">
        <v>-6.3186649999999997E-2</v>
      </c>
      <c r="T1908">
        <v>-8.2362409999999997E-2</v>
      </c>
      <c r="U1908">
        <v>-3.0025629999999999</v>
      </c>
      <c r="V1908">
        <v>4.1692100000000003E-2</v>
      </c>
      <c r="W1908">
        <v>-1.1282520000000001E-2</v>
      </c>
      <c r="X1908">
        <v>0.99906680000000003</v>
      </c>
      <c r="Y1908">
        <v>9.0993350000000001E-2</v>
      </c>
      <c r="Z1908">
        <v>2.7259499999999999E-2</v>
      </c>
      <c r="AA1908">
        <v>0.99547830000000004</v>
      </c>
      <c r="AB1908">
        <v>20</v>
      </c>
      <c r="AC1908">
        <v>-0.86300000000002797</v>
      </c>
      <c r="AD1908">
        <v>-1.1078811657050001</v>
      </c>
      <c r="AE1908">
        <v>-40.180799999999898</v>
      </c>
      <c r="AF1908">
        <v>3.6719045994315498</v>
      </c>
      <c r="AG1908">
        <v>-1.1078811657050001</v>
      </c>
      <c r="AH1908">
        <v>39.991331162172202</v>
      </c>
      <c r="AI1908">
        <v>91.5802173971054</v>
      </c>
      <c r="AJ1908">
        <v>84.753953167960404</v>
      </c>
      <c r="AK1908">
        <v>40.174828589393798</v>
      </c>
      <c r="AL1908">
        <v>90.646454494730705</v>
      </c>
      <c r="AM1908">
        <v>87.610373856375503</v>
      </c>
      <c r="AN1908">
        <v>0.99999999866110001</v>
      </c>
    </row>
    <row r="1909" spans="1:40" x14ac:dyDescent="0.25">
      <c r="A1909" t="str">
        <f>"20190312153924231"</f>
        <v>20190312153924231</v>
      </c>
      <c r="B1909" t="str">
        <f>"1552376364217915"</f>
        <v>1552376364217915</v>
      </c>
      <c r="C1909" t="s">
        <v>40</v>
      </c>
      <c r="D1909">
        <v>4.3399859999999997</v>
      </c>
      <c r="E1909">
        <v>0.51884030000000003</v>
      </c>
      <c r="F1909" t="s">
        <v>42</v>
      </c>
      <c r="G1909">
        <v>-192.36580000000001</v>
      </c>
      <c r="H1909" s="1">
        <v>-1.4310660000000001E-6</v>
      </c>
      <c r="I1909">
        <v>301.45769999999999</v>
      </c>
      <c r="J1909">
        <v>-191.4692</v>
      </c>
      <c r="K1909">
        <v>1.1079730000000001</v>
      </c>
      <c r="L1909">
        <v>340.83839999999998</v>
      </c>
      <c r="M1909">
        <v>6.8893309999999999E-2</v>
      </c>
      <c r="N1909">
        <v>0</v>
      </c>
      <c r="O1909">
        <v>-0.99762379999999995</v>
      </c>
      <c r="P1909">
        <v>2.641493E-2</v>
      </c>
      <c r="Q1909">
        <v>-1.15523E-2</v>
      </c>
      <c r="R1909">
        <v>-0.99958429999999998</v>
      </c>
      <c r="S1909">
        <v>-6.7077639999999994E-2</v>
      </c>
      <c r="T1909">
        <v>-8.4047319999999995E-2</v>
      </c>
      <c r="U1909">
        <v>-3.002319</v>
      </c>
      <c r="V1909">
        <v>4.2497229999999997E-2</v>
      </c>
      <c r="W1909">
        <v>-1.0730180000000001E-2</v>
      </c>
      <c r="X1909">
        <v>0.99903889999999995</v>
      </c>
      <c r="Y1909">
        <v>9.1150720000000005E-2</v>
      </c>
      <c r="Z1909">
        <v>2.7821700000000001E-2</v>
      </c>
      <c r="AA1909">
        <v>0.99544840000000001</v>
      </c>
      <c r="AB1909">
        <v>20</v>
      </c>
      <c r="AC1909">
        <v>-0.89660000000000595</v>
      </c>
      <c r="AD1909">
        <v>-1.10797443106599</v>
      </c>
      <c r="AE1909">
        <v>-39.380699999999898</v>
      </c>
      <c r="AF1909">
        <v>3.6046852079149101</v>
      </c>
      <c r="AG1909">
        <v>-1.10797443106599</v>
      </c>
      <c r="AH1909">
        <v>39.194353733344897</v>
      </c>
      <c r="AI1909">
        <v>91.612446063046804</v>
      </c>
      <c r="AJ1909">
        <v>84.745317784068106</v>
      </c>
      <c r="AK1909">
        <v>39.375356853781298</v>
      </c>
      <c r="AL1909">
        <v>90.614805864009099</v>
      </c>
      <c r="AM1909">
        <v>87.564214104205504</v>
      </c>
      <c r="AN1909">
        <v>0.99999993751685501</v>
      </c>
    </row>
    <row r="1910" spans="1:40" x14ac:dyDescent="0.25">
      <c r="A1910" t="str">
        <f>"20190312153924255"</f>
        <v>20190312153924255</v>
      </c>
      <c r="B1910" t="str">
        <f>"1552376364248169"</f>
        <v>1552376364248169</v>
      </c>
      <c r="C1910" t="s">
        <v>40</v>
      </c>
      <c r="D1910">
        <v>4.3744350000000001</v>
      </c>
      <c r="E1910">
        <v>0.51856170000000001</v>
      </c>
      <c r="F1910" t="s">
        <v>42</v>
      </c>
      <c r="G1910">
        <v>-192.3852</v>
      </c>
      <c r="H1910" s="1">
        <v>-1.6353259999999999E-6</v>
      </c>
      <c r="I1910">
        <v>301.92169999999999</v>
      </c>
      <c r="J1910">
        <v>-191.4555</v>
      </c>
      <c r="K1910">
        <v>1.1080810000000001</v>
      </c>
      <c r="L1910">
        <v>340.62049999999999</v>
      </c>
      <c r="M1910">
        <v>6.7765729999999996E-2</v>
      </c>
      <c r="N1910">
        <v>0</v>
      </c>
      <c r="O1910">
        <v>-0.99770040000000004</v>
      </c>
      <c r="P1910">
        <v>2.4198480000000001E-2</v>
      </c>
      <c r="Q1910">
        <v>-1.162498E-2</v>
      </c>
      <c r="R1910">
        <v>-0.99963970000000002</v>
      </c>
      <c r="S1910">
        <v>-7.0663450000000003E-2</v>
      </c>
      <c r="T1910">
        <v>-8.5472939999999997E-2</v>
      </c>
      <c r="U1910">
        <v>-3.002167</v>
      </c>
      <c r="V1910">
        <v>4.3585470000000001E-2</v>
      </c>
      <c r="W1910">
        <v>-1.0308629999999999E-2</v>
      </c>
      <c r="X1910">
        <v>0.99899649999999995</v>
      </c>
      <c r="Y1910">
        <v>9.1214400000000001E-2</v>
      </c>
      <c r="Z1910">
        <v>2.8297510000000001E-2</v>
      </c>
      <c r="AA1910">
        <v>0.99542920000000001</v>
      </c>
      <c r="AB1910">
        <v>21</v>
      </c>
      <c r="AC1910">
        <v>-0.92969999999999597</v>
      </c>
      <c r="AD1910">
        <v>-1.1080826353259901</v>
      </c>
      <c r="AE1910">
        <v>-38.698799999999999</v>
      </c>
      <c r="AF1910">
        <v>3.5471110216544401</v>
      </c>
      <c r="AG1910">
        <v>-1.1080826353259901</v>
      </c>
      <c r="AH1910">
        <v>38.515279924925501</v>
      </c>
      <c r="AI1910">
        <v>91.641001342820402</v>
      </c>
      <c r="AJ1910">
        <v>84.738119367836504</v>
      </c>
      <c r="AK1910">
        <v>38.694142081483399</v>
      </c>
      <c r="AL1910">
        <v>90.590651462520199</v>
      </c>
      <c r="AM1910">
        <v>87.501812305671706</v>
      </c>
      <c r="AN1910">
        <v>0.99999998402992296</v>
      </c>
    </row>
    <row r="1911" spans="1:40" x14ac:dyDescent="0.25">
      <c r="A1911" t="str">
        <f>"20190312153924289"</f>
        <v>20190312153924289</v>
      </c>
      <c r="B1911" t="str">
        <f>"1552376364277447"</f>
        <v>1552376364277447</v>
      </c>
      <c r="C1911" t="s">
        <v>40</v>
      </c>
      <c r="D1911">
        <v>4.3706909999999999</v>
      </c>
      <c r="E1911">
        <v>0.51869100000000001</v>
      </c>
      <c r="F1911" t="s">
        <v>42</v>
      </c>
      <c r="G1911">
        <v>-192.40479999999999</v>
      </c>
      <c r="H1911" s="1">
        <v>-1.9281729999999999E-6</v>
      </c>
      <c r="I1911">
        <v>302.59219999999999</v>
      </c>
      <c r="J1911">
        <v>-191.43610000000001</v>
      </c>
      <c r="K1911">
        <v>1.1082669999999999</v>
      </c>
      <c r="L1911">
        <v>340.30959999999999</v>
      </c>
      <c r="M1911">
        <v>6.6473729999999995E-2</v>
      </c>
      <c r="N1911">
        <v>0</v>
      </c>
      <c r="O1911">
        <v>-0.99778599999999995</v>
      </c>
      <c r="P1911">
        <v>2.0320879999999999E-2</v>
      </c>
      <c r="Q1911">
        <v>-1.3524090000000001E-2</v>
      </c>
      <c r="R1911">
        <v>-0.99970210000000004</v>
      </c>
      <c r="S1911">
        <v>-7.4935909999999994E-2</v>
      </c>
      <c r="T1911">
        <v>-8.7470290000000006E-2</v>
      </c>
      <c r="U1911">
        <v>-3.0018919999999998</v>
      </c>
      <c r="V1911">
        <v>4.6167220000000002E-2</v>
      </c>
      <c r="W1911">
        <v>-1.154882E-2</v>
      </c>
      <c r="X1911">
        <v>0.99886699999999995</v>
      </c>
      <c r="Y1911">
        <v>9.1342549999999995E-2</v>
      </c>
      <c r="Z1911">
        <v>2.896398E-2</v>
      </c>
      <c r="AA1911">
        <v>0.99539820000000001</v>
      </c>
      <c r="AB1911">
        <v>21</v>
      </c>
      <c r="AC1911">
        <v>-0.96869999999998402</v>
      </c>
      <c r="AD1911">
        <v>-1.108268928173</v>
      </c>
      <c r="AE1911">
        <v>-37.717399999999998</v>
      </c>
      <c r="AF1911">
        <v>3.4707844387964499</v>
      </c>
      <c r="AG1911">
        <v>-1.108268928173</v>
      </c>
      <c r="AH1911">
        <v>37.5371942670888</v>
      </c>
      <c r="AI1911">
        <v>91.683962190120297</v>
      </c>
      <c r="AJ1911">
        <v>84.717306836127904</v>
      </c>
      <c r="AK1911">
        <v>37.713599113355798</v>
      </c>
      <c r="AL1911">
        <v>90.661713330738905</v>
      </c>
      <c r="AM1911">
        <v>87.353696062822806</v>
      </c>
      <c r="AN1911">
        <v>1.0000000355674501</v>
      </c>
    </row>
    <row r="1912" spans="1:40" x14ac:dyDescent="0.25">
      <c r="A1912" t="str">
        <f>"20190312153924309"</f>
        <v>20190312153924309</v>
      </c>
      <c r="B1912" t="str">
        <f>"1552376364297947"</f>
        <v>1552376364297947</v>
      </c>
      <c r="C1912" t="s">
        <v>40</v>
      </c>
      <c r="D1912">
        <v>4.3582919999999996</v>
      </c>
      <c r="E1912">
        <v>0.51873769999999997</v>
      </c>
      <c r="F1912" t="s">
        <v>42</v>
      </c>
      <c r="G1912">
        <v>-192.47970000000001</v>
      </c>
      <c r="H1912" s="1">
        <v>-2.7814249999999998E-6</v>
      </c>
      <c r="I1912">
        <v>304.53469999999999</v>
      </c>
      <c r="J1912">
        <v>-191.42359999999999</v>
      </c>
      <c r="K1912">
        <v>1.1083970000000001</v>
      </c>
      <c r="L1912">
        <v>340.11009999999999</v>
      </c>
      <c r="M1912">
        <v>6.5821899999999905E-2</v>
      </c>
      <c r="N1912">
        <v>0</v>
      </c>
      <c r="O1912">
        <v>-0.99782870000000001</v>
      </c>
      <c r="P1912">
        <v>1.807187E-2</v>
      </c>
      <c r="Q1912">
        <v>-1.3956430000000001E-2</v>
      </c>
      <c r="R1912">
        <v>-0.9997395</v>
      </c>
      <c r="S1912">
        <v>-8.7554930000000003E-2</v>
      </c>
      <c r="T1912">
        <v>-9.2980380000000001E-2</v>
      </c>
      <c r="U1912">
        <v>-3.001404</v>
      </c>
      <c r="V1912">
        <v>4.776387E-2</v>
      </c>
      <c r="W1912">
        <v>-1.159496E-2</v>
      </c>
      <c r="X1912">
        <v>0.99879130000000005</v>
      </c>
      <c r="Y1912">
        <v>9.4875860000000006E-2</v>
      </c>
      <c r="Z1912">
        <v>3.0786979999999999E-2</v>
      </c>
      <c r="AA1912">
        <v>0.99501289999999998</v>
      </c>
      <c r="AB1912">
        <v>21</v>
      </c>
      <c r="AC1912">
        <v>-1.05610000000001</v>
      </c>
      <c r="AD1912">
        <v>-1.108399781425</v>
      </c>
      <c r="AE1912">
        <v>-35.575400000000002</v>
      </c>
      <c r="AF1912">
        <v>3.39216647693884</v>
      </c>
      <c r="AG1912">
        <v>-1.108399781425</v>
      </c>
      <c r="AH1912">
        <v>35.394407874315199</v>
      </c>
      <c r="AI1912">
        <v>91.785493926213903</v>
      </c>
      <c r="AJ1912">
        <v>84.525547157733698</v>
      </c>
      <c r="AK1912">
        <v>35.573859113907098</v>
      </c>
      <c r="AL1912">
        <v>90.664357194661704</v>
      </c>
      <c r="AM1912">
        <v>87.262105858648596</v>
      </c>
      <c r="AN1912">
        <v>0.99999994566523198</v>
      </c>
    </row>
    <row r="1913" spans="1:40" x14ac:dyDescent="0.25">
      <c r="A1913" t="str">
        <f>"20190312153924331"</f>
        <v>20190312153924331</v>
      </c>
      <c r="B1913" t="str">
        <f>"1552376364317463"</f>
        <v>1552376364317463</v>
      </c>
      <c r="C1913" t="s">
        <v>40</v>
      </c>
      <c r="D1913">
        <v>4.3927459999999998</v>
      </c>
      <c r="E1913">
        <v>0.51873369999999996</v>
      </c>
      <c r="F1913" t="s">
        <v>42</v>
      </c>
      <c r="G1913">
        <v>-192.5445</v>
      </c>
      <c r="H1913" s="1">
        <v>-2.8030870000000002E-6</v>
      </c>
      <c r="I1913">
        <v>304.54500000000002</v>
      </c>
      <c r="J1913">
        <v>-191.41069999999999</v>
      </c>
      <c r="K1913">
        <v>1.108522</v>
      </c>
      <c r="L1913">
        <v>339.90359999999998</v>
      </c>
      <c r="M1913">
        <v>6.52943E-2</v>
      </c>
      <c r="N1913">
        <v>0</v>
      </c>
      <c r="O1913">
        <v>-0.99786260000000004</v>
      </c>
      <c r="P1913">
        <v>1.6090400000000001E-2</v>
      </c>
      <c r="Q1913">
        <v>-1.351955E-2</v>
      </c>
      <c r="R1913">
        <v>-0.99977950000000004</v>
      </c>
      <c r="S1913">
        <v>-9.4589229999999996E-2</v>
      </c>
      <c r="T1913">
        <v>-9.3534229999999996E-2</v>
      </c>
      <c r="U1913">
        <v>-3.0012210000000001</v>
      </c>
      <c r="V1913">
        <v>4.9218669999999999E-2</v>
      </c>
      <c r="W1913">
        <v>-1.079333E-2</v>
      </c>
      <c r="X1913">
        <v>0.99872969999999905</v>
      </c>
      <c r="Y1913">
        <v>9.6680970000000005E-2</v>
      </c>
      <c r="Z1913">
        <v>3.0969900000000002E-2</v>
      </c>
      <c r="AA1913">
        <v>0.99483350000000004</v>
      </c>
      <c r="AB1913">
        <v>21</v>
      </c>
      <c r="AC1913">
        <v>-1.1337999999999999</v>
      </c>
      <c r="AD1913">
        <v>-1.1085248030869901</v>
      </c>
      <c r="AE1913">
        <v>-35.358599999999903</v>
      </c>
      <c r="AF1913">
        <v>3.43672907172449</v>
      </c>
      <c r="AG1913">
        <v>-1.1085248030869901</v>
      </c>
      <c r="AH1913">
        <v>35.174578179783097</v>
      </c>
      <c r="AI1913">
        <v>91.796526717722898</v>
      </c>
      <c r="AJ1913">
        <v>84.419633107860193</v>
      </c>
      <c r="AK1913">
        <v>35.359452542102098</v>
      </c>
      <c r="AL1913">
        <v>90.618424267596495</v>
      </c>
      <c r="AM1913">
        <v>87.178673626953795</v>
      </c>
      <c r="AN1913">
        <v>0.99999999355557301</v>
      </c>
    </row>
    <row r="1914" spans="1:40" x14ac:dyDescent="0.25">
      <c r="A1914" t="str">
        <f>"20190312153924354"</f>
        <v>20190312153924354</v>
      </c>
      <c r="B1914" t="str">
        <f>"1552376364347720"</f>
        <v>1552376364347720</v>
      </c>
      <c r="C1914" t="s">
        <v>40</v>
      </c>
      <c r="D1914">
        <v>4.3299019999999997</v>
      </c>
      <c r="E1914">
        <v>0.51857989999999998</v>
      </c>
      <c r="F1914" t="s">
        <v>42</v>
      </c>
      <c r="G1914">
        <v>-192.62549999999999</v>
      </c>
      <c r="H1914" s="1">
        <v>-2.4396989999999999E-6</v>
      </c>
      <c r="I1914">
        <v>303.64769999999999</v>
      </c>
      <c r="J1914">
        <v>-191.39680000000001</v>
      </c>
      <c r="K1914">
        <v>1.108649</v>
      </c>
      <c r="L1914">
        <v>339.68380000000002</v>
      </c>
      <c r="M1914">
        <v>6.4908999999999994E-2</v>
      </c>
      <c r="N1914">
        <v>0</v>
      </c>
      <c r="O1914">
        <v>-0.99788659999999996</v>
      </c>
      <c r="P1914">
        <v>1.4535940000000001E-2</v>
      </c>
      <c r="Q1914">
        <v>-1.291263E-2</v>
      </c>
      <c r="R1914">
        <v>-0.99981109999999895</v>
      </c>
      <c r="S1914">
        <v>-0.1005554</v>
      </c>
      <c r="T1914">
        <v>-9.1756820000000003E-2</v>
      </c>
      <c r="U1914">
        <v>-3.0010379999999999</v>
      </c>
      <c r="V1914">
        <v>5.0389219999999998E-2</v>
      </c>
      <c r="W1914">
        <v>-9.8364579999999993E-3</v>
      </c>
      <c r="X1914">
        <v>0.99868120000000005</v>
      </c>
      <c r="Y1914">
        <v>9.8274799999999995E-2</v>
      </c>
      <c r="Z1914">
        <v>3.038157E-2</v>
      </c>
      <c r="AA1914">
        <v>0.99469540000000001</v>
      </c>
      <c r="AB1914">
        <v>21</v>
      </c>
      <c r="AC1914">
        <v>-1.2286999999999699</v>
      </c>
      <c r="AD1914">
        <v>-1.1086514396989999</v>
      </c>
      <c r="AE1914">
        <v>-36.036099999999998</v>
      </c>
      <c r="AF1914">
        <v>3.5618195006195998</v>
      </c>
      <c r="AG1914">
        <v>-1.1086514396989999</v>
      </c>
      <c r="AH1914">
        <v>35.846463065090198</v>
      </c>
      <c r="AI1914">
        <v>91.762791285701397</v>
      </c>
      <c r="AJ1914">
        <v>84.325533489804997</v>
      </c>
      <c r="AK1914">
        <v>36.040041349124699</v>
      </c>
      <c r="AL1914">
        <v>90.563596626396901</v>
      </c>
      <c r="AM1914">
        <v>87.111547302864295</v>
      </c>
      <c r="AN1914">
        <v>0.99999998431581605</v>
      </c>
    </row>
    <row r="1915" spans="1:40" x14ac:dyDescent="0.25">
      <c r="A1915" t="str">
        <f>"20190312153924378"</f>
        <v>20190312153924378</v>
      </c>
      <c r="B1915" t="str">
        <f>"1552376364367241"</f>
        <v>1552376364367241</v>
      </c>
      <c r="C1915" t="s">
        <v>40</v>
      </c>
      <c r="D1915">
        <v>4.2997059999999996</v>
      </c>
      <c r="E1915">
        <v>0.51848470000000002</v>
      </c>
      <c r="F1915" t="s">
        <v>42</v>
      </c>
      <c r="G1915">
        <v>-192.67740000000001</v>
      </c>
      <c r="H1915" s="1">
        <v>-2.042371E-6</v>
      </c>
      <c r="I1915">
        <v>302.6893</v>
      </c>
      <c r="J1915">
        <v>-191.38220000000001</v>
      </c>
      <c r="K1915">
        <v>1.1087750000000001</v>
      </c>
      <c r="L1915">
        <v>339.45350000000002</v>
      </c>
      <c r="M1915">
        <v>6.4695719999999998E-2</v>
      </c>
      <c r="N1915">
        <v>0</v>
      </c>
      <c r="O1915">
        <v>-0.99789919999999999</v>
      </c>
      <c r="P1915">
        <v>1.3168030000000001E-2</v>
      </c>
      <c r="Q1915">
        <v>-1.267368E-2</v>
      </c>
      <c r="R1915">
        <v>-0.99983279999999997</v>
      </c>
      <c r="S1915">
        <v>-0.1038818</v>
      </c>
      <c r="T1915">
        <v>-8.9931369999999997E-2</v>
      </c>
      <c r="U1915">
        <v>-3.0009160000000001</v>
      </c>
      <c r="V1915">
        <v>5.1544710000000001E-2</v>
      </c>
      <c r="W1915">
        <v>-9.2722169999999993E-3</v>
      </c>
      <c r="X1915">
        <v>0.99862770000000001</v>
      </c>
      <c r="Y1915">
        <v>9.9165450000000002E-2</v>
      </c>
      <c r="Z1915">
        <v>2.9777640000000001E-2</v>
      </c>
      <c r="AA1915">
        <v>0.99462530000000005</v>
      </c>
      <c r="AB1915">
        <v>21</v>
      </c>
      <c r="AC1915">
        <v>-1.2951999999999899</v>
      </c>
      <c r="AD1915">
        <v>-1.1087770423709999</v>
      </c>
      <c r="AE1915">
        <v>-36.764200000000002</v>
      </c>
      <c r="AF1915">
        <v>3.6676549478907501</v>
      </c>
      <c r="AG1915">
        <v>-1.1087770423709999</v>
      </c>
      <c r="AH1915">
        <v>36.570163046492503</v>
      </c>
      <c r="AI1915">
        <v>91.727965427136894</v>
      </c>
      <c r="AJ1915">
        <v>84.272904425381199</v>
      </c>
      <c r="AK1915">
        <v>36.770340011937897</v>
      </c>
      <c r="AL1915">
        <v>90.531266483158902</v>
      </c>
      <c r="AM1915">
        <v>87.045269386547602</v>
      </c>
      <c r="AN1915">
        <v>1.0000000571721801</v>
      </c>
    </row>
    <row r="1916" spans="1:40" x14ac:dyDescent="0.25">
      <c r="A1916" t="str">
        <f>"20190312153924401"</f>
        <v>20190312153924401</v>
      </c>
      <c r="B1916" t="str">
        <f>"1552376364397496"</f>
        <v>1552376364397496</v>
      </c>
      <c r="C1916" t="s">
        <v>40</v>
      </c>
      <c r="D1916">
        <v>4.2276619999999996</v>
      </c>
      <c r="E1916">
        <v>0.51827319999999999</v>
      </c>
      <c r="F1916" t="s">
        <v>42</v>
      </c>
      <c r="G1916">
        <v>-192.72290000000001</v>
      </c>
      <c r="H1916" s="1">
        <v>-1.713269E-6</v>
      </c>
      <c r="I1916">
        <v>301.89400000000001</v>
      </c>
      <c r="J1916">
        <v>-191.3682</v>
      </c>
      <c r="K1916">
        <v>1.1088709999999999</v>
      </c>
      <c r="L1916">
        <v>339.23669999999998</v>
      </c>
      <c r="M1916">
        <v>6.4638950000000001E-2</v>
      </c>
      <c r="N1916">
        <v>0</v>
      </c>
      <c r="O1916">
        <v>-0.99790230000000002</v>
      </c>
      <c r="P1916">
        <v>1.2314780000000001E-2</v>
      </c>
      <c r="Q1916">
        <v>-1.17013E-2</v>
      </c>
      <c r="R1916">
        <v>-0.99985579999999996</v>
      </c>
      <c r="S1916">
        <v>-0.1071167</v>
      </c>
      <c r="T1916">
        <v>-8.8586810000000002E-2</v>
      </c>
      <c r="U1916">
        <v>-3.0008539999999999</v>
      </c>
      <c r="V1916">
        <v>5.2342369999999999E-2</v>
      </c>
      <c r="W1916">
        <v>-8.0346099999999993E-3</v>
      </c>
      <c r="X1916">
        <v>0.99859679999999995</v>
      </c>
      <c r="Y1916">
        <v>0.1001809</v>
      </c>
      <c r="Z1916">
        <v>2.9331530000000001E-2</v>
      </c>
      <c r="AA1916">
        <v>0.9945368</v>
      </c>
      <c r="AB1916">
        <v>21</v>
      </c>
      <c r="AC1916">
        <v>-1.3547</v>
      </c>
      <c r="AD1916">
        <v>-1.1088727132689999</v>
      </c>
      <c r="AE1916">
        <v>-37.342699999999901</v>
      </c>
      <c r="AF1916">
        <v>3.76236212318268</v>
      </c>
      <c r="AG1916">
        <v>-1.1088727132689999</v>
      </c>
      <c r="AH1916">
        <v>37.1443284204367</v>
      </c>
      <c r="AI1916">
        <v>91.701248048254499</v>
      </c>
      <c r="AJ1916">
        <v>84.216216491898606</v>
      </c>
      <c r="AK1916">
        <v>37.350851412591098</v>
      </c>
      <c r="AL1916">
        <v>90.460354231222396</v>
      </c>
      <c r="AM1916">
        <v>86.999534847962707</v>
      </c>
      <c r="AN1916">
        <v>0.99999992381265101</v>
      </c>
    </row>
    <row r="1917" spans="1:40" x14ac:dyDescent="0.25">
      <c r="A1917" t="str">
        <f>"20190312153924421"</f>
        <v>20190312153924421</v>
      </c>
      <c r="B1917" t="str">
        <f>"1552376364417992"</f>
        <v>1552376364417992</v>
      </c>
      <c r="C1917" t="s">
        <v>40</v>
      </c>
      <c r="D1917">
        <v>4.1822280000000003</v>
      </c>
      <c r="E1917">
        <v>0.51809759999999905</v>
      </c>
      <c r="F1917" t="s">
        <v>42</v>
      </c>
      <c r="G1917">
        <v>-192.79320000000001</v>
      </c>
      <c r="H1917" s="1">
        <v>-7.9127679999999996E-7</v>
      </c>
      <c r="I1917">
        <v>299.70119999999997</v>
      </c>
      <c r="J1917">
        <v>-191.3553</v>
      </c>
      <c r="K1917">
        <v>1.10893</v>
      </c>
      <c r="L1917">
        <v>339.03730000000002</v>
      </c>
      <c r="M1917">
        <v>6.4655980000000002E-2</v>
      </c>
      <c r="N1917">
        <v>0</v>
      </c>
      <c r="O1917">
        <v>-0.99790040000000002</v>
      </c>
      <c r="P1917">
        <v>1.191506E-2</v>
      </c>
      <c r="Q1917">
        <v>-1.096987E-2</v>
      </c>
      <c r="R1917">
        <v>-0.99986909999999896</v>
      </c>
      <c r="S1917">
        <v>-0.10815429999999999</v>
      </c>
      <c r="T1917">
        <v>-8.4164859999999994E-2</v>
      </c>
      <c r="U1917">
        <v>-3.0007929999999998</v>
      </c>
      <c r="V1917">
        <v>5.2759830000000001E-2</v>
      </c>
      <c r="W1917">
        <v>-7.0884590000000001E-3</v>
      </c>
      <c r="X1917">
        <v>0.99858210000000003</v>
      </c>
      <c r="Y1917">
        <v>0.1005436</v>
      </c>
      <c r="Z1917">
        <v>2.786841E-2</v>
      </c>
      <c r="AA1917">
        <v>0.99454229999999999</v>
      </c>
      <c r="AB1917">
        <v>22</v>
      </c>
      <c r="AC1917">
        <v>-1.4379000000000099</v>
      </c>
      <c r="AD1917">
        <v>-1.1089307912768001</v>
      </c>
      <c r="AE1917">
        <v>-39.336100000000002</v>
      </c>
      <c r="AF1917">
        <v>3.9750687759256502</v>
      </c>
      <c r="AG1917">
        <v>-1.1089307912768001</v>
      </c>
      <c r="AH1917">
        <v>39.129766390666099</v>
      </c>
      <c r="AI1917">
        <v>91.615010423877195</v>
      </c>
      <c r="AJ1917">
        <v>84.199402818139802</v>
      </c>
      <c r="AK1917">
        <v>39.3467853459629</v>
      </c>
      <c r="AL1917">
        <v>90.406142173743106</v>
      </c>
      <c r="AM1917">
        <v>86.975604253831307</v>
      </c>
      <c r="AN1917">
        <v>1.00000002817651</v>
      </c>
    </row>
    <row r="1918" spans="1:40" x14ac:dyDescent="0.25">
      <c r="A1918" t="str">
        <f>"20190312153924443"</f>
        <v>20190312153924443</v>
      </c>
      <c r="B1918" t="str">
        <f>"1552376364437512"</f>
        <v>1552376364437512</v>
      </c>
      <c r="C1918" t="s">
        <v>40</v>
      </c>
      <c r="D1918">
        <v>4.1582179999999997</v>
      </c>
      <c r="E1918">
        <v>0.51795820000000004</v>
      </c>
      <c r="F1918" t="s">
        <v>54</v>
      </c>
      <c r="G1918">
        <v>-192.83600000000001</v>
      </c>
      <c r="H1918" s="1">
        <v>3.708157E-7</v>
      </c>
      <c r="I1918">
        <v>297.84519999999998</v>
      </c>
      <c r="J1918">
        <v>-191.34129999999999</v>
      </c>
      <c r="K1918">
        <v>1.1089659999999999</v>
      </c>
      <c r="L1918">
        <v>338.8218</v>
      </c>
      <c r="M1918">
        <v>6.4730549999999998E-2</v>
      </c>
      <c r="N1918">
        <v>0</v>
      </c>
      <c r="O1918">
        <v>-0.99789459999999996</v>
      </c>
      <c r="P1918">
        <v>1.1582429999999999E-2</v>
      </c>
      <c r="Q1918">
        <v>-9.7648179999999998E-3</v>
      </c>
      <c r="R1918">
        <v>-0.99988529999999998</v>
      </c>
      <c r="S1918">
        <v>-0.1078644</v>
      </c>
      <c r="T1918">
        <v>-8.0784919999999996E-2</v>
      </c>
      <c r="U1918">
        <v>-3.0008240000000002</v>
      </c>
      <c r="V1918">
        <v>5.316742E-2</v>
      </c>
      <c r="W1918">
        <v>-5.682734E-3</v>
      </c>
      <c r="X1918">
        <v>0.99856940000000005</v>
      </c>
      <c r="Y1918">
        <v>0.1005228</v>
      </c>
      <c r="Z1918">
        <v>2.674969E-2</v>
      </c>
      <c r="AA1918">
        <v>0.99457510000000005</v>
      </c>
      <c r="AB1918">
        <v>22</v>
      </c>
      <c r="AC1918">
        <v>-1.4946999999999899</v>
      </c>
      <c r="AD1918">
        <v>-1.1089656291843</v>
      </c>
      <c r="AE1918">
        <v>-40.976599999999998</v>
      </c>
      <c r="AF1918">
        <v>4.1409957889232798</v>
      </c>
      <c r="AG1918">
        <v>-1.1089656291843</v>
      </c>
      <c r="AH1918">
        <v>40.7640910115636</v>
      </c>
      <c r="AI1918">
        <v>91.550342317957998</v>
      </c>
      <c r="AJ1918">
        <v>84.199540320669399</v>
      </c>
      <c r="AK1918">
        <v>40.988885894710997</v>
      </c>
      <c r="AL1918">
        <v>90.325598440659803</v>
      </c>
      <c r="AM1918">
        <v>86.952244823487902</v>
      </c>
      <c r="AN1918">
        <v>0.99999995731576397</v>
      </c>
    </row>
    <row r="1919" spans="1:40" x14ac:dyDescent="0.25">
      <c r="A1919" t="str">
        <f>"20190312153924466"</f>
        <v>20190312153924466</v>
      </c>
      <c r="B1919" t="str">
        <f>"1552376364458008"</f>
        <v>1552376364458008</v>
      </c>
      <c r="C1919" t="s">
        <v>40</v>
      </c>
      <c r="D1919">
        <v>4.0888559999999998</v>
      </c>
      <c r="E1919">
        <v>0.51781169999999999</v>
      </c>
      <c r="F1919" t="s">
        <v>54</v>
      </c>
      <c r="G1919">
        <v>-192.9204</v>
      </c>
      <c r="H1919" s="1">
        <v>1.4411489999999999E-6</v>
      </c>
      <c r="I1919">
        <v>294.7962</v>
      </c>
      <c r="J1919">
        <v>-191.32650000000001</v>
      </c>
      <c r="K1919">
        <v>1.1089770000000001</v>
      </c>
      <c r="L1919">
        <v>338.59539999999998</v>
      </c>
      <c r="M1919">
        <v>6.484964E-2</v>
      </c>
      <c r="N1919">
        <v>0</v>
      </c>
      <c r="O1919">
        <v>-0.9978861</v>
      </c>
      <c r="P1919">
        <v>1.173921E-2</v>
      </c>
      <c r="Q1919">
        <v>-8.5219259999999904E-3</v>
      </c>
      <c r="R1919">
        <v>-0.99989459999999997</v>
      </c>
      <c r="S1919">
        <v>-0.1076355</v>
      </c>
      <c r="T1919">
        <v>-7.5590249999999998E-2</v>
      </c>
      <c r="U1919">
        <v>-3.0009160000000001</v>
      </c>
      <c r="V1919">
        <v>5.313035E-2</v>
      </c>
      <c r="W1919">
        <v>-4.2662139999999999E-3</v>
      </c>
      <c r="X1919">
        <v>0.99857850000000004</v>
      </c>
      <c r="Y1919">
        <v>0.1005663</v>
      </c>
      <c r="Z1919">
        <v>2.502967E-2</v>
      </c>
      <c r="AA1919">
        <v>0.99461549999999999</v>
      </c>
      <c r="AB1919">
        <v>22</v>
      </c>
      <c r="AC1919">
        <v>-1.5938999999999901</v>
      </c>
      <c r="AD1919">
        <v>-1.108975558851</v>
      </c>
      <c r="AE1919">
        <v>-43.7991999999999</v>
      </c>
      <c r="AF1919">
        <v>4.4280975595719703</v>
      </c>
      <c r="AG1919">
        <v>-1.108975558851</v>
      </c>
      <c r="AH1919">
        <v>43.5757397685718</v>
      </c>
      <c r="AI1919">
        <v>91.450361399881402</v>
      </c>
      <c r="AJ1919">
        <v>84.197611466421094</v>
      </c>
      <c r="AK1919">
        <v>43.814186870984003</v>
      </c>
      <c r="AL1919">
        <v>90.244436791422402</v>
      </c>
      <c r="AM1919">
        <v>86.954393514831807</v>
      </c>
      <c r="AN1919">
        <v>1.00000002766763</v>
      </c>
    </row>
    <row r="1920" spans="1:40" x14ac:dyDescent="0.25">
      <c r="A1920" t="str">
        <f>"20190312153924489"</f>
        <v>20190312153924489</v>
      </c>
      <c r="B1920" t="str">
        <f>"1552376364477527"</f>
        <v>1552376364477527</v>
      </c>
      <c r="C1920" t="s">
        <v>40</v>
      </c>
      <c r="D1920">
        <v>4.097423</v>
      </c>
      <c r="E1920">
        <v>0.51766000000000001</v>
      </c>
      <c r="F1920" t="s">
        <v>54</v>
      </c>
      <c r="G1920">
        <v>-193.00839999999999</v>
      </c>
      <c r="H1920" s="1">
        <v>2.4949750000000002E-6</v>
      </c>
      <c r="I1920">
        <v>291.02760000000001</v>
      </c>
      <c r="J1920">
        <v>-191.31200000000001</v>
      </c>
      <c r="K1920">
        <v>1.1089709999999999</v>
      </c>
      <c r="L1920">
        <v>338.37490000000003</v>
      </c>
      <c r="M1920">
        <v>6.4983979999999997E-2</v>
      </c>
      <c r="N1920">
        <v>0</v>
      </c>
      <c r="O1920">
        <v>-0.99787700000000001</v>
      </c>
      <c r="P1920">
        <v>1.2456099999999999E-2</v>
      </c>
      <c r="Q1920">
        <v>-6.8104259999999996E-3</v>
      </c>
      <c r="R1920">
        <v>-0.99989939999999999</v>
      </c>
      <c r="S1920">
        <v>-0.1061096</v>
      </c>
      <c r="T1920">
        <v>-6.9963339999999999E-2</v>
      </c>
      <c r="U1920">
        <v>-3.0009769999999998</v>
      </c>
      <c r="V1920">
        <v>5.2549039999999998E-2</v>
      </c>
      <c r="W1920">
        <v>-2.423784E-3</v>
      </c>
      <c r="X1920">
        <v>0.99861540000000004</v>
      </c>
      <c r="Y1920">
        <v>0.10019599999999999</v>
      </c>
      <c r="Z1920">
        <v>2.316739E-2</v>
      </c>
      <c r="AA1920">
        <v>0.99469790000000002</v>
      </c>
      <c r="AB1920">
        <v>22</v>
      </c>
      <c r="AC1920">
        <v>-1.6963999999999799</v>
      </c>
      <c r="AD1920">
        <v>-1.108968505025</v>
      </c>
      <c r="AE1920">
        <v>-47.347299999999997</v>
      </c>
      <c r="AF1920">
        <v>4.7670470358241301</v>
      </c>
      <c r="AG1920">
        <v>-1.108968505025</v>
      </c>
      <c r="AH1920">
        <v>47.111169062486702</v>
      </c>
      <c r="AI1920">
        <v>91.341610806852202</v>
      </c>
      <c r="AJ1920">
        <v>84.222067041592894</v>
      </c>
      <c r="AK1920">
        <v>47.364721038142903</v>
      </c>
      <c r="AL1920">
        <v>90.138872730079498</v>
      </c>
      <c r="AM1920">
        <v>86.987765510812906</v>
      </c>
      <c r="AN1920">
        <v>0.99999999672548001</v>
      </c>
    </row>
    <row r="1921" spans="1:40" x14ac:dyDescent="0.25">
      <c r="A1921" t="str">
        <f>"20190312153924510"</f>
        <v>20190312153924510</v>
      </c>
      <c r="B1921" t="str">
        <f>"1552376364507593"</f>
        <v>1552376364507593</v>
      </c>
      <c r="C1921" t="s">
        <v>40</v>
      </c>
      <c r="D1921">
        <v>4.0651630000000001</v>
      </c>
      <c r="E1921">
        <v>0.51751009999999997</v>
      </c>
      <c r="F1921" t="s">
        <v>54</v>
      </c>
      <c r="G1921">
        <v>-193.12450000000001</v>
      </c>
      <c r="H1921" s="1">
        <v>3.3339130000000001E-6</v>
      </c>
      <c r="I1921">
        <v>285.49079999999998</v>
      </c>
      <c r="J1921">
        <v>-191.29810000000001</v>
      </c>
      <c r="K1921">
        <v>1.108946</v>
      </c>
      <c r="L1921">
        <v>338.16340000000002</v>
      </c>
      <c r="M1921">
        <v>6.5111909999999995E-2</v>
      </c>
      <c r="N1921">
        <v>0</v>
      </c>
      <c r="O1921">
        <v>-0.99786790000000003</v>
      </c>
      <c r="P1921">
        <v>1.3791909999999999E-2</v>
      </c>
      <c r="Q1921">
        <v>-6.6650040000000004E-3</v>
      </c>
      <c r="R1921">
        <v>-0.99988290000000002</v>
      </c>
      <c r="S1921">
        <v>-0.10285950000000001</v>
      </c>
      <c r="T1921">
        <v>-6.2934279999999995E-2</v>
      </c>
      <c r="U1921">
        <v>-3.0011899999999998</v>
      </c>
      <c r="V1921">
        <v>5.1342890000000002E-2</v>
      </c>
      <c r="W1921">
        <v>-2.1923519999999998E-3</v>
      </c>
      <c r="X1921">
        <v>0.99867870000000003</v>
      </c>
      <c r="Y1921">
        <v>9.9246970000000004E-2</v>
      </c>
      <c r="Z1921">
        <v>2.0840540000000001E-2</v>
      </c>
      <c r="AA1921">
        <v>0.99484459999999997</v>
      </c>
      <c r="AB1921">
        <v>22</v>
      </c>
      <c r="AC1921">
        <v>-1.8264</v>
      </c>
      <c r="AD1921">
        <v>-1.1089426660870001</v>
      </c>
      <c r="AE1921">
        <v>-52.672600000000003</v>
      </c>
      <c r="AF1921">
        <v>5.2498480899554201</v>
      </c>
      <c r="AG1921">
        <v>-1.1089426660870001</v>
      </c>
      <c r="AH1921">
        <v>52.418696544425899</v>
      </c>
      <c r="AI1921">
        <v>91.205907891168096</v>
      </c>
      <c r="AJ1921">
        <v>84.280772580432</v>
      </c>
      <c r="AK1921">
        <v>52.692602955451697</v>
      </c>
      <c r="AL1921">
        <v>90.125612614630597</v>
      </c>
      <c r="AM1921">
        <v>87.056968100447705</v>
      </c>
      <c r="AN1921">
        <v>1.00000002229726</v>
      </c>
    </row>
    <row r="1922" spans="1:40" x14ac:dyDescent="0.25">
      <c r="A1922" t="str">
        <f>"20190312153924531"</f>
        <v>20190312153924531</v>
      </c>
      <c r="B1922" t="str">
        <f>"1552376364528088"</f>
        <v>1552376364528088</v>
      </c>
      <c r="C1922" t="s">
        <v>40</v>
      </c>
      <c r="D1922">
        <v>4.025779</v>
      </c>
      <c r="E1922">
        <v>0.51740559999999902</v>
      </c>
      <c r="F1922" t="s">
        <v>54</v>
      </c>
      <c r="G1922">
        <v>-193.12049999999999</v>
      </c>
      <c r="H1922" s="1">
        <v>3.6176930000000001E-6</v>
      </c>
      <c r="I1922">
        <v>282.25290000000001</v>
      </c>
      <c r="J1922">
        <v>-191.28370000000001</v>
      </c>
      <c r="K1922">
        <v>1.108916</v>
      </c>
      <c r="L1922">
        <v>337.9434</v>
      </c>
      <c r="M1922">
        <v>6.5232570000000004E-2</v>
      </c>
      <c r="N1922">
        <v>0</v>
      </c>
      <c r="O1922">
        <v>-0.99786010000000003</v>
      </c>
      <c r="P1922">
        <v>1.48793999999999E-2</v>
      </c>
      <c r="Q1922">
        <v>-7.148855E-3</v>
      </c>
      <c r="R1922">
        <v>-0.99986390000000003</v>
      </c>
      <c r="S1922">
        <v>-9.7824099999999997E-2</v>
      </c>
      <c r="T1922">
        <v>-5.9528230000000001E-2</v>
      </c>
      <c r="U1922">
        <v>-3.0012819999999998</v>
      </c>
      <c r="V1922">
        <v>5.0377249999999998E-2</v>
      </c>
      <c r="W1922">
        <v>-2.6346989999999999E-3</v>
      </c>
      <c r="X1922">
        <v>0.99872680000000003</v>
      </c>
      <c r="Y1922">
        <v>9.7699659999999994E-2</v>
      </c>
      <c r="Z1922">
        <v>1.9714329999999999E-2</v>
      </c>
      <c r="AA1922">
        <v>0.99502069999999998</v>
      </c>
      <c r="AB1922">
        <v>22</v>
      </c>
      <c r="AC1922">
        <v>-1.83679999999998</v>
      </c>
      <c r="AD1922">
        <v>-1.108912382307</v>
      </c>
      <c r="AE1922">
        <v>-55.690499999999901</v>
      </c>
      <c r="AF1922">
        <v>5.4635944384703201</v>
      </c>
      <c r="AG1922">
        <v>-1.108912382307</v>
      </c>
      <c r="AH1922">
        <v>55.430107768913999</v>
      </c>
      <c r="AI1922">
        <v>91.140557693451598</v>
      </c>
      <c r="AJ1922">
        <v>84.370694914239394</v>
      </c>
      <c r="AK1922">
        <v>55.709760348911402</v>
      </c>
      <c r="AL1922">
        <v>90.150957305372202</v>
      </c>
      <c r="AM1922">
        <v>87.112363922501402</v>
      </c>
      <c r="AN1922">
        <v>1.0000000149973101</v>
      </c>
    </row>
    <row r="1923" spans="1:40" x14ac:dyDescent="0.25">
      <c r="A1923" t="str">
        <f>"20190312153924556"</f>
        <v>20190312153924556</v>
      </c>
      <c r="B1923" t="str">
        <f>"1552376364547608"</f>
        <v>1552376364547608</v>
      </c>
      <c r="C1923" t="s">
        <v>40</v>
      </c>
      <c r="D1923">
        <v>3.987053</v>
      </c>
      <c r="E1923">
        <v>0.5173373</v>
      </c>
      <c r="F1923" t="s">
        <v>54</v>
      </c>
      <c r="G1923">
        <v>-193.05500000000001</v>
      </c>
      <c r="H1923" s="1">
        <v>3.7175369999999999E-6</v>
      </c>
      <c r="I1923">
        <v>281.24369999999999</v>
      </c>
      <c r="J1923">
        <v>-191.2679</v>
      </c>
      <c r="K1923">
        <v>1.108881</v>
      </c>
      <c r="L1923">
        <v>337.70440000000002</v>
      </c>
      <c r="M1923">
        <v>6.5345349999999996E-2</v>
      </c>
      <c r="N1923">
        <v>0</v>
      </c>
      <c r="O1923">
        <v>-0.99785270000000004</v>
      </c>
      <c r="P1923">
        <v>1.5855379999999999E-2</v>
      </c>
      <c r="Q1923">
        <v>-8.4295599999999991E-3</v>
      </c>
      <c r="R1923">
        <v>-0.99983889999999997</v>
      </c>
      <c r="S1923">
        <v>-9.3765260000000003E-2</v>
      </c>
      <c r="T1923">
        <v>-5.870044E-2</v>
      </c>
      <c r="U1923">
        <v>-3.001404</v>
      </c>
      <c r="V1923">
        <v>4.9514759999999998E-2</v>
      </c>
      <c r="W1923">
        <v>-3.9312779999999999E-3</v>
      </c>
      <c r="X1923">
        <v>0.99876560000000003</v>
      </c>
      <c r="Y1923">
        <v>9.6466709999999997E-2</v>
      </c>
      <c r="Z1923">
        <v>1.9440880000000001E-2</v>
      </c>
      <c r="AA1923">
        <v>0.99514630000000004</v>
      </c>
      <c r="AB1923">
        <v>22</v>
      </c>
      <c r="AC1923">
        <v>-1.7870999999999999</v>
      </c>
      <c r="AD1923">
        <v>-1.108877282463</v>
      </c>
      <c r="AE1923">
        <v>-56.460700000000003</v>
      </c>
      <c r="AF1923">
        <v>5.4706533809407798</v>
      </c>
      <c r="AG1923">
        <v>-1.108877282463</v>
      </c>
      <c r="AH1923">
        <v>56.201588283055898</v>
      </c>
      <c r="AI1923">
        <v>91.125003618552995</v>
      </c>
      <c r="AJ1923">
        <v>84.440353374595901</v>
      </c>
      <c r="AK1923">
        <v>56.478103569260199</v>
      </c>
      <c r="AL1923">
        <v>90.225246230061799</v>
      </c>
      <c r="AM1923">
        <v>87.1618305961332</v>
      </c>
      <c r="AN1923">
        <v>0.99999994507396395</v>
      </c>
    </row>
    <row r="1924" spans="1:40" x14ac:dyDescent="0.25">
      <c r="A1924" t="str">
        <f>"20190312153924579"</f>
        <v>20190312153924579</v>
      </c>
      <c r="B1924" t="str">
        <f>"1552376364568107"</f>
        <v>1552376364568107</v>
      </c>
      <c r="C1924" t="s">
        <v>40</v>
      </c>
      <c r="D1924">
        <v>3.9419960000000001</v>
      </c>
      <c r="E1924">
        <v>0.50837929999999998</v>
      </c>
      <c r="F1924" t="s">
        <v>54</v>
      </c>
      <c r="G1924">
        <v>-192.89279999999999</v>
      </c>
      <c r="H1924" s="1">
        <v>3.535881E-6</v>
      </c>
      <c r="I1924">
        <v>283.65069999999997</v>
      </c>
      <c r="J1924">
        <v>-191.25239999999999</v>
      </c>
      <c r="K1924">
        <v>1.108841</v>
      </c>
      <c r="L1924">
        <v>337.46940000000001</v>
      </c>
      <c r="M1924">
        <v>6.5438750000000004E-2</v>
      </c>
      <c r="N1924">
        <v>0</v>
      </c>
      <c r="O1924">
        <v>-0.99784700000000004</v>
      </c>
      <c r="P1924">
        <v>1.614575E-2</v>
      </c>
      <c r="Q1924">
        <v>-8.7679719999999902E-3</v>
      </c>
      <c r="R1924">
        <v>-0.99983140000000004</v>
      </c>
      <c r="S1924">
        <v>-9.0225219999999995E-2</v>
      </c>
      <c r="T1924">
        <v>-6.1572549999999997E-2</v>
      </c>
      <c r="U1924">
        <v>-3.0014340000000002</v>
      </c>
      <c r="V1924">
        <v>4.931791E-2</v>
      </c>
      <c r="W1924">
        <v>-4.3523190000000003E-3</v>
      </c>
      <c r="X1924">
        <v>0.99877360000000004</v>
      </c>
      <c r="Y1924">
        <v>9.538626E-2</v>
      </c>
      <c r="Z1924">
        <v>2.0392730000000001E-2</v>
      </c>
      <c r="AA1924">
        <v>0.99523139999999999</v>
      </c>
      <c r="AB1924">
        <v>22</v>
      </c>
      <c r="AC1924">
        <v>-1.6403999999999901</v>
      </c>
      <c r="AD1924">
        <v>-1.108837464119</v>
      </c>
      <c r="AE1924">
        <v>-53.8187</v>
      </c>
      <c r="AF1924">
        <v>5.1565591431755697</v>
      </c>
      <c r="AG1924">
        <v>-1.108837464119</v>
      </c>
      <c r="AH1924">
        <v>53.573275072896799</v>
      </c>
      <c r="AI1924">
        <v>91.180261892462198</v>
      </c>
      <c r="AJ1924">
        <v>84.502077493722098</v>
      </c>
      <c r="AK1924">
        <v>53.832289796693203</v>
      </c>
      <c r="AL1924">
        <v>90.249370309185593</v>
      </c>
      <c r="AM1924">
        <v>87.173118239203703</v>
      </c>
      <c r="AN1924">
        <v>0.999999951492201</v>
      </c>
    </row>
    <row r="1925" spans="1:40" x14ac:dyDescent="0.25">
      <c r="A1925" t="str">
        <f>"20190312153924602"</f>
        <v>20190312153924602</v>
      </c>
      <c r="B1925" t="str">
        <f>"1552376364597384"</f>
        <v>1552376364597384</v>
      </c>
      <c r="C1925" t="s">
        <v>40</v>
      </c>
      <c r="D1925">
        <v>3.9555280000000002</v>
      </c>
      <c r="E1925">
        <v>0.48156149999999998</v>
      </c>
      <c r="F1925" t="s">
        <v>56</v>
      </c>
      <c r="G1925">
        <v>-193.89400000000001</v>
      </c>
      <c r="H1925">
        <v>0.7513571</v>
      </c>
      <c r="I1925">
        <v>-81.81541</v>
      </c>
      <c r="J1925">
        <v>-191.23740000000001</v>
      </c>
      <c r="K1925">
        <v>1.108806</v>
      </c>
      <c r="L1925">
        <v>337.24189999999999</v>
      </c>
      <c r="M1925">
        <v>6.5517950000000005E-2</v>
      </c>
      <c r="N1925">
        <v>0</v>
      </c>
      <c r="O1925">
        <v>-0.99784240000000002</v>
      </c>
      <c r="P1925">
        <v>1.602454E-2</v>
      </c>
      <c r="Q1925">
        <v>-8.51266E-3</v>
      </c>
      <c r="R1925">
        <v>-0.99983560000000005</v>
      </c>
      <c r="S1925">
        <v>-1.8905640000000001E-2</v>
      </c>
      <c r="T1925">
        <v>-2.5584700000000002E-3</v>
      </c>
      <c r="U1925">
        <v>-3.0007929999999998</v>
      </c>
      <c r="V1925">
        <v>4.9518239999999998E-2</v>
      </c>
      <c r="W1925">
        <v>-4.2291759999999899E-3</v>
      </c>
      <c r="X1925">
        <v>0.99876430000000005</v>
      </c>
      <c r="Y1925">
        <v>7.1803779999999998E-2</v>
      </c>
      <c r="Z1925">
        <v>8.4874059999999897E-4</v>
      </c>
      <c r="AA1925">
        <v>0.99741840000000004</v>
      </c>
      <c r="AB1925">
        <v>23</v>
      </c>
      <c r="AC1925">
        <v>-2.6565999999999899</v>
      </c>
      <c r="AD1925">
        <v>-0.35744890000000001</v>
      </c>
      <c r="AE1925">
        <v>-419.05730999999997</v>
      </c>
      <c r="AF1925">
        <v>30.106892204486801</v>
      </c>
      <c r="AG1925">
        <v>-0.35744890000000001</v>
      </c>
      <c r="AH1925">
        <v>417.98254280607199</v>
      </c>
      <c r="AI1925">
        <v>90.048871386511294</v>
      </c>
      <c r="AJ1925">
        <v>85.880153523323102</v>
      </c>
      <c r="AK1925">
        <v>419.065578183843</v>
      </c>
      <c r="AL1925">
        <v>90.242314649601695</v>
      </c>
      <c r="AM1925">
        <v>87.1616277614784</v>
      </c>
      <c r="AN1925">
        <v>1.0000000344884099</v>
      </c>
    </row>
    <row r="1926" spans="1:40" x14ac:dyDescent="0.25">
      <c r="A1926" t="str">
        <f>"20190312153924622"</f>
        <v>20190312153924622</v>
      </c>
      <c r="B1926" t="str">
        <f>"1552376364617880"</f>
        <v>1552376364617880</v>
      </c>
      <c r="C1926" t="s">
        <v>40</v>
      </c>
      <c r="D1926">
        <v>3.9438029999999999</v>
      </c>
      <c r="E1926">
        <v>0.48046220000000001</v>
      </c>
      <c r="F1926" t="s">
        <v>57</v>
      </c>
      <c r="G1926">
        <v>-168.239</v>
      </c>
      <c r="H1926">
        <v>3.7502680000000002</v>
      </c>
      <c r="I1926">
        <v>-17.389949999999999</v>
      </c>
      <c r="J1926">
        <v>-191.22300000000001</v>
      </c>
      <c r="K1926">
        <v>1.1087659999999999</v>
      </c>
      <c r="L1926">
        <v>337.02359999999999</v>
      </c>
      <c r="M1926">
        <v>6.5588069999999998E-2</v>
      </c>
      <c r="N1926">
        <v>0</v>
      </c>
      <c r="O1926">
        <v>-0.99783840000000001</v>
      </c>
      <c r="P1926">
        <v>1.516701E-2</v>
      </c>
      <c r="Q1926">
        <v>-6.7572020000000003E-3</v>
      </c>
      <c r="R1926">
        <v>-0.99986229999999998</v>
      </c>
      <c r="S1926">
        <v>0.19439699999999999</v>
      </c>
      <c r="T1926">
        <v>2.2327179999999999E-2</v>
      </c>
      <c r="U1926">
        <v>-2.9975589999999999</v>
      </c>
      <c r="V1926">
        <v>5.044556E-2</v>
      </c>
      <c r="W1926">
        <v>-2.630299E-3</v>
      </c>
      <c r="X1926">
        <v>0.99872329999999998</v>
      </c>
      <c r="Y1926">
        <v>8.7643899999999904E-4</v>
      </c>
      <c r="Z1926">
        <v>-7.4164209999999899E-3</v>
      </c>
      <c r="AA1926">
        <v>0.99997210000000003</v>
      </c>
      <c r="AB1926">
        <v>23</v>
      </c>
      <c r="AC1926">
        <v>22.983999999999899</v>
      </c>
      <c r="AD1926">
        <v>2.641502</v>
      </c>
      <c r="AE1926">
        <v>-354.41354999999999</v>
      </c>
      <c r="AF1926">
        <v>0.310968340716335</v>
      </c>
      <c r="AG1926">
        <v>2.641502</v>
      </c>
      <c r="AH1926">
        <v>355.13825205193598</v>
      </c>
      <c r="AI1926">
        <v>89.573844646754296</v>
      </c>
      <c r="AJ1926">
        <v>89.949830329938493</v>
      </c>
      <c r="AK1926">
        <v>355.14821174353301</v>
      </c>
      <c r="AL1926">
        <v>90.150705212644993</v>
      </c>
      <c r="AM1926">
        <v>87.108444901241398</v>
      </c>
      <c r="AN1926">
        <v>0.99999995147971499</v>
      </c>
    </row>
    <row r="1927" spans="1:40" x14ac:dyDescent="0.25">
      <c r="A1927" t="str">
        <f>"20190312153924645"</f>
        <v>20190312153924645</v>
      </c>
      <c r="B1927" t="str">
        <f>"1552376364637401"</f>
        <v>1552376364637401</v>
      </c>
      <c r="C1927" t="s">
        <v>40</v>
      </c>
      <c r="D1927">
        <v>3.9285760000000001</v>
      </c>
      <c r="E1927">
        <v>0.4801956</v>
      </c>
      <c r="F1927" t="s">
        <v>57</v>
      </c>
      <c r="G1927">
        <v>-167.50239999999999</v>
      </c>
      <c r="H1927">
        <v>3.2753700000000001</v>
      </c>
      <c r="I1927">
        <v>-17.389949999999999</v>
      </c>
      <c r="J1927">
        <v>-191.20779999999999</v>
      </c>
      <c r="K1927">
        <v>1.1087290000000001</v>
      </c>
      <c r="L1927">
        <v>336.79410000000001</v>
      </c>
      <c r="M1927">
        <v>6.5658670000000002E-2</v>
      </c>
      <c r="N1927">
        <v>0</v>
      </c>
      <c r="O1927">
        <v>-0.99783429999999995</v>
      </c>
      <c r="P1927">
        <v>1.5100290000000001E-2</v>
      </c>
      <c r="Q1927">
        <v>-5.169692E-3</v>
      </c>
      <c r="R1927">
        <v>-0.9998726</v>
      </c>
      <c r="S1927">
        <v>0.20062260000000001</v>
      </c>
      <c r="T1927">
        <v>1.8324489999999999E-2</v>
      </c>
      <c r="U1927">
        <v>-2.997528</v>
      </c>
      <c r="V1927">
        <v>5.0583250000000003E-2</v>
      </c>
      <c r="W1927">
        <v>-1.227997E-3</v>
      </c>
      <c r="X1927">
        <v>0.99871909999999997</v>
      </c>
      <c r="Y1927">
        <v>-1.121964E-3</v>
      </c>
      <c r="Z1927">
        <v>-6.0865069999999997E-3</v>
      </c>
      <c r="AA1927">
        <v>0.99998089999999995</v>
      </c>
      <c r="AB1927">
        <v>23</v>
      </c>
      <c r="AC1927">
        <v>23.705400000000001</v>
      </c>
      <c r="AD1927">
        <v>2.1666409999999998</v>
      </c>
      <c r="AE1927">
        <v>-354.18405000000001</v>
      </c>
      <c r="AF1927">
        <v>-0.39879582066809799</v>
      </c>
      <c r="AG1927">
        <v>2.1666409999999998</v>
      </c>
      <c r="AH1927">
        <v>354.96301227541198</v>
      </c>
      <c r="AI1927">
        <v>89.650279717231101</v>
      </c>
      <c r="AJ1927">
        <v>90.064370954178102</v>
      </c>
      <c r="AK1927">
        <v>354.96984865614098</v>
      </c>
      <c r="AL1927">
        <v>90.070359062550295</v>
      </c>
      <c r="AM1927">
        <v>87.100553744383205</v>
      </c>
      <c r="AN1927">
        <v>1.000000006931</v>
      </c>
    </row>
    <row r="1928" spans="1:40" x14ac:dyDescent="0.25">
      <c r="A1928" t="str">
        <f>"20190312153924667"</f>
        <v>20190312153924667</v>
      </c>
      <c r="B1928" t="str">
        <f>"1552376364657899"</f>
        <v>1552376364657899</v>
      </c>
      <c r="C1928" t="s">
        <v>40</v>
      </c>
      <c r="D1928">
        <v>3.9400149999999998</v>
      </c>
      <c r="E1928">
        <v>0.47994120000000001</v>
      </c>
      <c r="F1928" t="s">
        <v>57</v>
      </c>
      <c r="G1928">
        <v>-167.24019999999999</v>
      </c>
      <c r="H1928">
        <v>3.646118</v>
      </c>
      <c r="I1928">
        <v>-17.389949999999999</v>
      </c>
      <c r="J1928">
        <v>-191.19210000000001</v>
      </c>
      <c r="K1928">
        <v>1.108698</v>
      </c>
      <c r="L1928">
        <v>336.55529999999999</v>
      </c>
      <c r="M1928">
        <v>6.5730800000000006E-2</v>
      </c>
      <c r="N1928">
        <v>0</v>
      </c>
      <c r="O1928">
        <v>-0.99783049999999995</v>
      </c>
      <c r="P1928">
        <v>1.4785589999999999E-2</v>
      </c>
      <c r="Q1928">
        <v>-3.6952640000000002E-3</v>
      </c>
      <c r="R1928">
        <v>-0.999884</v>
      </c>
      <c r="S1928">
        <v>0.20283509999999999</v>
      </c>
      <c r="T1928">
        <v>2.1473530000000001E-2</v>
      </c>
      <c r="U1928">
        <v>-2.9974059999999998</v>
      </c>
      <c r="V1928">
        <v>5.0970010000000003E-2</v>
      </c>
      <c r="W1928" s="1">
        <v>3.8892230000000002E-5</v>
      </c>
      <c r="X1928">
        <v>0.99870020000000004</v>
      </c>
      <c r="Y1928">
        <v>-1.7868070000000001E-3</v>
      </c>
      <c r="Z1928">
        <v>-7.1324709999999996E-3</v>
      </c>
      <c r="AA1928">
        <v>0.99997290000000005</v>
      </c>
      <c r="AB1928">
        <v>23</v>
      </c>
      <c r="AC1928">
        <v>23.951899999999998</v>
      </c>
      <c r="AD1928">
        <v>2.53742</v>
      </c>
      <c r="AE1928">
        <v>-353.94524999999999</v>
      </c>
      <c r="AF1928">
        <v>-0.63480380402176795</v>
      </c>
      <c r="AG1928">
        <v>2.53742</v>
      </c>
      <c r="AH1928">
        <v>354.736034993484</v>
      </c>
      <c r="AI1928">
        <v>89.590172042606497</v>
      </c>
      <c r="AJ1928">
        <v>90.102531280661196</v>
      </c>
      <c r="AK1928">
        <v>354.74567791450897</v>
      </c>
      <c r="AL1928">
        <v>89.997771639401194</v>
      </c>
      <c r="AM1928">
        <v>87.078367620190804</v>
      </c>
      <c r="AN1928">
        <v>1.0000000164560201</v>
      </c>
    </row>
    <row r="1929" spans="1:40" x14ac:dyDescent="0.25">
      <c r="A1929" t="str">
        <f>"20190312153924689"</f>
        <v>20190312153924689</v>
      </c>
      <c r="B1929" t="str">
        <f>"1552376364677416"</f>
        <v>1552376364677416</v>
      </c>
      <c r="C1929" t="s">
        <v>40</v>
      </c>
      <c r="D1929">
        <v>3.9459300000000002</v>
      </c>
      <c r="E1929">
        <v>0.47982999999999998</v>
      </c>
      <c r="F1929" t="s">
        <v>57</v>
      </c>
      <c r="G1929">
        <v>-167.13059999999999</v>
      </c>
      <c r="H1929">
        <v>3.6703619999999999</v>
      </c>
      <c r="I1929">
        <v>-17.389949999999999</v>
      </c>
      <c r="J1929">
        <v>-191.1771</v>
      </c>
      <c r="K1929">
        <v>1.108673</v>
      </c>
      <c r="L1929">
        <v>336.33010000000002</v>
      </c>
      <c r="M1929">
        <v>6.5798629999999997E-2</v>
      </c>
      <c r="N1929">
        <v>0</v>
      </c>
      <c r="O1929">
        <v>-0.99782689999999996</v>
      </c>
      <c r="P1929">
        <v>1.476128E-2</v>
      </c>
      <c r="Q1929">
        <v>-2.2478469999999999E-3</v>
      </c>
      <c r="R1929">
        <v>-0.99988889999999997</v>
      </c>
      <c r="S1929">
        <v>0.2037659</v>
      </c>
      <c r="T1929">
        <v>2.1693589999999999E-2</v>
      </c>
      <c r="U1929">
        <v>-2.9974059999999998</v>
      </c>
      <c r="V1929">
        <v>5.106231E-2</v>
      </c>
      <c r="W1929">
        <v>1.284901E-3</v>
      </c>
      <c r="X1929">
        <v>0.99869470000000005</v>
      </c>
      <c r="Y1929">
        <v>-2.027938E-3</v>
      </c>
      <c r="Z1929">
        <v>-7.2054349999999996E-3</v>
      </c>
      <c r="AA1929">
        <v>0.99997199999999997</v>
      </c>
      <c r="AB1929">
        <v>23</v>
      </c>
      <c r="AC1929">
        <v>24.046500000000002</v>
      </c>
      <c r="AD1929">
        <v>2.5616889999999999</v>
      </c>
      <c r="AE1929">
        <v>-353.72005000000001</v>
      </c>
      <c r="AF1929">
        <v>-0.71991659863014501</v>
      </c>
      <c r="AG1929">
        <v>2.5616889999999999</v>
      </c>
      <c r="AH1929">
        <v>354.517229737847</v>
      </c>
      <c r="AI1929">
        <v>89.585997241367494</v>
      </c>
      <c r="AJ1929">
        <v>90.116350130668707</v>
      </c>
      <c r="AK1929">
        <v>354.527215755631</v>
      </c>
      <c r="AL1929">
        <v>89.926380579557204</v>
      </c>
      <c r="AM1929">
        <v>87.073070027594397</v>
      </c>
      <c r="AN1929">
        <v>1.0000000571406</v>
      </c>
    </row>
    <row r="1930" spans="1:40" x14ac:dyDescent="0.25">
      <c r="A1930" t="str">
        <f>"20190312153924711"</f>
        <v>20190312153924711</v>
      </c>
      <c r="B1930" t="str">
        <f>"1552376364707673"</f>
        <v>1552376364707673</v>
      </c>
      <c r="C1930" t="s">
        <v>40</v>
      </c>
      <c r="D1930">
        <v>3.9108749999999999</v>
      </c>
      <c r="E1930">
        <v>0.47964699999999999</v>
      </c>
      <c r="F1930" t="s">
        <v>57</v>
      </c>
      <c r="G1930">
        <v>-167.0248</v>
      </c>
      <c r="H1930">
        <v>3.8978290000000002</v>
      </c>
      <c r="I1930">
        <v>-17.389949999999999</v>
      </c>
      <c r="J1930">
        <v>-191.16130000000001</v>
      </c>
      <c r="K1930">
        <v>1.1086530000000001</v>
      </c>
      <c r="L1930">
        <v>336.09089999999998</v>
      </c>
      <c r="M1930">
        <v>6.5869059999999993E-2</v>
      </c>
      <c r="N1930">
        <v>0</v>
      </c>
      <c r="O1930">
        <v>-0.99782289999999996</v>
      </c>
      <c r="P1930">
        <v>1.4642499999999999E-2</v>
      </c>
      <c r="Q1930">
        <v>-1.181372E-3</v>
      </c>
      <c r="R1930">
        <v>-0.99989220000000001</v>
      </c>
      <c r="S1930">
        <v>0.20466609999999999</v>
      </c>
      <c r="T1930">
        <v>2.3635150000000001E-2</v>
      </c>
      <c r="U1930">
        <v>-2.9974059999999998</v>
      </c>
      <c r="V1930">
        <v>5.1251430000000001E-2</v>
      </c>
      <c r="W1930">
        <v>2.1417760000000002E-3</v>
      </c>
      <c r="X1930">
        <v>0.99868349999999995</v>
      </c>
      <c r="Y1930">
        <v>-2.2560290000000001E-3</v>
      </c>
      <c r="Z1930">
        <v>-7.8501430000000004E-3</v>
      </c>
      <c r="AA1930">
        <v>0.99996660000000004</v>
      </c>
      <c r="AB1930">
        <v>24</v>
      </c>
      <c r="AC1930">
        <v>24.136500000000002</v>
      </c>
      <c r="AD1930">
        <v>2.7891759999999999</v>
      </c>
      <c r="AE1930">
        <v>-353.48084999999998</v>
      </c>
      <c r="AF1930">
        <v>-0.80045579559449798</v>
      </c>
      <c r="AG1930">
        <v>2.7891759999999999</v>
      </c>
      <c r="AH1930">
        <v>354.28108002009202</v>
      </c>
      <c r="AI1930">
        <v>89.548933565125395</v>
      </c>
      <c r="AJ1930">
        <v>90.129452751843004</v>
      </c>
      <c r="AK1930">
        <v>354.29296336851303</v>
      </c>
      <c r="AL1930">
        <v>89.877285182525</v>
      </c>
      <c r="AM1930">
        <v>87.062215593238506</v>
      </c>
      <c r="AN1930">
        <v>1.00000001472686</v>
      </c>
    </row>
    <row r="1931" spans="1:40" x14ac:dyDescent="0.25">
      <c r="A1931" t="str">
        <f>"20190312153924735"</f>
        <v>20190312153924735</v>
      </c>
      <c r="B1931" t="str">
        <f>"1552376364728168"</f>
        <v>1552376364728168</v>
      </c>
      <c r="C1931" t="s">
        <v>40</v>
      </c>
      <c r="D1931">
        <v>3.9266909999999999</v>
      </c>
      <c r="E1931">
        <v>0.47984019999999999</v>
      </c>
      <c r="F1931" t="s">
        <v>57</v>
      </c>
      <c r="G1931">
        <v>-166.89340000000001</v>
      </c>
      <c r="H1931">
        <v>4.1695729999999998</v>
      </c>
      <c r="I1931">
        <v>-17.389949999999999</v>
      </c>
      <c r="J1931">
        <v>-191.14529999999999</v>
      </c>
      <c r="K1931">
        <v>1.1086309999999999</v>
      </c>
      <c r="L1931">
        <v>335.84949999999998</v>
      </c>
      <c r="M1931">
        <v>6.5932050000000006E-2</v>
      </c>
      <c r="N1931">
        <v>0</v>
      </c>
      <c r="O1931">
        <v>-0.99781949999999997</v>
      </c>
      <c r="P1931">
        <v>1.445361E-2</v>
      </c>
      <c r="Q1931">
        <v>3.3836970000000001E-4</v>
      </c>
      <c r="R1931">
        <v>-0.99989589999999995</v>
      </c>
      <c r="S1931">
        <v>0.20577999999999999</v>
      </c>
      <c r="T1931">
        <v>2.5955079999999998E-2</v>
      </c>
      <c r="U1931">
        <v>-2.9973450000000001</v>
      </c>
      <c r="V1931">
        <v>5.150308E-2</v>
      </c>
      <c r="W1931">
        <v>3.4635640000000001E-3</v>
      </c>
      <c r="X1931">
        <v>0.99866679999999997</v>
      </c>
      <c r="Y1931">
        <v>-2.5637709999999998E-3</v>
      </c>
      <c r="Z1931">
        <v>-8.6206340000000003E-3</v>
      </c>
      <c r="AA1931">
        <v>0.9999595</v>
      </c>
      <c r="AB1931">
        <v>24</v>
      </c>
      <c r="AC1931">
        <v>24.2518999999999</v>
      </c>
      <c r="AD1931">
        <v>3.0609419999999998</v>
      </c>
      <c r="AE1931">
        <v>-353.23944999999998</v>
      </c>
      <c r="AF1931">
        <v>-0.90915389327230001</v>
      </c>
      <c r="AG1931">
        <v>3.0609419999999998</v>
      </c>
      <c r="AH1931">
        <v>354.04335962948301</v>
      </c>
      <c r="AI1931">
        <v>89.504653581424904</v>
      </c>
      <c r="AJ1931">
        <v>90.147130471726996</v>
      </c>
      <c r="AK1931">
        <v>354.05775859944202</v>
      </c>
      <c r="AL1931">
        <v>89.801551998092904</v>
      </c>
      <c r="AM1931">
        <v>87.047766932691601</v>
      </c>
      <c r="AN1931">
        <v>0.99999997047365297</v>
      </c>
    </row>
    <row r="1932" spans="1:40" x14ac:dyDescent="0.25">
      <c r="A1932" t="str">
        <f>"20190312153924757"</f>
        <v>20190312153924757</v>
      </c>
      <c r="B1932" t="str">
        <f>"1552376364747688"</f>
        <v>1552376364747688</v>
      </c>
      <c r="C1932" t="s">
        <v>40</v>
      </c>
      <c r="D1932">
        <v>3.9437440000000001</v>
      </c>
      <c r="E1932">
        <v>0.48009079999999899</v>
      </c>
      <c r="F1932" t="s">
        <v>57</v>
      </c>
      <c r="G1932">
        <v>-167.14420000000001</v>
      </c>
      <c r="H1932">
        <v>4.6925860000000004</v>
      </c>
      <c r="I1932">
        <v>-17.389949999999999</v>
      </c>
      <c r="J1932">
        <v>-191.12899999999999</v>
      </c>
      <c r="K1932">
        <v>1.1086100000000001</v>
      </c>
      <c r="L1932">
        <v>335.60390000000001</v>
      </c>
      <c r="M1932">
        <v>6.5980720000000007E-2</v>
      </c>
      <c r="N1932">
        <v>0</v>
      </c>
      <c r="O1932">
        <v>-0.9978167</v>
      </c>
      <c r="P1932">
        <v>1.4172199999999999E-2</v>
      </c>
      <c r="Q1932">
        <v>1.103805E-3</v>
      </c>
      <c r="R1932">
        <v>-0.99989930000000005</v>
      </c>
      <c r="S1932">
        <v>0.20365910000000001</v>
      </c>
      <c r="T1932">
        <v>3.0411239999999999E-2</v>
      </c>
      <c r="U1932">
        <v>-2.9973749999999999</v>
      </c>
      <c r="V1932">
        <v>5.1832839999999998E-2</v>
      </c>
      <c r="W1932">
        <v>4.0472080000000001E-3</v>
      </c>
      <c r="X1932">
        <v>0.99864759999999997</v>
      </c>
      <c r="Y1932">
        <v>-1.8090929999999999E-3</v>
      </c>
      <c r="Z1932">
        <v>-1.0100649999999999E-2</v>
      </c>
      <c r="AA1932">
        <v>0.99994740000000004</v>
      </c>
      <c r="AB1932">
        <v>24</v>
      </c>
      <c r="AC1932">
        <v>23.9848</v>
      </c>
      <c r="AD1932">
        <v>3.5839759999999998</v>
      </c>
      <c r="AE1932">
        <v>-352.99385000000001</v>
      </c>
      <c r="AF1932">
        <v>-0.64158246173550604</v>
      </c>
      <c r="AG1932">
        <v>3.5839759999999998</v>
      </c>
      <c r="AH1932">
        <v>353.77087405045398</v>
      </c>
      <c r="AI1932">
        <v>89.419569694918493</v>
      </c>
      <c r="AJ1932">
        <v>90.103908856445301</v>
      </c>
      <c r="AK1932">
        <v>353.78960956823801</v>
      </c>
      <c r="AL1932">
        <v>89.768111435783894</v>
      </c>
      <c r="AM1932">
        <v>87.0288413393463</v>
      </c>
      <c r="AN1932">
        <v>1.0000000260904101</v>
      </c>
    </row>
    <row r="1933" spans="1:40" x14ac:dyDescent="0.25">
      <c r="A1933" t="str">
        <f>"20190312153924779"</f>
        <v>20190312153924779</v>
      </c>
      <c r="B1933" t="str">
        <f>"1552376364768185"</f>
        <v>1552376364768185</v>
      </c>
      <c r="C1933" t="s">
        <v>40</v>
      </c>
      <c r="D1933">
        <v>3.9600420000000001</v>
      </c>
      <c r="E1933">
        <v>0.48020869999999999</v>
      </c>
      <c r="F1933" t="s">
        <v>57</v>
      </c>
      <c r="G1933">
        <v>-167.4906</v>
      </c>
      <c r="H1933">
        <v>4.923667</v>
      </c>
      <c r="I1933">
        <v>-17.389949999999999</v>
      </c>
      <c r="J1933">
        <v>-191.1129</v>
      </c>
      <c r="K1933">
        <v>1.108595</v>
      </c>
      <c r="L1933">
        <v>335.36130000000003</v>
      </c>
      <c r="M1933">
        <v>6.6010100000000002E-2</v>
      </c>
      <c r="N1933">
        <v>0</v>
      </c>
      <c r="O1933">
        <v>-0.99781529999999996</v>
      </c>
      <c r="P1933">
        <v>1.4246460000000001E-2</v>
      </c>
      <c r="Q1933">
        <v>1.176701E-3</v>
      </c>
      <c r="R1933">
        <v>-0.99989830000000002</v>
      </c>
      <c r="S1933">
        <v>0.2007294</v>
      </c>
      <c r="T1933">
        <v>3.2396080000000001E-2</v>
      </c>
      <c r="U1933">
        <v>-2.9974980000000002</v>
      </c>
      <c r="V1933">
        <v>5.1788180000000003E-2</v>
      </c>
      <c r="W1933">
        <v>3.9637630000000004E-3</v>
      </c>
      <c r="X1933">
        <v>0.99865029999999999</v>
      </c>
      <c r="Y1933">
        <v>-8.0356779999999999E-4</v>
      </c>
      <c r="Z1933">
        <v>-1.0759700000000001E-2</v>
      </c>
      <c r="AA1933">
        <v>0.99994179999999999</v>
      </c>
      <c r="AB1933">
        <v>24</v>
      </c>
      <c r="AC1933">
        <v>23.622299999999999</v>
      </c>
      <c r="AD1933">
        <v>3.8150719999999998</v>
      </c>
      <c r="AE1933">
        <v>-352.75125000000003</v>
      </c>
      <c r="AF1933">
        <v>-0.28551486782204799</v>
      </c>
      <c r="AG1933">
        <v>3.8150719999999998</v>
      </c>
      <c r="AH1933">
        <v>353.50003033965203</v>
      </c>
      <c r="AI1933">
        <v>89.3816719995977</v>
      </c>
      <c r="AJ1933">
        <v>90.046276639188704</v>
      </c>
      <c r="AK1933">
        <v>353.52073170217398</v>
      </c>
      <c r="AL1933">
        <v>89.772892531295398</v>
      </c>
      <c r="AM1933">
        <v>87.031404767641703</v>
      </c>
      <c r="AN1933">
        <v>1.00000007434745</v>
      </c>
    </row>
    <row r="1934" spans="1:40" x14ac:dyDescent="0.25">
      <c r="A1934" t="str">
        <f>"20190312153924803"</f>
        <v>20190312153924803</v>
      </c>
      <c r="B1934" t="str">
        <f>"1552376364797464"</f>
        <v>1552376364797464</v>
      </c>
      <c r="C1934" t="s">
        <v>40</v>
      </c>
      <c r="D1934">
        <v>4.0290039999999996</v>
      </c>
      <c r="E1934">
        <v>0.48023349999999998</v>
      </c>
      <c r="F1934" t="s">
        <v>57</v>
      </c>
      <c r="G1934">
        <v>-167.58160000000001</v>
      </c>
      <c r="H1934">
        <v>4.9489239999999999</v>
      </c>
      <c r="I1934">
        <v>-17.389949999999999</v>
      </c>
      <c r="J1934">
        <v>-191.09630000000001</v>
      </c>
      <c r="K1934">
        <v>1.1085739999999999</v>
      </c>
      <c r="L1934">
        <v>335.11110000000002</v>
      </c>
      <c r="M1934">
        <v>6.6009970000000001E-2</v>
      </c>
      <c r="N1934">
        <v>0</v>
      </c>
      <c r="O1934">
        <v>-0.99781529999999996</v>
      </c>
      <c r="P1934">
        <v>1.408326E-2</v>
      </c>
      <c r="Q1934">
        <v>1.666353E-3</v>
      </c>
      <c r="R1934">
        <v>-0.9998996</v>
      </c>
      <c r="S1934">
        <v>0.1999512</v>
      </c>
      <c r="T1934">
        <v>3.2632109999999999E-2</v>
      </c>
      <c r="U1934">
        <v>-2.9974059999999998</v>
      </c>
      <c r="V1934">
        <v>5.195118E-2</v>
      </c>
      <c r="W1934">
        <v>4.318049E-3</v>
      </c>
      <c r="X1934">
        <v>0.99864030000000004</v>
      </c>
      <c r="Y1934">
        <v>-5.4722629999999896E-4</v>
      </c>
      <c r="Z1934">
        <v>-1.0838510000000001E-2</v>
      </c>
      <c r="AA1934">
        <v>0.99994110000000003</v>
      </c>
      <c r="AB1934">
        <v>24</v>
      </c>
      <c r="AC1934">
        <v>23.514700000000001</v>
      </c>
      <c r="AD1934">
        <v>3.8403499999999999</v>
      </c>
      <c r="AE1934">
        <v>-352.50105000000002</v>
      </c>
      <c r="AF1934">
        <v>-0.19472140188008</v>
      </c>
      <c r="AG1934">
        <v>3.8403499999999999</v>
      </c>
      <c r="AH1934">
        <v>353.24269575171297</v>
      </c>
      <c r="AI1934">
        <v>89.377121883285994</v>
      </c>
      <c r="AJ1934">
        <v>90.031583705799704</v>
      </c>
      <c r="AK1934">
        <v>353.26362437489098</v>
      </c>
      <c r="AL1934">
        <v>89.752593250130303</v>
      </c>
      <c r="AM1934">
        <v>87.0220483282896</v>
      </c>
      <c r="AN1934">
        <v>1.0000000097173201</v>
      </c>
    </row>
    <row r="1935" spans="1:40" x14ac:dyDescent="0.25">
      <c r="A1935" t="str">
        <f>"20190312153924824"</f>
        <v>20190312153924824</v>
      </c>
      <c r="B1935" t="str">
        <f>"1552376364817492"</f>
        <v>1552376364817492</v>
      </c>
      <c r="C1935" t="s">
        <v>40</v>
      </c>
      <c r="D1935">
        <v>4.0165670000000002</v>
      </c>
      <c r="E1935">
        <v>0.48024020000000001</v>
      </c>
      <c r="F1935" t="s">
        <v>57</v>
      </c>
      <c r="G1935">
        <v>-167.64699999999999</v>
      </c>
      <c r="H1935">
        <v>4.688383</v>
      </c>
      <c r="I1935">
        <v>-17.389949999999999</v>
      </c>
      <c r="J1935">
        <v>-191.08019999999999</v>
      </c>
      <c r="K1935">
        <v>1.1085529999999999</v>
      </c>
      <c r="L1935">
        <v>334.86720000000003</v>
      </c>
      <c r="M1935">
        <v>6.5976080000000006E-2</v>
      </c>
      <c r="N1935">
        <v>0</v>
      </c>
      <c r="O1935">
        <v>-0.99781810000000004</v>
      </c>
      <c r="P1935">
        <v>1.3883049999999999E-2</v>
      </c>
      <c r="Q1935">
        <v>2.3762229999999998E-3</v>
      </c>
      <c r="R1935">
        <v>-0.99990089999999998</v>
      </c>
      <c r="S1935">
        <v>0.19940189999999999</v>
      </c>
      <c r="T1935">
        <v>3.0440930000000001E-2</v>
      </c>
      <c r="U1935">
        <v>-2.9974980000000002</v>
      </c>
      <c r="V1935">
        <v>5.2117379999999998E-2</v>
      </c>
      <c r="W1935">
        <v>4.9212420000000002E-3</v>
      </c>
      <c r="X1935">
        <v>0.99862890000000004</v>
      </c>
      <c r="Y1935">
        <v>-3.972755E-4</v>
      </c>
      <c r="Z1935">
        <v>-1.0110589999999999E-2</v>
      </c>
      <c r="AA1935">
        <v>0.99994879999999997</v>
      </c>
      <c r="AB1935">
        <v>25</v>
      </c>
      <c r="AC1935">
        <v>23.4331999999999</v>
      </c>
      <c r="AD1935">
        <v>3.5798299999999998</v>
      </c>
      <c r="AE1935">
        <v>-352.25715000000002</v>
      </c>
      <c r="AF1935">
        <v>-0.141511079906017</v>
      </c>
      <c r="AG1935">
        <v>3.5798299999999998</v>
      </c>
      <c r="AH1935">
        <v>352.999388313689</v>
      </c>
      <c r="AI1935">
        <v>89.418973205798807</v>
      </c>
      <c r="AJ1935">
        <v>90.022968842063193</v>
      </c>
      <c r="AK1935">
        <v>353.01756805866302</v>
      </c>
      <c r="AL1935">
        <v>89.718032482180504</v>
      </c>
      <c r="AM1935">
        <v>87.012504580585201</v>
      </c>
      <c r="AN1935">
        <v>1.0000000599180401</v>
      </c>
    </row>
    <row r="1936" spans="1:40" x14ac:dyDescent="0.25">
      <c r="A1936" t="str">
        <f>"20190312153924846"</f>
        <v>20190312153924846</v>
      </c>
      <c r="B1936" t="str">
        <f>"1552376364837988"</f>
        <v>1552376364837988</v>
      </c>
      <c r="C1936" t="s">
        <v>40</v>
      </c>
      <c r="D1936">
        <v>3.9937580000000001</v>
      </c>
      <c r="E1936">
        <v>0.48023090000000002</v>
      </c>
      <c r="F1936" t="s">
        <v>57</v>
      </c>
      <c r="G1936">
        <v>-167.70609999999999</v>
      </c>
      <c r="H1936">
        <v>4.5617839999999896</v>
      </c>
      <c r="I1936">
        <v>-17.389949999999999</v>
      </c>
      <c r="J1936">
        <v>-191.06389999999999</v>
      </c>
      <c r="K1936">
        <v>1.108525</v>
      </c>
      <c r="L1936">
        <v>334.61869999999999</v>
      </c>
      <c r="M1936">
        <v>6.5888349999999998E-2</v>
      </c>
      <c r="N1936">
        <v>0</v>
      </c>
      <c r="O1936">
        <v>-0.99782409999999999</v>
      </c>
      <c r="P1936">
        <v>1.371146E-2</v>
      </c>
      <c r="Q1936">
        <v>2.4693050000000002E-3</v>
      </c>
      <c r="R1936">
        <v>-0.99990330000000005</v>
      </c>
      <c r="S1936">
        <v>0.1988983</v>
      </c>
      <c r="T1936">
        <v>2.9384609999999999E-2</v>
      </c>
      <c r="U1936">
        <v>-2.9974669999999999</v>
      </c>
      <c r="V1936">
        <v>5.2201339999999999E-2</v>
      </c>
      <c r="W1936">
        <v>4.9341159999999997E-3</v>
      </c>
      <c r="X1936">
        <v>0.99862439999999997</v>
      </c>
      <c r="Y1936">
        <v>-3.1886160000000002E-4</v>
      </c>
      <c r="Z1936">
        <v>-9.7600180000000005E-3</v>
      </c>
      <c r="AA1936">
        <v>0.99995230000000002</v>
      </c>
      <c r="AB1936">
        <v>25</v>
      </c>
      <c r="AC1936">
        <v>23.357800000000001</v>
      </c>
      <c r="AD1936">
        <v>3.4532589999999899</v>
      </c>
      <c r="AE1936">
        <v>-352.00864999999999</v>
      </c>
      <c r="AF1936">
        <v>-0.11369606393824901</v>
      </c>
      <c r="AG1936">
        <v>3.4532589999999899</v>
      </c>
      <c r="AH1936">
        <v>352.748943302241</v>
      </c>
      <c r="AI1936">
        <v>89.439117141177604</v>
      </c>
      <c r="AJ1936">
        <v>90.018467254144895</v>
      </c>
      <c r="AK1936">
        <v>352.76586417249001</v>
      </c>
      <c r="AL1936">
        <v>89.717294832962494</v>
      </c>
      <c r="AM1936">
        <v>87.007687068557203</v>
      </c>
      <c r="AN1936">
        <v>1.0000000088369201</v>
      </c>
    </row>
    <row r="1937" spans="1:40" x14ac:dyDescent="0.25">
      <c r="A1937" t="str">
        <f>"20190312153924869"</f>
        <v>20190312153924869</v>
      </c>
      <c r="B1937" t="str">
        <f>"1552376364857508"</f>
        <v>1552376364857508</v>
      </c>
      <c r="C1937" t="s">
        <v>40</v>
      </c>
      <c r="D1937">
        <v>4.0365769999999896</v>
      </c>
      <c r="E1937">
        <v>0.4797786</v>
      </c>
      <c r="F1937" t="s">
        <v>57</v>
      </c>
      <c r="G1937">
        <v>-167.76220000000001</v>
      </c>
      <c r="H1937">
        <v>4.4145979999999998</v>
      </c>
      <c r="I1937">
        <v>-17.389949999999999</v>
      </c>
      <c r="J1937">
        <v>-191.04750000000001</v>
      </c>
      <c r="K1937">
        <v>1.108484</v>
      </c>
      <c r="L1937">
        <v>334.36840000000001</v>
      </c>
      <c r="M1937">
        <v>6.5725320000000004E-2</v>
      </c>
      <c r="N1937">
        <v>0</v>
      </c>
      <c r="O1937">
        <v>-0.99783489999999997</v>
      </c>
      <c r="P1937">
        <v>1.357979E-2</v>
      </c>
      <c r="Q1937">
        <v>2.8514439999999999E-3</v>
      </c>
      <c r="R1937">
        <v>-0.99990389999999996</v>
      </c>
      <c r="S1937">
        <v>0.1984253</v>
      </c>
      <c r="T1937">
        <v>2.8152819999999999E-2</v>
      </c>
      <c r="U1937">
        <v>-2.997528</v>
      </c>
      <c r="V1937">
        <v>5.2170300000000003E-2</v>
      </c>
      <c r="W1937">
        <v>5.2698049999999998E-3</v>
      </c>
      <c r="X1937">
        <v>0.99862430000000002</v>
      </c>
      <c r="Y1937">
        <v>-3.2406669999999999E-4</v>
      </c>
      <c r="Z1937">
        <v>-9.3509309999999998E-3</v>
      </c>
      <c r="AA1937">
        <v>0.99995630000000002</v>
      </c>
      <c r="AB1937">
        <v>25</v>
      </c>
      <c r="AC1937">
        <v>23.285299999999999</v>
      </c>
      <c r="AD1937">
        <v>3.306114</v>
      </c>
      <c r="AE1937">
        <v>-351.75835000000001</v>
      </c>
      <c r="AF1937">
        <v>-0.11544505561294401</v>
      </c>
      <c r="AG1937">
        <v>3.306114</v>
      </c>
      <c r="AH1937">
        <v>352.49719256671301</v>
      </c>
      <c r="AI1937">
        <v>89.462631707607599</v>
      </c>
      <c r="AJ1937">
        <v>90.018764728784404</v>
      </c>
      <c r="AK1937">
        <v>352.51271535188101</v>
      </c>
      <c r="AL1937">
        <v>89.698061017658304</v>
      </c>
      <c r="AM1937">
        <v>87.009462830265207</v>
      </c>
      <c r="AN1937">
        <v>1.0000000017986499</v>
      </c>
    </row>
    <row r="1938" spans="1:40" x14ac:dyDescent="0.25">
      <c r="A1938" t="str">
        <f>"20190312153924890"</f>
        <v>20190312153924890</v>
      </c>
      <c r="B1938" t="str">
        <f>"1552376364878007"</f>
        <v>1552376364878007</v>
      </c>
      <c r="C1938" t="s">
        <v>40</v>
      </c>
      <c r="D1938">
        <v>4.0811349999999997</v>
      </c>
      <c r="E1938">
        <v>0.47988740000000002</v>
      </c>
      <c r="F1938" t="s">
        <v>55</v>
      </c>
      <c r="G1938">
        <v>-178.66589999999999</v>
      </c>
      <c r="H1938">
        <v>7.9984849999999996E-2</v>
      </c>
      <c r="I1938">
        <v>151.02889999999999</v>
      </c>
      <c r="J1938">
        <v>-191.0318</v>
      </c>
      <c r="K1938">
        <v>1.108433</v>
      </c>
      <c r="L1938">
        <v>334.1266</v>
      </c>
      <c r="M1938">
        <v>6.5480640000000007E-2</v>
      </c>
      <c r="N1938">
        <v>0</v>
      </c>
      <c r="O1938">
        <v>-0.99785089999999999</v>
      </c>
      <c r="P1938">
        <v>1.345853E-2</v>
      </c>
      <c r="Q1938">
        <v>3.040989E-3</v>
      </c>
      <c r="R1938">
        <v>-0.99990489999999999</v>
      </c>
      <c r="S1938">
        <v>0.20243839999999999</v>
      </c>
      <c r="T1938">
        <v>-1.6815900000000002E-2</v>
      </c>
      <c r="U1938">
        <v>-2.9975890000000001</v>
      </c>
      <c r="V1938">
        <v>5.2047379999999997E-2</v>
      </c>
      <c r="W1938">
        <v>5.4529089999999997E-3</v>
      </c>
      <c r="X1938">
        <v>0.99862969999999895</v>
      </c>
      <c r="Y1938">
        <v>-1.9025699999999999E-3</v>
      </c>
      <c r="Z1938">
        <v>5.5853099999999996E-3</v>
      </c>
      <c r="AA1938">
        <v>0.99998260000000005</v>
      </c>
      <c r="AB1938">
        <v>25</v>
      </c>
      <c r="AC1938">
        <v>12.3659</v>
      </c>
      <c r="AD1938">
        <v>-1.02844815</v>
      </c>
      <c r="AE1938">
        <v>-183.0977</v>
      </c>
      <c r="AF1938">
        <v>-0.34995990135719801</v>
      </c>
      <c r="AG1938">
        <v>-1.02844815</v>
      </c>
      <c r="AH1938">
        <v>183.50870672702601</v>
      </c>
      <c r="AI1938">
        <v>90.321102008883997</v>
      </c>
      <c r="AJ1938">
        <v>90.109265665899997</v>
      </c>
      <c r="AK1938">
        <v>183.51192228886799</v>
      </c>
      <c r="AL1938">
        <v>89.687569770799797</v>
      </c>
      <c r="AM1938">
        <v>87.016512282952206</v>
      </c>
      <c r="AN1938">
        <v>0.99999997085175696</v>
      </c>
    </row>
    <row r="1939" spans="1:40" x14ac:dyDescent="0.25">
      <c r="A1939" t="str">
        <f>"20190312153924913"</f>
        <v>20190312153924913</v>
      </c>
      <c r="B1939" t="str">
        <f>"1552376364907283"</f>
        <v>1552376364907283</v>
      </c>
      <c r="C1939" t="s">
        <v>40</v>
      </c>
      <c r="D1939">
        <v>4.0741050000000003</v>
      </c>
      <c r="E1939">
        <v>0.4799234</v>
      </c>
      <c r="F1939" t="s">
        <v>55</v>
      </c>
      <c r="G1939">
        <v>-178.99860000000001</v>
      </c>
      <c r="H1939">
        <v>7.9984509999999995E-2</v>
      </c>
      <c r="I1939">
        <v>154.9324</v>
      </c>
      <c r="J1939">
        <v>-191.0154</v>
      </c>
      <c r="K1939">
        <v>1.108384</v>
      </c>
      <c r="L1939">
        <v>333.87119999999999</v>
      </c>
      <c r="M1939">
        <v>6.5119399999999994E-2</v>
      </c>
      <c r="N1939">
        <v>0</v>
      </c>
      <c r="O1939">
        <v>-0.99787459999999994</v>
      </c>
      <c r="P1939">
        <v>1.276977E-2</v>
      </c>
      <c r="Q1939">
        <v>3.041967E-3</v>
      </c>
      <c r="R1939">
        <v>-0.99991419999999998</v>
      </c>
      <c r="S1939">
        <v>0.2012939</v>
      </c>
      <c r="T1939">
        <v>-1.7204049999999999E-2</v>
      </c>
      <c r="U1939">
        <v>-2.9975890000000001</v>
      </c>
      <c r="V1939">
        <v>5.2374810000000001E-2</v>
      </c>
      <c r="W1939">
        <v>5.4967769999999996E-3</v>
      </c>
      <c r="X1939">
        <v>0.99861230000000001</v>
      </c>
      <c r="Y1939">
        <v>-1.8844829999999999E-3</v>
      </c>
      <c r="Z1939">
        <v>5.7145010000000003E-3</v>
      </c>
      <c r="AA1939">
        <v>0.99998189999999998</v>
      </c>
      <c r="AB1939">
        <v>25</v>
      </c>
      <c r="AC1939">
        <v>12.0167999999999</v>
      </c>
      <c r="AD1939">
        <v>-1.02839949</v>
      </c>
      <c r="AE1939">
        <v>-178.93879999999999</v>
      </c>
      <c r="AF1939">
        <v>-0.33886203169689599</v>
      </c>
      <c r="AG1939">
        <v>-1.02839949</v>
      </c>
      <c r="AH1939">
        <v>179.33562862271901</v>
      </c>
      <c r="AI1939">
        <v>90.328558244830006</v>
      </c>
      <c r="AJ1939">
        <v>90.108262598435999</v>
      </c>
      <c r="AK1939">
        <v>179.33889741629801</v>
      </c>
      <c r="AL1939">
        <v>89.685056269090794</v>
      </c>
      <c r="AM1939">
        <v>86.997725179404995</v>
      </c>
      <c r="AN1939">
        <v>0.99999993049560398</v>
      </c>
    </row>
    <row r="1940" spans="1:40" x14ac:dyDescent="0.25">
      <c r="A1940" t="str">
        <f>"20190312153924935"</f>
        <v>20190312153924935</v>
      </c>
      <c r="B1940" t="str">
        <f>"1552376364927780"</f>
        <v>1552376364927780</v>
      </c>
      <c r="C1940" t="s">
        <v>40</v>
      </c>
      <c r="D1940">
        <v>4.0878930000000002</v>
      </c>
      <c r="E1940">
        <v>0.4801163</v>
      </c>
      <c r="F1940" t="s">
        <v>43</v>
      </c>
      <c r="G1940">
        <v>-168.422</v>
      </c>
      <c r="H1940">
        <v>-0.05</v>
      </c>
      <c r="I1940">
        <v>-6.9114380000000004</v>
      </c>
      <c r="J1940">
        <v>-190.99879999999999</v>
      </c>
      <c r="K1940">
        <v>1.1083350000000001</v>
      </c>
      <c r="L1940">
        <v>333.61079999999998</v>
      </c>
      <c r="M1940">
        <v>6.4635659999999998E-2</v>
      </c>
      <c r="N1940">
        <v>0</v>
      </c>
      <c r="O1940">
        <v>-0.99790559999999995</v>
      </c>
      <c r="P1940">
        <v>1.1934210000000001E-2</v>
      </c>
      <c r="Q1940">
        <v>3.1251650000000001E-3</v>
      </c>
      <c r="R1940">
        <v>-0.99992420000000004</v>
      </c>
      <c r="S1940">
        <v>0.1987457</v>
      </c>
      <c r="T1940">
        <v>-1.018989E-2</v>
      </c>
      <c r="U1940">
        <v>-2.9977420000000001</v>
      </c>
      <c r="V1940">
        <v>5.272657E-2</v>
      </c>
      <c r="W1940">
        <v>5.6913229999999999E-3</v>
      </c>
      <c r="X1940">
        <v>0.99859279999999995</v>
      </c>
      <c r="Y1940">
        <v>-1.52026299999999E-3</v>
      </c>
      <c r="Z1940">
        <v>3.3847980000000001E-3</v>
      </c>
      <c r="AA1940">
        <v>0.99999309999999997</v>
      </c>
      <c r="AB1940">
        <v>25</v>
      </c>
      <c r="AC1940">
        <v>22.576799999999899</v>
      </c>
      <c r="AD1940">
        <v>-1.1583349999999999</v>
      </c>
      <c r="AE1940">
        <v>-340.52223800000002</v>
      </c>
      <c r="AF1940">
        <v>-0.51963129232748095</v>
      </c>
      <c r="AG1940">
        <v>-1.1583349999999999</v>
      </c>
      <c r="AH1940">
        <v>341.26551689339499</v>
      </c>
      <c r="AI1940">
        <v>90.194474307168406</v>
      </c>
      <c r="AJ1940">
        <v>90.087241914199495</v>
      </c>
      <c r="AK1940">
        <v>341.26787832605697</v>
      </c>
      <c r="AL1940">
        <v>89.673909462028803</v>
      </c>
      <c r="AM1940">
        <v>86.977539634475605</v>
      </c>
      <c r="AN1940">
        <v>1.0000000312766399</v>
      </c>
    </row>
    <row r="1941" spans="1:40" x14ac:dyDescent="0.25">
      <c r="A1941" t="str">
        <f>"20190312153924959"</f>
        <v>20190312153924959</v>
      </c>
      <c r="B1941" t="str">
        <f>"1552376364947300"</f>
        <v>1552376364947300</v>
      </c>
      <c r="C1941" t="s">
        <v>40</v>
      </c>
      <c r="D1941">
        <v>4.3469899999999999</v>
      </c>
      <c r="E1941">
        <v>0.49928909999999999</v>
      </c>
      <c r="F1941" t="s">
        <v>57</v>
      </c>
      <c r="G1941">
        <v>-168.20249999999999</v>
      </c>
      <c r="H1941">
        <v>0.3801756</v>
      </c>
      <c r="I1941">
        <v>-17.389949999999999</v>
      </c>
      <c r="J1941">
        <v>-190.98220000000001</v>
      </c>
      <c r="K1941">
        <v>1.108298</v>
      </c>
      <c r="L1941">
        <v>333.34429999999998</v>
      </c>
      <c r="M1941">
        <v>6.400865E-2</v>
      </c>
      <c r="N1941">
        <v>0</v>
      </c>
      <c r="O1941">
        <v>-0.99794530000000004</v>
      </c>
      <c r="P1941">
        <v>1.108195E-2</v>
      </c>
      <c r="Q1941">
        <v>3.0699820000000002E-3</v>
      </c>
      <c r="R1941">
        <v>-0.99993410000000005</v>
      </c>
      <c r="S1941">
        <v>0.19470209999999999</v>
      </c>
      <c r="T1941">
        <v>-6.2191490000000002E-3</v>
      </c>
      <c r="U1941">
        <v>-2.9978639999999999</v>
      </c>
      <c r="V1941">
        <v>5.2951829999999998E-2</v>
      </c>
      <c r="W1941">
        <v>5.838663E-3</v>
      </c>
      <c r="X1941">
        <v>0.99858000000000002</v>
      </c>
      <c r="Y1941">
        <v>-8.0303589999999999E-4</v>
      </c>
      <c r="Z1941">
        <v>2.065969E-3</v>
      </c>
      <c r="AA1941">
        <v>0.99999760000000004</v>
      </c>
      <c r="AB1941">
        <v>25</v>
      </c>
      <c r="AC1941">
        <v>22.779699999999998</v>
      </c>
      <c r="AD1941">
        <v>-0.72812239999999995</v>
      </c>
      <c r="AE1941">
        <v>-350.73424999999997</v>
      </c>
      <c r="AF1941">
        <v>-0.28286862668849</v>
      </c>
      <c r="AG1941">
        <v>-0.72812239999999995</v>
      </c>
      <c r="AH1941">
        <v>351.47160414869802</v>
      </c>
      <c r="AI1941">
        <v>90.118695982278595</v>
      </c>
      <c r="AJ1941">
        <v>90.046112331054204</v>
      </c>
      <c r="AK1941">
        <v>351.47247217918601</v>
      </c>
      <c r="AL1941">
        <v>89.665467351829506</v>
      </c>
      <c r="AM1941">
        <v>86.964612250806397</v>
      </c>
      <c r="AN1941">
        <v>1.0000000013429799</v>
      </c>
    </row>
    <row r="1942" spans="1:40" x14ac:dyDescent="0.25">
      <c r="A1942" t="str">
        <f>"20190312153924981"</f>
        <v>20190312153924981</v>
      </c>
      <c r="B1942" t="str">
        <f>"1552376364967796"</f>
        <v>1552376364967796</v>
      </c>
      <c r="C1942" t="s">
        <v>40</v>
      </c>
      <c r="D1942">
        <v>4.0784440000000002</v>
      </c>
      <c r="E1942">
        <v>0.5179068</v>
      </c>
      <c r="F1942" t="s">
        <v>42</v>
      </c>
      <c r="G1942">
        <v>-186.7415</v>
      </c>
      <c r="H1942" s="1">
        <v>-4.846871E-6</v>
      </c>
      <c r="I1942">
        <v>9.5836299999999994</v>
      </c>
      <c r="J1942">
        <v>-190.96690000000001</v>
      </c>
      <c r="K1942">
        <v>1.1082669999999999</v>
      </c>
      <c r="L1942">
        <v>333.09390000000002</v>
      </c>
      <c r="M1942">
        <v>6.3298579999999993E-2</v>
      </c>
      <c r="N1942">
        <v>0</v>
      </c>
      <c r="O1942">
        <v>-0.99799020000000005</v>
      </c>
      <c r="P1942">
        <v>1.006131E-2</v>
      </c>
      <c r="Q1942">
        <v>2.9900909999999998E-3</v>
      </c>
      <c r="R1942">
        <v>-0.99994550000000004</v>
      </c>
      <c r="S1942">
        <v>3.9291380000000001E-2</v>
      </c>
      <c r="T1942">
        <v>-1.026881E-2</v>
      </c>
      <c r="U1942">
        <v>-2.9997560000000001</v>
      </c>
      <c r="V1942">
        <v>5.3262169999999998E-2</v>
      </c>
      <c r="W1942">
        <v>6.021289E-3</v>
      </c>
      <c r="X1942">
        <v>0.99856239999999996</v>
      </c>
      <c r="Y1942">
        <v>5.0222700000000002E-2</v>
      </c>
      <c r="Z1942">
        <v>3.4105920000000001E-3</v>
      </c>
      <c r="AA1942">
        <v>0.99873219999999996</v>
      </c>
      <c r="AB1942">
        <v>26</v>
      </c>
      <c r="AC1942">
        <v>4.2253999999999996</v>
      </c>
      <c r="AD1942">
        <v>-1.108271846871</v>
      </c>
      <c r="AE1942">
        <v>-323.51026999999999</v>
      </c>
      <c r="AF1942">
        <v>16.2607140722629</v>
      </c>
      <c r="AG1942">
        <v>-1.108271846871</v>
      </c>
      <c r="AH1942">
        <v>323.125179286226</v>
      </c>
      <c r="AI1942">
        <v>90.196266970149495</v>
      </c>
      <c r="AJ1942">
        <v>87.119119532777901</v>
      </c>
      <c r="AK1942">
        <v>323.53596489012199</v>
      </c>
      <c r="AL1942">
        <v>89.655003465141505</v>
      </c>
      <c r="AM1942">
        <v>86.946802304071397</v>
      </c>
      <c r="AN1942">
        <v>0.99999999068404499</v>
      </c>
    </row>
    <row r="1943" spans="1:40" x14ac:dyDescent="0.25">
      <c r="A1943" t="str">
        <f>"20190312153925004"</f>
        <v>20190312153925004</v>
      </c>
      <c r="B1943" t="str">
        <f>"1552376364998052"</f>
        <v>1552376364998052</v>
      </c>
      <c r="C1943" t="s">
        <v>40</v>
      </c>
      <c r="D1943">
        <v>4.0710389999999999</v>
      </c>
      <c r="E1943">
        <v>0.52863479999999996</v>
      </c>
      <c r="F1943" t="s">
        <v>42</v>
      </c>
      <c r="G1943">
        <v>-200.19550000000001</v>
      </c>
      <c r="H1943">
        <v>7.9986420000000003E-2</v>
      </c>
      <c r="I1943">
        <v>85.984690000000001</v>
      </c>
      <c r="J1943">
        <v>-190.95070000000001</v>
      </c>
      <c r="K1943">
        <v>1.108241</v>
      </c>
      <c r="L1943">
        <v>332.82299999999998</v>
      </c>
      <c r="M1943">
        <v>6.2421360000000002E-2</v>
      </c>
      <c r="N1943">
        <v>0</v>
      </c>
      <c r="O1943">
        <v>-0.99804409999999999</v>
      </c>
      <c r="P1943">
        <v>8.4096169999999994E-3</v>
      </c>
      <c r="Q1943">
        <v>2.9353019999999999E-3</v>
      </c>
      <c r="R1943">
        <v>-0.99996079999999998</v>
      </c>
      <c r="S1943">
        <v>-0.1120911</v>
      </c>
      <c r="T1943">
        <v>-1.248956E-2</v>
      </c>
      <c r="U1943">
        <v>-3.001404</v>
      </c>
      <c r="V1943">
        <v>5.4035600000000003E-2</v>
      </c>
      <c r="W1943">
        <v>6.2959419999999997E-3</v>
      </c>
      <c r="X1943">
        <v>0.99851920000000005</v>
      </c>
      <c r="Y1943">
        <v>9.9625340000000007E-2</v>
      </c>
      <c r="Z1943">
        <v>4.1372329999999997E-3</v>
      </c>
      <c r="AA1943">
        <v>0.99501640000000002</v>
      </c>
      <c r="AB1943">
        <v>26</v>
      </c>
      <c r="AC1943">
        <v>-9.2447999999999908</v>
      </c>
      <c r="AD1943">
        <v>-1.02825458</v>
      </c>
      <c r="AE1943">
        <v>-246.83831000000001</v>
      </c>
      <c r="AF1943">
        <v>24.6344164674985</v>
      </c>
      <c r="AG1943">
        <v>-1.02825458</v>
      </c>
      <c r="AH1943">
        <v>245.77560614512399</v>
      </c>
      <c r="AI1943">
        <v>90.238512615665996</v>
      </c>
      <c r="AJ1943">
        <v>84.276284026311799</v>
      </c>
      <c r="AK1943">
        <v>247.009231321784</v>
      </c>
      <c r="AL1943">
        <v>89.639266726155</v>
      </c>
      <c r="AM1943">
        <v>86.902418214801401</v>
      </c>
      <c r="AN1943">
        <v>1.0000000388608301</v>
      </c>
    </row>
    <row r="1944" spans="1:40" x14ac:dyDescent="0.25">
      <c r="A1944" t="str">
        <f>"20190312153925028"</f>
        <v>20190312153925028</v>
      </c>
      <c r="B1944" t="str">
        <f>"1552376365017573"</f>
        <v>1552376365017573</v>
      </c>
      <c r="C1944" t="s">
        <v>40</v>
      </c>
      <c r="D1944">
        <v>4.0854540000000004</v>
      </c>
      <c r="E1944">
        <v>0.53201030000000005</v>
      </c>
      <c r="F1944" t="s">
        <v>58</v>
      </c>
      <c r="G1944">
        <v>-211.5018</v>
      </c>
      <c r="H1944">
        <v>0.78840730000000003</v>
      </c>
      <c r="I1944">
        <v>28.793530000000001</v>
      </c>
      <c r="J1944">
        <v>-190.93430000000001</v>
      </c>
      <c r="K1944">
        <v>1.108228</v>
      </c>
      <c r="L1944">
        <v>332.54309999999998</v>
      </c>
      <c r="M1944">
        <v>6.1402169999999999E-2</v>
      </c>
      <c r="N1944">
        <v>0</v>
      </c>
      <c r="O1944">
        <v>-0.99810569999999998</v>
      </c>
      <c r="P1944">
        <v>6.0167750000000002E-3</v>
      </c>
      <c r="Q1944">
        <v>2.1819249999999999E-3</v>
      </c>
      <c r="R1944">
        <v>-0.99997970000000003</v>
      </c>
      <c r="S1944">
        <v>-0.20291139999999999</v>
      </c>
      <c r="T1944">
        <v>-3.1577350000000001E-3</v>
      </c>
      <c r="U1944">
        <v>-3.0018310000000001</v>
      </c>
      <c r="V1944">
        <v>5.5405999999999997E-2</v>
      </c>
      <c r="W1944">
        <v>5.9068499999999999E-3</v>
      </c>
      <c r="X1944">
        <v>0.99844650000000001</v>
      </c>
      <c r="Y1944">
        <v>0.12857750000000001</v>
      </c>
      <c r="Z1944">
        <v>1.0434000000000001E-3</v>
      </c>
      <c r="AA1944">
        <v>0.99169890000000005</v>
      </c>
      <c r="AB1944">
        <v>26</v>
      </c>
      <c r="AC1944">
        <v>-20.5674999999999</v>
      </c>
      <c r="AD1944">
        <v>-0.31982070000000001</v>
      </c>
      <c r="AE1944">
        <v>-303.74957000000001</v>
      </c>
      <c r="AF1944">
        <v>39.179668122245502</v>
      </c>
      <c r="AG1944">
        <v>-0.31982070000000001</v>
      </c>
      <c r="AH1944">
        <v>301.913186805485</v>
      </c>
      <c r="AI1944">
        <v>90.060189470468003</v>
      </c>
      <c r="AJ1944">
        <v>82.605973765033497</v>
      </c>
      <c r="AK1944">
        <v>304.44493926898002</v>
      </c>
      <c r="AL1944">
        <v>89.661560478530603</v>
      </c>
      <c r="AM1944">
        <v>86.823788321469294</v>
      </c>
      <c r="AN1944">
        <v>1.0000000645375799</v>
      </c>
    </row>
    <row r="1945" spans="1:40" x14ac:dyDescent="0.25">
      <c r="A1945" t="str">
        <f>"20190312153925048"</f>
        <v>20190312153925048</v>
      </c>
      <c r="B1945" t="str">
        <f>"1552376365038068"</f>
        <v>1552376365038068</v>
      </c>
      <c r="C1945" t="s">
        <v>40</v>
      </c>
      <c r="D1945">
        <v>4.1090450000000001</v>
      </c>
      <c r="E1945">
        <v>0.53388789999999997</v>
      </c>
      <c r="F1945" t="s">
        <v>59</v>
      </c>
      <c r="G1945">
        <v>-211.63480000000001</v>
      </c>
      <c r="H1945">
        <v>0.82464409999999899</v>
      </c>
      <c r="I1945">
        <v>70.567830000000001</v>
      </c>
      <c r="J1945">
        <v>-190.92089999999999</v>
      </c>
      <c r="K1945">
        <v>1.108225</v>
      </c>
      <c r="L1945">
        <v>332.30869999999999</v>
      </c>
      <c r="M1945">
        <v>6.0460180000000002E-2</v>
      </c>
      <c r="N1945">
        <v>0</v>
      </c>
      <c r="O1945">
        <v>-0.99816199999999999</v>
      </c>
      <c r="P1945">
        <v>4.1189080000000001E-3</v>
      </c>
      <c r="Q1945">
        <v>1.6715720000000001E-3</v>
      </c>
      <c r="R1945">
        <v>-0.9999903</v>
      </c>
      <c r="S1945">
        <v>-0.2371674</v>
      </c>
      <c r="T1945">
        <v>-3.2488109999999999E-3</v>
      </c>
      <c r="U1945">
        <v>-3.001465</v>
      </c>
      <c r="V1945">
        <v>5.6359319999999997E-2</v>
      </c>
      <c r="W1945">
        <v>5.7280389999999999E-3</v>
      </c>
      <c r="X1945">
        <v>0.99839409999999895</v>
      </c>
      <c r="Y1945">
        <v>0.13890039999999901</v>
      </c>
      <c r="Z1945">
        <v>1.072517E-3</v>
      </c>
      <c r="AA1945">
        <v>0.99030580000000001</v>
      </c>
      <c r="AB1945">
        <v>26</v>
      </c>
      <c r="AC1945">
        <v>-20.713899999999999</v>
      </c>
      <c r="AD1945">
        <v>-0.28358090000000002</v>
      </c>
      <c r="AE1945">
        <v>-261.74086999999997</v>
      </c>
      <c r="AF1945">
        <v>36.5009990839309</v>
      </c>
      <c r="AG1945">
        <v>-0.28358090000000002</v>
      </c>
      <c r="AH1945">
        <v>260.00935543066402</v>
      </c>
      <c r="AI1945">
        <v>90.061883185079395</v>
      </c>
      <c r="AJ1945">
        <v>82.0088454441251</v>
      </c>
      <c r="AK1945">
        <v>262.55907575957298</v>
      </c>
      <c r="AL1945">
        <v>89.671805739510702</v>
      </c>
      <c r="AM1945">
        <v>86.769083760030497</v>
      </c>
      <c r="AN1945">
        <v>0.99999998114822797</v>
      </c>
    </row>
    <row r="1946" spans="1:40" x14ac:dyDescent="0.25">
      <c r="A1946" t="str">
        <f>"20190312153925070"</f>
        <v>20190312153925070</v>
      </c>
      <c r="B1946" t="str">
        <f>"1552376365057588"</f>
        <v>1552376365057588</v>
      </c>
      <c r="C1946" t="s">
        <v>40</v>
      </c>
      <c r="D1946">
        <v>4.1566099999999997</v>
      </c>
      <c r="E1946">
        <v>0.53490289999999996</v>
      </c>
      <c r="F1946" t="s">
        <v>59</v>
      </c>
      <c r="G1946">
        <v>-212.2253</v>
      </c>
      <c r="H1946">
        <v>0.44149080000000002</v>
      </c>
      <c r="I1946">
        <v>84.164050000000003</v>
      </c>
      <c r="J1946">
        <v>-190.9068</v>
      </c>
      <c r="K1946">
        <v>1.108228</v>
      </c>
      <c r="L1946">
        <v>332.05829999999997</v>
      </c>
      <c r="M1946">
        <v>5.9366490000000001E-2</v>
      </c>
      <c r="N1946">
        <v>0</v>
      </c>
      <c r="O1946">
        <v>-0.9982259</v>
      </c>
      <c r="P1946">
        <v>2.1554299999999998E-3</v>
      </c>
      <c r="Q1946">
        <v>1.7533399999999999E-3</v>
      </c>
      <c r="R1946">
        <v>-0.99999660000000001</v>
      </c>
      <c r="S1946">
        <v>-0.2576599</v>
      </c>
      <c r="T1946">
        <v>-8.0633159999999992E-3</v>
      </c>
      <c r="U1946">
        <v>-3.001099</v>
      </c>
      <c r="V1946">
        <v>5.7227699999999902E-2</v>
      </c>
      <c r="W1946">
        <v>6.2110660000000003E-3</v>
      </c>
      <c r="X1946">
        <v>0.9983419</v>
      </c>
      <c r="Y1946">
        <v>0.1445388</v>
      </c>
      <c r="Z1946">
        <v>2.6606640000000001E-3</v>
      </c>
      <c r="AA1946">
        <v>0.98949560000000003</v>
      </c>
      <c r="AB1946">
        <v>26</v>
      </c>
      <c r="AC1946">
        <v>-21.3185</v>
      </c>
      <c r="AD1946">
        <v>-0.66673719999999903</v>
      </c>
      <c r="AE1946">
        <v>-247.89425</v>
      </c>
      <c r="AF1946">
        <v>35.997403952148197</v>
      </c>
      <c r="AG1946">
        <v>-0.66673719999999903</v>
      </c>
      <c r="AH1946">
        <v>246.18963314202901</v>
      </c>
      <c r="AI1946">
        <v>90.153536944885303</v>
      </c>
      <c r="AJ1946">
        <v>81.681264430157896</v>
      </c>
      <c r="AK1946">
        <v>248.80834611482501</v>
      </c>
      <c r="AL1946">
        <v>89.644129868060304</v>
      </c>
      <c r="AM1946">
        <v>86.719238807101306</v>
      </c>
      <c r="AN1946">
        <v>1.0000000681418699</v>
      </c>
    </row>
    <row r="1947" spans="1:40" x14ac:dyDescent="0.25">
      <c r="A1947" t="str">
        <f>"20190312153925092"</f>
        <v>20190312153925092</v>
      </c>
      <c r="B1947" t="str">
        <f>"1552376365087844"</f>
        <v>1552376365087844</v>
      </c>
      <c r="C1947" t="s">
        <v>40</v>
      </c>
      <c r="D1947">
        <v>4.1534760000000004</v>
      </c>
      <c r="E1947">
        <v>0.53593239999999998</v>
      </c>
      <c r="F1947" t="s">
        <v>60</v>
      </c>
      <c r="G1947">
        <v>-210.12860000000001</v>
      </c>
      <c r="H1947">
        <v>0.2448871</v>
      </c>
      <c r="I1947">
        <v>119.6773</v>
      </c>
      <c r="J1947">
        <v>-190.8929</v>
      </c>
      <c r="K1947">
        <v>1.1082510000000001</v>
      </c>
      <c r="L1947">
        <v>331.80180000000001</v>
      </c>
      <c r="M1947">
        <v>5.8161360000000002E-2</v>
      </c>
      <c r="N1947">
        <v>0</v>
      </c>
      <c r="O1947">
        <v>-0.99829449999999997</v>
      </c>
      <c r="P1947">
        <v>-1.103515E-4</v>
      </c>
      <c r="Q1947">
        <v>1.582377E-3</v>
      </c>
      <c r="R1947">
        <v>-0.99999899999999997</v>
      </c>
      <c r="S1947">
        <v>-0.27157589999999998</v>
      </c>
      <c r="T1947">
        <v>-1.2197380000000001E-2</v>
      </c>
      <c r="U1947">
        <v>-3.0006409999999999</v>
      </c>
      <c r="V1947">
        <v>5.828639E-2</v>
      </c>
      <c r="W1947">
        <v>6.5262489999999996E-3</v>
      </c>
      <c r="X1947">
        <v>0.99827860000000002</v>
      </c>
      <c r="Y1947">
        <v>0.1479096</v>
      </c>
      <c r="Z1947">
        <v>4.0239799999999999E-3</v>
      </c>
      <c r="AA1947">
        <v>0.98899269999999995</v>
      </c>
      <c r="AB1947">
        <v>26</v>
      </c>
      <c r="AC1947">
        <v>-19.235700000000001</v>
      </c>
      <c r="AD1947">
        <v>-0.86336389999999996</v>
      </c>
      <c r="AE1947">
        <v>-212.12450000000001</v>
      </c>
      <c r="AF1947">
        <v>31.540224444460002</v>
      </c>
      <c r="AG1947">
        <v>-0.86336389999999996</v>
      </c>
      <c r="AH1947">
        <v>210.643155927332</v>
      </c>
      <c r="AI1947">
        <v>90.232248076857701</v>
      </c>
      <c r="AJ1947">
        <v>81.484198240003906</v>
      </c>
      <c r="AK1947">
        <v>212.99312264544301</v>
      </c>
      <c r="AL1947">
        <v>89.626070832742002</v>
      </c>
      <c r="AM1947">
        <v>86.6584708896454</v>
      </c>
      <c r="AN1947">
        <v>1.0000000292016</v>
      </c>
    </row>
    <row r="1948" spans="1:40" x14ac:dyDescent="0.25">
      <c r="A1948" t="str">
        <f>"20190312153925115"</f>
        <v>20190312153925115</v>
      </c>
      <c r="B1948" t="str">
        <f>"1552376365107364"</f>
        <v>1552376365107364</v>
      </c>
      <c r="C1948" t="s">
        <v>40</v>
      </c>
      <c r="D1948">
        <v>4.1708610000000004</v>
      </c>
      <c r="E1948">
        <v>0.53637679999999999</v>
      </c>
      <c r="F1948" t="s">
        <v>55</v>
      </c>
      <c r="G1948">
        <v>-209.7347</v>
      </c>
      <c r="H1948" s="1">
        <v>-3.5399959999999999E-6</v>
      </c>
      <c r="I1948">
        <v>134.46449999999999</v>
      </c>
      <c r="J1948">
        <v>-190.87880000000001</v>
      </c>
      <c r="K1948">
        <v>1.108287</v>
      </c>
      <c r="L1948">
        <v>331.53570000000002</v>
      </c>
      <c r="M1948">
        <v>5.6834740000000002E-2</v>
      </c>
      <c r="N1948">
        <v>0</v>
      </c>
      <c r="O1948">
        <v>-0.99836740000000002</v>
      </c>
      <c r="P1948">
        <v>-2.9953879999999999E-3</v>
      </c>
      <c r="Q1948">
        <v>1.0807130000000001E-3</v>
      </c>
      <c r="R1948">
        <v>-0.99999490000000002</v>
      </c>
      <c r="S1948">
        <v>-0.28643800000000003</v>
      </c>
      <c r="T1948">
        <v>-1.684797E-2</v>
      </c>
      <c r="U1948">
        <v>-2.9999690000000001</v>
      </c>
      <c r="V1948">
        <v>5.9841510000000001E-2</v>
      </c>
      <c r="W1948">
        <v>6.6292429999999999E-3</v>
      </c>
      <c r="X1948">
        <v>0.99818589999999996</v>
      </c>
      <c r="Y1948">
        <v>0.1514713</v>
      </c>
      <c r="Z1948">
        <v>5.5572929999999996E-3</v>
      </c>
      <c r="AA1948">
        <v>0.98844609999999999</v>
      </c>
      <c r="AB1948">
        <v>26</v>
      </c>
      <c r="AC1948">
        <v>-18.855899999999899</v>
      </c>
      <c r="AD1948">
        <v>-1.1082905399959999</v>
      </c>
      <c r="AE1948">
        <v>-197.0712</v>
      </c>
      <c r="AF1948">
        <v>30.025150904037801</v>
      </c>
      <c r="AG1948">
        <v>-1.1082905399959999</v>
      </c>
      <c r="AH1948">
        <v>195.67482374357499</v>
      </c>
      <c r="AI1948">
        <v>90.320762270474205</v>
      </c>
      <c r="AJ1948">
        <v>81.2763414072854</v>
      </c>
      <c r="AK1948">
        <v>197.968115215078</v>
      </c>
      <c r="AL1948">
        <v>89.620169581022495</v>
      </c>
      <c r="AM1948">
        <v>86.5692089854344</v>
      </c>
      <c r="AN1948">
        <v>1.00000002207032</v>
      </c>
    </row>
    <row r="1949" spans="1:40" x14ac:dyDescent="0.25">
      <c r="A1949" t="str">
        <f>"20190312153925136"</f>
        <v>20190312153925136</v>
      </c>
      <c r="B1949" t="str">
        <f>"1552376365127860"</f>
        <v>1552376365127860</v>
      </c>
      <c r="C1949" t="s">
        <v>40</v>
      </c>
      <c r="D1949">
        <v>4.2168659999999996</v>
      </c>
      <c r="E1949">
        <v>0.53687980000000002</v>
      </c>
      <c r="F1949" t="s">
        <v>43</v>
      </c>
      <c r="G1949">
        <v>-207.9084</v>
      </c>
      <c r="H1949">
        <v>-0.05</v>
      </c>
      <c r="I1949">
        <v>160.48159999999999</v>
      </c>
      <c r="J1949">
        <v>-190.86539999999999</v>
      </c>
      <c r="K1949">
        <v>1.1083529999999999</v>
      </c>
      <c r="L1949">
        <v>331.2724</v>
      </c>
      <c r="M1949">
        <v>5.5463709999999999E-2</v>
      </c>
      <c r="N1949">
        <v>0</v>
      </c>
      <c r="O1949">
        <v>-0.99844010000000005</v>
      </c>
      <c r="P1949">
        <v>-5.5081319999999998E-3</v>
      </c>
      <c r="Q1949">
        <v>3.9776150000000001E-4</v>
      </c>
      <c r="R1949">
        <v>-0.99998500000000001</v>
      </c>
      <c r="S1949">
        <v>-0.29858400000000002</v>
      </c>
      <c r="T1949">
        <v>-2.0308610000000001E-2</v>
      </c>
      <c r="U1949">
        <v>-2.9991460000000001</v>
      </c>
      <c r="V1949">
        <v>6.0980399999999997E-2</v>
      </c>
      <c r="W1949">
        <v>6.6697739999999998E-3</v>
      </c>
      <c r="X1949">
        <v>0.99811669999999997</v>
      </c>
      <c r="Y1949">
        <v>0.15410389999999999</v>
      </c>
      <c r="Z1949">
        <v>6.6986609999999999E-3</v>
      </c>
      <c r="AA1949">
        <v>0.98803189999999996</v>
      </c>
      <c r="AB1949">
        <v>26</v>
      </c>
      <c r="AC1949">
        <v>-17.042999999999999</v>
      </c>
      <c r="AD1949">
        <v>-1.158353</v>
      </c>
      <c r="AE1949">
        <v>-170.79079999999999</v>
      </c>
      <c r="AF1949">
        <v>26.488444530229501</v>
      </c>
      <c r="AG1949">
        <v>-1.158353</v>
      </c>
      <c r="AH1949">
        <v>169.574880627971</v>
      </c>
      <c r="AI1949">
        <v>90.3866879696224</v>
      </c>
      <c r="AJ1949">
        <v>81.121857630452894</v>
      </c>
      <c r="AK1949">
        <v>171.635135142238</v>
      </c>
      <c r="AL1949">
        <v>89.617847274061702</v>
      </c>
      <c r="AM1949">
        <v>86.503833605923205</v>
      </c>
      <c r="AN1949">
        <v>1.00000002094413</v>
      </c>
    </row>
    <row r="1950" spans="1:40" x14ac:dyDescent="0.25">
      <c r="A1950" t="str">
        <f>"20190312153925160"</f>
        <v>20190312153925160</v>
      </c>
      <c r="B1950" t="str">
        <f>"1552376365147380"</f>
        <v>1552376365147380</v>
      </c>
      <c r="C1950" t="s">
        <v>40</v>
      </c>
      <c r="D1950">
        <v>4.2274690000000001</v>
      </c>
      <c r="E1950">
        <v>0.53699300000000005</v>
      </c>
      <c r="F1950" t="s">
        <v>54</v>
      </c>
      <c r="G1950">
        <v>-203.44069999999999</v>
      </c>
      <c r="H1950">
        <v>3.0114800000000001E-2</v>
      </c>
      <c r="I1950">
        <v>209.5933</v>
      </c>
      <c r="J1950">
        <v>-190.8528</v>
      </c>
      <c r="K1950">
        <v>1.1084480000000001</v>
      </c>
      <c r="L1950">
        <v>331.01760000000002</v>
      </c>
      <c r="M1950">
        <v>5.40729E-2</v>
      </c>
      <c r="N1950">
        <v>0</v>
      </c>
      <c r="O1950">
        <v>-0.99851069999999997</v>
      </c>
      <c r="P1950">
        <v>-8.6241930000000005E-3</v>
      </c>
      <c r="Q1950">
        <v>1.967045E-4</v>
      </c>
      <c r="R1950">
        <v>-0.99996280000000004</v>
      </c>
      <c r="S1950">
        <v>-0.30987550000000003</v>
      </c>
      <c r="T1950">
        <v>-2.6569369999999998E-2</v>
      </c>
      <c r="U1950">
        <v>-2.9983520000000001</v>
      </c>
      <c r="V1950">
        <v>6.2702830000000001E-2</v>
      </c>
      <c r="W1950">
        <v>7.2638989999999999E-3</v>
      </c>
      <c r="X1950">
        <v>0.99800580000000005</v>
      </c>
      <c r="Y1950">
        <v>0.1564345</v>
      </c>
      <c r="Z1950">
        <v>8.7636280000000007E-3</v>
      </c>
      <c r="AA1950">
        <v>0.98764940000000001</v>
      </c>
      <c r="AB1950">
        <v>26</v>
      </c>
      <c r="AC1950">
        <v>-12.5878999999999</v>
      </c>
      <c r="AD1950">
        <v>-1.0783332000000001</v>
      </c>
      <c r="AE1950">
        <v>-121.4243</v>
      </c>
      <c r="AF1950">
        <v>19.133926228671399</v>
      </c>
      <c r="AG1950">
        <v>-1.0783332000000001</v>
      </c>
      <c r="AH1950">
        <v>120.556556815303</v>
      </c>
      <c r="AI1950">
        <v>90.5061407633615</v>
      </c>
      <c r="AJ1950">
        <v>80.981621036581004</v>
      </c>
      <c r="AK1950">
        <v>122.070280275651</v>
      </c>
      <c r="AL1950">
        <v>89.583805581483105</v>
      </c>
      <c r="AM1950">
        <v>86.404939163317096</v>
      </c>
      <c r="AN1950">
        <v>0.99999999297616504</v>
      </c>
    </row>
    <row r="1951" spans="1:40" x14ac:dyDescent="0.25">
      <c r="A1951" t="str">
        <f>"20190312153925174"</f>
        <v>20190312153925174</v>
      </c>
      <c r="B1951" t="str">
        <f>"1552376365167876"</f>
        <v>1552376365167876</v>
      </c>
      <c r="C1951" t="s">
        <v>40</v>
      </c>
      <c r="D1951">
        <v>4.2395239999999896</v>
      </c>
      <c r="E1951">
        <v>0.53708299999999998</v>
      </c>
      <c r="F1951" t="s">
        <v>42</v>
      </c>
      <c r="G1951">
        <v>-200.90620000000001</v>
      </c>
      <c r="H1951">
        <v>7.9985879999999995E-2</v>
      </c>
      <c r="I1951">
        <v>236.8871</v>
      </c>
      <c r="J1951">
        <v>-190.8441</v>
      </c>
      <c r="K1951">
        <v>1.1085210000000001</v>
      </c>
      <c r="L1951">
        <v>330.83600000000001</v>
      </c>
      <c r="M1951">
        <v>5.3044510000000003E-2</v>
      </c>
      <c r="N1951">
        <v>0</v>
      </c>
      <c r="O1951">
        <v>-0.99856129999999999</v>
      </c>
      <c r="P1951">
        <v>-1.056791E-2</v>
      </c>
      <c r="Q1951">
        <v>-1.2539199999999999E-4</v>
      </c>
      <c r="R1951">
        <v>-0.99994430000000001</v>
      </c>
      <c r="S1951">
        <v>-0.32012940000000001</v>
      </c>
      <c r="T1951">
        <v>-3.274941E-2</v>
      </c>
      <c r="U1951">
        <v>-2.9974059999999998</v>
      </c>
      <c r="V1951">
        <v>6.361617E-2</v>
      </c>
      <c r="W1951">
        <v>7.5266279999999996E-3</v>
      </c>
      <c r="X1951">
        <v>0.99794609999999995</v>
      </c>
      <c r="Y1951">
        <v>0.1587886</v>
      </c>
      <c r="Z1951">
        <v>1.080215E-2</v>
      </c>
      <c r="AA1951">
        <v>0.98725350000000001</v>
      </c>
      <c r="AB1951">
        <v>26</v>
      </c>
      <c r="AC1951">
        <v>-10.062099999999999</v>
      </c>
      <c r="AD1951">
        <v>-1.0285351199999999</v>
      </c>
      <c r="AE1951">
        <v>-93.948899999999995</v>
      </c>
      <c r="AF1951">
        <v>15.029779117643301</v>
      </c>
      <c r="AG1951">
        <v>-1.0285351199999999</v>
      </c>
      <c r="AH1951">
        <v>93.271817899688401</v>
      </c>
      <c r="AI1951">
        <v>90.623745871957098</v>
      </c>
      <c r="AJ1951">
        <v>80.8460725423339</v>
      </c>
      <c r="AK1951">
        <v>94.480602025658499</v>
      </c>
      <c r="AL1951">
        <v>89.568751928343204</v>
      </c>
      <c r="AM1951">
        <v>86.352495640444602</v>
      </c>
      <c r="AN1951">
        <v>1.0000000428598601</v>
      </c>
    </row>
    <row r="1952" spans="1:40" x14ac:dyDescent="0.25">
      <c r="A1952" t="str">
        <f>"20190312153925192"</f>
        <v>20190312153925192</v>
      </c>
      <c r="B1952" t="str">
        <f>"1552376365187396"</f>
        <v>1552376365187396</v>
      </c>
      <c r="C1952" t="s">
        <v>40</v>
      </c>
      <c r="D1952">
        <v>4.2044230000000002</v>
      </c>
      <c r="E1952">
        <v>0.53724249999999996</v>
      </c>
      <c r="F1952" t="s">
        <v>42</v>
      </c>
      <c r="G1952">
        <v>-199.95779999999999</v>
      </c>
      <c r="H1952">
        <v>3.7596520000000001E-2</v>
      </c>
      <c r="I1952">
        <v>247.17570000000001</v>
      </c>
      <c r="J1952">
        <v>-190.83449999999999</v>
      </c>
      <c r="K1952">
        <v>1.108595</v>
      </c>
      <c r="L1952">
        <v>330.63060000000002</v>
      </c>
      <c r="M1952">
        <v>5.185319E-2</v>
      </c>
      <c r="N1952">
        <v>0</v>
      </c>
      <c r="O1952">
        <v>-0.99861900000000003</v>
      </c>
      <c r="P1952">
        <v>-1.329369E-2</v>
      </c>
      <c r="Q1952">
        <v>4.3113240000000001E-4</v>
      </c>
      <c r="R1952">
        <v>-0.99991180000000002</v>
      </c>
      <c r="S1952">
        <v>-0.32644649999999997</v>
      </c>
      <c r="T1952">
        <v>-3.8359999999999998E-2</v>
      </c>
      <c r="U1952">
        <v>-2.9966740000000001</v>
      </c>
      <c r="V1952">
        <v>6.5149719999999994E-2</v>
      </c>
      <c r="W1952">
        <v>8.7267899999999999E-3</v>
      </c>
      <c r="X1952">
        <v>0.99783739999999999</v>
      </c>
      <c r="Y1952">
        <v>0.15969129999999901</v>
      </c>
      <c r="Z1952">
        <v>1.26544E-2</v>
      </c>
      <c r="AA1952">
        <v>0.98708589999999996</v>
      </c>
      <c r="AB1952">
        <v>26</v>
      </c>
      <c r="AC1952">
        <v>-9.1233000000000004</v>
      </c>
      <c r="AD1952">
        <v>-1.0709984800000001</v>
      </c>
      <c r="AE1952">
        <v>-83.454899999999995</v>
      </c>
      <c r="AF1952">
        <v>13.4363961272357</v>
      </c>
      <c r="AG1952">
        <v>-1.0709984800000001</v>
      </c>
      <c r="AH1952">
        <v>82.856047941203997</v>
      </c>
      <c r="AI1952">
        <v>90.731016258281002</v>
      </c>
      <c r="AJ1952">
        <v>80.788784632661304</v>
      </c>
      <c r="AK1952">
        <v>83.945270617630698</v>
      </c>
      <c r="AL1952">
        <v>89.499985447506901</v>
      </c>
      <c r="AM1952">
        <v>86.2644080858894</v>
      </c>
      <c r="AN1952">
        <v>1.00000005985926</v>
      </c>
    </row>
    <row r="1953" spans="1:40" x14ac:dyDescent="0.25">
      <c r="A1953" t="str">
        <f>"20190312153925216"</f>
        <v>20190312153925216</v>
      </c>
      <c r="B1953" t="str">
        <f>"1552376365207893"</f>
        <v>1552376365207893</v>
      </c>
      <c r="C1953" t="s">
        <v>40</v>
      </c>
      <c r="D1953">
        <v>4.2215449999999999</v>
      </c>
      <c r="E1953">
        <v>0.537412</v>
      </c>
      <c r="F1953" t="s">
        <v>42</v>
      </c>
      <c r="G1953">
        <v>-199.97929999999999</v>
      </c>
      <c r="H1953">
        <v>7.1490059999999994E-2</v>
      </c>
      <c r="I1953">
        <v>249.03540000000001</v>
      </c>
      <c r="J1953">
        <v>-190.8218</v>
      </c>
      <c r="K1953">
        <v>1.108684</v>
      </c>
      <c r="L1953">
        <v>330.35019999999997</v>
      </c>
      <c r="M1953">
        <v>5.0199149999999998E-2</v>
      </c>
      <c r="N1953">
        <v>0</v>
      </c>
      <c r="O1953">
        <v>-0.99869589999999997</v>
      </c>
      <c r="P1953">
        <v>-1.6831749999999999E-2</v>
      </c>
      <c r="Q1953">
        <v>1.3309909999999999E-3</v>
      </c>
      <c r="R1953">
        <v>-0.99985749999999995</v>
      </c>
      <c r="S1953">
        <v>-0.33575440000000001</v>
      </c>
      <c r="T1953">
        <v>-3.8077949999999999E-2</v>
      </c>
      <c r="U1953">
        <v>-2.995819</v>
      </c>
      <c r="V1953">
        <v>6.7033159999999994E-2</v>
      </c>
      <c r="W1953">
        <v>1.045667E-2</v>
      </c>
      <c r="X1953">
        <v>0.99769589999999997</v>
      </c>
      <c r="Y1953">
        <v>0.1611167</v>
      </c>
      <c r="Z1953">
        <v>1.256293E-2</v>
      </c>
      <c r="AA1953">
        <v>0.98685540000000005</v>
      </c>
      <c r="AB1953">
        <v>26</v>
      </c>
      <c r="AC1953">
        <v>-9.1575000000000006</v>
      </c>
      <c r="AD1953">
        <v>-1.0371939400000001</v>
      </c>
      <c r="AE1953">
        <v>-81.314799999999906</v>
      </c>
      <c r="AF1953">
        <v>13.225939091025101</v>
      </c>
      <c r="AG1953">
        <v>-1.0371939400000001</v>
      </c>
      <c r="AH1953">
        <v>80.7395814721676</v>
      </c>
      <c r="AI1953">
        <v>90.726311290664796</v>
      </c>
      <c r="AJ1953">
        <v>80.697010604230897</v>
      </c>
      <c r="AK1953">
        <v>81.822254016920496</v>
      </c>
      <c r="AL1953">
        <v>89.400865991141302</v>
      </c>
      <c r="AM1953">
        <v>86.156190003465497</v>
      </c>
      <c r="AN1953">
        <v>0.99999994768194</v>
      </c>
    </row>
    <row r="1954" spans="1:40" x14ac:dyDescent="0.25">
      <c r="A1954" t="str">
        <f>"20190312153925240"</f>
        <v>20190312153925240</v>
      </c>
      <c r="B1954" t="str">
        <f>"1552376365227412"</f>
        <v>1552376365227412</v>
      </c>
      <c r="C1954" t="s">
        <v>40</v>
      </c>
      <c r="D1954">
        <v>4.2549799999999998</v>
      </c>
      <c r="E1954">
        <v>0.53747250000000002</v>
      </c>
      <c r="F1954" t="s">
        <v>42</v>
      </c>
      <c r="G1954">
        <v>-200.38489999999999</v>
      </c>
      <c r="H1954">
        <v>7.9985479999999998E-2</v>
      </c>
      <c r="I1954">
        <v>247.95429999999999</v>
      </c>
      <c r="J1954">
        <v>-190.81030000000001</v>
      </c>
      <c r="K1954">
        <v>1.1087340000000001</v>
      </c>
      <c r="L1954">
        <v>330.08390000000003</v>
      </c>
      <c r="M1954">
        <v>4.8614150000000002E-2</v>
      </c>
      <c r="N1954">
        <v>0</v>
      </c>
      <c r="O1954">
        <v>-0.99876699999999996</v>
      </c>
      <c r="P1954">
        <v>-2.011398E-2</v>
      </c>
      <c r="Q1954">
        <v>1.3596599999999999E-3</v>
      </c>
      <c r="R1954">
        <v>-0.99979669999999998</v>
      </c>
      <c r="S1954">
        <v>-0.3475647</v>
      </c>
      <c r="T1954">
        <v>-3.7387370000000003E-2</v>
      </c>
      <c r="U1954">
        <v>-2.9946290000000002</v>
      </c>
      <c r="V1954">
        <v>6.8727699999999906E-2</v>
      </c>
      <c r="W1954">
        <v>1.11962E-2</v>
      </c>
      <c r="X1954">
        <v>0.99757260000000003</v>
      </c>
      <c r="Y1954">
        <v>0.1634361</v>
      </c>
      <c r="Z1954">
        <v>1.2336339999999999E-2</v>
      </c>
      <c r="AA1954">
        <v>0.98647680000000004</v>
      </c>
      <c r="AB1954">
        <v>26</v>
      </c>
      <c r="AC1954">
        <v>-9.57459999999997</v>
      </c>
      <c r="AD1954">
        <v>-1.0287485199999999</v>
      </c>
      <c r="AE1954">
        <v>-82.129599999999996</v>
      </c>
      <c r="AF1954">
        <v>13.554042695861501</v>
      </c>
      <c r="AG1954">
        <v>-1.0287485199999999</v>
      </c>
      <c r="AH1954">
        <v>81.554374084113505</v>
      </c>
      <c r="AI1954">
        <v>90.712927958309194</v>
      </c>
      <c r="AJ1954">
        <v>80.563896326262096</v>
      </c>
      <c r="AK1954">
        <v>82.679419018097605</v>
      </c>
      <c r="AL1954">
        <v>89.358491572245299</v>
      </c>
      <c r="AM1954">
        <v>86.058838679184106</v>
      </c>
      <c r="AN1954">
        <v>0.99999997195624402</v>
      </c>
    </row>
    <row r="1955" spans="1:40" x14ac:dyDescent="0.25">
      <c r="A1955" t="str">
        <f>"20190312153925261"</f>
        <v>20190312153925261</v>
      </c>
      <c r="B1955" t="str">
        <f>"1552376365257668"</f>
        <v>1552376365257668</v>
      </c>
      <c r="C1955" t="s">
        <v>40</v>
      </c>
      <c r="D1955">
        <v>4.3158370000000001</v>
      </c>
      <c r="E1955">
        <v>0.5372595</v>
      </c>
      <c r="F1955" t="s">
        <v>42</v>
      </c>
      <c r="G1955">
        <v>-200.19720000000001</v>
      </c>
      <c r="H1955">
        <v>7.9986260000000003E-2</v>
      </c>
      <c r="I1955">
        <v>251.56190000000001</v>
      </c>
      <c r="J1955">
        <v>-190.80019999999999</v>
      </c>
      <c r="K1955">
        <v>1.108768</v>
      </c>
      <c r="L1955">
        <v>329.84249999999997</v>
      </c>
      <c r="M1955">
        <v>4.7174380000000002E-2</v>
      </c>
      <c r="N1955">
        <v>0</v>
      </c>
      <c r="O1955">
        <v>-0.99883010000000005</v>
      </c>
      <c r="P1955">
        <v>-2.3148780000000001E-2</v>
      </c>
      <c r="Q1955">
        <v>1.101674E-3</v>
      </c>
      <c r="R1955">
        <v>-0.9997317</v>
      </c>
      <c r="S1955">
        <v>-0.35784909999999998</v>
      </c>
      <c r="T1955">
        <v>-3.921819E-2</v>
      </c>
      <c r="U1955">
        <v>-2.993439</v>
      </c>
      <c r="V1955">
        <v>7.0319240000000005E-2</v>
      </c>
      <c r="W1955">
        <v>1.151948E-2</v>
      </c>
      <c r="X1955">
        <v>0.99745799999999996</v>
      </c>
      <c r="Y1955">
        <v>0.16540070000000001</v>
      </c>
      <c r="Z1955">
        <v>1.294207E-2</v>
      </c>
      <c r="AA1955">
        <v>0.9861415</v>
      </c>
      <c r="AB1955">
        <v>26</v>
      </c>
      <c r="AC1955">
        <v>-9.3970000000000198</v>
      </c>
      <c r="AD1955">
        <v>-1.0287817399999999</v>
      </c>
      <c r="AE1955">
        <v>-78.280599999999893</v>
      </c>
      <c r="AF1955">
        <v>13.0773576860649</v>
      </c>
      <c r="AG1955">
        <v>-1.0287817399999999</v>
      </c>
      <c r="AH1955">
        <v>77.7368793949897</v>
      </c>
      <c r="AI1955">
        <v>90.747711762875397</v>
      </c>
      <c r="AJ1955">
        <v>80.450776018320894</v>
      </c>
      <c r="AK1955">
        <v>78.835893436866797</v>
      </c>
      <c r="AL1955">
        <v>89.339967801106695</v>
      </c>
      <c r="AM1955">
        <v>85.9674083922514</v>
      </c>
      <c r="AN1955">
        <v>0.999999977848823</v>
      </c>
    </row>
    <row r="1956" spans="1:40" x14ac:dyDescent="0.25">
      <c r="A1956" t="str">
        <f>"20190312153925281"</f>
        <v>20190312153925281</v>
      </c>
      <c r="B1956" t="str">
        <f>"1552376365277188"</f>
        <v>1552376365277188</v>
      </c>
      <c r="C1956" t="s">
        <v>40</v>
      </c>
      <c r="D1956">
        <v>4.2540529999999999</v>
      </c>
      <c r="E1956">
        <v>0.537138</v>
      </c>
      <c r="F1956" t="s">
        <v>42</v>
      </c>
      <c r="G1956">
        <v>-199.93879999999999</v>
      </c>
      <c r="H1956" s="1">
        <v>-4.4611149999999997E-6</v>
      </c>
      <c r="I1956">
        <v>254.91540000000001</v>
      </c>
      <c r="J1956">
        <v>-190.79050000000001</v>
      </c>
      <c r="K1956">
        <v>1.1088089999999999</v>
      </c>
      <c r="L1956">
        <v>329.60329999999999</v>
      </c>
      <c r="M1956">
        <v>4.5745420000000002E-2</v>
      </c>
      <c r="N1956">
        <v>0</v>
      </c>
      <c r="O1956">
        <v>-0.99889090000000003</v>
      </c>
      <c r="P1956">
        <v>-2.6952279999999999E-2</v>
      </c>
      <c r="Q1956">
        <v>6.7746419999999998E-4</v>
      </c>
      <c r="R1956">
        <v>-0.99963679999999999</v>
      </c>
      <c r="S1956">
        <v>-0.36497499999999999</v>
      </c>
      <c r="T1956">
        <v>-4.4281599999999997E-2</v>
      </c>
      <c r="U1956">
        <v>-2.9924010000000001</v>
      </c>
      <c r="V1956">
        <v>7.2687829999999995E-2</v>
      </c>
      <c r="W1956">
        <v>1.161007E-2</v>
      </c>
      <c r="X1956">
        <v>0.99728720000000004</v>
      </c>
      <c r="Y1956">
        <v>0.16634209999999999</v>
      </c>
      <c r="Z1956">
        <v>1.4615919999999999E-2</v>
      </c>
      <c r="AA1956">
        <v>0.98595980000000005</v>
      </c>
      <c r="AB1956">
        <v>26</v>
      </c>
      <c r="AC1956">
        <v>-9.1482999999999706</v>
      </c>
      <c r="AD1956">
        <v>-1.108813461115</v>
      </c>
      <c r="AE1956">
        <v>-74.6878999999999</v>
      </c>
      <c r="AF1956">
        <v>12.5528377119524</v>
      </c>
      <c r="AG1956">
        <v>-1.108813461115</v>
      </c>
      <c r="AH1956">
        <v>74.175076210133895</v>
      </c>
      <c r="AI1956">
        <v>90.844422979381307</v>
      </c>
      <c r="AJ1956">
        <v>80.394696340917505</v>
      </c>
      <c r="AK1956">
        <v>75.237923500674398</v>
      </c>
      <c r="AL1956">
        <v>89.334777068425396</v>
      </c>
      <c r="AM1956">
        <v>85.831336679794006</v>
      </c>
      <c r="AN1956">
        <v>1.00000003681967</v>
      </c>
    </row>
    <row r="1957" spans="1:40" x14ac:dyDescent="0.25">
      <c r="A1957" t="str">
        <f>"20190312153925315"</f>
        <v>20190312153925315</v>
      </c>
      <c r="B1957" t="str">
        <f>"1552376365307446"</f>
        <v>1552376365307446</v>
      </c>
      <c r="C1957" t="s">
        <v>40</v>
      </c>
      <c r="D1957">
        <v>4.2774239999999999</v>
      </c>
      <c r="E1957">
        <v>0.53693519999999995</v>
      </c>
      <c r="F1957" t="s">
        <v>42</v>
      </c>
      <c r="G1957">
        <v>-199.3603</v>
      </c>
      <c r="H1957" s="1">
        <v>-3.1305159999999999E-6</v>
      </c>
      <c r="I1957">
        <v>261.30689999999998</v>
      </c>
      <c r="J1957">
        <v>-190.77539999999999</v>
      </c>
      <c r="K1957">
        <v>1.108868</v>
      </c>
      <c r="L1957">
        <v>329.21019999999999</v>
      </c>
      <c r="M1957">
        <v>4.338877E-2</v>
      </c>
      <c r="N1957">
        <v>0</v>
      </c>
      <c r="O1957">
        <v>-0.99898770000000003</v>
      </c>
      <c r="P1957">
        <v>-3.1551900000000001E-2</v>
      </c>
      <c r="Q1957">
        <v>1.472016E-4</v>
      </c>
      <c r="R1957">
        <v>-0.99950240000000001</v>
      </c>
      <c r="S1957">
        <v>-0.37530520000000001</v>
      </c>
      <c r="T1957">
        <v>-4.8559779999999997E-2</v>
      </c>
      <c r="U1957">
        <v>-2.9909970000000001</v>
      </c>
      <c r="V1957">
        <v>7.4924770000000002E-2</v>
      </c>
      <c r="W1957">
        <v>1.1812720000000001E-2</v>
      </c>
      <c r="X1957">
        <v>0.99711919999999998</v>
      </c>
      <c r="Y1957">
        <v>0.16742290000000001</v>
      </c>
      <c r="Z1957">
        <v>1.6032810000000002E-2</v>
      </c>
      <c r="AA1957">
        <v>0.98575480000000004</v>
      </c>
      <c r="AB1957">
        <v>26</v>
      </c>
      <c r="AC1957">
        <v>-8.5848999999999993</v>
      </c>
      <c r="AD1957">
        <v>-1.1088711305159999</v>
      </c>
      <c r="AE1957">
        <v>-67.903300000000002</v>
      </c>
      <c r="AF1957">
        <v>11.520238718900099</v>
      </c>
      <c r="AG1957">
        <v>-1.1088711305159999</v>
      </c>
      <c r="AH1957">
        <v>67.449125541247298</v>
      </c>
      <c r="AI1957">
        <v>90.928421807859294</v>
      </c>
      <c r="AJ1957">
        <v>80.307470792349406</v>
      </c>
      <c r="AK1957">
        <v>68.434859769005698</v>
      </c>
      <c r="AL1957">
        <v>89.3231652444872</v>
      </c>
      <c r="AM1957">
        <v>85.702799743581096</v>
      </c>
      <c r="AN1957">
        <v>0.99999998026099501</v>
      </c>
    </row>
    <row r="1958" spans="1:40" x14ac:dyDescent="0.25">
      <c r="A1958" t="str">
        <f>"20190312153925338"</f>
        <v>20190312153925338</v>
      </c>
      <c r="B1958" t="str">
        <f>"1552376365327944"</f>
        <v>1552376365327944</v>
      </c>
      <c r="C1958" t="s">
        <v>40</v>
      </c>
      <c r="D1958">
        <v>4.2575099999999999</v>
      </c>
      <c r="E1958">
        <v>0.53677869999999905</v>
      </c>
      <c r="F1958" t="s">
        <v>42</v>
      </c>
      <c r="G1958">
        <v>-198.92660000000001</v>
      </c>
      <c r="H1958" s="1">
        <v>-4.7556790000000001E-6</v>
      </c>
      <c r="I1958">
        <v>266.30860000000001</v>
      </c>
      <c r="J1958">
        <v>-190.76580000000001</v>
      </c>
      <c r="K1958">
        <v>1.108897</v>
      </c>
      <c r="L1958">
        <v>328.94470000000001</v>
      </c>
      <c r="M1958">
        <v>4.1793320000000002E-2</v>
      </c>
      <c r="N1958">
        <v>0</v>
      </c>
      <c r="O1958">
        <v>-0.99905060000000001</v>
      </c>
      <c r="P1958">
        <v>-3.4614150000000003E-2</v>
      </c>
      <c r="Q1958">
        <v>-2.239005E-4</v>
      </c>
      <c r="R1958">
        <v>-0.99940099999999998</v>
      </c>
      <c r="S1958">
        <v>-0.38737490000000002</v>
      </c>
      <c r="T1958">
        <v>-5.269778E-2</v>
      </c>
      <c r="U1958">
        <v>-2.9893190000000001</v>
      </c>
      <c r="V1958">
        <v>7.6387469999999999E-2</v>
      </c>
      <c r="W1958">
        <v>1.185896E-2</v>
      </c>
      <c r="X1958">
        <v>0.99700770000000005</v>
      </c>
      <c r="Y1958">
        <v>0.16982990000000001</v>
      </c>
      <c r="Z1958">
        <v>1.7402069999999999E-2</v>
      </c>
      <c r="AA1958">
        <v>0.98531970000000002</v>
      </c>
      <c r="AB1958">
        <v>26</v>
      </c>
      <c r="AC1958">
        <v>-8.1607999999999894</v>
      </c>
      <c r="AD1958">
        <v>-1.108901755679</v>
      </c>
      <c r="AE1958">
        <v>-62.636099999999999</v>
      </c>
      <c r="AF1958">
        <v>10.768318418024201</v>
      </c>
      <c r="AG1958">
        <v>-1.108901755679</v>
      </c>
      <c r="AH1958">
        <v>62.221096169655802</v>
      </c>
      <c r="AI1958">
        <v>91.006062574349798</v>
      </c>
      <c r="AJ1958">
        <v>80.181340812231596</v>
      </c>
      <c r="AK1958">
        <v>63.155768962219597</v>
      </c>
      <c r="AL1958">
        <v>89.320515727088704</v>
      </c>
      <c r="AM1958">
        <v>85.618744175899195</v>
      </c>
      <c r="AN1958">
        <v>1.00000001718228</v>
      </c>
    </row>
    <row r="1959" spans="1:40" x14ac:dyDescent="0.25">
      <c r="A1959" t="str">
        <f>"20190312153925360"</f>
        <v>20190312153925360</v>
      </c>
      <c r="B1959" t="str">
        <f>"1552376365347460"</f>
        <v>1552376365347460</v>
      </c>
      <c r="C1959" t="s">
        <v>40</v>
      </c>
      <c r="D1959">
        <v>4.2868559999999896</v>
      </c>
      <c r="E1959">
        <v>0.53657969999999999</v>
      </c>
      <c r="F1959" t="s">
        <v>42</v>
      </c>
      <c r="G1959">
        <v>-198.78380000000001</v>
      </c>
      <c r="H1959" s="1">
        <v>-5.4222460000000004E-6</v>
      </c>
      <c r="I1959">
        <v>268.34179999999998</v>
      </c>
      <c r="J1959">
        <v>-190.75710000000001</v>
      </c>
      <c r="K1959">
        <v>1.1089169999999999</v>
      </c>
      <c r="L1959">
        <v>328.69690000000003</v>
      </c>
      <c r="M1959">
        <v>4.0306639999999998E-2</v>
      </c>
      <c r="N1959">
        <v>0</v>
      </c>
      <c r="O1959">
        <v>-0.99910719999999997</v>
      </c>
      <c r="P1959">
        <v>-3.716626E-2</v>
      </c>
      <c r="Q1959">
        <v>-1.6141689999999999E-3</v>
      </c>
      <c r="R1959">
        <v>-0.99930819999999998</v>
      </c>
      <c r="S1959">
        <v>-0.39534000000000002</v>
      </c>
      <c r="T1959">
        <v>-5.4675700000000001E-2</v>
      </c>
      <c r="U1959">
        <v>-2.9880979999999999</v>
      </c>
      <c r="V1959">
        <v>7.744703E-2</v>
      </c>
      <c r="W1959">
        <v>1.080618E-2</v>
      </c>
      <c r="X1959">
        <v>0.99693790000000004</v>
      </c>
      <c r="Y1959">
        <v>0.17099549999999999</v>
      </c>
      <c r="Z1959">
        <v>1.8059059999999998E-2</v>
      </c>
      <c r="AA1959">
        <v>0.98510629999999999</v>
      </c>
      <c r="AB1959">
        <v>26</v>
      </c>
      <c r="AC1959">
        <v>-8.0266999999999999</v>
      </c>
      <c r="AD1959">
        <v>-1.1089224222459999</v>
      </c>
      <c r="AE1959">
        <v>-60.3551</v>
      </c>
      <c r="AF1959">
        <v>10.4496160029226</v>
      </c>
      <c r="AG1959">
        <v>-1.1089224222459999</v>
      </c>
      <c r="AH1959">
        <v>59.962599506679801</v>
      </c>
      <c r="AI1959">
        <v>91.043755486971307</v>
      </c>
      <c r="AJ1959">
        <v>80.114403983842706</v>
      </c>
      <c r="AK1959">
        <v>60.876411878046497</v>
      </c>
      <c r="AL1959">
        <v>89.380839440341305</v>
      </c>
      <c r="AM1959">
        <v>85.557904184028899</v>
      </c>
      <c r="AN1959">
        <v>0.99999999621921098</v>
      </c>
    </row>
    <row r="1960" spans="1:40" x14ac:dyDescent="0.25">
      <c r="A1960" t="str">
        <f>"20190312153925381"</f>
        <v>20190312153925381</v>
      </c>
      <c r="B1960" t="str">
        <f>"1552376365377717"</f>
        <v>1552376365377717</v>
      </c>
      <c r="C1960" t="s">
        <v>40</v>
      </c>
      <c r="D1960">
        <v>4.2696079999999998</v>
      </c>
      <c r="E1960">
        <v>0.53633379999999997</v>
      </c>
      <c r="F1960" t="s">
        <v>54</v>
      </c>
      <c r="G1960">
        <v>-198.01320000000001</v>
      </c>
      <c r="H1960" s="1">
        <v>4.3734039999999996E-6</v>
      </c>
      <c r="I1960">
        <v>274.66489999999999</v>
      </c>
      <c r="J1960">
        <v>-190.74889999999999</v>
      </c>
      <c r="K1960">
        <v>1.1089279999999999</v>
      </c>
      <c r="L1960">
        <v>328.4511</v>
      </c>
      <c r="M1960">
        <v>3.8836130000000003E-2</v>
      </c>
      <c r="N1960">
        <v>0</v>
      </c>
      <c r="O1960">
        <v>-0.99916150000000004</v>
      </c>
      <c r="P1960">
        <v>-3.9319840000000002E-2</v>
      </c>
      <c r="Q1960">
        <v>-2.2692279999999999E-3</v>
      </c>
      <c r="R1960">
        <v>-0.99922390000000005</v>
      </c>
      <c r="S1960">
        <v>-0.4011383</v>
      </c>
      <c r="T1960">
        <v>-6.1304209999999998E-2</v>
      </c>
      <c r="U1960">
        <v>-2.9870610000000002</v>
      </c>
      <c r="V1960">
        <v>7.8127249999999995E-2</v>
      </c>
      <c r="W1960">
        <v>1.044523E-2</v>
      </c>
      <c r="X1960">
        <v>0.99688869999999896</v>
      </c>
      <c r="Y1960">
        <v>0.17146330000000001</v>
      </c>
      <c r="Z1960">
        <v>2.0252889999999999E-2</v>
      </c>
      <c r="AA1960">
        <v>0.98498229999999998</v>
      </c>
      <c r="AB1960">
        <v>26</v>
      </c>
      <c r="AC1960">
        <v>-7.2643000000000102</v>
      </c>
      <c r="AD1960">
        <v>-1.1089236265960001</v>
      </c>
      <c r="AE1960">
        <v>-53.786200000000001</v>
      </c>
      <c r="AF1960">
        <v>9.3439415470372893</v>
      </c>
      <c r="AG1960">
        <v>-1.1089236265960001</v>
      </c>
      <c r="AH1960">
        <v>53.441166129418598</v>
      </c>
      <c r="AI1960">
        <v>91.170978524975496</v>
      </c>
      <c r="AJ1960">
        <v>80.082349975644405</v>
      </c>
      <c r="AK1960">
        <v>54.263221361398998</v>
      </c>
      <c r="AL1960">
        <v>89.401521537029495</v>
      </c>
      <c r="AM1960">
        <v>85.518827055379603</v>
      </c>
      <c r="AN1960">
        <v>1.0000000251050001</v>
      </c>
    </row>
    <row r="1961" spans="1:40" x14ac:dyDescent="0.25">
      <c r="A1961" t="str">
        <f>"20190312153925406"</f>
        <v>20190312153925406</v>
      </c>
      <c r="B1961" t="str">
        <f>"1552376365397236"</f>
        <v>1552376365397236</v>
      </c>
      <c r="C1961" t="s">
        <v>40</v>
      </c>
      <c r="D1961">
        <v>4.2104169999999996</v>
      </c>
      <c r="E1961">
        <v>0.53611209999999998</v>
      </c>
      <c r="F1961" t="s">
        <v>54</v>
      </c>
      <c r="G1961">
        <v>-197.4854</v>
      </c>
      <c r="H1961" s="1">
        <v>3.2784240000000001E-6</v>
      </c>
      <c r="I1961">
        <v>278.84410000000003</v>
      </c>
      <c r="J1961">
        <v>-190.74029999999999</v>
      </c>
      <c r="K1961">
        <v>1.1089519999999999</v>
      </c>
      <c r="L1961">
        <v>328.18130000000002</v>
      </c>
      <c r="M1961">
        <v>3.7225910000000001E-2</v>
      </c>
      <c r="N1961">
        <v>0</v>
      </c>
      <c r="O1961">
        <v>-0.99921910000000003</v>
      </c>
      <c r="P1961">
        <v>-4.1155499999999998E-2</v>
      </c>
      <c r="Q1961">
        <v>-2.3892449999999999E-3</v>
      </c>
      <c r="R1961">
        <v>-0.99914959999999997</v>
      </c>
      <c r="S1961">
        <v>-0.40551759999999998</v>
      </c>
      <c r="T1961">
        <v>-6.6754220000000003E-2</v>
      </c>
      <c r="U1961">
        <v>-2.9862060000000001</v>
      </c>
      <c r="V1961">
        <v>7.8352499999999894E-2</v>
      </c>
      <c r="W1961">
        <v>1.060639E-2</v>
      </c>
      <c r="X1961">
        <v>0.99686929999999996</v>
      </c>
      <c r="Y1961">
        <v>0.17132639999999999</v>
      </c>
      <c r="Z1961">
        <v>2.2058950000000001E-2</v>
      </c>
      <c r="AA1961">
        <v>0.98496740000000005</v>
      </c>
      <c r="AB1961">
        <v>25</v>
      </c>
      <c r="AC1961">
        <v>-6.7450999999999999</v>
      </c>
      <c r="AD1961">
        <v>-1.1089487215760001</v>
      </c>
      <c r="AE1961">
        <v>-49.337200000000003</v>
      </c>
      <c r="AF1961">
        <v>8.5729555707120095</v>
      </c>
      <c r="AG1961">
        <v>-1.1089487215760001</v>
      </c>
      <c r="AH1961">
        <v>49.027567801919197</v>
      </c>
      <c r="AI1961">
        <v>91.276385577590503</v>
      </c>
      <c r="AJ1961">
        <v>80.081543327753195</v>
      </c>
      <c r="AK1961">
        <v>49.783810009442497</v>
      </c>
      <c r="AL1961">
        <v>89.392287225964296</v>
      </c>
      <c r="AM1961">
        <v>85.505873058668698</v>
      </c>
      <c r="AN1961">
        <v>1.0000000055237801</v>
      </c>
    </row>
    <row r="1962" spans="1:40" x14ac:dyDescent="0.25">
      <c r="A1962" t="str">
        <f>"20190312153925428"</f>
        <v>20190312153925428</v>
      </c>
      <c r="B1962" t="str">
        <f>"1552376365417732"</f>
        <v>1552376365417732</v>
      </c>
      <c r="C1962" t="s">
        <v>40</v>
      </c>
      <c r="D1962">
        <v>4.2013129999999999</v>
      </c>
      <c r="E1962">
        <v>0.53589229999999999</v>
      </c>
      <c r="F1962" t="s">
        <v>54</v>
      </c>
      <c r="G1962">
        <v>-197.405</v>
      </c>
      <c r="H1962" s="1">
        <v>3.1049690000000001E-6</v>
      </c>
      <c r="I1962">
        <v>279.55290000000002</v>
      </c>
      <c r="J1962">
        <v>-190.73240000000001</v>
      </c>
      <c r="K1962">
        <v>1.10897</v>
      </c>
      <c r="L1962">
        <v>327.91910000000001</v>
      </c>
      <c r="M1962">
        <v>3.5663479999999997E-2</v>
      </c>
      <c r="N1962">
        <v>0</v>
      </c>
      <c r="O1962">
        <v>-0.99927319999999997</v>
      </c>
      <c r="P1962">
        <v>-4.2515600000000001E-2</v>
      </c>
      <c r="Q1962">
        <v>-1.8466660000000001E-3</v>
      </c>
      <c r="R1962">
        <v>-0.99909409999999998</v>
      </c>
      <c r="S1962">
        <v>-0.40917969999999998</v>
      </c>
      <c r="T1962">
        <v>-6.8083879999999999E-2</v>
      </c>
      <c r="U1962">
        <v>-2.985535</v>
      </c>
      <c r="V1962">
        <v>7.8152799999999994E-2</v>
      </c>
      <c r="W1962">
        <v>1.1385019999999999E-2</v>
      </c>
      <c r="X1962">
        <v>0.9968764</v>
      </c>
      <c r="Y1962">
        <v>0.17100019999999999</v>
      </c>
      <c r="Z1962">
        <v>2.2503849999999999E-2</v>
      </c>
      <c r="AA1962">
        <v>0.98501399999999995</v>
      </c>
      <c r="AB1962">
        <v>25</v>
      </c>
      <c r="AC1962">
        <v>-6.6725999999999797</v>
      </c>
      <c r="AD1962">
        <v>-1.1089668950309901</v>
      </c>
      <c r="AE1962">
        <v>-48.3661999999999</v>
      </c>
      <c r="AF1962">
        <v>8.3890898620588299</v>
      </c>
      <c r="AG1962">
        <v>-1.1089668950309901</v>
      </c>
      <c r="AH1962">
        <v>48.072636201899599</v>
      </c>
      <c r="AI1962">
        <v>91.301830319507403</v>
      </c>
      <c r="AJ1962">
        <v>80.101073644798504</v>
      </c>
      <c r="AK1962">
        <v>48.811730021462701</v>
      </c>
      <c r="AL1962">
        <v>89.347672323147606</v>
      </c>
      <c r="AM1962">
        <v>85.517312462900605</v>
      </c>
      <c r="AN1962">
        <v>1.0000000178526001</v>
      </c>
    </row>
    <row r="1963" spans="1:40" x14ac:dyDescent="0.25">
      <c r="A1963" t="str">
        <f>"20190312153925450"</f>
        <v>20190312153925450</v>
      </c>
      <c r="B1963" t="str">
        <f>"1552376365437252"</f>
        <v>1552376365437252</v>
      </c>
      <c r="C1963" t="s">
        <v>40</v>
      </c>
      <c r="D1963">
        <v>4.220453</v>
      </c>
      <c r="E1963">
        <v>0.53570150000000005</v>
      </c>
      <c r="F1963" t="s">
        <v>54</v>
      </c>
      <c r="G1963">
        <v>-197.52889999999999</v>
      </c>
      <c r="H1963" s="1">
        <v>3.33769E-6</v>
      </c>
      <c r="I1963">
        <v>278.59109999999998</v>
      </c>
      <c r="J1963">
        <v>-190.7251</v>
      </c>
      <c r="K1963">
        <v>1.1089960000000001</v>
      </c>
      <c r="L1963">
        <v>327.6671</v>
      </c>
      <c r="M1963">
        <v>3.416172E-2</v>
      </c>
      <c r="N1963">
        <v>0</v>
      </c>
      <c r="O1963">
        <v>-0.99932279999999996</v>
      </c>
      <c r="P1963">
        <v>-4.3639409999999997E-2</v>
      </c>
      <c r="Q1963">
        <v>-1.4540620000000001E-3</v>
      </c>
      <c r="R1963">
        <v>-0.99904660000000001</v>
      </c>
      <c r="S1963">
        <v>-0.41130070000000002</v>
      </c>
      <c r="T1963">
        <v>-6.7110299999999998E-2</v>
      </c>
      <c r="U1963">
        <v>-2.9851380000000001</v>
      </c>
      <c r="V1963">
        <v>7.7777440000000003E-2</v>
      </c>
      <c r="W1963">
        <v>1.197435E-2</v>
      </c>
      <c r="X1963">
        <v>0.99689879999999997</v>
      </c>
      <c r="Y1963">
        <v>0.17022509999999999</v>
      </c>
      <c r="Z1963">
        <v>2.218732E-2</v>
      </c>
      <c r="AA1963">
        <v>0.98515540000000001</v>
      </c>
      <c r="AB1963">
        <v>25</v>
      </c>
      <c r="AC1963">
        <v>-6.8037999999999901</v>
      </c>
      <c r="AD1963">
        <v>-1.1089926623099999</v>
      </c>
      <c r="AE1963">
        <v>-49.076000000000001</v>
      </c>
      <c r="AF1963">
        <v>8.4722605502254194</v>
      </c>
      <c r="AG1963">
        <v>-1.1089926623099999</v>
      </c>
      <c r="AH1963">
        <v>48.790453876424898</v>
      </c>
      <c r="AI1963">
        <v>91.282900630919002</v>
      </c>
      <c r="AJ1963">
        <v>80.149052530180796</v>
      </c>
      <c r="AK1963">
        <v>49.5329935802745</v>
      </c>
      <c r="AL1963">
        <v>89.313903862835105</v>
      </c>
      <c r="AM1963">
        <v>85.538855073606996</v>
      </c>
      <c r="AN1963">
        <v>0.99999996633615695</v>
      </c>
    </row>
    <row r="1964" spans="1:40" x14ac:dyDescent="0.25">
      <c r="A1964" t="str">
        <f>"20190312153925472"</f>
        <v>20190312153925472</v>
      </c>
      <c r="B1964" t="str">
        <f>"1552376365467508"</f>
        <v>1552376365467508</v>
      </c>
      <c r="C1964" t="s">
        <v>40</v>
      </c>
      <c r="D1964">
        <v>4.2196280000000002</v>
      </c>
      <c r="E1964">
        <v>0.53543249999999998</v>
      </c>
      <c r="F1964" t="s">
        <v>54</v>
      </c>
      <c r="G1964">
        <v>-197.58750000000001</v>
      </c>
      <c r="H1964" s="1">
        <v>3.4527500000000001E-6</v>
      </c>
      <c r="I1964">
        <v>278.11739999999998</v>
      </c>
      <c r="J1964">
        <v>-190.7184</v>
      </c>
      <c r="K1964">
        <v>1.109011</v>
      </c>
      <c r="L1964">
        <v>327.4212</v>
      </c>
      <c r="M1964">
        <v>3.2695559999999999E-2</v>
      </c>
      <c r="N1964">
        <v>0</v>
      </c>
      <c r="O1964">
        <v>-0.99936970000000003</v>
      </c>
      <c r="P1964">
        <v>-4.4673409999999997E-2</v>
      </c>
      <c r="Q1964">
        <v>-1.196697E-3</v>
      </c>
      <c r="R1964">
        <v>-0.99900129999999998</v>
      </c>
      <c r="S1964">
        <v>-0.41336060000000002</v>
      </c>
      <c r="T1964">
        <v>-6.6801310000000003E-2</v>
      </c>
      <c r="U1964">
        <v>-2.98468</v>
      </c>
      <c r="V1964">
        <v>7.7347659999999999E-2</v>
      </c>
      <c r="W1964">
        <v>1.239823E-2</v>
      </c>
      <c r="X1964">
        <v>0.99692709999999995</v>
      </c>
      <c r="Y1964">
        <v>0.16946729999999999</v>
      </c>
      <c r="Z1964">
        <v>2.209063E-2</v>
      </c>
      <c r="AA1964">
        <v>0.98528819999999995</v>
      </c>
      <c r="AB1964">
        <v>25</v>
      </c>
      <c r="AC1964">
        <v>-6.8691000000000004</v>
      </c>
      <c r="AD1964">
        <v>-1.1090075472499901</v>
      </c>
      <c r="AE1964">
        <v>-49.303800000000003</v>
      </c>
      <c r="AF1964">
        <v>8.4733907802523891</v>
      </c>
      <c r="AG1964">
        <v>-1.1090075472499901</v>
      </c>
      <c r="AH1964">
        <v>49.028490824228598</v>
      </c>
      <c r="AI1964">
        <v>91.276867280278594</v>
      </c>
      <c r="AJ1964">
        <v>80.194666783178704</v>
      </c>
      <c r="AK1964">
        <v>49.7676718518778</v>
      </c>
      <c r="AL1964">
        <v>89.289615554051906</v>
      </c>
      <c r="AM1964">
        <v>85.563533069093594</v>
      </c>
      <c r="AN1964">
        <v>1.0000000096645001</v>
      </c>
    </row>
    <row r="1965" spans="1:40" x14ac:dyDescent="0.25">
      <c r="A1965" t="str">
        <f>"20190312153925494"</f>
        <v>20190312153925494</v>
      </c>
      <c r="B1965" t="str">
        <f>"1552376365488004"</f>
        <v>1552376365488004</v>
      </c>
      <c r="C1965" t="s">
        <v>40</v>
      </c>
      <c r="D1965">
        <v>4.1960579999999998</v>
      </c>
      <c r="E1965">
        <v>0.53523430000000005</v>
      </c>
      <c r="F1965" t="s">
        <v>54</v>
      </c>
      <c r="G1965">
        <v>-197.5966</v>
      </c>
      <c r="H1965" s="1">
        <v>3.516473E-6</v>
      </c>
      <c r="I1965">
        <v>277.8707</v>
      </c>
      <c r="J1965">
        <v>-190.71209999999999</v>
      </c>
      <c r="K1965">
        <v>1.10903</v>
      </c>
      <c r="L1965">
        <v>327.17700000000002</v>
      </c>
      <c r="M1965">
        <v>3.123859E-2</v>
      </c>
      <c r="N1965">
        <v>0</v>
      </c>
      <c r="O1965">
        <v>-0.99941449999999998</v>
      </c>
      <c r="P1965">
        <v>-4.569811E-2</v>
      </c>
      <c r="Q1965">
        <v>-1.468207E-3</v>
      </c>
      <c r="R1965">
        <v>-0.99895449999999997</v>
      </c>
      <c r="S1965">
        <v>-0.41427609999999898</v>
      </c>
      <c r="T1965">
        <v>-6.6796300000000003E-2</v>
      </c>
      <c r="U1965">
        <v>-2.984467</v>
      </c>
      <c r="V1965">
        <v>7.6916380000000006E-2</v>
      </c>
      <c r="W1965">
        <v>1.226997E-2</v>
      </c>
      <c r="X1965">
        <v>0.99696209999999996</v>
      </c>
      <c r="Y1965">
        <v>0.1683366</v>
      </c>
      <c r="Z1965">
        <v>2.2093789999999999E-2</v>
      </c>
      <c r="AA1965">
        <v>0.98548190000000002</v>
      </c>
      <c r="AB1965">
        <v>25</v>
      </c>
      <c r="AC1965">
        <v>-6.8845000000000001</v>
      </c>
      <c r="AD1965">
        <v>-1.1090264835269901</v>
      </c>
      <c r="AE1965">
        <v>-49.3063</v>
      </c>
      <c r="AF1965">
        <v>8.4173716925089703</v>
      </c>
      <c r="AG1965">
        <v>-1.1090264835269901</v>
      </c>
      <c r="AH1965">
        <v>49.042811543391402</v>
      </c>
      <c r="AI1965">
        <v>91.276770951226695</v>
      </c>
      <c r="AJ1965">
        <v>80.261035592078898</v>
      </c>
      <c r="AK1965">
        <v>49.772275917739798</v>
      </c>
      <c r="AL1965">
        <v>89.296964901767495</v>
      </c>
      <c r="AM1965">
        <v>85.588326540317397</v>
      </c>
      <c r="AN1965">
        <v>1.00000005525625</v>
      </c>
    </row>
    <row r="1966" spans="1:40" x14ac:dyDescent="0.25">
      <c r="A1966" t="str">
        <f>"20190312153925517"</f>
        <v>20190312153925517</v>
      </c>
      <c r="B1966" t="str">
        <f>"1552376365507524"</f>
        <v>1552376365507524</v>
      </c>
      <c r="C1966" t="s">
        <v>40</v>
      </c>
      <c r="D1966">
        <v>4.1848900000000002</v>
      </c>
      <c r="E1966">
        <v>0.53508029999999995</v>
      </c>
      <c r="F1966" t="s">
        <v>54</v>
      </c>
      <c r="G1966">
        <v>-197.50210000000001</v>
      </c>
      <c r="H1966" s="1">
        <v>3.3852199999999999E-6</v>
      </c>
      <c r="I1966">
        <v>278.42959999999999</v>
      </c>
      <c r="J1966">
        <v>-190.70580000000001</v>
      </c>
      <c r="K1966">
        <v>1.109046</v>
      </c>
      <c r="L1966">
        <v>326.91910000000001</v>
      </c>
      <c r="M1966">
        <v>2.9699059999999999E-2</v>
      </c>
      <c r="N1966">
        <v>0</v>
      </c>
      <c r="O1966">
        <v>-0.99945949999999995</v>
      </c>
      <c r="P1966">
        <v>-4.748844E-2</v>
      </c>
      <c r="Q1966">
        <v>-1.5995390000000001E-3</v>
      </c>
      <c r="R1966">
        <v>-0.9988707</v>
      </c>
      <c r="S1966">
        <v>-0.4156494</v>
      </c>
      <c r="T1966">
        <v>-6.7888980000000002E-2</v>
      </c>
      <c r="U1966">
        <v>-2.98407</v>
      </c>
      <c r="V1966">
        <v>7.7167440000000004E-2</v>
      </c>
      <c r="W1966">
        <v>1.226616E-2</v>
      </c>
      <c r="X1966">
        <v>0.99694269999999996</v>
      </c>
      <c r="Y1966">
        <v>0.16727979999999901</v>
      </c>
      <c r="Z1966">
        <v>2.2460910000000001E-2</v>
      </c>
      <c r="AA1966">
        <v>0.98565360000000002</v>
      </c>
      <c r="AB1966">
        <v>25</v>
      </c>
      <c r="AC1966">
        <v>-6.7962999999999996</v>
      </c>
      <c r="AD1966">
        <v>-1.1090426147800001</v>
      </c>
      <c r="AE1966">
        <v>-48.4895</v>
      </c>
      <c r="AF1966">
        <v>8.2293151275671992</v>
      </c>
      <c r="AG1966">
        <v>-1.1090426147800001</v>
      </c>
      <c r="AH1966">
        <v>48.241492692681199</v>
      </c>
      <c r="AI1966">
        <v>91.298216457036403</v>
      </c>
      <c r="AJ1966">
        <v>80.319334992062494</v>
      </c>
      <c r="AK1966">
        <v>48.950926653212797</v>
      </c>
      <c r="AL1966">
        <v>89.297183183141797</v>
      </c>
      <c r="AM1966">
        <v>85.573897894835298</v>
      </c>
      <c r="AN1966">
        <v>1.0000000097802899</v>
      </c>
    </row>
    <row r="1967" spans="1:40" x14ac:dyDescent="0.25">
      <c r="A1967" t="str">
        <f>"20190312153925538"</f>
        <v>20190312153925538</v>
      </c>
      <c r="B1967" t="str">
        <f>"1552376365528024"</f>
        <v>1552376365528024</v>
      </c>
      <c r="C1967" t="s">
        <v>40</v>
      </c>
      <c r="D1967">
        <v>4.1723150000000002</v>
      </c>
      <c r="E1967">
        <v>0.53490329999999997</v>
      </c>
      <c r="F1967" t="s">
        <v>54</v>
      </c>
      <c r="G1967">
        <v>-197.53200000000001</v>
      </c>
      <c r="H1967" s="1">
        <v>3.3879549999999998E-6</v>
      </c>
      <c r="I1967">
        <v>278.39929999999998</v>
      </c>
      <c r="J1967">
        <v>-190.70009999999999</v>
      </c>
      <c r="K1967">
        <v>1.109065</v>
      </c>
      <c r="L1967">
        <v>326.67070000000001</v>
      </c>
      <c r="M1967">
        <v>2.8215029999999999E-2</v>
      </c>
      <c r="N1967">
        <v>0</v>
      </c>
      <c r="O1967">
        <v>-0.99950090000000003</v>
      </c>
      <c r="P1967">
        <v>-4.9392810000000002E-2</v>
      </c>
      <c r="Q1967">
        <v>-1.237349E-3</v>
      </c>
      <c r="R1967">
        <v>-0.99877879999999997</v>
      </c>
      <c r="S1967">
        <v>-0.41972350000000003</v>
      </c>
      <c r="T1967">
        <v>-6.8192359999999994E-2</v>
      </c>
      <c r="U1967">
        <v>-2.983368</v>
      </c>
      <c r="V1967">
        <v>7.7589099999999994E-2</v>
      </c>
      <c r="W1967">
        <v>1.2732459999999999E-2</v>
      </c>
      <c r="X1967">
        <v>0.99690409999999996</v>
      </c>
      <c r="Y1967">
        <v>0.1671675</v>
      </c>
      <c r="Z1967">
        <v>2.2566039999999999E-2</v>
      </c>
      <c r="AA1967">
        <v>0.98567020000000005</v>
      </c>
      <c r="AB1967">
        <v>25</v>
      </c>
      <c r="AC1967">
        <v>-6.8319000000000099</v>
      </c>
      <c r="AD1967">
        <v>-1.1090616120450001</v>
      </c>
      <c r="AE1967">
        <v>-48.2714</v>
      </c>
      <c r="AF1967">
        <v>8.1870591199013294</v>
      </c>
      <c r="AG1967">
        <v>-1.1090616120450001</v>
      </c>
      <c r="AH1967">
        <v>48.0345381110155</v>
      </c>
      <c r="AI1967">
        <v>91.303861420668596</v>
      </c>
      <c r="AJ1967">
        <v>80.327393642570797</v>
      </c>
      <c r="AK1967">
        <v>48.739868754754298</v>
      </c>
      <c r="AL1967">
        <v>89.270464055292905</v>
      </c>
      <c r="AM1967">
        <v>85.549637961578</v>
      </c>
      <c r="AN1967">
        <v>0.99999998428663495</v>
      </c>
    </row>
    <row r="1968" spans="1:40" x14ac:dyDescent="0.25">
      <c r="A1968" t="str">
        <f>"20190312153925561"</f>
        <v>20190312153925561</v>
      </c>
      <c r="B1968" t="str">
        <f>"1552376365547540"</f>
        <v>1552376365547540</v>
      </c>
      <c r="C1968" t="s">
        <v>40</v>
      </c>
      <c r="D1968">
        <v>4.1932299999999998</v>
      </c>
      <c r="E1968">
        <v>0.53472519999999901</v>
      </c>
      <c r="F1968" t="s">
        <v>54</v>
      </c>
      <c r="G1968">
        <v>-197.73159999999999</v>
      </c>
      <c r="H1968" s="1">
        <v>3.6643039999999999E-6</v>
      </c>
      <c r="I1968">
        <v>277.22199999999998</v>
      </c>
      <c r="J1968">
        <v>-190.69499999999999</v>
      </c>
      <c r="K1968">
        <v>1.109083</v>
      </c>
      <c r="L1968">
        <v>326.42779999999999</v>
      </c>
      <c r="M1968">
        <v>2.6763539999999999E-2</v>
      </c>
      <c r="N1968">
        <v>0</v>
      </c>
      <c r="O1968">
        <v>-0.99953970000000003</v>
      </c>
      <c r="P1968">
        <v>-5.1470080000000001E-2</v>
      </c>
      <c r="Q1968">
        <v>-1.1619239999999999E-3</v>
      </c>
      <c r="R1968">
        <v>-0.99867439999999996</v>
      </c>
      <c r="S1968">
        <v>-0.42411799999999999</v>
      </c>
      <c r="T1968">
        <v>-6.6895369999999996E-2</v>
      </c>
      <c r="U1968">
        <v>-2.982605</v>
      </c>
      <c r="V1968">
        <v>7.8215229999999997E-2</v>
      </c>
      <c r="W1968">
        <v>1.289362E-2</v>
      </c>
      <c r="X1968">
        <v>0.99685310000000005</v>
      </c>
      <c r="Y1968">
        <v>0.1671957</v>
      </c>
      <c r="Z1968">
        <v>2.214168E-2</v>
      </c>
      <c r="AA1968">
        <v>0.98567499999999997</v>
      </c>
      <c r="AB1968">
        <v>25</v>
      </c>
      <c r="AC1968">
        <v>-7.0365999999999902</v>
      </c>
      <c r="AD1968">
        <v>-1.109079335696</v>
      </c>
      <c r="AE1968">
        <v>-49.205800000000004</v>
      </c>
      <c r="AF1968">
        <v>8.3469791642326907</v>
      </c>
      <c r="AG1968">
        <v>-1.109079335696</v>
      </c>
      <c r="AH1968">
        <v>48.975444398485003</v>
      </c>
      <c r="AI1968">
        <v>91.278842670907196</v>
      </c>
      <c r="AJ1968">
        <v>80.327904151838098</v>
      </c>
      <c r="AK1968">
        <v>49.694026524020998</v>
      </c>
      <c r="AL1968">
        <v>89.261229510000405</v>
      </c>
      <c r="AM1968">
        <v>85.513641784087298</v>
      </c>
      <c r="AN1968">
        <v>0.99999998531013301</v>
      </c>
    </row>
    <row r="1969" spans="1:40" x14ac:dyDescent="0.25">
      <c r="A1969" t="str">
        <f>"20190312153925582"</f>
        <v>20190312153925582</v>
      </c>
      <c r="B1969" t="str">
        <f>"1552376365577796"</f>
        <v>1552376365577796</v>
      </c>
      <c r="C1969" t="s">
        <v>40</v>
      </c>
      <c r="D1969">
        <v>4.1788420000000004</v>
      </c>
      <c r="E1969">
        <v>0.53447639999999996</v>
      </c>
      <c r="F1969" t="s">
        <v>54</v>
      </c>
      <c r="G1969">
        <v>-197.8296</v>
      </c>
      <c r="H1969" s="1">
        <v>3.7489140000000002E-6</v>
      </c>
      <c r="I1969">
        <v>276.83679999999998</v>
      </c>
      <c r="J1969">
        <v>-190.6901</v>
      </c>
      <c r="K1969">
        <v>1.1091</v>
      </c>
      <c r="L1969">
        <v>326.18079999999998</v>
      </c>
      <c r="M1969">
        <v>2.5286449999999999E-2</v>
      </c>
      <c r="N1969">
        <v>0</v>
      </c>
      <c r="O1969">
        <v>-0.99957689999999999</v>
      </c>
      <c r="P1969">
        <v>-5.3665110000000002E-2</v>
      </c>
      <c r="Q1969">
        <v>-1.0054689999999999E-3</v>
      </c>
      <c r="R1969">
        <v>-0.99855850000000002</v>
      </c>
      <c r="S1969">
        <v>-0.42898560000000002</v>
      </c>
      <c r="T1969">
        <v>-6.668615E-2</v>
      </c>
      <c r="U1969">
        <v>-2.9817809999999998</v>
      </c>
      <c r="V1969">
        <v>7.8933840000000005E-2</v>
      </c>
      <c r="W1969">
        <v>1.312487E-2</v>
      </c>
      <c r="X1969">
        <v>0.99679340000000005</v>
      </c>
      <c r="Y1969">
        <v>0.16735369999999999</v>
      </c>
      <c r="Z1969">
        <v>2.2076950000000001E-2</v>
      </c>
      <c r="AA1969">
        <v>0.98564969999999996</v>
      </c>
      <c r="AB1969">
        <v>25</v>
      </c>
      <c r="AC1969">
        <v>-7.1394999999999902</v>
      </c>
      <c r="AD1969">
        <v>-1.1090962510860001</v>
      </c>
      <c r="AE1969">
        <v>-49.344000000000001</v>
      </c>
      <c r="AF1969">
        <v>8.3809328710676603</v>
      </c>
      <c r="AG1969">
        <v>-1.1090962510860001</v>
      </c>
      <c r="AH1969">
        <v>49.123358969002801</v>
      </c>
      <c r="AI1969">
        <v>91.274975085098006</v>
      </c>
      <c r="AJ1969">
        <v>80.317993238382996</v>
      </c>
      <c r="AK1969">
        <v>49.845506584656398</v>
      </c>
      <c r="AL1969">
        <v>89.247978711220497</v>
      </c>
      <c r="AM1969">
        <v>85.472323492935303</v>
      </c>
      <c r="AN1969">
        <v>0.99999994779660994</v>
      </c>
    </row>
    <row r="1970" spans="1:40" x14ac:dyDescent="0.25">
      <c r="A1970" t="str">
        <f>"20190312153925606"</f>
        <v>20190312153925606</v>
      </c>
      <c r="B1970" t="str">
        <f>"1552376365597318"</f>
        <v>1552376365597318</v>
      </c>
      <c r="C1970" t="s">
        <v>40</v>
      </c>
      <c r="D1970">
        <v>4.1954010000000004</v>
      </c>
      <c r="E1970">
        <v>0.5343038</v>
      </c>
      <c r="F1970" t="s">
        <v>54</v>
      </c>
      <c r="G1970">
        <v>-197.93819999999999</v>
      </c>
      <c r="H1970" s="1">
        <v>3.8533180000000001E-6</v>
      </c>
      <c r="I1970">
        <v>276.3698</v>
      </c>
      <c r="J1970">
        <v>-190.68539999999999</v>
      </c>
      <c r="K1970">
        <v>1.109113</v>
      </c>
      <c r="L1970">
        <v>325.92410000000001</v>
      </c>
      <c r="M1970">
        <v>2.375097E-2</v>
      </c>
      <c r="N1970">
        <v>0</v>
      </c>
      <c r="O1970">
        <v>-0.9996138</v>
      </c>
      <c r="P1970">
        <v>-5.5770479999999997E-2</v>
      </c>
      <c r="Q1970">
        <v>-1.1100859999999999E-3</v>
      </c>
      <c r="R1970">
        <v>-0.99844339999999998</v>
      </c>
      <c r="S1970">
        <v>-0.43376160000000002</v>
      </c>
      <c r="T1970">
        <v>-6.6373589999999996E-2</v>
      </c>
      <c r="U1970">
        <v>-2.9809269999999999</v>
      </c>
      <c r="V1970">
        <v>7.9504249999999999E-2</v>
      </c>
      <c r="W1970">
        <v>1.3086250000000001E-2</v>
      </c>
      <c r="X1970">
        <v>0.99674859999999998</v>
      </c>
      <c r="Y1970">
        <v>0.1674263</v>
      </c>
      <c r="Z1970">
        <v>2.1978359999999999E-2</v>
      </c>
      <c r="AA1970">
        <v>0.98563959999999995</v>
      </c>
      <c r="AB1970">
        <v>25</v>
      </c>
      <c r="AC1970">
        <v>-7.2527999999999997</v>
      </c>
      <c r="AD1970">
        <v>-1.109109146682</v>
      </c>
      <c r="AE1970">
        <v>-49.554299999999998</v>
      </c>
      <c r="AF1970">
        <v>8.4237075258995908</v>
      </c>
      <c r="AG1970">
        <v>-1.109109146682</v>
      </c>
      <c r="AH1970">
        <v>49.343839233999702</v>
      </c>
      <c r="AI1970">
        <v>91.269272809918903</v>
      </c>
      <c r="AJ1970">
        <v>80.312172910438207</v>
      </c>
      <c r="AK1970">
        <v>50.069985439701902</v>
      </c>
      <c r="AL1970">
        <v>89.250191683782404</v>
      </c>
      <c r="AM1970">
        <v>85.439537958840205</v>
      </c>
      <c r="AN1970">
        <v>0.99999997365454196</v>
      </c>
    </row>
    <row r="1971" spans="1:40" x14ac:dyDescent="0.25">
      <c r="A1971" t="str">
        <f>"20190312153925629"</f>
        <v>20190312153925629</v>
      </c>
      <c r="B1971" t="str">
        <f>"1552376365617812"</f>
        <v>1552376365617812</v>
      </c>
      <c r="C1971" t="s">
        <v>40</v>
      </c>
      <c r="D1971">
        <v>4.2146499999999998</v>
      </c>
      <c r="E1971">
        <v>0.53413650000000001</v>
      </c>
      <c r="F1971" t="s">
        <v>54</v>
      </c>
      <c r="G1971">
        <v>-197.99979999999999</v>
      </c>
      <c r="H1971" s="1">
        <v>3.8802349999999996E-6</v>
      </c>
      <c r="I1971">
        <v>276.2269</v>
      </c>
      <c r="J1971">
        <v>-190.68100000000001</v>
      </c>
      <c r="K1971">
        <v>1.1091310000000001</v>
      </c>
      <c r="L1971">
        <v>325.66109999999998</v>
      </c>
      <c r="M1971">
        <v>2.2177390000000002E-2</v>
      </c>
      <c r="N1971">
        <v>0</v>
      </c>
      <c r="O1971">
        <v>-0.99964900000000001</v>
      </c>
      <c r="P1971">
        <v>-5.7999910000000002E-2</v>
      </c>
      <c r="Q1971">
        <v>-1.0214270000000001E-3</v>
      </c>
      <c r="R1971">
        <v>-0.99831619999999999</v>
      </c>
      <c r="S1971">
        <v>-0.4386139</v>
      </c>
      <c r="T1971">
        <v>-6.6508529999999996E-2</v>
      </c>
      <c r="U1971">
        <v>-2.9801329999999999</v>
      </c>
      <c r="V1971">
        <v>8.016131E-2</v>
      </c>
      <c r="W1971">
        <v>1.3231669999999999E-2</v>
      </c>
      <c r="X1971">
        <v>0.99669410000000003</v>
      </c>
      <c r="Y1971">
        <v>0.16748279999999999</v>
      </c>
      <c r="Z1971">
        <v>2.2027339999999999E-2</v>
      </c>
      <c r="AA1971">
        <v>0.98562890000000003</v>
      </c>
      <c r="AB1971">
        <v>25</v>
      </c>
      <c r="AC1971">
        <v>-7.3188000000000004</v>
      </c>
      <c r="AD1971">
        <v>-1.1091271197649999</v>
      </c>
      <c r="AE1971">
        <v>-49.434199999999898</v>
      </c>
      <c r="AF1971">
        <v>8.4092938738212109</v>
      </c>
      <c r="AG1971">
        <v>-1.1091271197649999</v>
      </c>
      <c r="AH1971">
        <v>49.2354570448544</v>
      </c>
      <c r="AI1971">
        <v>91.272069032910693</v>
      </c>
      <c r="AJ1971">
        <v>80.307549590048794</v>
      </c>
      <c r="AK1971">
        <v>49.960750763372097</v>
      </c>
      <c r="AL1971">
        <v>89.2418590456098</v>
      </c>
      <c r="AM1971">
        <v>85.401758792166504</v>
      </c>
      <c r="AN1971">
        <v>1.0000000208433499</v>
      </c>
    </row>
    <row r="1972" spans="1:40" x14ac:dyDescent="0.25">
      <c r="A1972" t="str">
        <f>"20190312153925651"</f>
        <v>20190312153925651</v>
      </c>
      <c r="B1972" t="str">
        <f>"1552376365648068"</f>
        <v>1552376365648068</v>
      </c>
      <c r="C1972" t="s">
        <v>40</v>
      </c>
      <c r="D1972">
        <v>4.2023640000000002</v>
      </c>
      <c r="E1972">
        <v>0.53388740000000001</v>
      </c>
      <c r="F1972" t="s">
        <v>54</v>
      </c>
      <c r="G1972">
        <v>-198.09479999999999</v>
      </c>
      <c r="H1972" s="1">
        <v>3.950749E-6</v>
      </c>
      <c r="I1972">
        <v>275.89690000000002</v>
      </c>
      <c r="J1972">
        <v>-190.6771</v>
      </c>
      <c r="K1972">
        <v>1.109151</v>
      </c>
      <c r="L1972">
        <v>325.40859999999998</v>
      </c>
      <c r="M1972">
        <v>2.0665619999999999E-2</v>
      </c>
      <c r="N1972">
        <v>0</v>
      </c>
      <c r="O1972">
        <v>-0.99968060000000003</v>
      </c>
      <c r="P1972">
        <v>-6.0096740000000003E-2</v>
      </c>
      <c r="Q1972">
        <v>-1.053407E-4</v>
      </c>
      <c r="R1972">
        <v>-0.99819270000000004</v>
      </c>
      <c r="S1972">
        <v>-0.44384770000000001</v>
      </c>
      <c r="T1972">
        <v>-6.6400410000000007E-2</v>
      </c>
      <c r="U1972">
        <v>-2.9792480000000001</v>
      </c>
      <c r="V1972">
        <v>8.0749909999999994E-2</v>
      </c>
      <c r="W1972">
        <v>1.419432E-2</v>
      </c>
      <c r="X1972">
        <v>0.99663330000000006</v>
      </c>
      <c r="Y1972">
        <v>0.1677285</v>
      </c>
      <c r="Z1972">
        <v>2.1995810000000001E-2</v>
      </c>
      <c r="AA1972">
        <v>0.98558780000000001</v>
      </c>
      <c r="AB1972">
        <v>25</v>
      </c>
      <c r="AC1972">
        <v>-7.4176999999999902</v>
      </c>
      <c r="AD1972">
        <v>-1.1091470492510001</v>
      </c>
      <c r="AE1972">
        <v>-49.511699999999898</v>
      </c>
      <c r="AF1972">
        <v>8.4352736248842497</v>
      </c>
      <c r="AG1972">
        <v>-1.1091470492510001</v>
      </c>
      <c r="AH1972">
        <v>49.323607582444701</v>
      </c>
      <c r="AI1972">
        <v>91.269772476558202</v>
      </c>
      <c r="AJ1972">
        <v>80.295220245148599</v>
      </c>
      <c r="AK1972">
        <v>50.0519960965647</v>
      </c>
      <c r="AL1972">
        <v>89.186698043160504</v>
      </c>
      <c r="AM1972">
        <v>85.367860352630402</v>
      </c>
      <c r="AN1972">
        <v>0.99999998067707996</v>
      </c>
    </row>
    <row r="1973" spans="1:40" x14ac:dyDescent="0.25">
      <c r="A1973" t="str">
        <f>"20190312153925672"</f>
        <v>20190312153925672</v>
      </c>
      <c r="B1973" t="str">
        <f>"1552376365667589"</f>
        <v>1552376365667589</v>
      </c>
      <c r="C1973" t="s">
        <v>40</v>
      </c>
      <c r="D1973">
        <v>4.2070480000000003</v>
      </c>
      <c r="E1973">
        <v>0.5337073</v>
      </c>
      <c r="F1973" t="s">
        <v>54</v>
      </c>
      <c r="G1973">
        <v>-198.4442</v>
      </c>
      <c r="H1973" s="1">
        <v>4.5110380000000003E-6</v>
      </c>
      <c r="I1973">
        <v>273.8005</v>
      </c>
      <c r="J1973">
        <v>-190.67400000000001</v>
      </c>
      <c r="K1973">
        <v>1.109165</v>
      </c>
      <c r="L1973">
        <v>325.18200000000002</v>
      </c>
      <c r="M1973">
        <v>1.9308559999999999E-2</v>
      </c>
      <c r="N1973">
        <v>0</v>
      </c>
      <c r="O1973">
        <v>-0.99970729999999997</v>
      </c>
      <c r="P1973">
        <v>-6.2220839999999999E-2</v>
      </c>
      <c r="Q1973">
        <v>3.4166760000000002E-4</v>
      </c>
      <c r="R1973">
        <v>-0.99806229999999996</v>
      </c>
      <c r="S1973">
        <v>-0.44825739999999997</v>
      </c>
      <c r="T1973">
        <v>-6.4011449999999998E-2</v>
      </c>
      <c r="U1973">
        <v>-2.978424</v>
      </c>
      <c r="V1973">
        <v>8.1519079999999994E-2</v>
      </c>
      <c r="W1973">
        <v>1.4675870000000001E-2</v>
      </c>
      <c r="X1973">
        <v>0.99656369999999905</v>
      </c>
      <c r="Y1973">
        <v>0.1678598</v>
      </c>
      <c r="Z1973">
        <v>2.1208930000000001E-2</v>
      </c>
      <c r="AA1973">
        <v>0.98558270000000003</v>
      </c>
      <c r="AB1973">
        <v>25</v>
      </c>
      <c r="AC1973">
        <v>-7.7701999999999796</v>
      </c>
      <c r="AD1973">
        <v>-1.1091604889619999</v>
      </c>
      <c r="AE1973">
        <v>-51.381500000000003</v>
      </c>
      <c r="AF1973">
        <v>8.7569698996366796</v>
      </c>
      <c r="AG1973">
        <v>-1.1091604889619999</v>
      </c>
      <c r="AH1973">
        <v>51.198547194649997</v>
      </c>
      <c r="AI1973">
        <v>91.223297262654398</v>
      </c>
      <c r="AJ1973">
        <v>80.294082951646601</v>
      </c>
      <c r="AK1973">
        <v>51.953883335668202</v>
      </c>
      <c r="AL1973">
        <v>89.159104379822594</v>
      </c>
      <c r="AM1973">
        <v>85.323607285614202</v>
      </c>
      <c r="AN1973">
        <v>0.99999997486099601</v>
      </c>
    </row>
    <row r="1974" spans="1:40" x14ac:dyDescent="0.25">
      <c r="A1974" t="str">
        <f>"20190312153925695"</f>
        <v>20190312153925695</v>
      </c>
      <c r="B1974" t="str">
        <f>"1552376365688084"</f>
        <v>1552376365688084</v>
      </c>
      <c r="C1974" t="s">
        <v>40</v>
      </c>
      <c r="D1974">
        <v>4.1984170000000001</v>
      </c>
      <c r="E1974">
        <v>0.53353969999999995</v>
      </c>
      <c r="F1974" t="s">
        <v>54</v>
      </c>
      <c r="G1974">
        <v>-198.65960000000001</v>
      </c>
      <c r="H1974" s="1">
        <v>4.754447E-6</v>
      </c>
      <c r="I1974">
        <v>272.70089999999999</v>
      </c>
      <c r="J1974">
        <v>-190.67080000000001</v>
      </c>
      <c r="K1974">
        <v>1.1091789999999999</v>
      </c>
      <c r="L1974">
        <v>324.92250000000001</v>
      </c>
      <c r="M1974">
        <v>1.775357E-2</v>
      </c>
      <c r="N1974">
        <v>0</v>
      </c>
      <c r="O1974">
        <v>-0.9997357</v>
      </c>
      <c r="P1974">
        <v>-6.4636280000000004E-2</v>
      </c>
      <c r="Q1974">
        <v>-1.383693E-4</v>
      </c>
      <c r="R1974">
        <v>-0.99790909999999999</v>
      </c>
      <c r="S1974">
        <v>-0.45307920000000002</v>
      </c>
      <c r="T1974">
        <v>-6.2929990000000005E-2</v>
      </c>
      <c r="U1974">
        <v>-2.9775999999999998</v>
      </c>
      <c r="V1974">
        <v>8.2379809999999998E-2</v>
      </c>
      <c r="W1974">
        <v>1.4228640000000001E-2</v>
      </c>
      <c r="X1974">
        <v>0.99649940000000004</v>
      </c>
      <c r="Y1974">
        <v>0.16792799999999999</v>
      </c>
      <c r="Z1974">
        <v>2.0854749999999998E-2</v>
      </c>
      <c r="AA1974">
        <v>0.98557870000000003</v>
      </c>
      <c r="AB1974">
        <v>25</v>
      </c>
      <c r="AC1974">
        <v>-7.9887999999999897</v>
      </c>
      <c r="AD1974">
        <v>-1.109174245553</v>
      </c>
      <c r="AE1974">
        <v>-52.221600000000002</v>
      </c>
      <c r="AF1974">
        <v>8.9108313881923795</v>
      </c>
      <c r="AG1974">
        <v>-1.109174245553</v>
      </c>
      <c r="AH1974">
        <v>52.048579298084199</v>
      </c>
      <c r="AI1974">
        <v>91.203307253724503</v>
      </c>
      <c r="AJ1974">
        <v>80.285021656859797</v>
      </c>
      <c r="AK1974">
        <v>52.817495117477499</v>
      </c>
      <c r="AL1974">
        <v>89.184731445270202</v>
      </c>
      <c r="AM1974">
        <v>85.274149887241904</v>
      </c>
      <c r="AN1974">
        <v>0.99999997074612201</v>
      </c>
    </row>
    <row r="1975" spans="1:40" x14ac:dyDescent="0.25">
      <c r="A1975" t="str">
        <f>"20190312153925717"</f>
        <v>20190312153925717</v>
      </c>
      <c r="B1975" t="str">
        <f>"1552376365707609"</f>
        <v>1552376365707609</v>
      </c>
      <c r="C1975" t="s">
        <v>40</v>
      </c>
      <c r="D1975">
        <v>4.22105</v>
      </c>
      <c r="E1975">
        <v>0.53336939999999999</v>
      </c>
      <c r="F1975" t="s">
        <v>54</v>
      </c>
      <c r="G1975">
        <v>-198.60400000000001</v>
      </c>
      <c r="H1975" s="1">
        <v>4.5580539999999996E-6</v>
      </c>
      <c r="I1975">
        <v>273.48910000000001</v>
      </c>
      <c r="J1975">
        <v>-190.66810000000001</v>
      </c>
      <c r="K1975">
        <v>1.109186</v>
      </c>
      <c r="L1975">
        <v>324.67989999999998</v>
      </c>
      <c r="M1975">
        <v>1.6300149999999999E-2</v>
      </c>
      <c r="N1975">
        <v>0</v>
      </c>
      <c r="O1975">
        <v>-0.99976019999999999</v>
      </c>
      <c r="P1975">
        <v>-6.6927719999999996E-2</v>
      </c>
      <c r="Q1975">
        <v>-1.310301E-3</v>
      </c>
      <c r="R1975">
        <v>-0.99775740000000002</v>
      </c>
      <c r="S1975">
        <v>-0.45910640000000003</v>
      </c>
      <c r="T1975">
        <v>-6.4189079999999996E-2</v>
      </c>
      <c r="U1975">
        <v>-2.9765009999999998</v>
      </c>
      <c r="V1975">
        <v>8.3216579999999998E-2</v>
      </c>
      <c r="W1975">
        <v>1.308196E-2</v>
      </c>
      <c r="X1975">
        <v>0.99644560000000004</v>
      </c>
      <c r="Y1975">
        <v>0.16849749999999999</v>
      </c>
      <c r="Z1975">
        <v>2.1276079999999999E-2</v>
      </c>
      <c r="AA1975">
        <v>0.98547240000000003</v>
      </c>
      <c r="AB1975">
        <v>25</v>
      </c>
      <c r="AC1975">
        <v>-7.9359000000000002</v>
      </c>
      <c r="AD1975">
        <v>-1.109181441946</v>
      </c>
      <c r="AE1975">
        <v>-51.190799999999903</v>
      </c>
      <c r="AF1975">
        <v>8.7653337825457101</v>
      </c>
      <c r="AG1975">
        <v>-1.109181441946</v>
      </c>
      <c r="AH1975">
        <v>51.031231234263601</v>
      </c>
      <c r="AI1975">
        <v>91.227181993038599</v>
      </c>
      <c r="AJ1975">
        <v>80.253746650994501</v>
      </c>
      <c r="AK1975">
        <v>51.790423063298803</v>
      </c>
      <c r="AL1975">
        <v>89.250437512463705</v>
      </c>
      <c r="AM1975">
        <v>85.226111410481394</v>
      </c>
      <c r="AN1975">
        <v>0.99999998531184897</v>
      </c>
    </row>
    <row r="1976" spans="1:40" x14ac:dyDescent="0.25">
      <c r="A1976" t="str">
        <f>"20190312153925739"</f>
        <v>20190312153925739</v>
      </c>
      <c r="B1976" t="str">
        <f>"1552376365728100"</f>
        <v>1552376365728100</v>
      </c>
      <c r="C1976" t="s">
        <v>40</v>
      </c>
      <c r="D1976">
        <v>4.2879129999999996</v>
      </c>
      <c r="E1976">
        <v>0.53314779999999995</v>
      </c>
      <c r="F1976" t="s">
        <v>54</v>
      </c>
      <c r="G1976">
        <v>-198.27789999999999</v>
      </c>
      <c r="H1976" s="1">
        <v>3.908072E-6</v>
      </c>
      <c r="I1976">
        <v>275.93540000000002</v>
      </c>
      <c r="J1976">
        <v>-190.66589999999999</v>
      </c>
      <c r="K1976">
        <v>1.1092010000000001</v>
      </c>
      <c r="L1976">
        <v>324.43810000000002</v>
      </c>
      <c r="M1976">
        <v>1.485029E-2</v>
      </c>
      <c r="N1976">
        <v>0</v>
      </c>
      <c r="O1976">
        <v>-0.99978230000000001</v>
      </c>
      <c r="P1976">
        <v>-6.9538030000000001E-2</v>
      </c>
      <c r="Q1976">
        <v>-2.3671780000000002E-3</v>
      </c>
      <c r="R1976">
        <v>-0.99757680000000004</v>
      </c>
      <c r="S1976">
        <v>-0.46452329999999997</v>
      </c>
      <c r="T1976">
        <v>-6.7707420000000004E-2</v>
      </c>
      <c r="U1976">
        <v>-2.9754939999999999</v>
      </c>
      <c r="V1976">
        <v>8.4376010000000001E-2</v>
      </c>
      <c r="W1976">
        <v>1.2043969999999999E-2</v>
      </c>
      <c r="X1976">
        <v>0.99636119999999995</v>
      </c>
      <c r="Y1976">
        <v>0.16886619999999999</v>
      </c>
      <c r="Z1976">
        <v>2.2446130000000002E-2</v>
      </c>
      <c r="AA1976">
        <v>0.98538340000000002</v>
      </c>
      <c r="AB1976">
        <v>25</v>
      </c>
      <c r="AC1976">
        <v>-7.6119999999999903</v>
      </c>
      <c r="AD1976">
        <v>-1.1091970919280001</v>
      </c>
      <c r="AE1976">
        <v>-48.502699999999997</v>
      </c>
      <c r="AF1976">
        <v>8.3272666571866196</v>
      </c>
      <c r="AG1976">
        <v>-1.1091970919280001</v>
      </c>
      <c r="AH1976">
        <v>48.359614633996202</v>
      </c>
      <c r="AI1976">
        <v>91.294880089318795</v>
      </c>
      <c r="AJ1976">
        <v>80.229787217814007</v>
      </c>
      <c r="AK1976">
        <v>49.083867163430099</v>
      </c>
      <c r="AL1976">
        <v>89.309914669244094</v>
      </c>
      <c r="AM1976">
        <v>85.159504123370397</v>
      </c>
      <c r="AN1976">
        <v>1.0000000045711599</v>
      </c>
    </row>
    <row r="1977" spans="1:40" x14ac:dyDescent="0.25">
      <c r="A1977" t="str">
        <f>"20190312153925761"</f>
        <v>20190312153925761</v>
      </c>
      <c r="B1977" t="str">
        <f>"1552376365747620"</f>
        <v>1552376365747620</v>
      </c>
      <c r="C1977" t="s">
        <v>40</v>
      </c>
      <c r="D1977">
        <v>4.2810449999999998</v>
      </c>
      <c r="E1977">
        <v>0.53295680000000001</v>
      </c>
      <c r="F1977" t="s">
        <v>54</v>
      </c>
      <c r="G1977">
        <v>-197.87729999999999</v>
      </c>
      <c r="H1977" s="1">
        <v>3.2103469999999998E-6</v>
      </c>
      <c r="I1977">
        <v>278.83870000000002</v>
      </c>
      <c r="J1977">
        <v>-190.66399999999999</v>
      </c>
      <c r="K1977">
        <v>1.1092109999999999</v>
      </c>
      <c r="L1977">
        <v>324.20319999999998</v>
      </c>
      <c r="M1977">
        <v>1.344122E-2</v>
      </c>
      <c r="N1977">
        <v>0</v>
      </c>
      <c r="O1977">
        <v>-0.99980179999999996</v>
      </c>
      <c r="P1977">
        <v>-7.2032559999999995E-2</v>
      </c>
      <c r="Q1977">
        <v>-1.8335039999999999E-3</v>
      </c>
      <c r="R1977">
        <v>-0.99740079999999998</v>
      </c>
      <c r="S1977">
        <v>-0.47038269999999999</v>
      </c>
      <c r="T1977">
        <v>-7.2350139999999993E-2</v>
      </c>
      <c r="U1977">
        <v>-2.974335</v>
      </c>
      <c r="V1977">
        <v>8.5464780000000004E-2</v>
      </c>
      <c r="W1977">
        <v>1.259324E-2</v>
      </c>
      <c r="X1977">
        <v>0.99626159999999997</v>
      </c>
      <c r="Y1977">
        <v>0.1694244</v>
      </c>
      <c r="Z1977">
        <v>2.398956E-2</v>
      </c>
      <c r="AA1977">
        <v>0.98525119999999999</v>
      </c>
      <c r="AB1977">
        <v>25</v>
      </c>
      <c r="AC1977">
        <v>-7.2132999999999701</v>
      </c>
      <c r="AD1977">
        <v>-1.1092077896529999</v>
      </c>
      <c r="AE1977">
        <v>-45.3644999999999</v>
      </c>
      <c r="AF1977">
        <v>7.8179095328832497</v>
      </c>
      <c r="AG1977">
        <v>-1.1092077896529999</v>
      </c>
      <c r="AH1977">
        <v>45.237056871905999</v>
      </c>
      <c r="AI1977">
        <v>91.384095717801799</v>
      </c>
      <c r="AJ1977">
        <v>80.194941574960197</v>
      </c>
      <c r="AK1977">
        <v>45.921034023822102</v>
      </c>
      <c r="AL1977">
        <v>89.278441422605397</v>
      </c>
      <c r="AM1977">
        <v>85.096858164180404</v>
      </c>
      <c r="AN1977">
        <v>0.99999999697435205</v>
      </c>
    </row>
    <row r="1978" spans="1:40" x14ac:dyDescent="0.25">
      <c r="A1978" t="str">
        <f>"20190312153925785"</f>
        <v>20190312153925785</v>
      </c>
      <c r="B1978" t="str">
        <f>"1552376365777877"</f>
        <v>1552376365777877</v>
      </c>
      <c r="C1978" t="s">
        <v>40</v>
      </c>
      <c r="D1978">
        <v>4.3047370000000003</v>
      </c>
      <c r="E1978">
        <v>0.52475360000000004</v>
      </c>
      <c r="F1978" t="s">
        <v>54</v>
      </c>
      <c r="G1978">
        <v>-198.06139999999999</v>
      </c>
      <c r="H1978" s="1">
        <v>3.391728E-6</v>
      </c>
      <c r="I1978">
        <v>278.03039999999999</v>
      </c>
      <c r="J1978">
        <v>-190.66229999999999</v>
      </c>
      <c r="K1978">
        <v>1.109227</v>
      </c>
      <c r="L1978">
        <v>323.93619999999999</v>
      </c>
      <c r="M1978">
        <v>1.183966E-2</v>
      </c>
      <c r="N1978">
        <v>0</v>
      </c>
      <c r="O1978">
        <v>-0.99982199999999999</v>
      </c>
      <c r="P1978">
        <v>-7.4473419999999999E-2</v>
      </c>
      <c r="Q1978">
        <v>-1.432123E-3</v>
      </c>
      <c r="R1978">
        <v>-0.99722239999999995</v>
      </c>
      <c r="S1978">
        <v>-0.47634890000000002</v>
      </c>
      <c r="T1978">
        <v>-7.1426749999999997E-2</v>
      </c>
      <c r="U1978">
        <v>-2.9732669999999999</v>
      </c>
      <c r="V1978">
        <v>8.6308140000000005E-2</v>
      </c>
      <c r="W1978">
        <v>1.300901E-2</v>
      </c>
      <c r="X1978">
        <v>0.99618359999999995</v>
      </c>
      <c r="Y1978">
        <v>0.1698296</v>
      </c>
      <c r="Z1978">
        <v>2.368814E-2</v>
      </c>
      <c r="AA1978">
        <v>0.98518870000000003</v>
      </c>
      <c r="AB1978">
        <v>25</v>
      </c>
      <c r="AC1978">
        <v>-7.3990999999999998</v>
      </c>
      <c r="AD1978">
        <v>-1.109223608272</v>
      </c>
      <c r="AE1978">
        <v>-45.905799999999999</v>
      </c>
      <c r="AF1978">
        <v>7.9376319347097999</v>
      </c>
      <c r="AG1978">
        <v>-1.109223608272</v>
      </c>
      <c r="AH1978">
        <v>45.788912398165202</v>
      </c>
      <c r="AI1978">
        <v>91.367318078857295</v>
      </c>
      <c r="AJ1978">
        <v>80.165358363247805</v>
      </c>
      <c r="AK1978">
        <v>46.485060786783102</v>
      </c>
      <c r="AL1978">
        <v>89.254617641438003</v>
      </c>
      <c r="AM1978">
        <v>85.048327932176505</v>
      </c>
      <c r="AN1978">
        <v>1.00000004714019</v>
      </c>
    </row>
    <row r="1979" spans="1:40" x14ac:dyDescent="0.25">
      <c r="A1979" t="str">
        <f>"20190312153925807"</f>
        <v>20190312153925807</v>
      </c>
      <c r="B1979" t="str">
        <f>"1552376365798374"</f>
        <v>1552376365798374</v>
      </c>
      <c r="C1979" t="s">
        <v>40</v>
      </c>
      <c r="D1979">
        <v>4.298254</v>
      </c>
      <c r="E1979">
        <v>0.52396599999999904</v>
      </c>
      <c r="F1979" t="s">
        <v>54</v>
      </c>
      <c r="G1979">
        <v>-194.90610000000001</v>
      </c>
      <c r="H1979" s="1">
        <v>1.497205E-6</v>
      </c>
      <c r="I1979">
        <v>293.65910000000002</v>
      </c>
      <c r="J1979">
        <v>-190.6611</v>
      </c>
      <c r="K1979">
        <v>1.1092390000000001</v>
      </c>
      <c r="L1979">
        <v>323.69529999999997</v>
      </c>
      <c r="M1979">
        <v>1.039487E-2</v>
      </c>
      <c r="N1979">
        <v>0</v>
      </c>
      <c r="O1979">
        <v>-0.99983759999999999</v>
      </c>
      <c r="P1979">
        <v>-7.5734529999999994E-2</v>
      </c>
      <c r="Q1979">
        <v>-7.9472339999999905E-4</v>
      </c>
      <c r="R1979">
        <v>-0.99712780000000001</v>
      </c>
      <c r="S1979">
        <v>-0.41728209999999999</v>
      </c>
      <c r="T1979">
        <v>-0.1090677</v>
      </c>
      <c r="U1979">
        <v>-2.9770810000000001</v>
      </c>
      <c r="V1979">
        <v>8.6129899999999995E-2</v>
      </c>
      <c r="W1979">
        <v>1.366126E-2</v>
      </c>
      <c r="X1979">
        <v>0.99619020000000003</v>
      </c>
      <c r="Y1979">
        <v>0.14900469999999999</v>
      </c>
      <c r="Z1979">
        <v>3.6227049999999997E-2</v>
      </c>
      <c r="AA1979">
        <v>0.98817270000000001</v>
      </c>
      <c r="AB1979">
        <v>25</v>
      </c>
      <c r="AC1979">
        <v>-4.2450000000000001</v>
      </c>
      <c r="AD1979">
        <v>-1.1092375027950001</v>
      </c>
      <c r="AE1979">
        <v>-30.036199999999901</v>
      </c>
      <c r="AF1979">
        <v>4.5509416833444698</v>
      </c>
      <c r="AG1979">
        <v>-1.1092375027950001</v>
      </c>
      <c r="AH1979">
        <v>29.9503986013444</v>
      </c>
      <c r="AI1979">
        <v>92.096978498509003</v>
      </c>
      <c r="AJ1979">
        <v>81.3600375214737</v>
      </c>
      <c r="AK1979">
        <v>30.314482585428099</v>
      </c>
      <c r="AL1979">
        <v>89.217243072758095</v>
      </c>
      <c r="AM1979">
        <v>85.058535811294803</v>
      </c>
      <c r="AN1979">
        <v>0.99999995213741699</v>
      </c>
    </row>
    <row r="1980" spans="1:40" x14ac:dyDescent="0.25">
      <c r="A1980" t="str">
        <f>"20190312153925831"</f>
        <v>20190312153925831</v>
      </c>
      <c r="B1980" t="str">
        <f>"1552376365817892"</f>
        <v>1552376365817892</v>
      </c>
      <c r="C1980" t="s">
        <v>40</v>
      </c>
      <c r="D1980">
        <v>4.2911809999999999</v>
      </c>
      <c r="E1980">
        <v>0.52354290000000003</v>
      </c>
      <c r="F1980" t="s">
        <v>54</v>
      </c>
      <c r="G1980">
        <v>-194.5001</v>
      </c>
      <c r="H1980" s="1">
        <v>8.3817119999999895E-7</v>
      </c>
      <c r="I1980">
        <v>296.10559999999998</v>
      </c>
      <c r="J1980">
        <v>-190.6602</v>
      </c>
      <c r="K1980">
        <v>1.1092489999999999</v>
      </c>
      <c r="L1980">
        <v>323.43369999999999</v>
      </c>
      <c r="M1980">
        <v>8.8242449999999997E-3</v>
      </c>
      <c r="N1980">
        <v>0</v>
      </c>
      <c r="O1980">
        <v>-0.99985279999999999</v>
      </c>
      <c r="P1980">
        <v>-7.7445490000000006E-2</v>
      </c>
      <c r="Q1980">
        <v>-8.737412E-4</v>
      </c>
      <c r="R1980">
        <v>-0.99699689999999996</v>
      </c>
      <c r="S1980">
        <v>-0.41424559999999999</v>
      </c>
      <c r="T1980">
        <v>-0.1196927</v>
      </c>
      <c r="U1980">
        <v>-2.9770810000000001</v>
      </c>
      <c r="V1980">
        <v>8.6274190000000001E-2</v>
      </c>
      <c r="W1980">
        <v>1.359308E-2</v>
      </c>
      <c r="X1980">
        <v>0.99617869999999997</v>
      </c>
      <c r="Y1980">
        <v>0.14644370000000001</v>
      </c>
      <c r="Z1980">
        <v>3.9762119999999998E-2</v>
      </c>
      <c r="AA1980">
        <v>0.98841950000000001</v>
      </c>
      <c r="AB1980">
        <v>24</v>
      </c>
      <c r="AC1980">
        <v>-3.8399000000000001</v>
      </c>
      <c r="AD1980">
        <v>-1.1092481618287999</v>
      </c>
      <c r="AE1980">
        <v>-27.328099999999999</v>
      </c>
      <c r="AF1980">
        <v>4.0743437038978199</v>
      </c>
      <c r="AG1980">
        <v>-1.1092481618287999</v>
      </c>
      <c r="AH1980">
        <v>27.249122794271301</v>
      </c>
      <c r="AI1980">
        <v>92.305489194066993</v>
      </c>
      <c r="AJ1980">
        <v>81.496020241082505</v>
      </c>
      <c r="AK1980">
        <v>27.574361301021799</v>
      </c>
      <c r="AL1980">
        <v>89.221149903136293</v>
      </c>
      <c r="AM1980">
        <v>85.050241807972199</v>
      </c>
      <c r="AN1980">
        <v>1.00000000500886</v>
      </c>
    </row>
    <row r="1981" spans="1:40" x14ac:dyDescent="0.25">
      <c r="A1981" t="str">
        <f>"20190312153925853"</f>
        <v>20190312153925853</v>
      </c>
      <c r="B1981" t="str">
        <f>"1552376365848148"</f>
        <v>1552376365848148</v>
      </c>
      <c r="C1981" t="s">
        <v>40</v>
      </c>
      <c r="D1981">
        <v>4.2691549999999996</v>
      </c>
      <c r="E1981">
        <v>0.52385230000000005</v>
      </c>
      <c r="F1981" t="s">
        <v>54</v>
      </c>
      <c r="G1981">
        <v>-194.39609999999999</v>
      </c>
      <c r="H1981" s="1">
        <v>6.4173380000000004E-7</v>
      </c>
      <c r="I1981">
        <v>296.68740000000003</v>
      </c>
      <c r="J1981">
        <v>-190.65979999999999</v>
      </c>
      <c r="K1981">
        <v>1.1092569999999999</v>
      </c>
      <c r="L1981">
        <v>323.1934</v>
      </c>
      <c r="M1981">
        <v>7.3813139999999999E-3</v>
      </c>
      <c r="N1981">
        <v>0</v>
      </c>
      <c r="O1981">
        <v>-0.99986430000000004</v>
      </c>
      <c r="P1981">
        <v>-7.8636609999999996E-2</v>
      </c>
      <c r="Q1981">
        <v>-9.7053519999999998E-4</v>
      </c>
      <c r="R1981">
        <v>-0.99690299999999998</v>
      </c>
      <c r="S1981">
        <v>-0.41577150000000002</v>
      </c>
      <c r="T1981">
        <v>-0.1234505</v>
      </c>
      <c r="U1981">
        <v>-2.9766539999999999</v>
      </c>
      <c r="V1981">
        <v>8.6026399999999906E-2</v>
      </c>
      <c r="W1981">
        <v>1.3506300000000001E-2</v>
      </c>
      <c r="X1981">
        <v>0.99620129999999996</v>
      </c>
      <c r="Y1981">
        <v>0.1455255</v>
      </c>
      <c r="Z1981">
        <v>4.1016280000000002E-2</v>
      </c>
      <c r="AA1981">
        <v>0.98850389999999999</v>
      </c>
      <c r="AB1981">
        <v>24</v>
      </c>
      <c r="AC1981">
        <v>-3.7363</v>
      </c>
      <c r="AD1981">
        <v>-1.1092563582661901</v>
      </c>
      <c r="AE1981">
        <v>-26.505999999999901</v>
      </c>
      <c r="AF1981">
        <v>3.92512814038755</v>
      </c>
      <c r="AG1981">
        <v>-1.1092563582661901</v>
      </c>
      <c r="AH1981">
        <v>26.4323053833727</v>
      </c>
      <c r="AI1981">
        <v>92.377025646961997</v>
      </c>
      <c r="AJ1981">
        <v>81.553452101316907</v>
      </c>
      <c r="AK1981">
        <v>26.745164954935099</v>
      </c>
      <c r="AL1981">
        <v>89.226122480282896</v>
      </c>
      <c r="AM1981">
        <v>85.064499209811899</v>
      </c>
      <c r="AN1981">
        <v>0.99999999587916999</v>
      </c>
    </row>
    <row r="1982" spans="1:40" x14ac:dyDescent="0.25">
      <c r="A1982" t="str">
        <f>"20190312153925873"</f>
        <v>20190312153925873</v>
      </c>
      <c r="B1982" t="str">
        <f>"1552376365867669"</f>
        <v>1552376365867669</v>
      </c>
      <c r="C1982" t="s">
        <v>40</v>
      </c>
      <c r="D1982">
        <v>4.2895250000000003</v>
      </c>
      <c r="E1982">
        <v>0.52885550000000003</v>
      </c>
      <c r="F1982" t="s">
        <v>54</v>
      </c>
      <c r="G1982">
        <v>-194.4177</v>
      </c>
      <c r="H1982" s="1">
        <v>6.4069590000000002E-7</v>
      </c>
      <c r="I1982">
        <v>296.68490000000003</v>
      </c>
      <c r="J1982">
        <v>-190.65969999999999</v>
      </c>
      <c r="K1982">
        <v>1.10927</v>
      </c>
      <c r="L1982">
        <v>322.97500000000002</v>
      </c>
      <c r="M1982">
        <v>6.0695749999999998E-3</v>
      </c>
      <c r="N1982">
        <v>0</v>
      </c>
      <c r="O1982">
        <v>-0.99987300000000001</v>
      </c>
      <c r="P1982">
        <v>-7.9260269999999994E-2</v>
      </c>
      <c r="Q1982">
        <v>-5.4495870000000003E-4</v>
      </c>
      <c r="R1982">
        <v>-0.99685409999999997</v>
      </c>
      <c r="S1982">
        <v>-0.421875</v>
      </c>
      <c r="T1982">
        <v>-0.12452829999999999</v>
      </c>
      <c r="U1982">
        <v>-2.9759220000000002</v>
      </c>
      <c r="V1982">
        <v>8.5343539999999996E-2</v>
      </c>
      <c r="W1982">
        <v>1.394019E-2</v>
      </c>
      <c r="X1982">
        <v>0.99625410000000003</v>
      </c>
      <c r="Y1982">
        <v>0.14624679999999901</v>
      </c>
      <c r="Z1982">
        <v>4.1376290000000003E-2</v>
      </c>
      <c r="AA1982">
        <v>0.98838250000000005</v>
      </c>
      <c r="AB1982">
        <v>24</v>
      </c>
      <c r="AC1982">
        <v>-3.758</v>
      </c>
      <c r="AD1982">
        <v>-1.1092693593041001</v>
      </c>
      <c r="AE1982">
        <v>-26.290099999999899</v>
      </c>
      <c r="AF1982">
        <v>3.9106950797554298</v>
      </c>
      <c r="AG1982">
        <v>-1.1092693593041001</v>
      </c>
      <c r="AH1982">
        <v>26.221057458603099</v>
      </c>
      <c r="AI1982">
        <v>92.395956718411995</v>
      </c>
      <c r="AJ1982">
        <v>81.517245503136095</v>
      </c>
      <c r="AK1982">
        <v>26.534277242195198</v>
      </c>
      <c r="AL1982">
        <v>89.201260108401797</v>
      </c>
      <c r="AM1982">
        <v>85.1037432244526</v>
      </c>
      <c r="AN1982">
        <v>1.0000000402418801</v>
      </c>
    </row>
    <row r="1983" spans="1:40" x14ac:dyDescent="0.25">
      <c r="A1983" t="str">
        <f>"20190312153925895"</f>
        <v>20190312153925895</v>
      </c>
      <c r="B1983" t="str">
        <f>"1552376365888165"</f>
        <v>1552376365888165</v>
      </c>
      <c r="C1983" t="s">
        <v>40</v>
      </c>
      <c r="D1983">
        <v>4.3028259999999996</v>
      </c>
      <c r="E1983">
        <v>0.5295531</v>
      </c>
      <c r="F1983" t="s">
        <v>41</v>
      </c>
      <c r="G1983">
        <v>-190.77590000000001</v>
      </c>
      <c r="H1983">
        <v>1.006961</v>
      </c>
      <c r="I1983">
        <v>322.21660000000003</v>
      </c>
      <c r="J1983">
        <v>-190.65989999999999</v>
      </c>
      <c r="K1983">
        <v>1.1092740000000001</v>
      </c>
      <c r="L1983">
        <v>322.72480000000002</v>
      </c>
      <c r="M1983">
        <v>4.5667360000000001E-3</v>
      </c>
      <c r="N1983">
        <v>0</v>
      </c>
      <c r="O1983">
        <v>-0.99988089999999996</v>
      </c>
      <c r="P1983">
        <v>-7.9537269999999993E-2</v>
      </c>
      <c r="Q1983">
        <v>-7.8115509999999999E-4</v>
      </c>
      <c r="R1983">
        <v>-0.99683180000000005</v>
      </c>
      <c r="S1983">
        <v>-0.45484920000000001</v>
      </c>
      <c r="T1983">
        <v>-0.40112500000000001</v>
      </c>
      <c r="U1983">
        <v>-2.9730530000000002</v>
      </c>
      <c r="V1983">
        <v>8.4122130000000003E-2</v>
      </c>
      <c r="W1983">
        <v>1.3714189999999999E-2</v>
      </c>
      <c r="X1983">
        <v>0.9963611</v>
      </c>
      <c r="Y1983">
        <v>0.15441759999999999</v>
      </c>
      <c r="Z1983">
        <v>0.132149499999999</v>
      </c>
      <c r="AA1983">
        <v>0.97912809999999995</v>
      </c>
      <c r="AB1983">
        <v>24</v>
      </c>
      <c r="AC1983">
        <v>-0.116000000000013</v>
      </c>
      <c r="AD1983">
        <v>-0.102312999999999</v>
      </c>
      <c r="AE1983">
        <v>-0.50819999999998799</v>
      </c>
      <c r="AF1983">
        <v>0.11393075406872601</v>
      </c>
      <c r="AG1983">
        <v>-0.102312999999999</v>
      </c>
      <c r="AH1983">
        <v>0.48883294917594</v>
      </c>
      <c r="AI1983">
        <v>101.521191765756</v>
      </c>
      <c r="AJ1983">
        <v>76.880458735960701</v>
      </c>
      <c r="AK1983">
        <v>0.51225561870194802</v>
      </c>
      <c r="AL1983">
        <v>89.214210181449303</v>
      </c>
      <c r="AM1983">
        <v>85.173999375682399</v>
      </c>
      <c r="AN1983">
        <v>1.0000000266781499</v>
      </c>
    </row>
    <row r="1984" spans="1:40" x14ac:dyDescent="0.25">
      <c r="A1984" t="str">
        <f>"20190312153925919"</f>
        <v>20190312153925919</v>
      </c>
      <c r="B1984" t="str">
        <f>"1552376365907791"</f>
        <v>1552376365907791</v>
      </c>
      <c r="C1984" t="s">
        <v>40</v>
      </c>
      <c r="D1984">
        <v>4.2855439999999998</v>
      </c>
      <c r="E1984">
        <v>0.53561969999999903</v>
      </c>
      <c r="F1984" t="s">
        <v>41</v>
      </c>
      <c r="G1984">
        <v>-190.7722</v>
      </c>
      <c r="H1984">
        <v>1.0053240000000001</v>
      </c>
      <c r="I1984">
        <v>322.00040000000001</v>
      </c>
      <c r="J1984">
        <v>-190.66050000000001</v>
      </c>
      <c r="K1984">
        <v>1.1092770000000001</v>
      </c>
      <c r="L1984">
        <v>322.47919999999999</v>
      </c>
      <c r="M1984">
        <v>3.0894749999999999E-3</v>
      </c>
      <c r="N1984">
        <v>0</v>
      </c>
      <c r="O1984">
        <v>-0.99988679999999996</v>
      </c>
      <c r="P1984">
        <v>-7.9154660000000002E-2</v>
      </c>
      <c r="Q1984">
        <v>-1.2904500000000001E-3</v>
      </c>
      <c r="R1984">
        <v>-0.99686189999999997</v>
      </c>
      <c r="S1984">
        <v>-0.4609375</v>
      </c>
      <c r="T1984">
        <v>-0.42655949999999998</v>
      </c>
      <c r="U1984">
        <v>-2.9723820000000001</v>
      </c>
      <c r="V1984">
        <v>8.2266019999999995E-2</v>
      </c>
      <c r="W1984">
        <v>1.321546E-2</v>
      </c>
      <c r="X1984">
        <v>0.99652280000000004</v>
      </c>
      <c r="Y1984">
        <v>0.1547769</v>
      </c>
      <c r="Z1984">
        <v>0.1403732</v>
      </c>
      <c r="AA1984">
        <v>0.97792610000000002</v>
      </c>
      <c r="AB1984">
        <v>24</v>
      </c>
      <c r="AC1984">
        <v>-0.11169999999998401</v>
      </c>
      <c r="AD1984">
        <v>-0.103953</v>
      </c>
      <c r="AE1984">
        <v>-0.47879999999997802</v>
      </c>
      <c r="AF1984">
        <v>0.10833578358059499</v>
      </c>
      <c r="AG1984">
        <v>-0.103953</v>
      </c>
      <c r="AH1984">
        <v>0.45797891815129599</v>
      </c>
      <c r="AI1984">
        <v>102.455837628561</v>
      </c>
      <c r="AJ1984">
        <v>76.691214092371098</v>
      </c>
      <c r="AK1984">
        <v>0.48196219528512102</v>
      </c>
      <c r="AL1984">
        <v>89.242787889748001</v>
      </c>
      <c r="AM1984">
        <v>85.280758445675801</v>
      </c>
      <c r="AN1984">
        <v>1.00000001867474</v>
      </c>
    </row>
    <row r="1985" spans="1:40" x14ac:dyDescent="0.25">
      <c r="A1985" t="str">
        <f>"20190312153925940"</f>
        <v>20190312153925940</v>
      </c>
      <c r="B1985" t="str">
        <f>"1552376365928182"</f>
        <v>1552376365928182</v>
      </c>
      <c r="C1985" t="s">
        <v>40</v>
      </c>
      <c r="D1985">
        <v>4.2507239999999999</v>
      </c>
      <c r="E1985">
        <v>0.53393809999999997</v>
      </c>
      <c r="F1985" t="s">
        <v>41</v>
      </c>
      <c r="G1985">
        <v>-190.80860000000001</v>
      </c>
      <c r="H1985">
        <v>0.9270214</v>
      </c>
      <c r="I1985">
        <v>321.60379999999998</v>
      </c>
      <c r="J1985">
        <v>-190.66139999999999</v>
      </c>
      <c r="K1985">
        <v>1.1092759999999999</v>
      </c>
      <c r="L1985">
        <v>322.2439</v>
      </c>
      <c r="M1985">
        <v>1.6663520000000001E-3</v>
      </c>
      <c r="N1985">
        <v>0</v>
      </c>
      <c r="O1985">
        <v>-0.9998899</v>
      </c>
      <c r="P1985">
        <v>-7.8915769999999996E-2</v>
      </c>
      <c r="Q1985">
        <v>-2.0258680000000001E-3</v>
      </c>
      <c r="R1985">
        <v>-0.99687919999999997</v>
      </c>
      <c r="S1985">
        <v>-0.50265499999999996</v>
      </c>
      <c r="T1985">
        <v>-0.61805019999999999</v>
      </c>
      <c r="U1985">
        <v>-2.9687190000000001</v>
      </c>
      <c r="V1985">
        <v>8.060689E-2</v>
      </c>
      <c r="W1985">
        <v>1.248787E-2</v>
      </c>
      <c r="X1985">
        <v>0.99666770000000005</v>
      </c>
      <c r="Y1985">
        <v>0.16517509999999999</v>
      </c>
      <c r="Z1985">
        <v>0.20104520000000001</v>
      </c>
      <c r="AA1985">
        <v>0.96555579999999996</v>
      </c>
      <c r="AB1985">
        <v>24</v>
      </c>
      <c r="AC1985">
        <v>-0.147200000000026</v>
      </c>
      <c r="AD1985">
        <v>-0.18225459999999999</v>
      </c>
      <c r="AE1985">
        <v>-0.64010000000001799</v>
      </c>
      <c r="AF1985">
        <v>0.13766646240583399</v>
      </c>
      <c r="AG1985">
        <v>-0.18225459999999999</v>
      </c>
      <c r="AH1985">
        <v>0.59410846632736702</v>
      </c>
      <c r="AI1985">
        <v>106.63885750448399</v>
      </c>
      <c r="AJ1985">
        <v>76.953705450160001</v>
      </c>
      <c r="AK1985">
        <v>0.63650111064659798</v>
      </c>
      <c r="AL1985">
        <v>89.284479127895395</v>
      </c>
      <c r="AM1985">
        <v>85.376187851574699</v>
      </c>
      <c r="AN1985">
        <v>0.99999996091794796</v>
      </c>
    </row>
    <row r="1986" spans="1:40" x14ac:dyDescent="0.25">
      <c r="A1986" t="str">
        <f>"20190312153925963"</f>
        <v>20190312153925963</v>
      </c>
      <c r="B1986" t="str">
        <f>"1552376365958437"</f>
        <v>1552376365958437</v>
      </c>
      <c r="C1986" t="s">
        <v>40</v>
      </c>
      <c r="D1986">
        <v>4.2452319999999997</v>
      </c>
      <c r="E1986">
        <v>0.53342539999999905</v>
      </c>
      <c r="F1986" t="s">
        <v>41</v>
      </c>
      <c r="G1986">
        <v>-190.80279999999999</v>
      </c>
      <c r="H1986">
        <v>0.93177120000000002</v>
      </c>
      <c r="I1986">
        <v>321.38600000000002</v>
      </c>
      <c r="J1986">
        <v>-190.6627</v>
      </c>
      <c r="K1986">
        <v>1.109278</v>
      </c>
      <c r="L1986">
        <v>321.99959999999999</v>
      </c>
      <c r="M1986">
        <v>1.7504409999999999E-4</v>
      </c>
      <c r="N1986">
        <v>0</v>
      </c>
      <c r="O1986">
        <v>-0.99989130000000004</v>
      </c>
      <c r="P1986">
        <v>-7.9632599999999998E-2</v>
      </c>
      <c r="Q1986">
        <v>-2.7536290000000001E-3</v>
      </c>
      <c r="R1986">
        <v>-0.99682059999999995</v>
      </c>
      <c r="S1986">
        <v>-0.48855589999999999</v>
      </c>
      <c r="T1986">
        <v>-0.61444949999999998</v>
      </c>
      <c r="U1986">
        <v>-2.9693909999999999</v>
      </c>
      <c r="V1986">
        <v>7.9835409999999996E-2</v>
      </c>
      <c r="W1986">
        <v>1.176313E-2</v>
      </c>
      <c r="X1986">
        <v>0.99673869999999998</v>
      </c>
      <c r="Y1986">
        <v>0.15923889999999999</v>
      </c>
      <c r="Z1986">
        <v>0.20005220000000001</v>
      </c>
      <c r="AA1986">
        <v>0.96675849999999997</v>
      </c>
      <c r="AB1986">
        <v>24</v>
      </c>
      <c r="AC1986">
        <v>-0.14009999999998901</v>
      </c>
      <c r="AD1986">
        <v>-0.17750679999999999</v>
      </c>
      <c r="AE1986">
        <v>-0.61360000000001902</v>
      </c>
      <c r="AF1986">
        <v>0.12987692480593199</v>
      </c>
      <c r="AG1986">
        <v>-0.17750679999999999</v>
      </c>
      <c r="AH1986">
        <v>0.56836718322791802</v>
      </c>
      <c r="AI1986">
        <v>106.933514473931</v>
      </c>
      <c r="AJ1986">
        <v>77.128406585443102</v>
      </c>
      <c r="AK1986">
        <v>0.60944067358006504</v>
      </c>
      <c r="AL1986">
        <v>89.326006786680793</v>
      </c>
      <c r="AM1986">
        <v>85.420577548562605</v>
      </c>
      <c r="AN1986">
        <v>1.0000000499974699</v>
      </c>
    </row>
    <row r="1987" spans="1:40" x14ac:dyDescent="0.25">
      <c r="A1987" t="str">
        <f>"20190312153925987"</f>
        <v>20190312153925987</v>
      </c>
      <c r="B1987" t="str">
        <f>"1552376365977957"</f>
        <v>1552376365977957</v>
      </c>
      <c r="C1987" t="s">
        <v>40</v>
      </c>
      <c r="D1987">
        <v>4.3230500000000003</v>
      </c>
      <c r="E1987">
        <v>0.53364029999999996</v>
      </c>
      <c r="F1987" t="s">
        <v>41</v>
      </c>
      <c r="G1987">
        <v>-190.7989</v>
      </c>
      <c r="H1987">
        <v>0.93568209999999996</v>
      </c>
      <c r="I1987">
        <v>321.16890000000001</v>
      </c>
      <c r="J1987">
        <v>-190.6645</v>
      </c>
      <c r="K1987">
        <v>1.109275</v>
      </c>
      <c r="L1987">
        <v>321.74680000000001</v>
      </c>
      <c r="M1987">
        <v>-1.394651E-3</v>
      </c>
      <c r="N1987">
        <v>0</v>
      </c>
      <c r="O1987">
        <v>-0.9998901</v>
      </c>
      <c r="P1987">
        <v>-8.1606750000000006E-2</v>
      </c>
      <c r="Q1987">
        <v>-2.5392460000000002E-3</v>
      </c>
      <c r="R1987">
        <v>-0.99666140000000003</v>
      </c>
      <c r="S1987">
        <v>-0.4864655</v>
      </c>
      <c r="T1987">
        <v>-0.62046159999999995</v>
      </c>
      <c r="U1987">
        <v>-2.9690249999999998</v>
      </c>
      <c r="V1987">
        <v>8.0245709999999998E-2</v>
      </c>
      <c r="W1987">
        <v>1.1973869999999999E-2</v>
      </c>
      <c r="X1987">
        <v>0.99670320000000001</v>
      </c>
      <c r="Y1987">
        <v>0.15698129999999999</v>
      </c>
      <c r="Z1987">
        <v>0.20200029999999999</v>
      </c>
      <c r="AA1987">
        <v>0.96672270000000005</v>
      </c>
      <c r="AB1987">
        <v>24</v>
      </c>
      <c r="AC1987">
        <v>-0.13439999999999899</v>
      </c>
      <c r="AD1987">
        <v>-0.17359289999999999</v>
      </c>
      <c r="AE1987">
        <v>-0.57789999999999897</v>
      </c>
      <c r="AF1987">
        <v>0.123059701087449</v>
      </c>
      <c r="AG1987">
        <v>-0.17359289999999999</v>
      </c>
      <c r="AH1987">
        <v>0.53250371127250096</v>
      </c>
      <c r="AI1987">
        <v>107.621028873505</v>
      </c>
      <c r="AJ1987">
        <v>76.987585805276296</v>
      </c>
      <c r="AK1987">
        <v>0.57344431942528595</v>
      </c>
      <c r="AL1987">
        <v>89.313931395513904</v>
      </c>
      <c r="AM1987">
        <v>85.396980049596195</v>
      </c>
      <c r="AN1987">
        <v>1.0000000082132099</v>
      </c>
    </row>
    <row r="1988" spans="1:40" x14ac:dyDescent="0.25">
      <c r="A1988" t="str">
        <f>"20190312153926009"</f>
        <v>20190312153926009</v>
      </c>
      <c r="B1988" t="str">
        <f>"1552376365997477"</f>
        <v>1552376365997477</v>
      </c>
      <c r="C1988" t="s">
        <v>40</v>
      </c>
      <c r="D1988">
        <v>4.3300219999999996</v>
      </c>
      <c r="E1988">
        <v>0.53407869999999902</v>
      </c>
      <c r="F1988" t="s">
        <v>41</v>
      </c>
      <c r="G1988">
        <v>-190.7972</v>
      </c>
      <c r="H1988">
        <v>0.94205609999999995</v>
      </c>
      <c r="I1988">
        <v>320.95100000000002</v>
      </c>
      <c r="J1988">
        <v>-190.66659999999999</v>
      </c>
      <c r="K1988">
        <v>1.1092649999999999</v>
      </c>
      <c r="L1988">
        <v>321.50779999999997</v>
      </c>
      <c r="M1988">
        <v>-2.9194249999999998E-3</v>
      </c>
      <c r="N1988">
        <v>0</v>
      </c>
      <c r="O1988">
        <v>-0.99988690000000002</v>
      </c>
      <c r="P1988">
        <v>-8.4025020000000006E-2</v>
      </c>
      <c r="Q1988">
        <v>-1.7848979999999901E-3</v>
      </c>
      <c r="R1988">
        <v>-0.99646190000000001</v>
      </c>
      <c r="S1988">
        <v>-0.49423220000000001</v>
      </c>
      <c r="T1988">
        <v>-0.6236408</v>
      </c>
      <c r="U1988">
        <v>-2.9680179999999998</v>
      </c>
      <c r="V1988">
        <v>8.1146960000000004E-2</v>
      </c>
      <c r="W1988">
        <v>1.272007E-2</v>
      </c>
      <c r="X1988">
        <v>0.99662099999999998</v>
      </c>
      <c r="Y1988">
        <v>0.15795709999999999</v>
      </c>
      <c r="Z1988">
        <v>0.2029996</v>
      </c>
      <c r="AA1988">
        <v>0.96635439999999995</v>
      </c>
      <c r="AB1988">
        <v>24</v>
      </c>
      <c r="AC1988">
        <v>-0.13060000000001501</v>
      </c>
      <c r="AD1988">
        <v>-0.16720889999999999</v>
      </c>
      <c r="AE1988">
        <v>-0.55680000000000895</v>
      </c>
      <c r="AF1988">
        <v>0.11881730183696999</v>
      </c>
      <c r="AG1988">
        <v>-0.16720889999999999</v>
      </c>
      <c r="AH1988">
        <v>0.51330219428842205</v>
      </c>
      <c r="AI1988">
        <v>107.607358349338</v>
      </c>
      <c r="AJ1988">
        <v>76.966924486361705</v>
      </c>
      <c r="AK1988">
        <v>0.55277075729124503</v>
      </c>
      <c r="AL1988">
        <v>89.271174036064807</v>
      </c>
      <c r="AM1988">
        <v>85.345126616019698</v>
      </c>
      <c r="AN1988">
        <v>1.0000000234695201</v>
      </c>
    </row>
    <row r="1989" spans="1:40" x14ac:dyDescent="0.25">
      <c r="A1989" t="str">
        <f>"20190312153926031"</f>
        <v>20190312153926031</v>
      </c>
      <c r="B1989" t="str">
        <f>"1552376366017973"</f>
        <v>1552376366017973</v>
      </c>
      <c r="C1989" t="s">
        <v>40</v>
      </c>
      <c r="D1989">
        <v>4.4219099999999996</v>
      </c>
      <c r="E1989">
        <v>0.53389319999999996</v>
      </c>
      <c r="F1989" t="s">
        <v>41</v>
      </c>
      <c r="G1989">
        <v>-190.79830000000001</v>
      </c>
      <c r="H1989">
        <v>0.94611179999999995</v>
      </c>
      <c r="I1989">
        <v>320.73439999999999</v>
      </c>
      <c r="J1989">
        <v>-190.66909999999999</v>
      </c>
      <c r="K1989">
        <v>1.1092379999999999</v>
      </c>
      <c r="L1989">
        <v>321.26479999999998</v>
      </c>
      <c r="M1989">
        <v>-4.5273620000000001E-3</v>
      </c>
      <c r="N1989">
        <v>0</v>
      </c>
      <c r="O1989">
        <v>-0.99988089999999996</v>
      </c>
      <c r="P1989">
        <v>-8.6596930000000003E-2</v>
      </c>
      <c r="Q1989">
        <v>-3.6824219999999998E-4</v>
      </c>
      <c r="R1989">
        <v>-0.99624349999999995</v>
      </c>
      <c r="S1989">
        <v>-0.50553890000000001</v>
      </c>
      <c r="T1989">
        <v>-0.6258397</v>
      </c>
      <c r="U1989">
        <v>-2.9668580000000002</v>
      </c>
      <c r="V1989">
        <v>8.2121609999999998E-2</v>
      </c>
      <c r="W1989">
        <v>1.412566E-2</v>
      </c>
      <c r="X1989">
        <v>0.99652220000000002</v>
      </c>
      <c r="Y1989">
        <v>0.1599891</v>
      </c>
      <c r="Z1989">
        <v>0.20366419999999999</v>
      </c>
      <c r="AA1989">
        <v>0.96588010000000002</v>
      </c>
      <c r="AB1989">
        <v>24</v>
      </c>
      <c r="AC1989">
        <v>-0.12920000000002499</v>
      </c>
      <c r="AD1989">
        <v>-0.163126199999999</v>
      </c>
      <c r="AE1989">
        <v>-0.53039999999998599</v>
      </c>
      <c r="AF1989">
        <v>0.11640335336732199</v>
      </c>
      <c r="AG1989">
        <v>-0.163126199999999</v>
      </c>
      <c r="AH1989">
        <v>0.48745437311409801</v>
      </c>
      <c r="AI1989">
        <v>108.029920774053</v>
      </c>
      <c r="AJ1989">
        <v>76.569378242617901</v>
      </c>
      <c r="AK1989">
        <v>0.52704047631055395</v>
      </c>
      <c r="AL1989">
        <v>89.190632376766402</v>
      </c>
      <c r="AM1989">
        <v>85.289002472764395</v>
      </c>
      <c r="AN1989">
        <v>0.99999999409613305</v>
      </c>
    </row>
    <row r="1990" spans="1:40" x14ac:dyDescent="0.25">
      <c r="A1990" t="str">
        <f>"20190312153926053"</f>
        <v>20190312153926053</v>
      </c>
      <c r="B1990" t="str">
        <f>"1552376366048228"</f>
        <v>1552376366048228</v>
      </c>
      <c r="C1990" t="s">
        <v>40</v>
      </c>
      <c r="D1990">
        <v>4.338508</v>
      </c>
      <c r="E1990">
        <v>0.52334650000000005</v>
      </c>
      <c r="F1990" t="s">
        <v>41</v>
      </c>
      <c r="G1990">
        <v>-190.79839999999999</v>
      </c>
      <c r="H1990">
        <v>0.95313270000000005</v>
      </c>
      <c r="I1990">
        <v>320.51690000000002</v>
      </c>
      <c r="J1990">
        <v>-190.672</v>
      </c>
      <c r="K1990">
        <v>1.1091959999999901</v>
      </c>
      <c r="L1990">
        <v>321.03379999999999</v>
      </c>
      <c r="M1990">
        <v>-6.1245669999999896E-3</v>
      </c>
      <c r="N1990">
        <v>0</v>
      </c>
      <c r="O1990">
        <v>-0.9998726</v>
      </c>
      <c r="P1990">
        <v>-8.9341729999999994E-2</v>
      </c>
      <c r="Q1990">
        <v>1.267647E-3</v>
      </c>
      <c r="R1990">
        <v>-0.99600040000000001</v>
      </c>
      <c r="S1990">
        <v>-0.51229859999999905</v>
      </c>
      <c r="T1990">
        <v>-0.61922690000000002</v>
      </c>
      <c r="U1990">
        <v>-2.9665530000000002</v>
      </c>
      <c r="V1990">
        <v>8.3281659999999993E-2</v>
      </c>
      <c r="W1990">
        <v>1.5746719999999999E-2</v>
      </c>
      <c r="X1990">
        <v>0.9964016</v>
      </c>
      <c r="Y1990">
        <v>0.16064149999999999</v>
      </c>
      <c r="Z1990">
        <v>0.2015709</v>
      </c>
      <c r="AA1990">
        <v>0.96621089999999998</v>
      </c>
      <c r="AB1990">
        <v>24</v>
      </c>
      <c r="AC1990">
        <v>-0.12639999999998899</v>
      </c>
      <c r="AD1990">
        <v>-0.15606329999999899</v>
      </c>
      <c r="AE1990">
        <v>-0.51689999999996405</v>
      </c>
      <c r="AF1990">
        <v>0.113471440484538</v>
      </c>
      <c r="AG1990">
        <v>-0.15606329999999899</v>
      </c>
      <c r="AH1990">
        <v>0.47666499264733098</v>
      </c>
      <c r="AI1990">
        <v>107.66700451398199</v>
      </c>
      <c r="AJ1990">
        <v>76.609802853698994</v>
      </c>
      <c r="AK1990">
        <v>0.51423830723508501</v>
      </c>
      <c r="AL1990">
        <v>89.097742087104095</v>
      </c>
      <c r="AM1990">
        <v>85.222185241743603</v>
      </c>
      <c r="AN1990">
        <v>0.99999997128283602</v>
      </c>
    </row>
    <row r="1991" spans="1:40" x14ac:dyDescent="0.25">
      <c r="A1991" t="str">
        <f>"20190312153926075"</f>
        <v>20190312153926075</v>
      </c>
      <c r="B1991" t="str">
        <f>"1552376366067749"</f>
        <v>1552376366067749</v>
      </c>
      <c r="C1991" t="s">
        <v>40</v>
      </c>
      <c r="D1991">
        <v>4.3555129999999904</v>
      </c>
      <c r="E1991">
        <v>0.52351749999999997</v>
      </c>
      <c r="F1991" t="s">
        <v>41</v>
      </c>
      <c r="G1991">
        <v>-190.7791</v>
      </c>
      <c r="H1991">
        <v>0.9507447</v>
      </c>
      <c r="I1991">
        <v>320.30470000000003</v>
      </c>
      <c r="J1991">
        <v>-190.67529999999999</v>
      </c>
      <c r="K1991">
        <v>1.109143</v>
      </c>
      <c r="L1991">
        <v>320.80149999999998</v>
      </c>
      <c r="M1991">
        <v>-7.8154550000000007E-3</v>
      </c>
      <c r="N1991">
        <v>0</v>
      </c>
      <c r="O1991">
        <v>-0.99986070000000005</v>
      </c>
      <c r="P1991">
        <v>-9.189166E-2</v>
      </c>
      <c r="Q1991">
        <v>3.081819E-3</v>
      </c>
      <c r="R1991">
        <v>-0.9957646</v>
      </c>
      <c r="S1991">
        <v>-0.43630980000000003</v>
      </c>
      <c r="T1991">
        <v>-0.64616660000000004</v>
      </c>
      <c r="U1991">
        <v>-2.9737239999999998</v>
      </c>
      <c r="V1991">
        <v>8.4155259999999996E-2</v>
      </c>
      <c r="W1991">
        <v>1.7544629999999999E-2</v>
      </c>
      <c r="X1991">
        <v>0.99629820000000002</v>
      </c>
      <c r="Y1991">
        <v>0.1341841</v>
      </c>
      <c r="Z1991">
        <v>0.21029339999999999</v>
      </c>
      <c r="AA1991">
        <v>0.96838590000000002</v>
      </c>
      <c r="AB1991">
        <v>24</v>
      </c>
      <c r="AC1991">
        <v>-0.103800000000006</v>
      </c>
      <c r="AD1991">
        <v>-0.15839829999999999</v>
      </c>
      <c r="AE1991">
        <v>-0.49679999999995</v>
      </c>
      <c r="AF1991">
        <v>9.1045415177056097E-2</v>
      </c>
      <c r="AG1991">
        <v>-0.15839829999999999</v>
      </c>
      <c r="AH1991">
        <v>0.45342984725213697</v>
      </c>
      <c r="AI1991">
        <v>108.90620416979399</v>
      </c>
      <c r="AJ1991">
        <v>78.646401242749107</v>
      </c>
      <c r="AK1991">
        <v>0.48885367488313802</v>
      </c>
      <c r="AL1991">
        <v>88.994715182561393</v>
      </c>
      <c r="AM1991">
        <v>85.171804361610597</v>
      </c>
      <c r="AN1991">
        <v>1.0000000125753701</v>
      </c>
    </row>
    <row r="1992" spans="1:40" x14ac:dyDescent="0.25">
      <c r="A1992" t="str">
        <f>"20190312153926098"</f>
        <v>20190312153926098</v>
      </c>
      <c r="B1992" t="str">
        <f>"1552376366088252"</f>
        <v>1552376366088252</v>
      </c>
      <c r="C1992" t="s">
        <v>40</v>
      </c>
      <c r="D1992">
        <v>4.3500779999999999</v>
      </c>
      <c r="E1992">
        <v>0.52359120000000003</v>
      </c>
      <c r="F1992" t="s">
        <v>41</v>
      </c>
      <c r="G1992">
        <v>-190.78210000000001</v>
      </c>
      <c r="H1992">
        <v>0.9540651</v>
      </c>
      <c r="I1992">
        <v>320.08949999999999</v>
      </c>
      <c r="J1992">
        <v>-190.67939999999999</v>
      </c>
      <c r="K1992">
        <v>1.1090789999999999</v>
      </c>
      <c r="L1992">
        <v>320.55630000000002</v>
      </c>
      <c r="M1992">
        <v>-9.7053629999999998E-3</v>
      </c>
      <c r="N1992">
        <v>0</v>
      </c>
      <c r="O1992">
        <v>-0.99984430000000002</v>
      </c>
      <c r="P1992">
        <v>-9.4163990000000003E-2</v>
      </c>
      <c r="Q1992">
        <v>3.8622410000000002E-3</v>
      </c>
      <c r="R1992">
        <v>-0.99554969999999998</v>
      </c>
      <c r="S1992">
        <v>-0.44549559999999999</v>
      </c>
      <c r="T1992">
        <v>-0.64775280000000002</v>
      </c>
      <c r="U1992">
        <v>-2.9736940000000001</v>
      </c>
      <c r="V1992">
        <v>8.4551210000000002E-2</v>
      </c>
      <c r="W1992">
        <v>1.8308390000000001E-2</v>
      </c>
      <c r="X1992">
        <v>0.99625090000000005</v>
      </c>
      <c r="Y1992">
        <v>0.1352266</v>
      </c>
      <c r="Z1992">
        <v>0.2107233</v>
      </c>
      <c r="AA1992">
        <v>0.96814750000000005</v>
      </c>
      <c r="AB1992">
        <v>24</v>
      </c>
      <c r="AC1992">
        <v>-0.10270000000002701</v>
      </c>
      <c r="AD1992">
        <v>-0.15501390000000001</v>
      </c>
      <c r="AE1992">
        <v>-0.46680000000003402</v>
      </c>
      <c r="AF1992">
        <v>8.88215697741878E-2</v>
      </c>
      <c r="AG1992">
        <v>-0.15501390000000001</v>
      </c>
      <c r="AH1992">
        <v>0.423255061653457</v>
      </c>
      <c r="AI1992">
        <v>109.71944877274299</v>
      </c>
      <c r="AJ1992">
        <v>78.148258639027802</v>
      </c>
      <c r="AK1992">
        <v>0.459416398995108</v>
      </c>
      <c r="AL1992">
        <v>88.950947890229997</v>
      </c>
      <c r="AM1992">
        <v>85.148966666141305</v>
      </c>
      <c r="AN1992">
        <v>0.99999998000383306</v>
      </c>
    </row>
    <row r="1993" spans="1:40" x14ac:dyDescent="0.25">
      <c r="A1993" t="str">
        <f>"20190312153926119"</f>
        <v>20190312153926119</v>
      </c>
      <c r="B1993" t="str">
        <f>"1552376366107773"</f>
        <v>1552376366107773</v>
      </c>
      <c r="C1993" t="s">
        <v>40</v>
      </c>
      <c r="D1993">
        <v>4.32552</v>
      </c>
      <c r="E1993">
        <v>0.52360850000000003</v>
      </c>
      <c r="F1993" t="s">
        <v>41</v>
      </c>
      <c r="G1993">
        <v>-190.8133</v>
      </c>
      <c r="H1993">
        <v>0.91853510000000005</v>
      </c>
      <c r="I1993">
        <v>319.67989999999998</v>
      </c>
      <c r="J1993">
        <v>-190.68379999999999</v>
      </c>
      <c r="K1993">
        <v>1.1090139999999999</v>
      </c>
      <c r="L1993">
        <v>320.32639999999998</v>
      </c>
      <c r="M1993">
        <v>-1.1594709999999999E-2</v>
      </c>
      <c r="N1993">
        <v>0</v>
      </c>
      <c r="O1993">
        <v>-0.99982420000000005</v>
      </c>
      <c r="P1993">
        <v>-9.6205879999999994E-2</v>
      </c>
      <c r="Q1993">
        <v>4.6632829999999998E-3</v>
      </c>
      <c r="R1993">
        <v>-0.99535099999999999</v>
      </c>
      <c r="S1993">
        <v>-0.45358280000000001</v>
      </c>
      <c r="T1993">
        <v>-0.6463776</v>
      </c>
      <c r="U1993">
        <v>-2.9730219999999998</v>
      </c>
      <c r="V1993">
        <v>8.4717929999999997E-2</v>
      </c>
      <c r="W1993">
        <v>1.909313E-2</v>
      </c>
      <c r="X1993">
        <v>0.99622200000000005</v>
      </c>
      <c r="Y1993">
        <v>0.13597629999999999</v>
      </c>
      <c r="Z1993">
        <v>0.21028340000000001</v>
      </c>
      <c r="AA1993">
        <v>0.9681381</v>
      </c>
      <c r="AB1993">
        <v>24</v>
      </c>
      <c r="AC1993">
        <v>-0.129500000000007</v>
      </c>
      <c r="AD1993">
        <v>-0.19047889999999901</v>
      </c>
      <c r="AE1993">
        <v>-0.64650000000000296</v>
      </c>
      <c r="AF1993">
        <v>0.11259727621918</v>
      </c>
      <c r="AG1993">
        <v>-0.19047889999999901</v>
      </c>
      <c r="AH1993">
        <v>0.59804606064987198</v>
      </c>
      <c r="AI1993">
        <v>107.38026469662</v>
      </c>
      <c r="AJ1993">
        <v>79.337440328911498</v>
      </c>
      <c r="AK1993">
        <v>0.63766719267657002</v>
      </c>
      <c r="AL1993">
        <v>88.905977727764096</v>
      </c>
      <c r="AM1993">
        <v>85.139306742321807</v>
      </c>
      <c r="AN1993">
        <v>0.99999997428034004</v>
      </c>
    </row>
    <row r="1994" spans="1:40" x14ac:dyDescent="0.25">
      <c r="A1994" t="str">
        <f>"20190312153926141"</f>
        <v>20190312153926141</v>
      </c>
      <c r="B1994" t="str">
        <f>"1552376366128260"</f>
        <v>1552376366128260</v>
      </c>
      <c r="C1994" t="s">
        <v>40</v>
      </c>
      <c r="D1994">
        <v>4.3625879999999997</v>
      </c>
      <c r="E1994">
        <v>0.52369520000000003</v>
      </c>
      <c r="F1994" t="s">
        <v>41</v>
      </c>
      <c r="G1994">
        <v>-190.81700000000001</v>
      </c>
      <c r="H1994">
        <v>0.92217450000000001</v>
      </c>
      <c r="I1994">
        <v>319.46600000000001</v>
      </c>
      <c r="J1994">
        <v>-190.68889999999999</v>
      </c>
      <c r="K1994">
        <v>1.1089580000000001</v>
      </c>
      <c r="L1994">
        <v>320.08670000000001</v>
      </c>
      <c r="M1994">
        <v>-1.36627E-2</v>
      </c>
      <c r="N1994">
        <v>0</v>
      </c>
      <c r="O1994">
        <v>-0.99979799999999996</v>
      </c>
      <c r="P1994">
        <v>-9.8197389999999996E-2</v>
      </c>
      <c r="Q1994">
        <v>5.6243619999999999E-3</v>
      </c>
      <c r="R1994">
        <v>-0.99515100000000001</v>
      </c>
      <c r="S1994">
        <v>-0.46017459999999999</v>
      </c>
      <c r="T1994">
        <v>-0.64553119999999997</v>
      </c>
      <c r="U1994">
        <v>-2.9725649999999999</v>
      </c>
      <c r="V1994">
        <v>8.465715E-2</v>
      </c>
      <c r="W1994">
        <v>2.0039950000000001E-2</v>
      </c>
      <c r="X1994">
        <v>0.9962086</v>
      </c>
      <c r="Y1994">
        <v>0.13605690000000001</v>
      </c>
      <c r="Z1994">
        <v>0.21000820000000001</v>
      </c>
      <c r="AA1994">
        <v>0.96818649999999995</v>
      </c>
      <c r="AB1994">
        <v>24</v>
      </c>
      <c r="AC1994">
        <v>-0.12810000000001701</v>
      </c>
      <c r="AD1994">
        <v>-0.18678349999999899</v>
      </c>
      <c r="AE1994">
        <v>-0.62069999999999903</v>
      </c>
      <c r="AF1994">
        <v>0.110048343496184</v>
      </c>
      <c r="AG1994">
        <v>-0.18678349999999899</v>
      </c>
      <c r="AH1994">
        <v>0.57265409948422397</v>
      </c>
      <c r="AI1994">
        <v>107.760815167847</v>
      </c>
      <c r="AJ1994">
        <v>79.1219453857384</v>
      </c>
      <c r="AK1994">
        <v>0.61231644713709199</v>
      </c>
      <c r="AL1994">
        <v>88.851718580597606</v>
      </c>
      <c r="AM1994">
        <v>85.142712284473006</v>
      </c>
      <c r="AN1994">
        <v>1.0000000036780401</v>
      </c>
    </row>
    <row r="1995" spans="1:40" x14ac:dyDescent="0.25">
      <c r="A1995" t="str">
        <f>"20190312153926164"</f>
        <v>20190312153926164</v>
      </c>
      <c r="B1995" t="str">
        <f>"1552376366157541"</f>
        <v>1552376366157541</v>
      </c>
      <c r="C1995" t="s">
        <v>40</v>
      </c>
      <c r="D1995">
        <v>4.3569259999999996</v>
      </c>
      <c r="E1995">
        <v>0.52427889999999999</v>
      </c>
      <c r="F1995" t="s">
        <v>41</v>
      </c>
      <c r="G1995">
        <v>-190.81989999999999</v>
      </c>
      <c r="H1995">
        <v>0.92752699999999999</v>
      </c>
      <c r="I1995">
        <v>319.25170000000003</v>
      </c>
      <c r="J1995">
        <v>-190.69450000000001</v>
      </c>
      <c r="K1995">
        <v>1.108903</v>
      </c>
      <c r="L1995">
        <v>319.85550000000001</v>
      </c>
      <c r="M1995">
        <v>-1.5753010000000001E-2</v>
      </c>
      <c r="N1995">
        <v>0</v>
      </c>
      <c r="O1995">
        <v>-0.99976719999999997</v>
      </c>
      <c r="P1995">
        <v>-0.1002899</v>
      </c>
      <c r="Q1995">
        <v>6.2184719999999897E-3</v>
      </c>
      <c r="R1995">
        <v>-0.99493900000000002</v>
      </c>
      <c r="S1995">
        <v>-0.46600340000000001</v>
      </c>
      <c r="T1995">
        <v>-0.64585729999999997</v>
      </c>
      <c r="U1995">
        <v>-2.972321</v>
      </c>
      <c r="V1995">
        <v>8.4674269999999996E-2</v>
      </c>
      <c r="W1995">
        <v>2.0621569999999999E-2</v>
      </c>
      <c r="X1995">
        <v>0.99619530000000001</v>
      </c>
      <c r="Y1995">
        <v>0.13584969999999999</v>
      </c>
      <c r="Z1995">
        <v>0.21008950000000001</v>
      </c>
      <c r="AA1995">
        <v>0.96819789999999994</v>
      </c>
      <c r="AB1995">
        <v>24</v>
      </c>
      <c r="AC1995">
        <v>-0.125399999999984</v>
      </c>
      <c r="AD1995">
        <v>-0.18137600000000001</v>
      </c>
      <c r="AE1995">
        <v>-0.60379999999997802</v>
      </c>
      <c r="AF1995">
        <v>0.106646442256333</v>
      </c>
      <c r="AG1995">
        <v>-0.18137600000000001</v>
      </c>
      <c r="AH1995">
        <v>0.55747698227859699</v>
      </c>
      <c r="AI1995">
        <v>107.72163236116999</v>
      </c>
      <c r="AJ1995">
        <v>79.170052152117407</v>
      </c>
      <c r="AK1995">
        <v>0.59586181518233305</v>
      </c>
      <c r="AL1995">
        <v>88.818387348958794</v>
      </c>
      <c r="AM1995">
        <v>85.141670157303295</v>
      </c>
      <c r="AN1995">
        <v>1.00000002844569</v>
      </c>
    </row>
    <row r="1996" spans="1:40" x14ac:dyDescent="0.25">
      <c r="A1996" t="str">
        <f>"20190312153926186"</f>
        <v>20190312153926186</v>
      </c>
      <c r="B1996" t="str">
        <f>"1552376366178037"</f>
        <v>1552376366178037</v>
      </c>
      <c r="C1996" t="s">
        <v>40</v>
      </c>
      <c r="D1996">
        <v>4.3658299999999999</v>
      </c>
      <c r="E1996">
        <v>0.52951359999999903</v>
      </c>
      <c r="F1996" t="s">
        <v>41</v>
      </c>
      <c r="G1996">
        <v>-190.82409999999999</v>
      </c>
      <c r="H1996">
        <v>0.9175162</v>
      </c>
      <c r="I1996">
        <v>319.04480000000001</v>
      </c>
      <c r="J1996">
        <v>-190.70089999999999</v>
      </c>
      <c r="K1996">
        <v>1.108851</v>
      </c>
      <c r="L1996">
        <v>319.61419999999998</v>
      </c>
      <c r="M1996">
        <v>-1.8040580000000001E-2</v>
      </c>
      <c r="N1996">
        <v>0</v>
      </c>
      <c r="O1996">
        <v>-0.99972850000000002</v>
      </c>
      <c r="P1996">
        <v>-0.102424399999999</v>
      </c>
      <c r="Q1996">
        <v>6.7730480000000003E-3</v>
      </c>
      <c r="R1996">
        <v>-0.99471779999999999</v>
      </c>
      <c r="S1996">
        <v>-0.47477720000000001</v>
      </c>
      <c r="T1996">
        <v>-0.70155179999999995</v>
      </c>
      <c r="U1996">
        <v>-2.9718019999999998</v>
      </c>
      <c r="V1996">
        <v>8.4537070000000006E-2</v>
      </c>
      <c r="W1996">
        <v>2.1163620000000001E-2</v>
      </c>
      <c r="X1996">
        <v>0.99619559999999996</v>
      </c>
      <c r="Y1996">
        <v>0.135791</v>
      </c>
      <c r="Z1996">
        <v>0.22727359999999999</v>
      </c>
      <c r="AA1996">
        <v>0.96431710000000004</v>
      </c>
      <c r="AB1996">
        <v>24</v>
      </c>
      <c r="AC1996">
        <v>-0.12319999999999701</v>
      </c>
      <c r="AD1996">
        <v>-0.1913348</v>
      </c>
      <c r="AE1996">
        <v>-0.56939999999997304</v>
      </c>
      <c r="AF1996">
        <v>0.10191355440172201</v>
      </c>
      <c r="AG1996">
        <v>-0.1913348</v>
      </c>
      <c r="AH1996">
        <v>0.51588401059189803</v>
      </c>
      <c r="AI1996">
        <v>109.99417972948299</v>
      </c>
      <c r="AJ1996">
        <v>78.825035119286596</v>
      </c>
      <c r="AK1996">
        <v>0.55958171042861504</v>
      </c>
      <c r="AL1996">
        <v>88.7873234108731</v>
      </c>
      <c r="AM1996">
        <v>85.149506105448197</v>
      </c>
      <c r="AN1996">
        <v>1.0000000442375201</v>
      </c>
    </row>
    <row r="1997" spans="1:40" x14ac:dyDescent="0.25">
      <c r="A1997" t="str">
        <f>"20190312153926209"</f>
        <v>20190312153926209</v>
      </c>
      <c r="B1997" t="str">
        <f>"1552376366197557"</f>
        <v>1552376366197557</v>
      </c>
      <c r="C1997" t="s">
        <v>40</v>
      </c>
      <c r="D1997">
        <v>4.4314249999999999</v>
      </c>
      <c r="E1997">
        <v>0.53609010000000001</v>
      </c>
      <c r="F1997" t="s">
        <v>41</v>
      </c>
      <c r="G1997">
        <v>-190.84229999999999</v>
      </c>
      <c r="H1997">
        <v>0.95289360000000001</v>
      </c>
      <c r="I1997">
        <v>318.8168</v>
      </c>
      <c r="J1997">
        <v>-190.708</v>
      </c>
      <c r="K1997">
        <v>1.1088</v>
      </c>
      <c r="L1997">
        <v>319.37430000000001</v>
      </c>
      <c r="M1997">
        <v>-2.041745E-2</v>
      </c>
      <c r="N1997">
        <v>0</v>
      </c>
      <c r="O1997">
        <v>-0.99968290000000004</v>
      </c>
      <c r="P1997">
        <v>-0.10452119999999999</v>
      </c>
      <c r="Q1997">
        <v>7.1674999999999899E-3</v>
      </c>
      <c r="R1997">
        <v>-0.99449690000000002</v>
      </c>
      <c r="S1997">
        <v>-0.52496339999999997</v>
      </c>
      <c r="T1997">
        <v>-0.58003939999999998</v>
      </c>
      <c r="U1997">
        <v>-2.9657900000000001</v>
      </c>
      <c r="V1997">
        <v>8.427308E-2</v>
      </c>
      <c r="W1997">
        <v>2.1546429999999998E-2</v>
      </c>
      <c r="X1997">
        <v>0.99620969999999998</v>
      </c>
      <c r="Y1997">
        <v>0.15100139999999901</v>
      </c>
      <c r="Z1997">
        <v>0.18936539999999999</v>
      </c>
      <c r="AA1997">
        <v>0.97022640000000004</v>
      </c>
      <c r="AB1997">
        <v>24</v>
      </c>
      <c r="AC1997">
        <v>-0.13429999999999601</v>
      </c>
      <c r="AD1997">
        <v>-0.155906399999999</v>
      </c>
      <c r="AE1997">
        <v>-0.55750000000000399</v>
      </c>
      <c r="AF1997">
        <v>0.11442981602503199</v>
      </c>
      <c r="AG1997">
        <v>-0.155906399999999</v>
      </c>
      <c r="AH1997">
        <v>0.52157339760808896</v>
      </c>
      <c r="AI1997">
        <v>106.27629075912201</v>
      </c>
      <c r="AJ1997">
        <v>77.625731033894695</v>
      </c>
      <c r="AK1997">
        <v>0.55627313205738005</v>
      </c>
      <c r="AL1997">
        <v>88.765384936442899</v>
      </c>
      <c r="AM1997">
        <v>85.164649275943802</v>
      </c>
      <c r="AN1997">
        <v>0.99999998351625996</v>
      </c>
    </row>
    <row r="1998" spans="1:40" x14ac:dyDescent="0.25">
      <c r="A1998" t="str">
        <f>"20190312153926232"</f>
        <v>20190312153926232</v>
      </c>
      <c r="B1998" t="str">
        <f>"1552376366218061"</f>
        <v>1552376366218061</v>
      </c>
      <c r="C1998" t="s">
        <v>40</v>
      </c>
      <c r="D1998">
        <v>4.3472790000000003</v>
      </c>
      <c r="E1998">
        <v>0.53912059999999995</v>
      </c>
      <c r="F1998" t="s">
        <v>41</v>
      </c>
      <c r="G1998">
        <v>-190.8639</v>
      </c>
      <c r="H1998">
        <v>0.98984110000000003</v>
      </c>
      <c r="I1998">
        <v>318.5881</v>
      </c>
      <c r="J1998">
        <v>-190.71559999999999</v>
      </c>
      <c r="K1998">
        <v>1.1087450000000001</v>
      </c>
      <c r="L1998">
        <v>319.13760000000002</v>
      </c>
      <c r="M1998">
        <v>-2.2854889999999999E-2</v>
      </c>
      <c r="N1998">
        <v>0</v>
      </c>
      <c r="O1998">
        <v>-0.99963040000000003</v>
      </c>
      <c r="P1998">
        <v>-0.1079666</v>
      </c>
      <c r="Q1998">
        <v>7.6073969999999897E-3</v>
      </c>
      <c r="R1998">
        <v>-0.99412579999999995</v>
      </c>
      <c r="S1998">
        <v>-0.58677669999999904</v>
      </c>
      <c r="T1998">
        <v>-0.44763779999999997</v>
      </c>
      <c r="U1998">
        <v>-2.9581300000000001</v>
      </c>
      <c r="V1998">
        <v>8.5300920000000002E-2</v>
      </c>
      <c r="W1998">
        <v>2.1968330000000001E-2</v>
      </c>
      <c r="X1998">
        <v>0.99611300000000003</v>
      </c>
      <c r="Y1998">
        <v>0.16998379999999999</v>
      </c>
      <c r="Z1998">
        <v>0.14707500000000001</v>
      </c>
      <c r="AA1998">
        <v>0.97440979999999999</v>
      </c>
      <c r="AB1998">
        <v>24</v>
      </c>
      <c r="AC1998">
        <v>-0.14830000000000601</v>
      </c>
      <c r="AD1998">
        <v>-0.11890390000000001</v>
      </c>
      <c r="AE1998">
        <v>-0.54950000000002297</v>
      </c>
      <c r="AF1998">
        <v>0.130026279361457</v>
      </c>
      <c r="AG1998">
        <v>-0.11890390000000001</v>
      </c>
      <c r="AH1998">
        <v>0.52963102698727804</v>
      </c>
      <c r="AI1998">
        <v>102.29965143261801</v>
      </c>
      <c r="AJ1998">
        <v>76.206486759788604</v>
      </c>
      <c r="AK1998">
        <v>0.55817022090702095</v>
      </c>
      <c r="AL1998">
        <v>88.741206120499598</v>
      </c>
      <c r="AM1998">
        <v>85.105486659108806</v>
      </c>
      <c r="AN1998">
        <v>0.99999998162241699</v>
      </c>
    </row>
    <row r="1999" spans="1:40" x14ac:dyDescent="0.25">
      <c r="A1999" t="str">
        <f>"20190312153926255"</f>
        <v>20190312153926255</v>
      </c>
      <c r="B1999" t="str">
        <f>"1552376366248308"</f>
        <v>1552376366248308</v>
      </c>
      <c r="C1999" t="s">
        <v>40</v>
      </c>
      <c r="D1999">
        <v>4.3151999999999999</v>
      </c>
      <c r="E1999">
        <v>0.54186309999999904</v>
      </c>
      <c r="F1999" t="s">
        <v>41</v>
      </c>
      <c r="G1999">
        <v>-190.8783</v>
      </c>
      <c r="H1999">
        <v>1.011212</v>
      </c>
      <c r="I1999">
        <v>318.3673</v>
      </c>
      <c r="J1999">
        <v>-190.72399999999999</v>
      </c>
      <c r="K1999">
        <v>1.108689</v>
      </c>
      <c r="L1999">
        <v>318.8972</v>
      </c>
      <c r="M1999">
        <v>-2.5419310000000001E-2</v>
      </c>
      <c r="N1999">
        <v>0</v>
      </c>
      <c r="O1999">
        <v>-0.99956809999999996</v>
      </c>
      <c r="P1999">
        <v>-0.1120343</v>
      </c>
      <c r="Q1999">
        <v>7.6582419999999896E-3</v>
      </c>
      <c r="R1999">
        <v>-0.99367479999999997</v>
      </c>
      <c r="S1999">
        <v>-0.62278750000000005</v>
      </c>
      <c r="T1999">
        <v>-0.37393910000000002</v>
      </c>
      <c r="U1999">
        <v>-2.9529109999999998</v>
      </c>
      <c r="V1999">
        <v>8.6825609999999998E-2</v>
      </c>
      <c r="W1999">
        <v>2.1997880000000001E-2</v>
      </c>
      <c r="X1999">
        <v>0.99598059999999999</v>
      </c>
      <c r="Y1999">
        <v>0.1798535</v>
      </c>
      <c r="Z1999">
        <v>0.1232129</v>
      </c>
      <c r="AA1999">
        <v>0.97594639999999999</v>
      </c>
      <c r="AB1999">
        <v>24</v>
      </c>
      <c r="AC1999">
        <v>-0.15429999999997701</v>
      </c>
      <c r="AD1999">
        <v>-9.7476999999999994E-2</v>
      </c>
      <c r="AE1999">
        <v>-0.52989999999999704</v>
      </c>
      <c r="AF1999">
        <v>0.136520360108983</v>
      </c>
      <c r="AG1999">
        <v>-9.7476999999999994E-2</v>
      </c>
      <c r="AH1999">
        <v>0.51750822277963204</v>
      </c>
      <c r="AI1999">
        <v>100.32200725549799</v>
      </c>
      <c r="AJ1999">
        <v>75.221860418295506</v>
      </c>
      <c r="AK1999">
        <v>0.54401685166713298</v>
      </c>
      <c r="AL1999">
        <v>88.739512611864598</v>
      </c>
      <c r="AM1999">
        <v>85.017778405561302</v>
      </c>
      <c r="AN1999">
        <v>0.99999997442636201</v>
      </c>
    </row>
    <row r="2000" spans="1:40" x14ac:dyDescent="0.25">
      <c r="A2000" t="str">
        <f>"20190312153926278"</f>
        <v>20190312153926278</v>
      </c>
      <c r="B2000" t="str">
        <f>"1552376366267830"</f>
        <v>1552376366267830</v>
      </c>
      <c r="C2000" t="s">
        <v>40</v>
      </c>
      <c r="D2000">
        <v>4.329269</v>
      </c>
      <c r="E2000">
        <v>0.54281349999999995</v>
      </c>
      <c r="F2000" t="s">
        <v>41</v>
      </c>
      <c r="G2000">
        <v>-190.89150000000001</v>
      </c>
      <c r="H2000">
        <v>1.029209</v>
      </c>
      <c r="I2000">
        <v>318.1472</v>
      </c>
      <c r="J2000">
        <v>-190.73320000000001</v>
      </c>
      <c r="K2000">
        <v>1.1086419999999999</v>
      </c>
      <c r="L2000">
        <v>318.65559999999999</v>
      </c>
      <c r="M2000">
        <v>-2.8080549999999999E-2</v>
      </c>
      <c r="N2000">
        <v>0</v>
      </c>
      <c r="O2000">
        <v>-0.99949699999999997</v>
      </c>
      <c r="P2000">
        <v>-0.11612359999999999</v>
      </c>
      <c r="Q2000">
        <v>7.4604839999999999E-3</v>
      </c>
      <c r="R2000">
        <v>-0.99320699999999995</v>
      </c>
      <c r="S2000">
        <v>-0.6581726</v>
      </c>
      <c r="T2000">
        <v>-0.31234079999999997</v>
      </c>
      <c r="U2000">
        <v>-2.947327</v>
      </c>
      <c r="V2000">
        <v>8.8275599999999996E-2</v>
      </c>
      <c r="W2000">
        <v>2.1780500000000001E-2</v>
      </c>
      <c r="X2000">
        <v>0.99585800000000002</v>
      </c>
      <c r="Y2000">
        <v>0.18928829999999999</v>
      </c>
      <c r="Z2000">
        <v>0.10311439999999999</v>
      </c>
      <c r="AA2000">
        <v>0.97649240000000004</v>
      </c>
      <c r="AB2000">
        <v>23</v>
      </c>
      <c r="AC2000">
        <v>-0.158299999999996</v>
      </c>
      <c r="AD2000">
        <v>-7.9432999999999795E-2</v>
      </c>
      <c r="AE2000">
        <v>-0.50839999999999397</v>
      </c>
      <c r="AF2000">
        <v>0.140825951031264</v>
      </c>
      <c r="AG2000">
        <v>-7.9432999999999795E-2</v>
      </c>
      <c r="AH2000">
        <v>0.50148517002517201</v>
      </c>
      <c r="AI2000">
        <v>98.670619743057898</v>
      </c>
      <c r="AJ2000">
        <v>74.314313947889303</v>
      </c>
      <c r="AK2000">
        <v>0.52690504431826801</v>
      </c>
      <c r="AL2000">
        <v>88.751970665389706</v>
      </c>
      <c r="AM2000">
        <v>84.934384135459197</v>
      </c>
      <c r="AN2000">
        <v>1.0000000639497999</v>
      </c>
    </row>
    <row r="2001" spans="1:40" x14ac:dyDescent="0.25">
      <c r="A2001" t="str">
        <f>"20190312153926300"</f>
        <v>20190312153926300</v>
      </c>
      <c r="B2001" t="str">
        <f>"1552376366287367"</f>
        <v>1552376366287367</v>
      </c>
      <c r="C2001" t="s">
        <v>40</v>
      </c>
      <c r="D2001">
        <v>4.2574100000000001</v>
      </c>
      <c r="E2001">
        <v>0.54346810000000001</v>
      </c>
      <c r="F2001" t="s">
        <v>42</v>
      </c>
      <c r="G2001">
        <v>-193.32749999999999</v>
      </c>
      <c r="H2001" s="1">
        <v>-4.1333610000000001E-6</v>
      </c>
      <c r="I2001">
        <v>307.39839999999998</v>
      </c>
      <c r="J2001">
        <v>-190.74279999999999</v>
      </c>
      <c r="K2001">
        <v>1.1086020000000001</v>
      </c>
      <c r="L2001">
        <v>318.42360000000002</v>
      </c>
      <c r="M2001">
        <v>-3.0713560000000001E-2</v>
      </c>
      <c r="N2001">
        <v>0</v>
      </c>
      <c r="O2001">
        <v>-0.99941979999999997</v>
      </c>
      <c r="P2001">
        <v>-0.1197973</v>
      </c>
      <c r="Q2001">
        <v>7.1642320000000004E-3</v>
      </c>
      <c r="R2001">
        <v>-0.99277289999999996</v>
      </c>
      <c r="S2001">
        <v>-0.67831419999999998</v>
      </c>
      <c r="T2001">
        <v>-0.28987810000000003</v>
      </c>
      <c r="U2001">
        <v>-2.9434200000000001</v>
      </c>
      <c r="V2001">
        <v>8.9337420000000001E-2</v>
      </c>
      <c r="W2001">
        <v>2.1467770000000001E-2</v>
      </c>
      <c r="X2001">
        <v>0.99577000000000004</v>
      </c>
      <c r="Y2001">
        <v>0.19349530000000001</v>
      </c>
      <c r="Z2001">
        <v>9.5771549999999997E-2</v>
      </c>
      <c r="AA2001">
        <v>0.97641560000000005</v>
      </c>
      <c r="AB2001">
        <v>23</v>
      </c>
      <c r="AC2001">
        <v>-2.58469999999999</v>
      </c>
      <c r="AD2001">
        <v>-1.108606133361</v>
      </c>
      <c r="AE2001">
        <v>-11.0252</v>
      </c>
      <c r="AF2001">
        <v>2.2235104366723299</v>
      </c>
      <c r="AG2001">
        <v>-1.108606133361</v>
      </c>
      <c r="AH2001">
        <v>10.9940249896792</v>
      </c>
      <c r="AI2001">
        <v>95.644554555980704</v>
      </c>
      <c r="AJ2001">
        <v>78.566319913148604</v>
      </c>
      <c r="AK2001">
        <v>11.2712728515731</v>
      </c>
      <c r="AL2001">
        <v>88.769892844095196</v>
      </c>
      <c r="AM2001">
        <v>84.873324670143901</v>
      </c>
      <c r="AN2001">
        <v>0.99999996633051402</v>
      </c>
    </row>
    <row r="2002" spans="1:40" x14ac:dyDescent="0.25">
      <c r="A2002" t="str">
        <f>"20190312153926320"</f>
        <v>20190312153926320</v>
      </c>
      <c r="B2002" t="str">
        <f>"1552376366307845"</f>
        <v>1552376366307845</v>
      </c>
      <c r="C2002" t="s">
        <v>40</v>
      </c>
      <c r="D2002">
        <v>4.2868529999999998</v>
      </c>
      <c r="E2002">
        <v>0.54394629999999999</v>
      </c>
      <c r="F2002" t="s">
        <v>42</v>
      </c>
      <c r="G2002">
        <v>-193.48750000000001</v>
      </c>
      <c r="H2002" s="1">
        <v>-3.9605210000000004E-6</v>
      </c>
      <c r="I2002">
        <v>306.80709999999999</v>
      </c>
      <c r="J2002">
        <v>-190.75229999999999</v>
      </c>
      <c r="K2002">
        <v>1.1085780000000001</v>
      </c>
      <c r="L2002">
        <v>318.20830000000001</v>
      </c>
      <c r="M2002">
        <v>-3.3203780000000002E-2</v>
      </c>
      <c r="N2002">
        <v>0</v>
      </c>
      <c r="O2002">
        <v>-0.99934009999999995</v>
      </c>
      <c r="P2002">
        <v>-0.1244411</v>
      </c>
      <c r="Q2002">
        <v>7.1482890000000004E-3</v>
      </c>
      <c r="R2002">
        <v>-0.99220180000000002</v>
      </c>
      <c r="S2002">
        <v>-0.69465639999999995</v>
      </c>
      <c r="T2002">
        <v>-0.28057490000000002</v>
      </c>
      <c r="U2002">
        <v>-2.9400019999999998</v>
      </c>
      <c r="V2002">
        <v>9.1516849999999997E-2</v>
      </c>
      <c r="W2002">
        <v>2.1431539999999999E-2</v>
      </c>
      <c r="X2002">
        <v>0.99557289999999998</v>
      </c>
      <c r="Y2002">
        <v>0.19651170000000001</v>
      </c>
      <c r="Z2002">
        <v>9.273286E-2</v>
      </c>
      <c r="AA2002">
        <v>0.97610640000000004</v>
      </c>
      <c r="AB2002">
        <v>23</v>
      </c>
      <c r="AC2002">
        <v>-2.7352000000000198</v>
      </c>
      <c r="AD2002">
        <v>-1.1085819605210001</v>
      </c>
      <c r="AE2002">
        <v>-11.401199999999999</v>
      </c>
      <c r="AF2002">
        <v>2.3342198438564798</v>
      </c>
      <c r="AG2002">
        <v>-1.1085819605210001</v>
      </c>
      <c r="AH2002">
        <v>11.3839695121505</v>
      </c>
      <c r="AI2002">
        <v>95.449310949240896</v>
      </c>
      <c r="AJ2002">
        <v>78.4124293426717</v>
      </c>
      <c r="AK2002">
        <v>11.6735726363534</v>
      </c>
      <c r="AL2002">
        <v>88.771969216299595</v>
      </c>
      <c r="AM2002">
        <v>84.747914049752097</v>
      </c>
      <c r="AN2002">
        <v>1.00000002197755</v>
      </c>
    </row>
    <row r="2003" spans="1:40" x14ac:dyDescent="0.25">
      <c r="A2003" t="str">
        <f>"20190312153926354"</f>
        <v>20190312153926354</v>
      </c>
      <c r="B2003" t="str">
        <f>"1552376366347862"</f>
        <v>1552376366347862</v>
      </c>
      <c r="C2003" t="s">
        <v>40</v>
      </c>
      <c r="D2003">
        <v>4.2343529999999996</v>
      </c>
      <c r="E2003">
        <v>0.54463830000000002</v>
      </c>
      <c r="F2003" t="s">
        <v>42</v>
      </c>
      <c r="G2003">
        <v>-193.77269999999999</v>
      </c>
      <c r="H2003" s="1">
        <v>-3.6522960000000001E-6</v>
      </c>
      <c r="I2003">
        <v>305.76280000000003</v>
      </c>
      <c r="J2003">
        <v>-190.76900000000001</v>
      </c>
      <c r="K2003">
        <v>1.108555</v>
      </c>
      <c r="L2003">
        <v>317.85700000000003</v>
      </c>
      <c r="M2003">
        <v>-3.7341529999999998E-2</v>
      </c>
      <c r="N2003">
        <v>0</v>
      </c>
      <c r="O2003">
        <v>-0.99919420000000003</v>
      </c>
      <c r="P2003">
        <v>-0.132314299999999</v>
      </c>
      <c r="Q2003">
        <v>7.0294479999999998E-3</v>
      </c>
      <c r="R2003">
        <v>-0.99118320000000004</v>
      </c>
      <c r="S2003">
        <v>-0.71255489999999999</v>
      </c>
      <c r="T2003">
        <v>-0.26153159999999998</v>
      </c>
      <c r="U2003">
        <v>-2.936096</v>
      </c>
      <c r="V2003">
        <v>9.5298960000000002E-2</v>
      </c>
      <c r="W2003">
        <v>2.1281850000000001E-2</v>
      </c>
      <c r="X2003">
        <v>0.99522120000000003</v>
      </c>
      <c r="Y2003">
        <v>0.19850209999999999</v>
      </c>
      <c r="Z2003">
        <v>8.6503010000000005E-2</v>
      </c>
      <c r="AA2003">
        <v>0.97627560000000002</v>
      </c>
      <c r="AB2003">
        <v>23</v>
      </c>
      <c r="AC2003">
        <v>-3.0036999999999798</v>
      </c>
      <c r="AD2003">
        <v>-1.108558652296</v>
      </c>
      <c r="AE2003">
        <v>-12.094200000000001</v>
      </c>
      <c r="AF2003">
        <v>2.52991929461471</v>
      </c>
      <c r="AG2003">
        <v>-1.108558652296</v>
      </c>
      <c r="AH2003">
        <v>12.102167618183399</v>
      </c>
      <c r="AI2003">
        <v>95.123543422522303</v>
      </c>
      <c r="AJ2003">
        <v>78.192539007693298</v>
      </c>
      <c r="AK2003">
        <v>12.4133740369591</v>
      </c>
      <c r="AL2003">
        <v>88.780547779107707</v>
      </c>
      <c r="AM2003">
        <v>84.5302305055354</v>
      </c>
      <c r="AN2003">
        <v>1.00000002292297</v>
      </c>
    </row>
    <row r="2004" spans="1:40" x14ac:dyDescent="0.25">
      <c r="A2004" t="str">
        <f>"20190312153926377"</f>
        <v>20190312153926377</v>
      </c>
      <c r="B2004" t="str">
        <f>"1552376366367381"</f>
        <v>1552376366367381</v>
      </c>
      <c r="C2004" t="s">
        <v>40</v>
      </c>
      <c r="D2004">
        <v>4.3460330000000003</v>
      </c>
      <c r="E2004">
        <v>0.54483029999999999</v>
      </c>
      <c r="F2004" t="s">
        <v>42</v>
      </c>
      <c r="G2004">
        <v>-193.9059</v>
      </c>
      <c r="H2004" s="1">
        <v>-3.5558220000000001E-6</v>
      </c>
      <c r="I2004">
        <v>305.45530000000002</v>
      </c>
      <c r="J2004">
        <v>-190.78120000000001</v>
      </c>
      <c r="K2004">
        <v>1.108552</v>
      </c>
      <c r="L2004">
        <v>317.6191</v>
      </c>
      <c r="M2004">
        <v>-4.017834E-2</v>
      </c>
      <c r="N2004">
        <v>0</v>
      </c>
      <c r="O2004">
        <v>-0.99908399999999997</v>
      </c>
      <c r="P2004">
        <v>-0.1375489</v>
      </c>
      <c r="Q2004">
        <v>6.3550869999999997E-3</v>
      </c>
      <c r="R2004">
        <v>-0.99047499999999999</v>
      </c>
      <c r="S2004">
        <v>-0.74099729999999997</v>
      </c>
      <c r="T2004">
        <v>-0.26186999999999999</v>
      </c>
      <c r="U2004">
        <v>-2.9295960000000001</v>
      </c>
      <c r="V2004">
        <v>9.7728280000000001E-2</v>
      </c>
      <c r="W2004">
        <v>2.0589630000000001E-2</v>
      </c>
      <c r="X2004">
        <v>0.99500010000000005</v>
      </c>
      <c r="Y2004">
        <v>0.20513780000000001</v>
      </c>
      <c r="Z2004">
        <v>8.6626019999999998E-2</v>
      </c>
      <c r="AA2004">
        <v>0.97489199999999998</v>
      </c>
      <c r="AB2004">
        <v>23</v>
      </c>
      <c r="AC2004">
        <v>-3.12469999999999</v>
      </c>
      <c r="AD2004">
        <v>-1.1085555558219999</v>
      </c>
      <c r="AE2004">
        <v>-12.163799999999901</v>
      </c>
      <c r="AF2004">
        <v>2.6130424183471002</v>
      </c>
      <c r="AG2004">
        <v>-1.1085555558219999</v>
      </c>
      <c r="AH2004">
        <v>12.1845980004809</v>
      </c>
      <c r="AI2004">
        <v>95.083505420483704</v>
      </c>
      <c r="AJ2004">
        <v>77.895994644826899</v>
      </c>
      <c r="AK2004">
        <v>12.5108478742949</v>
      </c>
      <c r="AL2004">
        <v>88.820217700830796</v>
      </c>
      <c r="AM2004">
        <v>84.390437198208801</v>
      </c>
      <c r="AN2004">
        <v>0.99999997428765197</v>
      </c>
    </row>
    <row r="2005" spans="1:40" x14ac:dyDescent="0.25">
      <c r="A2005" t="str">
        <f>"20190312153926399"</f>
        <v>20190312153926399</v>
      </c>
      <c r="B2005" t="str">
        <f>"1552376366387877"</f>
        <v>1552376366387877</v>
      </c>
      <c r="C2005" t="s">
        <v>40</v>
      </c>
      <c r="D2005">
        <v>4.3399650000000003</v>
      </c>
      <c r="E2005">
        <v>0.54482280000000005</v>
      </c>
      <c r="F2005" t="s">
        <v>42</v>
      </c>
      <c r="G2005">
        <v>-194.06729999999999</v>
      </c>
      <c r="H2005" s="1">
        <v>-3.3787380000000001E-6</v>
      </c>
      <c r="I2005">
        <v>304.94240000000002</v>
      </c>
      <c r="J2005">
        <v>-190.79339999999999</v>
      </c>
      <c r="K2005">
        <v>1.1085560000000001</v>
      </c>
      <c r="L2005">
        <v>317.39409999999998</v>
      </c>
      <c r="M2005">
        <v>-4.287469E-2</v>
      </c>
      <c r="N2005">
        <v>0</v>
      </c>
      <c r="O2005">
        <v>-0.99897210000000003</v>
      </c>
      <c r="P2005">
        <v>-0.14251140000000001</v>
      </c>
      <c r="Q2005">
        <v>6.110463E-3</v>
      </c>
      <c r="R2005">
        <v>-0.9897743</v>
      </c>
      <c r="S2005">
        <v>-0.75827029999999995</v>
      </c>
      <c r="T2005">
        <v>-0.25580049999999999</v>
      </c>
      <c r="U2005">
        <v>-2.9251710000000002</v>
      </c>
      <c r="V2005">
        <v>0.1000286</v>
      </c>
      <c r="W2005">
        <v>2.0328860000000001E-2</v>
      </c>
      <c r="X2005">
        <v>0.99477680000000002</v>
      </c>
      <c r="Y2005">
        <v>0.2082908</v>
      </c>
      <c r="Z2005">
        <v>8.4652790000000006E-2</v>
      </c>
      <c r="AA2005">
        <v>0.97439659999999995</v>
      </c>
      <c r="AB2005">
        <v>23</v>
      </c>
      <c r="AC2005">
        <v>-3.27389999999999</v>
      </c>
      <c r="AD2005">
        <v>-1.1085593787379999</v>
      </c>
      <c r="AE2005">
        <v>-12.451699999999899</v>
      </c>
      <c r="AF2005">
        <v>2.7168267889525599</v>
      </c>
      <c r="AG2005">
        <v>-1.1085593787379999</v>
      </c>
      <c r="AH2005">
        <v>12.4880487929731</v>
      </c>
      <c r="AI2005">
        <v>94.957464437416306</v>
      </c>
      <c r="AJ2005">
        <v>77.726317475268004</v>
      </c>
      <c r="AK2005">
        <v>12.8281492957104</v>
      </c>
      <c r="AL2005">
        <v>88.8351618011</v>
      </c>
      <c r="AM2005">
        <v>84.257991628949398</v>
      </c>
      <c r="AN2005">
        <v>0.99999993259254705</v>
      </c>
    </row>
    <row r="2006" spans="1:40" x14ac:dyDescent="0.25">
      <c r="A2006" t="str">
        <f>"20190312153926421"</f>
        <v>20190312153926421</v>
      </c>
      <c r="B2006" t="str">
        <f>"1552376366417623"</f>
        <v>1552376366417623</v>
      </c>
      <c r="C2006" t="s">
        <v>40</v>
      </c>
      <c r="D2006">
        <v>4.3824959999999997</v>
      </c>
      <c r="E2006">
        <v>0.544894199999999</v>
      </c>
      <c r="F2006" t="s">
        <v>42</v>
      </c>
      <c r="G2006">
        <v>-194.2242</v>
      </c>
      <c r="H2006" s="1">
        <v>-3.201278E-6</v>
      </c>
      <c r="I2006">
        <v>304.4314</v>
      </c>
      <c r="J2006">
        <v>-190.8065</v>
      </c>
      <c r="K2006">
        <v>1.1085609999999999</v>
      </c>
      <c r="L2006">
        <v>317.16410000000002</v>
      </c>
      <c r="M2006">
        <v>-4.563482E-2</v>
      </c>
      <c r="N2006">
        <v>0</v>
      </c>
      <c r="O2006">
        <v>-0.99884980000000001</v>
      </c>
      <c r="P2006">
        <v>-0.1469435</v>
      </c>
      <c r="Q2006">
        <v>6.4870529999999996E-3</v>
      </c>
      <c r="R2006">
        <v>-0.98912370000000005</v>
      </c>
      <c r="S2006">
        <v>-0.77313229999999999</v>
      </c>
      <c r="T2006">
        <v>-0.2498165</v>
      </c>
      <c r="U2006">
        <v>-2.921173</v>
      </c>
      <c r="V2006">
        <v>0.10173740000000001</v>
      </c>
      <c r="W2006">
        <v>2.069261E-2</v>
      </c>
      <c r="X2006">
        <v>0.99459609999999998</v>
      </c>
      <c r="Y2006">
        <v>0.21059259999999999</v>
      </c>
      <c r="Z2006">
        <v>8.2707230000000007E-2</v>
      </c>
      <c r="AA2006">
        <v>0.97406890000000002</v>
      </c>
      <c r="AB2006">
        <v>23</v>
      </c>
      <c r="AC2006">
        <v>-3.4176999999999902</v>
      </c>
      <c r="AD2006">
        <v>-1.1085642012779999</v>
      </c>
      <c r="AE2006">
        <v>-12.732699999999999</v>
      </c>
      <c r="AF2006">
        <v>2.8131302667801998</v>
      </c>
      <c r="AG2006">
        <v>-1.1085642012779999</v>
      </c>
      <c r="AH2006">
        <v>12.7850152905553</v>
      </c>
      <c r="AI2006">
        <v>94.840394615397898</v>
      </c>
      <c r="AJ2006">
        <v>77.590756651106005</v>
      </c>
      <c r="AK2006">
        <v>13.137702708843801</v>
      </c>
      <c r="AL2006">
        <v>88.814316204740393</v>
      </c>
      <c r="AM2006">
        <v>84.159518877357399</v>
      </c>
      <c r="AN2006">
        <v>1.00000004240129</v>
      </c>
    </row>
    <row r="2007" spans="1:40" x14ac:dyDescent="0.25">
      <c r="A2007" t="str">
        <f>"20190312153926444"</f>
        <v>20190312153926444</v>
      </c>
      <c r="B2007" t="str">
        <f>"1552376366438121"</f>
        <v>1552376366438121</v>
      </c>
      <c r="C2007" t="s">
        <v>40</v>
      </c>
      <c r="D2007">
        <v>4.3141369999999997</v>
      </c>
      <c r="E2007">
        <v>0.54483599999999999</v>
      </c>
      <c r="F2007" t="s">
        <v>42</v>
      </c>
      <c r="G2007">
        <v>-194.41829999999999</v>
      </c>
      <c r="H2007" s="1">
        <v>-2.9722530000000001E-6</v>
      </c>
      <c r="I2007">
        <v>303.77719999999999</v>
      </c>
      <c r="J2007">
        <v>-190.82079999999999</v>
      </c>
      <c r="K2007">
        <v>1.1085719999999999</v>
      </c>
      <c r="L2007">
        <v>316.92509999999999</v>
      </c>
      <c r="M2007">
        <v>-4.8500069999999999E-2</v>
      </c>
      <c r="N2007">
        <v>0</v>
      </c>
      <c r="O2007">
        <v>-0.99871480000000001</v>
      </c>
      <c r="P2007">
        <v>-0.15152950000000001</v>
      </c>
      <c r="Q2007">
        <v>7.3756680000000002E-3</v>
      </c>
      <c r="R2007">
        <v>-0.98842540000000001</v>
      </c>
      <c r="S2007">
        <v>-0.78717040000000005</v>
      </c>
      <c r="T2007">
        <v>-0.24160789999999999</v>
      </c>
      <c r="U2007">
        <v>-2.9176329999999999</v>
      </c>
      <c r="V2007">
        <v>0.1035008</v>
      </c>
      <c r="W2007">
        <v>2.1568360000000002E-2</v>
      </c>
      <c r="X2007">
        <v>0.99439549999999999</v>
      </c>
      <c r="Y2007">
        <v>0.2125118</v>
      </c>
      <c r="Z2007">
        <v>8.0019190000000004E-2</v>
      </c>
      <c r="AA2007">
        <v>0.97387659999999998</v>
      </c>
      <c r="AB2007">
        <v>23</v>
      </c>
      <c r="AC2007">
        <v>-3.5974999999999899</v>
      </c>
      <c r="AD2007">
        <v>-1.1085749722529901</v>
      </c>
      <c r="AE2007">
        <v>-13.1478999999999</v>
      </c>
      <c r="AF2007">
        <v>2.9361030421304601</v>
      </c>
      <c r="AG2007">
        <v>-1.1085749722529901</v>
      </c>
      <c r="AH2007">
        <v>13.2194884125255</v>
      </c>
      <c r="AI2007">
        <v>94.680040215576199</v>
      </c>
      <c r="AJ2007">
        <v>77.477639943332505</v>
      </c>
      <c r="AK2007">
        <v>13.586924355129399</v>
      </c>
      <c r="AL2007">
        <v>88.764128180758405</v>
      </c>
      <c r="AM2007">
        <v>84.057814684416499</v>
      </c>
      <c r="AN2007">
        <v>1.0000000100869799</v>
      </c>
    </row>
    <row r="2008" spans="1:40" x14ac:dyDescent="0.25">
      <c r="A2008" t="str">
        <f>"20190312153926467"</f>
        <v>20190312153926467</v>
      </c>
      <c r="B2008" t="str">
        <f>"1552376366457639"</f>
        <v>1552376366457639</v>
      </c>
      <c r="C2008" t="s">
        <v>40</v>
      </c>
      <c r="D2008">
        <v>4.2939059999999998</v>
      </c>
      <c r="E2008">
        <v>0.54467219999999905</v>
      </c>
      <c r="F2008" t="s">
        <v>42</v>
      </c>
      <c r="G2008">
        <v>-194.613</v>
      </c>
      <c r="H2008" s="1">
        <v>-2.7411389999999999E-6</v>
      </c>
      <c r="I2008">
        <v>303.11770000000001</v>
      </c>
      <c r="J2008">
        <v>-190.83539999999999</v>
      </c>
      <c r="K2008">
        <v>1.108587</v>
      </c>
      <c r="L2008">
        <v>316.69150000000002</v>
      </c>
      <c r="M2008">
        <v>-5.1295470000000003E-2</v>
      </c>
      <c r="N2008">
        <v>0</v>
      </c>
      <c r="O2008">
        <v>-0.9985754</v>
      </c>
      <c r="P2008">
        <v>-0.1555706</v>
      </c>
      <c r="Q2008">
        <v>7.1779469999999996E-3</v>
      </c>
      <c r="R2008">
        <v>-0.98779919999999999</v>
      </c>
      <c r="S2008">
        <v>-0.80038450000000005</v>
      </c>
      <c r="T2008">
        <v>-0.23397780000000001</v>
      </c>
      <c r="U2008">
        <v>-2.914215</v>
      </c>
      <c r="V2008">
        <v>0.10478270000000001</v>
      </c>
      <c r="W2008">
        <v>2.1360509999999999E-2</v>
      </c>
      <c r="X2008">
        <v>0.99426570000000003</v>
      </c>
      <c r="Y2008">
        <v>0.21422720000000001</v>
      </c>
      <c r="Z2008">
        <v>7.7518989999999996E-2</v>
      </c>
      <c r="AA2008">
        <v>0.97370299999999999</v>
      </c>
      <c r="AB2008">
        <v>23</v>
      </c>
      <c r="AC2008">
        <v>-3.7776000000000001</v>
      </c>
      <c r="AD2008">
        <v>-1.108589741139</v>
      </c>
      <c r="AE2008">
        <v>-13.5738</v>
      </c>
      <c r="AF2008">
        <v>3.05734896129219</v>
      </c>
      <c r="AG2008">
        <v>-1.108589741139</v>
      </c>
      <c r="AH2008">
        <v>13.665124251010401</v>
      </c>
      <c r="AI2008">
        <v>94.526563719965793</v>
      </c>
      <c r="AJ2008">
        <v>77.3886922062526</v>
      </c>
      <c r="AK2008">
        <v>14.046778088972101</v>
      </c>
      <c r="AL2008">
        <v>88.776039820677397</v>
      </c>
      <c r="AM2008">
        <v>83.983975085108696</v>
      </c>
      <c r="AN2008">
        <v>0.99999998390161904</v>
      </c>
    </row>
    <row r="2009" spans="1:40" x14ac:dyDescent="0.25">
      <c r="A2009" t="str">
        <f>"20190312153926488"</f>
        <v>20190312153926488</v>
      </c>
      <c r="B2009" t="str">
        <f>"1552376366478135"</f>
        <v>1552376366478135</v>
      </c>
      <c r="C2009" t="s">
        <v>40</v>
      </c>
      <c r="D2009">
        <v>4.2887729999999999</v>
      </c>
      <c r="E2009">
        <v>0.54468799999999995</v>
      </c>
      <c r="F2009" t="s">
        <v>42</v>
      </c>
      <c r="G2009">
        <v>-194.72980000000001</v>
      </c>
      <c r="H2009" s="1">
        <v>-2.5955010000000002E-6</v>
      </c>
      <c r="I2009">
        <v>302.70580000000001</v>
      </c>
      <c r="J2009">
        <v>-190.8501</v>
      </c>
      <c r="K2009">
        <v>1.108603</v>
      </c>
      <c r="L2009">
        <v>316.46789999999999</v>
      </c>
      <c r="M2009">
        <v>-5.3968420000000003E-2</v>
      </c>
      <c r="N2009">
        <v>0</v>
      </c>
      <c r="O2009">
        <v>-0.99843440000000006</v>
      </c>
      <c r="P2009">
        <v>-0.15929289999999999</v>
      </c>
      <c r="Q2009">
        <v>6.6187889999999999E-3</v>
      </c>
      <c r="R2009">
        <v>-0.987209</v>
      </c>
      <c r="S2009">
        <v>-0.81059269999999894</v>
      </c>
      <c r="T2009">
        <v>-0.23075090000000001</v>
      </c>
      <c r="U2009">
        <v>-2.9111020000000001</v>
      </c>
      <c r="V2009">
        <v>0.1058659</v>
      </c>
      <c r="W2009">
        <v>2.0793200000000001E-2</v>
      </c>
      <c r="X2009">
        <v>0.99416300000000002</v>
      </c>
      <c r="Y2009">
        <v>0.21507180000000001</v>
      </c>
      <c r="Z2009">
        <v>7.6476349999999998E-2</v>
      </c>
      <c r="AA2009">
        <v>0.97359929999999995</v>
      </c>
      <c r="AB2009">
        <v>23</v>
      </c>
      <c r="AC2009">
        <v>-3.8797000000000099</v>
      </c>
      <c r="AD2009">
        <v>-1.1086055955009999</v>
      </c>
      <c r="AE2009">
        <v>-13.762099999999901</v>
      </c>
      <c r="AF2009">
        <v>3.1125350359459798</v>
      </c>
      <c r="AG2009">
        <v>-1.1086055955009999</v>
      </c>
      <c r="AH2009">
        <v>13.8680773388679</v>
      </c>
      <c r="AI2009">
        <v>94.459983985127494</v>
      </c>
      <c r="AJ2009">
        <v>77.350223624513404</v>
      </c>
      <c r="AK2009">
        <v>14.256242485072599</v>
      </c>
      <c r="AL2009">
        <v>88.808551541536502</v>
      </c>
      <c r="AM2009">
        <v>83.921623896684807</v>
      </c>
      <c r="AN2009">
        <v>1.0000000082590199</v>
      </c>
    </row>
    <row r="2010" spans="1:40" x14ac:dyDescent="0.25">
      <c r="A2010" t="str">
        <f>"20190312153926511"</f>
        <v>20190312153926511</v>
      </c>
      <c r="B2010" t="str">
        <f>"1552376366507415"</f>
        <v>1552376366507415</v>
      </c>
      <c r="C2010" t="s">
        <v>40</v>
      </c>
      <c r="D2010">
        <v>4.245673</v>
      </c>
      <c r="E2010">
        <v>0.54539579999999999</v>
      </c>
      <c r="F2010" t="s">
        <v>42</v>
      </c>
      <c r="G2010">
        <v>-194.85409999999999</v>
      </c>
      <c r="H2010" s="1">
        <v>-2.454173E-6</v>
      </c>
      <c r="I2010">
        <v>302.29919999999998</v>
      </c>
      <c r="J2010">
        <v>-190.86539999999999</v>
      </c>
      <c r="K2010">
        <v>1.108608</v>
      </c>
      <c r="L2010">
        <v>316.24180000000001</v>
      </c>
      <c r="M2010">
        <v>-5.6677129999999999E-2</v>
      </c>
      <c r="N2010">
        <v>0</v>
      </c>
      <c r="O2010">
        <v>-0.99828430000000001</v>
      </c>
      <c r="P2010">
        <v>-0.16265550000000001</v>
      </c>
      <c r="Q2010">
        <v>6.2963130000000004E-3</v>
      </c>
      <c r="R2010">
        <v>-0.98666290000000001</v>
      </c>
      <c r="S2010">
        <v>-0.82173159999999901</v>
      </c>
      <c r="T2010">
        <v>-0.22751640000000001</v>
      </c>
      <c r="U2010">
        <v>-2.9078059999999999</v>
      </c>
      <c r="V2010">
        <v>0.1065541</v>
      </c>
      <c r="W2010">
        <v>2.0463769999999999E-2</v>
      </c>
      <c r="X2010">
        <v>0.99409630000000004</v>
      </c>
      <c r="Y2010">
        <v>0.2161865</v>
      </c>
      <c r="Z2010">
        <v>7.5427880000000003E-2</v>
      </c>
      <c r="AA2010">
        <v>0.97343420000000003</v>
      </c>
      <c r="AB2010">
        <v>23</v>
      </c>
      <c r="AC2010">
        <v>-3.9886999999999899</v>
      </c>
      <c r="AD2010">
        <v>-1.108610454173</v>
      </c>
      <c r="AE2010">
        <v>-13.942600000000001</v>
      </c>
      <c r="AF2010">
        <v>3.17342967009699</v>
      </c>
      <c r="AG2010">
        <v>-1.108610454173</v>
      </c>
      <c r="AH2010">
        <v>14.064085913340101</v>
      </c>
      <c r="AI2010">
        <v>94.396963213274205</v>
      </c>
      <c r="AJ2010">
        <v>77.284682781807206</v>
      </c>
      <c r="AK2010">
        <v>14.460227715633099</v>
      </c>
      <c r="AL2010">
        <v>88.827430495204894</v>
      </c>
      <c r="AM2010">
        <v>83.882001654955502</v>
      </c>
      <c r="AN2010">
        <v>0.99999999789155603</v>
      </c>
    </row>
    <row r="2011" spans="1:40" x14ac:dyDescent="0.25">
      <c r="A2011" t="str">
        <f>"20190312153926532"</f>
        <v>20190312153926532</v>
      </c>
      <c r="B2011" t="str">
        <f>"1552376366527912"</f>
        <v>1552376366527912</v>
      </c>
      <c r="C2011" t="s">
        <v>40</v>
      </c>
      <c r="D2011">
        <v>4.1991839999999998</v>
      </c>
      <c r="E2011">
        <v>0.5457632</v>
      </c>
      <c r="F2011" t="s">
        <v>42</v>
      </c>
      <c r="G2011">
        <v>-195.1317</v>
      </c>
      <c r="H2011" s="1">
        <v>-2.167461E-6</v>
      </c>
      <c r="I2011">
        <v>301.45870000000002</v>
      </c>
      <c r="J2011">
        <v>-190.8811</v>
      </c>
      <c r="K2011">
        <v>1.1086100000000001</v>
      </c>
      <c r="L2011">
        <v>316.0204</v>
      </c>
      <c r="M2011">
        <v>-5.9346070000000001E-2</v>
      </c>
      <c r="N2011">
        <v>0</v>
      </c>
      <c r="O2011">
        <v>-0.99812940000000006</v>
      </c>
      <c r="P2011">
        <v>-0.1656601</v>
      </c>
      <c r="Q2011">
        <v>6.9621519999999897E-3</v>
      </c>
      <c r="R2011">
        <v>-0.98615830000000004</v>
      </c>
      <c r="S2011">
        <v>-0.83801270000000005</v>
      </c>
      <c r="T2011">
        <v>-0.2177644</v>
      </c>
      <c r="U2011">
        <v>-2.9038390000000001</v>
      </c>
      <c r="V2011">
        <v>0.1069273</v>
      </c>
      <c r="W2011">
        <v>2.1122140000000001E-2</v>
      </c>
      <c r="X2011">
        <v>0.99404250000000005</v>
      </c>
      <c r="Y2011">
        <v>0.21903529999999999</v>
      </c>
      <c r="Z2011">
        <v>7.2212449999999997E-2</v>
      </c>
      <c r="AA2011">
        <v>0.97304109999999999</v>
      </c>
      <c r="AB2011">
        <v>23</v>
      </c>
      <c r="AC2011">
        <v>-4.2505999999999897</v>
      </c>
      <c r="AD2011">
        <v>-1.1086121674609899</v>
      </c>
      <c r="AE2011">
        <v>-14.561699999999901</v>
      </c>
      <c r="AF2011">
        <v>3.3608831907152199</v>
      </c>
      <c r="AG2011">
        <v>-1.1086121674609899</v>
      </c>
      <c r="AH2011">
        <v>14.7097478850712</v>
      </c>
      <c r="AI2011">
        <v>94.202111823932896</v>
      </c>
      <c r="AJ2011">
        <v>77.129976938201693</v>
      </c>
      <c r="AK2011">
        <v>15.129482463119199</v>
      </c>
      <c r="AL2011">
        <v>88.789700568428202</v>
      </c>
      <c r="AM2011">
        <v>83.860407314958394</v>
      </c>
      <c r="AN2011">
        <v>1.00000004204485</v>
      </c>
    </row>
    <row r="2012" spans="1:40" x14ac:dyDescent="0.25">
      <c r="A2012" t="str">
        <f>"20190312153926555"</f>
        <v>20190312153926555</v>
      </c>
      <c r="B2012" t="str">
        <f>"1552376366547431"</f>
        <v>1552376366547431</v>
      </c>
      <c r="C2012" t="s">
        <v>40</v>
      </c>
      <c r="D2012">
        <v>4.213876</v>
      </c>
      <c r="E2012">
        <v>0.54614019999999996</v>
      </c>
      <c r="F2012" t="s">
        <v>42</v>
      </c>
      <c r="G2012">
        <v>-195.41810000000001</v>
      </c>
      <c r="H2012" s="1">
        <v>-1.851177E-6</v>
      </c>
      <c r="I2012">
        <v>300.54379999999998</v>
      </c>
      <c r="J2012">
        <v>-190.8982</v>
      </c>
      <c r="K2012">
        <v>1.108603</v>
      </c>
      <c r="L2012">
        <v>315.7878</v>
      </c>
      <c r="M2012">
        <v>-6.218655E-2</v>
      </c>
      <c r="N2012">
        <v>0</v>
      </c>
      <c r="O2012">
        <v>-0.99795659999999997</v>
      </c>
      <c r="P2012">
        <v>-0.1685642</v>
      </c>
      <c r="Q2012">
        <v>8.3326040000000004E-3</v>
      </c>
      <c r="R2012">
        <v>-0.98565570000000002</v>
      </c>
      <c r="S2012">
        <v>-0.85035709999999998</v>
      </c>
      <c r="T2012">
        <v>-0.2077851</v>
      </c>
      <c r="U2012">
        <v>-2.900757</v>
      </c>
      <c r="V2012">
        <v>0.1070334</v>
      </c>
      <c r="W2012">
        <v>2.2483670000000001E-2</v>
      </c>
      <c r="X2012">
        <v>0.99400120000000003</v>
      </c>
      <c r="Y2012">
        <v>0.220417</v>
      </c>
      <c r="Z2012">
        <v>6.8920830000000002E-2</v>
      </c>
      <c r="AA2012">
        <v>0.97296769999999999</v>
      </c>
      <c r="AB2012">
        <v>23</v>
      </c>
      <c r="AC2012">
        <v>-4.5198999999999998</v>
      </c>
      <c r="AD2012">
        <v>-1.1086048511769999</v>
      </c>
      <c r="AE2012">
        <v>-15.244</v>
      </c>
      <c r="AF2012">
        <v>3.5458384113297101</v>
      </c>
      <c r="AG2012">
        <v>-1.1086048511769999</v>
      </c>
      <c r="AH2012">
        <v>15.4206310212586</v>
      </c>
      <c r="AI2012">
        <v>94.007745775746997</v>
      </c>
      <c r="AJ2012">
        <v>77.050435220352796</v>
      </c>
      <c r="AK2012">
        <v>15.8618358284632</v>
      </c>
      <c r="AL2012">
        <v>88.711672072585301</v>
      </c>
      <c r="AM2012">
        <v>83.8541084283423</v>
      </c>
      <c r="AN2012">
        <v>1.0000000248668299</v>
      </c>
    </row>
    <row r="2013" spans="1:40" x14ac:dyDescent="0.25">
      <c r="A2013" t="str">
        <f>"20190312153926578"</f>
        <v>20190312153926578</v>
      </c>
      <c r="B2013" t="str">
        <f>"1552376366567927"</f>
        <v>1552376366567927</v>
      </c>
      <c r="C2013" t="s">
        <v>40</v>
      </c>
      <c r="D2013">
        <v>4.1853179999999996</v>
      </c>
      <c r="E2013">
        <v>0.5464021</v>
      </c>
      <c r="F2013" t="s">
        <v>54</v>
      </c>
      <c r="G2013">
        <v>-195.75790000000001</v>
      </c>
      <c r="H2013" s="1">
        <v>2.7444810000000001E-8</v>
      </c>
      <c r="I2013">
        <v>299.46050000000002</v>
      </c>
      <c r="J2013">
        <v>-190.9161</v>
      </c>
      <c r="K2013">
        <v>1.108573</v>
      </c>
      <c r="L2013">
        <v>315.55520000000001</v>
      </c>
      <c r="M2013">
        <v>-6.5080509999999994E-2</v>
      </c>
      <c r="N2013">
        <v>0</v>
      </c>
      <c r="O2013">
        <v>-0.99777210000000005</v>
      </c>
      <c r="P2013">
        <v>-0.17160889999999901</v>
      </c>
      <c r="Q2013">
        <v>7.7767740000000002E-3</v>
      </c>
      <c r="R2013">
        <v>-0.98513490000000004</v>
      </c>
      <c r="S2013">
        <v>-0.86250309999999897</v>
      </c>
      <c r="T2013">
        <v>-0.1967583</v>
      </c>
      <c r="U2013">
        <v>-2.8978269999999999</v>
      </c>
      <c r="V2013">
        <v>0.1072208</v>
      </c>
      <c r="W2013">
        <v>2.1914940000000001E-2</v>
      </c>
      <c r="X2013">
        <v>0.99399369999999998</v>
      </c>
      <c r="Y2013">
        <v>0.22167429999999999</v>
      </c>
      <c r="Z2013">
        <v>6.527732E-2</v>
      </c>
      <c r="AA2013">
        <v>0.97293339999999995</v>
      </c>
      <c r="AB2013">
        <v>23</v>
      </c>
      <c r="AC2013">
        <v>-4.8418000000000001</v>
      </c>
      <c r="AD2013">
        <v>-1.1085729725551801</v>
      </c>
      <c r="AE2013">
        <v>-16.0946999999999</v>
      </c>
      <c r="AF2013">
        <v>3.7675783814640198</v>
      </c>
      <c r="AG2013">
        <v>-1.1085729725551801</v>
      </c>
      <c r="AH2013">
        <v>16.3047792754911</v>
      </c>
      <c r="AI2013">
        <v>93.790028127075104</v>
      </c>
      <c r="AJ2013">
        <v>76.988912600821806</v>
      </c>
      <c r="AK2013">
        <v>16.771088459561501</v>
      </c>
      <c r="AL2013">
        <v>88.744265927168399</v>
      </c>
      <c r="AM2013">
        <v>83.843384330153597</v>
      </c>
      <c r="AN2013">
        <v>1.00000002009376</v>
      </c>
    </row>
    <row r="2014" spans="1:40" x14ac:dyDescent="0.25">
      <c r="A2014" t="str">
        <f>"20190312153926600"</f>
        <v>20190312153926600</v>
      </c>
      <c r="B2014" t="str">
        <f>"1552376366587447"</f>
        <v>1552376366587447</v>
      </c>
      <c r="C2014" t="s">
        <v>40</v>
      </c>
      <c r="D2014">
        <v>4.1535070000000003</v>
      </c>
      <c r="E2014">
        <v>0.5466491</v>
      </c>
      <c r="F2014" t="s">
        <v>54</v>
      </c>
      <c r="G2014">
        <v>-195.96979999999999</v>
      </c>
      <c r="H2014" s="1">
        <v>1.3941249999999999E-7</v>
      </c>
      <c r="I2014">
        <v>298.82470000000001</v>
      </c>
      <c r="J2014">
        <v>-190.93360000000001</v>
      </c>
      <c r="K2014">
        <v>1.1085259999999999</v>
      </c>
      <c r="L2014">
        <v>315.3365</v>
      </c>
      <c r="M2014">
        <v>-6.786826E-2</v>
      </c>
      <c r="N2014">
        <v>0</v>
      </c>
      <c r="O2014">
        <v>-0.99758630000000004</v>
      </c>
      <c r="P2014">
        <v>-0.17328279999999999</v>
      </c>
      <c r="Q2014">
        <v>6.36821E-3</v>
      </c>
      <c r="R2014">
        <v>-0.98485160000000005</v>
      </c>
      <c r="S2014">
        <v>-0.87431340000000002</v>
      </c>
      <c r="T2014">
        <v>-0.1917893</v>
      </c>
      <c r="U2014">
        <v>-2.8944700000000001</v>
      </c>
      <c r="V2014">
        <v>0.1061275</v>
      </c>
      <c r="W2014">
        <v>2.0499529999999998E-2</v>
      </c>
      <c r="X2014">
        <v>0.99414119999999995</v>
      </c>
      <c r="Y2014">
        <v>0.22293080000000001</v>
      </c>
      <c r="Z2014">
        <v>6.364264E-2</v>
      </c>
      <c r="AA2014">
        <v>0.97275460000000002</v>
      </c>
      <c r="AB2014">
        <v>23</v>
      </c>
      <c r="AC2014">
        <v>-5.0361999999999796</v>
      </c>
      <c r="AD2014">
        <v>-1.1085258605874999</v>
      </c>
      <c r="AE2014">
        <v>-16.511799999999901</v>
      </c>
      <c r="AF2014">
        <v>3.8878060360046498</v>
      </c>
      <c r="AG2014">
        <v>-1.1085258605874999</v>
      </c>
      <c r="AH2014">
        <v>16.746500321241498</v>
      </c>
      <c r="AI2014">
        <v>93.689305413944496</v>
      </c>
      <c r="AJ2014">
        <v>76.929949702223993</v>
      </c>
      <c r="AK2014">
        <v>17.227569136895799</v>
      </c>
      <c r="AL2014">
        <v>88.825381172195193</v>
      </c>
      <c r="AM2014">
        <v>83.906584166116005</v>
      </c>
      <c r="AN2014">
        <v>1.0000000012619501</v>
      </c>
    </row>
    <row r="2015" spans="1:40" x14ac:dyDescent="0.25">
      <c r="A2015" t="str">
        <f>"20190312153926622"</f>
        <v>20190312153926622</v>
      </c>
      <c r="B2015" t="str">
        <f>"1552376366617704"</f>
        <v>1552376366617704</v>
      </c>
      <c r="C2015" t="s">
        <v>40</v>
      </c>
      <c r="D2015">
        <v>4.1405139999999996</v>
      </c>
      <c r="E2015">
        <v>0.54695039999999995</v>
      </c>
      <c r="F2015" t="s">
        <v>54</v>
      </c>
      <c r="G2015">
        <v>-196.07849999999999</v>
      </c>
      <c r="H2015" s="1">
        <v>2.044603E-7</v>
      </c>
      <c r="I2015">
        <v>298.4554</v>
      </c>
      <c r="J2015">
        <v>-190.95269999999999</v>
      </c>
      <c r="K2015">
        <v>1.108479</v>
      </c>
      <c r="L2015">
        <v>315.10770000000002</v>
      </c>
      <c r="M2015">
        <v>-7.0845630000000007E-2</v>
      </c>
      <c r="N2015">
        <v>0</v>
      </c>
      <c r="O2015">
        <v>-0.99737929999999997</v>
      </c>
      <c r="P2015">
        <v>-0.17523039999999901</v>
      </c>
      <c r="Q2015">
        <v>4.7133000000000001E-3</v>
      </c>
      <c r="R2015">
        <v>-0.98451639999999996</v>
      </c>
      <c r="S2015">
        <v>-0.88150019999999996</v>
      </c>
      <c r="T2015">
        <v>-0.18992819999999999</v>
      </c>
      <c r="U2015">
        <v>-2.8923030000000001</v>
      </c>
      <c r="V2015">
        <v>0.10512009999999999</v>
      </c>
      <c r="W2015">
        <v>1.8838069999999998E-2</v>
      </c>
      <c r="X2015">
        <v>0.99428110000000003</v>
      </c>
      <c r="Y2015">
        <v>0.22244749999999999</v>
      </c>
      <c r="Z2015">
        <v>6.3034220000000002E-2</v>
      </c>
      <c r="AA2015">
        <v>0.97290480000000001</v>
      </c>
      <c r="AB2015">
        <v>23</v>
      </c>
      <c r="AC2015">
        <v>-5.1257999999999901</v>
      </c>
      <c r="AD2015">
        <v>-1.1084787955397</v>
      </c>
      <c r="AE2015">
        <v>-16.6523</v>
      </c>
      <c r="AF2015">
        <v>3.91719278346973</v>
      </c>
      <c r="AG2015">
        <v>-1.1084787955397</v>
      </c>
      <c r="AH2015">
        <v>16.905203666254799</v>
      </c>
      <c r="AI2015">
        <v>93.6549642474954</v>
      </c>
      <c r="AJ2015">
        <v>76.953933858661699</v>
      </c>
      <c r="AK2015">
        <v>17.388474215427401</v>
      </c>
      <c r="AL2015">
        <v>88.920594254058898</v>
      </c>
      <c r="AM2015">
        <v>83.964839036210293</v>
      </c>
      <c r="AN2015">
        <v>1.00000000706127</v>
      </c>
    </row>
    <row r="2016" spans="1:40" x14ac:dyDescent="0.25">
      <c r="A2016" t="str">
        <f>"20190312153926645"</f>
        <v>20190312153926645</v>
      </c>
      <c r="B2016" t="str">
        <f>"1552376366638200"</f>
        <v>1552376366638200</v>
      </c>
      <c r="C2016" t="s">
        <v>40</v>
      </c>
      <c r="D2016">
        <v>4.1640430000000004</v>
      </c>
      <c r="E2016">
        <v>0.54713420000000001</v>
      </c>
      <c r="F2016" t="s">
        <v>54</v>
      </c>
      <c r="G2016">
        <v>-196.20650000000001</v>
      </c>
      <c r="H2016" s="1">
        <v>2.7636859999999998E-7</v>
      </c>
      <c r="I2016">
        <v>298.0471</v>
      </c>
      <c r="J2016">
        <v>-190.97190000000001</v>
      </c>
      <c r="K2016">
        <v>1.108444</v>
      </c>
      <c r="L2016">
        <v>314.88580000000002</v>
      </c>
      <c r="M2016">
        <v>-7.3793570000000003E-2</v>
      </c>
      <c r="N2016">
        <v>0</v>
      </c>
      <c r="O2016">
        <v>-0.99716559999999999</v>
      </c>
      <c r="P2016">
        <v>-0.17654149999999999</v>
      </c>
      <c r="Q2016">
        <v>4.5207090000000004E-3</v>
      </c>
      <c r="R2016">
        <v>-0.98428289999999996</v>
      </c>
      <c r="S2016">
        <v>-0.88989259999999903</v>
      </c>
      <c r="T2016">
        <v>-0.18775339999999999</v>
      </c>
      <c r="U2016">
        <v>-2.8897089999999999</v>
      </c>
      <c r="V2016">
        <v>0.103505399999999</v>
      </c>
      <c r="W2016">
        <v>1.864356E-2</v>
      </c>
      <c r="X2016">
        <v>0.99445410000000001</v>
      </c>
      <c r="Y2016">
        <v>0.22240550000000001</v>
      </c>
      <c r="Z2016">
        <v>6.2322950000000002E-2</v>
      </c>
      <c r="AA2016">
        <v>0.97296020000000005</v>
      </c>
      <c r="AB2016">
        <v>23</v>
      </c>
      <c r="AC2016">
        <v>-5.2346000000000004</v>
      </c>
      <c r="AD2016">
        <v>-1.1084437236314</v>
      </c>
      <c r="AE2016">
        <v>-16.838699999999999</v>
      </c>
      <c r="AF2016">
        <v>3.9619483369591002</v>
      </c>
      <c r="AG2016">
        <v>-1.1084437236314</v>
      </c>
      <c r="AH2016">
        <v>17.1114877606345</v>
      </c>
      <c r="AI2016">
        <v>93.611046725877202</v>
      </c>
      <c r="AJ2016">
        <v>76.963606096202696</v>
      </c>
      <c r="AK2016">
        <v>17.599110645016498</v>
      </c>
      <c r="AL2016">
        <v>88.931740756544201</v>
      </c>
      <c r="AM2016">
        <v>84.057900143007004</v>
      </c>
      <c r="AN2016">
        <v>0.99999995358271998</v>
      </c>
    </row>
    <row r="2017" spans="1:40" x14ac:dyDescent="0.25">
      <c r="A2017" t="str">
        <f>"20190312153926668"</f>
        <v>20190312153926668</v>
      </c>
      <c r="B2017" t="str">
        <f>"1552376366657719"</f>
        <v>1552376366657719</v>
      </c>
      <c r="C2017" t="s">
        <v>40</v>
      </c>
      <c r="D2017">
        <v>4.1456609999999996</v>
      </c>
      <c r="E2017">
        <v>0.54732329999999996</v>
      </c>
      <c r="F2017" t="s">
        <v>54</v>
      </c>
      <c r="G2017">
        <v>-196.32939999999999</v>
      </c>
      <c r="H2017" s="1">
        <v>3.5557079999999999E-7</v>
      </c>
      <c r="I2017">
        <v>297.59739999999999</v>
      </c>
      <c r="J2017">
        <v>-190.99350000000001</v>
      </c>
      <c r="K2017">
        <v>1.1084160000000001</v>
      </c>
      <c r="L2017">
        <v>314.6463</v>
      </c>
      <c r="M2017">
        <v>-7.7042429999999995E-2</v>
      </c>
      <c r="N2017">
        <v>0</v>
      </c>
      <c r="O2017">
        <v>-0.99691989999999997</v>
      </c>
      <c r="P2017">
        <v>-0.17812639999999999</v>
      </c>
      <c r="Q2017">
        <v>5.1456030000000003E-3</v>
      </c>
      <c r="R2017">
        <v>-0.98399440000000005</v>
      </c>
      <c r="S2017">
        <v>-0.89500429999999997</v>
      </c>
      <c r="T2017">
        <v>-0.1851727</v>
      </c>
      <c r="U2017">
        <v>-2.888153</v>
      </c>
      <c r="V2017">
        <v>0.10187060000000001</v>
      </c>
      <c r="W2017">
        <v>1.92681E-2</v>
      </c>
      <c r="X2017">
        <v>0.99461100000000002</v>
      </c>
      <c r="Y2017">
        <v>0.22096370000000001</v>
      </c>
      <c r="Z2017">
        <v>6.1472949999999998E-2</v>
      </c>
      <c r="AA2017">
        <v>0.97334279999999995</v>
      </c>
      <c r="AB2017">
        <v>23</v>
      </c>
      <c r="AC2017">
        <v>-5.3358999999999801</v>
      </c>
      <c r="AD2017">
        <v>-1.1084156444291999</v>
      </c>
      <c r="AE2017">
        <v>-17.0489</v>
      </c>
      <c r="AF2017">
        <v>3.9910429053428298</v>
      </c>
      <c r="AG2017">
        <v>-1.1084156444291999</v>
      </c>
      <c r="AH2017">
        <v>17.342587542969898</v>
      </c>
      <c r="AI2017">
        <v>93.564058809024502</v>
      </c>
      <c r="AJ2017">
        <v>77.0401826914282</v>
      </c>
      <c r="AK2017">
        <v>17.8303772085359</v>
      </c>
      <c r="AL2017">
        <v>88.895950824667295</v>
      </c>
      <c r="AM2017">
        <v>84.152012174341294</v>
      </c>
      <c r="AN2017">
        <v>0.99999996007148395</v>
      </c>
    </row>
    <row r="2018" spans="1:40" x14ac:dyDescent="0.25">
      <c r="A2018" t="str">
        <f>"20190312153926690"</f>
        <v>20190312153926690</v>
      </c>
      <c r="B2018" t="str">
        <f>"1552376366678215"</f>
        <v>1552376366678215</v>
      </c>
      <c r="C2018" t="s">
        <v>40</v>
      </c>
      <c r="D2018">
        <v>4.1373309999999996</v>
      </c>
      <c r="E2018">
        <v>0.54749360000000002</v>
      </c>
      <c r="F2018" t="s">
        <v>54</v>
      </c>
      <c r="G2018">
        <v>-196.52369999999999</v>
      </c>
      <c r="H2018" s="1">
        <v>4.7302999999999999E-7</v>
      </c>
      <c r="I2018">
        <v>296.93040000000002</v>
      </c>
      <c r="J2018">
        <v>-191.01490000000001</v>
      </c>
      <c r="K2018">
        <v>1.1084099999999999</v>
      </c>
      <c r="L2018">
        <v>314.41649999999998</v>
      </c>
      <c r="M2018">
        <v>-8.0210480000000001E-2</v>
      </c>
      <c r="N2018">
        <v>0</v>
      </c>
      <c r="O2018">
        <v>-0.99667019999999995</v>
      </c>
      <c r="P2018">
        <v>-0.18007770000000001</v>
      </c>
      <c r="Q2018">
        <v>6.4530799999999999E-3</v>
      </c>
      <c r="R2018">
        <v>-0.98363120000000004</v>
      </c>
      <c r="S2018">
        <v>-0.90109249999999996</v>
      </c>
      <c r="T2018">
        <v>-0.18060560000000001</v>
      </c>
      <c r="U2018">
        <v>-2.8866269999999998</v>
      </c>
      <c r="V2018">
        <v>0.1006896</v>
      </c>
      <c r="W2018">
        <v>2.0574849999999999E-2</v>
      </c>
      <c r="X2018">
        <v>0.99470510000000001</v>
      </c>
      <c r="Y2018">
        <v>0.21990889999999999</v>
      </c>
      <c r="Z2018">
        <v>5.9958900000000002E-2</v>
      </c>
      <c r="AA2018">
        <v>0.97367599999999999</v>
      </c>
      <c r="AB2018">
        <v>23</v>
      </c>
      <c r="AC2018">
        <v>-5.5087999999999804</v>
      </c>
      <c r="AD2018">
        <v>-1.1084095269700001</v>
      </c>
      <c r="AE2018">
        <v>-17.486099999999901</v>
      </c>
      <c r="AF2018">
        <v>4.07343793901385</v>
      </c>
      <c r="AG2018">
        <v>-1.1084095269700001</v>
      </c>
      <c r="AH2018">
        <v>17.806570066572402</v>
      </c>
      <c r="AI2018">
        <v>93.472435455250107</v>
      </c>
      <c r="AJ2018">
        <v>77.114709645834395</v>
      </c>
      <c r="AK2018">
        <v>18.300147700448399</v>
      </c>
      <c r="AL2018">
        <v>88.8210647162595</v>
      </c>
      <c r="AM2018">
        <v>84.219890062303406</v>
      </c>
      <c r="AN2018">
        <v>0.99999997798334594</v>
      </c>
    </row>
    <row r="2019" spans="1:40" x14ac:dyDescent="0.25">
      <c r="A2019" t="str">
        <f>"20190312153926711"</f>
        <v>20190312153926711</v>
      </c>
      <c r="B2019" t="str">
        <f>"1552376366707495"</f>
        <v>1552376366707495</v>
      </c>
      <c r="C2019" t="s">
        <v>40</v>
      </c>
      <c r="D2019">
        <v>4.1090109999999997</v>
      </c>
      <c r="E2019">
        <v>0.54765189999999997</v>
      </c>
      <c r="F2019" t="s">
        <v>54</v>
      </c>
      <c r="G2019">
        <v>-196.7722</v>
      </c>
      <c r="H2019" s="1">
        <v>6.3136669999999896E-7</v>
      </c>
      <c r="I2019">
        <v>296.12049999999999</v>
      </c>
      <c r="J2019">
        <v>-191.03460000000001</v>
      </c>
      <c r="K2019">
        <v>1.108411</v>
      </c>
      <c r="L2019">
        <v>314.2131</v>
      </c>
      <c r="M2019">
        <v>-8.3042110000000002E-2</v>
      </c>
      <c r="N2019">
        <v>0</v>
      </c>
      <c r="O2019">
        <v>-0.9964383</v>
      </c>
      <c r="P2019">
        <v>-0.1826197</v>
      </c>
      <c r="Q2019">
        <v>7.5873290000000003E-3</v>
      </c>
      <c r="R2019">
        <v>-0.98315469999999905</v>
      </c>
      <c r="S2019">
        <v>-0.90779109999999996</v>
      </c>
      <c r="T2019">
        <v>-0.17477139999999999</v>
      </c>
      <c r="U2019">
        <v>-2.8848569999999998</v>
      </c>
      <c r="V2019">
        <v>0.1004406</v>
      </c>
      <c r="W2019">
        <v>2.1705180000000001E-2</v>
      </c>
      <c r="X2019">
        <v>0.99470630000000004</v>
      </c>
      <c r="Y2019">
        <v>0.21940000000000001</v>
      </c>
      <c r="Z2019">
        <v>5.8026099999999997E-2</v>
      </c>
      <c r="AA2019">
        <v>0.97390790000000005</v>
      </c>
      <c r="AB2019">
        <v>22</v>
      </c>
      <c r="AC2019">
        <v>-5.73759999999998</v>
      </c>
      <c r="AD2019">
        <v>-1.1084103686333</v>
      </c>
      <c r="AE2019">
        <v>-18.092600000000001</v>
      </c>
      <c r="AF2019">
        <v>4.2008434788476103</v>
      </c>
      <c r="AG2019">
        <v>-1.1084103686333</v>
      </c>
      <c r="AH2019">
        <v>18.443711874406102</v>
      </c>
      <c r="AI2019">
        <v>93.353482559058804</v>
      </c>
      <c r="AJ2019">
        <v>77.168883164613206</v>
      </c>
      <c r="AK2019">
        <v>18.948513587750899</v>
      </c>
      <c r="AL2019">
        <v>88.7562871566073</v>
      </c>
      <c r="AM2019">
        <v>84.234094446399695</v>
      </c>
      <c r="AN2019">
        <v>1.0000000261134401</v>
      </c>
    </row>
    <row r="2020" spans="1:40" x14ac:dyDescent="0.25">
      <c r="A2020" t="str">
        <f>"20190312153926734"</f>
        <v>20190312153926734</v>
      </c>
      <c r="B2020" t="str">
        <f>"1552376366727991"</f>
        <v>1552376366727991</v>
      </c>
      <c r="C2020" t="s">
        <v>40</v>
      </c>
      <c r="D2020">
        <v>4.1308720000000001</v>
      </c>
      <c r="E2020">
        <v>0.54780669999999898</v>
      </c>
      <c r="F2020" t="s">
        <v>54</v>
      </c>
      <c r="G2020">
        <v>-197.13210000000001</v>
      </c>
      <c r="H2020" s="1">
        <v>9.811109999999999E-7</v>
      </c>
      <c r="I2020">
        <v>295.04090000000002</v>
      </c>
      <c r="J2020">
        <v>-191.05770000000001</v>
      </c>
      <c r="K2020">
        <v>1.108411</v>
      </c>
      <c r="L2020">
        <v>313.98180000000002</v>
      </c>
      <c r="M2020">
        <v>-8.6278069999999998E-2</v>
      </c>
      <c r="N2020">
        <v>0</v>
      </c>
      <c r="O2020">
        <v>-0.99616320000000003</v>
      </c>
      <c r="P2020">
        <v>-0.1866332</v>
      </c>
      <c r="Q2020">
        <v>8.501191E-3</v>
      </c>
      <c r="R2020">
        <v>-0.98239299999999996</v>
      </c>
      <c r="S2020">
        <v>-0.91673280000000001</v>
      </c>
      <c r="T2020">
        <v>-0.1666455</v>
      </c>
      <c r="U2020">
        <v>-2.8824770000000002</v>
      </c>
      <c r="V2020">
        <v>0.10127709999999999</v>
      </c>
      <c r="W2020">
        <v>2.2610000000000002E-2</v>
      </c>
      <c r="X2020">
        <v>0.99460130000000002</v>
      </c>
      <c r="Y2020">
        <v>0.21925410000000001</v>
      </c>
      <c r="Z2020">
        <v>5.5333019999999997E-2</v>
      </c>
      <c r="AA2020">
        <v>0.97409749999999995</v>
      </c>
      <c r="AB2020">
        <v>22</v>
      </c>
      <c r="AC2020">
        <v>-6.07439999999999</v>
      </c>
      <c r="AD2020">
        <v>-1.108410018889</v>
      </c>
      <c r="AE2020">
        <v>-18.940899999999999</v>
      </c>
      <c r="AF2020">
        <v>4.4037100854884601</v>
      </c>
      <c r="AG2020">
        <v>-1.108410018889</v>
      </c>
      <c r="AH2020">
        <v>19.334363647002</v>
      </c>
      <c r="AI2020">
        <v>93.199329286600701</v>
      </c>
      <c r="AJ2020">
        <v>77.168864139531294</v>
      </c>
      <c r="AK2020">
        <v>19.860484710135399</v>
      </c>
      <c r="AL2020">
        <v>88.704432030073093</v>
      </c>
      <c r="AM2020">
        <v>84.185792257986293</v>
      </c>
      <c r="AN2020">
        <v>1.0000000045230499</v>
      </c>
    </row>
    <row r="2021" spans="1:40" x14ac:dyDescent="0.25">
      <c r="A2021" t="str">
        <f>"20190312153926757"</f>
        <v>20190312153926757</v>
      </c>
      <c r="B2021" t="str">
        <f>"1552376366747512"</f>
        <v>1552376366747512</v>
      </c>
      <c r="C2021" t="s">
        <v>40</v>
      </c>
      <c r="D2021">
        <v>4.1062289999999999</v>
      </c>
      <c r="E2021">
        <v>0.54791579999999995</v>
      </c>
      <c r="F2021" t="s">
        <v>54</v>
      </c>
      <c r="G2021">
        <v>-197.44919999999999</v>
      </c>
      <c r="H2021" s="1">
        <v>1.1779199999999999E-6</v>
      </c>
      <c r="I2021">
        <v>294.19130000000001</v>
      </c>
      <c r="J2021">
        <v>-191.08099999999999</v>
      </c>
      <c r="K2021">
        <v>1.108422</v>
      </c>
      <c r="L2021">
        <v>313.75510000000003</v>
      </c>
      <c r="M2021">
        <v>-8.9454199999999998E-2</v>
      </c>
      <c r="N2021">
        <v>0</v>
      </c>
      <c r="O2021">
        <v>-0.99588299999999996</v>
      </c>
      <c r="P2021">
        <v>-0.19066340000000001</v>
      </c>
      <c r="Q2021">
        <v>8.689413E-3</v>
      </c>
      <c r="R2021">
        <v>-0.98161699999999996</v>
      </c>
      <c r="S2021">
        <v>-0.92965699999999996</v>
      </c>
      <c r="T2021">
        <v>-0.16121839999999901</v>
      </c>
      <c r="U2021">
        <v>-2.8785400000000001</v>
      </c>
      <c r="V2021">
        <v>0.1021881</v>
      </c>
      <c r="W2021">
        <v>2.2790669999999999E-2</v>
      </c>
      <c r="X2021">
        <v>0.99450400000000005</v>
      </c>
      <c r="Y2021">
        <v>0.22052340000000001</v>
      </c>
      <c r="Z2021">
        <v>5.3539719999999999E-2</v>
      </c>
      <c r="AA2021">
        <v>0.97391119999999998</v>
      </c>
      <c r="AB2021">
        <v>22</v>
      </c>
      <c r="AC2021">
        <v>-6.3681999999999999</v>
      </c>
      <c r="AD2021">
        <v>-1.10842082207999</v>
      </c>
      <c r="AE2021">
        <v>-19.563800000000001</v>
      </c>
      <c r="AF2021">
        <v>4.5791210693916602</v>
      </c>
      <c r="AG2021">
        <v>-1.10842082207999</v>
      </c>
      <c r="AH2021">
        <v>19.9970336562791</v>
      </c>
      <c r="AI2021">
        <v>93.092727903774502</v>
      </c>
      <c r="AJ2021">
        <v>77.102207978730704</v>
      </c>
      <c r="AK2021">
        <v>20.5445443253757</v>
      </c>
      <c r="AL2021">
        <v>88.694077746129395</v>
      </c>
      <c r="AM2021">
        <v>84.133285924661806</v>
      </c>
      <c r="AN2021">
        <v>1.0000000142183201</v>
      </c>
    </row>
    <row r="2022" spans="1:40" x14ac:dyDescent="0.25">
      <c r="A2022" t="str">
        <f>"20190312153926779"</f>
        <v>20190312153926779</v>
      </c>
      <c r="B2022" t="str">
        <f>"1552376366768007"</f>
        <v>1552376366768007</v>
      </c>
      <c r="C2022" t="s">
        <v>40</v>
      </c>
      <c r="D2022">
        <v>4.1233690000000003</v>
      </c>
      <c r="E2022">
        <v>0.54804119999999901</v>
      </c>
      <c r="F2022" t="s">
        <v>54</v>
      </c>
      <c r="G2022">
        <v>-197.71260000000001</v>
      </c>
      <c r="H2022" s="1">
        <v>1.2701970000000001E-6</v>
      </c>
      <c r="I2022">
        <v>293.53460000000001</v>
      </c>
      <c r="J2022">
        <v>-191.10470000000001</v>
      </c>
      <c r="K2022">
        <v>1.10843799999999</v>
      </c>
      <c r="L2022">
        <v>313.53210000000001</v>
      </c>
      <c r="M2022">
        <v>-9.2570929999999996E-2</v>
      </c>
      <c r="N2022">
        <v>0</v>
      </c>
      <c r="O2022">
        <v>-0.99559810000000004</v>
      </c>
      <c r="P2022">
        <v>-0.19515160000000001</v>
      </c>
      <c r="Q2022">
        <v>8.7889270000000002E-3</v>
      </c>
      <c r="R2022">
        <v>-0.98073370000000004</v>
      </c>
      <c r="S2022">
        <v>-0.94273379999999996</v>
      </c>
      <c r="T2022">
        <v>-0.15756989999999901</v>
      </c>
      <c r="U2022">
        <v>-2.8744809999999998</v>
      </c>
      <c r="V2022">
        <v>0.1036243</v>
      </c>
      <c r="W2022">
        <v>2.2879340000000001E-2</v>
      </c>
      <c r="X2022">
        <v>0.99435340000000005</v>
      </c>
      <c r="Y2022">
        <v>0.22189819999999999</v>
      </c>
      <c r="Z2022">
        <v>5.2334869999999999E-2</v>
      </c>
      <c r="AA2022">
        <v>0.97366430000000004</v>
      </c>
      <c r="AB2022">
        <v>22</v>
      </c>
      <c r="AC2022">
        <v>-6.6078999999999999</v>
      </c>
      <c r="AD2022">
        <v>-1.10843672980299</v>
      </c>
      <c r="AE2022">
        <v>-19.997499999999999</v>
      </c>
      <c r="AF2022">
        <v>4.7150736079725597</v>
      </c>
      <c r="AG2022">
        <v>-1.10843672980299</v>
      </c>
      <c r="AH2022">
        <v>20.466688485837899</v>
      </c>
      <c r="AI2022">
        <v>93.021021340212698</v>
      </c>
      <c r="AJ2022">
        <v>77.026670579182493</v>
      </c>
      <c r="AK2022">
        <v>21.0320205564968</v>
      </c>
      <c r="AL2022">
        <v>88.688996080013496</v>
      </c>
      <c r="AM2022">
        <v>84.0505250506517</v>
      </c>
      <c r="AN2022">
        <v>1.00000007192044</v>
      </c>
    </row>
    <row r="2023" spans="1:40" x14ac:dyDescent="0.25">
      <c r="A2023" t="str">
        <f>"20190312153926801"</f>
        <v>20190312153926801</v>
      </c>
      <c r="B2023" t="str">
        <f>"1552376366787527"</f>
        <v>1552376366787527</v>
      </c>
      <c r="C2023" t="s">
        <v>40</v>
      </c>
      <c r="D2023">
        <v>4.1158359999999998</v>
      </c>
      <c r="E2023">
        <v>0.54813979999999995</v>
      </c>
      <c r="F2023" t="s">
        <v>54</v>
      </c>
      <c r="G2023">
        <v>-197.97139999999999</v>
      </c>
      <c r="H2023" s="1">
        <v>1.3509329999999999E-6</v>
      </c>
      <c r="I2023">
        <v>292.94589999999999</v>
      </c>
      <c r="J2023">
        <v>-191.12790000000001</v>
      </c>
      <c r="K2023">
        <v>1.1084590000000001</v>
      </c>
      <c r="L2023">
        <v>313.3202</v>
      </c>
      <c r="M2023">
        <v>-9.5517690000000002E-2</v>
      </c>
      <c r="N2023">
        <v>0</v>
      </c>
      <c r="O2023">
        <v>-0.99531999999999998</v>
      </c>
      <c r="P2023">
        <v>-0.1995623</v>
      </c>
      <c r="Q2023">
        <v>8.4937099999999998E-3</v>
      </c>
      <c r="R2023">
        <v>-0.97984859999999896</v>
      </c>
      <c r="S2023">
        <v>-0.95724489999999995</v>
      </c>
      <c r="T2023">
        <v>-0.15452149999999901</v>
      </c>
      <c r="U2023">
        <v>-2.869812</v>
      </c>
      <c r="V2023">
        <v>0.1051523</v>
      </c>
      <c r="W2023">
        <v>2.2574239999999999E-2</v>
      </c>
      <c r="X2023">
        <v>0.99419990000000003</v>
      </c>
      <c r="Y2023">
        <v>0.2239342</v>
      </c>
      <c r="Z2023">
        <v>5.1330809999999998E-2</v>
      </c>
      <c r="AA2023">
        <v>0.97325159999999999</v>
      </c>
      <c r="AB2023">
        <v>22</v>
      </c>
      <c r="AC2023">
        <v>-6.8434999999999704</v>
      </c>
      <c r="AD2023">
        <v>-1.108457649067</v>
      </c>
      <c r="AE2023">
        <v>-20.374300000000002</v>
      </c>
      <c r="AF2023">
        <v>4.8529802571526997</v>
      </c>
      <c r="AG2023">
        <v>-1.108457649067</v>
      </c>
      <c r="AH2023">
        <v>20.879333994892601</v>
      </c>
      <c r="AI2023">
        <v>92.960146972541807</v>
      </c>
      <c r="AJ2023">
        <v>76.915080992724498</v>
      </c>
      <c r="AK2023">
        <v>21.4645448078073</v>
      </c>
      <c r="AL2023">
        <v>88.706481472617199</v>
      </c>
      <c r="AM2023">
        <v>83.962514595830996</v>
      </c>
      <c r="AN2023">
        <v>1.00000002183343</v>
      </c>
    </row>
    <row r="2024" spans="1:40" x14ac:dyDescent="0.25">
      <c r="A2024" t="str">
        <f>"20190312153926822"</f>
        <v>20190312153926822</v>
      </c>
      <c r="B2024" t="str">
        <f>"1552376366817783"</f>
        <v>1552376366817783</v>
      </c>
      <c r="C2024" t="s">
        <v>40</v>
      </c>
      <c r="D2024">
        <v>4.130204</v>
      </c>
      <c r="E2024">
        <v>0.54826209999999997</v>
      </c>
      <c r="F2024" t="s">
        <v>54</v>
      </c>
      <c r="G2024">
        <v>-198.15520000000001</v>
      </c>
      <c r="H2024" s="1">
        <v>1.3973430000000001E-6</v>
      </c>
      <c r="I2024">
        <v>292.58980000000003</v>
      </c>
      <c r="J2024">
        <v>-191.15260000000001</v>
      </c>
      <c r="K2024">
        <v>1.108474</v>
      </c>
      <c r="L2024">
        <v>313.1003</v>
      </c>
      <c r="M2024">
        <v>-9.8558220000000002E-2</v>
      </c>
      <c r="N2024">
        <v>0</v>
      </c>
      <c r="O2024">
        <v>-0.99502349999999995</v>
      </c>
      <c r="P2024">
        <v>-0.20352980000000001</v>
      </c>
      <c r="Q2024">
        <v>8.1458030000000001E-3</v>
      </c>
      <c r="R2024">
        <v>-0.97903470000000004</v>
      </c>
      <c r="S2024">
        <v>-0.97128300000000001</v>
      </c>
      <c r="T2024">
        <v>-0.15320610000000001</v>
      </c>
      <c r="U2024">
        <v>-2.865265</v>
      </c>
      <c r="V2024">
        <v>0.10613930000000001</v>
      </c>
      <c r="W2024">
        <v>2.222004E-2</v>
      </c>
      <c r="X2024">
        <v>0.99410299999999996</v>
      </c>
      <c r="Y2024">
        <v>0.2257102</v>
      </c>
      <c r="Z2024">
        <v>5.0899270000000003E-2</v>
      </c>
      <c r="AA2024">
        <v>0.9728639</v>
      </c>
      <c r="AB2024">
        <v>22</v>
      </c>
      <c r="AC2024">
        <v>-7.0026000000000002</v>
      </c>
      <c r="AD2024">
        <v>-1.108472602657</v>
      </c>
      <c r="AE2024">
        <v>-20.510499999999901</v>
      </c>
      <c r="AF2024">
        <v>4.9338974326839304</v>
      </c>
      <c r="AG2024">
        <v>-1.108472602657</v>
      </c>
      <c r="AH2024">
        <v>21.045803833153599</v>
      </c>
      <c r="AI2024">
        <v>92.935511474445207</v>
      </c>
      <c r="AJ2024">
        <v>76.806067597101602</v>
      </c>
      <c r="AK2024">
        <v>21.644812643464199</v>
      </c>
      <c r="AL2024">
        <v>88.726780737119199</v>
      </c>
      <c r="AM2024">
        <v>83.905679342404497</v>
      </c>
      <c r="AN2024">
        <v>1.0000000278955401</v>
      </c>
    </row>
    <row r="2025" spans="1:40" x14ac:dyDescent="0.25">
      <c r="A2025" t="str">
        <f>"20190312153926846"</f>
        <v>20190312153926846</v>
      </c>
      <c r="B2025" t="str">
        <f>"1552376366838280"</f>
        <v>1552376366838280</v>
      </c>
      <c r="C2025" t="s">
        <v>40</v>
      </c>
      <c r="D2025">
        <v>4.1318289999999998</v>
      </c>
      <c r="E2025">
        <v>0.54834530000000004</v>
      </c>
      <c r="F2025" t="s">
        <v>54</v>
      </c>
      <c r="G2025">
        <v>-198.40039999999999</v>
      </c>
      <c r="H2025" s="1">
        <v>1.475565E-6</v>
      </c>
      <c r="I2025">
        <v>292.0222</v>
      </c>
      <c r="J2025">
        <v>-191.17939999999999</v>
      </c>
      <c r="K2025">
        <v>1.108503</v>
      </c>
      <c r="L2025">
        <v>312.8689</v>
      </c>
      <c r="M2025">
        <v>-0.1017364</v>
      </c>
      <c r="N2025">
        <v>0</v>
      </c>
      <c r="O2025">
        <v>-0.99470369999999997</v>
      </c>
      <c r="P2025">
        <v>-0.20670240000000001</v>
      </c>
      <c r="Q2025">
        <v>8.2702690000000002E-3</v>
      </c>
      <c r="R2025">
        <v>-0.97836880000000004</v>
      </c>
      <c r="S2025">
        <v>-0.98376459999999999</v>
      </c>
      <c r="T2025">
        <v>-0.1504557</v>
      </c>
      <c r="U2025">
        <v>-2.860992</v>
      </c>
      <c r="V2025">
        <v>0.1061853</v>
      </c>
      <c r="W2025">
        <v>2.2344940000000001E-2</v>
      </c>
      <c r="X2025">
        <v>0.99409530000000002</v>
      </c>
      <c r="Y2025">
        <v>0.22685540000000001</v>
      </c>
      <c r="Z2025">
        <v>4.9993139999999998E-2</v>
      </c>
      <c r="AA2025">
        <v>0.97264450000000002</v>
      </c>
      <c r="AB2025">
        <v>22</v>
      </c>
      <c r="AC2025">
        <v>-7.2210000000000001</v>
      </c>
      <c r="AD2025">
        <v>-1.1085015244350001</v>
      </c>
      <c r="AE2025">
        <v>-20.846699999999998</v>
      </c>
      <c r="AF2025">
        <v>5.0496813133579099</v>
      </c>
      <c r="AG2025">
        <v>-1.1085015244350001</v>
      </c>
      <c r="AH2025">
        <v>21.4191546146685</v>
      </c>
      <c r="AI2025">
        <v>92.883659561609505</v>
      </c>
      <c r="AJ2025">
        <v>76.734439724853303</v>
      </c>
      <c r="AK2025">
        <v>22.0342515507839</v>
      </c>
      <c r="AL2025">
        <v>88.719622732568794</v>
      </c>
      <c r="AM2025">
        <v>83.903011127819298</v>
      </c>
      <c r="AN2025">
        <v>1.0000000398808899</v>
      </c>
    </row>
    <row r="2026" spans="1:40" x14ac:dyDescent="0.25">
      <c r="A2026" t="str">
        <f>"20190312153926870"</f>
        <v>20190312153926870</v>
      </c>
      <c r="B2026" t="str">
        <f>"1552376366857801"</f>
        <v>1552376366857801</v>
      </c>
      <c r="C2026" t="s">
        <v>40</v>
      </c>
      <c r="D2026">
        <v>4.0988350000000002</v>
      </c>
      <c r="E2026">
        <v>0.54840610000000001</v>
      </c>
      <c r="F2026" t="s">
        <v>54</v>
      </c>
      <c r="G2026">
        <v>-198.5932</v>
      </c>
      <c r="H2026" s="1">
        <v>1.542153E-6</v>
      </c>
      <c r="I2026">
        <v>291.54700000000003</v>
      </c>
      <c r="J2026">
        <v>-191.20679999999999</v>
      </c>
      <c r="K2026">
        <v>1.1085290000000001</v>
      </c>
      <c r="L2026">
        <v>312.63740000000001</v>
      </c>
      <c r="M2026">
        <v>-0.1048858</v>
      </c>
      <c r="N2026">
        <v>0</v>
      </c>
      <c r="O2026">
        <v>-0.99437660000000005</v>
      </c>
      <c r="P2026">
        <v>-0.2098044</v>
      </c>
      <c r="Q2026">
        <v>8.2204840000000001E-3</v>
      </c>
      <c r="R2026">
        <v>-0.97770889999999999</v>
      </c>
      <c r="S2026">
        <v>-0.99363710000000005</v>
      </c>
      <c r="T2026">
        <v>-0.148567</v>
      </c>
      <c r="U2026">
        <v>-2.857666</v>
      </c>
      <c r="V2026">
        <v>0.10618859999999999</v>
      </c>
      <c r="W2026">
        <v>2.229536E-2</v>
      </c>
      <c r="X2026">
        <v>0.99409599999999998</v>
      </c>
      <c r="Y2026">
        <v>0.22713079999999999</v>
      </c>
      <c r="Z2026">
        <v>4.9368179999999998E-2</v>
      </c>
      <c r="AA2026">
        <v>0.97261209999999998</v>
      </c>
      <c r="AB2026">
        <v>22</v>
      </c>
      <c r="AC2026">
        <v>-7.3864000000000001</v>
      </c>
      <c r="AD2026">
        <v>-1.1085274578469999</v>
      </c>
      <c r="AE2026">
        <v>-21.090399999999899</v>
      </c>
      <c r="AF2026">
        <v>5.1207284400667401</v>
      </c>
      <c r="AG2026">
        <v>-1.1085274578469999</v>
      </c>
      <c r="AH2026">
        <v>21.6954694156736</v>
      </c>
      <c r="AI2026">
        <v>92.846887557056803</v>
      </c>
      <c r="AJ2026">
        <v>76.719668616551402</v>
      </c>
      <c r="AK2026">
        <v>22.319141696045101</v>
      </c>
      <c r="AL2026">
        <v>88.7224640879665</v>
      </c>
      <c r="AM2026">
        <v>83.902827335403103</v>
      </c>
      <c r="AN2026">
        <v>0.99999997953174402</v>
      </c>
    </row>
    <row r="2027" spans="1:40" x14ac:dyDescent="0.25">
      <c r="A2027" t="str">
        <f>"20190312153926892"</f>
        <v>20190312153926892</v>
      </c>
      <c r="B2027" t="str">
        <f>"1552376366888055"</f>
        <v>1552376366888055</v>
      </c>
      <c r="C2027" t="s">
        <v>40</v>
      </c>
      <c r="D2027">
        <v>4.1320639999999997</v>
      </c>
      <c r="E2027">
        <v>0.54842959999999996</v>
      </c>
      <c r="F2027" t="s">
        <v>54</v>
      </c>
      <c r="G2027">
        <v>-198.74289999999999</v>
      </c>
      <c r="H2027" s="1">
        <v>1.590552E-6</v>
      </c>
      <c r="I2027">
        <v>291.1968</v>
      </c>
      <c r="J2027">
        <v>-191.23419999999999</v>
      </c>
      <c r="K2027">
        <v>1.108555</v>
      </c>
      <c r="L2027">
        <v>312.41199999999998</v>
      </c>
      <c r="M2027">
        <v>-0.10792069999999999</v>
      </c>
      <c r="N2027">
        <v>0</v>
      </c>
      <c r="O2027">
        <v>-0.99405209999999999</v>
      </c>
      <c r="P2027">
        <v>-0.21214740000000001</v>
      </c>
      <c r="Q2027">
        <v>8.4713940000000001E-3</v>
      </c>
      <c r="R2027">
        <v>-0.97720130000000005</v>
      </c>
      <c r="S2027">
        <v>-1.0032650000000001</v>
      </c>
      <c r="T2027">
        <v>-0.14757590000000001</v>
      </c>
      <c r="U2027">
        <v>-2.8543400000000001</v>
      </c>
      <c r="V2027">
        <v>0.1055363</v>
      </c>
      <c r="W2027">
        <v>2.2550879999999999E-2</v>
      </c>
      <c r="X2027">
        <v>0.99415969999999998</v>
      </c>
      <c r="Y2027">
        <v>0.22743830000000001</v>
      </c>
      <c r="Z2027">
        <v>4.9041080000000001E-2</v>
      </c>
      <c r="AA2027">
        <v>0.9725568</v>
      </c>
      <c r="AB2027">
        <v>22</v>
      </c>
      <c r="AC2027">
        <v>-7.5087000000000002</v>
      </c>
      <c r="AD2027">
        <v>-1.1085534094479901</v>
      </c>
      <c r="AE2027">
        <v>-21.215199999999999</v>
      </c>
      <c r="AF2027">
        <v>5.1625060111459398</v>
      </c>
      <c r="AG2027">
        <v>-1.1085534094479901</v>
      </c>
      <c r="AH2027">
        <v>21.848683109147199</v>
      </c>
      <c r="AI2027">
        <v>92.826860115403804</v>
      </c>
      <c r="AJ2027">
        <v>76.705721910199998</v>
      </c>
      <c r="AK2027">
        <v>22.4776625248412</v>
      </c>
      <c r="AL2027">
        <v>88.707820189973106</v>
      </c>
      <c r="AM2027">
        <v>83.940387166700006</v>
      </c>
      <c r="AN2027">
        <v>0.99999998095527598</v>
      </c>
    </row>
    <row r="2028" spans="1:40" x14ac:dyDescent="0.25">
      <c r="A2028" t="str">
        <f>"20190312153926913"</f>
        <v>20190312153926913</v>
      </c>
      <c r="B2028" t="str">
        <f>"1552376366907576"</f>
        <v>1552376366907576</v>
      </c>
      <c r="C2028" t="s">
        <v>40</v>
      </c>
      <c r="D2028">
        <v>4.1261239999999999</v>
      </c>
      <c r="E2028">
        <v>0.54845269999999902</v>
      </c>
      <c r="F2028" t="s">
        <v>54</v>
      </c>
      <c r="G2028">
        <v>-198.9136</v>
      </c>
      <c r="H2028" s="1">
        <v>1.6568510000000001E-6</v>
      </c>
      <c r="I2028">
        <v>290.73439999999999</v>
      </c>
      <c r="J2028">
        <v>-191.25899999999999</v>
      </c>
      <c r="K2028">
        <v>1.1085799999999999</v>
      </c>
      <c r="L2028">
        <v>312.2124</v>
      </c>
      <c r="M2028">
        <v>-0.1105766</v>
      </c>
      <c r="N2028">
        <v>0</v>
      </c>
      <c r="O2028">
        <v>-0.99376010000000004</v>
      </c>
      <c r="P2028">
        <v>-0.21436259999999999</v>
      </c>
      <c r="Q2028">
        <v>8.5037930000000008E-3</v>
      </c>
      <c r="R2028">
        <v>-0.97671750000000002</v>
      </c>
      <c r="S2028">
        <v>-1.0103150000000001</v>
      </c>
      <c r="T2028">
        <v>-0.14584259999999999</v>
      </c>
      <c r="U2028">
        <v>-2.8519290000000002</v>
      </c>
      <c r="V2028">
        <v>0.10513260000000001</v>
      </c>
      <c r="W2028">
        <v>2.2587110000000001E-2</v>
      </c>
      <c r="X2028">
        <v>0.99420169999999997</v>
      </c>
      <c r="Y2028">
        <v>0.22724059999999999</v>
      </c>
      <c r="Z2028">
        <v>4.8465429999999997E-2</v>
      </c>
      <c r="AA2028">
        <v>0.97263189999999999</v>
      </c>
      <c r="AB2028">
        <v>22</v>
      </c>
      <c r="AC2028">
        <v>-7.6545999999999799</v>
      </c>
      <c r="AD2028">
        <v>-1.1085783431489999</v>
      </c>
      <c r="AE2028">
        <v>-21.478000000000002</v>
      </c>
      <c r="AF2028">
        <v>5.2200915293967904</v>
      </c>
      <c r="AG2028">
        <v>-1.1085783431489999</v>
      </c>
      <c r="AH2028">
        <v>22.140434172527701</v>
      </c>
      <c r="AI2028">
        <v>92.790050893137305</v>
      </c>
      <c r="AJ2028">
        <v>76.733545719665102</v>
      </c>
      <c r="AK2028">
        <v>22.774484118552799</v>
      </c>
      <c r="AL2028">
        <v>88.705743899364606</v>
      </c>
      <c r="AM2028">
        <v>83.963648198517902</v>
      </c>
      <c r="AN2028">
        <v>1.0000000307018999</v>
      </c>
    </row>
    <row r="2029" spans="1:40" x14ac:dyDescent="0.25">
      <c r="A2029" t="str">
        <f>"20190312153926936"</f>
        <v>20190312153926936</v>
      </c>
      <c r="B2029" t="str">
        <f>"1552376366928072"</f>
        <v>1552376366928072</v>
      </c>
      <c r="C2029" t="s">
        <v>40</v>
      </c>
      <c r="D2029">
        <v>4.1602560000000004</v>
      </c>
      <c r="E2029">
        <v>0.5484869</v>
      </c>
      <c r="F2029" t="s">
        <v>54</v>
      </c>
      <c r="G2029">
        <v>-199.02770000000001</v>
      </c>
      <c r="H2029" s="1">
        <v>1.6987909999999999E-6</v>
      </c>
      <c r="I2029">
        <v>290.43880000000001</v>
      </c>
      <c r="J2029">
        <v>-191.2886</v>
      </c>
      <c r="K2029">
        <v>1.108609</v>
      </c>
      <c r="L2029">
        <v>311.97949999999997</v>
      </c>
      <c r="M2029">
        <v>-0.1136424</v>
      </c>
      <c r="N2029">
        <v>0</v>
      </c>
      <c r="O2029">
        <v>-0.99341440000000003</v>
      </c>
      <c r="P2029">
        <v>-0.2170445</v>
      </c>
      <c r="Q2029">
        <v>7.6810469999999999E-3</v>
      </c>
      <c r="R2029">
        <v>-0.97613170000000005</v>
      </c>
      <c r="S2029">
        <v>-1.0167389999999901</v>
      </c>
      <c r="T2029">
        <v>-0.14508560000000001</v>
      </c>
      <c r="U2029">
        <v>-2.84964</v>
      </c>
      <c r="V2029">
        <v>0.1047893</v>
      </c>
      <c r="W2029">
        <v>2.176811E-2</v>
      </c>
      <c r="X2029">
        <v>0.99425620000000003</v>
      </c>
      <c r="Y2029">
        <v>0.2264323</v>
      </c>
      <c r="Z2029">
        <v>4.8212579999999998E-2</v>
      </c>
      <c r="AA2029">
        <v>0.97283299999999995</v>
      </c>
      <c r="AB2029">
        <v>22</v>
      </c>
      <c r="AC2029">
        <v>-7.7390999999999996</v>
      </c>
      <c r="AD2029">
        <v>-1.1086073012090001</v>
      </c>
      <c r="AE2029">
        <v>-21.540699999999902</v>
      </c>
      <c r="AF2029">
        <v>5.22848977006774</v>
      </c>
      <c r="AG2029">
        <v>-1.1086073012090001</v>
      </c>
      <c r="AH2029">
        <v>22.228560956220701</v>
      </c>
      <c r="AI2029">
        <v>92.779424191290801</v>
      </c>
      <c r="AJ2029">
        <v>76.763778384816206</v>
      </c>
      <c r="AK2029">
        <v>22.862087341457201</v>
      </c>
      <c r="AL2029">
        <v>88.752680673101594</v>
      </c>
      <c r="AM2029">
        <v>83.9835418656683</v>
      </c>
      <c r="AN2029">
        <v>1.0000000196229499</v>
      </c>
    </row>
    <row r="2030" spans="1:40" x14ac:dyDescent="0.25">
      <c r="A2030" t="str">
        <f>"20190312153926960"</f>
        <v>20190312153926960</v>
      </c>
      <c r="B2030" t="str">
        <f>"1552376366947592"</f>
        <v>1552376366947592</v>
      </c>
      <c r="C2030" t="s">
        <v>40</v>
      </c>
      <c r="D2030">
        <v>4.1013419999999998</v>
      </c>
      <c r="E2030">
        <v>0.54849680000000001</v>
      </c>
      <c r="F2030" t="s">
        <v>54</v>
      </c>
      <c r="G2030">
        <v>-199.02369999999999</v>
      </c>
      <c r="H2030" s="1">
        <v>1.6892380000000001E-6</v>
      </c>
      <c r="I2030">
        <v>290.495</v>
      </c>
      <c r="J2030">
        <v>-191.31659999999999</v>
      </c>
      <c r="K2030">
        <v>1.108636</v>
      </c>
      <c r="L2030">
        <v>311.76389999999998</v>
      </c>
      <c r="M2030">
        <v>-0.116436999999999</v>
      </c>
      <c r="N2030">
        <v>0</v>
      </c>
      <c r="O2030">
        <v>-0.99309069999999999</v>
      </c>
      <c r="P2030">
        <v>-0.21939120000000001</v>
      </c>
      <c r="Q2030">
        <v>6.6532479999999996E-3</v>
      </c>
      <c r="R2030">
        <v>-0.97561439999999999</v>
      </c>
      <c r="S2030">
        <v>-1.024872</v>
      </c>
      <c r="T2030">
        <v>-0.1468853</v>
      </c>
      <c r="U2030">
        <v>-2.8465880000000001</v>
      </c>
      <c r="V2030">
        <v>0.1043757</v>
      </c>
      <c r="W2030">
        <v>2.074457E-2</v>
      </c>
      <c r="X2030">
        <v>0.99432160000000003</v>
      </c>
      <c r="Y2030">
        <v>0.2264748</v>
      </c>
      <c r="Z2030">
        <v>4.8811319999999998E-2</v>
      </c>
      <c r="AA2030">
        <v>0.97279320000000002</v>
      </c>
      <c r="AB2030">
        <v>22</v>
      </c>
      <c r="AC2030">
        <v>-7.7070999999999898</v>
      </c>
      <c r="AD2030">
        <v>-1.108634310762</v>
      </c>
      <c r="AE2030">
        <v>-21.268899999999899</v>
      </c>
      <c r="AF2030">
        <v>5.1655090161104198</v>
      </c>
      <c r="AG2030">
        <v>-1.108634310762</v>
      </c>
      <c r="AH2030">
        <v>21.968925808695001</v>
      </c>
      <c r="AI2030">
        <v>92.812342635343001</v>
      </c>
      <c r="AJ2030">
        <v>76.768500374563402</v>
      </c>
      <c r="AK2030">
        <v>22.595248496497199</v>
      </c>
      <c r="AL2030">
        <v>88.811338467092895</v>
      </c>
      <c r="AM2030">
        <v>84.0075067805804</v>
      </c>
      <c r="AN2030">
        <v>1.00000003408076</v>
      </c>
    </row>
    <row r="2031" spans="1:40" x14ac:dyDescent="0.25">
      <c r="A2031" t="str">
        <f>"20190312153926983"</f>
        <v>20190312153926983</v>
      </c>
      <c r="B2031" t="str">
        <f>"1552376366977848"</f>
        <v>1552376366977848</v>
      </c>
      <c r="C2031" t="s">
        <v>40</v>
      </c>
      <c r="D2031">
        <v>4.1529350000000003</v>
      </c>
      <c r="E2031">
        <v>0.54846119999999898</v>
      </c>
      <c r="F2031" t="s">
        <v>54</v>
      </c>
      <c r="G2031">
        <v>-198.99279999999999</v>
      </c>
      <c r="H2031" s="1">
        <v>1.67147E-6</v>
      </c>
      <c r="I2031">
        <v>290.61149999999998</v>
      </c>
      <c r="J2031">
        <v>-191.3476</v>
      </c>
      <c r="K2031">
        <v>1.1086769999999999</v>
      </c>
      <c r="L2031">
        <v>311.5308</v>
      </c>
      <c r="M2031">
        <v>-0.1194163</v>
      </c>
      <c r="N2031">
        <v>0</v>
      </c>
      <c r="O2031">
        <v>-0.99273719999999999</v>
      </c>
      <c r="P2031">
        <v>-0.22219149999999999</v>
      </c>
      <c r="Q2031">
        <v>5.656665E-3</v>
      </c>
      <c r="R2031">
        <v>-0.97498700000000005</v>
      </c>
      <c r="S2031">
        <v>-1.032043</v>
      </c>
      <c r="T2031">
        <v>-0.14905179999999901</v>
      </c>
      <c r="U2031">
        <v>-2.8438720000000002</v>
      </c>
      <c r="V2031">
        <v>0.1042404</v>
      </c>
      <c r="W2031">
        <v>1.9751049999999999E-2</v>
      </c>
      <c r="X2031">
        <v>0.99435600000000002</v>
      </c>
      <c r="Y2031">
        <v>0.22600590000000001</v>
      </c>
      <c r="Z2031">
        <v>4.9529469999999999E-2</v>
      </c>
      <c r="AA2031">
        <v>0.97286589999999995</v>
      </c>
      <c r="AB2031">
        <v>22</v>
      </c>
      <c r="AC2031">
        <v>-7.6451999999999796</v>
      </c>
      <c r="AD2031">
        <v>-1.1086753285299999</v>
      </c>
      <c r="AE2031">
        <v>-20.9193</v>
      </c>
      <c r="AF2031">
        <v>5.0795242257536097</v>
      </c>
      <c r="AG2031">
        <v>-1.1086753285299999</v>
      </c>
      <c r="AH2031">
        <v>21.6290409869431</v>
      </c>
      <c r="AI2031">
        <v>92.8567476452872</v>
      </c>
      <c r="AJ2031">
        <v>76.783734378800801</v>
      </c>
      <c r="AK2031">
        <v>22.245137476738002</v>
      </c>
      <c r="AL2031">
        <v>88.868274615302099</v>
      </c>
      <c r="AM2031">
        <v>84.015423849215594</v>
      </c>
      <c r="AN2031">
        <v>1.00000000985213</v>
      </c>
    </row>
    <row r="2032" spans="1:40" x14ac:dyDescent="0.25">
      <c r="A2032" t="str">
        <f>"20190312153927003"</f>
        <v>20190312153927003</v>
      </c>
      <c r="B2032" t="str">
        <f>"1552376366998344"</f>
        <v>1552376366998344</v>
      </c>
      <c r="C2032" t="s">
        <v>40</v>
      </c>
      <c r="D2032">
        <v>4.163589</v>
      </c>
      <c r="E2032">
        <v>0.5484464</v>
      </c>
      <c r="F2032" t="s">
        <v>54</v>
      </c>
      <c r="G2032">
        <v>-198.9873</v>
      </c>
      <c r="H2032" s="1">
        <v>1.663229E-6</v>
      </c>
      <c r="I2032">
        <v>290.661</v>
      </c>
      <c r="J2032">
        <v>-191.37430000000001</v>
      </c>
      <c r="K2032">
        <v>1.1087020000000001</v>
      </c>
      <c r="L2032">
        <v>311.33339999999998</v>
      </c>
      <c r="M2032">
        <v>-0.12190869999999999</v>
      </c>
      <c r="N2032">
        <v>0</v>
      </c>
      <c r="O2032">
        <v>-0.99243429999999999</v>
      </c>
      <c r="P2032">
        <v>-0.22443370000000001</v>
      </c>
      <c r="Q2032">
        <v>5.4509140000000003E-3</v>
      </c>
      <c r="R2032">
        <v>-0.97447450000000002</v>
      </c>
      <c r="S2032">
        <v>-1.0399320000000001</v>
      </c>
      <c r="T2032">
        <v>-0.15091470000000001</v>
      </c>
      <c r="U2032">
        <v>-2.8408199999999999</v>
      </c>
      <c r="V2032">
        <v>0.10402839999999999</v>
      </c>
      <c r="W2032">
        <v>1.9546999999999998E-2</v>
      </c>
      <c r="X2032">
        <v>0.99438219999999999</v>
      </c>
      <c r="Y2032">
        <v>0.2262689</v>
      </c>
      <c r="Z2032">
        <v>5.0149739999999998E-2</v>
      </c>
      <c r="AA2032">
        <v>0.97277309999999995</v>
      </c>
      <c r="AB2032">
        <v>22</v>
      </c>
      <c r="AC2032">
        <v>-7.6129999999999898</v>
      </c>
      <c r="AD2032">
        <v>-1.108700336771</v>
      </c>
      <c r="AE2032">
        <v>-20.6723999999999</v>
      </c>
      <c r="AF2032">
        <v>5.0230690408288003</v>
      </c>
      <c r="AG2032">
        <v>-1.108700336771</v>
      </c>
      <c r="AH2032">
        <v>21.392184184589301</v>
      </c>
      <c r="AI2032">
        <v>92.888414566788597</v>
      </c>
      <c r="AJ2032">
        <v>76.785841175507201</v>
      </c>
      <c r="AK2032">
        <v>22.001954077151499</v>
      </c>
      <c r="AL2032">
        <v>88.879968039144501</v>
      </c>
      <c r="AM2032">
        <v>84.027663204694093</v>
      </c>
      <c r="AN2032">
        <v>0.99999997644619898</v>
      </c>
    </row>
    <row r="2033" spans="1:40" x14ac:dyDescent="0.25">
      <c r="A2033" t="str">
        <f>"20190312153927025"</f>
        <v>20190312153927025</v>
      </c>
      <c r="B2033" t="str">
        <f>"1552376367017865"</f>
        <v>1552376367017865</v>
      </c>
      <c r="C2033" t="s">
        <v>40</v>
      </c>
      <c r="D2033">
        <v>4.1149370000000003</v>
      </c>
      <c r="E2033">
        <v>0.54843219999999904</v>
      </c>
      <c r="F2033" t="s">
        <v>54</v>
      </c>
      <c r="G2033">
        <v>-199.0615</v>
      </c>
      <c r="H2033" s="1">
        <v>1.687895E-6</v>
      </c>
      <c r="I2033">
        <v>290.48360000000002</v>
      </c>
      <c r="J2033">
        <v>-191.40350000000001</v>
      </c>
      <c r="K2033">
        <v>1.10873</v>
      </c>
      <c r="L2033">
        <v>311.12099999999998</v>
      </c>
      <c r="M2033">
        <v>-0.12456010000000001</v>
      </c>
      <c r="N2033">
        <v>0</v>
      </c>
      <c r="O2033">
        <v>-0.99210489999999996</v>
      </c>
      <c r="P2033">
        <v>-0.227018</v>
      </c>
      <c r="Q2033">
        <v>5.5033769999999899E-3</v>
      </c>
      <c r="R2033">
        <v>-0.97387500000000005</v>
      </c>
      <c r="S2033">
        <v>-1.046524</v>
      </c>
      <c r="T2033">
        <v>-0.15093609999999999</v>
      </c>
      <c r="U2033">
        <v>-2.8384399999999999</v>
      </c>
      <c r="V2033">
        <v>0.104008199999999</v>
      </c>
      <c r="W2033">
        <v>1.9598959999999999E-2</v>
      </c>
      <c r="X2033">
        <v>0.99438329999999997</v>
      </c>
      <c r="Y2033">
        <v>0.2259197</v>
      </c>
      <c r="Z2033">
        <v>5.0153830000000003E-2</v>
      </c>
      <c r="AA2033">
        <v>0.972854</v>
      </c>
      <c r="AB2033">
        <v>22</v>
      </c>
      <c r="AC2033">
        <v>-7.6579999999999799</v>
      </c>
      <c r="AD2033">
        <v>-1.108728312105</v>
      </c>
      <c r="AE2033">
        <v>-20.6373999999999</v>
      </c>
      <c r="AF2033">
        <v>5.0147550401574597</v>
      </c>
      <c r="AG2033">
        <v>-1.108728312105</v>
      </c>
      <c r="AH2033">
        <v>21.376394505669499</v>
      </c>
      <c r="AI2033">
        <v>92.890755622162899</v>
      </c>
      <c r="AJ2033">
        <v>76.797543364751405</v>
      </c>
      <c r="AK2033">
        <v>21.984705789363399</v>
      </c>
      <c r="AL2033">
        <v>88.876990390796394</v>
      </c>
      <c r="AM2033">
        <v>84.0288210775946</v>
      </c>
      <c r="AN2033">
        <v>0.99999998610960505</v>
      </c>
    </row>
    <row r="2034" spans="1:40" x14ac:dyDescent="0.25">
      <c r="A2034" t="str">
        <f>"20190312153927047"</f>
        <v>20190312153927047</v>
      </c>
      <c r="B2034" t="str">
        <f>"1552376367038360"</f>
        <v>1552376367038360</v>
      </c>
      <c r="C2034" t="s">
        <v>40</v>
      </c>
      <c r="D2034">
        <v>4.1187339999999999</v>
      </c>
      <c r="E2034">
        <v>0.54842760000000002</v>
      </c>
      <c r="F2034" t="s">
        <v>54</v>
      </c>
      <c r="G2034">
        <v>-199.1942</v>
      </c>
      <c r="H2034" s="1">
        <v>1.732057E-6</v>
      </c>
      <c r="I2034">
        <v>290.166</v>
      </c>
      <c r="J2034">
        <v>-191.43340000000001</v>
      </c>
      <c r="K2034">
        <v>1.1087590000000001</v>
      </c>
      <c r="L2034">
        <v>310.90800000000002</v>
      </c>
      <c r="M2034">
        <v>-0.1271911</v>
      </c>
      <c r="N2034">
        <v>0</v>
      </c>
      <c r="O2034">
        <v>-0.99177110000000002</v>
      </c>
      <c r="P2034">
        <v>-0.22928409999999999</v>
      </c>
      <c r="Q2034">
        <v>5.9767500000000003E-3</v>
      </c>
      <c r="R2034">
        <v>-0.97334109999999996</v>
      </c>
      <c r="S2034">
        <v>-1.054214</v>
      </c>
      <c r="T2034">
        <v>-0.1500302</v>
      </c>
      <c r="U2034">
        <v>-2.8355709999999998</v>
      </c>
      <c r="V2034">
        <v>0.10368620000000001</v>
      </c>
      <c r="W2034">
        <v>2.0073799999999999E-2</v>
      </c>
      <c r="X2034">
        <v>0.9944075</v>
      </c>
      <c r="Y2034">
        <v>0.22598099999999999</v>
      </c>
      <c r="Z2034">
        <v>4.9852470000000003E-2</v>
      </c>
      <c r="AA2034">
        <v>0.97285529999999998</v>
      </c>
      <c r="AB2034">
        <v>22</v>
      </c>
      <c r="AC2034">
        <v>-7.7607999999999802</v>
      </c>
      <c r="AD2034">
        <v>-1.108757267943</v>
      </c>
      <c r="AE2034">
        <v>-20.742000000000001</v>
      </c>
      <c r="AF2034">
        <v>5.0466275516754804</v>
      </c>
      <c r="AG2034">
        <v>-1.108757267943</v>
      </c>
      <c r="AH2034">
        <v>21.5068049441469</v>
      </c>
      <c r="AI2034">
        <v>92.873293433340706</v>
      </c>
      <c r="AJ2034">
        <v>76.794313488392604</v>
      </c>
      <c r="AK2034">
        <v>22.1187805095608</v>
      </c>
      <c r="AL2034">
        <v>88.849778759433605</v>
      </c>
      <c r="AM2034">
        <v>84.047318187464896</v>
      </c>
      <c r="AN2034">
        <v>1.00000003078656</v>
      </c>
    </row>
    <row r="2035" spans="1:40" x14ac:dyDescent="0.25">
      <c r="A2035" t="str">
        <f>"20190312153927071"</f>
        <v>20190312153927071</v>
      </c>
      <c r="B2035" t="str">
        <f>"1552376367067639"</f>
        <v>1552376367067639</v>
      </c>
      <c r="C2035" t="s">
        <v>40</v>
      </c>
      <c r="D2035">
        <v>4.1321849999999998</v>
      </c>
      <c r="E2035">
        <v>0.54843839999999999</v>
      </c>
      <c r="F2035" t="s">
        <v>54</v>
      </c>
      <c r="G2035">
        <v>-199.3827</v>
      </c>
      <c r="H2035" s="1">
        <v>1.841488E-6</v>
      </c>
      <c r="I2035">
        <v>289.67759999999998</v>
      </c>
      <c r="J2035">
        <v>-191.4666</v>
      </c>
      <c r="K2035">
        <v>1.1087800000000001</v>
      </c>
      <c r="L2035">
        <v>310.6755</v>
      </c>
      <c r="M2035">
        <v>-0.13003599999999901</v>
      </c>
      <c r="N2035">
        <v>0</v>
      </c>
      <c r="O2035">
        <v>-0.99140240000000002</v>
      </c>
      <c r="P2035">
        <v>-0.23124520000000001</v>
      </c>
      <c r="Q2035">
        <v>6.4223250000000004E-3</v>
      </c>
      <c r="R2035">
        <v>-0.97287469999999998</v>
      </c>
      <c r="S2035">
        <v>-1.0608219999999999</v>
      </c>
      <c r="T2035">
        <v>-0.14796229999999999</v>
      </c>
      <c r="U2035">
        <v>-2.8331599999999999</v>
      </c>
      <c r="V2035">
        <v>0.102838</v>
      </c>
      <c r="W2035">
        <v>2.0521459999999998E-2</v>
      </c>
      <c r="X2035">
        <v>0.99448639999999999</v>
      </c>
      <c r="Y2035">
        <v>0.22545999999999999</v>
      </c>
      <c r="Z2035">
        <v>4.916235E-2</v>
      </c>
      <c r="AA2035">
        <v>0.97301119999999997</v>
      </c>
      <c r="AB2035">
        <v>22</v>
      </c>
      <c r="AC2035">
        <v>-7.9161000000000001</v>
      </c>
      <c r="AD2035">
        <v>-1.10877815851199</v>
      </c>
      <c r="AE2035">
        <v>-20.997900000000001</v>
      </c>
      <c r="AF2035">
        <v>5.1056354894534897</v>
      </c>
      <c r="AG2035">
        <v>-1.10877815851199</v>
      </c>
      <c r="AH2035">
        <v>21.795851133167201</v>
      </c>
      <c r="AI2035">
        <v>92.835559612266096</v>
      </c>
      <c r="AJ2035">
        <v>76.8162847709781</v>
      </c>
      <c r="AK2035">
        <v>22.4133002785209</v>
      </c>
      <c r="AL2035">
        <v>88.824124400689996</v>
      </c>
      <c r="AM2035">
        <v>84.096133528285506</v>
      </c>
      <c r="AN2035">
        <v>0.999999992174745</v>
      </c>
    </row>
    <row r="2036" spans="1:40" x14ac:dyDescent="0.25">
      <c r="A2036" t="str">
        <f>"20190312153927093"</f>
        <v>20190312153927093</v>
      </c>
      <c r="B2036" t="str">
        <f>"1552376367088136"</f>
        <v>1552376367088136</v>
      </c>
      <c r="C2036" t="s">
        <v>40</v>
      </c>
      <c r="D2036">
        <v>4.1320519999999998</v>
      </c>
      <c r="E2036">
        <v>0.54844190000000004</v>
      </c>
      <c r="F2036" t="s">
        <v>54</v>
      </c>
      <c r="G2036">
        <v>-199.58959999999999</v>
      </c>
      <c r="H2036" s="1">
        <v>1.870072E-6</v>
      </c>
      <c r="I2036">
        <v>289.1173</v>
      </c>
      <c r="J2036">
        <v>-191.49760000000001</v>
      </c>
      <c r="K2036">
        <v>1.1088009999999999</v>
      </c>
      <c r="L2036">
        <v>310.46280000000002</v>
      </c>
      <c r="M2036">
        <v>-0.1326223</v>
      </c>
      <c r="N2036">
        <v>0</v>
      </c>
      <c r="O2036">
        <v>-0.99105980000000005</v>
      </c>
      <c r="P2036">
        <v>-0.23255410000000001</v>
      </c>
      <c r="Q2036">
        <v>6.1605080000000003E-3</v>
      </c>
      <c r="R2036">
        <v>-0.97256419999999999</v>
      </c>
      <c r="S2036">
        <v>-1.066727</v>
      </c>
      <c r="T2036">
        <v>-0.1456065</v>
      </c>
      <c r="U2036">
        <v>-2.8310550000000001</v>
      </c>
      <c r="V2036">
        <v>0.10157910000000001</v>
      </c>
      <c r="W2036">
        <v>2.026354E-2</v>
      </c>
      <c r="X2036">
        <v>0.99462110000000004</v>
      </c>
      <c r="Y2036">
        <v>0.2249478</v>
      </c>
      <c r="Z2036">
        <v>4.8375769999999998E-2</v>
      </c>
      <c r="AA2036">
        <v>0.97316919999999996</v>
      </c>
      <c r="AB2036">
        <v>22</v>
      </c>
      <c r="AC2036">
        <v>-8.0919999999999792</v>
      </c>
      <c r="AD2036">
        <v>-1.108799129928</v>
      </c>
      <c r="AE2036">
        <v>-21.345500000000001</v>
      </c>
      <c r="AF2036">
        <v>5.17710204495949</v>
      </c>
      <c r="AG2036">
        <v>-1.108799129928</v>
      </c>
      <c r="AH2036">
        <v>22.1778775364963</v>
      </c>
      <c r="AI2036">
        <v>92.787347173034803</v>
      </c>
      <c r="AJ2036">
        <v>76.860430969498395</v>
      </c>
      <c r="AK2036">
        <v>22.8010980682572</v>
      </c>
      <c r="AL2036">
        <v>88.838905244231</v>
      </c>
      <c r="AM2036">
        <v>84.168689359861006</v>
      </c>
      <c r="AN2036">
        <v>1.00000002858767</v>
      </c>
    </row>
    <row r="2037" spans="1:40" x14ac:dyDescent="0.25">
      <c r="A2037" t="str">
        <f>"20190312153927115"</f>
        <v>20190312153927115</v>
      </c>
      <c r="B2037" t="str">
        <f>"1552376367107656"</f>
        <v>1552376367107656</v>
      </c>
      <c r="C2037" t="s">
        <v>40</v>
      </c>
      <c r="D2037">
        <v>4.1165609999999999</v>
      </c>
      <c r="E2037">
        <v>0.54844490000000001</v>
      </c>
      <c r="F2037" t="s">
        <v>54</v>
      </c>
      <c r="G2037">
        <v>-199.6686</v>
      </c>
      <c r="H2037" s="1">
        <v>1.877584E-6</v>
      </c>
      <c r="I2037">
        <v>288.87110000000001</v>
      </c>
      <c r="J2037">
        <v>-191.52799999999999</v>
      </c>
      <c r="K2037">
        <v>1.1088169999999999</v>
      </c>
      <c r="L2037">
        <v>310.25790000000001</v>
      </c>
      <c r="M2037">
        <v>-0.1351068</v>
      </c>
      <c r="N2037">
        <v>0</v>
      </c>
      <c r="O2037">
        <v>-0.99072439999999995</v>
      </c>
      <c r="P2037">
        <v>-0.23414599999999999</v>
      </c>
      <c r="Q2037">
        <v>6.6332459999999998E-3</v>
      </c>
      <c r="R2037">
        <v>-0.97217909999999996</v>
      </c>
      <c r="S2037">
        <v>-1.070786</v>
      </c>
      <c r="T2037">
        <v>-0.1453044</v>
      </c>
      <c r="U2037">
        <v>-2.829529</v>
      </c>
      <c r="V2037">
        <v>0.1007151</v>
      </c>
      <c r="W2037">
        <v>2.0736939999999999E-2</v>
      </c>
      <c r="X2037">
        <v>0.99469920000000001</v>
      </c>
      <c r="Y2037">
        <v>0.2239015</v>
      </c>
      <c r="Z2037">
        <v>4.8269510000000002E-2</v>
      </c>
      <c r="AA2037">
        <v>0.97341569999999999</v>
      </c>
      <c r="AB2037">
        <v>22</v>
      </c>
      <c r="AC2037">
        <v>-8.1405999999999992</v>
      </c>
      <c r="AD2037">
        <v>-1.1088151224160001</v>
      </c>
      <c r="AE2037">
        <v>-21.386799999999901</v>
      </c>
      <c r="AF2037">
        <v>5.1640116912681604</v>
      </c>
      <c r="AG2037">
        <v>-1.1088151224160001</v>
      </c>
      <c r="AH2037">
        <v>22.238418482593101</v>
      </c>
      <c r="AI2037">
        <v>92.7805614116605</v>
      </c>
      <c r="AJ2037">
        <v>76.926962112357401</v>
      </c>
      <c r="AK2037">
        <v>22.857028335507501</v>
      </c>
      <c r="AL2037">
        <v>88.8117757174589</v>
      </c>
      <c r="AM2037">
        <v>84.218402083498205</v>
      </c>
      <c r="AN2037">
        <v>1.0000000252646</v>
      </c>
    </row>
    <row r="2038" spans="1:40" x14ac:dyDescent="0.25">
      <c r="A2038" t="str">
        <f>"20190312153927137"</f>
        <v>20190312153927137</v>
      </c>
      <c r="B2038" t="str">
        <f>"1552376367128152"</f>
        <v>1552376367128152</v>
      </c>
      <c r="C2038" t="s">
        <v>40</v>
      </c>
      <c r="D2038">
        <v>4.1167669999999896</v>
      </c>
      <c r="E2038">
        <v>0.54845350000000004</v>
      </c>
      <c r="F2038" t="s">
        <v>54</v>
      </c>
      <c r="G2038">
        <v>-199.85720000000001</v>
      </c>
      <c r="H2038" s="1">
        <v>1.888392E-6</v>
      </c>
      <c r="I2038">
        <v>288.3648</v>
      </c>
      <c r="J2038">
        <v>-191.56020000000001</v>
      </c>
      <c r="K2038">
        <v>1.108824</v>
      </c>
      <c r="L2038">
        <v>310.04469999999998</v>
      </c>
      <c r="M2038">
        <v>-0.13768830000000001</v>
      </c>
      <c r="N2038">
        <v>0</v>
      </c>
      <c r="O2038">
        <v>-0.99036900000000005</v>
      </c>
      <c r="P2038">
        <v>-0.2358682</v>
      </c>
      <c r="Q2038">
        <v>6.6335459999999997E-3</v>
      </c>
      <c r="R2038">
        <v>-0.97176260000000003</v>
      </c>
      <c r="S2038">
        <v>-1.075806</v>
      </c>
      <c r="T2038">
        <v>-0.1432155</v>
      </c>
      <c r="U2038">
        <v>-2.827728</v>
      </c>
      <c r="V2038">
        <v>9.9884619999999993E-2</v>
      </c>
      <c r="W2038">
        <v>2.07379E-2</v>
      </c>
      <c r="X2038">
        <v>0.99478290000000003</v>
      </c>
      <c r="Y2038">
        <v>0.22308910000000001</v>
      </c>
      <c r="Z2038">
        <v>4.7569889999999997E-2</v>
      </c>
      <c r="AA2038">
        <v>0.97363670000000002</v>
      </c>
      <c r="AB2038">
        <v>22</v>
      </c>
      <c r="AC2038">
        <v>-8.2969999999999899</v>
      </c>
      <c r="AD2038">
        <v>-1.1088221116079999</v>
      </c>
      <c r="AE2038">
        <v>-21.6798999999999</v>
      </c>
      <c r="AF2038">
        <v>5.2206638114831696</v>
      </c>
      <c r="AG2038">
        <v>-1.1088221116079999</v>
      </c>
      <c r="AH2038">
        <v>22.5644047046286</v>
      </c>
      <c r="AI2038">
        <v>92.740977873935407</v>
      </c>
      <c r="AJ2038">
        <v>76.972857035461601</v>
      </c>
      <c r="AK2038">
        <v>23.187004480570302</v>
      </c>
      <c r="AL2038">
        <v>88.811720681128193</v>
      </c>
      <c r="AM2038">
        <v>84.266236424228595</v>
      </c>
      <c r="AN2038">
        <v>1.0000000079706799</v>
      </c>
    </row>
    <row r="2039" spans="1:40" x14ac:dyDescent="0.25">
      <c r="A2039" t="str">
        <f>"20190312153927160"</f>
        <v>20190312153927160</v>
      </c>
      <c r="B2039" t="str">
        <f>"1552376367147680"</f>
        <v>1552376367147680</v>
      </c>
      <c r="C2039" t="s">
        <v>40</v>
      </c>
      <c r="D2039">
        <v>4.1227710000000002</v>
      </c>
      <c r="E2039">
        <v>0.54847749999999995</v>
      </c>
      <c r="F2039" t="s">
        <v>54</v>
      </c>
      <c r="G2039">
        <v>-199.9529</v>
      </c>
      <c r="H2039" s="1">
        <v>1.8943640000000001E-6</v>
      </c>
      <c r="I2039">
        <v>288.10239999999999</v>
      </c>
      <c r="J2039">
        <v>-191.5924</v>
      </c>
      <c r="K2039">
        <v>1.1088279999999999</v>
      </c>
      <c r="L2039">
        <v>309.83510000000001</v>
      </c>
      <c r="M2039">
        <v>-0.14022780000000001</v>
      </c>
      <c r="N2039">
        <v>0</v>
      </c>
      <c r="O2039">
        <v>-0.99001249999999996</v>
      </c>
      <c r="P2039">
        <v>-0.23763919999999999</v>
      </c>
      <c r="Q2039">
        <v>6.4876710000000004E-3</v>
      </c>
      <c r="R2039">
        <v>-0.97133210000000003</v>
      </c>
      <c r="S2039">
        <v>-1.0808409999999999</v>
      </c>
      <c r="T2039">
        <v>-0.14279749999999999</v>
      </c>
      <c r="U2039">
        <v>-2.825806</v>
      </c>
      <c r="V2039">
        <v>9.9145590000000006E-2</v>
      </c>
      <c r="W2039">
        <v>2.0590589999999999E-2</v>
      </c>
      <c r="X2039">
        <v>0.99485990000000002</v>
      </c>
      <c r="Y2039">
        <v>0.2223261</v>
      </c>
      <c r="Z2039">
        <v>4.7425509999999997E-2</v>
      </c>
      <c r="AA2039">
        <v>0.97381819999999997</v>
      </c>
      <c r="AB2039">
        <v>22</v>
      </c>
      <c r="AC2039">
        <v>-8.3605</v>
      </c>
      <c r="AD2039">
        <v>-1.108826105636</v>
      </c>
      <c r="AE2039">
        <v>-21.732700000000001</v>
      </c>
      <c r="AF2039">
        <v>5.2181910603652799</v>
      </c>
      <c r="AG2039">
        <v>-1.108826105636</v>
      </c>
      <c r="AH2039">
        <v>22.639082128440101</v>
      </c>
      <c r="AI2039">
        <v>92.732481805326103</v>
      </c>
      <c r="AJ2039">
        <v>77.020311962199898</v>
      </c>
      <c r="AK2039">
        <v>23.2591283777633</v>
      </c>
      <c r="AL2039">
        <v>88.820162739772798</v>
      </c>
      <c r="AM2039">
        <v>84.308817669000604</v>
      </c>
      <c r="AN2039">
        <v>1.0000000205205</v>
      </c>
    </row>
    <row r="2040" spans="1:40" x14ac:dyDescent="0.25">
      <c r="A2040" t="str">
        <f>"20190312153927181"</f>
        <v>20190312153927181</v>
      </c>
      <c r="B2040" t="str">
        <f>"1552376367177928"</f>
        <v>1552376367177928</v>
      </c>
      <c r="C2040" t="s">
        <v>40</v>
      </c>
      <c r="D2040">
        <v>4.1992349999999998</v>
      </c>
      <c r="E2040">
        <v>0.56233900000000003</v>
      </c>
      <c r="F2040" t="s">
        <v>54</v>
      </c>
      <c r="G2040">
        <v>-200.0137</v>
      </c>
      <c r="H2040" s="1">
        <v>1.932317E-6</v>
      </c>
      <c r="I2040">
        <v>287.94229999999999</v>
      </c>
      <c r="J2040">
        <v>-191.6251</v>
      </c>
      <c r="K2040">
        <v>1.1088290000000001</v>
      </c>
      <c r="L2040">
        <v>309.62599999999998</v>
      </c>
      <c r="M2040">
        <v>-0.1427638</v>
      </c>
      <c r="N2040">
        <v>0</v>
      </c>
      <c r="O2040">
        <v>-0.98965009999999998</v>
      </c>
      <c r="P2040">
        <v>-0.2394839</v>
      </c>
      <c r="Q2040">
        <v>6.2648670000000004E-3</v>
      </c>
      <c r="R2040">
        <v>-0.97088019999999997</v>
      </c>
      <c r="S2040">
        <v>-1.086212</v>
      </c>
      <c r="T2040">
        <v>-0.1430196</v>
      </c>
      <c r="U2040">
        <v>-2.8237920000000001</v>
      </c>
      <c r="V2040">
        <v>9.8485310000000006E-2</v>
      </c>
      <c r="W2040">
        <v>2.0366519999999999E-2</v>
      </c>
      <c r="X2040">
        <v>0.99493010000000004</v>
      </c>
      <c r="Y2040">
        <v>0.2216735</v>
      </c>
      <c r="Z2040">
        <v>4.7492520000000003E-2</v>
      </c>
      <c r="AA2040">
        <v>0.97396369999999999</v>
      </c>
      <c r="AB2040">
        <v>21</v>
      </c>
      <c r="AC2040">
        <v>-8.3885999999999896</v>
      </c>
      <c r="AD2040">
        <v>-1.1088270676829901</v>
      </c>
      <c r="AE2040">
        <v>-21.683699999999899</v>
      </c>
      <c r="AF2040">
        <v>5.1948653654944801</v>
      </c>
      <c r="AG2040">
        <v>-1.1088270676829901</v>
      </c>
      <c r="AH2040">
        <v>22.607834897383199</v>
      </c>
      <c r="AI2040">
        <v>92.736681011471802</v>
      </c>
      <c r="AJ2040">
        <v>77.059118608205196</v>
      </c>
      <c r="AK2040">
        <v>23.223486438925999</v>
      </c>
      <c r="AL2040">
        <v>88.8330037060244</v>
      </c>
      <c r="AM2040">
        <v>84.346869208808499</v>
      </c>
      <c r="AN2040">
        <v>1.0000000276543499</v>
      </c>
    </row>
    <row r="2041" spans="1:40" x14ac:dyDescent="0.25">
      <c r="A2041" t="str">
        <f>"20190312153927203"</f>
        <v>20190312153927203</v>
      </c>
      <c r="B2041" t="str">
        <f>"1552376367197448"</f>
        <v>1552376367197448</v>
      </c>
      <c r="C2041" t="s">
        <v>40</v>
      </c>
      <c r="D2041">
        <v>4.1742970000000001</v>
      </c>
      <c r="E2041">
        <v>0.5631815</v>
      </c>
      <c r="F2041" t="s">
        <v>54</v>
      </c>
      <c r="G2041">
        <v>-199.20439999999999</v>
      </c>
      <c r="H2041" s="1">
        <v>1.417885E-6</v>
      </c>
      <c r="I2041">
        <v>291.94479999999999</v>
      </c>
      <c r="J2041">
        <v>-191.6574</v>
      </c>
      <c r="K2041">
        <v>1.108832</v>
      </c>
      <c r="L2041">
        <v>309.42270000000002</v>
      </c>
      <c r="M2041">
        <v>-0.14523249999999999</v>
      </c>
      <c r="N2041">
        <v>0</v>
      </c>
      <c r="O2041">
        <v>-0.98929100000000003</v>
      </c>
      <c r="P2041">
        <v>-0.241261</v>
      </c>
      <c r="Q2041">
        <v>5.8506579999999999E-3</v>
      </c>
      <c r="R2041">
        <v>-0.97044269999999999</v>
      </c>
      <c r="S2041">
        <v>-1.1983490000000001</v>
      </c>
      <c r="T2041">
        <v>-0.17531440000000001</v>
      </c>
      <c r="U2041">
        <v>-2.7955320000000001</v>
      </c>
      <c r="V2041">
        <v>9.7822400000000004E-2</v>
      </c>
      <c r="W2041">
        <v>1.9951279999999998E-2</v>
      </c>
      <c r="X2041">
        <v>0.99500390000000005</v>
      </c>
      <c r="Y2041">
        <v>0.25564829999999999</v>
      </c>
      <c r="Z2041">
        <v>5.802247E-2</v>
      </c>
      <c r="AA2041">
        <v>0.96502710000000003</v>
      </c>
      <c r="AB2041">
        <v>21</v>
      </c>
      <c r="AC2041">
        <v>-7.5469999999999899</v>
      </c>
      <c r="AD2041">
        <v>-1.108830582115</v>
      </c>
      <c r="AE2041">
        <v>-17.477900000000002</v>
      </c>
      <c r="AF2041">
        <v>4.9116774829896102</v>
      </c>
      <c r="AG2041">
        <v>-1.108830582115</v>
      </c>
      <c r="AH2041">
        <v>18.3265672614491</v>
      </c>
      <c r="AI2041">
        <v>93.344647321911097</v>
      </c>
      <c r="AJ2041">
        <v>74.996824697836999</v>
      </c>
      <c r="AK2041">
        <v>19.005713576321099</v>
      </c>
      <c r="AL2041">
        <v>88.856800029970799</v>
      </c>
      <c r="AM2041">
        <v>84.385090562604901</v>
      </c>
      <c r="AN2041">
        <v>1.0000000182652999</v>
      </c>
    </row>
    <row r="2042" spans="1:40" x14ac:dyDescent="0.25">
      <c r="A2042" t="str">
        <f>"20190312153927225"</f>
        <v>20190312153927225</v>
      </c>
      <c r="B2042" t="str">
        <f>"1552376367217944"</f>
        <v>1552376367217944</v>
      </c>
      <c r="C2042" t="s">
        <v>40</v>
      </c>
      <c r="D2042">
        <v>4.2113399999999999</v>
      </c>
      <c r="E2042">
        <v>0.56329700000000005</v>
      </c>
      <c r="F2042" t="s">
        <v>54</v>
      </c>
      <c r="G2042">
        <v>-199.2946</v>
      </c>
      <c r="H2042" s="1">
        <v>1.434844E-6</v>
      </c>
      <c r="I2042">
        <v>291.80309999999997</v>
      </c>
      <c r="J2042">
        <v>-191.69200000000001</v>
      </c>
      <c r="K2042">
        <v>1.108838</v>
      </c>
      <c r="L2042">
        <v>309.2081</v>
      </c>
      <c r="M2042">
        <v>-0.1478447</v>
      </c>
      <c r="N2042">
        <v>0</v>
      </c>
      <c r="O2042">
        <v>-0.9889038</v>
      </c>
      <c r="P2042">
        <v>-0.2430485</v>
      </c>
      <c r="Q2042">
        <v>5.5607240000000004E-3</v>
      </c>
      <c r="R2042">
        <v>-0.96999840000000004</v>
      </c>
      <c r="S2042">
        <v>-1.210037</v>
      </c>
      <c r="T2042">
        <v>-0.175681</v>
      </c>
      <c r="U2042">
        <v>-2.7916259999999999</v>
      </c>
      <c r="V2042">
        <v>9.7026089999999995E-2</v>
      </c>
      <c r="W2042">
        <v>1.9660460000000001E-2</v>
      </c>
      <c r="X2042">
        <v>0.99508759999999996</v>
      </c>
      <c r="Y2042">
        <v>0.2569881</v>
      </c>
      <c r="Z2042">
        <v>5.812693E-2</v>
      </c>
      <c r="AA2042">
        <v>0.96466490000000005</v>
      </c>
      <c r="AB2042">
        <v>21</v>
      </c>
      <c r="AC2042">
        <v>-7.60259999999999</v>
      </c>
      <c r="AD2042">
        <v>-1.1088365651559999</v>
      </c>
      <c r="AE2042">
        <v>-17.405000000000001</v>
      </c>
      <c r="AF2042">
        <v>4.9287263555898901</v>
      </c>
      <c r="AG2042">
        <v>-1.1088365651559999</v>
      </c>
      <c r="AH2042">
        <v>18.275521506607799</v>
      </c>
      <c r="AI2042">
        <v>93.352575613984499</v>
      </c>
      <c r="AJ2042">
        <v>74.906978205318296</v>
      </c>
      <c r="AK2042">
        <v>18.960921611435399</v>
      </c>
      <c r="AL2042">
        <v>88.873465996035605</v>
      </c>
      <c r="AM2042">
        <v>84.430974945248394</v>
      </c>
      <c r="AN2042">
        <v>0.99999996375092903</v>
      </c>
    </row>
    <row r="2043" spans="1:40" x14ac:dyDescent="0.25">
      <c r="A2043" t="str">
        <f>"20190312153927249"</f>
        <v>20190312153927249</v>
      </c>
      <c r="B2043" t="str">
        <f>"1552376367237464"</f>
        <v>1552376367237464</v>
      </c>
      <c r="C2043" t="s">
        <v>40</v>
      </c>
      <c r="D2043">
        <v>4.2064589999999997</v>
      </c>
      <c r="E2043">
        <v>0.56344649999999996</v>
      </c>
      <c r="F2043" t="s">
        <v>54</v>
      </c>
      <c r="G2043">
        <v>-199.31440000000001</v>
      </c>
      <c r="H2043" s="1">
        <v>1.4468310000000001E-6</v>
      </c>
      <c r="I2043">
        <v>291.72500000000002</v>
      </c>
      <c r="J2043">
        <v>-191.7287</v>
      </c>
      <c r="K2043">
        <v>1.108835</v>
      </c>
      <c r="L2043">
        <v>308.98480000000001</v>
      </c>
      <c r="M2043">
        <v>-0.15056849999999999</v>
      </c>
      <c r="N2043">
        <v>0</v>
      </c>
      <c r="O2043">
        <v>-0.98849279999999995</v>
      </c>
      <c r="P2043">
        <v>-0.24536569999999999</v>
      </c>
      <c r="Q2043">
        <v>5.4657059999999999E-3</v>
      </c>
      <c r="R2043">
        <v>-0.96941529999999998</v>
      </c>
      <c r="S2043">
        <v>-1.2160340000000001</v>
      </c>
      <c r="T2043">
        <v>-0.17689759999999999</v>
      </c>
      <c r="U2043">
        <v>-2.7891539999999999</v>
      </c>
      <c r="V2043">
        <v>9.6661899999999995E-2</v>
      </c>
      <c r="W2043">
        <v>1.956225E-2</v>
      </c>
      <c r="X2043">
        <v>0.99512500000000004</v>
      </c>
      <c r="Y2043">
        <v>0.25637280000000001</v>
      </c>
      <c r="Z2043">
        <v>5.8519809999999998E-2</v>
      </c>
      <c r="AA2043">
        <v>0.96480480000000002</v>
      </c>
      <c r="AB2043">
        <v>21</v>
      </c>
      <c r="AC2043">
        <v>-7.5857000000000001</v>
      </c>
      <c r="AD2043">
        <v>-1.1088335531689999</v>
      </c>
      <c r="AE2043">
        <v>-17.259799999999899</v>
      </c>
      <c r="AF2043">
        <v>4.8832532800424504</v>
      </c>
      <c r="AG2043">
        <v>-1.1088335531689999</v>
      </c>
      <c r="AH2043">
        <v>18.142520624937202</v>
      </c>
      <c r="AI2043">
        <v>93.377535208871194</v>
      </c>
      <c r="AJ2043">
        <v>74.935256039558098</v>
      </c>
      <c r="AK2043">
        <v>18.820912014882499</v>
      </c>
      <c r="AL2043">
        <v>88.879094121062494</v>
      </c>
      <c r="AM2043">
        <v>84.451954974507601</v>
      </c>
      <c r="AN2043">
        <v>0.99999998508083598</v>
      </c>
    </row>
    <row r="2044" spans="1:40" x14ac:dyDescent="0.25">
      <c r="A2044" t="str">
        <f>"20190312153927271"</f>
        <v>20190312153927271</v>
      </c>
      <c r="B2044" t="str">
        <f>"1552376367267720"</f>
        <v>1552376367267720</v>
      </c>
      <c r="C2044" t="s">
        <v>40</v>
      </c>
      <c r="D2044">
        <v>4.2168760000000001</v>
      </c>
      <c r="E2044">
        <v>0.56364190000000003</v>
      </c>
      <c r="F2044" t="s">
        <v>54</v>
      </c>
      <c r="G2044">
        <v>-199.4041</v>
      </c>
      <c r="H2044" s="1">
        <v>1.4762900000000001E-6</v>
      </c>
      <c r="I2044">
        <v>291.51260000000002</v>
      </c>
      <c r="J2044">
        <v>-191.76320000000001</v>
      </c>
      <c r="K2044">
        <v>1.1088389999999999</v>
      </c>
      <c r="L2044">
        <v>308.7783</v>
      </c>
      <c r="M2044">
        <v>-0.15309029999999901</v>
      </c>
      <c r="N2044">
        <v>0</v>
      </c>
      <c r="O2044">
        <v>-0.98810580000000003</v>
      </c>
      <c r="P2044">
        <v>-0.24795690000000001</v>
      </c>
      <c r="Q2044">
        <v>4.9764020000000004E-3</v>
      </c>
      <c r="R2044">
        <v>-0.96875849999999997</v>
      </c>
      <c r="S2044">
        <v>-1.223816</v>
      </c>
      <c r="T2044">
        <v>-0.1768006</v>
      </c>
      <c r="U2044">
        <v>-2.7858890000000001</v>
      </c>
      <c r="V2044">
        <v>9.6781130000000007E-2</v>
      </c>
      <c r="W2044">
        <v>1.906834E-2</v>
      </c>
      <c r="X2044">
        <v>0.99512299999999998</v>
      </c>
      <c r="Y2044">
        <v>0.25658320000000001</v>
      </c>
      <c r="Z2044">
        <v>5.8483E-2</v>
      </c>
      <c r="AA2044">
        <v>0.96475120000000003</v>
      </c>
      <c r="AB2044">
        <v>21</v>
      </c>
      <c r="AC2044">
        <v>-7.6408999999999798</v>
      </c>
      <c r="AD2044">
        <v>-1.1088375237100001</v>
      </c>
      <c r="AE2044">
        <v>-17.265699999999899</v>
      </c>
      <c r="AF2044">
        <v>4.8904553136305102</v>
      </c>
      <c r="AG2044">
        <v>-1.1088375237100001</v>
      </c>
      <c r="AH2044">
        <v>18.169337312018399</v>
      </c>
      <c r="AI2044">
        <v>93.372574505946503</v>
      </c>
      <c r="AJ2044">
        <v>74.935302981049304</v>
      </c>
      <c r="AK2044">
        <v>18.848631042770901</v>
      </c>
      <c r="AL2044">
        <v>88.907398362617997</v>
      </c>
      <c r="AM2044">
        <v>84.445143283102894</v>
      </c>
      <c r="AN2044">
        <v>0.99999998692171599</v>
      </c>
    </row>
    <row r="2045" spans="1:40" x14ac:dyDescent="0.25">
      <c r="A2045" t="str">
        <f>"20190312153927294"</f>
        <v>20190312153927294</v>
      </c>
      <c r="B2045" t="str">
        <f>"1552376367288216"</f>
        <v>1552376367288216</v>
      </c>
      <c r="C2045" t="s">
        <v>40</v>
      </c>
      <c r="D2045">
        <v>4.227805</v>
      </c>
      <c r="E2045">
        <v>0.56352139999999995</v>
      </c>
      <c r="F2045" t="s">
        <v>54</v>
      </c>
      <c r="G2045">
        <v>-199.452</v>
      </c>
      <c r="H2045" s="1">
        <v>1.487018E-6</v>
      </c>
      <c r="I2045">
        <v>291.42759999999998</v>
      </c>
      <c r="J2045">
        <v>-191.79949999999999</v>
      </c>
      <c r="K2045">
        <v>1.1088420000000001</v>
      </c>
      <c r="L2045">
        <v>308.56450000000001</v>
      </c>
      <c r="M2045">
        <v>-0.15570300000000001</v>
      </c>
      <c r="N2045">
        <v>0</v>
      </c>
      <c r="O2045">
        <v>-0.9876973</v>
      </c>
      <c r="P2045">
        <v>-0.25095919999999999</v>
      </c>
      <c r="Q2045">
        <v>4.9104359999999998E-3</v>
      </c>
      <c r="R2045">
        <v>-0.96798519999999999</v>
      </c>
      <c r="S2045">
        <v>-1.232864</v>
      </c>
      <c r="T2045">
        <v>-0.17779679999999901</v>
      </c>
      <c r="U2045">
        <v>-2.7821039999999999</v>
      </c>
      <c r="V2045">
        <v>9.7234169999999995E-2</v>
      </c>
      <c r="W2045">
        <v>1.899588E-2</v>
      </c>
      <c r="X2045">
        <v>0.99508019999999997</v>
      </c>
      <c r="Y2045">
        <v>0.25712849999999998</v>
      </c>
      <c r="Z2045">
        <v>5.8806499999999998E-2</v>
      </c>
      <c r="AA2045">
        <v>0.96458630000000001</v>
      </c>
      <c r="AB2045">
        <v>21</v>
      </c>
      <c r="AC2045">
        <v>-7.6524999999999999</v>
      </c>
      <c r="AD2045">
        <v>-1.108840512982</v>
      </c>
      <c r="AE2045">
        <v>-17.136900000000001</v>
      </c>
      <c r="AF2045">
        <v>4.8735898874655499</v>
      </c>
      <c r="AG2045">
        <v>-1.108840512982</v>
      </c>
      <c r="AH2045">
        <v>18.056466453859802</v>
      </c>
      <c r="AI2045">
        <v>93.392979747160496</v>
      </c>
      <c r="AJ2045">
        <v>74.895322839766607</v>
      </c>
      <c r="AK2045">
        <v>18.735458000107801</v>
      </c>
      <c r="AL2045">
        <v>88.911550744033505</v>
      </c>
      <c r="AM2045">
        <v>84.419065816396994</v>
      </c>
      <c r="AN2045">
        <v>0.999999965852301</v>
      </c>
    </row>
    <row r="2046" spans="1:40" x14ac:dyDescent="0.25">
      <c r="A2046" t="str">
        <f>"20190312153927315"</f>
        <v>20190312153927315</v>
      </c>
      <c r="B2046" t="str">
        <f>"1552376367307736"</f>
        <v>1552376367307736</v>
      </c>
      <c r="C2046" t="s">
        <v>40</v>
      </c>
      <c r="D2046">
        <v>4.2433500000000004</v>
      </c>
      <c r="E2046">
        <v>0.5633937</v>
      </c>
      <c r="F2046" t="s">
        <v>54</v>
      </c>
      <c r="G2046">
        <v>-199.55359999999999</v>
      </c>
      <c r="H2046" s="1">
        <v>1.518631E-6</v>
      </c>
      <c r="I2046">
        <v>291.19690000000003</v>
      </c>
      <c r="J2046">
        <v>-191.83349999999999</v>
      </c>
      <c r="K2046">
        <v>1.108843</v>
      </c>
      <c r="L2046">
        <v>308.36689999999999</v>
      </c>
      <c r="M2046">
        <v>-0.15811979999999901</v>
      </c>
      <c r="N2046">
        <v>0</v>
      </c>
      <c r="O2046">
        <v>-0.98731360000000001</v>
      </c>
      <c r="P2046">
        <v>-0.25415680000000002</v>
      </c>
      <c r="Q2046">
        <v>4.9023319999999997E-3</v>
      </c>
      <c r="R2046">
        <v>-0.96715070000000003</v>
      </c>
      <c r="S2046">
        <v>-1.2405090000000001</v>
      </c>
      <c r="T2046">
        <v>-0.17739240000000001</v>
      </c>
      <c r="U2046">
        <v>-2.778473</v>
      </c>
      <c r="V2046">
        <v>9.808712E-2</v>
      </c>
      <c r="W2046">
        <v>1.897919E-2</v>
      </c>
      <c r="X2046">
        <v>0.99499680000000001</v>
      </c>
      <c r="Y2046">
        <v>0.25744889999999998</v>
      </c>
      <c r="Z2046">
        <v>5.8674900000000002E-2</v>
      </c>
      <c r="AA2046">
        <v>0.96450880000000005</v>
      </c>
      <c r="AB2046">
        <v>21</v>
      </c>
      <c r="AC2046">
        <v>-7.7201000000000004</v>
      </c>
      <c r="AD2046">
        <v>-1.108841481369</v>
      </c>
      <c r="AE2046">
        <v>-17.169999999999899</v>
      </c>
      <c r="AF2046">
        <v>4.8907907318803003</v>
      </c>
      <c r="AG2046">
        <v>-1.108841481369</v>
      </c>
      <c r="AH2046">
        <v>18.1119487860182</v>
      </c>
      <c r="AI2046">
        <v>93.382508799018893</v>
      </c>
      <c r="AJ2046">
        <v>74.888760297790299</v>
      </c>
      <c r="AK2046">
        <v>18.793404487777</v>
      </c>
      <c r="AL2046">
        <v>88.912507179283196</v>
      </c>
      <c r="AM2046">
        <v>84.369953467814895</v>
      </c>
      <c r="AN2046">
        <v>0.99999996238659405</v>
      </c>
    </row>
    <row r="2047" spans="1:40" x14ac:dyDescent="0.25">
      <c r="A2047" t="str">
        <f>"20190312153927337"</f>
        <v>20190312153927337</v>
      </c>
      <c r="B2047" t="str">
        <f>"1552376367327260"</f>
        <v>1552376367327260</v>
      </c>
      <c r="C2047" t="s">
        <v>40</v>
      </c>
      <c r="D2047">
        <v>4.2462970000000002</v>
      </c>
      <c r="E2047">
        <v>0.56332680000000002</v>
      </c>
      <c r="F2047" t="s">
        <v>54</v>
      </c>
      <c r="G2047">
        <v>-199.7099</v>
      </c>
      <c r="H2047" s="1">
        <v>1.563065E-6</v>
      </c>
      <c r="I2047">
        <v>290.86590000000001</v>
      </c>
      <c r="J2047">
        <v>-191.87119999999999</v>
      </c>
      <c r="K2047">
        <v>1.108851</v>
      </c>
      <c r="L2047">
        <v>308.15159999999997</v>
      </c>
      <c r="M2047">
        <v>-0.16075300000000001</v>
      </c>
      <c r="N2047">
        <v>0</v>
      </c>
      <c r="O2047">
        <v>-0.98688819999999999</v>
      </c>
      <c r="P2047">
        <v>-0.25767679999999998</v>
      </c>
      <c r="Q2047">
        <v>5.3662529999999996E-3</v>
      </c>
      <c r="R2047">
        <v>-0.96621610000000002</v>
      </c>
      <c r="S2047">
        <v>-1.248718</v>
      </c>
      <c r="T2047">
        <v>-0.17579690000000001</v>
      </c>
      <c r="U2047">
        <v>-2.7746279999999999</v>
      </c>
      <c r="V2047">
        <v>9.9057820000000005E-2</v>
      </c>
      <c r="W2047">
        <v>1.9433530000000001E-2</v>
      </c>
      <c r="X2047">
        <v>0.99489190000000005</v>
      </c>
      <c r="Y2047">
        <v>0.25775730000000002</v>
      </c>
      <c r="Z2047">
        <v>5.814867E-2</v>
      </c>
      <c r="AA2047">
        <v>0.96445829999999999</v>
      </c>
      <c r="AB2047">
        <v>21</v>
      </c>
      <c r="AC2047">
        <v>-7.83870000000001</v>
      </c>
      <c r="AD2047">
        <v>-1.1088494369349999</v>
      </c>
      <c r="AE2047">
        <v>-17.285699999999899</v>
      </c>
      <c r="AF2047">
        <v>4.9408496220905498</v>
      </c>
      <c r="AG2047">
        <v>-1.1088494369349999</v>
      </c>
      <c r="AH2047">
        <v>18.2587536758315</v>
      </c>
      <c r="AI2047">
        <v>93.354917900532001</v>
      </c>
      <c r="AJ2047">
        <v>74.858297803529993</v>
      </c>
      <c r="AK2047">
        <v>18.947918826525299</v>
      </c>
      <c r="AL2047">
        <v>88.886470656427903</v>
      </c>
      <c r="AM2047">
        <v>84.314004529605697</v>
      </c>
      <c r="AN2047">
        <v>1.0000000032385099</v>
      </c>
    </row>
    <row r="2048" spans="1:40" x14ac:dyDescent="0.25">
      <c r="A2048" t="str">
        <f>"20190312153927359"</f>
        <v>20190312153927359</v>
      </c>
      <c r="B2048" t="str">
        <f>"1552376367347752"</f>
        <v>1552376367347752</v>
      </c>
      <c r="C2048" t="s">
        <v>40</v>
      </c>
      <c r="D2048">
        <v>4.2326449999999998</v>
      </c>
      <c r="E2048">
        <v>0.56321480000000002</v>
      </c>
      <c r="F2048" t="s">
        <v>54</v>
      </c>
      <c r="G2048">
        <v>-199.91059999999999</v>
      </c>
      <c r="H2048" s="1">
        <v>1.618176E-6</v>
      </c>
      <c r="I2048">
        <v>290.45190000000002</v>
      </c>
      <c r="J2048">
        <v>-191.90700000000001</v>
      </c>
      <c r="K2048">
        <v>1.1088639999999901</v>
      </c>
      <c r="L2048">
        <v>307.95060000000001</v>
      </c>
      <c r="M2048">
        <v>-0.1632112</v>
      </c>
      <c r="N2048">
        <v>0</v>
      </c>
      <c r="O2048">
        <v>-0.98648460000000004</v>
      </c>
      <c r="P2048">
        <v>-0.26114270000000001</v>
      </c>
      <c r="Q2048">
        <v>6.1723259999999997E-3</v>
      </c>
      <c r="R2048">
        <v>-0.96528049999999999</v>
      </c>
      <c r="S2048">
        <v>-1.2582549999999999</v>
      </c>
      <c r="T2048">
        <v>-0.17354710000000001</v>
      </c>
      <c r="U2048">
        <v>-2.770203</v>
      </c>
      <c r="V2048">
        <v>0.1001533</v>
      </c>
      <c r="W2048">
        <v>2.0230169999999999E-2</v>
      </c>
      <c r="X2048">
        <v>0.99476640000000005</v>
      </c>
      <c r="Y2048">
        <v>0.2587005</v>
      </c>
      <c r="Z2048">
        <v>5.7408849999999997E-2</v>
      </c>
      <c r="AA2048">
        <v>0.9642501</v>
      </c>
      <c r="AB2048">
        <v>21</v>
      </c>
      <c r="AC2048">
        <v>-8.0035999999999703</v>
      </c>
      <c r="AD2048">
        <v>-1.10886238182399</v>
      </c>
      <c r="AE2048">
        <v>-17.4986999999999</v>
      </c>
      <c r="AF2048">
        <v>5.0232926672477696</v>
      </c>
      <c r="AG2048">
        <v>-1.10886238182399</v>
      </c>
      <c r="AH2048">
        <v>18.508962409336998</v>
      </c>
      <c r="AI2048">
        <v>93.309041649751293</v>
      </c>
      <c r="AJ2048">
        <v>74.815801993090005</v>
      </c>
      <c r="AK2048">
        <v>19.210537068830199</v>
      </c>
      <c r="AL2048">
        <v>88.840817640794</v>
      </c>
      <c r="AM2048">
        <v>84.250821610453201</v>
      </c>
      <c r="AN2048">
        <v>1.0000000669240301</v>
      </c>
    </row>
    <row r="2049" spans="1:40" x14ac:dyDescent="0.25">
      <c r="A2049" t="str">
        <f>"20190312153927391"</f>
        <v>20190312153927391</v>
      </c>
      <c r="B2049" t="str">
        <f>"1552376367387768"</f>
        <v>1552376367387768</v>
      </c>
      <c r="C2049" t="s">
        <v>40</v>
      </c>
      <c r="D2049">
        <v>4.1872150000000001</v>
      </c>
      <c r="E2049">
        <v>0.56310509999999903</v>
      </c>
      <c r="F2049" t="s">
        <v>54</v>
      </c>
      <c r="G2049">
        <v>-200.06360000000001</v>
      </c>
      <c r="H2049" s="1">
        <v>1.718716E-6</v>
      </c>
      <c r="I2049">
        <v>290.14999999999998</v>
      </c>
      <c r="J2049">
        <v>-191.96129999999999</v>
      </c>
      <c r="K2049">
        <v>1.108886</v>
      </c>
      <c r="L2049">
        <v>307.64999999999998</v>
      </c>
      <c r="M2049">
        <v>-0.1668876</v>
      </c>
      <c r="N2049">
        <v>0</v>
      </c>
      <c r="O2049">
        <v>-0.98586960000000001</v>
      </c>
      <c r="P2049">
        <v>-0.26551809999999998</v>
      </c>
      <c r="Q2049">
        <v>7.406475E-3</v>
      </c>
      <c r="R2049">
        <v>-0.96407750000000003</v>
      </c>
      <c r="S2049">
        <v>-1.267487</v>
      </c>
      <c r="T2049">
        <v>-0.17231050000000001</v>
      </c>
      <c r="U2049">
        <v>-2.7661129999999998</v>
      </c>
      <c r="V2049">
        <v>0.1009623</v>
      </c>
      <c r="W2049">
        <v>2.1454419999999998E-2</v>
      </c>
      <c r="X2049">
        <v>0.99465890000000001</v>
      </c>
      <c r="Y2049">
        <v>0.25830959999999997</v>
      </c>
      <c r="Z2049">
        <v>5.6989690000000003E-2</v>
      </c>
      <c r="AA2049">
        <v>0.96437980000000001</v>
      </c>
      <c r="AB2049">
        <v>21</v>
      </c>
      <c r="AC2049">
        <v>-8.1023000000000103</v>
      </c>
      <c r="AD2049">
        <v>-1.1088842812840001</v>
      </c>
      <c r="AE2049">
        <v>-17.5</v>
      </c>
      <c r="AF2049">
        <v>5.0511087899840001</v>
      </c>
      <c r="AG2049">
        <v>-1.1088842812840001</v>
      </c>
      <c r="AH2049">
        <v>18.545523981789199</v>
      </c>
      <c r="AI2049">
        <v>93.301792749807703</v>
      </c>
      <c r="AJ2049">
        <v>74.764326008542</v>
      </c>
      <c r="AK2049">
        <v>19.2530460996865</v>
      </c>
      <c r="AL2049">
        <v>88.770657963770105</v>
      </c>
      <c r="AM2049">
        <v>84.204074713930396</v>
      </c>
      <c r="AN2049">
        <v>1.0000000027540099</v>
      </c>
    </row>
    <row r="2050" spans="1:40" x14ac:dyDescent="0.25">
      <c r="A2050" t="str">
        <f>"20190312153927415"</f>
        <v>20190312153927415</v>
      </c>
      <c r="B2050" t="str">
        <f>"1552376367407287"</f>
        <v>1552376367407287</v>
      </c>
      <c r="C2050" t="s">
        <v>40</v>
      </c>
      <c r="D2050">
        <v>4.1770870000000002</v>
      </c>
      <c r="E2050">
        <v>0.56309880000000001</v>
      </c>
      <c r="F2050" t="s">
        <v>54</v>
      </c>
      <c r="G2050">
        <v>-200.32570000000001</v>
      </c>
      <c r="H2050" s="1">
        <v>1.9257079999999998E-6</v>
      </c>
      <c r="I2050">
        <v>289.6003</v>
      </c>
      <c r="J2050">
        <v>-192.00110000000001</v>
      </c>
      <c r="K2050">
        <v>1.108894</v>
      </c>
      <c r="L2050">
        <v>307.43400000000003</v>
      </c>
      <c r="M2050">
        <v>-0.16953019999999999</v>
      </c>
      <c r="N2050">
        <v>0</v>
      </c>
      <c r="O2050">
        <v>-0.98541869999999998</v>
      </c>
      <c r="P2050">
        <v>-0.26804640000000002</v>
      </c>
      <c r="Q2050">
        <v>8.2798239999999999E-3</v>
      </c>
      <c r="R2050">
        <v>-0.96337059999999997</v>
      </c>
      <c r="S2050">
        <v>-1.2793429999999999</v>
      </c>
      <c r="T2050">
        <v>-0.16960600000000001</v>
      </c>
      <c r="U2050">
        <v>-2.760742</v>
      </c>
      <c r="V2050">
        <v>0.1009089</v>
      </c>
      <c r="W2050">
        <v>2.2323490000000001E-2</v>
      </c>
      <c r="X2050">
        <v>0.99464520000000001</v>
      </c>
      <c r="Y2050">
        <v>0.25986609999999999</v>
      </c>
      <c r="Z2050">
        <v>5.6098410000000001E-2</v>
      </c>
      <c r="AA2050">
        <v>0.96401380000000003</v>
      </c>
      <c r="AB2050">
        <v>21</v>
      </c>
      <c r="AC2050">
        <v>-8.3246000000000002</v>
      </c>
      <c r="AD2050">
        <v>-1.1088920742919901</v>
      </c>
      <c r="AE2050">
        <v>-17.8337</v>
      </c>
      <c r="AF2050">
        <v>5.1640148672255703</v>
      </c>
      <c r="AG2050">
        <v>-1.1088920742919901</v>
      </c>
      <c r="AH2050">
        <v>18.926836752449901</v>
      </c>
      <c r="AI2050">
        <v>93.235046341259704</v>
      </c>
      <c r="AJ2050">
        <v>74.7388226894914</v>
      </c>
      <c r="AK2050">
        <v>19.6499832222637</v>
      </c>
      <c r="AL2050">
        <v>88.720851994239297</v>
      </c>
      <c r="AM2050">
        <v>84.207040137717499</v>
      </c>
      <c r="AN2050">
        <v>1.00000000909401</v>
      </c>
    </row>
    <row r="2051" spans="1:40" x14ac:dyDescent="0.25">
      <c r="A2051" t="str">
        <f>"20190312153927439"</f>
        <v>20190312153927439</v>
      </c>
      <c r="B2051" t="str">
        <f>"1552376367427784"</f>
        <v>1552376367427784</v>
      </c>
      <c r="C2051" t="s">
        <v>40</v>
      </c>
      <c r="D2051">
        <v>4.1524890000000001</v>
      </c>
      <c r="E2051">
        <v>0.56307079999999998</v>
      </c>
      <c r="F2051" t="s">
        <v>54</v>
      </c>
      <c r="G2051">
        <v>-200.52600000000001</v>
      </c>
      <c r="H2051" s="1">
        <v>2.0529179999999999E-6</v>
      </c>
      <c r="I2051">
        <v>289.16129999999998</v>
      </c>
      <c r="J2051">
        <v>-192.0412</v>
      </c>
      <c r="K2051">
        <v>1.1089009999999999</v>
      </c>
      <c r="L2051">
        <v>307.21980000000002</v>
      </c>
      <c r="M2051">
        <v>-0.17215030000000001</v>
      </c>
      <c r="N2051">
        <v>0</v>
      </c>
      <c r="O2051">
        <v>-0.98496470000000003</v>
      </c>
      <c r="P2051">
        <v>-0.27011960000000002</v>
      </c>
      <c r="Q2051">
        <v>8.2332199999999994E-3</v>
      </c>
      <c r="R2051">
        <v>-0.96279199999999998</v>
      </c>
      <c r="S2051">
        <v>-1.2864990000000001</v>
      </c>
      <c r="T2051">
        <v>-0.16734389999999999</v>
      </c>
      <c r="U2051">
        <v>-2.7575379999999998</v>
      </c>
      <c r="V2051">
        <v>0.1004041</v>
      </c>
      <c r="W2051">
        <v>2.2275340000000001E-2</v>
      </c>
      <c r="X2051">
        <v>0.99469730000000001</v>
      </c>
      <c r="Y2051">
        <v>0.25980009999999998</v>
      </c>
      <c r="Z2051">
        <v>5.5344200000000003E-2</v>
      </c>
      <c r="AA2051">
        <v>0.96407509999999996</v>
      </c>
      <c r="AB2051">
        <v>21</v>
      </c>
      <c r="AC2051">
        <v>-8.4847999999999697</v>
      </c>
      <c r="AD2051">
        <v>-1.1088989470820001</v>
      </c>
      <c r="AE2051">
        <v>-18.058499999999999</v>
      </c>
      <c r="AF2051">
        <v>5.2328371448773003</v>
      </c>
      <c r="AG2051">
        <v>-1.1088989470820001</v>
      </c>
      <c r="AH2051">
        <v>19.190380473488698</v>
      </c>
      <c r="AI2051">
        <v>93.190861120188103</v>
      </c>
      <c r="AJ2051">
        <v>74.747390676932199</v>
      </c>
      <c r="AK2051">
        <v>19.921921196935401</v>
      </c>
      <c r="AL2051">
        <v>88.723611392076293</v>
      </c>
      <c r="AM2051">
        <v>84.236123859844298</v>
      </c>
      <c r="AN2051">
        <v>0.99999994634810596</v>
      </c>
    </row>
    <row r="2052" spans="1:40" x14ac:dyDescent="0.25">
      <c r="A2052" t="str">
        <f>"20190312153927459"</f>
        <v>20190312153927459</v>
      </c>
      <c r="B2052" t="str">
        <f>"1552376367448280"</f>
        <v>1552376367448280</v>
      </c>
      <c r="C2052" t="s">
        <v>40</v>
      </c>
      <c r="D2052">
        <v>4.203595</v>
      </c>
      <c r="E2052">
        <v>0.56299639999999995</v>
      </c>
      <c r="F2052" t="s">
        <v>54</v>
      </c>
      <c r="G2052">
        <v>-200.55289999999999</v>
      </c>
      <c r="H2052" s="1">
        <v>2.0722759999999998E-6</v>
      </c>
      <c r="I2052">
        <v>289.07600000000002</v>
      </c>
      <c r="J2052">
        <v>-192.0779</v>
      </c>
      <c r="K2052">
        <v>1.1089100000000001</v>
      </c>
      <c r="L2052">
        <v>307.0258</v>
      </c>
      <c r="M2052">
        <v>-0.17452309999999999</v>
      </c>
      <c r="N2052">
        <v>0</v>
      </c>
      <c r="O2052">
        <v>-0.98454680000000006</v>
      </c>
      <c r="P2052">
        <v>-0.27115739999999999</v>
      </c>
      <c r="Q2052">
        <v>8.2629629999999999E-3</v>
      </c>
      <c r="R2052">
        <v>-0.96249969999999996</v>
      </c>
      <c r="S2052">
        <v>-1.292343</v>
      </c>
      <c r="T2052">
        <v>-0.1683656</v>
      </c>
      <c r="U2052">
        <v>-2.754791</v>
      </c>
      <c r="V2052">
        <v>9.9079150000000005E-2</v>
      </c>
      <c r="W2052">
        <v>2.2308229999999998E-2</v>
      </c>
      <c r="X2052">
        <v>0.99482950000000003</v>
      </c>
      <c r="Y2052">
        <v>0.25951160000000001</v>
      </c>
      <c r="Z2052">
        <v>5.5674139999999997E-2</v>
      </c>
      <c r="AA2052">
        <v>0.96413389999999999</v>
      </c>
      <c r="AB2052">
        <v>21</v>
      </c>
      <c r="AC2052">
        <v>-8.4749999999999908</v>
      </c>
      <c r="AD2052">
        <v>-1.1089079277239999</v>
      </c>
      <c r="AE2052">
        <v>-17.9498</v>
      </c>
      <c r="AF2052">
        <v>5.1957098248702902</v>
      </c>
      <c r="AG2052">
        <v>-1.1089079277239999</v>
      </c>
      <c r="AH2052">
        <v>19.093916728346599</v>
      </c>
      <c r="AI2052">
        <v>93.207433975279102</v>
      </c>
      <c r="AJ2052">
        <v>74.777625871863293</v>
      </c>
      <c r="AK2052">
        <v>19.819251585402</v>
      </c>
      <c r="AL2052">
        <v>88.721726578200006</v>
      </c>
      <c r="AM2052">
        <v>84.312433808821098</v>
      </c>
      <c r="AN2052">
        <v>1.0000000345803499</v>
      </c>
    </row>
    <row r="2053" spans="1:40" x14ac:dyDescent="0.25">
      <c r="A2053" t="str">
        <f>"20190312153927483"</f>
        <v>20190312153927483</v>
      </c>
      <c r="B2053" t="str">
        <f>"1552376367477562"</f>
        <v>1552376367477562</v>
      </c>
      <c r="C2053" t="s">
        <v>40</v>
      </c>
      <c r="D2053">
        <v>4.1338210000000002</v>
      </c>
      <c r="E2053">
        <v>0.56302959999999902</v>
      </c>
      <c r="F2053" t="s">
        <v>54</v>
      </c>
      <c r="G2053">
        <v>-200.66200000000001</v>
      </c>
      <c r="H2053" s="1">
        <v>2.1473620000000002E-6</v>
      </c>
      <c r="I2053">
        <v>288.77080000000001</v>
      </c>
      <c r="J2053">
        <v>-192.11949999999999</v>
      </c>
      <c r="K2053">
        <v>1.108916</v>
      </c>
      <c r="L2053">
        <v>306.81</v>
      </c>
      <c r="M2053">
        <v>-0.17716390000000001</v>
      </c>
      <c r="N2053">
        <v>0</v>
      </c>
      <c r="O2053">
        <v>-0.98407509999999998</v>
      </c>
      <c r="P2053">
        <v>-0.27272469999999999</v>
      </c>
      <c r="Q2053">
        <v>8.1553890000000007E-3</v>
      </c>
      <c r="R2053">
        <v>-0.96205779999999996</v>
      </c>
      <c r="S2053">
        <v>-1.2947850000000001</v>
      </c>
      <c r="T2053">
        <v>-0.167263</v>
      </c>
      <c r="U2053">
        <v>-2.7535099999999999</v>
      </c>
      <c r="V2053">
        <v>9.8029329999999998E-2</v>
      </c>
      <c r="W2053">
        <v>2.2201439999999999E-2</v>
      </c>
      <c r="X2053">
        <v>0.99493589999999998</v>
      </c>
      <c r="Y2053">
        <v>0.25780219999999998</v>
      </c>
      <c r="Z2053">
        <v>5.5297359999999997E-2</v>
      </c>
      <c r="AA2053">
        <v>0.96461399999999997</v>
      </c>
      <c r="AB2053">
        <v>21</v>
      </c>
      <c r="AC2053">
        <v>-8.5425000000000093</v>
      </c>
      <c r="AD2053">
        <v>-1.108913852638</v>
      </c>
      <c r="AE2053">
        <v>-18.039199999999902</v>
      </c>
      <c r="AF2053">
        <v>5.1950760045435196</v>
      </c>
      <c r="AG2053">
        <v>-1.108913852638</v>
      </c>
      <c r="AH2053">
        <v>19.2080761294553</v>
      </c>
      <c r="AI2053">
        <v>93.189754788888806</v>
      </c>
      <c r="AJ2053">
        <v>74.865696434027498</v>
      </c>
      <c r="AK2053">
        <v>19.929091630591401</v>
      </c>
      <c r="AL2053">
        <v>88.7278467287761</v>
      </c>
      <c r="AM2053">
        <v>84.372907027876096</v>
      </c>
      <c r="AN2053">
        <v>1.0000000492935599</v>
      </c>
    </row>
    <row r="2054" spans="1:40" x14ac:dyDescent="0.25">
      <c r="A2054" t="str">
        <f>"20190312153927505"</f>
        <v>20190312153927505</v>
      </c>
      <c r="B2054" t="str">
        <f>"1552376367498056"</f>
        <v>1552376367498056</v>
      </c>
      <c r="C2054" t="s">
        <v>40</v>
      </c>
      <c r="D2054">
        <v>4.0467510000000004</v>
      </c>
      <c r="E2054">
        <v>0.5625057</v>
      </c>
      <c r="F2054" t="s">
        <v>54</v>
      </c>
      <c r="G2054">
        <v>-200.7047</v>
      </c>
      <c r="H2054" s="1">
        <v>2.1784019999999998E-6</v>
      </c>
      <c r="I2054">
        <v>288.63209999999998</v>
      </c>
      <c r="J2054">
        <v>-192.15969999999999</v>
      </c>
      <c r="K2054">
        <v>1.108922</v>
      </c>
      <c r="L2054">
        <v>306.6037</v>
      </c>
      <c r="M2054">
        <v>-0.17968979999999901</v>
      </c>
      <c r="N2054">
        <v>0</v>
      </c>
      <c r="O2054">
        <v>-0.98361719999999997</v>
      </c>
      <c r="P2054">
        <v>-0.27448699999999998</v>
      </c>
      <c r="Q2054">
        <v>8.5777900000000001E-3</v>
      </c>
      <c r="R2054">
        <v>-0.96155290000000004</v>
      </c>
      <c r="S2054">
        <v>-1.2994540000000001</v>
      </c>
      <c r="T2054">
        <v>-0.16784499999999999</v>
      </c>
      <c r="U2054">
        <v>-2.751404</v>
      </c>
      <c r="V2054">
        <v>9.7299579999999997E-2</v>
      </c>
      <c r="W2054">
        <v>2.2623819999999999E-2</v>
      </c>
      <c r="X2054">
        <v>0.99499800000000005</v>
      </c>
      <c r="Y2054">
        <v>0.25694099999999997</v>
      </c>
      <c r="Z2054">
        <v>5.5476209999999998E-2</v>
      </c>
      <c r="AA2054">
        <v>0.96483350000000001</v>
      </c>
      <c r="AB2054">
        <v>21</v>
      </c>
      <c r="AC2054">
        <v>-8.5450000000000106</v>
      </c>
      <c r="AD2054">
        <v>-1.1089198215979901</v>
      </c>
      <c r="AE2054">
        <v>-17.971599999999999</v>
      </c>
      <c r="AF2054">
        <v>5.1602118910825503</v>
      </c>
      <c r="AG2054">
        <v>-1.1089198215979901</v>
      </c>
      <c r="AH2054">
        <v>19.155146754143001</v>
      </c>
      <c r="AI2054">
        <v>93.199429216139507</v>
      </c>
      <c r="AJ2054">
        <v>74.922986273557498</v>
      </c>
      <c r="AK2054">
        <v>19.868999398670201</v>
      </c>
      <c r="AL2054">
        <v>88.703640036407194</v>
      </c>
      <c r="AM2054">
        <v>84.4148767645611</v>
      </c>
      <c r="AN2054">
        <v>1.00000003275178</v>
      </c>
    </row>
    <row r="2055" spans="1:40" x14ac:dyDescent="0.25">
      <c r="A2055" t="str">
        <f>"20190312153927528"</f>
        <v>20190312153927528</v>
      </c>
      <c r="B2055" t="str">
        <f>"1552376367517576"</f>
        <v>1552376367517576</v>
      </c>
      <c r="C2055" t="s">
        <v>40</v>
      </c>
      <c r="D2055">
        <v>4.1093129999999896</v>
      </c>
      <c r="E2055">
        <v>0.53541159999999999</v>
      </c>
      <c r="F2055" t="s">
        <v>54</v>
      </c>
      <c r="G2055">
        <v>-201.00389999999999</v>
      </c>
      <c r="H2055" s="1">
        <v>2.3747139999999999E-6</v>
      </c>
      <c r="I2055">
        <v>287.90449999999998</v>
      </c>
      <c r="J2055">
        <v>-192.2002</v>
      </c>
      <c r="K2055">
        <v>1.1089310000000001</v>
      </c>
      <c r="L2055">
        <v>306.39870000000002</v>
      </c>
      <c r="M2055">
        <v>-0.1821982</v>
      </c>
      <c r="N2055">
        <v>0</v>
      </c>
      <c r="O2055">
        <v>-0.98315560000000002</v>
      </c>
      <c r="P2055">
        <v>-0.27677819999999997</v>
      </c>
      <c r="Q2055">
        <v>8.695688E-3</v>
      </c>
      <c r="R2055">
        <v>-0.96089460000000004</v>
      </c>
      <c r="S2055">
        <v>-1.300735</v>
      </c>
      <c r="T2055">
        <v>-0.163091299999999</v>
      </c>
      <c r="U2055">
        <v>-2.7501220000000002</v>
      </c>
      <c r="V2055">
        <v>9.7133430000000007E-2</v>
      </c>
      <c r="W2055">
        <v>2.2738230000000002E-2</v>
      </c>
      <c r="X2055">
        <v>0.9950116</v>
      </c>
      <c r="Y2055">
        <v>0.2550539</v>
      </c>
      <c r="Z2055">
        <v>5.3903449999999999E-2</v>
      </c>
      <c r="AA2055">
        <v>0.96542320000000004</v>
      </c>
      <c r="AB2055">
        <v>21</v>
      </c>
      <c r="AC2055">
        <v>-8.8036999999999903</v>
      </c>
      <c r="AD2055">
        <v>-1.10892862528599</v>
      </c>
      <c r="AE2055">
        <v>-18.494199999999999</v>
      </c>
      <c r="AF2055">
        <v>5.2708995201961297</v>
      </c>
      <c r="AG2055">
        <v>-1.10892862528599</v>
      </c>
      <c r="AH2055">
        <v>19.730927790275</v>
      </c>
      <c r="AI2055">
        <v>93.108021989108394</v>
      </c>
      <c r="AJ2055">
        <v>75.043321946962706</v>
      </c>
      <c r="AK2055">
        <v>20.452912162159901</v>
      </c>
      <c r="AL2055">
        <v>88.697083106481401</v>
      </c>
      <c r="AM2055">
        <v>84.424429572785002</v>
      </c>
      <c r="AN2055">
        <v>1.0000000072308199</v>
      </c>
    </row>
    <row r="2056" spans="1:40" x14ac:dyDescent="0.25">
      <c r="A2056" t="str">
        <f>"20190312153927549"</f>
        <v>20190312153927549</v>
      </c>
      <c r="B2056" t="str">
        <f>"1552376367538075"</f>
        <v>1552376367538075</v>
      </c>
      <c r="C2056" t="s">
        <v>40</v>
      </c>
      <c r="D2056">
        <v>4.0850099999999996</v>
      </c>
      <c r="E2056">
        <v>0.5348427</v>
      </c>
      <c r="F2056" t="s">
        <v>43</v>
      </c>
      <c r="G2056">
        <v>-207.3013</v>
      </c>
      <c r="H2056">
        <v>-0.05</v>
      </c>
      <c r="I2056">
        <v>267.90089999999998</v>
      </c>
      <c r="J2056">
        <v>-192.2396</v>
      </c>
      <c r="K2056">
        <v>1.108935</v>
      </c>
      <c r="L2056">
        <v>306.20240000000001</v>
      </c>
      <c r="M2056">
        <v>-0.18460289999999999</v>
      </c>
      <c r="N2056">
        <v>0</v>
      </c>
      <c r="O2056">
        <v>-0.98270709999999994</v>
      </c>
      <c r="P2056">
        <v>-0.27892699999999998</v>
      </c>
      <c r="Q2056">
        <v>9.058689E-3</v>
      </c>
      <c r="R2056">
        <v>-0.96026959999999995</v>
      </c>
      <c r="S2056">
        <v>-1.100616</v>
      </c>
      <c r="T2056">
        <v>-8.4466699999999895E-2</v>
      </c>
      <c r="U2056">
        <v>-2.805847</v>
      </c>
      <c r="V2056">
        <v>9.6926520000000002E-2</v>
      </c>
      <c r="W2056">
        <v>2.3098629999999998E-2</v>
      </c>
      <c r="X2056">
        <v>0.99502349999999995</v>
      </c>
      <c r="Y2056">
        <v>0.18687419999999999</v>
      </c>
      <c r="Z2056">
        <v>2.8020150000000001E-2</v>
      </c>
      <c r="AA2056">
        <v>0.98198410000000003</v>
      </c>
      <c r="AB2056">
        <v>21</v>
      </c>
      <c r="AC2056">
        <v>-15.0617</v>
      </c>
      <c r="AD2056">
        <v>-1.158935</v>
      </c>
      <c r="AE2056">
        <v>-38.301499999999997</v>
      </c>
      <c r="AF2056">
        <v>7.7253519525111098</v>
      </c>
      <c r="AG2056">
        <v>-1.158935</v>
      </c>
      <c r="AH2056">
        <v>40.391776110675302</v>
      </c>
      <c r="AI2056">
        <v>91.614255568213494</v>
      </c>
      <c r="AJ2056">
        <v>79.172343174284705</v>
      </c>
      <c r="AK2056">
        <v>41.140245143889402</v>
      </c>
      <c r="AL2056">
        <v>88.676428314173705</v>
      </c>
      <c r="AM2056">
        <v>84.436297966127597</v>
      </c>
      <c r="AN2056">
        <v>1.0000000312697099</v>
      </c>
    </row>
    <row r="2057" spans="1:40" x14ac:dyDescent="0.25">
      <c r="A2057" t="str">
        <f>"20190312153927571"</f>
        <v>20190312153927571</v>
      </c>
      <c r="B2057" t="str">
        <f>"1552376367567352"</f>
        <v>1552376367567352</v>
      </c>
      <c r="C2057" t="s">
        <v>40</v>
      </c>
      <c r="D2057">
        <v>4.1317890000000004</v>
      </c>
      <c r="E2057">
        <v>0.53437509999999999</v>
      </c>
      <c r="F2057" t="s">
        <v>43</v>
      </c>
      <c r="G2057">
        <v>-207.2022</v>
      </c>
      <c r="H2057">
        <v>-0.05</v>
      </c>
      <c r="I2057">
        <v>268.13200000000001</v>
      </c>
      <c r="J2057">
        <v>-192.2792</v>
      </c>
      <c r="K2057">
        <v>1.1089389999999999</v>
      </c>
      <c r="L2057">
        <v>306.00689999999997</v>
      </c>
      <c r="M2057">
        <v>-0.1869981</v>
      </c>
      <c r="N2057">
        <v>0</v>
      </c>
      <c r="O2057">
        <v>-0.98225410000000002</v>
      </c>
      <c r="P2057">
        <v>-0.28198440000000002</v>
      </c>
      <c r="Q2057">
        <v>8.7354500000000005E-3</v>
      </c>
      <c r="R2057">
        <v>-0.95937939999999999</v>
      </c>
      <c r="S2057">
        <v>-1.102341</v>
      </c>
      <c r="T2057">
        <v>-8.5381979999999996E-2</v>
      </c>
      <c r="U2057">
        <v>-2.8047490000000002</v>
      </c>
      <c r="V2057">
        <v>9.7668420000000006E-2</v>
      </c>
      <c r="W2057">
        <v>2.2768259999999998E-2</v>
      </c>
      <c r="X2057">
        <v>0.99495849999999997</v>
      </c>
      <c r="Y2057">
        <v>0.18512970000000001</v>
      </c>
      <c r="Z2057">
        <v>2.8316049999999999E-2</v>
      </c>
      <c r="AA2057">
        <v>0.98230609999999996</v>
      </c>
      <c r="AB2057">
        <v>21</v>
      </c>
      <c r="AC2057">
        <v>-14.923</v>
      </c>
      <c r="AD2057">
        <v>-1.1589389999999999</v>
      </c>
      <c r="AE2057">
        <v>-37.874899999999897</v>
      </c>
      <c r="AF2057">
        <v>7.57029821966775</v>
      </c>
      <c r="AG2057">
        <v>-1.1589389999999999</v>
      </c>
      <c r="AH2057">
        <v>39.965129136827798</v>
      </c>
      <c r="AI2057">
        <v>91.632035474577293</v>
      </c>
      <c r="AJ2057">
        <v>79.273966826592797</v>
      </c>
      <c r="AK2057">
        <v>40.692310104782102</v>
      </c>
      <c r="AL2057">
        <v>88.695362013997197</v>
      </c>
      <c r="AM2057">
        <v>84.393618338532306</v>
      </c>
      <c r="AN2057">
        <v>0.99999996532548596</v>
      </c>
    </row>
    <row r="2058" spans="1:40" x14ac:dyDescent="0.25">
      <c r="A2058" t="str">
        <f>"20190312153927594"</f>
        <v>20190312153927594</v>
      </c>
      <c r="B2058" t="str">
        <f>"1552376367587848"</f>
        <v>1552376367587848</v>
      </c>
      <c r="C2058" t="s">
        <v>40</v>
      </c>
      <c r="D2058">
        <v>4.1143980000000004</v>
      </c>
      <c r="E2058">
        <v>0.53462460000000001</v>
      </c>
      <c r="F2058" t="s">
        <v>54</v>
      </c>
      <c r="G2058">
        <v>-202.73699999999999</v>
      </c>
      <c r="H2058">
        <v>4.689687E-2</v>
      </c>
      <c r="I2058">
        <v>279.54020000000003</v>
      </c>
      <c r="J2058">
        <v>-192.3219</v>
      </c>
      <c r="K2058">
        <v>1.108948</v>
      </c>
      <c r="L2058">
        <v>305.79910000000001</v>
      </c>
      <c r="M2058">
        <v>-0.1895435</v>
      </c>
      <c r="N2058">
        <v>0</v>
      </c>
      <c r="O2058">
        <v>-0.98176649999999999</v>
      </c>
      <c r="P2058">
        <v>-0.28497509999999998</v>
      </c>
      <c r="Q2058">
        <v>8.3766659999999996E-3</v>
      </c>
      <c r="R2058">
        <v>-0.95849870000000004</v>
      </c>
      <c r="S2058">
        <v>-1.107361</v>
      </c>
      <c r="T2058">
        <v>-0.1124579</v>
      </c>
      <c r="U2058">
        <v>-2.802521</v>
      </c>
      <c r="V2058">
        <v>9.8190299999999994E-2</v>
      </c>
      <c r="W2058">
        <v>2.2402620000000002E-2</v>
      </c>
      <c r="X2058">
        <v>0.99491549999999995</v>
      </c>
      <c r="Y2058">
        <v>0.1842617</v>
      </c>
      <c r="Z2058">
        <v>3.7275219999999998E-2</v>
      </c>
      <c r="AA2058">
        <v>0.98217019999999999</v>
      </c>
      <c r="AB2058">
        <v>21</v>
      </c>
      <c r="AC2058">
        <v>-10.415099999999899</v>
      </c>
      <c r="AD2058">
        <v>-1.06205113</v>
      </c>
      <c r="AE2058">
        <v>-26.258899999999901</v>
      </c>
      <c r="AF2058">
        <v>5.2411296518709403</v>
      </c>
      <c r="AG2058">
        <v>-1.06205113</v>
      </c>
      <c r="AH2058">
        <v>27.717928601544699</v>
      </c>
      <c r="AI2058">
        <v>92.156124530288295</v>
      </c>
      <c r="AJ2058">
        <v>79.292470521450994</v>
      </c>
      <c r="AK2058">
        <v>28.229080016727199</v>
      </c>
      <c r="AL2058">
        <v>88.716317074880394</v>
      </c>
      <c r="AM2058">
        <v>84.3636116292125</v>
      </c>
      <c r="AN2058">
        <v>1.0000000322686</v>
      </c>
    </row>
    <row r="2059" spans="1:40" x14ac:dyDescent="0.25">
      <c r="A2059" t="str">
        <f>"20190312153927618"</f>
        <v>20190312153927618</v>
      </c>
      <c r="B2059" t="str">
        <f>"1552376367607372"</f>
        <v>1552376367607372</v>
      </c>
      <c r="C2059" t="s">
        <v>40</v>
      </c>
      <c r="D2059">
        <v>4.1315400000000002</v>
      </c>
      <c r="E2059">
        <v>0.53447999999999996</v>
      </c>
      <c r="F2059" t="s">
        <v>54</v>
      </c>
      <c r="G2059">
        <v>-202.36930000000001</v>
      </c>
      <c r="H2059" s="1">
        <v>3.614948E-6</v>
      </c>
      <c r="I2059">
        <v>280.64420000000001</v>
      </c>
      <c r="J2059">
        <v>-192.3656</v>
      </c>
      <c r="K2059">
        <v>1.1089469999999999</v>
      </c>
      <c r="L2059">
        <v>305.58909999999997</v>
      </c>
      <c r="M2059">
        <v>-0.1921168</v>
      </c>
      <c r="N2059">
        <v>0</v>
      </c>
      <c r="O2059">
        <v>-0.98126619999999998</v>
      </c>
      <c r="P2059">
        <v>-0.28768549999999998</v>
      </c>
      <c r="Q2059">
        <v>8.5084979999999998E-3</v>
      </c>
      <c r="R2059">
        <v>-0.95768770000000003</v>
      </c>
      <c r="S2059">
        <v>-1.117828</v>
      </c>
      <c r="T2059">
        <v>-0.12337579999999999</v>
      </c>
      <c r="U2059">
        <v>-2.7986149999999999</v>
      </c>
      <c r="V2059">
        <v>9.8396839999999999E-2</v>
      </c>
      <c r="W2059">
        <v>2.252943E-2</v>
      </c>
      <c r="X2059">
        <v>0.9948922</v>
      </c>
      <c r="Y2059">
        <v>0.1852723</v>
      </c>
      <c r="Z2059">
        <v>4.0878640000000001E-2</v>
      </c>
      <c r="AA2059">
        <v>0.98183659999999995</v>
      </c>
      <c r="AB2059">
        <v>21</v>
      </c>
      <c r="AC2059">
        <v>-10.0037</v>
      </c>
      <c r="AD2059">
        <v>-1.1089433850520001</v>
      </c>
      <c r="AE2059">
        <v>-24.944899999999901</v>
      </c>
      <c r="AF2059">
        <v>5.0159406868460801</v>
      </c>
      <c r="AG2059">
        <v>-1.1089433850520001</v>
      </c>
      <c r="AH2059">
        <v>26.357335689002301</v>
      </c>
      <c r="AI2059">
        <v>92.366781741325994</v>
      </c>
      <c r="AJ2059">
        <v>79.225150905649699</v>
      </c>
      <c r="AK2059">
        <v>26.853278403725</v>
      </c>
      <c r="AL2059">
        <v>88.709049523287007</v>
      </c>
      <c r="AM2059">
        <v>84.351700833617997</v>
      </c>
      <c r="AN2059">
        <v>1.0000000014794701</v>
      </c>
    </row>
    <row r="2060" spans="1:40" x14ac:dyDescent="0.25">
      <c r="A2060" t="str">
        <f>"20190312153927638"</f>
        <v>20190312153927638</v>
      </c>
      <c r="B2060" t="str">
        <f>"1552376367627864"</f>
        <v>1552376367627864</v>
      </c>
      <c r="C2060" t="s">
        <v>40</v>
      </c>
      <c r="D2060">
        <v>4.1468030000000002</v>
      </c>
      <c r="E2060">
        <v>0.53450920000000002</v>
      </c>
      <c r="F2060" t="s">
        <v>54</v>
      </c>
      <c r="G2060">
        <v>-201.9212</v>
      </c>
      <c r="H2060" s="1">
        <v>3.3122420000000001E-6</v>
      </c>
      <c r="I2060">
        <v>281.83339999999998</v>
      </c>
      <c r="J2060">
        <v>-192.40629999999999</v>
      </c>
      <c r="K2060">
        <v>1.1089599999999999</v>
      </c>
      <c r="L2060">
        <v>305.39620000000002</v>
      </c>
      <c r="M2060">
        <v>-0.19448090000000001</v>
      </c>
      <c r="N2060">
        <v>0</v>
      </c>
      <c r="O2060">
        <v>-0.98080049999999996</v>
      </c>
      <c r="P2060">
        <v>-0.29019450000000002</v>
      </c>
      <c r="Q2060">
        <v>8.2608330000000004E-3</v>
      </c>
      <c r="R2060">
        <v>-0.95693249999999996</v>
      </c>
      <c r="S2060">
        <v>-1.124649</v>
      </c>
      <c r="T2060">
        <v>-0.13051740000000001</v>
      </c>
      <c r="U2060">
        <v>-2.7959290000000001</v>
      </c>
      <c r="V2060">
        <v>9.8605300000000007E-2</v>
      </c>
      <c r="W2060">
        <v>2.2277249999999998E-2</v>
      </c>
      <c r="X2060">
        <v>0.99487720000000002</v>
      </c>
      <c r="Y2060">
        <v>0.1852549</v>
      </c>
      <c r="Z2060">
        <v>4.3229429999999999E-2</v>
      </c>
      <c r="AA2060">
        <v>0.98173920000000003</v>
      </c>
      <c r="AB2060">
        <v>21</v>
      </c>
      <c r="AC2060">
        <v>-9.5149000000000097</v>
      </c>
      <c r="AD2060">
        <v>-1.1089566877579999</v>
      </c>
      <c r="AE2060">
        <v>-23.562799999999999</v>
      </c>
      <c r="AF2060">
        <v>4.7411677525889599</v>
      </c>
      <c r="AG2060">
        <v>-1.1089566877579999</v>
      </c>
      <c r="AH2060">
        <v>24.916011574023099</v>
      </c>
      <c r="AI2060">
        <v>92.503563105917806</v>
      </c>
      <c r="AJ2060">
        <v>79.226219038304293</v>
      </c>
      <c r="AK2060">
        <v>25.387321429216801</v>
      </c>
      <c r="AL2060">
        <v>88.723501950038298</v>
      </c>
      <c r="AM2060">
        <v>84.339727386204103</v>
      </c>
      <c r="AN2060">
        <v>0.999999962067745</v>
      </c>
    </row>
    <row r="2061" spans="1:40" x14ac:dyDescent="0.25">
      <c r="A2061" t="str">
        <f>"20190312153927661"</f>
        <v>20190312153927661</v>
      </c>
      <c r="B2061" t="str">
        <f>"1552376367658122"</f>
        <v>1552376367658122</v>
      </c>
      <c r="C2061" t="s">
        <v>40</v>
      </c>
      <c r="D2061">
        <v>4.1168680000000002</v>
      </c>
      <c r="E2061">
        <v>0.53451759999999904</v>
      </c>
      <c r="F2061" t="s">
        <v>54</v>
      </c>
      <c r="G2061">
        <v>-201.68969999999999</v>
      </c>
      <c r="H2061" s="1">
        <v>3.1515950000000001E-6</v>
      </c>
      <c r="I2061">
        <v>282.4966</v>
      </c>
      <c r="J2061">
        <v>-192.4486</v>
      </c>
      <c r="K2061">
        <v>1.1089659999999999</v>
      </c>
      <c r="L2061">
        <v>305.19779999999997</v>
      </c>
      <c r="M2061">
        <v>-0.1969137</v>
      </c>
      <c r="N2061">
        <v>0</v>
      </c>
      <c r="O2061">
        <v>-0.98031480000000004</v>
      </c>
      <c r="P2061">
        <v>-0.29282439999999998</v>
      </c>
      <c r="Q2061">
        <v>8.7425090000000007E-3</v>
      </c>
      <c r="R2061">
        <v>-0.95612629999999998</v>
      </c>
      <c r="S2061">
        <v>-1.132217</v>
      </c>
      <c r="T2061">
        <v>-0.13525009999999901</v>
      </c>
      <c r="U2061">
        <v>-2.7928769999999998</v>
      </c>
      <c r="V2061">
        <v>9.887464E-2</v>
      </c>
      <c r="W2061">
        <v>2.2753010000000001E-2</v>
      </c>
      <c r="X2061">
        <v>0.99483969999999999</v>
      </c>
      <c r="Y2061">
        <v>0.18544910000000001</v>
      </c>
      <c r="Z2061">
        <v>4.478323E-2</v>
      </c>
      <c r="AA2061">
        <v>0.98163290000000003</v>
      </c>
      <c r="AB2061">
        <v>20</v>
      </c>
      <c r="AC2061">
        <v>-9.2410999999999799</v>
      </c>
      <c r="AD2061">
        <v>-1.10896284840499</v>
      </c>
      <c r="AE2061">
        <v>-22.701199999999901</v>
      </c>
      <c r="AF2061">
        <v>4.5801107972405202</v>
      </c>
      <c r="AG2061">
        <v>-1.10896284840499</v>
      </c>
      <c r="AH2061">
        <v>24.027337152749499</v>
      </c>
      <c r="AI2061">
        <v>92.595890263553102</v>
      </c>
      <c r="AJ2061">
        <v>79.207705607915003</v>
      </c>
      <c r="AK2061">
        <v>24.485100452439202</v>
      </c>
      <c r="AL2061">
        <v>88.696235995825205</v>
      </c>
      <c r="AM2061">
        <v>84.324154637121595</v>
      </c>
      <c r="AN2061">
        <v>0.99999996129763902</v>
      </c>
    </row>
    <row r="2062" spans="1:40" x14ac:dyDescent="0.25">
      <c r="A2062" t="str">
        <f>"20190312153927684"</f>
        <v>20190312153927684</v>
      </c>
      <c r="B2062" t="str">
        <f>"1552376367677640"</f>
        <v>1552376367677640</v>
      </c>
      <c r="C2062" t="s">
        <v>40</v>
      </c>
      <c r="D2062">
        <v>4.0873670000000004</v>
      </c>
      <c r="E2062">
        <v>0.53448769999999901</v>
      </c>
      <c r="F2062" t="s">
        <v>54</v>
      </c>
      <c r="G2062">
        <v>-201.65289999999999</v>
      </c>
      <c r="H2062" s="1">
        <v>3.1200280000000001E-6</v>
      </c>
      <c r="I2062">
        <v>282.67140000000001</v>
      </c>
      <c r="J2062">
        <v>-192.4939</v>
      </c>
      <c r="K2062">
        <v>1.108973</v>
      </c>
      <c r="L2062">
        <v>304.98840000000001</v>
      </c>
      <c r="M2062">
        <v>-0.1994823</v>
      </c>
      <c r="N2062">
        <v>0</v>
      </c>
      <c r="O2062">
        <v>-0.97979550000000004</v>
      </c>
      <c r="P2062">
        <v>-0.29462149999999998</v>
      </c>
      <c r="Q2062">
        <v>9.3967540000000002E-3</v>
      </c>
      <c r="R2062">
        <v>-0.95556799999999997</v>
      </c>
      <c r="S2062">
        <v>-1.139923</v>
      </c>
      <c r="T2062">
        <v>-0.13734150000000001</v>
      </c>
      <c r="U2062">
        <v>-2.789825</v>
      </c>
      <c r="V2062">
        <v>9.8140549999999993E-2</v>
      </c>
      <c r="W2062">
        <v>2.3407049999999999E-2</v>
      </c>
      <c r="X2062">
        <v>0.99489720000000004</v>
      </c>
      <c r="Y2062">
        <v>0.18556149999999999</v>
      </c>
      <c r="Z2062">
        <v>4.5461010000000003E-2</v>
      </c>
      <c r="AA2062">
        <v>0.98158049999999997</v>
      </c>
      <c r="AB2062">
        <v>20</v>
      </c>
      <c r="AC2062">
        <v>-9.15899999999999</v>
      </c>
      <c r="AD2062">
        <v>-1.108969879972</v>
      </c>
      <c r="AE2062">
        <v>-22.317</v>
      </c>
      <c r="AF2062">
        <v>4.5130324763841498</v>
      </c>
      <c r="AG2062">
        <v>-1.108969879972</v>
      </c>
      <c r="AH2062">
        <v>23.645643457598698</v>
      </c>
      <c r="AI2062">
        <v>92.637635283027507</v>
      </c>
      <c r="AJ2062">
        <v>79.194424509368801</v>
      </c>
      <c r="AK2062">
        <v>24.098002631991399</v>
      </c>
      <c r="AL2062">
        <v>88.658752259418904</v>
      </c>
      <c r="AM2062">
        <v>84.366346082596394</v>
      </c>
      <c r="AN2062">
        <v>0.99999994805592096</v>
      </c>
    </row>
    <row r="2063" spans="1:40" x14ac:dyDescent="0.25">
      <c r="A2063" t="str">
        <f>"20190312153927707"</f>
        <v>20190312153927707</v>
      </c>
      <c r="B2063" t="str">
        <f>"1552376367698137"</f>
        <v>1552376367698137</v>
      </c>
      <c r="C2063" t="s">
        <v>40</v>
      </c>
      <c r="D2063">
        <v>4.0995169999999996</v>
      </c>
      <c r="E2063">
        <v>0.53440559999999904</v>
      </c>
      <c r="F2063" t="s">
        <v>54</v>
      </c>
      <c r="G2063">
        <v>-201.7337</v>
      </c>
      <c r="H2063" s="1">
        <v>3.1716080000000001E-6</v>
      </c>
      <c r="I2063">
        <v>282.49130000000002</v>
      </c>
      <c r="J2063">
        <v>-192.53870000000001</v>
      </c>
      <c r="K2063">
        <v>1.108986</v>
      </c>
      <c r="L2063">
        <v>304.78390000000002</v>
      </c>
      <c r="M2063">
        <v>-0.20199130000000001</v>
      </c>
      <c r="N2063">
        <v>0</v>
      </c>
      <c r="O2063">
        <v>-0.97928150000000003</v>
      </c>
      <c r="P2063">
        <v>-0.29666959999999998</v>
      </c>
      <c r="Q2063">
        <v>9.606468E-3</v>
      </c>
      <c r="R2063">
        <v>-0.95493220000000001</v>
      </c>
      <c r="S2063">
        <v>-1.144989</v>
      </c>
      <c r="T2063">
        <v>-0.13742219999999999</v>
      </c>
      <c r="U2063">
        <v>-2.787811</v>
      </c>
      <c r="V2063">
        <v>9.7726019999999997E-2</v>
      </c>
      <c r="W2063">
        <v>2.3614900000000001E-2</v>
      </c>
      <c r="X2063">
        <v>0.99493310000000001</v>
      </c>
      <c r="Y2063">
        <v>0.18481990000000001</v>
      </c>
      <c r="Z2063">
        <v>4.5470610000000002E-2</v>
      </c>
      <c r="AA2063">
        <v>0.98171989999999998</v>
      </c>
      <c r="AB2063">
        <v>20</v>
      </c>
      <c r="AC2063">
        <v>-9.1949999999999896</v>
      </c>
      <c r="AD2063">
        <v>-1.108982828392</v>
      </c>
      <c r="AE2063">
        <v>-22.2926</v>
      </c>
      <c r="AF2063">
        <v>4.4925473285298398</v>
      </c>
      <c r="AG2063">
        <v>-1.108982828392</v>
      </c>
      <c r="AH2063">
        <v>23.640498166187101</v>
      </c>
      <c r="AI2063">
        <v>92.638638777172702</v>
      </c>
      <c r="AJ2063">
        <v>79.240038356744293</v>
      </c>
      <c r="AK2063">
        <v>24.089125720088798</v>
      </c>
      <c r="AL2063">
        <v>88.646840048942806</v>
      </c>
      <c r="AM2063">
        <v>84.390190757265799</v>
      </c>
      <c r="AN2063">
        <v>0.99999995598132896</v>
      </c>
    </row>
    <row r="2064" spans="1:40" x14ac:dyDescent="0.25">
      <c r="A2064" t="str">
        <f>"20190312153927729"</f>
        <v>20190312153927729</v>
      </c>
      <c r="B2064" t="str">
        <f>"1552376367717656"</f>
        <v>1552376367717656</v>
      </c>
      <c r="C2064" t="s">
        <v>40</v>
      </c>
      <c r="D2064">
        <v>4.1020859999999999</v>
      </c>
      <c r="E2064">
        <v>0.53419629999999996</v>
      </c>
      <c r="F2064" t="s">
        <v>54</v>
      </c>
      <c r="G2064">
        <v>-201.74180000000001</v>
      </c>
      <c r="H2064" s="1">
        <v>3.174237E-6</v>
      </c>
      <c r="I2064">
        <v>282.50220000000002</v>
      </c>
      <c r="J2064">
        <v>-192.5822</v>
      </c>
      <c r="K2064">
        <v>1.1089929999999999</v>
      </c>
      <c r="L2064">
        <v>304.5874</v>
      </c>
      <c r="M2064">
        <v>-0.20440150000000001</v>
      </c>
      <c r="N2064">
        <v>0</v>
      </c>
      <c r="O2064">
        <v>-0.97878120000000002</v>
      </c>
      <c r="P2064">
        <v>-0.2988982</v>
      </c>
      <c r="Q2064">
        <v>1.0167809999999999E-2</v>
      </c>
      <c r="R2064">
        <v>-0.95423069999999999</v>
      </c>
      <c r="S2064">
        <v>-1.150528</v>
      </c>
      <c r="T2064">
        <v>-0.1386386</v>
      </c>
      <c r="U2064">
        <v>-2.7855219999999998</v>
      </c>
      <c r="V2064">
        <v>9.760228E-2</v>
      </c>
      <c r="W2064">
        <v>2.4172639999999999E-2</v>
      </c>
      <c r="X2064">
        <v>0.99493189999999998</v>
      </c>
      <c r="Y2064">
        <v>0.1843458</v>
      </c>
      <c r="Z2064">
        <v>4.5857469999999997E-2</v>
      </c>
      <c r="AA2064">
        <v>0.98179110000000003</v>
      </c>
      <c r="AB2064">
        <v>20</v>
      </c>
      <c r="AC2064">
        <v>-9.15960000000001</v>
      </c>
      <c r="AD2064">
        <v>-1.108989825763</v>
      </c>
      <c r="AE2064">
        <v>-22.085199999999901</v>
      </c>
      <c r="AF2064">
        <v>4.4419015708929201</v>
      </c>
      <c r="AG2064">
        <v>-1.108989825763</v>
      </c>
      <c r="AH2064">
        <v>23.440819947673599</v>
      </c>
      <c r="AI2064">
        <v>92.661364056330996</v>
      </c>
      <c r="AJ2064">
        <v>79.270000907975799</v>
      </c>
      <c r="AK2064">
        <v>23.883726422365498</v>
      </c>
      <c r="AL2064">
        <v>88.614874839055005</v>
      </c>
      <c r="AM2064">
        <v>84.397241921119004</v>
      </c>
      <c r="AN2064">
        <v>1.0000000036116801</v>
      </c>
    </row>
    <row r="2065" spans="1:40" x14ac:dyDescent="0.25">
      <c r="A2065" t="str">
        <f>"20190312153927750"</f>
        <v>20190312153927750</v>
      </c>
      <c r="B2065" t="str">
        <f>"1552376367747913"</f>
        <v>1552376367747913</v>
      </c>
      <c r="C2065" t="s">
        <v>40</v>
      </c>
      <c r="D2065">
        <v>4.1343990000000002</v>
      </c>
      <c r="E2065">
        <v>0.5340589</v>
      </c>
      <c r="F2065" t="s">
        <v>54</v>
      </c>
      <c r="G2065">
        <v>-201.8914</v>
      </c>
      <c r="H2065" s="1">
        <v>3.27075E-6</v>
      </c>
      <c r="I2065">
        <v>282.1567</v>
      </c>
      <c r="J2065">
        <v>-192.62379999999999</v>
      </c>
      <c r="K2065">
        <v>1.109002</v>
      </c>
      <c r="L2065">
        <v>304.4015</v>
      </c>
      <c r="M2065">
        <v>-0.20668239999999999</v>
      </c>
      <c r="N2065">
        <v>0</v>
      </c>
      <c r="O2065">
        <v>-0.97830229999999996</v>
      </c>
      <c r="P2065">
        <v>-0.30136740000000001</v>
      </c>
      <c r="Q2065">
        <v>1.0435720000000001E-2</v>
      </c>
      <c r="R2065">
        <v>-0.9534513</v>
      </c>
      <c r="S2065">
        <v>-1.1552119999999999</v>
      </c>
      <c r="T2065">
        <v>-0.13761860000000001</v>
      </c>
      <c r="U2065">
        <v>-2.7835079999999999</v>
      </c>
      <c r="V2065">
        <v>9.7859890000000005E-2</v>
      </c>
      <c r="W2065">
        <v>2.4435780000000001E-2</v>
      </c>
      <c r="X2065">
        <v>0.99490020000000001</v>
      </c>
      <c r="Y2065">
        <v>0.183722</v>
      </c>
      <c r="Z2065">
        <v>4.5506619999999998E-2</v>
      </c>
      <c r="AA2065">
        <v>0.98192429999999997</v>
      </c>
      <c r="AB2065">
        <v>20</v>
      </c>
      <c r="AC2065">
        <v>-9.2676000000000105</v>
      </c>
      <c r="AD2065">
        <v>-1.1089987292499901</v>
      </c>
      <c r="AE2065">
        <v>-22.244800000000001</v>
      </c>
      <c r="AF2065">
        <v>4.4599228793857497</v>
      </c>
      <c r="AG2065">
        <v>-1.1089987292499901</v>
      </c>
      <c r="AH2065">
        <v>23.629994931032101</v>
      </c>
      <c r="AI2065">
        <v>92.640472533402701</v>
      </c>
      <c r="AJ2065">
        <v>79.311731845667893</v>
      </c>
      <c r="AK2065">
        <v>24.072753284827002</v>
      </c>
      <c r="AL2065">
        <v>88.599793619097696</v>
      </c>
      <c r="AM2065">
        <v>84.382370703468197</v>
      </c>
      <c r="AN2065">
        <v>1.0000000366875199</v>
      </c>
    </row>
    <row r="2066" spans="1:40" x14ac:dyDescent="0.25">
      <c r="A2066" t="str">
        <f>"20190312153927772"</f>
        <v>20190312153927772</v>
      </c>
      <c r="B2066" t="str">
        <f>"1552376367767432"</f>
        <v>1552376367767432</v>
      </c>
      <c r="C2066" t="s">
        <v>40</v>
      </c>
      <c r="D2066">
        <v>4.1191800000000001</v>
      </c>
      <c r="E2066">
        <v>0.53391659999999996</v>
      </c>
      <c r="F2066" t="s">
        <v>54</v>
      </c>
      <c r="G2066">
        <v>-201.84270000000001</v>
      </c>
      <c r="H2066" s="1">
        <v>3.2340310000000001E-6</v>
      </c>
      <c r="I2066">
        <v>282.33010000000002</v>
      </c>
      <c r="J2066">
        <v>-192.6669</v>
      </c>
      <c r="K2066">
        <v>1.109008</v>
      </c>
      <c r="L2066">
        <v>304.21109999999999</v>
      </c>
      <c r="M2066">
        <v>-0.20901990000000001</v>
      </c>
      <c r="N2066">
        <v>0</v>
      </c>
      <c r="O2066">
        <v>-0.97780549999999999</v>
      </c>
      <c r="P2066">
        <v>-0.30394919999999997</v>
      </c>
      <c r="Q2066">
        <v>1.0772489999999999E-2</v>
      </c>
      <c r="R2066">
        <v>-0.95262749999999996</v>
      </c>
      <c r="S2066">
        <v>-1.1615139999999999</v>
      </c>
      <c r="T2066">
        <v>-0.13972519999999999</v>
      </c>
      <c r="U2066">
        <v>-2.7808229999999998</v>
      </c>
      <c r="V2066">
        <v>9.8178920000000003E-2</v>
      </c>
      <c r="W2066">
        <v>2.4767549999999999E-2</v>
      </c>
      <c r="X2066">
        <v>0.99486050000000004</v>
      </c>
      <c r="Y2066">
        <v>0.18359239999999999</v>
      </c>
      <c r="Z2066">
        <v>4.6189069999999999E-2</v>
      </c>
      <c r="AA2066">
        <v>0.98191669999999998</v>
      </c>
      <c r="AB2066">
        <v>20</v>
      </c>
      <c r="AC2066">
        <v>-9.1758000000000095</v>
      </c>
      <c r="AD2066">
        <v>-1.1090047659690001</v>
      </c>
      <c r="AE2066">
        <v>-21.880999999999901</v>
      </c>
      <c r="AF2066">
        <v>4.3894494421904202</v>
      </c>
      <c r="AG2066">
        <v>-1.1090047659690001</v>
      </c>
      <c r="AH2066">
        <v>23.264875977962301</v>
      </c>
      <c r="AI2066">
        <v>92.681899390981798</v>
      </c>
      <c r="AJ2066">
        <v>79.315443837093895</v>
      </c>
      <c r="AK2066">
        <v>23.701299800780099</v>
      </c>
      <c r="AL2066">
        <v>88.580778753624401</v>
      </c>
      <c r="AM2066">
        <v>84.363951105328496</v>
      </c>
      <c r="AN2066">
        <v>0.99999997316280897</v>
      </c>
    </row>
    <row r="2067" spans="1:40" x14ac:dyDescent="0.25">
      <c r="A2067" t="str">
        <f>"20190312153927794"</f>
        <v>20190312153927794</v>
      </c>
      <c r="B2067" t="str">
        <f>"1552376367787929"</f>
        <v>1552376367787929</v>
      </c>
      <c r="C2067" t="s">
        <v>40</v>
      </c>
      <c r="D2067">
        <v>4.1097060000000001</v>
      </c>
      <c r="E2067">
        <v>0.53392229999999996</v>
      </c>
      <c r="F2067" t="s">
        <v>54</v>
      </c>
      <c r="G2067">
        <v>-201.8218</v>
      </c>
      <c r="H2067" s="1">
        <v>3.2158479999999998E-6</v>
      </c>
      <c r="I2067">
        <v>282.43189999999998</v>
      </c>
      <c r="J2067">
        <v>-192.7132</v>
      </c>
      <c r="K2067">
        <v>1.1090150000000001</v>
      </c>
      <c r="L2067">
        <v>304.00889999999998</v>
      </c>
      <c r="M2067">
        <v>-0.2115021</v>
      </c>
      <c r="N2067">
        <v>0</v>
      </c>
      <c r="O2067">
        <v>-0.97727189999999997</v>
      </c>
      <c r="P2067">
        <v>-0.30675970000000002</v>
      </c>
      <c r="Q2067">
        <v>1.038821E-2</v>
      </c>
      <c r="R2067">
        <v>-0.95173070000000004</v>
      </c>
      <c r="S2067">
        <v>-1.1678010000000001</v>
      </c>
      <c r="T2067">
        <v>-0.14146520000000001</v>
      </c>
      <c r="U2067">
        <v>-2.778168</v>
      </c>
      <c r="V2067">
        <v>9.8586809999999997E-2</v>
      </c>
      <c r="W2067">
        <v>2.4377619999999999E-2</v>
      </c>
      <c r="X2067">
        <v>0.99482979999999999</v>
      </c>
      <c r="Y2067">
        <v>0.18330959999999999</v>
      </c>
      <c r="Z2067">
        <v>4.6747669999999998E-2</v>
      </c>
      <c r="AA2067">
        <v>0.98194309999999996</v>
      </c>
      <c r="AB2067">
        <v>20</v>
      </c>
      <c r="AC2067">
        <v>-9.1085999999999903</v>
      </c>
      <c r="AD2067">
        <v>-1.109011784152</v>
      </c>
      <c r="AE2067">
        <v>-21.577000000000002</v>
      </c>
      <c r="AF2067">
        <v>4.3287401887998902</v>
      </c>
      <c r="AG2067">
        <v>-1.109011784152</v>
      </c>
      <c r="AH2067">
        <v>22.963971028414502</v>
      </c>
      <c r="AI2067">
        <v>92.717090802869805</v>
      </c>
      <c r="AJ2067">
        <v>79.324928621862</v>
      </c>
      <c r="AK2067">
        <v>23.394697351181499</v>
      </c>
      <c r="AL2067">
        <v>88.603126854169403</v>
      </c>
      <c r="AM2067">
        <v>84.340513992799302</v>
      </c>
      <c r="AN2067">
        <v>0.99999997921544004</v>
      </c>
    </row>
    <row r="2068" spans="1:40" x14ac:dyDescent="0.25">
      <c r="A2068" t="str">
        <f>"20190312153927818"</f>
        <v>20190312153927818</v>
      </c>
      <c r="B2068" t="str">
        <f>"1552376367807448"</f>
        <v>1552376367807448</v>
      </c>
      <c r="C2068" t="s">
        <v>40</v>
      </c>
      <c r="D2068">
        <v>4.0952140000000004</v>
      </c>
      <c r="E2068">
        <v>0.53475869999999903</v>
      </c>
      <c r="F2068" t="s">
        <v>54</v>
      </c>
      <c r="G2068">
        <v>-201.88810000000001</v>
      </c>
      <c r="H2068" s="1">
        <v>3.2518119999999998E-6</v>
      </c>
      <c r="I2068">
        <v>282.3569</v>
      </c>
      <c r="J2068">
        <v>-192.76050000000001</v>
      </c>
      <c r="K2068">
        <v>1.109024</v>
      </c>
      <c r="L2068">
        <v>303.80489999999998</v>
      </c>
      <c r="M2068">
        <v>-0.21400820000000001</v>
      </c>
      <c r="N2068">
        <v>0</v>
      </c>
      <c r="O2068">
        <v>-0.97672610000000004</v>
      </c>
      <c r="P2068">
        <v>-0.30911830000000001</v>
      </c>
      <c r="Q2068">
        <v>1.021993E-2</v>
      </c>
      <c r="R2068">
        <v>-0.9509687</v>
      </c>
      <c r="S2068">
        <v>-1.175781</v>
      </c>
      <c r="T2068">
        <v>-0.142122</v>
      </c>
      <c r="U2068">
        <v>-2.77475</v>
      </c>
      <c r="V2068">
        <v>9.8500149999999995E-2</v>
      </c>
      <c r="W2068">
        <v>2.4206490000000001E-2</v>
      </c>
      <c r="X2068">
        <v>0.99484260000000002</v>
      </c>
      <c r="Y2068">
        <v>0.18361279999999999</v>
      </c>
      <c r="Z2068">
        <v>4.6951779999999999E-2</v>
      </c>
      <c r="AA2068">
        <v>0.98187670000000005</v>
      </c>
      <c r="AB2068">
        <v>20</v>
      </c>
      <c r="AC2068">
        <v>-9.1275999999999993</v>
      </c>
      <c r="AD2068">
        <v>-1.1090207481879999</v>
      </c>
      <c r="AE2068">
        <v>-21.447999999999901</v>
      </c>
      <c r="AF2068">
        <v>4.3157945693094497</v>
      </c>
      <c r="AG2068">
        <v>-1.1090207481879999</v>
      </c>
      <c r="AH2068">
        <v>22.852837379980102</v>
      </c>
      <c r="AI2068">
        <v>92.730132204372296</v>
      </c>
      <c r="AJ2068">
        <v>79.305552981807594</v>
      </c>
      <c r="AK2068">
        <v>23.2832168331656</v>
      </c>
      <c r="AL2068">
        <v>88.612934826774406</v>
      </c>
      <c r="AM2068">
        <v>84.345528835232997</v>
      </c>
      <c r="AN2068">
        <v>1.00000001624145</v>
      </c>
    </row>
    <row r="2069" spans="1:40" x14ac:dyDescent="0.25">
      <c r="A2069" t="str">
        <f>"20190312153927839"</f>
        <v>20190312153927839</v>
      </c>
      <c r="B2069" t="str">
        <f>"1552376367827595"</f>
        <v>1552376367827595</v>
      </c>
      <c r="C2069" t="s">
        <v>40</v>
      </c>
      <c r="D2069">
        <v>4.0764259999999997</v>
      </c>
      <c r="E2069">
        <v>0.5665095</v>
      </c>
      <c r="F2069" t="s">
        <v>54</v>
      </c>
      <c r="G2069">
        <v>-202.113</v>
      </c>
      <c r="H2069" s="1">
        <v>3.3809230000000001E-6</v>
      </c>
      <c r="I2069">
        <v>282.02100000000002</v>
      </c>
      <c r="J2069">
        <v>-192.80510000000001</v>
      </c>
      <c r="K2069">
        <v>1.1090279999999999</v>
      </c>
      <c r="L2069">
        <v>303.6148</v>
      </c>
      <c r="M2069">
        <v>-0.21634510000000001</v>
      </c>
      <c r="N2069">
        <v>0</v>
      </c>
      <c r="O2069">
        <v>-0.97621100000000005</v>
      </c>
      <c r="P2069">
        <v>-0.3107528</v>
      </c>
      <c r="Q2069">
        <v>1.0903059999999999E-2</v>
      </c>
      <c r="R2069">
        <v>-0.95042819999999995</v>
      </c>
      <c r="S2069">
        <v>-1.1891020000000001</v>
      </c>
      <c r="T2069">
        <v>-0.1410033</v>
      </c>
      <c r="U2069">
        <v>-2.7696529999999999</v>
      </c>
      <c r="V2069">
        <v>9.7833160000000002E-2</v>
      </c>
      <c r="W2069">
        <v>2.4889109999999999E-2</v>
      </c>
      <c r="X2069">
        <v>0.99489159999999999</v>
      </c>
      <c r="Y2069">
        <v>0.1859103</v>
      </c>
      <c r="Z2069">
        <v>4.6572660000000002E-2</v>
      </c>
      <c r="AA2069">
        <v>0.98146239999999996</v>
      </c>
      <c r="AB2069">
        <v>20</v>
      </c>
      <c r="AC2069">
        <v>-9.3078999999999894</v>
      </c>
      <c r="AD2069">
        <v>-1.1090246190769999</v>
      </c>
      <c r="AE2069">
        <v>-21.593800000000002</v>
      </c>
      <c r="AF2069">
        <v>4.4054188700700196</v>
      </c>
      <c r="AG2069">
        <v>-1.1090246190769999</v>
      </c>
      <c r="AH2069">
        <v>23.044951671639399</v>
      </c>
      <c r="AI2069">
        <v>92.706268558060998</v>
      </c>
      <c r="AJ2069">
        <v>79.177549219883304</v>
      </c>
      <c r="AK2069">
        <v>23.488453516029601</v>
      </c>
      <c r="AL2069">
        <v>88.573811833752103</v>
      </c>
      <c r="AM2069">
        <v>84.383847087328704</v>
      </c>
      <c r="AN2069">
        <v>1.00000004537136</v>
      </c>
    </row>
    <row r="2070" spans="1:40" x14ac:dyDescent="0.25">
      <c r="A2070" t="str">
        <f>"20190312153927861"</f>
        <v>20190312153927861</v>
      </c>
      <c r="B2070" t="str">
        <f>"1552376367848091"</f>
        <v>1552376367848091</v>
      </c>
      <c r="C2070" t="s">
        <v>40</v>
      </c>
      <c r="D2070">
        <v>4.1084040000000002</v>
      </c>
      <c r="E2070">
        <v>0.57210300000000003</v>
      </c>
      <c r="F2070" t="s">
        <v>54</v>
      </c>
      <c r="G2070">
        <v>-202.17</v>
      </c>
      <c r="H2070" s="1">
        <v>3.0535920000000001E-6</v>
      </c>
      <c r="I2070">
        <v>286.05399999999997</v>
      </c>
      <c r="J2070">
        <v>-192.85079999999999</v>
      </c>
      <c r="K2070">
        <v>1.1090370000000001</v>
      </c>
      <c r="L2070">
        <v>303.42169999999999</v>
      </c>
      <c r="M2070">
        <v>-0.21872179999999999</v>
      </c>
      <c r="N2070">
        <v>0</v>
      </c>
      <c r="O2070">
        <v>-0.97568149999999998</v>
      </c>
      <c r="P2070">
        <v>-0.31249090000000002</v>
      </c>
      <c r="Q2070">
        <v>1.2064480000000001E-2</v>
      </c>
      <c r="R2070">
        <v>-0.94984440000000003</v>
      </c>
      <c r="S2070">
        <v>-1.4342649999999999</v>
      </c>
      <c r="T2070">
        <v>-0.16985049999999999</v>
      </c>
      <c r="U2070">
        <v>-2.6894840000000002</v>
      </c>
      <c r="V2070">
        <v>9.7236660000000003E-2</v>
      </c>
      <c r="W2070">
        <v>2.604888E-2</v>
      </c>
      <c r="X2070">
        <v>0.99492029999999998</v>
      </c>
      <c r="Y2070">
        <v>0.26539770000000001</v>
      </c>
      <c r="Z2070">
        <v>5.593907E-2</v>
      </c>
      <c r="AA2070">
        <v>0.96251489999999995</v>
      </c>
      <c r="AB2070">
        <v>20</v>
      </c>
      <c r="AC2070">
        <v>-9.3191999999999897</v>
      </c>
      <c r="AD2070">
        <v>-1.1090339464079999</v>
      </c>
      <c r="AE2070">
        <v>-17.3676999999999</v>
      </c>
      <c r="AF2070">
        <v>5.2777133651819703</v>
      </c>
      <c r="AG2070">
        <v>-1.1090339464079999</v>
      </c>
      <c r="AH2070">
        <v>18.925695604577498</v>
      </c>
      <c r="AI2070">
        <v>93.2306718465491</v>
      </c>
      <c r="AJ2070">
        <v>74.418076332105599</v>
      </c>
      <c r="AK2070">
        <v>19.679079469742199</v>
      </c>
      <c r="AL2070">
        <v>88.507340213529503</v>
      </c>
      <c r="AM2070">
        <v>84.418032494593902</v>
      </c>
      <c r="AN2070">
        <v>0.99999995777464901</v>
      </c>
    </row>
    <row r="2071" spans="1:40" x14ac:dyDescent="0.25">
      <c r="A2071" t="str">
        <f>"20190312153927886"</f>
        <v>20190312153927886</v>
      </c>
      <c r="B2071" t="str">
        <f>"1552376367877372"</f>
        <v>1552376367877372</v>
      </c>
      <c r="C2071" t="s">
        <v>40</v>
      </c>
      <c r="D2071">
        <v>4.0807070000000003</v>
      </c>
      <c r="E2071">
        <v>0.57457320000000001</v>
      </c>
      <c r="F2071" t="s">
        <v>54</v>
      </c>
      <c r="G2071">
        <v>-201.07509999999999</v>
      </c>
      <c r="H2071" s="1">
        <v>2.347371E-6</v>
      </c>
      <c r="I2071">
        <v>288.57819999999998</v>
      </c>
      <c r="J2071">
        <v>-192.9016</v>
      </c>
      <c r="K2071">
        <v>1.10904</v>
      </c>
      <c r="L2071">
        <v>303.2097</v>
      </c>
      <c r="M2071">
        <v>-0.2213348</v>
      </c>
      <c r="N2071">
        <v>0</v>
      </c>
      <c r="O2071">
        <v>-0.97509210000000002</v>
      </c>
      <c r="P2071">
        <v>-0.3147394</v>
      </c>
      <c r="Q2071">
        <v>1.266485E-2</v>
      </c>
      <c r="R2071">
        <v>-0.94909370000000004</v>
      </c>
      <c r="S2071">
        <v>-1.4813229999999999</v>
      </c>
      <c r="T2071">
        <v>-0.19975570000000001</v>
      </c>
      <c r="U2071">
        <v>-2.6735530000000001</v>
      </c>
      <c r="V2071">
        <v>9.69309E-2</v>
      </c>
      <c r="W2071">
        <v>2.664615E-2</v>
      </c>
      <c r="X2071">
        <v>0.9949344</v>
      </c>
      <c r="Y2071">
        <v>0.2779372</v>
      </c>
      <c r="Z2071">
        <v>6.5649760000000001E-2</v>
      </c>
      <c r="AA2071">
        <v>0.95835329999999996</v>
      </c>
      <c r="AB2071">
        <v>20</v>
      </c>
      <c r="AC2071">
        <v>-8.17349999999999</v>
      </c>
      <c r="AD2071">
        <v>-1.109037652629</v>
      </c>
      <c r="AE2071">
        <v>-14.631500000000001</v>
      </c>
      <c r="AF2071">
        <v>4.71131310232456</v>
      </c>
      <c r="AG2071">
        <v>-1.109037652629</v>
      </c>
      <c r="AH2071">
        <v>16.007703084113299</v>
      </c>
      <c r="AI2071">
        <v>93.802441144070698</v>
      </c>
      <c r="AJ2071">
        <v>73.600033347430497</v>
      </c>
      <c r="AK2071">
        <v>16.723426493760599</v>
      </c>
      <c r="AL2071">
        <v>88.473107400452307</v>
      </c>
      <c r="AM2071">
        <v>84.435552981209995</v>
      </c>
      <c r="AN2071">
        <v>1.00000003849399</v>
      </c>
    </row>
    <row r="2072" spans="1:40" x14ac:dyDescent="0.25">
      <c r="A2072" t="str">
        <f>"20190312153927909"</f>
        <v>20190312153927909</v>
      </c>
      <c r="B2072" t="str">
        <f>"1552376367897867"</f>
        <v>1552376367897867</v>
      </c>
      <c r="C2072" t="s">
        <v>40</v>
      </c>
      <c r="D2072">
        <v>4.0812819999999999</v>
      </c>
      <c r="E2072">
        <v>0.57504869999999997</v>
      </c>
      <c r="F2072" t="s">
        <v>54</v>
      </c>
      <c r="G2072">
        <v>-201.56950000000001</v>
      </c>
      <c r="H2072" s="1">
        <v>2.627283E-6</v>
      </c>
      <c r="I2072">
        <v>287.8845</v>
      </c>
      <c r="J2072">
        <v>-192.94970000000001</v>
      </c>
      <c r="K2072">
        <v>1.1090420000000001</v>
      </c>
      <c r="L2072">
        <v>303.01139999999998</v>
      </c>
      <c r="M2072">
        <v>-0.2237876</v>
      </c>
      <c r="N2072">
        <v>0</v>
      </c>
      <c r="O2072">
        <v>-0.97453219999999996</v>
      </c>
      <c r="P2072">
        <v>-0.31699899999999998</v>
      </c>
      <c r="Q2072">
        <v>1.3151929999999999E-2</v>
      </c>
      <c r="R2072">
        <v>-0.94833489999999998</v>
      </c>
      <c r="S2072">
        <v>-1.5066219999999999</v>
      </c>
      <c r="T2072">
        <v>-0.19276979999999999</v>
      </c>
      <c r="U2072">
        <v>-2.6637879999999998</v>
      </c>
      <c r="V2072">
        <v>9.6800040000000004E-2</v>
      </c>
      <c r="W2072">
        <v>2.7129009999999999E-2</v>
      </c>
      <c r="X2072">
        <v>0.99493410000000004</v>
      </c>
      <c r="Y2072">
        <v>0.28400310000000001</v>
      </c>
      <c r="Z2072">
        <v>6.3315759999999999E-2</v>
      </c>
      <c r="AA2072">
        <v>0.95673050000000004</v>
      </c>
      <c r="AB2072">
        <v>20</v>
      </c>
      <c r="AC2072">
        <v>-8.6197999999999908</v>
      </c>
      <c r="AD2072">
        <v>-1.109039372717</v>
      </c>
      <c r="AE2072">
        <v>-15.1268999999999</v>
      </c>
      <c r="AF2072">
        <v>4.9953077349976898</v>
      </c>
      <c r="AG2072">
        <v>-1.109039372717</v>
      </c>
      <c r="AH2072">
        <v>16.6049965773745</v>
      </c>
      <c r="AI2072">
        <v>93.659543446893693</v>
      </c>
      <c r="AJ2072">
        <v>73.257052629483198</v>
      </c>
      <c r="AK2072">
        <v>17.3755281655604</v>
      </c>
      <c r="AL2072">
        <v>88.445431568765898</v>
      </c>
      <c r="AM2072">
        <v>84.443016455794904</v>
      </c>
      <c r="AN2072">
        <v>1.00000004713519</v>
      </c>
    </row>
    <row r="2073" spans="1:40" x14ac:dyDescent="0.25">
      <c r="A2073" t="str">
        <f>"20190312153927930"</f>
        <v>20190312153927930</v>
      </c>
      <c r="B2073" t="str">
        <f>"1552376367917387"</f>
        <v>1552376367917387</v>
      </c>
      <c r="C2073" t="s">
        <v>40</v>
      </c>
      <c r="D2073">
        <v>4.0836259999999998</v>
      </c>
      <c r="E2073">
        <v>0.57550290000000004</v>
      </c>
      <c r="F2073" t="s">
        <v>54</v>
      </c>
      <c r="G2073">
        <v>-201.77260000000001</v>
      </c>
      <c r="H2073" s="1">
        <v>2.7471750000000001E-6</v>
      </c>
      <c r="I2073">
        <v>287.54320000000001</v>
      </c>
      <c r="J2073">
        <v>-192.99510000000001</v>
      </c>
      <c r="K2073">
        <v>1.1090450000000001</v>
      </c>
      <c r="L2073">
        <v>302.82619999999997</v>
      </c>
      <c r="M2073">
        <v>-0.22608819999999999</v>
      </c>
      <c r="N2073">
        <v>0</v>
      </c>
      <c r="O2073">
        <v>-0.97400109999999995</v>
      </c>
      <c r="P2073">
        <v>-0.31923230000000002</v>
      </c>
      <c r="Q2073">
        <v>1.415719E-2</v>
      </c>
      <c r="R2073">
        <v>-0.94757100000000005</v>
      </c>
      <c r="S2073">
        <v>-1.5167079999999999</v>
      </c>
      <c r="T2073">
        <v>-0.1906514</v>
      </c>
      <c r="U2073">
        <v>-2.6590880000000001</v>
      </c>
      <c r="V2073">
        <v>9.680126E-2</v>
      </c>
      <c r="W2073">
        <v>2.812951E-2</v>
      </c>
      <c r="X2073">
        <v>0.99490610000000002</v>
      </c>
      <c r="Y2073">
        <v>0.285228599999999</v>
      </c>
      <c r="Z2073">
        <v>6.2601299999999999E-2</v>
      </c>
      <c r="AA2073">
        <v>0.95641299999999996</v>
      </c>
      <c r="AB2073">
        <v>20</v>
      </c>
      <c r="AC2073">
        <v>-8.7774999999999999</v>
      </c>
      <c r="AD2073">
        <v>-1.1090422528249999</v>
      </c>
      <c r="AE2073">
        <v>-15.2829999999999</v>
      </c>
      <c r="AF2073">
        <v>5.0744196765315399</v>
      </c>
      <c r="AG2073">
        <v>-1.1090422528249999</v>
      </c>
      <c r="AH2073">
        <v>16.805339788077099</v>
      </c>
      <c r="AI2073">
        <v>93.614925322181804</v>
      </c>
      <c r="AJ2073">
        <v>73.198161359088701</v>
      </c>
      <c r="AK2073">
        <v>17.5897457390619</v>
      </c>
      <c r="AL2073">
        <v>88.388085093349602</v>
      </c>
      <c r="AM2073">
        <v>84.442791442683202</v>
      </c>
      <c r="AN2073">
        <v>0.99999995054381696</v>
      </c>
    </row>
    <row r="2074" spans="1:40" x14ac:dyDescent="0.25">
      <c r="A2074" t="str">
        <f>"20190312153927953"</f>
        <v>20190312153927953</v>
      </c>
      <c r="B2074" t="str">
        <f>"1552376367947643"</f>
        <v>1552376367947643</v>
      </c>
      <c r="C2074" t="s">
        <v>40</v>
      </c>
      <c r="D2074">
        <v>4.0768170000000001</v>
      </c>
      <c r="E2074">
        <v>0.57665569999999999</v>
      </c>
      <c r="F2074" t="s">
        <v>54</v>
      </c>
      <c r="G2074">
        <v>-202.0462</v>
      </c>
      <c r="H2074" s="1">
        <v>2.9082649999999998E-6</v>
      </c>
      <c r="I2074">
        <v>287.08870000000002</v>
      </c>
      <c r="J2074">
        <v>-193.04409999999999</v>
      </c>
      <c r="K2074">
        <v>1.1090450000000001</v>
      </c>
      <c r="L2074">
        <v>302.6284</v>
      </c>
      <c r="M2074">
        <v>-0.22856019999999999</v>
      </c>
      <c r="N2074">
        <v>0</v>
      </c>
      <c r="O2074">
        <v>-0.97342410000000001</v>
      </c>
      <c r="P2074">
        <v>-0.32211859999999998</v>
      </c>
      <c r="Q2074">
        <v>1.520557E-2</v>
      </c>
      <c r="R2074">
        <v>-0.94657740000000001</v>
      </c>
      <c r="S2074">
        <v>-1.5266569999999999</v>
      </c>
      <c r="T2074">
        <v>-0.1870626</v>
      </c>
      <c r="U2074">
        <v>-2.6544490000000001</v>
      </c>
      <c r="V2074">
        <v>9.7315180000000001E-2</v>
      </c>
      <c r="W2074">
        <v>2.9169069999999998E-2</v>
      </c>
      <c r="X2074">
        <v>0.99482610000000005</v>
      </c>
      <c r="Y2074">
        <v>0.28625030000000001</v>
      </c>
      <c r="Z2074">
        <v>6.1403220000000001E-2</v>
      </c>
      <c r="AA2074">
        <v>0.95618530000000002</v>
      </c>
      <c r="AB2074">
        <v>20</v>
      </c>
      <c r="AC2074">
        <v>-9.0021000000000093</v>
      </c>
      <c r="AD2074">
        <v>-1.1090420917349999</v>
      </c>
      <c r="AE2074">
        <v>-15.5396999999999</v>
      </c>
      <c r="AF2074">
        <v>5.1918405499416096</v>
      </c>
      <c r="AG2074">
        <v>-1.1090420917349999</v>
      </c>
      <c r="AH2074">
        <v>17.120716231875299</v>
      </c>
      <c r="AI2074">
        <v>93.547235302900503</v>
      </c>
      <c r="AJ2074">
        <v>73.130123926461394</v>
      </c>
      <c r="AK2074">
        <v>17.9249576554495</v>
      </c>
      <c r="AL2074">
        <v>88.328498351169998</v>
      </c>
      <c r="AM2074">
        <v>84.413027843978199</v>
      </c>
      <c r="AN2074">
        <v>1.0000000240721501</v>
      </c>
    </row>
    <row r="2075" spans="1:40" x14ac:dyDescent="0.25">
      <c r="A2075" t="str">
        <f>"20190312153927974"</f>
        <v>20190312153927974</v>
      </c>
      <c r="B2075" t="str">
        <f>"1552376367968139"</f>
        <v>1552376367968139</v>
      </c>
      <c r="C2075" t="s">
        <v>40</v>
      </c>
      <c r="D2075">
        <v>4.0765549999999999</v>
      </c>
      <c r="E2075">
        <v>0.57718719999999901</v>
      </c>
      <c r="F2075" t="s">
        <v>54</v>
      </c>
      <c r="G2075">
        <v>-202.56190000000001</v>
      </c>
      <c r="H2075" s="1">
        <v>3.205284E-6</v>
      </c>
      <c r="I2075">
        <v>286.30689999999998</v>
      </c>
      <c r="J2075">
        <v>-193.0907</v>
      </c>
      <c r="K2075">
        <v>1.1090500000000001</v>
      </c>
      <c r="L2075">
        <v>302.44229999999999</v>
      </c>
      <c r="M2075">
        <v>-0.2309002</v>
      </c>
      <c r="N2075">
        <v>0</v>
      </c>
      <c r="O2075">
        <v>-0.9728715</v>
      </c>
      <c r="P2075">
        <v>-0.32494830000000002</v>
      </c>
      <c r="Q2075">
        <v>1.6527159999999999E-2</v>
      </c>
      <c r="R2075">
        <v>-0.94558730000000002</v>
      </c>
      <c r="S2075">
        <v>-1.5435490000000001</v>
      </c>
      <c r="T2075">
        <v>-0.17985960000000001</v>
      </c>
      <c r="U2075">
        <v>-2.6469420000000001</v>
      </c>
      <c r="V2075">
        <v>9.7908460000000003E-2</v>
      </c>
      <c r="W2075">
        <v>3.0482169999999999E-2</v>
      </c>
      <c r="X2075">
        <v>0.99472850000000002</v>
      </c>
      <c r="Y2075">
        <v>0.28975590000000001</v>
      </c>
      <c r="Z2075">
        <v>5.9022020000000001E-2</v>
      </c>
      <c r="AA2075">
        <v>0.95527899999999999</v>
      </c>
      <c r="AB2075">
        <v>20</v>
      </c>
      <c r="AC2075">
        <v>-9.4712000000000103</v>
      </c>
      <c r="AD2075">
        <v>-1.1090467947159901</v>
      </c>
      <c r="AE2075">
        <v>-16.135400000000001</v>
      </c>
      <c r="AF2075">
        <v>5.46993958070221</v>
      </c>
      <c r="AG2075">
        <v>-1.1090467947159901</v>
      </c>
      <c r="AH2075">
        <v>17.823789128203501</v>
      </c>
      <c r="AI2075">
        <v>93.4042100888867</v>
      </c>
      <c r="AJ2075">
        <v>72.939282660515502</v>
      </c>
      <c r="AK2075">
        <v>18.677196863985401</v>
      </c>
      <c r="AL2075">
        <v>88.253229747398507</v>
      </c>
      <c r="AM2075">
        <v>84.378636475056695</v>
      </c>
      <c r="AN2075">
        <v>1.00000000896986</v>
      </c>
    </row>
    <row r="2076" spans="1:40" x14ac:dyDescent="0.25">
      <c r="A2076" t="str">
        <f>"20190312153927998"</f>
        <v>20190312153927998</v>
      </c>
      <c r="B2076" t="str">
        <f>"1552376367987660"</f>
        <v>1552376367987660</v>
      </c>
      <c r="C2076" t="s">
        <v>40</v>
      </c>
      <c r="D2076">
        <v>4.0641319999999999</v>
      </c>
      <c r="E2076">
        <v>0.57763009999999904</v>
      </c>
      <c r="F2076" t="s">
        <v>54</v>
      </c>
      <c r="G2076">
        <v>-202.95519999999999</v>
      </c>
      <c r="H2076" s="1">
        <v>3.4332379999999998E-6</v>
      </c>
      <c r="I2076">
        <v>285.69450000000001</v>
      </c>
      <c r="J2076">
        <v>-193.14240000000001</v>
      </c>
      <c r="K2076">
        <v>1.109046</v>
      </c>
      <c r="L2076">
        <v>302.23809999999997</v>
      </c>
      <c r="M2076">
        <v>-0.23348679999999999</v>
      </c>
      <c r="N2076">
        <v>0</v>
      </c>
      <c r="O2076">
        <v>-0.97225430000000002</v>
      </c>
      <c r="P2076">
        <v>-0.32768609999999998</v>
      </c>
      <c r="Q2076">
        <v>1.779234E-2</v>
      </c>
      <c r="R2076">
        <v>-0.94461930000000005</v>
      </c>
      <c r="S2076">
        <v>-1.5556179999999999</v>
      </c>
      <c r="T2076">
        <v>-0.17489589999999999</v>
      </c>
      <c r="U2076">
        <v>-2.6411129999999998</v>
      </c>
      <c r="V2076">
        <v>9.8154569999999997E-2</v>
      </c>
      <c r="W2076">
        <v>3.1738969999999998E-2</v>
      </c>
      <c r="X2076">
        <v>0.99466489999999996</v>
      </c>
      <c r="Y2076">
        <v>0.29142449999999998</v>
      </c>
      <c r="Z2076">
        <v>5.7376820000000002E-2</v>
      </c>
      <c r="AA2076">
        <v>0.95487149999999998</v>
      </c>
      <c r="AB2076">
        <v>20</v>
      </c>
      <c r="AC2076">
        <v>-9.8127999999999798</v>
      </c>
      <c r="AD2076">
        <v>-1.1090425667620001</v>
      </c>
      <c r="AE2076">
        <v>-16.543599999999898</v>
      </c>
      <c r="AF2076">
        <v>5.6595933535156</v>
      </c>
      <c r="AG2076">
        <v>-1.1090425667620001</v>
      </c>
      <c r="AH2076">
        <v>18.316741243082902</v>
      </c>
      <c r="AI2076">
        <v>93.310840963189307</v>
      </c>
      <c r="AJ2076">
        <v>72.829649620756499</v>
      </c>
      <c r="AK2076">
        <v>19.203228429305899</v>
      </c>
      <c r="AL2076">
        <v>88.181185468282195</v>
      </c>
      <c r="AM2076">
        <v>84.364239024019895</v>
      </c>
      <c r="AN2076">
        <v>0.99999997256027695</v>
      </c>
    </row>
    <row r="2077" spans="1:40" x14ac:dyDescent="0.25">
      <c r="A2077" t="str">
        <f>"20190312153928020"</f>
        <v>20190312153928020</v>
      </c>
      <c r="B2077" t="str">
        <f>"1552376368008155"</f>
        <v>1552376368008155</v>
      </c>
      <c r="C2077" t="s">
        <v>40</v>
      </c>
      <c r="D2077">
        <v>4.058122</v>
      </c>
      <c r="E2077">
        <v>0.57789860000000004</v>
      </c>
      <c r="F2077" t="s">
        <v>54</v>
      </c>
      <c r="G2077">
        <v>-203.36510000000001</v>
      </c>
      <c r="H2077" s="1">
        <v>3.6721809999999999E-6</v>
      </c>
      <c r="I2077">
        <v>285.04050000000001</v>
      </c>
      <c r="J2077">
        <v>-193.1908</v>
      </c>
      <c r="K2077">
        <v>1.1090500000000001</v>
      </c>
      <c r="L2077">
        <v>302.0496</v>
      </c>
      <c r="M2077">
        <v>-0.23589560000000001</v>
      </c>
      <c r="N2077">
        <v>0</v>
      </c>
      <c r="O2077">
        <v>-0.97167269999999994</v>
      </c>
      <c r="P2077">
        <v>-0.33001239999999998</v>
      </c>
      <c r="Q2077">
        <v>1.907149E-2</v>
      </c>
      <c r="R2077">
        <v>-0.94378410000000001</v>
      </c>
      <c r="S2077">
        <v>-1.5666500000000001</v>
      </c>
      <c r="T2077">
        <v>-0.169964</v>
      </c>
      <c r="U2077">
        <v>-2.6355900000000001</v>
      </c>
      <c r="V2077">
        <v>9.8150730000000005E-2</v>
      </c>
      <c r="W2077">
        <v>3.3012420000000001E-2</v>
      </c>
      <c r="X2077">
        <v>0.99462379999999995</v>
      </c>
      <c r="Y2077">
        <v>0.29293530000000001</v>
      </c>
      <c r="Z2077">
        <v>5.5746219999999999E-2</v>
      </c>
      <c r="AA2077">
        <v>0.95450570000000001</v>
      </c>
      <c r="AB2077">
        <v>20</v>
      </c>
      <c r="AC2077">
        <v>-10.174300000000001</v>
      </c>
      <c r="AD2077">
        <v>-1.1090463278189999</v>
      </c>
      <c r="AE2077">
        <v>-17.009099999999901</v>
      </c>
      <c r="AF2077">
        <v>5.8559853379409796</v>
      </c>
      <c r="AG2077">
        <v>-1.1090463278189999</v>
      </c>
      <c r="AH2077">
        <v>18.870210309644399</v>
      </c>
      <c r="AI2077">
        <v>93.212731926747594</v>
      </c>
      <c r="AJ2077">
        <v>72.759334989744403</v>
      </c>
      <c r="AK2077">
        <v>19.789072367487002</v>
      </c>
      <c r="AL2077">
        <v>88.108183828353305</v>
      </c>
      <c r="AM2077">
        <v>84.364226713166005</v>
      </c>
      <c r="AN2077">
        <v>0.99999994460011299</v>
      </c>
    </row>
    <row r="2078" spans="1:40" x14ac:dyDescent="0.25">
      <c r="A2078" t="str">
        <f>"20190312153928041"</f>
        <v>20190312153928041</v>
      </c>
      <c r="B2078" t="str">
        <f>"1552376368027675"</f>
        <v>1552376368027675</v>
      </c>
      <c r="C2078" t="s">
        <v>40</v>
      </c>
      <c r="D2078">
        <v>4.0393290000000004</v>
      </c>
      <c r="E2078">
        <v>0.57809149999999998</v>
      </c>
      <c r="F2078" t="s">
        <v>54</v>
      </c>
      <c r="G2078">
        <v>-203.70959999999999</v>
      </c>
      <c r="H2078" s="1">
        <v>3.8738180000000002E-6</v>
      </c>
      <c r="I2078">
        <v>284.48180000000002</v>
      </c>
      <c r="J2078">
        <v>-193.23650000000001</v>
      </c>
      <c r="K2078">
        <v>1.1090450000000001</v>
      </c>
      <c r="L2078">
        <v>301.87279999999998</v>
      </c>
      <c r="M2078">
        <v>-0.2381663</v>
      </c>
      <c r="N2078">
        <v>0</v>
      </c>
      <c r="O2078">
        <v>-0.9711187</v>
      </c>
      <c r="P2078">
        <v>-0.3322116</v>
      </c>
      <c r="Q2078">
        <v>1.943367E-2</v>
      </c>
      <c r="R2078">
        <v>-0.94300470000000003</v>
      </c>
      <c r="S2078">
        <v>-1.575439</v>
      </c>
      <c r="T2078">
        <v>-0.1661049</v>
      </c>
      <c r="U2078">
        <v>-2.6311650000000002</v>
      </c>
      <c r="V2078">
        <v>9.8147670000000006E-2</v>
      </c>
      <c r="W2078">
        <v>3.3369839999999998E-2</v>
      </c>
      <c r="X2078">
        <v>0.99461219999999995</v>
      </c>
      <c r="Y2078">
        <v>0.29379270000000002</v>
      </c>
      <c r="Z2078">
        <v>5.4466010000000002E-2</v>
      </c>
      <c r="AA2078">
        <v>0.9543161</v>
      </c>
      <c r="AB2078">
        <v>20</v>
      </c>
      <c r="AC2078">
        <v>-10.473099999999899</v>
      </c>
      <c r="AD2078">
        <v>-1.1090411261819999</v>
      </c>
      <c r="AE2078">
        <v>-17.390999999999899</v>
      </c>
      <c r="AF2078">
        <v>6.0113516969448497</v>
      </c>
      <c r="AG2078">
        <v>-1.1090411261819999</v>
      </c>
      <c r="AH2078">
        <v>19.327373838857699</v>
      </c>
      <c r="AI2078">
        <v>93.136258636860006</v>
      </c>
      <c r="AJ2078">
        <v>72.722850802732097</v>
      </c>
      <c r="AK2078">
        <v>20.271006411889999</v>
      </c>
      <c r="AL2078">
        <v>88.087693928435996</v>
      </c>
      <c r="AM2078">
        <v>84.364335982035598</v>
      </c>
      <c r="AN2078">
        <v>0.99999996986844597</v>
      </c>
    </row>
    <row r="2079" spans="1:40" x14ac:dyDescent="0.25">
      <c r="A2079" t="str">
        <f>"20190312153928062"</f>
        <v>20190312153928062</v>
      </c>
      <c r="B2079" t="str">
        <f>"1552376368057931"</f>
        <v>1552376368057931</v>
      </c>
      <c r="C2079" t="s">
        <v>40</v>
      </c>
      <c r="D2079">
        <v>4.0009969999999999</v>
      </c>
      <c r="E2079">
        <v>0.57830239999999999</v>
      </c>
      <c r="F2079" t="s">
        <v>54</v>
      </c>
      <c r="G2079">
        <v>-203.77770000000001</v>
      </c>
      <c r="H2079" s="1">
        <v>3.912729E-6</v>
      </c>
      <c r="I2079">
        <v>284.38209999999998</v>
      </c>
      <c r="J2079">
        <v>-193.285</v>
      </c>
      <c r="K2079">
        <v>1.1090450000000001</v>
      </c>
      <c r="L2079">
        <v>301.68729999999999</v>
      </c>
      <c r="M2079">
        <v>-0.24056060000000001</v>
      </c>
      <c r="N2079">
        <v>0</v>
      </c>
      <c r="O2079">
        <v>-0.97052839999999996</v>
      </c>
      <c r="P2079">
        <v>-0.33418379999999998</v>
      </c>
      <c r="Q2079">
        <v>2.00235E-2</v>
      </c>
      <c r="R2079">
        <v>-0.94229560000000001</v>
      </c>
      <c r="S2079">
        <v>-1.583237</v>
      </c>
      <c r="T2079">
        <v>-0.16657259999999999</v>
      </c>
      <c r="U2079">
        <v>-2.627014</v>
      </c>
      <c r="V2079">
        <v>9.7780359999999997E-2</v>
      </c>
      <c r="W2079">
        <v>3.3956500000000001E-2</v>
      </c>
      <c r="X2079">
        <v>0.99462850000000003</v>
      </c>
      <c r="Y2079">
        <v>0.2941764</v>
      </c>
      <c r="Z2079">
        <v>5.460106E-2</v>
      </c>
      <c r="AA2079">
        <v>0.95419019999999999</v>
      </c>
      <c r="AB2079">
        <v>20</v>
      </c>
      <c r="AC2079">
        <v>-10.492699999999999</v>
      </c>
      <c r="AD2079">
        <v>-1.1090410872709999</v>
      </c>
      <c r="AE2079">
        <v>-17.305199999999999</v>
      </c>
      <c r="AF2079">
        <v>6.0031039588803896</v>
      </c>
      <c r="AG2079">
        <v>-1.1090410872709999</v>
      </c>
      <c r="AH2079">
        <v>19.263450779311199</v>
      </c>
      <c r="AI2079">
        <v>93.1461066372445</v>
      </c>
      <c r="AJ2079">
        <v>72.691304793466301</v>
      </c>
      <c r="AK2079">
        <v>20.207616514604702</v>
      </c>
      <c r="AL2079">
        <v>88.054061680510998</v>
      </c>
      <c r="AM2079">
        <v>84.385383424233595</v>
      </c>
      <c r="AN2079">
        <v>0.99999994785311297</v>
      </c>
    </row>
    <row r="2080" spans="1:40" x14ac:dyDescent="0.25">
      <c r="A2080" t="str">
        <f>"20190312153928087"</f>
        <v>20190312153928087</v>
      </c>
      <c r="B2080" t="str">
        <f>"1552376368078427"</f>
        <v>1552376368078427</v>
      </c>
      <c r="C2080" t="s">
        <v>40</v>
      </c>
      <c r="D2080">
        <v>3.9937459999999998</v>
      </c>
      <c r="E2080">
        <v>0.57836129999999997</v>
      </c>
      <c r="F2080" t="s">
        <v>54</v>
      </c>
      <c r="G2080">
        <v>-203.69540000000001</v>
      </c>
      <c r="H2080" s="1">
        <v>3.8648629999999997E-6</v>
      </c>
      <c r="I2080">
        <v>284.51220000000001</v>
      </c>
      <c r="J2080">
        <v>-193.339</v>
      </c>
      <c r="K2080">
        <v>1.109054</v>
      </c>
      <c r="L2080">
        <v>301.48320000000001</v>
      </c>
      <c r="M2080">
        <v>-0.24320829999999999</v>
      </c>
      <c r="N2080">
        <v>0</v>
      </c>
      <c r="O2080">
        <v>-0.96986839999999996</v>
      </c>
      <c r="P2080">
        <v>-0.3363408</v>
      </c>
      <c r="Q2080">
        <v>2.0593150000000001E-2</v>
      </c>
      <c r="R2080">
        <v>-0.9415154</v>
      </c>
      <c r="S2080">
        <v>-1.5901179999999999</v>
      </c>
      <c r="T2080">
        <v>-0.1693984</v>
      </c>
      <c r="U2080">
        <v>-2.623383</v>
      </c>
      <c r="V2080">
        <v>9.7348379999999998E-2</v>
      </c>
      <c r="W2080">
        <v>3.4523610000000003E-2</v>
      </c>
      <c r="X2080">
        <v>0.99465139999999996</v>
      </c>
      <c r="Y2080">
        <v>0.29395850000000001</v>
      </c>
      <c r="Z2080">
        <v>5.5500590000000002E-2</v>
      </c>
      <c r="AA2080">
        <v>0.95420550000000004</v>
      </c>
      <c r="AB2080">
        <v>20</v>
      </c>
      <c r="AC2080">
        <v>-10.356399999999899</v>
      </c>
      <c r="AD2080">
        <v>-1.1090501351369999</v>
      </c>
      <c r="AE2080">
        <v>-16.971</v>
      </c>
      <c r="AF2080">
        <v>5.8991069243976799</v>
      </c>
      <c r="AG2080">
        <v>-1.1090501351369999</v>
      </c>
      <c r="AH2080">
        <v>18.921465323360302</v>
      </c>
      <c r="AI2080">
        <v>93.202754279623505</v>
      </c>
      <c r="AJ2080">
        <v>72.684193786070793</v>
      </c>
      <c r="AK2080">
        <v>19.8507255457037</v>
      </c>
      <c r="AL2080">
        <v>88.021549702521199</v>
      </c>
      <c r="AM2080">
        <v>84.410158451970503</v>
      </c>
      <c r="AN2080">
        <v>0.999999997129008</v>
      </c>
    </row>
    <row r="2081" spans="1:40" x14ac:dyDescent="0.25">
      <c r="A2081" t="str">
        <f>"20190312153928109"</f>
        <v>20190312153928109</v>
      </c>
      <c r="B2081" t="str">
        <f>"1552376368097947"</f>
        <v>1552376368097947</v>
      </c>
      <c r="C2081" t="s">
        <v>40</v>
      </c>
      <c r="D2081">
        <v>4.0347819999999999</v>
      </c>
      <c r="E2081">
        <v>0.57856869999999905</v>
      </c>
      <c r="F2081" t="s">
        <v>54</v>
      </c>
      <c r="G2081">
        <v>-203.78469999999999</v>
      </c>
      <c r="H2081" s="1">
        <v>3.9193069999999999E-6</v>
      </c>
      <c r="I2081">
        <v>284.34210000000002</v>
      </c>
      <c r="J2081">
        <v>-193.39009999999999</v>
      </c>
      <c r="K2081">
        <v>1.109064</v>
      </c>
      <c r="L2081">
        <v>301.2921</v>
      </c>
      <c r="M2081">
        <v>-0.24569379999999999</v>
      </c>
      <c r="N2081">
        <v>0</v>
      </c>
      <c r="O2081">
        <v>-0.96924189999999999</v>
      </c>
      <c r="P2081">
        <v>-0.33911210000000003</v>
      </c>
      <c r="Q2081">
        <v>2.0848820000000001E-2</v>
      </c>
      <c r="R2081">
        <v>-0.9405152</v>
      </c>
      <c r="S2081">
        <v>-1.596436</v>
      </c>
      <c r="T2081">
        <v>-0.16949900000000001</v>
      </c>
      <c r="U2081">
        <v>-2.61972</v>
      </c>
      <c r="V2081">
        <v>9.7729819999999995E-2</v>
      </c>
      <c r="W2081">
        <v>3.4773800000000001E-2</v>
      </c>
      <c r="X2081">
        <v>0.99460530000000003</v>
      </c>
      <c r="Y2081">
        <v>0.2937787</v>
      </c>
      <c r="Z2081">
        <v>5.5515519999999999E-2</v>
      </c>
      <c r="AA2081">
        <v>0.95426</v>
      </c>
      <c r="AB2081">
        <v>20</v>
      </c>
      <c r="AC2081">
        <v>-10.394599999999899</v>
      </c>
      <c r="AD2081">
        <v>-1.109060080693</v>
      </c>
      <c r="AE2081">
        <v>-16.9499999999999</v>
      </c>
      <c r="AF2081">
        <v>5.8926437476128797</v>
      </c>
      <c r="AG2081">
        <v>-1.109060080693</v>
      </c>
      <c r="AH2081">
        <v>18.925600738855699</v>
      </c>
      <c r="AI2081">
        <v>93.202456313381205</v>
      </c>
      <c r="AJ2081">
        <v>72.705587092004905</v>
      </c>
      <c r="AK2081">
        <v>19.852748623942301</v>
      </c>
      <c r="AL2081">
        <v>88.0072063021682</v>
      </c>
      <c r="AM2081">
        <v>84.388136875077095</v>
      </c>
      <c r="AN2081">
        <v>1.00000001883588</v>
      </c>
    </row>
    <row r="2082" spans="1:40" x14ac:dyDescent="0.25">
      <c r="A2082" t="str">
        <f>"20190312153928131"</f>
        <v>20190312153928131</v>
      </c>
      <c r="B2082" t="str">
        <f>"1552376368128204"</f>
        <v>1552376368128204</v>
      </c>
      <c r="C2082" t="s">
        <v>40</v>
      </c>
      <c r="D2082">
        <v>4.0330769999999996</v>
      </c>
      <c r="E2082">
        <v>0.57883490000000004</v>
      </c>
      <c r="F2082" t="s">
        <v>54</v>
      </c>
      <c r="G2082">
        <v>-203.74549999999999</v>
      </c>
      <c r="H2082" s="1">
        <v>3.8939260000000004E-6</v>
      </c>
      <c r="I2082">
        <v>284.43380000000002</v>
      </c>
      <c r="J2082">
        <v>-193.44049999999999</v>
      </c>
      <c r="K2082">
        <v>1.109075</v>
      </c>
      <c r="L2082">
        <v>301.1053</v>
      </c>
      <c r="M2082">
        <v>-0.24812600000000001</v>
      </c>
      <c r="N2082">
        <v>0</v>
      </c>
      <c r="O2082">
        <v>-0.96862199999999998</v>
      </c>
      <c r="P2082">
        <v>-0.34157650000000001</v>
      </c>
      <c r="Q2082">
        <v>2.1400349999999999E-2</v>
      </c>
      <c r="R2082">
        <v>-0.93961050000000002</v>
      </c>
      <c r="S2082">
        <v>-1.605988</v>
      </c>
      <c r="T2082">
        <v>-0.17200079999999901</v>
      </c>
      <c r="U2082">
        <v>-2.6145019999999999</v>
      </c>
      <c r="V2082">
        <v>9.7844959999999995E-2</v>
      </c>
      <c r="W2082">
        <v>3.532134E-2</v>
      </c>
      <c r="X2082">
        <v>0.99457470000000003</v>
      </c>
      <c r="Y2082">
        <v>0.29473680000000002</v>
      </c>
      <c r="Z2082">
        <v>5.631568E-2</v>
      </c>
      <c r="AA2082">
        <v>0.95391760000000003</v>
      </c>
      <c r="AB2082">
        <v>20</v>
      </c>
      <c r="AC2082">
        <v>-10.305</v>
      </c>
      <c r="AD2082">
        <v>-1.1090711060739999</v>
      </c>
      <c r="AE2082">
        <v>-16.671499999999899</v>
      </c>
      <c r="AF2082">
        <v>5.8269573924917299</v>
      </c>
      <c r="AG2082">
        <v>-1.1090711060739999</v>
      </c>
      <c r="AH2082">
        <v>18.647525126051701</v>
      </c>
      <c r="AI2082">
        <v>93.249109743004794</v>
      </c>
      <c r="AJ2082">
        <v>72.647078844245897</v>
      </c>
      <c r="AK2082">
        <v>19.5681798974502</v>
      </c>
      <c r="AL2082">
        <v>87.975815315863898</v>
      </c>
      <c r="AM2082">
        <v>84.381395802719297</v>
      </c>
      <c r="AN2082">
        <v>1.00000003356844</v>
      </c>
    </row>
    <row r="2083" spans="1:40" x14ac:dyDescent="0.25">
      <c r="A2083" t="str">
        <f>"20190312153928151"</f>
        <v>20190312153928151</v>
      </c>
      <c r="B2083" t="str">
        <f>"1552376368147723"</f>
        <v>1552376368147723</v>
      </c>
      <c r="C2083" t="s">
        <v>40</v>
      </c>
      <c r="D2083">
        <v>4.0272739999999896</v>
      </c>
      <c r="E2083">
        <v>0.57903859999999996</v>
      </c>
      <c r="F2083" t="s">
        <v>54</v>
      </c>
      <c r="G2083">
        <v>-203.71459999999999</v>
      </c>
      <c r="H2083" s="1">
        <v>3.8742500000000002E-6</v>
      </c>
      <c r="I2083">
        <v>284.50200000000001</v>
      </c>
      <c r="J2083">
        <v>-193.4881</v>
      </c>
      <c r="K2083">
        <v>1.109084</v>
      </c>
      <c r="L2083">
        <v>300.93060000000003</v>
      </c>
      <c r="M2083">
        <v>-0.25040200000000001</v>
      </c>
      <c r="N2083">
        <v>0</v>
      </c>
      <c r="O2083">
        <v>-0.96803629999999996</v>
      </c>
      <c r="P2083">
        <v>-0.34398400000000001</v>
      </c>
      <c r="Q2083">
        <v>2.198524E-2</v>
      </c>
      <c r="R2083">
        <v>-0.93871859999999996</v>
      </c>
      <c r="S2083">
        <v>-1.6148990000000001</v>
      </c>
      <c r="T2083">
        <v>-0.1743257</v>
      </c>
      <c r="U2083">
        <v>-2.6097410000000001</v>
      </c>
      <c r="V2083">
        <v>9.8061679999999998E-2</v>
      </c>
      <c r="W2083">
        <v>3.5901759999999998E-2</v>
      </c>
      <c r="X2083">
        <v>0.99453250000000004</v>
      </c>
      <c r="Y2083">
        <v>0.295603</v>
      </c>
      <c r="Z2083">
        <v>5.7055920000000003E-2</v>
      </c>
      <c r="AA2083">
        <v>0.95360549999999999</v>
      </c>
      <c r="AB2083">
        <v>20</v>
      </c>
      <c r="AC2083">
        <v>-10.2264999999999</v>
      </c>
      <c r="AD2083">
        <v>-1.10908012575</v>
      </c>
      <c r="AE2083">
        <v>-16.428599999999999</v>
      </c>
      <c r="AF2083">
        <v>5.7675161790166696</v>
      </c>
      <c r="AG2083">
        <v>-1.10908012575</v>
      </c>
      <c r="AH2083">
        <v>18.405648811506801</v>
      </c>
      <c r="AI2083">
        <v>93.290920293541006</v>
      </c>
      <c r="AJ2083">
        <v>72.601316739744107</v>
      </c>
      <c r="AK2083">
        <v>19.319995076942298</v>
      </c>
      <c r="AL2083">
        <v>87.942538444665004</v>
      </c>
      <c r="AM2083">
        <v>84.368793467253894</v>
      </c>
      <c r="AN2083">
        <v>0.99999996150588399</v>
      </c>
    </row>
    <row r="2084" spans="1:40" x14ac:dyDescent="0.25">
      <c r="A2084" t="str">
        <f>"20190312153928175"</f>
        <v>20190312153928175</v>
      </c>
      <c r="B2084" t="str">
        <f>"1552376368168220"</f>
        <v>1552376368168220</v>
      </c>
      <c r="C2084" t="s">
        <v>40</v>
      </c>
      <c r="D2084">
        <v>4.0274419999999997</v>
      </c>
      <c r="E2084">
        <v>0.57919679999999996</v>
      </c>
      <c r="F2084" t="s">
        <v>54</v>
      </c>
      <c r="G2084">
        <v>-203.7621</v>
      </c>
      <c r="H2084" s="1">
        <v>3.9005019999999998E-6</v>
      </c>
      <c r="I2084">
        <v>284.4427</v>
      </c>
      <c r="J2084">
        <v>-193.5419</v>
      </c>
      <c r="K2084">
        <v>1.109092</v>
      </c>
      <c r="L2084">
        <v>300.73520000000002</v>
      </c>
      <c r="M2084">
        <v>-0.2529477</v>
      </c>
      <c r="N2084">
        <v>0</v>
      </c>
      <c r="O2084">
        <v>-0.96737410000000001</v>
      </c>
      <c r="P2084">
        <v>-0.34689799999999998</v>
      </c>
      <c r="Q2084">
        <v>2.280708E-2</v>
      </c>
      <c r="R2084">
        <v>-0.93762590000000001</v>
      </c>
      <c r="S2084">
        <v>-1.623291</v>
      </c>
      <c r="T2084">
        <v>-0.175235</v>
      </c>
      <c r="U2084">
        <v>-2.6051030000000002</v>
      </c>
      <c r="V2084">
        <v>9.8541630000000005E-2</v>
      </c>
      <c r="W2084">
        <v>3.6718050000000002E-2</v>
      </c>
      <c r="X2084">
        <v>0.99445530000000004</v>
      </c>
      <c r="Y2084">
        <v>0.29605690000000001</v>
      </c>
      <c r="Z2084">
        <v>5.7331319999999998E-2</v>
      </c>
      <c r="AA2084">
        <v>0.95344819999999997</v>
      </c>
      <c r="AB2084">
        <v>19</v>
      </c>
      <c r="AC2084">
        <v>-10.2202</v>
      </c>
      <c r="AD2084">
        <v>-1.1090880994979999</v>
      </c>
      <c r="AE2084">
        <v>-16.2925</v>
      </c>
      <c r="AF2084">
        <v>5.74708526857812</v>
      </c>
      <c r="AG2084">
        <v>-1.1090880994979999</v>
      </c>
      <c r="AH2084">
        <v>18.287184579831901</v>
      </c>
      <c r="AI2084">
        <v>93.311353715758202</v>
      </c>
      <c r="AJ2084">
        <v>72.553711499160997</v>
      </c>
      <c r="AK2084">
        <v>19.2010464650653</v>
      </c>
      <c r="AL2084">
        <v>87.895737701588601</v>
      </c>
      <c r="AM2084">
        <v>84.340974275758896</v>
      </c>
      <c r="AN2084">
        <v>1.0000000058684699</v>
      </c>
    </row>
    <row r="2085" spans="1:40" x14ac:dyDescent="0.25">
      <c r="A2085" t="str">
        <f>"20190312153928198"</f>
        <v>20190312153928198</v>
      </c>
      <c r="B2085" t="str">
        <f>"1552376368187745"</f>
        <v>1552376368187745</v>
      </c>
      <c r="C2085" t="s">
        <v>40</v>
      </c>
      <c r="D2085">
        <v>4.022462</v>
      </c>
      <c r="E2085">
        <v>0.57931160000000004</v>
      </c>
      <c r="F2085" t="s">
        <v>54</v>
      </c>
      <c r="G2085">
        <v>-203.88829999999999</v>
      </c>
      <c r="H2085" s="1">
        <v>3.9726279999999998E-6</v>
      </c>
      <c r="I2085">
        <v>284.25799999999998</v>
      </c>
      <c r="J2085">
        <v>-193.59559999999999</v>
      </c>
      <c r="K2085">
        <v>1.1091040000000001</v>
      </c>
      <c r="L2085">
        <v>300.5421</v>
      </c>
      <c r="M2085">
        <v>-0.25546219999999997</v>
      </c>
      <c r="N2085">
        <v>0</v>
      </c>
      <c r="O2085">
        <v>-0.96671320000000005</v>
      </c>
      <c r="P2085">
        <v>-0.34955049999999999</v>
      </c>
      <c r="Q2085">
        <v>2.3904149999999999E-2</v>
      </c>
      <c r="R2085">
        <v>-0.93661269999999996</v>
      </c>
      <c r="S2085">
        <v>-1.6324920000000001</v>
      </c>
      <c r="T2085">
        <v>-0.1749954</v>
      </c>
      <c r="U2085">
        <v>-2.5998230000000002</v>
      </c>
      <c r="V2085">
        <v>9.8780800000000002E-2</v>
      </c>
      <c r="W2085">
        <v>3.780973E-2</v>
      </c>
      <c r="X2085">
        <v>0.99439069999999996</v>
      </c>
      <c r="Y2085">
        <v>0.29686899999999999</v>
      </c>
      <c r="Z2085">
        <v>5.723615E-2</v>
      </c>
      <c r="AA2085">
        <v>0.95320139999999998</v>
      </c>
      <c r="AB2085">
        <v>19</v>
      </c>
      <c r="AC2085">
        <v>-10.2926999999999</v>
      </c>
      <c r="AD2085">
        <v>-1.109100027372</v>
      </c>
      <c r="AE2085">
        <v>-16.284099999999999</v>
      </c>
      <c r="AF2085">
        <v>5.77157878667765</v>
      </c>
      <c r="AG2085">
        <v>-1.109100027372</v>
      </c>
      <c r="AH2085">
        <v>18.3126305289823</v>
      </c>
      <c r="AI2085">
        <v>93.305947174845699</v>
      </c>
      <c r="AJ2085">
        <v>72.506748996847406</v>
      </c>
      <c r="AK2085">
        <v>19.232619724118699</v>
      </c>
      <c r="AL2085">
        <v>87.833145650424797</v>
      </c>
      <c r="AM2085">
        <v>84.326962632558804</v>
      </c>
      <c r="AN2085">
        <v>1.0000000431889</v>
      </c>
    </row>
    <row r="2086" spans="1:40" x14ac:dyDescent="0.25">
      <c r="A2086" t="str">
        <f>"20190312153928218"</f>
        <v>20190312153928218</v>
      </c>
      <c r="B2086" t="str">
        <f>"1552376368208236"</f>
        <v>1552376368208236</v>
      </c>
      <c r="C2086" t="s">
        <v>40</v>
      </c>
      <c r="D2086">
        <v>4.0082990000000001</v>
      </c>
      <c r="E2086">
        <v>0.57947499999999996</v>
      </c>
      <c r="F2086" t="s">
        <v>54</v>
      </c>
      <c r="G2086">
        <v>-204.04</v>
      </c>
      <c r="H2086" s="1">
        <v>4.0603909999999997E-6</v>
      </c>
      <c r="I2086">
        <v>284.02359999999999</v>
      </c>
      <c r="J2086">
        <v>-193.6455</v>
      </c>
      <c r="K2086">
        <v>1.1091120000000001</v>
      </c>
      <c r="L2086">
        <v>300.36450000000002</v>
      </c>
      <c r="M2086">
        <v>-0.25777850000000002</v>
      </c>
      <c r="N2086">
        <v>0</v>
      </c>
      <c r="O2086">
        <v>-0.96609829999999997</v>
      </c>
      <c r="P2086">
        <v>-0.35174879999999997</v>
      </c>
      <c r="Q2086">
        <v>2.538029E-2</v>
      </c>
      <c r="R2086">
        <v>-0.93575030000000003</v>
      </c>
      <c r="S2086">
        <v>-1.6408689999999999</v>
      </c>
      <c r="T2086">
        <v>-0.17424400000000001</v>
      </c>
      <c r="U2086">
        <v>-2.5951230000000001</v>
      </c>
      <c r="V2086">
        <v>9.8746780000000006E-2</v>
      </c>
      <c r="W2086">
        <v>3.9282049999999999E-2</v>
      </c>
      <c r="X2086">
        <v>0.99433700000000003</v>
      </c>
      <c r="Y2086">
        <v>0.29756709999999997</v>
      </c>
      <c r="Z2086">
        <v>5.6972679999999998E-2</v>
      </c>
      <c r="AA2086">
        <v>0.9529995</v>
      </c>
      <c r="AB2086">
        <v>19</v>
      </c>
      <c r="AC2086">
        <v>-10.394499999999899</v>
      </c>
      <c r="AD2086">
        <v>-1.109107939609</v>
      </c>
      <c r="AE2086">
        <v>-16.340900000000001</v>
      </c>
      <c r="AF2086">
        <v>5.8113123686680996</v>
      </c>
      <c r="AG2086">
        <v>-1.109107939609</v>
      </c>
      <c r="AH2086">
        <v>18.407908663113599</v>
      </c>
      <c r="AI2086">
        <v>93.288400561467995</v>
      </c>
      <c r="AJ2086">
        <v>72.479275613545497</v>
      </c>
      <c r="AK2086">
        <v>19.3352676013928</v>
      </c>
      <c r="AL2086">
        <v>87.7487251734875</v>
      </c>
      <c r="AM2086">
        <v>84.328599406848099</v>
      </c>
      <c r="AN2086">
        <v>1.0000000377907801</v>
      </c>
    </row>
    <row r="2087" spans="1:40" x14ac:dyDescent="0.25">
      <c r="A2087" t="str">
        <f>"20190312153928241"</f>
        <v>20190312153928241</v>
      </c>
      <c r="B2087" t="str">
        <f>"1552376368238492"</f>
        <v>1552376368238492</v>
      </c>
      <c r="C2087" t="s">
        <v>40</v>
      </c>
      <c r="D2087">
        <v>4.014221</v>
      </c>
      <c r="E2087">
        <v>0.57959689999999997</v>
      </c>
      <c r="F2087" t="s">
        <v>54</v>
      </c>
      <c r="G2087">
        <v>-204.24590000000001</v>
      </c>
      <c r="H2087" s="1">
        <v>4.1799699999999901E-6</v>
      </c>
      <c r="I2087">
        <v>283.70010000000002</v>
      </c>
      <c r="J2087">
        <v>-193.697</v>
      </c>
      <c r="K2087">
        <v>1.109116</v>
      </c>
      <c r="L2087">
        <v>300.18270000000001</v>
      </c>
      <c r="M2087">
        <v>-0.2601502</v>
      </c>
      <c r="N2087">
        <v>0</v>
      </c>
      <c r="O2087">
        <v>-0.96546240000000005</v>
      </c>
      <c r="P2087">
        <v>-0.35427320000000001</v>
      </c>
      <c r="Q2087">
        <v>2.6483989999999999E-2</v>
      </c>
      <c r="R2087">
        <v>-0.93476700000000001</v>
      </c>
      <c r="S2087">
        <v>-1.648209</v>
      </c>
      <c r="T2087">
        <v>-0.17244949999999901</v>
      </c>
      <c r="U2087">
        <v>-2.5910639999999998</v>
      </c>
      <c r="V2087">
        <v>9.8999840000000006E-2</v>
      </c>
      <c r="W2087">
        <v>4.0380770000000003E-2</v>
      </c>
      <c r="X2087">
        <v>0.99426780000000003</v>
      </c>
      <c r="Y2087">
        <v>0.29783999999999999</v>
      </c>
      <c r="Z2087">
        <v>5.6365270000000002E-2</v>
      </c>
      <c r="AA2087">
        <v>0.95295030000000003</v>
      </c>
      <c r="AB2087">
        <v>19</v>
      </c>
      <c r="AC2087">
        <v>-10.5489</v>
      </c>
      <c r="AD2087">
        <v>-1.1091118200299901</v>
      </c>
      <c r="AE2087">
        <v>-16.482599999999898</v>
      </c>
      <c r="AF2087">
        <v>5.8783344613389401</v>
      </c>
      <c r="AG2087">
        <v>-1.1091118200299901</v>
      </c>
      <c r="AH2087">
        <v>18.599788266609298</v>
      </c>
      <c r="AI2087">
        <v>93.254238088363806</v>
      </c>
      <c r="AJ2087">
        <v>72.461219398142504</v>
      </c>
      <c r="AK2087">
        <v>19.538092758286101</v>
      </c>
      <c r="AL2087">
        <v>87.685723107056404</v>
      </c>
      <c r="AM2087">
        <v>84.313767192537895</v>
      </c>
      <c r="AN2087">
        <v>1.0000000165113201</v>
      </c>
    </row>
    <row r="2088" spans="1:40" x14ac:dyDescent="0.25">
      <c r="A2088" t="str">
        <f>"20190312153928264"</f>
        <v>20190312153928264</v>
      </c>
      <c r="B2088" t="str">
        <f>"1552376368258011"</f>
        <v>1552376368258011</v>
      </c>
      <c r="C2088" t="s">
        <v>40</v>
      </c>
      <c r="D2088">
        <v>4.0170389999999996</v>
      </c>
      <c r="E2088">
        <v>0.57973819999999998</v>
      </c>
      <c r="F2088" t="s">
        <v>54</v>
      </c>
      <c r="G2088">
        <v>-204.3193</v>
      </c>
      <c r="H2088" s="1">
        <v>4.222115E-6</v>
      </c>
      <c r="I2088">
        <v>283.59010000000001</v>
      </c>
      <c r="J2088">
        <v>-193.75360000000001</v>
      </c>
      <c r="K2088">
        <v>1.109118</v>
      </c>
      <c r="L2088">
        <v>299.98500000000001</v>
      </c>
      <c r="M2088">
        <v>-0.26273560000000001</v>
      </c>
      <c r="N2088">
        <v>0</v>
      </c>
      <c r="O2088">
        <v>-0.96476220000000001</v>
      </c>
      <c r="P2088">
        <v>-0.3577321</v>
      </c>
      <c r="Q2088">
        <v>2.6868369999999999E-2</v>
      </c>
      <c r="R2088">
        <v>-0.93343790000000004</v>
      </c>
      <c r="S2088">
        <v>-1.6559140000000001</v>
      </c>
      <c r="T2088">
        <v>-0.17290059999999999</v>
      </c>
      <c r="U2088">
        <v>-2.5866389999999999</v>
      </c>
      <c r="V2088">
        <v>0.10002220000000001</v>
      </c>
      <c r="W2088">
        <v>4.0755729999999997E-2</v>
      </c>
      <c r="X2088">
        <v>0.99415019999999998</v>
      </c>
      <c r="Y2088">
        <v>0.2980334</v>
      </c>
      <c r="Z2088">
        <v>5.6489039999999997E-2</v>
      </c>
      <c r="AA2088">
        <v>0.95288249999999997</v>
      </c>
      <c r="AB2088">
        <v>19</v>
      </c>
      <c r="AC2088">
        <v>-10.5656999999999</v>
      </c>
      <c r="AD2088">
        <v>-1.109113777885</v>
      </c>
      <c r="AE2088">
        <v>-16.3949</v>
      </c>
      <c r="AF2088">
        <v>5.86749135469094</v>
      </c>
      <c r="AG2088">
        <v>-1.109113777885</v>
      </c>
      <c r="AH2088">
        <v>18.535126728797898</v>
      </c>
      <c r="AI2088">
        <v>93.265087162225996</v>
      </c>
      <c r="AJ2088">
        <v>72.434263246882693</v>
      </c>
      <c r="AK2088">
        <v>19.4732768434659</v>
      </c>
      <c r="AL2088">
        <v>87.664221848047006</v>
      </c>
      <c r="AM2088">
        <v>84.254761875870798</v>
      </c>
      <c r="AN2088">
        <v>1.0000000450903499</v>
      </c>
    </row>
    <row r="2089" spans="1:40" x14ac:dyDescent="0.25">
      <c r="A2089" t="str">
        <f>"20190312153928287"</f>
        <v>20190312153928287</v>
      </c>
      <c r="B2089" t="str">
        <f>"1552376368278508"</f>
        <v>1552376368278508</v>
      </c>
      <c r="C2089" t="s">
        <v>40</v>
      </c>
      <c r="D2089">
        <v>4.0391170000000001</v>
      </c>
      <c r="E2089">
        <v>0.57977990000000001</v>
      </c>
      <c r="F2089" t="s">
        <v>54</v>
      </c>
      <c r="G2089">
        <v>-204.39869999999999</v>
      </c>
      <c r="H2089" s="1">
        <v>4.2649980000000002E-6</v>
      </c>
      <c r="I2089">
        <v>283.5025</v>
      </c>
      <c r="J2089">
        <v>-193.8074</v>
      </c>
      <c r="K2089">
        <v>1.1091169999999999</v>
      </c>
      <c r="L2089">
        <v>299.7989</v>
      </c>
      <c r="M2089">
        <v>-0.26517990000000002</v>
      </c>
      <c r="N2089">
        <v>0</v>
      </c>
      <c r="O2089">
        <v>-0.96409330000000004</v>
      </c>
      <c r="P2089">
        <v>-0.3616357</v>
      </c>
      <c r="Q2089">
        <v>2.7145119999999998E-2</v>
      </c>
      <c r="R2089">
        <v>-0.93192430000000004</v>
      </c>
      <c r="S2089">
        <v>-1.6664429999999999</v>
      </c>
      <c r="T2089">
        <v>-0.17362720000000001</v>
      </c>
      <c r="U2089">
        <v>-2.5802610000000001</v>
      </c>
      <c r="V2089">
        <v>0.1016671</v>
      </c>
      <c r="W2089">
        <v>4.1019680000000003E-2</v>
      </c>
      <c r="X2089">
        <v>0.99397239999999998</v>
      </c>
      <c r="Y2089">
        <v>0.29942469999999999</v>
      </c>
      <c r="Z2089">
        <v>5.6714199999999902E-2</v>
      </c>
      <c r="AA2089">
        <v>0.95243290000000003</v>
      </c>
      <c r="AB2089">
        <v>19</v>
      </c>
      <c r="AC2089">
        <v>-10.591299999999899</v>
      </c>
      <c r="AD2089">
        <v>-1.10911273500199</v>
      </c>
      <c r="AE2089">
        <v>-16.296399999999998</v>
      </c>
      <c r="AF2089">
        <v>5.8710048423203602</v>
      </c>
      <c r="AG2089">
        <v>-1.10911273500199</v>
      </c>
      <c r="AH2089">
        <v>18.461616787511399</v>
      </c>
      <c r="AI2089">
        <v>93.276688972861805</v>
      </c>
      <c r="AJ2089">
        <v>72.358742127806096</v>
      </c>
      <c r="AK2089">
        <v>19.404384126439499</v>
      </c>
      <c r="AL2089">
        <v>87.6490857999177</v>
      </c>
      <c r="AM2089">
        <v>84.159889771419898</v>
      </c>
      <c r="AN2089">
        <v>0.99999997266573504</v>
      </c>
    </row>
    <row r="2090" spans="1:40" x14ac:dyDescent="0.25">
      <c r="A2090" t="str">
        <f>"20190312153928311"</f>
        <v>20190312153928311</v>
      </c>
      <c r="B2090" t="str">
        <f>"1552376368298027"</f>
        <v>1552376368298027</v>
      </c>
      <c r="C2090" t="s">
        <v>40</v>
      </c>
      <c r="D2090">
        <v>3.9916680000000002</v>
      </c>
      <c r="E2090">
        <v>0.57983090000000004</v>
      </c>
      <c r="F2090" t="s">
        <v>54</v>
      </c>
      <c r="G2090">
        <v>-204.53829999999999</v>
      </c>
      <c r="H2090" s="1">
        <v>4.3411629999999997E-6</v>
      </c>
      <c r="I2090">
        <v>283.33969999999999</v>
      </c>
      <c r="J2090">
        <v>-193.86439999999999</v>
      </c>
      <c r="K2090">
        <v>1.1091089999999999</v>
      </c>
      <c r="L2090">
        <v>299.6037</v>
      </c>
      <c r="M2090">
        <v>-0.2677619</v>
      </c>
      <c r="N2090">
        <v>0</v>
      </c>
      <c r="O2090">
        <v>-0.9633794</v>
      </c>
      <c r="P2090">
        <v>-0.36554219999999998</v>
      </c>
      <c r="Q2090">
        <v>2.6521019999999999E-2</v>
      </c>
      <c r="R2090">
        <v>-0.93041719999999895</v>
      </c>
      <c r="S2090">
        <v>-1.677643</v>
      </c>
      <c r="T2090">
        <v>-0.17339589999999999</v>
      </c>
      <c r="U2090">
        <v>-2.5731809999999999</v>
      </c>
      <c r="V2090">
        <v>0.10316839999999999</v>
      </c>
      <c r="W2090">
        <v>4.0382679999999997E-2</v>
      </c>
      <c r="X2090">
        <v>0.99384380000000005</v>
      </c>
      <c r="Y2090">
        <v>0.3009792</v>
      </c>
      <c r="Z2090">
        <v>5.6630729999999997E-2</v>
      </c>
      <c r="AA2090">
        <v>0.95194769999999895</v>
      </c>
      <c r="AB2090">
        <v>19</v>
      </c>
      <c r="AC2090">
        <v>-10.6739</v>
      </c>
      <c r="AD2090">
        <v>-1.1091046588369999</v>
      </c>
      <c r="AE2090">
        <v>-16.263999999999999</v>
      </c>
      <c r="AF2090">
        <v>5.90953136125525</v>
      </c>
      <c r="AG2090">
        <v>-1.1091046588369999</v>
      </c>
      <c r="AH2090">
        <v>18.4683240526705</v>
      </c>
      <c r="AI2090">
        <v>93.2736135119724</v>
      </c>
      <c r="AJ2090">
        <v>72.256263640788504</v>
      </c>
      <c r="AK2090">
        <v>19.422452660988998</v>
      </c>
      <c r="AL2090">
        <v>87.685613519540993</v>
      </c>
      <c r="AM2090">
        <v>84.073497832898298</v>
      </c>
      <c r="AN2090">
        <v>0.99999998920049105</v>
      </c>
    </row>
    <row r="2091" spans="1:40" x14ac:dyDescent="0.25">
      <c r="A2091" t="str">
        <f>"20190312153928333"</f>
        <v>20190312153928333</v>
      </c>
      <c r="B2091" t="str">
        <f>"1552376368328284"</f>
        <v>1552376368328284</v>
      </c>
      <c r="C2091" t="s">
        <v>40</v>
      </c>
      <c r="D2091">
        <v>4.0242500000000003</v>
      </c>
      <c r="E2091">
        <v>0.57988139999999999</v>
      </c>
      <c r="F2091" t="s">
        <v>54</v>
      </c>
      <c r="G2091">
        <v>-204.53870000000001</v>
      </c>
      <c r="H2091" s="1">
        <v>4.3367399999999997E-6</v>
      </c>
      <c r="I2091">
        <v>283.3922</v>
      </c>
      <c r="J2091">
        <v>-193.91730000000001</v>
      </c>
      <c r="K2091">
        <v>1.1090949999999999</v>
      </c>
      <c r="L2091">
        <v>299.42450000000002</v>
      </c>
      <c r="M2091">
        <v>-0.2701655</v>
      </c>
      <c r="N2091">
        <v>0</v>
      </c>
      <c r="O2091">
        <v>-0.96270820000000001</v>
      </c>
      <c r="P2091">
        <v>-0.3692358</v>
      </c>
      <c r="Q2091">
        <v>2.69754E-2</v>
      </c>
      <c r="R2091">
        <v>-0.9289442</v>
      </c>
      <c r="S2091">
        <v>-1.6893009999999999</v>
      </c>
      <c r="T2091">
        <v>-0.1755254</v>
      </c>
      <c r="U2091">
        <v>-2.5656129999999999</v>
      </c>
      <c r="V2091">
        <v>0.1046434</v>
      </c>
      <c r="W2091">
        <v>4.0822909999999997E-2</v>
      </c>
      <c r="X2091">
        <v>0.99367159999999999</v>
      </c>
      <c r="Y2091">
        <v>0.30288379999999998</v>
      </c>
      <c r="Z2091">
        <v>5.732172E-2</v>
      </c>
      <c r="AA2091">
        <v>0.95130210000000004</v>
      </c>
      <c r="AB2091">
        <v>19</v>
      </c>
      <c r="AC2091">
        <v>-10.6213999999999</v>
      </c>
      <c r="AD2091">
        <v>-1.1090906632599999</v>
      </c>
      <c r="AE2091">
        <v>-16.032299999999999</v>
      </c>
      <c r="AF2091">
        <v>5.8749947234166697</v>
      </c>
      <c r="AG2091">
        <v>-1.1090906632599999</v>
      </c>
      <c r="AH2091">
        <v>18.2451438267857</v>
      </c>
      <c r="AI2091">
        <v>93.311582897473798</v>
      </c>
      <c r="AJ2091">
        <v>72.151275252040193</v>
      </c>
      <c r="AK2091">
        <v>19.199763497491301</v>
      </c>
      <c r="AL2091">
        <v>87.660369405922197</v>
      </c>
      <c r="AM2091">
        <v>83.988348520206799</v>
      </c>
      <c r="AN2091">
        <v>0.99999999989549404</v>
      </c>
    </row>
    <row r="2092" spans="1:40" x14ac:dyDescent="0.25">
      <c r="A2092" t="str">
        <f>"20190312153928353"</f>
        <v>20190312153928353</v>
      </c>
      <c r="B2092" t="str">
        <f>"1552376368347803"</f>
        <v>1552376368347803</v>
      </c>
      <c r="C2092" t="s">
        <v>40</v>
      </c>
      <c r="D2092">
        <v>4.0036930000000002</v>
      </c>
      <c r="E2092">
        <v>0.57989630000000003</v>
      </c>
      <c r="F2092" t="s">
        <v>54</v>
      </c>
      <c r="G2092">
        <v>-204.65029999999999</v>
      </c>
      <c r="H2092" s="1">
        <v>4.3970999999999998E-6</v>
      </c>
      <c r="I2092">
        <v>283.2679</v>
      </c>
      <c r="J2092">
        <v>-193.96860000000001</v>
      </c>
      <c r="K2092">
        <v>1.109083</v>
      </c>
      <c r="L2092">
        <v>299.25209999999998</v>
      </c>
      <c r="M2092">
        <v>-0.27251789999999998</v>
      </c>
      <c r="N2092">
        <v>0</v>
      </c>
      <c r="O2092">
        <v>-0.96204480000000003</v>
      </c>
      <c r="P2092">
        <v>-0.37268250000000003</v>
      </c>
      <c r="Q2092">
        <v>2.7939189999999999E-2</v>
      </c>
      <c r="R2092">
        <v>-0.92753830000000004</v>
      </c>
      <c r="S2092">
        <v>-1.6999359999999999</v>
      </c>
      <c r="T2092">
        <v>-0.1756616</v>
      </c>
      <c r="U2092">
        <v>-2.558929</v>
      </c>
      <c r="V2092">
        <v>0.10591780000000001</v>
      </c>
      <c r="W2092">
        <v>4.177053E-2</v>
      </c>
      <c r="X2092">
        <v>0.99349719999999997</v>
      </c>
      <c r="Y2092">
        <v>0.30444159999999998</v>
      </c>
      <c r="Z2092">
        <v>5.7356690000000002E-2</v>
      </c>
      <c r="AA2092">
        <v>0.95080260000000005</v>
      </c>
      <c r="AB2092">
        <v>19</v>
      </c>
      <c r="AC2092">
        <v>-10.6816999999999</v>
      </c>
      <c r="AD2092">
        <v>-1.1090786028999999</v>
      </c>
      <c r="AE2092">
        <v>-15.9841999999999</v>
      </c>
      <c r="AF2092">
        <v>5.9012565259395897</v>
      </c>
      <c r="AG2092">
        <v>-1.1090786028999999</v>
      </c>
      <c r="AH2092">
        <v>18.229664076322202</v>
      </c>
      <c r="AI2092">
        <v>93.312695819089797</v>
      </c>
      <c r="AJ2092">
        <v>72.062338764477303</v>
      </c>
      <c r="AK2092">
        <v>19.193111687996399</v>
      </c>
      <c r="AL2092">
        <v>87.606028473317096</v>
      </c>
      <c r="AM2092">
        <v>83.914621456390904</v>
      </c>
      <c r="AN2092">
        <v>1.00000002197058</v>
      </c>
    </row>
    <row r="2093" spans="1:40" x14ac:dyDescent="0.25">
      <c r="A2093" t="str">
        <f>"20190312153928376"</f>
        <v>20190312153928376</v>
      </c>
      <c r="B2093" t="str">
        <f>"1552376368368299"</f>
        <v>1552376368368299</v>
      </c>
      <c r="C2093" t="s">
        <v>40</v>
      </c>
      <c r="D2093">
        <v>4.0198130000000001</v>
      </c>
      <c r="E2093">
        <v>0.57985050000000005</v>
      </c>
      <c r="F2093" t="s">
        <v>54</v>
      </c>
      <c r="G2093">
        <v>-204.80029999999999</v>
      </c>
      <c r="H2093" s="1">
        <v>4.4804719999999998E-6</v>
      </c>
      <c r="I2093">
        <v>283.07499999999999</v>
      </c>
      <c r="J2093">
        <v>-194.0231</v>
      </c>
      <c r="K2093">
        <v>1.109054</v>
      </c>
      <c r="L2093">
        <v>299.0711</v>
      </c>
      <c r="M2093">
        <v>-0.2750474</v>
      </c>
      <c r="N2093">
        <v>0</v>
      </c>
      <c r="O2093">
        <v>-0.96132499999999999</v>
      </c>
      <c r="P2093">
        <v>-0.37599909999999998</v>
      </c>
      <c r="Q2093">
        <v>2.8993109999999999E-2</v>
      </c>
      <c r="R2093">
        <v>-0.9261665</v>
      </c>
      <c r="S2093">
        <v>-1.7093050000000001</v>
      </c>
      <c r="T2093">
        <v>-0.17501929999999999</v>
      </c>
      <c r="U2093">
        <v>-2.5528559999999998</v>
      </c>
      <c r="V2093">
        <v>0.10687629999999999</v>
      </c>
      <c r="W2093">
        <v>4.2806709999999998E-2</v>
      </c>
      <c r="X2093">
        <v>0.99335039999999997</v>
      </c>
      <c r="Y2093">
        <v>0.30539880000000003</v>
      </c>
      <c r="Z2093">
        <v>5.7134520000000001E-2</v>
      </c>
      <c r="AA2093">
        <v>0.95050889999999999</v>
      </c>
      <c r="AB2093">
        <v>19</v>
      </c>
      <c r="AC2093">
        <v>-10.777199999999899</v>
      </c>
      <c r="AD2093">
        <v>-1.1090495195279999</v>
      </c>
      <c r="AE2093">
        <v>-15.9961</v>
      </c>
      <c r="AF2093">
        <v>5.9416672310178198</v>
      </c>
      <c r="AG2093">
        <v>-1.1090495195279999</v>
      </c>
      <c r="AH2093">
        <v>18.283107235782801</v>
      </c>
      <c r="AI2093">
        <v>93.301725241906595</v>
      </c>
      <c r="AJ2093">
        <v>71.996809531428795</v>
      </c>
      <c r="AK2093">
        <v>19.2563083304161</v>
      </c>
      <c r="AL2093">
        <v>87.546606489957199</v>
      </c>
      <c r="AM2093">
        <v>83.859070329023098</v>
      </c>
      <c r="AN2093">
        <v>0.99999998755143604</v>
      </c>
    </row>
    <row r="2094" spans="1:40" x14ac:dyDescent="0.25">
      <c r="A2094" t="str">
        <f>"20190312153928399"</f>
        <v>20190312153928399</v>
      </c>
      <c r="B2094" t="str">
        <f>"1552376368387819"</f>
        <v>1552376368387819</v>
      </c>
      <c r="C2094" t="s">
        <v>40</v>
      </c>
      <c r="D2094">
        <v>4.0094510000000003</v>
      </c>
      <c r="E2094">
        <v>0.57985949999999997</v>
      </c>
      <c r="F2094" t="s">
        <v>54</v>
      </c>
      <c r="G2094">
        <v>-205.03800000000001</v>
      </c>
      <c r="H2094" s="1">
        <v>4.6150340000000004E-6</v>
      </c>
      <c r="I2094">
        <v>282.74160000000001</v>
      </c>
      <c r="J2094">
        <v>-194.08080000000001</v>
      </c>
      <c r="K2094">
        <v>1.1090070000000001</v>
      </c>
      <c r="L2094">
        <v>298.88170000000002</v>
      </c>
      <c r="M2094">
        <v>-0.2777868</v>
      </c>
      <c r="N2094">
        <v>0</v>
      </c>
      <c r="O2094">
        <v>-0.96053710000000003</v>
      </c>
      <c r="P2094">
        <v>-0.37965369999999998</v>
      </c>
      <c r="Q2094">
        <v>2.9440129999999998E-2</v>
      </c>
      <c r="R2094">
        <v>-0.92466029999999999</v>
      </c>
      <c r="S2094">
        <v>-1.71814</v>
      </c>
      <c r="T2094">
        <v>-0.1729927</v>
      </c>
      <c r="U2094">
        <v>-2.5471189999999999</v>
      </c>
      <c r="V2094">
        <v>0.1079789</v>
      </c>
      <c r="W2094">
        <v>4.3232149999999997E-2</v>
      </c>
      <c r="X2094">
        <v>0.99321280000000001</v>
      </c>
      <c r="Y2094">
        <v>0.3059653</v>
      </c>
      <c r="Z2094">
        <v>5.6456510000000001E-2</v>
      </c>
      <c r="AA2094">
        <v>0.95036719999999997</v>
      </c>
      <c r="AB2094">
        <v>19</v>
      </c>
      <c r="AC2094">
        <v>-10.957199999999901</v>
      </c>
      <c r="AD2094">
        <v>-1.109002384966</v>
      </c>
      <c r="AE2094">
        <v>-16.1401</v>
      </c>
      <c r="AF2094">
        <v>6.0224405371579799</v>
      </c>
      <c r="AG2094">
        <v>-1.109002384966</v>
      </c>
      <c r="AH2094">
        <v>18.489060823722699</v>
      </c>
      <c r="AI2094">
        <v>93.264170658328794</v>
      </c>
      <c r="AJ2094">
        <v>71.958019890189604</v>
      </c>
      <c r="AK2094">
        <v>19.476782240831799</v>
      </c>
      <c r="AL2094">
        <v>87.522208174968199</v>
      </c>
      <c r="AM2094">
        <v>83.795355556721205</v>
      </c>
      <c r="AN2094">
        <v>1.00000006386133</v>
      </c>
    </row>
    <row r="2095" spans="1:40" x14ac:dyDescent="0.25">
      <c r="A2095" t="str">
        <f>"20190312153928431"</f>
        <v>20190312153928431</v>
      </c>
      <c r="B2095" t="str">
        <f>"1552376368427835"</f>
        <v>1552376368427835</v>
      </c>
      <c r="C2095" t="s">
        <v>40</v>
      </c>
      <c r="D2095">
        <v>4.0373619999999999</v>
      </c>
      <c r="E2095">
        <v>0.57982559999999905</v>
      </c>
      <c r="F2095" t="s">
        <v>54</v>
      </c>
      <c r="G2095">
        <v>-205.16919999999999</v>
      </c>
      <c r="H2095" s="1">
        <v>4.6868050000000001E-6</v>
      </c>
      <c r="I2095">
        <v>282.58589999999998</v>
      </c>
      <c r="J2095">
        <v>-194.16329999999999</v>
      </c>
      <c r="K2095">
        <v>1.108905</v>
      </c>
      <c r="L2095">
        <v>298.61489999999998</v>
      </c>
      <c r="M2095">
        <v>-0.28184910000000002</v>
      </c>
      <c r="N2095">
        <v>0</v>
      </c>
      <c r="O2095">
        <v>-0.95935280000000001</v>
      </c>
      <c r="P2095">
        <v>-0.38419320000000001</v>
      </c>
      <c r="Q2095">
        <v>2.975535E-2</v>
      </c>
      <c r="R2095">
        <v>-0.92277350000000002</v>
      </c>
      <c r="S2095">
        <v>-1.7284849999999901</v>
      </c>
      <c r="T2095">
        <v>-0.172874</v>
      </c>
      <c r="U2095">
        <v>-2.540222</v>
      </c>
      <c r="V2095">
        <v>0.108671699999999</v>
      </c>
      <c r="W2095">
        <v>4.3516069999999997E-2</v>
      </c>
      <c r="X2095">
        <v>0.99312480000000003</v>
      </c>
      <c r="Y2095">
        <v>0.30578499999999997</v>
      </c>
      <c r="Z2095">
        <v>5.638402E-2</v>
      </c>
      <c r="AA2095">
        <v>0.95042959999999999</v>
      </c>
      <c r="AB2095">
        <v>19</v>
      </c>
      <c r="AC2095">
        <v>-11.005899999999899</v>
      </c>
      <c r="AD2095">
        <v>-1.1089003131949999</v>
      </c>
      <c r="AE2095">
        <v>-16.0289999999999</v>
      </c>
      <c r="AF2095">
        <v>6.0218095475868099</v>
      </c>
      <c r="AG2095">
        <v>-1.1089003131949999</v>
      </c>
      <c r="AH2095">
        <v>18.4214307965016</v>
      </c>
      <c r="AI2095">
        <v>93.274707832033897</v>
      </c>
      <c r="AJ2095">
        <v>71.897870378247205</v>
      </c>
      <c r="AK2095">
        <v>19.412391988683598</v>
      </c>
      <c r="AL2095">
        <v>87.505925343939893</v>
      </c>
      <c r="AM2095">
        <v>83.755310685234605</v>
      </c>
      <c r="AN2095">
        <v>1.00000002755208</v>
      </c>
    </row>
    <row r="2096" spans="1:40" x14ac:dyDescent="0.25">
      <c r="A2096" t="str">
        <f>"20190312153928454"</f>
        <v>20190312153928454</v>
      </c>
      <c r="B2096" t="str">
        <f>"1552376368448331"</f>
        <v>1552376368448331</v>
      </c>
      <c r="C2096" t="s">
        <v>40</v>
      </c>
      <c r="D2096">
        <v>4.0188860000000002</v>
      </c>
      <c r="E2096">
        <v>0.57979840000000005</v>
      </c>
      <c r="F2096" t="s">
        <v>54</v>
      </c>
      <c r="G2096">
        <v>-205.37049999999999</v>
      </c>
      <c r="H2096" s="1">
        <v>4.7988410000000002E-6</v>
      </c>
      <c r="I2096">
        <v>282.32530000000003</v>
      </c>
      <c r="J2096">
        <v>-194.21960000000001</v>
      </c>
      <c r="K2096">
        <v>1.10883</v>
      </c>
      <c r="L2096">
        <v>298.43560000000002</v>
      </c>
      <c r="M2096">
        <v>-0.2847075</v>
      </c>
      <c r="N2096">
        <v>0</v>
      </c>
      <c r="O2096">
        <v>-0.95850840000000004</v>
      </c>
      <c r="P2096">
        <v>-0.3872584</v>
      </c>
      <c r="Q2096">
        <v>3.136365E-2</v>
      </c>
      <c r="R2096">
        <v>-0.92143779999999997</v>
      </c>
      <c r="S2096">
        <v>-1.7416229999999999</v>
      </c>
      <c r="T2096">
        <v>-0.17232610000000001</v>
      </c>
      <c r="U2096">
        <v>-2.5314329999999998</v>
      </c>
      <c r="V2096">
        <v>0.10904170000000001</v>
      </c>
      <c r="W2096">
        <v>4.5103329999999997E-2</v>
      </c>
      <c r="X2096">
        <v>0.99301340000000005</v>
      </c>
      <c r="Y2096">
        <v>0.307841799999999</v>
      </c>
      <c r="Z2096">
        <v>5.6198409999999997E-2</v>
      </c>
      <c r="AA2096">
        <v>0.94977639999999997</v>
      </c>
      <c r="AB2096">
        <v>19</v>
      </c>
      <c r="AC2096">
        <v>-11.150899999999901</v>
      </c>
      <c r="AD2096">
        <v>-1.1088252011589901</v>
      </c>
      <c r="AE2096">
        <v>-16.110299999999899</v>
      </c>
      <c r="AF2096">
        <v>6.0826470313723799</v>
      </c>
      <c r="AG2096">
        <v>-1.1088252011589901</v>
      </c>
      <c r="AH2096">
        <v>18.559054890971101</v>
      </c>
      <c r="AI2096">
        <v>93.249438143577706</v>
      </c>
      <c r="AJ2096">
        <v>71.853675061076302</v>
      </c>
      <c r="AK2096">
        <v>19.561866134933702</v>
      </c>
      <c r="AL2096">
        <v>87.414892577924306</v>
      </c>
      <c r="AM2096">
        <v>83.733520577785697</v>
      </c>
      <c r="AN2096">
        <v>1.00000000764776</v>
      </c>
    </row>
    <row r="2097" spans="1:40" x14ac:dyDescent="0.25">
      <c r="A2097" t="str">
        <f>"20190312153928476"</f>
        <v>20190312153928476</v>
      </c>
      <c r="B2097" t="str">
        <f>"1552376368467851"</f>
        <v>1552376368467851</v>
      </c>
      <c r="C2097" t="s">
        <v>40</v>
      </c>
      <c r="D2097">
        <v>4.0090969999999997</v>
      </c>
      <c r="E2097">
        <v>0.57980900000000002</v>
      </c>
      <c r="F2097" t="s">
        <v>54</v>
      </c>
      <c r="G2097">
        <v>-205.79839999999999</v>
      </c>
      <c r="H2097" s="1">
        <v>5.0406459999999996E-6</v>
      </c>
      <c r="I2097">
        <v>281.73</v>
      </c>
      <c r="J2097">
        <v>-194.27789999999999</v>
      </c>
      <c r="K2097">
        <v>1.1087400000000001</v>
      </c>
      <c r="L2097">
        <v>298.2525</v>
      </c>
      <c r="M2097">
        <v>-0.28778310000000001</v>
      </c>
      <c r="N2097">
        <v>0</v>
      </c>
      <c r="O2097">
        <v>-0.95758940000000004</v>
      </c>
      <c r="P2097">
        <v>-0.39041500000000001</v>
      </c>
      <c r="Q2097">
        <v>3.2128539999999997E-2</v>
      </c>
      <c r="R2097">
        <v>-0.92007839999999996</v>
      </c>
      <c r="S2097">
        <v>-1.75062599999999</v>
      </c>
      <c r="T2097">
        <v>-0.16764589999999999</v>
      </c>
      <c r="U2097">
        <v>-2.525757</v>
      </c>
      <c r="V2097">
        <v>0.109278399999999</v>
      </c>
      <c r="W2097">
        <v>4.5844999999999997E-2</v>
      </c>
      <c r="X2097">
        <v>0.99295339999999999</v>
      </c>
      <c r="Y2097">
        <v>0.30812489999999998</v>
      </c>
      <c r="Z2097">
        <v>5.4647370000000001E-2</v>
      </c>
      <c r="AA2097">
        <v>0.94977509999999998</v>
      </c>
      <c r="AB2097">
        <v>19</v>
      </c>
      <c r="AC2097">
        <v>-11.520499999999901</v>
      </c>
      <c r="AD2097">
        <v>-1.1087349593539999</v>
      </c>
      <c r="AE2097">
        <v>-16.522499999999901</v>
      </c>
      <c r="AF2097">
        <v>6.2586875034892504</v>
      </c>
      <c r="AG2097">
        <v>-1.1087349593539999</v>
      </c>
      <c r="AH2097">
        <v>19.081307604760902</v>
      </c>
      <c r="AI2097">
        <v>93.160189090782495</v>
      </c>
      <c r="AJ2097">
        <v>71.840459082917505</v>
      </c>
      <c r="AK2097">
        <v>20.11210487204</v>
      </c>
      <c r="AL2097">
        <v>87.372353974167495</v>
      </c>
      <c r="AM2097">
        <v>83.719649875416707</v>
      </c>
      <c r="AN2097">
        <v>0.999999993651559</v>
      </c>
    </row>
    <row r="2098" spans="1:40" x14ac:dyDescent="0.25">
      <c r="A2098" t="str">
        <f>"20190312153928501"</f>
        <v>20190312153928501</v>
      </c>
      <c r="B2098" t="str">
        <f>"1552376368488347"</f>
        <v>1552376368488347</v>
      </c>
      <c r="C2098" t="s">
        <v>40</v>
      </c>
      <c r="D2098">
        <v>4.0258459999999996</v>
      </c>
      <c r="E2098">
        <v>0.57978399999999997</v>
      </c>
      <c r="F2098" t="s">
        <v>54</v>
      </c>
      <c r="G2098">
        <v>-206.05359999999999</v>
      </c>
      <c r="H2098" s="1">
        <v>5.1837109999999899E-6</v>
      </c>
      <c r="I2098">
        <v>281.38850000000002</v>
      </c>
      <c r="J2098">
        <v>-194.3407</v>
      </c>
      <c r="K2098">
        <v>1.108616</v>
      </c>
      <c r="L2098">
        <v>298.05829999999997</v>
      </c>
      <c r="M2098">
        <v>-0.2912882</v>
      </c>
      <c r="N2098">
        <v>0</v>
      </c>
      <c r="O2098">
        <v>-0.95652899999999996</v>
      </c>
      <c r="P2098">
        <v>-0.39395370000000002</v>
      </c>
      <c r="Q2098">
        <v>3.2257109999999999E-2</v>
      </c>
      <c r="R2098">
        <v>-0.91856409999999999</v>
      </c>
      <c r="S2098">
        <v>-1.759506</v>
      </c>
      <c r="T2098">
        <v>-0.16566429999999999</v>
      </c>
      <c r="U2098">
        <v>-2.5197750000000001</v>
      </c>
      <c r="V2098">
        <v>0.1094794</v>
      </c>
      <c r="W2098">
        <v>4.5944079999999998E-2</v>
      </c>
      <c r="X2098">
        <v>0.99292670000000005</v>
      </c>
      <c r="Y2098">
        <v>0.307971299999999</v>
      </c>
      <c r="Z2098">
        <v>5.3971869999999998E-2</v>
      </c>
      <c r="AA2098">
        <v>0.94986360000000003</v>
      </c>
      <c r="AB2098">
        <v>19</v>
      </c>
      <c r="AC2098">
        <v>-11.7128999999999</v>
      </c>
      <c r="AD2098">
        <v>-1.108610816289</v>
      </c>
      <c r="AE2098">
        <v>-16.669799999999899</v>
      </c>
      <c r="AF2098">
        <v>6.3299157369300003</v>
      </c>
      <c r="AG2098">
        <v>-1.108610816289</v>
      </c>
      <c r="AH2098">
        <v>19.301794310469901</v>
      </c>
      <c r="AI2098">
        <v>93.123864893065104</v>
      </c>
      <c r="AJ2098">
        <v>71.843384765491507</v>
      </c>
      <c r="AK2098">
        <v>20.3434538557816</v>
      </c>
      <c r="AL2098">
        <v>87.366671175267996</v>
      </c>
      <c r="AM2098">
        <v>83.708022911771494</v>
      </c>
      <c r="AN2098">
        <v>1.0000000145421399</v>
      </c>
    </row>
    <row r="2099" spans="1:40" x14ac:dyDescent="0.25">
      <c r="A2099" t="str">
        <f>"20190312153928524"</f>
        <v>20190312153928524</v>
      </c>
      <c r="B2099" t="str">
        <f>"1552376368517628"</f>
        <v>1552376368517628</v>
      </c>
      <c r="C2099" t="s">
        <v>40</v>
      </c>
      <c r="D2099">
        <v>4.0016530000000001</v>
      </c>
      <c r="E2099">
        <v>0.57971619999999902</v>
      </c>
      <c r="F2099" t="s">
        <v>54</v>
      </c>
      <c r="G2099">
        <v>-206.2261</v>
      </c>
      <c r="H2099" s="1">
        <v>5.2782270000000002E-6</v>
      </c>
      <c r="I2099">
        <v>281.18220000000002</v>
      </c>
      <c r="J2099">
        <v>-194.4016</v>
      </c>
      <c r="K2099">
        <v>1.1084849999999999</v>
      </c>
      <c r="L2099">
        <v>297.8732</v>
      </c>
      <c r="M2099">
        <v>-0.29485830000000002</v>
      </c>
      <c r="N2099">
        <v>0</v>
      </c>
      <c r="O2099">
        <v>-0.95543440000000002</v>
      </c>
      <c r="P2099">
        <v>-0.39816079999999998</v>
      </c>
      <c r="Q2099">
        <v>3.226101E-2</v>
      </c>
      <c r="R2099">
        <v>-0.91674829999999996</v>
      </c>
      <c r="S2099">
        <v>-1.7696689999999999</v>
      </c>
      <c r="T2099">
        <v>-0.16506560000000001</v>
      </c>
      <c r="U2099">
        <v>-2.512756</v>
      </c>
      <c r="V2099">
        <v>0.11033900000000001</v>
      </c>
      <c r="W2099">
        <v>4.591311E-2</v>
      </c>
      <c r="X2099">
        <v>0.99283299999999997</v>
      </c>
      <c r="Y2099">
        <v>0.30824279999999998</v>
      </c>
      <c r="Z2099">
        <v>5.3749760000000001E-2</v>
      </c>
      <c r="AA2099">
        <v>0.94978799999999997</v>
      </c>
      <c r="AB2099">
        <v>19</v>
      </c>
      <c r="AC2099">
        <v>-11.8245</v>
      </c>
      <c r="AD2099">
        <v>-1.108479721773</v>
      </c>
      <c r="AE2099">
        <v>-16.690999999999899</v>
      </c>
      <c r="AF2099">
        <v>6.3580322004868002</v>
      </c>
      <c r="AG2099">
        <v>-1.108479721773</v>
      </c>
      <c r="AH2099">
        <v>19.378777981880599</v>
      </c>
      <c r="AI2099">
        <v>93.110976132948494</v>
      </c>
      <c r="AJ2099">
        <v>71.835723305097005</v>
      </c>
      <c r="AK2099">
        <v>20.4252377422401</v>
      </c>
      <c r="AL2099">
        <v>87.368447559816801</v>
      </c>
      <c r="AM2099">
        <v>83.658427455241707</v>
      </c>
      <c r="AN2099">
        <v>1.00000003723993</v>
      </c>
    </row>
    <row r="2100" spans="1:40" x14ac:dyDescent="0.25">
      <c r="A2100" t="str">
        <f>"20190312153928543"</f>
        <v>20190312153928543</v>
      </c>
      <c r="B2100" t="str">
        <f>"1552376368538123"</f>
        <v>1552376368538123</v>
      </c>
      <c r="C2100" t="s">
        <v>40</v>
      </c>
      <c r="D2100">
        <v>4.0032870000000003</v>
      </c>
      <c r="E2100">
        <v>0.57968399999999998</v>
      </c>
      <c r="F2100" t="s">
        <v>54</v>
      </c>
      <c r="G2100">
        <v>-206.39680000000001</v>
      </c>
      <c r="H2100" s="1">
        <v>5.3688089999999998E-6</v>
      </c>
      <c r="I2100">
        <v>281.01179999999999</v>
      </c>
      <c r="J2100">
        <v>-194.45480000000001</v>
      </c>
      <c r="K2100">
        <v>1.108385</v>
      </c>
      <c r="L2100">
        <v>297.71409999999997</v>
      </c>
      <c r="M2100">
        <v>-0.29807909999999999</v>
      </c>
      <c r="N2100">
        <v>0</v>
      </c>
      <c r="O2100">
        <v>-0.95443429999999996</v>
      </c>
      <c r="P2100">
        <v>-0.40205049999999998</v>
      </c>
      <c r="Q2100">
        <v>3.2235100000000003E-2</v>
      </c>
      <c r="R2100">
        <v>-0.91505000000000003</v>
      </c>
      <c r="S2100">
        <v>-1.7816620000000001</v>
      </c>
      <c r="T2100">
        <v>-0.1646447</v>
      </c>
      <c r="U2100">
        <v>-2.5044559999999998</v>
      </c>
      <c r="V2100">
        <v>0.1112194</v>
      </c>
      <c r="W2100">
        <v>4.585786E-2</v>
      </c>
      <c r="X2100">
        <v>0.99273730000000004</v>
      </c>
      <c r="Y2100">
        <v>0.30954619999999999</v>
      </c>
      <c r="Z2100">
        <v>5.3595400000000001E-2</v>
      </c>
      <c r="AA2100">
        <v>0.94937280000000002</v>
      </c>
      <c r="AB2100">
        <v>19</v>
      </c>
      <c r="AC2100">
        <v>-11.942</v>
      </c>
      <c r="AD2100">
        <v>-1.1083796311909999</v>
      </c>
      <c r="AE2100">
        <v>-16.702299999999902</v>
      </c>
      <c r="AF2100">
        <v>6.4012491338218096</v>
      </c>
      <c r="AG2100">
        <v>-1.1083796311909999</v>
      </c>
      <c r="AH2100">
        <v>19.4462306438115</v>
      </c>
      <c r="AI2100">
        <v>93.098931984742094</v>
      </c>
      <c r="AJ2100">
        <v>71.779651332602597</v>
      </c>
      <c r="AK2100">
        <v>20.5026920703699</v>
      </c>
      <c r="AL2100">
        <v>87.371616450654798</v>
      </c>
      <c r="AM2100">
        <v>83.607633817410303</v>
      </c>
      <c r="AN2100">
        <v>1.00000002253571</v>
      </c>
    </row>
    <row r="2101" spans="1:40" x14ac:dyDescent="0.25">
      <c r="A2101" t="str">
        <f>"20190312153928566"</f>
        <v>20190312153928566</v>
      </c>
      <c r="B2101" t="str">
        <f>"1552376368557644"</f>
        <v>1552376368557644</v>
      </c>
      <c r="C2101" t="s">
        <v>40</v>
      </c>
      <c r="D2101">
        <v>4.0284389999999997</v>
      </c>
      <c r="E2101">
        <v>0.57968189999999997</v>
      </c>
      <c r="F2101" t="s">
        <v>54</v>
      </c>
      <c r="G2101">
        <v>-206.55619999999999</v>
      </c>
      <c r="H2101" s="1">
        <v>5.4527199999999899E-6</v>
      </c>
      <c r="I2101">
        <v>280.8605</v>
      </c>
      <c r="J2101">
        <v>-194.5146</v>
      </c>
      <c r="K2101">
        <v>1.108274</v>
      </c>
      <c r="L2101">
        <v>297.53809999999999</v>
      </c>
      <c r="M2101">
        <v>-0.30182599999999998</v>
      </c>
      <c r="N2101">
        <v>0</v>
      </c>
      <c r="O2101">
        <v>-0.95325590000000004</v>
      </c>
      <c r="P2101">
        <v>-0.40570460000000003</v>
      </c>
      <c r="Q2101">
        <v>3.3495919999999998E-2</v>
      </c>
      <c r="R2101">
        <v>-0.91339029999999999</v>
      </c>
      <c r="S2101">
        <v>-1.792664</v>
      </c>
      <c r="T2101">
        <v>-0.16419230000000001</v>
      </c>
      <c r="U2101">
        <v>-2.4966430000000002</v>
      </c>
      <c r="V2101">
        <v>0.1113212</v>
      </c>
      <c r="W2101">
        <v>4.709344E-2</v>
      </c>
      <c r="X2101">
        <v>0.99266799999999999</v>
      </c>
      <c r="Y2101">
        <v>0.309984599999999</v>
      </c>
      <c r="Z2101">
        <v>5.3420580000000002E-2</v>
      </c>
      <c r="AA2101">
        <v>0.94923959999999996</v>
      </c>
      <c r="AB2101">
        <v>19</v>
      </c>
      <c r="AC2101">
        <v>-12.041599999999899</v>
      </c>
      <c r="AD2101">
        <v>-1.10826854727999</v>
      </c>
      <c r="AE2101">
        <v>-16.677599999999899</v>
      </c>
      <c r="AF2101">
        <v>6.4269955657182898</v>
      </c>
      <c r="AG2101">
        <v>-1.10826854727999</v>
      </c>
      <c r="AH2101">
        <v>19.477944875181901</v>
      </c>
      <c r="AI2101">
        <v>93.092865368413797</v>
      </c>
      <c r="AJ2101">
        <v>71.739036579702599</v>
      </c>
      <c r="AK2101">
        <v>20.540809812061401</v>
      </c>
      <c r="AL2101">
        <v>87.300746232812799</v>
      </c>
      <c r="AM2101">
        <v>83.601388368333801</v>
      </c>
      <c r="AN2101">
        <v>0.99999997994223599</v>
      </c>
    </row>
    <row r="2102" spans="1:40" x14ac:dyDescent="0.25">
      <c r="A2102" t="str">
        <f>"20190312153928588"</f>
        <v>20190312153928588</v>
      </c>
      <c r="B2102" t="str">
        <f>"1552376368578140"</f>
        <v>1552376368578140</v>
      </c>
      <c r="C2102" t="s">
        <v>40</v>
      </c>
      <c r="D2102">
        <v>4.0341879999999897</v>
      </c>
      <c r="E2102">
        <v>0.57968450000000005</v>
      </c>
      <c r="F2102" t="s">
        <v>54</v>
      </c>
      <c r="G2102">
        <v>-206.94309999999999</v>
      </c>
      <c r="H2102" s="1">
        <v>5.6663759999999998E-6</v>
      </c>
      <c r="I2102">
        <v>280.3793</v>
      </c>
      <c r="J2102">
        <v>-194.57830000000001</v>
      </c>
      <c r="K2102">
        <v>1.108171</v>
      </c>
      <c r="L2102">
        <v>297.3537</v>
      </c>
      <c r="M2102">
        <v>-0.3059769</v>
      </c>
      <c r="N2102">
        <v>0</v>
      </c>
      <c r="O2102">
        <v>-0.95193150000000004</v>
      </c>
      <c r="P2102">
        <v>-0.40928369999999997</v>
      </c>
      <c r="Q2102">
        <v>3.5549869999999997E-2</v>
      </c>
      <c r="R2102">
        <v>-0.91171449999999998</v>
      </c>
      <c r="S2102">
        <v>-1.8031619999999999</v>
      </c>
      <c r="T2102">
        <v>-0.1607904</v>
      </c>
      <c r="U2102">
        <v>-2.4894409999999998</v>
      </c>
      <c r="V2102">
        <v>0.1109372</v>
      </c>
      <c r="W2102">
        <v>4.9126219999999998E-2</v>
      </c>
      <c r="X2102">
        <v>0.99261250000000001</v>
      </c>
      <c r="Y2102">
        <v>0.30980940000000001</v>
      </c>
      <c r="Z2102">
        <v>5.2275410000000001E-2</v>
      </c>
      <c r="AA2102">
        <v>0.94936050000000005</v>
      </c>
      <c r="AB2102">
        <v>19</v>
      </c>
      <c r="AC2102">
        <v>-12.364799999999899</v>
      </c>
      <c r="AD2102">
        <v>-1.108165333624</v>
      </c>
      <c r="AE2102">
        <v>-16.974399999999999</v>
      </c>
      <c r="AF2102">
        <v>6.5590771085995998</v>
      </c>
      <c r="AG2102">
        <v>-1.108165333624</v>
      </c>
      <c r="AH2102">
        <v>19.888469060915298</v>
      </c>
      <c r="AI2102">
        <v>93.029015800864698</v>
      </c>
      <c r="AJ2102">
        <v>71.747808200844901</v>
      </c>
      <c r="AK2102">
        <v>20.971426382346699</v>
      </c>
      <c r="AL2102">
        <v>87.184141562192707</v>
      </c>
      <c r="AM2102">
        <v>83.622924509689497</v>
      </c>
      <c r="AN2102">
        <v>1.0000000114957801</v>
      </c>
    </row>
    <row r="2103" spans="1:40" x14ac:dyDescent="0.25">
      <c r="A2103" t="str">
        <f>"20190312153928611"</f>
        <v>20190312153928611</v>
      </c>
      <c r="B2103" t="str">
        <f>"1552376368597663"</f>
        <v>1552376368597663</v>
      </c>
      <c r="C2103" t="s">
        <v>40</v>
      </c>
      <c r="D2103">
        <v>4.0488089999999897</v>
      </c>
      <c r="E2103">
        <v>0.57970580000000005</v>
      </c>
      <c r="F2103" t="s">
        <v>54</v>
      </c>
      <c r="G2103">
        <v>-207.53639999999999</v>
      </c>
      <c r="H2103">
        <v>1.3198979999999999E-3</v>
      </c>
      <c r="I2103">
        <v>279.61630000000002</v>
      </c>
      <c r="J2103">
        <v>-194.63890000000001</v>
      </c>
      <c r="K2103">
        <v>1.1080669999999999</v>
      </c>
      <c r="L2103">
        <v>297.18169999999998</v>
      </c>
      <c r="M2103">
        <v>-0.31006430000000001</v>
      </c>
      <c r="N2103">
        <v>0</v>
      </c>
      <c r="O2103">
        <v>-0.95060789999999995</v>
      </c>
      <c r="P2103">
        <v>-0.41282619999999998</v>
      </c>
      <c r="Q2103">
        <v>3.7199240000000001E-2</v>
      </c>
      <c r="R2103">
        <v>-0.91005000000000003</v>
      </c>
      <c r="S2103">
        <v>-1.8135380000000001</v>
      </c>
      <c r="T2103">
        <v>-0.154908399999999</v>
      </c>
      <c r="U2103">
        <v>-2.4824220000000001</v>
      </c>
      <c r="V2103">
        <v>0.1105747</v>
      </c>
      <c r="W2103">
        <v>5.0758780000000003E-2</v>
      </c>
      <c r="X2103">
        <v>0.99257079999999998</v>
      </c>
      <c r="Y2103">
        <v>0.30965199999999998</v>
      </c>
      <c r="Z2103">
        <v>5.0325460000000002E-2</v>
      </c>
      <c r="AA2103">
        <v>0.94951730000000001</v>
      </c>
      <c r="AB2103">
        <v>19</v>
      </c>
      <c r="AC2103">
        <v>-12.8974999999999</v>
      </c>
      <c r="AD2103">
        <v>-1.1067471019999999</v>
      </c>
      <c r="AE2103">
        <v>-17.565399999999901</v>
      </c>
      <c r="AF2103">
        <v>6.7972274223849398</v>
      </c>
      <c r="AG2103">
        <v>-1.1067471019999999</v>
      </c>
      <c r="AH2103">
        <v>20.645729585727501</v>
      </c>
      <c r="AI2103">
        <v>92.914868111272199</v>
      </c>
      <c r="AJ2103">
        <v>71.7768195120439</v>
      </c>
      <c r="AK2103">
        <v>21.764037766609199</v>
      </c>
      <c r="AL2103">
        <v>87.090485864156193</v>
      </c>
      <c r="AM2103">
        <v>83.6433266403522</v>
      </c>
      <c r="AN2103">
        <v>1.0000000055199001</v>
      </c>
    </row>
    <row r="2104" spans="1:40" x14ac:dyDescent="0.25">
      <c r="A2104" t="str">
        <f>"20190312153928633"</f>
        <v>20190312153928633</v>
      </c>
      <c r="B2104" t="str">
        <f>"1552376368627916"</f>
        <v>1552376368627916</v>
      </c>
      <c r="C2104" t="s">
        <v>40</v>
      </c>
      <c r="D2104">
        <v>4.088438</v>
      </c>
      <c r="E2104">
        <v>0.57986269999999995</v>
      </c>
      <c r="F2104" t="s">
        <v>54</v>
      </c>
      <c r="G2104">
        <v>-207.58539999999999</v>
      </c>
      <c r="H2104">
        <v>2.6054279999999999E-2</v>
      </c>
      <c r="I2104">
        <v>279.61630000000002</v>
      </c>
      <c r="J2104">
        <v>-194.70009999999999</v>
      </c>
      <c r="K2104">
        <v>1.10797099999999</v>
      </c>
      <c r="L2104">
        <v>297.01089999999999</v>
      </c>
      <c r="M2104">
        <v>-0.31432270000000001</v>
      </c>
      <c r="N2104">
        <v>0</v>
      </c>
      <c r="O2104">
        <v>-0.9492081</v>
      </c>
      <c r="P2104">
        <v>-0.41630859999999897</v>
      </c>
      <c r="Q2104">
        <v>3.8142330000000002E-2</v>
      </c>
      <c r="R2104">
        <v>-0.90842290000000003</v>
      </c>
      <c r="S2104">
        <v>-1.824341</v>
      </c>
      <c r="T2104">
        <v>-0.15246970000000001</v>
      </c>
      <c r="U2104">
        <v>-2.4751889999999999</v>
      </c>
      <c r="V2104">
        <v>0.1099566</v>
      </c>
      <c r="W2104">
        <v>5.1689289999999999E-2</v>
      </c>
      <c r="X2104">
        <v>0.99259140000000001</v>
      </c>
      <c r="Y2104">
        <v>0.30942649999999999</v>
      </c>
      <c r="Z2104">
        <v>4.9488379999999998E-2</v>
      </c>
      <c r="AA2104">
        <v>0.94963470000000005</v>
      </c>
      <c r="AB2104">
        <v>19</v>
      </c>
      <c r="AC2104">
        <v>-12.885300000000001</v>
      </c>
      <c r="AD2104">
        <v>-1.08191671999999</v>
      </c>
      <c r="AE2104">
        <v>-17.394599999999901</v>
      </c>
      <c r="AF2104">
        <v>6.7471535889387599</v>
      </c>
      <c r="AG2104">
        <v>-1.08191671999999</v>
      </c>
      <c r="AH2104">
        <v>20.512109566059699</v>
      </c>
      <c r="AI2104">
        <v>92.868364666899097</v>
      </c>
      <c r="AJ2104">
        <v>71.792147865797602</v>
      </c>
      <c r="AK2104">
        <v>21.620390010168201</v>
      </c>
      <c r="AL2104">
        <v>87.037101353871805</v>
      </c>
      <c r="AM2104">
        <v>83.678701401645995</v>
      </c>
      <c r="AN2104">
        <v>0.99999996196911101</v>
      </c>
    </row>
    <row r="2105" spans="1:40" x14ac:dyDescent="0.25">
      <c r="A2105" t="str">
        <f>"20190312153928655"</f>
        <v>20190312153928655</v>
      </c>
      <c r="B2105" t="str">
        <f>"1552376368648412"</f>
        <v>1552376368648412</v>
      </c>
      <c r="C2105" t="s">
        <v>40</v>
      </c>
      <c r="D2105">
        <v>4.0861479999999997</v>
      </c>
      <c r="E2105">
        <v>0.58023610000000003</v>
      </c>
      <c r="F2105" t="s">
        <v>54</v>
      </c>
      <c r="G2105">
        <v>-202.721</v>
      </c>
      <c r="H2105" s="1">
        <v>3.2825630000000002E-6</v>
      </c>
      <c r="I2105">
        <v>286.22989999999999</v>
      </c>
      <c r="J2105">
        <v>-194.76609999999999</v>
      </c>
      <c r="K2105">
        <v>1.107872</v>
      </c>
      <c r="L2105">
        <v>296.82979999999998</v>
      </c>
      <c r="M2105">
        <v>-0.319030599999999</v>
      </c>
      <c r="N2105">
        <v>0</v>
      </c>
      <c r="O2105">
        <v>-0.94763600000000003</v>
      </c>
      <c r="P2105">
        <v>-0.41981269999999998</v>
      </c>
      <c r="Q2105">
        <v>3.8650299999999999E-2</v>
      </c>
      <c r="R2105">
        <v>-0.90678760000000003</v>
      </c>
      <c r="S2105">
        <v>-1.8381810000000001</v>
      </c>
      <c r="T2105">
        <v>-0.25391659999999999</v>
      </c>
      <c r="U2105">
        <v>-2.4707029999999999</v>
      </c>
      <c r="V2105">
        <v>0.10888399999999999</v>
      </c>
      <c r="W2105">
        <v>5.2189770000000003E-2</v>
      </c>
      <c r="X2105">
        <v>0.99268350000000005</v>
      </c>
      <c r="Y2105">
        <v>0.30762840000000002</v>
      </c>
      <c r="Z2105">
        <v>8.20356E-2</v>
      </c>
      <c r="AA2105">
        <v>0.94796360000000002</v>
      </c>
      <c r="AB2105">
        <v>19</v>
      </c>
      <c r="AC2105">
        <v>-7.9548999999999799</v>
      </c>
      <c r="AD2105">
        <v>-1.1078687174370001</v>
      </c>
      <c r="AE2105">
        <v>-10.5998999999999</v>
      </c>
      <c r="AF2105">
        <v>4.1282358888634398</v>
      </c>
      <c r="AG2105">
        <v>-1.1078687174370001</v>
      </c>
      <c r="AH2105">
        <v>12.4966687368831</v>
      </c>
      <c r="AI2105">
        <v>94.811748830663802</v>
      </c>
      <c r="AJ2105">
        <v>71.719187464408904</v>
      </c>
      <c r="AK2105">
        <v>13.2074385922694</v>
      </c>
      <c r="AL2105">
        <v>87.008387360171398</v>
      </c>
      <c r="AM2105">
        <v>83.740448383418993</v>
      </c>
      <c r="AN2105">
        <v>1.0000000143604499</v>
      </c>
    </row>
    <row r="2106" spans="1:40" x14ac:dyDescent="0.25">
      <c r="A2106" t="str">
        <f>"20190312153928679"</f>
        <v>20190312153928679</v>
      </c>
      <c r="B2106" t="str">
        <f>"1552376368667936"</f>
        <v>1552376368667936</v>
      </c>
      <c r="C2106" t="s">
        <v>40</v>
      </c>
      <c r="D2106">
        <v>4.0599629999999998</v>
      </c>
      <c r="E2106">
        <v>0.58007779999999998</v>
      </c>
      <c r="F2106" t="s">
        <v>54</v>
      </c>
      <c r="G2106">
        <v>-202.6985</v>
      </c>
      <c r="H2106" s="1">
        <v>3.2683039999999998E-6</v>
      </c>
      <c r="I2106">
        <v>286.27890000000002</v>
      </c>
      <c r="J2106">
        <v>-194.83430000000001</v>
      </c>
      <c r="K2106">
        <v>1.1077729999999999</v>
      </c>
      <c r="L2106">
        <v>296.64659999999998</v>
      </c>
      <c r="M2106">
        <v>-0.32399499999999998</v>
      </c>
      <c r="N2106">
        <v>0</v>
      </c>
      <c r="O2106">
        <v>-0.94595019999999996</v>
      </c>
      <c r="P2106">
        <v>-0.42424129999999899</v>
      </c>
      <c r="Q2106">
        <v>3.9576229999999997E-2</v>
      </c>
      <c r="R2106">
        <v>-0.90468409999999999</v>
      </c>
      <c r="S2106">
        <v>-1.8512420000000001</v>
      </c>
      <c r="T2106">
        <v>-0.25855230000000001</v>
      </c>
      <c r="U2106">
        <v>-2.4623409999999999</v>
      </c>
      <c r="V2106">
        <v>0.1085639</v>
      </c>
      <c r="W2106">
        <v>5.3103560000000001E-2</v>
      </c>
      <c r="X2106">
        <v>0.9926701</v>
      </c>
      <c r="Y2106">
        <v>0.3073284</v>
      </c>
      <c r="Z2106">
        <v>8.341403E-2</v>
      </c>
      <c r="AA2106">
        <v>0.94794060000000002</v>
      </c>
      <c r="AB2106">
        <v>19</v>
      </c>
      <c r="AC2106">
        <v>-7.8641999999999799</v>
      </c>
      <c r="AD2106">
        <v>-1.10776973169599</v>
      </c>
      <c r="AE2106">
        <v>-10.3676999999999</v>
      </c>
      <c r="AF2106">
        <v>4.0511197228979601</v>
      </c>
      <c r="AG2106">
        <v>-1.10776973169599</v>
      </c>
      <c r="AH2106">
        <v>12.2676562592787</v>
      </c>
      <c r="AI2106">
        <v>94.900878321962296</v>
      </c>
      <c r="AJ2106">
        <v>71.725346610306801</v>
      </c>
      <c r="AK2106">
        <v>12.966653958656201</v>
      </c>
      <c r="AL2106">
        <v>86.955958351240398</v>
      </c>
      <c r="AM2106">
        <v>83.758621350927598</v>
      </c>
      <c r="AN2106">
        <v>1.0000000179509401</v>
      </c>
    </row>
    <row r="2107" spans="1:40" x14ac:dyDescent="0.25">
      <c r="A2107" t="str">
        <f>"20190312153928701"</f>
        <v>20190312153928701</v>
      </c>
      <c r="B2107" t="str">
        <f>"1552376368688427"</f>
        <v>1552376368688427</v>
      </c>
      <c r="C2107" t="s">
        <v>40</v>
      </c>
      <c r="D2107">
        <v>4.0931319999999998</v>
      </c>
      <c r="E2107">
        <v>0.58025939999999998</v>
      </c>
      <c r="F2107" t="s">
        <v>54</v>
      </c>
      <c r="G2107">
        <v>-202.8605</v>
      </c>
      <c r="H2107" s="1">
        <v>3.3579730000000002E-6</v>
      </c>
      <c r="I2107">
        <v>286.07499999999999</v>
      </c>
      <c r="J2107">
        <v>-194.89879999999999</v>
      </c>
      <c r="K2107">
        <v>1.1076999999999999</v>
      </c>
      <c r="L2107">
        <v>296.47680000000003</v>
      </c>
      <c r="M2107">
        <v>-0.32876179999999999</v>
      </c>
      <c r="N2107">
        <v>0</v>
      </c>
      <c r="O2107">
        <v>-0.94430389999999997</v>
      </c>
      <c r="P2107">
        <v>-0.42915779999999998</v>
      </c>
      <c r="Q2107">
        <v>4.1096170000000001E-2</v>
      </c>
      <c r="R2107">
        <v>-0.9022945</v>
      </c>
      <c r="S2107">
        <v>-1.862946</v>
      </c>
      <c r="T2107">
        <v>-0.2571234</v>
      </c>
      <c r="U2107">
        <v>-2.4537659999999999</v>
      </c>
      <c r="V2107">
        <v>0.109002</v>
      </c>
      <c r="W2107">
        <v>5.4608650000000002E-2</v>
      </c>
      <c r="X2107">
        <v>0.99254039999999999</v>
      </c>
      <c r="Y2107">
        <v>0.30702160000000001</v>
      </c>
      <c r="Z2107">
        <v>8.2871819999999999E-2</v>
      </c>
      <c r="AA2107">
        <v>0.94808749999999997</v>
      </c>
      <c r="AB2107">
        <v>18</v>
      </c>
      <c r="AC2107">
        <v>-7.9617000000000004</v>
      </c>
      <c r="AD2107">
        <v>-1.10769664202699</v>
      </c>
      <c r="AE2107">
        <v>-10.4018</v>
      </c>
      <c r="AF2107">
        <v>4.0698685772666598</v>
      </c>
      <c r="AG2107">
        <v>-1.10769664202699</v>
      </c>
      <c r="AH2107">
        <v>12.352909360354699</v>
      </c>
      <c r="AI2107">
        <v>94.867995587459703</v>
      </c>
      <c r="AJ2107">
        <v>71.764685021796893</v>
      </c>
      <c r="AK2107">
        <v>13.0531678818638</v>
      </c>
      <c r="AL2107">
        <v>86.869597627428703</v>
      </c>
      <c r="AM2107">
        <v>83.732822448472106</v>
      </c>
      <c r="AN2107">
        <v>0.99999999314549104</v>
      </c>
    </row>
    <row r="2108" spans="1:40" x14ac:dyDescent="0.25">
      <c r="A2108" t="str">
        <f>"20190312153928723"</f>
        <v>20190312153928723</v>
      </c>
      <c r="B2108" t="str">
        <f>"1552376368717708"</f>
        <v>1552376368717708</v>
      </c>
      <c r="C2108" t="s">
        <v>40</v>
      </c>
      <c r="D2108">
        <v>4.1081629999999896</v>
      </c>
      <c r="E2108">
        <v>0.58084139999999995</v>
      </c>
      <c r="F2108" t="s">
        <v>54</v>
      </c>
      <c r="G2108">
        <v>-202.8999</v>
      </c>
      <c r="H2108" s="1">
        <v>3.3762660000000001E-6</v>
      </c>
      <c r="I2108">
        <v>286.0659</v>
      </c>
      <c r="J2108">
        <v>-194.9659</v>
      </c>
      <c r="K2108">
        <v>1.107656</v>
      </c>
      <c r="L2108">
        <v>296.3032</v>
      </c>
      <c r="M2108">
        <v>-0.33376529999999999</v>
      </c>
      <c r="N2108">
        <v>0</v>
      </c>
      <c r="O2108">
        <v>-0.94254669999999896</v>
      </c>
      <c r="P2108">
        <v>-0.4342181</v>
      </c>
      <c r="Q2108">
        <v>4.1824819999999999E-2</v>
      </c>
      <c r="R2108">
        <v>-0.89983639999999998</v>
      </c>
      <c r="S2108">
        <v>-1.8779140000000001</v>
      </c>
      <c r="T2108">
        <v>-0.25998349999999998</v>
      </c>
      <c r="U2108">
        <v>-2.4435120000000001</v>
      </c>
      <c r="V2108">
        <v>0.1093358</v>
      </c>
      <c r="W2108">
        <v>5.532902E-2</v>
      </c>
      <c r="X2108">
        <v>0.99246380000000001</v>
      </c>
      <c r="Y2108">
        <v>0.30750620000000001</v>
      </c>
      <c r="Z2108">
        <v>8.3688799999999994E-2</v>
      </c>
      <c r="AA2108">
        <v>0.94785870000000005</v>
      </c>
      <c r="AB2108">
        <v>18</v>
      </c>
      <c r="AC2108">
        <v>-7.9339999999999904</v>
      </c>
      <c r="AD2108">
        <v>-1.1076526237340001</v>
      </c>
      <c r="AE2108">
        <v>-10.237299999999999</v>
      </c>
      <c r="AF2108">
        <v>4.0322383185033503</v>
      </c>
      <c r="AG2108">
        <v>-1.1076526237340001</v>
      </c>
      <c r="AH2108">
        <v>12.2092011366975</v>
      </c>
      <c r="AI2108">
        <v>94.923659166268095</v>
      </c>
      <c r="AJ2108">
        <v>71.723560574044996</v>
      </c>
      <c r="AK2108">
        <v>12.9054419757096</v>
      </c>
      <c r="AL2108">
        <v>86.828261008139094</v>
      </c>
      <c r="AM2108">
        <v>83.713302406261505</v>
      </c>
      <c r="AN2108">
        <v>1.00000000596312</v>
      </c>
    </row>
    <row r="2109" spans="1:40" x14ac:dyDescent="0.25">
      <c r="A2109" t="str">
        <f>"20190312153928746"</f>
        <v>20190312153928746</v>
      </c>
      <c r="B2109" t="str">
        <f>"1552376368738204"</f>
        <v>1552376368738204</v>
      </c>
      <c r="C2109" t="s">
        <v>40</v>
      </c>
      <c r="D2109">
        <v>4.1083970000000001</v>
      </c>
      <c r="E2109">
        <v>0.58088960000000001</v>
      </c>
      <c r="F2109" t="s">
        <v>54</v>
      </c>
      <c r="G2109">
        <v>-202.834</v>
      </c>
      <c r="H2109" s="1">
        <v>3.3343099999999998E-6</v>
      </c>
      <c r="I2109">
        <v>286.21109999999999</v>
      </c>
      <c r="J2109">
        <v>-195.03319999999999</v>
      </c>
      <c r="K2109">
        <v>1.10762</v>
      </c>
      <c r="L2109">
        <v>296.13240000000002</v>
      </c>
      <c r="M2109">
        <v>-0.33880700000000002</v>
      </c>
      <c r="N2109">
        <v>0</v>
      </c>
      <c r="O2109">
        <v>-0.94074619999999998</v>
      </c>
      <c r="P2109">
        <v>-0.43989410000000001</v>
      </c>
      <c r="Q2109">
        <v>4.0399270000000001E-2</v>
      </c>
      <c r="R2109">
        <v>-0.89714099999999997</v>
      </c>
      <c r="S2109">
        <v>-1.8957059999999999</v>
      </c>
      <c r="T2109">
        <v>-0.26687569999999999</v>
      </c>
      <c r="U2109">
        <v>-2.4315799999999999</v>
      </c>
      <c r="V2109">
        <v>0.1102649</v>
      </c>
      <c r="W2109">
        <v>5.3894450000000003E-2</v>
      </c>
      <c r="X2109">
        <v>0.99243990000000004</v>
      </c>
      <c r="Y2109">
        <v>0.3088687</v>
      </c>
      <c r="Z2109">
        <v>8.5787699999999995E-2</v>
      </c>
      <c r="AA2109">
        <v>0.94722779999999995</v>
      </c>
      <c r="AB2109">
        <v>18</v>
      </c>
      <c r="AC2109">
        <v>-7.8007999999999997</v>
      </c>
      <c r="AD2109">
        <v>-1.1076166656899999</v>
      </c>
      <c r="AE2109">
        <v>-9.9213000000000306</v>
      </c>
      <c r="AF2109">
        <v>3.94717632878764</v>
      </c>
      <c r="AG2109">
        <v>-1.1076166656899999</v>
      </c>
      <c r="AH2109">
        <v>11.8860802012588</v>
      </c>
      <c r="AI2109">
        <v>95.053925608017593</v>
      </c>
      <c r="AJ2109">
        <v>71.629501843344698</v>
      </c>
      <c r="AK2109">
        <v>12.573222267955501</v>
      </c>
      <c r="AL2109">
        <v>86.910578516834207</v>
      </c>
      <c r="AM2109">
        <v>83.660161829106201</v>
      </c>
      <c r="AN2109">
        <v>0.99999995751241</v>
      </c>
    </row>
    <row r="2110" spans="1:40" x14ac:dyDescent="0.25">
      <c r="A2110" t="str">
        <f>"20190312153928767"</f>
        <v>20190312153928767</v>
      </c>
      <c r="B2110" t="str">
        <f>"1552376368757727"</f>
        <v>1552376368757727</v>
      </c>
      <c r="C2110" t="s">
        <v>40</v>
      </c>
      <c r="D2110">
        <v>4.1477180000000002</v>
      </c>
      <c r="E2110">
        <v>0.58092029999999995</v>
      </c>
      <c r="F2110" t="s">
        <v>54</v>
      </c>
      <c r="G2110">
        <v>-202.6634</v>
      </c>
      <c r="H2110" s="1">
        <v>3.2361580000000001E-6</v>
      </c>
      <c r="I2110">
        <v>286.46859999999998</v>
      </c>
      <c r="J2110">
        <v>-195.10069999999999</v>
      </c>
      <c r="K2110">
        <v>1.1075839999999999</v>
      </c>
      <c r="L2110">
        <v>295.964</v>
      </c>
      <c r="M2110">
        <v>-0.34389039999999998</v>
      </c>
      <c r="N2110">
        <v>0</v>
      </c>
      <c r="O2110">
        <v>-0.9388997</v>
      </c>
      <c r="P2110">
        <v>-0.44617410000000002</v>
      </c>
      <c r="Q2110">
        <v>3.899975E-2</v>
      </c>
      <c r="R2110">
        <v>-0.89409629999999995</v>
      </c>
      <c r="S2110">
        <v>-1.910461</v>
      </c>
      <c r="T2110">
        <v>-0.2773272</v>
      </c>
      <c r="U2110">
        <v>-2.4196469999999999</v>
      </c>
      <c r="V2110">
        <v>0.1118291</v>
      </c>
      <c r="W2110">
        <v>5.2481670000000001E-2</v>
      </c>
      <c r="X2110">
        <v>0.99234060000000002</v>
      </c>
      <c r="Y2110">
        <v>0.30936760000000002</v>
      </c>
      <c r="Z2110">
        <v>8.9046990000000006E-2</v>
      </c>
      <c r="AA2110">
        <v>0.9467641</v>
      </c>
      <c r="AB2110">
        <v>18</v>
      </c>
      <c r="AC2110">
        <v>-7.5627000000000004</v>
      </c>
      <c r="AD2110">
        <v>-1.1075807638420001</v>
      </c>
      <c r="AE2110">
        <v>-9.4954000000000107</v>
      </c>
      <c r="AF2110">
        <v>3.8039686577952798</v>
      </c>
      <c r="AG2110">
        <v>-1.1075807638420001</v>
      </c>
      <c r="AH2110">
        <v>11.4220709785276</v>
      </c>
      <c r="AI2110">
        <v>95.256446393030799</v>
      </c>
      <c r="AJ2110">
        <v>71.580349551163394</v>
      </c>
      <c r="AK2110">
        <v>12.0896905724028</v>
      </c>
      <c r="AL2110">
        <v>86.991639636505198</v>
      </c>
      <c r="AM2110">
        <v>83.570335770078998</v>
      </c>
      <c r="AN2110">
        <v>0.99999996985057904</v>
      </c>
    </row>
    <row r="2111" spans="1:40" x14ac:dyDescent="0.25">
      <c r="A2111" t="str">
        <f>"20190312153928789"</f>
        <v>20190312153928789</v>
      </c>
      <c r="B2111" t="str">
        <f>"1552376368778221"</f>
        <v>1552376368778221</v>
      </c>
      <c r="C2111" t="s">
        <v>40</v>
      </c>
      <c r="D2111">
        <v>4.124644</v>
      </c>
      <c r="E2111">
        <v>0.58095680000000005</v>
      </c>
      <c r="F2111" t="s">
        <v>54</v>
      </c>
      <c r="G2111">
        <v>-202.4847</v>
      </c>
      <c r="H2111" s="1">
        <v>3.1329959999999998E-6</v>
      </c>
      <c r="I2111">
        <v>286.74209999999999</v>
      </c>
      <c r="J2111">
        <v>-195.17019999999999</v>
      </c>
      <c r="K2111">
        <v>1.1075469999999901</v>
      </c>
      <c r="L2111">
        <v>295.79360000000003</v>
      </c>
      <c r="M2111">
        <v>-0.34915829999999998</v>
      </c>
      <c r="N2111">
        <v>0</v>
      </c>
      <c r="O2111">
        <v>-0.93695349999999999</v>
      </c>
      <c r="P2111">
        <v>-0.45340989999999998</v>
      </c>
      <c r="Q2111">
        <v>3.9367970000000002E-2</v>
      </c>
      <c r="R2111">
        <v>-0.89043259999999902</v>
      </c>
      <c r="S2111">
        <v>-1.926849</v>
      </c>
      <c r="T2111">
        <v>-0.2890218</v>
      </c>
      <c r="U2111">
        <v>-2.4064329999999998</v>
      </c>
      <c r="V2111">
        <v>0.1143168</v>
      </c>
      <c r="W2111">
        <v>5.2825469999999999E-2</v>
      </c>
      <c r="X2111">
        <v>0.99203889999999995</v>
      </c>
      <c r="Y2111">
        <v>0.31027300000000002</v>
      </c>
      <c r="Z2111">
        <v>9.2690410000000001E-2</v>
      </c>
      <c r="AA2111">
        <v>0.94611789999999996</v>
      </c>
      <c r="AB2111">
        <v>18</v>
      </c>
      <c r="AC2111">
        <v>-7.3144999999999998</v>
      </c>
      <c r="AD2111">
        <v>-1.1075438670040001</v>
      </c>
      <c r="AE2111">
        <v>-9.0515000000000292</v>
      </c>
      <c r="AF2111">
        <v>3.6601700955121999</v>
      </c>
      <c r="AG2111">
        <v>-1.1075438670040001</v>
      </c>
      <c r="AH2111">
        <v>10.936834243916699</v>
      </c>
      <c r="AI2111">
        <v>95.485418156948796</v>
      </c>
      <c r="AJ2111">
        <v>71.496435724780298</v>
      </c>
      <c r="AK2111">
        <v>11.586105550370601</v>
      </c>
      <c r="AL2111">
        <v>86.971914136387895</v>
      </c>
      <c r="AM2111">
        <v>83.426560939335801</v>
      </c>
      <c r="AN2111">
        <v>1.0000000200780801</v>
      </c>
    </row>
    <row r="2112" spans="1:40" x14ac:dyDescent="0.25">
      <c r="A2112" t="str">
        <f>"20190312153928811"</f>
        <v>20190312153928811</v>
      </c>
      <c r="B2112" t="str">
        <f>"1552376368797748"</f>
        <v>1552376368797748</v>
      </c>
      <c r="C2112" t="s">
        <v>40</v>
      </c>
      <c r="D2112">
        <v>4.1961339999999998</v>
      </c>
      <c r="E2112">
        <v>0.58103579999999999</v>
      </c>
      <c r="F2112" t="s">
        <v>54</v>
      </c>
      <c r="G2112">
        <v>-202.5257</v>
      </c>
      <c r="H2112" s="1">
        <v>3.1501379999999999E-6</v>
      </c>
      <c r="I2112">
        <v>286.75409999999999</v>
      </c>
      <c r="J2112">
        <v>-195.23779999999999</v>
      </c>
      <c r="K2112">
        <v>1.107488</v>
      </c>
      <c r="L2112">
        <v>295.63049999999998</v>
      </c>
      <c r="M2112">
        <v>-0.35432200000000003</v>
      </c>
      <c r="N2112">
        <v>0</v>
      </c>
      <c r="O2112">
        <v>-0.93501279999999998</v>
      </c>
      <c r="P2112">
        <v>-0.46022479999999899</v>
      </c>
      <c r="Q2112">
        <v>4.0553390000000002E-2</v>
      </c>
      <c r="R2112">
        <v>-0.886876</v>
      </c>
      <c r="S2112">
        <v>-1.945816</v>
      </c>
      <c r="T2112">
        <v>-0.29298780000000002</v>
      </c>
      <c r="U2112">
        <v>-2.3912960000000001</v>
      </c>
      <c r="V2112">
        <v>0.1164863</v>
      </c>
      <c r="W2112">
        <v>5.3984919999999999E-2</v>
      </c>
      <c r="X2112">
        <v>0.99172400000000005</v>
      </c>
      <c r="Y2112">
        <v>0.31240079999999998</v>
      </c>
      <c r="Z2112">
        <v>9.388167E-2</v>
      </c>
      <c r="AA2112">
        <v>0.94529989999999997</v>
      </c>
      <c r="AB2112">
        <v>18</v>
      </c>
      <c r="AC2112">
        <v>-7.2878999999999996</v>
      </c>
      <c r="AD2112">
        <v>-1.107484849862</v>
      </c>
      <c r="AE2112">
        <v>-8.8763999999999896</v>
      </c>
      <c r="AF2112">
        <v>3.635748390187</v>
      </c>
      <c r="AG2112">
        <v>-1.107484849862</v>
      </c>
      <c r="AH2112">
        <v>10.7826734694751</v>
      </c>
      <c r="AI2112">
        <v>95.558857117345894</v>
      </c>
      <c r="AJ2112">
        <v>71.3667005194269</v>
      </c>
      <c r="AK2112">
        <v>11.432901477697801</v>
      </c>
      <c r="AL2112">
        <v>86.905387420775199</v>
      </c>
      <c r="AM2112">
        <v>83.300826025788396</v>
      </c>
      <c r="AN2112">
        <v>0.99999996092554699</v>
      </c>
    </row>
    <row r="2113" spans="1:40" x14ac:dyDescent="0.25">
      <c r="A2113" t="str">
        <f>"20190312153928833"</f>
        <v>20190312153928833</v>
      </c>
      <c r="B2113" t="str">
        <f>"1552376368827996"</f>
        <v>1552376368827996</v>
      </c>
      <c r="C2113" t="s">
        <v>40</v>
      </c>
      <c r="D2113">
        <v>4.2552390000000004</v>
      </c>
      <c r="E2113">
        <v>0.60077209999999903</v>
      </c>
      <c r="F2113" t="s">
        <v>54</v>
      </c>
      <c r="G2113">
        <v>-202.68379999999999</v>
      </c>
      <c r="H2113" s="1">
        <v>3.23184E-6</v>
      </c>
      <c r="I2113">
        <v>286.62180000000001</v>
      </c>
      <c r="J2113">
        <v>-195.31100000000001</v>
      </c>
      <c r="K2113">
        <v>1.1074079999999999</v>
      </c>
      <c r="L2113">
        <v>295.45760000000001</v>
      </c>
      <c r="M2113">
        <v>-0.35994209999999999</v>
      </c>
      <c r="N2113">
        <v>0</v>
      </c>
      <c r="O2113">
        <v>-0.93286349999999996</v>
      </c>
      <c r="P2113">
        <v>-0.46819499999999997</v>
      </c>
      <c r="Q2113">
        <v>3.9453809999999999E-2</v>
      </c>
      <c r="R2113">
        <v>-0.88274409999999903</v>
      </c>
      <c r="S2113">
        <v>-1.9643710000000001</v>
      </c>
      <c r="T2113">
        <v>-0.29217149999999997</v>
      </c>
      <c r="U2113">
        <v>-2.3766479999999999</v>
      </c>
      <c r="V2113">
        <v>0.11943670000000001</v>
      </c>
      <c r="W2113">
        <v>5.2848340000000001E-2</v>
      </c>
      <c r="X2113">
        <v>0.99143429999999999</v>
      </c>
      <c r="Y2113">
        <v>0.31395400000000001</v>
      </c>
      <c r="Z2113">
        <v>9.352075E-2</v>
      </c>
      <c r="AA2113">
        <v>0.94482109999999997</v>
      </c>
      <c r="AB2113">
        <v>18</v>
      </c>
      <c r="AC2113">
        <v>-7.3728000000000096</v>
      </c>
      <c r="AD2113">
        <v>-1.1074047681600001</v>
      </c>
      <c r="AE2113">
        <v>-8.8358000000000008</v>
      </c>
      <c r="AF2113">
        <v>3.6638940629900301</v>
      </c>
      <c r="AG2113">
        <v>-1.1074047681600001</v>
      </c>
      <c r="AH2113">
        <v>10.797517515264101</v>
      </c>
      <c r="AI2113">
        <v>95.547276734327596</v>
      </c>
      <c r="AJ2113">
        <v>71.256515260536602</v>
      </c>
      <c r="AK2113">
        <v>11.455865288916</v>
      </c>
      <c r="AL2113">
        <v>86.970601954181404</v>
      </c>
      <c r="AM2113">
        <v>83.130760508873607</v>
      </c>
      <c r="AN2113">
        <v>1.0000000217820599</v>
      </c>
    </row>
    <row r="2114" spans="1:40" x14ac:dyDescent="0.25">
      <c r="A2114" t="str">
        <f>"20190312153928856"</f>
        <v>20190312153928856</v>
      </c>
      <c r="B2114" t="str">
        <f>"1552376368847516"</f>
        <v>1552376368847516</v>
      </c>
      <c r="C2114" t="s">
        <v>40</v>
      </c>
      <c r="D2114">
        <v>4.2546499999999998</v>
      </c>
      <c r="E2114">
        <v>0.60105109999999995</v>
      </c>
      <c r="F2114" t="s">
        <v>54</v>
      </c>
      <c r="G2114">
        <v>-202.27600000000001</v>
      </c>
      <c r="H2114" s="1">
        <v>2.9336670000000001E-6</v>
      </c>
      <c r="I2114">
        <v>287.96379999999999</v>
      </c>
      <c r="J2114">
        <v>-195.38290000000001</v>
      </c>
      <c r="K2114">
        <v>1.1073200000000001</v>
      </c>
      <c r="L2114">
        <v>295.29079999999999</v>
      </c>
      <c r="M2114">
        <v>-0.3655195</v>
      </c>
      <c r="N2114">
        <v>0</v>
      </c>
      <c r="O2114">
        <v>-0.93069219999999997</v>
      </c>
      <c r="P2114">
        <v>-0.47714230000000002</v>
      </c>
      <c r="Q2114">
        <v>3.7789780000000002E-2</v>
      </c>
      <c r="R2114">
        <v>-0.8780133</v>
      </c>
      <c r="S2114">
        <v>-2.1251370000000001</v>
      </c>
      <c r="T2114">
        <v>-0.3378853</v>
      </c>
      <c r="U2114">
        <v>-2.2864689999999999</v>
      </c>
      <c r="V2114">
        <v>0.1235518</v>
      </c>
      <c r="W2114">
        <v>5.1131660000000002E-2</v>
      </c>
      <c r="X2114">
        <v>0.99101989999999995</v>
      </c>
      <c r="Y2114">
        <v>0.36174089999999998</v>
      </c>
      <c r="Z2114">
        <v>0.1075991</v>
      </c>
      <c r="AA2114">
        <v>0.9260486</v>
      </c>
      <c r="AB2114">
        <v>18</v>
      </c>
      <c r="AC2114">
        <v>-6.8930999999999703</v>
      </c>
      <c r="AD2114">
        <v>-1.1073170663330001</v>
      </c>
      <c r="AE2114">
        <v>-7.3269999999999902</v>
      </c>
      <c r="AF2114">
        <v>3.6928379009486001</v>
      </c>
      <c r="AG2114">
        <v>-1.1073170663330001</v>
      </c>
      <c r="AH2114">
        <v>9.2279067021040504</v>
      </c>
      <c r="AI2114">
        <v>96.356939573904</v>
      </c>
      <c r="AJ2114">
        <v>68.189624360845102</v>
      </c>
      <c r="AK2114">
        <v>10.000873209415801</v>
      </c>
      <c r="AL2114">
        <v>87.069093525119996</v>
      </c>
      <c r="AM2114">
        <v>82.8935243250382</v>
      </c>
      <c r="AN2114">
        <v>0.99999996806680203</v>
      </c>
    </row>
    <row r="2115" spans="1:40" x14ac:dyDescent="0.25">
      <c r="A2115" t="str">
        <f>"20190312153928879"</f>
        <v>20190312153928879</v>
      </c>
      <c r="B2115" t="str">
        <f>"1552376368868012"</f>
        <v>1552376368868012</v>
      </c>
      <c r="C2115" t="s">
        <v>40</v>
      </c>
      <c r="D2115">
        <v>4.2684490000000004</v>
      </c>
      <c r="E2115">
        <v>0.60099590000000003</v>
      </c>
      <c r="F2115" t="s">
        <v>54</v>
      </c>
      <c r="G2115">
        <v>-202.3347</v>
      </c>
      <c r="H2115" s="1">
        <v>2.9589409999999998E-6</v>
      </c>
      <c r="I2115">
        <v>287.97239999999999</v>
      </c>
      <c r="J2115">
        <v>-195.4588</v>
      </c>
      <c r="K2115">
        <v>1.1072120000000001</v>
      </c>
      <c r="L2115">
        <v>295.11849999999998</v>
      </c>
      <c r="M2115">
        <v>-0.37148989999999998</v>
      </c>
      <c r="N2115">
        <v>0</v>
      </c>
      <c r="O2115">
        <v>-0.92832499999999996</v>
      </c>
      <c r="P2115">
        <v>-0.48605209999999999</v>
      </c>
      <c r="Q2115">
        <v>3.7394080000000003E-2</v>
      </c>
      <c r="R2115">
        <v>-0.87312979999999996</v>
      </c>
      <c r="S2115">
        <v>-2.1498870000000001</v>
      </c>
      <c r="T2115">
        <v>-0.34244239999999998</v>
      </c>
      <c r="U2115">
        <v>-2.263245</v>
      </c>
      <c r="V2115">
        <v>0.127276</v>
      </c>
      <c r="W2115">
        <v>5.0682110000000002E-2</v>
      </c>
      <c r="X2115">
        <v>0.9905716</v>
      </c>
      <c r="Y2115">
        <v>0.36571049999999999</v>
      </c>
      <c r="Z2115">
        <v>0.10898969999999999</v>
      </c>
      <c r="AA2115">
        <v>0.92432519999999996</v>
      </c>
      <c r="AB2115">
        <v>18</v>
      </c>
      <c r="AC2115">
        <v>-6.8758999999999997</v>
      </c>
      <c r="AD2115">
        <v>-1.1072090410590001</v>
      </c>
      <c r="AE2115">
        <v>-7.1460999999999899</v>
      </c>
      <c r="AF2115">
        <v>3.6828452712077402</v>
      </c>
      <c r="AG2115">
        <v>-1.1072090410590001</v>
      </c>
      <c r="AH2115">
        <v>9.0760491063667903</v>
      </c>
      <c r="AI2115">
        <v>96.449368947729596</v>
      </c>
      <c r="AJ2115">
        <v>67.913853645159193</v>
      </c>
      <c r="AK2115">
        <v>9.8571764990508992</v>
      </c>
      <c r="AL2115">
        <v>87.094884305909702</v>
      </c>
      <c r="AM2115">
        <v>82.678327839215001</v>
      </c>
      <c r="AN2115">
        <v>0.999999975588305</v>
      </c>
    </row>
    <row r="2116" spans="1:40" x14ac:dyDescent="0.25">
      <c r="A2116" t="str">
        <f>"20190312153928901"</f>
        <v>20190312153928901</v>
      </c>
      <c r="B2116" t="str">
        <f>"1552376368887532"</f>
        <v>1552376368887532</v>
      </c>
      <c r="C2116" t="s">
        <v>40</v>
      </c>
      <c r="D2116">
        <v>4.2655900000000004</v>
      </c>
      <c r="E2116">
        <v>0.60088839999999999</v>
      </c>
      <c r="F2116" t="s">
        <v>54</v>
      </c>
      <c r="G2116">
        <v>-202.4083</v>
      </c>
      <c r="H2116" s="1">
        <v>2.9937459999999998E-6</v>
      </c>
      <c r="I2116">
        <v>287.94729999999998</v>
      </c>
      <c r="J2116">
        <v>-195.53120000000001</v>
      </c>
      <c r="K2116">
        <v>1.10711</v>
      </c>
      <c r="L2116">
        <v>294.95760000000001</v>
      </c>
      <c r="M2116">
        <v>-0.37727549999999999</v>
      </c>
      <c r="N2116">
        <v>0</v>
      </c>
      <c r="O2116">
        <v>-0.92598840000000004</v>
      </c>
      <c r="P2116">
        <v>-0.49489739999999999</v>
      </c>
      <c r="Q2116">
        <v>3.8376149999999998E-2</v>
      </c>
      <c r="R2116">
        <v>-0.86810390000000004</v>
      </c>
      <c r="S2116">
        <v>-2.1722410000000001</v>
      </c>
      <c r="T2116">
        <v>-0.34608749999999999</v>
      </c>
      <c r="U2116">
        <v>-2.2415470000000002</v>
      </c>
      <c r="V2116">
        <v>0.13119710000000001</v>
      </c>
      <c r="W2116">
        <v>5.1606440000000003E-2</v>
      </c>
      <c r="X2116">
        <v>0.99001220000000001</v>
      </c>
      <c r="Y2116">
        <v>0.36903849999999999</v>
      </c>
      <c r="Z2116">
        <v>0.1100864</v>
      </c>
      <c r="AA2116">
        <v>0.92287140000000001</v>
      </c>
      <c r="AB2116">
        <v>18</v>
      </c>
      <c r="AC2116">
        <v>-6.87709999999998</v>
      </c>
      <c r="AD2116">
        <v>-1.107107006254</v>
      </c>
      <c r="AE2116">
        <v>-7.0103000000000204</v>
      </c>
      <c r="AF2116">
        <v>3.6769567758033701</v>
      </c>
      <c r="AG2116">
        <v>-1.107107006254</v>
      </c>
      <c r="AH2116">
        <v>8.9729249087334306</v>
      </c>
      <c r="AI2116">
        <v>96.513205844276001</v>
      </c>
      <c r="AJ2116">
        <v>67.716989958696601</v>
      </c>
      <c r="AK2116">
        <v>9.7600757411093806</v>
      </c>
      <c r="AL2116">
        <v>87.041854854535501</v>
      </c>
      <c r="AM2116">
        <v>82.451109224197197</v>
      </c>
      <c r="AN2116">
        <v>1.00000002992336</v>
      </c>
    </row>
    <row r="2117" spans="1:40" x14ac:dyDescent="0.25">
      <c r="A2117" t="str">
        <f>"20190312153928925"</f>
        <v>20190312153928925</v>
      </c>
      <c r="B2117" t="str">
        <f>"1552376368917788"</f>
        <v>1552376368917788</v>
      </c>
      <c r="C2117" t="s">
        <v>40</v>
      </c>
      <c r="D2117">
        <v>4.2957340000000004</v>
      </c>
      <c r="E2117">
        <v>0.60019049999999996</v>
      </c>
      <c r="F2117" t="s">
        <v>54</v>
      </c>
      <c r="G2117">
        <v>-202.58779999999999</v>
      </c>
      <c r="H2117" s="1">
        <v>3.0846769999999999E-6</v>
      </c>
      <c r="I2117">
        <v>287.81799999999998</v>
      </c>
      <c r="J2117">
        <v>-195.61250000000001</v>
      </c>
      <c r="K2117">
        <v>1.107016</v>
      </c>
      <c r="L2117">
        <v>294.78070000000002</v>
      </c>
      <c r="M2117">
        <v>-0.38385039999999998</v>
      </c>
      <c r="N2117">
        <v>0</v>
      </c>
      <c r="O2117">
        <v>-0.92328200000000005</v>
      </c>
      <c r="P2117">
        <v>-0.50226649999999995</v>
      </c>
      <c r="Q2117">
        <v>3.9418349999999998E-2</v>
      </c>
      <c r="R2117">
        <v>-0.86381409999999903</v>
      </c>
      <c r="S2117">
        <v>-2.1942599999999999</v>
      </c>
      <c r="T2117">
        <v>-0.344254</v>
      </c>
      <c r="U2117">
        <v>-2.220062</v>
      </c>
      <c r="V2117">
        <v>0.13262260000000001</v>
      </c>
      <c r="W2117">
        <v>5.2617869999999997E-2</v>
      </c>
      <c r="X2117">
        <v>0.98976900000000001</v>
      </c>
      <c r="Y2117">
        <v>0.37158219999999997</v>
      </c>
      <c r="Z2117">
        <v>0.1094112</v>
      </c>
      <c r="AA2117">
        <v>0.92193049999999999</v>
      </c>
      <c r="AB2117">
        <v>18</v>
      </c>
      <c r="AC2117">
        <v>-6.9752999999999696</v>
      </c>
      <c r="AD2117">
        <v>-1.1070129153229999</v>
      </c>
      <c r="AE2117">
        <v>-6.9627000000000399</v>
      </c>
      <c r="AF2117">
        <v>3.7209826765076102</v>
      </c>
      <c r="AG2117">
        <v>-1.1070129153229999</v>
      </c>
      <c r="AH2117">
        <v>8.9934948260073302</v>
      </c>
      <c r="AI2117">
        <v>96.488917540019401</v>
      </c>
      <c r="AJ2117">
        <v>67.523086601272098</v>
      </c>
      <c r="AK2117">
        <v>9.7956183500064107</v>
      </c>
      <c r="AL2117">
        <v>86.983825346985995</v>
      </c>
      <c r="AM2117">
        <v>82.368196492176807</v>
      </c>
      <c r="AN2117">
        <v>1.0000000338175401</v>
      </c>
    </row>
    <row r="2118" spans="1:40" x14ac:dyDescent="0.25">
      <c r="A2118" t="str">
        <f>"20190312153928948"</f>
        <v>20190312153928948</v>
      </c>
      <c r="B2118" t="str">
        <f>"1552376368938284"</f>
        <v>1552376368938284</v>
      </c>
      <c r="C2118" t="s">
        <v>40</v>
      </c>
      <c r="D2118">
        <v>4.3167929999999997</v>
      </c>
      <c r="E2118">
        <v>0.59968330000000003</v>
      </c>
      <c r="F2118" t="s">
        <v>54</v>
      </c>
      <c r="G2118">
        <v>-202.75530000000001</v>
      </c>
      <c r="H2118" s="1">
        <v>3.1735589999999999E-6</v>
      </c>
      <c r="I2118">
        <v>287.65109999999999</v>
      </c>
      <c r="J2118">
        <v>-195.691</v>
      </c>
      <c r="K2118">
        <v>1.106941</v>
      </c>
      <c r="L2118">
        <v>294.61349999999999</v>
      </c>
      <c r="M2118">
        <v>-0.39026919999999998</v>
      </c>
      <c r="N2118">
        <v>0</v>
      </c>
      <c r="O2118">
        <v>-0.92058689999999999</v>
      </c>
      <c r="P2118">
        <v>-0.50938729999999999</v>
      </c>
      <c r="Q2118">
        <v>3.9455289999999997E-2</v>
      </c>
      <c r="R2118">
        <v>-0.85963259999999897</v>
      </c>
      <c r="S2118">
        <v>-2.2085569999999999</v>
      </c>
      <c r="T2118">
        <v>-0.34228649999999999</v>
      </c>
      <c r="U2118">
        <v>-2.2044679999999999</v>
      </c>
      <c r="V2118">
        <v>0.1339234</v>
      </c>
      <c r="W2118">
        <v>5.2630240000000002E-2</v>
      </c>
      <c r="X2118">
        <v>0.9895931</v>
      </c>
      <c r="Y2118">
        <v>0.37142439999999999</v>
      </c>
      <c r="Z2118">
        <v>0.1086652</v>
      </c>
      <c r="AA2118">
        <v>0.92208230000000002</v>
      </c>
      <c r="AB2118">
        <v>18</v>
      </c>
      <c r="AC2118">
        <v>-7.0643000000000296</v>
      </c>
      <c r="AD2118">
        <v>-1.1069378264409999</v>
      </c>
      <c r="AE2118">
        <v>-6.9623999999999997</v>
      </c>
      <c r="AF2118">
        <v>3.73990838621076</v>
      </c>
      <c r="AG2118">
        <v>-1.1069378264409999</v>
      </c>
      <c r="AH2118">
        <v>9.0546587893371306</v>
      </c>
      <c r="AI2118">
        <v>96.446611767301505</v>
      </c>
      <c r="AJ2118">
        <v>67.557567588060095</v>
      </c>
      <c r="AK2118">
        <v>9.8589589653358303</v>
      </c>
      <c r="AL2118">
        <v>86.983115396127502</v>
      </c>
      <c r="AM2118">
        <v>82.292883462486301</v>
      </c>
      <c r="AN2118">
        <v>0.99999996139881298</v>
      </c>
    </row>
    <row r="2119" spans="1:40" x14ac:dyDescent="0.25">
      <c r="A2119" t="str">
        <f>"20190312153928970"</f>
        <v>20190312153928970</v>
      </c>
      <c r="B2119" t="str">
        <f>"1552376368957804"</f>
        <v>1552376368957804</v>
      </c>
      <c r="C2119" t="s">
        <v>40</v>
      </c>
      <c r="D2119">
        <v>4.2990849999999998</v>
      </c>
      <c r="E2119">
        <v>0.59927600000000003</v>
      </c>
      <c r="F2119" t="s">
        <v>54</v>
      </c>
      <c r="G2119">
        <v>-202.9451</v>
      </c>
      <c r="H2119" s="1">
        <v>3.272845E-6</v>
      </c>
      <c r="I2119">
        <v>287.47820000000002</v>
      </c>
      <c r="J2119">
        <v>-195.77070000000001</v>
      </c>
      <c r="K2119">
        <v>1.1068610000000001</v>
      </c>
      <c r="L2119">
        <v>294.44729999999998</v>
      </c>
      <c r="M2119">
        <v>-0.39686779999999999</v>
      </c>
      <c r="N2119">
        <v>0</v>
      </c>
      <c r="O2119">
        <v>-0.9177613</v>
      </c>
      <c r="P2119">
        <v>-0.51623039999999998</v>
      </c>
      <c r="Q2119">
        <v>4.0073480000000002E-2</v>
      </c>
      <c r="R2119">
        <v>-0.85551200000000005</v>
      </c>
      <c r="S2119">
        <v>-2.2239990000000001</v>
      </c>
      <c r="T2119">
        <v>-0.33936860000000002</v>
      </c>
      <c r="U2119">
        <v>-2.1875610000000001</v>
      </c>
      <c r="V2119">
        <v>0.13474449999999999</v>
      </c>
      <c r="W2119">
        <v>5.3228310000000001E-2</v>
      </c>
      <c r="X2119">
        <v>0.98944969999999999</v>
      </c>
      <c r="Y2119">
        <v>0.37160850000000001</v>
      </c>
      <c r="Z2119">
        <v>0.10761850000000001</v>
      </c>
      <c r="AA2119">
        <v>0.92213089999999998</v>
      </c>
      <c r="AB2119">
        <v>18</v>
      </c>
      <c r="AC2119">
        <v>-7.1743999999999897</v>
      </c>
      <c r="AD2119">
        <v>-1.106857727155</v>
      </c>
      <c r="AE2119">
        <v>-6.9690999999999601</v>
      </c>
      <c r="AF2119">
        <v>3.7727736951191</v>
      </c>
      <c r="AG2119">
        <v>-1.106857727155</v>
      </c>
      <c r="AH2119">
        <v>9.1323911065764598</v>
      </c>
      <c r="AI2119">
        <v>96.391551533735694</v>
      </c>
      <c r="AJ2119">
        <v>67.553499838331206</v>
      </c>
      <c r="AK2119">
        <v>9.9428126154636001</v>
      </c>
      <c r="AL2119">
        <v>86.948800589031507</v>
      </c>
      <c r="AM2119">
        <v>82.245093257684701</v>
      </c>
      <c r="AN2119">
        <v>1.0000000210478901</v>
      </c>
    </row>
    <row r="2120" spans="1:40" x14ac:dyDescent="0.25">
      <c r="A2120" t="str">
        <f>"20190312153928993"</f>
        <v>20190312153928993</v>
      </c>
      <c r="B2120" t="str">
        <f>"1552376368988061"</f>
        <v>1552376368988061</v>
      </c>
      <c r="C2120" t="s">
        <v>40</v>
      </c>
      <c r="D2120">
        <v>4.3631039999999999</v>
      </c>
      <c r="E2120">
        <v>0.59830399999999995</v>
      </c>
      <c r="F2120" t="s">
        <v>54</v>
      </c>
      <c r="G2120">
        <v>-203.1686</v>
      </c>
      <c r="H2120" s="1">
        <v>3.3896140000000001E-6</v>
      </c>
      <c r="I2120">
        <v>287.27620000000002</v>
      </c>
      <c r="J2120">
        <v>-195.85130000000001</v>
      </c>
      <c r="K2120">
        <v>1.1067670000000001</v>
      </c>
      <c r="L2120">
        <v>294.28289999999998</v>
      </c>
      <c r="M2120">
        <v>-0.40363379999999999</v>
      </c>
      <c r="N2120">
        <v>0</v>
      </c>
      <c r="O2120">
        <v>-0.91480539999999999</v>
      </c>
      <c r="P2120">
        <v>-0.52259270000000002</v>
      </c>
      <c r="Q2120">
        <v>4.1794709999999999E-2</v>
      </c>
      <c r="R2120">
        <v>-0.85155740000000002</v>
      </c>
      <c r="S2120">
        <v>-2.2396090000000002</v>
      </c>
      <c r="T2120">
        <v>-0.33508300000000002</v>
      </c>
      <c r="U2120">
        <v>-2.1709589999999999</v>
      </c>
      <c r="V2120">
        <v>0.13487579999999999</v>
      </c>
      <c r="W2120">
        <v>5.4934789999999997E-2</v>
      </c>
      <c r="X2120">
        <v>0.98933850000000001</v>
      </c>
      <c r="Y2120">
        <v>0.37161369999999999</v>
      </c>
      <c r="Z2120">
        <v>0.10611329999999999</v>
      </c>
      <c r="AA2120">
        <v>0.92230319999999999</v>
      </c>
      <c r="AB2120">
        <v>18</v>
      </c>
      <c r="AC2120">
        <v>-7.3172999999999799</v>
      </c>
      <c r="AD2120">
        <v>-1.1067636103859999</v>
      </c>
      <c r="AE2120">
        <v>-7.0066999999999604</v>
      </c>
      <c r="AF2120">
        <v>3.8205752497520602</v>
      </c>
      <c r="AG2120">
        <v>-1.1067636103859999</v>
      </c>
      <c r="AH2120">
        <v>9.2538233635981797</v>
      </c>
      <c r="AI2120">
        <v>96.308391756340797</v>
      </c>
      <c r="AJ2120">
        <v>67.566006863267404</v>
      </c>
      <c r="AK2120">
        <v>10.072485679958399</v>
      </c>
      <c r="AL2120">
        <v>86.8508830796805</v>
      </c>
      <c r="AM2120">
        <v>82.236766835416603</v>
      </c>
      <c r="AN2120">
        <v>0.99999999008011697</v>
      </c>
    </row>
    <row r="2121" spans="1:40" x14ac:dyDescent="0.25">
      <c r="A2121" t="str">
        <f>"20190312153929014"</f>
        <v>20190312153929014</v>
      </c>
      <c r="B2121" t="str">
        <f>"1552376369008556"</f>
        <v>1552376369008556</v>
      </c>
      <c r="C2121" t="s">
        <v>40</v>
      </c>
      <c r="D2121">
        <v>4.3687649999999998</v>
      </c>
      <c r="E2121">
        <v>0.59810439999999998</v>
      </c>
      <c r="F2121" t="s">
        <v>54</v>
      </c>
      <c r="G2121">
        <v>-203.3372</v>
      </c>
      <c r="H2121" s="1">
        <v>3.479672E-6</v>
      </c>
      <c r="I2121">
        <v>287.10120000000001</v>
      </c>
      <c r="J2121">
        <v>-195.92789999999999</v>
      </c>
      <c r="K2121">
        <v>1.1066659999999999</v>
      </c>
      <c r="L2121">
        <v>294.12990000000002</v>
      </c>
      <c r="M2121">
        <v>-0.41015000000000001</v>
      </c>
      <c r="N2121">
        <v>0</v>
      </c>
      <c r="O2121">
        <v>-0.91190230000000005</v>
      </c>
      <c r="P2121">
        <v>-0.52824629999999995</v>
      </c>
      <c r="Q2121">
        <v>4.3943210000000003E-2</v>
      </c>
      <c r="R2121">
        <v>-0.84795359999999997</v>
      </c>
      <c r="S2121">
        <v>-2.249908</v>
      </c>
      <c r="T2121">
        <v>-0.33263870000000001</v>
      </c>
      <c r="U2121">
        <v>-2.1584780000000001</v>
      </c>
      <c r="V2121">
        <v>0.1344785</v>
      </c>
      <c r="W2121">
        <v>5.7072909999999998E-2</v>
      </c>
      <c r="X2121">
        <v>0.98927160000000003</v>
      </c>
      <c r="Y2121">
        <v>0.36983850000000001</v>
      </c>
      <c r="Z2121">
        <v>0.1051725</v>
      </c>
      <c r="AA2121">
        <v>0.92312419999999995</v>
      </c>
      <c r="AB2121">
        <v>18</v>
      </c>
      <c r="AC2121">
        <v>-7.4093</v>
      </c>
      <c r="AD2121">
        <v>-1.1066625203279901</v>
      </c>
      <c r="AE2121">
        <v>-7.0287000000000104</v>
      </c>
      <c r="AF2121">
        <v>3.8291829535890498</v>
      </c>
      <c r="AG2121">
        <v>-1.1066625203279901</v>
      </c>
      <c r="AH2121">
        <v>9.3397419756541407</v>
      </c>
      <c r="AI2121">
        <v>96.256533350180703</v>
      </c>
      <c r="AJ2121">
        <v>67.706955138659694</v>
      </c>
      <c r="AK2121">
        <v>10.154709459051499</v>
      </c>
      <c r="AL2121">
        <v>86.728185402691196</v>
      </c>
      <c r="AM2121">
        <v>82.258840019854205</v>
      </c>
      <c r="AN2121">
        <v>1.00000004129233</v>
      </c>
    </row>
    <row r="2122" spans="1:40" x14ac:dyDescent="0.25">
      <c r="A2122" t="str">
        <f>"20190312153929037"</f>
        <v>20190312153929037</v>
      </c>
      <c r="B2122" t="str">
        <f>"1552376369028076"</f>
        <v>1552376369028076</v>
      </c>
      <c r="C2122" t="s">
        <v>40</v>
      </c>
      <c r="D2122">
        <v>4.1833970000000003</v>
      </c>
      <c r="E2122">
        <v>0.59779230000000005</v>
      </c>
      <c r="F2122" t="s">
        <v>54</v>
      </c>
      <c r="G2122">
        <v>-203.60659999999999</v>
      </c>
      <c r="H2122" s="1">
        <v>3.6205249999999999E-6</v>
      </c>
      <c r="I2122">
        <v>286.85640000000001</v>
      </c>
      <c r="J2122">
        <v>-196.01429999999999</v>
      </c>
      <c r="K2122">
        <v>1.1065400000000001</v>
      </c>
      <c r="L2122">
        <v>293.96129999999999</v>
      </c>
      <c r="M2122">
        <v>-0.41756470000000001</v>
      </c>
      <c r="N2122">
        <v>0</v>
      </c>
      <c r="O2122">
        <v>-0.90853050000000002</v>
      </c>
      <c r="P2122">
        <v>-0.53462240000000005</v>
      </c>
      <c r="Q2122">
        <v>4.517728E-2</v>
      </c>
      <c r="R2122">
        <v>-0.84388299999999905</v>
      </c>
      <c r="S2122">
        <v>-2.2639309999999999</v>
      </c>
      <c r="T2122">
        <v>-0.32628099999999999</v>
      </c>
      <c r="U2122">
        <v>-2.1444700000000001</v>
      </c>
      <c r="V2122">
        <v>0.13393350000000001</v>
      </c>
      <c r="W2122">
        <v>5.8297290000000002E-2</v>
      </c>
      <c r="X2122">
        <v>0.98927410000000005</v>
      </c>
      <c r="Y2122">
        <v>0.3683188</v>
      </c>
      <c r="Z2122">
        <v>0.10292759999999999</v>
      </c>
      <c r="AA2122">
        <v>0.92398440000000004</v>
      </c>
      <c r="AB2122">
        <v>18</v>
      </c>
      <c r="AC2122">
        <v>-7.5922999999999901</v>
      </c>
      <c r="AD2122">
        <v>-1.1065363794749901</v>
      </c>
      <c r="AE2122">
        <v>-7.1048999999999802</v>
      </c>
      <c r="AF2122">
        <v>3.88747426606517</v>
      </c>
      <c r="AG2122">
        <v>-1.1065363794749901</v>
      </c>
      <c r="AH2122">
        <v>9.5185240356942806</v>
      </c>
      <c r="AI2122">
        <v>96.142599019378295</v>
      </c>
      <c r="AJ2122">
        <v>67.784332961167095</v>
      </c>
      <c r="AK2122">
        <v>10.3411401086393</v>
      </c>
      <c r="AL2122">
        <v>86.657916449124698</v>
      </c>
      <c r="AM2122">
        <v>82.289853687233901</v>
      </c>
      <c r="AN2122">
        <v>1.0000000006872001</v>
      </c>
    </row>
    <row r="2123" spans="1:40" x14ac:dyDescent="0.25">
      <c r="A2123" t="str">
        <f>"20190312153929058"</f>
        <v>20190312153929058</v>
      </c>
      <c r="B2123" t="str">
        <f>"1552376369047596"</f>
        <v>1552376369047596</v>
      </c>
      <c r="C2123" t="s">
        <v>40</v>
      </c>
      <c r="D2123">
        <v>4.2119770000000001</v>
      </c>
      <c r="E2123">
        <v>0.59765140000000005</v>
      </c>
      <c r="F2123" t="s">
        <v>54</v>
      </c>
      <c r="G2123">
        <v>-203.8434</v>
      </c>
      <c r="H2123" s="1">
        <v>3.7437089999999999E-6</v>
      </c>
      <c r="I2123">
        <v>286.64859999999999</v>
      </c>
      <c r="J2123">
        <v>-196.0933</v>
      </c>
      <c r="K2123">
        <v>1.106425</v>
      </c>
      <c r="L2123">
        <v>293.81079999999997</v>
      </c>
      <c r="M2123">
        <v>-0.42441299999999998</v>
      </c>
      <c r="N2123">
        <v>0</v>
      </c>
      <c r="O2123">
        <v>-0.90535120000000002</v>
      </c>
      <c r="P2123">
        <v>-0.54114960000000001</v>
      </c>
      <c r="Q2123">
        <v>4.563772E-2</v>
      </c>
      <c r="R2123">
        <v>-0.83968750000000003</v>
      </c>
      <c r="S2123">
        <v>-2.2788240000000002</v>
      </c>
      <c r="T2123">
        <v>-0.3220789</v>
      </c>
      <c r="U2123">
        <v>-2.1285099999999999</v>
      </c>
      <c r="V2123">
        <v>0.13416600000000001</v>
      </c>
      <c r="W2123">
        <v>5.8743320000000002E-2</v>
      </c>
      <c r="X2123">
        <v>0.98921619999999999</v>
      </c>
      <c r="Y2123">
        <v>0.36788929999999997</v>
      </c>
      <c r="Z2123">
        <v>0.10141600000000001</v>
      </c>
      <c r="AA2123">
        <v>0.92432259999999999</v>
      </c>
      <c r="AB2123">
        <v>18</v>
      </c>
      <c r="AC2123">
        <v>-7.7500999999999998</v>
      </c>
      <c r="AD2123">
        <v>-1.1064212562909901</v>
      </c>
      <c r="AE2123">
        <v>-7.1621999999999799</v>
      </c>
      <c r="AF2123">
        <v>3.93400909803246</v>
      </c>
      <c r="AG2123">
        <v>-1.1064212562909901</v>
      </c>
      <c r="AH2123">
        <v>9.6683081552158399</v>
      </c>
      <c r="AI2123">
        <v>96.050700304760596</v>
      </c>
      <c r="AJ2123">
        <v>67.858721974471706</v>
      </c>
      <c r="AK2123">
        <v>10.496512666785399</v>
      </c>
      <c r="AL2123">
        <v>86.632316910365304</v>
      </c>
      <c r="AM2123">
        <v>82.276184172774506</v>
      </c>
      <c r="AN2123">
        <v>0.99999999177153098</v>
      </c>
    </row>
    <row r="2124" spans="1:40" x14ac:dyDescent="0.25">
      <c r="A2124" t="str">
        <f>"20190312153929080"</f>
        <v>20190312153929080</v>
      </c>
      <c r="B2124" t="str">
        <f>"1552376369068092"</f>
        <v>1552376369068092</v>
      </c>
      <c r="C2124" t="s">
        <v>40</v>
      </c>
      <c r="D2124">
        <v>4.2249749999999997</v>
      </c>
      <c r="E2124">
        <v>0.59763650000000001</v>
      </c>
      <c r="F2124" t="s">
        <v>54</v>
      </c>
      <c r="G2124">
        <v>-204.05410000000001</v>
      </c>
      <c r="H2124" s="1">
        <v>3.8513230000000003E-6</v>
      </c>
      <c r="I2124">
        <v>286.48660000000001</v>
      </c>
      <c r="J2124">
        <v>-196.1764</v>
      </c>
      <c r="K2124">
        <v>1.106341</v>
      </c>
      <c r="L2124">
        <v>293.65609999999998</v>
      </c>
      <c r="M2124">
        <v>-0.4316294</v>
      </c>
      <c r="N2124">
        <v>0</v>
      </c>
      <c r="O2124">
        <v>-0.90193239999999997</v>
      </c>
      <c r="P2124">
        <v>-0.54885399999999995</v>
      </c>
      <c r="Q2124">
        <v>4.6497740000000003E-2</v>
      </c>
      <c r="R2124">
        <v>-0.83462389999999997</v>
      </c>
      <c r="S2124">
        <v>-2.294708</v>
      </c>
      <c r="T2124">
        <v>-0.3189263</v>
      </c>
      <c r="U2124">
        <v>-2.1112060000000001</v>
      </c>
      <c r="V2124">
        <v>0.13541320000000001</v>
      </c>
      <c r="W2124">
        <v>5.9582990000000002E-2</v>
      </c>
      <c r="X2124">
        <v>0.98899599999999999</v>
      </c>
      <c r="Y2124">
        <v>0.36752190000000001</v>
      </c>
      <c r="Z2124">
        <v>0.1002209</v>
      </c>
      <c r="AA2124">
        <v>0.92459910000000001</v>
      </c>
      <c r="AB2124">
        <v>18</v>
      </c>
      <c r="AC2124">
        <v>-7.8776999999999999</v>
      </c>
      <c r="AD2124">
        <v>-1.1063371486769999</v>
      </c>
      <c r="AE2124">
        <v>-7.16949999999997</v>
      </c>
      <c r="AF2124">
        <v>3.9682069012328398</v>
      </c>
      <c r="AG2124">
        <v>-1.1063371486769999</v>
      </c>
      <c r="AH2124">
        <v>9.7623925224875592</v>
      </c>
      <c r="AI2124">
        <v>95.993229968396903</v>
      </c>
      <c r="AJ2124">
        <v>67.879293769515996</v>
      </c>
      <c r="AK2124">
        <v>10.5959877151993</v>
      </c>
      <c r="AL2124">
        <v>86.584122893203698</v>
      </c>
      <c r="AM2124">
        <v>82.203548490228997</v>
      </c>
      <c r="AN2124">
        <v>0.99999997772378901</v>
      </c>
    </row>
    <row r="2125" spans="1:40" x14ac:dyDescent="0.25">
      <c r="A2125" t="str">
        <f>"20190312153929102"</f>
        <v>20190312153929102</v>
      </c>
      <c r="B2125" t="str">
        <f>"1552376369098349"</f>
        <v>1552376369098349</v>
      </c>
      <c r="C2125" t="s">
        <v>40</v>
      </c>
      <c r="D2125">
        <v>4.3085290000000001</v>
      </c>
      <c r="E2125">
        <v>0.59757159999999998</v>
      </c>
      <c r="F2125" t="s">
        <v>54</v>
      </c>
      <c r="G2125">
        <v>-204.2919</v>
      </c>
      <c r="H2125" s="1">
        <v>3.9711970000000003E-6</v>
      </c>
      <c r="I2125">
        <v>286.32159999999999</v>
      </c>
      <c r="J2125">
        <v>-196.2595</v>
      </c>
      <c r="K2125">
        <v>1.1062809999999901</v>
      </c>
      <c r="L2125">
        <v>293.50470000000001</v>
      </c>
      <c r="M2125">
        <v>-0.43885289999999999</v>
      </c>
      <c r="N2125">
        <v>0</v>
      </c>
      <c r="O2125">
        <v>-0.8984396</v>
      </c>
      <c r="P2125">
        <v>-0.55628379999999999</v>
      </c>
      <c r="Q2125">
        <v>4.6140019999999997E-2</v>
      </c>
      <c r="R2125">
        <v>-0.82971070000000002</v>
      </c>
      <c r="S2125">
        <v>-2.313339</v>
      </c>
      <c r="T2125">
        <v>-0.31536249999999999</v>
      </c>
      <c r="U2125">
        <v>-2.0906980000000002</v>
      </c>
      <c r="V2125">
        <v>0.13630400000000001</v>
      </c>
      <c r="W2125">
        <v>5.9215999999999998E-2</v>
      </c>
      <c r="X2125">
        <v>0.98889570000000004</v>
      </c>
      <c r="Y2125">
        <v>0.36837940000000002</v>
      </c>
      <c r="Z2125">
        <v>9.8922380000000004E-2</v>
      </c>
      <c r="AA2125">
        <v>0.92439760000000004</v>
      </c>
      <c r="AB2125">
        <v>18</v>
      </c>
      <c r="AC2125">
        <v>-8.0323999999999902</v>
      </c>
      <c r="AD2125">
        <v>-1.1062770288029999</v>
      </c>
      <c r="AE2125">
        <v>-7.18310000000002</v>
      </c>
      <c r="AF2125">
        <v>4.0223428956143801</v>
      </c>
      <c r="AG2125">
        <v>-1.1062770288029999</v>
      </c>
      <c r="AH2125">
        <v>9.8756061112863804</v>
      </c>
      <c r="AI2125">
        <v>95.923008043576999</v>
      </c>
      <c r="AJ2125">
        <v>67.838889898670502</v>
      </c>
      <c r="AK2125">
        <v>10.720573086343499</v>
      </c>
      <c r="AL2125">
        <v>86.605187175747702</v>
      </c>
      <c r="AM2125">
        <v>82.152111360942897</v>
      </c>
      <c r="AN2125">
        <v>1.00000001027524</v>
      </c>
    </row>
    <row r="2126" spans="1:40" x14ac:dyDescent="0.25">
      <c r="A2126" t="str">
        <f>"20190312153929125"</f>
        <v>20190312153929125</v>
      </c>
      <c r="B2126" t="str">
        <f>"1552376369117869"</f>
        <v>1552376369117869</v>
      </c>
      <c r="C2126" t="s">
        <v>40</v>
      </c>
      <c r="D2126">
        <v>4.3014700000000001</v>
      </c>
      <c r="E2126">
        <v>0.59731630000000002</v>
      </c>
      <c r="F2126" t="s">
        <v>54</v>
      </c>
      <c r="G2126">
        <v>-204.41540000000001</v>
      </c>
      <c r="H2126" s="1">
        <v>4.0310809999999999E-6</v>
      </c>
      <c r="I2126">
        <v>286.26280000000003</v>
      </c>
      <c r="J2126">
        <v>-196.35169999999999</v>
      </c>
      <c r="K2126">
        <v>1.106249</v>
      </c>
      <c r="L2126">
        <v>293.34030000000001</v>
      </c>
      <c r="M2126">
        <v>-0.4468664</v>
      </c>
      <c r="N2126">
        <v>0</v>
      </c>
      <c r="O2126">
        <v>-0.89448039999999995</v>
      </c>
      <c r="P2126">
        <v>-0.56399809999999995</v>
      </c>
      <c r="Q2126">
        <v>4.5505959999999998E-2</v>
      </c>
      <c r="R2126">
        <v>-0.82452139999999996</v>
      </c>
      <c r="S2126">
        <v>-2.3314819999999998</v>
      </c>
      <c r="T2126">
        <v>-0.31624560000000002</v>
      </c>
      <c r="U2126">
        <v>-2.0701900000000002</v>
      </c>
      <c r="V2126">
        <v>0.1366713</v>
      </c>
      <c r="W2126">
        <v>5.8585760000000001E-2</v>
      </c>
      <c r="X2126">
        <v>0.9888825</v>
      </c>
      <c r="Y2126">
        <v>0.36818269999999997</v>
      </c>
      <c r="Z2126">
        <v>9.895437E-2</v>
      </c>
      <c r="AA2126">
        <v>0.92447259999999998</v>
      </c>
      <c r="AB2126">
        <v>18</v>
      </c>
      <c r="AC2126">
        <v>-8.0637000000000096</v>
      </c>
      <c r="AD2126">
        <v>-1.1062449689189999</v>
      </c>
      <c r="AE2126">
        <v>-7.0774999999999801</v>
      </c>
      <c r="AF2126">
        <v>4.0079521133219496</v>
      </c>
      <c r="AG2126">
        <v>-1.1062449689189999</v>
      </c>
      <c r="AH2126">
        <v>9.8306414770827004</v>
      </c>
      <c r="AI2126">
        <v>95.948910541049898</v>
      </c>
      <c r="AJ2126">
        <v>67.819279861095296</v>
      </c>
      <c r="AK2126">
        <v>10.673751445713799</v>
      </c>
      <c r="AL2126">
        <v>86.641359925170605</v>
      </c>
      <c r="AM2126">
        <v>82.131124407568393</v>
      </c>
      <c r="AN2126">
        <v>0.99999996716235795</v>
      </c>
    </row>
    <row r="2127" spans="1:40" x14ac:dyDescent="0.25">
      <c r="A2127" t="str">
        <f>"20190312153929151"</f>
        <v>20190312153929151</v>
      </c>
      <c r="B2127" t="str">
        <f>"1552376369137668"</f>
        <v>1552376369137668</v>
      </c>
      <c r="C2127" t="s">
        <v>40</v>
      </c>
      <c r="D2127">
        <v>4.3191579999999998</v>
      </c>
      <c r="E2127">
        <v>0.59707169999999998</v>
      </c>
      <c r="F2127" t="s">
        <v>54</v>
      </c>
      <c r="G2127">
        <v>-204.51230000000001</v>
      </c>
      <c r="H2127" s="1">
        <v>4.0774579999999996E-6</v>
      </c>
      <c r="I2127">
        <v>286.22410000000002</v>
      </c>
      <c r="J2127">
        <v>-196.45189999999999</v>
      </c>
      <c r="K2127">
        <v>1.106228</v>
      </c>
      <c r="L2127">
        <v>293.166</v>
      </c>
      <c r="M2127">
        <v>-0.45553870000000002</v>
      </c>
      <c r="N2127">
        <v>0</v>
      </c>
      <c r="O2127">
        <v>-0.89009490000000002</v>
      </c>
      <c r="P2127">
        <v>-0.57255979999999995</v>
      </c>
      <c r="Q2127">
        <v>4.4606430000000002E-2</v>
      </c>
      <c r="R2127">
        <v>-0.81864879999999995</v>
      </c>
      <c r="S2127">
        <v>-2.3495330000000001</v>
      </c>
      <c r="T2127">
        <v>-0.31850119999999998</v>
      </c>
      <c r="U2127">
        <v>-2.0488590000000002</v>
      </c>
      <c r="V2127">
        <v>0.1373375</v>
      </c>
      <c r="W2127">
        <v>5.7689869999999997E-2</v>
      </c>
      <c r="X2127">
        <v>0.98884289999999997</v>
      </c>
      <c r="Y2127">
        <v>0.3673939</v>
      </c>
      <c r="Z2127">
        <v>9.9375469999999994E-2</v>
      </c>
      <c r="AA2127">
        <v>0.92474109999999998</v>
      </c>
      <c r="AB2127">
        <v>18</v>
      </c>
      <c r="AC2127">
        <v>-8.0604000000000102</v>
      </c>
      <c r="AD2127">
        <v>-1.1062239225419901</v>
      </c>
      <c r="AE2127">
        <v>-6.9418999999999702</v>
      </c>
      <c r="AF2127">
        <v>3.96972012529233</v>
      </c>
      <c r="AG2127">
        <v>-1.1062239225419901</v>
      </c>
      <c r="AH2127">
        <v>9.7464362340513997</v>
      </c>
      <c r="AI2127">
        <v>96.000653327707894</v>
      </c>
      <c r="AJ2127">
        <v>67.838949233978198</v>
      </c>
      <c r="AK2127">
        <v>10.581844286530799</v>
      </c>
      <c r="AL2127">
        <v>86.692777707734507</v>
      </c>
      <c r="AM2127">
        <v>82.092939145588602</v>
      </c>
      <c r="AN2127">
        <v>0.99999999544363805</v>
      </c>
    </row>
    <row r="2128" spans="1:40" x14ac:dyDescent="0.25">
      <c r="A2128" t="str">
        <f>"20190312153929172"</f>
        <v>20190312153929172</v>
      </c>
      <c r="B2128" t="str">
        <f>"1552376369167924"</f>
        <v>1552376369167924</v>
      </c>
      <c r="C2128" t="s">
        <v>40</v>
      </c>
      <c r="D2128">
        <v>4.3350849999999896</v>
      </c>
      <c r="E2128">
        <v>0.59668880000000002</v>
      </c>
      <c r="F2128" t="s">
        <v>54</v>
      </c>
      <c r="G2128">
        <v>-204.5677</v>
      </c>
      <c r="H2128" s="1">
        <v>4.1017299999999996E-6</v>
      </c>
      <c r="I2128">
        <v>286.22739999999999</v>
      </c>
      <c r="J2128">
        <v>-196.5384</v>
      </c>
      <c r="K2128">
        <v>1.1062069999999999</v>
      </c>
      <c r="L2128">
        <v>293.0188</v>
      </c>
      <c r="M2128">
        <v>-0.46298149999999899</v>
      </c>
      <c r="N2128">
        <v>0</v>
      </c>
      <c r="O2128">
        <v>-0.88624609999999904</v>
      </c>
      <c r="P2128">
        <v>-0.58076569999999905</v>
      </c>
      <c r="Q2128">
        <v>4.4198220000000003E-2</v>
      </c>
      <c r="R2128">
        <v>-0.81287030000000005</v>
      </c>
      <c r="S2128">
        <v>-2.368973</v>
      </c>
      <c r="T2128">
        <v>-0.3229013</v>
      </c>
      <c r="U2128">
        <v>-2.0253299999999999</v>
      </c>
      <c r="V2128">
        <v>0.1389869</v>
      </c>
      <c r="W2128">
        <v>5.7270950000000001E-2</v>
      </c>
      <c r="X2128">
        <v>0.98863679999999998</v>
      </c>
      <c r="Y2128">
        <v>0.36855270000000001</v>
      </c>
      <c r="Z2128">
        <v>0.1005399</v>
      </c>
      <c r="AA2128">
        <v>0.92415400000000003</v>
      </c>
      <c r="AB2128">
        <v>17</v>
      </c>
      <c r="AC2128">
        <v>-8.0292999999999992</v>
      </c>
      <c r="AD2128">
        <v>-1.1062028982699901</v>
      </c>
      <c r="AE2128">
        <v>-6.7914000000000003</v>
      </c>
      <c r="AF2128">
        <v>3.9286030862683701</v>
      </c>
      <c r="AG2128">
        <v>-1.1062028982699901</v>
      </c>
      <c r="AH2128">
        <v>9.6307584785534193</v>
      </c>
      <c r="AI2128">
        <v>96.070767085351505</v>
      </c>
      <c r="AJ2128">
        <v>67.808347257487299</v>
      </c>
      <c r="AK2128">
        <v>10.459881258112199</v>
      </c>
      <c r="AL2128">
        <v>86.716819891008996</v>
      </c>
      <c r="AM2128">
        <v>81.997552899302306</v>
      </c>
      <c r="AN2128">
        <v>1.0000000211998701</v>
      </c>
    </row>
    <row r="2129" spans="1:40" x14ac:dyDescent="0.25">
      <c r="A2129" t="str">
        <f>"20190312153929192"</f>
        <v>20190312153929192</v>
      </c>
      <c r="B2129" t="str">
        <f>"1552376369188420"</f>
        <v>1552376369188420</v>
      </c>
      <c r="C2129" t="s">
        <v>40</v>
      </c>
      <c r="D2129">
        <v>4.3297790000000003</v>
      </c>
      <c r="E2129">
        <v>0.59637249999999997</v>
      </c>
      <c r="F2129" t="s">
        <v>54</v>
      </c>
      <c r="G2129">
        <v>-204.54400000000001</v>
      </c>
      <c r="H2129" s="1">
        <v>4.0856149999999997E-6</v>
      </c>
      <c r="I2129">
        <v>286.29160000000002</v>
      </c>
      <c r="J2129">
        <v>-196.6189</v>
      </c>
      <c r="K2129">
        <v>1.1061719999999999</v>
      </c>
      <c r="L2129">
        <v>292.88440000000003</v>
      </c>
      <c r="M2129">
        <v>-0.46986349999999999</v>
      </c>
      <c r="N2129">
        <v>0</v>
      </c>
      <c r="O2129">
        <v>-0.88261650000000003</v>
      </c>
      <c r="P2129">
        <v>-0.58930530000000003</v>
      </c>
      <c r="Q2129">
        <v>4.2593649999999997E-2</v>
      </c>
      <c r="R2129">
        <v>-0.80678680000000003</v>
      </c>
      <c r="S2129">
        <v>-2.385284</v>
      </c>
      <c r="T2129">
        <v>-0.32959290000000002</v>
      </c>
      <c r="U2129">
        <v>-2.0043639999999998</v>
      </c>
      <c r="V2129">
        <v>0.14166609999999999</v>
      </c>
      <c r="W2129">
        <v>5.5640389999999998E-2</v>
      </c>
      <c r="X2129">
        <v>0.98834960000000005</v>
      </c>
      <c r="Y2129">
        <v>0.36902610000000002</v>
      </c>
      <c r="Z2129">
        <v>0.1024123</v>
      </c>
      <c r="AA2129">
        <v>0.92375940000000001</v>
      </c>
      <c r="AB2129">
        <v>17</v>
      </c>
      <c r="AC2129">
        <v>-7.9251000000000102</v>
      </c>
      <c r="AD2129">
        <v>-1.1061679143849901</v>
      </c>
      <c r="AE2129">
        <v>-6.5928000000000102</v>
      </c>
      <c r="AF2129">
        <v>3.8531647438207699</v>
      </c>
      <c r="AG2129">
        <v>-1.1061679143849901</v>
      </c>
      <c r="AH2129">
        <v>9.4350280458921691</v>
      </c>
      <c r="AI2129">
        <v>96.194537632271803</v>
      </c>
      <c r="AJ2129">
        <v>67.785419697127907</v>
      </c>
      <c r="AK2129">
        <v>10.2513530923781</v>
      </c>
      <c r="AL2129">
        <v>86.810393387412404</v>
      </c>
      <c r="AM2129">
        <v>81.843010452239</v>
      </c>
      <c r="AN2129">
        <v>1.00000003435436</v>
      </c>
    </row>
    <row r="2130" spans="1:40" x14ac:dyDescent="0.25">
      <c r="A2130" t="str">
        <f>"20190312153929214"</f>
        <v>20190312153929214</v>
      </c>
      <c r="B2130" t="str">
        <f>"1552376369207940"</f>
        <v>1552376369207940</v>
      </c>
      <c r="C2130" t="s">
        <v>40</v>
      </c>
      <c r="D2130">
        <v>4.2453900000000004</v>
      </c>
      <c r="E2130">
        <v>0.59610289999999999</v>
      </c>
      <c r="F2130" t="s">
        <v>54</v>
      </c>
      <c r="G2130">
        <v>-204.48699999999999</v>
      </c>
      <c r="H2130" s="1">
        <v>4.0510760000000002E-6</v>
      </c>
      <c r="I2130">
        <v>286.39769999999999</v>
      </c>
      <c r="J2130">
        <v>-196.7124</v>
      </c>
      <c r="K2130">
        <v>1.1061350000000001</v>
      </c>
      <c r="L2130">
        <v>292.73160000000001</v>
      </c>
      <c r="M2130">
        <v>-0.4777748</v>
      </c>
      <c r="N2130">
        <v>0</v>
      </c>
      <c r="O2130">
        <v>-0.87835909999999995</v>
      </c>
      <c r="P2130">
        <v>-0.59912500000000002</v>
      </c>
      <c r="Q2130">
        <v>3.9005699999999997E-2</v>
      </c>
      <c r="R2130">
        <v>-0.79970509999999995</v>
      </c>
      <c r="S2130">
        <v>-2.4029240000000001</v>
      </c>
      <c r="T2130">
        <v>-0.3378236</v>
      </c>
      <c r="U2130">
        <v>-1.9810490000000001</v>
      </c>
      <c r="V2130">
        <v>0.14474809999999999</v>
      </c>
      <c r="W2130">
        <v>5.2020249999999997E-2</v>
      </c>
      <c r="X2130">
        <v>0.98810010000000004</v>
      </c>
      <c r="Y2130">
        <v>0.36912850000000003</v>
      </c>
      <c r="Z2130">
        <v>0.10470019999999999</v>
      </c>
      <c r="AA2130">
        <v>0.92346200000000001</v>
      </c>
      <c r="AB2130">
        <v>17</v>
      </c>
      <c r="AC2130">
        <v>-7.7745999999999897</v>
      </c>
      <c r="AD2130">
        <v>-1.1061309489239901</v>
      </c>
      <c r="AE2130">
        <v>-6.3339000000000203</v>
      </c>
      <c r="AF2130">
        <v>3.7574089997683302</v>
      </c>
      <c r="AG2130">
        <v>-1.1061309489239901</v>
      </c>
      <c r="AH2130">
        <v>9.1674132755732796</v>
      </c>
      <c r="AI2130">
        <v>96.370419617933294</v>
      </c>
      <c r="AJ2130">
        <v>67.712954658551297</v>
      </c>
      <c r="AK2130">
        <v>9.9691079958472102</v>
      </c>
      <c r="AL2130">
        <v>87.018113199695804</v>
      </c>
      <c r="AM2130">
        <v>81.665943039795295</v>
      </c>
      <c r="AN2130">
        <v>0.99999996324184004</v>
      </c>
    </row>
    <row r="2131" spans="1:40" x14ac:dyDescent="0.25">
      <c r="A2131" t="str">
        <f>"20190312153929237"</f>
        <v>20190312153929237</v>
      </c>
      <c r="B2131" t="str">
        <f>"1552376369228436"</f>
        <v>1552376369228436</v>
      </c>
      <c r="C2131" t="s">
        <v>40</v>
      </c>
      <c r="D2131">
        <v>4.2727879999999896</v>
      </c>
      <c r="E2131">
        <v>0.59587409999999996</v>
      </c>
      <c r="F2131" t="s">
        <v>54</v>
      </c>
      <c r="G2131">
        <v>-204.4074</v>
      </c>
      <c r="H2131" s="1">
        <v>4.0036799999999998E-6</v>
      </c>
      <c r="I2131">
        <v>286.53570000000002</v>
      </c>
      <c r="J2131">
        <v>-196.8091</v>
      </c>
      <c r="K2131">
        <v>1.106098</v>
      </c>
      <c r="L2131">
        <v>292.57690000000002</v>
      </c>
      <c r="M2131">
        <v>-0.48588199999999998</v>
      </c>
      <c r="N2131">
        <v>0</v>
      </c>
      <c r="O2131">
        <v>-0.87390040000000002</v>
      </c>
      <c r="P2131">
        <v>-0.60902140000000005</v>
      </c>
      <c r="Q2131">
        <v>3.5616679999999998E-2</v>
      </c>
      <c r="R2131">
        <v>-0.79235409999999995</v>
      </c>
      <c r="S2131">
        <v>-2.4243929999999998</v>
      </c>
      <c r="T2131">
        <v>-0.34849950000000002</v>
      </c>
      <c r="U2131">
        <v>-1.9520869999999999</v>
      </c>
      <c r="V2131">
        <v>0.14778050000000001</v>
      </c>
      <c r="W2131">
        <v>4.8597559999999998E-2</v>
      </c>
      <c r="X2131">
        <v>0.98782550000000002</v>
      </c>
      <c r="Y2131">
        <v>0.37092140000000001</v>
      </c>
      <c r="Z2131">
        <v>0.1077661</v>
      </c>
      <c r="AA2131">
        <v>0.92239020000000005</v>
      </c>
      <c r="AB2131">
        <v>17</v>
      </c>
      <c r="AC2131">
        <v>-7.5982999999999903</v>
      </c>
      <c r="AD2131">
        <v>-1.1060939963200001</v>
      </c>
      <c r="AE2131">
        <v>-6.0411999999999999</v>
      </c>
      <c r="AF2131">
        <v>3.6577579833374498</v>
      </c>
      <c r="AG2131">
        <v>-1.1060939963200001</v>
      </c>
      <c r="AH2131">
        <v>8.8572581081695496</v>
      </c>
      <c r="AI2131">
        <v>96.584218374829504</v>
      </c>
      <c r="AJ2131">
        <v>67.560975219901806</v>
      </c>
      <c r="AK2131">
        <v>9.6464324280066993</v>
      </c>
      <c r="AL2131">
        <v>87.214467764607406</v>
      </c>
      <c r="AM2131">
        <v>81.491547288082501</v>
      </c>
      <c r="AN2131">
        <v>1.00000000873422</v>
      </c>
    </row>
    <row r="2132" spans="1:40" x14ac:dyDescent="0.25">
      <c r="A2132" t="str">
        <f>"20190312153929259"</f>
        <v>20190312153929259</v>
      </c>
      <c r="B2132" t="str">
        <f>"1552376369247956"</f>
        <v>1552376369247956</v>
      </c>
      <c r="C2132" t="s">
        <v>40</v>
      </c>
      <c r="D2132">
        <v>4.242038</v>
      </c>
      <c r="E2132">
        <v>0.58854289999999998</v>
      </c>
      <c r="F2132" t="s">
        <v>54</v>
      </c>
      <c r="G2132">
        <v>-204.40610000000001</v>
      </c>
      <c r="H2132" s="1">
        <v>3.9966570000000001E-6</v>
      </c>
      <c r="I2132">
        <v>286.6096</v>
      </c>
      <c r="J2132">
        <v>-196.9032</v>
      </c>
      <c r="K2132">
        <v>1.1060730000000001</v>
      </c>
      <c r="L2132">
        <v>292.42989999999998</v>
      </c>
      <c r="M2132">
        <v>-0.49369000000000002</v>
      </c>
      <c r="N2132">
        <v>0</v>
      </c>
      <c r="O2132">
        <v>-0.86951319999999999</v>
      </c>
      <c r="P2132">
        <v>-0.61822349999999904</v>
      </c>
      <c r="Q2132">
        <v>3.4010190000000003E-2</v>
      </c>
      <c r="R2132">
        <v>-0.78526660000000004</v>
      </c>
      <c r="S2132">
        <v>-2.4465330000000001</v>
      </c>
      <c r="T2132">
        <v>-0.35620560000000001</v>
      </c>
      <c r="U2132">
        <v>-1.9217219999999999</v>
      </c>
      <c r="V2132">
        <v>0.15040770000000001</v>
      </c>
      <c r="W2132">
        <v>4.696007E-2</v>
      </c>
      <c r="X2132">
        <v>0.9875081</v>
      </c>
      <c r="Y2132">
        <v>0.37351849999999998</v>
      </c>
      <c r="Z2132">
        <v>0.1099359</v>
      </c>
      <c r="AA2132">
        <v>0.92108520000000005</v>
      </c>
      <c r="AB2132">
        <v>17</v>
      </c>
      <c r="AC2132">
        <v>-7.5029000000000101</v>
      </c>
      <c r="AD2132">
        <v>-1.1060690033429901</v>
      </c>
      <c r="AE2132">
        <v>-5.8202999999999703</v>
      </c>
      <c r="AF2132">
        <v>3.6019724089416401</v>
      </c>
      <c r="AG2132">
        <v>-1.1060690033429901</v>
      </c>
      <c r="AH2132">
        <v>8.6485448372930591</v>
      </c>
      <c r="AI2132">
        <v>96.733212428115294</v>
      </c>
      <c r="AJ2132">
        <v>67.389099380307599</v>
      </c>
      <c r="AK2132">
        <v>9.4337119776682599</v>
      </c>
      <c r="AL2132">
        <v>87.308396251079799</v>
      </c>
      <c r="AM2132">
        <v>81.339818274701699</v>
      </c>
      <c r="AN2132">
        <v>0.99999998597965201</v>
      </c>
    </row>
    <row r="2133" spans="1:40" x14ac:dyDescent="0.25">
      <c r="A2133" t="str">
        <f>"20190312153929283"</f>
        <v>20190312153929283</v>
      </c>
      <c r="B2133" t="str">
        <f>"1552376369278213"</f>
        <v>1552376369278213</v>
      </c>
      <c r="C2133" t="s">
        <v>40</v>
      </c>
      <c r="D2133">
        <v>4.2899979999999998</v>
      </c>
      <c r="E2133">
        <v>0.58506689999999995</v>
      </c>
      <c r="F2133" t="s">
        <v>54</v>
      </c>
      <c r="G2133">
        <v>-204.97069999999999</v>
      </c>
      <c r="H2133" s="1">
        <v>4.299995E-6</v>
      </c>
      <c r="I2133">
        <v>286.00389999999999</v>
      </c>
      <c r="J2133">
        <v>-197</v>
      </c>
      <c r="K2133">
        <v>1.106058</v>
      </c>
      <c r="L2133">
        <v>292.2817</v>
      </c>
      <c r="M2133">
        <v>-0.50165099999999996</v>
      </c>
      <c r="N2133">
        <v>0</v>
      </c>
      <c r="O2133">
        <v>-0.86494419999999905</v>
      </c>
      <c r="P2133">
        <v>-0.62748660000000001</v>
      </c>
      <c r="Q2133">
        <v>3.3699220000000002E-2</v>
      </c>
      <c r="R2133">
        <v>-0.77789779999999997</v>
      </c>
      <c r="S2133">
        <v>-2.4211879999999999</v>
      </c>
      <c r="T2133">
        <v>-0.33194580000000001</v>
      </c>
      <c r="U2133">
        <v>-1.928528</v>
      </c>
      <c r="V2133">
        <v>0.15303849999999999</v>
      </c>
      <c r="W2133">
        <v>4.6619510000000003E-2</v>
      </c>
      <c r="X2133">
        <v>0.98712</v>
      </c>
      <c r="Y2133">
        <v>0.35941109999999998</v>
      </c>
      <c r="Z2133">
        <v>0.1022908</v>
      </c>
      <c r="AA2133">
        <v>0.92755609999999999</v>
      </c>
      <c r="AB2133">
        <v>17</v>
      </c>
      <c r="AC2133">
        <v>-7.9706999999999901</v>
      </c>
      <c r="AD2133">
        <v>-1.1060537000049999</v>
      </c>
      <c r="AE2133">
        <v>-6.2778000000000098</v>
      </c>
      <c r="AF2133">
        <v>3.7013675763831499</v>
      </c>
      <c r="AG2133">
        <v>-1.1060537000049999</v>
      </c>
      <c r="AH2133">
        <v>9.3187409705416293</v>
      </c>
      <c r="AI2133">
        <v>96.2947599457721</v>
      </c>
      <c r="AJ2133">
        <v>68.337217034243807</v>
      </c>
      <c r="AK2133">
        <v>10.0877356229654</v>
      </c>
      <c r="AL2133">
        <v>87.327930408448395</v>
      </c>
      <c r="AM2133">
        <v>81.187288836667193</v>
      </c>
      <c r="AN2133">
        <v>1.0000000277974399</v>
      </c>
    </row>
    <row r="2134" spans="1:40" x14ac:dyDescent="0.25">
      <c r="A2134" t="str">
        <f>"20190312153929303"</f>
        <v>20190312153929303</v>
      </c>
      <c r="B2134" t="str">
        <f>"1552376369297732"</f>
        <v>1552376369297732</v>
      </c>
      <c r="C2134" t="s">
        <v>40</v>
      </c>
      <c r="D2134">
        <v>4.413678</v>
      </c>
      <c r="E2134">
        <v>0.58466929999999995</v>
      </c>
      <c r="F2134" t="s">
        <v>54</v>
      </c>
      <c r="G2134">
        <v>-204.8862</v>
      </c>
      <c r="H2134" s="1">
        <v>4.2592860000000001E-6</v>
      </c>
      <c r="I2134">
        <v>286.04059999999998</v>
      </c>
      <c r="J2134">
        <v>-197.09479999999999</v>
      </c>
      <c r="K2134">
        <v>1.10605</v>
      </c>
      <c r="L2134">
        <v>292.1397</v>
      </c>
      <c r="M2134">
        <v>-0.50936629999999905</v>
      </c>
      <c r="N2134">
        <v>0</v>
      </c>
      <c r="O2134">
        <v>-0.86042319999999906</v>
      </c>
      <c r="P2134">
        <v>-0.63610719999999898</v>
      </c>
      <c r="Q2134">
        <v>3.4220970000000003E-2</v>
      </c>
      <c r="R2134">
        <v>-0.77084189999999997</v>
      </c>
      <c r="S2134">
        <v>-2.422485</v>
      </c>
      <c r="T2134">
        <v>-0.33976149999999999</v>
      </c>
      <c r="U2134">
        <v>-1.9171750000000001</v>
      </c>
      <c r="V2134">
        <v>0.1552181</v>
      </c>
      <c r="W2134">
        <v>4.7117260000000001E-2</v>
      </c>
      <c r="X2134">
        <v>0.98675599999999997</v>
      </c>
      <c r="Y2134">
        <v>0.35376649999999998</v>
      </c>
      <c r="Z2134">
        <v>0.104369</v>
      </c>
      <c r="AA2134">
        <v>0.92949250000000005</v>
      </c>
      <c r="AB2134">
        <v>17</v>
      </c>
      <c r="AC2134">
        <v>-7.7914000000000003</v>
      </c>
      <c r="AD2134">
        <v>-1.1060457407140001</v>
      </c>
      <c r="AE2134">
        <v>-6.0991000000000204</v>
      </c>
      <c r="AF2134">
        <v>3.5532192628793702</v>
      </c>
      <c r="AG2134">
        <v>-1.1060457407140001</v>
      </c>
      <c r="AH2134">
        <v>9.1037354091342895</v>
      </c>
      <c r="AI2134">
        <v>96.457170435961402</v>
      </c>
      <c r="AJ2134">
        <v>68.679127288364</v>
      </c>
      <c r="AK2134">
        <v>9.8349734473548107</v>
      </c>
      <c r="AL2134">
        <v>87.299380117655602</v>
      </c>
      <c r="AM2134">
        <v>81.060545202664898</v>
      </c>
      <c r="AN2134">
        <v>1.00000004914675</v>
      </c>
    </row>
    <row r="2135" spans="1:40" x14ac:dyDescent="0.25">
      <c r="A2135" t="str">
        <f>"20190312153929327"</f>
        <v>20190312153929327</v>
      </c>
      <c r="B2135" t="str">
        <f>"1552376369318229"</f>
        <v>1552376369318229</v>
      </c>
      <c r="C2135" t="s">
        <v>40</v>
      </c>
      <c r="D2135">
        <v>4.584962</v>
      </c>
      <c r="E2135">
        <v>0.61082000000000003</v>
      </c>
      <c r="F2135" t="s">
        <v>54</v>
      </c>
      <c r="G2135">
        <v>-205.001</v>
      </c>
      <c r="H2135" s="1">
        <v>4.3126470000000002E-6</v>
      </c>
      <c r="I2135">
        <v>286.0127</v>
      </c>
      <c r="J2135">
        <v>-197.19560000000001</v>
      </c>
      <c r="K2135">
        <v>1.1060460000000001</v>
      </c>
      <c r="L2135">
        <v>291.99180000000001</v>
      </c>
      <c r="M2135">
        <v>-0.51749609999999902</v>
      </c>
      <c r="N2135">
        <v>0</v>
      </c>
      <c r="O2135">
        <v>-0.85555800000000004</v>
      </c>
      <c r="P2135">
        <v>-0.64504810000000001</v>
      </c>
      <c r="Q2135">
        <v>3.534499E-2</v>
      </c>
      <c r="R2135">
        <v>-0.76332429999999996</v>
      </c>
      <c r="S2135">
        <v>-2.4416500000000001</v>
      </c>
      <c r="T2135">
        <v>-0.34157880000000002</v>
      </c>
      <c r="U2135">
        <v>-1.8921809999999999</v>
      </c>
      <c r="V2135">
        <v>0.157410299999999</v>
      </c>
      <c r="W2135">
        <v>4.8215599999999997E-2</v>
      </c>
      <c r="X2135">
        <v>0.98635550000000005</v>
      </c>
      <c r="Y2135">
        <v>0.35435299999999997</v>
      </c>
      <c r="Z2135">
        <v>0.1045826</v>
      </c>
      <c r="AA2135">
        <v>0.92924510000000005</v>
      </c>
      <c r="AB2135">
        <v>17</v>
      </c>
      <c r="AC2135">
        <v>-7.8053999999999597</v>
      </c>
      <c r="AD2135">
        <v>-1.1060416873529999</v>
      </c>
      <c r="AE2135">
        <v>-5.9791000000000096</v>
      </c>
      <c r="AF2135">
        <v>3.5394143527530302</v>
      </c>
      <c r="AG2135">
        <v>-1.1060416873529999</v>
      </c>
      <c r="AH2135">
        <v>9.0413198621244604</v>
      </c>
      <c r="AI2135">
        <v>96.498791406665703</v>
      </c>
      <c r="AJ2135">
        <v>68.621098605433403</v>
      </c>
      <c r="AK2135">
        <v>9.7722181219968292</v>
      </c>
      <c r="AL2135">
        <v>87.236378009560696</v>
      </c>
      <c r="AM2135">
        <v>80.932752608748402</v>
      </c>
      <c r="AN2135">
        <v>0.99999995950484899</v>
      </c>
    </row>
    <row r="2136" spans="1:40" x14ac:dyDescent="0.25">
      <c r="A2136" t="str">
        <f>"20190312153929350"</f>
        <v>20190312153929350</v>
      </c>
      <c r="B2136" t="str">
        <f>"1552376369337749"</f>
        <v>1552376369337749</v>
      </c>
      <c r="C2136" t="s">
        <v>40</v>
      </c>
      <c r="D2136">
        <v>4.4899820000000004</v>
      </c>
      <c r="E2136">
        <v>0.63110200000000005</v>
      </c>
      <c r="F2136" t="s">
        <v>54</v>
      </c>
      <c r="G2136">
        <v>-203.37020000000001</v>
      </c>
      <c r="H2136" s="1">
        <v>3.4227260000000002E-6</v>
      </c>
      <c r="I2136">
        <v>287.92</v>
      </c>
      <c r="J2136">
        <v>-197.30160000000001</v>
      </c>
      <c r="K2136">
        <v>1.1060289999999999</v>
      </c>
      <c r="L2136">
        <v>291.83969999999999</v>
      </c>
      <c r="M2136">
        <v>-0.52597050000000001</v>
      </c>
      <c r="N2136">
        <v>0</v>
      </c>
      <c r="O2136">
        <v>-0.85037450000000003</v>
      </c>
      <c r="P2136">
        <v>-0.65396809999999905</v>
      </c>
      <c r="Q2136">
        <v>3.6665339999999998E-2</v>
      </c>
      <c r="R2136">
        <v>-0.75563340000000001</v>
      </c>
      <c r="S2136">
        <v>-2.6267550000000002</v>
      </c>
      <c r="T2136">
        <v>-0.47052529999999998</v>
      </c>
      <c r="U2136">
        <v>-1.732208</v>
      </c>
      <c r="V2136">
        <v>0.15924569999999999</v>
      </c>
      <c r="W2136">
        <v>4.9511510000000002E-2</v>
      </c>
      <c r="X2136">
        <v>0.98599669999999895</v>
      </c>
      <c r="Y2136">
        <v>0.41061829999999999</v>
      </c>
      <c r="Z2136">
        <v>0.14282810000000001</v>
      </c>
      <c r="AA2136">
        <v>0.9005514</v>
      </c>
      <c r="AB2136">
        <v>17</v>
      </c>
      <c r="AC2136">
        <v>-6.0686</v>
      </c>
      <c r="AD2136">
        <v>-1.106025577274</v>
      </c>
      <c r="AE2136">
        <v>-3.91969999999997</v>
      </c>
      <c r="AF2136">
        <v>3.0282961144637199</v>
      </c>
      <c r="AG2136">
        <v>-1.106025577274</v>
      </c>
      <c r="AH2136">
        <v>6.3763779589734</v>
      </c>
      <c r="AI2136">
        <v>98.904939816017304</v>
      </c>
      <c r="AJ2136">
        <v>64.595826144689497</v>
      </c>
      <c r="AK2136">
        <v>7.1450728344882704</v>
      </c>
      <c r="AL2136">
        <v>87.162039248541006</v>
      </c>
      <c r="AM2136">
        <v>80.825534695567896</v>
      </c>
      <c r="AN2136">
        <v>1.0000000375009199</v>
      </c>
    </row>
    <row r="2137" spans="1:40" x14ac:dyDescent="0.25">
      <c r="A2137" t="str">
        <f>"20190312153929372"</f>
        <v>20190312153929372</v>
      </c>
      <c r="B2137" t="str">
        <f>"1552376369368005"</f>
        <v>1552376369368005</v>
      </c>
      <c r="C2137" t="s">
        <v>40</v>
      </c>
      <c r="D2137">
        <v>4.6479200000000001</v>
      </c>
      <c r="E2137">
        <v>0.69545389999999996</v>
      </c>
      <c r="F2137" t="s">
        <v>54</v>
      </c>
      <c r="G2137">
        <v>-203.29480000000001</v>
      </c>
      <c r="H2137" s="1">
        <v>3.3487120000000001E-6</v>
      </c>
      <c r="I2137">
        <v>288.38400000000001</v>
      </c>
      <c r="J2137">
        <v>-197.40270000000001</v>
      </c>
      <c r="K2137">
        <v>1.1060019999999999</v>
      </c>
      <c r="L2137">
        <v>291.6977</v>
      </c>
      <c r="M2137">
        <v>-0.53399399999999997</v>
      </c>
      <c r="N2137">
        <v>0</v>
      </c>
      <c r="O2137">
        <v>-0.84535879999999997</v>
      </c>
      <c r="P2137">
        <v>-0.66192459999999997</v>
      </c>
      <c r="Q2137">
        <v>3.6088849999999999E-2</v>
      </c>
      <c r="R2137">
        <v>-0.74870119999999996</v>
      </c>
      <c r="S2137">
        <v>-2.77034</v>
      </c>
      <c r="T2137">
        <v>-0.51125500000000001</v>
      </c>
      <c r="U2137">
        <v>-1.5973820000000001</v>
      </c>
      <c r="V2137">
        <v>0.16032850000000001</v>
      </c>
      <c r="W2137">
        <v>4.8918099999999999E-2</v>
      </c>
      <c r="X2137">
        <v>0.98585080000000003</v>
      </c>
      <c r="Y2137">
        <v>0.45380910000000002</v>
      </c>
      <c r="Z2137">
        <v>0.1541583</v>
      </c>
      <c r="AA2137">
        <v>0.87766309999999903</v>
      </c>
      <c r="AB2137">
        <v>17</v>
      </c>
      <c r="AC2137">
        <v>-5.8920999999999903</v>
      </c>
      <c r="AD2137">
        <v>-1.105998651288</v>
      </c>
      <c r="AE2137">
        <v>-3.3136999999999799</v>
      </c>
      <c r="AF2137">
        <v>3.1280620140330302</v>
      </c>
      <c r="AG2137">
        <v>-1.105998651288</v>
      </c>
      <c r="AH2137">
        <v>5.7931900213791501</v>
      </c>
      <c r="AI2137">
        <v>99.536025562000404</v>
      </c>
      <c r="AJ2137">
        <v>61.632949222905403</v>
      </c>
      <c r="AK2137">
        <v>6.6760059619576699</v>
      </c>
      <c r="AL2137">
        <v>87.196080293135296</v>
      </c>
      <c r="AM2137">
        <v>80.762880611622194</v>
      </c>
      <c r="AN2137">
        <v>1.0000000041402499</v>
      </c>
    </row>
    <row r="2138" spans="1:40" x14ac:dyDescent="0.25">
      <c r="A2138" t="str">
        <f>"20190312153929393"</f>
        <v>20190312153929393</v>
      </c>
      <c r="B2138" t="str">
        <f>"1552376369387528"</f>
        <v>1552376369387528</v>
      </c>
      <c r="C2138" t="s">
        <v>40</v>
      </c>
      <c r="D2138">
        <v>4.6725570000000003</v>
      </c>
      <c r="E2138">
        <v>0.69970600000000005</v>
      </c>
      <c r="F2138" t="s">
        <v>54</v>
      </c>
      <c r="G2138">
        <v>-201.50399999999999</v>
      </c>
      <c r="H2138" s="1">
        <v>2.3822790000000001E-6</v>
      </c>
      <c r="I2138">
        <v>290.1046</v>
      </c>
      <c r="J2138">
        <v>-197.49529999999999</v>
      </c>
      <c r="K2138">
        <v>1.1059669999999999</v>
      </c>
      <c r="L2138">
        <v>291.5702</v>
      </c>
      <c r="M2138">
        <v>-0.54129729999999998</v>
      </c>
      <c r="N2138">
        <v>0</v>
      </c>
      <c r="O2138">
        <v>-0.84070100000000003</v>
      </c>
      <c r="P2138">
        <v>-0.66946289999999997</v>
      </c>
      <c r="Q2138">
        <v>3.6477990000000002E-2</v>
      </c>
      <c r="R2138">
        <v>-0.74194959999999999</v>
      </c>
      <c r="S2138">
        <v>-3.1813509999999998</v>
      </c>
      <c r="T2138">
        <v>-0.85790040000000001</v>
      </c>
      <c r="U2138">
        <v>-1.235687</v>
      </c>
      <c r="V2138">
        <v>0.1617787</v>
      </c>
      <c r="W2138">
        <v>4.9283390000000003E-2</v>
      </c>
      <c r="X2138">
        <v>0.98559560000000002</v>
      </c>
      <c r="Y2138">
        <v>0.55485229999999996</v>
      </c>
      <c r="Z2138">
        <v>0.24712580000000001</v>
      </c>
      <c r="AA2138">
        <v>0.79439769999999998</v>
      </c>
      <c r="AB2138">
        <v>17</v>
      </c>
      <c r="AC2138">
        <v>-4.0087000000000304</v>
      </c>
      <c r="AD2138">
        <v>-1.1059646177210001</v>
      </c>
      <c r="AE2138">
        <v>-1.46559999999999</v>
      </c>
      <c r="AF2138">
        <v>2.4149332465839</v>
      </c>
      <c r="AG2138">
        <v>-1.1059646177210001</v>
      </c>
      <c r="AH2138">
        <v>3.18833362198305</v>
      </c>
      <c r="AI2138">
        <v>105.456858784514</v>
      </c>
      <c r="AJ2138">
        <v>52.8586915304098</v>
      </c>
      <c r="AK2138">
        <v>4.1497628373407798</v>
      </c>
      <c r="AL2138">
        <v>87.175125271336</v>
      </c>
      <c r="AM2138">
        <v>80.678417962096802</v>
      </c>
      <c r="AN2138">
        <v>0.99999994352146904</v>
      </c>
    </row>
    <row r="2139" spans="1:40" x14ac:dyDescent="0.25">
      <c r="A2139" t="str">
        <f>"20190312153929415"</f>
        <v>20190312153929415</v>
      </c>
      <c r="B2139" t="str">
        <f>"1552376369408021"</f>
        <v>1552376369408021</v>
      </c>
      <c r="C2139" t="s">
        <v>40</v>
      </c>
      <c r="D2139">
        <v>4.6553050000000002</v>
      </c>
      <c r="E2139">
        <v>0.70063909999999996</v>
      </c>
      <c r="F2139" t="s">
        <v>54</v>
      </c>
      <c r="G2139">
        <v>-201.6456</v>
      </c>
      <c r="H2139" s="1">
        <v>2.4526239999999998E-6</v>
      </c>
      <c r="I2139">
        <v>290.04730000000001</v>
      </c>
      <c r="J2139">
        <v>-197.59979999999999</v>
      </c>
      <c r="K2139">
        <v>1.105934</v>
      </c>
      <c r="L2139">
        <v>291.42950000000002</v>
      </c>
      <c r="M2139">
        <v>-0.54947429999999997</v>
      </c>
      <c r="N2139">
        <v>0</v>
      </c>
      <c r="O2139">
        <v>-0.83537919999999999</v>
      </c>
      <c r="P2139">
        <v>-0.67773409999999901</v>
      </c>
      <c r="Q2139">
        <v>3.7968420000000003E-2</v>
      </c>
      <c r="R2139">
        <v>-0.73432589999999998</v>
      </c>
      <c r="S2139">
        <v>-3.2189030000000001</v>
      </c>
      <c r="T2139">
        <v>-0.85777559999999997</v>
      </c>
      <c r="U2139">
        <v>-1.181152</v>
      </c>
      <c r="V2139">
        <v>0.16327069999999999</v>
      </c>
      <c r="W2139">
        <v>5.0746399999999997E-2</v>
      </c>
      <c r="X2139">
        <v>0.98527529999999997</v>
      </c>
      <c r="Y2139">
        <v>0.56204480000000001</v>
      </c>
      <c r="Z2139">
        <v>0.24601899999999999</v>
      </c>
      <c r="AA2139">
        <v>0.78967100000000001</v>
      </c>
      <c r="AB2139">
        <v>17</v>
      </c>
      <c r="AC2139">
        <v>-4.0458000000000096</v>
      </c>
      <c r="AD2139">
        <v>-1.1059315473760001</v>
      </c>
      <c r="AE2139">
        <v>-1.3822000000000101</v>
      </c>
      <c r="AF2139">
        <v>2.4562300159746</v>
      </c>
      <c r="AG2139">
        <v>-1.1059315473760001</v>
      </c>
      <c r="AH2139">
        <v>3.1662356825502198</v>
      </c>
      <c r="AI2139">
        <v>105.42855405923</v>
      </c>
      <c r="AJ2139">
        <v>52.197222251225803</v>
      </c>
      <c r="AK2139">
        <v>4.1570661380726603</v>
      </c>
      <c r="AL2139">
        <v>87.091195991083595</v>
      </c>
      <c r="AM2139">
        <v>80.590976263882794</v>
      </c>
      <c r="AN2139">
        <v>0.99999996769076904</v>
      </c>
    </row>
    <row r="2140" spans="1:40" x14ac:dyDescent="0.25">
      <c r="A2140" t="str">
        <f>"20190312153929438"</f>
        <v>20190312153929438</v>
      </c>
      <c r="B2140" t="str">
        <f>"1552376369427541"</f>
        <v>1552376369427541</v>
      </c>
      <c r="C2140" t="s">
        <v>40</v>
      </c>
      <c r="D2140">
        <v>4.6418419999999996</v>
      </c>
      <c r="E2140">
        <v>0.70129259999999904</v>
      </c>
      <c r="F2140" t="s">
        <v>54</v>
      </c>
      <c r="G2140">
        <v>-201.9795</v>
      </c>
      <c r="H2140" s="1">
        <v>2.6221299999999998E-6</v>
      </c>
      <c r="I2140">
        <v>289.88529999999997</v>
      </c>
      <c r="J2140">
        <v>-197.70660000000001</v>
      </c>
      <c r="K2140">
        <v>1.1059019999999999</v>
      </c>
      <c r="L2140">
        <v>291.28870000000001</v>
      </c>
      <c r="M2140">
        <v>-0.55778059999999996</v>
      </c>
      <c r="N2140">
        <v>0</v>
      </c>
      <c r="O2140">
        <v>-0.82985589999999998</v>
      </c>
      <c r="P2140">
        <v>-0.68649039999999995</v>
      </c>
      <c r="Q2140">
        <v>3.9165640000000002E-2</v>
      </c>
      <c r="R2140">
        <v>-0.72608319999999904</v>
      </c>
      <c r="S2140">
        <v>-3.2361300000000002</v>
      </c>
      <c r="T2140">
        <v>-0.81715799999999905</v>
      </c>
      <c r="U2140">
        <v>-1.14093</v>
      </c>
      <c r="V2140">
        <v>0.16531170000000001</v>
      </c>
      <c r="W2140">
        <v>5.1910249999999998E-2</v>
      </c>
      <c r="X2140">
        <v>0.98487429999999998</v>
      </c>
      <c r="Y2140">
        <v>0.56703800000000004</v>
      </c>
      <c r="Z2140">
        <v>0.23444599999999999</v>
      </c>
      <c r="AA2140">
        <v>0.78962209999999999</v>
      </c>
      <c r="AB2140">
        <v>17</v>
      </c>
      <c r="AC2140">
        <v>-4.2728999999999902</v>
      </c>
      <c r="AD2140">
        <v>-1.1058993778699999</v>
      </c>
      <c r="AE2140">
        <v>-1.40340000000003</v>
      </c>
      <c r="AF2140">
        <v>2.6058466061008398</v>
      </c>
      <c r="AG2140">
        <v>-1.1058993778699999</v>
      </c>
      <c r="AH2140">
        <v>3.3460367658888002</v>
      </c>
      <c r="AI2140">
        <v>104.615077848952</v>
      </c>
      <c r="AJ2140">
        <v>52.089040537794297</v>
      </c>
      <c r="AK2140">
        <v>4.3828543219208296</v>
      </c>
      <c r="AL2140">
        <v>87.024424400382003</v>
      </c>
      <c r="AM2140">
        <v>80.471691855273605</v>
      </c>
      <c r="AN2140">
        <v>1.00000000950622</v>
      </c>
    </row>
    <row r="2141" spans="1:40" x14ac:dyDescent="0.25">
      <c r="A2141" t="str">
        <f>"20190312153929471"</f>
        <v>20190312153929471</v>
      </c>
      <c r="B2141" t="str">
        <f>"1552376369467557"</f>
        <v>1552376369467557</v>
      </c>
      <c r="C2141" t="s">
        <v>40</v>
      </c>
      <c r="D2141">
        <v>4.678337</v>
      </c>
      <c r="E2141">
        <v>0.70076780000000005</v>
      </c>
      <c r="F2141" t="s">
        <v>54</v>
      </c>
      <c r="G2141">
        <v>-201.9579</v>
      </c>
      <c r="H2141" s="1">
        <v>2.6170099999999898E-6</v>
      </c>
      <c r="I2141">
        <v>289.85160000000002</v>
      </c>
      <c r="J2141">
        <v>-197.86330000000001</v>
      </c>
      <c r="K2141">
        <v>1.10586299999999</v>
      </c>
      <c r="L2141">
        <v>291.08839999999998</v>
      </c>
      <c r="M2141">
        <v>-0.56983090000000003</v>
      </c>
      <c r="N2141">
        <v>0</v>
      </c>
      <c r="O2141">
        <v>-0.82162789999999997</v>
      </c>
      <c r="P2141">
        <v>-0.69869890000000001</v>
      </c>
      <c r="Q2141">
        <v>4.1594359999999997E-2</v>
      </c>
      <c r="R2141">
        <v>-0.71420589999999995</v>
      </c>
      <c r="S2141">
        <v>-3.2547609999999998</v>
      </c>
      <c r="T2141">
        <v>-0.84667349999999997</v>
      </c>
      <c r="U2141">
        <v>-1.10025</v>
      </c>
      <c r="V2141">
        <v>0.16774749999999999</v>
      </c>
      <c r="W2141">
        <v>5.430393E-2</v>
      </c>
      <c r="X2141">
        <v>0.98433320000000002</v>
      </c>
      <c r="Y2141">
        <v>0.56356450000000002</v>
      </c>
      <c r="Z2141">
        <v>0.24095220000000001</v>
      </c>
      <c r="AA2141">
        <v>0.79015009999999997</v>
      </c>
      <c r="AB2141">
        <v>17</v>
      </c>
      <c r="AC2141">
        <v>-4.0945999999999803</v>
      </c>
      <c r="AD2141">
        <v>-1.10586038298999</v>
      </c>
      <c r="AE2141">
        <v>-1.2367999999999499</v>
      </c>
      <c r="AF2141">
        <v>2.4931156119040501</v>
      </c>
      <c r="AG2141">
        <v>-1.10586038298999</v>
      </c>
      <c r="AH2141">
        <v>3.1399062384334102</v>
      </c>
      <c r="AI2141">
        <v>105.42005540542399</v>
      </c>
      <c r="AJ2141">
        <v>51.550088417164801</v>
      </c>
      <c r="AK2141">
        <v>4.1590340016811096</v>
      </c>
      <c r="AL2141">
        <v>86.887082747264898</v>
      </c>
      <c r="AM2141">
        <v>80.328713032023401</v>
      </c>
      <c r="AN2141">
        <v>0.999999994595967</v>
      </c>
    </row>
    <row r="2142" spans="1:40" x14ac:dyDescent="0.25">
      <c r="A2142" t="str">
        <f>"20190312153929493"</f>
        <v>20190312153929493</v>
      </c>
      <c r="B2142" t="str">
        <f>"1552376369488053"</f>
        <v>1552376369488053</v>
      </c>
      <c r="C2142" t="s">
        <v>40</v>
      </c>
      <c r="D2142">
        <v>4.6556730000000002</v>
      </c>
      <c r="E2142">
        <v>0.69981709999999997</v>
      </c>
      <c r="F2142" t="s">
        <v>54</v>
      </c>
      <c r="G2142">
        <v>-202.11930000000001</v>
      </c>
      <c r="H2142" s="1">
        <v>2.705894E-6</v>
      </c>
      <c r="I2142">
        <v>289.7208</v>
      </c>
      <c r="J2142">
        <v>-197.97020000000001</v>
      </c>
      <c r="K2142">
        <v>1.105853</v>
      </c>
      <c r="L2142">
        <v>290.95499999999998</v>
      </c>
      <c r="M2142">
        <v>-0.57795969999999997</v>
      </c>
      <c r="N2142">
        <v>0</v>
      </c>
      <c r="O2142">
        <v>-0.81593009999999999</v>
      </c>
      <c r="P2142">
        <v>-0.70733809999999997</v>
      </c>
      <c r="Q2142">
        <v>4.307619E-2</v>
      </c>
      <c r="R2142">
        <v>-0.70556169999999996</v>
      </c>
      <c r="S2142">
        <v>-3.270187</v>
      </c>
      <c r="T2142">
        <v>-0.84969309999999998</v>
      </c>
      <c r="U2142">
        <v>-1.050781</v>
      </c>
      <c r="V2142">
        <v>0.17002500000000001</v>
      </c>
      <c r="W2142">
        <v>5.5757979999999999E-2</v>
      </c>
      <c r="X2142">
        <v>0.98386099999999999</v>
      </c>
      <c r="Y2142">
        <v>0.56720300000000001</v>
      </c>
      <c r="Z2142">
        <v>0.24146780000000001</v>
      </c>
      <c r="AA2142">
        <v>0.78738430000000004</v>
      </c>
      <c r="AB2142">
        <v>17</v>
      </c>
      <c r="AC2142">
        <v>-4.1490999999999998</v>
      </c>
      <c r="AD2142">
        <v>-1.105850294106</v>
      </c>
      <c r="AE2142">
        <v>-1.23419999999998</v>
      </c>
      <c r="AF2142">
        <v>2.5086331844953702</v>
      </c>
      <c r="AG2142">
        <v>-1.105850294106</v>
      </c>
      <c r="AH2142">
        <v>3.1967797823490298</v>
      </c>
      <c r="AI2142">
        <v>105.223650947857</v>
      </c>
      <c r="AJ2142">
        <v>51.877390904032197</v>
      </c>
      <c r="AK2142">
        <v>4.2113591991376396</v>
      </c>
      <c r="AL2142">
        <v>86.803645264016396</v>
      </c>
      <c r="AM2142">
        <v>80.195323698715498</v>
      </c>
      <c r="AN2142">
        <v>0.99999996013983905</v>
      </c>
    </row>
    <row r="2143" spans="1:40" x14ac:dyDescent="0.25">
      <c r="A2143" t="str">
        <f>"20190312153929515"</f>
        <v>20190312153929515</v>
      </c>
      <c r="B2143" t="str">
        <f>"1552376369508549"</f>
        <v>1552376369508549</v>
      </c>
      <c r="C2143" t="s">
        <v>40</v>
      </c>
      <c r="D2143">
        <v>4.6704790000000003</v>
      </c>
      <c r="E2143">
        <v>0.69872509999999999</v>
      </c>
      <c r="F2143" t="s">
        <v>54</v>
      </c>
      <c r="G2143">
        <v>-202.20679999999999</v>
      </c>
      <c r="H2143" s="1">
        <v>2.7558529999999999E-6</v>
      </c>
      <c r="I2143">
        <v>289.63639999999998</v>
      </c>
      <c r="J2143">
        <v>-198.07980000000001</v>
      </c>
      <c r="K2143">
        <v>1.1058460000000001</v>
      </c>
      <c r="L2143">
        <v>290.82130000000001</v>
      </c>
      <c r="M2143">
        <v>-0.58619460000000001</v>
      </c>
      <c r="N2143">
        <v>0</v>
      </c>
      <c r="O2143">
        <v>-0.81003369999999997</v>
      </c>
      <c r="P2143">
        <v>-0.71700039999999998</v>
      </c>
      <c r="Q2143">
        <v>4.3232159999999999E-2</v>
      </c>
      <c r="R2143">
        <v>-0.69573109999999905</v>
      </c>
      <c r="S2143">
        <v>-3.2761840000000002</v>
      </c>
      <c r="T2143">
        <v>-0.85515609999999997</v>
      </c>
      <c r="U2143">
        <v>-1.019714</v>
      </c>
      <c r="V2143">
        <v>0.17363589999999901</v>
      </c>
      <c r="W2143">
        <v>5.5871770000000001E-2</v>
      </c>
      <c r="X2143">
        <v>0.98322370000000003</v>
      </c>
      <c r="Y2143">
        <v>0.56587109999999996</v>
      </c>
      <c r="Z2143">
        <v>0.24231369999999999</v>
      </c>
      <c r="AA2143">
        <v>0.78808239999999996</v>
      </c>
      <c r="AB2143">
        <v>17</v>
      </c>
      <c r="AC2143">
        <v>-4.1269999999999802</v>
      </c>
      <c r="AD2143">
        <v>-1.1058432441470001</v>
      </c>
      <c r="AE2143">
        <v>-1.18490000000002</v>
      </c>
      <c r="AF2143">
        <v>2.4839564434627599</v>
      </c>
      <c r="AG2143">
        <v>-1.1058432441470001</v>
      </c>
      <c r="AH2143">
        <v>3.1691917798209701</v>
      </c>
      <c r="AI2143">
        <v>105.356640499365</v>
      </c>
      <c r="AJ2143">
        <v>51.911279545242202</v>
      </c>
      <c r="AK2143">
        <v>4.1757281318268902</v>
      </c>
      <c r="AL2143">
        <v>86.797115404896104</v>
      </c>
      <c r="AM2143">
        <v>79.984908966898402</v>
      </c>
      <c r="AN2143">
        <v>0.99999996234671495</v>
      </c>
    </row>
    <row r="2144" spans="1:40" x14ac:dyDescent="0.25">
      <c r="A2144" t="str">
        <f>"20190312153929541"</f>
        <v>20190312153929541</v>
      </c>
      <c r="B2144" t="str">
        <f>"1552376369537829"</f>
        <v>1552376369537829</v>
      </c>
      <c r="C2144" t="s">
        <v>40</v>
      </c>
      <c r="D2144">
        <v>4.5496369999999997</v>
      </c>
      <c r="E2144">
        <v>0.69708649999999905</v>
      </c>
      <c r="F2144" t="s">
        <v>54</v>
      </c>
      <c r="G2144">
        <v>-202.27610000000001</v>
      </c>
      <c r="H2144" s="1">
        <v>2.7937960000000001E-6</v>
      </c>
      <c r="I2144">
        <v>289.56420000000003</v>
      </c>
      <c r="J2144">
        <v>-198.2022</v>
      </c>
      <c r="K2144">
        <v>1.1058490000000001</v>
      </c>
      <c r="L2144">
        <v>290.67540000000002</v>
      </c>
      <c r="M2144">
        <v>-0.5952691</v>
      </c>
      <c r="N2144">
        <v>0</v>
      </c>
      <c r="O2144">
        <v>-0.80338869999999996</v>
      </c>
      <c r="P2144">
        <v>-0.72739209999999999</v>
      </c>
      <c r="Q2144">
        <v>4.263815E-2</v>
      </c>
      <c r="R2144">
        <v>-0.68489630000000001</v>
      </c>
      <c r="S2144">
        <v>-3.282181</v>
      </c>
      <c r="T2144">
        <v>-0.86494119999999997</v>
      </c>
      <c r="U2144">
        <v>-0.98321530000000001</v>
      </c>
      <c r="V2144">
        <v>0.17734839999999999</v>
      </c>
      <c r="W2144">
        <v>5.523571E-2</v>
      </c>
      <c r="X2144">
        <v>0.98259680000000005</v>
      </c>
      <c r="Y2144">
        <v>0.56449939999999998</v>
      </c>
      <c r="Z2144">
        <v>0.24428849999999999</v>
      </c>
      <c r="AA2144">
        <v>0.78845639999999995</v>
      </c>
      <c r="AB2144">
        <v>17</v>
      </c>
      <c r="AC2144">
        <v>-4.0739000000000001</v>
      </c>
      <c r="AD2144">
        <v>-1.105846206204</v>
      </c>
      <c r="AE2144">
        <v>-1.11119999999999</v>
      </c>
      <c r="AF2144">
        <v>2.4441304599270599</v>
      </c>
      <c r="AG2144">
        <v>-1.105846206204</v>
      </c>
      <c r="AH2144">
        <v>3.1052018448804</v>
      </c>
      <c r="AI2144">
        <v>105.633721765126</v>
      </c>
      <c r="AJ2144">
        <v>51.793419215479403</v>
      </c>
      <c r="AK2144">
        <v>4.1035287295652898</v>
      </c>
      <c r="AL2144">
        <v>86.833615304027404</v>
      </c>
      <c r="AM2144">
        <v>79.768862786135799</v>
      </c>
      <c r="AN2144">
        <v>0.99999995500600103</v>
      </c>
    </row>
    <row r="2145" spans="1:40" x14ac:dyDescent="0.25">
      <c r="A2145" t="str">
        <f>"20190312153929562"</f>
        <v>20190312153929562</v>
      </c>
      <c r="B2145" t="str">
        <f>"1552376369558325"</f>
        <v>1552376369558325</v>
      </c>
      <c r="C2145" t="s">
        <v>40</v>
      </c>
      <c r="D2145">
        <v>4.5366920000000004</v>
      </c>
      <c r="E2145">
        <v>0.69606849999999998</v>
      </c>
      <c r="F2145" t="s">
        <v>54</v>
      </c>
      <c r="G2145">
        <v>-202.4828</v>
      </c>
      <c r="H2145" s="1">
        <v>2.8955800000000002E-6</v>
      </c>
      <c r="I2145">
        <v>289.4486</v>
      </c>
      <c r="J2145">
        <v>-198.3108</v>
      </c>
      <c r="K2145">
        <v>1.1058600000000001</v>
      </c>
      <c r="L2145">
        <v>290.54880000000003</v>
      </c>
      <c r="M2145">
        <v>-0.60319820000000002</v>
      </c>
      <c r="N2145">
        <v>0</v>
      </c>
      <c r="O2145">
        <v>-0.7974523</v>
      </c>
      <c r="P2145">
        <v>-0.73625299999999905</v>
      </c>
      <c r="Q2145">
        <v>4.1543770000000001E-2</v>
      </c>
      <c r="R2145">
        <v>-0.67543009999999903</v>
      </c>
      <c r="S2145">
        <v>-3.2870940000000002</v>
      </c>
      <c r="T2145">
        <v>-0.84917640000000005</v>
      </c>
      <c r="U2145">
        <v>-0.94204710000000003</v>
      </c>
      <c r="V2145">
        <v>0.18036189999999999</v>
      </c>
      <c r="W2145">
        <v>5.4109190000000001E-2</v>
      </c>
      <c r="X2145">
        <v>0.98211090000000001</v>
      </c>
      <c r="Y2145">
        <v>0.56703999999999999</v>
      </c>
      <c r="Z2145">
        <v>0.2399309</v>
      </c>
      <c r="AA2145">
        <v>0.78797130000000004</v>
      </c>
      <c r="AB2145">
        <v>17</v>
      </c>
      <c r="AC2145">
        <v>-4.1719999999999899</v>
      </c>
      <c r="AD2145">
        <v>-1.1058571044200001</v>
      </c>
      <c r="AE2145">
        <v>-1.1002000000000201</v>
      </c>
      <c r="AF2145">
        <v>2.4994353172519701</v>
      </c>
      <c r="AG2145">
        <v>-1.1058571044200001</v>
      </c>
      <c r="AH2145">
        <v>3.1850449851442502</v>
      </c>
      <c r="AI2145">
        <v>105.27718921573801</v>
      </c>
      <c r="AJ2145">
        <v>51.877269899179502</v>
      </c>
      <c r="AK2145">
        <v>4.19697610166119</v>
      </c>
      <c r="AL2145">
        <v>86.898257034205301</v>
      </c>
      <c r="AM2145">
        <v>79.593745651969598</v>
      </c>
      <c r="AN2145">
        <v>1.00000001965643</v>
      </c>
    </row>
    <row r="2146" spans="1:40" x14ac:dyDescent="0.25">
      <c r="A2146" t="str">
        <f>"20190312153929583"</f>
        <v>20190312153929583</v>
      </c>
      <c r="B2146" t="str">
        <f>"1552376369577845"</f>
        <v>1552376369577845</v>
      </c>
      <c r="C2146" t="s">
        <v>40</v>
      </c>
      <c r="D2146">
        <v>4.5473929999999996</v>
      </c>
      <c r="E2146">
        <v>0.69511350000000005</v>
      </c>
      <c r="F2146" t="s">
        <v>54</v>
      </c>
      <c r="G2146">
        <v>-202.6722</v>
      </c>
      <c r="H2146" s="1">
        <v>2.988067E-6</v>
      </c>
      <c r="I2146">
        <v>289.35140000000001</v>
      </c>
      <c r="J2146">
        <v>-198.41849999999999</v>
      </c>
      <c r="K2146">
        <v>1.1058709999999901</v>
      </c>
      <c r="L2146">
        <v>290.42579999999998</v>
      </c>
      <c r="M2146">
        <v>-0.61094190000000004</v>
      </c>
      <c r="N2146">
        <v>0</v>
      </c>
      <c r="O2146">
        <v>-0.79153530000000005</v>
      </c>
      <c r="P2146">
        <v>-0.74446020000000002</v>
      </c>
      <c r="Q2146">
        <v>4.1121970000000001E-2</v>
      </c>
      <c r="R2146">
        <v>-0.66639950000000003</v>
      </c>
      <c r="S2146">
        <v>-3.2925110000000002</v>
      </c>
      <c r="T2146">
        <v>-0.83482659999999997</v>
      </c>
      <c r="U2146">
        <v>-0.90396120000000002</v>
      </c>
      <c r="V2146">
        <v>0.18278150000000001</v>
      </c>
      <c r="W2146">
        <v>5.3663049999999997E-2</v>
      </c>
      <c r="X2146">
        <v>0.98168800000000001</v>
      </c>
      <c r="Y2146">
        <v>0.56902929999999996</v>
      </c>
      <c r="Z2146">
        <v>0.23577119999999999</v>
      </c>
      <c r="AA2146">
        <v>0.78779290000000002</v>
      </c>
      <c r="AB2146">
        <v>17</v>
      </c>
      <c r="AC2146">
        <v>-4.2537000000000003</v>
      </c>
      <c r="AD2146">
        <v>-1.10586801193299</v>
      </c>
      <c r="AE2146">
        <v>-1.0743999999999601</v>
      </c>
      <c r="AF2146">
        <v>2.5489128405750501</v>
      </c>
      <c r="AG2146">
        <v>-1.10586801193299</v>
      </c>
      <c r="AH2146">
        <v>3.24349570575087</v>
      </c>
      <c r="AI2146">
        <v>105.00681297142999</v>
      </c>
      <c r="AJ2146">
        <v>51.8378377343357</v>
      </c>
      <c r="AK2146">
        <v>4.2708506321211201</v>
      </c>
      <c r="AL2146">
        <v>86.923856304396395</v>
      </c>
      <c r="AM2146">
        <v>79.452813198374599</v>
      </c>
      <c r="AN2146">
        <v>1.0000000645107701</v>
      </c>
    </row>
    <row r="2147" spans="1:40" x14ac:dyDescent="0.25">
      <c r="A2147" t="str">
        <f>"20190312153929605"</f>
        <v>20190312153929605</v>
      </c>
      <c r="B2147" t="str">
        <f>"1552376369598341"</f>
        <v>1552376369598341</v>
      </c>
      <c r="C2147" t="s">
        <v>40</v>
      </c>
      <c r="D2147">
        <v>4.5597820000000002</v>
      </c>
      <c r="E2147">
        <v>0.69385799999999997</v>
      </c>
      <c r="F2147" t="s">
        <v>54</v>
      </c>
      <c r="G2147">
        <v>-202.87090000000001</v>
      </c>
      <c r="H2147" s="1">
        <v>3.0847610000000001E-6</v>
      </c>
      <c r="I2147">
        <v>289.25319999999999</v>
      </c>
      <c r="J2147">
        <v>-198.5292</v>
      </c>
      <c r="K2147">
        <v>1.105898</v>
      </c>
      <c r="L2147">
        <v>290.30189999999999</v>
      </c>
      <c r="M2147">
        <v>-0.61876640000000005</v>
      </c>
      <c r="N2147">
        <v>0</v>
      </c>
      <c r="O2147">
        <v>-0.78543379999999996</v>
      </c>
      <c r="P2147">
        <v>-0.75279949999999995</v>
      </c>
      <c r="Q2147">
        <v>3.9633729999999999E-2</v>
      </c>
      <c r="R2147">
        <v>-0.65705550000000001</v>
      </c>
      <c r="S2147">
        <v>-3.2975919999999999</v>
      </c>
      <c r="T2147">
        <v>-0.81903780000000004</v>
      </c>
      <c r="U2147">
        <v>-0.86846919999999905</v>
      </c>
      <c r="V2147">
        <v>0.1853368</v>
      </c>
      <c r="W2147">
        <v>5.2148819999999999E-2</v>
      </c>
      <c r="X2147">
        <v>0.98129029999999995</v>
      </c>
      <c r="Y2147">
        <v>0.57044050000000002</v>
      </c>
      <c r="Z2147">
        <v>0.23107659999999999</v>
      </c>
      <c r="AA2147">
        <v>0.78816319999999995</v>
      </c>
      <c r="AB2147">
        <v>17</v>
      </c>
      <c r="AC2147">
        <v>-4.3417000000000003</v>
      </c>
      <c r="AD2147">
        <v>-1.1058949152390001</v>
      </c>
      <c r="AE2147">
        <v>-1.04869999999999</v>
      </c>
      <c r="AF2147">
        <v>2.6020127192159701</v>
      </c>
      <c r="AG2147">
        <v>-1.1058949152390001</v>
      </c>
      <c r="AH2147">
        <v>3.3077941794606098</v>
      </c>
      <c r="AI2147">
        <v>104.722925210135</v>
      </c>
      <c r="AJ2147">
        <v>51.810320298859402</v>
      </c>
      <c r="AK2147">
        <v>4.3514337968291104</v>
      </c>
      <c r="AL2147">
        <v>87.010736601787599</v>
      </c>
      <c r="AM2147">
        <v>79.304505990796301</v>
      </c>
      <c r="AN2147">
        <v>0.99999994086785904</v>
      </c>
    </row>
    <row r="2148" spans="1:40" x14ac:dyDescent="0.25">
      <c r="A2148" t="str">
        <f>"20190312153929627"</f>
        <v>20190312153929627</v>
      </c>
      <c r="B2148" t="str">
        <f>"1552376369617863"</f>
        <v>1552376369617863</v>
      </c>
      <c r="C2148" t="s">
        <v>40</v>
      </c>
      <c r="D2148">
        <v>4.5928709999999997</v>
      </c>
      <c r="E2148">
        <v>0.67527000000000004</v>
      </c>
      <c r="F2148" t="s">
        <v>54</v>
      </c>
      <c r="G2148">
        <v>-203.04929999999999</v>
      </c>
      <c r="H2148" s="1">
        <v>3.1718689999999999E-6</v>
      </c>
      <c r="I2148">
        <v>289.16149999999999</v>
      </c>
      <c r="J2148">
        <v>-198.64410000000001</v>
      </c>
      <c r="K2148">
        <v>1.105925</v>
      </c>
      <c r="L2148">
        <v>290.17599999999999</v>
      </c>
      <c r="M2148">
        <v>-0.62674669999999999</v>
      </c>
      <c r="N2148">
        <v>0</v>
      </c>
      <c r="O2148">
        <v>-0.77908060000000001</v>
      </c>
      <c r="P2148">
        <v>-0.76083210000000001</v>
      </c>
      <c r="Q2148">
        <v>3.9227310000000001E-2</v>
      </c>
      <c r="R2148">
        <v>-0.6477619</v>
      </c>
      <c r="S2148">
        <v>-3.3007200000000001</v>
      </c>
      <c r="T2148">
        <v>-0.80756680000000003</v>
      </c>
      <c r="U2148">
        <v>-0.83282469999999997</v>
      </c>
      <c r="V2148">
        <v>0.18738560000000001</v>
      </c>
      <c r="W2148">
        <v>5.1723100000000001E-2</v>
      </c>
      <c r="X2148">
        <v>0.98092369999999995</v>
      </c>
      <c r="Y2148">
        <v>0.57123489999999999</v>
      </c>
      <c r="Z2148">
        <v>0.22755639999999999</v>
      </c>
      <c r="AA2148">
        <v>0.78861190000000003</v>
      </c>
      <c r="AB2148">
        <v>17</v>
      </c>
      <c r="AC2148">
        <v>-4.4051999999999696</v>
      </c>
      <c r="AD2148">
        <v>-1.1059218281309999</v>
      </c>
      <c r="AE2148">
        <v>-1.01449999999999</v>
      </c>
      <c r="AF2148">
        <v>2.6385602380897</v>
      </c>
      <c r="AG2148">
        <v>-1.1059218281309999</v>
      </c>
      <c r="AH2148">
        <v>3.3511453573052701</v>
      </c>
      <c r="AI2148">
        <v>104.535988324044</v>
      </c>
      <c r="AJ2148">
        <v>51.7844936492207</v>
      </c>
      <c r="AK2148">
        <v>4.4062726227224402</v>
      </c>
      <c r="AL2148">
        <v>87.035161623531906</v>
      </c>
      <c r="AM2148">
        <v>79.185099570931101</v>
      </c>
      <c r="AN2148">
        <v>0.99999997369132898</v>
      </c>
    </row>
    <row r="2149" spans="1:40" x14ac:dyDescent="0.25">
      <c r="A2149" t="str">
        <f>"20190312153929649"</f>
        <v>20190312153929649</v>
      </c>
      <c r="B2149" t="str">
        <f>"1552376369637960"</f>
        <v>1552376369637960</v>
      </c>
      <c r="C2149" t="s">
        <v>40</v>
      </c>
      <c r="D2149">
        <v>4.5508680000000004</v>
      </c>
      <c r="E2149">
        <v>0.67345769999999905</v>
      </c>
      <c r="F2149" t="s">
        <v>54</v>
      </c>
      <c r="G2149">
        <v>-204.2535</v>
      </c>
      <c r="H2149" s="1">
        <v>3.7547299999999998E-6</v>
      </c>
      <c r="I2149">
        <v>288.6028</v>
      </c>
      <c r="J2149">
        <v>-198.75739999999999</v>
      </c>
      <c r="K2149">
        <v>1.105953</v>
      </c>
      <c r="L2149">
        <v>290.05410000000001</v>
      </c>
      <c r="M2149">
        <v>-0.63448479999999996</v>
      </c>
      <c r="N2149">
        <v>0</v>
      </c>
      <c r="O2149">
        <v>-0.77279209999999998</v>
      </c>
      <c r="P2149">
        <v>-0.76816969999999996</v>
      </c>
      <c r="Q2149">
        <v>3.9098010000000002E-2</v>
      </c>
      <c r="R2149">
        <v>-0.63905179999999995</v>
      </c>
      <c r="S2149">
        <v>-3.2093349999999998</v>
      </c>
      <c r="T2149">
        <v>-0.63273809999999997</v>
      </c>
      <c r="U2149">
        <v>-0.90008539999999904</v>
      </c>
      <c r="V2149">
        <v>0.1887807</v>
      </c>
      <c r="W2149">
        <v>5.1582629999999997E-2</v>
      </c>
      <c r="X2149">
        <v>0.98066359999999997</v>
      </c>
      <c r="Y2149">
        <v>0.553311</v>
      </c>
      <c r="Z2149">
        <v>0.1810331</v>
      </c>
      <c r="AA2149">
        <v>0.81306460000000003</v>
      </c>
      <c r="AB2149">
        <v>17</v>
      </c>
      <c r="AC2149">
        <v>-5.49610000000001</v>
      </c>
      <c r="AD2149">
        <v>-1.1059492452699999</v>
      </c>
      <c r="AE2149">
        <v>-1.4513</v>
      </c>
      <c r="AF2149">
        <v>3.2055470801175798</v>
      </c>
      <c r="AG2149">
        <v>-1.1059492452699999</v>
      </c>
      <c r="AH2149">
        <v>4.4411493475521704</v>
      </c>
      <c r="AI2149">
        <v>101.41567043742999</v>
      </c>
      <c r="AJ2149">
        <v>54.1788810156945</v>
      </c>
      <c r="AK2149">
        <v>5.5877064474815397</v>
      </c>
      <c r="AL2149">
        <v>87.043220822668999</v>
      </c>
      <c r="AM2149">
        <v>79.103681267931705</v>
      </c>
      <c r="AN2149">
        <v>1.00000000838758</v>
      </c>
    </row>
    <row r="2150" spans="1:40" x14ac:dyDescent="0.25">
      <c r="A2150" t="str">
        <f>"20190312153929672"</f>
        <v>20190312153929672</v>
      </c>
      <c r="B2150" t="str">
        <f>"1552376369668217"</f>
        <v>1552376369668217</v>
      </c>
      <c r="C2150" t="s">
        <v>40</v>
      </c>
      <c r="D2150">
        <v>4.5806950000000004</v>
      </c>
      <c r="E2150">
        <v>0.67139179999999998</v>
      </c>
      <c r="F2150" t="s">
        <v>54</v>
      </c>
      <c r="G2150">
        <v>-204.41249999999999</v>
      </c>
      <c r="H2150" s="1">
        <v>3.8330340000000001E-6</v>
      </c>
      <c r="I2150">
        <v>288.51369999999997</v>
      </c>
      <c r="J2150">
        <v>-198.8723</v>
      </c>
      <c r="K2150">
        <v>1.1059829999999999</v>
      </c>
      <c r="L2150">
        <v>289.9332</v>
      </c>
      <c r="M2150">
        <v>-0.64219380000000004</v>
      </c>
      <c r="N2150">
        <v>0</v>
      </c>
      <c r="O2150">
        <v>-0.76639799999999902</v>
      </c>
      <c r="P2150">
        <v>-0.77491529999999997</v>
      </c>
      <c r="Q2150">
        <v>3.9555489999999999E-2</v>
      </c>
      <c r="R2150">
        <v>-0.63082640000000001</v>
      </c>
      <c r="S2150">
        <v>-3.2099299999999999</v>
      </c>
      <c r="T2150">
        <v>-0.62775780000000003</v>
      </c>
      <c r="U2150">
        <v>-0.87438959999999999</v>
      </c>
      <c r="V2150">
        <v>0.1893965</v>
      </c>
      <c r="W2150">
        <v>5.2038349999999997E-2</v>
      </c>
      <c r="X2150">
        <v>0.98052079999999997</v>
      </c>
      <c r="Y2150">
        <v>0.55146919999999899</v>
      </c>
      <c r="Z2150">
        <v>0.17908470000000001</v>
      </c>
      <c r="AA2150">
        <v>0.81474559999999996</v>
      </c>
      <c r="AB2150">
        <v>17</v>
      </c>
      <c r="AC2150">
        <v>-5.5401999999999898</v>
      </c>
      <c r="AD2150">
        <v>-1.105979166966</v>
      </c>
      <c r="AE2150">
        <v>-1.41950000000002</v>
      </c>
      <c r="AF2150">
        <v>3.2145601467318801</v>
      </c>
      <c r="AG2150">
        <v>-1.105979166966</v>
      </c>
      <c r="AH2150">
        <v>4.4788069511044002</v>
      </c>
      <c r="AI2150">
        <v>101.343707898242</v>
      </c>
      <c r="AJ2150">
        <v>54.331979790852202</v>
      </c>
      <c r="AK2150">
        <v>5.6228372339932502</v>
      </c>
      <c r="AL2150">
        <v>87.017074943779406</v>
      </c>
      <c r="AM2150">
        <v>79.067438905928398</v>
      </c>
      <c r="AN2150">
        <v>1.0000000316577999</v>
      </c>
    </row>
    <row r="2151" spans="1:40" x14ac:dyDescent="0.25">
      <c r="A2151" t="str">
        <f>"20190312153929694"</f>
        <v>20190312153929694</v>
      </c>
      <c r="B2151" t="str">
        <f>"1552376369687736"</f>
        <v>1552376369687736</v>
      </c>
      <c r="C2151" t="s">
        <v>40</v>
      </c>
      <c r="D2151">
        <v>4.5526600000000004</v>
      </c>
      <c r="E2151">
        <v>0.67040679999999997</v>
      </c>
      <c r="F2151" t="s">
        <v>54</v>
      </c>
      <c r="G2151">
        <v>-204.66630000000001</v>
      </c>
      <c r="H2151" s="1">
        <v>3.9559999999999999E-6</v>
      </c>
      <c r="I2151">
        <v>288.39440000000002</v>
      </c>
      <c r="J2151">
        <v>-198.9914</v>
      </c>
      <c r="K2151">
        <v>1.106006</v>
      </c>
      <c r="L2151">
        <v>289.81020000000001</v>
      </c>
      <c r="M2151">
        <v>-0.65005469999999999</v>
      </c>
      <c r="N2151">
        <v>0</v>
      </c>
      <c r="O2151">
        <v>-0.75974180000000002</v>
      </c>
      <c r="P2151">
        <v>-0.78154679999999999</v>
      </c>
      <c r="Q2151">
        <v>4.0757799999999997E-2</v>
      </c>
      <c r="R2151">
        <v>-0.62251400000000001</v>
      </c>
      <c r="S2151">
        <v>-3.2089080000000001</v>
      </c>
      <c r="T2151">
        <v>-0.61252869999999904</v>
      </c>
      <c r="U2151">
        <v>-0.85223389999999999</v>
      </c>
      <c r="V2151">
        <v>0.18973229999999999</v>
      </c>
      <c r="W2151">
        <v>5.3240219999999998E-2</v>
      </c>
      <c r="X2151">
        <v>0.98039129999999997</v>
      </c>
      <c r="Y2151">
        <v>0.54908749999999995</v>
      </c>
      <c r="Z2151">
        <v>0.17422560000000001</v>
      </c>
      <c r="AA2151">
        <v>0.8174034</v>
      </c>
      <c r="AB2151">
        <v>16</v>
      </c>
      <c r="AC2151">
        <v>-5.6749000000000001</v>
      </c>
      <c r="AD2151">
        <v>-1.106002044</v>
      </c>
      <c r="AE2151">
        <v>-1.41579999999999</v>
      </c>
      <c r="AF2151">
        <v>3.2744009297377898</v>
      </c>
      <c r="AG2151">
        <v>-1.106002044</v>
      </c>
      <c r="AH2151">
        <v>4.6006554388792402</v>
      </c>
      <c r="AI2151">
        <v>101.081629969293</v>
      </c>
      <c r="AJ2151">
        <v>54.559595759958</v>
      </c>
      <c r="AK2151">
        <v>5.7542134507931699</v>
      </c>
      <c r="AL2151">
        <v>86.948117113868705</v>
      </c>
      <c r="AM2151">
        <v>79.047112145873498</v>
      </c>
      <c r="AN2151">
        <v>0.99999998390231304</v>
      </c>
    </row>
    <row r="2152" spans="1:40" x14ac:dyDescent="0.25">
      <c r="A2152" t="str">
        <f>"20190312153929717"</f>
        <v>20190312153929717</v>
      </c>
      <c r="B2152" t="str">
        <f>"1552376369708233"</f>
        <v>1552376369708233</v>
      </c>
      <c r="C2152" t="s">
        <v>40</v>
      </c>
      <c r="D2152">
        <v>4.5678590000000003</v>
      </c>
      <c r="E2152">
        <v>0.6692264</v>
      </c>
      <c r="F2152" t="s">
        <v>54</v>
      </c>
      <c r="G2152">
        <v>-204.87569999999999</v>
      </c>
      <c r="H2152" s="1">
        <v>4.057144E-6</v>
      </c>
      <c r="I2152">
        <v>288.2996</v>
      </c>
      <c r="J2152">
        <v>-199.1096</v>
      </c>
      <c r="K2152">
        <v>1.10602</v>
      </c>
      <c r="L2152">
        <v>289.69069999999999</v>
      </c>
      <c r="M2152">
        <v>-0.65772600000000003</v>
      </c>
      <c r="N2152">
        <v>0</v>
      </c>
      <c r="O2152">
        <v>-0.75311059999999996</v>
      </c>
      <c r="P2152">
        <v>-0.78807919999999998</v>
      </c>
      <c r="Q2152">
        <v>4.2056540000000003E-2</v>
      </c>
      <c r="R2152">
        <v>-0.61413569999999995</v>
      </c>
      <c r="S2152">
        <v>-3.2129970000000001</v>
      </c>
      <c r="T2152">
        <v>-0.60391249999999996</v>
      </c>
      <c r="U2152">
        <v>-0.82485959999999903</v>
      </c>
      <c r="V2152">
        <v>0.19021679999999999</v>
      </c>
      <c r="W2152">
        <v>5.4533890000000002E-2</v>
      </c>
      <c r="X2152">
        <v>0.98022629999999999</v>
      </c>
      <c r="Y2152">
        <v>0.54803789999999997</v>
      </c>
      <c r="Z2152">
        <v>0.17112869999999999</v>
      </c>
      <c r="AA2152">
        <v>0.81876090000000001</v>
      </c>
      <c r="AB2152">
        <v>16</v>
      </c>
      <c r="AC2152">
        <v>-5.76609999999999</v>
      </c>
      <c r="AD2152">
        <v>-1.1060159428559999</v>
      </c>
      <c r="AE2152">
        <v>-1.39109999999999</v>
      </c>
      <c r="AF2152">
        <v>3.3127470156117602</v>
      </c>
      <c r="AG2152">
        <v>-1.1060159428559999</v>
      </c>
      <c r="AH2152">
        <v>4.6780508352067098</v>
      </c>
      <c r="AI2152">
        <v>100.920841359977</v>
      </c>
      <c r="AJ2152">
        <v>54.695901661583498</v>
      </c>
      <c r="AK2152">
        <v>5.83795543594454</v>
      </c>
      <c r="AL2152">
        <v>86.873887435214698</v>
      </c>
      <c r="AM2152">
        <v>79.018018485571503</v>
      </c>
      <c r="AN2152">
        <v>0.99999998768623</v>
      </c>
    </row>
    <row r="2153" spans="1:40" x14ac:dyDescent="0.25">
      <c r="A2153" t="str">
        <f>"20190312153929741"</f>
        <v>20190312153929741</v>
      </c>
      <c r="B2153" t="str">
        <f>"1552376369737513"</f>
        <v>1552376369737513</v>
      </c>
      <c r="C2153" t="s">
        <v>40</v>
      </c>
      <c r="D2153">
        <v>4.5310860000000002</v>
      </c>
      <c r="E2153">
        <v>0.66750069999999995</v>
      </c>
      <c r="F2153" t="s">
        <v>54</v>
      </c>
      <c r="G2153">
        <v>-205.0933</v>
      </c>
      <c r="H2153" s="1">
        <v>4.1619080000000001E-6</v>
      </c>
      <c r="I2153">
        <v>288.20510000000002</v>
      </c>
      <c r="J2153">
        <v>-199.2363</v>
      </c>
      <c r="K2153">
        <v>1.1060299999999901</v>
      </c>
      <c r="L2153">
        <v>289.56560000000002</v>
      </c>
      <c r="M2153">
        <v>-0.66580490000000003</v>
      </c>
      <c r="N2153">
        <v>0</v>
      </c>
      <c r="O2153">
        <v>-0.74597780000000002</v>
      </c>
      <c r="P2153">
        <v>-0.79535789999999995</v>
      </c>
      <c r="Q2153">
        <v>4.1502209999999998E-2</v>
      </c>
      <c r="R2153">
        <v>-0.60471809999999904</v>
      </c>
      <c r="S2153">
        <v>-3.2161870000000001</v>
      </c>
      <c r="T2153">
        <v>-0.59447839999999996</v>
      </c>
      <c r="U2153">
        <v>-0.79852290000000004</v>
      </c>
      <c r="V2153">
        <v>0.19132679999999999</v>
      </c>
      <c r="W2153">
        <v>5.3964440000000002E-2</v>
      </c>
      <c r="X2153">
        <v>0.98004179999999996</v>
      </c>
      <c r="Y2153">
        <v>0.54622289999999996</v>
      </c>
      <c r="Z2153">
        <v>0.16771169999999999</v>
      </c>
      <c r="AA2153">
        <v>0.82067860000000004</v>
      </c>
      <c r="AB2153">
        <v>16</v>
      </c>
      <c r="AC2153">
        <v>-5.8569999999999904</v>
      </c>
      <c r="AD2153">
        <v>-1.1060258380919901</v>
      </c>
      <c r="AE2153">
        <v>-1.3605</v>
      </c>
      <c r="AF2153">
        <v>3.3503890141955601</v>
      </c>
      <c r="AG2153">
        <v>-1.1060258380919901</v>
      </c>
      <c r="AH2153">
        <v>4.7542097511838604</v>
      </c>
      <c r="AI2153">
        <v>100.76706660465101</v>
      </c>
      <c r="AJ2153">
        <v>54.826862590008403</v>
      </c>
      <c r="AK2153">
        <v>5.9203809049098499</v>
      </c>
      <c r="AL2153">
        <v>86.906562726439603</v>
      </c>
      <c r="AM2153">
        <v>78.953476986601103</v>
      </c>
      <c r="AN2153">
        <v>1.0000000174649899</v>
      </c>
    </row>
    <row r="2154" spans="1:40" x14ac:dyDescent="0.25">
      <c r="A2154" t="str">
        <f>"20190312153929762"</f>
        <v>20190312153929762</v>
      </c>
      <c r="B2154" t="str">
        <f>"1552376369758009"</f>
        <v>1552376369758009</v>
      </c>
      <c r="C2154" t="s">
        <v>40</v>
      </c>
      <c r="D2154">
        <v>4.5677620000000001</v>
      </c>
      <c r="E2154">
        <v>0.66626980000000002</v>
      </c>
      <c r="F2154" t="s">
        <v>54</v>
      </c>
      <c r="G2154">
        <v>-205.29060000000001</v>
      </c>
      <c r="H2154" s="1">
        <v>4.257219E-6</v>
      </c>
      <c r="I2154">
        <v>288.11599999999999</v>
      </c>
      <c r="J2154">
        <v>-199.3553</v>
      </c>
      <c r="K2154">
        <v>1.1060380000000001</v>
      </c>
      <c r="L2154">
        <v>289.45049999999998</v>
      </c>
      <c r="M2154">
        <v>-0.67327919999999997</v>
      </c>
      <c r="N2154">
        <v>0</v>
      </c>
      <c r="O2154">
        <v>-0.73923899999999998</v>
      </c>
      <c r="P2154">
        <v>-0.80289960000000005</v>
      </c>
      <c r="Q2154">
        <v>3.9063069999999998E-2</v>
      </c>
      <c r="R2154">
        <v>-0.59483330000000001</v>
      </c>
      <c r="S2154">
        <v>-3.2169490000000001</v>
      </c>
      <c r="T2154">
        <v>-0.587677</v>
      </c>
      <c r="U2154">
        <v>-0.77020259999999996</v>
      </c>
      <c r="V2154">
        <v>0.19365019999999999</v>
      </c>
      <c r="W2154">
        <v>5.14931E-2</v>
      </c>
      <c r="X2154">
        <v>0.97971830000000004</v>
      </c>
      <c r="Y2154">
        <v>0.54515309999999995</v>
      </c>
      <c r="Z2154">
        <v>0.1652605</v>
      </c>
      <c r="AA2154">
        <v>0.82188629999999996</v>
      </c>
      <c r="AB2154">
        <v>16</v>
      </c>
      <c r="AC2154">
        <v>-5.9353000000000096</v>
      </c>
      <c r="AD2154">
        <v>-1.1060337427810001</v>
      </c>
      <c r="AE2154">
        <v>-1.33449999999999</v>
      </c>
      <c r="AF2154">
        <v>3.37784576714437</v>
      </c>
      <c r="AG2154">
        <v>-1.1060337427810001</v>
      </c>
      <c r="AH2154">
        <v>4.8237317062763001</v>
      </c>
      <c r="AI2154">
        <v>100.63732029486199</v>
      </c>
      <c r="AJ2154">
        <v>54.998147259469498</v>
      </c>
      <c r="AK2154">
        <v>5.9917894022504301</v>
      </c>
      <c r="AL2154">
        <v>87.048357147794405</v>
      </c>
      <c r="AM2154">
        <v>78.819092584195303</v>
      </c>
      <c r="AN2154">
        <v>0.99999994333126796</v>
      </c>
    </row>
    <row r="2155" spans="1:40" x14ac:dyDescent="0.25">
      <c r="A2155" t="str">
        <f>"20190312153929786"</f>
        <v>20190312153929786</v>
      </c>
      <c r="B2155" t="str">
        <f>"1552376369777528"</f>
        <v>1552376369777528</v>
      </c>
      <c r="C2155" t="s">
        <v>40</v>
      </c>
      <c r="D2155">
        <v>4.5937580000000002</v>
      </c>
      <c r="E2155">
        <v>0.65332979999999996</v>
      </c>
      <c r="F2155" t="s">
        <v>54</v>
      </c>
      <c r="G2155">
        <v>-205.42140000000001</v>
      </c>
      <c r="H2155" s="1">
        <v>4.3197740000000003E-6</v>
      </c>
      <c r="I2155">
        <v>288.0634</v>
      </c>
      <c r="J2155">
        <v>-199.48150000000001</v>
      </c>
      <c r="K2155">
        <v>1.1060369999999999</v>
      </c>
      <c r="L2155">
        <v>289.33100000000002</v>
      </c>
      <c r="M2155">
        <v>-0.68108599999999997</v>
      </c>
      <c r="N2155">
        <v>0</v>
      </c>
      <c r="O2155">
        <v>-0.73205259999999905</v>
      </c>
      <c r="P2155">
        <v>-0.81085169999999995</v>
      </c>
      <c r="Q2155">
        <v>3.8063949999999999E-2</v>
      </c>
      <c r="R2155">
        <v>-0.58401269999999905</v>
      </c>
      <c r="S2155">
        <v>-3.2196349999999998</v>
      </c>
      <c r="T2155">
        <v>-0.58704049999999997</v>
      </c>
      <c r="U2155">
        <v>-0.73617549999999998</v>
      </c>
      <c r="V2155">
        <v>0.19641620000000001</v>
      </c>
      <c r="W2155">
        <v>5.0453989999999997E-2</v>
      </c>
      <c r="X2155">
        <v>0.97922160000000003</v>
      </c>
      <c r="Y2155">
        <v>0.54479549999999999</v>
      </c>
      <c r="Z2155">
        <v>0.1644688</v>
      </c>
      <c r="AA2155">
        <v>0.82228210000000002</v>
      </c>
      <c r="AB2155">
        <v>16</v>
      </c>
      <c r="AC2155">
        <v>-5.93989999999999</v>
      </c>
      <c r="AD2155">
        <v>-1.1060326802259901</v>
      </c>
      <c r="AE2155">
        <v>-1.2675999999999501</v>
      </c>
      <c r="AF2155">
        <v>3.3734889830119301</v>
      </c>
      <c r="AG2155">
        <v>-1.1060326802259901</v>
      </c>
      <c r="AH2155">
        <v>4.8144274382573604</v>
      </c>
      <c r="AI2155">
        <v>100.65520357751301</v>
      </c>
      <c r="AJ2155">
        <v>54.980914112607103</v>
      </c>
      <c r="AK2155">
        <v>5.9818431746808702</v>
      </c>
      <c r="AL2155">
        <v>87.107971246266999</v>
      </c>
      <c r="AM2155">
        <v>78.657896538020097</v>
      </c>
      <c r="AN2155">
        <v>0.99999993531795806</v>
      </c>
    </row>
    <row r="2156" spans="1:40" x14ac:dyDescent="0.25">
      <c r="A2156" t="str">
        <f>"20190312153929806"</f>
        <v>20190312153929806</v>
      </c>
      <c r="B2156" t="str">
        <f>"1552376369798025"</f>
        <v>1552376369798025</v>
      </c>
      <c r="C2156" t="s">
        <v>40</v>
      </c>
      <c r="D2156">
        <v>4.5980509999999999</v>
      </c>
      <c r="E2156">
        <v>0.65523109999999996</v>
      </c>
      <c r="F2156" t="s">
        <v>54</v>
      </c>
      <c r="G2156">
        <v>-205.77940000000001</v>
      </c>
      <c r="H2156" s="1">
        <v>4.5024140000000003E-6</v>
      </c>
      <c r="I2156">
        <v>287.79070000000002</v>
      </c>
      <c r="J2156">
        <v>-199.5958</v>
      </c>
      <c r="K2156">
        <v>1.1060430000000001</v>
      </c>
      <c r="L2156">
        <v>289.22489999999999</v>
      </c>
      <c r="M2156">
        <v>-0.68805269999999996</v>
      </c>
      <c r="N2156">
        <v>0</v>
      </c>
      <c r="O2156">
        <v>-0.72550859999999995</v>
      </c>
      <c r="P2156">
        <v>-0.81771709999999997</v>
      </c>
      <c r="Q2156">
        <v>3.9607669999999998E-2</v>
      </c>
      <c r="R2156">
        <v>-0.57425619999999999</v>
      </c>
      <c r="S2156">
        <v>-3.1678920000000002</v>
      </c>
      <c r="T2156">
        <v>-0.55634159999999999</v>
      </c>
      <c r="U2156">
        <v>-0.77474980000000004</v>
      </c>
      <c r="V2156">
        <v>0.1987527</v>
      </c>
      <c r="W2156">
        <v>5.196216E-2</v>
      </c>
      <c r="X2156">
        <v>0.97867119999999996</v>
      </c>
      <c r="Y2156">
        <v>0.5259142</v>
      </c>
      <c r="Z2156">
        <v>0.15578159999999999</v>
      </c>
      <c r="AA2156">
        <v>0.83614979999999905</v>
      </c>
      <c r="AB2156">
        <v>16</v>
      </c>
      <c r="AC2156">
        <v>-6.18360000000001</v>
      </c>
      <c r="AD2156">
        <v>-1.106038497586</v>
      </c>
      <c r="AE2156">
        <v>-1.4341999999999699</v>
      </c>
      <c r="AF2156">
        <v>3.3967119257496301</v>
      </c>
      <c r="AG2156">
        <v>-1.106038497586</v>
      </c>
      <c r="AH2156">
        <v>5.1397100447626904</v>
      </c>
      <c r="AI2156">
        <v>100.177953867139</v>
      </c>
      <c r="AJ2156">
        <v>56.540234073880697</v>
      </c>
      <c r="AK2156">
        <v>6.2592006205989703</v>
      </c>
      <c r="AL2156">
        <v>87.021446157856303</v>
      </c>
      <c r="AM2156">
        <v>78.520251323684505</v>
      </c>
      <c r="AN2156">
        <v>1.00000000976929</v>
      </c>
    </row>
    <row r="2157" spans="1:40" x14ac:dyDescent="0.25">
      <c r="A2157" t="str">
        <f>"20190312153929829"</f>
        <v>20190312153929829</v>
      </c>
      <c r="B2157" t="str">
        <f>"1552376369817544"</f>
        <v>1552376369817544</v>
      </c>
      <c r="C2157" t="s">
        <v>40</v>
      </c>
      <c r="D2157">
        <v>4.6863929999999998</v>
      </c>
      <c r="E2157">
        <v>0.68174250000000003</v>
      </c>
      <c r="F2157" t="s">
        <v>54</v>
      </c>
      <c r="G2157">
        <v>-206.0598</v>
      </c>
      <c r="H2157" s="1">
        <v>4.6298589999999998E-6</v>
      </c>
      <c r="I2157">
        <v>287.75540000000001</v>
      </c>
      <c r="J2157">
        <v>-199.7208</v>
      </c>
      <c r="K2157">
        <v>1.106047</v>
      </c>
      <c r="L2157">
        <v>289.11130000000003</v>
      </c>
      <c r="M2157">
        <v>-0.69557959999999996</v>
      </c>
      <c r="N2157">
        <v>0</v>
      </c>
      <c r="O2157">
        <v>-0.71829519999999902</v>
      </c>
      <c r="P2157">
        <v>-0.82516809999999996</v>
      </c>
      <c r="Q2157">
        <v>4.1241149999999997E-2</v>
      </c>
      <c r="R2157">
        <v>-0.56337950000000003</v>
      </c>
      <c r="S2157">
        <v>-3.1864319999999999</v>
      </c>
      <c r="T2157">
        <v>-0.54521730000000002</v>
      </c>
      <c r="U2157">
        <v>-0.72442629999999997</v>
      </c>
      <c r="V2157">
        <v>0.20146829999999999</v>
      </c>
      <c r="W2157">
        <v>5.3553049999999998E-2</v>
      </c>
      <c r="X2157">
        <v>0.97802999999999995</v>
      </c>
      <c r="Y2157">
        <v>0.53141890000000003</v>
      </c>
      <c r="Z2157">
        <v>0.15200549999999999</v>
      </c>
      <c r="AA2157">
        <v>0.83335969999999904</v>
      </c>
      <c r="AB2157">
        <v>16</v>
      </c>
      <c r="AC2157">
        <v>-6.3389999999999898</v>
      </c>
      <c r="AD2157">
        <v>-1.106042370141</v>
      </c>
      <c r="AE2157">
        <v>-1.3559000000000101</v>
      </c>
      <c r="AF2157">
        <v>3.50839914764504</v>
      </c>
      <c r="AG2157">
        <v>-1.106042370141</v>
      </c>
      <c r="AH2157">
        <v>5.2315104364159399</v>
      </c>
      <c r="AI2157">
        <v>99.959030403237904</v>
      </c>
      <c r="AJ2157">
        <v>56.153074808112699</v>
      </c>
      <c r="AK2157">
        <v>6.3953808135303802</v>
      </c>
      <c r="AL2157">
        <v>86.930167849345096</v>
      </c>
      <c r="AM2157">
        <v>78.360230018520198</v>
      </c>
      <c r="AN2157">
        <v>1.0000000429845901</v>
      </c>
    </row>
    <row r="2158" spans="1:40" x14ac:dyDescent="0.25">
      <c r="A2158" t="str">
        <f>"20190312153929850"</f>
        <v>20190312153929850</v>
      </c>
      <c r="B2158" t="str">
        <f>"1552376369847801"</f>
        <v>1552376369847801</v>
      </c>
      <c r="C2158" t="s">
        <v>40</v>
      </c>
      <c r="D2158">
        <v>4.679945</v>
      </c>
      <c r="E2158">
        <v>0.68948920000000002</v>
      </c>
      <c r="F2158" t="s">
        <v>54</v>
      </c>
      <c r="G2158">
        <v>-206.1885</v>
      </c>
      <c r="H2158" s="1">
        <v>4.6550819999999996E-6</v>
      </c>
      <c r="I2158">
        <v>288.11959999999999</v>
      </c>
      <c r="J2158">
        <v>-199.8366</v>
      </c>
      <c r="K2158">
        <v>1.106047</v>
      </c>
      <c r="L2158">
        <v>289.00830000000002</v>
      </c>
      <c r="M2158">
        <v>-0.70246039999999998</v>
      </c>
      <c r="N2158">
        <v>0</v>
      </c>
      <c r="O2158">
        <v>-0.71156759999999997</v>
      </c>
      <c r="P2158">
        <v>-0.83160230000000002</v>
      </c>
      <c r="Q2158">
        <v>4.2650260000000002E-2</v>
      </c>
      <c r="R2158">
        <v>-0.55373159999999999</v>
      </c>
      <c r="S2158">
        <v>-3.316757</v>
      </c>
      <c r="T2158">
        <v>-0.56719770000000003</v>
      </c>
      <c r="U2158">
        <v>-0.50854489999999997</v>
      </c>
      <c r="V2158">
        <v>0.2034135</v>
      </c>
      <c r="W2158">
        <v>5.492909E-2</v>
      </c>
      <c r="X2158">
        <v>0.9775509</v>
      </c>
      <c r="Y2158">
        <v>0.58084880000000005</v>
      </c>
      <c r="Z2158">
        <v>0.1570906</v>
      </c>
      <c r="AA2158">
        <v>0.79870969999999997</v>
      </c>
      <c r="AB2158">
        <v>16</v>
      </c>
      <c r="AC2158">
        <v>-6.3518999999999997</v>
      </c>
      <c r="AD2158">
        <v>-1.1060423449179999</v>
      </c>
      <c r="AE2158">
        <v>-0.88870000000002802</v>
      </c>
      <c r="AF2158">
        <v>3.7834465923199598</v>
      </c>
      <c r="AG2158">
        <v>-1.1060423449179999</v>
      </c>
      <c r="AH2158">
        <v>4.9477531375686503</v>
      </c>
      <c r="AI2158">
        <v>100.069416272919</v>
      </c>
      <c r="AJ2158">
        <v>52.595588458772198</v>
      </c>
      <c r="AK2158">
        <v>6.3259828403189404</v>
      </c>
      <c r="AL2158">
        <v>86.851210220697197</v>
      </c>
      <c r="AM2158">
        <v>78.245358387641602</v>
      </c>
      <c r="AN2158">
        <v>1.0000000095006401</v>
      </c>
    </row>
    <row r="2159" spans="1:40" x14ac:dyDescent="0.25">
      <c r="A2159" t="str">
        <f>"20190312153929872"</f>
        <v>20190312153929872</v>
      </c>
      <c r="B2159" t="str">
        <f>"1552376369868296"</f>
        <v>1552376369868296</v>
      </c>
      <c r="C2159" t="s">
        <v>40</v>
      </c>
      <c r="D2159">
        <v>4.6910980000000002</v>
      </c>
      <c r="E2159">
        <v>0.69022280000000003</v>
      </c>
      <c r="F2159" t="s">
        <v>54</v>
      </c>
      <c r="G2159">
        <v>-205.5445</v>
      </c>
      <c r="H2159" s="1">
        <v>4.3543570000000001E-6</v>
      </c>
      <c r="I2159">
        <v>288.29270000000002</v>
      </c>
      <c r="J2159">
        <v>-199.95760000000001</v>
      </c>
      <c r="K2159">
        <v>1.106028</v>
      </c>
      <c r="L2159">
        <v>288.90269999999998</v>
      </c>
      <c r="M2159">
        <v>-0.70957650000000005</v>
      </c>
      <c r="N2159">
        <v>0</v>
      </c>
      <c r="O2159">
        <v>-0.70447159999999998</v>
      </c>
      <c r="P2159">
        <v>-0.83824140000000003</v>
      </c>
      <c r="Q2159">
        <v>4.3475449999999999E-2</v>
      </c>
      <c r="R2159">
        <v>-0.54356380000000004</v>
      </c>
      <c r="S2159">
        <v>-3.3603670000000001</v>
      </c>
      <c r="T2159">
        <v>-0.65114469999999902</v>
      </c>
      <c r="U2159">
        <v>-0.42129519999999998</v>
      </c>
      <c r="V2159">
        <v>0.20547570000000001</v>
      </c>
      <c r="W2159">
        <v>5.5717990000000002E-2</v>
      </c>
      <c r="X2159">
        <v>0.97707480000000002</v>
      </c>
      <c r="Y2159">
        <v>0.58978419999999998</v>
      </c>
      <c r="Z2159">
        <v>0.17823800000000001</v>
      </c>
      <c r="AA2159">
        <v>0.78764579999999995</v>
      </c>
      <c r="AB2159">
        <v>16</v>
      </c>
      <c r="AC2159">
        <v>-5.5868999999999804</v>
      </c>
      <c r="AD2159">
        <v>-1.1060236456429999</v>
      </c>
      <c r="AE2159">
        <v>-0.60999999999995602</v>
      </c>
      <c r="AF2159">
        <v>3.37273394306116</v>
      </c>
      <c r="AG2159">
        <v>-1.1060236456429999</v>
      </c>
      <c r="AH2159">
        <v>4.2306940625670002</v>
      </c>
      <c r="AI2159">
        <v>101.553210653817</v>
      </c>
      <c r="AJ2159">
        <v>51.437943507070401</v>
      </c>
      <c r="AK2159">
        <v>5.5224446404140597</v>
      </c>
      <c r="AL2159">
        <v>86.8059400933397</v>
      </c>
      <c r="AM2159">
        <v>78.123934939989795</v>
      </c>
      <c r="AN2159">
        <v>0.99999996124758395</v>
      </c>
    </row>
    <row r="2160" spans="1:40" x14ac:dyDescent="0.25">
      <c r="A2160" t="str">
        <f>"20190312153929895"</f>
        <v>20190312153929895</v>
      </c>
      <c r="B2160" t="str">
        <f>"1552376369887817"</f>
        <v>1552376369887817</v>
      </c>
      <c r="C2160" t="s">
        <v>40</v>
      </c>
      <c r="D2160">
        <v>4.5748519999999999</v>
      </c>
      <c r="E2160">
        <v>0.69000819999999996</v>
      </c>
      <c r="F2160" t="s">
        <v>54</v>
      </c>
      <c r="G2160">
        <v>-205.73589999999999</v>
      </c>
      <c r="H2160" s="1">
        <v>4.4424930000000003E-6</v>
      </c>
      <c r="I2160">
        <v>288.25540000000001</v>
      </c>
      <c r="J2160">
        <v>-200.09180000000001</v>
      </c>
      <c r="K2160">
        <v>1.1060049999999999</v>
      </c>
      <c r="L2160">
        <v>288.78829999999999</v>
      </c>
      <c r="M2160">
        <v>-0.71736330000000004</v>
      </c>
      <c r="N2160">
        <v>0</v>
      </c>
      <c r="O2160">
        <v>-0.69654050000000001</v>
      </c>
      <c r="P2160">
        <v>-0.84482549999999901</v>
      </c>
      <c r="Q2160">
        <v>4.3752920000000001E-2</v>
      </c>
      <c r="R2160">
        <v>-0.53325019999999901</v>
      </c>
      <c r="S2160">
        <v>-3.3677060000000001</v>
      </c>
      <c r="T2160">
        <v>-0.64461349999999995</v>
      </c>
      <c r="U2160">
        <v>-0.37728879999999998</v>
      </c>
      <c r="V2160">
        <v>0.20658650000000001</v>
      </c>
      <c r="W2160">
        <v>5.5972229999999998E-2</v>
      </c>
      <c r="X2160">
        <v>0.97682610000000003</v>
      </c>
      <c r="Y2160">
        <v>0.59179899999999996</v>
      </c>
      <c r="Z2160">
        <v>0.1755766</v>
      </c>
      <c r="AA2160">
        <v>0.78673169999999903</v>
      </c>
      <c r="AB2160">
        <v>16</v>
      </c>
      <c r="AC2160">
        <v>-5.6440999999999804</v>
      </c>
      <c r="AD2160">
        <v>-1.106000557507</v>
      </c>
      <c r="AE2160">
        <v>-0.53289999999998305</v>
      </c>
      <c r="AF2160">
        <v>3.4193153992148799</v>
      </c>
      <c r="AG2160">
        <v>-1.106000557507</v>
      </c>
      <c r="AH2160">
        <v>4.2584690130306004</v>
      </c>
      <c r="AI2160">
        <v>101.448386745319</v>
      </c>
      <c r="AJ2160">
        <v>51.237459803717002</v>
      </c>
      <c r="AK2160">
        <v>5.57220902043845</v>
      </c>
      <c r="AL2160">
        <v>86.791350734324595</v>
      </c>
      <c r="AM2160">
        <v>78.058618209072606</v>
      </c>
      <c r="AN2160">
        <v>1.0000000510773099</v>
      </c>
    </row>
    <row r="2161" spans="1:40" x14ac:dyDescent="0.25">
      <c r="A2161" t="str">
        <f>"20190312153929918"</f>
        <v>20190312153929918</v>
      </c>
      <c r="B2161" t="str">
        <f>"1552376369908312"</f>
        <v>1552376369908312</v>
      </c>
      <c r="C2161" t="s">
        <v>40</v>
      </c>
      <c r="D2161">
        <v>4.5805610000000003</v>
      </c>
      <c r="E2161">
        <v>0.68893450000000001</v>
      </c>
      <c r="F2161" t="s">
        <v>54</v>
      </c>
      <c r="G2161">
        <v>-205.97579999999999</v>
      </c>
      <c r="H2161" s="1">
        <v>4.5540860000000002E-6</v>
      </c>
      <c r="I2161">
        <v>288.19589999999999</v>
      </c>
      <c r="J2161">
        <v>-200.21680000000001</v>
      </c>
      <c r="K2161">
        <v>1.10599</v>
      </c>
      <c r="L2161">
        <v>288.68419999999998</v>
      </c>
      <c r="M2161">
        <v>-0.72452969999999906</v>
      </c>
      <c r="N2161">
        <v>0</v>
      </c>
      <c r="O2161">
        <v>-0.689083</v>
      </c>
      <c r="P2161">
        <v>-0.85046939999999904</v>
      </c>
      <c r="Q2161">
        <v>4.463222E-2</v>
      </c>
      <c r="R2161">
        <v>-0.52412799999999904</v>
      </c>
      <c r="S2161">
        <v>-3.3697050000000002</v>
      </c>
      <c r="T2161">
        <v>-0.63338749999999999</v>
      </c>
      <c r="U2161">
        <v>-0.33926390000000001</v>
      </c>
      <c r="V2161">
        <v>0.2069763</v>
      </c>
      <c r="W2161">
        <v>5.6839630000000002E-2</v>
      </c>
      <c r="X2161">
        <v>0.97669349999999999</v>
      </c>
      <c r="Y2161">
        <v>0.5931575</v>
      </c>
      <c r="Z2161">
        <v>0.171877799999999</v>
      </c>
      <c r="AA2161">
        <v>0.78652540000000004</v>
      </c>
      <c r="AB2161">
        <v>16</v>
      </c>
      <c r="AC2161">
        <v>-5.7589999999999799</v>
      </c>
      <c r="AD2161">
        <v>-1.1059854459139999</v>
      </c>
      <c r="AE2161">
        <v>-0.48829999999998103</v>
      </c>
      <c r="AF2161">
        <v>3.4873420352103301</v>
      </c>
      <c r="AG2161">
        <v>-1.1059854459139999</v>
      </c>
      <c r="AH2161">
        <v>4.3502478470270498</v>
      </c>
      <c r="AI2161">
        <v>101.21984051298099</v>
      </c>
      <c r="AJ2161">
        <v>51.282866807595603</v>
      </c>
      <c r="AK2161">
        <v>5.6841371031742396</v>
      </c>
      <c r="AL2161">
        <v>86.741573163773595</v>
      </c>
      <c r="AM2161">
        <v>78.035157708146798</v>
      </c>
      <c r="AN2161">
        <v>1.00000006262123</v>
      </c>
    </row>
    <row r="2162" spans="1:40" x14ac:dyDescent="0.25">
      <c r="A2162" t="str">
        <f>"20190312153929940"</f>
        <v>20190312153929940</v>
      </c>
      <c r="B2162" t="str">
        <f>"1552376369937593"</f>
        <v>1552376369937593</v>
      </c>
      <c r="C2162" t="s">
        <v>40</v>
      </c>
      <c r="D2162">
        <v>4.5656549999999996</v>
      </c>
      <c r="E2162">
        <v>0.68738929999999998</v>
      </c>
      <c r="F2162" t="s">
        <v>54</v>
      </c>
      <c r="G2162">
        <v>-206.28110000000001</v>
      </c>
      <c r="H2162" s="1">
        <v>4.6956210000000004E-6</v>
      </c>
      <c r="I2162">
        <v>288.12529999999998</v>
      </c>
      <c r="J2162">
        <v>-200.3432</v>
      </c>
      <c r="K2162">
        <v>1.1059760000000001</v>
      </c>
      <c r="L2162">
        <v>288.58120000000002</v>
      </c>
      <c r="M2162">
        <v>-0.73168949999999999</v>
      </c>
      <c r="N2162">
        <v>0</v>
      </c>
      <c r="O2162">
        <v>-0.68147530000000001</v>
      </c>
      <c r="P2162">
        <v>-0.85595270000000001</v>
      </c>
      <c r="Q2162">
        <v>4.5062619999999998E-2</v>
      </c>
      <c r="R2162">
        <v>-0.51508670000000001</v>
      </c>
      <c r="S2162">
        <v>-3.3683779999999999</v>
      </c>
      <c r="T2162">
        <v>-0.6143132</v>
      </c>
      <c r="U2162">
        <v>-0.3104248</v>
      </c>
      <c r="V2162">
        <v>0.20711360000000001</v>
      </c>
      <c r="W2162">
        <v>5.7263799999999997E-2</v>
      </c>
      <c r="X2162">
        <v>0.97663960000000005</v>
      </c>
      <c r="Y2162">
        <v>0.59272559999999996</v>
      </c>
      <c r="Z2162">
        <v>0.1660182</v>
      </c>
      <c r="AA2162">
        <v>0.78810809999999998</v>
      </c>
      <c r="AB2162">
        <v>16</v>
      </c>
      <c r="AC2162">
        <v>-5.9379000000000097</v>
      </c>
      <c r="AD2162">
        <v>-1.105971304379</v>
      </c>
      <c r="AE2162">
        <v>-0.45590000000004199</v>
      </c>
      <c r="AF2162">
        <v>3.5895694849392701</v>
      </c>
      <c r="AG2162">
        <v>-1.105971304379</v>
      </c>
      <c r="AH2162">
        <v>4.5006803027791298</v>
      </c>
      <c r="AI2162">
        <v>100.874853380353</v>
      </c>
      <c r="AJ2162">
        <v>51.425484496862502</v>
      </c>
      <c r="AK2162">
        <v>5.86210753919962</v>
      </c>
      <c r="AL2162">
        <v>86.717230314658096</v>
      </c>
      <c r="AM2162">
        <v>78.026807973071001</v>
      </c>
      <c r="AN2162">
        <v>1.00000004719177</v>
      </c>
    </row>
    <row r="2163" spans="1:40" x14ac:dyDescent="0.25">
      <c r="A2163" t="str">
        <f>"20190312153929964"</f>
        <v>20190312153929964</v>
      </c>
      <c r="B2163" t="str">
        <f>"1552376369958089"</f>
        <v>1552376369958089</v>
      </c>
      <c r="C2163" t="s">
        <v>40</v>
      </c>
      <c r="D2163">
        <v>4.5696389999999996</v>
      </c>
      <c r="E2163">
        <v>0.6860463</v>
      </c>
      <c r="F2163" t="s">
        <v>54</v>
      </c>
      <c r="G2163">
        <v>-206.4632</v>
      </c>
      <c r="H2163" s="1">
        <v>4.7820089999999997E-6</v>
      </c>
      <c r="I2163">
        <v>288.06119999999999</v>
      </c>
      <c r="J2163">
        <v>-200.4828</v>
      </c>
      <c r="K2163">
        <v>1.105966</v>
      </c>
      <c r="L2163">
        <v>288.47039999999998</v>
      </c>
      <c r="M2163">
        <v>-0.73947689999999999</v>
      </c>
      <c r="N2163">
        <v>0</v>
      </c>
      <c r="O2163">
        <v>-0.67301730000000004</v>
      </c>
      <c r="P2163">
        <v>-0.86187169999999902</v>
      </c>
      <c r="Q2163">
        <v>4.5027409999999997E-2</v>
      </c>
      <c r="R2163">
        <v>-0.50512409999999996</v>
      </c>
      <c r="S2163">
        <v>-3.3648069999999999</v>
      </c>
      <c r="T2163">
        <v>-0.60807</v>
      </c>
      <c r="U2163">
        <v>-0.28594969999999997</v>
      </c>
      <c r="V2163">
        <v>0.2072146</v>
      </c>
      <c r="W2163">
        <v>5.7227630000000002E-2</v>
      </c>
      <c r="X2163">
        <v>0.9766203</v>
      </c>
      <c r="Y2163">
        <v>0.58965019999999901</v>
      </c>
      <c r="Z2163">
        <v>0.1633115</v>
      </c>
      <c r="AA2163">
        <v>0.79097530000000005</v>
      </c>
      <c r="AB2163">
        <v>16</v>
      </c>
      <c r="AC2163">
        <v>-5.9804000000000004</v>
      </c>
      <c r="AD2163">
        <v>-1.1059612179909999</v>
      </c>
      <c r="AE2163">
        <v>-0.40919999999999801</v>
      </c>
      <c r="AF2163">
        <v>3.6001807606329002</v>
      </c>
      <c r="AG2163">
        <v>-1.1059612179909999</v>
      </c>
      <c r="AH2163">
        <v>4.5436216692195401</v>
      </c>
      <c r="AI2163">
        <v>100.801093002253</v>
      </c>
      <c r="AJ2163">
        <v>51.608128348146501</v>
      </c>
      <c r="AK2163">
        <v>5.9016056796377798</v>
      </c>
      <c r="AL2163">
        <v>86.719306120220295</v>
      </c>
      <c r="AM2163">
        <v>78.020907920709305</v>
      </c>
      <c r="AN2163">
        <v>1.00000005123033</v>
      </c>
    </row>
    <row r="2164" spans="1:40" x14ac:dyDescent="0.25">
      <c r="A2164" t="str">
        <f>"20190312153929991"</f>
        <v>20190312153929991</v>
      </c>
      <c r="B2164" t="str">
        <f>"1552376369977609"</f>
        <v>1552376369977609</v>
      </c>
      <c r="C2164" t="s">
        <v>40</v>
      </c>
      <c r="D2164">
        <v>4.5722129999999996</v>
      </c>
      <c r="E2164">
        <v>0.6845869</v>
      </c>
      <c r="F2164" t="s">
        <v>54</v>
      </c>
      <c r="G2164">
        <v>-206.66829999999999</v>
      </c>
      <c r="H2164" s="1">
        <v>4.878316E-6</v>
      </c>
      <c r="I2164">
        <v>287.99979999999999</v>
      </c>
      <c r="J2164">
        <v>-200.61600000000001</v>
      </c>
      <c r="K2164">
        <v>1.1059600000000001</v>
      </c>
      <c r="L2164">
        <v>288.36700000000002</v>
      </c>
      <c r="M2164">
        <v>-0.74680159999999995</v>
      </c>
      <c r="N2164">
        <v>0</v>
      </c>
      <c r="O2164">
        <v>-0.66488019999999903</v>
      </c>
      <c r="P2164">
        <v>-0.86750130000000003</v>
      </c>
      <c r="Q2164">
        <v>4.373693E-2</v>
      </c>
      <c r="R2164">
        <v>-0.49550850000000002</v>
      </c>
      <c r="S2164">
        <v>-3.3622589999999901</v>
      </c>
      <c r="T2164">
        <v>-0.60116420000000004</v>
      </c>
      <c r="U2164">
        <v>-0.25582890000000003</v>
      </c>
      <c r="V2164">
        <v>0.20741109999999999</v>
      </c>
      <c r="W2164">
        <v>5.5939849999999999E-2</v>
      </c>
      <c r="X2164">
        <v>0.9766532</v>
      </c>
      <c r="Y2164">
        <v>0.58837759999999995</v>
      </c>
      <c r="Z2164">
        <v>0.16060279999999999</v>
      </c>
      <c r="AA2164">
        <v>0.79247619999999996</v>
      </c>
      <c r="AB2164">
        <v>16</v>
      </c>
      <c r="AC2164">
        <v>-6.0522999999999998</v>
      </c>
      <c r="AD2164">
        <v>-1.105955121684</v>
      </c>
      <c r="AE2164">
        <v>-0.36720000000002501</v>
      </c>
      <c r="AF2164">
        <v>3.6294952965315099</v>
      </c>
      <c r="AG2164">
        <v>-1.105955121684</v>
      </c>
      <c r="AH2164">
        <v>4.6111322002994202</v>
      </c>
      <c r="AI2164">
        <v>100.673103143246</v>
      </c>
      <c r="AJ2164">
        <v>51.793155274955197</v>
      </c>
      <c r="AK2164">
        <v>5.9715084365143101</v>
      </c>
      <c r="AL2164">
        <v>86.7932088862851</v>
      </c>
      <c r="AM2164">
        <v>78.010269063144307</v>
      </c>
      <c r="AN2164">
        <v>1.00000005214573</v>
      </c>
    </row>
    <row r="2165" spans="1:40" x14ac:dyDescent="0.25">
      <c r="A2165" t="str">
        <f>"20190312153930010"</f>
        <v>20190312153930010</v>
      </c>
      <c r="B2165" t="str">
        <f>"1552376369998105"</f>
        <v>1552376369998105</v>
      </c>
      <c r="C2165" t="s">
        <v>40</v>
      </c>
      <c r="D2165">
        <v>4.5217479999999997</v>
      </c>
      <c r="E2165">
        <v>0.68303840000000005</v>
      </c>
      <c r="F2165" t="s">
        <v>54</v>
      </c>
      <c r="G2165">
        <v>-206.81710000000001</v>
      </c>
      <c r="H2165" s="1">
        <v>4.9489089999999998E-6</v>
      </c>
      <c r="I2165">
        <v>287.9468</v>
      </c>
      <c r="J2165">
        <v>-200.74469999999999</v>
      </c>
      <c r="K2165">
        <v>1.1059570000000001</v>
      </c>
      <c r="L2165">
        <v>288.26929999999999</v>
      </c>
      <c r="M2165">
        <v>-0.75377969999999905</v>
      </c>
      <c r="N2165">
        <v>0</v>
      </c>
      <c r="O2165">
        <v>-0.65695819999999905</v>
      </c>
      <c r="P2165">
        <v>-0.87265729999999997</v>
      </c>
      <c r="Q2165">
        <v>4.2285900000000001E-2</v>
      </c>
      <c r="R2165">
        <v>-0.48649920000000002</v>
      </c>
      <c r="S2165">
        <v>-3.358444</v>
      </c>
      <c r="T2165">
        <v>-0.5989719</v>
      </c>
      <c r="U2165">
        <v>-0.22753909999999999</v>
      </c>
      <c r="V2165">
        <v>0.2072425</v>
      </c>
      <c r="W2165">
        <v>5.4497709999999998E-2</v>
      </c>
      <c r="X2165">
        <v>0.97677049999999999</v>
      </c>
      <c r="Y2165">
        <v>0.58670029999999995</v>
      </c>
      <c r="Z2165">
        <v>0.159162</v>
      </c>
      <c r="AA2165">
        <v>0.79400890000000002</v>
      </c>
      <c r="AB2165">
        <v>16</v>
      </c>
      <c r="AC2165">
        <v>-6.0724000000000098</v>
      </c>
      <c r="AD2165">
        <v>-1.1059520510909999</v>
      </c>
      <c r="AE2165">
        <v>-0.32249999999999002</v>
      </c>
      <c r="AF2165">
        <v>3.6266748680195802</v>
      </c>
      <c r="AG2165">
        <v>-1.1059520510909999</v>
      </c>
      <c r="AH2165">
        <v>4.6362970780991599</v>
      </c>
      <c r="AI2165">
        <v>100.64108251432</v>
      </c>
      <c r="AJ2165">
        <v>51.966230480562402</v>
      </c>
      <c r="AK2165">
        <v>5.9892529696138297</v>
      </c>
      <c r="AL2165">
        <v>86.875963622192998</v>
      </c>
      <c r="AM2165">
        <v>78.021130690525396</v>
      </c>
      <c r="AN2165">
        <v>1.0000000319358699</v>
      </c>
    </row>
    <row r="2166" spans="1:40" x14ac:dyDescent="0.25">
      <c r="A2166" t="str">
        <f>"20190312153930031"</f>
        <v>20190312153930031</v>
      </c>
      <c r="B2166" t="str">
        <f>"1552376370028361"</f>
        <v>1552376370028361</v>
      </c>
      <c r="C2166" t="s">
        <v>40</v>
      </c>
      <c r="D2166">
        <v>4.5392219999999996</v>
      </c>
      <c r="E2166">
        <v>0.68061329999999998</v>
      </c>
      <c r="F2166" t="s">
        <v>54</v>
      </c>
      <c r="G2166">
        <v>-206.99100000000001</v>
      </c>
      <c r="H2166" s="1">
        <v>5.0307629999999998E-6</v>
      </c>
      <c r="I2166">
        <v>287.8931</v>
      </c>
      <c r="J2166">
        <v>-200.86689999999999</v>
      </c>
      <c r="K2166">
        <v>1.105958</v>
      </c>
      <c r="L2166">
        <v>288.17860000000002</v>
      </c>
      <c r="M2166">
        <v>-0.7603065</v>
      </c>
      <c r="N2166">
        <v>0</v>
      </c>
      <c r="O2166">
        <v>-0.64939360000000002</v>
      </c>
      <c r="P2166">
        <v>-0.87696090000000004</v>
      </c>
      <c r="Q2166">
        <v>4.1671529999999998E-2</v>
      </c>
      <c r="R2166">
        <v>-0.47875190000000001</v>
      </c>
      <c r="S2166">
        <v>-3.3539430000000001</v>
      </c>
      <c r="T2166">
        <v>-0.59383769999999902</v>
      </c>
      <c r="U2166">
        <v>-0.2019958</v>
      </c>
      <c r="V2166">
        <v>0.20614379999999999</v>
      </c>
      <c r="W2166">
        <v>5.39035E-2</v>
      </c>
      <c r="X2166">
        <v>0.97703589999999996</v>
      </c>
      <c r="Y2166">
        <v>0.58500620000000003</v>
      </c>
      <c r="Z2166">
        <v>0.15700339999999999</v>
      </c>
      <c r="AA2166">
        <v>0.79568700000000003</v>
      </c>
      <c r="AB2166">
        <v>16</v>
      </c>
      <c r="AC2166">
        <v>-6.1240999999999897</v>
      </c>
      <c r="AD2166">
        <v>-1.105952969237</v>
      </c>
      <c r="AE2166">
        <v>-0.28550000000001302</v>
      </c>
      <c r="AF2166">
        <v>3.6417896378241901</v>
      </c>
      <c r="AG2166">
        <v>-1.105952969237</v>
      </c>
      <c r="AH2166">
        <v>4.68952524121877</v>
      </c>
      <c r="AI2166">
        <v>100.55127067765299</v>
      </c>
      <c r="AJ2166">
        <v>52.167815739724702</v>
      </c>
      <c r="AK2166">
        <v>6.0396531957021899</v>
      </c>
      <c r="AL2166">
        <v>86.910059371968899</v>
      </c>
      <c r="AM2166">
        <v>78.085961107821703</v>
      </c>
      <c r="AN2166">
        <v>1.0000000017397499</v>
      </c>
    </row>
    <row r="2167" spans="1:40" x14ac:dyDescent="0.25">
      <c r="A2167" t="str">
        <f>"20190312153930052"</f>
        <v>20190312153930052</v>
      </c>
      <c r="B2167" t="str">
        <f>"1552376370047881"</f>
        <v>1552376370047881</v>
      </c>
      <c r="C2167" t="s">
        <v>40</v>
      </c>
      <c r="D2167">
        <v>4.5182719999999996</v>
      </c>
      <c r="E2167">
        <v>0.67991089999999998</v>
      </c>
      <c r="F2167" t="s">
        <v>54</v>
      </c>
      <c r="G2167">
        <v>-207.20920000000001</v>
      </c>
      <c r="H2167" s="1">
        <v>5.1336409999999999E-6</v>
      </c>
      <c r="I2167">
        <v>287.8227</v>
      </c>
      <c r="J2167">
        <v>-200.99440000000001</v>
      </c>
      <c r="K2167">
        <v>1.10595</v>
      </c>
      <c r="L2167">
        <v>288.08609999999999</v>
      </c>
      <c r="M2167">
        <v>-0.76702899999999996</v>
      </c>
      <c r="N2167">
        <v>0</v>
      </c>
      <c r="O2167">
        <v>-0.64143919999999999</v>
      </c>
      <c r="P2167">
        <v>-0.88158740000000002</v>
      </c>
      <c r="Q2167">
        <v>4.0827700000000001E-2</v>
      </c>
      <c r="R2167">
        <v>-0.47025230000000001</v>
      </c>
      <c r="S2167">
        <v>-3.3461150000000002</v>
      </c>
      <c r="T2167">
        <v>-0.58348630000000001</v>
      </c>
      <c r="U2167">
        <v>-0.18780520000000001</v>
      </c>
      <c r="V2167">
        <v>0.20542759999999999</v>
      </c>
      <c r="W2167">
        <v>5.3072609999999999E-2</v>
      </c>
      <c r="X2167">
        <v>0.9772322</v>
      </c>
      <c r="Y2167">
        <v>0.58057119999999995</v>
      </c>
      <c r="Z2167">
        <v>0.1533051</v>
      </c>
      <c r="AA2167">
        <v>0.79964659999999999</v>
      </c>
      <c r="AB2167">
        <v>16</v>
      </c>
      <c r="AC2167">
        <v>-6.2147999999999897</v>
      </c>
      <c r="AD2167">
        <v>-1.1059448663589999</v>
      </c>
      <c r="AE2167">
        <v>-0.26339999999998998</v>
      </c>
      <c r="AF2167">
        <v>3.6688275719263301</v>
      </c>
      <c r="AG2167">
        <v>-1.1059448663589999</v>
      </c>
      <c r="AH2167">
        <v>4.7851731828288502</v>
      </c>
      <c r="AI2167">
        <v>100.393327867889</v>
      </c>
      <c r="AJ2167">
        <v>52.522351471246097</v>
      </c>
      <c r="AK2167">
        <v>6.1303582431711998</v>
      </c>
      <c r="AL2167">
        <v>86.957734064745594</v>
      </c>
      <c r="AM2167">
        <v>78.128494238295701</v>
      </c>
      <c r="AN2167">
        <v>0.99999998674540502</v>
      </c>
    </row>
    <row r="2168" spans="1:40" x14ac:dyDescent="0.25">
      <c r="A2168" t="str">
        <f>"20190312153930074"</f>
        <v>20190312153930074</v>
      </c>
      <c r="B2168" t="str">
        <f>"1552376370068377"</f>
        <v>1552376370068377</v>
      </c>
      <c r="C2168" t="s">
        <v>40</v>
      </c>
      <c r="D2168">
        <v>4.5094079999999996</v>
      </c>
      <c r="E2168">
        <v>0.66166340000000001</v>
      </c>
      <c r="F2168" t="s">
        <v>54</v>
      </c>
      <c r="G2168">
        <v>-207.322</v>
      </c>
      <c r="H2168" s="1">
        <v>5.1872029999999898E-6</v>
      </c>
      <c r="I2168">
        <v>287.78230000000002</v>
      </c>
      <c r="J2168">
        <v>-201.12039999999999</v>
      </c>
      <c r="K2168">
        <v>1.1059300000000001</v>
      </c>
      <c r="L2168">
        <v>287.9966</v>
      </c>
      <c r="M2168">
        <v>-0.77357010000000004</v>
      </c>
      <c r="N2168">
        <v>0</v>
      </c>
      <c r="O2168">
        <v>-0.63353519999999997</v>
      </c>
      <c r="P2168">
        <v>-0.88614029999999999</v>
      </c>
      <c r="Q2168">
        <v>3.9289669999999999E-2</v>
      </c>
      <c r="R2168">
        <v>-0.46174880000000001</v>
      </c>
      <c r="S2168">
        <v>-3.3443909999999999</v>
      </c>
      <c r="T2168">
        <v>-0.58453889999999997</v>
      </c>
      <c r="U2168">
        <v>-0.16052249999999901</v>
      </c>
      <c r="V2168">
        <v>0.20482939999999999</v>
      </c>
      <c r="W2168">
        <v>5.1545010000000002E-2</v>
      </c>
      <c r="X2168">
        <v>0.97743950000000002</v>
      </c>
      <c r="Y2168">
        <v>0.57881490000000002</v>
      </c>
      <c r="Z2168">
        <v>0.15256439999999999</v>
      </c>
      <c r="AA2168">
        <v>0.8010602</v>
      </c>
      <c r="AB2168">
        <v>16</v>
      </c>
      <c r="AC2168">
        <v>-6.2016000000000098</v>
      </c>
      <c r="AD2168">
        <v>-1.1059248127969901</v>
      </c>
      <c r="AE2168">
        <v>-0.21429999999998001</v>
      </c>
      <c r="AF2168">
        <v>3.6477111593373501</v>
      </c>
      <c r="AG2168">
        <v>-1.1059248127969901</v>
      </c>
      <c r="AH2168">
        <v>4.7818019639110902</v>
      </c>
      <c r="AI2168">
        <v>100.41935251588001</v>
      </c>
      <c r="AJ2168">
        <v>52.6624557843299</v>
      </c>
      <c r="AK2168">
        <v>6.1151039578717103</v>
      </c>
      <c r="AL2168">
        <v>87.045379058413801</v>
      </c>
      <c r="AM2168">
        <v>78.164526788880494</v>
      </c>
      <c r="AN2168">
        <v>0.99999997366025395</v>
      </c>
    </row>
    <row r="2169" spans="1:40" x14ac:dyDescent="0.25">
      <c r="A2169" t="str">
        <f>"20190312153930097"</f>
        <v>20190312153930097</v>
      </c>
      <c r="B2169" t="str">
        <f>"1552376370087897"</f>
        <v>1552376370087897</v>
      </c>
      <c r="C2169" t="s">
        <v>40</v>
      </c>
      <c r="D2169">
        <v>4.4862900000000003</v>
      </c>
      <c r="E2169">
        <v>0.66045730000000002</v>
      </c>
      <c r="F2169" t="s">
        <v>54</v>
      </c>
      <c r="G2169">
        <v>-208.2098</v>
      </c>
      <c r="H2169" s="1">
        <v>5.610571E-6</v>
      </c>
      <c r="I2169">
        <v>287.44310000000002</v>
      </c>
      <c r="J2169">
        <v>-201.2611</v>
      </c>
      <c r="K2169">
        <v>1.10592</v>
      </c>
      <c r="L2169">
        <v>287.899</v>
      </c>
      <c r="M2169">
        <v>-0.78076999999999996</v>
      </c>
      <c r="N2169">
        <v>0</v>
      </c>
      <c r="O2169">
        <v>-0.62464059999999999</v>
      </c>
      <c r="P2169">
        <v>-0.89113999999999904</v>
      </c>
      <c r="Q2169">
        <v>3.7268219999999998E-2</v>
      </c>
      <c r="R2169">
        <v>-0.4521964</v>
      </c>
      <c r="S2169">
        <v>-3.2748719999999998</v>
      </c>
      <c r="T2169">
        <v>-0.51086699999999996</v>
      </c>
      <c r="U2169">
        <v>-0.25570680000000001</v>
      </c>
      <c r="V2169">
        <v>0.20418269999999999</v>
      </c>
      <c r="W2169">
        <v>4.9534380000000003E-2</v>
      </c>
      <c r="X2169">
        <v>0.97767879999999996</v>
      </c>
      <c r="Y2169">
        <v>0.54901359999999999</v>
      </c>
      <c r="Z2169">
        <v>0.13267319999999999</v>
      </c>
      <c r="AA2169">
        <v>0.82521619999999996</v>
      </c>
      <c r="AB2169">
        <v>16</v>
      </c>
      <c r="AC2169">
        <v>-6.9486999999999997</v>
      </c>
      <c r="AD2169">
        <v>-1.105914389429</v>
      </c>
      <c r="AE2169">
        <v>-0.45589999999998498</v>
      </c>
      <c r="AF2169">
        <v>3.8868968363241798</v>
      </c>
      <c r="AG2169">
        <v>-1.105914389429</v>
      </c>
      <c r="AH2169">
        <v>5.5702549780168003</v>
      </c>
      <c r="AI2169">
        <v>99.247647134436093</v>
      </c>
      <c r="AJ2169">
        <v>55.092852443257399</v>
      </c>
      <c r="AK2169">
        <v>6.8817696977662601</v>
      </c>
      <c r="AL2169">
        <v>87.160727271170501</v>
      </c>
      <c r="AM2169">
        <v>78.203652402083605</v>
      </c>
      <c r="AN2169">
        <v>1.00000003287535</v>
      </c>
    </row>
    <row r="2170" spans="1:40" x14ac:dyDescent="0.25">
      <c r="A2170" t="str">
        <f>"20190312153930120"</f>
        <v>20190312153930120</v>
      </c>
      <c r="B2170" t="str">
        <f>"1552376370107417"</f>
        <v>1552376370107417</v>
      </c>
      <c r="C2170" t="s">
        <v>40</v>
      </c>
      <c r="D2170">
        <v>4.4950729999999997</v>
      </c>
      <c r="E2170">
        <v>0.65925880000000003</v>
      </c>
      <c r="F2170" t="s">
        <v>54</v>
      </c>
      <c r="G2170">
        <v>-208.32490000000001</v>
      </c>
      <c r="H2170" s="1">
        <v>5.6647439999999997E-6</v>
      </c>
      <c r="I2170">
        <v>287.40710000000001</v>
      </c>
      <c r="J2170">
        <v>-201.39150000000001</v>
      </c>
      <c r="K2170">
        <v>1.1059139999999901</v>
      </c>
      <c r="L2170">
        <v>287.81110000000001</v>
      </c>
      <c r="M2170">
        <v>-0.78733180000000003</v>
      </c>
      <c r="N2170">
        <v>0</v>
      </c>
      <c r="O2170">
        <v>-0.61634919999999904</v>
      </c>
      <c r="P2170">
        <v>-0.89576039999999901</v>
      </c>
      <c r="Q2170">
        <v>3.7151910000000003E-2</v>
      </c>
      <c r="R2170">
        <v>-0.4429824</v>
      </c>
      <c r="S2170">
        <v>-3.272278</v>
      </c>
      <c r="T2170">
        <v>-0.51231320000000002</v>
      </c>
      <c r="U2170">
        <v>-0.22787479999999999</v>
      </c>
      <c r="V2170">
        <v>0.2039282</v>
      </c>
      <c r="W2170">
        <v>4.942245E-2</v>
      </c>
      <c r="X2170">
        <v>0.97773750000000004</v>
      </c>
      <c r="Y2170">
        <v>0.54716030000000004</v>
      </c>
      <c r="Z2170">
        <v>0.13210769999999999</v>
      </c>
      <c r="AA2170">
        <v>0.82653679999999996</v>
      </c>
      <c r="AB2170">
        <v>16</v>
      </c>
      <c r="AC2170">
        <v>-6.9333999999999998</v>
      </c>
      <c r="AD2170">
        <v>-1.10590833525599</v>
      </c>
      <c r="AE2170">
        <v>-0.40399999999999597</v>
      </c>
      <c r="AF2170">
        <v>3.85793303619044</v>
      </c>
      <c r="AG2170">
        <v>-1.10590833525599</v>
      </c>
      <c r="AH2170">
        <v>5.56736216725833</v>
      </c>
      <c r="AI2170">
        <v>99.272967966047403</v>
      </c>
      <c r="AJ2170">
        <v>55.2797715518942</v>
      </c>
      <c r="AK2170">
        <v>6.8631044039223097</v>
      </c>
      <c r="AL2170">
        <v>87.167148028720007</v>
      </c>
      <c r="AM2170">
        <v>78.218632087585704</v>
      </c>
      <c r="AN2170">
        <v>0.999999954112745</v>
      </c>
    </row>
    <row r="2171" spans="1:40" x14ac:dyDescent="0.25">
      <c r="A2171" t="str">
        <f>"20190312153930142"</f>
        <v>20190312153930142</v>
      </c>
      <c r="B2171" t="str">
        <f>"1552376370137673"</f>
        <v>1552376370137673</v>
      </c>
      <c r="C2171" t="s">
        <v>40</v>
      </c>
      <c r="D2171">
        <v>4.4355349999999998</v>
      </c>
      <c r="E2171">
        <v>0.65759440000000002</v>
      </c>
      <c r="F2171" t="s">
        <v>54</v>
      </c>
      <c r="G2171">
        <v>-208.4896</v>
      </c>
      <c r="H2171" s="1">
        <v>5.7409130000000001E-6</v>
      </c>
      <c r="I2171">
        <v>287.37169999999998</v>
      </c>
      <c r="J2171">
        <v>-201.52850000000001</v>
      </c>
      <c r="K2171">
        <v>1.105918</v>
      </c>
      <c r="L2171">
        <v>287.7208</v>
      </c>
      <c r="M2171">
        <v>-0.79411730000000003</v>
      </c>
      <c r="N2171">
        <v>0</v>
      </c>
      <c r="O2171">
        <v>-0.60758109999999999</v>
      </c>
      <c r="P2171">
        <v>-0.90074600000000005</v>
      </c>
      <c r="Q2171">
        <v>3.7482219999999997E-2</v>
      </c>
      <c r="R2171">
        <v>-0.4327261</v>
      </c>
      <c r="S2171">
        <v>-3.2701259999999999</v>
      </c>
      <c r="T2171">
        <v>-0.50949100000000003</v>
      </c>
      <c r="U2171">
        <v>-0.20242309999999999</v>
      </c>
      <c r="V2171">
        <v>0.20424629999999999</v>
      </c>
      <c r="W2171">
        <v>4.9750589999999997E-2</v>
      </c>
      <c r="X2171">
        <v>0.97765449999999998</v>
      </c>
      <c r="Y2171">
        <v>0.54454089999999999</v>
      </c>
      <c r="Z2171">
        <v>0.13029470000000001</v>
      </c>
      <c r="AA2171">
        <v>0.82855210000000001</v>
      </c>
      <c r="AB2171">
        <v>16</v>
      </c>
      <c r="AC2171">
        <v>-6.9610999999999796</v>
      </c>
      <c r="AD2171">
        <v>-1.1059122590870001</v>
      </c>
      <c r="AE2171">
        <v>-0.349100000000021</v>
      </c>
      <c r="AF2171">
        <v>3.85557723885695</v>
      </c>
      <c r="AG2171">
        <v>-1.1059122590870001</v>
      </c>
      <c r="AH2171">
        <v>5.5996958609127399</v>
      </c>
      <c r="AI2171">
        <v>99.239135502677698</v>
      </c>
      <c r="AJ2171">
        <v>55.451293229641998</v>
      </c>
      <c r="AK2171">
        <v>6.8880411950215503</v>
      </c>
      <c r="AL2171">
        <v>87.148323955642596</v>
      </c>
      <c r="AM2171">
        <v>78.199795944512303</v>
      </c>
      <c r="AN2171">
        <v>0.99999999681964402</v>
      </c>
    </row>
    <row r="2172" spans="1:40" x14ac:dyDescent="0.25">
      <c r="A2172" t="str">
        <f>"20190312153930165"</f>
        <v>20190312153930165</v>
      </c>
      <c r="B2172" t="str">
        <f>"1552376370158169"</f>
        <v>1552376370158169</v>
      </c>
      <c r="C2172" t="s">
        <v>40</v>
      </c>
      <c r="D2172">
        <v>4.4535980000000004</v>
      </c>
      <c r="E2172">
        <v>0.65683389999999997</v>
      </c>
      <c r="F2172" t="s">
        <v>54</v>
      </c>
      <c r="G2172">
        <v>-208.6652</v>
      </c>
      <c r="H2172" s="1">
        <v>5.8220349999999901E-6</v>
      </c>
      <c r="I2172">
        <v>287.334</v>
      </c>
      <c r="J2172">
        <v>-201.66980000000001</v>
      </c>
      <c r="K2172">
        <v>1.1059270000000001</v>
      </c>
      <c r="L2172">
        <v>287.63010000000003</v>
      </c>
      <c r="M2172">
        <v>-0.80099299999999996</v>
      </c>
      <c r="N2172">
        <v>0</v>
      </c>
      <c r="O2172">
        <v>-0.59848749999999995</v>
      </c>
      <c r="P2172">
        <v>-0.90566329999999995</v>
      </c>
      <c r="Q2172">
        <v>3.668797E-2</v>
      </c>
      <c r="R2172">
        <v>-0.42240739999999999</v>
      </c>
      <c r="S2172">
        <v>-3.2665860000000002</v>
      </c>
      <c r="T2172">
        <v>-0.50619539999999996</v>
      </c>
      <c r="U2172">
        <v>-0.17703250000000001</v>
      </c>
      <c r="V2172">
        <v>0.20427780000000001</v>
      </c>
      <c r="W2172">
        <v>4.8963340000000001E-2</v>
      </c>
      <c r="X2172">
        <v>0.97768770000000005</v>
      </c>
      <c r="Y2172">
        <v>0.54165509999999994</v>
      </c>
      <c r="Z2172">
        <v>0.12834780000000001</v>
      </c>
      <c r="AA2172">
        <v>0.83074459999999894</v>
      </c>
      <c r="AB2172">
        <v>16</v>
      </c>
      <c r="AC2172">
        <v>-6.9953999999999796</v>
      </c>
      <c r="AD2172">
        <v>-1.105921177965</v>
      </c>
      <c r="AE2172">
        <v>-0.29610000000002401</v>
      </c>
      <c r="AF2172">
        <v>3.8537794006015802</v>
      </c>
      <c r="AG2172">
        <v>-1.105921177965</v>
      </c>
      <c r="AH2172">
        <v>5.6404029523805299</v>
      </c>
      <c r="AI2172">
        <v>99.1959352376265</v>
      </c>
      <c r="AJ2172">
        <v>55.657337030064198</v>
      </c>
      <c r="AK2172">
        <v>6.9201750545485199</v>
      </c>
      <c r="AL2172">
        <v>87.193485204668093</v>
      </c>
      <c r="AM2172">
        <v>78.198416618005197</v>
      </c>
      <c r="AN2172">
        <v>1.00000003348404</v>
      </c>
    </row>
    <row r="2173" spans="1:40" x14ac:dyDescent="0.25">
      <c r="A2173" t="str">
        <f>"20190312153930187"</f>
        <v>20190312153930187</v>
      </c>
      <c r="B2173" t="str">
        <f>"1552376370177689"</f>
        <v>1552376370177689</v>
      </c>
      <c r="C2173" t="s">
        <v>40</v>
      </c>
      <c r="D2173">
        <v>4.6744529999999997</v>
      </c>
      <c r="E2173">
        <v>0.65606830000000005</v>
      </c>
      <c r="F2173" t="s">
        <v>54</v>
      </c>
      <c r="G2173">
        <v>-208.8596</v>
      </c>
      <c r="H2173" s="1">
        <v>5.910286E-6</v>
      </c>
      <c r="I2173">
        <v>287.3109</v>
      </c>
      <c r="J2173">
        <v>-201.80019999999999</v>
      </c>
      <c r="K2173">
        <v>1.1059460000000001</v>
      </c>
      <c r="L2173">
        <v>287.54829999999998</v>
      </c>
      <c r="M2173">
        <v>-0.80722329999999998</v>
      </c>
      <c r="N2173">
        <v>0</v>
      </c>
      <c r="O2173">
        <v>-0.59005739999999995</v>
      </c>
      <c r="P2173">
        <v>-0.91000289999999995</v>
      </c>
      <c r="Q2173">
        <v>3.5909160000000002E-2</v>
      </c>
      <c r="R2173">
        <v>-0.41304390000000002</v>
      </c>
      <c r="S2173">
        <v>-3.265228</v>
      </c>
      <c r="T2173">
        <v>-0.50225059999999999</v>
      </c>
      <c r="U2173">
        <v>-0.144928</v>
      </c>
      <c r="V2173">
        <v>0.2041192</v>
      </c>
      <c r="W2173">
        <v>4.8196540000000003E-2</v>
      </c>
      <c r="X2173">
        <v>0.97775889999999999</v>
      </c>
      <c r="Y2173">
        <v>0.5412922</v>
      </c>
      <c r="Z2173">
        <v>0.12644330000000001</v>
      </c>
      <c r="AA2173">
        <v>0.83127299999999904</v>
      </c>
      <c r="AB2173">
        <v>16</v>
      </c>
      <c r="AC2173">
        <v>-7.0594000000000099</v>
      </c>
      <c r="AD2173">
        <v>-1.1059400897139999</v>
      </c>
      <c r="AE2173">
        <v>-0.23739999999997899</v>
      </c>
      <c r="AF2173">
        <v>3.87916048976314</v>
      </c>
      <c r="AG2173">
        <v>-1.1059400897139999</v>
      </c>
      <c r="AH2173">
        <v>5.6995171194245904</v>
      </c>
      <c r="AI2173">
        <v>99.113291262868799</v>
      </c>
      <c r="AJ2173">
        <v>55.760321858913301</v>
      </c>
      <c r="AK2173">
        <v>6.9825127985554003</v>
      </c>
      <c r="AL2173">
        <v>87.237471478970207</v>
      </c>
      <c r="AM2173">
        <v>78.208157306495295</v>
      </c>
      <c r="AN2173">
        <v>1.0000000104029101</v>
      </c>
    </row>
    <row r="2174" spans="1:40" x14ac:dyDescent="0.25">
      <c r="A2174" t="str">
        <f>"20190312153930208"</f>
        <v>20190312153930208</v>
      </c>
      <c r="B2174" t="str">
        <f>"1552376370198188"</f>
        <v>1552376370198188</v>
      </c>
      <c r="C2174" t="s">
        <v>40</v>
      </c>
      <c r="D2174">
        <v>4.427765</v>
      </c>
      <c r="E2174">
        <v>0.64503359999999998</v>
      </c>
      <c r="F2174" t="s">
        <v>54</v>
      </c>
      <c r="G2174">
        <v>-209.05850000000001</v>
      </c>
      <c r="H2174" s="1">
        <v>6.0003779999999898E-6</v>
      </c>
      <c r="I2174">
        <v>287.28960000000001</v>
      </c>
      <c r="J2174">
        <v>-201.93389999999999</v>
      </c>
      <c r="K2174">
        <v>1.1059650000000001</v>
      </c>
      <c r="L2174">
        <v>287.4665</v>
      </c>
      <c r="M2174">
        <v>-0.8134884</v>
      </c>
      <c r="N2174">
        <v>0</v>
      </c>
      <c r="O2174">
        <v>-0.58138939999999995</v>
      </c>
      <c r="P2174">
        <v>-0.91411050000000005</v>
      </c>
      <c r="Q2174">
        <v>3.5203209999999999E-2</v>
      </c>
      <c r="R2174">
        <v>-0.40393420000000002</v>
      </c>
      <c r="S2174">
        <v>-3.2635190000000001</v>
      </c>
      <c r="T2174">
        <v>-0.49725910000000001</v>
      </c>
      <c r="U2174">
        <v>-0.11633300000000001</v>
      </c>
      <c r="V2174">
        <v>0.20343130000000001</v>
      </c>
      <c r="W2174">
        <v>4.7511640000000001E-2</v>
      </c>
      <c r="X2174">
        <v>0.97793580000000002</v>
      </c>
      <c r="Y2174">
        <v>0.53993429999999998</v>
      </c>
      <c r="Z2174">
        <v>0.1241737</v>
      </c>
      <c r="AA2174">
        <v>0.8324973</v>
      </c>
      <c r="AB2174">
        <v>16</v>
      </c>
      <c r="AC2174">
        <v>-7.1246000000000098</v>
      </c>
      <c r="AD2174">
        <v>-1.1059589996219901</v>
      </c>
      <c r="AE2174">
        <v>-0.17689999999998901</v>
      </c>
      <c r="AF2174">
        <v>3.9046749746415301</v>
      </c>
      <c r="AG2174">
        <v>-1.1059589996219901</v>
      </c>
      <c r="AH2174">
        <v>5.7605602026335303</v>
      </c>
      <c r="AI2174">
        <v>99.029948524350502</v>
      </c>
      <c r="AJ2174">
        <v>55.869440522768599</v>
      </c>
      <c r="AK2174">
        <v>7.0465371505869498</v>
      </c>
      <c r="AL2174">
        <v>87.276758447126099</v>
      </c>
      <c r="AM2174">
        <v>78.248856551056406</v>
      </c>
      <c r="AN2174">
        <v>1.0000000393384001</v>
      </c>
    </row>
    <row r="2175" spans="1:40" x14ac:dyDescent="0.25">
      <c r="A2175" t="str">
        <f>"20190312153930230"</f>
        <v>20190312153930230</v>
      </c>
      <c r="B2175" t="str">
        <f>"1552376370227465"</f>
        <v>1552376370227465</v>
      </c>
      <c r="C2175" t="s">
        <v>40</v>
      </c>
      <c r="D2175">
        <v>4.4111099999999999</v>
      </c>
      <c r="E2175">
        <v>0.64379980000000003</v>
      </c>
      <c r="F2175" t="s">
        <v>54</v>
      </c>
      <c r="G2175">
        <v>-209.6233</v>
      </c>
      <c r="H2175" s="1">
        <v>6.2693799999999999E-6</v>
      </c>
      <c r="I2175">
        <v>287.07729999999998</v>
      </c>
      <c r="J2175">
        <v>-202.0667</v>
      </c>
      <c r="K2175">
        <v>1.1059950000000001</v>
      </c>
      <c r="L2175">
        <v>287.38709999999998</v>
      </c>
      <c r="M2175">
        <v>-0.81958850000000005</v>
      </c>
      <c r="N2175">
        <v>0</v>
      </c>
      <c r="O2175">
        <v>-0.57275830000000005</v>
      </c>
      <c r="P2175">
        <v>-0.9180606</v>
      </c>
      <c r="Q2175">
        <v>3.5155350000000002E-2</v>
      </c>
      <c r="R2175">
        <v>-0.39487830000000002</v>
      </c>
      <c r="S2175">
        <v>-3.2275849999999999</v>
      </c>
      <c r="T2175">
        <v>-0.46422029999999997</v>
      </c>
      <c r="U2175">
        <v>-0.16333010000000001</v>
      </c>
      <c r="V2175">
        <v>0.20275779999999999</v>
      </c>
      <c r="W2175">
        <v>4.748496E-2</v>
      </c>
      <c r="X2175">
        <v>0.97807690000000003</v>
      </c>
      <c r="Y2175">
        <v>0.52011019999999997</v>
      </c>
      <c r="Z2175">
        <v>0.1147368</v>
      </c>
      <c r="AA2175">
        <v>0.84635740000000004</v>
      </c>
      <c r="AB2175">
        <v>15</v>
      </c>
      <c r="AC2175">
        <v>-7.5566000000000004</v>
      </c>
      <c r="AD2175">
        <v>-1.10598873062</v>
      </c>
      <c r="AE2175">
        <v>-0.30979999999999502</v>
      </c>
      <c r="AF2175">
        <v>3.98933651364481</v>
      </c>
      <c r="AG2175">
        <v>-1.10598873062</v>
      </c>
      <c r="AH2175">
        <v>6.2380485065284201</v>
      </c>
      <c r="AI2175">
        <v>98.495188536393599</v>
      </c>
      <c r="AJ2175">
        <v>57.4004037803101</v>
      </c>
      <c r="AK2175">
        <v>7.4867393477507704</v>
      </c>
      <c r="AL2175">
        <v>87.278288676679495</v>
      </c>
      <c r="AM2175">
        <v>78.288327508767395</v>
      </c>
      <c r="AN2175">
        <v>0.99999998460032502</v>
      </c>
    </row>
    <row r="2176" spans="1:40" x14ac:dyDescent="0.25">
      <c r="A2176" t="str">
        <f>"20190312153930252"</f>
        <v>20190312153930252</v>
      </c>
      <c r="B2176" t="str">
        <f>"1552376370247961"</f>
        <v>1552376370247961</v>
      </c>
      <c r="C2176" t="s">
        <v>40</v>
      </c>
      <c r="D2176">
        <v>4.3802329999999996</v>
      </c>
      <c r="E2176">
        <v>0.64151080000000005</v>
      </c>
      <c r="F2176" t="s">
        <v>54</v>
      </c>
      <c r="G2176">
        <v>-209.58099999999999</v>
      </c>
      <c r="H2176" s="1">
        <v>6.2521379999999996E-6</v>
      </c>
      <c r="I2176">
        <v>287.0598</v>
      </c>
      <c r="J2176">
        <v>-202.19919999999999</v>
      </c>
      <c r="K2176">
        <v>1.106031</v>
      </c>
      <c r="L2176">
        <v>287.3098</v>
      </c>
      <c r="M2176">
        <v>-0.8255498</v>
      </c>
      <c r="N2176">
        <v>0</v>
      </c>
      <c r="O2176">
        <v>-0.56413210000000003</v>
      </c>
      <c r="P2176">
        <v>-0.9217997</v>
      </c>
      <c r="Q2176">
        <v>3.5587689999999998E-2</v>
      </c>
      <c r="R2176">
        <v>-0.38602920000000002</v>
      </c>
      <c r="S2176">
        <v>-3.2255099999999999</v>
      </c>
      <c r="T2176">
        <v>-0.47474620000000001</v>
      </c>
      <c r="U2176">
        <v>-0.14050289999999999</v>
      </c>
      <c r="V2176">
        <v>0.20189979999999999</v>
      </c>
      <c r="W2176">
        <v>4.7940759999999999E-2</v>
      </c>
      <c r="X2176">
        <v>0.97823210000000005</v>
      </c>
      <c r="Y2176">
        <v>0.51675799999999905</v>
      </c>
      <c r="Z2176">
        <v>0.11615639999999899</v>
      </c>
      <c r="AA2176">
        <v>0.8482151</v>
      </c>
      <c r="AB2176">
        <v>15</v>
      </c>
      <c r="AC2176">
        <v>-7.3817999999999904</v>
      </c>
      <c r="AD2176">
        <v>-1.106024747862</v>
      </c>
      <c r="AE2176">
        <v>-0.25</v>
      </c>
      <c r="AF2176">
        <v>3.8715488267199998</v>
      </c>
      <c r="AG2176">
        <v>-1.106024747862</v>
      </c>
      <c r="AH2176">
        <v>6.09900797825268</v>
      </c>
      <c r="AI2176">
        <v>98.704579467887896</v>
      </c>
      <c r="AJ2176">
        <v>57.593298940948998</v>
      </c>
      <c r="AK2176">
        <v>7.3082199870659403</v>
      </c>
      <c r="AL2176">
        <v>87.252143370023106</v>
      </c>
      <c r="AM2176">
        <v>78.338326372832299</v>
      </c>
      <c r="AN2176">
        <v>0.99999994358991195</v>
      </c>
    </row>
    <row r="2177" spans="1:40" x14ac:dyDescent="0.25">
      <c r="A2177" t="str">
        <f>"20190312153930275"</f>
        <v>20190312153930275</v>
      </c>
      <c r="B2177" t="str">
        <f>"1552376370268457"</f>
        <v>1552376370268457</v>
      </c>
      <c r="C2177" t="s">
        <v>40</v>
      </c>
      <c r="D2177">
        <v>4.4325099999999997</v>
      </c>
      <c r="E2177">
        <v>0.63979600000000003</v>
      </c>
      <c r="F2177" t="s">
        <v>54</v>
      </c>
      <c r="G2177">
        <v>-209.87690000000001</v>
      </c>
      <c r="H2177" s="1">
        <v>6.3879399999999997E-6</v>
      </c>
      <c r="I2177">
        <v>287.0077</v>
      </c>
      <c r="J2177">
        <v>-202.33860000000001</v>
      </c>
      <c r="K2177">
        <v>1.1060680000000001</v>
      </c>
      <c r="L2177">
        <v>287.23039999999997</v>
      </c>
      <c r="M2177">
        <v>-0.83168229999999999</v>
      </c>
      <c r="N2177">
        <v>0</v>
      </c>
      <c r="O2177">
        <v>-0.55505179999999998</v>
      </c>
      <c r="P2177">
        <v>-0.9257746</v>
      </c>
      <c r="Q2177">
        <v>3.6362119999999998E-2</v>
      </c>
      <c r="R2177">
        <v>-0.37632330000000003</v>
      </c>
      <c r="S2177">
        <v>-3.219376</v>
      </c>
      <c r="T2177">
        <v>-0.46377299999999999</v>
      </c>
      <c r="U2177">
        <v>-0.1266785</v>
      </c>
      <c r="V2177">
        <v>0.20144480000000001</v>
      </c>
      <c r="W2177">
        <v>4.8731869999999997E-2</v>
      </c>
      <c r="X2177">
        <v>0.97828689999999996</v>
      </c>
      <c r="Y2177">
        <v>0.51157280000000005</v>
      </c>
      <c r="Z2177">
        <v>0.11229020000000001</v>
      </c>
      <c r="AA2177">
        <v>0.85187099999999905</v>
      </c>
      <c r="AB2177">
        <v>15</v>
      </c>
      <c r="AC2177">
        <v>-7.5382999999999898</v>
      </c>
      <c r="AD2177">
        <v>-1.10606161206</v>
      </c>
      <c r="AE2177">
        <v>-0.222699999999974</v>
      </c>
      <c r="AF2177">
        <v>3.9151617141503201</v>
      </c>
      <c r="AG2177">
        <v>-1.10606161206</v>
      </c>
      <c r="AH2177">
        <v>6.25915845034661</v>
      </c>
      <c r="AI2177">
        <v>98.520469121012397</v>
      </c>
      <c r="AJ2177">
        <v>57.973638393801203</v>
      </c>
      <c r="AK2177">
        <v>7.4651810456389196</v>
      </c>
      <c r="AL2177">
        <v>87.206763301258903</v>
      </c>
      <c r="AM2177">
        <v>78.364523612175603</v>
      </c>
      <c r="AN2177">
        <v>1.00000003065617</v>
      </c>
    </row>
    <row r="2178" spans="1:40" x14ac:dyDescent="0.25">
      <c r="A2178" t="str">
        <f>"20190312153930297"</f>
        <v>20190312153930297</v>
      </c>
      <c r="B2178" t="str">
        <f>"1552376370287977"</f>
        <v>1552376370287977</v>
      </c>
      <c r="C2178" t="s">
        <v>40</v>
      </c>
      <c r="D2178">
        <v>4.406053</v>
      </c>
      <c r="E2178">
        <v>0.62762130000000005</v>
      </c>
      <c r="F2178" t="s">
        <v>61</v>
      </c>
      <c r="G2178">
        <v>-210.1412</v>
      </c>
      <c r="H2178" s="1">
        <v>-1.46165E-6</v>
      </c>
      <c r="I2178">
        <v>286.97539999999998</v>
      </c>
      <c r="J2178">
        <v>-202.48099999999999</v>
      </c>
      <c r="K2178">
        <v>1.1061080000000001</v>
      </c>
      <c r="L2178">
        <v>287.15140000000002</v>
      </c>
      <c r="M2178">
        <v>-0.83780540000000003</v>
      </c>
      <c r="N2178">
        <v>0</v>
      </c>
      <c r="O2178">
        <v>-0.54576559999999996</v>
      </c>
      <c r="P2178">
        <v>-0.92960100000000001</v>
      </c>
      <c r="Q2178">
        <v>3.6502600000000003E-2</v>
      </c>
      <c r="R2178">
        <v>-0.36675590000000002</v>
      </c>
      <c r="S2178">
        <v>-3.2156980000000002</v>
      </c>
      <c r="T2178">
        <v>-0.45584580000000002</v>
      </c>
      <c r="U2178">
        <v>-0.1051025</v>
      </c>
      <c r="V2178">
        <v>0.20064470000000001</v>
      </c>
      <c r="W2178">
        <v>4.8892860000000003E-2</v>
      </c>
      <c r="X2178">
        <v>0.97844330000000002</v>
      </c>
      <c r="Y2178">
        <v>0.50816669999999997</v>
      </c>
      <c r="Z2178">
        <v>0.1092206</v>
      </c>
      <c r="AA2178">
        <v>0.85430529999999905</v>
      </c>
      <c r="AB2178">
        <v>15</v>
      </c>
      <c r="AC2178">
        <v>-7.6601999999999997</v>
      </c>
      <c r="AD2178">
        <v>-1.10610946165</v>
      </c>
      <c r="AE2178">
        <v>-0.17600000000004401</v>
      </c>
      <c r="AF2178">
        <v>3.9513241784042799</v>
      </c>
      <c r="AG2178">
        <v>-1.10610946165</v>
      </c>
      <c r="AH2178">
        <v>6.3815468023696296</v>
      </c>
      <c r="AI2178">
        <v>98.383180435208402</v>
      </c>
      <c r="AJ2178">
        <v>58.2350495422099</v>
      </c>
      <c r="AK2178">
        <v>7.5868689520004198</v>
      </c>
      <c r="AL2178">
        <v>87.197528297935904</v>
      </c>
      <c r="AM2178">
        <v>78.411287167473503</v>
      </c>
      <c r="AN2178">
        <v>1.00000004935597</v>
      </c>
    </row>
    <row r="2179" spans="1:40" x14ac:dyDescent="0.25">
      <c r="A2179" t="str">
        <f>"20190312153930320"</f>
        <v>20190312153930320</v>
      </c>
      <c r="B2179" t="str">
        <f>"1552376370307497"</f>
        <v>1552376370307497</v>
      </c>
      <c r="C2179" t="s">
        <v>40</v>
      </c>
      <c r="D2179">
        <v>4.3704660000000004</v>
      </c>
      <c r="E2179">
        <v>0.62636150000000002</v>
      </c>
      <c r="F2179" t="s">
        <v>61</v>
      </c>
      <c r="G2179">
        <v>-210.63470000000001</v>
      </c>
      <c r="H2179" s="1">
        <v>-1.199035E-6</v>
      </c>
      <c r="I2179">
        <v>286.738</v>
      </c>
      <c r="J2179">
        <v>-202.61799999999999</v>
      </c>
      <c r="K2179">
        <v>1.1061449999999999</v>
      </c>
      <c r="L2179">
        <v>287.07749999999999</v>
      </c>
      <c r="M2179">
        <v>-0.84355290000000005</v>
      </c>
      <c r="N2179">
        <v>0</v>
      </c>
      <c r="O2179">
        <v>-0.53683970000000003</v>
      </c>
      <c r="P2179">
        <v>-0.93290569999999895</v>
      </c>
      <c r="Q2179">
        <v>3.6536140000000002E-2</v>
      </c>
      <c r="R2179">
        <v>-0.3582629</v>
      </c>
      <c r="S2179">
        <v>-3.180542</v>
      </c>
      <c r="T2179">
        <v>-0.43146659999999998</v>
      </c>
      <c r="U2179">
        <v>-0.16122439999999999</v>
      </c>
      <c r="V2179">
        <v>0.19917360000000001</v>
      </c>
      <c r="W2179">
        <v>4.8953330000000003E-2</v>
      </c>
      <c r="X2179">
        <v>0.97874079999999997</v>
      </c>
      <c r="Y2179">
        <v>0.48464740000000001</v>
      </c>
      <c r="Z2179">
        <v>0.1018329</v>
      </c>
      <c r="AA2179">
        <v>0.86876169999999997</v>
      </c>
      <c r="AB2179">
        <v>15</v>
      </c>
      <c r="AC2179">
        <v>-8.0167000000000108</v>
      </c>
      <c r="AD2179">
        <v>-1.1061461990350001</v>
      </c>
      <c r="AE2179">
        <v>-0.33949999999998598</v>
      </c>
      <c r="AF2179">
        <v>3.9428108817494798</v>
      </c>
      <c r="AG2179">
        <v>-1.1061461990350001</v>
      </c>
      <c r="AH2179">
        <v>6.8160028857594899</v>
      </c>
      <c r="AI2179">
        <v>97.996389159334598</v>
      </c>
      <c r="AJ2179">
        <v>59.952172914926003</v>
      </c>
      <c r="AK2179">
        <v>7.9515540871934798</v>
      </c>
      <c r="AL2179">
        <v>87.194059477449201</v>
      </c>
      <c r="AM2179">
        <v>78.497384203789096</v>
      </c>
      <c r="AN2179">
        <v>1.00000005251984</v>
      </c>
    </row>
    <row r="2180" spans="1:40" x14ac:dyDescent="0.25">
      <c r="A2180" t="str">
        <f>"20190312153930341"</f>
        <v>20190312153930341</v>
      </c>
      <c r="B2180" t="str">
        <f>"1552376370327993"</f>
        <v>1552376370327993</v>
      </c>
      <c r="C2180" t="s">
        <v>40</v>
      </c>
      <c r="D2180">
        <v>4.3665379999999896</v>
      </c>
      <c r="E2180">
        <v>0.62557039999999997</v>
      </c>
      <c r="F2180" t="s">
        <v>61</v>
      </c>
      <c r="G2180">
        <v>-210.8937</v>
      </c>
      <c r="H2180" s="1">
        <v>-1.0612140000000001E-6</v>
      </c>
      <c r="I2180">
        <v>286.70979999999997</v>
      </c>
      <c r="J2180">
        <v>-202.75299999999999</v>
      </c>
      <c r="K2180">
        <v>1.1061799999999999</v>
      </c>
      <c r="L2180">
        <v>287.00630000000001</v>
      </c>
      <c r="M2180">
        <v>-0.84909210000000002</v>
      </c>
      <c r="N2180">
        <v>0</v>
      </c>
      <c r="O2180">
        <v>-0.52803529999999999</v>
      </c>
      <c r="P2180">
        <v>-0.93618659999999998</v>
      </c>
      <c r="Q2180">
        <v>3.607639E-2</v>
      </c>
      <c r="R2180">
        <v>-0.34964719999999999</v>
      </c>
      <c r="S2180">
        <v>-3.1781619999999999</v>
      </c>
      <c r="T2180">
        <v>-0.4247997</v>
      </c>
      <c r="U2180">
        <v>-0.14120479999999899</v>
      </c>
      <c r="V2180">
        <v>0.19801460000000001</v>
      </c>
      <c r="W2180">
        <v>4.8514210000000002E-2</v>
      </c>
      <c r="X2180">
        <v>0.97899780000000003</v>
      </c>
      <c r="Y2180">
        <v>0.48135739999999999</v>
      </c>
      <c r="Z2180">
        <v>9.9173070000000002E-2</v>
      </c>
      <c r="AA2180">
        <v>0.870895999999999</v>
      </c>
      <c r="AB2180">
        <v>15</v>
      </c>
      <c r="AC2180">
        <v>-8.1407000000000096</v>
      </c>
      <c r="AD2180">
        <v>-1.1061810612139999</v>
      </c>
      <c r="AE2180">
        <v>-0.29650000000003701</v>
      </c>
      <c r="AF2180">
        <v>3.9739899963787999</v>
      </c>
      <c r="AG2180">
        <v>-1.1061810612139999</v>
      </c>
      <c r="AH2180">
        <v>6.94154902147808</v>
      </c>
      <c r="AI2180">
        <v>97.873873873980799</v>
      </c>
      <c r="AJ2180">
        <v>60.209153750501102</v>
      </c>
      <c r="AK2180">
        <v>8.0747344135327808</v>
      </c>
      <c r="AL2180">
        <v>87.219249126143495</v>
      </c>
      <c r="AM2180">
        <v>78.565472833563405</v>
      </c>
      <c r="AN2180">
        <v>1.0000000513949601</v>
      </c>
    </row>
    <row r="2181" spans="1:40" x14ac:dyDescent="0.25">
      <c r="A2181" t="str">
        <f>"20190312153930365"</f>
        <v>20190312153930365</v>
      </c>
      <c r="B2181" t="str">
        <f>"1552376370347513"</f>
        <v>1552376370347513</v>
      </c>
      <c r="C2181" t="s">
        <v>40</v>
      </c>
      <c r="D2181">
        <v>4.3540289999999997</v>
      </c>
      <c r="E2181">
        <v>0.62232889999999996</v>
      </c>
      <c r="F2181" t="s">
        <v>61</v>
      </c>
      <c r="G2181">
        <v>-211.03970000000001</v>
      </c>
      <c r="H2181" s="1">
        <v>-9.835227999999999E-7</v>
      </c>
      <c r="I2181">
        <v>286.7004</v>
      </c>
      <c r="J2181">
        <v>-202.8998</v>
      </c>
      <c r="K2181">
        <v>1.1062099999999999</v>
      </c>
      <c r="L2181">
        <v>286.93110000000001</v>
      </c>
      <c r="M2181">
        <v>-0.85497109999999998</v>
      </c>
      <c r="N2181">
        <v>0</v>
      </c>
      <c r="O2181">
        <v>-0.51846239999999999</v>
      </c>
      <c r="P2181">
        <v>-0.93935100000000005</v>
      </c>
      <c r="Q2181">
        <v>3.6001440000000003E-2</v>
      </c>
      <c r="R2181">
        <v>-0.341062799999999</v>
      </c>
      <c r="S2181">
        <v>-3.1770320000000001</v>
      </c>
      <c r="T2181">
        <v>-0.4241007</v>
      </c>
      <c r="U2181">
        <v>-0.1173096</v>
      </c>
      <c r="V2181">
        <v>0.19597239999999999</v>
      </c>
      <c r="W2181">
        <v>4.8471350000000003E-2</v>
      </c>
      <c r="X2181">
        <v>0.97941069999999997</v>
      </c>
      <c r="Y2181">
        <v>0.47818820000000001</v>
      </c>
      <c r="Z2181">
        <v>9.7789029999999999E-2</v>
      </c>
      <c r="AA2181">
        <v>0.87279619999999902</v>
      </c>
      <c r="AB2181">
        <v>15</v>
      </c>
      <c r="AC2181">
        <v>-8.1399000000000097</v>
      </c>
      <c r="AD2181">
        <v>-1.1062109835228</v>
      </c>
      <c r="AE2181">
        <v>-0.23070000000001301</v>
      </c>
      <c r="AF2181">
        <v>3.9505323066246301</v>
      </c>
      <c r="AG2181">
        <v>-1.1062109835228</v>
      </c>
      <c r="AH2181">
        <v>6.9514890938530796</v>
      </c>
      <c r="AI2181">
        <v>97.876989991031493</v>
      </c>
      <c r="AJ2181">
        <v>60.390424132865299</v>
      </c>
      <c r="AK2181">
        <v>8.0717785442682803</v>
      </c>
      <c r="AL2181">
        <v>87.221707534591303</v>
      </c>
      <c r="AM2181">
        <v>78.684990468502704</v>
      </c>
      <c r="AN2181">
        <v>0.99999998630353604</v>
      </c>
    </row>
    <row r="2182" spans="1:40" x14ac:dyDescent="0.25">
      <c r="A2182" t="str">
        <f>"20190312153930388"</f>
        <v>20190312153930388</v>
      </c>
      <c r="B2182" t="str">
        <f>"1552376370377769"</f>
        <v>1552376370377769</v>
      </c>
      <c r="C2182" t="s">
        <v>40</v>
      </c>
      <c r="D2182">
        <v>4.3441910000000004</v>
      </c>
      <c r="E2182">
        <v>0.62001119999999899</v>
      </c>
      <c r="F2182" t="s">
        <v>61</v>
      </c>
      <c r="G2182">
        <v>-212.26349999999999</v>
      </c>
      <c r="H2182" s="1">
        <v>-3.3228540000000001E-7</v>
      </c>
      <c r="I2182">
        <v>286.60090000000002</v>
      </c>
      <c r="J2182">
        <v>-203.0438</v>
      </c>
      <c r="K2182">
        <v>1.1062399999999999</v>
      </c>
      <c r="L2182">
        <v>286.85919999999999</v>
      </c>
      <c r="M2182">
        <v>-0.86059979999999903</v>
      </c>
      <c r="N2182">
        <v>0</v>
      </c>
      <c r="O2182">
        <v>-0.50906499999999999</v>
      </c>
      <c r="P2182">
        <v>-0.94232760000000004</v>
      </c>
      <c r="Q2182">
        <v>3.5859710000000003E-2</v>
      </c>
      <c r="R2182">
        <v>-0.3327659</v>
      </c>
      <c r="S2182">
        <v>-3.1674799999999999</v>
      </c>
      <c r="T2182">
        <v>-0.37420219999999998</v>
      </c>
      <c r="U2182">
        <v>-0.1116943</v>
      </c>
      <c r="V2182">
        <v>0.19387599999999999</v>
      </c>
      <c r="W2182">
        <v>4.8360859999999999E-2</v>
      </c>
      <c r="X2182">
        <v>0.97983330000000002</v>
      </c>
      <c r="Y2182">
        <v>0.47195500000000001</v>
      </c>
      <c r="Z2182">
        <v>8.5310369999999996E-2</v>
      </c>
      <c r="AA2182">
        <v>0.87748539999999997</v>
      </c>
      <c r="AB2182">
        <v>15</v>
      </c>
      <c r="AC2182">
        <v>-9.21969999999998</v>
      </c>
      <c r="AD2182">
        <v>-1.1062403322854</v>
      </c>
      <c r="AE2182">
        <v>-0.258299999999962</v>
      </c>
      <c r="AF2182">
        <v>4.4082130655349401</v>
      </c>
      <c r="AG2182">
        <v>-1.1062403322854</v>
      </c>
      <c r="AH2182">
        <v>7.9524541875037604</v>
      </c>
      <c r="AI2182">
        <v>96.936793218144999</v>
      </c>
      <c r="AJ2182">
        <v>60.999472409010899</v>
      </c>
      <c r="AK2182">
        <v>9.1595653667777306</v>
      </c>
      <c r="AL2182">
        <v>87.228045577364796</v>
      </c>
      <c r="AM2182">
        <v>78.807665038854395</v>
      </c>
      <c r="AN2182">
        <v>0.99999998597241402</v>
      </c>
    </row>
    <row r="2183" spans="1:40" x14ac:dyDescent="0.25">
      <c r="A2183" t="str">
        <f>"20190312153930409"</f>
        <v>20190312153930409</v>
      </c>
      <c r="B2183" t="str">
        <f>"1552376370398265"</f>
        <v>1552376370398265</v>
      </c>
      <c r="C2183" t="s">
        <v>40</v>
      </c>
      <c r="D2183">
        <v>4.3894120000000001</v>
      </c>
      <c r="E2183">
        <v>0.61880789999999997</v>
      </c>
      <c r="F2183" t="s">
        <v>61</v>
      </c>
      <c r="G2183">
        <v>-212.35</v>
      </c>
      <c r="H2183" s="1">
        <v>-2.862157E-7</v>
      </c>
      <c r="I2183">
        <v>286.5634</v>
      </c>
      <c r="J2183">
        <v>-203.18020000000001</v>
      </c>
      <c r="K2183">
        <v>1.1062609999999999</v>
      </c>
      <c r="L2183">
        <v>286.79289999999997</v>
      </c>
      <c r="M2183">
        <v>-0.86580959999999996</v>
      </c>
      <c r="N2183">
        <v>0</v>
      </c>
      <c r="O2183">
        <v>-0.50015329999999902</v>
      </c>
      <c r="P2183">
        <v>-0.94493280000000002</v>
      </c>
      <c r="Q2183">
        <v>3.6226759999999997E-2</v>
      </c>
      <c r="R2183">
        <v>-0.32525340000000003</v>
      </c>
      <c r="S2183">
        <v>-3.1624150000000002</v>
      </c>
      <c r="T2183">
        <v>-0.37591799999999997</v>
      </c>
      <c r="U2183">
        <v>-0.1005249</v>
      </c>
      <c r="V2183">
        <v>0.19155259999999999</v>
      </c>
      <c r="W2183">
        <v>4.8760449999999997E-2</v>
      </c>
      <c r="X2183">
        <v>0.98027039999999999</v>
      </c>
      <c r="Y2183">
        <v>0.46593020000000002</v>
      </c>
      <c r="Z2183">
        <v>8.4573759999999998E-2</v>
      </c>
      <c r="AA2183">
        <v>0.88077030000000001</v>
      </c>
      <c r="AB2183">
        <v>15</v>
      </c>
      <c r="AC2183">
        <v>-9.1697999999999809</v>
      </c>
      <c r="AD2183">
        <v>-1.1062612862157</v>
      </c>
      <c r="AE2183">
        <v>-0.229499999999973</v>
      </c>
      <c r="AF2183">
        <v>4.3251749282333396</v>
      </c>
      <c r="AG2183">
        <v>-1.1062612862157</v>
      </c>
      <c r="AH2183">
        <v>7.9394912465919996</v>
      </c>
      <c r="AI2183">
        <v>96.975936929672798</v>
      </c>
      <c r="AJ2183">
        <v>61.419897979822302</v>
      </c>
      <c r="AK2183">
        <v>9.1085933847059497</v>
      </c>
      <c r="AL2183">
        <v>87.205123805168498</v>
      </c>
      <c r="AM2183">
        <v>78.943276791359807</v>
      </c>
      <c r="AN2183">
        <v>1.00000001858356</v>
      </c>
    </row>
    <row r="2184" spans="1:40" x14ac:dyDescent="0.25">
      <c r="A2184" t="str">
        <f>"20190312153930431"</f>
        <v>20190312153930431</v>
      </c>
      <c r="B2184" t="str">
        <f>"1552376370417789"</f>
        <v>1552376370417789</v>
      </c>
      <c r="C2184" t="s">
        <v>40</v>
      </c>
      <c r="D2184">
        <v>4.373939</v>
      </c>
      <c r="E2184">
        <v>0.61754549999999997</v>
      </c>
      <c r="F2184" t="s">
        <v>61</v>
      </c>
      <c r="G2184">
        <v>-212.43690000000001</v>
      </c>
      <c r="H2184" s="1">
        <v>-2.3998540000000001E-7</v>
      </c>
      <c r="I2184">
        <v>286.54640000000001</v>
      </c>
      <c r="J2184">
        <v>-203.3141</v>
      </c>
      <c r="K2184">
        <v>1.1062809999999901</v>
      </c>
      <c r="L2184">
        <v>286.72949999999997</v>
      </c>
      <c r="M2184">
        <v>-0.87080900000000006</v>
      </c>
      <c r="N2184">
        <v>0</v>
      </c>
      <c r="O2184">
        <v>-0.49139769999999999</v>
      </c>
      <c r="P2184">
        <v>-0.94760860000000002</v>
      </c>
      <c r="Q2184">
        <v>3.6039330000000001E-2</v>
      </c>
      <c r="R2184">
        <v>-0.31739489999999998</v>
      </c>
      <c r="S2184">
        <v>-3.160355</v>
      </c>
      <c r="T2184">
        <v>-0.37769000000000003</v>
      </c>
      <c r="U2184">
        <v>-8.4167480000000003E-2</v>
      </c>
      <c r="V2184">
        <v>0.18980659999999999</v>
      </c>
      <c r="W2184">
        <v>4.8597080000000001E-2</v>
      </c>
      <c r="X2184">
        <v>0.98061810000000005</v>
      </c>
      <c r="Y2184">
        <v>0.46157870000000001</v>
      </c>
      <c r="Z2184">
        <v>8.3873059999999999E-2</v>
      </c>
      <c r="AA2184">
        <v>0.88312539999999995</v>
      </c>
      <c r="AB2184">
        <v>15</v>
      </c>
      <c r="AC2184">
        <v>-9.1228000000000105</v>
      </c>
      <c r="AD2184">
        <v>-1.1062812399853901</v>
      </c>
      <c r="AE2184">
        <v>-0.18309999999996701</v>
      </c>
      <c r="AF2184">
        <v>4.2613146332539102</v>
      </c>
      <c r="AG2184">
        <v>-1.1062812399853901</v>
      </c>
      <c r="AH2184">
        <v>7.9186752672692098</v>
      </c>
      <c r="AI2184">
        <v>97.013474769756002</v>
      </c>
      <c r="AJ2184">
        <v>61.713759626273301</v>
      </c>
      <c r="AK2184">
        <v>9.0602471585486395</v>
      </c>
      <c r="AL2184">
        <v>87.214495385766597</v>
      </c>
      <c r="AM2184">
        <v>79.045399606891493</v>
      </c>
      <c r="AN2184">
        <v>1.0000000398178399</v>
      </c>
    </row>
    <row r="2185" spans="1:40" x14ac:dyDescent="0.25">
      <c r="A2185" t="str">
        <f>"20190312153930453"</f>
        <v>20190312153930453</v>
      </c>
      <c r="B2185" t="str">
        <f>"1552376370438281"</f>
        <v>1552376370438281</v>
      </c>
      <c r="C2185" t="s">
        <v>40</v>
      </c>
      <c r="D2185">
        <v>4.7509110000000003</v>
      </c>
      <c r="E2185">
        <v>0.61683339999999998</v>
      </c>
      <c r="F2185" t="s">
        <v>61</v>
      </c>
      <c r="G2185">
        <v>-212.51840000000001</v>
      </c>
      <c r="H2185" s="1">
        <v>-1.9662349999999999E-7</v>
      </c>
      <c r="I2185">
        <v>286.5324</v>
      </c>
      <c r="J2185">
        <v>-203.45359999999999</v>
      </c>
      <c r="K2185">
        <v>1.106304</v>
      </c>
      <c r="L2185">
        <v>286.66520000000003</v>
      </c>
      <c r="M2185">
        <v>-0.875901499999999</v>
      </c>
      <c r="N2185">
        <v>0</v>
      </c>
      <c r="O2185">
        <v>-0.48226219999999997</v>
      </c>
      <c r="P2185">
        <v>-0.95031169999999998</v>
      </c>
      <c r="Q2185">
        <v>3.5465570000000002E-2</v>
      </c>
      <c r="R2185">
        <v>-0.30927369999999998</v>
      </c>
      <c r="S2185">
        <v>-3.1576689999999998</v>
      </c>
      <c r="T2185">
        <v>-0.37952429999999998</v>
      </c>
      <c r="U2185">
        <v>-6.7596439999999994E-2</v>
      </c>
      <c r="V2185">
        <v>0.18794130000000001</v>
      </c>
      <c r="W2185">
        <v>4.8048889999999997E-2</v>
      </c>
      <c r="X2185">
        <v>0.98100430000000005</v>
      </c>
      <c r="Y2185">
        <v>0.45694699999999999</v>
      </c>
      <c r="Z2185">
        <v>8.3125760000000007E-2</v>
      </c>
      <c r="AA2185">
        <v>0.88560119999999898</v>
      </c>
      <c r="AB2185">
        <v>15</v>
      </c>
      <c r="AC2185">
        <v>-9.0648000000000195</v>
      </c>
      <c r="AD2185">
        <v>-1.1063041966234901</v>
      </c>
      <c r="AE2185">
        <v>-0.132800000000031</v>
      </c>
      <c r="AF2185">
        <v>4.1933133887269101</v>
      </c>
      <c r="AG2185">
        <v>-1.1063041966234901</v>
      </c>
      <c r="AH2185">
        <v>7.8873412257347004</v>
      </c>
      <c r="AI2185">
        <v>97.060023764829197</v>
      </c>
      <c r="AJ2185">
        <v>62.002607013456398</v>
      </c>
      <c r="AK2185">
        <v>9.0009964872072494</v>
      </c>
      <c r="AL2185">
        <v>87.245941073757095</v>
      </c>
      <c r="AM2185">
        <v>79.154657171950305</v>
      </c>
      <c r="AN2185">
        <v>1.0000000323472</v>
      </c>
    </row>
    <row r="2186" spans="1:40" x14ac:dyDescent="0.25">
      <c r="A2186" t="str">
        <f>"20190312153930475"</f>
        <v>20190312153930475</v>
      </c>
      <c r="B2186" t="str">
        <f>"1552376370468537"</f>
        <v>1552376370468537</v>
      </c>
      <c r="C2186" t="s">
        <v>40</v>
      </c>
      <c r="D2186">
        <v>4.4005700000000001</v>
      </c>
      <c r="E2186">
        <v>0.60654240000000004</v>
      </c>
      <c r="F2186" t="s">
        <v>61</v>
      </c>
      <c r="G2186">
        <v>-212.78380000000001</v>
      </c>
      <c r="H2186" s="1">
        <v>-5.5379390000000001E-8</v>
      </c>
      <c r="I2186">
        <v>286.5308</v>
      </c>
      <c r="J2186">
        <v>-203.5949</v>
      </c>
      <c r="K2186">
        <v>1.1063289999999999</v>
      </c>
      <c r="L2186">
        <v>286.60169999999999</v>
      </c>
      <c r="M2186">
        <v>-0.88094089999999903</v>
      </c>
      <c r="N2186">
        <v>0</v>
      </c>
      <c r="O2186">
        <v>-0.47299439999999998</v>
      </c>
      <c r="P2186">
        <v>-0.95303260000000001</v>
      </c>
      <c r="Q2186">
        <v>3.5586520000000003E-2</v>
      </c>
      <c r="R2186">
        <v>-0.30076999999999998</v>
      </c>
      <c r="S2186">
        <v>-3.1560670000000002</v>
      </c>
      <c r="T2186">
        <v>-0.37422080000000002</v>
      </c>
      <c r="U2186">
        <v>-4.5440670000000002E-2</v>
      </c>
      <c r="V2186">
        <v>0.1863522</v>
      </c>
      <c r="W2186">
        <v>4.8191299999999999E-2</v>
      </c>
      <c r="X2186">
        <v>0.98130039999999996</v>
      </c>
      <c r="Y2186">
        <v>0.4540418</v>
      </c>
      <c r="Z2186">
        <v>8.0894079999999993E-2</v>
      </c>
      <c r="AA2186">
        <v>0.88730049999999905</v>
      </c>
      <c r="AB2186">
        <v>15</v>
      </c>
      <c r="AC2186">
        <v>-9.1889000000000092</v>
      </c>
      <c r="AD2186">
        <v>-1.1063290553793801</v>
      </c>
      <c r="AE2186">
        <v>-7.0899999999994606E-2</v>
      </c>
      <c r="AF2186">
        <v>4.2230961790436901</v>
      </c>
      <c r="AG2186">
        <v>-1.1063290553793801</v>
      </c>
      <c r="AH2186">
        <v>8.0131550702698107</v>
      </c>
      <c r="AI2186">
        <v>96.963612277665703</v>
      </c>
      <c r="AJ2186">
        <v>62.209854746657101</v>
      </c>
      <c r="AK2186">
        <v>9.1251936689815398</v>
      </c>
      <c r="AL2186">
        <v>87.237772055464404</v>
      </c>
      <c r="AM2186">
        <v>79.247379577523603</v>
      </c>
      <c r="AN2186">
        <v>1.0000000094403401</v>
      </c>
    </row>
    <row r="2187" spans="1:40" x14ac:dyDescent="0.25">
      <c r="A2187" t="str">
        <f>"20190312153930490"</f>
        <v>20190312153930490</v>
      </c>
      <c r="B2187" t="str">
        <f>"1552376370478297"</f>
        <v>1552376370478297</v>
      </c>
      <c r="C2187" t="s">
        <v>40</v>
      </c>
      <c r="D2187">
        <v>4.3961629999999996</v>
      </c>
      <c r="E2187">
        <v>0.60605350000000002</v>
      </c>
      <c r="F2187" t="s">
        <v>61</v>
      </c>
      <c r="G2187">
        <v>-213.11879999999999</v>
      </c>
      <c r="H2187" s="1">
        <v>1.228621E-7</v>
      </c>
      <c r="I2187">
        <v>286.31229999999999</v>
      </c>
      <c r="J2187">
        <v>-203.68440000000001</v>
      </c>
      <c r="K2187">
        <v>1.1063459999999901</v>
      </c>
      <c r="L2187">
        <v>286.56270000000001</v>
      </c>
      <c r="M2187">
        <v>-0.88406779999999996</v>
      </c>
      <c r="N2187">
        <v>0</v>
      </c>
      <c r="O2187">
        <v>-0.46712399999999998</v>
      </c>
      <c r="P2187">
        <v>-0.95477210000000001</v>
      </c>
      <c r="Q2187">
        <v>3.6048579999999997E-2</v>
      </c>
      <c r="R2187">
        <v>-0.29514550000000001</v>
      </c>
      <c r="S2187">
        <v>-3.1314090000000001</v>
      </c>
      <c r="T2187">
        <v>-0.36375809999999997</v>
      </c>
      <c r="U2187">
        <v>-9.5153810000000005E-2</v>
      </c>
      <c r="V2187">
        <v>0.1856052</v>
      </c>
      <c r="W2187">
        <v>4.8663289999999998E-2</v>
      </c>
      <c r="X2187">
        <v>0.98141869999999998</v>
      </c>
      <c r="Y2187">
        <v>0.43426379999999998</v>
      </c>
      <c r="Z2187">
        <v>7.7445360000000005E-2</v>
      </c>
      <c r="AA2187">
        <v>0.89745039999999998</v>
      </c>
      <c r="AB2187">
        <v>15</v>
      </c>
      <c r="AC2187">
        <v>-9.4343999999999806</v>
      </c>
      <c r="AD2187">
        <v>-1.10634587713789</v>
      </c>
      <c r="AE2187">
        <v>-0.250400000000013</v>
      </c>
      <c r="AF2187">
        <v>4.1293775287938104</v>
      </c>
      <c r="AG2187">
        <v>-1.10634587713789</v>
      </c>
      <c r="AH2187">
        <v>8.3438836154894407</v>
      </c>
      <c r="AI2187">
        <v>96.777066842765606</v>
      </c>
      <c r="AJ2187">
        <v>63.6692499219387</v>
      </c>
      <c r="AK2187">
        <v>9.3752948627763395</v>
      </c>
      <c r="AL2187">
        <v>87.210697326332493</v>
      </c>
      <c r="AM2187">
        <v>79.290743998019906</v>
      </c>
      <c r="AN2187">
        <v>1.0000000353851699</v>
      </c>
    </row>
    <row r="2188" spans="1:40" x14ac:dyDescent="0.25">
      <c r="A2188" t="str">
        <f>"20190312153930509"</f>
        <v>20190312153930509</v>
      </c>
      <c r="B2188" t="str">
        <f>"1552376370497821"</f>
        <v>1552376370497821</v>
      </c>
      <c r="C2188" t="s">
        <v>40</v>
      </c>
      <c r="D2188">
        <v>4.3884509999999999</v>
      </c>
      <c r="E2188">
        <v>0.604958199999999</v>
      </c>
      <c r="F2188" t="s">
        <v>61</v>
      </c>
      <c r="G2188">
        <v>-213.22550000000001</v>
      </c>
      <c r="H2188" s="1">
        <v>1.796706E-7</v>
      </c>
      <c r="I2188">
        <v>286.31819999999999</v>
      </c>
      <c r="J2188">
        <v>-203.8115</v>
      </c>
      <c r="K2188">
        <v>1.1063700000000001</v>
      </c>
      <c r="L2188">
        <v>286.50819999999999</v>
      </c>
      <c r="M2188">
        <v>-0.88842779999999999</v>
      </c>
      <c r="N2188">
        <v>0</v>
      </c>
      <c r="O2188">
        <v>-0.45877770000000001</v>
      </c>
      <c r="P2188">
        <v>-0.95711979999999997</v>
      </c>
      <c r="Q2188">
        <v>3.733392E-2</v>
      </c>
      <c r="R2188">
        <v>-0.28727720000000001</v>
      </c>
      <c r="S2188">
        <v>-3.1309969999999998</v>
      </c>
      <c r="T2188">
        <v>-0.3630583</v>
      </c>
      <c r="U2188">
        <v>-8.0230709999999997E-2</v>
      </c>
      <c r="V2188">
        <v>0.18442819999999999</v>
      </c>
      <c r="W2188">
        <v>4.9963470000000003E-2</v>
      </c>
      <c r="X2188">
        <v>0.98157519999999998</v>
      </c>
      <c r="Y2188">
        <v>0.43016330000000003</v>
      </c>
      <c r="Z2188">
        <v>7.6223639999999995E-2</v>
      </c>
      <c r="AA2188">
        <v>0.89952739999999998</v>
      </c>
      <c r="AB2188">
        <v>15</v>
      </c>
      <c r="AC2188">
        <v>-9.4140000000000104</v>
      </c>
      <c r="AD2188">
        <v>-1.1063698203293999</v>
      </c>
      <c r="AE2188">
        <v>-0.189999999999997</v>
      </c>
      <c r="AF2188">
        <v>4.0940630252095103</v>
      </c>
      <c r="AG2188">
        <v>-1.1063698203293999</v>
      </c>
      <c r="AH2188">
        <v>8.3366550189521806</v>
      </c>
      <c r="AI2188">
        <v>96.793187150785798</v>
      </c>
      <c r="AJ2188">
        <v>63.844723227682998</v>
      </c>
      <c r="AK2188">
        <v>9.3533535771264393</v>
      </c>
      <c r="AL2188">
        <v>87.136111626477003</v>
      </c>
      <c r="AM2188">
        <v>79.358757783245196</v>
      </c>
      <c r="AN2188">
        <v>0.99999999127235994</v>
      </c>
    </row>
    <row r="2189" spans="1:40" x14ac:dyDescent="0.25">
      <c r="A2189" t="str">
        <f>"20190312153930531"</f>
        <v>20190312153930531</v>
      </c>
      <c r="B2189" t="str">
        <f>"1552376370528074"</f>
        <v>1552376370528074</v>
      </c>
      <c r="C2189" t="s">
        <v>40</v>
      </c>
      <c r="D2189">
        <v>4.4005460000000003</v>
      </c>
      <c r="E2189">
        <v>0.60275290000000004</v>
      </c>
      <c r="F2189" t="s">
        <v>61</v>
      </c>
      <c r="G2189">
        <v>-213.15479999999999</v>
      </c>
      <c r="H2189" s="1">
        <v>1.4205519999999999E-7</v>
      </c>
      <c r="I2189">
        <v>286.31819999999999</v>
      </c>
      <c r="J2189">
        <v>-203.95070000000001</v>
      </c>
      <c r="K2189">
        <v>1.106393</v>
      </c>
      <c r="L2189">
        <v>286.4502</v>
      </c>
      <c r="M2189">
        <v>-0.89309729999999998</v>
      </c>
      <c r="N2189">
        <v>0</v>
      </c>
      <c r="O2189">
        <v>-0.44962020000000003</v>
      </c>
      <c r="P2189">
        <v>-0.95981719999999904</v>
      </c>
      <c r="Q2189">
        <v>3.8525230000000001E-2</v>
      </c>
      <c r="R2189">
        <v>-0.27796880000000002</v>
      </c>
      <c r="S2189">
        <v>-3.1297609999999998</v>
      </c>
      <c r="T2189">
        <v>-0.37060340000000003</v>
      </c>
      <c r="U2189">
        <v>-6.3659670000000002E-2</v>
      </c>
      <c r="V2189">
        <v>0.18385779999999999</v>
      </c>
      <c r="W2189">
        <v>5.116213E-2</v>
      </c>
      <c r="X2189">
        <v>0.98162050000000001</v>
      </c>
      <c r="Y2189">
        <v>0.4254925</v>
      </c>
      <c r="Z2189">
        <v>7.6595830000000004E-2</v>
      </c>
      <c r="AA2189">
        <v>0.90171460000000003</v>
      </c>
      <c r="AB2189">
        <v>15</v>
      </c>
      <c r="AC2189">
        <v>-9.2040999999999809</v>
      </c>
      <c r="AD2189">
        <v>-1.1063928579447999</v>
      </c>
      <c r="AE2189">
        <v>-0.132000000000005</v>
      </c>
      <c r="AF2189">
        <v>3.9636392706710102</v>
      </c>
      <c r="AG2189">
        <v>-1.1063928579447999</v>
      </c>
      <c r="AH2189">
        <v>8.1624924543890103</v>
      </c>
      <c r="AI2189">
        <v>96.951791359323494</v>
      </c>
      <c r="AJ2189">
        <v>64.099171327160505</v>
      </c>
      <c r="AK2189">
        <v>9.1411610035090298</v>
      </c>
      <c r="AL2189">
        <v>87.067345616720601</v>
      </c>
      <c r="AM2189">
        <v>79.391399292744893</v>
      </c>
      <c r="AN2189">
        <v>1.00000003009361</v>
      </c>
    </row>
    <row r="2190" spans="1:40" x14ac:dyDescent="0.25">
      <c r="A2190" t="str">
        <f>"20190312153930554"</f>
        <v>20190312153930554</v>
      </c>
      <c r="B2190" t="str">
        <f>"1552376370547594"</f>
        <v>1552376370547594</v>
      </c>
      <c r="C2190" t="s">
        <v>40</v>
      </c>
      <c r="D2190">
        <v>4.3900899999999998</v>
      </c>
      <c r="E2190">
        <v>0.5946977</v>
      </c>
      <c r="F2190" t="s">
        <v>61</v>
      </c>
      <c r="G2190">
        <v>-213.32470000000001</v>
      </c>
      <c r="H2190" s="1">
        <v>2.324401E-7</v>
      </c>
      <c r="I2190">
        <v>286.2962</v>
      </c>
      <c r="J2190">
        <v>-204.09690000000001</v>
      </c>
      <c r="K2190">
        <v>1.1064149999999999</v>
      </c>
      <c r="L2190">
        <v>286.39109999999999</v>
      </c>
      <c r="M2190">
        <v>-0.89788099999999904</v>
      </c>
      <c r="N2190">
        <v>0</v>
      </c>
      <c r="O2190">
        <v>-0.43998999999999999</v>
      </c>
      <c r="P2190">
        <v>-0.96264430000000001</v>
      </c>
      <c r="Q2190">
        <v>3.9044790000000003E-2</v>
      </c>
      <c r="R2190">
        <v>-0.2679395</v>
      </c>
      <c r="S2190">
        <v>-3.125534</v>
      </c>
      <c r="T2190">
        <v>-0.36890139999999999</v>
      </c>
      <c r="U2190">
        <v>-5.1330569999999999E-2</v>
      </c>
      <c r="V2190">
        <v>0.18353659999999999</v>
      </c>
      <c r="W2190">
        <v>5.1685010000000003E-2</v>
      </c>
      <c r="X2190">
        <v>0.9816532</v>
      </c>
      <c r="Y2190">
        <v>0.4194444</v>
      </c>
      <c r="Z2190">
        <v>7.4977909999999995E-2</v>
      </c>
      <c r="AA2190">
        <v>0.90467940000000002</v>
      </c>
      <c r="AB2190">
        <v>15</v>
      </c>
      <c r="AC2190">
        <v>-9.2278000000000002</v>
      </c>
      <c r="AD2190">
        <v>-1.1064147675599001</v>
      </c>
      <c r="AE2190">
        <v>-9.4899999999995502E-2</v>
      </c>
      <c r="AF2190">
        <v>3.91903093935779</v>
      </c>
      <c r="AG2190">
        <v>-1.1064147675599001</v>
      </c>
      <c r="AH2190">
        <v>8.2101147414543707</v>
      </c>
      <c r="AI2190">
        <v>96.934101799268603</v>
      </c>
      <c r="AJ2190">
        <v>64.482906378474098</v>
      </c>
      <c r="AK2190">
        <v>9.1645480635634495</v>
      </c>
      <c r="AL2190">
        <v>87.0373470636181</v>
      </c>
      <c r="AM2190">
        <v>79.409857734542697</v>
      </c>
      <c r="AN2190">
        <v>1.00000001443425</v>
      </c>
    </row>
    <row r="2191" spans="1:40" x14ac:dyDescent="0.25">
      <c r="A2191" t="str">
        <f>"20190312153930579"</f>
        <v>20190312153930579</v>
      </c>
      <c r="B2191" t="str">
        <f>"1552376370568090"</f>
        <v>1552376370568090</v>
      </c>
      <c r="C2191" t="s">
        <v>40</v>
      </c>
      <c r="D2191">
        <v>4.4383559999999997</v>
      </c>
      <c r="E2191">
        <v>0.59399279999999999</v>
      </c>
      <c r="F2191" t="s">
        <v>61</v>
      </c>
      <c r="G2191">
        <v>-213.7319</v>
      </c>
      <c r="H2191" s="1">
        <v>4.4914439999999998E-7</v>
      </c>
      <c r="I2191">
        <v>286.14</v>
      </c>
      <c r="J2191">
        <v>-204.2534</v>
      </c>
      <c r="K2191">
        <v>1.106439</v>
      </c>
      <c r="L2191">
        <v>286.32979999999998</v>
      </c>
      <c r="M2191">
        <v>-0.90286920000000004</v>
      </c>
      <c r="N2191">
        <v>0</v>
      </c>
      <c r="O2191">
        <v>-0.42966130000000002</v>
      </c>
      <c r="P2191">
        <v>-0.96555290000000005</v>
      </c>
      <c r="Q2191">
        <v>3.8932790000000002E-2</v>
      </c>
      <c r="R2191">
        <v>-0.25727729999999999</v>
      </c>
      <c r="S2191">
        <v>-3.1083530000000001</v>
      </c>
      <c r="T2191">
        <v>-0.35693989999999998</v>
      </c>
      <c r="U2191">
        <v>-8.099365E-2</v>
      </c>
      <c r="V2191">
        <v>0.18312980000000001</v>
      </c>
      <c r="W2191">
        <v>5.1577860000000003E-2</v>
      </c>
      <c r="X2191">
        <v>0.98173480000000002</v>
      </c>
      <c r="Y2191">
        <v>0.40074769999999998</v>
      </c>
      <c r="Z2191">
        <v>7.0779040000000001E-2</v>
      </c>
      <c r="AA2191">
        <v>0.9134504</v>
      </c>
      <c r="AB2191">
        <v>15</v>
      </c>
      <c r="AC2191">
        <v>-9.4784999999999897</v>
      </c>
      <c r="AD2191">
        <v>-1.1064385508556001</v>
      </c>
      <c r="AE2191">
        <v>-0.189799999999991</v>
      </c>
      <c r="AF2191">
        <v>3.8491773756351302</v>
      </c>
      <c r="AG2191">
        <v>-1.1064385508556001</v>
      </c>
      <c r="AH2191">
        <v>8.5242323920135004</v>
      </c>
      <c r="AI2191">
        <v>96.746601432522695</v>
      </c>
      <c r="AJ2191">
        <v>65.698108026732996</v>
      </c>
      <c r="AK2191">
        <v>9.4182222637275395</v>
      </c>
      <c r="AL2191">
        <v>87.043494487891707</v>
      </c>
      <c r="AM2191">
        <v>79.433659578330094</v>
      </c>
      <c r="AN2191">
        <v>1.00000000841062</v>
      </c>
    </row>
    <row r="2192" spans="1:40" x14ac:dyDescent="0.25">
      <c r="A2192" t="str">
        <f>"20190312153930612"</f>
        <v>20190312153930612</v>
      </c>
      <c r="B2192" t="str">
        <f>"1552376370598345"</f>
        <v>1552376370598345</v>
      </c>
      <c r="C2192" t="s">
        <v>40</v>
      </c>
      <c r="D2192">
        <v>4.3259040000000004</v>
      </c>
      <c r="E2192">
        <v>0.59396119999999997</v>
      </c>
      <c r="F2192" t="s">
        <v>61</v>
      </c>
      <c r="G2192">
        <v>-213.8563</v>
      </c>
      <c r="H2192" s="1">
        <v>5.1532310000000001E-7</v>
      </c>
      <c r="I2192">
        <v>286.16849999999999</v>
      </c>
      <c r="J2192">
        <v>-204.46199999999999</v>
      </c>
      <c r="K2192">
        <v>1.1064639999999999</v>
      </c>
      <c r="L2192">
        <v>286.25150000000002</v>
      </c>
      <c r="M2192">
        <v>-0.90930250000000001</v>
      </c>
      <c r="N2192">
        <v>0</v>
      </c>
      <c r="O2192">
        <v>-0.41587390000000002</v>
      </c>
      <c r="P2192">
        <v>-0.96933380000000002</v>
      </c>
      <c r="Q2192">
        <v>3.8637119999999997E-2</v>
      </c>
      <c r="R2192">
        <v>-0.24269160000000001</v>
      </c>
      <c r="S2192">
        <v>-3.1075590000000002</v>
      </c>
      <c r="T2192">
        <v>-0.35805189999999998</v>
      </c>
      <c r="U2192">
        <v>-5.2215579999999998E-2</v>
      </c>
      <c r="V2192">
        <v>0.18299099999999999</v>
      </c>
      <c r="W2192">
        <v>5.1284040000000003E-2</v>
      </c>
      <c r="X2192">
        <v>0.98177610000000004</v>
      </c>
      <c r="Y2192">
        <v>0.39535670000000001</v>
      </c>
      <c r="Z2192">
        <v>6.9282449999999995E-2</v>
      </c>
      <c r="AA2192">
        <v>0.91591100000000003</v>
      </c>
      <c r="AB2192">
        <v>15</v>
      </c>
      <c r="AC2192">
        <v>-9.3942999999999799</v>
      </c>
      <c r="AD2192">
        <v>-1.1064634846768999</v>
      </c>
      <c r="AE2192">
        <v>-8.3000000000026802E-2</v>
      </c>
      <c r="AF2192">
        <v>3.7793654769725999</v>
      </c>
      <c r="AG2192">
        <v>-1.1064634846768999</v>
      </c>
      <c r="AH2192">
        <v>8.4603578325476203</v>
      </c>
      <c r="AI2192">
        <v>96.809411723081595</v>
      </c>
      <c r="AJ2192">
        <v>65.928986526092402</v>
      </c>
      <c r="AK2192">
        <v>9.3319622537923692</v>
      </c>
      <c r="AL2192">
        <v>87.060351520341897</v>
      </c>
      <c r="AM2192">
        <v>79.441922174223194</v>
      </c>
      <c r="AN2192">
        <v>1.0000000346854601</v>
      </c>
    </row>
    <row r="2193" spans="1:40" x14ac:dyDescent="0.25">
      <c r="A2193" t="str">
        <f>"20190312153930633"</f>
        <v>20190312153930633</v>
      </c>
      <c r="B2193" t="str">
        <f>"1552376370617866"</f>
        <v>1552376370617866</v>
      </c>
      <c r="C2193" t="s">
        <v>40</v>
      </c>
      <c r="D2193">
        <v>4.332484</v>
      </c>
      <c r="E2193">
        <v>0.59313509999999903</v>
      </c>
      <c r="F2193" t="s">
        <v>61</v>
      </c>
      <c r="G2193">
        <v>-214.29390000000001</v>
      </c>
      <c r="H2193" s="1">
        <v>7.4822590000000003E-7</v>
      </c>
      <c r="I2193">
        <v>286.23200000000003</v>
      </c>
      <c r="J2193">
        <v>-204.5967</v>
      </c>
      <c r="K2193">
        <v>1.106482</v>
      </c>
      <c r="L2193">
        <v>286.20269999999999</v>
      </c>
      <c r="M2193">
        <v>-0.91333019999999998</v>
      </c>
      <c r="N2193">
        <v>0</v>
      </c>
      <c r="O2193">
        <v>-0.40695249999999999</v>
      </c>
      <c r="P2193">
        <v>-0.9716612</v>
      </c>
      <c r="Q2193">
        <v>3.8167529999999998E-2</v>
      </c>
      <c r="R2193">
        <v>-0.2332774</v>
      </c>
      <c r="S2193">
        <v>-3.1073</v>
      </c>
      <c r="T2193">
        <v>-0.34968779999999999</v>
      </c>
      <c r="U2193">
        <v>-6.1645509999999999E-3</v>
      </c>
      <c r="V2193">
        <v>0.18290409999999999</v>
      </c>
      <c r="W2193">
        <v>5.0816409999999999E-2</v>
      </c>
      <c r="X2193">
        <v>0.98181660000000004</v>
      </c>
      <c r="Y2193">
        <v>0.40020600000000001</v>
      </c>
      <c r="Z2193">
        <v>6.7065920000000001E-2</v>
      </c>
      <c r="AA2193">
        <v>0.91396790000000006</v>
      </c>
      <c r="AB2193">
        <v>15</v>
      </c>
      <c r="AC2193">
        <v>-9.6972000000000094</v>
      </c>
      <c r="AD2193">
        <v>-1.1064812517741001</v>
      </c>
      <c r="AE2193">
        <v>2.9300000000034701E-2</v>
      </c>
      <c r="AF2193">
        <v>3.9224250374882201</v>
      </c>
      <c r="AG2193">
        <v>-1.1064812517741001</v>
      </c>
      <c r="AH2193">
        <v>8.7320976214850994</v>
      </c>
      <c r="AI2193">
        <v>96.593455554883903</v>
      </c>
      <c r="AJ2193">
        <v>65.810565209094605</v>
      </c>
      <c r="AK2193">
        <v>9.6363503364286096</v>
      </c>
      <c r="AL2193">
        <v>87.087179703331003</v>
      </c>
      <c r="AM2193">
        <v>79.447248949609801</v>
      </c>
      <c r="AN2193">
        <v>1.00000002667882</v>
      </c>
    </row>
    <row r="2194" spans="1:40" x14ac:dyDescent="0.25">
      <c r="A2194" t="str">
        <f>"20190312153930656"</f>
        <v>20190312153930656</v>
      </c>
      <c r="B2194" t="str">
        <f>"1552376370648409"</f>
        <v>1552376370648409</v>
      </c>
      <c r="C2194" t="s">
        <v>40</v>
      </c>
      <c r="D2194">
        <v>4.3324809999999996</v>
      </c>
      <c r="E2194">
        <v>0.58762519999999996</v>
      </c>
      <c r="F2194" t="s">
        <v>61</v>
      </c>
      <c r="G2194">
        <v>-214.59620000000001</v>
      </c>
      <c r="H2194" s="1">
        <v>9.0909610000000005E-7</v>
      </c>
      <c r="I2194">
        <v>286.2586</v>
      </c>
      <c r="J2194">
        <v>-204.74080000000001</v>
      </c>
      <c r="K2194">
        <v>1.1064969999999901</v>
      </c>
      <c r="L2194">
        <v>286.15219999999999</v>
      </c>
      <c r="M2194">
        <v>-0.91752990000000001</v>
      </c>
      <c r="N2194">
        <v>0</v>
      </c>
      <c r="O2194">
        <v>-0.3973932</v>
      </c>
      <c r="P2194">
        <v>-0.97400690000000001</v>
      </c>
      <c r="Q2194">
        <v>3.7483870000000002E-2</v>
      </c>
      <c r="R2194">
        <v>-0.22339590000000001</v>
      </c>
      <c r="S2194">
        <v>-3.1051479999999998</v>
      </c>
      <c r="T2194">
        <v>-0.34359469999999998</v>
      </c>
      <c r="U2194">
        <v>1.7364500000000001E-2</v>
      </c>
      <c r="V2194">
        <v>0.18262539999999999</v>
      </c>
      <c r="W2194">
        <v>5.0136819999999999E-2</v>
      </c>
      <c r="X2194">
        <v>0.98190339999999998</v>
      </c>
      <c r="Y2194">
        <v>0.39780989999999999</v>
      </c>
      <c r="Z2194">
        <v>6.4853569999999999E-2</v>
      </c>
      <c r="AA2194">
        <v>0.91517280000000001</v>
      </c>
      <c r="AB2194">
        <v>15</v>
      </c>
      <c r="AC2194">
        <v>-9.8553999999999995</v>
      </c>
      <c r="AD2194">
        <v>-1.1064960909039001</v>
      </c>
      <c r="AE2194">
        <v>0.106400000000007</v>
      </c>
      <c r="AF2194">
        <v>3.9645623317955598</v>
      </c>
      <c r="AG2194">
        <v>-1.1064960909039001</v>
      </c>
      <c r="AH2194">
        <v>8.8892820982117904</v>
      </c>
      <c r="AI2194">
        <v>96.485627821332102</v>
      </c>
      <c r="AJ2194">
        <v>65.963437604537802</v>
      </c>
      <c r="AK2194">
        <v>9.7959902155660803</v>
      </c>
      <c r="AL2194">
        <v>87.126166999542605</v>
      </c>
      <c r="AM2194">
        <v>79.463878929757698</v>
      </c>
      <c r="AN2194">
        <v>1.00000001218821</v>
      </c>
    </row>
    <row r="2195" spans="1:40" x14ac:dyDescent="0.25">
      <c r="A2195" t="str">
        <f>"20190312153930678"</f>
        <v>20190312153930678</v>
      </c>
      <c r="B2195" t="str">
        <f>"1552376370667930"</f>
        <v>1552376370667930</v>
      </c>
      <c r="C2195" t="s">
        <v>40</v>
      </c>
      <c r="D2195">
        <v>4.2895890000000003</v>
      </c>
      <c r="E2195">
        <v>0.58556109999999995</v>
      </c>
      <c r="F2195" t="s">
        <v>61</v>
      </c>
      <c r="G2195">
        <v>-217.09389999999999</v>
      </c>
      <c r="H2195" s="1">
        <v>2.2382060000000002E-6</v>
      </c>
      <c r="I2195">
        <v>286.18</v>
      </c>
      <c r="J2195">
        <v>-204.88919999999999</v>
      </c>
      <c r="K2195">
        <v>1.106506</v>
      </c>
      <c r="L2195">
        <v>286.1019</v>
      </c>
      <c r="M2195">
        <v>-0.92173579999999999</v>
      </c>
      <c r="N2195">
        <v>0</v>
      </c>
      <c r="O2195">
        <v>-0.38753799999999999</v>
      </c>
      <c r="P2195">
        <v>-0.97616139999999996</v>
      </c>
      <c r="Q2195">
        <v>3.754188E-2</v>
      </c>
      <c r="R2195">
        <v>-0.21377399999999999</v>
      </c>
      <c r="S2195">
        <v>-3.0923310000000002</v>
      </c>
      <c r="T2195">
        <v>-0.27698810000000001</v>
      </c>
      <c r="U2195">
        <v>6.9580079999999999E-3</v>
      </c>
      <c r="V2195">
        <v>0.18178859999999999</v>
      </c>
      <c r="W2195">
        <v>5.0205399999999997E-2</v>
      </c>
      <c r="X2195">
        <v>0.98205509999999996</v>
      </c>
      <c r="Y2195">
        <v>0.38661630000000002</v>
      </c>
      <c r="Z2195">
        <v>5.1225510000000002E-2</v>
      </c>
      <c r="AA2195">
        <v>0.92081690000000005</v>
      </c>
      <c r="AB2195">
        <v>15</v>
      </c>
      <c r="AC2195">
        <v>-12.204700000000001</v>
      </c>
      <c r="AD2195">
        <v>-1.1065037617939999</v>
      </c>
      <c r="AE2195">
        <v>7.8100000000006206E-2</v>
      </c>
      <c r="AF2195">
        <v>4.7631450409889604</v>
      </c>
      <c r="AG2195">
        <v>-1.1065037617939999</v>
      </c>
      <c r="AH2195">
        <v>11.128989721648599</v>
      </c>
      <c r="AI2195">
        <v>95.222631440184401</v>
      </c>
      <c r="AJ2195">
        <v>66.829347454212197</v>
      </c>
      <c r="AK2195">
        <v>12.1559168095591</v>
      </c>
      <c r="AL2195">
        <v>87.122232516474995</v>
      </c>
      <c r="AM2195">
        <v>79.512666545671607</v>
      </c>
      <c r="AN2195">
        <v>0.99999994835756301</v>
      </c>
    </row>
    <row r="2196" spans="1:40" x14ac:dyDescent="0.25">
      <c r="A2196" t="str">
        <f>"20190312153930700"</f>
        <v>20190312153930700</v>
      </c>
      <c r="B2196" t="str">
        <f>"1552376370688426"</f>
        <v>1552376370688426</v>
      </c>
      <c r="C2196" t="s">
        <v>40</v>
      </c>
      <c r="D2196">
        <v>4.1736659999999999</v>
      </c>
      <c r="E2196">
        <v>0.58683629999999998</v>
      </c>
      <c r="F2196" t="s">
        <v>61</v>
      </c>
      <c r="G2196">
        <v>-217.3227</v>
      </c>
      <c r="H2196" s="1">
        <v>2.3600109999999999E-6</v>
      </c>
      <c r="I2196">
        <v>286.18939999999998</v>
      </c>
      <c r="J2196">
        <v>-205.02500000000001</v>
      </c>
      <c r="K2196">
        <v>1.1065210000000001</v>
      </c>
      <c r="L2196">
        <v>286.05759999999998</v>
      </c>
      <c r="M2196">
        <v>-0.92548169999999996</v>
      </c>
      <c r="N2196">
        <v>0</v>
      </c>
      <c r="O2196">
        <v>-0.37850590000000001</v>
      </c>
      <c r="P2196">
        <v>-0.97804150000000001</v>
      </c>
      <c r="Q2196">
        <v>3.7591489999999998E-2</v>
      </c>
      <c r="R2196">
        <v>-0.20499229999999999</v>
      </c>
      <c r="S2196">
        <v>-3.0886230000000001</v>
      </c>
      <c r="T2196">
        <v>-0.27486630000000001</v>
      </c>
      <c r="U2196">
        <v>2.1728520000000001E-2</v>
      </c>
      <c r="V2196">
        <v>0.18100830000000001</v>
      </c>
      <c r="W2196">
        <v>5.0265879999999999E-2</v>
      </c>
      <c r="X2196">
        <v>0.98219619999999996</v>
      </c>
      <c r="Y2196">
        <v>0.38209890000000002</v>
      </c>
      <c r="Z2196">
        <v>4.9949849999999997E-2</v>
      </c>
      <c r="AA2196">
        <v>0.9227706</v>
      </c>
      <c r="AB2196">
        <v>15</v>
      </c>
      <c r="AC2196">
        <v>-12.297699999999899</v>
      </c>
      <c r="AD2196">
        <v>-1.1065186399889999</v>
      </c>
      <c r="AE2196">
        <v>0.131799999999998</v>
      </c>
      <c r="AF2196">
        <v>4.7388870799915503</v>
      </c>
      <c r="AG2196">
        <v>-1.1065186399889999</v>
      </c>
      <c r="AH2196">
        <v>11.2416366872444</v>
      </c>
      <c r="AI2196">
        <v>95.182595471148403</v>
      </c>
      <c r="AJ2196">
        <v>67.142251957354304</v>
      </c>
      <c r="AK2196">
        <v>12.2497277384256</v>
      </c>
      <c r="AL2196">
        <v>87.118763091426402</v>
      </c>
      <c r="AM2196">
        <v>79.558156627654796</v>
      </c>
      <c r="AN2196">
        <v>1.0000000193277501</v>
      </c>
    </row>
    <row r="2197" spans="1:40" x14ac:dyDescent="0.25">
      <c r="A2197" t="str">
        <f>"20190312153930721"</f>
        <v>20190312153930721</v>
      </c>
      <c r="B2197" t="str">
        <f>"1552376370717706"</f>
        <v>1552376370717706</v>
      </c>
      <c r="C2197" t="s">
        <v>40</v>
      </c>
      <c r="D2197">
        <v>4.2927499999999998</v>
      </c>
      <c r="E2197">
        <v>0.58597299999999997</v>
      </c>
      <c r="F2197" t="s">
        <v>61</v>
      </c>
      <c r="G2197">
        <v>-218.45820000000001</v>
      </c>
      <c r="H2197" s="1">
        <v>2.9642599999999999E-6</v>
      </c>
      <c r="I2197">
        <v>286.31509999999997</v>
      </c>
      <c r="J2197">
        <v>-205.1652</v>
      </c>
      <c r="K2197">
        <v>1.1065389999999999</v>
      </c>
      <c r="L2197">
        <v>286.01330000000002</v>
      </c>
      <c r="M2197">
        <v>-0.9292454</v>
      </c>
      <c r="N2197">
        <v>0</v>
      </c>
      <c r="O2197">
        <v>-0.36916979999999999</v>
      </c>
      <c r="P2197">
        <v>-0.97990650000000001</v>
      </c>
      <c r="Q2197">
        <v>3.729068E-2</v>
      </c>
      <c r="R2197">
        <v>-0.19594120000000001</v>
      </c>
      <c r="S2197">
        <v>-3.0895540000000001</v>
      </c>
      <c r="T2197">
        <v>-0.25449110000000003</v>
      </c>
      <c r="U2197">
        <v>5.9234620000000002E-2</v>
      </c>
      <c r="V2197">
        <v>0.18019940000000001</v>
      </c>
      <c r="W2197">
        <v>4.9976340000000001E-2</v>
      </c>
      <c r="X2197">
        <v>0.98235969999999995</v>
      </c>
      <c r="Y2197">
        <v>0.38444640000000002</v>
      </c>
      <c r="Z2197">
        <v>4.5633710000000001E-2</v>
      </c>
      <c r="AA2197">
        <v>0.92201869999999997</v>
      </c>
      <c r="AB2197">
        <v>15</v>
      </c>
      <c r="AC2197">
        <v>-13.292999999999999</v>
      </c>
      <c r="AD2197">
        <v>-1.10653603574</v>
      </c>
      <c r="AE2197">
        <v>0.30179999999995699</v>
      </c>
      <c r="AF2197">
        <v>5.1526966262152598</v>
      </c>
      <c r="AG2197">
        <v>-1.10653603574</v>
      </c>
      <c r="AH2197">
        <v>12.158166499170999</v>
      </c>
      <c r="AI2197">
        <v>94.790019151907899</v>
      </c>
      <c r="AJ2197">
        <v>67.032506860794697</v>
      </c>
      <c r="AK2197">
        <v>13.2512534177626</v>
      </c>
      <c r="AL2197">
        <v>87.135373387642304</v>
      </c>
      <c r="AM2197">
        <v>79.605492617790702</v>
      </c>
      <c r="AN2197">
        <v>1.0000000192521199</v>
      </c>
    </row>
    <row r="2198" spans="1:40" x14ac:dyDescent="0.25">
      <c r="A2198" t="str">
        <f>"20190312153930744"</f>
        <v>20190312153930744</v>
      </c>
      <c r="B2198" t="str">
        <f>"1552376370738201"</f>
        <v>1552376370738201</v>
      </c>
      <c r="C2198" t="s">
        <v>40</v>
      </c>
      <c r="D2198">
        <v>4.2752990000000004</v>
      </c>
      <c r="E2198">
        <v>0.57546869999999894</v>
      </c>
      <c r="F2198" t="s">
        <v>61</v>
      </c>
      <c r="G2198">
        <v>-219.05760000000001</v>
      </c>
      <c r="H2198" s="1">
        <v>3.2832160000000002E-6</v>
      </c>
      <c r="I2198">
        <v>286.37630000000001</v>
      </c>
      <c r="J2198">
        <v>-205.30690000000001</v>
      </c>
      <c r="K2198">
        <v>1.1065579999999999</v>
      </c>
      <c r="L2198">
        <v>285.97019999999998</v>
      </c>
      <c r="M2198">
        <v>-0.9329423</v>
      </c>
      <c r="N2198">
        <v>0</v>
      </c>
      <c r="O2198">
        <v>-0.35972480000000001</v>
      </c>
      <c r="P2198">
        <v>-0.98160049999999999</v>
      </c>
      <c r="Q2198">
        <v>3.7567219999999998E-2</v>
      </c>
      <c r="R2198">
        <v>-0.18721499999999999</v>
      </c>
      <c r="S2198">
        <v>-3.087021</v>
      </c>
      <c r="T2198">
        <v>-0.2458822</v>
      </c>
      <c r="U2198">
        <v>8.0657960000000001E-2</v>
      </c>
      <c r="V2198">
        <v>0.1789704</v>
      </c>
      <c r="W2198">
        <v>5.0268739999999999E-2</v>
      </c>
      <c r="X2198">
        <v>0.98256940000000004</v>
      </c>
      <c r="Y2198">
        <v>0.3816987</v>
      </c>
      <c r="Z2198">
        <v>4.331716E-2</v>
      </c>
      <c r="AA2198">
        <v>0.92327119999999996</v>
      </c>
      <c r="AB2198">
        <v>15</v>
      </c>
      <c r="AC2198">
        <v>-13.750699999999901</v>
      </c>
      <c r="AD2198">
        <v>-1.106554716784</v>
      </c>
      <c r="AE2198">
        <v>0.40610000000003699</v>
      </c>
      <c r="AF2198">
        <v>5.2916746765998903</v>
      </c>
      <c r="AG2198">
        <v>-1.106554716784</v>
      </c>
      <c r="AH2198">
        <v>12.6023602669681</v>
      </c>
      <c r="AI2198">
        <v>94.628456562270799</v>
      </c>
      <c r="AJ2198">
        <v>67.222682859910407</v>
      </c>
      <c r="AK2198">
        <v>13.712978105526901</v>
      </c>
      <c r="AL2198">
        <v>87.118598927898503</v>
      </c>
      <c r="AM2198">
        <v>79.677011739480093</v>
      </c>
      <c r="AN2198">
        <v>0.99999998805685297</v>
      </c>
    </row>
    <row r="2199" spans="1:40" x14ac:dyDescent="0.25">
      <c r="A2199" t="str">
        <f>"20190312153930767"</f>
        <v>20190312153930767</v>
      </c>
      <c r="B2199" t="str">
        <f>"1552376370757722"</f>
        <v>1552376370757722</v>
      </c>
      <c r="C2199" t="s">
        <v>40</v>
      </c>
      <c r="D2199">
        <v>4.2234749999999996</v>
      </c>
      <c r="E2199">
        <v>0.5734745</v>
      </c>
      <c r="F2199" t="s">
        <v>61</v>
      </c>
      <c r="G2199">
        <v>-225.77959999999999</v>
      </c>
      <c r="H2199" s="1">
        <v>1.5388439999999999E-6</v>
      </c>
      <c r="I2199">
        <v>286.1472</v>
      </c>
      <c r="J2199">
        <v>-205.4588</v>
      </c>
      <c r="K2199">
        <v>1.1065849999999999</v>
      </c>
      <c r="L2199">
        <v>285.92559999999997</v>
      </c>
      <c r="M2199">
        <v>-0.93678620000000001</v>
      </c>
      <c r="N2199">
        <v>0</v>
      </c>
      <c r="O2199">
        <v>-0.34959309999999899</v>
      </c>
      <c r="P2199">
        <v>-0.98326369999999996</v>
      </c>
      <c r="Q2199">
        <v>3.7377100000000003E-2</v>
      </c>
      <c r="R2199">
        <v>-0.17831320000000001</v>
      </c>
      <c r="S2199">
        <v>-3.0676420000000002</v>
      </c>
      <c r="T2199">
        <v>-0.1658068</v>
      </c>
      <c r="U2199">
        <v>2.651978E-2</v>
      </c>
      <c r="V2199">
        <v>0.1772212</v>
      </c>
      <c r="W2199">
        <v>5.0102059999999997E-2</v>
      </c>
      <c r="X2199">
        <v>0.98289499999999996</v>
      </c>
      <c r="Y2199">
        <v>0.35670190000000002</v>
      </c>
      <c r="Z2199">
        <v>2.821545E-2</v>
      </c>
      <c r="AA2199">
        <v>0.93379210000000001</v>
      </c>
      <c r="AB2199">
        <v>15</v>
      </c>
      <c r="AC2199">
        <v>-20.320799999999899</v>
      </c>
      <c r="AD2199">
        <v>-1.1065834611559999</v>
      </c>
      <c r="AE2199">
        <v>0.221600000000023</v>
      </c>
      <c r="AF2199">
        <v>7.2907764231206498</v>
      </c>
      <c r="AG2199">
        <v>-1.1065834611559999</v>
      </c>
      <c r="AH2199">
        <v>18.9047717246182</v>
      </c>
      <c r="AI2199">
        <v>93.126041668792993</v>
      </c>
      <c r="AJ2199">
        <v>68.910467907539797</v>
      </c>
      <c r="AK2199">
        <v>20.292125117107901</v>
      </c>
      <c r="AL2199">
        <v>87.128161289165305</v>
      </c>
      <c r="AM2199">
        <v>79.779082495486193</v>
      </c>
      <c r="AN2199">
        <v>1.00000007558533</v>
      </c>
    </row>
    <row r="2200" spans="1:40" x14ac:dyDescent="0.25">
      <c r="A2200" t="str">
        <f>"20190312153930790"</f>
        <v>20190312153930790</v>
      </c>
      <c r="B2200" t="str">
        <f>"1552376370778217"</f>
        <v>1552376370778217</v>
      </c>
      <c r="C2200" t="s">
        <v>40</v>
      </c>
      <c r="D2200">
        <v>4.2749949999999997</v>
      </c>
      <c r="E2200">
        <v>0.57223919999999995</v>
      </c>
      <c r="F2200" t="s">
        <v>61</v>
      </c>
      <c r="G2200">
        <v>-227.28739999999999</v>
      </c>
      <c r="H2200" s="1">
        <v>2.341217E-6</v>
      </c>
      <c r="I2200">
        <v>286.20240000000001</v>
      </c>
      <c r="J2200">
        <v>-205.60599999999999</v>
      </c>
      <c r="K2200">
        <v>1.1066149999999999</v>
      </c>
      <c r="L2200">
        <v>285.88409999999999</v>
      </c>
      <c r="M2200">
        <v>-0.9403975</v>
      </c>
      <c r="N2200">
        <v>0</v>
      </c>
      <c r="O2200">
        <v>-0.33975919999999998</v>
      </c>
      <c r="P2200">
        <v>-0.98465950000000002</v>
      </c>
      <c r="Q2200">
        <v>3.7894820000000003E-2</v>
      </c>
      <c r="R2200">
        <v>-0.17032259999999999</v>
      </c>
      <c r="S2200">
        <v>-3.0639949999999998</v>
      </c>
      <c r="T2200">
        <v>-0.1553262</v>
      </c>
      <c r="U2200">
        <v>3.8848880000000002E-2</v>
      </c>
      <c r="V2200">
        <v>0.17489879999999999</v>
      </c>
      <c r="W2200">
        <v>5.064925E-2</v>
      </c>
      <c r="X2200">
        <v>0.98328280000000001</v>
      </c>
      <c r="Y2200">
        <v>0.35081820000000002</v>
      </c>
      <c r="Z2200">
        <v>2.5845190000000001E-2</v>
      </c>
      <c r="AA2200">
        <v>0.93608690000000006</v>
      </c>
      <c r="AB2200">
        <v>15</v>
      </c>
      <c r="AC2200">
        <v>-21.6814</v>
      </c>
      <c r="AD2200">
        <v>-1.1066126587830001</v>
      </c>
      <c r="AE2200">
        <v>0.31830000000002101</v>
      </c>
      <c r="AF2200">
        <v>7.6466967952692197</v>
      </c>
      <c r="AG2200">
        <v>-1.1066126587830001</v>
      </c>
      <c r="AH2200">
        <v>20.230491862914</v>
      </c>
      <c r="AI2200">
        <v>92.929106878949995</v>
      </c>
      <c r="AJ2200">
        <v>69.294471283079801</v>
      </c>
      <c r="AK2200">
        <v>21.655700507505799</v>
      </c>
      <c r="AL2200">
        <v>87.096769539614499</v>
      </c>
      <c r="AM2200">
        <v>79.914150778827803</v>
      </c>
      <c r="AN2200">
        <v>1.00000000077142</v>
      </c>
    </row>
    <row r="2201" spans="1:40" x14ac:dyDescent="0.25">
      <c r="A2201" t="str">
        <f>"20190312153930812"</f>
        <v>20190312153930812</v>
      </c>
      <c r="B2201" t="str">
        <f>"1552376370797738"</f>
        <v>1552376370797738</v>
      </c>
      <c r="C2201" t="s">
        <v>40</v>
      </c>
      <c r="D2201">
        <v>4.19137</v>
      </c>
      <c r="E2201">
        <v>0.57144779999999995</v>
      </c>
      <c r="F2201" t="s">
        <v>61</v>
      </c>
      <c r="G2201">
        <v>-229.78139999999999</v>
      </c>
      <c r="H2201" s="1">
        <v>3.6683800000000002E-6</v>
      </c>
      <c r="I2201">
        <v>286.31040000000002</v>
      </c>
      <c r="J2201">
        <v>-205.74520000000001</v>
      </c>
      <c r="K2201">
        <v>1.106646</v>
      </c>
      <c r="L2201">
        <v>285.84640000000002</v>
      </c>
      <c r="M2201">
        <v>-0.94370600000000004</v>
      </c>
      <c r="N2201">
        <v>0</v>
      </c>
      <c r="O2201">
        <v>-0.33045869999999999</v>
      </c>
      <c r="P2201">
        <v>-0.98590060000000002</v>
      </c>
      <c r="Q2201">
        <v>3.6949160000000002E-2</v>
      </c>
      <c r="R2201">
        <v>-0.16320229999999999</v>
      </c>
      <c r="S2201">
        <v>-3.0614780000000001</v>
      </c>
      <c r="T2201">
        <v>-0.14013680000000001</v>
      </c>
      <c r="U2201">
        <v>5.3985600000000002E-2</v>
      </c>
      <c r="V2201">
        <v>0.1722947</v>
      </c>
      <c r="W2201">
        <v>4.9737259999999998E-2</v>
      </c>
      <c r="X2201">
        <v>0.98378900000000002</v>
      </c>
      <c r="Y2201">
        <v>0.34638380000000002</v>
      </c>
      <c r="Z2201">
        <v>2.2834380000000001E-2</v>
      </c>
      <c r="AA2201">
        <v>0.93781499999999995</v>
      </c>
      <c r="AB2201">
        <v>15</v>
      </c>
      <c r="AC2201">
        <v>-24.036199999999901</v>
      </c>
      <c r="AD2201">
        <v>-1.10664233162</v>
      </c>
      <c r="AE2201">
        <v>0.46399999999999803</v>
      </c>
      <c r="AF2201">
        <v>8.3640334207397995</v>
      </c>
      <c r="AG2201">
        <v>-1.10664233162</v>
      </c>
      <c r="AH2201">
        <v>22.484563591716</v>
      </c>
      <c r="AI2201">
        <v>92.641159962043503</v>
      </c>
      <c r="AJ2201">
        <v>69.595300902539606</v>
      </c>
      <c r="AK2201">
        <v>24.015355758832801</v>
      </c>
      <c r="AL2201">
        <v>87.149088742906798</v>
      </c>
      <c r="AM2201">
        <v>80.066316624561296</v>
      </c>
      <c r="AN2201">
        <v>1.00000002760069</v>
      </c>
    </row>
    <row r="2202" spans="1:40" x14ac:dyDescent="0.25">
      <c r="A2202" t="str">
        <f>"20190312153930832"</f>
        <v>20190312153930832</v>
      </c>
      <c r="B2202" t="str">
        <f>"1552376370827994"</f>
        <v>1552376370827994</v>
      </c>
      <c r="C2202" t="s">
        <v>40</v>
      </c>
      <c r="D2202">
        <v>4.1707190000000001</v>
      </c>
      <c r="E2202">
        <v>0.56941750000000002</v>
      </c>
      <c r="F2202" t="s">
        <v>61</v>
      </c>
      <c r="G2202">
        <v>-230.6729</v>
      </c>
      <c r="H2202" s="1">
        <v>-1.2573860000000001E-6</v>
      </c>
      <c r="I2202">
        <v>286.41669999999999</v>
      </c>
      <c r="J2202">
        <v>-205.8802</v>
      </c>
      <c r="K2202">
        <v>1.1066750000000001</v>
      </c>
      <c r="L2202">
        <v>285.81119999999999</v>
      </c>
      <c r="M2202">
        <v>-0.9468181</v>
      </c>
      <c r="N2202">
        <v>0</v>
      </c>
      <c r="O2202">
        <v>-0.32143470000000002</v>
      </c>
      <c r="P2202">
        <v>-0.98692340000000001</v>
      </c>
      <c r="Q2202">
        <v>3.5946560000000002E-2</v>
      </c>
      <c r="R2202">
        <v>-0.15713239999999901</v>
      </c>
      <c r="S2202">
        <v>-3.0595699999999999</v>
      </c>
      <c r="T2202">
        <v>-0.13582710000000001</v>
      </c>
      <c r="U2202">
        <v>7.0007319999999998E-2</v>
      </c>
      <c r="V2202">
        <v>0.1689532</v>
      </c>
      <c r="W2202">
        <v>4.8777590000000003E-2</v>
      </c>
      <c r="X2202">
        <v>0.98441639999999997</v>
      </c>
      <c r="Y2202">
        <v>0.34240029999999999</v>
      </c>
      <c r="Z2202">
        <v>2.1676629999999999E-2</v>
      </c>
      <c r="AA2202">
        <v>0.93930409999999998</v>
      </c>
      <c r="AB2202">
        <v>14</v>
      </c>
      <c r="AC2202">
        <v>-24.7927</v>
      </c>
      <c r="AD2202">
        <v>-1.1066762573860001</v>
      </c>
      <c r="AE2202">
        <v>0.60550000000000603</v>
      </c>
      <c r="AF2202">
        <v>8.5264731698106697</v>
      </c>
      <c r="AG2202">
        <v>-1.1066762573860001</v>
      </c>
      <c r="AH2202">
        <v>23.235784711577701</v>
      </c>
      <c r="AI2202">
        <v>92.560145793127404</v>
      </c>
      <c r="AJ2202">
        <v>69.849166364745997</v>
      </c>
      <c r="AK2202">
        <v>24.7755356797174</v>
      </c>
      <c r="AL2202">
        <v>87.2041406534277</v>
      </c>
      <c r="AM2202">
        <v>80.261333931498498</v>
      </c>
      <c r="AN2202">
        <v>1.0000000428327001</v>
      </c>
    </row>
    <row r="2203" spans="1:40" x14ac:dyDescent="0.25">
      <c r="A2203" t="str">
        <f>"20190312153930855"</f>
        <v>20190312153930855</v>
      </c>
      <c r="B2203" t="str">
        <f>"1552376370848489"</f>
        <v>1552376370848489</v>
      </c>
      <c r="C2203" t="s">
        <v>40</v>
      </c>
      <c r="D2203">
        <v>4.1664289999999999</v>
      </c>
      <c r="E2203">
        <v>0.56825859999999995</v>
      </c>
      <c r="F2203" t="s">
        <v>61</v>
      </c>
      <c r="G2203">
        <v>-231.56559999999999</v>
      </c>
      <c r="H2203" s="1">
        <v>-7.8284009999999897E-7</v>
      </c>
      <c r="I2203">
        <v>286.42750000000001</v>
      </c>
      <c r="J2203">
        <v>-206.023</v>
      </c>
      <c r="K2203">
        <v>1.1067149999999999</v>
      </c>
      <c r="L2203">
        <v>285.77539999999999</v>
      </c>
      <c r="M2203">
        <v>-0.95000119999999999</v>
      </c>
      <c r="N2203">
        <v>0</v>
      </c>
      <c r="O2203">
        <v>-0.3119015</v>
      </c>
      <c r="P2203">
        <v>-0.98796139999999999</v>
      </c>
      <c r="Q2203">
        <v>3.5107279999999998E-2</v>
      </c>
      <c r="R2203">
        <v>-0.1506662</v>
      </c>
      <c r="S2203">
        <v>-3.0562130000000001</v>
      </c>
      <c r="T2203">
        <v>-0.131679399999999</v>
      </c>
      <c r="U2203">
        <v>7.3333739999999994E-2</v>
      </c>
      <c r="V2203">
        <v>0.1654989</v>
      </c>
      <c r="W2203">
        <v>4.7983629999999999E-2</v>
      </c>
      <c r="X2203">
        <v>0.98504199999999997</v>
      </c>
      <c r="Y2203">
        <v>0.3340437</v>
      </c>
      <c r="Z2203">
        <v>2.0464369999999999E-2</v>
      </c>
      <c r="AA2203">
        <v>0.94233540000000005</v>
      </c>
      <c r="AB2203">
        <v>14</v>
      </c>
      <c r="AC2203">
        <v>-25.5426</v>
      </c>
      <c r="AD2203">
        <v>-1.1067157828401</v>
      </c>
      <c r="AE2203">
        <v>0.652100000000018</v>
      </c>
      <c r="AF2203">
        <v>8.57111457701156</v>
      </c>
      <c r="AG2203">
        <v>-1.1067157828401</v>
      </c>
      <c r="AH2203">
        <v>24.019635320450401</v>
      </c>
      <c r="AI2203">
        <v>92.484813383365506</v>
      </c>
      <c r="AJ2203">
        <v>70.361677129761304</v>
      </c>
      <c r="AK2203">
        <v>25.527077894731299</v>
      </c>
      <c r="AL2203">
        <v>87.249684502666497</v>
      </c>
      <c r="AM2203">
        <v>80.462694237081493</v>
      </c>
      <c r="AN2203">
        <v>1.00000002820659</v>
      </c>
    </row>
    <row r="2204" spans="1:40" x14ac:dyDescent="0.25">
      <c r="A2204" t="str">
        <f>"20190312153930878"</f>
        <v>20190312153930878</v>
      </c>
      <c r="B2204" t="str">
        <f>"1552376370868011"</f>
        <v>1552376370868011</v>
      </c>
      <c r="C2204" t="s">
        <v>40</v>
      </c>
      <c r="D2204">
        <v>4.1316709999999999</v>
      </c>
      <c r="E2204">
        <v>0.56673070000000003</v>
      </c>
      <c r="F2204" t="s">
        <v>61</v>
      </c>
      <c r="G2204">
        <v>-231.3734</v>
      </c>
      <c r="H2204" s="1">
        <v>-8.8719179999999996E-7</v>
      </c>
      <c r="I2204">
        <v>286.47550000000001</v>
      </c>
      <c r="J2204">
        <v>-206.1721</v>
      </c>
      <c r="K2204">
        <v>1.106744</v>
      </c>
      <c r="L2204">
        <v>285.73970000000003</v>
      </c>
      <c r="M2204">
        <v>-0.95320269999999996</v>
      </c>
      <c r="N2204">
        <v>0</v>
      </c>
      <c r="O2204">
        <v>-0.30197639999999998</v>
      </c>
      <c r="P2204">
        <v>-0.98898640000000004</v>
      </c>
      <c r="Q2204">
        <v>3.5078390000000001E-2</v>
      </c>
      <c r="R2204">
        <v>-0.14378949999999999</v>
      </c>
      <c r="S2204">
        <v>-3.0541689999999999</v>
      </c>
      <c r="T2204">
        <v>-0.13333490000000001</v>
      </c>
      <c r="U2204">
        <v>8.4350590000000003E-2</v>
      </c>
      <c r="V2204">
        <v>0.1620694</v>
      </c>
      <c r="W2204">
        <v>4.8000309999999997E-2</v>
      </c>
      <c r="X2204">
        <v>0.98561120000000002</v>
      </c>
      <c r="Y2204">
        <v>0.32761859999999998</v>
      </c>
      <c r="Z2204">
        <v>2.0178709999999999E-2</v>
      </c>
      <c r="AA2204">
        <v>0.94459459999999995</v>
      </c>
      <c r="AB2204">
        <v>14</v>
      </c>
      <c r="AC2204">
        <v>-25.2013</v>
      </c>
      <c r="AD2204">
        <v>-1.1067448871918</v>
      </c>
      <c r="AE2204">
        <v>0.73579999999998302</v>
      </c>
      <c r="AF2204">
        <v>8.2964702765578693</v>
      </c>
      <c r="AG2204">
        <v>-1.1067448871918</v>
      </c>
      <c r="AH2204">
        <v>23.756531705050499</v>
      </c>
      <c r="AI2204">
        <v>92.5183637272346</v>
      </c>
      <c r="AJ2204">
        <v>70.749316397766407</v>
      </c>
      <c r="AK2204">
        <v>25.1878760904568</v>
      </c>
      <c r="AL2204">
        <v>87.248727570755506</v>
      </c>
      <c r="AM2204">
        <v>80.6621079990027</v>
      </c>
      <c r="AN2204">
        <v>0.99999997887094705</v>
      </c>
    </row>
    <row r="2205" spans="1:40" x14ac:dyDescent="0.25">
      <c r="A2205" t="str">
        <f>"20190312153930900"</f>
        <v>20190312153930900</v>
      </c>
      <c r="B2205" t="str">
        <f>"1552376370888506"</f>
        <v>1552376370888506</v>
      </c>
      <c r="C2205" t="s">
        <v>40</v>
      </c>
      <c r="D2205">
        <v>4.1440780000000004</v>
      </c>
      <c r="E2205">
        <v>0.56547559999999997</v>
      </c>
      <c r="F2205" t="s">
        <v>61</v>
      </c>
      <c r="G2205">
        <v>-232.86269999999999</v>
      </c>
      <c r="H2205" s="1">
        <v>-9.8227229999999997E-8</v>
      </c>
      <c r="I2205">
        <v>286.55669999999998</v>
      </c>
      <c r="J2205">
        <v>-206.31399999999999</v>
      </c>
      <c r="K2205">
        <v>1.1067880000000001</v>
      </c>
      <c r="L2205">
        <v>285.7072</v>
      </c>
      <c r="M2205">
        <v>-0.95612640000000004</v>
      </c>
      <c r="N2205">
        <v>0</v>
      </c>
      <c r="O2205">
        <v>-0.29258840000000003</v>
      </c>
      <c r="P2205">
        <v>-0.98989780000000005</v>
      </c>
      <c r="Q2205">
        <v>3.3229330000000001E-2</v>
      </c>
      <c r="R2205">
        <v>-0.1378344</v>
      </c>
      <c r="S2205">
        <v>-3.0514679999999998</v>
      </c>
      <c r="T2205">
        <v>-0.12653139999999999</v>
      </c>
      <c r="U2205">
        <v>9.341431E-2</v>
      </c>
      <c r="V2205">
        <v>0.15830050000000001</v>
      </c>
      <c r="W2205">
        <v>4.6203679999999997E-2</v>
      </c>
      <c r="X2205">
        <v>0.98630930000000006</v>
      </c>
      <c r="Y2205">
        <v>0.32121939999999999</v>
      </c>
      <c r="Z2205">
        <v>1.8658910000000001E-2</v>
      </c>
      <c r="AA2205">
        <v>0.94682100000000002</v>
      </c>
      <c r="AB2205">
        <v>14</v>
      </c>
      <c r="AC2205">
        <v>-26.548699999999901</v>
      </c>
      <c r="AD2205">
        <v>-1.10678809822722</v>
      </c>
      <c r="AE2205">
        <v>0.84949999999997705</v>
      </c>
      <c r="AF2205">
        <v>8.5661182513171497</v>
      </c>
      <c r="AG2205">
        <v>-1.10678809822722</v>
      </c>
      <c r="AH2205">
        <v>25.094484372511801</v>
      </c>
      <c r="AI2205">
        <v>92.390138021470406</v>
      </c>
      <c r="AJ2205">
        <v>71.152423831408399</v>
      </c>
      <c r="AK2205">
        <v>26.5393388710451</v>
      </c>
      <c r="AL2205">
        <v>87.351781159377495</v>
      </c>
      <c r="AM2205">
        <v>80.881913793323506</v>
      </c>
      <c r="AN2205">
        <v>0.999999931806138</v>
      </c>
    </row>
    <row r="2206" spans="1:40" x14ac:dyDescent="0.25">
      <c r="A2206" t="str">
        <f>"20190312153930921"</f>
        <v>20190312153930921</v>
      </c>
      <c r="B2206" t="str">
        <f>"1552376370917786"</f>
        <v>1552376370917786</v>
      </c>
      <c r="C2206" t="s">
        <v>40</v>
      </c>
      <c r="D2206">
        <v>4.1172870000000001</v>
      </c>
      <c r="E2206">
        <v>0.56359119999999996</v>
      </c>
      <c r="F2206" t="s">
        <v>61</v>
      </c>
      <c r="G2206">
        <v>-232.3116</v>
      </c>
      <c r="H2206" s="1">
        <v>-3.922877E-7</v>
      </c>
      <c r="I2206">
        <v>286.5754</v>
      </c>
      <c r="J2206">
        <v>-206.45310000000001</v>
      </c>
      <c r="K2206">
        <v>1.1068420000000001</v>
      </c>
      <c r="L2206">
        <v>285.67660000000001</v>
      </c>
      <c r="M2206">
        <v>-0.95888099999999998</v>
      </c>
      <c r="N2206">
        <v>0</v>
      </c>
      <c r="O2206">
        <v>-0.28343160000000001</v>
      </c>
      <c r="P2206">
        <v>-0.99077789999999999</v>
      </c>
      <c r="Q2206">
        <v>3.0395990000000001E-2</v>
      </c>
      <c r="R2206">
        <v>-0.13204399999999999</v>
      </c>
      <c r="S2206">
        <v>-3.0491640000000002</v>
      </c>
      <c r="T2206">
        <v>-0.12981089999999901</v>
      </c>
      <c r="U2206">
        <v>0.1018372</v>
      </c>
      <c r="V2206">
        <v>0.1546246</v>
      </c>
      <c r="W2206">
        <v>4.3420319999999998E-2</v>
      </c>
      <c r="X2206">
        <v>0.98701870000000003</v>
      </c>
      <c r="Y2206">
        <v>0.31477739999999998</v>
      </c>
      <c r="Z2206">
        <v>1.8642430000000001E-2</v>
      </c>
      <c r="AA2206">
        <v>0.9489824</v>
      </c>
      <c r="AB2206">
        <v>14</v>
      </c>
      <c r="AC2206">
        <v>-25.8584999999999</v>
      </c>
      <c r="AD2206">
        <v>-1.1068423922877</v>
      </c>
      <c r="AE2206">
        <v>0.89879999999999405</v>
      </c>
      <c r="AF2206">
        <v>8.17687053536749</v>
      </c>
      <c r="AG2206">
        <v>-1.1068423922877</v>
      </c>
      <c r="AH2206">
        <v>24.498268531437599</v>
      </c>
      <c r="AI2206">
        <v>92.453981259709593</v>
      </c>
      <c r="AJ2206">
        <v>71.542361284256899</v>
      </c>
      <c r="AK2206">
        <v>25.8505603976384</v>
      </c>
      <c r="AL2206">
        <v>87.5114165429016</v>
      </c>
      <c r="AM2206">
        <v>81.096509991148395</v>
      </c>
      <c r="AN2206">
        <v>1.0000000026318701</v>
      </c>
    </row>
    <row r="2207" spans="1:40" x14ac:dyDescent="0.25">
      <c r="A2207" t="str">
        <f>"20190312153930944"</f>
        <v>20190312153930944</v>
      </c>
      <c r="B2207" t="str">
        <f>"1552376370938282"</f>
        <v>1552376370938282</v>
      </c>
      <c r="C2207" t="s">
        <v>40</v>
      </c>
      <c r="D2207">
        <v>4.0851680000000004</v>
      </c>
      <c r="E2207">
        <v>0.54887450000000004</v>
      </c>
      <c r="F2207" t="s">
        <v>61</v>
      </c>
      <c r="G2207">
        <v>-231.34219999999999</v>
      </c>
      <c r="H2207" s="1">
        <v>-9.0637370000000001E-7</v>
      </c>
      <c r="I2207">
        <v>286.53410000000002</v>
      </c>
      <c r="J2207">
        <v>-206.59639999999999</v>
      </c>
      <c r="K2207">
        <v>1.1069040000000001</v>
      </c>
      <c r="L2207">
        <v>285.6465</v>
      </c>
      <c r="M2207">
        <v>-0.96159969999999995</v>
      </c>
      <c r="N2207">
        <v>0</v>
      </c>
      <c r="O2207">
        <v>-0.27406730000000001</v>
      </c>
      <c r="P2207">
        <v>-0.99167550000000004</v>
      </c>
      <c r="Q2207">
        <v>2.7901809999999999E-2</v>
      </c>
      <c r="R2207">
        <v>-0.12570229999999999</v>
      </c>
      <c r="S2207">
        <v>-3.0460509999999998</v>
      </c>
      <c r="T2207">
        <v>-0.13546079999999999</v>
      </c>
      <c r="U2207">
        <v>0.10495</v>
      </c>
      <c r="V2207">
        <v>0.15130089999999999</v>
      </c>
      <c r="W2207">
        <v>4.0971559999999997E-2</v>
      </c>
      <c r="X2207">
        <v>0.98763829999999997</v>
      </c>
      <c r="Y2207">
        <v>0.30647999999999997</v>
      </c>
      <c r="Z2207">
        <v>1.888449E-2</v>
      </c>
      <c r="AA2207">
        <v>0.95168980000000003</v>
      </c>
      <c r="AB2207">
        <v>14</v>
      </c>
      <c r="AC2207">
        <v>-24.745799999999999</v>
      </c>
      <c r="AD2207">
        <v>-1.1069049063737</v>
      </c>
      <c r="AE2207">
        <v>0.88760000000002004</v>
      </c>
      <c r="AF2207">
        <v>7.6211150807662698</v>
      </c>
      <c r="AG2207">
        <v>-1.1069049063737</v>
      </c>
      <c r="AH2207">
        <v>23.507826463078299</v>
      </c>
      <c r="AI2207">
        <v>92.564655557541897</v>
      </c>
      <c r="AJ2207">
        <v>72.037575438044698</v>
      </c>
      <c r="AK2207">
        <v>24.7371085328144</v>
      </c>
      <c r="AL2207">
        <v>87.651845307030896</v>
      </c>
      <c r="AM2207">
        <v>81.290306848628504</v>
      </c>
      <c r="AN2207">
        <v>1.00000002134826</v>
      </c>
    </row>
    <row r="2208" spans="1:40" x14ac:dyDescent="0.25">
      <c r="A2208" t="str">
        <f>"20190312153930968"</f>
        <v>20190312153930968</v>
      </c>
      <c r="B2208" t="str">
        <f>"1552376370957802"</f>
        <v>1552376370957802</v>
      </c>
      <c r="C2208" t="s">
        <v>40</v>
      </c>
      <c r="D2208">
        <v>4.086411</v>
      </c>
      <c r="E2208">
        <v>0.54818669999999903</v>
      </c>
      <c r="F2208" t="s">
        <v>61</v>
      </c>
      <c r="G2208">
        <v>-242.7681</v>
      </c>
      <c r="H2208" s="1">
        <v>-6.3766439999999998E-8</v>
      </c>
      <c r="I2208">
        <v>285.74310000000003</v>
      </c>
      <c r="J2208">
        <v>-206.74959999999999</v>
      </c>
      <c r="K2208">
        <v>1.106986</v>
      </c>
      <c r="L2208">
        <v>285.61579999999998</v>
      </c>
      <c r="M2208">
        <v>-0.96436889999999997</v>
      </c>
      <c r="N2208">
        <v>0</v>
      </c>
      <c r="O2208">
        <v>-0.26415929999999999</v>
      </c>
      <c r="P2208">
        <v>-0.99259070000000005</v>
      </c>
      <c r="Q2208">
        <v>2.7094500000000001E-2</v>
      </c>
      <c r="R2208">
        <v>-0.11844730000000001</v>
      </c>
      <c r="S2208">
        <v>-3.0287929999999998</v>
      </c>
      <c r="T2208">
        <v>-9.2685340000000005E-2</v>
      </c>
      <c r="U2208">
        <v>8.0871580000000005E-3</v>
      </c>
      <c r="V2208">
        <v>0.14834929999999999</v>
      </c>
      <c r="W2208">
        <v>4.020352E-2</v>
      </c>
      <c r="X2208">
        <v>0.98811749999999998</v>
      </c>
      <c r="Y2208">
        <v>0.26651540000000001</v>
      </c>
      <c r="Z2208">
        <v>1.208712E-2</v>
      </c>
      <c r="AA2208">
        <v>0.96375489999999997</v>
      </c>
      <c r="AB2208">
        <v>14</v>
      </c>
      <c r="AC2208">
        <v>-36.018500000000003</v>
      </c>
      <c r="AD2208">
        <v>-1.1069860637664399</v>
      </c>
      <c r="AE2208">
        <v>0.12730000000004699</v>
      </c>
      <c r="AF2208">
        <v>9.6293145648730203</v>
      </c>
      <c r="AG2208">
        <v>-1.1069860637664399</v>
      </c>
      <c r="AH2208">
        <v>34.672431127907998</v>
      </c>
      <c r="AI2208">
        <v>91.762014718657497</v>
      </c>
      <c r="AJ2208">
        <v>74.478828875875394</v>
      </c>
      <c r="AK2208">
        <v>36.0017582550377</v>
      </c>
      <c r="AL2208">
        <v>87.695887035926503</v>
      </c>
      <c r="AM2208">
        <v>81.4617674002276</v>
      </c>
      <c r="AN2208">
        <v>1.00000001581856</v>
      </c>
    </row>
    <row r="2209" spans="1:40" x14ac:dyDescent="0.25">
      <c r="A2209" t="str">
        <f>"20190312153930997"</f>
        <v>20190312153930997</v>
      </c>
      <c r="B2209" t="str">
        <f>"1552376370988059"</f>
        <v>1552376370988059</v>
      </c>
      <c r="C2209" t="s">
        <v>40</v>
      </c>
      <c r="D2209">
        <v>4.1063460000000003</v>
      </c>
      <c r="E2209">
        <v>0.54679460000000002</v>
      </c>
      <c r="F2209" t="s">
        <v>61</v>
      </c>
      <c r="G2209">
        <v>-242.14160000000001</v>
      </c>
      <c r="H2209" s="1">
        <v>-3.9713540000000001E-7</v>
      </c>
      <c r="I2209">
        <v>285.90300000000002</v>
      </c>
      <c r="J2209">
        <v>-206.93610000000001</v>
      </c>
      <c r="K2209">
        <v>1.1070990000000001</v>
      </c>
      <c r="L2209">
        <v>285.58030000000002</v>
      </c>
      <c r="M2209">
        <v>-0.96754910000000005</v>
      </c>
      <c r="N2209">
        <v>0</v>
      </c>
      <c r="O2209">
        <v>-0.2522644</v>
      </c>
      <c r="P2209">
        <v>-0.99364410000000003</v>
      </c>
      <c r="Q2209">
        <v>2.6950120000000001E-2</v>
      </c>
      <c r="R2209">
        <v>-0.1092938</v>
      </c>
      <c r="S2209">
        <v>-3.027908</v>
      </c>
      <c r="T2209">
        <v>-9.4706540000000006E-2</v>
      </c>
      <c r="U2209">
        <v>2.4566649999999999E-2</v>
      </c>
      <c r="V2209">
        <v>0.1452746</v>
      </c>
      <c r="W2209">
        <v>4.0098710000000003E-2</v>
      </c>
      <c r="X2209">
        <v>0.98857839999999997</v>
      </c>
      <c r="Y2209">
        <v>0.25988489999999997</v>
      </c>
      <c r="Z2209">
        <v>1.1889479999999999E-2</v>
      </c>
      <c r="AA2209">
        <v>0.96556640000000005</v>
      </c>
      <c r="AB2209">
        <v>14</v>
      </c>
      <c r="AC2209">
        <v>-35.205500000000001</v>
      </c>
      <c r="AD2209">
        <v>-1.1070993971354</v>
      </c>
      <c r="AE2209">
        <v>0.32269999999999699</v>
      </c>
      <c r="AF2209">
        <v>9.1852118811729397</v>
      </c>
      <c r="AG2209">
        <v>-1.1070993971354</v>
      </c>
      <c r="AH2209">
        <v>33.951664777819197</v>
      </c>
      <c r="AI2209">
        <v>91.802878020495399</v>
      </c>
      <c r="AJ2209">
        <v>74.861703773391994</v>
      </c>
      <c r="AK2209">
        <v>35.189619599572097</v>
      </c>
      <c r="AL2209">
        <v>87.7018968657502</v>
      </c>
      <c r="AM2209">
        <v>81.640046680554207</v>
      </c>
      <c r="AN2209">
        <v>0.99999993444768898</v>
      </c>
    </row>
    <row r="2210" spans="1:40" x14ac:dyDescent="0.25">
      <c r="A2210" t="str">
        <f>"20190312153931013"</f>
        <v>20190312153931013</v>
      </c>
      <c r="B2210" t="str">
        <f>"1552376371007578"</f>
        <v>1552376371007578</v>
      </c>
      <c r="C2210" t="s">
        <v>40</v>
      </c>
      <c r="D2210">
        <v>4.0518619999999999</v>
      </c>
      <c r="E2210">
        <v>0.54685289999999998</v>
      </c>
      <c r="F2210" t="s">
        <v>61</v>
      </c>
      <c r="G2210">
        <v>-242.8477</v>
      </c>
      <c r="H2210" s="1">
        <v>-2.139533E-8</v>
      </c>
      <c r="I2210">
        <v>286.06990000000002</v>
      </c>
      <c r="J2210">
        <v>-207.03700000000001</v>
      </c>
      <c r="K2210">
        <v>1.107162</v>
      </c>
      <c r="L2210">
        <v>285.56200000000001</v>
      </c>
      <c r="M2210">
        <v>-0.96917609999999998</v>
      </c>
      <c r="N2210">
        <v>0</v>
      </c>
      <c r="O2210">
        <v>-0.2459412</v>
      </c>
      <c r="P2210">
        <v>-0.99392429999999998</v>
      </c>
      <c r="Q2210">
        <v>2.6816960000000001E-2</v>
      </c>
      <c r="R2210">
        <v>-0.106749499999999</v>
      </c>
      <c r="S2210">
        <v>-3.0262600000000002</v>
      </c>
      <c r="T2210">
        <v>-9.329498E-2</v>
      </c>
      <c r="U2210">
        <v>4.1259770000000001E-2</v>
      </c>
      <c r="V2210">
        <v>0.1413402</v>
      </c>
      <c r="W2210">
        <v>4.0008660000000001E-2</v>
      </c>
      <c r="X2210">
        <v>0.98915229999999998</v>
      </c>
      <c r="Y2210">
        <v>0.25891989999999998</v>
      </c>
      <c r="Z2210">
        <v>1.151459E-2</v>
      </c>
      <c r="AA2210">
        <v>0.96583010000000002</v>
      </c>
      <c r="AB2210">
        <v>14</v>
      </c>
      <c r="AC2210">
        <v>-35.810699999999997</v>
      </c>
      <c r="AD2210">
        <v>-1.1071620213953299</v>
      </c>
      <c r="AE2210">
        <v>0.50790000000000601</v>
      </c>
      <c r="AF2210">
        <v>9.2916707332725998</v>
      </c>
      <c r="AG2210">
        <v>-1.1071620213953299</v>
      </c>
      <c r="AH2210">
        <v>34.552582339718498</v>
      </c>
      <c r="AI2210">
        <v>91.772366842165795</v>
      </c>
      <c r="AJ2210">
        <v>74.948439769378894</v>
      </c>
      <c r="AK2210">
        <v>35.797233120734397</v>
      </c>
      <c r="AL2210">
        <v>87.707060665281105</v>
      </c>
      <c r="AM2210">
        <v>81.868039796128798</v>
      </c>
      <c r="AN2210">
        <v>1.00000000880316</v>
      </c>
    </row>
    <row r="2211" spans="1:40" x14ac:dyDescent="0.25">
      <c r="A2211" t="str">
        <f>"20190312153931034"</f>
        <v>20190312153931034</v>
      </c>
      <c r="B2211" t="str">
        <f>"1552376371028075"</f>
        <v>1552376371028075</v>
      </c>
      <c r="C2211" t="s">
        <v>40</v>
      </c>
      <c r="D2211">
        <v>4.0639649999999996</v>
      </c>
      <c r="E2211">
        <v>0.5476164</v>
      </c>
      <c r="F2211" t="s">
        <v>61</v>
      </c>
      <c r="G2211">
        <v>-242.70949999999999</v>
      </c>
      <c r="H2211" s="1">
        <v>-9.4930930000000002E-8</v>
      </c>
      <c r="I2211">
        <v>286.14690000000002</v>
      </c>
      <c r="J2211">
        <v>-207.17789999999999</v>
      </c>
      <c r="K2211">
        <v>1.107267</v>
      </c>
      <c r="L2211">
        <v>285.53739999999999</v>
      </c>
      <c r="M2211">
        <v>-0.97134750000000003</v>
      </c>
      <c r="N2211">
        <v>0</v>
      </c>
      <c r="O2211">
        <v>-0.23722180000000001</v>
      </c>
      <c r="P2211">
        <v>-0.99458849999999999</v>
      </c>
      <c r="Q2211">
        <v>2.5990050000000001E-2</v>
      </c>
      <c r="R2211">
        <v>-0.1005892</v>
      </c>
      <c r="S2211">
        <v>-3.0261990000000001</v>
      </c>
      <c r="T2211">
        <v>-9.3923809999999996E-2</v>
      </c>
      <c r="U2211">
        <v>4.9621579999999998E-2</v>
      </c>
      <c r="V2211">
        <v>0.13856579999999999</v>
      </c>
      <c r="W2211">
        <v>3.9213440000000002E-2</v>
      </c>
      <c r="X2211">
        <v>0.98957660000000003</v>
      </c>
      <c r="Y2211">
        <v>0.2529072</v>
      </c>
      <c r="Z2211">
        <v>1.1234920000000001E-2</v>
      </c>
      <c r="AA2211">
        <v>0.96742530000000004</v>
      </c>
      <c r="AB2211">
        <v>14</v>
      </c>
      <c r="AC2211">
        <v>-35.531599999999997</v>
      </c>
      <c r="AD2211">
        <v>-1.10726709493093</v>
      </c>
      <c r="AE2211">
        <v>0.60950000000002502</v>
      </c>
      <c r="AF2211">
        <v>9.0131028088673499</v>
      </c>
      <c r="AG2211">
        <v>-1.10726709493093</v>
      </c>
      <c r="AH2211">
        <v>34.339213036655899</v>
      </c>
      <c r="AI2211">
        <v>91.786393148171101</v>
      </c>
      <c r="AJ2211">
        <v>75.293164372914902</v>
      </c>
      <c r="AK2211">
        <v>35.519622951821603</v>
      </c>
      <c r="AL2211">
        <v>87.752659207794693</v>
      </c>
      <c r="AM2211">
        <v>82.028965637978203</v>
      </c>
      <c r="AN2211">
        <v>1.0000000110369101</v>
      </c>
    </row>
    <row r="2212" spans="1:40" x14ac:dyDescent="0.25">
      <c r="A2212" t="str">
        <f>"20190312153931145"</f>
        <v>20190312153931145</v>
      </c>
      <c r="B2212" t="str">
        <f>"1552376371138599"</f>
        <v>1552376371138599</v>
      </c>
      <c r="C2212" t="s">
        <v>40</v>
      </c>
      <c r="D2212">
        <v>2.732383</v>
      </c>
      <c r="E2212">
        <v>0.55278000000000005</v>
      </c>
      <c r="F2212" t="s">
        <v>61</v>
      </c>
      <c r="G2212">
        <v>-241.8399</v>
      </c>
      <c r="H2212" s="1">
        <v>-5.5768019999999898E-7</v>
      </c>
      <c r="I2212">
        <v>286.38749999999999</v>
      </c>
      <c r="J2212">
        <v>-207.87860000000001</v>
      </c>
      <c r="K2212">
        <v>1.1077760000000001</v>
      </c>
      <c r="L2212">
        <v>285.43090000000001</v>
      </c>
      <c r="M2212">
        <v>-0.9804581</v>
      </c>
      <c r="N2212">
        <v>0</v>
      </c>
      <c r="O2212">
        <v>-0.19620799999999999</v>
      </c>
      <c r="P2212">
        <v>-0.99725189999999997</v>
      </c>
      <c r="Q2212">
        <v>2.965365E-2</v>
      </c>
      <c r="R2212">
        <v>-6.7892389999999997E-2</v>
      </c>
      <c r="S2212">
        <v>-3.0263520000000002</v>
      </c>
      <c r="T2212">
        <v>-9.6675869999999997E-2</v>
      </c>
      <c r="U2212">
        <v>7.421875E-2</v>
      </c>
      <c r="V2212">
        <v>0.129414</v>
      </c>
      <c r="W2212">
        <v>4.2939159999999997E-2</v>
      </c>
      <c r="X2212">
        <v>0.99066050000000005</v>
      </c>
      <c r="Y2212">
        <v>0.21999779999999999</v>
      </c>
      <c r="Z2212">
        <v>9.7513730000000007E-3</v>
      </c>
      <c r="AA2212">
        <v>0.97545159999999997</v>
      </c>
      <c r="AB2212">
        <v>14</v>
      </c>
      <c r="AC2212">
        <v>-33.961299999999902</v>
      </c>
      <c r="AD2212">
        <v>-1.1077765576801999</v>
      </c>
      <c r="AE2212">
        <v>0.95659999999998002</v>
      </c>
      <c r="AF2212">
        <v>7.59408810753966</v>
      </c>
      <c r="AG2212">
        <v>-1.1077765576801999</v>
      </c>
      <c r="AH2212">
        <v>33.0781555967869</v>
      </c>
      <c r="AI2212">
        <v>91.869500519189401</v>
      </c>
      <c r="AJ2212">
        <v>77.070084303778899</v>
      </c>
      <c r="AK2212">
        <v>33.956762519004499</v>
      </c>
      <c r="AL2212">
        <v>87.539010687169593</v>
      </c>
      <c r="AM2212">
        <v>82.557365747510502</v>
      </c>
      <c r="AN2212">
        <v>0.99999999055887701</v>
      </c>
    </row>
    <row r="2213" spans="1:40" x14ac:dyDescent="0.25">
      <c r="A2213" t="str">
        <f>"20190312153931156"</f>
        <v>20190312153931156</v>
      </c>
      <c r="B2213" t="str">
        <f>"1552376371147957"</f>
        <v>1552376371147957</v>
      </c>
      <c r="C2213" t="s">
        <v>40</v>
      </c>
      <c r="D2213">
        <v>3.8153760000000001</v>
      </c>
      <c r="E2213">
        <v>0.54753109999999905</v>
      </c>
      <c r="F2213" t="s">
        <v>41</v>
      </c>
      <c r="G2213">
        <v>-208.6465</v>
      </c>
      <c r="H2213">
        <v>0.89186779999999999</v>
      </c>
      <c r="I2213">
        <v>285.4828</v>
      </c>
      <c r="J2213">
        <v>-207.9554</v>
      </c>
      <c r="K2213">
        <v>1.1078129999999999</v>
      </c>
      <c r="L2213">
        <v>285.42070000000001</v>
      </c>
      <c r="M2213">
        <v>-0.98130609999999996</v>
      </c>
      <c r="N2213">
        <v>0</v>
      </c>
      <c r="O2213">
        <v>-0.1919235</v>
      </c>
      <c r="P2213">
        <v>-0.99753250000000004</v>
      </c>
      <c r="Q2213">
        <v>2.906576E-2</v>
      </c>
      <c r="R2213">
        <v>-6.3908090000000001E-2</v>
      </c>
      <c r="S2213">
        <v>-3.047714</v>
      </c>
      <c r="T2213">
        <v>-0.85617829999999995</v>
      </c>
      <c r="U2213">
        <v>0.20556640000000001</v>
      </c>
      <c r="V2213">
        <v>0.12903919999999999</v>
      </c>
      <c r="W2213">
        <v>4.2348900000000002E-2</v>
      </c>
      <c r="X2213">
        <v>0.99073480000000003</v>
      </c>
      <c r="Y2213">
        <v>0.24088799999999999</v>
      </c>
      <c r="Z2213">
        <v>8.5830110000000001E-2</v>
      </c>
      <c r="AA2213">
        <v>0.96675029999999995</v>
      </c>
      <c r="AB2213">
        <v>14</v>
      </c>
      <c r="AC2213">
        <v>-0.69110000000000504</v>
      </c>
      <c r="AD2213">
        <v>-0.215945199999999</v>
      </c>
      <c r="AE2213">
        <v>6.2099999999986701E-2</v>
      </c>
      <c r="AF2213">
        <v>0.176502384457116</v>
      </c>
      <c r="AG2213">
        <v>-0.215945199999999</v>
      </c>
      <c r="AH2213">
        <v>0.60749262175247298</v>
      </c>
      <c r="AI2213">
        <v>108.847536615249</v>
      </c>
      <c r="AJ2213">
        <v>73.7991770051174</v>
      </c>
      <c r="AK2213">
        <v>0.66845546344224005</v>
      </c>
      <c r="AL2213">
        <v>87.572860896165807</v>
      </c>
      <c r="AM2213">
        <v>82.579230334073202</v>
      </c>
      <c r="AN2213">
        <v>0.99999999419944496</v>
      </c>
    </row>
    <row r="2214" spans="1:40" x14ac:dyDescent="0.25">
      <c r="A2214" t="str">
        <f>"20190312153931169"</f>
        <v>20190312153931169</v>
      </c>
      <c r="B2214" t="str">
        <f>"1552376371157718"</f>
        <v>1552376371157718</v>
      </c>
      <c r="C2214" t="s">
        <v>40</v>
      </c>
      <c r="D2214">
        <v>3.9943710000000001</v>
      </c>
      <c r="E2214">
        <v>0.54427809999999999</v>
      </c>
      <c r="F2214" t="s">
        <v>41</v>
      </c>
      <c r="G2214">
        <v>-208.65469999999999</v>
      </c>
      <c r="H2214">
        <v>0.92177390000000003</v>
      </c>
      <c r="I2214">
        <v>285.4615</v>
      </c>
      <c r="J2214">
        <v>-208.0318</v>
      </c>
      <c r="K2214">
        <v>1.1078520000000001</v>
      </c>
      <c r="L2214">
        <v>285.41090000000003</v>
      </c>
      <c r="M2214">
        <v>-0.98211349999999997</v>
      </c>
      <c r="N2214">
        <v>0</v>
      </c>
      <c r="O2214">
        <v>-0.18774959999999999</v>
      </c>
      <c r="P2214">
        <v>-0.99775360000000002</v>
      </c>
      <c r="Q2214">
        <v>2.8813680000000001E-2</v>
      </c>
      <c r="R2214">
        <v>-6.0478249999999997E-2</v>
      </c>
      <c r="S2214">
        <v>-3.042297</v>
      </c>
      <c r="T2214">
        <v>-0.80858019999999997</v>
      </c>
      <c r="U2214">
        <v>0.1769104</v>
      </c>
      <c r="V2214">
        <v>0.1282277</v>
      </c>
      <c r="W2214">
        <v>4.2098780000000002E-2</v>
      </c>
      <c r="X2214">
        <v>0.99085080000000003</v>
      </c>
      <c r="Y2214">
        <v>0.23003390000000001</v>
      </c>
      <c r="Z2214">
        <v>7.8879939999999996E-2</v>
      </c>
      <c r="AA2214">
        <v>0.96998059999999997</v>
      </c>
      <c r="AB2214">
        <v>14</v>
      </c>
      <c r="AC2214">
        <v>-0.62289999999998702</v>
      </c>
      <c r="AD2214">
        <v>-0.1860781</v>
      </c>
      <c r="AE2214">
        <v>5.0599999999974402E-2</v>
      </c>
      <c r="AF2214">
        <v>0.153089160256382</v>
      </c>
      <c r="AG2214">
        <v>-0.1860781</v>
      </c>
      <c r="AH2214">
        <v>0.55327005207426905</v>
      </c>
      <c r="AI2214">
        <v>107.959811809127</v>
      </c>
      <c r="AJ2214">
        <v>74.533297327075402</v>
      </c>
      <c r="AK2214">
        <v>0.60346424981922397</v>
      </c>
      <c r="AL2214">
        <v>87.587204472165496</v>
      </c>
      <c r="AM2214">
        <v>82.626236515742406</v>
      </c>
      <c r="AN2214">
        <v>0.99999997909270899</v>
      </c>
    </row>
    <row r="2215" spans="1:40" x14ac:dyDescent="0.25">
      <c r="A2215" t="str">
        <f>"20190312153931183"</f>
        <v>20190312153931183</v>
      </c>
      <c r="B2215" t="str">
        <f>"1552376371178213"</f>
        <v>1552376371178213</v>
      </c>
      <c r="C2215" t="s">
        <v>40</v>
      </c>
      <c r="D2215">
        <v>6.4116679999999997</v>
      </c>
      <c r="E2215">
        <v>0.53926490000000005</v>
      </c>
      <c r="F2215" t="s">
        <v>41</v>
      </c>
      <c r="G2215">
        <v>-208.78229999999999</v>
      </c>
      <c r="H2215">
        <v>0.92453600000000002</v>
      </c>
      <c r="I2215">
        <v>285.4511</v>
      </c>
      <c r="J2215">
        <v>-208.11879999999999</v>
      </c>
      <c r="K2215">
        <v>1.107899</v>
      </c>
      <c r="L2215">
        <v>285.40010000000001</v>
      </c>
      <c r="M2215">
        <v>-0.98300149999999997</v>
      </c>
      <c r="N2215">
        <v>0</v>
      </c>
      <c r="O2215">
        <v>-0.1830445</v>
      </c>
      <c r="P2215">
        <v>-0.99799360000000004</v>
      </c>
      <c r="Q2215">
        <v>2.9253959999999999E-2</v>
      </c>
      <c r="R2215">
        <v>-5.6154780000000001E-2</v>
      </c>
      <c r="S2215">
        <v>-3.0380400000000001</v>
      </c>
      <c r="T2215">
        <v>-0.74235229999999996</v>
      </c>
      <c r="U2215">
        <v>0.16271969999999999</v>
      </c>
      <c r="V2215">
        <v>0.12777079999999999</v>
      </c>
      <c r="W2215">
        <v>4.2538510000000002E-2</v>
      </c>
      <c r="X2215">
        <v>0.99089110000000002</v>
      </c>
      <c r="Y2215">
        <v>0.223471</v>
      </c>
      <c r="Z2215">
        <v>7.0804640000000002E-2</v>
      </c>
      <c r="AA2215">
        <v>0.97213550000000004</v>
      </c>
      <c r="AB2215">
        <v>14</v>
      </c>
      <c r="AC2215">
        <v>-0.66349999999999898</v>
      </c>
      <c r="AD2215">
        <v>-0.183362999999999</v>
      </c>
      <c r="AE2215">
        <v>5.0999999999987701E-2</v>
      </c>
      <c r="AF2215">
        <v>0.159491177441938</v>
      </c>
      <c r="AG2215">
        <v>-0.183362999999999</v>
      </c>
      <c r="AH2215">
        <v>0.59758029643667199</v>
      </c>
      <c r="AI2215">
        <v>106.513248707492</v>
      </c>
      <c r="AJ2215">
        <v>75.056370942109893</v>
      </c>
      <c r="AK2215">
        <v>0.64510591079307</v>
      </c>
      <c r="AL2215">
        <v>87.561987349335297</v>
      </c>
      <c r="AM2215">
        <v>82.652518595413497</v>
      </c>
      <c r="AN2215">
        <v>1.00000003711243</v>
      </c>
    </row>
    <row r="2216" spans="1:40" x14ac:dyDescent="0.25">
      <c r="A2216" t="str">
        <f>"20190312153931201"</f>
        <v>20190312153931201</v>
      </c>
      <c r="B2216" t="str">
        <f>"1552376371197733"</f>
        <v>1552376371197733</v>
      </c>
      <c r="C2216" t="s">
        <v>40</v>
      </c>
      <c r="D2216">
        <v>5.0549410000000004</v>
      </c>
      <c r="E2216">
        <v>0.53027950000000001</v>
      </c>
      <c r="F2216" t="s">
        <v>41</v>
      </c>
      <c r="G2216">
        <v>-208.91820000000001</v>
      </c>
      <c r="H2216">
        <v>0.94790240000000003</v>
      </c>
      <c r="I2216">
        <v>285.43639999999999</v>
      </c>
      <c r="J2216">
        <v>-208.2381</v>
      </c>
      <c r="K2216">
        <v>1.1079920000000001</v>
      </c>
      <c r="L2216">
        <v>285.38569999999999</v>
      </c>
      <c r="M2216">
        <v>-0.98415569999999997</v>
      </c>
      <c r="N2216">
        <v>0</v>
      </c>
      <c r="O2216">
        <v>-0.17673620000000001</v>
      </c>
      <c r="P2216">
        <v>-0.99822719999999998</v>
      </c>
      <c r="Q2216">
        <v>2.975558E-2</v>
      </c>
      <c r="R2216">
        <v>-5.154835E-2</v>
      </c>
      <c r="S2216">
        <v>-3.0315249999999998</v>
      </c>
      <c r="T2216">
        <v>-0.60624719999999999</v>
      </c>
      <c r="U2216">
        <v>0.1372681</v>
      </c>
      <c r="V2216">
        <v>0.1259779</v>
      </c>
      <c r="W2216">
        <v>4.305254E-2</v>
      </c>
      <c r="X2216">
        <v>0.99109840000000005</v>
      </c>
      <c r="Y2216">
        <v>0.2133977</v>
      </c>
      <c r="Z2216">
        <v>5.599614E-2</v>
      </c>
      <c r="AA2216">
        <v>0.97535930000000004</v>
      </c>
      <c r="AB2216">
        <v>14</v>
      </c>
      <c r="AC2216">
        <v>-0.68010000000001003</v>
      </c>
      <c r="AD2216">
        <v>-0.1600896</v>
      </c>
      <c r="AE2216">
        <v>5.0700000000006101E-2</v>
      </c>
      <c r="AF2216">
        <v>0.161228035549315</v>
      </c>
      <c r="AG2216">
        <v>-0.1600896</v>
      </c>
      <c r="AH2216">
        <v>0.62593940466417997</v>
      </c>
      <c r="AI2216">
        <v>103.91078384533201</v>
      </c>
      <c r="AJ2216">
        <v>75.555859619065401</v>
      </c>
      <c r="AK2216">
        <v>0.66590036626104998</v>
      </c>
      <c r="AL2216">
        <v>87.532508490876197</v>
      </c>
      <c r="AM2216">
        <v>82.756015678206793</v>
      </c>
      <c r="AN2216">
        <v>0.99999999548570995</v>
      </c>
    </row>
    <row r="2217" spans="1:40" x14ac:dyDescent="0.25">
      <c r="A2217" t="str">
        <f>"20190312153931224"</f>
        <v>20190312153931224</v>
      </c>
      <c r="B2217" t="str">
        <f>"1552376371218230"</f>
        <v>1552376371218230</v>
      </c>
      <c r="C2217" t="s">
        <v>40</v>
      </c>
      <c r="D2217">
        <v>4.165578</v>
      </c>
      <c r="E2217">
        <v>0.52970950000000006</v>
      </c>
      <c r="F2217" t="s">
        <v>61</v>
      </c>
      <c r="G2217">
        <v>-239.80170000000001</v>
      </c>
      <c r="H2217" s="1">
        <v>3.606972E-6</v>
      </c>
      <c r="I2217">
        <v>286.26900000000001</v>
      </c>
      <c r="J2217">
        <v>-208.37970000000001</v>
      </c>
      <c r="K2217">
        <v>1.108123</v>
      </c>
      <c r="L2217">
        <v>285.36939999999998</v>
      </c>
      <c r="M2217">
        <v>-0.98543590000000003</v>
      </c>
      <c r="N2217">
        <v>0</v>
      </c>
      <c r="O2217">
        <v>-0.1694562</v>
      </c>
      <c r="P2217">
        <v>-0.99849390000000005</v>
      </c>
      <c r="Q2217">
        <v>2.8601629999999999E-2</v>
      </c>
      <c r="R2217">
        <v>-4.6823940000000001E-2</v>
      </c>
      <c r="S2217">
        <v>-3.0128170000000001</v>
      </c>
      <c r="T2217">
        <v>-0.1057597</v>
      </c>
      <c r="U2217">
        <v>8.4320069999999997E-2</v>
      </c>
      <c r="V2217">
        <v>0.123324</v>
      </c>
      <c r="W2217">
        <v>4.1922029999999999E-2</v>
      </c>
      <c r="X2217">
        <v>0.99148060000000005</v>
      </c>
      <c r="Y2217">
        <v>0.1967535</v>
      </c>
      <c r="Z2217">
        <v>9.3795379999999998E-3</v>
      </c>
      <c r="AA2217">
        <v>0.9804081</v>
      </c>
      <c r="AB2217">
        <v>14</v>
      </c>
      <c r="AC2217">
        <v>-31.422000000000001</v>
      </c>
      <c r="AD2217">
        <v>-1.108119393028</v>
      </c>
      <c r="AE2217">
        <v>0.89960000000002005</v>
      </c>
      <c r="AF2217">
        <v>6.2040646874983203</v>
      </c>
      <c r="AG2217">
        <v>-1.108119393028</v>
      </c>
      <c r="AH2217">
        <v>30.776771410059201</v>
      </c>
      <c r="AI2217">
        <v>92.021419962155804</v>
      </c>
      <c r="AJ2217">
        <v>78.602899847455802</v>
      </c>
      <c r="AK2217">
        <v>31.4154103214156</v>
      </c>
      <c r="AL2217">
        <v>87.5973405549896</v>
      </c>
      <c r="AM2217">
        <v>82.909755872549297</v>
      </c>
      <c r="AN2217">
        <v>1.0000000228758399</v>
      </c>
    </row>
    <row r="2218" spans="1:40" x14ac:dyDescent="0.25">
      <c r="A2218" t="str">
        <f>"20190312153931246"</f>
        <v>20190312153931246</v>
      </c>
      <c r="B2218" t="str">
        <f>"1552376371237750"</f>
        <v>1552376371237750</v>
      </c>
      <c r="C2218" t="s">
        <v>40</v>
      </c>
      <c r="D2218">
        <v>4.0347980000000003</v>
      </c>
      <c r="E2218">
        <v>0.52979560000000003</v>
      </c>
      <c r="F2218" t="s">
        <v>62</v>
      </c>
      <c r="G2218">
        <v>-308.39940000000001</v>
      </c>
      <c r="H2218" s="1">
        <v>2.1332190000000001E-6</v>
      </c>
      <c r="I2218">
        <v>288.5222</v>
      </c>
      <c r="J2218">
        <v>-208.51650000000001</v>
      </c>
      <c r="K2218">
        <v>1.1082449999999999</v>
      </c>
      <c r="L2218">
        <v>285.35430000000002</v>
      </c>
      <c r="M2218">
        <v>-0.98658639999999997</v>
      </c>
      <c r="N2218">
        <v>0</v>
      </c>
      <c r="O2218">
        <v>-0.16262789999999999</v>
      </c>
      <c r="P2218">
        <v>-0.99874929999999995</v>
      </c>
      <c r="Q2218">
        <v>2.5946790000000001E-2</v>
      </c>
      <c r="R2218">
        <v>-4.2741870000000001E-2</v>
      </c>
      <c r="S2218">
        <v>-3.0099330000000002</v>
      </c>
      <c r="T2218">
        <v>-3.3347130000000003E-2</v>
      </c>
      <c r="U2218">
        <v>9.4879149999999995E-2</v>
      </c>
      <c r="V2218">
        <v>0.1204913</v>
      </c>
      <c r="W2218">
        <v>3.9291100000000002E-2</v>
      </c>
      <c r="X2218">
        <v>0.9919365</v>
      </c>
      <c r="Y2218">
        <v>0.19362840000000001</v>
      </c>
      <c r="Z2218">
        <v>2.8688619999999998E-3</v>
      </c>
      <c r="AA2218">
        <v>0.98107080000000002</v>
      </c>
      <c r="AB2218">
        <v>14</v>
      </c>
      <c r="AC2218">
        <v>-99.882900000000006</v>
      </c>
      <c r="AD2218">
        <v>-1.108242866781</v>
      </c>
      <c r="AE2218">
        <v>3.1678999999999702</v>
      </c>
      <c r="AF2218">
        <v>19.368703071261201</v>
      </c>
      <c r="AG2218">
        <v>-1.108242866781</v>
      </c>
      <c r="AH2218">
        <v>98.025643036552395</v>
      </c>
      <c r="AI2218">
        <v>90.635453408162803</v>
      </c>
      <c r="AJ2218">
        <v>78.823004160058701</v>
      </c>
      <c r="AK2218">
        <v>99.926981109428397</v>
      </c>
      <c r="AL2218">
        <v>87.748206120329002</v>
      </c>
      <c r="AM2218">
        <v>83.074167885548903</v>
      </c>
      <c r="AN2218">
        <v>0.99999998197357398</v>
      </c>
    </row>
    <row r="2219" spans="1:40" x14ac:dyDescent="0.25">
      <c r="A2219" t="str">
        <f>"20190312153931259"</f>
        <v>20190312153931259</v>
      </c>
      <c r="B2219" t="str">
        <f>"1552376371248485"</f>
        <v>1552376371248485</v>
      </c>
      <c r="C2219" t="s">
        <v>40</v>
      </c>
      <c r="D2219">
        <v>4.217568</v>
      </c>
      <c r="E2219">
        <v>0.52957949999999998</v>
      </c>
      <c r="F2219" t="s">
        <v>62</v>
      </c>
      <c r="G2219">
        <v>-289.1148</v>
      </c>
      <c r="H2219" s="1">
        <v>3.6103820000000001E-6</v>
      </c>
      <c r="I2219">
        <v>288.24509999999998</v>
      </c>
      <c r="J2219">
        <v>-208.5977</v>
      </c>
      <c r="K2219">
        <v>1.1083179999999999</v>
      </c>
      <c r="L2219">
        <v>285.34559999999999</v>
      </c>
      <c r="M2219">
        <v>-0.98723289999999997</v>
      </c>
      <c r="N2219">
        <v>0</v>
      </c>
      <c r="O2219">
        <v>-0.1586563</v>
      </c>
      <c r="P2219">
        <v>-0.99890690000000004</v>
      </c>
      <c r="Q2219">
        <v>2.4266550000000001E-2</v>
      </c>
      <c r="R2219">
        <v>-3.9952399999999999E-2</v>
      </c>
      <c r="S2219">
        <v>-3.0094449999999999</v>
      </c>
      <c r="T2219">
        <v>-4.1380409999999999E-2</v>
      </c>
      <c r="U2219">
        <v>0.1079407</v>
      </c>
      <c r="V2219">
        <v>0.1192588</v>
      </c>
      <c r="W2219">
        <v>3.762103E-2</v>
      </c>
      <c r="X2219">
        <v>0.99215019999999998</v>
      </c>
      <c r="Y2219">
        <v>0.19392699999999999</v>
      </c>
      <c r="Z2219">
        <v>3.5083409999999999E-3</v>
      </c>
      <c r="AA2219">
        <v>0.98100969999999998</v>
      </c>
      <c r="AB2219">
        <v>14</v>
      </c>
      <c r="AC2219">
        <v>-80.517099999999999</v>
      </c>
      <c r="AD2219">
        <v>-1.1083143896179899</v>
      </c>
      <c r="AE2219">
        <v>2.8994999999999802</v>
      </c>
      <c r="AF2219">
        <v>15.635627343215599</v>
      </c>
      <c r="AG2219">
        <v>-1.1083143896179899</v>
      </c>
      <c r="AH2219">
        <v>79.0220325340904</v>
      </c>
      <c r="AI2219">
        <v>90.788262450497399</v>
      </c>
      <c r="AJ2219">
        <v>78.807784132852504</v>
      </c>
      <c r="AK2219">
        <v>80.561670967160296</v>
      </c>
      <c r="AL2219">
        <v>87.8439649925933</v>
      </c>
      <c r="AM2219">
        <v>83.145796820742305</v>
      </c>
      <c r="AN2219">
        <v>1.00000001131787</v>
      </c>
    </row>
    <row r="2220" spans="1:40" x14ac:dyDescent="0.25">
      <c r="A2220" t="str">
        <f>"20190312153931279"</f>
        <v>20190312153931279</v>
      </c>
      <c r="B2220" t="str">
        <f>"1552376371268009"</f>
        <v>1552376371268009</v>
      </c>
      <c r="C2220" t="s">
        <v>40</v>
      </c>
      <c r="D2220">
        <v>4.0514780000000004</v>
      </c>
      <c r="E2220">
        <v>0.52890219999999999</v>
      </c>
      <c r="F2220" t="s">
        <v>62</v>
      </c>
      <c r="G2220">
        <v>-306.77109999999999</v>
      </c>
      <c r="H2220" s="1">
        <v>2.372524E-6</v>
      </c>
      <c r="I2220">
        <v>289.08879999999999</v>
      </c>
      <c r="J2220">
        <v>-208.72499999999999</v>
      </c>
      <c r="K2220">
        <v>1.108422</v>
      </c>
      <c r="L2220">
        <v>285.33249999999998</v>
      </c>
      <c r="M2220">
        <v>-0.98818150000000005</v>
      </c>
      <c r="N2220">
        <v>0</v>
      </c>
      <c r="O2220">
        <v>-0.15264079999999999</v>
      </c>
      <c r="P2220">
        <v>-0.99910730000000003</v>
      </c>
      <c r="Q2220">
        <v>2.1402500000000001E-2</v>
      </c>
      <c r="R2220">
        <v>-3.642016E-2</v>
      </c>
      <c r="S2220">
        <v>-3.0086979999999999</v>
      </c>
      <c r="T2220">
        <v>-3.3966299999999998E-2</v>
      </c>
      <c r="U2220">
        <v>0.1147156</v>
      </c>
      <c r="V2220">
        <v>0.1167062</v>
      </c>
      <c r="W2220">
        <v>3.4776179999999997E-2</v>
      </c>
      <c r="X2220">
        <v>0.99255749999999998</v>
      </c>
      <c r="Y2220">
        <v>0.19017709999999999</v>
      </c>
      <c r="Z2220">
        <v>2.7919519999999999E-3</v>
      </c>
      <c r="AA2220">
        <v>0.9817458</v>
      </c>
      <c r="AB2220">
        <v>14</v>
      </c>
      <c r="AC2220">
        <v>-98.046099999999996</v>
      </c>
      <c r="AD2220">
        <v>-1.1084196274760001</v>
      </c>
      <c r="AE2220">
        <v>3.7563</v>
      </c>
      <c r="AF2220">
        <v>18.6772081591096</v>
      </c>
      <c r="AG2220">
        <v>-1.1084196274760001</v>
      </c>
      <c r="AH2220">
        <v>96.311228278072704</v>
      </c>
      <c r="AI2220">
        <v>90.647313953156399</v>
      </c>
      <c r="AJ2220">
        <v>79.025109135769497</v>
      </c>
      <c r="AK2220">
        <v>98.111769890876602</v>
      </c>
      <c r="AL2220">
        <v>88.007069928408001</v>
      </c>
      <c r="AM2220">
        <v>83.293879554318806</v>
      </c>
      <c r="AN2220">
        <v>1.0000000553100299</v>
      </c>
    </row>
    <row r="2221" spans="1:40" x14ac:dyDescent="0.25">
      <c r="A2221" t="str">
        <f>"20190312153931291"</f>
        <v>20190312153931291</v>
      </c>
      <c r="B2221" t="str">
        <f>"1552376371288501"</f>
        <v>1552376371288501</v>
      </c>
      <c r="C2221" t="s">
        <v>40</v>
      </c>
      <c r="D2221">
        <v>4.0827609999999996</v>
      </c>
      <c r="E2221">
        <v>0.52686699999999997</v>
      </c>
      <c r="F2221" t="s">
        <v>62</v>
      </c>
      <c r="G2221">
        <v>-289.28230000000002</v>
      </c>
      <c r="H2221" s="1">
        <v>3.4742530000000001E-6</v>
      </c>
      <c r="I2221">
        <v>288.5446</v>
      </c>
      <c r="J2221">
        <v>-208.8038</v>
      </c>
      <c r="K2221">
        <v>1.108493</v>
      </c>
      <c r="L2221">
        <v>285.32470000000001</v>
      </c>
      <c r="M2221">
        <v>-0.9887302</v>
      </c>
      <c r="N2221">
        <v>0</v>
      </c>
      <c r="O2221">
        <v>-0.14904800000000001</v>
      </c>
      <c r="P2221">
        <v>-0.99922129999999998</v>
      </c>
      <c r="Q2221">
        <v>2.0176449999999999E-2</v>
      </c>
      <c r="R2221">
        <v>-3.3907279999999998E-2</v>
      </c>
      <c r="S2221">
        <v>-3.0079349999999998</v>
      </c>
      <c r="T2221">
        <v>-4.1387319999999998E-2</v>
      </c>
      <c r="U2221">
        <v>0.1199341</v>
      </c>
      <c r="V2221">
        <v>0.1155854</v>
      </c>
      <c r="W2221">
        <v>3.3557620000000003E-2</v>
      </c>
      <c r="X2221">
        <v>0.99273049999999996</v>
      </c>
      <c r="Y2221">
        <v>0.18830830000000001</v>
      </c>
      <c r="Z2221">
        <v>3.3407929999999999E-3</v>
      </c>
      <c r="AA2221">
        <v>0.98210430000000004</v>
      </c>
      <c r="AB2221">
        <v>14</v>
      </c>
      <c r="AC2221">
        <v>-80.478499999999997</v>
      </c>
      <c r="AD2221">
        <v>-1.108489525747</v>
      </c>
      <c r="AE2221">
        <v>3.2198999999999902</v>
      </c>
      <c r="AF2221">
        <v>15.177394545554</v>
      </c>
      <c r="AG2221">
        <v>-1.108489525747</v>
      </c>
      <c r="AH2221">
        <v>79.084427120998001</v>
      </c>
      <c r="AI2221">
        <v>90.788645547761405</v>
      </c>
      <c r="AJ2221">
        <v>79.1362369085452</v>
      </c>
      <c r="AK2221">
        <v>80.535263501627298</v>
      </c>
      <c r="AL2221">
        <v>88.076928901752296</v>
      </c>
      <c r="AM2221">
        <v>83.358851422807504</v>
      </c>
      <c r="AN2221">
        <v>0.99999997209173597</v>
      </c>
    </row>
    <row r="2222" spans="1:40" x14ac:dyDescent="0.25">
      <c r="A2222" t="str">
        <f>"20190312153931304"</f>
        <v>20190312153931304</v>
      </c>
      <c r="B2222" t="str">
        <f>"1552376371298262"</f>
        <v>1552376371298262</v>
      </c>
      <c r="C2222" t="s">
        <v>40</v>
      </c>
      <c r="D2222">
        <v>4.065817</v>
      </c>
      <c r="E2222">
        <v>0.52618589999999998</v>
      </c>
      <c r="F2222" t="s">
        <v>61</v>
      </c>
      <c r="G2222">
        <v>-278.90899999999999</v>
      </c>
      <c r="H2222" s="1">
        <v>3.0600470000000002E-6</v>
      </c>
      <c r="I2222">
        <v>287.91309999999999</v>
      </c>
      <c r="J2222">
        <v>-208.8818</v>
      </c>
      <c r="K2222">
        <v>1.1085659999999999</v>
      </c>
      <c r="L2222">
        <v>285.31720000000001</v>
      </c>
      <c r="M2222">
        <v>-0.98924869999999998</v>
      </c>
      <c r="N2222">
        <v>0</v>
      </c>
      <c r="O2222">
        <v>-0.14556949999999999</v>
      </c>
      <c r="P2222">
        <v>-0.9993166</v>
      </c>
      <c r="Q2222">
        <v>1.8754360000000001E-2</v>
      </c>
      <c r="R2222">
        <v>-3.1856530000000001E-2</v>
      </c>
      <c r="S2222">
        <v>-3.00705</v>
      </c>
      <c r="T2222">
        <v>-4.7546860000000003E-2</v>
      </c>
      <c r="U2222">
        <v>0.11102289999999999</v>
      </c>
      <c r="V2222">
        <v>0.1141214</v>
      </c>
      <c r="W2222">
        <v>3.2144069999999997E-2</v>
      </c>
      <c r="X2222">
        <v>0.99294669999999896</v>
      </c>
      <c r="Y2222">
        <v>0.18194650000000001</v>
      </c>
      <c r="Z2222">
        <v>3.73427E-3</v>
      </c>
      <c r="AA2222">
        <v>0.98330130000000004</v>
      </c>
      <c r="AB2222">
        <v>14</v>
      </c>
      <c r="AC2222">
        <v>-70.027199999999993</v>
      </c>
      <c r="AD2222">
        <v>-1.1085629399529999</v>
      </c>
      <c r="AE2222">
        <v>2.5958999999999701</v>
      </c>
      <c r="AF2222">
        <v>12.7598761348649</v>
      </c>
      <c r="AG2222">
        <v>-1.1085629399529999</v>
      </c>
      <c r="AH2222">
        <v>68.885964437049793</v>
      </c>
      <c r="AI2222">
        <v>90.906547287011094</v>
      </c>
      <c r="AJ2222">
        <v>79.505936753983406</v>
      </c>
      <c r="AK2222">
        <v>70.066535858364105</v>
      </c>
      <c r="AL2222">
        <v>88.157963225898001</v>
      </c>
      <c r="AM2222">
        <v>83.443646048111106</v>
      </c>
      <c r="AN2222">
        <v>1.0000000421074999</v>
      </c>
    </row>
    <row r="2223" spans="1:40" x14ac:dyDescent="0.25">
      <c r="A2223" t="str">
        <f>"20190312153931323"</f>
        <v>20190312153931323</v>
      </c>
      <c r="B2223" t="str">
        <f>"1552376371317782"</f>
        <v>1552376371317782</v>
      </c>
      <c r="C2223" t="s">
        <v>40</v>
      </c>
      <c r="D2223">
        <v>4.1220499999999998</v>
      </c>
      <c r="E2223">
        <v>0.52452349999999903</v>
      </c>
      <c r="F2223" t="s">
        <v>61</v>
      </c>
      <c r="G2223">
        <v>-269.78280000000001</v>
      </c>
      <c r="H2223" s="1">
        <v>3.669133E-6</v>
      </c>
      <c r="I2223">
        <v>287.57650000000001</v>
      </c>
      <c r="J2223">
        <v>-209.001</v>
      </c>
      <c r="K2223">
        <v>1.1086750000000001</v>
      </c>
      <c r="L2223">
        <v>285.30590000000001</v>
      </c>
      <c r="M2223">
        <v>-0.98999190000000004</v>
      </c>
      <c r="N2223">
        <v>0</v>
      </c>
      <c r="O2223">
        <v>-0.140429</v>
      </c>
      <c r="P2223">
        <v>-0.99940669999999998</v>
      </c>
      <c r="Q2223">
        <v>1.57821E-2</v>
      </c>
      <c r="R2223">
        <v>-3.0617579999999998E-2</v>
      </c>
      <c r="S2223">
        <v>-3.0066380000000001</v>
      </c>
      <c r="T2223">
        <v>-5.4728869999999999E-2</v>
      </c>
      <c r="U2223">
        <v>0.11154169999999999</v>
      </c>
      <c r="V2223">
        <v>0.11017680000000001</v>
      </c>
      <c r="W2223">
        <v>2.9195280000000001E-2</v>
      </c>
      <c r="X2223">
        <v>0.99348309999999995</v>
      </c>
      <c r="Y2223">
        <v>0.1769993</v>
      </c>
      <c r="Z2223">
        <v>4.1608909999999999E-3</v>
      </c>
      <c r="AA2223">
        <v>0.98420209999999997</v>
      </c>
      <c r="AB2223">
        <v>14</v>
      </c>
      <c r="AC2223">
        <v>-60.781799999999997</v>
      </c>
      <c r="AD2223">
        <v>-1.108671330867</v>
      </c>
      <c r="AE2223">
        <v>2.2706</v>
      </c>
      <c r="AF2223">
        <v>10.780876647636401</v>
      </c>
      <c r="AG2223">
        <v>-1.108671330867</v>
      </c>
      <c r="AH2223">
        <v>59.840608742302997</v>
      </c>
      <c r="AI2223">
        <v>91.044588442175197</v>
      </c>
      <c r="AJ2223">
        <v>79.787153785402396</v>
      </c>
      <c r="AK2223">
        <v>60.814101227107102</v>
      </c>
      <c r="AL2223">
        <v>88.326995916583599</v>
      </c>
      <c r="AM2223">
        <v>83.671783903196101</v>
      </c>
      <c r="AN2223">
        <v>0.99999998080906305</v>
      </c>
    </row>
    <row r="2224" spans="1:40" x14ac:dyDescent="0.25">
      <c r="A2224" t="str">
        <f>"20190312153931336"</f>
        <v>20190312153931336</v>
      </c>
      <c r="B2224" t="str">
        <f>"1552376371328518"</f>
        <v>1552376371328518</v>
      </c>
      <c r="C2224" t="s">
        <v>40</v>
      </c>
      <c r="D2224">
        <v>4.1390560000000001</v>
      </c>
      <c r="E2224">
        <v>0.52354330000000004</v>
      </c>
      <c r="F2224" t="s">
        <v>61</v>
      </c>
      <c r="G2224">
        <v>-258.86090000000002</v>
      </c>
      <c r="H2224" s="1">
        <v>3.1785210000000001E-6</v>
      </c>
      <c r="I2224">
        <v>286.9966</v>
      </c>
      <c r="J2224">
        <v>-209.0856</v>
      </c>
      <c r="K2224">
        <v>1.1087560000000001</v>
      </c>
      <c r="L2224">
        <v>285.29809999999998</v>
      </c>
      <c r="M2224">
        <v>-0.99048619999999998</v>
      </c>
      <c r="N2224">
        <v>0</v>
      </c>
      <c r="O2224">
        <v>-0.13690169999999999</v>
      </c>
      <c r="P2224">
        <v>-0.99947359999999996</v>
      </c>
      <c r="Q2224">
        <v>1.461903E-2</v>
      </c>
      <c r="R2224">
        <v>-2.8969459999999999E-2</v>
      </c>
      <c r="S2224">
        <v>-3.0059659999999999</v>
      </c>
      <c r="T2224">
        <v>-6.6839930000000006E-2</v>
      </c>
      <c r="U2224">
        <v>0.1019287</v>
      </c>
      <c r="V2224">
        <v>0.1082665</v>
      </c>
      <c r="W2224">
        <v>2.804276E-2</v>
      </c>
      <c r="X2224">
        <v>0.99372629999999995</v>
      </c>
      <c r="Y2224">
        <v>0.1703308</v>
      </c>
      <c r="Z2224">
        <v>4.9306669999999997E-3</v>
      </c>
      <c r="AA2224">
        <v>0.98537459999999999</v>
      </c>
      <c r="AB2224">
        <v>14</v>
      </c>
      <c r="AC2224">
        <v>-49.775300000000001</v>
      </c>
      <c r="AD2224">
        <v>-1.1087528214789999</v>
      </c>
      <c r="AE2224">
        <v>1.6985000000000201</v>
      </c>
      <c r="AF2224">
        <v>8.4932832765316206</v>
      </c>
      <c r="AG2224">
        <v>-1.1087528214789999</v>
      </c>
      <c r="AH2224">
        <v>49.049696150662797</v>
      </c>
      <c r="AI2224">
        <v>91.275951503227304</v>
      </c>
      <c r="AJ2224">
        <v>80.176261758759395</v>
      </c>
      <c r="AK2224">
        <v>49.791945996384698</v>
      </c>
      <c r="AL2224">
        <v>88.393057536074593</v>
      </c>
      <c r="AM2224">
        <v>83.7821484839682</v>
      </c>
      <c r="AN2224">
        <v>0.99999999536117801</v>
      </c>
    </row>
    <row r="2225" spans="1:40" x14ac:dyDescent="0.25">
      <c r="A2225" t="str">
        <f>"20190312153931349"</f>
        <v>20190312153931349</v>
      </c>
      <c r="B2225" t="str">
        <f>"1552376371338277"</f>
        <v>1552376371338277</v>
      </c>
      <c r="C2225" t="s">
        <v>40</v>
      </c>
      <c r="D2225">
        <v>4.1220339999999904</v>
      </c>
      <c r="E2225">
        <v>0.52255419999999997</v>
      </c>
      <c r="F2225" t="s">
        <v>61</v>
      </c>
      <c r="G2225">
        <v>-255.65960000000001</v>
      </c>
      <c r="H2225" s="1">
        <v>1.4749860000000001E-6</v>
      </c>
      <c r="I2225">
        <v>286.83839999999998</v>
      </c>
      <c r="J2225">
        <v>-209.16120000000001</v>
      </c>
      <c r="K2225">
        <v>1.1088260000000001</v>
      </c>
      <c r="L2225">
        <v>285.29129999999998</v>
      </c>
      <c r="M2225">
        <v>-0.990896</v>
      </c>
      <c r="N2225">
        <v>0</v>
      </c>
      <c r="O2225">
        <v>-0.133906</v>
      </c>
      <c r="P2225">
        <v>-0.99952419999999997</v>
      </c>
      <c r="Q2225">
        <v>1.3757770000000001E-2</v>
      </c>
      <c r="R2225">
        <v>-2.760872E-2</v>
      </c>
      <c r="S2225">
        <v>-3.0055239999999999</v>
      </c>
      <c r="T2225">
        <v>-7.1550370000000002E-2</v>
      </c>
      <c r="U2225">
        <v>9.9395750000000005E-2</v>
      </c>
      <c r="V2225">
        <v>0.106606199999999</v>
      </c>
      <c r="W2225">
        <v>2.719098E-2</v>
      </c>
      <c r="X2225">
        <v>0.99392939999999996</v>
      </c>
      <c r="Y2225">
        <v>0.1665161</v>
      </c>
      <c r="Z2225">
        <v>5.1625909999999898E-3</v>
      </c>
      <c r="AA2225">
        <v>0.98602520000000005</v>
      </c>
      <c r="AB2225">
        <v>14</v>
      </c>
      <c r="AC2225">
        <v>-46.498399999999997</v>
      </c>
      <c r="AD2225">
        <v>-1.1088245250139901</v>
      </c>
      <c r="AE2225">
        <v>1.5470999999999999</v>
      </c>
      <c r="AF2225">
        <v>7.7557783989258304</v>
      </c>
      <c r="AG2225">
        <v>-1.1088245250139901</v>
      </c>
      <c r="AH2225">
        <v>45.846327359024599</v>
      </c>
      <c r="AI2225">
        <v>91.366065450299203</v>
      </c>
      <c r="AJ2225">
        <v>80.398235190419598</v>
      </c>
      <c r="AK2225">
        <v>46.5109376675139</v>
      </c>
      <c r="AL2225">
        <v>88.441879474889504</v>
      </c>
      <c r="AM2225">
        <v>83.878012916806099</v>
      </c>
      <c r="AN2225">
        <v>0.99999994172807805</v>
      </c>
    </row>
    <row r="2226" spans="1:40" x14ac:dyDescent="0.25">
      <c r="A2226" t="str">
        <f>"20190312153931369"</f>
        <v>20190312153931369</v>
      </c>
      <c r="B2226" t="str">
        <f>"1552376371358306"</f>
        <v>1552376371358306</v>
      </c>
      <c r="C2226" t="s">
        <v>40</v>
      </c>
      <c r="D2226">
        <v>4.1013260000000002</v>
      </c>
      <c r="E2226">
        <v>0.520933599999999</v>
      </c>
      <c r="F2226" t="s">
        <v>61</v>
      </c>
      <c r="G2226">
        <v>-253.52160000000001</v>
      </c>
      <c r="H2226" s="1">
        <v>3.3724140000000002E-7</v>
      </c>
      <c r="I2226">
        <v>286.69959999999998</v>
      </c>
      <c r="J2226">
        <v>-209.28219999999999</v>
      </c>
      <c r="K2226">
        <v>1.1089560000000001</v>
      </c>
      <c r="L2226">
        <v>285.28070000000002</v>
      </c>
      <c r="M2226">
        <v>-0.99151160000000005</v>
      </c>
      <c r="N2226">
        <v>0</v>
      </c>
      <c r="O2226">
        <v>-0.1292732</v>
      </c>
      <c r="P2226">
        <v>-0.999579</v>
      </c>
      <c r="Q2226">
        <v>1.3434740000000001E-2</v>
      </c>
      <c r="R2226">
        <v>-2.5719390000000002E-2</v>
      </c>
      <c r="S2226">
        <v>-3.005096</v>
      </c>
      <c r="T2226">
        <v>-7.5114849999999997E-2</v>
      </c>
      <c r="U2226">
        <v>9.5397949999999995E-2</v>
      </c>
      <c r="V2226">
        <v>0.1038275</v>
      </c>
      <c r="W2226">
        <v>2.6884479999999999E-2</v>
      </c>
      <c r="X2226">
        <v>0.99423189999999995</v>
      </c>
      <c r="Y2226">
        <v>0.16059329999999999</v>
      </c>
      <c r="Z2226">
        <v>5.231398E-3</v>
      </c>
      <c r="AA2226">
        <v>0.98700679999999996</v>
      </c>
      <c r="AB2226">
        <v>14</v>
      </c>
      <c r="AC2226">
        <v>-44.239400000000003</v>
      </c>
      <c r="AD2226">
        <v>-1.1089556627585999</v>
      </c>
      <c r="AE2226">
        <v>1.4188999999999501</v>
      </c>
      <c r="AF2226">
        <v>7.1220423989132096</v>
      </c>
      <c r="AG2226">
        <v>-1.1089556627585999</v>
      </c>
      <c r="AH2226">
        <v>43.657268011651297</v>
      </c>
      <c r="AI2226">
        <v>91.436104000717705</v>
      </c>
      <c r="AJ2226">
        <v>80.734652647081703</v>
      </c>
      <c r="AK2226">
        <v>44.248280428001202</v>
      </c>
      <c r="AL2226">
        <v>88.459447141578806</v>
      </c>
      <c r="AM2226">
        <v>84.0382192474666</v>
      </c>
      <c r="AN2226">
        <v>0.99999999799936501</v>
      </c>
    </row>
    <row r="2227" spans="1:40" x14ac:dyDescent="0.25">
      <c r="A2227" t="str">
        <f>"20190312153931381"</f>
        <v>20190312153931381</v>
      </c>
      <c r="B2227" t="str">
        <f>"1552376371377828"</f>
        <v>1552376371377828</v>
      </c>
      <c r="C2227" t="s">
        <v>40</v>
      </c>
      <c r="D2227">
        <v>4.1799059999999999</v>
      </c>
      <c r="E2227">
        <v>0.51955609999999997</v>
      </c>
      <c r="F2227" t="s">
        <v>61</v>
      </c>
      <c r="G2227">
        <v>-253.82220000000001</v>
      </c>
      <c r="H2227" s="1">
        <v>4.9719990000000004E-7</v>
      </c>
      <c r="I2227">
        <v>286.5822</v>
      </c>
      <c r="J2227">
        <v>-209.36279999999999</v>
      </c>
      <c r="K2227">
        <v>1.1090580000000001</v>
      </c>
      <c r="L2227">
        <v>285.27370000000002</v>
      </c>
      <c r="M2227">
        <v>-0.99189139999999998</v>
      </c>
      <c r="N2227">
        <v>0</v>
      </c>
      <c r="O2227">
        <v>-0.1263282</v>
      </c>
      <c r="P2227">
        <v>-0.99961549999999999</v>
      </c>
      <c r="Q2227">
        <v>1.368252E-2</v>
      </c>
      <c r="R2227">
        <v>-2.4129500000000002E-2</v>
      </c>
      <c r="S2227">
        <v>-3.0045169999999999</v>
      </c>
      <c r="T2227">
        <v>-7.4806330000000004E-2</v>
      </c>
      <c r="U2227">
        <v>8.7799070000000007E-2</v>
      </c>
      <c r="V2227">
        <v>0.1024495</v>
      </c>
      <c r="W2227">
        <v>2.714188E-2</v>
      </c>
      <c r="X2227">
        <v>0.99436780000000002</v>
      </c>
      <c r="Y2227">
        <v>0.15517520000000001</v>
      </c>
      <c r="Z2227">
        <v>5.0706470000000002E-3</v>
      </c>
      <c r="AA2227">
        <v>0.98787400000000003</v>
      </c>
      <c r="AB2227">
        <v>14</v>
      </c>
      <c r="AC2227">
        <v>-44.459400000000002</v>
      </c>
      <c r="AD2227">
        <v>-1.1090575028001</v>
      </c>
      <c r="AE2227">
        <v>1.30849999999998</v>
      </c>
      <c r="AF2227">
        <v>6.91073530581986</v>
      </c>
      <c r="AG2227">
        <v>-1.1090575028001</v>
      </c>
      <c r="AH2227">
        <v>43.910527591562897</v>
      </c>
      <c r="AI2227">
        <v>91.429239221711299</v>
      </c>
      <c r="AJ2227">
        <v>81.056027695322697</v>
      </c>
      <c r="AK2227">
        <v>44.464847963093703</v>
      </c>
      <c r="AL2227">
        <v>88.4446937519985</v>
      </c>
      <c r="AM2227">
        <v>84.117583815865402</v>
      </c>
      <c r="AN2227">
        <v>0.99999995168851097</v>
      </c>
    </row>
    <row r="2228" spans="1:40" x14ac:dyDescent="0.25">
      <c r="A2228" t="str">
        <f>"20190312153931396"</f>
        <v>20190312153931396</v>
      </c>
      <c r="B2228" t="str">
        <f>"1552376371388563"</f>
        <v>1552376371388563</v>
      </c>
      <c r="C2228" t="s">
        <v>40</v>
      </c>
      <c r="D2228">
        <v>4.1807179999999997</v>
      </c>
      <c r="E2228">
        <v>0.51888190000000001</v>
      </c>
      <c r="F2228" t="s">
        <v>61</v>
      </c>
      <c r="G2228">
        <v>-255.07900000000001</v>
      </c>
      <c r="H2228" s="1">
        <v>1.1659849999999999E-6</v>
      </c>
      <c r="I2228">
        <v>286.51549999999997</v>
      </c>
      <c r="J2228">
        <v>-209.45259999999999</v>
      </c>
      <c r="K2228">
        <v>1.109173</v>
      </c>
      <c r="L2228">
        <v>285.26600000000002</v>
      </c>
      <c r="M2228">
        <v>-0.99228709999999998</v>
      </c>
      <c r="N2228">
        <v>0</v>
      </c>
      <c r="O2228">
        <v>-0.123184</v>
      </c>
      <c r="P2228">
        <v>-0.99965939999999998</v>
      </c>
      <c r="Q2228">
        <v>1.341585E-2</v>
      </c>
      <c r="R2228">
        <v>-2.2386679999999999E-2</v>
      </c>
      <c r="S2228">
        <v>-3.0041350000000002</v>
      </c>
      <c r="T2228">
        <v>-7.2879199999999894E-2</v>
      </c>
      <c r="U2228">
        <v>8.1603999999999996E-2</v>
      </c>
      <c r="V2228">
        <v>0.10102269999999999</v>
      </c>
      <c r="W2228">
        <v>2.6885909999999999E-2</v>
      </c>
      <c r="X2228">
        <v>0.99452079999999998</v>
      </c>
      <c r="Y2228">
        <v>0.15001719999999999</v>
      </c>
      <c r="Z2228">
        <v>4.8023099999999997E-3</v>
      </c>
      <c r="AA2228">
        <v>0.98867169999999904</v>
      </c>
      <c r="AB2228">
        <v>14</v>
      </c>
      <c r="AC2228">
        <v>-45.626399999999997</v>
      </c>
      <c r="AD2228">
        <v>-1.1091718340150001</v>
      </c>
      <c r="AE2228">
        <v>1.24950000000001</v>
      </c>
      <c r="AF2228">
        <v>6.8569147263934296</v>
      </c>
      <c r="AG2228">
        <v>-1.1091718340150001</v>
      </c>
      <c r="AH2228">
        <v>45.098270489277702</v>
      </c>
      <c r="AI2228">
        <v>91.392878678155299</v>
      </c>
      <c r="AJ2228">
        <v>81.354741686539796</v>
      </c>
      <c r="AK2228">
        <v>45.6300508749054</v>
      </c>
      <c r="AL2228">
        <v>88.459365228072201</v>
      </c>
      <c r="AM2228">
        <v>84.1998311533726</v>
      </c>
      <c r="AN2228">
        <v>1.00000002985222</v>
      </c>
    </row>
    <row r="2229" spans="1:40" x14ac:dyDescent="0.25">
      <c r="A2229" t="str">
        <f>"20190312153931414"</f>
        <v>20190312153931414</v>
      </c>
      <c r="B2229" t="str">
        <f>"1552376371408082"</f>
        <v>1552376371408082</v>
      </c>
      <c r="C2229" t="s">
        <v>40</v>
      </c>
      <c r="D2229">
        <v>4.173521</v>
      </c>
      <c r="E2229">
        <v>0.51769049999999905</v>
      </c>
      <c r="F2229" t="s">
        <v>61</v>
      </c>
      <c r="G2229">
        <v>-254.9238</v>
      </c>
      <c r="H2229" s="1">
        <v>1.083419E-6</v>
      </c>
      <c r="I2229">
        <v>286.4948</v>
      </c>
      <c r="J2229">
        <v>-209.5607</v>
      </c>
      <c r="K2229">
        <v>1.1093040000000001</v>
      </c>
      <c r="L2229">
        <v>285.25700000000001</v>
      </c>
      <c r="M2229">
        <v>-0.99272150000000003</v>
      </c>
      <c r="N2229">
        <v>0</v>
      </c>
      <c r="O2229">
        <v>-0.1196367</v>
      </c>
      <c r="P2229">
        <v>-0.99968000000000001</v>
      </c>
      <c r="Q2229">
        <v>1.189173E-2</v>
      </c>
      <c r="R2229">
        <v>-2.2334340000000001E-2</v>
      </c>
      <c r="S2229">
        <v>-3.0038299999999998</v>
      </c>
      <c r="T2229">
        <v>-7.3271989999999995E-2</v>
      </c>
      <c r="U2229">
        <v>8.1176760000000001E-2</v>
      </c>
      <c r="V2229">
        <v>9.750731E-2</v>
      </c>
      <c r="W2229">
        <v>2.5381049999999999E-2</v>
      </c>
      <c r="X2229">
        <v>0.99491110000000005</v>
      </c>
      <c r="Y2229">
        <v>0.146346</v>
      </c>
      <c r="Z2229">
        <v>4.6978219999999999E-3</v>
      </c>
      <c r="AA2229">
        <v>0.9892223</v>
      </c>
      <c r="AB2229">
        <v>14</v>
      </c>
      <c r="AC2229">
        <v>-45.363100000000003</v>
      </c>
      <c r="AD2229">
        <v>-1.109302916581</v>
      </c>
      <c r="AE2229">
        <v>1.23779999999999</v>
      </c>
      <c r="AF2229">
        <v>6.6525430610328602</v>
      </c>
      <c r="AG2229">
        <v>-1.109302916581</v>
      </c>
      <c r="AH2229">
        <v>44.862320041776997</v>
      </c>
      <c r="AI2229">
        <v>91.401139231152399</v>
      </c>
      <c r="AJ2229">
        <v>81.565191122671706</v>
      </c>
      <c r="AK2229">
        <v>45.366448413673098</v>
      </c>
      <c r="AL2229">
        <v>88.545616753414095</v>
      </c>
      <c r="AM2229">
        <v>84.402542662195103</v>
      </c>
      <c r="AN2229">
        <v>0.99999998505287402</v>
      </c>
    </row>
    <row r="2230" spans="1:40" x14ac:dyDescent="0.25">
      <c r="A2230" t="str">
        <f>"20190312153931430"</f>
        <v>20190312153931430</v>
      </c>
      <c r="B2230" t="str">
        <f>"1552376371417842"</f>
        <v>1552376371417842</v>
      </c>
      <c r="C2230" t="s">
        <v>40</v>
      </c>
      <c r="D2230">
        <v>4.1803080000000001</v>
      </c>
      <c r="E2230">
        <v>0.5171055</v>
      </c>
      <c r="F2230" t="s">
        <v>61</v>
      </c>
      <c r="G2230">
        <v>-252.71850000000001</v>
      </c>
      <c r="H2230" s="1">
        <v>-9.0141330000000006E-8</v>
      </c>
      <c r="I2230">
        <v>286.28969999999998</v>
      </c>
      <c r="J2230">
        <v>-209.65710000000001</v>
      </c>
      <c r="K2230">
        <v>1.1094250000000001</v>
      </c>
      <c r="L2230">
        <v>285.24900000000002</v>
      </c>
      <c r="M2230">
        <v>-0.99307489999999998</v>
      </c>
      <c r="N2230">
        <v>0</v>
      </c>
      <c r="O2230">
        <v>-0.1166693</v>
      </c>
      <c r="P2230">
        <v>-0.99970570000000003</v>
      </c>
      <c r="Q2230">
        <v>1.126491E-2</v>
      </c>
      <c r="R2230">
        <v>-2.148864E-2</v>
      </c>
      <c r="S2230">
        <v>-3.003479</v>
      </c>
      <c r="T2230">
        <v>-7.7199699999999996E-2</v>
      </c>
      <c r="U2230">
        <v>7.1868899999999999E-2</v>
      </c>
      <c r="V2230">
        <v>9.5366270000000003E-2</v>
      </c>
      <c r="W2230">
        <v>2.47666E-2</v>
      </c>
      <c r="X2230">
        <v>0.99513410000000002</v>
      </c>
      <c r="Y2230">
        <v>0.14032059999999999</v>
      </c>
      <c r="Z2230">
        <v>4.7968780000000001E-3</v>
      </c>
      <c r="AA2230">
        <v>0.99009449999999999</v>
      </c>
      <c r="AB2230">
        <v>14</v>
      </c>
      <c r="AC2230">
        <v>-43.0613999999999</v>
      </c>
      <c r="AD2230">
        <v>-1.1094250901413301</v>
      </c>
      <c r="AE2230">
        <v>1.04069999999995</v>
      </c>
      <c r="AF2230">
        <v>6.0539974143860702</v>
      </c>
      <c r="AG2230">
        <v>-1.1094250901413301</v>
      </c>
      <c r="AH2230">
        <v>42.617568455550703</v>
      </c>
      <c r="AI2230">
        <v>91.476377948664805</v>
      </c>
      <c r="AJ2230">
        <v>81.914997297397804</v>
      </c>
      <c r="AK2230">
        <v>43.059712606885597</v>
      </c>
      <c r="AL2230">
        <v>88.580833230123702</v>
      </c>
      <c r="AM2230">
        <v>84.525914469514007</v>
      </c>
      <c r="AN2230">
        <v>0.99999999345604096</v>
      </c>
    </row>
    <row r="2231" spans="1:40" x14ac:dyDescent="0.25">
      <c r="A2231" t="str">
        <f>"20190312153931447"</f>
        <v>20190312153931447</v>
      </c>
      <c r="B2231" t="str">
        <f>"1552376371438338"</f>
        <v>1552376371438338</v>
      </c>
      <c r="C2231" t="s">
        <v>40</v>
      </c>
      <c r="D2231">
        <v>4.1924020000000004</v>
      </c>
      <c r="E2231">
        <v>0.51604349999999999</v>
      </c>
      <c r="F2231" t="s">
        <v>61</v>
      </c>
      <c r="G2231">
        <v>-251.77709999999999</v>
      </c>
      <c r="H2231" s="1">
        <v>-5.9109100000000001E-7</v>
      </c>
      <c r="I2231">
        <v>286.22820000000002</v>
      </c>
      <c r="J2231">
        <v>-209.76609999999999</v>
      </c>
      <c r="K2231">
        <v>1.109559</v>
      </c>
      <c r="L2231">
        <v>285.24</v>
      </c>
      <c r="M2231">
        <v>-0.99343930000000003</v>
      </c>
      <c r="N2231">
        <v>0</v>
      </c>
      <c r="O2231">
        <v>-0.11352909999999999</v>
      </c>
      <c r="P2231">
        <v>-0.99968520000000005</v>
      </c>
      <c r="Q2231">
        <v>1.008567E-2</v>
      </c>
      <c r="R2231">
        <v>-2.2976960000000001E-2</v>
      </c>
      <c r="S2231">
        <v>-3.0032809999999999</v>
      </c>
      <c r="T2231">
        <v>-7.9105259999999997E-2</v>
      </c>
      <c r="U2231">
        <v>6.9824220000000006E-2</v>
      </c>
      <c r="V2231">
        <v>9.0726790000000002E-2</v>
      </c>
      <c r="W2231">
        <v>2.360727E-2</v>
      </c>
      <c r="X2231">
        <v>0.99559600000000004</v>
      </c>
      <c r="Y2231">
        <v>0.13651529999999901</v>
      </c>
      <c r="Z2231">
        <v>4.7831380000000001E-3</v>
      </c>
      <c r="AA2231">
        <v>0.99062640000000002</v>
      </c>
      <c r="AB2231">
        <v>14</v>
      </c>
      <c r="AC2231">
        <v>-42.011000000000003</v>
      </c>
      <c r="AD2231">
        <v>-1.1095595910910001</v>
      </c>
      <c r="AE2231">
        <v>0.98820000000000596</v>
      </c>
      <c r="AF2231">
        <v>5.74772563300297</v>
      </c>
      <c r="AG2231">
        <v>-1.1095595910910001</v>
      </c>
      <c r="AH2231">
        <v>41.598132624037703</v>
      </c>
      <c r="AI2231">
        <v>91.513532544521993</v>
      </c>
      <c r="AJ2231">
        <v>82.133100139000405</v>
      </c>
      <c r="AK2231">
        <v>42.008000550436698</v>
      </c>
      <c r="AL2231">
        <v>88.6472774302608</v>
      </c>
      <c r="AM2231">
        <v>84.793124860465795</v>
      </c>
      <c r="AN2231">
        <v>1.0000000244182701</v>
      </c>
    </row>
    <row r="2232" spans="1:40" x14ac:dyDescent="0.25">
      <c r="A2232" t="str">
        <f>"20190312153931461"</f>
        <v>20190312153931461</v>
      </c>
      <c r="B2232" t="str">
        <f>"1552376371447630"</f>
        <v>1552376371447630</v>
      </c>
      <c r="C2232" t="s">
        <v>40</v>
      </c>
      <c r="D2232">
        <v>4.2245710000000001</v>
      </c>
      <c r="E2232">
        <v>0.51562609999999998</v>
      </c>
      <c r="F2232" t="s">
        <v>61</v>
      </c>
      <c r="G2232">
        <v>-250.19139999999999</v>
      </c>
      <c r="H2232" s="1">
        <v>-1.4349549999999901E-6</v>
      </c>
      <c r="I2232">
        <v>286.00569999999999</v>
      </c>
      <c r="J2232">
        <v>-209.8493</v>
      </c>
      <c r="K2232">
        <v>1.109658</v>
      </c>
      <c r="L2232">
        <v>285.23320000000001</v>
      </c>
      <c r="M2232">
        <v>-0.99369370000000001</v>
      </c>
      <c r="N2232">
        <v>0</v>
      </c>
      <c r="O2232">
        <v>-0.11128150000000001</v>
      </c>
      <c r="P2232">
        <v>-0.99968840000000003</v>
      </c>
      <c r="Q2232">
        <v>9.9375009999999996E-3</v>
      </c>
      <c r="R2232">
        <v>-2.290089E-2</v>
      </c>
      <c r="S2232">
        <v>-3.003082</v>
      </c>
      <c r="T2232">
        <v>-8.2426310000000003E-2</v>
      </c>
      <c r="U2232">
        <v>5.6884770000000001E-2</v>
      </c>
      <c r="V2232">
        <v>8.8543620000000003E-2</v>
      </c>
      <c r="W2232">
        <v>2.3467600000000002E-2</v>
      </c>
      <c r="X2232">
        <v>0.99579580000000001</v>
      </c>
      <c r="Y2232">
        <v>0.13000239999999999</v>
      </c>
      <c r="Z2232">
        <v>4.833464E-3</v>
      </c>
      <c r="AA2232">
        <v>0.99150190000000005</v>
      </c>
      <c r="AB2232">
        <v>14</v>
      </c>
      <c r="AC2232">
        <v>-40.342099999999903</v>
      </c>
      <c r="AD2232">
        <v>-1.109659434955</v>
      </c>
      <c r="AE2232">
        <v>0.77249999999997898</v>
      </c>
      <c r="AF2232">
        <v>5.2534820248472398</v>
      </c>
      <c r="AG2232">
        <v>-1.109659434955</v>
      </c>
      <c r="AH2232">
        <v>39.975277587426497</v>
      </c>
      <c r="AI2232">
        <v>91.576496298326106</v>
      </c>
      <c r="AJ2232">
        <v>82.513191725878301</v>
      </c>
      <c r="AK2232">
        <v>40.334268750515101</v>
      </c>
      <c r="AL2232">
        <v>88.655282100400697</v>
      </c>
      <c r="AM2232">
        <v>84.918768727329706</v>
      </c>
      <c r="AN2232">
        <v>0.99999998809505197</v>
      </c>
    </row>
    <row r="2233" spans="1:40" x14ac:dyDescent="0.25">
      <c r="A2233" t="str">
        <f>"20190312153931480"</f>
        <v>20190312153931480</v>
      </c>
      <c r="B2233" t="str">
        <f>"1552376371468126"</f>
        <v>1552376371468126</v>
      </c>
      <c r="C2233" t="s">
        <v>40</v>
      </c>
      <c r="D2233">
        <v>4.2548349999999999</v>
      </c>
      <c r="E2233">
        <v>0.51469549999999997</v>
      </c>
      <c r="F2233" t="s">
        <v>61</v>
      </c>
      <c r="G2233">
        <v>-249.93209999999999</v>
      </c>
      <c r="H2233" s="1">
        <v>3.748593E-6</v>
      </c>
      <c r="I2233">
        <v>285.94889999999998</v>
      </c>
      <c r="J2233">
        <v>-209.96459999999999</v>
      </c>
      <c r="K2233">
        <v>1.109782</v>
      </c>
      <c r="L2233">
        <v>285.22370000000001</v>
      </c>
      <c r="M2233">
        <v>-0.99401249999999997</v>
      </c>
      <c r="N2233">
        <v>0</v>
      </c>
      <c r="O2233">
        <v>-0.1084017</v>
      </c>
      <c r="P2233">
        <v>-0.9996564</v>
      </c>
      <c r="Q2233">
        <v>1.0942459999999999E-2</v>
      </c>
      <c r="R2233">
        <v>-2.3821910000000002E-2</v>
      </c>
      <c r="S2233">
        <v>-3.0029910000000002</v>
      </c>
      <c r="T2233">
        <v>-8.3134890000000003E-2</v>
      </c>
      <c r="U2233">
        <v>5.3619380000000001E-2</v>
      </c>
      <c r="V2233">
        <v>8.4732119999999994E-2</v>
      </c>
      <c r="W2233">
        <v>2.44844E-2</v>
      </c>
      <c r="X2233">
        <v>0.99610290000000001</v>
      </c>
      <c r="Y2233">
        <v>0.1260522</v>
      </c>
      <c r="Z2233">
        <v>4.7410990000000004E-3</v>
      </c>
      <c r="AA2233">
        <v>0.99201229999999996</v>
      </c>
      <c r="AB2233">
        <v>14</v>
      </c>
      <c r="AC2233">
        <v>-39.967500000000001</v>
      </c>
      <c r="AD2233">
        <v>-1.109778251407</v>
      </c>
      <c r="AE2233">
        <v>0.72519999999997198</v>
      </c>
      <c r="AF2233">
        <v>5.0499861614838197</v>
      </c>
      <c r="AG2233">
        <v>-1.109778251407</v>
      </c>
      <c r="AH2233">
        <v>39.622774264283201</v>
      </c>
      <c r="AI2233">
        <v>91.591487642315002</v>
      </c>
      <c r="AJ2233">
        <v>82.736720062626105</v>
      </c>
      <c r="AK2233">
        <v>39.958706290329502</v>
      </c>
      <c r="AL2233">
        <v>88.597007016983</v>
      </c>
      <c r="AM2233">
        <v>85.137918008393598</v>
      </c>
      <c r="AN2233">
        <v>1.0000000026957301</v>
      </c>
    </row>
    <row r="2234" spans="1:40" x14ac:dyDescent="0.25">
      <c r="A2234" t="str">
        <f>"20190312153931493"</f>
        <v>20190312153931493</v>
      </c>
      <c r="B2234" t="str">
        <f>"1552376371487646"</f>
        <v>1552376371487646</v>
      </c>
      <c r="C2234" t="s">
        <v>40</v>
      </c>
      <c r="D2234">
        <v>4.2819949999999896</v>
      </c>
      <c r="E2234">
        <v>0.51378349999999995</v>
      </c>
      <c r="F2234" t="s">
        <v>61</v>
      </c>
      <c r="G2234">
        <v>-252.1173</v>
      </c>
      <c r="H2234" s="1">
        <v>-4.1007940000000002E-7</v>
      </c>
      <c r="I2234">
        <v>285.83199999999999</v>
      </c>
      <c r="J2234">
        <v>-210.0455</v>
      </c>
      <c r="K2234">
        <v>1.109866</v>
      </c>
      <c r="L2234">
        <v>285.21710000000002</v>
      </c>
      <c r="M2234">
        <v>-0.9942143</v>
      </c>
      <c r="N2234">
        <v>0</v>
      </c>
      <c r="O2234">
        <v>-0.1065366</v>
      </c>
      <c r="P2234">
        <v>-0.99964889999999995</v>
      </c>
      <c r="Q2234">
        <v>1.2002560000000001E-2</v>
      </c>
      <c r="R2234">
        <v>-2.36291E-2</v>
      </c>
      <c r="S2234">
        <v>-3.0029140000000001</v>
      </c>
      <c r="T2234">
        <v>-7.905972E-2</v>
      </c>
      <c r="U2234">
        <v>4.3334959999999999E-2</v>
      </c>
      <c r="V2234">
        <v>8.3050330000000006E-2</v>
      </c>
      <c r="W2234">
        <v>2.554741E-2</v>
      </c>
      <c r="X2234">
        <v>0.99621780000000004</v>
      </c>
      <c r="Y2234">
        <v>0.1208042</v>
      </c>
      <c r="Z2234">
        <v>4.3909170000000003E-3</v>
      </c>
      <c r="AA2234">
        <v>0.99266670000000001</v>
      </c>
      <c r="AB2234">
        <v>14</v>
      </c>
      <c r="AC2234">
        <v>-42.071800000000003</v>
      </c>
      <c r="AD2234">
        <v>-1.1098664100794</v>
      </c>
      <c r="AE2234">
        <v>0.61489999999997702</v>
      </c>
      <c r="AF2234">
        <v>5.0904656512013</v>
      </c>
      <c r="AG2234">
        <v>-1.1098664100794</v>
      </c>
      <c r="AH2234">
        <v>41.737759625841399</v>
      </c>
      <c r="AI2234">
        <v>91.512018475973704</v>
      </c>
      <c r="AJ2234">
        <v>83.046373023218806</v>
      </c>
      <c r="AK2234">
        <v>42.061683544275802</v>
      </c>
      <c r="AL2234">
        <v>88.536081908036394</v>
      </c>
      <c r="AM2234">
        <v>85.234520299977504</v>
      </c>
      <c r="AN2234">
        <v>0.99999996625382703</v>
      </c>
    </row>
    <row r="2235" spans="1:40" x14ac:dyDescent="0.25">
      <c r="A2235" t="str">
        <f>"20190312153931506"</f>
        <v>20190312153931506</v>
      </c>
      <c r="B2235" t="str">
        <f>"1552376371498382"</f>
        <v>1552376371498382</v>
      </c>
      <c r="C2235" t="s">
        <v>40</v>
      </c>
      <c r="D2235">
        <v>4.2468079999999997</v>
      </c>
      <c r="E2235">
        <v>0.51342779999999999</v>
      </c>
      <c r="F2235" t="s">
        <v>61</v>
      </c>
      <c r="G2235">
        <v>-253.9323</v>
      </c>
      <c r="H2235" s="1">
        <v>5.5578409999999996E-7</v>
      </c>
      <c r="I2235">
        <v>285.75060000000002</v>
      </c>
      <c r="J2235">
        <v>-210.1234</v>
      </c>
      <c r="K2235">
        <v>1.1099319999999999</v>
      </c>
      <c r="L2235">
        <v>285.21080000000001</v>
      </c>
      <c r="M2235">
        <v>-0.99439409999999895</v>
      </c>
      <c r="N2235">
        <v>0</v>
      </c>
      <c r="O2235">
        <v>-0.10484739999999999</v>
      </c>
      <c r="P2235">
        <v>-0.99963159999999895</v>
      </c>
      <c r="Q2235">
        <v>1.343364E-2</v>
      </c>
      <c r="R2235">
        <v>-2.3586650000000001E-2</v>
      </c>
      <c r="S2235">
        <v>-3.0028229999999998</v>
      </c>
      <c r="T2235">
        <v>-7.5939179999999995E-2</v>
      </c>
      <c r="U2235">
        <v>3.649902E-2</v>
      </c>
      <c r="V2235">
        <v>8.1395200000000001E-2</v>
      </c>
      <c r="W2235">
        <v>2.6980290000000001E-2</v>
      </c>
      <c r="X2235">
        <v>0.99631670000000006</v>
      </c>
      <c r="Y2235">
        <v>0.1168656</v>
      </c>
      <c r="Z2235">
        <v>4.1254289999999999E-3</v>
      </c>
      <c r="AA2235">
        <v>0.99313910000000005</v>
      </c>
      <c r="AB2235">
        <v>14</v>
      </c>
      <c r="AC2235">
        <v>-43.808900000000001</v>
      </c>
      <c r="AD2235">
        <v>-1.1099314442158901</v>
      </c>
      <c r="AE2235">
        <v>0.53980000000001305</v>
      </c>
      <c r="AF2235">
        <v>5.1272132786568196</v>
      </c>
      <c r="AG2235">
        <v>-1.1099314442158901</v>
      </c>
      <c r="AH2235">
        <v>43.482884697295802</v>
      </c>
      <c r="AI2235">
        <v>91.452142082714602</v>
      </c>
      <c r="AJ2235">
        <v>83.275113709718497</v>
      </c>
      <c r="AK2235">
        <v>43.798190892022198</v>
      </c>
      <c r="AL2235">
        <v>88.453955706909298</v>
      </c>
      <c r="AM2235">
        <v>85.3295298274262</v>
      </c>
      <c r="AN2235">
        <v>1.0000000406652001</v>
      </c>
    </row>
    <row r="2236" spans="1:40" x14ac:dyDescent="0.25">
      <c r="A2236" t="str">
        <f>"20190312153931524"</f>
        <v>20190312153931524</v>
      </c>
      <c r="B2236" t="str">
        <f>"1552376371517903"</f>
        <v>1552376371517903</v>
      </c>
      <c r="C2236" t="s">
        <v>40</v>
      </c>
      <c r="D2236">
        <v>4.2673579999999998</v>
      </c>
      <c r="E2236">
        <v>0.51273080000000004</v>
      </c>
      <c r="F2236" t="s">
        <v>61</v>
      </c>
      <c r="G2236">
        <v>-256.79640000000001</v>
      </c>
      <c r="H2236" s="1">
        <v>2.0799280000000001E-6</v>
      </c>
      <c r="I2236">
        <v>285.7364</v>
      </c>
      <c r="J2236">
        <v>-210.23609999999999</v>
      </c>
      <c r="K2236">
        <v>1.1100190000000001</v>
      </c>
      <c r="L2236">
        <v>285.20170000000002</v>
      </c>
      <c r="M2236">
        <v>-0.9946315</v>
      </c>
      <c r="N2236">
        <v>0</v>
      </c>
      <c r="O2236">
        <v>-0.10257479999999999</v>
      </c>
      <c r="P2236">
        <v>-0.99959549999999997</v>
      </c>
      <c r="Q2236">
        <v>1.462426E-2</v>
      </c>
      <c r="R2236">
        <v>-2.4403109999999999E-2</v>
      </c>
      <c r="S2236">
        <v>-3.002853</v>
      </c>
      <c r="T2236">
        <v>-7.1410779999999993E-2</v>
      </c>
      <c r="U2236">
        <v>3.381348E-2</v>
      </c>
      <c r="V2236">
        <v>7.829701E-2</v>
      </c>
      <c r="W2236">
        <v>2.8175269999999999E-2</v>
      </c>
      <c r="X2236">
        <v>0.99653179999999997</v>
      </c>
      <c r="Y2236">
        <v>0.1137171</v>
      </c>
      <c r="Z2236">
        <v>3.7881770000000002E-3</v>
      </c>
      <c r="AA2236">
        <v>0.993506</v>
      </c>
      <c r="AB2236">
        <v>14</v>
      </c>
      <c r="AC2236">
        <v>-46.560299999999998</v>
      </c>
      <c r="AD2236">
        <v>-1.110016920072</v>
      </c>
      <c r="AE2236">
        <v>0.53469999999998596</v>
      </c>
      <c r="AF2236">
        <v>5.3052232697351096</v>
      </c>
      <c r="AG2236">
        <v>-1.110016920072</v>
      </c>
      <c r="AH2236">
        <v>46.233536206504503</v>
      </c>
      <c r="AI2236">
        <v>91.366382272349497</v>
      </c>
      <c r="AJ2236">
        <v>83.454032732967505</v>
      </c>
      <c r="AK2236">
        <v>46.550160060549203</v>
      </c>
      <c r="AL2236">
        <v>88.3854621946588</v>
      </c>
      <c r="AM2236">
        <v>85.507528070278397</v>
      </c>
      <c r="AN2236">
        <v>0.99999994801287495</v>
      </c>
    </row>
    <row r="2237" spans="1:40" x14ac:dyDescent="0.25">
      <c r="A2237" t="str">
        <f>"20190312153931538"</f>
        <v>20190312153931538</v>
      </c>
      <c r="B2237" t="str">
        <f>"1552376371527662"</f>
        <v>1552376371527662</v>
      </c>
      <c r="C2237" t="s">
        <v>40</v>
      </c>
      <c r="D2237">
        <v>4.2645749999999998</v>
      </c>
      <c r="E2237">
        <v>0.51240439999999998</v>
      </c>
      <c r="F2237" t="s">
        <v>61</v>
      </c>
      <c r="G2237">
        <v>-259.6121</v>
      </c>
      <c r="H2237" s="1">
        <v>3.5782739999999998E-6</v>
      </c>
      <c r="I2237">
        <v>285.62419999999997</v>
      </c>
      <c r="J2237">
        <v>-210.31899999999999</v>
      </c>
      <c r="K2237">
        <v>1.110079</v>
      </c>
      <c r="L2237">
        <v>285.19490000000002</v>
      </c>
      <c r="M2237">
        <v>-0.99478999999999995</v>
      </c>
      <c r="N2237">
        <v>0</v>
      </c>
      <c r="O2237">
        <v>-0.1010276</v>
      </c>
      <c r="P2237">
        <v>-0.99959240000000005</v>
      </c>
      <c r="Q2237">
        <v>1.46125E-2</v>
      </c>
      <c r="R2237">
        <v>-2.4532689999999999E-2</v>
      </c>
      <c r="S2237">
        <v>-3.0028229999999998</v>
      </c>
      <c r="T2237">
        <v>-6.7506070000000001E-2</v>
      </c>
      <c r="U2237">
        <v>2.5695800000000001E-2</v>
      </c>
      <c r="V2237">
        <v>7.6612780000000005E-2</v>
      </c>
      <c r="W2237">
        <v>2.8165249999999999E-2</v>
      </c>
      <c r="X2237">
        <v>0.99666299999999997</v>
      </c>
      <c r="Y2237">
        <v>0.1094933</v>
      </c>
      <c r="Z2237">
        <v>3.4989790000000002E-3</v>
      </c>
      <c r="AA2237">
        <v>0.99398140000000001</v>
      </c>
      <c r="AB2237">
        <v>13</v>
      </c>
      <c r="AC2237">
        <v>-49.293099999999903</v>
      </c>
      <c r="AD2237">
        <v>-1.110075421726</v>
      </c>
      <c r="AE2237">
        <v>0.429299999999955</v>
      </c>
      <c r="AF2237">
        <v>5.4047898094576103</v>
      </c>
      <c r="AG2237">
        <v>-1.110075421726</v>
      </c>
      <c r="AH2237">
        <v>48.972641257543401</v>
      </c>
      <c r="AI2237">
        <v>91.290681920645994</v>
      </c>
      <c r="AJ2237">
        <v>83.702126942426503</v>
      </c>
      <c r="AK2237">
        <v>49.2824878843021</v>
      </c>
      <c r="AL2237">
        <v>88.386036557737</v>
      </c>
      <c r="AM2237">
        <v>85.604358132061805</v>
      </c>
      <c r="AN2237">
        <v>0.99999996746794495</v>
      </c>
    </row>
    <row r="2238" spans="1:40" x14ac:dyDescent="0.25">
      <c r="A2238" t="str">
        <f>"20190312153931551"</f>
        <v>20190312153931551</v>
      </c>
      <c r="B2238" t="str">
        <f>"1552376371548437"</f>
        <v>1552376371548437</v>
      </c>
      <c r="C2238" t="s">
        <v>40</v>
      </c>
      <c r="D2238">
        <v>4.2666130000000004</v>
      </c>
      <c r="E2238">
        <v>0.51180709999999996</v>
      </c>
      <c r="F2238" t="s">
        <v>61</v>
      </c>
      <c r="G2238">
        <v>-259.90120000000002</v>
      </c>
      <c r="H2238" s="1">
        <v>3.732168E-6</v>
      </c>
      <c r="I2238">
        <v>285.57190000000003</v>
      </c>
      <c r="J2238">
        <v>-210.3947</v>
      </c>
      <c r="K2238">
        <v>1.1101319999999999</v>
      </c>
      <c r="L2238">
        <v>285.18880000000001</v>
      </c>
      <c r="M2238">
        <v>-0.99491779999999996</v>
      </c>
      <c r="N2238">
        <v>0</v>
      </c>
      <c r="O2238">
        <v>-9.9761900000000001E-2</v>
      </c>
      <c r="P2238">
        <v>-0.99958650000000004</v>
      </c>
      <c r="Q2238">
        <v>1.4645160000000001E-2</v>
      </c>
      <c r="R2238">
        <v>-2.474765E-2</v>
      </c>
      <c r="S2238">
        <v>-3.0027469999999998</v>
      </c>
      <c r="T2238">
        <v>-6.7227129999999996E-2</v>
      </c>
      <c r="U2238">
        <v>2.2827150000000001E-2</v>
      </c>
      <c r="V2238">
        <v>7.5125780000000003E-2</v>
      </c>
      <c r="W2238">
        <v>2.8200050000000001E-2</v>
      </c>
      <c r="X2238">
        <v>0.99677519999999997</v>
      </c>
      <c r="Y2238">
        <v>0.107280399999999</v>
      </c>
      <c r="Z2238">
        <v>3.4315970000000002E-3</v>
      </c>
      <c r="AA2238">
        <v>0.99422290000000002</v>
      </c>
      <c r="AB2238">
        <v>13</v>
      </c>
      <c r="AC2238">
        <v>-49.506500000000003</v>
      </c>
      <c r="AD2238">
        <v>-1.1101282678319999</v>
      </c>
      <c r="AE2238">
        <v>0.38310000000001299</v>
      </c>
      <c r="AF2238">
        <v>5.3178368879257603</v>
      </c>
      <c r="AG2238">
        <v>-1.1101282678319999</v>
      </c>
      <c r="AH2238">
        <v>49.196524336965602</v>
      </c>
      <c r="AI2238">
        <v>91.285186132381099</v>
      </c>
      <c r="AJ2238">
        <v>83.830637963288297</v>
      </c>
      <c r="AK2238">
        <v>49.495553141421397</v>
      </c>
      <c r="AL2238">
        <v>88.384041864186599</v>
      </c>
      <c r="AM2238">
        <v>85.689833086782102</v>
      </c>
      <c r="AN2238">
        <v>0.99999996248782397</v>
      </c>
    </row>
    <row r="2239" spans="1:40" x14ac:dyDescent="0.25">
      <c r="A2239" t="str">
        <f>"20190312153931569"</f>
        <v>20190312153931569</v>
      </c>
      <c r="B2239" t="str">
        <f>"1552376371558197"</f>
        <v>1552376371558197</v>
      </c>
      <c r="C2239" t="s">
        <v>40</v>
      </c>
      <c r="D2239">
        <v>4.2944779999999998</v>
      </c>
      <c r="E2239">
        <v>0.51151749999999996</v>
      </c>
      <c r="F2239" t="s">
        <v>61</v>
      </c>
      <c r="G2239">
        <v>-260.37270000000001</v>
      </c>
      <c r="H2239" s="1">
        <v>-1.3384599999999999E-6</v>
      </c>
      <c r="I2239">
        <v>285.47480000000002</v>
      </c>
      <c r="J2239">
        <v>-210.5067</v>
      </c>
      <c r="K2239">
        <v>1.1102069999999999</v>
      </c>
      <c r="L2239">
        <v>285.17970000000003</v>
      </c>
      <c r="M2239">
        <v>-0.99508960000000002</v>
      </c>
      <c r="N2239">
        <v>0</v>
      </c>
      <c r="O2239">
        <v>-9.8035419999999998E-2</v>
      </c>
      <c r="P2239">
        <v>-0.99955819999999995</v>
      </c>
      <c r="Q2239">
        <v>1.426523E-2</v>
      </c>
      <c r="R2239">
        <v>-2.6082930000000001E-2</v>
      </c>
      <c r="S2239">
        <v>-3.0026250000000001</v>
      </c>
      <c r="T2239">
        <v>-6.6695569999999996E-2</v>
      </c>
      <c r="U2239">
        <v>1.7181399999999999E-2</v>
      </c>
      <c r="V2239">
        <v>7.2057979999999994E-2</v>
      </c>
      <c r="W2239">
        <v>2.7825880000000001E-2</v>
      </c>
      <c r="X2239">
        <v>0.99701220000000002</v>
      </c>
      <c r="Y2239">
        <v>0.10368769999999999</v>
      </c>
      <c r="Z2239">
        <v>3.3264700000000002E-3</v>
      </c>
      <c r="AA2239">
        <v>0.9946043</v>
      </c>
      <c r="AB2239">
        <v>13</v>
      </c>
      <c r="AC2239">
        <v>-49.866</v>
      </c>
      <c r="AD2239">
        <v>-1.1102083384600001</v>
      </c>
      <c r="AE2239">
        <v>0.29509999999998998</v>
      </c>
      <c r="AF2239">
        <v>5.1801989296931099</v>
      </c>
      <c r="AG2239">
        <v>-1.1102083384600001</v>
      </c>
      <c r="AH2239">
        <v>49.572243095688698</v>
      </c>
      <c r="AI2239">
        <v>91.276022638556299</v>
      </c>
      <c r="AJ2239">
        <v>84.0343588845856</v>
      </c>
      <c r="AK2239">
        <v>49.8545314795359</v>
      </c>
      <c r="AL2239">
        <v>88.405488670669399</v>
      </c>
      <c r="AM2239">
        <v>85.866197082258594</v>
      </c>
      <c r="AN2239">
        <v>0.99999997951414699</v>
      </c>
    </row>
    <row r="2240" spans="1:40" x14ac:dyDescent="0.25">
      <c r="A2240" t="str">
        <f>"20190312153931584"</f>
        <v>20190312153931584</v>
      </c>
      <c r="B2240" t="str">
        <f>"1552376371577717"</f>
        <v>1552376371577717</v>
      </c>
      <c r="C2240" t="s">
        <v>40</v>
      </c>
      <c r="D2240">
        <v>4.2914300000000001</v>
      </c>
      <c r="E2240">
        <v>0.51095599999999997</v>
      </c>
      <c r="F2240" t="s">
        <v>61</v>
      </c>
      <c r="G2240">
        <v>-259.67360000000002</v>
      </c>
      <c r="H2240" s="1">
        <v>3.611008E-6</v>
      </c>
      <c r="I2240">
        <v>285.3596</v>
      </c>
      <c r="J2240">
        <v>-210.5941</v>
      </c>
      <c r="K2240">
        <v>1.1102700000000001</v>
      </c>
      <c r="L2240">
        <v>285.17259999999999</v>
      </c>
      <c r="M2240">
        <v>-0.99520750000000002</v>
      </c>
      <c r="N2240">
        <v>0</v>
      </c>
      <c r="O2240">
        <v>-9.6832639999999998E-2</v>
      </c>
      <c r="P2240">
        <v>-0.99954799999999999</v>
      </c>
      <c r="Q2240">
        <v>1.4421089999999999E-2</v>
      </c>
      <c r="R2240">
        <v>-2.6383759999999999E-2</v>
      </c>
      <c r="S2240">
        <v>-3.0025789999999999</v>
      </c>
      <c r="T2240">
        <v>-6.7799209999999999E-2</v>
      </c>
      <c r="U2240">
        <v>1.0986330000000001E-2</v>
      </c>
      <c r="V2240">
        <v>7.0547399999999996E-2</v>
      </c>
      <c r="W2240">
        <v>2.7985079999999999E-2</v>
      </c>
      <c r="X2240">
        <v>0.9971158</v>
      </c>
      <c r="Y2240">
        <v>0.10043249999999999</v>
      </c>
      <c r="Z2240">
        <v>3.3177010000000002E-3</v>
      </c>
      <c r="AA2240">
        <v>0.9949384</v>
      </c>
      <c r="AB2240">
        <v>13</v>
      </c>
      <c r="AC2240">
        <v>-49.079500000000003</v>
      </c>
      <c r="AD2240">
        <v>-1.1102663889919999</v>
      </c>
      <c r="AE2240">
        <v>0.18700000000001099</v>
      </c>
      <c r="AF2240">
        <v>4.9365331941575299</v>
      </c>
      <c r="AG2240">
        <v>-1.1102663889919999</v>
      </c>
      <c r="AH2240">
        <v>48.805731605205501</v>
      </c>
      <c r="AI2240">
        <v>91.296565884521101</v>
      </c>
      <c r="AJ2240">
        <v>84.224370100344899</v>
      </c>
      <c r="AK2240">
        <v>49.0673158930759</v>
      </c>
      <c r="AL2240">
        <v>88.396363676841204</v>
      </c>
      <c r="AM2240">
        <v>85.952983688816104</v>
      </c>
      <c r="AN2240">
        <v>1.0000000094795001</v>
      </c>
    </row>
    <row r="2241" spans="1:40" x14ac:dyDescent="0.25">
      <c r="A2241" t="str">
        <f>"20190312153931606"</f>
        <v>20190312153931606</v>
      </c>
      <c r="B2241" t="str">
        <f>"1552376371598213"</f>
        <v>1552376371598213</v>
      </c>
      <c r="C2241" t="s">
        <v>40</v>
      </c>
      <c r="D2241">
        <v>4.2911419999999998</v>
      </c>
      <c r="E2241">
        <v>0.51040390000000002</v>
      </c>
      <c r="F2241" t="s">
        <v>61</v>
      </c>
      <c r="G2241">
        <v>-260.36239999999998</v>
      </c>
      <c r="H2241" s="1">
        <v>-1.3439599999999999E-6</v>
      </c>
      <c r="I2241">
        <v>285.26819999999998</v>
      </c>
      <c r="J2241">
        <v>-210.72</v>
      </c>
      <c r="K2241">
        <v>1.110374</v>
      </c>
      <c r="L2241">
        <v>285.16219999999998</v>
      </c>
      <c r="M2241">
        <v>-0.99535289999999998</v>
      </c>
      <c r="N2241">
        <v>0</v>
      </c>
      <c r="O2241">
        <v>-9.5328270000000007E-2</v>
      </c>
      <c r="P2241">
        <v>-0.99948340000000002</v>
      </c>
      <c r="Q2241">
        <v>1.5674509999999999E-2</v>
      </c>
      <c r="R2241">
        <v>-2.8059560000000001E-2</v>
      </c>
      <c r="S2241">
        <v>-3.002472</v>
      </c>
      <c r="T2241">
        <v>-6.6981550000000001E-2</v>
      </c>
      <c r="U2241">
        <v>5.7678219999999997E-3</v>
      </c>
      <c r="V2241">
        <v>6.7358210000000002E-2</v>
      </c>
      <c r="W2241">
        <v>2.9246279999999999E-2</v>
      </c>
      <c r="X2241">
        <v>0.99730010000000002</v>
      </c>
      <c r="Y2241">
        <v>9.7201350000000006E-2</v>
      </c>
      <c r="Z2241">
        <v>3.208299E-3</v>
      </c>
      <c r="AA2241">
        <v>0.99525960000000002</v>
      </c>
      <c r="AB2241">
        <v>13</v>
      </c>
      <c r="AC2241">
        <v>-49.642399999999903</v>
      </c>
      <c r="AD2241">
        <v>-1.1103753439599999</v>
      </c>
      <c r="AE2241">
        <v>0.105999999999994</v>
      </c>
      <c r="AF2241">
        <v>4.8358599933292696</v>
      </c>
      <c r="AG2241">
        <v>-1.1103753439599999</v>
      </c>
      <c r="AH2241">
        <v>49.381469746847998</v>
      </c>
      <c r="AI2241">
        <v>91.281986416275799</v>
      </c>
      <c r="AJ2241">
        <v>84.406936142738004</v>
      </c>
      <c r="AK2241">
        <v>49.630112125990799</v>
      </c>
      <c r="AL2241">
        <v>88.324072584453205</v>
      </c>
      <c r="AM2241">
        <v>86.136079062408697</v>
      </c>
      <c r="AN2241">
        <v>0.99999998140412605</v>
      </c>
    </row>
    <row r="2242" spans="1:40" x14ac:dyDescent="0.25">
      <c r="A2242" t="str">
        <f>"20190312153931627"</f>
        <v>20190312153931627</v>
      </c>
      <c r="B2242" t="str">
        <f>"1552376371617735"</f>
        <v>1552376371617735</v>
      </c>
      <c r="C2242" t="s">
        <v>40</v>
      </c>
      <c r="D2242">
        <v>4.3055139999999996</v>
      </c>
      <c r="E2242">
        <v>0.50984370000000001</v>
      </c>
      <c r="F2242" t="s">
        <v>61</v>
      </c>
      <c r="G2242">
        <v>-262.96699999999998</v>
      </c>
      <c r="H2242" s="1">
        <v>4.2102399999999997E-8</v>
      </c>
      <c r="I2242">
        <v>285.0942</v>
      </c>
      <c r="J2242">
        <v>-210.8501</v>
      </c>
      <c r="K2242">
        <v>1.1104860000000001</v>
      </c>
      <c r="L2242">
        <v>285.15129999999999</v>
      </c>
      <c r="M2242">
        <v>-0.99547459999999999</v>
      </c>
      <c r="N2242">
        <v>0</v>
      </c>
      <c r="O2242">
        <v>-9.4050640000000005E-2</v>
      </c>
      <c r="P2242">
        <v>-0.99940309999999999</v>
      </c>
      <c r="Q2242">
        <v>1.8147489999999999E-2</v>
      </c>
      <c r="R2242">
        <v>-2.9401139999999999E-2</v>
      </c>
      <c r="S2242">
        <v>-3.0024410000000001</v>
      </c>
      <c r="T2242">
        <v>-6.3809039999999997E-2</v>
      </c>
      <c r="U2242">
        <v>-3.90625E-3</v>
      </c>
      <c r="V2242">
        <v>6.4726069999999997E-2</v>
      </c>
      <c r="W2242">
        <v>3.1727539999999999E-2</v>
      </c>
      <c r="X2242">
        <v>0.99739860000000002</v>
      </c>
      <c r="Y2242">
        <v>9.2721860000000003E-2</v>
      </c>
      <c r="Z2242">
        <v>2.9816759999999999E-3</v>
      </c>
      <c r="AA2242">
        <v>0.99568760000000001</v>
      </c>
      <c r="AB2242">
        <v>13</v>
      </c>
      <c r="AC2242">
        <v>-52.116900000000001</v>
      </c>
      <c r="AD2242">
        <v>-1.1104859578976001</v>
      </c>
      <c r="AE2242">
        <v>-5.7099999999991199E-2</v>
      </c>
      <c r="AF2242">
        <v>4.8430351134719203</v>
      </c>
      <c r="AG2242">
        <v>-1.1104859578976001</v>
      </c>
      <c r="AH2242">
        <v>51.867666781982599</v>
      </c>
      <c r="AI2242">
        <v>91.221204023665805</v>
      </c>
      <c r="AJ2242">
        <v>84.665592989528193</v>
      </c>
      <c r="AK2242">
        <v>52.105115157533199</v>
      </c>
      <c r="AL2242">
        <v>88.181840800985896</v>
      </c>
      <c r="AM2242">
        <v>86.287003228774196</v>
      </c>
      <c r="AN2242">
        <v>1.0000000341070201</v>
      </c>
    </row>
    <row r="2243" spans="1:40" x14ac:dyDescent="0.25">
      <c r="A2243" t="str">
        <f>"20190312153931649"</f>
        <v>20190312153931649</v>
      </c>
      <c r="B2243" t="str">
        <f>"1552376371638229"</f>
        <v>1552376371638229</v>
      </c>
      <c r="C2243" t="s">
        <v>40</v>
      </c>
      <c r="D2243">
        <v>4.2813470000000002</v>
      </c>
      <c r="E2243">
        <v>0.50937600000000005</v>
      </c>
      <c r="F2243" t="s">
        <v>61</v>
      </c>
      <c r="G2243">
        <v>-269.57190000000003</v>
      </c>
      <c r="H2243" s="1">
        <v>3.5569199999999902E-6</v>
      </c>
      <c r="I2243">
        <v>284.91079999999999</v>
      </c>
      <c r="J2243">
        <v>-210.9794</v>
      </c>
      <c r="K2243">
        <v>1.1105929999999999</v>
      </c>
      <c r="L2243">
        <v>285.14030000000002</v>
      </c>
      <c r="M2243">
        <v>-0.99556929999999999</v>
      </c>
      <c r="N2243">
        <v>0</v>
      </c>
      <c r="O2243">
        <v>-9.3044059999999998E-2</v>
      </c>
      <c r="P2243">
        <v>-0.99934650000000003</v>
      </c>
      <c r="Q2243">
        <v>2.0100409999999999E-2</v>
      </c>
      <c r="R2243">
        <v>-3.0047290000000001E-2</v>
      </c>
      <c r="S2243">
        <v>-3.0024570000000002</v>
      </c>
      <c r="T2243">
        <v>-5.677915E-2</v>
      </c>
      <c r="U2243">
        <v>-1.229858E-2</v>
      </c>
      <c r="V2243">
        <v>6.3059989999999996E-2</v>
      </c>
      <c r="W2243">
        <v>3.3686290000000001E-2</v>
      </c>
      <c r="X2243">
        <v>0.99744109999999997</v>
      </c>
      <c r="Y2243">
        <v>8.8940999999999895E-2</v>
      </c>
      <c r="Z2243">
        <v>2.5984459999999999E-3</v>
      </c>
      <c r="AA2243">
        <v>0.99603350000000002</v>
      </c>
      <c r="AB2243">
        <v>13</v>
      </c>
      <c r="AC2243">
        <v>-58.592500000000001</v>
      </c>
      <c r="AD2243">
        <v>-1.1105894430799901</v>
      </c>
      <c r="AE2243">
        <v>-0.22950000000002899</v>
      </c>
      <c r="AF2243">
        <v>5.2218070069605496</v>
      </c>
      <c r="AG2243">
        <v>-1.1105894430799901</v>
      </c>
      <c r="AH2243">
        <v>58.338674727746302</v>
      </c>
      <c r="AI2243">
        <v>91.086262467541005</v>
      </c>
      <c r="AJ2243">
        <v>84.885171524274796</v>
      </c>
      <c r="AK2243">
        <v>58.582434622664898</v>
      </c>
      <c r="AL2243">
        <v>88.069552610835601</v>
      </c>
      <c r="AM2243">
        <v>86.3824741239481</v>
      </c>
      <c r="AN2243">
        <v>1.0000000382209799</v>
      </c>
    </row>
    <row r="2244" spans="1:40" x14ac:dyDescent="0.25">
      <c r="A2244" t="str">
        <f>"20190312153931662"</f>
        <v>20190312153931662</v>
      </c>
      <c r="B2244" t="str">
        <f>"1552376371658258"</f>
        <v>1552376371658258</v>
      </c>
      <c r="C2244" t="s">
        <v>40</v>
      </c>
      <c r="D2244">
        <v>4.2451739999999996</v>
      </c>
      <c r="E2244">
        <v>0.50896079999999999</v>
      </c>
      <c r="F2244" t="s">
        <v>61</v>
      </c>
      <c r="G2244">
        <v>-276.33699999999999</v>
      </c>
      <c r="H2244" s="1">
        <v>1.8297039999999999E-6</v>
      </c>
      <c r="I2244">
        <v>284.74770000000001</v>
      </c>
      <c r="J2244">
        <v>-211.05770000000001</v>
      </c>
      <c r="K2244">
        <v>1.110644</v>
      </c>
      <c r="L2244">
        <v>285.1336</v>
      </c>
      <c r="M2244">
        <v>-0.99561540000000004</v>
      </c>
      <c r="N2244">
        <v>0</v>
      </c>
      <c r="O2244">
        <v>-9.2550610000000005E-2</v>
      </c>
      <c r="P2244">
        <v>-0.99932860000000001</v>
      </c>
      <c r="Q2244">
        <v>2.1054E-2</v>
      </c>
      <c r="R2244">
        <v>-2.999249E-2</v>
      </c>
      <c r="S2244">
        <v>-3.0024570000000002</v>
      </c>
      <c r="T2244">
        <v>-5.1019309999999998E-2</v>
      </c>
      <c r="U2244">
        <v>-1.8035889999999999E-2</v>
      </c>
      <c r="V2244">
        <v>6.2613450000000001E-2</v>
      </c>
      <c r="W2244">
        <v>3.4643689999999998E-2</v>
      </c>
      <c r="X2244">
        <v>0.9974364</v>
      </c>
      <c r="Y2244">
        <v>8.6550509999999997E-2</v>
      </c>
      <c r="Z2244">
        <v>2.306181E-3</v>
      </c>
      <c r="AA2244">
        <v>0.99624480000000004</v>
      </c>
      <c r="AB2244">
        <v>13</v>
      </c>
      <c r="AC2244">
        <v>-65.279299999999907</v>
      </c>
      <c r="AD2244">
        <v>-1.1106421702960001</v>
      </c>
      <c r="AE2244">
        <v>-0.38589999999999203</v>
      </c>
      <c r="AF2244">
        <v>5.6563153733173896</v>
      </c>
      <c r="AG2244">
        <v>-1.1106421702960001</v>
      </c>
      <c r="AH2244">
        <v>65.015967595483801</v>
      </c>
      <c r="AI2244">
        <v>90.974983988117998</v>
      </c>
      <c r="AJ2244">
        <v>85.027851410172602</v>
      </c>
      <c r="AK2244">
        <v>65.271000237547099</v>
      </c>
      <c r="AL2244">
        <v>88.014665514328499</v>
      </c>
      <c r="AM2244">
        <v>86.408006338909402</v>
      </c>
      <c r="AN2244">
        <v>1.0000000007113301</v>
      </c>
    </row>
    <row r="2245" spans="1:40" x14ac:dyDescent="0.25">
      <c r="A2245" t="str">
        <f>"20190312153931681"</f>
        <v>20190312153931681</v>
      </c>
      <c r="B2245" t="str">
        <f>"1552376371668017"</f>
        <v>1552376371668017</v>
      </c>
      <c r="C2245" t="s">
        <v>40</v>
      </c>
      <c r="D2245">
        <v>4.2346719999999998</v>
      </c>
      <c r="E2245">
        <v>0.50879920000000001</v>
      </c>
      <c r="F2245" t="s">
        <v>62</v>
      </c>
      <c r="G2245">
        <v>-280.11709999999999</v>
      </c>
      <c r="H2245" s="1">
        <v>8.3427870000000003E-6</v>
      </c>
      <c r="I2245">
        <v>284.65269999999998</v>
      </c>
      <c r="J2245">
        <v>-211.16929999999999</v>
      </c>
      <c r="K2245">
        <v>1.110716</v>
      </c>
      <c r="L2245">
        <v>285.12389999999999</v>
      </c>
      <c r="M2245">
        <v>-0.99566589999999999</v>
      </c>
      <c r="N2245">
        <v>0</v>
      </c>
      <c r="O2245">
        <v>-9.2006180000000007E-2</v>
      </c>
      <c r="P2245">
        <v>-0.99928660000000002</v>
      </c>
      <c r="Q2245">
        <v>2.2415359999999999E-2</v>
      </c>
      <c r="R2245">
        <v>-3.0401350000000001E-2</v>
      </c>
      <c r="S2245">
        <v>-3.0024259999999998</v>
      </c>
      <c r="T2245">
        <v>-4.8285960000000003E-2</v>
      </c>
      <c r="U2245">
        <v>-2.0904539999999999E-2</v>
      </c>
      <c r="V2245">
        <v>6.1650480000000001E-2</v>
      </c>
      <c r="W2245">
        <v>3.6007549999999999E-2</v>
      </c>
      <c r="X2245">
        <v>0.99744809999999995</v>
      </c>
      <c r="Y2245">
        <v>8.5056709999999994E-2</v>
      </c>
      <c r="Z2245">
        <v>2.1619059999999999E-3</v>
      </c>
      <c r="AA2245">
        <v>0.99637379999999998</v>
      </c>
      <c r="AB2245">
        <v>13</v>
      </c>
      <c r="AC2245">
        <v>-68.947800000000001</v>
      </c>
      <c r="AD2245">
        <v>-1.1107076572129999</v>
      </c>
      <c r="AE2245">
        <v>-0.47120000000001</v>
      </c>
      <c r="AF2245">
        <v>5.8734830962075897</v>
      </c>
      <c r="AG2245">
        <v>-1.1107076572129999</v>
      </c>
      <c r="AH2245">
        <v>68.680834063677395</v>
      </c>
      <c r="AI2245">
        <v>90.923138675914501</v>
      </c>
      <c r="AJ2245">
        <v>85.112042627927295</v>
      </c>
      <c r="AK2245">
        <v>68.940470283162497</v>
      </c>
      <c r="AL2245">
        <v>87.936473320475599</v>
      </c>
      <c r="AM2245">
        <v>86.4631498316011</v>
      </c>
      <c r="AN2245">
        <v>1.0000000187674201</v>
      </c>
    </row>
    <row r="2246" spans="1:40" x14ac:dyDescent="0.25">
      <c r="A2246" t="str">
        <f>"20190312153931695"</f>
        <v>20190312153931695</v>
      </c>
      <c r="B2246" t="str">
        <f>"1552376371688514"</f>
        <v>1552376371688514</v>
      </c>
      <c r="C2246" t="s">
        <v>40</v>
      </c>
      <c r="D2246">
        <v>4.2222179999999998</v>
      </c>
      <c r="E2246">
        <v>0.50842520000000002</v>
      </c>
      <c r="F2246" t="s">
        <v>62</v>
      </c>
      <c r="G2246">
        <v>-286.38830000000002</v>
      </c>
      <c r="H2246" s="1">
        <v>5.58671399999999E-6</v>
      </c>
      <c r="I2246">
        <v>284.53210000000001</v>
      </c>
      <c r="J2246">
        <v>-211.25710000000001</v>
      </c>
      <c r="K2246">
        <v>1.1107560000000001</v>
      </c>
      <c r="L2246">
        <v>285.11619999999999</v>
      </c>
      <c r="M2246">
        <v>-0.9956952</v>
      </c>
      <c r="N2246">
        <v>0</v>
      </c>
      <c r="O2246">
        <v>-9.1688889999999995E-2</v>
      </c>
      <c r="P2246">
        <v>-0.99926610000000005</v>
      </c>
      <c r="Q2246">
        <v>2.303678E-2</v>
      </c>
      <c r="R2246">
        <v>-3.0607289999999999E-2</v>
      </c>
      <c r="S2246">
        <v>-3.0024259999999998</v>
      </c>
      <c r="T2246">
        <v>-4.4334890000000002E-2</v>
      </c>
      <c r="U2246">
        <v>-2.362061E-2</v>
      </c>
      <c r="V2246">
        <v>6.1121740000000001E-2</v>
      </c>
      <c r="W2246">
        <v>3.6631320000000002E-2</v>
      </c>
      <c r="X2246">
        <v>0.99745790000000001</v>
      </c>
      <c r="Y2246">
        <v>8.3841609999999997E-2</v>
      </c>
      <c r="Z2246">
        <v>1.9713640000000002E-3</v>
      </c>
      <c r="AA2246">
        <v>0.9964771</v>
      </c>
      <c r="AB2246">
        <v>13</v>
      </c>
      <c r="AC2246">
        <v>-75.131200000000007</v>
      </c>
      <c r="AD2246">
        <v>-1.11075041328599</v>
      </c>
      <c r="AE2246">
        <v>-0.58409999999997797</v>
      </c>
      <c r="AF2246">
        <v>6.3063134889159196</v>
      </c>
      <c r="AG2246">
        <v>-1.11075041328599</v>
      </c>
      <c r="AH2246">
        <v>74.851867526335099</v>
      </c>
      <c r="AI2246">
        <v>90.847166792647499</v>
      </c>
      <c r="AJ2246">
        <v>85.184170187230606</v>
      </c>
      <c r="AK2246">
        <v>75.125264914548694</v>
      </c>
      <c r="AL2246">
        <v>87.900710279603103</v>
      </c>
      <c r="AM2246">
        <v>86.493441672068002</v>
      </c>
      <c r="AN2246">
        <v>0.99999999148898999</v>
      </c>
    </row>
    <row r="2247" spans="1:40" x14ac:dyDescent="0.25">
      <c r="A2247" t="str">
        <f>"20190312153931714"</f>
        <v>20190312153931714</v>
      </c>
      <c r="B2247" t="str">
        <f>"1552376371708034"</f>
        <v>1552376371708034</v>
      </c>
      <c r="C2247" t="s">
        <v>40</v>
      </c>
      <c r="D2247">
        <v>4.1908729999999998</v>
      </c>
      <c r="E2247">
        <v>0.50818160000000001</v>
      </c>
      <c r="F2247" t="s">
        <v>62</v>
      </c>
      <c r="G2247">
        <v>-288.25470000000001</v>
      </c>
      <c r="H2247" s="1">
        <v>4.7827549999999996E-6</v>
      </c>
      <c r="I2247">
        <v>284.41730000000001</v>
      </c>
      <c r="J2247">
        <v>-211.36539999999999</v>
      </c>
      <c r="K2247">
        <v>1.1107860000000001</v>
      </c>
      <c r="L2247">
        <v>285.10649999999998</v>
      </c>
      <c r="M2247">
        <v>-0.99571920000000003</v>
      </c>
      <c r="N2247">
        <v>0</v>
      </c>
      <c r="O2247">
        <v>-9.1429960000000005E-2</v>
      </c>
      <c r="P2247">
        <v>-0.99919709999999995</v>
      </c>
      <c r="Q2247">
        <v>2.4333819999999999E-2</v>
      </c>
      <c r="R2247">
        <v>-3.182625E-2</v>
      </c>
      <c r="S2247">
        <v>-3.00238</v>
      </c>
      <c r="T2247">
        <v>-4.3311719999999998E-2</v>
      </c>
      <c r="U2247">
        <v>-2.7252200000000001E-2</v>
      </c>
      <c r="V2247">
        <v>5.9638120000000003E-2</v>
      </c>
      <c r="W2247">
        <v>3.7927889999999999E-2</v>
      </c>
      <c r="X2247">
        <v>0.99749929999999998</v>
      </c>
      <c r="Y2247">
        <v>8.2378080000000006E-2</v>
      </c>
      <c r="Z2247">
        <v>1.9115950000000001E-3</v>
      </c>
      <c r="AA2247">
        <v>0.99659929999999997</v>
      </c>
      <c r="AB2247">
        <v>13</v>
      </c>
      <c r="AC2247">
        <v>-76.889300000000006</v>
      </c>
      <c r="AD2247">
        <v>-1.110781217245</v>
      </c>
      <c r="AE2247">
        <v>-0.68919999999997095</v>
      </c>
      <c r="AF2247">
        <v>6.3429954531079202</v>
      </c>
      <c r="AG2247">
        <v>-1.110781217245</v>
      </c>
      <c r="AH2247">
        <v>76.614221670775606</v>
      </c>
      <c r="AI2247">
        <v>90.827805309838297</v>
      </c>
      <c r="AJ2247">
        <v>85.267198431684506</v>
      </c>
      <c r="AK2247">
        <v>76.884370248116596</v>
      </c>
      <c r="AL2247">
        <v>87.826370718966999</v>
      </c>
      <c r="AM2247">
        <v>86.578493995655606</v>
      </c>
      <c r="AN2247">
        <v>1.00000004184873</v>
      </c>
    </row>
    <row r="2248" spans="1:40" x14ac:dyDescent="0.25">
      <c r="A2248" t="str">
        <f>"20190312153931738"</f>
        <v>20190312153931738</v>
      </c>
      <c r="B2248" t="str">
        <f>"1552376371727553"</f>
        <v>1552376371727553</v>
      </c>
      <c r="C2248" t="s">
        <v>40</v>
      </c>
      <c r="D2248">
        <v>4.2182979999999999</v>
      </c>
      <c r="E2248">
        <v>0.50792769999999998</v>
      </c>
      <c r="F2248" t="s">
        <v>62</v>
      </c>
      <c r="G2248">
        <v>-294.55720000000002</v>
      </c>
      <c r="H2248" s="1">
        <v>3.050515E-6</v>
      </c>
      <c r="I2248">
        <v>284.2</v>
      </c>
      <c r="J2248">
        <v>-211.50319999999999</v>
      </c>
      <c r="K2248">
        <v>1.1108089999999999</v>
      </c>
      <c r="L2248">
        <v>285.09399999999999</v>
      </c>
      <c r="M2248">
        <v>-0.99573489999999998</v>
      </c>
      <c r="N2248">
        <v>0</v>
      </c>
      <c r="O2248">
        <v>-9.1259460000000001E-2</v>
      </c>
      <c r="P2248">
        <v>-0.99913600000000002</v>
      </c>
      <c r="Q2248">
        <v>2.5425440000000001E-2</v>
      </c>
      <c r="R2248">
        <v>-3.2882109999999999E-2</v>
      </c>
      <c r="S2248">
        <v>-3.0023499999999999</v>
      </c>
      <c r="T2248">
        <v>-4.0087579999999998E-2</v>
      </c>
      <c r="U2248">
        <v>-3.2714840000000002E-2</v>
      </c>
      <c r="V2248">
        <v>5.8407800000000003E-2</v>
      </c>
      <c r="W2248">
        <v>3.9017610000000001E-2</v>
      </c>
      <c r="X2248">
        <v>0.99753000000000003</v>
      </c>
      <c r="Y2248">
        <v>8.0396850000000006E-2</v>
      </c>
      <c r="Z2248">
        <v>1.753791E-3</v>
      </c>
      <c r="AA2248">
        <v>0.99676140000000002</v>
      </c>
      <c r="AB2248">
        <v>13</v>
      </c>
      <c r="AC2248">
        <v>-83.054000000000002</v>
      </c>
      <c r="AD2248">
        <v>-1.110805949485</v>
      </c>
      <c r="AE2248">
        <v>-0.89400000000000501</v>
      </c>
      <c r="AF2248">
        <v>6.6886944342952104</v>
      </c>
      <c r="AG2248">
        <v>-1.110805949485</v>
      </c>
      <c r="AH2248">
        <v>82.774152976397005</v>
      </c>
      <c r="AI2248">
        <v>90.766349516481995</v>
      </c>
      <c r="AJ2248">
        <v>85.380163174649596</v>
      </c>
      <c r="AK2248">
        <v>83.0513872494178</v>
      </c>
      <c r="AL2248">
        <v>87.763887948447305</v>
      </c>
      <c r="AM2248">
        <v>86.649019187465896</v>
      </c>
      <c r="AN2248">
        <v>0.99999997294547505</v>
      </c>
    </row>
    <row r="2249" spans="1:40" x14ac:dyDescent="0.25">
      <c r="A2249" t="str">
        <f>"20190312153931750"</f>
        <v>20190312153931750</v>
      </c>
      <c r="B2249" t="str">
        <f>"1552376371738289"</f>
        <v>1552376371738289</v>
      </c>
      <c r="C2249" t="s">
        <v>40</v>
      </c>
      <c r="D2249">
        <v>4.1644300000000003</v>
      </c>
      <c r="E2249">
        <v>0.50782689999999997</v>
      </c>
      <c r="F2249" t="s">
        <v>62</v>
      </c>
      <c r="G2249">
        <v>-298.1968</v>
      </c>
      <c r="H2249" s="1">
        <v>3.7135749999999998E-6</v>
      </c>
      <c r="I2249">
        <v>284.00049999999999</v>
      </c>
      <c r="J2249">
        <v>-211.5788</v>
      </c>
      <c r="K2249">
        <v>1.1108119999999999</v>
      </c>
      <c r="L2249">
        <v>285.08710000000002</v>
      </c>
      <c r="M2249">
        <v>-0.99573579999999995</v>
      </c>
      <c r="N2249">
        <v>0</v>
      </c>
      <c r="O2249">
        <v>-9.1248889999999999E-2</v>
      </c>
      <c r="P2249">
        <v>-0.99911519999999998</v>
      </c>
      <c r="Q2249">
        <v>2.5759580000000001E-2</v>
      </c>
      <c r="R2249">
        <v>-3.3248149999999997E-2</v>
      </c>
      <c r="S2249">
        <v>-3.002319</v>
      </c>
      <c r="T2249">
        <v>-3.8468719999999998E-2</v>
      </c>
      <c r="U2249">
        <v>-3.7872309999999999E-2</v>
      </c>
      <c r="V2249">
        <v>5.8030070000000003E-2</v>
      </c>
      <c r="W2249">
        <v>3.935019E-2</v>
      </c>
      <c r="X2249">
        <v>0.99753899999999995</v>
      </c>
      <c r="Y2249">
        <v>7.8675369999999994E-2</v>
      </c>
      <c r="Z2249">
        <v>1.6717870000000001E-3</v>
      </c>
      <c r="AA2249">
        <v>0.99689890000000003</v>
      </c>
      <c r="AB2249">
        <v>13</v>
      </c>
      <c r="AC2249">
        <v>-86.617999999999995</v>
      </c>
      <c r="AD2249">
        <v>-1.110808286425</v>
      </c>
      <c r="AE2249">
        <v>-1.08660000000003</v>
      </c>
      <c r="AF2249">
        <v>6.8213353751781902</v>
      </c>
      <c r="AG2249">
        <v>-1.110808286425</v>
      </c>
      <c r="AH2249">
        <v>86.341535923987195</v>
      </c>
      <c r="AI2249">
        <v>90.734796397517201</v>
      </c>
      <c r="AJ2249">
        <v>85.482781185753595</v>
      </c>
      <c r="AK2249">
        <v>86.617696442834401</v>
      </c>
      <c r="AL2249">
        <v>87.744817913843804</v>
      </c>
      <c r="AM2249">
        <v>86.670671430641605</v>
      </c>
      <c r="AN2249">
        <v>0.99999999149912</v>
      </c>
    </row>
    <row r="2250" spans="1:40" x14ac:dyDescent="0.25">
      <c r="A2250" t="str">
        <f>"20190312153931770"</f>
        <v>20190312153931770</v>
      </c>
      <c r="B2250" t="str">
        <f>"1552376371767569"</f>
        <v>1552376371767569</v>
      </c>
      <c r="C2250" t="s">
        <v>40</v>
      </c>
      <c r="D2250">
        <v>4.2124220000000001</v>
      </c>
      <c r="E2250">
        <v>0.50735589999999997</v>
      </c>
      <c r="F2250" t="s">
        <v>62</v>
      </c>
      <c r="G2250">
        <v>-299.06939999999997</v>
      </c>
      <c r="H2250" s="1">
        <v>3.8749669999999999E-6</v>
      </c>
      <c r="I2250">
        <v>283.9248</v>
      </c>
      <c r="J2250">
        <v>-211.69470000000001</v>
      </c>
      <c r="K2250">
        <v>1.1108049999999901</v>
      </c>
      <c r="L2250">
        <v>285.07639999999998</v>
      </c>
      <c r="M2250">
        <v>-0.99573299999999998</v>
      </c>
      <c r="N2250">
        <v>0</v>
      </c>
      <c r="O2250">
        <v>-9.1280390000000003E-2</v>
      </c>
      <c r="P2250">
        <v>-0.99905719999999998</v>
      </c>
      <c r="Q2250">
        <v>2.7032779999999999E-2</v>
      </c>
      <c r="R2250">
        <v>-3.397232E-2</v>
      </c>
      <c r="S2250">
        <v>-3.002335</v>
      </c>
      <c r="T2250">
        <v>-3.8118600000000002E-2</v>
      </c>
      <c r="U2250">
        <v>-3.988647E-2</v>
      </c>
      <c r="V2250">
        <v>5.7334370000000003E-2</v>
      </c>
      <c r="W2250">
        <v>4.0620419999999997E-2</v>
      </c>
      <c r="X2250">
        <v>0.99752830000000003</v>
      </c>
      <c r="Y2250">
        <v>7.8038590000000005E-2</v>
      </c>
      <c r="Z2250">
        <v>1.6529050000000001E-3</v>
      </c>
      <c r="AA2250">
        <v>0.99694899999999997</v>
      </c>
      <c r="AB2250">
        <v>13</v>
      </c>
      <c r="AC2250">
        <v>-87.374699999999905</v>
      </c>
      <c r="AD2250">
        <v>-1.1108011250330001</v>
      </c>
      <c r="AE2250">
        <v>-1.15159999999997</v>
      </c>
      <c r="AF2250">
        <v>6.8284343980724698</v>
      </c>
      <c r="AG2250">
        <v>-1.1108011250330001</v>
      </c>
      <c r="AH2250">
        <v>87.100916792400994</v>
      </c>
      <c r="AI2250">
        <v>90.728420739493799</v>
      </c>
      <c r="AJ2250">
        <v>85.517361932545995</v>
      </c>
      <c r="AK2250">
        <v>87.375231625128905</v>
      </c>
      <c r="AL2250">
        <v>87.671980810802395</v>
      </c>
      <c r="AM2250">
        <v>86.710462069861407</v>
      </c>
      <c r="AN2250">
        <v>0.99999997890258097</v>
      </c>
    </row>
    <row r="2251" spans="1:40" x14ac:dyDescent="0.25">
      <c r="A2251" t="str">
        <f>"20190312153931784"</f>
        <v>20190312153931784</v>
      </c>
      <c r="B2251" t="str">
        <f>"1552376371778304"</f>
        <v>1552376371778304</v>
      </c>
      <c r="C2251" t="s">
        <v>40</v>
      </c>
      <c r="D2251">
        <v>4.2045560000000002</v>
      </c>
      <c r="E2251">
        <v>0.50721249999999996</v>
      </c>
      <c r="F2251" t="s">
        <v>62</v>
      </c>
      <c r="G2251">
        <v>-299.85590000000002</v>
      </c>
      <c r="H2251" s="1">
        <v>4.0313209999999998E-6</v>
      </c>
      <c r="I2251">
        <v>283.73219999999998</v>
      </c>
      <c r="J2251">
        <v>-211.7704</v>
      </c>
      <c r="K2251">
        <v>1.1107940000000001</v>
      </c>
      <c r="L2251">
        <v>285.06939999999997</v>
      </c>
      <c r="M2251">
        <v>-0.99572850000000002</v>
      </c>
      <c r="N2251">
        <v>0</v>
      </c>
      <c r="O2251">
        <v>-9.1329320000000005E-2</v>
      </c>
      <c r="P2251">
        <v>-0.99904510000000002</v>
      </c>
      <c r="Q2251">
        <v>2.7270860000000001E-2</v>
      </c>
      <c r="R2251">
        <v>-3.4138090000000003E-2</v>
      </c>
      <c r="S2251">
        <v>-3.0023040000000001</v>
      </c>
      <c r="T2251">
        <v>-3.7827970000000002E-2</v>
      </c>
      <c r="U2251">
        <v>-4.5776369999999997E-2</v>
      </c>
      <c r="V2251">
        <v>5.7218070000000003E-2</v>
      </c>
      <c r="W2251">
        <v>4.0855309999999999E-2</v>
      </c>
      <c r="X2251">
        <v>0.99752540000000001</v>
      </c>
      <c r="Y2251">
        <v>7.6132259999999993E-2</v>
      </c>
      <c r="Z2251">
        <v>1.6288779999999901E-3</v>
      </c>
      <c r="AA2251">
        <v>0.99709639999999999</v>
      </c>
      <c r="AB2251">
        <v>13</v>
      </c>
      <c r="AC2251">
        <v>-88.085499999999996</v>
      </c>
      <c r="AD2251">
        <v>-1.1107899686789999</v>
      </c>
      <c r="AE2251">
        <v>-1.33719999999999</v>
      </c>
      <c r="AF2251">
        <v>6.7128501609155897</v>
      </c>
      <c r="AG2251">
        <v>-1.1107899686789999</v>
      </c>
      <c r="AH2251">
        <v>87.8254743025322</v>
      </c>
      <c r="AI2251">
        <v>90.722513789968303</v>
      </c>
      <c r="AJ2251">
        <v>85.629154281944096</v>
      </c>
      <c r="AK2251">
        <v>88.088649371540299</v>
      </c>
      <c r="AL2251">
        <v>87.658511458301206</v>
      </c>
      <c r="AM2251">
        <v>86.717110606321896</v>
      </c>
      <c r="AN2251">
        <v>0.99999999376743998</v>
      </c>
    </row>
    <row r="2252" spans="1:40" x14ac:dyDescent="0.25">
      <c r="A2252" t="str">
        <f>"20190312153931796"</f>
        <v>20190312153931796</v>
      </c>
      <c r="B2252" t="str">
        <f>"1552376371788065"</f>
        <v>1552376371788065</v>
      </c>
      <c r="C2252" t="s">
        <v>40</v>
      </c>
      <c r="D2252">
        <v>4.1884499999999996</v>
      </c>
      <c r="E2252">
        <v>0.50708959999999903</v>
      </c>
      <c r="F2252" t="s">
        <v>62</v>
      </c>
      <c r="G2252">
        <v>-298.34460000000001</v>
      </c>
      <c r="H2252" s="1">
        <v>3.7658789999999999E-6</v>
      </c>
      <c r="I2252">
        <v>283.70190000000002</v>
      </c>
      <c r="J2252">
        <v>-211.84880000000001</v>
      </c>
      <c r="K2252">
        <v>1.1107769999999999</v>
      </c>
      <c r="L2252">
        <v>285.06220000000002</v>
      </c>
      <c r="M2252">
        <v>-0.99572249999999995</v>
      </c>
      <c r="N2252">
        <v>0</v>
      </c>
      <c r="O2252">
        <v>-9.139448E-2</v>
      </c>
      <c r="P2252">
        <v>-0.99904970000000004</v>
      </c>
      <c r="Q2252">
        <v>2.685827E-2</v>
      </c>
      <c r="R2252">
        <v>-3.4331680000000003E-2</v>
      </c>
      <c r="S2252">
        <v>-3.002319</v>
      </c>
      <c r="T2252">
        <v>-3.852129E-2</v>
      </c>
      <c r="U2252">
        <v>-4.7424319999999999E-2</v>
      </c>
      <c r="V2252">
        <v>5.7092799999999999E-2</v>
      </c>
      <c r="W2252">
        <v>4.0439839999999998E-2</v>
      </c>
      <c r="X2252">
        <v>0.99754949999999998</v>
      </c>
      <c r="Y2252">
        <v>7.5649939999999999E-2</v>
      </c>
      <c r="Z2252">
        <v>1.656446E-3</v>
      </c>
      <c r="AA2252">
        <v>0.99713309999999999</v>
      </c>
      <c r="AB2252">
        <v>13</v>
      </c>
      <c r="AC2252">
        <v>-86.495800000000003</v>
      </c>
      <c r="AD2252">
        <v>-1.1107732341209999</v>
      </c>
      <c r="AE2252">
        <v>-1.3602999999999901</v>
      </c>
      <c r="AF2252">
        <v>6.5502793131085202</v>
      </c>
      <c r="AG2252">
        <v>-1.1107732341209999</v>
      </c>
      <c r="AH2252">
        <v>86.243844130672002</v>
      </c>
      <c r="AI2252">
        <v>90.735778413201501</v>
      </c>
      <c r="AJ2252">
        <v>85.656684789410093</v>
      </c>
      <c r="AK2252">
        <v>86.499367782042398</v>
      </c>
      <c r="AL2252">
        <v>87.682335809520694</v>
      </c>
      <c r="AM2252">
        <v>86.724361275867096</v>
      </c>
      <c r="AN2252">
        <v>0.99999998671065704</v>
      </c>
    </row>
    <row r="2253" spans="1:40" x14ac:dyDescent="0.25">
      <c r="A2253" t="str">
        <f>"20190312153931817"</f>
        <v>20190312153931817</v>
      </c>
      <c r="B2253" t="str">
        <f>"1552376371807585"</f>
        <v>1552376371807585</v>
      </c>
      <c r="C2253" t="s">
        <v>40</v>
      </c>
      <c r="D2253">
        <v>4.219373</v>
      </c>
      <c r="E2253">
        <v>0.50680400000000003</v>
      </c>
      <c r="F2253" t="s">
        <v>62</v>
      </c>
      <c r="G2253">
        <v>-293.14319999999998</v>
      </c>
      <c r="H2253" s="1">
        <v>2.8400669999999999E-6</v>
      </c>
      <c r="I2253">
        <v>283.73840000000001</v>
      </c>
      <c r="J2253">
        <v>-211.96170000000001</v>
      </c>
      <c r="K2253">
        <v>1.1107309999999999</v>
      </c>
      <c r="L2253">
        <v>285.05160000000001</v>
      </c>
      <c r="M2253">
        <v>-0.99571220000000005</v>
      </c>
      <c r="N2253">
        <v>0</v>
      </c>
      <c r="O2253">
        <v>-9.1505539999999996E-2</v>
      </c>
      <c r="P2253">
        <v>-0.99904289999999996</v>
      </c>
      <c r="Q2253">
        <v>2.5854220000000001E-2</v>
      </c>
      <c r="R2253">
        <v>-3.5279610000000003E-2</v>
      </c>
      <c r="S2253">
        <v>-3.0022890000000002</v>
      </c>
      <c r="T2253">
        <v>-4.1022059999999999E-2</v>
      </c>
      <c r="U2253">
        <v>-4.8889160000000001E-2</v>
      </c>
      <c r="V2253">
        <v>5.6263800000000003E-2</v>
      </c>
      <c r="W2253">
        <v>3.9429760000000001E-2</v>
      </c>
      <c r="X2253">
        <v>0.997637</v>
      </c>
      <c r="Y2253">
        <v>7.5272790000000006E-2</v>
      </c>
      <c r="Z2253">
        <v>1.7629119999999999E-3</v>
      </c>
      <c r="AA2253">
        <v>0.99716139999999998</v>
      </c>
      <c r="AB2253">
        <v>13</v>
      </c>
      <c r="AC2253">
        <v>-81.1814999999999</v>
      </c>
      <c r="AD2253">
        <v>-1.1107281599329999</v>
      </c>
      <c r="AE2253">
        <v>-1.3131999999999899</v>
      </c>
      <c r="AF2253">
        <v>6.1204053643192999</v>
      </c>
      <c r="AG2253">
        <v>-1.1107281599329999</v>
      </c>
      <c r="AH2253">
        <v>80.945872860018298</v>
      </c>
      <c r="AI2253">
        <v>90.783918115059606</v>
      </c>
      <c r="AJ2253">
        <v>85.6760314508292</v>
      </c>
      <c r="AK2253">
        <v>81.184526924402903</v>
      </c>
      <c r="AL2253">
        <v>87.740255259433795</v>
      </c>
      <c r="AM2253">
        <v>86.772105473205698</v>
      </c>
      <c r="AN2253">
        <v>0.99999995246654705</v>
      </c>
    </row>
    <row r="2254" spans="1:40" x14ac:dyDescent="0.25">
      <c r="A2254" t="str">
        <f>"20190312153931839"</f>
        <v>20190312153931839</v>
      </c>
      <c r="B2254" t="str">
        <f>"1552376371828081"</f>
        <v>1552376371828081</v>
      </c>
      <c r="C2254" t="s">
        <v>40</v>
      </c>
      <c r="D2254">
        <v>4.2234629999999997</v>
      </c>
      <c r="E2254">
        <v>0.49644440000000001</v>
      </c>
      <c r="F2254" t="s">
        <v>62</v>
      </c>
      <c r="G2254">
        <v>-285.75130000000001</v>
      </c>
      <c r="H2254" s="1">
        <v>6.0341949999999901E-6</v>
      </c>
      <c r="I2254">
        <v>283.7337</v>
      </c>
      <c r="J2254">
        <v>-212.09280000000001</v>
      </c>
      <c r="K2254">
        <v>1.1106609999999999</v>
      </c>
      <c r="L2254">
        <v>285.03930000000003</v>
      </c>
      <c r="M2254">
        <v>-0.99570049999999999</v>
      </c>
      <c r="N2254">
        <v>0</v>
      </c>
      <c r="O2254">
        <v>-9.1634839999999995E-2</v>
      </c>
      <c r="P2254">
        <v>-0.99898980000000004</v>
      </c>
      <c r="Q2254">
        <v>2.459654E-2</v>
      </c>
      <c r="R2254">
        <v>-3.7616810000000001E-2</v>
      </c>
      <c r="S2254">
        <v>-3.0021360000000001</v>
      </c>
      <c r="T2254">
        <v>-4.5189979999999998E-2</v>
      </c>
      <c r="U2254">
        <v>-5.3619380000000001E-2</v>
      </c>
      <c r="V2254">
        <v>5.4067669999999998E-2</v>
      </c>
      <c r="W2254">
        <v>3.8162809999999998E-2</v>
      </c>
      <c r="X2254">
        <v>0.99780769999999996</v>
      </c>
      <c r="Y2254">
        <v>7.3827530000000002E-2</v>
      </c>
      <c r="Z2254">
        <v>1.9331179999999999E-3</v>
      </c>
      <c r="AA2254">
        <v>0.99726919999999997</v>
      </c>
      <c r="AB2254">
        <v>13</v>
      </c>
      <c r="AC2254">
        <v>-73.658500000000004</v>
      </c>
      <c r="AD2254">
        <v>-1.110654965805</v>
      </c>
      <c r="AE2254">
        <v>-1.3056000000000201</v>
      </c>
      <c r="AF2254">
        <v>5.4489600776095903</v>
      </c>
      <c r="AG2254">
        <v>-1.110654965805</v>
      </c>
      <c r="AH2254">
        <v>73.451492698496907</v>
      </c>
      <c r="AI2254">
        <v>90.8639259042574</v>
      </c>
      <c r="AJ2254">
        <v>85.757314532049193</v>
      </c>
      <c r="AK2254">
        <v>73.661703075735304</v>
      </c>
      <c r="AL2254">
        <v>87.812900863125193</v>
      </c>
      <c r="AM2254">
        <v>86.898377624209104</v>
      </c>
      <c r="AN2254">
        <v>0.99999995959280596</v>
      </c>
    </row>
    <row r="2255" spans="1:40" x14ac:dyDescent="0.25">
      <c r="A2255" t="str">
        <f>"20190312153931860"</f>
        <v>20190312153931860</v>
      </c>
      <c r="B2255" t="str">
        <f>"1552376371847601"</f>
        <v>1552376371847601</v>
      </c>
      <c r="C2255" t="s">
        <v>40</v>
      </c>
      <c r="D2255">
        <v>4.1845980000000003</v>
      </c>
      <c r="E2255">
        <v>0.49738870000000002</v>
      </c>
      <c r="F2255" t="s">
        <v>61</v>
      </c>
      <c r="G2255">
        <v>-238.40199999999999</v>
      </c>
      <c r="H2255" s="1">
        <v>2.970878E-6</v>
      </c>
      <c r="I2255">
        <v>283.78019999999998</v>
      </c>
      <c r="J2255">
        <v>-212.21350000000001</v>
      </c>
      <c r="K2255">
        <v>1.11059</v>
      </c>
      <c r="L2255">
        <v>285.02800000000002</v>
      </c>
      <c r="M2255">
        <v>-0.99569099999999999</v>
      </c>
      <c r="N2255">
        <v>0</v>
      </c>
      <c r="O2255">
        <v>-9.1736529999999997E-2</v>
      </c>
      <c r="P2255">
        <v>-0.99891629999999998</v>
      </c>
      <c r="Q2255">
        <v>2.278753E-2</v>
      </c>
      <c r="R2255">
        <v>-4.0584139999999998E-2</v>
      </c>
      <c r="S2255">
        <v>-3.0007630000000001</v>
      </c>
      <c r="T2255">
        <v>-0.12667880000000001</v>
      </c>
      <c r="U2255">
        <v>-0.14361570000000001</v>
      </c>
      <c r="V2255">
        <v>5.1214589999999997E-2</v>
      </c>
      <c r="W2255">
        <v>3.6345410000000002E-2</v>
      </c>
      <c r="X2255">
        <v>0.99802610000000003</v>
      </c>
      <c r="Y2255">
        <v>4.3916419999999998E-2</v>
      </c>
      <c r="Z2255">
        <v>4.7889539999999998E-3</v>
      </c>
      <c r="AA2255">
        <v>0.99902369999999996</v>
      </c>
      <c r="AB2255">
        <v>13</v>
      </c>
      <c r="AC2255">
        <v>-26.188500000000001</v>
      </c>
      <c r="AD2255">
        <v>-1.1105870291219999</v>
      </c>
      <c r="AE2255">
        <v>-1.24780000000004</v>
      </c>
      <c r="AF2255">
        <v>1.1580476263805799</v>
      </c>
      <c r="AG2255">
        <v>-1.1105870291219999</v>
      </c>
      <c r="AH2255">
        <v>26.145616825540401</v>
      </c>
      <c r="AI2255">
        <v>92.429910462435998</v>
      </c>
      <c r="AJ2255">
        <v>87.463899834939696</v>
      </c>
      <c r="AK2255">
        <v>26.1948040084709</v>
      </c>
      <c r="AL2255">
        <v>87.917102670033401</v>
      </c>
      <c r="AM2255">
        <v>87.062393259765699</v>
      </c>
      <c r="AN2255">
        <v>1.00000000966907</v>
      </c>
    </row>
    <row r="2256" spans="1:40" x14ac:dyDescent="0.25">
      <c r="A2256" t="str">
        <f>"20190312153931872"</f>
        <v>20190312153931872</v>
      </c>
      <c r="B2256" t="str">
        <f>"1552376371868098"</f>
        <v>1552376371868098</v>
      </c>
      <c r="C2256" t="s">
        <v>40</v>
      </c>
      <c r="D2256">
        <v>4.1989080000000003</v>
      </c>
      <c r="E2256">
        <v>0.4978108</v>
      </c>
      <c r="F2256" t="s">
        <v>61</v>
      </c>
      <c r="G2256">
        <v>-237.02619999999999</v>
      </c>
      <c r="H2256" s="1">
        <v>2.2364249999999999E-6</v>
      </c>
      <c r="I2256">
        <v>283.83409999999998</v>
      </c>
      <c r="J2256">
        <v>-212.28870000000001</v>
      </c>
      <c r="K2256">
        <v>1.11054599999999</v>
      </c>
      <c r="L2256">
        <v>285.02100000000002</v>
      </c>
      <c r="M2256">
        <v>-0.99568650000000003</v>
      </c>
      <c r="N2256">
        <v>0</v>
      </c>
      <c r="O2256">
        <v>-9.1786039999999999E-2</v>
      </c>
      <c r="P2256">
        <v>-0.99888829999999995</v>
      </c>
      <c r="Q2256">
        <v>2.125461E-2</v>
      </c>
      <c r="R2256">
        <v>-4.2078119999999997E-2</v>
      </c>
      <c r="S2256">
        <v>-3.0004430000000002</v>
      </c>
      <c r="T2256">
        <v>-0.1342961</v>
      </c>
      <c r="U2256">
        <v>-0.1443787</v>
      </c>
      <c r="V2256">
        <v>4.9777910000000002E-2</v>
      </c>
      <c r="W2256">
        <v>3.4807629999999999E-2</v>
      </c>
      <c r="X2256">
        <v>0.99815359999999997</v>
      </c>
      <c r="Y2256">
        <v>4.369282E-2</v>
      </c>
      <c r="Z2256">
        <v>5.0743400000000001E-3</v>
      </c>
      <c r="AA2256">
        <v>0.99903209999999998</v>
      </c>
      <c r="AB2256">
        <v>13</v>
      </c>
      <c r="AC2256">
        <v>-24.737499999999901</v>
      </c>
      <c r="AD2256">
        <v>-1.11054376357499</v>
      </c>
      <c r="AE2256">
        <v>-1.1868999999999801</v>
      </c>
      <c r="AF2256">
        <v>1.08669180377048</v>
      </c>
      <c r="AG2256">
        <v>-1.11054376357499</v>
      </c>
      <c r="AH2256">
        <v>24.692358001152002</v>
      </c>
      <c r="AI2256">
        <v>92.572666989022395</v>
      </c>
      <c r="AJ2256">
        <v>87.480082563685301</v>
      </c>
      <c r="AK2256">
        <v>24.741195407341401</v>
      </c>
      <c r="AL2256">
        <v>88.005266794844104</v>
      </c>
      <c r="AM2256">
        <v>87.145025273091605</v>
      </c>
      <c r="AN2256">
        <v>1.00000001031157</v>
      </c>
    </row>
    <row r="2257" spans="1:40" x14ac:dyDescent="0.25">
      <c r="A2257" t="str">
        <f>"20190312153931893"</f>
        <v>20190312153931893</v>
      </c>
      <c r="B2257" t="str">
        <f>"1552376371887617"</f>
        <v>1552376371887617</v>
      </c>
      <c r="C2257" t="s">
        <v>40</v>
      </c>
      <c r="D2257">
        <v>4.1777810000000004</v>
      </c>
      <c r="E2257">
        <v>0.49794660000000002</v>
      </c>
      <c r="F2257" t="s">
        <v>61</v>
      </c>
      <c r="G2257">
        <v>-237.61199999999999</v>
      </c>
      <c r="H2257" s="1">
        <v>2.549863E-6</v>
      </c>
      <c r="I2257">
        <v>283.79509999999999</v>
      </c>
      <c r="J2257">
        <v>-212.40350000000001</v>
      </c>
      <c r="K2257">
        <v>1.1104670000000001</v>
      </c>
      <c r="L2257">
        <v>285.01029999999997</v>
      </c>
      <c r="M2257">
        <v>-0.99568250000000003</v>
      </c>
      <c r="N2257">
        <v>0</v>
      </c>
      <c r="O2257">
        <v>-9.1830809999999999E-2</v>
      </c>
      <c r="P2257">
        <v>-0.99880959999999996</v>
      </c>
      <c r="Q2257">
        <v>1.8012239999999999E-2</v>
      </c>
      <c r="R2257">
        <v>-4.5336109999999999E-2</v>
      </c>
      <c r="S2257">
        <v>-3.0000149999999999</v>
      </c>
      <c r="T2257">
        <v>-0.13156399999999999</v>
      </c>
      <c r="U2257">
        <v>-0.14523320000000001</v>
      </c>
      <c r="V2257">
        <v>4.6577239999999999E-2</v>
      </c>
      <c r="W2257">
        <v>3.1558820000000001E-2</v>
      </c>
      <c r="X2257">
        <v>0.99841610000000003</v>
      </c>
      <c r="Y2257">
        <v>4.3452589999999999E-2</v>
      </c>
      <c r="Z2257">
        <v>4.9685600000000003E-3</v>
      </c>
      <c r="AA2257">
        <v>0.99904309999999996</v>
      </c>
      <c r="AB2257">
        <v>13</v>
      </c>
      <c r="AC2257">
        <v>-25.208499999999901</v>
      </c>
      <c r="AD2257">
        <v>-1.110464450137</v>
      </c>
      <c r="AE2257">
        <v>-1.2151999999999801</v>
      </c>
      <c r="AF2257">
        <v>1.10292969172056</v>
      </c>
      <c r="AG2257">
        <v>-1.110464450137</v>
      </c>
      <c r="AH2257">
        <v>25.164848706281202</v>
      </c>
      <c r="AI2257">
        <v>92.524266087794203</v>
      </c>
      <c r="AJ2257">
        <v>87.490435928411202</v>
      </c>
      <c r="AK2257">
        <v>25.213472502016</v>
      </c>
      <c r="AL2257">
        <v>88.191512623150103</v>
      </c>
      <c r="AM2257">
        <v>87.329023616880406</v>
      </c>
      <c r="AN2257">
        <v>1.0000000535725</v>
      </c>
    </row>
    <row r="2258" spans="1:40" x14ac:dyDescent="0.25">
      <c r="A2258" t="str">
        <f>"20190312153931906"</f>
        <v>20190312153931906</v>
      </c>
      <c r="B2258" t="str">
        <f>"1552376371898353"</f>
        <v>1552376371898353</v>
      </c>
      <c r="C2258" t="s">
        <v>40</v>
      </c>
      <c r="D2258">
        <v>4.165483</v>
      </c>
      <c r="E2258">
        <v>0.4980735</v>
      </c>
      <c r="F2258" t="s">
        <v>61</v>
      </c>
      <c r="G2258">
        <v>-238.02610000000001</v>
      </c>
      <c r="H2258" s="1">
        <v>2.7744660000000002E-6</v>
      </c>
      <c r="I2258">
        <v>283.69740000000002</v>
      </c>
      <c r="J2258">
        <v>-212.4795</v>
      </c>
      <c r="K2258">
        <v>1.110422</v>
      </c>
      <c r="L2258">
        <v>285.00330000000002</v>
      </c>
      <c r="M2258">
        <v>-0.99568270000000003</v>
      </c>
      <c r="N2258">
        <v>0</v>
      </c>
      <c r="O2258">
        <v>-9.1827880000000001E-2</v>
      </c>
      <c r="P2258">
        <v>-0.99876989999999999</v>
      </c>
      <c r="Q2258">
        <v>1.6137039999999998E-2</v>
      </c>
      <c r="R2258">
        <v>-4.6886730000000001E-2</v>
      </c>
      <c r="S2258">
        <v>-2.9989319999999999</v>
      </c>
      <c r="T2258">
        <v>-0.12997159999999999</v>
      </c>
      <c r="U2258">
        <v>-0.15365599999999999</v>
      </c>
      <c r="V2258">
        <v>4.5029819999999998E-2</v>
      </c>
      <c r="W2258">
        <v>2.967858E-2</v>
      </c>
      <c r="X2258">
        <v>0.99854469999999995</v>
      </c>
      <c r="Y2258">
        <v>4.0638769999999998E-2</v>
      </c>
      <c r="Z2258">
        <v>4.8487469999999996E-3</v>
      </c>
      <c r="AA2258">
        <v>0.99916210000000005</v>
      </c>
      <c r="AB2258">
        <v>13</v>
      </c>
      <c r="AC2258">
        <v>-25.546600000000002</v>
      </c>
      <c r="AD2258">
        <v>-1.110419225534</v>
      </c>
      <c r="AE2258">
        <v>-1.3059000000000001</v>
      </c>
      <c r="AF2258">
        <v>1.0437572220374001</v>
      </c>
      <c r="AG2258">
        <v>-1.110419225534</v>
      </c>
      <c r="AH2258">
        <v>25.510499968369501</v>
      </c>
      <c r="AI2258">
        <v>92.490312387299298</v>
      </c>
      <c r="AJ2258">
        <v>87.6570609446307</v>
      </c>
      <c r="AK2258">
        <v>25.5559791170515</v>
      </c>
      <c r="AL2258">
        <v>88.299292910390704</v>
      </c>
      <c r="AM2258">
        <v>87.417970511497401</v>
      </c>
      <c r="AN2258">
        <v>1.0000000103490601</v>
      </c>
    </row>
    <row r="2259" spans="1:40" x14ac:dyDescent="0.25">
      <c r="A2259" t="str">
        <f>"20190312153931918"</f>
        <v>20190312153931918</v>
      </c>
      <c r="B2259" t="str">
        <f>"1552376371908113"</f>
        <v>1552376371908113</v>
      </c>
      <c r="C2259" t="s">
        <v>40</v>
      </c>
      <c r="D2259">
        <v>4.1492610000000001</v>
      </c>
      <c r="E2259">
        <v>0.49811070000000002</v>
      </c>
      <c r="F2259" t="s">
        <v>61</v>
      </c>
      <c r="G2259">
        <v>-237.75649999999999</v>
      </c>
      <c r="H2259" s="1">
        <v>2.6318459999999999E-6</v>
      </c>
      <c r="I2259">
        <v>283.67860000000002</v>
      </c>
      <c r="J2259">
        <v>-212.55109999999999</v>
      </c>
      <c r="K2259">
        <v>1.1103780000000001</v>
      </c>
      <c r="L2259">
        <v>284.9966</v>
      </c>
      <c r="M2259">
        <v>-0.99568460000000003</v>
      </c>
      <c r="N2259">
        <v>0</v>
      </c>
      <c r="O2259">
        <v>-9.1808059999999997E-2</v>
      </c>
      <c r="P2259">
        <v>-0.99875650000000005</v>
      </c>
      <c r="Q2259">
        <v>1.393787E-2</v>
      </c>
      <c r="R2259">
        <v>-4.786725E-2</v>
      </c>
      <c r="S2259">
        <v>-2.9984440000000001</v>
      </c>
      <c r="T2259">
        <v>-0.13172149999999999</v>
      </c>
      <c r="U2259">
        <v>-0.157135</v>
      </c>
      <c r="V2259">
        <v>4.4035199999999997E-2</v>
      </c>
      <c r="W2259">
        <v>2.747554E-2</v>
      </c>
      <c r="X2259">
        <v>0.99865210000000004</v>
      </c>
      <c r="Y2259">
        <v>3.9452090000000002E-2</v>
      </c>
      <c r="Z2259">
        <v>4.8876600000000003E-3</v>
      </c>
      <c r="AA2259">
        <v>0.99920949999999997</v>
      </c>
      <c r="AB2259">
        <v>13</v>
      </c>
      <c r="AC2259">
        <v>-25.205400000000001</v>
      </c>
      <c r="AD2259">
        <v>-1.1103753681540001</v>
      </c>
      <c r="AE2259">
        <v>-1.3179999999999801</v>
      </c>
      <c r="AF2259">
        <v>0.99990327998658302</v>
      </c>
      <c r="AG2259">
        <v>-1.1103753681540001</v>
      </c>
      <c r="AH2259">
        <v>25.171229207884998</v>
      </c>
      <c r="AI2259">
        <v>92.5238562454808</v>
      </c>
      <c r="AJ2259">
        <v>87.725175389080405</v>
      </c>
      <c r="AK2259">
        <v>25.215541236773198</v>
      </c>
      <c r="AL2259">
        <v>88.425569401282203</v>
      </c>
      <c r="AM2259">
        <v>87.475199013197695</v>
      </c>
      <c r="AN2259">
        <v>1.00000001048587</v>
      </c>
    </row>
    <row r="2260" spans="1:40" x14ac:dyDescent="0.25">
      <c r="A2260" t="str">
        <f>"20190312153931938"</f>
        <v>20190312153931938</v>
      </c>
      <c r="B2260" t="str">
        <f>"1552376371927637"</f>
        <v>1552376371927637</v>
      </c>
      <c r="C2260" t="s">
        <v>40</v>
      </c>
      <c r="D2260">
        <v>4.149985</v>
      </c>
      <c r="E2260">
        <v>0.4984575</v>
      </c>
      <c r="F2260" t="s">
        <v>61</v>
      </c>
      <c r="G2260">
        <v>-237.24529999999999</v>
      </c>
      <c r="H2260" s="1">
        <v>2.359682E-6</v>
      </c>
      <c r="I2260">
        <v>283.6807</v>
      </c>
      <c r="J2260">
        <v>-212.66409999999999</v>
      </c>
      <c r="K2260">
        <v>1.110306</v>
      </c>
      <c r="L2260">
        <v>284.98630000000003</v>
      </c>
      <c r="M2260">
        <v>-0.9956933</v>
      </c>
      <c r="N2260">
        <v>0</v>
      </c>
      <c r="O2260">
        <v>-9.1713000000000003E-2</v>
      </c>
      <c r="P2260">
        <v>-0.99869280000000005</v>
      </c>
      <c r="Q2260">
        <v>1.1200689999999999E-2</v>
      </c>
      <c r="R2260">
        <v>-4.9875650000000001E-2</v>
      </c>
      <c r="S2260">
        <v>-2.9979550000000001</v>
      </c>
      <c r="T2260">
        <v>-0.13480329999999999</v>
      </c>
      <c r="U2260">
        <v>-0.1597595</v>
      </c>
      <c r="V2260">
        <v>4.1938099999999999E-2</v>
      </c>
      <c r="W2260">
        <v>2.4731800000000002E-2</v>
      </c>
      <c r="X2260">
        <v>0.99881399999999998</v>
      </c>
      <c r="Y2260">
        <v>3.847097E-2</v>
      </c>
      <c r="Z2260">
        <v>4.9762740000000001E-3</v>
      </c>
      <c r="AA2260">
        <v>0.99924729999999995</v>
      </c>
      <c r="AB2260">
        <v>13</v>
      </c>
      <c r="AC2260">
        <v>-24.5811999999999</v>
      </c>
      <c r="AD2260">
        <v>-1.110303640318</v>
      </c>
      <c r="AE2260">
        <v>-1.3056000000000201</v>
      </c>
      <c r="AF2260">
        <v>0.95258801865331799</v>
      </c>
      <c r="AG2260">
        <v>-1.110303640318</v>
      </c>
      <c r="AH2260">
        <v>24.547393269600001</v>
      </c>
      <c r="AI2260">
        <v>92.587836282140699</v>
      </c>
      <c r="AJ2260">
        <v>87.777690688934399</v>
      </c>
      <c r="AK2260">
        <v>24.5909478149865</v>
      </c>
      <c r="AL2260">
        <v>88.582827653293293</v>
      </c>
      <c r="AM2260">
        <v>87.595682934389203</v>
      </c>
      <c r="AN2260">
        <v>0.99999993637942297</v>
      </c>
    </row>
    <row r="2261" spans="1:40" x14ac:dyDescent="0.25">
      <c r="A2261" t="str">
        <f>"20190312153931952"</f>
        <v>20190312153931952</v>
      </c>
      <c r="B2261" t="str">
        <f>"1552376371948130"</f>
        <v>1552376371948130</v>
      </c>
      <c r="C2261" t="s">
        <v>40</v>
      </c>
      <c r="D2261">
        <v>4.1604720000000004</v>
      </c>
      <c r="E2261">
        <v>0.50902559999999997</v>
      </c>
      <c r="F2261" t="s">
        <v>61</v>
      </c>
      <c r="G2261">
        <v>-237.2567</v>
      </c>
      <c r="H2261" s="1">
        <v>2.367009E-6</v>
      </c>
      <c r="I2261">
        <v>283.65170000000001</v>
      </c>
      <c r="J2261">
        <v>-212.73939999999999</v>
      </c>
      <c r="K2261">
        <v>1.1102559999999999</v>
      </c>
      <c r="L2261">
        <v>284.9794</v>
      </c>
      <c r="M2261">
        <v>-0.995703</v>
      </c>
      <c r="N2261">
        <v>0</v>
      </c>
      <c r="O2261">
        <v>-9.160828E-2</v>
      </c>
      <c r="P2261">
        <v>-0.99862620000000002</v>
      </c>
      <c r="Q2261">
        <v>8.912807E-3</v>
      </c>
      <c r="R2261">
        <v>-5.1637250000000003E-2</v>
      </c>
      <c r="S2261">
        <v>-2.9973299999999998</v>
      </c>
      <c r="T2261">
        <v>-0.13532330000000001</v>
      </c>
      <c r="U2261">
        <v>-0.16265869999999999</v>
      </c>
      <c r="V2261">
        <v>4.0074600000000002E-2</v>
      </c>
      <c r="W2261">
        <v>2.2440760000000001E-2</v>
      </c>
      <c r="X2261">
        <v>0.99894459999999996</v>
      </c>
      <c r="Y2261">
        <v>3.7391180000000003E-2</v>
      </c>
      <c r="Z2261">
        <v>4.9672680000000004E-3</v>
      </c>
      <c r="AA2261">
        <v>0.99928839999999997</v>
      </c>
      <c r="AB2261">
        <v>13</v>
      </c>
      <c r="AC2261">
        <v>-24.517299999999999</v>
      </c>
      <c r="AD2261">
        <v>-1.110253632991</v>
      </c>
      <c r="AE2261">
        <v>-1.3276999999999901</v>
      </c>
      <c r="AF2261">
        <v>0.92219198284767401</v>
      </c>
      <c r="AG2261">
        <v>-1.110253632991</v>
      </c>
      <c r="AH2261">
        <v>24.485762453852001</v>
      </c>
      <c r="AI2261">
        <v>92.594337429759094</v>
      </c>
      <c r="AJ2261">
        <v>87.843124255211706</v>
      </c>
      <c r="AK2261">
        <v>24.5282625583074</v>
      </c>
      <c r="AL2261">
        <v>88.714131142624396</v>
      </c>
      <c r="AM2261">
        <v>87.702700556621096</v>
      </c>
      <c r="AN2261">
        <v>0.99999993757184602</v>
      </c>
    </row>
    <row r="2262" spans="1:40" x14ac:dyDescent="0.25">
      <c r="A2262" t="str">
        <f>"20190312153931966"</f>
        <v>20190312153931966</v>
      </c>
      <c r="B2262" t="str">
        <f>"1552376371957889"</f>
        <v>1552376371957889</v>
      </c>
      <c r="C2262" t="s">
        <v>40</v>
      </c>
      <c r="D2262">
        <v>4.1657120000000001</v>
      </c>
      <c r="E2262">
        <v>0.50888469999999997</v>
      </c>
      <c r="F2262" t="s">
        <v>61</v>
      </c>
      <c r="G2262">
        <v>-243.9392</v>
      </c>
      <c r="H2262" s="1">
        <v>5.5943340000000003E-7</v>
      </c>
      <c r="I2262">
        <v>284.11149999999998</v>
      </c>
      <c r="J2262">
        <v>-212.82230000000001</v>
      </c>
      <c r="K2262">
        <v>1.110209</v>
      </c>
      <c r="L2262">
        <v>284.97190000000001</v>
      </c>
      <c r="M2262">
        <v>-0.99571609999999999</v>
      </c>
      <c r="N2262">
        <v>0</v>
      </c>
      <c r="O2262">
        <v>-9.1468389999999997E-2</v>
      </c>
      <c r="P2262">
        <v>-0.99859750000000003</v>
      </c>
      <c r="Q2262">
        <v>8.0580589999999994E-3</v>
      </c>
      <c r="R2262">
        <v>-5.2334409999999998E-2</v>
      </c>
      <c r="S2262">
        <v>-3.0007320000000002</v>
      </c>
      <c r="T2262">
        <v>-0.1067823</v>
      </c>
      <c r="U2262">
        <v>-8.3465579999999998E-2</v>
      </c>
      <c r="V2262">
        <v>3.9239459999999997E-2</v>
      </c>
      <c r="W2262">
        <v>2.158171E-2</v>
      </c>
      <c r="X2262">
        <v>0.99899669999999896</v>
      </c>
      <c r="Y2262">
        <v>6.3655729999999994E-2</v>
      </c>
      <c r="Z2262">
        <v>4.3811600000000003E-3</v>
      </c>
      <c r="AA2262">
        <v>0.99796229999999997</v>
      </c>
      <c r="AB2262">
        <v>13</v>
      </c>
      <c r="AC2262">
        <v>-31.116899999999902</v>
      </c>
      <c r="AD2262">
        <v>-1.1102084405666</v>
      </c>
      <c r="AE2262">
        <v>-0.86040000000002603</v>
      </c>
      <c r="AF2262">
        <v>1.9871530150260199</v>
      </c>
      <c r="AG2262">
        <v>-1.1102084405666</v>
      </c>
      <c r="AH2262">
        <v>31.0256756021315</v>
      </c>
      <c r="AI2262">
        <v>92.045184239517695</v>
      </c>
      <c r="AJ2262">
        <v>86.335287670142506</v>
      </c>
      <c r="AK2262">
        <v>31.109064377691102</v>
      </c>
      <c r="AL2262">
        <v>88.763363037151606</v>
      </c>
      <c r="AM2262">
        <v>87.750642927490404</v>
      </c>
      <c r="AN2262">
        <v>0.99999995601925096</v>
      </c>
    </row>
    <row r="2263" spans="1:40" x14ac:dyDescent="0.25">
      <c r="A2263" t="str">
        <f>"20190312153931986"</f>
        <v>20190312153931986</v>
      </c>
      <c r="B2263" t="str">
        <f>"1552376371978385"</f>
        <v>1552376371978385</v>
      </c>
      <c r="C2263" t="s">
        <v>40</v>
      </c>
      <c r="D2263">
        <v>4.136984</v>
      </c>
      <c r="E2263">
        <v>0.50916919999999999</v>
      </c>
      <c r="F2263" t="s">
        <v>61</v>
      </c>
      <c r="G2263">
        <v>-244.93270000000001</v>
      </c>
      <c r="H2263" s="1">
        <v>1.088155E-6</v>
      </c>
      <c r="I2263">
        <v>284.04640000000001</v>
      </c>
      <c r="J2263">
        <v>-212.93100000000001</v>
      </c>
      <c r="K2263">
        <v>1.110152</v>
      </c>
      <c r="L2263">
        <v>284.96210000000002</v>
      </c>
      <c r="M2263">
        <v>-0.99573679999999998</v>
      </c>
      <c r="N2263">
        <v>0</v>
      </c>
      <c r="O2263">
        <v>-9.1242100000000007E-2</v>
      </c>
      <c r="P2263">
        <v>-0.99855510000000003</v>
      </c>
      <c r="Q2263">
        <v>6.2646350000000002E-3</v>
      </c>
      <c r="R2263">
        <v>-5.3375369999999998E-2</v>
      </c>
      <c r="S2263">
        <v>-3.0005489999999999</v>
      </c>
      <c r="T2263">
        <v>-0.103743</v>
      </c>
      <c r="U2263">
        <v>-8.6486820000000006E-2</v>
      </c>
      <c r="V2263">
        <v>3.7973630000000001E-2</v>
      </c>
      <c r="W2263">
        <v>1.9783470000000001E-2</v>
      </c>
      <c r="X2263">
        <v>0.9990829</v>
      </c>
      <c r="Y2263">
        <v>6.2429510000000001E-2</v>
      </c>
      <c r="Z2263">
        <v>4.2277169999999998E-3</v>
      </c>
      <c r="AA2263">
        <v>0.99804040000000005</v>
      </c>
      <c r="AB2263">
        <v>13</v>
      </c>
      <c r="AC2263">
        <v>-32.0017</v>
      </c>
      <c r="AD2263">
        <v>-1.1101509118449999</v>
      </c>
      <c r="AE2263">
        <v>-0.91570000000001495</v>
      </c>
      <c r="AF2263">
        <v>2.0058780525818398</v>
      </c>
      <c r="AG2263">
        <v>-1.1101509118449999</v>
      </c>
      <c r="AH2263">
        <v>31.913372294153799</v>
      </c>
      <c r="AI2263">
        <v>91.988389139312503</v>
      </c>
      <c r="AJ2263">
        <v>86.403471316319198</v>
      </c>
      <c r="AK2263">
        <v>31.995613964950898</v>
      </c>
      <c r="AL2263">
        <v>88.866416725189396</v>
      </c>
      <c r="AM2263">
        <v>87.823321848100306</v>
      </c>
      <c r="AN2263">
        <v>1.00000001166651</v>
      </c>
    </row>
    <row r="2264" spans="1:40" x14ac:dyDescent="0.25">
      <c r="A2264" t="str">
        <f>"20190312153932007"</f>
        <v>20190312153932007</v>
      </c>
      <c r="B2264" t="str">
        <f>"1552376371997908"</f>
        <v>1552376371997908</v>
      </c>
      <c r="C2264" t="s">
        <v>40</v>
      </c>
      <c r="D2264">
        <v>4.1159439999999998</v>
      </c>
      <c r="E2264">
        <v>0.50973760000000001</v>
      </c>
      <c r="F2264" t="s">
        <v>61</v>
      </c>
      <c r="G2264">
        <v>-243.91329999999999</v>
      </c>
      <c r="H2264" s="1">
        <v>5.4567809999999999E-7</v>
      </c>
      <c r="I2264">
        <v>284.06240000000003</v>
      </c>
      <c r="J2264">
        <v>-213.05539999999999</v>
      </c>
      <c r="K2264">
        <v>1.110101</v>
      </c>
      <c r="L2264">
        <v>284.95100000000002</v>
      </c>
      <c r="M2264">
        <v>-0.99576580000000003</v>
      </c>
      <c r="N2264">
        <v>0</v>
      </c>
      <c r="O2264">
        <v>-9.092372E-2</v>
      </c>
      <c r="P2264">
        <v>-0.99857470000000004</v>
      </c>
      <c r="Q2264">
        <v>4.3779989999999996E-3</v>
      </c>
      <c r="R2264">
        <v>-5.3192900000000001E-2</v>
      </c>
      <c r="S2264">
        <v>-3.0003660000000001</v>
      </c>
      <c r="T2264">
        <v>-0.10750850000000001</v>
      </c>
      <c r="U2264">
        <v>-8.7127689999999994E-2</v>
      </c>
      <c r="V2264">
        <v>3.7838730000000001E-2</v>
      </c>
      <c r="W2264">
        <v>1.7890759999999999E-2</v>
      </c>
      <c r="X2264">
        <v>0.99912369999999995</v>
      </c>
      <c r="Y2264">
        <v>6.1889409999999999E-2</v>
      </c>
      <c r="Z2264">
        <v>4.3602900000000002E-3</v>
      </c>
      <c r="AA2264">
        <v>0.99807349999999995</v>
      </c>
      <c r="AB2264">
        <v>13</v>
      </c>
      <c r="AC2264">
        <v>-30.857900000000001</v>
      </c>
      <c r="AD2264">
        <v>-1.1101004543219</v>
      </c>
      <c r="AE2264">
        <v>-0.88859999999993899</v>
      </c>
      <c r="AF2264">
        <v>1.9185727839989499</v>
      </c>
      <c r="AG2264">
        <v>-1.1101004543219</v>
      </c>
      <c r="AH2264">
        <v>30.771070945351301</v>
      </c>
      <c r="AI2264">
        <v>92.062111773290795</v>
      </c>
      <c r="AJ2264">
        <v>86.432233102885107</v>
      </c>
      <c r="AK2264">
        <v>30.850803096030202</v>
      </c>
      <c r="AL2264">
        <v>88.974880276710294</v>
      </c>
      <c r="AM2264">
        <v>87.831135509484994</v>
      </c>
      <c r="AN2264">
        <v>1.0000000083415399</v>
      </c>
    </row>
    <row r="2265" spans="1:40" x14ac:dyDescent="0.25">
      <c r="A2265" t="str">
        <f>"20190312153932030"</f>
        <v>20190312153932030</v>
      </c>
      <c r="B2265" t="str">
        <f>"1552376372017828"</f>
        <v>1552376372017828</v>
      </c>
      <c r="C2265" t="s">
        <v>40</v>
      </c>
      <c r="D2265">
        <v>4.0851470000000001</v>
      </c>
      <c r="E2265">
        <v>0.50994319999999904</v>
      </c>
      <c r="F2265" t="s">
        <v>61</v>
      </c>
      <c r="G2265">
        <v>-242.94409999999999</v>
      </c>
      <c r="H2265" s="1">
        <v>2.9916089999999997E-8</v>
      </c>
      <c r="I2265">
        <v>284.1354</v>
      </c>
      <c r="J2265">
        <v>-213.18539999999999</v>
      </c>
      <c r="K2265">
        <v>1.1100650000000001</v>
      </c>
      <c r="L2265">
        <v>284.93959999999998</v>
      </c>
      <c r="M2265">
        <v>-0.99580159999999995</v>
      </c>
      <c r="N2265">
        <v>0</v>
      </c>
      <c r="O2265">
        <v>-9.0531879999999995E-2</v>
      </c>
      <c r="P2265">
        <v>-0.99862039999999996</v>
      </c>
      <c r="Q2265">
        <v>2.4408590000000001E-3</v>
      </c>
      <c r="R2265">
        <v>-5.2457579999999997E-2</v>
      </c>
      <c r="S2265">
        <v>-3.0004119999999999</v>
      </c>
      <c r="T2265">
        <v>-0.1114388</v>
      </c>
      <c r="U2265">
        <v>-8.1878660000000006E-2</v>
      </c>
      <c r="V2265">
        <v>3.8182149999999998E-2</v>
      </c>
      <c r="W2265">
        <v>1.5948400000000001E-2</v>
      </c>
      <c r="X2265">
        <v>0.99914349999999996</v>
      </c>
      <c r="Y2265">
        <v>6.3233780000000003E-2</v>
      </c>
      <c r="Z2265">
        <v>4.5301500000000001E-3</v>
      </c>
      <c r="AA2265">
        <v>0.99798849999999995</v>
      </c>
      <c r="AB2265">
        <v>13</v>
      </c>
      <c r="AC2265">
        <v>-29.758700000000001</v>
      </c>
      <c r="AD2265">
        <v>-1.1100649700839</v>
      </c>
      <c r="AE2265">
        <v>-0.80419999999998004</v>
      </c>
      <c r="AF2265">
        <v>1.89083172872835</v>
      </c>
      <c r="AG2265">
        <v>-1.1100649700839</v>
      </c>
      <c r="AH2265">
        <v>29.668036011764801</v>
      </c>
      <c r="AI2265">
        <v>92.138455741369</v>
      </c>
      <c r="AJ2265">
        <v>86.353302579772901</v>
      </c>
      <c r="AK2265">
        <v>29.748947034467299</v>
      </c>
      <c r="AL2265">
        <v>89.086185231336898</v>
      </c>
      <c r="AM2265">
        <v>87.811513525464505</v>
      </c>
      <c r="AN2265">
        <v>0.99999998081671604</v>
      </c>
    </row>
    <row r="2266" spans="1:40" x14ac:dyDescent="0.25">
      <c r="A2266" t="str">
        <f>"20190312153932051"</f>
        <v>20190312153932051</v>
      </c>
      <c r="B2266" t="str">
        <f>"1552376372048083"</f>
        <v>1552376372048083</v>
      </c>
      <c r="C2266" t="s">
        <v>40</v>
      </c>
      <c r="D2266">
        <v>4.0521940000000001</v>
      </c>
      <c r="E2266">
        <v>0.51017170000000001</v>
      </c>
      <c r="F2266" t="s">
        <v>61</v>
      </c>
      <c r="G2266">
        <v>-242.488</v>
      </c>
      <c r="H2266" s="1">
        <v>-2.1277809999999999E-7</v>
      </c>
      <c r="I2266">
        <v>284.17630000000003</v>
      </c>
      <c r="J2266">
        <v>-213.3098</v>
      </c>
      <c r="K2266">
        <v>1.1100479999999999</v>
      </c>
      <c r="L2266">
        <v>284.92880000000002</v>
      </c>
      <c r="M2266">
        <v>-0.99583969999999999</v>
      </c>
      <c r="N2266">
        <v>0</v>
      </c>
      <c r="O2266">
        <v>-9.0111419999999998E-2</v>
      </c>
      <c r="P2266">
        <v>-0.99868009999999996</v>
      </c>
      <c r="Q2266">
        <v>1.800124E-3</v>
      </c>
      <c r="R2266">
        <v>-5.1332099999999999E-2</v>
      </c>
      <c r="S2266">
        <v>-3.000305</v>
      </c>
      <c r="T2266">
        <v>-0.11365989999999999</v>
      </c>
      <c r="U2266">
        <v>-7.8155520000000006E-2</v>
      </c>
      <c r="V2266">
        <v>3.888668E-2</v>
      </c>
      <c r="W2266">
        <v>1.530284E-2</v>
      </c>
      <c r="X2266">
        <v>0.99912639999999997</v>
      </c>
      <c r="Y2266">
        <v>6.4044420000000005E-2</v>
      </c>
      <c r="Z2266">
        <v>4.6201509999999899E-3</v>
      </c>
      <c r="AA2266">
        <v>0.99793639999999995</v>
      </c>
      <c r="AB2266">
        <v>13</v>
      </c>
      <c r="AC2266">
        <v>-29.1782</v>
      </c>
      <c r="AD2266">
        <v>-1.1100482127781</v>
      </c>
      <c r="AE2266">
        <v>-0.75249999999999695</v>
      </c>
      <c r="AF2266">
        <v>1.87737653567818</v>
      </c>
      <c r="AG2266">
        <v>-1.1100482127781</v>
      </c>
      <c r="AH2266">
        <v>29.085219461699999</v>
      </c>
      <c r="AI2266">
        <v>92.181119373863694</v>
      </c>
      <c r="AJ2266">
        <v>86.306827314844696</v>
      </c>
      <c r="AK2266">
        <v>29.166877461028601</v>
      </c>
      <c r="AL2266">
        <v>89.123177591519905</v>
      </c>
      <c r="AM2266">
        <v>87.771134225580596</v>
      </c>
      <c r="AN2266">
        <v>0.99999995698522304</v>
      </c>
    </row>
    <row r="2267" spans="1:40" x14ac:dyDescent="0.25">
      <c r="A2267" t="str">
        <f>"20190312153932071"</f>
        <v>20190312153932071</v>
      </c>
      <c r="B2267" t="str">
        <f>"1552376372057841"</f>
        <v>1552376372057841</v>
      </c>
      <c r="C2267" t="s">
        <v>40</v>
      </c>
      <c r="D2267">
        <v>4.0458379999999998</v>
      </c>
      <c r="E2267">
        <v>0.51432559999999905</v>
      </c>
      <c r="F2267" t="s">
        <v>61</v>
      </c>
      <c r="G2267">
        <v>-242.6917</v>
      </c>
      <c r="H2267" s="1">
        <v>-1.0443009999999999E-7</v>
      </c>
      <c r="I2267">
        <v>284.21429999999998</v>
      </c>
      <c r="J2267">
        <v>-213.4195</v>
      </c>
      <c r="K2267">
        <v>1.110047</v>
      </c>
      <c r="L2267">
        <v>284.91930000000002</v>
      </c>
      <c r="M2267">
        <v>-0.99587539999999997</v>
      </c>
      <c r="N2267">
        <v>0</v>
      </c>
      <c r="O2267">
        <v>-8.9717249999999998E-2</v>
      </c>
      <c r="P2267">
        <v>-0.99877850000000001</v>
      </c>
      <c r="Q2267">
        <v>2.581149E-3</v>
      </c>
      <c r="R2267">
        <v>-4.9342619999999997E-2</v>
      </c>
      <c r="S2267">
        <v>-3.0004119999999999</v>
      </c>
      <c r="T2267">
        <v>-0.1133559</v>
      </c>
      <c r="U2267">
        <v>-7.2967530000000003E-2</v>
      </c>
      <c r="V2267">
        <v>4.0482129999999998E-2</v>
      </c>
      <c r="W2267">
        <v>1.6079510000000002E-2</v>
      </c>
      <c r="X2267">
        <v>0.99905089999999996</v>
      </c>
      <c r="Y2267">
        <v>6.5374630000000003E-2</v>
      </c>
      <c r="Z2267">
        <v>4.6180910000000004E-3</v>
      </c>
      <c r="AA2267">
        <v>0.99785009999999996</v>
      </c>
      <c r="AB2267">
        <v>13</v>
      </c>
      <c r="AC2267">
        <v>-29.272200000000002</v>
      </c>
      <c r="AD2267">
        <v>-1.1100471044300999</v>
      </c>
      <c r="AE2267">
        <v>-0.70500000000004004</v>
      </c>
      <c r="AF2267">
        <v>1.9215435513352299</v>
      </c>
      <c r="AG2267">
        <v>-1.1100471044300999</v>
      </c>
      <c r="AH2267">
        <v>29.175456838241001</v>
      </c>
      <c r="AI2267">
        <v>92.174192309116506</v>
      </c>
      <c r="AJ2267">
        <v>86.231847921446402</v>
      </c>
      <c r="AK2267">
        <v>29.259730277529901</v>
      </c>
      <c r="AL2267">
        <v>89.078672260813207</v>
      </c>
      <c r="AM2267">
        <v>87.679610726494403</v>
      </c>
      <c r="AN2267">
        <v>1.0000000271409899</v>
      </c>
    </row>
    <row r="2268" spans="1:40" x14ac:dyDescent="0.25">
      <c r="A2268" t="str">
        <f>"20190312153932094"</f>
        <v>20190312153932094</v>
      </c>
      <c r="B2268" t="str">
        <f>"1552376372088098"</f>
        <v>1552376372088098</v>
      </c>
      <c r="C2268" t="s">
        <v>40</v>
      </c>
      <c r="D2268">
        <v>4.0225989999999996</v>
      </c>
      <c r="E2268">
        <v>0.51478420000000003</v>
      </c>
      <c r="F2268" t="s">
        <v>61</v>
      </c>
      <c r="G2268">
        <v>-321.90089999999998</v>
      </c>
      <c r="H2268" s="1">
        <v>-4.8484070000000004E-7</v>
      </c>
      <c r="I2268">
        <v>283.69299999999998</v>
      </c>
      <c r="J2268">
        <v>-213.55109999999999</v>
      </c>
      <c r="K2268">
        <v>1.1100639999999999</v>
      </c>
      <c r="L2268">
        <v>284.90809999999999</v>
      </c>
      <c r="M2268">
        <v>-0.995919</v>
      </c>
      <c r="N2268">
        <v>0</v>
      </c>
      <c r="O2268">
        <v>-8.9232989999999998E-2</v>
      </c>
      <c r="P2268">
        <v>-0.99887170000000003</v>
      </c>
      <c r="Q2268">
        <v>3.4284139999999999E-3</v>
      </c>
      <c r="R2268">
        <v>-4.7368699999999903E-2</v>
      </c>
      <c r="S2268">
        <v>-3.002075</v>
      </c>
      <c r="T2268">
        <v>-3.071904E-2</v>
      </c>
      <c r="U2268">
        <v>-3.3935550000000002E-2</v>
      </c>
      <c r="V2268">
        <v>4.1971019999999998E-2</v>
      </c>
      <c r="W2268">
        <v>1.6922449999999999E-2</v>
      </c>
      <c r="X2268">
        <v>0.99897550000000002</v>
      </c>
      <c r="Y2268">
        <v>7.7968510000000005E-2</v>
      </c>
      <c r="Z2268">
        <v>1.3109759999999999E-3</v>
      </c>
      <c r="AA2268">
        <v>0.99695500000000004</v>
      </c>
      <c r="AB2268">
        <v>13</v>
      </c>
      <c r="AC2268">
        <v>-108.3498</v>
      </c>
      <c r="AD2268">
        <v>-1.1100644848407</v>
      </c>
      <c r="AE2268">
        <v>-1.2151000000000001</v>
      </c>
      <c r="AF2268">
        <v>8.4581210256294206</v>
      </c>
      <c r="AG2268">
        <v>-1.1100644848407</v>
      </c>
      <c r="AH2268">
        <v>108.014590303185</v>
      </c>
      <c r="AI2268">
        <v>90.587010405475397</v>
      </c>
      <c r="AJ2268">
        <v>85.522570092332799</v>
      </c>
      <c r="AK2268">
        <v>108.350928804555</v>
      </c>
      <c r="AL2268">
        <v>89.030368746388305</v>
      </c>
      <c r="AM2268">
        <v>87.594186386729405</v>
      </c>
      <c r="AN2268">
        <v>0.99999999271704598</v>
      </c>
    </row>
    <row r="2269" spans="1:40" x14ac:dyDescent="0.25">
      <c r="A2269" t="str">
        <f>"20190312153932117"</f>
        <v>20190312153932117</v>
      </c>
      <c r="B2269" t="str">
        <f>"1552376372107621"</f>
        <v>1552376372107621</v>
      </c>
      <c r="C2269" t="s">
        <v>40</v>
      </c>
      <c r="D2269">
        <v>4.0246879999999896</v>
      </c>
      <c r="E2269">
        <v>0.51475360000000003</v>
      </c>
      <c r="F2269" t="s">
        <v>61</v>
      </c>
      <c r="G2269">
        <v>-350.85309999999998</v>
      </c>
      <c r="H2269" s="1">
        <v>-1.0828189999999999E-6</v>
      </c>
      <c r="I2269">
        <v>283.79160000000002</v>
      </c>
      <c r="J2269">
        <v>-213.6789</v>
      </c>
      <c r="K2269">
        <v>1.1100859999999999</v>
      </c>
      <c r="L2269">
        <v>284.8972</v>
      </c>
      <c r="M2269">
        <v>-0.99596110000000004</v>
      </c>
      <c r="N2269">
        <v>0</v>
      </c>
      <c r="O2269">
        <v>-8.8761960000000001E-2</v>
      </c>
      <c r="P2269">
        <v>-0.9989595</v>
      </c>
      <c r="Q2269">
        <v>4.8689229999999998E-3</v>
      </c>
      <c r="R2269">
        <v>-4.5351610000000001E-2</v>
      </c>
      <c r="S2269">
        <v>-3.002335</v>
      </c>
      <c r="T2269">
        <v>-2.4273400000000001E-2</v>
      </c>
      <c r="U2269">
        <v>-2.4414060000000001E-2</v>
      </c>
      <c r="V2269">
        <v>4.351584E-2</v>
      </c>
      <c r="W2269">
        <v>1.835941E-2</v>
      </c>
      <c r="X2269">
        <v>0.99888399999999999</v>
      </c>
      <c r="Y2269">
        <v>8.0662310000000001E-2</v>
      </c>
      <c r="Z2269">
        <v>1.042954E-3</v>
      </c>
      <c r="AA2269">
        <v>0.99674090000000004</v>
      </c>
      <c r="AB2269">
        <v>13</v>
      </c>
      <c r="AC2269">
        <v>-137.17419999999899</v>
      </c>
      <c r="AD2269">
        <v>-1.1100870828189999</v>
      </c>
      <c r="AE2269">
        <v>-1.1055999999999799</v>
      </c>
      <c r="AF2269">
        <v>11.0750033935613</v>
      </c>
      <c r="AG2269">
        <v>-1.1100870828189999</v>
      </c>
      <c r="AH2269">
        <v>136.72184701882199</v>
      </c>
      <c r="AI2269">
        <v>90.463673310089604</v>
      </c>
      <c r="AJ2269">
        <v>85.368929631396</v>
      </c>
      <c r="AK2269">
        <v>137.17416464384601</v>
      </c>
      <c r="AL2269">
        <v>88.948024158462204</v>
      </c>
      <c r="AM2269">
        <v>87.505517686747794</v>
      </c>
      <c r="AN2269">
        <v>0.99999997086122605</v>
      </c>
    </row>
    <row r="2270" spans="1:40" x14ac:dyDescent="0.25">
      <c r="A2270" t="str">
        <f>"20190312153932138"</f>
        <v>20190312153932138</v>
      </c>
      <c r="B2270" t="str">
        <f>"1552376372128113"</f>
        <v>1552376372128113</v>
      </c>
      <c r="C2270" t="s">
        <v>40</v>
      </c>
      <c r="D2270">
        <v>4.0143879999999896</v>
      </c>
      <c r="E2270">
        <v>0.51458789999999999</v>
      </c>
      <c r="F2270" t="s">
        <v>61</v>
      </c>
      <c r="G2270">
        <v>-390.58859999999999</v>
      </c>
      <c r="H2270" s="1">
        <v>-1.2235799999999999E-6</v>
      </c>
      <c r="I2270">
        <v>283.78410000000002</v>
      </c>
      <c r="J2270">
        <v>-213.80019999999999</v>
      </c>
      <c r="K2270">
        <v>1.110112</v>
      </c>
      <c r="L2270">
        <v>284.88690000000003</v>
      </c>
      <c r="M2270">
        <v>-0.99599990000000005</v>
      </c>
      <c r="N2270">
        <v>0</v>
      </c>
      <c r="O2270">
        <v>-8.8324379999999994E-2</v>
      </c>
      <c r="P2270">
        <v>-0.99903540000000002</v>
      </c>
      <c r="Q2270">
        <v>6.7541859999999997E-3</v>
      </c>
      <c r="R2270">
        <v>-4.3389039999999997E-2</v>
      </c>
      <c r="S2270">
        <v>-3.0023650000000002</v>
      </c>
      <c r="T2270">
        <v>-1.8839479999999999E-2</v>
      </c>
      <c r="U2270">
        <v>-1.8890379999999998E-2</v>
      </c>
      <c r="V2270">
        <v>4.5038509999999997E-2</v>
      </c>
      <c r="W2270">
        <v>2.0241140000000001E-2</v>
      </c>
      <c r="X2270">
        <v>0.99878020000000001</v>
      </c>
      <c r="Y2270">
        <v>8.2060259999999996E-2</v>
      </c>
      <c r="Z2270">
        <v>8.1113750000000003E-4</v>
      </c>
      <c r="AA2270">
        <v>0.99662700000000004</v>
      </c>
      <c r="AB2270">
        <v>13</v>
      </c>
      <c r="AC2270">
        <v>-176.7884</v>
      </c>
      <c r="AD2270">
        <v>-1.11011322358</v>
      </c>
      <c r="AE2270">
        <v>-1.1028</v>
      </c>
      <c r="AF2270">
        <v>14.5170931941043</v>
      </c>
      <c r="AG2270">
        <v>-1.11011322358</v>
      </c>
      <c r="AH2270">
        <v>176.18780885923101</v>
      </c>
      <c r="AI2270">
        <v>90.359781732339002</v>
      </c>
      <c r="AJ2270">
        <v>85.289722328841705</v>
      </c>
      <c r="AK2270">
        <v>176.78835464133999</v>
      </c>
      <c r="AL2270">
        <v>88.840188934023104</v>
      </c>
      <c r="AM2270">
        <v>87.418081001450602</v>
      </c>
      <c r="AN2270">
        <v>1.0000000295217699</v>
      </c>
    </row>
    <row r="2271" spans="1:40" x14ac:dyDescent="0.25">
      <c r="A2271" t="str">
        <f>"20190312153932160"</f>
        <v>20190312153932160</v>
      </c>
      <c r="B2271" t="str">
        <f>"1552376372147633"</f>
        <v>1552376372147633</v>
      </c>
      <c r="C2271" t="s">
        <v>40</v>
      </c>
      <c r="D2271">
        <v>4.0312150000000004</v>
      </c>
      <c r="E2271">
        <v>0.51419789999999999</v>
      </c>
      <c r="F2271" t="s">
        <v>61</v>
      </c>
      <c r="G2271">
        <v>-454.27780000000001</v>
      </c>
      <c r="H2271" s="1">
        <v>7.7790929999999996E-7</v>
      </c>
      <c r="I2271">
        <v>283.7405</v>
      </c>
      <c r="J2271">
        <v>-213.92150000000001</v>
      </c>
      <c r="K2271">
        <v>1.1101319999999999</v>
      </c>
      <c r="L2271">
        <v>284.87670000000003</v>
      </c>
      <c r="M2271">
        <v>-0.99603770000000003</v>
      </c>
      <c r="N2271">
        <v>0</v>
      </c>
      <c r="O2271">
        <v>-8.7898870000000004E-2</v>
      </c>
      <c r="P2271">
        <v>-0.99909630000000005</v>
      </c>
      <c r="Q2271">
        <v>7.30219599999999E-3</v>
      </c>
      <c r="R2271">
        <v>-4.187374E-2</v>
      </c>
      <c r="S2271">
        <v>-3.0023650000000002</v>
      </c>
      <c r="T2271">
        <v>-1.3859750000000001E-2</v>
      </c>
      <c r="U2271">
        <v>-1.4312739999999999E-2</v>
      </c>
      <c r="V2271">
        <v>4.6126010000000002E-2</v>
      </c>
      <c r="W2271">
        <v>2.0787E-2</v>
      </c>
      <c r="X2271">
        <v>0.99871929999999998</v>
      </c>
      <c r="Y2271">
        <v>8.3155439999999997E-2</v>
      </c>
      <c r="Z2271">
        <v>5.9731550000000002E-4</v>
      </c>
      <c r="AA2271">
        <v>0.99653639999999999</v>
      </c>
      <c r="AB2271">
        <v>13</v>
      </c>
      <c r="AC2271">
        <v>-240.3563</v>
      </c>
      <c r="AD2271">
        <v>-1.11013122209069</v>
      </c>
      <c r="AE2271">
        <v>-1.1362000000000301</v>
      </c>
      <c r="AF2271">
        <v>19.9967492793627</v>
      </c>
      <c r="AG2271">
        <v>-1.11013122209069</v>
      </c>
      <c r="AH2271">
        <v>239.520577852077</v>
      </c>
      <c r="AI2271">
        <v>90.264632246362297</v>
      </c>
      <c r="AJ2271">
        <v>85.227639681068595</v>
      </c>
      <c r="AK2271">
        <v>240.35642198132501</v>
      </c>
      <c r="AL2271">
        <v>88.808906811565393</v>
      </c>
      <c r="AM2271">
        <v>87.355664409132601</v>
      </c>
      <c r="AN2271">
        <v>0.99999997418000397</v>
      </c>
    </row>
    <row r="2272" spans="1:40" x14ac:dyDescent="0.25">
      <c r="A2272" t="str">
        <f>"20190312153932183"</f>
        <v>20190312153932183</v>
      </c>
      <c r="B2272" t="str">
        <f>"1552376372177889"</f>
        <v>1552376372177889</v>
      </c>
      <c r="C2272" t="s">
        <v>40</v>
      </c>
      <c r="D2272">
        <v>4.0763930000000004</v>
      </c>
      <c r="E2272">
        <v>0.5137543</v>
      </c>
      <c r="F2272" t="s">
        <v>61</v>
      </c>
      <c r="G2272">
        <v>-464.62220000000002</v>
      </c>
      <c r="H2272" s="1">
        <v>9.585555999999999E-7</v>
      </c>
      <c r="I2272">
        <v>283.80130000000003</v>
      </c>
      <c r="J2272">
        <v>-214.04949999999999</v>
      </c>
      <c r="K2272">
        <v>1.110144</v>
      </c>
      <c r="L2272">
        <v>284.86590000000001</v>
      </c>
      <c r="M2272">
        <v>-0.99607579999999996</v>
      </c>
      <c r="N2272">
        <v>0</v>
      </c>
      <c r="O2272">
        <v>-8.746487E-2</v>
      </c>
      <c r="P2272">
        <v>-0.99914890000000001</v>
      </c>
      <c r="Q2272">
        <v>6.5978520000000004E-3</v>
      </c>
      <c r="R2272">
        <v>-4.0716349999999998E-2</v>
      </c>
      <c r="S2272">
        <v>-3.0022579999999999</v>
      </c>
      <c r="T2272">
        <v>-1.329434E-2</v>
      </c>
      <c r="U2272">
        <v>-1.287842E-2</v>
      </c>
      <c r="V2272">
        <v>4.6846899999999997E-2</v>
      </c>
      <c r="W2272">
        <v>2.008095E-2</v>
      </c>
      <c r="X2272">
        <v>0.99870020000000004</v>
      </c>
      <c r="Y2272">
        <v>8.3197300000000002E-2</v>
      </c>
      <c r="Z2272">
        <v>5.7114779999999999E-4</v>
      </c>
      <c r="AA2272">
        <v>0.99653290000000005</v>
      </c>
      <c r="AB2272">
        <v>13</v>
      </c>
      <c r="AC2272">
        <v>-250.5727</v>
      </c>
      <c r="AD2272">
        <v>-1.1101430414444</v>
      </c>
      <c r="AE2272">
        <v>-1.06459999999998</v>
      </c>
      <c r="AF2272">
        <v>20.857384442469598</v>
      </c>
      <c r="AG2272">
        <v>-1.1101430414444</v>
      </c>
      <c r="AH2272">
        <v>249.70045276309099</v>
      </c>
      <c r="AI2272">
        <v>90.253845567174693</v>
      </c>
      <c r="AJ2272">
        <v>85.225189538568898</v>
      </c>
      <c r="AK2272">
        <v>250.572502508648</v>
      </c>
      <c r="AL2272">
        <v>88.849368957079193</v>
      </c>
      <c r="AM2272">
        <v>87.314345611587896</v>
      </c>
      <c r="AN2272">
        <v>0.99999998303627602</v>
      </c>
    </row>
    <row r="2273" spans="1:40" x14ac:dyDescent="0.25">
      <c r="A2273" t="str">
        <f>"20190312153932207"</f>
        <v>20190312153932207</v>
      </c>
      <c r="B2273" t="str">
        <f>"1552376372198385"</f>
        <v>1552376372198385</v>
      </c>
      <c r="C2273" t="s">
        <v>40</v>
      </c>
      <c r="D2273">
        <v>4.0574180000000002</v>
      </c>
      <c r="E2273">
        <v>0.51339670000000004</v>
      </c>
      <c r="F2273" t="s">
        <v>61</v>
      </c>
      <c r="G2273">
        <v>-443.49579999999997</v>
      </c>
      <c r="H2273" s="1">
        <v>3.553299E-7</v>
      </c>
      <c r="I2273">
        <v>283.88869999999997</v>
      </c>
      <c r="J2273">
        <v>-214.1781</v>
      </c>
      <c r="K2273">
        <v>1.110152</v>
      </c>
      <c r="L2273">
        <v>284.85520000000002</v>
      </c>
      <c r="M2273">
        <v>-0.99611280000000002</v>
      </c>
      <c r="N2273">
        <v>0</v>
      </c>
      <c r="O2273">
        <v>-8.7044300000000005E-2</v>
      </c>
      <c r="P2273">
        <v>-0.99917239999999996</v>
      </c>
      <c r="Q2273">
        <v>5.4931210000000001E-3</v>
      </c>
      <c r="R2273">
        <v>-4.0307019999999999E-2</v>
      </c>
      <c r="S2273">
        <v>-3.0021360000000001</v>
      </c>
      <c r="T2273">
        <v>-1.4525410000000001E-2</v>
      </c>
      <c r="U2273">
        <v>-1.2786870000000001E-2</v>
      </c>
      <c r="V2273">
        <v>4.6833899999999998E-2</v>
      </c>
      <c r="W2273">
        <v>1.8974899999999999E-2</v>
      </c>
      <c r="X2273">
        <v>0.99872240000000001</v>
      </c>
      <c r="Y2273">
        <v>8.2806450000000004E-2</v>
      </c>
      <c r="Z2273">
        <v>6.2108729999999998E-4</v>
      </c>
      <c r="AA2273">
        <v>0.99656549999999999</v>
      </c>
      <c r="AB2273">
        <v>13</v>
      </c>
      <c r="AC2273">
        <v>-229.3177</v>
      </c>
      <c r="AD2273">
        <v>-1.1101516446701001</v>
      </c>
      <c r="AE2273">
        <v>-0.96650000000005298</v>
      </c>
      <c r="AF2273">
        <v>18.999344951457299</v>
      </c>
      <c r="AG2273">
        <v>-1.1101516446701001</v>
      </c>
      <c r="AH2273">
        <v>228.52593235835201</v>
      </c>
      <c r="AI2273">
        <v>90.277376899734094</v>
      </c>
      <c r="AJ2273">
        <v>85.247434239306301</v>
      </c>
      <c r="AK2273">
        <v>229.31704974884201</v>
      </c>
      <c r="AL2273">
        <v>88.912753005336199</v>
      </c>
      <c r="AM2273">
        <v>87.315149383062803</v>
      </c>
      <c r="AN2273">
        <v>0.99999994664048797</v>
      </c>
    </row>
    <row r="2274" spans="1:40" x14ac:dyDescent="0.25">
      <c r="A2274" t="str">
        <f>"20190312153932229"</f>
        <v>20190312153932229</v>
      </c>
      <c r="B2274" t="str">
        <f>"1552376372217906"</f>
        <v>1552376372217906</v>
      </c>
      <c r="C2274" t="s">
        <v>40</v>
      </c>
      <c r="D2274">
        <v>4.0305839999999904</v>
      </c>
      <c r="E2274">
        <v>0.51302250000000005</v>
      </c>
      <c r="F2274" t="s">
        <v>62</v>
      </c>
      <c r="G2274">
        <v>-402.51979999999998</v>
      </c>
      <c r="H2274" s="1">
        <v>7.424575E-6</v>
      </c>
      <c r="I2274">
        <v>283.94</v>
      </c>
      <c r="J2274">
        <v>-214.30449999999999</v>
      </c>
      <c r="K2274">
        <v>1.110158</v>
      </c>
      <c r="L2274">
        <v>284.84469999999999</v>
      </c>
      <c r="M2274">
        <v>-0.99614769999999997</v>
      </c>
      <c r="N2274">
        <v>0</v>
      </c>
      <c r="O2274">
        <v>-8.6645009999999995E-2</v>
      </c>
      <c r="P2274">
        <v>-0.99918899999999999</v>
      </c>
      <c r="Q2274">
        <v>5.3062069999999899E-3</v>
      </c>
      <c r="R2274">
        <v>-3.9919879999999998E-2</v>
      </c>
      <c r="S2274">
        <v>-3.0019990000000001</v>
      </c>
      <c r="T2274">
        <v>-1.7694709999999999E-2</v>
      </c>
      <c r="U2274">
        <v>-1.45874E-2</v>
      </c>
      <c r="V2274">
        <v>4.6820029999999999E-2</v>
      </c>
      <c r="W2274">
        <v>1.8786580000000001E-2</v>
      </c>
      <c r="X2274">
        <v>0.99872669999999997</v>
      </c>
      <c r="Y2274">
        <v>8.1808069999999997E-2</v>
      </c>
      <c r="Z2274">
        <v>7.5134110000000002E-4</v>
      </c>
      <c r="AA2274">
        <v>0.99664779999999997</v>
      </c>
      <c r="AB2274">
        <v>12</v>
      </c>
      <c r="AC2274">
        <v>-188.21530000000001</v>
      </c>
      <c r="AD2274">
        <v>-1.1101505754250001</v>
      </c>
      <c r="AE2274">
        <v>-0.90469999999999096</v>
      </c>
      <c r="AF2274">
        <v>15.4075710091305</v>
      </c>
      <c r="AG2274">
        <v>-1.1101505754250001</v>
      </c>
      <c r="AH2274">
        <v>187.57920900728399</v>
      </c>
      <c r="AI2274">
        <v>90.337951712444394</v>
      </c>
      <c r="AJ2274">
        <v>85.30432260549</v>
      </c>
      <c r="AK2274">
        <v>188.21420066110801</v>
      </c>
      <c r="AL2274">
        <v>88.923544967103595</v>
      </c>
      <c r="AM2274">
        <v>87.315954885948898</v>
      </c>
      <c r="AN2274">
        <v>1.00000003604509</v>
      </c>
    </row>
    <row r="2275" spans="1:40" x14ac:dyDescent="0.25">
      <c r="A2275" t="str">
        <f>"20190312153932252"</f>
        <v>20190312153932252</v>
      </c>
      <c r="B2275" t="str">
        <f>"1552376372248161"</f>
        <v>1552376372248161</v>
      </c>
      <c r="C2275" t="s">
        <v>40</v>
      </c>
      <c r="D2275">
        <v>4.0427980000000003</v>
      </c>
      <c r="E2275">
        <v>0.51241029999999999</v>
      </c>
      <c r="F2275" t="s">
        <v>61</v>
      </c>
      <c r="G2275">
        <v>-380.22820000000002</v>
      </c>
      <c r="H2275" s="1">
        <v>-1.4153349999999999E-6</v>
      </c>
      <c r="I2275">
        <v>283.94220000000001</v>
      </c>
      <c r="J2275">
        <v>-214.42689999999999</v>
      </c>
      <c r="K2275">
        <v>1.1101669999999999</v>
      </c>
      <c r="L2275">
        <v>284.83440000000002</v>
      </c>
      <c r="M2275">
        <v>-0.99618019999999996</v>
      </c>
      <c r="N2275">
        <v>0</v>
      </c>
      <c r="O2275">
        <v>-8.6269999999999999E-2</v>
      </c>
      <c r="P2275">
        <v>-0.99919639999999998</v>
      </c>
      <c r="Q2275">
        <v>5.9217410000000003E-3</v>
      </c>
      <c r="R2275">
        <v>-3.9644739999999998E-2</v>
      </c>
      <c r="S2275">
        <v>-3.0019070000000001</v>
      </c>
      <c r="T2275">
        <v>-2.0085100000000002E-2</v>
      </c>
      <c r="U2275">
        <v>-1.6326899999999998E-2</v>
      </c>
      <c r="V2275">
        <v>4.67184E-2</v>
      </c>
      <c r="W2275">
        <v>1.9399199999999998E-2</v>
      </c>
      <c r="X2275">
        <v>0.99871969999999999</v>
      </c>
      <c r="Y2275">
        <v>8.0854389999999998E-2</v>
      </c>
      <c r="Z2275">
        <v>8.4716689999999998E-4</v>
      </c>
      <c r="AA2275">
        <v>0.99672559999999999</v>
      </c>
      <c r="AB2275">
        <v>12</v>
      </c>
      <c r="AC2275">
        <v>-165.8013</v>
      </c>
      <c r="AD2275">
        <v>-1.110168415335</v>
      </c>
      <c r="AE2275">
        <v>-0.89220000000000199</v>
      </c>
      <c r="AF2275">
        <v>13.4155089814546</v>
      </c>
      <c r="AG2275">
        <v>-1.110168415335</v>
      </c>
      <c r="AH2275">
        <v>165.25261401633199</v>
      </c>
      <c r="AI2275">
        <v>90.383645633781498</v>
      </c>
      <c r="AJ2275">
        <v>85.358802052411804</v>
      </c>
      <c r="AK2275">
        <v>165.79998430148501</v>
      </c>
      <c r="AL2275">
        <v>88.8884379750356</v>
      </c>
      <c r="AM2275">
        <v>87.321753777833294</v>
      </c>
      <c r="AN2275">
        <v>0.99999998851364402</v>
      </c>
    </row>
    <row r="2276" spans="1:40" x14ac:dyDescent="0.25">
      <c r="A2276" t="str">
        <f>"20190312153932272"</f>
        <v>20190312153932272</v>
      </c>
      <c r="B2276" t="str">
        <f>"1552376372267681"</f>
        <v>1552376372267681</v>
      </c>
      <c r="C2276" t="s">
        <v>40</v>
      </c>
      <c r="D2276">
        <v>4.0723349999999998</v>
      </c>
      <c r="E2276">
        <v>0.51197340000000002</v>
      </c>
      <c r="F2276" t="s">
        <v>61</v>
      </c>
      <c r="G2276">
        <v>-389.96730000000002</v>
      </c>
      <c r="H2276" s="1">
        <v>-1.5541789999999999E-6</v>
      </c>
      <c r="I2276">
        <v>283.63510000000002</v>
      </c>
      <c r="J2276">
        <v>-214.54310000000001</v>
      </c>
      <c r="K2276">
        <v>1.1101780000000001</v>
      </c>
      <c r="L2276">
        <v>284.82479999999998</v>
      </c>
      <c r="M2276">
        <v>-0.99621009999999999</v>
      </c>
      <c r="N2276">
        <v>0</v>
      </c>
      <c r="O2276">
        <v>-8.5923810000000003E-2</v>
      </c>
      <c r="P2276">
        <v>-0.99917690000000003</v>
      </c>
      <c r="Q2276">
        <v>6.6339859999999997E-3</v>
      </c>
      <c r="R2276">
        <v>-4.0019199999999998E-2</v>
      </c>
      <c r="S2276">
        <v>-3.0016780000000001</v>
      </c>
      <c r="T2276">
        <v>-1.898348E-2</v>
      </c>
      <c r="U2276">
        <v>-2.0507810000000001E-2</v>
      </c>
      <c r="V2276">
        <v>4.5996580000000002E-2</v>
      </c>
      <c r="W2276">
        <v>2.0110510000000002E-2</v>
      </c>
      <c r="X2276">
        <v>0.99873909999999999</v>
      </c>
      <c r="Y2276">
        <v>7.9119679999999998E-2</v>
      </c>
      <c r="Z2276">
        <v>7.9308399999999902E-4</v>
      </c>
      <c r="AA2276">
        <v>0.9968648</v>
      </c>
      <c r="AB2276">
        <v>12</v>
      </c>
      <c r="AC2276">
        <v>-175.42420000000001</v>
      </c>
      <c r="AD2276">
        <v>-1.110179554179</v>
      </c>
      <c r="AE2276">
        <v>-1.18969999999995</v>
      </c>
      <c r="AF2276">
        <v>13.888635947044</v>
      </c>
      <c r="AG2276">
        <v>-1.110179554179</v>
      </c>
      <c r="AH2276">
        <v>174.87054147010301</v>
      </c>
      <c r="AI2276">
        <v>90.362600133775601</v>
      </c>
      <c r="AJ2276">
        <v>85.458964532328594</v>
      </c>
      <c r="AK2276">
        <v>175.42472169326399</v>
      </c>
      <c r="AL2276">
        <v>88.847674918172899</v>
      </c>
      <c r="AM2276">
        <v>87.363126153970299</v>
      </c>
      <c r="AN2276">
        <v>0.999999953926482</v>
      </c>
    </row>
    <row r="2277" spans="1:40" x14ac:dyDescent="0.25">
      <c r="A2277" t="str">
        <f>"20190312153932295"</f>
        <v>20190312153932295</v>
      </c>
      <c r="B2277" t="str">
        <f>"1552376372288176"</f>
        <v>1552376372288176</v>
      </c>
      <c r="C2277" t="s">
        <v>40</v>
      </c>
      <c r="D2277">
        <v>4.03939</v>
      </c>
      <c r="E2277">
        <v>0.51181659999999995</v>
      </c>
      <c r="F2277" t="s">
        <v>61</v>
      </c>
      <c r="G2277">
        <v>-384.92250000000001</v>
      </c>
      <c r="H2277" s="1">
        <v>1.0827109999999999E-6</v>
      </c>
      <c r="I2277">
        <v>283.39920000000001</v>
      </c>
      <c r="J2277">
        <v>-214.67240000000001</v>
      </c>
      <c r="K2277">
        <v>1.1101920000000001</v>
      </c>
      <c r="L2277">
        <v>284.8141</v>
      </c>
      <c r="M2277">
        <v>-0.99624219999999997</v>
      </c>
      <c r="N2277">
        <v>0</v>
      </c>
      <c r="O2277">
        <v>-8.5551550000000004E-2</v>
      </c>
      <c r="P2277">
        <v>-0.99915180000000003</v>
      </c>
      <c r="Q2277">
        <v>6.8233149999999999E-3</v>
      </c>
      <c r="R2277">
        <v>-4.0606639999999999E-2</v>
      </c>
      <c r="S2277">
        <v>-3.0015869999999998</v>
      </c>
      <c r="T2277">
        <v>-1.955807E-2</v>
      </c>
      <c r="U2277">
        <v>-2.5115970000000001E-2</v>
      </c>
      <c r="V2277">
        <v>4.5035220000000001E-2</v>
      </c>
      <c r="W2277">
        <v>2.0298340000000002E-2</v>
      </c>
      <c r="X2277">
        <v>0.99877919999999998</v>
      </c>
      <c r="Y2277">
        <v>7.721633E-2</v>
      </c>
      <c r="Z2277">
        <v>8.0847969999999999E-4</v>
      </c>
      <c r="AA2277">
        <v>0.99701399999999996</v>
      </c>
      <c r="AB2277">
        <v>12</v>
      </c>
      <c r="AC2277">
        <v>-170.2501</v>
      </c>
      <c r="AD2277">
        <v>-1.1101909172890001</v>
      </c>
      <c r="AE2277">
        <v>-1.4148999999999801</v>
      </c>
      <c r="AF2277">
        <v>13.1562174816021</v>
      </c>
      <c r="AG2277">
        <v>-1.1101909172890001</v>
      </c>
      <c r="AH2277">
        <v>169.73964635011399</v>
      </c>
      <c r="AI2277">
        <v>90.373620105902503</v>
      </c>
      <c r="AJ2277">
        <v>85.567967248726106</v>
      </c>
      <c r="AK2277">
        <v>170.25236011685101</v>
      </c>
      <c r="AL2277">
        <v>88.836910956575494</v>
      </c>
      <c r="AM2277">
        <v>87.418266770424907</v>
      </c>
      <c r="AN2277">
        <v>1.00000004199992</v>
      </c>
    </row>
    <row r="2278" spans="1:40" x14ac:dyDescent="0.25">
      <c r="A2278" t="str">
        <f>"20190312153932318"</f>
        <v>20190312153932318</v>
      </c>
      <c r="B2278" t="str">
        <f>"1552376372307700"</f>
        <v>1552376372307700</v>
      </c>
      <c r="C2278" t="s">
        <v>40</v>
      </c>
      <c r="D2278">
        <v>4.0577300000000003</v>
      </c>
      <c r="E2278">
        <v>0.50704709999999997</v>
      </c>
      <c r="F2278" t="s">
        <v>61</v>
      </c>
      <c r="G2278">
        <v>-375.17</v>
      </c>
      <c r="H2278" s="1">
        <v>1.2144059999999999E-6</v>
      </c>
      <c r="I2278">
        <v>283.30470000000003</v>
      </c>
      <c r="J2278">
        <v>-214.79490000000001</v>
      </c>
      <c r="K2278">
        <v>1.1102099999999999</v>
      </c>
      <c r="L2278">
        <v>284.80410000000001</v>
      </c>
      <c r="M2278">
        <v>-0.99627109999999997</v>
      </c>
      <c r="N2278">
        <v>0</v>
      </c>
      <c r="O2278">
        <v>-8.5216650000000005E-2</v>
      </c>
      <c r="P2278">
        <v>-0.99911570000000005</v>
      </c>
      <c r="Q2278">
        <v>6.987058E-3</v>
      </c>
      <c r="R2278">
        <v>-4.1465910000000002E-2</v>
      </c>
      <c r="S2278">
        <v>-3.001541</v>
      </c>
      <c r="T2278">
        <v>-2.076221E-2</v>
      </c>
      <c r="U2278">
        <v>-2.8228759999999999E-2</v>
      </c>
      <c r="V2278">
        <v>4.3839799999999998E-2</v>
      </c>
      <c r="W2278">
        <v>2.0460909999999999E-2</v>
      </c>
      <c r="X2278">
        <v>0.99882899999999997</v>
      </c>
      <c r="Y2278">
        <v>7.5846670000000005E-2</v>
      </c>
      <c r="Z2278">
        <v>8.5121009999999996E-4</v>
      </c>
      <c r="AA2278">
        <v>0.99711910000000004</v>
      </c>
      <c r="AB2278">
        <v>12</v>
      </c>
      <c r="AC2278">
        <v>-160.3751</v>
      </c>
      <c r="AD2278">
        <v>-1.1102087855939999</v>
      </c>
      <c r="AE2278">
        <v>-1.4993999999999801</v>
      </c>
      <c r="AF2278">
        <v>12.1733445439838</v>
      </c>
      <c r="AG2278">
        <v>-1.1102087855939999</v>
      </c>
      <c r="AH2278">
        <v>159.91174326190799</v>
      </c>
      <c r="AI2278">
        <v>90.396629712019504</v>
      </c>
      <c r="AJ2278">
        <v>85.646732396222106</v>
      </c>
      <c r="AK2278">
        <v>160.37826696281601</v>
      </c>
      <c r="AL2278">
        <v>88.827594367520703</v>
      </c>
      <c r="AM2278">
        <v>87.486832668961398</v>
      </c>
      <c r="AN2278">
        <v>0.99999997407153296</v>
      </c>
    </row>
    <row r="2279" spans="1:40" x14ac:dyDescent="0.25">
      <c r="A2279" t="str">
        <f>"20190312153932340"</f>
        <v>20190312153932340</v>
      </c>
      <c r="B2279" t="str">
        <f>"1552376372328192"</f>
        <v>1552376372328192</v>
      </c>
      <c r="C2279" t="s">
        <v>40</v>
      </c>
      <c r="D2279">
        <v>4.0630870000000003</v>
      </c>
      <c r="E2279">
        <v>0.50706549999999995</v>
      </c>
      <c r="F2279" t="s">
        <v>61</v>
      </c>
      <c r="G2279">
        <v>-273.89440000000002</v>
      </c>
      <c r="H2279" s="1">
        <v>5.8714730000000001E-7</v>
      </c>
      <c r="I2279">
        <v>283.43700000000001</v>
      </c>
      <c r="J2279">
        <v>-214.91800000000001</v>
      </c>
      <c r="K2279">
        <v>1.1102270000000001</v>
      </c>
      <c r="L2279">
        <v>284.79390000000001</v>
      </c>
      <c r="M2279">
        <v>-0.99629780000000001</v>
      </c>
      <c r="N2279">
        <v>0</v>
      </c>
      <c r="O2279">
        <v>-8.4905049999999996E-2</v>
      </c>
      <c r="P2279">
        <v>-0.99907659999999998</v>
      </c>
      <c r="Q2279">
        <v>7.086513E-3</v>
      </c>
      <c r="R2279">
        <v>-4.238198E-2</v>
      </c>
      <c r="S2279">
        <v>-3.0001829999999998</v>
      </c>
      <c r="T2279">
        <v>-5.6359769999999997E-2</v>
      </c>
      <c r="U2279">
        <v>-6.9396970000000002E-2</v>
      </c>
      <c r="V2279">
        <v>4.2610460000000003E-2</v>
      </c>
      <c r="W2279">
        <v>2.0559600000000001E-2</v>
      </c>
      <c r="X2279">
        <v>0.9988802</v>
      </c>
      <c r="Y2279">
        <v>6.1823019999999999E-2</v>
      </c>
      <c r="Z2279">
        <v>2.1734940000000002E-3</v>
      </c>
      <c r="AA2279">
        <v>0.99808479999999999</v>
      </c>
      <c r="AB2279">
        <v>12</v>
      </c>
      <c r="AC2279">
        <v>-58.976399999999998</v>
      </c>
      <c r="AD2279">
        <v>-1.1102264128527</v>
      </c>
      <c r="AE2279">
        <v>-1.35689999999999</v>
      </c>
      <c r="AF2279">
        <v>3.65455567730955</v>
      </c>
      <c r="AG2279">
        <v>-1.1102264128527</v>
      </c>
      <c r="AH2279">
        <v>58.8577714588791</v>
      </c>
      <c r="AI2279">
        <v>91.078558003712601</v>
      </c>
      <c r="AJ2279">
        <v>86.446991758108894</v>
      </c>
      <c r="AK2279">
        <v>58.981570350339098</v>
      </c>
      <c r="AL2279">
        <v>88.821938689137795</v>
      </c>
      <c r="AM2279">
        <v>87.557344469923194</v>
      </c>
      <c r="AN2279">
        <v>1.0000000012028001</v>
      </c>
    </row>
    <row r="2280" spans="1:40" x14ac:dyDescent="0.25">
      <c r="A2280" t="str">
        <f>"20190312153932361"</f>
        <v>20190312153932361</v>
      </c>
      <c r="B2280" t="str">
        <f>"1552376372358448"</f>
        <v>1552376372358448</v>
      </c>
      <c r="C2280" t="s">
        <v>40</v>
      </c>
      <c r="D2280">
        <v>4.0986019999999996</v>
      </c>
      <c r="E2280">
        <v>0.50720880000000002</v>
      </c>
      <c r="F2280" t="s">
        <v>61</v>
      </c>
      <c r="G2280">
        <v>-272.00479999999999</v>
      </c>
      <c r="H2280" s="1">
        <v>-4.1779370000000001E-7</v>
      </c>
      <c r="I2280">
        <v>283.42290000000003</v>
      </c>
      <c r="J2280">
        <v>-215.0324</v>
      </c>
      <c r="K2280">
        <v>1.1102430000000001</v>
      </c>
      <c r="L2280">
        <v>284.78449999999998</v>
      </c>
      <c r="M2280">
        <v>-0.99632069999999995</v>
      </c>
      <c r="N2280">
        <v>0</v>
      </c>
      <c r="O2280">
        <v>-8.4636240000000001E-2</v>
      </c>
      <c r="P2280">
        <v>-0.99906859999999997</v>
      </c>
      <c r="Q2280">
        <v>7.5190400000000003E-3</v>
      </c>
      <c r="R2280">
        <v>-4.2494770000000001E-2</v>
      </c>
      <c r="S2280">
        <v>-3.0001370000000001</v>
      </c>
      <c r="T2280">
        <v>-5.8346870000000002E-2</v>
      </c>
      <c r="U2280">
        <v>-7.2052000000000005E-2</v>
      </c>
      <c r="V2280">
        <v>4.2227000000000001E-2</v>
      </c>
      <c r="W2280">
        <v>2.0991039999999999E-2</v>
      </c>
      <c r="X2280">
        <v>0.99888750000000004</v>
      </c>
      <c r="Y2280">
        <v>6.0668960000000001E-2</v>
      </c>
      <c r="Z2280">
        <v>2.2336769999999999E-3</v>
      </c>
      <c r="AA2280">
        <v>0.99815540000000003</v>
      </c>
      <c r="AB2280">
        <v>12</v>
      </c>
      <c r="AC2280">
        <v>-56.972399999999901</v>
      </c>
      <c r="AD2280">
        <v>-1.1102434177936999</v>
      </c>
      <c r="AE2280">
        <v>-1.36159999999995</v>
      </c>
      <c r="AF2280">
        <v>3.46433958330707</v>
      </c>
      <c r="AG2280">
        <v>-1.1102434177936999</v>
      </c>
      <c r="AH2280">
        <v>56.861610859024402</v>
      </c>
      <c r="AI2280">
        <v>91.116508812869895</v>
      </c>
      <c r="AJ2280">
        <v>86.513517965882301</v>
      </c>
      <c r="AK2280">
        <v>56.977864813261803</v>
      </c>
      <c r="AL2280">
        <v>88.797213648545593</v>
      </c>
      <c r="AM2280">
        <v>87.579317814775806</v>
      </c>
      <c r="AN2280">
        <v>0.999999990472765</v>
      </c>
    </row>
    <row r="2281" spans="1:40" x14ac:dyDescent="0.25">
      <c r="A2281" t="str">
        <f>"20190312153932384"</f>
        <v>20190312153932384</v>
      </c>
      <c r="B2281" t="str">
        <f>"1552376372377970"</f>
        <v>1552376372377970</v>
      </c>
      <c r="C2281" t="s">
        <v>40</v>
      </c>
      <c r="D2281">
        <v>4.1247939999999996</v>
      </c>
      <c r="E2281">
        <v>0.50738749999999999</v>
      </c>
      <c r="F2281" t="s">
        <v>61</v>
      </c>
      <c r="G2281">
        <v>-272.47089999999997</v>
      </c>
      <c r="H2281" s="1">
        <v>-1.69593999999999E-7</v>
      </c>
      <c r="I2281">
        <v>283.41969999999998</v>
      </c>
      <c r="J2281">
        <v>-215.15799999999999</v>
      </c>
      <c r="K2281">
        <v>1.110269</v>
      </c>
      <c r="L2281">
        <v>284.77420000000001</v>
      </c>
      <c r="M2281">
        <v>-0.99634290000000003</v>
      </c>
      <c r="N2281">
        <v>0</v>
      </c>
      <c r="O2281">
        <v>-8.4372359999999993E-2</v>
      </c>
      <c r="P2281">
        <v>-0.99908410000000003</v>
      </c>
      <c r="Q2281">
        <v>7.424511E-3</v>
      </c>
      <c r="R2281">
        <v>-4.214101E-2</v>
      </c>
      <c r="S2281">
        <v>-3.0002140000000002</v>
      </c>
      <c r="T2281">
        <v>-5.7991859999999999E-2</v>
      </c>
      <c r="U2281">
        <v>-7.1289060000000001E-2</v>
      </c>
      <c r="V2281">
        <v>4.2315390000000001E-2</v>
      </c>
      <c r="W2281">
        <v>2.0894739999999998E-2</v>
      </c>
      <c r="X2281">
        <v>0.99888580000000005</v>
      </c>
      <c r="Y2281">
        <v>6.0659280000000003E-2</v>
      </c>
      <c r="Z2281">
        <v>2.2148670000000001E-3</v>
      </c>
      <c r="AA2281">
        <v>0.99815609999999999</v>
      </c>
      <c r="AB2281">
        <v>12</v>
      </c>
      <c r="AC2281">
        <v>-57.3128999999999</v>
      </c>
      <c r="AD2281">
        <v>-1.1102691695939999</v>
      </c>
      <c r="AE2281">
        <v>-1.35450000000003</v>
      </c>
      <c r="AF2281">
        <v>3.4850885343125899</v>
      </c>
      <c r="AG2281">
        <v>-1.1102691695939999</v>
      </c>
      <c r="AH2281">
        <v>57.2013402434836</v>
      </c>
      <c r="AI2281">
        <v>91.1099050005717</v>
      </c>
      <c r="AJ2281">
        <v>86.513467406144002</v>
      </c>
      <c r="AK2281">
        <v>57.318163485685098</v>
      </c>
      <c r="AL2281">
        <v>88.802732468261595</v>
      </c>
      <c r="AM2281">
        <v>87.574252740340199</v>
      </c>
      <c r="AN2281">
        <v>1.0000000119160799</v>
      </c>
    </row>
    <row r="2282" spans="1:40" x14ac:dyDescent="0.25">
      <c r="A2282" t="str">
        <f>"20190312153932407"</f>
        <v>20190312153932407</v>
      </c>
      <c r="B2282" t="str">
        <f>"1552376372398465"</f>
        <v>1552376372398465</v>
      </c>
      <c r="C2282" t="s">
        <v>40</v>
      </c>
      <c r="D2282">
        <v>4.1275950000000003</v>
      </c>
      <c r="E2282">
        <v>0.50730649999999999</v>
      </c>
      <c r="F2282" t="s">
        <v>61</v>
      </c>
      <c r="G2282">
        <v>-271.34269999999998</v>
      </c>
      <c r="H2282" s="1">
        <v>-7.7271959999999998E-7</v>
      </c>
      <c r="I2282">
        <v>283.4821</v>
      </c>
      <c r="J2282">
        <v>-215.28190000000001</v>
      </c>
      <c r="K2282">
        <v>1.110293</v>
      </c>
      <c r="L2282">
        <v>284.76400000000001</v>
      </c>
      <c r="M2282">
        <v>-0.99636159999999996</v>
      </c>
      <c r="N2282">
        <v>0</v>
      </c>
      <c r="O2282">
        <v>-8.4153690000000003E-2</v>
      </c>
      <c r="P2282">
        <v>-0.99910589999999999</v>
      </c>
      <c r="Q2282">
        <v>8.4237400000000007E-3</v>
      </c>
      <c r="R2282">
        <v>-4.1434249999999999E-2</v>
      </c>
      <c r="S2282">
        <v>-3.0002900000000001</v>
      </c>
      <c r="T2282">
        <v>-5.9288979999999998E-2</v>
      </c>
      <c r="U2282">
        <v>-6.9000240000000004E-2</v>
      </c>
      <c r="V2282">
        <v>4.2801279999999997E-2</v>
      </c>
      <c r="W2282">
        <v>2.1892060000000001E-2</v>
      </c>
      <c r="X2282">
        <v>0.9988437</v>
      </c>
      <c r="Y2282">
        <v>6.1200570000000003E-2</v>
      </c>
      <c r="Z2282">
        <v>2.2654139999999999E-3</v>
      </c>
      <c r="AA2282">
        <v>0.99812290000000004</v>
      </c>
      <c r="AB2282">
        <v>12</v>
      </c>
      <c r="AC2282">
        <v>-56.060799999999901</v>
      </c>
      <c r="AD2282">
        <v>-1.1102937727196001</v>
      </c>
      <c r="AE2282">
        <v>-1.2819</v>
      </c>
      <c r="AF2282">
        <v>3.4394514899952702</v>
      </c>
      <c r="AG2282">
        <v>-1.1102937727196001</v>
      </c>
      <c r="AH2282">
        <v>55.947856815797699</v>
      </c>
      <c r="AI2282">
        <v>91.1347525708875</v>
      </c>
      <c r="AJ2282">
        <v>86.482110852083693</v>
      </c>
      <c r="AK2282">
        <v>56.064474144459503</v>
      </c>
      <c r="AL2282">
        <v>88.745577111886206</v>
      </c>
      <c r="AM2282">
        <v>87.546329453280094</v>
      </c>
      <c r="AN2282">
        <v>0.99999997444518496</v>
      </c>
    </row>
    <row r="2283" spans="1:40" x14ac:dyDescent="0.25">
      <c r="A2283" t="str">
        <f>"20190312153932430"</f>
        <v>20190312153932430</v>
      </c>
      <c r="B2283" t="str">
        <f>"1552376372417985"</f>
        <v>1552376372417985</v>
      </c>
      <c r="C2283" t="s">
        <v>40</v>
      </c>
      <c r="D2283">
        <v>4.1309519999999997</v>
      </c>
      <c r="E2283">
        <v>0.50736329999999996</v>
      </c>
      <c r="F2283" t="s">
        <v>61</v>
      </c>
      <c r="G2283">
        <v>-273.76749999999998</v>
      </c>
      <c r="H2283" s="1">
        <v>5.1928719999999999E-7</v>
      </c>
      <c r="I2283">
        <v>283.44450000000001</v>
      </c>
      <c r="J2283">
        <v>-215.40479999999999</v>
      </c>
      <c r="K2283">
        <v>1.110317</v>
      </c>
      <c r="L2283">
        <v>284.75380000000001</v>
      </c>
      <c r="M2283">
        <v>-0.99637569999999998</v>
      </c>
      <c r="N2283">
        <v>0</v>
      </c>
      <c r="O2283">
        <v>-8.3986829999999998E-2</v>
      </c>
      <c r="P2283">
        <v>-0.99914210000000003</v>
      </c>
      <c r="Q2283">
        <v>9.5989479999999995E-3</v>
      </c>
      <c r="R2283">
        <v>-4.0287580000000003E-2</v>
      </c>
      <c r="S2283">
        <v>-3.0003660000000001</v>
      </c>
      <c r="T2283">
        <v>-5.6959030000000001E-2</v>
      </c>
      <c r="U2283">
        <v>-6.7687990000000003E-2</v>
      </c>
      <c r="V2283">
        <v>4.3778299999999999E-2</v>
      </c>
      <c r="W2283">
        <v>2.306573E-2</v>
      </c>
      <c r="X2283">
        <v>0.99877490000000002</v>
      </c>
      <c r="Y2283">
        <v>6.1472470000000001E-2</v>
      </c>
      <c r="Z2283">
        <v>2.175789E-3</v>
      </c>
      <c r="AA2283">
        <v>0.99810639999999995</v>
      </c>
      <c r="AB2283">
        <v>12</v>
      </c>
      <c r="AC2283">
        <v>-58.362699999999897</v>
      </c>
      <c r="AD2283">
        <v>-1.1103164807128001</v>
      </c>
      <c r="AE2283">
        <v>-1.3092999999999999</v>
      </c>
      <c r="AF2283">
        <v>3.5961693609971999</v>
      </c>
      <c r="AG2283">
        <v>-1.1103164807128001</v>
      </c>
      <c r="AH2283">
        <v>58.245363039244602</v>
      </c>
      <c r="AI2283">
        <v>91.090007443827403</v>
      </c>
      <c r="AJ2283">
        <v>86.466944396445598</v>
      </c>
      <c r="AK2283">
        <v>58.366836065814901</v>
      </c>
      <c r="AL2283">
        <v>88.678313719251094</v>
      </c>
      <c r="AM2283">
        <v>87.490217952331804</v>
      </c>
      <c r="AN2283">
        <v>0.99999993416066402</v>
      </c>
    </row>
    <row r="2284" spans="1:40" x14ac:dyDescent="0.25">
      <c r="A2284" t="str">
        <f>"20190312153932452"</f>
        <v>20190312153932452</v>
      </c>
      <c r="B2284" t="str">
        <f>"1552376372438481"</f>
        <v>1552376372438481</v>
      </c>
      <c r="C2284" t="s">
        <v>40</v>
      </c>
      <c r="D2284">
        <v>4.0976309999999998</v>
      </c>
      <c r="E2284">
        <v>0.50746499999999894</v>
      </c>
      <c r="F2284" t="s">
        <v>61</v>
      </c>
      <c r="G2284">
        <v>-276.702</v>
      </c>
      <c r="H2284" s="1">
        <v>2.080805E-6</v>
      </c>
      <c r="I2284">
        <v>283.44709999999998</v>
      </c>
      <c r="J2284">
        <v>-215.52209999999999</v>
      </c>
      <c r="K2284">
        <v>1.1103400000000001</v>
      </c>
      <c r="L2284">
        <v>284.7441</v>
      </c>
      <c r="M2284">
        <v>-0.99638479999999996</v>
      </c>
      <c r="N2284">
        <v>0</v>
      </c>
      <c r="O2284">
        <v>-8.3879369999999995E-2</v>
      </c>
      <c r="P2284">
        <v>-0.99917409999999995</v>
      </c>
      <c r="Q2284">
        <v>1.0247310000000001E-2</v>
      </c>
      <c r="R2284">
        <v>-3.9323339999999998E-2</v>
      </c>
      <c r="S2284">
        <v>-3.0005190000000002</v>
      </c>
      <c r="T2284">
        <v>-5.4350259999999997E-2</v>
      </c>
      <c r="U2284">
        <v>-6.3964839999999995E-2</v>
      </c>
      <c r="V2284">
        <v>4.4632539999999998E-2</v>
      </c>
      <c r="W2284">
        <v>2.3713100000000001E-2</v>
      </c>
      <c r="X2284">
        <v>0.998722</v>
      </c>
      <c r="Y2284">
        <v>6.2605999999999995E-2</v>
      </c>
      <c r="Z2284">
        <v>2.0844190000000001E-3</v>
      </c>
      <c r="AA2284">
        <v>0.99803609999999998</v>
      </c>
      <c r="AB2284">
        <v>12</v>
      </c>
      <c r="AC2284">
        <v>-61.179900000000004</v>
      </c>
      <c r="AD2284">
        <v>-1.11033791919499</v>
      </c>
      <c r="AE2284">
        <v>-1.2970000000000199</v>
      </c>
      <c r="AF2284">
        <v>3.8385052685554002</v>
      </c>
      <c r="AG2284">
        <v>-1.11033791919499</v>
      </c>
      <c r="AH2284">
        <v>61.052958706834403</v>
      </c>
      <c r="AI2284">
        <v>91.039840537266102</v>
      </c>
      <c r="AJ2284">
        <v>86.402450306246493</v>
      </c>
      <c r="AK2284">
        <v>61.183582273760003</v>
      </c>
      <c r="AL2284">
        <v>88.641212092394994</v>
      </c>
      <c r="AM2284">
        <v>87.441174033303497</v>
      </c>
      <c r="AN2284">
        <v>1.00000000401123</v>
      </c>
    </row>
    <row r="2285" spans="1:40" x14ac:dyDescent="0.25">
      <c r="A2285" t="str">
        <f>"20190312153932473"</f>
        <v>20190312153932473</v>
      </c>
      <c r="B2285" t="str">
        <f>"1552376372467761"</f>
        <v>1552376372467761</v>
      </c>
      <c r="C2285" t="s">
        <v>40</v>
      </c>
      <c r="D2285">
        <v>4.1333640000000003</v>
      </c>
      <c r="E2285">
        <v>0.50781229999999999</v>
      </c>
      <c r="F2285" t="s">
        <v>62</v>
      </c>
      <c r="G2285">
        <v>-280.75889999999998</v>
      </c>
      <c r="H2285" s="1">
        <v>8.3096769999999998E-6</v>
      </c>
      <c r="I2285">
        <v>283.4357</v>
      </c>
      <c r="J2285">
        <v>-215.64080000000001</v>
      </c>
      <c r="K2285">
        <v>1.110368</v>
      </c>
      <c r="L2285">
        <v>284.73419999999999</v>
      </c>
      <c r="M2285">
        <v>-0.99638959999999999</v>
      </c>
      <c r="N2285">
        <v>0</v>
      </c>
      <c r="O2285">
        <v>-8.3822369999999993E-2</v>
      </c>
      <c r="P2285">
        <v>-0.99922279999999997</v>
      </c>
      <c r="Q2285">
        <v>9.8280120000000006E-3</v>
      </c>
      <c r="R2285">
        <v>-3.8176210000000002E-2</v>
      </c>
      <c r="S2285">
        <v>-3.0006409999999999</v>
      </c>
      <c r="T2285">
        <v>-5.107093E-2</v>
      </c>
      <c r="U2285">
        <v>-6.0180659999999997E-2</v>
      </c>
      <c r="V2285">
        <v>4.5721079999999997E-2</v>
      </c>
      <c r="W2285">
        <v>2.329312E-2</v>
      </c>
      <c r="X2285">
        <v>0.99868259999999998</v>
      </c>
      <c r="Y2285">
        <v>6.3810459999999999E-2</v>
      </c>
      <c r="Z2285">
        <v>1.9679160000000001E-3</v>
      </c>
      <c r="AA2285">
        <v>0.99796010000000002</v>
      </c>
      <c r="AB2285">
        <v>12</v>
      </c>
      <c r="AC2285">
        <v>-65.118099999999899</v>
      </c>
      <c r="AD2285">
        <v>-1.110359690323</v>
      </c>
      <c r="AE2285">
        <v>-1.29849999999999</v>
      </c>
      <c r="AF2285">
        <v>4.1637095876220398</v>
      </c>
      <c r="AG2285">
        <v>-1.110359690323</v>
      </c>
      <c r="AH2285">
        <v>64.978856942920601</v>
      </c>
      <c r="AI2285">
        <v>90.976972597027796</v>
      </c>
      <c r="AJ2285">
        <v>86.333618530766799</v>
      </c>
      <c r="AK2285">
        <v>65.1215880164212</v>
      </c>
      <c r="AL2285">
        <v>88.665281765561602</v>
      </c>
      <c r="AM2285">
        <v>87.378749736617394</v>
      </c>
      <c r="AN2285">
        <v>0.99999996106922895</v>
      </c>
    </row>
    <row r="2286" spans="1:40" x14ac:dyDescent="0.25">
      <c r="A2286" t="str">
        <f>"20190312153932487"</f>
        <v>20190312153932487</v>
      </c>
      <c r="B2286" t="str">
        <f>"1552376372478497"</f>
        <v>1552376372478497</v>
      </c>
      <c r="C2286" t="s">
        <v>40</v>
      </c>
      <c r="D2286">
        <v>4.1524239999999999</v>
      </c>
      <c r="E2286">
        <v>0.50776949999999998</v>
      </c>
      <c r="F2286" t="s">
        <v>62</v>
      </c>
      <c r="G2286">
        <v>-281.08949999999999</v>
      </c>
      <c r="H2286" s="1">
        <v>8.1372090000000002E-6</v>
      </c>
      <c r="I2286">
        <v>283.5607</v>
      </c>
      <c r="J2286">
        <v>-215.714</v>
      </c>
      <c r="K2286">
        <v>1.110382</v>
      </c>
      <c r="L2286">
        <v>284.72809999999998</v>
      </c>
      <c r="M2286">
        <v>-0.99639060000000002</v>
      </c>
      <c r="N2286">
        <v>0</v>
      </c>
      <c r="O2286">
        <v>-8.381189E-2</v>
      </c>
      <c r="P2286">
        <v>-0.99924590000000002</v>
      </c>
      <c r="Q2286">
        <v>9.503315E-3</v>
      </c>
      <c r="R2286">
        <v>-3.765433E-2</v>
      </c>
      <c r="S2286">
        <v>-3.0008089999999998</v>
      </c>
      <c r="T2286">
        <v>-5.0909759999999998E-2</v>
      </c>
      <c r="U2286">
        <v>-5.3802490000000001E-2</v>
      </c>
      <c r="V2286">
        <v>4.6231710000000002E-2</v>
      </c>
      <c r="W2286">
        <v>2.2968479999999999E-2</v>
      </c>
      <c r="X2286">
        <v>0.99866659999999996</v>
      </c>
      <c r="Y2286">
        <v>6.5921149999999998E-2</v>
      </c>
      <c r="Z2286">
        <v>1.979392E-3</v>
      </c>
      <c r="AA2286">
        <v>0.99782289999999996</v>
      </c>
      <c r="AB2286">
        <v>12</v>
      </c>
      <c r="AC2286">
        <v>-65.375499999999903</v>
      </c>
      <c r="AD2286">
        <v>-1.110373862791</v>
      </c>
      <c r="AE2286">
        <v>-1.16739999999998</v>
      </c>
      <c r="AF2286">
        <v>4.3152047844394996</v>
      </c>
      <c r="AG2286">
        <v>-1.110373862791</v>
      </c>
      <c r="AH2286">
        <v>65.224481881475995</v>
      </c>
      <c r="AI2286">
        <v>90.973175278097202</v>
      </c>
      <c r="AJ2286">
        <v>86.214868597601495</v>
      </c>
      <c r="AK2286">
        <v>65.376501582402</v>
      </c>
      <c r="AL2286">
        <v>88.683887231631005</v>
      </c>
      <c r="AM2286">
        <v>87.349473753531697</v>
      </c>
      <c r="AN2286">
        <v>0.99999995001929598</v>
      </c>
    </row>
    <row r="2287" spans="1:40" x14ac:dyDescent="0.25">
      <c r="A2287" t="str">
        <f>"20190312153932499"</f>
        <v>20190312153932499</v>
      </c>
      <c r="B2287" t="str">
        <f>"1552376372488257"</f>
        <v>1552376372488257</v>
      </c>
      <c r="C2287" t="s">
        <v>40</v>
      </c>
      <c r="D2287">
        <v>4.1876749999999996</v>
      </c>
      <c r="E2287">
        <v>0.50769869999999995</v>
      </c>
      <c r="F2287" t="s">
        <v>61</v>
      </c>
      <c r="G2287">
        <v>-278.68279999999999</v>
      </c>
      <c r="H2287" s="1">
        <v>3.1272089999999999E-6</v>
      </c>
      <c r="I2287">
        <v>283.62279999999998</v>
      </c>
      <c r="J2287">
        <v>-215.785</v>
      </c>
      <c r="K2287">
        <v>1.110393</v>
      </c>
      <c r="L2287">
        <v>284.72210000000001</v>
      </c>
      <c r="M2287">
        <v>-0.99639049999999996</v>
      </c>
      <c r="N2287">
        <v>0</v>
      </c>
      <c r="O2287">
        <v>-8.3812800000000007E-2</v>
      </c>
      <c r="P2287">
        <v>-0.99926559999999998</v>
      </c>
      <c r="Q2287">
        <v>9.0528770000000008E-3</v>
      </c>
      <c r="R2287">
        <v>-3.7236249999999999E-2</v>
      </c>
      <c r="S2287">
        <v>-3.0007779999999999</v>
      </c>
      <c r="T2287">
        <v>-5.2915099999999902E-2</v>
      </c>
      <c r="U2287">
        <v>-5.2673339999999999E-2</v>
      </c>
      <c r="V2287">
        <v>4.665031E-2</v>
      </c>
      <c r="W2287">
        <v>2.2517510000000001E-2</v>
      </c>
      <c r="X2287">
        <v>0.99865749999999998</v>
      </c>
      <c r="Y2287">
        <v>6.6295430000000002E-2</v>
      </c>
      <c r="Z2287">
        <v>2.0606980000000001E-3</v>
      </c>
      <c r="AA2287">
        <v>0.99779790000000002</v>
      </c>
      <c r="AB2287">
        <v>12</v>
      </c>
      <c r="AC2287">
        <v>-62.897799999999897</v>
      </c>
      <c r="AD2287">
        <v>-1.110389872791</v>
      </c>
      <c r="AE2287">
        <v>-1.0993000000000199</v>
      </c>
      <c r="AF2287">
        <v>4.17538656819836</v>
      </c>
      <c r="AG2287">
        <v>-1.110389872791</v>
      </c>
      <c r="AH2287">
        <v>62.749048382919099</v>
      </c>
      <c r="AI2287">
        <v>91.011548039160999</v>
      </c>
      <c r="AJ2287">
        <v>86.193091590748693</v>
      </c>
      <c r="AK2287">
        <v>62.897614355597099</v>
      </c>
      <c r="AL2287">
        <v>88.7097327197243</v>
      </c>
      <c r="AM2287">
        <v>87.325485205740705</v>
      </c>
      <c r="AN2287">
        <v>1.0000000459929701</v>
      </c>
    </row>
    <row r="2288" spans="1:40" x14ac:dyDescent="0.25">
      <c r="A2288" t="str">
        <f>"20190312153932512"</f>
        <v>20190312153932512</v>
      </c>
      <c r="B2288" t="str">
        <f>"1552376372507778"</f>
        <v>1552376372507778</v>
      </c>
      <c r="C2288" t="s">
        <v>40</v>
      </c>
      <c r="D2288">
        <v>4.1868189999999998</v>
      </c>
      <c r="E2288">
        <v>0.50750799999999996</v>
      </c>
      <c r="F2288" t="s">
        <v>61</v>
      </c>
      <c r="G2288">
        <v>-275.35109999999997</v>
      </c>
      <c r="H2288" s="1">
        <v>1.351313E-6</v>
      </c>
      <c r="I2288">
        <v>283.68979999999999</v>
      </c>
      <c r="J2288">
        <v>-215.85380000000001</v>
      </c>
      <c r="K2288">
        <v>1.1104019999999999</v>
      </c>
      <c r="L2288">
        <v>284.71629999999999</v>
      </c>
      <c r="M2288">
        <v>-0.99638899999999997</v>
      </c>
      <c r="N2288">
        <v>0</v>
      </c>
      <c r="O2288">
        <v>-8.3829500000000001E-2</v>
      </c>
      <c r="P2288">
        <v>-0.99928530000000004</v>
      </c>
      <c r="Q2288">
        <v>8.4747390000000002E-3</v>
      </c>
      <c r="R2288">
        <v>-3.6834350000000002E-2</v>
      </c>
      <c r="S2288">
        <v>-3.0007779999999999</v>
      </c>
      <c r="T2288">
        <v>-5.5938479999999999E-2</v>
      </c>
      <c r="U2288">
        <v>-5.2001949999999998E-2</v>
      </c>
      <c r="V2288">
        <v>4.7068550000000001E-2</v>
      </c>
      <c r="W2288">
        <v>2.193782E-2</v>
      </c>
      <c r="X2288">
        <v>0.9986507</v>
      </c>
      <c r="Y2288">
        <v>6.6532560000000004E-2</v>
      </c>
      <c r="Z2288">
        <v>2.1809479999999998E-3</v>
      </c>
      <c r="AA2288">
        <v>0.9977819</v>
      </c>
      <c r="AB2288">
        <v>12</v>
      </c>
      <c r="AC2288">
        <v>-59.497299999999903</v>
      </c>
      <c r="AD2288">
        <v>-1.1104006486869999</v>
      </c>
      <c r="AE2288">
        <v>-1.02649999999999</v>
      </c>
      <c r="AF2288">
        <v>3.9638153872211999</v>
      </c>
      <c r="AG2288">
        <v>-1.1104006486869999</v>
      </c>
      <c r="AH2288">
        <v>59.353229780007901</v>
      </c>
      <c r="AI2288">
        <v>91.069402553020296</v>
      </c>
      <c r="AJ2288">
        <v>86.179261773757403</v>
      </c>
      <c r="AK2288">
        <v>59.495804115441601</v>
      </c>
      <c r="AL2288">
        <v>88.742954619627298</v>
      </c>
      <c r="AM2288">
        <v>87.301523973405395</v>
      </c>
      <c r="AN2288">
        <v>0.99999996847797101</v>
      </c>
    </row>
    <row r="2289" spans="1:40" x14ac:dyDescent="0.25">
      <c r="A2289" t="str">
        <f>"20190312153932530"</f>
        <v>20190312153932530</v>
      </c>
      <c r="B2289" t="str">
        <f>"1552376372518513"</f>
        <v>1552376372518513</v>
      </c>
      <c r="C2289" t="s">
        <v>40</v>
      </c>
      <c r="D2289">
        <v>4.1850639999999997</v>
      </c>
      <c r="E2289">
        <v>0.50747569999999997</v>
      </c>
      <c r="F2289" t="s">
        <v>61</v>
      </c>
      <c r="G2289">
        <v>-270.91730000000001</v>
      </c>
      <c r="H2289" s="1">
        <v>-1.010955E-6</v>
      </c>
      <c r="I2289">
        <v>283.75420000000003</v>
      </c>
      <c r="J2289">
        <v>-215.94280000000001</v>
      </c>
      <c r="K2289">
        <v>1.110406</v>
      </c>
      <c r="L2289">
        <v>284.70870000000002</v>
      </c>
      <c r="M2289">
        <v>-0.99638599999999999</v>
      </c>
      <c r="N2289">
        <v>0</v>
      </c>
      <c r="O2289">
        <v>-8.386834E-2</v>
      </c>
      <c r="P2289">
        <v>-0.99932840000000001</v>
      </c>
      <c r="Q2289">
        <v>7.6795509999999997E-3</v>
      </c>
      <c r="R2289">
        <v>-3.5831500000000002E-2</v>
      </c>
      <c r="S2289">
        <v>-3.000702</v>
      </c>
      <c r="T2289">
        <v>-6.0511710000000003E-2</v>
      </c>
      <c r="U2289">
        <v>-5.2429199999999898E-2</v>
      </c>
      <c r="V2289">
        <v>4.8110119999999999E-2</v>
      </c>
      <c r="W2289">
        <v>2.1141210000000001E-2</v>
      </c>
      <c r="X2289">
        <v>0.99861829999999996</v>
      </c>
      <c r="Y2289">
        <v>6.6424540000000004E-2</v>
      </c>
      <c r="Z2289">
        <v>2.3589610000000001E-3</v>
      </c>
      <c r="AA2289">
        <v>0.99778869999999997</v>
      </c>
      <c r="AB2289">
        <v>12</v>
      </c>
      <c r="AC2289">
        <v>-54.974499999999999</v>
      </c>
      <c r="AD2289">
        <v>-1.1104070109549999</v>
      </c>
      <c r="AE2289">
        <v>-0.95449999999999602</v>
      </c>
      <c r="AF2289">
        <v>3.6584088126438701</v>
      </c>
      <c r="AG2289">
        <v>-1.1104070109549999</v>
      </c>
      <c r="AH2289">
        <v>54.838474321023803</v>
      </c>
      <c r="AI2289">
        <v>91.157433643282701</v>
      </c>
      <c r="AJ2289">
        <v>86.183313759064603</v>
      </c>
      <c r="AK2289">
        <v>54.971585611368297</v>
      </c>
      <c r="AL2289">
        <v>88.788607669333601</v>
      </c>
      <c r="AM2289">
        <v>87.241811829647602</v>
      </c>
      <c r="AN2289">
        <v>1.0000000217507801</v>
      </c>
    </row>
    <row r="2290" spans="1:40" x14ac:dyDescent="0.25">
      <c r="A2290" t="str">
        <f>"20190312153932543"</f>
        <v>20190312153932543</v>
      </c>
      <c r="B2290" t="str">
        <f>"1552376372538033"</f>
        <v>1552376372538033</v>
      </c>
      <c r="C2290" t="s">
        <v>40</v>
      </c>
      <c r="D2290">
        <v>4.2284680000000003</v>
      </c>
      <c r="E2290">
        <v>0.50733269999999997</v>
      </c>
      <c r="F2290" t="s">
        <v>61</v>
      </c>
      <c r="G2290">
        <v>-267.81389999999999</v>
      </c>
      <c r="H2290" s="1">
        <v>2.6213580000000001E-6</v>
      </c>
      <c r="I2290">
        <v>283.8467</v>
      </c>
      <c r="J2290">
        <v>-216.01779999999999</v>
      </c>
      <c r="K2290">
        <v>1.1104050000000001</v>
      </c>
      <c r="L2290">
        <v>284.70240000000001</v>
      </c>
      <c r="M2290">
        <v>-0.99638210000000005</v>
      </c>
      <c r="N2290">
        <v>0</v>
      </c>
      <c r="O2290">
        <v>-8.3913669999999996E-2</v>
      </c>
      <c r="P2290">
        <v>-0.99934350000000005</v>
      </c>
      <c r="Q2290">
        <v>7.4300440000000002E-3</v>
      </c>
      <c r="R2290">
        <v>-3.5460690000000003E-2</v>
      </c>
      <c r="S2290">
        <v>-3.0007169999999999</v>
      </c>
      <c r="T2290">
        <v>-6.4236399999999999E-2</v>
      </c>
      <c r="U2290">
        <v>-4.9865720000000002E-2</v>
      </c>
      <c r="V2290">
        <v>4.852625E-2</v>
      </c>
      <c r="W2290">
        <v>2.0889970000000001E-2</v>
      </c>
      <c r="X2290">
        <v>0.99860340000000003</v>
      </c>
      <c r="Y2290">
        <v>6.7318059999999999E-2</v>
      </c>
      <c r="Z2290">
        <v>2.5146809999999999E-3</v>
      </c>
      <c r="AA2290">
        <v>0.99772839999999996</v>
      </c>
      <c r="AB2290">
        <v>12</v>
      </c>
      <c r="AC2290">
        <v>-51.796100000000003</v>
      </c>
      <c r="AD2290">
        <v>-1.1104023786420001</v>
      </c>
      <c r="AE2290">
        <v>-0.85570000000001301</v>
      </c>
      <c r="AF2290">
        <v>3.4925086030167498</v>
      </c>
      <c r="AG2290">
        <v>-1.1104023786420001</v>
      </c>
      <c r="AH2290">
        <v>51.661458486646097</v>
      </c>
      <c r="AI2290">
        <v>91.228512645865294</v>
      </c>
      <c r="AJ2290">
        <v>86.132474848117099</v>
      </c>
      <c r="AK2290">
        <v>51.791282111491498</v>
      </c>
      <c r="AL2290">
        <v>88.803005777581006</v>
      </c>
      <c r="AM2290">
        <v>87.217950668453895</v>
      </c>
      <c r="AN2290">
        <v>0.999999969138611</v>
      </c>
    </row>
    <row r="2291" spans="1:40" x14ac:dyDescent="0.25">
      <c r="A2291" t="str">
        <f>"20190312153932564"</f>
        <v>20190312153932564</v>
      </c>
      <c r="B2291" t="str">
        <f>"1552376372558529"</f>
        <v>1552376372558529</v>
      </c>
      <c r="C2291" t="s">
        <v>40</v>
      </c>
      <c r="D2291">
        <v>4.2450190000000001</v>
      </c>
      <c r="E2291">
        <v>0.50720719999999997</v>
      </c>
      <c r="F2291" t="s">
        <v>61</v>
      </c>
      <c r="G2291">
        <v>-265.92759999999998</v>
      </c>
      <c r="H2291" s="1">
        <v>1.617585E-6</v>
      </c>
      <c r="I2291">
        <v>283.875</v>
      </c>
      <c r="J2291">
        <v>-216.125</v>
      </c>
      <c r="K2291">
        <v>1.1104050000000001</v>
      </c>
      <c r="L2291">
        <v>284.69330000000002</v>
      </c>
      <c r="M2291">
        <v>-0.99637509999999996</v>
      </c>
      <c r="N2291">
        <v>0</v>
      </c>
      <c r="O2291">
        <v>-8.3997569999999994E-2</v>
      </c>
      <c r="P2291">
        <v>-0.99937140000000002</v>
      </c>
      <c r="Q2291">
        <v>7.4762730000000003E-3</v>
      </c>
      <c r="R2291">
        <v>-3.4654009999999999E-2</v>
      </c>
      <c r="S2291">
        <v>-3.0006870000000001</v>
      </c>
      <c r="T2291">
        <v>-6.6759940000000004E-2</v>
      </c>
      <c r="U2291">
        <v>-4.974365E-2</v>
      </c>
      <c r="V2291">
        <v>4.9416580000000002E-2</v>
      </c>
      <c r="W2291">
        <v>2.09324E-2</v>
      </c>
      <c r="X2291">
        <v>0.99855890000000003</v>
      </c>
      <c r="Y2291">
        <v>6.7439669999999993E-2</v>
      </c>
      <c r="Z2291">
        <v>2.6166890000000002E-3</v>
      </c>
      <c r="AA2291">
        <v>0.99771989999999999</v>
      </c>
      <c r="AB2291">
        <v>12</v>
      </c>
      <c r="AC2291">
        <v>-49.802599999999899</v>
      </c>
      <c r="AD2291">
        <v>-1.1104033824149999</v>
      </c>
      <c r="AE2291">
        <v>-0.81830000000002101</v>
      </c>
      <c r="AF2291">
        <v>3.3665954566381999</v>
      </c>
      <c r="AG2291">
        <v>-1.1104033824149999</v>
      </c>
      <c r="AH2291">
        <v>49.670619710740198</v>
      </c>
      <c r="AI2291">
        <v>91.277722543848895</v>
      </c>
      <c r="AJ2291">
        <v>86.122513716612403</v>
      </c>
      <c r="AK2291">
        <v>49.796961986543998</v>
      </c>
      <c r="AL2291">
        <v>88.800574247206498</v>
      </c>
      <c r="AM2291">
        <v>87.166863688580094</v>
      </c>
      <c r="AN2291">
        <v>1.0000000202589301</v>
      </c>
    </row>
    <row r="2292" spans="1:40" x14ac:dyDescent="0.25">
      <c r="A2292" t="str">
        <f>"20190312153932578"</f>
        <v>20190312153932578</v>
      </c>
      <c r="B2292" t="str">
        <f>"1552376372568290"</f>
        <v>1552376372568290</v>
      </c>
      <c r="C2292" t="s">
        <v>40</v>
      </c>
      <c r="D2292">
        <v>4.2392919999999998</v>
      </c>
      <c r="E2292">
        <v>0.50715549999999998</v>
      </c>
      <c r="F2292" t="s">
        <v>61</v>
      </c>
      <c r="G2292">
        <v>-265.18290000000002</v>
      </c>
      <c r="H2292" s="1">
        <v>1.221268E-6</v>
      </c>
      <c r="I2292">
        <v>283.89999999999998</v>
      </c>
      <c r="J2292">
        <v>-216.1969</v>
      </c>
      <c r="K2292">
        <v>1.1104130000000001</v>
      </c>
      <c r="L2292">
        <v>284.68709999999999</v>
      </c>
      <c r="M2292">
        <v>-0.99636959999999997</v>
      </c>
      <c r="N2292">
        <v>0</v>
      </c>
      <c r="O2292">
        <v>-8.4062380000000006E-2</v>
      </c>
      <c r="P2292">
        <v>-0.99937869999999995</v>
      </c>
      <c r="Q2292">
        <v>7.7443379999999999E-3</v>
      </c>
      <c r="R2292">
        <v>-3.4383249999999997E-2</v>
      </c>
      <c r="S2292">
        <v>-3.0007169999999999</v>
      </c>
      <c r="T2292">
        <v>-6.7919969999999996E-2</v>
      </c>
      <c r="U2292">
        <v>-4.8522950000000002E-2</v>
      </c>
      <c r="V2292">
        <v>4.97521E-2</v>
      </c>
      <c r="W2292">
        <v>2.1196989999999999E-2</v>
      </c>
      <c r="X2292">
        <v>0.9985366</v>
      </c>
      <c r="Y2292">
        <v>6.790902E-2</v>
      </c>
      <c r="Z2292">
        <v>2.6689079999999998E-3</v>
      </c>
      <c r="AA2292">
        <v>0.99768789999999996</v>
      </c>
      <c r="AB2292">
        <v>12</v>
      </c>
      <c r="AC2292">
        <v>-48.985999999999997</v>
      </c>
      <c r="AD2292">
        <v>-1.11041177873199</v>
      </c>
      <c r="AE2292">
        <v>-0.78710000000000901</v>
      </c>
      <c r="AF2292">
        <v>3.3322274221416701</v>
      </c>
      <c r="AG2292">
        <v>-1.11041177873199</v>
      </c>
      <c r="AH2292">
        <v>48.853657520077199</v>
      </c>
      <c r="AI2292">
        <v>91.299054208808798</v>
      </c>
      <c r="AJ2292">
        <v>86.097993073496298</v>
      </c>
      <c r="AK2292">
        <v>48.979757114549002</v>
      </c>
      <c r="AL2292">
        <v>88.785410922731103</v>
      </c>
      <c r="AM2292">
        <v>87.147595822217099</v>
      </c>
      <c r="AN2292">
        <v>0.99999996268951397</v>
      </c>
    </row>
    <row r="2293" spans="1:40" x14ac:dyDescent="0.25">
      <c r="A2293" t="str">
        <f>"20190312153932597"</f>
        <v>20190312153932597</v>
      </c>
      <c r="B2293" t="str">
        <f>"1552376372587809"</f>
        <v>1552376372587809</v>
      </c>
      <c r="C2293" t="s">
        <v>40</v>
      </c>
      <c r="D2293">
        <v>4.2350599999999998</v>
      </c>
      <c r="E2293">
        <v>0.50700310000000004</v>
      </c>
      <c r="F2293" t="s">
        <v>61</v>
      </c>
      <c r="G2293">
        <v>-265.0489</v>
      </c>
      <c r="H2293" s="1">
        <v>1.150001E-6</v>
      </c>
      <c r="I2293">
        <v>283.90219999999999</v>
      </c>
      <c r="J2293">
        <v>-216.30539999999999</v>
      </c>
      <c r="K2293">
        <v>1.1104080000000001</v>
      </c>
      <c r="L2293">
        <v>284.67790000000002</v>
      </c>
      <c r="M2293">
        <v>-0.99636069999999999</v>
      </c>
      <c r="N2293">
        <v>0</v>
      </c>
      <c r="O2293">
        <v>-8.4169759999999996E-2</v>
      </c>
      <c r="P2293">
        <v>-0.99936930000000002</v>
      </c>
      <c r="Q2293">
        <v>8.1295599999999992E-3</v>
      </c>
      <c r="R2293">
        <v>-3.4575050000000003E-2</v>
      </c>
      <c r="S2293">
        <v>-3.0007480000000002</v>
      </c>
      <c r="T2293">
        <v>-6.8207379999999998E-2</v>
      </c>
      <c r="U2293">
        <v>-4.821777E-2</v>
      </c>
      <c r="V2293">
        <v>4.9667820000000001E-2</v>
      </c>
      <c r="W2293">
        <v>2.1568839999999999E-2</v>
      </c>
      <c r="X2293">
        <v>0.99853289999999995</v>
      </c>
      <c r="Y2293">
        <v>6.8117739999999996E-2</v>
      </c>
      <c r="Z2293">
        <v>2.6849809999999999E-3</v>
      </c>
      <c r="AA2293">
        <v>0.9976737</v>
      </c>
      <c r="AB2293">
        <v>12</v>
      </c>
      <c r="AC2293">
        <v>-48.743499999999997</v>
      </c>
      <c r="AD2293">
        <v>-1.1104068499990001</v>
      </c>
      <c r="AE2293">
        <v>-0.77570000000002803</v>
      </c>
      <c r="AF2293">
        <v>3.3284259021639202</v>
      </c>
      <c r="AG2293">
        <v>-1.1104068499990001</v>
      </c>
      <c r="AH2293">
        <v>48.610574927898497</v>
      </c>
      <c r="AI2293">
        <v>91.305518901482301</v>
      </c>
      <c r="AJ2293">
        <v>86.083001182148905</v>
      </c>
      <c r="AK2293">
        <v>48.737043582675</v>
      </c>
      <c r="AL2293">
        <v>88.764100696743</v>
      </c>
      <c r="AM2293">
        <v>87.152409297822899</v>
      </c>
      <c r="AN2293">
        <v>1.0000000297924501</v>
      </c>
    </row>
    <row r="2294" spans="1:40" x14ac:dyDescent="0.25">
      <c r="A2294" t="str">
        <f>"20190312153932610"</f>
        <v>20190312153932610</v>
      </c>
      <c r="B2294" t="str">
        <f>"1552376372598547"</f>
        <v>1552376372598547</v>
      </c>
      <c r="C2294" t="s">
        <v>40</v>
      </c>
      <c r="D2294">
        <v>4.2669309999999996</v>
      </c>
      <c r="E2294">
        <v>0.50692470000000001</v>
      </c>
      <c r="F2294" t="s">
        <v>61</v>
      </c>
      <c r="G2294">
        <v>-265.11970000000002</v>
      </c>
      <c r="H2294" s="1">
        <v>1.1876399999999999E-6</v>
      </c>
      <c r="I2294">
        <v>283.86520000000002</v>
      </c>
      <c r="J2294">
        <v>-216.37459999999999</v>
      </c>
      <c r="K2294">
        <v>1.1103989999999999</v>
      </c>
      <c r="L2294">
        <v>284.67189999999999</v>
      </c>
      <c r="M2294">
        <v>-0.99635510000000005</v>
      </c>
      <c r="N2294">
        <v>0</v>
      </c>
      <c r="O2294">
        <v>-8.4239560000000005E-2</v>
      </c>
      <c r="P2294">
        <v>-0.99936899999999995</v>
      </c>
      <c r="Q2294">
        <v>7.9444319999999995E-3</v>
      </c>
      <c r="R2294">
        <v>-3.4619320000000002E-2</v>
      </c>
      <c r="S2294">
        <v>-3.000702</v>
      </c>
      <c r="T2294">
        <v>-6.8258760000000002E-2</v>
      </c>
      <c r="U2294">
        <v>-4.995728E-2</v>
      </c>
      <c r="V2294">
        <v>4.9693929999999997E-2</v>
      </c>
      <c r="W2294">
        <v>2.1364319999999999E-2</v>
      </c>
      <c r="X2294">
        <v>0.99853599999999998</v>
      </c>
      <c r="Y2294">
        <v>6.7609210000000003E-2</v>
      </c>
      <c r="Z2294">
        <v>2.6828189999999999E-3</v>
      </c>
      <c r="AA2294">
        <v>0.99770829999999999</v>
      </c>
      <c r="AB2294">
        <v>12</v>
      </c>
      <c r="AC2294">
        <v>-48.745100000000001</v>
      </c>
      <c r="AD2294">
        <v>-1.11039781236</v>
      </c>
      <c r="AE2294">
        <v>-0.80669999999997799</v>
      </c>
      <c r="AF2294">
        <v>3.3010912186311798</v>
      </c>
      <c r="AG2294">
        <v>-1.11039781236</v>
      </c>
      <c r="AH2294">
        <v>48.614548096709001</v>
      </c>
      <c r="AI2294">
        <v>91.305451916599296</v>
      </c>
      <c r="AJ2294">
        <v>86.115387142543298</v>
      </c>
      <c r="AK2294">
        <v>48.739147234873201</v>
      </c>
      <c r="AL2294">
        <v>88.7758215329047</v>
      </c>
      <c r="AM2294">
        <v>87.1509236370987</v>
      </c>
      <c r="AN2294">
        <v>1.00000003207195</v>
      </c>
    </row>
    <row r="2295" spans="1:40" x14ac:dyDescent="0.25">
      <c r="A2295" t="str">
        <f>"20190312153932623"</f>
        <v>20190312153932623</v>
      </c>
      <c r="B2295" t="str">
        <f>"1552376372618070"</f>
        <v>1552376372618070</v>
      </c>
      <c r="C2295" t="s">
        <v>40</v>
      </c>
      <c r="D2295">
        <v>4.2399199999999997</v>
      </c>
      <c r="E2295">
        <v>0.50681129999999996</v>
      </c>
      <c r="F2295" t="s">
        <v>61</v>
      </c>
      <c r="G2295">
        <v>-264.2586</v>
      </c>
      <c r="H2295" s="1">
        <v>7.2944950000000005E-7</v>
      </c>
      <c r="I2295">
        <v>283.86250000000001</v>
      </c>
      <c r="J2295">
        <v>-216.4435</v>
      </c>
      <c r="K2295">
        <v>1.110387</v>
      </c>
      <c r="L2295">
        <v>284.666</v>
      </c>
      <c r="M2295">
        <v>-0.9963497</v>
      </c>
      <c r="N2295">
        <v>0</v>
      </c>
      <c r="O2295">
        <v>-8.4308469999999996E-2</v>
      </c>
      <c r="P2295">
        <v>-0.9993573</v>
      </c>
      <c r="Q2295">
        <v>7.9407519999999902E-3</v>
      </c>
      <c r="R2295">
        <v>-3.4960070000000003E-2</v>
      </c>
      <c r="S2295">
        <v>-3.0006870000000001</v>
      </c>
      <c r="T2295">
        <v>-6.9583889999999995E-2</v>
      </c>
      <c r="U2295">
        <v>-5.0720210000000002E-2</v>
      </c>
      <c r="V2295">
        <v>4.9422670000000002E-2</v>
      </c>
      <c r="W2295">
        <v>2.1334289999999999E-2</v>
      </c>
      <c r="X2295">
        <v>0.9985501</v>
      </c>
      <c r="Y2295">
        <v>6.7422990000000002E-2</v>
      </c>
      <c r="Z2295">
        <v>2.7343229999999999E-3</v>
      </c>
      <c r="AA2295">
        <v>0.99772070000000002</v>
      </c>
      <c r="AB2295">
        <v>12</v>
      </c>
      <c r="AC2295">
        <v>-47.815100000000001</v>
      </c>
      <c r="AD2295">
        <v>-1.1103862705505001</v>
      </c>
      <c r="AE2295">
        <v>-0.803499999999985</v>
      </c>
      <c r="AF2295">
        <v>3.2291997330641302</v>
      </c>
      <c r="AG2295">
        <v>-1.1103862705505001</v>
      </c>
      <c r="AH2295">
        <v>47.686871849115398</v>
      </c>
      <c r="AI2295">
        <v>91.330841400403997</v>
      </c>
      <c r="AJ2295">
        <v>86.126030531637099</v>
      </c>
      <c r="AK2295">
        <v>47.808978605904201</v>
      </c>
      <c r="AL2295">
        <v>88.777542511432998</v>
      </c>
      <c r="AM2295">
        <v>87.166490177332506</v>
      </c>
      <c r="AN2295">
        <v>1.0000000272248699</v>
      </c>
    </row>
    <row r="2296" spans="1:40" x14ac:dyDescent="0.25">
      <c r="A2296" t="str">
        <f>"20190312153932642"</f>
        <v>20190312153932642</v>
      </c>
      <c r="B2296" t="str">
        <f>"1552376372638567"</f>
        <v>1552376372638567</v>
      </c>
      <c r="C2296" t="s">
        <v>40</v>
      </c>
      <c r="D2296">
        <v>4.2747950000000001</v>
      </c>
      <c r="E2296">
        <v>0.50406200000000001</v>
      </c>
      <c r="F2296" t="s">
        <v>61</v>
      </c>
      <c r="G2296">
        <v>-263.78370000000001</v>
      </c>
      <c r="H2296" s="1">
        <v>4.7668709999999998E-7</v>
      </c>
      <c r="I2296">
        <v>283.83600000000001</v>
      </c>
      <c r="J2296">
        <v>-216.5419</v>
      </c>
      <c r="K2296">
        <v>1.110368</v>
      </c>
      <c r="L2296">
        <v>284.6576</v>
      </c>
      <c r="M2296">
        <v>-0.99634239999999996</v>
      </c>
      <c r="N2296">
        <v>0</v>
      </c>
      <c r="O2296">
        <v>-8.4404439999999997E-2</v>
      </c>
      <c r="P2296">
        <v>-0.9993303</v>
      </c>
      <c r="Q2296">
        <v>7.6777590000000001E-3</v>
      </c>
      <c r="R2296">
        <v>-3.5783219999999998E-2</v>
      </c>
      <c r="S2296">
        <v>-3.0006409999999999</v>
      </c>
      <c r="T2296">
        <v>-7.0381520000000003E-2</v>
      </c>
      <c r="U2296">
        <v>-5.2612300000000001E-2</v>
      </c>
      <c r="V2296">
        <v>4.8696709999999997E-2</v>
      </c>
      <c r="W2296">
        <v>2.1014399999999999E-2</v>
      </c>
      <c r="X2296">
        <v>0.99859249999999999</v>
      </c>
      <c r="Y2296">
        <v>6.6889000000000004E-2</v>
      </c>
      <c r="Z2296">
        <v>2.7616530000000002E-3</v>
      </c>
      <c r="AA2296">
        <v>0.99775659999999999</v>
      </c>
      <c r="AB2296">
        <v>12</v>
      </c>
      <c r="AC2296">
        <v>-47.241799999999998</v>
      </c>
      <c r="AD2296">
        <v>-1.1103675233129</v>
      </c>
      <c r="AE2296">
        <v>-0.82159999999998901</v>
      </c>
      <c r="AF2296">
        <v>3.1673551384288401</v>
      </c>
      <c r="AG2296">
        <v>-1.1103675233129</v>
      </c>
      <c r="AH2296">
        <v>47.116523262521703</v>
      </c>
      <c r="AI2296">
        <v>91.346967262422496</v>
      </c>
      <c r="AJ2296">
        <v>86.154142082252093</v>
      </c>
      <c r="AK2296">
        <v>47.235916620274303</v>
      </c>
      <c r="AL2296">
        <v>88.795874908580799</v>
      </c>
      <c r="AM2296">
        <v>87.208163066854297</v>
      </c>
      <c r="AN2296">
        <v>0.99999997781421601</v>
      </c>
    </row>
    <row r="2297" spans="1:40" x14ac:dyDescent="0.25">
      <c r="A2297" t="str">
        <f>"20190312153932667"</f>
        <v>20190312153932667</v>
      </c>
      <c r="B2297" t="str">
        <f>"1552376372658086"</f>
        <v>1552376372658086</v>
      </c>
      <c r="C2297" t="s">
        <v>40</v>
      </c>
      <c r="D2297">
        <v>4.2683350000000004</v>
      </c>
      <c r="E2297">
        <v>0.50421240000000001</v>
      </c>
      <c r="F2297" t="s">
        <v>61</v>
      </c>
      <c r="G2297">
        <v>-249.80410000000001</v>
      </c>
      <c r="H2297" s="1">
        <v>3.6804789999999998E-6</v>
      </c>
      <c r="I2297">
        <v>283.79640000000001</v>
      </c>
      <c r="J2297">
        <v>-216.67580000000001</v>
      </c>
      <c r="K2297">
        <v>1.1103259999999999</v>
      </c>
      <c r="L2297">
        <v>284.64600000000002</v>
      </c>
      <c r="M2297">
        <v>-0.99633360000000004</v>
      </c>
      <c r="N2297">
        <v>0</v>
      </c>
      <c r="O2297">
        <v>-8.452672E-2</v>
      </c>
      <c r="P2297">
        <v>-0.99927600000000005</v>
      </c>
      <c r="Q2297">
        <v>8.1489869999999999E-3</v>
      </c>
      <c r="R2297">
        <v>-3.7160199999999997E-2</v>
      </c>
      <c r="S2297">
        <v>-2.9999850000000001</v>
      </c>
      <c r="T2297">
        <v>-0.1001461</v>
      </c>
      <c r="U2297">
        <v>-7.7667239999999999E-2</v>
      </c>
      <c r="V2297">
        <v>4.7442980000000003E-2</v>
      </c>
      <c r="W2297">
        <v>2.1355740000000002E-2</v>
      </c>
      <c r="X2297">
        <v>0.99864560000000002</v>
      </c>
      <c r="Y2297">
        <v>5.8638320000000001E-2</v>
      </c>
      <c r="Z2297">
        <v>3.7956769999999999E-3</v>
      </c>
      <c r="AA2297">
        <v>0.9982721</v>
      </c>
      <c r="AB2297">
        <v>12</v>
      </c>
      <c r="AC2297">
        <v>-33.128300000000003</v>
      </c>
      <c r="AD2297">
        <v>-1.1103223195209999</v>
      </c>
      <c r="AE2297">
        <v>-0.84959999999995195</v>
      </c>
      <c r="AF2297">
        <v>1.9517211389504801</v>
      </c>
      <c r="AG2297">
        <v>-1.1103223195209999</v>
      </c>
      <c r="AH2297">
        <v>33.044445522775398</v>
      </c>
      <c r="AI2297">
        <v>91.921118875780806</v>
      </c>
      <c r="AJ2297">
        <v>86.619836721866605</v>
      </c>
      <c r="AK2297">
        <v>33.120649313760801</v>
      </c>
      <c r="AL2297">
        <v>88.776313165903005</v>
      </c>
      <c r="AM2297">
        <v>87.280075853853106</v>
      </c>
      <c r="AN2297">
        <v>0.99999996919079304</v>
      </c>
    </row>
    <row r="2298" spans="1:40" x14ac:dyDescent="0.25">
      <c r="A2298" t="str">
        <f>"20190312153932686"</f>
        <v>20190312153932686</v>
      </c>
      <c r="B2298" t="str">
        <f>"1552376372678583"</f>
        <v>1552376372678583</v>
      </c>
      <c r="C2298" t="s">
        <v>40</v>
      </c>
      <c r="D2298">
        <v>4.2634249999999998</v>
      </c>
      <c r="E2298">
        <v>0.50417319999999999</v>
      </c>
      <c r="F2298" t="s">
        <v>61</v>
      </c>
      <c r="G2298">
        <v>-251.72219999999999</v>
      </c>
      <c r="H2298" s="1">
        <v>-6.2032759999999997E-7</v>
      </c>
      <c r="I2298">
        <v>283.70769999999999</v>
      </c>
      <c r="J2298">
        <v>-216.7748</v>
      </c>
      <c r="K2298">
        <v>1.1102890000000001</v>
      </c>
      <c r="L2298">
        <v>284.63749999999999</v>
      </c>
      <c r="M2298">
        <v>-0.99632790000000004</v>
      </c>
      <c r="N2298">
        <v>0</v>
      </c>
      <c r="O2298">
        <v>-8.4614300000000003E-2</v>
      </c>
      <c r="P2298">
        <v>-0.99924469999999999</v>
      </c>
      <c r="Q2298">
        <v>8.2910039999999994E-3</v>
      </c>
      <c r="R2298">
        <v>-3.7962990000000002E-2</v>
      </c>
      <c r="S2298">
        <v>-2.9999389999999999</v>
      </c>
      <c r="T2298">
        <v>-9.504282E-2</v>
      </c>
      <c r="U2298">
        <v>-8.0322270000000001E-2</v>
      </c>
      <c r="V2298">
        <v>4.6728680000000002E-2</v>
      </c>
      <c r="W2298">
        <v>2.1361939999999999E-2</v>
      </c>
      <c r="X2298">
        <v>0.99867919999999999</v>
      </c>
      <c r="Y2298">
        <v>5.7850859999999997E-2</v>
      </c>
      <c r="Z2298">
        <v>3.5926360000000002E-3</v>
      </c>
      <c r="AA2298">
        <v>0.99831879999999995</v>
      </c>
      <c r="AB2298">
        <v>12</v>
      </c>
      <c r="AC2298">
        <v>-34.947399999999902</v>
      </c>
      <c r="AD2298">
        <v>-1.11028962032759</v>
      </c>
      <c r="AE2298">
        <v>-0.92979999999999996</v>
      </c>
      <c r="AF2298">
        <v>2.0287915713687301</v>
      </c>
      <c r="AG2298">
        <v>-1.11028962032759</v>
      </c>
      <c r="AH2298">
        <v>34.865563793572598</v>
      </c>
      <c r="AI2298">
        <v>91.820882677902503</v>
      </c>
      <c r="AJ2298">
        <v>86.669772351247005</v>
      </c>
      <c r="AK2298">
        <v>34.9421847760661</v>
      </c>
      <c r="AL2298">
        <v>88.775957917200202</v>
      </c>
      <c r="AM2298">
        <v>87.321056832095707</v>
      </c>
      <c r="AN2298">
        <v>1.0000000232638699</v>
      </c>
    </row>
    <row r="2299" spans="1:40" x14ac:dyDescent="0.25">
      <c r="A2299" t="str">
        <f>"20190312153932699"</f>
        <v>20190312153932699</v>
      </c>
      <c r="B2299" t="str">
        <f>"1552376372688342"</f>
        <v>1552376372688342</v>
      </c>
      <c r="C2299" t="s">
        <v>40</v>
      </c>
      <c r="D2299">
        <v>4.268764</v>
      </c>
      <c r="E2299">
        <v>0.50446299999999999</v>
      </c>
      <c r="F2299" t="s">
        <v>61</v>
      </c>
      <c r="G2299">
        <v>-252.78049999999999</v>
      </c>
      <c r="H2299" s="1">
        <v>-5.7125019999999997E-8</v>
      </c>
      <c r="I2299">
        <v>283.63749999999999</v>
      </c>
      <c r="J2299">
        <v>-216.8426</v>
      </c>
      <c r="K2299">
        <v>1.1102609999999999</v>
      </c>
      <c r="L2299">
        <v>284.63170000000002</v>
      </c>
      <c r="M2299">
        <v>-0.99632449999999995</v>
      </c>
      <c r="N2299">
        <v>0</v>
      </c>
      <c r="O2299">
        <v>-8.4673609999999996E-2</v>
      </c>
      <c r="P2299">
        <v>-0.9992415</v>
      </c>
      <c r="Q2299">
        <v>8.0511230000000003E-3</v>
      </c>
      <c r="R2299">
        <v>-3.8106609999999999E-2</v>
      </c>
      <c r="S2299">
        <v>-2.9998629999999999</v>
      </c>
      <c r="T2299">
        <v>-9.2505100000000007E-2</v>
      </c>
      <c r="U2299">
        <v>-8.3312990000000003E-2</v>
      </c>
      <c r="V2299">
        <v>4.6645060000000002E-2</v>
      </c>
      <c r="W2299">
        <v>2.1012019999999999E-2</v>
      </c>
      <c r="X2299">
        <v>0.99869050000000004</v>
      </c>
      <c r="Y2299">
        <v>5.69191E-2</v>
      </c>
      <c r="Z2299">
        <v>3.4842279999999998E-3</v>
      </c>
      <c r="AA2299">
        <v>0.9983727</v>
      </c>
      <c r="AB2299">
        <v>12</v>
      </c>
      <c r="AC2299">
        <v>-35.9378999999999</v>
      </c>
      <c r="AD2299">
        <v>-1.11026105712502</v>
      </c>
      <c r="AE2299">
        <v>-0.99420000000003395</v>
      </c>
      <c r="AF2299">
        <v>2.0506624847570798</v>
      </c>
      <c r="AG2299">
        <v>-1.11026105712502</v>
      </c>
      <c r="AH2299">
        <v>35.858806959244703</v>
      </c>
      <c r="AI2299">
        <v>91.770535510951404</v>
      </c>
      <c r="AJ2299">
        <v>86.726983325748606</v>
      </c>
      <c r="AK2299">
        <v>35.934550682897601</v>
      </c>
      <c r="AL2299">
        <v>88.796011318170002</v>
      </c>
      <c r="AM2299">
        <v>87.325873993706296</v>
      </c>
      <c r="AN2299">
        <v>0.99999999069856704</v>
      </c>
    </row>
    <row r="2300" spans="1:40" x14ac:dyDescent="0.25">
      <c r="A2300" t="str">
        <f>"20190312153932711"</f>
        <v>20190312153932711</v>
      </c>
      <c r="B2300" t="str">
        <f>"1552376372707862"</f>
        <v>1552376372707862</v>
      </c>
      <c r="C2300" t="s">
        <v>40</v>
      </c>
      <c r="D2300">
        <v>4.2856629999999996</v>
      </c>
      <c r="E2300">
        <v>0.50474189999999997</v>
      </c>
      <c r="F2300" t="s">
        <v>61</v>
      </c>
      <c r="G2300">
        <v>-252.49850000000001</v>
      </c>
      <c r="H2300" s="1">
        <v>-2.0719779999999999E-7</v>
      </c>
      <c r="I2300">
        <v>283.66250000000002</v>
      </c>
      <c r="J2300">
        <v>-216.9119</v>
      </c>
      <c r="K2300">
        <v>1.110233</v>
      </c>
      <c r="L2300">
        <v>284.62569999999999</v>
      </c>
      <c r="M2300">
        <v>-0.99632129999999997</v>
      </c>
      <c r="N2300">
        <v>0</v>
      </c>
      <c r="O2300">
        <v>-8.4731840000000003E-2</v>
      </c>
      <c r="P2300">
        <v>-0.99924250000000003</v>
      </c>
      <c r="Q2300">
        <v>7.8878009999999998E-3</v>
      </c>
      <c r="R2300">
        <v>-3.8108679999999999E-2</v>
      </c>
      <c r="S2300">
        <v>-2.9999389999999999</v>
      </c>
      <c r="T2300">
        <v>-9.3412640000000005E-2</v>
      </c>
      <c r="U2300">
        <v>-8.1542970000000006E-2</v>
      </c>
      <c r="V2300">
        <v>4.670154E-2</v>
      </c>
      <c r="W2300">
        <v>2.071549E-2</v>
      </c>
      <c r="X2300">
        <v>0.99869410000000003</v>
      </c>
      <c r="Y2300">
        <v>5.7564940000000002E-2</v>
      </c>
      <c r="Z2300">
        <v>3.530203E-3</v>
      </c>
      <c r="AA2300">
        <v>0.99833550000000004</v>
      </c>
      <c r="AB2300">
        <v>12</v>
      </c>
      <c r="AC2300">
        <v>-35.586599999999997</v>
      </c>
      <c r="AD2300">
        <v>-1.1102332071978001</v>
      </c>
      <c r="AE2300">
        <v>-0.96319999999997197</v>
      </c>
      <c r="AF2300">
        <v>2.0538328271748001</v>
      </c>
      <c r="AG2300">
        <v>-1.1102332071978001</v>
      </c>
      <c r="AH2300">
        <v>35.505689415485499</v>
      </c>
      <c r="AI2300">
        <v>91.788020550891503</v>
      </c>
      <c r="AJ2300">
        <v>86.6894047912334</v>
      </c>
      <c r="AK2300">
        <v>35.582366811740698</v>
      </c>
      <c r="AL2300">
        <v>88.813004987952993</v>
      </c>
      <c r="AM2300">
        <v>87.322650383727606</v>
      </c>
      <c r="AN2300">
        <v>1.0000000353695599</v>
      </c>
    </row>
    <row r="2301" spans="1:40" x14ac:dyDescent="0.25">
      <c r="A2301" t="str">
        <f>"20190312153932731"</f>
        <v>20190312153932731</v>
      </c>
      <c r="B2301" t="str">
        <f>"1552376372718601"</f>
        <v>1552376372718601</v>
      </c>
      <c r="C2301" t="s">
        <v>40</v>
      </c>
      <c r="D2301">
        <v>4.2662079999999998</v>
      </c>
      <c r="E2301">
        <v>0.50481579999999904</v>
      </c>
      <c r="F2301" t="s">
        <v>61</v>
      </c>
      <c r="G2301">
        <v>-252.21360000000001</v>
      </c>
      <c r="H2301" s="1">
        <v>-3.5880719999999998E-7</v>
      </c>
      <c r="I2301">
        <v>283.69099999999997</v>
      </c>
      <c r="J2301">
        <v>-217.0129</v>
      </c>
      <c r="K2301">
        <v>1.110187</v>
      </c>
      <c r="L2301">
        <v>284.61700000000002</v>
      </c>
      <c r="M2301">
        <v>-0.99631689999999995</v>
      </c>
      <c r="N2301">
        <v>0</v>
      </c>
      <c r="O2301">
        <v>-8.481342E-2</v>
      </c>
      <c r="P2301">
        <v>-0.99925770000000003</v>
      </c>
      <c r="Q2301">
        <v>7.6575100000000002E-3</v>
      </c>
      <c r="R2301">
        <v>-3.7754900000000001E-2</v>
      </c>
      <c r="S2301">
        <v>-2.9999690000000001</v>
      </c>
      <c r="T2301">
        <v>-9.4348429999999997E-2</v>
      </c>
      <c r="U2301">
        <v>-7.9437259999999996E-2</v>
      </c>
      <c r="V2301">
        <v>4.7137249999999999E-2</v>
      </c>
      <c r="W2301">
        <v>2.0267830000000001E-2</v>
      </c>
      <c r="X2301">
        <v>0.99868279999999998</v>
      </c>
      <c r="Y2301">
        <v>5.834516E-2</v>
      </c>
      <c r="Z2301">
        <v>3.5803810000000001E-3</v>
      </c>
      <c r="AA2301">
        <v>0.99829009999999996</v>
      </c>
      <c r="AB2301">
        <v>12</v>
      </c>
      <c r="AC2301">
        <v>-35.200699999999998</v>
      </c>
      <c r="AD2301">
        <v>-1.1101873588072</v>
      </c>
      <c r="AE2301">
        <v>-0.92600000000004401</v>
      </c>
      <c r="AF2301">
        <v>2.0610179862820499</v>
      </c>
      <c r="AG2301">
        <v>-1.1101873588072</v>
      </c>
      <c r="AH2301">
        <v>35.117482824527102</v>
      </c>
      <c r="AI2301">
        <v>91.807610053043007</v>
      </c>
      <c r="AJ2301">
        <v>86.641207718031296</v>
      </c>
      <c r="AK2301">
        <v>35.195424575395997</v>
      </c>
      <c r="AL2301">
        <v>88.838659385045503</v>
      </c>
      <c r="AM2301">
        <v>87.297677917222103</v>
      </c>
      <c r="AN2301">
        <v>1.00000002014315</v>
      </c>
    </row>
    <row r="2302" spans="1:40" x14ac:dyDescent="0.25">
      <c r="A2302" t="str">
        <f>"20190312153932744"</f>
        <v>20190312153932744</v>
      </c>
      <c r="B2302" t="str">
        <f>"1552376372738118"</f>
        <v>1552376372738118</v>
      </c>
      <c r="C2302" t="s">
        <v>40</v>
      </c>
      <c r="D2302">
        <v>4.2717229999999997</v>
      </c>
      <c r="E2302">
        <v>0.50500489999999998</v>
      </c>
      <c r="F2302" t="s">
        <v>61</v>
      </c>
      <c r="G2302">
        <v>-252.07769999999999</v>
      </c>
      <c r="H2302" s="1">
        <v>-4.3116190000000001E-7</v>
      </c>
      <c r="I2302">
        <v>283.70929999999998</v>
      </c>
      <c r="J2302">
        <v>-217.0848</v>
      </c>
      <c r="K2302">
        <v>1.110155</v>
      </c>
      <c r="L2302">
        <v>284.61079999999998</v>
      </c>
      <c r="M2302">
        <v>-0.99631429999999999</v>
      </c>
      <c r="N2302">
        <v>0</v>
      </c>
      <c r="O2302">
        <v>-8.4869249999999993E-2</v>
      </c>
      <c r="P2302">
        <v>-0.99926499999999996</v>
      </c>
      <c r="Q2302">
        <v>7.8360979999999997E-3</v>
      </c>
      <c r="R2302">
        <v>-3.7526299999999999E-2</v>
      </c>
      <c r="S2302">
        <v>-3.0000309999999999</v>
      </c>
      <c r="T2302">
        <v>-9.4984170000000007E-2</v>
      </c>
      <c r="U2302">
        <v>-7.7667239999999999E-2</v>
      </c>
      <c r="V2302">
        <v>4.7421600000000001E-2</v>
      </c>
      <c r="W2302">
        <v>2.0276410000000002E-2</v>
      </c>
      <c r="X2302">
        <v>0.99866909999999998</v>
      </c>
      <c r="Y2302">
        <v>5.8988730000000003E-2</v>
      </c>
      <c r="Z2302">
        <v>3.6164050000000001E-3</v>
      </c>
      <c r="AA2302">
        <v>0.99825209999999998</v>
      </c>
      <c r="AB2302">
        <v>12</v>
      </c>
      <c r="AC2302">
        <v>-34.992899999999899</v>
      </c>
      <c r="AD2302">
        <v>-1.1101554311619</v>
      </c>
      <c r="AE2302">
        <v>-0.90149999999999797</v>
      </c>
      <c r="AF2302">
        <v>2.06972266983498</v>
      </c>
      <c r="AG2302">
        <v>-1.1101554311619</v>
      </c>
      <c r="AH2302">
        <v>34.908033809338399</v>
      </c>
      <c r="AI2302">
        <v>91.818331981255795</v>
      </c>
      <c r="AJ2302">
        <v>86.606863977811798</v>
      </c>
      <c r="AK2302">
        <v>34.986955018196099</v>
      </c>
      <c r="AL2302">
        <v>88.838167611830698</v>
      </c>
      <c r="AM2302">
        <v>87.281363616611102</v>
      </c>
      <c r="AN2302">
        <v>0.99999995612192805</v>
      </c>
    </row>
    <row r="2303" spans="1:40" x14ac:dyDescent="0.25">
      <c r="A2303" t="str">
        <f>"20190312153932764"</f>
        <v>20190312153932764</v>
      </c>
      <c r="B2303" t="str">
        <f>"1552376372758614"</f>
        <v>1552376372758614</v>
      </c>
      <c r="C2303" t="s">
        <v>40</v>
      </c>
      <c r="D2303">
        <v>4.2621890000000002</v>
      </c>
      <c r="E2303">
        <v>0.50500020000000001</v>
      </c>
      <c r="F2303" t="s">
        <v>61</v>
      </c>
      <c r="G2303">
        <v>-252.5513</v>
      </c>
      <c r="H2303" s="1">
        <v>-1.7911549999999999E-7</v>
      </c>
      <c r="I2303">
        <v>283.7208</v>
      </c>
      <c r="J2303">
        <v>-217.1936</v>
      </c>
      <c r="K2303">
        <v>1.110112</v>
      </c>
      <c r="L2303">
        <v>284.60149999999999</v>
      </c>
      <c r="M2303">
        <v>-0.9963109</v>
      </c>
      <c r="N2303">
        <v>0</v>
      </c>
      <c r="O2303">
        <v>-8.4950479999999995E-2</v>
      </c>
      <c r="P2303">
        <v>-0.99927580000000005</v>
      </c>
      <c r="Q2303">
        <v>8.3125049999999995E-3</v>
      </c>
      <c r="R2303">
        <v>-3.7139270000000002E-2</v>
      </c>
      <c r="S2303">
        <v>-3.0001370000000001</v>
      </c>
      <c r="T2303">
        <v>-9.3908909999999998E-2</v>
      </c>
      <c r="U2303">
        <v>-7.5286870000000006E-2</v>
      </c>
      <c r="V2303">
        <v>4.7889689999999999E-2</v>
      </c>
      <c r="W2303">
        <v>2.0475210000000001E-2</v>
      </c>
      <c r="X2303">
        <v>0.99864269999999999</v>
      </c>
      <c r="Y2303">
        <v>5.9863380000000001E-2</v>
      </c>
      <c r="Z2303">
        <v>3.5916250000000002E-3</v>
      </c>
      <c r="AA2303">
        <v>0.99820010000000003</v>
      </c>
      <c r="AB2303">
        <v>12</v>
      </c>
      <c r="AC2303">
        <v>-35.357699999999902</v>
      </c>
      <c r="AD2303">
        <v>-1.1101121791155</v>
      </c>
      <c r="AE2303">
        <v>-0.88069999999999005</v>
      </c>
      <c r="AF2303">
        <v>2.1242672474709701</v>
      </c>
      <c r="AG2303">
        <v>-1.1101121791155</v>
      </c>
      <c r="AH2303">
        <v>35.269944849098799</v>
      </c>
      <c r="AI2303">
        <v>91.799515564313793</v>
      </c>
      <c r="AJ2303">
        <v>86.553306282397699</v>
      </c>
      <c r="AK2303">
        <v>35.3512923391404</v>
      </c>
      <c r="AL2303">
        <v>88.826774837279899</v>
      </c>
      <c r="AM2303">
        <v>87.254496840876996</v>
      </c>
      <c r="AN2303">
        <v>0.99999994944806303</v>
      </c>
    </row>
    <row r="2304" spans="1:40" x14ac:dyDescent="0.25">
      <c r="A2304" t="str">
        <f>"20190312153932777"</f>
        <v>20190312153932777</v>
      </c>
      <c r="B2304" t="str">
        <f>"1552376372768374"</f>
        <v>1552376372768374</v>
      </c>
      <c r="C2304" t="s">
        <v>40</v>
      </c>
      <c r="D2304">
        <v>4.2470420000000004</v>
      </c>
      <c r="E2304">
        <v>0.50516430000000001</v>
      </c>
      <c r="F2304" t="s">
        <v>61</v>
      </c>
      <c r="G2304">
        <v>-252.9579</v>
      </c>
      <c r="H2304" s="1">
        <v>3.7277890000000003E-8</v>
      </c>
      <c r="I2304">
        <v>283.71789999999999</v>
      </c>
      <c r="J2304">
        <v>-217.26240000000001</v>
      </c>
      <c r="K2304">
        <v>1.1100829999999999</v>
      </c>
      <c r="L2304">
        <v>284.59559999999999</v>
      </c>
      <c r="M2304">
        <v>-0.99630879999999999</v>
      </c>
      <c r="N2304">
        <v>0</v>
      </c>
      <c r="O2304">
        <v>-8.5000580000000006E-2</v>
      </c>
      <c r="P2304">
        <v>-0.9992818</v>
      </c>
      <c r="Q2304">
        <v>9.0270839999999995E-3</v>
      </c>
      <c r="R2304">
        <v>-3.6804219999999999E-2</v>
      </c>
      <c r="S2304">
        <v>-3.0001980000000001</v>
      </c>
      <c r="T2304">
        <v>-9.3124990000000005E-2</v>
      </c>
      <c r="U2304">
        <v>-7.4127199999999893E-2</v>
      </c>
      <c r="V2304">
        <v>4.8273980000000001E-2</v>
      </c>
      <c r="W2304">
        <v>2.100486E-2</v>
      </c>
      <c r="X2304">
        <v>0.99861319999999998</v>
      </c>
      <c r="Y2304">
        <v>6.0300430000000002E-2</v>
      </c>
      <c r="Z2304">
        <v>3.5699360000000001E-3</v>
      </c>
      <c r="AA2304">
        <v>0.99817389999999995</v>
      </c>
      <c r="AB2304">
        <v>12</v>
      </c>
      <c r="AC2304">
        <v>-35.695499999999903</v>
      </c>
      <c r="AD2304">
        <v>-1.1100829627221001</v>
      </c>
      <c r="AE2304">
        <v>-0.87770000000000403</v>
      </c>
      <c r="AF2304">
        <v>2.15774757669976</v>
      </c>
      <c r="AG2304">
        <v>-1.1100829627221001</v>
      </c>
      <c r="AH2304">
        <v>35.6064910253289</v>
      </c>
      <c r="AI2304">
        <v>91.782431225803293</v>
      </c>
      <c r="AJ2304">
        <v>86.532125983438902</v>
      </c>
      <c r="AK2304">
        <v>35.689079028824899</v>
      </c>
      <c r="AL2304">
        <v>88.796421600234396</v>
      </c>
      <c r="AM2304">
        <v>87.232418085267</v>
      </c>
      <c r="AN2304">
        <v>0.999999952251448</v>
      </c>
    </row>
    <row r="2305" spans="1:40" x14ac:dyDescent="0.25">
      <c r="A2305" t="str">
        <f>"20190312153932789"</f>
        <v>20190312153932789</v>
      </c>
      <c r="B2305" t="str">
        <f>"1552376372778134"</f>
        <v>1552376372778134</v>
      </c>
      <c r="C2305" t="s">
        <v>40</v>
      </c>
      <c r="D2305">
        <v>4.1852099999999997</v>
      </c>
      <c r="E2305">
        <v>0.50537799999999999</v>
      </c>
      <c r="F2305" t="s">
        <v>61</v>
      </c>
      <c r="G2305">
        <v>-253.761</v>
      </c>
      <c r="H2305" s="1">
        <v>4.6463710000000003E-7</v>
      </c>
      <c r="I2305">
        <v>283.72280000000001</v>
      </c>
      <c r="J2305">
        <v>-217.33199999999999</v>
      </c>
      <c r="K2305">
        <v>1.110058</v>
      </c>
      <c r="L2305">
        <v>284.58949999999999</v>
      </c>
      <c r="M2305">
        <v>-0.9963069</v>
      </c>
      <c r="N2305">
        <v>0</v>
      </c>
      <c r="O2305">
        <v>-8.5050780000000006E-2</v>
      </c>
      <c r="P2305">
        <v>-0.99929469999999998</v>
      </c>
      <c r="Q2305">
        <v>9.1452080000000002E-3</v>
      </c>
      <c r="R2305">
        <v>-3.6423619999999997E-2</v>
      </c>
      <c r="S2305">
        <v>-3.0003359999999999</v>
      </c>
      <c r="T2305">
        <v>-9.1253280000000006E-2</v>
      </c>
      <c r="U2305">
        <v>-7.1746829999999998E-2</v>
      </c>
      <c r="V2305">
        <v>4.870439E-2</v>
      </c>
      <c r="W2305">
        <v>2.093097E-2</v>
      </c>
      <c r="X2305">
        <v>0.99859390000000003</v>
      </c>
      <c r="Y2305">
        <v>6.1145449999999997E-2</v>
      </c>
      <c r="Z2305">
        <v>3.5124750000000001E-3</v>
      </c>
      <c r="AA2305">
        <v>0.99812270000000003</v>
      </c>
      <c r="AB2305">
        <v>12</v>
      </c>
      <c r="AC2305">
        <v>-36.429000000000002</v>
      </c>
      <c r="AD2305">
        <v>-1.1100575353628901</v>
      </c>
      <c r="AE2305">
        <v>-0.86669999999998004</v>
      </c>
      <c r="AF2305">
        <v>2.23289878420545</v>
      </c>
      <c r="AG2305">
        <v>-1.1100575353628901</v>
      </c>
      <c r="AH2305">
        <v>36.336983140455203</v>
      </c>
      <c r="AI2305">
        <v>91.746490778520695</v>
      </c>
      <c r="AJ2305">
        <v>86.483609871772401</v>
      </c>
      <c r="AK2305">
        <v>36.422443746432599</v>
      </c>
      <c r="AL2305">
        <v>88.800656173959794</v>
      </c>
      <c r="AM2305">
        <v>87.207727369120903</v>
      </c>
      <c r="AN2305">
        <v>1.0000000001138101</v>
      </c>
    </row>
    <row r="2306" spans="1:40" x14ac:dyDescent="0.25">
      <c r="A2306" t="str">
        <f>"20190312153932809"</f>
        <v>20190312153932809</v>
      </c>
      <c r="B2306" t="str">
        <f>"1552376372798633"</f>
        <v>1552376372798633</v>
      </c>
      <c r="C2306" t="s">
        <v>40</v>
      </c>
      <c r="D2306">
        <v>4.1256320000000004</v>
      </c>
      <c r="E2306">
        <v>0.5187368</v>
      </c>
      <c r="F2306" t="s">
        <v>61</v>
      </c>
      <c r="G2306">
        <v>-253.49709999999999</v>
      </c>
      <c r="H2306" s="1">
        <v>3.2420720000000002E-7</v>
      </c>
      <c r="I2306">
        <v>283.7593</v>
      </c>
      <c r="J2306">
        <v>-217.4342</v>
      </c>
      <c r="K2306">
        <v>1.110023</v>
      </c>
      <c r="L2306">
        <v>284.58069999999998</v>
      </c>
      <c r="M2306">
        <v>-0.99630390000000002</v>
      </c>
      <c r="N2306">
        <v>0</v>
      </c>
      <c r="O2306">
        <v>-8.5123779999999996E-2</v>
      </c>
      <c r="P2306">
        <v>-0.99930209999999997</v>
      </c>
      <c r="Q2306">
        <v>1.007545E-2</v>
      </c>
      <c r="R2306">
        <v>-3.5970519999999999E-2</v>
      </c>
      <c r="S2306">
        <v>-3.0004580000000001</v>
      </c>
      <c r="T2306">
        <v>-9.2096449999999996E-2</v>
      </c>
      <c r="U2306">
        <v>-6.8878170000000002E-2</v>
      </c>
      <c r="V2306">
        <v>4.9229370000000001E-2</v>
      </c>
      <c r="W2306">
        <v>2.157742E-2</v>
      </c>
      <c r="X2306">
        <v>0.99855439999999995</v>
      </c>
      <c r="Y2306">
        <v>6.2171240000000003E-2</v>
      </c>
      <c r="Z2306">
        <v>3.5627979999999998E-3</v>
      </c>
      <c r="AA2306">
        <v>0.99805920000000004</v>
      </c>
      <c r="AB2306">
        <v>12</v>
      </c>
      <c r="AC2306">
        <v>-36.0628999999999</v>
      </c>
      <c r="AD2306">
        <v>-1.1100226757928</v>
      </c>
      <c r="AE2306">
        <v>-0.82139999999998203</v>
      </c>
      <c r="AF2306">
        <v>2.2494654112015202</v>
      </c>
      <c r="AG2306">
        <v>-1.1100226757928</v>
      </c>
      <c r="AH2306">
        <v>35.967854466352598</v>
      </c>
      <c r="AI2306">
        <v>91.764229086047393</v>
      </c>
      <c r="AJ2306">
        <v>86.421325922238594</v>
      </c>
      <c r="AK2306">
        <v>36.055218760807598</v>
      </c>
      <c r="AL2306">
        <v>88.763608951208099</v>
      </c>
      <c r="AM2306">
        <v>87.177566668830806</v>
      </c>
      <c r="AN2306">
        <v>1.0000000028419</v>
      </c>
    </row>
    <row r="2307" spans="1:40" x14ac:dyDescent="0.25">
      <c r="A2307" t="str">
        <f>"20190312153932823"</f>
        <v>20190312153932823</v>
      </c>
      <c r="B2307" t="str">
        <f>"1552376372818150"</f>
        <v>1552376372818150</v>
      </c>
      <c r="C2307" t="s">
        <v>40</v>
      </c>
      <c r="D2307">
        <v>4.1405810000000001</v>
      </c>
      <c r="E2307">
        <v>0.52396279999999995</v>
      </c>
      <c r="F2307" t="s">
        <v>41</v>
      </c>
      <c r="G2307">
        <v>-218.20820000000001</v>
      </c>
      <c r="H2307">
        <v>1.037067</v>
      </c>
      <c r="I2307">
        <v>284.58980000000003</v>
      </c>
      <c r="J2307">
        <v>-217.5093</v>
      </c>
      <c r="K2307">
        <v>1.1100000000000001</v>
      </c>
      <c r="L2307">
        <v>284.57420000000002</v>
      </c>
      <c r="M2307">
        <v>-0.99630180000000002</v>
      </c>
      <c r="N2307">
        <v>0</v>
      </c>
      <c r="O2307">
        <v>-8.5177030000000001E-2</v>
      </c>
      <c r="P2307">
        <v>-0.99930640000000004</v>
      </c>
      <c r="Q2307">
        <v>1.0277110000000001E-2</v>
      </c>
      <c r="R2307">
        <v>-3.5794090000000001E-2</v>
      </c>
      <c r="S2307">
        <v>-3.0062099999999998</v>
      </c>
      <c r="T2307">
        <v>-0.28349550000000001</v>
      </c>
      <c r="U2307">
        <v>3.4790040000000001E-2</v>
      </c>
      <c r="V2307">
        <v>4.9458759999999997E-2</v>
      </c>
      <c r="W2307">
        <v>2.1567880000000001E-2</v>
      </c>
      <c r="X2307">
        <v>0.99854330000000002</v>
      </c>
      <c r="Y2307">
        <v>9.5903829999999995E-2</v>
      </c>
      <c r="Z2307">
        <v>1.252048E-2</v>
      </c>
      <c r="AA2307">
        <v>0.99531190000000003</v>
      </c>
      <c r="AB2307">
        <v>12</v>
      </c>
      <c r="AC2307">
        <v>-0.69890000000000896</v>
      </c>
      <c r="AD2307">
        <v>-7.2933000000000095E-2</v>
      </c>
      <c r="AE2307">
        <v>1.5600000000006199E-2</v>
      </c>
      <c r="AF2307">
        <v>7.4268956383017698E-2</v>
      </c>
      <c r="AG2307">
        <v>-7.2933000000000095E-2</v>
      </c>
      <c r="AH2307">
        <v>0.687547415737915</v>
      </c>
      <c r="AI2307">
        <v>96.020360924631603</v>
      </c>
      <c r="AJ2307">
        <v>83.834807892502695</v>
      </c>
      <c r="AK2307">
        <v>0.69538230439025905</v>
      </c>
      <c r="AL2307">
        <v>88.764155716441095</v>
      </c>
      <c r="AM2307">
        <v>87.164405155803394</v>
      </c>
      <c r="AN2307">
        <v>1.00000003218166</v>
      </c>
    </row>
    <row r="2308" spans="1:40" x14ac:dyDescent="0.25">
      <c r="A2308" t="str">
        <f>"20190312153932838"</f>
        <v>20190312153932838</v>
      </c>
      <c r="B2308" t="str">
        <f>"1552376372827911"</f>
        <v>1552376372827911</v>
      </c>
      <c r="C2308" t="s">
        <v>40</v>
      </c>
      <c r="D2308">
        <v>4.1142640000000004</v>
      </c>
      <c r="E2308">
        <v>0.52491379999999999</v>
      </c>
      <c r="F2308" t="s">
        <v>41</v>
      </c>
      <c r="G2308">
        <v>-218.3</v>
      </c>
      <c r="H2308">
        <v>0.99987700000000002</v>
      </c>
      <c r="I2308">
        <v>284.59379999999999</v>
      </c>
      <c r="J2308">
        <v>-217.59100000000001</v>
      </c>
      <c r="K2308">
        <v>1.1099699999999999</v>
      </c>
      <c r="L2308">
        <v>284.56720000000001</v>
      </c>
      <c r="M2308">
        <v>-0.9962995</v>
      </c>
      <c r="N2308">
        <v>0</v>
      </c>
      <c r="O2308">
        <v>-8.5235190000000002E-2</v>
      </c>
      <c r="P2308">
        <v>-0.99928839999999997</v>
      </c>
      <c r="Q2308">
        <v>1.099231E-2</v>
      </c>
      <c r="R2308">
        <v>-3.6087790000000002E-2</v>
      </c>
      <c r="S2308">
        <v>-3.0090330000000001</v>
      </c>
      <c r="T2308">
        <v>-0.4191395</v>
      </c>
      <c r="U2308">
        <v>7.3944090000000004E-2</v>
      </c>
      <c r="V2308">
        <v>4.9222729999999999E-2</v>
      </c>
      <c r="W2308">
        <v>2.2049369999999999E-2</v>
      </c>
      <c r="X2308">
        <v>0.9985444</v>
      </c>
      <c r="Y2308">
        <v>0.10782949999999999</v>
      </c>
      <c r="Z2308">
        <v>1.9279709999999999E-2</v>
      </c>
      <c r="AA2308">
        <v>0.99398240000000004</v>
      </c>
      <c r="AB2308">
        <v>12</v>
      </c>
      <c r="AC2308">
        <v>-0.70900000000003105</v>
      </c>
      <c r="AD2308">
        <v>-0.110093</v>
      </c>
      <c r="AE2308">
        <v>2.6599999999973499E-2</v>
      </c>
      <c r="AF2308">
        <v>8.4894560698865307E-2</v>
      </c>
      <c r="AG2308">
        <v>-0.110093</v>
      </c>
      <c r="AH2308">
        <v>0.68759635892297999</v>
      </c>
      <c r="AI2308">
        <v>99.029163309388395</v>
      </c>
      <c r="AJ2308">
        <v>82.961556819402404</v>
      </c>
      <c r="AK2308">
        <v>0.70151001980684002</v>
      </c>
      <c r="AL2308">
        <v>88.736561750132495</v>
      </c>
      <c r="AM2308">
        <v>87.1779185239306</v>
      </c>
      <c r="AN2308">
        <v>0.99999998531870404</v>
      </c>
    </row>
    <row r="2309" spans="1:40" x14ac:dyDescent="0.25">
      <c r="A2309" t="str">
        <f>"20190312153932855"</f>
        <v>20190312153932855</v>
      </c>
      <c r="B2309" t="str">
        <f>"1552376372848406"</f>
        <v>1552376372848406</v>
      </c>
      <c r="C2309" t="s">
        <v>40</v>
      </c>
      <c r="D2309">
        <v>4.0511339999999896</v>
      </c>
      <c r="E2309">
        <v>0.52588859999999904</v>
      </c>
      <c r="F2309" t="s">
        <v>41</v>
      </c>
      <c r="G2309">
        <v>-218.40440000000001</v>
      </c>
      <c r="H2309">
        <v>0.98819950000000001</v>
      </c>
      <c r="I2309">
        <v>284.58890000000002</v>
      </c>
      <c r="J2309">
        <v>-217.68680000000001</v>
      </c>
      <c r="K2309">
        <v>1.1099300000000001</v>
      </c>
      <c r="L2309">
        <v>284.55889999999999</v>
      </c>
      <c r="M2309">
        <v>-0.99629690000000004</v>
      </c>
      <c r="N2309">
        <v>0</v>
      </c>
      <c r="O2309">
        <v>-8.5301699999999994E-2</v>
      </c>
      <c r="P2309">
        <v>-0.99924400000000002</v>
      </c>
      <c r="Q2309">
        <v>1.240434E-2</v>
      </c>
      <c r="R2309">
        <v>-3.6849130000000001E-2</v>
      </c>
      <c r="S2309">
        <v>-3.009979</v>
      </c>
      <c r="T2309">
        <v>-0.4506676</v>
      </c>
      <c r="U2309">
        <v>8.0047610000000005E-2</v>
      </c>
      <c r="V2309">
        <v>4.8526619999999999E-2</v>
      </c>
      <c r="W2309">
        <v>2.3174899999999998E-2</v>
      </c>
      <c r="X2309">
        <v>0.99855300000000002</v>
      </c>
      <c r="Y2309">
        <v>0.10959380000000001</v>
      </c>
      <c r="Z2309">
        <v>2.0848970000000001E-2</v>
      </c>
      <c r="AA2309">
        <v>0.99375780000000002</v>
      </c>
      <c r="AB2309">
        <v>12</v>
      </c>
      <c r="AC2309">
        <v>-0.71760000000000401</v>
      </c>
      <c r="AD2309">
        <v>-0.12173049999999901</v>
      </c>
      <c r="AE2309">
        <v>3.00000000000295E-2</v>
      </c>
      <c r="AF2309">
        <v>8.8562643173167699E-2</v>
      </c>
      <c r="AG2309">
        <v>-0.12173049999999901</v>
      </c>
      <c r="AH2309">
        <v>0.69253129117771695</v>
      </c>
      <c r="AI2309">
        <v>99.890453403691296</v>
      </c>
      <c r="AJ2309">
        <v>82.712426679513797</v>
      </c>
      <c r="AK2309">
        <v>0.70870391959995804</v>
      </c>
      <c r="AL2309">
        <v>88.672057155324097</v>
      </c>
      <c r="AM2309">
        <v>87.217789290463799</v>
      </c>
      <c r="AN2309">
        <v>1.00000000132381</v>
      </c>
    </row>
    <row r="2310" spans="1:40" x14ac:dyDescent="0.25">
      <c r="A2310" t="str">
        <f>"20190312153932870"</f>
        <v>20190312153932870</v>
      </c>
      <c r="B2310" t="str">
        <f>"1552376372858166"</f>
        <v>1552376372858166</v>
      </c>
      <c r="C2310" t="s">
        <v>40</v>
      </c>
      <c r="D2310">
        <v>4.072241</v>
      </c>
      <c r="E2310">
        <v>0.5261441</v>
      </c>
      <c r="F2310" t="s">
        <v>41</v>
      </c>
      <c r="G2310">
        <v>-218.40649999999999</v>
      </c>
      <c r="H2310">
        <v>0.99434109999999998</v>
      </c>
      <c r="I2310">
        <v>284.57929999999999</v>
      </c>
      <c r="J2310">
        <v>-217.7672</v>
      </c>
      <c r="K2310">
        <v>1.109899</v>
      </c>
      <c r="L2310">
        <v>284.55189999999999</v>
      </c>
      <c r="M2310">
        <v>-0.99629489999999998</v>
      </c>
      <c r="N2310">
        <v>0</v>
      </c>
      <c r="O2310">
        <v>-8.5355669999999995E-2</v>
      </c>
      <c r="P2310">
        <v>-0.99922960000000005</v>
      </c>
      <c r="Q2310">
        <v>1.291745E-2</v>
      </c>
      <c r="R2310">
        <v>-3.7062820000000003E-2</v>
      </c>
      <c r="S2310">
        <v>-3.0114139999999998</v>
      </c>
      <c r="T2310">
        <v>-0.48369859999999998</v>
      </c>
      <c r="U2310">
        <v>8.5083010000000001E-2</v>
      </c>
      <c r="V2310">
        <v>4.8366449999999998E-2</v>
      </c>
      <c r="W2310">
        <v>2.3442339999999999E-2</v>
      </c>
      <c r="X2310">
        <v>0.99855450000000001</v>
      </c>
      <c r="Y2310">
        <v>0.1109518</v>
      </c>
      <c r="Z2310">
        <v>2.2464479999999998E-2</v>
      </c>
      <c r="AA2310">
        <v>0.99357189999999995</v>
      </c>
      <c r="AB2310">
        <v>12</v>
      </c>
      <c r="AC2310">
        <v>-0.63929999999999099</v>
      </c>
      <c r="AD2310">
        <v>-0.11555790000000001</v>
      </c>
      <c r="AE2310">
        <v>2.7400000000000001E-2</v>
      </c>
      <c r="AF2310">
        <v>7.92851598674085E-2</v>
      </c>
      <c r="AG2310">
        <v>-0.11555790000000001</v>
      </c>
      <c r="AH2310">
        <v>0.61458423745715396</v>
      </c>
      <c r="AI2310">
        <v>100.563231074752</v>
      </c>
      <c r="AJ2310">
        <v>82.649090787490593</v>
      </c>
      <c r="AK2310">
        <v>0.63035985735007105</v>
      </c>
      <c r="AL2310">
        <v>88.656729769970596</v>
      </c>
      <c r="AM2310">
        <v>87.226962230831802</v>
      </c>
      <c r="AN2310">
        <v>0.99999997313026301</v>
      </c>
    </row>
    <row r="2311" spans="1:40" x14ac:dyDescent="0.25">
      <c r="A2311" t="str">
        <f>"20190312153932889"</f>
        <v>20190312153932889</v>
      </c>
      <c r="B2311" t="str">
        <f>"1552376372878662"</f>
        <v>1552376372878662</v>
      </c>
      <c r="C2311" t="s">
        <v>40</v>
      </c>
      <c r="D2311">
        <v>4.0530520000000001</v>
      </c>
      <c r="E2311">
        <v>0.52656380000000003</v>
      </c>
      <c r="F2311" t="s">
        <v>41</v>
      </c>
      <c r="G2311">
        <v>-218.5138</v>
      </c>
      <c r="H2311">
        <v>0.98745609999999995</v>
      </c>
      <c r="I2311">
        <v>284.57350000000002</v>
      </c>
      <c r="J2311">
        <v>-217.87139999999999</v>
      </c>
      <c r="K2311">
        <v>1.109856</v>
      </c>
      <c r="L2311">
        <v>284.54289999999997</v>
      </c>
      <c r="M2311">
        <v>-0.99629270000000003</v>
      </c>
      <c r="N2311">
        <v>0</v>
      </c>
      <c r="O2311">
        <v>-8.5420590000000005E-2</v>
      </c>
      <c r="P2311">
        <v>-0.99916990000000006</v>
      </c>
      <c r="Q2311">
        <v>1.375988E-2</v>
      </c>
      <c r="R2311">
        <v>-3.8347810000000003E-2</v>
      </c>
      <c r="S2311">
        <v>-3.0118870000000002</v>
      </c>
      <c r="T2311">
        <v>-0.49405969999999999</v>
      </c>
      <c r="U2311">
        <v>8.6761469999999993E-2</v>
      </c>
      <c r="V2311">
        <v>4.7146309999999997E-2</v>
      </c>
      <c r="W2311">
        <v>2.396098E-2</v>
      </c>
      <c r="X2311">
        <v>0.9986005</v>
      </c>
      <c r="Y2311">
        <v>0.1114502</v>
      </c>
      <c r="Z2311">
        <v>2.298685E-2</v>
      </c>
      <c r="AA2311">
        <v>0.9935041</v>
      </c>
      <c r="AB2311">
        <v>12</v>
      </c>
      <c r="AC2311">
        <v>-0.64240000000000896</v>
      </c>
      <c r="AD2311">
        <v>-0.12239990000000001</v>
      </c>
      <c r="AE2311">
        <v>3.06000000000494E-2</v>
      </c>
      <c r="AF2311">
        <v>8.2381216801247006E-2</v>
      </c>
      <c r="AG2311">
        <v>-0.12239990000000001</v>
      </c>
      <c r="AH2311">
        <v>0.61515587898863799</v>
      </c>
      <c r="AI2311">
        <v>101.15632025551101</v>
      </c>
      <c r="AJ2311">
        <v>82.372374738549198</v>
      </c>
      <c r="AK2311">
        <v>0.63260189365504504</v>
      </c>
      <c r="AL2311">
        <v>88.627005477450993</v>
      </c>
      <c r="AM2311">
        <v>87.296936863242905</v>
      </c>
      <c r="AN2311">
        <v>0.99999993085470995</v>
      </c>
    </row>
    <row r="2312" spans="1:40" x14ac:dyDescent="0.25">
      <c r="A2312" t="str">
        <f>"20190312153932909"</f>
        <v>20190312153932909</v>
      </c>
      <c r="B2312" t="str">
        <f>"1552376372898187"</f>
        <v>1552376372898187</v>
      </c>
      <c r="C2312" t="s">
        <v>40</v>
      </c>
      <c r="D2312">
        <v>4.0378550000000004</v>
      </c>
      <c r="E2312">
        <v>0.52665360000000006</v>
      </c>
      <c r="F2312" t="s">
        <v>41</v>
      </c>
      <c r="G2312">
        <v>-218.62280000000001</v>
      </c>
      <c r="H2312">
        <v>0.98311040000000005</v>
      </c>
      <c r="I2312">
        <v>284.56439999999998</v>
      </c>
      <c r="J2312">
        <v>-217.98939999999999</v>
      </c>
      <c r="K2312">
        <v>1.109801</v>
      </c>
      <c r="L2312">
        <v>284.53269999999998</v>
      </c>
      <c r="M2312">
        <v>-0.99629109999999999</v>
      </c>
      <c r="N2312">
        <v>0</v>
      </c>
      <c r="O2312">
        <v>-8.5484110000000002E-2</v>
      </c>
      <c r="P2312">
        <v>-0.99911450000000002</v>
      </c>
      <c r="Q2312">
        <v>1.418522E-2</v>
      </c>
      <c r="R2312">
        <v>-3.9613830000000003E-2</v>
      </c>
      <c r="S2312">
        <v>-3.0127869999999999</v>
      </c>
      <c r="T2312">
        <v>-0.50817990000000002</v>
      </c>
      <c r="U2312">
        <v>8.5998539999999998E-2</v>
      </c>
      <c r="V2312">
        <v>4.5943810000000002E-2</v>
      </c>
      <c r="W2312">
        <v>2.401056E-2</v>
      </c>
      <c r="X2312">
        <v>0.99865539999999997</v>
      </c>
      <c r="Y2312">
        <v>0.1111076</v>
      </c>
      <c r="Z2312">
        <v>2.3609740000000001E-2</v>
      </c>
      <c r="AA2312">
        <v>0.99352790000000002</v>
      </c>
      <c r="AB2312">
        <v>12</v>
      </c>
      <c r="AC2312">
        <v>-0.63340000000002294</v>
      </c>
      <c r="AD2312">
        <v>-0.12669059999999999</v>
      </c>
      <c r="AE2312">
        <v>3.17000000000007E-2</v>
      </c>
      <c r="AF2312">
        <v>8.2442200950396893E-2</v>
      </c>
      <c r="AG2312">
        <v>-0.12669059999999999</v>
      </c>
      <c r="AH2312">
        <v>0.60425732074928595</v>
      </c>
      <c r="AI2312">
        <v>101.73563491698501</v>
      </c>
      <c r="AJ2312">
        <v>82.230786932287401</v>
      </c>
      <c r="AK2312">
        <v>0.622875697314489</v>
      </c>
      <c r="AL2312">
        <v>88.6241639947918</v>
      </c>
      <c r="AM2312">
        <v>87.365926629878402</v>
      </c>
      <c r="AN2312">
        <v>0.99999997430899401</v>
      </c>
    </row>
    <row r="2313" spans="1:40" x14ac:dyDescent="0.25">
      <c r="A2313" t="str">
        <f>"20190312153932924"</f>
        <v>20190312153932924</v>
      </c>
      <c r="B2313" t="str">
        <f>"1552376372918678"</f>
        <v>1552376372918678</v>
      </c>
      <c r="C2313" t="s">
        <v>40</v>
      </c>
      <c r="D2313">
        <v>4.0496549999999996</v>
      </c>
      <c r="E2313">
        <v>0.526929599999999</v>
      </c>
      <c r="F2313" t="s">
        <v>41</v>
      </c>
      <c r="G2313">
        <v>-218.73429999999999</v>
      </c>
      <c r="H2313">
        <v>0.98240700000000003</v>
      </c>
      <c r="I2313">
        <v>284.55329999999998</v>
      </c>
      <c r="J2313">
        <v>-218.06710000000001</v>
      </c>
      <c r="K2313">
        <v>1.1097600000000001</v>
      </c>
      <c r="L2313">
        <v>284.52600000000001</v>
      </c>
      <c r="M2313">
        <v>-0.99629040000000002</v>
      </c>
      <c r="N2313">
        <v>0</v>
      </c>
      <c r="O2313">
        <v>-8.5518670000000005E-2</v>
      </c>
      <c r="P2313">
        <v>-0.99908490000000005</v>
      </c>
      <c r="Q2313">
        <v>1.4518069999999999E-2</v>
      </c>
      <c r="R2313">
        <v>-4.0228960000000001E-2</v>
      </c>
      <c r="S2313">
        <v>-3.0132750000000001</v>
      </c>
      <c r="T2313">
        <v>-0.51536079999999995</v>
      </c>
      <c r="U2313">
        <v>8.2672120000000002E-2</v>
      </c>
      <c r="V2313">
        <v>4.5362890000000003E-2</v>
      </c>
      <c r="W2313">
        <v>2.4089220000000001E-2</v>
      </c>
      <c r="X2313">
        <v>0.99868009999999996</v>
      </c>
      <c r="Y2313">
        <v>0.1099796</v>
      </c>
      <c r="Z2313">
        <v>2.3845060000000001E-2</v>
      </c>
      <c r="AA2313">
        <v>0.99364779999999997</v>
      </c>
      <c r="AB2313">
        <v>13</v>
      </c>
      <c r="AC2313">
        <v>-0.66719999999997903</v>
      </c>
      <c r="AD2313">
        <v>-0.12735299999999999</v>
      </c>
      <c r="AE2313">
        <v>2.7299999999968301E-2</v>
      </c>
      <c r="AF2313">
        <v>8.13034071029968E-2</v>
      </c>
      <c r="AG2313">
        <v>-0.12735299999999999</v>
      </c>
      <c r="AH2313">
        <v>0.63917212272350299</v>
      </c>
      <c r="AI2313">
        <v>101.180638315376</v>
      </c>
      <c r="AJ2313">
        <v>82.750843064106704</v>
      </c>
      <c r="AK2313">
        <v>0.65678766209668105</v>
      </c>
      <c r="AL2313">
        <v>88.619655857051498</v>
      </c>
      <c r="AM2313">
        <v>87.399250436810803</v>
      </c>
      <c r="AN2313">
        <v>1.00000001222268</v>
      </c>
    </row>
    <row r="2314" spans="1:40" x14ac:dyDescent="0.25">
      <c r="A2314" t="str">
        <f>"20190312153932942"</f>
        <v>20190312153932942</v>
      </c>
      <c r="B2314" t="str">
        <f>"1552376372928439"</f>
        <v>1552376372928439</v>
      </c>
      <c r="C2314" t="s">
        <v>40</v>
      </c>
      <c r="D2314">
        <v>4.064838</v>
      </c>
      <c r="E2314">
        <v>0.52707869999999901</v>
      </c>
      <c r="F2314" t="s">
        <v>41</v>
      </c>
      <c r="G2314">
        <v>-218.8442</v>
      </c>
      <c r="H2314">
        <v>0.97545340000000003</v>
      </c>
      <c r="I2314">
        <v>284.54770000000002</v>
      </c>
      <c r="J2314">
        <v>-218.17250000000001</v>
      </c>
      <c r="K2314">
        <v>1.1097079999999999</v>
      </c>
      <c r="L2314">
        <v>284.517</v>
      </c>
      <c r="M2314">
        <v>-0.99629080000000003</v>
      </c>
      <c r="N2314">
        <v>0</v>
      </c>
      <c r="O2314">
        <v>-8.5554959999999999E-2</v>
      </c>
      <c r="P2314">
        <v>-0.99902310000000005</v>
      </c>
      <c r="Q2314">
        <v>1.4744129999999999E-2</v>
      </c>
      <c r="R2314">
        <v>-4.1662100000000001E-2</v>
      </c>
      <c r="S2314">
        <v>-3.0136720000000001</v>
      </c>
      <c r="T2314">
        <v>-0.52095570000000002</v>
      </c>
      <c r="U2314">
        <v>8.3160399999999995E-2</v>
      </c>
      <c r="V2314">
        <v>4.3966520000000002E-2</v>
      </c>
      <c r="W2314">
        <v>2.3960990000000001E-2</v>
      </c>
      <c r="X2314">
        <v>0.99874560000000001</v>
      </c>
      <c r="Y2314">
        <v>0.1101096</v>
      </c>
      <c r="Z2314">
        <v>2.4114320000000002E-2</v>
      </c>
      <c r="AA2314">
        <v>0.99362689999999998</v>
      </c>
      <c r="AB2314">
        <v>13</v>
      </c>
      <c r="AC2314">
        <v>-0.67169999999998697</v>
      </c>
      <c r="AD2314">
        <v>-0.1342546</v>
      </c>
      <c r="AE2314">
        <v>3.0700000000024302E-2</v>
      </c>
      <c r="AF2314">
        <v>8.4681243759964303E-2</v>
      </c>
      <c r="AG2314">
        <v>-0.1342546</v>
      </c>
      <c r="AH2314">
        <v>0.64105413267306</v>
      </c>
      <c r="AI2314">
        <v>101.729344492935</v>
      </c>
      <c r="AJ2314">
        <v>82.474974611038206</v>
      </c>
      <c r="AK2314">
        <v>0.66041321283201504</v>
      </c>
      <c r="AL2314">
        <v>88.627004970061506</v>
      </c>
      <c r="AM2314">
        <v>87.479367456725001</v>
      </c>
      <c r="AN2314">
        <v>0.99999997872102497</v>
      </c>
    </row>
    <row r="2315" spans="1:40" x14ac:dyDescent="0.25">
      <c r="A2315" t="str">
        <f>"20190312153932954"</f>
        <v>20190312153932954</v>
      </c>
      <c r="B2315" t="str">
        <f>"1552376372948653"</f>
        <v>1552376372948653</v>
      </c>
      <c r="C2315" t="s">
        <v>40</v>
      </c>
      <c r="D2315">
        <v>4.0655590000000004</v>
      </c>
      <c r="E2315">
        <v>0.52747429999999995</v>
      </c>
      <c r="F2315" t="s">
        <v>41</v>
      </c>
      <c r="G2315">
        <v>-218.9572</v>
      </c>
      <c r="H2315">
        <v>0.9734488</v>
      </c>
      <c r="I2315">
        <v>284.53800000000001</v>
      </c>
      <c r="J2315">
        <v>-218.24610000000001</v>
      </c>
      <c r="K2315">
        <v>1.1096680000000001</v>
      </c>
      <c r="L2315">
        <v>284.51060000000001</v>
      </c>
      <c r="M2315">
        <v>-0.9962915</v>
      </c>
      <c r="N2315">
        <v>0</v>
      </c>
      <c r="O2315">
        <v>-8.5572770000000006E-2</v>
      </c>
      <c r="P2315">
        <v>-0.99899950000000004</v>
      </c>
      <c r="Q2315">
        <v>1.5566170000000001E-2</v>
      </c>
      <c r="R2315">
        <v>-4.1921069999999998E-2</v>
      </c>
      <c r="S2315">
        <v>-3.014008</v>
      </c>
      <c r="T2315">
        <v>-0.52357549999999997</v>
      </c>
      <c r="U2315">
        <v>7.9833979999999999E-2</v>
      </c>
      <c r="V2315">
        <v>4.3724529999999998E-2</v>
      </c>
      <c r="W2315">
        <v>2.4525870000000002E-2</v>
      </c>
      <c r="X2315">
        <v>0.99874249999999998</v>
      </c>
      <c r="Y2315">
        <v>0.1090159</v>
      </c>
      <c r="Z2315">
        <v>2.4140080000000001E-2</v>
      </c>
      <c r="AA2315">
        <v>0.99374680000000004</v>
      </c>
      <c r="AB2315">
        <v>13</v>
      </c>
      <c r="AC2315">
        <v>-0.71109999999998696</v>
      </c>
      <c r="AD2315">
        <v>-0.13621919999999901</v>
      </c>
      <c r="AE2315">
        <v>2.7400000000000001E-2</v>
      </c>
      <c r="AF2315">
        <v>8.5036871935210701E-2</v>
      </c>
      <c r="AG2315">
        <v>-0.13621919999999901</v>
      </c>
      <c r="AH2315">
        <v>0.68118704703333999</v>
      </c>
      <c r="AI2315">
        <v>101.223579696267</v>
      </c>
      <c r="AJ2315">
        <v>82.884218745043498</v>
      </c>
      <c r="AK2315">
        <v>0.69985908087497695</v>
      </c>
      <c r="AL2315">
        <v>88.594630197193695</v>
      </c>
      <c r="AM2315">
        <v>87.493215401985395</v>
      </c>
      <c r="AN2315">
        <v>0.99999996706461303</v>
      </c>
    </row>
    <row r="2316" spans="1:40" x14ac:dyDescent="0.25">
      <c r="A2316" t="str">
        <f>"20190312153932970"</f>
        <v>20190312153932970</v>
      </c>
      <c r="B2316" t="str">
        <f>"1552376372958415"</f>
        <v>1552376372958415</v>
      </c>
      <c r="C2316" t="s">
        <v>40</v>
      </c>
      <c r="D2316">
        <v>4.0300260000000003</v>
      </c>
      <c r="E2316">
        <v>0.52755839999999998</v>
      </c>
      <c r="F2316" t="s">
        <v>41</v>
      </c>
      <c r="G2316">
        <v>-218.96209999999999</v>
      </c>
      <c r="H2316">
        <v>0.98479989999999995</v>
      </c>
      <c r="I2316">
        <v>284.53039999999999</v>
      </c>
      <c r="J2316">
        <v>-218.32810000000001</v>
      </c>
      <c r="K2316">
        <v>1.1096220000000001</v>
      </c>
      <c r="L2316">
        <v>284.50349999999997</v>
      </c>
      <c r="M2316">
        <v>-0.99629319999999999</v>
      </c>
      <c r="N2316">
        <v>0</v>
      </c>
      <c r="O2316">
        <v>-8.5584859999999999E-2</v>
      </c>
      <c r="P2316">
        <v>-0.99896649999999998</v>
      </c>
      <c r="Q2316">
        <v>1.620796E-2</v>
      </c>
      <c r="R2316">
        <v>-4.2469449999999999E-2</v>
      </c>
      <c r="S2316">
        <v>-3.0146480000000002</v>
      </c>
      <c r="T2316">
        <v>-0.52592399999999995</v>
      </c>
      <c r="U2316">
        <v>8.236694E-2</v>
      </c>
      <c r="V2316">
        <v>4.318785E-2</v>
      </c>
      <c r="W2316">
        <v>2.487147E-2</v>
      </c>
      <c r="X2316">
        <v>0.99875740000000002</v>
      </c>
      <c r="Y2316">
        <v>0.1098195</v>
      </c>
      <c r="Z2316">
        <v>2.431314E-2</v>
      </c>
      <c r="AA2316">
        <v>0.99365409999999998</v>
      </c>
      <c r="AB2316">
        <v>13</v>
      </c>
      <c r="AC2316">
        <v>-0.63399999999998602</v>
      </c>
      <c r="AD2316">
        <v>-0.12482209999999901</v>
      </c>
      <c r="AE2316">
        <v>2.6900000000011901E-2</v>
      </c>
      <c r="AF2316">
        <v>7.8044422242093403E-2</v>
      </c>
      <c r="AG2316">
        <v>-0.12482209999999901</v>
      </c>
      <c r="AH2316">
        <v>0.60592665636541299</v>
      </c>
      <c r="AI2316">
        <v>101.547411902367</v>
      </c>
      <c r="AJ2316">
        <v>82.660611076844702</v>
      </c>
      <c r="AK2316">
        <v>0.62355320653949098</v>
      </c>
      <c r="AL2316">
        <v>88.574822868260796</v>
      </c>
      <c r="AM2316">
        <v>87.523982331452601</v>
      </c>
      <c r="AN2316">
        <v>1.00000006223116</v>
      </c>
    </row>
    <row r="2317" spans="1:40" x14ac:dyDescent="0.25">
      <c r="A2317" t="str">
        <f>"20190312153932990"</f>
        <v>20190312153932990</v>
      </c>
      <c r="B2317" t="str">
        <f>"1552376372977932"</f>
        <v>1552376372977932</v>
      </c>
      <c r="C2317" t="s">
        <v>40</v>
      </c>
      <c r="D2317">
        <v>4.0316169999999998</v>
      </c>
      <c r="E2317">
        <v>0.52771330000000005</v>
      </c>
      <c r="F2317" t="s">
        <v>41</v>
      </c>
      <c r="G2317">
        <v>-219.07470000000001</v>
      </c>
      <c r="H2317">
        <v>0.97936120000000004</v>
      </c>
      <c r="I2317">
        <v>284.52370000000002</v>
      </c>
      <c r="J2317">
        <v>-218.4494</v>
      </c>
      <c r="K2317">
        <v>1.10955</v>
      </c>
      <c r="L2317">
        <v>284.49310000000003</v>
      </c>
      <c r="M2317">
        <v>-0.99629630000000002</v>
      </c>
      <c r="N2317">
        <v>0</v>
      </c>
      <c r="O2317">
        <v>-8.559282E-2</v>
      </c>
      <c r="P2317">
        <v>-0.99892939999999997</v>
      </c>
      <c r="Q2317">
        <v>1.711035E-2</v>
      </c>
      <c r="R2317">
        <v>-4.2981819999999997E-2</v>
      </c>
      <c r="S2317">
        <v>-3.0150760000000001</v>
      </c>
      <c r="T2317">
        <v>-0.52608029999999995</v>
      </c>
      <c r="U2317">
        <v>8.1115720000000002E-2</v>
      </c>
      <c r="V2317">
        <v>4.2682329999999997E-2</v>
      </c>
      <c r="W2317">
        <v>2.5319560000000001E-2</v>
      </c>
      <c r="X2317">
        <v>0.99876779999999998</v>
      </c>
      <c r="Y2317">
        <v>0.10941620000000001</v>
      </c>
      <c r="Z2317">
        <v>2.4283349999999999E-2</v>
      </c>
      <c r="AA2317">
        <v>0.99369940000000001</v>
      </c>
      <c r="AB2317">
        <v>13</v>
      </c>
      <c r="AC2317">
        <v>-0.62530000000000996</v>
      </c>
      <c r="AD2317">
        <v>-0.13018879999999999</v>
      </c>
      <c r="AE2317">
        <v>3.0599999999992598E-2</v>
      </c>
      <c r="AF2317">
        <v>8.0528283629374003E-2</v>
      </c>
      <c r="AG2317">
        <v>-0.13018879999999999</v>
      </c>
      <c r="AH2317">
        <v>0.59466965635005498</v>
      </c>
      <c r="AI2317">
        <v>102.240416505996</v>
      </c>
      <c r="AJ2317">
        <v>82.288098031464102</v>
      </c>
      <c r="AK2317">
        <v>0.61405694222378504</v>
      </c>
      <c r="AL2317">
        <v>88.549141010523002</v>
      </c>
      <c r="AM2317">
        <v>87.552954485056503</v>
      </c>
      <c r="AN2317">
        <v>0.99999998986483096</v>
      </c>
    </row>
    <row r="2318" spans="1:40" x14ac:dyDescent="0.25">
      <c r="A2318" t="str">
        <f>"20190312153933012"</f>
        <v>20190312153933012</v>
      </c>
      <c r="B2318" t="str">
        <f>"1552376372998429"</f>
        <v>1552376372998429</v>
      </c>
      <c r="C2318" t="s">
        <v>40</v>
      </c>
      <c r="D2318">
        <v>4.0059559999999896</v>
      </c>
      <c r="E2318">
        <v>0.52791949999999999</v>
      </c>
      <c r="F2318" t="s">
        <v>41</v>
      </c>
      <c r="G2318">
        <v>-219.19130000000001</v>
      </c>
      <c r="H2318">
        <v>0.98004449999999999</v>
      </c>
      <c r="I2318">
        <v>284.51299999999998</v>
      </c>
      <c r="J2318">
        <v>-218.57169999999999</v>
      </c>
      <c r="K2318">
        <v>1.109483</v>
      </c>
      <c r="L2318">
        <v>284.48259999999999</v>
      </c>
      <c r="M2318">
        <v>-0.99630039999999997</v>
      </c>
      <c r="N2318">
        <v>0</v>
      </c>
      <c r="O2318">
        <v>-8.5589860000000004E-2</v>
      </c>
      <c r="P2318">
        <v>-0.99889879999999998</v>
      </c>
      <c r="Q2318">
        <v>1.766446E-2</v>
      </c>
      <c r="R2318">
        <v>-4.3462849999999997E-2</v>
      </c>
      <c r="S2318">
        <v>-3.0156860000000001</v>
      </c>
      <c r="T2318">
        <v>-0.52651320000000001</v>
      </c>
      <c r="U2318">
        <v>8.0291749999999995E-2</v>
      </c>
      <c r="V2318">
        <v>4.2197220000000001E-2</v>
      </c>
      <c r="W2318">
        <v>2.5398210000000001E-2</v>
      </c>
      <c r="X2318">
        <v>0.99878639999999996</v>
      </c>
      <c r="Y2318">
        <v>0.1091369</v>
      </c>
      <c r="Z2318">
        <v>2.4273469999999998E-2</v>
      </c>
      <c r="AA2318">
        <v>0.99373029999999996</v>
      </c>
      <c r="AB2318">
        <v>13</v>
      </c>
      <c r="AC2318">
        <v>-0.61960000000001902</v>
      </c>
      <c r="AD2318">
        <v>-0.12943850000000001</v>
      </c>
      <c r="AE2318">
        <v>3.03999999999859E-2</v>
      </c>
      <c r="AF2318">
        <v>7.9845269611470301E-2</v>
      </c>
      <c r="AG2318">
        <v>-0.12943850000000001</v>
      </c>
      <c r="AH2318">
        <v>0.58907745501355202</v>
      </c>
      <c r="AI2318">
        <v>102.283840016414</v>
      </c>
      <c r="AJ2318">
        <v>82.281005020976806</v>
      </c>
      <c r="AK2318">
        <v>0.60839283392132604</v>
      </c>
      <c r="AL2318">
        <v>88.544633224149905</v>
      </c>
      <c r="AM2318">
        <v>87.580778373525604</v>
      </c>
      <c r="AN2318">
        <v>0.99999997363594495</v>
      </c>
    </row>
    <row r="2319" spans="1:40" x14ac:dyDescent="0.25">
      <c r="A2319" t="str">
        <f>"20190312153933034"</f>
        <v>20190312153933034</v>
      </c>
      <c r="B2319" t="str">
        <f>"1552376373028684"</f>
        <v>1552376373028684</v>
      </c>
      <c r="C2319" t="s">
        <v>40</v>
      </c>
      <c r="D2319">
        <v>4.0274809999999999</v>
      </c>
      <c r="E2319">
        <v>0.52808929999999998</v>
      </c>
      <c r="F2319" t="s">
        <v>41</v>
      </c>
      <c r="G2319">
        <v>-219.309</v>
      </c>
      <c r="H2319">
        <v>0.98043659999999999</v>
      </c>
      <c r="I2319">
        <v>284.50220000000002</v>
      </c>
      <c r="J2319">
        <v>-218.70760000000001</v>
      </c>
      <c r="K2319">
        <v>1.1094059999999999</v>
      </c>
      <c r="L2319">
        <v>284.471</v>
      </c>
      <c r="M2319">
        <v>-0.99630609999999997</v>
      </c>
      <c r="N2319">
        <v>0</v>
      </c>
      <c r="O2319">
        <v>-8.5571540000000001E-2</v>
      </c>
      <c r="P2319">
        <v>-0.99888739999999998</v>
      </c>
      <c r="Q2319">
        <v>1.843086E-2</v>
      </c>
      <c r="R2319">
        <v>-4.3410070000000002E-2</v>
      </c>
      <c r="S2319">
        <v>-3.0161129999999998</v>
      </c>
      <c r="T2319">
        <v>-0.52789839999999999</v>
      </c>
      <c r="U2319">
        <v>7.9711909999999997E-2</v>
      </c>
      <c r="V2319">
        <v>4.2230440000000001E-2</v>
      </c>
      <c r="W2319">
        <v>2.5618439999999999E-2</v>
      </c>
      <c r="X2319">
        <v>0.99877939999999998</v>
      </c>
      <c r="Y2319">
        <v>0.1089127</v>
      </c>
      <c r="Z2319">
        <v>2.43103E-2</v>
      </c>
      <c r="AA2319">
        <v>0.99375400000000003</v>
      </c>
      <c r="AB2319">
        <v>13</v>
      </c>
      <c r="AC2319">
        <v>-0.60140000000001204</v>
      </c>
      <c r="AD2319">
        <v>-0.12896939999999901</v>
      </c>
      <c r="AE2319">
        <v>3.1200000000012499E-2</v>
      </c>
      <c r="AF2319">
        <v>7.8929522710234595E-2</v>
      </c>
      <c r="AG2319">
        <v>-0.12896939999999901</v>
      </c>
      <c r="AH2319">
        <v>0.57036443390062397</v>
      </c>
      <c r="AI2319">
        <v>102.624911677151</v>
      </c>
      <c r="AJ2319">
        <v>82.121198998948501</v>
      </c>
      <c r="AK2319">
        <v>0.59006657518487204</v>
      </c>
      <c r="AL2319">
        <v>88.532010909014403</v>
      </c>
      <c r="AM2319">
        <v>87.578859144733102</v>
      </c>
      <c r="AN2319">
        <v>1.00000000219749</v>
      </c>
    </row>
    <row r="2320" spans="1:40" x14ac:dyDescent="0.25">
      <c r="A2320" t="str">
        <f>"20190312153933056"</f>
        <v>20190312153933056</v>
      </c>
      <c r="B2320" t="str">
        <f>"1552376373048205"</f>
        <v>1552376373048205</v>
      </c>
      <c r="C2320" t="s">
        <v>40</v>
      </c>
      <c r="D2320">
        <v>4.0342859999999998</v>
      </c>
      <c r="E2320">
        <v>0.52829919999999997</v>
      </c>
      <c r="F2320" t="s">
        <v>41</v>
      </c>
      <c r="G2320">
        <v>-219.4289</v>
      </c>
      <c r="H2320">
        <v>0.98251449999999996</v>
      </c>
      <c r="I2320">
        <v>284.49040000000002</v>
      </c>
      <c r="J2320">
        <v>-218.83760000000001</v>
      </c>
      <c r="K2320">
        <v>1.1093299999999999</v>
      </c>
      <c r="L2320">
        <v>284.4599</v>
      </c>
      <c r="M2320">
        <v>-0.99631270000000005</v>
      </c>
      <c r="N2320">
        <v>0</v>
      </c>
      <c r="O2320">
        <v>-8.5536589999999996E-2</v>
      </c>
      <c r="P2320">
        <v>-0.99886419999999998</v>
      </c>
      <c r="Q2320">
        <v>1.959874E-2</v>
      </c>
      <c r="R2320">
        <v>-4.342961E-2</v>
      </c>
      <c r="S2320">
        <v>-3.016632</v>
      </c>
      <c r="T2320">
        <v>-0.53079419999999899</v>
      </c>
      <c r="U2320">
        <v>8.0718990000000004E-2</v>
      </c>
      <c r="V2320">
        <v>4.2174250000000003E-2</v>
      </c>
      <c r="W2320">
        <v>2.6258139999999999E-2</v>
      </c>
      <c r="X2320">
        <v>0.99876520000000002</v>
      </c>
      <c r="Y2320">
        <v>0.1091699</v>
      </c>
      <c r="Z2320">
        <v>2.4453760000000001E-2</v>
      </c>
      <c r="AA2320">
        <v>0.99372229999999995</v>
      </c>
      <c r="AB2320">
        <v>13</v>
      </c>
      <c r="AC2320">
        <v>-0.59129999999998895</v>
      </c>
      <c r="AD2320">
        <v>-0.126815499999999</v>
      </c>
      <c r="AE2320">
        <v>3.05000000000177E-2</v>
      </c>
      <c r="AF2320">
        <v>7.7415688807997804E-2</v>
      </c>
      <c r="AG2320">
        <v>-0.126815499999999</v>
      </c>
      <c r="AH2320">
        <v>0.56079736951549997</v>
      </c>
      <c r="AI2320">
        <v>102.626376992557</v>
      </c>
      <c r="AJ2320">
        <v>82.140237262030695</v>
      </c>
      <c r="AK2320">
        <v>0.58014571408342797</v>
      </c>
      <c r="AL2320">
        <v>88.495346520818103</v>
      </c>
      <c r="AM2320">
        <v>87.582042448134999</v>
      </c>
      <c r="AN2320">
        <v>1.0000000410051799</v>
      </c>
    </row>
    <row r="2321" spans="1:40" x14ac:dyDescent="0.25">
      <c r="A2321" t="str">
        <f>"20190312153933081"</f>
        <v>20190312153933081</v>
      </c>
      <c r="B2321" t="str">
        <f>"1552376373068700"</f>
        <v>1552376373068700</v>
      </c>
      <c r="C2321" t="s">
        <v>40</v>
      </c>
      <c r="D2321">
        <v>4.0407769999999896</v>
      </c>
      <c r="E2321">
        <v>0.52832819999999903</v>
      </c>
      <c r="F2321" t="s">
        <v>41</v>
      </c>
      <c r="G2321">
        <v>-219.55009999999999</v>
      </c>
      <c r="H2321">
        <v>0.98403859999999999</v>
      </c>
      <c r="I2321">
        <v>284.47930000000002</v>
      </c>
      <c r="J2321">
        <v>-218.99100000000001</v>
      </c>
      <c r="K2321">
        <v>1.109246</v>
      </c>
      <c r="L2321">
        <v>284.4468</v>
      </c>
      <c r="M2321">
        <v>-0.99632270000000001</v>
      </c>
      <c r="N2321">
        <v>0</v>
      </c>
      <c r="O2321">
        <v>-8.5468249999999996E-2</v>
      </c>
      <c r="P2321">
        <v>-0.99881850000000005</v>
      </c>
      <c r="Q2321">
        <v>2.1695059999999999E-2</v>
      </c>
      <c r="R2321">
        <v>-4.34873E-2</v>
      </c>
      <c r="S2321">
        <v>-3.0173649999999999</v>
      </c>
      <c r="T2321">
        <v>-0.53065660000000003</v>
      </c>
      <c r="U2321">
        <v>8.1909179999999998E-2</v>
      </c>
      <c r="V2321">
        <v>4.2044579999999998E-2</v>
      </c>
      <c r="W2321">
        <v>2.773484E-2</v>
      </c>
      <c r="X2321">
        <v>0.99873069999999997</v>
      </c>
      <c r="Y2321">
        <v>0.1094859</v>
      </c>
      <c r="Z2321">
        <v>2.445721E-2</v>
      </c>
      <c r="AA2321">
        <v>0.99368749999999995</v>
      </c>
      <c r="AB2321">
        <v>13</v>
      </c>
      <c r="AC2321">
        <v>-0.55910000000000004</v>
      </c>
      <c r="AD2321">
        <v>-0.125207399999999</v>
      </c>
      <c r="AE2321">
        <v>3.2500000000027202E-2</v>
      </c>
      <c r="AF2321">
        <v>7.6351041005355794E-2</v>
      </c>
      <c r="AG2321">
        <v>-0.125207399999999</v>
      </c>
      <c r="AH2321">
        <v>0.527891151602219</v>
      </c>
      <c r="AI2321">
        <v>103.210517304318</v>
      </c>
      <c r="AJ2321">
        <v>81.770148850874406</v>
      </c>
      <c r="AK2321">
        <v>0.54788269037931703</v>
      </c>
      <c r="AL2321">
        <v>88.410706908528198</v>
      </c>
      <c r="AM2321">
        <v>87.589384806830594</v>
      </c>
      <c r="AN2321">
        <v>0.99999998958984504</v>
      </c>
    </row>
    <row r="2322" spans="1:40" x14ac:dyDescent="0.25">
      <c r="A2322" t="str">
        <f>"20190312153933099"</f>
        <v>20190312153933099</v>
      </c>
      <c r="B2322" t="str">
        <f>"1552376373088220"</f>
        <v>1552376373088220</v>
      </c>
      <c r="C2322" t="s">
        <v>40</v>
      </c>
      <c r="D2322">
        <v>4.0817449999999997</v>
      </c>
      <c r="E2322">
        <v>0.52828019999999998</v>
      </c>
      <c r="F2322" t="s">
        <v>41</v>
      </c>
      <c r="G2322">
        <v>-219.78989999999999</v>
      </c>
      <c r="H2322">
        <v>0.96991349999999998</v>
      </c>
      <c r="I2322">
        <v>284.46839999999997</v>
      </c>
      <c r="J2322">
        <v>-219.10839999999999</v>
      </c>
      <c r="K2322">
        <v>1.1091819999999999</v>
      </c>
      <c r="L2322">
        <v>284.43680000000001</v>
      </c>
      <c r="M2322">
        <v>-0.99633130000000003</v>
      </c>
      <c r="N2322">
        <v>0</v>
      </c>
      <c r="O2322">
        <v>-8.5397959999999995E-2</v>
      </c>
      <c r="P2322">
        <v>-0.99877070000000001</v>
      </c>
      <c r="Q2322">
        <v>2.3407689999999998E-2</v>
      </c>
      <c r="R2322">
        <v>-4.3698910000000001E-2</v>
      </c>
      <c r="S2322">
        <v>-3.0185550000000001</v>
      </c>
      <c r="T2322">
        <v>-0.52643379999999995</v>
      </c>
      <c r="U2322">
        <v>8.1939699999999893E-2</v>
      </c>
      <c r="V2322">
        <v>4.1760100000000001E-2</v>
      </c>
      <c r="W2322">
        <v>2.898365E-2</v>
      </c>
      <c r="X2322">
        <v>0.99870720000000002</v>
      </c>
      <c r="Y2322">
        <v>0.1094657</v>
      </c>
      <c r="Z2322">
        <v>2.4242150000000001E-2</v>
      </c>
      <c r="AA2322">
        <v>0.99369490000000005</v>
      </c>
      <c r="AB2322">
        <v>14</v>
      </c>
      <c r="AC2322">
        <v>-0.681499999999999</v>
      </c>
      <c r="AD2322">
        <v>-0.13926849999999899</v>
      </c>
      <c r="AE2322">
        <v>3.1599999999968903E-2</v>
      </c>
      <c r="AF2322">
        <v>8.6096390777112702E-2</v>
      </c>
      <c r="AG2322">
        <v>-0.13926849999999899</v>
      </c>
      <c r="AH2322">
        <v>0.64925611840420805</v>
      </c>
      <c r="AI2322">
        <v>102.00475039767301</v>
      </c>
      <c r="AJ2322">
        <v>82.446207402505294</v>
      </c>
      <c r="AK2322">
        <v>0.66958331138282901</v>
      </c>
      <c r="AL2322">
        <v>88.3391266123798</v>
      </c>
      <c r="AM2322">
        <v>87.605620073917507</v>
      </c>
      <c r="AN2322">
        <v>1.0000000146255801</v>
      </c>
    </row>
    <row r="2323" spans="1:40" x14ac:dyDescent="0.25">
      <c r="A2323" t="str">
        <f>"20190312153933113"</f>
        <v>20190312153933113</v>
      </c>
      <c r="B2323" t="str">
        <f>"1552376373097981"</f>
        <v>1552376373097981</v>
      </c>
      <c r="C2323" t="s">
        <v>40</v>
      </c>
      <c r="D2323">
        <v>4.088813</v>
      </c>
      <c r="E2323">
        <v>0.52828019999999998</v>
      </c>
      <c r="F2323" t="s">
        <v>41</v>
      </c>
      <c r="G2323">
        <v>-219.91550000000001</v>
      </c>
      <c r="H2323">
        <v>0.97029200000000004</v>
      </c>
      <c r="I2323">
        <v>284.45859999999999</v>
      </c>
      <c r="J2323">
        <v>-219.19390000000001</v>
      </c>
      <c r="K2323">
        <v>1.109135</v>
      </c>
      <c r="L2323">
        <v>284.42950000000002</v>
      </c>
      <c r="M2323">
        <v>-0.99633830000000001</v>
      </c>
      <c r="N2323">
        <v>0</v>
      </c>
      <c r="O2323">
        <v>-8.5337410000000002E-2</v>
      </c>
      <c r="P2323">
        <v>-0.99875530000000001</v>
      </c>
      <c r="Q2323">
        <v>2.4285749999999998E-2</v>
      </c>
      <c r="R2323">
        <v>-4.356997E-2</v>
      </c>
      <c r="S2323">
        <v>-3.0193940000000001</v>
      </c>
      <c r="T2323">
        <v>-0.51972390000000002</v>
      </c>
      <c r="U2323">
        <v>8.0535889999999999E-2</v>
      </c>
      <c r="V2323">
        <v>4.1826830000000002E-2</v>
      </c>
      <c r="W2323">
        <v>2.9533210000000001E-2</v>
      </c>
      <c r="X2323">
        <v>0.99868829999999997</v>
      </c>
      <c r="Y2323">
        <v>0.1090188</v>
      </c>
      <c r="Z2323">
        <v>2.3882670000000002E-2</v>
      </c>
      <c r="AA2323">
        <v>0.99375270000000004</v>
      </c>
      <c r="AB2323">
        <v>14</v>
      </c>
      <c r="AC2323">
        <v>-0.72159999999999502</v>
      </c>
      <c r="AD2323">
        <v>-0.13884299999999899</v>
      </c>
      <c r="AE2323">
        <v>2.9099999999971201E-2</v>
      </c>
      <c r="AF2323">
        <v>8.7345739009668202E-2</v>
      </c>
      <c r="AG2323">
        <v>-0.13884299999999899</v>
      </c>
      <c r="AH2323">
        <v>0.69094588225239895</v>
      </c>
      <c r="AI2323">
        <v>101.274649094835</v>
      </c>
      <c r="AJ2323">
        <v>82.795186434090894</v>
      </c>
      <c r="AK2323">
        <v>0.71014989190570998</v>
      </c>
      <c r="AL2323">
        <v>88.307625645412898</v>
      </c>
      <c r="AM2323">
        <v>87.601753137246106</v>
      </c>
      <c r="AN2323">
        <v>1.00000000737882</v>
      </c>
    </row>
    <row r="2324" spans="1:40" x14ac:dyDescent="0.25">
      <c r="A2324" t="str">
        <f>"20190312153933133"</f>
        <v>20190312153933133</v>
      </c>
      <c r="B2324" t="str">
        <f>"1552376373128237"</f>
        <v>1552376373128237</v>
      </c>
      <c r="C2324" t="s">
        <v>40</v>
      </c>
      <c r="D2324">
        <v>4.1048309999999999</v>
      </c>
      <c r="E2324">
        <v>0.51536689999999996</v>
      </c>
      <c r="F2324" t="s">
        <v>41</v>
      </c>
      <c r="G2324">
        <v>-219.92150000000001</v>
      </c>
      <c r="H2324">
        <v>0.98456239999999995</v>
      </c>
      <c r="I2324">
        <v>284.44920000000002</v>
      </c>
      <c r="J2324">
        <v>-219.3175</v>
      </c>
      <c r="K2324">
        <v>1.1090690000000001</v>
      </c>
      <c r="L2324">
        <v>284.41910000000001</v>
      </c>
      <c r="M2324">
        <v>-0.99634909999999999</v>
      </c>
      <c r="N2324">
        <v>0</v>
      </c>
      <c r="O2324">
        <v>-8.5236560000000003E-2</v>
      </c>
      <c r="P2324">
        <v>-0.99872090000000002</v>
      </c>
      <c r="Q2324">
        <v>2.5282579999999999E-2</v>
      </c>
      <c r="R2324">
        <v>-4.3785119999999997E-2</v>
      </c>
      <c r="S2324">
        <v>-3.0198360000000002</v>
      </c>
      <c r="T2324">
        <v>-0.51715900000000004</v>
      </c>
      <c r="U2324">
        <v>8.0535889999999999E-2</v>
      </c>
      <c r="V2324">
        <v>4.1509320000000002E-2</v>
      </c>
      <c r="W2324">
        <v>3.007466E-2</v>
      </c>
      <c r="X2324">
        <v>0.99868539999999995</v>
      </c>
      <c r="Y2324">
        <v>0.1089455</v>
      </c>
      <c r="Z2324">
        <v>2.3739699999999999E-2</v>
      </c>
      <c r="AA2324">
        <v>0.99376419999999999</v>
      </c>
      <c r="AB2324">
        <v>14</v>
      </c>
      <c r="AC2324">
        <v>-0.60400000000001297</v>
      </c>
      <c r="AD2324">
        <v>-0.1245066</v>
      </c>
      <c r="AE2324">
        <v>3.0100000000004401E-2</v>
      </c>
      <c r="AF2324">
        <v>7.8160920893959707E-2</v>
      </c>
      <c r="AG2324">
        <v>-0.1245066</v>
      </c>
      <c r="AH2324">
        <v>0.57486915383532999</v>
      </c>
      <c r="AI2324">
        <v>102.112409303123</v>
      </c>
      <c r="AJ2324">
        <v>82.257372266482193</v>
      </c>
      <c r="AK2324">
        <v>0.59336798618555497</v>
      </c>
      <c r="AL2324">
        <v>88.276589077043695</v>
      </c>
      <c r="AM2324">
        <v>87.619930455540896</v>
      </c>
      <c r="AN2324">
        <v>1.0000000184970601</v>
      </c>
    </row>
    <row r="2325" spans="1:40" x14ac:dyDescent="0.25">
      <c r="A2325" t="str">
        <f>"20190312153933146"</f>
        <v>20190312153933146</v>
      </c>
      <c r="B2325" t="str">
        <f>"1552376373137997"</f>
        <v>1552376373137997</v>
      </c>
      <c r="C2325" t="s">
        <v>40</v>
      </c>
      <c r="D2325">
        <v>4.1258569999999999</v>
      </c>
      <c r="E2325">
        <v>0.5143316</v>
      </c>
      <c r="F2325" t="s">
        <v>61</v>
      </c>
      <c r="G2325">
        <v>-247.85890000000001</v>
      </c>
      <c r="H2325" s="1">
        <v>2.6453179999999898E-6</v>
      </c>
      <c r="I2325">
        <v>284.28899999999999</v>
      </c>
      <c r="J2325">
        <v>-219.4083</v>
      </c>
      <c r="K2325">
        <v>1.109022</v>
      </c>
      <c r="L2325">
        <v>284.41140000000001</v>
      </c>
      <c r="M2325">
        <v>-0.99635819999999997</v>
      </c>
      <c r="N2325">
        <v>0</v>
      </c>
      <c r="O2325">
        <v>-8.5149680000000005E-2</v>
      </c>
      <c r="P2325">
        <v>-0.99871659999999995</v>
      </c>
      <c r="Q2325">
        <v>2.548601E-2</v>
      </c>
      <c r="R2325">
        <v>-4.3765779999999997E-2</v>
      </c>
      <c r="S2325">
        <v>-3.0061800000000001</v>
      </c>
      <c r="T2325">
        <v>-0.11681469999999999</v>
      </c>
      <c r="U2325">
        <v>-1.370239E-2</v>
      </c>
      <c r="V2325">
        <v>4.1441499999999999E-2</v>
      </c>
      <c r="W2325">
        <v>2.995836E-2</v>
      </c>
      <c r="X2325">
        <v>0.99869169999999996</v>
      </c>
      <c r="Y2325">
        <v>8.0483299999999994E-2</v>
      </c>
      <c r="Z2325">
        <v>4.8674809999999999E-3</v>
      </c>
      <c r="AA2325">
        <v>0.99674410000000002</v>
      </c>
      <c r="AB2325">
        <v>14</v>
      </c>
      <c r="AC2325">
        <v>-28.450600000000001</v>
      </c>
      <c r="AD2325">
        <v>-1.109019354682</v>
      </c>
      <c r="AE2325">
        <v>-0.122400000000027</v>
      </c>
      <c r="AF2325">
        <v>2.2971377047239598</v>
      </c>
      <c r="AG2325">
        <v>-1.109019354682</v>
      </c>
      <c r="AH2325">
        <v>28.3146698325538</v>
      </c>
      <c r="AI2325">
        <v>92.2356571950194</v>
      </c>
      <c r="AJ2325">
        <v>85.361815284219304</v>
      </c>
      <c r="AK2325">
        <v>28.4293386009956</v>
      </c>
      <c r="AL2325">
        <v>88.283255559303797</v>
      </c>
      <c r="AM2325">
        <v>87.623829643432401</v>
      </c>
      <c r="AN2325">
        <v>1.0000000064525101</v>
      </c>
    </row>
    <row r="2326" spans="1:40" x14ac:dyDescent="0.25">
      <c r="A2326" t="str">
        <f>"20190312153933160"</f>
        <v>20190312153933160</v>
      </c>
      <c r="B2326" t="str">
        <f>"1552376373147757"</f>
        <v>1552376373147757</v>
      </c>
      <c r="C2326" t="s">
        <v>40</v>
      </c>
      <c r="D2326">
        <v>4.1249479999999998</v>
      </c>
      <c r="E2326">
        <v>0.51384640000000004</v>
      </c>
      <c r="F2326" t="s">
        <v>61</v>
      </c>
      <c r="G2326">
        <v>-255.7526</v>
      </c>
      <c r="H2326" s="1">
        <v>1.5244819999999999E-6</v>
      </c>
      <c r="I2326">
        <v>284.15300000000002</v>
      </c>
      <c r="J2326">
        <v>-219.48869999999999</v>
      </c>
      <c r="K2326">
        <v>1.108984</v>
      </c>
      <c r="L2326">
        <v>284.40460000000002</v>
      </c>
      <c r="M2326">
        <v>-0.99636650000000004</v>
      </c>
      <c r="N2326">
        <v>0</v>
      </c>
      <c r="O2326">
        <v>-8.5065799999999997E-2</v>
      </c>
      <c r="P2326">
        <v>-0.99870199999999998</v>
      </c>
      <c r="Q2326">
        <v>2.6119860000000002E-2</v>
      </c>
      <c r="R2326">
        <v>-4.3727170000000003E-2</v>
      </c>
      <c r="S2326">
        <v>-3.0052949999999998</v>
      </c>
      <c r="T2326">
        <v>-9.1704369999999993E-2</v>
      </c>
      <c r="U2326">
        <v>-2.1362300000000001E-2</v>
      </c>
      <c r="V2326">
        <v>4.139528E-2</v>
      </c>
      <c r="W2326">
        <v>3.0314870000000001E-2</v>
      </c>
      <c r="X2326">
        <v>0.99868290000000004</v>
      </c>
      <c r="Y2326">
        <v>7.7906359999999994E-2</v>
      </c>
      <c r="Z2326">
        <v>3.7808899999999999E-3</v>
      </c>
      <c r="AA2326">
        <v>0.99695350000000005</v>
      </c>
      <c r="AB2326">
        <v>14</v>
      </c>
      <c r="AC2326">
        <v>-36.2639</v>
      </c>
      <c r="AD2326">
        <v>-1.108982475518</v>
      </c>
      <c r="AE2326">
        <v>-0.25159999999999599</v>
      </c>
      <c r="AF2326">
        <v>2.8315089299238201</v>
      </c>
      <c r="AG2326">
        <v>-1.108982475518</v>
      </c>
      <c r="AH2326">
        <v>36.120078414045999</v>
      </c>
      <c r="AI2326">
        <v>91.753205075888701</v>
      </c>
      <c r="AJ2326">
        <v>85.517661716530696</v>
      </c>
      <c r="AK2326">
        <v>36.247859931147303</v>
      </c>
      <c r="AL2326">
        <v>88.262819830399806</v>
      </c>
      <c r="AM2326">
        <v>87.626455879915596</v>
      </c>
      <c r="AN2326">
        <v>1.0000000476508999</v>
      </c>
    </row>
    <row r="2327" spans="1:40" x14ac:dyDescent="0.25">
      <c r="A2327" t="str">
        <f>"20190312153933189"</f>
        <v>20190312153933189</v>
      </c>
      <c r="B2327" t="str">
        <f>"1552376373178661"</f>
        <v>1552376373178661</v>
      </c>
      <c r="C2327" t="s">
        <v>40</v>
      </c>
      <c r="D2327">
        <v>4.1064489999999996</v>
      </c>
      <c r="E2327">
        <v>0.51302389999999998</v>
      </c>
      <c r="F2327" t="s">
        <v>61</v>
      </c>
      <c r="G2327">
        <v>-265.07429999999999</v>
      </c>
      <c r="H2327" s="1">
        <v>1.1634989999999999E-6</v>
      </c>
      <c r="I2327">
        <v>284.02550000000002</v>
      </c>
      <c r="J2327">
        <v>-219.68299999999999</v>
      </c>
      <c r="K2327">
        <v>1.1088880000000001</v>
      </c>
      <c r="L2327">
        <v>284.38830000000002</v>
      </c>
      <c r="M2327">
        <v>-0.99638950000000004</v>
      </c>
      <c r="N2327">
        <v>0</v>
      </c>
      <c r="O2327">
        <v>-8.4824350000000007E-2</v>
      </c>
      <c r="P2327">
        <v>-0.99872369999999999</v>
      </c>
      <c r="Q2327">
        <v>2.5905190000000002E-2</v>
      </c>
      <c r="R2327">
        <v>-4.3357819999999998E-2</v>
      </c>
      <c r="S2327">
        <v>-3.004715</v>
      </c>
      <c r="T2327">
        <v>-7.3097229999999999E-2</v>
      </c>
      <c r="U2327">
        <v>-2.4993899999999999E-2</v>
      </c>
      <c r="V2327">
        <v>4.1523999999999998E-2</v>
      </c>
      <c r="W2327">
        <v>2.946791E-2</v>
      </c>
      <c r="X2327">
        <v>0.99870289999999995</v>
      </c>
      <c r="Y2327">
        <v>7.6486330000000005E-2</v>
      </c>
      <c r="Z2327">
        <v>2.9914E-3</v>
      </c>
      <c r="AA2327">
        <v>0.99706609999999996</v>
      </c>
      <c r="AB2327">
        <v>14</v>
      </c>
      <c r="AC2327">
        <v>-45.391300000000001</v>
      </c>
      <c r="AD2327">
        <v>-1.1088868365009901</v>
      </c>
      <c r="AE2327">
        <v>-0.36279999999999202</v>
      </c>
      <c r="AF2327">
        <v>3.4867389706901699</v>
      </c>
      <c r="AG2327">
        <v>-1.1088868365009901</v>
      </c>
      <c r="AH2327">
        <v>45.2314860521806</v>
      </c>
      <c r="AI2327">
        <v>91.400219076165499</v>
      </c>
      <c r="AJ2327">
        <v>85.591983842874996</v>
      </c>
      <c r="AK2327">
        <v>45.379227727612303</v>
      </c>
      <c r="AL2327">
        <v>88.311368746331894</v>
      </c>
      <c r="AM2327">
        <v>87.619131371337502</v>
      </c>
      <c r="AN2327">
        <v>1.00000004138208</v>
      </c>
    </row>
    <row r="2328" spans="1:40" x14ac:dyDescent="0.25">
      <c r="A2328" t="str">
        <f>"20190312153933211"</f>
        <v>20190312153933211</v>
      </c>
      <c r="B2328" t="str">
        <f>"1552376373198177"</f>
        <v>1552376373198177</v>
      </c>
      <c r="C2328" t="s">
        <v>40</v>
      </c>
      <c r="D2328">
        <v>4.1013310000000001</v>
      </c>
      <c r="E2328">
        <v>0.51257339999999996</v>
      </c>
      <c r="F2328" t="s">
        <v>62</v>
      </c>
      <c r="G2328">
        <v>-285.58929999999998</v>
      </c>
      <c r="H2328" s="1">
        <v>6.105927E-6</v>
      </c>
      <c r="I2328">
        <v>283.73410000000001</v>
      </c>
      <c r="J2328">
        <v>-219.83240000000001</v>
      </c>
      <c r="K2328">
        <v>1.1088260000000001</v>
      </c>
      <c r="L2328">
        <v>284.3759</v>
      </c>
      <c r="M2328">
        <v>-0.99640919999999999</v>
      </c>
      <c r="N2328">
        <v>0</v>
      </c>
      <c r="O2328">
        <v>-8.4610299999999999E-2</v>
      </c>
      <c r="P2328">
        <v>-0.99872729999999998</v>
      </c>
      <c r="Q2328">
        <v>2.6253889999999998E-2</v>
      </c>
      <c r="R2328">
        <v>-4.306347E-2</v>
      </c>
      <c r="S2328">
        <v>-3.0038450000000001</v>
      </c>
      <c r="T2328">
        <v>-5.0540090000000003E-2</v>
      </c>
      <c r="U2328">
        <v>-2.9815669999999999E-2</v>
      </c>
      <c r="V2328">
        <v>4.1603889999999998E-2</v>
      </c>
      <c r="W2328">
        <v>2.9362579999999999E-2</v>
      </c>
      <c r="X2328">
        <v>0.9987026</v>
      </c>
      <c r="Y2328">
        <v>7.4694280000000002E-2</v>
      </c>
      <c r="Z2328">
        <v>2.0503330000000001E-3</v>
      </c>
      <c r="AA2328">
        <v>0.99720439999999999</v>
      </c>
      <c r="AB2328">
        <v>15</v>
      </c>
      <c r="AC2328">
        <v>-65.756899999999902</v>
      </c>
      <c r="AD2328">
        <v>-1.1088198940729901</v>
      </c>
      <c r="AE2328">
        <v>-0.64179999999998905</v>
      </c>
      <c r="AF2328">
        <v>4.9228401169096401</v>
      </c>
      <c r="AG2328">
        <v>-1.1088198940729901</v>
      </c>
      <c r="AH2328">
        <v>65.556765746921897</v>
      </c>
      <c r="AI2328">
        <v>90.966282039840905</v>
      </c>
      <c r="AJ2328">
        <v>85.705560253971598</v>
      </c>
      <c r="AK2328">
        <v>65.750691034930895</v>
      </c>
      <c r="AL2328">
        <v>88.317406192904699</v>
      </c>
      <c r="AM2328">
        <v>87.614555275570495</v>
      </c>
      <c r="AN2328">
        <v>0.99999996400707303</v>
      </c>
    </row>
    <row r="2329" spans="1:40" x14ac:dyDescent="0.25">
      <c r="A2329" t="str">
        <f>"20190312153933233"</f>
        <v>20190312153933233</v>
      </c>
      <c r="B2329" t="str">
        <f>"1552376373218674"</f>
        <v>1552376373218674</v>
      </c>
      <c r="C2329" t="s">
        <v>40</v>
      </c>
      <c r="D2329">
        <v>4.0865</v>
      </c>
      <c r="E2329">
        <v>0.51219179999999997</v>
      </c>
      <c r="F2329" t="s">
        <v>62</v>
      </c>
      <c r="G2329">
        <v>-297.08109999999999</v>
      </c>
      <c r="H2329" s="1">
        <v>3.555519E-6</v>
      </c>
      <c r="I2329">
        <v>283.54469999999998</v>
      </c>
      <c r="J2329">
        <v>-219.97540000000001</v>
      </c>
      <c r="K2329">
        <v>1.108768</v>
      </c>
      <c r="L2329">
        <v>284.36399999999998</v>
      </c>
      <c r="M2329">
        <v>-0.99642960000000003</v>
      </c>
      <c r="N2329">
        <v>0</v>
      </c>
      <c r="O2329">
        <v>-8.4385080000000001E-2</v>
      </c>
      <c r="P2329">
        <v>-0.99872159999999999</v>
      </c>
      <c r="Q2329">
        <v>2.6995160000000001E-2</v>
      </c>
      <c r="R2329">
        <v>-4.2739930000000002E-2</v>
      </c>
      <c r="S2329">
        <v>-3.003571</v>
      </c>
      <c r="T2329">
        <v>-4.3112989999999997E-2</v>
      </c>
      <c r="U2329">
        <v>-3.2318119999999999E-2</v>
      </c>
      <c r="V2329">
        <v>4.1701059999999998E-2</v>
      </c>
      <c r="W2329">
        <v>2.9697169999999998E-2</v>
      </c>
      <c r="X2329">
        <v>0.99868869999999998</v>
      </c>
      <c r="Y2329">
        <v>7.3643340000000002E-2</v>
      </c>
      <c r="Z2329">
        <v>1.7384360000000001E-3</v>
      </c>
      <c r="AA2329">
        <v>0.99728309999999998</v>
      </c>
      <c r="AB2329">
        <v>15</v>
      </c>
      <c r="AC2329">
        <v>-77.105699999999899</v>
      </c>
      <c r="AD2329">
        <v>-1.1087644444810001</v>
      </c>
      <c r="AE2329">
        <v>-0.81930000000005498</v>
      </c>
      <c r="AF2329">
        <v>5.6890401673963797</v>
      </c>
      <c r="AG2329">
        <v>-1.1087644444810001</v>
      </c>
      <c r="AH2329">
        <v>76.883919593670498</v>
      </c>
      <c r="AI2329">
        <v>90.823968797735802</v>
      </c>
      <c r="AJ2329">
        <v>85.768100339851301</v>
      </c>
      <c r="AK2329">
        <v>77.102085761058206</v>
      </c>
      <c r="AL2329">
        <v>88.298227311415602</v>
      </c>
      <c r="AM2329">
        <v>87.608957052012002</v>
      </c>
      <c r="AN2329">
        <v>1.00000000990941</v>
      </c>
    </row>
    <row r="2330" spans="1:40" x14ac:dyDescent="0.25">
      <c r="A2330" t="str">
        <f>"20190312153933257"</f>
        <v>20190312153933257</v>
      </c>
      <c r="B2330" t="str">
        <f>"1552376373247954"</f>
        <v>1552376373247954</v>
      </c>
      <c r="C2330" t="s">
        <v>40</v>
      </c>
      <c r="D2330">
        <v>4.1347050000000003</v>
      </c>
      <c r="E2330">
        <v>0.51187910000000003</v>
      </c>
      <c r="F2330" t="s">
        <v>62</v>
      </c>
      <c r="G2330">
        <v>-309.5299</v>
      </c>
      <c r="H2330" s="1">
        <v>2.38595E-6</v>
      </c>
      <c r="I2330">
        <v>283.33749999999998</v>
      </c>
      <c r="J2330">
        <v>-220.14599999999999</v>
      </c>
      <c r="K2330">
        <v>1.1087039999999999</v>
      </c>
      <c r="L2330">
        <v>284.34989999999999</v>
      </c>
      <c r="M2330">
        <v>-0.99645519999999999</v>
      </c>
      <c r="N2330">
        <v>0</v>
      </c>
      <c r="O2330">
        <v>-8.4095299999999998E-2</v>
      </c>
      <c r="P2330">
        <v>-0.99874019999999997</v>
      </c>
      <c r="Q2330">
        <v>2.7242599999999999E-2</v>
      </c>
      <c r="R2330">
        <v>-4.2145290000000002E-2</v>
      </c>
      <c r="S2330">
        <v>-3.0033720000000002</v>
      </c>
      <c r="T2330">
        <v>-3.7184479999999999E-2</v>
      </c>
      <c r="U2330">
        <v>-3.4423830000000002E-2</v>
      </c>
      <c r="V2330">
        <v>4.2005389999999997E-2</v>
      </c>
      <c r="W2330">
        <v>2.9491739999999999E-2</v>
      </c>
      <c r="X2330">
        <v>0.99868199999999996</v>
      </c>
      <c r="Y2330">
        <v>7.2657609999999997E-2</v>
      </c>
      <c r="Z2330">
        <v>1.4898069999999999E-3</v>
      </c>
      <c r="AA2330">
        <v>0.99735580000000001</v>
      </c>
      <c r="AB2330">
        <v>15</v>
      </c>
      <c r="AC2330">
        <v>-89.383899999999997</v>
      </c>
      <c r="AD2330">
        <v>-1.1087016140499999</v>
      </c>
      <c r="AE2330">
        <v>-1.01240000000001</v>
      </c>
      <c r="AF2330">
        <v>6.5069699601809301</v>
      </c>
      <c r="AG2330">
        <v>-1.1087016140499999</v>
      </c>
      <c r="AH2330">
        <v>89.138700930312297</v>
      </c>
      <c r="AI2330">
        <v>90.710713698116095</v>
      </c>
      <c r="AJ2330">
        <v>85.824913341600606</v>
      </c>
      <c r="AK2330">
        <v>89.382760535101795</v>
      </c>
      <c r="AL2330">
        <v>88.310002684300798</v>
      </c>
      <c r="AM2330">
        <v>87.591511804269999</v>
      </c>
      <c r="AN2330">
        <v>0.99999997632063897</v>
      </c>
    </row>
    <row r="2331" spans="1:40" x14ac:dyDescent="0.25">
      <c r="A2331" t="str">
        <f>"20190312153933280"</f>
        <v>20190312153933280</v>
      </c>
      <c r="B2331" t="str">
        <f>"1552376373268515"</f>
        <v>1552376373268515</v>
      </c>
      <c r="C2331" t="s">
        <v>40</v>
      </c>
      <c r="D2331">
        <v>4.1662569999999999</v>
      </c>
      <c r="E2331">
        <v>0.51136219999999999</v>
      </c>
      <c r="F2331" t="s">
        <v>61</v>
      </c>
      <c r="G2331">
        <v>-320.50040000000001</v>
      </c>
      <c r="H2331" s="1">
        <v>-1.207366E-6</v>
      </c>
      <c r="I2331">
        <v>283.17200000000003</v>
      </c>
      <c r="J2331">
        <v>-220.30420000000001</v>
      </c>
      <c r="K2331">
        <v>1.1086530000000001</v>
      </c>
      <c r="L2331">
        <v>284.33679999999998</v>
      </c>
      <c r="M2331">
        <v>-0.99648000000000003</v>
      </c>
      <c r="N2331">
        <v>0</v>
      </c>
      <c r="O2331">
        <v>-8.3809129999999996E-2</v>
      </c>
      <c r="P2331">
        <v>-0.99877510000000003</v>
      </c>
      <c r="Q2331">
        <v>2.7168950000000001E-2</v>
      </c>
      <c r="R2331">
        <v>-4.1359369999999999E-2</v>
      </c>
      <c r="S2331">
        <v>-3.0031889999999999</v>
      </c>
      <c r="T2331">
        <v>-3.3178930000000002E-2</v>
      </c>
      <c r="U2331">
        <v>-3.5247800000000003E-2</v>
      </c>
      <c r="V2331">
        <v>4.250491E-2</v>
      </c>
      <c r="W2331">
        <v>2.9031789999999998E-2</v>
      </c>
      <c r="X2331">
        <v>0.99867439999999996</v>
      </c>
      <c r="Y2331">
        <v>7.2099300000000005E-2</v>
      </c>
      <c r="Z2331">
        <v>1.3231740000000001E-3</v>
      </c>
      <c r="AA2331">
        <v>0.99739659999999997</v>
      </c>
      <c r="AB2331">
        <v>16</v>
      </c>
      <c r="AC2331">
        <v>-100.1962</v>
      </c>
      <c r="AD2331">
        <v>-1.108654207366</v>
      </c>
      <c r="AE2331">
        <v>-1.1647999999999501</v>
      </c>
      <c r="AF2331">
        <v>7.2357838545070097</v>
      </c>
      <c r="AG2331">
        <v>-1.108654207366</v>
      </c>
      <c r="AH2331">
        <v>99.929079393820302</v>
      </c>
      <c r="AI2331">
        <v>90.633977116679901</v>
      </c>
      <c r="AJ2331">
        <v>85.858486942021798</v>
      </c>
      <c r="AK2331">
        <v>100.19683922478301</v>
      </c>
      <c r="AL2331">
        <v>88.336367265835193</v>
      </c>
      <c r="AM2331">
        <v>87.562886334023801</v>
      </c>
      <c r="AN2331">
        <v>1.00000003471003</v>
      </c>
    </row>
    <row r="2332" spans="1:40" x14ac:dyDescent="0.25">
      <c r="A2332" t="str">
        <f>"20190312153933300"</f>
        <v>20190312153933300</v>
      </c>
      <c r="B2332" t="str">
        <f>"1552376373288039"</f>
        <v>1552376373288039</v>
      </c>
      <c r="C2332" t="s">
        <v>40</v>
      </c>
      <c r="D2332">
        <v>4.1349640000000001</v>
      </c>
      <c r="E2332">
        <v>0.51088059999999902</v>
      </c>
      <c r="F2332" t="s">
        <v>62</v>
      </c>
      <c r="G2332">
        <v>-314.14600000000002</v>
      </c>
      <c r="H2332" s="1">
        <v>4.1816400000000002E-6</v>
      </c>
      <c r="I2332">
        <v>283.17430000000002</v>
      </c>
      <c r="J2332">
        <v>-220.4504</v>
      </c>
      <c r="K2332">
        <v>1.108606</v>
      </c>
      <c r="L2332">
        <v>284.32479999999998</v>
      </c>
      <c r="M2332">
        <v>-0.99650349999999999</v>
      </c>
      <c r="N2332">
        <v>0</v>
      </c>
      <c r="O2332">
        <v>-8.3536180000000002E-2</v>
      </c>
      <c r="P2332">
        <v>-0.9988245</v>
      </c>
      <c r="Q2332">
        <v>2.735489E-2</v>
      </c>
      <c r="R2332">
        <v>-4.0015820000000001E-2</v>
      </c>
      <c r="S2332">
        <v>-3.0031129999999999</v>
      </c>
      <c r="T2332">
        <v>-3.5478830000000003E-2</v>
      </c>
      <c r="U2332">
        <v>-3.720093E-2</v>
      </c>
      <c r="V2332">
        <v>4.3574460000000002E-2</v>
      </c>
      <c r="W2332">
        <v>2.8884989999999999E-2</v>
      </c>
      <c r="X2332">
        <v>0.99863259999999998</v>
      </c>
      <c r="Y2332">
        <v>7.1175890000000006E-2</v>
      </c>
      <c r="Z2332">
        <v>1.4062409999999999E-3</v>
      </c>
      <c r="AA2332">
        <v>0.99746279999999998</v>
      </c>
      <c r="AB2332">
        <v>16</v>
      </c>
      <c r="AC2332">
        <v>-93.695599999999899</v>
      </c>
      <c r="AD2332">
        <v>-1.1086018183599999</v>
      </c>
      <c r="AE2332">
        <v>-1.1504999999999601</v>
      </c>
      <c r="AF2332">
        <v>6.6795685518471899</v>
      </c>
      <c r="AG2332">
        <v>-1.1086018183599999</v>
      </c>
      <c r="AH2332">
        <v>93.451136930348397</v>
      </c>
      <c r="AI2332">
        <v>90.677933042490906</v>
      </c>
      <c r="AJ2332">
        <v>85.911645962690898</v>
      </c>
      <c r="AK2332">
        <v>93.696107857291594</v>
      </c>
      <c r="AL2332">
        <v>88.344781878285701</v>
      </c>
      <c r="AM2332">
        <v>87.501533613916905</v>
      </c>
      <c r="AN2332">
        <v>1.0000000729971701</v>
      </c>
    </row>
    <row r="2333" spans="1:40" x14ac:dyDescent="0.25">
      <c r="A2333" t="str">
        <f>"20190312153933322"</f>
        <v>20190312153933322</v>
      </c>
      <c r="B2333" t="str">
        <f>"1552376373308533"</f>
        <v>1552376373308533</v>
      </c>
      <c r="C2333" t="s">
        <v>40</v>
      </c>
      <c r="D2333">
        <v>4.1385690000000004</v>
      </c>
      <c r="E2333">
        <v>0.51054120000000003</v>
      </c>
      <c r="F2333" t="s">
        <v>62</v>
      </c>
      <c r="G2333">
        <v>-311.6046</v>
      </c>
      <c r="H2333" s="1">
        <v>3.052532E-6</v>
      </c>
      <c r="I2333">
        <v>283.19839999999999</v>
      </c>
      <c r="J2333">
        <v>-220.60679999999999</v>
      </c>
      <c r="K2333">
        <v>1.1085560000000001</v>
      </c>
      <c r="L2333">
        <v>284.31209999999999</v>
      </c>
      <c r="M2333">
        <v>-0.996529</v>
      </c>
      <c r="N2333">
        <v>0</v>
      </c>
      <c r="O2333">
        <v>-8.3239800000000003E-2</v>
      </c>
      <c r="P2333">
        <v>-0.99887289999999995</v>
      </c>
      <c r="Q2333">
        <v>2.7541320000000001E-2</v>
      </c>
      <c r="R2333">
        <v>-3.8660920000000001E-2</v>
      </c>
      <c r="S2333">
        <v>-3.0030519999999998</v>
      </c>
      <c r="T2333">
        <v>-3.652263E-2</v>
      </c>
      <c r="U2333">
        <v>-3.7109379999999997E-2</v>
      </c>
      <c r="V2333">
        <v>4.4631759999999999E-2</v>
      </c>
      <c r="W2333">
        <v>2.8743899999999999E-2</v>
      </c>
      <c r="X2333">
        <v>0.99858990000000003</v>
      </c>
      <c r="Y2333">
        <v>7.0908730000000003E-2</v>
      </c>
      <c r="Z2333">
        <v>1.4424209999999999E-3</v>
      </c>
      <c r="AA2333">
        <v>0.99748179999999997</v>
      </c>
      <c r="AB2333">
        <v>16</v>
      </c>
      <c r="AC2333">
        <v>-90.997799999999998</v>
      </c>
      <c r="AD2333">
        <v>-1.10855294746799</v>
      </c>
      <c r="AE2333">
        <v>-1.1136999999999899</v>
      </c>
      <c r="AF2333">
        <v>6.4638487120630899</v>
      </c>
      <c r="AG2333">
        <v>-1.10855294746799</v>
      </c>
      <c r="AH2333">
        <v>90.761232693348006</v>
      </c>
      <c r="AI2333">
        <v>90.698005121040495</v>
      </c>
      <c r="AJ2333">
        <v>85.926377437222499</v>
      </c>
      <c r="AK2333">
        <v>90.997865853138705</v>
      </c>
      <c r="AL2333">
        <v>88.352868972155406</v>
      </c>
      <c r="AM2333">
        <v>87.440880649669495</v>
      </c>
      <c r="AN2333">
        <v>0.99999999708495801</v>
      </c>
    </row>
    <row r="2334" spans="1:40" x14ac:dyDescent="0.25">
      <c r="A2334" t="str">
        <f>"20190312153933345"</f>
        <v>20190312153933345</v>
      </c>
      <c r="B2334" t="str">
        <f>"1552376373338788"</f>
        <v>1552376373338788</v>
      </c>
      <c r="C2334" t="s">
        <v>40</v>
      </c>
      <c r="D2334">
        <v>4.0820150000000002</v>
      </c>
      <c r="E2334">
        <v>0.51034060000000003</v>
      </c>
      <c r="F2334" t="s">
        <v>62</v>
      </c>
      <c r="G2334">
        <v>-310.1728</v>
      </c>
      <c r="H2334" s="1">
        <v>2.413727E-6</v>
      </c>
      <c r="I2334">
        <v>283.24259999999998</v>
      </c>
      <c r="J2334">
        <v>-220.7739</v>
      </c>
      <c r="K2334">
        <v>1.1085210000000001</v>
      </c>
      <c r="L2334">
        <v>284.29849999999999</v>
      </c>
      <c r="M2334">
        <v>-0.99655559999999999</v>
      </c>
      <c r="N2334">
        <v>0</v>
      </c>
      <c r="O2334">
        <v>-8.2922499999999996E-2</v>
      </c>
      <c r="P2334">
        <v>-0.99892879999999995</v>
      </c>
      <c r="Q2334">
        <v>2.748857E-2</v>
      </c>
      <c r="R2334">
        <v>-3.7227360000000001E-2</v>
      </c>
      <c r="S2334">
        <v>-3.0030060000000001</v>
      </c>
      <c r="T2334">
        <v>-3.7168029999999998E-2</v>
      </c>
      <c r="U2334">
        <v>-3.5858149999999998E-2</v>
      </c>
      <c r="V2334">
        <v>4.5747120000000002E-2</v>
      </c>
      <c r="W2334">
        <v>2.837307E-2</v>
      </c>
      <c r="X2334">
        <v>0.9985501</v>
      </c>
      <c r="Y2334">
        <v>7.1006079999999999E-2</v>
      </c>
      <c r="Z2334">
        <v>1.4646259999999999E-3</v>
      </c>
      <c r="AA2334">
        <v>0.99747479999999999</v>
      </c>
      <c r="AB2334">
        <v>16</v>
      </c>
      <c r="AC2334">
        <v>-89.398899999999998</v>
      </c>
      <c r="AD2334">
        <v>-1.10851858627299</v>
      </c>
      <c r="AE2334">
        <v>-1.0559000000000001</v>
      </c>
      <c r="AF2334">
        <v>6.3599420367088202</v>
      </c>
      <c r="AG2334">
        <v>-1.10851858627299</v>
      </c>
      <c r="AH2334">
        <v>89.164860359902704</v>
      </c>
      <c r="AI2334">
        <v>90.710473109808902</v>
      </c>
      <c r="AJ2334">
        <v>85.920122161664096</v>
      </c>
      <c r="AK2334">
        <v>89.398266197769999</v>
      </c>
      <c r="AL2334">
        <v>88.374124748267505</v>
      </c>
      <c r="AM2334">
        <v>87.376911381103795</v>
      </c>
      <c r="AN2334">
        <v>1.0000000661497599</v>
      </c>
    </row>
    <row r="2335" spans="1:40" x14ac:dyDescent="0.25">
      <c r="A2335" t="str">
        <f>"20190312153933367"</f>
        <v>20190312153933367</v>
      </c>
      <c r="B2335" t="str">
        <f>"1552376373357934"</f>
        <v>1552376373357934</v>
      </c>
      <c r="C2335" t="s">
        <v>40</v>
      </c>
      <c r="D2335">
        <v>4.1706589999999997</v>
      </c>
      <c r="E2335">
        <v>0.51012639999999998</v>
      </c>
      <c r="F2335" t="s">
        <v>62</v>
      </c>
      <c r="G2335">
        <v>-311.68270000000001</v>
      </c>
      <c r="H2335" s="1">
        <v>3.0789619999999999E-6</v>
      </c>
      <c r="I2335">
        <v>283.29239999999999</v>
      </c>
      <c r="J2335">
        <v>-220.9434</v>
      </c>
      <c r="K2335">
        <v>1.108487</v>
      </c>
      <c r="L2335">
        <v>284.28480000000002</v>
      </c>
      <c r="M2335">
        <v>-0.99658239999999998</v>
      </c>
      <c r="N2335">
        <v>0</v>
      </c>
      <c r="O2335">
        <v>-8.2602030000000007E-2</v>
      </c>
      <c r="P2335">
        <v>-0.99898589999999998</v>
      </c>
      <c r="Q2335">
        <v>2.71706E-2</v>
      </c>
      <c r="R2335">
        <v>-3.5905819999999998E-2</v>
      </c>
      <c r="S2335">
        <v>-3.0029910000000002</v>
      </c>
      <c r="T2335">
        <v>-3.661764E-2</v>
      </c>
      <c r="U2335">
        <v>-3.3233640000000002E-2</v>
      </c>
      <c r="V2335">
        <v>4.6747339999999998E-2</v>
      </c>
      <c r="W2335">
        <v>2.7764870000000001E-2</v>
      </c>
      <c r="X2335">
        <v>0.99852079999999999</v>
      </c>
      <c r="Y2335">
        <v>7.1557190000000007E-2</v>
      </c>
      <c r="Z2335">
        <v>1.4424259999999999E-3</v>
      </c>
      <c r="AA2335">
        <v>0.99743550000000003</v>
      </c>
      <c r="AB2335">
        <v>16</v>
      </c>
      <c r="AC2335">
        <v>-90.7393</v>
      </c>
      <c r="AD2335">
        <v>-1.108483921038</v>
      </c>
      <c r="AE2335">
        <v>-0.99240000000003203</v>
      </c>
      <c r="AF2335">
        <v>6.50527269632778</v>
      </c>
      <c r="AG2335">
        <v>-1.108483921038</v>
      </c>
      <c r="AH2335">
        <v>90.497679120090396</v>
      </c>
      <c r="AI2335">
        <v>90.699960972685702</v>
      </c>
      <c r="AJ2335">
        <v>85.888461731883496</v>
      </c>
      <c r="AK2335">
        <v>90.737959176849699</v>
      </c>
      <c r="AL2335">
        <v>88.408985661872904</v>
      </c>
      <c r="AM2335">
        <v>87.319564095805703</v>
      </c>
      <c r="AN2335">
        <v>0.99999999491791602</v>
      </c>
    </row>
    <row r="2336" spans="1:40" x14ac:dyDescent="0.25">
      <c r="A2336" t="str">
        <f>"20190312153933389"</f>
        <v>20190312153933389</v>
      </c>
      <c r="B2336" t="str">
        <f>"1552376373378427"</f>
        <v>1552376373378427</v>
      </c>
      <c r="C2336" t="s">
        <v>40</v>
      </c>
      <c r="D2336">
        <v>4.0994869999999999</v>
      </c>
      <c r="E2336">
        <v>0.50984750000000001</v>
      </c>
      <c r="F2336" t="s">
        <v>62</v>
      </c>
      <c r="G2336">
        <v>-310.45839999999998</v>
      </c>
      <c r="H2336" s="1">
        <v>2.530448E-6</v>
      </c>
      <c r="I2336">
        <v>283.35599999999999</v>
      </c>
      <c r="J2336">
        <v>-221.10550000000001</v>
      </c>
      <c r="K2336">
        <v>1.1084480000000001</v>
      </c>
      <c r="L2336">
        <v>284.27170000000001</v>
      </c>
      <c r="M2336">
        <v>-0.99660769999999999</v>
      </c>
      <c r="N2336">
        <v>0</v>
      </c>
      <c r="O2336">
        <v>-8.2298399999999994E-2</v>
      </c>
      <c r="P2336">
        <v>-0.99901859999999998</v>
      </c>
      <c r="Q2336">
        <v>2.6582000000000001E-2</v>
      </c>
      <c r="R2336">
        <v>-3.5432680000000001E-2</v>
      </c>
      <c r="S2336">
        <v>-3.002945</v>
      </c>
      <c r="T2336">
        <v>-3.7186150000000001E-2</v>
      </c>
      <c r="U2336">
        <v>-3.1158450000000001E-2</v>
      </c>
      <c r="V2336">
        <v>4.6916819999999998E-2</v>
      </c>
      <c r="W2336">
        <v>2.6927380000000001E-2</v>
      </c>
      <c r="X2336">
        <v>0.99853579999999997</v>
      </c>
      <c r="Y2336">
        <v>7.1941950000000005E-2</v>
      </c>
      <c r="Z2336">
        <v>1.463486E-3</v>
      </c>
      <c r="AA2336">
        <v>0.99740770000000001</v>
      </c>
      <c r="AB2336">
        <v>17</v>
      </c>
      <c r="AC2336">
        <v>-89.352899999999906</v>
      </c>
      <c r="AD2336">
        <v>-1.1084454695520001</v>
      </c>
      <c r="AE2336">
        <v>-0.91570000000001495</v>
      </c>
      <c r="AF2336">
        <v>6.4400162936957699</v>
      </c>
      <c r="AG2336">
        <v>-1.1084454695520001</v>
      </c>
      <c r="AH2336">
        <v>89.111439778379804</v>
      </c>
      <c r="AI2336">
        <v>90.710804304023199</v>
      </c>
      <c r="AJ2336">
        <v>85.866463664368098</v>
      </c>
      <c r="AK2336">
        <v>89.350719978060795</v>
      </c>
      <c r="AL2336">
        <v>88.456988277627801</v>
      </c>
      <c r="AM2336">
        <v>87.309900919286505</v>
      </c>
      <c r="AN2336">
        <v>1.0000000078371001</v>
      </c>
    </row>
    <row r="2337" spans="1:40" x14ac:dyDescent="0.25">
      <c r="A2337" t="str">
        <f>"20190312153933411"</f>
        <v>20190312153933411</v>
      </c>
      <c r="B2337" t="str">
        <f>"1552376373397947"</f>
        <v>1552376373397947</v>
      </c>
      <c r="C2337" t="s">
        <v>40</v>
      </c>
      <c r="D2337">
        <v>4.0906089999999997</v>
      </c>
      <c r="E2337">
        <v>0.50962450000000004</v>
      </c>
      <c r="F2337" t="s">
        <v>62</v>
      </c>
      <c r="G2337">
        <v>-304.86880000000002</v>
      </c>
      <c r="H2337" s="1">
        <v>3.2085560000000001E-6</v>
      </c>
      <c r="I2337">
        <v>283.38560000000001</v>
      </c>
      <c r="J2337">
        <v>-221.27430000000001</v>
      </c>
      <c r="K2337">
        <v>1.108425</v>
      </c>
      <c r="L2337">
        <v>284.25810000000001</v>
      </c>
      <c r="M2337">
        <v>-0.99663360000000001</v>
      </c>
      <c r="N2337">
        <v>0</v>
      </c>
      <c r="O2337">
        <v>-8.1985020000000006E-2</v>
      </c>
      <c r="P2337">
        <v>-0.99904749999999998</v>
      </c>
      <c r="Q2337">
        <v>2.602935E-2</v>
      </c>
      <c r="R2337">
        <v>-3.5022230000000001E-2</v>
      </c>
      <c r="S2337">
        <v>-3.0028839999999999</v>
      </c>
      <c r="T2337">
        <v>-3.9737340000000003E-2</v>
      </c>
      <c r="U2337">
        <v>-3.17688E-2</v>
      </c>
      <c r="V2337">
        <v>4.7013739999999998E-2</v>
      </c>
      <c r="W2337">
        <v>2.6141830000000001E-2</v>
      </c>
      <c r="X2337">
        <v>0.99855210000000005</v>
      </c>
      <c r="Y2337">
        <v>7.1423810000000004E-2</v>
      </c>
      <c r="Z2337">
        <v>1.556347E-3</v>
      </c>
      <c r="AA2337">
        <v>0.99744489999999997</v>
      </c>
      <c r="AB2337">
        <v>17</v>
      </c>
      <c r="AC2337">
        <v>-83.594499999999996</v>
      </c>
      <c r="AD2337">
        <v>-1.108421791444</v>
      </c>
      <c r="AE2337">
        <v>-0.87250000000000205</v>
      </c>
      <c r="AF2337">
        <v>5.9828819476906796</v>
      </c>
      <c r="AG2337">
        <v>-1.108421791444</v>
      </c>
      <c r="AH2337">
        <v>83.369960178463401</v>
      </c>
      <c r="AI2337">
        <v>90.759761379341299</v>
      </c>
      <c r="AJ2337">
        <v>85.895317203928002</v>
      </c>
      <c r="AK2337">
        <v>83.591708532762496</v>
      </c>
      <c r="AL2337">
        <v>88.502012807235701</v>
      </c>
      <c r="AM2337">
        <v>87.304395882932099</v>
      </c>
      <c r="AN2337">
        <v>0.99999999171947296</v>
      </c>
    </row>
    <row r="2338" spans="1:40" x14ac:dyDescent="0.25">
      <c r="A2338" t="str">
        <f>"20190312153933434"</f>
        <v>20190312153933434</v>
      </c>
      <c r="B2338" t="str">
        <f>"1552376373428203"</f>
        <v>1552376373428203</v>
      </c>
      <c r="C2338" t="s">
        <v>40</v>
      </c>
      <c r="D2338">
        <v>4.0878870000000003</v>
      </c>
      <c r="E2338">
        <v>0.50923739999999995</v>
      </c>
      <c r="F2338" t="s">
        <v>62</v>
      </c>
      <c r="G2338">
        <v>-299.2525</v>
      </c>
      <c r="H2338" s="1">
        <v>3.9518769999999998E-6</v>
      </c>
      <c r="I2338">
        <v>283.41649999999998</v>
      </c>
      <c r="J2338">
        <v>-221.45150000000001</v>
      </c>
      <c r="K2338">
        <v>1.1083909999999999</v>
      </c>
      <c r="L2338">
        <v>284.24400000000003</v>
      </c>
      <c r="M2338">
        <v>-0.9966604</v>
      </c>
      <c r="N2338">
        <v>0</v>
      </c>
      <c r="O2338">
        <v>-8.1659380000000004E-2</v>
      </c>
      <c r="P2338">
        <v>-0.99904320000000002</v>
      </c>
      <c r="Q2338">
        <v>2.6100559999999998E-2</v>
      </c>
      <c r="R2338">
        <v>-3.5094309999999997E-2</v>
      </c>
      <c r="S2338">
        <v>-3.002853</v>
      </c>
      <c r="T2338">
        <v>-4.2684079999999999E-2</v>
      </c>
      <c r="U2338">
        <v>-3.2409670000000002E-2</v>
      </c>
      <c r="V2338">
        <v>4.6615400000000001E-2</v>
      </c>
      <c r="W2338">
        <v>2.599692E-2</v>
      </c>
      <c r="X2338">
        <v>0.99857459999999998</v>
      </c>
      <c r="Y2338">
        <v>7.088295E-2</v>
      </c>
      <c r="Z2338">
        <v>1.6632999999999999E-3</v>
      </c>
      <c r="AA2338">
        <v>0.99748329999999996</v>
      </c>
      <c r="AB2338">
        <v>17</v>
      </c>
      <c r="AC2338">
        <v>-77.800999999999902</v>
      </c>
      <c r="AD2338">
        <v>-1.10838704812299</v>
      </c>
      <c r="AE2338">
        <v>-0.82750000000004298</v>
      </c>
      <c r="AF2338">
        <v>5.5273226655736103</v>
      </c>
      <c r="AG2338">
        <v>-1.10838704812299</v>
      </c>
      <c r="AH2338">
        <v>77.5929943064627</v>
      </c>
      <c r="AI2338">
        <v>90.816324949303606</v>
      </c>
      <c r="AJ2338">
        <v>85.925428393114402</v>
      </c>
      <c r="AK2338">
        <v>77.797510134583106</v>
      </c>
      <c r="AL2338">
        <v>88.510318423831094</v>
      </c>
      <c r="AM2338">
        <v>87.327262186400702</v>
      </c>
      <c r="AN2338">
        <v>1.0000000335659001</v>
      </c>
    </row>
    <row r="2339" spans="1:40" x14ac:dyDescent="0.25">
      <c r="A2339" t="str">
        <f>"20190312153933458"</f>
        <v>20190312153933458</v>
      </c>
      <c r="B2339" t="str">
        <f>"1552376373448700"</f>
        <v>1552376373448700</v>
      </c>
      <c r="C2339" t="s">
        <v>40</v>
      </c>
      <c r="D2339">
        <v>4.063752</v>
      </c>
      <c r="E2339">
        <v>0.50897219999999999</v>
      </c>
      <c r="F2339" t="s">
        <v>62</v>
      </c>
      <c r="G2339">
        <v>-298.28969999999998</v>
      </c>
      <c r="H2339" s="1">
        <v>3.7889829999999998E-6</v>
      </c>
      <c r="I2339">
        <v>283.32639999999998</v>
      </c>
      <c r="J2339">
        <v>-221.63980000000001</v>
      </c>
      <c r="K2339">
        <v>1.108358</v>
      </c>
      <c r="L2339">
        <v>284.22890000000001</v>
      </c>
      <c r="M2339">
        <v>-0.99668829999999997</v>
      </c>
      <c r="N2339">
        <v>0</v>
      </c>
      <c r="O2339">
        <v>-8.1316360000000004E-2</v>
      </c>
      <c r="P2339">
        <v>-0.99903489999999995</v>
      </c>
      <c r="Q2339">
        <v>2.5758900000000001E-2</v>
      </c>
      <c r="R2339">
        <v>-3.5578539999999999E-2</v>
      </c>
      <c r="S2339">
        <v>-3.0027469999999998</v>
      </c>
      <c r="T2339">
        <v>-4.3314459999999999E-2</v>
      </c>
      <c r="U2339">
        <v>-3.5858149999999998E-2</v>
      </c>
      <c r="V2339">
        <v>4.5788120000000002E-2</v>
      </c>
      <c r="W2339">
        <v>2.5455889999999998E-2</v>
      </c>
      <c r="X2339">
        <v>0.99862680000000004</v>
      </c>
      <c r="Y2339">
        <v>6.939352E-2</v>
      </c>
      <c r="Z2339">
        <v>1.672221E-3</v>
      </c>
      <c r="AA2339">
        <v>0.99758800000000003</v>
      </c>
      <c r="AB2339">
        <v>17</v>
      </c>
      <c r="AC2339">
        <v>-76.649899999999903</v>
      </c>
      <c r="AD2339">
        <v>-1.1083542110169999</v>
      </c>
      <c r="AE2339">
        <v>-0.90250000000003106</v>
      </c>
      <c r="AF2339">
        <v>5.3322651203467197</v>
      </c>
      <c r="AG2339">
        <v>-1.1083542110169999</v>
      </c>
      <c r="AH2339">
        <v>76.453466220186101</v>
      </c>
      <c r="AI2339">
        <v>90.828552483717601</v>
      </c>
      <c r="AJ2339">
        <v>86.010352986147495</v>
      </c>
      <c r="AK2339">
        <v>76.647204759546696</v>
      </c>
      <c r="AL2339">
        <v>88.541327402246694</v>
      </c>
      <c r="AM2339">
        <v>87.374765140707396</v>
      </c>
      <c r="AN2339">
        <v>1.0000000199735299</v>
      </c>
    </row>
    <row r="2340" spans="1:40" x14ac:dyDescent="0.25">
      <c r="A2340" t="str">
        <f>"20190312153933479"</f>
        <v>20190312153933479</v>
      </c>
      <c r="B2340" t="str">
        <f>"1552376373468219"</f>
        <v>1552376373468219</v>
      </c>
      <c r="C2340" t="s">
        <v>40</v>
      </c>
      <c r="D2340">
        <v>4.0519420000000004</v>
      </c>
      <c r="E2340">
        <v>0.50873970000000002</v>
      </c>
      <c r="F2340" t="s">
        <v>62</v>
      </c>
      <c r="G2340">
        <v>-295.90899999999999</v>
      </c>
      <c r="H2340" s="1">
        <v>3.3732990000000001E-6</v>
      </c>
      <c r="I2340">
        <v>283.25069999999999</v>
      </c>
      <c r="J2340">
        <v>-221.81370000000001</v>
      </c>
      <c r="K2340">
        <v>1.1083289999999999</v>
      </c>
      <c r="L2340">
        <v>284.21510000000001</v>
      </c>
      <c r="M2340">
        <v>-0.99671399999999999</v>
      </c>
      <c r="N2340">
        <v>0</v>
      </c>
      <c r="O2340">
        <v>-8.1001829999999997E-2</v>
      </c>
      <c r="P2340">
        <v>-0.99903779999999998</v>
      </c>
      <c r="Q2340">
        <v>2.5477550000000002E-2</v>
      </c>
      <c r="R2340">
        <v>-3.5699769999999999E-2</v>
      </c>
      <c r="S2340">
        <v>-3.00264</v>
      </c>
      <c r="T2340">
        <v>-4.480982E-2</v>
      </c>
      <c r="U2340">
        <v>-3.9550780000000001E-2</v>
      </c>
      <c r="V2340">
        <v>4.5352209999999997E-2</v>
      </c>
      <c r="W2340">
        <v>2.501925E-2</v>
      </c>
      <c r="X2340">
        <v>0.99865769999999998</v>
      </c>
      <c r="Y2340">
        <v>6.7850659999999993E-2</v>
      </c>
      <c r="Z2340">
        <v>1.713787E-3</v>
      </c>
      <c r="AA2340">
        <v>0.99769399999999997</v>
      </c>
      <c r="AB2340">
        <v>18</v>
      </c>
      <c r="AC2340">
        <v>-74.095299999999895</v>
      </c>
      <c r="AD2340">
        <v>-1.108325626701</v>
      </c>
      <c r="AE2340">
        <v>-0.96440000000001203</v>
      </c>
      <c r="AF2340">
        <v>5.0394963038879599</v>
      </c>
      <c r="AG2340">
        <v>-1.108325626701</v>
      </c>
      <c r="AH2340">
        <v>73.913402568232797</v>
      </c>
      <c r="AI2340">
        <v>90.857091742716904</v>
      </c>
      <c r="AJ2340">
        <v>86.099547823979293</v>
      </c>
      <c r="AK2340">
        <v>74.093292462309606</v>
      </c>
      <c r="AL2340">
        <v>88.566352964684199</v>
      </c>
      <c r="AM2340">
        <v>87.399803661837794</v>
      </c>
      <c r="AN2340">
        <v>0.99999999379586801</v>
      </c>
    </row>
    <row r="2341" spans="1:40" x14ac:dyDescent="0.25">
      <c r="A2341" t="str">
        <f>"20190312153933500"</f>
        <v>20190312153933500</v>
      </c>
      <c r="B2341" t="str">
        <f>"1552376373488716"</f>
        <v>1552376373488716</v>
      </c>
      <c r="C2341" t="s">
        <v>40</v>
      </c>
      <c r="D2341">
        <v>4.0151389999999996</v>
      </c>
      <c r="E2341">
        <v>0.50860950000000005</v>
      </c>
      <c r="F2341" t="s">
        <v>62</v>
      </c>
      <c r="G2341">
        <v>-294.46010000000001</v>
      </c>
      <c r="H2341" s="1">
        <v>3.1202920000000002E-6</v>
      </c>
      <c r="I2341">
        <v>283.20499999999998</v>
      </c>
      <c r="J2341">
        <v>-221.98320000000001</v>
      </c>
      <c r="K2341">
        <v>1.1083080000000001</v>
      </c>
      <c r="L2341">
        <v>284.20170000000002</v>
      </c>
      <c r="M2341">
        <v>-0.99673869999999998</v>
      </c>
      <c r="N2341">
        <v>0</v>
      </c>
      <c r="O2341">
        <v>-8.0697190000000002E-2</v>
      </c>
      <c r="P2341">
        <v>-0.99906850000000003</v>
      </c>
      <c r="Q2341">
        <v>2.470456E-2</v>
      </c>
      <c r="R2341">
        <v>-3.5390100000000001E-2</v>
      </c>
      <c r="S2341">
        <v>-3.002548</v>
      </c>
      <c r="T2341">
        <v>-4.58082E-2</v>
      </c>
      <c r="U2341">
        <v>-4.1748050000000002E-2</v>
      </c>
      <c r="V2341">
        <v>4.5358049999999997E-2</v>
      </c>
      <c r="W2341">
        <v>2.4118290000000001E-2</v>
      </c>
      <c r="X2341">
        <v>0.9986796</v>
      </c>
      <c r="Y2341">
        <v>6.6814719999999994E-2</v>
      </c>
      <c r="Z2341">
        <v>1.7394660000000001E-3</v>
      </c>
      <c r="AA2341">
        <v>0.99776390000000004</v>
      </c>
      <c r="AB2341">
        <v>18</v>
      </c>
      <c r="AC2341">
        <v>-72.476900000000001</v>
      </c>
      <c r="AD2341">
        <v>-1.108304879708</v>
      </c>
      <c r="AE2341">
        <v>-0.996700000000032</v>
      </c>
      <c r="AF2341">
        <v>4.8540976626908501</v>
      </c>
      <c r="AG2341">
        <v>-1.108304879708</v>
      </c>
      <c r="AH2341">
        <v>72.304054950207799</v>
      </c>
      <c r="AI2341">
        <v>90.876211346596406</v>
      </c>
      <c r="AJ2341">
        <v>86.159238869945199</v>
      </c>
      <c r="AK2341">
        <v>72.475285208600596</v>
      </c>
      <c r="AL2341">
        <v>88.617989759563002</v>
      </c>
      <c r="AM2341">
        <v>87.3995262430483</v>
      </c>
      <c r="AN2341">
        <v>0.999999994034243</v>
      </c>
    </row>
    <row r="2342" spans="1:40" x14ac:dyDescent="0.25">
      <c r="A2342" t="str">
        <f>"20190312153933522"</f>
        <v>20190312153933522</v>
      </c>
      <c r="B2342" t="str">
        <f>"1552376373517995"</f>
        <v>1552376373517995</v>
      </c>
      <c r="C2342" t="s">
        <v>40</v>
      </c>
      <c r="D2342">
        <v>4.0256030000000003</v>
      </c>
      <c r="E2342">
        <v>0.50842310000000002</v>
      </c>
      <c r="F2342" t="s">
        <v>62</v>
      </c>
      <c r="G2342">
        <v>-290.69670000000002</v>
      </c>
      <c r="H2342" s="1">
        <v>2.449284E-6</v>
      </c>
      <c r="I2342">
        <v>283.24419999999998</v>
      </c>
      <c r="J2342">
        <v>-222.167</v>
      </c>
      <c r="K2342">
        <v>1.108293</v>
      </c>
      <c r="L2342">
        <v>284.18720000000002</v>
      </c>
      <c r="M2342">
        <v>-0.99676509999999996</v>
      </c>
      <c r="N2342">
        <v>0</v>
      </c>
      <c r="O2342">
        <v>-8.036799E-2</v>
      </c>
      <c r="P2342">
        <v>-0.99909970000000003</v>
      </c>
      <c r="Q2342">
        <v>2.4392199999999999E-2</v>
      </c>
      <c r="R2342">
        <v>-3.4714170000000003E-2</v>
      </c>
      <c r="S2342">
        <v>-3.0025179999999998</v>
      </c>
      <c r="T2342">
        <v>-4.8428770000000003E-2</v>
      </c>
      <c r="U2342">
        <v>-4.1839599999999998E-2</v>
      </c>
      <c r="V2342">
        <v>4.5704340000000003E-2</v>
      </c>
      <c r="W2342">
        <v>2.3697840000000001E-2</v>
      </c>
      <c r="X2342">
        <v>0.9986739</v>
      </c>
      <c r="Y2342">
        <v>6.6452730000000002E-2</v>
      </c>
      <c r="Z2342">
        <v>1.8307690000000001E-3</v>
      </c>
      <c r="AA2342">
        <v>0.99778789999999995</v>
      </c>
      <c r="AB2342">
        <v>18</v>
      </c>
      <c r="AC2342">
        <v>-68.529700000000005</v>
      </c>
      <c r="AD2342">
        <v>-1.1082905507159999</v>
      </c>
      <c r="AE2342">
        <v>-0.94300000000004003</v>
      </c>
      <c r="AF2342">
        <v>4.5664513743349797</v>
      </c>
      <c r="AG2342">
        <v>-1.1082905507159999</v>
      </c>
      <c r="AH2342">
        <v>68.365933770470505</v>
      </c>
      <c r="AI2342">
        <v>90.926684715973394</v>
      </c>
      <c r="AJ2342">
        <v>86.178647500318107</v>
      </c>
      <c r="AK2342">
        <v>68.527233173442298</v>
      </c>
      <c r="AL2342">
        <v>88.642086688620594</v>
      </c>
      <c r="AM2342">
        <v>87.379685330212297</v>
      </c>
      <c r="AN2342">
        <v>1.00000001642835</v>
      </c>
    </row>
    <row r="2343" spans="1:40" x14ac:dyDescent="0.25">
      <c r="A2343" t="str">
        <f>"20190312153933546"</f>
        <v>20190312153933546</v>
      </c>
      <c r="B2343" t="str">
        <f>"1552376373538491"</f>
        <v>1552376373538491</v>
      </c>
      <c r="C2343" t="s">
        <v>40</v>
      </c>
      <c r="D2343">
        <v>4.0180239999999996</v>
      </c>
      <c r="E2343">
        <v>0.50823739999999995</v>
      </c>
      <c r="F2343" t="s">
        <v>62</v>
      </c>
      <c r="G2343">
        <v>-288.94310000000002</v>
      </c>
      <c r="H2343" s="1">
        <v>4.7156100000000001E-6</v>
      </c>
      <c r="I2343">
        <v>283.26479999999998</v>
      </c>
      <c r="J2343">
        <v>-222.3647</v>
      </c>
      <c r="K2343">
        <v>1.1082780000000001</v>
      </c>
      <c r="L2343">
        <v>284.17169999999999</v>
      </c>
      <c r="M2343">
        <v>-0.99679340000000005</v>
      </c>
      <c r="N2343">
        <v>0</v>
      </c>
      <c r="O2343">
        <v>-8.0015649999999994E-2</v>
      </c>
      <c r="P2343">
        <v>-0.99913379999999996</v>
      </c>
      <c r="Q2343">
        <v>2.422624E-2</v>
      </c>
      <c r="R2343">
        <v>-3.3839170000000002E-2</v>
      </c>
      <c r="S2343">
        <v>-3.002472</v>
      </c>
      <c r="T2343">
        <v>-4.9832220000000003E-2</v>
      </c>
      <c r="U2343">
        <v>-4.1473389999999999E-2</v>
      </c>
      <c r="V2343">
        <v>4.622627E-2</v>
      </c>
      <c r="W2343">
        <v>2.345568E-2</v>
      </c>
      <c r="X2343">
        <v>0.99865559999999998</v>
      </c>
      <c r="Y2343">
        <v>6.6220440000000005E-2</v>
      </c>
      <c r="Z2343">
        <v>1.8760890000000001E-3</v>
      </c>
      <c r="AA2343">
        <v>0.99780329999999995</v>
      </c>
      <c r="AB2343">
        <v>18</v>
      </c>
      <c r="AC2343">
        <v>-66.578400000000002</v>
      </c>
      <c r="AD2343">
        <v>-1.1082732843900001</v>
      </c>
      <c r="AE2343">
        <v>-0.90690000000000703</v>
      </c>
      <c r="AF2343">
        <v>4.4220978227850196</v>
      </c>
      <c r="AG2343">
        <v>-1.1082732843900001</v>
      </c>
      <c r="AH2343">
        <v>66.419088718092098</v>
      </c>
      <c r="AI2343">
        <v>90.953841104026495</v>
      </c>
      <c r="AJ2343">
        <v>86.190941946723697</v>
      </c>
      <c r="AK2343">
        <v>66.575360043855298</v>
      </c>
      <c r="AL2343">
        <v>88.655965299976003</v>
      </c>
      <c r="AM2343">
        <v>87.349756041387096</v>
      </c>
      <c r="AN2343">
        <v>1.0000000221868599</v>
      </c>
    </row>
    <row r="2344" spans="1:40" x14ac:dyDescent="0.25">
      <c r="A2344" t="str">
        <f>"20190312153933568"</f>
        <v>20190312153933568</v>
      </c>
      <c r="B2344" t="str">
        <f>"1552376373558517"</f>
        <v>1552376373558517</v>
      </c>
      <c r="C2344" t="s">
        <v>40</v>
      </c>
      <c r="D2344">
        <v>4.0182349999999998</v>
      </c>
      <c r="E2344">
        <v>0.50805879999999903</v>
      </c>
      <c r="F2344" t="s">
        <v>62</v>
      </c>
      <c r="G2344">
        <v>-288.0403</v>
      </c>
      <c r="H2344" s="1">
        <v>5.1105520000000002E-6</v>
      </c>
      <c r="I2344">
        <v>283.2912</v>
      </c>
      <c r="J2344">
        <v>-222.54759999999999</v>
      </c>
      <c r="K2344">
        <v>1.108276</v>
      </c>
      <c r="L2344">
        <v>284.15730000000002</v>
      </c>
      <c r="M2344">
        <v>-0.99681940000000002</v>
      </c>
      <c r="N2344">
        <v>0</v>
      </c>
      <c r="O2344">
        <v>-7.9690709999999998E-2</v>
      </c>
      <c r="P2344">
        <v>-0.99916680000000002</v>
      </c>
      <c r="Q2344">
        <v>2.443242E-2</v>
      </c>
      <c r="R2344">
        <v>-3.2695719999999998E-2</v>
      </c>
      <c r="S2344">
        <v>-3.002472</v>
      </c>
      <c r="T2344">
        <v>-5.0666570000000001E-2</v>
      </c>
      <c r="U2344">
        <v>-4.0252690000000001E-2</v>
      </c>
      <c r="V2344">
        <v>4.7043469999999997E-2</v>
      </c>
      <c r="W2344">
        <v>2.3633970000000001E-2</v>
      </c>
      <c r="X2344">
        <v>0.99861319999999998</v>
      </c>
      <c r="Y2344">
        <v>6.6300129999999999E-2</v>
      </c>
      <c r="Z2344">
        <v>1.9027110000000001E-3</v>
      </c>
      <c r="AA2344">
        <v>0.99779790000000002</v>
      </c>
      <c r="AB2344">
        <v>19</v>
      </c>
      <c r="AC2344">
        <v>-65.492699999999999</v>
      </c>
      <c r="AD2344">
        <v>-1.108270889448</v>
      </c>
      <c r="AE2344">
        <v>-0.86610000000001697</v>
      </c>
      <c r="AF2344">
        <v>4.3545687757308098</v>
      </c>
      <c r="AG2344">
        <v>-1.108270889448</v>
      </c>
      <c r="AH2344">
        <v>65.334723839039896</v>
      </c>
      <c r="AI2344">
        <v>90.969662384623206</v>
      </c>
      <c r="AJ2344">
        <v>86.186867636308193</v>
      </c>
      <c r="AK2344">
        <v>65.489057656303004</v>
      </c>
      <c r="AL2344">
        <v>88.645747156594297</v>
      </c>
      <c r="AM2344">
        <v>87.302858575484294</v>
      </c>
      <c r="AN2344">
        <v>0.99999998791092004</v>
      </c>
    </row>
    <row r="2345" spans="1:40" x14ac:dyDescent="0.25">
      <c r="A2345" t="str">
        <f>"20190312153933589"</f>
        <v>20190312153933589</v>
      </c>
      <c r="B2345" t="str">
        <f>"1552376373578041"</f>
        <v>1552376373578041</v>
      </c>
      <c r="C2345" t="s">
        <v>40</v>
      </c>
      <c r="D2345">
        <v>4.0180870000000004</v>
      </c>
      <c r="E2345">
        <v>0.50791279999999905</v>
      </c>
      <c r="F2345" t="s">
        <v>62</v>
      </c>
      <c r="G2345">
        <v>-289.11919999999998</v>
      </c>
      <c r="H2345" s="1">
        <v>4.6275820000000003E-6</v>
      </c>
      <c r="I2345">
        <v>283.31290000000001</v>
      </c>
      <c r="J2345">
        <v>-222.72839999999999</v>
      </c>
      <c r="K2345">
        <v>1.108276</v>
      </c>
      <c r="L2345">
        <v>284.14330000000001</v>
      </c>
      <c r="M2345">
        <v>-0.99684510000000004</v>
      </c>
      <c r="N2345">
        <v>0</v>
      </c>
      <c r="O2345">
        <v>-7.937015E-2</v>
      </c>
      <c r="P2345">
        <v>-0.99919999999999998</v>
      </c>
      <c r="Q2345">
        <v>2.417234E-2</v>
      </c>
      <c r="R2345">
        <v>-3.1867909999999999E-2</v>
      </c>
      <c r="S2345">
        <v>-3.0024570000000002</v>
      </c>
      <c r="T2345">
        <v>-4.9984340000000002E-2</v>
      </c>
      <c r="U2345">
        <v>-3.8085939999999999E-2</v>
      </c>
      <c r="V2345">
        <v>4.7550189999999999E-2</v>
      </c>
      <c r="W2345">
        <v>2.3392759999999999E-2</v>
      </c>
      <c r="X2345">
        <v>0.99859489999999995</v>
      </c>
      <c r="Y2345">
        <v>6.6699659999999994E-2</v>
      </c>
      <c r="Z2345">
        <v>1.875126E-3</v>
      </c>
      <c r="AA2345">
        <v>0.99777130000000003</v>
      </c>
      <c r="AB2345">
        <v>19</v>
      </c>
      <c r="AC2345">
        <v>-66.390799999999899</v>
      </c>
      <c r="AD2345">
        <v>-1.108271372418</v>
      </c>
      <c r="AE2345">
        <v>-0.83039999999999703</v>
      </c>
      <c r="AF2345">
        <v>4.4404309032184504</v>
      </c>
      <c r="AG2345">
        <v>-1.108271372418</v>
      </c>
      <c r="AH2345">
        <v>66.228807611126499</v>
      </c>
      <c r="AI2345">
        <v>90.956549635595906</v>
      </c>
      <c r="AJ2345">
        <v>86.164240943229899</v>
      </c>
      <c r="AK2345">
        <v>66.386750557869505</v>
      </c>
      <c r="AL2345">
        <v>88.659571320829599</v>
      </c>
      <c r="AM2345">
        <v>87.273800527909998</v>
      </c>
      <c r="AN2345">
        <v>1.00000000804773</v>
      </c>
    </row>
    <row r="2346" spans="1:40" x14ac:dyDescent="0.25">
      <c r="A2346" t="str">
        <f>"20190312153933613"</f>
        <v>20190312153933613</v>
      </c>
      <c r="B2346" t="str">
        <f>"1552376373608293"</f>
        <v>1552376373608293</v>
      </c>
      <c r="C2346" t="s">
        <v>40</v>
      </c>
      <c r="D2346">
        <v>4.000299</v>
      </c>
      <c r="E2346">
        <v>0.50770369999999998</v>
      </c>
      <c r="F2346" t="s">
        <v>62</v>
      </c>
      <c r="G2346">
        <v>-288.30970000000002</v>
      </c>
      <c r="H2346" s="1">
        <v>4.9810920000000003E-6</v>
      </c>
      <c r="I2346">
        <v>283.33940000000001</v>
      </c>
      <c r="J2346">
        <v>-222.9254</v>
      </c>
      <c r="K2346">
        <v>1.1082920000000001</v>
      </c>
      <c r="L2346">
        <v>284.12799999999999</v>
      </c>
      <c r="M2346">
        <v>-0.9968728</v>
      </c>
      <c r="N2346">
        <v>0</v>
      </c>
      <c r="O2346">
        <v>-7.9020220000000002E-2</v>
      </c>
      <c r="P2346">
        <v>-0.99922449999999996</v>
      </c>
      <c r="Q2346">
        <v>2.3769240000000001E-2</v>
      </c>
      <c r="R2346">
        <v>-3.1393879999999999E-2</v>
      </c>
      <c r="S2346">
        <v>-3.0024570000000002</v>
      </c>
      <c r="T2346">
        <v>-5.0739050000000001E-2</v>
      </c>
      <c r="U2346">
        <v>-3.6804200000000002E-2</v>
      </c>
      <c r="V2346">
        <v>4.7674109999999999E-2</v>
      </c>
      <c r="W2346">
        <v>2.3073360000000001E-2</v>
      </c>
      <c r="X2346">
        <v>0.99859640000000005</v>
      </c>
      <c r="Y2346">
        <v>6.6774730000000004E-2</v>
      </c>
      <c r="Z2346">
        <v>1.898182E-3</v>
      </c>
      <c r="AA2346">
        <v>0.99776629999999999</v>
      </c>
      <c r="AB2346">
        <v>19</v>
      </c>
      <c r="AC2346">
        <v>-65.384299999999996</v>
      </c>
      <c r="AD2346">
        <v>-1.1082870189080001</v>
      </c>
      <c r="AE2346">
        <v>-0.78859999999997399</v>
      </c>
      <c r="AF2346">
        <v>4.3792907616158399</v>
      </c>
      <c r="AG2346">
        <v>-1.1082870189080001</v>
      </c>
      <c r="AH2346">
        <v>65.223422532159702</v>
      </c>
      <c r="AI2346">
        <v>90.971299023333202</v>
      </c>
      <c r="AJ2346">
        <v>86.158759705261105</v>
      </c>
      <c r="AK2346">
        <v>65.379670651508206</v>
      </c>
      <c r="AL2346">
        <v>88.677876503803304</v>
      </c>
      <c r="AM2346">
        <v>87.266710670717401</v>
      </c>
      <c r="AN2346">
        <v>0.99999998539946999</v>
      </c>
    </row>
    <row r="2347" spans="1:40" x14ac:dyDescent="0.25">
      <c r="A2347" t="str">
        <f>"20190312153933635"</f>
        <v>20190312153933635</v>
      </c>
      <c r="B2347" t="str">
        <f>"1552376373627820"</f>
        <v>1552376373627820</v>
      </c>
      <c r="C2347" t="s">
        <v>40</v>
      </c>
      <c r="D2347">
        <v>4.015638</v>
      </c>
      <c r="E2347">
        <v>0.50757589999999997</v>
      </c>
      <c r="F2347" t="s">
        <v>62</v>
      </c>
      <c r="G2347">
        <v>-286.85180000000003</v>
      </c>
      <c r="H2347" s="1">
        <v>5.6264479999999997E-6</v>
      </c>
      <c r="I2347">
        <v>283.34500000000003</v>
      </c>
      <c r="J2347">
        <v>-223.12530000000001</v>
      </c>
      <c r="K2347">
        <v>1.108322</v>
      </c>
      <c r="L2347">
        <v>284.11250000000001</v>
      </c>
      <c r="M2347">
        <v>-0.99690120000000004</v>
      </c>
      <c r="N2347">
        <v>0</v>
      </c>
      <c r="O2347">
        <v>-7.8665139999999995E-2</v>
      </c>
      <c r="P2347">
        <v>-0.99923110000000004</v>
      </c>
      <c r="Q2347">
        <v>2.4251519999999999E-2</v>
      </c>
      <c r="R2347">
        <v>-3.081089E-2</v>
      </c>
      <c r="S2347">
        <v>-3.0024259999999998</v>
      </c>
      <c r="T2347">
        <v>-5.205274E-2</v>
      </c>
      <c r="U2347">
        <v>-3.6773680000000003E-2</v>
      </c>
      <c r="V2347">
        <v>4.7900669999999999E-2</v>
      </c>
      <c r="W2347">
        <v>2.3716439999999998E-2</v>
      </c>
      <c r="X2347">
        <v>0.99857050000000003</v>
      </c>
      <c r="Y2347">
        <v>6.6428349999999997E-2</v>
      </c>
      <c r="Z2347">
        <v>1.938199E-3</v>
      </c>
      <c r="AA2347">
        <v>0.99778929999999999</v>
      </c>
      <c r="AB2347">
        <v>19</v>
      </c>
      <c r="AC2347">
        <v>-63.726500000000001</v>
      </c>
      <c r="AD2347">
        <v>-1.1083163735519901</v>
      </c>
      <c r="AE2347">
        <v>-0.76749999999998397</v>
      </c>
      <c r="AF2347">
        <v>4.2466476217677798</v>
      </c>
      <c r="AG2347">
        <v>-1.1083163735519901</v>
      </c>
      <c r="AH2347">
        <v>63.570167737246898</v>
      </c>
      <c r="AI2347">
        <v>90.996603348126001</v>
      </c>
      <c r="AJ2347">
        <v>86.178175657199205</v>
      </c>
      <c r="AK2347">
        <v>63.7214925072307</v>
      </c>
      <c r="AL2347">
        <v>88.641020656494902</v>
      </c>
      <c r="AM2347">
        <v>87.253670073308101</v>
      </c>
      <c r="AN2347">
        <v>0.99999999359148595</v>
      </c>
    </row>
    <row r="2348" spans="1:40" x14ac:dyDescent="0.25">
      <c r="A2348" t="str">
        <f>"20190312153933659"</f>
        <v>20190312153933659</v>
      </c>
      <c r="B2348" t="str">
        <f>"1552376373648309"</f>
        <v>1552376373648309</v>
      </c>
      <c r="C2348" t="s">
        <v>40</v>
      </c>
      <c r="D2348">
        <v>4.0221169999999997</v>
      </c>
      <c r="E2348">
        <v>0.50744480000000003</v>
      </c>
      <c r="F2348" t="s">
        <v>62</v>
      </c>
      <c r="G2348">
        <v>-289.017</v>
      </c>
      <c r="H2348" s="1">
        <v>4.6714200000000004E-6</v>
      </c>
      <c r="I2348">
        <v>283.32029999999997</v>
      </c>
      <c r="J2348">
        <v>-223.32730000000001</v>
      </c>
      <c r="K2348">
        <v>1.1083700000000001</v>
      </c>
      <c r="L2348">
        <v>284.09699999999998</v>
      </c>
      <c r="M2348">
        <v>-0.99692939999999997</v>
      </c>
      <c r="N2348">
        <v>0</v>
      </c>
      <c r="O2348">
        <v>-7.830492E-2</v>
      </c>
      <c r="P2348">
        <v>-0.99924139999999995</v>
      </c>
      <c r="Q2348">
        <v>2.4146689999999998E-2</v>
      </c>
      <c r="R2348">
        <v>-3.055513E-2</v>
      </c>
      <c r="S2348">
        <v>-3.0024109999999999</v>
      </c>
      <c r="T2348">
        <v>-5.050147E-2</v>
      </c>
      <c r="U2348">
        <v>-3.6102290000000002E-2</v>
      </c>
      <c r="V2348">
        <v>4.7795869999999997E-2</v>
      </c>
      <c r="W2348">
        <v>2.3854199999999999E-2</v>
      </c>
      <c r="X2348">
        <v>0.99857220000000002</v>
      </c>
      <c r="Y2348">
        <v>6.6292199999999996E-2</v>
      </c>
      <c r="Z2348">
        <v>1.873272E-3</v>
      </c>
      <c r="AA2348">
        <v>0.99779850000000003</v>
      </c>
      <c r="AB2348">
        <v>19</v>
      </c>
      <c r="AC2348">
        <v>-65.689699999999903</v>
      </c>
      <c r="AD2348">
        <v>-1.1083653285799999</v>
      </c>
      <c r="AE2348">
        <v>-0.77670000000000505</v>
      </c>
      <c r="AF2348">
        <v>4.3682684547555102</v>
      </c>
      <c r="AG2348">
        <v>-1.1083653285799999</v>
      </c>
      <c r="AH2348">
        <v>65.530163138356798</v>
      </c>
      <c r="AI2348">
        <v>90.966852687987398</v>
      </c>
      <c r="AJ2348">
        <v>86.186281265872097</v>
      </c>
      <c r="AK2348">
        <v>65.684948990876705</v>
      </c>
      <c r="AL2348">
        <v>88.633125301143806</v>
      </c>
      <c r="AM2348">
        <v>87.259674150202599</v>
      </c>
      <c r="AN2348">
        <v>0.99999995332976699</v>
      </c>
    </row>
    <row r="2349" spans="1:40" x14ac:dyDescent="0.25">
      <c r="A2349" t="str">
        <f>"20190312153933681"</f>
        <v>20190312153933681</v>
      </c>
      <c r="B2349" t="str">
        <f>"1552376373668336"</f>
        <v>1552376373668336</v>
      </c>
      <c r="C2349" t="s">
        <v>40</v>
      </c>
      <c r="D2349">
        <v>4.0052589999999997</v>
      </c>
      <c r="E2349">
        <v>0.50732889999999997</v>
      </c>
      <c r="F2349" t="s">
        <v>62</v>
      </c>
      <c r="G2349">
        <v>-288.82049999999998</v>
      </c>
      <c r="H2349" s="1">
        <v>4.7624229999999999E-6</v>
      </c>
      <c r="I2349">
        <v>283.30149999999998</v>
      </c>
      <c r="J2349">
        <v>-223.5248</v>
      </c>
      <c r="K2349">
        <v>1.108412</v>
      </c>
      <c r="L2349">
        <v>284.08190000000002</v>
      </c>
      <c r="M2349">
        <v>-0.99695719999999999</v>
      </c>
      <c r="N2349">
        <v>0</v>
      </c>
      <c r="O2349">
        <v>-7.7950539999999999E-2</v>
      </c>
      <c r="P2349">
        <v>-0.99925730000000001</v>
      </c>
      <c r="Q2349">
        <v>2.341302E-2</v>
      </c>
      <c r="R2349">
        <v>-3.0606870000000001E-2</v>
      </c>
      <c r="S2349">
        <v>-3.00238</v>
      </c>
      <c r="T2349">
        <v>-5.0810340000000002E-2</v>
      </c>
      <c r="U2349">
        <v>-3.6468510000000003E-2</v>
      </c>
      <c r="V2349">
        <v>4.7390740000000001E-2</v>
      </c>
      <c r="W2349">
        <v>2.341325E-2</v>
      </c>
      <c r="X2349">
        <v>0.99860199999999999</v>
      </c>
      <c r="Y2349">
        <v>6.581555E-2</v>
      </c>
      <c r="Z2349">
        <v>1.87473E-3</v>
      </c>
      <c r="AA2349">
        <v>0.99782999999999999</v>
      </c>
      <c r="AB2349">
        <v>20</v>
      </c>
      <c r="AC2349">
        <v>-65.295699999999897</v>
      </c>
      <c r="AD2349">
        <v>-1.108407237577</v>
      </c>
      <c r="AE2349">
        <v>-0.78040000000004195</v>
      </c>
      <c r="AF2349">
        <v>4.3105678497410604</v>
      </c>
      <c r="AG2349">
        <v>-1.108407237577</v>
      </c>
      <c r="AH2349">
        <v>65.139085008585795</v>
      </c>
      <c r="AI2349">
        <v>90.972724306900901</v>
      </c>
      <c r="AJ2349">
        <v>86.213981577249896</v>
      </c>
      <c r="AK2349">
        <v>65.290963827679093</v>
      </c>
      <c r="AL2349">
        <v>88.658397009238399</v>
      </c>
      <c r="AM2349">
        <v>87.282947856529304</v>
      </c>
      <c r="AN2349">
        <v>1.00000000845865</v>
      </c>
    </row>
    <row r="2350" spans="1:40" x14ac:dyDescent="0.25">
      <c r="A2350" t="str">
        <f>"20190312153933701"</f>
        <v>20190312153933701</v>
      </c>
      <c r="B2350" t="str">
        <f>"1552376373698591"</f>
        <v>1552376373698591</v>
      </c>
      <c r="C2350" t="s">
        <v>40</v>
      </c>
      <c r="D2350">
        <v>4.0172889999999999</v>
      </c>
      <c r="E2350">
        <v>0.50717879999999904</v>
      </c>
      <c r="F2350" t="s">
        <v>62</v>
      </c>
      <c r="G2350">
        <v>-286.74149999999997</v>
      </c>
      <c r="H2350" s="1">
        <v>5.6872509999999999E-6</v>
      </c>
      <c r="I2350">
        <v>283.28769999999997</v>
      </c>
      <c r="J2350">
        <v>-223.70760000000001</v>
      </c>
      <c r="K2350">
        <v>1.1084510000000001</v>
      </c>
      <c r="L2350">
        <v>284.06799999999998</v>
      </c>
      <c r="M2350">
        <v>-0.99698299999999995</v>
      </c>
      <c r="N2350">
        <v>0</v>
      </c>
      <c r="O2350">
        <v>-7.7620640000000005E-2</v>
      </c>
      <c r="P2350">
        <v>-0.99925770000000003</v>
      </c>
      <c r="Q2350">
        <v>2.2997980000000001E-2</v>
      </c>
      <c r="R2350">
        <v>-3.0901689999999999E-2</v>
      </c>
      <c r="S2350">
        <v>-3.0023040000000001</v>
      </c>
      <c r="T2350">
        <v>-5.2640800000000001E-2</v>
      </c>
      <c r="U2350">
        <v>-3.771973E-2</v>
      </c>
      <c r="V2350">
        <v>4.6766200000000001E-2</v>
      </c>
      <c r="W2350">
        <v>2.3288349999999999E-2</v>
      </c>
      <c r="X2350">
        <v>0.99863429999999997</v>
      </c>
      <c r="Y2350">
        <v>6.5067910000000007E-2</v>
      </c>
      <c r="Z2350">
        <v>1.929973E-3</v>
      </c>
      <c r="AA2350">
        <v>0.99787899999999996</v>
      </c>
      <c r="AB2350">
        <v>20</v>
      </c>
      <c r="AC2350">
        <v>-63.033899999999903</v>
      </c>
      <c r="AD2350">
        <v>-1.1084453127489999</v>
      </c>
      <c r="AE2350">
        <v>-0.78030000000001098</v>
      </c>
      <c r="AF2350">
        <v>4.1135138661243902</v>
      </c>
      <c r="AG2350">
        <v>-1.1084453127489999</v>
      </c>
      <c r="AH2350">
        <v>62.884849193662802</v>
      </c>
      <c r="AI2350">
        <v>91.007671386742501</v>
      </c>
      <c r="AJ2350">
        <v>86.257418356973901</v>
      </c>
      <c r="AK2350">
        <v>63.028992578398899</v>
      </c>
      <c r="AL2350">
        <v>88.6655551190469</v>
      </c>
      <c r="AM2350">
        <v>87.318788587831193</v>
      </c>
      <c r="AN2350">
        <v>0.99999994492232402</v>
      </c>
    </row>
    <row r="2351" spans="1:40" x14ac:dyDescent="0.25">
      <c r="A2351" t="str">
        <f>"20190312153933714"</f>
        <v>20190312153933714</v>
      </c>
      <c r="B2351" t="str">
        <f>"1552376373708351"</f>
        <v>1552376373708351</v>
      </c>
      <c r="C2351" t="s">
        <v>40</v>
      </c>
      <c r="D2351">
        <v>4.0141</v>
      </c>
      <c r="E2351">
        <v>0.50713339999999996</v>
      </c>
      <c r="F2351" t="s">
        <v>62</v>
      </c>
      <c r="G2351">
        <v>-285.57920000000001</v>
      </c>
      <c r="H2351" s="1">
        <v>6.2101120000000004E-6</v>
      </c>
      <c r="I2351">
        <v>283.2516</v>
      </c>
      <c r="J2351">
        <v>-223.82239999999999</v>
      </c>
      <c r="K2351">
        <v>1.108482</v>
      </c>
      <c r="L2351">
        <v>284.05930000000001</v>
      </c>
      <c r="M2351">
        <v>-0.99699910000000003</v>
      </c>
      <c r="N2351">
        <v>0</v>
      </c>
      <c r="O2351">
        <v>-7.7412369999999994E-2</v>
      </c>
      <c r="P2351">
        <v>-0.99926789999999999</v>
      </c>
      <c r="Q2351">
        <v>2.255482E-2</v>
      </c>
      <c r="R2351">
        <v>-3.0903679999999999E-2</v>
      </c>
      <c r="S2351">
        <v>-3.0022280000000001</v>
      </c>
      <c r="T2351">
        <v>-5.3785680000000002E-2</v>
      </c>
      <c r="U2351">
        <v>-3.9611819999999999E-2</v>
      </c>
      <c r="V2351">
        <v>4.6556500000000001E-2</v>
      </c>
      <c r="W2351">
        <v>2.3028549999999998E-2</v>
      </c>
      <c r="X2351">
        <v>0.99865020000000004</v>
      </c>
      <c r="Y2351">
        <v>6.4229540000000002E-2</v>
      </c>
      <c r="Z2351">
        <v>1.9607460000000002E-3</v>
      </c>
      <c r="AA2351">
        <v>0.99793319999999996</v>
      </c>
      <c r="AB2351">
        <v>20</v>
      </c>
      <c r="AC2351">
        <v>-61.756799999999998</v>
      </c>
      <c r="AD2351">
        <v>-1.108475789888</v>
      </c>
      <c r="AE2351">
        <v>-0.80770000000001096</v>
      </c>
      <c r="AF2351">
        <v>3.9741841788824899</v>
      </c>
      <c r="AG2351">
        <v>-1.108475789888</v>
      </c>
      <c r="AH2351">
        <v>61.614156939282999</v>
      </c>
      <c r="AI2351">
        <v>91.028537510473299</v>
      </c>
      <c r="AJ2351">
        <v>86.309468507019702</v>
      </c>
      <c r="AK2351">
        <v>61.752143232466402</v>
      </c>
      <c r="AL2351">
        <v>88.680444658240305</v>
      </c>
      <c r="AM2351">
        <v>87.3308361701325</v>
      </c>
      <c r="AN2351">
        <v>1.00000002188369</v>
      </c>
    </row>
    <row r="2352" spans="1:40" x14ac:dyDescent="0.25">
      <c r="A2352" t="str">
        <f>"20190312153933725"</f>
        <v>20190312153933725</v>
      </c>
      <c r="B2352" t="str">
        <f>"1552376373718111"</f>
        <v>1552376373718111</v>
      </c>
      <c r="C2352" t="s">
        <v>40</v>
      </c>
      <c r="D2352">
        <v>4.0188199999999998</v>
      </c>
      <c r="E2352">
        <v>0.50709090000000001</v>
      </c>
      <c r="F2352" t="s">
        <v>62</v>
      </c>
      <c r="G2352">
        <v>-284.25400000000002</v>
      </c>
      <c r="H2352" s="1">
        <v>6.796266E-6</v>
      </c>
      <c r="I2352">
        <v>283.25889999999998</v>
      </c>
      <c r="J2352">
        <v>-223.9306</v>
      </c>
      <c r="K2352">
        <v>1.1085</v>
      </c>
      <c r="L2352">
        <v>284.05110000000002</v>
      </c>
      <c r="M2352">
        <v>-0.99701430000000002</v>
      </c>
      <c r="N2352">
        <v>0</v>
      </c>
      <c r="O2352">
        <v>-7.7215080000000005E-2</v>
      </c>
      <c r="P2352">
        <v>-0.99926530000000002</v>
      </c>
      <c r="Q2352">
        <v>2.242065E-2</v>
      </c>
      <c r="R2352">
        <v>-3.1085600000000001E-2</v>
      </c>
      <c r="S2352">
        <v>-3.0022129999999998</v>
      </c>
      <c r="T2352">
        <v>-5.5068489999999998E-2</v>
      </c>
      <c r="U2352">
        <v>-3.9764399999999998E-2</v>
      </c>
      <c r="V2352">
        <v>4.6177610000000001E-2</v>
      </c>
      <c r="W2352">
        <v>2.306383E-2</v>
      </c>
      <c r="X2352">
        <v>0.99866690000000002</v>
      </c>
      <c r="Y2352">
        <v>6.3980270000000006E-2</v>
      </c>
      <c r="Z2352">
        <v>2.0016159999999999E-3</v>
      </c>
      <c r="AA2352">
        <v>0.99794919999999998</v>
      </c>
      <c r="AB2352">
        <v>20</v>
      </c>
      <c r="AC2352">
        <v>-60.323399999999999</v>
      </c>
      <c r="AD2352">
        <v>-1.1084932037340001</v>
      </c>
      <c r="AE2352">
        <v>-0.79220000000003599</v>
      </c>
      <c r="AF2352">
        <v>3.8667365798138902</v>
      </c>
      <c r="AG2352">
        <v>-1.1084932037340001</v>
      </c>
      <c r="AH2352">
        <v>60.184152783197099</v>
      </c>
      <c r="AI2352">
        <v>91.053004209157194</v>
      </c>
      <c r="AJ2352">
        <v>86.323889431917806</v>
      </c>
      <c r="AK2352">
        <v>60.318427161122202</v>
      </c>
      <c r="AL2352">
        <v>88.678422623923694</v>
      </c>
      <c r="AM2352">
        <v>87.352571758208498</v>
      </c>
      <c r="AN2352">
        <v>0.999999944537594</v>
      </c>
    </row>
    <row r="2353" spans="1:40" x14ac:dyDescent="0.25">
      <c r="A2353" t="str">
        <f>"20190312153933738"</f>
        <v>20190312153933738</v>
      </c>
      <c r="B2353" t="str">
        <f>"1552376373727871"</f>
        <v>1552376373727871</v>
      </c>
      <c r="C2353" t="s">
        <v>40</v>
      </c>
      <c r="D2353">
        <v>4.0083460000000004</v>
      </c>
      <c r="E2353">
        <v>0.50704719999999903</v>
      </c>
      <c r="F2353" t="s">
        <v>62</v>
      </c>
      <c r="G2353">
        <v>-283.76940000000002</v>
      </c>
      <c r="H2353" s="1">
        <v>7.0156479999999999E-6</v>
      </c>
      <c r="I2353">
        <v>283.23719999999997</v>
      </c>
      <c r="J2353">
        <v>-224.0455</v>
      </c>
      <c r="K2353">
        <v>1.108517</v>
      </c>
      <c r="L2353">
        <v>284.04239999999999</v>
      </c>
      <c r="M2353">
        <v>-0.99703030000000004</v>
      </c>
      <c r="N2353">
        <v>0</v>
      </c>
      <c r="O2353">
        <v>-7.7005160000000003E-2</v>
      </c>
      <c r="P2353">
        <v>-0.99928090000000003</v>
      </c>
      <c r="Q2353">
        <v>2.21237E-2</v>
      </c>
      <c r="R2353">
        <v>-3.0790709999999999E-2</v>
      </c>
      <c r="S2353">
        <v>-3.0021819999999999</v>
      </c>
      <c r="T2353">
        <v>-5.561435E-2</v>
      </c>
      <c r="U2353">
        <v>-4.0832519999999997E-2</v>
      </c>
      <c r="V2353">
        <v>4.6262409999999997E-2</v>
      </c>
      <c r="W2353">
        <v>2.294322E-2</v>
      </c>
      <c r="X2353">
        <v>0.99866580000000005</v>
      </c>
      <c r="Y2353">
        <v>6.3414699999999893E-2</v>
      </c>
      <c r="Z2353">
        <v>2.0123490000000001E-3</v>
      </c>
      <c r="AA2353">
        <v>0.99798520000000002</v>
      </c>
      <c r="AB2353">
        <v>20</v>
      </c>
      <c r="AC2353">
        <v>-59.7239</v>
      </c>
      <c r="AD2353">
        <v>-1.1085099843520001</v>
      </c>
      <c r="AE2353">
        <v>-0.80520000000001302</v>
      </c>
      <c r="AF2353">
        <v>3.7949340719396401</v>
      </c>
      <c r="AG2353">
        <v>-1.1085099843520001</v>
      </c>
      <c r="AH2353">
        <v>59.588041870795401</v>
      </c>
      <c r="AI2353">
        <v>91.063590100450497</v>
      </c>
      <c r="AJ2353">
        <v>86.355972655005999</v>
      </c>
      <c r="AK2353">
        <v>59.719051005449202</v>
      </c>
      <c r="AL2353">
        <v>88.685334958478705</v>
      </c>
      <c r="AM2353">
        <v>87.347714072014099</v>
      </c>
      <c r="AN2353">
        <v>0.99999999100630799</v>
      </c>
    </row>
    <row r="2354" spans="1:40" x14ac:dyDescent="0.25">
      <c r="A2354" t="str">
        <f>"20190312153933750"</f>
        <v>20190312153933750</v>
      </c>
      <c r="B2354" t="str">
        <f>"1552376373748367"</f>
        <v>1552376373748367</v>
      </c>
      <c r="C2354" t="s">
        <v>40</v>
      </c>
      <c r="D2354">
        <v>3.9983780000000002</v>
      </c>
      <c r="E2354">
        <v>0.50706090000000004</v>
      </c>
      <c r="F2354" t="s">
        <v>62</v>
      </c>
      <c r="G2354">
        <v>-282.69830000000002</v>
      </c>
      <c r="H2354" s="1">
        <v>7.4865019999999999E-6</v>
      </c>
      <c r="I2354">
        <v>283.25720000000001</v>
      </c>
      <c r="J2354">
        <v>-224.15610000000001</v>
      </c>
      <c r="K2354">
        <v>1.1085370000000001</v>
      </c>
      <c r="L2354">
        <v>284.03410000000002</v>
      </c>
      <c r="M2354">
        <v>-0.99704590000000004</v>
      </c>
      <c r="N2354">
        <v>0</v>
      </c>
      <c r="O2354">
        <v>-7.6802419999999996E-2</v>
      </c>
      <c r="P2354">
        <v>-0.99928070000000002</v>
      </c>
      <c r="Q2354">
        <v>2.1777830000000001E-2</v>
      </c>
      <c r="R2354">
        <v>-3.1052989999999999E-2</v>
      </c>
      <c r="S2354">
        <v>-3.0021969999999998</v>
      </c>
      <c r="T2354">
        <v>-5.674005E-2</v>
      </c>
      <c r="U2354">
        <v>-4.0191650000000002E-2</v>
      </c>
      <c r="V2354">
        <v>4.5797980000000002E-2</v>
      </c>
      <c r="W2354">
        <v>2.2762069999999999E-2</v>
      </c>
      <c r="X2354">
        <v>0.99869140000000001</v>
      </c>
      <c r="Y2354">
        <v>6.3423880000000002E-2</v>
      </c>
      <c r="Z2354">
        <v>2.0493339999999999E-3</v>
      </c>
      <c r="AA2354">
        <v>0.9979846</v>
      </c>
      <c r="AB2354">
        <v>20</v>
      </c>
      <c r="AC2354">
        <v>-58.542200000000001</v>
      </c>
      <c r="AD2354">
        <v>-1.108529513498</v>
      </c>
      <c r="AE2354">
        <v>-0.77690000000001103</v>
      </c>
      <c r="AF2354">
        <v>3.7202455958188501</v>
      </c>
      <c r="AG2354">
        <v>-1.108529513498</v>
      </c>
      <c r="AH2354">
        <v>58.408014627683698</v>
      </c>
      <c r="AI2354">
        <v>91.085091475297304</v>
      </c>
      <c r="AJ2354">
        <v>86.355520367519404</v>
      </c>
      <c r="AK2354">
        <v>58.536870754450298</v>
      </c>
      <c r="AL2354">
        <v>88.695716863738099</v>
      </c>
      <c r="AM2354">
        <v>87.374370225762206</v>
      </c>
      <c r="AN2354">
        <v>1.0000000396183599</v>
      </c>
    </row>
    <row r="2355" spans="1:40" x14ac:dyDescent="0.25">
      <c r="A2355" t="str">
        <f>"20190312153933769"</f>
        <v>20190312153933769</v>
      </c>
      <c r="B2355" t="str">
        <f>"1552376373758127"</f>
        <v>1552376373758127</v>
      </c>
      <c r="C2355" t="s">
        <v>40</v>
      </c>
      <c r="D2355">
        <v>4.0363009999999999</v>
      </c>
      <c r="E2355">
        <v>0.50706090000000004</v>
      </c>
      <c r="F2355" t="s">
        <v>62</v>
      </c>
      <c r="G2355">
        <v>-281.39389999999997</v>
      </c>
      <c r="H2355" s="1">
        <v>8.0656790000000006E-6</v>
      </c>
      <c r="I2355">
        <v>283.25380000000001</v>
      </c>
      <c r="J2355">
        <v>-224.32470000000001</v>
      </c>
      <c r="K2355">
        <v>1.108557</v>
      </c>
      <c r="L2355">
        <v>284.0215</v>
      </c>
      <c r="M2355">
        <v>-0.99706939999999999</v>
      </c>
      <c r="N2355">
        <v>0</v>
      </c>
      <c r="O2355">
        <v>-7.6493729999999996E-2</v>
      </c>
      <c r="P2355">
        <v>-0.99929040000000002</v>
      </c>
      <c r="Q2355">
        <v>2.1038230000000002E-2</v>
      </c>
      <c r="R2355">
        <v>-3.124977E-2</v>
      </c>
      <c r="S2355">
        <v>-3.0021360000000001</v>
      </c>
      <c r="T2355">
        <v>-5.8142659999999999E-2</v>
      </c>
      <c r="U2355">
        <v>-4.092407E-2</v>
      </c>
      <c r="V2355">
        <v>4.5293079999999999E-2</v>
      </c>
      <c r="W2355">
        <v>2.2265799999999999E-2</v>
      </c>
      <c r="X2355">
        <v>0.99872559999999999</v>
      </c>
      <c r="Y2355">
        <v>6.2870120000000002E-2</v>
      </c>
      <c r="Z2355">
        <v>2.0886960000000001E-3</v>
      </c>
      <c r="AA2355">
        <v>0.99801949999999995</v>
      </c>
      <c r="AB2355">
        <v>20</v>
      </c>
      <c r="AC2355">
        <v>-57.069199999999903</v>
      </c>
      <c r="AD2355">
        <v>-1.108548934321</v>
      </c>
      <c r="AE2355">
        <v>-0.76769999999998995</v>
      </c>
      <c r="AF2355">
        <v>3.5986305970704699</v>
      </c>
      <c r="AG2355">
        <v>-1.108548934321</v>
      </c>
      <c r="AH2355">
        <v>56.939234613379497</v>
      </c>
      <c r="AI2355">
        <v>91.113129229372007</v>
      </c>
      <c r="AJ2355">
        <v>86.383645255549297</v>
      </c>
      <c r="AK2355">
        <v>57.063608905075696</v>
      </c>
      <c r="AL2355">
        <v>88.724158231748106</v>
      </c>
      <c r="AM2355">
        <v>87.403365448806099</v>
      </c>
      <c r="AN2355">
        <v>1.0000000265204401</v>
      </c>
    </row>
    <row r="2356" spans="1:40" x14ac:dyDescent="0.25">
      <c r="A2356" t="str">
        <f>"20190312153933782"</f>
        <v>20190312153933782</v>
      </c>
      <c r="B2356" t="str">
        <f>"1552376373778623"</f>
        <v>1552376373778623</v>
      </c>
      <c r="C2356" t="s">
        <v>40</v>
      </c>
      <c r="D2356">
        <v>3.9988260000000002</v>
      </c>
      <c r="E2356">
        <v>0.51415630000000001</v>
      </c>
      <c r="F2356" t="s">
        <v>61</v>
      </c>
      <c r="G2356">
        <v>-279.46469999999999</v>
      </c>
      <c r="H2356" s="1">
        <v>3.5590609999999999E-6</v>
      </c>
      <c r="I2356">
        <v>283.262</v>
      </c>
      <c r="J2356">
        <v>-224.44460000000001</v>
      </c>
      <c r="K2356">
        <v>1.108571</v>
      </c>
      <c r="L2356">
        <v>284.01249999999999</v>
      </c>
      <c r="M2356">
        <v>-0.99708600000000003</v>
      </c>
      <c r="N2356">
        <v>0</v>
      </c>
      <c r="O2356">
        <v>-7.6274439999999999E-2</v>
      </c>
      <c r="P2356">
        <v>-0.99929539999999994</v>
      </c>
      <c r="Q2356">
        <v>2.0577330000000001E-2</v>
      </c>
      <c r="R2356">
        <v>-3.1395289999999999E-2</v>
      </c>
      <c r="S2356">
        <v>-3.0021209999999998</v>
      </c>
      <c r="T2356">
        <v>-6.0355659999999998E-2</v>
      </c>
      <c r="U2356">
        <v>-4.1351319999999997E-2</v>
      </c>
      <c r="V2356">
        <v>4.492877E-2</v>
      </c>
      <c r="W2356">
        <v>2.1974049999999998E-2</v>
      </c>
      <c r="X2356">
        <v>0.99874850000000004</v>
      </c>
      <c r="Y2356">
        <v>6.2506649999999997E-2</v>
      </c>
      <c r="Z2356">
        <v>2.160136E-3</v>
      </c>
      <c r="AA2356">
        <v>0.99804219999999999</v>
      </c>
      <c r="AB2356">
        <v>20</v>
      </c>
      <c r="AC2356">
        <v>-55.0200999999999</v>
      </c>
      <c r="AD2356">
        <v>-1.1085674409390001</v>
      </c>
      <c r="AE2356">
        <v>-0.75049999999998795</v>
      </c>
      <c r="AF2356">
        <v>3.4469181911113802</v>
      </c>
      <c r="AG2356">
        <v>-1.1085674409390001</v>
      </c>
      <c r="AH2356">
        <v>54.894781730934398</v>
      </c>
      <c r="AI2356">
        <v>91.154623570315707</v>
      </c>
      <c r="AJ2356">
        <v>86.407036987973399</v>
      </c>
      <c r="AK2356">
        <v>55.014063911642197</v>
      </c>
      <c r="AL2356">
        <v>88.7408783449239</v>
      </c>
      <c r="AM2356">
        <v>87.424281935391903</v>
      </c>
      <c r="AN2356">
        <v>1.00000000974968</v>
      </c>
    </row>
    <row r="2357" spans="1:40" x14ac:dyDescent="0.25">
      <c r="A2357" t="str">
        <f>"20190312153933794"</f>
        <v>20190312153933794</v>
      </c>
      <c r="B2357" t="str">
        <f>"1552376373788383"</f>
        <v>1552376373788383</v>
      </c>
      <c r="C2357" t="s">
        <v>40</v>
      </c>
      <c r="D2357">
        <v>3.9755229999999999</v>
      </c>
      <c r="E2357">
        <v>0.5144917</v>
      </c>
      <c r="F2357" t="s">
        <v>62</v>
      </c>
      <c r="G2357">
        <v>-295.18579999999997</v>
      </c>
      <c r="H2357" s="1">
        <v>3.1473739999999998E-6</v>
      </c>
      <c r="I2357">
        <v>284.36759999999998</v>
      </c>
      <c r="J2357">
        <v>-224.5581</v>
      </c>
      <c r="K2357">
        <v>1.108584</v>
      </c>
      <c r="L2357">
        <v>284.00400000000002</v>
      </c>
      <c r="M2357">
        <v>-0.99710140000000003</v>
      </c>
      <c r="N2357">
        <v>0</v>
      </c>
      <c r="O2357">
        <v>-7.6066960000000003E-2</v>
      </c>
      <c r="P2357">
        <v>-0.99930350000000001</v>
      </c>
      <c r="Q2357">
        <v>2.0113780000000001E-2</v>
      </c>
      <c r="R2357">
        <v>-3.1429400000000003E-2</v>
      </c>
      <c r="S2357">
        <v>-3.003555</v>
      </c>
      <c r="T2357">
        <v>-4.7067999999999999E-2</v>
      </c>
      <c r="U2357">
        <v>1.5075679999999999E-2</v>
      </c>
      <c r="V2357">
        <v>4.468739E-2</v>
      </c>
      <c r="W2357">
        <v>2.1667039999999999E-2</v>
      </c>
      <c r="X2357">
        <v>0.99876600000000004</v>
      </c>
      <c r="Y2357">
        <v>8.1051509999999993E-2</v>
      </c>
      <c r="Z2357">
        <v>1.8261670000000001E-3</v>
      </c>
      <c r="AA2357">
        <v>0.99670820000000004</v>
      </c>
      <c r="AB2357">
        <v>21</v>
      </c>
      <c r="AC2357">
        <v>-70.627699999999905</v>
      </c>
      <c r="AD2357">
        <v>-1.1085808526259999</v>
      </c>
      <c r="AE2357">
        <v>0.36359999999996201</v>
      </c>
      <c r="AF2357">
        <v>5.7335754672533596</v>
      </c>
      <c r="AG2357">
        <v>-1.1085808526259999</v>
      </c>
      <c r="AH2357">
        <v>70.378074210644499</v>
      </c>
      <c r="AI2357">
        <v>90.899457171916197</v>
      </c>
      <c r="AJ2357">
        <v>85.342501487677396</v>
      </c>
      <c r="AK2357">
        <v>70.619941721474703</v>
      </c>
      <c r="AL2357">
        <v>88.7584728657868</v>
      </c>
      <c r="AM2357">
        <v>87.438146333383898</v>
      </c>
      <c r="AN2357">
        <v>0.99999997310168598</v>
      </c>
    </row>
    <row r="2358" spans="1:40" x14ac:dyDescent="0.25">
      <c r="A2358" t="str">
        <f>"20190312153933813"</f>
        <v>20190312153933813</v>
      </c>
      <c r="B2358" t="str">
        <f>"1552376373807904"</f>
        <v>1552376373807904</v>
      </c>
      <c r="C2358" t="s">
        <v>40</v>
      </c>
      <c r="D2358">
        <v>3.9840100000000001</v>
      </c>
      <c r="E2358">
        <v>0.51491169999999997</v>
      </c>
      <c r="F2358" t="s">
        <v>62</v>
      </c>
      <c r="G2358">
        <v>-298.46409999999997</v>
      </c>
      <c r="H2358" s="1">
        <v>3.7221439999999998E-6</v>
      </c>
      <c r="I2358">
        <v>284.44479999999999</v>
      </c>
      <c r="J2358">
        <v>-224.73390000000001</v>
      </c>
      <c r="K2358">
        <v>1.1085989999999999</v>
      </c>
      <c r="L2358">
        <v>283.99099999999999</v>
      </c>
      <c r="M2358">
        <v>-0.99712559999999995</v>
      </c>
      <c r="N2358">
        <v>0</v>
      </c>
      <c r="O2358">
        <v>-7.5746049999999995E-2</v>
      </c>
      <c r="P2358">
        <v>-0.99930019999999997</v>
      </c>
      <c r="Q2358">
        <v>1.975942E-2</v>
      </c>
      <c r="R2358">
        <v>-3.1761890000000001E-2</v>
      </c>
      <c r="S2358">
        <v>-3.0035859999999999</v>
      </c>
      <c r="T2358">
        <v>-4.5053360000000001E-2</v>
      </c>
      <c r="U2358">
        <v>1.791382E-2</v>
      </c>
      <c r="V2358">
        <v>4.4034209999999997E-2</v>
      </c>
      <c r="W2358">
        <v>2.1550719999999999E-2</v>
      </c>
      <c r="X2358">
        <v>0.9987975</v>
      </c>
      <c r="Y2358">
        <v>8.1674029999999995E-2</v>
      </c>
      <c r="Z2358">
        <v>1.7478649999999999E-3</v>
      </c>
      <c r="AA2358">
        <v>0.99665760000000003</v>
      </c>
      <c r="AB2358">
        <v>21</v>
      </c>
      <c r="AC2358">
        <v>-73.730199999999897</v>
      </c>
      <c r="AD2358">
        <v>-1.108595277856</v>
      </c>
      <c r="AE2358">
        <v>0.45380000000000098</v>
      </c>
      <c r="AF2358">
        <v>6.03591176598984</v>
      </c>
      <c r="AG2358">
        <v>-1.108595277856</v>
      </c>
      <c r="AH2358">
        <v>73.467400674739693</v>
      </c>
      <c r="AI2358">
        <v>90.861603490178894</v>
      </c>
      <c r="AJ2358">
        <v>85.303259768480203</v>
      </c>
      <c r="AK2358">
        <v>73.7232675363731</v>
      </c>
      <c r="AL2358">
        <v>88.765139033622305</v>
      </c>
      <c r="AM2358">
        <v>87.475622766658702</v>
      </c>
      <c r="AN2358">
        <v>0.99999994559454397</v>
      </c>
    </row>
    <row r="2359" spans="1:40" x14ac:dyDescent="0.25">
      <c r="A2359" t="str">
        <f>"20190312153933826"</f>
        <v>20190312153933826</v>
      </c>
      <c r="B2359" t="str">
        <f>"1552376373818639"</f>
        <v>1552376373818639</v>
      </c>
      <c r="C2359" t="s">
        <v>40</v>
      </c>
      <c r="D2359">
        <v>3.9986009999999998</v>
      </c>
      <c r="E2359">
        <v>0.51495089999999999</v>
      </c>
      <c r="F2359" t="s">
        <v>62</v>
      </c>
      <c r="G2359">
        <v>-300.92239999999998</v>
      </c>
      <c r="H2359" s="1">
        <v>3.8103039999999999E-6</v>
      </c>
      <c r="I2359">
        <v>284.50959999999998</v>
      </c>
      <c r="J2359">
        <v>-224.8494</v>
      </c>
      <c r="K2359">
        <v>1.1086129999999901</v>
      </c>
      <c r="L2359">
        <v>283.98239999999998</v>
      </c>
      <c r="M2359">
        <v>-0.99714119999999995</v>
      </c>
      <c r="N2359">
        <v>0</v>
      </c>
      <c r="O2359">
        <v>-7.5535740000000004E-2</v>
      </c>
      <c r="P2359">
        <v>-0.9993052</v>
      </c>
      <c r="Q2359">
        <v>1.9514030000000002E-2</v>
      </c>
      <c r="R2359">
        <v>-3.174979E-2</v>
      </c>
      <c r="S2359">
        <v>-3.0036160000000001</v>
      </c>
      <c r="T2359">
        <v>-4.3704630000000001E-2</v>
      </c>
      <c r="U2359">
        <v>2.0446780000000001E-2</v>
      </c>
      <c r="V2359">
        <v>4.3836100000000003E-2</v>
      </c>
      <c r="W2359">
        <v>2.146348E-2</v>
      </c>
      <c r="X2359">
        <v>0.99880809999999998</v>
      </c>
      <c r="Y2359">
        <v>8.2305210000000004E-2</v>
      </c>
      <c r="Z2359">
        <v>1.6970710000000001E-3</v>
      </c>
      <c r="AA2359">
        <v>0.99660579999999999</v>
      </c>
      <c r="AB2359">
        <v>21</v>
      </c>
      <c r="AC2359">
        <v>-76.072999999999894</v>
      </c>
      <c r="AD2359">
        <v>-1.10860918969599</v>
      </c>
      <c r="AE2359">
        <v>0.52719999999999301</v>
      </c>
      <c r="AF2359">
        <v>6.27060340890701</v>
      </c>
      <c r="AG2359">
        <v>-1.10860918969599</v>
      </c>
      <c r="AH2359">
        <v>75.799746409999102</v>
      </c>
      <c r="AI2359">
        <v>90.835067534053593</v>
      </c>
      <c r="AJ2359">
        <v>85.270922509401899</v>
      </c>
      <c r="AK2359">
        <v>76.0667538236479</v>
      </c>
      <c r="AL2359">
        <v>88.770138682795107</v>
      </c>
      <c r="AM2359">
        <v>87.4869919877965</v>
      </c>
      <c r="AN2359">
        <v>0.99999995263126396</v>
      </c>
    </row>
    <row r="2360" spans="1:40" x14ac:dyDescent="0.25">
      <c r="A2360" t="str">
        <f>"20190312153933839"</f>
        <v>20190312153933839</v>
      </c>
      <c r="B2360" t="str">
        <f>"1552376373828399"</f>
        <v>1552376373828399</v>
      </c>
      <c r="C2360" t="s">
        <v>40</v>
      </c>
      <c r="D2360">
        <v>4.0003890000000002</v>
      </c>
      <c r="E2360">
        <v>0.51503069999999995</v>
      </c>
      <c r="F2360" t="s">
        <v>62</v>
      </c>
      <c r="G2360">
        <v>-298.99220000000003</v>
      </c>
      <c r="H2360" s="1">
        <v>3.8116550000000001E-6</v>
      </c>
      <c r="I2360">
        <v>284.49239999999998</v>
      </c>
      <c r="J2360">
        <v>-224.96780000000001</v>
      </c>
      <c r="K2360">
        <v>1.1086290000000001</v>
      </c>
      <c r="L2360">
        <v>283.97370000000001</v>
      </c>
      <c r="M2360">
        <v>-0.99715699999999996</v>
      </c>
      <c r="N2360">
        <v>0</v>
      </c>
      <c r="O2360">
        <v>-7.5321029999999997E-2</v>
      </c>
      <c r="P2360">
        <v>-0.99930730000000001</v>
      </c>
      <c r="Q2360">
        <v>1.9412599999999999E-2</v>
      </c>
      <c r="R2360">
        <v>-3.1754240000000003E-2</v>
      </c>
      <c r="S2360">
        <v>-3.0036160000000001</v>
      </c>
      <c r="T2360">
        <v>-4.4911149999999997E-2</v>
      </c>
      <c r="U2360">
        <v>2.0660399999999999E-2</v>
      </c>
      <c r="V2360">
        <v>4.3617080000000003E-2</v>
      </c>
      <c r="W2360">
        <v>2.1525450000000002E-2</v>
      </c>
      <c r="X2360">
        <v>0.99881640000000005</v>
      </c>
      <c r="Y2360">
        <v>8.2160629999999998E-2</v>
      </c>
      <c r="Z2360">
        <v>1.7396309999999999E-3</v>
      </c>
      <c r="AA2360">
        <v>0.99661759999999999</v>
      </c>
      <c r="AB2360">
        <v>21</v>
      </c>
      <c r="AC2360">
        <v>-74.0244</v>
      </c>
      <c r="AD2360">
        <v>-1.108625188345</v>
      </c>
      <c r="AE2360">
        <v>0.51869999999996697</v>
      </c>
      <c r="AF2360">
        <v>6.0914673658100504</v>
      </c>
      <c r="AG2360">
        <v>-1.108625188345</v>
      </c>
      <c r="AH2360">
        <v>73.758508644673199</v>
      </c>
      <c r="AI2360">
        <v>90.858196484216407</v>
      </c>
      <c r="AJ2360">
        <v>85.278848279549706</v>
      </c>
      <c r="AK2360">
        <v>74.017920951370201</v>
      </c>
      <c r="AL2360">
        <v>88.766587298375597</v>
      </c>
      <c r="AM2360">
        <v>87.499552602731598</v>
      </c>
      <c r="AN2360">
        <v>0.99999999778719395</v>
      </c>
    </row>
    <row r="2361" spans="1:40" x14ac:dyDescent="0.25">
      <c r="A2361" t="str">
        <f>"20190312153933851"</f>
        <v>20190312153933851</v>
      </c>
      <c r="B2361" t="str">
        <f>"1552376373838159"</f>
        <v>1552376373838159</v>
      </c>
      <c r="C2361" t="s">
        <v>40</v>
      </c>
      <c r="D2361">
        <v>4.0287089999999903</v>
      </c>
      <c r="E2361">
        <v>0.51513640000000005</v>
      </c>
      <c r="F2361" t="s">
        <v>62</v>
      </c>
      <c r="G2361">
        <v>-298.53620000000001</v>
      </c>
      <c r="H2361" s="1">
        <v>3.7304989999999999E-6</v>
      </c>
      <c r="I2361">
        <v>284.49540000000002</v>
      </c>
      <c r="J2361">
        <v>-225.08529999999999</v>
      </c>
      <c r="K2361">
        <v>1.108646</v>
      </c>
      <c r="L2361">
        <v>283.96499999999997</v>
      </c>
      <c r="M2361">
        <v>-0.99717279999999997</v>
      </c>
      <c r="N2361">
        <v>0</v>
      </c>
      <c r="O2361">
        <v>-7.5108010000000003E-2</v>
      </c>
      <c r="P2361">
        <v>-0.99931119999999996</v>
      </c>
      <c r="Q2361">
        <v>1.9132630000000001E-2</v>
      </c>
      <c r="R2361">
        <v>-3.179858E-2</v>
      </c>
      <c r="S2361">
        <v>-3.003647</v>
      </c>
      <c r="T2361">
        <v>-4.526293E-2</v>
      </c>
      <c r="U2361">
        <v>2.1301270000000001E-2</v>
      </c>
      <c r="V2361">
        <v>4.3359799999999997E-2</v>
      </c>
      <c r="W2361">
        <v>2.1412469999999999E-2</v>
      </c>
      <c r="X2361">
        <v>0.99883</v>
      </c>
      <c r="Y2361">
        <v>8.2160059999999993E-2</v>
      </c>
      <c r="Z2361">
        <v>1.7500320000000001E-3</v>
      </c>
      <c r="AA2361">
        <v>0.99661759999999999</v>
      </c>
      <c r="AB2361">
        <v>21</v>
      </c>
      <c r="AC2361">
        <v>-73.450900000000004</v>
      </c>
      <c r="AD2361">
        <v>-1.1086422695010001</v>
      </c>
      <c r="AE2361">
        <v>0.53040000000004195</v>
      </c>
      <c r="AF2361">
        <v>6.0442901566045002</v>
      </c>
      <c r="AG2361">
        <v>-1.1086422695010001</v>
      </c>
      <c r="AH2361">
        <v>73.186919977797203</v>
      </c>
      <c r="AI2361">
        <v>90.864911267137103</v>
      </c>
      <c r="AJ2361">
        <v>85.278826213802205</v>
      </c>
      <c r="AK2361">
        <v>73.444453752583897</v>
      </c>
      <c r="AL2361">
        <v>88.773062030748704</v>
      </c>
      <c r="AM2361">
        <v>87.514317006659198</v>
      </c>
      <c r="AN2361">
        <v>0.99999996751376996</v>
      </c>
    </row>
    <row r="2362" spans="1:40" x14ac:dyDescent="0.25">
      <c r="A2362" t="str">
        <f>"20190312153933871"</f>
        <v>20190312153933871</v>
      </c>
      <c r="B2362" t="str">
        <f>"1552376373858654"</f>
        <v>1552376373858654</v>
      </c>
      <c r="C2362" t="s">
        <v>40</v>
      </c>
      <c r="D2362">
        <v>4.0249309999999996</v>
      </c>
      <c r="E2362">
        <v>0.51534679999999999</v>
      </c>
      <c r="F2362" t="s">
        <v>62</v>
      </c>
      <c r="G2362">
        <v>-298.0378</v>
      </c>
      <c r="H2362" s="1">
        <v>3.6412209999999999E-6</v>
      </c>
      <c r="I2362">
        <v>284.50540000000001</v>
      </c>
      <c r="J2362">
        <v>-225.26900000000001</v>
      </c>
      <c r="K2362">
        <v>1.108665</v>
      </c>
      <c r="L2362">
        <v>283.95159999999998</v>
      </c>
      <c r="M2362">
        <v>-0.997197</v>
      </c>
      <c r="N2362">
        <v>0</v>
      </c>
      <c r="O2362">
        <v>-7.4775750000000002E-2</v>
      </c>
      <c r="P2362">
        <v>-0.99932889999999996</v>
      </c>
      <c r="Q2362">
        <v>1.8814279999999999E-2</v>
      </c>
      <c r="R2362">
        <v>-3.1427820000000002E-2</v>
      </c>
      <c r="S2362">
        <v>-3.0036619999999998</v>
      </c>
      <c r="T2362">
        <v>-4.5645949999999998E-2</v>
      </c>
      <c r="U2362">
        <v>2.2247309999999999E-2</v>
      </c>
      <c r="V2362">
        <v>4.3398039999999999E-2</v>
      </c>
      <c r="W2362">
        <v>2.1356219999999999E-2</v>
      </c>
      <c r="X2362">
        <v>0.99882959999999998</v>
      </c>
      <c r="Y2362">
        <v>8.2141629999999993E-2</v>
      </c>
      <c r="Z2362">
        <v>1.7596529999999999E-3</v>
      </c>
      <c r="AA2362">
        <v>0.99661909999999998</v>
      </c>
      <c r="AB2362">
        <v>21</v>
      </c>
      <c r="AC2362">
        <v>-72.768799999999999</v>
      </c>
      <c r="AD2362">
        <v>-1.108661358779</v>
      </c>
      <c r="AE2362">
        <v>0.55380000000002305</v>
      </c>
      <c r="AF2362">
        <v>5.9922186482449504</v>
      </c>
      <c r="AG2362">
        <v>-1.108661358779</v>
      </c>
      <c r="AH2362">
        <v>72.506833189204698</v>
      </c>
      <c r="AI2362">
        <v>90.873033544135396</v>
      </c>
      <c r="AJ2362">
        <v>85.275612358745306</v>
      </c>
      <c r="AK2362">
        <v>72.762467477841696</v>
      </c>
      <c r="AL2362">
        <v>88.776285724640303</v>
      </c>
      <c r="AM2362">
        <v>87.512126584096407</v>
      </c>
      <c r="AN2362">
        <v>1.0000000239223401</v>
      </c>
    </row>
    <row r="2363" spans="1:40" x14ac:dyDescent="0.25">
      <c r="A2363" t="str">
        <f>"20190312153933893"</f>
        <v>20190312153933893</v>
      </c>
      <c r="B2363" t="str">
        <f>"1552376373887935"</f>
        <v>1552376373887935</v>
      </c>
      <c r="C2363" t="s">
        <v>40</v>
      </c>
      <c r="D2363">
        <v>4.0489800000000002</v>
      </c>
      <c r="E2363">
        <v>0.5156134</v>
      </c>
      <c r="F2363" t="s">
        <v>62</v>
      </c>
      <c r="G2363">
        <v>-296.89920000000001</v>
      </c>
      <c r="H2363" s="1">
        <v>3.435815E-6</v>
      </c>
      <c r="I2363">
        <v>284.54469999999998</v>
      </c>
      <c r="J2363">
        <v>-225.48410000000001</v>
      </c>
      <c r="K2363">
        <v>1.108689</v>
      </c>
      <c r="L2363">
        <v>283.9359</v>
      </c>
      <c r="M2363">
        <v>-0.99722529999999998</v>
      </c>
      <c r="N2363">
        <v>0</v>
      </c>
      <c r="O2363">
        <v>-7.4387060000000005E-2</v>
      </c>
      <c r="P2363">
        <v>-0.9993379</v>
      </c>
      <c r="Q2363">
        <v>1.8719409999999999E-2</v>
      </c>
      <c r="R2363">
        <v>-3.1200249999999999E-2</v>
      </c>
      <c r="S2363">
        <v>-3.0036770000000002</v>
      </c>
      <c r="T2363">
        <v>-4.6489599999999999E-2</v>
      </c>
      <c r="U2363">
        <v>2.4871830000000001E-2</v>
      </c>
      <c r="V2363">
        <v>4.323664E-2</v>
      </c>
      <c r="W2363">
        <v>2.1565020000000001E-2</v>
      </c>
      <c r="X2363">
        <v>0.9988321</v>
      </c>
      <c r="Y2363">
        <v>8.2623269999999999E-2</v>
      </c>
      <c r="Z2363">
        <v>1.7898899999999999E-3</v>
      </c>
      <c r="AA2363">
        <v>0.9965792</v>
      </c>
      <c r="AB2363">
        <v>21</v>
      </c>
      <c r="AC2363">
        <v>-71.415099999999995</v>
      </c>
      <c r="AD2363">
        <v>-1.108685564185</v>
      </c>
      <c r="AE2363">
        <v>0.60879999999997303</v>
      </c>
      <c r="AF2363">
        <v>5.9180683422438403</v>
      </c>
      <c r="AG2363">
        <v>-1.108685564185</v>
      </c>
      <c r="AH2363">
        <v>71.154804009118095</v>
      </c>
      <c r="AI2363">
        <v>90.889600350693001</v>
      </c>
      <c r="AJ2363">
        <v>85.245553608718893</v>
      </c>
      <c r="AK2363">
        <v>71.409095010087597</v>
      </c>
      <c r="AL2363">
        <v>88.764319593762707</v>
      </c>
      <c r="AM2363">
        <v>87.5213737745934</v>
      </c>
      <c r="AN2363">
        <v>1.0000000105582401</v>
      </c>
    </row>
    <row r="2364" spans="1:40" x14ac:dyDescent="0.25">
      <c r="A2364" t="str">
        <f>"20190312153933915"</f>
        <v>20190312153933915</v>
      </c>
      <c r="B2364" t="str">
        <f>"1552376373908432"</f>
        <v>1552376373908432</v>
      </c>
      <c r="C2364" t="s">
        <v>40</v>
      </c>
      <c r="D2364">
        <v>4.0137320000000001</v>
      </c>
      <c r="E2364">
        <v>0.51574299999999995</v>
      </c>
      <c r="F2364" t="s">
        <v>62</v>
      </c>
      <c r="G2364">
        <v>-296.40469999999999</v>
      </c>
      <c r="H2364" s="1">
        <v>3.3442500000000002E-6</v>
      </c>
      <c r="I2364">
        <v>284.58870000000002</v>
      </c>
      <c r="J2364">
        <v>-225.68530000000001</v>
      </c>
      <c r="K2364">
        <v>1.108714</v>
      </c>
      <c r="L2364">
        <v>283.92129999999997</v>
      </c>
      <c r="M2364">
        <v>-0.99725169999999996</v>
      </c>
      <c r="N2364">
        <v>0</v>
      </c>
      <c r="O2364">
        <v>-7.4022699999999997E-2</v>
      </c>
      <c r="P2364">
        <v>-0.99932639999999995</v>
      </c>
      <c r="Q2364">
        <v>1.8464620000000001E-2</v>
      </c>
      <c r="R2364">
        <v>-3.1715889999999997E-2</v>
      </c>
      <c r="S2364">
        <v>-3.0037379999999998</v>
      </c>
      <c r="T2364">
        <v>-4.6956779999999997E-2</v>
      </c>
      <c r="U2364">
        <v>2.7648929999999999E-2</v>
      </c>
      <c r="V2364">
        <v>4.2356690000000002E-2</v>
      </c>
      <c r="W2364">
        <v>2.158171E-2</v>
      </c>
      <c r="X2364">
        <v>0.99886940000000002</v>
      </c>
      <c r="Y2364">
        <v>8.3179939999999994E-2</v>
      </c>
      <c r="Z2364">
        <v>1.8065080000000001E-3</v>
      </c>
      <c r="AA2364">
        <v>0.99653290000000005</v>
      </c>
      <c r="AB2364">
        <v>21</v>
      </c>
      <c r="AC2364">
        <v>-70.719399999999894</v>
      </c>
      <c r="AD2364">
        <v>-1.1087106557499999</v>
      </c>
      <c r="AE2364">
        <v>0.66740000000004296</v>
      </c>
      <c r="AF2364">
        <v>5.8989855268266398</v>
      </c>
      <c r="AG2364">
        <v>-1.1087106557499999</v>
      </c>
      <c r="AH2364">
        <v>70.458664167398794</v>
      </c>
      <c r="AI2364">
        <v>90.898367593288597</v>
      </c>
      <c r="AJ2364">
        <v>85.214207104409795</v>
      </c>
      <c r="AK2364">
        <v>70.7138644525822</v>
      </c>
      <c r="AL2364">
        <v>88.763363052990499</v>
      </c>
      <c r="AM2364">
        <v>87.571848214584193</v>
      </c>
      <c r="AN2364">
        <v>0.99999996882531905</v>
      </c>
    </row>
    <row r="2365" spans="1:40" x14ac:dyDescent="0.25">
      <c r="A2365" t="str">
        <f>"20190312153933928"</f>
        <v>20190312153933928</v>
      </c>
      <c r="B2365" t="str">
        <f>"1552376373918191"</f>
        <v>1552376373918191</v>
      </c>
      <c r="C2365" t="s">
        <v>40</v>
      </c>
      <c r="D2365">
        <v>4.0074489999999896</v>
      </c>
      <c r="E2365">
        <v>0.51584949999999996</v>
      </c>
      <c r="F2365" t="s">
        <v>62</v>
      </c>
      <c r="G2365">
        <v>-297.053</v>
      </c>
      <c r="H2365" s="1">
        <v>3.4612489999999999E-6</v>
      </c>
      <c r="I2365">
        <v>284.5659</v>
      </c>
      <c r="J2365">
        <v>-225.82149999999999</v>
      </c>
      <c r="K2365">
        <v>1.108727</v>
      </c>
      <c r="L2365">
        <v>283.91149999999999</v>
      </c>
      <c r="M2365">
        <v>-0.99726950000000003</v>
      </c>
      <c r="N2365">
        <v>0</v>
      </c>
      <c r="O2365">
        <v>-7.3775889999999997E-2</v>
      </c>
      <c r="P2365">
        <v>-0.99932169999999998</v>
      </c>
      <c r="Q2365">
        <v>1.8723320000000002E-2</v>
      </c>
      <c r="R2365">
        <v>-3.1713390000000001E-2</v>
      </c>
      <c r="S2365">
        <v>-3.0037229999999999</v>
      </c>
      <c r="T2365">
        <v>-4.6663400000000001E-2</v>
      </c>
      <c r="U2365">
        <v>2.7130129999999999E-2</v>
      </c>
      <c r="V2365">
        <v>4.211198E-2</v>
      </c>
      <c r="W2365">
        <v>2.2011240000000001E-2</v>
      </c>
      <c r="X2365">
        <v>0.99887040000000005</v>
      </c>
      <c r="Y2365">
        <v>8.2761609999999999E-2</v>
      </c>
      <c r="Z2365">
        <v>1.7881570000000001E-3</v>
      </c>
      <c r="AA2365">
        <v>0.9965678</v>
      </c>
      <c r="AB2365">
        <v>21</v>
      </c>
      <c r="AC2365">
        <v>-71.231499999999997</v>
      </c>
      <c r="AD2365">
        <v>-1.1087235387509999</v>
      </c>
      <c r="AE2365">
        <v>0.65440000000000897</v>
      </c>
      <c r="AF2365">
        <v>5.9063811380703202</v>
      </c>
      <c r="AG2365">
        <v>-1.1087235387509999</v>
      </c>
      <c r="AH2365">
        <v>70.971908884973601</v>
      </c>
      <c r="AI2365">
        <v>90.891919372343295</v>
      </c>
      <c r="AJ2365">
        <v>85.242727830974502</v>
      </c>
      <c r="AK2365">
        <v>71.225883334715604</v>
      </c>
      <c r="AL2365">
        <v>88.738746980506306</v>
      </c>
      <c r="AM2365">
        <v>87.585862298871803</v>
      </c>
      <c r="AN2365">
        <v>0.99999999477100898</v>
      </c>
    </row>
    <row r="2366" spans="1:40" x14ac:dyDescent="0.25">
      <c r="A2366" t="str">
        <f>"20190312153933941"</f>
        <v>20190312153933941</v>
      </c>
      <c r="B2366" t="str">
        <f>"1552376373938687"</f>
        <v>1552376373938687</v>
      </c>
      <c r="C2366" t="s">
        <v>40</v>
      </c>
      <c r="D2366">
        <v>4.0041830000000003</v>
      </c>
      <c r="E2366">
        <v>0.51591339999999997</v>
      </c>
      <c r="F2366" t="s">
        <v>62</v>
      </c>
      <c r="G2366">
        <v>-298.25110000000001</v>
      </c>
      <c r="H2366" s="1">
        <v>3.671541E-6</v>
      </c>
      <c r="I2366">
        <v>284.59140000000002</v>
      </c>
      <c r="J2366">
        <v>-225.941</v>
      </c>
      <c r="K2366">
        <v>1.1087389999999999</v>
      </c>
      <c r="L2366">
        <v>283.90280000000001</v>
      </c>
      <c r="M2366">
        <v>-0.99728490000000003</v>
      </c>
      <c r="N2366">
        <v>0</v>
      </c>
      <c r="O2366">
        <v>-7.3559239999999998E-2</v>
      </c>
      <c r="P2366">
        <v>-0.99930640000000004</v>
      </c>
      <c r="Q2366">
        <v>1.9005350000000001E-2</v>
      </c>
      <c r="R2366">
        <v>-3.2021340000000002E-2</v>
      </c>
      <c r="S2366">
        <v>-3.0038149999999999</v>
      </c>
      <c r="T2366">
        <v>-4.5981170000000002E-2</v>
      </c>
      <c r="U2366">
        <v>2.8198239999999999E-2</v>
      </c>
      <c r="V2366">
        <v>4.1587159999999998E-2</v>
      </c>
      <c r="W2366">
        <v>2.2438380000000001E-2</v>
      </c>
      <c r="X2366">
        <v>0.99888290000000002</v>
      </c>
      <c r="Y2366">
        <v>8.2899769999999998E-2</v>
      </c>
      <c r="Z2366">
        <v>1.759711E-3</v>
      </c>
      <c r="AA2366">
        <v>0.99655629999999995</v>
      </c>
      <c r="AB2366">
        <v>21</v>
      </c>
      <c r="AC2366">
        <v>-72.310100000000006</v>
      </c>
      <c r="AD2366">
        <v>-1.108735328459</v>
      </c>
      <c r="AE2366">
        <v>0.68860000000000798</v>
      </c>
      <c r="AF2366">
        <v>6.0044304859943498</v>
      </c>
      <c r="AG2366">
        <v>-1.108735328459</v>
      </c>
      <c r="AH2366">
        <v>72.046608699736396</v>
      </c>
      <c r="AI2366">
        <v>90.878617610321498</v>
      </c>
      <c r="AJ2366">
        <v>85.235926754425506</v>
      </c>
      <c r="AK2366">
        <v>72.304884375971795</v>
      </c>
      <c r="AL2366">
        <v>88.714267634513206</v>
      </c>
      <c r="AM2366">
        <v>87.615943324208601</v>
      </c>
      <c r="AN2366">
        <v>1.0000000103431499</v>
      </c>
    </row>
    <row r="2367" spans="1:40" x14ac:dyDescent="0.25">
      <c r="A2367" t="str">
        <f>"20190312153933960"</f>
        <v>20190312153933960</v>
      </c>
      <c r="B2367" t="str">
        <f>"1552376373948447"</f>
        <v>1552376373948447</v>
      </c>
      <c r="C2367" t="s">
        <v>40</v>
      </c>
      <c r="D2367">
        <v>3.9978509999999998</v>
      </c>
      <c r="E2367">
        <v>0.51596790000000003</v>
      </c>
      <c r="F2367" t="s">
        <v>62</v>
      </c>
      <c r="G2367">
        <v>-299.63810000000001</v>
      </c>
      <c r="H2367" s="1">
        <v>3.9183960000000004E-6</v>
      </c>
      <c r="I2367">
        <v>284.58190000000002</v>
      </c>
      <c r="J2367">
        <v>-226.1164</v>
      </c>
      <c r="K2367">
        <v>1.1087560000000001</v>
      </c>
      <c r="L2367">
        <v>283.89030000000002</v>
      </c>
      <c r="M2367">
        <v>-0.99730759999999996</v>
      </c>
      <c r="N2367">
        <v>0</v>
      </c>
      <c r="O2367">
        <v>-7.3241100000000003E-2</v>
      </c>
      <c r="P2367">
        <v>-0.99927549999999998</v>
      </c>
      <c r="Q2367">
        <v>1.9175350000000001E-2</v>
      </c>
      <c r="R2367">
        <v>-3.2877969999999999E-2</v>
      </c>
      <c r="S2367">
        <v>-3.0038299999999998</v>
      </c>
      <c r="T2367">
        <v>-4.5191050000000003E-2</v>
      </c>
      <c r="U2367">
        <v>2.767944E-2</v>
      </c>
      <c r="V2367">
        <v>4.0412330000000003E-2</v>
      </c>
      <c r="W2367">
        <v>2.2809739999999998E-2</v>
      </c>
      <c r="X2367">
        <v>0.99892270000000005</v>
      </c>
      <c r="Y2367">
        <v>8.2410460000000005E-2</v>
      </c>
      <c r="Z2367">
        <v>1.7210109999999999E-3</v>
      </c>
      <c r="AA2367">
        <v>0.99659699999999996</v>
      </c>
      <c r="AB2367">
        <v>21</v>
      </c>
      <c r="AC2367">
        <v>-73.521699999999996</v>
      </c>
      <c r="AD2367">
        <v>-1.108752081604</v>
      </c>
      <c r="AE2367">
        <v>0.691599999999994</v>
      </c>
      <c r="AF2367">
        <v>6.0732074148920603</v>
      </c>
      <c r="AG2367">
        <v>-1.108752081604</v>
      </c>
      <c r="AH2367">
        <v>73.256924650175804</v>
      </c>
      <c r="AI2367">
        <v>90.864148029123598</v>
      </c>
      <c r="AJ2367">
        <v>85.260854282914394</v>
      </c>
      <c r="AK2367">
        <v>73.516598048905195</v>
      </c>
      <c r="AL2367">
        <v>88.692984813734498</v>
      </c>
      <c r="AM2367">
        <v>87.6833102626602</v>
      </c>
      <c r="AN2367">
        <v>1.00000000061509</v>
      </c>
    </row>
    <row r="2368" spans="1:40" x14ac:dyDescent="0.25">
      <c r="A2368" t="str">
        <f>"20190312153933982"</f>
        <v>20190312153933982</v>
      </c>
      <c r="B2368" t="str">
        <f>"1552376373978703"</f>
        <v>1552376373978703</v>
      </c>
      <c r="C2368" t="s">
        <v>40</v>
      </c>
      <c r="D2368">
        <v>4.013598</v>
      </c>
      <c r="E2368">
        <v>0.51602099999999995</v>
      </c>
      <c r="F2368" t="s">
        <v>62</v>
      </c>
      <c r="G2368">
        <v>-300.8596</v>
      </c>
      <c r="H2368" s="1">
        <v>3.8204249999999999E-6</v>
      </c>
      <c r="I2368">
        <v>284.5213</v>
      </c>
      <c r="J2368">
        <v>-226.3306</v>
      </c>
      <c r="K2368">
        <v>1.108776</v>
      </c>
      <c r="L2368">
        <v>283.875</v>
      </c>
      <c r="M2368">
        <v>-0.99733530000000004</v>
      </c>
      <c r="N2368">
        <v>0</v>
      </c>
      <c r="O2368">
        <v>-7.2852319999999998E-2</v>
      </c>
      <c r="P2368">
        <v>-0.99926760000000003</v>
      </c>
      <c r="Q2368">
        <v>1.9143799999999999E-2</v>
      </c>
      <c r="R2368">
        <v>-3.3138430000000003E-2</v>
      </c>
      <c r="S2368">
        <v>-3.003876</v>
      </c>
      <c r="T2368">
        <v>-4.4559960000000003E-2</v>
      </c>
      <c r="U2368">
        <v>2.5360110000000002E-2</v>
      </c>
      <c r="V2368">
        <v>3.9762760000000001E-2</v>
      </c>
      <c r="W2368">
        <v>2.3004710000000001E-2</v>
      </c>
      <c r="X2368">
        <v>0.99894430000000001</v>
      </c>
      <c r="Y2368">
        <v>8.1253049999999993E-2</v>
      </c>
      <c r="Z2368">
        <v>1.682612E-3</v>
      </c>
      <c r="AA2368">
        <v>0.99669209999999997</v>
      </c>
      <c r="AB2368">
        <v>22</v>
      </c>
      <c r="AC2368">
        <v>-74.528999999999996</v>
      </c>
      <c r="AD2368">
        <v>-1.1087721795749901</v>
      </c>
      <c r="AE2368">
        <v>0.64629999999999599</v>
      </c>
      <c r="AF2368">
        <v>6.0728894368744104</v>
      </c>
      <c r="AG2368">
        <v>-1.1087721795749901</v>
      </c>
      <c r="AH2368">
        <v>74.267433125593001</v>
      </c>
      <c r="AI2368">
        <v>90.852486252294398</v>
      </c>
      <c r="AJ2368">
        <v>85.325292659185195</v>
      </c>
      <c r="AK2368">
        <v>74.523559931897495</v>
      </c>
      <c r="AL2368">
        <v>88.681810928147399</v>
      </c>
      <c r="AM2368">
        <v>87.720557349337</v>
      </c>
      <c r="AN2368">
        <v>1.00000000413374</v>
      </c>
    </row>
    <row r="2369" spans="1:40" x14ac:dyDescent="0.25">
      <c r="A2369" t="str">
        <f>"20190312153933997"</f>
        <v>20190312153933997</v>
      </c>
      <c r="B2369" t="str">
        <f>"1552376373988464"</f>
        <v>1552376373988464</v>
      </c>
      <c r="C2369" t="s">
        <v>40</v>
      </c>
      <c r="D2369">
        <v>4.037128</v>
      </c>
      <c r="E2369">
        <v>0.51604680000000003</v>
      </c>
      <c r="F2369" t="s">
        <v>62</v>
      </c>
      <c r="G2369">
        <v>-301.58199999999999</v>
      </c>
      <c r="H2369" s="1">
        <v>3.6935779999999999E-6</v>
      </c>
      <c r="I2369">
        <v>284.50650000000002</v>
      </c>
      <c r="J2369">
        <v>-226.4813</v>
      </c>
      <c r="K2369">
        <v>1.108786</v>
      </c>
      <c r="L2369">
        <v>283.86430000000001</v>
      </c>
      <c r="M2369">
        <v>-0.99735459999999998</v>
      </c>
      <c r="N2369">
        <v>0</v>
      </c>
      <c r="O2369">
        <v>-7.2579439999999995E-2</v>
      </c>
      <c r="P2369">
        <v>-0.99927259999999996</v>
      </c>
      <c r="Q2369">
        <v>1.904513E-2</v>
      </c>
      <c r="R2369">
        <v>-3.3043059999999999E-2</v>
      </c>
      <c r="S2369">
        <v>-3.0039060000000002</v>
      </c>
      <c r="T2369">
        <v>-4.4260260000000003E-2</v>
      </c>
      <c r="U2369">
        <v>2.5207520000000001E-2</v>
      </c>
      <c r="V2369">
        <v>3.958511E-2</v>
      </c>
      <c r="W2369">
        <v>2.3055719999999998E-2</v>
      </c>
      <c r="X2369">
        <v>0.99895020000000001</v>
      </c>
      <c r="Y2369">
        <v>8.0929989999999993E-2</v>
      </c>
      <c r="Z2369">
        <v>1.66488799999999E-3</v>
      </c>
      <c r="AA2369">
        <v>0.9967184</v>
      </c>
      <c r="AB2369">
        <v>22</v>
      </c>
      <c r="AC2369">
        <v>-75.100699999999904</v>
      </c>
      <c r="AD2369">
        <v>-1.1087823064219999</v>
      </c>
      <c r="AE2369">
        <v>0.64220000000000199</v>
      </c>
      <c r="AF2369">
        <v>6.0899893239251099</v>
      </c>
      <c r="AG2369">
        <v>-1.1087823064219999</v>
      </c>
      <c r="AH2369">
        <v>74.839706029596599</v>
      </c>
      <c r="AI2369">
        <v>90.846003463056903</v>
      </c>
      <c r="AJ2369">
        <v>85.347876426738793</v>
      </c>
      <c r="AK2369">
        <v>75.095265941102994</v>
      </c>
      <c r="AL2369">
        <v>88.678887522130793</v>
      </c>
      <c r="AM2369">
        <v>87.730744043326794</v>
      </c>
      <c r="AN2369">
        <v>1.00000002461923</v>
      </c>
    </row>
    <row r="2370" spans="1:40" x14ac:dyDescent="0.25">
      <c r="A2370" t="str">
        <f>"20190312153934015"</f>
        <v>20190312153934015</v>
      </c>
      <c r="B2370" t="str">
        <f>"1552376374007984"</f>
        <v>1552376374007984</v>
      </c>
      <c r="C2370" t="s">
        <v>40</v>
      </c>
      <c r="D2370">
        <v>4.0587580000000001</v>
      </c>
      <c r="E2370">
        <v>0.51611509999999905</v>
      </c>
      <c r="F2370" t="s">
        <v>62</v>
      </c>
      <c r="G2370">
        <v>-301.2978</v>
      </c>
      <c r="H2370" s="1">
        <v>3.7440570000000002E-6</v>
      </c>
      <c r="I2370">
        <v>284.50580000000002</v>
      </c>
      <c r="J2370">
        <v>-226.666</v>
      </c>
      <c r="K2370">
        <v>1.108795</v>
      </c>
      <c r="L2370">
        <v>283.85120000000001</v>
      </c>
      <c r="M2370">
        <v>-0.99737819999999999</v>
      </c>
      <c r="N2370">
        <v>0</v>
      </c>
      <c r="O2370">
        <v>-7.2244379999999997E-2</v>
      </c>
      <c r="P2370">
        <v>-0.9992856</v>
      </c>
      <c r="Q2370">
        <v>1.860798E-2</v>
      </c>
      <c r="R2370">
        <v>-3.2899739999999997E-2</v>
      </c>
      <c r="S2370">
        <v>-3.003876</v>
      </c>
      <c r="T2370">
        <v>-4.4517519999999998E-2</v>
      </c>
      <c r="U2370">
        <v>2.575684E-2</v>
      </c>
      <c r="V2370">
        <v>3.9393320000000003E-2</v>
      </c>
      <c r="W2370">
        <v>2.2789239999999999E-2</v>
      </c>
      <c r="X2370">
        <v>0.99896390000000002</v>
      </c>
      <c r="Y2370">
        <v>8.0777370000000001E-2</v>
      </c>
      <c r="Z2370">
        <v>1.6684950000000001E-3</v>
      </c>
      <c r="AA2370">
        <v>0.99673069999999997</v>
      </c>
      <c r="AB2370">
        <v>22</v>
      </c>
      <c r="AC2370">
        <v>-74.631799999999998</v>
      </c>
      <c r="AD2370">
        <v>-1.108791255943</v>
      </c>
      <c r="AE2370">
        <v>0.65460000000001595</v>
      </c>
      <c r="AF2370">
        <v>6.0433308943822199</v>
      </c>
      <c r="AG2370">
        <v>-1.108791255943</v>
      </c>
      <c r="AH2370">
        <v>74.373074440893603</v>
      </c>
      <c r="AI2370">
        <v>90.851325581406002</v>
      </c>
      <c r="AJ2370">
        <v>85.354524676697693</v>
      </c>
      <c r="AK2370">
        <v>74.626439471134901</v>
      </c>
      <c r="AL2370">
        <v>88.6941597187855</v>
      </c>
      <c r="AM2370">
        <v>87.741758124220496</v>
      </c>
      <c r="AN2370">
        <v>1.0000000283118</v>
      </c>
    </row>
    <row r="2371" spans="1:40" x14ac:dyDescent="0.25">
      <c r="A2371" t="str">
        <f>"20190312153934039"</f>
        <v>20190312153934039</v>
      </c>
      <c r="B2371" t="str">
        <f>"1552376374028479"</f>
        <v>1552376374028479</v>
      </c>
      <c r="C2371" t="s">
        <v>40</v>
      </c>
      <c r="D2371">
        <v>4.0506129999999896</v>
      </c>
      <c r="E2371">
        <v>0.51599689999999998</v>
      </c>
      <c r="F2371" t="s">
        <v>62</v>
      </c>
      <c r="G2371">
        <v>-299.74919999999997</v>
      </c>
      <c r="H2371" s="1">
        <v>3.94506999999999E-6</v>
      </c>
      <c r="I2371">
        <v>284.50229999999999</v>
      </c>
      <c r="J2371">
        <v>-226.8827</v>
      </c>
      <c r="K2371">
        <v>1.108798</v>
      </c>
      <c r="L2371">
        <v>283.83600000000001</v>
      </c>
      <c r="M2371">
        <v>-0.99740569999999895</v>
      </c>
      <c r="N2371">
        <v>0</v>
      </c>
      <c r="O2371">
        <v>-7.1852009999999994E-2</v>
      </c>
      <c r="P2371">
        <v>-0.99930459999999999</v>
      </c>
      <c r="Q2371">
        <v>1.804884E-2</v>
      </c>
      <c r="R2371">
        <v>-3.2632729999999999E-2</v>
      </c>
      <c r="S2371">
        <v>-3.00386</v>
      </c>
      <c r="T2371">
        <v>-4.5573469999999998E-2</v>
      </c>
      <c r="U2371">
        <v>2.676392E-2</v>
      </c>
      <c r="V2371">
        <v>3.9267940000000001E-2</v>
      </c>
      <c r="W2371">
        <v>2.241454E-2</v>
      </c>
      <c r="X2371">
        <v>0.99897729999999996</v>
      </c>
      <c r="Y2371">
        <v>8.0718750000000006E-2</v>
      </c>
      <c r="Z2371">
        <v>1.701691E-3</v>
      </c>
      <c r="AA2371">
        <v>0.9967355</v>
      </c>
      <c r="AB2371">
        <v>22</v>
      </c>
      <c r="AC2371">
        <v>-72.866499999999903</v>
      </c>
      <c r="AD2371">
        <v>-1.1087940549299999</v>
      </c>
      <c r="AE2371">
        <v>0.66629999999997802</v>
      </c>
      <c r="AF2371">
        <v>5.8988666518947399</v>
      </c>
      <c r="AG2371">
        <v>-1.1087940549299999</v>
      </c>
      <c r="AH2371">
        <v>72.613470894439303</v>
      </c>
      <c r="AI2371">
        <v>90.871955792219694</v>
      </c>
      <c r="AJ2371">
        <v>85.355688095403494</v>
      </c>
      <c r="AK2371">
        <v>72.861115880630507</v>
      </c>
      <c r="AL2371">
        <v>88.715633914609796</v>
      </c>
      <c r="AM2371">
        <v>87.748968354006905</v>
      </c>
      <c r="AN2371">
        <v>1.0000000143152701</v>
      </c>
    </row>
    <row r="2372" spans="1:40" x14ac:dyDescent="0.25">
      <c r="A2372" t="str">
        <f>"20190312153934062"</f>
        <v>20190312153934062</v>
      </c>
      <c r="B2372" t="str">
        <f>"1552376374057759"</f>
        <v>1552376374057759</v>
      </c>
      <c r="C2372" t="s">
        <v>40</v>
      </c>
      <c r="D2372">
        <v>4.0747780000000002</v>
      </c>
      <c r="E2372">
        <v>0.51610339999999999</v>
      </c>
      <c r="F2372" t="s">
        <v>62</v>
      </c>
      <c r="G2372">
        <v>-296.37849999999997</v>
      </c>
      <c r="H2372" s="1">
        <v>3.351905E-6</v>
      </c>
      <c r="I2372">
        <v>284.44810000000001</v>
      </c>
      <c r="J2372">
        <v>-227.11529999999999</v>
      </c>
      <c r="K2372">
        <v>1.108808</v>
      </c>
      <c r="L2372">
        <v>283.81970000000001</v>
      </c>
      <c r="M2372">
        <v>-0.99743499999999996</v>
      </c>
      <c r="N2372">
        <v>0</v>
      </c>
      <c r="O2372">
        <v>-7.1431499999999995E-2</v>
      </c>
      <c r="P2372">
        <v>-0.99931630000000005</v>
      </c>
      <c r="Q2372">
        <v>1.8034890000000001E-2</v>
      </c>
      <c r="R2372">
        <v>-3.2272170000000003E-2</v>
      </c>
      <c r="S2372">
        <v>-3.0038149999999999</v>
      </c>
      <c r="T2372">
        <v>-4.7925349999999999E-2</v>
      </c>
      <c r="U2372">
        <v>2.6458740000000001E-2</v>
      </c>
      <c r="V2372">
        <v>3.9207310000000002E-2</v>
      </c>
      <c r="W2372">
        <v>2.2577099999999999E-2</v>
      </c>
      <c r="X2372">
        <v>0.99897599999999998</v>
      </c>
      <c r="Y2372">
        <v>8.0195719999999998E-2</v>
      </c>
      <c r="Z2372">
        <v>1.7786569999999999E-3</v>
      </c>
      <c r="AA2372">
        <v>0.99677749999999998</v>
      </c>
      <c r="AB2372">
        <v>22</v>
      </c>
      <c r="AC2372">
        <v>-69.263199999999898</v>
      </c>
      <c r="AD2372">
        <v>-1.108804648095</v>
      </c>
      <c r="AE2372">
        <v>0.62839999999999896</v>
      </c>
      <c r="AF2372">
        <v>5.5729927524615697</v>
      </c>
      <c r="AG2372">
        <v>-1.108804648095</v>
      </c>
      <c r="AH2372">
        <v>69.023688411388903</v>
      </c>
      <c r="AI2372">
        <v>90.917342275627604</v>
      </c>
      <c r="AJ2372">
        <v>85.3839353580356</v>
      </c>
      <c r="AK2372">
        <v>69.257181994931997</v>
      </c>
      <c r="AL2372">
        <v>88.706317528371699</v>
      </c>
      <c r="AM2372">
        <v>87.752437475153798</v>
      </c>
      <c r="AN2372">
        <v>0.999999993588923</v>
      </c>
    </row>
    <row r="2373" spans="1:40" x14ac:dyDescent="0.25">
      <c r="A2373" t="str">
        <f>"20190312153934218"</f>
        <v>20190312153934218</v>
      </c>
      <c r="B2373" t="str">
        <f>"1552376374208064"</f>
        <v>1552376374208064</v>
      </c>
      <c r="C2373" t="s">
        <v>40</v>
      </c>
      <c r="D2373">
        <v>2.7709670000000002</v>
      </c>
      <c r="E2373">
        <v>0.52683679999999999</v>
      </c>
      <c r="F2373" t="s">
        <v>62</v>
      </c>
      <c r="G2373">
        <v>-297.74209999999999</v>
      </c>
      <c r="H2373" s="1">
        <v>3.5899300000000001E-6</v>
      </c>
      <c r="I2373">
        <v>284.49200000000002</v>
      </c>
      <c r="J2373">
        <v>-228.6927</v>
      </c>
      <c r="K2373">
        <v>1.108865</v>
      </c>
      <c r="L2373">
        <v>283.71190000000001</v>
      </c>
      <c r="M2373">
        <v>-0.99763109999999999</v>
      </c>
      <c r="N2373">
        <v>0</v>
      </c>
      <c r="O2373">
        <v>-6.8584129999999993E-2</v>
      </c>
      <c r="P2373">
        <v>-0.99938700000000003</v>
      </c>
      <c r="Q2373">
        <v>1.9013229999999999E-2</v>
      </c>
      <c r="R2373">
        <v>-2.9401879999999998E-2</v>
      </c>
      <c r="S2373">
        <v>-3.0037989999999999</v>
      </c>
      <c r="T2373">
        <v>-4.7158119999999998E-2</v>
      </c>
      <c r="U2373">
        <v>2.8594970000000001E-2</v>
      </c>
      <c r="V2373">
        <v>3.9226270000000001E-2</v>
      </c>
      <c r="W2373">
        <v>2.4333759999999999E-2</v>
      </c>
      <c r="X2373">
        <v>0.99893399999999999</v>
      </c>
      <c r="Y2373">
        <v>7.8060690000000002E-2</v>
      </c>
      <c r="Z2373">
        <v>1.688819E-3</v>
      </c>
      <c r="AA2373">
        <v>0.99694720000000003</v>
      </c>
      <c r="AB2373">
        <v>23</v>
      </c>
      <c r="AC2373">
        <v>-69.049399999999906</v>
      </c>
      <c r="AD2373">
        <v>-1.1088614100700001</v>
      </c>
      <c r="AE2373">
        <v>0.78010000000000401</v>
      </c>
      <c r="AF2373">
        <v>5.5126018975897804</v>
      </c>
      <c r="AG2373">
        <v>-1.1088614100700001</v>
      </c>
      <c r="AH2373">
        <v>68.815559434415604</v>
      </c>
      <c r="AI2373">
        <v>90.920209910457004</v>
      </c>
      <c r="AJ2373">
        <v>85.419992194852696</v>
      </c>
      <c r="AK2373">
        <v>69.044909831063094</v>
      </c>
      <c r="AL2373">
        <v>88.605640599810599</v>
      </c>
      <c r="AM2373">
        <v>87.751257259970103</v>
      </c>
      <c r="AN2373">
        <v>0.99999998424492498</v>
      </c>
    </row>
    <row r="2374" spans="1:40" x14ac:dyDescent="0.25">
      <c r="A2374" t="str">
        <f>"20190312153934231"</f>
        <v>20190312153934231</v>
      </c>
      <c r="B2374" t="str">
        <f>"1552376374228560"</f>
        <v>1552376374228560</v>
      </c>
      <c r="C2374" t="s">
        <v>40</v>
      </c>
      <c r="D2374">
        <v>3.5160909999999999</v>
      </c>
      <c r="E2374">
        <v>0.52166140000000005</v>
      </c>
      <c r="F2374" t="s">
        <v>41</v>
      </c>
      <c r="G2374">
        <v>-229.5515</v>
      </c>
      <c r="H2374">
        <v>0.91184889999999996</v>
      </c>
      <c r="I2374">
        <v>283.74149999999997</v>
      </c>
      <c r="J2374">
        <v>-228.82079999999999</v>
      </c>
      <c r="K2374">
        <v>1.1088659999999999</v>
      </c>
      <c r="L2374">
        <v>283.70330000000001</v>
      </c>
      <c r="M2374">
        <v>-0.9976467</v>
      </c>
      <c r="N2374">
        <v>0</v>
      </c>
      <c r="O2374">
        <v>-6.8353170000000005E-2</v>
      </c>
      <c r="P2374">
        <v>-0.99939889999999998</v>
      </c>
      <c r="Q2374">
        <v>1.8972079999999999E-2</v>
      </c>
      <c r="R2374">
        <v>-2.9020399999999998E-2</v>
      </c>
      <c r="S2374">
        <v>-3.0180509999999998</v>
      </c>
      <c r="T2374">
        <v>-0.69237199999999999</v>
      </c>
      <c r="U2374">
        <v>0.103302</v>
      </c>
      <c r="V2374">
        <v>3.9376420000000002E-2</v>
      </c>
      <c r="W2374">
        <v>2.4324709999999999E-2</v>
      </c>
      <c r="X2374">
        <v>0.99892829999999999</v>
      </c>
      <c r="Y2374">
        <v>9.8122109999999998E-2</v>
      </c>
      <c r="Z2374">
        <v>2.657868E-2</v>
      </c>
      <c r="AA2374">
        <v>0.99481940000000002</v>
      </c>
      <c r="AB2374">
        <v>23</v>
      </c>
      <c r="AC2374">
        <v>-0.73070000000001301</v>
      </c>
      <c r="AD2374">
        <v>-0.197017099999999</v>
      </c>
      <c r="AE2374">
        <v>3.8199999999960703E-2</v>
      </c>
      <c r="AF2374">
        <v>8.2104383901885E-2</v>
      </c>
      <c r="AG2374">
        <v>-0.197017099999999</v>
      </c>
      <c r="AH2374">
        <v>0.67727658722535999</v>
      </c>
      <c r="AI2374">
        <v>106.10775692031601</v>
      </c>
      <c r="AJ2374">
        <v>83.087918139182094</v>
      </c>
      <c r="AK2374">
        <v>0.71011297914624005</v>
      </c>
      <c r="AL2374">
        <v>88.606159262042794</v>
      </c>
      <c r="AM2374">
        <v>87.742645560903497</v>
      </c>
      <c r="AN2374">
        <v>0.99999997125474405</v>
      </c>
    </row>
    <row r="2375" spans="1:40" x14ac:dyDescent="0.25">
      <c r="A2375" t="str">
        <f>"20190312153934251"</f>
        <v>20190312153934251</v>
      </c>
      <c r="B2375" t="str">
        <f>"1552376374248080"</f>
        <v>1552376374248080</v>
      </c>
      <c r="C2375" t="s">
        <v>40</v>
      </c>
      <c r="D2375">
        <v>4.0050720000000002</v>
      </c>
      <c r="E2375">
        <v>0.52048530000000004</v>
      </c>
      <c r="F2375" t="s">
        <v>41</v>
      </c>
      <c r="G2375">
        <v>-229.55600000000001</v>
      </c>
      <c r="H2375">
        <v>0.9258343</v>
      </c>
      <c r="I2375">
        <v>283.71839999999997</v>
      </c>
      <c r="J2375">
        <v>-229.01599999999999</v>
      </c>
      <c r="K2375">
        <v>1.108868</v>
      </c>
      <c r="L2375">
        <v>283.69040000000001</v>
      </c>
      <c r="M2375">
        <v>-0.99767050000000002</v>
      </c>
      <c r="N2375">
        <v>0</v>
      </c>
      <c r="O2375">
        <v>-6.8001220000000001E-2</v>
      </c>
      <c r="P2375">
        <v>-0.99940530000000005</v>
      </c>
      <c r="Q2375">
        <v>1.9173539999999999E-2</v>
      </c>
      <c r="R2375">
        <v>-2.8662420000000001E-2</v>
      </c>
      <c r="S2375">
        <v>-3.0178379999999998</v>
      </c>
      <c r="T2375">
        <v>-0.75139369999999905</v>
      </c>
      <c r="U2375">
        <v>6.1065670000000002E-2</v>
      </c>
      <c r="V2375">
        <v>3.9381859999999998E-2</v>
      </c>
      <c r="W2375">
        <v>2.456353E-2</v>
      </c>
      <c r="X2375">
        <v>0.99892230000000004</v>
      </c>
      <c r="Y2375">
        <v>8.3548049999999999E-2</v>
      </c>
      <c r="Z2375">
        <v>2.691197E-2</v>
      </c>
      <c r="AA2375">
        <v>0.99614029999999998</v>
      </c>
      <c r="AB2375">
        <v>23</v>
      </c>
      <c r="AC2375">
        <v>-0.53999999999999204</v>
      </c>
      <c r="AD2375">
        <v>-0.18303369999999899</v>
      </c>
      <c r="AE2375">
        <v>2.79999999999631E-2</v>
      </c>
      <c r="AF2375">
        <v>5.8009643218088901E-2</v>
      </c>
      <c r="AG2375">
        <v>-0.18303369999999899</v>
      </c>
      <c r="AH2375">
        <v>0.48165763612359103</v>
      </c>
      <c r="AI2375">
        <v>110.670561628104</v>
      </c>
      <c r="AJ2375">
        <v>83.132516608020296</v>
      </c>
      <c r="AK2375">
        <v>0.518517629862423</v>
      </c>
      <c r="AL2375">
        <v>88.592471875946302</v>
      </c>
      <c r="AM2375">
        <v>87.742320475035996</v>
      </c>
      <c r="AN2375">
        <v>1.0000000296702001</v>
      </c>
    </row>
    <row r="2376" spans="1:40" x14ac:dyDescent="0.25">
      <c r="A2376" t="str">
        <f>"20190312153934265"</f>
        <v>20190312153934265</v>
      </c>
      <c r="B2376" t="str">
        <f>"1552376374257840"</f>
        <v>1552376374257840</v>
      </c>
      <c r="C2376" t="s">
        <v>40</v>
      </c>
      <c r="D2376">
        <v>4.2884630000000001</v>
      </c>
      <c r="E2376">
        <v>0.52035370000000003</v>
      </c>
      <c r="F2376" t="s">
        <v>41</v>
      </c>
      <c r="G2376">
        <v>-229.7696</v>
      </c>
      <c r="H2376">
        <v>0.94165779999999999</v>
      </c>
      <c r="I2376">
        <v>283.70420000000001</v>
      </c>
      <c r="J2376">
        <v>-229.16309999999999</v>
      </c>
      <c r="K2376">
        <v>1.108865</v>
      </c>
      <c r="L2376">
        <v>283.68060000000003</v>
      </c>
      <c r="M2376">
        <v>-0.99768849999999998</v>
      </c>
      <c r="N2376">
        <v>0</v>
      </c>
      <c r="O2376">
        <v>-6.7736009999999999E-2</v>
      </c>
      <c r="P2376">
        <v>-0.99940280000000004</v>
      </c>
      <c r="Q2376">
        <v>1.9271659999999999E-2</v>
      </c>
      <c r="R2376">
        <v>-2.86853E-2</v>
      </c>
      <c r="S2376">
        <v>-3.0162049999999998</v>
      </c>
      <c r="T2376">
        <v>-0.66917009999999999</v>
      </c>
      <c r="U2376">
        <v>5.4901119999999998E-2</v>
      </c>
      <c r="V2376">
        <v>3.9093429999999998E-2</v>
      </c>
      <c r="W2376">
        <v>2.4677930000000001E-2</v>
      </c>
      <c r="X2376">
        <v>0.99893080000000001</v>
      </c>
      <c r="Y2376">
        <v>8.223838E-2</v>
      </c>
      <c r="Z2376">
        <v>2.3852290000000002E-2</v>
      </c>
      <c r="AA2376">
        <v>0.99632719999999997</v>
      </c>
      <c r="AB2376">
        <v>23</v>
      </c>
      <c r="AC2376">
        <v>-0.60650000000001103</v>
      </c>
      <c r="AD2376">
        <v>-0.167207199999999</v>
      </c>
      <c r="AE2376">
        <v>2.35999999999876E-2</v>
      </c>
      <c r="AF2376">
        <v>6.0069543563801599E-2</v>
      </c>
      <c r="AG2376">
        <v>-0.167207199999999</v>
      </c>
      <c r="AH2376">
        <v>0.56093815063498897</v>
      </c>
      <c r="AI2376">
        <v>106.509312113513</v>
      </c>
      <c r="AJ2376">
        <v>83.887624171895496</v>
      </c>
      <c r="AK2376">
        <v>0.58840309876274899</v>
      </c>
      <c r="AL2376">
        <v>88.585915237512694</v>
      </c>
      <c r="AM2376">
        <v>87.758857690364806</v>
      </c>
      <c r="AN2376">
        <v>1.00000001984344</v>
      </c>
    </row>
    <row r="2377" spans="1:40" x14ac:dyDescent="0.25">
      <c r="A2377" t="str">
        <f>"20190312153934285"</f>
        <v>20190312153934285</v>
      </c>
      <c r="B2377" t="str">
        <f>"1552376374278336"</f>
        <v>1552376374278336</v>
      </c>
      <c r="C2377" t="s">
        <v>40</v>
      </c>
      <c r="D2377">
        <v>4.01396</v>
      </c>
      <c r="E2377">
        <v>0.50698729999999903</v>
      </c>
      <c r="F2377" t="s">
        <v>41</v>
      </c>
      <c r="G2377">
        <v>-229.9778</v>
      </c>
      <c r="H2377">
        <v>0.94331189999999998</v>
      </c>
      <c r="I2377">
        <v>283.69589999999999</v>
      </c>
      <c r="J2377">
        <v>-229.36879999999999</v>
      </c>
      <c r="K2377">
        <v>1.1088639999999901</v>
      </c>
      <c r="L2377">
        <v>283.6671</v>
      </c>
      <c r="M2377">
        <v>-0.99771370000000004</v>
      </c>
      <c r="N2377">
        <v>0</v>
      </c>
      <c r="O2377">
        <v>-6.7364899999999894E-2</v>
      </c>
      <c r="P2377">
        <v>-0.99939109999999998</v>
      </c>
      <c r="Q2377">
        <v>1.9558929999999999E-2</v>
      </c>
      <c r="R2377">
        <v>-2.8897260000000001E-2</v>
      </c>
      <c r="S2377">
        <v>-3.0151979999999998</v>
      </c>
      <c r="T2377">
        <v>-0.61276949999999997</v>
      </c>
      <c r="U2377">
        <v>5.57251E-2</v>
      </c>
      <c r="V2377">
        <v>3.8509960000000003E-2</v>
      </c>
      <c r="W2377">
        <v>2.4969189999999999E-2</v>
      </c>
      <c r="X2377">
        <v>0.99894620000000001</v>
      </c>
      <c r="Y2377">
        <v>8.2724220000000001E-2</v>
      </c>
      <c r="Z2377">
        <v>2.18654E-2</v>
      </c>
      <c r="AA2377">
        <v>0.99633260000000001</v>
      </c>
      <c r="AB2377">
        <v>23</v>
      </c>
      <c r="AC2377">
        <v>-0.60900000000000798</v>
      </c>
      <c r="AD2377">
        <v>-0.16555209999999901</v>
      </c>
      <c r="AE2377">
        <v>2.8799999999989698E-2</v>
      </c>
      <c r="AF2377">
        <v>6.49699432791295E-2</v>
      </c>
      <c r="AG2377">
        <v>-0.16555209999999901</v>
      </c>
      <c r="AH2377">
        <v>0.56408451591118103</v>
      </c>
      <c r="AI2377">
        <v>106.25460266542299</v>
      </c>
      <c r="AJ2377">
        <v>83.429756624769993</v>
      </c>
      <c r="AK2377">
        <v>0.59145577386213299</v>
      </c>
      <c r="AL2377">
        <v>88.569222088016701</v>
      </c>
      <c r="AM2377">
        <v>87.792307423548706</v>
      </c>
      <c r="AN2377">
        <v>0.99999999398144801</v>
      </c>
    </row>
    <row r="2378" spans="1:40" x14ac:dyDescent="0.25">
      <c r="A2378" t="str">
        <f>"20190312153934306"</f>
        <v>20190312153934306</v>
      </c>
      <c r="B2378" t="str">
        <f>"1552376374297856"</f>
        <v>1552376374297856</v>
      </c>
      <c r="C2378" t="s">
        <v>40</v>
      </c>
      <c r="D2378">
        <v>3.873497</v>
      </c>
      <c r="E2378">
        <v>0.50988929999999999</v>
      </c>
      <c r="F2378" t="s">
        <v>61</v>
      </c>
      <c r="G2378">
        <v>-258.15039999999999</v>
      </c>
      <c r="H2378" s="1">
        <v>2.800448E-6</v>
      </c>
      <c r="I2378">
        <v>283.31869999999998</v>
      </c>
      <c r="J2378">
        <v>-229.5976</v>
      </c>
      <c r="K2378">
        <v>1.1088549999999999</v>
      </c>
      <c r="L2378">
        <v>283.65199999999999</v>
      </c>
      <c r="M2378">
        <v>-0.99774149999999995</v>
      </c>
      <c r="N2378">
        <v>0</v>
      </c>
      <c r="O2378">
        <v>-6.6952139999999993E-2</v>
      </c>
      <c r="P2378">
        <v>-0.99936519999999995</v>
      </c>
      <c r="Q2378">
        <v>2.0055070000000001E-2</v>
      </c>
      <c r="R2378">
        <v>-2.9448080000000001E-2</v>
      </c>
      <c r="S2378">
        <v>-3.0030519999999998</v>
      </c>
      <c r="T2378">
        <v>-0.1156976</v>
      </c>
      <c r="U2378">
        <v>-3.6346440000000001E-2</v>
      </c>
      <c r="V2378">
        <v>3.7545719999999998E-2</v>
      </c>
      <c r="W2378">
        <v>2.5442070000000001E-2</v>
      </c>
      <c r="X2378">
        <v>0.99897100000000005</v>
      </c>
      <c r="Y2378">
        <v>5.4782869999999997E-2</v>
      </c>
      <c r="Z2378">
        <v>3.6315929999999998E-3</v>
      </c>
      <c r="AA2378">
        <v>0.99849169999999998</v>
      </c>
      <c r="AB2378">
        <v>23</v>
      </c>
      <c r="AC2378">
        <v>-28.552799999999898</v>
      </c>
      <c r="AD2378">
        <v>-1.108852199552</v>
      </c>
      <c r="AE2378">
        <v>-0.33330000000000798</v>
      </c>
      <c r="AF2378">
        <v>1.5767692536949101</v>
      </c>
      <c r="AG2378">
        <v>-1.108852199552</v>
      </c>
      <c r="AH2378">
        <v>28.468117609878998</v>
      </c>
      <c r="AI2378">
        <v>92.227171168584704</v>
      </c>
      <c r="AJ2378">
        <v>86.829786492737199</v>
      </c>
      <c r="AK2378">
        <v>28.533304658412</v>
      </c>
      <c r="AL2378">
        <v>88.542119485647603</v>
      </c>
      <c r="AM2378">
        <v>87.847585937662501</v>
      </c>
      <c r="AN2378">
        <v>1.0000000194286001</v>
      </c>
    </row>
    <row r="2379" spans="1:40" x14ac:dyDescent="0.25">
      <c r="A2379" t="str">
        <f>"20190312153934319"</f>
        <v>20190312153934319</v>
      </c>
      <c r="B2379" t="str">
        <f>"1552376374308591"</f>
        <v>1552376374308591</v>
      </c>
      <c r="C2379" t="s">
        <v>40</v>
      </c>
      <c r="D2379">
        <v>3.949576</v>
      </c>
      <c r="E2379">
        <v>0.51095679999999999</v>
      </c>
      <c r="F2379" t="s">
        <v>62</v>
      </c>
      <c r="G2379">
        <v>-308.30250000000001</v>
      </c>
      <c r="H2379" s="1">
        <v>2.6052059999999998E-6</v>
      </c>
      <c r="I2379">
        <v>283.32</v>
      </c>
      <c r="J2379">
        <v>-229.73410000000001</v>
      </c>
      <c r="K2379">
        <v>1.1088469999999999</v>
      </c>
      <c r="L2379">
        <v>283.64319999999998</v>
      </c>
      <c r="M2379">
        <v>-0.99775820000000004</v>
      </c>
      <c r="N2379">
        <v>0</v>
      </c>
      <c r="O2379">
        <v>-6.6706150000000006E-2</v>
      </c>
      <c r="P2379">
        <v>-0.9993573</v>
      </c>
      <c r="Q2379">
        <v>2.008772E-2</v>
      </c>
      <c r="R2379">
        <v>-2.9692260000000002E-2</v>
      </c>
      <c r="S2379">
        <v>-3.00238</v>
      </c>
      <c r="T2379">
        <v>-4.2299749999999997E-2</v>
      </c>
      <c r="U2379">
        <v>-1.266479E-2</v>
      </c>
      <c r="V2379">
        <v>3.7055270000000001E-2</v>
      </c>
      <c r="W2379">
        <v>2.5449690000000001E-2</v>
      </c>
      <c r="X2379">
        <v>0.99898909999999996</v>
      </c>
      <c r="Y2379">
        <v>6.2484890000000001E-2</v>
      </c>
      <c r="Z2379">
        <v>1.379354E-3</v>
      </c>
      <c r="AA2379">
        <v>0.99804499999999996</v>
      </c>
      <c r="AB2379">
        <v>23</v>
      </c>
      <c r="AC2379">
        <v>-78.568399999999997</v>
      </c>
      <c r="AD2379">
        <v>-1.1088443947940001</v>
      </c>
      <c r="AE2379">
        <v>-0.323199999999985</v>
      </c>
      <c r="AF2379">
        <v>4.9176115382191599</v>
      </c>
      <c r="AG2379">
        <v>-1.1088443947940001</v>
      </c>
      <c r="AH2379">
        <v>78.399341172386499</v>
      </c>
      <c r="AI2379">
        <v>90.808722086810505</v>
      </c>
      <c r="AJ2379">
        <v>86.410815052554398</v>
      </c>
      <c r="AK2379">
        <v>78.561244487322995</v>
      </c>
      <c r="AL2379">
        <v>88.541682723283998</v>
      </c>
      <c r="AM2379">
        <v>87.875714887865897</v>
      </c>
      <c r="AN2379">
        <v>1.00000000083733</v>
      </c>
    </row>
    <row r="2380" spans="1:40" x14ac:dyDescent="0.25">
      <c r="A2380" t="str">
        <f>"20190312153934332"</f>
        <v>20190312153934332</v>
      </c>
      <c r="B2380" t="str">
        <f>"1552376374328112"</f>
        <v>1552376374328112</v>
      </c>
      <c r="C2380" t="s">
        <v>40</v>
      </c>
      <c r="D2380">
        <v>3.9051469999999999</v>
      </c>
      <c r="E2380">
        <v>0.51094189999999995</v>
      </c>
      <c r="F2380" t="s">
        <v>62</v>
      </c>
      <c r="G2380">
        <v>-317.24790000000002</v>
      </c>
      <c r="H2380" s="1">
        <v>5.5283470000000003E-6</v>
      </c>
      <c r="I2380">
        <v>283.50439999999998</v>
      </c>
      <c r="J2380">
        <v>-229.87299999999999</v>
      </c>
      <c r="K2380">
        <v>1.1088370000000001</v>
      </c>
      <c r="L2380">
        <v>283.63420000000002</v>
      </c>
      <c r="M2380">
        <v>-0.99777510000000003</v>
      </c>
      <c r="N2380">
        <v>0</v>
      </c>
      <c r="O2380">
        <v>-6.6455600000000004E-2</v>
      </c>
      <c r="P2380">
        <v>-0.99935569999999896</v>
      </c>
      <c r="Q2380">
        <v>1.992346E-2</v>
      </c>
      <c r="R2380">
        <v>-2.9863979999999998E-2</v>
      </c>
      <c r="S2380">
        <v>-3.0025330000000001</v>
      </c>
      <c r="T2380">
        <v>-3.8043500000000001E-2</v>
      </c>
      <c r="U2380">
        <v>-4.7607420000000001E-3</v>
      </c>
      <c r="V2380">
        <v>3.6633029999999997E-2</v>
      </c>
      <c r="W2380">
        <v>2.5246149999999998E-2</v>
      </c>
      <c r="X2380">
        <v>0.99900979999999995</v>
      </c>
      <c r="Y2380">
        <v>6.4863870000000004E-2</v>
      </c>
      <c r="Z2380">
        <v>1.2524350000000001E-3</v>
      </c>
      <c r="AA2380">
        <v>0.99789329999999998</v>
      </c>
      <c r="AB2380">
        <v>23</v>
      </c>
      <c r="AC2380">
        <v>-87.374899999999997</v>
      </c>
      <c r="AD2380">
        <v>-1.1088314716529999</v>
      </c>
      <c r="AE2380">
        <v>-0.12980000000004499</v>
      </c>
      <c r="AF2380">
        <v>5.6762069599193099</v>
      </c>
      <c r="AG2380">
        <v>-1.1088314716529999</v>
      </c>
      <c r="AH2380">
        <v>87.176328507436907</v>
      </c>
      <c r="AI2380">
        <v>90.727189538149702</v>
      </c>
      <c r="AJ2380">
        <v>86.274627817400898</v>
      </c>
      <c r="AK2380">
        <v>87.367963720810806</v>
      </c>
      <c r="AL2380">
        <v>88.553348400890798</v>
      </c>
      <c r="AM2380">
        <v>87.899942518424297</v>
      </c>
      <c r="AN2380">
        <v>0.99999996373642097</v>
      </c>
    </row>
    <row r="2381" spans="1:40" x14ac:dyDescent="0.25">
      <c r="A2381" t="str">
        <f>"20190312153934350"</f>
        <v>20190312153934350</v>
      </c>
      <c r="B2381" t="str">
        <f>"1552376374337875"</f>
        <v>1552376374337875</v>
      </c>
      <c r="C2381" t="s">
        <v>40</v>
      </c>
      <c r="D2381">
        <v>3.905313</v>
      </c>
      <c r="E2381">
        <v>0.51072839999999997</v>
      </c>
      <c r="F2381" t="s">
        <v>62</v>
      </c>
      <c r="G2381">
        <v>-307.0172</v>
      </c>
      <c r="H2381" s="1">
        <v>2.8178680000000001E-6</v>
      </c>
      <c r="I2381">
        <v>283.49540000000002</v>
      </c>
      <c r="J2381">
        <v>-230.06139999999999</v>
      </c>
      <c r="K2381">
        <v>1.1088169999999999</v>
      </c>
      <c r="L2381">
        <v>283.62200000000001</v>
      </c>
      <c r="M2381">
        <v>-0.99779799999999996</v>
      </c>
      <c r="N2381">
        <v>0</v>
      </c>
      <c r="O2381">
        <v>-6.6115930000000003E-2</v>
      </c>
      <c r="P2381">
        <v>-0.999359</v>
      </c>
      <c r="Q2381">
        <v>1.9922800000000001E-2</v>
      </c>
      <c r="R2381">
        <v>-2.9746809999999999E-2</v>
      </c>
      <c r="S2381">
        <v>-3.0026250000000001</v>
      </c>
      <c r="T2381">
        <v>-4.3158290000000002E-2</v>
      </c>
      <c r="U2381">
        <v>-5.4016109999999997E-3</v>
      </c>
      <c r="V2381">
        <v>3.6410039999999998E-2</v>
      </c>
      <c r="W2381">
        <v>2.5173210000000001E-2</v>
      </c>
      <c r="X2381">
        <v>0.99901980000000001</v>
      </c>
      <c r="Y2381">
        <v>6.4308260000000006E-2</v>
      </c>
      <c r="Z2381">
        <v>1.411891E-3</v>
      </c>
      <c r="AA2381">
        <v>0.99792910000000001</v>
      </c>
      <c r="AB2381">
        <v>23</v>
      </c>
      <c r="AC2381">
        <v>-76.955799999999996</v>
      </c>
      <c r="AD2381">
        <v>-1.1088141821319999</v>
      </c>
      <c r="AE2381">
        <v>-0.12659999999999599</v>
      </c>
      <c r="AF2381">
        <v>4.9607222538589699</v>
      </c>
      <c r="AG2381">
        <v>-1.1088141821319999</v>
      </c>
      <c r="AH2381">
        <v>76.779842690979194</v>
      </c>
      <c r="AI2381">
        <v>90.825656772608895</v>
      </c>
      <c r="AJ2381">
        <v>86.303275305750702</v>
      </c>
      <c r="AK2381">
        <v>76.9479205555416</v>
      </c>
      <c r="AL2381">
        <v>88.557528894519905</v>
      </c>
      <c r="AM2381">
        <v>87.912735373474106</v>
      </c>
      <c r="AN2381">
        <v>0.99999997115327199</v>
      </c>
    </row>
    <row r="2382" spans="1:40" x14ac:dyDescent="0.25">
      <c r="A2382" t="str">
        <f>"20190312153934365"</f>
        <v>20190312153934365</v>
      </c>
      <c r="B2382" t="str">
        <f>"1552376374358369"</f>
        <v>1552376374358369</v>
      </c>
      <c r="C2382" t="s">
        <v>40</v>
      </c>
      <c r="D2382">
        <v>3.9307569999999998</v>
      </c>
      <c r="E2382">
        <v>0.51059179999999904</v>
      </c>
      <c r="F2382" t="s">
        <v>62</v>
      </c>
      <c r="G2382">
        <v>-303.70850000000002</v>
      </c>
      <c r="H2382" s="1">
        <v>3.4088120000000002E-6</v>
      </c>
      <c r="I2382">
        <v>283.44909999999999</v>
      </c>
      <c r="J2382">
        <v>-230.21039999999999</v>
      </c>
      <c r="K2382">
        <v>1.1088</v>
      </c>
      <c r="L2382">
        <v>283.61239999999998</v>
      </c>
      <c r="M2382">
        <v>-0.99781629999999999</v>
      </c>
      <c r="N2382">
        <v>0</v>
      </c>
      <c r="O2382">
        <v>-6.5847429999999998E-2</v>
      </c>
      <c r="P2382">
        <v>-0.99936440000000004</v>
      </c>
      <c r="Q2382">
        <v>1.9961380000000001E-2</v>
      </c>
      <c r="R2382">
        <v>-2.953801E-2</v>
      </c>
      <c r="S2382">
        <v>-3.0026090000000001</v>
      </c>
      <c r="T2382">
        <v>-4.5206549999999998E-2</v>
      </c>
      <c r="U2382">
        <v>-7.0495610000000002E-3</v>
      </c>
      <c r="V2382">
        <v>3.6349770000000003E-2</v>
      </c>
      <c r="W2382">
        <v>2.5136510000000001E-2</v>
      </c>
      <c r="X2382">
        <v>0.99902299999999999</v>
      </c>
      <c r="Y2382">
        <v>6.3490779999999997E-2</v>
      </c>
      <c r="Z2382">
        <v>1.4687039999999999E-3</v>
      </c>
      <c r="AA2382">
        <v>0.99798140000000002</v>
      </c>
      <c r="AB2382">
        <v>24</v>
      </c>
      <c r="AC2382">
        <v>-73.498099999999994</v>
      </c>
      <c r="AD2382">
        <v>-1.108796591188</v>
      </c>
      <c r="AE2382">
        <v>-0.16329999999999201</v>
      </c>
      <c r="AF2382">
        <v>4.6757160024620701</v>
      </c>
      <c r="AG2382">
        <v>-1.108796591188</v>
      </c>
      <c r="AH2382">
        <v>73.332646411805797</v>
      </c>
      <c r="AI2382">
        <v>90.864496423253897</v>
      </c>
      <c r="AJ2382">
        <v>86.351738931034802</v>
      </c>
      <c r="AK2382">
        <v>73.489922981149306</v>
      </c>
      <c r="AL2382">
        <v>88.559632432074494</v>
      </c>
      <c r="AM2382">
        <v>87.916194069386506</v>
      </c>
      <c r="AN2382">
        <v>1.00000005222151</v>
      </c>
    </row>
    <row r="2383" spans="1:40" x14ac:dyDescent="0.25">
      <c r="A2383" t="str">
        <f>"20190312153934375"</f>
        <v>20190312153934375</v>
      </c>
      <c r="B2383" t="str">
        <f>"1552376374368128"</f>
        <v>1552376374368128</v>
      </c>
      <c r="C2383" t="s">
        <v>40</v>
      </c>
      <c r="D2383">
        <v>3.9303650000000001</v>
      </c>
      <c r="E2383">
        <v>0.51105149999999999</v>
      </c>
      <c r="F2383" t="s">
        <v>62</v>
      </c>
      <c r="G2383">
        <v>-300.6712</v>
      </c>
      <c r="H2383" s="1">
        <v>3.9487739999999999E-6</v>
      </c>
      <c r="I2383">
        <v>283.43549999999999</v>
      </c>
      <c r="J2383">
        <v>-230.33949999999999</v>
      </c>
      <c r="K2383">
        <v>1.1087800000000001</v>
      </c>
      <c r="L2383">
        <v>283.60410000000002</v>
      </c>
      <c r="M2383">
        <v>-0.99783189999999999</v>
      </c>
      <c r="N2383">
        <v>0</v>
      </c>
      <c r="O2383">
        <v>-6.5614690000000003E-2</v>
      </c>
      <c r="P2383">
        <v>-0.99936539999999996</v>
      </c>
      <c r="Q2383">
        <v>2.036907E-2</v>
      </c>
      <c r="R2383">
        <v>-2.9223809999999999E-2</v>
      </c>
      <c r="S2383">
        <v>-3.0026090000000001</v>
      </c>
      <c r="T2383">
        <v>-4.7250149999999998E-2</v>
      </c>
      <c r="U2383">
        <v>-7.5378419999999899E-3</v>
      </c>
      <c r="V2383">
        <v>3.6430730000000001E-2</v>
      </c>
      <c r="W2383">
        <v>2.5469240000000001E-2</v>
      </c>
      <c r="X2383">
        <v>0.9990116</v>
      </c>
      <c r="Y2383">
        <v>6.3094410000000004E-2</v>
      </c>
      <c r="Z2383">
        <v>1.5283129999999999E-3</v>
      </c>
      <c r="AA2383">
        <v>0.99800639999999996</v>
      </c>
      <c r="AB2383">
        <v>24</v>
      </c>
      <c r="AC2383">
        <v>-70.331699999999998</v>
      </c>
      <c r="AD2383">
        <v>-1.1087760512260001</v>
      </c>
      <c r="AE2383">
        <v>-0.16860000000002601</v>
      </c>
      <c r="AF2383">
        <v>4.4455116581080203</v>
      </c>
      <c r="AG2383">
        <v>-1.1087760512260001</v>
      </c>
      <c r="AH2383">
        <v>70.173755953389005</v>
      </c>
      <c r="AI2383">
        <v>90.903412377762095</v>
      </c>
      <c r="AJ2383">
        <v>86.375152860158494</v>
      </c>
      <c r="AK2383">
        <v>70.323168179768004</v>
      </c>
      <c r="AL2383">
        <v>88.540562268125996</v>
      </c>
      <c r="AM2383">
        <v>87.911533208600304</v>
      </c>
      <c r="AN2383">
        <v>1.0000000286045301</v>
      </c>
    </row>
    <row r="2384" spans="1:40" x14ac:dyDescent="0.25">
      <c r="A2384" t="str">
        <f>"20190312153934395"</f>
        <v>20190312153934395</v>
      </c>
      <c r="B2384" t="str">
        <f>"1552376374388624"</f>
        <v>1552376374388624</v>
      </c>
      <c r="C2384" t="s">
        <v>40</v>
      </c>
      <c r="D2384">
        <v>3.927298</v>
      </c>
      <c r="E2384">
        <v>0.51111039999999996</v>
      </c>
      <c r="F2384" t="s">
        <v>62</v>
      </c>
      <c r="G2384">
        <v>-307.21359999999999</v>
      </c>
      <c r="H2384" s="1">
        <v>2.7799369999999998E-6</v>
      </c>
      <c r="I2384">
        <v>283.53070000000002</v>
      </c>
      <c r="J2384">
        <v>-230.53280000000001</v>
      </c>
      <c r="K2384">
        <v>1.108752</v>
      </c>
      <c r="L2384">
        <v>283.59179999999998</v>
      </c>
      <c r="M2384">
        <v>-0.99785539999999995</v>
      </c>
      <c r="N2384">
        <v>0</v>
      </c>
      <c r="O2384">
        <v>-6.5266420000000006E-2</v>
      </c>
      <c r="P2384">
        <v>-0.99935819999999997</v>
      </c>
      <c r="Q2384">
        <v>2.136387E-2</v>
      </c>
      <c r="R2384">
        <v>-2.8753750000000002E-2</v>
      </c>
      <c r="S2384">
        <v>-3.0026860000000002</v>
      </c>
      <c r="T2384">
        <v>-4.3308619999999999E-2</v>
      </c>
      <c r="U2384">
        <v>-2.8686520000000002E-3</v>
      </c>
      <c r="V2384">
        <v>3.6551159999999999E-2</v>
      </c>
      <c r="W2384">
        <v>2.6324400000000001E-2</v>
      </c>
      <c r="X2384">
        <v>0.99898500000000001</v>
      </c>
      <c r="Y2384">
        <v>6.4300419999999997E-2</v>
      </c>
      <c r="Z2384">
        <v>1.4044979999999999E-3</v>
      </c>
      <c r="AA2384">
        <v>0.99792959999999997</v>
      </c>
      <c r="AB2384">
        <v>24</v>
      </c>
      <c r="AC2384">
        <v>-76.680799999999905</v>
      </c>
      <c r="AD2384">
        <v>-1.108749220063</v>
      </c>
      <c r="AE2384">
        <v>-6.1099999999953497E-2</v>
      </c>
      <c r="AF2384">
        <v>4.9427404900190499</v>
      </c>
      <c r="AG2384">
        <v>-1.108749220063</v>
      </c>
      <c r="AH2384">
        <v>76.505295630202895</v>
      </c>
      <c r="AI2384">
        <v>90.828570943833796</v>
      </c>
      <c r="AJ2384">
        <v>86.303456804892804</v>
      </c>
      <c r="AK2384">
        <v>76.672813094664903</v>
      </c>
      <c r="AL2384">
        <v>88.491548721603806</v>
      </c>
      <c r="AM2384">
        <v>87.904579710611401</v>
      </c>
      <c r="AN2384">
        <v>0.99999999577885201</v>
      </c>
    </row>
    <row r="2385" spans="1:40" x14ac:dyDescent="0.25">
      <c r="A2385" t="str">
        <f>"20190312153934409"</f>
        <v>20190312153934409</v>
      </c>
      <c r="B2385" t="str">
        <f>"1552376374398383"</f>
        <v>1552376374398383</v>
      </c>
      <c r="C2385" t="s">
        <v>40</v>
      </c>
      <c r="D2385">
        <v>3.9437690000000001</v>
      </c>
      <c r="E2385">
        <v>0.51130779999999998</v>
      </c>
      <c r="F2385" t="s">
        <v>61</v>
      </c>
      <c r="G2385">
        <v>-323.36649999999997</v>
      </c>
      <c r="H2385" s="1">
        <v>3.0045239999999999E-7</v>
      </c>
      <c r="I2385">
        <v>283.56909999999999</v>
      </c>
      <c r="J2385">
        <v>-230.68510000000001</v>
      </c>
      <c r="K2385">
        <v>1.1087290000000001</v>
      </c>
      <c r="L2385">
        <v>283.58210000000003</v>
      </c>
      <c r="M2385">
        <v>-0.99787400000000004</v>
      </c>
      <c r="N2385">
        <v>0</v>
      </c>
      <c r="O2385">
        <v>-6.4992820000000007E-2</v>
      </c>
      <c r="P2385">
        <v>-0.99935960000000001</v>
      </c>
      <c r="Q2385">
        <v>2.1819600000000001E-2</v>
      </c>
      <c r="R2385">
        <v>-2.8364799999999999E-2</v>
      </c>
      <c r="S2385">
        <v>-3.0026549999999999</v>
      </c>
      <c r="T2385">
        <v>-3.586197E-2</v>
      </c>
      <c r="U2385">
        <v>-7.3242190000000001E-4</v>
      </c>
      <c r="V2385">
        <v>3.6665660000000003E-2</v>
      </c>
      <c r="W2385">
        <v>2.664948E-2</v>
      </c>
      <c r="X2385">
        <v>0.99897219999999998</v>
      </c>
      <c r="Y2385">
        <v>6.4740919999999993E-2</v>
      </c>
      <c r="Z2385">
        <v>1.1624059999999999E-3</v>
      </c>
      <c r="AA2385">
        <v>0.99790140000000005</v>
      </c>
      <c r="AB2385">
        <v>24</v>
      </c>
      <c r="AC2385">
        <v>-92.681399999999897</v>
      </c>
      <c r="AD2385">
        <v>-1.1087286995476</v>
      </c>
      <c r="AE2385">
        <v>-1.3000000000033599E-2</v>
      </c>
      <c r="AF2385">
        <v>6.0098634894255403</v>
      </c>
      <c r="AG2385">
        <v>-1.1087286995476</v>
      </c>
      <c r="AH2385">
        <v>92.473053290135795</v>
      </c>
      <c r="AI2385">
        <v>90.685483108079794</v>
      </c>
      <c r="AJ2385">
        <v>86.281552045394406</v>
      </c>
      <c r="AK2385">
        <v>92.674771773611795</v>
      </c>
      <c r="AL2385">
        <v>88.472916495572093</v>
      </c>
      <c r="AM2385">
        <v>87.897994576523004</v>
      </c>
      <c r="AN2385">
        <v>1.0000000108901701</v>
      </c>
    </row>
    <row r="2386" spans="1:40" x14ac:dyDescent="0.25">
      <c r="A2386" t="str">
        <f>"20190312153934422"</f>
        <v>20190312153934422</v>
      </c>
      <c r="B2386" t="str">
        <f>"1552376374417904"</f>
        <v>1552376374417904</v>
      </c>
      <c r="C2386" t="s">
        <v>40</v>
      </c>
      <c r="D2386">
        <v>4.0249199999999998</v>
      </c>
      <c r="E2386">
        <v>0.51040220000000003</v>
      </c>
      <c r="F2386" t="s">
        <v>61</v>
      </c>
      <c r="G2386">
        <v>-333.44720000000001</v>
      </c>
      <c r="H2386" s="1">
        <v>3.3991269999999998E-7</v>
      </c>
      <c r="I2386">
        <v>283.64890000000003</v>
      </c>
      <c r="J2386">
        <v>-230.83330000000001</v>
      </c>
      <c r="K2386">
        <v>1.1087020000000001</v>
      </c>
      <c r="L2386">
        <v>283.5727</v>
      </c>
      <c r="M2386">
        <v>-0.99789190000000005</v>
      </c>
      <c r="N2386">
        <v>0</v>
      </c>
      <c r="O2386">
        <v>-6.4726350000000002E-2</v>
      </c>
      <c r="P2386">
        <v>-0.99935240000000003</v>
      </c>
      <c r="Q2386">
        <v>2.2185389999999999E-2</v>
      </c>
      <c r="R2386">
        <v>-2.8329380000000001E-2</v>
      </c>
      <c r="S2386">
        <v>-3.0026860000000002</v>
      </c>
      <c r="T2386">
        <v>-3.2396790000000002E-2</v>
      </c>
      <c r="U2386">
        <v>1.953125E-3</v>
      </c>
      <c r="V2386">
        <v>3.6434010000000003E-2</v>
      </c>
      <c r="W2386">
        <v>2.6875900000000001E-2</v>
      </c>
      <c r="X2386">
        <v>0.99897460000000005</v>
      </c>
      <c r="Y2386">
        <v>6.5368590000000004E-2</v>
      </c>
      <c r="Z2386">
        <v>1.0506039999999999E-3</v>
      </c>
      <c r="AA2386">
        <v>0.99786059999999999</v>
      </c>
      <c r="AB2386">
        <v>24</v>
      </c>
      <c r="AC2386">
        <v>-102.6139</v>
      </c>
      <c r="AD2386">
        <v>-1.1087016600873001</v>
      </c>
      <c r="AE2386">
        <v>7.6200000000028398E-2</v>
      </c>
      <c r="AF2386">
        <v>6.7171531699016596</v>
      </c>
      <c r="AG2386">
        <v>-1.1087016600873001</v>
      </c>
      <c r="AH2386">
        <v>102.381834934851</v>
      </c>
      <c r="AI2386">
        <v>90.619105710586794</v>
      </c>
      <c r="AJ2386">
        <v>86.246270345577102</v>
      </c>
      <c r="AK2386">
        <v>102.607940680564</v>
      </c>
      <c r="AL2386">
        <v>88.459938922095901</v>
      </c>
      <c r="AM2386">
        <v>87.911268051334901</v>
      </c>
      <c r="AN2386">
        <v>1.0000000012653201</v>
      </c>
    </row>
    <row r="2387" spans="1:40" x14ac:dyDescent="0.25">
      <c r="A2387" t="str">
        <f>"20190312153934440"</f>
        <v>20190312153934440</v>
      </c>
      <c r="B2387" t="str">
        <f>"1552376374427664"</f>
        <v>1552376374427664</v>
      </c>
      <c r="C2387" t="s">
        <v>40</v>
      </c>
      <c r="D2387">
        <v>4.0253009999999998</v>
      </c>
      <c r="E2387">
        <v>0.50996379999999997</v>
      </c>
      <c r="F2387" t="s">
        <v>61</v>
      </c>
      <c r="G2387">
        <v>-333.15530000000001</v>
      </c>
      <c r="H2387" s="1">
        <v>1.9558130000000001E-7</v>
      </c>
      <c r="I2387">
        <v>283.39800000000002</v>
      </c>
      <c r="J2387">
        <v>-231.01990000000001</v>
      </c>
      <c r="K2387">
        <v>1.108663</v>
      </c>
      <c r="L2387">
        <v>283.56099999999998</v>
      </c>
      <c r="M2387">
        <v>-0.99791450000000004</v>
      </c>
      <c r="N2387">
        <v>0</v>
      </c>
      <c r="O2387">
        <v>-6.4391489999999996E-2</v>
      </c>
      <c r="P2387">
        <v>-0.9993609</v>
      </c>
      <c r="Q2387">
        <v>2.2634120000000001E-2</v>
      </c>
      <c r="R2387">
        <v>-2.767184E-2</v>
      </c>
      <c r="S2387">
        <v>-3.0025179999999998</v>
      </c>
      <c r="T2387">
        <v>-3.2533529999999998E-2</v>
      </c>
      <c r="U2387">
        <v>-5.1269530000000001E-3</v>
      </c>
      <c r="V2387">
        <v>3.6755749999999997E-2</v>
      </c>
      <c r="W2387">
        <v>2.7129960000000002E-2</v>
      </c>
      <c r="X2387">
        <v>0.99895599999999996</v>
      </c>
      <c r="Y2387">
        <v>6.2680600000000003E-2</v>
      </c>
      <c r="Z2387">
        <v>1.0368980000000001E-3</v>
      </c>
      <c r="AA2387">
        <v>0.99803310000000001</v>
      </c>
      <c r="AB2387">
        <v>24</v>
      </c>
      <c r="AC2387">
        <v>-102.1354</v>
      </c>
      <c r="AD2387">
        <v>-1.1086628044186999</v>
      </c>
      <c r="AE2387">
        <v>-0.16300000000001</v>
      </c>
      <c r="AF2387">
        <v>6.4133002446197596</v>
      </c>
      <c r="AG2387">
        <v>-1.1086628044186999</v>
      </c>
      <c r="AH2387">
        <v>101.921922323472</v>
      </c>
      <c r="AI2387">
        <v>90.621984225940693</v>
      </c>
      <c r="AJ2387">
        <v>86.399486864940997</v>
      </c>
      <c r="AK2387">
        <v>102.12951484929999</v>
      </c>
      <c r="AL2387">
        <v>88.445377129828699</v>
      </c>
      <c r="AM2387">
        <v>87.892800316550407</v>
      </c>
      <c r="AN2387">
        <v>1.00000005491183</v>
      </c>
    </row>
    <row r="2388" spans="1:40" x14ac:dyDescent="0.25">
      <c r="A2388" t="str">
        <f>"20190312153934452"</f>
        <v>20190312153934452</v>
      </c>
      <c r="B2388" t="str">
        <f>"1552376374448160"</f>
        <v>1552376374448160</v>
      </c>
      <c r="C2388" t="s">
        <v>40</v>
      </c>
      <c r="D2388">
        <v>4.0292539999999999</v>
      </c>
      <c r="E2388">
        <v>0.50936099999999995</v>
      </c>
      <c r="F2388" t="s">
        <v>61</v>
      </c>
      <c r="G2388">
        <v>-333.67529999999999</v>
      </c>
      <c r="H2388" s="1">
        <v>4.7511610000000002E-7</v>
      </c>
      <c r="I2388">
        <v>283.33249999999998</v>
      </c>
      <c r="J2388">
        <v>-231.16030000000001</v>
      </c>
      <c r="K2388">
        <v>1.1086339999999999</v>
      </c>
      <c r="L2388">
        <v>283.5521</v>
      </c>
      <c r="M2388">
        <v>-0.99793149999999997</v>
      </c>
      <c r="N2388">
        <v>0</v>
      </c>
      <c r="O2388">
        <v>-6.4139310000000005E-2</v>
      </c>
      <c r="P2388">
        <v>-0.99935620000000003</v>
      </c>
      <c r="Q2388">
        <v>2.2992579999999999E-2</v>
      </c>
      <c r="R2388">
        <v>-2.7544909999999999E-2</v>
      </c>
      <c r="S2388">
        <v>-3.002472</v>
      </c>
      <c r="T2388">
        <v>-3.2426240000000002E-2</v>
      </c>
      <c r="U2388">
        <v>-6.6833500000000002E-3</v>
      </c>
      <c r="V2388">
        <v>3.6629830000000002E-2</v>
      </c>
      <c r="W2388">
        <v>2.7328729999999999E-2</v>
      </c>
      <c r="X2388">
        <v>0.99895509999999998</v>
      </c>
      <c r="Y2388">
        <v>6.1911059999999997E-2</v>
      </c>
      <c r="Z2388">
        <v>1.0266159999999999E-3</v>
      </c>
      <c r="AA2388">
        <v>0.99808110000000005</v>
      </c>
      <c r="AB2388">
        <v>24</v>
      </c>
      <c r="AC2388">
        <v>-102.515</v>
      </c>
      <c r="AD2388">
        <v>-1.1086335248838901</v>
      </c>
      <c r="AE2388">
        <v>-0.21960000000001301</v>
      </c>
      <c r="AF2388">
        <v>6.3554123148645703</v>
      </c>
      <c r="AG2388">
        <v>-1.1086335248838901</v>
      </c>
      <c r="AH2388">
        <v>102.30603343905599</v>
      </c>
      <c r="AI2388">
        <v>90.619663736936104</v>
      </c>
      <c r="AJ2388">
        <v>86.445263706686504</v>
      </c>
      <c r="AK2388">
        <v>102.50924256874499</v>
      </c>
      <c r="AL2388">
        <v>88.433984056329606</v>
      </c>
      <c r="AM2388">
        <v>87.900010919901604</v>
      </c>
      <c r="AN2388">
        <v>0.99999994787262403</v>
      </c>
    </row>
    <row r="2389" spans="1:40" x14ac:dyDescent="0.25">
      <c r="A2389" t="str">
        <f>"20190312153934473"</f>
        <v>20190312153934473</v>
      </c>
      <c r="B2389" t="str">
        <f>"1552376374468656"</f>
        <v>1552376374468656</v>
      </c>
      <c r="C2389" t="s">
        <v>40</v>
      </c>
      <c r="D2389">
        <v>4.0591530000000002</v>
      </c>
      <c r="E2389">
        <v>0.50875720000000002</v>
      </c>
      <c r="F2389" t="s">
        <v>61</v>
      </c>
      <c r="G2389">
        <v>-329.57909999999998</v>
      </c>
      <c r="H2389" s="1">
        <v>3.6233410000000002E-6</v>
      </c>
      <c r="I2389">
        <v>283.18400000000003</v>
      </c>
      <c r="J2389">
        <v>-231.38829999999999</v>
      </c>
      <c r="K2389">
        <v>1.108584</v>
      </c>
      <c r="L2389">
        <v>283.53789999999998</v>
      </c>
      <c r="M2389">
        <v>-0.99795869999999998</v>
      </c>
      <c r="N2389">
        <v>0</v>
      </c>
      <c r="O2389">
        <v>-6.3731650000000001E-2</v>
      </c>
      <c r="P2389">
        <v>-0.99934579999999995</v>
      </c>
      <c r="Q2389">
        <v>2.3815699999999999E-2</v>
      </c>
      <c r="R2389">
        <v>-2.7217109999999999E-2</v>
      </c>
      <c r="S2389">
        <v>-3.0023650000000002</v>
      </c>
      <c r="T2389">
        <v>-3.3819910000000002E-2</v>
      </c>
      <c r="U2389">
        <v>-1.1230469999999999E-2</v>
      </c>
      <c r="V2389">
        <v>3.6548600000000001E-2</v>
      </c>
      <c r="W2389">
        <v>2.7880700000000001E-2</v>
      </c>
      <c r="X2389">
        <v>0.99894289999999997</v>
      </c>
      <c r="Y2389">
        <v>5.9990969999999998E-2</v>
      </c>
      <c r="Z2389">
        <v>1.055364E-3</v>
      </c>
      <c r="AA2389">
        <v>0.99819840000000004</v>
      </c>
      <c r="AB2389">
        <v>24</v>
      </c>
      <c r="AC2389">
        <v>-98.190799999999996</v>
      </c>
      <c r="AD2389">
        <v>-1.1085803766590001</v>
      </c>
      <c r="AE2389">
        <v>-0.35389999999995297</v>
      </c>
      <c r="AF2389">
        <v>5.90398090448255</v>
      </c>
      <c r="AG2389">
        <v>-1.1085803766590001</v>
      </c>
      <c r="AH2389">
        <v>98.001245034371806</v>
      </c>
      <c r="AI2389">
        <v>90.646923752916607</v>
      </c>
      <c r="AJ2389">
        <v>86.552443373128398</v>
      </c>
      <c r="AK2389">
        <v>98.185182024880902</v>
      </c>
      <c r="AL2389">
        <v>88.402346570409307</v>
      </c>
      <c r="AM2389">
        <v>87.904638114899299</v>
      </c>
      <c r="AN2389">
        <v>1.00000002552742</v>
      </c>
    </row>
    <row r="2390" spans="1:40" x14ac:dyDescent="0.25">
      <c r="A2390" t="str">
        <f>"20190312153934488"</f>
        <v>20190312153934488</v>
      </c>
      <c r="B2390" t="str">
        <f>"1552376374478416"</f>
        <v>1552376374478416</v>
      </c>
      <c r="C2390" t="s">
        <v>40</v>
      </c>
      <c r="D2390">
        <v>4.0617710000000002</v>
      </c>
      <c r="E2390">
        <v>0.50847399999999998</v>
      </c>
      <c r="F2390" t="s">
        <v>61</v>
      </c>
      <c r="G2390">
        <v>-327.36590000000001</v>
      </c>
      <c r="H2390" s="1">
        <v>2.4513729999999998E-6</v>
      </c>
      <c r="I2390">
        <v>283.05110000000002</v>
      </c>
      <c r="J2390">
        <v>-231.54499999999999</v>
      </c>
      <c r="K2390">
        <v>1.108554</v>
      </c>
      <c r="L2390">
        <v>283.52820000000003</v>
      </c>
      <c r="M2390">
        <v>-0.99797729999999996</v>
      </c>
      <c r="N2390">
        <v>0</v>
      </c>
      <c r="O2390">
        <v>-6.3451919999999995E-2</v>
      </c>
      <c r="P2390">
        <v>-0.99933590000000005</v>
      </c>
      <c r="Q2390">
        <v>2.3991740000000001E-2</v>
      </c>
      <c r="R2390">
        <v>-2.743338E-2</v>
      </c>
      <c r="S2390">
        <v>-3.0023960000000001</v>
      </c>
      <c r="T2390">
        <v>-3.4678939999999998E-2</v>
      </c>
      <c r="U2390">
        <v>-1.522827E-2</v>
      </c>
      <c r="V2390">
        <v>3.6052349999999997E-2</v>
      </c>
      <c r="W2390">
        <v>2.7864489999999999E-2</v>
      </c>
      <c r="X2390">
        <v>0.9989614</v>
      </c>
      <c r="Y2390">
        <v>5.8381710000000003E-2</v>
      </c>
      <c r="Z2390">
        <v>1.0696270000000001E-3</v>
      </c>
      <c r="AA2390">
        <v>0.99829380000000001</v>
      </c>
      <c r="AB2390">
        <v>24</v>
      </c>
      <c r="AC2390">
        <v>-95.820899999999995</v>
      </c>
      <c r="AD2390">
        <v>-1.1085515486269999</v>
      </c>
      <c r="AE2390">
        <v>-0.47710000000000702</v>
      </c>
      <c r="AF2390">
        <v>5.6031776763517298</v>
      </c>
      <c r="AG2390">
        <v>-1.1085515486269999</v>
      </c>
      <c r="AH2390">
        <v>95.645280183622504</v>
      </c>
      <c r="AI2390">
        <v>90.662905525010601</v>
      </c>
      <c r="AJ2390">
        <v>86.647279162532399</v>
      </c>
      <c r="AK2390">
        <v>95.815677777764407</v>
      </c>
      <c r="AL2390">
        <v>88.403275719412704</v>
      </c>
      <c r="AM2390">
        <v>87.933101941738101</v>
      </c>
      <c r="AN2390">
        <v>1.00000004021672</v>
      </c>
    </row>
    <row r="2391" spans="1:40" x14ac:dyDescent="0.25">
      <c r="A2391" t="str">
        <f>"20190312153934503"</f>
        <v>20190312153934503</v>
      </c>
      <c r="B2391" t="str">
        <f>"1552376374497936"</f>
        <v>1552376374497936</v>
      </c>
      <c r="C2391" t="s">
        <v>40</v>
      </c>
      <c r="D2391">
        <v>4.075081</v>
      </c>
      <c r="E2391">
        <v>0.50813540000000001</v>
      </c>
      <c r="F2391" t="s">
        <v>61</v>
      </c>
      <c r="G2391">
        <v>-325.09370000000001</v>
      </c>
      <c r="H2391" s="1">
        <v>1.246216E-6</v>
      </c>
      <c r="I2391">
        <v>282.95960000000002</v>
      </c>
      <c r="J2391">
        <v>-231.7079</v>
      </c>
      <c r="K2391">
        <v>1.1085240000000001</v>
      </c>
      <c r="L2391">
        <v>283.5181</v>
      </c>
      <c r="M2391">
        <v>-0.99799649999999995</v>
      </c>
      <c r="N2391">
        <v>0</v>
      </c>
      <c r="O2391">
        <v>-6.3161709999999996E-2</v>
      </c>
      <c r="P2391">
        <v>-0.99932560000000004</v>
      </c>
      <c r="Q2391">
        <v>2.4566830000000001E-2</v>
      </c>
      <c r="R2391">
        <v>-2.7293669999999999E-2</v>
      </c>
      <c r="S2391">
        <v>-3.0023499999999999</v>
      </c>
      <c r="T2391">
        <v>-3.5577890000000001E-2</v>
      </c>
      <c r="U2391">
        <v>-1.824951E-2</v>
      </c>
      <c r="V2391">
        <v>3.5900790000000002E-2</v>
      </c>
      <c r="W2391">
        <v>2.8234849999999999E-2</v>
      </c>
      <c r="X2391">
        <v>0.99895639999999997</v>
      </c>
      <c r="Y2391">
        <v>5.7086369999999997E-2</v>
      </c>
      <c r="Z2391">
        <v>1.0862510000000001E-3</v>
      </c>
      <c r="AA2391">
        <v>0.9983687</v>
      </c>
      <c r="AB2391">
        <v>25</v>
      </c>
      <c r="AC2391">
        <v>-93.385800000000003</v>
      </c>
      <c r="AD2391">
        <v>-1.1085227537839999</v>
      </c>
      <c r="AE2391">
        <v>-0.55849999999998001</v>
      </c>
      <c r="AF2391">
        <v>5.3403095987199301</v>
      </c>
      <c r="AG2391">
        <v>-1.1085227537839999</v>
      </c>
      <c r="AH2391">
        <v>93.221475697477999</v>
      </c>
      <c r="AI2391">
        <v>90.680173050011206</v>
      </c>
      <c r="AJ2391">
        <v>86.7213225655576</v>
      </c>
      <c r="AK2391">
        <v>93.380893444651306</v>
      </c>
      <c r="AL2391">
        <v>88.382047207144595</v>
      </c>
      <c r="AM2391">
        <v>87.941773165426994</v>
      </c>
      <c r="AN2391">
        <v>0.99999998128905299</v>
      </c>
    </row>
    <row r="2392" spans="1:40" x14ac:dyDescent="0.25">
      <c r="A2392" t="str">
        <f>"20190312153934519"</f>
        <v>20190312153934519</v>
      </c>
      <c r="B2392" t="str">
        <f>"1552376374507696"</f>
        <v>1552376374507696</v>
      </c>
      <c r="C2392" t="s">
        <v>40</v>
      </c>
      <c r="D2392">
        <v>4.1108399999999996</v>
      </c>
      <c r="E2392">
        <v>0.50796289999999999</v>
      </c>
      <c r="F2392" t="s">
        <v>61</v>
      </c>
      <c r="G2392">
        <v>-322.803</v>
      </c>
      <c r="H2392" s="1">
        <v>2.9998339999999998E-8</v>
      </c>
      <c r="I2392">
        <v>282.89679999999998</v>
      </c>
      <c r="J2392">
        <v>-231.90119999999999</v>
      </c>
      <c r="K2392">
        <v>1.108484</v>
      </c>
      <c r="L2392">
        <v>283.50630000000001</v>
      </c>
      <c r="M2392">
        <v>-0.99801899999999999</v>
      </c>
      <c r="N2392">
        <v>0</v>
      </c>
      <c r="O2392">
        <v>-6.281805E-2</v>
      </c>
      <c r="P2392">
        <v>-0.99928240000000002</v>
      </c>
      <c r="Q2392">
        <v>2.5509400000000002E-2</v>
      </c>
      <c r="R2392">
        <v>-2.8005579999999999E-2</v>
      </c>
      <c r="S2392">
        <v>-3.0023650000000002</v>
      </c>
      <c r="T2392">
        <v>-3.6535379999999999E-2</v>
      </c>
      <c r="U2392">
        <v>-2.0477289999999999E-2</v>
      </c>
      <c r="V2392">
        <v>3.4844350000000003E-2</v>
      </c>
      <c r="W2392">
        <v>2.8931700000000001E-2</v>
      </c>
      <c r="X2392">
        <v>0.99897389999999997</v>
      </c>
      <c r="Y2392">
        <v>5.6001410000000001E-2</v>
      </c>
      <c r="Z2392">
        <v>1.1046929999999999E-3</v>
      </c>
      <c r="AA2392">
        <v>0.99843009999999999</v>
      </c>
      <c r="AB2392">
        <v>25</v>
      </c>
      <c r="AC2392">
        <v>-90.901799999999994</v>
      </c>
      <c r="AD2392">
        <v>-1.10848397000165</v>
      </c>
      <c r="AE2392">
        <v>-0.60950000000002502</v>
      </c>
      <c r="AF2392">
        <v>5.1012532407946898</v>
      </c>
      <c r="AG2392">
        <v>-1.10848397000165</v>
      </c>
      <c r="AH2392">
        <v>90.747060687658603</v>
      </c>
      <c r="AI2392">
        <v>90.698735559958095</v>
      </c>
      <c r="AJ2392">
        <v>86.782562526440898</v>
      </c>
      <c r="AK2392">
        <v>90.897087658450602</v>
      </c>
      <c r="AL2392">
        <v>88.342104373211399</v>
      </c>
      <c r="AM2392">
        <v>88.002325037062604</v>
      </c>
      <c r="AN2392">
        <v>1.00000001243651</v>
      </c>
    </row>
    <row r="2393" spans="1:40" x14ac:dyDescent="0.25">
      <c r="A2393" t="str">
        <f>"20190312153934539"</f>
        <v>20190312153934539</v>
      </c>
      <c r="B2393" t="str">
        <f>"1552376374528191"</f>
        <v>1552376374528191</v>
      </c>
      <c r="C2393" t="s">
        <v>40</v>
      </c>
      <c r="D2393">
        <v>4.125972</v>
      </c>
      <c r="E2393">
        <v>0.50761460000000003</v>
      </c>
      <c r="F2393" t="s">
        <v>61</v>
      </c>
      <c r="G2393">
        <v>-326.23500000000001</v>
      </c>
      <c r="H2393" s="1">
        <v>1.862938E-6</v>
      </c>
      <c r="I2393">
        <v>282.74489999999997</v>
      </c>
      <c r="J2393">
        <v>-232.12989999999999</v>
      </c>
      <c r="K2393">
        <v>1.108447</v>
      </c>
      <c r="L2393">
        <v>283.49220000000003</v>
      </c>
      <c r="M2393">
        <v>-0.99804539999999997</v>
      </c>
      <c r="N2393">
        <v>0</v>
      </c>
      <c r="O2393">
        <v>-6.241298E-2</v>
      </c>
      <c r="P2393">
        <v>-0.99925169999999996</v>
      </c>
      <c r="Q2393">
        <v>2.5549229999999999E-2</v>
      </c>
      <c r="R2393">
        <v>-2.9043409999999999E-2</v>
      </c>
      <c r="S2393">
        <v>-3.0023650000000002</v>
      </c>
      <c r="T2393">
        <v>-3.5279749999999999E-2</v>
      </c>
      <c r="U2393">
        <v>-2.4230959999999999E-2</v>
      </c>
      <c r="V2393">
        <v>3.340108E-2</v>
      </c>
      <c r="W2393">
        <v>2.868337E-2</v>
      </c>
      <c r="X2393">
        <v>0.99903039999999999</v>
      </c>
      <c r="Y2393">
        <v>5.4348580000000001E-2</v>
      </c>
      <c r="Z2393">
        <v>1.052255E-3</v>
      </c>
      <c r="AA2393">
        <v>0.9985214</v>
      </c>
      <c r="AB2393">
        <v>25</v>
      </c>
      <c r="AC2393">
        <v>-94.105099999999993</v>
      </c>
      <c r="AD2393">
        <v>-1.1084451370620001</v>
      </c>
      <c r="AE2393">
        <v>-0.74730000000005203</v>
      </c>
      <c r="AF2393">
        <v>5.1268547776803803</v>
      </c>
      <c r="AG2393">
        <v>-1.1084451370620001</v>
      </c>
      <c r="AH2393">
        <v>93.955238669312195</v>
      </c>
      <c r="AI2393">
        <v>90.674916645661497</v>
      </c>
      <c r="AJ2393">
        <v>86.876639181928994</v>
      </c>
      <c r="AK2393">
        <v>94.101541772389297</v>
      </c>
      <c r="AL2393">
        <v>88.356338609828796</v>
      </c>
      <c r="AM2393">
        <v>88.085114993521003</v>
      </c>
      <c r="AN2393">
        <v>1.00000005399194</v>
      </c>
    </row>
    <row r="2394" spans="1:40" x14ac:dyDescent="0.25">
      <c r="A2394" t="str">
        <f>"20190312153934553"</f>
        <v>20190312153934553</v>
      </c>
      <c r="B2394" t="str">
        <f>"1552376374548688"</f>
        <v>1552376374548688</v>
      </c>
      <c r="C2394" t="s">
        <v>40</v>
      </c>
      <c r="D2394">
        <v>4.1608199999999904</v>
      </c>
      <c r="E2394">
        <v>0.50739009999999996</v>
      </c>
      <c r="F2394" t="s">
        <v>61</v>
      </c>
      <c r="G2394">
        <v>-320.26260000000002</v>
      </c>
      <c r="H2394" s="1">
        <v>-1.3092629999999999E-6</v>
      </c>
      <c r="I2394">
        <v>282.60809999999998</v>
      </c>
      <c r="J2394">
        <v>-232.28360000000001</v>
      </c>
      <c r="K2394">
        <v>1.108422</v>
      </c>
      <c r="L2394">
        <v>283.48289999999997</v>
      </c>
      <c r="M2394">
        <v>-0.99806309999999998</v>
      </c>
      <c r="N2394">
        <v>0</v>
      </c>
      <c r="O2394">
        <v>-6.2141689999999999E-2</v>
      </c>
      <c r="P2394">
        <v>-0.9992219</v>
      </c>
      <c r="Q2394">
        <v>2.57299E-2</v>
      </c>
      <c r="R2394">
        <v>-2.9903740000000002E-2</v>
      </c>
      <c r="S2394">
        <v>-3.002335</v>
      </c>
      <c r="T2394">
        <v>-3.7760500000000002E-2</v>
      </c>
      <c r="U2394">
        <v>-3.0120850000000001E-2</v>
      </c>
      <c r="V2394">
        <v>3.2269190000000003E-2</v>
      </c>
      <c r="W2394">
        <v>2.867432E-2</v>
      </c>
      <c r="X2394">
        <v>0.99906779999999995</v>
      </c>
      <c r="Y2394">
        <v>5.2117230000000001E-2</v>
      </c>
      <c r="Z2394">
        <v>1.1087919999999999E-3</v>
      </c>
      <c r="AA2394">
        <v>0.99864039999999998</v>
      </c>
      <c r="AB2394">
        <v>25</v>
      </c>
      <c r="AC2394">
        <v>-87.978999999999999</v>
      </c>
      <c r="AD2394">
        <v>-1.108423309263</v>
      </c>
      <c r="AE2394">
        <v>-0.87479999999999303</v>
      </c>
      <c r="AF2394">
        <v>4.5933485543514401</v>
      </c>
      <c r="AG2394">
        <v>-1.108423309263</v>
      </c>
      <c r="AH2394">
        <v>87.849383865181096</v>
      </c>
      <c r="AI2394">
        <v>90.721894501366606</v>
      </c>
      <c r="AJ2394">
        <v>87.006922162665504</v>
      </c>
      <c r="AK2394">
        <v>87.976370115311198</v>
      </c>
      <c r="AL2394">
        <v>88.356857249932403</v>
      </c>
      <c r="AM2394">
        <v>88.150029607842299</v>
      </c>
      <c r="AN2394">
        <v>0.99999999312377896</v>
      </c>
    </row>
    <row r="2395" spans="1:40" x14ac:dyDescent="0.25">
      <c r="A2395" t="str">
        <f>"20190312153934574"</f>
        <v>20190312153934574</v>
      </c>
      <c r="B2395" t="str">
        <f>"1552376374568207"</f>
        <v>1552376374568207</v>
      </c>
      <c r="C2395" t="s">
        <v>40</v>
      </c>
      <c r="D2395">
        <v>4.2039099999999996</v>
      </c>
      <c r="E2395">
        <v>0.50719729999999996</v>
      </c>
      <c r="F2395" t="s">
        <v>62</v>
      </c>
      <c r="G2395">
        <v>-316.04590000000002</v>
      </c>
      <c r="H2395" s="1">
        <v>5.0820160000000002E-6</v>
      </c>
      <c r="I2395">
        <v>282.51229999999998</v>
      </c>
      <c r="J2395">
        <v>-232.51349999999999</v>
      </c>
      <c r="K2395">
        <v>1.1083909999999999</v>
      </c>
      <c r="L2395">
        <v>283.46899999999999</v>
      </c>
      <c r="M2395">
        <v>-0.9980888</v>
      </c>
      <c r="N2395">
        <v>0</v>
      </c>
      <c r="O2395">
        <v>-6.1736949999999999E-2</v>
      </c>
      <c r="P2395">
        <v>-0.99913260000000004</v>
      </c>
      <c r="Q2395">
        <v>2.694508E-2</v>
      </c>
      <c r="R2395">
        <v>-3.1748180000000001E-2</v>
      </c>
      <c r="S2395">
        <v>-3.002319</v>
      </c>
      <c r="T2395">
        <v>-3.9729359999999998E-2</v>
      </c>
      <c r="U2395">
        <v>-3.4790040000000001E-2</v>
      </c>
      <c r="V2395">
        <v>3.0018429999999999E-2</v>
      </c>
      <c r="W2395">
        <v>2.961662E-2</v>
      </c>
      <c r="X2395">
        <v>0.99911050000000001</v>
      </c>
      <c r="Y2395">
        <v>5.0158399999999999E-2</v>
      </c>
      <c r="Z2395">
        <v>1.14828E-3</v>
      </c>
      <c r="AA2395">
        <v>0.99874059999999998</v>
      </c>
      <c r="AB2395">
        <v>25</v>
      </c>
      <c r="AC2395">
        <v>-83.532399999999996</v>
      </c>
      <c r="AD2395">
        <v>-1.1083859179840001</v>
      </c>
      <c r="AE2395">
        <v>-0.95670000000001199</v>
      </c>
      <c r="AF2395">
        <v>4.2014397496181202</v>
      </c>
      <c r="AG2395">
        <v>-1.1083859179840001</v>
      </c>
      <c r="AH2395">
        <v>83.417436058973607</v>
      </c>
      <c r="AI2395">
        <v>90.760293269792697</v>
      </c>
      <c r="AJ2395">
        <v>87.116651733787506</v>
      </c>
      <c r="AK2395">
        <v>83.530528873974006</v>
      </c>
      <c r="AL2395">
        <v>88.302844535775407</v>
      </c>
      <c r="AM2395">
        <v>88.279057127823805</v>
      </c>
      <c r="AN2395">
        <v>1.0000000207650599</v>
      </c>
    </row>
    <row r="2396" spans="1:40" x14ac:dyDescent="0.25">
      <c r="A2396" t="str">
        <f>"20190312153934597"</f>
        <v>20190312153934597</v>
      </c>
      <c r="B2396" t="str">
        <f>"1552376374587728"</f>
        <v>1552376374587728</v>
      </c>
      <c r="C2396" t="s">
        <v>40</v>
      </c>
      <c r="D2396">
        <v>4.232456</v>
      </c>
      <c r="E2396">
        <v>0.50702020000000003</v>
      </c>
      <c r="F2396" t="s">
        <v>62</v>
      </c>
      <c r="G2396">
        <v>-318.20909999999998</v>
      </c>
      <c r="H2396" s="1">
        <v>6.0618600000000001E-6</v>
      </c>
      <c r="I2396">
        <v>282.2774</v>
      </c>
      <c r="J2396">
        <v>-232.7817</v>
      </c>
      <c r="K2396">
        <v>1.1083540000000001</v>
      </c>
      <c r="L2396">
        <v>283.4529</v>
      </c>
      <c r="M2396">
        <v>-0.99811879999999997</v>
      </c>
      <c r="N2396">
        <v>0</v>
      </c>
      <c r="O2396">
        <v>-6.1263070000000003E-2</v>
      </c>
      <c r="P2396">
        <v>-0.99901969999999995</v>
      </c>
      <c r="Q2396">
        <v>2.8049480000000002E-2</v>
      </c>
      <c r="R2396">
        <v>-3.4251360000000002E-2</v>
      </c>
      <c r="S2396">
        <v>-3.002319</v>
      </c>
      <c r="T2396">
        <v>-3.8831949999999997E-2</v>
      </c>
      <c r="U2396">
        <v>-4.1748050000000002E-2</v>
      </c>
      <c r="V2396">
        <v>2.7039669999999998E-2</v>
      </c>
      <c r="W2396">
        <v>3.0421630000000002E-2</v>
      </c>
      <c r="X2396">
        <v>0.99917140000000004</v>
      </c>
      <c r="Y2396">
        <v>4.737044E-2</v>
      </c>
      <c r="Z2396">
        <v>1.098166E-3</v>
      </c>
      <c r="AA2396">
        <v>0.99887680000000001</v>
      </c>
      <c r="AB2396">
        <v>25</v>
      </c>
      <c r="AC2396">
        <v>-85.427399999999906</v>
      </c>
      <c r="AD2396">
        <v>-1.1083479381399901</v>
      </c>
      <c r="AE2396">
        <v>-1.17549999999999</v>
      </c>
      <c r="AF2396">
        <v>4.0595844883717396</v>
      </c>
      <c r="AG2396">
        <v>-1.1083479381399901</v>
      </c>
      <c r="AH2396">
        <v>85.324591968397002</v>
      </c>
      <c r="AI2396">
        <v>90.743377075620799</v>
      </c>
      <c r="AJ2396">
        <v>87.276028140563795</v>
      </c>
      <c r="AK2396">
        <v>85.428301258679198</v>
      </c>
      <c r="AL2396">
        <v>88.256700119964293</v>
      </c>
      <c r="AM2396">
        <v>88.449834599927399</v>
      </c>
      <c r="AN2396">
        <v>1.0000000529517601</v>
      </c>
    </row>
    <row r="2397" spans="1:40" x14ac:dyDescent="0.25">
      <c r="A2397" t="str">
        <f>"20190312153934609"</f>
        <v>20190312153934609</v>
      </c>
      <c r="B2397" t="str">
        <f>"1552376374598464"</f>
        <v>1552376374598464</v>
      </c>
      <c r="C2397" t="s">
        <v>40</v>
      </c>
      <c r="D2397">
        <v>4.2131919999999896</v>
      </c>
      <c r="E2397">
        <v>0.50695690000000004</v>
      </c>
      <c r="F2397" t="s">
        <v>62</v>
      </c>
      <c r="G2397">
        <v>-319.53730000000002</v>
      </c>
      <c r="H2397" s="1">
        <v>6.6765959999999996E-6</v>
      </c>
      <c r="I2397">
        <v>281.9828</v>
      </c>
      <c r="J2397">
        <v>-232.9221</v>
      </c>
      <c r="K2397">
        <v>1.1083369999999999</v>
      </c>
      <c r="L2397">
        <v>283.44450000000001</v>
      </c>
      <c r="M2397">
        <v>-0.99813470000000004</v>
      </c>
      <c r="N2397">
        <v>0</v>
      </c>
      <c r="O2397">
        <v>-6.1010950000000001E-2</v>
      </c>
      <c r="P2397">
        <v>-0.99897749999999996</v>
      </c>
      <c r="Q2397">
        <v>2.8443309999999999E-2</v>
      </c>
      <c r="R2397">
        <v>-3.5145419999999997E-2</v>
      </c>
      <c r="S2397">
        <v>-3.0022739999999999</v>
      </c>
      <c r="T2397">
        <v>-3.8355590000000002E-2</v>
      </c>
      <c r="U2397">
        <v>-5.0872800000000003E-2</v>
      </c>
      <c r="V2397">
        <v>2.589282E-2</v>
      </c>
      <c r="W2397">
        <v>3.0669950000000001E-2</v>
      </c>
      <c r="X2397">
        <v>0.99919409999999997</v>
      </c>
      <c r="Y2397">
        <v>4.4083009999999999E-2</v>
      </c>
      <c r="Z2397">
        <v>1.060456E-3</v>
      </c>
      <c r="AA2397">
        <v>0.99902729999999995</v>
      </c>
      <c r="AB2397">
        <v>26</v>
      </c>
      <c r="AC2397">
        <v>-86.615200000000002</v>
      </c>
      <c r="AD2397">
        <v>-1.1083303234040001</v>
      </c>
      <c r="AE2397">
        <v>-1.4617</v>
      </c>
      <c r="AF2397">
        <v>3.8248851955124299</v>
      </c>
      <c r="AG2397">
        <v>-1.1083303234040001</v>
      </c>
      <c r="AH2397">
        <v>86.528859359536995</v>
      </c>
      <c r="AI2397">
        <v>90.733133870150994</v>
      </c>
      <c r="AJ2397">
        <v>87.468969183368003</v>
      </c>
      <c r="AK2397">
        <v>86.620445882754296</v>
      </c>
      <c r="AL2397">
        <v>88.242465638919398</v>
      </c>
      <c r="AM2397">
        <v>88.515586349312997</v>
      </c>
      <c r="AN2397">
        <v>0.99999996671768099</v>
      </c>
    </row>
    <row r="2398" spans="1:40" x14ac:dyDescent="0.25">
      <c r="A2398" t="str">
        <f>"20190312153934620"</f>
        <v>20190312153934620</v>
      </c>
      <c r="B2398" t="str">
        <f>"1552376374608225"</f>
        <v>1552376374608225</v>
      </c>
      <c r="C2398" t="s">
        <v>40</v>
      </c>
      <c r="D2398">
        <v>4.2378150000000003</v>
      </c>
      <c r="E2398">
        <v>0.50690369999999996</v>
      </c>
      <c r="F2398" t="s">
        <v>62</v>
      </c>
      <c r="G2398">
        <v>-319.02620000000002</v>
      </c>
      <c r="H2398" s="1">
        <v>6.4579229999999899E-6</v>
      </c>
      <c r="I2398">
        <v>281.89179999999999</v>
      </c>
      <c r="J2398">
        <v>-233.0635</v>
      </c>
      <c r="K2398">
        <v>1.1083160000000001</v>
      </c>
      <c r="L2398">
        <v>283.43610000000001</v>
      </c>
      <c r="M2398">
        <v>-0.9981506</v>
      </c>
      <c r="N2398">
        <v>0</v>
      </c>
      <c r="O2398">
        <v>-6.0754549999999997E-2</v>
      </c>
      <c r="P2398">
        <v>-0.9989247</v>
      </c>
      <c r="Q2398">
        <v>2.8919299999999998E-2</v>
      </c>
      <c r="R2398">
        <v>-3.6243240000000003E-2</v>
      </c>
      <c r="S2398">
        <v>-3.0022579999999999</v>
      </c>
      <c r="T2398">
        <v>-3.8645029999999997E-2</v>
      </c>
      <c r="U2398">
        <v>-5.4138180000000001E-2</v>
      </c>
      <c r="V2398">
        <v>2.4537960000000001E-2</v>
      </c>
      <c r="W2398">
        <v>3.100549E-2</v>
      </c>
      <c r="X2398">
        <v>0.99921800000000005</v>
      </c>
      <c r="Y2398">
        <v>4.274E-2</v>
      </c>
      <c r="Z2398">
        <v>1.0565100000000001E-3</v>
      </c>
      <c r="AA2398">
        <v>0.99908569999999997</v>
      </c>
      <c r="AB2398">
        <v>26</v>
      </c>
      <c r="AC2398">
        <v>-85.962699999999998</v>
      </c>
      <c r="AD2398">
        <v>-1.1083095420769999</v>
      </c>
      <c r="AE2398">
        <v>-1.54430000000002</v>
      </c>
      <c r="AF2398">
        <v>3.6805774180630801</v>
      </c>
      <c r="AG2398">
        <v>-1.1083095420769999</v>
      </c>
      <c r="AH2398">
        <v>85.883455425301506</v>
      </c>
      <c r="AI2398">
        <v>90.738672086080499</v>
      </c>
      <c r="AJ2398">
        <v>87.546062951538005</v>
      </c>
      <c r="AK2398">
        <v>85.969430124673806</v>
      </c>
      <c r="AL2398">
        <v>88.223231580151307</v>
      </c>
      <c r="AM2398">
        <v>88.593260897618293</v>
      </c>
      <c r="AN2398">
        <v>1.0000000317075499</v>
      </c>
    </row>
    <row r="2399" spans="1:40" x14ac:dyDescent="0.25">
      <c r="A2399" t="str">
        <f>"20190312153934633"</f>
        <v>20190312153934633</v>
      </c>
      <c r="B2399" t="str">
        <f>"1552376374628720"</f>
        <v>1552376374628720</v>
      </c>
      <c r="C2399" t="s">
        <v>40</v>
      </c>
      <c r="D2399">
        <v>4.2722059999999997</v>
      </c>
      <c r="E2399">
        <v>0.50684119999999999</v>
      </c>
      <c r="F2399" t="s">
        <v>62</v>
      </c>
      <c r="G2399">
        <v>-318.62869999999998</v>
      </c>
      <c r="H2399" s="1">
        <v>6.290786E-6</v>
      </c>
      <c r="I2399">
        <v>281.78699999999998</v>
      </c>
      <c r="J2399">
        <v>-233.21430000000001</v>
      </c>
      <c r="K2399">
        <v>1.1082959999999999</v>
      </c>
      <c r="L2399">
        <v>283.42720000000003</v>
      </c>
      <c r="M2399">
        <v>-0.99816780000000005</v>
      </c>
      <c r="N2399">
        <v>0</v>
      </c>
      <c r="O2399">
        <v>-6.0474800000000002E-2</v>
      </c>
      <c r="P2399">
        <v>-0.99890480000000004</v>
      </c>
      <c r="Q2399">
        <v>2.892459E-2</v>
      </c>
      <c r="R2399">
        <v>-3.6778180000000001E-2</v>
      </c>
      <c r="S2399">
        <v>-3.002243</v>
      </c>
      <c r="T2399">
        <v>-3.8887499999999998E-2</v>
      </c>
      <c r="U2399">
        <v>-5.7861330000000002E-2</v>
      </c>
      <c r="V2399">
        <v>2.3723129999999999E-2</v>
      </c>
      <c r="W2399">
        <v>3.086918E-2</v>
      </c>
      <c r="X2399">
        <v>0.99924190000000002</v>
      </c>
      <c r="Y2399">
        <v>4.1221309999999997E-2</v>
      </c>
      <c r="Z2399">
        <v>1.049672E-3</v>
      </c>
      <c r="AA2399">
        <v>0.99914950000000002</v>
      </c>
      <c r="AB2399">
        <v>26</v>
      </c>
      <c r="AC2399">
        <v>-85.414399999999901</v>
      </c>
      <c r="AD2399">
        <v>-1.1082897092140001</v>
      </c>
      <c r="AE2399">
        <v>-1.6401999999999901</v>
      </c>
      <c r="AF2399">
        <v>3.5276370070518999</v>
      </c>
      <c r="AG2399">
        <v>-1.1082897092140001</v>
      </c>
      <c r="AH2399">
        <v>85.3428952427806</v>
      </c>
      <c r="AI2399">
        <v>90.743384490017505</v>
      </c>
      <c r="AJ2399">
        <v>87.633034149427502</v>
      </c>
      <c r="AK2399">
        <v>85.422961183474001</v>
      </c>
      <c r="AL2399">
        <v>88.231045311798596</v>
      </c>
      <c r="AM2399">
        <v>88.639989037162593</v>
      </c>
      <c r="AN2399">
        <v>1.00000003394323</v>
      </c>
    </row>
    <row r="2400" spans="1:40" x14ac:dyDescent="0.25">
      <c r="A2400" t="str">
        <f>"20190312153934651"</f>
        <v>20190312153934651</v>
      </c>
      <c r="B2400" t="str">
        <f>"1552376374638480"</f>
        <v>1552376374638480</v>
      </c>
      <c r="C2400" t="s">
        <v>40</v>
      </c>
      <c r="D2400">
        <v>4.2657280000000002</v>
      </c>
      <c r="E2400">
        <v>0.50686409999999904</v>
      </c>
      <c r="F2400" t="s">
        <v>62</v>
      </c>
      <c r="G2400">
        <v>-312.3809</v>
      </c>
      <c r="H2400" s="1">
        <v>3.515282E-6</v>
      </c>
      <c r="I2400">
        <v>281.84269999999998</v>
      </c>
      <c r="J2400">
        <v>-233.4126</v>
      </c>
      <c r="K2400">
        <v>1.1082609999999999</v>
      </c>
      <c r="L2400">
        <v>283.41559999999998</v>
      </c>
      <c r="M2400">
        <v>-0.9981911</v>
      </c>
      <c r="N2400">
        <v>0</v>
      </c>
      <c r="O2400">
        <v>-6.0095019999999999E-2</v>
      </c>
      <c r="P2400">
        <v>-0.99883639999999996</v>
      </c>
      <c r="Q2400">
        <v>2.8908989999999999E-2</v>
      </c>
      <c r="R2400">
        <v>-3.8603989999999998E-2</v>
      </c>
      <c r="S2400">
        <v>-3.0022890000000002</v>
      </c>
      <c r="T2400">
        <v>-4.2030570000000003E-2</v>
      </c>
      <c r="U2400">
        <v>-6.0089110000000001E-2</v>
      </c>
      <c r="V2400">
        <v>2.1517310000000001E-2</v>
      </c>
      <c r="W2400">
        <v>3.0685199999999999E-2</v>
      </c>
      <c r="X2400">
        <v>0.9992974</v>
      </c>
      <c r="Y2400">
        <v>4.0099009999999997E-2</v>
      </c>
      <c r="Z2400">
        <v>1.1213110000000001E-3</v>
      </c>
      <c r="AA2400">
        <v>0.9991951</v>
      </c>
      <c r="AB2400">
        <v>26</v>
      </c>
      <c r="AC2400">
        <v>-78.968299999999999</v>
      </c>
      <c r="AD2400">
        <v>-1.108257484718</v>
      </c>
      <c r="AE2400">
        <v>-1.5729</v>
      </c>
      <c r="AF2400">
        <v>3.17492665260778</v>
      </c>
      <c r="AG2400">
        <v>-1.108257484718</v>
      </c>
      <c r="AH2400">
        <v>78.904565875511906</v>
      </c>
      <c r="AI2400">
        <v>90.804046878489999</v>
      </c>
      <c r="AJ2400">
        <v>87.695801043783604</v>
      </c>
      <c r="AK2400">
        <v>78.976192044849</v>
      </c>
      <c r="AL2400">
        <v>88.241591410820604</v>
      </c>
      <c r="AM2400">
        <v>88.766472756748499</v>
      </c>
      <c r="AN2400">
        <v>0.99999993488771499</v>
      </c>
    </row>
    <row r="2401" spans="1:40" x14ac:dyDescent="0.25">
      <c r="A2401" t="str">
        <f>"20190312153934662"</f>
        <v>20190312153934662</v>
      </c>
      <c r="B2401" t="str">
        <f>"1552376374648240"</f>
        <v>1552376374648240</v>
      </c>
      <c r="C2401" t="s">
        <v>40</v>
      </c>
      <c r="D2401">
        <v>4.26126</v>
      </c>
      <c r="E2401">
        <v>0.50685349999999996</v>
      </c>
      <c r="F2401" t="s">
        <v>62</v>
      </c>
      <c r="G2401">
        <v>-310.1191</v>
      </c>
      <c r="H2401" s="1">
        <v>2.5210679999999998E-6</v>
      </c>
      <c r="I2401">
        <v>281.74220000000003</v>
      </c>
      <c r="J2401">
        <v>-233.5556</v>
      </c>
      <c r="K2401">
        <v>1.108239</v>
      </c>
      <c r="L2401">
        <v>283.40719999999999</v>
      </c>
      <c r="M2401">
        <v>-0.9982084</v>
      </c>
      <c r="N2401">
        <v>0</v>
      </c>
      <c r="O2401">
        <v>-5.9810889999999999E-2</v>
      </c>
      <c r="P2401">
        <v>-0.99882179999999998</v>
      </c>
      <c r="Q2401">
        <v>2.908436E-2</v>
      </c>
      <c r="R2401">
        <v>-3.8848519999999997E-2</v>
      </c>
      <c r="S2401">
        <v>-3.0022129999999998</v>
      </c>
      <c r="T2401">
        <v>-4.3376089999999999E-2</v>
      </c>
      <c r="U2401">
        <v>-6.5490720000000002E-2</v>
      </c>
      <c r="V2401">
        <v>2.0988759999999999E-2</v>
      </c>
      <c r="W2401">
        <v>3.0747159999999999E-2</v>
      </c>
      <c r="X2401">
        <v>0.99930680000000005</v>
      </c>
      <c r="Y2401">
        <v>3.8016630000000003E-2</v>
      </c>
      <c r="Z2401">
        <v>1.138062E-3</v>
      </c>
      <c r="AA2401">
        <v>0.99927650000000001</v>
      </c>
      <c r="AB2401">
        <v>26</v>
      </c>
      <c r="AC2401">
        <v>-76.563500000000005</v>
      </c>
      <c r="AD2401">
        <v>-1.1082364789320001</v>
      </c>
      <c r="AE2401">
        <v>-1.6649999999999601</v>
      </c>
      <c r="AF2401">
        <v>2.9167071387105201</v>
      </c>
      <c r="AG2401">
        <v>-1.1082364789320001</v>
      </c>
      <c r="AH2401">
        <v>76.509992627974597</v>
      </c>
      <c r="AI2401">
        <v>90.829260999011396</v>
      </c>
      <c r="AJ2401">
        <v>87.816832560942203</v>
      </c>
      <c r="AK2401">
        <v>76.5735877477278</v>
      </c>
      <c r="AL2401">
        <v>88.238039799805506</v>
      </c>
      <c r="AM2401">
        <v>88.796775345960697</v>
      </c>
      <c r="AN2401">
        <v>0.99999999821032104</v>
      </c>
    </row>
    <row r="2402" spans="1:40" x14ac:dyDescent="0.25">
      <c r="A2402" t="str">
        <f>"20190312153934675"</f>
        <v>20190312153934675</v>
      </c>
      <c r="B2402" t="str">
        <f>"1552376374668737"</f>
        <v>1552376374668737</v>
      </c>
      <c r="C2402" t="s">
        <v>40</v>
      </c>
      <c r="D2402">
        <v>4.2493069999999999</v>
      </c>
      <c r="E2402">
        <v>0.50686419999999999</v>
      </c>
      <c r="F2402" t="s">
        <v>62</v>
      </c>
      <c r="G2402">
        <v>-309.07249999999999</v>
      </c>
      <c r="H2402" s="1">
        <v>2.6063459999999999E-6</v>
      </c>
      <c r="I2402">
        <v>281.74459999999999</v>
      </c>
      <c r="J2402">
        <v>-233.7056</v>
      </c>
      <c r="K2402">
        <v>1.108217</v>
      </c>
      <c r="L2402">
        <v>283.39850000000001</v>
      </c>
      <c r="M2402">
        <v>-0.99822690000000003</v>
      </c>
      <c r="N2402">
        <v>0</v>
      </c>
      <c r="O2402">
        <v>-5.9502560000000003E-2</v>
      </c>
      <c r="P2402">
        <v>-0.99881549999999997</v>
      </c>
      <c r="Q2402">
        <v>2.9218129999999998E-2</v>
      </c>
      <c r="R2402">
        <v>-3.8913049999999998E-2</v>
      </c>
      <c r="S2402">
        <v>-3.002243</v>
      </c>
      <c r="T2402">
        <v>-4.4058920000000001E-2</v>
      </c>
      <c r="U2402">
        <v>-6.6101069999999998E-2</v>
      </c>
      <c r="V2402">
        <v>2.0616860000000001E-2</v>
      </c>
      <c r="W2402">
        <v>3.0770519999999999E-2</v>
      </c>
      <c r="X2402">
        <v>0.99931380000000003</v>
      </c>
      <c r="Y2402">
        <v>3.7504900000000001E-2</v>
      </c>
      <c r="Z2402">
        <v>1.1476889999999999E-3</v>
      </c>
      <c r="AA2402">
        <v>0.99929579999999996</v>
      </c>
      <c r="AB2402">
        <v>26</v>
      </c>
      <c r="AC2402">
        <v>-75.366899999999902</v>
      </c>
      <c r="AD2402">
        <v>-1.1082143936540001</v>
      </c>
      <c r="AE2402">
        <v>-1.6539000000000199</v>
      </c>
      <c r="AF2402">
        <v>2.8329473318786902</v>
      </c>
      <c r="AG2402">
        <v>-1.1082143936540001</v>
      </c>
      <c r="AH2402">
        <v>75.315495935195898</v>
      </c>
      <c r="AI2402">
        <v>90.842410498780694</v>
      </c>
      <c r="AJ2402">
        <v>87.845869059559405</v>
      </c>
      <c r="AK2402">
        <v>75.376904007076405</v>
      </c>
      <c r="AL2402">
        <v>88.236700696462705</v>
      </c>
      <c r="AM2402">
        <v>88.818097467469897</v>
      </c>
      <c r="AN2402">
        <v>0.99999997534388396</v>
      </c>
    </row>
    <row r="2403" spans="1:40" x14ac:dyDescent="0.25">
      <c r="A2403" t="str">
        <f>"20190312153934690"</f>
        <v>20190312153934690</v>
      </c>
      <c r="B2403" t="str">
        <f>"1552376374678496"</f>
        <v>1552376374678496</v>
      </c>
      <c r="C2403" t="s">
        <v>40</v>
      </c>
      <c r="D2403">
        <v>4.2165269999999904</v>
      </c>
      <c r="E2403">
        <v>0.50694910000000004</v>
      </c>
      <c r="F2403" t="s">
        <v>62</v>
      </c>
      <c r="G2403">
        <v>-305.63279999999997</v>
      </c>
      <c r="H2403" s="1">
        <v>3.2107320000000001E-6</v>
      </c>
      <c r="I2403">
        <v>281.81049999999999</v>
      </c>
      <c r="J2403">
        <v>-233.8741</v>
      </c>
      <c r="K2403">
        <v>1.108185</v>
      </c>
      <c r="L2403">
        <v>283.3888</v>
      </c>
      <c r="M2403">
        <v>-0.9982491</v>
      </c>
      <c r="N2403">
        <v>0</v>
      </c>
      <c r="O2403">
        <v>-5.9132740000000003E-2</v>
      </c>
      <c r="P2403">
        <v>-0.99879969999999996</v>
      </c>
      <c r="Q2403">
        <v>2.9300940000000001E-2</v>
      </c>
      <c r="R2403">
        <v>-3.9255610000000003E-2</v>
      </c>
      <c r="S2403">
        <v>-3.002335</v>
      </c>
      <c r="T2403">
        <v>-4.625833E-2</v>
      </c>
      <c r="U2403">
        <v>-6.6284179999999998E-2</v>
      </c>
      <c r="V2403">
        <v>1.9905329999999999E-2</v>
      </c>
      <c r="W2403">
        <v>3.074383E-2</v>
      </c>
      <c r="X2403">
        <v>0.99932909999999997</v>
      </c>
      <c r="Y2403">
        <v>3.7073439999999999E-2</v>
      </c>
      <c r="Z2403">
        <v>1.195925E-3</v>
      </c>
      <c r="AA2403">
        <v>0.99931179999999997</v>
      </c>
      <c r="AB2403">
        <v>26</v>
      </c>
      <c r="AC2403">
        <v>-71.758699999999905</v>
      </c>
      <c r="AD2403">
        <v>-1.1081817892679999</v>
      </c>
      <c r="AE2403">
        <v>-1.57830000000001</v>
      </c>
      <c r="AF2403">
        <v>2.6671189566854898</v>
      </c>
      <c r="AG2403">
        <v>-1.1081817892679999</v>
      </c>
      <c r="AH2403">
        <v>71.709366732954507</v>
      </c>
      <c r="AI2403">
        <v>90.884755048041498</v>
      </c>
      <c r="AJ2403">
        <v>87.869953960973902</v>
      </c>
      <c r="AK2403">
        <v>71.767505652966193</v>
      </c>
      <c r="AL2403">
        <v>88.238230736921807</v>
      </c>
      <c r="AM2403">
        <v>88.858893828799594</v>
      </c>
      <c r="AN2403">
        <v>1.00000002767614</v>
      </c>
    </row>
    <row r="2404" spans="1:40" x14ac:dyDescent="0.25">
      <c r="A2404" t="str">
        <f>"20190312153934709"</f>
        <v>20190312153934709</v>
      </c>
      <c r="B2404" t="str">
        <f>"1552376374698016"</f>
        <v>1552376374698016</v>
      </c>
      <c r="C2404" t="s">
        <v>40</v>
      </c>
      <c r="D2404">
        <v>4.2267970000000004</v>
      </c>
      <c r="E2404">
        <v>0.50705500000000003</v>
      </c>
      <c r="F2404" t="s">
        <v>62</v>
      </c>
      <c r="G2404">
        <v>-305.58370000000002</v>
      </c>
      <c r="H2404" s="1">
        <v>3.220502E-6</v>
      </c>
      <c r="I2404">
        <v>281.79829999999998</v>
      </c>
      <c r="J2404">
        <v>-234.11369999999999</v>
      </c>
      <c r="K2404">
        <v>1.1081350000000001</v>
      </c>
      <c r="L2404">
        <v>283.37520000000001</v>
      </c>
      <c r="M2404">
        <v>-0.99828249999999996</v>
      </c>
      <c r="N2404">
        <v>0</v>
      </c>
      <c r="O2404">
        <v>-5.8569320000000001E-2</v>
      </c>
      <c r="P2404">
        <v>-0.99880060000000004</v>
      </c>
      <c r="Q2404">
        <v>2.9533859999999999E-2</v>
      </c>
      <c r="R2404">
        <v>-3.9053089999999999E-2</v>
      </c>
      <c r="S2404">
        <v>-3.0023499999999999</v>
      </c>
      <c r="T2404">
        <v>-4.6397569999999999E-2</v>
      </c>
      <c r="U2404">
        <v>-6.658936E-2</v>
      </c>
      <c r="V2404">
        <v>1.9546299999999999E-2</v>
      </c>
      <c r="W2404">
        <v>3.0837719999999999E-2</v>
      </c>
      <c r="X2404">
        <v>0.99933329999999998</v>
      </c>
      <c r="Y2404">
        <v>3.6408080000000002E-2</v>
      </c>
      <c r="Z2404">
        <v>1.1856849999999999E-3</v>
      </c>
      <c r="AA2404">
        <v>0.99933629999999996</v>
      </c>
      <c r="AB2404">
        <v>27</v>
      </c>
      <c r="AC2404">
        <v>-71.47</v>
      </c>
      <c r="AD2404">
        <v>-1.1081317794979999</v>
      </c>
      <c r="AE2404">
        <v>-1.57690000000002</v>
      </c>
      <c r="AF2404">
        <v>2.6111324145448598</v>
      </c>
      <c r="AG2404">
        <v>-1.1081317794979999</v>
      </c>
      <c r="AH2404">
        <v>71.422506774344896</v>
      </c>
      <c r="AI2404">
        <v>90.8882886638755</v>
      </c>
      <c r="AJ2404">
        <v>87.906258481600005</v>
      </c>
      <c r="AK2404">
        <v>71.478811143291693</v>
      </c>
      <c r="AL2404">
        <v>88.232848695005799</v>
      </c>
      <c r="AM2404">
        <v>88.879475233438001</v>
      </c>
      <c r="AN2404">
        <v>1.0000000336536801</v>
      </c>
    </row>
    <row r="2405" spans="1:40" x14ac:dyDescent="0.25">
      <c r="A2405" t="str">
        <f>"20190312153934731"</f>
        <v>20190312153934731</v>
      </c>
      <c r="B2405" t="str">
        <f>"1552376374718512"</f>
        <v>1552376374718512</v>
      </c>
      <c r="C2405" t="s">
        <v>40</v>
      </c>
      <c r="D2405">
        <v>4.2292690000000004</v>
      </c>
      <c r="E2405">
        <v>0.50735429999999904</v>
      </c>
      <c r="F2405" t="s">
        <v>62</v>
      </c>
      <c r="G2405">
        <v>-304.53289999999998</v>
      </c>
      <c r="H2405" s="1">
        <v>3.4028240000000001E-6</v>
      </c>
      <c r="I2405">
        <v>281.8449</v>
      </c>
      <c r="J2405">
        <v>-234.37270000000001</v>
      </c>
      <c r="K2405">
        <v>1.108069</v>
      </c>
      <c r="L2405">
        <v>283.36070000000001</v>
      </c>
      <c r="M2405">
        <v>-0.99832200000000004</v>
      </c>
      <c r="N2405">
        <v>0</v>
      </c>
      <c r="O2405">
        <v>-5.7896019999999999E-2</v>
      </c>
      <c r="P2405">
        <v>-0.99882689999999996</v>
      </c>
      <c r="Q2405">
        <v>2.9915890000000001E-2</v>
      </c>
      <c r="R2405">
        <v>-3.8080549999999998E-2</v>
      </c>
      <c r="S2405">
        <v>-3.0024410000000001</v>
      </c>
      <c r="T2405">
        <v>-4.7247049999999999E-2</v>
      </c>
      <c r="U2405">
        <v>-6.5246579999999998E-2</v>
      </c>
      <c r="V2405">
        <v>1.9848999999999999E-2</v>
      </c>
      <c r="W2405">
        <v>3.1093180000000002E-2</v>
      </c>
      <c r="X2405">
        <v>0.99931939999999997</v>
      </c>
      <c r="Y2405">
        <v>3.6181150000000002E-2</v>
      </c>
      <c r="Z2405">
        <v>1.195001E-3</v>
      </c>
      <c r="AA2405">
        <v>0.99934449999999997</v>
      </c>
      <c r="AB2405">
        <v>27</v>
      </c>
      <c r="AC2405">
        <v>-70.160199999999904</v>
      </c>
      <c r="AD2405">
        <v>-1.1080655971760001</v>
      </c>
      <c r="AE2405">
        <v>-1.51580000000001</v>
      </c>
      <c r="AF2405">
        <v>2.5481061503923099</v>
      </c>
      <c r="AG2405">
        <v>-1.1080655971760001</v>
      </c>
      <c r="AH2405">
        <v>70.112793183669297</v>
      </c>
      <c r="AI2405">
        <v>90.904832325452006</v>
      </c>
      <c r="AJ2405">
        <v>87.918618059948201</v>
      </c>
      <c r="AK2405">
        <v>70.167830394970196</v>
      </c>
      <c r="AL2405">
        <v>88.218204861679197</v>
      </c>
      <c r="AM2405">
        <v>88.862111147550905</v>
      </c>
      <c r="AN2405">
        <v>1.00000001592993</v>
      </c>
    </row>
    <row r="2406" spans="1:40" x14ac:dyDescent="0.25">
      <c r="A2406" t="str">
        <f>"20190312153934752"</f>
        <v>20190312153934752</v>
      </c>
      <c r="B2406" t="str">
        <f>"1552376374747792"</f>
        <v>1552376374747792</v>
      </c>
      <c r="C2406" t="s">
        <v>40</v>
      </c>
      <c r="D2406">
        <v>4.1826639999999999</v>
      </c>
      <c r="E2406">
        <v>0.50785290000000005</v>
      </c>
      <c r="F2406" t="s">
        <v>62</v>
      </c>
      <c r="G2406">
        <v>-304.95870000000002</v>
      </c>
      <c r="H2406" s="1">
        <v>3.3177020000000001E-6</v>
      </c>
      <c r="I2406">
        <v>281.95460000000003</v>
      </c>
      <c r="J2406">
        <v>-234.63130000000001</v>
      </c>
      <c r="K2406">
        <v>1.108001</v>
      </c>
      <c r="L2406">
        <v>283.34640000000002</v>
      </c>
      <c r="M2406">
        <v>-0.99836519999999995</v>
      </c>
      <c r="N2406">
        <v>0</v>
      </c>
      <c r="O2406">
        <v>-5.714872E-2</v>
      </c>
      <c r="P2406">
        <v>-0.99887680000000001</v>
      </c>
      <c r="Q2406">
        <v>2.95055E-2</v>
      </c>
      <c r="R2406">
        <v>-3.708268E-2</v>
      </c>
      <c r="S2406">
        <v>-3.0026700000000002</v>
      </c>
      <c r="T2406">
        <v>-4.7136190000000001E-2</v>
      </c>
      <c r="U2406">
        <v>-5.9814449999999998E-2</v>
      </c>
      <c r="V2406">
        <v>2.0103949999999999E-2</v>
      </c>
      <c r="W2406">
        <v>3.058083E-2</v>
      </c>
      <c r="X2406">
        <v>0.9993301</v>
      </c>
      <c r="Y2406">
        <v>3.7241879999999998E-2</v>
      </c>
      <c r="Z2406">
        <v>1.188754E-3</v>
      </c>
      <c r="AA2406">
        <v>0.99930549999999996</v>
      </c>
      <c r="AB2406">
        <v>27</v>
      </c>
      <c r="AC2406">
        <v>-70.327399999999997</v>
      </c>
      <c r="AD2406">
        <v>-1.107997682298</v>
      </c>
      <c r="AE2406">
        <v>-1.3917999999999799</v>
      </c>
      <c r="AF2406">
        <v>2.6289451672569899</v>
      </c>
      <c r="AG2406">
        <v>-1.107997682298</v>
      </c>
      <c r="AH2406">
        <v>70.274565392399893</v>
      </c>
      <c r="AI2406">
        <v>90.902658970340198</v>
      </c>
      <c r="AJ2406">
        <v>87.857585400253598</v>
      </c>
      <c r="AK2406">
        <v>70.332450210746302</v>
      </c>
      <c r="AL2406">
        <v>88.247574297729997</v>
      </c>
      <c r="AM2406">
        <v>88.847511815532499</v>
      </c>
      <c r="AN2406">
        <v>1.0000000023675499</v>
      </c>
    </row>
    <row r="2407" spans="1:40" x14ac:dyDescent="0.25">
      <c r="A2407" t="str">
        <f>"20190312153934765"</f>
        <v>20190312153934765</v>
      </c>
      <c r="B2407" t="str">
        <f>"1552376374758528"</f>
        <v>1552376374758528</v>
      </c>
      <c r="C2407" t="s">
        <v>40</v>
      </c>
      <c r="D2407">
        <v>4.1696660000000003</v>
      </c>
      <c r="E2407">
        <v>0.50800779999999901</v>
      </c>
      <c r="F2407" t="s">
        <v>62</v>
      </c>
      <c r="G2407">
        <v>-301.82940000000002</v>
      </c>
      <c r="H2407" s="1">
        <v>3.854404E-6</v>
      </c>
      <c r="I2407">
        <v>282.16489999999999</v>
      </c>
      <c r="J2407">
        <v>-234.7884</v>
      </c>
      <c r="K2407">
        <v>1.107955</v>
      </c>
      <c r="L2407">
        <v>283.33780000000002</v>
      </c>
      <c r="M2407">
        <v>-0.99839359999999999</v>
      </c>
      <c r="N2407">
        <v>0</v>
      </c>
      <c r="O2407">
        <v>-5.6651050000000001E-2</v>
      </c>
      <c r="P2407">
        <v>-0.9988939</v>
      </c>
      <c r="Q2407">
        <v>2.9510350000000001E-2</v>
      </c>
      <c r="R2407">
        <v>-3.6612819999999997E-2</v>
      </c>
      <c r="S2407">
        <v>-3.002869</v>
      </c>
      <c r="T2407">
        <v>-4.9512859999999999E-2</v>
      </c>
      <c r="U2407">
        <v>-5.2795410000000001E-2</v>
      </c>
      <c r="V2407">
        <v>2.0078929999999998E-2</v>
      </c>
      <c r="W2407">
        <v>3.0536020000000001E-2</v>
      </c>
      <c r="X2407">
        <v>0.999332</v>
      </c>
      <c r="Y2407">
        <v>3.9078599999999998E-2</v>
      </c>
      <c r="Z2407">
        <v>1.255592E-3</v>
      </c>
      <c r="AA2407">
        <v>0.99923530000000005</v>
      </c>
      <c r="AB2407">
        <v>27</v>
      </c>
      <c r="AC2407">
        <v>-67.040999999999997</v>
      </c>
      <c r="AD2407">
        <v>-1.1079511455960001</v>
      </c>
      <c r="AE2407">
        <v>-1.17290000000002</v>
      </c>
      <c r="AF2407">
        <v>2.6262112803562698</v>
      </c>
      <c r="AG2407">
        <v>-1.1079511455960001</v>
      </c>
      <c r="AH2407">
        <v>66.981492095883198</v>
      </c>
      <c r="AI2407">
        <v>90.946924437564604</v>
      </c>
      <c r="AJ2407">
        <v>87.754696347748705</v>
      </c>
      <c r="AK2407">
        <v>67.0421123236803</v>
      </c>
      <c r="AL2407">
        <v>88.250142967964294</v>
      </c>
      <c r="AM2407">
        <v>88.848947925182799</v>
      </c>
      <c r="AN2407">
        <v>1.0000000290856901</v>
      </c>
    </row>
    <row r="2408" spans="1:40" x14ac:dyDescent="0.25">
      <c r="A2408" t="str">
        <f>"20190312153934778"</f>
        <v>20190312153934778</v>
      </c>
      <c r="B2408" t="str">
        <f>"1552376374768289"</f>
        <v>1552376374768289</v>
      </c>
      <c r="C2408" t="s">
        <v>40</v>
      </c>
      <c r="D2408">
        <v>4.145797</v>
      </c>
      <c r="E2408">
        <v>0.50814269999999995</v>
      </c>
      <c r="F2408" t="s">
        <v>62</v>
      </c>
      <c r="G2408">
        <v>-301.35539999999997</v>
      </c>
      <c r="H2408" s="1">
        <v>3.9331199999999901E-6</v>
      </c>
      <c r="I2408">
        <v>282.22629999999998</v>
      </c>
      <c r="J2408">
        <v>-234.94309999999999</v>
      </c>
      <c r="K2408">
        <v>1.107912</v>
      </c>
      <c r="L2408">
        <v>283.3295</v>
      </c>
      <c r="M2408">
        <v>-0.99842240000000004</v>
      </c>
      <c r="N2408">
        <v>0</v>
      </c>
      <c r="O2408">
        <v>-5.6139330000000001E-2</v>
      </c>
      <c r="P2408">
        <v>-0.99893030000000005</v>
      </c>
      <c r="Q2408">
        <v>2.892643E-2</v>
      </c>
      <c r="R2408">
        <v>-3.6077860000000003E-2</v>
      </c>
      <c r="S2408">
        <v>-3.0029750000000002</v>
      </c>
      <c r="T2408">
        <v>-4.9981949999999997E-2</v>
      </c>
      <c r="U2408">
        <v>-5.0140379999999998E-2</v>
      </c>
      <c r="V2408">
        <v>2.0105120000000001E-2</v>
      </c>
      <c r="W2408">
        <v>2.9908790000000001E-2</v>
      </c>
      <c r="X2408">
        <v>0.99935039999999997</v>
      </c>
      <c r="Y2408">
        <v>3.9450060000000002E-2</v>
      </c>
      <c r="Z2408">
        <v>1.2620439999999999E-3</v>
      </c>
      <c r="AA2408">
        <v>0.99922069999999996</v>
      </c>
      <c r="AB2408">
        <v>27</v>
      </c>
      <c r="AC2408">
        <v>-66.412299999999902</v>
      </c>
      <c r="AD2408">
        <v>-1.1079080668799901</v>
      </c>
      <c r="AE2408">
        <v>-1.10320000000001</v>
      </c>
      <c r="AF2408">
        <v>2.6261532094224602</v>
      </c>
      <c r="AG2408">
        <v>-1.1079080668799901</v>
      </c>
      <c r="AH2408">
        <v>66.351036649163802</v>
      </c>
      <c r="AI2408">
        <v>90.955869147201597</v>
      </c>
      <c r="AJ2408">
        <v>87.733434096548905</v>
      </c>
      <c r="AK2408">
        <v>66.412229336039402</v>
      </c>
      <c r="AL2408">
        <v>88.286096950610997</v>
      </c>
      <c r="AM2408">
        <v>88.847468167436602</v>
      </c>
      <c r="AN2408">
        <v>0.99999998677481905</v>
      </c>
    </row>
    <row r="2409" spans="1:40" x14ac:dyDescent="0.25">
      <c r="A2409" t="str">
        <f>"20190312153934797"</f>
        <v>20190312153934797</v>
      </c>
      <c r="B2409" t="str">
        <f>"1552376374787814"</f>
        <v>1552376374787814</v>
      </c>
      <c r="C2409" t="s">
        <v>40</v>
      </c>
      <c r="D2409">
        <v>4.1182790000000002</v>
      </c>
      <c r="E2409">
        <v>0.50839290000000004</v>
      </c>
      <c r="F2409" t="s">
        <v>62</v>
      </c>
      <c r="G2409">
        <v>-298.7448</v>
      </c>
      <c r="H2409" s="1">
        <v>3.9575190000000001E-6</v>
      </c>
      <c r="I2409">
        <v>282.32190000000003</v>
      </c>
      <c r="J2409">
        <v>-235.19220000000001</v>
      </c>
      <c r="K2409">
        <v>1.1078319999999999</v>
      </c>
      <c r="L2409">
        <v>283.31630000000001</v>
      </c>
      <c r="M2409">
        <v>-0.99847350000000001</v>
      </c>
      <c r="N2409">
        <v>0</v>
      </c>
      <c r="O2409">
        <v>-5.5224959999999997E-2</v>
      </c>
      <c r="P2409">
        <v>-0.99895239999999996</v>
      </c>
      <c r="Q2409">
        <v>2.8573330000000001E-2</v>
      </c>
      <c r="R2409">
        <v>-3.574277E-2</v>
      </c>
      <c r="S2409">
        <v>-3.0030359999999998</v>
      </c>
      <c r="T2409">
        <v>-5.2147390000000002E-2</v>
      </c>
      <c r="U2409">
        <v>-4.7424319999999999E-2</v>
      </c>
      <c r="V2409">
        <v>1.9530639999999998E-2</v>
      </c>
      <c r="W2409">
        <v>2.9507470000000001E-2</v>
      </c>
      <c r="X2409">
        <v>0.99937370000000003</v>
      </c>
      <c r="Y2409">
        <v>3.943779E-2</v>
      </c>
      <c r="Z2409">
        <v>1.3007419999999999E-3</v>
      </c>
      <c r="AA2409">
        <v>0.99922120000000003</v>
      </c>
      <c r="AB2409">
        <v>28</v>
      </c>
      <c r="AC2409">
        <v>-63.552599999999899</v>
      </c>
      <c r="AD2409">
        <v>-1.1078280424810001</v>
      </c>
      <c r="AE2409">
        <v>-0.99439999999998396</v>
      </c>
      <c r="AF2409">
        <v>2.5160444977026</v>
      </c>
      <c r="AG2409">
        <v>-1.1078280424810001</v>
      </c>
      <c r="AH2409">
        <v>63.491242469443897</v>
      </c>
      <c r="AI2409">
        <v>90.998841141605098</v>
      </c>
      <c r="AJ2409">
        <v>87.730658053911995</v>
      </c>
      <c r="AK2409">
        <v>63.5507327510851</v>
      </c>
      <c r="AL2409">
        <v>88.309101009212995</v>
      </c>
      <c r="AM2409">
        <v>88.880417990627393</v>
      </c>
      <c r="AN2409">
        <v>0.99999996446814898</v>
      </c>
    </row>
    <row r="2410" spans="1:40" x14ac:dyDescent="0.25">
      <c r="A2410" t="str">
        <f>"20190312153934809"</f>
        <v>20190312153934809</v>
      </c>
      <c r="B2410" t="str">
        <f>"1552376374798544"</f>
        <v>1552376374798544</v>
      </c>
      <c r="C2410" t="s">
        <v>40</v>
      </c>
      <c r="D2410">
        <v>4.0991359999999997</v>
      </c>
      <c r="E2410">
        <v>0.50850550000000005</v>
      </c>
      <c r="F2410" t="s">
        <v>62</v>
      </c>
      <c r="G2410">
        <v>-297.15730000000002</v>
      </c>
      <c r="H2410" s="1">
        <v>3.669096E-6</v>
      </c>
      <c r="I2410">
        <v>282.40010000000001</v>
      </c>
      <c r="J2410">
        <v>-235.346</v>
      </c>
      <c r="K2410">
        <v>1.107783</v>
      </c>
      <c r="L2410">
        <v>283.30829999999997</v>
      </c>
      <c r="M2410">
        <v>-0.99850760000000005</v>
      </c>
      <c r="N2410">
        <v>0</v>
      </c>
      <c r="O2410">
        <v>-5.4605969999999997E-2</v>
      </c>
      <c r="P2410">
        <v>-0.99895679999999998</v>
      </c>
      <c r="Q2410">
        <v>2.8574430000000001E-2</v>
      </c>
      <c r="R2410">
        <v>-3.5624070000000001E-2</v>
      </c>
      <c r="S2410">
        <v>-3.0031129999999999</v>
      </c>
      <c r="T2410">
        <v>-5.3690429999999997E-2</v>
      </c>
      <c r="U2410">
        <v>-4.4403079999999998E-2</v>
      </c>
      <c r="V2410">
        <v>1.9033669999999999E-2</v>
      </c>
      <c r="W2410">
        <v>2.9490309999999999E-2</v>
      </c>
      <c r="X2410">
        <v>0.99938380000000004</v>
      </c>
      <c r="Y2410">
        <v>3.9822940000000001E-2</v>
      </c>
      <c r="Z2410">
        <v>1.3315999999999901E-3</v>
      </c>
      <c r="AA2410">
        <v>0.99920589999999998</v>
      </c>
      <c r="AB2410">
        <v>28</v>
      </c>
      <c r="AC2410">
        <v>-61.811300000000003</v>
      </c>
      <c r="AD2410">
        <v>-1.107779330904</v>
      </c>
      <c r="AE2410">
        <v>-0.90819999999996504</v>
      </c>
      <c r="AF2410">
        <v>2.4676299071725798</v>
      </c>
      <c r="AG2410">
        <v>-1.107779330904</v>
      </c>
      <c r="AH2410">
        <v>61.748840225634297</v>
      </c>
      <c r="AI2410">
        <v>91.026961277110999</v>
      </c>
      <c r="AJ2410">
        <v>87.711542642775896</v>
      </c>
      <c r="AK2410">
        <v>61.808054827956397</v>
      </c>
      <c r="AL2410">
        <v>88.31008464112</v>
      </c>
      <c r="AM2410">
        <v>88.908910539699306</v>
      </c>
      <c r="AN2410">
        <v>0.99999996934000202</v>
      </c>
    </row>
    <row r="2411" spans="1:40" x14ac:dyDescent="0.25">
      <c r="A2411" t="str">
        <f>"20190312153934821"</f>
        <v>20190312153934821</v>
      </c>
      <c r="B2411" t="str">
        <f>"1552376374818065"</f>
        <v>1552376374818065</v>
      </c>
      <c r="C2411" t="s">
        <v>40</v>
      </c>
      <c r="D2411">
        <v>4.0629439999999999</v>
      </c>
      <c r="E2411">
        <v>0.50872819999999996</v>
      </c>
      <c r="F2411" t="s">
        <v>62</v>
      </c>
      <c r="G2411">
        <v>-297.01900000000001</v>
      </c>
      <c r="H2411" s="1">
        <v>3.6425770000000001E-6</v>
      </c>
      <c r="I2411">
        <v>282.4228</v>
      </c>
      <c r="J2411">
        <v>-235.4932</v>
      </c>
      <c r="K2411">
        <v>1.1077360000000001</v>
      </c>
      <c r="L2411">
        <v>283.30079999999998</v>
      </c>
      <c r="M2411">
        <v>-0.99854089999999995</v>
      </c>
      <c r="N2411">
        <v>0</v>
      </c>
      <c r="O2411">
        <v>-5.3994140000000003E-2</v>
      </c>
      <c r="P2411">
        <v>-0.99893449999999995</v>
      </c>
      <c r="Q2411">
        <v>2.887062E-2</v>
      </c>
      <c r="R2411">
        <v>-3.60071E-2</v>
      </c>
      <c r="S2411">
        <v>-3.0031590000000001</v>
      </c>
      <c r="T2411">
        <v>-5.3943159999999997E-2</v>
      </c>
      <c r="U2411">
        <v>-4.3121340000000001E-2</v>
      </c>
      <c r="V2411">
        <v>1.804161E-2</v>
      </c>
      <c r="W2411">
        <v>2.9773910000000001E-2</v>
      </c>
      <c r="X2411">
        <v>0.9993938</v>
      </c>
      <c r="Y2411">
        <v>3.9637260000000001E-2</v>
      </c>
      <c r="Z2411">
        <v>1.32521299999999E-3</v>
      </c>
      <c r="AA2411">
        <v>0.99921329999999997</v>
      </c>
      <c r="AB2411">
        <v>28</v>
      </c>
      <c r="AC2411">
        <v>-61.525799999999997</v>
      </c>
      <c r="AD2411">
        <v>-1.107732357423</v>
      </c>
      <c r="AE2411">
        <v>-0.87799999999998501</v>
      </c>
      <c r="AF2411">
        <v>2.4445223619830698</v>
      </c>
      <c r="AG2411">
        <v>-1.107732357423</v>
      </c>
      <c r="AH2411">
        <v>61.463536431304803</v>
      </c>
      <c r="AI2411">
        <v>91.031691317488097</v>
      </c>
      <c r="AJ2411">
        <v>87.722437679738405</v>
      </c>
      <c r="AK2411">
        <v>61.522102298249202</v>
      </c>
      <c r="AL2411">
        <v>88.293828431067396</v>
      </c>
      <c r="AM2411">
        <v>88.965777216902097</v>
      </c>
      <c r="AN2411">
        <v>0.999999976443259</v>
      </c>
    </row>
    <row r="2412" spans="1:40" x14ac:dyDescent="0.25">
      <c r="A2412" t="str">
        <f>"20190312153934833"</f>
        <v>20190312153934833</v>
      </c>
      <c r="B2412" t="str">
        <f>"1552376374827825"</f>
        <v>1552376374827825</v>
      </c>
      <c r="C2412" t="s">
        <v>40</v>
      </c>
      <c r="D2412">
        <v>4.0823640000000001</v>
      </c>
      <c r="E2412">
        <v>0.50880909999999901</v>
      </c>
      <c r="F2412" t="s">
        <v>62</v>
      </c>
      <c r="G2412">
        <v>-298.2167</v>
      </c>
      <c r="H2412" s="1">
        <v>3.8555529999999997E-6</v>
      </c>
      <c r="I2412">
        <v>282.41680000000002</v>
      </c>
      <c r="J2412">
        <v>-235.6532</v>
      </c>
      <c r="K2412">
        <v>1.107683</v>
      </c>
      <c r="L2412">
        <v>283.2928</v>
      </c>
      <c r="M2412">
        <v>-0.99857850000000004</v>
      </c>
      <c r="N2412">
        <v>0</v>
      </c>
      <c r="O2412">
        <v>-5.3294469999999997E-2</v>
      </c>
      <c r="P2412">
        <v>-0.99892700000000001</v>
      </c>
      <c r="Q2412">
        <v>2.9097720000000001E-2</v>
      </c>
      <c r="R2412">
        <v>-3.6035379999999999E-2</v>
      </c>
      <c r="S2412">
        <v>-3.0032199999999998</v>
      </c>
      <c r="T2412">
        <v>-5.3038479999999999E-2</v>
      </c>
      <c r="U2412">
        <v>-4.2327879999999998E-2</v>
      </c>
      <c r="V2412">
        <v>1.7316970000000001E-2</v>
      </c>
      <c r="W2412">
        <v>2.999363E-2</v>
      </c>
      <c r="X2412">
        <v>0.99940010000000001</v>
      </c>
      <c r="Y2412">
        <v>3.920204E-2</v>
      </c>
      <c r="Z2412">
        <v>1.286787E-3</v>
      </c>
      <c r="AA2412">
        <v>0.99923050000000002</v>
      </c>
      <c r="AB2412">
        <v>28</v>
      </c>
      <c r="AC2412">
        <v>-62.563499999999998</v>
      </c>
      <c r="AD2412">
        <v>-1.107679144447</v>
      </c>
      <c r="AE2412">
        <v>-0.87599999999997602</v>
      </c>
      <c r="AF2412">
        <v>2.4587640628419201</v>
      </c>
      <c r="AG2412">
        <v>-1.107679144447</v>
      </c>
      <c r="AH2412">
        <v>62.5016850529911</v>
      </c>
      <c r="AI2412">
        <v>91.014527217285803</v>
      </c>
      <c r="AJ2412">
        <v>87.747193556892</v>
      </c>
      <c r="AK2412">
        <v>62.559836223147599</v>
      </c>
      <c r="AL2412">
        <v>88.281233864978901</v>
      </c>
      <c r="AM2412">
        <v>89.007314472613501</v>
      </c>
      <c r="AN2412">
        <v>1.0000000275852801</v>
      </c>
    </row>
    <row r="2413" spans="1:40" x14ac:dyDescent="0.25">
      <c r="A2413" t="str">
        <f>"20190312153934852"</f>
        <v>20190312153934852</v>
      </c>
      <c r="B2413" t="str">
        <f>"1552376374848320"</f>
        <v>1552376374848320</v>
      </c>
      <c r="C2413" t="s">
        <v>40</v>
      </c>
      <c r="D2413">
        <v>4.0483799999999999</v>
      </c>
      <c r="E2413">
        <v>0.50899479999999997</v>
      </c>
      <c r="F2413" t="s">
        <v>62</v>
      </c>
      <c r="G2413">
        <v>-299.30650000000003</v>
      </c>
      <c r="H2413" s="1">
        <v>4.0496829999999997E-6</v>
      </c>
      <c r="I2413">
        <v>282.40730000000002</v>
      </c>
      <c r="J2413">
        <v>-235.87520000000001</v>
      </c>
      <c r="K2413">
        <v>1.107605</v>
      </c>
      <c r="L2413">
        <v>283.28190000000001</v>
      </c>
      <c r="M2413">
        <v>-0.99863389999999996</v>
      </c>
      <c r="N2413">
        <v>0</v>
      </c>
      <c r="O2413">
        <v>-5.2244249999999999E-2</v>
      </c>
      <c r="P2413">
        <v>-0.9988901</v>
      </c>
      <c r="Q2413">
        <v>2.9179150000000001E-2</v>
      </c>
      <c r="R2413">
        <v>-3.6975559999999998E-2</v>
      </c>
      <c r="S2413">
        <v>-3.00325</v>
      </c>
      <c r="T2413">
        <v>-5.2261830000000002E-2</v>
      </c>
      <c r="U2413">
        <v>-4.1778559999999999E-2</v>
      </c>
      <c r="V2413">
        <v>1.533117E-2</v>
      </c>
      <c r="W2413">
        <v>3.0077989999999999E-2</v>
      </c>
      <c r="X2413">
        <v>0.99943000000000004</v>
      </c>
      <c r="Y2413">
        <v>3.8334739999999999E-2</v>
      </c>
      <c r="Z2413">
        <v>1.242141E-3</v>
      </c>
      <c r="AA2413">
        <v>0.99926420000000005</v>
      </c>
      <c r="AB2413">
        <v>28</v>
      </c>
      <c r="AC2413">
        <v>-63.4313</v>
      </c>
      <c r="AD2413">
        <v>-1.1076009503169999</v>
      </c>
      <c r="AE2413">
        <v>-0.87459999999998606</v>
      </c>
      <c r="AF2413">
        <v>2.4397728015473699</v>
      </c>
      <c r="AG2413">
        <v>-1.1076009503169999</v>
      </c>
      <c r="AH2413">
        <v>63.371048715230302</v>
      </c>
      <c r="AI2413">
        <v>91.000574156182793</v>
      </c>
      <c r="AJ2413">
        <v>87.795212764447299</v>
      </c>
      <c r="AK2413">
        <v>63.427668146136398</v>
      </c>
      <c r="AL2413">
        <v>88.276398211404299</v>
      </c>
      <c r="AM2413">
        <v>89.121156614068198</v>
      </c>
      <c r="AN2413">
        <v>1.0000000275780001</v>
      </c>
    </row>
    <row r="2414" spans="1:40" x14ac:dyDescent="0.25">
      <c r="A2414" t="str">
        <f>"20190312153934864"</f>
        <v>20190312153934864</v>
      </c>
      <c r="B2414" t="str">
        <f>"1552376374858080"</f>
        <v>1552376374858080</v>
      </c>
      <c r="C2414" t="s">
        <v>40</v>
      </c>
      <c r="D2414">
        <v>4.0364719999999998</v>
      </c>
      <c r="E2414">
        <v>0.50907849999999999</v>
      </c>
      <c r="F2414" t="s">
        <v>62</v>
      </c>
      <c r="G2414">
        <v>-299.99349999999998</v>
      </c>
      <c r="H2414" s="1">
        <v>4.1628880000000001E-6</v>
      </c>
      <c r="I2414">
        <v>282.36130000000003</v>
      </c>
      <c r="J2414">
        <v>-236.03149999999999</v>
      </c>
      <c r="K2414">
        <v>1.107545</v>
      </c>
      <c r="L2414">
        <v>283.27440000000001</v>
      </c>
      <c r="M2414">
        <v>-0.99867510000000004</v>
      </c>
      <c r="N2414">
        <v>0</v>
      </c>
      <c r="O2414">
        <v>-5.1451980000000001E-2</v>
      </c>
      <c r="P2414">
        <v>-0.99888270000000001</v>
      </c>
      <c r="Q2414">
        <v>2.9254079999999998E-2</v>
      </c>
      <c r="R2414">
        <v>-3.711917E-2</v>
      </c>
      <c r="S2414">
        <v>-3.00325</v>
      </c>
      <c r="T2414">
        <v>-5.1879050000000003E-2</v>
      </c>
      <c r="U2414">
        <v>-4.3121340000000001E-2</v>
      </c>
      <c r="V2414">
        <v>1.4398970000000001E-2</v>
      </c>
      <c r="W2414">
        <v>3.0161400000000001E-2</v>
      </c>
      <c r="X2414">
        <v>0.99944129999999998</v>
      </c>
      <c r="Y2414">
        <v>3.709577E-2</v>
      </c>
      <c r="Z2414">
        <v>1.20867E-3</v>
      </c>
      <c r="AA2414">
        <v>0.99931099999999995</v>
      </c>
      <c r="AB2414">
        <v>28</v>
      </c>
      <c r="AC2414">
        <v>-63.961999999999897</v>
      </c>
      <c r="AD2414">
        <v>-1.1075408371119999</v>
      </c>
      <c r="AE2414">
        <v>-0.91309999999998503</v>
      </c>
      <c r="AF2414">
        <v>2.3783692275908801</v>
      </c>
      <c r="AG2414">
        <v>-1.1075408371119999</v>
      </c>
      <c r="AH2414">
        <v>63.905104371303999</v>
      </c>
      <c r="AI2414">
        <v>90.992208284882807</v>
      </c>
      <c r="AJ2414">
        <v>87.868595076616401</v>
      </c>
      <c r="AK2414">
        <v>63.958937230037499</v>
      </c>
      <c r="AL2414">
        <v>88.271616912613098</v>
      </c>
      <c r="AM2414">
        <v>89.1745957087997</v>
      </c>
      <c r="AN2414">
        <v>0.99999997626635495</v>
      </c>
    </row>
    <row r="2415" spans="1:40" x14ac:dyDescent="0.25">
      <c r="A2415" t="str">
        <f>"20190312153934878"</f>
        <v>20190312153934878</v>
      </c>
      <c r="B2415" t="str">
        <f>"1552376374867840"</f>
        <v>1552376374867840</v>
      </c>
      <c r="C2415" t="s">
        <v>40</v>
      </c>
      <c r="D2415">
        <v>4.0522479999999996</v>
      </c>
      <c r="E2415">
        <v>0.50916700000000004</v>
      </c>
      <c r="F2415" t="s">
        <v>62</v>
      </c>
      <c r="G2415">
        <v>-300.37670000000003</v>
      </c>
      <c r="H2415" s="1">
        <v>4.0955650000000003E-6</v>
      </c>
      <c r="I2415">
        <v>282.35390000000001</v>
      </c>
      <c r="J2415">
        <v>-236.2037</v>
      </c>
      <c r="K2415">
        <v>1.1074710000000001</v>
      </c>
      <c r="L2415">
        <v>283.26639999999998</v>
      </c>
      <c r="M2415">
        <v>-0.99872150000000004</v>
      </c>
      <c r="N2415">
        <v>0</v>
      </c>
      <c r="O2415">
        <v>-5.0541229999999999E-2</v>
      </c>
      <c r="P2415">
        <v>-0.99888469999999996</v>
      </c>
      <c r="Q2415">
        <v>2.88881E-2</v>
      </c>
      <c r="R2415">
        <v>-3.7349189999999997E-2</v>
      </c>
      <c r="S2415">
        <v>-3.0032809999999999</v>
      </c>
      <c r="T2415">
        <v>-5.1693919999999997E-2</v>
      </c>
      <c r="U2415">
        <v>-4.296875E-2</v>
      </c>
      <c r="V2415">
        <v>1.3262339999999999E-2</v>
      </c>
      <c r="W2415">
        <v>2.9810130000000001E-2</v>
      </c>
      <c r="X2415">
        <v>0.99946760000000001</v>
      </c>
      <c r="Y2415">
        <v>3.6235719999999999E-2</v>
      </c>
      <c r="Z2415">
        <v>1.1812890000000001E-3</v>
      </c>
      <c r="AA2415">
        <v>0.99934259999999997</v>
      </c>
      <c r="AB2415">
        <v>28</v>
      </c>
      <c r="AC2415">
        <v>-64.173000000000002</v>
      </c>
      <c r="AD2415">
        <v>-1.1074669044349901</v>
      </c>
      <c r="AE2415">
        <v>-0.912499999999966</v>
      </c>
      <c r="AF2415">
        <v>2.3313559023870498</v>
      </c>
      <c r="AG2415">
        <v>-1.1074669044349901</v>
      </c>
      <c r="AH2415">
        <v>64.118012244471402</v>
      </c>
      <c r="AI2415">
        <v>90.988879371548407</v>
      </c>
      <c r="AJ2415">
        <v>87.917620503339904</v>
      </c>
      <c r="AK2415">
        <v>64.169939983376906</v>
      </c>
      <c r="AL2415">
        <v>88.291752311055603</v>
      </c>
      <c r="AM2415">
        <v>89.239763735961304</v>
      </c>
      <c r="AN2415">
        <v>1.0000000084813201</v>
      </c>
    </row>
    <row r="2416" spans="1:40" x14ac:dyDescent="0.25">
      <c r="A2416" t="str">
        <f>"20190312153934892"</f>
        <v>20190312153934892</v>
      </c>
      <c r="B2416" t="str">
        <f>"1552376374888337"</f>
        <v>1552376374888337</v>
      </c>
      <c r="C2416" t="s">
        <v>40</v>
      </c>
      <c r="D2416">
        <v>4.0238800000000001</v>
      </c>
      <c r="E2416">
        <v>0.50936419999999905</v>
      </c>
      <c r="F2416" t="s">
        <v>62</v>
      </c>
      <c r="G2416">
        <v>-299.18599999999998</v>
      </c>
      <c r="H2416" s="1">
        <v>4.0318190000000004E-6</v>
      </c>
      <c r="I2416">
        <v>282.36720000000003</v>
      </c>
      <c r="J2416">
        <v>-236.3896</v>
      </c>
      <c r="K2416">
        <v>1.1073919999999999</v>
      </c>
      <c r="L2416">
        <v>283.25790000000001</v>
      </c>
      <c r="M2416">
        <v>-0.99877479999999996</v>
      </c>
      <c r="N2416">
        <v>0</v>
      </c>
      <c r="O2416">
        <v>-4.9475900000000003E-2</v>
      </c>
      <c r="P2416">
        <v>-0.99891039999999998</v>
      </c>
      <c r="Q2416">
        <v>2.879781E-2</v>
      </c>
      <c r="R2416">
        <v>-3.6722280000000003E-2</v>
      </c>
      <c r="S2416">
        <v>-3.0032649999999999</v>
      </c>
      <c r="T2416">
        <v>-5.2808760000000003E-2</v>
      </c>
      <c r="U2416">
        <v>-4.2877199999999997E-2</v>
      </c>
      <c r="V2416">
        <v>1.2829200000000001E-2</v>
      </c>
      <c r="W2416">
        <v>2.9745790000000001E-2</v>
      </c>
      <c r="X2416">
        <v>0.99947520000000001</v>
      </c>
      <c r="Y2416">
        <v>3.5199889999999998E-2</v>
      </c>
      <c r="Z2416">
        <v>1.1789529999999999E-3</v>
      </c>
      <c r="AA2416">
        <v>0.99937960000000003</v>
      </c>
      <c r="AB2416">
        <v>28</v>
      </c>
      <c r="AC2416">
        <v>-62.796399999999899</v>
      </c>
      <c r="AD2416">
        <v>-1.1073879681809999</v>
      </c>
      <c r="AE2416">
        <v>-0.89069999999998095</v>
      </c>
      <c r="AF2416">
        <v>2.2166116594629699</v>
      </c>
      <c r="AG2416">
        <v>-1.1073879681809999</v>
      </c>
      <c r="AH2416">
        <v>62.744054374407099</v>
      </c>
      <c r="AI2416">
        <v>91.010494560602993</v>
      </c>
      <c r="AJ2416">
        <v>87.976705549319007</v>
      </c>
      <c r="AK2416">
        <v>62.792961665297298</v>
      </c>
      <c r="AL2416">
        <v>88.295440407155795</v>
      </c>
      <c r="AM2416">
        <v>89.264595410902004</v>
      </c>
      <c r="AN2416">
        <v>1.0000000379052001</v>
      </c>
    </row>
    <row r="2417" spans="1:40" x14ac:dyDescent="0.25">
      <c r="A2417" t="str">
        <f>"20190312153934910"</f>
        <v>20190312153934910</v>
      </c>
      <c r="B2417" t="str">
        <f>"1552376374898096"</f>
        <v>1552376374898096</v>
      </c>
      <c r="C2417" t="s">
        <v>40</v>
      </c>
      <c r="D2417">
        <v>4.0247409999999997</v>
      </c>
      <c r="E2417">
        <v>0.5094687</v>
      </c>
      <c r="F2417" t="s">
        <v>62</v>
      </c>
      <c r="G2417">
        <v>-299.15179999999998</v>
      </c>
      <c r="H2417" s="1">
        <v>4.0200770000000003E-6</v>
      </c>
      <c r="I2417">
        <v>282.43200000000002</v>
      </c>
      <c r="J2417">
        <v>-236.6215</v>
      </c>
      <c r="K2417">
        <v>1.107291</v>
      </c>
      <c r="L2417">
        <v>283.24779999999998</v>
      </c>
      <c r="M2417">
        <v>-0.99884340000000005</v>
      </c>
      <c r="N2417">
        <v>0</v>
      </c>
      <c r="O2417">
        <v>-4.8076349999999997E-2</v>
      </c>
      <c r="P2417">
        <v>-0.99889790000000001</v>
      </c>
      <c r="Q2417">
        <v>2.8699789999999999E-2</v>
      </c>
      <c r="R2417">
        <v>-3.7149460000000002E-2</v>
      </c>
      <c r="S2417">
        <v>-3.0033259999999999</v>
      </c>
      <c r="T2417">
        <v>-5.299127E-2</v>
      </c>
      <c r="U2417">
        <v>-3.9520260000000001E-2</v>
      </c>
      <c r="V2417">
        <v>1.1008540000000001E-2</v>
      </c>
      <c r="W2417">
        <v>2.9691929999999998E-2</v>
      </c>
      <c r="X2417">
        <v>0.99949849999999996</v>
      </c>
      <c r="Y2417">
        <v>3.4916820000000001E-2</v>
      </c>
      <c r="Z2417">
        <v>1.155856E-3</v>
      </c>
      <c r="AA2417">
        <v>0.99938950000000004</v>
      </c>
      <c r="AB2417">
        <v>28</v>
      </c>
      <c r="AC2417">
        <v>-62.530299999999897</v>
      </c>
      <c r="AD2417">
        <v>-1.1072869799230001</v>
      </c>
      <c r="AE2417">
        <v>-0.815799999999967</v>
      </c>
      <c r="AF2417">
        <v>2.1906858957918001</v>
      </c>
      <c r="AG2417">
        <v>-1.1072869799230001</v>
      </c>
      <c r="AH2417">
        <v>62.477626610241799</v>
      </c>
      <c r="AI2417">
        <v>91.0147196850413</v>
      </c>
      <c r="AJ2417">
        <v>87.991830647723901</v>
      </c>
      <c r="AK2417">
        <v>62.525826791804398</v>
      </c>
      <c r="AL2417">
        <v>88.298527699573</v>
      </c>
      <c r="AM2417">
        <v>89.368966159126202</v>
      </c>
      <c r="AN2417">
        <v>1.00000002508115</v>
      </c>
    </row>
    <row r="2418" spans="1:40" x14ac:dyDescent="0.25">
      <c r="A2418" t="str">
        <f>"20190312153934931"</f>
        <v>20190312153934931</v>
      </c>
      <c r="B2418" t="str">
        <f>"1552376374918592"</f>
        <v>1552376374918592</v>
      </c>
      <c r="C2418" t="s">
        <v>40</v>
      </c>
      <c r="D2418">
        <v>4.0215009999999998</v>
      </c>
      <c r="E2418">
        <v>0.50964500000000001</v>
      </c>
      <c r="F2418" t="s">
        <v>62</v>
      </c>
      <c r="G2418">
        <v>-298.88920000000002</v>
      </c>
      <c r="H2418" s="1">
        <v>3.974929E-6</v>
      </c>
      <c r="I2418">
        <v>282.41579999999999</v>
      </c>
      <c r="J2418">
        <v>-236.89359999999999</v>
      </c>
      <c r="K2418">
        <v>1.107181</v>
      </c>
      <c r="L2418">
        <v>283.2364</v>
      </c>
      <c r="M2418">
        <v>-0.99892570000000003</v>
      </c>
      <c r="N2418">
        <v>0</v>
      </c>
      <c r="O2418">
        <v>-4.632733E-2</v>
      </c>
      <c r="P2418">
        <v>-0.9988998</v>
      </c>
      <c r="Q2418">
        <v>2.8908E-2</v>
      </c>
      <c r="R2418">
        <v>-3.692434E-2</v>
      </c>
      <c r="S2418">
        <v>-3.0033720000000002</v>
      </c>
      <c r="T2418">
        <v>-5.3408030000000002E-2</v>
      </c>
      <c r="U2418">
        <v>-4.0130619999999999E-2</v>
      </c>
      <c r="V2418">
        <v>9.4922219999999998E-3</v>
      </c>
      <c r="W2418">
        <v>2.996217E-2</v>
      </c>
      <c r="X2418">
        <v>0.99950589999999995</v>
      </c>
      <c r="Y2418">
        <v>3.2964380000000001E-2</v>
      </c>
      <c r="Z2418">
        <v>1.116499E-3</v>
      </c>
      <c r="AA2418">
        <v>0.99945589999999995</v>
      </c>
      <c r="AB2418">
        <v>29</v>
      </c>
      <c r="AC2418">
        <v>-61.995600000000003</v>
      </c>
      <c r="AD2418">
        <v>-1.107177025071</v>
      </c>
      <c r="AE2418">
        <v>-0.82060000000001299</v>
      </c>
      <c r="AF2418">
        <v>2.05171918094773</v>
      </c>
      <c r="AG2418">
        <v>-1.107177025071</v>
      </c>
      <c r="AH2418">
        <v>61.9472981041732</v>
      </c>
      <c r="AI2418">
        <v>91.023370916852002</v>
      </c>
      <c r="AJ2418">
        <v>88.103034396548907</v>
      </c>
      <c r="AK2418">
        <v>61.991153683163702</v>
      </c>
      <c r="AL2418">
        <v>88.283037048535604</v>
      </c>
      <c r="AM2418">
        <v>89.455883242847605</v>
      </c>
      <c r="AN2418">
        <v>0.99999993902220596</v>
      </c>
    </row>
    <row r="2419" spans="1:40" x14ac:dyDescent="0.25">
      <c r="A2419" t="str">
        <f>"20190312153934953"</f>
        <v>20190312153934953</v>
      </c>
      <c r="B2419" t="str">
        <f>"1552376374947873"</f>
        <v>1552376374947873</v>
      </c>
      <c r="C2419" t="s">
        <v>40</v>
      </c>
      <c r="D2419">
        <v>4.0257800000000001</v>
      </c>
      <c r="E2419">
        <v>0.50993999999999995</v>
      </c>
      <c r="F2419" t="s">
        <v>62</v>
      </c>
      <c r="G2419">
        <v>-300.14780000000002</v>
      </c>
      <c r="H2419" s="1">
        <v>4.1289210000000003E-6</v>
      </c>
      <c r="I2419">
        <v>282.43680000000001</v>
      </c>
      <c r="J2419">
        <v>-237.17359999999999</v>
      </c>
      <c r="K2419">
        <v>1.1070759999999999</v>
      </c>
      <c r="L2419">
        <v>283.22519999999997</v>
      </c>
      <c r="M2419">
        <v>-0.99901260000000003</v>
      </c>
      <c r="N2419">
        <v>0</v>
      </c>
      <c r="O2419">
        <v>-4.4415339999999998E-2</v>
      </c>
      <c r="P2419">
        <v>-0.99892409999999998</v>
      </c>
      <c r="Q2419">
        <v>2.8626260000000001E-2</v>
      </c>
      <c r="R2419">
        <v>-3.6492980000000001E-2</v>
      </c>
      <c r="S2419">
        <v>-3.0034329999999998</v>
      </c>
      <c r="T2419">
        <v>-5.2570939999999997E-2</v>
      </c>
      <c r="U2419">
        <v>-3.7963869999999997E-2</v>
      </c>
      <c r="V2419">
        <v>8.0185800000000008E-3</v>
      </c>
      <c r="W2419">
        <v>2.9753890000000002E-2</v>
      </c>
      <c r="X2419">
        <v>0.99952510000000006</v>
      </c>
      <c r="Y2419">
        <v>3.1773490000000001E-2</v>
      </c>
      <c r="Z2419">
        <v>1.0551359999999999E-3</v>
      </c>
      <c r="AA2419">
        <v>0.99949460000000001</v>
      </c>
      <c r="AB2419">
        <v>29</v>
      </c>
      <c r="AC2419">
        <v>-62.974200000000003</v>
      </c>
      <c r="AD2419">
        <v>-1.107071871079</v>
      </c>
      <c r="AE2419">
        <v>-0.78839999999996702</v>
      </c>
      <c r="AF2419">
        <v>2.0087793656884099</v>
      </c>
      <c r="AG2419">
        <v>-1.107071871079</v>
      </c>
      <c r="AH2419">
        <v>62.927626405853999</v>
      </c>
      <c r="AI2419">
        <v>91.007375025265105</v>
      </c>
      <c r="AJ2419">
        <v>88.171621661134196</v>
      </c>
      <c r="AK2419">
        <v>62.9694129537706</v>
      </c>
      <c r="AL2419">
        <v>88.294976055803701</v>
      </c>
      <c r="AM2419">
        <v>89.540360781395194</v>
      </c>
      <c r="AN2419">
        <v>1.0000000085626699</v>
      </c>
    </row>
    <row r="2420" spans="1:40" x14ac:dyDescent="0.25">
      <c r="A2420" t="str">
        <f>"20190312153934967"</f>
        <v>20190312153934967</v>
      </c>
      <c r="B2420" t="str">
        <f>"1552376374958609"</f>
        <v>1552376374958609</v>
      </c>
      <c r="C2420" t="s">
        <v>40</v>
      </c>
      <c r="D2420">
        <v>3.9743599999999999</v>
      </c>
      <c r="E2420">
        <v>0.51004680000000002</v>
      </c>
      <c r="F2420" t="s">
        <v>62</v>
      </c>
      <c r="G2420">
        <v>-298.4837</v>
      </c>
      <c r="H2420" s="1">
        <v>3.893613E-6</v>
      </c>
      <c r="I2420">
        <v>282.52319999999997</v>
      </c>
      <c r="J2420">
        <v>-237.35890000000001</v>
      </c>
      <c r="K2420">
        <v>1.107011</v>
      </c>
      <c r="L2420">
        <v>283.21820000000002</v>
      </c>
      <c r="M2420">
        <v>-0.99907060000000003</v>
      </c>
      <c r="N2420">
        <v>0</v>
      </c>
      <c r="O2420">
        <v>-4.3090469999999999E-2</v>
      </c>
      <c r="P2420">
        <v>-0.99895820000000002</v>
      </c>
      <c r="Q2420">
        <v>2.833517E-2</v>
      </c>
      <c r="R2420">
        <v>-3.5771329999999997E-2</v>
      </c>
      <c r="S2420">
        <v>-3.0035099999999999</v>
      </c>
      <c r="T2420">
        <v>-5.4234150000000002E-2</v>
      </c>
      <c r="U2420">
        <v>-3.4393310000000003E-2</v>
      </c>
      <c r="V2420">
        <v>7.4192049999999999E-3</v>
      </c>
      <c r="W2420">
        <v>2.9513669999999999E-2</v>
      </c>
      <c r="X2420">
        <v>0.99953689999999995</v>
      </c>
      <c r="Y2420">
        <v>3.1635839999999998E-2</v>
      </c>
      <c r="Z2420">
        <v>1.063355E-3</v>
      </c>
      <c r="AA2420">
        <v>0.99949889999999997</v>
      </c>
      <c r="AB2420">
        <v>29</v>
      </c>
      <c r="AC2420">
        <v>-61.124799999999901</v>
      </c>
      <c r="AD2420">
        <v>-1.107007106387</v>
      </c>
      <c r="AE2420">
        <v>-0.69500000000005002</v>
      </c>
      <c r="AF2420">
        <v>1.9389075387194601</v>
      </c>
      <c r="AG2420">
        <v>-1.107007106387</v>
      </c>
      <c r="AH2420">
        <v>61.077942935903899</v>
      </c>
      <c r="AI2420">
        <v>91.037820925010607</v>
      </c>
      <c r="AJ2420">
        <v>88.181767111194404</v>
      </c>
      <c r="AK2420">
        <v>61.118736410848904</v>
      </c>
      <c r="AL2420">
        <v>88.308745778631504</v>
      </c>
      <c r="AM2420">
        <v>89.574721726380901</v>
      </c>
      <c r="AN2420">
        <v>1.0000000578906501</v>
      </c>
    </row>
    <row r="2421" spans="1:40" x14ac:dyDescent="0.25">
      <c r="A2421" t="str">
        <f>"20190312153934988"</f>
        <v>20190312153934988</v>
      </c>
      <c r="B2421" t="str">
        <f>"1552376374978128"</f>
        <v>1552376374978128</v>
      </c>
      <c r="C2421" t="s">
        <v>40</v>
      </c>
      <c r="D2421">
        <v>4.0113969999999997</v>
      </c>
      <c r="E2421">
        <v>0.51758950000000004</v>
      </c>
      <c r="F2421" t="s">
        <v>62</v>
      </c>
      <c r="G2421">
        <v>-296.9624</v>
      </c>
      <c r="H2421" s="1">
        <v>3.6174190000000002E-6</v>
      </c>
      <c r="I2421">
        <v>282.59559999999999</v>
      </c>
      <c r="J2421">
        <v>-237.6465</v>
      </c>
      <c r="K2421">
        <v>1.106922</v>
      </c>
      <c r="L2421">
        <v>283.20780000000002</v>
      </c>
      <c r="M2421">
        <v>-0.99915960000000004</v>
      </c>
      <c r="N2421">
        <v>0</v>
      </c>
      <c r="O2421">
        <v>-4.0969930000000002E-2</v>
      </c>
      <c r="P2421">
        <v>-0.9990175</v>
      </c>
      <c r="Q2421">
        <v>2.8027690000000001E-2</v>
      </c>
      <c r="R2421">
        <v>-3.433187E-2</v>
      </c>
      <c r="S2421">
        <v>-3.0035859999999999</v>
      </c>
      <c r="T2421">
        <v>-5.5785179999999997E-2</v>
      </c>
      <c r="U2421">
        <v>-3.1372070000000002E-2</v>
      </c>
      <c r="V2421">
        <v>6.7439569999999897E-3</v>
      </c>
      <c r="W2421">
        <v>2.9287270000000001E-2</v>
      </c>
      <c r="X2421">
        <v>0.99954829999999995</v>
      </c>
      <c r="Y2421">
        <v>3.0519870000000001E-2</v>
      </c>
      <c r="Z2421">
        <v>1.044031E-3</v>
      </c>
      <c r="AA2421">
        <v>0.99953360000000002</v>
      </c>
      <c r="AB2421">
        <v>29</v>
      </c>
      <c r="AC2421">
        <v>-59.315899999999999</v>
      </c>
      <c r="AD2421">
        <v>-1.1069183825810001</v>
      </c>
      <c r="AE2421">
        <v>-0.61220000000002905</v>
      </c>
      <c r="AF2421">
        <v>1.81785118480204</v>
      </c>
      <c r="AG2421">
        <v>-1.1069183825810001</v>
      </c>
      <c r="AH2421">
        <v>59.270540249527201</v>
      </c>
      <c r="AI2421">
        <v>91.069411232910696</v>
      </c>
      <c r="AJ2421">
        <v>88.243266216624903</v>
      </c>
      <c r="AK2421">
        <v>59.308741284119399</v>
      </c>
      <c r="AL2421">
        <v>88.321723079645494</v>
      </c>
      <c r="AM2421">
        <v>89.613430976541196</v>
      </c>
      <c r="AN2421">
        <v>1.00000001458648</v>
      </c>
    </row>
    <row r="2422" spans="1:40" x14ac:dyDescent="0.25">
      <c r="A2422" t="str">
        <f>"20190312153935010"</f>
        <v>20190312153935010</v>
      </c>
      <c r="B2422" t="str">
        <f>"1552376374998624"</f>
        <v>1552376374998624</v>
      </c>
      <c r="C2422" t="s">
        <v>40</v>
      </c>
      <c r="D2422">
        <v>4.0125699999999904</v>
      </c>
      <c r="E2422">
        <v>0.51828039999999997</v>
      </c>
      <c r="F2422" t="s">
        <v>61</v>
      </c>
      <c r="G2422">
        <v>-269.26280000000003</v>
      </c>
      <c r="H2422" s="1">
        <v>3.3923830000000001E-6</v>
      </c>
      <c r="I2422">
        <v>283.53579999999999</v>
      </c>
      <c r="J2422">
        <v>-237.9264</v>
      </c>
      <c r="K2422">
        <v>1.1068579999999999</v>
      </c>
      <c r="L2422">
        <v>283.19839999999999</v>
      </c>
      <c r="M2422">
        <v>-0.99924429999999997</v>
      </c>
      <c r="N2422">
        <v>0</v>
      </c>
      <c r="O2422">
        <v>-3.8845989999999997E-2</v>
      </c>
      <c r="P2422">
        <v>-0.99911360000000005</v>
      </c>
      <c r="Q2422">
        <v>2.7736449999999999E-2</v>
      </c>
      <c r="R2422">
        <v>-3.1670129999999998E-2</v>
      </c>
      <c r="S2422">
        <v>-3.0069729999999999</v>
      </c>
      <c r="T2422">
        <v>-0.1052773</v>
      </c>
      <c r="U2422">
        <v>3.1188960000000002E-2</v>
      </c>
      <c r="V2422">
        <v>7.2869579999999996E-3</v>
      </c>
      <c r="W2422">
        <v>2.907469E-2</v>
      </c>
      <c r="X2422">
        <v>0.99955070000000001</v>
      </c>
      <c r="Y2422">
        <v>4.9153860000000001E-2</v>
      </c>
      <c r="Z2422">
        <v>2.2195769999999999E-3</v>
      </c>
      <c r="AA2422">
        <v>0.99878880000000003</v>
      </c>
      <c r="AB2422">
        <v>29</v>
      </c>
      <c r="AC2422">
        <v>-31.336400000000001</v>
      </c>
      <c r="AD2422">
        <v>-1.1068546076169901</v>
      </c>
      <c r="AE2422">
        <v>0.33740000000000198</v>
      </c>
      <c r="AF2422">
        <v>1.55250320851957</v>
      </c>
      <c r="AG2422">
        <v>-1.1068546076169901</v>
      </c>
      <c r="AH2422">
        <v>31.260643956943301</v>
      </c>
      <c r="AI2422">
        <v>92.025346932106402</v>
      </c>
      <c r="AJ2422">
        <v>87.1568449317719</v>
      </c>
      <c r="AK2422">
        <v>31.318736467770201</v>
      </c>
      <c r="AL2422">
        <v>88.333908213779097</v>
      </c>
      <c r="AM2422">
        <v>89.582307788336806</v>
      </c>
      <c r="AN2422">
        <v>1.0000000196129799</v>
      </c>
    </row>
    <row r="2423" spans="1:40" x14ac:dyDescent="0.25">
      <c r="A2423" t="str">
        <f>"20190312153935032"</f>
        <v>20190312153935032</v>
      </c>
      <c r="B2423" t="str">
        <f>"1552376375027905"</f>
        <v>1552376375027905</v>
      </c>
      <c r="C2423" t="s">
        <v>40</v>
      </c>
      <c r="D2423">
        <v>4.0099309999999999</v>
      </c>
      <c r="E2423">
        <v>0.51846389999999998</v>
      </c>
      <c r="F2423" t="s">
        <v>61</v>
      </c>
      <c r="G2423">
        <v>-269.16030000000001</v>
      </c>
      <c r="H2423" s="1">
        <v>3.3378780000000001E-6</v>
      </c>
      <c r="I2423">
        <v>283.65859999999998</v>
      </c>
      <c r="J2423">
        <v>-238.2242</v>
      </c>
      <c r="K2423">
        <v>1.1067979999999999</v>
      </c>
      <c r="L2423">
        <v>283.18900000000002</v>
      </c>
      <c r="M2423">
        <v>-0.99933110000000003</v>
      </c>
      <c r="N2423">
        <v>0</v>
      </c>
      <c r="O2423">
        <v>-3.654545E-2</v>
      </c>
      <c r="P2423">
        <v>-0.99924349999999995</v>
      </c>
      <c r="Q2423">
        <v>2.7118280000000002E-2</v>
      </c>
      <c r="R2423">
        <v>-2.787779E-2</v>
      </c>
      <c r="S2423">
        <v>-3.0070190000000001</v>
      </c>
      <c r="T2423">
        <v>-0.1065614</v>
      </c>
      <c r="U2423">
        <v>4.431152E-2</v>
      </c>
      <c r="V2423">
        <v>8.7819009999999999E-3</v>
      </c>
      <c r="W2423">
        <v>2.853847E-2</v>
      </c>
      <c r="X2423">
        <v>0.9995541</v>
      </c>
      <c r="Y2423">
        <v>5.1211029999999998E-2</v>
      </c>
      <c r="Z2423">
        <v>2.2015400000000001E-3</v>
      </c>
      <c r="AA2423">
        <v>0.99868539999999995</v>
      </c>
      <c r="AB2423">
        <v>29</v>
      </c>
      <c r="AC2423">
        <v>-30.9361</v>
      </c>
      <c r="AD2423">
        <v>-1.106794662122</v>
      </c>
      <c r="AE2423">
        <v>0.469599999999957</v>
      </c>
      <c r="AF2423">
        <v>1.5978163054688199</v>
      </c>
      <c r="AG2423">
        <v>-1.106794662122</v>
      </c>
      <c r="AH2423">
        <v>30.858783131934</v>
      </c>
      <c r="AI2423">
        <v>92.051369412907604</v>
      </c>
      <c r="AJ2423">
        <v>87.035967091653106</v>
      </c>
      <c r="AK2423">
        <v>30.919937059344999</v>
      </c>
      <c r="AL2423">
        <v>88.364644050893304</v>
      </c>
      <c r="AM2423">
        <v>89.496622626587595</v>
      </c>
      <c r="AN2423">
        <v>0.999999982440962</v>
      </c>
    </row>
    <row r="2424" spans="1:40" x14ac:dyDescent="0.25">
      <c r="A2424" t="str">
        <f>"20190312153935046"</f>
        <v>20190312153935046</v>
      </c>
      <c r="B2424" t="str">
        <f>"1552376375038641"</f>
        <v>1552376375038641</v>
      </c>
      <c r="C2424" t="s">
        <v>40</v>
      </c>
      <c r="D2424">
        <v>3.9419960000000001</v>
      </c>
      <c r="E2424">
        <v>0.51846389999999998</v>
      </c>
      <c r="F2424" t="s">
        <v>61</v>
      </c>
      <c r="G2424">
        <v>-269.42919999999998</v>
      </c>
      <c r="H2424" s="1">
        <v>3.4809489999999999E-6</v>
      </c>
      <c r="I2424">
        <v>283.77940000000001</v>
      </c>
      <c r="J2424">
        <v>-238.41380000000001</v>
      </c>
      <c r="K2424">
        <v>1.1067720000000001</v>
      </c>
      <c r="L2424">
        <v>283.18340000000001</v>
      </c>
      <c r="M2424">
        <v>-0.99938389999999999</v>
      </c>
      <c r="N2424">
        <v>0</v>
      </c>
      <c r="O2424">
        <v>-3.5067029999999999E-2</v>
      </c>
      <c r="P2424">
        <v>-0.99932259999999995</v>
      </c>
      <c r="Q2424">
        <v>2.6428799999999999E-2</v>
      </c>
      <c r="R2424">
        <v>-2.5615880000000001E-2</v>
      </c>
      <c r="S2424">
        <v>-3.0067599999999999</v>
      </c>
      <c r="T2424">
        <v>-0.1066453</v>
      </c>
      <c r="U2424">
        <v>5.6884770000000001E-2</v>
      </c>
      <c r="V2424">
        <v>9.5657039999999995E-3</v>
      </c>
      <c r="W2424">
        <v>2.79031E-2</v>
      </c>
      <c r="X2424">
        <v>0.99956489999999998</v>
      </c>
      <c r="Y2424">
        <v>5.39088E-2</v>
      </c>
      <c r="Z2424">
        <v>2.1988340000000002E-3</v>
      </c>
      <c r="AA2424">
        <v>0.99854339999999997</v>
      </c>
      <c r="AB2424">
        <v>30</v>
      </c>
      <c r="AC2424">
        <v>-31.0153999999999</v>
      </c>
      <c r="AD2424">
        <v>-1.1067685190509999</v>
      </c>
      <c r="AE2424">
        <v>0.59600000000000297</v>
      </c>
      <c r="AF2424">
        <v>1.6811126451735501</v>
      </c>
      <c r="AG2424">
        <v>-1.1067685190509999</v>
      </c>
      <c r="AH2424">
        <v>30.9360454827155</v>
      </c>
      <c r="AI2424">
        <v>92.045924958478594</v>
      </c>
      <c r="AJ2424">
        <v>86.8895179127408</v>
      </c>
      <c r="AK2424">
        <v>31.0014513593988</v>
      </c>
      <c r="AL2424">
        <v>88.401062664607906</v>
      </c>
      <c r="AM2424">
        <v>89.451703699408498</v>
      </c>
      <c r="AN2424">
        <v>1.0000000374973099</v>
      </c>
    </row>
    <row r="2425" spans="1:40" x14ac:dyDescent="0.25">
      <c r="A2425" t="str">
        <f>"20190312153935064"</f>
        <v>20190312153935064</v>
      </c>
      <c r="B2425" t="str">
        <f>"1552376375058161"</f>
        <v>1552376375058161</v>
      </c>
      <c r="C2425" t="s">
        <v>40</v>
      </c>
      <c r="D2425">
        <v>4.0227529999999998</v>
      </c>
      <c r="E2425">
        <v>0.53029490000000001</v>
      </c>
      <c r="F2425" t="s">
        <v>61</v>
      </c>
      <c r="G2425">
        <v>-269.01220000000001</v>
      </c>
      <c r="H2425" s="1">
        <v>3.259058E-6</v>
      </c>
      <c r="I2425">
        <v>283.83159999999998</v>
      </c>
      <c r="J2425">
        <v>-238.66390000000001</v>
      </c>
      <c r="K2425">
        <v>1.1067400000000001</v>
      </c>
      <c r="L2425">
        <v>283.17649999999998</v>
      </c>
      <c r="M2425">
        <v>-0.99945059999999997</v>
      </c>
      <c r="N2425">
        <v>0</v>
      </c>
      <c r="O2425">
        <v>-3.31083E-2</v>
      </c>
      <c r="P2425">
        <v>-0.99943009999999999</v>
      </c>
      <c r="Q2425">
        <v>2.5902939999999999E-2</v>
      </c>
      <c r="R2425">
        <v>-2.1652069999999999E-2</v>
      </c>
      <c r="S2425">
        <v>-3.0065460000000002</v>
      </c>
      <c r="T2425">
        <v>-0.10874929999999999</v>
      </c>
      <c r="U2425">
        <v>6.3690189999999994E-2</v>
      </c>
      <c r="V2425">
        <v>1.157204E-2</v>
      </c>
      <c r="W2425">
        <v>2.744504E-2</v>
      </c>
      <c r="X2425">
        <v>0.99955629999999995</v>
      </c>
      <c r="Y2425">
        <v>5.4211299999999997E-2</v>
      </c>
      <c r="Z2425">
        <v>2.1769749999999998E-3</v>
      </c>
      <c r="AA2425">
        <v>0.9985271</v>
      </c>
      <c r="AB2425">
        <v>30</v>
      </c>
      <c r="AC2425">
        <v>-30.348299999999899</v>
      </c>
      <c r="AD2425">
        <v>-1.1067367409419999</v>
      </c>
      <c r="AE2425">
        <v>0.65510000000000401</v>
      </c>
      <c r="AF2425">
        <v>1.65731960191309</v>
      </c>
      <c r="AG2425">
        <v>-1.1067367409419999</v>
      </c>
      <c r="AH2425">
        <v>30.2697357793202</v>
      </c>
      <c r="AI2425">
        <v>92.090814564783599</v>
      </c>
      <c r="AJ2425">
        <v>86.866087523275496</v>
      </c>
      <c r="AK2425">
        <v>30.335267901017399</v>
      </c>
      <c r="AL2425">
        <v>88.427317517469902</v>
      </c>
      <c r="AM2425">
        <v>89.336706263984695</v>
      </c>
      <c r="AN2425">
        <v>0.99999996960002602</v>
      </c>
    </row>
    <row r="2426" spans="1:40" x14ac:dyDescent="0.25">
      <c r="A2426" t="str">
        <f>"20190312153935089"</f>
        <v>20190312153935089</v>
      </c>
      <c r="B2426" t="str">
        <f>"1552376375078656"</f>
        <v>1552376375078656</v>
      </c>
      <c r="C2426" t="s">
        <v>40</v>
      </c>
      <c r="D2426">
        <v>3.9813749999999999</v>
      </c>
      <c r="E2426">
        <v>0.53052359999999998</v>
      </c>
      <c r="F2426" t="s">
        <v>62</v>
      </c>
      <c r="G2426">
        <v>-309.21980000000002</v>
      </c>
      <c r="H2426" s="1">
        <v>2.1017519999999999E-6</v>
      </c>
      <c r="I2426">
        <v>287.21769999999998</v>
      </c>
      <c r="J2426">
        <v>-238.98699999999999</v>
      </c>
      <c r="K2426">
        <v>1.1067070000000001</v>
      </c>
      <c r="L2426">
        <v>283.16829999999999</v>
      </c>
      <c r="M2426">
        <v>-0.99953110000000001</v>
      </c>
      <c r="N2426">
        <v>0</v>
      </c>
      <c r="O2426">
        <v>-3.0570170000000001E-2</v>
      </c>
      <c r="P2426">
        <v>-0.99952830000000004</v>
      </c>
      <c r="Q2426">
        <v>2.5149850000000001E-2</v>
      </c>
      <c r="R2426">
        <v>-1.7624020000000001E-2</v>
      </c>
      <c r="S2426">
        <v>-3.006653</v>
      </c>
      <c r="T2426">
        <v>-4.7162290000000003E-2</v>
      </c>
      <c r="U2426">
        <v>0.17221069999999999</v>
      </c>
      <c r="V2426">
        <v>1.306204E-2</v>
      </c>
      <c r="W2426">
        <v>2.6784860000000001E-2</v>
      </c>
      <c r="X2426">
        <v>0.99955590000000005</v>
      </c>
      <c r="Y2426">
        <v>8.7661799999999998E-2</v>
      </c>
      <c r="Z2426">
        <v>1.166076E-3</v>
      </c>
      <c r="AA2426">
        <v>0.99614959999999997</v>
      </c>
      <c r="AB2426">
        <v>30</v>
      </c>
      <c r="AC2426">
        <v>-70.232799999999997</v>
      </c>
      <c r="AD2426">
        <v>-1.1067048982479999</v>
      </c>
      <c r="AE2426">
        <v>4.0493999999999897</v>
      </c>
      <c r="AF2426">
        <v>6.1930066493622498</v>
      </c>
      <c r="AG2426">
        <v>-1.1067048982479999</v>
      </c>
      <c r="AH2426">
        <v>70.058845425966297</v>
      </c>
      <c r="AI2426">
        <v>90.901499396288997</v>
      </c>
      <c r="AJ2426">
        <v>84.9483434889177</v>
      </c>
      <c r="AK2426">
        <v>70.340741746944104</v>
      </c>
      <c r="AL2426">
        <v>88.465157039307101</v>
      </c>
      <c r="AM2426">
        <v>89.251310339769404</v>
      </c>
      <c r="AN2426">
        <v>1.00000002141949</v>
      </c>
    </row>
    <row r="2427" spans="1:40" x14ac:dyDescent="0.25">
      <c r="A2427" t="str">
        <f>"20190312153935103"</f>
        <v>20190312153935103</v>
      </c>
      <c r="B2427" t="str">
        <f>"1552376375098176"</f>
        <v>1552376375098176</v>
      </c>
      <c r="C2427" t="s">
        <v>40</v>
      </c>
      <c r="D2427">
        <v>3.9488150000000002</v>
      </c>
      <c r="E2427">
        <v>0.53036749999999999</v>
      </c>
      <c r="F2427" t="s">
        <v>62</v>
      </c>
      <c r="G2427">
        <v>-303.13560000000001</v>
      </c>
      <c r="H2427" s="1">
        <v>3.1878030000000001E-6</v>
      </c>
      <c r="I2427">
        <v>287.1397</v>
      </c>
      <c r="J2427">
        <v>-239.1756</v>
      </c>
      <c r="K2427">
        <v>1.1066910000000001</v>
      </c>
      <c r="L2427">
        <v>283.16390000000001</v>
      </c>
      <c r="M2427">
        <v>-0.9995754</v>
      </c>
      <c r="N2427">
        <v>0</v>
      </c>
      <c r="O2427">
        <v>-2.9087060000000001E-2</v>
      </c>
      <c r="P2427">
        <v>-0.99956460000000003</v>
      </c>
      <c r="Q2427">
        <v>2.5043289999999999E-2</v>
      </c>
      <c r="R2427">
        <v>-1.5608540000000001E-2</v>
      </c>
      <c r="S2427">
        <v>-3.0059809999999998</v>
      </c>
      <c r="T2427">
        <v>-5.1859740000000001E-2</v>
      </c>
      <c r="U2427">
        <v>0.18609619999999999</v>
      </c>
      <c r="V2427">
        <v>1.3595299999999999E-2</v>
      </c>
      <c r="W2427">
        <v>2.6734330000000001E-2</v>
      </c>
      <c r="X2427">
        <v>0.9995501</v>
      </c>
      <c r="Y2427">
        <v>9.0777930000000007E-2</v>
      </c>
      <c r="Z2427">
        <v>1.2836099999999999E-3</v>
      </c>
      <c r="AA2427">
        <v>0.99587040000000004</v>
      </c>
      <c r="AB2427">
        <v>30</v>
      </c>
      <c r="AC2427">
        <v>-63.96</v>
      </c>
      <c r="AD2427">
        <v>-1.1066878121969901</v>
      </c>
      <c r="AE2427">
        <v>3.9757999999999898</v>
      </c>
      <c r="AF2427">
        <v>5.8327893343550796</v>
      </c>
      <c r="AG2427">
        <v>-1.1066878121969901</v>
      </c>
      <c r="AH2427">
        <v>63.798265914951202</v>
      </c>
      <c r="AI2427">
        <v>90.989664933634202</v>
      </c>
      <c r="AJ2427">
        <v>84.776226057391</v>
      </c>
      <c r="AK2427">
        <v>64.073902043557993</v>
      </c>
      <c r="AL2427">
        <v>88.4680531678774</v>
      </c>
      <c r="AM2427">
        <v>89.2207441313316</v>
      </c>
      <c r="AN2427">
        <v>0.99999997949632402</v>
      </c>
    </row>
    <row r="2428" spans="1:40" x14ac:dyDescent="0.25">
      <c r="A2428" t="str">
        <f>"20190312153935122"</f>
        <v>20190312153935122</v>
      </c>
      <c r="B2428" t="str">
        <f>"1552376375118673"</f>
        <v>1552376375118673</v>
      </c>
      <c r="C2428" t="s">
        <v>40</v>
      </c>
      <c r="D2428">
        <v>3.8944070000000002</v>
      </c>
      <c r="E2428">
        <v>0.53047080000000002</v>
      </c>
      <c r="F2428" t="s">
        <v>62</v>
      </c>
      <c r="G2428">
        <v>-314.65690000000001</v>
      </c>
      <c r="H2428" s="1">
        <v>3.9891079999999999E-6</v>
      </c>
      <c r="I2428">
        <v>287.96800000000002</v>
      </c>
      <c r="J2428">
        <v>-239.43530000000001</v>
      </c>
      <c r="K2428">
        <v>1.106673</v>
      </c>
      <c r="L2428">
        <v>283.1583</v>
      </c>
      <c r="M2428">
        <v>-0.99963250000000003</v>
      </c>
      <c r="N2428">
        <v>0</v>
      </c>
      <c r="O2428">
        <v>-2.7045550000000002E-2</v>
      </c>
      <c r="P2428">
        <v>-0.99960939999999998</v>
      </c>
      <c r="Q2428">
        <v>2.4733359999999999E-2</v>
      </c>
      <c r="R2428">
        <v>-1.301797E-2</v>
      </c>
      <c r="S2428">
        <v>-3.005417</v>
      </c>
      <c r="T2428">
        <v>-4.4064640000000002E-2</v>
      </c>
      <c r="U2428">
        <v>0.19128419999999999</v>
      </c>
      <c r="V2428">
        <v>1.414493E-2</v>
      </c>
      <c r="W2428">
        <v>2.6501719999999999E-2</v>
      </c>
      <c r="X2428">
        <v>0.99954869999999996</v>
      </c>
      <c r="Y2428">
        <v>9.0473120000000004E-2</v>
      </c>
      <c r="Z2428">
        <v>1.058703E-3</v>
      </c>
      <c r="AA2428">
        <v>0.99589830000000001</v>
      </c>
      <c r="AB2428">
        <v>30</v>
      </c>
      <c r="AC2428">
        <v>-75.221599999999995</v>
      </c>
      <c r="AD2428">
        <v>-1.1066690108920001</v>
      </c>
      <c r="AE2428">
        <v>4.8097000000000198</v>
      </c>
      <c r="AF2428">
        <v>6.8408789673094503</v>
      </c>
      <c r="AG2428">
        <v>-1.1066690108920001</v>
      </c>
      <c r="AH2428">
        <v>75.047825117027401</v>
      </c>
      <c r="AI2428">
        <v>90.841345229584306</v>
      </c>
      <c r="AJ2428">
        <v>84.791677242068602</v>
      </c>
      <c r="AK2428">
        <v>75.367090935904997</v>
      </c>
      <c r="AL2428">
        <v>88.481385512665</v>
      </c>
      <c r="AM2428">
        <v>89.189243408368696</v>
      </c>
      <c r="AN2428">
        <v>1.0000000119396699</v>
      </c>
    </row>
    <row r="2429" spans="1:40" x14ac:dyDescent="0.25">
      <c r="A2429" t="str">
        <f>"20190312153935143"</f>
        <v>20190312153935143</v>
      </c>
      <c r="B2429" t="str">
        <f>"1552376375138193"</f>
        <v>1552376375138193</v>
      </c>
      <c r="C2429" t="s">
        <v>40</v>
      </c>
      <c r="D2429">
        <v>3.9474749999999998</v>
      </c>
      <c r="E2429">
        <v>0.53020630000000002</v>
      </c>
      <c r="F2429" t="s">
        <v>61</v>
      </c>
      <c r="G2429">
        <v>-321.75749999999999</v>
      </c>
      <c r="H2429" s="1">
        <v>-7.7734269999999899E-7</v>
      </c>
      <c r="I2429">
        <v>288.63810000000001</v>
      </c>
      <c r="J2429">
        <v>-239.72239999999999</v>
      </c>
      <c r="K2429">
        <v>1.106657</v>
      </c>
      <c r="L2429">
        <v>283.15260000000001</v>
      </c>
      <c r="M2429">
        <v>-0.99969090000000005</v>
      </c>
      <c r="N2429">
        <v>0</v>
      </c>
      <c r="O2429">
        <v>-2.478994E-2</v>
      </c>
      <c r="P2429">
        <v>-0.99964200000000003</v>
      </c>
      <c r="Q2429">
        <v>2.452147E-2</v>
      </c>
      <c r="R2429">
        <v>-1.071246E-2</v>
      </c>
      <c r="S2429">
        <v>-3.0047609999999998</v>
      </c>
      <c r="T2429">
        <v>-4.039359E-2</v>
      </c>
      <c r="U2429">
        <v>0.2000122</v>
      </c>
      <c r="V2429">
        <v>1.4195889999999999E-2</v>
      </c>
      <c r="W2429">
        <v>2.637778E-2</v>
      </c>
      <c r="X2429">
        <v>0.99955119999999997</v>
      </c>
      <c r="Y2429">
        <v>9.1122519999999999E-2</v>
      </c>
      <c r="Z2429">
        <v>9.4470079999999998E-4</v>
      </c>
      <c r="AA2429">
        <v>0.99583920000000004</v>
      </c>
      <c r="AB2429">
        <v>30</v>
      </c>
      <c r="AC2429">
        <v>-82.0351</v>
      </c>
      <c r="AD2429">
        <v>-1.1066577773427</v>
      </c>
      <c r="AE2429">
        <v>5.4855</v>
      </c>
      <c r="AF2429">
        <v>7.5161013295877801</v>
      </c>
      <c r="AG2429">
        <v>-1.1066577773427</v>
      </c>
      <c r="AH2429">
        <v>81.859073080921306</v>
      </c>
      <c r="AI2429">
        <v>90.771293970843502</v>
      </c>
      <c r="AJ2429">
        <v>84.753949863959903</v>
      </c>
      <c r="AK2429">
        <v>82.210852789035101</v>
      </c>
      <c r="AL2429">
        <v>88.488489150317903</v>
      </c>
      <c r="AM2429">
        <v>89.186324918952806</v>
      </c>
      <c r="AN2429">
        <v>0.99999995599602898</v>
      </c>
    </row>
    <row r="2430" spans="1:40" x14ac:dyDescent="0.25">
      <c r="A2430" t="str">
        <f>"20190312153935165"</f>
        <v>20190312153935165</v>
      </c>
      <c r="B2430" t="str">
        <f>"1552376375158689"</f>
        <v>1552376375158689</v>
      </c>
      <c r="C2430" t="s">
        <v>40</v>
      </c>
      <c r="D2430">
        <v>3.8852799999999998</v>
      </c>
      <c r="E2430">
        <v>0.53013149999999998</v>
      </c>
      <c r="F2430" t="s">
        <v>61</v>
      </c>
      <c r="G2430">
        <v>-328.75670000000002</v>
      </c>
      <c r="H2430" s="1">
        <v>2.9216059999999999E-6</v>
      </c>
      <c r="I2430">
        <v>289.22500000000002</v>
      </c>
      <c r="J2430">
        <v>-240.03620000000001</v>
      </c>
      <c r="K2430">
        <v>1.106635</v>
      </c>
      <c r="L2430">
        <v>283.1472</v>
      </c>
      <c r="M2430">
        <v>-0.99974879999999999</v>
      </c>
      <c r="N2430">
        <v>0</v>
      </c>
      <c r="O2430">
        <v>-2.23257E-2</v>
      </c>
      <c r="P2430">
        <v>-0.99968389999999996</v>
      </c>
      <c r="Q2430">
        <v>2.373318E-2</v>
      </c>
      <c r="R2430">
        <v>-8.3060059999999995E-3</v>
      </c>
      <c r="S2430">
        <v>-3.0041959999999999</v>
      </c>
      <c r="T2430">
        <v>-3.7340760000000001E-2</v>
      </c>
      <c r="U2430">
        <v>0.20489499999999999</v>
      </c>
      <c r="V2430">
        <v>1.413705E-2</v>
      </c>
      <c r="W2430">
        <v>2.568469E-2</v>
      </c>
      <c r="X2430">
        <v>0.99957010000000002</v>
      </c>
      <c r="Y2430">
        <v>9.0293250000000005E-2</v>
      </c>
      <c r="Z2430">
        <v>8.3768039999999996E-4</v>
      </c>
      <c r="AA2430">
        <v>0.99591490000000005</v>
      </c>
      <c r="AB2430">
        <v>31</v>
      </c>
      <c r="AC2430">
        <v>-88.720500000000001</v>
      </c>
      <c r="AD2430">
        <v>-1.106632078394</v>
      </c>
      <c r="AE2430">
        <v>6.0778000000000203</v>
      </c>
      <c r="AF2430">
        <v>8.0557887557270007</v>
      </c>
      <c r="AG2430">
        <v>-1.106632078394</v>
      </c>
      <c r="AH2430">
        <v>88.548982717499896</v>
      </c>
      <c r="AI2430">
        <v>90.713066537349704</v>
      </c>
      <c r="AJ2430">
        <v>84.801796842836197</v>
      </c>
      <c r="AK2430">
        <v>88.921553671412696</v>
      </c>
      <c r="AL2430">
        <v>88.528213769938901</v>
      </c>
      <c r="AM2430">
        <v>89.189712358244805</v>
      </c>
      <c r="AN2430">
        <v>0.99999997214855296</v>
      </c>
    </row>
    <row r="2431" spans="1:40" x14ac:dyDescent="0.25">
      <c r="A2431" t="str">
        <f>"20190312153935177"</f>
        <v>20190312153935177</v>
      </c>
      <c r="B2431" t="str">
        <f>"1552376375168449"</f>
        <v>1552376375168449</v>
      </c>
      <c r="C2431" t="s">
        <v>40</v>
      </c>
      <c r="D2431">
        <v>3.884897</v>
      </c>
      <c r="E2431">
        <v>0.53008959999999905</v>
      </c>
      <c r="F2431" t="s">
        <v>61</v>
      </c>
      <c r="G2431">
        <v>-335.73480000000001</v>
      </c>
      <c r="H2431">
        <v>8.0000009999999996E-2</v>
      </c>
      <c r="I2431">
        <v>289.88869999999997</v>
      </c>
      <c r="J2431">
        <v>-240.2037</v>
      </c>
      <c r="K2431">
        <v>1.1066229999999999</v>
      </c>
      <c r="L2431">
        <v>283.14460000000003</v>
      </c>
      <c r="M2431">
        <v>-0.99977720000000003</v>
      </c>
      <c r="N2431">
        <v>0</v>
      </c>
      <c r="O2431">
        <v>-2.101126E-2</v>
      </c>
      <c r="P2431">
        <v>-0.99970119999999896</v>
      </c>
      <c r="Q2431">
        <v>2.3316340000000001E-2</v>
      </c>
      <c r="R2431">
        <v>-7.3672369999999996E-3</v>
      </c>
      <c r="S2431">
        <v>-3.003479</v>
      </c>
      <c r="T2431">
        <v>-3.2220720000000001E-2</v>
      </c>
      <c r="U2431">
        <v>0.2115784</v>
      </c>
      <c r="V2431">
        <v>1.376074E-2</v>
      </c>
      <c r="W2431">
        <v>2.5319560000000001E-2</v>
      </c>
      <c r="X2431">
        <v>0.99958469999999999</v>
      </c>
      <c r="Y2431">
        <v>9.1207720000000006E-2</v>
      </c>
      <c r="Z2431">
        <v>7.1375849999999995E-4</v>
      </c>
      <c r="AA2431">
        <v>0.99583160000000004</v>
      </c>
      <c r="AB2431">
        <v>31</v>
      </c>
      <c r="AC2431">
        <v>-95.531099999999995</v>
      </c>
      <c r="AD2431">
        <v>-1.0266229899999999</v>
      </c>
      <c r="AE2431">
        <v>6.74409999999994</v>
      </c>
      <c r="AF2431">
        <v>8.7488386676296095</v>
      </c>
      <c r="AG2431">
        <v>-1.0266229899999999</v>
      </c>
      <c r="AH2431">
        <v>95.357350150618998</v>
      </c>
      <c r="AI2431">
        <v>90.614246342862799</v>
      </c>
      <c r="AJ2431">
        <v>84.757907206963694</v>
      </c>
      <c r="AK2431">
        <v>95.763356042609303</v>
      </c>
      <c r="AL2431">
        <v>88.549141032891598</v>
      </c>
      <c r="AM2431">
        <v>89.211289924740598</v>
      </c>
      <c r="AN2431">
        <v>1.0000000052790099</v>
      </c>
    </row>
    <row r="2432" spans="1:40" x14ac:dyDescent="0.25">
      <c r="A2432" t="str">
        <f>"20190312153935188"</f>
        <v>20190312153935188</v>
      </c>
      <c r="B2432" t="str">
        <f>"1552376375178209"</f>
        <v>1552376375178209</v>
      </c>
      <c r="C2432" t="s">
        <v>40</v>
      </c>
      <c r="D2432">
        <v>3.8772199999999999</v>
      </c>
      <c r="E2432">
        <v>0.53008529999999998</v>
      </c>
      <c r="F2432" t="s">
        <v>61</v>
      </c>
      <c r="G2432">
        <v>-339.18239999999997</v>
      </c>
      <c r="H2432">
        <v>8.0001000000000003E-2</v>
      </c>
      <c r="I2432">
        <v>290.20319999999998</v>
      </c>
      <c r="J2432">
        <v>-240.37100000000001</v>
      </c>
      <c r="K2432">
        <v>1.106611</v>
      </c>
      <c r="L2432">
        <v>283.14229999999998</v>
      </c>
      <c r="M2432">
        <v>-0.99980380000000002</v>
      </c>
      <c r="N2432">
        <v>0</v>
      </c>
      <c r="O2432">
        <v>-1.969802E-2</v>
      </c>
      <c r="P2432">
        <v>-0.99971900000000002</v>
      </c>
      <c r="Q2432">
        <v>2.2863769999999999E-2</v>
      </c>
      <c r="R2432">
        <v>-6.2986479999999996E-3</v>
      </c>
      <c r="S2432">
        <v>-3.0031889999999999</v>
      </c>
      <c r="T2432">
        <v>-3.1149509999999998E-2</v>
      </c>
      <c r="U2432">
        <v>0.21417240000000001</v>
      </c>
      <c r="V2432">
        <v>1.351538E-2</v>
      </c>
      <c r="W2432">
        <v>2.4917709999999999E-2</v>
      </c>
      <c r="X2432">
        <v>0.99959810000000004</v>
      </c>
      <c r="Y2432">
        <v>9.0762789999999996E-2</v>
      </c>
      <c r="Z2432">
        <v>6.741653E-4</v>
      </c>
      <c r="AA2432">
        <v>0.99587230000000004</v>
      </c>
      <c r="AB2432">
        <v>31</v>
      </c>
      <c r="AC2432">
        <v>-98.811400000000006</v>
      </c>
      <c r="AD2432">
        <v>-1.02661</v>
      </c>
      <c r="AE2432">
        <v>7.0609000000000002</v>
      </c>
      <c r="AF2432">
        <v>9.0049560814788396</v>
      </c>
      <c r="AG2432">
        <v>-1.02661</v>
      </c>
      <c r="AH2432">
        <v>98.642548264267106</v>
      </c>
      <c r="AI2432">
        <v>90.593808161399707</v>
      </c>
      <c r="AJ2432">
        <v>84.783996605854696</v>
      </c>
      <c r="AK2432">
        <v>99.058041017323404</v>
      </c>
      <c r="AL2432">
        <v>88.572172543737693</v>
      </c>
      <c r="AM2432">
        <v>89.225361623552601</v>
      </c>
      <c r="AN2432">
        <v>0.99999995964589805</v>
      </c>
    </row>
    <row r="2433" spans="1:40" x14ac:dyDescent="0.25">
      <c r="A2433" t="str">
        <f>"20190312153935201"</f>
        <v>20190312153935201</v>
      </c>
      <c r="B2433" t="str">
        <f>"1552376375187968"</f>
        <v>1552376375187968</v>
      </c>
      <c r="C2433" t="s">
        <v>40</v>
      </c>
      <c r="D2433">
        <v>3.881186</v>
      </c>
      <c r="E2433">
        <v>0.53007069999999901</v>
      </c>
      <c r="F2433" t="s">
        <v>61</v>
      </c>
      <c r="G2433">
        <v>-343.43150000000003</v>
      </c>
      <c r="H2433">
        <v>8.0001030000000001E-2</v>
      </c>
      <c r="I2433">
        <v>290.60379999999998</v>
      </c>
      <c r="J2433">
        <v>-240.5361</v>
      </c>
      <c r="K2433">
        <v>1.1065990000000001</v>
      </c>
      <c r="L2433">
        <v>283.14019999999999</v>
      </c>
      <c r="M2433">
        <v>-0.99982850000000001</v>
      </c>
      <c r="N2433">
        <v>0</v>
      </c>
      <c r="O2433">
        <v>-1.8402419999999999E-2</v>
      </c>
      <c r="P2433">
        <v>-0.99973199999999995</v>
      </c>
      <c r="Q2433">
        <v>2.262927E-2</v>
      </c>
      <c r="R2433">
        <v>-4.9180090000000001E-3</v>
      </c>
      <c r="S2433">
        <v>-3.0028990000000002</v>
      </c>
      <c r="T2433">
        <v>-2.9912589999999999E-2</v>
      </c>
      <c r="U2433">
        <v>0.21740719999999999</v>
      </c>
      <c r="V2433">
        <v>1.3600340000000001E-2</v>
      </c>
      <c r="W2433">
        <v>2.4731800000000002E-2</v>
      </c>
      <c r="X2433">
        <v>0.99960159999999998</v>
      </c>
      <c r="Y2433">
        <v>9.0546950000000001E-2</v>
      </c>
      <c r="Z2433">
        <v>6.334693E-4</v>
      </c>
      <c r="AA2433">
        <v>0.995892</v>
      </c>
      <c r="AB2433">
        <v>31</v>
      </c>
      <c r="AC2433">
        <v>-102.8954</v>
      </c>
      <c r="AD2433">
        <v>-1.0265979700000001</v>
      </c>
      <c r="AE2433">
        <v>7.46359999999998</v>
      </c>
      <c r="AF2433">
        <v>9.3549382345178191</v>
      </c>
      <c r="AG2433">
        <v>-1.0265979700000001</v>
      </c>
      <c r="AH2433">
        <v>102.73045460329899</v>
      </c>
      <c r="AI2433">
        <v>90.570185575768704</v>
      </c>
      <c r="AJ2433">
        <v>84.7968280042044</v>
      </c>
      <c r="AK2433">
        <v>103.160627546386</v>
      </c>
      <c r="AL2433">
        <v>88.582827736316204</v>
      </c>
      <c r="AM2433">
        <v>89.220495441680399</v>
      </c>
      <c r="AN2433">
        <v>0.99999999495095704</v>
      </c>
    </row>
    <row r="2434" spans="1:40" x14ac:dyDescent="0.25">
      <c r="A2434" t="str">
        <f>"20190312153935213"</f>
        <v>20190312153935213</v>
      </c>
      <c r="B2434" t="str">
        <f>"1552376375208465"</f>
        <v>1552376375208465</v>
      </c>
      <c r="C2434" t="s">
        <v>40</v>
      </c>
      <c r="D2434">
        <v>3.8766980000000002</v>
      </c>
      <c r="E2434">
        <v>0.52991250000000001</v>
      </c>
      <c r="F2434" t="s">
        <v>61</v>
      </c>
      <c r="G2434">
        <v>-346.26159999999999</v>
      </c>
      <c r="H2434">
        <v>8.0000390000000005E-2</v>
      </c>
      <c r="I2434">
        <v>290.93950000000001</v>
      </c>
      <c r="J2434">
        <v>-240.71209999999999</v>
      </c>
      <c r="K2434">
        <v>1.106587</v>
      </c>
      <c r="L2434">
        <v>283.13819999999998</v>
      </c>
      <c r="M2434">
        <v>-0.99985270000000004</v>
      </c>
      <c r="N2434">
        <v>0</v>
      </c>
      <c r="O2434">
        <v>-1.702099E-2</v>
      </c>
      <c r="P2434">
        <v>-0.99974229999999997</v>
      </c>
      <c r="Q2434">
        <v>2.2397589999999998E-2</v>
      </c>
      <c r="R2434">
        <v>-3.6833949999999999E-3</v>
      </c>
      <c r="S2434">
        <v>-3.0025629999999999</v>
      </c>
      <c r="T2434">
        <v>-2.915502E-2</v>
      </c>
      <c r="U2434">
        <v>0.22149659999999999</v>
      </c>
      <c r="V2434">
        <v>1.345353E-2</v>
      </c>
      <c r="W2434">
        <v>2.4552560000000001E-2</v>
      </c>
      <c r="X2434">
        <v>0.99960800000000005</v>
      </c>
      <c r="Y2434">
        <v>9.052847E-2</v>
      </c>
      <c r="Z2434">
        <v>6.0397769999999905E-4</v>
      </c>
      <c r="AA2434">
        <v>0.99589369999999999</v>
      </c>
      <c r="AB2434">
        <v>31</v>
      </c>
      <c r="AC2434">
        <v>-105.54949999999999</v>
      </c>
      <c r="AD2434">
        <v>-1.0265866100000001</v>
      </c>
      <c r="AE2434">
        <v>7.8013000000000199</v>
      </c>
      <c r="AF2434">
        <v>9.5958283850503197</v>
      </c>
      <c r="AG2434">
        <v>-1.0265866100000001</v>
      </c>
      <c r="AH2434">
        <v>105.391507470143</v>
      </c>
      <c r="AI2434">
        <v>90.555784284873894</v>
      </c>
      <c r="AJ2434">
        <v>84.797600737646604</v>
      </c>
      <c r="AK2434">
        <v>105.832431935076</v>
      </c>
      <c r="AL2434">
        <v>88.593100543958201</v>
      </c>
      <c r="AM2434">
        <v>89.228913783197399</v>
      </c>
      <c r="AN2434">
        <v>0.99999998966800696</v>
      </c>
    </row>
    <row r="2435" spans="1:40" x14ac:dyDescent="0.25">
      <c r="A2435" t="str">
        <f>"20190312153935231"</f>
        <v>20190312153935231</v>
      </c>
      <c r="B2435" t="str">
        <f>"1552376375227985"</f>
        <v>1552376375227985</v>
      </c>
      <c r="C2435" t="s">
        <v>40</v>
      </c>
      <c r="D2435">
        <v>3.865586</v>
      </c>
      <c r="E2435">
        <v>0.52954659999999998</v>
      </c>
      <c r="F2435" t="s">
        <v>61</v>
      </c>
      <c r="G2435">
        <v>-362.49340000000001</v>
      </c>
      <c r="H2435">
        <v>8.0000749999999995E-2</v>
      </c>
      <c r="I2435">
        <v>292.22210000000001</v>
      </c>
      <c r="J2435">
        <v>-240.97030000000001</v>
      </c>
      <c r="K2435">
        <v>1.1065700000000001</v>
      </c>
      <c r="L2435">
        <v>283.13569999999999</v>
      </c>
      <c r="M2435">
        <v>-0.99988489999999997</v>
      </c>
      <c r="N2435">
        <v>0</v>
      </c>
      <c r="O2435">
        <v>-1.499486E-2</v>
      </c>
      <c r="P2435">
        <v>-0.99975970000000003</v>
      </c>
      <c r="Q2435">
        <v>2.1817909999999999E-2</v>
      </c>
      <c r="R2435">
        <v>-2.154272E-3</v>
      </c>
      <c r="S2435">
        <v>-3.002167</v>
      </c>
      <c r="T2435">
        <v>-2.530754E-2</v>
      </c>
      <c r="U2435">
        <v>0.223938</v>
      </c>
      <c r="V2435">
        <v>1.295582E-2</v>
      </c>
      <c r="W2435">
        <v>2.4049649999999999E-2</v>
      </c>
      <c r="X2435">
        <v>0.99962680000000004</v>
      </c>
      <c r="Y2435">
        <v>8.9326790000000003E-2</v>
      </c>
      <c r="Z2435">
        <v>5.0221249999999999E-4</v>
      </c>
      <c r="AA2435">
        <v>0.99600230000000001</v>
      </c>
      <c r="AB2435">
        <v>31</v>
      </c>
      <c r="AC2435">
        <v>-121.5231</v>
      </c>
      <c r="AD2435">
        <v>-1.0265692500000001</v>
      </c>
      <c r="AE2435">
        <v>9.0864000000000207</v>
      </c>
      <c r="AF2435">
        <v>10.9068311635633</v>
      </c>
      <c r="AG2435">
        <v>-1.0265692500000001</v>
      </c>
      <c r="AH2435">
        <v>121.364575012739</v>
      </c>
      <c r="AI2435">
        <v>90.482682956553802</v>
      </c>
      <c r="AJ2435">
        <v>84.864719289539295</v>
      </c>
      <c r="AK2435">
        <v>121.858002931602</v>
      </c>
      <c r="AL2435">
        <v>88.621923676179705</v>
      </c>
      <c r="AM2435">
        <v>89.257450634541797</v>
      </c>
      <c r="AN2435">
        <v>0.999999989107617</v>
      </c>
    </row>
    <row r="2436" spans="1:40" x14ac:dyDescent="0.25">
      <c r="A2436" t="str">
        <f>"20190312153935243"</f>
        <v>20190312153935243</v>
      </c>
      <c r="B2436" t="str">
        <f>"1552376375227985"</f>
        <v>1552376375227985</v>
      </c>
      <c r="C2436" t="s">
        <v>40</v>
      </c>
      <c r="D2436">
        <v>3.865586</v>
      </c>
      <c r="E2436">
        <v>0.52954659999999998</v>
      </c>
      <c r="F2436" t="s">
        <v>61</v>
      </c>
      <c r="G2436">
        <v>-373.3997</v>
      </c>
      <c r="H2436">
        <v>8.0001009999999997E-2</v>
      </c>
      <c r="I2436">
        <v>293.09620000000001</v>
      </c>
      <c r="J2436">
        <v>-241.1344</v>
      </c>
      <c r="K2436">
        <v>1.1065609999999999</v>
      </c>
      <c r="L2436">
        <v>283.1343</v>
      </c>
      <c r="M2436">
        <v>-0.99990330000000005</v>
      </c>
      <c r="N2436">
        <v>0</v>
      </c>
      <c r="O2436">
        <v>-1.3706660000000001E-2</v>
      </c>
      <c r="P2436">
        <v>-0.99976430000000005</v>
      </c>
      <c r="Q2436">
        <v>2.169633E-2</v>
      </c>
      <c r="R2436">
        <v>-8.0839179999999896E-4</v>
      </c>
      <c r="S2436">
        <v>-3.0016940000000001</v>
      </c>
      <c r="T2436">
        <v>-2.3268580000000001E-2</v>
      </c>
      <c r="U2436">
        <v>0.225769</v>
      </c>
      <c r="V2436">
        <v>1.301395E-2</v>
      </c>
      <c r="W2436">
        <v>2.397529E-2</v>
      </c>
      <c r="X2436">
        <v>0.99962779999999996</v>
      </c>
      <c r="Y2436">
        <v>8.8660009999999997E-2</v>
      </c>
      <c r="Z2436">
        <v>4.4925990000000001E-4</v>
      </c>
      <c r="AA2436">
        <v>0.99606189999999994</v>
      </c>
      <c r="AB2436">
        <v>31</v>
      </c>
      <c r="AC2436">
        <v>-132.2653</v>
      </c>
      <c r="AD2436">
        <v>-1.02655999</v>
      </c>
      <c r="AE2436">
        <v>9.9619000000000106</v>
      </c>
      <c r="AF2436">
        <v>11.773179463458501</v>
      </c>
      <c r="AG2436">
        <v>-1.02655999</v>
      </c>
      <c r="AH2436">
        <v>132.108416914099</v>
      </c>
      <c r="AI2436">
        <v>90.443455502084007</v>
      </c>
      <c r="AJ2436">
        <v>84.907393354629207</v>
      </c>
      <c r="AK2436">
        <v>132.63595063044301</v>
      </c>
      <c r="AL2436">
        <v>88.626185376453506</v>
      </c>
      <c r="AM2436">
        <v>89.254120095606595</v>
      </c>
      <c r="AN2436">
        <v>0.99999995797901198</v>
      </c>
    </row>
    <row r="2437" spans="1:40" x14ac:dyDescent="0.25">
      <c r="A2437" t="str">
        <f>"20190312153935255"</f>
        <v>20190312153935255</v>
      </c>
      <c r="B2437" t="str">
        <f>"1552376375248482"</f>
        <v>1552376375248482</v>
      </c>
      <c r="C2437" t="s">
        <v>40</v>
      </c>
      <c r="D2437">
        <v>3.8622010000000002</v>
      </c>
      <c r="E2437">
        <v>0.52931989999999995</v>
      </c>
      <c r="F2437" t="s">
        <v>61</v>
      </c>
      <c r="G2437">
        <v>-371.31049999999999</v>
      </c>
      <c r="H2437">
        <v>8.0000399999999902E-2</v>
      </c>
      <c r="I2437">
        <v>293.09050000000002</v>
      </c>
      <c r="J2437">
        <v>-241.3004</v>
      </c>
      <c r="K2437">
        <v>1.106549</v>
      </c>
      <c r="L2437">
        <v>283.13310000000001</v>
      </c>
      <c r="M2437">
        <v>-0.99992020000000004</v>
      </c>
      <c r="N2437">
        <v>0</v>
      </c>
      <c r="O2437">
        <v>-1.240462E-2</v>
      </c>
      <c r="P2437">
        <v>-0.99977079999999996</v>
      </c>
      <c r="Q2437">
        <v>2.1412960000000002E-2</v>
      </c>
      <c r="R2437">
        <v>3.9898050000000001E-4</v>
      </c>
      <c r="S2437">
        <v>-3.001404</v>
      </c>
      <c r="T2437">
        <v>-2.3668890000000001E-2</v>
      </c>
      <c r="U2437">
        <v>0.22955320000000001</v>
      </c>
      <c r="V2437">
        <v>1.2919119999999999E-2</v>
      </c>
      <c r="W2437">
        <v>2.3739799999999998E-2</v>
      </c>
      <c r="X2437">
        <v>0.99963469999999999</v>
      </c>
      <c r="Y2437">
        <v>8.8618769999999999E-2</v>
      </c>
      <c r="Z2437">
        <v>4.4659410000000001E-4</v>
      </c>
      <c r="AA2437">
        <v>0.99606550000000005</v>
      </c>
      <c r="AB2437">
        <v>31</v>
      </c>
      <c r="AC2437">
        <v>-130.01009999999999</v>
      </c>
      <c r="AD2437">
        <v>-1.0265485999999999</v>
      </c>
      <c r="AE2437">
        <v>9.9573999999999998</v>
      </c>
      <c r="AF2437">
        <v>11.568647322481199</v>
      </c>
      <c r="AG2437">
        <v>-1.0265485999999999</v>
      </c>
      <c r="AH2437">
        <v>129.86852932013699</v>
      </c>
      <c r="AI2437">
        <v>90.451100124955502</v>
      </c>
      <c r="AJ2437">
        <v>84.909546366307097</v>
      </c>
      <c r="AK2437">
        <v>130.38681800962601</v>
      </c>
      <c r="AL2437">
        <v>88.639681869200103</v>
      </c>
      <c r="AM2437">
        <v>89.259559673411204</v>
      </c>
      <c r="AN2437">
        <v>1.0000000076048501</v>
      </c>
    </row>
    <row r="2438" spans="1:40" x14ac:dyDescent="0.25">
      <c r="A2438" t="str">
        <f>"20190312153935268"</f>
        <v>20190312153935268</v>
      </c>
      <c r="B2438" t="str">
        <f>"1552376375258240"</f>
        <v>1552376375258240</v>
      </c>
      <c r="C2438" t="s">
        <v>40</v>
      </c>
      <c r="D2438">
        <v>3.8759459999999999</v>
      </c>
      <c r="E2438">
        <v>0.52914050000000001</v>
      </c>
      <c r="F2438" t="s">
        <v>61</v>
      </c>
      <c r="G2438">
        <v>-380.2921</v>
      </c>
      <c r="H2438">
        <v>8.0000100000000005E-2</v>
      </c>
      <c r="I2438">
        <v>293.86649999999997</v>
      </c>
      <c r="J2438">
        <v>-241.4777</v>
      </c>
      <c r="K2438">
        <v>1.1065370000000001</v>
      </c>
      <c r="L2438">
        <v>283.13220000000001</v>
      </c>
      <c r="M2438">
        <v>-0.9999363</v>
      </c>
      <c r="N2438">
        <v>0</v>
      </c>
      <c r="O2438">
        <v>-1.101425E-2</v>
      </c>
      <c r="P2438">
        <v>-0.99977340000000003</v>
      </c>
      <c r="Q2438">
        <v>2.1220369999999999E-2</v>
      </c>
      <c r="R2438">
        <v>1.5986570000000001E-3</v>
      </c>
      <c r="S2438">
        <v>-3.0010680000000001</v>
      </c>
      <c r="T2438">
        <v>-2.2164940000000001E-2</v>
      </c>
      <c r="U2438">
        <v>0.2317505</v>
      </c>
      <c r="V2438">
        <v>1.2728629999999999E-2</v>
      </c>
      <c r="W2438">
        <v>2.3598210000000001E-2</v>
      </c>
      <c r="X2438">
        <v>0.99964050000000004</v>
      </c>
      <c r="Y2438">
        <v>8.7967680000000006E-2</v>
      </c>
      <c r="Z2438">
        <v>4.0559690000000002E-4</v>
      </c>
      <c r="AA2438">
        <v>0.99612330000000004</v>
      </c>
      <c r="AB2438">
        <v>31</v>
      </c>
      <c r="AC2438">
        <v>-138.81440000000001</v>
      </c>
      <c r="AD2438">
        <v>-1.0265369</v>
      </c>
      <c r="AE2438">
        <v>10.7342999999999</v>
      </c>
      <c r="AF2438">
        <v>12.2619234466473</v>
      </c>
      <c r="AG2438">
        <v>-1.0265369</v>
      </c>
      <c r="AH2438">
        <v>138.68021017097701</v>
      </c>
      <c r="AI2438">
        <v>90.422458263591693</v>
      </c>
      <c r="AJ2438">
        <v>84.947122081482703</v>
      </c>
      <c r="AK2438">
        <v>139.22503093080999</v>
      </c>
      <c r="AL2438">
        <v>88.647796657041297</v>
      </c>
      <c r="AM2438">
        <v>89.270480370616895</v>
      </c>
      <c r="AN2438">
        <v>1.0000000113885601</v>
      </c>
    </row>
    <row r="2439" spans="1:40" x14ac:dyDescent="0.25">
      <c r="A2439" t="str">
        <f>"20190312153935281"</f>
        <v>20190312153935281</v>
      </c>
      <c r="B2439" t="str">
        <f>"1552376375268001"</f>
        <v>1552376375268001</v>
      </c>
      <c r="C2439" t="s">
        <v>40</v>
      </c>
      <c r="D2439">
        <v>3.8713060000000001</v>
      </c>
      <c r="E2439">
        <v>0.52895119999999995</v>
      </c>
      <c r="F2439" t="s">
        <v>61</v>
      </c>
      <c r="G2439">
        <v>-383.64109999999999</v>
      </c>
      <c r="H2439">
        <v>8.0001089999999997E-2</v>
      </c>
      <c r="I2439">
        <v>294.20839999999998</v>
      </c>
      <c r="J2439">
        <v>-241.6678</v>
      </c>
      <c r="K2439">
        <v>1.1065240000000001</v>
      </c>
      <c r="L2439">
        <v>283.13139999999999</v>
      </c>
      <c r="M2439">
        <v>-0.99995160000000005</v>
      </c>
      <c r="N2439">
        <v>0</v>
      </c>
      <c r="O2439">
        <v>-9.5236239999999996E-3</v>
      </c>
      <c r="P2439">
        <v>-0.99977539999999998</v>
      </c>
      <c r="Q2439">
        <v>2.093124E-2</v>
      </c>
      <c r="R2439">
        <v>3.3610089999999999E-3</v>
      </c>
      <c r="S2439">
        <v>-3.0007630000000001</v>
      </c>
      <c r="T2439">
        <v>-2.166796E-2</v>
      </c>
      <c r="U2439">
        <v>0.23379520000000001</v>
      </c>
      <c r="V2439">
        <v>1.3000289999999999E-2</v>
      </c>
      <c r="W2439">
        <v>2.336129E-2</v>
      </c>
      <c r="X2439">
        <v>0.99964260000000005</v>
      </c>
      <c r="Y2439">
        <v>8.7165359999999997E-2</v>
      </c>
      <c r="Z2439">
        <v>3.8289139999999998E-4</v>
      </c>
      <c r="AA2439">
        <v>0.99619380000000002</v>
      </c>
      <c r="AB2439">
        <v>32</v>
      </c>
      <c r="AC2439">
        <v>-141.97329999999999</v>
      </c>
      <c r="AD2439">
        <v>-1.02652291</v>
      </c>
      <c r="AE2439">
        <v>11.0769999999999</v>
      </c>
      <c r="AF2439">
        <v>12.427956311819001</v>
      </c>
      <c r="AG2439">
        <v>-1.02652291</v>
      </c>
      <c r="AH2439">
        <v>141.85399680476499</v>
      </c>
      <c r="AI2439">
        <v>90.413030185906607</v>
      </c>
      <c r="AJ2439">
        <v>84.993049646952301</v>
      </c>
      <c r="AK2439">
        <v>142.401068313617</v>
      </c>
      <c r="AL2439">
        <v>88.661374958106094</v>
      </c>
      <c r="AM2439">
        <v>89.254913944965196</v>
      </c>
      <c r="AN2439">
        <v>1.0000000425726501</v>
      </c>
    </row>
    <row r="2440" spans="1:40" x14ac:dyDescent="0.25">
      <c r="A2440" t="str">
        <f>"20190312153935301"</f>
        <v>20190312153935301</v>
      </c>
      <c r="B2440" t="str">
        <f>"1552376375288496"</f>
        <v>1552376375288496</v>
      </c>
      <c r="C2440" t="s">
        <v>40</v>
      </c>
      <c r="D2440">
        <v>3.8699309999999998</v>
      </c>
      <c r="E2440">
        <v>0.52873499999999996</v>
      </c>
      <c r="F2440" t="s">
        <v>61</v>
      </c>
      <c r="G2440">
        <v>-384.73809999999997</v>
      </c>
      <c r="H2440">
        <v>8.0001409999999995E-2</v>
      </c>
      <c r="I2440">
        <v>294.46480000000003</v>
      </c>
      <c r="J2440">
        <v>-241.94159999999999</v>
      </c>
      <c r="K2440">
        <v>1.1065100000000001</v>
      </c>
      <c r="L2440">
        <v>283.13069999999999</v>
      </c>
      <c r="M2440">
        <v>-0.99996949999999996</v>
      </c>
      <c r="N2440">
        <v>0</v>
      </c>
      <c r="O2440">
        <v>-7.3761369999999996E-3</v>
      </c>
      <c r="P2440">
        <v>-0.99976830000000005</v>
      </c>
      <c r="Q2440">
        <v>2.0720539999999999E-2</v>
      </c>
      <c r="R2440">
        <v>5.8580999999999998E-3</v>
      </c>
      <c r="S2440">
        <v>-3.000305</v>
      </c>
      <c r="T2440">
        <v>-2.1527049999999999E-2</v>
      </c>
      <c r="U2440">
        <v>0.23767089999999999</v>
      </c>
      <c r="V2440">
        <v>1.3350880000000001E-2</v>
      </c>
      <c r="W2440">
        <v>2.322639E-2</v>
      </c>
      <c r="X2440">
        <v>0.99964109999999995</v>
      </c>
      <c r="Y2440">
        <v>8.6316790000000004E-2</v>
      </c>
      <c r="Z2440">
        <v>3.6201499999999998E-4</v>
      </c>
      <c r="AA2440">
        <v>0.99626769999999998</v>
      </c>
      <c r="AB2440">
        <v>32</v>
      </c>
      <c r="AC2440">
        <v>-142.79649999999901</v>
      </c>
      <c r="AD2440">
        <v>-1.0265085899999999</v>
      </c>
      <c r="AE2440">
        <v>11.334099999999999</v>
      </c>
      <c r="AF2440">
        <v>12.386445606524701</v>
      </c>
      <c r="AG2440">
        <v>-1.0265085899999999</v>
      </c>
      <c r="AH2440">
        <v>142.701685073612</v>
      </c>
      <c r="AI2440">
        <v>90.410599856380699</v>
      </c>
      <c r="AJ2440">
        <v>85.039184297242201</v>
      </c>
      <c r="AK2440">
        <v>143.241923603033</v>
      </c>
      <c r="AL2440">
        <v>88.669106226188106</v>
      </c>
      <c r="AM2440">
        <v>89.234821778228394</v>
      </c>
      <c r="AN2440">
        <v>1.0000000199992001</v>
      </c>
    </row>
    <row r="2441" spans="1:40" x14ac:dyDescent="0.25">
      <c r="A2441" t="str">
        <f>"20190312153935322"</f>
        <v>20190312153935322</v>
      </c>
      <c r="B2441" t="str">
        <f>"1552376375318753"</f>
        <v>1552376375318753</v>
      </c>
      <c r="C2441" t="s">
        <v>40</v>
      </c>
      <c r="D2441">
        <v>3.8408690000000001</v>
      </c>
      <c r="E2441">
        <v>0.52835900000000002</v>
      </c>
      <c r="F2441" t="s">
        <v>43</v>
      </c>
      <c r="G2441">
        <v>-409.24489999999997</v>
      </c>
      <c r="H2441">
        <v>-0.05</v>
      </c>
      <c r="I2441">
        <v>296.7115</v>
      </c>
      <c r="J2441">
        <v>-242.2516</v>
      </c>
      <c r="K2441">
        <v>1.1064879999999999</v>
      </c>
      <c r="L2441">
        <v>283.13069999999999</v>
      </c>
      <c r="M2441">
        <v>-0.99998430000000005</v>
      </c>
      <c r="N2441">
        <v>0</v>
      </c>
      <c r="O2441">
        <v>-4.9470690000000001E-3</v>
      </c>
      <c r="P2441">
        <v>-0.99974980000000002</v>
      </c>
      <c r="Q2441">
        <v>2.062025E-2</v>
      </c>
      <c r="R2441">
        <v>8.6806090000000006E-3</v>
      </c>
      <c r="S2441">
        <v>-2.999695</v>
      </c>
      <c r="T2441">
        <v>-2.0735859999999998E-2</v>
      </c>
      <c r="U2441">
        <v>0.24349979999999999</v>
      </c>
      <c r="V2441">
        <v>1.3745810000000001E-2</v>
      </c>
      <c r="W2441">
        <v>2.3214470000000001E-2</v>
      </c>
      <c r="X2441">
        <v>0.99963599999999997</v>
      </c>
      <c r="Y2441">
        <v>8.583644E-2</v>
      </c>
      <c r="Z2441">
        <v>3.3033079999999999E-4</v>
      </c>
      <c r="AA2441">
        <v>0.99630920000000001</v>
      </c>
      <c r="AB2441">
        <v>32</v>
      </c>
      <c r="AC2441">
        <v>-166.99329999999901</v>
      </c>
      <c r="AD2441">
        <v>-1.156488</v>
      </c>
      <c r="AE2441">
        <v>13.5808</v>
      </c>
      <c r="AF2441">
        <v>14.406077667866899</v>
      </c>
      <c r="AG2441">
        <v>-1.156488</v>
      </c>
      <c r="AH2441">
        <v>166.91611834070699</v>
      </c>
      <c r="AI2441">
        <v>90.395500525465295</v>
      </c>
      <c r="AJ2441">
        <v>85.067180468517805</v>
      </c>
      <c r="AK2441">
        <v>167.54063119194601</v>
      </c>
      <c r="AL2441">
        <v>88.669789343739396</v>
      </c>
      <c r="AM2441">
        <v>89.212185970712298</v>
      </c>
      <c r="AN2441">
        <v>0.99999999570296805</v>
      </c>
    </row>
    <row r="2442" spans="1:40" x14ac:dyDescent="0.25">
      <c r="A2442" t="str">
        <f>"20190312153935335"</f>
        <v>20190312153935335</v>
      </c>
      <c r="B2442" t="str">
        <f>"1552376375328514"</f>
        <v>1552376375328514</v>
      </c>
      <c r="C2442" t="s">
        <v>40</v>
      </c>
      <c r="D2442">
        <v>3.8466909999999999</v>
      </c>
      <c r="E2442">
        <v>0.52821300000000004</v>
      </c>
      <c r="F2442" t="s">
        <v>62</v>
      </c>
      <c r="G2442">
        <v>-424.85230000000001</v>
      </c>
      <c r="H2442" s="1">
        <v>2.336795E-7</v>
      </c>
      <c r="I2442">
        <v>298.28949999999998</v>
      </c>
      <c r="J2442">
        <v>-242.44829999999999</v>
      </c>
      <c r="K2442">
        <v>1.1064799999999999</v>
      </c>
      <c r="L2442">
        <v>283.1311</v>
      </c>
      <c r="M2442">
        <v>-0.99999039999999995</v>
      </c>
      <c r="N2442">
        <v>0</v>
      </c>
      <c r="O2442">
        <v>-3.4056540000000001E-3</v>
      </c>
      <c r="P2442">
        <v>-0.99973319999999999</v>
      </c>
      <c r="Q2442">
        <v>2.0722589999999999E-2</v>
      </c>
      <c r="R2442">
        <v>1.0195310000000001E-2</v>
      </c>
      <c r="S2442">
        <v>-2.9989780000000001</v>
      </c>
      <c r="T2442">
        <v>-1.817262E-2</v>
      </c>
      <c r="U2442">
        <v>0.2489624</v>
      </c>
      <c r="V2442">
        <v>1.372109E-2</v>
      </c>
      <c r="W2442">
        <v>2.3374160000000001E-2</v>
      </c>
      <c r="X2442">
        <v>0.99963259999999998</v>
      </c>
      <c r="Y2442">
        <v>8.6123060000000001E-2</v>
      </c>
      <c r="Z2442">
        <v>2.8108750000000002E-4</v>
      </c>
      <c r="AA2442">
        <v>0.99628450000000002</v>
      </c>
      <c r="AB2442">
        <v>32</v>
      </c>
      <c r="AC2442">
        <v>-182.404</v>
      </c>
      <c r="AD2442">
        <v>-1.1064797663204999</v>
      </c>
      <c r="AE2442">
        <v>15.158399999999901</v>
      </c>
      <c r="AF2442">
        <v>15.7789427219953</v>
      </c>
      <c r="AG2442">
        <v>-1.1064797663204999</v>
      </c>
      <c r="AH2442">
        <v>182.34465391781799</v>
      </c>
      <c r="AI2442">
        <v>90.346376028073195</v>
      </c>
      <c r="AJ2442">
        <v>85.054308874698506</v>
      </c>
      <c r="AK2442">
        <v>183.02942971912</v>
      </c>
      <c r="AL2442">
        <v>88.660637272638098</v>
      </c>
      <c r="AM2442">
        <v>89.213599896347304</v>
      </c>
      <c r="AN2442">
        <v>0.99999997732462598</v>
      </c>
    </row>
    <row r="2443" spans="1:40" x14ac:dyDescent="0.25">
      <c r="A2443" t="str">
        <f>"20190312153935348"</f>
        <v>20190312153935348</v>
      </c>
      <c r="B2443" t="str">
        <f>"1552376375338274"</f>
        <v>1552376375338274</v>
      </c>
      <c r="C2443" t="s">
        <v>40</v>
      </c>
      <c r="D2443">
        <v>3.8553459999999999</v>
      </c>
      <c r="E2443">
        <v>0.52808520000000003</v>
      </c>
      <c r="F2443" t="s">
        <v>62</v>
      </c>
      <c r="G2443">
        <v>-429.95780000000002</v>
      </c>
      <c r="H2443">
        <v>3.4366979999999998E-2</v>
      </c>
      <c r="I2443">
        <v>298.91489999999999</v>
      </c>
      <c r="J2443">
        <v>-242.6191</v>
      </c>
      <c r="K2443">
        <v>1.1064780000000001</v>
      </c>
      <c r="L2443">
        <v>283.13170000000002</v>
      </c>
      <c r="M2443">
        <v>-0.99999400000000005</v>
      </c>
      <c r="N2443">
        <v>0</v>
      </c>
      <c r="O2443">
        <v>-2.0682109999999999E-3</v>
      </c>
      <c r="P2443">
        <v>-0.99971239999999995</v>
      </c>
      <c r="Q2443">
        <v>2.0851229999999998E-2</v>
      </c>
      <c r="R2443">
        <v>1.185017E-2</v>
      </c>
      <c r="S2443">
        <v>-2.998596</v>
      </c>
      <c r="T2443">
        <v>-1.7144920000000001E-2</v>
      </c>
      <c r="U2443">
        <v>0.25241089999999999</v>
      </c>
      <c r="V2443">
        <v>1.404032E-2</v>
      </c>
      <c r="W2443">
        <v>2.3550539999999998E-2</v>
      </c>
      <c r="X2443">
        <v>0.99962410000000002</v>
      </c>
      <c r="Y2443">
        <v>8.5939039999999994E-2</v>
      </c>
      <c r="Z2443">
        <v>2.5705360000000002E-4</v>
      </c>
      <c r="AA2443">
        <v>0.99630030000000003</v>
      </c>
      <c r="AB2443">
        <v>32</v>
      </c>
      <c r="AC2443">
        <v>-187.33869999999999</v>
      </c>
      <c r="AD2443">
        <v>-1.0721110199999999</v>
      </c>
      <c r="AE2443">
        <v>15.7831999999999</v>
      </c>
      <c r="AF2443">
        <v>16.1700978452341</v>
      </c>
      <c r="AG2443">
        <v>-1.0721110199999999</v>
      </c>
      <c r="AH2443">
        <v>187.29956519880199</v>
      </c>
      <c r="AI2443">
        <v>90.326744617171698</v>
      </c>
      <c r="AJ2443">
        <v>85.065729017736004</v>
      </c>
      <c r="AK2443">
        <v>187.999331408449</v>
      </c>
      <c r="AL2443">
        <v>88.650528758088797</v>
      </c>
      <c r="AM2443">
        <v>89.195299328144003</v>
      </c>
      <c r="AN2443">
        <v>1.0000000499104</v>
      </c>
    </row>
    <row r="2444" spans="1:40" x14ac:dyDescent="0.25">
      <c r="A2444" t="str">
        <f>"20190312153935367"</f>
        <v>20190312153935367</v>
      </c>
      <c r="B2444" t="str">
        <f>"1552376375358772"</f>
        <v>1552376375358772</v>
      </c>
      <c r="C2444" t="s">
        <v>40</v>
      </c>
      <c r="D2444">
        <v>3.8483329999999998</v>
      </c>
      <c r="E2444">
        <v>0.5279488</v>
      </c>
      <c r="F2444" t="s">
        <v>62</v>
      </c>
      <c r="G2444">
        <v>-434.08269999999999</v>
      </c>
      <c r="H2444">
        <v>7.9998550000000002E-2</v>
      </c>
      <c r="I2444">
        <v>299.50810000000001</v>
      </c>
      <c r="J2444">
        <v>-242.90260000000001</v>
      </c>
      <c r="K2444">
        <v>1.1064719999999999</v>
      </c>
      <c r="L2444">
        <v>283.13310000000001</v>
      </c>
      <c r="M2444">
        <v>-0.99999579999999999</v>
      </c>
      <c r="N2444">
        <v>0</v>
      </c>
      <c r="O2444">
        <v>1.4832819999999999E-4</v>
      </c>
      <c r="P2444">
        <v>-0.99967989999999995</v>
      </c>
      <c r="Q2444">
        <v>2.090763E-2</v>
      </c>
      <c r="R2444">
        <v>1.4242690000000001E-2</v>
      </c>
      <c r="S2444">
        <v>-2.998138</v>
      </c>
      <c r="T2444">
        <v>-1.60737E-2</v>
      </c>
      <c r="U2444">
        <v>0.25643919999999998</v>
      </c>
      <c r="V2444">
        <v>1.4218949999999999E-2</v>
      </c>
      <c r="W2444">
        <v>2.3713580000000001E-2</v>
      </c>
      <c r="X2444">
        <v>0.99961770000000005</v>
      </c>
      <c r="Y2444">
        <v>8.5072640000000005E-2</v>
      </c>
      <c r="Z2444">
        <v>2.268359E-4</v>
      </c>
      <c r="AA2444">
        <v>0.99637469999999995</v>
      </c>
      <c r="AB2444">
        <v>32</v>
      </c>
      <c r="AC2444">
        <v>-191.18010000000001</v>
      </c>
      <c r="AD2444">
        <v>-1.0264734499999999</v>
      </c>
      <c r="AE2444">
        <v>16.375</v>
      </c>
      <c r="AF2444">
        <v>16.346174510119699</v>
      </c>
      <c r="AG2444">
        <v>-1.0264734499999999</v>
      </c>
      <c r="AH2444">
        <v>191.177055722864</v>
      </c>
      <c r="AI2444">
        <v>90.306512867645594</v>
      </c>
      <c r="AJ2444">
        <v>85.112936343366201</v>
      </c>
      <c r="AK2444">
        <v>191.877350679339</v>
      </c>
      <c r="AL2444">
        <v>88.641184617033204</v>
      </c>
      <c r="AM2444">
        <v>89.185057562729398</v>
      </c>
      <c r="AN2444">
        <v>1.0000000292844</v>
      </c>
    </row>
    <row r="2445" spans="1:40" x14ac:dyDescent="0.25">
      <c r="A2445" t="str">
        <f>"20190312153935380"</f>
        <v>20190312153935380</v>
      </c>
      <c r="B2445" t="str">
        <f>"1552376375368529"</f>
        <v>1552376375368529</v>
      </c>
      <c r="C2445" t="s">
        <v>40</v>
      </c>
      <c r="D2445">
        <v>3.8446500000000001</v>
      </c>
      <c r="E2445">
        <v>0.52156279999999999</v>
      </c>
      <c r="F2445" t="s">
        <v>63</v>
      </c>
      <c r="G2445">
        <v>-439.93380000000002</v>
      </c>
      <c r="H2445">
        <v>0.10045370000000001</v>
      </c>
      <c r="I2445">
        <v>300.3922</v>
      </c>
      <c r="J2445">
        <v>-243.08539999999999</v>
      </c>
      <c r="K2445">
        <v>1.1064719999999999</v>
      </c>
      <c r="L2445">
        <v>283.13440000000003</v>
      </c>
      <c r="M2445">
        <v>-0.9999943</v>
      </c>
      <c r="N2445">
        <v>0</v>
      </c>
      <c r="O2445">
        <v>1.574034E-3</v>
      </c>
      <c r="P2445">
        <v>-0.9996621</v>
      </c>
      <c r="Q2445">
        <v>2.0683770000000001E-2</v>
      </c>
      <c r="R2445">
        <v>1.5747000000000001E-2</v>
      </c>
      <c r="S2445">
        <v>-2.9975589999999999</v>
      </c>
      <c r="T2445">
        <v>-1.530492E-2</v>
      </c>
      <c r="U2445">
        <v>0.26257320000000001</v>
      </c>
      <c r="V2445">
        <v>1.429832E-2</v>
      </c>
      <c r="W2445">
        <v>2.358915E-2</v>
      </c>
      <c r="X2445">
        <v>0.99961949999999999</v>
      </c>
      <c r="Y2445">
        <v>8.5692340000000006E-2</v>
      </c>
      <c r="Z2445">
        <v>2.1032320000000001E-4</v>
      </c>
      <c r="AA2445">
        <v>0.99632160000000003</v>
      </c>
      <c r="AB2445">
        <v>32</v>
      </c>
      <c r="AC2445">
        <v>-196.8484</v>
      </c>
      <c r="AD2445">
        <v>-1.00601829999999</v>
      </c>
      <c r="AE2445">
        <v>17.2577999999999</v>
      </c>
      <c r="AF2445">
        <v>16.947491897682699</v>
      </c>
      <c r="AG2445">
        <v>-1.00601829999999</v>
      </c>
      <c r="AH2445">
        <v>196.87021789705</v>
      </c>
      <c r="AI2445">
        <v>90.291703399354404</v>
      </c>
      <c r="AJ2445">
        <v>85.079846107183798</v>
      </c>
      <c r="AK2445">
        <v>197.60089131700201</v>
      </c>
      <c r="AL2445">
        <v>88.6483159094212</v>
      </c>
      <c r="AM2445">
        <v>89.180510658388698</v>
      </c>
      <c r="AN2445">
        <v>1.0000000173663901</v>
      </c>
    </row>
    <row r="2446" spans="1:40" x14ac:dyDescent="0.25">
      <c r="A2446" t="str">
        <f>"20190312153935390"</f>
        <v>20190312153935390</v>
      </c>
      <c r="B2446" t="str">
        <f>"1552376375388049"</f>
        <v>1552376375388049</v>
      </c>
      <c r="C2446" t="s">
        <v>40</v>
      </c>
      <c r="D2446">
        <v>3.865307</v>
      </c>
      <c r="E2446">
        <v>0.52166089999999998</v>
      </c>
      <c r="F2446" t="s">
        <v>64</v>
      </c>
      <c r="G2446">
        <v>-511.82060000000001</v>
      </c>
      <c r="H2446">
        <v>1.363513</v>
      </c>
      <c r="I2446">
        <v>302.57350000000002</v>
      </c>
      <c r="J2446">
        <v>-243.25819999999999</v>
      </c>
      <c r="K2446">
        <v>1.1064879999999999</v>
      </c>
      <c r="L2446">
        <v>283.13589999999999</v>
      </c>
      <c r="M2446">
        <v>-0.99999090000000002</v>
      </c>
      <c r="N2446">
        <v>0</v>
      </c>
      <c r="O2446">
        <v>2.9153289999999999E-3</v>
      </c>
      <c r="P2446">
        <v>-0.99964430000000004</v>
      </c>
      <c r="Q2446">
        <v>2.0349829999999999E-2</v>
      </c>
      <c r="R2446">
        <v>1.7247330000000002E-2</v>
      </c>
      <c r="S2446">
        <v>-2.9975130000000001</v>
      </c>
      <c r="T2446">
        <v>2.8680559999999999E-3</v>
      </c>
      <c r="U2446">
        <v>0.2168274</v>
      </c>
      <c r="V2446">
        <v>1.4457889999999999E-2</v>
      </c>
      <c r="W2446">
        <v>2.3403239999999999E-2</v>
      </c>
      <c r="X2446">
        <v>0.9996216</v>
      </c>
      <c r="Y2446">
        <v>6.9239179999999997E-2</v>
      </c>
      <c r="Z2446" s="1">
        <v>-3.0295500000000002E-5</v>
      </c>
      <c r="AA2446">
        <v>0.99760009999999999</v>
      </c>
      <c r="AB2446">
        <v>32</v>
      </c>
      <c r="AC2446">
        <v>-268.56240000000003</v>
      </c>
      <c r="AD2446">
        <v>0.257025</v>
      </c>
      <c r="AE2446">
        <v>19.4376</v>
      </c>
      <c r="AF2446">
        <v>18.654548849747101</v>
      </c>
      <c r="AG2446">
        <v>0.257025</v>
      </c>
      <c r="AH2446">
        <v>268.61768123340602</v>
      </c>
      <c r="AI2446">
        <v>89.945308664373101</v>
      </c>
      <c r="AJ2446">
        <v>86.027388749720103</v>
      </c>
      <c r="AK2446">
        <v>269.264771044876</v>
      </c>
      <c r="AL2446">
        <v>88.658970743118303</v>
      </c>
      <c r="AM2446">
        <v>89.171368123135693</v>
      </c>
      <c r="AN2446">
        <v>1.0000000427061499</v>
      </c>
    </row>
    <row r="2447" spans="1:40" x14ac:dyDescent="0.25">
      <c r="A2447" t="str">
        <f>"20190312153935410"</f>
        <v>20190312153935410</v>
      </c>
      <c r="B2447" t="str">
        <f>"1552376375398788"</f>
        <v>1552376375398788</v>
      </c>
      <c r="C2447" t="s">
        <v>40</v>
      </c>
      <c r="D2447">
        <v>3.878358</v>
      </c>
      <c r="E2447">
        <v>0.52187529999999904</v>
      </c>
      <c r="F2447" t="s">
        <v>63</v>
      </c>
      <c r="G2447">
        <v>-456.24290000000002</v>
      </c>
      <c r="H2447">
        <v>1.3123499999999999</v>
      </c>
      <c r="I2447">
        <v>298.90839999999997</v>
      </c>
      <c r="J2447">
        <v>-243.53129999999999</v>
      </c>
      <c r="K2447">
        <v>1.106538</v>
      </c>
      <c r="L2447">
        <v>283.1386</v>
      </c>
      <c r="M2447">
        <v>-0.99998140000000002</v>
      </c>
      <c r="N2447">
        <v>0</v>
      </c>
      <c r="O2447">
        <v>5.0274780000000002E-3</v>
      </c>
      <c r="P2447">
        <v>-0.99959810000000004</v>
      </c>
      <c r="Q2447">
        <v>2.0511709999999999E-2</v>
      </c>
      <c r="R2447">
        <v>1.9577730000000002E-2</v>
      </c>
      <c r="S2447">
        <v>-2.9971770000000002</v>
      </c>
      <c r="T2447">
        <v>2.8972630000000002E-3</v>
      </c>
      <c r="U2447">
        <v>0.22195429999999999</v>
      </c>
      <c r="V2447">
        <v>1.468118E-2</v>
      </c>
      <c r="W2447">
        <v>2.3912360000000001E-2</v>
      </c>
      <c r="X2447">
        <v>0.99960629999999995</v>
      </c>
      <c r="Y2447">
        <v>6.8837490000000001E-2</v>
      </c>
      <c r="Z2447" s="1">
        <v>-2.837284E-5</v>
      </c>
      <c r="AA2447">
        <v>0.99762790000000001</v>
      </c>
      <c r="AB2447">
        <v>32</v>
      </c>
      <c r="AC2447">
        <v>-212.7116</v>
      </c>
      <c r="AD2447">
        <v>0.205811999999999</v>
      </c>
      <c r="AE2447">
        <v>15.769799999999901</v>
      </c>
      <c r="AF2447">
        <v>14.700177749276699</v>
      </c>
      <c r="AG2447">
        <v>0.205811999999999</v>
      </c>
      <c r="AH2447">
        <v>212.78799642766299</v>
      </c>
      <c r="AI2447">
        <v>89.944714380130193</v>
      </c>
      <c r="AJ2447">
        <v>86.048075674502002</v>
      </c>
      <c r="AK2447">
        <v>213.29526250748901</v>
      </c>
      <c r="AL2447">
        <v>88.629792155339103</v>
      </c>
      <c r="AM2447">
        <v>89.158559546816605</v>
      </c>
      <c r="AN2447">
        <v>1.0000000465033201</v>
      </c>
    </row>
    <row r="2448" spans="1:40" x14ac:dyDescent="0.25">
      <c r="A2448" t="str">
        <f>"20190312153935422"</f>
        <v>20190312153935422</v>
      </c>
      <c r="B2448" t="str">
        <f>"1552376375418304"</f>
        <v>1552376375418304</v>
      </c>
      <c r="C2448" t="s">
        <v>40</v>
      </c>
      <c r="D2448">
        <v>3.8868130000000001</v>
      </c>
      <c r="E2448">
        <v>0.52151759999999903</v>
      </c>
      <c r="F2448" t="s">
        <v>63</v>
      </c>
      <c r="G2448">
        <v>-455.35789999999997</v>
      </c>
      <c r="H2448">
        <v>1.253995</v>
      </c>
      <c r="I2448">
        <v>299.46010000000001</v>
      </c>
      <c r="J2448">
        <v>-243.7004</v>
      </c>
      <c r="K2448">
        <v>1.1065860000000001</v>
      </c>
      <c r="L2448">
        <v>283.14060000000001</v>
      </c>
      <c r="M2448">
        <v>-0.9999728</v>
      </c>
      <c r="N2448">
        <v>0</v>
      </c>
      <c r="O2448">
        <v>6.3298919999999897E-3</v>
      </c>
      <c r="P2448">
        <v>-0.99957030000000002</v>
      </c>
      <c r="Q2448">
        <v>2.0416730000000001E-2</v>
      </c>
      <c r="R2448">
        <v>2.1035559999999998E-2</v>
      </c>
      <c r="S2448">
        <v>-2.996658</v>
      </c>
      <c r="T2448">
        <v>2.0861629999999998E-3</v>
      </c>
      <c r="U2448">
        <v>0.23089599999999999</v>
      </c>
      <c r="V2448">
        <v>1.4839130000000001E-2</v>
      </c>
      <c r="W2448">
        <v>2.411543E-2</v>
      </c>
      <c r="X2448">
        <v>0.99959900000000002</v>
      </c>
      <c r="Y2448">
        <v>7.0510660000000003E-2</v>
      </c>
      <c r="Z2448" s="1">
        <v>-2.0107270000000001E-5</v>
      </c>
      <c r="AA2448">
        <v>0.99751100000000004</v>
      </c>
      <c r="AB2448">
        <v>32</v>
      </c>
      <c r="AC2448">
        <v>-211.6575</v>
      </c>
      <c r="AD2448">
        <v>0.14740899999999901</v>
      </c>
      <c r="AE2448">
        <v>16.319500000000001</v>
      </c>
      <c r="AF2448">
        <v>14.9793871115772</v>
      </c>
      <c r="AG2448">
        <v>0.14740899999999901</v>
      </c>
      <c r="AH2448">
        <v>211.75645890849799</v>
      </c>
      <c r="AI2448">
        <v>89.960214391208495</v>
      </c>
      <c r="AJ2448">
        <v>85.953708395298193</v>
      </c>
      <c r="AK2448">
        <v>212.285660507529</v>
      </c>
      <c r="AL2448">
        <v>88.618153622358804</v>
      </c>
      <c r="AM2448">
        <v>89.149501877479807</v>
      </c>
      <c r="AN2448">
        <v>0.99999995727211999</v>
      </c>
    </row>
    <row r="2449" spans="1:40" x14ac:dyDescent="0.25">
      <c r="A2449" t="str">
        <f>"20190312153935434"</f>
        <v>20190312153935434</v>
      </c>
      <c r="B2449" t="str">
        <f>"1552376375428065"</f>
        <v>1552376375428065</v>
      </c>
      <c r="C2449" t="s">
        <v>40</v>
      </c>
      <c r="D2449">
        <v>3.8944909999999999</v>
      </c>
      <c r="E2449">
        <v>0.52124170000000003</v>
      </c>
      <c r="F2449" t="s">
        <v>63</v>
      </c>
      <c r="G2449">
        <v>-455.35789999999997</v>
      </c>
      <c r="H2449">
        <v>1.2751779999999999</v>
      </c>
      <c r="I2449">
        <v>299.55220000000003</v>
      </c>
      <c r="J2449">
        <v>-243.88319999999999</v>
      </c>
      <c r="K2449">
        <v>1.1066560000000001</v>
      </c>
      <c r="L2449">
        <v>283.14299999999997</v>
      </c>
      <c r="M2449">
        <v>-0.9999614</v>
      </c>
      <c r="N2449">
        <v>0</v>
      </c>
      <c r="O2449">
        <v>7.7340849999999999E-3</v>
      </c>
      <c r="P2449">
        <v>-0.99953709999999996</v>
      </c>
      <c r="Q2449">
        <v>2.0619269999999999E-2</v>
      </c>
      <c r="R2449">
        <v>2.2377830000000001E-2</v>
      </c>
      <c r="S2449">
        <v>-2.9963380000000002</v>
      </c>
      <c r="T2449">
        <v>2.3868079999999998E-3</v>
      </c>
      <c r="U2449">
        <v>0.23233029999999999</v>
      </c>
      <c r="V2449">
        <v>1.478233E-2</v>
      </c>
      <c r="W2449">
        <v>2.4722270000000001E-2</v>
      </c>
      <c r="X2449">
        <v>0.99958499999999995</v>
      </c>
      <c r="Y2449">
        <v>6.9592719999999997E-2</v>
      </c>
      <c r="Z2449" s="1">
        <v>-2.1525280000000001E-5</v>
      </c>
      <c r="AA2449">
        <v>0.99757549999999995</v>
      </c>
      <c r="AB2449">
        <v>32</v>
      </c>
      <c r="AC2449">
        <v>-211.47470000000001</v>
      </c>
      <c r="AD2449">
        <v>0.16852200000000001</v>
      </c>
      <c r="AE2449">
        <v>16.409199999999998</v>
      </c>
      <c r="AF2449">
        <v>14.773122371544799</v>
      </c>
      <c r="AG2449">
        <v>0.16852200000000001</v>
      </c>
      <c r="AH2449">
        <v>211.595152687508</v>
      </c>
      <c r="AI2449">
        <v>89.954478400773397</v>
      </c>
      <c r="AJ2449">
        <v>86.006211720124995</v>
      </c>
      <c r="AK2449">
        <v>212.110306645196</v>
      </c>
      <c r="AL2449">
        <v>88.583373854340195</v>
      </c>
      <c r="AM2449">
        <v>89.152745004114294</v>
      </c>
      <c r="AN2449">
        <v>0.99999994006958903</v>
      </c>
    </row>
    <row r="2450" spans="1:40" x14ac:dyDescent="0.25">
      <c r="A2450" t="str">
        <f>"20190312153935446"</f>
        <v>20190312153935446</v>
      </c>
      <c r="B2450" t="str">
        <f>"1552376375438801"</f>
        <v>1552376375438801</v>
      </c>
      <c r="C2450" t="s">
        <v>40</v>
      </c>
      <c r="D2450">
        <v>3.8854229999999998</v>
      </c>
      <c r="E2450">
        <v>0.52103359999999999</v>
      </c>
      <c r="F2450" t="s">
        <v>63</v>
      </c>
      <c r="G2450">
        <v>-455.358</v>
      </c>
      <c r="H2450">
        <v>1.3203549999999999</v>
      </c>
      <c r="I2450">
        <v>299.67959999999999</v>
      </c>
      <c r="J2450">
        <v>-244.0538</v>
      </c>
      <c r="K2450">
        <v>1.1067309999999999</v>
      </c>
      <c r="L2450">
        <v>283.1456</v>
      </c>
      <c r="M2450">
        <v>-0.99994839999999996</v>
      </c>
      <c r="N2450">
        <v>0</v>
      </c>
      <c r="O2450">
        <v>9.0487550000000003E-3</v>
      </c>
      <c r="P2450">
        <v>-0.99951259999999997</v>
      </c>
      <c r="Q2450">
        <v>2.0289370000000001E-2</v>
      </c>
      <c r="R2450">
        <v>2.3731240000000001E-2</v>
      </c>
      <c r="S2450">
        <v>-2.9960939999999998</v>
      </c>
      <c r="T2450">
        <v>3.0276779999999998E-3</v>
      </c>
      <c r="U2450">
        <v>0.2342834</v>
      </c>
      <c r="V2450">
        <v>1.482285E-2</v>
      </c>
      <c r="W2450">
        <v>2.481618E-2</v>
      </c>
      <c r="X2450">
        <v>0.99958210000000003</v>
      </c>
      <c r="Y2450">
        <v>6.8933789999999995E-2</v>
      </c>
      <c r="Z2450" s="1">
        <v>-2.5647740000000001E-5</v>
      </c>
      <c r="AA2450">
        <v>0.99762119999999999</v>
      </c>
      <c r="AB2450">
        <v>32</v>
      </c>
      <c r="AC2450">
        <v>-211.30420000000001</v>
      </c>
      <c r="AD2450">
        <v>0.21362400000000001</v>
      </c>
      <c r="AE2450">
        <v>16.533999999999899</v>
      </c>
      <c r="AF2450">
        <v>14.621247900488299</v>
      </c>
      <c r="AG2450">
        <v>0.21362400000000001</v>
      </c>
      <c r="AH2450">
        <v>211.444947759895</v>
      </c>
      <c r="AI2450">
        <v>89.942251677079597</v>
      </c>
      <c r="AJ2450">
        <v>86.044339766786507</v>
      </c>
      <c r="AK2450">
        <v>211.94997631178299</v>
      </c>
      <c r="AL2450">
        <v>88.577991594574399</v>
      </c>
      <c r="AM2450">
        <v>89.150420460041005</v>
      </c>
      <c r="AN2450">
        <v>0.99999996715616202</v>
      </c>
    </row>
    <row r="2451" spans="1:40" x14ac:dyDescent="0.25">
      <c r="A2451" t="str">
        <f>"20190312153935458"</f>
        <v>20190312153935458</v>
      </c>
      <c r="B2451" t="str">
        <f>"1552376375448561"</f>
        <v>1552376375448561</v>
      </c>
      <c r="C2451" t="s">
        <v>40</v>
      </c>
      <c r="D2451">
        <v>3.9121839999999999</v>
      </c>
      <c r="E2451">
        <v>0.52080409999999999</v>
      </c>
      <c r="F2451" t="s">
        <v>63</v>
      </c>
      <c r="G2451">
        <v>-455.35789999999997</v>
      </c>
      <c r="H2451">
        <v>1.199376</v>
      </c>
      <c r="I2451">
        <v>299.82319999999999</v>
      </c>
      <c r="J2451">
        <v>-244.2303</v>
      </c>
      <c r="K2451">
        <v>1.1068100000000001</v>
      </c>
      <c r="L2451">
        <v>283.14839999999998</v>
      </c>
      <c r="M2451">
        <v>-0.99993299999999996</v>
      </c>
      <c r="N2451">
        <v>0</v>
      </c>
      <c r="O2451">
        <v>1.0411689999999999E-2</v>
      </c>
      <c r="P2451">
        <v>-0.99949149999999998</v>
      </c>
      <c r="Q2451">
        <v>1.9564209999999999E-2</v>
      </c>
      <c r="R2451">
        <v>2.5178949999999999E-2</v>
      </c>
      <c r="S2451">
        <v>-2.995819</v>
      </c>
      <c r="T2451">
        <v>1.3136860000000001E-3</v>
      </c>
      <c r="U2451">
        <v>0.2364502</v>
      </c>
      <c r="V2451">
        <v>1.490733E-2</v>
      </c>
      <c r="W2451">
        <v>2.454303E-2</v>
      </c>
      <c r="X2451">
        <v>0.99958760000000002</v>
      </c>
      <c r="Y2451">
        <v>6.8298220000000007E-2</v>
      </c>
      <c r="Z2451" s="1">
        <v>-1.0393320000000001E-5</v>
      </c>
      <c r="AA2451">
        <v>0.99766489999999997</v>
      </c>
      <c r="AB2451">
        <v>32</v>
      </c>
      <c r="AC2451">
        <v>-211.1276</v>
      </c>
      <c r="AD2451">
        <v>9.2565999999999898E-2</v>
      </c>
      <c r="AE2451">
        <v>16.674800000000001</v>
      </c>
      <c r="AF2451">
        <v>14.475670134905</v>
      </c>
      <c r="AG2451">
        <v>9.2565999999999898E-2</v>
      </c>
      <c r="AH2451">
        <v>211.289730640231</v>
      </c>
      <c r="AI2451">
        <v>89.974957432055305</v>
      </c>
      <c r="AJ2451">
        <v>86.080733384317</v>
      </c>
      <c r="AK2451">
        <v>211.785041653891</v>
      </c>
      <c r="AL2451">
        <v>88.593646722949003</v>
      </c>
      <c r="AM2451">
        <v>89.145583860201398</v>
      </c>
      <c r="AN2451">
        <v>0.99999997944153396</v>
      </c>
    </row>
    <row r="2452" spans="1:40" x14ac:dyDescent="0.25">
      <c r="A2452" t="str">
        <f>"20190312153935471"</f>
        <v>20190312153935471</v>
      </c>
      <c r="B2452" t="str">
        <f>"1552376375458320"</f>
        <v>1552376375458320</v>
      </c>
      <c r="C2452" t="s">
        <v>40</v>
      </c>
      <c r="D2452">
        <v>3.910158</v>
      </c>
      <c r="E2452">
        <v>0.52080409999999999</v>
      </c>
      <c r="F2452" t="s">
        <v>63</v>
      </c>
      <c r="G2452">
        <v>-441.7484</v>
      </c>
      <c r="H2452">
        <v>0.93589929999999999</v>
      </c>
      <c r="I2452">
        <v>298.90839999999997</v>
      </c>
      <c r="J2452">
        <v>-244.40700000000001</v>
      </c>
      <c r="K2452">
        <v>1.1068789999999999</v>
      </c>
      <c r="L2452">
        <v>283.15159999999997</v>
      </c>
      <c r="M2452">
        <v>-0.99991540000000001</v>
      </c>
      <c r="N2452">
        <v>0</v>
      </c>
      <c r="O2452">
        <v>1.179737E-2</v>
      </c>
      <c r="P2452">
        <v>-0.99946800000000002</v>
      </c>
      <c r="Q2452">
        <v>1.908466E-2</v>
      </c>
      <c r="R2452">
        <v>2.645612E-2</v>
      </c>
      <c r="S2452">
        <v>-2.9955440000000002</v>
      </c>
      <c r="T2452">
        <v>-2.5911329999999998E-3</v>
      </c>
      <c r="U2452">
        <v>0.2390137</v>
      </c>
      <c r="V2452">
        <v>1.4799949999999999E-2</v>
      </c>
      <c r="W2452">
        <v>2.4520150000000001E-2</v>
      </c>
      <c r="X2452">
        <v>0.99958979999999997</v>
      </c>
      <c r="Y2452">
        <v>6.7771219999999993E-2</v>
      </c>
      <c r="Z2452" s="1">
        <v>1.9077129999999999E-5</v>
      </c>
      <c r="AA2452">
        <v>0.9977009</v>
      </c>
      <c r="AB2452">
        <v>32</v>
      </c>
      <c r="AC2452">
        <v>-197.34139999999999</v>
      </c>
      <c r="AD2452">
        <v>-0.17097970000000001</v>
      </c>
      <c r="AE2452">
        <v>15.756799999999901</v>
      </c>
      <c r="AF2452">
        <v>13.4275489616721</v>
      </c>
      <c r="AG2452">
        <v>-0.17097970000000001</v>
      </c>
      <c r="AH2452">
        <v>197.51341058528499</v>
      </c>
      <c r="AI2452">
        <v>90.049484503003598</v>
      </c>
      <c r="AJ2452">
        <v>86.110846652339305</v>
      </c>
      <c r="AK2452">
        <v>197.96938062793299</v>
      </c>
      <c r="AL2452">
        <v>88.594958105234596</v>
      </c>
      <c r="AM2452">
        <v>89.151739327182199</v>
      </c>
      <c r="AN2452">
        <v>1.00000002227003</v>
      </c>
    </row>
    <row r="2453" spans="1:40" x14ac:dyDescent="0.25">
      <c r="A2453" t="str">
        <f>"20190312153935490"</f>
        <v>20190312153935490</v>
      </c>
      <c r="B2453" t="str">
        <f>"1552376375478821"</f>
        <v>1552376375478821</v>
      </c>
      <c r="C2453" t="s">
        <v>40</v>
      </c>
      <c r="D2453">
        <v>3.9039389999999998</v>
      </c>
      <c r="E2453">
        <v>0.5203084</v>
      </c>
      <c r="F2453" t="s">
        <v>63</v>
      </c>
      <c r="G2453">
        <v>-439.9341</v>
      </c>
      <c r="H2453">
        <v>0.84223909999999902</v>
      </c>
      <c r="I2453">
        <v>299.00110000000001</v>
      </c>
      <c r="J2453">
        <v>-244.68680000000001</v>
      </c>
      <c r="K2453">
        <v>1.106976</v>
      </c>
      <c r="L2453">
        <v>283.15710000000001</v>
      </c>
      <c r="M2453">
        <v>-0.99988259999999995</v>
      </c>
      <c r="N2453">
        <v>0</v>
      </c>
      <c r="O2453">
        <v>1.400363E-2</v>
      </c>
      <c r="P2453">
        <v>-0.99942989999999998</v>
      </c>
      <c r="Q2453">
        <v>1.8020580000000001E-2</v>
      </c>
      <c r="R2453">
        <v>2.8550519999999999E-2</v>
      </c>
      <c r="S2453">
        <v>-2.9952700000000001</v>
      </c>
      <c r="T2453">
        <v>-4.0538309999999999E-3</v>
      </c>
      <c r="U2453">
        <v>0.24279790000000001</v>
      </c>
      <c r="V2453">
        <v>1.468759E-2</v>
      </c>
      <c r="W2453">
        <v>2.4158820000000001E-2</v>
      </c>
      <c r="X2453">
        <v>0.99960020000000005</v>
      </c>
      <c r="Y2453">
        <v>6.6829330000000006E-2</v>
      </c>
      <c r="Z2453" s="1">
        <v>2.623085E-5</v>
      </c>
      <c r="AA2453">
        <v>0.9977644</v>
      </c>
      <c r="AB2453">
        <v>32</v>
      </c>
      <c r="AC2453">
        <v>-195.2473</v>
      </c>
      <c r="AD2453">
        <v>-0.2647369</v>
      </c>
      <c r="AE2453">
        <v>15.8439999999999</v>
      </c>
      <c r="AF2453">
        <v>13.108198570586501</v>
      </c>
      <c r="AG2453">
        <v>-0.2647369</v>
      </c>
      <c r="AH2453">
        <v>195.44967498733601</v>
      </c>
      <c r="AI2453">
        <v>90.077433227904095</v>
      </c>
      <c r="AJ2453">
        <v>86.1630970884531</v>
      </c>
      <c r="AK2453">
        <v>195.88892364819301</v>
      </c>
      <c r="AL2453">
        <v>88.615666847149299</v>
      </c>
      <c r="AM2453">
        <v>89.158187079148803</v>
      </c>
      <c r="AN2453">
        <v>0.99999996686191905</v>
      </c>
    </row>
    <row r="2454" spans="1:40" x14ac:dyDescent="0.25">
      <c r="A2454" t="str">
        <f>"20190312153935512"</f>
        <v>20190312153935512</v>
      </c>
      <c r="B2454" t="str">
        <f>"1552376375498337"</f>
        <v>1552376375498337</v>
      </c>
      <c r="C2454" t="s">
        <v>40</v>
      </c>
      <c r="D2454">
        <v>3.9219080000000002</v>
      </c>
      <c r="E2454">
        <v>0.5153643</v>
      </c>
      <c r="F2454" t="s">
        <v>63</v>
      </c>
      <c r="G2454">
        <v>-439.93400000000003</v>
      </c>
      <c r="H2454">
        <v>0.801181699999999</v>
      </c>
      <c r="I2454">
        <v>299.14150000000001</v>
      </c>
      <c r="J2454">
        <v>-245.00149999999999</v>
      </c>
      <c r="K2454">
        <v>1.107062</v>
      </c>
      <c r="L2454">
        <v>283.16399999999999</v>
      </c>
      <c r="M2454">
        <v>-0.9998397</v>
      </c>
      <c r="N2454">
        <v>0</v>
      </c>
      <c r="O2454">
        <v>1.6495969999999999E-2</v>
      </c>
      <c r="P2454">
        <v>-0.99937640000000005</v>
      </c>
      <c r="Q2454">
        <v>1.6948939999999999E-2</v>
      </c>
      <c r="R2454">
        <v>3.098074E-2</v>
      </c>
      <c r="S2454">
        <v>-2.994812</v>
      </c>
      <c r="T2454">
        <v>-4.6902890000000003E-3</v>
      </c>
      <c r="U2454">
        <v>0.24517820000000001</v>
      </c>
      <c r="V2454">
        <v>1.4625300000000001E-2</v>
      </c>
      <c r="W2454">
        <v>2.3837520000000001E-2</v>
      </c>
      <c r="X2454">
        <v>0.99960890000000002</v>
      </c>
      <c r="Y2454">
        <v>6.5142149999999996E-2</v>
      </c>
      <c r="Z2454" s="1">
        <v>2.5138379999999998E-5</v>
      </c>
      <c r="AA2454">
        <v>0.99787599999999999</v>
      </c>
      <c r="AB2454">
        <v>32</v>
      </c>
      <c r="AC2454">
        <v>-194.9325</v>
      </c>
      <c r="AD2454">
        <v>-0.30588029999999999</v>
      </c>
      <c r="AE2454">
        <v>15.977499999999999</v>
      </c>
      <c r="AF2454">
        <v>12.7596160794792</v>
      </c>
      <c r="AG2454">
        <v>-0.30588029999999999</v>
      </c>
      <c r="AH2454">
        <v>195.169068079895</v>
      </c>
      <c r="AI2454">
        <v>90.089605908606003</v>
      </c>
      <c r="AJ2454">
        <v>86.259482915308098</v>
      </c>
      <c r="AK2454">
        <v>195.58595680781499</v>
      </c>
      <c r="AL2454">
        <v>88.634081384837401</v>
      </c>
      <c r="AM2454">
        <v>89.161763987813899</v>
      </c>
      <c r="AN2454">
        <v>1.0000000398595199</v>
      </c>
    </row>
    <row r="2455" spans="1:40" x14ac:dyDescent="0.25">
      <c r="A2455" t="str">
        <f>"20190312153935534"</f>
        <v>20190312153935534</v>
      </c>
      <c r="B2455" t="str">
        <f>"1552376375528593"</f>
        <v>1552376375528593</v>
      </c>
      <c r="C2455" t="s">
        <v>40</v>
      </c>
      <c r="D2455">
        <v>3.9669750000000001</v>
      </c>
      <c r="E2455">
        <v>0.52089319999999995</v>
      </c>
      <c r="F2455" t="s">
        <v>64</v>
      </c>
      <c r="G2455">
        <v>-511.82029999999997</v>
      </c>
      <c r="H2455">
        <v>0.48472009999999999</v>
      </c>
      <c r="I2455">
        <v>302.13589999999999</v>
      </c>
      <c r="J2455">
        <v>-245.32480000000001</v>
      </c>
      <c r="K2455">
        <v>1.1071359999999999</v>
      </c>
      <c r="L2455">
        <v>283.17200000000003</v>
      </c>
      <c r="M2455">
        <v>-0.99978889999999998</v>
      </c>
      <c r="N2455">
        <v>0</v>
      </c>
      <c r="O2455">
        <v>1.905534E-2</v>
      </c>
      <c r="P2455">
        <v>-0.99932350000000003</v>
      </c>
      <c r="Q2455">
        <v>1.5487829999999999E-2</v>
      </c>
      <c r="R2455">
        <v>3.3357489999999997E-2</v>
      </c>
      <c r="S2455">
        <v>-2.9953609999999999</v>
      </c>
      <c r="T2455">
        <v>-6.9855450000000001E-3</v>
      </c>
      <c r="U2455">
        <v>0.21298220000000001</v>
      </c>
      <c r="V2455">
        <v>1.443958E-2</v>
      </c>
      <c r="W2455">
        <v>2.3095290000000001E-2</v>
      </c>
      <c r="X2455">
        <v>0.99962899999999999</v>
      </c>
      <c r="Y2455">
        <v>5.1904060000000002E-2</v>
      </c>
      <c r="Z2455" s="1">
        <v>1.6071810000000002E-5</v>
      </c>
      <c r="AA2455">
        <v>0.99865210000000004</v>
      </c>
      <c r="AB2455">
        <v>32</v>
      </c>
      <c r="AC2455">
        <v>-266.49549999999999</v>
      </c>
      <c r="AD2455">
        <v>-0.62241590000000002</v>
      </c>
      <c r="AE2455">
        <v>18.963899999999899</v>
      </c>
      <c r="AF2455">
        <v>13.882068889440101</v>
      </c>
      <c r="AG2455">
        <v>-0.62241590000000002</v>
      </c>
      <c r="AH2455">
        <v>266.80703587051602</v>
      </c>
      <c r="AI2455">
        <v>90.133480612003297</v>
      </c>
      <c r="AJ2455">
        <v>87.021565134029203</v>
      </c>
      <c r="AK2455">
        <v>267.16866138867198</v>
      </c>
      <c r="AL2455">
        <v>88.676619712615107</v>
      </c>
      <c r="AM2455">
        <v>89.172423512298593</v>
      </c>
      <c r="AN2455">
        <v>1.0000000157658799</v>
      </c>
    </row>
    <row r="2456" spans="1:40" x14ac:dyDescent="0.25">
      <c r="A2456" t="str">
        <f>"20190312153935547"</f>
        <v>20190312153935547</v>
      </c>
      <c r="B2456" t="str">
        <f>"1552376375538353"</f>
        <v>1552376375538353</v>
      </c>
      <c r="C2456" t="s">
        <v>40</v>
      </c>
      <c r="D2456">
        <v>3.8992659999999999</v>
      </c>
      <c r="E2456">
        <v>0.52089319999999995</v>
      </c>
      <c r="F2456" t="s">
        <v>62</v>
      </c>
      <c r="G2456">
        <v>-429.95780000000002</v>
      </c>
      <c r="H2456">
        <v>9.7175909999999994E-3</v>
      </c>
      <c r="I2456">
        <v>299.45729999999998</v>
      </c>
      <c r="J2456">
        <v>-245.51419999999999</v>
      </c>
      <c r="K2456">
        <v>1.1071660000000001</v>
      </c>
      <c r="L2456">
        <v>283.1771</v>
      </c>
      <c r="M2456">
        <v>-0.99975610000000004</v>
      </c>
      <c r="N2456">
        <v>0</v>
      </c>
      <c r="O2456">
        <v>2.0553749999999999E-2</v>
      </c>
      <c r="P2456">
        <v>-0.99929129999999999</v>
      </c>
      <c r="Q2456">
        <v>1.4747639999999999E-2</v>
      </c>
      <c r="R2456">
        <v>3.4635060000000002E-2</v>
      </c>
      <c r="S2456">
        <v>-2.9935</v>
      </c>
      <c r="T2456">
        <v>-1.7792700000000002E-2</v>
      </c>
      <c r="U2456">
        <v>0.2640381</v>
      </c>
      <c r="V2456">
        <v>1.4217209999999999E-2</v>
      </c>
      <c r="W2456">
        <v>2.2745379999999999E-2</v>
      </c>
      <c r="X2456">
        <v>0.99964019999999998</v>
      </c>
      <c r="Y2456">
        <v>6.7368369999999997E-2</v>
      </c>
      <c r="Z2456" s="1">
        <v>7.7922569999999895E-5</v>
      </c>
      <c r="AA2456">
        <v>0.99772819999999995</v>
      </c>
      <c r="AB2456">
        <v>32</v>
      </c>
      <c r="AC2456">
        <v>-184.4436</v>
      </c>
      <c r="AD2456">
        <v>-1.0974484090000001</v>
      </c>
      <c r="AE2456">
        <v>16.280199999999901</v>
      </c>
      <c r="AF2456">
        <v>12.485190580393599</v>
      </c>
      <c r="AG2456">
        <v>-1.0974484090000001</v>
      </c>
      <c r="AH2456">
        <v>184.732774163312</v>
      </c>
      <c r="AI2456">
        <v>90.339600320592695</v>
      </c>
      <c r="AJ2456">
        <v>86.133536526437396</v>
      </c>
      <c r="AK2456">
        <v>185.15745252868501</v>
      </c>
      <c r="AL2456">
        <v>88.696673333313996</v>
      </c>
      <c r="AM2456">
        <v>89.185175613428399</v>
      </c>
      <c r="AN2456">
        <v>1.0000000054137801</v>
      </c>
    </row>
    <row r="2457" spans="1:40" x14ac:dyDescent="0.25">
      <c r="A2457" t="str">
        <f>"20190312153935558"</f>
        <v>20190312153935558</v>
      </c>
      <c r="B2457" t="str">
        <f>"1552376375548114"</f>
        <v>1552376375548114</v>
      </c>
      <c r="C2457" t="s">
        <v>40</v>
      </c>
      <c r="D2457">
        <v>3.9476179999999998</v>
      </c>
      <c r="E2457">
        <v>0.5454386</v>
      </c>
      <c r="F2457" t="s">
        <v>62</v>
      </c>
      <c r="G2457">
        <v>-411.05119999999999</v>
      </c>
      <c r="H2457" s="1">
        <v>3.8295129999999998E-7</v>
      </c>
      <c r="I2457">
        <v>297.99259999999998</v>
      </c>
      <c r="J2457">
        <v>-245.6892</v>
      </c>
      <c r="K2457">
        <v>1.1071959999999901</v>
      </c>
      <c r="L2457">
        <v>283.18200000000002</v>
      </c>
      <c r="M2457">
        <v>-0.99972380000000005</v>
      </c>
      <c r="N2457">
        <v>0</v>
      </c>
      <c r="O2457">
        <v>2.193811E-2</v>
      </c>
      <c r="P2457">
        <v>-0.99924109999999999</v>
      </c>
      <c r="Q2457">
        <v>1.442741E-2</v>
      </c>
      <c r="R2457">
        <v>3.618246E-2</v>
      </c>
      <c r="S2457">
        <v>-2.993134</v>
      </c>
      <c r="T2457">
        <v>-2.001905E-2</v>
      </c>
      <c r="U2457">
        <v>0.26788329999999999</v>
      </c>
      <c r="V2457">
        <v>1.438096E-2</v>
      </c>
      <c r="W2457">
        <v>2.2771119999999999E-2</v>
      </c>
      <c r="X2457">
        <v>0.9996372</v>
      </c>
      <c r="Y2457">
        <v>6.7268969999999997E-2</v>
      </c>
      <c r="Z2457" s="1">
        <v>7.8111709999999993E-5</v>
      </c>
      <c r="AA2457">
        <v>0.99773489999999998</v>
      </c>
      <c r="AB2457">
        <v>32</v>
      </c>
      <c r="AC2457">
        <v>-165.36199999999999</v>
      </c>
      <c r="AD2457">
        <v>-1.1071956170486901</v>
      </c>
      <c r="AE2457">
        <v>14.8105999999999</v>
      </c>
      <c r="AF2457">
        <v>11.178679512968699</v>
      </c>
      <c r="AG2457">
        <v>-1.1071956170486901</v>
      </c>
      <c r="AH2457">
        <v>165.639761047847</v>
      </c>
      <c r="AI2457">
        <v>90.382110682595794</v>
      </c>
      <c r="AJ2457">
        <v>86.139082765560502</v>
      </c>
      <c r="AK2457">
        <v>166.02023731393601</v>
      </c>
      <c r="AL2457">
        <v>88.695198064386204</v>
      </c>
      <c r="AM2457">
        <v>89.1757894994456</v>
      </c>
      <c r="AN2457">
        <v>0.99999993377020502</v>
      </c>
    </row>
    <row r="2458" spans="1:40" x14ac:dyDescent="0.25">
      <c r="A2458" t="str">
        <f>"20190312153935578"</f>
        <v>20190312153935578</v>
      </c>
      <c r="B2458" t="str">
        <f>"1552376375568612"</f>
        <v>1552376375568612</v>
      </c>
      <c r="C2458" t="s">
        <v>40</v>
      </c>
      <c r="D2458">
        <v>3.94278</v>
      </c>
      <c r="E2458">
        <v>0.54580340000000005</v>
      </c>
      <c r="F2458" t="s">
        <v>44</v>
      </c>
      <c r="G2458">
        <v>-364.53429999999997</v>
      </c>
      <c r="H2458">
        <v>1.7503489999999999</v>
      </c>
      <c r="I2458">
        <v>301.88839999999999</v>
      </c>
      <c r="J2458">
        <v>-245.97499999999999</v>
      </c>
      <c r="K2458">
        <v>1.107243</v>
      </c>
      <c r="L2458">
        <v>283.19060000000002</v>
      </c>
      <c r="M2458">
        <v>-0.99966710000000003</v>
      </c>
      <c r="N2458">
        <v>0</v>
      </c>
      <c r="O2458">
        <v>2.4201070000000002E-2</v>
      </c>
      <c r="P2458">
        <v>-0.9991816</v>
      </c>
      <c r="Q2458">
        <v>1.408851E-2</v>
      </c>
      <c r="R2458">
        <v>3.7920189999999999E-2</v>
      </c>
      <c r="S2458">
        <v>-2.9850310000000002</v>
      </c>
      <c r="T2458">
        <v>1.615608E-2</v>
      </c>
      <c r="U2458">
        <v>0.46984860000000001</v>
      </c>
      <c r="V2458">
        <v>1.3857029999999999E-2</v>
      </c>
      <c r="W2458">
        <v>2.2954660000000002E-2</v>
      </c>
      <c r="X2458">
        <v>0.99964050000000004</v>
      </c>
      <c r="Y2458">
        <v>0.1315325</v>
      </c>
      <c r="Z2458">
        <v>-2.236537E-4</v>
      </c>
      <c r="AA2458">
        <v>0.99131179999999997</v>
      </c>
      <c r="AB2458">
        <v>32</v>
      </c>
      <c r="AC2458">
        <v>-118.559299999999</v>
      </c>
      <c r="AD2458">
        <v>0.64310599999999996</v>
      </c>
      <c r="AE2458">
        <v>18.697799999999901</v>
      </c>
      <c r="AF2458">
        <v>15.822492239371501</v>
      </c>
      <c r="AG2458">
        <v>0.64310599999999996</v>
      </c>
      <c r="AH2458">
        <v>118.97368173520699</v>
      </c>
      <c r="AI2458">
        <v>89.692996676792802</v>
      </c>
      <c r="AJ2458">
        <v>82.424599173645603</v>
      </c>
      <c r="AK2458">
        <v>120.02292194253</v>
      </c>
      <c r="AL2458">
        <v>88.684679375315497</v>
      </c>
      <c r="AM2458">
        <v>89.205816003292796</v>
      </c>
      <c r="AN2458">
        <v>1.0000000314681901</v>
      </c>
    </row>
    <row r="2459" spans="1:40" x14ac:dyDescent="0.25">
      <c r="A2459" t="str">
        <f>"20190312153935590"</f>
        <v>20190312153935590</v>
      </c>
      <c r="B2459" t="str">
        <f>"1552376375578370"</f>
        <v>1552376375578370</v>
      </c>
      <c r="C2459" t="s">
        <v>40</v>
      </c>
      <c r="D2459">
        <v>3.9313370000000001</v>
      </c>
      <c r="E2459">
        <v>0.54574590000000001</v>
      </c>
      <c r="F2459" t="s">
        <v>44</v>
      </c>
      <c r="G2459">
        <v>-362.67219999999998</v>
      </c>
      <c r="H2459">
        <v>1.82609</v>
      </c>
      <c r="I2459">
        <v>301.88839999999999</v>
      </c>
      <c r="J2459">
        <v>-246.15110000000001</v>
      </c>
      <c r="K2459">
        <v>1.107267</v>
      </c>
      <c r="L2459">
        <v>283.19619999999998</v>
      </c>
      <c r="M2459">
        <v>-0.99962969999999896</v>
      </c>
      <c r="N2459">
        <v>0</v>
      </c>
      <c r="O2459">
        <v>2.5595179999999999E-2</v>
      </c>
      <c r="P2459">
        <v>-0.99914389999999997</v>
      </c>
      <c r="Q2459">
        <v>1.36493E-2</v>
      </c>
      <c r="R2459">
        <v>3.9050500000000002E-2</v>
      </c>
      <c r="S2459">
        <v>-2.9840550000000001</v>
      </c>
      <c r="T2459">
        <v>1.838362E-2</v>
      </c>
      <c r="U2459">
        <v>0.47811890000000001</v>
      </c>
      <c r="V2459">
        <v>1.359221E-2</v>
      </c>
      <c r="W2459">
        <v>2.2807350000000001E-2</v>
      </c>
      <c r="X2459">
        <v>0.99964750000000002</v>
      </c>
      <c r="Y2459">
        <v>0.132879</v>
      </c>
      <c r="Z2459">
        <v>-2.5011519999999999E-4</v>
      </c>
      <c r="AA2459">
        <v>0.99113229999999997</v>
      </c>
      <c r="AB2459">
        <v>32</v>
      </c>
      <c r="AC2459">
        <v>-116.521099999999</v>
      </c>
      <c r="AD2459">
        <v>0.71882299999999999</v>
      </c>
      <c r="AE2459">
        <v>18.6922</v>
      </c>
      <c r="AF2459">
        <v>15.702987295634699</v>
      </c>
      <c r="AG2459">
        <v>0.71882299999999999</v>
      </c>
      <c r="AH2459">
        <v>116.957034506448</v>
      </c>
      <c r="AI2459">
        <v>89.650993647377206</v>
      </c>
      <c r="AJ2459">
        <v>82.353034684677596</v>
      </c>
      <c r="AK2459">
        <v>118.008679498817</v>
      </c>
      <c r="AL2459">
        <v>88.693121816613797</v>
      </c>
      <c r="AM2459">
        <v>89.220997121900098</v>
      </c>
      <c r="AN2459">
        <v>1.0000000238214699</v>
      </c>
    </row>
    <row r="2460" spans="1:40" x14ac:dyDescent="0.25">
      <c r="A2460" t="str">
        <f>"20190312153935602"</f>
        <v>20190312153935602</v>
      </c>
      <c r="B2460" t="str">
        <f>"1552376375598866"</f>
        <v>1552376375598866</v>
      </c>
      <c r="C2460" t="s">
        <v>40</v>
      </c>
      <c r="D2460">
        <v>4.0059809999999896</v>
      </c>
      <c r="E2460">
        <v>0.54499219999999904</v>
      </c>
      <c r="F2460" t="s">
        <v>44</v>
      </c>
      <c r="G2460">
        <v>-362.0532</v>
      </c>
      <c r="H2460">
        <v>1.807285</v>
      </c>
      <c r="I2460">
        <v>301.88839999999999</v>
      </c>
      <c r="J2460">
        <v>-246.316</v>
      </c>
      <c r="K2460">
        <v>1.1072879999999901</v>
      </c>
      <c r="L2460">
        <v>283.20170000000002</v>
      </c>
      <c r="M2460">
        <v>-0.99959310000000001</v>
      </c>
      <c r="N2460">
        <v>0</v>
      </c>
      <c r="O2460">
        <v>2.6901040000000001E-2</v>
      </c>
      <c r="P2460">
        <v>-0.99909840000000005</v>
      </c>
      <c r="Q2460">
        <v>1.3435290000000001E-2</v>
      </c>
      <c r="R2460">
        <v>4.0277609999999998E-2</v>
      </c>
      <c r="S2460">
        <v>-2.983536</v>
      </c>
      <c r="T2460">
        <v>1.8021820000000001E-2</v>
      </c>
      <c r="U2460">
        <v>0.48117070000000001</v>
      </c>
      <c r="V2460">
        <v>1.351405E-2</v>
      </c>
      <c r="W2460">
        <v>2.2854550000000001E-2</v>
      </c>
      <c r="X2460">
        <v>0.99964739999999996</v>
      </c>
      <c r="Y2460">
        <v>0.13259939999999901</v>
      </c>
      <c r="Z2460">
        <v>-2.365492E-4</v>
      </c>
      <c r="AA2460">
        <v>0.99116970000000004</v>
      </c>
      <c r="AB2460">
        <v>32</v>
      </c>
      <c r="AC2460">
        <v>-115.7372</v>
      </c>
      <c r="AD2460">
        <v>0.69999699999999998</v>
      </c>
      <c r="AE2460">
        <v>18.686699999999899</v>
      </c>
      <c r="AF2460">
        <v>15.5657906572724</v>
      </c>
      <c r="AG2460">
        <v>0.69999699999999998</v>
      </c>
      <c r="AH2460">
        <v>116.193882983347</v>
      </c>
      <c r="AI2460">
        <v>89.657888287845196</v>
      </c>
      <c r="AJ2460">
        <v>82.369859438876304</v>
      </c>
      <c r="AK2460">
        <v>117.23396383870001</v>
      </c>
      <c r="AL2460">
        <v>88.690416643827604</v>
      </c>
      <c r="AM2460">
        <v>89.225476038375106</v>
      </c>
      <c r="AN2460">
        <v>0.99999994216493004</v>
      </c>
    </row>
    <row r="2461" spans="1:40" x14ac:dyDescent="0.25">
      <c r="A2461" t="str">
        <f>"20190312153935622"</f>
        <v>20190312153935622</v>
      </c>
      <c r="B2461" t="str">
        <f>"1552376375618385"</f>
        <v>1552376375618385</v>
      </c>
      <c r="C2461" t="s">
        <v>40</v>
      </c>
      <c r="D2461">
        <v>4.0252039999999996</v>
      </c>
      <c r="E2461">
        <v>0.54445279999999996</v>
      </c>
      <c r="F2461" t="s">
        <v>44</v>
      </c>
      <c r="G2461">
        <v>-362.87</v>
      </c>
      <c r="H2461">
        <v>1.4489479999999999</v>
      </c>
      <c r="I2461">
        <v>301.88839999999999</v>
      </c>
      <c r="J2461">
        <v>-246.61259999999999</v>
      </c>
      <c r="K2461">
        <v>1.107321</v>
      </c>
      <c r="L2461">
        <v>283.2122</v>
      </c>
      <c r="M2461">
        <v>-0.99952300000000005</v>
      </c>
      <c r="N2461">
        <v>0</v>
      </c>
      <c r="O2461">
        <v>2.924885E-2</v>
      </c>
      <c r="P2461">
        <v>-0.99902619999999998</v>
      </c>
      <c r="Q2461">
        <v>1.253603E-2</v>
      </c>
      <c r="R2461">
        <v>4.2306629999999998E-2</v>
      </c>
      <c r="S2461">
        <v>-2.9833069999999999</v>
      </c>
      <c r="T2461">
        <v>8.7471010000000002E-3</v>
      </c>
      <c r="U2461">
        <v>0.478302</v>
      </c>
      <c r="V2461">
        <v>1.319247E-2</v>
      </c>
      <c r="W2461">
        <v>2.2384029999999999E-2</v>
      </c>
      <c r="X2461">
        <v>0.99966239999999995</v>
      </c>
      <c r="Y2461">
        <v>0.12935479999999999</v>
      </c>
      <c r="Z2461">
        <v>-1.032723E-4</v>
      </c>
      <c r="AA2461">
        <v>0.99159839999999999</v>
      </c>
      <c r="AB2461">
        <v>32</v>
      </c>
      <c r="AC2461">
        <v>-116.2574</v>
      </c>
      <c r="AD2461">
        <v>0.34162699999999901</v>
      </c>
      <c r="AE2461">
        <v>18.676199999999898</v>
      </c>
      <c r="AF2461">
        <v>15.267517929556499</v>
      </c>
      <c r="AG2461">
        <v>0.34162699999999901</v>
      </c>
      <c r="AH2461">
        <v>116.75295706064</v>
      </c>
      <c r="AI2461">
        <v>89.833764473613499</v>
      </c>
      <c r="AJ2461">
        <v>82.549836069770294</v>
      </c>
      <c r="AK2461">
        <v>117.747470440515</v>
      </c>
      <c r="AL2461">
        <v>88.717382429176695</v>
      </c>
      <c r="AM2461">
        <v>89.243915769671702</v>
      </c>
      <c r="AN2461">
        <v>1.0000000000187499</v>
      </c>
    </row>
    <row r="2462" spans="1:40" x14ac:dyDescent="0.25">
      <c r="A2462" t="str">
        <f>"20190312153935634"</f>
        <v>20190312153935634</v>
      </c>
      <c r="B2462" t="str">
        <f>"1552376375628146"</f>
        <v>1552376375628146</v>
      </c>
      <c r="C2462" t="s">
        <v>40</v>
      </c>
      <c r="D2462">
        <v>4.0102669999999998</v>
      </c>
      <c r="E2462">
        <v>0.54414819999999997</v>
      </c>
      <c r="F2462" t="s">
        <v>44</v>
      </c>
      <c r="G2462">
        <v>-362.78100000000001</v>
      </c>
      <c r="H2462">
        <v>0.85105489999999995</v>
      </c>
      <c r="I2462">
        <v>301.88839999999999</v>
      </c>
      <c r="J2462">
        <v>-246.7989</v>
      </c>
      <c r="K2462">
        <v>1.107337</v>
      </c>
      <c r="L2462">
        <v>283.21899999999999</v>
      </c>
      <c r="M2462">
        <v>-0.99947629999999998</v>
      </c>
      <c r="N2462">
        <v>0</v>
      </c>
      <c r="O2462">
        <v>3.0722650000000001E-2</v>
      </c>
      <c r="P2462">
        <v>-0.99897860000000005</v>
      </c>
      <c r="Q2462">
        <v>1.2107690000000001E-2</v>
      </c>
      <c r="R2462">
        <v>4.3538970000000003E-2</v>
      </c>
      <c r="S2462">
        <v>-2.9826969999999999</v>
      </c>
      <c r="T2462">
        <v>-6.5777300000000004E-3</v>
      </c>
      <c r="U2462">
        <v>0.47952270000000002</v>
      </c>
      <c r="V2462">
        <v>1.2950079999999999E-2</v>
      </c>
      <c r="W2462">
        <v>2.2203830000000001E-2</v>
      </c>
      <c r="X2462">
        <v>0.99966960000000005</v>
      </c>
      <c r="Y2462">
        <v>0.12832009999999999</v>
      </c>
      <c r="Z2462" s="1">
        <v>7.3314619999999999E-5</v>
      </c>
      <c r="AA2462">
        <v>0.99173279999999997</v>
      </c>
      <c r="AB2462">
        <v>32</v>
      </c>
      <c r="AC2462">
        <v>-115.9821</v>
      </c>
      <c r="AD2462">
        <v>-0.25628210000000001</v>
      </c>
      <c r="AE2462">
        <v>18.6694</v>
      </c>
      <c r="AF2462">
        <v>15.097052886703301</v>
      </c>
      <c r="AG2462">
        <v>-0.25628210000000001</v>
      </c>
      <c r="AH2462">
        <v>116.50039335047001</v>
      </c>
      <c r="AI2462">
        <v>90.124996122579802</v>
      </c>
      <c r="AJ2462">
        <v>82.616302687064803</v>
      </c>
      <c r="AK2462">
        <v>117.474798732294</v>
      </c>
      <c r="AL2462">
        <v>88.727709710523797</v>
      </c>
      <c r="AM2462">
        <v>89.257811353846407</v>
      </c>
      <c r="AN2462">
        <v>1.0000000119014101</v>
      </c>
    </row>
    <row r="2463" spans="1:40" x14ac:dyDescent="0.25">
      <c r="A2463" t="str">
        <f>"20190312153935648"</f>
        <v>20190312153935648</v>
      </c>
      <c r="B2463" t="str">
        <f>"1552376375638882"</f>
        <v>1552376375638882</v>
      </c>
      <c r="C2463" t="s">
        <v>40</v>
      </c>
      <c r="D2463">
        <v>4.0269539999999999</v>
      </c>
      <c r="E2463">
        <v>0.54378510000000002</v>
      </c>
      <c r="F2463" t="s">
        <v>44</v>
      </c>
      <c r="G2463">
        <v>-362.64159999999998</v>
      </c>
      <c r="H2463">
        <v>0.66415570000000002</v>
      </c>
      <c r="I2463">
        <v>301.88839999999999</v>
      </c>
      <c r="J2463">
        <v>-246.9939</v>
      </c>
      <c r="K2463">
        <v>1.1073539999999999</v>
      </c>
      <c r="L2463">
        <v>283.22660000000002</v>
      </c>
      <c r="M2463">
        <v>-0.99942520000000001</v>
      </c>
      <c r="N2463">
        <v>0</v>
      </c>
      <c r="O2463">
        <v>3.2264080000000001E-2</v>
      </c>
      <c r="P2463">
        <v>-0.99891790000000003</v>
      </c>
      <c r="Q2463">
        <v>1.1567320000000001E-2</v>
      </c>
      <c r="R2463">
        <v>4.5046339999999997E-2</v>
      </c>
      <c r="S2463">
        <v>-2.9822389999999999</v>
      </c>
      <c r="T2463">
        <v>-1.140714E-2</v>
      </c>
      <c r="U2463">
        <v>0.48062129999999997</v>
      </c>
      <c r="V2463">
        <v>1.291426E-2</v>
      </c>
      <c r="W2463">
        <v>2.1896820000000001E-2</v>
      </c>
      <c r="X2463">
        <v>0.99967680000000003</v>
      </c>
      <c r="Y2463">
        <v>0.12717000000000001</v>
      </c>
      <c r="Z2463">
        <v>1.191232E-4</v>
      </c>
      <c r="AA2463">
        <v>0.99188100000000001</v>
      </c>
      <c r="AB2463">
        <v>32</v>
      </c>
      <c r="AC2463">
        <v>-115.6477</v>
      </c>
      <c r="AD2463">
        <v>-0.44319829999999999</v>
      </c>
      <c r="AE2463">
        <v>18.6617999999999</v>
      </c>
      <c r="AF2463">
        <v>14.920400947368799</v>
      </c>
      <c r="AG2463">
        <v>-0.44319829999999999</v>
      </c>
      <c r="AH2463">
        <v>116.18796017259299</v>
      </c>
      <c r="AI2463">
        <v>90.216773313964794</v>
      </c>
      <c r="AJ2463">
        <v>82.682350285203796</v>
      </c>
      <c r="AK2463">
        <v>117.142890856558</v>
      </c>
      <c r="AL2463">
        <v>88.745304321341095</v>
      </c>
      <c r="AM2463">
        <v>89.259869353575297</v>
      </c>
      <c r="AN2463">
        <v>0.99999997664784901</v>
      </c>
    </row>
    <row r="2464" spans="1:40" x14ac:dyDescent="0.25">
      <c r="A2464" t="str">
        <f>"20190312153935662"</f>
        <v>20190312153935662</v>
      </c>
      <c r="B2464" t="str">
        <f>"1552376375658401"</f>
        <v>1552376375658401</v>
      </c>
      <c r="C2464" t="s">
        <v>40</v>
      </c>
      <c r="D2464">
        <v>4.0180210000000001</v>
      </c>
      <c r="E2464">
        <v>0.5433964</v>
      </c>
      <c r="F2464" t="s">
        <v>44</v>
      </c>
      <c r="G2464">
        <v>-362.41829999999999</v>
      </c>
      <c r="H2464">
        <v>0.47531679999999998</v>
      </c>
      <c r="I2464">
        <v>301.88839999999999</v>
      </c>
      <c r="J2464">
        <v>-247.1848</v>
      </c>
      <c r="K2464">
        <v>1.107367</v>
      </c>
      <c r="L2464">
        <v>283.23419999999999</v>
      </c>
      <c r="M2464">
        <v>-0.99937330000000002</v>
      </c>
      <c r="N2464">
        <v>0</v>
      </c>
      <c r="O2464">
        <v>3.3771269999999999E-2</v>
      </c>
      <c r="P2464">
        <v>-0.99885869999999999</v>
      </c>
      <c r="Q2464">
        <v>1.138759E-2</v>
      </c>
      <c r="R2464">
        <v>4.6388720000000001E-2</v>
      </c>
      <c r="S2464">
        <v>-2.981735</v>
      </c>
      <c r="T2464">
        <v>-1.6325240000000001E-2</v>
      </c>
      <c r="U2464">
        <v>0.48208620000000002</v>
      </c>
      <c r="V2464">
        <v>1.2749989999999999E-2</v>
      </c>
      <c r="W2464">
        <v>2.1933060000000001E-2</v>
      </c>
      <c r="X2464">
        <v>0.99967810000000001</v>
      </c>
      <c r="Y2464">
        <v>0.12617449999999999</v>
      </c>
      <c r="Z2464">
        <v>1.5961109999999999E-4</v>
      </c>
      <c r="AA2464">
        <v>0.992008</v>
      </c>
      <c r="AB2464">
        <v>32</v>
      </c>
      <c r="AC2464">
        <v>-115.23350000000001</v>
      </c>
      <c r="AD2464">
        <v>-0.63205019999999901</v>
      </c>
      <c r="AE2464">
        <v>18.654199999999999</v>
      </c>
      <c r="AF2464">
        <v>14.751325187907501</v>
      </c>
      <c r="AG2464">
        <v>-0.63205019999999901</v>
      </c>
      <c r="AH2464">
        <v>115.794378815697</v>
      </c>
      <c r="AI2464">
        <v>90.310232097399705</v>
      </c>
      <c r="AJ2464">
        <v>82.740057379523407</v>
      </c>
      <c r="AK2464">
        <v>116.731911864613</v>
      </c>
      <c r="AL2464">
        <v>88.743227405660207</v>
      </c>
      <c r="AM2464">
        <v>89.269283773267901</v>
      </c>
      <c r="AN2464">
        <v>0.999999962492786</v>
      </c>
    </row>
    <row r="2465" spans="1:40" x14ac:dyDescent="0.25">
      <c r="A2465" t="str">
        <f>"20190312153935678"</f>
        <v>20190312153935678</v>
      </c>
      <c r="B2465" t="str">
        <f>"1552376375668164"</f>
        <v>1552376375668164</v>
      </c>
      <c r="C2465" t="s">
        <v>40</v>
      </c>
      <c r="D2465">
        <v>4.0362900000000002</v>
      </c>
      <c r="E2465">
        <v>0.54327749999999997</v>
      </c>
      <c r="F2465" t="s">
        <v>44</v>
      </c>
      <c r="G2465">
        <v>-362.36079999999998</v>
      </c>
      <c r="H2465">
        <v>0.25457550000000001</v>
      </c>
      <c r="I2465">
        <v>301.88839999999999</v>
      </c>
      <c r="J2465">
        <v>-247.43680000000001</v>
      </c>
      <c r="K2465">
        <v>1.1073820000000001</v>
      </c>
      <c r="L2465">
        <v>283.24470000000002</v>
      </c>
      <c r="M2465">
        <v>-0.99930129999999995</v>
      </c>
      <c r="N2465">
        <v>0</v>
      </c>
      <c r="O2465">
        <v>3.575731E-2</v>
      </c>
      <c r="P2465">
        <v>-0.99879019999999996</v>
      </c>
      <c r="Q2465">
        <v>1.076094E-2</v>
      </c>
      <c r="R2465">
        <v>4.7984939999999997E-2</v>
      </c>
      <c r="S2465">
        <v>-2.9812470000000002</v>
      </c>
      <c r="T2465">
        <v>-2.2071839999999999E-2</v>
      </c>
      <c r="U2465">
        <v>0.48284909999999998</v>
      </c>
      <c r="V2465">
        <v>1.23578E-2</v>
      </c>
      <c r="W2465">
        <v>2.1567880000000001E-2</v>
      </c>
      <c r="X2465">
        <v>0.999691</v>
      </c>
      <c r="Y2465">
        <v>0.12447469999999999</v>
      </c>
      <c r="Z2465">
        <v>1.949903E-4</v>
      </c>
      <c r="AA2465">
        <v>0.99222279999999996</v>
      </c>
      <c r="AB2465">
        <v>32</v>
      </c>
      <c r="AC2465">
        <v>-114.923999999999</v>
      </c>
      <c r="AD2465">
        <v>-0.85280649999999902</v>
      </c>
      <c r="AE2465">
        <v>18.6436999999999</v>
      </c>
      <c r="AF2465">
        <v>14.521380634155999</v>
      </c>
      <c r="AG2465">
        <v>-0.85280649999999902</v>
      </c>
      <c r="AH2465">
        <v>115.510988175886</v>
      </c>
      <c r="AI2465">
        <v>90.419698184763305</v>
      </c>
      <c r="AJ2465">
        <v>82.834691626732294</v>
      </c>
      <c r="AK2465">
        <v>116.423305930635</v>
      </c>
      <c r="AL2465">
        <v>88.764155666867495</v>
      </c>
      <c r="AM2465">
        <v>89.291767434375501</v>
      </c>
      <c r="AN2465">
        <v>0.99999999207476697</v>
      </c>
    </row>
    <row r="2466" spans="1:40" x14ac:dyDescent="0.25">
      <c r="A2466" t="str">
        <f>"20190312153935691"</f>
        <v>20190312153935691</v>
      </c>
      <c r="B2466" t="str">
        <f>"1552376375688659"</f>
        <v>1552376375688659</v>
      </c>
      <c r="C2466" t="s">
        <v>40</v>
      </c>
      <c r="D2466">
        <v>4.0503859999999996</v>
      </c>
      <c r="E2466">
        <v>0.5430315</v>
      </c>
      <c r="F2466" t="s">
        <v>44</v>
      </c>
      <c r="G2466">
        <v>-361.6259</v>
      </c>
      <c r="H2466">
        <v>8.9221720000000004E-2</v>
      </c>
      <c r="I2466">
        <v>301.88839999999999</v>
      </c>
      <c r="J2466">
        <v>-247.61869999999999</v>
      </c>
      <c r="K2466">
        <v>1.1073930000000001</v>
      </c>
      <c r="L2466">
        <v>283.2527</v>
      </c>
      <c r="M2466">
        <v>-0.99924740000000001</v>
      </c>
      <c r="N2466">
        <v>0</v>
      </c>
      <c r="O2466">
        <v>3.7187850000000001E-2</v>
      </c>
      <c r="P2466">
        <v>-0.99872439999999996</v>
      </c>
      <c r="Q2466">
        <v>1.078232E-2</v>
      </c>
      <c r="R2466">
        <v>4.9331020000000003E-2</v>
      </c>
      <c r="S2466">
        <v>-2.9805450000000002</v>
      </c>
      <c r="T2466">
        <v>-2.6573780000000002E-2</v>
      </c>
      <c r="U2466">
        <v>0.48663329999999999</v>
      </c>
      <c r="V2466">
        <v>1.227463E-2</v>
      </c>
      <c r="W2466">
        <v>2.1757619999999998E-2</v>
      </c>
      <c r="X2466">
        <v>0.99968789999999996</v>
      </c>
      <c r="Y2466">
        <v>0.12431730000000001</v>
      </c>
      <c r="Z2466">
        <v>2.214498E-4</v>
      </c>
      <c r="AA2466">
        <v>0.99224250000000003</v>
      </c>
      <c r="AB2466">
        <v>32</v>
      </c>
      <c r="AC2466">
        <v>-114.0072</v>
      </c>
      <c r="AD2466">
        <v>-1.01817128</v>
      </c>
      <c r="AE2466">
        <v>18.6356999999999</v>
      </c>
      <c r="AF2466">
        <v>14.381750109248699</v>
      </c>
      <c r="AG2466">
        <v>-1.01817128</v>
      </c>
      <c r="AH2466">
        <v>114.612491143786</v>
      </c>
      <c r="AI2466">
        <v>90.505019093504899</v>
      </c>
      <c r="AJ2466">
        <v>82.847820395530306</v>
      </c>
      <c r="AK2466">
        <v>115.515776130988</v>
      </c>
      <c r="AL2466">
        <v>88.753281797530505</v>
      </c>
      <c r="AM2466">
        <v>89.296531292673293</v>
      </c>
      <c r="AN2466">
        <v>0.99999997898805504</v>
      </c>
    </row>
    <row r="2467" spans="1:40" x14ac:dyDescent="0.25">
      <c r="A2467" t="str">
        <f>"20190312153935706"</f>
        <v>20190312153935706</v>
      </c>
      <c r="B2467" t="str">
        <f>"1552376375698417"</f>
        <v>1552376375698417</v>
      </c>
      <c r="C2467" t="s">
        <v>40</v>
      </c>
      <c r="D2467">
        <v>4.0623500000000003</v>
      </c>
      <c r="E2467">
        <v>0.54297450000000003</v>
      </c>
      <c r="F2467" t="s">
        <v>43</v>
      </c>
      <c r="G2467">
        <v>-361.9649</v>
      </c>
      <c r="H2467">
        <v>-0.05</v>
      </c>
      <c r="I2467">
        <v>301.9932</v>
      </c>
      <c r="J2467">
        <v>-247.81200000000001</v>
      </c>
      <c r="K2467">
        <v>1.107407</v>
      </c>
      <c r="L2467">
        <v>283.26139999999998</v>
      </c>
      <c r="M2467">
        <v>-0.99918779999999996</v>
      </c>
      <c r="N2467">
        <v>0</v>
      </c>
      <c r="O2467">
        <v>3.8704919999999997E-2</v>
      </c>
      <c r="P2467">
        <v>-0.99866779999999999</v>
      </c>
      <c r="Q2467">
        <v>1.0592509999999999E-2</v>
      </c>
      <c r="R2467">
        <v>5.0504899999999998E-2</v>
      </c>
      <c r="S2467">
        <v>-2.9800110000000002</v>
      </c>
      <c r="T2467">
        <v>-3.016317E-2</v>
      </c>
      <c r="U2467">
        <v>0.48840329999999899</v>
      </c>
      <c r="V2467">
        <v>1.1931219999999999E-2</v>
      </c>
      <c r="W2467">
        <v>2.1735689999999998E-2</v>
      </c>
      <c r="X2467">
        <v>0.99969260000000004</v>
      </c>
      <c r="Y2467">
        <v>0.1234122</v>
      </c>
      <c r="Z2467">
        <v>2.3161979999999999E-4</v>
      </c>
      <c r="AA2467">
        <v>0.99235549999999995</v>
      </c>
      <c r="AB2467">
        <v>32</v>
      </c>
      <c r="AC2467">
        <v>-114.1529</v>
      </c>
      <c r="AD2467">
        <v>-1.1574070000000001</v>
      </c>
      <c r="AE2467">
        <v>18.7318</v>
      </c>
      <c r="AF2467">
        <v>14.297774396272899</v>
      </c>
      <c r="AG2467">
        <v>-1.1574070000000001</v>
      </c>
      <c r="AH2467">
        <v>114.780920789495</v>
      </c>
      <c r="AI2467">
        <v>90.5732987808275</v>
      </c>
      <c r="AJ2467">
        <v>82.899481439763605</v>
      </c>
      <c r="AK2467">
        <v>115.67379012090301</v>
      </c>
      <c r="AL2467">
        <v>88.754538672650696</v>
      </c>
      <c r="AM2467">
        <v>89.316213708970096</v>
      </c>
      <c r="AN2467">
        <v>1.00000004436261</v>
      </c>
    </row>
    <row r="2468" spans="1:40" x14ac:dyDescent="0.25">
      <c r="A2468" t="str">
        <f>"20190312153935725"</f>
        <v>20190312153935725</v>
      </c>
      <c r="B2468" t="str">
        <f>"1552376375717937"</f>
        <v>1552376375717937</v>
      </c>
      <c r="C2468" t="s">
        <v>40</v>
      </c>
      <c r="D2468">
        <v>4.038462</v>
      </c>
      <c r="E2468">
        <v>0.54295769999999899</v>
      </c>
      <c r="F2468" t="s">
        <v>43</v>
      </c>
      <c r="G2468">
        <v>-358.209</v>
      </c>
      <c r="H2468">
        <v>-0.05</v>
      </c>
      <c r="I2468">
        <v>301.47680000000003</v>
      </c>
      <c r="J2468">
        <v>-248.09010000000001</v>
      </c>
      <c r="K2468">
        <v>1.1074299999999999</v>
      </c>
      <c r="L2468">
        <v>283.27440000000001</v>
      </c>
      <c r="M2468">
        <v>-0.99909870000000001</v>
      </c>
      <c r="N2468">
        <v>0</v>
      </c>
      <c r="O2468">
        <v>4.0880090000000001E-2</v>
      </c>
      <c r="P2468">
        <v>-0.99859469999999995</v>
      </c>
      <c r="Q2468">
        <v>1.0471919999999999E-2</v>
      </c>
      <c r="R2468">
        <v>5.1951909999999997E-2</v>
      </c>
      <c r="S2468">
        <v>-2.9794459999999998</v>
      </c>
      <c r="T2468">
        <v>-3.1236650000000001E-2</v>
      </c>
      <c r="U2468">
        <v>0.49160769999999998</v>
      </c>
      <c r="V2468">
        <v>1.1203019999999999E-2</v>
      </c>
      <c r="W2468">
        <v>2.1835319999999998E-2</v>
      </c>
      <c r="X2468">
        <v>0.9996988</v>
      </c>
      <c r="Y2468">
        <v>0.1223207</v>
      </c>
      <c r="Z2468">
        <v>2.1160260000000001E-4</v>
      </c>
      <c r="AA2468">
        <v>0.9924906</v>
      </c>
      <c r="AB2468">
        <v>32</v>
      </c>
      <c r="AC2468">
        <v>-110.1189</v>
      </c>
      <c r="AD2468">
        <v>-1.15743</v>
      </c>
      <c r="AE2468">
        <v>18.202400000000001</v>
      </c>
      <c r="AF2468">
        <v>13.6837458371628</v>
      </c>
      <c r="AG2468">
        <v>-1.15743</v>
      </c>
      <c r="AH2468">
        <v>110.759088776257</v>
      </c>
      <c r="AI2468">
        <v>90.594200561802893</v>
      </c>
      <c r="AJ2468">
        <v>82.957073869362304</v>
      </c>
      <c r="AK2468">
        <v>111.607169531745</v>
      </c>
      <c r="AL2468">
        <v>88.748828870992995</v>
      </c>
      <c r="AM2468">
        <v>89.357947718071003</v>
      </c>
      <c r="AN2468">
        <v>0.99999998978903104</v>
      </c>
    </row>
    <row r="2469" spans="1:40" x14ac:dyDescent="0.25">
      <c r="A2469" t="str">
        <f>"20190312153935746"</f>
        <v>20190312153935746</v>
      </c>
      <c r="B2469" t="str">
        <f>"1552376375738433"</f>
        <v>1552376375738433</v>
      </c>
      <c r="C2469" t="s">
        <v>40</v>
      </c>
      <c r="D2469">
        <v>4.0062559999999996</v>
      </c>
      <c r="E2469">
        <v>0.5428134</v>
      </c>
      <c r="F2469" t="s">
        <v>44</v>
      </c>
      <c r="G2469">
        <v>-359.88830000000002</v>
      </c>
      <c r="H2469">
        <v>8.3314659999999999E-2</v>
      </c>
      <c r="I2469">
        <v>301.88839999999999</v>
      </c>
      <c r="J2469">
        <v>-248.40539999999999</v>
      </c>
      <c r="K2469">
        <v>1.10745</v>
      </c>
      <c r="L2469">
        <v>283.28980000000001</v>
      </c>
      <c r="M2469">
        <v>-0.99899320000000003</v>
      </c>
      <c r="N2469">
        <v>0</v>
      </c>
      <c r="O2469">
        <v>4.3328499999999999E-2</v>
      </c>
      <c r="P2469">
        <v>-0.99851069999999997</v>
      </c>
      <c r="Q2469">
        <v>1.0060899999999999E-2</v>
      </c>
      <c r="R2469">
        <v>5.3621429999999998E-2</v>
      </c>
      <c r="S2469">
        <v>-2.9786830000000002</v>
      </c>
      <c r="T2469">
        <v>-2.7283789999999999E-2</v>
      </c>
      <c r="U2469">
        <v>0.49594120000000003</v>
      </c>
      <c r="V2469">
        <v>1.042217E-2</v>
      </c>
      <c r="W2469">
        <v>2.1635580000000001E-2</v>
      </c>
      <c r="X2469">
        <v>0.99971160000000003</v>
      </c>
      <c r="Y2469">
        <v>0.1213354</v>
      </c>
      <c r="Z2469">
        <v>1.581512E-4</v>
      </c>
      <c r="AA2469">
        <v>0.99261149999999998</v>
      </c>
      <c r="AB2469">
        <v>32</v>
      </c>
      <c r="AC2469">
        <v>-111.4829</v>
      </c>
      <c r="AD2469">
        <v>-1.0241353399999999</v>
      </c>
      <c r="AE2469">
        <v>18.598599999999902</v>
      </c>
      <c r="AF2469">
        <v>13.7492889430502</v>
      </c>
      <c r="AG2469">
        <v>-1.0241353399999999</v>
      </c>
      <c r="AH2469">
        <v>112.174883640969</v>
      </c>
      <c r="AI2469">
        <v>90.519199702787404</v>
      </c>
      <c r="AJ2469">
        <v>83.012104393758904</v>
      </c>
      <c r="AK2469">
        <v>113.019008664468</v>
      </c>
      <c r="AL2469">
        <v>88.760275848989096</v>
      </c>
      <c r="AM2469">
        <v>89.402703017251</v>
      </c>
      <c r="AN2469">
        <v>1.0000000015620001</v>
      </c>
    </row>
    <row r="2470" spans="1:40" x14ac:dyDescent="0.25">
      <c r="A2470" t="str">
        <f>"20190312153935757"</f>
        <v>20190312153935757</v>
      </c>
      <c r="B2470" t="str">
        <f>"1552376375748192"</f>
        <v>1552376375748192</v>
      </c>
      <c r="C2470" t="s">
        <v>40</v>
      </c>
      <c r="D2470">
        <v>4.0324589999999896</v>
      </c>
      <c r="E2470">
        <v>0.54275569999999995</v>
      </c>
      <c r="F2470" t="s">
        <v>44</v>
      </c>
      <c r="G2470">
        <v>-359.21510000000001</v>
      </c>
      <c r="H2470">
        <v>0.1571806</v>
      </c>
      <c r="I2470">
        <v>301.88839999999999</v>
      </c>
      <c r="J2470">
        <v>-248.58170000000001</v>
      </c>
      <c r="K2470">
        <v>1.1074520000000001</v>
      </c>
      <c r="L2470">
        <v>283.29860000000002</v>
      </c>
      <c r="M2470">
        <v>-0.99893279999999995</v>
      </c>
      <c r="N2470">
        <v>0</v>
      </c>
      <c r="O2470">
        <v>4.4687579999999998E-2</v>
      </c>
      <c r="P2470">
        <v>-0.99846480000000004</v>
      </c>
      <c r="Q2470">
        <v>9.856053E-3</v>
      </c>
      <c r="R2470">
        <v>5.4512409999999997E-2</v>
      </c>
      <c r="S2470">
        <v>-2.9778899999999999</v>
      </c>
      <c r="T2470">
        <v>-2.5535349999999998E-2</v>
      </c>
      <c r="U2470">
        <v>0.49981690000000001</v>
      </c>
      <c r="V2470">
        <v>9.9524499999999998E-3</v>
      </c>
      <c r="W2470">
        <v>2.148255E-2</v>
      </c>
      <c r="X2470">
        <v>0.99971969999999999</v>
      </c>
      <c r="Y2470">
        <v>0.121285</v>
      </c>
      <c r="Z2470">
        <v>1.3628349999999999E-4</v>
      </c>
      <c r="AA2470">
        <v>0.99261770000000005</v>
      </c>
      <c r="AB2470">
        <v>32</v>
      </c>
      <c r="AC2470">
        <v>-110.63339999999999</v>
      </c>
      <c r="AD2470">
        <v>-0.95027139999999999</v>
      </c>
      <c r="AE2470">
        <v>18.589799999999901</v>
      </c>
      <c r="AF2470">
        <v>13.6259729496393</v>
      </c>
      <c r="AG2470">
        <v>-0.95027139999999999</v>
      </c>
      <c r="AH2470">
        <v>111.345663964376</v>
      </c>
      <c r="AI2470">
        <v>90.485354165800004</v>
      </c>
      <c r="AJ2470">
        <v>83.023094741898007</v>
      </c>
      <c r="AK2470">
        <v>112.180332671221</v>
      </c>
      <c r="AL2470">
        <v>88.769045876891795</v>
      </c>
      <c r="AM2470">
        <v>89.429625580119193</v>
      </c>
      <c r="AN2470">
        <v>1.00000001489179</v>
      </c>
    </row>
    <row r="2471" spans="1:40" x14ac:dyDescent="0.25">
      <c r="A2471" t="str">
        <f>"20190312153935770"</f>
        <v>20190312153935770</v>
      </c>
      <c r="B2471" t="str">
        <f>"1552376375757955"</f>
        <v>1552376375757955</v>
      </c>
      <c r="C2471" t="s">
        <v>40</v>
      </c>
      <c r="D2471">
        <v>4.0117620000000001</v>
      </c>
      <c r="E2471">
        <v>0.54269919999999905</v>
      </c>
      <c r="F2471" t="s">
        <v>44</v>
      </c>
      <c r="G2471">
        <v>-358.8245</v>
      </c>
      <c r="H2471">
        <v>0.19857</v>
      </c>
      <c r="I2471">
        <v>301.88839999999999</v>
      </c>
      <c r="J2471">
        <v>-248.75980000000001</v>
      </c>
      <c r="K2471">
        <v>1.107356</v>
      </c>
      <c r="L2471">
        <v>283.30799999999999</v>
      </c>
      <c r="M2471">
        <v>-0.99887749999999997</v>
      </c>
      <c r="N2471">
        <v>0</v>
      </c>
      <c r="O2471">
        <v>4.6030010000000003E-2</v>
      </c>
      <c r="P2471">
        <v>-0.99840359999999995</v>
      </c>
      <c r="Q2471">
        <v>1.002802E-2</v>
      </c>
      <c r="R2471">
        <v>5.558892E-2</v>
      </c>
      <c r="S2471">
        <v>-2.9774630000000002</v>
      </c>
      <c r="T2471">
        <v>-2.4545190000000001E-2</v>
      </c>
      <c r="U2471">
        <v>0.50207520000000005</v>
      </c>
      <c r="V2471">
        <v>9.6820250000000004E-3</v>
      </c>
      <c r="W2471">
        <v>2.115742E-2</v>
      </c>
      <c r="X2471">
        <v>0.99972930000000004</v>
      </c>
      <c r="Y2471">
        <v>0.12070690000000001</v>
      </c>
      <c r="Z2471">
        <v>1.1768690000000001E-4</v>
      </c>
      <c r="AA2471">
        <v>0.99268820000000002</v>
      </c>
      <c r="AB2471">
        <v>32</v>
      </c>
      <c r="AC2471">
        <v>-110.0647</v>
      </c>
      <c r="AD2471">
        <v>-0.90878599999999998</v>
      </c>
      <c r="AE2471">
        <v>18.580400000000001</v>
      </c>
      <c r="AF2471">
        <v>13.4932131051296</v>
      </c>
      <c r="AG2471">
        <v>-0.90878599999999998</v>
      </c>
      <c r="AH2471">
        <v>110.795988332535</v>
      </c>
      <c r="AI2471">
        <v>90.466502177832794</v>
      </c>
      <c r="AJ2471">
        <v>83.056465731767702</v>
      </c>
      <c r="AK2471">
        <v>111.61829474811699</v>
      </c>
      <c r="AL2471">
        <v>88.787678701715393</v>
      </c>
      <c r="AM2471">
        <v>89.445127968960804</v>
      </c>
      <c r="AN2471">
        <v>1.00000002565382</v>
      </c>
    </row>
    <row r="2472" spans="1:40" x14ac:dyDescent="0.25">
      <c r="A2472" t="str">
        <f>"20190312153935791"</f>
        <v>20190312153935791</v>
      </c>
      <c r="B2472" t="str">
        <f>"1552376375778449"</f>
        <v>1552376375778449</v>
      </c>
      <c r="C2472" t="s">
        <v>40</v>
      </c>
      <c r="D2472">
        <v>4.0094659999999998</v>
      </c>
      <c r="E2472">
        <v>0.542562199999999</v>
      </c>
      <c r="F2472" t="s">
        <v>44</v>
      </c>
      <c r="G2472">
        <v>-358.30739999999997</v>
      </c>
      <c r="H2472">
        <v>0.24611830000000001</v>
      </c>
      <c r="I2472">
        <v>301.88839999999999</v>
      </c>
      <c r="J2472">
        <v>-249.05330000000001</v>
      </c>
      <c r="K2472">
        <v>1.107189</v>
      </c>
      <c r="L2472">
        <v>283.32350000000002</v>
      </c>
      <c r="M2472">
        <v>-0.9987878</v>
      </c>
      <c r="N2472">
        <v>0</v>
      </c>
      <c r="O2472">
        <v>4.8166229999999997E-2</v>
      </c>
      <c r="P2472">
        <v>-0.99829999999999997</v>
      </c>
      <c r="Q2472">
        <v>1.058543E-2</v>
      </c>
      <c r="R2472">
        <v>5.7319589999999997E-2</v>
      </c>
      <c r="S2472">
        <v>-2.9768979999999998</v>
      </c>
      <c r="T2472">
        <v>-2.3401499999999999E-2</v>
      </c>
      <c r="U2472">
        <v>0.50491330000000001</v>
      </c>
      <c r="V2472">
        <v>9.269668E-3</v>
      </c>
      <c r="W2472">
        <v>2.0704520000000001E-2</v>
      </c>
      <c r="X2472">
        <v>0.99974269999999998</v>
      </c>
      <c r="Y2472">
        <v>0.11953560000000001</v>
      </c>
      <c r="Z2472" s="1">
        <v>9.1022609999999999E-5</v>
      </c>
      <c r="AA2472">
        <v>0.99282990000000004</v>
      </c>
      <c r="AB2472">
        <v>32</v>
      </c>
      <c r="AC2472">
        <v>-109.254099999999</v>
      </c>
      <c r="AD2472">
        <v>-0.86107069999999997</v>
      </c>
      <c r="AE2472">
        <v>18.564899999999898</v>
      </c>
      <c r="AF2472">
        <v>13.2799193845175</v>
      </c>
      <c r="AG2472">
        <v>-0.86107069999999997</v>
      </c>
      <c r="AH2472">
        <v>110.01488475991501</v>
      </c>
      <c r="AI2472">
        <v>90.445205009874499</v>
      </c>
      <c r="AJ2472">
        <v>83.117115810578198</v>
      </c>
      <c r="AK2472">
        <v>110.81684244891299</v>
      </c>
      <c r="AL2472">
        <v>88.813633657084793</v>
      </c>
      <c r="AM2472">
        <v>89.468765678834103</v>
      </c>
      <c r="AN2472">
        <v>1.0000000350482701</v>
      </c>
    </row>
    <row r="2473" spans="1:40" x14ac:dyDescent="0.25">
      <c r="A2473" t="str">
        <f>"20190312153935802"</f>
        <v>20190312153935802</v>
      </c>
      <c r="B2473" t="str">
        <f>"1552376375797969"</f>
        <v>1552376375797969</v>
      </c>
      <c r="C2473" t="s">
        <v>40</v>
      </c>
      <c r="D2473">
        <v>4.038653</v>
      </c>
      <c r="E2473">
        <v>0.54242219999999997</v>
      </c>
      <c r="F2473" t="s">
        <v>44</v>
      </c>
      <c r="G2473">
        <v>-357.62549999999999</v>
      </c>
      <c r="H2473">
        <v>0.36125350000000001</v>
      </c>
      <c r="I2473">
        <v>301.88839999999999</v>
      </c>
      <c r="J2473">
        <v>-249.2371</v>
      </c>
      <c r="K2473">
        <v>1.1070949999999999</v>
      </c>
      <c r="L2473">
        <v>283.33350000000002</v>
      </c>
      <c r="M2473">
        <v>-0.99873109999999998</v>
      </c>
      <c r="N2473">
        <v>0</v>
      </c>
      <c r="O2473">
        <v>4.9465580000000002E-2</v>
      </c>
      <c r="P2473">
        <v>-0.99823629999999997</v>
      </c>
      <c r="Q2473">
        <v>1.098755E-2</v>
      </c>
      <c r="R2473">
        <v>5.8342100000000001E-2</v>
      </c>
      <c r="S2473">
        <v>-2.9760740000000001</v>
      </c>
      <c r="T2473">
        <v>-2.0444629999999998E-2</v>
      </c>
      <c r="U2473">
        <v>0.50888059999999902</v>
      </c>
      <c r="V2473">
        <v>8.9883210000000005E-3</v>
      </c>
      <c r="W2473">
        <v>2.040608E-2</v>
      </c>
      <c r="X2473">
        <v>0.99975139999999996</v>
      </c>
      <c r="Y2473">
        <v>0.1195763</v>
      </c>
      <c r="Z2473" s="1">
        <v>7.084262E-5</v>
      </c>
      <c r="AA2473">
        <v>0.99282499999999996</v>
      </c>
      <c r="AB2473">
        <v>33</v>
      </c>
      <c r="AC2473">
        <v>-108.3884</v>
      </c>
      <c r="AD2473">
        <v>-0.74584150000000005</v>
      </c>
      <c r="AE2473">
        <v>18.5548999999999</v>
      </c>
      <c r="AF2473">
        <v>13.1698431465721</v>
      </c>
      <c r="AG2473">
        <v>-0.74584150000000005</v>
      </c>
      <c r="AH2473">
        <v>109.168550039582</v>
      </c>
      <c r="AI2473">
        <v>90.388622112053795</v>
      </c>
      <c r="AJ2473">
        <v>83.121210276972405</v>
      </c>
      <c r="AK2473">
        <v>109.96259985010001</v>
      </c>
      <c r="AL2473">
        <v>88.8307366165335</v>
      </c>
      <c r="AM2473">
        <v>89.484892961149498</v>
      </c>
      <c r="AN2473">
        <v>1.00000002990866</v>
      </c>
    </row>
    <row r="2474" spans="1:40" x14ac:dyDescent="0.25">
      <c r="A2474" t="str">
        <f>"20190312153935814"</f>
        <v>20190312153935814</v>
      </c>
      <c r="B2474" t="str">
        <f>"1552376375808706"</f>
        <v>1552376375808706</v>
      </c>
      <c r="C2474" t="s">
        <v>40</v>
      </c>
      <c r="D2474">
        <v>4.0095549999999998</v>
      </c>
      <c r="E2474">
        <v>0.54235390000000006</v>
      </c>
      <c r="F2474" t="s">
        <v>44</v>
      </c>
      <c r="G2474">
        <v>-357.31450000000001</v>
      </c>
      <c r="H2474">
        <v>0.47380610000000001</v>
      </c>
      <c r="I2474">
        <v>301.88839999999999</v>
      </c>
      <c r="J2474">
        <v>-249.41849999999999</v>
      </c>
      <c r="K2474">
        <v>1.10702099999999</v>
      </c>
      <c r="L2474">
        <v>283.34339999999997</v>
      </c>
      <c r="M2474">
        <v>-0.9986739</v>
      </c>
      <c r="N2474">
        <v>0</v>
      </c>
      <c r="O2474">
        <v>5.0730980000000002E-2</v>
      </c>
      <c r="P2474">
        <v>-0.99815520000000002</v>
      </c>
      <c r="Q2474">
        <v>1.1853880000000001E-2</v>
      </c>
      <c r="R2474">
        <v>5.9545929999999997E-2</v>
      </c>
      <c r="S2474">
        <v>-2.9756469999999999</v>
      </c>
      <c r="T2474">
        <v>-1.7433879999999999E-2</v>
      </c>
      <c r="U2474">
        <v>0.51086430000000005</v>
      </c>
      <c r="V2474">
        <v>8.9248319999999902E-3</v>
      </c>
      <c r="W2474">
        <v>2.0571510000000001E-2</v>
      </c>
      <c r="X2474">
        <v>0.99974850000000004</v>
      </c>
      <c r="Y2474">
        <v>0.1189858</v>
      </c>
      <c r="Z2474" s="1">
        <v>5.1363550000000001E-5</v>
      </c>
      <c r="AA2474">
        <v>0.992896</v>
      </c>
      <c r="AB2474">
        <v>33</v>
      </c>
      <c r="AC2474">
        <v>-107.896</v>
      </c>
      <c r="AD2474">
        <v>-0.63321489999999903</v>
      </c>
      <c r="AE2474">
        <v>18.545000000000002</v>
      </c>
      <c r="AF2474">
        <v>13.0468022734784</v>
      </c>
      <c r="AG2474">
        <v>-0.63321489999999903</v>
      </c>
      <c r="AH2474">
        <v>108.694263461587</v>
      </c>
      <c r="AI2474">
        <v>90.331402683217703</v>
      </c>
      <c r="AJ2474">
        <v>83.155412691175997</v>
      </c>
      <c r="AK2474">
        <v>109.47631214162099</v>
      </c>
      <c r="AL2474">
        <v>88.821256093399697</v>
      </c>
      <c r="AM2474">
        <v>89.4885297418774</v>
      </c>
      <c r="AN2474">
        <v>0.99999995145107801</v>
      </c>
    </row>
    <row r="2475" spans="1:40" x14ac:dyDescent="0.25">
      <c r="A2475" t="str">
        <f>"20190312153935828"</f>
        <v>20190312153935828</v>
      </c>
      <c r="B2475" t="str">
        <f>"1552376375818465"</f>
        <v>1552376375818465</v>
      </c>
      <c r="C2475" t="s">
        <v>40</v>
      </c>
      <c r="D2475">
        <v>4.114039</v>
      </c>
      <c r="E2475">
        <v>0.54235390000000006</v>
      </c>
      <c r="F2475" t="s">
        <v>44</v>
      </c>
      <c r="G2475">
        <v>-356.7364</v>
      </c>
      <c r="H2475">
        <v>0.58583050000000003</v>
      </c>
      <c r="I2475">
        <v>301.88839999999999</v>
      </c>
      <c r="J2475">
        <v>-249.61</v>
      </c>
      <c r="K2475">
        <v>1.1069519999999999</v>
      </c>
      <c r="L2475">
        <v>283.35410000000002</v>
      </c>
      <c r="M2475">
        <v>-0.99861319999999998</v>
      </c>
      <c r="N2475">
        <v>0</v>
      </c>
      <c r="O2475">
        <v>5.2032340000000003E-2</v>
      </c>
      <c r="P2475">
        <v>-0.99808649999999999</v>
      </c>
      <c r="Q2475">
        <v>1.245923E-2</v>
      </c>
      <c r="R2475">
        <v>6.0566120000000001E-2</v>
      </c>
      <c r="S2475">
        <v>-2.9750369999999999</v>
      </c>
      <c r="T2475">
        <v>-1.444614E-2</v>
      </c>
      <c r="U2475">
        <v>0.51409910000000003</v>
      </c>
      <c r="V2475">
        <v>8.6405709999999997E-3</v>
      </c>
      <c r="W2475">
        <v>2.0448040000000001E-2</v>
      </c>
      <c r="X2475">
        <v>0.99975360000000002</v>
      </c>
      <c r="Y2475">
        <v>0.11877509999999999</v>
      </c>
      <c r="Z2475" s="1">
        <v>3.5808420000000002E-5</v>
      </c>
      <c r="AA2475">
        <v>0.99292119999999995</v>
      </c>
      <c r="AB2475">
        <v>33</v>
      </c>
      <c r="AC2475">
        <v>-107.1264</v>
      </c>
      <c r="AD2475">
        <v>-0.52112149999999902</v>
      </c>
      <c r="AE2475">
        <v>18.534299999999899</v>
      </c>
      <c r="AF2475">
        <v>12.9346781231402</v>
      </c>
      <c r="AG2475">
        <v>-0.52112149999999902</v>
      </c>
      <c r="AH2475">
        <v>107.943211175058</v>
      </c>
      <c r="AI2475">
        <v>90.274642121983007</v>
      </c>
      <c r="AJ2475">
        <v>83.166910882143398</v>
      </c>
      <c r="AK2475">
        <v>108.71666985586999</v>
      </c>
      <c r="AL2475">
        <v>88.828331973825598</v>
      </c>
      <c r="AM2475">
        <v>89.504822063305198</v>
      </c>
      <c r="AN2475">
        <v>1.00000002126</v>
      </c>
    </row>
    <row r="2476" spans="1:40" x14ac:dyDescent="0.25">
      <c r="A2476" t="str">
        <f>"20190312153935847"</f>
        <v>20190312153935847</v>
      </c>
      <c r="B2476" t="str">
        <f>"1552376375837985"</f>
        <v>1552376375837985</v>
      </c>
      <c r="C2476" t="s">
        <v>40</v>
      </c>
      <c r="D2476">
        <v>4.1246159999999996</v>
      </c>
      <c r="E2476">
        <v>0.51357779999999997</v>
      </c>
      <c r="F2476" t="s">
        <v>44</v>
      </c>
      <c r="G2476">
        <v>-356.23309999999998</v>
      </c>
      <c r="H2476">
        <v>0.66041919999999898</v>
      </c>
      <c r="I2476">
        <v>301.88839999999999</v>
      </c>
      <c r="J2476">
        <v>-249.9076</v>
      </c>
      <c r="K2476">
        <v>1.106838</v>
      </c>
      <c r="L2476">
        <v>283.37099999999998</v>
      </c>
      <c r="M2476">
        <v>-0.99851749999999995</v>
      </c>
      <c r="N2476">
        <v>0</v>
      </c>
      <c r="O2476">
        <v>5.3991690000000002E-2</v>
      </c>
      <c r="P2476">
        <v>-0.99799919999999998</v>
      </c>
      <c r="Q2476">
        <v>1.3161630000000001E-2</v>
      </c>
      <c r="R2476">
        <v>6.1842010000000003E-2</v>
      </c>
      <c r="S2476">
        <v>-2.9745180000000002</v>
      </c>
      <c r="T2476">
        <v>-1.245487E-2</v>
      </c>
      <c r="U2476">
        <v>0.5170593</v>
      </c>
      <c r="V2476">
        <v>7.9520340000000002E-3</v>
      </c>
      <c r="W2476">
        <v>2.0038520000000001E-2</v>
      </c>
      <c r="X2476">
        <v>0.99976759999999998</v>
      </c>
      <c r="Y2476">
        <v>0.1178158</v>
      </c>
      <c r="Z2476" s="1">
        <v>2.0769029999999999E-5</v>
      </c>
      <c r="AA2476">
        <v>0.99303549999999996</v>
      </c>
      <c r="AB2476">
        <v>33</v>
      </c>
      <c r="AC2476">
        <v>-106.325499999999</v>
      </c>
      <c r="AD2476">
        <v>-0.4464188</v>
      </c>
      <c r="AE2476">
        <v>18.517399999999999</v>
      </c>
      <c r="AF2476">
        <v>12.7493404646291</v>
      </c>
      <c r="AG2476">
        <v>-0.4464188</v>
      </c>
      <c r="AH2476">
        <v>107.16838060484901</v>
      </c>
      <c r="AI2476">
        <v>90.236997774500495</v>
      </c>
      <c r="AJ2476">
        <v>83.215664541067895</v>
      </c>
      <c r="AK2476">
        <v>107.925005320796</v>
      </c>
      <c r="AL2476">
        <v>88.851800543673093</v>
      </c>
      <c r="AM2476">
        <v>89.544285712999994</v>
      </c>
      <c r="AN2476">
        <v>1.00000001556914</v>
      </c>
    </row>
    <row r="2477" spans="1:40" x14ac:dyDescent="0.25">
      <c r="A2477" t="str">
        <f>"20190312153935861"</f>
        <v>20190312153935861</v>
      </c>
      <c r="B2477" t="str">
        <f>"1552376375848721"</f>
        <v>1552376375848721</v>
      </c>
      <c r="C2477" t="s">
        <v>40</v>
      </c>
      <c r="D2477">
        <v>4.1611760000000002</v>
      </c>
      <c r="E2477">
        <v>0.5099359</v>
      </c>
      <c r="F2477" t="s">
        <v>63</v>
      </c>
      <c r="G2477">
        <v>-440.87139999999999</v>
      </c>
      <c r="H2477">
        <v>1.079826</v>
      </c>
      <c r="I2477">
        <v>302.0367</v>
      </c>
      <c r="J2477">
        <v>-250.11089999999999</v>
      </c>
      <c r="K2477">
        <v>1.106757</v>
      </c>
      <c r="L2477">
        <v>283.38279999999997</v>
      </c>
      <c r="M2477">
        <v>-0.99845200000000001</v>
      </c>
      <c r="N2477">
        <v>0</v>
      </c>
      <c r="O2477">
        <v>5.5276699999999901E-2</v>
      </c>
      <c r="P2477">
        <v>-0.99794830000000001</v>
      </c>
      <c r="Q2477">
        <v>1.376512E-2</v>
      </c>
      <c r="R2477">
        <v>6.2527029999999997E-2</v>
      </c>
      <c r="S2477">
        <v>-2.98793</v>
      </c>
      <c r="T2477">
        <v>-4.2247770000000001E-4</v>
      </c>
      <c r="U2477">
        <v>0.29205320000000001</v>
      </c>
      <c r="V2477">
        <v>7.3503140000000002E-3</v>
      </c>
      <c r="W2477">
        <v>1.9905030000000001E-2</v>
      </c>
      <c r="X2477">
        <v>0.99977490000000002</v>
      </c>
      <c r="Y2477">
        <v>4.211641E-2</v>
      </c>
      <c r="Z2477" s="1">
        <v>-4.818735E-6</v>
      </c>
      <c r="AA2477">
        <v>0.99911269999999996</v>
      </c>
      <c r="AB2477">
        <v>34</v>
      </c>
      <c r="AC2477">
        <v>-190.76050000000001</v>
      </c>
      <c r="AD2477">
        <v>-2.6931E-2</v>
      </c>
      <c r="AE2477">
        <v>18.6539</v>
      </c>
      <c r="AF2477">
        <v>8.0805665693187301</v>
      </c>
      <c r="AG2477">
        <v>-2.6931E-2</v>
      </c>
      <c r="AH2477">
        <v>191.49997216402201</v>
      </c>
      <c r="AI2477">
        <v>90.008050449010796</v>
      </c>
      <c r="AJ2477">
        <v>87.583770557513205</v>
      </c>
      <c r="AK2477">
        <v>191.67038274126</v>
      </c>
      <c r="AL2477">
        <v>88.859450515425493</v>
      </c>
      <c r="AM2477">
        <v>89.578770798542394</v>
      </c>
      <c r="AN2477">
        <v>1.0000000440026</v>
      </c>
    </row>
    <row r="2478" spans="1:40" x14ac:dyDescent="0.25">
      <c r="A2478" t="str">
        <f>"20190312153935879"</f>
        <v>20190312153935879</v>
      </c>
      <c r="B2478" t="str">
        <f>"1552376375868242"</f>
        <v>1552376375868242</v>
      </c>
      <c r="C2478" t="s">
        <v>40</v>
      </c>
      <c r="D2478">
        <v>4.1821780000000004</v>
      </c>
      <c r="E2478">
        <v>0.50534100000000004</v>
      </c>
      <c r="F2478" t="s">
        <v>63</v>
      </c>
      <c r="G2478">
        <v>-439.9341</v>
      </c>
      <c r="H2478">
        <v>0.93648880000000001</v>
      </c>
      <c r="I2478">
        <v>300.20780000000002</v>
      </c>
      <c r="J2478">
        <v>-250.3963</v>
      </c>
      <c r="K2478">
        <v>1.106641</v>
      </c>
      <c r="L2478">
        <v>283.3997</v>
      </c>
      <c r="M2478">
        <v>-0.99836150000000001</v>
      </c>
      <c r="N2478">
        <v>0</v>
      </c>
      <c r="O2478">
        <v>5.6986679999999998E-2</v>
      </c>
      <c r="P2478">
        <v>-0.99787570000000003</v>
      </c>
      <c r="Q2478">
        <v>1.4519829999999999E-2</v>
      </c>
      <c r="R2478">
        <v>6.3508259999999997E-2</v>
      </c>
      <c r="S2478">
        <v>-2.9896090000000002</v>
      </c>
      <c r="T2478">
        <v>-2.681494E-3</v>
      </c>
      <c r="U2478">
        <v>0.2649841</v>
      </c>
      <c r="V2478">
        <v>6.6201860000000001E-3</v>
      </c>
      <c r="W2478">
        <v>1.967667E-2</v>
      </c>
      <c r="X2478">
        <v>0.99978449999999996</v>
      </c>
      <c r="Y2478">
        <v>3.138055E-2</v>
      </c>
      <c r="Z2478" s="1">
        <v>-3.6915680000000002E-5</v>
      </c>
      <c r="AA2478">
        <v>0.99950749999999999</v>
      </c>
      <c r="AB2478">
        <v>34</v>
      </c>
      <c r="AC2478">
        <v>-189.5378</v>
      </c>
      <c r="AD2478">
        <v>-0.170152199999999</v>
      </c>
      <c r="AE2478">
        <v>16.8081</v>
      </c>
      <c r="AF2478">
        <v>5.9795054168287498</v>
      </c>
      <c r="AG2478">
        <v>-0.170152199999999</v>
      </c>
      <c r="AH2478">
        <v>190.18747978231099</v>
      </c>
      <c r="AI2478">
        <v>90.051234632185796</v>
      </c>
      <c r="AJ2478">
        <v>88.199210552594394</v>
      </c>
      <c r="AK2478">
        <v>190.28153064012301</v>
      </c>
      <c r="AL2478">
        <v>88.872537117762306</v>
      </c>
      <c r="AM2478">
        <v>89.620615068702605</v>
      </c>
      <c r="AN2478">
        <v>1.0000000223226</v>
      </c>
    </row>
    <row r="2479" spans="1:40" x14ac:dyDescent="0.25">
      <c r="A2479" t="str">
        <f>"20190312153935892"</f>
        <v>20190312153935892</v>
      </c>
      <c r="B2479" t="str">
        <f>"1552376375887761"</f>
        <v>1552376375887761</v>
      </c>
      <c r="C2479" t="s">
        <v>40</v>
      </c>
      <c r="D2479">
        <v>4.1469459999999998</v>
      </c>
      <c r="E2479">
        <v>0.503017099999999</v>
      </c>
      <c r="F2479" t="s">
        <v>62</v>
      </c>
      <c r="G2479">
        <v>-432.56020000000001</v>
      </c>
      <c r="H2479">
        <v>7.9998949999999999E-2</v>
      </c>
      <c r="I2479">
        <v>297.44110000000001</v>
      </c>
      <c r="J2479">
        <v>-250.59119999999999</v>
      </c>
      <c r="K2479">
        <v>1.106563</v>
      </c>
      <c r="L2479">
        <v>283.41160000000002</v>
      </c>
      <c r="M2479">
        <v>-0.99830110000000005</v>
      </c>
      <c r="N2479">
        <v>0</v>
      </c>
      <c r="O2479">
        <v>5.8087300000000001E-2</v>
      </c>
      <c r="P2479">
        <v>-0.99784430000000002</v>
      </c>
      <c r="Q2479">
        <v>1.522214E-2</v>
      </c>
      <c r="R2479">
        <v>6.3840460000000002E-2</v>
      </c>
      <c r="S2479">
        <v>-2.991943</v>
      </c>
      <c r="T2479">
        <v>-1.686203E-2</v>
      </c>
      <c r="U2479">
        <v>0.2306213</v>
      </c>
      <c r="V2479">
        <v>5.852416E-3</v>
      </c>
      <c r="W2479">
        <v>1.976296E-2</v>
      </c>
      <c r="X2479">
        <v>0.9997876</v>
      </c>
      <c r="Y2479">
        <v>1.8807560000000001E-2</v>
      </c>
      <c r="Z2479">
        <v>-2.7364559999999997E-4</v>
      </c>
      <c r="AA2479">
        <v>0.99982309999999996</v>
      </c>
      <c r="AB2479">
        <v>34</v>
      </c>
      <c r="AC2479">
        <v>-181.96899999999999</v>
      </c>
      <c r="AD2479">
        <v>-1.02656405</v>
      </c>
      <c r="AE2479">
        <v>14.029499999999899</v>
      </c>
      <c r="AF2479">
        <v>3.4355043926975499</v>
      </c>
      <c r="AG2479">
        <v>-1.02656405</v>
      </c>
      <c r="AH2479">
        <v>182.47091158137599</v>
      </c>
      <c r="AI2479">
        <v>90.322280108163298</v>
      </c>
      <c r="AJ2479">
        <v>88.921380691692605</v>
      </c>
      <c r="AK2479">
        <v>182.50613715028601</v>
      </c>
      <c r="AL2479">
        <v>88.867592118103701</v>
      </c>
      <c r="AM2479">
        <v>89.664613857085101</v>
      </c>
      <c r="AN2479">
        <v>1.0000000352373699</v>
      </c>
    </row>
    <row r="2480" spans="1:40" x14ac:dyDescent="0.25">
      <c r="A2480" t="str">
        <f>"20190312153935905"</f>
        <v>20190312153935905</v>
      </c>
      <c r="B2480" t="str">
        <f>"1552376375898497"</f>
        <v>1552376375898497</v>
      </c>
      <c r="C2480" t="s">
        <v>40</v>
      </c>
      <c r="D2480">
        <v>4.1784030000000003</v>
      </c>
      <c r="E2480">
        <v>0.50233320000000004</v>
      </c>
      <c r="F2480" t="s">
        <v>61</v>
      </c>
      <c r="G2480">
        <v>-371.20389999999998</v>
      </c>
      <c r="H2480">
        <v>8.0000370000000001E-2</v>
      </c>
      <c r="I2480">
        <v>291.98009999999999</v>
      </c>
      <c r="J2480">
        <v>-250.78749999999999</v>
      </c>
      <c r="K2480">
        <v>1.1064989999999999</v>
      </c>
      <c r="L2480">
        <v>283.42380000000003</v>
      </c>
      <c r="M2480">
        <v>-0.9982413</v>
      </c>
      <c r="N2480">
        <v>0</v>
      </c>
      <c r="O2480">
        <v>5.914867E-2</v>
      </c>
      <c r="P2480">
        <v>-0.99780230000000003</v>
      </c>
      <c r="Q2480">
        <v>1.5849479999999999E-2</v>
      </c>
      <c r="R2480">
        <v>6.434078E-2</v>
      </c>
      <c r="S2480">
        <v>-2.9932859999999999</v>
      </c>
      <c r="T2480">
        <v>-2.547657E-2</v>
      </c>
      <c r="U2480">
        <v>0.21264649999999999</v>
      </c>
      <c r="V2480">
        <v>5.292064E-3</v>
      </c>
      <c r="W2480">
        <v>1.9821129999999999E-2</v>
      </c>
      <c r="X2480">
        <v>0.9997895</v>
      </c>
      <c r="Y2480">
        <v>1.173975E-2</v>
      </c>
      <c r="Z2480">
        <v>-4.5240990000000001E-4</v>
      </c>
      <c r="AA2480">
        <v>0.99993100000000001</v>
      </c>
      <c r="AB2480">
        <v>34</v>
      </c>
      <c r="AC2480">
        <v>-120.416399999999</v>
      </c>
      <c r="AD2480">
        <v>-1.0264986300000001</v>
      </c>
      <c r="AE2480">
        <v>8.5562999999999594</v>
      </c>
      <c r="AF2480">
        <v>1.41869072018098</v>
      </c>
      <c r="AG2480">
        <v>-1.0264986300000001</v>
      </c>
      <c r="AH2480">
        <v>120.702940332667</v>
      </c>
      <c r="AI2480">
        <v>90.487217290888395</v>
      </c>
      <c r="AJ2480">
        <v>89.326600928617907</v>
      </c>
      <c r="AK2480">
        <v>120.715641852033</v>
      </c>
      <c r="AL2480">
        <v>88.864258488512803</v>
      </c>
      <c r="AM2480">
        <v>89.696726060454907</v>
      </c>
      <c r="AN2480">
        <v>0.999999963723052</v>
      </c>
    </row>
    <row r="2481" spans="1:40" x14ac:dyDescent="0.25">
      <c r="A2481" t="str">
        <f>"20190312153935925"</f>
        <v>20190312153935925</v>
      </c>
      <c r="B2481" t="str">
        <f>"1552376375918017"</f>
        <v>1552376375918017</v>
      </c>
      <c r="C2481" t="s">
        <v>40</v>
      </c>
      <c r="D2481">
        <v>4.1928599999999996</v>
      </c>
      <c r="E2481">
        <v>0.50144900000000003</v>
      </c>
      <c r="F2481" t="s">
        <v>61</v>
      </c>
      <c r="G2481">
        <v>-368.89400000000001</v>
      </c>
      <c r="H2481">
        <v>8.0001160000000002E-2</v>
      </c>
      <c r="I2481">
        <v>291.66289999999998</v>
      </c>
      <c r="J2481">
        <v>-251.10069999999999</v>
      </c>
      <c r="K2481">
        <v>1.106427</v>
      </c>
      <c r="L2481">
        <v>283.4436</v>
      </c>
      <c r="M2481">
        <v>-0.99814840000000005</v>
      </c>
      <c r="N2481">
        <v>0</v>
      </c>
      <c r="O2481">
        <v>6.0743709999999999E-2</v>
      </c>
      <c r="P2481">
        <v>-0.99772190000000005</v>
      </c>
      <c r="Q2481">
        <v>1.712091E-2</v>
      </c>
      <c r="R2481">
        <v>6.5255930000000004E-2</v>
      </c>
      <c r="S2481">
        <v>-2.993576</v>
      </c>
      <c r="T2481">
        <v>-2.6018019999999999E-2</v>
      </c>
      <c r="U2481">
        <v>0.20883180000000001</v>
      </c>
      <c r="V2481">
        <v>4.6156720000000004E-3</v>
      </c>
      <c r="W2481">
        <v>2.0297869999999999E-2</v>
      </c>
      <c r="X2481">
        <v>0.99978330000000004</v>
      </c>
      <c r="Y2481">
        <v>8.8675479999999994E-3</v>
      </c>
      <c r="Z2481">
        <v>-4.8828299999999995E-4</v>
      </c>
      <c r="AA2481">
        <v>0.99996050000000003</v>
      </c>
      <c r="AB2481">
        <v>34</v>
      </c>
      <c r="AC2481">
        <v>-117.7933</v>
      </c>
      <c r="AD2481">
        <v>-1.0264258399999999</v>
      </c>
      <c r="AE2481">
        <v>8.2192999999999703</v>
      </c>
      <c r="AF2481">
        <v>1.04880506937853</v>
      </c>
      <c r="AG2481">
        <v>-1.0264258399999999</v>
      </c>
      <c r="AH2481">
        <v>118.066132163707</v>
      </c>
      <c r="AI2481">
        <v>90.498077356554305</v>
      </c>
      <c r="AJ2481">
        <v>89.491043516600499</v>
      </c>
      <c r="AK2481">
        <v>118.075251878522</v>
      </c>
      <c r="AL2481">
        <v>88.836937816061905</v>
      </c>
      <c r="AM2481">
        <v>89.735486033442797</v>
      </c>
      <c r="AN2481">
        <v>0.99999997745671898</v>
      </c>
    </row>
    <row r="2482" spans="1:40" x14ac:dyDescent="0.25">
      <c r="A2482" t="str">
        <f>"20190312153935948"</f>
        <v>20190312153935948</v>
      </c>
      <c r="B2482" t="str">
        <f>"1552376375938513"</f>
        <v>1552376375938513</v>
      </c>
      <c r="C2482" t="s">
        <v>40</v>
      </c>
      <c r="D2482">
        <v>4.1447099999999999</v>
      </c>
      <c r="E2482">
        <v>0.50070429999999999</v>
      </c>
      <c r="F2482" t="s">
        <v>61</v>
      </c>
      <c r="G2482">
        <v>-369.45310000000001</v>
      </c>
      <c r="H2482">
        <v>8.0001320000000001E-2</v>
      </c>
      <c r="I2482">
        <v>291.51670000000001</v>
      </c>
      <c r="J2482">
        <v>-251.4615</v>
      </c>
      <c r="K2482">
        <v>1.1064259999999999</v>
      </c>
      <c r="L2482">
        <v>283.46699999999998</v>
      </c>
      <c r="M2482">
        <v>-0.99804760000000003</v>
      </c>
      <c r="N2482">
        <v>0</v>
      </c>
      <c r="O2482">
        <v>6.2407770000000001E-2</v>
      </c>
      <c r="P2482">
        <v>-0.99764249999999999</v>
      </c>
      <c r="Q2482">
        <v>1.7751119999999999E-2</v>
      </c>
      <c r="R2482">
        <v>6.6290559999999998E-2</v>
      </c>
      <c r="S2482">
        <v>-2.9939420000000001</v>
      </c>
      <c r="T2482">
        <v>-2.5965329999999998E-2</v>
      </c>
      <c r="U2482">
        <v>0.20422360000000001</v>
      </c>
      <c r="V2482">
        <v>3.9855130000000004E-3</v>
      </c>
      <c r="W2482">
        <v>2.0223020000000001E-2</v>
      </c>
      <c r="X2482">
        <v>0.9997876</v>
      </c>
      <c r="Y2482">
        <v>5.6603319999999997E-3</v>
      </c>
      <c r="Z2482">
        <v>-5.1553579999999996E-4</v>
      </c>
      <c r="AA2482">
        <v>0.99998379999999998</v>
      </c>
      <c r="AB2482">
        <v>35</v>
      </c>
      <c r="AC2482">
        <v>-117.99160000000001</v>
      </c>
      <c r="AD2482">
        <v>-1.0264246800000001</v>
      </c>
      <c r="AE2482">
        <v>8.0497000000000298</v>
      </c>
      <c r="AF2482">
        <v>0.670342735654752</v>
      </c>
      <c r="AG2482">
        <v>-1.0264246800000001</v>
      </c>
      <c r="AH2482">
        <v>118.25505961297701</v>
      </c>
      <c r="AI2482">
        <v>90.497292722677301</v>
      </c>
      <c r="AJ2482">
        <v>89.675215603248205</v>
      </c>
      <c r="AK2482">
        <v>118.261413956859</v>
      </c>
      <c r="AL2482">
        <v>88.841227369782104</v>
      </c>
      <c r="AM2482">
        <v>89.771599623244995</v>
      </c>
      <c r="AN2482">
        <v>1.0000000499827699</v>
      </c>
    </row>
    <row r="2483" spans="1:40" x14ac:dyDescent="0.25">
      <c r="A2483" t="str">
        <f>"20190312153935969"</f>
        <v>20190312153935969</v>
      </c>
      <c r="B2483" t="str">
        <f>"1552376375958033"</f>
        <v>1552376375958033</v>
      </c>
      <c r="C2483" t="s">
        <v>40</v>
      </c>
      <c r="D2483">
        <v>4.181514</v>
      </c>
      <c r="E2483">
        <v>0.5000095</v>
      </c>
      <c r="F2483" t="s">
        <v>61</v>
      </c>
      <c r="G2483">
        <v>-371.28179999999998</v>
      </c>
      <c r="H2483">
        <v>8.0000399999999902E-2</v>
      </c>
      <c r="I2483">
        <v>291.53100000000001</v>
      </c>
      <c r="J2483">
        <v>-251.79329999999999</v>
      </c>
      <c r="K2483">
        <v>1.1064929999999999</v>
      </c>
      <c r="L2483">
        <v>283.48910000000001</v>
      </c>
      <c r="M2483">
        <v>-0.99796269999999998</v>
      </c>
      <c r="N2483">
        <v>0</v>
      </c>
      <c r="O2483">
        <v>6.3768790000000006E-2</v>
      </c>
      <c r="P2483">
        <v>-0.99756489999999998</v>
      </c>
      <c r="Q2483">
        <v>1.811517E-2</v>
      </c>
      <c r="R2483">
        <v>6.7350919999999995E-2</v>
      </c>
      <c r="S2483">
        <v>-2.9941559999999998</v>
      </c>
      <c r="T2483">
        <v>-2.564907E-2</v>
      </c>
      <c r="U2483">
        <v>0.20150760000000001</v>
      </c>
      <c r="V2483">
        <v>3.682486E-3</v>
      </c>
      <c r="W2483">
        <v>2.0143879999999999E-2</v>
      </c>
      <c r="X2483">
        <v>0.99979030000000002</v>
      </c>
      <c r="Y2483">
        <v>3.3889340000000001E-3</v>
      </c>
      <c r="Z2483">
        <v>-5.3057270000000001E-4</v>
      </c>
      <c r="AA2483">
        <v>0.9999941</v>
      </c>
      <c r="AB2483">
        <v>35</v>
      </c>
      <c r="AC2483">
        <v>-119.4885</v>
      </c>
      <c r="AD2483">
        <v>-1.0264926000000001</v>
      </c>
      <c r="AE2483">
        <v>8.0418999999999894</v>
      </c>
      <c r="AF2483">
        <v>0.405850166221501</v>
      </c>
      <c r="AG2483">
        <v>-1.0264926000000001</v>
      </c>
      <c r="AH2483">
        <v>119.749329566391</v>
      </c>
      <c r="AI2483">
        <v>90.491125216939096</v>
      </c>
      <c r="AJ2483">
        <v>89.805815926563298</v>
      </c>
      <c r="AK2483">
        <v>119.75441675786</v>
      </c>
      <c r="AL2483">
        <v>88.845762612510299</v>
      </c>
      <c r="AM2483">
        <v>89.788965794331702</v>
      </c>
      <c r="AN2483">
        <v>0.99999999028934194</v>
      </c>
    </row>
    <row r="2484" spans="1:40" x14ac:dyDescent="0.25">
      <c r="A2484" t="str">
        <f>"20190312153935984"</f>
        <v>20190312153935984</v>
      </c>
      <c r="B2484" t="str">
        <f>"1552376375978530"</f>
        <v>1552376375978530</v>
      </c>
      <c r="C2484" t="s">
        <v>40</v>
      </c>
      <c r="D2484">
        <v>4.1682459999999999</v>
      </c>
      <c r="E2484">
        <v>0.49951600000000002</v>
      </c>
      <c r="F2484" t="s">
        <v>61</v>
      </c>
      <c r="G2484">
        <v>-368.89229999999998</v>
      </c>
      <c r="H2484">
        <v>8.0001160000000002E-2</v>
      </c>
      <c r="I2484">
        <v>291.26560000000001</v>
      </c>
      <c r="J2484">
        <v>-252.01089999999999</v>
      </c>
      <c r="K2484">
        <v>1.106582</v>
      </c>
      <c r="L2484">
        <v>283.50380000000001</v>
      </c>
      <c r="M2484">
        <v>-0.99791129999999995</v>
      </c>
      <c r="N2484">
        <v>0</v>
      </c>
      <c r="O2484">
        <v>6.4574229999999996E-2</v>
      </c>
      <c r="P2484">
        <v>-0.99749759999999998</v>
      </c>
      <c r="Q2484">
        <v>1.826067E-2</v>
      </c>
      <c r="R2484">
        <v>6.8302080000000001E-2</v>
      </c>
      <c r="S2484">
        <v>-2.994354</v>
      </c>
      <c r="T2484">
        <v>-2.6248569999999999E-2</v>
      </c>
      <c r="U2484">
        <v>0.19885249999999999</v>
      </c>
      <c r="V2484">
        <v>3.8260389999999998E-3</v>
      </c>
      <c r="W2484">
        <v>2.0094299999999999E-2</v>
      </c>
      <c r="X2484">
        <v>0.99979079999999998</v>
      </c>
      <c r="Y2484">
        <v>1.694894E-3</v>
      </c>
      <c r="Z2484">
        <v>-5.5740839999999896E-4</v>
      </c>
      <c r="AA2484">
        <v>0.99999839999999995</v>
      </c>
      <c r="AB2484">
        <v>35</v>
      </c>
      <c r="AC2484">
        <v>-116.8814</v>
      </c>
      <c r="AD2484">
        <v>-1.02658084</v>
      </c>
      <c r="AE2484">
        <v>7.7617999999999903</v>
      </c>
      <c r="AF2484">
        <v>0.198046628730351</v>
      </c>
      <c r="AG2484">
        <v>-1.02658084</v>
      </c>
      <c r="AH2484">
        <v>117.12967381961801</v>
      </c>
      <c r="AI2484">
        <v>90.502154214759102</v>
      </c>
      <c r="AJ2484">
        <v>89.903122541116701</v>
      </c>
      <c r="AK2484">
        <v>117.134339882795</v>
      </c>
      <c r="AL2484">
        <v>88.848603959981702</v>
      </c>
      <c r="AM2484">
        <v>89.780739313819595</v>
      </c>
      <c r="AN2484">
        <v>1.00000003161577</v>
      </c>
    </row>
    <row r="2485" spans="1:40" x14ac:dyDescent="0.25">
      <c r="A2485" t="str">
        <f>"20190312153936003"</f>
        <v>20190312153936003</v>
      </c>
      <c r="B2485" t="str">
        <f>"1552376375998049"</f>
        <v>1552376375998049</v>
      </c>
      <c r="C2485" t="s">
        <v>40</v>
      </c>
      <c r="D2485">
        <v>4.2326059999999996</v>
      </c>
      <c r="E2485">
        <v>0.49910700000000002</v>
      </c>
      <c r="F2485" t="s">
        <v>61</v>
      </c>
      <c r="G2485">
        <v>-365.4581</v>
      </c>
      <c r="H2485">
        <v>8.0000150000000006E-2</v>
      </c>
      <c r="I2485">
        <v>290.99689999999998</v>
      </c>
      <c r="J2485">
        <v>-252.3218</v>
      </c>
      <c r="K2485">
        <v>1.1067629999999999</v>
      </c>
      <c r="L2485">
        <v>283.52510000000001</v>
      </c>
      <c r="M2485">
        <v>-0.99784439999999996</v>
      </c>
      <c r="N2485">
        <v>0</v>
      </c>
      <c r="O2485">
        <v>6.5603889999999998E-2</v>
      </c>
      <c r="P2485">
        <v>-0.99748029999999999</v>
      </c>
      <c r="Q2485">
        <v>1.8184720000000001E-2</v>
      </c>
      <c r="R2485">
        <v>6.8573419999999996E-2</v>
      </c>
      <c r="S2485">
        <v>-2.9944920000000002</v>
      </c>
      <c r="T2485">
        <v>-2.7097110000000001E-2</v>
      </c>
      <c r="U2485">
        <v>0.1977844</v>
      </c>
      <c r="V2485">
        <v>3.0593679999999998E-3</v>
      </c>
      <c r="W2485">
        <v>1.9857840000000002E-2</v>
      </c>
      <c r="X2485">
        <v>0.99979810000000002</v>
      </c>
      <c r="Y2485">
        <v>3.051471E-4</v>
      </c>
      <c r="Z2485">
        <v>-5.9097179999999998E-4</v>
      </c>
      <c r="AA2485">
        <v>0.99999979999999999</v>
      </c>
      <c r="AB2485">
        <v>35</v>
      </c>
      <c r="AC2485">
        <v>-113.13630000000001</v>
      </c>
      <c r="AD2485">
        <v>-1.0267628499999999</v>
      </c>
      <c r="AE2485">
        <v>7.4717999999999698</v>
      </c>
      <c r="AF2485">
        <v>3.3509704669293101E-2</v>
      </c>
      <c r="AG2485">
        <v>-1.0267628499999999</v>
      </c>
      <c r="AH2485">
        <v>113.37345732341301</v>
      </c>
      <c r="AI2485">
        <v>90.518883064722004</v>
      </c>
      <c r="AJ2485">
        <v>89.983065131471704</v>
      </c>
      <c r="AK2485">
        <v>113.37811160146499</v>
      </c>
      <c r="AL2485">
        <v>88.862154750210806</v>
      </c>
      <c r="AM2485">
        <v>89.824676274865993</v>
      </c>
      <c r="AN2485">
        <v>0.99999996715281703</v>
      </c>
    </row>
    <row r="2486" spans="1:40" x14ac:dyDescent="0.25">
      <c r="A2486" t="str">
        <f>"20190312153936026"</f>
        <v>20190312153936026</v>
      </c>
      <c r="B2486" t="str">
        <f>"1552376376018545"</f>
        <v>1552376376018545</v>
      </c>
      <c r="C2486" t="s">
        <v>40</v>
      </c>
      <c r="D2486">
        <v>4.2033870000000002</v>
      </c>
      <c r="E2486">
        <v>0.49865559999999998</v>
      </c>
      <c r="F2486" t="s">
        <v>61</v>
      </c>
      <c r="G2486">
        <v>-359.68560000000002</v>
      </c>
      <c r="H2486">
        <v>8.0001399999999903E-2</v>
      </c>
      <c r="I2486">
        <v>290.52960000000002</v>
      </c>
      <c r="J2486">
        <v>-252.6815</v>
      </c>
      <c r="K2486">
        <v>1.1070310000000001</v>
      </c>
      <c r="L2486">
        <v>283.55</v>
      </c>
      <c r="M2486">
        <v>-0.99777700000000003</v>
      </c>
      <c r="N2486">
        <v>0</v>
      </c>
      <c r="O2486">
        <v>6.6622120000000007E-2</v>
      </c>
      <c r="P2486">
        <v>-0.99745890000000004</v>
      </c>
      <c r="Q2486">
        <v>1.8117589999999999E-2</v>
      </c>
      <c r="R2486">
        <v>6.8904229999999997E-2</v>
      </c>
      <c r="S2486">
        <v>-2.994659</v>
      </c>
      <c r="T2486">
        <v>-2.8639080000000001E-2</v>
      </c>
      <c r="U2486">
        <v>0.19537350000000001</v>
      </c>
      <c r="V2486">
        <v>2.3612580000000002E-3</v>
      </c>
      <c r="W2486">
        <v>1.9725779999999998E-2</v>
      </c>
      <c r="X2486">
        <v>0.99980259999999999</v>
      </c>
      <c r="Y2486">
        <v>-1.520155E-3</v>
      </c>
      <c r="Z2486">
        <v>-6.4300480000000003E-4</v>
      </c>
      <c r="AA2486">
        <v>0.99999859999999896</v>
      </c>
      <c r="AB2486">
        <v>35</v>
      </c>
      <c r="AC2486">
        <v>-107.00409999999999</v>
      </c>
      <c r="AD2486">
        <v>-1.0270296000000001</v>
      </c>
      <c r="AE2486">
        <v>6.9795999999999996</v>
      </c>
      <c r="AF2486">
        <v>-0.164740739660033</v>
      </c>
      <c r="AG2486">
        <v>-1.0270296000000001</v>
      </c>
      <c r="AH2486">
        <v>107.221526775637</v>
      </c>
      <c r="AI2486">
        <v>90.548794577831202</v>
      </c>
      <c r="AJ2486">
        <v>90.088032151311197</v>
      </c>
      <c r="AK2486">
        <v>107.226571955879</v>
      </c>
      <c r="AL2486">
        <v>88.869722705922399</v>
      </c>
      <c r="AM2486">
        <v>89.864683422302903</v>
      </c>
      <c r="AN2486">
        <v>0.99999996045135398</v>
      </c>
    </row>
    <row r="2487" spans="1:40" x14ac:dyDescent="0.25">
      <c r="A2487" t="str">
        <f>"20190312153936040"</f>
        <v>20190312153936040</v>
      </c>
      <c r="B2487" t="str">
        <f>"1552376376028305"</f>
        <v>1552376376028305</v>
      </c>
      <c r="C2487" t="s">
        <v>40</v>
      </c>
      <c r="D2487">
        <v>4.240621</v>
      </c>
      <c r="E2487">
        <v>0.4984073</v>
      </c>
      <c r="F2487" t="s">
        <v>61</v>
      </c>
      <c r="G2487">
        <v>-350.82380000000001</v>
      </c>
      <c r="H2487">
        <v>8.0000269999999998E-2</v>
      </c>
      <c r="I2487">
        <v>289.8673</v>
      </c>
      <c r="J2487">
        <v>-252.90270000000001</v>
      </c>
      <c r="K2487">
        <v>1.1072029999999999</v>
      </c>
      <c r="L2487">
        <v>283.56529999999998</v>
      </c>
      <c r="M2487">
        <v>-0.99774010000000002</v>
      </c>
      <c r="N2487">
        <v>0</v>
      </c>
      <c r="O2487">
        <v>6.7171439999999999E-2</v>
      </c>
      <c r="P2487">
        <v>-0.99746069999999998</v>
      </c>
      <c r="Q2487">
        <v>1.8204910000000001E-2</v>
      </c>
      <c r="R2487">
        <v>6.8852999999999998E-2</v>
      </c>
      <c r="S2487">
        <v>-2.9949189999999999</v>
      </c>
      <c r="T2487">
        <v>-3.1340960000000001E-2</v>
      </c>
      <c r="U2487">
        <v>0.19277949999999999</v>
      </c>
      <c r="V2487">
        <v>1.753583E-3</v>
      </c>
      <c r="W2487">
        <v>1.981254E-2</v>
      </c>
      <c r="X2487">
        <v>0.99980219999999997</v>
      </c>
      <c r="Y2487">
        <v>-2.9381329999999999E-3</v>
      </c>
      <c r="Z2487">
        <v>-7.1676629999999997E-4</v>
      </c>
      <c r="AA2487">
        <v>0.99999539999999998</v>
      </c>
      <c r="AB2487">
        <v>36</v>
      </c>
      <c r="AC2487">
        <v>-97.921099999999996</v>
      </c>
      <c r="AD2487">
        <v>-1.02720273</v>
      </c>
      <c r="AE2487">
        <v>6.30200000000002</v>
      </c>
      <c r="AF2487">
        <v>-0.289711823901592</v>
      </c>
      <c r="AG2487">
        <v>-1.02720273</v>
      </c>
      <c r="AH2487">
        <v>98.112502527539903</v>
      </c>
      <c r="AI2487">
        <v>90.599841740789103</v>
      </c>
      <c r="AJ2487">
        <v>90.169185538156</v>
      </c>
      <c r="AK2487">
        <v>98.1183073162493</v>
      </c>
      <c r="AL2487">
        <v>88.864750826040293</v>
      </c>
      <c r="AM2487">
        <v>89.899507320649207</v>
      </c>
      <c r="AN2487">
        <v>1.0000000254597099</v>
      </c>
    </row>
    <row r="2488" spans="1:40" x14ac:dyDescent="0.25">
      <c r="A2488" t="str">
        <f>"20190312153936052"</f>
        <v>20190312153936052</v>
      </c>
      <c r="B2488" t="str">
        <f>"1552376376047826"</f>
        <v>1552376376047826</v>
      </c>
      <c r="C2488" t="s">
        <v>40</v>
      </c>
      <c r="D2488">
        <v>4.2026649999999997</v>
      </c>
      <c r="E2488">
        <v>0.4982164</v>
      </c>
      <c r="F2488" t="s">
        <v>61</v>
      </c>
      <c r="G2488">
        <v>-349.92860000000002</v>
      </c>
      <c r="H2488">
        <v>8.0001470000000005E-2</v>
      </c>
      <c r="I2488">
        <v>289.73329999999999</v>
      </c>
      <c r="J2488">
        <v>-253.12049999999999</v>
      </c>
      <c r="K2488">
        <v>1.107375</v>
      </c>
      <c r="L2488">
        <v>283.58049999999997</v>
      </c>
      <c r="M2488">
        <v>-0.99770930000000002</v>
      </c>
      <c r="N2488">
        <v>0</v>
      </c>
      <c r="O2488">
        <v>6.7628590000000002E-2</v>
      </c>
      <c r="P2488">
        <v>-0.99745059999999997</v>
      </c>
      <c r="Q2488">
        <v>1.8184510000000001E-2</v>
      </c>
      <c r="R2488">
        <v>6.9005910000000004E-2</v>
      </c>
      <c r="S2488">
        <v>-2.9950869999999998</v>
      </c>
      <c r="T2488">
        <v>-3.1708600000000003E-2</v>
      </c>
      <c r="U2488">
        <v>0.19039919999999999</v>
      </c>
      <c r="V2488">
        <v>1.442364E-3</v>
      </c>
      <c r="W2488">
        <v>1.9819690000000001E-2</v>
      </c>
      <c r="X2488">
        <v>0.99980250000000004</v>
      </c>
      <c r="Y2488">
        <v>-4.1912540000000002E-3</v>
      </c>
      <c r="Z2488">
        <v>-7.366041E-4</v>
      </c>
      <c r="AA2488">
        <v>0.99999090000000002</v>
      </c>
      <c r="AB2488">
        <v>36</v>
      </c>
      <c r="AC2488">
        <v>-96.808099999999996</v>
      </c>
      <c r="AD2488">
        <v>-1.02737353</v>
      </c>
      <c r="AE2488">
        <v>6.1528000000000098</v>
      </c>
      <c r="AF2488">
        <v>-0.40824424493913097</v>
      </c>
      <c r="AG2488">
        <v>-1.02737353</v>
      </c>
      <c r="AH2488">
        <v>96.991689708360795</v>
      </c>
      <c r="AI2488">
        <v>90.606871008475807</v>
      </c>
      <c r="AJ2488">
        <v>90.241160187907596</v>
      </c>
      <c r="AK2488">
        <v>96.997989835957995</v>
      </c>
      <c r="AL2488">
        <v>88.8643410175128</v>
      </c>
      <c r="AM2488">
        <v>89.917342362726998</v>
      </c>
      <c r="AN2488">
        <v>0.99999996976592598</v>
      </c>
    </row>
    <row r="2489" spans="1:40" x14ac:dyDescent="0.25">
      <c r="A2489" t="str">
        <f>"20190312153936069"</f>
        <v>20190312153936069</v>
      </c>
      <c r="B2489" t="str">
        <f>"1552376376058561"</f>
        <v>1552376376058561</v>
      </c>
      <c r="C2489" t="s">
        <v>40</v>
      </c>
      <c r="D2489">
        <v>4.187589</v>
      </c>
      <c r="E2489">
        <v>0.49813370000000001</v>
      </c>
      <c r="F2489" t="s">
        <v>61</v>
      </c>
      <c r="G2489">
        <v>-350.78019999999998</v>
      </c>
      <c r="H2489">
        <v>8.000024E-2</v>
      </c>
      <c r="I2489">
        <v>289.75779999999997</v>
      </c>
      <c r="J2489">
        <v>-253.38339999999999</v>
      </c>
      <c r="K2489">
        <v>1.10758</v>
      </c>
      <c r="L2489">
        <v>283.59879999999998</v>
      </c>
      <c r="M2489">
        <v>-0.99767879999999998</v>
      </c>
      <c r="N2489">
        <v>0</v>
      </c>
      <c r="O2489">
        <v>6.8075150000000001E-2</v>
      </c>
      <c r="P2489">
        <v>-0.99745850000000003</v>
      </c>
      <c r="Q2489">
        <v>1.819219E-2</v>
      </c>
      <c r="R2489">
        <v>6.888801E-2</v>
      </c>
      <c r="S2489">
        <v>-2.9951479999999999</v>
      </c>
      <c r="T2489">
        <v>-3.1508799999999997E-2</v>
      </c>
      <c r="U2489">
        <v>0.18945310000000001</v>
      </c>
      <c r="V2489">
        <v>8.6877389999999997E-4</v>
      </c>
      <c r="W2489">
        <v>1.9880720000000001E-2</v>
      </c>
      <c r="X2489">
        <v>0.99980199999999997</v>
      </c>
      <c r="Y2489">
        <v>-4.9547159999999996E-3</v>
      </c>
      <c r="Z2489">
        <v>-7.4064910000000005E-4</v>
      </c>
      <c r="AA2489">
        <v>0.99998739999999997</v>
      </c>
      <c r="AB2489">
        <v>36</v>
      </c>
      <c r="AC2489">
        <v>-97.396799999999899</v>
      </c>
      <c r="AD2489">
        <v>-1.0275797600000001</v>
      </c>
      <c r="AE2489">
        <v>6.15899999999999</v>
      </c>
      <c r="AF2489">
        <v>-0.485544885080681</v>
      </c>
      <c r="AG2489">
        <v>-1.0275797600000001</v>
      </c>
      <c r="AH2489">
        <v>97.579314858383</v>
      </c>
      <c r="AI2489">
        <v>90.603335639778706</v>
      </c>
      <c r="AJ2489">
        <v>90.285095700066606</v>
      </c>
      <c r="AK2489">
        <v>97.585933219035397</v>
      </c>
      <c r="AL2489">
        <v>88.860843622386497</v>
      </c>
      <c r="AM2489">
        <v>89.950213076896404</v>
      </c>
      <c r="AN2489">
        <v>1.0000000184999001</v>
      </c>
    </row>
    <row r="2490" spans="1:40" x14ac:dyDescent="0.25">
      <c r="A2490" t="str">
        <f>"20190312153936092"</f>
        <v>20190312153936092</v>
      </c>
      <c r="B2490" t="str">
        <f>"1552376376078081"</f>
        <v>1552376376078081</v>
      </c>
      <c r="C2490" t="s">
        <v>40</v>
      </c>
      <c r="D2490">
        <v>4.2180479999999996</v>
      </c>
      <c r="E2490">
        <v>0.49791819999999998</v>
      </c>
      <c r="F2490" t="s">
        <v>61</v>
      </c>
      <c r="G2490">
        <v>-350.7912</v>
      </c>
      <c r="H2490">
        <v>8.0000249999999995E-2</v>
      </c>
      <c r="I2490">
        <v>289.72329999999999</v>
      </c>
      <c r="J2490">
        <v>-253.74100000000001</v>
      </c>
      <c r="K2490">
        <v>1.107836</v>
      </c>
      <c r="L2490">
        <v>283.62369999999999</v>
      </c>
      <c r="M2490">
        <v>-0.99764969999999997</v>
      </c>
      <c r="N2490">
        <v>0</v>
      </c>
      <c r="O2490">
        <v>6.8497459999999996E-2</v>
      </c>
      <c r="P2490">
        <v>-0.99746440000000003</v>
      </c>
      <c r="Q2490">
        <v>1.777954E-2</v>
      </c>
      <c r="R2490">
        <v>6.8911990000000006E-2</v>
      </c>
      <c r="S2490">
        <v>-2.9952239999999999</v>
      </c>
      <c r="T2490">
        <v>-3.1597380000000001E-2</v>
      </c>
      <c r="U2490">
        <v>0.18832399999999999</v>
      </c>
      <c r="V2490">
        <v>4.5815919999999999E-4</v>
      </c>
      <c r="W2490">
        <v>1.9562260000000001E-2</v>
      </c>
      <c r="X2490">
        <v>0.99980849999999999</v>
      </c>
      <c r="Y2490">
        <v>-5.7549970000000004E-3</v>
      </c>
      <c r="Z2490">
        <v>-7.5137779999999996E-4</v>
      </c>
      <c r="AA2490">
        <v>0.99998310000000001</v>
      </c>
      <c r="AB2490">
        <v>36</v>
      </c>
      <c r="AC2490">
        <v>-97.050200000000004</v>
      </c>
      <c r="AD2490">
        <v>-1.0278357499999999</v>
      </c>
      <c r="AE2490">
        <v>6.0995999999999997</v>
      </c>
      <c r="AF2490">
        <v>-0.56236614575473798</v>
      </c>
      <c r="AG2490">
        <v>-1.0278357499999999</v>
      </c>
      <c r="AH2490">
        <v>97.2292016109119</v>
      </c>
      <c r="AI2490">
        <v>90.605656233391898</v>
      </c>
      <c r="AJ2490">
        <v>90.331390640459304</v>
      </c>
      <c r="AK2490">
        <v>97.236260458258201</v>
      </c>
      <c r="AL2490">
        <v>88.879093524697794</v>
      </c>
      <c r="AM2490">
        <v>89.973744385382105</v>
      </c>
      <c r="AN2490">
        <v>0.99999996429920401</v>
      </c>
    </row>
    <row r="2491" spans="1:40" x14ac:dyDescent="0.25">
      <c r="A2491" t="str">
        <f>"20190312153936104"</f>
        <v>20190312153936104</v>
      </c>
      <c r="B2491" t="str">
        <f>"1552376376098577"</f>
        <v>1552376376098577</v>
      </c>
      <c r="C2491" t="s">
        <v>40</v>
      </c>
      <c r="D2491">
        <v>4.2231379999999996</v>
      </c>
      <c r="E2491">
        <v>0.497747</v>
      </c>
      <c r="F2491" t="s">
        <v>61</v>
      </c>
      <c r="G2491">
        <v>-349.91050000000001</v>
      </c>
      <c r="H2491">
        <v>4.575713E-2</v>
      </c>
      <c r="I2491">
        <v>289.61630000000002</v>
      </c>
      <c r="J2491">
        <v>-253.93950000000001</v>
      </c>
      <c r="K2491">
        <v>1.1079699999999999</v>
      </c>
      <c r="L2491">
        <v>283.63749999999999</v>
      </c>
      <c r="M2491">
        <v>-0.99764070000000005</v>
      </c>
      <c r="N2491">
        <v>0</v>
      </c>
      <c r="O2491">
        <v>6.862559E-2</v>
      </c>
      <c r="P2491">
        <v>-0.99743689999999996</v>
      </c>
      <c r="Q2491">
        <v>1.7329580000000001E-2</v>
      </c>
      <c r="R2491">
        <v>6.9419679999999997E-2</v>
      </c>
      <c r="S2491">
        <v>-2.995285</v>
      </c>
      <c r="T2491">
        <v>-3.307939E-2</v>
      </c>
      <c r="U2491">
        <v>0.18664549999999999</v>
      </c>
      <c r="V2491">
        <v>8.3175929999999897E-4</v>
      </c>
      <c r="W2491">
        <v>1.9170840000000001E-2</v>
      </c>
      <c r="X2491">
        <v>0.99981589999999998</v>
      </c>
      <c r="Y2491">
        <v>-6.4424529999999999E-3</v>
      </c>
      <c r="Z2491">
        <v>-7.9182109999999999E-4</v>
      </c>
      <c r="AA2491">
        <v>0.99997899999999995</v>
      </c>
      <c r="AB2491">
        <v>36</v>
      </c>
      <c r="AC2491">
        <v>-95.971000000000004</v>
      </c>
      <c r="AD2491">
        <v>-1.06221287</v>
      </c>
      <c r="AE2491">
        <v>5.9788000000000299</v>
      </c>
      <c r="AF2491">
        <v>-0.62129757149543996</v>
      </c>
      <c r="AG2491">
        <v>-1.06221287</v>
      </c>
      <c r="AH2491">
        <v>96.143313342065099</v>
      </c>
      <c r="AI2491">
        <v>90.632977641622801</v>
      </c>
      <c r="AJ2491">
        <v>90.370251782701203</v>
      </c>
      <c r="AK2491">
        <v>96.151188277857798</v>
      </c>
      <c r="AL2491">
        <v>88.901524511502103</v>
      </c>
      <c r="AM2491">
        <v>89.952334938395296</v>
      </c>
      <c r="AN2491">
        <v>1.00000002341132</v>
      </c>
    </row>
    <row r="2492" spans="1:40" x14ac:dyDescent="0.25">
      <c r="A2492" t="str">
        <f>"20190312153936118"</f>
        <v>20190312153936118</v>
      </c>
      <c r="B2492" t="str">
        <f>"1552376376108337"</f>
        <v>1552376376108337</v>
      </c>
      <c r="C2492" t="s">
        <v>40</v>
      </c>
      <c r="D2492">
        <v>4.2227499999999996</v>
      </c>
      <c r="E2492">
        <v>0.4976566</v>
      </c>
      <c r="F2492" t="s">
        <v>61</v>
      </c>
      <c r="G2492">
        <v>-349.779</v>
      </c>
      <c r="H2492">
        <v>8.9421959999999995E-3</v>
      </c>
      <c r="I2492">
        <v>289.61630000000002</v>
      </c>
      <c r="J2492">
        <v>-254.1686</v>
      </c>
      <c r="K2492">
        <v>1.1081160000000001</v>
      </c>
      <c r="L2492">
        <v>283.65339999999998</v>
      </c>
      <c r="M2492">
        <v>-0.99763539999999995</v>
      </c>
      <c r="N2492">
        <v>0</v>
      </c>
      <c r="O2492">
        <v>6.8702089999999993E-2</v>
      </c>
      <c r="P2492">
        <v>-0.99744120000000003</v>
      </c>
      <c r="Q2492">
        <v>1.6925099999999998E-2</v>
      </c>
      <c r="R2492">
        <v>6.9460519999999998E-2</v>
      </c>
      <c r="S2492">
        <v>-2.9952999999999999</v>
      </c>
      <c r="T2492">
        <v>-3.4348249999999997E-2</v>
      </c>
      <c r="U2492">
        <v>0.1868591</v>
      </c>
      <c r="V2492">
        <v>7.8898059999999999E-4</v>
      </c>
      <c r="W2492">
        <v>1.883903E-2</v>
      </c>
      <c r="X2492">
        <v>0.99982219999999999</v>
      </c>
      <c r="Y2492">
        <v>-6.4480419999999898E-3</v>
      </c>
      <c r="Z2492">
        <v>-8.2309119999999895E-4</v>
      </c>
      <c r="AA2492">
        <v>0.9999789</v>
      </c>
      <c r="AB2492">
        <v>36</v>
      </c>
      <c r="AC2492">
        <v>-95.610399999999998</v>
      </c>
      <c r="AD2492">
        <v>-1.0991738040000001</v>
      </c>
      <c r="AE2492">
        <v>5.9629000000000403</v>
      </c>
      <c r="AF2492">
        <v>-0.619753711025402</v>
      </c>
      <c r="AG2492">
        <v>-1.0991738040000001</v>
      </c>
      <c r="AH2492">
        <v>95.781547183735796</v>
      </c>
      <c r="AI2492">
        <v>90.657474630744005</v>
      </c>
      <c r="AJ2492">
        <v>90.3707266950384</v>
      </c>
      <c r="AK2492">
        <v>95.789858850631603</v>
      </c>
      <c r="AL2492">
        <v>88.920539212835905</v>
      </c>
      <c r="AM2492">
        <v>89.954786711962896</v>
      </c>
      <c r="AN2492">
        <v>0.99999998157728298</v>
      </c>
    </row>
    <row r="2493" spans="1:40" x14ac:dyDescent="0.25">
      <c r="A2493" t="str">
        <f>"20190312153936138"</f>
        <v>20190312153936138</v>
      </c>
      <c r="B2493" t="str">
        <f>"1552376376127857"</f>
        <v>1552376376127857</v>
      </c>
      <c r="C2493" t="s">
        <v>40</v>
      </c>
      <c r="D2493">
        <v>4.2211730000000003</v>
      </c>
      <c r="E2493">
        <v>0.49749450000000001</v>
      </c>
      <c r="F2493" t="s">
        <v>61</v>
      </c>
      <c r="G2493">
        <v>-346.89679999999998</v>
      </c>
      <c r="H2493" s="1">
        <v>2.1333240000000002E-6</v>
      </c>
      <c r="I2493">
        <v>289.41539999999998</v>
      </c>
      <c r="J2493">
        <v>-254.49700000000001</v>
      </c>
      <c r="K2493">
        <v>1.1083190000000001</v>
      </c>
      <c r="L2493">
        <v>283.67599999999999</v>
      </c>
      <c r="M2493">
        <v>-0.99764109999999995</v>
      </c>
      <c r="N2493">
        <v>0</v>
      </c>
      <c r="O2493">
        <v>6.8616140000000006E-2</v>
      </c>
      <c r="P2493">
        <v>-0.99742500000000001</v>
      </c>
      <c r="Q2493">
        <v>1.6202939999999999E-2</v>
      </c>
      <c r="R2493">
        <v>6.9863320000000007E-2</v>
      </c>
      <c r="S2493">
        <v>-2.9953310000000002</v>
      </c>
      <c r="T2493">
        <v>-3.5794619999999999E-2</v>
      </c>
      <c r="U2493">
        <v>0.18612670000000001</v>
      </c>
      <c r="V2493">
        <v>1.269332E-3</v>
      </c>
      <c r="W2493">
        <v>1.8224009999999999E-2</v>
      </c>
      <c r="X2493">
        <v>0.99983310000000003</v>
      </c>
      <c r="Y2493">
        <v>-6.6056930000000002E-3</v>
      </c>
      <c r="Z2493">
        <v>-8.5766599999999998E-4</v>
      </c>
      <c r="AA2493">
        <v>0.99997780000000003</v>
      </c>
      <c r="AB2493">
        <v>36</v>
      </c>
      <c r="AC2493">
        <v>-92.3997999999999</v>
      </c>
      <c r="AD2493">
        <v>-1.1083168666759999</v>
      </c>
      <c r="AE2493">
        <v>5.7393999999999803</v>
      </c>
      <c r="AF2493">
        <v>-0.61416950654217695</v>
      </c>
      <c r="AG2493">
        <v>-1.1083168666759999</v>
      </c>
      <c r="AH2493">
        <v>92.562575286769203</v>
      </c>
      <c r="AI2493">
        <v>90.685994815217896</v>
      </c>
      <c r="AJ2493">
        <v>90.380162329368801</v>
      </c>
      <c r="AK2493">
        <v>92.571247772613205</v>
      </c>
      <c r="AL2493">
        <v>88.955783311604407</v>
      </c>
      <c r="AM2493">
        <v>89.927260532454497</v>
      </c>
      <c r="AN2493">
        <v>0.99999997679990804</v>
      </c>
    </row>
    <row r="2494" spans="1:40" x14ac:dyDescent="0.25">
      <c r="A2494" t="str">
        <f>"20190312153936161"</f>
        <v>20190312153936161</v>
      </c>
      <c r="B2494" t="str">
        <f>"1552376376148353"</f>
        <v>1552376376148353</v>
      </c>
      <c r="C2494" t="s">
        <v>40</v>
      </c>
      <c r="D2494">
        <v>4.26335</v>
      </c>
      <c r="E2494">
        <v>0.49732999999999999</v>
      </c>
      <c r="F2494" t="s">
        <v>61</v>
      </c>
      <c r="G2494">
        <v>-342.07440000000003</v>
      </c>
      <c r="H2494" s="1">
        <v>-4.328881E-7</v>
      </c>
      <c r="I2494">
        <v>289.11700000000002</v>
      </c>
      <c r="J2494">
        <v>-254.8586</v>
      </c>
      <c r="K2494">
        <v>1.1085160000000001</v>
      </c>
      <c r="L2494">
        <v>283.70060000000001</v>
      </c>
      <c r="M2494">
        <v>-0.99766220000000005</v>
      </c>
      <c r="N2494">
        <v>0</v>
      </c>
      <c r="O2494">
        <v>6.8306809999999996E-2</v>
      </c>
      <c r="P2494">
        <v>-0.9974362</v>
      </c>
      <c r="Q2494">
        <v>1.495284E-2</v>
      </c>
      <c r="R2494">
        <v>6.9985080000000005E-2</v>
      </c>
      <c r="S2494">
        <v>-2.9953609999999999</v>
      </c>
      <c r="T2494">
        <v>-3.7907240000000002E-2</v>
      </c>
      <c r="U2494">
        <v>0.18609619999999999</v>
      </c>
      <c r="V2494">
        <v>1.6915179999999999E-3</v>
      </c>
      <c r="W2494">
        <v>1.7093130000000002E-2</v>
      </c>
      <c r="X2494">
        <v>0.99985250000000003</v>
      </c>
      <c r="Y2494">
        <v>-6.3058319999999999E-3</v>
      </c>
      <c r="Z2494">
        <v>-9.0247820000000003E-4</v>
      </c>
      <c r="AA2494">
        <v>0.99997970000000003</v>
      </c>
      <c r="AB2494">
        <v>36</v>
      </c>
      <c r="AC2494">
        <v>-87.215800000000002</v>
      </c>
      <c r="AD2494">
        <v>-1.1085164328881001</v>
      </c>
      <c r="AE2494">
        <v>5.4164000000000003</v>
      </c>
      <c r="AF2494">
        <v>-0.55360764492324399</v>
      </c>
      <c r="AG2494">
        <v>-1.1085164328881001</v>
      </c>
      <c r="AH2494">
        <v>87.368012755930906</v>
      </c>
      <c r="AI2494">
        <v>90.726909408170897</v>
      </c>
      <c r="AJ2494">
        <v>90.363050000171896</v>
      </c>
      <c r="AK2494">
        <v>87.376798654030594</v>
      </c>
      <c r="AL2494">
        <v>89.020588123534793</v>
      </c>
      <c r="AM2494">
        <v>89.903068952761103</v>
      </c>
      <c r="AN2494">
        <v>1.00000002904129</v>
      </c>
    </row>
    <row r="2495" spans="1:40" x14ac:dyDescent="0.25">
      <c r="A2495" t="str">
        <f>"20190312153936174"</f>
        <v>20190312153936174</v>
      </c>
      <c r="B2495" t="str">
        <f>"1552376376167874"</f>
        <v>1552376376167874</v>
      </c>
      <c r="C2495" t="s">
        <v>40</v>
      </c>
      <c r="D2495">
        <v>4.2465999999999999</v>
      </c>
      <c r="E2495">
        <v>0.49718689999999999</v>
      </c>
      <c r="F2495" t="s">
        <v>61</v>
      </c>
      <c r="G2495">
        <v>-333.5643</v>
      </c>
      <c r="H2495" s="1">
        <v>1.87545E-7</v>
      </c>
      <c r="I2495">
        <v>288.5607</v>
      </c>
      <c r="J2495">
        <v>-255.08600000000001</v>
      </c>
      <c r="K2495">
        <v>1.1086229999999999</v>
      </c>
      <c r="L2495">
        <v>283.71600000000001</v>
      </c>
      <c r="M2495">
        <v>-0.9976817</v>
      </c>
      <c r="N2495">
        <v>0</v>
      </c>
      <c r="O2495">
        <v>6.80177E-2</v>
      </c>
      <c r="P2495">
        <v>-0.9974615</v>
      </c>
      <c r="Q2495">
        <v>1.408328E-2</v>
      </c>
      <c r="R2495">
        <v>6.9802890000000006E-2</v>
      </c>
      <c r="S2495">
        <v>-2.9953919999999998</v>
      </c>
      <c r="T2495">
        <v>-4.2188049999999998E-2</v>
      </c>
      <c r="U2495">
        <v>0.18496699999999999</v>
      </c>
      <c r="V2495">
        <v>1.793252E-3</v>
      </c>
      <c r="W2495">
        <v>1.6296439999999999E-2</v>
      </c>
      <c r="X2495">
        <v>0.99986560000000002</v>
      </c>
      <c r="Y2495">
        <v>-6.3908109999999997E-3</v>
      </c>
      <c r="Z2495">
        <v>-1.0009299999999999E-3</v>
      </c>
      <c r="AA2495">
        <v>0.99997910000000001</v>
      </c>
      <c r="AB2495">
        <v>37</v>
      </c>
      <c r="AC2495">
        <v>-78.478300000000004</v>
      </c>
      <c r="AD2495">
        <v>-1.1086228124549999</v>
      </c>
      <c r="AE2495">
        <v>4.84469999999998</v>
      </c>
      <c r="AF2495">
        <v>-0.50434588513216705</v>
      </c>
      <c r="AG2495">
        <v>-1.1086228124549999</v>
      </c>
      <c r="AH2495">
        <v>78.610450755199807</v>
      </c>
      <c r="AI2495">
        <v>90.807957339738195</v>
      </c>
      <c r="AJ2495">
        <v>90.367590999422006</v>
      </c>
      <c r="AK2495">
        <v>78.619885380531102</v>
      </c>
      <c r="AL2495">
        <v>89.066241437104495</v>
      </c>
      <c r="AM2495">
        <v>89.897240528087906</v>
      </c>
      <c r="AN2495">
        <v>1.0000000038863801</v>
      </c>
    </row>
    <row r="2496" spans="1:40" x14ac:dyDescent="0.25">
      <c r="A2496" t="str">
        <f>"20190312153936192"</f>
        <v>20190312153936192</v>
      </c>
      <c r="B2496" t="str">
        <f>"1552376376178611"</f>
        <v>1552376376178611</v>
      </c>
      <c r="C2496" t="s">
        <v>40</v>
      </c>
      <c r="D2496">
        <v>4.2397609999999997</v>
      </c>
      <c r="E2496">
        <v>0.49708200000000002</v>
      </c>
      <c r="F2496" t="s">
        <v>61</v>
      </c>
      <c r="G2496">
        <v>-327.97570000000002</v>
      </c>
      <c r="H2496" s="1">
        <v>2.551797E-6</v>
      </c>
      <c r="I2496">
        <v>288.17829999999998</v>
      </c>
      <c r="J2496">
        <v>-255.3759</v>
      </c>
      <c r="K2496">
        <v>1.1087549999999999</v>
      </c>
      <c r="L2496">
        <v>283.73540000000003</v>
      </c>
      <c r="M2496">
        <v>-0.99771399999999999</v>
      </c>
      <c r="N2496">
        <v>0</v>
      </c>
      <c r="O2496">
        <v>6.7541030000000002E-2</v>
      </c>
      <c r="P2496">
        <v>-0.99753950000000002</v>
      </c>
      <c r="Q2496">
        <v>1.3441399999999999E-2</v>
      </c>
      <c r="R2496">
        <v>6.880812E-2</v>
      </c>
      <c r="S2496">
        <v>-2.995438</v>
      </c>
      <c r="T2496">
        <v>-4.5559290000000002E-2</v>
      </c>
      <c r="U2496">
        <v>0.18338009999999999</v>
      </c>
      <c r="V2496">
        <v>1.2679049999999999E-3</v>
      </c>
      <c r="W2496">
        <v>1.5746719999999999E-2</v>
      </c>
      <c r="X2496">
        <v>0.99987519999999996</v>
      </c>
      <c r="Y2496">
        <v>-6.4405919999999898E-3</v>
      </c>
      <c r="Z2496">
        <v>-1.0740669999999999E-3</v>
      </c>
      <c r="AA2496">
        <v>0.9999787</v>
      </c>
      <c r="AB2496">
        <v>37</v>
      </c>
      <c r="AC2496">
        <v>-72.599800000000002</v>
      </c>
      <c r="AD2496">
        <v>-1.108752448203</v>
      </c>
      <c r="AE2496">
        <v>4.4428999999999501</v>
      </c>
      <c r="AF2496">
        <v>-0.47061355693863899</v>
      </c>
      <c r="AG2496">
        <v>-1.108752448203</v>
      </c>
      <c r="AH2496">
        <v>72.717199038819203</v>
      </c>
      <c r="AI2496">
        <v>90.873529017531496</v>
      </c>
      <c r="AJ2496">
        <v>90.370803530646697</v>
      </c>
      <c r="AK2496">
        <v>72.727174049062398</v>
      </c>
      <c r="AL2496">
        <v>89.097742105052902</v>
      </c>
      <c r="AM2496">
        <v>89.927345366315805</v>
      </c>
      <c r="AN2496">
        <v>0.99999999117444305</v>
      </c>
    </row>
    <row r="2497" spans="1:40" x14ac:dyDescent="0.25">
      <c r="A2497" t="str">
        <f>"20190312153936203"</f>
        <v>20190312153936203</v>
      </c>
      <c r="B2497" t="str">
        <f>"1552376376198130"</f>
        <v>1552376376198130</v>
      </c>
      <c r="C2497" t="s">
        <v>40</v>
      </c>
      <c r="D2497">
        <v>4.2452940000000003</v>
      </c>
      <c r="E2497">
        <v>0.49689329999999998</v>
      </c>
      <c r="F2497" t="s">
        <v>61</v>
      </c>
      <c r="G2497">
        <v>-324.39830000000001</v>
      </c>
      <c r="H2497" s="1">
        <v>6.6136060000000005E-7</v>
      </c>
      <c r="I2497">
        <v>287.8741</v>
      </c>
      <c r="J2497">
        <v>-255.57089999999999</v>
      </c>
      <c r="K2497">
        <v>1.108846</v>
      </c>
      <c r="L2497">
        <v>283.74829999999997</v>
      </c>
      <c r="M2497">
        <v>-0.99773959999999995</v>
      </c>
      <c r="N2497">
        <v>0</v>
      </c>
      <c r="O2497">
        <v>6.7158369999999995E-2</v>
      </c>
      <c r="P2497">
        <v>-0.99760629999999995</v>
      </c>
      <c r="Q2497">
        <v>1.2871179999999999E-2</v>
      </c>
      <c r="R2497">
        <v>6.7942920000000004E-2</v>
      </c>
      <c r="S2497">
        <v>-2.9956969999999998</v>
      </c>
      <c r="T2497">
        <v>-4.812193E-2</v>
      </c>
      <c r="U2497">
        <v>0.17962649999999999</v>
      </c>
      <c r="V2497">
        <v>7.8073539999999999E-4</v>
      </c>
      <c r="W2497">
        <v>1.523704E-2</v>
      </c>
      <c r="X2497">
        <v>0.99988359999999998</v>
      </c>
      <c r="Y2497">
        <v>-7.3097350000000004E-3</v>
      </c>
      <c r="Z2497">
        <v>-1.13528E-3</v>
      </c>
      <c r="AA2497">
        <v>0.99997259999999999</v>
      </c>
      <c r="AB2497">
        <v>37</v>
      </c>
      <c r="AC2497">
        <v>-68.827399999999997</v>
      </c>
      <c r="AD2497">
        <v>-1.1088453386393999</v>
      </c>
      <c r="AE2497">
        <v>4.1258000000000203</v>
      </c>
      <c r="AF2497">
        <v>-0.50573253824576003</v>
      </c>
      <c r="AG2497">
        <v>-1.1088453386393999</v>
      </c>
      <c r="AH2497">
        <v>68.931265247700296</v>
      </c>
      <c r="AI2497">
        <v>90.921569758602402</v>
      </c>
      <c r="AJ2497">
        <v>90.420358164071402</v>
      </c>
      <c r="AK2497">
        <v>68.942038206264797</v>
      </c>
      <c r="AL2497">
        <v>89.126948126989404</v>
      </c>
      <c r="AM2497">
        <v>89.955261958246496</v>
      </c>
      <c r="AN2497">
        <v>0.99999999524234295</v>
      </c>
    </row>
    <row r="2498" spans="1:40" x14ac:dyDescent="0.25">
      <c r="A2498" t="str">
        <f>"20190312153936215"</f>
        <v>20190312153936215</v>
      </c>
      <c r="B2498" t="str">
        <f>"1552376376207890"</f>
        <v>1552376376207890</v>
      </c>
      <c r="C2498" t="s">
        <v>40</v>
      </c>
      <c r="D2498">
        <v>4.2227739999999896</v>
      </c>
      <c r="E2498">
        <v>0.4967993</v>
      </c>
      <c r="F2498" t="s">
        <v>61</v>
      </c>
      <c r="G2498">
        <v>-321.52269999999999</v>
      </c>
      <c r="H2498" s="1">
        <v>-8.5741649999999997E-7</v>
      </c>
      <c r="I2498">
        <v>287.61130000000003</v>
      </c>
      <c r="J2498">
        <v>-255.7654</v>
      </c>
      <c r="K2498">
        <v>1.10893</v>
      </c>
      <c r="L2498">
        <v>283.7611</v>
      </c>
      <c r="M2498">
        <v>-0.99776770000000004</v>
      </c>
      <c r="N2498">
        <v>0</v>
      </c>
      <c r="O2498">
        <v>6.6737589999999999E-2</v>
      </c>
      <c r="P2498">
        <v>-0.99767450000000002</v>
      </c>
      <c r="Q2498">
        <v>1.219027E-2</v>
      </c>
      <c r="R2498">
        <v>6.7062620000000003E-2</v>
      </c>
      <c r="S2498">
        <v>-2.9958800000000001</v>
      </c>
      <c r="T2498">
        <v>-5.0369740000000003E-2</v>
      </c>
      <c r="U2498">
        <v>0.1754761</v>
      </c>
      <c r="V2498">
        <v>3.1674300000000003E-4</v>
      </c>
      <c r="W2498">
        <v>1.4615319999999999E-2</v>
      </c>
      <c r="X2498">
        <v>0.99989309999999998</v>
      </c>
      <c r="Y2498">
        <v>-8.2711739999999992E-3</v>
      </c>
      <c r="Z2498">
        <v>-1.189318E-3</v>
      </c>
      <c r="AA2498">
        <v>0.99996510000000005</v>
      </c>
      <c r="AB2498">
        <v>37</v>
      </c>
      <c r="AC2498">
        <v>-65.757299999999901</v>
      </c>
      <c r="AD2498">
        <v>-1.1089308574165</v>
      </c>
      <c r="AE2498">
        <v>3.8502000000000201</v>
      </c>
      <c r="AF2498">
        <v>-0.54672513564310499</v>
      </c>
      <c r="AG2498">
        <v>-1.1089308574165</v>
      </c>
      <c r="AH2498">
        <v>65.848988032210698</v>
      </c>
      <c r="AI2498">
        <v>90.964765976821397</v>
      </c>
      <c r="AJ2498">
        <v>90.475699384219595</v>
      </c>
      <c r="AK2498">
        <v>65.860594143134605</v>
      </c>
      <c r="AL2498">
        <v>89.162573998761104</v>
      </c>
      <c r="AM2498">
        <v>89.981850023284196</v>
      </c>
      <c r="AN2498">
        <v>0.99999995966621902</v>
      </c>
    </row>
    <row r="2499" spans="1:40" x14ac:dyDescent="0.25">
      <c r="A2499" t="str">
        <f>"20190312153936227"</f>
        <v>20190312153936227</v>
      </c>
      <c r="B2499" t="str">
        <f>"1552376376218626"</f>
        <v>1552376376218626</v>
      </c>
      <c r="C2499" t="s">
        <v>40</v>
      </c>
      <c r="D2499">
        <v>4.2768110000000004</v>
      </c>
      <c r="E2499">
        <v>0.49671739999999998</v>
      </c>
      <c r="F2499" t="s">
        <v>62</v>
      </c>
      <c r="G2499">
        <v>-318.97239999999999</v>
      </c>
      <c r="H2499" s="1">
        <v>5.9529079999999996E-6</v>
      </c>
      <c r="I2499">
        <v>287.39550000000003</v>
      </c>
      <c r="J2499">
        <v>-255.95580000000001</v>
      </c>
      <c r="K2499">
        <v>1.109005</v>
      </c>
      <c r="L2499">
        <v>283.77359999999999</v>
      </c>
      <c r="M2499">
        <v>-0.9977992</v>
      </c>
      <c r="N2499">
        <v>0</v>
      </c>
      <c r="O2499">
        <v>6.626203E-2</v>
      </c>
      <c r="P2499">
        <v>-0.9977587</v>
      </c>
      <c r="Q2499">
        <v>1.1633839999999999E-2</v>
      </c>
      <c r="R2499">
        <v>6.5896570000000002E-2</v>
      </c>
      <c r="S2499">
        <v>-2.9960330000000002</v>
      </c>
      <c r="T2499">
        <v>-5.2563310000000002E-2</v>
      </c>
      <c r="U2499">
        <v>0.1722717</v>
      </c>
      <c r="V2499">
        <v>-3.7839610000000001E-4</v>
      </c>
      <c r="W2499">
        <v>1.411517E-2</v>
      </c>
      <c r="X2499">
        <v>0.99990029999999996</v>
      </c>
      <c r="Y2499">
        <v>-8.8624979999999999E-3</v>
      </c>
      <c r="Z2499">
        <v>-1.2379589999999901E-3</v>
      </c>
      <c r="AA2499">
        <v>0.99995990000000001</v>
      </c>
      <c r="AB2499">
        <v>37</v>
      </c>
      <c r="AC2499">
        <v>-63.016599999999897</v>
      </c>
      <c r="AD2499">
        <v>-1.1089990470919999</v>
      </c>
      <c r="AE2499">
        <v>3.6219000000000299</v>
      </c>
      <c r="AF2499">
        <v>-0.561507299592514</v>
      </c>
      <c r="AG2499">
        <v>-1.1089990470919999</v>
      </c>
      <c r="AH2499">
        <v>63.098622214978199</v>
      </c>
      <c r="AI2499">
        <v>91.006866809610997</v>
      </c>
      <c r="AJ2499">
        <v>90.509855019151701</v>
      </c>
      <c r="AK2499">
        <v>63.110865108652199</v>
      </c>
      <c r="AL2499">
        <v>89.191233470620105</v>
      </c>
      <c r="AM2499">
        <v>90.021682660240401</v>
      </c>
      <c r="AN2499">
        <v>0.99999999557391295</v>
      </c>
    </row>
    <row r="2500" spans="1:40" x14ac:dyDescent="0.25">
      <c r="A2500" t="str">
        <f>"20190312153936240"</f>
        <v>20190312153936240</v>
      </c>
      <c r="B2500" t="str">
        <f>"1552376376228385"</f>
        <v>1552376376228385</v>
      </c>
      <c r="C2500" t="s">
        <v>40</v>
      </c>
      <c r="D2500">
        <v>4.2377219999999998</v>
      </c>
      <c r="E2500">
        <v>0.49664390000000003</v>
      </c>
      <c r="F2500" t="s">
        <v>62</v>
      </c>
      <c r="G2500">
        <v>-317.13490000000002</v>
      </c>
      <c r="H2500" s="1">
        <v>5.1548059999999999E-6</v>
      </c>
      <c r="I2500">
        <v>287.2038</v>
      </c>
      <c r="J2500">
        <v>-256.1694</v>
      </c>
      <c r="K2500">
        <v>1.1090930000000001</v>
      </c>
      <c r="L2500">
        <v>283.78739999999999</v>
      </c>
      <c r="M2500">
        <v>-0.99783630000000001</v>
      </c>
      <c r="N2500">
        <v>0</v>
      </c>
      <c r="O2500">
        <v>6.5700670000000003E-2</v>
      </c>
      <c r="P2500">
        <v>-0.99785489999999999</v>
      </c>
      <c r="Q2500">
        <v>1.1077399999999999E-2</v>
      </c>
      <c r="R2500">
        <v>6.4522880000000005E-2</v>
      </c>
      <c r="S2500">
        <v>-2.9962770000000001</v>
      </c>
      <c r="T2500">
        <v>-5.4313899999999998E-2</v>
      </c>
      <c r="U2500">
        <v>0.16799929999999999</v>
      </c>
      <c r="V2500">
        <v>-1.1951450000000001E-3</v>
      </c>
      <c r="W2500">
        <v>1.3620729999999999E-2</v>
      </c>
      <c r="X2500">
        <v>0.99990650000000003</v>
      </c>
      <c r="Y2500">
        <v>-9.725048E-3</v>
      </c>
      <c r="Z2500">
        <v>-1.2768129999999999E-3</v>
      </c>
      <c r="AA2500">
        <v>0.9999519</v>
      </c>
      <c r="AB2500">
        <v>37</v>
      </c>
      <c r="AC2500">
        <v>-60.965499999999999</v>
      </c>
      <c r="AD2500">
        <v>-1.1090878451940001</v>
      </c>
      <c r="AE2500">
        <v>3.4163999999999999</v>
      </c>
      <c r="AF2500">
        <v>-0.59627137401823205</v>
      </c>
      <c r="AG2500">
        <v>-1.1090878451940001</v>
      </c>
      <c r="AH2500">
        <v>61.038098798107796</v>
      </c>
      <c r="AI2500">
        <v>91.040924125149303</v>
      </c>
      <c r="AJ2500">
        <v>90.559695455077801</v>
      </c>
      <c r="AK2500">
        <v>61.051086151577998</v>
      </c>
      <c r="AL2500">
        <v>89.219565509189195</v>
      </c>
      <c r="AM2500">
        <v>90.068483134969796</v>
      </c>
      <c r="AN2500">
        <v>0.99999998069977603</v>
      </c>
    </row>
    <row r="2501" spans="1:40" x14ac:dyDescent="0.25">
      <c r="A2501" t="str">
        <f>"20190312153936253"</f>
        <v>20190312153936253</v>
      </c>
      <c r="B2501" t="str">
        <f>"1552376376247905"</f>
        <v>1552376376247905</v>
      </c>
      <c r="C2501" t="s">
        <v>40</v>
      </c>
      <c r="D2501">
        <v>4.2616899999999998</v>
      </c>
      <c r="E2501">
        <v>0.49646079999999998</v>
      </c>
      <c r="F2501" t="s">
        <v>62</v>
      </c>
      <c r="G2501">
        <v>-315.56950000000001</v>
      </c>
      <c r="H2501" s="1">
        <v>4.4761469999999996E-6</v>
      </c>
      <c r="I2501">
        <v>287.02629999999999</v>
      </c>
      <c r="J2501">
        <v>-256.39359999999999</v>
      </c>
      <c r="K2501">
        <v>1.1091789999999999</v>
      </c>
      <c r="L2501">
        <v>283.80169999999998</v>
      </c>
      <c r="M2501">
        <v>-0.99787870000000001</v>
      </c>
      <c r="N2501">
        <v>0</v>
      </c>
      <c r="O2501">
        <v>6.5050259999999999E-2</v>
      </c>
      <c r="P2501">
        <v>-0.99795270000000003</v>
      </c>
      <c r="Q2501">
        <v>1.018908E-2</v>
      </c>
      <c r="R2501">
        <v>6.3141580000000003E-2</v>
      </c>
      <c r="S2501">
        <v>-2.9964900000000001</v>
      </c>
      <c r="T2501">
        <v>-5.5948970000000001E-2</v>
      </c>
      <c r="U2501">
        <v>0.16339110000000001</v>
      </c>
      <c r="V2501">
        <v>-1.93038E-3</v>
      </c>
      <c r="W2501">
        <v>1.279397E-2</v>
      </c>
      <c r="X2501">
        <v>0.99991629999999998</v>
      </c>
      <c r="Y2501">
        <v>-1.060957E-2</v>
      </c>
      <c r="Z2501">
        <v>-1.3113689999999999E-3</v>
      </c>
      <c r="AA2501">
        <v>0.99994280000000002</v>
      </c>
      <c r="AB2501">
        <v>37</v>
      </c>
      <c r="AC2501">
        <v>-59.175899999999999</v>
      </c>
      <c r="AD2501">
        <v>-1.109174523853</v>
      </c>
      <c r="AE2501">
        <v>3.2246000000000001</v>
      </c>
      <c r="AF2501">
        <v>-0.63142891721896299</v>
      </c>
      <c r="AG2501">
        <v>-1.109174523853</v>
      </c>
      <c r="AH2501">
        <v>59.239574943411597</v>
      </c>
      <c r="AI2501">
        <v>91.072593543907004</v>
      </c>
      <c r="AJ2501">
        <v>90.610687062683695</v>
      </c>
      <c r="AK2501">
        <v>59.2533223547671</v>
      </c>
      <c r="AL2501">
        <v>89.266939523252304</v>
      </c>
      <c r="AM2501">
        <v>90.110611747655</v>
      </c>
      <c r="AN2501">
        <v>1.00000000952049</v>
      </c>
    </row>
    <row r="2502" spans="1:40" x14ac:dyDescent="0.25">
      <c r="A2502" t="str">
        <f>"20190312153936270"</f>
        <v>20190312153936270</v>
      </c>
      <c r="B2502" t="str">
        <f>"1552376376258642"</f>
        <v>1552376376258642</v>
      </c>
      <c r="C2502" t="s">
        <v>40</v>
      </c>
      <c r="D2502">
        <v>4.3049860000000004</v>
      </c>
      <c r="E2502">
        <v>0.49633620000000001</v>
      </c>
      <c r="F2502" t="s">
        <v>62</v>
      </c>
      <c r="G2502">
        <v>-312.79259999999999</v>
      </c>
      <c r="H2502" s="1">
        <v>3.266776E-6</v>
      </c>
      <c r="I2502">
        <v>286.774</v>
      </c>
      <c r="J2502">
        <v>-256.66680000000002</v>
      </c>
      <c r="K2502">
        <v>1.1092709999999999</v>
      </c>
      <c r="L2502">
        <v>283.81889999999999</v>
      </c>
      <c r="M2502">
        <v>-0.99793359999999998</v>
      </c>
      <c r="N2502">
        <v>0</v>
      </c>
      <c r="O2502">
        <v>6.4199210000000007E-2</v>
      </c>
      <c r="P2502">
        <v>-0.99809789999999998</v>
      </c>
      <c r="Q2502">
        <v>8.7952410000000005E-3</v>
      </c>
      <c r="R2502">
        <v>6.1019799999999999E-2</v>
      </c>
      <c r="S2502">
        <v>-2.9967350000000001</v>
      </c>
      <c r="T2502">
        <v>-5.8935519999999998E-2</v>
      </c>
      <c r="U2502">
        <v>0.1579285</v>
      </c>
      <c r="V2502">
        <v>-3.2053849999999998E-3</v>
      </c>
      <c r="W2502">
        <v>1.147132E-2</v>
      </c>
      <c r="X2502">
        <v>0.99992910000000002</v>
      </c>
      <c r="Y2502">
        <v>-1.157729E-2</v>
      </c>
      <c r="Z2502">
        <v>-1.374155E-3</v>
      </c>
      <c r="AA2502">
        <v>0.99993209999999999</v>
      </c>
      <c r="AB2502">
        <v>37</v>
      </c>
      <c r="AC2502">
        <v>-56.125799999999899</v>
      </c>
      <c r="AD2502">
        <v>-1.109267733224</v>
      </c>
      <c r="AE2502">
        <v>2.9551000000000101</v>
      </c>
      <c r="AF2502">
        <v>-0.65398597650869605</v>
      </c>
      <c r="AG2502">
        <v>-1.109267733224</v>
      </c>
      <c r="AH2502">
        <v>56.177850006685397</v>
      </c>
      <c r="AI2502">
        <v>91.131118348033198</v>
      </c>
      <c r="AJ2502">
        <v>90.666970056021</v>
      </c>
      <c r="AK2502">
        <v>56.1926063102174</v>
      </c>
      <c r="AL2502">
        <v>89.342727386040906</v>
      </c>
      <c r="AM2502">
        <v>90.183667425162199</v>
      </c>
      <c r="AN2502">
        <v>1.00000003535117</v>
      </c>
    </row>
    <row r="2503" spans="1:40" x14ac:dyDescent="0.25">
      <c r="A2503" t="str">
        <f>"20190312153936282"</f>
        <v>20190312153936282</v>
      </c>
      <c r="B2503" t="str">
        <f>"1552376376278162"</f>
        <v>1552376376278162</v>
      </c>
      <c r="C2503" t="s">
        <v>40</v>
      </c>
      <c r="D2503">
        <v>4.2982969999999998</v>
      </c>
      <c r="E2503">
        <v>0.49608540000000001</v>
      </c>
      <c r="F2503" t="s">
        <v>62</v>
      </c>
      <c r="G2503">
        <v>-308.28480000000002</v>
      </c>
      <c r="H2503" s="1">
        <v>2.3379730000000002E-6</v>
      </c>
      <c r="I2503">
        <v>286.4128</v>
      </c>
      <c r="J2503">
        <v>-256.87720000000002</v>
      </c>
      <c r="K2503">
        <v>1.1093420000000001</v>
      </c>
      <c r="L2503">
        <v>283.83199999999999</v>
      </c>
      <c r="M2503">
        <v>-0.99797760000000002</v>
      </c>
      <c r="N2503">
        <v>0</v>
      </c>
      <c r="O2503">
        <v>6.3508839999999997E-2</v>
      </c>
      <c r="P2503">
        <v>-0.99817250000000002</v>
      </c>
      <c r="Q2503">
        <v>8.0759979999999992E-3</v>
      </c>
      <c r="R2503">
        <v>5.9888549999999999E-2</v>
      </c>
      <c r="S2503">
        <v>-2.9970089999999998</v>
      </c>
      <c r="T2503">
        <v>-6.4405680000000007E-2</v>
      </c>
      <c r="U2503">
        <v>0.15060419999999999</v>
      </c>
      <c r="V2503">
        <v>-3.647885E-3</v>
      </c>
      <c r="W2503">
        <v>1.080475E-2</v>
      </c>
      <c r="X2503">
        <v>0.99993500000000002</v>
      </c>
      <c r="Y2503">
        <v>-1.3324509999999999E-2</v>
      </c>
      <c r="Z2503">
        <v>-1.5056239999999999E-3</v>
      </c>
      <c r="AA2503">
        <v>0.99991010000000002</v>
      </c>
      <c r="AB2503">
        <v>37</v>
      </c>
      <c r="AC2503">
        <v>-51.407600000000002</v>
      </c>
      <c r="AD2503">
        <v>-1.109339662027</v>
      </c>
      <c r="AE2503">
        <v>2.5808</v>
      </c>
      <c r="AF2503">
        <v>-0.68893897284815697</v>
      </c>
      <c r="AG2503">
        <v>-1.109339662027</v>
      </c>
      <c r="AH2503">
        <v>51.443830284400697</v>
      </c>
      <c r="AI2503">
        <v>91.235229466785995</v>
      </c>
      <c r="AJ2503">
        <v>90.767262774018405</v>
      </c>
      <c r="AK2503">
        <v>51.4604017252516</v>
      </c>
      <c r="AL2503">
        <v>89.380921397119295</v>
      </c>
      <c r="AM2503">
        <v>90.209021073809495</v>
      </c>
      <c r="AN2503">
        <v>1.0000000269562599</v>
      </c>
    </row>
    <row r="2504" spans="1:40" x14ac:dyDescent="0.25">
      <c r="A2504" t="str">
        <f>"20190312153936294"</f>
        <v>20190312153936294</v>
      </c>
      <c r="B2504" t="str">
        <f>"1552376376287922"</f>
        <v>1552376376287922</v>
      </c>
      <c r="C2504" t="s">
        <v>40</v>
      </c>
      <c r="D2504">
        <v>4.281199</v>
      </c>
      <c r="E2504">
        <v>0.49608540000000001</v>
      </c>
      <c r="F2504" t="s">
        <v>62</v>
      </c>
      <c r="G2504">
        <v>-306.5367</v>
      </c>
      <c r="H2504" s="1">
        <v>2.6632670000000001E-6</v>
      </c>
      <c r="I2504">
        <v>286.23869999999999</v>
      </c>
      <c r="J2504">
        <v>-257.0865</v>
      </c>
      <c r="K2504">
        <v>1.1094090000000001</v>
      </c>
      <c r="L2504">
        <v>283.84480000000002</v>
      </c>
      <c r="M2504">
        <v>-0.99802290000000005</v>
      </c>
      <c r="N2504">
        <v>0</v>
      </c>
      <c r="O2504">
        <v>6.2790449999999998E-2</v>
      </c>
      <c r="P2504">
        <v>-0.99824080000000004</v>
      </c>
      <c r="Q2504">
        <v>7.5434059999999999E-3</v>
      </c>
      <c r="R2504">
        <v>5.8810479999999998E-2</v>
      </c>
      <c r="S2504">
        <v>-2.9972530000000002</v>
      </c>
      <c r="T2504">
        <v>-6.695545E-2</v>
      </c>
      <c r="U2504">
        <v>0.1452637</v>
      </c>
      <c r="V2504">
        <v>-4.0088479999999998E-3</v>
      </c>
      <c r="W2504">
        <v>1.0322690000000001E-2</v>
      </c>
      <c r="X2504">
        <v>0.99993869999999896</v>
      </c>
      <c r="Y2504">
        <v>-1.4384660000000001E-2</v>
      </c>
      <c r="Z2504">
        <v>-1.56101E-3</v>
      </c>
      <c r="AA2504">
        <v>0.99989530000000004</v>
      </c>
      <c r="AB2504">
        <v>38</v>
      </c>
      <c r="AC2504">
        <v>-49.450200000000002</v>
      </c>
      <c r="AD2504">
        <v>-1.109406336733</v>
      </c>
      <c r="AE2504">
        <v>2.3938999999999702</v>
      </c>
      <c r="AF2504">
        <v>-0.71547675591789595</v>
      </c>
      <c r="AG2504">
        <v>-1.109406336733</v>
      </c>
      <c r="AH2504">
        <v>49.478090285221</v>
      </c>
      <c r="AI2504">
        <v>91.284346462613399</v>
      </c>
      <c r="AJ2504">
        <v>90.828466523964806</v>
      </c>
      <c r="AK2504">
        <v>49.495697870428302</v>
      </c>
      <c r="AL2504">
        <v>89.408542935013401</v>
      </c>
      <c r="AM2504">
        <v>90.229702921320296</v>
      </c>
      <c r="AN2504">
        <v>1.0000000162744</v>
      </c>
    </row>
    <row r="2505" spans="1:40" x14ac:dyDescent="0.25">
      <c r="A2505" t="str">
        <f>"20190312153936307"</f>
        <v>20190312153936307</v>
      </c>
      <c r="B2505" t="str">
        <f>"1552376376298657"</f>
        <v>1552376376298657</v>
      </c>
      <c r="C2505" t="s">
        <v>40</v>
      </c>
      <c r="D2505">
        <v>4.2818059999999996</v>
      </c>
      <c r="E2505">
        <v>0.48419309999999899</v>
      </c>
      <c r="F2505" t="s">
        <v>62</v>
      </c>
      <c r="G2505">
        <v>-305.5523</v>
      </c>
      <c r="H2505" s="1">
        <v>2.8460010000000002E-6</v>
      </c>
      <c r="I2505">
        <v>286.14569999999998</v>
      </c>
      <c r="J2505">
        <v>-257.29809999999998</v>
      </c>
      <c r="K2505">
        <v>1.1094710000000001</v>
      </c>
      <c r="L2505">
        <v>283.85759999999999</v>
      </c>
      <c r="M2505">
        <v>-0.99807040000000002</v>
      </c>
      <c r="N2505">
        <v>0</v>
      </c>
      <c r="O2505">
        <v>6.2027550000000001E-2</v>
      </c>
      <c r="P2505">
        <v>-0.99831460000000005</v>
      </c>
      <c r="Q2505">
        <v>7.1663119999999898E-3</v>
      </c>
      <c r="R2505">
        <v>5.7593110000000003E-2</v>
      </c>
      <c r="S2505">
        <v>-2.9974370000000001</v>
      </c>
      <c r="T2505">
        <v>-6.8612809999999996E-2</v>
      </c>
      <c r="U2505">
        <v>0.1423035</v>
      </c>
      <c r="V2505">
        <v>-4.4646920000000001E-3</v>
      </c>
      <c r="W2505">
        <v>9.9936899999999995E-3</v>
      </c>
      <c r="X2505">
        <v>0.9999401</v>
      </c>
      <c r="Y2505">
        <v>-1.460769E-2</v>
      </c>
      <c r="Z2505">
        <v>-1.5847299999999999E-3</v>
      </c>
      <c r="AA2505">
        <v>0.99989209999999995</v>
      </c>
      <c r="AB2505">
        <v>38</v>
      </c>
      <c r="AC2505">
        <v>-48.254199999999997</v>
      </c>
      <c r="AD2505">
        <v>-1.1094681539989999</v>
      </c>
      <c r="AE2505">
        <v>2.28809999999998</v>
      </c>
      <c r="AF2505">
        <v>-0.70903379752440399</v>
      </c>
      <c r="AG2505">
        <v>-1.1094681539989999</v>
      </c>
      <c r="AH2505">
        <v>48.2777443294897</v>
      </c>
      <c r="AI2505">
        <v>91.316337490244194</v>
      </c>
      <c r="AJ2505">
        <v>90.841417183614794</v>
      </c>
      <c r="AK2505">
        <v>48.295695937157198</v>
      </c>
      <c r="AL2505">
        <v>89.427394212699795</v>
      </c>
      <c r="AM2505">
        <v>90.255821632244107</v>
      </c>
      <c r="AN2505">
        <v>1.0000000054512399</v>
      </c>
    </row>
    <row r="2506" spans="1:40" x14ac:dyDescent="0.25">
      <c r="A2506" t="str">
        <f>"20190312153936321"</f>
        <v>20190312153936321</v>
      </c>
      <c r="B2506" t="str">
        <f>"1552376376308418"</f>
        <v>1552376376308418</v>
      </c>
      <c r="C2506" t="s">
        <v>40</v>
      </c>
      <c r="D2506">
        <v>4.2791579999999998</v>
      </c>
      <c r="E2506">
        <v>0.48394199999999998</v>
      </c>
      <c r="F2506" t="s">
        <v>62</v>
      </c>
      <c r="G2506">
        <v>-314.64</v>
      </c>
      <c r="H2506" s="1">
        <v>4.2665770000000004E-6</v>
      </c>
      <c r="I2506">
        <v>284.70839999999998</v>
      </c>
      <c r="J2506">
        <v>-257.52910000000003</v>
      </c>
      <c r="K2506">
        <v>1.1095379999999999</v>
      </c>
      <c r="L2506">
        <v>283.87139999999999</v>
      </c>
      <c r="M2506">
        <v>-0.99812299999999998</v>
      </c>
      <c r="N2506">
        <v>0</v>
      </c>
      <c r="O2506">
        <v>6.1171669999999997E-2</v>
      </c>
      <c r="P2506">
        <v>-0.99837209999999998</v>
      </c>
      <c r="Q2506">
        <v>6.5868209999999996E-3</v>
      </c>
      <c r="R2506">
        <v>5.665531E-2</v>
      </c>
      <c r="S2506">
        <v>-3.0028990000000002</v>
      </c>
      <c r="T2506">
        <v>-5.8100939999999997E-2</v>
      </c>
      <c r="U2506">
        <v>4.4555659999999997E-2</v>
      </c>
      <c r="V2506">
        <v>-4.5481559999999898E-3</v>
      </c>
      <c r="W2506">
        <v>9.4663319999999992E-3</v>
      </c>
      <c r="X2506">
        <v>0.99994490000000003</v>
      </c>
      <c r="Y2506">
        <v>-4.6336950000000002E-2</v>
      </c>
      <c r="Z2506">
        <v>-1.6309110000000001E-3</v>
      </c>
      <c r="AA2506">
        <v>0.99892460000000005</v>
      </c>
      <c r="AB2506">
        <v>38</v>
      </c>
      <c r="AC2506">
        <v>-57.110899999999901</v>
      </c>
      <c r="AD2506">
        <v>-1.109533733423</v>
      </c>
      <c r="AE2506">
        <v>0.83699999999998898</v>
      </c>
      <c r="AF2506">
        <v>-2.6571487917021499</v>
      </c>
      <c r="AG2506">
        <v>-1.109533733423</v>
      </c>
      <c r="AH2506">
        <v>57.033624212750297</v>
      </c>
      <c r="AI2506">
        <v>91.113285865452696</v>
      </c>
      <c r="AJ2506">
        <v>92.667433570707502</v>
      </c>
      <c r="AK2506">
        <v>57.106267568876</v>
      </c>
      <c r="AL2506">
        <v>89.457611055189702</v>
      </c>
      <c r="AM2506">
        <v>90.260602705568601</v>
      </c>
      <c r="AN2506">
        <v>1.0000000501002699</v>
      </c>
    </row>
    <row r="2507" spans="1:40" x14ac:dyDescent="0.25">
      <c r="A2507" t="str">
        <f>"20190312153936338"</f>
        <v>20190312153936338</v>
      </c>
      <c r="B2507" t="str">
        <f>"1552376376327938"</f>
        <v>1552376376327938</v>
      </c>
      <c r="C2507" t="s">
        <v>40</v>
      </c>
      <c r="D2507">
        <v>4.2856719999999999</v>
      </c>
      <c r="E2507">
        <v>0.48448449999999998</v>
      </c>
      <c r="F2507" t="s">
        <v>62</v>
      </c>
      <c r="G2507">
        <v>-308.75670000000002</v>
      </c>
      <c r="H2507" s="1">
        <v>2.4174439999999999E-6</v>
      </c>
      <c r="I2507">
        <v>284.54610000000002</v>
      </c>
      <c r="J2507">
        <v>-257.82839999999999</v>
      </c>
      <c r="K2507">
        <v>1.1096250000000001</v>
      </c>
      <c r="L2507">
        <v>283.88889999999998</v>
      </c>
      <c r="M2507">
        <v>-0.99819340000000001</v>
      </c>
      <c r="N2507">
        <v>0</v>
      </c>
      <c r="O2507">
        <v>6.0012040000000003E-2</v>
      </c>
      <c r="P2507">
        <v>-0.99849500000000002</v>
      </c>
      <c r="Q2507">
        <v>5.5759779999999997E-3</v>
      </c>
      <c r="R2507">
        <v>5.4562579999999999E-2</v>
      </c>
      <c r="S2507">
        <v>-3.0030519999999998</v>
      </c>
      <c r="T2507">
        <v>-6.5042849999999999E-2</v>
      </c>
      <c r="U2507">
        <v>3.9550780000000001E-2</v>
      </c>
      <c r="V2507">
        <v>-5.4817959999999997E-3</v>
      </c>
      <c r="W2507">
        <v>8.5165120000000004E-3</v>
      </c>
      <c r="X2507">
        <v>0.99994870000000002</v>
      </c>
      <c r="Y2507">
        <v>-4.683673E-2</v>
      </c>
      <c r="Z2507">
        <v>-1.806013E-3</v>
      </c>
      <c r="AA2507">
        <v>0.99890089999999998</v>
      </c>
      <c r="AB2507">
        <v>38</v>
      </c>
      <c r="AC2507">
        <v>-50.9283</v>
      </c>
      <c r="AD2507">
        <v>-1.109622582556</v>
      </c>
      <c r="AE2507">
        <v>0.65720000000004497</v>
      </c>
      <c r="AF2507">
        <v>-2.3991699346978201</v>
      </c>
      <c r="AG2507">
        <v>-1.109622582556</v>
      </c>
      <c r="AH2507">
        <v>50.8518127886827</v>
      </c>
      <c r="AI2507">
        <v>91.248647647665805</v>
      </c>
      <c r="AJ2507">
        <v>92.7011909072219</v>
      </c>
      <c r="AK2507">
        <v>50.920468797395301</v>
      </c>
      <c r="AL2507">
        <v>89.512033903351906</v>
      </c>
      <c r="AM2507">
        <v>90.314096741766804</v>
      </c>
      <c r="AN2507">
        <v>0.99999999184786004</v>
      </c>
    </row>
    <row r="2508" spans="1:40" x14ac:dyDescent="0.25">
      <c r="A2508" t="str">
        <f>"20190312153936361"</f>
        <v>20190312153936361</v>
      </c>
      <c r="B2508" t="str">
        <f>"1552376376348433"</f>
        <v>1552376376348433</v>
      </c>
      <c r="C2508" t="s">
        <v>40</v>
      </c>
      <c r="D2508">
        <v>4.2589680000000003</v>
      </c>
      <c r="E2508">
        <v>0.48484379999999999</v>
      </c>
      <c r="F2508" t="s">
        <v>62</v>
      </c>
      <c r="G2508">
        <v>-303.44580000000002</v>
      </c>
      <c r="H2508" s="1">
        <v>3.366865E-6</v>
      </c>
      <c r="I2508">
        <v>284.46190000000001</v>
      </c>
      <c r="J2508">
        <v>-258.2038</v>
      </c>
      <c r="K2508">
        <v>1.1097220000000001</v>
      </c>
      <c r="L2508">
        <v>283.91030000000001</v>
      </c>
      <c r="M2508">
        <v>-0.9982839</v>
      </c>
      <c r="N2508">
        <v>0</v>
      </c>
      <c r="O2508">
        <v>5.8483979999999998E-2</v>
      </c>
      <c r="P2508">
        <v>-0.99862680000000004</v>
      </c>
      <c r="Q2508">
        <v>5.0835439999999997E-3</v>
      </c>
      <c r="R2508">
        <v>5.2140600000000002E-2</v>
      </c>
      <c r="S2508">
        <v>-3.002869</v>
      </c>
      <c r="T2508">
        <v>-7.3043230000000001E-2</v>
      </c>
      <c r="U2508">
        <v>3.771973E-2</v>
      </c>
      <c r="V2508">
        <v>-6.378224E-3</v>
      </c>
      <c r="W2508">
        <v>8.0959550000000002E-3</v>
      </c>
      <c r="X2508">
        <v>0.99994689999999997</v>
      </c>
      <c r="Y2508">
        <v>-4.5910029999999998E-2</v>
      </c>
      <c r="Z2508">
        <v>-1.9798569999999998E-3</v>
      </c>
      <c r="AA2508">
        <v>0.99894360000000004</v>
      </c>
      <c r="AB2508">
        <v>38</v>
      </c>
      <c r="AC2508">
        <v>-45.241999999999997</v>
      </c>
      <c r="AD2508">
        <v>-1.109718633135</v>
      </c>
      <c r="AE2508">
        <v>0.55160000000000697</v>
      </c>
      <c r="AF2508">
        <v>-2.0940284461892502</v>
      </c>
      <c r="AG2508">
        <v>-1.109718633135</v>
      </c>
      <c r="AH2508">
        <v>45.169648450792103</v>
      </c>
      <c r="AI2508">
        <v>91.405838546656497</v>
      </c>
      <c r="AJ2508">
        <v>92.654285675974094</v>
      </c>
      <c r="AK2508">
        <v>45.231776128583803</v>
      </c>
      <c r="AL2508">
        <v>89.536130886671501</v>
      </c>
      <c r="AM2508">
        <v>90.365459765846595</v>
      </c>
      <c r="AN2508">
        <v>1.0000000145241801</v>
      </c>
    </row>
    <row r="2509" spans="1:40" x14ac:dyDescent="0.25">
      <c r="A2509" t="str">
        <f>"20190312153936374"</f>
        <v>20190312153936374</v>
      </c>
      <c r="B2509" t="str">
        <f>"1552376376368226"</f>
        <v>1552376376368226</v>
      </c>
      <c r="C2509" t="s">
        <v>40</v>
      </c>
      <c r="D2509">
        <v>4.259487</v>
      </c>
      <c r="E2509">
        <v>0.485292</v>
      </c>
      <c r="F2509" t="s">
        <v>62</v>
      </c>
      <c r="G2509">
        <v>-303.77839999999998</v>
      </c>
      <c r="H2509" s="1">
        <v>3.31193E-6</v>
      </c>
      <c r="I2509">
        <v>284.41559999999998</v>
      </c>
      <c r="J2509">
        <v>-258.42930000000001</v>
      </c>
      <c r="K2509">
        <v>1.109777</v>
      </c>
      <c r="L2509">
        <v>283.92290000000003</v>
      </c>
      <c r="M2509">
        <v>-0.99833899999999998</v>
      </c>
      <c r="N2509">
        <v>0</v>
      </c>
      <c r="O2509">
        <v>5.7533889999999997E-2</v>
      </c>
      <c r="P2509">
        <v>-0.9987028</v>
      </c>
      <c r="Q2509">
        <v>4.8460439999999999E-3</v>
      </c>
      <c r="R2509">
        <v>5.0690079999999998E-2</v>
      </c>
      <c r="S2509">
        <v>-3.0027469999999998</v>
      </c>
      <c r="T2509">
        <v>-7.3115470000000002E-2</v>
      </c>
      <c r="U2509">
        <v>3.329468E-2</v>
      </c>
      <c r="V2509">
        <v>-6.8788859999999999E-3</v>
      </c>
      <c r="W2509">
        <v>7.8995039999999999E-3</v>
      </c>
      <c r="X2509">
        <v>0.99994519999999998</v>
      </c>
      <c r="Y2509">
        <v>-4.6430800000000001E-2</v>
      </c>
      <c r="Z2509">
        <v>-1.96517E-3</v>
      </c>
      <c r="AA2509">
        <v>0.99891949999999996</v>
      </c>
      <c r="AB2509">
        <v>38</v>
      </c>
      <c r="AC2509">
        <v>-45.3490999999999</v>
      </c>
      <c r="AD2509">
        <v>-1.10977368807</v>
      </c>
      <c r="AE2509">
        <v>0.49269999999995601</v>
      </c>
      <c r="AF2509">
        <v>-2.1159710923317299</v>
      </c>
      <c r="AG2509">
        <v>-1.10977368807</v>
      </c>
      <c r="AH2509">
        <v>45.275217347109098</v>
      </c>
      <c r="AI2509">
        <v>91.402606876888797</v>
      </c>
      <c r="AJ2509">
        <v>92.675813977315002</v>
      </c>
      <c r="AK2509">
        <v>45.338220489232697</v>
      </c>
      <c r="AL2509">
        <v>89.5473870812489</v>
      </c>
      <c r="AM2509">
        <v>90.394146517636003</v>
      </c>
      <c r="AN2509">
        <v>1.00000006211954</v>
      </c>
    </row>
    <row r="2510" spans="1:40" x14ac:dyDescent="0.25">
      <c r="A2510" t="str">
        <f>"20190312153936386"</f>
        <v>20190312153936386</v>
      </c>
      <c r="B2510" t="str">
        <f>"1552376376377986"</f>
        <v>1552376376377986</v>
      </c>
      <c r="C2510" t="s">
        <v>40</v>
      </c>
      <c r="D2510">
        <v>4.2559500000000003</v>
      </c>
      <c r="E2510">
        <v>0.48537940000000002</v>
      </c>
      <c r="F2510" t="s">
        <v>62</v>
      </c>
      <c r="G2510">
        <v>-302.74209999999999</v>
      </c>
      <c r="H2510" s="1">
        <v>3.4967279999999998E-6</v>
      </c>
      <c r="I2510">
        <v>284.40440000000001</v>
      </c>
      <c r="J2510">
        <v>-258.63909999999998</v>
      </c>
      <c r="K2510">
        <v>1.109829</v>
      </c>
      <c r="L2510">
        <v>283.93439999999998</v>
      </c>
      <c r="M2510">
        <v>-0.99839069999999996</v>
      </c>
      <c r="N2510">
        <v>0</v>
      </c>
      <c r="O2510">
        <v>5.6624609999999999E-2</v>
      </c>
      <c r="P2510">
        <v>-0.99877150000000003</v>
      </c>
      <c r="Q2510">
        <v>4.8563340000000003E-3</v>
      </c>
      <c r="R2510">
        <v>4.9315079999999997E-2</v>
      </c>
      <c r="S2510">
        <v>-3.0025940000000002</v>
      </c>
      <c r="T2510">
        <v>-7.5197219999999995E-2</v>
      </c>
      <c r="U2510">
        <v>3.2623289999999999E-2</v>
      </c>
      <c r="V2510">
        <v>-7.3461580000000002E-3</v>
      </c>
      <c r="W2510">
        <v>7.945756E-3</v>
      </c>
      <c r="X2510">
        <v>0.99994150000000004</v>
      </c>
      <c r="Y2510">
        <v>-4.5742499999999998E-2</v>
      </c>
      <c r="Z2510">
        <v>-1.9898590000000001E-3</v>
      </c>
      <c r="AA2510">
        <v>0.99895129999999999</v>
      </c>
      <c r="AB2510">
        <v>38</v>
      </c>
      <c r="AC2510">
        <v>-44.103000000000002</v>
      </c>
      <c r="AD2510">
        <v>-1.1098255032719999</v>
      </c>
      <c r="AE2510">
        <v>0.47000000000002701</v>
      </c>
      <c r="AF2510">
        <v>-2.0267980272227399</v>
      </c>
      <c r="AG2510">
        <v>-1.1098255032719999</v>
      </c>
      <c r="AH2510">
        <v>44.030972180466698</v>
      </c>
      <c r="AI2510">
        <v>91.442340126191795</v>
      </c>
      <c r="AJ2510">
        <v>92.635532488119196</v>
      </c>
      <c r="AK2510">
        <v>44.091565339052103</v>
      </c>
      <c r="AL2510">
        <v>89.544736949352398</v>
      </c>
      <c r="AM2510">
        <v>90.420920900763903</v>
      </c>
      <c r="AN2510">
        <v>1.00000005224901</v>
      </c>
    </row>
    <row r="2511" spans="1:40" x14ac:dyDescent="0.25">
      <c r="A2511" t="str">
        <f>"20190312153936405"</f>
        <v>20190312153936405</v>
      </c>
      <c r="B2511" t="str">
        <f>"1552376376398481"</f>
        <v>1552376376398481</v>
      </c>
      <c r="C2511" t="s">
        <v>40</v>
      </c>
      <c r="D2511">
        <v>4.2732549999999998</v>
      </c>
      <c r="E2511">
        <v>0.48582740000000002</v>
      </c>
      <c r="F2511" t="s">
        <v>62</v>
      </c>
      <c r="G2511">
        <v>-302.2903</v>
      </c>
      <c r="H2511" s="1">
        <v>3.5812180000000002E-6</v>
      </c>
      <c r="I2511">
        <v>284.35449999999997</v>
      </c>
      <c r="J2511">
        <v>-258.9554</v>
      </c>
      <c r="K2511">
        <v>1.109912</v>
      </c>
      <c r="L2511">
        <v>283.9513</v>
      </c>
      <c r="M2511">
        <v>-0.99846950000000001</v>
      </c>
      <c r="N2511">
        <v>0</v>
      </c>
      <c r="O2511">
        <v>5.5214220000000001E-2</v>
      </c>
      <c r="P2511">
        <v>-0.99887959999999998</v>
      </c>
      <c r="Q2511">
        <v>4.5025710000000004E-3</v>
      </c>
      <c r="R2511">
        <v>4.7114070000000001E-2</v>
      </c>
      <c r="S2511">
        <v>-3.0026250000000001</v>
      </c>
      <c r="T2511">
        <v>-7.6341149999999997E-2</v>
      </c>
      <c r="U2511">
        <v>2.8900149999999999E-2</v>
      </c>
      <c r="V2511">
        <v>-8.1376780000000006E-3</v>
      </c>
      <c r="W2511">
        <v>7.6439280000000004E-3</v>
      </c>
      <c r="X2511">
        <v>0.99993770000000004</v>
      </c>
      <c r="Y2511">
        <v>-4.5569560000000002E-2</v>
      </c>
      <c r="Z2511">
        <v>-1.9821209999999999E-3</v>
      </c>
      <c r="AA2511">
        <v>0.99895919999999905</v>
      </c>
      <c r="AB2511">
        <v>38</v>
      </c>
      <c r="AC2511">
        <v>-43.334899999999998</v>
      </c>
      <c r="AD2511">
        <v>-1.1099084187819901</v>
      </c>
      <c r="AE2511">
        <v>0.40319999999996903</v>
      </c>
      <c r="AF2511">
        <v>-1.98882525682051</v>
      </c>
      <c r="AG2511">
        <v>-1.1099084187819901</v>
      </c>
      <c r="AH2511">
        <v>43.262678268542501</v>
      </c>
      <c r="AI2511">
        <v>91.468056950517493</v>
      </c>
      <c r="AJ2511">
        <v>92.632086766816201</v>
      </c>
      <c r="AK2511">
        <v>43.322588260255998</v>
      </c>
      <c r="AL2511">
        <v>89.562030933679594</v>
      </c>
      <c r="AM2511">
        <v>90.466273360319704</v>
      </c>
      <c r="AN2511">
        <v>1.0000000276598899</v>
      </c>
    </row>
    <row r="2512" spans="1:40" x14ac:dyDescent="0.25">
      <c r="A2512" t="str">
        <f>"20190312153936417"</f>
        <v>20190312153936417</v>
      </c>
      <c r="B2512" t="str">
        <f>"1552376376408241"</f>
        <v>1552376376408241</v>
      </c>
      <c r="C2512" t="s">
        <v>40</v>
      </c>
      <c r="D2512">
        <v>4.2557029999999996</v>
      </c>
      <c r="E2512">
        <v>0.48598580000000002</v>
      </c>
      <c r="F2512" t="s">
        <v>62</v>
      </c>
      <c r="G2512">
        <v>-300.81610000000001</v>
      </c>
      <c r="H2512" s="1">
        <v>3.8464360000000003E-6</v>
      </c>
      <c r="I2512">
        <v>284.31209999999999</v>
      </c>
      <c r="J2512">
        <v>-259.1671</v>
      </c>
      <c r="K2512">
        <v>1.109966</v>
      </c>
      <c r="L2512">
        <v>283.96249999999998</v>
      </c>
      <c r="M2512">
        <v>-0.99852249999999998</v>
      </c>
      <c r="N2512">
        <v>0</v>
      </c>
      <c r="O2512">
        <v>5.4244929999999997E-2</v>
      </c>
      <c r="P2512">
        <v>-0.99894530000000004</v>
      </c>
      <c r="Q2512">
        <v>4.3596759999999998E-3</v>
      </c>
      <c r="R2512">
        <v>4.571153E-2</v>
      </c>
      <c r="S2512">
        <v>-3.002472</v>
      </c>
      <c r="T2512">
        <v>-7.9608559999999995E-2</v>
      </c>
      <c r="U2512">
        <v>2.5878910000000001E-2</v>
      </c>
      <c r="V2512">
        <v>-8.5720569999999992E-3</v>
      </c>
      <c r="W2512">
        <v>7.5347349999999999E-3</v>
      </c>
      <c r="X2512">
        <v>0.99993489999999996</v>
      </c>
      <c r="Y2512">
        <v>-4.5601940000000001E-2</v>
      </c>
      <c r="Z2512">
        <v>-2.0418179999999999E-3</v>
      </c>
      <c r="AA2512">
        <v>0.9989576</v>
      </c>
      <c r="AB2512">
        <v>38</v>
      </c>
      <c r="AC2512">
        <v>-41.648999999999901</v>
      </c>
      <c r="AD2512">
        <v>-1.1099621535640001</v>
      </c>
      <c r="AE2512">
        <v>0.34960000000000901</v>
      </c>
      <c r="AF2512">
        <v>-1.90881783566064</v>
      </c>
      <c r="AG2512">
        <v>-1.1099621535640001</v>
      </c>
      <c r="AH2512">
        <v>41.5771142107141</v>
      </c>
      <c r="AI2512">
        <v>91.527623475697993</v>
      </c>
      <c r="AJ2512">
        <v>92.628620700623301</v>
      </c>
      <c r="AK2512">
        <v>41.6357061619333</v>
      </c>
      <c r="AL2512">
        <v>89.5682874120278</v>
      </c>
      <c r="AM2512">
        <v>90.491162631748907</v>
      </c>
      <c r="AN2512">
        <v>1.00000002831537</v>
      </c>
    </row>
    <row r="2513" spans="1:40" x14ac:dyDescent="0.25">
      <c r="A2513" t="str">
        <f>"20190312153936429"</f>
        <v>20190312153936429</v>
      </c>
      <c r="B2513" t="str">
        <f>"1552376376418001"</f>
        <v>1552376376418001</v>
      </c>
      <c r="C2513" t="s">
        <v>40</v>
      </c>
      <c r="D2513">
        <v>4.2453839999999996</v>
      </c>
      <c r="E2513">
        <v>0.48616700000000002</v>
      </c>
      <c r="F2513" t="s">
        <v>62</v>
      </c>
      <c r="G2513">
        <v>-300.63959999999997</v>
      </c>
      <c r="H2513" s="1">
        <v>3.8807750000000001E-6</v>
      </c>
      <c r="I2513">
        <v>284.27730000000003</v>
      </c>
      <c r="J2513">
        <v>-259.37779999999998</v>
      </c>
      <c r="K2513">
        <v>1.11002</v>
      </c>
      <c r="L2513">
        <v>283.97309999999999</v>
      </c>
      <c r="M2513">
        <v>-0.99857669999999998</v>
      </c>
      <c r="N2513">
        <v>0</v>
      </c>
      <c r="O2513">
        <v>5.3238069999999998E-2</v>
      </c>
      <c r="P2513">
        <v>-0.99898629999999999</v>
      </c>
      <c r="Q2513">
        <v>4.0745429999999999E-3</v>
      </c>
      <c r="R2513">
        <v>4.4835199999999999E-2</v>
      </c>
      <c r="S2513">
        <v>-3.002472</v>
      </c>
      <c r="T2513">
        <v>-8.0357429999999994E-2</v>
      </c>
      <c r="U2513">
        <v>2.2796629999999998E-2</v>
      </c>
      <c r="V2513">
        <v>-8.4409480000000002E-3</v>
      </c>
      <c r="W2513">
        <v>7.2829710000000001E-3</v>
      </c>
      <c r="X2513">
        <v>0.99993779999999999</v>
      </c>
      <c r="Y2513">
        <v>-4.561979E-2</v>
      </c>
      <c r="Z2513">
        <v>-2.0343649999999998E-3</v>
      </c>
      <c r="AA2513">
        <v>0.99895679999999998</v>
      </c>
      <c r="AB2513">
        <v>38</v>
      </c>
      <c r="AC2513">
        <v>-41.261800000000001</v>
      </c>
      <c r="AD2513">
        <v>-1.110016119225</v>
      </c>
      <c r="AE2513">
        <v>0.304200000000037</v>
      </c>
      <c r="AF2513">
        <v>-1.89157242823748</v>
      </c>
      <c r="AG2513">
        <v>-1.110016119225</v>
      </c>
      <c r="AH2513">
        <v>41.189671417083296</v>
      </c>
      <c r="AI2513">
        <v>91.542059874178605</v>
      </c>
      <c r="AJ2513">
        <v>92.629373337474902</v>
      </c>
      <c r="AK2513">
        <v>41.248020722011503</v>
      </c>
      <c r="AL2513">
        <v>89.582712788514598</v>
      </c>
      <c r="AM2513">
        <v>90.483649291372302</v>
      </c>
      <c r="AN2513">
        <v>0.99999994756928101</v>
      </c>
    </row>
    <row r="2514" spans="1:40" x14ac:dyDescent="0.25">
      <c r="A2514" t="str">
        <f>"20190312153936442"</f>
        <v>20190312153936442</v>
      </c>
      <c r="B2514" t="str">
        <f>"1552376376438499"</f>
        <v>1552376376438499</v>
      </c>
      <c r="C2514" t="s">
        <v>40</v>
      </c>
      <c r="D2514">
        <v>4.2598659999999997</v>
      </c>
      <c r="E2514">
        <v>0.48629250000000002</v>
      </c>
      <c r="F2514" t="s">
        <v>62</v>
      </c>
      <c r="G2514">
        <v>-300.26510000000002</v>
      </c>
      <c r="H2514" s="1">
        <v>3.9482660000000003E-6</v>
      </c>
      <c r="I2514">
        <v>284.26530000000002</v>
      </c>
      <c r="J2514">
        <v>-259.58510000000001</v>
      </c>
      <c r="K2514">
        <v>1.110079</v>
      </c>
      <c r="L2514">
        <v>283.98360000000002</v>
      </c>
      <c r="M2514">
        <v>-0.99862960000000001</v>
      </c>
      <c r="N2514">
        <v>0</v>
      </c>
      <c r="O2514">
        <v>5.2232099999999997E-2</v>
      </c>
      <c r="P2514">
        <v>-0.99902230000000003</v>
      </c>
      <c r="Q2514">
        <v>3.7804050000000001E-3</v>
      </c>
      <c r="R2514">
        <v>4.404926E-2</v>
      </c>
      <c r="S2514">
        <v>-3.0024109999999999</v>
      </c>
      <c r="T2514">
        <v>-8.1510070000000004E-2</v>
      </c>
      <c r="U2514">
        <v>2.1453860000000002E-2</v>
      </c>
      <c r="V2514">
        <v>-8.2202019999999994E-3</v>
      </c>
      <c r="W2514">
        <v>7.0226250000000002E-3</v>
      </c>
      <c r="X2514">
        <v>0.99994150000000004</v>
      </c>
      <c r="Y2514">
        <v>-4.505961E-2</v>
      </c>
      <c r="Z2514">
        <v>-2.0287090000000001E-3</v>
      </c>
      <c r="AA2514">
        <v>0.99898229999999999</v>
      </c>
      <c r="AB2514">
        <v>39</v>
      </c>
      <c r="AC2514">
        <v>-40.68</v>
      </c>
      <c r="AD2514">
        <v>-1.1100750517339999</v>
      </c>
      <c r="AE2514">
        <v>0.28170000000000001</v>
      </c>
      <c r="AF2514">
        <v>-1.8421261160709499</v>
      </c>
      <c r="AG2514">
        <v>-1.1100750517339999</v>
      </c>
      <c r="AH2514">
        <v>40.608946587195703</v>
      </c>
      <c r="AI2514">
        <v>91.564224036346801</v>
      </c>
      <c r="AJ2514">
        <v>92.597303147693694</v>
      </c>
      <c r="AK2514">
        <v>40.665860843829499</v>
      </c>
      <c r="AL2514">
        <v>89.597629897405398</v>
      </c>
      <c r="AM2514">
        <v>90.470999825649002</v>
      </c>
      <c r="AN2514">
        <v>0.99999994620252897</v>
      </c>
    </row>
    <row r="2515" spans="1:40" x14ac:dyDescent="0.25">
      <c r="A2515" t="str">
        <f>"20190312153936453"</f>
        <v>20190312153936453</v>
      </c>
      <c r="B2515" t="str">
        <f>"1552376376448258"</f>
        <v>1552376376448258</v>
      </c>
      <c r="C2515" t="s">
        <v>40</v>
      </c>
      <c r="D2515">
        <v>4.2665040000000003</v>
      </c>
      <c r="E2515">
        <v>0.48649189999999998</v>
      </c>
      <c r="F2515" t="s">
        <v>62</v>
      </c>
      <c r="G2515">
        <v>-299.85770000000002</v>
      </c>
      <c r="H2515" s="1">
        <v>3.9859689999999998E-6</v>
      </c>
      <c r="I2515">
        <v>284.25459999999998</v>
      </c>
      <c r="J2515">
        <v>-259.79539999999997</v>
      </c>
      <c r="K2515">
        <v>1.1101350000000001</v>
      </c>
      <c r="L2515">
        <v>283.9939</v>
      </c>
      <c r="M2515">
        <v>-0.99868389999999996</v>
      </c>
      <c r="N2515">
        <v>0</v>
      </c>
      <c r="O2515">
        <v>5.118354E-2</v>
      </c>
      <c r="P2515">
        <v>-0.99905750000000004</v>
      </c>
      <c r="Q2515">
        <v>3.3264980000000002E-3</v>
      </c>
      <c r="R2515">
        <v>4.328191E-2</v>
      </c>
      <c r="S2515">
        <v>-3.0023499999999999</v>
      </c>
      <c r="T2515">
        <v>-8.2756999999999997E-2</v>
      </c>
      <c r="U2515">
        <v>2.0202640000000001E-2</v>
      </c>
      <c r="V2515">
        <v>-7.937955E-3</v>
      </c>
      <c r="W2515">
        <v>6.6020649999999998E-3</v>
      </c>
      <c r="X2515">
        <v>0.99994669999999997</v>
      </c>
      <c r="Y2515">
        <v>-4.4426390000000003E-2</v>
      </c>
      <c r="Z2515">
        <v>-2.0221900000000001E-3</v>
      </c>
      <c r="AA2515">
        <v>0.99901059999999997</v>
      </c>
      <c r="AB2515">
        <v>39</v>
      </c>
      <c r="AC2515">
        <v>-40.0623</v>
      </c>
      <c r="AD2515">
        <v>-1.1101310140309999</v>
      </c>
      <c r="AE2515">
        <v>0.260699999999985</v>
      </c>
      <c r="AF2515">
        <v>-1.7888095507731201</v>
      </c>
      <c r="AG2515">
        <v>-1.1101310140309999</v>
      </c>
      <c r="AH2515">
        <v>39.992425036335703</v>
      </c>
      <c r="AI2515">
        <v>91.588451060174705</v>
      </c>
      <c r="AJ2515">
        <v>92.561059238012803</v>
      </c>
      <c r="AK2515">
        <v>40.047800073963899</v>
      </c>
      <c r="AL2515">
        <v>89.621726791645898</v>
      </c>
      <c r="AM2515">
        <v>90.4548260083088</v>
      </c>
      <c r="AN2515">
        <v>1.0000000006163601</v>
      </c>
    </row>
    <row r="2516" spans="1:40" x14ac:dyDescent="0.25">
      <c r="A2516" t="str">
        <f>"20190312153936470"</f>
        <v>20190312153936470</v>
      </c>
      <c r="B2516" t="str">
        <f>"1552376376458018"</f>
        <v>1552376376458018</v>
      </c>
      <c r="C2516" t="s">
        <v>40</v>
      </c>
      <c r="D2516">
        <v>4.2617789999999998</v>
      </c>
      <c r="E2516">
        <v>0.48666540000000003</v>
      </c>
      <c r="F2516" t="s">
        <v>62</v>
      </c>
      <c r="G2516">
        <v>-299.19420000000002</v>
      </c>
      <c r="H2516" s="1">
        <v>3.8689310000000001E-6</v>
      </c>
      <c r="I2516">
        <v>284.24700000000001</v>
      </c>
      <c r="J2516">
        <v>-260.09190000000001</v>
      </c>
      <c r="K2516">
        <v>1.110212</v>
      </c>
      <c r="L2516">
        <v>284.00810000000001</v>
      </c>
      <c r="M2516">
        <v>-0.99876050000000005</v>
      </c>
      <c r="N2516">
        <v>0</v>
      </c>
      <c r="O2516">
        <v>4.9661740000000003E-2</v>
      </c>
      <c r="P2516">
        <v>-0.99907120000000005</v>
      </c>
      <c r="Q2516">
        <v>2.7406000000000002E-3</v>
      </c>
      <c r="R2516">
        <v>4.3005500000000002E-2</v>
      </c>
      <c r="S2516">
        <v>-3.0022890000000002</v>
      </c>
      <c r="T2516">
        <v>-8.4594959999999997E-2</v>
      </c>
      <c r="U2516">
        <v>1.928711E-2</v>
      </c>
      <c r="V2516">
        <v>-6.6896769999999998E-3</v>
      </c>
      <c r="W2516">
        <v>6.0651569999999998E-3</v>
      </c>
      <c r="X2516">
        <v>0.99995919999999905</v>
      </c>
      <c r="Y2516">
        <v>-4.3208080000000003E-2</v>
      </c>
      <c r="Z2516">
        <v>-2.0071450000000001E-3</v>
      </c>
      <c r="AA2516">
        <v>0.99906410000000001</v>
      </c>
      <c r="AB2516">
        <v>39</v>
      </c>
      <c r="AC2516">
        <v>-39.1023</v>
      </c>
      <c r="AD2516">
        <v>-1.110208131069</v>
      </c>
      <c r="AE2516">
        <v>0.238900000000001</v>
      </c>
      <c r="AF2516">
        <v>-1.7019219735592399</v>
      </c>
      <c r="AG2516">
        <v>-1.110208131069</v>
      </c>
      <c r="AH2516">
        <v>39.034449572210299</v>
      </c>
      <c r="AI2516">
        <v>91.627607672263593</v>
      </c>
      <c r="AJ2516">
        <v>92.496544123029096</v>
      </c>
      <c r="AK2516">
        <v>39.087304254755203</v>
      </c>
      <c r="AL2516">
        <v>89.652489960702297</v>
      </c>
      <c r="AM2516">
        <v>90.383300179099706</v>
      </c>
      <c r="AN2516">
        <v>0.99999996978621897</v>
      </c>
    </row>
    <row r="2517" spans="1:40" x14ac:dyDescent="0.25">
      <c r="A2517" t="str">
        <f>"20190312153936484"</f>
        <v>20190312153936484</v>
      </c>
      <c r="B2517" t="str">
        <f>"1552376376478513"</f>
        <v>1552376376478513</v>
      </c>
      <c r="C2517" t="s">
        <v>40</v>
      </c>
      <c r="D2517">
        <v>4.2749639999999998</v>
      </c>
      <c r="E2517">
        <v>0.48695519999999998</v>
      </c>
      <c r="F2517" t="s">
        <v>62</v>
      </c>
      <c r="G2517">
        <v>-298.66969999999998</v>
      </c>
      <c r="H2517" s="1">
        <v>3.7744339999999999E-6</v>
      </c>
      <c r="I2517">
        <v>284.26369999999997</v>
      </c>
      <c r="J2517">
        <v>-260.32490000000001</v>
      </c>
      <c r="K2517">
        <v>1.1102730000000001</v>
      </c>
      <c r="L2517">
        <v>284.0188</v>
      </c>
      <c r="M2517">
        <v>-0.99882059999999995</v>
      </c>
      <c r="N2517">
        <v>0</v>
      </c>
      <c r="O2517">
        <v>4.8436390000000003E-2</v>
      </c>
      <c r="P2517">
        <v>-0.99909300000000001</v>
      </c>
      <c r="Q2517">
        <v>2.4046889999999998E-3</v>
      </c>
      <c r="R2517">
        <v>4.2517329999999999E-2</v>
      </c>
      <c r="S2517">
        <v>-3.002167</v>
      </c>
      <c r="T2517">
        <v>-8.6397650000000006E-2</v>
      </c>
      <c r="U2517">
        <v>1.9897459999999999E-2</v>
      </c>
      <c r="V2517">
        <v>-5.9515729999999999E-3</v>
      </c>
      <c r="W2517">
        <v>5.7661850000000001E-3</v>
      </c>
      <c r="X2517">
        <v>0.99996569999999996</v>
      </c>
      <c r="Y2517">
        <v>-4.1778490000000001E-2</v>
      </c>
      <c r="Z2517">
        <v>-1.9941910000000002E-3</v>
      </c>
      <c r="AA2517">
        <v>0.99912489999999998</v>
      </c>
      <c r="AB2517">
        <v>39</v>
      </c>
      <c r="AC2517">
        <v>-38.3447999999999</v>
      </c>
      <c r="AD2517">
        <v>-1.1102692255660001</v>
      </c>
      <c r="AE2517">
        <v>0.244899999999972</v>
      </c>
      <c r="AF2517">
        <v>-1.61133079334597</v>
      </c>
      <c r="AG2517">
        <v>-1.1102692255660001</v>
      </c>
      <c r="AH2517">
        <v>38.279563443913098</v>
      </c>
      <c r="AI2517">
        <v>91.6598850592936</v>
      </c>
      <c r="AJ2517">
        <v>92.410371885316394</v>
      </c>
      <c r="AK2517">
        <v>38.329545550859301</v>
      </c>
      <c r="AL2517">
        <v>89.669620116573</v>
      </c>
      <c r="AM2517">
        <v>90.341007684524598</v>
      </c>
      <c r="AN2517">
        <v>1.0000000356435499</v>
      </c>
    </row>
    <row r="2518" spans="1:40" x14ac:dyDescent="0.25">
      <c r="A2518" t="str">
        <f>"20190312153936496"</f>
        <v>20190312153936496</v>
      </c>
      <c r="B2518" t="str">
        <f>"1552376376488273"</f>
        <v>1552376376488273</v>
      </c>
      <c r="C2518" t="s">
        <v>40</v>
      </c>
      <c r="D2518">
        <v>4.2556830000000003</v>
      </c>
      <c r="E2518">
        <v>0.48714039999999997</v>
      </c>
      <c r="F2518" t="s">
        <v>62</v>
      </c>
      <c r="G2518">
        <v>-298.30020000000002</v>
      </c>
      <c r="H2518" s="1">
        <v>3.7073480000000001E-6</v>
      </c>
      <c r="I2518">
        <v>284.28129999999999</v>
      </c>
      <c r="J2518">
        <v>-260.53120000000001</v>
      </c>
      <c r="K2518">
        <v>1.1103229999999999</v>
      </c>
      <c r="L2518">
        <v>284.02820000000003</v>
      </c>
      <c r="M2518">
        <v>-0.99887320000000002</v>
      </c>
      <c r="N2518">
        <v>0</v>
      </c>
      <c r="O2518">
        <v>4.7334920000000003E-2</v>
      </c>
      <c r="P2518">
        <v>-0.99912330000000005</v>
      </c>
      <c r="Q2518">
        <v>2.6600489999999998E-3</v>
      </c>
      <c r="R2518">
        <v>4.1780339999999999E-2</v>
      </c>
      <c r="S2518">
        <v>-3.002075</v>
      </c>
      <c r="T2518">
        <v>-8.7770580000000001E-2</v>
      </c>
      <c r="U2518">
        <v>2.0751950000000002E-2</v>
      </c>
      <c r="V2518">
        <v>-5.588226E-3</v>
      </c>
      <c r="W2518">
        <v>6.0522830000000003E-3</v>
      </c>
      <c r="X2518">
        <v>0.99996609999999997</v>
      </c>
      <c r="Y2518">
        <v>-4.0391980000000001E-2</v>
      </c>
      <c r="Z2518">
        <v>-1.973495E-3</v>
      </c>
      <c r="AA2518">
        <v>0.99918200000000001</v>
      </c>
      <c r="AB2518">
        <v>39</v>
      </c>
      <c r="AC2518">
        <v>-37.768999999999998</v>
      </c>
      <c r="AD2518">
        <v>-1.110319292652</v>
      </c>
      <c r="AE2518">
        <v>0.25309999999996002</v>
      </c>
      <c r="AF2518">
        <v>-1.5336614307860601</v>
      </c>
      <c r="AG2518">
        <v>-1.110319292652</v>
      </c>
      <c r="AH2518">
        <v>37.706058900370103</v>
      </c>
      <c r="AI2518">
        <v>91.685291987422701</v>
      </c>
      <c r="AJ2518">
        <v>92.329172540374799</v>
      </c>
      <c r="AK2518">
        <v>37.753566773407002</v>
      </c>
      <c r="AL2518">
        <v>89.653227620931304</v>
      </c>
      <c r="AM2518">
        <v>90.320189286111003</v>
      </c>
      <c r="AN2518">
        <v>1.0000000297742699</v>
      </c>
    </row>
    <row r="2519" spans="1:40" x14ac:dyDescent="0.25">
      <c r="A2519" t="str">
        <f>"20190312153936507"</f>
        <v>20190312153936507</v>
      </c>
      <c r="B2519" t="str">
        <f>"1552376376498034"</f>
        <v>1552376376498034</v>
      </c>
      <c r="C2519" t="s">
        <v>40</v>
      </c>
      <c r="D2519">
        <v>4.3031410000000001</v>
      </c>
      <c r="E2519">
        <v>0.48713299999999998</v>
      </c>
      <c r="F2519" t="s">
        <v>62</v>
      </c>
      <c r="G2519">
        <v>-298.73360000000002</v>
      </c>
      <c r="H2519" s="1">
        <v>3.7839249999999999E-6</v>
      </c>
      <c r="I2519">
        <v>284.28489999999999</v>
      </c>
      <c r="J2519">
        <v>-260.73700000000002</v>
      </c>
      <c r="K2519">
        <v>1.110368</v>
      </c>
      <c r="L2519">
        <v>284.03719999999998</v>
      </c>
      <c r="M2519">
        <v>-0.99892579999999997</v>
      </c>
      <c r="N2519">
        <v>0</v>
      </c>
      <c r="O2519">
        <v>4.6211330000000002E-2</v>
      </c>
      <c r="P2519">
        <v>-0.99914420000000004</v>
      </c>
      <c r="Q2519">
        <v>2.638769E-3</v>
      </c>
      <c r="R2519">
        <v>4.1281699999999998E-2</v>
      </c>
      <c r="S2519">
        <v>-3.002014</v>
      </c>
      <c r="T2519">
        <v>-8.7250830000000001E-2</v>
      </c>
      <c r="U2519">
        <v>2.0172120000000002E-2</v>
      </c>
      <c r="V2519">
        <v>-4.9631129999999999E-3</v>
      </c>
      <c r="W2519">
        <v>6.0618190000000004E-3</v>
      </c>
      <c r="X2519">
        <v>0.99996929999999995</v>
      </c>
      <c r="Y2519">
        <v>-3.9462190000000001E-2</v>
      </c>
      <c r="Z2519">
        <v>-1.915728E-3</v>
      </c>
      <c r="AA2519">
        <v>0.99921919999999997</v>
      </c>
      <c r="AB2519">
        <v>39</v>
      </c>
      <c r="AC2519">
        <v>-37.996600000000001</v>
      </c>
      <c r="AD2519">
        <v>-1.110364216075</v>
      </c>
      <c r="AE2519">
        <v>0.247700000000008</v>
      </c>
      <c r="AF2519">
        <v>-1.5071613574104099</v>
      </c>
      <c r="AG2519">
        <v>-1.110364216075</v>
      </c>
      <c r="AH2519">
        <v>37.935059891531502</v>
      </c>
      <c r="AI2519">
        <v>91.675255450384796</v>
      </c>
      <c r="AJ2519">
        <v>92.275166881519397</v>
      </c>
      <c r="AK2519">
        <v>37.98122184743</v>
      </c>
      <c r="AL2519">
        <v>89.652681224397398</v>
      </c>
      <c r="AM2519">
        <v>90.284371823376304</v>
      </c>
      <c r="AN2519">
        <v>0.99999998954136404</v>
      </c>
    </row>
    <row r="2520" spans="1:40" x14ac:dyDescent="0.25">
      <c r="A2520" t="str">
        <f>"20190312153936521"</f>
        <v>20190312153936521</v>
      </c>
      <c r="B2520" t="str">
        <f>"1552376376508770"</f>
        <v>1552376376508770</v>
      </c>
      <c r="C2520" t="s">
        <v>40</v>
      </c>
      <c r="D2520">
        <v>4.3134880000000004</v>
      </c>
      <c r="E2520">
        <v>0.48717139999999998</v>
      </c>
      <c r="F2520" t="s">
        <v>62</v>
      </c>
      <c r="G2520">
        <v>-297.83089999999999</v>
      </c>
      <c r="H2520" s="1">
        <v>3.6256099999999999E-6</v>
      </c>
      <c r="I2520">
        <v>284.26420000000002</v>
      </c>
      <c r="J2520">
        <v>-260.96449999999999</v>
      </c>
      <c r="K2520">
        <v>1.1104160000000001</v>
      </c>
      <c r="L2520">
        <v>284.04689999999999</v>
      </c>
      <c r="M2520">
        <v>-0.99898279999999995</v>
      </c>
      <c r="N2520">
        <v>0</v>
      </c>
      <c r="O2520">
        <v>4.4959659999999999E-2</v>
      </c>
      <c r="P2520">
        <v>-0.9991776</v>
      </c>
      <c r="Q2520">
        <v>2.6106049999999998E-3</v>
      </c>
      <c r="R2520">
        <v>4.0466349999999998E-2</v>
      </c>
      <c r="S2520">
        <v>-3.0020449999999999</v>
      </c>
      <c r="T2520">
        <v>-8.9862819999999996E-2</v>
      </c>
      <c r="U2520">
        <v>1.8371579999999998E-2</v>
      </c>
      <c r="V2520">
        <v>-4.5268180000000002E-3</v>
      </c>
      <c r="W2520">
        <v>6.0661100000000004E-3</v>
      </c>
      <c r="X2520">
        <v>0.99997130000000001</v>
      </c>
      <c r="Y2520">
        <v>-3.8808189999999999E-2</v>
      </c>
      <c r="Z2520">
        <v>-1.9258280000000001E-3</v>
      </c>
      <c r="AA2520">
        <v>0.99924480000000004</v>
      </c>
      <c r="AB2520">
        <v>39</v>
      </c>
      <c r="AC2520">
        <v>-36.866399999999999</v>
      </c>
      <c r="AD2520">
        <v>-1.1104123743899901</v>
      </c>
      <c r="AE2520">
        <v>0.217300000000022</v>
      </c>
      <c r="AF2520">
        <v>-1.43912494440587</v>
      </c>
      <c r="AG2520">
        <v>-1.1104123743899901</v>
      </c>
      <c r="AH2520">
        <v>36.805501056200498</v>
      </c>
      <c r="AI2520">
        <v>91.726755865227105</v>
      </c>
      <c r="AJ2520">
        <v>92.239170780459602</v>
      </c>
      <c r="AK2520">
        <v>36.850359621648003</v>
      </c>
      <c r="AL2520">
        <v>89.652435348306895</v>
      </c>
      <c r="AM2520">
        <v>90.259373238295396</v>
      </c>
      <c r="AN2520">
        <v>0.99999994529771197</v>
      </c>
    </row>
    <row r="2521" spans="1:40" x14ac:dyDescent="0.25">
      <c r="A2521" t="str">
        <f>"20190312153936540"</f>
        <v>20190312153936540</v>
      </c>
      <c r="B2521" t="str">
        <f>"1552376376528290"</f>
        <v>1552376376528290</v>
      </c>
      <c r="C2521" t="s">
        <v>40</v>
      </c>
      <c r="D2521">
        <v>4.3066589999999998</v>
      </c>
      <c r="E2521">
        <v>0.48743300000000001</v>
      </c>
      <c r="F2521" t="s">
        <v>62</v>
      </c>
      <c r="G2521">
        <v>-297.02760000000001</v>
      </c>
      <c r="H2521" s="1">
        <v>3.4851279999999998E-6</v>
      </c>
      <c r="I2521">
        <v>284.24119999999999</v>
      </c>
      <c r="J2521">
        <v>-261.29759999999999</v>
      </c>
      <c r="K2521">
        <v>1.110473</v>
      </c>
      <c r="L2521">
        <v>284.06060000000002</v>
      </c>
      <c r="M2521">
        <v>-0.99906479999999998</v>
      </c>
      <c r="N2521">
        <v>0</v>
      </c>
      <c r="O2521">
        <v>4.309897E-2</v>
      </c>
      <c r="P2521">
        <v>-0.99924049999999998</v>
      </c>
      <c r="Q2521">
        <v>2.6435270000000001E-3</v>
      </c>
      <c r="R2521">
        <v>3.8883889999999997E-2</v>
      </c>
      <c r="S2521">
        <v>-3.0020449999999999</v>
      </c>
      <c r="T2521">
        <v>-9.2435359999999994E-2</v>
      </c>
      <c r="U2521">
        <v>1.6174319999999999E-2</v>
      </c>
      <c r="V2521">
        <v>-4.2497819999999997E-3</v>
      </c>
      <c r="W2521">
        <v>6.143356E-3</v>
      </c>
      <c r="X2521">
        <v>0.99997210000000003</v>
      </c>
      <c r="Y2521">
        <v>-3.7677660000000002E-2</v>
      </c>
      <c r="Z2521">
        <v>-1.90631E-3</v>
      </c>
      <c r="AA2521">
        <v>0.99928810000000001</v>
      </c>
      <c r="AB2521">
        <v>39</v>
      </c>
      <c r="AC2521">
        <v>-35.729999999999997</v>
      </c>
      <c r="AD2521">
        <v>-1.1104695148720001</v>
      </c>
      <c r="AE2521">
        <v>0.18059999999996901</v>
      </c>
      <c r="AF2521">
        <v>-1.3581913660248099</v>
      </c>
      <c r="AG2521">
        <v>-1.1104695148720001</v>
      </c>
      <c r="AH2521">
        <v>35.670129186755801</v>
      </c>
      <c r="AI2521">
        <v>91.7818451295214</v>
      </c>
      <c r="AJ2521">
        <v>92.180565643008904</v>
      </c>
      <c r="AK2521">
        <v>35.713246037430601</v>
      </c>
      <c r="AL2521">
        <v>89.648009415456599</v>
      </c>
      <c r="AM2521">
        <v>90.243499900142098</v>
      </c>
      <c r="AN2521">
        <v>1.0000000011242001</v>
      </c>
    </row>
    <row r="2522" spans="1:40" x14ac:dyDescent="0.25">
      <c r="A2522" t="str">
        <f>"20190312153936564"</f>
        <v>20190312153936564</v>
      </c>
      <c r="B2522" t="str">
        <f>"1552376376558546"</f>
        <v>1552376376558546</v>
      </c>
      <c r="C2522" t="s">
        <v>40</v>
      </c>
      <c r="D2522">
        <v>4.2810499999999996</v>
      </c>
      <c r="E2522">
        <v>0.48782249999999999</v>
      </c>
      <c r="F2522" t="s">
        <v>62</v>
      </c>
      <c r="G2522">
        <v>-297.8784</v>
      </c>
      <c r="H2522" s="1">
        <v>3.637005E-6</v>
      </c>
      <c r="I2522">
        <v>284.23020000000002</v>
      </c>
      <c r="J2522">
        <v>-261.69990000000001</v>
      </c>
      <c r="K2522">
        <v>1.110533</v>
      </c>
      <c r="L2522">
        <v>284.0763</v>
      </c>
      <c r="M2522">
        <v>-0.99916020000000005</v>
      </c>
      <c r="N2522">
        <v>0</v>
      </c>
      <c r="O2522">
        <v>4.0822240000000003E-2</v>
      </c>
      <c r="P2522">
        <v>-0.99932120000000002</v>
      </c>
      <c r="Q2522">
        <v>2.0192259999999998E-3</v>
      </c>
      <c r="R2522">
        <v>3.6790160000000002E-2</v>
      </c>
      <c r="S2522">
        <v>-3.0019840000000002</v>
      </c>
      <c r="T2522">
        <v>-9.1130020000000006E-2</v>
      </c>
      <c r="U2522">
        <v>1.3916019999999999E-2</v>
      </c>
      <c r="V2522">
        <v>-4.063835E-3</v>
      </c>
      <c r="W2522">
        <v>5.5692550000000004E-3</v>
      </c>
      <c r="X2522">
        <v>0.99997619999999998</v>
      </c>
      <c r="Y2522">
        <v>-3.615492E-2</v>
      </c>
      <c r="Z2522">
        <v>-1.787294E-3</v>
      </c>
      <c r="AA2522">
        <v>0.99934460000000003</v>
      </c>
      <c r="AB2522">
        <v>39</v>
      </c>
      <c r="AC2522">
        <v>-36.1784999999999</v>
      </c>
      <c r="AD2522">
        <v>-1.1105293629949999</v>
      </c>
      <c r="AE2522">
        <v>0.15390000000002099</v>
      </c>
      <c r="AF2522">
        <v>-1.32187938680453</v>
      </c>
      <c r="AG2522">
        <v>-1.1105293629949999</v>
      </c>
      <c r="AH2522">
        <v>36.12059126151</v>
      </c>
      <c r="AI2522">
        <v>91.759829519786905</v>
      </c>
      <c r="AJ2522">
        <v>92.095877245554405</v>
      </c>
      <c r="AK2522">
        <v>36.161827299797899</v>
      </c>
      <c r="AL2522">
        <v>89.680903533043704</v>
      </c>
      <c r="AM2522">
        <v>90.232844854028301</v>
      </c>
      <c r="AN2522">
        <v>0.99999996596130003</v>
      </c>
    </row>
    <row r="2523" spans="1:40" x14ac:dyDescent="0.25">
      <c r="A2523" t="str">
        <f>"20190312153936576"</f>
        <v>20190312153936576</v>
      </c>
      <c r="B2523" t="str">
        <f>"1552376376568305"</f>
        <v>1552376376568305</v>
      </c>
      <c r="C2523" t="s">
        <v>40</v>
      </c>
      <c r="D2523">
        <v>4.2899659999999997</v>
      </c>
      <c r="E2523">
        <v>0.48791709999999999</v>
      </c>
      <c r="F2523" t="s">
        <v>62</v>
      </c>
      <c r="G2523">
        <v>-298.13850000000002</v>
      </c>
      <c r="H2523" s="1">
        <v>3.6854910000000001E-6</v>
      </c>
      <c r="I2523">
        <v>284.20330000000001</v>
      </c>
      <c r="J2523">
        <v>-261.95</v>
      </c>
      <c r="K2523">
        <v>1.1105700000000001</v>
      </c>
      <c r="L2523">
        <v>284.0856</v>
      </c>
      <c r="M2523">
        <v>-0.99921729999999997</v>
      </c>
      <c r="N2523">
        <v>0</v>
      </c>
      <c r="O2523">
        <v>3.9397290000000001E-2</v>
      </c>
      <c r="P2523">
        <v>-0.99938139999999998</v>
      </c>
      <c r="Q2523">
        <v>2.010548E-3</v>
      </c>
      <c r="R2523">
        <v>3.511396E-2</v>
      </c>
      <c r="S2523">
        <v>-3.001862</v>
      </c>
      <c r="T2523">
        <v>-9.1486929999999994E-2</v>
      </c>
      <c r="U2523">
        <v>1.0467529999999999E-2</v>
      </c>
      <c r="V2523">
        <v>-4.3160739999999996E-3</v>
      </c>
      <c r="W2523">
        <v>5.588328E-3</v>
      </c>
      <c r="X2523">
        <v>0.99997510000000001</v>
      </c>
      <c r="Y2523">
        <v>-3.587808E-2</v>
      </c>
      <c r="Z2523">
        <v>-1.746767E-3</v>
      </c>
      <c r="AA2523">
        <v>0.99935469999999904</v>
      </c>
      <c r="AB2523">
        <v>40</v>
      </c>
      <c r="AC2523">
        <v>-36.188499999999998</v>
      </c>
      <c r="AD2523">
        <v>-1.1105663145089999</v>
      </c>
      <c r="AE2523">
        <v>0.117700000000013</v>
      </c>
      <c r="AF2523">
        <v>-1.3068984278118501</v>
      </c>
      <c r="AG2523">
        <v>-1.1105663145089999</v>
      </c>
      <c r="AH2523">
        <v>36.131013924266199</v>
      </c>
      <c r="AI2523">
        <v>91.759407850292305</v>
      </c>
      <c r="AJ2523">
        <v>92.071548107222299</v>
      </c>
      <c r="AK2523">
        <v>36.171694848804798</v>
      </c>
      <c r="AL2523">
        <v>89.679810733866304</v>
      </c>
      <c r="AM2523">
        <v>90.247297446348895</v>
      </c>
      <c r="AN2523">
        <v>1.0000000292622999</v>
      </c>
    </row>
    <row r="2524" spans="1:40" x14ac:dyDescent="0.25">
      <c r="A2524" t="str">
        <f>"20190312153936595"</f>
        <v>20190312153936595</v>
      </c>
      <c r="B2524" t="str">
        <f>"1552376376588619"</f>
        <v>1552376376588619</v>
      </c>
      <c r="C2524" t="s">
        <v>40</v>
      </c>
      <c r="D2524">
        <v>4.3356339999999998</v>
      </c>
      <c r="E2524">
        <v>0.48784139999999998</v>
      </c>
      <c r="F2524" t="s">
        <v>62</v>
      </c>
      <c r="G2524">
        <v>-298.47160000000002</v>
      </c>
      <c r="H2524" s="1">
        <v>3.7484789999999998E-6</v>
      </c>
      <c r="I2524">
        <v>284.15879999999999</v>
      </c>
      <c r="J2524">
        <v>-262.27640000000002</v>
      </c>
      <c r="K2524">
        <v>1.110611</v>
      </c>
      <c r="L2524">
        <v>284.09719999999999</v>
      </c>
      <c r="M2524">
        <v>-0.99928899999999998</v>
      </c>
      <c r="N2524">
        <v>0</v>
      </c>
      <c r="O2524">
        <v>3.7527829999999998E-2</v>
      </c>
      <c r="P2524">
        <v>-0.99945539999999999</v>
      </c>
      <c r="Q2524">
        <v>1.6877140000000001E-3</v>
      </c>
      <c r="R2524">
        <v>3.2963199999999998E-2</v>
      </c>
      <c r="S2524">
        <v>-3.0018310000000001</v>
      </c>
      <c r="T2524">
        <v>-9.1281059999999997E-2</v>
      </c>
      <c r="U2524">
        <v>6.0119630000000004E-3</v>
      </c>
      <c r="V2524">
        <v>-4.5959779999999997E-3</v>
      </c>
      <c r="W2524">
        <v>5.3017530000000002E-3</v>
      </c>
      <c r="X2524">
        <v>0.99997539999999996</v>
      </c>
      <c r="Y2524">
        <v>-3.5492919999999997E-2</v>
      </c>
      <c r="Z2524">
        <v>-1.6802119999999999E-3</v>
      </c>
      <c r="AA2524">
        <v>0.99936849999999999</v>
      </c>
      <c r="AB2524">
        <v>40</v>
      </c>
      <c r="AC2524">
        <v>-36.1952</v>
      </c>
      <c r="AD2524">
        <v>-1.1106072515209999</v>
      </c>
      <c r="AE2524">
        <v>6.1599999999998503E-2</v>
      </c>
      <c r="AF2524">
        <v>-1.2955598780472399</v>
      </c>
      <c r="AG2524">
        <v>-1.1106072515209999</v>
      </c>
      <c r="AH2524">
        <v>36.137991155496799</v>
      </c>
      <c r="AI2524">
        <v>91.759153451666094</v>
      </c>
      <c r="AJ2524">
        <v>92.053194820104494</v>
      </c>
      <c r="AK2524">
        <v>36.178257678051601</v>
      </c>
      <c r="AL2524">
        <v>89.696230510870706</v>
      </c>
      <c r="AM2524">
        <v>90.263334765993704</v>
      </c>
      <c r="AN2524">
        <v>1.0000000161019</v>
      </c>
    </row>
    <row r="2525" spans="1:40" x14ac:dyDescent="0.25">
      <c r="A2525" t="str">
        <f>"20190312153936607"</f>
        <v>20190312153936607</v>
      </c>
      <c r="B2525" t="str">
        <f>"1552376376598379"</f>
        <v>1552376376598379</v>
      </c>
      <c r="C2525" t="s">
        <v>40</v>
      </c>
      <c r="D2525">
        <v>4.3678290000000004</v>
      </c>
      <c r="E2525">
        <v>0.48789310000000002</v>
      </c>
      <c r="F2525" t="s">
        <v>62</v>
      </c>
      <c r="G2525">
        <v>-297.89530000000002</v>
      </c>
      <c r="H2525" s="1">
        <v>3.6526800000000001E-6</v>
      </c>
      <c r="I2525">
        <v>284.08519999999999</v>
      </c>
      <c r="J2525">
        <v>-262.5018</v>
      </c>
      <c r="K2525">
        <v>1.1106339999999999</v>
      </c>
      <c r="L2525">
        <v>284.10480000000001</v>
      </c>
      <c r="M2525">
        <v>-0.99933669999999997</v>
      </c>
      <c r="N2525">
        <v>0</v>
      </c>
      <c r="O2525">
        <v>3.6234490000000001E-2</v>
      </c>
      <c r="P2525">
        <v>-0.99950879999999998</v>
      </c>
      <c r="Q2525">
        <v>1.678075E-3</v>
      </c>
      <c r="R2525">
        <v>3.1296659999999997E-2</v>
      </c>
      <c r="S2525">
        <v>-3.001862</v>
      </c>
      <c r="T2525">
        <v>-9.3598959999999995E-2</v>
      </c>
      <c r="U2525">
        <v>-1.00708E-3</v>
      </c>
      <c r="V2525">
        <v>-4.9698090000000004E-3</v>
      </c>
      <c r="W2525">
        <v>5.3155800000000003E-3</v>
      </c>
      <c r="X2525">
        <v>0.99997349999999996</v>
      </c>
      <c r="Y2525">
        <v>-3.6534629999999998E-2</v>
      </c>
      <c r="Z2525">
        <v>-1.698794E-3</v>
      </c>
      <c r="AA2525">
        <v>0.99933090000000002</v>
      </c>
      <c r="AB2525">
        <v>40</v>
      </c>
      <c r="AC2525">
        <v>-35.393500000000003</v>
      </c>
      <c r="AD2525">
        <v>-1.1106303473200001</v>
      </c>
      <c r="AE2525">
        <v>-1.9600000000025299E-2</v>
      </c>
      <c r="AF2525">
        <v>-1.3007801861433701</v>
      </c>
      <c r="AG2525">
        <v>-1.1106303473200001</v>
      </c>
      <c r="AH2525">
        <v>35.334753951079598</v>
      </c>
      <c r="AI2525">
        <v>91.7990915025688</v>
      </c>
      <c r="AJ2525">
        <v>92.108280556854893</v>
      </c>
      <c r="AK2525">
        <v>35.376127058291502</v>
      </c>
      <c r="AL2525">
        <v>89.695438259234194</v>
      </c>
      <c r="AM2525">
        <v>90.2847542822457</v>
      </c>
      <c r="AN2525">
        <v>0.99999997754724101</v>
      </c>
    </row>
    <row r="2526" spans="1:40" x14ac:dyDescent="0.25">
      <c r="A2526" t="str">
        <f>"20190312153936619"</f>
        <v>20190312153936619</v>
      </c>
      <c r="B2526" t="str">
        <f>"1552376376608139"</f>
        <v>1552376376608139</v>
      </c>
      <c r="C2526" t="s">
        <v>40</v>
      </c>
      <c r="D2526">
        <v>4.3454930000000003</v>
      </c>
      <c r="E2526">
        <v>0.48791639999999997</v>
      </c>
      <c r="F2526" t="s">
        <v>62</v>
      </c>
      <c r="G2526">
        <v>-297.8963</v>
      </c>
      <c r="H2526" s="1">
        <v>3.6569090000000001E-6</v>
      </c>
      <c r="I2526">
        <v>284.03890000000001</v>
      </c>
      <c r="J2526">
        <v>-262.71140000000003</v>
      </c>
      <c r="K2526">
        <v>1.1106560000000001</v>
      </c>
      <c r="L2526">
        <v>284.11169999999998</v>
      </c>
      <c r="M2526">
        <v>-0.99937940000000003</v>
      </c>
      <c r="N2526">
        <v>0</v>
      </c>
      <c r="O2526">
        <v>3.5030699999999998E-2</v>
      </c>
      <c r="P2526">
        <v>-0.99955680000000002</v>
      </c>
      <c r="Q2526">
        <v>1.8028269999999999E-3</v>
      </c>
      <c r="R2526">
        <v>2.971474E-2</v>
      </c>
      <c r="S2526">
        <v>-3.0018310000000001</v>
      </c>
      <c r="T2526">
        <v>-9.4193100000000002E-2</v>
      </c>
      <c r="U2526">
        <v>-5.5847170000000003E-3</v>
      </c>
      <c r="V2526">
        <v>-5.3493569999999999E-3</v>
      </c>
      <c r="W2526">
        <v>5.4614919999999897E-3</v>
      </c>
      <c r="X2526">
        <v>0.99997080000000005</v>
      </c>
      <c r="Y2526">
        <v>-3.68548E-2</v>
      </c>
      <c r="Z2526">
        <v>-1.6768709999999999E-3</v>
      </c>
      <c r="AA2526">
        <v>0.99931919999999996</v>
      </c>
      <c r="AB2526">
        <v>40</v>
      </c>
      <c r="AC2526">
        <v>-35.184899999999899</v>
      </c>
      <c r="AD2526">
        <v>-1.11065234309099</v>
      </c>
      <c r="AE2526">
        <v>-7.2799999999972401E-2</v>
      </c>
      <c r="AF2526">
        <v>-1.30401606958306</v>
      </c>
      <c r="AG2526">
        <v>-1.11065234309099</v>
      </c>
      <c r="AH2526">
        <v>35.125754300583402</v>
      </c>
      <c r="AI2526">
        <v>91.8098041137265</v>
      </c>
      <c r="AJ2526">
        <v>92.126084491796902</v>
      </c>
      <c r="AK2526">
        <v>35.1674938220212</v>
      </c>
      <c r="AL2526">
        <v>89.687078009850197</v>
      </c>
      <c r="AM2526">
        <v>90.306501605414695</v>
      </c>
      <c r="AN2526">
        <v>1.0000000221839001</v>
      </c>
    </row>
    <row r="2527" spans="1:40" x14ac:dyDescent="0.25">
      <c r="A2527" t="str">
        <f>"20190312153936630"</f>
        <v>20190312153936630</v>
      </c>
      <c r="B2527" t="str">
        <f>"1552376376628635"</f>
        <v>1552376376628635</v>
      </c>
      <c r="C2527" t="s">
        <v>40</v>
      </c>
      <c r="D2527">
        <v>4.34246</v>
      </c>
      <c r="E2527">
        <v>0.48804199999999998</v>
      </c>
      <c r="F2527" t="s">
        <v>62</v>
      </c>
      <c r="G2527">
        <v>-297.56420000000003</v>
      </c>
      <c r="H2527" s="1">
        <v>3.6019409999999998E-6</v>
      </c>
      <c r="I2527">
        <v>283.99369999999999</v>
      </c>
      <c r="J2527">
        <v>-262.92079999999999</v>
      </c>
      <c r="K2527">
        <v>1.110679</v>
      </c>
      <c r="L2527">
        <v>284.11829999999998</v>
      </c>
      <c r="M2527">
        <v>-0.9994208</v>
      </c>
      <c r="N2527">
        <v>0</v>
      </c>
      <c r="O2527">
        <v>3.3827830000000003E-2</v>
      </c>
      <c r="P2527">
        <v>-0.99958630000000004</v>
      </c>
      <c r="Q2527">
        <v>2.0392549999999998E-3</v>
      </c>
      <c r="R2527">
        <v>2.8692200000000001E-2</v>
      </c>
      <c r="S2527">
        <v>-3.0018009999999999</v>
      </c>
      <c r="T2527">
        <v>-9.5658419999999994E-2</v>
      </c>
      <c r="U2527">
        <v>-1.0162350000000001E-2</v>
      </c>
      <c r="V2527">
        <v>-5.1695869999999998E-3</v>
      </c>
      <c r="W2527">
        <v>5.7213639999999996E-3</v>
      </c>
      <c r="X2527">
        <v>0.99997029999999998</v>
      </c>
      <c r="Y2527">
        <v>-3.7175300000000001E-2</v>
      </c>
      <c r="Z2527">
        <v>-1.6697649999999999E-3</v>
      </c>
      <c r="AA2527">
        <v>0.99930739999999996</v>
      </c>
      <c r="AB2527">
        <v>40</v>
      </c>
      <c r="AC2527">
        <v>-34.6434</v>
      </c>
      <c r="AD2527">
        <v>-1.1106753980590001</v>
      </c>
      <c r="AE2527">
        <v>-0.124599999999986</v>
      </c>
      <c r="AF2527">
        <v>-1.29511660645599</v>
      </c>
      <c r="AG2527">
        <v>-1.1106753980590001</v>
      </c>
      <c r="AH2527">
        <v>34.583810672889904</v>
      </c>
      <c r="AI2527">
        <v>91.838161180512699</v>
      </c>
      <c r="AJ2527">
        <v>92.144646729204098</v>
      </c>
      <c r="AK2527">
        <v>34.625870205995803</v>
      </c>
      <c r="AL2527">
        <v>89.672188211048507</v>
      </c>
      <c r="AM2527">
        <v>90.296201675429202</v>
      </c>
      <c r="AN2527">
        <v>1.00000002975893</v>
      </c>
    </row>
    <row r="2528" spans="1:40" x14ac:dyDescent="0.25">
      <c r="A2528" t="str">
        <f>"20190312153936650"</f>
        <v>20190312153936650</v>
      </c>
      <c r="B2528" t="str">
        <f>"1552376376638395"</f>
        <v>1552376376638395</v>
      </c>
      <c r="C2528" t="s">
        <v>40</v>
      </c>
      <c r="D2528">
        <v>4.3162240000000001</v>
      </c>
      <c r="E2528">
        <v>0.48804199999999998</v>
      </c>
      <c r="F2528" t="s">
        <v>62</v>
      </c>
      <c r="G2528">
        <v>-296.99880000000002</v>
      </c>
      <c r="H2528" s="1">
        <v>3.5032490000000001E-6</v>
      </c>
      <c r="I2528">
        <v>283.97550000000001</v>
      </c>
      <c r="J2528">
        <v>-263.25599999999997</v>
      </c>
      <c r="K2528">
        <v>1.1107180000000001</v>
      </c>
      <c r="L2528">
        <v>284.12830000000002</v>
      </c>
      <c r="M2528">
        <v>-0.99948400000000004</v>
      </c>
      <c r="N2528">
        <v>0</v>
      </c>
      <c r="O2528">
        <v>3.190076E-2</v>
      </c>
      <c r="P2528">
        <v>-0.99964509999999995</v>
      </c>
      <c r="Q2528">
        <v>2.6840800000000001E-3</v>
      </c>
      <c r="R2528">
        <v>2.650599E-2</v>
      </c>
      <c r="S2528">
        <v>-3.00177</v>
      </c>
      <c r="T2528">
        <v>-9.7833989999999996E-2</v>
      </c>
      <c r="U2528">
        <v>-1.2573239999999999E-2</v>
      </c>
      <c r="V2528">
        <v>-5.4332470000000004E-3</v>
      </c>
      <c r="W2528">
        <v>6.4013200000000003E-3</v>
      </c>
      <c r="X2528">
        <v>0.99996479999999999</v>
      </c>
      <c r="Y2528">
        <v>-3.6051069999999998E-2</v>
      </c>
      <c r="Z2528">
        <v>-1.626656E-3</v>
      </c>
      <c r="AA2528">
        <v>0.99934860000000003</v>
      </c>
      <c r="AB2528">
        <v>40</v>
      </c>
      <c r="AC2528">
        <v>-33.742800000000003</v>
      </c>
      <c r="AD2528">
        <v>-1.1107144967510001</v>
      </c>
      <c r="AE2528">
        <v>-0.15280000000001301</v>
      </c>
      <c r="AF2528">
        <v>-1.2278204118720299</v>
      </c>
      <c r="AG2528">
        <v>-1.1107144967510001</v>
      </c>
      <c r="AH2528">
        <v>33.684254299111203</v>
      </c>
      <c r="AI2528">
        <v>91.887351062492002</v>
      </c>
      <c r="AJ2528">
        <v>92.087556846222796</v>
      </c>
      <c r="AK2528">
        <v>33.724919827099598</v>
      </c>
      <c r="AL2528">
        <v>89.633228893829894</v>
      </c>
      <c r="AM2528">
        <v>90.311310016872397</v>
      </c>
      <c r="AN2528">
        <v>1.00000004915487</v>
      </c>
    </row>
    <row r="2529" spans="1:40" x14ac:dyDescent="0.25">
      <c r="A2529" t="str">
        <f>"20190312153936661"</f>
        <v>20190312153936661</v>
      </c>
      <c r="B2529" t="str">
        <f>"1552376376648156"</f>
        <v>1552376376648156</v>
      </c>
      <c r="C2529" t="s">
        <v>40</v>
      </c>
      <c r="D2529">
        <v>4.3766480000000003</v>
      </c>
      <c r="E2529">
        <v>0.48810710000000002</v>
      </c>
      <c r="F2529" t="s">
        <v>62</v>
      </c>
      <c r="G2529">
        <v>-298.03039999999999</v>
      </c>
      <c r="H2529" s="1">
        <v>3.6922489999999999E-6</v>
      </c>
      <c r="I2529">
        <v>283.9067</v>
      </c>
      <c r="J2529">
        <v>-263.46120000000002</v>
      </c>
      <c r="K2529">
        <v>1.1107400000000001</v>
      </c>
      <c r="L2529">
        <v>284.13420000000002</v>
      </c>
      <c r="M2529">
        <v>-0.99952090000000005</v>
      </c>
      <c r="N2529">
        <v>0</v>
      </c>
      <c r="O2529">
        <v>3.0721399999999999E-2</v>
      </c>
      <c r="P2529">
        <v>-0.99967399999999995</v>
      </c>
      <c r="Q2529">
        <v>3.047021E-3</v>
      </c>
      <c r="R2529">
        <v>2.535099E-2</v>
      </c>
      <c r="S2529">
        <v>-3.0018310000000001</v>
      </c>
      <c r="T2529">
        <v>-9.5880389999999996E-2</v>
      </c>
      <c r="U2529">
        <v>-1.9134519999999999E-2</v>
      </c>
      <c r="V2529">
        <v>-5.4112989999999996E-3</v>
      </c>
      <c r="W2529">
        <v>6.7856440000000004E-3</v>
      </c>
      <c r="X2529">
        <v>0.99996229999999997</v>
      </c>
      <c r="Y2529">
        <v>-3.705758E-2</v>
      </c>
      <c r="Z2529">
        <v>-1.572581E-3</v>
      </c>
      <c r="AA2529">
        <v>0.99931190000000003</v>
      </c>
      <c r="AB2529">
        <v>40</v>
      </c>
      <c r="AC2529">
        <v>-34.569199999999903</v>
      </c>
      <c r="AD2529">
        <v>-1.110736307751</v>
      </c>
      <c r="AE2529">
        <v>-0.22750000000001999</v>
      </c>
      <c r="AF2529">
        <v>-1.2880846120962199</v>
      </c>
      <c r="AG2529">
        <v>-1.110736307751</v>
      </c>
      <c r="AH2529">
        <v>34.510266998334103</v>
      </c>
      <c r="AI2529">
        <v>91.842185198272503</v>
      </c>
      <c r="AJ2529">
        <v>92.137554272534203</v>
      </c>
      <c r="AK2529">
        <v>34.552155148551599</v>
      </c>
      <c r="AL2529">
        <v>89.611208239941206</v>
      </c>
      <c r="AM2529">
        <v>90.3100532569579</v>
      </c>
      <c r="AN2529">
        <v>0.99999996427132498</v>
      </c>
    </row>
    <row r="2530" spans="1:40" x14ac:dyDescent="0.25">
      <c r="A2530" t="str">
        <f>"20190312153936672"</f>
        <v>20190312153936672</v>
      </c>
      <c r="B2530" t="str">
        <f>"1552376376668651"</f>
        <v>1552376376668651</v>
      </c>
      <c r="C2530" t="s">
        <v>40</v>
      </c>
      <c r="D2530">
        <v>4.3235590000000004</v>
      </c>
      <c r="E2530">
        <v>0.48823519999999998</v>
      </c>
      <c r="F2530" t="s">
        <v>62</v>
      </c>
      <c r="G2530">
        <v>-298.64139999999998</v>
      </c>
      <c r="H2530" s="1">
        <v>3.8032790000000001E-6</v>
      </c>
      <c r="I2530">
        <v>283.87630000000001</v>
      </c>
      <c r="J2530">
        <v>-263.67259999999999</v>
      </c>
      <c r="K2530">
        <v>1.1107629999999999</v>
      </c>
      <c r="L2530">
        <v>284.13990000000001</v>
      </c>
      <c r="M2530">
        <v>-0.99955740000000004</v>
      </c>
      <c r="N2530">
        <v>0</v>
      </c>
      <c r="O2530">
        <v>2.950711E-2</v>
      </c>
      <c r="P2530">
        <v>-0.99970780000000004</v>
      </c>
      <c r="Q2530">
        <v>3.350114E-3</v>
      </c>
      <c r="R2530">
        <v>2.394025E-2</v>
      </c>
      <c r="S2530">
        <v>-3.0018009999999999</v>
      </c>
      <c r="T2530">
        <v>-9.4775440000000002E-2</v>
      </c>
      <c r="U2530">
        <v>-2.2003169999999999E-2</v>
      </c>
      <c r="V2530">
        <v>-5.6096430000000001E-3</v>
      </c>
      <c r="W2530">
        <v>7.1098840000000003E-3</v>
      </c>
      <c r="X2530">
        <v>0.99995900000000004</v>
      </c>
      <c r="Y2530">
        <v>-3.6800100000000002E-2</v>
      </c>
      <c r="Z2530">
        <v>-1.5120999999999999E-3</v>
      </c>
      <c r="AA2530">
        <v>0.99932149999999997</v>
      </c>
      <c r="AB2530">
        <v>40</v>
      </c>
      <c r="AC2530">
        <v>-34.968799999999902</v>
      </c>
      <c r="AD2530">
        <v>-1.110759196721</v>
      </c>
      <c r="AE2530">
        <v>-0.263599999999996</v>
      </c>
      <c r="AF2530">
        <v>-1.29401529397452</v>
      </c>
      <c r="AG2530">
        <v>-1.110759196721</v>
      </c>
      <c r="AH2530">
        <v>34.910573472282003</v>
      </c>
      <c r="AI2530">
        <v>91.821130805412594</v>
      </c>
      <c r="AJ2530">
        <v>92.122786319846796</v>
      </c>
      <c r="AK2530">
        <v>34.952201672251498</v>
      </c>
      <c r="AL2530">
        <v>89.592630225922093</v>
      </c>
      <c r="AM2530">
        <v>90.321418675052996</v>
      </c>
      <c r="AN2530">
        <v>1.00000001011304</v>
      </c>
    </row>
    <row r="2531" spans="1:40" x14ac:dyDescent="0.25">
      <c r="A2531" t="str">
        <f>"20190312153936684"</f>
        <v>20190312153936684</v>
      </c>
      <c r="B2531" t="str">
        <f>"1552376376678412"</f>
        <v>1552376376678412</v>
      </c>
      <c r="C2531" t="s">
        <v>40</v>
      </c>
      <c r="D2531">
        <v>4.3261180000000001</v>
      </c>
      <c r="E2531">
        <v>0.48819580000000001</v>
      </c>
      <c r="F2531" t="s">
        <v>62</v>
      </c>
      <c r="G2531">
        <v>-298.57010000000002</v>
      </c>
      <c r="H2531" s="1">
        <v>3.793331E-6</v>
      </c>
      <c r="I2531">
        <v>283.84550000000002</v>
      </c>
      <c r="J2531">
        <v>-263.87810000000002</v>
      </c>
      <c r="K2531">
        <v>1.1107819999999999</v>
      </c>
      <c r="L2531">
        <v>284.14530000000002</v>
      </c>
      <c r="M2531">
        <v>-0.99959149999999997</v>
      </c>
      <c r="N2531">
        <v>0</v>
      </c>
      <c r="O2531">
        <v>2.8327769999999999E-2</v>
      </c>
      <c r="P2531">
        <v>-0.99973619999999996</v>
      </c>
      <c r="Q2531">
        <v>3.4859719999999999E-3</v>
      </c>
      <c r="R2531">
        <v>2.2705699999999999E-2</v>
      </c>
      <c r="S2531">
        <v>-3.00177</v>
      </c>
      <c r="T2531">
        <v>-9.5544100000000007E-2</v>
      </c>
      <c r="U2531">
        <v>-2.5329589999999999E-2</v>
      </c>
      <c r="V2531">
        <v>-5.6659019999999996E-3</v>
      </c>
      <c r="W2531">
        <v>7.2667599999999997E-3</v>
      </c>
      <c r="X2531">
        <v>0.9999576</v>
      </c>
      <c r="Y2531">
        <v>-3.672856E-2</v>
      </c>
      <c r="Z2531">
        <v>-1.4857129999999901E-3</v>
      </c>
      <c r="AA2531">
        <v>0.9993242</v>
      </c>
      <c r="AB2531">
        <v>40</v>
      </c>
      <c r="AC2531">
        <v>-34.692</v>
      </c>
      <c r="AD2531">
        <v>-1.110778206669</v>
      </c>
      <c r="AE2531">
        <v>-0.29980000000000401</v>
      </c>
      <c r="AF2531">
        <v>-1.28112047461309</v>
      </c>
      <c r="AG2531">
        <v>-1.110778206669</v>
      </c>
      <c r="AH2531">
        <v>34.634081583176098</v>
      </c>
      <c r="AI2531">
        <v>91.835695984237205</v>
      </c>
      <c r="AJ2531">
        <v>92.118414636822706</v>
      </c>
      <c r="AK2531">
        <v>34.675563513877997</v>
      </c>
      <c r="AL2531">
        <v>89.583641679764</v>
      </c>
      <c r="AM2531">
        <v>90.324642562521703</v>
      </c>
      <c r="AN2531">
        <v>1.00000005502206</v>
      </c>
    </row>
    <row r="2532" spans="1:40" x14ac:dyDescent="0.25">
      <c r="A2532" t="str">
        <f>"20190312153936696"</f>
        <v>20190312153936696</v>
      </c>
      <c r="B2532" t="str">
        <f>"1552376376688723"</f>
        <v>1552376376688723</v>
      </c>
      <c r="C2532" t="s">
        <v>40</v>
      </c>
      <c r="D2532">
        <v>4.2966959999999998</v>
      </c>
      <c r="E2532">
        <v>0.48818650000000002</v>
      </c>
      <c r="F2532" t="s">
        <v>62</v>
      </c>
      <c r="G2532">
        <v>-299.202</v>
      </c>
      <c r="H2532" s="1">
        <v>3.9092639999999998E-6</v>
      </c>
      <c r="I2532">
        <v>283.80160000000001</v>
      </c>
      <c r="J2532">
        <v>-264.10129999999998</v>
      </c>
      <c r="K2532">
        <v>1.1108</v>
      </c>
      <c r="L2532">
        <v>284.15089999999998</v>
      </c>
      <c r="M2532">
        <v>-0.99962689999999998</v>
      </c>
      <c r="N2532">
        <v>0</v>
      </c>
      <c r="O2532">
        <v>2.7047080000000001E-2</v>
      </c>
      <c r="P2532">
        <v>-0.99976500000000001</v>
      </c>
      <c r="Q2532">
        <v>3.9507780000000003E-3</v>
      </c>
      <c r="R2532">
        <v>2.1317849999999999E-2</v>
      </c>
      <c r="S2532">
        <v>-3.0018009999999999</v>
      </c>
      <c r="T2532">
        <v>-9.4393009999999999E-2</v>
      </c>
      <c r="U2532">
        <v>-2.920532E-2</v>
      </c>
      <c r="V2532">
        <v>-5.7760249999999997E-3</v>
      </c>
      <c r="W2532">
        <v>7.7540739999999997E-3</v>
      </c>
      <c r="X2532">
        <v>0.99995330000000004</v>
      </c>
      <c r="Y2532">
        <v>-3.6739729999999998E-2</v>
      </c>
      <c r="Z2532">
        <v>-1.4277269999999999E-3</v>
      </c>
      <c r="AA2532">
        <v>0.99932379999999998</v>
      </c>
      <c r="AB2532">
        <v>40</v>
      </c>
      <c r="AC2532">
        <v>-35.100700000000003</v>
      </c>
      <c r="AD2532">
        <v>-1.1107960907359999</v>
      </c>
      <c r="AE2532">
        <v>-0.34929999999997102</v>
      </c>
      <c r="AF2532">
        <v>-1.2972515148111099</v>
      </c>
      <c r="AG2532">
        <v>-1.1107960907359999</v>
      </c>
      <c r="AH2532">
        <v>35.043319695846897</v>
      </c>
      <c r="AI2532">
        <v>91.814300313571295</v>
      </c>
      <c r="AJ2532">
        <v>92.120036384913007</v>
      </c>
      <c r="AK2532">
        <v>35.084911069478302</v>
      </c>
      <c r="AL2532">
        <v>89.555719853647105</v>
      </c>
      <c r="AM2532">
        <v>90.330953629781106</v>
      </c>
      <c r="AN2532">
        <v>1.00000004515464</v>
      </c>
    </row>
    <row r="2533" spans="1:40" x14ac:dyDescent="0.25">
      <c r="A2533" t="str">
        <f>"20190312153936708"</f>
        <v>20190312153936708</v>
      </c>
      <c r="B2533" t="str">
        <f>"1552376376698482"</f>
        <v>1552376376698482</v>
      </c>
      <c r="C2533" t="s">
        <v>40</v>
      </c>
      <c r="D2533">
        <v>4.3161189999999996</v>
      </c>
      <c r="E2533">
        <v>0.48821700000000001</v>
      </c>
      <c r="F2533" t="s">
        <v>62</v>
      </c>
      <c r="G2533">
        <v>-300.30900000000003</v>
      </c>
      <c r="H2533" s="1">
        <v>3.98569E-6</v>
      </c>
      <c r="I2533">
        <v>283.7482</v>
      </c>
      <c r="J2533">
        <v>-264.31139999999999</v>
      </c>
      <c r="K2533">
        <v>1.1108180000000001</v>
      </c>
      <c r="L2533">
        <v>284.1558</v>
      </c>
      <c r="M2533">
        <v>-0.99965850000000001</v>
      </c>
      <c r="N2533">
        <v>0</v>
      </c>
      <c r="O2533">
        <v>2.5841820000000001E-2</v>
      </c>
      <c r="P2533">
        <v>-0.99979209999999996</v>
      </c>
      <c r="Q2533">
        <v>4.0973659999999999E-3</v>
      </c>
      <c r="R2533">
        <v>1.998018E-2</v>
      </c>
      <c r="S2533">
        <v>-3.0017399999999999</v>
      </c>
      <c r="T2533">
        <v>-9.2088699999999996E-2</v>
      </c>
      <c r="U2533">
        <v>-3.3386230000000003E-2</v>
      </c>
      <c r="V2533">
        <v>-5.9095249999999997E-3</v>
      </c>
      <c r="W2533">
        <v>7.9214390000000006E-3</v>
      </c>
      <c r="X2533">
        <v>0.99995120000000004</v>
      </c>
      <c r="Y2533">
        <v>-3.6928780000000001E-2</v>
      </c>
      <c r="Z2533">
        <v>-1.358852E-3</v>
      </c>
      <c r="AA2533">
        <v>0.99931700000000001</v>
      </c>
      <c r="AB2533">
        <v>40</v>
      </c>
      <c r="AC2533">
        <v>-35.997599999999998</v>
      </c>
      <c r="AD2533">
        <v>-1.11081401431</v>
      </c>
      <c r="AE2533">
        <v>-0.40760000000000202</v>
      </c>
      <c r="AF2533">
        <v>-1.3364419744404199</v>
      </c>
      <c r="AG2533">
        <v>-1.11081401431</v>
      </c>
      <c r="AH2533">
        <v>35.940825960748597</v>
      </c>
      <c r="AI2533">
        <v>91.769040821134695</v>
      </c>
      <c r="AJ2533">
        <v>92.129534309756593</v>
      </c>
      <c r="AK2533">
        <v>35.9828147268422</v>
      </c>
      <c r="AL2533">
        <v>89.546130247692602</v>
      </c>
      <c r="AM2533">
        <v>90.338603423494007</v>
      </c>
      <c r="AN2533">
        <v>1.0000000370314901</v>
      </c>
    </row>
    <row r="2534" spans="1:40" x14ac:dyDescent="0.25">
      <c r="A2534" t="str">
        <f>"20190312153936720"</f>
        <v>20190312153936720</v>
      </c>
      <c r="B2534" t="str">
        <f>"1552376376708243"</f>
        <v>1552376376708243</v>
      </c>
      <c r="C2534" t="s">
        <v>40</v>
      </c>
      <c r="D2534">
        <v>4.3176629999999996</v>
      </c>
      <c r="E2534">
        <v>0.48824040000000002</v>
      </c>
      <c r="F2534" t="s">
        <v>62</v>
      </c>
      <c r="G2534">
        <v>-300.94450000000001</v>
      </c>
      <c r="H2534" s="1">
        <v>3.8770910000000001E-6</v>
      </c>
      <c r="I2534">
        <v>283.70100000000002</v>
      </c>
      <c r="J2534">
        <v>-264.52999999999997</v>
      </c>
      <c r="K2534">
        <v>1.110835</v>
      </c>
      <c r="L2534">
        <v>284.16079999999999</v>
      </c>
      <c r="M2534">
        <v>-0.99969019999999997</v>
      </c>
      <c r="N2534">
        <v>0</v>
      </c>
      <c r="O2534">
        <v>2.4588329999999999E-2</v>
      </c>
      <c r="P2534">
        <v>-0.99981739999999997</v>
      </c>
      <c r="Q2534">
        <v>4.4830119999999998E-3</v>
      </c>
      <c r="R2534">
        <v>1.8577690000000001E-2</v>
      </c>
      <c r="S2534">
        <v>-3.001709</v>
      </c>
      <c r="T2534">
        <v>-9.1019989999999995E-2</v>
      </c>
      <c r="U2534">
        <v>-3.7261959999999997E-2</v>
      </c>
      <c r="V2534">
        <v>-6.0611320000000003E-3</v>
      </c>
      <c r="W2534">
        <v>8.3281669999999992E-3</v>
      </c>
      <c r="X2534">
        <v>0.99994700000000003</v>
      </c>
      <c r="Y2534">
        <v>-3.696721E-2</v>
      </c>
      <c r="Z2534">
        <v>-1.3056859999999999E-3</v>
      </c>
      <c r="AA2534">
        <v>0.99931559999999997</v>
      </c>
      <c r="AB2534">
        <v>40</v>
      </c>
      <c r="AC2534">
        <v>-36.414499999999997</v>
      </c>
      <c r="AD2534">
        <v>-1.110831122909</v>
      </c>
      <c r="AE2534">
        <v>-0.45980000000002902</v>
      </c>
      <c r="AF2534">
        <v>-1.3537798228392299</v>
      </c>
      <c r="AG2534">
        <v>-1.110831122909</v>
      </c>
      <c r="AH2534">
        <v>36.3583560533555</v>
      </c>
      <c r="AI2534">
        <v>91.748761974822202</v>
      </c>
      <c r="AJ2534">
        <v>92.132386134775999</v>
      </c>
      <c r="AK2534">
        <v>36.400504398908097</v>
      </c>
      <c r="AL2534">
        <v>89.522825687206407</v>
      </c>
      <c r="AM2534">
        <v>90.347291436081704</v>
      </c>
      <c r="AN2534">
        <v>1.00000004924784</v>
      </c>
    </row>
    <row r="2535" spans="1:40" x14ac:dyDescent="0.25">
      <c r="A2535" t="str">
        <f>"20190312153936734"</f>
        <v>20190312153936734</v>
      </c>
      <c r="B2535" t="str">
        <f>"1552376376728738"</f>
        <v>1552376376728738</v>
      </c>
      <c r="C2535" t="s">
        <v>40</v>
      </c>
      <c r="D2535">
        <v>4.3325269999999998</v>
      </c>
      <c r="E2535">
        <v>0.48828630000000001</v>
      </c>
      <c r="F2535" t="s">
        <v>62</v>
      </c>
      <c r="G2535">
        <v>-301.82029999999997</v>
      </c>
      <c r="H2535" s="1">
        <v>3.7262590000000001E-6</v>
      </c>
      <c r="I2535">
        <v>283.64929999999998</v>
      </c>
      <c r="J2535">
        <v>-264.77589999999998</v>
      </c>
      <c r="K2535">
        <v>1.110854</v>
      </c>
      <c r="L2535">
        <v>284.166</v>
      </c>
      <c r="M2535">
        <v>-0.99972369999999999</v>
      </c>
      <c r="N2535">
        <v>0</v>
      </c>
      <c r="O2535">
        <v>2.317926E-2</v>
      </c>
      <c r="P2535">
        <v>-0.99984459999999997</v>
      </c>
      <c r="Q2535">
        <v>4.808611E-3</v>
      </c>
      <c r="R2535">
        <v>1.6974639999999999E-2</v>
      </c>
      <c r="S2535">
        <v>-3.001709</v>
      </c>
      <c r="T2535">
        <v>-8.9417339999999998E-2</v>
      </c>
      <c r="U2535">
        <v>-4.1168209999999997E-2</v>
      </c>
      <c r="V2535">
        <v>-6.2570830000000001E-3</v>
      </c>
      <c r="W2535">
        <v>8.6776760000000005E-3</v>
      </c>
      <c r="X2535">
        <v>0.99994280000000002</v>
      </c>
      <c r="Y2535">
        <v>-3.6860579999999997E-2</v>
      </c>
      <c r="Z2535">
        <v>-1.2391520000000001E-3</v>
      </c>
      <c r="AA2535">
        <v>0.99931970000000003</v>
      </c>
      <c r="AB2535">
        <v>41</v>
      </c>
      <c r="AC2535">
        <v>-37.044400000000003</v>
      </c>
      <c r="AD2535">
        <v>-1.110850273741</v>
      </c>
      <c r="AE2535">
        <v>-0.51670000000001404</v>
      </c>
      <c r="AF2535">
        <v>-1.3739942153942899</v>
      </c>
      <c r="AG2535">
        <v>-1.110850273741</v>
      </c>
      <c r="AH2535">
        <v>36.989215154322203</v>
      </c>
      <c r="AI2535">
        <v>91.718989774867893</v>
      </c>
      <c r="AJ2535">
        <v>92.127319845142395</v>
      </c>
      <c r="AK2535">
        <v>37.031390551359898</v>
      </c>
      <c r="AL2535">
        <v>89.502799563074902</v>
      </c>
      <c r="AM2535">
        <v>90.358520276284395</v>
      </c>
      <c r="AN2535">
        <v>1.00000002821013</v>
      </c>
    </row>
    <row r="2536" spans="1:40" x14ac:dyDescent="0.25">
      <c r="A2536" t="str">
        <f>"20190312153936751"</f>
        <v>20190312153936751</v>
      </c>
      <c r="B2536" t="str">
        <f>"1552376376748258"</f>
        <v>1552376376748258</v>
      </c>
      <c r="C2536" t="s">
        <v>40</v>
      </c>
      <c r="D2536">
        <v>4.3718589999999997</v>
      </c>
      <c r="E2536">
        <v>0.48826449999999999</v>
      </c>
      <c r="F2536" t="s">
        <v>62</v>
      </c>
      <c r="G2536">
        <v>-303.0659</v>
      </c>
      <c r="H2536" s="1">
        <v>3.5112400000000002E-6</v>
      </c>
      <c r="I2536">
        <v>283.58120000000002</v>
      </c>
      <c r="J2536">
        <v>-265.08539999999999</v>
      </c>
      <c r="K2536">
        <v>1.1108789999999999</v>
      </c>
      <c r="L2536">
        <v>284.17200000000003</v>
      </c>
      <c r="M2536">
        <v>-0.99976299999999996</v>
      </c>
      <c r="N2536">
        <v>0</v>
      </c>
      <c r="O2536">
        <v>2.14091E-2</v>
      </c>
      <c r="P2536">
        <v>-0.99987530000000002</v>
      </c>
      <c r="Q2536">
        <v>5.8630160000000004E-3</v>
      </c>
      <c r="R2536">
        <v>1.4673220000000001E-2</v>
      </c>
      <c r="S2536">
        <v>-3.0016479999999999</v>
      </c>
      <c r="T2536">
        <v>-8.7082149999999997E-2</v>
      </c>
      <c r="U2536">
        <v>-4.58374E-2</v>
      </c>
      <c r="V2536">
        <v>-6.7948549999999998E-3</v>
      </c>
      <c r="W2536">
        <v>9.7590960000000001E-3</v>
      </c>
      <c r="X2536">
        <v>0.99992930000000002</v>
      </c>
      <c r="Y2536">
        <v>-3.6647819999999998E-2</v>
      </c>
      <c r="Z2536">
        <v>-1.1523970000000001E-3</v>
      </c>
      <c r="AA2536">
        <v>0.99932759999999998</v>
      </c>
      <c r="AB2536">
        <v>41</v>
      </c>
      <c r="AC2536">
        <v>-37.980499999999999</v>
      </c>
      <c r="AD2536">
        <v>-1.1108754887600001</v>
      </c>
      <c r="AE2536">
        <v>-0.59080000000000099</v>
      </c>
      <c r="AF2536">
        <v>-1.4025996441642701</v>
      </c>
      <c r="AG2536">
        <v>-1.1108754887600001</v>
      </c>
      <c r="AH2536">
        <v>37.926708440749103</v>
      </c>
      <c r="AI2536">
        <v>91.676571596832801</v>
      </c>
      <c r="AJ2536">
        <v>92.117938438107899</v>
      </c>
      <c r="AK2536">
        <v>37.968889149709497</v>
      </c>
      <c r="AL2536">
        <v>89.440836115502904</v>
      </c>
      <c r="AM2536">
        <v>90.389338047833803</v>
      </c>
      <c r="AN2536">
        <v>1.00000000750384</v>
      </c>
    </row>
    <row r="2537" spans="1:40" x14ac:dyDescent="0.25">
      <c r="A2537" t="str">
        <f>"20190312153936765"</f>
        <v>20190312153936765</v>
      </c>
      <c r="B2537" t="str">
        <f>"1552376376758019"</f>
        <v>1552376376758019</v>
      </c>
      <c r="C2537" t="s">
        <v>40</v>
      </c>
      <c r="D2537">
        <v>4.3493550000000001</v>
      </c>
      <c r="E2537">
        <v>0.4882379</v>
      </c>
      <c r="F2537" t="s">
        <v>62</v>
      </c>
      <c r="G2537">
        <v>-304.78899999999999</v>
      </c>
      <c r="H2537" s="1">
        <v>3.2150090000000002E-6</v>
      </c>
      <c r="I2537">
        <v>283.47359999999998</v>
      </c>
      <c r="J2537">
        <v>-265.34910000000002</v>
      </c>
      <c r="K2537">
        <v>1.110895</v>
      </c>
      <c r="L2537">
        <v>284.17660000000001</v>
      </c>
      <c r="M2537">
        <v>-0.99979399999999996</v>
      </c>
      <c r="N2537">
        <v>0</v>
      </c>
      <c r="O2537">
        <v>1.9904740000000001E-2</v>
      </c>
      <c r="P2537">
        <v>-0.99989410000000001</v>
      </c>
      <c r="Q2537">
        <v>6.7253929999999996E-3</v>
      </c>
      <c r="R2537">
        <v>1.2905349999999999E-2</v>
      </c>
      <c r="S2537">
        <v>-3.0016780000000001</v>
      </c>
      <c r="T2537">
        <v>-8.3984729999999994E-2</v>
      </c>
      <c r="U2537">
        <v>-5.2795410000000001E-2</v>
      </c>
      <c r="V2537">
        <v>-7.0637089999999996E-3</v>
      </c>
      <c r="W2537">
        <v>1.0645969999999999E-2</v>
      </c>
      <c r="X2537">
        <v>0.99991839999999999</v>
      </c>
      <c r="Y2537">
        <v>-3.7461809999999998E-2</v>
      </c>
      <c r="Z2537">
        <v>-1.0807029999999999E-3</v>
      </c>
      <c r="AA2537">
        <v>0.99929749999999995</v>
      </c>
      <c r="AB2537">
        <v>41</v>
      </c>
      <c r="AC2537">
        <v>-39.439899999999902</v>
      </c>
      <c r="AD2537">
        <v>-1.1108917849910001</v>
      </c>
      <c r="AE2537">
        <v>-0.70300000000003104</v>
      </c>
      <c r="AF2537">
        <v>-1.48672872024912</v>
      </c>
      <c r="AG2537">
        <v>-1.1108917849910001</v>
      </c>
      <c r="AH2537">
        <v>39.386854796909503</v>
      </c>
      <c r="AI2537">
        <v>91.614429007748996</v>
      </c>
      <c r="AJ2537">
        <v>92.161707476119105</v>
      </c>
      <c r="AK2537">
        <v>39.430556344520497</v>
      </c>
      <c r="AL2537">
        <v>89.390019339602802</v>
      </c>
      <c r="AM2537">
        <v>90.404747008554494</v>
      </c>
      <c r="AN2537">
        <v>1.00000001966031</v>
      </c>
    </row>
    <row r="2538" spans="1:40" x14ac:dyDescent="0.25">
      <c r="A2538" t="str">
        <f>"20190312153936784"</f>
        <v>20190312153936784</v>
      </c>
      <c r="B2538" t="str">
        <f>"1552376376778515"</f>
        <v>1552376376778515</v>
      </c>
      <c r="C2538" t="s">
        <v>40</v>
      </c>
      <c r="D2538">
        <v>4.3269250000000001</v>
      </c>
      <c r="E2538">
        <v>0.48824709999999899</v>
      </c>
      <c r="F2538" t="s">
        <v>62</v>
      </c>
      <c r="G2538">
        <v>-305.90030000000002</v>
      </c>
      <c r="H2538" s="1">
        <v>3.0253760000000001E-6</v>
      </c>
      <c r="I2538">
        <v>283.3879</v>
      </c>
      <c r="J2538">
        <v>-265.69470000000001</v>
      </c>
      <c r="K2538">
        <v>1.1109100000000001</v>
      </c>
      <c r="L2538">
        <v>284.1823</v>
      </c>
      <c r="M2538">
        <v>-0.99983109999999997</v>
      </c>
      <c r="N2538">
        <v>0</v>
      </c>
      <c r="O2538">
        <v>1.7939879999999998E-2</v>
      </c>
      <c r="P2538">
        <v>-0.99991669999999999</v>
      </c>
      <c r="Q2538">
        <v>7.9992099999999997E-3</v>
      </c>
      <c r="R2538">
        <v>1.012652E-2</v>
      </c>
      <c r="S2538">
        <v>-3.001617</v>
      </c>
      <c r="T2538">
        <v>-8.2228659999999995E-2</v>
      </c>
      <c r="U2538">
        <v>-5.8380130000000002E-2</v>
      </c>
      <c r="V2538">
        <v>-7.8860679999999996E-3</v>
      </c>
      <c r="W2538">
        <v>1.194813E-2</v>
      </c>
      <c r="X2538">
        <v>0.99989749999999999</v>
      </c>
      <c r="Y2538">
        <v>-3.7358639999999999E-2</v>
      </c>
      <c r="Z2538">
        <v>-1.0028979999999999E-3</v>
      </c>
      <c r="AA2538">
        <v>0.99930140000000001</v>
      </c>
      <c r="AB2538">
        <v>41</v>
      </c>
      <c r="AC2538">
        <v>-40.205599999999997</v>
      </c>
      <c r="AD2538">
        <v>-1.1109069746239999</v>
      </c>
      <c r="AE2538">
        <v>-0.794399999999996</v>
      </c>
      <c r="AF2538">
        <v>-1.51440581188345</v>
      </c>
      <c r="AG2538">
        <v>-1.1109069746239999</v>
      </c>
      <c r="AH2538">
        <v>40.154234044914602</v>
      </c>
      <c r="AI2538">
        <v>91.583615408990696</v>
      </c>
      <c r="AJ2538">
        <v>92.159870771166794</v>
      </c>
      <c r="AK2538">
        <v>40.198134919460102</v>
      </c>
      <c r="AL2538">
        <v>89.315406274505605</v>
      </c>
      <c r="AM2538">
        <v>90.451875362386303</v>
      </c>
      <c r="AN2538">
        <v>0.99999997919262296</v>
      </c>
    </row>
    <row r="2539" spans="1:40" x14ac:dyDescent="0.25">
      <c r="A2539" t="str">
        <f>"20190312153936797"</f>
        <v>20190312153936797</v>
      </c>
      <c r="B2539" t="str">
        <f>"1552376376788275"</f>
        <v>1552376376788275</v>
      </c>
      <c r="C2539" t="s">
        <v>40</v>
      </c>
      <c r="D2539">
        <v>4.3632809999999997</v>
      </c>
      <c r="E2539">
        <v>0.48823359999999899</v>
      </c>
      <c r="F2539" t="s">
        <v>62</v>
      </c>
      <c r="G2539">
        <v>-307.51940000000002</v>
      </c>
      <c r="H2539" s="1">
        <v>2.7499999999999999E-6</v>
      </c>
      <c r="I2539">
        <v>283.2527</v>
      </c>
      <c r="J2539">
        <v>-265.93220000000002</v>
      </c>
      <c r="K2539">
        <v>1.1109209999999901</v>
      </c>
      <c r="L2539">
        <v>284.18579999999997</v>
      </c>
      <c r="M2539">
        <v>-0.99985420000000003</v>
      </c>
      <c r="N2539">
        <v>0</v>
      </c>
      <c r="O2539">
        <v>1.6595289999999999E-2</v>
      </c>
      <c r="P2539">
        <v>-0.99992590000000003</v>
      </c>
      <c r="Q2539">
        <v>8.7124999999999998E-3</v>
      </c>
      <c r="R2539">
        <v>8.5149609999999997E-3</v>
      </c>
      <c r="S2539">
        <v>-3.0015559999999999</v>
      </c>
      <c r="T2539">
        <v>-7.9724550000000005E-2</v>
      </c>
      <c r="U2539">
        <v>-6.6711430000000002E-2</v>
      </c>
      <c r="V2539">
        <v>-8.1572869999999992E-3</v>
      </c>
      <c r="W2539">
        <v>1.2682880000000001E-2</v>
      </c>
      <c r="X2539">
        <v>0.99988630000000001</v>
      </c>
      <c r="Y2539">
        <v>-3.8788870000000003E-2</v>
      </c>
      <c r="Z2539">
        <v>-9.5564779999999995E-4</v>
      </c>
      <c r="AA2539">
        <v>0.999247</v>
      </c>
      <c r="AB2539">
        <v>41</v>
      </c>
      <c r="AC2539">
        <v>-41.587200000000003</v>
      </c>
      <c r="AD2539">
        <v>-1.1109182500000001</v>
      </c>
      <c r="AE2539">
        <v>-0.93309999999996696</v>
      </c>
      <c r="AF2539">
        <v>-1.62197189537752</v>
      </c>
      <c r="AG2539">
        <v>-1.1109182500000001</v>
      </c>
      <c r="AH2539">
        <v>41.536362937197801</v>
      </c>
      <c r="AI2539">
        <v>91.530883126508797</v>
      </c>
      <c r="AJ2539">
        <v>92.2362321723338</v>
      </c>
      <c r="AK2539">
        <v>41.5828615927066</v>
      </c>
      <c r="AL2539">
        <v>89.273305024426506</v>
      </c>
      <c r="AM2539">
        <v>90.467420894534797</v>
      </c>
      <c r="AN2539">
        <v>1.0000000048519899</v>
      </c>
    </row>
    <row r="2540" spans="1:40" x14ac:dyDescent="0.25">
      <c r="A2540" t="str">
        <f>"20190312153936809"</f>
        <v>20190312153936809</v>
      </c>
      <c r="B2540" t="str">
        <f>"1552376376798035"</f>
        <v>1552376376798035</v>
      </c>
      <c r="C2540" t="s">
        <v>40</v>
      </c>
      <c r="D2540">
        <v>4.3179959999999999</v>
      </c>
      <c r="E2540">
        <v>0.48828060000000001</v>
      </c>
      <c r="F2540" t="s">
        <v>62</v>
      </c>
      <c r="G2540">
        <v>-308.87209999999999</v>
      </c>
      <c r="H2540" s="1">
        <v>2.5182479999999999E-6</v>
      </c>
      <c r="I2540">
        <v>283.15890000000002</v>
      </c>
      <c r="J2540">
        <v>-266.17189999999999</v>
      </c>
      <c r="K2540">
        <v>1.11093</v>
      </c>
      <c r="L2540">
        <v>284.18889999999999</v>
      </c>
      <c r="M2540">
        <v>-0.99987570000000003</v>
      </c>
      <c r="N2540">
        <v>0</v>
      </c>
      <c r="O2540">
        <v>1.5249240000000001E-2</v>
      </c>
      <c r="P2540">
        <v>-0.99993100000000001</v>
      </c>
      <c r="Q2540">
        <v>9.3562309999999996E-3</v>
      </c>
      <c r="R2540">
        <v>7.1228169999999896E-3</v>
      </c>
      <c r="S2540">
        <v>-3.0014949999999998</v>
      </c>
      <c r="T2540">
        <v>-7.7653050000000001E-2</v>
      </c>
      <c r="U2540">
        <v>-7.1777339999999995E-2</v>
      </c>
      <c r="V2540">
        <v>-8.2072759999999995E-3</v>
      </c>
      <c r="W2540">
        <v>1.334896E-2</v>
      </c>
      <c r="X2540">
        <v>0.99987720000000002</v>
      </c>
      <c r="Y2540">
        <v>-3.9131069999999997E-2</v>
      </c>
      <c r="Z2540">
        <v>-9.0043950000000001E-4</v>
      </c>
      <c r="AA2540">
        <v>0.9992337</v>
      </c>
      <c r="AB2540">
        <v>41</v>
      </c>
      <c r="AC2540">
        <v>-42.700200000000002</v>
      </c>
      <c r="AD2540">
        <v>-1.1109274817520001</v>
      </c>
      <c r="AE2540">
        <v>-1.0299999999999701</v>
      </c>
      <c r="AF2540">
        <v>-1.6798946295328101</v>
      </c>
      <c r="AG2540">
        <v>-1.1109274817520001</v>
      </c>
      <c r="AH2540">
        <v>42.650675454833703</v>
      </c>
      <c r="AI2540">
        <v>91.490897484090198</v>
      </c>
      <c r="AJ2540">
        <v>92.255559714787296</v>
      </c>
      <c r="AK2540">
        <v>42.698200460787596</v>
      </c>
      <c r="AL2540">
        <v>89.235138202457804</v>
      </c>
      <c r="AM2540">
        <v>90.470289467069506</v>
      </c>
      <c r="AN2540">
        <v>0.99999998459613004</v>
      </c>
    </row>
    <row r="2541" spans="1:40" x14ac:dyDescent="0.25">
      <c r="A2541" t="str">
        <f>"20190312153936823"</f>
        <v>20190312153936823</v>
      </c>
      <c r="B2541" t="str">
        <f>"1552376376818530"</f>
        <v>1552376376818530</v>
      </c>
      <c r="C2541" t="s">
        <v>40</v>
      </c>
      <c r="D2541">
        <v>4.3848419999999999</v>
      </c>
      <c r="E2541">
        <v>0.48831170000000002</v>
      </c>
      <c r="F2541" t="s">
        <v>62</v>
      </c>
      <c r="G2541">
        <v>-310.59789999999998</v>
      </c>
      <c r="H2541" s="1">
        <v>2.6172070000000001E-6</v>
      </c>
      <c r="I2541">
        <v>283.07139999999998</v>
      </c>
      <c r="J2541">
        <v>-266.40320000000003</v>
      </c>
      <c r="K2541">
        <v>1.1109340000000001</v>
      </c>
      <c r="L2541">
        <v>284.19170000000003</v>
      </c>
      <c r="M2541">
        <v>-0.99989439999999996</v>
      </c>
      <c r="N2541">
        <v>0</v>
      </c>
      <c r="O2541">
        <v>1.3957829999999999E-2</v>
      </c>
      <c r="P2541">
        <v>-0.99993500000000002</v>
      </c>
      <c r="Q2541">
        <v>9.9158709999999997E-3</v>
      </c>
      <c r="R2541">
        <v>5.6459459999999998E-3</v>
      </c>
      <c r="S2541">
        <v>-3.0014340000000002</v>
      </c>
      <c r="T2541">
        <v>-7.5054529999999994E-2</v>
      </c>
      <c r="U2541">
        <v>-7.5500490000000003E-2</v>
      </c>
      <c r="V2541">
        <v>-8.3960149999999997E-3</v>
      </c>
      <c r="W2541">
        <v>1.3927790000000001E-2</v>
      </c>
      <c r="X2541">
        <v>0.99986770000000003</v>
      </c>
      <c r="Y2541">
        <v>-3.9081360000000002E-2</v>
      </c>
      <c r="Z2541">
        <v>-8.3741779999999997E-4</v>
      </c>
      <c r="AA2541">
        <v>0.99923569999999995</v>
      </c>
      <c r="AB2541">
        <v>41</v>
      </c>
      <c r="AC2541">
        <v>-44.194699999999898</v>
      </c>
      <c r="AD2541">
        <v>-1.1109313827930001</v>
      </c>
      <c r="AE2541">
        <v>-1.12030000000004</v>
      </c>
      <c r="AF2541">
        <v>-1.7359618079855099</v>
      </c>
      <c r="AG2541">
        <v>-1.1109313827930001</v>
      </c>
      <c r="AH2541">
        <v>44.146880023097196</v>
      </c>
      <c r="AI2541">
        <v>91.440399098512799</v>
      </c>
      <c r="AJ2541">
        <v>92.251848088610402</v>
      </c>
      <c r="AK2541">
        <v>44.194962922371602</v>
      </c>
      <c r="AL2541">
        <v>89.201970570567696</v>
      </c>
      <c r="AM2541">
        <v>90.4811085686692</v>
      </c>
      <c r="AN2541">
        <v>0.99999994695272498</v>
      </c>
    </row>
    <row r="2542" spans="1:40" x14ac:dyDescent="0.25">
      <c r="A2542" t="str">
        <f>"20190312153936840"</f>
        <v>20190312153936840</v>
      </c>
      <c r="B2542" t="str">
        <f>"1552376376828291"</f>
        <v>1552376376828291</v>
      </c>
      <c r="C2542" t="s">
        <v>40</v>
      </c>
      <c r="D2542">
        <v>4.3439040000000002</v>
      </c>
      <c r="E2542">
        <v>0.4883518</v>
      </c>
      <c r="F2542" t="s">
        <v>62</v>
      </c>
      <c r="G2542">
        <v>-311.84269999999998</v>
      </c>
      <c r="H2542" s="1">
        <v>3.1768959999999999E-6</v>
      </c>
      <c r="I2542">
        <v>282.98349999999999</v>
      </c>
      <c r="J2542">
        <v>-266.70960000000002</v>
      </c>
      <c r="K2542">
        <v>1.11094</v>
      </c>
      <c r="L2542">
        <v>284.19490000000002</v>
      </c>
      <c r="M2542">
        <v>-0.99991649999999999</v>
      </c>
      <c r="N2542">
        <v>0</v>
      </c>
      <c r="O2542">
        <v>1.226233E-2</v>
      </c>
      <c r="P2542">
        <v>-0.99993319999999997</v>
      </c>
      <c r="Q2542">
        <v>1.087103E-2</v>
      </c>
      <c r="R2542">
        <v>3.9686469999999996E-3</v>
      </c>
      <c r="S2542">
        <v>-3.0013730000000001</v>
      </c>
      <c r="T2542">
        <v>-7.3379280000000005E-2</v>
      </c>
      <c r="U2542">
        <v>-7.9803470000000001E-2</v>
      </c>
      <c r="V2542">
        <v>-8.3834999999999899E-3</v>
      </c>
      <c r="W2542">
        <v>1.4908060000000001E-2</v>
      </c>
      <c r="X2542">
        <v>0.99985369999999996</v>
      </c>
      <c r="Y2542">
        <v>-3.8820439999999998E-2</v>
      </c>
      <c r="Z2542">
        <v>-7.7410509999999903E-4</v>
      </c>
      <c r="AA2542">
        <v>0.99924590000000002</v>
      </c>
      <c r="AB2542">
        <v>41</v>
      </c>
      <c r="AC2542">
        <v>-45.133099999999899</v>
      </c>
      <c r="AD2542">
        <v>-1.110936823104</v>
      </c>
      <c r="AE2542">
        <v>-1.21140000000002</v>
      </c>
      <c r="AF2542">
        <v>-1.76368267151614</v>
      </c>
      <c r="AG2542">
        <v>-1.110936823104</v>
      </c>
      <c r="AH2542">
        <v>45.087553799650401</v>
      </c>
      <c r="AI2542">
        <v>91.410378183965193</v>
      </c>
      <c r="AJ2542">
        <v>92.240087821240493</v>
      </c>
      <c r="AK2542">
        <v>45.135709419783197</v>
      </c>
      <c r="AL2542">
        <v>89.1457994188942</v>
      </c>
      <c r="AM2542">
        <v>90.480398193747504</v>
      </c>
      <c r="AN2542">
        <v>0.99999997736445101</v>
      </c>
    </row>
    <row r="2543" spans="1:40" x14ac:dyDescent="0.25">
      <c r="A2543" t="str">
        <f>"20190312153936850"</f>
        <v>20190312153936850</v>
      </c>
      <c r="B2543" t="str">
        <f>"1552376376838050"</f>
        <v>1552376376838050</v>
      </c>
      <c r="C2543" t="s">
        <v>40</v>
      </c>
      <c r="D2543">
        <v>4.3309480000000002</v>
      </c>
      <c r="E2543">
        <v>0.4883921</v>
      </c>
      <c r="F2543" t="s">
        <v>62</v>
      </c>
      <c r="G2543">
        <v>-313.45749999999998</v>
      </c>
      <c r="H2543" s="1">
        <v>3.9023750000000001E-6</v>
      </c>
      <c r="I2543">
        <v>282.87630000000001</v>
      </c>
      <c r="J2543">
        <v>-266.92610000000002</v>
      </c>
      <c r="K2543">
        <v>1.110935</v>
      </c>
      <c r="L2543">
        <v>284.19690000000003</v>
      </c>
      <c r="M2543">
        <v>-0.99993010000000004</v>
      </c>
      <c r="N2543">
        <v>0</v>
      </c>
      <c r="O2543">
        <v>1.108347E-2</v>
      </c>
      <c r="P2543">
        <v>-0.99993589999999999</v>
      </c>
      <c r="Q2543">
        <v>1.0979579999999999E-2</v>
      </c>
      <c r="R2543">
        <v>2.7482019999999999E-3</v>
      </c>
      <c r="S2543">
        <v>-3.001312</v>
      </c>
      <c r="T2543">
        <v>-7.1324349999999995E-2</v>
      </c>
      <c r="U2543">
        <v>-8.4655759999999997E-2</v>
      </c>
      <c r="V2543">
        <v>-8.4259169999999998E-3</v>
      </c>
      <c r="W2543">
        <v>1.50306E-2</v>
      </c>
      <c r="X2543">
        <v>0.9998515</v>
      </c>
      <c r="Y2543">
        <v>-3.9258260000000003E-2</v>
      </c>
      <c r="Z2543">
        <v>-7.2962649999999999E-4</v>
      </c>
      <c r="AA2543">
        <v>0.99922880000000003</v>
      </c>
      <c r="AB2543">
        <v>41</v>
      </c>
      <c r="AC2543">
        <v>-46.531399999999898</v>
      </c>
      <c r="AD2543">
        <v>-1.110931097625</v>
      </c>
      <c r="AE2543">
        <v>-1.32060000000001</v>
      </c>
      <c r="AF2543">
        <v>-1.8352073864579299</v>
      </c>
      <c r="AG2543">
        <v>-1.110931097625</v>
      </c>
      <c r="AH2543">
        <v>46.4874279297577</v>
      </c>
      <c r="AI2543">
        <v>91.367897510316197</v>
      </c>
      <c r="AJ2543">
        <v>92.260720138524803</v>
      </c>
      <c r="AK2543">
        <v>46.536900515390897</v>
      </c>
      <c r="AL2543">
        <v>89.138777599532105</v>
      </c>
      <c r="AM2543">
        <v>90.482829755025904</v>
      </c>
      <c r="AN2543">
        <v>0.99999996853295003</v>
      </c>
    </row>
    <row r="2544" spans="1:40" x14ac:dyDescent="0.25">
      <c r="A2544" t="str">
        <f>"20190312153936863"</f>
        <v>20190312153936863</v>
      </c>
      <c r="B2544" t="str">
        <f>"1552376376858547"</f>
        <v>1552376376858547</v>
      </c>
      <c r="C2544" t="s">
        <v>40</v>
      </c>
      <c r="D2544">
        <v>4.3797470000000001</v>
      </c>
      <c r="E2544">
        <v>0.48848370000000002</v>
      </c>
      <c r="F2544" t="s">
        <v>62</v>
      </c>
      <c r="G2544">
        <v>-313.1943</v>
      </c>
      <c r="H2544" s="1">
        <v>3.788646E-6</v>
      </c>
      <c r="I2544">
        <v>282.84190000000001</v>
      </c>
      <c r="J2544">
        <v>-267.15010000000001</v>
      </c>
      <c r="K2544">
        <v>1.1109249999999999</v>
      </c>
      <c r="L2544">
        <v>284.19869999999997</v>
      </c>
      <c r="M2544">
        <v>-0.99994289999999997</v>
      </c>
      <c r="N2544">
        <v>0</v>
      </c>
      <c r="O2544">
        <v>9.8763879999999998E-3</v>
      </c>
      <c r="P2544">
        <v>-0.99993370000000004</v>
      </c>
      <c r="Q2544">
        <v>1.138228E-2</v>
      </c>
      <c r="R2544">
        <v>1.7986860000000001E-3</v>
      </c>
      <c r="S2544">
        <v>-3.0012210000000001</v>
      </c>
      <c r="T2544">
        <v>-7.2061299999999995E-2</v>
      </c>
      <c r="U2544">
        <v>-8.7890629999999997E-2</v>
      </c>
      <c r="V2544">
        <v>-8.1707969999999901E-3</v>
      </c>
      <c r="W2544">
        <v>1.5448740000000001E-2</v>
      </c>
      <c r="X2544">
        <v>0.99984729999999999</v>
      </c>
      <c r="Y2544">
        <v>-3.9129120000000003E-2</v>
      </c>
      <c r="Z2544">
        <v>-7.0665110000000001E-4</v>
      </c>
      <c r="AA2544">
        <v>0.99923390000000001</v>
      </c>
      <c r="AB2544">
        <v>41</v>
      </c>
      <c r="AC2544">
        <v>-46.044199999999897</v>
      </c>
      <c r="AD2544">
        <v>-1.1109212113539999</v>
      </c>
      <c r="AE2544">
        <v>-1.35679999999996</v>
      </c>
      <c r="AF2544">
        <v>-1.8104350089945001</v>
      </c>
      <c r="AG2544">
        <v>-1.1109212113539999</v>
      </c>
      <c r="AH2544">
        <v>46.001798278192801</v>
      </c>
      <c r="AI2544">
        <v>91.382326817977997</v>
      </c>
      <c r="AJ2544">
        <v>92.253754931883293</v>
      </c>
      <c r="AK2544">
        <v>46.050811780979203</v>
      </c>
      <c r="AL2544">
        <v>89.114817208279703</v>
      </c>
      <c r="AM2544">
        <v>90.468213258511</v>
      </c>
      <c r="AN2544">
        <v>1.00000002440424</v>
      </c>
    </row>
    <row r="2545" spans="1:40" x14ac:dyDescent="0.25">
      <c r="A2545" t="str">
        <f>"20190312153936874"</f>
        <v>20190312153936874</v>
      </c>
      <c r="B2545" t="str">
        <f>"1552376376868306"</f>
        <v>1552376376868306</v>
      </c>
      <c r="C2545" t="s">
        <v>40</v>
      </c>
      <c r="D2545">
        <v>4.3332179999999996</v>
      </c>
      <c r="E2545">
        <v>0.48853770000000002</v>
      </c>
      <c r="F2545" t="s">
        <v>62</v>
      </c>
      <c r="G2545">
        <v>-313.42970000000003</v>
      </c>
      <c r="H2545" s="1">
        <v>3.8957419999999997E-6</v>
      </c>
      <c r="I2545">
        <v>282.81130000000002</v>
      </c>
      <c r="J2545">
        <v>-267.37119999999999</v>
      </c>
      <c r="K2545">
        <v>1.110911</v>
      </c>
      <c r="L2545">
        <v>284.20030000000003</v>
      </c>
      <c r="M2545">
        <v>-0.99995369999999995</v>
      </c>
      <c r="N2545">
        <v>0</v>
      </c>
      <c r="O2545">
        <v>8.6993269999999998E-3</v>
      </c>
      <c r="P2545">
        <v>-0.99993569999999998</v>
      </c>
      <c r="Q2545">
        <v>1.13258E-2</v>
      </c>
      <c r="R2545">
        <v>5.5708769999999997E-4</v>
      </c>
      <c r="S2545">
        <v>-3.0011899999999998</v>
      </c>
      <c r="T2545">
        <v>-7.2042110000000006E-2</v>
      </c>
      <c r="U2545">
        <v>-8.9965820000000002E-2</v>
      </c>
      <c r="V2545">
        <v>-8.2346869999999992E-3</v>
      </c>
      <c r="W2545">
        <v>1.5404869999999999E-2</v>
      </c>
      <c r="X2545">
        <v>0.99984740000000005</v>
      </c>
      <c r="Y2545">
        <v>-3.8643990000000003E-2</v>
      </c>
      <c r="Z2545">
        <v>-6.7239709999999996E-4</v>
      </c>
      <c r="AA2545">
        <v>0.99925280000000005</v>
      </c>
      <c r="AB2545">
        <v>42</v>
      </c>
      <c r="AC2545">
        <v>-46.058500000000002</v>
      </c>
      <c r="AD2545">
        <v>-1.1109071042580001</v>
      </c>
      <c r="AE2545">
        <v>-1.38900000000001</v>
      </c>
      <c r="AF2545">
        <v>-1.7885892166930999</v>
      </c>
      <c r="AG2545">
        <v>-1.1109071042580001</v>
      </c>
      <c r="AH2545">
        <v>46.017927081605698</v>
      </c>
      <c r="AI2545">
        <v>91.381851325862101</v>
      </c>
      <c r="AJ2545">
        <v>92.225807704189293</v>
      </c>
      <c r="AK2545">
        <v>46.066069713709403</v>
      </c>
      <c r="AL2545">
        <v>89.117331026681796</v>
      </c>
      <c r="AM2545">
        <v>90.471874151332003</v>
      </c>
      <c r="AN2545">
        <v>0.99999997168823196</v>
      </c>
    </row>
    <row r="2546" spans="1:40" x14ac:dyDescent="0.25">
      <c r="A2546" t="str">
        <f>"20190312153936888"</f>
        <v>20190312153936888</v>
      </c>
      <c r="B2546" t="str">
        <f>"1552376376878574"</f>
        <v>1552376376878574</v>
      </c>
      <c r="C2546" t="s">
        <v>40</v>
      </c>
      <c r="D2546">
        <v>4.3140720000000004</v>
      </c>
      <c r="E2546">
        <v>0.48858089999999998</v>
      </c>
      <c r="F2546" t="s">
        <v>62</v>
      </c>
      <c r="G2546">
        <v>-313.46019999999999</v>
      </c>
      <c r="H2546" s="1">
        <v>3.9133110000000004E-6</v>
      </c>
      <c r="I2546">
        <v>282.7647</v>
      </c>
      <c r="J2546">
        <v>-267.61689999999999</v>
      </c>
      <c r="K2546">
        <v>1.1108899999999999</v>
      </c>
      <c r="L2546">
        <v>284.20159999999998</v>
      </c>
      <c r="M2546">
        <v>-0.99996390000000002</v>
      </c>
      <c r="N2546">
        <v>0</v>
      </c>
      <c r="O2546">
        <v>7.4234139999999997E-3</v>
      </c>
      <c r="P2546">
        <v>-0.99993279999999995</v>
      </c>
      <c r="Q2546">
        <v>1.158956E-2</v>
      </c>
      <c r="R2546">
        <v>-5.1295729999999997E-4</v>
      </c>
      <c r="S2546">
        <v>-3.0010680000000001</v>
      </c>
      <c r="T2546">
        <v>-7.2336440000000002E-2</v>
      </c>
      <c r="U2546">
        <v>-9.3475340000000004E-2</v>
      </c>
      <c r="V2546">
        <v>-8.0296429999999995E-3</v>
      </c>
      <c r="W2546">
        <v>1.5683309999999999E-2</v>
      </c>
      <c r="X2546">
        <v>0.99984479999999998</v>
      </c>
      <c r="Y2546">
        <v>-3.8537950000000001E-2</v>
      </c>
      <c r="Z2546">
        <v>-6.4313800000000002E-4</v>
      </c>
      <c r="AA2546">
        <v>0.9992569</v>
      </c>
      <c r="AB2546">
        <v>42</v>
      </c>
      <c r="AC2546">
        <v>-45.843299999999999</v>
      </c>
      <c r="AD2546">
        <v>-1.110886086689</v>
      </c>
      <c r="AE2546">
        <v>-1.4368999999999801</v>
      </c>
      <c r="AF2546">
        <v>-1.7761351844254201</v>
      </c>
      <c r="AG2546">
        <v>-1.110886086689</v>
      </c>
      <c r="AH2546">
        <v>45.8044999385503</v>
      </c>
      <c r="AI2546">
        <v>91.388266209413601</v>
      </c>
      <c r="AJ2546">
        <v>92.220613497998997</v>
      </c>
      <c r="AK2546">
        <v>45.852382039667397</v>
      </c>
      <c r="AL2546">
        <v>89.101375716517794</v>
      </c>
      <c r="AM2546">
        <v>90.460126176210395</v>
      </c>
      <c r="AN2546">
        <v>1.00000003273315</v>
      </c>
    </row>
    <row r="2547" spans="1:40" x14ac:dyDescent="0.25">
      <c r="A2547" t="str">
        <f>"20190312153936901"</f>
        <v>20190312153936901</v>
      </c>
      <c r="B2547" t="str">
        <f>"1552376376888335"</f>
        <v>1552376376888335</v>
      </c>
      <c r="C2547" t="s">
        <v>40</v>
      </c>
      <c r="D2547">
        <v>4.3324379999999998</v>
      </c>
      <c r="E2547">
        <v>0.48863240000000002</v>
      </c>
      <c r="F2547" t="s">
        <v>62</v>
      </c>
      <c r="G2547">
        <v>-314.06830000000002</v>
      </c>
      <c r="H2547" s="1">
        <v>4.1875150000000003E-6</v>
      </c>
      <c r="I2547">
        <v>282.71269999999998</v>
      </c>
      <c r="J2547">
        <v>-267.8519</v>
      </c>
      <c r="K2547">
        <v>1.110867</v>
      </c>
      <c r="L2547">
        <v>284.20269999999999</v>
      </c>
      <c r="M2547">
        <v>-0.99997219999999998</v>
      </c>
      <c r="N2547">
        <v>0</v>
      </c>
      <c r="O2547">
        <v>6.2226989999999999E-3</v>
      </c>
      <c r="P2547">
        <v>-0.99993109999999996</v>
      </c>
      <c r="Q2547">
        <v>1.163139E-2</v>
      </c>
      <c r="R2547">
        <v>-1.6789179999999999E-3</v>
      </c>
      <c r="S2547">
        <v>-3.0009769999999998</v>
      </c>
      <c r="T2547">
        <v>-7.1768520000000002E-2</v>
      </c>
      <c r="U2547">
        <v>-9.6191410000000005E-2</v>
      </c>
      <c r="V2547">
        <v>-7.9943549999999999E-3</v>
      </c>
      <c r="W2547">
        <v>1.5738140000000001E-2</v>
      </c>
      <c r="X2547">
        <v>0.99984419999999996</v>
      </c>
      <c r="Y2547">
        <v>-3.8243159999999998E-2</v>
      </c>
      <c r="Z2547">
        <v>-6.0587199999999905E-4</v>
      </c>
      <c r="AA2547">
        <v>0.9992683</v>
      </c>
      <c r="AB2547">
        <v>42</v>
      </c>
      <c r="AC2547">
        <v>-46.2164</v>
      </c>
      <c r="AD2547">
        <v>-1.110862812485</v>
      </c>
      <c r="AE2547">
        <v>-1.49</v>
      </c>
      <c r="AF2547">
        <v>-1.7765390213571499</v>
      </c>
      <c r="AG2547">
        <v>-1.110862812485</v>
      </c>
      <c r="AH2547">
        <v>46.179581425434797</v>
      </c>
      <c r="AI2547">
        <v>91.376982158124306</v>
      </c>
      <c r="AJ2547">
        <v>92.203095293843703</v>
      </c>
      <c r="AK2547">
        <v>46.227089976667699</v>
      </c>
      <c r="AL2547">
        <v>89.098233782118399</v>
      </c>
      <c r="AM2547">
        <v>90.458104413635596</v>
      </c>
      <c r="AN2547">
        <v>1.00000001151808</v>
      </c>
    </row>
    <row r="2548" spans="1:40" x14ac:dyDescent="0.25">
      <c r="A2548" t="str">
        <f>"20190312153936918"</f>
        <v>20190312153936918</v>
      </c>
      <c r="B2548" t="str">
        <f>"1552376376908831"</f>
        <v>1552376376908831</v>
      </c>
      <c r="C2548" t="s">
        <v>40</v>
      </c>
      <c r="D2548">
        <v>4.2861269999999996</v>
      </c>
      <c r="E2548">
        <v>0.48884109999999997</v>
      </c>
      <c r="F2548" t="s">
        <v>62</v>
      </c>
      <c r="G2548">
        <v>-314.20359999999999</v>
      </c>
      <c r="H2548" s="1">
        <v>4.2513409999999999E-6</v>
      </c>
      <c r="I2548">
        <v>282.66930000000002</v>
      </c>
      <c r="J2548">
        <v>-268.18599999999998</v>
      </c>
      <c r="K2548">
        <v>1.110827</v>
      </c>
      <c r="L2548">
        <v>284.2038</v>
      </c>
      <c r="M2548">
        <v>-0.99998100000000001</v>
      </c>
      <c r="N2548">
        <v>0</v>
      </c>
      <c r="O2548">
        <v>4.5679830000000003E-3</v>
      </c>
      <c r="P2548">
        <v>-0.9999268</v>
      </c>
      <c r="Q2548">
        <v>1.166591E-2</v>
      </c>
      <c r="R2548">
        <v>-3.3029230000000001E-3</v>
      </c>
      <c r="S2548">
        <v>-3.0009160000000001</v>
      </c>
      <c r="T2548">
        <v>-7.191968E-2</v>
      </c>
      <c r="U2548">
        <v>-9.9273680000000003E-2</v>
      </c>
      <c r="V2548">
        <v>-7.9619300000000007E-3</v>
      </c>
      <c r="W2548">
        <v>1.5791059999999999E-2</v>
      </c>
      <c r="X2548">
        <v>0.99984360000000005</v>
      </c>
      <c r="Y2548">
        <v>-3.7616120000000003E-2</v>
      </c>
      <c r="Z2548">
        <v>-5.5999749999999997E-4</v>
      </c>
      <c r="AA2548">
        <v>0.99929210000000002</v>
      </c>
      <c r="AB2548">
        <v>42</v>
      </c>
      <c r="AC2548">
        <v>-46.017600000000002</v>
      </c>
      <c r="AD2548">
        <v>-1.1108227486589899</v>
      </c>
      <c r="AE2548">
        <v>-1.53449999999998</v>
      </c>
      <c r="AF2548">
        <v>-1.7436785001873201</v>
      </c>
      <c r="AG2548">
        <v>-1.1108227486589899</v>
      </c>
      <c r="AH2548">
        <v>45.983345723038703</v>
      </c>
      <c r="AI2548">
        <v>91.382835370783695</v>
      </c>
      <c r="AJ2548">
        <v>92.171603079106603</v>
      </c>
      <c r="AK2548">
        <v>46.029799323649598</v>
      </c>
      <c r="AL2548">
        <v>89.095201290639096</v>
      </c>
      <c r="AM2548">
        <v>90.456246700570503</v>
      </c>
      <c r="AN2548">
        <v>0.99999998718310401</v>
      </c>
    </row>
    <row r="2549" spans="1:40" x14ac:dyDescent="0.25">
      <c r="A2549" t="str">
        <f>"20190312153936931"</f>
        <v>20190312153936931</v>
      </c>
      <c r="B2549" t="str">
        <f>"1552376376918590"</f>
        <v>1552376376918590</v>
      </c>
      <c r="C2549" t="s">
        <v>40</v>
      </c>
      <c r="D2549">
        <v>4.29495</v>
      </c>
      <c r="E2549">
        <v>0.48883389999999999</v>
      </c>
      <c r="F2549" t="s">
        <v>62</v>
      </c>
      <c r="G2549">
        <v>-314.88709999999998</v>
      </c>
      <c r="H2549" s="1">
        <v>4.5598090000000004E-6</v>
      </c>
      <c r="I2549">
        <v>282.60750000000002</v>
      </c>
      <c r="J2549">
        <v>-268.42619999999999</v>
      </c>
      <c r="K2549">
        <v>1.1107910000000001</v>
      </c>
      <c r="L2549">
        <v>284.20420000000001</v>
      </c>
      <c r="M2549">
        <v>-0.99998549999999997</v>
      </c>
      <c r="N2549">
        <v>0</v>
      </c>
      <c r="O2549">
        <v>3.4237310000000002E-3</v>
      </c>
      <c r="P2549">
        <v>-0.99992000000000003</v>
      </c>
      <c r="Q2549">
        <v>1.1878069999999999E-2</v>
      </c>
      <c r="R2549">
        <v>-4.3737580000000002E-3</v>
      </c>
      <c r="S2549">
        <v>-3.000702</v>
      </c>
      <c r="T2549">
        <v>-7.1374179999999995E-2</v>
      </c>
      <c r="U2549">
        <v>-0.1025696</v>
      </c>
      <c r="V2549">
        <v>-7.8889549999999996E-3</v>
      </c>
      <c r="W2549">
        <v>1.6016579999999999E-2</v>
      </c>
      <c r="X2549">
        <v>0.99984059999999997</v>
      </c>
      <c r="Y2549">
        <v>-3.7571899999999998E-2</v>
      </c>
      <c r="Z2549">
        <v>-5.2804860000000003E-4</v>
      </c>
      <c r="AA2549">
        <v>0.99929380000000001</v>
      </c>
      <c r="AB2549">
        <v>42</v>
      </c>
      <c r="AC2549">
        <v>-46.460899999999903</v>
      </c>
      <c r="AD2549">
        <v>-1.1107864401909999</v>
      </c>
      <c r="AE2549">
        <v>-1.59669999999999</v>
      </c>
      <c r="AF2549">
        <v>-1.7547598165229501</v>
      </c>
      <c r="AG2549">
        <v>-1.1107864401909999</v>
      </c>
      <c r="AH2549">
        <v>46.428654043819598</v>
      </c>
      <c r="AI2549">
        <v>91.369539063472502</v>
      </c>
      <c r="AJ2549">
        <v>92.164450004646199</v>
      </c>
      <c r="AK2549">
        <v>46.475078750337602</v>
      </c>
      <c r="AL2549">
        <v>89.082278319858005</v>
      </c>
      <c r="AM2549">
        <v>90.452066506118499</v>
      </c>
      <c r="AN2549">
        <v>0.99999999592712396</v>
      </c>
    </row>
    <row r="2550" spans="1:40" x14ac:dyDescent="0.25">
      <c r="A2550" t="str">
        <f>"20190312153936947"</f>
        <v>20190312153936947</v>
      </c>
      <c r="B2550" t="str">
        <f>"1552376376938110"</f>
        <v>1552376376938110</v>
      </c>
      <c r="C2550" t="s">
        <v>40</v>
      </c>
      <c r="D2550">
        <v>4.228294</v>
      </c>
      <c r="E2550">
        <v>0.4580919</v>
      </c>
      <c r="F2550" t="s">
        <v>62</v>
      </c>
      <c r="G2550">
        <v>-315.69389999999999</v>
      </c>
      <c r="H2550" s="1">
        <v>4.9237150000000002E-6</v>
      </c>
      <c r="I2550">
        <v>282.53750000000002</v>
      </c>
      <c r="J2550">
        <v>-268.7242</v>
      </c>
      <c r="K2550">
        <v>1.110744</v>
      </c>
      <c r="L2550">
        <v>284.2045</v>
      </c>
      <c r="M2550">
        <v>-0.99998920000000002</v>
      </c>
      <c r="N2550">
        <v>0</v>
      </c>
      <c r="O2550">
        <v>2.0421770000000001E-3</v>
      </c>
      <c r="P2550">
        <v>-0.99991099999999999</v>
      </c>
      <c r="Q2550">
        <v>1.1915419999999999E-2</v>
      </c>
      <c r="R2550">
        <v>-6.0319299999999996E-3</v>
      </c>
      <c r="S2550">
        <v>-3.00061</v>
      </c>
      <c r="T2550">
        <v>-7.0514080000000007E-2</v>
      </c>
      <c r="U2550">
        <v>-0.10580440000000001</v>
      </c>
      <c r="V2550">
        <v>-8.1640410000000004E-3</v>
      </c>
      <c r="W2550">
        <v>1.606902E-2</v>
      </c>
      <c r="X2550">
        <v>0.99983759999999999</v>
      </c>
      <c r="Y2550">
        <v>-3.7269089999999998E-2</v>
      </c>
      <c r="Z2550">
        <v>-4.8568400000000001E-4</v>
      </c>
      <c r="AA2550">
        <v>0.99930509999999995</v>
      </c>
      <c r="AB2550">
        <v>42</v>
      </c>
      <c r="AC2550">
        <v>-46.969699999999897</v>
      </c>
      <c r="AD2550">
        <v>-1.110739076285</v>
      </c>
      <c r="AE2550">
        <v>-1.6669999999999701</v>
      </c>
      <c r="AF2550">
        <v>-1.7619337185492501</v>
      </c>
      <c r="AG2550">
        <v>-1.110739076285</v>
      </c>
      <c r="AH2550">
        <v>46.939980610927101</v>
      </c>
      <c r="AI2550">
        <v>91.354581435418496</v>
      </c>
      <c r="AJ2550">
        <v>92.149638602719705</v>
      </c>
      <c r="AK2550">
        <v>46.986167448285897</v>
      </c>
      <c r="AL2550">
        <v>89.079273388250101</v>
      </c>
      <c r="AM2550">
        <v>90.467830673387397</v>
      </c>
      <c r="AN2550">
        <v>1.0000000456714799</v>
      </c>
    </row>
    <row r="2551" spans="1:40" x14ac:dyDescent="0.25">
      <c r="A2551" t="str">
        <f>"20190312153936964"</f>
        <v>20190312153936964</v>
      </c>
      <c r="B2551" t="str">
        <f>"1552376376958607"</f>
        <v>1552376376958607</v>
      </c>
      <c r="C2551" t="s">
        <v>40</v>
      </c>
      <c r="D2551">
        <v>4.2284379999999997</v>
      </c>
      <c r="E2551">
        <v>0.44441209999999998</v>
      </c>
      <c r="F2551" t="s">
        <v>65</v>
      </c>
      <c r="G2551">
        <v>-440.40789999999998</v>
      </c>
      <c r="H2551">
        <v>0.61513280000000004</v>
      </c>
      <c r="I2551">
        <v>263.92309999999998</v>
      </c>
      <c r="J2551">
        <v>-269.04050000000001</v>
      </c>
      <c r="K2551">
        <v>1.11069</v>
      </c>
      <c r="L2551">
        <v>284.20429999999999</v>
      </c>
      <c r="M2551">
        <v>-0.99999099999999996</v>
      </c>
      <c r="N2551">
        <v>0</v>
      </c>
      <c r="O2551">
        <v>6.2832250000000001E-4</v>
      </c>
      <c r="P2551">
        <v>-0.99989550000000005</v>
      </c>
      <c r="Q2551">
        <v>1.2333439999999999E-2</v>
      </c>
      <c r="R2551">
        <v>-7.5721859999999998E-3</v>
      </c>
      <c r="S2551">
        <v>-2.99823</v>
      </c>
      <c r="T2551">
        <v>-8.6550710000000003E-3</v>
      </c>
      <c r="U2551">
        <v>-0.35418699999999997</v>
      </c>
      <c r="V2551">
        <v>-8.2907989999999997E-3</v>
      </c>
      <c r="W2551">
        <v>1.6504319999999999E-2</v>
      </c>
      <c r="X2551">
        <v>0.99982939999999998</v>
      </c>
      <c r="Y2551">
        <v>-0.1179398</v>
      </c>
      <c r="Z2551">
        <v>-1.7144729999999999E-4</v>
      </c>
      <c r="AA2551">
        <v>0.99302069999999998</v>
      </c>
      <c r="AB2551">
        <v>42</v>
      </c>
      <c r="AC2551">
        <v>-171.36739999999901</v>
      </c>
      <c r="AD2551">
        <v>-0.49555719999999898</v>
      </c>
      <c r="AE2551">
        <v>-20.281199999999998</v>
      </c>
      <c r="AF2551">
        <v>-20.388702794066901</v>
      </c>
      <c r="AG2551">
        <v>-0.49555719999999898</v>
      </c>
      <c r="AH2551">
        <v>171.353209794196</v>
      </c>
      <c r="AI2551">
        <v>90.164539519519906</v>
      </c>
      <c r="AJ2551">
        <v>96.785516378913101</v>
      </c>
      <c r="AK2551">
        <v>172.56264742213801</v>
      </c>
      <c r="AL2551">
        <v>89.054329165294106</v>
      </c>
      <c r="AM2551">
        <v>90.475097955886895</v>
      </c>
      <c r="AN2551">
        <v>0.99999997951553998</v>
      </c>
    </row>
    <row r="2552" spans="1:40" x14ac:dyDescent="0.25">
      <c r="A2552" t="str">
        <f>"20190312153936987"</f>
        <v>20190312153936987</v>
      </c>
      <c r="B2552" t="str">
        <f>"1552376376978126"</f>
        <v>1552376376978126</v>
      </c>
      <c r="C2552" t="s">
        <v>40</v>
      </c>
      <c r="D2552">
        <v>4.1250369999999998</v>
      </c>
      <c r="E2552">
        <v>0.43874740000000001</v>
      </c>
      <c r="F2552" t="s">
        <v>66</v>
      </c>
      <c r="G2552">
        <v>-370.65120000000002</v>
      </c>
      <c r="H2552">
        <v>1.670029</v>
      </c>
      <c r="I2552">
        <v>268.36970000000002</v>
      </c>
      <c r="J2552">
        <v>-269.48140000000001</v>
      </c>
      <c r="K2552">
        <v>1.1106149999999999</v>
      </c>
      <c r="L2552">
        <v>284.20339999999999</v>
      </c>
      <c r="M2552">
        <v>-0.99999039999999995</v>
      </c>
      <c r="N2552">
        <v>0</v>
      </c>
      <c r="O2552">
        <v>-1.237241E-3</v>
      </c>
      <c r="P2552">
        <v>-0.99987099999999995</v>
      </c>
      <c r="Q2552">
        <v>1.273021E-2</v>
      </c>
      <c r="R2552">
        <v>-9.8292410000000007E-3</v>
      </c>
      <c r="S2552">
        <v>-2.996613</v>
      </c>
      <c r="T2552">
        <v>1.6497609999999999E-2</v>
      </c>
      <c r="U2552">
        <v>-0.46698000000000001</v>
      </c>
      <c r="V2552">
        <v>-8.6816769999999901E-3</v>
      </c>
      <c r="W2552">
        <v>1.6925780000000001E-2</v>
      </c>
      <c r="X2552">
        <v>0.99981900000000001</v>
      </c>
      <c r="Y2552">
        <v>-0.15275269999999999</v>
      </c>
      <c r="Z2552">
        <v>4.1118799999999999E-4</v>
      </c>
      <c r="AA2552">
        <v>0.98826440000000004</v>
      </c>
      <c r="AB2552">
        <v>42</v>
      </c>
      <c r="AC2552">
        <v>-101.1698</v>
      </c>
      <c r="AD2552">
        <v>0.55941399999999997</v>
      </c>
      <c r="AE2552">
        <v>-15.833699999999901</v>
      </c>
      <c r="AF2552">
        <v>-15.7080465614104</v>
      </c>
      <c r="AG2552">
        <v>0.55941399999999997</v>
      </c>
      <c r="AH2552">
        <v>101.18629304863801</v>
      </c>
      <c r="AI2552">
        <v>89.686989459311206</v>
      </c>
      <c r="AJ2552">
        <v>98.824098072985393</v>
      </c>
      <c r="AK2552">
        <v>102.39981236176099</v>
      </c>
      <c r="AL2552">
        <v>89.030177876037698</v>
      </c>
      <c r="AM2552">
        <v>90.497500997730199</v>
      </c>
      <c r="AN2552">
        <v>0.99999994315256802</v>
      </c>
    </row>
    <row r="2553" spans="1:40" x14ac:dyDescent="0.25">
      <c r="A2553" t="str">
        <f>"20190312153937008"</f>
        <v>20190312153937008</v>
      </c>
      <c r="B2553" t="str">
        <f>"1552376376998622"</f>
        <v>1552376376998622</v>
      </c>
      <c r="C2553" t="s">
        <v>40</v>
      </c>
      <c r="D2553">
        <v>4.1349900000000002</v>
      </c>
      <c r="E2553">
        <v>0.43581839999999999</v>
      </c>
      <c r="F2553" t="s">
        <v>66</v>
      </c>
      <c r="G2553">
        <v>-363.89210000000003</v>
      </c>
      <c r="H2553">
        <v>1.9848840000000001</v>
      </c>
      <c r="I2553">
        <v>267.85000000000002</v>
      </c>
      <c r="J2553">
        <v>-269.87950000000001</v>
      </c>
      <c r="K2553">
        <v>1.11054599999999</v>
      </c>
      <c r="L2553">
        <v>284.20190000000002</v>
      </c>
      <c r="M2553">
        <v>-0.99998710000000002</v>
      </c>
      <c r="N2553">
        <v>0</v>
      </c>
      <c r="O2553">
        <v>-2.8231810000000001E-3</v>
      </c>
      <c r="P2553">
        <v>-0.99985230000000003</v>
      </c>
      <c r="Q2553">
        <v>1.276479E-2</v>
      </c>
      <c r="R2553">
        <v>-1.152157E-2</v>
      </c>
      <c r="S2553">
        <v>-2.9949340000000002</v>
      </c>
      <c r="T2553">
        <v>2.773631E-2</v>
      </c>
      <c r="U2553">
        <v>-0.51876829999999996</v>
      </c>
      <c r="V2553">
        <v>-8.7860760000000003E-3</v>
      </c>
      <c r="W2553">
        <v>1.6985380000000001E-2</v>
      </c>
      <c r="X2553">
        <v>0.99981710000000001</v>
      </c>
      <c r="Y2553">
        <v>-0.16788449999999999</v>
      </c>
      <c r="Z2553">
        <v>7.4568339999999897E-4</v>
      </c>
      <c r="AA2553">
        <v>0.98580639999999997</v>
      </c>
      <c r="AB2553">
        <v>42</v>
      </c>
      <c r="AC2553">
        <v>-94.012600000000006</v>
      </c>
      <c r="AD2553">
        <v>0.87433799999999995</v>
      </c>
      <c r="AE2553">
        <v>-16.351900000000001</v>
      </c>
      <c r="AF2553">
        <v>-16.085067471129999</v>
      </c>
      <c r="AG2553">
        <v>0.87433799999999995</v>
      </c>
      <c r="AH2553">
        <v>94.050494179786</v>
      </c>
      <c r="AI2553">
        <v>89.474989071727194</v>
      </c>
      <c r="AJ2553">
        <v>99.705162594449106</v>
      </c>
      <c r="AK2553">
        <v>95.420067689931003</v>
      </c>
      <c r="AL2553">
        <v>89.026762578511395</v>
      </c>
      <c r="AM2553">
        <v>90.503484202928902</v>
      </c>
      <c r="AN2553">
        <v>0.99999996585881501</v>
      </c>
    </row>
    <row r="2554" spans="1:40" x14ac:dyDescent="0.25">
      <c r="A2554" t="str">
        <f>"20190312153937022"</f>
        <v>20190312153937022</v>
      </c>
      <c r="B2554" t="str">
        <f>"1552376377018142"</f>
        <v>1552376377018142</v>
      </c>
      <c r="C2554" t="s">
        <v>40</v>
      </c>
      <c r="D2554">
        <v>4.1273249999999999</v>
      </c>
      <c r="E2554">
        <v>0.43431560000000002</v>
      </c>
      <c r="F2554" t="s">
        <v>66</v>
      </c>
      <c r="G2554">
        <v>-359.3603</v>
      </c>
      <c r="H2554">
        <v>1.9160440000000001</v>
      </c>
      <c r="I2554">
        <v>267.85000000000002</v>
      </c>
      <c r="J2554">
        <v>-270.13709999999998</v>
      </c>
      <c r="K2554">
        <v>1.110498</v>
      </c>
      <c r="L2554">
        <v>284.20069999999998</v>
      </c>
      <c r="M2554">
        <v>-0.99998370000000003</v>
      </c>
      <c r="N2554">
        <v>0</v>
      </c>
      <c r="O2554">
        <v>-3.8041519999999999E-3</v>
      </c>
      <c r="P2554">
        <v>-0.99983849999999996</v>
      </c>
      <c r="Q2554">
        <v>1.2660950000000001E-2</v>
      </c>
      <c r="R2554">
        <v>-1.276381E-2</v>
      </c>
      <c r="S2554">
        <v>-2.9937740000000002</v>
      </c>
      <c r="T2554">
        <v>2.6952150000000001E-2</v>
      </c>
      <c r="U2554">
        <v>-0.54708859999999904</v>
      </c>
      <c r="V2554">
        <v>-9.0449640000000008E-3</v>
      </c>
      <c r="W2554">
        <v>1.689765E-2</v>
      </c>
      <c r="X2554">
        <v>0.99981629999999999</v>
      </c>
      <c r="Y2554">
        <v>-0.1760149</v>
      </c>
      <c r="Z2554">
        <v>7.5182210000000001E-4</v>
      </c>
      <c r="AA2554">
        <v>0.98438720000000002</v>
      </c>
      <c r="AB2554">
        <v>42</v>
      </c>
      <c r="AC2554">
        <v>-89.223200000000006</v>
      </c>
      <c r="AD2554">
        <v>0.80554599999999899</v>
      </c>
      <c r="AE2554">
        <v>-16.3506999999999</v>
      </c>
      <c r="AF2554">
        <v>-16.009897388459901</v>
      </c>
      <c r="AG2554">
        <v>0.80554599999999899</v>
      </c>
      <c r="AH2554">
        <v>89.277714683646295</v>
      </c>
      <c r="AI2554">
        <v>89.491155161838506</v>
      </c>
      <c r="AJ2554">
        <v>100.166614850128</v>
      </c>
      <c r="AK2554">
        <v>90.705435657857294</v>
      </c>
      <c r="AL2554">
        <v>89.031789880217104</v>
      </c>
      <c r="AM2554">
        <v>90.518319341216397</v>
      </c>
      <c r="AN2554">
        <v>0.999999987847486</v>
      </c>
    </row>
    <row r="2555" spans="1:40" x14ac:dyDescent="0.25">
      <c r="A2555" t="str">
        <f>"20190312153937035"</f>
        <v>20190312153937035</v>
      </c>
      <c r="B2555" t="str">
        <f>"1552376377028879"</f>
        <v>1552376377028879</v>
      </c>
      <c r="C2555" t="s">
        <v>40</v>
      </c>
      <c r="D2555">
        <v>4.1402999999999999</v>
      </c>
      <c r="E2555">
        <v>0.43387609999999899</v>
      </c>
      <c r="F2555" t="s">
        <v>66</v>
      </c>
      <c r="G2555">
        <v>-354.3304</v>
      </c>
      <c r="H2555">
        <v>1.862144</v>
      </c>
      <c r="I2555">
        <v>268.36970000000002</v>
      </c>
      <c r="J2555">
        <v>-270.40339999999998</v>
      </c>
      <c r="K2555">
        <v>1.110449</v>
      </c>
      <c r="L2555">
        <v>284.19920000000002</v>
      </c>
      <c r="M2555">
        <v>-0.99997930000000002</v>
      </c>
      <c r="N2555">
        <v>0</v>
      </c>
      <c r="O2555">
        <v>-4.7804570000000001E-3</v>
      </c>
      <c r="P2555">
        <v>-0.99982629999999995</v>
      </c>
      <c r="Q2555">
        <v>1.272934E-2</v>
      </c>
      <c r="R2555">
        <v>-1.3621380000000001E-2</v>
      </c>
      <c r="S2555">
        <v>-2.9929809999999999</v>
      </c>
      <c r="T2555">
        <v>2.672279E-2</v>
      </c>
      <c r="U2555">
        <v>-0.56277469999999996</v>
      </c>
      <c r="V2555">
        <v>-8.9243320000000001E-3</v>
      </c>
      <c r="W2555">
        <v>1.6984900000000001E-2</v>
      </c>
      <c r="X2555">
        <v>0.99981589999999998</v>
      </c>
      <c r="Y2555">
        <v>-0.180086</v>
      </c>
      <c r="Z2555">
        <v>7.5464309999999997E-4</v>
      </c>
      <c r="AA2555">
        <v>0.98365060000000004</v>
      </c>
      <c r="AB2555">
        <v>43</v>
      </c>
      <c r="AC2555">
        <v>-83.927000000000007</v>
      </c>
      <c r="AD2555">
        <v>0.751694999999999</v>
      </c>
      <c r="AE2555">
        <v>-15.8294999999999</v>
      </c>
      <c r="AF2555">
        <v>-15.426910959116</v>
      </c>
      <c r="AG2555">
        <v>0.751694999999999</v>
      </c>
      <c r="AH2555">
        <v>83.995207351738799</v>
      </c>
      <c r="AI2555">
        <v>89.495693599481598</v>
      </c>
      <c r="AJ2555">
        <v>100.40719648941599</v>
      </c>
      <c r="AK2555">
        <v>85.403451248618296</v>
      </c>
      <c r="AL2555">
        <v>89.026790100370306</v>
      </c>
      <c r="AM2555">
        <v>90.511407129629006</v>
      </c>
      <c r="AN2555">
        <v>0.99999998221123299</v>
      </c>
    </row>
    <row r="2556" spans="1:40" x14ac:dyDescent="0.25">
      <c r="A2556" t="str">
        <f>"20190312153937053"</f>
        <v>20190312153937053</v>
      </c>
      <c r="B2556" t="str">
        <f>"1552376377048399"</f>
        <v>1552376377048399</v>
      </c>
      <c r="C2556" t="s">
        <v>40</v>
      </c>
      <c r="D2556">
        <v>4.168552</v>
      </c>
      <c r="E2556">
        <v>0.43303320000000001</v>
      </c>
      <c r="F2556" t="s">
        <v>66</v>
      </c>
      <c r="G2556">
        <v>-353.6755</v>
      </c>
      <c r="H2556">
        <v>1.8495459999999999</v>
      </c>
      <c r="I2556">
        <v>268.36970000000002</v>
      </c>
      <c r="J2556">
        <v>-270.71940000000001</v>
      </c>
      <c r="K2556">
        <v>1.1103879999999999</v>
      </c>
      <c r="L2556">
        <v>284.197</v>
      </c>
      <c r="M2556">
        <v>-0.99997340000000001</v>
      </c>
      <c r="N2556">
        <v>0</v>
      </c>
      <c r="O2556">
        <v>-5.8799359999999997E-3</v>
      </c>
      <c r="P2556">
        <v>-0.99982009999999999</v>
      </c>
      <c r="Q2556">
        <v>1.261366E-2</v>
      </c>
      <c r="R2556">
        <v>-1.417293E-2</v>
      </c>
      <c r="S2556">
        <v>-2.9924620000000002</v>
      </c>
      <c r="T2556">
        <v>2.6562809999999999E-2</v>
      </c>
      <c r="U2556">
        <v>-0.56884769999999996</v>
      </c>
      <c r="V2556">
        <v>-8.3732219999999996E-3</v>
      </c>
      <c r="W2556">
        <v>1.6894799999999901E-2</v>
      </c>
      <c r="X2556">
        <v>0.99982219999999999</v>
      </c>
      <c r="Y2556">
        <v>-0.18096290000000001</v>
      </c>
      <c r="Z2556">
        <v>7.4429979999999997E-4</v>
      </c>
      <c r="AA2556">
        <v>0.98348959999999996</v>
      </c>
      <c r="AB2556">
        <v>43</v>
      </c>
      <c r="AC2556">
        <v>-82.956099999999907</v>
      </c>
      <c r="AD2556">
        <v>0.73915799999999998</v>
      </c>
      <c r="AE2556">
        <v>-15.8272999999999</v>
      </c>
      <c r="AF2556">
        <v>-15.338070333837299</v>
      </c>
      <c r="AG2556">
        <v>0.73915799999999998</v>
      </c>
      <c r="AH2556">
        <v>83.0413690119683</v>
      </c>
      <c r="AI2556">
        <v>89.498501327884199</v>
      </c>
      <c r="AJ2556">
        <v>100.464817164438</v>
      </c>
      <c r="AK2556">
        <v>84.449225712830497</v>
      </c>
      <c r="AL2556">
        <v>89.031953197003702</v>
      </c>
      <c r="AM2556">
        <v>90.479824378885098</v>
      </c>
      <c r="AN2556">
        <v>0.99999998836326998</v>
      </c>
    </row>
    <row r="2557" spans="1:40" x14ac:dyDescent="0.25">
      <c r="A2557" t="str">
        <f>"20190312153937074"</f>
        <v>20190312153937074</v>
      </c>
      <c r="B2557" t="str">
        <f>"1552376377067922"</f>
        <v>1552376377067922</v>
      </c>
      <c r="C2557" t="s">
        <v>40</v>
      </c>
      <c r="D2557">
        <v>4.1013019999999996</v>
      </c>
      <c r="E2557">
        <v>0.43233310000000003</v>
      </c>
      <c r="F2557" t="s">
        <v>66</v>
      </c>
      <c r="G2557">
        <v>-352.76749999999998</v>
      </c>
      <c r="H2557">
        <v>1.7965979999999999</v>
      </c>
      <c r="I2557">
        <v>268.36970000000002</v>
      </c>
      <c r="J2557">
        <v>-271.14299999999997</v>
      </c>
      <c r="K2557">
        <v>1.1103099999999999</v>
      </c>
      <c r="L2557">
        <v>284.19369999999998</v>
      </c>
      <c r="M2557">
        <v>-0.99996410000000002</v>
      </c>
      <c r="N2557">
        <v>0</v>
      </c>
      <c r="O2557">
        <v>-7.2810660000000001E-3</v>
      </c>
      <c r="P2557">
        <v>-0.99981089999999995</v>
      </c>
      <c r="Q2557">
        <v>1.245309E-2</v>
      </c>
      <c r="R2557">
        <v>-1.493717E-2</v>
      </c>
      <c r="S2557">
        <v>-2.9920650000000002</v>
      </c>
      <c r="T2557">
        <v>2.5026799999999998E-2</v>
      </c>
      <c r="U2557">
        <v>-0.577179</v>
      </c>
      <c r="V2557">
        <v>-7.7324830000000001E-3</v>
      </c>
      <c r="W2557">
        <v>1.676797E-2</v>
      </c>
      <c r="X2557">
        <v>0.99982950000000004</v>
      </c>
      <c r="Y2557">
        <v>-0.182251</v>
      </c>
      <c r="Z2557">
        <v>6.9490030000000003E-4</v>
      </c>
      <c r="AA2557">
        <v>0.98325180000000001</v>
      </c>
      <c r="AB2557">
        <v>43</v>
      </c>
      <c r="AC2557">
        <v>-81.624499999999998</v>
      </c>
      <c r="AD2557">
        <v>0.68628799999999901</v>
      </c>
      <c r="AE2557">
        <v>-15.8239999999999</v>
      </c>
      <c r="AF2557">
        <v>-15.228224062587801</v>
      </c>
      <c r="AG2557">
        <v>0.68628799999999901</v>
      </c>
      <c r="AH2557">
        <v>81.731984448997693</v>
      </c>
      <c r="AI2557">
        <v>89.527048286526593</v>
      </c>
      <c r="AJ2557">
        <v>100.554274765108</v>
      </c>
      <c r="AK2557">
        <v>83.141368050390696</v>
      </c>
      <c r="AL2557">
        <v>89.039221054418903</v>
      </c>
      <c r="AM2557">
        <v>90.443105357874202</v>
      </c>
      <c r="AN2557">
        <v>0.999999992590758</v>
      </c>
    </row>
    <row r="2558" spans="1:40" x14ac:dyDescent="0.25">
      <c r="A2558" t="str">
        <f>"20190312153937086"</f>
        <v>20190312153937086</v>
      </c>
      <c r="B2558" t="str">
        <f>"1552376377078655"</f>
        <v>1552376377078655</v>
      </c>
      <c r="C2558" t="s">
        <v>40</v>
      </c>
      <c r="D2558">
        <v>4.1172389999999996</v>
      </c>
      <c r="E2558">
        <v>0.43204350000000002</v>
      </c>
      <c r="F2558" t="s">
        <v>66</v>
      </c>
      <c r="G2558">
        <v>-352.08690000000001</v>
      </c>
      <c r="H2558">
        <v>1.777496</v>
      </c>
      <c r="I2558">
        <v>268.36160000000001</v>
      </c>
      <c r="J2558">
        <v>-271.37790000000001</v>
      </c>
      <c r="K2558">
        <v>1.1102639999999999</v>
      </c>
      <c r="L2558">
        <v>284.19159999999999</v>
      </c>
      <c r="M2558">
        <v>-0.99995840000000003</v>
      </c>
      <c r="N2558">
        <v>0</v>
      </c>
      <c r="O2558">
        <v>-8.0167709999999903E-3</v>
      </c>
      <c r="P2558">
        <v>-0.99980780000000002</v>
      </c>
      <c r="Q2558">
        <v>1.221156E-2</v>
      </c>
      <c r="R2558">
        <v>-1.5354100000000001E-2</v>
      </c>
      <c r="S2558">
        <v>-2.9914860000000001</v>
      </c>
      <c r="T2558">
        <v>2.4660230000000002E-2</v>
      </c>
      <c r="U2558">
        <v>-0.58511349999999995</v>
      </c>
      <c r="V2558">
        <v>-7.4111769999999997E-3</v>
      </c>
      <c r="W2558">
        <v>1.6546269999999998E-2</v>
      </c>
      <c r="X2558">
        <v>0.99983560000000005</v>
      </c>
      <c r="Y2558">
        <v>-0.18407599999999999</v>
      </c>
      <c r="Z2558">
        <v>6.8612709999999995E-4</v>
      </c>
      <c r="AA2558">
        <v>0.9829118</v>
      </c>
      <c r="AB2558">
        <v>43</v>
      </c>
      <c r="AC2558">
        <v>-80.709000000000003</v>
      </c>
      <c r="AD2558">
        <v>0.66723199999999905</v>
      </c>
      <c r="AE2558">
        <v>-15.829999999999901</v>
      </c>
      <c r="AF2558">
        <v>-15.1814604539932</v>
      </c>
      <c r="AG2558">
        <v>0.66723199999999905</v>
      </c>
      <c r="AH2558">
        <v>80.827993481793797</v>
      </c>
      <c r="AI2558">
        <v>89.535164072344003</v>
      </c>
      <c r="AJ2558">
        <v>100.63760361236</v>
      </c>
      <c r="AK2558">
        <v>82.244066475040498</v>
      </c>
      <c r="AL2558">
        <v>89.051925266044805</v>
      </c>
      <c r="AM2558">
        <v>90.424691205928795</v>
      </c>
      <c r="AN2558">
        <v>0.99999996581139805</v>
      </c>
    </row>
    <row r="2559" spans="1:40" x14ac:dyDescent="0.25">
      <c r="A2559" t="str">
        <f>"20190312153937099"</f>
        <v>20190312153937099</v>
      </c>
      <c r="B2559" t="str">
        <f>"1552376377088415"</f>
        <v>1552376377088415</v>
      </c>
      <c r="C2559" t="s">
        <v>40</v>
      </c>
      <c r="D2559">
        <v>4.1026889999999998</v>
      </c>
      <c r="E2559">
        <v>0.43179509999999999</v>
      </c>
      <c r="F2559" t="s">
        <v>66</v>
      </c>
      <c r="G2559">
        <v>-352.08690000000001</v>
      </c>
      <c r="H2559">
        <v>1.7546619999999999</v>
      </c>
      <c r="I2559">
        <v>268.2998</v>
      </c>
      <c r="J2559">
        <v>-271.61279999999999</v>
      </c>
      <c r="K2559">
        <v>1.1102209999999999</v>
      </c>
      <c r="L2559">
        <v>284.18939999999998</v>
      </c>
      <c r="M2559">
        <v>-0.99995239999999996</v>
      </c>
      <c r="N2559">
        <v>0</v>
      </c>
      <c r="O2559">
        <v>-8.7377040000000007E-3</v>
      </c>
      <c r="P2559">
        <v>-0.99980029999999998</v>
      </c>
      <c r="Q2559">
        <v>1.2053680000000001E-2</v>
      </c>
      <c r="R2559">
        <v>-1.5955509999999999E-2</v>
      </c>
      <c r="S2559">
        <v>-2.9912719999999999</v>
      </c>
      <c r="T2559">
        <v>2.3885610000000002E-2</v>
      </c>
      <c r="U2559">
        <v>-0.58898930000000005</v>
      </c>
      <c r="V2559">
        <v>-7.2896200000000001E-3</v>
      </c>
      <c r="W2559">
        <v>1.640658E-2</v>
      </c>
      <c r="X2559">
        <v>0.99983880000000003</v>
      </c>
      <c r="Y2559">
        <v>-0.1846071</v>
      </c>
      <c r="Z2559">
        <v>6.6094109999999999E-4</v>
      </c>
      <c r="AA2559">
        <v>0.98281220000000002</v>
      </c>
      <c r="AB2559">
        <v>43</v>
      </c>
      <c r="AC2559">
        <v>-80.474100000000007</v>
      </c>
      <c r="AD2559">
        <v>0.64444099999999904</v>
      </c>
      <c r="AE2559">
        <v>-15.8895999999999</v>
      </c>
      <c r="AF2559">
        <v>-15.184890667796701</v>
      </c>
      <c r="AG2559">
        <v>0.64444099999999904</v>
      </c>
      <c r="AH2559">
        <v>80.604892673253602</v>
      </c>
      <c r="AI2559">
        <v>89.549844465229398</v>
      </c>
      <c r="AJ2559">
        <v>100.66872676665</v>
      </c>
      <c r="AK2559">
        <v>82.025270079787902</v>
      </c>
      <c r="AL2559">
        <v>89.059930004503798</v>
      </c>
      <c r="AM2559">
        <v>90.417724397247994</v>
      </c>
      <c r="AN2559">
        <v>0.99999997020623999</v>
      </c>
    </row>
    <row r="2560" spans="1:40" x14ac:dyDescent="0.25">
      <c r="A2560" t="str">
        <f>"20190312153937109"</f>
        <v>20190312153937109</v>
      </c>
      <c r="B2560" t="str">
        <f>"1552376377098175"</f>
        <v>1552376377098175</v>
      </c>
      <c r="C2560" t="s">
        <v>40</v>
      </c>
      <c r="D2560">
        <v>4.1451880000000001</v>
      </c>
      <c r="E2560">
        <v>0.43161709999999898</v>
      </c>
      <c r="F2560" t="s">
        <v>66</v>
      </c>
      <c r="G2560">
        <v>-352.08690000000001</v>
      </c>
      <c r="H2560">
        <v>1.731039</v>
      </c>
      <c r="I2560">
        <v>268.24630000000002</v>
      </c>
      <c r="J2560">
        <v>-271.83420000000001</v>
      </c>
      <c r="K2560">
        <v>1.1101859999999999</v>
      </c>
      <c r="L2560">
        <v>284.18709999999999</v>
      </c>
      <c r="M2560">
        <v>-0.99994640000000001</v>
      </c>
      <c r="N2560">
        <v>0</v>
      </c>
      <c r="O2560">
        <v>-9.3871600000000003E-3</v>
      </c>
      <c r="P2560">
        <v>-0.99979470000000004</v>
      </c>
      <c r="Q2560">
        <v>1.1950540000000001E-2</v>
      </c>
      <c r="R2560">
        <v>-1.637802E-2</v>
      </c>
      <c r="S2560">
        <v>-2.9908450000000002</v>
      </c>
      <c r="T2560">
        <v>2.3075579999999998E-2</v>
      </c>
      <c r="U2560">
        <v>-0.59252930000000004</v>
      </c>
      <c r="V2560">
        <v>-7.060785E-3</v>
      </c>
      <c r="W2560">
        <v>1.6321240000000001E-2</v>
      </c>
      <c r="X2560">
        <v>0.99984189999999995</v>
      </c>
      <c r="Y2560">
        <v>-0.18511540000000001</v>
      </c>
      <c r="Z2560">
        <v>6.3552599999999997E-4</v>
      </c>
      <c r="AA2560">
        <v>0.98271660000000005</v>
      </c>
      <c r="AB2560">
        <v>43</v>
      </c>
      <c r="AC2560">
        <v>-80.252700000000004</v>
      </c>
      <c r="AD2560">
        <v>0.62085299999999899</v>
      </c>
      <c r="AE2560">
        <v>-15.9407999999999</v>
      </c>
      <c r="AF2560">
        <v>-15.185871143422601</v>
      </c>
      <c r="AG2560">
        <v>0.62085299999999899</v>
      </c>
      <c r="AH2560">
        <v>80.394175343902901</v>
      </c>
      <c r="AI2560">
        <v>89.565223954819203</v>
      </c>
      <c r="AJ2560">
        <v>100.696720402819</v>
      </c>
      <c r="AK2560">
        <v>81.818210503887499</v>
      </c>
      <c r="AL2560">
        <v>89.064820338389595</v>
      </c>
      <c r="AM2560">
        <v>90.404610424575196</v>
      </c>
      <c r="AN2560">
        <v>1.0000000312777799</v>
      </c>
    </row>
    <row r="2561" spans="1:40" x14ac:dyDescent="0.25">
      <c r="A2561" t="str">
        <f>"20190312153937123"</f>
        <v>20190312153937123</v>
      </c>
      <c r="B2561" t="str">
        <f>"1552376377118671"</f>
        <v>1552376377118671</v>
      </c>
      <c r="C2561" t="s">
        <v>40</v>
      </c>
      <c r="D2561">
        <v>4.1412459999999998</v>
      </c>
      <c r="E2561">
        <v>0.43127290000000001</v>
      </c>
      <c r="F2561" t="s">
        <v>66</v>
      </c>
      <c r="G2561">
        <v>-352.08690000000001</v>
      </c>
      <c r="H2561">
        <v>1.693689</v>
      </c>
      <c r="I2561">
        <v>268.21089999999998</v>
      </c>
      <c r="J2561">
        <v>-272.08100000000002</v>
      </c>
      <c r="K2561">
        <v>1.110142</v>
      </c>
      <c r="L2561">
        <v>284.18439999999998</v>
      </c>
      <c r="M2561">
        <v>-0.99993940000000003</v>
      </c>
      <c r="N2561">
        <v>0</v>
      </c>
      <c r="O2561">
        <v>-1.009703E-2</v>
      </c>
      <c r="P2561">
        <v>-0.99978129999999998</v>
      </c>
      <c r="Q2561">
        <v>1.2136020000000001E-2</v>
      </c>
      <c r="R2561">
        <v>-1.704191E-2</v>
      </c>
      <c r="S2561">
        <v>-2.9905400000000002</v>
      </c>
      <c r="T2561">
        <v>2.1746399999999999E-2</v>
      </c>
      <c r="U2561">
        <v>-0.59533689999999995</v>
      </c>
      <c r="V2561">
        <v>-7.0135619999999897E-3</v>
      </c>
      <c r="W2561">
        <v>1.6526249999999999E-2</v>
      </c>
      <c r="X2561">
        <v>0.99983880000000003</v>
      </c>
      <c r="Y2561">
        <v>-0.18532499999999999</v>
      </c>
      <c r="Z2561">
        <v>5.9457119999999997E-4</v>
      </c>
      <c r="AA2561">
        <v>0.98267709999999997</v>
      </c>
      <c r="AB2561">
        <v>43</v>
      </c>
      <c r="AC2561">
        <v>-80.005899999999997</v>
      </c>
      <c r="AD2561">
        <v>0.58354700000000004</v>
      </c>
      <c r="AE2561">
        <v>-15.9735</v>
      </c>
      <c r="AF2561">
        <v>-15.1640801708485</v>
      </c>
      <c r="AG2561">
        <v>0.58354700000000004</v>
      </c>
      <c r="AH2561">
        <v>80.159007027846698</v>
      </c>
      <c r="AI2561">
        <v>89.590170258857896</v>
      </c>
      <c r="AJ2561">
        <v>100.712338144513</v>
      </c>
      <c r="AK2561">
        <v>81.582818425324703</v>
      </c>
      <c r="AL2561">
        <v>89.053072485093793</v>
      </c>
      <c r="AM2561">
        <v>90.401905698255106</v>
      </c>
      <c r="AN2561">
        <v>0.99999996648821399</v>
      </c>
    </row>
    <row r="2562" spans="1:40" x14ac:dyDescent="0.25">
      <c r="A2562" t="str">
        <f>"20190312153937136"</f>
        <v>20190312153937136</v>
      </c>
      <c r="B2562" t="str">
        <f>"1552376377128431"</f>
        <v>1552376377128431</v>
      </c>
      <c r="C2562" t="s">
        <v>40</v>
      </c>
      <c r="D2562">
        <v>4.159529</v>
      </c>
      <c r="E2562">
        <v>0.43112159999999999</v>
      </c>
      <c r="F2562" t="s">
        <v>66</v>
      </c>
      <c r="G2562">
        <v>-352.08690000000001</v>
      </c>
      <c r="H2562">
        <v>1.66416899999999</v>
      </c>
      <c r="I2562">
        <v>268.12959999999998</v>
      </c>
      <c r="J2562">
        <v>-272.34089999999998</v>
      </c>
      <c r="K2562">
        <v>1.110098</v>
      </c>
      <c r="L2562">
        <v>284.18150000000003</v>
      </c>
      <c r="M2562">
        <v>-0.99993160000000003</v>
      </c>
      <c r="N2562">
        <v>0</v>
      </c>
      <c r="O2562">
        <v>-1.0826469999999999E-2</v>
      </c>
      <c r="P2562">
        <v>-0.99976960000000004</v>
      </c>
      <c r="Q2562">
        <v>1.224596E-2</v>
      </c>
      <c r="R2562">
        <v>-1.7639180000000001E-2</v>
      </c>
      <c r="S2562">
        <v>-2.990173</v>
      </c>
      <c r="T2562">
        <v>2.0709160000000001E-2</v>
      </c>
      <c r="U2562">
        <v>-0.60003660000000003</v>
      </c>
      <c r="V2562">
        <v>-6.8805300000000002E-3</v>
      </c>
      <c r="W2562">
        <v>1.665736E-2</v>
      </c>
      <c r="X2562">
        <v>0.99983759999999999</v>
      </c>
      <c r="Y2562">
        <v>-0.1861168</v>
      </c>
      <c r="Z2562">
        <v>5.6390979999999997E-4</v>
      </c>
      <c r="AA2562">
        <v>0.9825275</v>
      </c>
      <c r="AB2562">
        <v>43</v>
      </c>
      <c r="AC2562">
        <v>-79.745999999999995</v>
      </c>
      <c r="AD2562">
        <v>0.55407099999999898</v>
      </c>
      <c r="AE2562">
        <v>-16.0519</v>
      </c>
      <c r="AF2562">
        <v>-15.186878498906101</v>
      </c>
      <c r="AG2562">
        <v>0.55407099999999898</v>
      </c>
      <c r="AH2562">
        <v>79.9114058470321</v>
      </c>
      <c r="AI2562">
        <v>89.609727429987004</v>
      </c>
      <c r="AJ2562">
        <v>100.760535383023</v>
      </c>
      <c r="AK2562">
        <v>81.343598750379002</v>
      </c>
      <c r="AL2562">
        <v>89.045559450013201</v>
      </c>
      <c r="AM2562">
        <v>90.394283138452295</v>
      </c>
      <c r="AN2562">
        <v>1.0000000178545001</v>
      </c>
    </row>
    <row r="2563" spans="1:40" x14ac:dyDescent="0.25">
      <c r="A2563" t="str">
        <f>"20190312153937153"</f>
        <v>20190312153937153</v>
      </c>
      <c r="B2563" t="str">
        <f>"1552376377147952"</f>
        <v>1552376377147952</v>
      </c>
      <c r="C2563" t="s">
        <v>40</v>
      </c>
      <c r="D2563">
        <v>4.1359769999999996</v>
      </c>
      <c r="E2563">
        <v>0.43086350000000001</v>
      </c>
      <c r="F2563" t="s">
        <v>66</v>
      </c>
      <c r="G2563">
        <v>-352.08690000000001</v>
      </c>
      <c r="H2563">
        <v>1.6695709999999999</v>
      </c>
      <c r="I2563">
        <v>268.09730000000002</v>
      </c>
      <c r="J2563">
        <v>-272.6635</v>
      </c>
      <c r="K2563">
        <v>1.1100479999999999</v>
      </c>
      <c r="L2563">
        <v>284.17739999999998</v>
      </c>
      <c r="M2563">
        <v>-0.99992170000000002</v>
      </c>
      <c r="N2563">
        <v>0</v>
      </c>
      <c r="O2563">
        <v>-1.169772E-2</v>
      </c>
      <c r="P2563">
        <v>-0.99976109999999896</v>
      </c>
      <c r="Q2563">
        <v>1.196905E-2</v>
      </c>
      <c r="R2563">
        <v>-1.8294899999999999E-2</v>
      </c>
      <c r="S2563">
        <v>-2.9898380000000002</v>
      </c>
      <c r="T2563">
        <v>2.0978449999999999E-2</v>
      </c>
      <c r="U2563">
        <v>-0.60302730000000004</v>
      </c>
      <c r="V2563">
        <v>-6.6622010000000004E-3</v>
      </c>
      <c r="W2563">
        <v>1.640753E-2</v>
      </c>
      <c r="X2563">
        <v>0.99984320000000004</v>
      </c>
      <c r="Y2563">
        <v>-0.18622639999999999</v>
      </c>
      <c r="Z2563">
        <v>5.6558179999999995E-4</v>
      </c>
      <c r="AA2563">
        <v>0.98250669999999996</v>
      </c>
      <c r="AB2563">
        <v>43</v>
      </c>
      <c r="AC2563">
        <v>-79.423400000000001</v>
      </c>
      <c r="AD2563">
        <v>0.55952299999999999</v>
      </c>
      <c r="AE2563">
        <v>-16.080099999999899</v>
      </c>
      <c r="AF2563">
        <v>-15.1491956538382</v>
      </c>
      <c r="AG2563">
        <v>0.55952299999999999</v>
      </c>
      <c r="AH2563">
        <v>79.602273004043298</v>
      </c>
      <c r="AI2563">
        <v>89.604376051363602</v>
      </c>
      <c r="AJ2563">
        <v>100.77516943494101</v>
      </c>
      <c r="AK2563">
        <v>81.032913450992496</v>
      </c>
      <c r="AL2563">
        <v>89.059875601976103</v>
      </c>
      <c r="AM2563">
        <v>90.381770212037793</v>
      </c>
      <c r="AN2563">
        <v>1.0000000082745499</v>
      </c>
    </row>
    <row r="2564" spans="1:40" x14ac:dyDescent="0.25">
      <c r="A2564" t="str">
        <f>"20190312153937167"</f>
        <v>20190312153937167</v>
      </c>
      <c r="B2564" t="str">
        <f>"1552376377158687"</f>
        <v>1552376377158687</v>
      </c>
      <c r="C2564" t="s">
        <v>40</v>
      </c>
      <c r="D2564">
        <v>4.1737520000000004</v>
      </c>
      <c r="E2564">
        <v>0.4307686</v>
      </c>
      <c r="F2564" t="s">
        <v>66</v>
      </c>
      <c r="G2564">
        <v>-352.08690000000001</v>
      </c>
      <c r="H2564">
        <v>1.6583599999999901</v>
      </c>
      <c r="I2564">
        <v>268.0471</v>
      </c>
      <c r="J2564">
        <v>-272.93130000000002</v>
      </c>
      <c r="K2564">
        <v>1.1100080000000001</v>
      </c>
      <c r="L2564">
        <v>284.1739</v>
      </c>
      <c r="M2564">
        <v>-0.9999131</v>
      </c>
      <c r="N2564">
        <v>0</v>
      </c>
      <c r="O2564">
        <v>-1.240074E-2</v>
      </c>
      <c r="P2564">
        <v>-0.99974680000000005</v>
      </c>
      <c r="Q2564">
        <v>1.1959640000000001E-2</v>
      </c>
      <c r="R2564">
        <v>-1.905745E-2</v>
      </c>
      <c r="S2564">
        <v>-2.9893489999999998</v>
      </c>
      <c r="T2564">
        <v>2.064013E-2</v>
      </c>
      <c r="U2564">
        <v>-0.60711669999999995</v>
      </c>
      <c r="V2564">
        <v>-6.7203649999999998E-3</v>
      </c>
      <c r="W2564">
        <v>1.6419929999999999E-2</v>
      </c>
      <c r="X2564">
        <v>0.99984260000000003</v>
      </c>
      <c r="Y2564">
        <v>-0.186858</v>
      </c>
      <c r="Z2564">
        <v>5.5383199999999998E-4</v>
      </c>
      <c r="AA2564">
        <v>0.9823868</v>
      </c>
      <c r="AB2564">
        <v>43</v>
      </c>
      <c r="AC2564">
        <v>-79.155599999999893</v>
      </c>
      <c r="AD2564">
        <v>0.54835199999999995</v>
      </c>
      <c r="AE2564">
        <v>-16.126799999999999</v>
      </c>
      <c r="AF2564">
        <v>-15.143264342854</v>
      </c>
      <c r="AG2564">
        <v>0.54835199999999995</v>
      </c>
      <c r="AH2564">
        <v>79.345843598600496</v>
      </c>
      <c r="AI2564">
        <v>89.611060162896905</v>
      </c>
      <c r="AJ2564">
        <v>100.805041004462</v>
      </c>
      <c r="AK2564">
        <v>80.779836848356098</v>
      </c>
      <c r="AL2564">
        <v>89.0591650318337</v>
      </c>
      <c r="AM2564">
        <v>90.385103368201001</v>
      </c>
      <c r="AN2564">
        <v>1.0000000010908401</v>
      </c>
    </row>
    <row r="2565" spans="1:40" x14ac:dyDescent="0.25">
      <c r="A2565" t="str">
        <f>"20190312153937182"</f>
        <v>20190312153937182</v>
      </c>
      <c r="B2565" t="str">
        <f>"1552376377168446"</f>
        <v>1552376377168446</v>
      </c>
      <c r="C2565" t="s">
        <v>40</v>
      </c>
      <c r="D2565">
        <v>4.1622890000000003</v>
      </c>
      <c r="E2565">
        <v>0.43068659999999998</v>
      </c>
      <c r="F2565" t="s">
        <v>66</v>
      </c>
      <c r="G2565">
        <v>-352.08690000000001</v>
      </c>
      <c r="H2565">
        <v>1.646725</v>
      </c>
      <c r="I2565">
        <v>268.01639999999998</v>
      </c>
      <c r="J2565">
        <v>-273.2131</v>
      </c>
      <c r="K2565">
        <v>1.10997099999999</v>
      </c>
      <c r="L2565">
        <v>284.17</v>
      </c>
      <c r="M2565">
        <v>-0.99990369999999995</v>
      </c>
      <c r="N2565">
        <v>0</v>
      </c>
      <c r="O2565">
        <v>-1.312607E-2</v>
      </c>
      <c r="P2565">
        <v>-0.9997395</v>
      </c>
      <c r="Q2565">
        <v>1.175707E-2</v>
      </c>
      <c r="R2565">
        <v>-1.957296E-2</v>
      </c>
      <c r="S2565">
        <v>-2.9889220000000001</v>
      </c>
      <c r="T2565">
        <v>2.0269160000000001E-2</v>
      </c>
      <c r="U2565">
        <v>-0.61010739999999997</v>
      </c>
      <c r="V2565">
        <v>-6.5082250000000003E-3</v>
      </c>
      <c r="W2565">
        <v>1.6241619999999998E-2</v>
      </c>
      <c r="X2565">
        <v>0.99984689999999998</v>
      </c>
      <c r="Y2565">
        <v>-0.1871168</v>
      </c>
      <c r="Z2565">
        <v>5.3990359999999999E-4</v>
      </c>
      <c r="AA2565">
        <v>0.98233749999999997</v>
      </c>
      <c r="AB2565">
        <v>44</v>
      </c>
      <c r="AC2565">
        <v>-78.873800000000003</v>
      </c>
      <c r="AD2565">
        <v>0.53675399999999995</v>
      </c>
      <c r="AE2565">
        <v>-16.153600000000001</v>
      </c>
      <c r="AF2565">
        <v>-15.1162229352348</v>
      </c>
      <c r="AG2565">
        <v>0.53675399999999995</v>
      </c>
      <c r="AH2565">
        <v>79.075525621224898</v>
      </c>
      <c r="AI2565">
        <v>89.618006678639404</v>
      </c>
      <c r="AJ2565">
        <v>100.82220248129499</v>
      </c>
      <c r="AK2565">
        <v>80.509173719255301</v>
      </c>
      <c r="AL2565">
        <v>89.069382790210298</v>
      </c>
      <c r="AM2565">
        <v>90.372945656235899</v>
      </c>
      <c r="AN2565">
        <v>0.99999998532624201</v>
      </c>
    </row>
    <row r="2566" spans="1:40" x14ac:dyDescent="0.25">
      <c r="A2566" t="str">
        <f>"20190312153937198"</f>
        <v>20190312153937198</v>
      </c>
      <c r="B2566" t="str">
        <f>"1552376377187970"</f>
        <v>1552376377187970</v>
      </c>
      <c r="C2566" t="s">
        <v>40</v>
      </c>
      <c r="D2566">
        <v>4.1393370000000003</v>
      </c>
      <c r="E2566">
        <v>0.43044729999999998</v>
      </c>
      <c r="F2566" t="s">
        <v>66</v>
      </c>
      <c r="G2566">
        <v>-352.08690000000001</v>
      </c>
      <c r="H2566">
        <v>1.618628</v>
      </c>
      <c r="I2566">
        <v>268.0043</v>
      </c>
      <c r="J2566">
        <v>-273.5591</v>
      </c>
      <c r="K2566">
        <v>1.1099239999999999</v>
      </c>
      <c r="L2566">
        <v>284.16500000000002</v>
      </c>
      <c r="M2566">
        <v>-0.99989189999999994</v>
      </c>
      <c r="N2566">
        <v>0</v>
      </c>
      <c r="O2566">
        <v>-1.3994070000000001E-2</v>
      </c>
      <c r="P2566">
        <v>-0.99973020000000001</v>
      </c>
      <c r="Q2566">
        <v>1.1691740000000001E-2</v>
      </c>
      <c r="R2566">
        <v>-2.0078800000000001E-2</v>
      </c>
      <c r="S2566">
        <v>-2.9885250000000001</v>
      </c>
      <c r="T2566">
        <v>1.9275670000000002E-2</v>
      </c>
      <c r="U2566">
        <v>-0.61251829999999996</v>
      </c>
      <c r="V2566">
        <v>-6.1439800000000003E-3</v>
      </c>
      <c r="W2566">
        <v>1.620634E-2</v>
      </c>
      <c r="X2566">
        <v>0.99984980000000001</v>
      </c>
      <c r="Y2566">
        <v>-0.18705060000000001</v>
      </c>
      <c r="Z2566">
        <v>5.0771870000000001E-4</v>
      </c>
      <c r="AA2566">
        <v>0.98235019999999995</v>
      </c>
      <c r="AB2566">
        <v>44</v>
      </c>
      <c r="AC2566">
        <v>-78.527799999999999</v>
      </c>
      <c r="AD2566">
        <v>0.50870400000000005</v>
      </c>
      <c r="AE2566">
        <v>-16.160699999999999</v>
      </c>
      <c r="AF2566">
        <v>-15.0595764768776</v>
      </c>
      <c r="AG2566">
        <v>0.50870400000000005</v>
      </c>
      <c r="AH2566">
        <v>78.743096366610104</v>
      </c>
      <c r="AI2566">
        <v>89.6364460923091</v>
      </c>
      <c r="AJ2566">
        <v>100.827046977539</v>
      </c>
      <c r="AK2566">
        <v>80.1718457366661</v>
      </c>
      <c r="AL2566">
        <v>89.071404472718896</v>
      </c>
      <c r="AM2566">
        <v>90.352072574023097</v>
      </c>
      <c r="AN2566">
        <v>1.0000000082532301</v>
      </c>
    </row>
    <row r="2567" spans="1:40" x14ac:dyDescent="0.25">
      <c r="A2567" t="str">
        <f>"20190312153937210"</f>
        <v>20190312153937210</v>
      </c>
      <c r="B2567" t="str">
        <f>"1552376377198703"</f>
        <v>1552376377198703</v>
      </c>
      <c r="C2567" t="s">
        <v>40</v>
      </c>
      <c r="D2567">
        <v>4.1586470000000002</v>
      </c>
      <c r="E2567">
        <v>0.43029980000000001</v>
      </c>
      <c r="F2567" t="s">
        <v>66</v>
      </c>
      <c r="G2567">
        <v>-352.08690000000001</v>
      </c>
      <c r="H2567">
        <v>1.6138729999999999</v>
      </c>
      <c r="I2567">
        <v>267.98610000000002</v>
      </c>
      <c r="J2567">
        <v>-273.79410000000001</v>
      </c>
      <c r="K2567">
        <v>1.109893</v>
      </c>
      <c r="L2567">
        <v>284.16140000000001</v>
      </c>
      <c r="M2567">
        <v>-0.99988350000000004</v>
      </c>
      <c r="N2567">
        <v>0</v>
      </c>
      <c r="O2567">
        <v>-1.4568940000000001E-2</v>
      </c>
      <c r="P2567">
        <v>-0.99972499999999997</v>
      </c>
      <c r="Q2567">
        <v>1.130667E-2</v>
      </c>
      <c r="R2567">
        <v>-2.0542000000000001E-2</v>
      </c>
      <c r="S2567">
        <v>-2.988251</v>
      </c>
      <c r="T2567">
        <v>1.9179700000000001E-2</v>
      </c>
      <c r="U2567">
        <v>-0.61566160000000003</v>
      </c>
      <c r="V2567">
        <v>-6.0300680000000004E-3</v>
      </c>
      <c r="W2567">
        <v>1.5841600000000001E-2</v>
      </c>
      <c r="X2567">
        <v>0.99985639999999998</v>
      </c>
      <c r="Y2567">
        <v>-0.18749499999999999</v>
      </c>
      <c r="Z2567">
        <v>5.0294700000000001E-4</v>
      </c>
      <c r="AA2567">
        <v>0.98226539999999996</v>
      </c>
      <c r="AB2567">
        <v>44</v>
      </c>
      <c r="AC2567">
        <v>-78.2928</v>
      </c>
      <c r="AD2567">
        <v>0.50397999999999898</v>
      </c>
      <c r="AE2567">
        <v>-16.175299999999901</v>
      </c>
      <c r="AF2567">
        <v>-15.0323309188433</v>
      </c>
      <c r="AG2567">
        <v>0.50397999999999898</v>
      </c>
      <c r="AH2567">
        <v>78.517029539301404</v>
      </c>
      <c r="AI2567">
        <v>89.638798667756603</v>
      </c>
      <c r="AJ2567">
        <v>100.83830284328</v>
      </c>
      <c r="AK2567">
        <v>79.944661462598901</v>
      </c>
      <c r="AL2567">
        <v>89.092305274202303</v>
      </c>
      <c r="AM2567">
        <v>90.345542877795395</v>
      </c>
      <c r="AN2567">
        <v>1.00000006931579</v>
      </c>
    </row>
    <row r="2568" spans="1:40" x14ac:dyDescent="0.25">
      <c r="A2568" t="str">
        <f>"20190312153937223"</f>
        <v>20190312153937223</v>
      </c>
      <c r="B2568" t="str">
        <f>"1552376377208463"</f>
        <v>1552376377208463</v>
      </c>
      <c r="C2568" t="s">
        <v>40</v>
      </c>
      <c r="D2568">
        <v>4.1555970000000002</v>
      </c>
      <c r="E2568">
        <v>0.43017240000000001</v>
      </c>
      <c r="F2568" t="s">
        <v>66</v>
      </c>
      <c r="G2568">
        <v>-352.08690000000001</v>
      </c>
      <c r="H2568">
        <v>1.5772569999999999</v>
      </c>
      <c r="I2568">
        <v>267.9556</v>
      </c>
      <c r="J2568">
        <v>-274.02440000000001</v>
      </c>
      <c r="K2568">
        <v>1.109864</v>
      </c>
      <c r="L2568">
        <v>284.15769999999998</v>
      </c>
      <c r="M2568">
        <v>-0.99987510000000002</v>
      </c>
      <c r="N2568">
        <v>0</v>
      </c>
      <c r="O2568">
        <v>-1.512631E-2</v>
      </c>
      <c r="P2568">
        <v>-0.99971699999999997</v>
      </c>
      <c r="Q2568">
        <v>1.151224E-2</v>
      </c>
      <c r="R2568">
        <v>-2.081502E-2</v>
      </c>
      <c r="S2568">
        <v>-2.9879150000000001</v>
      </c>
      <c r="T2568">
        <v>1.7838949999999999E-2</v>
      </c>
      <c r="U2568">
        <v>-0.61846919999999905</v>
      </c>
      <c r="V2568">
        <v>-5.7458939999999997E-3</v>
      </c>
      <c r="W2568">
        <v>1.6067120000000001E-2</v>
      </c>
      <c r="X2568">
        <v>0.99985440000000003</v>
      </c>
      <c r="Y2568">
        <v>-0.18785499999999999</v>
      </c>
      <c r="Z2568">
        <v>4.6557009999999998E-4</v>
      </c>
      <c r="AA2568">
        <v>0.98219670000000003</v>
      </c>
      <c r="AB2568">
        <v>44</v>
      </c>
      <c r="AC2568">
        <v>-78.0625</v>
      </c>
      <c r="AD2568">
        <v>0.467393</v>
      </c>
      <c r="AE2568">
        <v>-16.202099999999898</v>
      </c>
      <c r="AF2568">
        <v>-15.0189201514481</v>
      </c>
      <c r="AG2568">
        <v>0.467393</v>
      </c>
      <c r="AH2568">
        <v>78.295958377394101</v>
      </c>
      <c r="AI2568">
        <v>89.664096991929995</v>
      </c>
      <c r="AJ2568">
        <v>100.858712130867</v>
      </c>
      <c r="AK2568">
        <v>79.7247986323368</v>
      </c>
      <c r="AL2568">
        <v>89.079382217095997</v>
      </c>
      <c r="AM2568">
        <v>90.329259791922794</v>
      </c>
      <c r="AN2568">
        <v>0.99999999442115595</v>
      </c>
    </row>
    <row r="2569" spans="1:40" x14ac:dyDescent="0.25">
      <c r="A2569" t="str">
        <f>"20190312153937234"</f>
        <v>20190312153937234</v>
      </c>
      <c r="B2569" t="str">
        <f>"1552376377227983"</f>
        <v>1552376377227983</v>
      </c>
      <c r="C2569" t="s">
        <v>40</v>
      </c>
      <c r="D2569">
        <v>4.1575819999999997</v>
      </c>
      <c r="E2569">
        <v>0.42996390000000001</v>
      </c>
      <c r="F2569" t="s">
        <v>66</v>
      </c>
      <c r="G2569">
        <v>-352.08690000000001</v>
      </c>
      <c r="H2569">
        <v>1.5913539999999999</v>
      </c>
      <c r="I2569">
        <v>267.95460000000003</v>
      </c>
      <c r="J2569">
        <v>-274.26549999999997</v>
      </c>
      <c r="K2569">
        <v>1.109839</v>
      </c>
      <c r="L2569">
        <v>284.15379999999999</v>
      </c>
      <c r="M2569">
        <v>-0.99986620000000004</v>
      </c>
      <c r="N2569">
        <v>0</v>
      </c>
      <c r="O2569">
        <v>-1.5702270000000001E-2</v>
      </c>
      <c r="P2569">
        <v>-0.99971069999999995</v>
      </c>
      <c r="Q2569">
        <v>1.141465E-2</v>
      </c>
      <c r="R2569">
        <v>-2.1172880000000002E-2</v>
      </c>
      <c r="S2569">
        <v>-2.9877009999999999</v>
      </c>
      <c r="T2569">
        <v>1.8430950000000001E-2</v>
      </c>
      <c r="U2569">
        <v>-0.62014769999999997</v>
      </c>
      <c r="V2569">
        <v>-5.5265870000000003E-3</v>
      </c>
      <c r="W2569">
        <v>1.5990359999999999E-2</v>
      </c>
      <c r="X2569">
        <v>0.99985690000000005</v>
      </c>
      <c r="Y2569">
        <v>-0.187832</v>
      </c>
      <c r="Z2569">
        <v>4.7744399999999999E-4</v>
      </c>
      <c r="AA2569">
        <v>0.98220099999999999</v>
      </c>
      <c r="AB2569">
        <v>44</v>
      </c>
      <c r="AC2569">
        <v>-77.821399999999997</v>
      </c>
      <c r="AD2569">
        <v>0.48151500000000003</v>
      </c>
      <c r="AE2569">
        <v>-16.199199999999902</v>
      </c>
      <c r="AF2569">
        <v>-14.9746678223927</v>
      </c>
      <c r="AG2569">
        <v>0.48151500000000003</v>
      </c>
      <c r="AH2569">
        <v>78.063307733792797</v>
      </c>
      <c r="AI2569">
        <v>89.652917128451193</v>
      </c>
      <c r="AJ2569">
        <v>100.85897779794701</v>
      </c>
      <c r="AK2569">
        <v>79.488065440209695</v>
      </c>
      <c r="AL2569">
        <v>89.083780836663806</v>
      </c>
      <c r="AM2569">
        <v>90.316692204170394</v>
      </c>
      <c r="AN2569">
        <v>1.0000000276272001</v>
      </c>
    </row>
    <row r="2570" spans="1:40" x14ac:dyDescent="0.25">
      <c r="A2570" t="str">
        <f>"20190312153937246"</f>
        <v>20190312153937246</v>
      </c>
      <c r="B2570" t="str">
        <f>"1552376377238719"</f>
        <v>1552376377238719</v>
      </c>
      <c r="C2570" t="s">
        <v>40</v>
      </c>
      <c r="D2570">
        <v>4.1545670000000001</v>
      </c>
      <c r="E2570">
        <v>0.42987160000000002</v>
      </c>
      <c r="F2570" t="s">
        <v>66</v>
      </c>
      <c r="G2570">
        <v>-352.08690000000001</v>
      </c>
      <c r="H2570">
        <v>1.56064</v>
      </c>
      <c r="I2570">
        <v>267.92219999999998</v>
      </c>
      <c r="J2570">
        <v>-274.49590000000001</v>
      </c>
      <c r="K2570">
        <v>1.10982</v>
      </c>
      <c r="L2570">
        <v>284.1499</v>
      </c>
      <c r="M2570">
        <v>-0.99985749999999995</v>
      </c>
      <c r="N2570">
        <v>0</v>
      </c>
      <c r="O2570">
        <v>-1.6241789999999999E-2</v>
      </c>
      <c r="P2570">
        <v>-0.99970950000000003</v>
      </c>
      <c r="Q2570">
        <v>1.1367199999999999E-2</v>
      </c>
      <c r="R2570">
        <v>-2.1249379999999998E-2</v>
      </c>
      <c r="S2570">
        <v>-2.987457</v>
      </c>
      <c r="T2570">
        <v>1.7308469999999999E-2</v>
      </c>
      <c r="U2570">
        <v>-0.62310790000000005</v>
      </c>
      <c r="V2570">
        <v>-5.0626909999999898E-3</v>
      </c>
      <c r="W2570">
        <v>1.5964610000000001E-2</v>
      </c>
      <c r="X2570">
        <v>0.99985979999999997</v>
      </c>
      <c r="Y2570">
        <v>-0.18825120000000001</v>
      </c>
      <c r="Z2570">
        <v>4.4647019999999999E-4</v>
      </c>
      <c r="AA2570">
        <v>0.98212080000000002</v>
      </c>
      <c r="AB2570">
        <v>44</v>
      </c>
      <c r="AC2570">
        <v>-77.590999999999994</v>
      </c>
      <c r="AD2570">
        <v>0.45082</v>
      </c>
      <c r="AE2570">
        <v>-16.227699999999999</v>
      </c>
      <c r="AF2570">
        <v>-14.9648453184091</v>
      </c>
      <c r="AG2570">
        <v>0.45082</v>
      </c>
      <c r="AH2570">
        <v>77.841817008989196</v>
      </c>
      <c r="AI2570">
        <v>89.674142743275794</v>
      </c>
      <c r="AJ2570">
        <v>100.88216618384</v>
      </c>
      <c r="AK2570">
        <v>79.268520292340995</v>
      </c>
      <c r="AL2570">
        <v>89.085256420578204</v>
      </c>
      <c r="AM2570">
        <v>90.290109021653706</v>
      </c>
      <c r="AN2570">
        <v>1.0000000596343199</v>
      </c>
    </row>
    <row r="2571" spans="1:40" x14ac:dyDescent="0.25">
      <c r="A2571" t="str">
        <f>"20190312153937258"</f>
        <v>20190312153937258</v>
      </c>
      <c r="B2571" t="str">
        <f>"1552376377248479"</f>
        <v>1552376377248479</v>
      </c>
      <c r="C2571" t="s">
        <v>40</v>
      </c>
      <c r="D2571">
        <v>4.1621360000000003</v>
      </c>
      <c r="E2571">
        <v>0.429813</v>
      </c>
      <c r="F2571" t="s">
        <v>66</v>
      </c>
      <c r="G2571">
        <v>-352.08690000000001</v>
      </c>
      <c r="H2571">
        <v>1.5481659999999999</v>
      </c>
      <c r="I2571">
        <v>267.94400000000002</v>
      </c>
      <c r="J2571">
        <v>-274.73739999999998</v>
      </c>
      <c r="K2571">
        <v>1.1097939999999999</v>
      </c>
      <c r="L2571">
        <v>284.14569999999998</v>
      </c>
      <c r="M2571">
        <v>-0.99984810000000002</v>
      </c>
      <c r="N2571">
        <v>0</v>
      </c>
      <c r="O2571">
        <v>-1.680276E-2</v>
      </c>
      <c r="P2571">
        <v>-0.99970219999999999</v>
      </c>
      <c r="Q2571">
        <v>1.142135E-2</v>
      </c>
      <c r="R2571">
        <v>-2.1566800000000001E-2</v>
      </c>
      <c r="S2571">
        <v>-2.9874269999999998</v>
      </c>
      <c r="T2571">
        <v>1.6880039999999999E-2</v>
      </c>
      <c r="U2571">
        <v>-0.62396240000000003</v>
      </c>
      <c r="V2571">
        <v>-4.8185800000000003E-3</v>
      </c>
      <c r="W2571">
        <v>1.6039939999999999E-2</v>
      </c>
      <c r="X2571">
        <v>0.99985979999999997</v>
      </c>
      <c r="Y2571">
        <v>-0.18797150000000001</v>
      </c>
      <c r="Z2571">
        <v>4.3149630000000001E-4</v>
      </c>
      <c r="AA2571">
        <v>0.9821744</v>
      </c>
      <c r="AB2571">
        <v>44</v>
      </c>
      <c r="AC2571">
        <v>-77.349500000000006</v>
      </c>
      <c r="AD2571">
        <v>0.43837199999999998</v>
      </c>
      <c r="AE2571">
        <v>-16.201699999999899</v>
      </c>
      <c r="AF2571">
        <v>-14.8992551892294</v>
      </c>
      <c r="AG2571">
        <v>0.43837199999999998</v>
      </c>
      <c r="AH2571">
        <v>77.608428058193098</v>
      </c>
      <c r="AI2571">
        <v>89.682171513939096</v>
      </c>
      <c r="AJ2571">
        <v>100.867412450846</v>
      </c>
      <c r="AK2571">
        <v>79.026882014083697</v>
      </c>
      <c r="AL2571">
        <v>89.080939776478402</v>
      </c>
      <c r="AM2571">
        <v>90.276120872048807</v>
      </c>
      <c r="AN2571">
        <v>1.00000005902222</v>
      </c>
    </row>
    <row r="2572" spans="1:40" x14ac:dyDescent="0.25">
      <c r="A2572" t="str">
        <f>"20190312153937275"</f>
        <v>20190312153937275</v>
      </c>
      <c r="B2572" t="str">
        <f>"1552376377268002"</f>
        <v>1552376377268002</v>
      </c>
      <c r="C2572" t="s">
        <v>40</v>
      </c>
      <c r="D2572">
        <v>4.1804350000000001</v>
      </c>
      <c r="E2572">
        <v>0.42978919999999998</v>
      </c>
      <c r="F2572" t="s">
        <v>66</v>
      </c>
      <c r="G2572">
        <v>-352.08690000000001</v>
      </c>
      <c r="H2572">
        <v>1.538977</v>
      </c>
      <c r="I2572">
        <v>267.95060000000001</v>
      </c>
      <c r="J2572">
        <v>-275.08429999999998</v>
      </c>
      <c r="K2572">
        <v>1.109766</v>
      </c>
      <c r="L2572">
        <v>284.1395</v>
      </c>
      <c r="M2572">
        <v>-0.99983449999999996</v>
      </c>
      <c r="N2572">
        <v>0</v>
      </c>
      <c r="O2572">
        <v>-1.7591610000000001E-2</v>
      </c>
      <c r="P2572">
        <v>-0.99970079999999995</v>
      </c>
      <c r="Q2572">
        <v>1.102437E-2</v>
      </c>
      <c r="R2572">
        <v>-2.1841429999999998E-2</v>
      </c>
      <c r="S2572">
        <v>-2.987244</v>
      </c>
      <c r="T2572">
        <v>1.657784E-2</v>
      </c>
      <c r="U2572">
        <v>-0.62545779999999995</v>
      </c>
      <c r="V2572">
        <v>-4.3017849999999998E-3</v>
      </c>
      <c r="W2572">
        <v>1.5674250000000001E-2</v>
      </c>
      <c r="X2572">
        <v>0.99986790000000003</v>
      </c>
      <c r="Y2572">
        <v>-0.18767980000000001</v>
      </c>
      <c r="Z2572">
        <v>4.1864819999999999E-4</v>
      </c>
      <c r="AA2572">
        <v>0.98223020000000005</v>
      </c>
      <c r="AB2572">
        <v>44</v>
      </c>
      <c r="AC2572">
        <v>-77.002600000000001</v>
      </c>
      <c r="AD2572">
        <v>0.42921099999999901</v>
      </c>
      <c r="AE2572">
        <v>-16.188899999999901</v>
      </c>
      <c r="AF2572">
        <v>-14.8313392362173</v>
      </c>
      <c r="AG2572">
        <v>0.42921099999999901</v>
      </c>
      <c r="AH2572">
        <v>77.2731767090538</v>
      </c>
      <c r="AI2572">
        <v>89.687460565490596</v>
      </c>
      <c r="AJ2572">
        <v>100.864870595089</v>
      </c>
      <c r="AK2572">
        <v>78.684793221631693</v>
      </c>
      <c r="AL2572">
        <v>89.101894852886801</v>
      </c>
      <c r="AM2572">
        <v>90.246505167456704</v>
      </c>
      <c r="AN2572">
        <v>1.00000000245882</v>
      </c>
    </row>
    <row r="2573" spans="1:40" x14ac:dyDescent="0.25">
      <c r="A2573" t="str">
        <f>"20190312153937287"</f>
        <v>20190312153937287</v>
      </c>
      <c r="B2573" t="str">
        <f>"1552376377278735"</f>
        <v>1552376377278735</v>
      </c>
      <c r="C2573" t="s">
        <v>40</v>
      </c>
      <c r="D2573">
        <v>4.2548940000000002</v>
      </c>
      <c r="E2573">
        <v>0.42978919999999998</v>
      </c>
      <c r="F2573" t="s">
        <v>66</v>
      </c>
      <c r="G2573">
        <v>-352.08690000000001</v>
      </c>
      <c r="H2573">
        <v>1.4816210000000001</v>
      </c>
      <c r="I2573">
        <v>267.98689999999999</v>
      </c>
      <c r="J2573">
        <v>-275.3125</v>
      </c>
      <c r="K2573">
        <v>1.109747</v>
      </c>
      <c r="L2573">
        <v>284.13510000000002</v>
      </c>
      <c r="M2573">
        <v>-0.99982530000000003</v>
      </c>
      <c r="N2573">
        <v>0</v>
      </c>
      <c r="O2573">
        <v>-1.8099210000000001E-2</v>
      </c>
      <c r="P2573">
        <v>-0.99968780000000002</v>
      </c>
      <c r="Q2573">
        <v>1.1108170000000001E-2</v>
      </c>
      <c r="R2573">
        <v>-2.2381399999999999E-2</v>
      </c>
      <c r="S2573">
        <v>-2.9870610000000002</v>
      </c>
      <c r="T2573">
        <v>1.442766E-2</v>
      </c>
      <c r="U2573">
        <v>-0.62658689999999995</v>
      </c>
      <c r="V2573">
        <v>-4.334198E-3</v>
      </c>
      <c r="W2573">
        <v>1.577771E-2</v>
      </c>
      <c r="X2573">
        <v>0.99986609999999998</v>
      </c>
      <c r="Y2573">
        <v>-0.18754950000000001</v>
      </c>
      <c r="Z2573">
        <v>3.6162310000000002E-4</v>
      </c>
      <c r="AA2573">
        <v>0.98225510000000005</v>
      </c>
      <c r="AB2573">
        <v>44</v>
      </c>
      <c r="AC2573">
        <v>-76.7744</v>
      </c>
      <c r="AD2573">
        <v>0.37187399999999898</v>
      </c>
      <c r="AE2573">
        <v>-16.148199999999999</v>
      </c>
      <c r="AF2573">
        <v>-14.7556521489426</v>
      </c>
      <c r="AG2573">
        <v>0.37187399999999898</v>
      </c>
      <c r="AH2573">
        <v>77.052365421423403</v>
      </c>
      <c r="AI2573">
        <v>89.7284133904745</v>
      </c>
      <c r="AJ2573">
        <v>100.840982489452</v>
      </c>
      <c r="AK2573">
        <v>78.453391116312005</v>
      </c>
      <c r="AL2573">
        <v>89.095966268772898</v>
      </c>
      <c r="AM2573">
        <v>90.248362953384401</v>
      </c>
      <c r="AN2573">
        <v>0.99999996966717797</v>
      </c>
    </row>
    <row r="2574" spans="1:40" x14ac:dyDescent="0.25">
      <c r="A2574" t="str">
        <f>"20190312153937300"</f>
        <v>20190312153937300</v>
      </c>
      <c r="B2574" t="str">
        <f>"1552376377288495"</f>
        <v>1552376377288495</v>
      </c>
      <c r="C2574" t="s">
        <v>40</v>
      </c>
      <c r="D2574">
        <v>4.4432419999999997</v>
      </c>
      <c r="E2574">
        <v>0.45947310000000002</v>
      </c>
      <c r="F2574" t="s">
        <v>66</v>
      </c>
      <c r="G2574">
        <v>-352.08690000000001</v>
      </c>
      <c r="H2574">
        <v>1.487574</v>
      </c>
      <c r="I2574">
        <v>267.98779999999999</v>
      </c>
      <c r="J2574">
        <v>-275.54640000000001</v>
      </c>
      <c r="K2574">
        <v>1.1097269999999999</v>
      </c>
      <c r="L2574">
        <v>284.13069999999999</v>
      </c>
      <c r="M2574">
        <v>-0.99981560000000003</v>
      </c>
      <c r="N2574">
        <v>0</v>
      </c>
      <c r="O2574">
        <v>-1.8615630000000001E-2</v>
      </c>
      <c r="P2574">
        <v>-0.99967660000000003</v>
      </c>
      <c r="Q2574">
        <v>1.1234549999999999E-2</v>
      </c>
      <c r="R2574">
        <v>-2.280681E-2</v>
      </c>
      <c r="S2574">
        <v>-2.9867249999999999</v>
      </c>
      <c r="T2574">
        <v>1.4701250000000001E-2</v>
      </c>
      <c r="U2574">
        <v>-0.6281738</v>
      </c>
      <c r="V2574">
        <v>-4.2426490000000002E-3</v>
      </c>
      <c r="W2574">
        <v>1.5924560000000001E-2</v>
      </c>
      <c r="X2574">
        <v>0.99986419999999998</v>
      </c>
      <c r="Y2574">
        <v>-0.18756410000000001</v>
      </c>
      <c r="Z2574">
        <v>3.6602500000000002E-4</v>
      </c>
      <c r="AA2574">
        <v>0.98225229999999997</v>
      </c>
      <c r="AB2574">
        <v>44</v>
      </c>
      <c r="AC2574">
        <v>-76.540499999999994</v>
      </c>
      <c r="AD2574">
        <v>0.37784699999999899</v>
      </c>
      <c r="AE2574">
        <v>-16.142899999999901</v>
      </c>
      <c r="AF2574">
        <v>-14.714893814961201</v>
      </c>
      <c r="AG2574">
        <v>0.37784699999999899</v>
      </c>
      <c r="AH2574">
        <v>76.825957422972706</v>
      </c>
      <c r="AI2574">
        <v>89.723239777273307</v>
      </c>
      <c r="AJ2574">
        <v>100.84285232602799</v>
      </c>
      <c r="AK2574">
        <v>78.223389100047399</v>
      </c>
      <c r="AL2574">
        <v>89.0875513583577</v>
      </c>
      <c r="AM2574">
        <v>90.243117438102004</v>
      </c>
      <c r="AN2574">
        <v>1.00000000506168</v>
      </c>
    </row>
    <row r="2575" spans="1:40" x14ac:dyDescent="0.25">
      <c r="A2575" t="str">
        <f>"20190312153937311"</f>
        <v>20190312153937311</v>
      </c>
      <c r="B2575" t="str">
        <f>"1552376377308015"</f>
        <v>1552376377308015</v>
      </c>
      <c r="C2575" t="s">
        <v>40</v>
      </c>
      <c r="D2575">
        <v>4.3086779999999996</v>
      </c>
      <c r="E2575">
        <v>0.4811008</v>
      </c>
      <c r="F2575" t="s">
        <v>42</v>
      </c>
      <c r="G2575">
        <v>-429.95800000000003</v>
      </c>
      <c r="H2575">
        <v>5.0224129999999999E-2</v>
      </c>
      <c r="I2575">
        <v>263.81189999999998</v>
      </c>
      <c r="J2575">
        <v>-275.79539999999997</v>
      </c>
      <c r="K2575">
        <v>1.109702</v>
      </c>
      <c r="L2575">
        <v>284.12580000000003</v>
      </c>
      <c r="M2575">
        <v>-0.99980550000000001</v>
      </c>
      <c r="N2575">
        <v>0</v>
      </c>
      <c r="O2575">
        <v>-1.9154930000000001E-2</v>
      </c>
      <c r="P2575">
        <v>-0.99966489999999997</v>
      </c>
      <c r="Q2575">
        <v>1.13206E-2</v>
      </c>
      <c r="R2575">
        <v>-2.3279350000000001E-2</v>
      </c>
      <c r="S2575">
        <v>-2.9921880000000001</v>
      </c>
      <c r="T2575">
        <v>-2.053106E-2</v>
      </c>
      <c r="U2575">
        <v>-0.39373780000000003</v>
      </c>
      <c r="V2575">
        <v>-4.1754169999999998E-3</v>
      </c>
      <c r="W2575">
        <v>1.6032310000000001E-2</v>
      </c>
      <c r="X2575">
        <v>0.99986269999999999</v>
      </c>
      <c r="Y2575">
        <v>-0.1114464</v>
      </c>
      <c r="Z2575">
        <v>-2.4988110000000001E-4</v>
      </c>
      <c r="AA2575">
        <v>0.99377040000000005</v>
      </c>
      <c r="AB2575">
        <v>44</v>
      </c>
      <c r="AC2575">
        <v>-154.1626</v>
      </c>
      <c r="AD2575">
        <v>-1.05947787</v>
      </c>
      <c r="AE2575">
        <v>-20.3139</v>
      </c>
      <c r="AF2575">
        <v>-17.356360740834401</v>
      </c>
      <c r="AG2575">
        <v>-1.05947787</v>
      </c>
      <c r="AH2575">
        <v>154.51625701981899</v>
      </c>
      <c r="AI2575">
        <v>90.390401011675095</v>
      </c>
      <c r="AJ2575">
        <v>96.409003066531497</v>
      </c>
      <c r="AK2575">
        <v>155.49160567354599</v>
      </c>
      <c r="AL2575">
        <v>89.081376893764599</v>
      </c>
      <c r="AM2575">
        <v>90.239265232280502</v>
      </c>
      <c r="AN2575">
        <v>0.99999994396117298</v>
      </c>
    </row>
    <row r="2576" spans="1:40" x14ac:dyDescent="0.25">
      <c r="A2576" t="str">
        <f>"20190312153937324"</f>
        <v>20190312153937324</v>
      </c>
      <c r="B2576" t="str">
        <f>"1552376377318750"</f>
        <v>1552376377318750</v>
      </c>
      <c r="C2576" t="s">
        <v>40</v>
      </c>
      <c r="D2576">
        <v>4.271471</v>
      </c>
      <c r="E2576">
        <v>0.48737750000000002</v>
      </c>
      <c r="F2576" t="s">
        <v>61</v>
      </c>
      <c r="G2576">
        <v>-386.6386</v>
      </c>
      <c r="H2576">
        <v>8.0000979999999999E-2</v>
      </c>
      <c r="I2576">
        <v>275.87040000000002</v>
      </c>
      <c r="J2576">
        <v>-276.0403</v>
      </c>
      <c r="K2576">
        <v>1.1096809999999999</v>
      </c>
      <c r="L2576">
        <v>284.12079999999997</v>
      </c>
      <c r="M2576">
        <v>-0.99979530000000005</v>
      </c>
      <c r="N2576">
        <v>0</v>
      </c>
      <c r="O2576">
        <v>-1.9676840000000001E-2</v>
      </c>
      <c r="P2576">
        <v>-0.99964370000000002</v>
      </c>
      <c r="Q2576">
        <v>1.158439E-2</v>
      </c>
      <c r="R2576">
        <v>-2.4054349999999999E-2</v>
      </c>
      <c r="S2576">
        <v>-2.996124</v>
      </c>
      <c r="T2576">
        <v>-2.78331E-2</v>
      </c>
      <c r="U2576">
        <v>-0.2231445</v>
      </c>
      <c r="V2576">
        <v>-4.4290390000000001E-3</v>
      </c>
      <c r="W2576">
        <v>1.6315989999999999E-2</v>
      </c>
      <c r="X2576">
        <v>0.99985710000000005</v>
      </c>
      <c r="Y2576">
        <v>-5.4633429999999997E-2</v>
      </c>
      <c r="Z2576" s="1">
        <v>-7.0912630000000005E-5</v>
      </c>
      <c r="AA2576">
        <v>0.99850649999999996</v>
      </c>
      <c r="AB2576">
        <v>44</v>
      </c>
      <c r="AC2576">
        <v>-110.59829999999999</v>
      </c>
      <c r="AD2576">
        <v>-1.02968001999999</v>
      </c>
      <c r="AE2576">
        <v>-8.2503999999999493</v>
      </c>
      <c r="AF2576">
        <v>-6.0720300376140699</v>
      </c>
      <c r="AG2576">
        <v>-1.02968001999999</v>
      </c>
      <c r="AH2576">
        <v>110.729685751047</v>
      </c>
      <c r="AI2576">
        <v>90.531981315713793</v>
      </c>
      <c r="AJ2576">
        <v>93.138757246552899</v>
      </c>
      <c r="AK2576">
        <v>110.900825498492</v>
      </c>
      <c r="AL2576">
        <v>89.065121174634996</v>
      </c>
      <c r="AM2576">
        <v>90.253799850223601</v>
      </c>
      <c r="AN2576">
        <v>1.0000000241682701</v>
      </c>
    </row>
    <row r="2577" spans="1:40" x14ac:dyDescent="0.25">
      <c r="A2577" t="str">
        <f>"20190312153937344"</f>
        <v>20190312153937344</v>
      </c>
      <c r="B2577" t="str">
        <f>"1552376377338271"</f>
        <v>1552376377338271</v>
      </c>
      <c r="C2577" t="s">
        <v>40</v>
      </c>
      <c r="D2577">
        <v>4.2585069999999998</v>
      </c>
      <c r="E2577">
        <v>0.49428149999999998</v>
      </c>
      <c r="F2577" t="s">
        <v>61</v>
      </c>
      <c r="G2577">
        <v>-391.77569999999997</v>
      </c>
      <c r="H2577">
        <v>8.0000940000000006E-2</v>
      </c>
      <c r="I2577">
        <v>277.35899999999998</v>
      </c>
      <c r="J2577">
        <v>-276.40499999999997</v>
      </c>
      <c r="K2577">
        <v>1.109659</v>
      </c>
      <c r="L2577">
        <v>284.11320000000001</v>
      </c>
      <c r="M2577">
        <v>-0.9997798</v>
      </c>
      <c r="N2577">
        <v>0</v>
      </c>
      <c r="O2577">
        <v>-2.043903E-2</v>
      </c>
      <c r="P2577">
        <v>-0.99960939999999998</v>
      </c>
      <c r="Q2577">
        <v>1.203803E-2</v>
      </c>
      <c r="R2577">
        <v>-2.5226930000000002E-2</v>
      </c>
      <c r="S2577">
        <v>-2.9971920000000001</v>
      </c>
      <c r="T2577">
        <v>-2.666557E-2</v>
      </c>
      <c r="U2577">
        <v>-0.17510990000000001</v>
      </c>
      <c r="V2577">
        <v>-4.8399740000000004E-3</v>
      </c>
      <c r="W2577">
        <v>1.6799910000000001E-2</v>
      </c>
      <c r="X2577">
        <v>0.99984720000000005</v>
      </c>
      <c r="Y2577">
        <v>-3.7907839999999998E-2</v>
      </c>
      <c r="Z2577" s="1">
        <v>1.31667899999999E-5</v>
      </c>
      <c r="AA2577">
        <v>0.99928119999999998</v>
      </c>
      <c r="AB2577">
        <v>45</v>
      </c>
      <c r="AC2577">
        <v>-115.3707</v>
      </c>
      <c r="AD2577">
        <v>-1.02965806</v>
      </c>
      <c r="AE2577">
        <v>-6.75419999999996</v>
      </c>
      <c r="AF2577">
        <v>-4.3943483600051803</v>
      </c>
      <c r="AG2577">
        <v>-1.02965806</v>
      </c>
      <c r="AH2577">
        <v>115.475483110602</v>
      </c>
      <c r="AI2577">
        <v>90.510505169097598</v>
      </c>
      <c r="AJ2577">
        <v>92.179304016437399</v>
      </c>
      <c r="AK2577">
        <v>115.56365212668101</v>
      </c>
      <c r="AL2577">
        <v>89.037390817764404</v>
      </c>
      <c r="AM2577">
        <v>90.277350296285107</v>
      </c>
      <c r="AN2577">
        <v>1.00000004283608</v>
      </c>
    </row>
    <row r="2578" spans="1:40" x14ac:dyDescent="0.25">
      <c r="A2578" t="str">
        <f>"20190312153937358"</f>
        <v>20190312153937358</v>
      </c>
      <c r="B2578" t="str">
        <f>"1552376377348031"</f>
        <v>1552376377348031</v>
      </c>
      <c r="C2578" t="s">
        <v>40</v>
      </c>
      <c r="D2578">
        <v>4.2449450000000004</v>
      </c>
      <c r="E2578">
        <v>0.49631209999999998</v>
      </c>
      <c r="F2578" t="s">
        <v>62</v>
      </c>
      <c r="G2578">
        <v>-405.75639999999999</v>
      </c>
      <c r="H2578">
        <v>8.0001119999999995E-2</v>
      </c>
      <c r="I2578">
        <v>278.77710000000002</v>
      </c>
      <c r="J2578">
        <v>-276.71319999999997</v>
      </c>
      <c r="K2578">
        <v>1.109637</v>
      </c>
      <c r="L2578">
        <v>284.10660000000001</v>
      </c>
      <c r="M2578">
        <v>-0.99976659999999995</v>
      </c>
      <c r="N2578">
        <v>0</v>
      </c>
      <c r="O2578">
        <v>-2.106856E-2</v>
      </c>
      <c r="P2578">
        <v>-0.99958400000000003</v>
      </c>
      <c r="Q2578">
        <v>1.2193890000000001E-2</v>
      </c>
      <c r="R2578">
        <v>-2.6142490000000001E-2</v>
      </c>
      <c r="S2578">
        <v>-2.9983219999999999</v>
      </c>
      <c r="T2578">
        <v>-2.386713E-2</v>
      </c>
      <c r="U2578">
        <v>-0.1236877</v>
      </c>
      <c r="V2578">
        <v>-5.1255390000000001E-3</v>
      </c>
      <c r="W2578">
        <v>1.698156E-2</v>
      </c>
      <c r="X2578">
        <v>0.99984260000000003</v>
      </c>
      <c r="Y2578">
        <v>-2.0157250000000002E-2</v>
      </c>
      <c r="Z2578" s="1">
        <v>8.7417569999999898E-5</v>
      </c>
      <c r="AA2578">
        <v>0.99979680000000004</v>
      </c>
      <c r="AB2578">
        <v>45</v>
      </c>
      <c r="AC2578">
        <v>-129.04320000000001</v>
      </c>
      <c r="AD2578">
        <v>-1.0296358800000001</v>
      </c>
      <c r="AE2578">
        <v>-5.3294999999999897</v>
      </c>
      <c r="AF2578">
        <v>-2.60936568073231</v>
      </c>
      <c r="AG2578">
        <v>-1.0296358800000001</v>
      </c>
      <c r="AH2578">
        <v>129.11863594873901</v>
      </c>
      <c r="AI2578">
        <v>90.456793066682806</v>
      </c>
      <c r="AJ2578">
        <v>91.157735996847407</v>
      </c>
      <c r="AK2578">
        <v>129.149104095089</v>
      </c>
      <c r="AL2578">
        <v>89.026981449601394</v>
      </c>
      <c r="AM2578">
        <v>90.293715410767902</v>
      </c>
      <c r="AN2578">
        <v>0.99999993465241499</v>
      </c>
    </row>
    <row r="2579" spans="1:40" x14ac:dyDescent="0.25">
      <c r="A2579" t="str">
        <f>"20190312153937372"</f>
        <v>20190312153937372</v>
      </c>
      <c r="B2579" t="str">
        <f>"1552376377358767"</f>
        <v>1552376377358767</v>
      </c>
      <c r="C2579" t="s">
        <v>40</v>
      </c>
      <c r="D2579">
        <v>4.2514849999999997</v>
      </c>
      <c r="E2579">
        <v>0.49785079999999998</v>
      </c>
      <c r="F2579" t="s">
        <v>62</v>
      </c>
      <c r="G2579">
        <v>-401.80509999999998</v>
      </c>
      <c r="H2579">
        <v>8.0001489999999995E-2</v>
      </c>
      <c r="I2579">
        <v>279.51209999999998</v>
      </c>
      <c r="J2579">
        <v>-276.99489999999997</v>
      </c>
      <c r="K2579">
        <v>1.1096159999999999</v>
      </c>
      <c r="L2579">
        <v>284.10039999999998</v>
      </c>
      <c r="M2579">
        <v>-0.99975449999999999</v>
      </c>
      <c r="N2579">
        <v>0</v>
      </c>
      <c r="O2579">
        <v>-2.162683E-2</v>
      </c>
      <c r="P2579">
        <v>-0.99955959999999999</v>
      </c>
      <c r="Q2579">
        <v>1.251758E-2</v>
      </c>
      <c r="R2579">
        <v>-2.6909280000000001E-2</v>
      </c>
      <c r="S2579">
        <v>-2.9986570000000001</v>
      </c>
      <c r="T2579">
        <v>-2.4682039999999999E-2</v>
      </c>
      <c r="U2579">
        <v>-0.1101379</v>
      </c>
      <c r="V2579">
        <v>-5.3348069999999996E-3</v>
      </c>
      <c r="W2579">
        <v>1.7329130000000002E-2</v>
      </c>
      <c r="X2579">
        <v>0.99983560000000005</v>
      </c>
      <c r="Y2579">
        <v>-1.508347E-2</v>
      </c>
      <c r="Z2579">
        <v>1.158678E-4</v>
      </c>
      <c r="AA2579">
        <v>0.99988619999999995</v>
      </c>
      <c r="AB2579">
        <v>45</v>
      </c>
      <c r="AC2579">
        <v>-124.81019999999999</v>
      </c>
      <c r="AD2579">
        <v>-1.02961451</v>
      </c>
      <c r="AE2579">
        <v>-4.5883000000000003</v>
      </c>
      <c r="AF2579">
        <v>-1.8878182149699001</v>
      </c>
      <c r="AG2579">
        <v>-1.02961451</v>
      </c>
      <c r="AH2579">
        <v>124.871752880138</v>
      </c>
      <c r="AI2579">
        <v>90.472360544483493</v>
      </c>
      <c r="AJ2579">
        <v>90.8661348490959</v>
      </c>
      <c r="AK2579">
        <v>124.890266358152</v>
      </c>
      <c r="AL2579">
        <v>89.007064280931203</v>
      </c>
      <c r="AM2579">
        <v>90.305709283589195</v>
      </c>
      <c r="AN2579">
        <v>0.999999992969822</v>
      </c>
    </row>
    <row r="2580" spans="1:40" x14ac:dyDescent="0.25">
      <c r="A2580" t="str">
        <f>"20190312153937390"</f>
        <v>20190312153937390</v>
      </c>
      <c r="B2580" t="str">
        <f>"1552376377378287"</f>
        <v>1552376377378287</v>
      </c>
      <c r="C2580" t="s">
        <v>40</v>
      </c>
      <c r="D2580">
        <v>4.2641080000000002</v>
      </c>
      <c r="E2580">
        <v>0.5002645</v>
      </c>
      <c r="F2580" t="s">
        <v>62</v>
      </c>
      <c r="G2580">
        <v>-410.24599999999998</v>
      </c>
      <c r="H2580" s="1">
        <v>2.6851029999999998E-6</v>
      </c>
      <c r="I2580">
        <v>279.63240000000002</v>
      </c>
      <c r="J2580">
        <v>-277.33710000000002</v>
      </c>
      <c r="K2580">
        <v>1.109594</v>
      </c>
      <c r="L2580">
        <v>284.0926</v>
      </c>
      <c r="M2580">
        <v>-0.99973970000000001</v>
      </c>
      <c r="N2580">
        <v>0</v>
      </c>
      <c r="O2580">
        <v>-2.2289130000000001E-2</v>
      </c>
      <c r="P2580">
        <v>-0.99952660000000004</v>
      </c>
      <c r="Q2580">
        <v>1.294447E-2</v>
      </c>
      <c r="R2580">
        <v>-2.791242E-2</v>
      </c>
      <c r="S2580">
        <v>-2.9989319999999999</v>
      </c>
      <c r="T2580">
        <v>-2.49728E-2</v>
      </c>
      <c r="U2580">
        <v>-0.1005554</v>
      </c>
      <c r="V2580">
        <v>-5.6761210000000001E-3</v>
      </c>
      <c r="W2580">
        <v>1.7784439999999999E-2</v>
      </c>
      <c r="X2580">
        <v>0.99982570000000004</v>
      </c>
      <c r="Y2580">
        <v>-1.1226760000000001E-2</v>
      </c>
      <c r="Z2580">
        <v>1.387948E-4</v>
      </c>
      <c r="AA2580">
        <v>0.99993699999999996</v>
      </c>
      <c r="AB2580">
        <v>45</v>
      </c>
      <c r="AC2580">
        <v>-132.90889999999899</v>
      </c>
      <c r="AD2580">
        <v>-1.109591314897</v>
      </c>
      <c r="AE2580">
        <v>-4.46019999999998</v>
      </c>
      <c r="AF2580">
        <v>-1.4965288278687401</v>
      </c>
      <c r="AG2580">
        <v>-1.109591314897</v>
      </c>
      <c r="AH2580">
        <v>132.96603835591</v>
      </c>
      <c r="AI2580">
        <v>90.478087475917505</v>
      </c>
      <c r="AJ2580">
        <v>90.644835076208906</v>
      </c>
      <c r="AK2580">
        <v>132.97908913616399</v>
      </c>
      <c r="AL2580">
        <v>88.980972891693398</v>
      </c>
      <c r="AM2580">
        <v>90.325270978226698</v>
      </c>
      <c r="AN2580">
        <v>0.99999996751810405</v>
      </c>
    </row>
    <row r="2581" spans="1:40" x14ac:dyDescent="0.25">
      <c r="A2581" t="str">
        <f>"20190312153937403"</f>
        <v>20190312153937403</v>
      </c>
      <c r="B2581" t="str">
        <f>"1552376377398782"</f>
        <v>1552376377398782</v>
      </c>
      <c r="C2581" t="s">
        <v>40</v>
      </c>
      <c r="D2581">
        <v>4.2808349999999997</v>
      </c>
      <c r="E2581">
        <v>0.50199289999999996</v>
      </c>
      <c r="F2581" t="s">
        <v>62</v>
      </c>
      <c r="G2581">
        <v>-406.32420000000002</v>
      </c>
      <c r="H2581" s="1">
        <v>6.4557589999999996E-6</v>
      </c>
      <c r="I2581">
        <v>280.46379999999999</v>
      </c>
      <c r="J2581">
        <v>-277.61079999999998</v>
      </c>
      <c r="K2581">
        <v>1.1095729999999999</v>
      </c>
      <c r="L2581">
        <v>284.08629999999999</v>
      </c>
      <c r="M2581">
        <v>-0.99972799999999995</v>
      </c>
      <c r="N2581">
        <v>0</v>
      </c>
      <c r="O2581">
        <v>-2.2804479999999999E-2</v>
      </c>
      <c r="P2581">
        <v>-0.9995018</v>
      </c>
      <c r="Q2581">
        <v>1.310303E-2</v>
      </c>
      <c r="R2581">
        <v>-2.871195E-2</v>
      </c>
      <c r="S2581">
        <v>-2.9993590000000001</v>
      </c>
      <c r="T2581">
        <v>-2.5801419999999999E-2</v>
      </c>
      <c r="U2581">
        <v>-8.4381100000000001E-2</v>
      </c>
      <c r="V2581">
        <v>-5.9597699999999997E-3</v>
      </c>
      <c r="W2581">
        <v>1.796561E-2</v>
      </c>
      <c r="X2581">
        <v>0.99982079999999995</v>
      </c>
      <c r="Y2581">
        <v>-5.3195179999999996E-3</v>
      </c>
      <c r="Z2581">
        <v>1.7322759999999999E-4</v>
      </c>
      <c r="AA2581">
        <v>0.99998580000000004</v>
      </c>
      <c r="AB2581">
        <v>45</v>
      </c>
      <c r="AC2581">
        <v>-128.71340000000001</v>
      </c>
      <c r="AD2581">
        <v>-1.1095665442410001</v>
      </c>
      <c r="AE2581">
        <v>-3.6225000000000001</v>
      </c>
      <c r="AF2581">
        <v>-0.68622976402158697</v>
      </c>
      <c r="AG2581">
        <v>-1.1095665442410001</v>
      </c>
      <c r="AH2581">
        <v>128.75297640407899</v>
      </c>
      <c r="AI2581">
        <v>90.493743952576693</v>
      </c>
      <c r="AJ2581">
        <v>90.305373111030505</v>
      </c>
      <c r="AK2581">
        <v>128.75958598144999</v>
      </c>
      <c r="AL2581">
        <v>88.970590945465005</v>
      </c>
      <c r="AM2581">
        <v>90.341526825241701</v>
      </c>
      <c r="AN2581">
        <v>0.99999995705688105</v>
      </c>
    </row>
    <row r="2582" spans="1:40" x14ac:dyDescent="0.25">
      <c r="A2582" t="str">
        <f>"20190312153937415"</f>
        <v>20190312153937415</v>
      </c>
      <c r="B2582" t="str">
        <f>"1552376377408543"</f>
        <v>1552376377408543</v>
      </c>
      <c r="C2582" t="s">
        <v>40</v>
      </c>
      <c r="D2582">
        <v>4.2431190000000001</v>
      </c>
      <c r="E2582">
        <v>0.50268880000000005</v>
      </c>
      <c r="F2582" t="s">
        <v>61</v>
      </c>
      <c r="G2582">
        <v>-391.61779999999999</v>
      </c>
      <c r="H2582" s="1">
        <v>-6.7585379999999997E-7</v>
      </c>
      <c r="I2582">
        <v>281.32010000000002</v>
      </c>
      <c r="J2582">
        <v>-277.8623</v>
      </c>
      <c r="K2582">
        <v>1.1095539999999999</v>
      </c>
      <c r="L2582">
        <v>284.08030000000002</v>
      </c>
      <c r="M2582">
        <v>-0.99971739999999998</v>
      </c>
      <c r="N2582">
        <v>0</v>
      </c>
      <c r="O2582">
        <v>-2.3266539999999999E-2</v>
      </c>
      <c r="P2582">
        <v>-0.99949500000000002</v>
      </c>
      <c r="Q2582">
        <v>1.3000930000000001E-2</v>
      </c>
      <c r="R2582">
        <v>-2.900026E-2</v>
      </c>
      <c r="S2582">
        <v>-2.9997859999999998</v>
      </c>
      <c r="T2582">
        <v>-2.9195430000000001E-2</v>
      </c>
      <c r="U2582">
        <v>-7.2784420000000002E-2</v>
      </c>
      <c r="V2582">
        <v>-5.7852859999999997E-3</v>
      </c>
      <c r="W2582">
        <v>1.7886470000000002E-2</v>
      </c>
      <c r="X2582">
        <v>0.99982329999999997</v>
      </c>
      <c r="Y2582">
        <v>-9.905774E-4</v>
      </c>
      <c r="Z2582">
        <v>2.215548E-4</v>
      </c>
      <c r="AA2582">
        <v>0.99999950000000004</v>
      </c>
      <c r="AB2582">
        <v>45</v>
      </c>
      <c r="AC2582">
        <v>-113.755499999999</v>
      </c>
      <c r="AD2582">
        <v>-1.1095546758538</v>
      </c>
      <c r="AE2582">
        <v>-2.76019999999999</v>
      </c>
      <c r="AF2582">
        <v>-0.112713700264976</v>
      </c>
      <c r="AG2582">
        <v>-1.1095546758538</v>
      </c>
      <c r="AH2582">
        <v>113.77810821014</v>
      </c>
      <c r="AI2582">
        <v>90.558725705090694</v>
      </c>
      <c r="AJ2582">
        <v>90.056759752007594</v>
      </c>
      <c r="AK2582">
        <v>113.78357405107</v>
      </c>
      <c r="AL2582">
        <v>88.975126120004902</v>
      </c>
      <c r="AM2582">
        <v>90.331527352649999</v>
      </c>
      <c r="AN2582">
        <v>1.00000001328302</v>
      </c>
    </row>
    <row r="2583" spans="1:40" x14ac:dyDescent="0.25">
      <c r="A2583" t="str">
        <f>"20190312153937431"</f>
        <v>20190312153937431</v>
      </c>
      <c r="B2583" t="str">
        <f>"1552376377428063"</f>
        <v>1552376377428063</v>
      </c>
      <c r="C2583" t="s">
        <v>40</v>
      </c>
      <c r="D2583">
        <v>4.270562</v>
      </c>
      <c r="E2583">
        <v>0.50402239999999998</v>
      </c>
      <c r="F2583" t="s">
        <v>61</v>
      </c>
      <c r="G2583">
        <v>-383.14800000000002</v>
      </c>
      <c r="H2583" s="1">
        <v>1.3840879999999999E-7</v>
      </c>
      <c r="I2583">
        <v>281.67790000000002</v>
      </c>
      <c r="J2583">
        <v>-278.19850000000002</v>
      </c>
      <c r="K2583">
        <v>1.109524</v>
      </c>
      <c r="L2583">
        <v>284.07220000000001</v>
      </c>
      <c r="M2583">
        <v>-0.99970329999999996</v>
      </c>
      <c r="N2583">
        <v>0</v>
      </c>
      <c r="O2583">
        <v>-2.3859209999999999E-2</v>
      </c>
      <c r="P2583">
        <v>-0.99948429999999999</v>
      </c>
      <c r="Q2583">
        <v>1.3206310000000001E-2</v>
      </c>
      <c r="R2583">
        <v>-2.9273460000000001E-2</v>
      </c>
      <c r="S2583">
        <v>-2.999908</v>
      </c>
      <c r="T2583">
        <v>-3.1614539999999997E-2</v>
      </c>
      <c r="U2583">
        <v>-6.8450929999999993E-2</v>
      </c>
      <c r="V2583">
        <v>-5.4648850000000001E-3</v>
      </c>
      <c r="W2583">
        <v>1.8121990000000001E-2</v>
      </c>
      <c r="X2583">
        <v>0.99982079999999995</v>
      </c>
      <c r="Y2583">
        <v>1.0466659999999999E-3</v>
      </c>
      <c r="Z2583">
        <v>2.5688300000000001E-4</v>
      </c>
      <c r="AA2583">
        <v>0.99999939999999998</v>
      </c>
      <c r="AB2583">
        <v>45</v>
      </c>
      <c r="AC2583">
        <v>-104.9495</v>
      </c>
      <c r="AD2583">
        <v>-1.1095238615912</v>
      </c>
      <c r="AE2583">
        <v>-2.3942999999999799</v>
      </c>
      <c r="AF2583">
        <v>0.11041154264617201</v>
      </c>
      <c r="AG2583">
        <v>-1.1095238615912</v>
      </c>
      <c r="AH2583">
        <v>104.965024451601</v>
      </c>
      <c r="AI2583">
        <v>90.605617272879797</v>
      </c>
      <c r="AJ2583">
        <v>89.939731228540197</v>
      </c>
      <c r="AK2583">
        <v>104.97094641868</v>
      </c>
      <c r="AL2583">
        <v>88.961629566677701</v>
      </c>
      <c r="AM2583">
        <v>90.313167847586101</v>
      </c>
      <c r="AN2583">
        <v>0.99999995180112999</v>
      </c>
    </row>
    <row r="2584" spans="1:40" x14ac:dyDescent="0.25">
      <c r="A2584" t="str">
        <f>"20190312153937445"</f>
        <v>20190312153937445</v>
      </c>
      <c r="B2584" t="str">
        <f>"1552376377438799"</f>
        <v>1552376377438799</v>
      </c>
      <c r="C2584" t="s">
        <v>40</v>
      </c>
      <c r="D2584">
        <v>4.2603929999999997</v>
      </c>
      <c r="E2584">
        <v>0.50455139999999998</v>
      </c>
      <c r="F2584" t="s">
        <v>61</v>
      </c>
      <c r="G2584">
        <v>-375.35390000000001</v>
      </c>
      <c r="H2584" s="1">
        <v>1.312303E-6</v>
      </c>
      <c r="I2584">
        <v>282.17779999999999</v>
      </c>
      <c r="J2584">
        <v>-278.47809999999998</v>
      </c>
      <c r="K2584">
        <v>1.109502</v>
      </c>
      <c r="L2584">
        <v>284.06529999999998</v>
      </c>
      <c r="M2584">
        <v>-0.99969169999999996</v>
      </c>
      <c r="N2584">
        <v>0</v>
      </c>
      <c r="O2584">
        <v>-2.4334479999999999E-2</v>
      </c>
      <c r="P2584">
        <v>-0.99947169999999996</v>
      </c>
      <c r="Q2584">
        <v>1.2980520000000001E-2</v>
      </c>
      <c r="R2584">
        <v>-2.980843E-2</v>
      </c>
      <c r="S2584">
        <v>-3.0002749999999998</v>
      </c>
      <c r="T2584">
        <v>-3.4263370000000001E-2</v>
      </c>
      <c r="U2584">
        <v>-5.85021999999999E-2</v>
      </c>
      <c r="V2584">
        <v>-5.5230679999999999E-3</v>
      </c>
      <c r="W2584">
        <v>1.7919839999999999E-2</v>
      </c>
      <c r="X2584">
        <v>0.99982420000000005</v>
      </c>
      <c r="Y2584">
        <v>4.8387819999999998E-3</v>
      </c>
      <c r="Z2584">
        <v>3.0545870000000001E-4</v>
      </c>
      <c r="AA2584">
        <v>0.99998830000000005</v>
      </c>
      <c r="AB2584">
        <v>45</v>
      </c>
      <c r="AC2584">
        <v>-96.875799999999998</v>
      </c>
      <c r="AD2584">
        <v>-1.1095006876969999</v>
      </c>
      <c r="AE2584">
        <v>-1.88749999999998</v>
      </c>
      <c r="AF2584">
        <v>0.470448175657041</v>
      </c>
      <c r="AG2584">
        <v>-1.1095006876969999</v>
      </c>
      <c r="AH2584">
        <v>96.880340941699899</v>
      </c>
      <c r="AI2584">
        <v>90.656130829306306</v>
      </c>
      <c r="AJ2584">
        <v>89.721775513816894</v>
      </c>
      <c r="AK2584">
        <v>96.887836048917904</v>
      </c>
      <c r="AL2584">
        <v>88.973213868417105</v>
      </c>
      <c r="AM2584">
        <v>90.316500908473003</v>
      </c>
      <c r="AN2584">
        <v>1.00000002792569</v>
      </c>
    </row>
    <row r="2585" spans="1:40" x14ac:dyDescent="0.25">
      <c r="A2585" t="str">
        <f>"20190312153937458"</f>
        <v>20190312153937458</v>
      </c>
      <c r="B2585" t="str">
        <f>"1552376377448559"</f>
        <v>1552376377448559</v>
      </c>
      <c r="C2585" t="s">
        <v>40</v>
      </c>
      <c r="D2585">
        <v>4.2707930000000003</v>
      </c>
      <c r="E2585">
        <v>0.50507170000000001</v>
      </c>
      <c r="F2585" t="s">
        <v>61</v>
      </c>
      <c r="G2585">
        <v>-370.6816</v>
      </c>
      <c r="H2585" s="1">
        <v>-1.174057E-6</v>
      </c>
      <c r="I2585">
        <v>282.33780000000002</v>
      </c>
      <c r="J2585">
        <v>-278.7312</v>
      </c>
      <c r="K2585">
        <v>1.10948</v>
      </c>
      <c r="L2585">
        <v>284.05900000000003</v>
      </c>
      <c r="M2585">
        <v>-0.99968120000000005</v>
      </c>
      <c r="N2585">
        <v>0</v>
      </c>
      <c r="O2585">
        <v>-2.4754559999999998E-2</v>
      </c>
      <c r="P2585">
        <v>-0.99946740000000001</v>
      </c>
      <c r="Q2585">
        <v>1.292929E-2</v>
      </c>
      <c r="R2585">
        <v>-2.9968160000000001E-2</v>
      </c>
      <c r="S2585">
        <v>-3.0003660000000001</v>
      </c>
      <c r="T2585">
        <v>-3.6103959999999997E-2</v>
      </c>
      <c r="U2585">
        <v>-5.621338E-2</v>
      </c>
      <c r="V2585">
        <v>-5.2618099999999996E-3</v>
      </c>
      <c r="W2585">
        <v>1.7891230000000001E-2</v>
      </c>
      <c r="X2585">
        <v>0.99982610000000005</v>
      </c>
      <c r="Y2585">
        <v>6.0218160000000001E-3</v>
      </c>
      <c r="Z2585">
        <v>3.340293E-4</v>
      </c>
      <c r="AA2585">
        <v>0.99998180000000003</v>
      </c>
      <c r="AB2585">
        <v>45</v>
      </c>
      <c r="AC2585">
        <v>-91.950400000000002</v>
      </c>
      <c r="AD2585">
        <v>-1.1094811740570001</v>
      </c>
      <c r="AE2585">
        <v>-1.7212000000000101</v>
      </c>
      <c r="AF2585">
        <v>0.55546643401465701</v>
      </c>
      <c r="AG2585">
        <v>-1.1094811740570001</v>
      </c>
      <c r="AH2585">
        <v>91.951447443961499</v>
      </c>
      <c r="AI2585">
        <v>90.691281607456204</v>
      </c>
      <c r="AJ2585">
        <v>89.653888045347799</v>
      </c>
      <c r="AK2585">
        <v>91.959818282087298</v>
      </c>
      <c r="AL2585">
        <v>88.9748533414935</v>
      </c>
      <c r="AM2585">
        <v>90.301529158280005</v>
      </c>
      <c r="AN2585">
        <v>1.0000000064982899</v>
      </c>
    </row>
    <row r="2586" spans="1:40" x14ac:dyDescent="0.25">
      <c r="A2586" t="str">
        <f>"20190312153937470"</f>
        <v>20190312153937470</v>
      </c>
      <c r="B2586" t="str">
        <f>"1552376377458318"</f>
        <v>1552376377458318</v>
      </c>
      <c r="C2586" t="s">
        <v>40</v>
      </c>
      <c r="D2586">
        <v>4.2719849999999999</v>
      </c>
      <c r="E2586">
        <v>0.505496099999999</v>
      </c>
      <c r="F2586" t="s">
        <v>61</v>
      </c>
      <c r="G2586">
        <v>-366.68849999999998</v>
      </c>
      <c r="H2586" s="1">
        <v>2.0225059999999999E-6</v>
      </c>
      <c r="I2586">
        <v>282.51850000000002</v>
      </c>
      <c r="J2586">
        <v>-278.98419999999999</v>
      </c>
      <c r="K2586">
        <v>1.1094569999999999</v>
      </c>
      <c r="L2586">
        <v>284.05250000000001</v>
      </c>
      <c r="M2586">
        <v>-0.99967119999999998</v>
      </c>
      <c r="N2586">
        <v>0</v>
      </c>
      <c r="O2586">
        <v>-2.5153419999999999E-2</v>
      </c>
      <c r="P2586">
        <v>-0.99946250000000003</v>
      </c>
      <c r="Q2586">
        <v>1.2984000000000001E-2</v>
      </c>
      <c r="R2586">
        <v>-3.0105449999999999E-2</v>
      </c>
      <c r="S2586">
        <v>-3.0004879999999998</v>
      </c>
      <c r="T2586">
        <v>-3.7847640000000002E-2</v>
      </c>
      <c r="U2586">
        <v>-5.2551269999999997E-2</v>
      </c>
      <c r="V2586">
        <v>-4.999112E-3</v>
      </c>
      <c r="W2586">
        <v>1.7968950000000001E-2</v>
      </c>
      <c r="X2586">
        <v>0.99982610000000005</v>
      </c>
      <c r="Y2586">
        <v>7.6412509999999999E-3</v>
      </c>
      <c r="Z2586">
        <v>3.653924E-4</v>
      </c>
      <c r="AA2586">
        <v>0.99997069999999999</v>
      </c>
      <c r="AB2586">
        <v>45</v>
      </c>
      <c r="AC2586">
        <v>-87.704299999999904</v>
      </c>
      <c r="AD2586">
        <v>-1.1094549774939999</v>
      </c>
      <c r="AE2586">
        <v>-1.53399999999999</v>
      </c>
      <c r="AF2586">
        <v>0.67246823572607395</v>
      </c>
      <c r="AG2586">
        <v>-1.1094549774939999</v>
      </c>
      <c r="AH2586">
        <v>87.701105984285107</v>
      </c>
      <c r="AI2586">
        <v>90.724755157177796</v>
      </c>
      <c r="AJ2586">
        <v>89.560680150446302</v>
      </c>
      <c r="AK2586">
        <v>87.7107011415481</v>
      </c>
      <c r="AL2586">
        <v>88.970399644691597</v>
      </c>
      <c r="AM2586">
        <v>90.286475450147293</v>
      </c>
      <c r="AN2586">
        <v>1.0000000522630399</v>
      </c>
    </row>
    <row r="2587" spans="1:40" x14ac:dyDescent="0.25">
      <c r="A2587" t="str">
        <f>"20190312153937488"</f>
        <v>20190312153937488</v>
      </c>
      <c r="B2587" t="str">
        <f>"1552376377478818"</f>
        <v>1552376377478818</v>
      </c>
      <c r="C2587" t="s">
        <v>40</v>
      </c>
      <c r="D2587">
        <v>4.2809699999999999</v>
      </c>
      <c r="E2587">
        <v>0.50626179999999998</v>
      </c>
      <c r="F2587" t="s">
        <v>61</v>
      </c>
      <c r="G2587">
        <v>-364.04289999999997</v>
      </c>
      <c r="H2587" s="1">
        <v>6.1462980000000001E-7</v>
      </c>
      <c r="I2587">
        <v>282.64150000000001</v>
      </c>
      <c r="J2587">
        <v>-279.34910000000002</v>
      </c>
      <c r="K2587">
        <v>1.109426</v>
      </c>
      <c r="L2587">
        <v>284.04309999999998</v>
      </c>
      <c r="M2587">
        <v>-0.99965689999999996</v>
      </c>
      <c r="N2587">
        <v>0</v>
      </c>
      <c r="O2587">
        <v>-2.5710170000000001E-2</v>
      </c>
      <c r="P2587">
        <v>-0.99946489999999999</v>
      </c>
      <c r="Q2587">
        <v>1.3020489999999999E-2</v>
      </c>
      <c r="R2587">
        <v>-3.0009839999999999E-2</v>
      </c>
      <c r="S2587">
        <v>-3.0005799999999998</v>
      </c>
      <c r="T2587">
        <v>-3.913784E-2</v>
      </c>
      <c r="U2587">
        <v>-4.977417E-2</v>
      </c>
      <c r="V2587">
        <v>-4.3449980000000001E-3</v>
      </c>
      <c r="W2587">
        <v>1.80395E-2</v>
      </c>
      <c r="X2587">
        <v>0.99982789999999999</v>
      </c>
      <c r="Y2587">
        <v>9.1235729999999994E-3</v>
      </c>
      <c r="Z2587">
        <v>3.9476460000000002E-4</v>
      </c>
      <c r="AA2587">
        <v>0.99995829999999997</v>
      </c>
      <c r="AB2587">
        <v>45</v>
      </c>
      <c r="AC2587">
        <v>-84.693799999999896</v>
      </c>
      <c r="AD2587">
        <v>-1.1094253853702001</v>
      </c>
      <c r="AE2587">
        <v>-1.40159999999997</v>
      </c>
      <c r="AF2587">
        <v>0.776249456228298</v>
      </c>
      <c r="AG2587">
        <v>-1.1094253853702001</v>
      </c>
      <c r="AH2587">
        <v>84.687311101988698</v>
      </c>
      <c r="AI2587">
        <v>90.750514874860897</v>
      </c>
      <c r="AJ2587">
        <v>89.474837828667603</v>
      </c>
      <c r="AK2587">
        <v>84.698134864877801</v>
      </c>
      <c r="AL2587">
        <v>88.966356786648404</v>
      </c>
      <c r="AM2587">
        <v>90.248991331636006</v>
      </c>
      <c r="AN2587">
        <v>1.0000000660931301</v>
      </c>
    </row>
    <row r="2588" spans="1:40" x14ac:dyDescent="0.25">
      <c r="A2588" t="str">
        <f>"20190312153937501"</f>
        <v>20190312153937501</v>
      </c>
      <c r="B2588" t="str">
        <f>"1552376377488576"</f>
        <v>1552376377488576</v>
      </c>
      <c r="C2588" t="s">
        <v>40</v>
      </c>
      <c r="D2588">
        <v>4.2835029999999996</v>
      </c>
      <c r="E2588">
        <v>0.506579</v>
      </c>
      <c r="F2588" t="s">
        <v>61</v>
      </c>
      <c r="G2588">
        <v>-358.90109999999999</v>
      </c>
      <c r="H2588" s="1">
        <v>3.1999270000000002E-6</v>
      </c>
      <c r="I2588">
        <v>282.89350000000002</v>
      </c>
      <c r="J2588">
        <v>-279.59699999999998</v>
      </c>
      <c r="K2588">
        <v>1.1094029999999999</v>
      </c>
      <c r="L2588">
        <v>284.03649999999999</v>
      </c>
      <c r="M2588">
        <v>-0.99964730000000002</v>
      </c>
      <c r="N2588">
        <v>0</v>
      </c>
      <c r="O2588">
        <v>-2.607541E-2</v>
      </c>
      <c r="P2588">
        <v>-0.99945930000000005</v>
      </c>
      <c r="Q2588">
        <v>1.333344E-2</v>
      </c>
      <c r="R2588">
        <v>-3.0054770000000001E-2</v>
      </c>
      <c r="S2588">
        <v>-3.0008849999999998</v>
      </c>
      <c r="T2588">
        <v>-4.184997E-2</v>
      </c>
      <c r="U2588">
        <v>-4.3365479999999998E-2</v>
      </c>
      <c r="V2588">
        <v>-4.0250709999999999E-3</v>
      </c>
      <c r="W2588">
        <v>1.8374660000000001E-2</v>
      </c>
      <c r="X2588">
        <v>0.99982309999999996</v>
      </c>
      <c r="Y2588">
        <v>1.1624890000000001E-2</v>
      </c>
      <c r="Z2588">
        <v>4.4461590000000002E-4</v>
      </c>
      <c r="AA2588">
        <v>0.9999323</v>
      </c>
      <c r="AB2588">
        <v>46</v>
      </c>
      <c r="AC2588">
        <v>-79.304100000000005</v>
      </c>
      <c r="AD2588">
        <v>-1.1093998000730001</v>
      </c>
      <c r="AE2588">
        <v>-1.14299999999997</v>
      </c>
      <c r="AF2588">
        <v>0.92512077984639396</v>
      </c>
      <c r="AG2588">
        <v>-1.1093998000730001</v>
      </c>
      <c r="AH2588">
        <v>79.291424906829405</v>
      </c>
      <c r="AI2588">
        <v>90.801542588574193</v>
      </c>
      <c r="AJ2588">
        <v>89.331540436783996</v>
      </c>
      <c r="AK2588">
        <v>79.304581709564999</v>
      </c>
      <c r="AL2588">
        <v>88.947150312978906</v>
      </c>
      <c r="AM2588">
        <v>90.230659138275698</v>
      </c>
      <c r="AN2588">
        <v>1.00000003031013</v>
      </c>
    </row>
    <row r="2589" spans="1:40" x14ac:dyDescent="0.25">
      <c r="A2589" t="str">
        <f>"20190312153937512"</f>
        <v>20190312153937512</v>
      </c>
      <c r="B2589" t="str">
        <f>"1552376377498335"</f>
        <v>1552376377498335</v>
      </c>
      <c r="C2589" t="s">
        <v>40</v>
      </c>
      <c r="D2589">
        <v>4.3015610000000004</v>
      </c>
      <c r="E2589">
        <v>0.50679979999999902</v>
      </c>
      <c r="F2589" t="s">
        <v>61</v>
      </c>
      <c r="G2589">
        <v>-358.70409999999998</v>
      </c>
      <c r="H2589" s="1">
        <v>3.0950910000000002E-6</v>
      </c>
      <c r="I2589">
        <v>282.95049999999998</v>
      </c>
      <c r="J2589">
        <v>-279.84320000000002</v>
      </c>
      <c r="K2589">
        <v>1.10938</v>
      </c>
      <c r="L2589">
        <v>284.02999999999997</v>
      </c>
      <c r="M2589">
        <v>-0.99963800000000003</v>
      </c>
      <c r="N2589">
        <v>0</v>
      </c>
      <c r="O2589">
        <v>-2.642398E-2</v>
      </c>
      <c r="P2589">
        <v>-0.99945689999999998</v>
      </c>
      <c r="Q2589">
        <v>1.3451499999999899E-2</v>
      </c>
      <c r="R2589">
        <v>-3.0082890000000001E-2</v>
      </c>
      <c r="S2589">
        <v>-3.0009160000000001</v>
      </c>
      <c r="T2589">
        <v>-4.208493E-2</v>
      </c>
      <c r="U2589">
        <v>-4.1198730000000003E-2</v>
      </c>
      <c r="V2589">
        <v>-3.7032530000000001E-3</v>
      </c>
      <c r="W2589">
        <v>1.8514829999999999E-2</v>
      </c>
      <c r="X2589">
        <v>0.99982170000000004</v>
      </c>
      <c r="Y2589">
        <v>1.2695349999999999E-2</v>
      </c>
      <c r="Z2589">
        <v>4.5950210000000001E-4</v>
      </c>
      <c r="AA2589">
        <v>0.99991929999999996</v>
      </c>
      <c r="AB2589">
        <v>46</v>
      </c>
      <c r="AC2589">
        <v>-78.860899999999901</v>
      </c>
      <c r="AD2589">
        <v>-1.1093769049089901</v>
      </c>
      <c r="AE2589">
        <v>-1.0794999999999899</v>
      </c>
      <c r="AF2589">
        <v>1.00452375216293</v>
      </c>
      <c r="AG2589">
        <v>-1.1093769049089901</v>
      </c>
      <c r="AH2589">
        <v>78.846287783165195</v>
      </c>
      <c r="AI2589">
        <v>90.806040023423193</v>
      </c>
      <c r="AJ2589">
        <v>89.270075239627602</v>
      </c>
      <c r="AK2589">
        <v>78.860489995126898</v>
      </c>
      <c r="AL2589">
        <v>88.939117735878796</v>
      </c>
      <c r="AM2589">
        <v>90.212217635480698</v>
      </c>
      <c r="AN2589">
        <v>0.99999997240180005</v>
      </c>
    </row>
    <row r="2590" spans="1:40" x14ac:dyDescent="0.25">
      <c r="A2590" t="str">
        <f>"20190312153937523"</f>
        <v>20190312153937523</v>
      </c>
      <c r="B2590" t="str">
        <f>"1552376377518832"</f>
        <v>1552376377518832</v>
      </c>
      <c r="C2590" t="s">
        <v>40</v>
      </c>
      <c r="D2590">
        <v>4.2582329999999997</v>
      </c>
      <c r="E2590">
        <v>0.50727040000000001</v>
      </c>
      <c r="F2590" t="s">
        <v>61</v>
      </c>
      <c r="G2590">
        <v>-359.12459999999999</v>
      </c>
      <c r="H2590" s="1">
        <v>3.318889E-6</v>
      </c>
      <c r="I2590">
        <v>282.98590000000002</v>
      </c>
      <c r="J2590">
        <v>-280.0727</v>
      </c>
      <c r="K2590">
        <v>1.1093599999999999</v>
      </c>
      <c r="L2590">
        <v>284.02379999999999</v>
      </c>
      <c r="M2590">
        <v>-0.99962960000000001</v>
      </c>
      <c r="N2590">
        <v>0</v>
      </c>
      <c r="O2590">
        <v>-2.6738930000000001E-2</v>
      </c>
      <c r="P2590">
        <v>-0.99945870000000003</v>
      </c>
      <c r="Q2590">
        <v>1.3249479999999999E-2</v>
      </c>
      <c r="R2590">
        <v>-3.0113020000000001E-2</v>
      </c>
      <c r="S2590">
        <v>-3.001007</v>
      </c>
      <c r="T2590">
        <v>-4.199278E-2</v>
      </c>
      <c r="U2590">
        <v>-3.9520260000000001E-2</v>
      </c>
      <c r="V2590">
        <v>-3.4172130000000001E-3</v>
      </c>
      <c r="W2590">
        <v>1.8333189999999999E-2</v>
      </c>
      <c r="X2590">
        <v>0.99982610000000005</v>
      </c>
      <c r="Y2590">
        <v>1.356986E-2</v>
      </c>
      <c r="Z2590">
        <v>4.6900760000000001E-4</v>
      </c>
      <c r="AA2590">
        <v>0.99990780000000001</v>
      </c>
      <c r="AB2590">
        <v>46</v>
      </c>
      <c r="AC2590">
        <v>-79.051899999999904</v>
      </c>
      <c r="AD2590">
        <v>-1.1093566811110001</v>
      </c>
      <c r="AE2590">
        <v>-1.0378999999999701</v>
      </c>
      <c r="AF2590">
        <v>1.0760496117937699</v>
      </c>
      <c r="AG2590">
        <v>-1.1093566811110001</v>
      </c>
      <c r="AH2590">
        <v>79.035824975284001</v>
      </c>
      <c r="AI2590">
        <v>90.8040833795406</v>
      </c>
      <c r="AJ2590">
        <v>89.219982933048598</v>
      </c>
      <c r="AK2590">
        <v>79.050934115522494</v>
      </c>
      <c r="AL2590">
        <v>88.949526744408701</v>
      </c>
      <c r="AM2590">
        <v>90.195825174225405</v>
      </c>
      <c r="AN2590">
        <v>1.00000000672073</v>
      </c>
    </row>
    <row r="2591" spans="1:40" x14ac:dyDescent="0.25">
      <c r="A2591" t="str">
        <f>"20190312153937536"</f>
        <v>20190312153937536</v>
      </c>
      <c r="B2591" t="str">
        <f>"1552376377528591"</f>
        <v>1552376377528591</v>
      </c>
      <c r="C2591" t="s">
        <v>40</v>
      </c>
      <c r="D2591">
        <v>4.2738680000000002</v>
      </c>
      <c r="E2591">
        <v>0.50749270000000002</v>
      </c>
      <c r="F2591" t="s">
        <v>61</v>
      </c>
      <c r="G2591">
        <v>-354.22309999999999</v>
      </c>
      <c r="H2591" s="1">
        <v>7.1051830000000001E-7</v>
      </c>
      <c r="I2591">
        <v>283.13709999999998</v>
      </c>
      <c r="J2591">
        <v>-280.3417</v>
      </c>
      <c r="K2591">
        <v>1.109337</v>
      </c>
      <c r="L2591">
        <v>284.01639999999998</v>
      </c>
      <c r="M2591">
        <v>-0.9996197</v>
      </c>
      <c r="N2591">
        <v>0</v>
      </c>
      <c r="O2591">
        <v>-2.7099410000000001E-2</v>
      </c>
      <c r="P2591">
        <v>-0.99946310000000005</v>
      </c>
      <c r="Q2591">
        <v>1.319354E-2</v>
      </c>
      <c r="R2591">
        <v>-2.9994179999999999E-2</v>
      </c>
      <c r="S2591">
        <v>-3.0011290000000002</v>
      </c>
      <c r="T2591">
        <v>-4.4899700000000001E-2</v>
      </c>
      <c r="U2591">
        <v>-3.5888669999999998E-2</v>
      </c>
      <c r="V2591">
        <v>-2.9366459999999998E-3</v>
      </c>
      <c r="W2591">
        <v>1.830172E-2</v>
      </c>
      <c r="X2591">
        <v>0.99982819999999994</v>
      </c>
      <c r="Y2591">
        <v>1.5139959999999999E-2</v>
      </c>
      <c r="Z2591">
        <v>5.1859059999999997E-4</v>
      </c>
      <c r="AA2591">
        <v>0.99988529999999998</v>
      </c>
      <c r="AB2591">
        <v>46</v>
      </c>
      <c r="AC2591">
        <v>-73.8813999999999</v>
      </c>
      <c r="AD2591">
        <v>-1.1093362894816901</v>
      </c>
      <c r="AE2591">
        <v>-0.87929999999999997</v>
      </c>
      <c r="AF2591">
        <v>1.1229382587327701</v>
      </c>
      <c r="AG2591">
        <v>-1.1093362894816901</v>
      </c>
      <c r="AH2591">
        <v>73.861444760367405</v>
      </c>
      <c r="AI2591">
        <v>90.860369931124694</v>
      </c>
      <c r="AJ2591">
        <v>89.128981749412404</v>
      </c>
      <c r="AK2591">
        <v>73.878309668162402</v>
      </c>
      <c r="AL2591">
        <v>88.9513301414366</v>
      </c>
      <c r="AM2591">
        <v>90.168285849391296</v>
      </c>
      <c r="AN2591">
        <v>1.0000000031799601</v>
      </c>
    </row>
    <row r="2592" spans="1:40" x14ac:dyDescent="0.25">
      <c r="A2592" t="str">
        <f>"20190312153937549"</f>
        <v>20190312153937549</v>
      </c>
      <c r="B2592" t="str">
        <f>"1552376377538351"</f>
        <v>1552376377538351</v>
      </c>
      <c r="C2592" t="s">
        <v>40</v>
      </c>
      <c r="D2592">
        <v>4.2909860000000002</v>
      </c>
      <c r="E2592">
        <v>0.50770139999999997</v>
      </c>
      <c r="F2592" t="s">
        <v>61</v>
      </c>
      <c r="G2592">
        <v>-352.22500000000002</v>
      </c>
      <c r="H2592" s="1">
        <v>-3.5275059999999998E-7</v>
      </c>
      <c r="I2592">
        <v>283.20209999999997</v>
      </c>
      <c r="J2592">
        <v>-280.5831</v>
      </c>
      <c r="K2592">
        <v>1.1093150000000001</v>
      </c>
      <c r="L2592">
        <v>284.00979999999998</v>
      </c>
      <c r="M2592">
        <v>-0.99961120000000003</v>
      </c>
      <c r="N2592">
        <v>0</v>
      </c>
      <c r="O2592">
        <v>-2.7405789999999999E-2</v>
      </c>
      <c r="P2592">
        <v>-0.99946429999999997</v>
      </c>
      <c r="Q2592">
        <v>1.325482E-2</v>
      </c>
      <c r="R2592">
        <v>-2.9920530000000001E-2</v>
      </c>
      <c r="S2592">
        <v>-3.0011899999999998</v>
      </c>
      <c r="T2592">
        <v>-4.6315790000000003E-2</v>
      </c>
      <c r="U2592">
        <v>-3.3996579999999998E-2</v>
      </c>
      <c r="V2592">
        <v>-2.5557140000000002E-3</v>
      </c>
      <c r="W2592">
        <v>1.8385160000000001E-2</v>
      </c>
      <c r="X2592">
        <v>0.99982769999999999</v>
      </c>
      <c r="Y2592">
        <v>1.60764999999999E-2</v>
      </c>
      <c r="Z2592">
        <v>5.4688849999999999E-4</v>
      </c>
      <c r="AA2592">
        <v>0.99987060000000005</v>
      </c>
      <c r="AB2592">
        <v>46</v>
      </c>
      <c r="AC2592">
        <v>-71.641900000000007</v>
      </c>
      <c r="AD2592">
        <v>-1.1093153527505999</v>
      </c>
      <c r="AE2592">
        <v>-0.80770000000001096</v>
      </c>
      <c r="AF2592">
        <v>1.1557550755546999</v>
      </c>
      <c r="AG2592">
        <v>-1.1093153527505999</v>
      </c>
      <c r="AH2592">
        <v>71.619956497728595</v>
      </c>
      <c r="AI2592">
        <v>90.887262946433694</v>
      </c>
      <c r="AJ2592">
        <v>89.075479183016895</v>
      </c>
      <c r="AK2592">
        <v>71.637870704558594</v>
      </c>
      <c r="AL2592">
        <v>88.9465485608129</v>
      </c>
      <c r="AM2592">
        <v>90.146456541381397</v>
      </c>
      <c r="AN2592">
        <v>0.99999998773478205</v>
      </c>
    </row>
    <row r="2593" spans="1:40" x14ac:dyDescent="0.25">
      <c r="A2593" t="str">
        <f>"20190312153937567"</f>
        <v>20190312153937567</v>
      </c>
      <c r="B2593" t="str">
        <f>"1552376377558847"</f>
        <v>1552376377558847</v>
      </c>
      <c r="C2593" t="s">
        <v>40</v>
      </c>
      <c r="D2593">
        <v>4.2492809999999999</v>
      </c>
      <c r="E2593">
        <v>0.50813129999999995</v>
      </c>
      <c r="F2593" t="s">
        <v>61</v>
      </c>
      <c r="G2593">
        <v>-350.86380000000003</v>
      </c>
      <c r="H2593" s="1">
        <v>-1.077098E-6</v>
      </c>
      <c r="I2593">
        <v>283.26080000000002</v>
      </c>
      <c r="J2593">
        <v>-280.97550000000001</v>
      </c>
      <c r="K2593">
        <v>1.1092820000000001</v>
      </c>
      <c r="L2593">
        <v>283.99869999999999</v>
      </c>
      <c r="M2593">
        <v>-0.99959779999999998</v>
      </c>
      <c r="N2593">
        <v>0</v>
      </c>
      <c r="O2593">
        <v>-2.7888050000000001E-2</v>
      </c>
      <c r="P2593">
        <v>-0.99947419999999998</v>
      </c>
      <c r="Q2593">
        <v>1.357821E-2</v>
      </c>
      <c r="R2593">
        <v>-2.9448700000000001E-2</v>
      </c>
      <c r="S2593">
        <v>-3.0012509999999999</v>
      </c>
      <c r="T2593">
        <v>-4.7371980000000001E-2</v>
      </c>
      <c r="U2593">
        <v>-3.1982419999999998E-2</v>
      </c>
      <c r="V2593">
        <v>-1.6007629999999901E-3</v>
      </c>
      <c r="W2593">
        <v>1.8743679999999999E-2</v>
      </c>
      <c r="X2593">
        <v>0.99982300000000002</v>
      </c>
      <c r="Y2593">
        <v>1.7229599999999901E-2</v>
      </c>
      <c r="Z2593">
        <v>5.7605829999999995E-4</v>
      </c>
      <c r="AA2593">
        <v>0.99985139999999995</v>
      </c>
      <c r="AB2593">
        <v>46</v>
      </c>
      <c r="AC2593">
        <v>-69.888300000000001</v>
      </c>
      <c r="AD2593">
        <v>-1.10928307709799</v>
      </c>
      <c r="AE2593">
        <v>-0.73789999999996703</v>
      </c>
      <c r="AF2593">
        <v>1.2111561473730399</v>
      </c>
      <c r="AG2593">
        <v>-1.10928307709799</v>
      </c>
      <c r="AH2593">
        <v>69.864096543061194</v>
      </c>
      <c r="AI2593">
        <v>90.909513693231901</v>
      </c>
      <c r="AJ2593">
        <v>89.006826273871695</v>
      </c>
      <c r="AK2593">
        <v>69.883398557430098</v>
      </c>
      <c r="AL2593">
        <v>88.926003306784807</v>
      </c>
      <c r="AM2593">
        <v>90.091733122295906</v>
      </c>
      <c r="AN2593">
        <v>0.99999995965556099</v>
      </c>
    </row>
    <row r="2594" spans="1:40" x14ac:dyDescent="0.25">
      <c r="A2594" t="str">
        <f>"20190312153937590"</f>
        <v>20190312153937590</v>
      </c>
      <c r="B2594" t="str">
        <f>"1552376377578367"</f>
        <v>1552376377578367</v>
      </c>
      <c r="C2594" t="s">
        <v>40</v>
      </c>
      <c r="D2594">
        <v>4.2739330000000004</v>
      </c>
      <c r="E2594">
        <v>0.50847229999999999</v>
      </c>
      <c r="F2594" t="s">
        <v>61</v>
      </c>
      <c r="G2594">
        <v>-351.3057</v>
      </c>
      <c r="H2594" s="1">
        <v>-8.4198630000000001E-7</v>
      </c>
      <c r="I2594">
        <v>283.3544</v>
      </c>
      <c r="J2594">
        <v>-281.42399999999998</v>
      </c>
      <c r="K2594">
        <v>1.1092500000000001</v>
      </c>
      <c r="L2594">
        <v>283.98599999999999</v>
      </c>
      <c r="M2594">
        <v>-0.99958290000000005</v>
      </c>
      <c r="N2594">
        <v>0</v>
      </c>
      <c r="O2594">
        <v>-2.8409750000000001E-2</v>
      </c>
      <c r="P2594">
        <v>-0.99947889999999995</v>
      </c>
      <c r="Q2594">
        <v>1.381346E-2</v>
      </c>
      <c r="R2594">
        <v>-2.9176279999999999E-2</v>
      </c>
      <c r="S2594">
        <v>-3.0013730000000001</v>
      </c>
      <c r="T2594">
        <v>-4.7339199999999998E-2</v>
      </c>
      <c r="U2594">
        <v>-2.7496340000000001E-2</v>
      </c>
      <c r="V2594">
        <v>-8.050574E-4</v>
      </c>
      <c r="W2594">
        <v>1.9019709999999999E-2</v>
      </c>
      <c r="X2594">
        <v>0.99981880000000001</v>
      </c>
      <c r="Y2594">
        <v>1.9245849999999998E-2</v>
      </c>
      <c r="Z2594">
        <v>5.9976739999999999E-4</v>
      </c>
      <c r="AA2594">
        <v>0.9998146</v>
      </c>
      <c r="AB2594">
        <v>46</v>
      </c>
      <c r="AC2594">
        <v>-69.881699999999896</v>
      </c>
      <c r="AD2594">
        <v>-1.1092508419863001</v>
      </c>
      <c r="AE2594">
        <v>-0.63159999999999095</v>
      </c>
      <c r="AF2594">
        <v>1.35366224494086</v>
      </c>
      <c r="AG2594">
        <v>-1.1092508419863001</v>
      </c>
      <c r="AH2594">
        <v>69.853837165846898</v>
      </c>
      <c r="AI2594">
        <v>90.909586731232693</v>
      </c>
      <c r="AJ2594">
        <v>88.889832966057796</v>
      </c>
      <c r="AK2594">
        <v>69.875756923961006</v>
      </c>
      <c r="AL2594">
        <v>88.910185192587093</v>
      </c>
      <c r="AM2594">
        <v>90.046134740932104</v>
      </c>
      <c r="AN2594">
        <v>1.00000001515967</v>
      </c>
    </row>
    <row r="2595" spans="1:40" x14ac:dyDescent="0.25">
      <c r="A2595" t="str">
        <f>"20190312153937602"</f>
        <v>20190312153937602</v>
      </c>
      <c r="B2595" t="str">
        <f>"1552376377598864"</f>
        <v>1552376377598864</v>
      </c>
      <c r="C2595" t="s">
        <v>40</v>
      </c>
      <c r="D2595">
        <v>4.2779939999999996</v>
      </c>
      <c r="E2595">
        <v>0.50878970000000001</v>
      </c>
      <c r="F2595" t="s">
        <v>61</v>
      </c>
      <c r="G2595">
        <v>-349.93799999999999</v>
      </c>
      <c r="H2595" s="1">
        <v>3.7517029999999999E-6</v>
      </c>
      <c r="I2595">
        <v>283.4357</v>
      </c>
      <c r="J2595">
        <v>-281.69130000000001</v>
      </c>
      <c r="K2595">
        <v>1.1092310000000001</v>
      </c>
      <c r="L2595">
        <v>283.97829999999999</v>
      </c>
      <c r="M2595">
        <v>-0.99957410000000002</v>
      </c>
      <c r="N2595">
        <v>0</v>
      </c>
      <c r="O2595">
        <v>-2.8707549999999998E-2</v>
      </c>
      <c r="P2595">
        <v>-0.99948250000000005</v>
      </c>
      <c r="Q2595">
        <v>1.391098E-2</v>
      </c>
      <c r="R2595">
        <v>-2.900639E-2</v>
      </c>
      <c r="S2595">
        <v>-3.0015260000000001</v>
      </c>
      <c r="T2595">
        <v>-4.8594949999999998E-2</v>
      </c>
      <c r="U2595">
        <v>-2.4108890000000001E-2</v>
      </c>
      <c r="V2595">
        <v>-3.3641059999999997E-4</v>
      </c>
      <c r="W2595">
        <v>1.914128E-2</v>
      </c>
      <c r="X2595">
        <v>0.9998167</v>
      </c>
      <c r="Y2595">
        <v>2.0671910000000002E-2</v>
      </c>
      <c r="Z2595">
        <v>6.3201119999999999E-4</v>
      </c>
      <c r="AA2595">
        <v>0.99978610000000001</v>
      </c>
      <c r="AB2595">
        <v>46</v>
      </c>
      <c r="AC2595">
        <v>-68.246700000000004</v>
      </c>
      <c r="AD2595">
        <v>-1.10922724829699</v>
      </c>
      <c r="AE2595">
        <v>-0.54259999999999298</v>
      </c>
      <c r="AF2595">
        <v>1.41647196348677</v>
      </c>
      <c r="AG2595">
        <v>-1.10922724829699</v>
      </c>
      <c r="AH2595">
        <v>68.216129231469694</v>
      </c>
      <c r="AI2595">
        <v>90.931374252915901</v>
      </c>
      <c r="AJ2595">
        <v>88.810454284952996</v>
      </c>
      <c r="AK2595">
        <v>68.239849539959295</v>
      </c>
      <c r="AL2595">
        <v>88.9032184244127</v>
      </c>
      <c r="AM2595">
        <v>90.019278440574197</v>
      </c>
      <c r="AN2595">
        <v>0.99999996768550903</v>
      </c>
    </row>
    <row r="2596" spans="1:40" x14ac:dyDescent="0.25">
      <c r="A2596" t="str">
        <f>"20190312153937622"</f>
        <v>20190312153937622</v>
      </c>
      <c r="B2596" t="str">
        <f>"1552376377608623"</f>
        <v>1552376377608623</v>
      </c>
      <c r="C2596" t="s">
        <v>40</v>
      </c>
      <c r="D2596">
        <v>4.2675159999999996</v>
      </c>
      <c r="E2596">
        <v>0.5089342</v>
      </c>
      <c r="F2596" t="s">
        <v>61</v>
      </c>
      <c r="G2596">
        <v>-348.75560000000002</v>
      </c>
      <c r="H2596" s="1">
        <v>3.122517E-6</v>
      </c>
      <c r="I2596">
        <v>283.50439999999998</v>
      </c>
      <c r="J2596">
        <v>-282.07479999999998</v>
      </c>
      <c r="K2596">
        <v>1.109205</v>
      </c>
      <c r="L2596">
        <v>283.96699999999998</v>
      </c>
      <c r="M2596">
        <v>-0.99956210000000001</v>
      </c>
      <c r="N2596">
        <v>0</v>
      </c>
      <c r="O2596">
        <v>-2.9118680000000001E-2</v>
      </c>
      <c r="P2596">
        <v>-0.99948630000000005</v>
      </c>
      <c r="Q2596">
        <v>1.436057E-2</v>
      </c>
      <c r="R2596">
        <v>-2.864833E-2</v>
      </c>
      <c r="S2596">
        <v>-3.001617</v>
      </c>
      <c r="T2596">
        <v>-4.9646019999999999E-2</v>
      </c>
      <c r="U2596">
        <v>-2.1209720000000001E-2</v>
      </c>
      <c r="V2596">
        <v>4.3319229999999999E-4</v>
      </c>
      <c r="W2596">
        <v>1.962471E-2</v>
      </c>
      <c r="X2596">
        <v>0.99980729999999995</v>
      </c>
      <c r="Y2596">
        <v>2.2048439999999999E-2</v>
      </c>
      <c r="Z2596">
        <v>6.6384349999999996E-4</v>
      </c>
      <c r="AA2596">
        <v>0.99975670000000005</v>
      </c>
      <c r="AB2596">
        <v>46</v>
      </c>
      <c r="AC2596">
        <v>-66.680800000000005</v>
      </c>
      <c r="AD2596">
        <v>-1.1092018774829999</v>
      </c>
      <c r="AE2596">
        <v>-0.462600000000008</v>
      </c>
      <c r="AF2596">
        <v>1.4788707523110101</v>
      </c>
      <c r="AG2596">
        <v>-1.1092018774829999</v>
      </c>
      <c r="AH2596">
        <v>66.647553533363904</v>
      </c>
      <c r="AI2596">
        <v>90.953239549739394</v>
      </c>
      <c r="AJ2596">
        <v>88.728848315004001</v>
      </c>
      <c r="AK2596">
        <v>66.673186360707703</v>
      </c>
      <c r="AL2596">
        <v>88.875514730413599</v>
      </c>
      <c r="AM2596">
        <v>89.975175127292601</v>
      </c>
      <c r="AN2596">
        <v>0.99999997701572096</v>
      </c>
    </row>
    <row r="2597" spans="1:40" x14ac:dyDescent="0.25">
      <c r="A2597" t="str">
        <f>"20190312153937634"</f>
        <v>20190312153937634</v>
      </c>
      <c r="B2597" t="str">
        <f>"1552376377628146"</f>
        <v>1552376377628146</v>
      </c>
      <c r="C2597" t="s">
        <v>40</v>
      </c>
      <c r="D2597">
        <v>4.3337370000000002</v>
      </c>
      <c r="E2597">
        <v>0.50870490000000002</v>
      </c>
      <c r="F2597" t="s">
        <v>61</v>
      </c>
      <c r="G2597">
        <v>-350.0942</v>
      </c>
      <c r="H2597" s="1">
        <v>-1.4866749999999901E-6</v>
      </c>
      <c r="I2597">
        <v>283.53969999999998</v>
      </c>
      <c r="J2597">
        <v>-282.3571</v>
      </c>
      <c r="K2597">
        <v>1.1091850000000001</v>
      </c>
      <c r="L2597">
        <v>283.95870000000002</v>
      </c>
      <c r="M2597">
        <v>-0.99955349999999998</v>
      </c>
      <c r="N2597">
        <v>0</v>
      </c>
      <c r="O2597">
        <v>-2.9410169999999999E-2</v>
      </c>
      <c r="P2597">
        <v>-0.99948510000000002</v>
      </c>
      <c r="Q2597">
        <v>1.4558969999999999E-2</v>
      </c>
      <c r="R2597">
        <v>-2.8598289999999998E-2</v>
      </c>
      <c r="S2597">
        <v>-3.001709</v>
      </c>
      <c r="T2597">
        <v>-4.8949479999999997E-2</v>
      </c>
      <c r="U2597">
        <v>-1.8859859999999999E-2</v>
      </c>
      <c r="V2597">
        <v>7.7545929999999895E-4</v>
      </c>
      <c r="W2597">
        <v>1.9848299999999999E-2</v>
      </c>
      <c r="X2597">
        <v>0.99980270000000004</v>
      </c>
      <c r="Y2597">
        <v>2.3122819999999999E-2</v>
      </c>
      <c r="Z2597">
        <v>6.6802470000000005E-4</v>
      </c>
      <c r="AA2597">
        <v>0.99973239999999997</v>
      </c>
      <c r="AB2597">
        <v>46</v>
      </c>
      <c r="AC2597">
        <v>-67.737099999999998</v>
      </c>
      <c r="AD2597">
        <v>-1.1091864866750001</v>
      </c>
      <c r="AE2597">
        <v>-0.41900000000003901</v>
      </c>
      <c r="AF2597">
        <v>1.5729468649129801</v>
      </c>
      <c r="AG2597">
        <v>-1.1091864866750001</v>
      </c>
      <c r="AH2597">
        <v>67.701968328217006</v>
      </c>
      <c r="AI2597">
        <v>90.938360878069801</v>
      </c>
      <c r="AJ2597">
        <v>88.669063716505804</v>
      </c>
      <c r="AK2597">
        <v>67.729321360965699</v>
      </c>
      <c r="AL2597">
        <v>88.862701494393306</v>
      </c>
      <c r="AM2597">
        <v>89.9555606959605</v>
      </c>
      <c r="AN2597">
        <v>0.99999999763865299</v>
      </c>
    </row>
    <row r="2598" spans="1:40" x14ac:dyDescent="0.25">
      <c r="A2598" t="str">
        <f>"20190312153937646"</f>
        <v>20190312153937646</v>
      </c>
      <c r="B2598" t="str">
        <f>"1552376377638879"</f>
        <v>1552376377638879</v>
      </c>
      <c r="C2598" t="s">
        <v>40</v>
      </c>
      <c r="D2598">
        <v>4.2982699999999996</v>
      </c>
      <c r="E2598">
        <v>0.4851065</v>
      </c>
      <c r="F2598" t="s">
        <v>61</v>
      </c>
      <c r="G2598">
        <v>-351.09129999999999</v>
      </c>
      <c r="H2598" s="1">
        <v>-9.5605419999999992E-7</v>
      </c>
      <c r="I2598">
        <v>283.48140000000001</v>
      </c>
      <c r="J2598">
        <v>-282.59690000000001</v>
      </c>
      <c r="K2598">
        <v>1.109173</v>
      </c>
      <c r="L2598">
        <v>283.95150000000001</v>
      </c>
      <c r="M2598">
        <v>-0.9995463</v>
      </c>
      <c r="N2598">
        <v>0</v>
      </c>
      <c r="O2598">
        <v>-2.9649229999999999E-2</v>
      </c>
      <c r="P2598">
        <v>-0.99949100000000002</v>
      </c>
      <c r="Q2598">
        <v>1.4577710000000001E-2</v>
      </c>
      <c r="R2598">
        <v>-2.838332E-2</v>
      </c>
      <c r="S2598">
        <v>-3.001617</v>
      </c>
      <c r="T2598">
        <v>-4.843807E-2</v>
      </c>
      <c r="U2598">
        <v>-2.0843509999999999E-2</v>
      </c>
      <c r="V2598">
        <v>1.230437E-3</v>
      </c>
      <c r="W2598">
        <v>1.9888349999999999E-2</v>
      </c>
      <c r="X2598">
        <v>0.99980150000000001</v>
      </c>
      <c r="Y2598">
        <v>2.2701249999999999E-2</v>
      </c>
      <c r="Z2598">
        <v>6.6151879999999999E-4</v>
      </c>
      <c r="AA2598">
        <v>0.99974209999999997</v>
      </c>
      <c r="AB2598">
        <v>46</v>
      </c>
      <c r="AC2598">
        <v>-68.494399999999899</v>
      </c>
      <c r="AD2598">
        <v>-1.1091739560542</v>
      </c>
      <c r="AE2598">
        <v>-0.47010000000000202</v>
      </c>
      <c r="AF2598">
        <v>1.5605322430574</v>
      </c>
      <c r="AG2598">
        <v>-1.1091739560542</v>
      </c>
      <c r="AH2598">
        <v>68.460273138724602</v>
      </c>
      <c r="AI2598">
        <v>90.927967769065305</v>
      </c>
      <c r="AJ2598">
        <v>88.694185314518094</v>
      </c>
      <c r="AK2598">
        <v>68.487039109419797</v>
      </c>
      <c r="AL2598">
        <v>88.860406404957203</v>
      </c>
      <c r="AM2598">
        <v>89.929487191742695</v>
      </c>
      <c r="AN2598">
        <v>1.00000004992159</v>
      </c>
    </row>
    <row r="2599" spans="1:40" x14ac:dyDescent="0.25">
      <c r="A2599" t="str">
        <f>"20190312153937657"</f>
        <v>20190312153937657</v>
      </c>
      <c r="B2599" t="str">
        <f>"1552376377648639"</f>
        <v>1552376377648639</v>
      </c>
      <c r="C2599" t="s">
        <v>40</v>
      </c>
      <c r="D2599">
        <v>4.2858900000000002</v>
      </c>
      <c r="E2599">
        <v>0.4847707</v>
      </c>
      <c r="F2599" t="s">
        <v>61</v>
      </c>
      <c r="G2599">
        <v>-350.64420000000001</v>
      </c>
      <c r="H2599">
        <v>8.0001269999999999E-2</v>
      </c>
      <c r="I2599">
        <v>279.22399999999999</v>
      </c>
      <c r="J2599">
        <v>-282.84030000000001</v>
      </c>
      <c r="K2599">
        <v>1.1091549999999999</v>
      </c>
      <c r="L2599">
        <v>283.9443</v>
      </c>
      <c r="M2599">
        <v>-0.99953910000000001</v>
      </c>
      <c r="N2599">
        <v>0</v>
      </c>
      <c r="O2599">
        <v>-2.9888649999999999E-2</v>
      </c>
      <c r="P2599">
        <v>-0.99948250000000005</v>
      </c>
      <c r="Q2599">
        <v>1.498701E-2</v>
      </c>
      <c r="R2599">
        <v>-2.847239E-2</v>
      </c>
      <c r="S2599">
        <v>-2.9962460000000002</v>
      </c>
      <c r="T2599">
        <v>-4.5316339999999997E-2</v>
      </c>
      <c r="U2599">
        <v>-0.2081604</v>
      </c>
      <c r="V2599">
        <v>1.380846E-3</v>
      </c>
      <c r="W2599">
        <v>2.0318360000000001E-2</v>
      </c>
      <c r="X2599">
        <v>0.99979260000000003</v>
      </c>
      <c r="Y2599">
        <v>-3.9457409999999998E-2</v>
      </c>
      <c r="Z2599">
        <v>1.533079E-4</v>
      </c>
      <c r="AA2599">
        <v>0.99922129999999998</v>
      </c>
      <c r="AB2599">
        <v>46</v>
      </c>
      <c r="AC2599">
        <v>-67.803899999999999</v>
      </c>
      <c r="AD2599">
        <v>-1.02915373</v>
      </c>
      <c r="AE2599">
        <v>-4.7202999999999999</v>
      </c>
      <c r="AF2599">
        <v>-2.69097843877302</v>
      </c>
      <c r="AG2599">
        <v>-1.02915373</v>
      </c>
      <c r="AH2599">
        <v>67.899124705886706</v>
      </c>
      <c r="AI2599">
        <v>90.867690218941803</v>
      </c>
      <c r="AJ2599">
        <v>92.2695588459124</v>
      </c>
      <c r="AK2599">
        <v>67.960221145781006</v>
      </c>
      <c r="AL2599">
        <v>88.835763601159499</v>
      </c>
      <c r="AM2599">
        <v>89.920866990161798</v>
      </c>
      <c r="AN2599">
        <v>0.99999999275176199</v>
      </c>
    </row>
    <row r="2600" spans="1:40" x14ac:dyDescent="0.25">
      <c r="A2600" t="str">
        <f>"20190312153937669"</f>
        <v>20190312153937669</v>
      </c>
      <c r="B2600" t="str">
        <f>"1552376377658399"</f>
        <v>1552376377658399</v>
      </c>
      <c r="C2600" t="s">
        <v>40</v>
      </c>
      <c r="D2600">
        <v>4.2668730000000004</v>
      </c>
      <c r="E2600">
        <v>0.4849001</v>
      </c>
      <c r="F2600" t="s">
        <v>61</v>
      </c>
      <c r="G2600">
        <v>-385.10649999999998</v>
      </c>
      <c r="H2600">
        <v>8.0001429999999998E-2</v>
      </c>
      <c r="I2600">
        <v>276.75869999999998</v>
      </c>
      <c r="J2600">
        <v>-283.07920000000001</v>
      </c>
      <c r="K2600">
        <v>1.1091409999999999</v>
      </c>
      <c r="L2600">
        <v>283.93700000000001</v>
      </c>
      <c r="M2600">
        <v>-0.99953219999999998</v>
      </c>
      <c r="N2600">
        <v>0</v>
      </c>
      <c r="O2600">
        <v>-3.0113290000000001E-2</v>
      </c>
      <c r="P2600">
        <v>-0.99947609999999998</v>
      </c>
      <c r="Q2600">
        <v>1.516432E-2</v>
      </c>
      <c r="R2600">
        <v>-2.8594560000000002E-2</v>
      </c>
      <c r="S2600">
        <v>-2.9960019999999998</v>
      </c>
      <c r="T2600">
        <v>-3.0150179999999999E-2</v>
      </c>
      <c r="U2600">
        <v>-0.21051030000000001</v>
      </c>
      <c r="V2600">
        <v>1.4834869999999999E-3</v>
      </c>
      <c r="W2600">
        <v>2.0517170000000001E-2</v>
      </c>
      <c r="X2600">
        <v>0.99978840000000002</v>
      </c>
      <c r="Y2600">
        <v>-4.0018959999999999E-2</v>
      </c>
      <c r="Z2600">
        <v>1.014417E-4</v>
      </c>
      <c r="AA2600">
        <v>0.9991989</v>
      </c>
      <c r="AB2600">
        <v>47</v>
      </c>
      <c r="AC2600">
        <v>-102.027299999999</v>
      </c>
      <c r="AD2600">
        <v>-1.0291395699999999</v>
      </c>
      <c r="AE2600">
        <v>-7.1783000000000303</v>
      </c>
      <c r="AF2600">
        <v>-4.1022076009246602</v>
      </c>
      <c r="AG2600">
        <v>-1.0291395699999999</v>
      </c>
      <c r="AH2600">
        <v>102.186847950795</v>
      </c>
      <c r="AI2600">
        <v>90.576550806690705</v>
      </c>
      <c r="AJ2600">
        <v>92.298857918735195</v>
      </c>
      <c r="AK2600">
        <v>102.27433270168299</v>
      </c>
      <c r="AL2600">
        <v>88.824370260415705</v>
      </c>
      <c r="AM2600">
        <v>89.9149845290424</v>
      </c>
      <c r="AN2600">
        <v>0.99999999988652399</v>
      </c>
    </row>
    <row r="2601" spans="1:40" x14ac:dyDescent="0.25">
      <c r="A2601" t="str">
        <f>"20190312153937680"</f>
        <v>20190312153937680</v>
      </c>
      <c r="B2601" t="str">
        <f>"1552376377668159"</f>
        <v>1552376377668159</v>
      </c>
      <c r="C2601" t="s">
        <v>40</v>
      </c>
      <c r="D2601">
        <v>4.3057679999999996</v>
      </c>
      <c r="E2601">
        <v>0.48480390000000001</v>
      </c>
      <c r="F2601" t="s">
        <v>43</v>
      </c>
      <c r="G2601">
        <v>-459.30619999999999</v>
      </c>
      <c r="H2601">
        <v>-0.05</v>
      </c>
      <c r="I2601">
        <v>271.61160000000001</v>
      </c>
      <c r="J2601">
        <v>-283.31580000000002</v>
      </c>
      <c r="K2601">
        <v>1.109129</v>
      </c>
      <c r="L2601">
        <v>283.9298</v>
      </c>
      <c r="M2601">
        <v>-0.99952549999999996</v>
      </c>
      <c r="N2601">
        <v>0</v>
      </c>
      <c r="O2601">
        <v>-3.0332339999999999E-2</v>
      </c>
      <c r="P2601">
        <v>-0.99947050000000004</v>
      </c>
      <c r="Q2601">
        <v>1.53708E-2</v>
      </c>
      <c r="R2601">
        <v>-2.8681269999999998E-2</v>
      </c>
      <c r="S2601">
        <v>-2.9958800000000001</v>
      </c>
      <c r="T2601">
        <v>-1.9705529999999999E-2</v>
      </c>
      <c r="U2601">
        <v>-0.20953369999999999</v>
      </c>
      <c r="V2601">
        <v>1.616297E-3</v>
      </c>
      <c r="W2601">
        <v>2.0746000000000001E-2</v>
      </c>
      <c r="X2601">
        <v>0.99978350000000005</v>
      </c>
      <c r="Y2601">
        <v>-3.9479019999999997E-2</v>
      </c>
      <c r="Z2601" s="1">
        <v>6.9516200000000004E-5</v>
      </c>
      <c r="AA2601">
        <v>0.99922040000000001</v>
      </c>
      <c r="AB2601">
        <v>47</v>
      </c>
      <c r="AC2601">
        <v>-175.990399999999</v>
      </c>
      <c r="AD2601">
        <v>-1.1591290000000001</v>
      </c>
      <c r="AE2601">
        <v>-12.3181999999999</v>
      </c>
      <c r="AF2601">
        <v>-6.9739534770710101</v>
      </c>
      <c r="AG2601">
        <v>-1.1591290000000001</v>
      </c>
      <c r="AH2601">
        <v>176.27545470147501</v>
      </c>
      <c r="AI2601">
        <v>90.376458141534499</v>
      </c>
      <c r="AJ2601">
        <v>92.265600855173005</v>
      </c>
      <c r="AK2601">
        <v>176.41716338653299</v>
      </c>
      <c r="AL2601">
        <v>88.811256509148706</v>
      </c>
      <c r="AM2601">
        <v>89.907373030398901</v>
      </c>
      <c r="AN2601">
        <v>1.0000000279021199</v>
      </c>
    </row>
    <row r="2602" spans="1:40" x14ac:dyDescent="0.25">
      <c r="A2602" t="str">
        <f>"20190312153937693"</f>
        <v>20190312153937693</v>
      </c>
      <c r="B2602" t="str">
        <f>"1552376377688697"</f>
        <v>1552376377688697</v>
      </c>
      <c r="C2602" t="s">
        <v>40</v>
      </c>
      <c r="D2602">
        <v>4.2743929999999999</v>
      </c>
      <c r="E2602">
        <v>0.484788</v>
      </c>
      <c r="F2602" t="s">
        <v>67</v>
      </c>
      <c r="G2602">
        <v>-512.8252</v>
      </c>
      <c r="H2602">
        <v>0.1510466</v>
      </c>
      <c r="I2602">
        <v>267.81150000000002</v>
      </c>
      <c r="J2602">
        <v>-283.57889999999998</v>
      </c>
      <c r="K2602">
        <v>1.109113</v>
      </c>
      <c r="L2602">
        <v>283.92169999999999</v>
      </c>
      <c r="M2602">
        <v>-0.99951820000000002</v>
      </c>
      <c r="N2602">
        <v>0</v>
      </c>
      <c r="O2602">
        <v>-3.056795E-2</v>
      </c>
      <c r="P2602">
        <v>-0.99946690000000005</v>
      </c>
      <c r="Q2602">
        <v>1.5512969999999999E-2</v>
      </c>
      <c r="R2602">
        <v>-2.8736859999999999E-2</v>
      </c>
      <c r="S2602">
        <v>-2.9957280000000002</v>
      </c>
      <c r="T2602">
        <v>-1.250458E-2</v>
      </c>
      <c r="U2602">
        <v>-0.2103882</v>
      </c>
      <c r="V2602">
        <v>1.797147E-3</v>
      </c>
      <c r="W2602">
        <v>2.0914760000000001E-2</v>
      </c>
      <c r="X2602">
        <v>0.99977959999999999</v>
      </c>
      <c r="Y2602">
        <v>-3.9530750000000003E-2</v>
      </c>
      <c r="Z2602" s="1">
        <v>4.4988579999999997E-5</v>
      </c>
      <c r="AA2602">
        <v>0.9992183</v>
      </c>
      <c r="AB2602">
        <v>47</v>
      </c>
      <c r="AC2602">
        <v>-229.24629999999999</v>
      </c>
      <c r="AD2602">
        <v>-0.95806639999999998</v>
      </c>
      <c r="AE2602">
        <v>-16.110199999999899</v>
      </c>
      <c r="AF2602">
        <v>-9.0948223365536602</v>
      </c>
      <c r="AG2602">
        <v>-0.95806639999999998</v>
      </c>
      <c r="AH2602">
        <v>229.62764006059899</v>
      </c>
      <c r="AI2602">
        <v>90.238864269758494</v>
      </c>
      <c r="AJ2602">
        <v>92.268118553443102</v>
      </c>
      <c r="AK2602">
        <v>229.80967508867101</v>
      </c>
      <c r="AL2602">
        <v>88.801585085133198</v>
      </c>
      <c r="AM2602">
        <v>89.897008473305803</v>
      </c>
      <c r="AN2602">
        <v>0.99999995274967701</v>
      </c>
    </row>
    <row r="2603" spans="1:40" x14ac:dyDescent="0.25">
      <c r="A2603" t="str">
        <f>"20190312153937713"</f>
        <v>20190312153937713</v>
      </c>
      <c r="B2603" t="str">
        <f>"1552376377708217"</f>
        <v>1552376377708217</v>
      </c>
      <c r="C2603" t="s">
        <v>40</v>
      </c>
      <c r="D2603">
        <v>4.2622239999999998</v>
      </c>
      <c r="E2603">
        <v>0.4849233</v>
      </c>
      <c r="F2603" t="s">
        <v>67</v>
      </c>
      <c r="G2603">
        <v>-512.82529999999997</v>
      </c>
      <c r="H2603">
        <v>0.55440500000000004</v>
      </c>
      <c r="I2603">
        <v>267.83049999999997</v>
      </c>
      <c r="J2603">
        <v>-283.97219999999999</v>
      </c>
      <c r="K2603">
        <v>1.109084</v>
      </c>
      <c r="L2603">
        <v>283.90949999999998</v>
      </c>
      <c r="M2603">
        <v>-0.9995077</v>
      </c>
      <c r="N2603">
        <v>0</v>
      </c>
      <c r="O2603">
        <v>-3.090511E-2</v>
      </c>
      <c r="P2603">
        <v>-0.99946020000000002</v>
      </c>
      <c r="Q2603">
        <v>1.5803049999999999E-2</v>
      </c>
      <c r="R2603">
        <v>-2.8803209999999999E-2</v>
      </c>
      <c r="S2603">
        <v>-2.9956049999999999</v>
      </c>
      <c r="T2603">
        <v>-7.2474480000000001E-3</v>
      </c>
      <c r="U2603">
        <v>-0.21026610000000001</v>
      </c>
      <c r="V2603">
        <v>2.0684560000000002E-3</v>
      </c>
      <c r="W2603">
        <v>2.1248E-2</v>
      </c>
      <c r="X2603">
        <v>0.99977210000000005</v>
      </c>
      <c r="Y2603">
        <v>-3.9156070000000001E-2</v>
      </c>
      <c r="Z2603" s="1">
        <v>2.7342519999999999E-5</v>
      </c>
      <c r="AA2603">
        <v>0.99923309999999999</v>
      </c>
      <c r="AB2603">
        <v>47</v>
      </c>
      <c r="AC2603">
        <v>-228.85310000000001</v>
      </c>
      <c r="AD2603">
        <v>-0.55467899999999903</v>
      </c>
      <c r="AE2603">
        <v>-16.079000000000001</v>
      </c>
      <c r="AF2603">
        <v>-8.9984329994534296</v>
      </c>
      <c r="AG2603">
        <v>-0.55467899999999903</v>
      </c>
      <c r="AH2603">
        <v>229.23936941976999</v>
      </c>
      <c r="AI2603">
        <v>90.138528768988294</v>
      </c>
      <c r="AJ2603">
        <v>92.247902162275196</v>
      </c>
      <c r="AK2603">
        <v>229.416581696294</v>
      </c>
      <c r="AL2603">
        <v>88.782487656786799</v>
      </c>
      <c r="AM2603">
        <v>89.881459354775899</v>
      </c>
      <c r="AN2603">
        <v>1.0000000039763099</v>
      </c>
    </row>
    <row r="2604" spans="1:40" x14ac:dyDescent="0.25">
      <c r="A2604" t="str">
        <f>"20190312153937733"</f>
        <v>20190312153937733</v>
      </c>
      <c r="B2604" t="str">
        <f>"1552376377728713"</f>
        <v>1552376377728713</v>
      </c>
      <c r="C2604" t="s">
        <v>40</v>
      </c>
      <c r="D2604">
        <v>4.2362690000000001</v>
      </c>
      <c r="E2604">
        <v>0.48502980000000001</v>
      </c>
      <c r="F2604" t="s">
        <v>67</v>
      </c>
      <c r="G2604">
        <v>-512.82539999999995</v>
      </c>
      <c r="H2604">
        <v>0.81561319999999904</v>
      </c>
      <c r="I2604">
        <v>267.9067</v>
      </c>
      <c r="J2604">
        <v>-284.41750000000002</v>
      </c>
      <c r="K2604">
        <v>1.109059</v>
      </c>
      <c r="L2604">
        <v>283.8956</v>
      </c>
      <c r="M2604">
        <v>-0.99949619999999995</v>
      </c>
      <c r="N2604">
        <v>0</v>
      </c>
      <c r="O2604">
        <v>-3.1262760000000001E-2</v>
      </c>
      <c r="P2604">
        <v>-0.99945260000000002</v>
      </c>
      <c r="Q2604">
        <v>1.6080420000000002E-2</v>
      </c>
      <c r="R2604">
        <v>-2.8913990000000001E-2</v>
      </c>
      <c r="S2604">
        <v>-2.9956360000000002</v>
      </c>
      <c r="T2604">
        <v>-3.840446E-3</v>
      </c>
      <c r="U2604">
        <v>-0.20947270000000001</v>
      </c>
      <c r="V2604">
        <v>2.3164959999999999E-3</v>
      </c>
      <c r="W2604">
        <v>2.1575509999999999E-2</v>
      </c>
      <c r="X2604">
        <v>0.9997646</v>
      </c>
      <c r="Y2604">
        <v>-3.8534430000000001E-2</v>
      </c>
      <c r="Z2604" s="1">
        <v>1.53444899999999E-5</v>
      </c>
      <c r="AA2604">
        <v>0.99925730000000001</v>
      </c>
      <c r="AB2604">
        <v>47</v>
      </c>
      <c r="AC2604">
        <v>-228.40790000000001</v>
      </c>
      <c r="AD2604">
        <v>-0.29344579999999998</v>
      </c>
      <c r="AE2604">
        <v>-15.988899999999999</v>
      </c>
      <c r="AF2604">
        <v>-8.8403014559573201</v>
      </c>
      <c r="AG2604">
        <v>-0.29344579999999998</v>
      </c>
      <c r="AH2604">
        <v>228.79573981028801</v>
      </c>
      <c r="AI2604">
        <v>90.073430826423404</v>
      </c>
      <c r="AJ2604">
        <v>92.212716580246706</v>
      </c>
      <c r="AK2604">
        <v>228.966651710695</v>
      </c>
      <c r="AL2604">
        <v>88.763718484899201</v>
      </c>
      <c r="AM2604">
        <v>89.867243542590401</v>
      </c>
      <c r="AN2604">
        <v>1.0000000620993099</v>
      </c>
    </row>
    <row r="2605" spans="1:40" x14ac:dyDescent="0.25">
      <c r="A2605" t="str">
        <f>"20190312153937746"</f>
        <v>20190312153937746</v>
      </c>
      <c r="B2605" t="str">
        <f>"1552376377738474"</f>
        <v>1552376377738474</v>
      </c>
      <c r="C2605" t="s">
        <v>40</v>
      </c>
      <c r="D2605">
        <v>4.2265730000000001</v>
      </c>
      <c r="E2605">
        <v>0.48493310000000001</v>
      </c>
      <c r="F2605" t="s">
        <v>67</v>
      </c>
      <c r="G2605">
        <v>-512.82550000000003</v>
      </c>
      <c r="H2605">
        <v>1.043193</v>
      </c>
      <c r="I2605">
        <v>267.96820000000002</v>
      </c>
      <c r="J2605">
        <v>-284.68130000000002</v>
      </c>
      <c r="K2605">
        <v>1.1090420000000001</v>
      </c>
      <c r="L2605">
        <v>283.88729999999998</v>
      </c>
      <c r="M2605">
        <v>-0.99948979999999998</v>
      </c>
      <c r="N2605">
        <v>0</v>
      </c>
      <c r="O2605">
        <v>-3.1460950000000001E-2</v>
      </c>
      <c r="P2605">
        <v>-0.99945139999999999</v>
      </c>
      <c r="Q2605">
        <v>1.648558E-2</v>
      </c>
      <c r="R2605">
        <v>-2.8728790000000001E-2</v>
      </c>
      <c r="S2605">
        <v>-2.9956360000000002</v>
      </c>
      <c r="T2605">
        <v>-8.6283679999999904E-4</v>
      </c>
      <c r="U2605">
        <v>-0.20889279999999999</v>
      </c>
      <c r="V2605">
        <v>2.7003270000000002E-3</v>
      </c>
      <c r="W2605">
        <v>2.2012190000000001E-2</v>
      </c>
      <c r="X2605">
        <v>0.99975409999999998</v>
      </c>
      <c r="Y2605">
        <v>-3.8143799999999999E-2</v>
      </c>
      <c r="Z2605" s="1">
        <v>3.560645E-6</v>
      </c>
      <c r="AA2605">
        <v>0.9992723</v>
      </c>
      <c r="AB2605">
        <v>47</v>
      </c>
      <c r="AC2605">
        <v>-228.14420000000001</v>
      </c>
      <c r="AD2605">
        <v>-6.5849000000000005E-2</v>
      </c>
      <c r="AE2605">
        <v>-15.919099999999901</v>
      </c>
      <c r="AF2605">
        <v>-8.7334766063511502</v>
      </c>
      <c r="AG2605">
        <v>-6.5849000000000005E-2</v>
      </c>
      <c r="AH2605">
        <v>228.53207970137501</v>
      </c>
      <c r="AI2605">
        <v>90.016497104907899</v>
      </c>
      <c r="AJ2605">
        <v>92.188524118014399</v>
      </c>
      <c r="AK2605">
        <v>228.69890555566701</v>
      </c>
      <c r="AL2605">
        <v>88.7386925988949</v>
      </c>
      <c r="AM2605">
        <v>89.845244981573302</v>
      </c>
      <c r="AN2605">
        <v>1.00000004437065</v>
      </c>
    </row>
    <row r="2606" spans="1:40" x14ac:dyDescent="0.25">
      <c r="A2606" t="str">
        <f>"20190312153937760"</f>
        <v>20190312153937760</v>
      </c>
      <c r="B2606" t="str">
        <f>"1552376377748234"</f>
        <v>1552376377748234</v>
      </c>
      <c r="C2606" t="s">
        <v>40</v>
      </c>
      <c r="D2606">
        <v>4.2531600000000003</v>
      </c>
      <c r="E2606">
        <v>0.4849079</v>
      </c>
      <c r="F2606" t="s">
        <v>67</v>
      </c>
      <c r="G2606">
        <v>-512.82560000000001</v>
      </c>
      <c r="H2606">
        <v>1.1681220000000001</v>
      </c>
      <c r="I2606">
        <v>267.9735</v>
      </c>
      <c r="J2606">
        <v>-284.98340000000002</v>
      </c>
      <c r="K2606">
        <v>1.1090230000000001</v>
      </c>
      <c r="L2606">
        <v>283.8777</v>
      </c>
      <c r="M2606">
        <v>-0.99948269999999995</v>
      </c>
      <c r="N2606">
        <v>0</v>
      </c>
      <c r="O2606">
        <v>-3.1678350000000001E-2</v>
      </c>
      <c r="P2606">
        <v>-0.99944370000000005</v>
      </c>
      <c r="Q2606">
        <v>1.6575960000000001E-2</v>
      </c>
      <c r="R2606">
        <v>-2.8942300000000001E-2</v>
      </c>
      <c r="S2606">
        <v>-2.9956360000000002</v>
      </c>
      <c r="T2606">
        <v>7.7676769999999995E-4</v>
      </c>
      <c r="U2606">
        <v>-0.2089539</v>
      </c>
      <c r="V2606">
        <v>2.7052629999999999E-3</v>
      </c>
      <c r="W2606">
        <v>2.214615E-2</v>
      </c>
      <c r="X2606">
        <v>0.9997511</v>
      </c>
      <c r="Y2606">
        <v>-3.7946710000000002E-2</v>
      </c>
      <c r="Z2606" s="1">
        <v>-3.2872390000000001E-6</v>
      </c>
      <c r="AA2606">
        <v>0.99927969999999999</v>
      </c>
      <c r="AB2606">
        <v>47</v>
      </c>
      <c r="AC2606">
        <v>-227.84219999999999</v>
      </c>
      <c r="AD2606">
        <v>5.9098999999999999E-2</v>
      </c>
      <c r="AE2606">
        <v>-15.904199999999999</v>
      </c>
      <c r="AF2606">
        <v>-8.6784409320380096</v>
      </c>
      <c r="AG2606">
        <v>5.9098999999999999E-2</v>
      </c>
      <c r="AH2606">
        <v>228.23165721714901</v>
      </c>
      <c r="AI2606">
        <v>89.985174370944094</v>
      </c>
      <c r="AJ2606">
        <v>92.177605873739495</v>
      </c>
      <c r="AK2606">
        <v>228.39660283329201</v>
      </c>
      <c r="AL2606">
        <v>88.731015349316706</v>
      </c>
      <c r="AM2606">
        <v>89.844961636885301</v>
      </c>
      <c r="AN2606">
        <v>1.00000001617946</v>
      </c>
    </row>
    <row r="2607" spans="1:40" x14ac:dyDescent="0.25">
      <c r="A2607" t="str">
        <f>"20190312153937774"</f>
        <v>20190312153937774</v>
      </c>
      <c r="B2607" t="str">
        <f>"1552376377768730"</f>
        <v>1552376377768730</v>
      </c>
      <c r="C2607" t="s">
        <v>40</v>
      </c>
      <c r="D2607">
        <v>4.2287280000000003</v>
      </c>
      <c r="E2607">
        <v>0.48494769999999998</v>
      </c>
      <c r="F2607" t="s">
        <v>67</v>
      </c>
      <c r="G2607">
        <v>-512.82560000000001</v>
      </c>
      <c r="H2607">
        <v>1.2492920000000001</v>
      </c>
      <c r="I2607">
        <v>267.92219999999998</v>
      </c>
      <c r="J2607">
        <v>-285.28960000000001</v>
      </c>
      <c r="K2607">
        <v>1.1090139999999999</v>
      </c>
      <c r="L2607">
        <v>283.86790000000002</v>
      </c>
      <c r="M2607">
        <v>-0.99947569999999997</v>
      </c>
      <c r="N2607">
        <v>0</v>
      </c>
      <c r="O2607">
        <v>-3.1882380000000002E-2</v>
      </c>
      <c r="P2607">
        <v>-0.9994402</v>
      </c>
      <c r="Q2607">
        <v>1.668062E-2</v>
      </c>
      <c r="R2607">
        <v>-2.900109E-2</v>
      </c>
      <c r="S2607">
        <v>-2.9956049999999999</v>
      </c>
      <c r="T2607">
        <v>1.8452410000000001E-3</v>
      </c>
      <c r="U2607">
        <v>-0.20977779999999999</v>
      </c>
      <c r="V2607">
        <v>2.8515110000000001E-3</v>
      </c>
      <c r="W2607">
        <v>2.2327779999999998E-2</v>
      </c>
      <c r="X2607">
        <v>0.99974660000000004</v>
      </c>
      <c r="Y2607">
        <v>-3.8016929999999997E-2</v>
      </c>
      <c r="Z2607" s="1">
        <v>-7.9127660000000002E-6</v>
      </c>
      <c r="AA2607">
        <v>0.99927710000000003</v>
      </c>
      <c r="AB2607">
        <v>47</v>
      </c>
      <c r="AC2607">
        <v>-227.53599999999901</v>
      </c>
      <c r="AD2607">
        <v>0.14027800000000001</v>
      </c>
      <c r="AE2607">
        <v>-15.9457</v>
      </c>
      <c r="AF2607">
        <v>-8.6830854009781202</v>
      </c>
      <c r="AG2607">
        <v>0.14027800000000001</v>
      </c>
      <c r="AH2607">
        <v>227.92863206845399</v>
      </c>
      <c r="AI2607">
        <v>89.964763047050198</v>
      </c>
      <c r="AJ2607">
        <v>92.181663967897094</v>
      </c>
      <c r="AK2607">
        <v>228.09400905458901</v>
      </c>
      <c r="AL2607">
        <v>88.720606074500495</v>
      </c>
      <c r="AM2607">
        <v>89.836579486748406</v>
      </c>
      <c r="AN2607">
        <v>0.99999996254313495</v>
      </c>
    </row>
    <row r="2608" spans="1:40" x14ac:dyDescent="0.25">
      <c r="A2608" t="str">
        <f>"20190312153937790"</f>
        <v>20190312153937790</v>
      </c>
      <c r="B2608" t="str">
        <f>"1552376377779002"</f>
        <v>1552376377779002</v>
      </c>
      <c r="C2608" t="s">
        <v>40</v>
      </c>
      <c r="D2608">
        <v>4.25169</v>
      </c>
      <c r="E2608">
        <v>0.48492360000000001</v>
      </c>
      <c r="F2608" t="s">
        <v>67</v>
      </c>
      <c r="G2608">
        <v>-512.82560000000001</v>
      </c>
      <c r="H2608">
        <v>1.2443229999999901</v>
      </c>
      <c r="I2608">
        <v>267.94549999999998</v>
      </c>
      <c r="J2608">
        <v>-285.61399999999998</v>
      </c>
      <c r="K2608">
        <v>1.109022</v>
      </c>
      <c r="L2608">
        <v>283.85750000000002</v>
      </c>
      <c r="M2608">
        <v>-0.99946840000000003</v>
      </c>
      <c r="N2608">
        <v>0</v>
      </c>
      <c r="O2608">
        <v>-3.2080820000000003E-2</v>
      </c>
      <c r="P2608">
        <v>-0.99945810000000002</v>
      </c>
      <c r="Q2608">
        <v>1.6703590000000001E-2</v>
      </c>
      <c r="R2608">
        <v>-2.836294E-2</v>
      </c>
      <c r="S2608">
        <v>-2.9956049999999999</v>
      </c>
      <c r="T2608">
        <v>1.7824169999999999E-3</v>
      </c>
      <c r="U2608">
        <v>-0.20962520000000001</v>
      </c>
      <c r="V2608">
        <v>3.689646E-3</v>
      </c>
      <c r="W2608">
        <v>2.2509879999999999E-2</v>
      </c>
      <c r="X2608">
        <v>0.99973979999999996</v>
      </c>
      <c r="Y2608">
        <v>-3.7767849999999999E-2</v>
      </c>
      <c r="Z2608" s="1">
        <v>-7.835232E-6</v>
      </c>
      <c r="AA2608">
        <v>0.99928649999999997</v>
      </c>
      <c r="AB2608">
        <v>47</v>
      </c>
      <c r="AC2608">
        <v>-227.2116</v>
      </c>
      <c r="AD2608">
        <v>0.13530099999999901</v>
      </c>
      <c r="AE2608">
        <v>-15.912000000000001</v>
      </c>
      <c r="AF2608">
        <v>-8.6145490212439508</v>
      </c>
      <c r="AG2608">
        <v>0.13530099999999901</v>
      </c>
      <c r="AH2608">
        <v>227.60504355356099</v>
      </c>
      <c r="AI2608">
        <v>89.9659645998683</v>
      </c>
      <c r="AJ2608">
        <v>92.167534643323194</v>
      </c>
      <c r="AK2608">
        <v>227.768050025061</v>
      </c>
      <c r="AL2608">
        <v>88.710169922451399</v>
      </c>
      <c r="AM2608">
        <v>89.788544795452296</v>
      </c>
      <c r="AN2608">
        <v>0.99999998794462897</v>
      </c>
    </row>
    <row r="2609" spans="1:40" x14ac:dyDescent="0.25">
      <c r="A2609" t="str">
        <f>"20190312153937811"</f>
        <v>20190312153937811</v>
      </c>
      <c r="B2609" t="str">
        <f>"1552376377798482"</f>
        <v>1552376377798482</v>
      </c>
      <c r="C2609" t="s">
        <v>40</v>
      </c>
      <c r="D2609">
        <v>4.230429</v>
      </c>
      <c r="E2609">
        <v>0.48497839999999998</v>
      </c>
      <c r="F2609" t="s">
        <v>67</v>
      </c>
      <c r="G2609">
        <v>-512.82560000000001</v>
      </c>
      <c r="H2609">
        <v>1.313213</v>
      </c>
      <c r="I2609">
        <v>268.08069999999998</v>
      </c>
      <c r="J2609">
        <v>-286.05360000000002</v>
      </c>
      <c r="K2609">
        <v>1.1090679999999999</v>
      </c>
      <c r="L2609">
        <v>283.8433</v>
      </c>
      <c r="M2609">
        <v>-0.99945859999999997</v>
      </c>
      <c r="N2609">
        <v>0</v>
      </c>
      <c r="O2609">
        <v>-3.232227E-2</v>
      </c>
      <c r="P2609">
        <v>-0.99946159999999995</v>
      </c>
      <c r="Q2609">
        <v>1.6666529999999999E-2</v>
      </c>
      <c r="R2609">
        <v>-2.826476E-2</v>
      </c>
      <c r="S2609">
        <v>-2.9956670000000001</v>
      </c>
      <c r="T2609">
        <v>2.6931759999999998E-3</v>
      </c>
      <c r="U2609">
        <v>-0.20800779999999999</v>
      </c>
      <c r="V2609">
        <v>4.0310140000000003E-3</v>
      </c>
      <c r="W2609">
        <v>2.2820219999999999E-2</v>
      </c>
      <c r="X2609">
        <v>0.9997315</v>
      </c>
      <c r="Y2609">
        <v>-3.6988010000000002E-2</v>
      </c>
      <c r="Z2609" s="1">
        <v>-1.24056199999999E-5</v>
      </c>
      <c r="AA2609">
        <v>0.99931570000000003</v>
      </c>
      <c r="AB2609">
        <v>47</v>
      </c>
      <c r="AC2609">
        <v>-226.77199999999999</v>
      </c>
      <c r="AD2609">
        <v>0.20414499999999999</v>
      </c>
      <c r="AE2609">
        <v>-15.762600000000001</v>
      </c>
      <c r="AF2609">
        <v>-8.4244326512771899</v>
      </c>
      <c r="AG2609">
        <v>0.20414499999999999</v>
      </c>
      <c r="AH2609">
        <v>227.16281633886001</v>
      </c>
      <c r="AI2609">
        <v>89.948545237866</v>
      </c>
      <c r="AJ2609">
        <v>92.123865791455302</v>
      </c>
      <c r="AK2609">
        <v>227.319066221203</v>
      </c>
      <c r="AL2609">
        <v>88.692384251495795</v>
      </c>
      <c r="AM2609">
        <v>89.768979133161395</v>
      </c>
      <c r="AN2609">
        <v>1.00000004180348</v>
      </c>
    </row>
    <row r="2610" spans="1:40" x14ac:dyDescent="0.25">
      <c r="A2610" t="str">
        <f>"20190312153937823"</f>
        <v>20190312153937823</v>
      </c>
      <c r="B2610" t="str">
        <f>"1552376377818979"</f>
        <v>1552376377818979</v>
      </c>
      <c r="C2610" t="s">
        <v>40</v>
      </c>
      <c r="D2610">
        <v>4.2284009999999999</v>
      </c>
      <c r="E2610">
        <v>0.4849502</v>
      </c>
      <c r="F2610" t="s">
        <v>67</v>
      </c>
      <c r="G2610">
        <v>-512.82560000000001</v>
      </c>
      <c r="H2610">
        <v>1.3340129999999999</v>
      </c>
      <c r="I2610">
        <v>268.15960000000001</v>
      </c>
      <c r="J2610">
        <v>-286.315</v>
      </c>
      <c r="K2610">
        <v>1.109116</v>
      </c>
      <c r="L2610">
        <v>283.8347</v>
      </c>
      <c r="M2610">
        <v>-0.99945269999999997</v>
      </c>
      <c r="N2610">
        <v>0</v>
      </c>
      <c r="O2610">
        <v>-3.2447490000000002E-2</v>
      </c>
      <c r="P2610">
        <v>-0.99947319999999995</v>
      </c>
      <c r="Q2610">
        <v>1.6486540000000001E-2</v>
      </c>
      <c r="R2610">
        <v>-2.7964579999999999E-2</v>
      </c>
      <c r="S2610">
        <v>-2.9956969999999998</v>
      </c>
      <c r="T2610">
        <v>2.9726029999999999E-3</v>
      </c>
      <c r="U2610">
        <v>-0.2071838</v>
      </c>
      <c r="V2610">
        <v>4.4580540000000004E-3</v>
      </c>
      <c r="W2610">
        <v>2.294179E-2</v>
      </c>
      <c r="X2610">
        <v>0.99972689999999997</v>
      </c>
      <c r="Y2610">
        <v>-3.6588500000000003E-2</v>
      </c>
      <c r="Z2610" s="1">
        <v>-1.40148E-5</v>
      </c>
      <c r="AA2610">
        <v>0.99933039999999995</v>
      </c>
      <c r="AB2610">
        <v>47</v>
      </c>
      <c r="AC2610">
        <v>-226.51060000000001</v>
      </c>
      <c r="AD2610">
        <v>0.22489699999999899</v>
      </c>
      <c r="AE2610">
        <v>-15.675099999999899</v>
      </c>
      <c r="AF2610">
        <v>-8.3169848461516604</v>
      </c>
      <c r="AG2610">
        <v>0.22489699999999899</v>
      </c>
      <c r="AH2610">
        <v>226.89972956851699</v>
      </c>
      <c r="AI2610">
        <v>89.943248072640202</v>
      </c>
      <c r="AJ2610">
        <v>92.099230724929299</v>
      </c>
      <c r="AK2610">
        <v>227.05221887014901</v>
      </c>
      <c r="AL2610">
        <v>88.685416973855396</v>
      </c>
      <c r="AM2610">
        <v>89.744504238114502</v>
      </c>
      <c r="AN2610">
        <v>1.0000000372787301</v>
      </c>
    </row>
    <row r="2611" spans="1:40" x14ac:dyDescent="0.25">
      <c r="A2611" t="str">
        <f>"20190312153937836"</f>
        <v>20190312153937836</v>
      </c>
      <c r="B2611" t="str">
        <f>"1552376377828739"</f>
        <v>1552376377828739</v>
      </c>
      <c r="C2611" t="s">
        <v>40</v>
      </c>
      <c r="D2611">
        <v>4.1890020000000003</v>
      </c>
      <c r="E2611">
        <v>0.48490820000000001</v>
      </c>
      <c r="F2611" t="s">
        <v>67</v>
      </c>
      <c r="G2611">
        <v>-512.82560000000001</v>
      </c>
      <c r="H2611">
        <v>1.338503</v>
      </c>
      <c r="I2611">
        <v>268.23180000000002</v>
      </c>
      <c r="J2611">
        <v>-286.59179999999998</v>
      </c>
      <c r="K2611">
        <v>1.1091799999999901</v>
      </c>
      <c r="L2611">
        <v>283.82569999999998</v>
      </c>
      <c r="M2611">
        <v>-0.99944630000000001</v>
      </c>
      <c r="N2611">
        <v>0</v>
      </c>
      <c r="O2611">
        <v>-3.2567079999999998E-2</v>
      </c>
      <c r="P2611">
        <v>-0.99947980000000003</v>
      </c>
      <c r="Q2611">
        <v>1.6228659999999999E-2</v>
      </c>
      <c r="R2611">
        <v>-2.7868670000000002E-2</v>
      </c>
      <c r="S2611">
        <v>-2.9957579999999999</v>
      </c>
      <c r="T2611">
        <v>3.0348300000000001E-3</v>
      </c>
      <c r="U2611">
        <v>-0.20635990000000001</v>
      </c>
      <c r="V2611">
        <v>4.6746469999999997E-3</v>
      </c>
      <c r="W2611">
        <v>2.3070500000000001E-2</v>
      </c>
      <c r="X2611">
        <v>0.99972289999999997</v>
      </c>
      <c r="Y2611">
        <v>-3.6193879999999998E-2</v>
      </c>
      <c r="Z2611" s="1">
        <v>-1.462869E-5</v>
      </c>
      <c r="AA2611">
        <v>0.99934480000000003</v>
      </c>
      <c r="AB2611">
        <v>47</v>
      </c>
      <c r="AC2611">
        <v>-226.2338</v>
      </c>
      <c r="AD2611">
        <v>0.229323</v>
      </c>
      <c r="AE2611">
        <v>-15.5938999999999</v>
      </c>
      <c r="AF2611">
        <v>-8.2176739664476095</v>
      </c>
      <c r="AG2611">
        <v>0.229323</v>
      </c>
      <c r="AH2611">
        <v>226.621416985058</v>
      </c>
      <c r="AI2611">
        <v>89.9420592907898</v>
      </c>
      <c r="AJ2611">
        <v>92.076731470439597</v>
      </c>
      <c r="AK2611">
        <v>226.77047733506399</v>
      </c>
      <c r="AL2611">
        <v>88.678040417518503</v>
      </c>
      <c r="AM2611">
        <v>89.7320901703864</v>
      </c>
      <c r="AN2611">
        <v>0.99999998853961702</v>
      </c>
    </row>
    <row r="2612" spans="1:40" x14ac:dyDescent="0.25">
      <c r="A2612" t="str">
        <f>"20190312153937848"</f>
        <v>20190312153937848</v>
      </c>
      <c r="B2612" t="str">
        <f>"1552376377838498"</f>
        <v>1552376377838498</v>
      </c>
      <c r="C2612" t="s">
        <v>40</v>
      </c>
      <c r="D2612">
        <v>4.2021509999999997</v>
      </c>
      <c r="E2612">
        <v>0.4848054</v>
      </c>
      <c r="F2612" t="s">
        <v>67</v>
      </c>
      <c r="G2612">
        <v>-512.82560000000001</v>
      </c>
      <c r="H2612">
        <v>1.291188</v>
      </c>
      <c r="I2612">
        <v>268.21859999999998</v>
      </c>
      <c r="J2612">
        <v>-286.83260000000001</v>
      </c>
      <c r="K2612">
        <v>1.1092150000000001</v>
      </c>
      <c r="L2612">
        <v>283.81779999999998</v>
      </c>
      <c r="M2612">
        <v>-0.99944140000000004</v>
      </c>
      <c r="N2612">
        <v>0</v>
      </c>
      <c r="O2612">
        <v>-3.2648499999999997E-2</v>
      </c>
      <c r="P2612">
        <v>-0.99948820000000005</v>
      </c>
      <c r="Q2612">
        <v>1.6020989999999999E-2</v>
      </c>
      <c r="R2612">
        <v>-2.769197E-2</v>
      </c>
      <c r="S2612">
        <v>-2.9957280000000002</v>
      </c>
      <c r="T2612">
        <v>2.4111269999999999E-3</v>
      </c>
      <c r="U2612">
        <v>-0.20666499999999999</v>
      </c>
      <c r="V2612">
        <v>4.9344710000000002E-3</v>
      </c>
      <c r="W2612">
        <v>2.316298E-2</v>
      </c>
      <c r="X2612">
        <v>0.99971949999999998</v>
      </c>
      <c r="Y2612">
        <v>-3.6214410000000002E-2</v>
      </c>
      <c r="Z2612" s="1">
        <v>-1.167954E-5</v>
      </c>
      <c r="AA2612">
        <v>0.99934409999999896</v>
      </c>
      <c r="AB2612">
        <v>47</v>
      </c>
      <c r="AC2612">
        <v>-225.99299999999999</v>
      </c>
      <c r="AD2612">
        <v>0.181972999999999</v>
      </c>
      <c r="AE2612">
        <v>-15.5991999999999</v>
      </c>
      <c r="AF2612">
        <v>-8.2123577946654702</v>
      </c>
      <c r="AG2612">
        <v>0.181972999999999</v>
      </c>
      <c r="AH2612">
        <v>226.381673376647</v>
      </c>
      <c r="AI2612">
        <v>89.953974061593996</v>
      </c>
      <c r="AJ2612">
        <v>92.077585129748599</v>
      </c>
      <c r="AK2612">
        <v>226.53065570807701</v>
      </c>
      <c r="AL2612">
        <v>88.672740270332596</v>
      </c>
      <c r="AM2612">
        <v>89.717198607719595</v>
      </c>
      <c r="AN2612">
        <v>0.99999997566338905</v>
      </c>
    </row>
    <row r="2613" spans="1:40" x14ac:dyDescent="0.25">
      <c r="A2613" t="str">
        <f>"20190312153937859"</f>
        <v>20190312153937859</v>
      </c>
      <c r="B2613" t="str">
        <f>"1552376377848259"</f>
        <v>1552376377848259</v>
      </c>
      <c r="C2613" t="s">
        <v>40</v>
      </c>
      <c r="D2613">
        <v>4.1881899999999996</v>
      </c>
      <c r="E2613">
        <v>0.48476370000000002</v>
      </c>
      <c r="F2613" t="s">
        <v>67</v>
      </c>
      <c r="G2613">
        <v>-512.82560000000001</v>
      </c>
      <c r="H2613">
        <v>1.2466820000000001</v>
      </c>
      <c r="I2613">
        <v>268.2115</v>
      </c>
      <c r="J2613">
        <v>-287.08550000000002</v>
      </c>
      <c r="K2613">
        <v>1.1092489999999999</v>
      </c>
      <c r="L2613">
        <v>283.80959999999999</v>
      </c>
      <c r="M2613">
        <v>-0.99943660000000001</v>
      </c>
      <c r="N2613">
        <v>0</v>
      </c>
      <c r="O2613">
        <v>-3.2726159999999997E-2</v>
      </c>
      <c r="P2613">
        <v>-0.99949160000000004</v>
      </c>
      <c r="Q2613">
        <v>1.576665E-2</v>
      </c>
      <c r="R2613">
        <v>-2.7712049999999998E-2</v>
      </c>
      <c r="S2613">
        <v>-2.9957889999999998</v>
      </c>
      <c r="T2613">
        <v>1.823306E-3</v>
      </c>
      <c r="U2613">
        <v>-0.2068787</v>
      </c>
      <c r="V2613">
        <v>4.9932550000000003E-3</v>
      </c>
      <c r="W2613">
        <v>2.3216850000000001E-2</v>
      </c>
      <c r="X2613">
        <v>0.999718</v>
      </c>
      <c r="Y2613">
        <v>-3.6206200000000001E-2</v>
      </c>
      <c r="Z2613" s="1">
        <v>-8.8816229999999994E-6</v>
      </c>
      <c r="AA2613">
        <v>0.99934429999999996</v>
      </c>
      <c r="AB2613">
        <v>47</v>
      </c>
      <c r="AC2613">
        <v>-225.74010000000001</v>
      </c>
      <c r="AD2613">
        <v>0.137433</v>
      </c>
      <c r="AE2613">
        <v>-15.598099999999899</v>
      </c>
      <c r="AF2613">
        <v>-8.2019299028479402</v>
      </c>
      <c r="AG2613">
        <v>0.137433</v>
      </c>
      <c r="AH2613">
        <v>226.129573567569</v>
      </c>
      <c r="AI2613">
        <v>89.965200680204404</v>
      </c>
      <c r="AJ2613">
        <v>92.077260585122701</v>
      </c>
      <c r="AK2613">
        <v>226.27831222592101</v>
      </c>
      <c r="AL2613">
        <v>88.669652971520406</v>
      </c>
      <c r="AM2613">
        <v>89.713829241295102</v>
      </c>
      <c r="AN2613">
        <v>1.0000000171217001</v>
      </c>
    </row>
    <row r="2614" spans="1:40" x14ac:dyDescent="0.25">
      <c r="A2614" t="str">
        <f>"20190312153937871"</f>
        <v>20190312153937871</v>
      </c>
      <c r="B2614" t="str">
        <f>"1552376377858995"</f>
        <v>1552376377858995</v>
      </c>
      <c r="C2614" t="s">
        <v>40</v>
      </c>
      <c r="D2614">
        <v>4.1980300000000002</v>
      </c>
      <c r="E2614">
        <v>0.4847803</v>
      </c>
      <c r="F2614" t="s">
        <v>67</v>
      </c>
      <c r="G2614">
        <v>-512.82550000000003</v>
      </c>
      <c r="H2614">
        <v>1.1228070000000001</v>
      </c>
      <c r="I2614">
        <v>268.18849999999998</v>
      </c>
      <c r="J2614">
        <v>-287.33240000000001</v>
      </c>
      <c r="K2614">
        <v>1.109272</v>
      </c>
      <c r="L2614">
        <v>283.80149999999998</v>
      </c>
      <c r="M2614">
        <v>-0.99943269999999995</v>
      </c>
      <c r="N2614">
        <v>0</v>
      </c>
      <c r="O2614">
        <v>-3.2779790000000003E-2</v>
      </c>
      <c r="P2614">
        <v>-0.99947949999999997</v>
      </c>
      <c r="Q2614">
        <v>1.574124E-2</v>
      </c>
      <c r="R2614">
        <v>-2.8158699999999998E-2</v>
      </c>
      <c r="S2614">
        <v>-2.9957889999999998</v>
      </c>
      <c r="T2614">
        <v>1.8095970000000001E-4</v>
      </c>
      <c r="U2614">
        <v>-0.20730589999999999</v>
      </c>
      <c r="V2614">
        <v>4.6012509999999998E-3</v>
      </c>
      <c r="W2614">
        <v>2.347523E-2</v>
      </c>
      <c r="X2614">
        <v>0.99971379999999999</v>
      </c>
      <c r="Y2614">
        <v>-3.6294359999999998E-2</v>
      </c>
      <c r="Z2614" s="1">
        <v>-8.8205640000000002E-7</v>
      </c>
      <c r="AA2614">
        <v>0.99934109999999998</v>
      </c>
      <c r="AB2614">
        <v>47</v>
      </c>
      <c r="AC2614">
        <v>-225.4931</v>
      </c>
      <c r="AD2614">
        <v>1.3534999999999801E-2</v>
      </c>
      <c r="AE2614">
        <v>-15.613</v>
      </c>
      <c r="AF2614">
        <v>-8.2127716670170905</v>
      </c>
      <c r="AG2614">
        <v>1.3534999999999801E-2</v>
      </c>
      <c r="AH2614">
        <v>225.883717721669</v>
      </c>
      <c r="AI2614">
        <v>89.9965690917807</v>
      </c>
      <c r="AJ2614">
        <v>92.082265934151394</v>
      </c>
      <c r="AK2614">
        <v>226.03297045655401</v>
      </c>
      <c r="AL2614">
        <v>88.654844788679199</v>
      </c>
      <c r="AM2614">
        <v>89.736294126138006</v>
      </c>
      <c r="AN2614">
        <v>0.99999996992237805</v>
      </c>
    </row>
    <row r="2615" spans="1:40" x14ac:dyDescent="0.25">
      <c r="A2615" t="str">
        <f>"20190312153937889"</f>
        <v>20190312153937889</v>
      </c>
      <c r="B2615" t="str">
        <f>"1552376377878514"</f>
        <v>1552376377878514</v>
      </c>
      <c r="C2615" t="s">
        <v>40</v>
      </c>
      <c r="D2615">
        <v>4.1819829999999998</v>
      </c>
      <c r="E2615">
        <v>0.48476750000000002</v>
      </c>
      <c r="F2615" t="s">
        <v>67</v>
      </c>
      <c r="G2615">
        <v>-512.82560000000001</v>
      </c>
      <c r="H2615">
        <v>1.1532070000000001</v>
      </c>
      <c r="I2615">
        <v>268.11660000000001</v>
      </c>
      <c r="J2615">
        <v>-287.70650000000001</v>
      </c>
      <c r="K2615">
        <v>1.109302</v>
      </c>
      <c r="L2615">
        <v>283.78910000000002</v>
      </c>
      <c r="M2615">
        <v>-0.99942739999999997</v>
      </c>
      <c r="N2615">
        <v>0</v>
      </c>
      <c r="O2615">
        <v>-3.2837289999999998E-2</v>
      </c>
      <c r="P2615">
        <v>-0.99947940000000002</v>
      </c>
      <c r="Q2615">
        <v>1.5645929999999999E-2</v>
      </c>
      <c r="R2615">
        <v>-2.8215569999999999E-2</v>
      </c>
      <c r="S2615">
        <v>-2.9956969999999998</v>
      </c>
      <c r="T2615">
        <v>5.8472159999999995E-4</v>
      </c>
      <c r="U2615">
        <v>-0.208374</v>
      </c>
      <c r="V2615">
        <v>4.6037719999999999E-3</v>
      </c>
      <c r="W2615">
        <v>2.3816070000000002E-2</v>
      </c>
      <c r="X2615">
        <v>0.99970570000000003</v>
      </c>
      <c r="Y2615">
        <v>-3.6593460000000001E-2</v>
      </c>
      <c r="Z2615" s="1">
        <v>-2.8322320000000002E-6</v>
      </c>
      <c r="AA2615">
        <v>0.99933019999999995</v>
      </c>
      <c r="AB2615">
        <v>47</v>
      </c>
      <c r="AC2615">
        <v>-225.1191</v>
      </c>
      <c r="AD2615">
        <v>4.3904999999999798E-2</v>
      </c>
      <c r="AE2615">
        <v>-15.672499999999999</v>
      </c>
      <c r="AF2615">
        <v>-8.2714998236529897</v>
      </c>
      <c r="AG2615">
        <v>4.3904999999999798E-2</v>
      </c>
      <c r="AH2615">
        <v>225.51233863456201</v>
      </c>
      <c r="AI2615">
        <v>89.988852580061305</v>
      </c>
      <c r="AJ2615">
        <v>92.100593154527701</v>
      </c>
      <c r="AK2615">
        <v>225.66398585820201</v>
      </c>
      <c r="AL2615">
        <v>88.635310596413802</v>
      </c>
      <c r="AM2615">
        <v>89.736147507402094</v>
      </c>
      <c r="AN2615">
        <v>0.999999943259679</v>
      </c>
    </row>
    <row r="2616" spans="1:40" x14ac:dyDescent="0.25">
      <c r="A2616" t="str">
        <f>"20190312153937901"</f>
        <v>20190312153937901</v>
      </c>
      <c r="B2616" t="str">
        <f>"1552376377888274"</f>
        <v>1552376377888274</v>
      </c>
      <c r="C2616" t="s">
        <v>40</v>
      </c>
      <c r="D2616">
        <v>4.1717409999999999</v>
      </c>
      <c r="E2616">
        <v>0.48471180000000003</v>
      </c>
      <c r="F2616" t="s">
        <v>67</v>
      </c>
      <c r="G2616">
        <v>-512.82560000000001</v>
      </c>
      <c r="H2616">
        <v>1.1582889999999999</v>
      </c>
      <c r="I2616">
        <v>268.11399999999998</v>
      </c>
      <c r="J2616">
        <v>-287.96109999999999</v>
      </c>
      <c r="K2616">
        <v>1.1093230000000001</v>
      </c>
      <c r="L2616">
        <v>283.78059999999999</v>
      </c>
      <c r="M2616">
        <v>-0.99942399999999998</v>
      </c>
      <c r="N2616">
        <v>0</v>
      </c>
      <c r="O2616">
        <v>-3.2863610000000001E-2</v>
      </c>
      <c r="P2616">
        <v>-0.99949060000000001</v>
      </c>
      <c r="Q2616">
        <v>1.5060520000000001E-2</v>
      </c>
      <c r="R2616">
        <v>-2.8141030000000001E-2</v>
      </c>
      <c r="S2616">
        <v>-2.9956670000000001</v>
      </c>
      <c r="T2616">
        <v>6.5290930000000001E-4</v>
      </c>
      <c r="U2616">
        <v>-0.20858760000000001</v>
      </c>
      <c r="V2616">
        <v>4.706712E-3</v>
      </c>
      <c r="W2616">
        <v>2.3531469999999999E-2</v>
      </c>
      <c r="X2616">
        <v>0.99971200000000005</v>
      </c>
      <c r="Y2616">
        <v>-3.6638690000000002E-2</v>
      </c>
      <c r="Z2616" s="1">
        <v>-3.1633540000000001E-6</v>
      </c>
      <c r="AA2616">
        <v>0.99932860000000001</v>
      </c>
      <c r="AB2616">
        <v>47</v>
      </c>
      <c r="AC2616">
        <v>-224.86449999999999</v>
      </c>
      <c r="AD2616">
        <v>4.8965999999999801E-2</v>
      </c>
      <c r="AE2616">
        <v>-15.666599999999899</v>
      </c>
      <c r="AF2616">
        <v>-8.2680126298944998</v>
      </c>
      <c r="AG2616">
        <v>4.8965999999999801E-2</v>
      </c>
      <c r="AH2616">
        <v>225.257898613176</v>
      </c>
      <c r="AI2616">
        <v>89.987553567884106</v>
      </c>
      <c r="AJ2616">
        <v>92.102077953948793</v>
      </c>
      <c r="AK2616">
        <v>225.40959012016501</v>
      </c>
      <c r="AL2616">
        <v>88.651621601304001</v>
      </c>
      <c r="AM2616">
        <v>89.730249571394495</v>
      </c>
      <c r="AN2616">
        <v>0.99999998308110505</v>
      </c>
    </row>
    <row r="2617" spans="1:40" x14ac:dyDescent="0.25">
      <c r="A2617" t="str">
        <f>"20190312153937912"</f>
        <v>20190312153937912</v>
      </c>
      <c r="B2617" t="str">
        <f>"1552376377908771"</f>
        <v>1552376377908771</v>
      </c>
      <c r="C2617" t="s">
        <v>40</v>
      </c>
      <c r="D2617">
        <v>4.1376080000000002</v>
      </c>
      <c r="E2617">
        <v>0.48465360000000002</v>
      </c>
      <c r="F2617" t="s">
        <v>67</v>
      </c>
      <c r="G2617">
        <v>-512.82550000000003</v>
      </c>
      <c r="H2617">
        <v>1.030465</v>
      </c>
      <c r="I2617">
        <v>268.08670000000001</v>
      </c>
      <c r="J2617">
        <v>-288.21050000000002</v>
      </c>
      <c r="K2617">
        <v>1.109345</v>
      </c>
      <c r="L2617">
        <v>283.7724</v>
      </c>
      <c r="M2617">
        <v>-0.999421</v>
      </c>
      <c r="N2617">
        <v>0</v>
      </c>
      <c r="O2617">
        <v>-3.2879329999999998E-2</v>
      </c>
      <c r="P2617">
        <v>-0.99949560000000004</v>
      </c>
      <c r="Q2617">
        <v>1.478313E-2</v>
      </c>
      <c r="R2617">
        <v>-2.8115669999999999E-2</v>
      </c>
      <c r="S2617">
        <v>-2.9956670000000001</v>
      </c>
      <c r="T2617">
        <v>-1.0495189999999901E-3</v>
      </c>
      <c r="U2617">
        <v>-0.20907590000000001</v>
      </c>
      <c r="V2617">
        <v>4.7494709999999999E-3</v>
      </c>
      <c r="W2617">
        <v>2.3552449999999999E-2</v>
      </c>
      <c r="X2617">
        <v>0.99971129999999997</v>
      </c>
      <c r="Y2617">
        <v>-3.6784999999999998E-2</v>
      </c>
      <c r="Z2617" s="1">
        <v>5.0648229999999998E-6</v>
      </c>
      <c r="AA2617">
        <v>0.99932319999999997</v>
      </c>
      <c r="AB2617">
        <v>47</v>
      </c>
      <c r="AC2617">
        <v>-224.61500000000001</v>
      </c>
      <c r="AD2617">
        <v>-7.8880000000000006E-2</v>
      </c>
      <c r="AE2617">
        <v>-15.685699999999899</v>
      </c>
      <c r="AF2617">
        <v>-8.2917438938095493</v>
      </c>
      <c r="AG2617">
        <v>-7.8880000000000006E-2</v>
      </c>
      <c r="AH2617">
        <v>225.00927525011701</v>
      </c>
      <c r="AI2617">
        <v>90.020072174127705</v>
      </c>
      <c r="AJ2617">
        <v>92.110433248004995</v>
      </c>
      <c r="AK2617">
        <v>225.16201541876001</v>
      </c>
      <c r="AL2617">
        <v>88.650419197563707</v>
      </c>
      <c r="AM2617">
        <v>89.727798819601901</v>
      </c>
      <c r="AN2617">
        <v>0.99999997936173501</v>
      </c>
    </row>
    <row r="2618" spans="1:40" x14ac:dyDescent="0.25">
      <c r="A2618" t="str">
        <f>"20190312153937925"</f>
        <v>20190312153937925</v>
      </c>
      <c r="B2618" t="str">
        <f>"1552376377918530"</f>
        <v>1552376377918530</v>
      </c>
      <c r="C2618" t="s">
        <v>40</v>
      </c>
      <c r="D2618">
        <v>4.1262980000000002</v>
      </c>
      <c r="E2618">
        <v>0.48458600000000002</v>
      </c>
      <c r="F2618" t="s">
        <v>67</v>
      </c>
      <c r="G2618">
        <v>-512.82550000000003</v>
      </c>
      <c r="H2618">
        <v>0.95397399999999999</v>
      </c>
      <c r="I2618">
        <v>268.08</v>
      </c>
      <c r="J2618">
        <v>-288.45429999999999</v>
      </c>
      <c r="K2618">
        <v>1.1093599999999999</v>
      </c>
      <c r="L2618">
        <v>283.76440000000002</v>
      </c>
      <c r="M2618">
        <v>-0.99941809999999998</v>
      </c>
      <c r="N2618">
        <v>0</v>
      </c>
      <c r="O2618">
        <v>-3.28875E-2</v>
      </c>
      <c r="P2618">
        <v>-0.99950720000000004</v>
      </c>
      <c r="Q2618">
        <v>1.4597489999999999E-2</v>
      </c>
      <c r="R2618">
        <v>-2.779102E-2</v>
      </c>
      <c r="S2618">
        <v>-2.9956969999999998</v>
      </c>
      <c r="T2618">
        <v>-2.0711420000000002E-3</v>
      </c>
      <c r="U2618">
        <v>-0.20928959999999999</v>
      </c>
      <c r="V2618">
        <v>5.0840470000000004E-3</v>
      </c>
      <c r="W2618">
        <v>2.3653509999999999E-2</v>
      </c>
      <c r="X2618">
        <v>0.99970729999999997</v>
      </c>
      <c r="Y2618">
        <v>-3.684693E-2</v>
      </c>
      <c r="Z2618" s="1">
        <v>9.9792109999999993E-6</v>
      </c>
      <c r="AA2618">
        <v>0.99932089999999996</v>
      </c>
      <c r="AB2618">
        <v>47</v>
      </c>
      <c r="AC2618">
        <v>-224.37119999999999</v>
      </c>
      <c r="AD2618">
        <v>-0.155386</v>
      </c>
      <c r="AE2618">
        <v>-15.6844</v>
      </c>
      <c r="AF2618">
        <v>-8.2966010918233106</v>
      </c>
      <c r="AG2618">
        <v>-0.155386</v>
      </c>
      <c r="AH2618">
        <v>224.76555321832501</v>
      </c>
      <c r="AI2618">
        <v>90.039583029691002</v>
      </c>
      <c r="AJ2618">
        <v>92.113956081920605</v>
      </c>
      <c r="AK2618">
        <v>224.91867785496501</v>
      </c>
      <c r="AL2618">
        <v>88.644627315111705</v>
      </c>
      <c r="AM2618">
        <v>89.7086227891227</v>
      </c>
      <c r="AN2618">
        <v>1.0000000108712499</v>
      </c>
    </row>
    <row r="2619" spans="1:40" x14ac:dyDescent="0.25">
      <c r="A2619" t="str">
        <f>"20190312153937945"</f>
        <v>20190312153937945</v>
      </c>
      <c r="B2619" t="str">
        <f>"1552376377938050"</f>
        <v>1552376377938050</v>
      </c>
      <c r="C2619" t="s">
        <v>40</v>
      </c>
      <c r="D2619">
        <v>4.1367669999999999</v>
      </c>
      <c r="E2619">
        <v>0.48449199999999998</v>
      </c>
      <c r="F2619" t="s">
        <v>67</v>
      </c>
      <c r="G2619">
        <v>-512.82539999999995</v>
      </c>
      <c r="H2619">
        <v>0.88829269999999905</v>
      </c>
      <c r="I2619">
        <v>268.11189999999999</v>
      </c>
      <c r="J2619">
        <v>-288.90899999999999</v>
      </c>
      <c r="K2619">
        <v>1.109383</v>
      </c>
      <c r="L2619">
        <v>283.74939999999998</v>
      </c>
      <c r="M2619">
        <v>-0.99941340000000001</v>
      </c>
      <c r="N2619">
        <v>0</v>
      </c>
      <c r="O2619">
        <v>-3.2883870000000003E-2</v>
      </c>
      <c r="P2619">
        <v>-0.99954469999999995</v>
      </c>
      <c r="Q2619">
        <v>1.37602E-2</v>
      </c>
      <c r="R2619">
        <v>-2.6856689999999999E-2</v>
      </c>
      <c r="S2619">
        <v>-2.9956969999999998</v>
      </c>
      <c r="T2619">
        <v>-2.9505489999999998E-3</v>
      </c>
      <c r="U2619">
        <v>-0.20898439999999999</v>
      </c>
      <c r="V2619">
        <v>6.0186399999999996E-3</v>
      </c>
      <c r="W2619">
        <v>2.3332209999999999E-2</v>
      </c>
      <c r="X2619">
        <v>0.99970970000000003</v>
      </c>
      <c r="Y2619">
        <v>-3.67491E-2</v>
      </c>
      <c r="Z2619" s="1">
        <v>1.426115E-5</v>
      </c>
      <c r="AA2619">
        <v>0.99932449999999995</v>
      </c>
      <c r="AB2619">
        <v>47</v>
      </c>
      <c r="AC2619">
        <v>-223.91639999999899</v>
      </c>
      <c r="AD2619">
        <v>-0.22109029999999999</v>
      </c>
      <c r="AE2619">
        <v>-15.6374999999999</v>
      </c>
      <c r="AF2619">
        <v>-8.2654594176985601</v>
      </c>
      <c r="AG2619">
        <v>-0.22109029999999999</v>
      </c>
      <c r="AH2619">
        <v>224.30931771579401</v>
      </c>
      <c r="AI2619">
        <v>90.056435219901701</v>
      </c>
      <c r="AJ2619">
        <v>92.110308111204603</v>
      </c>
      <c r="AK2619">
        <v>224.46165978721501</v>
      </c>
      <c r="AL2619">
        <v>88.663041583726198</v>
      </c>
      <c r="AM2619">
        <v>89.655061360095601</v>
      </c>
      <c r="AN2619">
        <v>1.0000000501625099</v>
      </c>
    </row>
    <row r="2620" spans="1:40" x14ac:dyDescent="0.25">
      <c r="A2620" t="str">
        <f>"20190312153937958"</f>
        <v>20190312153937958</v>
      </c>
      <c r="B2620" t="str">
        <f>"1552376377948786"</f>
        <v>1552376377948786</v>
      </c>
      <c r="C2620" t="s">
        <v>40</v>
      </c>
      <c r="D2620">
        <v>4.1245459999999996</v>
      </c>
      <c r="E2620">
        <v>0.48450149999999997</v>
      </c>
      <c r="F2620" t="s">
        <v>67</v>
      </c>
      <c r="G2620">
        <v>-512.82539999999995</v>
      </c>
      <c r="H2620">
        <v>0.71177659999999998</v>
      </c>
      <c r="I2620">
        <v>268.27569999999997</v>
      </c>
      <c r="J2620">
        <v>-289.16379999999998</v>
      </c>
      <c r="K2620">
        <v>1.1093850000000001</v>
      </c>
      <c r="L2620">
        <v>283.74090000000001</v>
      </c>
      <c r="M2620">
        <v>-0.99941120000000006</v>
      </c>
      <c r="N2620">
        <v>0</v>
      </c>
      <c r="O2620">
        <v>-3.2870669999999998E-2</v>
      </c>
      <c r="P2620">
        <v>-0.99956579999999995</v>
      </c>
      <c r="Q2620">
        <v>1.327998E-2</v>
      </c>
      <c r="R2620">
        <v>-2.630907E-2</v>
      </c>
      <c r="S2620">
        <v>-2.995911</v>
      </c>
      <c r="T2620">
        <v>-5.318761E-3</v>
      </c>
      <c r="U2620">
        <v>-0.2070313</v>
      </c>
      <c r="V2620">
        <v>6.5552769999999896E-3</v>
      </c>
      <c r="W2620">
        <v>2.3128180000000002E-2</v>
      </c>
      <c r="X2620">
        <v>0.99971100000000002</v>
      </c>
      <c r="Y2620">
        <v>-3.6108880000000003E-2</v>
      </c>
      <c r="Z2620" s="1">
        <v>2.6250920000000001E-5</v>
      </c>
      <c r="AA2620">
        <v>0.99934789999999996</v>
      </c>
      <c r="AB2620">
        <v>47</v>
      </c>
      <c r="AC2620">
        <v>-223.66159999999999</v>
      </c>
      <c r="AD2620">
        <v>-0.39760839999999997</v>
      </c>
      <c r="AE2620">
        <v>-15.465199999999999</v>
      </c>
      <c r="AF2620">
        <v>-8.1045541131933199</v>
      </c>
      <c r="AG2620">
        <v>-0.39760839999999997</v>
      </c>
      <c r="AH2620">
        <v>224.048395988095</v>
      </c>
      <c r="AI2620">
        <v>90.101613623151493</v>
      </c>
      <c r="AJ2620">
        <v>92.071670118454193</v>
      </c>
      <c r="AK2620">
        <v>224.19528459504201</v>
      </c>
      <c r="AL2620">
        <v>88.674734708780804</v>
      </c>
      <c r="AM2620">
        <v>89.624307101989302</v>
      </c>
      <c r="AN2620">
        <v>0.99999998394382905</v>
      </c>
    </row>
    <row r="2621" spans="1:40" x14ac:dyDescent="0.25">
      <c r="A2621" t="str">
        <f>"20190312153937972"</f>
        <v>20190312153937972</v>
      </c>
      <c r="B2621" t="str">
        <f>"1552376377968306"</f>
        <v>1552376377968306</v>
      </c>
      <c r="C2621" t="s">
        <v>40</v>
      </c>
      <c r="D2621">
        <v>4.1161349999999999</v>
      </c>
      <c r="E2621">
        <v>0.48440680000000003</v>
      </c>
      <c r="F2621" t="s">
        <v>67</v>
      </c>
      <c r="G2621">
        <v>-512.82539999999995</v>
      </c>
      <c r="H2621">
        <v>0.59920699999999905</v>
      </c>
      <c r="I2621">
        <v>268.40820000000002</v>
      </c>
      <c r="J2621">
        <v>-289.46089999999998</v>
      </c>
      <c r="K2621">
        <v>1.1093759999999999</v>
      </c>
      <c r="L2621">
        <v>283.73110000000003</v>
      </c>
      <c r="M2621">
        <v>-0.9994092</v>
      </c>
      <c r="N2621">
        <v>0</v>
      </c>
      <c r="O2621">
        <v>-3.2837470000000001E-2</v>
      </c>
      <c r="P2621">
        <v>-0.99958130000000001</v>
      </c>
      <c r="Q2621">
        <v>1.3143790000000001E-2</v>
      </c>
      <c r="R2621">
        <v>-2.5779739999999999E-2</v>
      </c>
      <c r="S2621">
        <v>-2.9959720000000001</v>
      </c>
      <c r="T2621">
        <v>-6.8328379999999999E-3</v>
      </c>
      <c r="U2621">
        <v>-0.20538329999999999</v>
      </c>
      <c r="V2621">
        <v>7.0537559999999996E-3</v>
      </c>
      <c r="W2621">
        <v>2.328788E-2</v>
      </c>
      <c r="X2621">
        <v>0.99970389999999998</v>
      </c>
      <c r="Y2621">
        <v>-3.559346E-2</v>
      </c>
      <c r="Z2621" s="1">
        <v>3.4235530000000003E-5</v>
      </c>
      <c r="AA2621">
        <v>0.99936630000000004</v>
      </c>
      <c r="AB2621">
        <v>47</v>
      </c>
      <c r="AC2621">
        <v>-223.36449999999999</v>
      </c>
      <c r="AD2621">
        <v>-0.51016899999999998</v>
      </c>
      <c r="AE2621">
        <v>-15.322900000000001</v>
      </c>
      <c r="AF2621">
        <v>-7.9794914939429296</v>
      </c>
      <c r="AG2621">
        <v>-0.51016899999999998</v>
      </c>
      <c r="AH2621">
        <v>223.74605761754799</v>
      </c>
      <c r="AI2621">
        <v>90.130558318733506</v>
      </c>
      <c r="AJ2621">
        <v>92.042482938158003</v>
      </c>
      <c r="AK2621">
        <v>223.88888059996501</v>
      </c>
      <c r="AL2621">
        <v>88.665582107861596</v>
      </c>
      <c r="AM2621">
        <v>89.5957365557489</v>
      </c>
      <c r="AN2621">
        <v>0.99999998425190495</v>
      </c>
    </row>
    <row r="2622" spans="1:40" x14ac:dyDescent="0.25">
      <c r="A2622" t="str">
        <f>"20190312153937989"</f>
        <v>20190312153937989</v>
      </c>
      <c r="B2622" t="str">
        <f>"1552376377978067"</f>
        <v>1552376377978067</v>
      </c>
      <c r="C2622" t="s">
        <v>40</v>
      </c>
      <c r="D2622">
        <v>4.1421599999999996</v>
      </c>
      <c r="E2622">
        <v>0.48435030000000001</v>
      </c>
      <c r="F2622" t="s">
        <v>67</v>
      </c>
      <c r="G2622">
        <v>-512.82529999999997</v>
      </c>
      <c r="H2622">
        <v>0.54170269999999898</v>
      </c>
      <c r="I2622">
        <v>268.48989999999998</v>
      </c>
      <c r="J2622">
        <v>-289.81979999999999</v>
      </c>
      <c r="K2622">
        <v>1.109359</v>
      </c>
      <c r="L2622">
        <v>283.71940000000001</v>
      </c>
      <c r="M2622">
        <v>-0.99940759999999995</v>
      </c>
      <c r="N2622">
        <v>0</v>
      </c>
      <c r="O2622">
        <v>-3.278027E-2</v>
      </c>
      <c r="P2622">
        <v>-0.99959730000000002</v>
      </c>
      <c r="Q2622">
        <v>1.324318E-2</v>
      </c>
      <c r="R2622">
        <v>-2.5097830000000002E-2</v>
      </c>
      <c r="S2622">
        <v>-2.9960939999999998</v>
      </c>
      <c r="T2622">
        <v>-7.6134200000000001E-3</v>
      </c>
      <c r="U2622">
        <v>-0.20443729999999999</v>
      </c>
      <c r="V2622">
        <v>7.6811469999999897E-3</v>
      </c>
      <c r="W2622">
        <v>2.3720249999999998E-2</v>
      </c>
      <c r="X2622">
        <v>0.9996891</v>
      </c>
      <c r="Y2622">
        <v>-3.5333690000000001E-2</v>
      </c>
      <c r="Z2622" s="1">
        <v>3.833047E-5</v>
      </c>
      <c r="AA2622">
        <v>0.99937560000000003</v>
      </c>
      <c r="AB2622">
        <v>47</v>
      </c>
      <c r="AC2622">
        <v>-223.00550000000001</v>
      </c>
      <c r="AD2622">
        <v>-0.5676563</v>
      </c>
      <c r="AE2622">
        <v>-15.2295</v>
      </c>
      <c r="AF2622">
        <v>-7.9106812419957802</v>
      </c>
      <c r="AG2622">
        <v>-0.5676563</v>
      </c>
      <c r="AH2622">
        <v>223.383453643443</v>
      </c>
      <c r="AI2622">
        <v>90.145507041322801</v>
      </c>
      <c r="AJ2622">
        <v>92.028168662620601</v>
      </c>
      <c r="AK2622">
        <v>223.52420109030601</v>
      </c>
      <c r="AL2622">
        <v>88.640802270789493</v>
      </c>
      <c r="AM2622">
        <v>89.559774489296501</v>
      </c>
      <c r="AN2622">
        <v>0.99999997346905301</v>
      </c>
    </row>
    <row r="2623" spans="1:40" x14ac:dyDescent="0.25">
      <c r="A2623" t="str">
        <f>"20190312153938005"</f>
        <v>20190312153938005</v>
      </c>
      <c r="B2623" t="str">
        <f>"1552376377998564"</f>
        <v>1552376377998564</v>
      </c>
      <c r="C2623" t="s">
        <v>40</v>
      </c>
      <c r="D2623">
        <v>4.1291289999999998</v>
      </c>
      <c r="E2623">
        <v>0.48429640000000002</v>
      </c>
      <c r="F2623" t="s">
        <v>67</v>
      </c>
      <c r="G2623">
        <v>-512.82539999999995</v>
      </c>
      <c r="H2623">
        <v>0.58516060000000003</v>
      </c>
      <c r="I2623">
        <v>268.61930000000001</v>
      </c>
      <c r="J2623">
        <v>-290.15660000000003</v>
      </c>
      <c r="K2623">
        <v>1.1093280000000001</v>
      </c>
      <c r="L2623">
        <v>283.70830000000001</v>
      </c>
      <c r="M2623">
        <v>-0.99940709999999999</v>
      </c>
      <c r="N2623">
        <v>0</v>
      </c>
      <c r="O2623">
        <v>-3.270642E-2</v>
      </c>
      <c r="P2623">
        <v>-0.99963190000000002</v>
      </c>
      <c r="Q2623">
        <v>1.3361130000000001E-2</v>
      </c>
      <c r="R2623">
        <v>-2.361663E-2</v>
      </c>
      <c r="S2623">
        <v>-2.9962460000000002</v>
      </c>
      <c r="T2623">
        <v>-7.0419310000000004E-3</v>
      </c>
      <c r="U2623">
        <v>-0.2028809</v>
      </c>
      <c r="V2623">
        <v>9.0916859999999999E-3</v>
      </c>
      <c r="W2623">
        <v>2.412545E-2</v>
      </c>
      <c r="X2623">
        <v>0.99966759999999999</v>
      </c>
      <c r="Y2623">
        <v>-3.488724E-2</v>
      </c>
      <c r="Z2623" s="1">
        <v>3.5803290000000003E-5</v>
      </c>
      <c r="AA2623">
        <v>0.99939129999999998</v>
      </c>
      <c r="AB2623">
        <v>47</v>
      </c>
      <c r="AC2623">
        <v>-222.66879999999901</v>
      </c>
      <c r="AD2623">
        <v>-0.52416739999999995</v>
      </c>
      <c r="AE2623">
        <v>-15.089</v>
      </c>
      <c r="AF2623">
        <v>-7.7977626914825198</v>
      </c>
      <c r="AG2623">
        <v>-0.52416739999999995</v>
      </c>
      <c r="AH2623">
        <v>223.04196424230901</v>
      </c>
      <c r="AI2623">
        <v>90.134567445871397</v>
      </c>
      <c r="AJ2623">
        <v>92.002300323771294</v>
      </c>
      <c r="AK2623">
        <v>223.17884681914401</v>
      </c>
      <c r="AL2623">
        <v>88.617579415174802</v>
      </c>
      <c r="AM2623">
        <v>89.478925920086198</v>
      </c>
      <c r="AN2623">
        <v>1.00000000329089</v>
      </c>
    </row>
    <row r="2624" spans="1:40" x14ac:dyDescent="0.25">
      <c r="A2624" t="str">
        <f>"20190312153938025"</f>
        <v>20190312153938025</v>
      </c>
      <c r="B2624" t="str">
        <f>"1552376378018082"</f>
        <v>1552376378018082</v>
      </c>
      <c r="C2624" t="s">
        <v>40</v>
      </c>
      <c r="D2624">
        <v>4.0762549999999997</v>
      </c>
      <c r="E2624">
        <v>0.48424060000000002</v>
      </c>
      <c r="F2624" t="s">
        <v>67</v>
      </c>
      <c r="G2624">
        <v>-512.82529999999997</v>
      </c>
      <c r="H2624">
        <v>0.57753129999999997</v>
      </c>
      <c r="I2624">
        <v>268.91800000000001</v>
      </c>
      <c r="J2624">
        <v>-290.56700000000001</v>
      </c>
      <c r="K2624">
        <v>1.109281</v>
      </c>
      <c r="L2624">
        <v>283.69490000000002</v>
      </c>
      <c r="M2624">
        <v>-0.9994075</v>
      </c>
      <c r="N2624">
        <v>0</v>
      </c>
      <c r="O2624">
        <v>-3.2584809999999999E-2</v>
      </c>
      <c r="P2624">
        <v>-0.99964180000000002</v>
      </c>
      <c r="Q2624">
        <v>1.3144370000000001E-2</v>
      </c>
      <c r="R2624">
        <v>-2.331339E-2</v>
      </c>
      <c r="S2624">
        <v>-2.9964900000000001</v>
      </c>
      <c r="T2624">
        <v>-7.1554180000000002E-3</v>
      </c>
      <c r="U2624">
        <v>-0.19903560000000001</v>
      </c>
      <c r="V2624">
        <v>9.2766700000000007E-3</v>
      </c>
      <c r="W2624">
        <v>2.4226979999999999E-2</v>
      </c>
      <c r="X2624">
        <v>0.99966339999999998</v>
      </c>
      <c r="Y2624">
        <v>-3.3726510000000001E-2</v>
      </c>
      <c r="Z2624" s="1">
        <v>3.7474100000000001E-5</v>
      </c>
      <c r="AA2624">
        <v>0.99943110000000002</v>
      </c>
      <c r="AB2624">
        <v>47</v>
      </c>
      <c r="AC2624">
        <v>-222.25829999999999</v>
      </c>
      <c r="AD2624">
        <v>-0.53174969999999999</v>
      </c>
      <c r="AE2624">
        <v>-14.776899999999999</v>
      </c>
      <c r="AF2624">
        <v>-7.5263197499155599</v>
      </c>
      <c r="AG2624">
        <v>-0.53174969999999999</v>
      </c>
      <c r="AH2624">
        <v>222.62052397043001</v>
      </c>
      <c r="AI2624">
        <v>90.136777861483694</v>
      </c>
      <c r="AJ2624">
        <v>91.936309235369706</v>
      </c>
      <c r="AK2624">
        <v>222.748346659611</v>
      </c>
      <c r="AL2624">
        <v>88.611760411330707</v>
      </c>
      <c r="AM2624">
        <v>89.468322254581096</v>
      </c>
      <c r="AN2624">
        <v>0.99999995823288301</v>
      </c>
    </row>
    <row r="2625" spans="1:40" x14ac:dyDescent="0.25">
      <c r="A2625" t="str">
        <f>"20190312153938040"</f>
        <v>20190312153938040</v>
      </c>
      <c r="B2625" t="str">
        <f>"1552376378028819"</f>
        <v>1552376378028819</v>
      </c>
      <c r="C2625" t="s">
        <v>40</v>
      </c>
      <c r="D2625">
        <v>4.102614</v>
      </c>
      <c r="E2625">
        <v>0.48418919999999999</v>
      </c>
      <c r="F2625" t="s">
        <v>67</v>
      </c>
      <c r="G2625">
        <v>-512.82529999999997</v>
      </c>
      <c r="H2625">
        <v>0.53962330000000003</v>
      </c>
      <c r="I2625">
        <v>268.98200000000003</v>
      </c>
      <c r="J2625">
        <v>-290.89179999999999</v>
      </c>
      <c r="K2625">
        <v>1.109245</v>
      </c>
      <c r="L2625">
        <v>283.68439999999998</v>
      </c>
      <c r="M2625">
        <v>-0.99940890000000004</v>
      </c>
      <c r="N2625">
        <v>0</v>
      </c>
      <c r="O2625">
        <v>-3.246458E-2</v>
      </c>
      <c r="P2625">
        <v>-0.99965970000000004</v>
      </c>
      <c r="Q2625">
        <v>1.307109E-2</v>
      </c>
      <c r="R2625">
        <v>-2.2580240000000001E-2</v>
      </c>
      <c r="S2625">
        <v>-2.9965519999999999</v>
      </c>
      <c r="T2625">
        <v>-7.6792240000000001E-3</v>
      </c>
      <c r="U2625">
        <v>-0.19836429999999999</v>
      </c>
      <c r="V2625">
        <v>9.8926829999999993E-3</v>
      </c>
      <c r="W2625">
        <v>2.438382E-2</v>
      </c>
      <c r="X2625">
        <v>0.99965369999999998</v>
      </c>
      <c r="Y2625">
        <v>-3.3622369999999999E-2</v>
      </c>
      <c r="Z2625" s="1">
        <v>4.0042900000000002E-5</v>
      </c>
      <c r="AA2625">
        <v>0.99943459999999995</v>
      </c>
      <c r="AB2625">
        <v>47</v>
      </c>
      <c r="AC2625">
        <v>-221.93350000000001</v>
      </c>
      <c r="AD2625">
        <v>-0.56962170000000001</v>
      </c>
      <c r="AE2625">
        <v>-14.7023999999999</v>
      </c>
      <c r="AF2625">
        <v>-7.4891613823803498</v>
      </c>
      <c r="AG2625">
        <v>-0.56962170000000001</v>
      </c>
      <c r="AH2625">
        <v>222.29238070258</v>
      </c>
      <c r="AI2625">
        <v>90.146736209773806</v>
      </c>
      <c r="AJ2625">
        <v>91.9295987501269</v>
      </c>
      <c r="AK2625">
        <v>222.41923146507199</v>
      </c>
      <c r="AL2625">
        <v>88.6027715128495</v>
      </c>
      <c r="AM2625">
        <v>89.433013170513107</v>
      </c>
      <c r="AN2625">
        <v>0.99999997788921002</v>
      </c>
    </row>
    <row r="2626" spans="1:40" x14ac:dyDescent="0.25">
      <c r="A2626" t="str">
        <f>"20190312153938059"</f>
        <v>20190312153938059</v>
      </c>
      <c r="B2626" t="str">
        <f>"1552376378048339"</f>
        <v>1552376378048339</v>
      </c>
      <c r="C2626" t="s">
        <v>40</v>
      </c>
      <c r="D2626">
        <v>4.1023540000000001</v>
      </c>
      <c r="E2626">
        <v>0.48411490000000001</v>
      </c>
      <c r="F2626" t="s">
        <v>67</v>
      </c>
      <c r="G2626">
        <v>-512.82529999999997</v>
      </c>
      <c r="H2626">
        <v>0.54010139999999995</v>
      </c>
      <c r="I2626">
        <v>269.12</v>
      </c>
      <c r="J2626">
        <v>-291.27890000000002</v>
      </c>
      <c r="K2626">
        <v>1.109199</v>
      </c>
      <c r="L2626">
        <v>283.67200000000003</v>
      </c>
      <c r="M2626">
        <v>-0.99941170000000001</v>
      </c>
      <c r="N2626">
        <v>0</v>
      </c>
      <c r="O2626">
        <v>-3.2289529999999997E-2</v>
      </c>
      <c r="P2626">
        <v>-0.99966639999999996</v>
      </c>
      <c r="Q2626">
        <v>1.225363E-2</v>
      </c>
      <c r="R2626">
        <v>-2.274292E-2</v>
      </c>
      <c r="S2626">
        <v>-2.9966430000000002</v>
      </c>
      <c r="T2626">
        <v>-7.6837540000000001E-3</v>
      </c>
      <c r="U2626">
        <v>-0.19665530000000001</v>
      </c>
      <c r="V2626">
        <v>9.558169E-3</v>
      </c>
      <c r="W2626">
        <v>2.3814640000000002E-2</v>
      </c>
      <c r="X2626">
        <v>0.99967070000000002</v>
      </c>
      <c r="Y2626">
        <v>-3.3227810000000003E-2</v>
      </c>
      <c r="Z2626" s="1">
        <v>4.0123819999999998E-5</v>
      </c>
      <c r="AA2626">
        <v>0.9994478</v>
      </c>
      <c r="AB2626">
        <v>47</v>
      </c>
      <c r="AC2626">
        <v>-221.54639999999901</v>
      </c>
      <c r="AD2626">
        <v>-0.56909759999999998</v>
      </c>
      <c r="AE2626">
        <v>-14.552</v>
      </c>
      <c r="AF2626">
        <v>-7.3902552113887898</v>
      </c>
      <c r="AG2626">
        <v>-0.56909759999999998</v>
      </c>
      <c r="AH2626">
        <v>221.899311506587</v>
      </c>
      <c r="AI2626">
        <v>90.146862783787</v>
      </c>
      <c r="AJ2626">
        <v>91.907504710446801</v>
      </c>
      <c r="AK2626">
        <v>222.02307130400899</v>
      </c>
      <c r="AL2626">
        <v>88.635392632876801</v>
      </c>
      <c r="AM2626">
        <v>89.452193551127806</v>
      </c>
      <c r="AN2626">
        <v>1.00000000205572</v>
      </c>
    </row>
    <row r="2627" spans="1:40" x14ac:dyDescent="0.25">
      <c r="A2627" t="str">
        <f>"20190312153938071"</f>
        <v>20190312153938071</v>
      </c>
      <c r="B2627" t="str">
        <f>"1552376378067859"</f>
        <v>1552376378067859</v>
      </c>
      <c r="C2627" t="s">
        <v>40</v>
      </c>
      <c r="D2627">
        <v>4.1072199999999999</v>
      </c>
      <c r="E2627">
        <v>0.48405959999999998</v>
      </c>
      <c r="F2627" t="s">
        <v>67</v>
      </c>
      <c r="G2627">
        <v>-512.82529999999997</v>
      </c>
      <c r="H2627">
        <v>0.3989801</v>
      </c>
      <c r="I2627">
        <v>269.05380000000002</v>
      </c>
      <c r="J2627">
        <v>-291.55840000000001</v>
      </c>
      <c r="K2627">
        <v>1.1091690000000001</v>
      </c>
      <c r="L2627">
        <v>283.66300000000001</v>
      </c>
      <c r="M2627">
        <v>-0.99941460000000004</v>
      </c>
      <c r="N2627">
        <v>0</v>
      </c>
      <c r="O2627">
        <v>-3.2139620000000001E-2</v>
      </c>
      <c r="P2627">
        <v>-0.99967260000000002</v>
      </c>
      <c r="Q2627">
        <v>1.1769989999999999E-2</v>
      </c>
      <c r="R2627">
        <v>-2.2717950000000001E-2</v>
      </c>
      <c r="S2627">
        <v>-2.996613</v>
      </c>
      <c r="T2627">
        <v>-9.6052889999999995E-3</v>
      </c>
      <c r="U2627">
        <v>-0.19772339999999999</v>
      </c>
      <c r="V2627">
        <v>9.4349619999999999E-3</v>
      </c>
      <c r="W2627">
        <v>2.3490480000000001E-2</v>
      </c>
      <c r="X2627">
        <v>0.9996796</v>
      </c>
      <c r="Y2627">
        <v>-3.3733029999999997E-2</v>
      </c>
      <c r="Z2627" s="1">
        <v>4.8869409999999997E-5</v>
      </c>
      <c r="AA2627">
        <v>0.99943090000000001</v>
      </c>
      <c r="AB2627">
        <v>47</v>
      </c>
      <c r="AC2627">
        <v>-221.26689999999999</v>
      </c>
      <c r="AD2627">
        <v>-0.71018890000000001</v>
      </c>
      <c r="AE2627">
        <v>-14.6091999999999</v>
      </c>
      <c r="AF2627">
        <v>-7.4896518119650404</v>
      </c>
      <c r="AG2627">
        <v>-0.71018890000000001</v>
      </c>
      <c r="AH2627">
        <v>221.619868592502</v>
      </c>
      <c r="AI2627">
        <v>90.183501015204499</v>
      </c>
      <c r="AJ2627">
        <v>91.935576375543505</v>
      </c>
      <c r="AK2627">
        <v>221.74752627142399</v>
      </c>
      <c r="AL2627">
        <v>88.6539709108377</v>
      </c>
      <c r="AM2627">
        <v>89.4592592942831</v>
      </c>
      <c r="AN2627">
        <v>1.0000000619073599</v>
      </c>
    </row>
    <row r="2628" spans="1:40" x14ac:dyDescent="0.25">
      <c r="A2628" t="str">
        <f>"20190312153938090"</f>
        <v>20190312153938090</v>
      </c>
      <c r="B2628" t="str">
        <f>"1552376378078595"</f>
        <v>1552376378078595</v>
      </c>
      <c r="C2628" t="s">
        <v>40</v>
      </c>
      <c r="D2628">
        <v>4.1031599999999999</v>
      </c>
      <c r="E2628">
        <v>0.48403040000000003</v>
      </c>
      <c r="F2628" t="s">
        <v>67</v>
      </c>
      <c r="G2628">
        <v>-512.82529999999997</v>
      </c>
      <c r="H2628">
        <v>0.31364399999999998</v>
      </c>
      <c r="I2628">
        <v>269.02730000000003</v>
      </c>
      <c r="J2628">
        <v>-291.9477</v>
      </c>
      <c r="K2628">
        <v>1.109119</v>
      </c>
      <c r="L2628">
        <v>283.65069999999997</v>
      </c>
      <c r="M2628">
        <v>-0.99941970000000002</v>
      </c>
      <c r="N2628">
        <v>0</v>
      </c>
      <c r="O2628">
        <v>-3.1909720000000003E-2</v>
      </c>
      <c r="P2628">
        <v>-0.99968129999999999</v>
      </c>
      <c r="Q2628">
        <v>1.119995E-2</v>
      </c>
      <c r="R2628">
        <v>-2.2631809999999999E-2</v>
      </c>
      <c r="S2628">
        <v>-2.996613</v>
      </c>
      <c r="T2628">
        <v>-1.077271E-2</v>
      </c>
      <c r="U2628">
        <v>-0.19821169999999999</v>
      </c>
      <c r="V2628">
        <v>9.2939990000000007E-3</v>
      </c>
      <c r="W2628">
        <v>2.3126270000000001E-2</v>
      </c>
      <c r="X2628">
        <v>0.9996893</v>
      </c>
      <c r="Y2628">
        <v>-3.4124979999999999E-2</v>
      </c>
      <c r="Z2628" s="1">
        <v>5.3280140000000001E-5</v>
      </c>
      <c r="AA2628">
        <v>0.99941749999999996</v>
      </c>
      <c r="AB2628">
        <v>47</v>
      </c>
      <c r="AC2628">
        <v>-220.8776</v>
      </c>
      <c r="AD2628">
        <v>-0.79547499999999904</v>
      </c>
      <c r="AE2628">
        <v>-14.623399999999901</v>
      </c>
      <c r="AF2628">
        <v>-7.5672113730760797</v>
      </c>
      <c r="AG2628">
        <v>-0.79547499999999904</v>
      </c>
      <c r="AH2628">
        <v>221.22890811310799</v>
      </c>
      <c r="AI2628">
        <v>90.205897705709106</v>
      </c>
      <c r="AJ2628">
        <v>91.959058171107003</v>
      </c>
      <c r="AK2628">
        <v>221.359719130104</v>
      </c>
      <c r="AL2628">
        <v>88.674844127557705</v>
      </c>
      <c r="AM2628">
        <v>89.467342927053295</v>
      </c>
      <c r="AN2628">
        <v>0.99999994965800598</v>
      </c>
    </row>
    <row r="2629" spans="1:40" x14ac:dyDescent="0.25">
      <c r="A2629" t="str">
        <f>"20190312153938104"</f>
        <v>20190312153938104</v>
      </c>
      <c r="B2629" t="str">
        <f>"1552376378098115"</f>
        <v>1552376378098115</v>
      </c>
      <c r="C2629" t="s">
        <v>40</v>
      </c>
      <c r="D2629">
        <v>4.0936949999999896</v>
      </c>
      <c r="E2629">
        <v>0.48397449999999997</v>
      </c>
      <c r="F2629" t="s">
        <v>67</v>
      </c>
      <c r="G2629">
        <v>-512.8252</v>
      </c>
      <c r="H2629">
        <v>0.1885782</v>
      </c>
      <c r="I2629">
        <v>269.04739999999998</v>
      </c>
      <c r="J2629">
        <v>-292.25599999999997</v>
      </c>
      <c r="K2629">
        <v>1.109086</v>
      </c>
      <c r="L2629">
        <v>283.64100000000002</v>
      </c>
      <c r="M2629">
        <v>-0.99942419999999998</v>
      </c>
      <c r="N2629">
        <v>0</v>
      </c>
      <c r="O2629">
        <v>-3.170945E-2</v>
      </c>
      <c r="P2629">
        <v>-0.99969520000000001</v>
      </c>
      <c r="Q2629">
        <v>1.0940999999999999E-2</v>
      </c>
      <c r="R2629">
        <v>-2.2135539999999999E-2</v>
      </c>
      <c r="S2629">
        <v>-2.996613</v>
      </c>
      <c r="T2629">
        <v>-1.248777E-2</v>
      </c>
      <c r="U2629">
        <v>-0.19812009999999999</v>
      </c>
      <c r="V2629">
        <v>9.5918119999999999E-3</v>
      </c>
      <c r="W2629">
        <v>2.301425E-2</v>
      </c>
      <c r="X2629">
        <v>0.9996891</v>
      </c>
      <c r="Y2629">
        <v>-3.4294779999999997E-2</v>
      </c>
      <c r="Z2629" s="1">
        <v>6.0576470000000003E-5</v>
      </c>
      <c r="AA2629">
        <v>0.99941179999999996</v>
      </c>
      <c r="AB2629">
        <v>47</v>
      </c>
      <c r="AC2629">
        <v>-220.5692</v>
      </c>
      <c r="AD2629">
        <v>-0.92050779999999999</v>
      </c>
      <c r="AE2629">
        <v>-14.593599999999901</v>
      </c>
      <c r="AF2629">
        <v>-7.5914907145590904</v>
      </c>
      <c r="AG2629">
        <v>-0.92050779999999999</v>
      </c>
      <c r="AH2629">
        <v>220.91722384909201</v>
      </c>
      <c r="AI2629">
        <v>90.238595226525604</v>
      </c>
      <c r="AJ2629">
        <v>91.968109520987497</v>
      </c>
      <c r="AK2629">
        <v>221.049537115709</v>
      </c>
      <c r="AL2629">
        <v>88.681264146675801</v>
      </c>
      <c r="AM2629">
        <v>89.450275608771094</v>
      </c>
      <c r="AN2629">
        <v>0.99999997760965698</v>
      </c>
    </row>
    <row r="2630" spans="1:40" x14ac:dyDescent="0.25">
      <c r="A2630" t="str">
        <f>"20190312153938118"</f>
        <v>20190312153938118</v>
      </c>
      <c r="B2630" t="str">
        <f>"1552376378107875"</f>
        <v>1552376378107875</v>
      </c>
      <c r="C2630" t="s">
        <v>40</v>
      </c>
      <c r="D2630">
        <v>4.1131699999999896</v>
      </c>
      <c r="E2630">
        <v>0.48392790000000002</v>
      </c>
      <c r="F2630" t="s">
        <v>67</v>
      </c>
      <c r="G2630">
        <v>-512.8252</v>
      </c>
      <c r="H2630">
        <v>0.1666406</v>
      </c>
      <c r="I2630">
        <v>269.14600000000002</v>
      </c>
      <c r="J2630">
        <v>-292.5453</v>
      </c>
      <c r="K2630">
        <v>1.109056</v>
      </c>
      <c r="L2630">
        <v>283.63200000000001</v>
      </c>
      <c r="M2630">
        <v>-0.99942889999999995</v>
      </c>
      <c r="N2630">
        <v>0</v>
      </c>
      <c r="O2630">
        <v>-3.1510429999999999E-2</v>
      </c>
      <c r="P2630">
        <v>-0.99971339999999997</v>
      </c>
      <c r="Q2630">
        <v>1.060882E-2</v>
      </c>
      <c r="R2630">
        <v>-2.1469309999999998E-2</v>
      </c>
      <c r="S2630">
        <v>-2.9966740000000001</v>
      </c>
      <c r="T2630">
        <v>-1.280308E-2</v>
      </c>
      <c r="U2630">
        <v>-0.19692989999999999</v>
      </c>
      <c r="V2630">
        <v>1.006074E-2</v>
      </c>
      <c r="W2630">
        <v>2.2808789999999999E-2</v>
      </c>
      <c r="X2630">
        <v>0.99968919999999994</v>
      </c>
      <c r="Y2630">
        <v>-3.4097189999999999E-2</v>
      </c>
      <c r="Z2630" s="1">
        <v>6.1678899999999997E-5</v>
      </c>
      <c r="AA2630">
        <v>0.99941849999999999</v>
      </c>
      <c r="AB2630">
        <v>47</v>
      </c>
      <c r="AC2630">
        <v>-220.2799</v>
      </c>
      <c r="AD2630">
        <v>-0.94241540000000001</v>
      </c>
      <c r="AE2630">
        <v>-14.486000000000001</v>
      </c>
      <c r="AF2630">
        <v>-7.53703673032852</v>
      </c>
      <c r="AG2630">
        <v>-0.94241540000000001</v>
      </c>
      <c r="AH2630">
        <v>220.62297108941499</v>
      </c>
      <c r="AI2630">
        <v>90.244601073951202</v>
      </c>
      <c r="AJ2630">
        <v>91.956607296969494</v>
      </c>
      <c r="AK2630">
        <v>220.75368726655799</v>
      </c>
      <c r="AL2630">
        <v>88.693039229319197</v>
      </c>
      <c r="AM2630">
        <v>89.423402312298506</v>
      </c>
      <c r="AN2630">
        <v>0.99999997799362506</v>
      </c>
    </row>
    <row r="2631" spans="1:40" x14ac:dyDescent="0.25">
      <c r="A2631" t="str">
        <f>"20190312153938136"</f>
        <v>20190312153938136</v>
      </c>
      <c r="B2631" t="str">
        <f>"1552376378128370"</f>
        <v>1552376378128370</v>
      </c>
      <c r="C2631" t="s">
        <v>40</v>
      </c>
      <c r="D2631">
        <v>4.1008430000000002</v>
      </c>
      <c r="E2631">
        <v>0.48384830000000001</v>
      </c>
      <c r="F2631" t="s">
        <v>67</v>
      </c>
      <c r="G2631">
        <v>-512.8252</v>
      </c>
      <c r="H2631">
        <v>5.8922469999999998E-2</v>
      </c>
      <c r="I2631">
        <v>269.24860000000001</v>
      </c>
      <c r="J2631">
        <v>-292.9144</v>
      </c>
      <c r="K2631">
        <v>1.1090040000000001</v>
      </c>
      <c r="L2631">
        <v>283.62049999999999</v>
      </c>
      <c r="M2631">
        <v>-0.99943579999999999</v>
      </c>
      <c r="N2631">
        <v>0</v>
      </c>
      <c r="O2631">
        <v>-3.1237089999999999E-2</v>
      </c>
      <c r="P2631">
        <v>-0.99976399999999999</v>
      </c>
      <c r="Q2631">
        <v>8.0456079999999992E-3</v>
      </c>
      <c r="R2631">
        <v>-2.0180070000000001E-2</v>
      </c>
      <c r="S2631">
        <v>-2.9967959999999998</v>
      </c>
      <c r="T2631">
        <v>-1.428545E-2</v>
      </c>
      <c r="U2631">
        <v>-0.19567870000000001</v>
      </c>
      <c r="V2631">
        <v>1.1077699999999999E-2</v>
      </c>
      <c r="W2631">
        <v>2.037605E-2</v>
      </c>
      <c r="X2631">
        <v>0.99973100000000004</v>
      </c>
      <c r="Y2631">
        <v>-3.3952320000000001E-2</v>
      </c>
      <c r="Z2631" s="1">
        <v>6.7863149999999994E-5</v>
      </c>
      <c r="AA2631">
        <v>0.99942339999999996</v>
      </c>
      <c r="AB2631">
        <v>47</v>
      </c>
      <c r="AC2631">
        <v>-219.91079999999999</v>
      </c>
      <c r="AD2631">
        <v>-1.0500815299999999</v>
      </c>
      <c r="AE2631">
        <v>-14.371899999999901</v>
      </c>
      <c r="AF2631">
        <v>-7.4948186223896496</v>
      </c>
      <c r="AG2631">
        <v>-1.0500815299999999</v>
      </c>
      <c r="AH2631">
        <v>220.24743788006</v>
      </c>
      <c r="AI2631">
        <v>90.273011030259298</v>
      </c>
      <c r="AJ2631">
        <v>91.948970852311405</v>
      </c>
      <c r="AK2631">
        <v>220.37742368521501</v>
      </c>
      <c r="AL2631">
        <v>88.832457514827297</v>
      </c>
      <c r="AM2631">
        <v>89.365149743348198</v>
      </c>
      <c r="AN2631">
        <v>0.99999998560594605</v>
      </c>
    </row>
    <row r="2632" spans="1:40" x14ac:dyDescent="0.25">
      <c r="A2632" t="str">
        <f>"20190312153938147"</f>
        <v>20190312153938147</v>
      </c>
      <c r="B2632" t="str">
        <f>"1552376378138130"</f>
        <v>1552376378138130</v>
      </c>
      <c r="C2632" t="s">
        <v>40</v>
      </c>
      <c r="D2632">
        <v>4.1196619999999999</v>
      </c>
      <c r="E2632">
        <v>0.48381170000000001</v>
      </c>
      <c r="F2632" t="s">
        <v>62</v>
      </c>
      <c r="G2632">
        <v>-432.2312</v>
      </c>
      <c r="H2632">
        <v>8.0001349999999999E-2</v>
      </c>
      <c r="I2632">
        <v>274.68459999999999</v>
      </c>
      <c r="J2632">
        <v>-293.15519999999998</v>
      </c>
      <c r="K2632">
        <v>1.1088519999999999</v>
      </c>
      <c r="L2632">
        <v>283.61309999999997</v>
      </c>
      <c r="M2632">
        <v>-0.99944690000000003</v>
      </c>
      <c r="N2632">
        <v>0</v>
      </c>
      <c r="O2632">
        <v>-3.1057089999999999E-2</v>
      </c>
      <c r="P2632">
        <v>-0.99978350000000005</v>
      </c>
      <c r="Q2632">
        <v>6.8572069999999997E-3</v>
      </c>
      <c r="R2632">
        <v>-1.9654379999999999E-2</v>
      </c>
      <c r="S2632">
        <v>-2.9970089999999998</v>
      </c>
      <c r="T2632">
        <v>-2.2136090000000001E-2</v>
      </c>
      <c r="U2632">
        <v>-0.19223019999999999</v>
      </c>
      <c r="V2632">
        <v>1.142258E-2</v>
      </c>
      <c r="W2632">
        <v>1.8751779999999999E-2</v>
      </c>
      <c r="X2632">
        <v>0.99975890000000001</v>
      </c>
      <c r="Y2632">
        <v>-3.2982619999999997E-2</v>
      </c>
      <c r="Z2632">
        <v>1.074035E-4</v>
      </c>
      <c r="AA2632">
        <v>0.99945589999999995</v>
      </c>
      <c r="AB2632">
        <v>47</v>
      </c>
      <c r="AC2632">
        <v>-139.07599999999999</v>
      </c>
      <c r="AD2632">
        <v>-1.0288506500000001</v>
      </c>
      <c r="AE2632">
        <v>-8.9284999999999801</v>
      </c>
      <c r="AF2632">
        <v>-4.6043402949777104</v>
      </c>
      <c r="AG2632">
        <v>-1.0288506500000001</v>
      </c>
      <c r="AH2632">
        <v>139.278623788586</v>
      </c>
      <c r="AI2632">
        <v>90.423004929489394</v>
      </c>
      <c r="AJ2632">
        <v>91.893422117751598</v>
      </c>
      <c r="AK2632">
        <v>139.358507195128</v>
      </c>
      <c r="AL2632">
        <v>88.925539152692195</v>
      </c>
      <c r="AM2632">
        <v>89.345405027375193</v>
      </c>
      <c r="AN2632">
        <v>0.99999998135811696</v>
      </c>
    </row>
    <row r="2633" spans="1:40" x14ac:dyDescent="0.25">
      <c r="A2633" t="str">
        <f>"20190312153938160"</f>
        <v>20190312153938160</v>
      </c>
      <c r="B2633" t="str">
        <f>"1552376378147891"</f>
        <v>1552376378147891</v>
      </c>
      <c r="C2633" t="s">
        <v>40</v>
      </c>
      <c r="D2633">
        <v>3.9936129999999999</v>
      </c>
      <c r="E2633">
        <v>0.48381170000000001</v>
      </c>
      <c r="F2633" t="s">
        <v>62</v>
      </c>
      <c r="G2633">
        <v>-423.98329999999999</v>
      </c>
      <c r="H2633" s="1">
        <v>5.0503160000000002E-6</v>
      </c>
      <c r="I2633">
        <v>275.27769999999998</v>
      </c>
      <c r="J2633">
        <v>-293.4196</v>
      </c>
      <c r="K2633">
        <v>1.1086659999999999</v>
      </c>
      <c r="L2633">
        <v>283.60500000000002</v>
      </c>
      <c r="M2633">
        <v>-0.99945969999999995</v>
      </c>
      <c r="N2633">
        <v>0</v>
      </c>
      <c r="O2633">
        <v>-3.0859270000000001E-2</v>
      </c>
      <c r="P2633">
        <v>-0.99980190000000002</v>
      </c>
      <c r="Q2633">
        <v>6.1206669999999998E-3</v>
      </c>
      <c r="R2633">
        <v>-1.8948449999999999E-2</v>
      </c>
      <c r="S2633">
        <v>-2.9970400000000001</v>
      </c>
      <c r="T2633">
        <v>-2.5401710000000001E-2</v>
      </c>
      <c r="U2633">
        <v>-0.19094849999999999</v>
      </c>
      <c r="V2633">
        <v>1.192986E-2</v>
      </c>
      <c r="W2633">
        <v>1.742353E-2</v>
      </c>
      <c r="X2633">
        <v>0.99977700000000003</v>
      </c>
      <c r="Y2633">
        <v>-3.2754289999999998E-2</v>
      </c>
      <c r="Z2633">
        <v>1.2253969999999901E-4</v>
      </c>
      <c r="AA2633">
        <v>0.9994634</v>
      </c>
      <c r="AB2633">
        <v>47</v>
      </c>
      <c r="AC2633">
        <v>-130.56369999999899</v>
      </c>
      <c r="AD2633">
        <v>-1.1086609496840001</v>
      </c>
      <c r="AE2633">
        <v>-8.3273000000000295</v>
      </c>
      <c r="AF2633">
        <v>-4.29366681007295</v>
      </c>
      <c r="AG2633">
        <v>-1.1086609496840001</v>
      </c>
      <c r="AH2633">
        <v>130.749111334915</v>
      </c>
      <c r="AI2633">
        <v>90.485554737031805</v>
      </c>
      <c r="AJ2633">
        <v>91.8808587655151</v>
      </c>
      <c r="AK2633">
        <v>130.824289864869</v>
      </c>
      <c r="AL2633">
        <v>89.001654724974699</v>
      </c>
      <c r="AM2633">
        <v>89.316349356468905</v>
      </c>
      <c r="AN2633">
        <v>0.99999997534314</v>
      </c>
    </row>
    <row r="2634" spans="1:40" x14ac:dyDescent="0.25">
      <c r="A2634" t="str">
        <f>"20190312153938316"</f>
        <v>20190312153938316</v>
      </c>
      <c r="B2634" t="str">
        <f>"1552376378308161"</f>
        <v>1552376378308161</v>
      </c>
      <c r="C2634" t="s">
        <v>40</v>
      </c>
      <c r="D2634">
        <v>3.1478860000000002</v>
      </c>
      <c r="E2634">
        <v>0.48381170000000001</v>
      </c>
      <c r="F2634" t="s">
        <v>62</v>
      </c>
      <c r="G2634">
        <v>-405.0591</v>
      </c>
      <c r="H2634">
        <v>8.0001149999999993E-2</v>
      </c>
      <c r="I2634">
        <v>276.57209999999998</v>
      </c>
      <c r="J2634">
        <v>-296.80770000000001</v>
      </c>
      <c r="K2634">
        <v>1.1085969999999901</v>
      </c>
      <c r="L2634">
        <v>283.5052</v>
      </c>
      <c r="M2634">
        <v>-0.99955309999999997</v>
      </c>
      <c r="N2634">
        <v>0</v>
      </c>
      <c r="O2634">
        <v>-2.8322070000000001E-2</v>
      </c>
      <c r="P2634">
        <v>-0.99983029999999995</v>
      </c>
      <c r="Q2634">
        <v>1.1012050000000001E-2</v>
      </c>
      <c r="R2634">
        <v>-1.4775079999999999E-2</v>
      </c>
      <c r="S2634">
        <v>-2.9971920000000001</v>
      </c>
      <c r="T2634">
        <v>-2.7616620000000001E-2</v>
      </c>
      <c r="U2634">
        <v>-0.18881229999999999</v>
      </c>
      <c r="V2634">
        <v>1.3574050000000001E-2</v>
      </c>
      <c r="W2634">
        <v>2.0562460000000001E-2</v>
      </c>
      <c r="X2634">
        <v>0.99969640000000004</v>
      </c>
      <c r="Y2634">
        <v>-3.4578919999999999E-2</v>
      </c>
      <c r="Z2634">
        <v>1.014812E-4</v>
      </c>
      <c r="AA2634">
        <v>0.99940200000000001</v>
      </c>
      <c r="AB2634">
        <v>48</v>
      </c>
      <c r="AC2634">
        <v>-108.2514</v>
      </c>
      <c r="AD2634">
        <v>-1.0285958500000001</v>
      </c>
      <c r="AE2634">
        <v>-6.93310000000002</v>
      </c>
      <c r="AF2634">
        <v>-3.8639271527052199</v>
      </c>
      <c r="AG2634">
        <v>-1.0285958500000001</v>
      </c>
      <c r="AH2634">
        <v>108.39459308955399</v>
      </c>
      <c r="AI2634">
        <v>90.543339161857403</v>
      </c>
      <c r="AJ2634">
        <v>92.041550333565695</v>
      </c>
      <c r="AK2634">
        <v>108.468316818848</v>
      </c>
      <c r="AL2634">
        <v>88.821774764616194</v>
      </c>
      <c r="AM2634">
        <v>89.222075837247502</v>
      </c>
      <c r="AN2634">
        <v>0.99999998088380604</v>
      </c>
    </row>
    <row r="2635" spans="1:40" x14ac:dyDescent="0.25">
      <c r="A2635" t="str">
        <f>"20190312153938328"</f>
        <v>20190312153938328</v>
      </c>
      <c r="B2635" t="str">
        <f>"1552376378317923"</f>
        <v>1552376378317923</v>
      </c>
      <c r="C2635" t="s">
        <v>40</v>
      </c>
      <c r="D2635">
        <v>3.655875</v>
      </c>
      <c r="E2635">
        <v>0.50999700000000003</v>
      </c>
      <c r="F2635" t="s">
        <v>67</v>
      </c>
      <c r="G2635">
        <v>-512.8252</v>
      </c>
      <c r="H2635">
        <v>0.167769</v>
      </c>
      <c r="I2635">
        <v>270.79360000000003</v>
      </c>
      <c r="J2635">
        <v>-297.05990000000003</v>
      </c>
      <c r="K2635">
        <v>1.108646</v>
      </c>
      <c r="L2635">
        <v>283.4982</v>
      </c>
      <c r="M2635">
        <v>-0.99955640000000001</v>
      </c>
      <c r="N2635">
        <v>0</v>
      </c>
      <c r="O2635">
        <v>-2.811112E-2</v>
      </c>
      <c r="P2635">
        <v>-0.9998283</v>
      </c>
      <c r="Q2635">
        <v>1.140211E-2</v>
      </c>
      <c r="R2635">
        <v>-1.46059E-2</v>
      </c>
      <c r="S2635">
        <v>-2.9980769999999999</v>
      </c>
      <c r="T2635">
        <v>-1.305652E-2</v>
      </c>
      <c r="U2635">
        <v>-0.1764221</v>
      </c>
      <c r="V2635">
        <v>1.353362E-2</v>
      </c>
      <c r="W2635">
        <v>2.12275E-2</v>
      </c>
      <c r="X2635">
        <v>0.99968310000000005</v>
      </c>
      <c r="Y2635">
        <v>-3.0656300000000001E-2</v>
      </c>
      <c r="Z2635" s="1">
        <v>5.5589520000000002E-5</v>
      </c>
      <c r="AA2635">
        <v>0.99953000000000003</v>
      </c>
      <c r="AB2635">
        <v>48</v>
      </c>
      <c r="AC2635">
        <v>-215.7653</v>
      </c>
      <c r="AD2635">
        <v>-0.94087699999999996</v>
      </c>
      <c r="AE2635">
        <v>-12.7045999999999</v>
      </c>
      <c r="AF2635">
        <v>-6.6337552744502597</v>
      </c>
      <c r="AG2635">
        <v>-0.94087699999999996</v>
      </c>
      <c r="AH2635">
        <v>216.03308632585501</v>
      </c>
      <c r="AI2635">
        <v>90.249418012084703</v>
      </c>
      <c r="AJ2635">
        <v>91.758836060573998</v>
      </c>
      <c r="AK2635">
        <v>216.13696200799299</v>
      </c>
      <c r="AL2635">
        <v>88.783662520580194</v>
      </c>
      <c r="AM2635">
        <v>89.224382265658406</v>
      </c>
      <c r="AN2635">
        <v>1.0000000330260801</v>
      </c>
    </row>
    <row r="2636" spans="1:40" x14ac:dyDescent="0.25">
      <c r="A2636" t="str">
        <f>"20190312153938340"</f>
        <v>20190312153938340</v>
      </c>
      <c r="B2636" t="str">
        <f>"1552376378328660"</f>
        <v>1552376378328660</v>
      </c>
      <c r="C2636" t="s">
        <v>40</v>
      </c>
      <c r="D2636">
        <v>3.9857559999999999</v>
      </c>
      <c r="E2636">
        <v>0.50938289999999997</v>
      </c>
      <c r="F2636" t="s">
        <v>41</v>
      </c>
      <c r="G2636">
        <v>-297.88749999999999</v>
      </c>
      <c r="H2636">
        <v>0.87510379999999999</v>
      </c>
      <c r="I2636">
        <v>283.49400000000003</v>
      </c>
      <c r="J2636">
        <v>-297.29939999999999</v>
      </c>
      <c r="K2636">
        <v>1.1086940000000001</v>
      </c>
      <c r="L2636">
        <v>283.49160000000001</v>
      </c>
      <c r="M2636">
        <v>-0.99955959999999999</v>
      </c>
      <c r="N2636">
        <v>0</v>
      </c>
      <c r="O2636">
        <v>-2.7908720000000001E-2</v>
      </c>
      <c r="P2636">
        <v>-0.99982190000000004</v>
      </c>
      <c r="Q2636">
        <v>1.1658E-2</v>
      </c>
      <c r="R2636">
        <v>-1.484391E-2</v>
      </c>
      <c r="S2636">
        <v>-3.009979</v>
      </c>
      <c r="T2636">
        <v>-0.84941769999999905</v>
      </c>
      <c r="U2636">
        <v>-1.522827E-2</v>
      </c>
      <c r="V2636">
        <v>1.309429E-2</v>
      </c>
      <c r="W2636">
        <v>2.1742839999999999E-2</v>
      </c>
      <c r="X2636">
        <v>0.99967779999999995</v>
      </c>
      <c r="Y2636">
        <v>2.0944819999999999E-2</v>
      </c>
      <c r="Z2636">
        <v>1.062314E-2</v>
      </c>
      <c r="AA2636">
        <v>0.99972419999999995</v>
      </c>
      <c r="AB2636">
        <v>48</v>
      </c>
      <c r="AC2636">
        <v>-0.58809999999999696</v>
      </c>
      <c r="AD2636">
        <v>-0.2335902</v>
      </c>
      <c r="AE2636">
        <v>2.4000000000228201E-3</v>
      </c>
      <c r="AF2636">
        <v>1.62494833181865E-2</v>
      </c>
      <c r="AG2636">
        <v>-0.2335902</v>
      </c>
      <c r="AH2636">
        <v>0.50770747511479497</v>
      </c>
      <c r="AI2636">
        <v>114.69546398024301</v>
      </c>
      <c r="AJ2636">
        <v>88.166839858572203</v>
      </c>
      <c r="AK2636">
        <v>0.55910223352405697</v>
      </c>
      <c r="AL2636">
        <v>88.754128802979906</v>
      </c>
      <c r="AM2636">
        <v>89.249553555919803</v>
      </c>
      <c r="AN2636">
        <v>0.99999995766735394</v>
      </c>
    </row>
    <row r="2637" spans="1:40" x14ac:dyDescent="0.25">
      <c r="A2637" t="str">
        <f>"20190312153938352"</f>
        <v>20190312153938352</v>
      </c>
      <c r="B2637" t="str">
        <f>"1552376378348177"</f>
        <v>1552376378348177</v>
      </c>
      <c r="C2637" t="s">
        <v>40</v>
      </c>
      <c r="D2637">
        <v>4.1757879999999998</v>
      </c>
      <c r="E2637">
        <v>0.51007799999999903</v>
      </c>
      <c r="F2637" t="s">
        <v>41</v>
      </c>
      <c r="G2637">
        <v>-298.30779999999999</v>
      </c>
      <c r="H2637">
        <v>0.85441699999999998</v>
      </c>
      <c r="I2637">
        <v>283.48680000000002</v>
      </c>
      <c r="J2637">
        <v>-297.5521</v>
      </c>
      <c r="K2637">
        <v>1.108735</v>
      </c>
      <c r="L2637">
        <v>283.48469999999998</v>
      </c>
      <c r="M2637">
        <v>-0.99956290000000003</v>
      </c>
      <c r="N2637">
        <v>0</v>
      </c>
      <c r="O2637">
        <v>-2.7688049999999999E-2</v>
      </c>
      <c r="P2637">
        <v>-0.99982769999999999</v>
      </c>
      <c r="Q2637">
        <v>1.127951E-2</v>
      </c>
      <c r="R2637">
        <v>-1.475889E-2</v>
      </c>
      <c r="S2637">
        <v>-3.009125</v>
      </c>
      <c r="T2637">
        <v>-0.75871829999999996</v>
      </c>
      <c r="U2637">
        <v>-1.4953610000000001E-2</v>
      </c>
      <c r="V2637">
        <v>1.2959399999999999E-2</v>
      </c>
      <c r="W2637">
        <v>2.1632709999999999E-2</v>
      </c>
      <c r="X2637">
        <v>0.99968199999999996</v>
      </c>
      <c r="Y2637">
        <v>2.119213E-2</v>
      </c>
      <c r="Z2637">
        <v>9.5037260000000005E-3</v>
      </c>
      <c r="AA2637">
        <v>0.99973020000000001</v>
      </c>
      <c r="AB2637">
        <v>48</v>
      </c>
      <c r="AC2637">
        <v>-0.75569999999999005</v>
      </c>
      <c r="AD2637">
        <v>-0.25431799999999999</v>
      </c>
      <c r="AE2637">
        <v>2.1000000000412902E-3</v>
      </c>
      <c r="AF2637">
        <v>2.0681880360473401E-2</v>
      </c>
      <c r="AG2637">
        <v>-0.25431799999999999</v>
      </c>
      <c r="AH2637">
        <v>0.67850856041405505</v>
      </c>
      <c r="AI2637">
        <v>110.53821801630301</v>
      </c>
      <c r="AJ2637">
        <v>88.254085895032105</v>
      </c>
      <c r="AK2637">
        <v>0.72489947706864699</v>
      </c>
      <c r="AL2637">
        <v>88.760440337646997</v>
      </c>
      <c r="AM2637">
        <v>89.257286482042005</v>
      </c>
      <c r="AN2637">
        <v>1.0000000106571501</v>
      </c>
    </row>
    <row r="2638" spans="1:40" x14ac:dyDescent="0.25">
      <c r="A2638" t="str">
        <f>"20190312153938366"</f>
        <v>20190312153938366</v>
      </c>
      <c r="B2638" t="str">
        <f>"1552376378357937"</f>
        <v>1552376378357937</v>
      </c>
      <c r="C2638" t="s">
        <v>40</v>
      </c>
      <c r="D2638">
        <v>4.1490970000000003</v>
      </c>
      <c r="E2638">
        <v>0.50977740000000005</v>
      </c>
      <c r="F2638" t="s">
        <v>41</v>
      </c>
      <c r="G2638">
        <v>-298.34960000000001</v>
      </c>
      <c r="H2638">
        <v>0.94948299999999997</v>
      </c>
      <c r="I2638">
        <v>283.48480000000001</v>
      </c>
      <c r="J2638">
        <v>-297.85700000000003</v>
      </c>
      <c r="K2638">
        <v>1.1087769999999999</v>
      </c>
      <c r="L2638">
        <v>283.47640000000001</v>
      </c>
      <c r="M2638">
        <v>-0.99956710000000004</v>
      </c>
      <c r="N2638">
        <v>0</v>
      </c>
      <c r="O2638">
        <v>-2.741503E-2</v>
      </c>
      <c r="P2638">
        <v>-0.99982850000000001</v>
      </c>
      <c r="Q2638">
        <v>1.111763E-2</v>
      </c>
      <c r="R2638">
        <v>-1.483313E-2</v>
      </c>
      <c r="S2638">
        <v>-3.0072939999999999</v>
      </c>
      <c r="T2638">
        <v>-0.60051509999999997</v>
      </c>
      <c r="U2638" s="1">
        <v>-6.1035159999999999E-5</v>
      </c>
      <c r="V2638">
        <v>1.261309E-2</v>
      </c>
      <c r="W2638">
        <v>2.1786699999999999E-2</v>
      </c>
      <c r="X2638">
        <v>0.99968310000000005</v>
      </c>
      <c r="Y2638">
        <v>2.6335219999999999E-2</v>
      </c>
      <c r="Z2638">
        <v>8.0243780000000004E-3</v>
      </c>
      <c r="AA2638">
        <v>0.99962099999999998</v>
      </c>
      <c r="AB2638">
        <v>48</v>
      </c>
      <c r="AC2638">
        <v>-0.492599999999981</v>
      </c>
      <c r="AD2638">
        <v>-0.15929399999999999</v>
      </c>
      <c r="AE2638">
        <v>8.3999999999946305E-3</v>
      </c>
      <c r="AF2638">
        <v>1.9829295628617499E-2</v>
      </c>
      <c r="AG2638">
        <v>-0.15929399999999999</v>
      </c>
      <c r="AH2638">
        <v>0.44560124096322801</v>
      </c>
      <c r="AI2638">
        <v>109.65304997030699</v>
      </c>
      <c r="AJ2638">
        <v>87.452013619226307</v>
      </c>
      <c r="AK2638">
        <v>0.47363302814425501</v>
      </c>
      <c r="AL2638">
        <v>88.751615299109304</v>
      </c>
      <c r="AM2638">
        <v>89.277132443852906</v>
      </c>
      <c r="AN2638">
        <v>1.00000002538092</v>
      </c>
    </row>
    <row r="2639" spans="1:40" x14ac:dyDescent="0.25">
      <c r="A2639" t="str">
        <f>"20190312153938382"</f>
        <v>20190312153938382</v>
      </c>
      <c r="B2639" t="str">
        <f>"1552376378378433"</f>
        <v>1552376378378433</v>
      </c>
      <c r="C2639" t="s">
        <v>40</v>
      </c>
      <c r="D2639">
        <v>4.0574760000000003</v>
      </c>
      <c r="E2639">
        <v>0.51103109999999996</v>
      </c>
      <c r="F2639" t="s">
        <v>41</v>
      </c>
      <c r="G2639">
        <v>-298.77749999999997</v>
      </c>
      <c r="H2639">
        <v>0.94732709999999998</v>
      </c>
      <c r="I2639">
        <v>283.47699999999998</v>
      </c>
      <c r="J2639">
        <v>-298.17779999999999</v>
      </c>
      <c r="K2639">
        <v>1.108811</v>
      </c>
      <c r="L2639">
        <v>283.46780000000001</v>
      </c>
      <c r="M2639">
        <v>-0.9995716</v>
      </c>
      <c r="N2639">
        <v>0</v>
      </c>
      <c r="O2639">
        <v>-2.712003E-2</v>
      </c>
      <c r="P2639">
        <v>-0.99982990000000005</v>
      </c>
      <c r="Q2639">
        <v>1.0870660000000001E-2</v>
      </c>
      <c r="R2639">
        <v>-1.4900500000000001E-2</v>
      </c>
      <c r="S2639">
        <v>-3.0064090000000001</v>
      </c>
      <c r="T2639">
        <v>-0.52729349999999997</v>
      </c>
      <c r="U2639">
        <v>1.708984E-3</v>
      </c>
      <c r="V2639">
        <v>1.2251349999999999E-2</v>
      </c>
      <c r="W2639">
        <v>2.1862019999999999E-2</v>
      </c>
      <c r="X2639">
        <v>0.99968590000000002</v>
      </c>
      <c r="Y2639">
        <v>2.6865900000000002E-2</v>
      </c>
      <c r="Z2639">
        <v>7.0585650000000002E-3</v>
      </c>
      <c r="AA2639">
        <v>0.99961409999999995</v>
      </c>
      <c r="AB2639">
        <v>48</v>
      </c>
      <c r="AC2639">
        <v>-0.59969999999998402</v>
      </c>
      <c r="AD2639">
        <v>-0.16148389999999899</v>
      </c>
      <c r="AE2639">
        <v>9.2000000000211895E-3</v>
      </c>
      <c r="AF2639">
        <v>2.3740494391980799E-2</v>
      </c>
      <c r="AG2639">
        <v>-0.16148389999999899</v>
      </c>
      <c r="AH2639">
        <v>0.55872682846812705</v>
      </c>
      <c r="AI2639">
        <v>106.106636522765</v>
      </c>
      <c r="AJ2639">
        <v>87.566946226991902</v>
      </c>
      <c r="AK2639">
        <v>0.582079315800895</v>
      </c>
      <c r="AL2639">
        <v>88.747298684953904</v>
      </c>
      <c r="AM2639">
        <v>89.297863949531006</v>
      </c>
      <c r="AN2639">
        <v>0.99999997107705596</v>
      </c>
    </row>
    <row r="2640" spans="1:40" x14ac:dyDescent="0.25">
      <c r="A2640" t="str">
        <f>"20190312153938394"</f>
        <v>20190312153938394</v>
      </c>
      <c r="B2640" t="str">
        <f>"1552376378387951"</f>
        <v>1552376378387951</v>
      </c>
      <c r="C2640" t="s">
        <v>40</v>
      </c>
      <c r="D2640">
        <v>4.0327830000000002</v>
      </c>
      <c r="E2640">
        <v>0.51092119999999996</v>
      </c>
      <c r="F2640" t="s">
        <v>41</v>
      </c>
      <c r="G2640">
        <v>-299.2133</v>
      </c>
      <c r="H2640">
        <v>0.96230300000000002</v>
      </c>
      <c r="I2640">
        <v>283.4744</v>
      </c>
      <c r="J2640">
        <v>-298.47809999999998</v>
      </c>
      <c r="K2640">
        <v>1.1088359999999999</v>
      </c>
      <c r="L2640">
        <v>283.45979999999997</v>
      </c>
      <c r="M2640">
        <v>-0.99957620000000003</v>
      </c>
      <c r="N2640">
        <v>0</v>
      </c>
      <c r="O2640">
        <v>-2.6835410000000001E-2</v>
      </c>
      <c r="P2640">
        <v>-0.99984090000000003</v>
      </c>
      <c r="Q2640">
        <v>1.0435079999999999E-2</v>
      </c>
      <c r="R2640">
        <v>-1.447178E-2</v>
      </c>
      <c r="S2640">
        <v>-3.0054020000000001</v>
      </c>
      <c r="T2640">
        <v>-0.42541129999999999</v>
      </c>
      <c r="U2640">
        <v>1.7547610000000002E-2</v>
      </c>
      <c r="V2640">
        <v>1.2395969999999999E-2</v>
      </c>
      <c r="W2640">
        <v>2.1712809999999999E-2</v>
      </c>
      <c r="X2640">
        <v>0.9996874</v>
      </c>
      <c r="Y2640">
        <v>3.2085820000000001E-2</v>
      </c>
      <c r="Z2640">
        <v>6.0391999999999998E-3</v>
      </c>
      <c r="AA2640">
        <v>0.99946690000000005</v>
      </c>
      <c r="AB2640">
        <v>48</v>
      </c>
      <c r="AC2640">
        <v>-0.73520000000001995</v>
      </c>
      <c r="AD2640">
        <v>-0.146533</v>
      </c>
      <c r="AE2640">
        <v>1.46000000000299E-2</v>
      </c>
      <c r="AF2640">
        <v>3.3014421742502499E-2</v>
      </c>
      <c r="AG2640">
        <v>-0.146533</v>
      </c>
      <c r="AH2640">
        <v>0.706489405111837</v>
      </c>
      <c r="AI2640">
        <v>101.70515925616699</v>
      </c>
      <c r="AJ2640">
        <v>87.324500664243601</v>
      </c>
      <c r="AK2640">
        <v>0.72228052145082</v>
      </c>
      <c r="AL2640">
        <v>88.755849856708494</v>
      </c>
      <c r="AM2640">
        <v>89.289577555713905</v>
      </c>
      <c r="AN2640">
        <v>1.0000000019545401</v>
      </c>
    </row>
    <row r="2641" spans="1:40" x14ac:dyDescent="0.25">
      <c r="A2641" t="str">
        <f>"20190312153938408"</f>
        <v>20190312153938408</v>
      </c>
      <c r="B2641" t="str">
        <f>"1552376378398687"</f>
        <v>1552376378398687</v>
      </c>
      <c r="C2641" t="s">
        <v>40</v>
      </c>
      <c r="D2641">
        <v>4.0260629999999997</v>
      </c>
      <c r="E2641">
        <v>0.5105963</v>
      </c>
      <c r="F2641" t="s">
        <v>41</v>
      </c>
      <c r="G2641">
        <v>-299.23689999999999</v>
      </c>
      <c r="H2641">
        <v>1.011029</v>
      </c>
      <c r="I2641">
        <v>283.46550000000002</v>
      </c>
      <c r="J2641">
        <v>-298.75790000000001</v>
      </c>
      <c r="K2641">
        <v>1.108851</v>
      </c>
      <c r="L2641">
        <v>283.45249999999999</v>
      </c>
      <c r="M2641">
        <v>-0.99958049999999998</v>
      </c>
      <c r="N2641">
        <v>0</v>
      </c>
      <c r="O2641">
        <v>-2.6561959999999999E-2</v>
      </c>
      <c r="P2641">
        <v>-0.99984870000000003</v>
      </c>
      <c r="Q2641">
        <v>9.8975450000000006E-3</v>
      </c>
      <c r="R2641">
        <v>-1.4307530000000001E-2</v>
      </c>
      <c r="S2641">
        <v>-3.0048219999999999</v>
      </c>
      <c r="T2641">
        <v>-0.38754759999999999</v>
      </c>
      <c r="U2641">
        <v>2.0446780000000001E-2</v>
      </c>
      <c r="V2641">
        <v>1.2287269999999999E-2</v>
      </c>
      <c r="W2641">
        <v>2.1425340000000001E-2</v>
      </c>
      <c r="X2641">
        <v>0.99969490000000005</v>
      </c>
      <c r="Y2641">
        <v>3.2872930000000002E-2</v>
      </c>
      <c r="Z2641">
        <v>5.5227979999999998E-3</v>
      </c>
      <c r="AA2641">
        <v>0.99944429999999995</v>
      </c>
      <c r="AB2641">
        <v>48</v>
      </c>
      <c r="AC2641">
        <v>-0.47899999999998399</v>
      </c>
      <c r="AD2641">
        <v>-9.7821999999999798E-2</v>
      </c>
      <c r="AE2641">
        <v>1.3000000000033599E-2</v>
      </c>
      <c r="AF2641">
        <v>2.4690449153042401E-2</v>
      </c>
      <c r="AG2641">
        <v>-9.7821999999999798E-2</v>
      </c>
      <c r="AH2641">
        <v>0.45934226023184499</v>
      </c>
      <c r="AI2641">
        <v>102.00534379908601</v>
      </c>
      <c r="AJ2641">
        <v>86.923212654537195</v>
      </c>
      <c r="AK2641">
        <v>0.47029147770109497</v>
      </c>
      <c r="AL2641">
        <v>88.772324452715495</v>
      </c>
      <c r="AM2641">
        <v>89.295811887593999</v>
      </c>
      <c r="AN2641">
        <v>0.99999995764208804</v>
      </c>
    </row>
    <row r="2642" spans="1:40" x14ac:dyDescent="0.25">
      <c r="A2642" t="str">
        <f>"20190312153938421"</f>
        <v>20190312153938421</v>
      </c>
      <c r="B2642" t="str">
        <f>"1552376378408447"</f>
        <v>1552376378408447</v>
      </c>
      <c r="C2642" t="s">
        <v>40</v>
      </c>
      <c r="D2642">
        <v>4.0665139999999997</v>
      </c>
      <c r="E2642">
        <v>0.5104436</v>
      </c>
      <c r="F2642" t="s">
        <v>41</v>
      </c>
      <c r="G2642">
        <v>-299.6601</v>
      </c>
      <c r="H2642">
        <v>1.0005759999999999</v>
      </c>
      <c r="I2642">
        <v>283.45850000000002</v>
      </c>
      <c r="J2642">
        <v>-299.03269999999998</v>
      </c>
      <c r="K2642">
        <v>1.108862</v>
      </c>
      <c r="L2642">
        <v>283.44529999999997</v>
      </c>
      <c r="M2642">
        <v>-0.9995851</v>
      </c>
      <c r="N2642">
        <v>0</v>
      </c>
      <c r="O2642">
        <v>-2.6289179999999999E-2</v>
      </c>
      <c r="P2642">
        <v>-0.99985840000000004</v>
      </c>
      <c r="Q2642">
        <v>9.4458960000000005E-3</v>
      </c>
      <c r="R2642">
        <v>-1.394391E-2</v>
      </c>
      <c r="S2642">
        <v>-3.0043030000000002</v>
      </c>
      <c r="T2642">
        <v>-0.36051480000000002</v>
      </c>
      <c r="U2642">
        <v>1.9989010000000001E-2</v>
      </c>
      <c r="V2642">
        <v>1.2378470000000001E-2</v>
      </c>
      <c r="W2642">
        <v>2.1208899999999999E-2</v>
      </c>
      <c r="X2642">
        <v>0.99969850000000005</v>
      </c>
      <c r="Y2642">
        <v>3.2519550000000001E-2</v>
      </c>
      <c r="Z2642">
        <v>5.087561E-3</v>
      </c>
      <c r="AA2642">
        <v>0.99945810000000002</v>
      </c>
      <c r="AB2642">
        <v>48</v>
      </c>
      <c r="AC2642">
        <v>-0.62740000000002205</v>
      </c>
      <c r="AD2642">
        <v>-0.10828599999999899</v>
      </c>
      <c r="AE2642">
        <v>1.32000000000402E-2</v>
      </c>
      <c r="AF2642">
        <v>2.88319177518646E-2</v>
      </c>
      <c r="AG2642">
        <v>-0.10828599999999899</v>
      </c>
      <c r="AH2642">
        <v>0.60871122467261995</v>
      </c>
      <c r="AI2642">
        <v>100.075981573338</v>
      </c>
      <c r="AJ2642">
        <v>87.288182935881096</v>
      </c>
      <c r="AK2642">
        <v>0.61893981316416502</v>
      </c>
      <c r="AL2642">
        <v>88.784728503837798</v>
      </c>
      <c r="AM2642">
        <v>89.290588267542901</v>
      </c>
      <c r="AN2642">
        <v>1.0000000674304901</v>
      </c>
    </row>
    <row r="2643" spans="1:40" x14ac:dyDescent="0.25">
      <c r="A2643" t="str">
        <f>"20190312153938437"</f>
        <v>20190312153938437</v>
      </c>
      <c r="B2643" t="str">
        <f>"1552376378427970"</f>
        <v>1552376378427970</v>
      </c>
      <c r="C2643" t="s">
        <v>40</v>
      </c>
      <c r="D2643">
        <v>4.0297859999999996</v>
      </c>
      <c r="E2643">
        <v>0.5102198</v>
      </c>
      <c r="F2643" t="s">
        <v>41</v>
      </c>
      <c r="G2643">
        <v>-300.08269999999999</v>
      </c>
      <c r="H2643">
        <v>0.98946829999999997</v>
      </c>
      <c r="I2643">
        <v>283.45299999999997</v>
      </c>
      <c r="J2643">
        <v>-299.38830000000002</v>
      </c>
      <c r="K2643">
        <v>1.108868</v>
      </c>
      <c r="L2643">
        <v>283.43619999999999</v>
      </c>
      <c r="M2643">
        <v>-0.99959109999999995</v>
      </c>
      <c r="N2643">
        <v>0</v>
      </c>
      <c r="O2643">
        <v>-2.592556E-2</v>
      </c>
      <c r="P2643">
        <v>-0.99987079999999995</v>
      </c>
      <c r="Q2643">
        <v>8.8795869999999995E-3</v>
      </c>
      <c r="R2643">
        <v>-1.3406970000000001E-2</v>
      </c>
      <c r="S2643">
        <v>-3.0039669999999998</v>
      </c>
      <c r="T2643">
        <v>-0.34167049999999999</v>
      </c>
      <c r="U2643">
        <v>2.0996089999999999E-2</v>
      </c>
      <c r="V2643">
        <v>1.255232E-2</v>
      </c>
      <c r="W2643">
        <v>2.092716E-2</v>
      </c>
      <c r="X2643">
        <v>0.99970219999999999</v>
      </c>
      <c r="Y2643">
        <v>3.2536820000000001E-2</v>
      </c>
      <c r="Z2643">
        <v>4.7836850000000002E-3</v>
      </c>
      <c r="AA2643">
        <v>0.99945910000000004</v>
      </c>
      <c r="AB2643">
        <v>48</v>
      </c>
      <c r="AC2643">
        <v>-0.69439999999997304</v>
      </c>
      <c r="AD2643">
        <v>-0.119399699999999</v>
      </c>
      <c r="AE2643">
        <v>1.6799999999989199E-2</v>
      </c>
      <c r="AF2643">
        <v>3.3799647890711298E-2</v>
      </c>
      <c r="AG2643">
        <v>-0.119399699999999</v>
      </c>
      <c r="AH2643">
        <v>0.67382070509818703</v>
      </c>
      <c r="AI2643">
        <v>100.036034073102</v>
      </c>
      <c r="AJ2643">
        <v>87.128382416933903</v>
      </c>
      <c r="AK2643">
        <v>0.68515184242373794</v>
      </c>
      <c r="AL2643">
        <v>88.800874515839098</v>
      </c>
      <c r="AM2643">
        <v>89.280628603328907</v>
      </c>
      <c r="AN2643">
        <v>0.99999999772394399</v>
      </c>
    </row>
    <row r="2644" spans="1:40" x14ac:dyDescent="0.25">
      <c r="A2644" t="str">
        <f>"20190312153938449"</f>
        <v>20190312153938449</v>
      </c>
      <c r="B2644" t="str">
        <f>"1552376378438703"</f>
        <v>1552376378438703</v>
      </c>
      <c r="C2644" t="s">
        <v>40</v>
      </c>
      <c r="D2644">
        <v>4.0682679999999998</v>
      </c>
      <c r="E2644">
        <v>0.51043039999999995</v>
      </c>
      <c r="F2644" t="s">
        <v>41</v>
      </c>
      <c r="G2644">
        <v>-300.51159999999999</v>
      </c>
      <c r="H2644">
        <v>0.99194649999999995</v>
      </c>
      <c r="I2644">
        <v>283.44479999999999</v>
      </c>
      <c r="J2644">
        <v>-299.65039999999999</v>
      </c>
      <c r="K2644">
        <v>1.10887</v>
      </c>
      <c r="L2644">
        <v>283.42970000000003</v>
      </c>
      <c r="M2644">
        <v>-0.99959580000000003</v>
      </c>
      <c r="N2644">
        <v>0</v>
      </c>
      <c r="O2644">
        <v>-2.565021E-2</v>
      </c>
      <c r="P2644">
        <v>-0.99987749999999997</v>
      </c>
      <c r="Q2644">
        <v>8.7481090000000004E-3</v>
      </c>
      <c r="R2644">
        <v>-1.297682E-2</v>
      </c>
      <c r="S2644">
        <v>-3.003479</v>
      </c>
      <c r="T2644">
        <v>-0.31268259999999998</v>
      </c>
      <c r="U2644">
        <v>2.267456E-2</v>
      </c>
      <c r="V2644">
        <v>1.270752E-2</v>
      </c>
      <c r="W2644">
        <v>2.0986749999999998E-2</v>
      </c>
      <c r="X2644">
        <v>0.999699</v>
      </c>
      <c r="Y2644">
        <v>3.2881819999999999E-2</v>
      </c>
      <c r="Z2644">
        <v>4.3701460000000001E-3</v>
      </c>
      <c r="AA2644">
        <v>0.9994497</v>
      </c>
      <c r="AB2644">
        <v>48</v>
      </c>
      <c r="AC2644">
        <v>-0.86119999999999597</v>
      </c>
      <c r="AD2644">
        <v>-0.116923499999999</v>
      </c>
      <c r="AE2644">
        <v>1.50999999999612E-2</v>
      </c>
      <c r="AF2644">
        <v>3.6513800839056899E-2</v>
      </c>
      <c r="AG2644">
        <v>-0.116923499999999</v>
      </c>
      <c r="AH2644">
        <v>0.84495893239525399</v>
      </c>
      <c r="AI2644">
        <v>97.871174009339896</v>
      </c>
      <c r="AJ2644">
        <v>87.525576938365901</v>
      </c>
      <c r="AK2644">
        <v>0.85379152018422599</v>
      </c>
      <c r="AL2644">
        <v>88.797459522285394</v>
      </c>
      <c r="AM2644">
        <v>89.271732738047106</v>
      </c>
      <c r="AN2644">
        <v>1.00000000767055</v>
      </c>
    </row>
    <row r="2645" spans="1:40" x14ac:dyDescent="0.25">
      <c r="A2645" t="str">
        <f>"20190312153938462"</f>
        <v>20190312153938462</v>
      </c>
      <c r="B2645" t="str">
        <f>"1552376378458223"</f>
        <v>1552376378458223</v>
      </c>
      <c r="C2645" t="s">
        <v>40</v>
      </c>
      <c r="D2645">
        <v>4.0842140000000002</v>
      </c>
      <c r="E2645">
        <v>0.51038030000000001</v>
      </c>
      <c r="F2645" t="s">
        <v>41</v>
      </c>
      <c r="G2645">
        <v>-300.52600000000001</v>
      </c>
      <c r="H2645">
        <v>1.0213380000000001</v>
      </c>
      <c r="I2645">
        <v>283.4375</v>
      </c>
      <c r="J2645">
        <v>-299.90690000000001</v>
      </c>
      <c r="K2645">
        <v>1.108868</v>
      </c>
      <c r="L2645">
        <v>283.42320000000001</v>
      </c>
      <c r="M2645">
        <v>-0.99960059999999995</v>
      </c>
      <c r="N2645">
        <v>0</v>
      </c>
      <c r="O2645">
        <v>-2.5378169999999999E-2</v>
      </c>
      <c r="P2645">
        <v>-0.99988600000000005</v>
      </c>
      <c r="Q2645">
        <v>8.6113439999999999E-3</v>
      </c>
      <c r="R2645">
        <v>-1.240104E-2</v>
      </c>
      <c r="S2645">
        <v>-3.0033259999999999</v>
      </c>
      <c r="T2645">
        <v>-0.30033270000000001</v>
      </c>
      <c r="U2645">
        <v>2.658081E-2</v>
      </c>
      <c r="V2645">
        <v>1.301195E-2</v>
      </c>
      <c r="W2645">
        <v>2.1029180000000001E-2</v>
      </c>
      <c r="X2645">
        <v>0.99969419999999998</v>
      </c>
      <c r="Y2645">
        <v>3.3930599999999998E-2</v>
      </c>
      <c r="Z2645">
        <v>4.2237940000000003E-3</v>
      </c>
      <c r="AA2645">
        <v>0.99941530000000001</v>
      </c>
      <c r="AB2645">
        <v>48</v>
      </c>
      <c r="AC2645">
        <v>-0.61910000000000298</v>
      </c>
      <c r="AD2645">
        <v>-8.7530000000000094E-2</v>
      </c>
      <c r="AE2645">
        <v>1.42999999999915E-2</v>
      </c>
      <c r="AF2645">
        <v>2.9420459610060099E-2</v>
      </c>
      <c r="AG2645">
        <v>-8.7530000000000094E-2</v>
      </c>
      <c r="AH2645">
        <v>0.60642229066946296</v>
      </c>
      <c r="AI2645">
        <v>98.203738019187597</v>
      </c>
      <c r="AJ2645">
        <v>87.222484156599705</v>
      </c>
      <c r="AK2645">
        <v>0.61341263352205699</v>
      </c>
      <c r="AL2645">
        <v>88.795027935041901</v>
      </c>
      <c r="AM2645">
        <v>89.254284238778396</v>
      </c>
      <c r="AN2645">
        <v>1.0000000153839499</v>
      </c>
    </row>
    <row r="2646" spans="1:40" x14ac:dyDescent="0.25">
      <c r="A2646" t="str">
        <f>"20190312153938473"</f>
        <v>20190312153938473</v>
      </c>
      <c r="B2646" t="str">
        <f>"1552376378467982"</f>
        <v>1552376378467982</v>
      </c>
      <c r="C2646" t="s">
        <v>40</v>
      </c>
      <c r="D2646">
        <v>4.0701260000000001</v>
      </c>
      <c r="E2646">
        <v>0.51026359999999904</v>
      </c>
      <c r="F2646" t="s">
        <v>41</v>
      </c>
      <c r="G2646">
        <v>-300.94889999999998</v>
      </c>
      <c r="H2646">
        <v>1.0122690000000001</v>
      </c>
      <c r="I2646">
        <v>283.43349999999998</v>
      </c>
      <c r="J2646">
        <v>-300.16719999999998</v>
      </c>
      <c r="K2646">
        <v>1.1088709999999999</v>
      </c>
      <c r="L2646">
        <v>283.41680000000002</v>
      </c>
      <c r="M2646">
        <v>-0.99960550000000004</v>
      </c>
      <c r="N2646">
        <v>0</v>
      </c>
      <c r="O2646">
        <v>-2.5098220000000001E-2</v>
      </c>
      <c r="P2646">
        <v>-0.99988730000000003</v>
      </c>
      <c r="Q2646">
        <v>8.8973100000000003E-3</v>
      </c>
      <c r="R2646">
        <v>-1.209881E-2</v>
      </c>
      <c r="S2646">
        <v>-3.0031129999999999</v>
      </c>
      <c r="T2646">
        <v>-0.27844940000000001</v>
      </c>
      <c r="U2646">
        <v>2.9266360000000002E-2</v>
      </c>
      <c r="V2646">
        <v>1.303526E-2</v>
      </c>
      <c r="W2646">
        <v>2.1485890000000001E-2</v>
      </c>
      <c r="X2646">
        <v>0.99968420000000002</v>
      </c>
      <c r="Y2646">
        <v>3.458485E-2</v>
      </c>
      <c r="Z2646">
        <v>3.9220390000000004E-3</v>
      </c>
      <c r="AA2646">
        <v>0.99939409999999895</v>
      </c>
      <c r="AB2646">
        <v>48</v>
      </c>
      <c r="AC2646">
        <v>-0.78169999999999995</v>
      </c>
      <c r="AD2646">
        <v>-9.6601999999999799E-2</v>
      </c>
      <c r="AE2646">
        <v>1.6699999999957499E-2</v>
      </c>
      <c r="AF2646">
        <v>3.5769557673929302E-2</v>
      </c>
      <c r="AG2646">
        <v>-9.6601999999999799E-2</v>
      </c>
      <c r="AH2646">
        <v>0.769291391133891</v>
      </c>
      <c r="AI2646">
        <v>97.149678375308099</v>
      </c>
      <c r="AJ2646">
        <v>87.337849227504904</v>
      </c>
      <c r="AK2646">
        <v>0.77615762067566296</v>
      </c>
      <c r="AL2646">
        <v>88.768854484154105</v>
      </c>
      <c r="AM2646">
        <v>89.252941020289597</v>
      </c>
      <c r="AN2646">
        <v>1.00000003060099</v>
      </c>
    </row>
    <row r="2647" spans="1:40" x14ac:dyDescent="0.25">
      <c r="A2647" t="str">
        <f>"20190312153938486"</f>
        <v>20190312153938486</v>
      </c>
      <c r="B2647" t="str">
        <f>"1552376378478719"</f>
        <v>1552376378478719</v>
      </c>
      <c r="C2647" t="s">
        <v>40</v>
      </c>
      <c r="D2647">
        <v>4.1177279999999996</v>
      </c>
      <c r="E2647">
        <v>0.51011700000000004</v>
      </c>
      <c r="F2647" t="s">
        <v>41</v>
      </c>
      <c r="G2647">
        <v>-300.96140000000003</v>
      </c>
      <c r="H2647">
        <v>1.037868</v>
      </c>
      <c r="I2647">
        <v>283.4248</v>
      </c>
      <c r="J2647">
        <v>-300.4264</v>
      </c>
      <c r="K2647">
        <v>1.10887</v>
      </c>
      <c r="L2647">
        <v>283.41050000000001</v>
      </c>
      <c r="M2647">
        <v>-0.99961060000000002</v>
      </c>
      <c r="N2647">
        <v>0</v>
      </c>
      <c r="O2647">
        <v>-2.4815250000000001E-2</v>
      </c>
      <c r="P2647">
        <v>-0.99989399999999995</v>
      </c>
      <c r="Q2647">
        <v>8.8329740000000004E-3</v>
      </c>
      <c r="R2647">
        <v>-1.158962E-2</v>
      </c>
      <c r="S2647">
        <v>-3.003082</v>
      </c>
      <c r="T2647">
        <v>-0.2685398</v>
      </c>
      <c r="U2647">
        <v>2.9785160000000001E-2</v>
      </c>
      <c r="V2647">
        <v>1.3262289999999999E-2</v>
      </c>
      <c r="W2647">
        <v>2.1577889999999999E-2</v>
      </c>
      <c r="X2647">
        <v>0.99967919999999999</v>
      </c>
      <c r="Y2647">
        <v>3.4494070000000002E-2</v>
      </c>
      <c r="Z2647">
        <v>3.7537640000000001E-3</v>
      </c>
      <c r="AA2647">
        <v>0.99939789999999995</v>
      </c>
      <c r="AB2647">
        <v>48</v>
      </c>
      <c r="AC2647">
        <v>-0.53500000000002501</v>
      </c>
      <c r="AD2647">
        <v>-7.1001999999999996E-2</v>
      </c>
      <c r="AE2647">
        <v>1.42999999999915E-2</v>
      </c>
      <c r="AF2647">
        <v>2.7095935279562399E-2</v>
      </c>
      <c r="AG2647">
        <v>-7.1001999999999996E-2</v>
      </c>
      <c r="AH2647">
        <v>0.52523595326426897</v>
      </c>
      <c r="AI2647">
        <v>97.688539310156003</v>
      </c>
      <c r="AJ2647">
        <v>87.046836390885304</v>
      </c>
      <c r="AK2647">
        <v>0.530705455327246</v>
      </c>
      <c r="AL2647">
        <v>88.763582010295096</v>
      </c>
      <c r="AM2647">
        <v>89.239927499900801</v>
      </c>
      <c r="AN2647">
        <v>0.99999999829276798</v>
      </c>
    </row>
    <row r="2648" spans="1:40" x14ac:dyDescent="0.25">
      <c r="A2648" t="str">
        <f>"20190312153938504"</f>
        <v>20190312153938504</v>
      </c>
      <c r="B2648" t="str">
        <f>"1552376378498239"</f>
        <v>1552376378498239</v>
      </c>
      <c r="C2648" t="s">
        <v>40</v>
      </c>
      <c r="D2648">
        <v>4.1047079999999996</v>
      </c>
      <c r="E2648">
        <v>0.50981860000000001</v>
      </c>
      <c r="F2648" t="s">
        <v>41</v>
      </c>
      <c r="G2648">
        <v>-301.38260000000002</v>
      </c>
      <c r="H2648">
        <v>1.0261119999999999</v>
      </c>
      <c r="I2648">
        <v>283.42039999999997</v>
      </c>
      <c r="J2648">
        <v>-300.79230000000001</v>
      </c>
      <c r="K2648">
        <v>1.10887</v>
      </c>
      <c r="L2648">
        <v>283.40170000000001</v>
      </c>
      <c r="M2648">
        <v>-0.99961789999999995</v>
      </c>
      <c r="N2648">
        <v>0</v>
      </c>
      <c r="O2648">
        <v>-2.4411780000000001E-2</v>
      </c>
      <c r="P2648">
        <v>-0.99988779999999999</v>
      </c>
      <c r="Q2648">
        <v>9.7779949999999994E-3</v>
      </c>
      <c r="R2648">
        <v>-1.134603E-2</v>
      </c>
      <c r="S2648">
        <v>-3.0029599999999999</v>
      </c>
      <c r="T2648">
        <v>-0.25992159999999997</v>
      </c>
      <c r="U2648">
        <v>3.0944820000000001E-2</v>
      </c>
      <c r="V2648">
        <v>1.3104309999999999E-2</v>
      </c>
      <c r="W2648">
        <v>2.2729650000000001E-2</v>
      </c>
      <c r="X2648">
        <v>0.99965579999999998</v>
      </c>
      <c r="Y2648">
        <v>3.4493459999999997E-2</v>
      </c>
      <c r="Z2648">
        <v>3.5990200000000001E-3</v>
      </c>
      <c r="AA2648">
        <v>0.99939849999999997</v>
      </c>
      <c r="AB2648">
        <v>48</v>
      </c>
      <c r="AC2648">
        <v>-0.59030000000001304</v>
      </c>
      <c r="AD2648">
        <v>-8.2757999999999804E-2</v>
      </c>
      <c r="AE2648">
        <v>1.8699999999967E-2</v>
      </c>
      <c r="AF2648">
        <v>3.2468383169196598E-2</v>
      </c>
      <c r="AG2648">
        <v>-8.2757999999999804E-2</v>
      </c>
      <c r="AH2648">
        <v>0.57831215009567905</v>
      </c>
      <c r="AI2648">
        <v>98.131253514148497</v>
      </c>
      <c r="AJ2648">
        <v>86.786596291526493</v>
      </c>
      <c r="AK2648">
        <v>0.58510514048152795</v>
      </c>
      <c r="AL2648">
        <v>88.697574872998899</v>
      </c>
      <c r="AM2648">
        <v>89.248962839513297</v>
      </c>
      <c r="AN2648">
        <v>1.0000000392016599</v>
      </c>
    </row>
    <row r="2649" spans="1:40" x14ac:dyDescent="0.25">
      <c r="A2649" t="str">
        <f>"20190312153938516"</f>
        <v>20190312153938516</v>
      </c>
      <c r="B2649" t="str">
        <f>"1552376378507998"</f>
        <v>1552376378507998</v>
      </c>
      <c r="C2649" t="s">
        <v>40</v>
      </c>
      <c r="D2649">
        <v>4.0945839999999896</v>
      </c>
      <c r="E2649">
        <v>0.50943000000000005</v>
      </c>
      <c r="F2649" t="s">
        <v>41</v>
      </c>
      <c r="G2649">
        <v>-301.80959999999999</v>
      </c>
      <c r="H2649">
        <v>1.026678</v>
      </c>
      <c r="I2649">
        <v>283.41210000000001</v>
      </c>
      <c r="J2649">
        <v>-301.07780000000002</v>
      </c>
      <c r="K2649">
        <v>1.1088690000000001</v>
      </c>
      <c r="L2649">
        <v>283.39490000000001</v>
      </c>
      <c r="M2649">
        <v>-0.9996237</v>
      </c>
      <c r="N2649">
        <v>0</v>
      </c>
      <c r="O2649">
        <v>-2.4094239999999999E-2</v>
      </c>
      <c r="P2649">
        <v>-0.99988600000000005</v>
      </c>
      <c r="Q2649">
        <v>9.9682569999999995E-3</v>
      </c>
      <c r="R2649">
        <v>-1.1348159999999999E-2</v>
      </c>
      <c r="S2649">
        <v>-3.003082</v>
      </c>
      <c r="T2649">
        <v>-0.2428005</v>
      </c>
      <c r="U2649">
        <v>2.996826E-2</v>
      </c>
      <c r="V2649">
        <v>1.278545E-2</v>
      </c>
      <c r="W2649">
        <v>2.307002E-2</v>
      </c>
      <c r="X2649">
        <v>0.99965210000000004</v>
      </c>
      <c r="Y2649">
        <v>3.3881710000000002E-2</v>
      </c>
      <c r="Z2649">
        <v>3.3123029999999999E-3</v>
      </c>
      <c r="AA2649">
        <v>0.99942030000000004</v>
      </c>
      <c r="AB2649">
        <v>48</v>
      </c>
      <c r="AC2649">
        <v>-0.73179999999996403</v>
      </c>
      <c r="AD2649">
        <v>-8.2191000000000097E-2</v>
      </c>
      <c r="AE2649">
        <v>1.7200000000002501E-2</v>
      </c>
      <c r="AF2649">
        <v>3.4395056009063403E-2</v>
      </c>
      <c r="AG2649">
        <v>-8.2191000000000097E-2</v>
      </c>
      <c r="AH2649">
        <v>0.72206967289969604</v>
      </c>
      <c r="AI2649">
        <v>96.486562905245194</v>
      </c>
      <c r="AJ2649">
        <v>87.272835090861804</v>
      </c>
      <c r="AK2649">
        <v>0.72754586994933901</v>
      </c>
      <c r="AL2649">
        <v>88.678067951611695</v>
      </c>
      <c r="AM2649">
        <v>89.267232686166395</v>
      </c>
      <c r="AN2649">
        <v>1.0000000072944499</v>
      </c>
    </row>
    <row r="2650" spans="1:40" x14ac:dyDescent="0.25">
      <c r="A2650" t="str">
        <f>"20190312153938528"</f>
        <v>20190312153938528</v>
      </c>
      <c r="B2650" t="str">
        <f>"1552376378518735"</f>
        <v>1552376378518735</v>
      </c>
      <c r="C2650" t="s">
        <v>40</v>
      </c>
      <c r="D2650">
        <v>4.1233329999999997</v>
      </c>
      <c r="E2650">
        <v>0.50915480000000002</v>
      </c>
      <c r="F2650" t="s">
        <v>62</v>
      </c>
      <c r="G2650">
        <v>-315.14210000000003</v>
      </c>
      <c r="H2650" s="1">
        <v>4.5929950000000004E-6</v>
      </c>
      <c r="I2650">
        <v>283.52140000000003</v>
      </c>
      <c r="J2650">
        <v>-301.31810000000002</v>
      </c>
      <c r="K2650">
        <v>1.1088690000000001</v>
      </c>
      <c r="L2650">
        <v>283.38929999999999</v>
      </c>
      <c r="M2650">
        <v>-0.99962850000000003</v>
      </c>
      <c r="N2650">
        <v>0</v>
      </c>
      <c r="O2650">
        <v>-2.3824080000000001E-2</v>
      </c>
      <c r="P2650">
        <v>-0.99988279999999996</v>
      </c>
      <c r="Q2650">
        <v>1.0187389999999999E-2</v>
      </c>
      <c r="R2650">
        <v>-1.143753E-2</v>
      </c>
      <c r="S2650">
        <v>-3.0030209999999999</v>
      </c>
      <c r="T2650">
        <v>-0.2367659</v>
      </c>
      <c r="U2650">
        <v>2.700806E-2</v>
      </c>
      <c r="V2650">
        <v>1.242681E-2</v>
      </c>
      <c r="W2650">
        <v>2.3402289999999999E-2</v>
      </c>
      <c r="X2650">
        <v>0.99964889999999995</v>
      </c>
      <c r="Y2650">
        <v>3.2640700000000002E-2</v>
      </c>
      <c r="Z2650">
        <v>3.1602039999999998E-3</v>
      </c>
      <c r="AA2650">
        <v>0.99946210000000002</v>
      </c>
      <c r="AB2650">
        <v>48</v>
      </c>
      <c r="AC2650">
        <v>-13.824</v>
      </c>
      <c r="AD2650">
        <v>-1.108864407005</v>
      </c>
      <c r="AE2650">
        <v>0.13210000000003599</v>
      </c>
      <c r="AF2650">
        <v>0.45848576266713098</v>
      </c>
      <c r="AG2650">
        <v>-1.108864407005</v>
      </c>
      <c r="AH2650">
        <v>13.7286046767999</v>
      </c>
      <c r="AI2650">
        <v>94.615214647335605</v>
      </c>
      <c r="AJ2650">
        <v>88.087239009041895</v>
      </c>
      <c r="AK2650">
        <v>13.780942487346101</v>
      </c>
      <c r="AL2650">
        <v>88.659025142506707</v>
      </c>
      <c r="AM2650">
        <v>89.287782847633906</v>
      </c>
      <c r="AN2650">
        <v>1.0000000080276099</v>
      </c>
    </row>
    <row r="2651" spans="1:40" x14ac:dyDescent="0.25">
      <c r="A2651" t="str">
        <f>"20190312153938540"</f>
        <v>20190312153938540</v>
      </c>
      <c r="B2651" t="str">
        <f>"1552376378528495"</f>
        <v>1552376378528495</v>
      </c>
      <c r="C2651" t="s">
        <v>40</v>
      </c>
      <c r="D2651">
        <v>4.1307429999999998</v>
      </c>
      <c r="E2651">
        <v>0.50892519999999997</v>
      </c>
      <c r="F2651" t="s">
        <v>41</v>
      </c>
      <c r="G2651">
        <v>-302.24149999999997</v>
      </c>
      <c r="H2651">
        <v>1.0380069999999999</v>
      </c>
      <c r="I2651">
        <v>283.3972</v>
      </c>
      <c r="J2651">
        <v>-301.57209999999998</v>
      </c>
      <c r="K2651">
        <v>1.108867</v>
      </c>
      <c r="L2651">
        <v>283.38350000000003</v>
      </c>
      <c r="M2651">
        <v>-0.99963380000000002</v>
      </c>
      <c r="N2651">
        <v>0</v>
      </c>
      <c r="O2651">
        <v>-2.3538099999999999E-2</v>
      </c>
      <c r="P2651">
        <v>-0.99987720000000002</v>
      </c>
      <c r="Q2651">
        <v>1.076326E-2</v>
      </c>
      <c r="R2651">
        <v>-1.141138E-2</v>
      </c>
      <c r="S2651">
        <v>-3.0029910000000002</v>
      </c>
      <c r="T2651">
        <v>-0.2305864</v>
      </c>
      <c r="U2651">
        <v>2.502441E-2</v>
      </c>
      <c r="V2651">
        <v>1.216831E-2</v>
      </c>
      <c r="W2651">
        <v>2.4093509999999999E-2</v>
      </c>
      <c r="X2651">
        <v>0.99963559999999996</v>
      </c>
      <c r="Y2651">
        <v>3.1707329999999999E-2</v>
      </c>
      <c r="Z2651">
        <v>3.0203019999999999E-3</v>
      </c>
      <c r="AA2651">
        <v>0.99949259999999995</v>
      </c>
      <c r="AB2651">
        <v>48</v>
      </c>
      <c r="AC2651">
        <v>-0.669399999999996</v>
      </c>
      <c r="AD2651">
        <v>-7.0860000000000103E-2</v>
      </c>
      <c r="AE2651">
        <v>1.3699999999971599E-2</v>
      </c>
      <c r="AF2651">
        <v>2.9127757854094799E-2</v>
      </c>
      <c r="AG2651">
        <v>-7.0860000000000103E-2</v>
      </c>
      <c r="AH2651">
        <v>0.66148286591211403</v>
      </c>
      <c r="AI2651">
        <v>96.108501763316994</v>
      </c>
      <c r="AJ2651">
        <v>87.478664574811305</v>
      </c>
      <c r="AK2651">
        <v>0.66590475878530198</v>
      </c>
      <c r="AL2651">
        <v>88.619409899345598</v>
      </c>
      <c r="AM2651">
        <v>89.302587488699302</v>
      </c>
      <c r="AN2651">
        <v>0.99999994888986599</v>
      </c>
    </row>
    <row r="2652" spans="1:40" x14ac:dyDescent="0.25">
      <c r="A2652" t="str">
        <f>"20190312153938552"</f>
        <v>20190312153938552</v>
      </c>
      <c r="B2652" t="str">
        <f>"1552376378538254"</f>
        <v>1552376378538254</v>
      </c>
      <c r="C2652" t="s">
        <v>40</v>
      </c>
      <c r="D2652">
        <v>4.1097449999999904</v>
      </c>
      <c r="E2652">
        <v>0.50872470000000003</v>
      </c>
      <c r="F2652" t="s">
        <v>41</v>
      </c>
      <c r="G2652">
        <v>-302.66230000000002</v>
      </c>
      <c r="H2652">
        <v>1.0274719999999999</v>
      </c>
      <c r="I2652">
        <v>283.39210000000003</v>
      </c>
      <c r="J2652">
        <v>-301.84500000000003</v>
      </c>
      <c r="K2652">
        <v>1.108867</v>
      </c>
      <c r="L2652">
        <v>283.37720000000002</v>
      </c>
      <c r="M2652">
        <v>-0.99963959999999996</v>
      </c>
      <c r="N2652">
        <v>0</v>
      </c>
      <c r="O2652">
        <v>-2.3229110000000001E-2</v>
      </c>
      <c r="P2652">
        <v>-0.99987630000000005</v>
      </c>
      <c r="Q2652">
        <v>1.089593E-2</v>
      </c>
      <c r="R2652">
        <v>-1.136101E-2</v>
      </c>
      <c r="S2652">
        <v>-3.0030519999999998</v>
      </c>
      <c r="T2652">
        <v>-0.22436490000000001</v>
      </c>
      <c r="U2652">
        <v>2.319336E-2</v>
      </c>
      <c r="V2652">
        <v>1.1910270000000001E-2</v>
      </c>
      <c r="W2652">
        <v>2.433948E-2</v>
      </c>
      <c r="X2652">
        <v>0.99963279999999999</v>
      </c>
      <c r="Y2652">
        <v>3.0800890000000001E-2</v>
      </c>
      <c r="Z2652">
        <v>2.8821229999999999E-3</v>
      </c>
      <c r="AA2652">
        <v>0.9995214</v>
      </c>
      <c r="AB2652">
        <v>48</v>
      </c>
      <c r="AC2652">
        <v>-0.81729999999998804</v>
      </c>
      <c r="AD2652">
        <v>-8.1395000000000106E-2</v>
      </c>
      <c r="AE2652">
        <v>1.4900000000011401E-2</v>
      </c>
      <c r="AF2652">
        <v>3.3550202758234698E-2</v>
      </c>
      <c r="AG2652">
        <v>-8.1395000000000106E-2</v>
      </c>
      <c r="AH2652">
        <v>0.80871495689071304</v>
      </c>
      <c r="AI2652">
        <v>95.742406381757903</v>
      </c>
      <c r="AJ2652">
        <v>87.624399866570002</v>
      </c>
      <c r="AK2652">
        <v>0.81349286636630402</v>
      </c>
      <c r="AL2652">
        <v>88.605312792586801</v>
      </c>
      <c r="AM2652">
        <v>89.317373424185604</v>
      </c>
      <c r="AN2652">
        <v>0.99999999982699095</v>
      </c>
    </row>
    <row r="2653" spans="1:40" x14ac:dyDescent="0.25">
      <c r="A2653" t="str">
        <f>"20190312153938564"</f>
        <v>20190312153938564</v>
      </c>
      <c r="B2653" t="str">
        <f>"1552376378558751"</f>
        <v>1552376378558751</v>
      </c>
      <c r="C2653" t="s">
        <v>40</v>
      </c>
      <c r="D2653">
        <v>4.1715600000000004</v>
      </c>
      <c r="E2653">
        <v>0.50832310000000003</v>
      </c>
      <c r="F2653" t="s">
        <v>41</v>
      </c>
      <c r="G2653">
        <v>-302.68090000000001</v>
      </c>
      <c r="H2653">
        <v>1.047666</v>
      </c>
      <c r="I2653">
        <v>283.3836</v>
      </c>
      <c r="J2653">
        <v>-302.09059999999999</v>
      </c>
      <c r="K2653">
        <v>1.1088690000000001</v>
      </c>
      <c r="L2653">
        <v>283.37169999999998</v>
      </c>
      <c r="M2653">
        <v>-0.99964470000000005</v>
      </c>
      <c r="N2653">
        <v>0</v>
      </c>
      <c r="O2653">
        <v>-2.2949939999999999E-2</v>
      </c>
      <c r="P2653">
        <v>-0.99987700000000002</v>
      </c>
      <c r="Q2653">
        <v>1.097504E-2</v>
      </c>
      <c r="R2653">
        <v>-1.1206539999999999E-2</v>
      </c>
      <c r="S2653">
        <v>-3.0030209999999999</v>
      </c>
      <c r="T2653">
        <v>-0.21999940000000001</v>
      </c>
      <c r="U2653">
        <v>2.209473E-2</v>
      </c>
      <c r="V2653">
        <v>1.1786069999999999E-2</v>
      </c>
      <c r="W2653">
        <v>2.4513E-2</v>
      </c>
      <c r="X2653">
        <v>0.99963000000000002</v>
      </c>
      <c r="Y2653">
        <v>3.0164460000000001E-2</v>
      </c>
      <c r="Z2653">
        <v>2.782526E-3</v>
      </c>
      <c r="AA2653">
        <v>0.99954109999999996</v>
      </c>
      <c r="AB2653">
        <v>48</v>
      </c>
      <c r="AC2653">
        <v>-0.59030000000001304</v>
      </c>
      <c r="AD2653">
        <v>-6.1203000000000098E-2</v>
      </c>
      <c r="AE2653">
        <v>1.19000000000255E-2</v>
      </c>
      <c r="AF2653">
        <v>2.5174944375657201E-2</v>
      </c>
      <c r="AG2653">
        <v>-6.1203000000000098E-2</v>
      </c>
      <c r="AH2653">
        <v>0.58360033540938405</v>
      </c>
      <c r="AI2653">
        <v>95.9812843962507</v>
      </c>
      <c r="AJ2653">
        <v>87.529945965474596</v>
      </c>
      <c r="AK2653">
        <v>0.587340562640844</v>
      </c>
      <c r="AL2653">
        <v>88.595367816636198</v>
      </c>
      <c r="AM2653">
        <v>89.324489282129704</v>
      </c>
      <c r="AN2653">
        <v>0.99999996775752198</v>
      </c>
    </row>
    <row r="2654" spans="1:40" x14ac:dyDescent="0.25">
      <c r="A2654" t="str">
        <f>"20190312153938582"</f>
        <v>20190312153938582</v>
      </c>
      <c r="B2654" t="str">
        <f>"1552376378568510"</f>
        <v>1552376378568510</v>
      </c>
      <c r="C2654" t="s">
        <v>40</v>
      </c>
      <c r="D2654">
        <v>4.1553370000000003</v>
      </c>
      <c r="E2654">
        <v>0.50812330000000006</v>
      </c>
      <c r="F2654" t="s">
        <v>41</v>
      </c>
      <c r="G2654">
        <v>-303.09289999999999</v>
      </c>
      <c r="H2654">
        <v>1.0376030000000001</v>
      </c>
      <c r="I2654">
        <v>283.3784</v>
      </c>
      <c r="J2654">
        <v>-302.46230000000003</v>
      </c>
      <c r="K2654">
        <v>1.10887</v>
      </c>
      <c r="L2654">
        <v>283.36349999999999</v>
      </c>
      <c r="M2654">
        <v>-0.9996526</v>
      </c>
      <c r="N2654">
        <v>0</v>
      </c>
      <c r="O2654">
        <v>-2.2526750000000002E-2</v>
      </c>
      <c r="P2654">
        <v>-0.99987360000000003</v>
      </c>
      <c r="Q2654">
        <v>1.1614319999999999E-2</v>
      </c>
      <c r="R2654">
        <v>-1.0878830000000001E-2</v>
      </c>
      <c r="S2654">
        <v>-3.0028990000000002</v>
      </c>
      <c r="T2654">
        <v>-0.21351249999999999</v>
      </c>
      <c r="U2654">
        <v>1.9683840000000001E-2</v>
      </c>
      <c r="V2654">
        <v>1.169188E-2</v>
      </c>
      <c r="W2654">
        <v>2.528333E-2</v>
      </c>
      <c r="X2654">
        <v>0.99961199999999995</v>
      </c>
      <c r="Y2654">
        <v>2.8951560000000001E-2</v>
      </c>
      <c r="Z2654">
        <v>2.627692E-3</v>
      </c>
      <c r="AA2654">
        <v>0.9995773</v>
      </c>
      <c r="AB2654">
        <v>48</v>
      </c>
      <c r="AC2654">
        <v>-0.63059999999995797</v>
      </c>
      <c r="AD2654">
        <v>-7.12669999999999E-2</v>
      </c>
      <c r="AE2654">
        <v>1.4900000000011401E-2</v>
      </c>
      <c r="AF2654">
        <v>2.87360956475133E-2</v>
      </c>
      <c r="AG2654">
        <v>-7.12669999999999E-2</v>
      </c>
      <c r="AH2654">
        <v>0.62216226189210599</v>
      </c>
      <c r="AI2654">
        <v>96.527696337068406</v>
      </c>
      <c r="AJ2654">
        <v>87.355532773576698</v>
      </c>
      <c r="AK2654">
        <v>0.62688964627338095</v>
      </c>
      <c r="AL2654">
        <v>88.551217586630202</v>
      </c>
      <c r="AM2654">
        <v>89.329875159094399</v>
      </c>
      <c r="AN2654">
        <v>1.00000004868891</v>
      </c>
    </row>
    <row r="2655" spans="1:40" x14ac:dyDescent="0.25">
      <c r="A2655" t="str">
        <f>"20190312153938597"</f>
        <v>20190312153938597</v>
      </c>
      <c r="B2655" t="str">
        <f>"1552376378588031"</f>
        <v>1552376378588031</v>
      </c>
      <c r="C2655" t="s">
        <v>40</v>
      </c>
      <c r="D2655">
        <v>4.2109540000000001</v>
      </c>
      <c r="E2655">
        <v>0.50772989999999996</v>
      </c>
      <c r="F2655" t="s">
        <v>41</v>
      </c>
      <c r="G2655">
        <v>-303.5172</v>
      </c>
      <c r="H2655">
        <v>1.0355049999999999</v>
      </c>
      <c r="I2655">
        <v>283.37040000000002</v>
      </c>
      <c r="J2655">
        <v>-302.79860000000002</v>
      </c>
      <c r="K2655">
        <v>1.108865</v>
      </c>
      <c r="L2655">
        <v>283.35610000000003</v>
      </c>
      <c r="M2655">
        <v>-0.99965970000000004</v>
      </c>
      <c r="N2655">
        <v>0</v>
      </c>
      <c r="O2655">
        <v>-2.21429E-2</v>
      </c>
      <c r="P2655">
        <v>-0.99987760000000003</v>
      </c>
      <c r="Q2655">
        <v>1.1774410000000001E-2</v>
      </c>
      <c r="R2655">
        <v>-1.0320620000000001E-2</v>
      </c>
      <c r="S2655">
        <v>-3.0030209999999999</v>
      </c>
      <c r="T2655">
        <v>-0.20900060000000001</v>
      </c>
      <c r="U2655">
        <v>1.9042969999999999E-2</v>
      </c>
      <c r="V2655">
        <v>1.186687E-2</v>
      </c>
      <c r="W2655">
        <v>2.5551219999999999E-2</v>
      </c>
      <c r="X2655">
        <v>0.99960309999999997</v>
      </c>
      <c r="Y2655">
        <v>2.8361979999999998E-2</v>
      </c>
      <c r="Z2655">
        <v>2.5250260000000001E-3</v>
      </c>
      <c r="AA2655">
        <v>0.99959450000000005</v>
      </c>
      <c r="AB2655">
        <v>48</v>
      </c>
      <c r="AC2655">
        <v>-0.71859999999998003</v>
      </c>
      <c r="AD2655">
        <v>-7.3359999999999995E-2</v>
      </c>
      <c r="AE2655">
        <v>1.42999999999915E-2</v>
      </c>
      <c r="AF2655">
        <v>2.98984212991464E-2</v>
      </c>
      <c r="AG2655">
        <v>-7.3359999999999995E-2</v>
      </c>
      <c r="AH2655">
        <v>0.71070320361482997</v>
      </c>
      <c r="AI2655">
        <v>95.8881255896178</v>
      </c>
      <c r="AJ2655">
        <v>87.591056519607605</v>
      </c>
      <c r="AK2655">
        <v>0.71510464187038003</v>
      </c>
      <c r="AL2655">
        <v>88.535863622178596</v>
      </c>
      <c r="AM2655">
        <v>89.319840416388601</v>
      </c>
      <c r="AN2655">
        <v>1.0000000224883401</v>
      </c>
    </row>
    <row r="2656" spans="1:40" x14ac:dyDescent="0.25">
      <c r="A2656" t="str">
        <f>"20190312153938611"</f>
        <v>20190312153938611</v>
      </c>
      <c r="B2656" t="str">
        <f>"1552376378598767"</f>
        <v>1552376378598767</v>
      </c>
      <c r="C2656" t="s">
        <v>40</v>
      </c>
      <c r="D2656">
        <v>4.244618</v>
      </c>
      <c r="E2656">
        <v>0.50745340000000005</v>
      </c>
      <c r="F2656" t="s">
        <v>41</v>
      </c>
      <c r="G2656">
        <v>-303.94009999999997</v>
      </c>
      <c r="H2656">
        <v>1.0310680000000001</v>
      </c>
      <c r="I2656">
        <v>283.36290000000002</v>
      </c>
      <c r="J2656">
        <v>-303.08859999999999</v>
      </c>
      <c r="K2656">
        <v>1.1088629999999999</v>
      </c>
      <c r="L2656">
        <v>283.34989999999999</v>
      </c>
      <c r="M2656">
        <v>-0.9996659</v>
      </c>
      <c r="N2656">
        <v>0</v>
      </c>
      <c r="O2656">
        <v>-2.1811839999999999E-2</v>
      </c>
      <c r="P2656">
        <v>-0.99989139999999999</v>
      </c>
      <c r="Q2656">
        <v>1.129631E-2</v>
      </c>
      <c r="R2656">
        <v>-9.4870560000000007E-3</v>
      </c>
      <c r="S2656">
        <v>-3.0029599999999999</v>
      </c>
      <c r="T2656">
        <v>-0.2047117</v>
      </c>
      <c r="U2656">
        <v>1.7578130000000001E-2</v>
      </c>
      <c r="V2656">
        <v>1.236902E-2</v>
      </c>
      <c r="W2656">
        <v>2.5154630000000001E-2</v>
      </c>
      <c r="X2656">
        <v>0.99960700000000002</v>
      </c>
      <c r="Y2656">
        <v>2.7551099999999999E-2</v>
      </c>
      <c r="Z2656">
        <v>2.423237E-3</v>
      </c>
      <c r="AA2656">
        <v>0.99961750000000005</v>
      </c>
      <c r="AB2656">
        <v>48</v>
      </c>
      <c r="AC2656">
        <v>-0.85149999999998705</v>
      </c>
      <c r="AD2656">
        <v>-7.7794999999999795E-2</v>
      </c>
      <c r="AE2656">
        <v>1.3000000000033599E-2</v>
      </c>
      <c r="AF2656">
        <v>3.1310187280273002E-2</v>
      </c>
      <c r="AG2656">
        <v>-7.7794999999999795E-2</v>
      </c>
      <c r="AH2656">
        <v>0.84397076092022405</v>
      </c>
      <c r="AI2656">
        <v>95.2628916024955</v>
      </c>
      <c r="AJ2656">
        <v>87.875377510888697</v>
      </c>
      <c r="AK2656">
        <v>0.84812678011060805</v>
      </c>
      <c r="AL2656">
        <v>88.558593758660905</v>
      </c>
      <c r="AM2656">
        <v>89.291064912489006</v>
      </c>
      <c r="AN2656">
        <v>0.999999951257597</v>
      </c>
    </row>
    <row r="2657" spans="1:40" x14ac:dyDescent="0.25">
      <c r="A2657" t="str">
        <f>"20190312153938627"</f>
        <v>20190312153938627</v>
      </c>
      <c r="B2657" t="str">
        <f>"1552376378618287"</f>
        <v>1552376378618287</v>
      </c>
      <c r="C2657" t="s">
        <v>40</v>
      </c>
      <c r="D2657">
        <v>4.1994730000000002</v>
      </c>
      <c r="E2657">
        <v>0.50717199999999996</v>
      </c>
      <c r="F2657" t="s">
        <v>62</v>
      </c>
      <c r="G2657">
        <v>-319.31450000000001</v>
      </c>
      <c r="H2657" s="1">
        <v>6.4498230000000001E-6</v>
      </c>
      <c r="I2657">
        <v>283.44690000000003</v>
      </c>
      <c r="J2657">
        <v>-303.41550000000001</v>
      </c>
      <c r="K2657">
        <v>1.1088610000000001</v>
      </c>
      <c r="L2657">
        <v>283.34309999999999</v>
      </c>
      <c r="M2657">
        <v>-0.99967260000000002</v>
      </c>
      <c r="N2657">
        <v>0</v>
      </c>
      <c r="O2657">
        <v>-2.1438720000000001E-2</v>
      </c>
      <c r="P2657">
        <v>-0.99990540000000006</v>
      </c>
      <c r="Q2657">
        <v>1.116954E-2</v>
      </c>
      <c r="R2657">
        <v>-8.0329110000000002E-3</v>
      </c>
      <c r="S2657">
        <v>-3.002777</v>
      </c>
      <c r="T2657">
        <v>-0.20520579999999999</v>
      </c>
      <c r="U2657">
        <v>1.794434E-2</v>
      </c>
      <c r="V2657">
        <v>1.344995E-2</v>
      </c>
      <c r="W2657">
        <v>2.5111729999999999E-2</v>
      </c>
      <c r="X2657">
        <v>0.99959419999999999</v>
      </c>
      <c r="Y2657">
        <v>2.7301180000000001E-2</v>
      </c>
      <c r="Z2657">
        <v>2.3952240000000001E-3</v>
      </c>
      <c r="AA2657">
        <v>0.99962439999999997</v>
      </c>
      <c r="AB2657">
        <v>48</v>
      </c>
      <c r="AC2657">
        <v>-15.898999999999999</v>
      </c>
      <c r="AD2657">
        <v>-1.108854550177</v>
      </c>
      <c r="AE2657">
        <v>0.103800000000035</v>
      </c>
      <c r="AF2657">
        <v>0.44251123633526601</v>
      </c>
      <c r="AG2657">
        <v>-1.108854550177</v>
      </c>
      <c r="AH2657">
        <v>15.816190071485201</v>
      </c>
      <c r="AI2657">
        <v>94.008814273571701</v>
      </c>
      <c r="AJ2657">
        <v>88.397375499393107</v>
      </c>
      <c r="AK2657">
        <v>15.861186682751001</v>
      </c>
      <c r="AL2657">
        <v>88.561052641210296</v>
      </c>
      <c r="AM2657">
        <v>89.229108304180201</v>
      </c>
      <c r="AN2657">
        <v>1.00000003240611</v>
      </c>
    </row>
    <row r="2658" spans="1:40" x14ac:dyDescent="0.25">
      <c r="A2658" t="str">
        <f>"20190312153938639"</f>
        <v>20190312153938639</v>
      </c>
      <c r="B2658" t="str">
        <f>"1552376378628047"</f>
        <v>1552376378628047</v>
      </c>
      <c r="C2658" t="s">
        <v>40</v>
      </c>
      <c r="D2658">
        <v>4.2336919999999996</v>
      </c>
      <c r="E2658">
        <v>0.50703100000000001</v>
      </c>
      <c r="F2658" t="s">
        <v>41</v>
      </c>
      <c r="G2658">
        <v>-304.37369999999999</v>
      </c>
      <c r="H2658">
        <v>1.0441769999999999</v>
      </c>
      <c r="I2658">
        <v>283.34989999999999</v>
      </c>
      <c r="J2658">
        <v>-303.6927</v>
      </c>
      <c r="K2658">
        <v>1.1088559999999901</v>
      </c>
      <c r="L2658">
        <v>283.33730000000003</v>
      </c>
      <c r="M2658">
        <v>-0.99967850000000003</v>
      </c>
      <c r="N2658">
        <v>0</v>
      </c>
      <c r="O2658">
        <v>-2.112236E-2</v>
      </c>
      <c r="P2658">
        <v>-0.99991459999999999</v>
      </c>
      <c r="Q2658">
        <v>1.100285E-2</v>
      </c>
      <c r="R2658">
        <v>-7.0844109999999997E-3</v>
      </c>
      <c r="S2658">
        <v>-3.0027469999999998</v>
      </c>
      <c r="T2658">
        <v>-0.2028295</v>
      </c>
      <c r="U2658">
        <v>2.0172120000000002E-2</v>
      </c>
      <c r="V2658">
        <v>1.408206E-2</v>
      </c>
      <c r="W2658">
        <v>2.5011140000000001E-2</v>
      </c>
      <c r="X2658">
        <v>0.99958800000000003</v>
      </c>
      <c r="Y2658">
        <v>2.7728889999999999E-2</v>
      </c>
      <c r="Z2658">
        <v>2.3606579999999999E-3</v>
      </c>
      <c r="AA2658">
        <v>0.99961270000000002</v>
      </c>
      <c r="AB2658">
        <v>48</v>
      </c>
      <c r="AC2658">
        <v>-0.68099999999998295</v>
      </c>
      <c r="AD2658">
        <v>-6.4678999999999695E-2</v>
      </c>
      <c r="AE2658">
        <v>1.25999999999635E-2</v>
      </c>
      <c r="AF2658">
        <v>2.6741788010935401E-2</v>
      </c>
      <c r="AG2658">
        <v>-6.4678999999999695E-2</v>
      </c>
      <c r="AH2658">
        <v>0.67449960360067196</v>
      </c>
      <c r="AI2658">
        <v>95.473175442573606</v>
      </c>
      <c r="AJ2658">
        <v>87.729591634760794</v>
      </c>
      <c r="AK2658">
        <v>0.67812108913120095</v>
      </c>
      <c r="AL2658">
        <v>88.566817810227306</v>
      </c>
      <c r="AM2658">
        <v>89.192878232083501</v>
      </c>
      <c r="AN2658">
        <v>1.0000000156409701</v>
      </c>
    </row>
    <row r="2659" spans="1:40" x14ac:dyDescent="0.25">
      <c r="A2659" t="str">
        <f>"20190312153938653"</f>
        <v>20190312153938653</v>
      </c>
      <c r="B2659" t="str">
        <f>"1552376378638784"</f>
        <v>1552376378638784</v>
      </c>
      <c r="C2659" t="s">
        <v>40</v>
      </c>
      <c r="D2659">
        <v>4.2893939999999997</v>
      </c>
      <c r="E2659">
        <v>0.50682389999999999</v>
      </c>
      <c r="F2659" t="s">
        <v>41</v>
      </c>
      <c r="G2659">
        <v>-304.791</v>
      </c>
      <c r="H2659">
        <v>1.034791</v>
      </c>
      <c r="I2659">
        <v>283.34550000000002</v>
      </c>
      <c r="J2659">
        <v>-303.97539999999998</v>
      </c>
      <c r="K2659">
        <v>1.108857</v>
      </c>
      <c r="L2659">
        <v>283.33150000000001</v>
      </c>
      <c r="M2659">
        <v>-0.99968429999999997</v>
      </c>
      <c r="N2659">
        <v>0</v>
      </c>
      <c r="O2659">
        <v>-2.0799539999999998E-2</v>
      </c>
      <c r="P2659">
        <v>-0.99992329999999996</v>
      </c>
      <c r="Q2659">
        <v>1.0868030000000001E-2</v>
      </c>
      <c r="R2659">
        <v>-5.9748789999999998E-3</v>
      </c>
      <c r="S2659">
        <v>-3.0026860000000002</v>
      </c>
      <c r="T2659">
        <v>-0.20254469999999999</v>
      </c>
      <c r="U2659">
        <v>2.1789550000000001E-2</v>
      </c>
      <c r="V2659">
        <v>1.486883E-2</v>
      </c>
      <c r="W2659">
        <v>2.4936300000000002E-2</v>
      </c>
      <c r="X2659">
        <v>0.99957850000000004</v>
      </c>
      <c r="Y2659">
        <v>2.794522E-2</v>
      </c>
      <c r="Z2659">
        <v>2.3429359999999999E-3</v>
      </c>
      <c r="AA2659">
        <v>0.99960669999999996</v>
      </c>
      <c r="AB2659">
        <v>47</v>
      </c>
      <c r="AC2659">
        <v>-0.81560000000001698</v>
      </c>
      <c r="AD2659">
        <v>-7.4065999999999896E-2</v>
      </c>
      <c r="AE2659">
        <v>1.4000000000009999E-2</v>
      </c>
      <c r="AF2659">
        <v>3.07095810679925E-2</v>
      </c>
      <c r="AG2659">
        <v>-7.4065999999999896E-2</v>
      </c>
      <c r="AH2659">
        <v>0.80846703102379203</v>
      </c>
      <c r="AI2659">
        <v>95.230669221644803</v>
      </c>
      <c r="AJ2659">
        <v>87.824668414815093</v>
      </c>
      <c r="AK2659">
        <v>0.81243325324471904</v>
      </c>
      <c r="AL2659">
        <v>88.571107198089393</v>
      </c>
      <c r="AM2659">
        <v>89.147782411117703</v>
      </c>
      <c r="AN2659">
        <v>1.00000003941275</v>
      </c>
    </row>
    <row r="2660" spans="1:40" x14ac:dyDescent="0.25">
      <c r="A2660" t="str">
        <f>"20190312153938666"</f>
        <v>20190312153938666</v>
      </c>
      <c r="B2660" t="str">
        <f>"1552376378658302"</f>
        <v>1552376378658302</v>
      </c>
      <c r="C2660" t="s">
        <v>40</v>
      </c>
      <c r="D2660">
        <v>4.2757149999999999</v>
      </c>
      <c r="E2660">
        <v>0.50658400000000003</v>
      </c>
      <c r="F2660" t="s">
        <v>61</v>
      </c>
      <c r="G2660">
        <v>-320.42380000000003</v>
      </c>
      <c r="H2660" s="1">
        <v>-1.260738E-6</v>
      </c>
      <c r="I2660">
        <v>283.46039999999999</v>
      </c>
      <c r="J2660">
        <v>-304.24169999999998</v>
      </c>
      <c r="K2660">
        <v>1.108857</v>
      </c>
      <c r="L2660">
        <v>283.32619999999997</v>
      </c>
      <c r="M2660">
        <v>-0.99968990000000002</v>
      </c>
      <c r="N2660">
        <v>0</v>
      </c>
      <c r="O2660">
        <v>-2.04954E-2</v>
      </c>
      <c r="P2660">
        <v>-0.99992919999999996</v>
      </c>
      <c r="Q2660">
        <v>1.080485E-2</v>
      </c>
      <c r="R2660">
        <v>-5.0114929999999997E-3</v>
      </c>
      <c r="S2660">
        <v>-3.0025940000000002</v>
      </c>
      <c r="T2660">
        <v>-0.2024176</v>
      </c>
      <c r="U2660">
        <v>2.3529049999999999E-2</v>
      </c>
      <c r="V2660">
        <v>1.5527930000000001E-2</v>
      </c>
      <c r="W2660">
        <v>2.4925340000000001E-2</v>
      </c>
      <c r="X2660">
        <v>0.99956869999999998</v>
      </c>
      <c r="Y2660">
        <v>2.822061E-2</v>
      </c>
      <c r="Z2660">
        <v>2.3303299999999998E-3</v>
      </c>
      <c r="AA2660">
        <v>0.99959900000000002</v>
      </c>
      <c r="AB2660">
        <v>47</v>
      </c>
      <c r="AC2660">
        <v>-16.182099999999998</v>
      </c>
      <c r="AD2660">
        <v>-1.108858260738</v>
      </c>
      <c r="AE2660">
        <v>0.134200000000021</v>
      </c>
      <c r="AF2660">
        <v>0.46368650290952301</v>
      </c>
      <c r="AG2660">
        <v>-1.108858260738</v>
      </c>
      <c r="AH2660">
        <v>16.100355366296998</v>
      </c>
      <c r="AI2660">
        <v>93.938206492878507</v>
      </c>
      <c r="AJ2660">
        <v>88.350350816512602</v>
      </c>
      <c r="AK2660">
        <v>16.145154528106499</v>
      </c>
      <c r="AL2660">
        <v>88.571735281037704</v>
      </c>
      <c r="AM2660">
        <v>89.110002847945793</v>
      </c>
      <c r="AN2660">
        <v>0.99999998760194497</v>
      </c>
    </row>
    <row r="2661" spans="1:40" x14ac:dyDescent="0.25">
      <c r="A2661" t="str">
        <f>"20190312153938677"</f>
        <v>20190312153938677</v>
      </c>
      <c r="B2661" t="str">
        <f>"1552376378668064"</f>
        <v>1552376378668064</v>
      </c>
      <c r="C2661" t="s">
        <v>40</v>
      </c>
      <c r="D2661">
        <v>4.2906719999999998</v>
      </c>
      <c r="E2661">
        <v>0.50667410000000002</v>
      </c>
      <c r="F2661" t="s">
        <v>41</v>
      </c>
      <c r="G2661">
        <v>-305.22129999999999</v>
      </c>
      <c r="H2661">
        <v>1.043288</v>
      </c>
      <c r="I2661">
        <v>283.33449999999999</v>
      </c>
      <c r="J2661">
        <v>-304.50599999999997</v>
      </c>
      <c r="K2661">
        <v>1.108859</v>
      </c>
      <c r="L2661">
        <v>283.32100000000003</v>
      </c>
      <c r="M2661">
        <v>-0.99969540000000001</v>
      </c>
      <c r="N2661">
        <v>0</v>
      </c>
      <c r="O2661">
        <v>-2.0193019999999999E-2</v>
      </c>
      <c r="P2661">
        <v>-0.99993089999999996</v>
      </c>
      <c r="Q2661">
        <v>1.099076E-2</v>
      </c>
      <c r="R2661">
        <v>-4.244879E-3</v>
      </c>
      <c r="S2661">
        <v>-3.0025019999999998</v>
      </c>
      <c r="T2661">
        <v>-0.20115659999999999</v>
      </c>
      <c r="U2661">
        <v>2.4414060000000001E-2</v>
      </c>
      <c r="V2661">
        <v>1.5992639999999999E-2</v>
      </c>
      <c r="W2661">
        <v>2.5160350000000001E-2</v>
      </c>
      <c r="X2661">
        <v>0.99955550000000004</v>
      </c>
      <c r="Y2661">
        <v>2.8215179999999999E-2</v>
      </c>
      <c r="Z2661">
        <v>2.2954989999999999E-3</v>
      </c>
      <c r="AA2661">
        <v>0.99959920000000002</v>
      </c>
      <c r="AB2661">
        <v>47</v>
      </c>
      <c r="AC2661">
        <v>-0.71530000000001304</v>
      </c>
      <c r="AD2661">
        <v>-6.5571000000000004E-2</v>
      </c>
      <c r="AE2661">
        <v>1.35000000000218E-2</v>
      </c>
      <c r="AF2661">
        <v>2.7709997316195299E-2</v>
      </c>
      <c r="AG2661">
        <v>-6.5571000000000004E-2</v>
      </c>
      <c r="AH2661">
        <v>0.70892632558688495</v>
      </c>
      <c r="AI2661">
        <v>95.280436245338393</v>
      </c>
      <c r="AJ2661">
        <v>87.761603672471097</v>
      </c>
      <c r="AK2661">
        <v>0.71249135791417495</v>
      </c>
      <c r="AL2661">
        <v>88.558265997155104</v>
      </c>
      <c r="AM2661">
        <v>89.083359955648604</v>
      </c>
      <c r="AN2661">
        <v>1.00000000266327</v>
      </c>
    </row>
    <row r="2662" spans="1:40" x14ac:dyDescent="0.25">
      <c r="A2662" t="str">
        <f>"20190312153938693"</f>
        <v>20190312153938693</v>
      </c>
      <c r="B2662" t="str">
        <f>"1552376378688559"</f>
        <v>1552376378688559</v>
      </c>
      <c r="C2662" t="s">
        <v>40</v>
      </c>
      <c r="D2662">
        <v>4.30823</v>
      </c>
      <c r="E2662">
        <v>0.53045900000000001</v>
      </c>
      <c r="F2662" t="s">
        <v>41</v>
      </c>
      <c r="G2662">
        <v>-305.63819999999998</v>
      </c>
      <c r="H2662">
        <v>1.03356</v>
      </c>
      <c r="I2662">
        <v>283.3313</v>
      </c>
      <c r="J2662">
        <v>-304.83440000000002</v>
      </c>
      <c r="K2662">
        <v>1.108862</v>
      </c>
      <c r="L2662">
        <v>283.31459999999998</v>
      </c>
      <c r="M2662">
        <v>-0.99970210000000004</v>
      </c>
      <c r="N2662">
        <v>0</v>
      </c>
      <c r="O2662">
        <v>-1.981784E-2</v>
      </c>
      <c r="P2662">
        <v>-0.99993399999999999</v>
      </c>
      <c r="Q2662">
        <v>1.116204E-2</v>
      </c>
      <c r="R2662">
        <v>-2.7927680000000002E-3</v>
      </c>
      <c r="S2662">
        <v>-3.0025330000000001</v>
      </c>
      <c r="T2662">
        <v>-0.19963510000000001</v>
      </c>
      <c r="U2662">
        <v>2.734375E-2</v>
      </c>
      <c r="V2662">
        <v>1.7069649999999999E-2</v>
      </c>
      <c r="W2662">
        <v>2.538439E-2</v>
      </c>
      <c r="X2662">
        <v>0.99953199999999998</v>
      </c>
      <c r="Y2662">
        <v>2.8816390000000001E-2</v>
      </c>
      <c r="Z2662">
        <v>2.2731940000000001E-3</v>
      </c>
      <c r="AA2662">
        <v>0.99958210000000003</v>
      </c>
      <c r="AB2662">
        <v>47</v>
      </c>
      <c r="AC2662">
        <v>-0.80379999999996699</v>
      </c>
      <c r="AD2662">
        <v>-7.5301999999999897E-2</v>
      </c>
      <c r="AE2662">
        <v>1.6700000000014301E-2</v>
      </c>
      <c r="AF2662">
        <v>3.2344172865956103E-2</v>
      </c>
      <c r="AG2662">
        <v>-7.5301999999999897E-2</v>
      </c>
      <c r="AH2662">
        <v>0.79632525272179799</v>
      </c>
      <c r="AI2662">
        <v>95.397508595787002</v>
      </c>
      <c r="AJ2662">
        <v>87.674108013494603</v>
      </c>
      <c r="AK2662">
        <v>0.80053135156895505</v>
      </c>
      <c r="AL2662">
        <v>88.545425315919402</v>
      </c>
      <c r="AM2662">
        <v>89.021618276344299</v>
      </c>
      <c r="AN2662">
        <v>0.99999997961539699</v>
      </c>
    </row>
    <row r="2663" spans="1:40" x14ac:dyDescent="0.25">
      <c r="A2663" t="str">
        <f>"20190312153938707"</f>
        <v>20190312153938707</v>
      </c>
      <c r="B2663" t="str">
        <f>"1552376378698318"</f>
        <v>1552376378698318</v>
      </c>
      <c r="C2663" t="s">
        <v>40</v>
      </c>
      <c r="D2663">
        <v>4.2732809999999999</v>
      </c>
      <c r="E2663">
        <v>0.53681350000000005</v>
      </c>
      <c r="F2663" t="s">
        <v>41</v>
      </c>
      <c r="G2663">
        <v>-305.62889999999999</v>
      </c>
      <c r="H2663">
        <v>1.0138100000000001</v>
      </c>
      <c r="I2663">
        <v>283.37079999999997</v>
      </c>
      <c r="J2663">
        <v>-305.11739999999998</v>
      </c>
      <c r="K2663">
        <v>1.108868</v>
      </c>
      <c r="L2663">
        <v>283.30930000000001</v>
      </c>
      <c r="M2663">
        <v>-0.99970780000000004</v>
      </c>
      <c r="N2663">
        <v>0</v>
      </c>
      <c r="O2663">
        <v>-1.9493980000000001E-2</v>
      </c>
      <c r="P2663">
        <v>-0.99993500000000002</v>
      </c>
      <c r="Q2663">
        <v>1.121747E-2</v>
      </c>
      <c r="R2663">
        <v>-2.06858E-3</v>
      </c>
      <c r="S2663">
        <v>-3.0048219999999999</v>
      </c>
      <c r="T2663">
        <v>-0.3594155</v>
      </c>
      <c r="U2663">
        <v>0.21243290000000001</v>
      </c>
      <c r="V2663">
        <v>1.7470079999999999E-2</v>
      </c>
      <c r="W2663">
        <v>2.5481630000000002E-2</v>
      </c>
      <c r="X2663">
        <v>0.99952260000000004</v>
      </c>
      <c r="Y2663">
        <v>8.9184219999999995E-2</v>
      </c>
      <c r="Z2663">
        <v>7.629406E-3</v>
      </c>
      <c r="AA2663">
        <v>0.99598589999999998</v>
      </c>
      <c r="AB2663">
        <v>47</v>
      </c>
      <c r="AC2663">
        <v>-0.51150000000001195</v>
      </c>
      <c r="AD2663">
        <v>-9.5057999999999795E-2</v>
      </c>
      <c r="AE2663">
        <v>6.1499999999966803E-2</v>
      </c>
      <c r="AF2663">
        <v>6.9107731259484204E-2</v>
      </c>
      <c r="AG2663">
        <v>-9.5057999999999795E-2</v>
      </c>
      <c r="AH2663">
        <v>0.49340580385677102</v>
      </c>
      <c r="AI2663">
        <v>100.80189408307101</v>
      </c>
      <c r="AJ2663">
        <v>82.026868279021897</v>
      </c>
      <c r="AK2663">
        <v>0.50720921636281402</v>
      </c>
      <c r="AL2663">
        <v>88.539852061080794</v>
      </c>
      <c r="AM2663">
        <v>88.998662020531199</v>
      </c>
      <c r="AN2663">
        <v>0.99999997253671102</v>
      </c>
    </row>
    <row r="2664" spans="1:40" x14ac:dyDescent="0.25">
      <c r="A2664" t="str">
        <f>"20190312153938718"</f>
        <v>20190312153938718</v>
      </c>
      <c r="B2664" t="str">
        <f>"1552376378708080"</f>
        <v>1552376378708080</v>
      </c>
      <c r="C2664" t="s">
        <v>40</v>
      </c>
      <c r="D2664">
        <v>4.2744239999999998</v>
      </c>
      <c r="E2664">
        <v>0.5403346</v>
      </c>
      <c r="F2664" t="s">
        <v>41</v>
      </c>
      <c r="G2664">
        <v>-306.0324</v>
      </c>
      <c r="H2664">
        <v>0.97207160000000004</v>
      </c>
      <c r="I2664">
        <v>283.38869999999997</v>
      </c>
      <c r="J2664">
        <v>-305.37349999999998</v>
      </c>
      <c r="K2664">
        <v>1.1088709999999999</v>
      </c>
      <c r="L2664">
        <v>283.30450000000002</v>
      </c>
      <c r="M2664">
        <v>-0.99971279999999996</v>
      </c>
      <c r="N2664">
        <v>0</v>
      </c>
      <c r="O2664">
        <v>-1.9200720000000001E-2</v>
      </c>
      <c r="P2664">
        <v>-0.99993279999999995</v>
      </c>
      <c r="Q2664">
        <v>1.1494809999999999E-2</v>
      </c>
      <c r="R2664">
        <v>-1.4536149999999999E-3</v>
      </c>
      <c r="S2664">
        <v>-3.0057369999999999</v>
      </c>
      <c r="T2664">
        <v>-0.44946360000000002</v>
      </c>
      <c r="U2664">
        <v>0.26007079999999999</v>
      </c>
      <c r="V2664">
        <v>1.779207E-2</v>
      </c>
      <c r="W2664">
        <v>2.5795289999999998E-2</v>
      </c>
      <c r="X2664">
        <v>0.99950890000000003</v>
      </c>
      <c r="Y2664">
        <v>0.1039582</v>
      </c>
      <c r="Z2664">
        <v>1.056638E-2</v>
      </c>
      <c r="AA2664">
        <v>0.99452560000000001</v>
      </c>
      <c r="AB2664">
        <v>47</v>
      </c>
      <c r="AC2664">
        <v>-0.65890000000001603</v>
      </c>
      <c r="AD2664">
        <v>-0.13679939999999899</v>
      </c>
      <c r="AE2664">
        <v>8.4199999999952896E-2</v>
      </c>
      <c r="AF2664">
        <v>9.2897123719769395E-2</v>
      </c>
      <c r="AG2664">
        <v>-0.13679939999999899</v>
      </c>
      <c r="AH2664">
        <v>0.63042374497578402</v>
      </c>
      <c r="AI2664">
        <v>102.11622924407899</v>
      </c>
      <c r="AJ2664">
        <v>81.617412276283503</v>
      </c>
      <c r="AK2664">
        <v>0.65174999015347801</v>
      </c>
      <c r="AL2664">
        <v>88.521874794410706</v>
      </c>
      <c r="AM2664">
        <v>88.980196307304595</v>
      </c>
      <c r="AN2664">
        <v>0.99999999796013905</v>
      </c>
    </row>
    <row r="2665" spans="1:40" x14ac:dyDescent="0.25">
      <c r="A2665" t="str">
        <f>"20190312153938732"</f>
        <v>20190312153938732</v>
      </c>
      <c r="B2665" t="str">
        <f>"1552376378718816"</f>
        <v>1552376378718816</v>
      </c>
      <c r="C2665" t="s">
        <v>40</v>
      </c>
      <c r="D2665">
        <v>4.2180350000000004</v>
      </c>
      <c r="E2665">
        <v>0.5413597</v>
      </c>
      <c r="F2665" t="s">
        <v>41</v>
      </c>
      <c r="G2665">
        <v>-306.43630000000002</v>
      </c>
      <c r="H2665">
        <v>0.93011980000000005</v>
      </c>
      <c r="I2665">
        <v>283.40589999999997</v>
      </c>
      <c r="J2665">
        <v>-305.6619</v>
      </c>
      <c r="K2665">
        <v>1.1088750000000001</v>
      </c>
      <c r="L2665">
        <v>283.29919999999998</v>
      </c>
      <c r="M2665">
        <v>-0.99971869999999996</v>
      </c>
      <c r="N2665">
        <v>0</v>
      </c>
      <c r="O2665">
        <v>-1.8870499999999998E-2</v>
      </c>
      <c r="P2665">
        <v>-0.99993290000000001</v>
      </c>
      <c r="Q2665">
        <v>1.1554439999999999E-2</v>
      </c>
      <c r="R2665">
        <v>-9.2469860000000004E-4</v>
      </c>
      <c r="S2665">
        <v>-3.0064700000000002</v>
      </c>
      <c r="T2665">
        <v>-0.50564019999999998</v>
      </c>
      <c r="U2665">
        <v>0.28665159999999901</v>
      </c>
      <c r="V2665">
        <v>1.7990889999999999E-2</v>
      </c>
      <c r="W2665">
        <v>2.58911E-2</v>
      </c>
      <c r="X2665">
        <v>0.99950280000000002</v>
      </c>
      <c r="Y2665">
        <v>0.1118643</v>
      </c>
      <c r="Z2665">
        <v>1.2466090000000001E-2</v>
      </c>
      <c r="AA2665">
        <v>0.99364529999999995</v>
      </c>
      <c r="AB2665">
        <v>47</v>
      </c>
      <c r="AC2665">
        <v>-0.77440000000001397</v>
      </c>
      <c r="AD2665">
        <v>-0.1787552</v>
      </c>
      <c r="AE2665">
        <v>0.106699999999989</v>
      </c>
      <c r="AF2665">
        <v>0.115268427654899</v>
      </c>
      <c r="AG2665">
        <v>-0.1787552</v>
      </c>
      <c r="AH2665">
        <v>0.73387407124503301</v>
      </c>
      <c r="AI2665">
        <v>103.52971648325099</v>
      </c>
      <c r="AJ2665">
        <v>81.073573106815104</v>
      </c>
      <c r="AK2665">
        <v>0.76407550961068804</v>
      </c>
      <c r="AL2665">
        <v>88.516383357078297</v>
      </c>
      <c r="AM2665">
        <v>88.968796521948605</v>
      </c>
      <c r="AN2665">
        <v>0.99999993419501798</v>
      </c>
    </row>
    <row r="2666" spans="1:40" x14ac:dyDescent="0.25">
      <c r="A2666" t="str">
        <f>"20190312153938749"</f>
        <v>20190312153938749</v>
      </c>
      <c r="B2666" t="str">
        <f>"1552376378738335"</f>
        <v>1552376378738335</v>
      </c>
      <c r="C2666" t="s">
        <v>40</v>
      </c>
      <c r="D2666">
        <v>4.2206839999999897</v>
      </c>
      <c r="E2666">
        <v>0.5435065</v>
      </c>
      <c r="F2666" t="s">
        <v>41</v>
      </c>
      <c r="G2666">
        <v>-306.45440000000002</v>
      </c>
      <c r="H2666">
        <v>0.97033389999999997</v>
      </c>
      <c r="I2666">
        <v>283.37709999999998</v>
      </c>
      <c r="J2666">
        <v>-305.99450000000002</v>
      </c>
      <c r="K2666">
        <v>1.1088789999999999</v>
      </c>
      <c r="L2666">
        <v>283.29320000000001</v>
      </c>
      <c r="M2666">
        <v>-0.99972530000000004</v>
      </c>
      <c r="N2666">
        <v>0</v>
      </c>
      <c r="O2666">
        <v>-1.84894E-2</v>
      </c>
      <c r="P2666">
        <v>-0.99992610000000004</v>
      </c>
      <c r="Q2666">
        <v>1.216157E-2</v>
      </c>
      <c r="R2666">
        <v>-4.9669779999999999E-4</v>
      </c>
      <c r="S2666">
        <v>-3.006561</v>
      </c>
      <c r="T2666">
        <v>-0.52555759999999996</v>
      </c>
      <c r="U2666">
        <v>0.29519649999999997</v>
      </c>
      <c r="V2666">
        <v>1.803886E-2</v>
      </c>
      <c r="W2666">
        <v>2.6536509999999999E-2</v>
      </c>
      <c r="X2666">
        <v>0.99948510000000002</v>
      </c>
      <c r="Y2666">
        <v>0.1141079</v>
      </c>
      <c r="Z2666">
        <v>1.307606E-2</v>
      </c>
      <c r="AA2666">
        <v>0.99338230000000005</v>
      </c>
      <c r="AB2666">
        <v>47</v>
      </c>
      <c r="AC2666">
        <v>-0.45990000000000397</v>
      </c>
      <c r="AD2666">
        <v>-0.1385451</v>
      </c>
      <c r="AE2666">
        <v>8.38999999999714E-2</v>
      </c>
      <c r="AF2666">
        <v>8.4930469131068401E-2</v>
      </c>
      <c r="AG2666">
        <v>-0.1385451</v>
      </c>
      <c r="AH2666">
        <v>0.421270273555019</v>
      </c>
      <c r="AI2666">
        <v>107.86870707760799</v>
      </c>
      <c r="AJ2666">
        <v>78.601636042532903</v>
      </c>
      <c r="AK2666">
        <v>0.45152693463618898</v>
      </c>
      <c r="AL2666">
        <v>88.479391512586005</v>
      </c>
      <c r="AM2666">
        <v>88.966029262792702</v>
      </c>
      <c r="AN2666">
        <v>1.0000000259775399</v>
      </c>
    </row>
    <row r="2667" spans="1:40" x14ac:dyDescent="0.25">
      <c r="A2667" t="str">
        <f>"20190312153938761"</f>
        <v>20190312153938761</v>
      </c>
      <c r="B2667" t="str">
        <f>"1552376378748097"</f>
        <v>1552376378748097</v>
      </c>
      <c r="C2667" t="s">
        <v>40</v>
      </c>
      <c r="D2667">
        <v>4.1872290000000003</v>
      </c>
      <c r="E2667">
        <v>0.54405689999999995</v>
      </c>
      <c r="F2667" t="s">
        <v>41</v>
      </c>
      <c r="G2667">
        <v>-306.86660000000001</v>
      </c>
      <c r="H2667">
        <v>0.94754769999999999</v>
      </c>
      <c r="I2667">
        <v>283.3836</v>
      </c>
      <c r="J2667">
        <v>-306.26940000000002</v>
      </c>
      <c r="K2667">
        <v>1.1088830000000001</v>
      </c>
      <c r="L2667">
        <v>283.28829999999999</v>
      </c>
      <c r="M2667">
        <v>-0.99973060000000002</v>
      </c>
      <c r="N2667">
        <v>0</v>
      </c>
      <c r="O2667">
        <v>-1.8174160000000002E-2</v>
      </c>
      <c r="P2667">
        <v>-0.9999228</v>
      </c>
      <c r="Q2667">
        <v>1.243886E-2</v>
      </c>
      <c r="R2667">
        <v>-2.2353879999999999E-4</v>
      </c>
      <c r="S2667">
        <v>-3.0071720000000002</v>
      </c>
      <c r="T2667">
        <v>-0.55637669999999995</v>
      </c>
      <c r="U2667">
        <v>0.31118770000000001</v>
      </c>
      <c r="V2667">
        <v>1.7997289999999999E-2</v>
      </c>
      <c r="W2667">
        <v>2.684253E-2</v>
      </c>
      <c r="X2667">
        <v>0.99947759999999997</v>
      </c>
      <c r="Y2667">
        <v>0.1186952</v>
      </c>
      <c r="Z2667">
        <v>1.418617E-2</v>
      </c>
      <c r="AA2667">
        <v>0.99282939999999997</v>
      </c>
      <c r="AB2667">
        <v>47</v>
      </c>
      <c r="AC2667">
        <v>-0.59719999999998596</v>
      </c>
      <c r="AD2667">
        <v>-0.16133529999999999</v>
      </c>
      <c r="AE2667">
        <v>9.5300000000008794E-2</v>
      </c>
      <c r="AF2667">
        <v>9.9086955938752205E-2</v>
      </c>
      <c r="AG2667">
        <v>-0.16133529999999999</v>
      </c>
      <c r="AH2667">
        <v>0.55581191059295898</v>
      </c>
      <c r="AI2667">
        <v>105.94803359043701</v>
      </c>
      <c r="AJ2667">
        <v>79.891829650729406</v>
      </c>
      <c r="AK2667">
        <v>0.58717474726038199</v>
      </c>
      <c r="AL2667">
        <v>88.461851490929504</v>
      </c>
      <c r="AM2667">
        <v>88.968403761881902</v>
      </c>
      <c r="AN2667">
        <v>0.99999994838295103</v>
      </c>
    </row>
    <row r="2668" spans="1:40" x14ac:dyDescent="0.25">
      <c r="A2668" t="str">
        <f>"20190312153938772"</f>
        <v>20190312153938772</v>
      </c>
      <c r="B2668" t="str">
        <f>"1552376378758830"</f>
        <v>1552376378758830</v>
      </c>
      <c r="C2668" t="s">
        <v>40</v>
      </c>
      <c r="D2668">
        <v>4.1830819999999997</v>
      </c>
      <c r="E2668">
        <v>0.54440339999999998</v>
      </c>
      <c r="F2668" t="s">
        <v>41</v>
      </c>
      <c r="G2668">
        <v>-307.27659999999997</v>
      </c>
      <c r="H2668">
        <v>0.9194909</v>
      </c>
      <c r="I2668">
        <v>283.39400000000001</v>
      </c>
      <c r="J2668">
        <v>-306.50760000000002</v>
      </c>
      <c r="K2668">
        <v>1.1088830000000001</v>
      </c>
      <c r="L2668">
        <v>283.28410000000002</v>
      </c>
      <c r="M2668">
        <v>-0.99973520000000005</v>
      </c>
      <c r="N2668">
        <v>0</v>
      </c>
      <c r="O2668">
        <v>-1.7900969999999999E-2</v>
      </c>
      <c r="P2668">
        <v>-0.99991819999999998</v>
      </c>
      <c r="Q2668">
        <v>1.279276E-2</v>
      </c>
      <c r="R2668" s="1">
        <v>-8.6906719999999899E-5</v>
      </c>
      <c r="S2668">
        <v>-3.0073240000000001</v>
      </c>
      <c r="T2668">
        <v>-0.5655789</v>
      </c>
      <c r="U2668">
        <v>0.31530760000000002</v>
      </c>
      <c r="V2668">
        <v>1.786109E-2</v>
      </c>
      <c r="W2668">
        <v>2.7219569999999998E-2</v>
      </c>
      <c r="X2668">
        <v>0.99946990000000002</v>
      </c>
      <c r="Y2668">
        <v>0.11967650000000001</v>
      </c>
      <c r="Z2668">
        <v>1.4455539999999999E-2</v>
      </c>
      <c r="AA2668">
        <v>0.99270769999999997</v>
      </c>
      <c r="AB2668">
        <v>47</v>
      </c>
      <c r="AC2668">
        <v>-0.76899999999994795</v>
      </c>
      <c r="AD2668">
        <v>-0.18939210000000001</v>
      </c>
      <c r="AE2668">
        <v>0.109899999999981</v>
      </c>
      <c r="AF2668">
        <v>0.116712119101409</v>
      </c>
      <c r="AG2668">
        <v>-0.18939210000000001</v>
      </c>
      <c r="AH2668">
        <v>0.72388062381886897</v>
      </c>
      <c r="AI2668">
        <v>104.482872109146</v>
      </c>
      <c r="AJ2668">
        <v>80.840956308364795</v>
      </c>
      <c r="AK2668">
        <v>0.75729402732884799</v>
      </c>
      <c r="AL2668">
        <v>88.440240876373693</v>
      </c>
      <c r="AM2668">
        <v>88.976201128455003</v>
      </c>
      <c r="AN2668">
        <v>1.0000000022664901</v>
      </c>
    </row>
    <row r="2669" spans="1:40" x14ac:dyDescent="0.25">
      <c r="A2669" t="str">
        <f>"20190312153938787"</f>
        <v>20190312153938787</v>
      </c>
      <c r="B2669" t="str">
        <f>"1552376378778351"</f>
        <v>1552376378778351</v>
      </c>
      <c r="C2669" t="s">
        <v>40</v>
      </c>
      <c r="D2669">
        <v>4.1573140000000004</v>
      </c>
      <c r="E2669">
        <v>0.54521350000000002</v>
      </c>
      <c r="F2669" t="s">
        <v>41</v>
      </c>
      <c r="G2669">
        <v>-307.2944</v>
      </c>
      <c r="H2669">
        <v>0.95947459999999996</v>
      </c>
      <c r="I2669">
        <v>283.36739999999998</v>
      </c>
      <c r="J2669">
        <v>-306.81189999999998</v>
      </c>
      <c r="K2669">
        <v>1.1088880000000001</v>
      </c>
      <c r="L2669">
        <v>283.27890000000002</v>
      </c>
      <c r="M2669">
        <v>-0.9997412</v>
      </c>
      <c r="N2669">
        <v>0</v>
      </c>
      <c r="O2669">
        <v>-1.7551979999999998E-2</v>
      </c>
      <c r="P2669">
        <v>-0.99991980000000003</v>
      </c>
      <c r="Q2669">
        <v>1.267648E-2</v>
      </c>
      <c r="R2669">
        <v>2.001359E-4</v>
      </c>
      <c r="S2669">
        <v>-3.007568</v>
      </c>
      <c r="T2669">
        <v>-0.57117479999999998</v>
      </c>
      <c r="U2669">
        <v>0.31796259999999998</v>
      </c>
      <c r="V2669">
        <v>1.779905E-2</v>
      </c>
      <c r="W2669">
        <v>2.7129960000000002E-2</v>
      </c>
      <c r="X2669">
        <v>0.99947350000000001</v>
      </c>
      <c r="Y2669">
        <v>0.12014</v>
      </c>
      <c r="Z2669">
        <v>1.457225E-2</v>
      </c>
      <c r="AA2669">
        <v>0.99265000000000003</v>
      </c>
      <c r="AB2669">
        <v>47</v>
      </c>
      <c r="AC2669">
        <v>-0.48250000000001497</v>
      </c>
      <c r="AD2669">
        <v>-0.149413399999999</v>
      </c>
      <c r="AE2669">
        <v>8.8499999999953602E-2</v>
      </c>
      <c r="AF2669">
        <v>8.8724946238383798E-2</v>
      </c>
      <c r="AG2669">
        <v>-0.149413399999999</v>
      </c>
      <c r="AH2669">
        <v>0.44004826184864698</v>
      </c>
      <c r="AI2669">
        <v>108.409536915098</v>
      </c>
      <c r="AJ2669">
        <v>78.600543955381397</v>
      </c>
      <c r="AK2669">
        <v>0.47311621504718998</v>
      </c>
      <c r="AL2669">
        <v>88.445377136273507</v>
      </c>
      <c r="AM2669">
        <v>88.979760186461903</v>
      </c>
      <c r="AN2669">
        <v>1.00000005905637</v>
      </c>
    </row>
    <row r="2670" spans="1:40" x14ac:dyDescent="0.25">
      <c r="A2670" t="str">
        <f>"20190312153938801"</f>
        <v>20190312153938801</v>
      </c>
      <c r="B2670" t="str">
        <f>"1552376378788111"</f>
        <v>1552376378788111</v>
      </c>
      <c r="C2670" t="s">
        <v>40</v>
      </c>
      <c r="D2670">
        <v>4.2208410000000001</v>
      </c>
      <c r="E2670">
        <v>0.54572900000000002</v>
      </c>
      <c r="F2670" t="s">
        <v>41</v>
      </c>
      <c r="G2670">
        <v>-307.7054</v>
      </c>
      <c r="H2670">
        <v>0.93505479999999996</v>
      </c>
      <c r="I2670">
        <v>283.37560000000002</v>
      </c>
      <c r="J2670">
        <v>-307.10160000000002</v>
      </c>
      <c r="K2670">
        <v>1.108892</v>
      </c>
      <c r="L2670">
        <v>283.27409999999998</v>
      </c>
      <c r="M2670">
        <v>-0.99974640000000004</v>
      </c>
      <c r="N2670">
        <v>0</v>
      </c>
      <c r="O2670">
        <v>-1.721955E-2</v>
      </c>
      <c r="P2670">
        <v>-0.9999209</v>
      </c>
      <c r="Q2670">
        <v>1.256167E-2</v>
      </c>
      <c r="R2670">
        <v>3.0217269999999999E-4</v>
      </c>
      <c r="S2670">
        <v>-3.0076290000000001</v>
      </c>
      <c r="T2670">
        <v>-0.58527309999999999</v>
      </c>
      <c r="U2670">
        <v>0.3243103</v>
      </c>
      <c r="V2670">
        <v>1.7568420000000001E-2</v>
      </c>
      <c r="W2670">
        <v>2.7038920000000001E-2</v>
      </c>
      <c r="X2670">
        <v>0.99948000000000004</v>
      </c>
      <c r="Y2670">
        <v>0.12173589999999999</v>
      </c>
      <c r="Z2670">
        <v>1.5013E-2</v>
      </c>
      <c r="AA2670">
        <v>0.99244900000000003</v>
      </c>
      <c r="AB2670">
        <v>47</v>
      </c>
      <c r="AC2670">
        <v>-0.60379999999997802</v>
      </c>
      <c r="AD2670">
        <v>-0.173837199999999</v>
      </c>
      <c r="AE2670">
        <v>0.101500000000044</v>
      </c>
      <c r="AF2670">
        <v>0.103536939168155</v>
      </c>
      <c r="AG2670">
        <v>-0.173837199999999</v>
      </c>
      <c r="AH2670">
        <v>0.55705726722942295</v>
      </c>
      <c r="AI2670">
        <v>107.056484372032</v>
      </c>
      <c r="AJ2670">
        <v>79.470919204199305</v>
      </c>
      <c r="AK2670">
        <v>0.59266522493669505</v>
      </c>
      <c r="AL2670">
        <v>88.450595184285106</v>
      </c>
      <c r="AM2670">
        <v>88.992983683153</v>
      </c>
      <c r="AN2670">
        <v>1.0000000114880301</v>
      </c>
    </row>
    <row r="2671" spans="1:40" x14ac:dyDescent="0.25">
      <c r="A2671" t="str">
        <f>"20190312153938816"</f>
        <v>20190312153938816</v>
      </c>
      <c r="B2671" t="str">
        <f>"1552376378808607"</f>
        <v>1552376378808607</v>
      </c>
      <c r="C2671" t="s">
        <v>40</v>
      </c>
      <c r="D2671">
        <v>4.1615869999999999</v>
      </c>
      <c r="E2671">
        <v>0.54625669999999904</v>
      </c>
      <c r="F2671" t="s">
        <v>41</v>
      </c>
      <c r="G2671">
        <v>-308.11610000000002</v>
      </c>
      <c r="H2671">
        <v>0.90881540000000005</v>
      </c>
      <c r="I2671">
        <v>283.38499999999999</v>
      </c>
      <c r="J2671">
        <v>-307.43709999999999</v>
      </c>
      <c r="K2671">
        <v>1.108894</v>
      </c>
      <c r="L2671">
        <v>283.26859999999999</v>
      </c>
      <c r="M2671">
        <v>-0.99975270000000005</v>
      </c>
      <c r="N2671">
        <v>0</v>
      </c>
      <c r="O2671">
        <v>-1.6834559999999998E-2</v>
      </c>
      <c r="P2671">
        <v>-0.99992460000000005</v>
      </c>
      <c r="Q2671">
        <v>1.228402E-2</v>
      </c>
      <c r="R2671">
        <v>3.7214339999999999E-4</v>
      </c>
      <c r="S2671">
        <v>-3.0076290000000001</v>
      </c>
      <c r="T2671">
        <v>-0.59318570000000004</v>
      </c>
      <c r="U2671">
        <v>0.32803339999999998</v>
      </c>
      <c r="V2671">
        <v>1.7253049999999999E-2</v>
      </c>
      <c r="W2671">
        <v>2.678676E-2</v>
      </c>
      <c r="X2671">
        <v>0.9994923</v>
      </c>
      <c r="Y2671">
        <v>0.1224919</v>
      </c>
      <c r="Z2671">
        <v>1.5209820000000001E-2</v>
      </c>
      <c r="AA2671">
        <v>0.99235300000000004</v>
      </c>
      <c r="AB2671">
        <v>47</v>
      </c>
      <c r="AC2671">
        <v>-0.67900000000003002</v>
      </c>
      <c r="AD2671">
        <v>-0.2000786</v>
      </c>
      <c r="AE2671">
        <v>0.11639999999999801</v>
      </c>
      <c r="AF2671">
        <v>0.11787285318973301</v>
      </c>
      <c r="AG2671">
        <v>-0.2000786</v>
      </c>
      <c r="AH2671">
        <v>0.624285787280903</v>
      </c>
      <c r="AI2671">
        <v>107.480651359531</v>
      </c>
      <c r="AJ2671">
        <v>79.307724789259396</v>
      </c>
      <c r="AK2671">
        <v>0.66607672223099501</v>
      </c>
      <c r="AL2671">
        <v>88.465048148361106</v>
      </c>
      <c r="AM2671">
        <v>89.011069137386002</v>
      </c>
      <c r="AN2671">
        <v>1.0000000280024399</v>
      </c>
    </row>
    <row r="2672" spans="1:40" x14ac:dyDescent="0.25">
      <c r="A2672" t="str">
        <f>"20190312153938831"</f>
        <v>20190312153938831</v>
      </c>
      <c r="B2672" t="str">
        <f>"1552376378818367"</f>
        <v>1552376378818367</v>
      </c>
      <c r="C2672" t="s">
        <v>40</v>
      </c>
      <c r="D2672">
        <v>4.2020999999999997</v>
      </c>
      <c r="E2672">
        <v>0.54659399999999903</v>
      </c>
      <c r="F2672" t="s">
        <v>41</v>
      </c>
      <c r="G2672">
        <v>-308.14210000000003</v>
      </c>
      <c r="H2672">
        <v>0.96764079999999997</v>
      </c>
      <c r="I2672">
        <v>283.34660000000002</v>
      </c>
      <c r="J2672">
        <v>-307.74090000000001</v>
      </c>
      <c r="K2672">
        <v>1.1088990000000001</v>
      </c>
      <c r="L2672">
        <v>283.26369999999997</v>
      </c>
      <c r="M2672">
        <v>-0.99975820000000004</v>
      </c>
      <c r="N2672">
        <v>0</v>
      </c>
      <c r="O2672">
        <v>-1.648529E-2</v>
      </c>
      <c r="P2672">
        <v>-0.99992289999999995</v>
      </c>
      <c r="Q2672">
        <v>1.24113E-2</v>
      </c>
      <c r="R2672">
        <v>5.9399309999999897E-4</v>
      </c>
      <c r="S2672">
        <v>-3.0075069999999999</v>
      </c>
      <c r="T2672">
        <v>-0.60266779999999998</v>
      </c>
      <c r="U2672">
        <v>0.331787099999999</v>
      </c>
      <c r="V2672">
        <v>1.7125979999999999E-2</v>
      </c>
      <c r="W2672">
        <v>2.6933099999999901E-2</v>
      </c>
      <c r="X2672">
        <v>0.99949049999999995</v>
      </c>
      <c r="Y2672">
        <v>0.123280399999999</v>
      </c>
      <c r="Z2672">
        <v>1.545676E-2</v>
      </c>
      <c r="AA2672">
        <v>0.99225149999999995</v>
      </c>
      <c r="AB2672">
        <v>47</v>
      </c>
      <c r="AC2672">
        <v>-0.40120000000001699</v>
      </c>
      <c r="AD2672">
        <v>-0.1412582</v>
      </c>
      <c r="AE2672">
        <v>8.2900000000051904E-2</v>
      </c>
      <c r="AF2672">
        <v>7.9992919147722996E-2</v>
      </c>
      <c r="AG2672">
        <v>-0.1412582</v>
      </c>
      <c r="AH2672">
        <v>0.35729915689358499</v>
      </c>
      <c r="AI2672">
        <v>111.09658425339499</v>
      </c>
      <c r="AJ2672">
        <v>77.380590575255198</v>
      </c>
      <c r="AK2672">
        <v>0.39244800126625801</v>
      </c>
      <c r="AL2672">
        <v>88.456660376681</v>
      </c>
      <c r="AM2672">
        <v>89.018349488878897</v>
      </c>
      <c r="AN2672">
        <v>0.99999997532840901</v>
      </c>
    </row>
    <row r="2673" spans="1:40" x14ac:dyDescent="0.25">
      <c r="A2673" t="str">
        <f>"20190312153938844"</f>
        <v>20190312153938844</v>
      </c>
      <c r="B2673" t="str">
        <f>"1552376378838862"</f>
        <v>1552376378838862</v>
      </c>
      <c r="C2673" t="s">
        <v>40</v>
      </c>
      <c r="D2673">
        <v>4.1817140000000004</v>
      </c>
      <c r="E2673">
        <v>0.54693719999999901</v>
      </c>
      <c r="F2673" t="s">
        <v>41</v>
      </c>
      <c r="G2673">
        <v>-308.55309999999997</v>
      </c>
      <c r="H2673">
        <v>0.94508530000000002</v>
      </c>
      <c r="I2673">
        <v>283.35449999999997</v>
      </c>
      <c r="J2673">
        <v>-308.00700000000001</v>
      </c>
      <c r="K2673">
        <v>1.1089020000000001</v>
      </c>
      <c r="L2673">
        <v>283.2595</v>
      </c>
      <c r="M2673">
        <v>-0.99976310000000002</v>
      </c>
      <c r="N2673">
        <v>0</v>
      </c>
      <c r="O2673">
        <v>-1.6179639999999999E-2</v>
      </c>
      <c r="P2673">
        <v>-0.99992570000000003</v>
      </c>
      <c r="Q2673">
        <v>1.2182399999999999E-2</v>
      </c>
      <c r="R2673">
        <v>8.4210399999999999E-4</v>
      </c>
      <c r="S2673">
        <v>-3.007568</v>
      </c>
      <c r="T2673">
        <v>-0.60666809999999904</v>
      </c>
      <c r="U2673">
        <v>0.33532709999999999</v>
      </c>
      <c r="V2673">
        <v>1.7068050000000001E-2</v>
      </c>
      <c r="W2673">
        <v>2.671956E-2</v>
      </c>
      <c r="X2673">
        <v>0.99949719999999997</v>
      </c>
      <c r="Y2673">
        <v>0.124083</v>
      </c>
      <c r="Z2673">
        <v>1.55751E-2</v>
      </c>
      <c r="AA2673">
        <v>0.99214959999999996</v>
      </c>
      <c r="AB2673">
        <v>47</v>
      </c>
      <c r="AC2673">
        <v>-0.54609999999996695</v>
      </c>
      <c r="AD2673">
        <v>-0.16381669999999901</v>
      </c>
      <c r="AE2673">
        <v>9.49999999999704E-2</v>
      </c>
      <c r="AF2673">
        <v>9.5484383247101706E-2</v>
      </c>
      <c r="AG2673">
        <v>-0.16381669999999901</v>
      </c>
      <c r="AH2673">
        <v>0.50075428792949195</v>
      </c>
      <c r="AI2673">
        <v>107.81480935524</v>
      </c>
      <c r="AJ2673">
        <v>79.204372623225495</v>
      </c>
      <c r="AK2673">
        <v>0.53545124476719796</v>
      </c>
      <c r="AL2673">
        <v>88.468899688415107</v>
      </c>
      <c r="AM2673">
        <v>89.021675910777006</v>
      </c>
      <c r="AN2673">
        <v>0.99999995301261602</v>
      </c>
    </row>
    <row r="2674" spans="1:40" x14ac:dyDescent="0.25">
      <c r="A2674" t="str">
        <f>"20190312153938856"</f>
        <v>20190312153938856</v>
      </c>
      <c r="B2674" t="str">
        <f>"1552376378848622"</f>
        <v>1552376378848622</v>
      </c>
      <c r="C2674" t="s">
        <v>40</v>
      </c>
      <c r="D2674">
        <v>4.193098</v>
      </c>
      <c r="E2674">
        <v>0.54716379999999998</v>
      </c>
      <c r="F2674" t="s">
        <v>41</v>
      </c>
      <c r="G2674">
        <v>-308.96100000000001</v>
      </c>
      <c r="H2674">
        <v>0.91476990000000002</v>
      </c>
      <c r="I2674">
        <v>283.36720000000003</v>
      </c>
      <c r="J2674">
        <v>-308.27440000000001</v>
      </c>
      <c r="K2674">
        <v>1.1089070000000001</v>
      </c>
      <c r="L2674">
        <v>283.25540000000001</v>
      </c>
      <c r="M2674">
        <v>-0.99976759999999998</v>
      </c>
      <c r="N2674">
        <v>0</v>
      </c>
      <c r="O2674">
        <v>-1.5872420000000002E-2</v>
      </c>
      <c r="P2674">
        <v>-0.9999247</v>
      </c>
      <c r="Q2674">
        <v>1.2208989999999999E-2</v>
      </c>
      <c r="R2674">
        <v>1.2709939999999999E-3</v>
      </c>
      <c r="S2674">
        <v>-3.0074160000000001</v>
      </c>
      <c r="T2674">
        <v>-0.61203289999999999</v>
      </c>
      <c r="U2674">
        <v>0.33908080000000002</v>
      </c>
      <c r="V2674">
        <v>1.7189659999999999E-2</v>
      </c>
      <c r="W2674">
        <v>2.6760550000000001E-2</v>
      </c>
      <c r="X2674">
        <v>0.99949410000000005</v>
      </c>
      <c r="Y2674">
        <v>0.1249465</v>
      </c>
      <c r="Z2674">
        <v>1.57348E-2</v>
      </c>
      <c r="AA2674">
        <v>0.99203869999999905</v>
      </c>
      <c r="AB2674">
        <v>47</v>
      </c>
      <c r="AC2674">
        <v>-0.68659999999999799</v>
      </c>
      <c r="AD2674">
        <v>-0.19413709999999901</v>
      </c>
      <c r="AE2674">
        <v>0.111800000000016</v>
      </c>
      <c r="AF2674">
        <v>0.113820365864415</v>
      </c>
      <c r="AG2674">
        <v>-0.19413709999999901</v>
      </c>
      <c r="AH2674">
        <v>0.635262402663759</v>
      </c>
      <c r="AI2674">
        <v>106.741877161312</v>
      </c>
      <c r="AJ2674">
        <v>79.842060931351497</v>
      </c>
      <c r="AK2674">
        <v>0.67394555382467702</v>
      </c>
      <c r="AL2674">
        <v>88.466550417953599</v>
      </c>
      <c r="AM2674">
        <v>89.014703657348605</v>
      </c>
      <c r="AN2674">
        <v>1.00000003369101</v>
      </c>
    </row>
    <row r="2675" spans="1:40" x14ac:dyDescent="0.25">
      <c r="A2675" t="str">
        <f>"20190312153938872"</f>
        <v>20190312153938872</v>
      </c>
      <c r="B2675" t="str">
        <f>"1552376378858383"</f>
        <v>1552376378858383</v>
      </c>
      <c r="C2675" t="s">
        <v>40</v>
      </c>
      <c r="D2675">
        <v>4.1479619999999997</v>
      </c>
      <c r="E2675">
        <v>0.54731909999999995</v>
      </c>
      <c r="F2675" t="s">
        <v>41</v>
      </c>
      <c r="G2675">
        <v>-308.98309999999998</v>
      </c>
      <c r="H2675">
        <v>0.96401289999999995</v>
      </c>
      <c r="I2675">
        <v>283.33609999999999</v>
      </c>
      <c r="J2675">
        <v>-308.58949999999999</v>
      </c>
      <c r="K2675">
        <v>1.108914</v>
      </c>
      <c r="L2675">
        <v>283.25060000000002</v>
      </c>
      <c r="M2675">
        <v>-0.99977309999999997</v>
      </c>
      <c r="N2675">
        <v>0</v>
      </c>
      <c r="O2675">
        <v>-1.550991E-2</v>
      </c>
      <c r="P2675">
        <v>-0.99991940000000001</v>
      </c>
      <c r="Q2675">
        <v>1.251567E-2</v>
      </c>
      <c r="R2675">
        <v>2.2409579999999999E-3</v>
      </c>
      <c r="S2675">
        <v>-3.0072939999999999</v>
      </c>
      <c r="T2675">
        <v>-0.61484069999999902</v>
      </c>
      <c r="U2675">
        <v>0.34185789999999999</v>
      </c>
      <c r="V2675">
        <v>1.7797609999999998E-2</v>
      </c>
      <c r="W2675">
        <v>2.708087E-2</v>
      </c>
      <c r="X2675">
        <v>0.9994748</v>
      </c>
      <c r="Y2675">
        <v>0.12546689999999999</v>
      </c>
      <c r="Z2675">
        <v>1.578471E-2</v>
      </c>
      <c r="AA2675">
        <v>0.99197219999999997</v>
      </c>
      <c r="AB2675">
        <v>47</v>
      </c>
      <c r="AC2675">
        <v>-0.39359999999999201</v>
      </c>
      <c r="AD2675">
        <v>-0.14490109999999901</v>
      </c>
      <c r="AE2675">
        <v>8.5499999999967699E-2</v>
      </c>
      <c r="AF2675">
        <v>8.1099043777761406E-2</v>
      </c>
      <c r="AG2675">
        <v>-0.14490109999999901</v>
      </c>
      <c r="AH2675">
        <v>0.34728057242507598</v>
      </c>
      <c r="AI2675">
        <v>112.11255123735199</v>
      </c>
      <c r="AJ2675">
        <v>76.855509003942998</v>
      </c>
      <c r="AK2675">
        <v>0.38493789066129303</v>
      </c>
      <c r="AL2675">
        <v>88.448190731377807</v>
      </c>
      <c r="AM2675">
        <v>88.979844036298303</v>
      </c>
      <c r="AN2675">
        <v>1.0000000021383499</v>
      </c>
    </row>
    <row r="2676" spans="1:40" x14ac:dyDescent="0.25">
      <c r="A2676" t="str">
        <f>"20190312153938887"</f>
        <v>20190312153938887</v>
      </c>
      <c r="B2676" t="str">
        <f>"1552376378878880"</f>
        <v>1552376378878880</v>
      </c>
      <c r="C2676" t="s">
        <v>40</v>
      </c>
      <c r="D2676">
        <v>4.1851719999999997</v>
      </c>
      <c r="E2676">
        <v>0.54822550000000003</v>
      </c>
      <c r="F2676" t="s">
        <v>41</v>
      </c>
      <c r="G2676">
        <v>-309.39460000000003</v>
      </c>
      <c r="H2676">
        <v>0.94396749999999996</v>
      </c>
      <c r="I2676">
        <v>283.34350000000001</v>
      </c>
      <c r="J2676">
        <v>-308.91149999999999</v>
      </c>
      <c r="K2676">
        <v>1.1089199999999999</v>
      </c>
      <c r="L2676">
        <v>283.24590000000001</v>
      </c>
      <c r="M2676">
        <v>-0.99977870000000002</v>
      </c>
      <c r="N2676">
        <v>0</v>
      </c>
      <c r="O2676">
        <v>-1.513951E-2</v>
      </c>
      <c r="P2676">
        <v>-0.99991980000000003</v>
      </c>
      <c r="Q2676">
        <v>1.2301799999999899E-2</v>
      </c>
      <c r="R2676">
        <v>3.0301540000000002E-3</v>
      </c>
      <c r="S2676">
        <v>-3.0071409999999998</v>
      </c>
      <c r="T2676">
        <v>-0.61613240000000002</v>
      </c>
      <c r="U2676">
        <v>0.34600829999999999</v>
      </c>
      <c r="V2676">
        <v>1.8215809999999999E-2</v>
      </c>
      <c r="W2676">
        <v>2.6879710000000001E-2</v>
      </c>
      <c r="X2676">
        <v>0.99947269999999999</v>
      </c>
      <c r="Y2676">
        <v>0.12643260000000001</v>
      </c>
      <c r="Z2676">
        <v>1.5839490000000001E-2</v>
      </c>
      <c r="AA2676">
        <v>0.99184879999999997</v>
      </c>
      <c r="AB2676">
        <v>47</v>
      </c>
      <c r="AC2676">
        <v>-0.483100000000035</v>
      </c>
      <c r="AD2676">
        <v>-0.1649525</v>
      </c>
      <c r="AE2676">
        <v>9.7599999999999895E-2</v>
      </c>
      <c r="AF2676">
        <v>9.4336533935806793E-2</v>
      </c>
      <c r="AG2676">
        <v>-0.1649525</v>
      </c>
      <c r="AH2676">
        <v>0.43305849453818301</v>
      </c>
      <c r="AI2676">
        <v>110.413913635469</v>
      </c>
      <c r="AJ2676">
        <v>77.710797599142197</v>
      </c>
      <c r="AK2676">
        <v>0.472914758262997</v>
      </c>
      <c r="AL2676">
        <v>88.459720554030994</v>
      </c>
      <c r="AM2676">
        <v>88.955875936261094</v>
      </c>
      <c r="AN2676">
        <v>1.0000000062944601</v>
      </c>
    </row>
    <row r="2677" spans="1:40" x14ac:dyDescent="0.25">
      <c r="A2677" t="str">
        <f>"20190312153938899"</f>
        <v>20190312153938899</v>
      </c>
      <c r="B2677" t="str">
        <f>"1552376378888639"</f>
        <v>1552376378888639</v>
      </c>
      <c r="C2677" t="s">
        <v>40</v>
      </c>
      <c r="D2677">
        <v>4.1822359999999996</v>
      </c>
      <c r="E2677">
        <v>0.54865589999999997</v>
      </c>
      <c r="F2677" t="s">
        <v>41</v>
      </c>
      <c r="G2677">
        <v>-309.80579999999998</v>
      </c>
      <c r="H2677">
        <v>0.92270300000000005</v>
      </c>
      <c r="I2677">
        <v>283.35169999999999</v>
      </c>
      <c r="J2677">
        <v>-309.16930000000002</v>
      </c>
      <c r="K2677">
        <v>1.1089249999999999</v>
      </c>
      <c r="L2677">
        <v>283.24220000000003</v>
      </c>
      <c r="M2677">
        <v>-0.99978299999999998</v>
      </c>
      <c r="N2677">
        <v>0</v>
      </c>
      <c r="O2677">
        <v>-1.484276E-2</v>
      </c>
      <c r="P2677">
        <v>-0.9999207</v>
      </c>
      <c r="Q2677">
        <v>1.2053990000000001E-2</v>
      </c>
      <c r="R2677">
        <v>3.7035610000000002E-3</v>
      </c>
      <c r="S2677">
        <v>-3.006866</v>
      </c>
      <c r="T2677">
        <v>-0.62616850000000002</v>
      </c>
      <c r="U2677">
        <v>0.35488890000000001</v>
      </c>
      <c r="V2677">
        <v>1.8591989999999999E-2</v>
      </c>
      <c r="W2677">
        <v>2.6641379999999999E-2</v>
      </c>
      <c r="X2677">
        <v>0.99947209999999997</v>
      </c>
      <c r="Y2677">
        <v>0.1288986</v>
      </c>
      <c r="Z2677">
        <v>1.6283189999999999E-2</v>
      </c>
      <c r="AA2677">
        <v>0.99152410000000002</v>
      </c>
      <c r="AB2677">
        <v>47</v>
      </c>
      <c r="AC2677">
        <v>-0.63649999999995499</v>
      </c>
      <c r="AD2677">
        <v>-0.186221999999999</v>
      </c>
      <c r="AE2677">
        <v>0.109499999999968</v>
      </c>
      <c r="AF2677">
        <v>0.10980723286237901</v>
      </c>
      <c r="AG2677">
        <v>-0.186221999999999</v>
      </c>
      <c r="AH2677">
        <v>0.58607910430564902</v>
      </c>
      <c r="AI2677">
        <v>107.343993318096</v>
      </c>
      <c r="AJ2677">
        <v>79.388145671875407</v>
      </c>
      <c r="AK2677">
        <v>0.62467990057036804</v>
      </c>
      <c r="AL2677">
        <v>88.473380666216698</v>
      </c>
      <c r="AM2677">
        <v>88.934317708745994</v>
      </c>
      <c r="AN2677">
        <v>0.99999995194943603</v>
      </c>
    </row>
    <row r="2678" spans="1:40" x14ac:dyDescent="0.25">
      <c r="A2678" t="str">
        <f>"20190312153938911"</f>
        <v>20190312153938911</v>
      </c>
      <c r="B2678" t="str">
        <f>"1552376378898399"</f>
        <v>1552376378898399</v>
      </c>
      <c r="C2678" t="s">
        <v>40</v>
      </c>
      <c r="D2678">
        <v>4.1596880000000001</v>
      </c>
      <c r="E2678">
        <v>0.54906379999999999</v>
      </c>
      <c r="F2678" t="s">
        <v>41</v>
      </c>
      <c r="G2678">
        <v>-310.21300000000002</v>
      </c>
      <c r="H2678">
        <v>0.88990769999999997</v>
      </c>
      <c r="I2678">
        <v>283.36750000000001</v>
      </c>
      <c r="J2678">
        <v>-309.4196</v>
      </c>
      <c r="K2678">
        <v>1.1089279999999999</v>
      </c>
      <c r="L2678">
        <v>283.23869999999999</v>
      </c>
      <c r="M2678">
        <v>-0.99978710000000004</v>
      </c>
      <c r="N2678">
        <v>0</v>
      </c>
      <c r="O2678">
        <v>-1.455351E-2</v>
      </c>
      <c r="P2678">
        <v>-0.99991890000000005</v>
      </c>
      <c r="Q2678">
        <v>1.208422E-2</v>
      </c>
      <c r="R2678">
        <v>4.0427600000000003E-3</v>
      </c>
      <c r="S2678">
        <v>-3.0065</v>
      </c>
      <c r="T2678">
        <v>-0.63093880000000002</v>
      </c>
      <c r="U2678">
        <v>0.35998540000000001</v>
      </c>
      <c r="V2678">
        <v>1.8641999999999999E-2</v>
      </c>
      <c r="W2678">
        <v>2.6679990000000001E-2</v>
      </c>
      <c r="X2678">
        <v>0.99947019999999998</v>
      </c>
      <c r="Y2678">
        <v>0.130215</v>
      </c>
      <c r="Z2678">
        <v>1.64812999999999E-2</v>
      </c>
      <c r="AA2678">
        <v>0.99134880000000003</v>
      </c>
      <c r="AB2678">
        <v>47</v>
      </c>
      <c r="AC2678">
        <v>-0.79339999999996202</v>
      </c>
      <c r="AD2678">
        <v>-0.2190203</v>
      </c>
      <c r="AE2678">
        <v>0.12880000000001199</v>
      </c>
      <c r="AF2678">
        <v>0.13063491210953501</v>
      </c>
      <c r="AG2678">
        <v>-0.2190203</v>
      </c>
      <c r="AH2678">
        <v>0.73673952504677198</v>
      </c>
      <c r="AI2678">
        <v>106.31566295694201</v>
      </c>
      <c r="AJ2678">
        <v>79.945111217148806</v>
      </c>
      <c r="AK2678">
        <v>0.77962843703914497</v>
      </c>
      <c r="AL2678">
        <v>88.471167783347695</v>
      </c>
      <c r="AM2678">
        <v>88.931449796885303</v>
      </c>
      <c r="AN2678">
        <v>1.00000001335922</v>
      </c>
    </row>
    <row r="2679" spans="1:40" x14ac:dyDescent="0.25">
      <c r="A2679" t="str">
        <f>"20190312153938923"</f>
        <v>20190312153938923</v>
      </c>
      <c r="B2679" t="str">
        <f>"1552376378918895"</f>
        <v>1552376378918895</v>
      </c>
      <c r="C2679" t="s">
        <v>40</v>
      </c>
      <c r="D2679">
        <v>4.1557060000000003</v>
      </c>
      <c r="E2679">
        <v>0.54966000000000004</v>
      </c>
      <c r="F2679" t="s">
        <v>41</v>
      </c>
      <c r="G2679">
        <v>-310.23250000000002</v>
      </c>
      <c r="H2679">
        <v>0.93737079999999995</v>
      </c>
      <c r="I2679">
        <v>283.33760000000001</v>
      </c>
      <c r="J2679">
        <v>-309.68619999999999</v>
      </c>
      <c r="K2679">
        <v>1.1089310000000001</v>
      </c>
      <c r="L2679">
        <v>283.23500000000001</v>
      </c>
      <c r="M2679">
        <v>-0.9997914</v>
      </c>
      <c r="N2679">
        <v>0</v>
      </c>
      <c r="O2679">
        <v>-1.4244700000000001E-2</v>
      </c>
      <c r="P2679">
        <v>-0.99991940000000001</v>
      </c>
      <c r="Q2679">
        <v>1.186601E-2</v>
      </c>
      <c r="R2679">
        <v>4.5433560000000001E-3</v>
      </c>
      <c r="S2679">
        <v>-3.0064389999999999</v>
      </c>
      <c r="T2679">
        <v>-0.63456539999999995</v>
      </c>
      <c r="U2679">
        <v>0.36441040000000002</v>
      </c>
      <c r="V2679">
        <v>1.8833249999999999E-2</v>
      </c>
      <c r="W2679">
        <v>2.6469779999999998E-2</v>
      </c>
      <c r="X2679">
        <v>0.99947220000000003</v>
      </c>
      <c r="Y2679">
        <v>0.13129769999999999</v>
      </c>
      <c r="Z2679">
        <v>1.662129E-2</v>
      </c>
      <c r="AA2679">
        <v>0.99120370000000002</v>
      </c>
      <c r="AB2679">
        <v>47</v>
      </c>
      <c r="AC2679">
        <v>-0.54630000000002998</v>
      </c>
      <c r="AD2679">
        <v>-0.171560199999999</v>
      </c>
      <c r="AE2679">
        <v>0.102599999999995</v>
      </c>
      <c r="AF2679">
        <v>0.100772582061397</v>
      </c>
      <c r="AG2679">
        <v>-0.171560199999999</v>
      </c>
      <c r="AH2679">
        <v>0.49739996901483702</v>
      </c>
      <c r="AI2679">
        <v>108.677617836151</v>
      </c>
      <c r="AJ2679">
        <v>78.546972064612604</v>
      </c>
      <c r="AK2679">
        <v>0.53571890455286497</v>
      </c>
      <c r="AL2679">
        <v>88.483216178454697</v>
      </c>
      <c r="AM2679">
        <v>88.920492182248395</v>
      </c>
      <c r="AN2679">
        <v>1.0000000095658199</v>
      </c>
    </row>
    <row r="2680" spans="1:40" x14ac:dyDescent="0.25">
      <c r="A2680" t="str">
        <f>"20190312153938939"</f>
        <v>20190312153938939</v>
      </c>
      <c r="B2680" t="str">
        <f>"1552376378928657"</f>
        <v>1552376378928657</v>
      </c>
      <c r="C2680" t="s">
        <v>40</v>
      </c>
      <c r="D2680">
        <v>4.1129449999999999</v>
      </c>
      <c r="E2680">
        <v>0.54989929999999998</v>
      </c>
      <c r="F2680" t="s">
        <v>41</v>
      </c>
      <c r="G2680">
        <v>-310.63889999999998</v>
      </c>
      <c r="H2680">
        <v>0.90536280000000002</v>
      </c>
      <c r="I2680">
        <v>283.3528</v>
      </c>
      <c r="J2680">
        <v>-310.00740000000002</v>
      </c>
      <c r="K2680">
        <v>1.1089329999999999</v>
      </c>
      <c r="L2680">
        <v>283.23070000000001</v>
      </c>
      <c r="M2680">
        <v>-0.99979660000000004</v>
      </c>
      <c r="N2680">
        <v>0</v>
      </c>
      <c r="O2680">
        <v>-1.387092E-2</v>
      </c>
      <c r="P2680">
        <v>-0.99991719999999895</v>
      </c>
      <c r="Q2680">
        <v>1.188445E-2</v>
      </c>
      <c r="R2680">
        <v>4.9555199999999997E-3</v>
      </c>
      <c r="S2680">
        <v>-3.0062259999999998</v>
      </c>
      <c r="T2680">
        <v>-0.64235620000000004</v>
      </c>
      <c r="U2680">
        <v>0.37066650000000001</v>
      </c>
      <c r="V2680">
        <v>1.8871760000000001E-2</v>
      </c>
      <c r="W2680">
        <v>2.6497429999999999E-2</v>
      </c>
      <c r="X2680">
        <v>0.99947070000000005</v>
      </c>
      <c r="Y2680">
        <v>0.1328645</v>
      </c>
      <c r="Z2680">
        <v>1.6906250000000001E-2</v>
      </c>
      <c r="AA2680">
        <v>0.99099000000000004</v>
      </c>
      <c r="AB2680">
        <v>47</v>
      </c>
      <c r="AC2680">
        <v>-0.63149999999995998</v>
      </c>
      <c r="AD2680">
        <v>-0.20357019999999901</v>
      </c>
      <c r="AE2680">
        <v>0.122099999999989</v>
      </c>
      <c r="AF2680">
        <v>0.11893484800913599</v>
      </c>
      <c r="AG2680">
        <v>-0.20357019999999901</v>
      </c>
      <c r="AH2680">
        <v>0.57240682391170905</v>
      </c>
      <c r="AI2680">
        <v>109.19822132104299</v>
      </c>
      <c r="AJ2680">
        <v>78.262084125309997</v>
      </c>
      <c r="AK2680">
        <v>0.61906049499195703</v>
      </c>
      <c r="AL2680">
        <v>88.481631332145199</v>
      </c>
      <c r="AM2680">
        <v>88.9182837187264</v>
      </c>
      <c r="AN2680">
        <v>0.99999996864029495</v>
      </c>
    </row>
    <row r="2681" spans="1:40" x14ac:dyDescent="0.25">
      <c r="A2681" t="str">
        <f>"20190312153938951"</f>
        <v>20190312153938951</v>
      </c>
      <c r="B2681" t="str">
        <f>"1552376378938417"</f>
        <v>1552376378938417</v>
      </c>
      <c r="C2681" t="s">
        <v>40</v>
      </c>
      <c r="D2681">
        <v>4.1059229999999998</v>
      </c>
      <c r="E2681">
        <v>0.54998819999999904</v>
      </c>
      <c r="F2681" t="s">
        <v>41</v>
      </c>
      <c r="G2681">
        <v>-311.05059999999997</v>
      </c>
      <c r="H2681">
        <v>0.88498929999999998</v>
      </c>
      <c r="I2681">
        <v>283.36070000000001</v>
      </c>
      <c r="J2681">
        <v>-310.26909999999998</v>
      </c>
      <c r="K2681">
        <v>1.1089329999999999</v>
      </c>
      <c r="L2681">
        <v>283.22730000000001</v>
      </c>
      <c r="M2681">
        <v>-0.99980069999999999</v>
      </c>
      <c r="N2681">
        <v>0</v>
      </c>
      <c r="O2681">
        <v>-1.3562899999999999E-2</v>
      </c>
      <c r="P2681">
        <v>-0.99991629999999998</v>
      </c>
      <c r="Q2681">
        <v>1.189496E-2</v>
      </c>
      <c r="R2681">
        <v>5.1009209999999996E-3</v>
      </c>
      <c r="S2681">
        <v>-3.0061040000000001</v>
      </c>
      <c r="T2681">
        <v>-0.64535379999999998</v>
      </c>
      <c r="U2681">
        <v>0.37365720000000002</v>
      </c>
      <c r="V2681">
        <v>1.8709300000000002E-2</v>
      </c>
      <c r="W2681">
        <v>2.6514590000000001E-2</v>
      </c>
      <c r="X2681">
        <v>0.99947330000000001</v>
      </c>
      <c r="Y2681">
        <v>0.13349800000000001</v>
      </c>
      <c r="Z2681">
        <v>1.6984900000000001E-2</v>
      </c>
      <c r="AA2681">
        <v>0.99090350000000005</v>
      </c>
      <c r="AB2681">
        <v>47</v>
      </c>
      <c r="AC2681">
        <v>-0.78149999999999398</v>
      </c>
      <c r="AD2681">
        <v>-0.2239437</v>
      </c>
      <c r="AE2681">
        <v>0.133399999999994</v>
      </c>
      <c r="AF2681">
        <v>0.133348451410538</v>
      </c>
      <c r="AG2681">
        <v>-0.2239437</v>
      </c>
      <c r="AH2681">
        <v>0.72200974755696401</v>
      </c>
      <c r="AI2681">
        <v>106.962164090504</v>
      </c>
      <c r="AJ2681">
        <v>79.535920568087903</v>
      </c>
      <c r="AK2681">
        <v>0.76761361753850499</v>
      </c>
      <c r="AL2681">
        <v>88.480647792130796</v>
      </c>
      <c r="AM2681">
        <v>88.9275964189343</v>
      </c>
      <c r="AN2681">
        <v>0.99999996940112301</v>
      </c>
    </row>
    <row r="2682" spans="1:40" x14ac:dyDescent="0.25">
      <c r="A2682" t="str">
        <f>"20190312153938963"</f>
        <v>20190312153938963</v>
      </c>
      <c r="B2682" t="str">
        <f>"1552376378958913"</f>
        <v>1552376378958913</v>
      </c>
      <c r="C2682" t="s">
        <v>40</v>
      </c>
      <c r="D2682">
        <v>4.1146789999999998</v>
      </c>
      <c r="E2682">
        <v>0.55035140000000005</v>
      </c>
      <c r="F2682" t="s">
        <v>41</v>
      </c>
      <c r="G2682">
        <v>-311.07159999999999</v>
      </c>
      <c r="H2682">
        <v>0.93635489999999999</v>
      </c>
      <c r="I2682">
        <v>283.32780000000002</v>
      </c>
      <c r="J2682">
        <v>-310.51350000000002</v>
      </c>
      <c r="K2682">
        <v>1.10893</v>
      </c>
      <c r="L2682">
        <v>283.2242</v>
      </c>
      <c r="M2682">
        <v>-0.99980449999999998</v>
      </c>
      <c r="N2682">
        <v>0</v>
      </c>
      <c r="O2682">
        <v>-1.327216E-2</v>
      </c>
      <c r="P2682">
        <v>-0.99991790000000003</v>
      </c>
      <c r="Q2682">
        <v>1.1834300000000001E-2</v>
      </c>
      <c r="R2682">
        <v>4.9234860000000004E-3</v>
      </c>
      <c r="S2682">
        <v>-3.0060730000000002</v>
      </c>
      <c r="T2682">
        <v>-0.64655200000000002</v>
      </c>
      <c r="U2682">
        <v>0.37493900000000002</v>
      </c>
      <c r="V2682">
        <v>1.8241380000000001E-2</v>
      </c>
      <c r="W2682">
        <v>2.6460250000000001E-2</v>
      </c>
      <c r="X2682">
        <v>0.99948340000000002</v>
      </c>
      <c r="Y2682">
        <v>0.13361909999999999</v>
      </c>
      <c r="Z2682">
        <v>1.696667E-2</v>
      </c>
      <c r="AA2682">
        <v>0.99088750000000003</v>
      </c>
      <c r="AB2682">
        <v>47</v>
      </c>
      <c r="AC2682">
        <v>-0.55809999999996696</v>
      </c>
      <c r="AD2682">
        <v>-0.17257509999999901</v>
      </c>
      <c r="AE2682">
        <v>0.103600000000028</v>
      </c>
      <c r="AF2682">
        <v>0.101607175377414</v>
      </c>
      <c r="AG2682">
        <v>-0.17257509999999901</v>
      </c>
      <c r="AH2682">
        <v>0.50957499678856699</v>
      </c>
      <c r="AI2682">
        <v>108.372702630764</v>
      </c>
      <c r="AJ2682">
        <v>78.723351412904705</v>
      </c>
      <c r="AK2682">
        <v>0.54751516926954102</v>
      </c>
      <c r="AL2682">
        <v>88.483762353442401</v>
      </c>
      <c r="AM2682">
        <v>88.954421788772294</v>
      </c>
      <c r="AN2682">
        <v>0.99999997982496303</v>
      </c>
    </row>
    <row r="2683" spans="1:40" x14ac:dyDescent="0.25">
      <c r="A2683" t="str">
        <f>"20190312153938976"</f>
        <v>20190312153938976</v>
      </c>
      <c r="B2683" t="str">
        <f>"1552376378968671"</f>
        <v>1552376378968671</v>
      </c>
      <c r="C2683" t="s">
        <v>40</v>
      </c>
      <c r="D2683">
        <v>4.1467239999999999</v>
      </c>
      <c r="E2683">
        <v>0.55057690000000004</v>
      </c>
      <c r="F2683" t="s">
        <v>41</v>
      </c>
      <c r="G2683">
        <v>-311.47579999999999</v>
      </c>
      <c r="H2683">
        <v>0.90033940000000001</v>
      </c>
      <c r="I2683">
        <v>283.3451</v>
      </c>
      <c r="J2683">
        <v>-310.78469999999999</v>
      </c>
      <c r="K2683">
        <v>1.1089290000000001</v>
      </c>
      <c r="L2683">
        <v>283.2208</v>
      </c>
      <c r="M2683">
        <v>-0.99980860000000005</v>
      </c>
      <c r="N2683">
        <v>0</v>
      </c>
      <c r="O2683">
        <v>-1.2946829999999999E-2</v>
      </c>
      <c r="P2683">
        <v>-0.99992049999999999</v>
      </c>
      <c r="Q2683">
        <v>1.1621060000000001E-2</v>
      </c>
      <c r="R2683">
        <v>4.8839069999999998E-3</v>
      </c>
      <c r="S2683">
        <v>-3.0061339999999999</v>
      </c>
      <c r="T2683">
        <v>-0.65164309999999903</v>
      </c>
      <c r="U2683">
        <v>0.37719730000000001</v>
      </c>
      <c r="V2683">
        <v>1.7876369999999999E-2</v>
      </c>
      <c r="W2683">
        <v>2.6253370000000002E-2</v>
      </c>
      <c r="X2683">
        <v>0.99949540000000003</v>
      </c>
      <c r="Y2683">
        <v>0.13397529999999999</v>
      </c>
      <c r="Z2683">
        <v>1.706473E-2</v>
      </c>
      <c r="AA2683">
        <v>0.99083779999999999</v>
      </c>
      <c r="AB2683">
        <v>47</v>
      </c>
      <c r="AC2683">
        <v>-0.69110000000000504</v>
      </c>
      <c r="AD2683">
        <v>-0.20858959999999999</v>
      </c>
      <c r="AE2683">
        <v>0.124300000000005</v>
      </c>
      <c r="AF2683">
        <v>0.122434215616915</v>
      </c>
      <c r="AG2683">
        <v>-0.20858959999999999</v>
      </c>
      <c r="AH2683">
        <v>0.63352856080688902</v>
      </c>
      <c r="AI2683">
        <v>107.914413952502</v>
      </c>
      <c r="AJ2683">
        <v>79.061996944525305</v>
      </c>
      <c r="AK2683">
        <v>0.67812845076721096</v>
      </c>
      <c r="AL2683">
        <v>88.495619747886707</v>
      </c>
      <c r="AM2683">
        <v>88.975351601313406</v>
      </c>
      <c r="AN2683">
        <v>0.99999992933094395</v>
      </c>
    </row>
    <row r="2684" spans="1:40" x14ac:dyDescent="0.25">
      <c r="A2684" t="str">
        <f>"20190312153938996"</f>
        <v>20190312153938996</v>
      </c>
      <c r="B2684" t="str">
        <f>"1552376378988190"</f>
        <v>1552376378988190</v>
      </c>
      <c r="C2684" t="s">
        <v>40</v>
      </c>
      <c r="D2684">
        <v>4.0716260000000002</v>
      </c>
      <c r="E2684">
        <v>0.55044979999999999</v>
      </c>
      <c r="F2684" t="s">
        <v>41</v>
      </c>
      <c r="G2684">
        <v>-311.49860000000001</v>
      </c>
      <c r="H2684">
        <v>0.95338820000000002</v>
      </c>
      <c r="I2684">
        <v>283.3109</v>
      </c>
      <c r="J2684">
        <v>-311.20010000000002</v>
      </c>
      <c r="K2684">
        <v>1.1089230000000001</v>
      </c>
      <c r="L2684">
        <v>283.2158</v>
      </c>
      <c r="M2684">
        <v>-0.99981500000000001</v>
      </c>
      <c r="N2684">
        <v>0</v>
      </c>
      <c r="O2684">
        <v>-1.243558E-2</v>
      </c>
      <c r="P2684">
        <v>-0.99992930000000002</v>
      </c>
      <c r="Q2684">
        <v>1.102179E-2</v>
      </c>
      <c r="R2684">
        <v>4.4846419999999996E-3</v>
      </c>
      <c r="S2684">
        <v>-3.0060730000000002</v>
      </c>
      <c r="T2684">
        <v>-0.65504180000000001</v>
      </c>
      <c r="U2684">
        <v>0.37875370000000003</v>
      </c>
      <c r="V2684">
        <v>1.6965589999999999E-2</v>
      </c>
      <c r="W2684">
        <v>2.5662770000000001E-2</v>
      </c>
      <c r="X2684">
        <v>0.99952669999999999</v>
      </c>
      <c r="Y2684">
        <v>0.13395399999999999</v>
      </c>
      <c r="Z2684">
        <v>1.7039510000000001E-2</v>
      </c>
      <c r="AA2684">
        <v>0.99084099999999997</v>
      </c>
      <c r="AB2684">
        <v>47</v>
      </c>
      <c r="AC2684">
        <v>-0.29849999999999</v>
      </c>
      <c r="AD2684">
        <v>-0.155534799999999</v>
      </c>
      <c r="AE2684">
        <v>9.51000000000021E-2</v>
      </c>
      <c r="AF2684">
        <v>7.9267279224275899E-2</v>
      </c>
      <c r="AG2684">
        <v>-0.155534799999999</v>
      </c>
      <c r="AH2684">
        <v>0.23850699716489299</v>
      </c>
      <c r="AI2684">
        <v>121.75073626708399</v>
      </c>
      <c r="AJ2684">
        <v>71.615885661765404</v>
      </c>
      <c r="AK2684">
        <v>0.29556718908443402</v>
      </c>
      <c r="AL2684">
        <v>88.5294701728305</v>
      </c>
      <c r="AM2684">
        <v>89.027576382927805</v>
      </c>
      <c r="AN2684">
        <v>1.0000000165105001</v>
      </c>
    </row>
    <row r="2685" spans="1:40" x14ac:dyDescent="0.25">
      <c r="A2685" t="str">
        <f>"20190312153939019"</f>
        <v>20190312153939019</v>
      </c>
      <c r="B2685" t="str">
        <f>"1552376379008687"</f>
        <v>1552376379008687</v>
      </c>
      <c r="C2685" t="s">
        <v>40</v>
      </c>
      <c r="D2685">
        <v>4.1461980000000001</v>
      </c>
      <c r="E2685">
        <v>0.51265839999999996</v>
      </c>
      <c r="F2685" t="s">
        <v>41</v>
      </c>
      <c r="G2685">
        <v>-311.9171</v>
      </c>
      <c r="H2685">
        <v>0.9524049</v>
      </c>
      <c r="I2685">
        <v>283.30590000000001</v>
      </c>
      <c r="J2685">
        <v>-311.66649999999998</v>
      </c>
      <c r="K2685">
        <v>1.10891299999999</v>
      </c>
      <c r="L2685">
        <v>283.21039999999999</v>
      </c>
      <c r="M2685">
        <v>-0.99982219999999999</v>
      </c>
      <c r="N2685">
        <v>0</v>
      </c>
      <c r="O2685">
        <v>-1.184032E-2</v>
      </c>
      <c r="P2685">
        <v>-0.99993750000000003</v>
      </c>
      <c r="Q2685">
        <v>1.0576439999999999E-2</v>
      </c>
      <c r="R2685">
        <v>3.6512720000000001E-3</v>
      </c>
      <c r="S2685">
        <v>-3.0057680000000002</v>
      </c>
      <c r="T2685">
        <v>-0.65626490000000004</v>
      </c>
      <c r="U2685">
        <v>0.37698359999999997</v>
      </c>
      <c r="V2685">
        <v>1.5537250000000001E-2</v>
      </c>
      <c r="W2685">
        <v>2.5227079999999999E-2</v>
      </c>
      <c r="X2685">
        <v>0.99956100000000003</v>
      </c>
      <c r="Y2685">
        <v>0.132828799999999</v>
      </c>
      <c r="Z2685">
        <v>1.6823899999999999E-2</v>
      </c>
      <c r="AA2685">
        <v>0.99099619999999999</v>
      </c>
      <c r="AB2685">
        <v>47</v>
      </c>
      <c r="AC2685">
        <v>-0.25060000000001897</v>
      </c>
      <c r="AD2685">
        <v>-0.15650809999999901</v>
      </c>
      <c r="AE2685">
        <v>9.5500000000015406E-2</v>
      </c>
      <c r="AF2685">
        <v>7.3446375823713203E-2</v>
      </c>
      <c r="AG2685">
        <v>-0.15650809999999901</v>
      </c>
      <c r="AH2685">
        <v>0.18607721391647999</v>
      </c>
      <c r="AI2685">
        <v>128.037982078086</v>
      </c>
      <c r="AJ2685">
        <v>68.460397668185905</v>
      </c>
      <c r="AK2685">
        <v>0.253995836631563</v>
      </c>
      <c r="AL2685">
        <v>88.554441435183406</v>
      </c>
      <c r="AM2685">
        <v>89.109461890839597</v>
      </c>
      <c r="AN2685">
        <v>1.00000000221194</v>
      </c>
    </row>
    <row r="2686" spans="1:40" x14ac:dyDescent="0.25">
      <c r="A2686" t="str">
        <f>"20190312153939040"</f>
        <v>20190312153939040</v>
      </c>
      <c r="B2686" t="str">
        <f>"1552376379028207"</f>
        <v>1552376379028207</v>
      </c>
      <c r="C2686" t="s">
        <v>40</v>
      </c>
      <c r="D2686">
        <v>4.1111950000000004</v>
      </c>
      <c r="E2686">
        <v>0.50593469999999996</v>
      </c>
      <c r="F2686" t="s">
        <v>41</v>
      </c>
      <c r="G2686">
        <v>-312.78820000000002</v>
      </c>
      <c r="H2686">
        <v>1.0225759999999999</v>
      </c>
      <c r="I2686">
        <v>283.24720000000002</v>
      </c>
      <c r="J2686">
        <v>-312.13479999999998</v>
      </c>
      <c r="K2686">
        <v>1.1088929999999999</v>
      </c>
      <c r="L2686">
        <v>283.2054</v>
      </c>
      <c r="M2686">
        <v>-0.99982939999999998</v>
      </c>
      <c r="N2686">
        <v>0</v>
      </c>
      <c r="O2686">
        <v>-1.121661E-2</v>
      </c>
      <c r="P2686">
        <v>-0.99994360000000004</v>
      </c>
      <c r="Q2686">
        <v>1.0168129999999999E-2</v>
      </c>
      <c r="R2686">
        <v>3.07698E-3</v>
      </c>
      <c r="S2686">
        <v>-3.0022890000000002</v>
      </c>
      <c r="T2686">
        <v>-0.2312129</v>
      </c>
      <c r="U2686">
        <v>9.7290039999999994E-2</v>
      </c>
      <c r="V2686">
        <v>1.433984E-2</v>
      </c>
      <c r="W2686">
        <v>2.4826190000000001E-2</v>
      </c>
      <c r="X2686">
        <v>0.9995889</v>
      </c>
      <c r="Y2686">
        <v>4.3436500000000003E-2</v>
      </c>
      <c r="Z2686">
        <v>2.532093E-3</v>
      </c>
      <c r="AA2686">
        <v>0.99905299999999997</v>
      </c>
      <c r="AB2686">
        <v>47</v>
      </c>
      <c r="AC2686">
        <v>-0.65340000000003295</v>
      </c>
      <c r="AD2686">
        <v>-8.6317000000000199E-2</v>
      </c>
      <c r="AE2686">
        <v>4.1800000000023298E-2</v>
      </c>
      <c r="AF2686">
        <v>4.8287828628982898E-2</v>
      </c>
      <c r="AG2686">
        <v>-8.6317000000000199E-2</v>
      </c>
      <c r="AH2686">
        <v>0.64173632498264699</v>
      </c>
      <c r="AI2686">
        <v>97.639274807399204</v>
      </c>
      <c r="AJ2686">
        <v>85.696854344889104</v>
      </c>
      <c r="AK2686">
        <v>0.64931336786249505</v>
      </c>
      <c r="AL2686">
        <v>88.577417890897607</v>
      </c>
      <c r="AM2686">
        <v>89.178106164247893</v>
      </c>
      <c r="AN2686">
        <v>0.99999996986217499</v>
      </c>
    </row>
    <row r="2687" spans="1:40" x14ac:dyDescent="0.25">
      <c r="A2687" t="str">
        <f>"20190312153939062"</f>
        <v>20190312153939062</v>
      </c>
      <c r="B2687" t="str">
        <f>"1552376379058463"</f>
        <v>1552376379058463</v>
      </c>
      <c r="C2687" t="s">
        <v>40</v>
      </c>
      <c r="D2687">
        <v>4.162007</v>
      </c>
      <c r="E2687">
        <v>0.50225200000000003</v>
      </c>
      <c r="F2687" t="s">
        <v>61</v>
      </c>
      <c r="G2687">
        <v>-337.9597</v>
      </c>
      <c r="H2687" s="1">
        <v>2.7426330000000001E-6</v>
      </c>
      <c r="I2687">
        <v>283.61680000000001</v>
      </c>
      <c r="J2687">
        <v>-312.58760000000001</v>
      </c>
      <c r="K2687">
        <v>1.1088769999999999</v>
      </c>
      <c r="L2687">
        <v>283.20080000000002</v>
      </c>
      <c r="M2687">
        <v>-0.99983599999999995</v>
      </c>
      <c r="N2687">
        <v>0</v>
      </c>
      <c r="O2687">
        <v>-1.0591690000000001E-2</v>
      </c>
      <c r="P2687">
        <v>-0.99994019999999995</v>
      </c>
      <c r="Q2687">
        <v>1.055947E-2</v>
      </c>
      <c r="R2687">
        <v>2.8709690000000001E-3</v>
      </c>
      <c r="S2687">
        <v>-3.0013429999999999</v>
      </c>
      <c r="T2687">
        <v>-0.12887419999999999</v>
      </c>
      <c r="U2687">
        <v>4.7821040000000002E-2</v>
      </c>
      <c r="V2687">
        <v>1.3510980000000001E-2</v>
      </c>
      <c r="W2687">
        <v>2.5222789999999998E-2</v>
      </c>
      <c r="X2687">
        <v>0.9995906</v>
      </c>
      <c r="Y2687">
        <v>2.6487630000000002E-2</v>
      </c>
      <c r="Z2687">
        <v>1.0229849999999999E-3</v>
      </c>
      <c r="AA2687">
        <v>0.9996486</v>
      </c>
      <c r="AB2687">
        <v>47</v>
      </c>
      <c r="AC2687">
        <v>-25.3720999999999</v>
      </c>
      <c r="AD2687">
        <v>-1.1088742573670001</v>
      </c>
      <c r="AE2687">
        <v>0.41599999999999598</v>
      </c>
      <c r="AF2687">
        <v>0.68343401403037696</v>
      </c>
      <c r="AG2687">
        <v>-1.1088742573670001</v>
      </c>
      <c r="AH2687">
        <v>25.317923577068498</v>
      </c>
      <c r="AI2687">
        <v>92.506925403219498</v>
      </c>
      <c r="AJ2687">
        <v>88.453728741851805</v>
      </c>
      <c r="AK2687">
        <v>25.3514090027451</v>
      </c>
      <c r="AL2687">
        <v>88.554687383801095</v>
      </c>
      <c r="AM2687">
        <v>89.225607970692593</v>
      </c>
      <c r="AN2687">
        <v>1.0000000516621499</v>
      </c>
    </row>
    <row r="2688" spans="1:40" x14ac:dyDescent="0.25">
      <c r="A2688" t="str">
        <f>"20190312153939076"</f>
        <v>20190312153939076</v>
      </c>
      <c r="B2688" t="str">
        <f>"1552376379068224"</f>
        <v>1552376379068224</v>
      </c>
      <c r="C2688" t="s">
        <v>40</v>
      </c>
      <c r="D2688">
        <v>4.1969750000000001</v>
      </c>
      <c r="E2688">
        <v>0.50169969999999997</v>
      </c>
      <c r="F2688" t="s">
        <v>61</v>
      </c>
      <c r="G2688">
        <v>-354.91160000000002</v>
      </c>
      <c r="H2688" s="1">
        <v>1.076893E-6</v>
      </c>
      <c r="I2688">
        <v>283.49</v>
      </c>
      <c r="J2688">
        <v>-312.87939999999998</v>
      </c>
      <c r="K2688">
        <v>1.108868</v>
      </c>
      <c r="L2688">
        <v>283.1979</v>
      </c>
      <c r="M2688">
        <v>-0.99984019999999996</v>
      </c>
      <c r="N2688">
        <v>0</v>
      </c>
      <c r="O2688">
        <v>-1.017858E-2</v>
      </c>
      <c r="P2688">
        <v>-0.99993960000000004</v>
      </c>
      <c r="Q2688">
        <v>1.0589690000000001E-2</v>
      </c>
      <c r="R2688">
        <v>2.9520060000000001E-3</v>
      </c>
      <c r="S2688">
        <v>-3.0009769999999998</v>
      </c>
      <c r="T2688">
        <v>-7.8624730000000004E-2</v>
      </c>
      <c r="U2688">
        <v>2.0507810000000001E-2</v>
      </c>
      <c r="V2688">
        <v>1.3179720000000001E-2</v>
      </c>
      <c r="W2688">
        <v>2.5255679999999999E-2</v>
      </c>
      <c r="X2688">
        <v>0.99959419999999999</v>
      </c>
      <c r="Y2688">
        <v>1.7003310000000001E-2</v>
      </c>
      <c r="Z2688">
        <v>4.8935489999999999E-4</v>
      </c>
      <c r="AA2688">
        <v>0.9998553</v>
      </c>
      <c r="AB2688">
        <v>47</v>
      </c>
      <c r="AC2688">
        <v>-42.032200000000003</v>
      </c>
      <c r="AD2688">
        <v>-1.1088669231070001</v>
      </c>
      <c r="AE2688">
        <v>0.29210000000000402</v>
      </c>
      <c r="AF2688">
        <v>0.719458479979041</v>
      </c>
      <c r="AG2688">
        <v>-1.1088669231070001</v>
      </c>
      <c r="AH2688">
        <v>41.9978205604056</v>
      </c>
      <c r="AI2688">
        <v>91.512205223081693</v>
      </c>
      <c r="AJ2688">
        <v>89.018570435705698</v>
      </c>
      <c r="AK2688">
        <v>42.018616566726699</v>
      </c>
      <c r="AL2688">
        <v>88.552802336598106</v>
      </c>
      <c r="AM2688">
        <v>89.244594880386799</v>
      </c>
      <c r="AN2688">
        <v>1.00000005953258</v>
      </c>
    </row>
    <row r="2689" spans="1:40" x14ac:dyDescent="0.25">
      <c r="A2689" t="str">
        <f>"20190312153939087"</f>
        <v>20190312153939087</v>
      </c>
      <c r="B2689" t="str">
        <f>"1552376379078958"</f>
        <v>1552376379078958</v>
      </c>
      <c r="C2689" t="s">
        <v>40</v>
      </c>
      <c r="D2689">
        <v>4.1555260000000001</v>
      </c>
      <c r="E2689">
        <v>0.50137569999999998</v>
      </c>
      <c r="F2689" t="s">
        <v>61</v>
      </c>
      <c r="G2689">
        <v>-359.69119999999998</v>
      </c>
      <c r="H2689" s="1">
        <v>3.6203899999999998E-6</v>
      </c>
      <c r="I2689">
        <v>283.4579</v>
      </c>
      <c r="J2689">
        <v>-313.11660000000001</v>
      </c>
      <c r="K2689">
        <v>1.1088610000000001</v>
      </c>
      <c r="L2689">
        <v>283.19580000000002</v>
      </c>
      <c r="M2689">
        <v>-0.99984379999999995</v>
      </c>
      <c r="N2689">
        <v>0</v>
      </c>
      <c r="O2689">
        <v>-9.8345220000000001E-3</v>
      </c>
      <c r="P2689">
        <v>-0.99993880000000002</v>
      </c>
      <c r="Q2689">
        <v>1.065046E-2</v>
      </c>
      <c r="R2689">
        <v>3.0306489999999998E-3</v>
      </c>
      <c r="S2689">
        <v>-3.0009160000000001</v>
      </c>
      <c r="T2689">
        <v>-7.1084739999999993E-2</v>
      </c>
      <c r="U2689">
        <v>1.6662599999999899E-2</v>
      </c>
      <c r="V2689">
        <v>1.291513E-2</v>
      </c>
      <c r="W2689">
        <v>2.5318130000000001E-2</v>
      </c>
      <c r="X2689">
        <v>0.99959600000000004</v>
      </c>
      <c r="Y2689">
        <v>1.538051E-2</v>
      </c>
      <c r="Z2689">
        <v>4.1508389999999999E-4</v>
      </c>
      <c r="AA2689">
        <v>0.99988160000000004</v>
      </c>
      <c r="AB2689">
        <v>47</v>
      </c>
      <c r="AC2689">
        <v>-46.574599999999897</v>
      </c>
      <c r="AD2689">
        <v>-1.1088573796100001</v>
      </c>
      <c r="AE2689">
        <v>0.26209999999997502</v>
      </c>
      <c r="AF2689">
        <v>0.71976767498776395</v>
      </c>
      <c r="AG2689">
        <v>-1.1088573796100001</v>
      </c>
      <c r="AH2689">
        <v>46.543387885993297</v>
      </c>
      <c r="AI2689">
        <v>91.364602867318297</v>
      </c>
      <c r="AJ2689">
        <v>89.114023175434298</v>
      </c>
      <c r="AK2689">
        <v>46.562158305863598</v>
      </c>
      <c r="AL2689">
        <v>88.5492229637956</v>
      </c>
      <c r="AM2689">
        <v>89.259759674353106</v>
      </c>
      <c r="AN2689">
        <v>0.99999998575280602</v>
      </c>
    </row>
    <row r="2690" spans="1:40" x14ac:dyDescent="0.25">
      <c r="A2690" t="str">
        <f>"20190312153939099"</f>
        <v>20190312153939099</v>
      </c>
      <c r="B2690" t="str">
        <f>"1552376379088719"</f>
        <v>1552376379088719</v>
      </c>
      <c r="C2690" t="s">
        <v>40</v>
      </c>
      <c r="D2690">
        <v>4.1824859999999999</v>
      </c>
      <c r="E2690">
        <v>0.50103220000000004</v>
      </c>
      <c r="F2690" t="s">
        <v>61</v>
      </c>
      <c r="G2690">
        <v>-364.04570000000001</v>
      </c>
      <c r="H2690" s="1">
        <v>6.1614490000000005E-7</v>
      </c>
      <c r="I2690">
        <v>283.44290000000001</v>
      </c>
      <c r="J2690">
        <v>-313.36160000000001</v>
      </c>
      <c r="K2690">
        <v>1.1088530000000001</v>
      </c>
      <c r="L2690">
        <v>283.1936</v>
      </c>
      <c r="M2690">
        <v>-0.99984720000000005</v>
      </c>
      <c r="N2690">
        <v>0</v>
      </c>
      <c r="O2690">
        <v>-9.4769950000000002E-3</v>
      </c>
      <c r="P2690">
        <v>-0.9999325</v>
      </c>
      <c r="Q2690">
        <v>1.113336E-2</v>
      </c>
      <c r="R2690">
        <v>3.3900369999999998E-3</v>
      </c>
      <c r="S2690">
        <v>-3.0008240000000002</v>
      </c>
      <c r="T2690">
        <v>-6.5335870000000004E-2</v>
      </c>
      <c r="U2690">
        <v>1.4556879999999999E-2</v>
      </c>
      <c r="V2690">
        <v>1.2918509999999999E-2</v>
      </c>
      <c r="W2690">
        <v>2.5801959999999999E-2</v>
      </c>
      <c r="X2690">
        <v>0.99958360000000002</v>
      </c>
      <c r="Y2690">
        <v>1.4322949999999999E-2</v>
      </c>
      <c r="Z2690">
        <v>3.6223959999999997E-4</v>
      </c>
      <c r="AA2690">
        <v>0.99989740000000005</v>
      </c>
      <c r="AB2690">
        <v>47</v>
      </c>
      <c r="AC2690">
        <v>-50.684100000000001</v>
      </c>
      <c r="AD2690">
        <v>-1.1088523838551001</v>
      </c>
      <c r="AE2690">
        <v>0.24930000000000499</v>
      </c>
      <c r="AF2690">
        <v>0.72932452042228502</v>
      </c>
      <c r="AG2690">
        <v>-1.1088523838551001</v>
      </c>
      <c r="AH2690">
        <v>50.655215784528401</v>
      </c>
      <c r="AI2690">
        <v>91.253885407335105</v>
      </c>
      <c r="AJ2690">
        <v>89.175122854165707</v>
      </c>
      <c r="AK2690">
        <v>50.6725996376978</v>
      </c>
      <c r="AL2690">
        <v>88.521492509132102</v>
      </c>
      <c r="AM2690">
        <v>89.259556784508902</v>
      </c>
      <c r="AN2690">
        <v>1.0000000012147101</v>
      </c>
    </row>
    <row r="2691" spans="1:40" x14ac:dyDescent="0.25">
      <c r="A2691" t="str">
        <f>"20190312153939110"</f>
        <v>20190312153939110</v>
      </c>
      <c r="B2691" t="str">
        <f>"1552376379098479"</f>
        <v>1552376379098479</v>
      </c>
      <c r="C2691" t="s">
        <v>40</v>
      </c>
      <c r="D2691">
        <v>4.1455760000000001</v>
      </c>
      <c r="E2691">
        <v>0.50081069999999905</v>
      </c>
      <c r="F2691" t="s">
        <v>61</v>
      </c>
      <c r="G2691">
        <v>-369.60950000000003</v>
      </c>
      <c r="H2691" s="1">
        <v>3.5769270000000001E-6</v>
      </c>
      <c r="I2691">
        <v>283.44189999999998</v>
      </c>
      <c r="J2691">
        <v>-313.6044</v>
      </c>
      <c r="K2691">
        <v>1.1088469999999999</v>
      </c>
      <c r="L2691">
        <v>283.19159999999999</v>
      </c>
      <c r="M2691">
        <v>-0.99985049999999998</v>
      </c>
      <c r="N2691">
        <v>0</v>
      </c>
      <c r="O2691">
        <v>-9.1151940000000001E-3</v>
      </c>
      <c r="P2691">
        <v>-0.99992950000000003</v>
      </c>
      <c r="Q2691">
        <v>1.1214419999999999E-2</v>
      </c>
      <c r="R2691">
        <v>3.896825E-3</v>
      </c>
      <c r="S2691">
        <v>-3.0008539999999999</v>
      </c>
      <c r="T2691">
        <v>-5.9157609999999999E-2</v>
      </c>
      <c r="U2691">
        <v>1.324463E-2</v>
      </c>
      <c r="V2691">
        <v>1.306421E-2</v>
      </c>
      <c r="W2691">
        <v>2.5883469999999999E-2</v>
      </c>
      <c r="X2691">
        <v>0.99957960000000001</v>
      </c>
      <c r="Y2691">
        <v>1.352509E-2</v>
      </c>
      <c r="Z2691">
        <v>3.1299369999999998E-4</v>
      </c>
      <c r="AA2691">
        <v>0.99990849999999998</v>
      </c>
      <c r="AB2691">
        <v>47</v>
      </c>
      <c r="AC2691">
        <v>-56.005099999999999</v>
      </c>
      <c r="AD2691">
        <v>-1.108843423073</v>
      </c>
      <c r="AE2691">
        <v>0.25029999999998098</v>
      </c>
      <c r="AF2691">
        <v>0.76054393876752302</v>
      </c>
      <c r="AG2691">
        <v>-1.108843423073</v>
      </c>
      <c r="AH2691">
        <v>55.978547915146102</v>
      </c>
      <c r="AI2691">
        <v>91.134682528921502</v>
      </c>
      <c r="AJ2691">
        <v>89.221607588370205</v>
      </c>
      <c r="AK2691">
        <v>55.994694279976201</v>
      </c>
      <c r="AL2691">
        <v>88.516820771302804</v>
      </c>
      <c r="AM2691">
        <v>89.251203726263597</v>
      </c>
      <c r="AN2691">
        <v>1.00000000216916</v>
      </c>
    </row>
    <row r="2692" spans="1:40" x14ac:dyDescent="0.25">
      <c r="A2692" t="str">
        <f>"20190312153939122"</f>
        <v>20190312153939122</v>
      </c>
      <c r="B2692" t="str">
        <f>"1552376379118975"</f>
        <v>1552376379118975</v>
      </c>
      <c r="C2692" t="s">
        <v>40</v>
      </c>
      <c r="D2692">
        <v>4.0935090000000001</v>
      </c>
      <c r="E2692">
        <v>0.50087250000000005</v>
      </c>
      <c r="F2692" t="s">
        <v>61</v>
      </c>
      <c r="G2692">
        <v>-375.0924</v>
      </c>
      <c r="H2692" s="1">
        <v>1.173122E-6</v>
      </c>
      <c r="I2692">
        <v>283.45979999999997</v>
      </c>
      <c r="J2692">
        <v>-313.85070000000002</v>
      </c>
      <c r="K2692">
        <v>1.10884</v>
      </c>
      <c r="L2692">
        <v>283.18950000000001</v>
      </c>
      <c r="M2692">
        <v>-0.99985369999999996</v>
      </c>
      <c r="N2692">
        <v>0</v>
      </c>
      <c r="O2692">
        <v>-8.7457690000000005E-3</v>
      </c>
      <c r="P2692">
        <v>-0.99992429999999999</v>
      </c>
      <c r="Q2692">
        <v>1.138815E-2</v>
      </c>
      <c r="R2692">
        <v>4.6532709999999996E-3</v>
      </c>
      <c r="S2692">
        <v>-3.0007929999999998</v>
      </c>
      <c r="T2692">
        <v>-5.411494E-2</v>
      </c>
      <c r="U2692">
        <v>1.3092039999999999E-2</v>
      </c>
      <c r="V2692">
        <v>1.345205E-2</v>
      </c>
      <c r="W2692">
        <v>2.605698E-2</v>
      </c>
      <c r="X2692">
        <v>0.99956999999999996</v>
      </c>
      <c r="Y2692">
        <v>1.3105729999999999E-2</v>
      </c>
      <c r="Z2692">
        <v>2.7588109999999999E-4</v>
      </c>
      <c r="AA2692">
        <v>0.99991410000000003</v>
      </c>
      <c r="AB2692">
        <v>47</v>
      </c>
      <c r="AC2692">
        <v>-61.241699999999902</v>
      </c>
      <c r="AD2692">
        <v>-1.1088388268780001</v>
      </c>
      <c r="AE2692">
        <v>0.27029999999996301</v>
      </c>
      <c r="AF2692">
        <v>0.80568918035975401</v>
      </c>
      <c r="AG2692">
        <v>-1.1088388268780001</v>
      </c>
      <c r="AH2692">
        <v>61.2169250084591</v>
      </c>
      <c r="AI2692">
        <v>91.037610731753603</v>
      </c>
      <c r="AJ2692">
        <v>89.245961398527797</v>
      </c>
      <c r="AK2692">
        <v>61.232267360360296</v>
      </c>
      <c r="AL2692">
        <v>88.506876104385299</v>
      </c>
      <c r="AM2692">
        <v>89.228969291724695</v>
      </c>
      <c r="AN2692">
        <v>1.0000000543779599</v>
      </c>
    </row>
    <row r="2693" spans="1:40" x14ac:dyDescent="0.25">
      <c r="A2693" t="str">
        <f>"20190312153939139"</f>
        <v>20190312153939139</v>
      </c>
      <c r="B2693" t="str">
        <f>"1552376379128735"</f>
        <v>1552376379128735</v>
      </c>
      <c r="C2693" t="s">
        <v>40</v>
      </c>
      <c r="D2693">
        <v>4.1019639999999997</v>
      </c>
      <c r="E2693">
        <v>0.50095329999999905</v>
      </c>
      <c r="F2693" t="s">
        <v>61</v>
      </c>
      <c r="G2693">
        <v>-390.94490000000002</v>
      </c>
      <c r="H2693" s="1">
        <v>-1.0339650000000001E-6</v>
      </c>
      <c r="I2693">
        <v>283.6114</v>
      </c>
      <c r="J2693">
        <v>-314.20229999999998</v>
      </c>
      <c r="K2693">
        <v>1.108827</v>
      </c>
      <c r="L2693">
        <v>283.18689999999998</v>
      </c>
      <c r="M2693">
        <v>-0.99985829999999998</v>
      </c>
      <c r="N2693">
        <v>0</v>
      </c>
      <c r="O2693">
        <v>-8.2127559999999999E-3</v>
      </c>
      <c r="P2693">
        <v>-0.99992210000000004</v>
      </c>
      <c r="Q2693">
        <v>1.1129740000000001E-2</v>
      </c>
      <c r="R2693">
        <v>5.6587349999999998E-3</v>
      </c>
      <c r="S2693">
        <v>-3.0006409999999999</v>
      </c>
      <c r="T2693">
        <v>-4.3158050000000003E-2</v>
      </c>
      <c r="U2693">
        <v>1.6418459999999999E-2</v>
      </c>
      <c r="V2693">
        <v>1.3924590000000001E-2</v>
      </c>
      <c r="W2693">
        <v>2.5798620000000001E-2</v>
      </c>
      <c r="X2693">
        <v>0.99957019999999996</v>
      </c>
      <c r="Y2693">
        <v>1.3682639999999999E-2</v>
      </c>
      <c r="Z2693">
        <v>2.165216E-4</v>
      </c>
      <c r="AA2693">
        <v>0.99990639999999997</v>
      </c>
      <c r="AB2693">
        <v>47</v>
      </c>
      <c r="AC2693">
        <v>-76.742599999999996</v>
      </c>
      <c r="AD2693">
        <v>-1.1088280339650001</v>
      </c>
      <c r="AE2693">
        <v>0.42450000000002303</v>
      </c>
      <c r="AF2693">
        <v>1.0546018312124199</v>
      </c>
      <c r="AG2693">
        <v>-1.1088280339650001</v>
      </c>
      <c r="AH2693">
        <v>76.720508604657496</v>
      </c>
      <c r="AI2693">
        <v>90.8279499785383</v>
      </c>
      <c r="AJ2693">
        <v>89.212460530531203</v>
      </c>
      <c r="AK2693">
        <v>76.735768225701804</v>
      </c>
      <c r="AL2693">
        <v>88.521683974250493</v>
      </c>
      <c r="AM2693">
        <v>89.201888335742197</v>
      </c>
      <c r="AN2693">
        <v>1.0000000238643001</v>
      </c>
    </row>
    <row r="2694" spans="1:40" x14ac:dyDescent="0.25">
      <c r="A2694" t="str">
        <f>"20190312153939154"</f>
        <v>20190312153939154</v>
      </c>
      <c r="B2694" t="str">
        <f>"1552376379148255"</f>
        <v>1552376379148255</v>
      </c>
      <c r="C2694" t="s">
        <v>40</v>
      </c>
      <c r="D2694">
        <v>4.1161450000000004</v>
      </c>
      <c r="E2694">
        <v>0.50075389999999997</v>
      </c>
      <c r="F2694" t="s">
        <v>61</v>
      </c>
      <c r="G2694">
        <v>-396.66269999999997</v>
      </c>
      <c r="H2694" s="1">
        <v>2.0087860000000002E-6</v>
      </c>
      <c r="I2694">
        <v>283.74369999999999</v>
      </c>
      <c r="J2694">
        <v>-314.50299999999999</v>
      </c>
      <c r="K2694">
        <v>1.1088199999999999</v>
      </c>
      <c r="L2694">
        <v>283.18470000000002</v>
      </c>
      <c r="M2694">
        <v>-0.99986200000000003</v>
      </c>
      <c r="N2694">
        <v>0</v>
      </c>
      <c r="O2694">
        <v>-7.7526169999999998E-3</v>
      </c>
      <c r="P2694">
        <v>-0.99991450000000004</v>
      </c>
      <c r="Q2694">
        <v>1.132506E-2</v>
      </c>
      <c r="R2694">
        <v>6.555015E-3</v>
      </c>
      <c r="S2694">
        <v>-3.0006409999999999</v>
      </c>
      <c r="T2694">
        <v>-4.0348889999999998E-2</v>
      </c>
      <c r="U2694">
        <v>2.0263670000000001E-2</v>
      </c>
      <c r="V2694">
        <v>1.4361779999999999E-2</v>
      </c>
      <c r="W2694">
        <v>2.599311E-2</v>
      </c>
      <c r="X2694">
        <v>0.99955890000000003</v>
      </c>
      <c r="Y2694">
        <v>1.4504019999999999E-2</v>
      </c>
      <c r="Z2694">
        <v>2.0176330000000001E-4</v>
      </c>
      <c r="AA2694">
        <v>0.99989479999999997</v>
      </c>
      <c r="AB2694">
        <v>47</v>
      </c>
      <c r="AC2694">
        <v>-82.159699999999901</v>
      </c>
      <c r="AD2694">
        <v>-1.1088179912139999</v>
      </c>
      <c r="AE2694">
        <v>0.55899999999996897</v>
      </c>
      <c r="AF2694">
        <v>1.1957868580943101</v>
      </c>
      <c r="AG2694">
        <v>-1.1088179912139999</v>
      </c>
      <c r="AH2694">
        <v>82.137936398582994</v>
      </c>
      <c r="AI2694">
        <v>90.773333310112207</v>
      </c>
      <c r="AJ2694">
        <v>89.165931073344396</v>
      </c>
      <c r="AK2694">
        <v>82.154123325401699</v>
      </c>
      <c r="AL2694">
        <v>88.510536667851895</v>
      </c>
      <c r="AM2694">
        <v>89.176824134972904</v>
      </c>
      <c r="AN2694">
        <v>0.99999994853072305</v>
      </c>
    </row>
    <row r="2695" spans="1:40" x14ac:dyDescent="0.25">
      <c r="A2695" t="str">
        <f>"20190312153939165"</f>
        <v>20190312153939165</v>
      </c>
      <c r="B2695" t="str">
        <f>"1552376379158991"</f>
        <v>1552376379158991</v>
      </c>
      <c r="C2695" t="s">
        <v>40</v>
      </c>
      <c r="D2695">
        <v>4.1357650000000001</v>
      </c>
      <c r="E2695">
        <v>0.50067119999999998</v>
      </c>
      <c r="F2695" t="s">
        <v>62</v>
      </c>
      <c r="G2695">
        <v>-406.11470000000003</v>
      </c>
      <c r="H2695" s="1">
        <v>5.849958E-6</v>
      </c>
      <c r="I2695">
        <v>283.84530000000001</v>
      </c>
      <c r="J2695">
        <v>-314.7407</v>
      </c>
      <c r="K2695">
        <v>1.1088150000000001</v>
      </c>
      <c r="L2695">
        <v>283.18310000000002</v>
      </c>
      <c r="M2695">
        <v>-0.99986470000000005</v>
      </c>
      <c r="N2695">
        <v>0</v>
      </c>
      <c r="O2695">
        <v>-7.3866890000000001E-3</v>
      </c>
      <c r="P2695">
        <v>-0.99990889999999999</v>
      </c>
      <c r="Q2695">
        <v>1.133956E-2</v>
      </c>
      <c r="R2695">
        <v>7.3329629999999996E-3</v>
      </c>
      <c r="S2695">
        <v>-3.0005489999999999</v>
      </c>
      <c r="T2695">
        <v>-3.6316870000000001E-2</v>
      </c>
      <c r="U2695">
        <v>2.163696E-2</v>
      </c>
      <c r="V2695">
        <v>1.477416E-2</v>
      </c>
      <c r="W2695">
        <v>2.6006930000000001E-2</v>
      </c>
      <c r="X2695">
        <v>0.99955260000000001</v>
      </c>
      <c r="Y2695">
        <v>1.45963E-2</v>
      </c>
      <c r="Z2695">
        <v>1.777374E-4</v>
      </c>
      <c r="AA2695">
        <v>0.99989340000000004</v>
      </c>
      <c r="AB2695">
        <v>47</v>
      </c>
      <c r="AC2695">
        <v>-91.373999999999995</v>
      </c>
      <c r="AD2695">
        <v>-1.1088091500420001</v>
      </c>
      <c r="AE2695">
        <v>0.66219999999998402</v>
      </c>
      <c r="AF2695">
        <v>1.3370092932915401</v>
      </c>
      <c r="AG2695">
        <v>-1.1088091500420001</v>
      </c>
      <c r="AH2695">
        <v>91.3531631555324</v>
      </c>
      <c r="AI2695">
        <v>90.695325272472402</v>
      </c>
      <c r="AJ2695">
        <v>89.161501166371593</v>
      </c>
      <c r="AK2695">
        <v>91.369674783830206</v>
      </c>
      <c r="AL2695">
        <v>88.509744676196604</v>
      </c>
      <c r="AM2695">
        <v>89.153185758464303</v>
      </c>
      <c r="AN2695">
        <v>1.0000000181892399</v>
      </c>
    </row>
    <row r="2696" spans="1:40" x14ac:dyDescent="0.25">
      <c r="A2696" t="str">
        <f>"20190312153939177"</f>
        <v>20190312153939177</v>
      </c>
      <c r="B2696" t="str">
        <f>"1552376379168752"</f>
        <v>1552376379168752</v>
      </c>
      <c r="C2696" t="s">
        <v>40</v>
      </c>
      <c r="D2696">
        <v>4.1310640000000003</v>
      </c>
      <c r="E2696">
        <v>0.50060499999999997</v>
      </c>
      <c r="F2696" t="s">
        <v>62</v>
      </c>
      <c r="G2696">
        <v>-411.06270000000001</v>
      </c>
      <c r="H2696" s="1">
        <v>2.453858E-6</v>
      </c>
      <c r="I2696">
        <v>283.93450000000001</v>
      </c>
      <c r="J2696">
        <v>-314.99009999999998</v>
      </c>
      <c r="K2696">
        <v>1.1088100000000001</v>
      </c>
      <c r="L2696">
        <v>283.18150000000003</v>
      </c>
      <c r="M2696">
        <v>-0.99986750000000002</v>
      </c>
      <c r="N2696">
        <v>0</v>
      </c>
      <c r="O2696">
        <v>-7.0021650000000003E-3</v>
      </c>
      <c r="P2696">
        <v>-0.99990840000000003</v>
      </c>
      <c r="Q2696">
        <v>1.1092100000000001E-2</v>
      </c>
      <c r="R2696">
        <v>7.7834610000000002E-3</v>
      </c>
      <c r="S2696">
        <v>-3.0004879999999998</v>
      </c>
      <c r="T2696">
        <v>-3.4540179999999997E-2</v>
      </c>
      <c r="U2696">
        <v>2.3406980000000001E-2</v>
      </c>
      <c r="V2696">
        <v>1.484007E-2</v>
      </c>
      <c r="W2696">
        <v>2.5759540000000001E-2</v>
      </c>
      <c r="X2696">
        <v>0.99955799999999995</v>
      </c>
      <c r="Y2696">
        <v>1.480189E-2</v>
      </c>
      <c r="Z2696">
        <v>1.658024E-4</v>
      </c>
      <c r="AA2696">
        <v>0.99989039999999996</v>
      </c>
      <c r="AB2696">
        <v>47</v>
      </c>
      <c r="AC2696">
        <v>-96.072599999999994</v>
      </c>
      <c r="AD2696">
        <v>-1.1088075461419999</v>
      </c>
      <c r="AE2696">
        <v>0.75299999999998501</v>
      </c>
      <c r="AF2696">
        <v>1.42558050245826</v>
      </c>
      <c r="AG2696">
        <v>-1.1088075461419999</v>
      </c>
      <c r="AH2696">
        <v>96.052177397625599</v>
      </c>
      <c r="AI2696">
        <v>90.661309067987006</v>
      </c>
      <c r="AJ2696">
        <v>89.149693929239902</v>
      </c>
      <c r="AK2696">
        <v>96.069154866524698</v>
      </c>
      <c r="AL2696">
        <v>88.523923785392796</v>
      </c>
      <c r="AM2696">
        <v>89.149413126786797</v>
      </c>
      <c r="AN2696">
        <v>0.999999988471308</v>
      </c>
    </row>
    <row r="2697" spans="1:40" x14ac:dyDescent="0.25">
      <c r="A2697" t="str">
        <f>"20190312153939190"</f>
        <v>20190312153939190</v>
      </c>
      <c r="B2697" t="str">
        <f>"1552376379178511"</f>
        <v>1552376379178511</v>
      </c>
      <c r="C2697" t="s">
        <v>40</v>
      </c>
      <c r="D2697">
        <v>4.1267559999999897</v>
      </c>
      <c r="E2697">
        <v>0.50051239999999997</v>
      </c>
      <c r="F2697" t="s">
        <v>62</v>
      </c>
      <c r="G2697">
        <v>-411.44740000000002</v>
      </c>
      <c r="H2697" s="1">
        <v>2.5195880000000001E-6</v>
      </c>
      <c r="I2697">
        <v>283.96339999999998</v>
      </c>
      <c r="J2697">
        <v>-315.26339999999999</v>
      </c>
      <c r="K2697">
        <v>1.10880499999999</v>
      </c>
      <c r="L2697">
        <v>283.17989999999998</v>
      </c>
      <c r="M2697">
        <v>-0.99987040000000005</v>
      </c>
      <c r="N2697">
        <v>0</v>
      </c>
      <c r="O2697">
        <v>-6.5781919999999897E-3</v>
      </c>
      <c r="P2697">
        <v>-0.99990319999999999</v>
      </c>
      <c r="Q2697">
        <v>1.1106670000000001E-2</v>
      </c>
      <c r="R2697">
        <v>8.3862090000000004E-3</v>
      </c>
      <c r="S2697">
        <v>-3.0004580000000001</v>
      </c>
      <c r="T2697">
        <v>-3.4491180000000003E-2</v>
      </c>
      <c r="U2697">
        <v>2.4322509999999999E-2</v>
      </c>
      <c r="V2697">
        <v>1.5019050000000001E-2</v>
      </c>
      <c r="W2697">
        <v>2.5773359999999999E-2</v>
      </c>
      <c r="X2697">
        <v>0.99955499999999997</v>
      </c>
      <c r="Y2697">
        <v>1.4683109999999999E-2</v>
      </c>
      <c r="Z2697">
        <v>1.6001209999999999E-4</v>
      </c>
      <c r="AA2697">
        <v>0.99989220000000001</v>
      </c>
      <c r="AB2697">
        <v>47</v>
      </c>
      <c r="AC2697">
        <v>-96.183999999999997</v>
      </c>
      <c r="AD2697">
        <v>-1.10880248041199</v>
      </c>
      <c r="AE2697">
        <v>0.78350000000000297</v>
      </c>
      <c r="AF2697">
        <v>1.4160800047381701</v>
      </c>
      <c r="AG2697">
        <v>-1.10880248041199</v>
      </c>
      <c r="AH2697">
        <v>96.163985201443595</v>
      </c>
      <c r="AI2697">
        <v>90.660538361694293</v>
      </c>
      <c r="AJ2697">
        <v>89.156341704248405</v>
      </c>
      <c r="AK2697">
        <v>96.1808025301507</v>
      </c>
      <c r="AL2697">
        <v>88.5231317383288</v>
      </c>
      <c r="AM2697">
        <v>89.139153498512201</v>
      </c>
      <c r="AN2697">
        <v>1.0000000179867901</v>
      </c>
    </row>
    <row r="2698" spans="1:40" x14ac:dyDescent="0.25">
      <c r="A2698" t="str">
        <f>"20190312153939207"</f>
        <v>20190312153939207</v>
      </c>
      <c r="B2698" t="str">
        <f>"1552376379198032"</f>
        <v>1552376379198032</v>
      </c>
      <c r="C2698" t="s">
        <v>40</v>
      </c>
      <c r="D2698">
        <v>4.1284429999999999</v>
      </c>
      <c r="E2698">
        <v>0.50036919999999996</v>
      </c>
      <c r="F2698" t="s">
        <v>62</v>
      </c>
      <c r="G2698">
        <v>-416.50259999999997</v>
      </c>
      <c r="H2698" s="1">
        <v>3.4094349999999998E-6</v>
      </c>
      <c r="I2698">
        <v>284.04180000000002</v>
      </c>
      <c r="J2698">
        <v>-315.61689999999999</v>
      </c>
      <c r="K2698">
        <v>1.1087959999999999</v>
      </c>
      <c r="L2698">
        <v>283.178</v>
      </c>
      <c r="M2698">
        <v>-0.99987369999999998</v>
      </c>
      <c r="N2698">
        <v>0</v>
      </c>
      <c r="O2698">
        <v>-6.0291569999999899E-3</v>
      </c>
      <c r="P2698">
        <v>-0.99989680000000003</v>
      </c>
      <c r="Q2698">
        <v>1.1092930000000001E-2</v>
      </c>
      <c r="R2698">
        <v>9.1253930000000007E-3</v>
      </c>
      <c r="S2698">
        <v>-3.000397</v>
      </c>
      <c r="T2698">
        <v>-3.2861229999999998E-2</v>
      </c>
      <c r="U2698">
        <v>2.554321E-2</v>
      </c>
      <c r="V2698">
        <v>1.520964E-2</v>
      </c>
      <c r="W2698">
        <v>2.575906E-2</v>
      </c>
      <c r="X2698">
        <v>0.99955249999999995</v>
      </c>
      <c r="Y2698">
        <v>1.4541170000000001E-2</v>
      </c>
      <c r="Z2698">
        <v>1.45663E-4</v>
      </c>
      <c r="AA2698">
        <v>0.99989430000000001</v>
      </c>
      <c r="AB2698">
        <v>47</v>
      </c>
      <c r="AC2698">
        <v>-100.8857</v>
      </c>
      <c r="AD2698">
        <v>-1.10879259056499</v>
      </c>
      <c r="AE2698">
        <v>0.86380000000002599</v>
      </c>
      <c r="AF2698">
        <v>1.47192800875833</v>
      </c>
      <c r="AG2698">
        <v>-1.10879259056499</v>
      </c>
      <c r="AH2698">
        <v>100.866474342374</v>
      </c>
      <c r="AI2698">
        <v>90.629741597168703</v>
      </c>
      <c r="AJ2698">
        <v>89.163951376902105</v>
      </c>
      <c r="AK2698">
        <v>100.883307040028</v>
      </c>
      <c r="AL2698">
        <v>88.523951359710594</v>
      </c>
      <c r="AM2698">
        <v>89.128228951666898</v>
      </c>
      <c r="AN2698">
        <v>1.0000000312886299</v>
      </c>
    </row>
    <row r="2699" spans="1:40" x14ac:dyDescent="0.25">
      <c r="A2699" t="str">
        <f>"20190312153939229"</f>
        <v>20190312153939229</v>
      </c>
      <c r="B2699" t="str">
        <f>"1552376379218527"</f>
        <v>1552376379218527</v>
      </c>
      <c r="C2699" t="s">
        <v>40</v>
      </c>
      <c r="D2699">
        <v>4.1298430000000002</v>
      </c>
      <c r="E2699">
        <v>0.50014529999999902</v>
      </c>
      <c r="F2699" t="s">
        <v>62</v>
      </c>
      <c r="G2699">
        <v>-422.35309999999998</v>
      </c>
      <c r="H2699" s="1">
        <v>3.5898159999999999E-6</v>
      </c>
      <c r="I2699">
        <v>284.12900000000002</v>
      </c>
      <c r="J2699">
        <v>-316.0641</v>
      </c>
      <c r="K2699">
        <v>1.1087929999999999</v>
      </c>
      <c r="L2699">
        <v>283.17579999999998</v>
      </c>
      <c r="M2699">
        <v>-0.99987769999999998</v>
      </c>
      <c r="N2699">
        <v>0</v>
      </c>
      <c r="O2699">
        <v>-5.3337280000000003E-3</v>
      </c>
      <c r="P2699">
        <v>-0.99989799999999995</v>
      </c>
      <c r="Q2699">
        <v>1.0813980000000001E-2</v>
      </c>
      <c r="R2699">
        <v>9.3268310000000007E-3</v>
      </c>
      <c r="S2699">
        <v>-3.0004270000000002</v>
      </c>
      <c r="T2699">
        <v>-3.1168939999999999E-2</v>
      </c>
      <c r="U2699">
        <v>2.6733400000000001E-2</v>
      </c>
      <c r="V2699">
        <v>1.471545E-2</v>
      </c>
      <c r="W2699">
        <v>2.5480679999999999E-2</v>
      </c>
      <c r="X2699">
        <v>0.99956699999999998</v>
      </c>
      <c r="Y2699">
        <v>1.424242E-2</v>
      </c>
      <c r="Z2699">
        <v>1.2938399999999999E-4</v>
      </c>
      <c r="AA2699">
        <v>0.99989859999999997</v>
      </c>
      <c r="AB2699">
        <v>46</v>
      </c>
      <c r="AC2699">
        <v>-106.289</v>
      </c>
      <c r="AD2699">
        <v>-1.1087894101839999</v>
      </c>
      <c r="AE2699">
        <v>0.95320000000003802</v>
      </c>
      <c r="AF2699">
        <v>1.5199989314764799</v>
      </c>
      <c r="AG2699">
        <v>-1.1087894101839999</v>
      </c>
      <c r="AH2699">
        <v>106.27083931094</v>
      </c>
      <c r="AI2699">
        <v>90.5977194898622</v>
      </c>
      <c r="AJ2699">
        <v>89.180550505927599</v>
      </c>
      <c r="AK2699">
        <v>106.28749267227801</v>
      </c>
      <c r="AL2699">
        <v>88.539906547677205</v>
      </c>
      <c r="AM2699">
        <v>89.156562516360694</v>
      </c>
      <c r="AN2699">
        <v>0.99999999850548205</v>
      </c>
    </row>
    <row r="2700" spans="1:40" x14ac:dyDescent="0.25">
      <c r="A2700" t="str">
        <f>"20190312153939242"</f>
        <v>20190312153939242</v>
      </c>
      <c r="B2700" t="str">
        <f>"1552376379239023"</f>
        <v>1552376379239023</v>
      </c>
      <c r="C2700" t="s">
        <v>40</v>
      </c>
      <c r="D2700">
        <v>4.0894620000000002</v>
      </c>
      <c r="E2700">
        <v>0.49996699999999999</v>
      </c>
      <c r="F2700" t="s">
        <v>62</v>
      </c>
      <c r="G2700">
        <v>-426.52769999999998</v>
      </c>
      <c r="H2700" s="1">
        <v>2.8504069999999998E-6</v>
      </c>
      <c r="I2700">
        <v>284.11619999999999</v>
      </c>
      <c r="J2700">
        <v>-316.34160000000003</v>
      </c>
      <c r="K2700">
        <v>1.108786</v>
      </c>
      <c r="L2700">
        <v>283.1746</v>
      </c>
      <c r="M2700">
        <v>-0.99987990000000004</v>
      </c>
      <c r="N2700">
        <v>0</v>
      </c>
      <c r="O2700">
        <v>-4.901908E-3</v>
      </c>
      <c r="P2700">
        <v>-0.99989729999999999</v>
      </c>
      <c r="Q2700">
        <v>1.074395E-2</v>
      </c>
      <c r="R2700">
        <v>9.4931570000000003E-3</v>
      </c>
      <c r="S2700">
        <v>-3.000397</v>
      </c>
      <c r="T2700">
        <v>-3.0116799999999999E-2</v>
      </c>
      <c r="U2700">
        <v>2.554321E-2</v>
      </c>
      <c r="V2700">
        <v>1.445015E-2</v>
      </c>
      <c r="W2700">
        <v>2.541061E-2</v>
      </c>
      <c r="X2700">
        <v>0.99957260000000003</v>
      </c>
      <c r="Y2700">
        <v>1.3414209999999999E-2</v>
      </c>
      <c r="Z2700">
        <v>1.165271E-4</v>
      </c>
      <c r="AA2700">
        <v>0.99990999999999997</v>
      </c>
      <c r="AB2700">
        <v>46</v>
      </c>
      <c r="AC2700">
        <v>-110.186099999999</v>
      </c>
      <c r="AD2700">
        <v>-1.1087831495930001</v>
      </c>
      <c r="AE2700">
        <v>0.941599999999994</v>
      </c>
      <c r="AF2700">
        <v>1.4816191764867801</v>
      </c>
      <c r="AG2700">
        <v>-1.1087831495930001</v>
      </c>
      <c r="AH2700">
        <v>110.16900481365499</v>
      </c>
      <c r="AI2700">
        <v>90.576575112418993</v>
      </c>
      <c r="AJ2700">
        <v>89.229498274479795</v>
      </c>
      <c r="AK2700">
        <v>110.184546180887</v>
      </c>
      <c r="AL2700">
        <v>88.543922484371905</v>
      </c>
      <c r="AM2700">
        <v>89.171771074681601</v>
      </c>
      <c r="AN2700">
        <v>0.99999994430317496</v>
      </c>
    </row>
    <row r="2701" spans="1:40" x14ac:dyDescent="0.25">
      <c r="A2701" t="str">
        <f>"20190312153939255"</f>
        <v>20190312153939255</v>
      </c>
      <c r="B2701" t="str">
        <f>"1552376379248783"</f>
        <v>1552376379248783</v>
      </c>
      <c r="C2701" t="s">
        <v>40</v>
      </c>
      <c r="D2701">
        <v>4.100142</v>
      </c>
      <c r="E2701">
        <v>0.49990020000000002</v>
      </c>
      <c r="F2701" t="s">
        <v>62</v>
      </c>
      <c r="G2701">
        <v>-429.7654</v>
      </c>
      <c r="H2701" s="1">
        <v>2.2766189999999998E-6</v>
      </c>
      <c r="I2701">
        <v>284.1103</v>
      </c>
      <c r="J2701">
        <v>-316.61149999999998</v>
      </c>
      <c r="K2701">
        <v>1.1087830000000001</v>
      </c>
      <c r="L2701">
        <v>283.17360000000002</v>
      </c>
      <c r="M2701">
        <v>-0.99988200000000005</v>
      </c>
      <c r="N2701">
        <v>0</v>
      </c>
      <c r="O2701">
        <v>-4.4822519999999999E-3</v>
      </c>
      <c r="P2701">
        <v>-0.9998977</v>
      </c>
      <c r="Q2701">
        <v>1.036922E-2</v>
      </c>
      <c r="R2701">
        <v>9.8503080000000003E-3</v>
      </c>
      <c r="S2701">
        <v>-3.000397</v>
      </c>
      <c r="T2701">
        <v>-2.933061E-2</v>
      </c>
      <c r="U2701">
        <v>2.4749759999999999E-2</v>
      </c>
      <c r="V2701">
        <v>1.438703E-2</v>
      </c>
      <c r="W2701">
        <v>2.5035930000000001E-2</v>
      </c>
      <c r="X2701">
        <v>0.999583</v>
      </c>
      <c r="Y2701">
        <v>1.273023E-2</v>
      </c>
      <c r="Z2701">
        <v>1.060397E-4</v>
      </c>
      <c r="AA2701">
        <v>0.99991890000000005</v>
      </c>
      <c r="AB2701">
        <v>46</v>
      </c>
      <c r="AC2701">
        <v>-113.15389999999999</v>
      </c>
      <c r="AD2701">
        <v>-1.1087807233810001</v>
      </c>
      <c r="AE2701">
        <v>0.936699999999973</v>
      </c>
      <c r="AF2701">
        <v>1.4437910210403999</v>
      </c>
      <c r="AG2701">
        <v>-1.1087807233810001</v>
      </c>
      <c r="AH2701">
        <v>113.137701604127</v>
      </c>
      <c r="AI2701">
        <v>90.561450775908</v>
      </c>
      <c r="AJ2701">
        <v>89.268867577130607</v>
      </c>
      <c r="AK2701">
        <v>113.15234620399799</v>
      </c>
      <c r="AL2701">
        <v>88.565396950614797</v>
      </c>
      <c r="AM2701">
        <v>89.175396956328996</v>
      </c>
      <c r="AN2701">
        <v>0.99999997915609196</v>
      </c>
    </row>
    <row r="2702" spans="1:40" x14ac:dyDescent="0.25">
      <c r="A2702" t="str">
        <f>"20190312153939267"</f>
        <v>20190312153939267</v>
      </c>
      <c r="B2702" t="str">
        <f>"1552376379258544"</f>
        <v>1552376379258544</v>
      </c>
      <c r="C2702" t="s">
        <v>40</v>
      </c>
      <c r="D2702">
        <v>4.0697140000000003</v>
      </c>
      <c r="E2702">
        <v>0.49981350000000002</v>
      </c>
      <c r="F2702" t="s">
        <v>62</v>
      </c>
      <c r="G2702">
        <v>-428.26589999999999</v>
      </c>
      <c r="H2702" s="1">
        <v>2.5424949999999999E-6</v>
      </c>
      <c r="I2702">
        <v>284.11160000000001</v>
      </c>
      <c r="J2702">
        <v>-316.85230000000001</v>
      </c>
      <c r="K2702">
        <v>1.108779</v>
      </c>
      <c r="L2702">
        <v>283.17270000000002</v>
      </c>
      <c r="M2702">
        <v>-0.99988370000000004</v>
      </c>
      <c r="N2702">
        <v>0</v>
      </c>
      <c r="O2702">
        <v>-4.1075469999999996E-3</v>
      </c>
      <c r="P2702">
        <v>-0.99989720000000004</v>
      </c>
      <c r="Q2702">
        <v>1.007771E-2</v>
      </c>
      <c r="R2702">
        <v>1.0208999999999999E-2</v>
      </c>
      <c r="S2702">
        <v>-3.0003660000000001</v>
      </c>
      <c r="T2702">
        <v>-2.979505E-2</v>
      </c>
      <c r="U2702">
        <v>2.5207520000000001E-2</v>
      </c>
      <c r="V2702">
        <v>1.437049E-2</v>
      </c>
      <c r="W2702">
        <v>2.474372E-2</v>
      </c>
      <c r="X2702">
        <v>0.99959050000000005</v>
      </c>
      <c r="Y2702">
        <v>1.2508139999999999E-2</v>
      </c>
      <c r="Z2702">
        <v>1.0289590000000001E-4</v>
      </c>
      <c r="AA2702">
        <v>0.99992170000000002</v>
      </c>
      <c r="AB2702">
        <v>46</v>
      </c>
      <c r="AC2702">
        <v>-111.41359999999899</v>
      </c>
      <c r="AD2702">
        <v>-1.1087764575049901</v>
      </c>
      <c r="AE2702">
        <v>0.93889999999998897</v>
      </c>
      <c r="AF2702">
        <v>1.3964397497101499</v>
      </c>
      <c r="AG2702">
        <v>-1.1087764575049901</v>
      </c>
      <c r="AH2702">
        <v>111.39777084363701</v>
      </c>
      <c r="AI2702">
        <v>90.570218980334502</v>
      </c>
      <c r="AJ2702">
        <v>89.281799691163201</v>
      </c>
      <c r="AK2702">
        <v>111.41204054382401</v>
      </c>
      <c r="AL2702">
        <v>88.5821445193274</v>
      </c>
      <c r="AM2702">
        <v>89.176351006824703</v>
      </c>
      <c r="AN2702">
        <v>0.99999996517626299</v>
      </c>
    </row>
    <row r="2703" spans="1:40" x14ac:dyDescent="0.25">
      <c r="A2703" t="str">
        <f>"20190312153939279"</f>
        <v>20190312153939279</v>
      </c>
      <c r="B2703" t="str">
        <f>"1552376379268303"</f>
        <v>1552376379268303</v>
      </c>
      <c r="C2703" t="s">
        <v>40</v>
      </c>
      <c r="D2703">
        <v>4.0561629999999997</v>
      </c>
      <c r="E2703">
        <v>0.49973659999999998</v>
      </c>
      <c r="F2703" t="s">
        <v>62</v>
      </c>
      <c r="G2703">
        <v>-427.3954</v>
      </c>
      <c r="H2703" s="1">
        <v>2.695913E-6</v>
      </c>
      <c r="I2703">
        <v>284.12279999999998</v>
      </c>
      <c r="J2703">
        <v>-317.10430000000002</v>
      </c>
      <c r="K2703">
        <v>1.1087769999999999</v>
      </c>
      <c r="L2703">
        <v>283.17189999999999</v>
      </c>
      <c r="M2703">
        <v>-0.99988509999999997</v>
      </c>
      <c r="N2703">
        <v>0</v>
      </c>
      <c r="O2703">
        <v>-3.7154390000000001E-3</v>
      </c>
      <c r="P2703">
        <v>-0.99989839999999997</v>
      </c>
      <c r="Q2703">
        <v>9.8010619999999993E-3</v>
      </c>
      <c r="R2703">
        <v>1.0361209999999999E-2</v>
      </c>
      <c r="S2703">
        <v>-3.0003359999999999</v>
      </c>
      <c r="T2703">
        <v>-3.009415E-2</v>
      </c>
      <c r="U2703">
        <v>2.5787350000000001E-2</v>
      </c>
      <c r="V2703">
        <v>1.413034E-2</v>
      </c>
      <c r="W2703">
        <v>2.4466760000000001E-2</v>
      </c>
      <c r="X2703">
        <v>0.99960079999999996</v>
      </c>
      <c r="Y2703">
        <v>1.230934E-2</v>
      </c>
      <c r="Z2703" s="1">
        <v>9.8999580000000005E-5</v>
      </c>
      <c r="AA2703">
        <v>0.99992420000000004</v>
      </c>
      <c r="AB2703">
        <v>46</v>
      </c>
      <c r="AC2703">
        <v>-110.29109999999901</v>
      </c>
      <c r="AD2703">
        <v>-1.108774304087</v>
      </c>
      <c r="AE2703">
        <v>0.95089999999998998</v>
      </c>
      <c r="AF2703">
        <v>1.3605800510238</v>
      </c>
      <c r="AG2703">
        <v>-1.108774304087</v>
      </c>
      <c r="AH2703">
        <v>110.275660885337</v>
      </c>
      <c r="AI2703">
        <v>90.576021151234102</v>
      </c>
      <c r="AJ2703">
        <v>89.293121086458598</v>
      </c>
      <c r="AK2703">
        <v>110.289627536911</v>
      </c>
      <c r="AL2703">
        <v>88.5980180474224</v>
      </c>
      <c r="AM2703">
        <v>89.190121772032299</v>
      </c>
      <c r="AN2703">
        <v>1.0000000241070199</v>
      </c>
    </row>
    <row r="2704" spans="1:40" x14ac:dyDescent="0.25">
      <c r="A2704" t="str">
        <f>"20190312153939290"</f>
        <v>20190312153939290</v>
      </c>
      <c r="B2704" t="str">
        <f>"1552376379279040"</f>
        <v>1552376379279040</v>
      </c>
      <c r="C2704" t="s">
        <v>40</v>
      </c>
      <c r="D2704">
        <v>4.029757</v>
      </c>
      <c r="E2704">
        <v>0.4997625</v>
      </c>
      <c r="F2704" t="s">
        <v>62</v>
      </c>
      <c r="G2704">
        <v>-426.19819999999999</v>
      </c>
      <c r="H2704" s="1">
        <v>2.910313E-6</v>
      </c>
      <c r="I2704">
        <v>284.09960000000001</v>
      </c>
      <c r="J2704">
        <v>-317.34780000000001</v>
      </c>
      <c r="K2704">
        <v>1.1087720000000001</v>
      </c>
      <c r="L2704">
        <v>283.17129999999997</v>
      </c>
      <c r="M2704">
        <v>-0.99988659999999996</v>
      </c>
      <c r="N2704">
        <v>0</v>
      </c>
      <c r="O2704">
        <v>-3.336454E-3</v>
      </c>
      <c r="P2704">
        <v>-0.99989550000000005</v>
      </c>
      <c r="Q2704">
        <v>9.5129780000000001E-3</v>
      </c>
      <c r="R2704">
        <v>1.0906600000000001E-2</v>
      </c>
      <c r="S2704">
        <v>-3.0003359999999999</v>
      </c>
      <c r="T2704">
        <v>-3.0493860000000001E-2</v>
      </c>
      <c r="U2704">
        <v>2.5512699999999999E-2</v>
      </c>
      <c r="V2704">
        <v>1.429616E-2</v>
      </c>
      <c r="W2704">
        <v>2.417741E-2</v>
      </c>
      <c r="X2704">
        <v>0.99960550000000004</v>
      </c>
      <c r="Y2704">
        <v>1.183884E-2</v>
      </c>
      <c r="Z2704" s="1">
        <v>9.4071509999999996E-5</v>
      </c>
      <c r="AA2704">
        <v>0.99992990000000004</v>
      </c>
      <c r="AB2704">
        <v>46</v>
      </c>
      <c r="AC2704">
        <v>-108.850399999999</v>
      </c>
      <c r="AD2704">
        <v>-1.1087690896869999</v>
      </c>
      <c r="AE2704">
        <v>0.92830000000003499</v>
      </c>
      <c r="AF2704">
        <v>1.2913743701729301</v>
      </c>
      <c r="AG2704">
        <v>-1.1087690896869999</v>
      </c>
      <c r="AH2704">
        <v>108.83540470861401</v>
      </c>
      <c r="AI2704">
        <v>90.583643905203104</v>
      </c>
      <c r="AJ2704">
        <v>89.320195212469798</v>
      </c>
      <c r="AK2704">
        <v>108.848713059668</v>
      </c>
      <c r="AL2704">
        <v>88.614601510773397</v>
      </c>
      <c r="AM2704">
        <v>89.180622964978795</v>
      </c>
      <c r="AN2704">
        <v>1.00000004148765</v>
      </c>
    </row>
    <row r="2705" spans="1:40" x14ac:dyDescent="0.25">
      <c r="A2705" t="str">
        <f>"20190312153939307"</f>
        <v>20190312153939307</v>
      </c>
      <c r="B2705" t="str">
        <f>"1552376379298559"</f>
        <v>1552376379298559</v>
      </c>
      <c r="C2705" t="s">
        <v>40</v>
      </c>
      <c r="D2705">
        <v>4.0576610000000004</v>
      </c>
      <c r="E2705">
        <v>0.49988290000000002</v>
      </c>
      <c r="F2705" t="s">
        <v>62</v>
      </c>
      <c r="G2705">
        <v>-428.5994</v>
      </c>
      <c r="H2705" s="1">
        <v>2.4764140000000001E-6</v>
      </c>
      <c r="I2705">
        <v>284.1909</v>
      </c>
      <c r="J2705">
        <v>-317.69389999999999</v>
      </c>
      <c r="K2705">
        <v>1.10877</v>
      </c>
      <c r="L2705">
        <v>283.17059999999998</v>
      </c>
      <c r="M2705">
        <v>-0.9998882</v>
      </c>
      <c r="N2705">
        <v>0</v>
      </c>
      <c r="O2705">
        <v>-2.7974889999999998E-3</v>
      </c>
      <c r="P2705">
        <v>-0.99989760000000005</v>
      </c>
      <c r="Q2705">
        <v>8.7486490000000007E-3</v>
      </c>
      <c r="R2705">
        <v>1.133961E-2</v>
      </c>
      <c r="S2705">
        <v>-3.0002749999999998</v>
      </c>
      <c r="T2705">
        <v>-2.990174E-2</v>
      </c>
      <c r="U2705">
        <v>2.7496340000000001E-2</v>
      </c>
      <c r="V2705">
        <v>1.418873E-2</v>
      </c>
      <c r="W2705">
        <v>2.3412780000000001E-2</v>
      </c>
      <c r="X2705">
        <v>0.99962519999999999</v>
      </c>
      <c r="Y2705">
        <v>1.196113E-2</v>
      </c>
      <c r="Z2705" s="1">
        <v>8.7484059999999995E-5</v>
      </c>
      <c r="AA2705">
        <v>0.9999285</v>
      </c>
      <c r="AB2705">
        <v>46</v>
      </c>
      <c r="AC2705">
        <v>-110.9055</v>
      </c>
      <c r="AD2705">
        <v>-1.1087675235859999</v>
      </c>
      <c r="AE2705">
        <v>1.02030000000002</v>
      </c>
      <c r="AF2705">
        <v>1.3304534340632801</v>
      </c>
      <c r="AG2705">
        <v>-1.1087675235859999</v>
      </c>
      <c r="AH2705">
        <v>110.891128922449</v>
      </c>
      <c r="AI2705">
        <v>90.572823199408802</v>
      </c>
      <c r="AJ2705">
        <v>89.312607690282704</v>
      </c>
      <c r="AK2705">
        <v>110.90465249689299</v>
      </c>
      <c r="AL2705">
        <v>88.658423946902502</v>
      </c>
      <c r="AM2705">
        <v>89.186795454276293</v>
      </c>
      <c r="AN2705">
        <v>1.00000000940069</v>
      </c>
    </row>
    <row r="2706" spans="1:40" x14ac:dyDescent="0.25">
      <c r="A2706" t="str">
        <f>"20190312153939321"</f>
        <v>20190312153939321</v>
      </c>
      <c r="B2706" t="str">
        <f>"1552376379308319"</f>
        <v>1552376379308319</v>
      </c>
      <c r="C2706" t="s">
        <v>40</v>
      </c>
      <c r="D2706">
        <v>3.9928669999999999</v>
      </c>
      <c r="E2706">
        <v>0.50156329999999905</v>
      </c>
      <c r="F2706" t="s">
        <v>62</v>
      </c>
      <c r="G2706">
        <v>-423.63819999999998</v>
      </c>
      <c r="H2706" s="1">
        <v>3.353595E-6</v>
      </c>
      <c r="I2706">
        <v>284.22340000000003</v>
      </c>
      <c r="J2706">
        <v>-317.97390000000001</v>
      </c>
      <c r="K2706">
        <v>1.108768</v>
      </c>
      <c r="L2706">
        <v>283.17</v>
      </c>
      <c r="M2706">
        <v>-0.99988929999999998</v>
      </c>
      <c r="N2706">
        <v>0</v>
      </c>
      <c r="O2706">
        <v>-2.361054E-3</v>
      </c>
      <c r="P2706">
        <v>-0.99989139999999999</v>
      </c>
      <c r="Q2706">
        <v>8.6362569999999996E-3</v>
      </c>
      <c r="R2706">
        <v>1.1951389999999999E-2</v>
      </c>
      <c r="S2706">
        <v>-3.0002439999999999</v>
      </c>
      <c r="T2706">
        <v>-3.1399249999999997E-2</v>
      </c>
      <c r="U2706">
        <v>2.9815669999999999E-2</v>
      </c>
      <c r="V2706">
        <v>1.4364139999999999E-2</v>
      </c>
      <c r="W2706">
        <v>2.3298840000000001E-2</v>
      </c>
      <c r="X2706">
        <v>0.99962530000000005</v>
      </c>
      <c r="Y2706">
        <v>1.229762E-2</v>
      </c>
      <c r="Z2706" s="1">
        <v>8.9058649999999897E-5</v>
      </c>
      <c r="AA2706">
        <v>0.99992440000000005</v>
      </c>
      <c r="AB2706">
        <v>46</v>
      </c>
      <c r="AC2706">
        <v>-105.664299999999</v>
      </c>
      <c r="AD2706">
        <v>-1.1087646464049901</v>
      </c>
      <c r="AE2706">
        <v>1.0534000000000101</v>
      </c>
      <c r="AF2706">
        <v>1.3027596751042401</v>
      </c>
      <c r="AG2706">
        <v>-1.1087646464049901</v>
      </c>
      <c r="AH2706">
        <v>105.64988618634</v>
      </c>
      <c r="AI2706">
        <v>90.601234665092605</v>
      </c>
      <c r="AJ2706">
        <v>89.293526467756905</v>
      </c>
      <c r="AK2706">
        <v>105.66373546775</v>
      </c>
      <c r="AL2706">
        <v>88.664953933189693</v>
      </c>
      <c r="AM2706">
        <v>89.176743566010899</v>
      </c>
      <c r="AN2706">
        <v>0.99999995243168605</v>
      </c>
    </row>
    <row r="2707" spans="1:40" x14ac:dyDescent="0.25">
      <c r="A2707" t="str">
        <f>"20190312153939341"</f>
        <v>20190312153939341</v>
      </c>
      <c r="B2707" t="str">
        <f>"1552376379328815"</f>
        <v>1552376379328815</v>
      </c>
      <c r="C2707" t="s">
        <v>40</v>
      </c>
      <c r="D2707">
        <v>3.93499</v>
      </c>
      <c r="E2707">
        <v>0.54966870000000001</v>
      </c>
      <c r="F2707" t="s">
        <v>61</v>
      </c>
      <c r="G2707">
        <v>-387.5179</v>
      </c>
      <c r="H2707" s="1">
        <v>2.4638809999999999E-6</v>
      </c>
      <c r="I2707">
        <v>284.19580000000002</v>
      </c>
      <c r="J2707">
        <v>-318.38350000000003</v>
      </c>
      <c r="K2707">
        <v>1.1087720000000001</v>
      </c>
      <c r="L2707">
        <v>283.1696</v>
      </c>
      <c r="M2707">
        <v>-0.99989059999999996</v>
      </c>
      <c r="N2707">
        <v>0</v>
      </c>
      <c r="O2707">
        <v>-1.7222100000000001E-3</v>
      </c>
      <c r="P2707">
        <v>-0.99987550000000003</v>
      </c>
      <c r="Q2707">
        <v>8.1931969999999993E-3</v>
      </c>
      <c r="R2707">
        <v>1.3485499999999999E-2</v>
      </c>
      <c r="S2707">
        <v>-3.0001829999999998</v>
      </c>
      <c r="T2707">
        <v>-4.7832970000000002E-2</v>
      </c>
      <c r="U2707">
        <v>4.4250490000000003E-2</v>
      </c>
      <c r="V2707">
        <v>1.5258320000000001E-2</v>
      </c>
      <c r="W2707">
        <v>2.285216E-2</v>
      </c>
      <c r="X2707">
        <v>0.99962240000000002</v>
      </c>
      <c r="Y2707">
        <v>1.6467539999999999E-2</v>
      </c>
      <c r="Z2707">
        <v>1.5871599999999999E-4</v>
      </c>
      <c r="AA2707">
        <v>0.99986439999999999</v>
      </c>
      <c r="AB2707">
        <v>46</v>
      </c>
      <c r="AC2707">
        <v>-69.1343999999999</v>
      </c>
      <c r="AD2707">
        <v>-1.108769536119</v>
      </c>
      <c r="AE2707">
        <v>1.02620000000001</v>
      </c>
      <c r="AF2707">
        <v>1.1449808432908</v>
      </c>
      <c r="AG2707">
        <v>-1.108769536119</v>
      </c>
      <c r="AH2707">
        <v>69.114756579173999</v>
      </c>
      <c r="AI2707">
        <v>90.918959360024601</v>
      </c>
      <c r="AJ2707">
        <v>89.050903558771296</v>
      </c>
      <c r="AK2707">
        <v>69.133131912377607</v>
      </c>
      <c r="AL2707">
        <v>88.690553679253995</v>
      </c>
      <c r="AM2707">
        <v>89.125500337819403</v>
      </c>
      <c r="AN2707">
        <v>0.99999999006382301</v>
      </c>
    </row>
    <row r="2708" spans="1:40" x14ac:dyDescent="0.25">
      <c r="A2708" t="str">
        <f>"20190312153939354"</f>
        <v>20190312153939354</v>
      </c>
      <c r="B2708" t="str">
        <f>"1552376379348335"</f>
        <v>1552376379348335</v>
      </c>
      <c r="C2708" t="s">
        <v>40</v>
      </c>
      <c r="D2708">
        <v>3.97255</v>
      </c>
      <c r="E2708">
        <v>0.55278870000000002</v>
      </c>
      <c r="F2708" t="s">
        <v>41</v>
      </c>
      <c r="G2708">
        <v>-319.38760000000002</v>
      </c>
      <c r="H2708">
        <v>0.90779609999999999</v>
      </c>
      <c r="I2708">
        <v>283.30439999999999</v>
      </c>
      <c r="J2708">
        <v>-318.6533</v>
      </c>
      <c r="K2708">
        <v>1.1087739999999999</v>
      </c>
      <c r="L2708">
        <v>283.1694</v>
      </c>
      <c r="M2708">
        <v>-0.99989119999999998</v>
      </c>
      <c r="N2708">
        <v>0</v>
      </c>
      <c r="O2708">
        <v>-1.3014000000000001E-3</v>
      </c>
      <c r="P2708">
        <v>-0.99987119999999996</v>
      </c>
      <c r="Q2708">
        <v>7.4023550000000002E-3</v>
      </c>
      <c r="R2708">
        <v>1.423818E-2</v>
      </c>
      <c r="S2708">
        <v>-2.9998469999999999</v>
      </c>
      <c r="T2708">
        <v>-0.60049399999999997</v>
      </c>
      <c r="U2708">
        <v>0.40203860000000002</v>
      </c>
      <c r="V2708">
        <v>1.558841E-2</v>
      </c>
      <c r="W2708">
        <v>2.205938E-2</v>
      </c>
      <c r="X2708">
        <v>0.9996351</v>
      </c>
      <c r="Y2708">
        <v>0.1315327</v>
      </c>
      <c r="Z2708">
        <v>1.323599E-2</v>
      </c>
      <c r="AA2708">
        <v>0.99122350000000004</v>
      </c>
      <c r="AB2708">
        <v>46</v>
      </c>
      <c r="AC2708">
        <v>-0.73430000000001805</v>
      </c>
      <c r="AD2708">
        <v>-0.20097789999999999</v>
      </c>
      <c r="AE2708">
        <v>0.13499999999998999</v>
      </c>
      <c r="AF2708">
        <v>0.12676957524150601</v>
      </c>
      <c r="AG2708">
        <v>-0.20097789999999999</v>
      </c>
      <c r="AH2708">
        <v>0.68452157280099402</v>
      </c>
      <c r="AI2708">
        <v>106.10313892058799</v>
      </c>
      <c r="AJ2708">
        <v>79.508011449481401</v>
      </c>
      <c r="AK2708">
        <v>0.72459121242619795</v>
      </c>
      <c r="AL2708">
        <v>88.735988065481706</v>
      </c>
      <c r="AM2708">
        <v>89.106596281647896</v>
      </c>
      <c r="AN2708">
        <v>0.99999997396216</v>
      </c>
    </row>
    <row r="2709" spans="1:40" x14ac:dyDescent="0.25">
      <c r="A2709" t="str">
        <f>"20190312153939366"</f>
        <v>20190312153939366</v>
      </c>
      <c r="B2709" t="str">
        <f>"1552376379358096"</f>
        <v>1552376379358096</v>
      </c>
      <c r="C2709" t="s">
        <v>40</v>
      </c>
      <c r="D2709">
        <v>3.9292379999999998</v>
      </c>
      <c r="E2709">
        <v>0.55305530000000003</v>
      </c>
      <c r="F2709" t="s">
        <v>41</v>
      </c>
      <c r="G2709">
        <v>-319.40559999999999</v>
      </c>
      <c r="H2709">
        <v>0.94924660000000005</v>
      </c>
      <c r="I2709">
        <v>283.27679999999998</v>
      </c>
      <c r="J2709">
        <v>-318.90499999999997</v>
      </c>
      <c r="K2709">
        <v>1.1087769999999999</v>
      </c>
      <c r="L2709">
        <v>283.16930000000002</v>
      </c>
      <c r="M2709">
        <v>-0.99989170000000005</v>
      </c>
      <c r="N2709">
        <v>0</v>
      </c>
      <c r="O2709">
        <v>-9.0860829999999998E-4</v>
      </c>
      <c r="P2709">
        <v>-0.99986240000000004</v>
      </c>
      <c r="Q2709">
        <v>7.0875599999999997E-3</v>
      </c>
      <c r="R2709">
        <v>1.499997E-2</v>
      </c>
      <c r="S2709">
        <v>-2.998993</v>
      </c>
      <c r="T2709">
        <v>-0.63594680000000003</v>
      </c>
      <c r="U2709">
        <v>0.42715449999999999</v>
      </c>
      <c r="V2709">
        <v>1.5956740000000001E-2</v>
      </c>
      <c r="W2709">
        <v>2.1742359999999999E-2</v>
      </c>
      <c r="X2709">
        <v>0.99963619999999997</v>
      </c>
      <c r="Y2709">
        <v>0.13886219999999999</v>
      </c>
      <c r="Z2709">
        <v>1.46801E-2</v>
      </c>
      <c r="AA2709">
        <v>0.9902029</v>
      </c>
      <c r="AB2709">
        <v>46</v>
      </c>
      <c r="AC2709">
        <v>-0.50060000000001903</v>
      </c>
      <c r="AD2709">
        <v>-0.15953039999999999</v>
      </c>
      <c r="AE2709">
        <v>0.107499999999959</v>
      </c>
      <c r="AF2709">
        <v>9.84020625440402E-2</v>
      </c>
      <c r="AG2709">
        <v>-0.15953039999999999</v>
      </c>
      <c r="AH2709">
        <v>0.45621329514521802</v>
      </c>
      <c r="AI2709">
        <v>108.871597559576</v>
      </c>
      <c r="AJ2709">
        <v>77.828167785945297</v>
      </c>
      <c r="AK2709">
        <v>0.49321748256153602</v>
      </c>
      <c r="AL2709">
        <v>88.754156289518903</v>
      </c>
      <c r="AM2709">
        <v>89.0854910845147</v>
      </c>
      <c r="AN2709">
        <v>0.99999994006011605</v>
      </c>
    </row>
    <row r="2710" spans="1:40" x14ac:dyDescent="0.25">
      <c r="A2710" t="str">
        <f>"20190312153939379"</f>
        <v>20190312153939379</v>
      </c>
      <c r="B2710" t="str">
        <f>"1552376379368831"</f>
        <v>1552376379368831</v>
      </c>
      <c r="C2710" t="s">
        <v>40</v>
      </c>
      <c r="D2710">
        <v>3.9285049999999999</v>
      </c>
      <c r="E2710">
        <v>0.55328009999999905</v>
      </c>
      <c r="F2710" t="s">
        <v>41</v>
      </c>
      <c r="G2710">
        <v>-319.80419999999998</v>
      </c>
      <c r="H2710">
        <v>0.9166282</v>
      </c>
      <c r="I2710">
        <v>283.29849999999999</v>
      </c>
      <c r="J2710">
        <v>-319.16219999999998</v>
      </c>
      <c r="K2710">
        <v>1.1087819999999999</v>
      </c>
      <c r="L2710">
        <v>283.16930000000002</v>
      </c>
      <c r="M2710">
        <v>-0.999892</v>
      </c>
      <c r="N2710">
        <v>0</v>
      </c>
      <c r="O2710">
        <v>-5.0675890000000004E-4</v>
      </c>
      <c r="P2710">
        <v>-0.99985290000000004</v>
      </c>
      <c r="Q2710">
        <v>6.6576730000000002E-3</v>
      </c>
      <c r="R2710">
        <v>1.5816340000000002E-2</v>
      </c>
      <c r="S2710">
        <v>-2.9985050000000002</v>
      </c>
      <c r="T2710">
        <v>-0.64073849999999999</v>
      </c>
      <c r="U2710">
        <v>0.43106080000000002</v>
      </c>
      <c r="V2710">
        <v>1.6370409999999998E-2</v>
      </c>
      <c r="W2710">
        <v>2.1310450000000002E-2</v>
      </c>
      <c r="X2710">
        <v>0.9996389</v>
      </c>
      <c r="Y2710">
        <v>0.1396955</v>
      </c>
      <c r="Z2710">
        <v>1.4792430000000001E-2</v>
      </c>
      <c r="AA2710">
        <v>0.99008399999999996</v>
      </c>
      <c r="AB2710">
        <v>46</v>
      </c>
      <c r="AC2710">
        <v>-0.64199999999999502</v>
      </c>
      <c r="AD2710">
        <v>-0.19215380000000001</v>
      </c>
      <c r="AE2710">
        <v>0.12919999999996801</v>
      </c>
      <c r="AF2710">
        <v>0.11925768121863101</v>
      </c>
      <c r="AG2710">
        <v>-0.19215380000000001</v>
      </c>
      <c r="AH2710">
        <v>0.59104729627474095</v>
      </c>
      <c r="AI2710">
        <v>107.676289686643</v>
      </c>
      <c r="AJ2710">
        <v>78.592395139631606</v>
      </c>
      <c r="AK2710">
        <v>0.63283677502004099</v>
      </c>
      <c r="AL2710">
        <v>88.778908754335404</v>
      </c>
      <c r="AM2710">
        <v>89.061789645054006</v>
      </c>
      <c r="AN2710">
        <v>1.0000000279979899</v>
      </c>
    </row>
    <row r="2711" spans="1:40" x14ac:dyDescent="0.25">
      <c r="A2711" t="str">
        <f>"20190312153939392"</f>
        <v>20190312153939392</v>
      </c>
      <c r="B2711" t="str">
        <f>"1552376379378593"</f>
        <v>1552376379378593</v>
      </c>
      <c r="C2711" t="s">
        <v>40</v>
      </c>
      <c r="D2711">
        <v>3.928763</v>
      </c>
      <c r="E2711">
        <v>0.55323559999999905</v>
      </c>
      <c r="F2711" t="s">
        <v>41</v>
      </c>
      <c r="G2711">
        <v>-320.20409999999998</v>
      </c>
      <c r="H2711">
        <v>0.88407789999999997</v>
      </c>
      <c r="I2711">
        <v>283.32080000000002</v>
      </c>
      <c r="J2711">
        <v>-319.4427</v>
      </c>
      <c r="K2711">
        <v>1.108787</v>
      </c>
      <c r="L2711">
        <v>283.16950000000003</v>
      </c>
      <c r="M2711">
        <v>-0.99989209999999995</v>
      </c>
      <c r="N2711">
        <v>0</v>
      </c>
      <c r="O2711" s="1">
        <v>-6.8316400000000002E-5</v>
      </c>
      <c r="P2711">
        <v>-0.99984309999999998</v>
      </c>
      <c r="Q2711">
        <v>6.335111E-3</v>
      </c>
      <c r="R2711">
        <v>1.653692E-2</v>
      </c>
      <c r="S2711">
        <v>-2.9978639999999999</v>
      </c>
      <c r="T2711">
        <v>-0.64654140000000004</v>
      </c>
      <c r="U2711">
        <v>0.43530269999999999</v>
      </c>
      <c r="V2711">
        <v>1.6651840000000001E-2</v>
      </c>
      <c r="W2711">
        <v>2.0985799999999999E-2</v>
      </c>
      <c r="X2711">
        <v>0.99964109999999995</v>
      </c>
      <c r="Y2711">
        <v>0.1405969</v>
      </c>
      <c r="Z2711">
        <v>1.4927670000000001E-2</v>
      </c>
      <c r="AA2711">
        <v>0.98995440000000001</v>
      </c>
      <c r="AB2711">
        <v>46</v>
      </c>
      <c r="AC2711">
        <v>-0.76139999999997998</v>
      </c>
      <c r="AD2711">
        <v>-0.22470909999999999</v>
      </c>
      <c r="AE2711">
        <v>0.151299999999992</v>
      </c>
      <c r="AF2711">
        <v>0.13965058066283301</v>
      </c>
      <c r="AG2711">
        <v>-0.22470909999999999</v>
      </c>
      <c r="AH2711">
        <v>0.70252453377372004</v>
      </c>
      <c r="AI2711">
        <v>107.41774351599599</v>
      </c>
      <c r="AJ2711">
        <v>78.757079567153198</v>
      </c>
      <c r="AK2711">
        <v>0.750691138122903</v>
      </c>
      <c r="AL2711">
        <v>88.797513965894296</v>
      </c>
      <c r="AM2711">
        <v>89.045665568537402</v>
      </c>
      <c r="AN2711">
        <v>1.00000000819311</v>
      </c>
    </row>
    <row r="2712" spans="1:40" x14ac:dyDescent="0.25">
      <c r="A2712" t="str">
        <f>"20190312153939408"</f>
        <v>20190312153939408</v>
      </c>
      <c r="B2712" t="str">
        <f>"1552376379398112"</f>
        <v>1552376379398112</v>
      </c>
      <c r="C2712" t="s">
        <v>40</v>
      </c>
      <c r="D2712">
        <v>3.9665140000000001</v>
      </c>
      <c r="E2712">
        <v>0.55369259999999998</v>
      </c>
      <c r="F2712" t="s">
        <v>41</v>
      </c>
      <c r="G2712">
        <v>-320.2269</v>
      </c>
      <c r="H2712">
        <v>0.93888970000000005</v>
      </c>
      <c r="I2712">
        <v>283.28399999999999</v>
      </c>
      <c r="J2712">
        <v>-319.78059999999999</v>
      </c>
      <c r="K2712">
        <v>1.10880499999999</v>
      </c>
      <c r="L2712">
        <v>283.16989999999998</v>
      </c>
      <c r="M2712">
        <v>-0.99989209999999995</v>
      </c>
      <c r="N2712">
        <v>0</v>
      </c>
      <c r="O2712">
        <v>4.5940649999999999E-4</v>
      </c>
      <c r="P2712">
        <v>-0.99984379999999995</v>
      </c>
      <c r="Q2712">
        <v>4.8757770000000004E-3</v>
      </c>
      <c r="R2712">
        <v>1.6999759999999999E-2</v>
      </c>
      <c r="S2712">
        <v>-2.9973450000000001</v>
      </c>
      <c r="T2712">
        <v>-0.64941539999999998</v>
      </c>
      <c r="U2712">
        <v>0.43695070000000003</v>
      </c>
      <c r="V2712">
        <v>1.6583759999999999E-2</v>
      </c>
      <c r="W2712">
        <v>1.9525540000000001E-2</v>
      </c>
      <c r="X2712">
        <v>0.9996718</v>
      </c>
      <c r="Y2712">
        <v>0.14061489999999999</v>
      </c>
      <c r="Z2712">
        <v>1.488394E-2</v>
      </c>
      <c r="AA2712">
        <v>0.98995250000000001</v>
      </c>
      <c r="AB2712">
        <v>46</v>
      </c>
      <c r="AC2712">
        <v>-0.44630000000000702</v>
      </c>
      <c r="AD2712">
        <v>-0.16991529999999899</v>
      </c>
      <c r="AE2712">
        <v>0.114100000000007</v>
      </c>
      <c r="AF2712">
        <v>0.100254770816205</v>
      </c>
      <c r="AG2712">
        <v>-0.16991529999999899</v>
      </c>
      <c r="AH2712">
        <v>0.39289680557809897</v>
      </c>
      <c r="AI2712">
        <v>112.735685812919</v>
      </c>
      <c r="AJ2712">
        <v>75.685399742334795</v>
      </c>
      <c r="AK2712">
        <v>0.43964773180237599</v>
      </c>
      <c r="AL2712">
        <v>88.881197853972296</v>
      </c>
      <c r="AM2712">
        <v>89.049595770154099</v>
      </c>
      <c r="AN2712">
        <v>0.99999998776163401</v>
      </c>
    </row>
    <row r="2713" spans="1:40" x14ac:dyDescent="0.25">
      <c r="A2713" t="str">
        <f>"20190312153939431"</f>
        <v>20190312153939431</v>
      </c>
      <c r="B2713" t="str">
        <f>"1552376379418607"</f>
        <v>1552376379418607</v>
      </c>
      <c r="C2713" t="s">
        <v>40</v>
      </c>
      <c r="D2713">
        <v>3.9691580000000002</v>
      </c>
      <c r="E2713">
        <v>0.55424110000000004</v>
      </c>
      <c r="F2713" t="s">
        <v>41</v>
      </c>
      <c r="G2713">
        <v>-320.63170000000002</v>
      </c>
      <c r="H2713">
        <v>0.92175890000000005</v>
      </c>
      <c r="I2713">
        <v>283.29570000000001</v>
      </c>
      <c r="J2713">
        <v>-320.2373</v>
      </c>
      <c r="K2713">
        <v>1.108841</v>
      </c>
      <c r="L2713">
        <v>283.17070000000001</v>
      </c>
      <c r="M2713">
        <v>-0.99989130000000004</v>
      </c>
      <c r="N2713">
        <v>0</v>
      </c>
      <c r="O2713">
        <v>1.1725349999999999E-3</v>
      </c>
      <c r="P2713">
        <v>-0.99983730000000004</v>
      </c>
      <c r="Q2713">
        <v>2.984909E-3</v>
      </c>
      <c r="R2713">
        <v>1.7791359999999999E-2</v>
      </c>
      <c r="S2713">
        <v>-2.9961850000000001</v>
      </c>
      <c r="T2713">
        <v>-0.65843890000000005</v>
      </c>
      <c r="U2713">
        <v>0.44219969999999997</v>
      </c>
      <c r="V2713">
        <v>1.665811E-2</v>
      </c>
      <c r="W2713">
        <v>1.7632829999999999E-2</v>
      </c>
      <c r="X2713">
        <v>0.99970570000000003</v>
      </c>
      <c r="Y2713">
        <v>0.14156640000000001</v>
      </c>
      <c r="Z2713">
        <v>1.5038559999999999E-2</v>
      </c>
      <c r="AA2713">
        <v>0.98981450000000004</v>
      </c>
      <c r="AB2713">
        <v>46</v>
      </c>
      <c r="AC2713">
        <v>-0.39440000000001801</v>
      </c>
      <c r="AD2713">
        <v>-0.187082099999999</v>
      </c>
      <c r="AE2713">
        <v>0.125</v>
      </c>
      <c r="AF2713">
        <v>0.103396390200769</v>
      </c>
      <c r="AG2713">
        <v>-0.187082099999999</v>
      </c>
      <c r="AH2713">
        <v>0.32756954169399799</v>
      </c>
      <c r="AI2713">
        <v>118.57421735754301</v>
      </c>
      <c r="AJ2713">
        <v>72.481847348581098</v>
      </c>
      <c r="AK2713">
        <v>0.39114234019417499</v>
      </c>
      <c r="AL2713">
        <v>88.989660847724096</v>
      </c>
      <c r="AM2713">
        <v>89.0453679747027</v>
      </c>
      <c r="AN2713">
        <v>0.999999947967534</v>
      </c>
    </row>
    <row r="2714" spans="1:40" x14ac:dyDescent="0.25">
      <c r="A2714" t="str">
        <f>"20190312153939444"</f>
        <v>20190312153939444</v>
      </c>
      <c r="B2714" t="str">
        <f>"1552376379438128"</f>
        <v>1552376379438128</v>
      </c>
      <c r="C2714" t="s">
        <v>40</v>
      </c>
      <c r="D2714">
        <v>3.9664709999999999</v>
      </c>
      <c r="E2714">
        <v>0.55444819999999995</v>
      </c>
      <c r="F2714" t="s">
        <v>41</v>
      </c>
      <c r="G2714">
        <v>-321.04669999999999</v>
      </c>
      <c r="H2714">
        <v>0.92813979999999996</v>
      </c>
      <c r="I2714">
        <v>283.29230000000001</v>
      </c>
      <c r="J2714">
        <v>-320.517</v>
      </c>
      <c r="K2714">
        <v>1.1088690000000001</v>
      </c>
      <c r="L2714">
        <v>283.17129999999997</v>
      </c>
      <c r="M2714">
        <v>-0.99989090000000003</v>
      </c>
      <c r="N2714">
        <v>0</v>
      </c>
      <c r="O2714">
        <v>1.6068370000000001E-3</v>
      </c>
      <c r="P2714">
        <v>-0.99983089999999997</v>
      </c>
      <c r="Q2714">
        <v>1.4792309999999999E-3</v>
      </c>
      <c r="R2714">
        <v>1.833214E-2</v>
      </c>
      <c r="S2714">
        <v>-2.994507</v>
      </c>
      <c r="T2714">
        <v>-0.66857060000000001</v>
      </c>
      <c r="U2714">
        <v>0.44934079999999899</v>
      </c>
      <c r="V2714">
        <v>1.676124E-2</v>
      </c>
      <c r="W2714">
        <v>1.612624E-2</v>
      </c>
      <c r="X2714">
        <v>0.99972950000000005</v>
      </c>
      <c r="Y2714">
        <v>0.14338970000000001</v>
      </c>
      <c r="Z2714">
        <v>1.537493E-2</v>
      </c>
      <c r="AA2714">
        <v>0.98954690000000001</v>
      </c>
      <c r="AB2714">
        <v>46</v>
      </c>
      <c r="AC2714">
        <v>-0.52969999999999096</v>
      </c>
      <c r="AD2714">
        <v>-0.18072920000000001</v>
      </c>
      <c r="AE2714">
        <v>0.12100000000003699</v>
      </c>
      <c r="AF2714">
        <v>0.108179762366461</v>
      </c>
      <c r="AG2714">
        <v>-0.18072920000000001</v>
      </c>
      <c r="AH2714">
        <v>0.47710731978352</v>
      </c>
      <c r="AI2714">
        <v>110.275473691804</v>
      </c>
      <c r="AJ2714">
        <v>77.224709885080898</v>
      </c>
      <c r="AK2714">
        <v>0.52153360324078601</v>
      </c>
      <c r="AL2714">
        <v>89.075994488225703</v>
      </c>
      <c r="AM2714">
        <v>89.039481835082597</v>
      </c>
      <c r="AN2714">
        <v>1.00000003397656</v>
      </c>
    </row>
    <row r="2715" spans="1:40" x14ac:dyDescent="0.25">
      <c r="A2715" t="str">
        <f>"20190312153939457"</f>
        <v>20190312153939457</v>
      </c>
      <c r="B2715" t="str">
        <f>"1552376379448864"</f>
        <v>1552376379448864</v>
      </c>
      <c r="C2715" t="s">
        <v>40</v>
      </c>
      <c r="D2715">
        <v>3.9672329999999998</v>
      </c>
      <c r="E2715">
        <v>0.5545812</v>
      </c>
      <c r="F2715" t="s">
        <v>41</v>
      </c>
      <c r="G2715">
        <v>-321.44670000000002</v>
      </c>
      <c r="H2715">
        <v>0.89941849999999901</v>
      </c>
      <c r="I2715">
        <v>283.31209999999999</v>
      </c>
      <c r="J2715">
        <v>-320.7946</v>
      </c>
      <c r="K2715">
        <v>1.1089020000000001</v>
      </c>
      <c r="L2715">
        <v>283.17200000000003</v>
      </c>
      <c r="M2715">
        <v>-0.99988999999999995</v>
      </c>
      <c r="N2715">
        <v>0</v>
      </c>
      <c r="O2715">
        <v>2.036244E-3</v>
      </c>
      <c r="P2715">
        <v>-0.99981710000000001</v>
      </c>
      <c r="Q2715">
        <v>5.2246819999999996E-4</v>
      </c>
      <c r="R2715">
        <v>1.9119899999999999E-2</v>
      </c>
      <c r="S2715">
        <v>-2.9931950000000001</v>
      </c>
      <c r="T2715">
        <v>-0.67438089999999995</v>
      </c>
      <c r="U2715">
        <v>0.45303339999999998</v>
      </c>
      <c r="V2715">
        <v>1.7117429999999999E-2</v>
      </c>
      <c r="W2715">
        <v>1.516791E-2</v>
      </c>
      <c r="X2715">
        <v>0.99973849999999997</v>
      </c>
      <c r="Y2715">
        <v>0.144153</v>
      </c>
      <c r="Z2715">
        <v>1.549996E-2</v>
      </c>
      <c r="AA2715">
        <v>0.98943400000000004</v>
      </c>
      <c r="AB2715">
        <v>46</v>
      </c>
      <c r="AC2715">
        <v>-0.652100000000018</v>
      </c>
      <c r="AD2715">
        <v>-0.20948349999999999</v>
      </c>
      <c r="AE2715">
        <v>0.14009999999996101</v>
      </c>
      <c r="AF2715">
        <v>0.126311742713377</v>
      </c>
      <c r="AG2715">
        <v>-0.20948349999999999</v>
      </c>
      <c r="AH2715">
        <v>0.59380792893964596</v>
      </c>
      <c r="AI2715">
        <v>109.037491064427</v>
      </c>
      <c r="AJ2715">
        <v>77.991325079428805</v>
      </c>
      <c r="AK2715">
        <v>0.64221947151354097</v>
      </c>
      <c r="AL2715">
        <v>89.130909507133794</v>
      </c>
      <c r="AM2715">
        <v>89.019082817622603</v>
      </c>
      <c r="AN2715">
        <v>1.0000000701428999</v>
      </c>
    </row>
    <row r="2716" spans="1:40" x14ac:dyDescent="0.25">
      <c r="A2716" t="str">
        <f>"20190312153939469"</f>
        <v>20190312153939469</v>
      </c>
      <c r="B2716" t="str">
        <f>"1552376379458624"</f>
        <v>1552376379458624</v>
      </c>
      <c r="C2716" t="s">
        <v>40</v>
      </c>
      <c r="D2716">
        <v>3.9628489999999998</v>
      </c>
      <c r="E2716">
        <v>0.55445540000000004</v>
      </c>
      <c r="F2716" t="s">
        <v>41</v>
      </c>
      <c r="G2716">
        <v>-321.84690000000001</v>
      </c>
      <c r="H2716">
        <v>0.87069269999999999</v>
      </c>
      <c r="I2716">
        <v>283.33300000000003</v>
      </c>
      <c r="J2716">
        <v>-321.03890000000001</v>
      </c>
      <c r="K2716">
        <v>1.1089359999999999</v>
      </c>
      <c r="L2716">
        <v>283.1728</v>
      </c>
      <c r="M2716">
        <v>-0.99988940000000004</v>
      </c>
      <c r="N2716">
        <v>0</v>
      </c>
      <c r="O2716">
        <v>2.4095380000000001E-3</v>
      </c>
      <c r="P2716">
        <v>-0.99980000000000002</v>
      </c>
      <c r="Q2716">
        <v>1.655649E-4</v>
      </c>
      <c r="R2716">
        <v>2.0005200000000001E-2</v>
      </c>
      <c r="S2716">
        <v>-2.9921570000000002</v>
      </c>
      <c r="T2716">
        <v>-0.67741340000000005</v>
      </c>
      <c r="U2716">
        <v>0.45672610000000002</v>
      </c>
      <c r="V2716">
        <v>1.7628459999999999E-2</v>
      </c>
      <c r="W2716">
        <v>1.480889E-2</v>
      </c>
      <c r="X2716">
        <v>0.99973489999999998</v>
      </c>
      <c r="Y2716">
        <v>0.144984</v>
      </c>
      <c r="Z2716">
        <v>1.558119E-2</v>
      </c>
      <c r="AA2716">
        <v>0.9893113</v>
      </c>
      <c r="AB2716">
        <v>46</v>
      </c>
      <c r="AC2716">
        <v>-0.80799999999999195</v>
      </c>
      <c r="AD2716">
        <v>-0.23824329999999999</v>
      </c>
      <c r="AE2716">
        <v>0.160199999999974</v>
      </c>
      <c r="AF2716">
        <v>0.14603626940438499</v>
      </c>
      <c r="AG2716">
        <v>-0.23824329999999999</v>
      </c>
      <c r="AH2716">
        <v>0.745981271330318</v>
      </c>
      <c r="AI2716">
        <v>107.402023771803</v>
      </c>
      <c r="AJ2716">
        <v>78.923627217793893</v>
      </c>
      <c r="AK2716">
        <v>0.79660185736165401</v>
      </c>
      <c r="AL2716">
        <v>89.151482060902893</v>
      </c>
      <c r="AM2716">
        <v>88.989800501943805</v>
      </c>
      <c r="AN2716">
        <v>0.99999996805150604</v>
      </c>
    </row>
    <row r="2717" spans="1:40" x14ac:dyDescent="0.25">
      <c r="A2717" t="str">
        <f>"20190312153939482"</f>
        <v>20190312153939482</v>
      </c>
      <c r="B2717" t="str">
        <f>"1552376379468384"</f>
        <v>1552376379468384</v>
      </c>
      <c r="C2717" t="s">
        <v>40</v>
      </c>
      <c r="D2717">
        <v>3.9595739999999999</v>
      </c>
      <c r="E2717">
        <v>0.55436919999999901</v>
      </c>
      <c r="F2717" t="s">
        <v>41</v>
      </c>
      <c r="G2717">
        <v>-321.8673</v>
      </c>
      <c r="H2717">
        <v>0.92138200000000003</v>
      </c>
      <c r="I2717">
        <v>283.30020000000002</v>
      </c>
      <c r="J2717">
        <v>-321.27749999999997</v>
      </c>
      <c r="K2717">
        <v>1.108978</v>
      </c>
      <c r="L2717">
        <v>283.17360000000002</v>
      </c>
      <c r="M2717">
        <v>-0.99988840000000001</v>
      </c>
      <c r="N2717">
        <v>0</v>
      </c>
      <c r="O2717">
        <v>2.7717950000000001E-3</v>
      </c>
      <c r="P2717">
        <v>-0.99978199999999995</v>
      </c>
      <c r="Q2717">
        <v>7.1567479999999997E-4</v>
      </c>
      <c r="R2717">
        <v>2.0863610000000001E-2</v>
      </c>
      <c r="S2717">
        <v>-2.9915159999999998</v>
      </c>
      <c r="T2717">
        <v>-0.67738940000000003</v>
      </c>
      <c r="U2717">
        <v>0.45895390000000003</v>
      </c>
      <c r="V2717">
        <v>1.812573E-2</v>
      </c>
      <c r="W2717">
        <v>1.5356720000000001E-2</v>
      </c>
      <c r="X2717">
        <v>0.99971779999999999</v>
      </c>
      <c r="Y2717">
        <v>0.145375799999999</v>
      </c>
      <c r="Z2717">
        <v>1.5546040000000001E-2</v>
      </c>
      <c r="AA2717">
        <v>0.98925439999999998</v>
      </c>
      <c r="AB2717">
        <v>46</v>
      </c>
      <c r="AC2717">
        <v>-0.58980000000002497</v>
      </c>
      <c r="AD2717">
        <v>-0.18759600000000001</v>
      </c>
      <c r="AE2717">
        <v>0.12659999999999599</v>
      </c>
      <c r="AF2717">
        <v>0.113944833137329</v>
      </c>
      <c r="AG2717">
        <v>-0.18759600000000001</v>
      </c>
      <c r="AH2717">
        <v>0.53810782563960402</v>
      </c>
      <c r="AI2717">
        <v>108.83241167059801</v>
      </c>
      <c r="AJ2717">
        <v>78.044171119482499</v>
      </c>
      <c r="AK2717">
        <v>0.58115033875003097</v>
      </c>
      <c r="AL2717">
        <v>89.120090192089606</v>
      </c>
      <c r="AM2717">
        <v>88.961292822386497</v>
      </c>
      <c r="AN2717">
        <v>1.00000002528701</v>
      </c>
    </row>
    <row r="2718" spans="1:40" x14ac:dyDescent="0.25">
      <c r="A2718" t="str">
        <f>"20190312153939497"</f>
        <v>20190312153939497</v>
      </c>
      <c r="B2718" t="str">
        <f>"1552376379488883"</f>
        <v>1552376379488883</v>
      </c>
      <c r="C2718" t="s">
        <v>40</v>
      </c>
      <c r="D2718">
        <v>3.9740540000000002</v>
      </c>
      <c r="E2718">
        <v>0.55432959999999998</v>
      </c>
      <c r="F2718" t="s">
        <v>41</v>
      </c>
      <c r="G2718">
        <v>-322.26459999999997</v>
      </c>
      <c r="H2718">
        <v>0.88634559999999996</v>
      </c>
      <c r="I2718">
        <v>283.32600000000002</v>
      </c>
      <c r="J2718">
        <v>-321.62259999999998</v>
      </c>
      <c r="K2718">
        <v>1.109038</v>
      </c>
      <c r="L2718">
        <v>283.17489999999998</v>
      </c>
      <c r="M2718">
        <v>-0.99988699999999997</v>
      </c>
      <c r="N2718">
        <v>0</v>
      </c>
      <c r="O2718">
        <v>3.2875840000000001E-3</v>
      </c>
      <c r="P2718">
        <v>-0.99973730000000005</v>
      </c>
      <c r="Q2718">
        <v>3.4273379999999998E-3</v>
      </c>
      <c r="R2718">
        <v>2.267452E-2</v>
      </c>
      <c r="S2718">
        <v>-2.9915159999999998</v>
      </c>
      <c r="T2718">
        <v>-0.67470240000000004</v>
      </c>
      <c r="U2718">
        <v>0.46136470000000002</v>
      </c>
      <c r="V2718">
        <v>1.942669E-2</v>
      </c>
      <c r="W2718">
        <v>1.8063340000000001E-2</v>
      </c>
      <c r="X2718">
        <v>0.99964810000000004</v>
      </c>
      <c r="Y2718">
        <v>0.145678</v>
      </c>
      <c r="Z2718">
        <v>1.540418E-2</v>
      </c>
      <c r="AA2718">
        <v>0.98921219999999999</v>
      </c>
      <c r="AB2718">
        <v>46</v>
      </c>
      <c r="AC2718">
        <v>-0.64199999999999502</v>
      </c>
      <c r="AD2718">
        <v>-0.22269239999999901</v>
      </c>
      <c r="AE2718">
        <v>0.151099999999985</v>
      </c>
      <c r="AF2718">
        <v>0.13374108942694701</v>
      </c>
      <c r="AG2718">
        <v>-0.22269239999999901</v>
      </c>
      <c r="AH2718">
        <v>0.57674155065196897</v>
      </c>
      <c r="AI2718">
        <v>110.613332722786</v>
      </c>
      <c r="AJ2718">
        <v>76.9443833835833</v>
      </c>
      <c r="AK2718">
        <v>0.63254201462614601</v>
      </c>
      <c r="AL2718">
        <v>88.964990566601003</v>
      </c>
      <c r="AM2718">
        <v>88.886680965473801</v>
      </c>
      <c r="AN2718">
        <v>1.00000000218496</v>
      </c>
    </row>
    <row r="2719" spans="1:40" x14ac:dyDescent="0.25">
      <c r="A2719" t="str">
        <f>"20190312153939509"</f>
        <v>20190312153939509</v>
      </c>
      <c r="B2719" t="str">
        <f>"1552376379498639"</f>
        <v>1552376379498639</v>
      </c>
      <c r="C2719" t="s">
        <v>40</v>
      </c>
      <c r="D2719">
        <v>3.9901810000000002</v>
      </c>
      <c r="E2719">
        <v>0.55473809999999901</v>
      </c>
      <c r="F2719" t="s">
        <v>41</v>
      </c>
      <c r="G2719">
        <v>-322.67149999999998</v>
      </c>
      <c r="H2719">
        <v>0.87592979999999998</v>
      </c>
      <c r="I2719">
        <v>283.33909999999997</v>
      </c>
      <c r="J2719">
        <v>-321.86329999999998</v>
      </c>
      <c r="K2719">
        <v>1.109075</v>
      </c>
      <c r="L2719">
        <v>283.17599999999999</v>
      </c>
      <c r="M2719">
        <v>-0.99988569999999999</v>
      </c>
      <c r="N2719">
        <v>0</v>
      </c>
      <c r="O2719">
        <v>3.6361150000000001E-3</v>
      </c>
      <c r="P2719">
        <v>-0.9997161</v>
      </c>
      <c r="Q2719">
        <v>4.5099520000000002E-3</v>
      </c>
      <c r="R2719">
        <v>2.3401600000000002E-2</v>
      </c>
      <c r="S2719">
        <v>-2.9924620000000002</v>
      </c>
      <c r="T2719">
        <v>-0.66502050000000001</v>
      </c>
      <c r="U2719">
        <v>0.46798709999999999</v>
      </c>
      <c r="V2719">
        <v>1.9807129999999999E-2</v>
      </c>
      <c r="W2719">
        <v>1.9143670000000002E-2</v>
      </c>
      <c r="X2719">
        <v>0.99962050000000002</v>
      </c>
      <c r="Y2719">
        <v>0.1474906</v>
      </c>
      <c r="Z2719">
        <v>1.5302990000000001E-2</v>
      </c>
      <c r="AA2719">
        <v>0.98894510000000002</v>
      </c>
      <c r="AB2719">
        <v>46</v>
      </c>
      <c r="AC2719">
        <v>-0.80819999999999903</v>
      </c>
      <c r="AD2719">
        <v>-0.233145199999999</v>
      </c>
      <c r="AE2719">
        <v>0.16309999999998501</v>
      </c>
      <c r="AF2719">
        <v>0.14830153840150401</v>
      </c>
      <c r="AG2719">
        <v>-0.233145199999999</v>
      </c>
      <c r="AH2719">
        <v>0.74890451906962696</v>
      </c>
      <c r="AI2719">
        <v>106.98188090355001</v>
      </c>
      <c r="AJ2719">
        <v>78.798936164233595</v>
      </c>
      <c r="AK2719">
        <v>0.79825309849583503</v>
      </c>
      <c r="AL2719">
        <v>88.903081468514799</v>
      </c>
      <c r="AM2719">
        <v>88.864852747060596</v>
      </c>
      <c r="AN2719">
        <v>0.99999997326007695</v>
      </c>
    </row>
    <row r="2720" spans="1:40" x14ac:dyDescent="0.25">
      <c r="A2720" t="str">
        <f>"20190312153939524"</f>
        <v>20190312153939524</v>
      </c>
      <c r="B2720" t="str">
        <f>"1552376379518160"</f>
        <v>1552376379518160</v>
      </c>
      <c r="C2720" t="s">
        <v>40</v>
      </c>
      <c r="D2720">
        <v>3.9751430000000001</v>
      </c>
      <c r="E2720">
        <v>0.55529980000000001</v>
      </c>
      <c r="F2720" t="s">
        <v>41</v>
      </c>
      <c r="G2720">
        <v>-322.69139999999999</v>
      </c>
      <c r="H2720">
        <v>0.92509560000000002</v>
      </c>
      <c r="I2720">
        <v>283.3073</v>
      </c>
      <c r="J2720">
        <v>-322.13889999999998</v>
      </c>
      <c r="K2720">
        <v>1.109108</v>
      </c>
      <c r="L2720">
        <v>283.17720000000003</v>
      </c>
      <c r="M2720">
        <v>-0.9998842</v>
      </c>
      <c r="N2720">
        <v>0</v>
      </c>
      <c r="O2720">
        <v>4.0276330000000001E-3</v>
      </c>
      <c r="P2720">
        <v>-0.99970530000000002</v>
      </c>
      <c r="Q2720">
        <v>4.436476E-3</v>
      </c>
      <c r="R2720">
        <v>2.386779E-2</v>
      </c>
      <c r="S2720">
        <v>-2.9927670000000002</v>
      </c>
      <c r="T2720">
        <v>-0.66486199999999995</v>
      </c>
      <c r="U2720">
        <v>0.47409059999999997</v>
      </c>
      <c r="V2720">
        <v>1.9881260000000001E-2</v>
      </c>
      <c r="W2720">
        <v>1.9069300000000001E-2</v>
      </c>
      <c r="X2720">
        <v>0.99962050000000002</v>
      </c>
      <c r="Y2720">
        <v>0.14903229999999901</v>
      </c>
      <c r="Z2720">
        <v>1.5378360000000001E-2</v>
      </c>
      <c r="AA2720">
        <v>0.9887127</v>
      </c>
      <c r="AB2720">
        <v>46</v>
      </c>
      <c r="AC2720">
        <v>-0.55250000000000898</v>
      </c>
      <c r="AD2720">
        <v>-0.18401239999999999</v>
      </c>
      <c r="AE2720">
        <v>0.13009999999996999</v>
      </c>
      <c r="AF2720">
        <v>0.115712353773715</v>
      </c>
      <c r="AG2720">
        <v>-0.18401239999999999</v>
      </c>
      <c r="AH2720">
        <v>0.50042602448361495</v>
      </c>
      <c r="AI2720">
        <v>109.710510911298</v>
      </c>
      <c r="AJ2720">
        <v>76.980446069033306</v>
      </c>
      <c r="AK2720">
        <v>0.54559702908840002</v>
      </c>
      <c r="AL2720">
        <v>88.907343388486296</v>
      </c>
      <c r="AM2720">
        <v>88.860605472264595</v>
      </c>
      <c r="AN2720">
        <v>1.0000000233609601</v>
      </c>
    </row>
    <row r="2721" spans="1:40" x14ac:dyDescent="0.25">
      <c r="A2721" t="str">
        <f>"20190312153939535"</f>
        <v>20190312153939535</v>
      </c>
      <c r="B2721" t="str">
        <f>"1552376379528895"</f>
        <v>1552376379528895</v>
      </c>
      <c r="C2721" t="s">
        <v>40</v>
      </c>
      <c r="D2721">
        <v>4.0363340000000001</v>
      </c>
      <c r="E2721">
        <v>0.55551450000000002</v>
      </c>
      <c r="F2721" t="s">
        <v>41</v>
      </c>
      <c r="G2721">
        <v>-323.08999999999997</v>
      </c>
      <c r="H2721">
        <v>0.89540719999999996</v>
      </c>
      <c r="I2721">
        <v>283.33</v>
      </c>
      <c r="J2721">
        <v>-322.41140000000001</v>
      </c>
      <c r="K2721">
        <v>1.1091470000000001</v>
      </c>
      <c r="L2721">
        <v>283.17860000000002</v>
      </c>
      <c r="M2721">
        <v>-0.99988279999999996</v>
      </c>
      <c r="N2721">
        <v>0</v>
      </c>
      <c r="O2721">
        <v>4.4050540000000003E-3</v>
      </c>
      <c r="P2721">
        <v>-0.99970870000000001</v>
      </c>
      <c r="Q2721">
        <v>2.8723400000000001E-3</v>
      </c>
      <c r="R2721">
        <v>2.3967639999999998E-2</v>
      </c>
      <c r="S2721">
        <v>-2.9924010000000001</v>
      </c>
      <c r="T2721">
        <v>-0.67236819999999997</v>
      </c>
      <c r="U2721">
        <v>0.48040769999999999</v>
      </c>
      <c r="V2721">
        <v>1.959959E-2</v>
      </c>
      <c r="W2721">
        <v>1.7505059999999999E-2</v>
      </c>
      <c r="X2721">
        <v>0.99965470000000001</v>
      </c>
      <c r="Y2721">
        <v>0.150607399999999</v>
      </c>
      <c r="Z2721">
        <v>1.5637680000000001E-2</v>
      </c>
      <c r="AA2721">
        <v>0.98846999999999996</v>
      </c>
      <c r="AB2721">
        <v>46</v>
      </c>
      <c r="AC2721">
        <v>-0.67859999999996001</v>
      </c>
      <c r="AD2721">
        <v>-0.21373979999999901</v>
      </c>
      <c r="AE2721">
        <v>0.15139999999996601</v>
      </c>
      <c r="AF2721">
        <v>0.13559480446701899</v>
      </c>
      <c r="AG2721">
        <v>-0.21373979999999901</v>
      </c>
      <c r="AH2721">
        <v>0.62061074513274295</v>
      </c>
      <c r="AI2721">
        <v>108.59629480211601</v>
      </c>
      <c r="AJ2721">
        <v>77.675344866219504</v>
      </c>
      <c r="AK2721">
        <v>0.67024499257861503</v>
      </c>
      <c r="AL2721">
        <v>88.996982757428199</v>
      </c>
      <c r="AM2721">
        <v>88.876782226413098</v>
      </c>
      <c r="AN2721">
        <v>1.0000000451429201</v>
      </c>
    </row>
    <row r="2722" spans="1:40" x14ac:dyDescent="0.25">
      <c r="A2722" t="str">
        <f>"20190312153939548"</f>
        <v>20190312153939548</v>
      </c>
      <c r="B2722" t="str">
        <f>"1552376379538656"</f>
        <v>1552376379538656</v>
      </c>
      <c r="C2722" t="s">
        <v>40</v>
      </c>
      <c r="D2722">
        <v>4.0051709999999998</v>
      </c>
      <c r="E2722">
        <v>0.55556289999999997</v>
      </c>
      <c r="F2722" t="s">
        <v>41</v>
      </c>
      <c r="G2722">
        <v>-323.11320000000001</v>
      </c>
      <c r="H2722">
        <v>0.94967809999999997</v>
      </c>
      <c r="I2722">
        <v>283.2919</v>
      </c>
      <c r="J2722">
        <v>-322.65879999999999</v>
      </c>
      <c r="K2722">
        <v>1.109191</v>
      </c>
      <c r="L2722">
        <v>283.17989999999998</v>
      </c>
      <c r="M2722">
        <v>-0.99988129999999997</v>
      </c>
      <c r="N2722">
        <v>0</v>
      </c>
      <c r="O2722">
        <v>4.7287300000000004E-3</v>
      </c>
      <c r="P2722">
        <v>-0.99970689999999995</v>
      </c>
      <c r="Q2722">
        <v>6.8139280000000001E-4</v>
      </c>
      <c r="R2722">
        <v>2.420597E-2</v>
      </c>
      <c r="S2722">
        <v>-2.9912719999999999</v>
      </c>
      <c r="T2722">
        <v>-0.67969619999999997</v>
      </c>
      <c r="U2722">
        <v>0.48287960000000002</v>
      </c>
      <c r="V2722">
        <v>1.9509080000000002E-2</v>
      </c>
      <c r="W2722">
        <v>1.5313810000000001E-2</v>
      </c>
      <c r="X2722">
        <v>0.99969240000000004</v>
      </c>
      <c r="Y2722">
        <v>0.15106</v>
      </c>
      <c r="Z2722">
        <v>1.5787010000000001E-2</v>
      </c>
      <c r="AA2722">
        <v>0.98839860000000002</v>
      </c>
      <c r="AB2722">
        <v>46</v>
      </c>
      <c r="AC2722">
        <v>-0.45440000000002101</v>
      </c>
      <c r="AD2722">
        <v>-0.15951290000000001</v>
      </c>
      <c r="AE2722">
        <v>0.112000000000023</v>
      </c>
      <c r="AF2722">
        <v>9.8416542404027793E-2</v>
      </c>
      <c r="AG2722">
        <v>-0.15951290000000001</v>
      </c>
      <c r="AH2722">
        <v>0.40757573556850601</v>
      </c>
      <c r="AI2722">
        <v>110.828620222206</v>
      </c>
      <c r="AJ2722">
        <v>76.424758003430796</v>
      </c>
      <c r="AK2722">
        <v>0.448606911794036</v>
      </c>
      <c r="AL2722">
        <v>89.122549025966293</v>
      </c>
      <c r="AM2722">
        <v>88.882010026564899</v>
      </c>
      <c r="AN2722">
        <v>1.0000000057984599</v>
      </c>
    </row>
    <row r="2723" spans="1:40" x14ac:dyDescent="0.25">
      <c r="A2723" t="str">
        <f>"20190312153939565"</f>
        <v>20190312153939565</v>
      </c>
      <c r="B2723" t="str">
        <f>"1552376379558179"</f>
        <v>1552376379558179</v>
      </c>
      <c r="C2723" t="s">
        <v>40</v>
      </c>
      <c r="D2723">
        <v>4.0560739999999997</v>
      </c>
      <c r="E2723">
        <v>0.55599180000000004</v>
      </c>
      <c r="F2723" t="s">
        <v>41</v>
      </c>
      <c r="G2723">
        <v>-323.50760000000002</v>
      </c>
      <c r="H2723">
        <v>0.91382870000000005</v>
      </c>
      <c r="I2723">
        <v>283.3175</v>
      </c>
      <c r="J2723">
        <v>-322.98649999999998</v>
      </c>
      <c r="K2723">
        <v>1.109272</v>
      </c>
      <c r="L2723">
        <v>283.18180000000001</v>
      </c>
      <c r="M2723">
        <v>-0.99987919999999997</v>
      </c>
      <c r="N2723">
        <v>0</v>
      </c>
      <c r="O2723">
        <v>5.1400009999999999E-3</v>
      </c>
      <c r="P2723">
        <v>-0.99970970000000003</v>
      </c>
      <c r="Q2723">
        <v>-4.2967409999999998E-3</v>
      </c>
      <c r="R2723">
        <v>2.371645E-2</v>
      </c>
      <c r="S2723">
        <v>-2.989655</v>
      </c>
      <c r="T2723">
        <v>-0.68813179999999996</v>
      </c>
      <c r="U2723">
        <v>0.48394779999999998</v>
      </c>
      <c r="V2723">
        <v>1.859769E-2</v>
      </c>
      <c r="W2723">
        <v>1.0336990000000001E-2</v>
      </c>
      <c r="X2723">
        <v>0.99977360000000004</v>
      </c>
      <c r="Y2723">
        <v>0.15100060000000001</v>
      </c>
      <c r="Z2723">
        <v>1.588641E-2</v>
      </c>
      <c r="AA2723">
        <v>0.98840600000000001</v>
      </c>
      <c r="AB2723">
        <v>46</v>
      </c>
      <c r="AC2723">
        <v>-0.52110000000004597</v>
      </c>
      <c r="AD2723">
        <v>-0.19544329999999999</v>
      </c>
      <c r="AE2723">
        <v>0.135699999999985</v>
      </c>
      <c r="AF2723">
        <v>0.117535788887491</v>
      </c>
      <c r="AG2723">
        <v>-0.19544329999999999</v>
      </c>
      <c r="AH2723">
        <v>0.46105342906550301</v>
      </c>
      <c r="AI2723">
        <v>112.331309677562</v>
      </c>
      <c r="AJ2723">
        <v>75.698279601351203</v>
      </c>
      <c r="AK2723">
        <v>0.51437633075147704</v>
      </c>
      <c r="AL2723">
        <v>89.407723545713196</v>
      </c>
      <c r="AM2723">
        <v>88.934312463697097</v>
      </c>
      <c r="AN2723">
        <v>0.99999998934627798</v>
      </c>
    </row>
    <row r="2724" spans="1:40" x14ac:dyDescent="0.25">
      <c r="A2724" t="str">
        <f>"20190312153939578"</f>
        <v>20190312153939578</v>
      </c>
      <c r="B2724" t="str">
        <f>"1552376379568912"</f>
        <v>1552376379568912</v>
      </c>
      <c r="C2724" t="s">
        <v>40</v>
      </c>
      <c r="D2724">
        <v>4.0673789999999999</v>
      </c>
      <c r="E2724">
        <v>0.55615380000000003</v>
      </c>
      <c r="F2724" t="s">
        <v>41</v>
      </c>
      <c r="G2724">
        <v>-323.90789999999998</v>
      </c>
      <c r="H2724">
        <v>0.89033929999999994</v>
      </c>
      <c r="I2724">
        <v>283.33170000000001</v>
      </c>
      <c r="J2724">
        <v>-323.26749999999998</v>
      </c>
      <c r="K2724">
        <v>1.1093309999999901</v>
      </c>
      <c r="L2724">
        <v>283.18340000000001</v>
      </c>
      <c r="M2724">
        <v>-0.99987740000000003</v>
      </c>
      <c r="N2724">
        <v>0</v>
      </c>
      <c r="O2724">
        <v>5.4745089999999998E-3</v>
      </c>
      <c r="P2724">
        <v>-0.99970539999999997</v>
      </c>
      <c r="Q2724">
        <v>-6.4240139999999996E-3</v>
      </c>
      <c r="R2724">
        <v>2.340861E-2</v>
      </c>
      <c r="S2724">
        <v>-2.9862980000000001</v>
      </c>
      <c r="T2724">
        <v>-0.70956209999999997</v>
      </c>
      <c r="U2724">
        <v>0.48562620000000001</v>
      </c>
      <c r="V2724">
        <v>1.7950629999999999E-2</v>
      </c>
      <c r="W2724">
        <v>8.2108700000000003E-3</v>
      </c>
      <c r="X2724">
        <v>0.99980519999999995</v>
      </c>
      <c r="Y2724">
        <v>0.15115139999999999</v>
      </c>
      <c r="Z2724">
        <v>1.6324869999999998E-2</v>
      </c>
      <c r="AA2724">
        <v>0.98837580000000003</v>
      </c>
      <c r="AB2724">
        <v>46</v>
      </c>
      <c r="AC2724">
        <v>-0.64039999999999897</v>
      </c>
      <c r="AD2724">
        <v>-0.21899169999999901</v>
      </c>
      <c r="AE2724">
        <v>0.14830000000000601</v>
      </c>
      <c r="AF2724">
        <v>0.13032711361646299</v>
      </c>
      <c r="AG2724">
        <v>-0.21899169999999901</v>
      </c>
      <c r="AH2724">
        <v>0.577147405612912</v>
      </c>
      <c r="AI2724">
        <v>110.31046925354001</v>
      </c>
      <c r="AJ2724">
        <v>77.275313155597502</v>
      </c>
      <c r="AK2724">
        <v>0.63090542002601602</v>
      </c>
      <c r="AL2724">
        <v>89.5295465357257</v>
      </c>
      <c r="AM2724">
        <v>88.971414783691301</v>
      </c>
      <c r="AN2724">
        <v>1.00000004072529</v>
      </c>
    </row>
    <row r="2725" spans="1:40" x14ac:dyDescent="0.25">
      <c r="A2725" t="str">
        <f>"20190312153939591"</f>
        <v>20190312153939591</v>
      </c>
      <c r="B2725" t="str">
        <f>"1552376379578672"</f>
        <v>1552376379578672</v>
      </c>
      <c r="C2725" t="s">
        <v>40</v>
      </c>
      <c r="D2725">
        <v>4.066808</v>
      </c>
      <c r="E2725">
        <v>0.55629649999999997</v>
      </c>
      <c r="F2725" t="s">
        <v>41</v>
      </c>
      <c r="G2725">
        <v>-324.30509999999998</v>
      </c>
      <c r="H2725">
        <v>0.85949109999999995</v>
      </c>
      <c r="I2725">
        <v>283.3526</v>
      </c>
      <c r="J2725">
        <v>-323.53559999999999</v>
      </c>
      <c r="K2725">
        <v>1.10938799999999</v>
      </c>
      <c r="L2725">
        <v>283.18509999999998</v>
      </c>
      <c r="M2725">
        <v>-0.99987579999999998</v>
      </c>
      <c r="N2725">
        <v>0</v>
      </c>
      <c r="O2725">
        <v>5.7667219999999898E-3</v>
      </c>
      <c r="P2725">
        <v>-0.99971370000000004</v>
      </c>
      <c r="Q2725">
        <v>-5.6811589999999999E-3</v>
      </c>
      <c r="R2725">
        <v>2.324528E-2</v>
      </c>
      <c r="S2725">
        <v>-2.9849239999999999</v>
      </c>
      <c r="T2725">
        <v>-0.71875440000000002</v>
      </c>
      <c r="U2725">
        <v>0.48587039999999998</v>
      </c>
      <c r="V2725">
        <v>1.7495819999999999E-2</v>
      </c>
      <c r="W2725">
        <v>8.9542319999999995E-3</v>
      </c>
      <c r="X2725">
        <v>0.9998068</v>
      </c>
      <c r="Y2725">
        <v>0.1509229</v>
      </c>
      <c r="Z2725">
        <v>1.6441939999999999E-2</v>
      </c>
      <c r="AA2725">
        <v>0.98840879999999998</v>
      </c>
      <c r="AB2725">
        <v>46</v>
      </c>
      <c r="AC2725">
        <v>-0.76949999999999297</v>
      </c>
      <c r="AD2725">
        <v>-0.24989689999999901</v>
      </c>
      <c r="AE2725">
        <v>0.167500000000018</v>
      </c>
      <c r="AF2725">
        <v>0.148142342308345</v>
      </c>
      <c r="AG2725">
        <v>-0.24989689999999901</v>
      </c>
      <c r="AH2725">
        <v>0.69997102549258094</v>
      </c>
      <c r="AI2725">
        <v>109.252967248319</v>
      </c>
      <c r="AJ2725">
        <v>78.050217212004696</v>
      </c>
      <c r="AK2725">
        <v>0.75786149839093198</v>
      </c>
      <c r="AL2725">
        <v>89.486953420900605</v>
      </c>
      <c r="AM2725">
        <v>88.997471970396305</v>
      </c>
      <c r="AN2725">
        <v>0.99999995965721</v>
      </c>
    </row>
    <row r="2726" spans="1:40" x14ac:dyDescent="0.25">
      <c r="A2726" t="str">
        <f>"20190312153939608"</f>
        <v>20190312153939608</v>
      </c>
      <c r="B2726" t="str">
        <f>"1552376379598191"</f>
        <v>1552376379598191</v>
      </c>
      <c r="C2726" t="s">
        <v>40</v>
      </c>
      <c r="D2726">
        <v>4.0526080000000002</v>
      </c>
      <c r="E2726">
        <v>0.55642009999999997</v>
      </c>
      <c r="F2726" t="s">
        <v>41</v>
      </c>
      <c r="G2726">
        <v>-324.32889999999998</v>
      </c>
      <c r="H2726">
        <v>0.91850449999999995</v>
      </c>
      <c r="I2726">
        <v>283.31459999999998</v>
      </c>
      <c r="J2726">
        <v>-323.8972</v>
      </c>
      <c r="K2726">
        <v>1.109453</v>
      </c>
      <c r="L2726">
        <v>283.1875</v>
      </c>
      <c r="M2726">
        <v>-0.99987380000000003</v>
      </c>
      <c r="N2726">
        <v>0</v>
      </c>
      <c r="O2726">
        <v>6.1355200000000002E-3</v>
      </c>
      <c r="P2726">
        <v>-0.99972689999999997</v>
      </c>
      <c r="Q2726">
        <v>-2.832687E-3</v>
      </c>
      <c r="R2726">
        <v>2.3197570000000001E-2</v>
      </c>
      <c r="S2726">
        <v>-2.9855040000000002</v>
      </c>
      <c r="T2726">
        <v>-0.71844390000000002</v>
      </c>
      <c r="U2726">
        <v>0.4864502</v>
      </c>
      <c r="V2726">
        <v>1.708312E-2</v>
      </c>
      <c r="W2726">
        <v>1.1802699999999999E-2</v>
      </c>
      <c r="X2726">
        <v>0.99978440000000002</v>
      </c>
      <c r="Y2726">
        <v>0.1507357</v>
      </c>
      <c r="Z2726">
        <v>1.6322719999999999E-2</v>
      </c>
      <c r="AA2726">
        <v>0.98843930000000002</v>
      </c>
      <c r="AB2726">
        <v>46</v>
      </c>
      <c r="AC2726">
        <v>-0.43169999999997699</v>
      </c>
      <c r="AD2726">
        <v>-0.19094849999999999</v>
      </c>
      <c r="AE2726">
        <v>0.127099999999984</v>
      </c>
      <c r="AF2726">
        <v>0.10546146433513399</v>
      </c>
      <c r="AG2726">
        <v>-0.19094849999999999</v>
      </c>
      <c r="AH2726">
        <v>0.36648946180347303</v>
      </c>
      <c r="AI2726">
        <v>116.597219430731</v>
      </c>
      <c r="AJ2726">
        <v>73.946232103084199</v>
      </c>
      <c r="AK2726">
        <v>0.42649498909712902</v>
      </c>
      <c r="AL2726">
        <v>89.323739395903203</v>
      </c>
      <c r="AM2726">
        <v>89.021093509701501</v>
      </c>
      <c r="AN2726">
        <v>0.99999999159979203</v>
      </c>
    </row>
    <row r="2727" spans="1:40" x14ac:dyDescent="0.25">
      <c r="A2727" t="str">
        <f>"20190312153939622"</f>
        <v>20190312153939622</v>
      </c>
      <c r="B2727" t="str">
        <f>"1552376379618688"</f>
        <v>1552376379618688</v>
      </c>
      <c r="C2727" t="s">
        <v>40</v>
      </c>
      <c r="D2727">
        <v>4.1143390000000002</v>
      </c>
      <c r="E2727">
        <v>0.55656470000000002</v>
      </c>
      <c r="F2727" t="s">
        <v>41</v>
      </c>
      <c r="G2727">
        <v>-324.73480000000001</v>
      </c>
      <c r="H2727">
        <v>0.90974739999999998</v>
      </c>
      <c r="I2727">
        <v>283.32420000000002</v>
      </c>
      <c r="J2727">
        <v>-324.1662</v>
      </c>
      <c r="K2727">
        <v>1.109523</v>
      </c>
      <c r="L2727">
        <v>283.1893</v>
      </c>
      <c r="M2727">
        <v>-0.99987210000000004</v>
      </c>
      <c r="N2727">
        <v>0</v>
      </c>
      <c r="O2727">
        <v>6.3891180000000001E-3</v>
      </c>
      <c r="P2727">
        <v>-0.99973800000000002</v>
      </c>
      <c r="Q2727">
        <v>4.7708680000000002E-3</v>
      </c>
      <c r="R2727">
        <v>2.2398999999999999E-2</v>
      </c>
      <c r="S2727">
        <v>-2.9875180000000001</v>
      </c>
      <c r="T2727">
        <v>-0.71229549999999997</v>
      </c>
      <c r="U2727">
        <v>0.48684690000000003</v>
      </c>
      <c r="V2727">
        <v>1.604299E-2</v>
      </c>
      <c r="W2727">
        <v>1.940683E-2</v>
      </c>
      <c r="X2727">
        <v>0.99968299999999999</v>
      </c>
      <c r="Y2727">
        <v>0.15059110000000001</v>
      </c>
      <c r="Z2727">
        <v>1.61E-2</v>
      </c>
      <c r="AA2727">
        <v>0.98846500000000004</v>
      </c>
      <c r="AB2727">
        <v>46</v>
      </c>
      <c r="AC2727">
        <v>-0.56860000000000299</v>
      </c>
      <c r="AD2727">
        <v>-0.1997756</v>
      </c>
      <c r="AE2727">
        <v>0.13490000000001601</v>
      </c>
      <c r="AF2727">
        <v>0.11752884671508</v>
      </c>
      <c r="AG2727">
        <v>-0.1997756</v>
      </c>
      <c r="AH2727">
        <v>0.50986442976252799</v>
      </c>
      <c r="AI2727">
        <v>110.897287611658</v>
      </c>
      <c r="AJ2727">
        <v>77.019486171050104</v>
      </c>
      <c r="AK2727">
        <v>0.56007593851423898</v>
      </c>
      <c r="AL2727">
        <v>88.888000796005301</v>
      </c>
      <c r="AM2727">
        <v>89.080591827767194</v>
      </c>
      <c r="AN2727">
        <v>1.00000005153389</v>
      </c>
    </row>
    <row r="2728" spans="1:40" x14ac:dyDescent="0.25">
      <c r="A2728" t="str">
        <f>"20190312153939636"</f>
        <v>20190312153939636</v>
      </c>
      <c r="B2728" t="str">
        <f>"1552376379628447"</f>
        <v>1552376379628447</v>
      </c>
      <c r="C2728" t="s">
        <v>40</v>
      </c>
      <c r="D2728">
        <v>4.1430350000000002</v>
      </c>
      <c r="E2728">
        <v>0.55669150000000001</v>
      </c>
      <c r="F2728" t="s">
        <v>41</v>
      </c>
      <c r="G2728">
        <v>-325.1343</v>
      </c>
      <c r="H2728">
        <v>0.88568740000000001</v>
      </c>
      <c r="I2728">
        <v>283.3467</v>
      </c>
      <c r="J2728">
        <v>-324.45710000000003</v>
      </c>
      <c r="K2728">
        <v>1.1095600000000001</v>
      </c>
      <c r="L2728">
        <v>283.19130000000001</v>
      </c>
      <c r="M2728">
        <v>-0.9998705</v>
      </c>
      <c r="N2728">
        <v>0</v>
      </c>
      <c r="O2728">
        <v>6.6416369999999997E-3</v>
      </c>
      <c r="P2728">
        <v>-0.99972380000000005</v>
      </c>
      <c r="Q2728">
        <v>7.7842440000000001E-3</v>
      </c>
      <c r="R2728">
        <v>2.2177220000000001E-2</v>
      </c>
      <c r="S2728">
        <v>-2.9931950000000001</v>
      </c>
      <c r="T2728">
        <v>-0.69212059999999997</v>
      </c>
      <c r="U2728">
        <v>0.48593140000000001</v>
      </c>
      <c r="V2728">
        <v>1.5571700000000001E-2</v>
      </c>
      <c r="W2728">
        <v>2.241978E-2</v>
      </c>
      <c r="X2728">
        <v>0.99962740000000005</v>
      </c>
      <c r="Y2728">
        <v>0.15000160000000001</v>
      </c>
      <c r="Z2728">
        <v>1.5503390000000001E-2</v>
      </c>
      <c r="AA2728">
        <v>0.9885642</v>
      </c>
      <c r="AB2728">
        <v>46</v>
      </c>
      <c r="AC2728">
        <v>-0.67719999999997005</v>
      </c>
      <c r="AD2728">
        <v>-0.2238726</v>
      </c>
      <c r="AE2728">
        <v>0.15539999999998599</v>
      </c>
      <c r="AF2728">
        <v>0.136705612270765</v>
      </c>
      <c r="AG2728">
        <v>-0.2238726</v>
      </c>
      <c r="AH2728">
        <v>0.61442749576396605</v>
      </c>
      <c r="AI2728">
        <v>109.578581433403</v>
      </c>
      <c r="AJ2728">
        <v>77.456426979770896</v>
      </c>
      <c r="AK2728">
        <v>0.66807822371924597</v>
      </c>
      <c r="AL2728">
        <v>88.715333631477094</v>
      </c>
      <c r="AM2728">
        <v>89.107546937727093</v>
      </c>
      <c r="AN2728">
        <v>1.0000000316034401</v>
      </c>
    </row>
    <row r="2729" spans="1:40" x14ac:dyDescent="0.25">
      <c r="A2729" t="str">
        <f>"20190312153939653"</f>
        <v>20190312153939653</v>
      </c>
      <c r="B2729" t="str">
        <f>"1552376379648944"</f>
        <v>1552376379648944</v>
      </c>
      <c r="C2729" t="s">
        <v>40</v>
      </c>
      <c r="D2729">
        <v>4.1326720000000003</v>
      </c>
      <c r="E2729">
        <v>0.55690399999999995</v>
      </c>
      <c r="F2729" t="s">
        <v>41</v>
      </c>
      <c r="G2729">
        <v>-325.16109999999998</v>
      </c>
      <c r="H2729">
        <v>0.948604</v>
      </c>
      <c r="I2729">
        <v>283.3057</v>
      </c>
      <c r="J2729">
        <v>-324.80840000000001</v>
      </c>
      <c r="K2729">
        <v>1.1095660000000001</v>
      </c>
      <c r="L2729">
        <v>283.19389999999999</v>
      </c>
      <c r="M2729">
        <v>-0.9998686</v>
      </c>
      <c r="N2729">
        <v>0</v>
      </c>
      <c r="O2729">
        <v>6.9087460000000003E-3</v>
      </c>
      <c r="P2729">
        <v>-0.99972609999999995</v>
      </c>
      <c r="Q2729">
        <v>1.002281E-2</v>
      </c>
      <c r="R2729">
        <v>2.1150510000000001E-2</v>
      </c>
      <c r="S2729">
        <v>-2.9953919999999998</v>
      </c>
      <c r="T2729">
        <v>-0.68484319999999999</v>
      </c>
      <c r="U2729">
        <v>0.48562620000000001</v>
      </c>
      <c r="V2729">
        <v>1.4278880000000001E-2</v>
      </c>
      <c r="W2729">
        <v>2.4659339999999998E-2</v>
      </c>
      <c r="X2729">
        <v>0.99959390000000004</v>
      </c>
      <c r="Y2729">
        <v>0.14962230000000001</v>
      </c>
      <c r="Z2729">
        <v>1.523126E-2</v>
      </c>
      <c r="AA2729">
        <v>0.98862589999999995</v>
      </c>
      <c r="AB2729">
        <v>46</v>
      </c>
      <c r="AC2729">
        <v>-0.35269999999996998</v>
      </c>
      <c r="AD2729">
        <v>-0.16096199999999899</v>
      </c>
      <c r="AE2729">
        <v>0.111800000000016</v>
      </c>
      <c r="AF2729">
        <v>9.1956794198335107E-2</v>
      </c>
      <c r="AG2729">
        <v>-0.16096199999999899</v>
      </c>
      <c r="AH2729">
        <v>0.29721394126506401</v>
      </c>
      <c r="AI2729">
        <v>117.35579627320701</v>
      </c>
      <c r="AJ2729">
        <v>72.808143555590803</v>
      </c>
      <c r="AK2729">
        <v>0.35028694569673502</v>
      </c>
      <c r="AL2729">
        <v>88.586980615853093</v>
      </c>
      <c r="AM2729">
        <v>89.181603728629796</v>
      </c>
      <c r="AN2729">
        <v>0.99999996719024897</v>
      </c>
    </row>
    <row r="2730" spans="1:40" x14ac:dyDescent="0.25">
      <c r="A2730" t="str">
        <f>"20190312153939666"</f>
        <v>20190312153939666</v>
      </c>
      <c r="B2730" t="str">
        <f>"1552376379658704"</f>
        <v>1552376379658704</v>
      </c>
      <c r="C2730" t="s">
        <v>40</v>
      </c>
      <c r="D2730">
        <v>4.1003160000000003</v>
      </c>
      <c r="E2730">
        <v>0.55693329999999996</v>
      </c>
      <c r="F2730" t="s">
        <v>41</v>
      </c>
      <c r="G2730">
        <v>-325.56470000000002</v>
      </c>
      <c r="H2730">
        <v>0.93737029999999999</v>
      </c>
      <c r="I2730">
        <v>283.3159</v>
      </c>
      <c r="J2730">
        <v>-325.07350000000002</v>
      </c>
      <c r="K2730">
        <v>1.1095680000000001</v>
      </c>
      <c r="L2730">
        <v>283.19589999999999</v>
      </c>
      <c r="M2730">
        <v>-0.99986759999999997</v>
      </c>
      <c r="N2730">
        <v>0</v>
      </c>
      <c r="O2730">
        <v>7.0876230000000004E-3</v>
      </c>
      <c r="P2730">
        <v>-0.9997355</v>
      </c>
      <c r="Q2730">
        <v>9.4958539999999998E-3</v>
      </c>
      <c r="R2730">
        <v>2.095035E-2</v>
      </c>
      <c r="S2730">
        <v>-2.9974669999999999</v>
      </c>
      <c r="T2730">
        <v>-0.68253379999999997</v>
      </c>
      <c r="U2730">
        <v>0.48269649999999997</v>
      </c>
      <c r="V2730">
        <v>1.3896800000000001E-2</v>
      </c>
      <c r="W2730">
        <v>2.413307E-2</v>
      </c>
      <c r="X2730">
        <v>0.99961219999999995</v>
      </c>
      <c r="Y2730">
        <v>0.14845710000000001</v>
      </c>
      <c r="Z2730">
        <v>1.5002039999999999E-2</v>
      </c>
      <c r="AA2730">
        <v>0.98880509999999999</v>
      </c>
      <c r="AB2730">
        <v>46</v>
      </c>
      <c r="AC2730">
        <v>-0.49119999999999198</v>
      </c>
      <c r="AD2730">
        <v>-0.17219770000000001</v>
      </c>
      <c r="AE2730">
        <v>0.12000000000000401</v>
      </c>
      <c r="AF2730">
        <v>0.10440666662719</v>
      </c>
      <c r="AG2730">
        <v>-0.17219770000000001</v>
      </c>
      <c r="AH2730">
        <v>0.44090460146157101</v>
      </c>
      <c r="AI2730">
        <v>110.809060006062</v>
      </c>
      <c r="AJ2730">
        <v>76.677696842436603</v>
      </c>
      <c r="AK2730">
        <v>0.48471606896355102</v>
      </c>
      <c r="AL2730">
        <v>88.617142742541205</v>
      </c>
      <c r="AM2730">
        <v>89.203514424114502</v>
      </c>
      <c r="AN2730">
        <v>1.00000003825335</v>
      </c>
    </row>
    <row r="2731" spans="1:40" x14ac:dyDescent="0.25">
      <c r="A2731" t="str">
        <f>"20190312153939680"</f>
        <v>20190312153939680</v>
      </c>
      <c r="B2731" t="str">
        <f>"1552376379668464"</f>
        <v>1552376379668464</v>
      </c>
      <c r="C2731" t="s">
        <v>40</v>
      </c>
      <c r="D2731">
        <v>4.1784420000000004</v>
      </c>
      <c r="E2731">
        <v>0.55701149999999999</v>
      </c>
      <c r="F2731" t="s">
        <v>41</v>
      </c>
      <c r="G2731">
        <v>-325.95999999999998</v>
      </c>
      <c r="H2731">
        <v>0.90701259999999995</v>
      </c>
      <c r="I2731">
        <v>283.33870000000002</v>
      </c>
      <c r="J2731">
        <v>-325.34879999999998</v>
      </c>
      <c r="K2731">
        <v>1.1095710000000001</v>
      </c>
      <c r="L2731">
        <v>283.1979</v>
      </c>
      <c r="M2731">
        <v>-0.99986640000000004</v>
      </c>
      <c r="N2731">
        <v>0</v>
      </c>
      <c r="O2731">
        <v>7.25926099999999E-3</v>
      </c>
      <c r="P2731">
        <v>-0.9997376</v>
      </c>
      <c r="Q2731">
        <v>8.9218690000000007E-3</v>
      </c>
      <c r="R2731">
        <v>2.1103719999999999E-2</v>
      </c>
      <c r="S2731">
        <v>-2.9971920000000001</v>
      </c>
      <c r="T2731">
        <v>-0.68488979999999999</v>
      </c>
      <c r="U2731">
        <v>0.48196410000000001</v>
      </c>
      <c r="V2731">
        <v>1.387595E-2</v>
      </c>
      <c r="W2731">
        <v>2.355817E-2</v>
      </c>
      <c r="X2731">
        <v>0.99962620000000002</v>
      </c>
      <c r="Y2731">
        <v>0.14805570000000001</v>
      </c>
      <c r="Z2731">
        <v>1.497067E-2</v>
      </c>
      <c r="AA2731">
        <v>0.98886569999999996</v>
      </c>
      <c r="AB2731">
        <v>46</v>
      </c>
      <c r="AC2731">
        <v>-0.61119999999999597</v>
      </c>
      <c r="AD2731">
        <v>-0.202558399999999</v>
      </c>
      <c r="AE2731">
        <v>0.140800000000012</v>
      </c>
      <c r="AF2731">
        <v>0.123480183372023</v>
      </c>
      <c r="AG2731">
        <v>-0.202558399999999</v>
      </c>
      <c r="AH2731">
        <v>0.55438473598179605</v>
      </c>
      <c r="AI2731">
        <v>109.628054622009</v>
      </c>
      <c r="AJ2731">
        <v>77.443266922961399</v>
      </c>
      <c r="AK2731">
        <v>0.603008869408862</v>
      </c>
      <c r="AL2731">
        <v>88.650091449244002</v>
      </c>
      <c r="AM2731">
        <v>89.204720410789207</v>
      </c>
      <c r="AN2731">
        <v>1.0000000345442901</v>
      </c>
    </row>
    <row r="2732" spans="1:40" x14ac:dyDescent="0.25">
      <c r="A2732" t="str">
        <f>"20190312153939692"</f>
        <v>20190312153939692</v>
      </c>
      <c r="B2732" t="str">
        <f>"1552376379688960"</f>
        <v>1552376379688960</v>
      </c>
      <c r="C2732" t="s">
        <v>40</v>
      </c>
      <c r="D2732">
        <v>4.1889050000000001</v>
      </c>
      <c r="E2732">
        <v>0.55725659999999999</v>
      </c>
      <c r="F2732" t="s">
        <v>41</v>
      </c>
      <c r="G2732">
        <v>-326.35640000000001</v>
      </c>
      <c r="H2732">
        <v>0.87803629999999999</v>
      </c>
      <c r="I2732">
        <v>283.3603</v>
      </c>
      <c r="J2732">
        <v>-325.6146</v>
      </c>
      <c r="K2732">
        <v>1.1095680000000001</v>
      </c>
      <c r="L2732">
        <v>283.2</v>
      </c>
      <c r="M2732">
        <v>-0.99986520000000001</v>
      </c>
      <c r="N2732">
        <v>0</v>
      </c>
      <c r="O2732">
        <v>7.40415E-3</v>
      </c>
      <c r="P2732">
        <v>-0.99974019999999997</v>
      </c>
      <c r="Q2732">
        <v>8.5963459999999995E-3</v>
      </c>
      <c r="R2732">
        <v>2.1113050000000001E-2</v>
      </c>
      <c r="S2732">
        <v>-2.9967959999999998</v>
      </c>
      <c r="T2732">
        <v>-0.68863030000000003</v>
      </c>
      <c r="U2732">
        <v>0.4829407</v>
      </c>
      <c r="V2732">
        <v>1.3737890000000001E-2</v>
      </c>
      <c r="W2732">
        <v>2.3232579999999999E-2</v>
      </c>
      <c r="X2732">
        <v>0.99963570000000002</v>
      </c>
      <c r="Y2732">
        <v>0.14820800000000001</v>
      </c>
      <c r="Z2732">
        <v>1.503645E-2</v>
      </c>
      <c r="AA2732">
        <v>0.98884190000000005</v>
      </c>
      <c r="AB2732">
        <v>46</v>
      </c>
      <c r="AC2732">
        <v>-0.74180000000001201</v>
      </c>
      <c r="AD2732">
        <v>-0.23153170000000001</v>
      </c>
      <c r="AE2732">
        <v>0.16030000000000599</v>
      </c>
      <c r="AF2732">
        <v>0.14162141471856299</v>
      </c>
      <c r="AG2732">
        <v>-0.23153170000000001</v>
      </c>
      <c r="AH2732">
        <v>0.67970421821164895</v>
      </c>
      <c r="AI2732">
        <v>108.442219336657</v>
      </c>
      <c r="AJ2732">
        <v>78.230388623101405</v>
      </c>
      <c r="AK2732">
        <v>0.73188891060493999</v>
      </c>
      <c r="AL2732">
        <v>88.668751453022594</v>
      </c>
      <c r="AM2732">
        <v>89.212639596489694</v>
      </c>
      <c r="AN2732">
        <v>1.0000000075547899</v>
      </c>
    </row>
    <row r="2733" spans="1:40" x14ac:dyDescent="0.25">
      <c r="A2733" t="str">
        <f>"20190312153939705"</f>
        <v>20190312153939705</v>
      </c>
      <c r="B2733" t="str">
        <f>"1552376379698720"</f>
        <v>1552376379698720</v>
      </c>
      <c r="C2733" t="s">
        <v>40</v>
      </c>
      <c r="D2733">
        <v>4.1947400000000004</v>
      </c>
      <c r="E2733">
        <v>0.55735970000000001</v>
      </c>
      <c r="F2733" t="s">
        <v>41</v>
      </c>
      <c r="G2733">
        <v>-326.37889999999999</v>
      </c>
      <c r="H2733">
        <v>0.9326006</v>
      </c>
      <c r="I2733">
        <v>283.32350000000002</v>
      </c>
      <c r="J2733">
        <v>-325.86500000000001</v>
      </c>
      <c r="K2733">
        <v>1.1095619999999999</v>
      </c>
      <c r="L2733">
        <v>283.20190000000002</v>
      </c>
      <c r="M2733">
        <v>-0.99986439999999999</v>
      </c>
      <c r="N2733">
        <v>0</v>
      </c>
      <c r="O2733">
        <v>7.5269169999999897E-3</v>
      </c>
      <c r="P2733">
        <v>-0.99972669999999997</v>
      </c>
      <c r="Q2733">
        <v>8.3788749999999992E-3</v>
      </c>
      <c r="R2733">
        <v>2.1823349999999998E-2</v>
      </c>
      <c r="S2733">
        <v>-2.9964900000000001</v>
      </c>
      <c r="T2733">
        <v>-0.69373699999999905</v>
      </c>
      <c r="U2733">
        <v>0.48449710000000001</v>
      </c>
      <c r="V2733">
        <v>1.432342E-2</v>
      </c>
      <c r="W2733">
        <v>2.3013769999999999E-2</v>
      </c>
      <c r="X2733">
        <v>0.99963250000000003</v>
      </c>
      <c r="Y2733">
        <v>0.1485445</v>
      </c>
      <c r="Z2733">
        <v>1.5156380000000001E-2</v>
      </c>
      <c r="AA2733">
        <v>0.98878960000000005</v>
      </c>
      <c r="AB2733">
        <v>46</v>
      </c>
      <c r="AC2733">
        <v>-0.51389999999997804</v>
      </c>
      <c r="AD2733">
        <v>-0.17696139999999999</v>
      </c>
      <c r="AE2733">
        <v>0.1216</v>
      </c>
      <c r="AF2733">
        <v>0.10584297659417601</v>
      </c>
      <c r="AG2733">
        <v>-0.17696139999999999</v>
      </c>
      <c r="AH2733">
        <v>0.46282977511411899</v>
      </c>
      <c r="AI2733">
        <v>110.44165838346299</v>
      </c>
      <c r="AJ2733">
        <v>77.118726346398702</v>
      </c>
      <c r="AK2733">
        <v>0.50668478713738896</v>
      </c>
      <c r="AL2733">
        <v>88.681291638663197</v>
      </c>
      <c r="AM2733">
        <v>89.179082956236499</v>
      </c>
      <c r="AN2733">
        <v>0.99999996451317896</v>
      </c>
    </row>
    <row r="2734" spans="1:40" x14ac:dyDescent="0.25">
      <c r="A2734" t="str">
        <f>"20190312153939720"</f>
        <v>20190312153939720</v>
      </c>
      <c r="B2734" t="str">
        <f>"1552376379708480"</f>
        <v>1552376379708480</v>
      </c>
      <c r="C2734" t="s">
        <v>40</v>
      </c>
      <c r="D2734">
        <v>4.1559679999999997</v>
      </c>
      <c r="E2734">
        <v>0.55731430000000004</v>
      </c>
      <c r="F2734" t="s">
        <v>41</v>
      </c>
      <c r="G2734">
        <v>-326.7724</v>
      </c>
      <c r="H2734">
        <v>0.89859820000000001</v>
      </c>
      <c r="I2734">
        <v>283.34980000000002</v>
      </c>
      <c r="J2734">
        <v>-326.17</v>
      </c>
      <c r="K2734">
        <v>1.109526</v>
      </c>
      <c r="L2734">
        <v>283.20429999999999</v>
      </c>
      <c r="M2734">
        <v>-0.99986339999999996</v>
      </c>
      <c r="N2734">
        <v>0</v>
      </c>
      <c r="O2734">
        <v>7.66389999999999E-3</v>
      </c>
      <c r="P2734">
        <v>-0.9997104</v>
      </c>
      <c r="Q2734">
        <v>6.5672600000000001E-3</v>
      </c>
      <c r="R2734">
        <v>2.3159550000000001E-2</v>
      </c>
      <c r="S2734">
        <v>-2.9960019999999998</v>
      </c>
      <c r="T2734">
        <v>-0.69656960000000001</v>
      </c>
      <c r="U2734">
        <v>0.48727419999999999</v>
      </c>
      <c r="V2734">
        <v>1.551898E-2</v>
      </c>
      <c r="W2734">
        <v>2.120033E-2</v>
      </c>
      <c r="X2734">
        <v>0.99965479999999995</v>
      </c>
      <c r="Y2734">
        <v>0.1492821</v>
      </c>
      <c r="Z2734">
        <v>1.5270850000000001E-2</v>
      </c>
      <c r="AA2734">
        <v>0.98867669999999996</v>
      </c>
      <c r="AB2734">
        <v>46</v>
      </c>
      <c r="AC2734">
        <v>-0.60239999999998795</v>
      </c>
      <c r="AD2734">
        <v>-0.210927799999999</v>
      </c>
      <c r="AE2734">
        <v>0.145500000000026</v>
      </c>
      <c r="AF2734">
        <v>0.12625287514603001</v>
      </c>
      <c r="AG2734">
        <v>-0.210927799999999</v>
      </c>
      <c r="AH2734">
        <v>0.54084405072150099</v>
      </c>
      <c r="AI2734">
        <v>110.796120877814</v>
      </c>
      <c r="AJ2734">
        <v>76.860358660650206</v>
      </c>
      <c r="AK2734">
        <v>0.59408973438052304</v>
      </c>
      <c r="AL2734">
        <v>88.785219564364198</v>
      </c>
      <c r="AM2734">
        <v>89.110592341468006</v>
      </c>
      <c r="AN2734">
        <v>1.0000000059476899</v>
      </c>
    </row>
    <row r="2735" spans="1:40" x14ac:dyDescent="0.25">
      <c r="A2735" t="str">
        <f>"20190312153939732"</f>
        <v>20190312153939732</v>
      </c>
      <c r="B2735" t="str">
        <f>"1552376379728976"</f>
        <v>1552376379728976</v>
      </c>
      <c r="C2735" t="s">
        <v>40</v>
      </c>
      <c r="D2735">
        <v>4.2314089999999904</v>
      </c>
      <c r="E2735">
        <v>0.55748719999999996</v>
      </c>
      <c r="F2735" t="s">
        <v>41</v>
      </c>
      <c r="G2735">
        <v>-327.1703</v>
      </c>
      <c r="H2735">
        <v>0.87494159999999899</v>
      </c>
      <c r="I2735">
        <v>283.36849999999998</v>
      </c>
      <c r="J2735">
        <v>-326.4273</v>
      </c>
      <c r="K2735">
        <v>1.109524</v>
      </c>
      <c r="L2735">
        <v>283.20639999999997</v>
      </c>
      <c r="M2735">
        <v>-0.99986269999999999</v>
      </c>
      <c r="N2735">
        <v>0</v>
      </c>
      <c r="O2735">
        <v>7.7658880000000003E-3</v>
      </c>
      <c r="P2735">
        <v>-0.99968389999999996</v>
      </c>
      <c r="Q2735">
        <v>5.2436940000000001E-3</v>
      </c>
      <c r="R2735">
        <v>2.459662E-2</v>
      </c>
      <c r="S2735">
        <v>-2.9940799999999999</v>
      </c>
      <c r="T2735">
        <v>-0.70218259999999999</v>
      </c>
      <c r="U2735">
        <v>0.49084470000000002</v>
      </c>
      <c r="V2735">
        <v>1.6851499999999998E-2</v>
      </c>
      <c r="W2735">
        <v>1.987452E-2</v>
      </c>
      <c r="X2735">
        <v>0.9996604</v>
      </c>
      <c r="Y2735">
        <v>0.15034229999999901</v>
      </c>
      <c r="Z2735">
        <v>1.5497250000000001E-2</v>
      </c>
      <c r="AA2735">
        <v>0.98851250000000002</v>
      </c>
      <c r="AB2735">
        <v>46</v>
      </c>
      <c r="AC2735">
        <v>-0.742999999999994</v>
      </c>
      <c r="AD2735">
        <v>-0.2345824</v>
      </c>
      <c r="AE2735">
        <v>0.16210000000000899</v>
      </c>
      <c r="AF2735">
        <v>0.142742210476796</v>
      </c>
      <c r="AG2735">
        <v>-0.2345824</v>
      </c>
      <c r="AH2735">
        <v>0.67957368282304298</v>
      </c>
      <c r="AI2735">
        <v>108.665932448939</v>
      </c>
      <c r="AJ2735">
        <v>78.137658125018504</v>
      </c>
      <c r="AK2735">
        <v>0.73295609106360204</v>
      </c>
      <c r="AL2735">
        <v>88.861198839811195</v>
      </c>
      <c r="AM2735">
        <v>89.034243641063</v>
      </c>
      <c r="AN2735">
        <v>0.99999994246281798</v>
      </c>
    </row>
    <row r="2736" spans="1:40" x14ac:dyDescent="0.25">
      <c r="A2736" t="str">
        <f>"20190312153939745"</f>
        <v>20190312153939745</v>
      </c>
      <c r="B2736" t="str">
        <f>"1552376379738737"</f>
        <v>1552376379738737</v>
      </c>
      <c r="C2736" t="s">
        <v>40</v>
      </c>
      <c r="D2736">
        <v>4.2177790000000002</v>
      </c>
      <c r="E2736">
        <v>0.5575196</v>
      </c>
      <c r="F2736" t="s">
        <v>41</v>
      </c>
      <c r="G2736">
        <v>-327.19220000000001</v>
      </c>
      <c r="H2736">
        <v>0.9281973</v>
      </c>
      <c r="I2736">
        <v>283.33339999999998</v>
      </c>
      <c r="J2736">
        <v>-326.6712</v>
      </c>
      <c r="K2736">
        <v>1.109523</v>
      </c>
      <c r="L2736">
        <v>283.20839999999998</v>
      </c>
      <c r="M2736">
        <v>-0.99986189999999997</v>
      </c>
      <c r="N2736">
        <v>0</v>
      </c>
      <c r="O2736">
        <v>7.8542779999999993E-3</v>
      </c>
      <c r="P2736">
        <v>-0.99965099999999996</v>
      </c>
      <c r="Q2736">
        <v>3.272779E-3</v>
      </c>
      <c r="R2736">
        <v>2.6211430000000001E-2</v>
      </c>
      <c r="S2736">
        <v>-2.9924620000000002</v>
      </c>
      <c r="T2736">
        <v>-0.70952630000000005</v>
      </c>
      <c r="U2736">
        <v>0.49646000000000001</v>
      </c>
      <c r="V2736">
        <v>1.837484E-2</v>
      </c>
      <c r="W2736">
        <v>1.7901719999999999E-2</v>
      </c>
      <c r="X2736">
        <v>0.99967090000000003</v>
      </c>
      <c r="Y2736">
        <v>0.15202209999999999</v>
      </c>
      <c r="Z2736">
        <v>1.583553E-2</v>
      </c>
      <c r="AA2736">
        <v>0.98825030000000003</v>
      </c>
      <c r="AB2736">
        <v>46</v>
      </c>
      <c r="AC2736">
        <v>-0.52100000000001501</v>
      </c>
      <c r="AD2736">
        <v>-0.18132570000000001</v>
      </c>
      <c r="AE2736">
        <v>0.125</v>
      </c>
      <c r="AF2736">
        <v>0.10847901732741499</v>
      </c>
      <c r="AG2736">
        <v>-0.18132570000000001</v>
      </c>
      <c r="AH2736">
        <v>0.46832622655023798</v>
      </c>
      <c r="AI2736">
        <v>110.666056433484</v>
      </c>
      <c r="AJ2736">
        <v>76.958496001586099</v>
      </c>
      <c r="AK2736">
        <v>0.51378610447889395</v>
      </c>
      <c r="AL2736">
        <v>88.974252213334907</v>
      </c>
      <c r="AM2736">
        <v>88.946971208368694</v>
      </c>
      <c r="AN2736">
        <v>1.0000000073153901</v>
      </c>
    </row>
    <row r="2737" spans="1:40" x14ac:dyDescent="0.25">
      <c r="A2737" t="str">
        <f>"20190312153939759"</f>
        <v>20190312153939759</v>
      </c>
      <c r="B2737" t="str">
        <f>"1552376379748496"</f>
        <v>1552376379748496</v>
      </c>
      <c r="C2737" t="s">
        <v>40</v>
      </c>
      <c r="D2737">
        <v>4.2539230000000003</v>
      </c>
      <c r="E2737">
        <v>0.55759329999999996</v>
      </c>
      <c r="F2737" t="s">
        <v>41</v>
      </c>
      <c r="G2737">
        <v>-327.5838</v>
      </c>
      <c r="H2737">
        <v>0.89062229999999998</v>
      </c>
      <c r="I2737">
        <v>283.36180000000002</v>
      </c>
      <c r="J2737">
        <v>-326.96499999999997</v>
      </c>
      <c r="K2737">
        <v>1.109534</v>
      </c>
      <c r="L2737">
        <v>283.21080000000001</v>
      </c>
      <c r="M2737">
        <v>-0.99986109999999995</v>
      </c>
      <c r="N2737">
        <v>0</v>
      </c>
      <c r="O2737">
        <v>7.9533989999999999E-3</v>
      </c>
      <c r="P2737">
        <v>-0.9996138</v>
      </c>
      <c r="Q2737">
        <v>1.3632220000000001E-3</v>
      </c>
      <c r="R2737">
        <v>2.775764E-2</v>
      </c>
      <c r="S2737">
        <v>-2.9902340000000001</v>
      </c>
      <c r="T2737">
        <v>-0.71729869999999996</v>
      </c>
      <c r="U2737">
        <v>0.5014343</v>
      </c>
      <c r="V2737">
        <v>1.9819369999999999E-2</v>
      </c>
      <c r="W2737">
        <v>1.5989880000000001E-2</v>
      </c>
      <c r="X2737">
        <v>0.99967569999999994</v>
      </c>
      <c r="Y2737">
        <v>0.15351489999999901</v>
      </c>
      <c r="Z2737">
        <v>1.6165789999999999E-2</v>
      </c>
      <c r="AA2737">
        <v>0.98801410000000001</v>
      </c>
      <c r="AB2737">
        <v>46</v>
      </c>
      <c r="AC2737">
        <v>-0.618800000000021</v>
      </c>
      <c r="AD2737">
        <v>-0.21891169999999999</v>
      </c>
      <c r="AE2737">
        <v>0.15100000000000999</v>
      </c>
      <c r="AF2737">
        <v>0.130641919817127</v>
      </c>
      <c r="AG2737">
        <v>-0.21891169999999999</v>
      </c>
      <c r="AH2737">
        <v>0.55448647217309299</v>
      </c>
      <c r="AI2737">
        <v>111.020713912674</v>
      </c>
      <c r="AJ2737">
        <v>76.7423944562549</v>
      </c>
      <c r="AK2737">
        <v>0.610282632419895</v>
      </c>
      <c r="AL2737">
        <v>89.083808311736306</v>
      </c>
      <c r="AM2737">
        <v>88.864214158735805</v>
      </c>
      <c r="AN2737">
        <v>0.99999999443005005</v>
      </c>
    </row>
    <row r="2738" spans="1:40" x14ac:dyDescent="0.25">
      <c r="A2738" t="str">
        <f>"20190312153939776"</f>
        <v>20190312153939776</v>
      </c>
      <c r="B2738" t="str">
        <f>"1552376379768997"</f>
        <v>1552376379768997</v>
      </c>
      <c r="C2738" t="s">
        <v>40</v>
      </c>
      <c r="D2738">
        <v>4.262893</v>
      </c>
      <c r="E2738">
        <v>0.55768890000000004</v>
      </c>
      <c r="F2738" t="s">
        <v>41</v>
      </c>
      <c r="G2738">
        <v>-327.9796</v>
      </c>
      <c r="H2738">
        <v>0.86333969999999904</v>
      </c>
      <c r="I2738">
        <v>283.38299999999998</v>
      </c>
      <c r="J2738">
        <v>-327.31819999999999</v>
      </c>
      <c r="K2738">
        <v>1.109542</v>
      </c>
      <c r="L2738">
        <v>283.21370000000002</v>
      </c>
      <c r="M2738">
        <v>-0.99986019999999998</v>
      </c>
      <c r="N2738">
        <v>0</v>
      </c>
      <c r="O2738">
        <v>8.0611840000000008E-3</v>
      </c>
      <c r="P2738">
        <v>-0.99951060000000003</v>
      </c>
      <c r="Q2738">
        <v>-8.9039649999999996E-4</v>
      </c>
      <c r="R2738">
        <v>3.1270480000000003E-2</v>
      </c>
      <c r="S2738">
        <v>-2.9880680000000002</v>
      </c>
      <c r="T2738">
        <v>-0.72502860000000002</v>
      </c>
      <c r="U2738">
        <v>0.50650019999999996</v>
      </c>
      <c r="V2738">
        <v>2.3222260000000002E-2</v>
      </c>
      <c r="W2738">
        <v>1.373183E-2</v>
      </c>
      <c r="X2738">
        <v>0.99963599999999997</v>
      </c>
      <c r="Y2738">
        <v>0.1550242</v>
      </c>
      <c r="Z2738">
        <v>1.6498039999999999E-2</v>
      </c>
      <c r="AA2738">
        <v>0.98777289999999995</v>
      </c>
      <c r="AB2738">
        <v>46</v>
      </c>
      <c r="AC2738">
        <v>-0.66140000000001398</v>
      </c>
      <c r="AD2738">
        <v>-0.24620230000000001</v>
      </c>
      <c r="AE2738">
        <v>0.16929999999996401</v>
      </c>
      <c r="AF2738">
        <v>0.14509357169102799</v>
      </c>
      <c r="AG2738">
        <v>-0.24620230000000001</v>
      </c>
      <c r="AH2738">
        <v>0.58647526128775995</v>
      </c>
      <c r="AI2738">
        <v>112.171580841934</v>
      </c>
      <c r="AJ2738">
        <v>76.104085776383798</v>
      </c>
      <c r="AK2738">
        <v>0.65239631296773604</v>
      </c>
      <c r="AL2738">
        <v>89.213199355560704</v>
      </c>
      <c r="AM2738">
        <v>88.669217377586705</v>
      </c>
      <c r="AN2738">
        <v>0.99999998450532801</v>
      </c>
    </row>
    <row r="2739" spans="1:40" x14ac:dyDescent="0.25">
      <c r="A2739" t="str">
        <f>"20190312153939799"</f>
        <v>20190312153939799</v>
      </c>
      <c r="B2739" t="str">
        <f>"1552376379788512"</f>
        <v>1552376379788512</v>
      </c>
      <c r="C2739" t="s">
        <v>40</v>
      </c>
      <c r="D2739">
        <v>4.2457140000000004</v>
      </c>
      <c r="E2739">
        <v>0.55752550000000001</v>
      </c>
      <c r="F2739" t="s">
        <v>41</v>
      </c>
      <c r="G2739">
        <v>-328.0111</v>
      </c>
      <c r="H2739">
        <v>0.93896950000000001</v>
      </c>
      <c r="I2739">
        <v>283.33420000000001</v>
      </c>
      <c r="J2739">
        <v>-327.76650000000001</v>
      </c>
      <c r="K2739">
        <v>1.1095919999999999</v>
      </c>
      <c r="L2739">
        <v>283.2174</v>
      </c>
      <c r="M2739">
        <v>-0.99985930000000001</v>
      </c>
      <c r="N2739">
        <v>0</v>
      </c>
      <c r="O2739">
        <v>8.1855009999999995E-3</v>
      </c>
      <c r="P2739">
        <v>-0.99937940000000003</v>
      </c>
      <c r="Q2739">
        <v>-1.1270849999999999E-3</v>
      </c>
      <c r="R2739">
        <v>3.5210409999999998E-2</v>
      </c>
      <c r="S2739">
        <v>-2.9845890000000002</v>
      </c>
      <c r="T2739">
        <v>-0.73477099999999995</v>
      </c>
      <c r="U2739">
        <v>0.51837159999999904</v>
      </c>
      <c r="V2739">
        <v>2.7037539999999999E-2</v>
      </c>
      <c r="W2739">
        <v>1.349009E-2</v>
      </c>
      <c r="X2739">
        <v>0.99954339999999997</v>
      </c>
      <c r="Y2739">
        <v>0.1586871</v>
      </c>
      <c r="Z2739">
        <v>1.7137960000000001E-2</v>
      </c>
      <c r="AA2739">
        <v>0.98718019999999995</v>
      </c>
      <c r="AB2739">
        <v>46</v>
      </c>
      <c r="AC2739">
        <v>-0.24459999999999099</v>
      </c>
      <c r="AD2739">
        <v>-0.17062249999999901</v>
      </c>
      <c r="AE2739">
        <v>0.11680000000001101</v>
      </c>
      <c r="AF2739">
        <v>8.22165244761425E-2</v>
      </c>
      <c r="AG2739">
        <v>-0.17062249999999901</v>
      </c>
      <c r="AH2739">
        <v>0.17586419174083101</v>
      </c>
      <c r="AI2739">
        <v>131.312016906823</v>
      </c>
      <c r="AJ2739">
        <v>64.943907199533896</v>
      </c>
      <c r="AK2739">
        <v>0.25845658888842798</v>
      </c>
      <c r="AL2739">
        <v>89.227051340248707</v>
      </c>
      <c r="AM2739">
        <v>88.450533250019703</v>
      </c>
      <c r="AN2739">
        <v>1.0000000097905</v>
      </c>
    </row>
    <row r="2740" spans="1:40" x14ac:dyDescent="0.25">
      <c r="A2740" t="str">
        <f>"20190312153939812"</f>
        <v>20190312153939812</v>
      </c>
      <c r="B2740" t="str">
        <f>"1552376379809008"</f>
        <v>1552376379809008</v>
      </c>
      <c r="C2740" t="s">
        <v>40</v>
      </c>
      <c r="D2740">
        <v>4.3055269999999997</v>
      </c>
      <c r="E2740">
        <v>0.55759689999999995</v>
      </c>
      <c r="F2740" t="s">
        <v>41</v>
      </c>
      <c r="G2740">
        <v>-328.78989999999999</v>
      </c>
      <c r="H2740">
        <v>0.85665349999999996</v>
      </c>
      <c r="I2740">
        <v>283.39890000000003</v>
      </c>
      <c r="J2740">
        <v>-328.04910000000001</v>
      </c>
      <c r="K2740">
        <v>1.109621</v>
      </c>
      <c r="L2740">
        <v>283.21980000000002</v>
      </c>
      <c r="M2740">
        <v>-0.99985880000000005</v>
      </c>
      <c r="N2740">
        <v>0</v>
      </c>
      <c r="O2740">
        <v>8.2587579999999997E-3</v>
      </c>
      <c r="P2740">
        <v>-0.99931840000000005</v>
      </c>
      <c r="Q2740" s="1">
        <v>-9.7654759999999996E-5</v>
      </c>
      <c r="R2740">
        <v>3.6915370000000003E-2</v>
      </c>
      <c r="S2740">
        <v>-2.9824220000000001</v>
      </c>
      <c r="T2740">
        <v>-0.73711800000000005</v>
      </c>
      <c r="U2740">
        <v>0.52859500000000004</v>
      </c>
      <c r="V2740">
        <v>2.8669710000000001E-2</v>
      </c>
      <c r="W2740">
        <v>1.45171E-2</v>
      </c>
      <c r="X2740">
        <v>0.99948349999999997</v>
      </c>
      <c r="Y2740">
        <v>0.1618957</v>
      </c>
      <c r="Z2740">
        <v>1.756831E-2</v>
      </c>
      <c r="AA2740">
        <v>0.98665150000000001</v>
      </c>
      <c r="AB2740">
        <v>45</v>
      </c>
      <c r="AC2740">
        <v>-0.74079999999997803</v>
      </c>
      <c r="AD2740">
        <v>-0.25296750000000001</v>
      </c>
      <c r="AE2740">
        <v>0.17910000000000501</v>
      </c>
      <c r="AF2740">
        <v>0.155809832948687</v>
      </c>
      <c r="AG2740">
        <v>-0.25296750000000001</v>
      </c>
      <c r="AH2740">
        <v>0.66859591377560701</v>
      </c>
      <c r="AI2740">
        <v>110.22797776482101</v>
      </c>
      <c r="AJ2740">
        <v>76.881898096015803</v>
      </c>
      <c r="AK2740">
        <v>0.73163498824016504</v>
      </c>
      <c r="AL2740">
        <v>89.168202206657497</v>
      </c>
      <c r="AM2740">
        <v>88.356948284805796</v>
      </c>
      <c r="AN2740">
        <v>0.99999998261807099</v>
      </c>
    </row>
    <row r="2741" spans="1:40" x14ac:dyDescent="0.25">
      <c r="A2741" t="str">
        <f>"20190312153939826"</f>
        <v>20190312153939826</v>
      </c>
      <c r="B2741" t="str">
        <f>"1552376379818768"</f>
        <v>1552376379818768</v>
      </c>
      <c r="C2741" t="s">
        <v>40</v>
      </c>
      <c r="D2741">
        <v>4.2569800000000004</v>
      </c>
      <c r="E2741">
        <v>0.55764999999999998</v>
      </c>
      <c r="F2741" t="s">
        <v>41</v>
      </c>
      <c r="G2741">
        <v>-328.81560000000002</v>
      </c>
      <c r="H2741">
        <v>0.92023860000000002</v>
      </c>
      <c r="I2741">
        <v>283.35719999999998</v>
      </c>
      <c r="J2741">
        <v>-328.32920000000001</v>
      </c>
      <c r="K2741">
        <v>1.1096490000000001</v>
      </c>
      <c r="L2741">
        <v>283.22219999999999</v>
      </c>
      <c r="M2741">
        <v>-0.99985820000000003</v>
      </c>
      <c r="N2741">
        <v>0</v>
      </c>
      <c r="O2741">
        <v>8.3293640000000006E-3</v>
      </c>
      <c r="P2741">
        <v>-0.99925629999999999</v>
      </c>
      <c r="Q2741">
        <v>1.4276359999999999E-3</v>
      </c>
      <c r="R2741">
        <v>3.8540869999999998E-2</v>
      </c>
      <c r="S2741">
        <v>-2.9822389999999999</v>
      </c>
      <c r="T2741">
        <v>-0.73682559999999997</v>
      </c>
      <c r="U2741">
        <v>0.53424069999999901</v>
      </c>
      <c r="V2741">
        <v>3.022569E-2</v>
      </c>
      <c r="W2741">
        <v>1.6039939999999999E-2</v>
      </c>
      <c r="X2741">
        <v>0.99941440000000004</v>
      </c>
      <c r="Y2741">
        <v>0.16360369999999999</v>
      </c>
      <c r="Z2741">
        <v>1.7749049999999999E-2</v>
      </c>
      <c r="AA2741">
        <v>0.98636650000000003</v>
      </c>
      <c r="AB2741">
        <v>45</v>
      </c>
      <c r="AC2741">
        <v>-0.486400000000003</v>
      </c>
      <c r="AD2741">
        <v>-0.18941039999999901</v>
      </c>
      <c r="AE2741">
        <v>0.13499999999998999</v>
      </c>
      <c r="AF2741">
        <v>0.114782524475572</v>
      </c>
      <c r="AG2741">
        <v>-0.18941039999999901</v>
      </c>
      <c r="AH2741">
        <v>0.427339839534288</v>
      </c>
      <c r="AI2741">
        <v>113.17378620972799</v>
      </c>
      <c r="AJ2741">
        <v>74.965334598572099</v>
      </c>
      <c r="AK2741">
        <v>0.481321790496063</v>
      </c>
      <c r="AL2741">
        <v>89.080939729094098</v>
      </c>
      <c r="AM2741">
        <v>88.267708816816096</v>
      </c>
      <c r="AN2741">
        <v>1.0000000074692601</v>
      </c>
    </row>
    <row r="2742" spans="1:40" x14ac:dyDescent="0.25">
      <c r="A2742" t="str">
        <f>"20190312153939840"</f>
        <v>20190312153939840</v>
      </c>
      <c r="B2742" t="str">
        <f>"1552376379828530"</f>
        <v>1552376379828530</v>
      </c>
      <c r="C2742" t="s">
        <v>40</v>
      </c>
      <c r="D2742">
        <v>4.2788320000000004</v>
      </c>
      <c r="E2742">
        <v>0.55778879999999997</v>
      </c>
      <c r="F2742" t="s">
        <v>41</v>
      </c>
      <c r="G2742">
        <v>-329.2106</v>
      </c>
      <c r="H2742">
        <v>0.89270059999999996</v>
      </c>
      <c r="I2742">
        <v>283.38209999999998</v>
      </c>
      <c r="J2742">
        <v>-328.60070000000002</v>
      </c>
      <c r="K2742">
        <v>1.109683</v>
      </c>
      <c r="L2742">
        <v>283.22449999999998</v>
      </c>
      <c r="M2742">
        <v>-0.99985760000000001</v>
      </c>
      <c r="N2742">
        <v>0</v>
      </c>
      <c r="O2742">
        <v>8.3966030000000007E-3</v>
      </c>
      <c r="P2742">
        <v>-0.99918439999999997</v>
      </c>
      <c r="Q2742">
        <v>3.2300089999999998E-3</v>
      </c>
      <c r="R2742">
        <v>4.0252290000000003E-2</v>
      </c>
      <c r="S2742">
        <v>-2.9824519999999999</v>
      </c>
      <c r="T2742">
        <v>-0.73409840000000004</v>
      </c>
      <c r="U2742">
        <v>0.53997799999999996</v>
      </c>
      <c r="V2742">
        <v>3.1870870000000003E-2</v>
      </c>
      <c r="W2742">
        <v>1.783974E-2</v>
      </c>
      <c r="X2742">
        <v>0.99933280000000002</v>
      </c>
      <c r="Y2742">
        <v>0.16534969999999999</v>
      </c>
      <c r="Z2742">
        <v>1.787505E-2</v>
      </c>
      <c r="AA2742">
        <v>0.98607299999999998</v>
      </c>
      <c r="AB2742">
        <v>45</v>
      </c>
      <c r="AC2742">
        <v>-0.60989999999998101</v>
      </c>
      <c r="AD2742">
        <v>-0.21698239999999999</v>
      </c>
      <c r="AE2742">
        <v>0.15760000000000199</v>
      </c>
      <c r="AF2742">
        <v>0.13630097973091501</v>
      </c>
      <c r="AG2742">
        <v>-0.21698239999999999</v>
      </c>
      <c r="AH2742">
        <v>0.54637561641226096</v>
      </c>
      <c r="AI2742">
        <v>111.07275628264701</v>
      </c>
      <c r="AJ2742">
        <v>75.992670829447505</v>
      </c>
      <c r="AK2742">
        <v>0.60347794756332696</v>
      </c>
      <c r="AL2742">
        <v>88.977803992957902</v>
      </c>
      <c r="AM2742">
        <v>88.173333633164006</v>
      </c>
      <c r="AN2742">
        <v>1.0000000269168301</v>
      </c>
    </row>
    <row r="2743" spans="1:40" x14ac:dyDescent="0.25">
      <c r="A2743" t="str">
        <f>"20190312153939854"</f>
        <v>20190312153939854</v>
      </c>
      <c r="B2743" t="str">
        <f>"1552376379849025"</f>
        <v>1552376379849025</v>
      </c>
      <c r="C2743" t="s">
        <v>40</v>
      </c>
      <c r="D2743">
        <v>3.7332700000000001</v>
      </c>
      <c r="E2743">
        <v>0.56817289999999998</v>
      </c>
      <c r="F2743" t="s">
        <v>41</v>
      </c>
      <c r="G2743">
        <v>-329.60480000000001</v>
      </c>
      <c r="H2743">
        <v>0.86395</v>
      </c>
      <c r="I2743">
        <v>283.40870000000001</v>
      </c>
      <c r="J2743">
        <v>-328.90010000000001</v>
      </c>
      <c r="K2743">
        <v>1.109737</v>
      </c>
      <c r="L2743">
        <v>283.22710000000001</v>
      </c>
      <c r="M2743">
        <v>-0.99985710000000005</v>
      </c>
      <c r="N2743">
        <v>0</v>
      </c>
      <c r="O2743">
        <v>8.4693949999999994E-3</v>
      </c>
      <c r="P2743">
        <v>-0.99907590000000002</v>
      </c>
      <c r="Q2743">
        <v>6.0357619999999897E-3</v>
      </c>
      <c r="R2743">
        <v>4.2560170000000001E-2</v>
      </c>
      <c r="S2743">
        <v>-2.9828489999999999</v>
      </c>
      <c r="T2743">
        <v>-0.72999709999999995</v>
      </c>
      <c r="U2743">
        <v>0.54684449999999996</v>
      </c>
      <c r="V2743">
        <v>3.410763E-2</v>
      </c>
      <c r="W2743">
        <v>2.0641119999999999E-2</v>
      </c>
      <c r="X2743">
        <v>0.99920500000000001</v>
      </c>
      <c r="Y2743">
        <v>0.16744700000000001</v>
      </c>
      <c r="Z2743">
        <v>1.8005739999999999E-2</v>
      </c>
      <c r="AA2743">
        <v>0.98571660000000005</v>
      </c>
      <c r="AB2743">
        <v>45</v>
      </c>
      <c r="AC2743">
        <v>-0.70470000000000199</v>
      </c>
      <c r="AD2743">
        <v>-0.24578700000000001</v>
      </c>
      <c r="AE2743">
        <v>0.18160000000000301</v>
      </c>
      <c r="AF2743">
        <v>0.15764168594016201</v>
      </c>
      <c r="AG2743">
        <v>-0.24578700000000001</v>
      </c>
      <c r="AH2743">
        <v>0.63390141646162101</v>
      </c>
      <c r="AI2743">
        <v>110.620126261736</v>
      </c>
      <c r="AJ2743">
        <v>76.034697871368195</v>
      </c>
      <c r="AK2743">
        <v>0.697920594557222</v>
      </c>
      <c r="AL2743">
        <v>88.817266955197198</v>
      </c>
      <c r="AM2743">
        <v>88.044980990302193</v>
      </c>
      <c r="AN2743">
        <v>1.00000000914203</v>
      </c>
    </row>
    <row r="2744" spans="1:40" x14ac:dyDescent="0.25">
      <c r="A2744" t="str">
        <f>"20190312153940011"</f>
        <v>20190312153940011</v>
      </c>
      <c r="B2744" t="str">
        <f>"1552376380008810"</f>
        <v>1552376380008810</v>
      </c>
      <c r="C2744" t="s">
        <v>40</v>
      </c>
      <c r="D2744">
        <v>4.4262040000000002</v>
      </c>
      <c r="E2744">
        <v>0.52592430000000001</v>
      </c>
      <c r="F2744" t="s">
        <v>41</v>
      </c>
      <c r="G2744">
        <v>-332.43579999999997</v>
      </c>
      <c r="H2744">
        <v>0.87179589999999996</v>
      </c>
      <c r="I2744">
        <v>283.34179999999998</v>
      </c>
      <c r="J2744">
        <v>-332.07339999999999</v>
      </c>
      <c r="K2744">
        <v>1.1099239999999999</v>
      </c>
      <c r="L2744">
        <v>283.25560000000002</v>
      </c>
      <c r="M2744">
        <v>-0.99985069999999998</v>
      </c>
      <c r="N2744">
        <v>0</v>
      </c>
      <c r="O2744">
        <v>9.2212330000000006E-3</v>
      </c>
      <c r="P2744">
        <v>-0.99917449999999997</v>
      </c>
      <c r="Q2744">
        <v>2.711531E-2</v>
      </c>
      <c r="R2744">
        <v>3.025394E-2</v>
      </c>
      <c r="S2744">
        <v>-3.0174560000000001</v>
      </c>
      <c r="T2744">
        <v>-1.021773</v>
      </c>
      <c r="U2744">
        <v>0.3818665</v>
      </c>
      <c r="V2744">
        <v>2.1054239999999998E-2</v>
      </c>
      <c r="W2744">
        <v>4.1709549999999998E-2</v>
      </c>
      <c r="X2744">
        <v>0.99890789999999996</v>
      </c>
      <c r="Y2744">
        <v>0.1108185</v>
      </c>
      <c r="Z2744">
        <v>1.516027E-2</v>
      </c>
      <c r="AA2744">
        <v>0.99372499999999997</v>
      </c>
      <c r="AB2744">
        <v>45</v>
      </c>
      <c r="AC2744">
        <v>-0.36239999999997902</v>
      </c>
      <c r="AD2744">
        <v>-0.23812809999999901</v>
      </c>
      <c r="AE2744">
        <v>8.6199999999962501E-2</v>
      </c>
      <c r="AF2744">
        <v>5.88184614702481E-2</v>
      </c>
      <c r="AG2744">
        <v>-0.23812809999999901</v>
      </c>
      <c r="AH2744">
        <v>0.25782231127405097</v>
      </c>
      <c r="AI2744">
        <v>132.00232059093</v>
      </c>
      <c r="AJ2744">
        <v>77.148729070534301</v>
      </c>
      <c r="AK2744">
        <v>0.35586085428160003</v>
      </c>
      <c r="AL2744">
        <v>87.609525317375301</v>
      </c>
      <c r="AM2744">
        <v>88.792540829467896</v>
      </c>
      <c r="AN2744">
        <v>0.99999998013279401</v>
      </c>
    </row>
    <row r="2745" spans="1:40" x14ac:dyDescent="0.25">
      <c r="A2745" t="str">
        <f>"20190312153940027"</f>
        <v>20190312153940027</v>
      </c>
      <c r="B2745" t="str">
        <f>"1552376380018569"</f>
        <v>1552376380018569</v>
      </c>
      <c r="C2745" t="s">
        <v>40</v>
      </c>
      <c r="D2745">
        <v>4.4717710000000004</v>
      </c>
      <c r="E2745">
        <v>0.52148559999999999</v>
      </c>
      <c r="F2745" t="s">
        <v>41</v>
      </c>
      <c r="G2745">
        <v>-332.84429999999998</v>
      </c>
      <c r="H2745">
        <v>0.88502619999999899</v>
      </c>
      <c r="I2745">
        <v>283.3227</v>
      </c>
      <c r="J2745">
        <v>-332.37130000000002</v>
      </c>
      <c r="K2745">
        <v>1.10992</v>
      </c>
      <c r="L2745">
        <v>283.25839999999999</v>
      </c>
      <c r="M2745">
        <v>-0.99985009999999996</v>
      </c>
      <c r="N2745">
        <v>0</v>
      </c>
      <c r="O2745">
        <v>9.2906459999999996E-3</v>
      </c>
      <c r="P2745">
        <v>-0.99921979999999999</v>
      </c>
      <c r="Q2745">
        <v>2.6690040000000002E-2</v>
      </c>
      <c r="R2745">
        <v>2.9114689999999999E-2</v>
      </c>
      <c r="S2745">
        <v>-3.0184329999999999</v>
      </c>
      <c r="T2745">
        <v>-0.88052489999999894</v>
      </c>
      <c r="U2745">
        <v>0.26202389999999998</v>
      </c>
      <c r="V2745">
        <v>1.984474E-2</v>
      </c>
      <c r="W2745">
        <v>4.1283140000000003E-2</v>
      </c>
      <c r="X2745">
        <v>0.99895040000000002</v>
      </c>
      <c r="Y2745">
        <v>7.4523740000000005E-2</v>
      </c>
      <c r="Z2745">
        <v>7.9789719999999904E-3</v>
      </c>
      <c r="AA2745">
        <v>0.9971873</v>
      </c>
      <c r="AB2745">
        <v>45</v>
      </c>
      <c r="AC2745">
        <v>-0.47299999999995601</v>
      </c>
      <c r="AD2745">
        <v>-0.2248938</v>
      </c>
      <c r="AE2745">
        <v>6.4300000000002897E-2</v>
      </c>
      <c r="AF2745">
        <v>4.9021360532825797E-2</v>
      </c>
      <c r="AG2745">
        <v>-0.2248938</v>
      </c>
      <c r="AH2745">
        <v>0.38755437449744701</v>
      </c>
      <c r="AI2745">
        <v>119.929140933902</v>
      </c>
      <c r="AJ2745">
        <v>82.790998891113205</v>
      </c>
      <c r="AK2745">
        <v>0.450753489458525</v>
      </c>
      <c r="AL2745">
        <v>87.633977935896993</v>
      </c>
      <c r="AM2745">
        <v>88.861935176036098</v>
      </c>
      <c r="AN2745">
        <v>1.00000000650704</v>
      </c>
    </row>
    <row r="2746" spans="1:40" x14ac:dyDescent="0.25">
      <c r="A2746" t="str">
        <f>"20190312153940045"</f>
        <v>20190312153940045</v>
      </c>
      <c r="B2746" t="str">
        <f>"1552376380038089"</f>
        <v>1552376380038089</v>
      </c>
      <c r="C2746" t="s">
        <v>40</v>
      </c>
      <c r="D2746">
        <v>4.9602089999999999</v>
      </c>
      <c r="E2746">
        <v>0.49037819999999999</v>
      </c>
      <c r="F2746" t="s">
        <v>41</v>
      </c>
      <c r="G2746">
        <v>-333.24340000000001</v>
      </c>
      <c r="H2746">
        <v>0.87519369999999996</v>
      </c>
      <c r="I2746">
        <v>283.32420000000002</v>
      </c>
      <c r="J2746">
        <v>-332.75029999999998</v>
      </c>
      <c r="K2746">
        <v>1.109918</v>
      </c>
      <c r="L2746">
        <v>283.262</v>
      </c>
      <c r="M2746">
        <v>-0.9998494</v>
      </c>
      <c r="N2746">
        <v>0</v>
      </c>
      <c r="O2746">
        <v>9.3787139999999998E-3</v>
      </c>
      <c r="P2746">
        <v>-0.99931800000000004</v>
      </c>
      <c r="Q2746">
        <v>2.517639E-2</v>
      </c>
      <c r="R2746">
        <v>2.7018750000000001E-2</v>
      </c>
      <c r="S2746">
        <v>-3.0174259999999999</v>
      </c>
      <c r="T2746">
        <v>-0.81216069999999996</v>
      </c>
      <c r="U2746">
        <v>0.22622680000000001</v>
      </c>
      <c r="V2746">
        <v>1.765914E-2</v>
      </c>
      <c r="W2746">
        <v>3.9769949999999998E-2</v>
      </c>
      <c r="X2746">
        <v>0.99905279999999996</v>
      </c>
      <c r="Y2746">
        <v>6.349196E-2</v>
      </c>
      <c r="Z2746">
        <v>5.9071569999999997E-3</v>
      </c>
      <c r="AA2746">
        <v>0.99796490000000004</v>
      </c>
      <c r="AB2746">
        <v>45</v>
      </c>
      <c r="AC2746">
        <v>-0.49310000000002602</v>
      </c>
      <c r="AD2746">
        <v>-0.2347243</v>
      </c>
      <c r="AE2746">
        <v>6.22000000000184E-2</v>
      </c>
      <c r="AF2746">
        <v>4.7072823584297999E-2</v>
      </c>
      <c r="AG2746">
        <v>-0.2347243</v>
      </c>
      <c r="AH2746">
        <v>0.40363371388781799</v>
      </c>
      <c r="AI2746">
        <v>120.011298987302</v>
      </c>
      <c r="AJ2746">
        <v>83.348064436624995</v>
      </c>
      <c r="AK2746">
        <v>0.46928831513000702</v>
      </c>
      <c r="AL2746">
        <v>87.720748604954295</v>
      </c>
      <c r="AM2746">
        <v>88.987351982139401</v>
      </c>
      <c r="AN2746">
        <v>0.99999999566819098</v>
      </c>
    </row>
    <row r="2747" spans="1:40" x14ac:dyDescent="0.25">
      <c r="A2747" t="str">
        <f>"20190312153940060"</f>
        <v>20190312153940060</v>
      </c>
      <c r="B2747" t="str">
        <f>"1552376380048827"</f>
        <v>1552376380048827</v>
      </c>
      <c r="C2747" t="s">
        <v>40</v>
      </c>
      <c r="D2747">
        <v>4.5396349999999996</v>
      </c>
      <c r="E2747">
        <v>0.49130410000000002</v>
      </c>
      <c r="F2747" t="s">
        <v>41</v>
      </c>
      <c r="G2747">
        <v>-333.71870000000001</v>
      </c>
      <c r="H2747">
        <v>1.0241880000000001</v>
      </c>
      <c r="I2747">
        <v>283.2595</v>
      </c>
      <c r="J2747">
        <v>-333.0514</v>
      </c>
      <c r="K2747">
        <v>1.109923</v>
      </c>
      <c r="L2747">
        <v>283.26479999999998</v>
      </c>
      <c r="M2747">
        <v>-0.99984859999999998</v>
      </c>
      <c r="N2747">
        <v>0</v>
      </c>
      <c r="O2747">
        <v>9.4488509999999994E-3</v>
      </c>
      <c r="P2747">
        <v>-0.99936170000000002</v>
      </c>
      <c r="Q2747">
        <v>2.4525370000000001E-2</v>
      </c>
      <c r="R2747">
        <v>2.5971569999999999E-2</v>
      </c>
      <c r="S2747">
        <v>-3.008972</v>
      </c>
      <c r="T2747">
        <v>-0.26647290000000001</v>
      </c>
      <c r="U2747">
        <v>-8.0566409999999998E-3</v>
      </c>
      <c r="V2747">
        <v>1.654102E-2</v>
      </c>
      <c r="W2747">
        <v>3.911767E-2</v>
      </c>
      <c r="X2747">
        <v>0.99909769999999998</v>
      </c>
      <c r="Y2747">
        <v>-1.2043119999999999E-2</v>
      </c>
      <c r="Z2747">
        <v>-1.3674550000000001E-3</v>
      </c>
      <c r="AA2747">
        <v>0.9999266</v>
      </c>
      <c r="AB2747">
        <v>45</v>
      </c>
      <c r="AC2747">
        <v>-0.667300000000011</v>
      </c>
      <c r="AD2747">
        <v>-8.5735000000000103E-2</v>
      </c>
      <c r="AE2747">
        <v>-5.2999999999769898E-3</v>
      </c>
      <c r="AF2747">
        <v>-1.14172003999196E-2</v>
      </c>
      <c r="AG2747">
        <v>-8.5735000000000103E-2</v>
      </c>
      <c r="AH2747">
        <v>0.65638569765372301</v>
      </c>
      <c r="AI2747">
        <v>97.440549272010003</v>
      </c>
      <c r="AJ2747">
        <v>90.996504705572306</v>
      </c>
      <c r="AK2747">
        <v>0.662059685205448</v>
      </c>
      <c r="AL2747">
        <v>87.758150626167705</v>
      </c>
      <c r="AM2747">
        <v>89.051500110383301</v>
      </c>
      <c r="AN2747">
        <v>1.0000000057970699</v>
      </c>
    </row>
    <row r="2748" spans="1:40" x14ac:dyDescent="0.25">
      <c r="A2748" t="str">
        <f>"20190312153940073"</f>
        <v>20190312153940073</v>
      </c>
      <c r="B2748" t="str">
        <f>"1552376380068345"</f>
        <v>1552376380068345</v>
      </c>
      <c r="C2748" t="s">
        <v>40</v>
      </c>
      <c r="D2748">
        <v>4.4648219999999998</v>
      </c>
      <c r="E2748">
        <v>0.4944963</v>
      </c>
      <c r="F2748" t="s">
        <v>41</v>
      </c>
      <c r="G2748">
        <v>-334.1268</v>
      </c>
      <c r="H2748">
        <v>1.031307</v>
      </c>
      <c r="I2748">
        <v>283.2645</v>
      </c>
      <c r="J2748">
        <v>-333.32799999999997</v>
      </c>
      <c r="K2748">
        <v>1.1099250000000001</v>
      </c>
      <c r="L2748">
        <v>283.26749999999998</v>
      </c>
      <c r="M2748">
        <v>-0.99984810000000002</v>
      </c>
      <c r="N2748">
        <v>0</v>
      </c>
      <c r="O2748">
        <v>9.5130890000000006E-3</v>
      </c>
      <c r="P2748">
        <v>-0.99938970000000005</v>
      </c>
      <c r="Q2748">
        <v>2.418408E-2</v>
      </c>
      <c r="R2748">
        <v>2.5207630000000002E-2</v>
      </c>
      <c r="S2748">
        <v>-3.007355</v>
      </c>
      <c r="T2748">
        <v>-0.21998019999999999</v>
      </c>
      <c r="U2748">
        <v>-1.9836430000000002E-3</v>
      </c>
      <c r="V2748">
        <v>1.571235E-2</v>
      </c>
      <c r="W2748">
        <v>3.8775560000000001E-2</v>
      </c>
      <c r="X2748">
        <v>0.99912440000000002</v>
      </c>
      <c r="Y2748">
        <v>-1.012121E-2</v>
      </c>
      <c r="Z2748">
        <v>-1.064672E-3</v>
      </c>
      <c r="AA2748">
        <v>0.99994819999999995</v>
      </c>
      <c r="AB2748">
        <v>45</v>
      </c>
      <c r="AC2748">
        <v>-0.79879999999997098</v>
      </c>
      <c r="AD2748">
        <v>-7.8617999999999993E-2</v>
      </c>
      <c r="AE2748">
        <v>-2.9999999999858998E-3</v>
      </c>
      <c r="AF2748">
        <v>-1.04980421165091E-2</v>
      </c>
      <c r="AG2748">
        <v>-7.8617999999999993E-2</v>
      </c>
      <c r="AH2748">
        <v>0.79107266915918695</v>
      </c>
      <c r="AI2748">
        <v>95.675008817587695</v>
      </c>
      <c r="AJ2748">
        <v>90.760307142370706</v>
      </c>
      <c r="AK2748">
        <v>0.79503897181391003</v>
      </c>
      <c r="AL2748">
        <v>87.777766942856999</v>
      </c>
      <c r="AM2748">
        <v>89.099033975879394</v>
      </c>
      <c r="AN2748">
        <v>0.99999999433559805</v>
      </c>
    </row>
    <row r="2749" spans="1:40" x14ac:dyDescent="0.25">
      <c r="A2749" t="str">
        <f>"20190312153940086"</f>
        <v>20190312153940086</v>
      </c>
      <c r="B2749" t="str">
        <f>"1552376380078105"</f>
        <v>1552376380078105</v>
      </c>
      <c r="C2749" t="s">
        <v>40</v>
      </c>
      <c r="D2749">
        <v>4.5027970000000002</v>
      </c>
      <c r="E2749">
        <v>0.49491220000000002</v>
      </c>
      <c r="F2749" t="s">
        <v>61</v>
      </c>
      <c r="G2749">
        <v>-354.88199999999898</v>
      </c>
      <c r="H2749" s="1">
        <v>1.061149E-6</v>
      </c>
      <c r="I2749">
        <v>283.43740000000003</v>
      </c>
      <c r="J2749">
        <v>-333.58749999999998</v>
      </c>
      <c r="K2749">
        <v>1.1099300000000001</v>
      </c>
      <c r="L2749">
        <v>283.27010000000001</v>
      </c>
      <c r="M2749">
        <v>-0.99984759999999995</v>
      </c>
      <c r="N2749">
        <v>0</v>
      </c>
      <c r="O2749">
        <v>9.5733390000000002E-3</v>
      </c>
      <c r="P2749">
        <v>-0.99942889999999995</v>
      </c>
      <c r="Q2749">
        <v>2.3154620000000001E-2</v>
      </c>
      <c r="R2749">
        <v>2.4616249999999999E-2</v>
      </c>
      <c r="S2749">
        <v>-3.0049739999999998</v>
      </c>
      <c r="T2749">
        <v>-0.15474160000000001</v>
      </c>
      <c r="U2749">
        <v>2.368164E-2</v>
      </c>
      <c r="V2749">
        <v>1.506015E-2</v>
      </c>
      <c r="W2749">
        <v>3.7744920000000001E-2</v>
      </c>
      <c r="X2749">
        <v>0.99917389999999995</v>
      </c>
      <c r="Y2749">
        <v>-1.6789470000000001E-3</v>
      </c>
      <c r="Z2749">
        <v>-5.3588819999999995E-4</v>
      </c>
      <c r="AA2749">
        <v>0.99999850000000001</v>
      </c>
      <c r="AB2749">
        <v>45</v>
      </c>
      <c r="AC2749">
        <v>-21.2944999999999</v>
      </c>
      <c r="AD2749">
        <v>-1.1099289388510001</v>
      </c>
      <c r="AE2749">
        <v>0.167300000000011</v>
      </c>
      <c r="AF2749">
        <v>-3.6489734431440497E-2</v>
      </c>
      <c r="AG2749">
        <v>-1.1099289388510001</v>
      </c>
      <c r="AH2749">
        <v>21.2374317526384</v>
      </c>
      <c r="AI2749">
        <v>92.991715053297199</v>
      </c>
      <c r="AJ2749">
        <v>90.0984443762067</v>
      </c>
      <c r="AK2749">
        <v>21.266447310211198</v>
      </c>
      <c r="AL2749">
        <v>87.836861515853897</v>
      </c>
      <c r="AM2749">
        <v>89.136468938459899</v>
      </c>
      <c r="AN2749">
        <v>0.99999998477251895</v>
      </c>
    </row>
    <row r="2750" spans="1:40" x14ac:dyDescent="0.25">
      <c r="A2750" t="str">
        <f>"20190312153940100"</f>
        <v>20190312153940100</v>
      </c>
      <c r="B2750" t="str">
        <f>"1552376380088842"</f>
        <v>1552376380088842</v>
      </c>
      <c r="C2750" t="s">
        <v>40</v>
      </c>
      <c r="D2750">
        <v>4.5479000000000003</v>
      </c>
      <c r="E2750">
        <v>0.49469780000000002</v>
      </c>
      <c r="F2750" t="s">
        <v>61</v>
      </c>
      <c r="G2750">
        <v>-357.86880000000002</v>
      </c>
      <c r="H2750" s="1">
        <v>2.650582E-6</v>
      </c>
      <c r="I2750">
        <v>283.4785</v>
      </c>
      <c r="J2750">
        <v>-333.851</v>
      </c>
      <c r="K2750">
        <v>1.1099330000000001</v>
      </c>
      <c r="L2750">
        <v>283.27260000000001</v>
      </c>
      <c r="M2750">
        <v>-0.99984709999999999</v>
      </c>
      <c r="N2750">
        <v>0</v>
      </c>
      <c r="O2750">
        <v>9.6343650000000006E-3</v>
      </c>
      <c r="P2750">
        <v>-0.99949299999999996</v>
      </c>
      <c r="Q2750">
        <v>2.1653220000000001E-2</v>
      </c>
      <c r="R2750">
        <v>2.33428E-2</v>
      </c>
      <c r="S2750">
        <v>-3.0042719999999998</v>
      </c>
      <c r="T2750">
        <v>-0.13732900000000001</v>
      </c>
      <c r="U2750">
        <v>2.5787350000000001E-2</v>
      </c>
      <c r="V2750">
        <v>1.37243E-2</v>
      </c>
      <c r="W2750">
        <v>3.624343E-2</v>
      </c>
      <c r="X2750">
        <v>0.99924869999999999</v>
      </c>
      <c r="Y2750">
        <v>-1.0410440000000001E-3</v>
      </c>
      <c r="Z2750">
        <v>-4.63979E-4</v>
      </c>
      <c r="AA2750">
        <v>0.99999930000000004</v>
      </c>
      <c r="AB2750">
        <v>45</v>
      </c>
      <c r="AC2750">
        <v>-24.017800000000001</v>
      </c>
      <c r="AD2750">
        <v>-1.109930349418</v>
      </c>
      <c r="AE2750">
        <v>0.20589999999998501</v>
      </c>
      <c r="AF2750">
        <v>-2.547604908836E-2</v>
      </c>
      <c r="AG2750">
        <v>-1.109930349418</v>
      </c>
      <c r="AH2750">
        <v>23.967487181347199</v>
      </c>
      <c r="AI2750">
        <v>92.651462173567296</v>
      </c>
      <c r="AJ2750">
        <v>90.060902068316693</v>
      </c>
      <c r="AK2750">
        <v>23.993187287179602</v>
      </c>
      <c r="AL2750">
        <v>87.922949429210206</v>
      </c>
      <c r="AM2750">
        <v>89.213113785295405</v>
      </c>
      <c r="AN2750">
        <v>0.99999995354017102</v>
      </c>
    </row>
    <row r="2751" spans="1:40" x14ac:dyDescent="0.25">
      <c r="A2751" t="str">
        <f>"20190312153940111"</f>
        <v>20190312153940111</v>
      </c>
      <c r="B2751" t="str">
        <f>"1552376380108361"</f>
        <v>1552376380108361</v>
      </c>
      <c r="C2751" t="s">
        <v>40</v>
      </c>
      <c r="D2751">
        <v>4.5007409999999997</v>
      </c>
      <c r="E2751">
        <v>0.49553160000000002</v>
      </c>
      <c r="F2751" t="s">
        <v>61</v>
      </c>
      <c r="G2751">
        <v>-360.35050000000001</v>
      </c>
      <c r="H2751" s="1">
        <v>-1.3502649999999999E-6</v>
      </c>
      <c r="I2751">
        <v>283.45490000000001</v>
      </c>
      <c r="J2751">
        <v>-334.08980000000003</v>
      </c>
      <c r="K2751">
        <v>1.109934</v>
      </c>
      <c r="L2751">
        <v>283.2749</v>
      </c>
      <c r="M2751">
        <v>-0.99984649999999997</v>
      </c>
      <c r="N2751">
        <v>0</v>
      </c>
      <c r="O2751">
        <v>9.6899110000000007E-3</v>
      </c>
      <c r="P2751">
        <v>-0.99952200000000002</v>
      </c>
      <c r="Q2751">
        <v>2.080021E-2</v>
      </c>
      <c r="R2751">
        <v>2.2877600000000001E-2</v>
      </c>
      <c r="S2751">
        <v>-3.0037539999999998</v>
      </c>
      <c r="T2751">
        <v>-0.1258127</v>
      </c>
      <c r="U2751">
        <v>2.0660399999999999E-2</v>
      </c>
      <c r="V2751">
        <v>1.3203070000000001E-2</v>
      </c>
      <c r="W2751">
        <v>3.538997E-2</v>
      </c>
      <c r="X2751">
        <v>0.99928640000000002</v>
      </c>
      <c r="Y2751">
        <v>-2.8020530000000001E-3</v>
      </c>
      <c r="Z2751">
        <v>-4.6437170000000001E-4</v>
      </c>
      <c r="AA2751">
        <v>0.99999590000000005</v>
      </c>
      <c r="AB2751">
        <v>45</v>
      </c>
      <c r="AC2751">
        <v>-26.2606999999999</v>
      </c>
      <c r="AD2751">
        <v>-1.109935350265</v>
      </c>
      <c r="AE2751">
        <v>0.18000000000000599</v>
      </c>
      <c r="AF2751">
        <v>-7.4366570023517403E-2</v>
      </c>
      <c r="AG2751">
        <v>-1.109935350265</v>
      </c>
      <c r="AH2751">
        <v>26.2143835995216</v>
      </c>
      <c r="AI2751">
        <v>92.424485530587305</v>
      </c>
      <c r="AJ2751">
        <v>90.162539742842</v>
      </c>
      <c r="AK2751">
        <v>26.237976186653</v>
      </c>
      <c r="AL2751">
        <v>87.971880659978297</v>
      </c>
      <c r="AM2751">
        <v>89.243023649061101</v>
      </c>
      <c r="AN2751">
        <v>1.00000004012949</v>
      </c>
    </row>
    <row r="2752" spans="1:40" x14ac:dyDescent="0.25">
      <c r="A2752" t="str">
        <f>"20190312153940123"</f>
        <v>20190312153940123</v>
      </c>
      <c r="B2752" t="str">
        <f>"1552376380118121"</f>
        <v>1552376380118121</v>
      </c>
      <c r="C2752" t="s">
        <v>40</v>
      </c>
      <c r="D2752">
        <v>4.5173920000000001</v>
      </c>
      <c r="E2752">
        <v>0.49611420000000001</v>
      </c>
      <c r="F2752" t="s">
        <v>61</v>
      </c>
      <c r="G2752">
        <v>-359.24540000000002</v>
      </c>
      <c r="H2752" s="1">
        <v>3.3831330000000001E-6</v>
      </c>
      <c r="I2752">
        <v>283.49090000000001</v>
      </c>
      <c r="J2752">
        <v>-334.3168</v>
      </c>
      <c r="K2752">
        <v>1.1099319999999999</v>
      </c>
      <c r="L2752">
        <v>283.27719999999999</v>
      </c>
      <c r="M2752">
        <v>-0.99984609999999996</v>
      </c>
      <c r="N2752">
        <v>0</v>
      </c>
      <c r="O2752">
        <v>9.7425970000000004E-3</v>
      </c>
      <c r="P2752">
        <v>-0.99954379999999998</v>
      </c>
      <c r="Q2752">
        <v>2.0057209999999999E-2</v>
      </c>
      <c r="R2752">
        <v>2.258317E-2</v>
      </c>
      <c r="S2752">
        <v>-3.003571</v>
      </c>
      <c r="T2752">
        <v>-0.13252539999999999</v>
      </c>
      <c r="U2752">
        <v>2.5787350000000001E-2</v>
      </c>
      <c r="V2752">
        <v>1.285539E-2</v>
      </c>
      <c r="W2752">
        <v>3.4645599999999999E-2</v>
      </c>
      <c r="X2752">
        <v>0.99931700000000001</v>
      </c>
      <c r="Y2752">
        <v>-1.1478370000000001E-3</v>
      </c>
      <c r="Z2752">
        <v>-4.549984E-4</v>
      </c>
      <c r="AA2752">
        <v>0.99999919999999998</v>
      </c>
      <c r="AB2752">
        <v>45</v>
      </c>
      <c r="AC2752">
        <v>-24.928599999999999</v>
      </c>
      <c r="AD2752">
        <v>-1.109928616867</v>
      </c>
      <c r="AE2752">
        <v>0.21370000000001699</v>
      </c>
      <c r="AF2752">
        <v>-2.9147522256912601E-2</v>
      </c>
      <c r="AG2752">
        <v>-1.109928616867</v>
      </c>
      <c r="AH2752">
        <v>24.880179657773098</v>
      </c>
      <c r="AI2752">
        <v>92.554324198954205</v>
      </c>
      <c r="AJ2752">
        <v>90.067122877227803</v>
      </c>
      <c r="AK2752">
        <v>24.904941897456101</v>
      </c>
      <c r="AL2752">
        <v>88.014556057072795</v>
      </c>
      <c r="AM2752">
        <v>89.262977649058897</v>
      </c>
      <c r="AN2752">
        <v>1.0000000225701999</v>
      </c>
    </row>
    <row r="2753" spans="1:40" x14ac:dyDescent="0.25">
      <c r="A2753" t="str">
        <f>"20190312153940145"</f>
        <v>20190312153940145</v>
      </c>
      <c r="B2753" t="str">
        <f>"1552376380138617"</f>
        <v>1552376380138617</v>
      </c>
      <c r="C2753" t="s">
        <v>40</v>
      </c>
      <c r="D2753">
        <v>4.5567449999999896</v>
      </c>
      <c r="E2753">
        <v>0.49755080000000002</v>
      </c>
      <c r="F2753" t="s">
        <v>61</v>
      </c>
      <c r="G2753">
        <v>-359.62380000000002</v>
      </c>
      <c r="H2753" s="1">
        <v>3.584526E-6</v>
      </c>
      <c r="I2753">
        <v>283.52659999999997</v>
      </c>
      <c r="J2753">
        <v>-334.76530000000002</v>
      </c>
      <c r="K2753">
        <v>1.109918</v>
      </c>
      <c r="L2753">
        <v>283.28160000000003</v>
      </c>
      <c r="M2753">
        <v>-0.99984510000000004</v>
      </c>
      <c r="N2753">
        <v>0</v>
      </c>
      <c r="O2753">
        <v>9.8467229999999999E-3</v>
      </c>
      <c r="P2753">
        <v>-0.99958420000000003</v>
      </c>
      <c r="Q2753">
        <v>1.8670490000000001E-2</v>
      </c>
      <c r="R2753">
        <v>2.1978850000000001E-2</v>
      </c>
      <c r="S2753">
        <v>-3.0033569999999998</v>
      </c>
      <c r="T2753">
        <v>-0.131722799999999</v>
      </c>
      <c r="U2753">
        <v>2.9602050000000001E-2</v>
      </c>
      <c r="V2753">
        <v>1.214588E-2</v>
      </c>
      <c r="W2753">
        <v>3.3257380000000003E-2</v>
      </c>
      <c r="X2753">
        <v>0.99937299999999996</v>
      </c>
      <c r="Y2753" s="1">
        <v>1.7520739999999999E-5</v>
      </c>
      <c r="Z2753">
        <v>-4.3129620000000003E-4</v>
      </c>
      <c r="AA2753">
        <v>0.99999990000000005</v>
      </c>
      <c r="AB2753">
        <v>45</v>
      </c>
      <c r="AC2753">
        <v>-24.8584999999999</v>
      </c>
      <c r="AD2753">
        <v>-1.1099144154739999</v>
      </c>
      <c r="AE2753">
        <v>0.24499999999994701</v>
      </c>
      <c r="AF2753">
        <v>1.86933110495057E-4</v>
      </c>
      <c r="AG2753">
        <v>-1.1099144154739999</v>
      </c>
      <c r="AH2753">
        <v>24.810251401497599</v>
      </c>
      <c r="AI2753">
        <v>92.561483068669801</v>
      </c>
      <c r="AJ2753">
        <v>89.999568304322693</v>
      </c>
      <c r="AK2753">
        <v>24.8350656260485</v>
      </c>
      <c r="AL2753">
        <v>88.0941410182119</v>
      </c>
      <c r="AM2753">
        <v>89.303690011738198</v>
      </c>
      <c r="AN2753">
        <v>0.99999998442721905</v>
      </c>
    </row>
    <row r="2754" spans="1:40" x14ac:dyDescent="0.25">
      <c r="A2754" t="str">
        <f>"20190312153940159"</f>
        <v>20190312153940159</v>
      </c>
      <c r="B2754" t="str">
        <f>"1552376380148377"</f>
        <v>1552376380148377</v>
      </c>
      <c r="C2754" t="s">
        <v>40</v>
      </c>
      <c r="D2754">
        <v>4.5482399999999998</v>
      </c>
      <c r="E2754">
        <v>0.4982741</v>
      </c>
      <c r="F2754" t="s">
        <v>61</v>
      </c>
      <c r="G2754">
        <v>-361.10399999999998</v>
      </c>
      <c r="H2754" s="1">
        <v>-9.4929209999999999E-7</v>
      </c>
      <c r="I2754">
        <v>283.63040000000001</v>
      </c>
      <c r="J2754">
        <v>-335.04509999999999</v>
      </c>
      <c r="K2754">
        <v>1.109909</v>
      </c>
      <c r="L2754">
        <v>283.28440000000001</v>
      </c>
      <c r="M2754">
        <v>-0.99984450000000002</v>
      </c>
      <c r="N2754">
        <v>0</v>
      </c>
      <c r="O2754">
        <v>9.9113369999999992E-3</v>
      </c>
      <c r="P2754">
        <v>-0.99958990000000003</v>
      </c>
      <c r="Q2754">
        <v>1.8386570000000001E-2</v>
      </c>
      <c r="R2754">
        <v>2.1954709999999999E-2</v>
      </c>
      <c r="S2754">
        <v>-3.0027469999999998</v>
      </c>
      <c r="T2754">
        <v>-0.12653639999999999</v>
      </c>
      <c r="U2754">
        <v>3.9764399999999998E-2</v>
      </c>
      <c r="V2754">
        <v>1.205694E-2</v>
      </c>
      <c r="W2754">
        <v>3.2971430000000003E-2</v>
      </c>
      <c r="X2754">
        <v>0.99938360000000004</v>
      </c>
      <c r="Y2754">
        <v>3.3351800000000001E-3</v>
      </c>
      <c r="Z2754">
        <v>-3.472565E-4</v>
      </c>
      <c r="AA2754">
        <v>0.99999439999999995</v>
      </c>
      <c r="AB2754">
        <v>45</v>
      </c>
      <c r="AC2754">
        <v>-26.058900000000001</v>
      </c>
      <c r="AD2754">
        <v>-1.1099099492921001</v>
      </c>
      <c r="AE2754">
        <v>0.34600000000000303</v>
      </c>
      <c r="AF2754">
        <v>8.7518244368622294E-2</v>
      </c>
      <c r="AG2754">
        <v>-1.1099099492921001</v>
      </c>
      <c r="AH2754">
        <v>26.013865776201001</v>
      </c>
      <c r="AI2754">
        <v>92.443091346573695</v>
      </c>
      <c r="AJ2754">
        <v>89.807240986116597</v>
      </c>
      <c r="AK2754">
        <v>26.037679853643599</v>
      </c>
      <c r="AL2754">
        <v>88.110533827786696</v>
      </c>
      <c r="AM2754">
        <v>89.308795678582996</v>
      </c>
      <c r="AN2754">
        <v>1.00000003247368</v>
      </c>
    </row>
    <row r="2755" spans="1:40" x14ac:dyDescent="0.25">
      <c r="A2755" t="str">
        <f>"20190312153940170"</f>
        <v>20190312153940170</v>
      </c>
      <c r="B2755" t="str">
        <f>"1552376380158137"</f>
        <v>1552376380158137</v>
      </c>
      <c r="C2755" t="s">
        <v>40</v>
      </c>
      <c r="D2755">
        <v>4.5063510000000004</v>
      </c>
      <c r="E2755">
        <v>0.49876280000000001</v>
      </c>
      <c r="F2755" t="s">
        <v>61</v>
      </c>
      <c r="G2755">
        <v>-362.38380000000001</v>
      </c>
      <c r="H2755" s="1">
        <v>-2.6823610000000001E-7</v>
      </c>
      <c r="I2755">
        <v>283.69900000000001</v>
      </c>
      <c r="J2755">
        <v>-335.28109999999998</v>
      </c>
      <c r="K2755">
        <v>1.1099000000000001</v>
      </c>
      <c r="L2755">
        <v>283.28680000000003</v>
      </c>
      <c r="M2755">
        <v>-0.99984399999999996</v>
      </c>
      <c r="N2755">
        <v>0</v>
      </c>
      <c r="O2755">
        <v>9.9658769999999997E-3</v>
      </c>
      <c r="P2755">
        <v>-0.99959529999999996</v>
      </c>
      <c r="Q2755">
        <v>1.8124629999999999E-2</v>
      </c>
      <c r="R2755">
        <v>2.1927889999999998E-2</v>
      </c>
      <c r="S2755">
        <v>-3.002472</v>
      </c>
      <c r="T2755">
        <v>-0.121895699999999</v>
      </c>
      <c r="U2755">
        <v>4.553223E-2</v>
      </c>
      <c r="V2755">
        <v>1.1975420000000001E-2</v>
      </c>
      <c r="W2755">
        <v>3.2707880000000002E-2</v>
      </c>
      <c r="X2755">
        <v>0.99939319999999998</v>
      </c>
      <c r="Y2755">
        <v>5.20055E-3</v>
      </c>
      <c r="Z2755">
        <v>-2.989221E-4</v>
      </c>
      <c r="AA2755">
        <v>0.99998640000000005</v>
      </c>
      <c r="AB2755">
        <v>45</v>
      </c>
      <c r="AC2755">
        <v>-27.102699999999999</v>
      </c>
      <c r="AD2755">
        <v>-1.1099002682361001</v>
      </c>
      <c r="AE2755">
        <v>0.41219999999998402</v>
      </c>
      <c r="AF2755">
        <v>0.14181085970495999</v>
      </c>
      <c r="AG2755">
        <v>-1.1099002682361001</v>
      </c>
      <c r="AH2755">
        <v>27.060091852451301</v>
      </c>
      <c r="AI2755">
        <v>92.348702454124606</v>
      </c>
      <c r="AJ2755">
        <v>89.699739032182407</v>
      </c>
      <c r="AK2755">
        <v>27.083215466197199</v>
      </c>
      <c r="AL2755">
        <v>88.1256422034255</v>
      </c>
      <c r="AM2755">
        <v>89.313475229870903</v>
      </c>
      <c r="AN2755">
        <v>0.99999999215225499</v>
      </c>
    </row>
    <row r="2756" spans="1:40" x14ac:dyDescent="0.25">
      <c r="A2756" t="str">
        <f>"20190312153940182"</f>
        <v>20190312153940182</v>
      </c>
      <c r="B2756" t="str">
        <f>"1552376380178633"</f>
        <v>1552376380178633</v>
      </c>
      <c r="C2756" t="s">
        <v>40</v>
      </c>
      <c r="D2756">
        <v>4.5867789999999999</v>
      </c>
      <c r="E2756">
        <v>0.49904179999999998</v>
      </c>
      <c r="F2756" t="s">
        <v>61</v>
      </c>
      <c r="G2756">
        <v>-363.74509999999998</v>
      </c>
      <c r="H2756" s="1">
        <v>4.5619309999999998E-7</v>
      </c>
      <c r="I2756">
        <v>283.75639999999999</v>
      </c>
      <c r="J2756">
        <v>-335.50659999999999</v>
      </c>
      <c r="K2756">
        <v>1.109893</v>
      </c>
      <c r="L2756">
        <v>283.28910000000002</v>
      </c>
      <c r="M2756">
        <v>-0.99984340000000005</v>
      </c>
      <c r="N2756">
        <v>0</v>
      </c>
      <c r="O2756">
        <v>1.001786E-2</v>
      </c>
      <c r="P2756">
        <v>-0.99959209999999998</v>
      </c>
      <c r="Q2756">
        <v>1.832518E-2</v>
      </c>
      <c r="R2756">
        <v>2.1907240000000001E-2</v>
      </c>
      <c r="S2756">
        <v>-3.0022579999999999</v>
      </c>
      <c r="T2756">
        <v>-0.117067</v>
      </c>
      <c r="U2756">
        <v>4.9530030000000003E-2</v>
      </c>
      <c r="V2756">
        <v>1.190284E-2</v>
      </c>
      <c r="W2756">
        <v>3.290709E-2</v>
      </c>
      <c r="X2756">
        <v>0.99938760000000004</v>
      </c>
      <c r="Y2756">
        <v>6.4796489999999997E-3</v>
      </c>
      <c r="Z2756">
        <v>-2.6420600000000001E-4</v>
      </c>
      <c r="AA2756">
        <v>0.99997899999999995</v>
      </c>
      <c r="AB2756">
        <v>45</v>
      </c>
      <c r="AC2756">
        <v>-28.238499999999899</v>
      </c>
      <c r="AD2756">
        <v>-1.1098925438068901</v>
      </c>
      <c r="AE2756">
        <v>0.46729999999996602</v>
      </c>
      <c r="AF2756">
        <v>0.184072817501922</v>
      </c>
      <c r="AG2756">
        <v>-1.1098925438068901</v>
      </c>
      <c r="AH2756">
        <v>28.198215219220501</v>
      </c>
      <c r="AI2756">
        <v>92.253972312434897</v>
      </c>
      <c r="AJ2756">
        <v>89.625988890342697</v>
      </c>
      <c r="AK2756">
        <v>28.220649989155401</v>
      </c>
      <c r="AL2756">
        <v>88.114222300229002</v>
      </c>
      <c r="AM2756">
        <v>89.317631865488707</v>
      </c>
      <c r="AN2756">
        <v>1.00000006460304</v>
      </c>
    </row>
    <row r="2757" spans="1:40" x14ac:dyDescent="0.25">
      <c r="A2757" t="str">
        <f>"20190312153940195"</f>
        <v>20190312153940195</v>
      </c>
      <c r="B2757" t="str">
        <f>"1552376380188393"</f>
        <v>1552376380188393</v>
      </c>
      <c r="C2757" t="s">
        <v>40</v>
      </c>
      <c r="D2757">
        <v>4.581531</v>
      </c>
      <c r="E2757">
        <v>0.4989596</v>
      </c>
      <c r="F2757" t="s">
        <v>61</v>
      </c>
      <c r="G2757">
        <v>-364.91269999999997</v>
      </c>
      <c r="H2757" s="1">
        <v>1.077506E-6</v>
      </c>
      <c r="I2757">
        <v>283.79689999999999</v>
      </c>
      <c r="J2757">
        <v>-335.75790000000001</v>
      </c>
      <c r="K2757">
        <v>1.109888</v>
      </c>
      <c r="L2757">
        <v>283.29169999999999</v>
      </c>
      <c r="M2757">
        <v>-0.99984280000000003</v>
      </c>
      <c r="N2757">
        <v>0</v>
      </c>
      <c r="O2757">
        <v>1.007574E-2</v>
      </c>
      <c r="P2757">
        <v>-0.9995927</v>
      </c>
      <c r="Q2757">
        <v>1.832845E-2</v>
      </c>
      <c r="R2757">
        <v>2.187623E-2</v>
      </c>
      <c r="S2757">
        <v>-3.002167</v>
      </c>
      <c r="T2757">
        <v>-0.1133125</v>
      </c>
      <c r="U2757">
        <v>5.1849369999999999E-2</v>
      </c>
      <c r="V2757">
        <v>1.18142E-2</v>
      </c>
      <c r="W2757">
        <v>3.2909000000000001E-2</v>
      </c>
      <c r="X2757">
        <v>0.99938850000000001</v>
      </c>
      <c r="Y2757">
        <v>7.1939409999999997E-3</v>
      </c>
      <c r="Z2757">
        <v>-2.4445389999999998E-4</v>
      </c>
      <c r="AA2757">
        <v>0.99997409999999998</v>
      </c>
      <c r="AB2757">
        <v>45</v>
      </c>
      <c r="AC2757">
        <v>-29.154799999999899</v>
      </c>
      <c r="AD2757">
        <v>-1.109886922494</v>
      </c>
      <c r="AE2757">
        <v>0.50520000000000198</v>
      </c>
      <c r="AF2757">
        <v>0.211081083331039</v>
      </c>
      <c r="AG2757">
        <v>-1.109886922494</v>
      </c>
      <c r="AH2757">
        <v>29.116227102098101</v>
      </c>
      <c r="AI2757">
        <v>92.182954309884295</v>
      </c>
      <c r="AJ2757">
        <v>89.584635629489995</v>
      </c>
      <c r="AK2757">
        <v>29.1381379786941</v>
      </c>
      <c r="AL2757">
        <v>88.114112638398893</v>
      </c>
      <c r="AM2757">
        <v>89.322713569954004</v>
      </c>
      <c r="AN2757">
        <v>0.99999997576744404</v>
      </c>
    </row>
    <row r="2758" spans="1:40" x14ac:dyDescent="0.25">
      <c r="A2758" t="str">
        <f>"20190312153940207"</f>
        <v>20190312153940207</v>
      </c>
      <c r="B2758" t="str">
        <f>"1552376380198153"</f>
        <v>1552376380198153</v>
      </c>
      <c r="C2758" t="s">
        <v>40</v>
      </c>
      <c r="D2758">
        <v>4.5753000000000004</v>
      </c>
      <c r="E2758">
        <v>0.49866359999999899</v>
      </c>
      <c r="F2758" t="s">
        <v>61</v>
      </c>
      <c r="G2758">
        <v>-365.80119999999999</v>
      </c>
      <c r="H2758" s="1">
        <v>1.5503110000000001E-6</v>
      </c>
      <c r="I2758">
        <v>283.80290000000002</v>
      </c>
      <c r="J2758">
        <v>-336.00659999999999</v>
      </c>
      <c r="K2758">
        <v>1.1098889999999999</v>
      </c>
      <c r="L2758">
        <v>283.29419999999999</v>
      </c>
      <c r="M2758">
        <v>-0.99984229999999996</v>
      </c>
      <c r="N2758">
        <v>0</v>
      </c>
      <c r="O2758">
        <v>1.013326E-2</v>
      </c>
      <c r="P2758">
        <v>-0.99958999999999998</v>
      </c>
      <c r="Q2758">
        <v>1.8243869999999999E-2</v>
      </c>
      <c r="R2758">
        <v>2.2068339999999999E-2</v>
      </c>
      <c r="S2758">
        <v>-3.0021059999999999</v>
      </c>
      <c r="T2758">
        <v>-0.11090659999999999</v>
      </c>
      <c r="U2758">
        <v>5.1086430000000002E-2</v>
      </c>
      <c r="V2758">
        <v>1.1948520000000001E-2</v>
      </c>
      <c r="W2758">
        <v>3.2822740000000003E-2</v>
      </c>
      <c r="X2758">
        <v>0.99938979999999999</v>
      </c>
      <c r="Y2758">
        <v>6.8828759999999996E-3</v>
      </c>
      <c r="Z2758">
        <v>-2.4714019999999998E-4</v>
      </c>
      <c r="AA2758">
        <v>0.99997630000000004</v>
      </c>
      <c r="AB2758">
        <v>45</v>
      </c>
      <c r="AC2758">
        <v>-29.794599999999999</v>
      </c>
      <c r="AD2758">
        <v>-1.1098874496890001</v>
      </c>
      <c r="AE2758">
        <v>0.50870000000003202</v>
      </c>
      <c r="AF2758">
        <v>0.20643895182286001</v>
      </c>
      <c r="AG2758">
        <v>-1.1098874496890001</v>
      </c>
      <c r="AH2758">
        <v>29.756944814789499</v>
      </c>
      <c r="AI2758">
        <v>92.136001338941995</v>
      </c>
      <c r="AJ2758">
        <v>89.602516622998294</v>
      </c>
      <c r="AK2758">
        <v>29.778351732462198</v>
      </c>
      <c r="AL2758">
        <v>88.119057756980396</v>
      </c>
      <c r="AM2758">
        <v>89.315014871093794</v>
      </c>
      <c r="AN2758">
        <v>1.00000003586766</v>
      </c>
    </row>
    <row r="2759" spans="1:40" x14ac:dyDescent="0.25">
      <c r="A2759" t="str">
        <f>"20190312153940223"</f>
        <v>20190312153940223</v>
      </c>
      <c r="B2759" t="str">
        <f>"1552376380218649"</f>
        <v>1552376380218649</v>
      </c>
      <c r="C2759" t="s">
        <v>40</v>
      </c>
      <c r="D2759">
        <v>4.6474909999999996</v>
      </c>
      <c r="E2759">
        <v>0.49806319999999998</v>
      </c>
      <c r="F2759" t="s">
        <v>61</v>
      </c>
      <c r="G2759">
        <v>-365.68049999999999</v>
      </c>
      <c r="H2759" s="1">
        <v>1.4861019999999999E-6</v>
      </c>
      <c r="I2759">
        <v>283.78039999999999</v>
      </c>
      <c r="J2759">
        <v>-336.31150000000002</v>
      </c>
      <c r="K2759">
        <v>1.109896</v>
      </c>
      <c r="L2759">
        <v>283.29739999999998</v>
      </c>
      <c r="M2759">
        <v>-0.9998416</v>
      </c>
      <c r="N2759">
        <v>0</v>
      </c>
      <c r="O2759">
        <v>1.0204009999999999E-2</v>
      </c>
      <c r="P2759">
        <v>-0.99957720000000005</v>
      </c>
      <c r="Q2759">
        <v>1.8615759999999999E-2</v>
      </c>
      <c r="R2759">
        <v>2.2335569999999999E-2</v>
      </c>
      <c r="S2759">
        <v>-3.0021360000000001</v>
      </c>
      <c r="T2759">
        <v>-0.1122882</v>
      </c>
      <c r="U2759">
        <v>4.9194340000000003E-2</v>
      </c>
      <c r="V2759">
        <v>1.214514E-2</v>
      </c>
      <c r="W2759">
        <v>3.3192560000000003E-2</v>
      </c>
      <c r="X2759">
        <v>0.99937520000000002</v>
      </c>
      <c r="Y2759">
        <v>6.1824799999999997E-3</v>
      </c>
      <c r="Z2759">
        <v>-2.6595409999999997E-4</v>
      </c>
      <c r="AA2759">
        <v>0.99998089999999995</v>
      </c>
      <c r="AB2759">
        <v>45</v>
      </c>
      <c r="AC2759">
        <v>-29.3689999999999</v>
      </c>
      <c r="AD2759">
        <v>-1.1098945138979901</v>
      </c>
      <c r="AE2759">
        <v>0.48300000000000398</v>
      </c>
      <c r="AF2759">
        <v>0.183000121964073</v>
      </c>
      <c r="AG2759">
        <v>-1.1098945138979901</v>
      </c>
      <c r="AH2759">
        <v>29.330521574657201</v>
      </c>
      <c r="AI2759">
        <v>92.167050044222805</v>
      </c>
      <c r="AJ2759">
        <v>89.642522600221696</v>
      </c>
      <c r="AK2759">
        <v>29.352084265313302</v>
      </c>
      <c r="AL2759">
        <v>88.097857050777293</v>
      </c>
      <c r="AM2759">
        <v>89.303733963545994</v>
      </c>
      <c r="AN2759">
        <v>1.0000000204199999</v>
      </c>
    </row>
    <row r="2760" spans="1:40" x14ac:dyDescent="0.25">
      <c r="A2760" t="str">
        <f>"20190312153940237"</f>
        <v>20190312153940237</v>
      </c>
      <c r="B2760" t="str">
        <f>"1552376380228408"</f>
        <v>1552376380228408</v>
      </c>
      <c r="C2760" t="s">
        <v>40</v>
      </c>
      <c r="D2760">
        <v>4.6048710000000002</v>
      </c>
      <c r="E2760">
        <v>0.49799559999999998</v>
      </c>
      <c r="F2760" t="s">
        <v>61</v>
      </c>
      <c r="G2760">
        <v>-364.44060000000002</v>
      </c>
      <c r="H2760" s="1">
        <v>8.2625389999999999E-7</v>
      </c>
      <c r="I2760">
        <v>283.71710000000002</v>
      </c>
      <c r="J2760">
        <v>-336.6019</v>
      </c>
      <c r="K2760">
        <v>1.109912</v>
      </c>
      <c r="L2760">
        <v>283.30040000000002</v>
      </c>
      <c r="M2760">
        <v>-0.99984090000000003</v>
      </c>
      <c r="N2760">
        <v>0</v>
      </c>
      <c r="O2760">
        <v>1.0271310000000001E-2</v>
      </c>
      <c r="P2760">
        <v>-0.99955470000000002</v>
      </c>
      <c r="Q2760">
        <v>1.986518E-2</v>
      </c>
      <c r="R2760">
        <v>2.227616E-2</v>
      </c>
      <c r="S2760">
        <v>-3.002472</v>
      </c>
      <c r="T2760">
        <v>-0.11846909999999999</v>
      </c>
      <c r="U2760">
        <v>4.4799800000000001E-2</v>
      </c>
      <c r="V2760">
        <v>1.201939E-2</v>
      </c>
      <c r="W2760">
        <v>3.4439740000000003E-2</v>
      </c>
      <c r="X2760">
        <v>0.99933450000000001</v>
      </c>
      <c r="Y2760">
        <v>4.6516439999999999E-3</v>
      </c>
      <c r="Z2760">
        <v>-3.1339710000000002E-4</v>
      </c>
      <c r="AA2760">
        <v>0.99998920000000002</v>
      </c>
      <c r="AB2760">
        <v>45</v>
      </c>
      <c r="AC2760">
        <v>-27.838699999999999</v>
      </c>
      <c r="AD2760">
        <v>-1.1099111737461</v>
      </c>
      <c r="AE2760">
        <v>0.41669999999999102</v>
      </c>
      <c r="AF2760">
        <v>0.13050029284012499</v>
      </c>
      <c r="AG2760">
        <v>-1.1099111737461</v>
      </c>
      <c r="AH2760">
        <v>27.7973358698674</v>
      </c>
      <c r="AI2760">
        <v>92.286505557099403</v>
      </c>
      <c r="AJ2760">
        <v>89.731015191233595</v>
      </c>
      <c r="AK2760">
        <v>27.819791778556802</v>
      </c>
      <c r="AL2760">
        <v>88.026357968819696</v>
      </c>
      <c r="AM2760">
        <v>89.310914298051799</v>
      </c>
      <c r="AN2760">
        <v>1.0000000021587401</v>
      </c>
    </row>
    <row r="2761" spans="1:40" x14ac:dyDescent="0.25">
      <c r="A2761" t="str">
        <f>"20190312153940251"</f>
        <v>20190312153940251</v>
      </c>
      <c r="B2761" t="str">
        <f>"1552376380238169"</f>
        <v>1552376380238169</v>
      </c>
      <c r="C2761" t="s">
        <v>40</v>
      </c>
      <c r="D2761">
        <v>4.6320370000000004</v>
      </c>
      <c r="E2761">
        <v>0.49785390000000002</v>
      </c>
      <c r="F2761" t="s">
        <v>61</v>
      </c>
      <c r="G2761">
        <v>-365.41109999999998</v>
      </c>
      <c r="H2761" s="1">
        <v>1.342743E-6</v>
      </c>
      <c r="I2761">
        <v>283.72289999999998</v>
      </c>
      <c r="J2761">
        <v>-336.88479999999998</v>
      </c>
      <c r="K2761">
        <v>1.1099190000000001</v>
      </c>
      <c r="L2761">
        <v>283.30329999999998</v>
      </c>
      <c r="M2761">
        <v>-0.99984039999999996</v>
      </c>
      <c r="N2761">
        <v>0</v>
      </c>
      <c r="O2761">
        <v>1.0337229999999999E-2</v>
      </c>
      <c r="P2761">
        <v>-0.99953950000000003</v>
      </c>
      <c r="Q2761">
        <v>2.0783880000000001E-2</v>
      </c>
      <c r="R2761">
        <v>2.2123819999999999E-2</v>
      </c>
      <c r="S2761">
        <v>-3.0026250000000001</v>
      </c>
      <c r="T2761">
        <v>-0.1156797</v>
      </c>
      <c r="U2761">
        <v>4.4036869999999999E-2</v>
      </c>
      <c r="V2761">
        <v>1.180168E-2</v>
      </c>
      <c r="W2761">
        <v>3.535613E-2</v>
      </c>
      <c r="X2761">
        <v>0.99930509999999995</v>
      </c>
      <c r="Y2761">
        <v>4.3310049999999998E-3</v>
      </c>
      <c r="Z2761">
        <v>-3.1472139999999998E-4</v>
      </c>
      <c r="AA2761">
        <v>0.99999059999999995</v>
      </c>
      <c r="AB2761">
        <v>45</v>
      </c>
      <c r="AC2761">
        <v>-28.5262999999999</v>
      </c>
      <c r="AD2761">
        <v>-1.109917657257</v>
      </c>
      <c r="AE2761">
        <v>0.41960000000000203</v>
      </c>
      <c r="AF2761">
        <v>0.124474943408521</v>
      </c>
      <c r="AG2761">
        <v>-1.109917657257</v>
      </c>
      <c r="AH2761">
        <v>28.485998488084501</v>
      </c>
      <c r="AI2761">
        <v>92.231301059718405</v>
      </c>
      <c r="AJ2761">
        <v>89.749636877800796</v>
      </c>
      <c r="AK2761">
        <v>28.507885243921201</v>
      </c>
      <c r="AL2761">
        <v>87.973820700610204</v>
      </c>
      <c r="AM2761">
        <v>89.323374792028503</v>
      </c>
      <c r="AN2761">
        <v>1.0000000092326999</v>
      </c>
    </row>
    <row r="2762" spans="1:40" x14ac:dyDescent="0.25">
      <c r="A2762" t="str">
        <f>"20190312153940265"</f>
        <v>20190312153940265</v>
      </c>
      <c r="B2762" t="str">
        <f>"1552376380258664"</f>
        <v>1552376380258664</v>
      </c>
      <c r="C2762" t="s">
        <v>40</v>
      </c>
      <c r="D2762">
        <v>4.639723</v>
      </c>
      <c r="E2762">
        <v>0.4975446</v>
      </c>
      <c r="F2762" t="s">
        <v>61</v>
      </c>
      <c r="G2762">
        <v>-366.60939999999999</v>
      </c>
      <c r="H2762" s="1">
        <v>1.9804129999999999E-6</v>
      </c>
      <c r="I2762">
        <v>283.72379999999998</v>
      </c>
      <c r="J2762">
        <v>-337.15839999999997</v>
      </c>
      <c r="K2762">
        <v>1.1099319999999999</v>
      </c>
      <c r="L2762">
        <v>283.30619999999999</v>
      </c>
      <c r="M2762">
        <v>-0.99983960000000005</v>
      </c>
      <c r="N2762">
        <v>0</v>
      </c>
      <c r="O2762">
        <v>1.040113E-2</v>
      </c>
      <c r="P2762">
        <v>-0.99951979999999996</v>
      </c>
      <c r="Q2762">
        <v>2.1276900000000001E-2</v>
      </c>
      <c r="R2762">
        <v>2.253345E-2</v>
      </c>
      <c r="S2762">
        <v>-3.002777</v>
      </c>
      <c r="T2762">
        <v>-0.11212370000000001</v>
      </c>
      <c r="U2762">
        <v>4.2480469999999999E-2</v>
      </c>
      <c r="V2762">
        <v>1.2147700000000001E-2</v>
      </c>
      <c r="W2762">
        <v>3.5846959999999997E-2</v>
      </c>
      <c r="X2762">
        <v>0.99928340000000004</v>
      </c>
      <c r="Y2762">
        <v>3.7483220000000001E-3</v>
      </c>
      <c r="Z2762">
        <v>-3.1829900000000002E-4</v>
      </c>
      <c r="AA2762">
        <v>0.99999289999999996</v>
      </c>
      <c r="AB2762">
        <v>45</v>
      </c>
      <c r="AC2762">
        <v>-29.451000000000001</v>
      </c>
      <c r="AD2762">
        <v>-1.1099300195870001</v>
      </c>
      <c r="AE2762">
        <v>0.41759999999999298</v>
      </c>
      <c r="AF2762">
        <v>0.111063444552364</v>
      </c>
      <c r="AG2762">
        <v>-1.1099300195870001</v>
      </c>
      <c r="AH2762">
        <v>29.411984032464701</v>
      </c>
      <c r="AI2762">
        <v>92.161149355461504</v>
      </c>
      <c r="AJ2762">
        <v>89.783644776279004</v>
      </c>
      <c r="AK2762">
        <v>29.433129029429601</v>
      </c>
      <c r="AL2762">
        <v>87.9456802364776</v>
      </c>
      <c r="AM2762">
        <v>89.303523246089398</v>
      </c>
      <c r="AN2762">
        <v>0.99999994233604395</v>
      </c>
    </row>
    <row r="2763" spans="1:40" x14ac:dyDescent="0.25">
      <c r="A2763" t="str">
        <f>"20190312153940279"</f>
        <v>20190312153940279</v>
      </c>
      <c r="B2763" t="str">
        <f>"1552376380268425"</f>
        <v>1552376380268425</v>
      </c>
      <c r="C2763" t="s">
        <v>40</v>
      </c>
      <c r="D2763">
        <v>4.6715859999999996</v>
      </c>
      <c r="E2763">
        <v>0.49750800000000001</v>
      </c>
      <c r="F2763" t="s">
        <v>61</v>
      </c>
      <c r="G2763">
        <v>-367.6413</v>
      </c>
      <c r="H2763" s="1">
        <v>2.529526E-6</v>
      </c>
      <c r="I2763">
        <v>283.72410000000002</v>
      </c>
      <c r="J2763">
        <v>-337.4366</v>
      </c>
      <c r="K2763">
        <v>1.109944</v>
      </c>
      <c r="L2763">
        <v>283.3091</v>
      </c>
      <c r="M2763">
        <v>-0.99983909999999998</v>
      </c>
      <c r="N2763">
        <v>0</v>
      </c>
      <c r="O2763">
        <v>1.046568E-2</v>
      </c>
      <c r="P2763">
        <v>-0.99949189999999999</v>
      </c>
      <c r="Q2763">
        <v>2.2045599999999999E-2</v>
      </c>
      <c r="R2763">
        <v>2.3028529999999998E-2</v>
      </c>
      <c r="S2763">
        <v>-3.0028380000000001</v>
      </c>
      <c r="T2763">
        <v>-0.109338</v>
      </c>
      <c r="U2763">
        <v>4.1168209999999997E-2</v>
      </c>
      <c r="V2763">
        <v>1.2578489999999999E-2</v>
      </c>
      <c r="W2763">
        <v>3.6613689999999997E-2</v>
      </c>
      <c r="X2763">
        <v>0.99925039999999998</v>
      </c>
      <c r="Y2763">
        <v>3.2467009999999998E-3</v>
      </c>
      <c r="Z2763">
        <v>-3.218699E-4</v>
      </c>
      <c r="AA2763">
        <v>0.99999470000000001</v>
      </c>
      <c r="AB2763">
        <v>45</v>
      </c>
      <c r="AC2763">
        <v>-30.204699999999999</v>
      </c>
      <c r="AD2763">
        <v>-1.109941470474</v>
      </c>
      <c r="AE2763">
        <v>0.41500000000002002</v>
      </c>
      <c r="AF2763">
        <v>9.8697737691661097E-2</v>
      </c>
      <c r="AG2763">
        <v>-1.109941470474</v>
      </c>
      <c r="AH2763">
        <v>30.166660846511199</v>
      </c>
      <c r="AI2763">
        <v>92.107158885264994</v>
      </c>
      <c r="AJ2763">
        <v>89.812543268591398</v>
      </c>
      <c r="AK2763">
        <v>30.187234685206601</v>
      </c>
      <c r="AL2763">
        <v>87.901721249827403</v>
      </c>
      <c r="AM2763">
        <v>89.278803063597806</v>
      </c>
      <c r="AN2763">
        <v>1.0000000713031201</v>
      </c>
    </row>
    <row r="2764" spans="1:40" x14ac:dyDescent="0.25">
      <c r="A2764" t="str">
        <f>"20190312153940290"</f>
        <v>20190312153940290</v>
      </c>
      <c r="B2764" t="str">
        <f>"1552376380278185"</f>
        <v>1552376380278185</v>
      </c>
      <c r="C2764" t="s">
        <v>40</v>
      </c>
      <c r="D2764">
        <v>4.6835469999999999</v>
      </c>
      <c r="E2764">
        <v>0.49749559999999998</v>
      </c>
      <c r="F2764" t="s">
        <v>61</v>
      </c>
      <c r="G2764">
        <v>-368.94240000000002</v>
      </c>
      <c r="H2764" s="1">
        <v>3.221884E-6</v>
      </c>
      <c r="I2764">
        <v>283.75229999999999</v>
      </c>
      <c r="J2764">
        <v>-337.67899999999997</v>
      </c>
      <c r="K2764">
        <v>1.109947</v>
      </c>
      <c r="L2764">
        <v>283.31169999999997</v>
      </c>
      <c r="M2764">
        <v>-0.99983849999999996</v>
      </c>
      <c r="N2764">
        <v>0</v>
      </c>
      <c r="O2764">
        <v>1.0522190000000001E-2</v>
      </c>
      <c r="P2764">
        <v>-0.99946869999999999</v>
      </c>
      <c r="Q2764">
        <v>2.239203E-2</v>
      </c>
      <c r="R2764">
        <v>2.368483E-2</v>
      </c>
      <c r="S2764">
        <v>-3.0028990000000002</v>
      </c>
      <c r="T2764">
        <v>-0.1057916</v>
      </c>
      <c r="U2764">
        <v>4.2236330000000002E-2</v>
      </c>
      <c r="V2764">
        <v>1.3178469999999999E-2</v>
      </c>
      <c r="W2764">
        <v>3.6957730000000001E-2</v>
      </c>
      <c r="X2764">
        <v>0.9992299</v>
      </c>
      <c r="Y2764">
        <v>3.5450730000000001E-3</v>
      </c>
      <c r="Z2764">
        <v>-3.0816520000000002E-4</v>
      </c>
      <c r="AA2764">
        <v>0.99999369999999999</v>
      </c>
      <c r="AB2764">
        <v>45</v>
      </c>
      <c r="AC2764">
        <v>-31.263399999999901</v>
      </c>
      <c r="AD2764">
        <v>-1.109943778116</v>
      </c>
      <c r="AE2764">
        <v>0.44060000000001698</v>
      </c>
      <c r="AF2764">
        <v>0.11144081191024</v>
      </c>
      <c r="AG2764">
        <v>-1.109943778116</v>
      </c>
      <c r="AH2764">
        <v>31.226952914378899</v>
      </c>
      <c r="AI2764">
        <v>92.035675009861905</v>
      </c>
      <c r="AJ2764">
        <v>89.795527245354705</v>
      </c>
      <c r="AK2764">
        <v>31.2468715643978</v>
      </c>
      <c r="AL2764">
        <v>87.881995644761403</v>
      </c>
      <c r="AM2764">
        <v>89.244391168598</v>
      </c>
      <c r="AN2764">
        <v>0.999999969466151</v>
      </c>
    </row>
    <row r="2765" spans="1:40" x14ac:dyDescent="0.25">
      <c r="A2765" t="str">
        <f>"20190312153940303"</f>
        <v>20190312153940303</v>
      </c>
      <c r="B2765" t="str">
        <f>"1552376380298681"</f>
        <v>1552376380298681</v>
      </c>
      <c r="C2765" t="s">
        <v>40</v>
      </c>
      <c r="D2765">
        <v>4.6625439999999996</v>
      </c>
      <c r="E2765">
        <v>0.49727759999999999</v>
      </c>
      <c r="F2765" t="s">
        <v>61</v>
      </c>
      <c r="G2765">
        <v>-369.87079999999997</v>
      </c>
      <c r="H2765" s="1">
        <v>3.715975E-6</v>
      </c>
      <c r="I2765">
        <v>283.78539999999998</v>
      </c>
      <c r="J2765">
        <v>-337.91789999999997</v>
      </c>
      <c r="K2765">
        <v>1.10995</v>
      </c>
      <c r="L2765">
        <v>283.3143</v>
      </c>
      <c r="M2765">
        <v>-0.99983789999999995</v>
      </c>
      <c r="N2765">
        <v>0</v>
      </c>
      <c r="O2765">
        <v>1.0577690000000001E-2</v>
      </c>
      <c r="P2765">
        <v>-0.99947909999999995</v>
      </c>
      <c r="Q2765">
        <v>2.2013410000000001E-2</v>
      </c>
      <c r="R2765">
        <v>2.360636E-2</v>
      </c>
      <c r="S2765">
        <v>-3.0028990000000002</v>
      </c>
      <c r="T2765">
        <v>-0.1035372</v>
      </c>
      <c r="U2765">
        <v>4.4189449999999998E-2</v>
      </c>
      <c r="V2765">
        <v>1.304429E-2</v>
      </c>
      <c r="W2765">
        <v>3.6577949999999998E-2</v>
      </c>
      <c r="X2765">
        <v>0.99924559999999996</v>
      </c>
      <c r="Y2765">
        <v>4.1393369999999999E-3</v>
      </c>
      <c r="Z2765">
        <v>-2.9327230000000001E-4</v>
      </c>
      <c r="AA2765">
        <v>0.99999139999999997</v>
      </c>
      <c r="AB2765">
        <v>45</v>
      </c>
      <c r="AC2765">
        <v>-31.9529</v>
      </c>
      <c r="AD2765">
        <v>-1.1099462840250001</v>
      </c>
      <c r="AE2765">
        <v>0.47109999999997798</v>
      </c>
      <c r="AF2765">
        <v>0.132889569859789</v>
      </c>
      <c r="AG2765">
        <v>-1.1099462840250001</v>
      </c>
      <c r="AH2765">
        <v>31.917590511733</v>
      </c>
      <c r="AI2765">
        <v>91.991662552833404</v>
      </c>
      <c r="AJ2765">
        <v>89.761449176564099</v>
      </c>
      <c r="AK2765">
        <v>31.937160557348701</v>
      </c>
      <c r="AL2765">
        <v>87.903770086600005</v>
      </c>
      <c r="AM2765">
        <v>89.2520954666969</v>
      </c>
      <c r="AN2765">
        <v>0.99999993452358105</v>
      </c>
    </row>
    <row r="2766" spans="1:40" x14ac:dyDescent="0.25">
      <c r="A2766" t="str">
        <f>"20190312153940323"</f>
        <v>20190312153940323</v>
      </c>
      <c r="B2766" t="str">
        <f>"1552376380318204"</f>
        <v>1552376380318204</v>
      </c>
      <c r="C2766" t="s">
        <v>40</v>
      </c>
      <c r="D2766">
        <v>4.6363409999999998</v>
      </c>
      <c r="E2766">
        <v>0.49605549999999998</v>
      </c>
      <c r="F2766" t="s">
        <v>61</v>
      </c>
      <c r="G2766">
        <v>-368.98750000000001</v>
      </c>
      <c r="H2766" s="1">
        <v>3.2459070000000001E-6</v>
      </c>
      <c r="I2766">
        <v>283.74810000000002</v>
      </c>
      <c r="J2766">
        <v>-338.32319999999999</v>
      </c>
      <c r="K2766">
        <v>1.1099619999999999</v>
      </c>
      <c r="L2766">
        <v>283.31869999999998</v>
      </c>
      <c r="M2766">
        <v>-0.99983690000000003</v>
      </c>
      <c r="N2766">
        <v>0</v>
      </c>
      <c r="O2766">
        <v>1.0671460000000001E-2</v>
      </c>
      <c r="P2766">
        <v>-0.99946559999999995</v>
      </c>
      <c r="Q2766">
        <v>2.18094E-2</v>
      </c>
      <c r="R2766">
        <v>2.435004E-2</v>
      </c>
      <c r="S2766">
        <v>-3.0029300000000001</v>
      </c>
      <c r="T2766">
        <v>-0.10727829999999999</v>
      </c>
      <c r="U2766">
        <v>4.193115E-2</v>
      </c>
      <c r="V2766">
        <v>1.3694370000000001E-2</v>
      </c>
      <c r="W2766">
        <v>3.6370659999999999E-2</v>
      </c>
      <c r="X2766">
        <v>0.99924449999999998</v>
      </c>
      <c r="Y2766">
        <v>3.2944089999999999E-3</v>
      </c>
      <c r="Z2766">
        <v>-3.2229710000000001E-4</v>
      </c>
      <c r="AA2766">
        <v>0.99999450000000001</v>
      </c>
      <c r="AB2766">
        <v>45</v>
      </c>
      <c r="AC2766">
        <v>-30.664300000000001</v>
      </c>
      <c r="AD2766">
        <v>-1.109958754093</v>
      </c>
      <c r="AE2766">
        <v>0.42940000000004303</v>
      </c>
      <c r="AF2766">
        <v>0.101974369283342</v>
      </c>
      <c r="AG2766">
        <v>-1.109958754093</v>
      </c>
      <c r="AH2766">
        <v>30.627015794193699</v>
      </c>
      <c r="AI2766">
        <v>92.075545967975998</v>
      </c>
      <c r="AJ2766">
        <v>89.809231188985905</v>
      </c>
      <c r="AK2766">
        <v>30.6472919466887</v>
      </c>
      <c r="AL2766">
        <v>87.915654902826304</v>
      </c>
      <c r="AM2766">
        <v>89.2148263145573</v>
      </c>
      <c r="AN2766">
        <v>0.99999996572938998</v>
      </c>
    </row>
    <row r="2767" spans="1:40" x14ac:dyDescent="0.25">
      <c r="A2767" t="str">
        <f>"20190312153940334"</f>
        <v>20190312153940334</v>
      </c>
      <c r="B2767" t="str">
        <f>"1552376380328938"</f>
        <v>1552376380328938</v>
      </c>
      <c r="C2767" t="s">
        <v>40</v>
      </c>
      <c r="D2767">
        <v>4.9979239999999896</v>
      </c>
      <c r="E2767">
        <v>0.49535469999999998</v>
      </c>
      <c r="F2767" t="s">
        <v>61</v>
      </c>
      <c r="G2767">
        <v>-370.14870000000002</v>
      </c>
      <c r="H2767" s="1">
        <v>-1.4576719999999999E-6</v>
      </c>
      <c r="I2767">
        <v>283.6841</v>
      </c>
      <c r="J2767">
        <v>-338.56479999999999</v>
      </c>
      <c r="K2767">
        <v>1.1099650000000001</v>
      </c>
      <c r="L2767">
        <v>283.32130000000001</v>
      </c>
      <c r="M2767">
        <v>-0.99983630000000001</v>
      </c>
      <c r="N2767">
        <v>0</v>
      </c>
      <c r="O2767">
        <v>1.072732E-2</v>
      </c>
      <c r="P2767">
        <v>-0.99945720000000005</v>
      </c>
      <c r="Q2767">
        <v>2.1900820000000001E-2</v>
      </c>
      <c r="R2767">
        <v>2.4609519999999999E-2</v>
      </c>
      <c r="S2767">
        <v>-3.0030519999999998</v>
      </c>
      <c r="T2767">
        <v>-0.1047362</v>
      </c>
      <c r="U2767">
        <v>3.4484859999999999E-2</v>
      </c>
      <c r="V2767">
        <v>1.389807E-2</v>
      </c>
      <c r="W2767">
        <v>3.6460729999999997E-2</v>
      </c>
      <c r="X2767">
        <v>0.99923839999999997</v>
      </c>
      <c r="Y2767">
        <v>7.6016359999999999E-4</v>
      </c>
      <c r="Z2767">
        <v>-3.6078340000000002E-4</v>
      </c>
      <c r="AA2767">
        <v>0.99999959999999999</v>
      </c>
      <c r="AB2767">
        <v>45</v>
      </c>
      <c r="AC2767">
        <v>-31.5839</v>
      </c>
      <c r="AD2767">
        <v>-1.1099664576720001</v>
      </c>
      <c r="AE2767">
        <v>0.36279999999999202</v>
      </c>
      <c r="AF2767">
        <v>2.39030302492328E-2</v>
      </c>
      <c r="AG2767">
        <v>-1.1099664576720001</v>
      </c>
      <c r="AH2767">
        <v>31.547017250333202</v>
      </c>
      <c r="AI2767">
        <v>92.015092302135599</v>
      </c>
      <c r="AJ2767">
        <v>89.956587259014</v>
      </c>
      <c r="AK2767">
        <v>31.566547075738701</v>
      </c>
      <c r="AL2767">
        <v>87.910490835910494</v>
      </c>
      <c r="AM2767">
        <v>89.203143702273394</v>
      </c>
      <c r="AN2767">
        <v>0.99999996060820795</v>
      </c>
    </row>
    <row r="2768" spans="1:40" x14ac:dyDescent="0.25">
      <c r="A2768" t="str">
        <f>"20190312153940346"</f>
        <v>20190312153940346</v>
      </c>
      <c r="B2768" t="str">
        <f>"1552376380338698"</f>
        <v>1552376380338698</v>
      </c>
      <c r="C2768" t="s">
        <v>40</v>
      </c>
      <c r="D2768">
        <v>5.0205029999999997</v>
      </c>
      <c r="E2768">
        <v>0.49464279999999999</v>
      </c>
      <c r="F2768" t="s">
        <v>61</v>
      </c>
      <c r="G2768">
        <v>-371.46679999999998</v>
      </c>
      <c r="H2768" s="1">
        <v>-7.562231E-7</v>
      </c>
      <c r="I2768">
        <v>283.64760000000001</v>
      </c>
      <c r="J2768">
        <v>-338.7901</v>
      </c>
      <c r="K2768">
        <v>1.1099680000000001</v>
      </c>
      <c r="L2768">
        <v>283.32369999999997</v>
      </c>
      <c r="M2768">
        <v>-0.99983580000000005</v>
      </c>
      <c r="N2768">
        <v>0</v>
      </c>
      <c r="O2768">
        <v>1.077913E-2</v>
      </c>
      <c r="P2768">
        <v>-0.99944040000000001</v>
      </c>
      <c r="Q2768">
        <v>2.2302209999999999E-2</v>
      </c>
      <c r="R2768">
        <v>2.4935880000000001E-2</v>
      </c>
      <c r="S2768">
        <v>-3.0031129999999999</v>
      </c>
      <c r="T2768">
        <v>-0.1013114</v>
      </c>
      <c r="U2768">
        <v>2.9785160000000001E-2</v>
      </c>
      <c r="V2768">
        <v>1.417293E-2</v>
      </c>
      <c r="W2768">
        <v>3.6860530000000002E-2</v>
      </c>
      <c r="X2768">
        <v>0.99921990000000005</v>
      </c>
      <c r="Y2768">
        <v>-8.5608929999999998E-4</v>
      </c>
      <c r="Z2768">
        <v>-3.7799090000000001E-4</v>
      </c>
      <c r="AA2768">
        <v>0.99999959999999999</v>
      </c>
      <c r="AB2768">
        <v>45</v>
      </c>
      <c r="AC2768">
        <v>-32.676699999999897</v>
      </c>
      <c r="AD2768">
        <v>-1.1099687562231</v>
      </c>
      <c r="AE2768">
        <v>0.32390000000003699</v>
      </c>
      <c r="AF2768">
        <v>-2.8349884985470902E-2</v>
      </c>
      <c r="AG2768">
        <v>-1.1099687562231</v>
      </c>
      <c r="AH2768">
        <v>32.640634595995699</v>
      </c>
      <c r="AI2768">
        <v>91.947633825638405</v>
      </c>
      <c r="AJ2768">
        <v>90.049763994205506</v>
      </c>
      <c r="AK2768">
        <v>32.659514099035299</v>
      </c>
      <c r="AL2768">
        <v>87.887568634486101</v>
      </c>
      <c r="AM2768">
        <v>89.187371447115794</v>
      </c>
      <c r="AN2768">
        <v>0.99999998958633696</v>
      </c>
    </row>
    <row r="2769" spans="1:40" x14ac:dyDescent="0.25">
      <c r="A2769" t="str">
        <f>"20190312153940359"</f>
        <v>20190312153940359</v>
      </c>
      <c r="B2769" t="str">
        <f>"1552376380348456"</f>
        <v>1552376380348456</v>
      </c>
      <c r="C2769" t="s">
        <v>40</v>
      </c>
      <c r="D2769">
        <v>4.6784540000000003</v>
      </c>
      <c r="E2769">
        <v>0.49395729999999999</v>
      </c>
      <c r="F2769" t="s">
        <v>61</v>
      </c>
      <c r="G2769">
        <v>-372.88479999999998</v>
      </c>
      <c r="H2769" s="1">
        <v>-1.645958E-9</v>
      </c>
      <c r="I2769">
        <v>283.6112</v>
      </c>
      <c r="J2769">
        <v>-339.03100000000001</v>
      </c>
      <c r="K2769">
        <v>1.109966</v>
      </c>
      <c r="L2769">
        <v>283.3263</v>
      </c>
      <c r="M2769">
        <v>-0.99983529999999998</v>
      </c>
      <c r="N2769">
        <v>0</v>
      </c>
      <c r="O2769">
        <v>1.083463E-2</v>
      </c>
      <c r="P2769">
        <v>-0.99942240000000004</v>
      </c>
      <c r="Q2769">
        <v>2.2841489999999999E-2</v>
      </c>
      <c r="R2769">
        <v>2.516177E-2</v>
      </c>
      <c r="S2769">
        <v>-3.0032350000000001</v>
      </c>
      <c r="T2769">
        <v>-9.7771759999999999E-2</v>
      </c>
      <c r="U2769">
        <v>2.5329589999999999E-2</v>
      </c>
      <c r="V2769">
        <v>1.4343659999999999E-2</v>
      </c>
      <c r="W2769">
        <v>3.7397550000000002E-2</v>
      </c>
      <c r="X2769">
        <v>0.99919749999999996</v>
      </c>
      <c r="Y2769">
        <v>-2.3950759999999999E-3</v>
      </c>
      <c r="Z2769">
        <v>-3.9163050000000002E-4</v>
      </c>
      <c r="AA2769">
        <v>0.99999709999999997</v>
      </c>
      <c r="AB2769">
        <v>45</v>
      </c>
      <c r="AC2769">
        <v>-33.8537999999999</v>
      </c>
      <c r="AD2769">
        <v>-1.1099660016459501</v>
      </c>
      <c r="AE2769">
        <v>0.28489999999999299</v>
      </c>
      <c r="AF2769">
        <v>-8.1861012955112097E-2</v>
      </c>
      <c r="AG2769">
        <v>-1.1099660016459501</v>
      </c>
      <c r="AH2769">
        <v>33.818547565647201</v>
      </c>
      <c r="AI2769">
        <v>91.879837085981094</v>
      </c>
      <c r="AJ2769">
        <v>90.1386896163812</v>
      </c>
      <c r="AK2769">
        <v>33.836856904863303</v>
      </c>
      <c r="AL2769">
        <v>87.856778404672596</v>
      </c>
      <c r="AM2769">
        <v>89.177565260282705</v>
      </c>
      <c r="AN2769">
        <v>0.99999998066722295</v>
      </c>
    </row>
    <row r="2770" spans="1:40" x14ac:dyDescent="0.25">
      <c r="A2770" t="str">
        <f>"20190312153940370"</f>
        <v>20190312153940370</v>
      </c>
      <c r="B2770" t="str">
        <f>"1552376380358216"</f>
        <v>1552376380358216</v>
      </c>
      <c r="C2770" t="s">
        <v>40</v>
      </c>
      <c r="D2770">
        <v>4.6086839999999896</v>
      </c>
      <c r="E2770">
        <v>0.49333589999999999</v>
      </c>
      <c r="F2770" t="s">
        <v>61</v>
      </c>
      <c r="G2770">
        <v>-374.4658</v>
      </c>
      <c r="H2770" s="1">
        <v>8.3968139999999996E-7</v>
      </c>
      <c r="I2770">
        <v>283.57080000000002</v>
      </c>
      <c r="J2770">
        <v>-339.27280000000002</v>
      </c>
      <c r="K2770">
        <v>1.10996299999999</v>
      </c>
      <c r="L2770">
        <v>283.32900000000001</v>
      </c>
      <c r="M2770">
        <v>-0.99983460000000002</v>
      </c>
      <c r="N2770">
        <v>0</v>
      </c>
      <c r="O2770">
        <v>1.0890479999999999E-2</v>
      </c>
      <c r="P2770">
        <v>-0.99941959999999996</v>
      </c>
      <c r="Q2770">
        <v>2.2950410000000001E-2</v>
      </c>
      <c r="R2770">
        <v>2.5172119999999999E-2</v>
      </c>
      <c r="S2770">
        <v>-3.0033259999999999</v>
      </c>
      <c r="T2770">
        <v>-9.4076629999999994E-2</v>
      </c>
      <c r="U2770">
        <v>2.0721440000000001E-2</v>
      </c>
      <c r="V2770">
        <v>1.429834E-2</v>
      </c>
      <c r="W2770">
        <v>3.750477E-2</v>
      </c>
      <c r="X2770">
        <v>0.99919409999999997</v>
      </c>
      <c r="Y2770">
        <v>-3.9851640000000002E-3</v>
      </c>
      <c r="Z2770">
        <v>-4.0347529999999998E-4</v>
      </c>
      <c r="AA2770">
        <v>0.99999199999999999</v>
      </c>
      <c r="AB2770">
        <v>45</v>
      </c>
      <c r="AC2770">
        <v>-35.192999999999898</v>
      </c>
      <c r="AD2770">
        <v>-1.1099621603185901</v>
      </c>
      <c r="AE2770">
        <v>0.24180000000001201</v>
      </c>
      <c r="AF2770">
        <v>-0.14138303985760001</v>
      </c>
      <c r="AG2770">
        <v>-1.1099621603185901</v>
      </c>
      <c r="AH2770">
        <v>35.158574581396998</v>
      </c>
      <c r="AI2770">
        <v>91.808222280413702</v>
      </c>
      <c r="AJ2770">
        <v>90.230402054426406</v>
      </c>
      <c r="AK2770">
        <v>35.176375193543699</v>
      </c>
      <c r="AL2770">
        <v>87.850630772114002</v>
      </c>
      <c r="AM2770">
        <v>89.180160667455993</v>
      </c>
      <c r="AN2770">
        <v>0.99999994988715701</v>
      </c>
    </row>
    <row r="2771" spans="1:40" x14ac:dyDescent="0.25">
      <c r="A2771" t="str">
        <f>"20190312153940384"</f>
        <v>20190312153940384</v>
      </c>
      <c r="B2771" t="str">
        <f>"1552376380378713"</f>
        <v>1552376380378713</v>
      </c>
      <c r="C2771" t="s">
        <v>40</v>
      </c>
      <c r="D2771">
        <v>4.6007119999999997</v>
      </c>
      <c r="E2771">
        <v>0.49217369999999999</v>
      </c>
      <c r="F2771" t="s">
        <v>61</v>
      </c>
      <c r="G2771">
        <v>-375.33510000000001</v>
      </c>
      <c r="H2771" s="1">
        <v>1.302283E-6</v>
      </c>
      <c r="I2771">
        <v>283.51960000000003</v>
      </c>
      <c r="J2771">
        <v>-339.53019999999998</v>
      </c>
      <c r="K2771">
        <v>1.1099589999999999</v>
      </c>
      <c r="L2771">
        <v>283.33190000000002</v>
      </c>
      <c r="M2771">
        <v>-0.999834</v>
      </c>
      <c r="N2771">
        <v>0</v>
      </c>
      <c r="O2771">
        <v>1.094997E-2</v>
      </c>
      <c r="P2771">
        <v>-0.99941860000000005</v>
      </c>
      <c r="Q2771">
        <v>2.30017E-2</v>
      </c>
      <c r="R2771">
        <v>2.5169819999999999E-2</v>
      </c>
      <c r="S2771">
        <v>-3.003479</v>
      </c>
      <c r="T2771">
        <v>-9.2444059999999995E-2</v>
      </c>
      <c r="U2771">
        <v>1.586914E-2</v>
      </c>
      <c r="V2771">
        <v>1.4236449999999999E-2</v>
      </c>
      <c r="W2771">
        <v>3.7554789999999998E-2</v>
      </c>
      <c r="X2771">
        <v>0.99919309999999995</v>
      </c>
      <c r="Y2771">
        <v>-5.6599220000000004E-3</v>
      </c>
      <c r="Z2771">
        <v>-4.2405749999999999E-4</v>
      </c>
      <c r="AA2771">
        <v>0.99998390000000004</v>
      </c>
      <c r="AB2771">
        <v>45</v>
      </c>
      <c r="AC2771">
        <v>-35.804900000000004</v>
      </c>
      <c r="AD2771">
        <v>-1.10995769771699</v>
      </c>
      <c r="AE2771">
        <v>0.187700000000006</v>
      </c>
      <c r="AF2771">
        <v>-0.20421916417859701</v>
      </c>
      <c r="AG2771">
        <v>-1.10995769771699</v>
      </c>
      <c r="AH2771">
        <v>35.770433669709298</v>
      </c>
      <c r="AI2771">
        <v>91.777290627709306</v>
      </c>
      <c r="AJ2771">
        <v>90.327107274831704</v>
      </c>
      <c r="AK2771">
        <v>35.788233212563199</v>
      </c>
      <c r="AL2771">
        <v>87.847762805944996</v>
      </c>
      <c r="AM2771">
        <v>89.183708023037894</v>
      </c>
      <c r="AN2771">
        <v>0.99999994492407596</v>
      </c>
    </row>
    <row r="2772" spans="1:40" x14ac:dyDescent="0.25">
      <c r="A2772" t="str">
        <f>"20190312153940396"</f>
        <v>20190312153940396</v>
      </c>
      <c r="B2772" t="str">
        <f>"1552376380388472"</f>
        <v>1552376380388472</v>
      </c>
      <c r="C2772" t="s">
        <v>40</v>
      </c>
      <c r="D2772">
        <v>4.5833019999999998</v>
      </c>
      <c r="E2772">
        <v>0.49161450000000001</v>
      </c>
      <c r="F2772" t="s">
        <v>61</v>
      </c>
      <c r="G2772">
        <v>-376.77969999999999</v>
      </c>
      <c r="H2772" s="1">
        <v>2.071017E-6</v>
      </c>
      <c r="I2772">
        <v>283.41590000000002</v>
      </c>
      <c r="J2772">
        <v>-339.78089999999997</v>
      </c>
      <c r="K2772">
        <v>1.1099540000000001</v>
      </c>
      <c r="L2772">
        <v>283.3347</v>
      </c>
      <c r="M2772">
        <v>-0.99983330000000004</v>
      </c>
      <c r="N2772">
        <v>0</v>
      </c>
      <c r="O2772">
        <v>1.100804E-2</v>
      </c>
      <c r="P2772">
        <v>-0.99942279999999994</v>
      </c>
      <c r="Q2772">
        <v>2.2794189999999999E-2</v>
      </c>
      <c r="R2772">
        <v>2.5183339999999999E-2</v>
      </c>
      <c r="S2772">
        <v>-3.0036320000000001</v>
      </c>
      <c r="T2772">
        <v>-8.9501979999999995E-2</v>
      </c>
      <c r="U2772">
        <v>6.7749019999999898E-3</v>
      </c>
      <c r="V2772">
        <v>1.419167E-2</v>
      </c>
      <c r="W2772">
        <v>3.7345610000000001E-2</v>
      </c>
      <c r="X2772">
        <v>0.99920169999999997</v>
      </c>
      <c r="Y2772">
        <v>-8.7449799999999994E-3</v>
      </c>
      <c r="Z2772">
        <v>-4.5823430000000001E-4</v>
      </c>
      <c r="AA2772">
        <v>0.99996169999999995</v>
      </c>
      <c r="AB2772">
        <v>44</v>
      </c>
      <c r="AC2772">
        <v>-36.998800000000003</v>
      </c>
      <c r="AD2772">
        <v>-1.109951928983</v>
      </c>
      <c r="AE2772">
        <v>8.1200000000023906E-2</v>
      </c>
      <c r="AF2772">
        <v>-0.32583916264900198</v>
      </c>
      <c r="AG2772">
        <v>-1.109951928983</v>
      </c>
      <c r="AH2772">
        <v>36.964184820679002</v>
      </c>
      <c r="AI2772">
        <v>91.719880721931602</v>
      </c>
      <c r="AJ2772">
        <v>90.505049019058504</v>
      </c>
      <c r="AK2772">
        <v>36.982281215493998</v>
      </c>
      <c r="AL2772">
        <v>87.859756614172895</v>
      </c>
      <c r="AM2772">
        <v>89.186282283139604</v>
      </c>
      <c r="AN2772">
        <v>1.0000000676832701</v>
      </c>
    </row>
    <row r="2773" spans="1:40" x14ac:dyDescent="0.25">
      <c r="A2773" t="str">
        <f>"20190312153940407"</f>
        <v>20190312153940407</v>
      </c>
      <c r="B2773" t="str">
        <f>"1552376380398234"</f>
        <v>1552376380398234</v>
      </c>
      <c r="C2773" t="s">
        <v>40</v>
      </c>
      <c r="D2773">
        <v>4.5770790000000003</v>
      </c>
      <c r="E2773">
        <v>0.49107020000000001</v>
      </c>
      <c r="F2773" t="s">
        <v>61</v>
      </c>
      <c r="G2773">
        <v>-377.14940000000001</v>
      </c>
      <c r="H2773" s="1">
        <v>2.2677669999999998E-6</v>
      </c>
      <c r="I2773">
        <v>283.36309999999997</v>
      </c>
      <c r="J2773">
        <v>-340.005</v>
      </c>
      <c r="K2773">
        <v>1.1099460000000001</v>
      </c>
      <c r="L2773">
        <v>283.3372</v>
      </c>
      <c r="M2773">
        <v>-0.99983290000000002</v>
      </c>
      <c r="N2773">
        <v>0</v>
      </c>
      <c r="O2773">
        <v>1.1059660000000001E-2</v>
      </c>
      <c r="P2773">
        <v>-0.99944160000000004</v>
      </c>
      <c r="Q2773">
        <v>2.2353749999999999E-2</v>
      </c>
      <c r="R2773">
        <v>2.4841849999999999E-2</v>
      </c>
      <c r="S2773">
        <v>-3.0037229999999999</v>
      </c>
      <c r="T2773">
        <v>-8.9219329999999999E-2</v>
      </c>
      <c r="U2773">
        <v>2.2888180000000002E-3</v>
      </c>
      <c r="V2773">
        <v>1.379846E-2</v>
      </c>
      <c r="W2773">
        <v>3.6904359999999997E-2</v>
      </c>
      <c r="X2773">
        <v>0.99922350000000004</v>
      </c>
      <c r="Y2773">
        <v>-1.028946E-2</v>
      </c>
      <c r="Z2773">
        <v>-4.8124080000000002E-4</v>
      </c>
      <c r="AA2773">
        <v>0.99994700000000003</v>
      </c>
      <c r="AB2773">
        <v>44</v>
      </c>
      <c r="AC2773">
        <v>-37.144399999999997</v>
      </c>
      <c r="AD2773">
        <v>-1.1099437322329999</v>
      </c>
      <c r="AE2773">
        <v>2.58999999999787E-2</v>
      </c>
      <c r="AF2773">
        <v>-0.38460611744155199</v>
      </c>
      <c r="AG2773">
        <v>-1.1099437322329999</v>
      </c>
      <c r="AH2773">
        <v>37.1092784406626</v>
      </c>
      <c r="AI2773">
        <v>91.713122096881605</v>
      </c>
      <c r="AJ2773">
        <v>90.593800776159298</v>
      </c>
      <c r="AK2773">
        <v>37.127866129646101</v>
      </c>
      <c r="AL2773">
        <v>87.885055600982398</v>
      </c>
      <c r="AM2773">
        <v>89.208842392278399</v>
      </c>
      <c r="AN2773">
        <v>0.99999996611881503</v>
      </c>
    </row>
    <row r="2774" spans="1:40" x14ac:dyDescent="0.25">
      <c r="A2774" t="str">
        <f>"20190312153940420"</f>
        <v>20190312153940420</v>
      </c>
      <c r="B2774" t="str">
        <f>"1552376380408969"</f>
        <v>1552376380408969</v>
      </c>
      <c r="C2774" t="s">
        <v>40</v>
      </c>
      <c r="D2774">
        <v>4.5997320000000004</v>
      </c>
      <c r="E2774">
        <v>0.49057499999999998</v>
      </c>
      <c r="F2774" t="s">
        <v>61</v>
      </c>
      <c r="G2774">
        <v>-377.21440000000001</v>
      </c>
      <c r="H2774" s="1">
        <v>2.302346E-6</v>
      </c>
      <c r="I2774">
        <v>283.3005</v>
      </c>
      <c r="J2774">
        <v>-340.25650000000002</v>
      </c>
      <c r="K2774">
        <v>1.109937</v>
      </c>
      <c r="L2774">
        <v>283.33999999999997</v>
      </c>
      <c r="M2774">
        <v>-0.99983219999999995</v>
      </c>
      <c r="N2774">
        <v>0</v>
      </c>
      <c r="O2774">
        <v>1.111729E-2</v>
      </c>
      <c r="P2774">
        <v>-0.99946829999999998</v>
      </c>
      <c r="Q2774">
        <v>2.141272E-2</v>
      </c>
      <c r="R2774">
        <v>2.4585610000000001E-2</v>
      </c>
      <c r="S2774">
        <v>-3.003784</v>
      </c>
      <c r="T2774">
        <v>-8.960187E-2</v>
      </c>
      <c r="U2774">
        <v>-2.960205E-3</v>
      </c>
      <c r="V2774">
        <v>1.3483770000000001E-2</v>
      </c>
      <c r="W2774">
        <v>3.5961809999999997E-2</v>
      </c>
      <c r="X2774">
        <v>0.99926219999999999</v>
      </c>
      <c r="Y2774">
        <v>-1.209357E-2</v>
      </c>
      <c r="Z2774">
        <v>-5.1191520000000001E-4</v>
      </c>
      <c r="AA2774">
        <v>0.99992669999999995</v>
      </c>
      <c r="AB2774">
        <v>44</v>
      </c>
      <c r="AC2774">
        <v>-36.957900000000002</v>
      </c>
      <c r="AD2774">
        <v>-1.1099346976540001</v>
      </c>
      <c r="AE2774">
        <v>-3.9499999999975402E-2</v>
      </c>
      <c r="AF2774">
        <v>-0.45000692401255799</v>
      </c>
      <c r="AG2774">
        <v>-1.1099346976540001</v>
      </c>
      <c r="AH2774">
        <v>36.9218748958248</v>
      </c>
      <c r="AI2774">
        <v>91.721762739614505</v>
      </c>
      <c r="AJ2774">
        <v>90.698291215611903</v>
      </c>
      <c r="AK2774">
        <v>36.9412954170215</v>
      </c>
      <c r="AL2774">
        <v>87.939095697544403</v>
      </c>
      <c r="AM2774">
        <v>89.226913388244199</v>
      </c>
      <c r="AN2774">
        <v>1.0000000040903601</v>
      </c>
    </row>
    <row r="2775" spans="1:40" x14ac:dyDescent="0.25">
      <c r="A2775" t="str">
        <f>"20190312153940435"</f>
        <v>20190312153940435</v>
      </c>
      <c r="B2775" t="str">
        <f>"1552376380428489"</f>
        <v>1552376380428489</v>
      </c>
      <c r="C2775" t="s">
        <v>40</v>
      </c>
      <c r="D2775">
        <v>4.5291920000000001</v>
      </c>
      <c r="E2775">
        <v>0.48962349999999999</v>
      </c>
      <c r="F2775" t="s">
        <v>61</v>
      </c>
      <c r="G2775">
        <v>-376.9563</v>
      </c>
      <c r="H2775" s="1">
        <v>2.1650180000000001E-6</v>
      </c>
      <c r="I2775">
        <v>283.24639999999999</v>
      </c>
      <c r="J2775">
        <v>-340.55220000000003</v>
      </c>
      <c r="K2775">
        <v>1.10991</v>
      </c>
      <c r="L2775">
        <v>283.34339999999997</v>
      </c>
      <c r="M2775">
        <v>-0.99983160000000004</v>
      </c>
      <c r="N2775">
        <v>0</v>
      </c>
      <c r="O2775">
        <v>1.118302E-2</v>
      </c>
      <c r="P2775">
        <v>-0.99950119999999998</v>
      </c>
      <c r="Q2775">
        <v>1.9860490000000001E-2</v>
      </c>
      <c r="R2775">
        <v>2.4562400000000002E-2</v>
      </c>
      <c r="S2775">
        <v>-3.0036619999999998</v>
      </c>
      <c r="T2775">
        <v>-9.0841649999999996E-2</v>
      </c>
      <c r="U2775">
        <v>-7.6599119999999996E-3</v>
      </c>
      <c r="V2775">
        <v>1.339399E-2</v>
      </c>
      <c r="W2775">
        <v>3.4409219999999997E-2</v>
      </c>
      <c r="X2775">
        <v>0.99931809999999999</v>
      </c>
      <c r="Y2775">
        <v>-1.37228E-2</v>
      </c>
      <c r="Z2775">
        <v>-5.4563479999999998E-4</v>
      </c>
      <c r="AA2775">
        <v>0.99990570000000001</v>
      </c>
      <c r="AB2775">
        <v>44</v>
      </c>
      <c r="AC2775">
        <v>-36.4040999999999</v>
      </c>
      <c r="AD2775">
        <v>-1.109907834982</v>
      </c>
      <c r="AE2775">
        <v>-9.6999999999980005E-2</v>
      </c>
      <c r="AF2775">
        <v>-0.50367662328539298</v>
      </c>
      <c r="AG2775">
        <v>-1.109907834982</v>
      </c>
      <c r="AH2775">
        <v>36.366933551189398</v>
      </c>
      <c r="AI2775">
        <v>91.747939740557101</v>
      </c>
      <c r="AJ2775">
        <v>90.793487295968504</v>
      </c>
      <c r="AK2775">
        <v>36.387352767955299</v>
      </c>
      <c r="AL2775">
        <v>88.028107726373605</v>
      </c>
      <c r="AM2775">
        <v>89.2321032224432</v>
      </c>
      <c r="AN2775">
        <v>1.00000002918836</v>
      </c>
    </row>
    <row r="2776" spans="1:40" x14ac:dyDescent="0.25">
      <c r="A2776" t="str">
        <f>"20190312153940448"</f>
        <v>20190312153940448</v>
      </c>
      <c r="B2776" t="str">
        <f>"1552376380438249"</f>
        <v>1552376380438249</v>
      </c>
      <c r="C2776" t="s">
        <v>40</v>
      </c>
      <c r="D2776">
        <v>4.5010180000000002</v>
      </c>
      <c r="E2776">
        <v>0.4891935</v>
      </c>
      <c r="F2776" t="s">
        <v>61</v>
      </c>
      <c r="G2776">
        <v>-376.34339999999997</v>
      </c>
      <c r="H2776" s="1">
        <v>1.8388770000000001E-6</v>
      </c>
      <c r="I2776">
        <v>283.16230000000002</v>
      </c>
      <c r="J2776">
        <v>-340.79930000000002</v>
      </c>
      <c r="K2776">
        <v>1.1099019999999999</v>
      </c>
      <c r="L2776">
        <v>283.34609999999998</v>
      </c>
      <c r="M2776">
        <v>-0.99983100000000003</v>
      </c>
      <c r="N2776">
        <v>0</v>
      </c>
      <c r="O2776">
        <v>1.123562E-2</v>
      </c>
      <c r="P2776">
        <v>-0.99952059999999998</v>
      </c>
      <c r="Q2776">
        <v>1.9166559999999999E-2</v>
      </c>
      <c r="R2776">
        <v>2.4326629999999998E-2</v>
      </c>
      <c r="S2776">
        <v>-3.0037229999999999</v>
      </c>
      <c r="T2776">
        <v>-9.3147400000000005E-2</v>
      </c>
      <c r="U2776">
        <v>-1.5197749999999999E-2</v>
      </c>
      <c r="V2776">
        <v>1.310501E-2</v>
      </c>
      <c r="W2776">
        <v>3.3713930000000003E-2</v>
      </c>
      <c r="X2776">
        <v>0.99934559999999995</v>
      </c>
      <c r="Y2776">
        <v>-1.6282689999999999E-2</v>
      </c>
      <c r="Z2776">
        <v>-6.0077779999999999E-4</v>
      </c>
      <c r="AA2776">
        <v>0.99986730000000001</v>
      </c>
      <c r="AB2776">
        <v>44</v>
      </c>
      <c r="AC2776">
        <v>-35.544099999999901</v>
      </c>
      <c r="AD2776">
        <v>-1.1099001611229999</v>
      </c>
      <c r="AE2776">
        <v>-0.18379999999996199</v>
      </c>
      <c r="AF2776">
        <v>-0.58262260336313298</v>
      </c>
      <c r="AG2776">
        <v>-1.1099001611229999</v>
      </c>
      <c r="AH2776">
        <v>35.505171737641902</v>
      </c>
      <c r="AI2776">
        <v>91.790255838358703</v>
      </c>
      <c r="AJ2776">
        <v>90.9401115051039</v>
      </c>
      <c r="AK2776">
        <v>35.527292995457103</v>
      </c>
      <c r="AL2776">
        <v>88.067967980284394</v>
      </c>
      <c r="AM2776">
        <v>89.248689615535994</v>
      </c>
      <c r="AN2776">
        <v>0.99999999930125205</v>
      </c>
    </row>
    <row r="2777" spans="1:40" x14ac:dyDescent="0.25">
      <c r="A2777" t="str">
        <f>"20190312153940468"</f>
        <v>20190312153940468</v>
      </c>
      <c r="B2777" t="str">
        <f>"1552376380458745"</f>
        <v>1552376380458745</v>
      </c>
      <c r="C2777" t="s">
        <v>40</v>
      </c>
      <c r="D2777">
        <v>4.5390499999999996</v>
      </c>
      <c r="E2777">
        <v>0.48835770000000001</v>
      </c>
      <c r="F2777" t="s">
        <v>61</v>
      </c>
      <c r="G2777">
        <v>-375.80169999999998</v>
      </c>
      <c r="H2777" s="1">
        <v>1.5505940000000001E-6</v>
      </c>
      <c r="I2777">
        <v>283.1207</v>
      </c>
      <c r="J2777">
        <v>-341.20600000000002</v>
      </c>
      <c r="K2777">
        <v>1.1098950000000001</v>
      </c>
      <c r="L2777">
        <v>283.35079999999999</v>
      </c>
      <c r="M2777">
        <v>-0.9998302</v>
      </c>
      <c r="N2777">
        <v>0</v>
      </c>
      <c r="O2777">
        <v>1.131601E-2</v>
      </c>
      <c r="P2777">
        <v>-0.99953510000000001</v>
      </c>
      <c r="Q2777">
        <v>1.8243909999999999E-2</v>
      </c>
      <c r="R2777">
        <v>2.4440360000000001E-2</v>
      </c>
      <c r="S2777">
        <v>-3.0036930000000002</v>
      </c>
      <c r="T2777">
        <v>-9.5244880000000004E-2</v>
      </c>
      <c r="U2777">
        <v>-1.934814E-2</v>
      </c>
      <c r="V2777">
        <v>1.31375E-2</v>
      </c>
      <c r="W2777">
        <v>3.278938E-2</v>
      </c>
      <c r="X2777">
        <v>0.99937589999999998</v>
      </c>
      <c r="Y2777">
        <v>-1.7743269999999998E-2</v>
      </c>
      <c r="Z2777">
        <v>-6.4000349999999897E-4</v>
      </c>
      <c r="AA2777">
        <v>0.99984229999999996</v>
      </c>
      <c r="AB2777">
        <v>44</v>
      </c>
      <c r="AC2777">
        <v>-34.595700000000001</v>
      </c>
      <c r="AD2777">
        <v>-1.109893449406</v>
      </c>
      <c r="AE2777">
        <v>-0.230099999999993</v>
      </c>
      <c r="AF2777">
        <v>-0.62097285675411795</v>
      </c>
      <c r="AG2777">
        <v>-1.109893449406</v>
      </c>
      <c r="AH2777">
        <v>34.555316067955403</v>
      </c>
      <c r="AI2777">
        <v>91.8393725705576</v>
      </c>
      <c r="AJ2777">
        <v>91.029517271323002</v>
      </c>
      <c r="AK2777">
        <v>34.578712227527397</v>
      </c>
      <c r="AL2777">
        <v>88.120970037327893</v>
      </c>
      <c r="AM2777">
        <v>89.246850010499102</v>
      </c>
      <c r="AN2777">
        <v>0.99999996342392095</v>
      </c>
    </row>
    <row r="2778" spans="1:40" x14ac:dyDescent="0.25">
      <c r="A2778" t="str">
        <f>"20190312153940480"</f>
        <v>20190312153940480</v>
      </c>
      <c r="B2778" t="str">
        <f>"1552376380468505"</f>
        <v>1552376380468505</v>
      </c>
      <c r="C2778" t="s">
        <v>40</v>
      </c>
      <c r="D2778">
        <v>4.5511949999999999</v>
      </c>
      <c r="E2778">
        <v>0.48792580000000002</v>
      </c>
      <c r="F2778" t="s">
        <v>61</v>
      </c>
      <c r="G2778">
        <v>-375.29820000000001</v>
      </c>
      <c r="H2778" s="1">
        <v>1.28266E-6</v>
      </c>
      <c r="I2778">
        <v>283.05849999999998</v>
      </c>
      <c r="J2778">
        <v>-341.4409</v>
      </c>
      <c r="K2778">
        <v>1.109893</v>
      </c>
      <c r="L2778">
        <v>283.3535</v>
      </c>
      <c r="M2778">
        <v>-0.99982959999999999</v>
      </c>
      <c r="N2778">
        <v>0</v>
      </c>
      <c r="O2778">
        <v>1.135803E-2</v>
      </c>
      <c r="P2778">
        <v>-0.99953639999999999</v>
      </c>
      <c r="Q2778">
        <v>1.7901509999999999E-2</v>
      </c>
      <c r="R2778">
        <v>2.462843E-2</v>
      </c>
      <c r="S2778">
        <v>-3.003784</v>
      </c>
      <c r="T2778">
        <v>-9.7790119999999994E-2</v>
      </c>
      <c r="U2778">
        <v>-2.575684E-2</v>
      </c>
      <c r="V2778">
        <v>1.3283029999999999E-2</v>
      </c>
      <c r="W2778">
        <v>3.2446240000000001E-2</v>
      </c>
      <c r="X2778">
        <v>0.99938519999999997</v>
      </c>
      <c r="Y2778">
        <v>-1.991617E-2</v>
      </c>
      <c r="Z2778">
        <v>-6.9380089999999896E-4</v>
      </c>
      <c r="AA2778">
        <v>0.99980139999999995</v>
      </c>
      <c r="AB2778">
        <v>44</v>
      </c>
      <c r="AC2778">
        <v>-33.857300000000002</v>
      </c>
      <c r="AD2778">
        <v>-1.10989171734</v>
      </c>
      <c r="AE2778">
        <v>-0.29500000000001497</v>
      </c>
      <c r="AF2778">
        <v>-0.67884447303861795</v>
      </c>
      <c r="AG2778">
        <v>-1.10989171734</v>
      </c>
      <c r="AH2778">
        <v>33.815428499397299</v>
      </c>
      <c r="AI2778">
        <v>91.879511711428805</v>
      </c>
      <c r="AJ2778">
        <v>91.150057866660703</v>
      </c>
      <c r="AK2778">
        <v>33.840447604023304</v>
      </c>
      <c r="AL2778">
        <v>88.1406410239927</v>
      </c>
      <c r="AM2778">
        <v>89.238515091555598</v>
      </c>
      <c r="AN2778">
        <v>0.99999998767757903</v>
      </c>
    </row>
    <row r="2779" spans="1:40" x14ac:dyDescent="0.25">
      <c r="A2779" t="str">
        <f>"20190312153940491"</f>
        <v>20190312153940491</v>
      </c>
      <c r="B2779" t="str">
        <f>"1552376380488026"</f>
        <v>1552376380488026</v>
      </c>
      <c r="C2779" t="s">
        <v>40</v>
      </c>
      <c r="D2779">
        <v>4.453665</v>
      </c>
      <c r="E2779">
        <v>0.48710700000000001</v>
      </c>
      <c r="F2779" t="s">
        <v>61</v>
      </c>
      <c r="G2779">
        <v>-375.2595</v>
      </c>
      <c r="H2779" s="1">
        <v>1.2620289999999999E-6</v>
      </c>
      <c r="I2779">
        <v>283.02879999999999</v>
      </c>
      <c r="J2779">
        <v>-341.68079999999998</v>
      </c>
      <c r="K2779">
        <v>1.1098920000000001</v>
      </c>
      <c r="L2779">
        <v>283.3562</v>
      </c>
      <c r="M2779">
        <v>-0.99982919999999997</v>
      </c>
      <c r="N2779">
        <v>0</v>
      </c>
      <c r="O2779">
        <v>1.139566E-2</v>
      </c>
      <c r="P2779">
        <v>-0.99952929999999995</v>
      </c>
      <c r="Q2779">
        <v>1.8002779999999999E-2</v>
      </c>
      <c r="R2779">
        <v>2.484074E-2</v>
      </c>
      <c r="S2779">
        <v>-3.003876</v>
      </c>
      <c r="T2779">
        <v>-9.8584409999999997E-2</v>
      </c>
      <c r="U2779">
        <v>-2.8839110000000001E-2</v>
      </c>
      <c r="V2779">
        <v>1.345736E-2</v>
      </c>
      <c r="W2779">
        <v>3.2545369999999997E-2</v>
      </c>
      <c r="X2779">
        <v>0.99937960000000003</v>
      </c>
      <c r="Y2779">
        <v>-2.0978489999999999E-2</v>
      </c>
      <c r="Z2779">
        <v>-7.1807109999999996E-4</v>
      </c>
      <c r="AA2779">
        <v>0.99977959999999999</v>
      </c>
      <c r="AB2779">
        <v>44</v>
      </c>
      <c r="AC2779">
        <v>-33.578699999999998</v>
      </c>
      <c r="AD2779">
        <v>-1.1098907379709999</v>
      </c>
      <c r="AE2779">
        <v>-0.32740000000001102</v>
      </c>
      <c r="AF2779">
        <v>-0.70929584482462205</v>
      </c>
      <c r="AG2779">
        <v>-1.1098907379709999</v>
      </c>
      <c r="AH2779">
        <v>33.536152137884201</v>
      </c>
      <c r="AI2779">
        <v>91.895108582481797</v>
      </c>
      <c r="AJ2779">
        <v>91.211635729979093</v>
      </c>
      <c r="AK2779">
        <v>33.562009151137403</v>
      </c>
      <c r="AL2779">
        <v>88.134958209237894</v>
      </c>
      <c r="AM2779">
        <v>89.228518039794494</v>
      </c>
      <c r="AN2779">
        <v>0.99999994327138098</v>
      </c>
    </row>
    <row r="2780" spans="1:40" x14ac:dyDescent="0.25">
      <c r="A2780" t="str">
        <f>"20190312153940504"</f>
        <v>20190312153940504</v>
      </c>
      <c r="B2780" t="str">
        <f>"1552376380498761"</f>
        <v>1552376380498761</v>
      </c>
      <c r="C2780" t="s">
        <v>40</v>
      </c>
      <c r="D2780">
        <v>4.4139839999999904</v>
      </c>
      <c r="E2780">
        <v>0.48670829999999998</v>
      </c>
      <c r="F2780" t="s">
        <v>61</v>
      </c>
      <c r="G2780">
        <v>-375.65789999999998</v>
      </c>
      <c r="H2780" s="1">
        <v>1.47407E-6</v>
      </c>
      <c r="I2780">
        <v>282.9665</v>
      </c>
      <c r="J2780">
        <v>-341.90899999999999</v>
      </c>
      <c r="K2780">
        <v>1.109893</v>
      </c>
      <c r="L2780">
        <v>283.35890000000001</v>
      </c>
      <c r="M2780">
        <v>-0.99982879999999996</v>
      </c>
      <c r="N2780">
        <v>0</v>
      </c>
      <c r="O2780">
        <v>1.142673E-2</v>
      </c>
      <c r="P2780">
        <v>-0.99952890000000005</v>
      </c>
      <c r="Q2780">
        <v>1.8010399999999999E-2</v>
      </c>
      <c r="R2780">
        <v>2.4852530000000001E-2</v>
      </c>
      <c r="S2780">
        <v>-3.0040279999999999</v>
      </c>
      <c r="T2780">
        <v>-9.8129030000000006E-2</v>
      </c>
      <c r="U2780">
        <v>-3.4454350000000002E-2</v>
      </c>
      <c r="V2780">
        <v>1.3437620000000001E-2</v>
      </c>
      <c r="W2780">
        <v>3.2552039999999997E-2</v>
      </c>
      <c r="X2780">
        <v>0.99937969999999998</v>
      </c>
      <c r="Y2780">
        <v>-2.2876770000000001E-2</v>
      </c>
      <c r="Z2780">
        <v>-7.4672369999999896E-4</v>
      </c>
      <c r="AA2780">
        <v>0.99973800000000002</v>
      </c>
      <c r="AB2780">
        <v>44</v>
      </c>
      <c r="AC2780">
        <v>-33.7488999999999</v>
      </c>
      <c r="AD2780">
        <v>-1.10989152593</v>
      </c>
      <c r="AE2780">
        <v>-0.39240000000000902</v>
      </c>
      <c r="AF2780">
        <v>-0.777214316509522</v>
      </c>
      <c r="AG2780">
        <v>-1.10989152593</v>
      </c>
      <c r="AH2780">
        <v>33.705762698548803</v>
      </c>
      <c r="AI2780">
        <v>91.885501004846205</v>
      </c>
      <c r="AJ2780">
        <v>91.320937624611403</v>
      </c>
      <c r="AK2780">
        <v>33.732986235790101</v>
      </c>
      <c r="AL2780">
        <v>88.134575940031496</v>
      </c>
      <c r="AM2780">
        <v>89.229649632803401</v>
      </c>
      <c r="AN2780">
        <v>0.99999999485575697</v>
      </c>
    </row>
    <row r="2781" spans="1:40" x14ac:dyDescent="0.25">
      <c r="A2781" t="str">
        <f>"20190312153940515"</f>
        <v>20190312153940515</v>
      </c>
      <c r="B2781" t="str">
        <f>"1552376380508521"</f>
        <v>1552376380508521</v>
      </c>
      <c r="C2781" t="s">
        <v>40</v>
      </c>
      <c r="D2781">
        <v>4.4179089999999999</v>
      </c>
      <c r="E2781">
        <v>0.48637000000000002</v>
      </c>
      <c r="F2781" t="s">
        <v>61</v>
      </c>
      <c r="G2781">
        <v>-375.77510000000001</v>
      </c>
      <c r="H2781" s="1">
        <v>1.5364429999999999E-6</v>
      </c>
      <c r="I2781">
        <v>282.93329999999997</v>
      </c>
      <c r="J2781">
        <v>-342.1395</v>
      </c>
      <c r="K2781">
        <v>1.1098980000000001</v>
      </c>
      <c r="L2781">
        <v>283.36149999999998</v>
      </c>
      <c r="M2781">
        <v>-0.99982859999999996</v>
      </c>
      <c r="N2781">
        <v>0</v>
      </c>
      <c r="O2781">
        <v>1.145439E-2</v>
      </c>
      <c r="P2781">
        <v>-0.99952129999999995</v>
      </c>
      <c r="Q2781">
        <v>1.784001E-2</v>
      </c>
      <c r="R2781">
        <v>2.5284549999999999E-2</v>
      </c>
      <c r="S2781">
        <v>-3.004089</v>
      </c>
      <c r="T2781">
        <v>-9.8452689999999995E-2</v>
      </c>
      <c r="U2781">
        <v>-3.7750239999999997E-2</v>
      </c>
      <c r="V2781">
        <v>1.384136E-2</v>
      </c>
      <c r="W2781">
        <v>3.2380470000000001E-2</v>
      </c>
      <c r="X2781">
        <v>0.99937980000000004</v>
      </c>
      <c r="Y2781">
        <v>-2.4000130000000001E-2</v>
      </c>
      <c r="Z2781">
        <v>-7.6847410000000004E-4</v>
      </c>
      <c r="AA2781">
        <v>0.99971160000000003</v>
      </c>
      <c r="AB2781">
        <v>44</v>
      </c>
      <c r="AC2781">
        <v>-33.635599999999997</v>
      </c>
      <c r="AD2781">
        <v>-1.1098964635569999</v>
      </c>
      <c r="AE2781">
        <v>-0.42820000000000302</v>
      </c>
      <c r="AF2781">
        <v>-0.81260328848597696</v>
      </c>
      <c r="AG2781">
        <v>-1.1098964635569999</v>
      </c>
      <c r="AH2781">
        <v>33.5919171177161</v>
      </c>
      <c r="AI2781">
        <v>91.891844373170798</v>
      </c>
      <c r="AJ2781">
        <v>91.3857399137149</v>
      </c>
      <c r="AK2781">
        <v>33.6200697487049</v>
      </c>
      <c r="AL2781">
        <v>88.144411429674804</v>
      </c>
      <c r="AM2781">
        <v>89.206507067132904</v>
      </c>
      <c r="AN2781">
        <v>1.00000003136605</v>
      </c>
    </row>
    <row r="2782" spans="1:40" x14ac:dyDescent="0.25">
      <c r="A2782" t="str">
        <f>"20190312153940528"</f>
        <v>20190312153940528</v>
      </c>
      <c r="B2782" t="str">
        <f>"1552376380518281"</f>
        <v>1552376380518281</v>
      </c>
      <c r="C2782" t="s">
        <v>40</v>
      </c>
      <c r="D2782">
        <v>4.3927750000000003</v>
      </c>
      <c r="E2782">
        <v>0.4860255</v>
      </c>
      <c r="F2782" t="s">
        <v>61</v>
      </c>
      <c r="G2782">
        <v>-375.89389999999997</v>
      </c>
      <c r="H2782" s="1">
        <v>1.5996699999999999E-6</v>
      </c>
      <c r="I2782">
        <v>282.92259999999999</v>
      </c>
      <c r="J2782">
        <v>-342.3845</v>
      </c>
      <c r="K2782">
        <v>1.109901</v>
      </c>
      <c r="L2782">
        <v>283.36430000000001</v>
      </c>
      <c r="M2782">
        <v>-0.99982839999999995</v>
      </c>
      <c r="N2782">
        <v>0</v>
      </c>
      <c r="O2782">
        <v>1.1477080000000001E-2</v>
      </c>
      <c r="P2782">
        <v>-0.99951760000000001</v>
      </c>
      <c r="Q2782">
        <v>1.7375950000000001E-2</v>
      </c>
      <c r="R2782">
        <v>2.5749629999999999E-2</v>
      </c>
      <c r="S2782">
        <v>-3.0041500000000001</v>
      </c>
      <c r="T2782">
        <v>-9.8780870000000007E-2</v>
      </c>
      <c r="U2782">
        <v>-3.90625E-2</v>
      </c>
      <c r="V2782">
        <v>1.4282960000000001E-2</v>
      </c>
      <c r="W2782">
        <v>3.191484E-2</v>
      </c>
      <c r="X2782">
        <v>0.99938850000000001</v>
      </c>
      <c r="Y2782">
        <v>-2.4458799999999999E-2</v>
      </c>
      <c r="Z2782">
        <v>-7.7930100000000004E-4</v>
      </c>
      <c r="AA2782">
        <v>0.99970049999999999</v>
      </c>
      <c r="AB2782">
        <v>44</v>
      </c>
      <c r="AC2782">
        <v>-33.5093999999999</v>
      </c>
      <c r="AD2782">
        <v>-1.10989940033</v>
      </c>
      <c r="AE2782">
        <v>-0.44170000000002502</v>
      </c>
      <c r="AF2782">
        <v>-0.82539627369679502</v>
      </c>
      <c r="AG2782">
        <v>-1.10989940033</v>
      </c>
      <c r="AH2782">
        <v>33.465415022377798</v>
      </c>
      <c r="AI2782">
        <v>91.898973554411299</v>
      </c>
      <c r="AJ2782">
        <v>91.412865696262102</v>
      </c>
      <c r="AK2782">
        <v>33.493986897762397</v>
      </c>
      <c r="AL2782">
        <v>88.171103741536299</v>
      </c>
      <c r="AM2782">
        <v>89.181201688001707</v>
      </c>
      <c r="AN2782">
        <v>0.99999996694541804</v>
      </c>
    </row>
    <row r="2783" spans="1:40" x14ac:dyDescent="0.25">
      <c r="A2783" t="str">
        <f>"20190312153940539"</f>
        <v>20190312153940539</v>
      </c>
      <c r="B2783" t="str">
        <f>"1552376380528042"</f>
        <v>1552376380528042</v>
      </c>
      <c r="C2783" t="s">
        <v>40</v>
      </c>
      <c r="D2783">
        <v>4.3783219999999998</v>
      </c>
      <c r="E2783">
        <v>0.48566670000000001</v>
      </c>
      <c r="F2783" t="s">
        <v>61</v>
      </c>
      <c r="G2783">
        <v>-375.69099999999997</v>
      </c>
      <c r="H2783" s="1">
        <v>1.491667E-6</v>
      </c>
      <c r="I2783">
        <v>282.91340000000002</v>
      </c>
      <c r="J2783">
        <v>-342.61450000000002</v>
      </c>
      <c r="K2783">
        <v>1.1099049999999999</v>
      </c>
      <c r="L2783">
        <v>283.36700000000002</v>
      </c>
      <c r="M2783">
        <v>-0.9998281</v>
      </c>
      <c r="N2783">
        <v>0</v>
      </c>
      <c r="O2783">
        <v>1.149621E-2</v>
      </c>
      <c r="P2783">
        <v>-0.99952580000000002</v>
      </c>
      <c r="Q2783">
        <v>1.6913640000000001E-2</v>
      </c>
      <c r="R2783">
        <v>2.5736579999999998E-2</v>
      </c>
      <c r="S2783">
        <v>-3.0042420000000001</v>
      </c>
      <c r="T2783">
        <v>-0.1001129</v>
      </c>
      <c r="U2783">
        <v>-4.0679930000000003E-2</v>
      </c>
      <c r="V2783">
        <v>1.425002E-2</v>
      </c>
      <c r="W2783">
        <v>3.1451590000000001E-2</v>
      </c>
      <c r="X2783">
        <v>0.99940370000000001</v>
      </c>
      <c r="Y2783">
        <v>-2.50148E-2</v>
      </c>
      <c r="Z2783">
        <v>-7.9967570000000004E-4</v>
      </c>
      <c r="AA2783">
        <v>0.99968679999999999</v>
      </c>
      <c r="AB2783">
        <v>44</v>
      </c>
      <c r="AC2783">
        <v>-33.076499999999903</v>
      </c>
      <c r="AD2783">
        <v>-1.109903508333</v>
      </c>
      <c r="AE2783">
        <v>-0.45359999999999401</v>
      </c>
      <c r="AF2783">
        <v>-0.83292696272920896</v>
      </c>
      <c r="AG2783">
        <v>-1.109903508333</v>
      </c>
      <c r="AH2783">
        <v>33.031912153450797</v>
      </c>
      <c r="AI2783">
        <v>91.923857301351006</v>
      </c>
      <c r="AJ2783">
        <v>91.444454335635598</v>
      </c>
      <c r="AK2783">
        <v>33.061047679048897</v>
      </c>
      <c r="AL2783">
        <v>88.197659423130503</v>
      </c>
      <c r="AM2783">
        <v>89.183102203784102</v>
      </c>
      <c r="AN2783">
        <v>1.0000000105786</v>
      </c>
    </row>
    <row r="2784" spans="1:40" x14ac:dyDescent="0.25">
      <c r="A2784" t="str">
        <f>"20190312153940552"</f>
        <v>20190312153940552</v>
      </c>
      <c r="B2784" t="str">
        <f>"1552376380548539"</f>
        <v>1552376380548539</v>
      </c>
      <c r="C2784" t="s">
        <v>40</v>
      </c>
      <c r="D2784">
        <v>4.3338479999999997</v>
      </c>
      <c r="E2784">
        <v>0.46143529999999999</v>
      </c>
      <c r="F2784" t="s">
        <v>61</v>
      </c>
      <c r="G2784">
        <v>-375.47559999999999</v>
      </c>
      <c r="H2784" s="1">
        <v>1.377048E-6</v>
      </c>
      <c r="I2784">
        <v>282.89060000000001</v>
      </c>
      <c r="J2784">
        <v>-342.8725</v>
      </c>
      <c r="K2784">
        <v>1.109909</v>
      </c>
      <c r="L2784">
        <v>283.36989999999997</v>
      </c>
      <c r="M2784">
        <v>-0.99982800000000005</v>
      </c>
      <c r="N2784">
        <v>0</v>
      </c>
      <c r="O2784">
        <v>1.151169E-2</v>
      </c>
      <c r="P2784">
        <v>-0.99951829999999997</v>
      </c>
      <c r="Q2784">
        <v>1.683163E-2</v>
      </c>
      <c r="R2784">
        <v>2.6075790000000001E-2</v>
      </c>
      <c r="S2784">
        <v>-3.0042719999999998</v>
      </c>
      <c r="T2784">
        <v>-0.1014712</v>
      </c>
      <c r="U2784">
        <v>-4.3548580000000003E-2</v>
      </c>
      <c r="V2784">
        <v>1.457311E-2</v>
      </c>
      <c r="W2784">
        <v>3.1368180000000002E-2</v>
      </c>
      <c r="X2784">
        <v>0.9994016</v>
      </c>
      <c r="Y2784">
        <v>-2.598338E-2</v>
      </c>
      <c r="Z2784">
        <v>-8.2738050000000002E-4</v>
      </c>
      <c r="AA2784">
        <v>0.99966200000000005</v>
      </c>
      <c r="AB2784">
        <v>44</v>
      </c>
      <c r="AC2784">
        <v>-32.603099999999898</v>
      </c>
      <c r="AD2784">
        <v>-1.109907622952</v>
      </c>
      <c r="AE2784">
        <v>-0.47929999999996598</v>
      </c>
      <c r="AF2784">
        <v>-0.85363561408210897</v>
      </c>
      <c r="AG2784">
        <v>-1.109907622952</v>
      </c>
      <c r="AH2784">
        <v>32.557697246134502</v>
      </c>
      <c r="AI2784">
        <v>91.951814414049295</v>
      </c>
      <c r="AJ2784">
        <v>91.501903362707395</v>
      </c>
      <c r="AK2784">
        <v>32.587792786012301</v>
      </c>
      <c r="AL2784">
        <v>88.202440711026199</v>
      </c>
      <c r="AM2784">
        <v>89.164581561094906</v>
      </c>
      <c r="AN2784">
        <v>0.99999994816707005</v>
      </c>
    </row>
    <row r="2785" spans="1:40" x14ac:dyDescent="0.25">
      <c r="A2785" t="str">
        <f>"20190312153940569"</f>
        <v>20190312153940569</v>
      </c>
      <c r="B2785" t="str">
        <f>"1552376380558298"</f>
        <v>1552376380558298</v>
      </c>
      <c r="C2785" t="s">
        <v>40</v>
      </c>
      <c r="D2785">
        <v>4.2423409999999997</v>
      </c>
      <c r="E2785">
        <v>0.45949570000000001</v>
      </c>
      <c r="F2785" t="s">
        <v>61</v>
      </c>
      <c r="G2785">
        <v>-388.75069999999999</v>
      </c>
      <c r="H2785" s="1">
        <v>3.1199080000000002E-6</v>
      </c>
      <c r="I2785">
        <v>279.79149999999998</v>
      </c>
      <c r="J2785">
        <v>-343.19990000000001</v>
      </c>
      <c r="K2785">
        <v>1.1099030000000001</v>
      </c>
      <c r="L2785">
        <v>283.37369999999999</v>
      </c>
      <c r="M2785">
        <v>-0.99982780000000004</v>
      </c>
      <c r="N2785">
        <v>0</v>
      </c>
      <c r="O2785">
        <v>1.152626E-2</v>
      </c>
      <c r="P2785">
        <v>-0.99951069999999997</v>
      </c>
      <c r="Q2785">
        <v>1.6619930000000002E-2</v>
      </c>
      <c r="R2785">
        <v>2.649905E-2</v>
      </c>
      <c r="S2785">
        <v>-3.0087890000000002</v>
      </c>
      <c r="T2785">
        <v>-7.2789909999999999E-2</v>
      </c>
      <c r="U2785">
        <v>-0.23468020000000001</v>
      </c>
      <c r="V2785">
        <v>1.4981080000000001E-2</v>
      </c>
      <c r="W2785">
        <v>3.1154660000000001E-2</v>
      </c>
      <c r="X2785">
        <v>0.99940229999999997</v>
      </c>
      <c r="Y2785">
        <v>-8.9220140000000003E-2</v>
      </c>
      <c r="Z2785">
        <v>-1.3558729999999901E-3</v>
      </c>
      <c r="AA2785">
        <v>0.99601099999999998</v>
      </c>
      <c r="AB2785">
        <v>44</v>
      </c>
      <c r="AC2785">
        <v>-45.550799999999903</v>
      </c>
      <c r="AD2785">
        <v>-1.1098998800919999</v>
      </c>
      <c r="AE2785">
        <v>-3.5821999999999998</v>
      </c>
      <c r="AF2785">
        <v>-4.1046258991906903</v>
      </c>
      <c r="AG2785">
        <v>-1.1098998800919999</v>
      </c>
      <c r="AH2785">
        <v>45.479643876793098</v>
      </c>
      <c r="AI2785">
        <v>91.392330360701493</v>
      </c>
      <c r="AJ2785">
        <v>95.157083110461599</v>
      </c>
      <c r="AK2785">
        <v>45.677979800731698</v>
      </c>
      <c r="AL2785">
        <v>88.214680583917598</v>
      </c>
      <c r="AM2785">
        <v>89.141198320003397</v>
      </c>
      <c r="AN2785">
        <v>1.00000000142148</v>
      </c>
    </row>
    <row r="2786" spans="1:40" x14ac:dyDescent="0.25">
      <c r="A2786" t="str">
        <f>"20190312153940581"</f>
        <v>20190312153940581</v>
      </c>
      <c r="B2786" t="str">
        <f>"1552376380578793"</f>
        <v>1552376380578793</v>
      </c>
      <c r="C2786" t="s">
        <v>40</v>
      </c>
      <c r="D2786">
        <v>4.2836509999999999</v>
      </c>
      <c r="E2786">
        <v>0.45772400000000002</v>
      </c>
      <c r="F2786" t="s">
        <v>62</v>
      </c>
      <c r="G2786">
        <v>-409.20429999999999</v>
      </c>
      <c r="H2786">
        <v>8.0001180000000005E-2</v>
      </c>
      <c r="I2786">
        <v>277.9357</v>
      </c>
      <c r="J2786">
        <v>-343.44690000000003</v>
      </c>
      <c r="K2786">
        <v>1.1099019999999999</v>
      </c>
      <c r="L2786">
        <v>283.3766</v>
      </c>
      <c r="M2786">
        <v>-0.99982780000000004</v>
      </c>
      <c r="N2786">
        <v>0</v>
      </c>
      <c r="O2786">
        <v>1.15339E-2</v>
      </c>
      <c r="P2786">
        <v>-0.999498</v>
      </c>
      <c r="Q2786">
        <v>1.6358919999999999E-2</v>
      </c>
      <c r="R2786">
        <v>2.7131579999999999E-2</v>
      </c>
      <c r="S2786">
        <v>-3.0088499999999998</v>
      </c>
      <c r="T2786">
        <v>-4.6948669999999998E-2</v>
      </c>
      <c r="U2786">
        <v>-0.24789430000000001</v>
      </c>
      <c r="V2786">
        <v>1.560548E-2</v>
      </c>
      <c r="W2786">
        <v>3.0892530000000001E-2</v>
      </c>
      <c r="X2786">
        <v>0.99940090000000004</v>
      </c>
      <c r="Y2786">
        <v>-9.3588190000000002E-2</v>
      </c>
      <c r="Z2786">
        <v>-9.0856559999999995E-4</v>
      </c>
      <c r="AA2786">
        <v>0.99561060000000001</v>
      </c>
      <c r="AB2786">
        <v>44</v>
      </c>
      <c r="AC2786">
        <v>-65.757399999999905</v>
      </c>
      <c r="AD2786">
        <v>-1.0299008199999999</v>
      </c>
      <c r="AE2786">
        <v>-5.4408999999999903</v>
      </c>
      <c r="AF2786">
        <v>-6.1975475053350104</v>
      </c>
      <c r="AG2786">
        <v>-1.0299008199999999</v>
      </c>
      <c r="AH2786">
        <v>65.674263118094899</v>
      </c>
      <c r="AI2786">
        <v>90.894462915772905</v>
      </c>
      <c r="AJ2786">
        <v>95.390922142667407</v>
      </c>
      <c r="AK2786">
        <v>65.974079204522994</v>
      </c>
      <c r="AL2786">
        <v>88.229706790863403</v>
      </c>
      <c r="AM2786">
        <v>89.105408568056703</v>
      </c>
      <c r="AN2786">
        <v>1.00000001916832</v>
      </c>
    </row>
    <row r="2787" spans="1:40" x14ac:dyDescent="0.25">
      <c r="A2787" t="str">
        <f>"20190312153940593"</f>
        <v>20190312153940593</v>
      </c>
      <c r="B2787" t="str">
        <f>"1552376380588553"</f>
        <v>1552376380588553</v>
      </c>
      <c r="C2787" t="s">
        <v>40</v>
      </c>
      <c r="D2787">
        <v>4.2372069999999997</v>
      </c>
      <c r="E2787">
        <v>0.45727020000000002</v>
      </c>
      <c r="F2787" t="s">
        <v>61</v>
      </c>
      <c r="G2787">
        <v>-441.32749999999999</v>
      </c>
      <c r="H2787">
        <v>8.0001500000000003E-2</v>
      </c>
      <c r="I2787">
        <v>274.94459999999998</v>
      </c>
      <c r="J2787">
        <v>-343.6902</v>
      </c>
      <c r="K2787">
        <v>1.1099019999999999</v>
      </c>
      <c r="L2787">
        <v>283.37939999999998</v>
      </c>
      <c r="M2787">
        <v>-0.99982789999999999</v>
      </c>
      <c r="N2787">
        <v>0</v>
      </c>
      <c r="O2787">
        <v>1.1537789999999999E-2</v>
      </c>
      <c r="P2787">
        <v>-0.99949100000000002</v>
      </c>
      <c r="Q2787">
        <v>1.5985610000000001E-2</v>
      </c>
      <c r="R2787">
        <v>2.7618920000000002E-2</v>
      </c>
      <c r="S2787">
        <v>-3.009064</v>
      </c>
      <c r="T2787">
        <v>-3.1661389999999998E-2</v>
      </c>
      <c r="U2787">
        <v>-0.25921630000000001</v>
      </c>
      <c r="V2787">
        <v>1.608863E-2</v>
      </c>
      <c r="W2787">
        <v>3.0517909999999999E-2</v>
      </c>
      <c r="X2787">
        <v>0.99940469999999904</v>
      </c>
      <c r="Y2787">
        <v>-9.7312040000000002E-2</v>
      </c>
      <c r="Z2787">
        <v>-6.3219749999999999E-4</v>
      </c>
      <c r="AA2787">
        <v>0.99525370000000002</v>
      </c>
      <c r="AB2787">
        <v>44</v>
      </c>
      <c r="AC2787">
        <v>-97.637299999999897</v>
      </c>
      <c r="AD2787">
        <v>-1.0299005000000001</v>
      </c>
      <c r="AE2787">
        <v>-8.4347999999999903</v>
      </c>
      <c r="AF2787">
        <v>-9.5598202031311299</v>
      </c>
      <c r="AG2787">
        <v>-1.0299005000000001</v>
      </c>
      <c r="AH2787">
        <v>97.522699928347706</v>
      </c>
      <c r="AI2787">
        <v>90.602170590294406</v>
      </c>
      <c r="AJ2787">
        <v>95.598624268063006</v>
      </c>
      <c r="AK2787">
        <v>97.995550198315797</v>
      </c>
      <c r="AL2787">
        <v>88.251180976030994</v>
      </c>
      <c r="AM2787">
        <v>89.077719987012301</v>
      </c>
      <c r="AN2787">
        <v>0.99999997061406698</v>
      </c>
    </row>
    <row r="2788" spans="1:40" x14ac:dyDescent="0.25">
      <c r="A2788" t="str">
        <f>"20190312153940614"</f>
        <v>20190312153940614</v>
      </c>
      <c r="B2788" t="str">
        <f>"1552376380608077"</f>
        <v>1552376380608077</v>
      </c>
      <c r="C2788" t="s">
        <v>40</v>
      </c>
      <c r="D2788">
        <v>4.2337379999999998</v>
      </c>
      <c r="E2788">
        <v>0.45678790000000002</v>
      </c>
      <c r="F2788" t="s">
        <v>61</v>
      </c>
      <c r="G2788">
        <v>-444.1182</v>
      </c>
      <c r="H2788">
        <v>8.0000689999999999E-2</v>
      </c>
      <c r="I2788">
        <v>274.65519999999998</v>
      </c>
      <c r="J2788">
        <v>-344.08240000000001</v>
      </c>
      <c r="K2788">
        <v>1.1098969999999999</v>
      </c>
      <c r="L2788">
        <v>283.38389999999998</v>
      </c>
      <c r="M2788">
        <v>-0.99982789999999999</v>
      </c>
      <c r="N2788">
        <v>0</v>
      </c>
      <c r="O2788">
        <v>1.153392E-2</v>
      </c>
      <c r="P2788">
        <v>-0.99945899999999999</v>
      </c>
      <c r="Q2788">
        <v>1.566998E-2</v>
      </c>
      <c r="R2788">
        <v>2.8923310000000001E-2</v>
      </c>
      <c r="S2788">
        <v>-3.0092469999999998</v>
      </c>
      <c r="T2788">
        <v>-3.0860189999999999E-2</v>
      </c>
      <c r="U2788">
        <v>-0.26141360000000002</v>
      </c>
      <c r="V2788">
        <v>1.7396200000000001E-2</v>
      </c>
      <c r="W2788">
        <v>3.0200009999999999E-2</v>
      </c>
      <c r="X2788">
        <v>0.99939250000000002</v>
      </c>
      <c r="Y2788">
        <v>-9.8024550000000002E-2</v>
      </c>
      <c r="Z2788">
        <v>-6.1975050000000003E-4</v>
      </c>
      <c r="AA2788">
        <v>0.99518379999999995</v>
      </c>
      <c r="AB2788">
        <v>44</v>
      </c>
      <c r="AC2788">
        <v>-100.03579999999999</v>
      </c>
      <c r="AD2788">
        <v>-1.02989630999999</v>
      </c>
      <c r="AE2788">
        <v>-8.7286999999999999</v>
      </c>
      <c r="AF2788">
        <v>-9.8810066017691494</v>
      </c>
      <c r="AG2788">
        <v>-1.02989630999999</v>
      </c>
      <c r="AH2788">
        <v>99.917947115254805</v>
      </c>
      <c r="AI2788">
        <v>90.587684359613903</v>
      </c>
      <c r="AJ2788">
        <v>95.647686218651899</v>
      </c>
      <c r="AK2788">
        <v>100.410612654242</v>
      </c>
      <c r="AL2788">
        <v>88.269403787798197</v>
      </c>
      <c r="AM2788">
        <v>89.002765990694797</v>
      </c>
      <c r="AN2788">
        <v>1.0000000187173399</v>
      </c>
    </row>
    <row r="2789" spans="1:40" x14ac:dyDescent="0.25">
      <c r="A2789" t="str">
        <f>"20190312153940627"</f>
        <v>20190312153940627</v>
      </c>
      <c r="B2789" t="str">
        <f>"1552376380618809"</f>
        <v>1552376380618809</v>
      </c>
      <c r="C2789" t="s">
        <v>40</v>
      </c>
      <c r="D2789">
        <v>4.2024339999999896</v>
      </c>
      <c r="E2789">
        <v>0.45649630000000002</v>
      </c>
      <c r="F2789" t="s">
        <v>43</v>
      </c>
      <c r="G2789">
        <v>-479.97019999999998</v>
      </c>
      <c r="H2789">
        <v>-0.05</v>
      </c>
      <c r="I2789">
        <v>271.5958</v>
      </c>
      <c r="J2789">
        <v>-344.34730000000002</v>
      </c>
      <c r="K2789">
        <v>1.1099000000000001</v>
      </c>
      <c r="L2789">
        <v>283.387</v>
      </c>
      <c r="M2789">
        <v>-0.9998281</v>
      </c>
      <c r="N2789">
        <v>0</v>
      </c>
      <c r="O2789">
        <v>1.152136E-2</v>
      </c>
      <c r="P2789">
        <v>-0.99943490000000001</v>
      </c>
      <c r="Q2789">
        <v>1.5911249999999998E-2</v>
      </c>
      <c r="R2789">
        <v>2.9611869999999998E-2</v>
      </c>
      <c r="S2789">
        <v>-3.0095830000000001</v>
      </c>
      <c r="T2789">
        <v>-2.5688889999999999E-2</v>
      </c>
      <c r="U2789">
        <v>-0.26107789999999997</v>
      </c>
      <c r="V2789">
        <v>1.8096830000000001E-2</v>
      </c>
      <c r="W2789">
        <v>3.0439750000000002E-2</v>
      </c>
      <c r="X2789">
        <v>0.99937279999999995</v>
      </c>
      <c r="Y2789">
        <v>-9.789407E-2</v>
      </c>
      <c r="Z2789">
        <v>-5.1518419999999998E-4</v>
      </c>
      <c r="AA2789">
        <v>0.99519669999999905</v>
      </c>
      <c r="AB2789">
        <v>44</v>
      </c>
      <c r="AC2789">
        <v>-135.62289999999899</v>
      </c>
      <c r="AD2789">
        <v>-1.1598999999999999</v>
      </c>
      <c r="AE2789">
        <v>-11.7912</v>
      </c>
      <c r="AF2789">
        <v>-13.3521730739951</v>
      </c>
      <c r="AG2789">
        <v>-1.1598999999999999</v>
      </c>
      <c r="AH2789">
        <v>135.46819712760299</v>
      </c>
      <c r="AI2789">
        <v>90.488197983064595</v>
      </c>
      <c r="AJ2789">
        <v>95.629071609561194</v>
      </c>
      <c r="AK2789">
        <v>136.129564484762</v>
      </c>
      <c r="AL2789">
        <v>88.255661405533104</v>
      </c>
      <c r="AM2789">
        <v>88.962590665345203</v>
      </c>
      <c r="AN2789">
        <v>1.00000003350797</v>
      </c>
    </row>
    <row r="2790" spans="1:40" x14ac:dyDescent="0.25">
      <c r="A2790" t="str">
        <f>"20190312153940642"</f>
        <v>20190312153940642</v>
      </c>
      <c r="B2790" t="str">
        <f>"1552376380628570"</f>
        <v>1552376380628570</v>
      </c>
      <c r="C2790" t="s">
        <v>40</v>
      </c>
      <c r="D2790">
        <v>4.1941649999999999</v>
      </c>
      <c r="E2790">
        <v>0.45621709999999899</v>
      </c>
      <c r="F2790" t="s">
        <v>54</v>
      </c>
      <c r="G2790">
        <v>-476.66640000000001</v>
      </c>
      <c r="H2790">
        <v>7.9998959999999994E-2</v>
      </c>
      <c r="I2790">
        <v>271.89980000000003</v>
      </c>
      <c r="J2790">
        <v>-344.61799999999999</v>
      </c>
      <c r="K2790">
        <v>1.1099019999999999</v>
      </c>
      <c r="L2790">
        <v>283.39010000000002</v>
      </c>
      <c r="M2790">
        <v>-0.9998283</v>
      </c>
      <c r="N2790">
        <v>0</v>
      </c>
      <c r="O2790">
        <v>1.1502099999999999E-2</v>
      </c>
      <c r="P2790">
        <v>-0.99941000000000002</v>
      </c>
      <c r="Q2790">
        <v>1.6504999999999999E-2</v>
      </c>
      <c r="R2790">
        <v>3.0123859999999999E-2</v>
      </c>
      <c r="S2790">
        <v>-3.0097960000000001</v>
      </c>
      <c r="T2790">
        <v>-2.342665E-2</v>
      </c>
      <c r="U2790">
        <v>-0.26129150000000001</v>
      </c>
      <c r="V2790">
        <v>1.8627589999999999E-2</v>
      </c>
      <c r="W2790">
        <v>3.1031699999999999E-2</v>
      </c>
      <c r="X2790">
        <v>0.99934480000000003</v>
      </c>
      <c r="Y2790">
        <v>-9.7939570000000004E-2</v>
      </c>
      <c r="Z2790">
        <v>-4.6980950000000002E-4</v>
      </c>
      <c r="AA2790">
        <v>0.99519219999999997</v>
      </c>
      <c r="AB2790">
        <v>44</v>
      </c>
      <c r="AC2790">
        <v>-132.04839999999899</v>
      </c>
      <c r="AD2790">
        <v>-1.02990304</v>
      </c>
      <c r="AE2790">
        <v>-11.4902999999999</v>
      </c>
      <c r="AF2790">
        <v>-13.007748628971401</v>
      </c>
      <c r="AG2790">
        <v>-1.02990304</v>
      </c>
      <c r="AH2790">
        <v>131.89952313716901</v>
      </c>
      <c r="AI2790">
        <v>90.445210415326201</v>
      </c>
      <c r="AJ2790">
        <v>95.632218720976695</v>
      </c>
      <c r="AK2790">
        <v>132.54337564917699</v>
      </c>
      <c r="AL2790">
        <v>88.221729063152907</v>
      </c>
      <c r="AM2790">
        <v>88.932141630254193</v>
      </c>
      <c r="AN2790">
        <v>0.99999999140056905</v>
      </c>
    </row>
    <row r="2791" spans="1:40" x14ac:dyDescent="0.25">
      <c r="A2791" t="str">
        <f>"20190312153940659"</f>
        <v>20190312153940659</v>
      </c>
      <c r="B2791" t="str">
        <f>"1552376380648089"</f>
        <v>1552376380648089</v>
      </c>
      <c r="C2791" t="s">
        <v>40</v>
      </c>
      <c r="D2791">
        <v>4.1499560000000004</v>
      </c>
      <c r="E2791">
        <v>0.4558045</v>
      </c>
      <c r="F2791" t="s">
        <v>54</v>
      </c>
      <c r="G2791">
        <v>-499.98039999999997</v>
      </c>
      <c r="H2791">
        <v>7.2627109999999995E-2</v>
      </c>
      <c r="I2791">
        <v>269.8657</v>
      </c>
      <c r="J2791">
        <v>-344.97730000000001</v>
      </c>
      <c r="K2791">
        <v>1.1099049999999999</v>
      </c>
      <c r="L2791">
        <v>283.39409999999998</v>
      </c>
      <c r="M2791">
        <v>-0.99982879999999996</v>
      </c>
      <c r="N2791">
        <v>0</v>
      </c>
      <c r="O2791">
        <v>1.146205E-2</v>
      </c>
      <c r="P2791">
        <v>-0.99937019999999999</v>
      </c>
      <c r="Q2791">
        <v>1.8074280000000002E-2</v>
      </c>
      <c r="R2791">
        <v>3.054132E-2</v>
      </c>
      <c r="S2791">
        <v>-3.0100099999999999</v>
      </c>
      <c r="T2791">
        <v>-2.0096300000000001E-2</v>
      </c>
      <c r="U2791">
        <v>-0.26202389999999998</v>
      </c>
      <c r="V2791">
        <v>1.9084110000000001E-2</v>
      </c>
      <c r="W2791">
        <v>3.2598740000000001E-2</v>
      </c>
      <c r="X2791">
        <v>0.99928629999999996</v>
      </c>
      <c r="Y2791">
        <v>-9.8134830000000006E-2</v>
      </c>
      <c r="Z2791">
        <v>-4.0337359999999999E-4</v>
      </c>
      <c r="AA2791">
        <v>0.99517299999999997</v>
      </c>
      <c r="AB2791">
        <v>44</v>
      </c>
      <c r="AC2791">
        <v>-155.00309999999899</v>
      </c>
      <c r="AD2791">
        <v>-1.0372778899999999</v>
      </c>
      <c r="AE2791">
        <v>-13.5283999999999</v>
      </c>
      <c r="AF2791">
        <v>-15.303671696738499</v>
      </c>
      <c r="AG2791">
        <v>-1.0372778899999999</v>
      </c>
      <c r="AH2791">
        <v>154.83095459686299</v>
      </c>
      <c r="AI2791">
        <v>90.381981550145099</v>
      </c>
      <c r="AJ2791">
        <v>95.644846572217403</v>
      </c>
      <c r="AK2791">
        <v>155.588890394521</v>
      </c>
      <c r="AL2791">
        <v>88.131898807019198</v>
      </c>
      <c r="AM2791">
        <v>88.905913096689204</v>
      </c>
      <c r="AN2791">
        <v>0.99999999523588401</v>
      </c>
    </row>
    <row r="2792" spans="1:40" x14ac:dyDescent="0.25">
      <c r="A2792" t="str">
        <f>"20190312153940673"</f>
        <v>20190312153940673</v>
      </c>
      <c r="B2792" t="str">
        <f>"1552376380668585"</f>
        <v>1552376380668585</v>
      </c>
      <c r="C2792" t="s">
        <v>40</v>
      </c>
      <c r="D2792">
        <v>4.121245</v>
      </c>
      <c r="E2792">
        <v>0.45527509999999999</v>
      </c>
      <c r="F2792" t="s">
        <v>67</v>
      </c>
      <c r="G2792">
        <v>-512.82529999999997</v>
      </c>
      <c r="H2792">
        <v>0.3909762</v>
      </c>
      <c r="I2792">
        <v>268.68680000000001</v>
      </c>
      <c r="J2792">
        <v>-345.25540000000001</v>
      </c>
      <c r="K2792">
        <v>1.109912</v>
      </c>
      <c r="L2792">
        <v>283.39729999999997</v>
      </c>
      <c r="M2792">
        <v>-0.99982930000000003</v>
      </c>
      <c r="N2792">
        <v>0</v>
      </c>
      <c r="O2792">
        <v>1.141988E-2</v>
      </c>
      <c r="P2792">
        <v>-0.9993514</v>
      </c>
      <c r="Q2792">
        <v>1.918943E-2</v>
      </c>
      <c r="R2792">
        <v>3.0472470000000001E-2</v>
      </c>
      <c r="S2792">
        <v>-3.0102229999999999</v>
      </c>
      <c r="T2792">
        <v>-1.2892010000000001E-2</v>
      </c>
      <c r="U2792">
        <v>-0.26376339999999998</v>
      </c>
      <c r="V2792">
        <v>1.9056279999999998E-2</v>
      </c>
      <c r="W2792">
        <v>3.3712499999999999E-2</v>
      </c>
      <c r="X2792">
        <v>0.99924990000000002</v>
      </c>
      <c r="Y2792">
        <v>-9.8658910000000002E-2</v>
      </c>
      <c r="Z2792">
        <v>-2.5968550000000001E-4</v>
      </c>
      <c r="AA2792">
        <v>0.99512129999999999</v>
      </c>
      <c r="AB2792">
        <v>44</v>
      </c>
      <c r="AC2792">
        <v>-167.569899999999</v>
      </c>
      <c r="AD2792">
        <v>-0.71893580000000001</v>
      </c>
      <c r="AE2792">
        <v>-14.7104999999999</v>
      </c>
      <c r="AF2792">
        <v>-16.623066925237801</v>
      </c>
      <c r="AG2792">
        <v>-0.71893580000000001</v>
      </c>
      <c r="AH2792">
        <v>167.38790318662001</v>
      </c>
      <c r="AI2792">
        <v>90.244880931749094</v>
      </c>
      <c r="AJ2792">
        <v>95.6713712932725</v>
      </c>
      <c r="AK2792">
        <v>168.21282161565099</v>
      </c>
      <c r="AL2792">
        <v>88.0680499970656</v>
      </c>
      <c r="AM2792">
        <v>88.907468409240295</v>
      </c>
      <c r="AN2792">
        <v>1.0000000185568401</v>
      </c>
    </row>
    <row r="2793" spans="1:40" x14ac:dyDescent="0.25">
      <c r="A2793" t="str">
        <f>"20190312153940687"</f>
        <v>20190312153940687</v>
      </c>
      <c r="B2793" t="str">
        <f>"1552376380678345"</f>
        <v>1552376380678345</v>
      </c>
      <c r="C2793" t="s">
        <v>40</v>
      </c>
      <c r="D2793">
        <v>4.1020019999999997</v>
      </c>
      <c r="E2793">
        <v>0.4550826</v>
      </c>
      <c r="F2793" t="s">
        <v>67</v>
      </c>
      <c r="G2793">
        <v>-512.82539999999995</v>
      </c>
      <c r="H2793">
        <v>0.75845969999999996</v>
      </c>
      <c r="I2793">
        <v>268.48689999999999</v>
      </c>
      <c r="J2793">
        <v>-345.51139999999998</v>
      </c>
      <c r="K2793">
        <v>1.10992</v>
      </c>
      <c r="L2793">
        <v>283.40019999999998</v>
      </c>
      <c r="M2793">
        <v>-0.99982990000000005</v>
      </c>
      <c r="N2793">
        <v>0</v>
      </c>
      <c r="O2793">
        <v>1.1373380000000001E-2</v>
      </c>
      <c r="P2793">
        <v>-0.99934489999999998</v>
      </c>
      <c r="Q2793">
        <v>1.9555369999999999E-2</v>
      </c>
      <c r="R2793">
        <v>3.0453170000000002E-2</v>
      </c>
      <c r="S2793">
        <v>-3.0102540000000002</v>
      </c>
      <c r="T2793">
        <v>-6.3121319999999998E-3</v>
      </c>
      <c r="U2793">
        <v>-0.2678528</v>
      </c>
      <c r="V2793">
        <v>1.908236E-2</v>
      </c>
      <c r="W2793">
        <v>3.4077070000000001E-2</v>
      </c>
      <c r="X2793">
        <v>0.99923700000000004</v>
      </c>
      <c r="Y2793">
        <v>-9.9953810000000004E-2</v>
      </c>
      <c r="Z2793">
        <v>-1.2839540000000001E-4</v>
      </c>
      <c r="AA2793">
        <v>0.99499210000000005</v>
      </c>
      <c r="AB2793">
        <v>44</v>
      </c>
      <c r="AC2793">
        <v>-167.313999999999</v>
      </c>
      <c r="AD2793">
        <v>-0.3514603</v>
      </c>
      <c r="AE2793">
        <v>-14.9132999999999</v>
      </c>
      <c r="AF2793">
        <v>-16.815387923849801</v>
      </c>
      <c r="AG2793">
        <v>-0.3514603</v>
      </c>
      <c r="AH2793">
        <v>167.13281184374799</v>
      </c>
      <c r="AI2793">
        <v>90.1198807686756</v>
      </c>
      <c r="AJ2793">
        <v>95.745248274911205</v>
      </c>
      <c r="AK2793">
        <v>167.976955533102</v>
      </c>
      <c r="AL2793">
        <v>88.047149595693298</v>
      </c>
      <c r="AM2793">
        <v>88.905959437732307</v>
      </c>
      <c r="AN2793">
        <v>0.99999998266597701</v>
      </c>
    </row>
    <row r="2794" spans="1:40" x14ac:dyDescent="0.25">
      <c r="A2794" t="str">
        <f>"20190312153940698"</f>
        <v>20190312153940698</v>
      </c>
      <c r="B2794" t="str">
        <f>"1552376380688106"</f>
        <v>1552376380688106</v>
      </c>
      <c r="C2794" t="s">
        <v>40</v>
      </c>
      <c r="D2794">
        <v>4.1306760000000002</v>
      </c>
      <c r="E2794">
        <v>0.4547776</v>
      </c>
      <c r="F2794" t="s">
        <v>67</v>
      </c>
      <c r="G2794">
        <v>-512.82539999999995</v>
      </c>
      <c r="H2794">
        <v>0.89883109999999999</v>
      </c>
      <c r="I2794">
        <v>268.4228</v>
      </c>
      <c r="J2794">
        <v>-345.75569999999999</v>
      </c>
      <c r="K2794">
        <v>1.109926</v>
      </c>
      <c r="L2794">
        <v>283.40300000000002</v>
      </c>
      <c r="M2794">
        <v>-0.99983040000000001</v>
      </c>
      <c r="N2794">
        <v>0</v>
      </c>
      <c r="O2794">
        <v>1.132469E-2</v>
      </c>
      <c r="P2794">
        <v>-0.99935079999999998</v>
      </c>
      <c r="Q2794">
        <v>1.959816E-2</v>
      </c>
      <c r="R2794">
        <v>3.0233070000000001E-2</v>
      </c>
      <c r="S2794">
        <v>-3.010284</v>
      </c>
      <c r="T2794">
        <v>-3.796458E-3</v>
      </c>
      <c r="U2794">
        <v>-0.26947019999999999</v>
      </c>
      <c r="V2794">
        <v>1.8909820000000001E-2</v>
      </c>
      <c r="W2794">
        <v>3.4119009999999998E-2</v>
      </c>
      <c r="X2794">
        <v>0.99923879999999998</v>
      </c>
      <c r="Y2794">
        <v>-0.100435</v>
      </c>
      <c r="Z2794" s="1">
        <v>-7.7462890000000006E-5</v>
      </c>
      <c r="AA2794">
        <v>0.99494360000000004</v>
      </c>
      <c r="AB2794">
        <v>44</v>
      </c>
      <c r="AC2794">
        <v>-167.06969999999899</v>
      </c>
      <c r="AD2794">
        <v>-0.2110949</v>
      </c>
      <c r="AE2794">
        <v>-14.9802</v>
      </c>
      <c r="AF2794">
        <v>-16.871424578402301</v>
      </c>
      <c r="AG2794">
        <v>-0.2110949</v>
      </c>
      <c r="AH2794">
        <v>166.88905584526299</v>
      </c>
      <c r="AI2794">
        <v>90.072104823976403</v>
      </c>
      <c r="AJ2794">
        <v>95.772627778504798</v>
      </c>
      <c r="AK2794">
        <v>167.73981784086001</v>
      </c>
      <c r="AL2794">
        <v>88.044745116871994</v>
      </c>
      <c r="AM2794">
        <v>88.915851178435901</v>
      </c>
      <c r="AN2794">
        <v>0.99999993378062302</v>
      </c>
    </row>
    <row r="2795" spans="1:40" x14ac:dyDescent="0.25">
      <c r="A2795" t="str">
        <f>"20190312153940715"</f>
        <v>20190312153940715</v>
      </c>
      <c r="B2795" t="str">
        <f>"1552376380708601"</f>
        <v>1552376380708601</v>
      </c>
      <c r="C2795" t="s">
        <v>40</v>
      </c>
      <c r="D2795">
        <v>4.158792</v>
      </c>
      <c r="E2795">
        <v>0.4543856</v>
      </c>
      <c r="F2795" t="s">
        <v>67</v>
      </c>
      <c r="G2795">
        <v>-512.82550000000003</v>
      </c>
      <c r="H2795">
        <v>0.98179159999999999</v>
      </c>
      <c r="I2795">
        <v>268.28789999999998</v>
      </c>
      <c r="J2795">
        <v>-346.07429999999999</v>
      </c>
      <c r="K2795">
        <v>1.109934</v>
      </c>
      <c r="L2795">
        <v>283.40649999999999</v>
      </c>
      <c r="M2795">
        <v>-0.99983140000000004</v>
      </c>
      <c r="N2795">
        <v>0</v>
      </c>
      <c r="O2795">
        <v>1.124996E-2</v>
      </c>
      <c r="P2795">
        <v>-0.99937319999999996</v>
      </c>
      <c r="Q2795">
        <v>1.8893960000000001E-2</v>
      </c>
      <c r="R2795">
        <v>2.9941309999999999E-2</v>
      </c>
      <c r="S2795">
        <v>-3.0102229999999999</v>
      </c>
      <c r="T2795">
        <v>-2.3072959999999999E-3</v>
      </c>
      <c r="U2795">
        <v>-0.27233889999999999</v>
      </c>
      <c r="V2795">
        <v>1.869111E-2</v>
      </c>
      <c r="W2795">
        <v>3.3413699999999998E-2</v>
      </c>
      <c r="X2795">
        <v>0.99926680000000001</v>
      </c>
      <c r="Y2795">
        <v>-0.101303</v>
      </c>
      <c r="Z2795" s="1">
        <v>-4.7351790000000002E-5</v>
      </c>
      <c r="AA2795">
        <v>0.99485559999999995</v>
      </c>
      <c r="AB2795">
        <v>44</v>
      </c>
      <c r="AC2795">
        <v>-166.75120000000001</v>
      </c>
      <c r="AD2795">
        <v>-0.12814239999999999</v>
      </c>
      <c r="AE2795">
        <v>-15.118600000000001</v>
      </c>
      <c r="AF2795">
        <v>-16.993775004882998</v>
      </c>
      <c r="AG2795">
        <v>-0.12814239999999999</v>
      </c>
      <c r="AH2795">
        <v>166.57044617087001</v>
      </c>
      <c r="AI2795">
        <v>90.043849937531206</v>
      </c>
      <c r="AJ2795">
        <v>95.825249490493604</v>
      </c>
      <c r="AK2795">
        <v>167.43511682724699</v>
      </c>
      <c r="AL2795">
        <v>88.085179562777199</v>
      </c>
      <c r="AM2795">
        <v>88.928417466683001</v>
      </c>
      <c r="AN2795">
        <v>0.99999998526148004</v>
      </c>
    </row>
    <row r="2796" spans="1:40" x14ac:dyDescent="0.25">
      <c r="A2796" t="str">
        <f>"20190312153940727"</f>
        <v>20190312153940727</v>
      </c>
      <c r="B2796" t="str">
        <f>"1552376380718361"</f>
        <v>1552376380718361</v>
      </c>
      <c r="C2796" t="s">
        <v>40</v>
      </c>
      <c r="D2796">
        <v>4.146509</v>
      </c>
      <c r="E2796">
        <v>0.45410729999999999</v>
      </c>
      <c r="F2796" t="s">
        <v>67</v>
      </c>
      <c r="G2796">
        <v>-512.82539999999995</v>
      </c>
      <c r="H2796">
        <v>0.79759139999999995</v>
      </c>
      <c r="I2796">
        <v>268.084</v>
      </c>
      <c r="J2796">
        <v>-346.2928</v>
      </c>
      <c r="K2796">
        <v>1.109939</v>
      </c>
      <c r="L2796">
        <v>283.40890000000002</v>
      </c>
      <c r="M2796">
        <v>-0.99983200000000005</v>
      </c>
      <c r="N2796">
        <v>0</v>
      </c>
      <c r="O2796">
        <v>1.119262E-2</v>
      </c>
      <c r="P2796">
        <v>-0.99939480000000003</v>
      </c>
      <c r="Q2796">
        <v>1.86348E-2</v>
      </c>
      <c r="R2796">
        <v>2.9374419999999998E-2</v>
      </c>
      <c r="S2796">
        <v>-3.010284</v>
      </c>
      <c r="T2796">
        <v>-5.637169E-3</v>
      </c>
      <c r="U2796">
        <v>-0.2766113</v>
      </c>
      <c r="V2796">
        <v>1.8180559999999998E-2</v>
      </c>
      <c r="W2796">
        <v>3.3153960000000003E-2</v>
      </c>
      <c r="X2796">
        <v>0.99928490000000003</v>
      </c>
      <c r="Y2796">
        <v>-0.1026442</v>
      </c>
      <c r="Z2796">
        <v>-1.168258E-4</v>
      </c>
      <c r="AA2796">
        <v>0.99471810000000005</v>
      </c>
      <c r="AB2796">
        <v>44</v>
      </c>
      <c r="AC2796">
        <v>-166.53259999999901</v>
      </c>
      <c r="AD2796">
        <v>-0.312347599999999</v>
      </c>
      <c r="AE2796">
        <v>-15.3249</v>
      </c>
      <c r="AF2796">
        <v>-17.188012402346899</v>
      </c>
      <c r="AG2796">
        <v>-0.312347599999999</v>
      </c>
      <c r="AH2796">
        <v>166.35004217432899</v>
      </c>
      <c r="AI2796">
        <v>90.1070117398843</v>
      </c>
      <c r="AJ2796">
        <v>95.8991166023049</v>
      </c>
      <c r="AK2796">
        <v>167.235946682427</v>
      </c>
      <c r="AL2796">
        <v>88.100069874662694</v>
      </c>
      <c r="AM2796">
        <v>88.957700204345898</v>
      </c>
      <c r="AN2796">
        <v>1.0000000145968</v>
      </c>
    </row>
    <row r="2797" spans="1:40" x14ac:dyDescent="0.25">
      <c r="A2797" t="str">
        <f>"20190312153940739"</f>
        <v>20190312153940739</v>
      </c>
      <c r="B2797" t="str">
        <f>"1552376380728121"</f>
        <v>1552376380728121</v>
      </c>
      <c r="C2797" t="s">
        <v>40</v>
      </c>
      <c r="D2797">
        <v>4.0985959999999997</v>
      </c>
      <c r="E2797">
        <v>0.45400849999999998</v>
      </c>
      <c r="F2797" t="s">
        <v>67</v>
      </c>
      <c r="G2797">
        <v>-512.82539999999995</v>
      </c>
      <c r="H2797">
        <v>0.65440259999999995</v>
      </c>
      <c r="I2797">
        <v>267.89150000000001</v>
      </c>
      <c r="J2797">
        <v>-346.55610000000001</v>
      </c>
      <c r="K2797">
        <v>1.109947</v>
      </c>
      <c r="L2797">
        <v>283.41180000000003</v>
      </c>
      <c r="M2797">
        <v>-0.99983270000000002</v>
      </c>
      <c r="N2797">
        <v>0</v>
      </c>
      <c r="O2797">
        <v>1.112054E-2</v>
      </c>
      <c r="P2797">
        <v>-0.99941809999999998</v>
      </c>
      <c r="Q2797">
        <v>1.8266919999999999E-2</v>
      </c>
      <c r="R2797">
        <v>2.8808549999999999E-2</v>
      </c>
      <c r="S2797">
        <v>-3.0101930000000001</v>
      </c>
      <c r="T2797">
        <v>-8.2327129999999991E-3</v>
      </c>
      <c r="U2797">
        <v>-0.28048709999999999</v>
      </c>
      <c r="V2797">
        <v>1.768571E-2</v>
      </c>
      <c r="W2797">
        <v>3.2785080000000001E-2</v>
      </c>
      <c r="X2797">
        <v>0.99930600000000003</v>
      </c>
      <c r="Y2797">
        <v>-0.1038448</v>
      </c>
      <c r="Z2797">
        <v>-1.7205270000000001E-4</v>
      </c>
      <c r="AA2797">
        <v>0.99459350000000002</v>
      </c>
      <c r="AB2797">
        <v>44</v>
      </c>
      <c r="AC2797">
        <v>-166.26929999999899</v>
      </c>
      <c r="AD2797">
        <v>-0.45554440000000002</v>
      </c>
      <c r="AE2797">
        <v>-15.520300000000001</v>
      </c>
      <c r="AF2797">
        <v>-17.368410263207899</v>
      </c>
      <c r="AG2797">
        <v>-0.45554440000000002</v>
      </c>
      <c r="AH2797">
        <v>166.08516828043599</v>
      </c>
      <c r="AI2797">
        <v>90.156300218693602</v>
      </c>
      <c r="AJ2797">
        <v>95.970025075819095</v>
      </c>
      <c r="AK2797">
        <v>166.991473789868</v>
      </c>
      <c r="AL2797">
        <v>88.121216730227502</v>
      </c>
      <c r="AM2797">
        <v>88.986085579464401</v>
      </c>
      <c r="AN2797">
        <v>1.0000000637224</v>
      </c>
    </row>
    <row r="2798" spans="1:40" x14ac:dyDescent="0.25">
      <c r="A2798" t="str">
        <f>"20190312153940751"</f>
        <v>20190312153940751</v>
      </c>
      <c r="B2798" t="str">
        <f>"1552376380738857"</f>
        <v>1552376380738857</v>
      </c>
      <c r="C2798" t="s">
        <v>40</v>
      </c>
      <c r="D2798">
        <v>4.096533</v>
      </c>
      <c r="E2798">
        <v>0.45386979999999999</v>
      </c>
      <c r="F2798" t="s">
        <v>67</v>
      </c>
      <c r="G2798">
        <v>-512.82539999999995</v>
      </c>
      <c r="H2798">
        <v>0.60054249999999998</v>
      </c>
      <c r="I2798">
        <v>267.78199999999998</v>
      </c>
      <c r="J2798">
        <v>-346.79300000000001</v>
      </c>
      <c r="K2798">
        <v>1.1099540000000001</v>
      </c>
      <c r="L2798">
        <v>283.41430000000003</v>
      </c>
      <c r="M2798">
        <v>-0.99983359999999999</v>
      </c>
      <c r="N2798">
        <v>0</v>
      </c>
      <c r="O2798">
        <v>1.1049990000000001E-2</v>
      </c>
      <c r="P2798">
        <v>-0.99944140000000004</v>
      </c>
      <c r="Q2798">
        <v>1.7722950000000001E-2</v>
      </c>
      <c r="R2798">
        <v>2.8337279999999999E-2</v>
      </c>
      <c r="S2798">
        <v>-3.0101010000000001</v>
      </c>
      <c r="T2798">
        <v>-9.2207190000000005E-3</v>
      </c>
      <c r="U2798">
        <v>-0.28295900000000002</v>
      </c>
      <c r="V2798">
        <v>1.7284009999999999E-2</v>
      </c>
      <c r="W2798">
        <v>3.2240350000000001E-2</v>
      </c>
      <c r="X2798">
        <v>0.99933070000000002</v>
      </c>
      <c r="Y2798">
        <v>-0.104587</v>
      </c>
      <c r="Z2798">
        <v>-1.9361770000000001E-4</v>
      </c>
      <c r="AA2798">
        <v>0.9945157</v>
      </c>
      <c r="AB2798">
        <v>44</v>
      </c>
      <c r="AC2798">
        <v>-166.032399999999</v>
      </c>
      <c r="AD2798">
        <v>-0.50941150000000002</v>
      </c>
      <c r="AE2798">
        <v>-15.632300000000001</v>
      </c>
      <c r="AF2798">
        <v>-17.466032071736802</v>
      </c>
      <c r="AG2798">
        <v>-0.50941150000000002</v>
      </c>
      <c r="AH2798">
        <v>165.847958636307</v>
      </c>
      <c r="AI2798">
        <v>90.175018834508194</v>
      </c>
      <c r="AJ2798">
        <v>96.011859775292805</v>
      </c>
      <c r="AK2798">
        <v>166.76590526914501</v>
      </c>
      <c r="AL2798">
        <v>88.152443873207105</v>
      </c>
      <c r="AM2798">
        <v>89.009134715386594</v>
      </c>
      <c r="AN2798">
        <v>1.0000000125661399</v>
      </c>
    </row>
    <row r="2799" spans="1:40" x14ac:dyDescent="0.25">
      <c r="A2799" t="str">
        <f>"20190312153940764"</f>
        <v>20190312153940764</v>
      </c>
      <c r="B2799" t="str">
        <f>"1552376380758377"</f>
        <v>1552376380758377</v>
      </c>
      <c r="C2799" t="s">
        <v>40</v>
      </c>
      <c r="D2799">
        <v>4.1385940000000003</v>
      </c>
      <c r="E2799">
        <v>0.45364599999999999</v>
      </c>
      <c r="F2799" t="s">
        <v>67</v>
      </c>
      <c r="G2799">
        <v>-512.82529999999997</v>
      </c>
      <c r="H2799">
        <v>0.51227370000000005</v>
      </c>
      <c r="I2799">
        <v>267.6696</v>
      </c>
      <c r="J2799">
        <v>-347.0222</v>
      </c>
      <c r="K2799">
        <v>1.1099650000000001</v>
      </c>
      <c r="L2799">
        <v>283.41680000000002</v>
      </c>
      <c r="M2799">
        <v>-0.99983440000000001</v>
      </c>
      <c r="N2799">
        <v>0</v>
      </c>
      <c r="O2799">
        <v>1.097972E-2</v>
      </c>
      <c r="P2799">
        <v>-0.99947629999999998</v>
      </c>
      <c r="Q2799">
        <v>1.716846E-2</v>
      </c>
      <c r="R2799">
        <v>2.744212E-2</v>
      </c>
      <c r="S2799">
        <v>-3.0099490000000002</v>
      </c>
      <c r="T2799">
        <v>-1.083374E-2</v>
      </c>
      <c r="U2799">
        <v>-0.28543089999999999</v>
      </c>
      <c r="V2799">
        <v>1.6458380000000002E-2</v>
      </c>
      <c r="W2799">
        <v>3.1691320000000002E-2</v>
      </c>
      <c r="X2799">
        <v>0.99936219999999998</v>
      </c>
      <c r="Y2799">
        <v>-0.10533099999999999</v>
      </c>
      <c r="Z2799">
        <v>-2.2857420000000001E-4</v>
      </c>
      <c r="AA2799">
        <v>0.99443720000000002</v>
      </c>
      <c r="AB2799">
        <v>44</v>
      </c>
      <c r="AC2799">
        <v>-165.80309999999901</v>
      </c>
      <c r="AD2799">
        <v>-0.59769129999999904</v>
      </c>
      <c r="AE2799">
        <v>-15.747199999999999</v>
      </c>
      <c r="AF2799">
        <v>-17.5666876968764</v>
      </c>
      <c r="AG2799">
        <v>-0.59769129999999904</v>
      </c>
      <c r="AH2799">
        <v>165.61805247264499</v>
      </c>
      <c r="AI2799">
        <v>90.205617793990896</v>
      </c>
      <c r="AJ2799">
        <v>96.054580754494907</v>
      </c>
      <c r="AK2799">
        <v>166.54814636123001</v>
      </c>
      <c r="AL2799">
        <v>88.183917058744797</v>
      </c>
      <c r="AM2799">
        <v>89.0564877567964</v>
      </c>
      <c r="AN2799">
        <v>1.0000000124121999</v>
      </c>
    </row>
    <row r="2800" spans="1:40" x14ac:dyDescent="0.25">
      <c r="A2800" t="str">
        <f>"20190312153940775"</f>
        <v>20190312153940775</v>
      </c>
      <c r="B2800" t="str">
        <f>"1552376380768138"</f>
        <v>1552376380768138</v>
      </c>
      <c r="C2800" t="s">
        <v>40</v>
      </c>
      <c r="D2800">
        <v>4.2582329999999997</v>
      </c>
      <c r="E2800">
        <v>0.45364599999999999</v>
      </c>
      <c r="F2800" t="s">
        <v>67</v>
      </c>
      <c r="G2800">
        <v>-512.82529999999997</v>
      </c>
      <c r="H2800">
        <v>0.28791090000000003</v>
      </c>
      <c r="I2800">
        <v>267.44589999999999</v>
      </c>
      <c r="J2800">
        <v>-347.26440000000002</v>
      </c>
      <c r="K2800">
        <v>1.109977</v>
      </c>
      <c r="L2800">
        <v>283.41950000000003</v>
      </c>
      <c r="M2800">
        <v>-0.99983489999999997</v>
      </c>
      <c r="N2800">
        <v>0</v>
      </c>
      <c r="O2800">
        <v>1.090357E-2</v>
      </c>
      <c r="P2800">
        <v>-0.99950689999999998</v>
      </c>
      <c r="Q2800">
        <v>1.6524420000000001E-2</v>
      </c>
      <c r="R2800">
        <v>2.669968E-2</v>
      </c>
      <c r="S2800">
        <v>-3.0097960000000001</v>
      </c>
      <c r="T2800">
        <v>-1.4921190000000001E-2</v>
      </c>
      <c r="U2800">
        <v>-0.28991699999999998</v>
      </c>
      <c r="V2800">
        <v>1.579117E-2</v>
      </c>
      <c r="W2800">
        <v>3.1058390000000002E-2</v>
      </c>
      <c r="X2800">
        <v>0.99939279999999997</v>
      </c>
      <c r="Y2800">
        <v>-0.106728</v>
      </c>
      <c r="Z2800">
        <v>-3.1788349999999999E-4</v>
      </c>
      <c r="AA2800">
        <v>0.99428819999999996</v>
      </c>
      <c r="AB2800">
        <v>44</v>
      </c>
      <c r="AC2800">
        <v>-165.56089999999901</v>
      </c>
      <c r="AD2800">
        <v>-0.82206610000000002</v>
      </c>
      <c r="AE2800">
        <v>-15.973599999999999</v>
      </c>
      <c r="AF2800">
        <v>-17.777611579134501</v>
      </c>
      <c r="AG2800">
        <v>-0.82206610000000002</v>
      </c>
      <c r="AH2800">
        <v>165.37282877331199</v>
      </c>
      <c r="AI2800">
        <v>90.283182656955304</v>
      </c>
      <c r="AJ2800">
        <v>96.135744466844201</v>
      </c>
      <c r="AK2800">
        <v>166.32766385246501</v>
      </c>
      <c r="AL2800">
        <v>88.220199075088303</v>
      </c>
      <c r="AM2800">
        <v>89.094758227339</v>
      </c>
      <c r="AN2800">
        <v>0.99999997666560003</v>
      </c>
    </row>
    <row r="2801" spans="1:40" x14ac:dyDescent="0.25">
      <c r="A2801" t="str">
        <f>"20190312153940788"</f>
        <v>20190312153940788</v>
      </c>
      <c r="B2801" t="str">
        <f>"1552376380778874"</f>
        <v>1552376380778874</v>
      </c>
      <c r="C2801" t="s">
        <v>40</v>
      </c>
      <c r="D2801">
        <v>4.172434</v>
      </c>
      <c r="E2801">
        <v>0.4792691</v>
      </c>
      <c r="F2801" t="s">
        <v>67</v>
      </c>
      <c r="G2801">
        <v>-512.8252</v>
      </c>
      <c r="H2801">
        <v>0.16797690000000001</v>
      </c>
      <c r="I2801">
        <v>267.34500000000003</v>
      </c>
      <c r="J2801">
        <v>-347.5093</v>
      </c>
      <c r="K2801">
        <v>1.109999</v>
      </c>
      <c r="L2801">
        <v>283.42200000000003</v>
      </c>
      <c r="M2801">
        <v>-0.99983509999999998</v>
      </c>
      <c r="N2801">
        <v>0</v>
      </c>
      <c r="O2801">
        <v>1.082761E-2</v>
      </c>
      <c r="P2801">
        <v>-0.99953639999999999</v>
      </c>
      <c r="Q2801">
        <v>1.6259280000000001E-2</v>
      </c>
      <c r="R2801">
        <v>2.574247E-2</v>
      </c>
      <c r="S2801">
        <v>-3.0096129999999999</v>
      </c>
      <c r="T2801">
        <v>-1.7122510000000001E-2</v>
      </c>
      <c r="U2801">
        <v>-0.29220580000000002</v>
      </c>
      <c r="V2801">
        <v>1.4909179999999999E-2</v>
      </c>
      <c r="W2801">
        <v>3.0840579999999999E-2</v>
      </c>
      <c r="X2801">
        <v>0.99941310000000005</v>
      </c>
      <c r="Y2801">
        <v>-0.1074069</v>
      </c>
      <c r="Z2801">
        <v>-3.6628449999999999E-4</v>
      </c>
      <c r="AA2801">
        <v>0.99421510000000002</v>
      </c>
      <c r="AB2801">
        <v>44</v>
      </c>
      <c r="AC2801">
        <v>-165.3159</v>
      </c>
      <c r="AD2801">
        <v>-0.94202209999999997</v>
      </c>
      <c r="AE2801">
        <v>-16.076999999999899</v>
      </c>
      <c r="AF2801">
        <v>-17.865649023720501</v>
      </c>
      <c r="AG2801">
        <v>-0.94202209999999997</v>
      </c>
      <c r="AH2801">
        <v>165.12680152273299</v>
      </c>
      <c r="AI2801">
        <v>90.324963340604498</v>
      </c>
      <c r="AJ2801">
        <v>96.175011956011204</v>
      </c>
      <c r="AK2801">
        <v>166.09313472207</v>
      </c>
      <c r="AL2801">
        <v>88.232684664625594</v>
      </c>
      <c r="AM2801">
        <v>89.145328663307396</v>
      </c>
      <c r="AN2801">
        <v>0.999999984737309</v>
      </c>
    </row>
    <row r="2802" spans="1:40" x14ac:dyDescent="0.25">
      <c r="A2802" t="str">
        <f>"20190312153940802"</f>
        <v>20190312153940802</v>
      </c>
      <c r="B2802" t="str">
        <f>"1552376380798394"</f>
        <v>1552376380798394</v>
      </c>
      <c r="C2802" t="s">
        <v>40</v>
      </c>
      <c r="D2802">
        <v>4.1268379999999896</v>
      </c>
      <c r="E2802">
        <v>0.49593969999999998</v>
      </c>
      <c r="F2802" t="s">
        <v>54</v>
      </c>
      <c r="G2802">
        <v>-473.548</v>
      </c>
      <c r="H2802">
        <v>5.4670999999999997E-2</v>
      </c>
      <c r="I2802">
        <v>279.61169999999998</v>
      </c>
      <c r="J2802">
        <v>-347.76990000000001</v>
      </c>
      <c r="K2802">
        <v>1.110031</v>
      </c>
      <c r="L2802">
        <v>283.4248</v>
      </c>
      <c r="M2802">
        <v>-0.99983480000000002</v>
      </c>
      <c r="N2802">
        <v>0</v>
      </c>
      <c r="O2802">
        <v>1.074639E-2</v>
      </c>
      <c r="P2802">
        <v>-0.99956420000000001</v>
      </c>
      <c r="Q2802">
        <v>1.5859089999999999E-2</v>
      </c>
      <c r="R2802">
        <v>2.4901719999999999E-2</v>
      </c>
      <c r="S2802">
        <v>-3.0041500000000001</v>
      </c>
      <c r="T2802">
        <v>-2.515388E-2</v>
      </c>
      <c r="U2802">
        <v>-9.0820310000000001E-2</v>
      </c>
      <c r="V2802">
        <v>1.4148859999999999E-2</v>
      </c>
      <c r="W2802">
        <v>3.0523160000000001E-2</v>
      </c>
      <c r="X2802">
        <v>0.99943389999999999</v>
      </c>
      <c r="Y2802">
        <v>-4.0956890000000003E-2</v>
      </c>
      <c r="Z2802">
        <v>-2.6139449999999998E-4</v>
      </c>
      <c r="AA2802">
        <v>0.99916090000000002</v>
      </c>
      <c r="AB2802">
        <v>44</v>
      </c>
      <c r="AC2802">
        <v>-125.77809999999999</v>
      </c>
      <c r="AD2802">
        <v>-1.0553600000000001</v>
      </c>
      <c r="AE2802">
        <v>-3.8131000000000199</v>
      </c>
      <c r="AF2802">
        <v>-5.1643222857780904</v>
      </c>
      <c r="AG2802">
        <v>-1.0553600000000001</v>
      </c>
      <c r="AH2802">
        <v>125.721011020802</v>
      </c>
      <c r="AI2802">
        <v>90.480550589182002</v>
      </c>
      <c r="AJ2802">
        <v>92.352252890693293</v>
      </c>
      <c r="AK2802">
        <v>125.831461175231</v>
      </c>
      <c r="AL2802">
        <v>88.250880061656503</v>
      </c>
      <c r="AM2802">
        <v>89.188925038402104</v>
      </c>
      <c r="AN2802">
        <v>0.99999998700244697</v>
      </c>
    </row>
    <row r="2803" spans="1:40" x14ac:dyDescent="0.25">
      <c r="A2803" t="str">
        <f>"20190312153940815"</f>
        <v>20190312153940815</v>
      </c>
      <c r="B2803" t="str">
        <f>"1552376380808153"</f>
        <v>1552376380808153</v>
      </c>
      <c r="C2803" t="s">
        <v>40</v>
      </c>
      <c r="D2803">
        <v>4.114071</v>
      </c>
      <c r="E2803">
        <v>0.49969069999999999</v>
      </c>
      <c r="F2803" t="s">
        <v>54</v>
      </c>
      <c r="G2803">
        <v>-499.9717</v>
      </c>
      <c r="H2803">
        <v>6.3857319999999995E-2</v>
      </c>
      <c r="I2803">
        <v>285.4402</v>
      </c>
      <c r="J2803">
        <v>-348.03840000000002</v>
      </c>
      <c r="K2803">
        <v>1.1100749999999999</v>
      </c>
      <c r="L2803">
        <v>283.42759999999998</v>
      </c>
      <c r="M2803">
        <v>-0.99983359999999999</v>
      </c>
      <c r="N2803">
        <v>0</v>
      </c>
      <c r="O2803">
        <v>1.06617E-2</v>
      </c>
      <c r="P2803">
        <v>-0.99961599999999995</v>
      </c>
      <c r="Q2803">
        <v>1.5650750000000001E-2</v>
      </c>
      <c r="R2803">
        <v>2.2871269999999999E-2</v>
      </c>
      <c r="S2803">
        <v>-3.00061</v>
      </c>
      <c r="T2803">
        <v>-2.0625000000000001E-2</v>
      </c>
      <c r="U2803">
        <v>3.9733890000000001E-2</v>
      </c>
      <c r="V2803">
        <v>1.220215E-2</v>
      </c>
      <c r="W2803">
        <v>3.045834E-2</v>
      </c>
      <c r="X2803">
        <v>0.9994615</v>
      </c>
      <c r="Y2803">
        <v>2.5782819999999999E-3</v>
      </c>
      <c r="Z2803" s="1">
        <v>-6.4425310000000002E-5</v>
      </c>
      <c r="AA2803">
        <v>0.99999669999999896</v>
      </c>
      <c r="AB2803">
        <v>44</v>
      </c>
      <c r="AC2803">
        <v>-151.93329999999901</v>
      </c>
      <c r="AD2803">
        <v>-1.04621767999999</v>
      </c>
      <c r="AE2803">
        <v>2.0126000000000199</v>
      </c>
      <c r="AF2803">
        <v>0.39242222869381199</v>
      </c>
      <c r="AG2803">
        <v>-1.04621767999999</v>
      </c>
      <c r="AH2803">
        <v>151.93891938948599</v>
      </c>
      <c r="AI2803">
        <v>90.3945184714362</v>
      </c>
      <c r="AJ2803">
        <v>89.852018906103197</v>
      </c>
      <c r="AK2803">
        <v>151.943028112132</v>
      </c>
      <c r="AL2803">
        <v>88.254595630941296</v>
      </c>
      <c r="AM2803">
        <v>89.300526370239496</v>
      </c>
      <c r="AN2803">
        <v>0.99999994646121204</v>
      </c>
    </row>
    <row r="2804" spans="1:40" x14ac:dyDescent="0.25">
      <c r="A2804" t="str">
        <f>"20190312153940829"</f>
        <v>20190312153940829</v>
      </c>
      <c r="B2804" t="str">
        <f>"1552376380818889"</f>
        <v>1552376380818889</v>
      </c>
      <c r="C2804" t="s">
        <v>40</v>
      </c>
      <c r="D2804">
        <v>4.0945790000000004</v>
      </c>
      <c r="E2804">
        <v>0.5021428</v>
      </c>
      <c r="F2804" t="s">
        <v>54</v>
      </c>
      <c r="G2804">
        <v>-499.07490000000001</v>
      </c>
      <c r="H2804" s="1">
        <v>2.5316649999999999E-6</v>
      </c>
      <c r="I2804">
        <v>286.63869999999997</v>
      </c>
      <c r="J2804">
        <v>-348.29219999999998</v>
      </c>
      <c r="K2804">
        <v>1.1101289999999999</v>
      </c>
      <c r="L2804">
        <v>283.43029999999999</v>
      </c>
      <c r="M2804">
        <v>-0.99983140000000004</v>
      </c>
      <c r="N2804">
        <v>0</v>
      </c>
      <c r="O2804">
        <v>1.0579689999999999E-2</v>
      </c>
      <c r="P2804">
        <v>-0.99964149999999996</v>
      </c>
      <c r="Q2804">
        <v>1.5642679999999999E-2</v>
      </c>
      <c r="R2804">
        <v>2.1734460000000001E-2</v>
      </c>
      <c r="S2804">
        <v>-3.0000309999999999</v>
      </c>
      <c r="T2804">
        <v>-2.2049309999999999E-2</v>
      </c>
      <c r="U2804">
        <v>6.3781740000000003E-2</v>
      </c>
      <c r="V2804">
        <v>1.11469E-2</v>
      </c>
      <c r="W2804">
        <v>3.065851E-2</v>
      </c>
      <c r="X2804">
        <v>0.99946769999999996</v>
      </c>
      <c r="Y2804">
        <v>1.067588E-2</v>
      </c>
      <c r="Z2804" s="1">
        <v>-3.8525890000000003E-5</v>
      </c>
      <c r="AA2804">
        <v>0.99994300000000003</v>
      </c>
      <c r="AB2804">
        <v>44</v>
      </c>
      <c r="AC2804">
        <v>-150.78270000000001</v>
      </c>
      <c r="AD2804">
        <v>-1.1101264683350001</v>
      </c>
      <c r="AE2804">
        <v>3.2083999999999802</v>
      </c>
      <c r="AF2804">
        <v>1.61271910790307</v>
      </c>
      <c r="AG2804">
        <v>-1.1101264683350001</v>
      </c>
      <c r="AH2804">
        <v>150.80003655728001</v>
      </c>
      <c r="AI2804">
        <v>90.421755704217702</v>
      </c>
      <c r="AJ2804">
        <v>89.387278159329</v>
      </c>
      <c r="AK2804">
        <v>150.81274571260099</v>
      </c>
      <c r="AL2804">
        <v>88.243121364928697</v>
      </c>
      <c r="AM2804">
        <v>89.361016022697399</v>
      </c>
      <c r="AN2804">
        <v>0.99999994047915797</v>
      </c>
    </row>
    <row r="2805" spans="1:40" x14ac:dyDescent="0.25">
      <c r="A2805" t="str">
        <f>"20190312153940849"</f>
        <v>20190312153940849</v>
      </c>
      <c r="B2805" t="str">
        <f>"1552376380838409"</f>
        <v>1552376380838409</v>
      </c>
      <c r="C2805" t="s">
        <v>40</v>
      </c>
      <c r="D2805">
        <v>4.0722180000000003</v>
      </c>
      <c r="E2805">
        <v>0.50505699999999998</v>
      </c>
      <c r="F2805" t="s">
        <v>54</v>
      </c>
      <c r="G2805">
        <v>-499.95780000000002</v>
      </c>
      <c r="H2805">
        <v>7.4182750000000002E-3</v>
      </c>
      <c r="I2805">
        <v>287.47289999999998</v>
      </c>
      <c r="J2805">
        <v>-348.68389999999999</v>
      </c>
      <c r="K2805">
        <v>1.1102190000000001</v>
      </c>
      <c r="L2805">
        <v>283.43430000000001</v>
      </c>
      <c r="M2805">
        <v>-0.99982700000000002</v>
      </c>
      <c r="N2805">
        <v>0</v>
      </c>
      <c r="O2805">
        <v>1.0450879999999999E-2</v>
      </c>
      <c r="P2805">
        <v>-0.99969739999999996</v>
      </c>
      <c r="Q2805">
        <v>1.5453690000000001E-2</v>
      </c>
      <c r="R2805">
        <v>1.915178E-2</v>
      </c>
      <c r="S2805">
        <v>-2.9996640000000001</v>
      </c>
      <c r="T2805">
        <v>-2.1809579999999999E-2</v>
      </c>
      <c r="U2805">
        <v>7.9956050000000001E-2</v>
      </c>
      <c r="V2805">
        <v>8.6923369999999996E-3</v>
      </c>
      <c r="W2805">
        <v>3.0848199999999999E-2</v>
      </c>
      <c r="X2805">
        <v>0.99948630000000005</v>
      </c>
      <c r="Y2805">
        <v>1.6195520000000001E-2</v>
      </c>
      <c r="Z2805" s="1">
        <v>-1.71107899999999E-5</v>
      </c>
      <c r="AA2805">
        <v>0.99986889999999995</v>
      </c>
      <c r="AB2805">
        <v>44</v>
      </c>
      <c r="AC2805">
        <v>-151.2739</v>
      </c>
      <c r="AD2805">
        <v>-1.102800725</v>
      </c>
      <c r="AE2805">
        <v>4.0385999999999704</v>
      </c>
      <c r="AF2805">
        <v>2.45711634742718</v>
      </c>
      <c r="AG2805">
        <v>-1.102800725</v>
      </c>
      <c r="AH2805">
        <v>151.29981343444101</v>
      </c>
      <c r="AI2805">
        <v>90.417557541057903</v>
      </c>
      <c r="AJ2805">
        <v>89.069595535966201</v>
      </c>
      <c r="AK2805">
        <v>151.32378245167101</v>
      </c>
      <c r="AL2805">
        <v>88.232247918277693</v>
      </c>
      <c r="AM2805">
        <v>89.501722366179095</v>
      </c>
      <c r="AN2805">
        <v>1.00000001602672</v>
      </c>
    </row>
    <row r="2806" spans="1:40" x14ac:dyDescent="0.25">
      <c r="A2806" t="str">
        <f>"20190312153940862"</f>
        <v>20190312153940862</v>
      </c>
      <c r="B2806" t="str">
        <f>"1552376380858905"</f>
        <v>1552376380858905</v>
      </c>
      <c r="C2806" t="s">
        <v>40</v>
      </c>
      <c r="D2806">
        <v>4.0526600000000004</v>
      </c>
      <c r="E2806">
        <v>0.50678469999999998</v>
      </c>
      <c r="F2806" t="s">
        <v>54</v>
      </c>
      <c r="G2806">
        <v>-499.96679999999998</v>
      </c>
      <c r="H2806">
        <v>5.8977460000000002E-2</v>
      </c>
      <c r="I2806">
        <v>288.25830000000002</v>
      </c>
      <c r="J2806">
        <v>-348.94229999999999</v>
      </c>
      <c r="K2806">
        <v>1.110276</v>
      </c>
      <c r="L2806">
        <v>283.43689999999998</v>
      </c>
      <c r="M2806">
        <v>-0.99982349999999998</v>
      </c>
      <c r="N2806">
        <v>0</v>
      </c>
      <c r="O2806">
        <v>1.0365249999999999E-2</v>
      </c>
      <c r="P2806">
        <v>-0.99972629999999996</v>
      </c>
      <c r="Q2806">
        <v>1.502683E-2</v>
      </c>
      <c r="R2806">
        <v>1.7938200000000001E-2</v>
      </c>
      <c r="S2806">
        <v>-2.9993590000000001</v>
      </c>
      <c r="T2806">
        <v>-2.0842079999999999E-2</v>
      </c>
      <c r="U2806">
        <v>9.5642089999999999E-2</v>
      </c>
      <c r="V2806">
        <v>7.5640280000000004E-3</v>
      </c>
      <c r="W2806">
        <v>3.0704269999999999E-2</v>
      </c>
      <c r="X2806">
        <v>0.9994999</v>
      </c>
      <c r="Y2806">
        <v>2.1508070000000001E-2</v>
      </c>
      <c r="Z2806" s="1">
        <v>2.6959969999999998E-6</v>
      </c>
      <c r="AA2806">
        <v>0.99976869999999995</v>
      </c>
      <c r="AB2806">
        <v>44</v>
      </c>
      <c r="AC2806">
        <v>-151.02449999999999</v>
      </c>
      <c r="AD2806">
        <v>-1.0512985399999999</v>
      </c>
      <c r="AE2806">
        <v>4.8214000000000397</v>
      </c>
      <c r="AF2806">
        <v>3.2553844303024699</v>
      </c>
      <c r="AG2806">
        <v>-1.0512985399999999</v>
      </c>
      <c r="AH2806">
        <v>151.05905359717701</v>
      </c>
      <c r="AI2806">
        <v>90.398652141881797</v>
      </c>
      <c r="AJ2806">
        <v>88.765443595495597</v>
      </c>
      <c r="AK2806">
        <v>151.097784332148</v>
      </c>
      <c r="AL2806">
        <v>88.240498394549604</v>
      </c>
      <c r="AM2806">
        <v>89.566404551727103</v>
      </c>
      <c r="AN2806">
        <v>1.0000000084079099</v>
      </c>
    </row>
    <row r="2807" spans="1:40" x14ac:dyDescent="0.25">
      <c r="A2807" t="str">
        <f>"20190312153940882"</f>
        <v>20190312153940882</v>
      </c>
      <c r="B2807" t="str">
        <f>"1552376380878427"</f>
        <v>1552376380878427</v>
      </c>
      <c r="C2807" t="s">
        <v>40</v>
      </c>
      <c r="D2807">
        <v>4.0647010000000003</v>
      </c>
      <c r="E2807">
        <v>0.5080538</v>
      </c>
      <c r="F2807" t="s">
        <v>43</v>
      </c>
      <c r="G2807">
        <v>-526.28869999999995</v>
      </c>
      <c r="H2807">
        <v>-0.05</v>
      </c>
      <c r="I2807">
        <v>289.69869999999997</v>
      </c>
      <c r="J2807">
        <v>-349.32220000000001</v>
      </c>
      <c r="K2807">
        <v>1.1103499999999999</v>
      </c>
      <c r="L2807">
        <v>283.44080000000002</v>
      </c>
      <c r="M2807">
        <v>-0.99981739999999997</v>
      </c>
      <c r="N2807">
        <v>0</v>
      </c>
      <c r="O2807">
        <v>1.023904E-2</v>
      </c>
      <c r="P2807">
        <v>-0.99976540000000003</v>
      </c>
      <c r="Q2807">
        <v>1.482268E-2</v>
      </c>
      <c r="R2807">
        <v>1.5799250000000001E-2</v>
      </c>
      <c r="S2807">
        <v>-2.9992070000000002</v>
      </c>
      <c r="T2807">
        <v>-1.9622089999999998E-2</v>
      </c>
      <c r="U2807">
        <v>0.105896</v>
      </c>
      <c r="V2807">
        <v>5.5504619999999999E-3</v>
      </c>
      <c r="W2807">
        <v>3.0954010000000001E-2</v>
      </c>
      <c r="X2807">
        <v>0.99950539999999999</v>
      </c>
      <c r="Y2807">
        <v>2.5049849999999999E-2</v>
      </c>
      <c r="Z2807" s="1">
        <v>1.494561E-5</v>
      </c>
      <c r="AA2807">
        <v>0.99968619999999997</v>
      </c>
      <c r="AB2807">
        <v>43</v>
      </c>
      <c r="AC2807">
        <v>-176.966499999999</v>
      </c>
      <c r="AD2807">
        <v>-1.16035</v>
      </c>
      <c r="AE2807">
        <v>6.2578999999999496</v>
      </c>
      <c r="AF2807">
        <v>4.4451780295154597</v>
      </c>
      <c r="AG2807">
        <v>-1.16035</v>
      </c>
      <c r="AH2807">
        <v>177.01370335692101</v>
      </c>
      <c r="AI2807">
        <v>90.375458240935103</v>
      </c>
      <c r="AJ2807">
        <v>88.561487508791004</v>
      </c>
      <c r="AK2807">
        <v>177.07331023044799</v>
      </c>
      <c r="AL2807">
        <v>88.226182529626001</v>
      </c>
      <c r="AM2807">
        <v>89.681827854075195</v>
      </c>
      <c r="AN2807">
        <v>1.00000000149632</v>
      </c>
    </row>
    <row r="2808" spans="1:40" x14ac:dyDescent="0.25">
      <c r="A2808" t="str">
        <f>"20190312153940893"</f>
        <v>20190312153940893</v>
      </c>
      <c r="B2808" t="str">
        <f>"1552376380888186"</f>
        <v>1552376380888186</v>
      </c>
      <c r="C2808" t="s">
        <v>40</v>
      </c>
      <c r="D2808">
        <v>4.0772320000000004</v>
      </c>
      <c r="E2808">
        <v>0.50866679999999997</v>
      </c>
      <c r="F2808" t="s">
        <v>43</v>
      </c>
      <c r="G2808">
        <v>-534.69460000000004</v>
      </c>
      <c r="H2808">
        <v>-0.05</v>
      </c>
      <c r="I2808">
        <v>290.21969999999999</v>
      </c>
      <c r="J2808">
        <v>-349.54739999999998</v>
      </c>
      <c r="K2808">
        <v>1.1104019999999999</v>
      </c>
      <c r="L2808">
        <v>283.44299999999998</v>
      </c>
      <c r="M2808">
        <v>-0.99981359999999997</v>
      </c>
      <c r="N2808">
        <v>0</v>
      </c>
      <c r="O2808">
        <v>1.016479E-2</v>
      </c>
      <c r="P2808">
        <v>-0.99978750000000005</v>
      </c>
      <c r="Q2808">
        <v>1.457692E-2</v>
      </c>
      <c r="R2808">
        <v>1.458507E-2</v>
      </c>
      <c r="S2808">
        <v>-2.9992369999999999</v>
      </c>
      <c r="T2808">
        <v>-1.8773910000000001E-2</v>
      </c>
      <c r="U2808">
        <v>0.10968020000000001</v>
      </c>
      <c r="V2808">
        <v>4.4102150000000003E-3</v>
      </c>
      <c r="W2808">
        <v>3.0992619999999999E-2</v>
      </c>
      <c r="X2808">
        <v>0.99950989999999995</v>
      </c>
      <c r="Y2808">
        <v>2.6383360000000002E-2</v>
      </c>
      <c r="Z2808" s="1">
        <v>1.893572E-5</v>
      </c>
      <c r="AA2808">
        <v>0.99965190000000004</v>
      </c>
      <c r="AB2808">
        <v>43</v>
      </c>
      <c r="AC2808">
        <v>-185.1472</v>
      </c>
      <c r="AD2808">
        <v>-1.1604019999999999</v>
      </c>
      <c r="AE2808">
        <v>6.7766999999999999</v>
      </c>
      <c r="AF2808">
        <v>4.8939218200936896</v>
      </c>
      <c r="AG2808">
        <v>-1.1604019999999999</v>
      </c>
      <c r="AH2808">
        <v>185.19926013028299</v>
      </c>
      <c r="AI2808">
        <v>90.358867885468001</v>
      </c>
      <c r="AJ2808">
        <v>88.486301588648303</v>
      </c>
      <c r="AK2808">
        <v>185.26754426069101</v>
      </c>
      <c r="AL2808">
        <v>88.223969304069101</v>
      </c>
      <c r="AM2808">
        <v>89.747191031919101</v>
      </c>
      <c r="AN2808">
        <v>1.00000001634441</v>
      </c>
    </row>
    <row r="2809" spans="1:40" x14ac:dyDescent="0.25">
      <c r="A2809" t="str">
        <f>"20190312153940904"</f>
        <v>20190312153940904</v>
      </c>
      <c r="B2809" t="str">
        <f>"1552376380898922"</f>
        <v>1552376380898922</v>
      </c>
      <c r="C2809" t="s">
        <v>40</v>
      </c>
      <c r="D2809">
        <v>4.0368449999999996</v>
      </c>
      <c r="E2809">
        <v>0.509200599999999</v>
      </c>
      <c r="F2809" t="s">
        <v>43</v>
      </c>
      <c r="G2809">
        <v>-533.40779999999995</v>
      </c>
      <c r="H2809">
        <v>-0.05</v>
      </c>
      <c r="I2809">
        <v>290.23939999999999</v>
      </c>
      <c r="J2809">
        <v>-349.75959999999998</v>
      </c>
      <c r="K2809">
        <v>1.110452</v>
      </c>
      <c r="L2809">
        <v>283.44510000000002</v>
      </c>
      <c r="M2809">
        <v>-0.99980990000000003</v>
      </c>
      <c r="N2809">
        <v>0</v>
      </c>
      <c r="O2809">
        <v>1.0095649999999999E-2</v>
      </c>
      <c r="P2809">
        <v>-0.99979960000000001</v>
      </c>
      <c r="Q2809">
        <v>1.4652129999999999E-2</v>
      </c>
      <c r="R2809">
        <v>1.365569E-2</v>
      </c>
      <c r="S2809">
        <v>-2.9993289999999999</v>
      </c>
      <c r="T2809">
        <v>-1.8929720000000001E-2</v>
      </c>
      <c r="U2809">
        <v>0.11087039999999999</v>
      </c>
      <c r="V2809">
        <v>3.5495679999999999E-3</v>
      </c>
      <c r="W2809">
        <v>3.1341969999999997E-2</v>
      </c>
      <c r="X2809">
        <v>0.99950240000000001</v>
      </c>
      <c r="Y2809">
        <v>2.6847449999999998E-2</v>
      </c>
      <c r="Z2809" s="1">
        <v>2.0992049999999998E-5</v>
      </c>
      <c r="AA2809">
        <v>0.99963959999999996</v>
      </c>
      <c r="AB2809">
        <v>43</v>
      </c>
      <c r="AC2809">
        <v>-183.6482</v>
      </c>
      <c r="AD2809">
        <v>-1.160452</v>
      </c>
      <c r="AE2809">
        <v>6.7942999999999598</v>
      </c>
      <c r="AF2809">
        <v>4.9394507546874902</v>
      </c>
      <c r="AG2809">
        <v>-1.160452</v>
      </c>
      <c r="AH2809">
        <v>183.700115855604</v>
      </c>
      <c r="AI2809">
        <v>90.3618075873744</v>
      </c>
      <c r="AJ2809">
        <v>88.459764141944007</v>
      </c>
      <c r="AK2809">
        <v>183.770175458274</v>
      </c>
      <c r="AL2809">
        <v>88.203943234924395</v>
      </c>
      <c r="AM2809">
        <v>89.796524339998697</v>
      </c>
      <c r="AN2809">
        <v>0.99999998306111304</v>
      </c>
    </row>
    <row r="2810" spans="1:40" x14ac:dyDescent="0.25">
      <c r="A2810" t="str">
        <f>"20190312153940915"</f>
        <v>20190312153940915</v>
      </c>
      <c r="B2810" t="str">
        <f>"1552376380908682"</f>
        <v>1552376380908682</v>
      </c>
      <c r="C2810" t="s">
        <v>40</v>
      </c>
      <c r="D2810">
        <v>4.0784760000000002</v>
      </c>
      <c r="E2810">
        <v>0.50976189999999999</v>
      </c>
      <c r="F2810" t="s">
        <v>43</v>
      </c>
      <c r="G2810">
        <v>-542.96559999999999</v>
      </c>
      <c r="H2810">
        <v>-0.05</v>
      </c>
      <c r="I2810">
        <v>290.68329999999997</v>
      </c>
      <c r="J2810">
        <v>-349.97919999999999</v>
      </c>
      <c r="K2810">
        <v>1.1104989999999999</v>
      </c>
      <c r="L2810">
        <v>283.44729999999998</v>
      </c>
      <c r="M2810">
        <v>-0.99980559999999996</v>
      </c>
      <c r="N2810">
        <v>0</v>
      </c>
      <c r="O2810">
        <v>1.002488E-2</v>
      </c>
      <c r="P2810">
        <v>-0.99980959999999997</v>
      </c>
      <c r="Q2810">
        <v>1.4459990000000001E-2</v>
      </c>
      <c r="R2810">
        <v>1.310334E-2</v>
      </c>
      <c r="S2810">
        <v>-2.999298</v>
      </c>
      <c r="T2810">
        <v>-1.801467E-2</v>
      </c>
      <c r="U2810">
        <v>0.1123657</v>
      </c>
      <c r="V2810">
        <v>3.06756E-3</v>
      </c>
      <c r="W2810">
        <v>3.1436810000000003E-2</v>
      </c>
      <c r="X2810">
        <v>0.99950099999999997</v>
      </c>
      <c r="Y2810">
        <v>2.741625E-2</v>
      </c>
      <c r="Z2810" s="1">
        <v>2.2109599999999999E-5</v>
      </c>
      <c r="AA2810">
        <v>0.99962410000000002</v>
      </c>
      <c r="AB2810">
        <v>43</v>
      </c>
      <c r="AC2810">
        <v>-192.9864</v>
      </c>
      <c r="AD2810">
        <v>-1.1604989999999999</v>
      </c>
      <c r="AE2810">
        <v>7.23599999999999</v>
      </c>
      <c r="AF2810">
        <v>5.3005004739115504</v>
      </c>
      <c r="AG2810">
        <v>-1.1604989999999999</v>
      </c>
      <c r="AH2810">
        <v>193.042279321693</v>
      </c>
      <c r="AI2810">
        <v>90.344307186146096</v>
      </c>
      <c r="AJ2810">
        <v>88.427183824741206</v>
      </c>
      <c r="AK2810">
        <v>193.11852233516501</v>
      </c>
      <c r="AL2810">
        <v>88.198506593319493</v>
      </c>
      <c r="AM2810">
        <v>89.824154563562104</v>
      </c>
      <c r="AN2810">
        <v>0.99999996597416396</v>
      </c>
    </row>
    <row r="2811" spans="1:40" x14ac:dyDescent="0.25">
      <c r="A2811" t="str">
        <f>"20190312153940927"</f>
        <v>20190312153940927</v>
      </c>
      <c r="B2811" t="str">
        <f>"1552376380918442"</f>
        <v>1552376380918442</v>
      </c>
      <c r="C2811" t="s">
        <v>40</v>
      </c>
      <c r="D2811">
        <v>4.0771980000000001</v>
      </c>
      <c r="E2811">
        <v>0.5102565</v>
      </c>
      <c r="F2811" t="s">
        <v>43</v>
      </c>
      <c r="G2811">
        <v>-538.1893</v>
      </c>
      <c r="H2811">
        <v>-0.05</v>
      </c>
      <c r="I2811">
        <v>290.67450000000002</v>
      </c>
      <c r="J2811">
        <v>-350.20049999999998</v>
      </c>
      <c r="K2811">
        <v>1.1105419999999999</v>
      </c>
      <c r="L2811">
        <v>283.44940000000003</v>
      </c>
      <c r="M2811">
        <v>-0.99980150000000001</v>
      </c>
      <c r="N2811">
        <v>0</v>
      </c>
      <c r="O2811">
        <v>9.9540889999999993E-3</v>
      </c>
      <c r="P2811">
        <v>-0.99982499999999996</v>
      </c>
      <c r="Q2811">
        <v>1.409317E-2</v>
      </c>
      <c r="R2811">
        <v>1.231779E-2</v>
      </c>
      <c r="S2811">
        <v>-2.9993289999999999</v>
      </c>
      <c r="T2811">
        <v>-1.849377E-2</v>
      </c>
      <c r="U2811">
        <v>0.11517330000000001</v>
      </c>
      <c r="V2811">
        <v>2.352654E-3</v>
      </c>
      <c r="W2811">
        <v>3.1354359999999998E-2</v>
      </c>
      <c r="X2811">
        <v>0.99950559999999999</v>
      </c>
      <c r="Y2811">
        <v>2.842093E-2</v>
      </c>
      <c r="Z2811" s="1">
        <v>2.622935E-5</v>
      </c>
      <c r="AA2811">
        <v>0.99959609999999999</v>
      </c>
      <c r="AB2811">
        <v>43</v>
      </c>
      <c r="AC2811">
        <v>-187.9888</v>
      </c>
      <c r="AD2811">
        <v>-1.160542</v>
      </c>
      <c r="AE2811">
        <v>7.2250999999999896</v>
      </c>
      <c r="AF2811">
        <v>5.3530022176682897</v>
      </c>
      <c r="AG2811">
        <v>-1.160542</v>
      </c>
      <c r="AH2811">
        <v>188.04425755921901</v>
      </c>
      <c r="AI2811">
        <v>90.353461417454497</v>
      </c>
      <c r="AJ2811">
        <v>88.369417749514199</v>
      </c>
      <c r="AK2811">
        <v>188.12401306445199</v>
      </c>
      <c r="AL2811">
        <v>88.203233089256102</v>
      </c>
      <c r="AM2811">
        <v>89.865136427540307</v>
      </c>
      <c r="AN2811">
        <v>1.0000000376516001</v>
      </c>
    </row>
    <row r="2812" spans="1:40" x14ac:dyDescent="0.25">
      <c r="A2812" t="str">
        <f>"20190312153940939"</f>
        <v>20190312153940939</v>
      </c>
      <c r="B2812" t="str">
        <f>"1552376380928202"</f>
        <v>1552376380928202</v>
      </c>
      <c r="C2812" t="s">
        <v>40</v>
      </c>
      <c r="D2812">
        <v>4.0309309999999998</v>
      </c>
      <c r="E2812">
        <v>0.51075700000000002</v>
      </c>
      <c r="F2812" t="s">
        <v>54</v>
      </c>
      <c r="G2812">
        <v>-504.55939999999998</v>
      </c>
      <c r="H2812">
        <v>7.9981689999999994E-2</v>
      </c>
      <c r="I2812">
        <v>289.45519999999999</v>
      </c>
      <c r="J2812">
        <v>-350.4246</v>
      </c>
      <c r="K2812">
        <v>1.1105849999999999</v>
      </c>
      <c r="L2812">
        <v>283.45159999999998</v>
      </c>
      <c r="M2812">
        <v>-0.99979720000000005</v>
      </c>
      <c r="N2812">
        <v>0</v>
      </c>
      <c r="O2812">
        <v>9.8827120000000001E-3</v>
      </c>
      <c r="P2812">
        <v>-0.99983200000000005</v>
      </c>
      <c r="Q2812">
        <v>1.402801E-2</v>
      </c>
      <c r="R2812">
        <v>1.1802979999999999E-2</v>
      </c>
      <c r="S2812">
        <v>-2.9993590000000001</v>
      </c>
      <c r="T2812">
        <v>-2.0024900000000002E-2</v>
      </c>
      <c r="U2812">
        <v>0.1166992</v>
      </c>
      <c r="V2812">
        <v>1.9088239999999999E-3</v>
      </c>
      <c r="W2812">
        <v>3.157455E-2</v>
      </c>
      <c r="X2812">
        <v>0.99949960000000004</v>
      </c>
      <c r="Y2812">
        <v>2.8999549999999999E-2</v>
      </c>
      <c r="Z2812" s="1">
        <v>3.080712E-5</v>
      </c>
      <c r="AA2812">
        <v>0.99957940000000001</v>
      </c>
      <c r="AB2812">
        <v>43</v>
      </c>
      <c r="AC2812">
        <v>-154.13479999999899</v>
      </c>
      <c r="AD2812">
        <v>-1.0306033100000001</v>
      </c>
      <c r="AE2812">
        <v>6.0035999999999996</v>
      </c>
      <c r="AF2812">
        <v>4.4796023615340097</v>
      </c>
      <c r="AG2812">
        <v>-1.0306033100000001</v>
      </c>
      <c r="AH2812">
        <v>154.17972889634601</v>
      </c>
      <c r="AI2812">
        <v>90.382822271119693</v>
      </c>
      <c r="AJ2812">
        <v>88.335772631582401</v>
      </c>
      <c r="AK2812">
        <v>154.24823429475899</v>
      </c>
      <c r="AL2812">
        <v>88.1906108560772</v>
      </c>
      <c r="AM2812">
        <v>89.890577819070998</v>
      </c>
      <c r="AN2812">
        <v>1.00000002310846</v>
      </c>
    </row>
    <row r="2813" spans="1:40" x14ac:dyDescent="0.25">
      <c r="A2813" t="str">
        <f>"20190312153940951"</f>
        <v>20190312153940951</v>
      </c>
      <c r="B2813" t="str">
        <f>"1552376380938939"</f>
        <v>1552376380938939</v>
      </c>
      <c r="C2813" t="s">
        <v>40</v>
      </c>
      <c r="D2813">
        <v>4.0515460000000001</v>
      </c>
      <c r="E2813">
        <v>0.51112659999999999</v>
      </c>
      <c r="F2813" t="s">
        <v>43</v>
      </c>
      <c r="G2813">
        <v>-525.84220000000005</v>
      </c>
      <c r="H2813">
        <v>-0.05</v>
      </c>
      <c r="I2813">
        <v>290.4196</v>
      </c>
      <c r="J2813">
        <v>-350.65949999999998</v>
      </c>
      <c r="K2813">
        <v>1.1106229999999999</v>
      </c>
      <c r="L2813">
        <v>283.4538</v>
      </c>
      <c r="M2813">
        <v>-0.99979280000000004</v>
      </c>
      <c r="N2813">
        <v>0</v>
      </c>
      <c r="O2813">
        <v>9.8079150000000004E-3</v>
      </c>
      <c r="P2813">
        <v>-0.999834</v>
      </c>
      <c r="Q2813">
        <v>1.414314E-2</v>
      </c>
      <c r="R2813">
        <v>1.14991E-2</v>
      </c>
      <c r="S2813">
        <v>-2.9993289999999999</v>
      </c>
      <c r="T2813">
        <v>-1.9843940000000001E-2</v>
      </c>
      <c r="U2813">
        <v>0.1191406</v>
      </c>
      <c r="V2813">
        <v>1.6795499999999999E-3</v>
      </c>
      <c r="W2813">
        <v>3.1980130000000002E-2</v>
      </c>
      <c r="X2813">
        <v>0.99948709999999996</v>
      </c>
      <c r="Y2813">
        <v>2.988704E-2</v>
      </c>
      <c r="Z2813" s="1">
        <v>3.3957659999999999E-5</v>
      </c>
      <c r="AA2813">
        <v>0.99955329999999998</v>
      </c>
      <c r="AB2813">
        <v>43</v>
      </c>
      <c r="AC2813">
        <v>-175.18270000000001</v>
      </c>
      <c r="AD2813">
        <v>-1.160623</v>
      </c>
      <c r="AE2813">
        <v>6.9657999999999998</v>
      </c>
      <c r="AF2813">
        <v>5.2467844855118599</v>
      </c>
      <c r="AG2813">
        <v>-1.160623</v>
      </c>
      <c r="AH2813">
        <v>175.23492256706501</v>
      </c>
      <c r="AI2813">
        <v>90.3793081868819</v>
      </c>
      <c r="AJ2813">
        <v>88.284994696661997</v>
      </c>
      <c r="AK2813">
        <v>175.317294869248</v>
      </c>
      <c r="AL2813">
        <v>88.167361061686293</v>
      </c>
      <c r="AM2813">
        <v>89.903719581870803</v>
      </c>
      <c r="AN2813">
        <v>1.0000000063347101</v>
      </c>
    </row>
    <row r="2814" spans="1:40" x14ac:dyDescent="0.25">
      <c r="A2814" t="str">
        <f>"20190312153940964"</f>
        <v>20190312153940964</v>
      </c>
      <c r="B2814" t="str">
        <f>"1552376380958458"</f>
        <v>1552376380958458</v>
      </c>
      <c r="C2814" t="s">
        <v>40</v>
      </c>
      <c r="D2814">
        <v>4.0530390000000001</v>
      </c>
      <c r="E2814">
        <v>0.51174920000000002</v>
      </c>
      <c r="F2814" t="s">
        <v>43</v>
      </c>
      <c r="G2814">
        <v>-531.2568</v>
      </c>
      <c r="H2814">
        <v>-0.05</v>
      </c>
      <c r="I2814">
        <v>290.74860000000001</v>
      </c>
      <c r="J2814">
        <v>-350.8897</v>
      </c>
      <c r="K2814">
        <v>1.11066</v>
      </c>
      <c r="L2814">
        <v>283.45600000000002</v>
      </c>
      <c r="M2814">
        <v>-0.99978849999999997</v>
      </c>
      <c r="N2814">
        <v>0</v>
      </c>
      <c r="O2814">
        <v>9.7343450000000002E-3</v>
      </c>
      <c r="P2814">
        <v>-0.99983699999999998</v>
      </c>
      <c r="Q2814">
        <v>1.397525E-2</v>
      </c>
      <c r="R2814">
        <v>1.142755E-2</v>
      </c>
      <c r="S2814">
        <v>-2.9994200000000002</v>
      </c>
      <c r="T2814">
        <v>-1.9276020000000001E-2</v>
      </c>
      <c r="U2814">
        <v>0.12115480000000001</v>
      </c>
      <c r="V2814">
        <v>1.681164E-3</v>
      </c>
      <c r="W2814">
        <v>3.208975E-2</v>
      </c>
      <c r="X2814">
        <v>0.99948360000000003</v>
      </c>
      <c r="Y2814">
        <v>3.0629480000000001E-2</v>
      </c>
      <c r="Z2814" s="1">
        <v>3.5841430000000001E-5</v>
      </c>
      <c r="AA2814">
        <v>0.99953080000000005</v>
      </c>
      <c r="AB2814">
        <v>43</v>
      </c>
      <c r="AC2814">
        <v>-180.36709999999999</v>
      </c>
      <c r="AD2814">
        <v>-1.16066</v>
      </c>
      <c r="AE2814">
        <v>7.2926000000000499</v>
      </c>
      <c r="AF2814">
        <v>5.5359817319874196</v>
      </c>
      <c r="AG2814">
        <v>-1.16066</v>
      </c>
      <c r="AH2814">
        <v>180.422092846829</v>
      </c>
      <c r="AI2814">
        <v>90.368406772677901</v>
      </c>
      <c r="AJ2814">
        <v>88.242516212945901</v>
      </c>
      <c r="AK2814">
        <v>180.51073600371299</v>
      </c>
      <c r="AL2814">
        <v>88.161077102883496</v>
      </c>
      <c r="AM2814">
        <v>89.903626721810298</v>
      </c>
      <c r="AN2814">
        <v>1.0000000225182</v>
      </c>
    </row>
    <row r="2815" spans="1:40" x14ac:dyDescent="0.25">
      <c r="A2815" t="str">
        <f>"20190312153940976"</f>
        <v>20190312153940976</v>
      </c>
      <c r="B2815" t="str">
        <f>"1552376380968218"</f>
        <v>1552376380968218</v>
      </c>
      <c r="C2815" t="s">
        <v>40</v>
      </c>
      <c r="D2815">
        <v>4.0365209999999996</v>
      </c>
      <c r="E2815">
        <v>0.51206909999999894</v>
      </c>
      <c r="F2815" t="s">
        <v>43</v>
      </c>
      <c r="G2815">
        <v>-527.95740000000001</v>
      </c>
      <c r="H2815">
        <v>-0.05</v>
      </c>
      <c r="I2815">
        <v>290.8897</v>
      </c>
      <c r="J2815">
        <v>-351.13319999999999</v>
      </c>
      <c r="K2815">
        <v>1.1106910000000001</v>
      </c>
      <c r="L2815">
        <v>283.45830000000001</v>
      </c>
      <c r="M2815">
        <v>-0.99978389999999995</v>
      </c>
      <c r="N2815">
        <v>0</v>
      </c>
      <c r="O2815">
        <v>9.6563069999999994E-3</v>
      </c>
      <c r="P2815">
        <v>-0.99984280000000003</v>
      </c>
      <c r="Q2815">
        <v>1.355232E-2</v>
      </c>
      <c r="R2815">
        <v>1.1434639999999999E-2</v>
      </c>
      <c r="S2815">
        <v>-2.9992679999999998</v>
      </c>
      <c r="T2815">
        <v>-1.9659880000000001E-2</v>
      </c>
      <c r="U2815">
        <v>0.12591550000000001</v>
      </c>
      <c r="V2815">
        <v>1.7663030000000001E-3</v>
      </c>
      <c r="W2815">
        <v>3.1952969999999997E-2</v>
      </c>
      <c r="X2815">
        <v>0.99948780000000004</v>
      </c>
      <c r="Y2815">
        <v>3.2293269999999999E-2</v>
      </c>
      <c r="Z2815" s="1">
        <v>4.2517420000000002E-5</v>
      </c>
      <c r="AA2815">
        <v>0.99947850000000005</v>
      </c>
      <c r="AB2815">
        <v>43</v>
      </c>
      <c r="AC2815">
        <v>-176.82419999999999</v>
      </c>
      <c r="AD2815">
        <v>-1.1606909999999999</v>
      </c>
      <c r="AE2815">
        <v>7.4313999999999902</v>
      </c>
      <c r="AF2815">
        <v>5.7230490783859898</v>
      </c>
      <c r="AG2815">
        <v>-1.1606909999999999</v>
      </c>
      <c r="AH2815">
        <v>176.880117275732</v>
      </c>
      <c r="AI2815">
        <v>90.375774059643803</v>
      </c>
      <c r="AJ2815">
        <v>88.146811474722</v>
      </c>
      <c r="AK2815">
        <v>176.976485392347</v>
      </c>
      <c r="AL2815">
        <v>88.168917975755704</v>
      </c>
      <c r="AM2815">
        <v>89.898746536086094</v>
      </c>
      <c r="AN2815">
        <v>0.99999998723347405</v>
      </c>
    </row>
    <row r="2816" spans="1:40" x14ac:dyDescent="0.25">
      <c r="A2816" t="str">
        <f>"20190312153940989"</f>
        <v>20190312153940989</v>
      </c>
      <c r="B2816" t="str">
        <f>"1552376380978955"</f>
        <v>1552376380978955</v>
      </c>
      <c r="C2816" t="s">
        <v>40</v>
      </c>
      <c r="D2816">
        <v>4.041061</v>
      </c>
      <c r="E2816">
        <v>0.51238879999999998</v>
      </c>
      <c r="F2816" t="s">
        <v>54</v>
      </c>
      <c r="G2816">
        <v>-500.1721</v>
      </c>
      <c r="H2816">
        <v>8.0004169999999999E-2</v>
      </c>
      <c r="I2816">
        <v>289.83780000000002</v>
      </c>
      <c r="J2816">
        <v>-351.3759</v>
      </c>
      <c r="K2816">
        <v>1.1107209999999901</v>
      </c>
      <c r="L2816">
        <v>283.4606</v>
      </c>
      <c r="M2816">
        <v>-0.9997798</v>
      </c>
      <c r="N2816">
        <v>0</v>
      </c>
      <c r="O2816">
        <v>9.5774310000000008E-3</v>
      </c>
      <c r="P2816">
        <v>-0.99983750000000005</v>
      </c>
      <c r="Q2816">
        <v>1.377864E-2</v>
      </c>
      <c r="R2816">
        <v>1.164044E-2</v>
      </c>
      <c r="S2816">
        <v>-2.999298</v>
      </c>
      <c r="T2816">
        <v>-2.0741820000000001E-2</v>
      </c>
      <c r="U2816">
        <v>0.12838749999999999</v>
      </c>
      <c r="V2816">
        <v>2.050943E-3</v>
      </c>
      <c r="W2816">
        <v>3.2451479999999998E-2</v>
      </c>
      <c r="X2816">
        <v>0.9994712</v>
      </c>
      <c r="Y2816">
        <v>3.3193809999999997E-2</v>
      </c>
      <c r="Z2816" s="1">
        <v>4.8513390000000001E-5</v>
      </c>
      <c r="AA2816">
        <v>0.99944900000000003</v>
      </c>
      <c r="AB2816">
        <v>43</v>
      </c>
      <c r="AC2816">
        <v>-148.7962</v>
      </c>
      <c r="AD2816">
        <v>-1.03071682999999</v>
      </c>
      <c r="AE2816">
        <v>6.37720000000001</v>
      </c>
      <c r="AF2816">
        <v>4.9513364481878801</v>
      </c>
      <c r="AG2816">
        <v>-1.03071682999999</v>
      </c>
      <c r="AH2816">
        <v>148.84333199686901</v>
      </c>
      <c r="AI2816">
        <v>90.396538648797502</v>
      </c>
      <c r="AJ2816">
        <v>88.094734214082905</v>
      </c>
      <c r="AK2816">
        <v>148.929230138804</v>
      </c>
      <c r="AL2816">
        <v>88.140340644472502</v>
      </c>
      <c r="AM2816">
        <v>89.882427614738603</v>
      </c>
      <c r="AN2816">
        <v>0.99999999227540903</v>
      </c>
    </row>
    <row r="2817" spans="1:40" x14ac:dyDescent="0.25">
      <c r="A2817" t="str">
        <f>"20190312153941005"</f>
        <v>20190312153941005</v>
      </c>
      <c r="B2817" t="str">
        <f>"1552376380998522"</f>
        <v>1552376380998522</v>
      </c>
      <c r="C2817" t="s">
        <v>40</v>
      </c>
      <c r="D2817">
        <v>4.0845370000000001</v>
      </c>
      <c r="E2817">
        <v>0.51302579999999998</v>
      </c>
      <c r="F2817" t="s">
        <v>54</v>
      </c>
      <c r="G2817">
        <v>-503.39299999999997</v>
      </c>
      <c r="H2817">
        <v>8.0004649999999997E-2</v>
      </c>
      <c r="I2817">
        <v>290.1241</v>
      </c>
      <c r="J2817">
        <v>-351.6764</v>
      </c>
      <c r="K2817">
        <v>1.1107629999999999</v>
      </c>
      <c r="L2817">
        <v>283.46339999999998</v>
      </c>
      <c r="M2817">
        <v>-0.99977450000000001</v>
      </c>
      <c r="N2817">
        <v>0</v>
      </c>
      <c r="O2817">
        <v>9.4792299999999999E-3</v>
      </c>
      <c r="P2817">
        <v>-0.9998264</v>
      </c>
      <c r="Q2817">
        <v>1.411275E-2</v>
      </c>
      <c r="R2817">
        <v>1.217902E-2</v>
      </c>
      <c r="S2817">
        <v>-2.999298</v>
      </c>
      <c r="T2817">
        <v>-2.0336030000000001E-2</v>
      </c>
      <c r="U2817">
        <v>0.13146969999999999</v>
      </c>
      <c r="V2817">
        <v>2.6874609999999999E-3</v>
      </c>
      <c r="W2817">
        <v>3.311679E-2</v>
      </c>
      <c r="X2817">
        <v>0.99944789999999994</v>
      </c>
      <c r="Y2817">
        <v>3.4317069999999998E-2</v>
      </c>
      <c r="Z2817" s="1">
        <v>5.2034570000000003E-5</v>
      </c>
      <c r="AA2817">
        <v>0.99941100000000005</v>
      </c>
      <c r="AB2817">
        <v>42</v>
      </c>
      <c r="AC2817">
        <v>-151.7166</v>
      </c>
      <c r="AD2817">
        <v>-1.0307583499999999</v>
      </c>
      <c r="AE2817">
        <v>6.6607000000000101</v>
      </c>
      <c r="AF2817">
        <v>5.2217438010796604</v>
      </c>
      <c r="AG2817">
        <v>-1.0307583499999999</v>
      </c>
      <c r="AH2817">
        <v>151.76593904102799</v>
      </c>
      <c r="AI2817">
        <v>90.388903276076604</v>
      </c>
      <c r="AJ2817">
        <v>88.029426707432293</v>
      </c>
      <c r="AK2817">
        <v>151.859241813284</v>
      </c>
      <c r="AL2817">
        <v>88.102200747706505</v>
      </c>
      <c r="AM2817">
        <v>89.845935138996794</v>
      </c>
      <c r="AN2817">
        <v>1.0000000245204701</v>
      </c>
    </row>
    <row r="2818" spans="1:40" x14ac:dyDescent="0.25">
      <c r="A2818" t="str">
        <f>"20190312153941018"</f>
        <v>20190312153941018</v>
      </c>
      <c r="B2818" t="str">
        <f>"1552376381008273"</f>
        <v>1552376381008273</v>
      </c>
      <c r="C2818" t="s">
        <v>40</v>
      </c>
      <c r="D2818">
        <v>4.0669740000000001</v>
      </c>
      <c r="E2818">
        <v>0.51326959999999999</v>
      </c>
      <c r="F2818" t="s">
        <v>43</v>
      </c>
      <c r="G2818">
        <v>-526.22640000000001</v>
      </c>
      <c r="H2818">
        <v>-0.05</v>
      </c>
      <c r="I2818">
        <v>291.50749999999999</v>
      </c>
      <c r="J2818">
        <v>-351.91500000000002</v>
      </c>
      <c r="K2818">
        <v>1.1107910000000001</v>
      </c>
      <c r="L2818">
        <v>283.46559999999999</v>
      </c>
      <c r="M2818">
        <v>-0.9997703</v>
      </c>
      <c r="N2818">
        <v>0</v>
      </c>
      <c r="O2818">
        <v>9.4010580000000003E-3</v>
      </c>
      <c r="P2818">
        <v>-0.99981770000000003</v>
      </c>
      <c r="Q2818">
        <v>1.4193259999999999E-2</v>
      </c>
      <c r="R2818">
        <v>1.2773929999999999E-2</v>
      </c>
      <c r="S2818">
        <v>-2.9991150000000002</v>
      </c>
      <c r="T2818">
        <v>-1.9944190000000001E-2</v>
      </c>
      <c r="U2818">
        <v>0.13821410000000001</v>
      </c>
      <c r="V2818">
        <v>3.3603679999999999E-3</v>
      </c>
      <c r="W2818">
        <v>3.3457059999999997E-2</v>
      </c>
      <c r="X2818">
        <v>0.9994345</v>
      </c>
      <c r="Y2818">
        <v>3.6640640000000002E-2</v>
      </c>
      <c r="Z2818" s="1">
        <v>5.9273669999999898E-5</v>
      </c>
      <c r="AA2818">
        <v>0.99932849999999995</v>
      </c>
      <c r="AB2818">
        <v>42</v>
      </c>
      <c r="AC2818">
        <v>-174.31139999999999</v>
      </c>
      <c r="AD2818">
        <v>-1.1607909999999999</v>
      </c>
      <c r="AE2818">
        <v>8.0418999999999894</v>
      </c>
      <c r="AF2818">
        <v>6.4022455565493104</v>
      </c>
      <c r="AG2818">
        <v>-1.1607909999999999</v>
      </c>
      <c r="AH2818">
        <v>174.37159426002199</v>
      </c>
      <c r="AI2818">
        <v>90.381155320774894</v>
      </c>
      <c r="AJ2818">
        <v>87.897266750832699</v>
      </c>
      <c r="AK2818">
        <v>174.49294847842401</v>
      </c>
      <c r="AL2818">
        <v>88.082693843460007</v>
      </c>
      <c r="AM2818">
        <v>89.807356881827303</v>
      </c>
      <c r="AN2818">
        <v>0.99999999336359402</v>
      </c>
    </row>
    <row r="2819" spans="1:40" x14ac:dyDescent="0.25">
      <c r="A2819" t="str">
        <f>"20190312153941040"</f>
        <v>20190312153941040</v>
      </c>
      <c r="B2819" t="str">
        <f>"1552376381028770"</f>
        <v>1552376381028770</v>
      </c>
      <c r="C2819" t="s">
        <v>40</v>
      </c>
      <c r="D2819">
        <v>4.0502659999999997</v>
      </c>
      <c r="E2819">
        <v>0.51376040000000001</v>
      </c>
      <c r="F2819" t="s">
        <v>43</v>
      </c>
      <c r="G2819">
        <v>-526.71299999999997</v>
      </c>
      <c r="H2819">
        <v>-0.05</v>
      </c>
      <c r="I2819">
        <v>291.7278</v>
      </c>
      <c r="J2819">
        <v>-352.32029999999997</v>
      </c>
      <c r="K2819">
        <v>1.110841</v>
      </c>
      <c r="L2819">
        <v>283.4692</v>
      </c>
      <c r="M2819">
        <v>-0.99976290000000001</v>
      </c>
      <c r="N2819">
        <v>0</v>
      </c>
      <c r="O2819">
        <v>9.2681970000000006E-3</v>
      </c>
      <c r="P2819">
        <v>-0.99979260000000003</v>
      </c>
      <c r="Q2819">
        <v>1.4706230000000001E-2</v>
      </c>
      <c r="R2819">
        <v>1.409908E-2</v>
      </c>
      <c r="S2819">
        <v>-2.998993</v>
      </c>
      <c r="T2819">
        <v>-1.9915579999999999E-2</v>
      </c>
      <c r="U2819">
        <v>0.1417542</v>
      </c>
      <c r="V2819">
        <v>4.8183790000000002E-3</v>
      </c>
      <c r="W2819">
        <v>3.4409229999999999E-2</v>
      </c>
      <c r="X2819">
        <v>0.99939619999999996</v>
      </c>
      <c r="Y2819">
        <v>3.7952220000000002E-2</v>
      </c>
      <c r="Z2819" s="1">
        <v>6.4423279999999996E-5</v>
      </c>
      <c r="AA2819">
        <v>0.99927960000000005</v>
      </c>
      <c r="AB2819">
        <v>42</v>
      </c>
      <c r="AC2819">
        <v>-174.39269999999999</v>
      </c>
      <c r="AD2819">
        <v>-1.160841</v>
      </c>
      <c r="AE2819">
        <v>8.2585999999999995</v>
      </c>
      <c r="AF2819">
        <v>6.6413317885403602</v>
      </c>
      <c r="AG2819">
        <v>-1.160841</v>
      </c>
      <c r="AH2819">
        <v>174.45405147024599</v>
      </c>
      <c r="AI2819">
        <v>90.380972330327296</v>
      </c>
      <c r="AJ2819">
        <v>87.8198464683705</v>
      </c>
      <c r="AK2819">
        <v>174.584280260669</v>
      </c>
      <c r="AL2819">
        <v>88.0281070722788</v>
      </c>
      <c r="AM2819">
        <v>89.723762566102096</v>
      </c>
      <c r="AN2819">
        <v>0.99999998822990999</v>
      </c>
    </row>
    <row r="2820" spans="1:40" x14ac:dyDescent="0.25">
      <c r="A2820" t="str">
        <f>"20190312153941054"</f>
        <v>20190312153941054</v>
      </c>
      <c r="B2820" t="str">
        <f>"1552376381048289"</f>
        <v>1552376381048289</v>
      </c>
      <c r="C2820" t="s">
        <v>40</v>
      </c>
      <c r="D2820">
        <v>4.0500619999999996</v>
      </c>
      <c r="E2820">
        <v>0.51417749999999995</v>
      </c>
      <c r="F2820" t="s">
        <v>43</v>
      </c>
      <c r="G2820">
        <v>-537.75890000000004</v>
      </c>
      <c r="H2820">
        <v>-0.05</v>
      </c>
      <c r="I2820">
        <v>292.73500000000001</v>
      </c>
      <c r="J2820">
        <v>-352.5949</v>
      </c>
      <c r="K2820">
        <v>1.11087</v>
      </c>
      <c r="L2820">
        <v>283.4717</v>
      </c>
      <c r="M2820">
        <v>-0.99975789999999998</v>
      </c>
      <c r="N2820">
        <v>0</v>
      </c>
      <c r="O2820">
        <v>9.1782740000000002E-3</v>
      </c>
      <c r="P2820">
        <v>-0.99977870000000002</v>
      </c>
      <c r="Q2820">
        <v>1.5057900000000001E-2</v>
      </c>
      <c r="R2820">
        <v>1.469196E-2</v>
      </c>
      <c r="S2820">
        <v>-2.9988100000000002</v>
      </c>
      <c r="T2820">
        <v>-1.8772480000000001E-2</v>
      </c>
      <c r="U2820">
        <v>0.14984129999999901</v>
      </c>
      <c r="V2820">
        <v>5.5010079999999999E-3</v>
      </c>
      <c r="W2820">
        <v>3.5054009999999997E-2</v>
      </c>
      <c r="X2820">
        <v>0.99937030000000004</v>
      </c>
      <c r="Y2820">
        <v>4.0733270000000002E-2</v>
      </c>
      <c r="Z2820" s="1">
        <v>6.9986960000000003E-5</v>
      </c>
      <c r="AA2820">
        <v>0.99917009999999995</v>
      </c>
      <c r="AB2820">
        <v>42</v>
      </c>
      <c r="AC2820">
        <v>-185.16399999999999</v>
      </c>
      <c r="AD2820">
        <v>-1.1608700000000001</v>
      </c>
      <c r="AE2820">
        <v>9.2633000000000099</v>
      </c>
      <c r="AF2820">
        <v>7.5627873029754697</v>
      </c>
      <c r="AG2820">
        <v>-1.1608700000000001</v>
      </c>
      <c r="AH2820">
        <v>185.23397310236501</v>
      </c>
      <c r="AI2820">
        <v>90.358771742563903</v>
      </c>
      <c r="AJ2820">
        <v>87.662009537371304</v>
      </c>
      <c r="AK2820">
        <v>185.39193122203201</v>
      </c>
      <c r="AL2820">
        <v>87.991141661382599</v>
      </c>
      <c r="AM2820">
        <v>89.684620047001602</v>
      </c>
      <c r="AN2820">
        <v>1.00000002061409</v>
      </c>
    </row>
    <row r="2821" spans="1:40" x14ac:dyDescent="0.25">
      <c r="A2821" t="str">
        <f>"20190312153941068"</f>
        <v>20190312153941068</v>
      </c>
      <c r="B2821" t="str">
        <f>"1552376381059026"</f>
        <v>1552376381059026</v>
      </c>
      <c r="C2821" t="s">
        <v>40</v>
      </c>
      <c r="D2821">
        <v>4.05586</v>
      </c>
      <c r="E2821">
        <v>0.51435310000000001</v>
      </c>
      <c r="F2821" t="s">
        <v>43</v>
      </c>
      <c r="G2821">
        <v>-545.59659999999997</v>
      </c>
      <c r="H2821">
        <v>-0.05</v>
      </c>
      <c r="I2821">
        <v>293.44</v>
      </c>
      <c r="J2821">
        <v>-352.84730000000002</v>
      </c>
      <c r="K2821">
        <v>1.110894</v>
      </c>
      <c r="L2821">
        <v>283.47390000000001</v>
      </c>
      <c r="M2821">
        <v>-0.99975349999999996</v>
      </c>
      <c r="N2821">
        <v>0</v>
      </c>
      <c r="O2821">
        <v>9.0957109999999994E-3</v>
      </c>
      <c r="P2821">
        <v>-0.99976929999999997</v>
      </c>
      <c r="Q2821">
        <v>1.510273E-2</v>
      </c>
      <c r="R2821">
        <v>1.528036E-2</v>
      </c>
      <c r="S2821">
        <v>-2.9986570000000001</v>
      </c>
      <c r="T2821">
        <v>-1.8036369999999999E-2</v>
      </c>
      <c r="U2821">
        <v>0.15487670000000001</v>
      </c>
      <c r="V2821">
        <v>6.1719969999999898E-3</v>
      </c>
      <c r="W2821">
        <v>3.5361370000000003E-2</v>
      </c>
      <c r="X2821">
        <v>0.99935560000000001</v>
      </c>
      <c r="Y2821">
        <v>4.2491729999999998E-2</v>
      </c>
      <c r="Z2821" s="1">
        <v>7.3024119999999897E-5</v>
      </c>
      <c r="AA2821">
        <v>0.99909680000000001</v>
      </c>
      <c r="AB2821">
        <v>42</v>
      </c>
      <c r="AC2821">
        <v>-192.74929999999901</v>
      </c>
      <c r="AD2821">
        <v>-1.1608940000000001</v>
      </c>
      <c r="AE2821">
        <v>9.9660999999999795</v>
      </c>
      <c r="AF2821">
        <v>8.2118388550322194</v>
      </c>
      <c r="AG2821">
        <v>-1.1608940000000001</v>
      </c>
      <c r="AH2821">
        <v>192.82501471235599</v>
      </c>
      <c r="AI2821">
        <v>90.344630028005298</v>
      </c>
      <c r="AJ2821">
        <v>87.5614181860781</v>
      </c>
      <c r="AK2821">
        <v>193.003285648407</v>
      </c>
      <c r="AL2821">
        <v>87.973520401289605</v>
      </c>
      <c r="AM2821">
        <v>89.646147093942204</v>
      </c>
      <c r="AN2821">
        <v>1.0000000676433001</v>
      </c>
    </row>
    <row r="2822" spans="1:40" x14ac:dyDescent="0.25">
      <c r="A2822" t="str">
        <f>"20190312153941083"</f>
        <v>20190312153941083</v>
      </c>
      <c r="B2822" t="str">
        <f>"1552376381078548"</f>
        <v>1552376381078548</v>
      </c>
      <c r="C2822" t="s">
        <v>40</v>
      </c>
      <c r="D2822">
        <v>4.0411780000000004</v>
      </c>
      <c r="E2822">
        <v>0.51475159999999998</v>
      </c>
      <c r="F2822" t="s">
        <v>43</v>
      </c>
      <c r="G2822">
        <v>-545.13480000000004</v>
      </c>
      <c r="H2822">
        <v>-0.05</v>
      </c>
      <c r="I2822">
        <v>293.6053</v>
      </c>
      <c r="J2822">
        <v>-353.1336</v>
      </c>
      <c r="K2822">
        <v>1.110919</v>
      </c>
      <c r="L2822">
        <v>283.47649999999999</v>
      </c>
      <c r="M2822">
        <v>-0.99974830000000003</v>
      </c>
      <c r="N2822">
        <v>0</v>
      </c>
      <c r="O2822">
        <v>9.0024359999999904E-3</v>
      </c>
      <c r="P2822">
        <v>-0.99975009999999997</v>
      </c>
      <c r="Q2822">
        <v>1.493071E-2</v>
      </c>
      <c r="R2822">
        <v>1.6638170000000001E-2</v>
      </c>
      <c r="S2822">
        <v>-2.998535</v>
      </c>
      <c r="T2822">
        <v>-1.8103000000000001E-2</v>
      </c>
      <c r="U2822">
        <v>0.1579895</v>
      </c>
      <c r="V2822">
        <v>7.6230809999999899E-3</v>
      </c>
      <c r="W2822">
        <v>3.5481939999999997E-2</v>
      </c>
      <c r="X2822">
        <v>0.99934120000000004</v>
      </c>
      <c r="Y2822">
        <v>4.362129E-2</v>
      </c>
      <c r="Z2822" s="1">
        <v>7.7264779999999998E-5</v>
      </c>
      <c r="AA2822">
        <v>0.99904809999999999</v>
      </c>
      <c r="AB2822">
        <v>42</v>
      </c>
      <c r="AC2822">
        <v>-192.00120000000001</v>
      </c>
      <c r="AD2822">
        <v>-1.160919</v>
      </c>
      <c r="AE2822">
        <v>10.1288</v>
      </c>
      <c r="AF2822">
        <v>8.3992395704492804</v>
      </c>
      <c r="AG2822">
        <v>-1.160919</v>
      </c>
      <c r="AH2822">
        <v>192.077616725811</v>
      </c>
      <c r="AI2822">
        <v>90.345961434409006</v>
      </c>
      <c r="AJ2822">
        <v>87.496144527330699</v>
      </c>
      <c r="AK2822">
        <v>192.26467643681701</v>
      </c>
      <c r="AL2822">
        <v>87.966607686090299</v>
      </c>
      <c r="AM2822">
        <v>89.562950174692006</v>
      </c>
      <c r="AN2822">
        <v>0.99999995672376696</v>
      </c>
    </row>
    <row r="2823" spans="1:40" x14ac:dyDescent="0.25">
      <c r="A2823" t="str">
        <f>"20190312153941099"</f>
        <v>20190312153941099</v>
      </c>
      <c r="B2823" t="str">
        <f>"1552376381088305"</f>
        <v>1552376381088305</v>
      </c>
      <c r="C2823" t="s">
        <v>40</v>
      </c>
      <c r="D2823">
        <v>4.0496840000000001</v>
      </c>
      <c r="E2823">
        <v>0.51496209999999998</v>
      </c>
      <c r="F2823" t="s">
        <v>43</v>
      </c>
      <c r="G2823">
        <v>-536.37760000000003</v>
      </c>
      <c r="H2823">
        <v>-0.05</v>
      </c>
      <c r="I2823">
        <v>293.56299999999999</v>
      </c>
      <c r="J2823">
        <v>-353.41449999999998</v>
      </c>
      <c r="K2823">
        <v>1.11094</v>
      </c>
      <c r="L2823">
        <v>283.47890000000001</v>
      </c>
      <c r="M2823">
        <v>-0.99974320000000005</v>
      </c>
      <c r="N2823">
        <v>0</v>
      </c>
      <c r="O2823">
        <v>8.9108599999999996E-3</v>
      </c>
      <c r="P2823">
        <v>-0.99973939999999994</v>
      </c>
      <c r="Q2823">
        <v>1.472215E-2</v>
      </c>
      <c r="R2823">
        <v>1.745352E-2</v>
      </c>
      <c r="S2823">
        <v>-2.998291</v>
      </c>
      <c r="T2823">
        <v>-1.8995290000000001E-2</v>
      </c>
      <c r="U2823">
        <v>0.16503909999999999</v>
      </c>
      <c r="V2823">
        <v>8.5302060000000002E-3</v>
      </c>
      <c r="W2823">
        <v>3.5553410000000001E-2</v>
      </c>
      <c r="X2823">
        <v>0.99933139999999998</v>
      </c>
      <c r="Y2823">
        <v>4.6058929999999998E-2</v>
      </c>
      <c r="Z2823" s="1">
        <v>8.9369839999999995E-5</v>
      </c>
      <c r="AA2823">
        <v>0.99893869999999896</v>
      </c>
      <c r="AB2823">
        <v>42</v>
      </c>
      <c r="AC2823">
        <v>-182.9631</v>
      </c>
      <c r="AD2823">
        <v>-1.1609399999999901</v>
      </c>
      <c r="AE2823">
        <v>10.0840999999999</v>
      </c>
      <c r="AF2823">
        <v>8.4526475956574494</v>
      </c>
      <c r="AG2823">
        <v>-1.1609399999999901</v>
      </c>
      <c r="AH2823">
        <v>183.03836314272101</v>
      </c>
      <c r="AI2823">
        <v>90.363012756238007</v>
      </c>
      <c r="AJ2823">
        <v>87.355979383524996</v>
      </c>
      <c r="AK2823">
        <v>183.23710709085799</v>
      </c>
      <c r="AL2823">
        <v>87.962510316912898</v>
      </c>
      <c r="AM2823">
        <v>89.5109400821202</v>
      </c>
      <c r="AN2823">
        <v>1.00000002820149</v>
      </c>
    </row>
    <row r="2824" spans="1:40" x14ac:dyDescent="0.25">
      <c r="A2824" t="str">
        <f>"20190312153941111"</f>
        <v>20190312153941111</v>
      </c>
      <c r="B2824" t="str">
        <f>"1552376381099041"</f>
        <v>1552376381099041</v>
      </c>
      <c r="C2824" t="s">
        <v>40</v>
      </c>
      <c r="D2824">
        <v>4.0589820000000003</v>
      </c>
      <c r="E2824">
        <v>0.51516419999999996</v>
      </c>
      <c r="F2824" t="s">
        <v>43</v>
      </c>
      <c r="G2824">
        <v>-529.62210000000005</v>
      </c>
      <c r="H2824">
        <v>-0.05</v>
      </c>
      <c r="I2824">
        <v>293.42090000000002</v>
      </c>
      <c r="J2824">
        <v>-353.65379999999999</v>
      </c>
      <c r="K2824">
        <v>1.1109610000000001</v>
      </c>
      <c r="L2824">
        <v>283.48099999999999</v>
      </c>
      <c r="M2824">
        <v>-0.99973920000000005</v>
      </c>
      <c r="N2824">
        <v>0</v>
      </c>
      <c r="O2824">
        <v>8.8325250000000008E-3</v>
      </c>
      <c r="P2824">
        <v>-0.99973389999999995</v>
      </c>
      <c r="Q2824">
        <v>1.4428679999999999E-2</v>
      </c>
      <c r="R2824">
        <v>1.800301E-2</v>
      </c>
      <c r="S2824">
        <v>-2.9981080000000002</v>
      </c>
      <c r="T2824">
        <v>-1.975298E-2</v>
      </c>
      <c r="U2824">
        <v>0.1691589</v>
      </c>
      <c r="V2824">
        <v>9.1580380000000003E-3</v>
      </c>
      <c r="W2824">
        <v>3.5490519999999998E-2</v>
      </c>
      <c r="X2824">
        <v>0.99932810000000005</v>
      </c>
      <c r="Y2824">
        <v>4.750882E-2</v>
      </c>
      <c r="Z2824" s="1">
        <v>9.8224670000000006E-5</v>
      </c>
      <c r="AA2824">
        <v>0.99887079999999995</v>
      </c>
      <c r="AB2824">
        <v>41</v>
      </c>
      <c r="AC2824">
        <v>-175.9683</v>
      </c>
      <c r="AD2824">
        <v>-1.1609609999999999</v>
      </c>
      <c r="AE2824">
        <v>9.9399000000000193</v>
      </c>
      <c r="AF2824">
        <v>8.3845591051655699</v>
      </c>
      <c r="AG2824">
        <v>-1.1609609999999999</v>
      </c>
      <c r="AH2824">
        <v>176.041608434083</v>
      </c>
      <c r="AI2824">
        <v>90.377421488537394</v>
      </c>
      <c r="AJ2824">
        <v>87.273161198384102</v>
      </c>
      <c r="AK2824">
        <v>176.244990175297</v>
      </c>
      <c r="AL2824">
        <v>87.966115966339899</v>
      </c>
      <c r="AM2824">
        <v>89.474944977779202</v>
      </c>
      <c r="AN2824">
        <v>1.00000004905974</v>
      </c>
    </row>
    <row r="2825" spans="1:40" x14ac:dyDescent="0.25">
      <c r="A2825" t="str">
        <f>"20190312153941123"</f>
        <v>20190312153941123</v>
      </c>
      <c r="B2825" t="str">
        <f>"1552376381118562"</f>
        <v>1552376381118562</v>
      </c>
      <c r="C2825" t="s">
        <v>40</v>
      </c>
      <c r="D2825">
        <v>4.0528500000000003</v>
      </c>
      <c r="E2825">
        <v>0.51549970000000001</v>
      </c>
      <c r="F2825" t="s">
        <v>54</v>
      </c>
      <c r="G2825">
        <v>-503.59449999999998</v>
      </c>
      <c r="H2825">
        <v>8.0004420000000007E-2</v>
      </c>
      <c r="I2825">
        <v>292.09539999999998</v>
      </c>
      <c r="J2825">
        <v>-353.8732</v>
      </c>
      <c r="K2825">
        <v>1.1109789999999999</v>
      </c>
      <c r="L2825">
        <v>283.4828</v>
      </c>
      <c r="M2825">
        <v>-0.99973540000000005</v>
      </c>
      <c r="N2825">
        <v>0</v>
      </c>
      <c r="O2825">
        <v>8.7606960000000001E-3</v>
      </c>
      <c r="P2825">
        <v>-0.99972950000000005</v>
      </c>
      <c r="Q2825">
        <v>1.372662E-2</v>
      </c>
      <c r="R2825">
        <v>1.8776640000000001E-2</v>
      </c>
      <c r="S2825">
        <v>-2.997986</v>
      </c>
      <c r="T2825">
        <v>-2.0613429999999999E-2</v>
      </c>
      <c r="U2825">
        <v>0.17224120000000001</v>
      </c>
      <c r="V2825">
        <v>1.0003629999999999E-2</v>
      </c>
      <c r="W2825">
        <v>3.499443E-2</v>
      </c>
      <c r="X2825">
        <v>0.99933740000000004</v>
      </c>
      <c r="Y2825">
        <v>4.8606330000000003E-2</v>
      </c>
      <c r="Z2825">
        <v>1.067677E-4</v>
      </c>
      <c r="AA2825">
        <v>0.99881799999999998</v>
      </c>
      <c r="AB2825">
        <v>41</v>
      </c>
      <c r="AC2825">
        <v>-149.72130000000001</v>
      </c>
      <c r="AD2825">
        <v>-1.0309745800000001</v>
      </c>
      <c r="AE2825">
        <v>8.6125999999999792</v>
      </c>
      <c r="AF2825">
        <v>7.2999647600035198</v>
      </c>
      <c r="AG2825">
        <v>-1.0309745800000001</v>
      </c>
      <c r="AH2825">
        <v>149.78394239862001</v>
      </c>
      <c r="AI2825">
        <v>90.393897587558897</v>
      </c>
      <c r="AJ2825">
        <v>87.209804473036101</v>
      </c>
      <c r="AK2825">
        <v>149.965268627623</v>
      </c>
      <c r="AL2825">
        <v>87.994557319740395</v>
      </c>
      <c r="AM2825">
        <v>89.426473346038904</v>
      </c>
      <c r="AN2825">
        <v>0.99999996089148002</v>
      </c>
    </row>
    <row r="2826" spans="1:40" x14ac:dyDescent="0.25">
      <c r="A2826" t="str">
        <f>"20190312153941139"</f>
        <v>20190312153941139</v>
      </c>
      <c r="B2826" t="str">
        <f>"1552376381128321"</f>
        <v>1552376381128321</v>
      </c>
      <c r="C2826" t="s">
        <v>40</v>
      </c>
      <c r="D2826">
        <v>4.0618720000000001</v>
      </c>
      <c r="E2826">
        <v>0.51570400000000005</v>
      </c>
      <c r="F2826" t="s">
        <v>54</v>
      </c>
      <c r="G2826">
        <v>-499.95780000000002</v>
      </c>
      <c r="H2826">
        <v>3.889215E-2</v>
      </c>
      <c r="I2826">
        <v>292.1216</v>
      </c>
      <c r="J2826">
        <v>-354.149</v>
      </c>
      <c r="K2826">
        <v>1.1109990000000001</v>
      </c>
      <c r="L2826">
        <v>283.48520000000002</v>
      </c>
      <c r="M2826">
        <v>-0.99973080000000003</v>
      </c>
      <c r="N2826">
        <v>0</v>
      </c>
      <c r="O2826">
        <v>8.6697049999999998E-3</v>
      </c>
      <c r="P2826">
        <v>-0.99969710000000001</v>
      </c>
      <c r="Q2826">
        <v>1.364252E-2</v>
      </c>
      <c r="R2826">
        <v>2.048867E-2</v>
      </c>
      <c r="S2826">
        <v>-2.9978030000000002</v>
      </c>
      <c r="T2826">
        <v>-2.2000309999999999E-2</v>
      </c>
      <c r="U2826">
        <v>0.17727660000000001</v>
      </c>
      <c r="V2826">
        <v>1.180693E-2</v>
      </c>
      <c r="W2826">
        <v>3.516027E-2</v>
      </c>
      <c r="X2826">
        <v>0.99931190000000003</v>
      </c>
      <c r="Y2826">
        <v>5.0372460000000001E-2</v>
      </c>
      <c r="Z2826">
        <v>1.210942E-4</v>
      </c>
      <c r="AA2826">
        <v>0.99873049999999997</v>
      </c>
      <c r="AB2826">
        <v>41</v>
      </c>
      <c r="AC2826">
        <v>-145.80879999999999</v>
      </c>
      <c r="AD2826">
        <v>-1.0721068499999999</v>
      </c>
      <c r="AE2826">
        <v>8.6363999999999805</v>
      </c>
      <c r="AF2826">
        <v>7.3712660126580802</v>
      </c>
      <c r="AG2826">
        <v>-1.0721068499999999</v>
      </c>
      <c r="AH2826">
        <v>145.870351200426</v>
      </c>
      <c r="AI2826">
        <v>90.420563983836701</v>
      </c>
      <c r="AJ2826">
        <v>87.107133266462199</v>
      </c>
      <c r="AK2826">
        <v>146.06041330580601</v>
      </c>
      <c r="AL2826">
        <v>87.985049536077</v>
      </c>
      <c r="AM2826">
        <v>89.323078427847705</v>
      </c>
      <c r="AN2826">
        <v>0.999999960832053</v>
      </c>
    </row>
    <row r="2827" spans="1:40" x14ac:dyDescent="0.25">
      <c r="A2827" t="str">
        <f>"20190312153941150"</f>
        <v>20190312153941150</v>
      </c>
      <c r="B2827" t="str">
        <f>"1552376381139058"</f>
        <v>1552376381139058</v>
      </c>
      <c r="C2827" t="s">
        <v>40</v>
      </c>
      <c r="D2827">
        <v>4.051304</v>
      </c>
      <c r="E2827">
        <v>0.51589039999999997</v>
      </c>
      <c r="F2827" t="s">
        <v>54</v>
      </c>
      <c r="G2827">
        <v>-499.95780000000002</v>
      </c>
      <c r="H2827">
        <v>4.5344799999999998E-2</v>
      </c>
      <c r="I2827">
        <v>292.44119999999998</v>
      </c>
      <c r="J2827">
        <v>-354.37880000000001</v>
      </c>
      <c r="K2827">
        <v>1.1110169999999999</v>
      </c>
      <c r="L2827">
        <v>283.4871</v>
      </c>
      <c r="M2827">
        <v>-0.99972729999999999</v>
      </c>
      <c r="N2827">
        <v>0</v>
      </c>
      <c r="O2827">
        <v>8.5933250000000006E-3</v>
      </c>
      <c r="P2827">
        <v>-0.9996874</v>
      </c>
      <c r="Q2827">
        <v>1.3577830000000001E-2</v>
      </c>
      <c r="R2827">
        <v>2.0995650000000001E-2</v>
      </c>
      <c r="S2827">
        <v>-2.9974669999999999</v>
      </c>
      <c r="T2827">
        <v>-2.190721E-2</v>
      </c>
      <c r="U2827">
        <v>0.18411250000000001</v>
      </c>
      <c r="V2827">
        <v>1.2390160000000001E-2</v>
      </c>
      <c r="W2827">
        <v>3.5293230000000002E-2</v>
      </c>
      <c r="X2827">
        <v>0.99930019999999997</v>
      </c>
      <c r="Y2827">
        <v>5.2724550000000002E-2</v>
      </c>
      <c r="Z2827">
        <v>1.297316E-4</v>
      </c>
      <c r="AA2827">
        <v>0.99860910000000003</v>
      </c>
      <c r="AB2827">
        <v>41</v>
      </c>
      <c r="AC2827">
        <v>-145.57900000000001</v>
      </c>
      <c r="AD2827">
        <v>-1.0656721999999901</v>
      </c>
      <c r="AE2827">
        <v>8.9540999999999809</v>
      </c>
      <c r="AF2827">
        <v>7.7020553864269301</v>
      </c>
      <c r="AG2827">
        <v>-1.0656721999999901</v>
      </c>
      <c r="AH2827">
        <v>145.64281086968501</v>
      </c>
      <c r="AI2827">
        <v>90.418642249154502</v>
      </c>
      <c r="AJ2827">
        <v>86.972836671542893</v>
      </c>
      <c r="AK2827">
        <v>145.850216566299</v>
      </c>
      <c r="AL2827">
        <v>87.977426855147201</v>
      </c>
      <c r="AM2827">
        <v>89.289635386109694</v>
      </c>
      <c r="AN2827">
        <v>1.0000000089343399</v>
      </c>
    </row>
    <row r="2828" spans="1:40" x14ac:dyDescent="0.25">
      <c r="A2828" t="str">
        <f>"20190312153941164"</f>
        <v>20190312153941164</v>
      </c>
      <c r="B2828" t="str">
        <f>"1552376381158578"</f>
        <v>1552376381158578</v>
      </c>
      <c r="C2828" t="s">
        <v>40</v>
      </c>
      <c r="D2828">
        <v>4.0557280000000002</v>
      </c>
      <c r="E2828">
        <v>0.51620719999999998</v>
      </c>
      <c r="F2828" t="s">
        <v>54</v>
      </c>
      <c r="G2828">
        <v>-499.97820000000002</v>
      </c>
      <c r="H2828">
        <v>7.0482400000000001E-2</v>
      </c>
      <c r="I2828">
        <v>292.58330000000001</v>
      </c>
      <c r="J2828">
        <v>-354.60329999999999</v>
      </c>
      <c r="K2828">
        <v>1.111035</v>
      </c>
      <c r="L2828">
        <v>283.48899999999998</v>
      </c>
      <c r="M2828">
        <v>-0.9997239</v>
      </c>
      <c r="N2828">
        <v>0</v>
      </c>
      <c r="O2828">
        <v>8.5185380000000008E-3</v>
      </c>
      <c r="P2828">
        <v>-0.99967479999999997</v>
      </c>
      <c r="Q2828">
        <v>1.344303E-2</v>
      </c>
      <c r="R2828">
        <v>2.1679670000000002E-2</v>
      </c>
      <c r="S2828">
        <v>-2.9973139999999998</v>
      </c>
      <c r="T2828">
        <v>-2.1420479999999999E-2</v>
      </c>
      <c r="U2828">
        <v>0.1872559</v>
      </c>
      <c r="V2828">
        <v>1.314911E-2</v>
      </c>
      <c r="W2828">
        <v>3.5346120000000002E-2</v>
      </c>
      <c r="X2828">
        <v>0.99928859999999997</v>
      </c>
      <c r="Y2828">
        <v>5.3845560000000001E-2</v>
      </c>
      <c r="Z2828">
        <v>1.3138719999999999E-4</v>
      </c>
      <c r="AA2828">
        <v>0.99854929999999997</v>
      </c>
      <c r="AB2828">
        <v>41</v>
      </c>
      <c r="AC2828">
        <v>-145.3749</v>
      </c>
      <c r="AD2828">
        <v>-1.0405526</v>
      </c>
      <c r="AE2828">
        <v>9.0942999999999703</v>
      </c>
      <c r="AF2828">
        <v>7.8548903543876802</v>
      </c>
      <c r="AG2828">
        <v>-1.0405526</v>
      </c>
      <c r="AH2828">
        <v>145.439689240424</v>
      </c>
      <c r="AI2828">
        <v>90.409320862337495</v>
      </c>
      <c r="AJ2828">
        <v>86.908579398071097</v>
      </c>
      <c r="AK2828">
        <v>145.65536467478199</v>
      </c>
      <c r="AL2828">
        <v>87.974394524122104</v>
      </c>
      <c r="AM2828">
        <v>89.246118658851401</v>
      </c>
      <c r="AN2828">
        <v>0.99999997669140295</v>
      </c>
    </row>
    <row r="2829" spans="1:40" x14ac:dyDescent="0.25">
      <c r="A2829" t="str">
        <f>"20190312153941183"</f>
        <v>20190312153941183</v>
      </c>
      <c r="B2829" t="str">
        <f>"1552376381179073"</f>
        <v>1552376381179073</v>
      </c>
      <c r="C2829" t="s">
        <v>40</v>
      </c>
      <c r="D2829">
        <v>4.1602709999999998</v>
      </c>
      <c r="E2829">
        <v>0.52690709999999996</v>
      </c>
      <c r="F2829" t="s">
        <v>54</v>
      </c>
      <c r="G2829">
        <v>-504.64339999999999</v>
      </c>
      <c r="H2829">
        <v>8.0004400000000003E-2</v>
      </c>
      <c r="I2829">
        <v>293.07569999999998</v>
      </c>
      <c r="J2829">
        <v>-354.9622</v>
      </c>
      <c r="K2829">
        <v>1.1110599999999999</v>
      </c>
      <c r="L2829">
        <v>283.49189999999999</v>
      </c>
      <c r="M2829">
        <v>-0.99971860000000001</v>
      </c>
      <c r="N2829">
        <v>0</v>
      </c>
      <c r="O2829">
        <v>8.3984550000000009E-3</v>
      </c>
      <c r="P2829">
        <v>-0.99965870000000001</v>
      </c>
      <c r="Q2829">
        <v>1.257252E-2</v>
      </c>
      <c r="R2829">
        <v>2.290536E-2</v>
      </c>
      <c r="S2829">
        <v>-2.9971009999999998</v>
      </c>
      <c r="T2829">
        <v>-2.0595189999999999E-2</v>
      </c>
      <c r="U2829">
        <v>0.1914978</v>
      </c>
      <c r="V2829">
        <v>1.4495360000000001E-2</v>
      </c>
      <c r="W2829">
        <v>3.4757589999999998E-2</v>
      </c>
      <c r="X2829">
        <v>0.99929060000000003</v>
      </c>
      <c r="Y2829">
        <v>5.5377549999999998E-2</v>
      </c>
      <c r="Z2829">
        <v>1.32411E-4</v>
      </c>
      <c r="AA2829">
        <v>0.99846550000000001</v>
      </c>
      <c r="AB2829">
        <v>41</v>
      </c>
      <c r="AC2829">
        <v>-149.68119999999999</v>
      </c>
      <c r="AD2829">
        <v>-1.0310556</v>
      </c>
      <c r="AE2829">
        <v>9.5837999999999894</v>
      </c>
      <c r="AF2829">
        <v>8.3256681029096899</v>
      </c>
      <c r="AG2829">
        <v>-1.0310556</v>
      </c>
      <c r="AH2829">
        <v>149.74935093655199</v>
      </c>
      <c r="AI2829">
        <v>90.393878927259607</v>
      </c>
      <c r="AJ2829">
        <v>86.817782216943797</v>
      </c>
      <c r="AK2829">
        <v>149.984158933298</v>
      </c>
      <c r="AL2829">
        <v>88.0081355000965</v>
      </c>
      <c r="AM2829">
        <v>89.168945743423095</v>
      </c>
      <c r="AN2829">
        <v>0.999999954386247</v>
      </c>
    </row>
    <row r="2830" spans="1:40" x14ac:dyDescent="0.25">
      <c r="A2830" t="str">
        <f>"20190312153941195"</f>
        <v>20190312153941195</v>
      </c>
      <c r="B2830" t="str">
        <f>"1552376381188834"</f>
        <v>1552376381188834</v>
      </c>
      <c r="C2830" t="s">
        <v>40</v>
      </c>
      <c r="D2830">
        <v>4.1222440000000002</v>
      </c>
      <c r="E2830">
        <v>0.528929599999999</v>
      </c>
      <c r="F2830" t="s">
        <v>61</v>
      </c>
      <c r="G2830">
        <v>-467.16090000000003</v>
      </c>
      <c r="H2830">
        <v>8.000024E-2</v>
      </c>
      <c r="I2830">
        <v>293.99970000000002</v>
      </c>
      <c r="J2830">
        <v>-355.18380000000002</v>
      </c>
      <c r="K2830">
        <v>1.1110739999999999</v>
      </c>
      <c r="L2830">
        <v>283.49369999999999</v>
      </c>
      <c r="M2830">
        <v>-0.99971560000000004</v>
      </c>
      <c r="N2830">
        <v>0</v>
      </c>
      <c r="O2830">
        <v>8.3238989999999992E-3</v>
      </c>
      <c r="P2830">
        <v>-0.9996505</v>
      </c>
      <c r="Q2830">
        <v>1.2431319999999999E-2</v>
      </c>
      <c r="R2830">
        <v>2.3332950000000002E-2</v>
      </c>
      <c r="S2830">
        <v>-2.9949340000000002</v>
      </c>
      <c r="T2830">
        <v>-2.7522209999999998E-2</v>
      </c>
      <c r="U2830">
        <v>0.28048709999999999</v>
      </c>
      <c r="V2830">
        <v>1.499757E-2</v>
      </c>
      <c r="W2830">
        <v>3.4780459999999999E-2</v>
      </c>
      <c r="X2830">
        <v>0.99928240000000002</v>
      </c>
      <c r="Y2830">
        <v>8.4949659999999996E-2</v>
      </c>
      <c r="Z2830">
        <v>3.131303E-4</v>
      </c>
      <c r="AA2830">
        <v>0.99638519999999997</v>
      </c>
      <c r="AB2830">
        <v>41</v>
      </c>
      <c r="AC2830">
        <v>-111.97709999999999</v>
      </c>
      <c r="AD2830">
        <v>-1.03107376</v>
      </c>
      <c r="AE2830">
        <v>10.506</v>
      </c>
      <c r="AF2830">
        <v>9.5725124038008005</v>
      </c>
      <c r="AG2830">
        <v>-1.03107376</v>
      </c>
      <c r="AH2830">
        <v>112.051274015567</v>
      </c>
      <c r="AI2830">
        <v>90.525296324018896</v>
      </c>
      <c r="AJ2830">
        <v>85.117091692493801</v>
      </c>
      <c r="AK2830">
        <v>112.46414591029</v>
      </c>
      <c r="AL2830">
        <v>88.006824366446097</v>
      </c>
      <c r="AM2830">
        <v>89.140150017977504</v>
      </c>
      <c r="AN2830">
        <v>0.99999996122673696</v>
      </c>
    </row>
    <row r="2831" spans="1:40" x14ac:dyDescent="0.25">
      <c r="A2831" t="str">
        <f>"20190312153941207"</f>
        <v>20190312153941207</v>
      </c>
      <c r="B2831" t="str">
        <f>"1552376381198594"</f>
        <v>1552376381198594</v>
      </c>
      <c r="C2831" t="s">
        <v>40</v>
      </c>
      <c r="D2831">
        <v>4.1061940000000003</v>
      </c>
      <c r="E2831">
        <v>0.53013929999999998</v>
      </c>
      <c r="F2831" t="s">
        <v>61</v>
      </c>
      <c r="G2831">
        <v>-459.54129999999998</v>
      </c>
      <c r="H2831">
        <v>8.0000950000000001E-2</v>
      </c>
      <c r="I2831">
        <v>293.87580000000003</v>
      </c>
      <c r="J2831">
        <v>-355.3913</v>
      </c>
      <c r="K2831">
        <v>1.111086</v>
      </c>
      <c r="L2831">
        <v>283.49529999999999</v>
      </c>
      <c r="M2831">
        <v>-0.99971299999999996</v>
      </c>
      <c r="N2831">
        <v>0</v>
      </c>
      <c r="O2831">
        <v>8.2538239999999999E-3</v>
      </c>
      <c r="P2831">
        <v>-0.99963760000000002</v>
      </c>
      <c r="Q2831">
        <v>1.2372029999999999E-2</v>
      </c>
      <c r="R2831">
        <v>2.3921089999999999E-2</v>
      </c>
      <c r="S2831">
        <v>-2.994507</v>
      </c>
      <c r="T2831">
        <v>-2.9586319999999999E-2</v>
      </c>
      <c r="U2831">
        <v>0.29791260000000003</v>
      </c>
      <c r="V2831">
        <v>1.5655970000000002E-2</v>
      </c>
      <c r="W2831">
        <v>3.4861959999999997E-2</v>
      </c>
      <c r="X2831">
        <v>0.99926950000000003</v>
      </c>
      <c r="Y2831">
        <v>9.0774949999999993E-2</v>
      </c>
      <c r="Z2831">
        <v>3.6596399999999998E-4</v>
      </c>
      <c r="AA2831">
        <v>0.99587139999999996</v>
      </c>
      <c r="AB2831">
        <v>41</v>
      </c>
      <c r="AC2831">
        <v>-104.149999999999</v>
      </c>
      <c r="AD2831">
        <v>-1.0310850499999999</v>
      </c>
      <c r="AE2831">
        <v>10.3805</v>
      </c>
      <c r="AF2831">
        <v>9.5193691591283898</v>
      </c>
      <c r="AG2831">
        <v>-1.0310850499999999</v>
      </c>
      <c r="AH2831">
        <v>104.22203667066201</v>
      </c>
      <c r="AI2831">
        <v>90.564468193252296</v>
      </c>
      <c r="AJ2831">
        <v>84.781233258276799</v>
      </c>
      <c r="AK2831">
        <v>104.660949992578</v>
      </c>
      <c r="AL2831">
        <v>88.002152003445403</v>
      </c>
      <c r="AM2831">
        <v>89.102396681403306</v>
      </c>
      <c r="AN2831">
        <v>0.99999999964096598</v>
      </c>
    </row>
    <row r="2832" spans="1:40" x14ac:dyDescent="0.25">
      <c r="A2832" t="str">
        <f>"20190312153941227"</f>
        <v>20190312153941227</v>
      </c>
      <c r="B2832" t="str">
        <f>"1552376381219091"</f>
        <v>1552376381219091</v>
      </c>
      <c r="C2832" t="s">
        <v>40</v>
      </c>
      <c r="D2832">
        <v>4.0804369999999999</v>
      </c>
      <c r="E2832">
        <v>0.53108379999999999</v>
      </c>
      <c r="F2832" t="s">
        <v>62</v>
      </c>
      <c r="G2832">
        <v>-430.43950000000001</v>
      </c>
      <c r="H2832">
        <v>3.353722E-2</v>
      </c>
      <c r="I2832">
        <v>291.23149999999998</v>
      </c>
      <c r="J2832">
        <v>-355.76260000000002</v>
      </c>
      <c r="K2832">
        <v>1.111108</v>
      </c>
      <c r="L2832">
        <v>283.49829999999997</v>
      </c>
      <c r="M2832">
        <v>-0.99970879999999995</v>
      </c>
      <c r="N2832">
        <v>0</v>
      </c>
      <c r="O2832">
        <v>8.1272229999999994E-3</v>
      </c>
      <c r="P2832">
        <v>-0.99962569999999995</v>
      </c>
      <c r="Q2832">
        <v>1.234178E-2</v>
      </c>
      <c r="R2832">
        <v>2.4422079999999999E-2</v>
      </c>
      <c r="S2832">
        <v>-2.9942319999999998</v>
      </c>
      <c r="T2832">
        <v>-4.2991399999999999E-2</v>
      </c>
      <c r="U2832">
        <v>0.30865479999999901</v>
      </c>
      <c r="V2832">
        <v>1.6283450000000001E-2</v>
      </c>
      <c r="W2832">
        <v>3.506687E-2</v>
      </c>
      <c r="X2832">
        <v>0.99925229999999998</v>
      </c>
      <c r="Y2832">
        <v>9.4441109999999995E-2</v>
      </c>
      <c r="Z2832">
        <v>5.59776E-4</v>
      </c>
      <c r="AA2832">
        <v>0.99553029999999998</v>
      </c>
      <c r="AB2832">
        <v>40</v>
      </c>
      <c r="AC2832">
        <v>-74.676899999999904</v>
      </c>
      <c r="AD2832">
        <v>-1.0775707800000001</v>
      </c>
      <c r="AE2832">
        <v>7.7332000000000098</v>
      </c>
      <c r="AF2832">
        <v>7.1244042312648102</v>
      </c>
      <c r="AG2832">
        <v>-1.0775707800000001</v>
      </c>
      <c r="AH2832">
        <v>74.721904687037906</v>
      </c>
      <c r="AI2832">
        <v>90.822480391916798</v>
      </c>
      <c r="AJ2832">
        <v>84.553564287899405</v>
      </c>
      <c r="AK2832">
        <v>75.068510938309899</v>
      </c>
      <c r="AL2832">
        <v>87.990404338093398</v>
      </c>
      <c r="AM2832">
        <v>89.066411564799196</v>
      </c>
      <c r="AN2832">
        <v>0.99999999758539404</v>
      </c>
    </row>
    <row r="2833" spans="1:40" x14ac:dyDescent="0.25">
      <c r="A2833" t="str">
        <f>"20190312153941240"</f>
        <v>20190312153941240</v>
      </c>
      <c r="B2833" t="str">
        <f>"1552376381228850"</f>
        <v>1552376381228850</v>
      </c>
      <c r="C2833" t="s">
        <v>40</v>
      </c>
      <c r="D2833">
        <v>4.0791110000000002</v>
      </c>
      <c r="E2833">
        <v>0.53169080000000002</v>
      </c>
      <c r="F2833" t="s">
        <v>62</v>
      </c>
      <c r="G2833">
        <v>-438.7525</v>
      </c>
      <c r="H2833">
        <v>8.0000459999999995E-2</v>
      </c>
      <c r="I2833">
        <v>292.3107</v>
      </c>
      <c r="J2833">
        <v>-355.98079999999999</v>
      </c>
      <c r="K2833">
        <v>1.1111180000000001</v>
      </c>
      <c r="L2833">
        <v>283.49990000000003</v>
      </c>
      <c r="M2833">
        <v>-0.9997064</v>
      </c>
      <c r="N2833">
        <v>0</v>
      </c>
      <c r="O2833">
        <v>8.0521969999999901E-3</v>
      </c>
      <c r="P2833">
        <v>-0.99962379999999995</v>
      </c>
      <c r="Q2833">
        <v>1.2258079999999999E-2</v>
      </c>
      <c r="R2833">
        <v>2.4536550000000001E-2</v>
      </c>
      <c r="S2833">
        <v>-2.993805</v>
      </c>
      <c r="T2833">
        <v>-3.7196519999999997E-2</v>
      </c>
      <c r="U2833">
        <v>0.31790159999999901</v>
      </c>
      <c r="V2833">
        <v>1.6472870000000001E-2</v>
      </c>
      <c r="W2833">
        <v>3.5110719999999998E-2</v>
      </c>
      <c r="X2833">
        <v>0.99924769999999896</v>
      </c>
      <c r="Y2833">
        <v>9.7573309999999996E-2</v>
      </c>
      <c r="Z2833">
        <v>5.0465250000000003E-4</v>
      </c>
      <c r="AA2833">
        <v>0.99522820000000001</v>
      </c>
      <c r="AB2833">
        <v>40</v>
      </c>
      <c r="AC2833">
        <v>-82.771699999999996</v>
      </c>
      <c r="AD2833">
        <v>-1.0311175400000001</v>
      </c>
      <c r="AE2833">
        <v>8.8107999999999702</v>
      </c>
      <c r="AF2833">
        <v>8.1425966002147891</v>
      </c>
      <c r="AG2833">
        <v>-1.0311175400000001</v>
      </c>
      <c r="AH2833">
        <v>82.827270392730995</v>
      </c>
      <c r="AI2833">
        <v>90.7098174904377</v>
      </c>
      <c r="AJ2833">
        <v>84.385398354075306</v>
      </c>
      <c r="AK2833">
        <v>83.232937011051703</v>
      </c>
      <c r="AL2833">
        <v>87.987890459515</v>
      </c>
      <c r="AM2833">
        <v>89.055549047504499</v>
      </c>
      <c r="AN2833">
        <v>1.0000000420301201</v>
      </c>
    </row>
    <row r="2834" spans="1:40" x14ac:dyDescent="0.25">
      <c r="A2834" t="str">
        <f>"20190312153941253"</f>
        <v>20190312153941253</v>
      </c>
      <c r="B2834" t="str">
        <f>"1552376381238610"</f>
        <v>1552376381238610</v>
      </c>
      <c r="C2834" t="s">
        <v>40</v>
      </c>
      <c r="D2834">
        <v>4.0491239999999999</v>
      </c>
      <c r="E2834">
        <v>0.53210100000000005</v>
      </c>
      <c r="F2834" t="s">
        <v>61</v>
      </c>
      <c r="G2834">
        <v>-449.6275</v>
      </c>
      <c r="H2834">
        <v>8.0000979999999999E-2</v>
      </c>
      <c r="I2834">
        <v>293.60989999999998</v>
      </c>
      <c r="J2834">
        <v>-356.22120000000001</v>
      </c>
      <c r="K2834">
        <v>1.1111310000000001</v>
      </c>
      <c r="L2834">
        <v>283.5018</v>
      </c>
      <c r="M2834">
        <v>-0.99970409999999998</v>
      </c>
      <c r="N2834">
        <v>0</v>
      </c>
      <c r="O2834">
        <v>7.9684409999999997E-3</v>
      </c>
      <c r="P2834">
        <v>-0.99961900000000004</v>
      </c>
      <c r="Q2834">
        <v>1.2451749999999999E-2</v>
      </c>
      <c r="R2834">
        <v>2.4640289999999999E-2</v>
      </c>
      <c r="S2834">
        <v>-2.9935610000000001</v>
      </c>
      <c r="T2834">
        <v>-3.2961249999999997E-2</v>
      </c>
      <c r="U2834">
        <v>0.3231812</v>
      </c>
      <c r="V2834">
        <v>1.666041E-2</v>
      </c>
      <c r="W2834">
        <v>3.5433810000000003E-2</v>
      </c>
      <c r="X2834">
        <v>0.99923309999999999</v>
      </c>
      <c r="Y2834">
        <v>9.9401690000000001E-2</v>
      </c>
      <c r="Z2834">
        <v>4.5814569999999999E-4</v>
      </c>
      <c r="AA2834">
        <v>0.99504729999999997</v>
      </c>
      <c r="AB2834">
        <v>40</v>
      </c>
      <c r="AC2834">
        <v>-93.406300000000002</v>
      </c>
      <c r="AD2834">
        <v>-1.03113002</v>
      </c>
      <c r="AE2834">
        <v>10.108099999999901</v>
      </c>
      <c r="AF2834">
        <v>9.3621519675480194</v>
      </c>
      <c r="AG2834">
        <v>-1.03113002</v>
      </c>
      <c r="AH2834">
        <v>93.472640926350294</v>
      </c>
      <c r="AI2834">
        <v>90.628878240991796</v>
      </c>
      <c r="AJ2834">
        <v>84.280371561932199</v>
      </c>
      <c r="AK2834">
        <v>93.945982991972699</v>
      </c>
      <c r="AL2834">
        <v>87.969367066076899</v>
      </c>
      <c r="AM2834">
        <v>89.044784708177204</v>
      </c>
      <c r="AN2834">
        <v>0.99999995614404602</v>
      </c>
    </row>
    <row r="2835" spans="1:40" x14ac:dyDescent="0.25">
      <c r="A2835" t="str">
        <f>"20190312153941272"</f>
        <v>20190312153941272</v>
      </c>
      <c r="B2835" t="str">
        <f>"1552376381258130"</f>
        <v>1552376381258130</v>
      </c>
      <c r="C2835" t="s">
        <v>40</v>
      </c>
      <c r="D2835">
        <v>4.0563719999999996</v>
      </c>
      <c r="E2835">
        <v>0.53254219999999997</v>
      </c>
      <c r="F2835" t="s">
        <v>43</v>
      </c>
      <c r="G2835">
        <v>-475.29599999999999</v>
      </c>
      <c r="H2835">
        <v>-0.05</v>
      </c>
      <c r="I2835">
        <v>296.5068</v>
      </c>
      <c r="J2835">
        <v>-356.55869999999999</v>
      </c>
      <c r="K2835">
        <v>1.111148</v>
      </c>
      <c r="L2835">
        <v>283.50439999999998</v>
      </c>
      <c r="M2835">
        <v>-0.99970110000000001</v>
      </c>
      <c r="N2835">
        <v>0</v>
      </c>
      <c r="O2835">
        <v>7.8497979999999998E-3</v>
      </c>
      <c r="P2835">
        <v>-0.99962839999999997</v>
      </c>
      <c r="Q2835">
        <v>1.2405869999999999E-2</v>
      </c>
      <c r="R2835">
        <v>2.427499E-2</v>
      </c>
      <c r="S2835">
        <v>-2.993439</v>
      </c>
      <c r="T2835">
        <v>-2.918983E-2</v>
      </c>
      <c r="U2835">
        <v>0.32693480000000003</v>
      </c>
      <c r="V2835">
        <v>1.641362E-2</v>
      </c>
      <c r="W2835">
        <v>3.5553420000000002E-2</v>
      </c>
      <c r="X2835">
        <v>0.99923300000000004</v>
      </c>
      <c r="Y2835">
        <v>0.1007583</v>
      </c>
      <c r="Z2835">
        <v>4.1346440000000003E-4</v>
      </c>
      <c r="AA2835">
        <v>0.99491079999999998</v>
      </c>
      <c r="AB2835">
        <v>40</v>
      </c>
      <c r="AC2835">
        <v>-118.7373</v>
      </c>
      <c r="AD2835">
        <v>-1.1611479999999901</v>
      </c>
      <c r="AE2835">
        <v>13.0024</v>
      </c>
      <c r="AF2835">
        <v>12.068544966243699</v>
      </c>
      <c r="AG2835">
        <v>-1.1611479999999901</v>
      </c>
      <c r="AH2835">
        <v>118.82450459509499</v>
      </c>
      <c r="AI2835">
        <v>90.557008689314898</v>
      </c>
      <c r="AJ2835">
        <v>84.200576565450504</v>
      </c>
      <c r="AK2835">
        <v>119.441454003834</v>
      </c>
      <c r="AL2835">
        <v>87.962509727776293</v>
      </c>
      <c r="AM2835">
        <v>89.058931616915103</v>
      </c>
      <c r="AN2835">
        <v>1.0000000204421</v>
      </c>
    </row>
    <row r="2836" spans="1:40" x14ac:dyDescent="0.25">
      <c r="A2836" t="str">
        <f>"20190312153941286"</f>
        <v>20190312153941286</v>
      </c>
      <c r="B2836" t="str">
        <f>"1552376381278626"</f>
        <v>1552376381278626</v>
      </c>
      <c r="C2836" t="s">
        <v>40</v>
      </c>
      <c r="D2836">
        <v>4.0688430000000002</v>
      </c>
      <c r="E2836">
        <v>0.53291899999999903</v>
      </c>
      <c r="F2836" t="s">
        <v>54</v>
      </c>
      <c r="G2836">
        <v>-502.00290000000001</v>
      </c>
      <c r="H2836">
        <v>8.0001149999999993E-2</v>
      </c>
      <c r="I2836">
        <v>299.5292</v>
      </c>
      <c r="J2836">
        <v>-356.79390000000001</v>
      </c>
      <c r="K2836">
        <v>1.111157</v>
      </c>
      <c r="L2836">
        <v>283.5061</v>
      </c>
      <c r="M2836">
        <v>-0.99969960000000002</v>
      </c>
      <c r="N2836">
        <v>0</v>
      </c>
      <c r="O2836">
        <v>7.76596199999999E-3</v>
      </c>
      <c r="P2836">
        <v>-0.99962740000000005</v>
      </c>
      <c r="Q2836">
        <v>1.2467000000000001E-2</v>
      </c>
      <c r="R2836">
        <v>2.4295979999999998E-2</v>
      </c>
      <c r="S2836">
        <v>-2.993347</v>
      </c>
      <c r="T2836">
        <v>-2.1221759999999999E-2</v>
      </c>
      <c r="U2836">
        <v>0.32980350000000003</v>
      </c>
      <c r="V2836">
        <v>1.6518370000000001E-2</v>
      </c>
      <c r="W2836">
        <v>3.5718769999999997E-2</v>
      </c>
      <c r="X2836">
        <v>0.99922540000000004</v>
      </c>
      <c r="Y2836">
        <v>0.10178909999999999</v>
      </c>
      <c r="Z2836">
        <v>3.0483160000000002E-4</v>
      </c>
      <c r="AA2836">
        <v>0.99480590000000002</v>
      </c>
      <c r="AB2836">
        <v>40</v>
      </c>
      <c r="AC2836">
        <v>-145.209</v>
      </c>
      <c r="AD2836">
        <v>-1.03115585</v>
      </c>
      <c r="AE2836">
        <v>16.023099999999999</v>
      </c>
      <c r="AF2836">
        <v>14.893882136743001</v>
      </c>
      <c r="AG2836">
        <v>-1.03115585</v>
      </c>
      <c r="AH2836">
        <v>145.32184723447801</v>
      </c>
      <c r="AI2836">
        <v>90.404426686396903</v>
      </c>
      <c r="AJ2836">
        <v>84.148248093213496</v>
      </c>
      <c r="AK2836">
        <v>146.08672181663599</v>
      </c>
      <c r="AL2836">
        <v>87.953029896811501</v>
      </c>
      <c r="AM2836">
        <v>89.052919705681902</v>
      </c>
      <c r="AN2836">
        <v>1.00000004354146</v>
      </c>
    </row>
    <row r="2837" spans="1:40" x14ac:dyDescent="0.25">
      <c r="A2837" t="str">
        <f>"20190312153941305"</f>
        <v>20190312153941305</v>
      </c>
      <c r="B2837" t="str">
        <f>"1552376381299123"</f>
        <v>1552376381299123</v>
      </c>
      <c r="C2837" t="s">
        <v>40</v>
      </c>
      <c r="D2837">
        <v>4.0712669999999997</v>
      </c>
      <c r="E2837">
        <v>0.53309609999999996</v>
      </c>
      <c r="F2837" t="s">
        <v>64</v>
      </c>
      <c r="G2837">
        <v>-511.82029999999997</v>
      </c>
      <c r="H2837">
        <v>0.2961935</v>
      </c>
      <c r="I2837">
        <v>300.75970000000001</v>
      </c>
      <c r="J2837">
        <v>-357.1431</v>
      </c>
      <c r="K2837">
        <v>1.111167</v>
      </c>
      <c r="L2837">
        <v>283.50869999999998</v>
      </c>
      <c r="M2837">
        <v>-0.99969730000000001</v>
      </c>
      <c r="N2837">
        <v>0</v>
      </c>
      <c r="O2837">
        <v>7.6405739999999998E-3</v>
      </c>
      <c r="P2837">
        <v>-0.99963380000000002</v>
      </c>
      <c r="Q2837">
        <v>1.2500610000000001E-2</v>
      </c>
      <c r="R2837">
        <v>2.4013079999999999E-2</v>
      </c>
      <c r="S2837">
        <v>-2.9932249999999998</v>
      </c>
      <c r="T2837">
        <v>-1.5733480000000001E-2</v>
      </c>
      <c r="U2837">
        <v>0.33312989999999998</v>
      </c>
      <c r="V2837">
        <v>1.6360820000000002E-2</v>
      </c>
      <c r="W2837">
        <v>3.5892239999999999E-2</v>
      </c>
      <c r="X2837">
        <v>0.99922169999999999</v>
      </c>
      <c r="Y2837">
        <v>0.1030114</v>
      </c>
      <c r="Z2837">
        <v>2.298534E-4</v>
      </c>
      <c r="AA2837">
        <v>0.99468020000000001</v>
      </c>
      <c r="AB2837">
        <v>40</v>
      </c>
      <c r="AC2837">
        <v>-154.677199999999</v>
      </c>
      <c r="AD2837">
        <v>-0.81497350000000002</v>
      </c>
      <c r="AE2837">
        <v>17.251000000000001</v>
      </c>
      <c r="AF2837">
        <v>16.067909681761499</v>
      </c>
      <c r="AG2837">
        <v>-0.81497350000000002</v>
      </c>
      <c r="AH2837">
        <v>154.80028155762699</v>
      </c>
      <c r="AI2837">
        <v>90.300029101790798</v>
      </c>
      <c r="AJ2837">
        <v>84.074052331974301</v>
      </c>
      <c r="AK2837">
        <v>155.634087119974</v>
      </c>
      <c r="AL2837">
        <v>87.943084264693795</v>
      </c>
      <c r="AM2837">
        <v>89.061947735915794</v>
      </c>
      <c r="AN2837">
        <v>0.99999996753708897</v>
      </c>
    </row>
    <row r="2838" spans="1:40" x14ac:dyDescent="0.25">
      <c r="A2838" t="str">
        <f>"20190312153941318"</f>
        <v>20190312153941318</v>
      </c>
      <c r="B2838" t="str">
        <f>"1552376381308882"</f>
        <v>1552376381308882</v>
      </c>
      <c r="C2838" t="s">
        <v>40</v>
      </c>
      <c r="D2838">
        <v>4.0710419999999896</v>
      </c>
      <c r="E2838">
        <v>0.53319879999999997</v>
      </c>
      <c r="F2838" t="s">
        <v>64</v>
      </c>
      <c r="G2838">
        <v>-511.82029999999997</v>
      </c>
      <c r="H2838">
        <v>0.56974230000000003</v>
      </c>
      <c r="I2838">
        <v>300.75970000000001</v>
      </c>
      <c r="J2838">
        <v>-357.35270000000003</v>
      </c>
      <c r="K2838">
        <v>1.111175</v>
      </c>
      <c r="L2838">
        <v>283.51029999999997</v>
      </c>
      <c r="M2838">
        <v>-0.99969580000000002</v>
      </c>
      <c r="N2838">
        <v>0</v>
      </c>
      <c r="O2838">
        <v>7.5646209999999997E-3</v>
      </c>
      <c r="P2838">
        <v>-0.99963930000000001</v>
      </c>
      <c r="Q2838">
        <v>1.234216E-2</v>
      </c>
      <c r="R2838">
        <v>2.385868E-2</v>
      </c>
      <c r="S2838">
        <v>-2.9932249999999998</v>
      </c>
      <c r="T2838">
        <v>-1.047564E-2</v>
      </c>
      <c r="U2838">
        <v>0.33383180000000001</v>
      </c>
      <c r="V2838">
        <v>1.628247E-2</v>
      </c>
      <c r="W2838">
        <v>3.5811699999999898E-2</v>
      </c>
      <c r="X2838">
        <v>0.9992259</v>
      </c>
      <c r="Y2838">
        <v>0.1033181</v>
      </c>
      <c r="Z2838">
        <v>1.538392E-4</v>
      </c>
      <c r="AA2838">
        <v>0.99464830000000004</v>
      </c>
      <c r="AB2838">
        <v>39</v>
      </c>
      <c r="AC2838">
        <v>-154.46759999999901</v>
      </c>
      <c r="AD2838">
        <v>-0.54143269999999899</v>
      </c>
      <c r="AE2838">
        <v>17.249400000000001</v>
      </c>
      <c r="AF2838">
        <v>16.079900107652499</v>
      </c>
      <c r="AG2838">
        <v>-0.54143269999999899</v>
      </c>
      <c r="AH2838">
        <v>154.59182311682</v>
      </c>
      <c r="AI2838">
        <v>90.199591528978004</v>
      </c>
      <c r="AJ2838">
        <v>84.061722065316104</v>
      </c>
      <c r="AK2838">
        <v>155.42679341549501</v>
      </c>
      <c r="AL2838">
        <v>87.947701897970902</v>
      </c>
      <c r="AM2838">
        <v>89.066443081781799</v>
      </c>
      <c r="AN2838">
        <v>0.99999999795850003</v>
      </c>
    </row>
    <row r="2839" spans="1:40" x14ac:dyDescent="0.25">
      <c r="A2839" t="str">
        <f>"20190312153941329"</f>
        <v>20190312153941329</v>
      </c>
      <c r="B2839" t="str">
        <f>"1552376381318642"</f>
        <v>1552376381318642</v>
      </c>
      <c r="C2839" t="s">
        <v>40</v>
      </c>
      <c r="D2839">
        <v>4.0425430000000002</v>
      </c>
      <c r="E2839">
        <v>0.53333459999999999</v>
      </c>
      <c r="F2839" t="s">
        <v>64</v>
      </c>
      <c r="G2839">
        <v>-511.82029999999997</v>
      </c>
      <c r="H2839">
        <v>0.62268849999999998</v>
      </c>
      <c r="I2839">
        <v>300.76459999999997</v>
      </c>
      <c r="J2839">
        <v>-357.55950000000001</v>
      </c>
      <c r="K2839">
        <v>1.1111799999999901</v>
      </c>
      <c r="L2839">
        <v>283.51170000000002</v>
      </c>
      <c r="M2839">
        <v>-0.99969490000000005</v>
      </c>
      <c r="N2839">
        <v>0</v>
      </c>
      <c r="O2839">
        <v>7.4892600000000002E-3</v>
      </c>
      <c r="P2839">
        <v>-0.99962649999999997</v>
      </c>
      <c r="Q2839">
        <v>1.2690430000000001E-2</v>
      </c>
      <c r="R2839">
        <v>2.4210010000000001E-2</v>
      </c>
      <c r="S2839">
        <v>-2.9932249999999998</v>
      </c>
      <c r="T2839">
        <v>-9.4640249999999992E-3</v>
      </c>
      <c r="U2839">
        <v>0.3343506</v>
      </c>
      <c r="V2839">
        <v>1.6709060000000001E-2</v>
      </c>
      <c r="W2839">
        <v>3.6227710000000003E-2</v>
      </c>
      <c r="X2839">
        <v>0.99920390000000003</v>
      </c>
      <c r="Y2839">
        <v>0.1035634</v>
      </c>
      <c r="Z2839">
        <v>1.396061E-4</v>
      </c>
      <c r="AA2839">
        <v>0.99462280000000003</v>
      </c>
      <c r="AB2839">
        <v>39</v>
      </c>
      <c r="AC2839">
        <v>-154.26079999999899</v>
      </c>
      <c r="AD2839">
        <v>-0.48849149999999902</v>
      </c>
      <c r="AE2839">
        <v>17.252899999999901</v>
      </c>
      <c r="AF2839">
        <v>16.096637056945799</v>
      </c>
      <c r="AG2839">
        <v>-0.48849149999999902</v>
      </c>
      <c r="AH2839">
        <v>154.38418963645699</v>
      </c>
      <c r="AI2839">
        <v>90.180313209832306</v>
      </c>
      <c r="AJ2839">
        <v>84.047648010332694</v>
      </c>
      <c r="AK2839">
        <v>155.22183595806999</v>
      </c>
      <c r="AL2839">
        <v>87.9238508835614</v>
      </c>
      <c r="AM2839">
        <v>89.041967915926705</v>
      </c>
      <c r="AN2839">
        <v>1.00000003671656</v>
      </c>
    </row>
    <row r="2840" spans="1:40" x14ac:dyDescent="0.25">
      <c r="A2840" t="str">
        <f>"20190312153941350"</f>
        <v>20190312153941350</v>
      </c>
      <c r="B2840" t="str">
        <f>"1552376381338162"</f>
        <v>1552376381338162</v>
      </c>
      <c r="C2840" t="s">
        <v>40</v>
      </c>
      <c r="D2840">
        <v>4.0562180000000003</v>
      </c>
      <c r="E2840">
        <v>0.53345869999999995</v>
      </c>
      <c r="F2840" t="s">
        <v>64</v>
      </c>
      <c r="G2840">
        <v>-511.82040000000001</v>
      </c>
      <c r="H2840">
        <v>0.70336650000000001</v>
      </c>
      <c r="I2840">
        <v>300.85559999999998</v>
      </c>
      <c r="J2840">
        <v>-357.91910000000001</v>
      </c>
      <c r="K2840">
        <v>1.111192</v>
      </c>
      <c r="L2840">
        <v>283.51429999999999</v>
      </c>
      <c r="M2840">
        <v>-0.99969339999999995</v>
      </c>
      <c r="N2840">
        <v>0</v>
      </c>
      <c r="O2840">
        <v>7.3580590000000001E-3</v>
      </c>
      <c r="P2840">
        <v>-0.99962059999999997</v>
      </c>
      <c r="Q2840">
        <v>1.2384020000000001E-2</v>
      </c>
      <c r="R2840">
        <v>2.4600859999999999E-2</v>
      </c>
      <c r="S2840">
        <v>-2.9930729999999999</v>
      </c>
      <c r="T2840">
        <v>-7.9109669999999997E-3</v>
      </c>
      <c r="U2840">
        <v>0.33651730000000002</v>
      </c>
      <c r="V2840">
        <v>1.7231010000000001E-2</v>
      </c>
      <c r="W2840">
        <v>3.6023279999999998E-2</v>
      </c>
      <c r="X2840">
        <v>0.99920240000000005</v>
      </c>
      <c r="Y2840">
        <v>0.1044107</v>
      </c>
      <c r="Z2840">
        <v>1.1815980000000001E-4</v>
      </c>
      <c r="AA2840">
        <v>0.99453429999999998</v>
      </c>
      <c r="AB2840">
        <v>39</v>
      </c>
      <c r="AC2840">
        <v>-153.90129999999999</v>
      </c>
      <c r="AD2840">
        <v>-0.40782550000000001</v>
      </c>
      <c r="AE2840">
        <v>17.341299999999901</v>
      </c>
      <c r="AF2840">
        <v>16.2079864382587</v>
      </c>
      <c r="AG2840">
        <v>-0.40782550000000001</v>
      </c>
      <c r="AH2840">
        <v>154.02369740783399</v>
      </c>
      <c r="AI2840">
        <v>90.150874939043703</v>
      </c>
      <c r="AJ2840">
        <v>83.992846266799901</v>
      </c>
      <c r="AK2840">
        <v>154.87467355639899</v>
      </c>
      <c r="AL2840">
        <v>87.935571455277596</v>
      </c>
      <c r="AM2840">
        <v>89.012045705278098</v>
      </c>
      <c r="AN2840">
        <v>1.00000001028666</v>
      </c>
    </row>
    <row r="2841" spans="1:40" x14ac:dyDescent="0.25">
      <c r="A2841" t="str">
        <f>"20190312153941362"</f>
        <v>20190312153941362</v>
      </c>
      <c r="B2841" t="str">
        <f>"1552376381348898"</f>
        <v>1552376381348898</v>
      </c>
      <c r="C2841" t="s">
        <v>40</v>
      </c>
      <c r="D2841">
        <v>4.0444269999999998</v>
      </c>
      <c r="E2841">
        <v>0.53352449999999996</v>
      </c>
      <c r="F2841" t="s">
        <v>64</v>
      </c>
      <c r="G2841">
        <v>-511.82040000000001</v>
      </c>
      <c r="H2841">
        <v>0.76998109999999997</v>
      </c>
      <c r="I2841">
        <v>300.93020000000001</v>
      </c>
      <c r="J2841">
        <v>-358.1268</v>
      </c>
      <c r="K2841">
        <v>1.1111949999999999</v>
      </c>
      <c r="L2841">
        <v>283.51569999999998</v>
      </c>
      <c r="M2841">
        <v>-0.99969300000000005</v>
      </c>
      <c r="N2841">
        <v>0</v>
      </c>
      <c r="O2841">
        <v>7.2816069999999998E-3</v>
      </c>
      <c r="P2841">
        <v>-0.99961319999999998</v>
      </c>
      <c r="Q2841">
        <v>1.25477E-2</v>
      </c>
      <c r="R2841">
        <v>2.482995E-2</v>
      </c>
      <c r="S2841">
        <v>-2.9928889999999999</v>
      </c>
      <c r="T2841">
        <v>-6.6337590000000004E-3</v>
      </c>
      <c r="U2841">
        <v>0.33868409999999999</v>
      </c>
      <c r="V2841">
        <v>1.7536880000000001E-2</v>
      </c>
      <c r="W2841">
        <v>3.6231050000000001E-2</v>
      </c>
      <c r="X2841">
        <v>0.99918960000000001</v>
      </c>
      <c r="Y2841">
        <v>0.10520450000000001</v>
      </c>
      <c r="Z2841">
        <v>1.001311E-4</v>
      </c>
      <c r="AA2841">
        <v>0.99445059999999996</v>
      </c>
      <c r="AB2841">
        <v>39</v>
      </c>
      <c r="AC2841">
        <v>-153.6936</v>
      </c>
      <c r="AD2841">
        <v>-0.34121390000000001</v>
      </c>
      <c r="AE2841">
        <v>17.4145</v>
      </c>
      <c r="AF2841">
        <v>16.294508387702901</v>
      </c>
      <c r="AG2841">
        <v>-0.34121390000000001</v>
      </c>
      <c r="AH2841">
        <v>153.81561570744901</v>
      </c>
      <c r="AI2841">
        <v>90.126393545439896</v>
      </c>
      <c r="AJ2841">
        <v>83.952906005458999</v>
      </c>
      <c r="AK2841">
        <v>154.67666619753601</v>
      </c>
      <c r="AL2841">
        <v>87.923659404967196</v>
      </c>
      <c r="AM2841">
        <v>88.994499085335093</v>
      </c>
      <c r="AN2841">
        <v>1.00000004394619</v>
      </c>
    </row>
    <row r="2842" spans="1:40" x14ac:dyDescent="0.25">
      <c r="A2842" t="str">
        <f>"20190312153941374"</f>
        <v>20190312153941374</v>
      </c>
      <c r="B2842" t="str">
        <f>"1552376381368418"</f>
        <v>1552376381368418</v>
      </c>
      <c r="C2842" t="s">
        <v>40</v>
      </c>
      <c r="D2842">
        <v>4.0430820000000001</v>
      </c>
      <c r="E2842">
        <v>0.53374009999999905</v>
      </c>
      <c r="F2842" t="s">
        <v>64</v>
      </c>
      <c r="G2842">
        <v>-511.82040000000001</v>
      </c>
      <c r="H2842">
        <v>0.84618950000000004</v>
      </c>
      <c r="I2842">
        <v>300.97629999999998</v>
      </c>
      <c r="J2842">
        <v>-358.3236</v>
      </c>
      <c r="K2842">
        <v>1.111199</v>
      </c>
      <c r="L2842">
        <v>283.5172</v>
      </c>
      <c r="M2842">
        <v>-0.99969280000000005</v>
      </c>
      <c r="N2842">
        <v>0</v>
      </c>
      <c r="O2842">
        <v>7.2092019999999996E-3</v>
      </c>
      <c r="P2842">
        <v>-0.99960400000000005</v>
      </c>
      <c r="Q2842">
        <v>1.2623560000000001E-2</v>
      </c>
      <c r="R2842">
        <v>2.515278E-2</v>
      </c>
      <c r="S2842">
        <v>-2.9927670000000002</v>
      </c>
      <c r="T2842">
        <v>-5.1585440000000002E-3</v>
      </c>
      <c r="U2842">
        <v>0.33999629999999997</v>
      </c>
      <c r="V2842">
        <v>1.7931909999999999E-2</v>
      </c>
      <c r="W2842">
        <v>3.6336830000000001E-2</v>
      </c>
      <c r="X2842">
        <v>0.99917869999999998</v>
      </c>
      <c r="Y2842">
        <v>0.10571170000000001</v>
      </c>
      <c r="Z2842" s="1">
        <v>7.8425319999999896E-5</v>
      </c>
      <c r="AA2842">
        <v>0.99439679999999997</v>
      </c>
      <c r="AB2842">
        <v>39</v>
      </c>
      <c r="AC2842">
        <v>-153.49680000000001</v>
      </c>
      <c r="AD2842">
        <v>-0.26500949999999901</v>
      </c>
      <c r="AE2842">
        <v>17.4590999999999</v>
      </c>
      <c r="AF2842">
        <v>16.351697219078499</v>
      </c>
      <c r="AG2842">
        <v>-0.26500949999999901</v>
      </c>
      <c r="AH2842">
        <v>153.61825842540699</v>
      </c>
      <c r="AI2842">
        <v>90.098286599626903</v>
      </c>
      <c r="AJ2842">
        <v>83.924102957061507</v>
      </c>
      <c r="AK2842">
        <v>154.48630215535201</v>
      </c>
      <c r="AL2842">
        <v>87.917594565474701</v>
      </c>
      <c r="AM2842">
        <v>88.971843096687195</v>
      </c>
      <c r="AN2842">
        <v>0.99999999657219296</v>
      </c>
    </row>
    <row r="2843" spans="1:40" x14ac:dyDescent="0.25">
      <c r="A2843" t="str">
        <f>"20190312153941385"</f>
        <v>20190312153941385</v>
      </c>
      <c r="B2843" t="str">
        <f>"1552376381378179"</f>
        <v>1552376381378179</v>
      </c>
      <c r="C2843" t="s">
        <v>40</v>
      </c>
      <c r="D2843">
        <v>4.1676979999999997</v>
      </c>
      <c r="E2843">
        <v>0.53343289999999999</v>
      </c>
      <c r="F2843" t="s">
        <v>64</v>
      </c>
      <c r="G2843">
        <v>-511.82049999999998</v>
      </c>
      <c r="H2843">
        <v>0.98535850000000003</v>
      </c>
      <c r="I2843">
        <v>301.09429999999998</v>
      </c>
      <c r="J2843">
        <v>-358.52460000000002</v>
      </c>
      <c r="K2843">
        <v>1.111202</v>
      </c>
      <c r="L2843">
        <v>283.51850000000002</v>
      </c>
      <c r="M2843">
        <v>-0.9996931</v>
      </c>
      <c r="N2843">
        <v>0</v>
      </c>
      <c r="O2843">
        <v>7.1348749999999997E-3</v>
      </c>
      <c r="P2843">
        <v>-0.99960320000000003</v>
      </c>
      <c r="Q2843">
        <v>1.244167E-2</v>
      </c>
      <c r="R2843">
        <v>2.5276710000000001E-2</v>
      </c>
      <c r="S2843">
        <v>-2.9925540000000002</v>
      </c>
      <c r="T2843">
        <v>-2.4516579999999998E-3</v>
      </c>
      <c r="U2843">
        <v>0.34268189999999998</v>
      </c>
      <c r="V2843">
        <v>1.8130380000000001E-2</v>
      </c>
      <c r="W2843">
        <v>3.6166240000000002E-2</v>
      </c>
      <c r="X2843">
        <v>0.99918130000000005</v>
      </c>
      <c r="Y2843">
        <v>0.10667459999999999</v>
      </c>
      <c r="Z2843" s="1">
        <v>3.7727159999999997E-5</v>
      </c>
      <c r="AA2843">
        <v>0.99429400000000001</v>
      </c>
      <c r="AB2843">
        <v>39</v>
      </c>
      <c r="AC2843">
        <v>-153.29589999999899</v>
      </c>
      <c r="AD2843">
        <v>-0.1258435</v>
      </c>
      <c r="AE2843">
        <v>17.575799999999902</v>
      </c>
      <c r="AF2843">
        <v>16.481286424336201</v>
      </c>
      <c r="AG2843">
        <v>-0.1258435</v>
      </c>
      <c r="AH2843">
        <v>153.41733026978201</v>
      </c>
      <c r="AI2843">
        <v>90.046729078402905</v>
      </c>
      <c r="AJ2843">
        <v>83.8683561312629</v>
      </c>
      <c r="AK2843">
        <v>154.30011622126199</v>
      </c>
      <c r="AL2843">
        <v>87.927375065467103</v>
      </c>
      <c r="AM2843">
        <v>88.960468665732407</v>
      </c>
      <c r="AN2843">
        <v>0.999999988932185</v>
      </c>
    </row>
    <row r="2844" spans="1:40" x14ac:dyDescent="0.25">
      <c r="A2844" t="str">
        <f>"20190312153941398"</f>
        <v>20190312153941398</v>
      </c>
      <c r="B2844" t="str">
        <f>"1552376381388915"</f>
        <v>1552376381388915</v>
      </c>
      <c r="C2844" t="s">
        <v>40</v>
      </c>
      <c r="D2844">
        <v>4.2268800000000004</v>
      </c>
      <c r="E2844">
        <v>0.53343289999999999</v>
      </c>
      <c r="F2844" t="s">
        <v>64</v>
      </c>
      <c r="G2844">
        <v>-511.82049999999998</v>
      </c>
      <c r="H2844">
        <v>0.91745319999999997</v>
      </c>
      <c r="I2844">
        <v>300.96910000000003</v>
      </c>
      <c r="J2844">
        <v>-358.74059999999997</v>
      </c>
      <c r="K2844">
        <v>1.1112</v>
      </c>
      <c r="L2844">
        <v>283.52</v>
      </c>
      <c r="M2844">
        <v>-0.99969350000000001</v>
      </c>
      <c r="N2844">
        <v>0</v>
      </c>
      <c r="O2844">
        <v>7.0548929999999996E-3</v>
      </c>
      <c r="P2844">
        <v>-0.99959500000000001</v>
      </c>
      <c r="Q2844">
        <v>1.232043E-2</v>
      </c>
      <c r="R2844">
        <v>2.5656370000000001E-2</v>
      </c>
      <c r="S2844">
        <v>-2.9926149999999998</v>
      </c>
      <c r="T2844">
        <v>-3.780603E-3</v>
      </c>
      <c r="U2844">
        <v>0.34066770000000002</v>
      </c>
      <c r="V2844">
        <v>1.8590189999999999E-2</v>
      </c>
      <c r="W2844">
        <v>3.6046149999999999E-2</v>
      </c>
      <c r="X2844">
        <v>0.99917719999999999</v>
      </c>
      <c r="Y2844">
        <v>0.1060912</v>
      </c>
      <c r="Z2844" s="1">
        <v>5.791194E-5</v>
      </c>
      <c r="AA2844">
        <v>0.99435640000000003</v>
      </c>
      <c r="AB2844">
        <v>39</v>
      </c>
      <c r="AC2844">
        <v>-153.07990000000001</v>
      </c>
      <c r="AD2844">
        <v>-0.1937468</v>
      </c>
      <c r="AE2844">
        <v>17.449100000000001</v>
      </c>
      <c r="AF2844">
        <v>16.3683731063403</v>
      </c>
      <c r="AG2844">
        <v>-0.1937468</v>
      </c>
      <c r="AH2844">
        <v>153.198982245981</v>
      </c>
      <c r="AI2844">
        <v>90.072050373201193</v>
      </c>
      <c r="AJ2844">
        <v>83.9014328933212</v>
      </c>
      <c r="AK2844">
        <v>154.07105288526901</v>
      </c>
      <c r="AL2844">
        <v>87.934260224974395</v>
      </c>
      <c r="AM2844">
        <v>88.934106434420698</v>
      </c>
      <c r="AN2844">
        <v>0.99999999854694899</v>
      </c>
    </row>
    <row r="2845" spans="1:40" x14ac:dyDescent="0.25">
      <c r="A2845" t="str">
        <f>"20190312153941410"</f>
        <v>20190312153941410</v>
      </c>
      <c r="B2845" t="str">
        <f>"1552376381398675"</f>
        <v>1552376381398675</v>
      </c>
      <c r="C2845" t="s">
        <v>40</v>
      </c>
      <c r="D2845">
        <v>4.2170899999999998</v>
      </c>
      <c r="E2845">
        <v>0.48769230000000002</v>
      </c>
      <c r="F2845" t="s">
        <v>64</v>
      </c>
      <c r="G2845">
        <v>-511.82040000000001</v>
      </c>
      <c r="H2845">
        <v>0.89848099999999997</v>
      </c>
      <c r="I2845">
        <v>301</v>
      </c>
      <c r="J2845">
        <v>-358.94549999999998</v>
      </c>
      <c r="K2845">
        <v>1.111186</v>
      </c>
      <c r="L2845">
        <v>283.52140000000003</v>
      </c>
      <c r="M2845">
        <v>-0.99969509999999995</v>
      </c>
      <c r="N2845">
        <v>0</v>
      </c>
      <c r="O2845">
        <v>6.9783700000000002E-3</v>
      </c>
      <c r="P2845">
        <v>-0.99958630000000004</v>
      </c>
      <c r="Q2845">
        <v>1.2540010000000001E-2</v>
      </c>
      <c r="R2845">
        <v>2.589408E-2</v>
      </c>
      <c r="S2845">
        <v>-2.9924620000000002</v>
      </c>
      <c r="T2845">
        <v>-4.1565899999999999E-3</v>
      </c>
      <c r="U2845">
        <v>0.34170529999999999</v>
      </c>
      <c r="V2845">
        <v>1.8904399999999998E-2</v>
      </c>
      <c r="W2845">
        <v>3.6232479999999997E-2</v>
      </c>
      <c r="X2845">
        <v>0.99916459999999996</v>
      </c>
      <c r="Y2845">
        <v>0.10651330000000001</v>
      </c>
      <c r="Z2845" s="1">
        <v>6.4071560000000002E-5</v>
      </c>
      <c r="AA2845">
        <v>0.99431130000000001</v>
      </c>
      <c r="AB2845">
        <v>38</v>
      </c>
      <c r="AC2845">
        <v>-152.8749</v>
      </c>
      <c r="AD2845">
        <v>-0.21270500000000001</v>
      </c>
      <c r="AE2845">
        <v>17.478599999999901</v>
      </c>
      <c r="AF2845">
        <v>16.411025823163701</v>
      </c>
      <c r="AG2845">
        <v>-0.21270500000000001</v>
      </c>
      <c r="AH2845">
        <v>152.99288954989601</v>
      </c>
      <c r="AI2845">
        <v>90.079203532147105</v>
      </c>
      <c r="AJ2845">
        <v>83.877487515731502</v>
      </c>
      <c r="AK2845">
        <v>153.870696576093</v>
      </c>
      <c r="AL2845">
        <v>87.923577396307806</v>
      </c>
      <c r="AM2845">
        <v>88.9160813780708</v>
      </c>
      <c r="AN2845">
        <v>1.0000000334197301</v>
      </c>
    </row>
    <row r="2846" spans="1:40" x14ac:dyDescent="0.25">
      <c r="A2846" t="str">
        <f>"20190312153941428"</f>
        <v>20190312153941428</v>
      </c>
      <c r="B2846" t="str">
        <f>"1552376381418193"</f>
        <v>1552376381418193</v>
      </c>
      <c r="C2846" t="s">
        <v>40</v>
      </c>
      <c r="D2846">
        <v>4.1214550000000001</v>
      </c>
      <c r="E2846">
        <v>0.4706341</v>
      </c>
      <c r="F2846" t="s">
        <v>50</v>
      </c>
      <c r="G2846">
        <v>0</v>
      </c>
      <c r="H2846">
        <v>0</v>
      </c>
      <c r="I2846">
        <v>0</v>
      </c>
      <c r="J2846">
        <v>-359.2611</v>
      </c>
      <c r="K2846">
        <v>1.11117</v>
      </c>
      <c r="L2846">
        <v>283.52339999999998</v>
      </c>
      <c r="M2846">
        <v>-0.99969770000000002</v>
      </c>
      <c r="N2846">
        <v>0</v>
      </c>
      <c r="O2846">
        <v>6.8603939999999997E-3</v>
      </c>
      <c r="P2846">
        <v>-0.99957669999999998</v>
      </c>
      <c r="Q2846">
        <v>1.22544E-2</v>
      </c>
      <c r="R2846">
        <v>2.6388930000000001E-2</v>
      </c>
      <c r="S2846">
        <v>-3.00116</v>
      </c>
      <c r="T2846">
        <v>4.6889069999999998E-2</v>
      </c>
      <c r="U2846">
        <v>-1.9989010000000001E-2</v>
      </c>
      <c r="V2846">
        <v>1.951752E-2</v>
      </c>
      <c r="W2846">
        <v>3.5857920000000001E-2</v>
      </c>
      <c r="X2846">
        <v>0.99916629999999995</v>
      </c>
      <c r="Y2846">
        <v>-1.351979E-2</v>
      </c>
      <c r="Z2846">
        <v>2.128132E-4</v>
      </c>
      <c r="AA2846">
        <v>0.99990860000000004</v>
      </c>
      <c r="AB2846">
        <v>38</v>
      </c>
      <c r="AC2846">
        <v>-3.00116</v>
      </c>
      <c r="AD2846">
        <v>4.6889069999999998E-2</v>
      </c>
      <c r="AE2846">
        <v>-1.9989010000000001E-2</v>
      </c>
      <c r="AF2846">
        <v>-4.0573516948927899E-2</v>
      </c>
      <c r="AG2846">
        <v>4.6889069999999998E-2</v>
      </c>
      <c r="AH2846">
        <v>3.0002198478595199</v>
      </c>
      <c r="AI2846">
        <v>89.104705094197598</v>
      </c>
      <c r="AJ2846">
        <v>90.7747930809076</v>
      </c>
      <c r="AK2846">
        <v>3.0008605316897401</v>
      </c>
      <c r="AL2846">
        <v>87.945052008867094</v>
      </c>
      <c r="AM2846">
        <v>88.880937715444503</v>
      </c>
      <c r="AN2846">
        <v>1.0000000095346799</v>
      </c>
    </row>
    <row r="2847" spans="1:40" x14ac:dyDescent="0.25">
      <c r="A2847" t="str">
        <f>"20190312153941440"</f>
        <v>20190312153941440</v>
      </c>
      <c r="B2847" t="str">
        <f>"1552376381428930"</f>
        <v>1552376381428930</v>
      </c>
      <c r="C2847" t="s">
        <v>40</v>
      </c>
      <c r="D2847">
        <v>4.1267440000000004</v>
      </c>
      <c r="E2847">
        <v>0.4656151</v>
      </c>
      <c r="F2847" t="s">
        <v>67</v>
      </c>
      <c r="G2847">
        <v>-511.9597</v>
      </c>
      <c r="H2847">
        <v>3.3525900000000002</v>
      </c>
      <c r="I2847">
        <v>275.6499</v>
      </c>
      <c r="J2847">
        <v>-359.45510000000002</v>
      </c>
      <c r="K2847">
        <v>1.111157</v>
      </c>
      <c r="L2847">
        <v>283.5247</v>
      </c>
      <c r="M2847">
        <v>-0.99970009999999998</v>
      </c>
      <c r="N2847">
        <v>0</v>
      </c>
      <c r="O2847">
        <v>6.7874090000000003E-3</v>
      </c>
      <c r="P2847">
        <v>-0.99957459999999998</v>
      </c>
      <c r="Q2847">
        <v>1.2173639999999999E-2</v>
      </c>
      <c r="R2847">
        <v>2.6508380000000002E-2</v>
      </c>
      <c r="S2847">
        <v>-3.0048520000000001</v>
      </c>
      <c r="T2847">
        <v>4.4108990000000001E-2</v>
      </c>
      <c r="U2847">
        <v>-0.15493770000000001</v>
      </c>
      <c r="V2847">
        <v>1.9710140000000001E-2</v>
      </c>
      <c r="W2847">
        <v>3.5702089999999999E-2</v>
      </c>
      <c r="X2847">
        <v>0.9991681</v>
      </c>
      <c r="Y2847">
        <v>-5.82661999999999E-2</v>
      </c>
      <c r="Z2847">
        <v>5.2693930000000003E-4</v>
      </c>
      <c r="AA2847">
        <v>0.99830099999999999</v>
      </c>
      <c r="AB2847">
        <v>38</v>
      </c>
      <c r="AC2847">
        <v>-152.50459999999899</v>
      </c>
      <c r="AD2847">
        <v>2.2414329999999998</v>
      </c>
      <c r="AE2847">
        <v>-7.8747999999999898</v>
      </c>
      <c r="AF2847">
        <v>-8.9080970862139797</v>
      </c>
      <c r="AG2847">
        <v>2.2414329999999998</v>
      </c>
      <c r="AH2847">
        <v>152.414784404041</v>
      </c>
      <c r="AI2847">
        <v>89.158896206166006</v>
      </c>
      <c r="AJ2847">
        <v>93.344927385884901</v>
      </c>
      <c r="AK2847">
        <v>152.69133806644399</v>
      </c>
      <c r="AL2847">
        <v>87.953986132595006</v>
      </c>
      <c r="AM2847">
        <v>88.869898483821899</v>
      </c>
      <c r="AN2847">
        <v>1.0000000104533899</v>
      </c>
    </row>
    <row r="2848" spans="1:40" x14ac:dyDescent="0.25">
      <c r="A2848" t="str">
        <f>"20190312153941454"</f>
        <v>20190312153941454</v>
      </c>
      <c r="B2848" t="str">
        <f>"1552376381448451"</f>
        <v>1552376381448451</v>
      </c>
      <c r="C2848" t="s">
        <v>40</v>
      </c>
      <c r="D2848">
        <v>4.0241689999999997</v>
      </c>
      <c r="E2848">
        <v>0.46046700000000002</v>
      </c>
      <c r="F2848" t="s">
        <v>67</v>
      </c>
      <c r="G2848">
        <v>-512.82619999999997</v>
      </c>
      <c r="H2848">
        <v>3.1481150000000002</v>
      </c>
      <c r="I2848">
        <v>273.58269999999999</v>
      </c>
      <c r="J2848">
        <v>-359.68880000000001</v>
      </c>
      <c r="K2848">
        <v>1.11114</v>
      </c>
      <c r="L2848">
        <v>283.52620000000002</v>
      </c>
      <c r="M2848">
        <v>-0.99970329999999996</v>
      </c>
      <c r="N2848">
        <v>0</v>
      </c>
      <c r="O2848">
        <v>6.6990610000000001E-3</v>
      </c>
      <c r="P2848">
        <v>-0.99957910000000005</v>
      </c>
      <c r="Q2848">
        <v>1.1892420000000001E-2</v>
      </c>
      <c r="R2848">
        <v>2.6461269999999999E-2</v>
      </c>
      <c r="S2848">
        <v>-3.005951</v>
      </c>
      <c r="T2848">
        <v>3.9924260000000003E-2</v>
      </c>
      <c r="U2848">
        <v>-0.19485469999999999</v>
      </c>
      <c r="V2848">
        <v>1.9751379999999999E-2</v>
      </c>
      <c r="W2848">
        <v>3.5310380000000002E-2</v>
      </c>
      <c r="X2848">
        <v>0.99918119999999999</v>
      </c>
      <c r="Y2848">
        <v>-7.1365799999999993E-2</v>
      </c>
      <c r="Z2848">
        <v>5.6232020000000001E-4</v>
      </c>
      <c r="AA2848">
        <v>0.99745010000000001</v>
      </c>
      <c r="AB2848">
        <v>38</v>
      </c>
      <c r="AC2848">
        <v>-153.13739999999899</v>
      </c>
      <c r="AD2848">
        <v>2.036975</v>
      </c>
      <c r="AE2848">
        <v>-9.9435000000000198</v>
      </c>
      <c r="AF2848">
        <v>-10.9675026025647</v>
      </c>
      <c r="AG2848">
        <v>2.036975</v>
      </c>
      <c r="AH2848">
        <v>153.04036727620701</v>
      </c>
      <c r="AI2848">
        <v>89.239385746057593</v>
      </c>
      <c r="AJ2848">
        <v>94.099043747263295</v>
      </c>
      <c r="AK2848">
        <v>153.44637303150699</v>
      </c>
      <c r="AL2848">
        <v>87.976443612104802</v>
      </c>
      <c r="AM2848">
        <v>88.867549403963494</v>
      </c>
      <c r="AN2848">
        <v>1.00000000519054</v>
      </c>
    </row>
    <row r="2849" spans="1:40" x14ac:dyDescent="0.25">
      <c r="A2849" t="str">
        <f>"20190312153941468"</f>
        <v>20190312153941468</v>
      </c>
      <c r="B2849" t="str">
        <f>"1552376381458209"</f>
        <v>1552376381458209</v>
      </c>
      <c r="C2849" t="s">
        <v>40</v>
      </c>
      <c r="D2849">
        <v>4.0571519999999897</v>
      </c>
      <c r="E2849">
        <v>0.45828259999999998</v>
      </c>
      <c r="F2849" t="s">
        <v>67</v>
      </c>
      <c r="G2849">
        <v>-512.82619999999997</v>
      </c>
      <c r="H2849">
        <v>3.0315940000000001</v>
      </c>
      <c r="I2849">
        <v>271.5018</v>
      </c>
      <c r="J2849">
        <v>-359.92349999999999</v>
      </c>
      <c r="K2849">
        <v>1.1111230000000001</v>
      </c>
      <c r="L2849">
        <v>283.52769999999998</v>
      </c>
      <c r="M2849">
        <v>-0.99970689999999995</v>
      </c>
      <c r="N2849">
        <v>0</v>
      </c>
      <c r="O2849">
        <v>6.6099139999999997E-3</v>
      </c>
      <c r="P2849">
        <v>-0.99958210000000003</v>
      </c>
      <c r="Q2849">
        <v>1.1784660000000001E-2</v>
      </c>
      <c r="R2849">
        <v>2.6400509999999999E-2</v>
      </c>
      <c r="S2849">
        <v>-3.00705</v>
      </c>
      <c r="T2849">
        <v>3.7712099999999998E-2</v>
      </c>
      <c r="U2849">
        <v>-0.2361145</v>
      </c>
      <c r="V2849">
        <v>1.9779930000000001E-2</v>
      </c>
      <c r="W2849">
        <v>3.507354E-2</v>
      </c>
      <c r="X2849">
        <v>0.99918899999999999</v>
      </c>
      <c r="Y2849">
        <v>-8.4861939999999997E-2</v>
      </c>
      <c r="Z2849">
        <v>6.1409129999999998E-4</v>
      </c>
      <c r="AA2849">
        <v>0.99639250000000001</v>
      </c>
      <c r="AB2849">
        <v>38</v>
      </c>
      <c r="AC2849">
        <v>-152.90269999999899</v>
      </c>
      <c r="AD2849">
        <v>1.920471</v>
      </c>
      <c r="AE2849">
        <v>-12.025899999999901</v>
      </c>
      <c r="AF2849">
        <v>-13.0345414261968</v>
      </c>
      <c r="AG2849">
        <v>1.920471</v>
      </c>
      <c r="AH2849">
        <v>152.79588994668501</v>
      </c>
      <c r="AI2849">
        <v>89.282500677771495</v>
      </c>
      <c r="AJ2849">
        <v>94.875919559463995</v>
      </c>
      <c r="AK2849">
        <v>153.36287511537</v>
      </c>
      <c r="AL2849">
        <v>87.9900220017322</v>
      </c>
      <c r="AM2849">
        <v>88.865921760115199</v>
      </c>
      <c r="AN2849">
        <v>1.0000000282799599</v>
      </c>
    </row>
    <row r="2850" spans="1:40" x14ac:dyDescent="0.25">
      <c r="A2850" t="str">
        <f>"20190312153941485"</f>
        <v>20190312153941485</v>
      </c>
      <c r="B2850" t="str">
        <f>"1552376381478706"</f>
        <v>1552376381478706</v>
      </c>
      <c r="C2850" t="s">
        <v>40</v>
      </c>
      <c r="D2850">
        <v>4.0808269999999904</v>
      </c>
      <c r="E2850">
        <v>0.45550420000000003</v>
      </c>
      <c r="F2850" t="s">
        <v>67</v>
      </c>
      <c r="G2850">
        <v>-512.8261</v>
      </c>
      <c r="H2850">
        <v>2.8503050000000001</v>
      </c>
      <c r="I2850">
        <v>270.62079999999997</v>
      </c>
      <c r="J2850">
        <v>-360.2183</v>
      </c>
      <c r="K2850">
        <v>1.111105</v>
      </c>
      <c r="L2850">
        <v>283.52949999999998</v>
      </c>
      <c r="M2850">
        <v>-0.99971200000000005</v>
      </c>
      <c r="N2850">
        <v>0</v>
      </c>
      <c r="O2850">
        <v>6.4973670000000004E-3</v>
      </c>
      <c r="P2850">
        <v>-0.99958190000000002</v>
      </c>
      <c r="Q2850">
        <v>1.152625E-2</v>
      </c>
      <c r="R2850">
        <v>2.652904E-2</v>
      </c>
      <c r="S2850">
        <v>-3.007568</v>
      </c>
      <c r="T2850">
        <v>3.4210919999999999E-2</v>
      </c>
      <c r="U2850">
        <v>-0.25387569999999998</v>
      </c>
      <c r="V2850">
        <v>2.0021319999999999E-2</v>
      </c>
      <c r="W2850">
        <v>3.4628449999999998E-2</v>
      </c>
      <c r="X2850">
        <v>0.99919970000000002</v>
      </c>
      <c r="Y2850">
        <v>-9.0581200000000001E-2</v>
      </c>
      <c r="Z2850">
        <v>5.8804500000000004E-4</v>
      </c>
      <c r="AA2850">
        <v>0.99588889999999997</v>
      </c>
      <c r="AB2850">
        <v>38</v>
      </c>
      <c r="AC2850">
        <v>-152.6078</v>
      </c>
      <c r="AD2850">
        <v>1.7392000000000001</v>
      </c>
      <c r="AE2850">
        <v>-12.9087</v>
      </c>
      <c r="AF2850">
        <v>-13.8984486411292</v>
      </c>
      <c r="AG2850">
        <v>1.7392000000000001</v>
      </c>
      <c r="AH2850">
        <v>152.50101579545</v>
      </c>
      <c r="AI2850">
        <v>89.349294325442898</v>
      </c>
      <c r="AJ2850">
        <v>95.207366259442907</v>
      </c>
      <c r="AK2850">
        <v>153.14291204595199</v>
      </c>
      <c r="AL2850">
        <v>88.015539247942598</v>
      </c>
      <c r="AM2850">
        <v>88.852097684039094</v>
      </c>
      <c r="AN2850">
        <v>1.00000001164201</v>
      </c>
    </row>
    <row r="2851" spans="1:40" x14ac:dyDescent="0.25">
      <c r="A2851" t="str">
        <f>"20190312153941507"</f>
        <v>20190312153941507</v>
      </c>
      <c r="B2851" t="str">
        <f>"1552376381498226"</f>
        <v>1552376381498226</v>
      </c>
      <c r="C2851" t="s">
        <v>40</v>
      </c>
      <c r="D2851">
        <v>4.056057</v>
      </c>
      <c r="E2851">
        <v>0.45360289999999998</v>
      </c>
      <c r="F2851" t="s">
        <v>67</v>
      </c>
      <c r="G2851">
        <v>-512.82600000000002</v>
      </c>
      <c r="H2851">
        <v>2.7409500000000002</v>
      </c>
      <c r="I2851">
        <v>269.53710000000001</v>
      </c>
      <c r="J2851">
        <v>-360.5872</v>
      </c>
      <c r="K2851">
        <v>1.1110679999999999</v>
      </c>
      <c r="L2851">
        <v>283.53179999999998</v>
      </c>
      <c r="M2851">
        <v>-0.99972000000000005</v>
      </c>
      <c r="N2851">
        <v>0</v>
      </c>
      <c r="O2851">
        <v>6.356408E-3</v>
      </c>
      <c r="P2851">
        <v>-0.99958290000000005</v>
      </c>
      <c r="Q2851">
        <v>1.2348069999999999E-2</v>
      </c>
      <c r="R2851">
        <v>2.61067E-2</v>
      </c>
      <c r="S2851">
        <v>-3.0082089999999999</v>
      </c>
      <c r="T2851">
        <v>3.2129049999999999E-2</v>
      </c>
      <c r="U2851">
        <v>-0.2758179</v>
      </c>
      <c r="V2851">
        <v>1.9739719999999999E-2</v>
      </c>
      <c r="W2851">
        <v>3.513645E-2</v>
      </c>
      <c r="X2851">
        <v>0.99918750000000001</v>
      </c>
      <c r="Y2851">
        <v>-9.7629179999999996E-2</v>
      </c>
      <c r="Z2851">
        <v>5.8802370000000004E-4</v>
      </c>
      <c r="AA2851">
        <v>0.99522270000000002</v>
      </c>
      <c r="AB2851">
        <v>38</v>
      </c>
      <c r="AC2851">
        <v>-152.2388</v>
      </c>
      <c r="AD2851">
        <v>1.6298820000000001</v>
      </c>
      <c r="AE2851">
        <v>-13.9946999999999</v>
      </c>
      <c r="AF2851">
        <v>-14.9606600941287</v>
      </c>
      <c r="AG2851">
        <v>1.6298820000000001</v>
      </c>
      <c r="AH2851">
        <v>152.129452697662</v>
      </c>
      <c r="AI2851">
        <v>89.389115539120695</v>
      </c>
      <c r="AJ2851">
        <v>95.6165015899156</v>
      </c>
      <c r="AK2851">
        <v>152.871999541695</v>
      </c>
      <c r="AL2851">
        <v>87.986415130318704</v>
      </c>
      <c r="AM2851">
        <v>88.868224893375498</v>
      </c>
      <c r="AN2851">
        <v>0.99999994341026299</v>
      </c>
    </row>
    <row r="2852" spans="1:40" x14ac:dyDescent="0.25">
      <c r="A2852" t="str">
        <f>"20190312153941519"</f>
        <v>20190312153941519</v>
      </c>
      <c r="B2852" t="str">
        <f>"1552376381508583"</f>
        <v>1552376381508583</v>
      </c>
      <c r="C2852" t="s">
        <v>40</v>
      </c>
      <c r="D2852">
        <v>4.0523730000000002</v>
      </c>
      <c r="E2852">
        <v>0.4528643</v>
      </c>
      <c r="F2852" t="s">
        <v>67</v>
      </c>
      <c r="G2852">
        <v>-512.8261</v>
      </c>
      <c r="H2852">
        <v>2.8376920000000001</v>
      </c>
      <c r="I2852">
        <v>268.74810000000002</v>
      </c>
      <c r="J2852">
        <v>-360.78640000000001</v>
      </c>
      <c r="K2852">
        <v>1.11104</v>
      </c>
      <c r="L2852">
        <v>283.53300000000002</v>
      </c>
      <c r="M2852">
        <v>-0.99972539999999999</v>
      </c>
      <c r="N2852">
        <v>0</v>
      </c>
      <c r="O2852">
        <v>6.279911E-3</v>
      </c>
      <c r="P2852">
        <v>-0.99958840000000004</v>
      </c>
      <c r="Q2852">
        <v>1.3019589999999999E-2</v>
      </c>
      <c r="R2852">
        <v>2.5572330000000001E-2</v>
      </c>
      <c r="S2852">
        <v>-3.0084529999999998</v>
      </c>
      <c r="T2852">
        <v>3.4121989999999998E-2</v>
      </c>
      <c r="U2852">
        <v>-0.29214479999999998</v>
      </c>
      <c r="V2852">
        <v>1.9281900000000001E-2</v>
      </c>
      <c r="W2852">
        <v>3.5594870000000001E-2</v>
      </c>
      <c r="X2852">
        <v>0.99918030000000002</v>
      </c>
      <c r="Y2852">
        <v>-0.1028966</v>
      </c>
      <c r="Z2852">
        <v>6.5322129999999896E-4</v>
      </c>
      <c r="AA2852">
        <v>0.99469180000000001</v>
      </c>
      <c r="AB2852">
        <v>38</v>
      </c>
      <c r="AC2852">
        <v>-152.03969999999899</v>
      </c>
      <c r="AD2852">
        <v>1.7266519999999901</v>
      </c>
      <c r="AE2852">
        <v>-14.784899999999899</v>
      </c>
      <c r="AF2852">
        <v>-15.737636809970001</v>
      </c>
      <c r="AG2852">
        <v>1.7266519999999901</v>
      </c>
      <c r="AH2852">
        <v>151.924418445496</v>
      </c>
      <c r="AI2852">
        <v>89.352315267146594</v>
      </c>
      <c r="AJ2852">
        <v>95.914095477022201</v>
      </c>
      <c r="AK2852">
        <v>152.74712258989999</v>
      </c>
      <c r="AL2852">
        <v>87.960133331405601</v>
      </c>
      <c r="AM2852">
        <v>88.894459406427202</v>
      </c>
      <c r="AN2852">
        <v>1.000000029173</v>
      </c>
    </row>
    <row r="2853" spans="1:40" x14ac:dyDescent="0.25">
      <c r="A2853" t="str">
        <f>"20190312153941531"</f>
        <v>20190312153941531</v>
      </c>
      <c r="B2853" t="str">
        <f>"1552376381518343"</f>
        <v>1552376381518343</v>
      </c>
      <c r="C2853" t="s">
        <v>40</v>
      </c>
      <c r="D2853">
        <v>4.038646</v>
      </c>
      <c r="E2853">
        <v>0.45226290000000002</v>
      </c>
      <c r="F2853" t="s">
        <v>67</v>
      </c>
      <c r="G2853">
        <v>-512.8261</v>
      </c>
      <c r="H2853">
        <v>2.9634390000000002</v>
      </c>
      <c r="I2853">
        <v>268.38749999999999</v>
      </c>
      <c r="J2853">
        <v>-360.98500000000001</v>
      </c>
      <c r="K2853">
        <v>1.111003</v>
      </c>
      <c r="L2853">
        <v>283.53410000000002</v>
      </c>
      <c r="M2853">
        <v>-0.99973179999999995</v>
      </c>
      <c r="N2853">
        <v>0</v>
      </c>
      <c r="O2853">
        <v>6.2034059999999999E-3</v>
      </c>
      <c r="P2853">
        <v>-0.99958829999999999</v>
      </c>
      <c r="Q2853">
        <v>1.399891E-2</v>
      </c>
      <c r="R2853">
        <v>2.5053639999999999E-2</v>
      </c>
      <c r="S2853">
        <v>-3.0084230000000001</v>
      </c>
      <c r="T2853">
        <v>3.6655069999999998E-2</v>
      </c>
      <c r="U2853">
        <v>-0.29968260000000002</v>
      </c>
      <c r="V2853">
        <v>1.883953E-2</v>
      </c>
      <c r="W2853">
        <v>3.6311580000000003E-2</v>
      </c>
      <c r="X2853">
        <v>0.99916289999999996</v>
      </c>
      <c r="Y2853">
        <v>-0.1052883</v>
      </c>
      <c r="Z2853">
        <v>7.1523500000000005E-4</v>
      </c>
      <c r="AA2853">
        <v>0.99444149999999998</v>
      </c>
      <c r="AB2853">
        <v>38</v>
      </c>
      <c r="AC2853">
        <v>-151.84109999999899</v>
      </c>
      <c r="AD2853">
        <v>1.852436</v>
      </c>
      <c r="AE2853">
        <v>-15.146599999999999</v>
      </c>
      <c r="AF2853">
        <v>-16.0861043602265</v>
      </c>
      <c r="AG2853">
        <v>1.852436</v>
      </c>
      <c r="AH2853">
        <v>151.721833846745</v>
      </c>
      <c r="AI2853">
        <v>89.304384766277295</v>
      </c>
      <c r="AJ2853">
        <v>96.052098667293194</v>
      </c>
      <c r="AK2853">
        <v>152.583449752722</v>
      </c>
      <c r="AL2853">
        <v>87.919042204238906</v>
      </c>
      <c r="AM2853">
        <v>88.919798098851203</v>
      </c>
      <c r="AN2853">
        <v>0.999999979734563</v>
      </c>
    </row>
    <row r="2854" spans="1:40" x14ac:dyDescent="0.25">
      <c r="A2854" t="str">
        <f>"20190312153941543"</f>
        <v>20190312153941543</v>
      </c>
      <c r="B2854" t="str">
        <f>"1552376381538838"</f>
        <v>1552376381538838</v>
      </c>
      <c r="C2854" t="s">
        <v>40</v>
      </c>
      <c r="D2854">
        <v>4.0298610000000004</v>
      </c>
      <c r="E2854">
        <v>0.45120120000000002</v>
      </c>
      <c r="F2854" t="s">
        <v>67</v>
      </c>
      <c r="G2854">
        <v>-512.82619999999997</v>
      </c>
      <c r="H2854">
        <v>3.1674920000000002</v>
      </c>
      <c r="I2854">
        <v>268.08449999999999</v>
      </c>
      <c r="J2854">
        <v>-361.18770000000001</v>
      </c>
      <c r="K2854">
        <v>1.110965</v>
      </c>
      <c r="L2854">
        <v>283.53530000000001</v>
      </c>
      <c r="M2854">
        <v>-0.99973880000000004</v>
      </c>
      <c r="N2854">
        <v>0</v>
      </c>
      <c r="O2854">
        <v>6.1253239999999997E-3</v>
      </c>
      <c r="P2854">
        <v>-0.99958829999999999</v>
      </c>
      <c r="Q2854">
        <v>1.511875E-2</v>
      </c>
      <c r="R2854">
        <v>2.4385400000000002E-2</v>
      </c>
      <c r="S2854">
        <v>-3.0083310000000001</v>
      </c>
      <c r="T2854">
        <v>4.0745379999999998E-2</v>
      </c>
      <c r="U2854">
        <v>-0.30609130000000001</v>
      </c>
      <c r="V2854">
        <v>1.824895E-2</v>
      </c>
      <c r="W2854">
        <v>3.7130709999999997E-2</v>
      </c>
      <c r="X2854">
        <v>0.99914380000000003</v>
      </c>
      <c r="Y2854">
        <v>-0.107308399999999</v>
      </c>
      <c r="Z2854">
        <v>8.0756899999999995E-4</v>
      </c>
      <c r="AA2854">
        <v>0.99422540000000004</v>
      </c>
      <c r="AB2854">
        <v>38</v>
      </c>
      <c r="AC2854">
        <v>-151.638499999999</v>
      </c>
      <c r="AD2854">
        <v>2.056527</v>
      </c>
      <c r="AE2854">
        <v>-15.450799999999999</v>
      </c>
      <c r="AF2854">
        <v>-16.3765890067539</v>
      </c>
      <c r="AG2854">
        <v>2.056527</v>
      </c>
      <c r="AH2854">
        <v>151.513408442696</v>
      </c>
      <c r="AI2854">
        <v>89.226861235550302</v>
      </c>
      <c r="AJ2854">
        <v>96.168964418299893</v>
      </c>
      <c r="AK2854">
        <v>152.409759886698</v>
      </c>
      <c r="AL2854">
        <v>87.872077928081794</v>
      </c>
      <c r="AM2854">
        <v>88.953632529044995</v>
      </c>
      <c r="AN2854">
        <v>1.0000000234398201</v>
      </c>
    </row>
    <row r="2855" spans="1:40" x14ac:dyDescent="0.25">
      <c r="A2855" t="str">
        <f>"20190312153941556"</f>
        <v>20190312153941556</v>
      </c>
      <c r="B2855" t="str">
        <f>"1552376381548599"</f>
        <v>1552376381548599</v>
      </c>
      <c r="C2855" t="s">
        <v>40</v>
      </c>
      <c r="D2855">
        <v>4.0592680000000003</v>
      </c>
      <c r="E2855">
        <v>0.45076690000000003</v>
      </c>
      <c r="F2855" t="s">
        <v>67</v>
      </c>
      <c r="G2855">
        <v>-512.82629999999995</v>
      </c>
      <c r="H2855">
        <v>3.4090600000000002</v>
      </c>
      <c r="I2855">
        <v>267.58300000000003</v>
      </c>
      <c r="J2855">
        <v>-361.40300000000002</v>
      </c>
      <c r="K2855">
        <v>1.110911</v>
      </c>
      <c r="L2855">
        <v>283.53649999999999</v>
      </c>
      <c r="M2855">
        <v>-0.99974700000000005</v>
      </c>
      <c r="N2855">
        <v>0</v>
      </c>
      <c r="O2855">
        <v>6.0421779999999996E-3</v>
      </c>
      <c r="P2855">
        <v>-0.99960689999999996</v>
      </c>
      <c r="Q2855">
        <v>1.566122E-2</v>
      </c>
      <c r="R2855">
        <v>2.326021E-2</v>
      </c>
      <c r="S2855">
        <v>-3.00827</v>
      </c>
      <c r="T2855">
        <v>4.5592069999999998E-2</v>
      </c>
      <c r="U2855">
        <v>-0.31646729999999901</v>
      </c>
      <c r="V2855">
        <v>1.720694E-2</v>
      </c>
      <c r="W2855">
        <v>3.7320350000000002E-2</v>
      </c>
      <c r="X2855">
        <v>0.99915520000000002</v>
      </c>
      <c r="Y2855">
        <v>-0.11061699999999999</v>
      </c>
      <c r="Z2855">
        <v>9.272223E-4</v>
      </c>
      <c r="AA2855">
        <v>0.99386269999999999</v>
      </c>
      <c r="AB2855">
        <v>37</v>
      </c>
      <c r="AC2855">
        <v>-151.42329999999899</v>
      </c>
      <c r="AD2855">
        <v>2.298149</v>
      </c>
      <c r="AE2855">
        <v>-15.9535</v>
      </c>
      <c r="AF2855">
        <v>-16.8645080606133</v>
      </c>
      <c r="AG2855">
        <v>2.298149</v>
      </c>
      <c r="AH2855">
        <v>151.28965246779501</v>
      </c>
      <c r="AI2855">
        <v>89.1350779499368</v>
      </c>
      <c r="AJ2855">
        <v>96.360596701533396</v>
      </c>
      <c r="AK2855">
        <v>152.244054283834</v>
      </c>
      <c r="AL2855">
        <v>87.861204771339999</v>
      </c>
      <c r="AM2855">
        <v>89.013378909315605</v>
      </c>
      <c r="AN2855">
        <v>1.0000000004976599</v>
      </c>
    </row>
    <row r="2856" spans="1:40" x14ac:dyDescent="0.25">
      <c r="A2856" t="str">
        <f>"20190312153941568"</f>
        <v>20190312153941568</v>
      </c>
      <c r="B2856" t="str">
        <f>"1552376381558360"</f>
        <v>1552376381558360</v>
      </c>
      <c r="C2856" t="s">
        <v>40</v>
      </c>
      <c r="D2856">
        <v>4.0609570000000001</v>
      </c>
      <c r="E2856">
        <v>0.4503047</v>
      </c>
      <c r="F2856" t="s">
        <v>67</v>
      </c>
      <c r="G2856">
        <v>-512.82640000000004</v>
      </c>
      <c r="H2856">
        <v>3.5687690000000001</v>
      </c>
      <c r="I2856">
        <v>267.26560000000001</v>
      </c>
      <c r="J2856">
        <v>-361.60289999999998</v>
      </c>
      <c r="K2856">
        <v>1.110857</v>
      </c>
      <c r="L2856">
        <v>283.5376</v>
      </c>
      <c r="M2856">
        <v>-0.99975539999999996</v>
      </c>
      <c r="N2856">
        <v>0</v>
      </c>
      <c r="O2856">
        <v>5.9671990000000003E-3</v>
      </c>
      <c r="P2856">
        <v>-0.99961639999999996</v>
      </c>
      <c r="Q2856">
        <v>1.6378489999999999E-2</v>
      </c>
      <c r="R2856">
        <v>2.2339120000000001E-2</v>
      </c>
      <c r="S2856">
        <v>-3.0079349999999998</v>
      </c>
      <c r="T2856">
        <v>4.8825380000000002E-2</v>
      </c>
      <c r="U2856">
        <v>-0.32321169999999999</v>
      </c>
      <c r="V2856">
        <v>1.6360530000000002E-2</v>
      </c>
      <c r="W2856">
        <v>3.7670580000000002E-2</v>
      </c>
      <c r="X2856">
        <v>0.9991563</v>
      </c>
      <c r="Y2856">
        <v>-0.11275499999999999</v>
      </c>
      <c r="Z2856">
        <v>1.009051E-3</v>
      </c>
      <c r="AA2856">
        <v>0.99362229999999996</v>
      </c>
      <c r="AB2856">
        <v>37</v>
      </c>
      <c r="AC2856">
        <v>-151.2235</v>
      </c>
      <c r="AD2856">
        <v>2.4579119999999999</v>
      </c>
      <c r="AE2856">
        <v>-16.271999999999899</v>
      </c>
      <c r="AF2856">
        <v>-17.1698116373273</v>
      </c>
      <c r="AG2856">
        <v>2.4579119999999999</v>
      </c>
      <c r="AH2856">
        <v>151.08423006148701</v>
      </c>
      <c r="AI2856">
        <v>89.073926377184307</v>
      </c>
      <c r="AJ2856">
        <v>96.483503922388195</v>
      </c>
      <c r="AK2856">
        <v>152.076587074847</v>
      </c>
      <c r="AL2856">
        <v>87.841124003911105</v>
      </c>
      <c r="AM2856">
        <v>89.061902971815798</v>
      </c>
      <c r="AN2856">
        <v>1.00000002568455</v>
      </c>
    </row>
    <row r="2857" spans="1:40" x14ac:dyDescent="0.25">
      <c r="A2857" t="str">
        <f>"20190312153941580"</f>
        <v>20190312153941580</v>
      </c>
      <c r="B2857" t="str">
        <f>"1552376381569095"</f>
        <v>1552376381569095</v>
      </c>
      <c r="C2857" t="s">
        <v>40</v>
      </c>
      <c r="D2857">
        <v>4.0352199999999998</v>
      </c>
      <c r="E2857">
        <v>0.449847</v>
      </c>
      <c r="F2857" t="s">
        <v>67</v>
      </c>
      <c r="G2857">
        <v>-512.82640000000004</v>
      </c>
      <c r="H2857">
        <v>3.7221820000000001</v>
      </c>
      <c r="I2857">
        <v>266.96440000000001</v>
      </c>
      <c r="J2857">
        <v>-361.8107</v>
      </c>
      <c r="K2857">
        <v>1.1108089999999999</v>
      </c>
      <c r="L2857">
        <v>283.53879999999998</v>
      </c>
      <c r="M2857">
        <v>-0.99976410000000004</v>
      </c>
      <c r="N2857">
        <v>0</v>
      </c>
      <c r="O2857">
        <v>5.8901630000000003E-3</v>
      </c>
      <c r="P2857">
        <v>-0.99963199999999997</v>
      </c>
      <c r="Q2857">
        <v>1.6593810000000001E-2</v>
      </c>
      <c r="R2857">
        <v>2.146555E-2</v>
      </c>
      <c r="S2857">
        <v>-3.00766</v>
      </c>
      <c r="T2857">
        <v>5.1937700000000003E-2</v>
      </c>
      <c r="U2857">
        <v>-0.32962039999999998</v>
      </c>
      <c r="V2857">
        <v>1.55639E-2</v>
      </c>
      <c r="W2857">
        <v>3.7498089999999998E-2</v>
      </c>
      <c r="X2857">
        <v>0.99917549999999999</v>
      </c>
      <c r="Y2857">
        <v>-0.11477809999999999</v>
      </c>
      <c r="Z2857">
        <v>1.089423E-3</v>
      </c>
      <c r="AA2857">
        <v>0.99339060000000001</v>
      </c>
      <c r="AB2857">
        <v>37</v>
      </c>
      <c r="AC2857">
        <v>-151.01570000000001</v>
      </c>
      <c r="AD2857">
        <v>2.6113729999999999</v>
      </c>
      <c r="AE2857">
        <v>-16.574399999999901</v>
      </c>
      <c r="AF2857">
        <v>-17.458655614759898</v>
      </c>
      <c r="AG2857">
        <v>2.6113729999999999</v>
      </c>
      <c r="AH2857">
        <v>150.870856132309</v>
      </c>
      <c r="AI2857">
        <v>89.014957682752595</v>
      </c>
      <c r="AJ2857">
        <v>96.600862662446701</v>
      </c>
      <c r="AK2857">
        <v>151.90009596743499</v>
      </c>
      <c r="AL2857">
        <v>87.851013908250906</v>
      </c>
      <c r="AM2857">
        <v>89.107590538026898</v>
      </c>
      <c r="AN2857">
        <v>1.0000000107685501</v>
      </c>
    </row>
    <row r="2858" spans="1:40" x14ac:dyDescent="0.25">
      <c r="A2858" t="str">
        <f>"20190312153941592"</f>
        <v>20190312153941592</v>
      </c>
      <c r="B2858" t="str">
        <f>"1552376381588615"</f>
        <v>1552376381588615</v>
      </c>
      <c r="C2858" t="s">
        <v>40</v>
      </c>
      <c r="D2858">
        <v>4.0097290000000001</v>
      </c>
      <c r="E2858">
        <v>0.4492775</v>
      </c>
      <c r="F2858" t="s">
        <v>67</v>
      </c>
      <c r="G2858">
        <v>-512.82640000000004</v>
      </c>
      <c r="H2858">
        <v>3.7940610000000001</v>
      </c>
      <c r="I2858">
        <v>266.67439999999999</v>
      </c>
      <c r="J2858">
        <v>-362.0147</v>
      </c>
      <c r="K2858">
        <v>1.1107590000000001</v>
      </c>
      <c r="L2858">
        <v>283.53989999999999</v>
      </c>
      <c r="M2858">
        <v>-0.99977260000000001</v>
      </c>
      <c r="N2858">
        <v>0</v>
      </c>
      <c r="O2858">
        <v>5.8163729999999997E-3</v>
      </c>
      <c r="P2858">
        <v>-0.99964759999999997</v>
      </c>
      <c r="Q2858">
        <v>1.703431E-2</v>
      </c>
      <c r="R2858">
        <v>2.0366570000000001E-2</v>
      </c>
      <c r="S2858">
        <v>-3.0074160000000001</v>
      </c>
      <c r="T2858">
        <v>5.3437350000000002E-2</v>
      </c>
      <c r="U2858">
        <v>-0.33584589999999998</v>
      </c>
      <c r="V2858">
        <v>1.4538509999999999E-2</v>
      </c>
      <c r="W2858">
        <v>3.7552889999999998E-2</v>
      </c>
      <c r="X2858">
        <v>0.99918890000000005</v>
      </c>
      <c r="Y2858">
        <v>-0.1167434</v>
      </c>
      <c r="Z2858">
        <v>1.1369349999999999E-3</v>
      </c>
      <c r="AA2858">
        <v>0.99316139999999997</v>
      </c>
      <c r="AB2858">
        <v>37</v>
      </c>
      <c r="AC2858">
        <v>-150.8117</v>
      </c>
      <c r="AD2858">
        <v>2.6833019999999999</v>
      </c>
      <c r="AE2858">
        <v>-16.865499999999901</v>
      </c>
      <c r="AF2858">
        <v>-17.737030716925101</v>
      </c>
      <c r="AG2858">
        <v>2.6833019999999999</v>
      </c>
      <c r="AH2858">
        <v>150.663924746334</v>
      </c>
      <c r="AI2858">
        <v>88.986674975562906</v>
      </c>
      <c r="AJ2858">
        <v>96.714286580075594</v>
      </c>
      <c r="AK2858">
        <v>151.72811403377199</v>
      </c>
      <c r="AL2858">
        <v>87.847871912566205</v>
      </c>
      <c r="AM2858">
        <v>89.166387370833903</v>
      </c>
      <c r="AN2858">
        <v>1.00000002285179</v>
      </c>
    </row>
    <row r="2859" spans="1:40" x14ac:dyDescent="0.25">
      <c r="A2859" t="str">
        <f>"20190312153941607"</f>
        <v>20190312153941607</v>
      </c>
      <c r="B2859" t="str">
        <f>"1552376381598375"</f>
        <v>1552376381598375</v>
      </c>
      <c r="C2859" t="s">
        <v>40</v>
      </c>
      <c r="D2859">
        <v>4.040375</v>
      </c>
      <c r="E2859">
        <v>0.44904579999999999</v>
      </c>
      <c r="F2859" t="s">
        <v>67</v>
      </c>
      <c r="G2859">
        <v>-512.82640000000004</v>
      </c>
      <c r="H2859">
        <v>3.649864</v>
      </c>
      <c r="I2859">
        <v>266.29160000000002</v>
      </c>
      <c r="J2859">
        <v>-362.26609999999999</v>
      </c>
      <c r="K2859">
        <v>1.1107009999999999</v>
      </c>
      <c r="L2859">
        <v>283.5412</v>
      </c>
      <c r="M2859">
        <v>-0.99978239999999996</v>
      </c>
      <c r="N2859">
        <v>0</v>
      </c>
      <c r="O2859">
        <v>5.7267079999999996E-3</v>
      </c>
      <c r="P2859">
        <v>-0.99966820000000001</v>
      </c>
      <c r="Q2859">
        <v>1.7172369999999999E-2</v>
      </c>
      <c r="R2859">
        <v>1.9196930000000001E-2</v>
      </c>
      <c r="S2859">
        <v>-3.0072019999999999</v>
      </c>
      <c r="T2859">
        <v>5.0631519999999999E-2</v>
      </c>
      <c r="U2859">
        <v>-0.34393309999999999</v>
      </c>
      <c r="V2859">
        <v>1.345844E-2</v>
      </c>
      <c r="W2859">
        <v>3.7226009999999997E-2</v>
      </c>
      <c r="X2859">
        <v>0.99921629999999995</v>
      </c>
      <c r="Y2859">
        <v>-0.1193005</v>
      </c>
      <c r="Z2859">
        <v>1.097109E-3</v>
      </c>
      <c r="AA2859">
        <v>0.99285760000000001</v>
      </c>
      <c r="AB2859">
        <v>37</v>
      </c>
      <c r="AC2859">
        <v>-150.56030000000001</v>
      </c>
      <c r="AD2859">
        <v>2.5391629999999998</v>
      </c>
      <c r="AE2859">
        <v>-17.249599999999901</v>
      </c>
      <c r="AF2859">
        <v>-18.106622253871802</v>
      </c>
      <c r="AG2859">
        <v>2.5391629999999998</v>
      </c>
      <c r="AH2859">
        <v>150.416799584633</v>
      </c>
      <c r="AI2859">
        <v>89.039820947237104</v>
      </c>
      <c r="AJ2859">
        <v>96.864028480277</v>
      </c>
      <c r="AK2859">
        <v>151.52396086252699</v>
      </c>
      <c r="AL2859">
        <v>87.866613940436295</v>
      </c>
      <c r="AM2859">
        <v>89.228330056479393</v>
      </c>
      <c r="AN2859">
        <v>1.00000005980672</v>
      </c>
    </row>
    <row r="2860" spans="1:40" x14ac:dyDescent="0.25">
      <c r="A2860" t="str">
        <f>"20190312153941630"</f>
        <v>20190312153941630</v>
      </c>
      <c r="B2860" t="str">
        <f>"1552376381618580"</f>
        <v>1552376381618580</v>
      </c>
      <c r="C2860" t="s">
        <v>40</v>
      </c>
      <c r="D2860">
        <v>4.0035660000000002</v>
      </c>
      <c r="E2860">
        <v>0.44868570000000002</v>
      </c>
      <c r="F2860" t="s">
        <v>67</v>
      </c>
      <c r="G2860">
        <v>-512.82640000000004</v>
      </c>
      <c r="H2860">
        <v>3.5851099999999998</v>
      </c>
      <c r="I2860">
        <v>266.05079999999998</v>
      </c>
      <c r="J2860">
        <v>-362.6318</v>
      </c>
      <c r="K2860">
        <v>1.11063</v>
      </c>
      <c r="L2860">
        <v>283.54320000000001</v>
      </c>
      <c r="M2860">
        <v>-0.99979620000000002</v>
      </c>
      <c r="N2860">
        <v>0</v>
      </c>
      <c r="O2860">
        <v>5.5916769999999998E-3</v>
      </c>
      <c r="P2860">
        <v>-0.99967499999999998</v>
      </c>
      <c r="Q2860">
        <v>1.690258E-2</v>
      </c>
      <c r="R2860">
        <v>1.9093840000000001E-2</v>
      </c>
      <c r="S2860">
        <v>-3.006866</v>
      </c>
      <c r="T2860">
        <v>4.9418330000000003E-2</v>
      </c>
      <c r="U2860">
        <v>-0.34930420000000001</v>
      </c>
      <c r="V2860">
        <v>1.3491019999999999E-2</v>
      </c>
      <c r="W2860">
        <v>3.6304429999999999E-2</v>
      </c>
      <c r="X2860">
        <v>0.99924970000000002</v>
      </c>
      <c r="Y2860">
        <v>-0.1209295</v>
      </c>
      <c r="Z2860">
        <v>1.0819619999999999E-3</v>
      </c>
      <c r="AA2860">
        <v>0.99266049999999995</v>
      </c>
      <c r="AB2860">
        <v>37</v>
      </c>
      <c r="AC2860">
        <v>-150.19460000000001</v>
      </c>
      <c r="AD2860">
        <v>2.4744799999999998</v>
      </c>
      <c r="AE2860">
        <v>-17.4924</v>
      </c>
      <c r="AF2860">
        <v>-18.327216176065399</v>
      </c>
      <c r="AG2860">
        <v>2.4744799999999998</v>
      </c>
      <c r="AH2860">
        <v>150.054236491642</v>
      </c>
      <c r="AI2860">
        <v>89.062213101182905</v>
      </c>
      <c r="AJ2860">
        <v>96.963461447775003</v>
      </c>
      <c r="AK2860">
        <v>151.189562447691</v>
      </c>
      <c r="AL2860">
        <v>87.919452163028097</v>
      </c>
      <c r="AM2860">
        <v>89.226488087994198</v>
      </c>
      <c r="AN2860">
        <v>0.99999999110417703</v>
      </c>
    </row>
    <row r="2861" spans="1:40" x14ac:dyDescent="0.25">
      <c r="A2861" t="str">
        <f>"20190312153941642"</f>
        <v>20190312153941642</v>
      </c>
      <c r="B2861" t="str">
        <f>"1552376381639075"</f>
        <v>1552376381639075</v>
      </c>
      <c r="C2861" t="s">
        <v>40</v>
      </c>
      <c r="D2861">
        <v>3.960035</v>
      </c>
      <c r="E2861">
        <v>0.44836779999999998</v>
      </c>
      <c r="F2861" t="s">
        <v>67</v>
      </c>
      <c r="G2861">
        <v>-512.82629999999995</v>
      </c>
      <c r="H2861">
        <v>3.377532</v>
      </c>
      <c r="I2861">
        <v>265.92360000000002</v>
      </c>
      <c r="J2861">
        <v>-362.84179999999998</v>
      </c>
      <c r="K2861">
        <v>1.110598</v>
      </c>
      <c r="L2861">
        <v>283.54430000000002</v>
      </c>
      <c r="M2861">
        <v>-0.99980340000000001</v>
      </c>
      <c r="N2861">
        <v>0</v>
      </c>
      <c r="O2861">
        <v>5.5100339999999996E-3</v>
      </c>
      <c r="P2861">
        <v>-0.99967410000000001</v>
      </c>
      <c r="Q2861">
        <v>1.675024E-2</v>
      </c>
      <c r="R2861">
        <v>1.9272790000000001E-2</v>
      </c>
      <c r="S2861">
        <v>-3.0069889999999999</v>
      </c>
      <c r="T2861">
        <v>4.5386309999999999E-2</v>
      </c>
      <c r="U2861">
        <v>-0.35275269999999997</v>
      </c>
      <c r="V2861">
        <v>1.375211E-2</v>
      </c>
      <c r="W2861">
        <v>3.5795029999999999E-2</v>
      </c>
      <c r="X2861">
        <v>0.9992645</v>
      </c>
      <c r="Y2861">
        <v>-0.12196940000000001</v>
      </c>
      <c r="Z2861">
        <v>1.0001809999999999E-3</v>
      </c>
      <c r="AA2861">
        <v>0.99253340000000001</v>
      </c>
      <c r="AB2861">
        <v>37</v>
      </c>
      <c r="AC2861">
        <v>-149.984499999999</v>
      </c>
      <c r="AD2861">
        <v>2.266934</v>
      </c>
      <c r="AE2861">
        <v>-17.620699999999999</v>
      </c>
      <c r="AF2861">
        <v>-18.4428462148188</v>
      </c>
      <c r="AG2861">
        <v>2.266934</v>
      </c>
      <c r="AH2861">
        <v>149.85134709330899</v>
      </c>
      <c r="AI2861">
        <v>89.139791563287105</v>
      </c>
      <c r="AJ2861">
        <v>97.016352403139393</v>
      </c>
      <c r="AK2861">
        <v>150.999019175434</v>
      </c>
      <c r="AL2861">
        <v>87.948657579815205</v>
      </c>
      <c r="AM2861">
        <v>89.211531958593397</v>
      </c>
      <c r="AN2861">
        <v>0.99999997283120101</v>
      </c>
    </row>
    <row r="2862" spans="1:40" x14ac:dyDescent="0.25">
      <c r="A2862" t="str">
        <f>"20190312153941656"</f>
        <v>20190312153941656</v>
      </c>
      <c r="B2862" t="str">
        <f>"1552376381648836"</f>
        <v>1552376381648836</v>
      </c>
      <c r="C2862" t="s">
        <v>40</v>
      </c>
      <c r="D2862">
        <v>4.0438910000000003</v>
      </c>
      <c r="E2862">
        <v>0.44815490000000002</v>
      </c>
      <c r="F2862" t="s">
        <v>67</v>
      </c>
      <c r="G2862">
        <v>-512.82619999999997</v>
      </c>
      <c r="H2862">
        <v>3.2560530000000001</v>
      </c>
      <c r="I2862">
        <v>265.85120000000001</v>
      </c>
      <c r="J2862">
        <v>-363.07709999999997</v>
      </c>
      <c r="K2862">
        <v>1.11056</v>
      </c>
      <c r="L2862">
        <v>283.5455</v>
      </c>
      <c r="M2862">
        <v>-0.99981120000000001</v>
      </c>
      <c r="N2862">
        <v>0</v>
      </c>
      <c r="O2862">
        <v>5.4156810000000003E-3</v>
      </c>
      <c r="P2862">
        <v>-0.9996661</v>
      </c>
      <c r="Q2862">
        <v>1.6882609999999999E-2</v>
      </c>
      <c r="R2862">
        <v>1.9570730000000001E-2</v>
      </c>
      <c r="S2862">
        <v>-3.0071110000000001</v>
      </c>
      <c r="T2862">
        <v>4.3016789999999999E-2</v>
      </c>
      <c r="U2862">
        <v>-0.3547363</v>
      </c>
      <c r="V2862">
        <v>1.414496E-2</v>
      </c>
      <c r="W2862">
        <v>3.5541499999999997E-2</v>
      </c>
      <c r="X2862">
        <v>0.99926809999999999</v>
      </c>
      <c r="Y2862">
        <v>-0.12251819999999999</v>
      </c>
      <c r="Z2862">
        <v>9.5046029999999997E-4</v>
      </c>
      <c r="AA2862">
        <v>0.99246579999999995</v>
      </c>
      <c r="AB2862">
        <v>37</v>
      </c>
      <c r="AC2862">
        <v>-149.7491</v>
      </c>
      <c r="AD2862">
        <v>2.1454930000000001</v>
      </c>
      <c r="AE2862">
        <v>-17.694299999999998</v>
      </c>
      <c r="AF2862">
        <v>-18.5014295275199</v>
      </c>
      <c r="AG2862">
        <v>2.1454930000000001</v>
      </c>
      <c r="AH2862">
        <v>149.62077002604801</v>
      </c>
      <c r="AI2862">
        <v>89.184670167895007</v>
      </c>
      <c r="AJ2862">
        <v>97.049154201855899</v>
      </c>
      <c r="AK2862">
        <v>150.77559768729901</v>
      </c>
      <c r="AL2862">
        <v>87.963193097767501</v>
      </c>
      <c r="AM2862">
        <v>89.189014054055605</v>
      </c>
      <c r="AN2862">
        <v>1.0000000068966299</v>
      </c>
    </row>
    <row r="2863" spans="1:40" x14ac:dyDescent="0.25">
      <c r="A2863" t="str">
        <f>"20190312153941671"</f>
        <v>20190312153941671</v>
      </c>
      <c r="B2863" t="str">
        <f>"1552376381658595"</f>
        <v>1552376381658595</v>
      </c>
      <c r="C2863" t="s">
        <v>40</v>
      </c>
      <c r="D2863">
        <v>4.0005139999999999</v>
      </c>
      <c r="E2863">
        <v>0.44794980000000001</v>
      </c>
      <c r="F2863" t="s">
        <v>67</v>
      </c>
      <c r="G2863">
        <v>-512.82619999999997</v>
      </c>
      <c r="H2863">
        <v>3.2087669999999999</v>
      </c>
      <c r="I2863">
        <v>265.83699999999999</v>
      </c>
      <c r="J2863">
        <v>-363.30900000000003</v>
      </c>
      <c r="K2863">
        <v>1.11053</v>
      </c>
      <c r="L2863">
        <v>283.54669999999999</v>
      </c>
      <c r="M2863">
        <v>-0.99981819999999999</v>
      </c>
      <c r="N2863">
        <v>0</v>
      </c>
      <c r="O2863">
        <v>5.3205569999999897E-3</v>
      </c>
      <c r="P2863">
        <v>-0.99965380000000004</v>
      </c>
      <c r="Q2863">
        <v>1.6883059999999998E-2</v>
      </c>
      <c r="R2863">
        <v>2.0188020000000001E-2</v>
      </c>
      <c r="S2863">
        <v>-3.007263</v>
      </c>
      <c r="T2863">
        <v>4.213774E-2</v>
      </c>
      <c r="U2863">
        <v>-0.35562129999999997</v>
      </c>
      <c r="V2863">
        <v>1.4857789999999999E-2</v>
      </c>
      <c r="W2863">
        <v>3.5189819999999997E-2</v>
      </c>
      <c r="X2863">
        <v>0.9992702</v>
      </c>
      <c r="Y2863">
        <v>-0.1227065</v>
      </c>
      <c r="Z2863">
        <v>9.3096170000000003E-4</v>
      </c>
      <c r="AA2863">
        <v>0.99244250000000001</v>
      </c>
      <c r="AB2863">
        <v>37</v>
      </c>
      <c r="AC2863">
        <v>-149.51719999999901</v>
      </c>
      <c r="AD2863">
        <v>2.0982369999999899</v>
      </c>
      <c r="AE2863">
        <v>-17.709699999999899</v>
      </c>
      <c r="AF2863">
        <v>-18.501504203011901</v>
      </c>
      <c r="AG2863">
        <v>2.0982369999999899</v>
      </c>
      <c r="AH2863">
        <v>149.39182802144401</v>
      </c>
      <c r="AI2863">
        <v>89.201422718130104</v>
      </c>
      <c r="AJ2863">
        <v>97.059876263126597</v>
      </c>
      <c r="AK2863">
        <v>150.54775500109901</v>
      </c>
      <c r="AL2863">
        <v>87.983355486407206</v>
      </c>
      <c r="AM2863">
        <v>89.148152386702805</v>
      </c>
      <c r="AN2863">
        <v>1.00000000498167</v>
      </c>
    </row>
    <row r="2864" spans="1:40" x14ac:dyDescent="0.25">
      <c r="A2864" t="str">
        <f>"20190312153941684"</f>
        <v>20190312153941684</v>
      </c>
      <c r="B2864" t="str">
        <f>"1552376381678116"</f>
        <v>1552376381678116</v>
      </c>
      <c r="C2864" t="s">
        <v>40</v>
      </c>
      <c r="D2864">
        <v>4.0375019999999999</v>
      </c>
      <c r="E2864">
        <v>0.44763340000000001</v>
      </c>
      <c r="F2864" t="s">
        <v>67</v>
      </c>
      <c r="G2864">
        <v>-512.82619999999997</v>
      </c>
      <c r="H2864">
        <v>3.1453310000000001</v>
      </c>
      <c r="I2864">
        <v>265.86739999999998</v>
      </c>
      <c r="J2864">
        <v>-363.54430000000002</v>
      </c>
      <c r="K2864">
        <v>1.1105039999999999</v>
      </c>
      <c r="L2864">
        <v>283.54790000000003</v>
      </c>
      <c r="M2864">
        <v>-0.99982499999999996</v>
      </c>
      <c r="N2864">
        <v>0</v>
      </c>
      <c r="O2864">
        <v>5.2245740000000001E-3</v>
      </c>
      <c r="P2864">
        <v>-0.99965269999999995</v>
      </c>
      <c r="Q2864">
        <v>1.6459069999999999E-2</v>
      </c>
      <c r="R2864">
        <v>2.0589929999999999E-2</v>
      </c>
      <c r="S2864">
        <v>-3.007568</v>
      </c>
      <c r="T2864">
        <v>4.093194E-2</v>
      </c>
      <c r="U2864">
        <v>-0.35562129999999997</v>
      </c>
      <c r="V2864">
        <v>1.5356119999999999E-2</v>
      </c>
      <c r="W2864">
        <v>3.4426379999999999E-2</v>
      </c>
      <c r="X2864">
        <v>0.99928930000000005</v>
      </c>
      <c r="Y2864">
        <v>-0.1226001</v>
      </c>
      <c r="Z2864">
        <v>9.0220950000000002E-4</v>
      </c>
      <c r="AA2864">
        <v>0.99245570000000005</v>
      </c>
      <c r="AB2864">
        <v>37</v>
      </c>
      <c r="AC2864">
        <v>-149.28189999999901</v>
      </c>
      <c r="AD2864">
        <v>2.0348269999999999</v>
      </c>
      <c r="AE2864">
        <v>-17.680499999999999</v>
      </c>
      <c r="AF2864">
        <v>-18.456936990047801</v>
      </c>
      <c r="AG2864">
        <v>2.0348269999999999</v>
      </c>
      <c r="AH2864">
        <v>149.160143665737</v>
      </c>
      <c r="AI2864">
        <v>89.224340391791998</v>
      </c>
      <c r="AJ2864">
        <v>97.053870676311604</v>
      </c>
      <c r="AK2864">
        <v>150.31150156377899</v>
      </c>
      <c r="AL2864">
        <v>88.027123980316006</v>
      </c>
      <c r="AM2864">
        <v>89.119602683074504</v>
      </c>
      <c r="AN2864">
        <v>1.0000000455779201</v>
      </c>
    </row>
    <row r="2865" spans="1:40" x14ac:dyDescent="0.25">
      <c r="A2865" t="str">
        <f>"20190312153941698"</f>
        <v>20190312153941698</v>
      </c>
      <c r="B2865" t="str">
        <f>"1552376381688852"</f>
        <v>1552376381688852</v>
      </c>
      <c r="C2865" t="s">
        <v>40</v>
      </c>
      <c r="D2865">
        <v>3.9899019999999998</v>
      </c>
      <c r="E2865">
        <v>0.4474842</v>
      </c>
      <c r="F2865" t="s">
        <v>67</v>
      </c>
      <c r="G2865">
        <v>-512.8261</v>
      </c>
      <c r="H2865">
        <v>2.968512</v>
      </c>
      <c r="I2865">
        <v>265.83710000000002</v>
      </c>
      <c r="J2865">
        <v>-363.77100000000002</v>
      </c>
      <c r="K2865">
        <v>1.1104769999999999</v>
      </c>
      <c r="L2865">
        <v>283.5489</v>
      </c>
      <c r="M2865">
        <v>-0.99983100000000003</v>
      </c>
      <c r="N2865">
        <v>0</v>
      </c>
      <c r="O2865">
        <v>5.1328959999999996E-3</v>
      </c>
      <c r="P2865">
        <v>-0.99964830000000005</v>
      </c>
      <c r="Q2865">
        <v>1.555168E-2</v>
      </c>
      <c r="R2865">
        <v>2.148309E-2</v>
      </c>
      <c r="S2865">
        <v>-3.0077820000000002</v>
      </c>
      <c r="T2865">
        <v>3.7437320000000003E-2</v>
      </c>
      <c r="U2865">
        <v>-0.35684199999999999</v>
      </c>
      <c r="V2865">
        <v>1.6341310000000001E-2</v>
      </c>
      <c r="W2865">
        <v>3.3207809999999997E-2</v>
      </c>
      <c r="X2865">
        <v>0.99931479999999995</v>
      </c>
      <c r="Y2865">
        <v>-0.1229</v>
      </c>
      <c r="Z2865">
        <v>8.2583199999999998E-4</v>
      </c>
      <c r="AA2865">
        <v>0.99241869999999999</v>
      </c>
      <c r="AB2865">
        <v>37</v>
      </c>
      <c r="AC2865">
        <v>-149.05510000000001</v>
      </c>
      <c r="AD2865">
        <v>1.8580349999999899</v>
      </c>
      <c r="AE2865">
        <v>-17.711799999999901</v>
      </c>
      <c r="AF2865">
        <v>-18.4739395288899</v>
      </c>
      <c r="AG2865">
        <v>1.8580349999999899</v>
      </c>
      <c r="AH2865">
        <v>148.939387846203</v>
      </c>
      <c r="AI2865">
        <v>89.290700943959294</v>
      </c>
      <c r="AJ2865">
        <v>97.070661989532795</v>
      </c>
      <c r="AK2865">
        <v>150.09223826627499</v>
      </c>
      <c r="AL2865">
        <v>88.096982642313506</v>
      </c>
      <c r="AM2865">
        <v>89.063153420579098</v>
      </c>
      <c r="AN2865">
        <v>0.99999993327827297</v>
      </c>
    </row>
    <row r="2866" spans="1:40" x14ac:dyDescent="0.25">
      <c r="A2866" t="str">
        <f>"20190312153941718"</f>
        <v>20190312153941718</v>
      </c>
      <c r="B2866" t="str">
        <f>"1552376381709021"</f>
        <v>1552376381709021</v>
      </c>
      <c r="C2866" t="s">
        <v>40</v>
      </c>
      <c r="D2866">
        <v>4.0074339999999999</v>
      </c>
      <c r="E2866">
        <v>0.44725130000000002</v>
      </c>
      <c r="F2866" t="s">
        <v>67</v>
      </c>
      <c r="G2866">
        <v>-512.82600000000002</v>
      </c>
      <c r="H2866">
        <v>2.787004</v>
      </c>
      <c r="I2866">
        <v>265.93090000000001</v>
      </c>
      <c r="J2866">
        <v>-364.11380000000003</v>
      </c>
      <c r="K2866">
        <v>1.110447</v>
      </c>
      <c r="L2866">
        <v>283.55059999999997</v>
      </c>
      <c r="M2866">
        <v>-0.99983920000000004</v>
      </c>
      <c r="N2866">
        <v>0</v>
      </c>
      <c r="O2866">
        <v>4.9971529999999998E-3</v>
      </c>
      <c r="P2866">
        <v>-0.99964560000000002</v>
      </c>
      <c r="Q2866">
        <v>1.474294E-2</v>
      </c>
      <c r="R2866">
        <v>2.2175179999999999E-2</v>
      </c>
      <c r="S2866">
        <v>-3.0081790000000002</v>
      </c>
      <c r="T2866">
        <v>3.3836600000000001E-2</v>
      </c>
      <c r="U2866">
        <v>-0.3555603</v>
      </c>
      <c r="V2866">
        <v>1.7169420000000001E-2</v>
      </c>
      <c r="W2866">
        <v>3.1973460000000002E-2</v>
      </c>
      <c r="X2866">
        <v>0.99934120000000004</v>
      </c>
      <c r="Y2866">
        <v>-0.1223347</v>
      </c>
      <c r="Z2866">
        <v>7.4163949999999897E-4</v>
      </c>
      <c r="AA2866">
        <v>0.99248860000000005</v>
      </c>
      <c r="AB2866">
        <v>37</v>
      </c>
      <c r="AC2866">
        <v>-148.7122</v>
      </c>
      <c r="AD2866">
        <v>1.6765570000000001</v>
      </c>
      <c r="AE2866">
        <v>-17.619699999999899</v>
      </c>
      <c r="AF2866">
        <v>-18.360426493549699</v>
      </c>
      <c r="AG2866">
        <v>1.6765570000000001</v>
      </c>
      <c r="AH2866">
        <v>148.603655291221</v>
      </c>
      <c r="AI2866">
        <v>89.358489846421705</v>
      </c>
      <c r="AJ2866">
        <v>97.043370010210893</v>
      </c>
      <c r="AK2866">
        <v>149.74298805056401</v>
      </c>
      <c r="AL2866">
        <v>88.167743339855804</v>
      </c>
      <c r="AM2866">
        <v>89.015713024181807</v>
      </c>
      <c r="AN2866">
        <v>0.99999996257247303</v>
      </c>
    </row>
    <row r="2867" spans="1:40" x14ac:dyDescent="0.25">
      <c r="A2867" t="str">
        <f>"20190312153941731"</f>
        <v>20190312153941731</v>
      </c>
      <c r="B2867" t="str">
        <f>"1552376381718780"</f>
        <v>1552376381718780</v>
      </c>
      <c r="C2867" t="s">
        <v>40</v>
      </c>
      <c r="D2867">
        <v>4.0375269999999999</v>
      </c>
      <c r="E2867">
        <v>0.4472429</v>
      </c>
      <c r="F2867" t="s">
        <v>67</v>
      </c>
      <c r="G2867">
        <v>-512.82600000000002</v>
      </c>
      <c r="H2867">
        <v>2.5787520000000002</v>
      </c>
      <c r="I2867">
        <v>265.98259999999999</v>
      </c>
      <c r="J2867">
        <v>-364.3175</v>
      </c>
      <c r="K2867">
        <v>1.110439</v>
      </c>
      <c r="L2867">
        <v>283.55149999999998</v>
      </c>
      <c r="M2867">
        <v>-0.99984340000000005</v>
      </c>
      <c r="N2867">
        <v>0</v>
      </c>
      <c r="O2867">
        <v>4.9180839999999997E-3</v>
      </c>
      <c r="P2867">
        <v>-0.99964710000000001</v>
      </c>
      <c r="Q2867">
        <v>1.4420189999999999E-2</v>
      </c>
      <c r="R2867">
        <v>2.231619E-2</v>
      </c>
      <c r="S2867">
        <v>-3.0085139999999999</v>
      </c>
      <c r="T2867">
        <v>2.9706E-2</v>
      </c>
      <c r="U2867">
        <v>-0.35540769999999999</v>
      </c>
      <c r="V2867">
        <v>1.7389559999999998E-2</v>
      </c>
      <c r="W2867">
        <v>3.1420129999999998E-2</v>
      </c>
      <c r="X2867">
        <v>0.99935499999999999</v>
      </c>
      <c r="Y2867">
        <v>-0.1221955</v>
      </c>
      <c r="Z2867">
        <v>6.4957489999999997E-4</v>
      </c>
      <c r="AA2867">
        <v>0.99250579999999999</v>
      </c>
      <c r="AB2867">
        <v>37</v>
      </c>
      <c r="AC2867">
        <v>-148.5085</v>
      </c>
      <c r="AD2867">
        <v>1.468313</v>
      </c>
      <c r="AE2867">
        <v>-17.5688999999999</v>
      </c>
      <c r="AF2867">
        <v>-18.297406340848699</v>
      </c>
      <c r="AG2867">
        <v>1.468313</v>
      </c>
      <c r="AH2867">
        <v>148.405978578949</v>
      </c>
      <c r="AI2867">
        <v>89.437399813249101</v>
      </c>
      <c r="AJ2867">
        <v>97.028692428918504</v>
      </c>
      <c r="AK2867">
        <v>149.536903471496</v>
      </c>
      <c r="AL2867">
        <v>88.199462854255103</v>
      </c>
      <c r="AM2867">
        <v>89.003109152084207</v>
      </c>
      <c r="AN2867">
        <v>1.0000000186956</v>
      </c>
    </row>
    <row r="2868" spans="1:40" x14ac:dyDescent="0.25">
      <c r="A2868" t="str">
        <f>"20190312153941745"</f>
        <v>20190312153941745</v>
      </c>
      <c r="B2868" t="str">
        <f>"1552376381738300"</f>
        <v>1552376381738300</v>
      </c>
      <c r="C2868" t="s">
        <v>40</v>
      </c>
      <c r="D2868">
        <v>4.2303319999999998</v>
      </c>
      <c r="E2868">
        <v>0.48343989999999998</v>
      </c>
      <c r="F2868" t="s">
        <v>67</v>
      </c>
      <c r="G2868">
        <v>-512.82600000000002</v>
      </c>
      <c r="H2868">
        <v>2.577315</v>
      </c>
      <c r="I2868">
        <v>266.03809999999999</v>
      </c>
      <c r="J2868">
        <v>-364.5247</v>
      </c>
      <c r="K2868">
        <v>1.1104339999999999</v>
      </c>
      <c r="L2868">
        <v>283.55239999999998</v>
      </c>
      <c r="M2868">
        <v>-0.99984759999999995</v>
      </c>
      <c r="N2868">
        <v>0</v>
      </c>
      <c r="O2868">
        <v>4.8379019999999998E-3</v>
      </c>
      <c r="P2868">
        <v>-0.99964640000000005</v>
      </c>
      <c r="Q2868">
        <v>1.4185110000000001E-2</v>
      </c>
      <c r="R2868">
        <v>2.2499479999999999E-2</v>
      </c>
      <c r="S2868">
        <v>-3.008575</v>
      </c>
      <c r="T2868">
        <v>2.9718399999999999E-2</v>
      </c>
      <c r="U2868">
        <v>-0.35479739999999999</v>
      </c>
      <c r="V2868">
        <v>1.7653160000000001E-2</v>
      </c>
      <c r="W2868">
        <v>3.0964019999999998E-2</v>
      </c>
      <c r="X2868">
        <v>0.99936460000000005</v>
      </c>
      <c r="Y2868">
        <v>-0.12191490000000001</v>
      </c>
      <c r="Z2868">
        <v>6.476702E-4</v>
      </c>
      <c r="AA2868">
        <v>0.99254039999999999</v>
      </c>
      <c r="AB2868">
        <v>37</v>
      </c>
      <c r="AC2868">
        <v>-148.3013</v>
      </c>
      <c r="AD2868">
        <v>1.4668809999999901</v>
      </c>
      <c r="AE2868">
        <v>-17.514299999999899</v>
      </c>
      <c r="AF2868">
        <v>-18.229904080111702</v>
      </c>
      <c r="AG2868">
        <v>1.4668809999999901</v>
      </c>
      <c r="AH2868">
        <v>148.20051965651299</v>
      </c>
      <c r="AI2868">
        <v>89.437149882632397</v>
      </c>
      <c r="AJ2868">
        <v>97.012632415721896</v>
      </c>
      <c r="AK2868">
        <v>149.32473060112599</v>
      </c>
      <c r="AL2868">
        <v>88.225608728555898</v>
      </c>
      <c r="AM2868">
        <v>88.988010600407407</v>
      </c>
      <c r="AN2868">
        <v>1.0000000041628501</v>
      </c>
    </row>
    <row r="2869" spans="1:40" x14ac:dyDescent="0.25">
      <c r="A2869" t="str">
        <f>"20190312153941757"</f>
        <v>20190312153941757</v>
      </c>
      <c r="B2869" t="str">
        <f>"1552376381749039"</f>
        <v>1552376381749039</v>
      </c>
      <c r="C2869" t="s">
        <v>40</v>
      </c>
      <c r="D2869">
        <v>4.0472429999999999</v>
      </c>
      <c r="E2869">
        <v>0.49664819999999998</v>
      </c>
      <c r="F2869" t="s">
        <v>61</v>
      </c>
      <c r="G2869">
        <v>-390.72289999999998</v>
      </c>
      <c r="H2869" s="1">
        <v>-1.1521050000000001E-6</v>
      </c>
      <c r="I2869">
        <v>282.9117</v>
      </c>
      <c r="J2869">
        <v>-364.75400000000002</v>
      </c>
      <c r="K2869">
        <v>1.11043</v>
      </c>
      <c r="L2869">
        <v>283.55349999999999</v>
      </c>
      <c r="M2869">
        <v>-0.99985179999999996</v>
      </c>
      <c r="N2869">
        <v>0</v>
      </c>
      <c r="O2869">
        <v>4.7497329999999999E-3</v>
      </c>
      <c r="P2869">
        <v>-0.99964470000000005</v>
      </c>
      <c r="Q2869">
        <v>1.445714E-2</v>
      </c>
      <c r="R2869">
        <v>2.2397219999999999E-2</v>
      </c>
      <c r="S2869">
        <v>-3.0045470000000001</v>
      </c>
      <c r="T2869">
        <v>-0.1273504</v>
      </c>
      <c r="U2869">
        <v>-7.3486330000000002E-2</v>
      </c>
      <c r="V2869">
        <v>1.7638919999999999E-2</v>
      </c>
      <c r="W2869">
        <v>3.1004049999999998E-2</v>
      </c>
      <c r="X2869">
        <v>0.99936360000000002</v>
      </c>
      <c r="Y2869">
        <v>-2.916931E-2</v>
      </c>
      <c r="Z2869">
        <v>-8.1904489999999998E-4</v>
      </c>
      <c r="AA2869">
        <v>0.99957410000000002</v>
      </c>
      <c r="AB2869">
        <v>37</v>
      </c>
      <c r="AC2869">
        <v>-25.968899999999898</v>
      </c>
      <c r="AD2869">
        <v>-1.1104311521050001</v>
      </c>
      <c r="AE2869">
        <v>-0.64179999999998905</v>
      </c>
      <c r="AF2869">
        <v>-0.76375936922239696</v>
      </c>
      <c r="AG2869">
        <v>-1.1104311521050001</v>
      </c>
      <c r="AH2869">
        <v>25.918197747375</v>
      </c>
      <c r="AI2869">
        <v>92.452198950699895</v>
      </c>
      <c r="AJ2869">
        <v>91.687907809091399</v>
      </c>
      <c r="AK2869">
        <v>25.9532148334205</v>
      </c>
      <c r="AL2869">
        <v>88.223314058402494</v>
      </c>
      <c r="AM2869">
        <v>88.988825744987693</v>
      </c>
      <c r="AN2869">
        <v>0.99999999381006399</v>
      </c>
    </row>
    <row r="2870" spans="1:40" x14ac:dyDescent="0.25">
      <c r="A2870" t="str">
        <f>"20190312153941775"</f>
        <v>20190312153941775</v>
      </c>
      <c r="B2870" t="str">
        <f>"1552376381768556"</f>
        <v>1552376381768556</v>
      </c>
      <c r="C2870" t="s">
        <v>40</v>
      </c>
      <c r="D2870">
        <v>4.0354979999999996</v>
      </c>
      <c r="E2870">
        <v>0.50731440000000005</v>
      </c>
      <c r="F2870" t="s">
        <v>41</v>
      </c>
      <c r="G2870">
        <v>-365.81849999999997</v>
      </c>
      <c r="H2870">
        <v>1.0410090000000001</v>
      </c>
      <c r="I2870">
        <v>283.56369999999998</v>
      </c>
      <c r="J2870">
        <v>-365.05119999999999</v>
      </c>
      <c r="K2870">
        <v>1.110433</v>
      </c>
      <c r="L2870">
        <v>283.5548</v>
      </c>
      <c r="M2870">
        <v>-0.99985679999999999</v>
      </c>
      <c r="N2870">
        <v>0</v>
      </c>
      <c r="O2870">
        <v>4.634549E-3</v>
      </c>
      <c r="P2870">
        <v>-0.99965170000000003</v>
      </c>
      <c r="Q2870">
        <v>1.4518400000000001E-2</v>
      </c>
      <c r="R2870">
        <v>2.203836E-2</v>
      </c>
      <c r="S2870">
        <v>-3.0032649999999999</v>
      </c>
      <c r="T2870">
        <v>-0.19597229999999999</v>
      </c>
      <c r="U2870">
        <v>2.8076170000000001E-2</v>
      </c>
      <c r="V2870">
        <v>1.7394969999999999E-2</v>
      </c>
      <c r="W2870">
        <v>3.0796250000000001E-2</v>
      </c>
      <c r="X2870">
        <v>0.99937430000000005</v>
      </c>
      <c r="Y2870">
        <v>4.7129149999999998E-3</v>
      </c>
      <c r="Z2870">
        <v>-1.4852889999999999E-4</v>
      </c>
      <c r="AA2870">
        <v>0.99998889999999996</v>
      </c>
      <c r="AB2870">
        <v>37</v>
      </c>
      <c r="AC2870">
        <v>-0.767299999999977</v>
      </c>
      <c r="AD2870">
        <v>-6.9423999999999902E-2</v>
      </c>
      <c r="AE2870">
        <v>8.8999999999828001E-3</v>
      </c>
      <c r="AF2870">
        <v>5.2999624787193498E-3</v>
      </c>
      <c r="AG2870">
        <v>-6.9423999999999902E-2</v>
      </c>
      <c r="AH2870">
        <v>0.76110321181339902</v>
      </c>
      <c r="AI2870">
        <v>95.211684199580404</v>
      </c>
      <c r="AJ2870">
        <v>89.601025762708204</v>
      </c>
      <c r="AK2870">
        <v>0.76428128356708303</v>
      </c>
      <c r="AL2870">
        <v>88.235225807748506</v>
      </c>
      <c r="AM2870">
        <v>89.0028183299125</v>
      </c>
      <c r="AN2870">
        <v>0.99999999274792595</v>
      </c>
    </row>
    <row r="2871" spans="1:40" x14ac:dyDescent="0.25">
      <c r="A2871" t="str">
        <f>"20190312153941789"</f>
        <v>20190312153941789</v>
      </c>
      <c r="B2871" t="str">
        <f>"1552376381778316"</f>
        <v>1552376381778316</v>
      </c>
      <c r="C2871" t="s">
        <v>40</v>
      </c>
      <c r="D2871">
        <v>4.0032189999999996</v>
      </c>
      <c r="E2871">
        <v>0.55229059999999996</v>
      </c>
      <c r="F2871" t="s">
        <v>41</v>
      </c>
      <c r="G2871">
        <v>-365.81259999999997</v>
      </c>
      <c r="H2871">
        <v>1.0417459999999901</v>
      </c>
      <c r="I2871">
        <v>283.58240000000001</v>
      </c>
      <c r="J2871">
        <v>-365.26949999999999</v>
      </c>
      <c r="K2871">
        <v>1.110433</v>
      </c>
      <c r="L2871">
        <v>283.5557</v>
      </c>
      <c r="M2871">
        <v>-0.99985999999999997</v>
      </c>
      <c r="N2871">
        <v>0</v>
      </c>
      <c r="O2871">
        <v>4.5495969999999998E-3</v>
      </c>
      <c r="P2871">
        <v>-0.99965470000000001</v>
      </c>
      <c r="Q2871">
        <v>1.475628E-2</v>
      </c>
      <c r="R2871">
        <v>2.174821E-2</v>
      </c>
      <c r="S2871">
        <v>-3.0025940000000002</v>
      </c>
      <c r="T2871">
        <v>-0.27102399999999999</v>
      </c>
      <c r="U2871">
        <v>0.10812380000000001</v>
      </c>
      <c r="V2871">
        <v>1.7189969999999999E-2</v>
      </c>
      <c r="W2871">
        <v>3.0855359999999998E-2</v>
      </c>
      <c r="X2871">
        <v>0.99937609999999999</v>
      </c>
      <c r="Y2871">
        <v>3.1330459999999997E-2</v>
      </c>
      <c r="Z2871">
        <v>1.000932E-3</v>
      </c>
      <c r="AA2871">
        <v>0.99950859999999997</v>
      </c>
      <c r="AB2871">
        <v>37</v>
      </c>
      <c r="AC2871">
        <v>-0.54309999999998104</v>
      </c>
      <c r="AD2871">
        <v>-6.8687000000000095E-2</v>
      </c>
      <c r="AE2871">
        <v>2.6700000000005199E-2</v>
      </c>
      <c r="AF2871">
        <v>2.38479836895314E-2</v>
      </c>
      <c r="AG2871">
        <v>-6.8687000000000095E-2</v>
      </c>
      <c r="AH2871">
        <v>0.53468411263314997</v>
      </c>
      <c r="AI2871">
        <v>97.313090238631204</v>
      </c>
      <c r="AJ2871">
        <v>87.446185901426603</v>
      </c>
      <c r="AK2871">
        <v>0.53960516175937001</v>
      </c>
      <c r="AL2871">
        <v>88.231837578431097</v>
      </c>
      <c r="AM2871">
        <v>89.014569575212406</v>
      </c>
      <c r="AN2871">
        <v>1.0000000687802599</v>
      </c>
    </row>
    <row r="2872" spans="1:40" x14ac:dyDescent="0.25">
      <c r="A2872" t="str">
        <f>"20190312153941803"</f>
        <v>20190312153941803</v>
      </c>
      <c r="B2872" t="str">
        <f>"1552376381798812"</f>
        <v>1552376381798812</v>
      </c>
      <c r="C2872" t="s">
        <v>40</v>
      </c>
      <c r="D2872">
        <v>3.9766240000000002</v>
      </c>
      <c r="E2872">
        <v>0.55297649999999998</v>
      </c>
      <c r="F2872" t="s">
        <v>41</v>
      </c>
      <c r="G2872">
        <v>-366.09109999999998</v>
      </c>
      <c r="H2872">
        <v>0.93828210000000001</v>
      </c>
      <c r="I2872">
        <v>283.67849999999999</v>
      </c>
      <c r="J2872">
        <v>-365.50790000000001</v>
      </c>
      <c r="K2872">
        <v>1.110433</v>
      </c>
      <c r="L2872">
        <v>283.55669999999998</v>
      </c>
      <c r="M2872">
        <v>-0.99986350000000002</v>
      </c>
      <c r="N2872">
        <v>0</v>
      </c>
      <c r="O2872">
        <v>4.4562050000000004E-3</v>
      </c>
      <c r="P2872">
        <v>-0.99966180000000004</v>
      </c>
      <c r="Q2872">
        <v>1.4839099999999999E-2</v>
      </c>
      <c r="R2872">
        <v>2.136211E-2</v>
      </c>
      <c r="S2872">
        <v>-3.00061</v>
      </c>
      <c r="T2872">
        <v>-0.62878780000000001</v>
      </c>
      <c r="U2872">
        <v>0.44763180000000002</v>
      </c>
      <c r="V2872">
        <v>1.6897059999999998E-2</v>
      </c>
      <c r="W2872">
        <v>3.0754790000000001E-2</v>
      </c>
      <c r="X2872">
        <v>0.9993841</v>
      </c>
      <c r="Y2872">
        <v>0.1402525</v>
      </c>
      <c r="Z2872">
        <v>1.354093E-2</v>
      </c>
      <c r="AA2872">
        <v>0.99002319999999999</v>
      </c>
      <c r="AB2872">
        <v>37</v>
      </c>
      <c r="AC2872">
        <v>-0.58319999999997596</v>
      </c>
      <c r="AD2872">
        <v>-0.1721509</v>
      </c>
      <c r="AE2872">
        <v>0.121800000000007</v>
      </c>
      <c r="AF2872">
        <v>0.11001434034067099</v>
      </c>
      <c r="AG2872">
        <v>-0.1721509</v>
      </c>
      <c r="AH2872">
        <v>0.53875553482797101</v>
      </c>
      <c r="AI2872">
        <v>107.383967931062</v>
      </c>
      <c r="AJ2872">
        <v>78.458821742275703</v>
      </c>
      <c r="AK2872">
        <v>0.57619147317465202</v>
      </c>
      <c r="AL2872">
        <v>88.237602382668001</v>
      </c>
      <c r="AM2872">
        <v>89.031365428727199</v>
      </c>
      <c r="AN2872">
        <v>0.99999997353869796</v>
      </c>
    </row>
    <row r="2873" spans="1:40" x14ac:dyDescent="0.25">
      <c r="A2873" t="str">
        <f>"20190312153941819"</f>
        <v>20190312153941819</v>
      </c>
      <c r="B2873" t="str">
        <f>"1552376381808572"</f>
        <v>1552376381808572</v>
      </c>
      <c r="C2873" t="s">
        <v>40</v>
      </c>
      <c r="D2873">
        <v>3.9567209999999999</v>
      </c>
      <c r="E2873">
        <v>0.55240909999999999</v>
      </c>
      <c r="F2873" t="s">
        <v>41</v>
      </c>
      <c r="G2873">
        <v>-366.41370000000001</v>
      </c>
      <c r="H2873">
        <v>0.91898429999999998</v>
      </c>
      <c r="I2873">
        <v>283.69330000000002</v>
      </c>
      <c r="J2873">
        <v>-365.78070000000002</v>
      </c>
      <c r="K2873">
        <v>1.1104309999999999</v>
      </c>
      <c r="L2873">
        <v>283.55779999999999</v>
      </c>
      <c r="M2873">
        <v>-0.9998669</v>
      </c>
      <c r="N2873">
        <v>0</v>
      </c>
      <c r="O2873">
        <v>4.3487409999999997E-3</v>
      </c>
      <c r="P2873">
        <v>-0.99968489999999999</v>
      </c>
      <c r="Q2873">
        <v>1.4798169999999999E-2</v>
      </c>
      <c r="R2873">
        <v>2.027464E-2</v>
      </c>
      <c r="S2873">
        <v>-3.0007630000000001</v>
      </c>
      <c r="T2873">
        <v>-0.63429650000000004</v>
      </c>
      <c r="U2873">
        <v>0.45178220000000002</v>
      </c>
      <c r="V2873">
        <v>1.5916989999999999E-2</v>
      </c>
      <c r="W2873">
        <v>3.0522199999999999E-2</v>
      </c>
      <c r="X2873">
        <v>0.99940739999999995</v>
      </c>
      <c r="Y2873">
        <v>0.14160980000000001</v>
      </c>
      <c r="Z2873">
        <v>1.3818489999999999E-2</v>
      </c>
      <c r="AA2873">
        <v>0.98982610000000004</v>
      </c>
      <c r="AB2873">
        <v>37</v>
      </c>
      <c r="AC2873">
        <v>-0.63299999999998102</v>
      </c>
      <c r="AD2873">
        <v>-0.191446699999999</v>
      </c>
      <c r="AE2873">
        <v>0.13550000000003501</v>
      </c>
      <c r="AF2873">
        <v>0.122068952505759</v>
      </c>
      <c r="AG2873">
        <v>-0.191446699999999</v>
      </c>
      <c r="AH2873">
        <v>0.58262450977381297</v>
      </c>
      <c r="AI2873">
        <v>107.82834106811301</v>
      </c>
      <c r="AJ2873">
        <v>78.166802574745702</v>
      </c>
      <c r="AK2873">
        <v>0.62530311649304904</v>
      </c>
      <c r="AL2873">
        <v>88.250935207098493</v>
      </c>
      <c r="AM2873">
        <v>89.087560034729094</v>
      </c>
      <c r="AN2873">
        <v>1.00000005321912</v>
      </c>
    </row>
    <row r="2874" spans="1:40" x14ac:dyDescent="0.25">
      <c r="A2874" t="str">
        <f>"20190312153941833"</f>
        <v>20190312153941833</v>
      </c>
      <c r="B2874" t="str">
        <f>"1552376381818332"</f>
        <v>1552376381818332</v>
      </c>
      <c r="C2874" t="s">
        <v>40</v>
      </c>
      <c r="D2874">
        <v>3.9680689999999998</v>
      </c>
      <c r="E2874">
        <v>0.55278850000000002</v>
      </c>
      <c r="F2874" t="s">
        <v>41</v>
      </c>
      <c r="G2874">
        <v>-366.74079999999998</v>
      </c>
      <c r="H2874">
        <v>0.90967699999999996</v>
      </c>
      <c r="I2874">
        <v>283.7002</v>
      </c>
      <c r="J2874">
        <v>-366.0102</v>
      </c>
      <c r="K2874">
        <v>1.1104259999999999</v>
      </c>
      <c r="L2874">
        <v>283.55869999999999</v>
      </c>
      <c r="M2874">
        <v>-0.99986980000000003</v>
      </c>
      <c r="N2874">
        <v>0</v>
      </c>
      <c r="O2874">
        <v>4.2580580000000003E-3</v>
      </c>
      <c r="P2874">
        <v>-0.99969759999999996</v>
      </c>
      <c r="Q2874">
        <v>1.45205E-2</v>
      </c>
      <c r="R2874">
        <v>1.9857820000000002E-2</v>
      </c>
      <c r="S2874">
        <v>-3.0012819999999998</v>
      </c>
      <c r="T2874">
        <v>-0.62762450000000003</v>
      </c>
      <c r="U2874">
        <v>0.4443665</v>
      </c>
      <c r="V2874">
        <v>1.5590959999999999E-2</v>
      </c>
      <c r="W2874">
        <v>3.0099440000000002E-2</v>
      </c>
      <c r="X2874">
        <v>0.99942529999999996</v>
      </c>
      <c r="Y2874">
        <v>0.13938780000000001</v>
      </c>
      <c r="Z2874">
        <v>1.346632E-2</v>
      </c>
      <c r="AA2874">
        <v>0.99014630000000003</v>
      </c>
      <c r="AB2874">
        <v>37</v>
      </c>
      <c r="AC2874">
        <v>-0.73059999999998104</v>
      </c>
      <c r="AD2874">
        <v>-0.20074899999999901</v>
      </c>
      <c r="AE2874">
        <v>0.14150000000000701</v>
      </c>
      <c r="AF2874">
        <v>0.129000016633641</v>
      </c>
      <c r="AG2874">
        <v>-0.20074899999999901</v>
      </c>
      <c r="AH2874">
        <v>0.68159593635481497</v>
      </c>
      <c r="AI2874">
        <v>106.139940453938</v>
      </c>
      <c r="AJ2874">
        <v>79.282865137620405</v>
      </c>
      <c r="AK2874">
        <v>0.72215939081886704</v>
      </c>
      <c r="AL2874">
        <v>88.275168599401297</v>
      </c>
      <c r="AM2874">
        <v>89.106262615483004</v>
      </c>
      <c r="AN2874">
        <v>0.99999999230106196</v>
      </c>
    </row>
    <row r="2875" spans="1:40" x14ac:dyDescent="0.25">
      <c r="A2875" t="str">
        <f>"20190312153941845"</f>
        <v>20190312153941845</v>
      </c>
      <c r="B2875" t="str">
        <f>"1552376381838828"</f>
        <v>1552376381838828</v>
      </c>
      <c r="C2875" t="s">
        <v>40</v>
      </c>
      <c r="D2875">
        <v>3.985643</v>
      </c>
      <c r="E2875">
        <v>0.55283400000000005</v>
      </c>
      <c r="F2875" t="s">
        <v>41</v>
      </c>
      <c r="G2875">
        <v>-366.75979999999998</v>
      </c>
      <c r="H2875">
        <v>0.9528797</v>
      </c>
      <c r="I2875">
        <v>283.67039999999997</v>
      </c>
      <c r="J2875">
        <v>-366.21469999999999</v>
      </c>
      <c r="K2875">
        <v>1.110417</v>
      </c>
      <c r="L2875">
        <v>283.55950000000001</v>
      </c>
      <c r="M2875">
        <v>-0.99987190000000004</v>
      </c>
      <c r="N2875">
        <v>0</v>
      </c>
      <c r="O2875">
        <v>4.1772900000000002E-3</v>
      </c>
      <c r="P2875">
        <v>-0.99970820000000005</v>
      </c>
      <c r="Q2875">
        <v>1.42228999999999E-2</v>
      </c>
      <c r="R2875">
        <v>1.9540620000000002E-2</v>
      </c>
      <c r="S2875">
        <v>-3.0012509999999999</v>
      </c>
      <c r="T2875">
        <v>-0.63086169999999997</v>
      </c>
      <c r="U2875">
        <v>0.44616699999999998</v>
      </c>
      <c r="V2875">
        <v>1.535473E-2</v>
      </c>
      <c r="W2875">
        <v>2.9682400000000001E-2</v>
      </c>
      <c r="X2875">
        <v>0.99944140000000004</v>
      </c>
      <c r="Y2875">
        <v>0.140006399999999</v>
      </c>
      <c r="Z2875">
        <v>1.361455E-2</v>
      </c>
      <c r="AA2875">
        <v>0.99005699999999996</v>
      </c>
      <c r="AB2875">
        <v>37</v>
      </c>
      <c r="AC2875">
        <v>-0.54509999999999004</v>
      </c>
      <c r="AD2875">
        <v>-0.15753729999999999</v>
      </c>
      <c r="AE2875">
        <v>0.110899999999958</v>
      </c>
      <c r="AF2875">
        <v>0.10055659669708999</v>
      </c>
      <c r="AG2875">
        <v>-0.15753729999999999</v>
      </c>
      <c r="AH2875">
        <v>0.50505103666646001</v>
      </c>
      <c r="AI2875">
        <v>107.009862084105</v>
      </c>
      <c r="AJ2875">
        <v>78.739556923374593</v>
      </c>
      <c r="AK2875">
        <v>0.538522218361004</v>
      </c>
      <c r="AL2875">
        <v>88.299073862326495</v>
      </c>
      <c r="AM2875">
        <v>89.119816312105897</v>
      </c>
      <c r="AN2875">
        <v>0.99999996231854504</v>
      </c>
    </row>
    <row r="2876" spans="1:40" x14ac:dyDescent="0.25">
      <c r="A2876" t="str">
        <f>"20190312153941866"</f>
        <v>20190312153941866</v>
      </c>
      <c r="B2876" t="str">
        <f>"1552376381858348"</f>
        <v>1552376381858348</v>
      </c>
      <c r="C2876" t="s">
        <v>40</v>
      </c>
      <c r="D2876">
        <v>3.921853</v>
      </c>
      <c r="E2876">
        <v>0.55247860000000004</v>
      </c>
      <c r="F2876" t="s">
        <v>41</v>
      </c>
      <c r="G2876">
        <v>-367.0795</v>
      </c>
      <c r="H2876">
        <v>0.92907510000000004</v>
      </c>
      <c r="I2876">
        <v>283.68819999999999</v>
      </c>
      <c r="J2876">
        <v>-366.53840000000002</v>
      </c>
      <c r="K2876">
        <v>1.1104019999999999</v>
      </c>
      <c r="L2876">
        <v>283.5607</v>
      </c>
      <c r="M2876">
        <v>-0.99987510000000002</v>
      </c>
      <c r="N2876">
        <v>0</v>
      </c>
      <c r="O2876">
        <v>4.0490730000000003E-3</v>
      </c>
      <c r="P2876">
        <v>-0.99972830000000001</v>
      </c>
      <c r="Q2876">
        <v>1.34065E-2</v>
      </c>
      <c r="R2876">
        <v>1.9085890000000001E-2</v>
      </c>
      <c r="S2876">
        <v>-3.0011290000000002</v>
      </c>
      <c r="T2876">
        <v>-0.62946409999999997</v>
      </c>
      <c r="U2876">
        <v>0.44589230000000002</v>
      </c>
      <c r="V2876">
        <v>1.502848E-2</v>
      </c>
      <c r="W2876">
        <v>2.869385E-2</v>
      </c>
      <c r="X2876">
        <v>0.99947520000000001</v>
      </c>
      <c r="Y2876">
        <v>0.14005909999999999</v>
      </c>
      <c r="Z2876">
        <v>1.3617550000000001E-2</v>
      </c>
      <c r="AA2876">
        <v>0.99004950000000003</v>
      </c>
      <c r="AB2876">
        <v>37</v>
      </c>
      <c r="AC2876">
        <v>-0.54109999999997105</v>
      </c>
      <c r="AD2876">
        <v>-0.18132690000000001</v>
      </c>
      <c r="AE2876">
        <v>0.127499999999997</v>
      </c>
      <c r="AF2876">
        <v>0.11325817250212</v>
      </c>
      <c r="AG2876">
        <v>-0.18132690000000001</v>
      </c>
      <c r="AH2876">
        <v>0.48953056773370102</v>
      </c>
      <c r="AI2876">
        <v>109.843356350777</v>
      </c>
      <c r="AJ2876">
        <v>76.973207976982593</v>
      </c>
      <c r="AK2876">
        <v>0.53417884181967601</v>
      </c>
      <c r="AL2876">
        <v>88.355737705202202</v>
      </c>
      <c r="AM2876">
        <v>89.138544316454102</v>
      </c>
      <c r="AN2876">
        <v>0.99999993382698404</v>
      </c>
    </row>
    <row r="2877" spans="1:40" x14ac:dyDescent="0.25">
      <c r="A2877" t="str">
        <f>"20190312153941878"</f>
        <v>20190312153941878</v>
      </c>
      <c r="B2877" t="str">
        <f>"1552376381869085"</f>
        <v>1552376381869085</v>
      </c>
      <c r="C2877" t="s">
        <v>40</v>
      </c>
      <c r="D2877">
        <v>4.0114879999999999</v>
      </c>
      <c r="E2877">
        <v>0.55264729999999995</v>
      </c>
      <c r="F2877" t="s">
        <v>41</v>
      </c>
      <c r="G2877">
        <v>-367.40969999999999</v>
      </c>
      <c r="H2877">
        <v>0.92866459999999995</v>
      </c>
      <c r="I2877">
        <v>283.68950000000001</v>
      </c>
      <c r="J2877">
        <v>-366.76350000000002</v>
      </c>
      <c r="K2877">
        <v>1.110392</v>
      </c>
      <c r="L2877">
        <v>283.5616</v>
      </c>
      <c r="M2877">
        <v>-0.99987709999999996</v>
      </c>
      <c r="N2877">
        <v>0</v>
      </c>
      <c r="O2877">
        <v>3.9599309999999999E-3</v>
      </c>
      <c r="P2877">
        <v>-0.99973100000000004</v>
      </c>
      <c r="Q2877">
        <v>1.3168249999999999E-2</v>
      </c>
      <c r="R2877">
        <v>1.9103160000000001E-2</v>
      </c>
      <c r="S2877">
        <v>-3.0007320000000002</v>
      </c>
      <c r="T2877">
        <v>-0.62598969999999998</v>
      </c>
      <c r="U2877">
        <v>0.44235229999999998</v>
      </c>
      <c r="V2877">
        <v>1.513492E-2</v>
      </c>
      <c r="W2877">
        <v>2.83459E-2</v>
      </c>
      <c r="X2877">
        <v>0.99948360000000003</v>
      </c>
      <c r="Y2877">
        <v>0.13907239999999901</v>
      </c>
      <c r="Z2877">
        <v>1.346383E-2</v>
      </c>
      <c r="AA2877">
        <v>0.99019069999999998</v>
      </c>
      <c r="AB2877">
        <v>37</v>
      </c>
      <c r="AC2877">
        <v>-0.64619999999996403</v>
      </c>
      <c r="AD2877">
        <v>-0.18172740000000001</v>
      </c>
      <c r="AE2877">
        <v>0.127900000000011</v>
      </c>
      <c r="AF2877">
        <v>0.116475335444494</v>
      </c>
      <c r="AG2877">
        <v>-0.18172740000000001</v>
      </c>
      <c r="AH2877">
        <v>0.60096452285777502</v>
      </c>
      <c r="AI2877">
        <v>106.53449707967</v>
      </c>
      <c r="AJ2877">
        <v>79.031269337784906</v>
      </c>
      <c r="AK2877">
        <v>0.63855282429203997</v>
      </c>
      <c r="AL2877">
        <v>88.375682011695403</v>
      </c>
      <c r="AM2877">
        <v>89.132451230638793</v>
      </c>
      <c r="AN2877">
        <v>1.0000000112595799</v>
      </c>
    </row>
    <row r="2878" spans="1:40" x14ac:dyDescent="0.25">
      <c r="A2878" t="str">
        <f>"20190312153941898"</f>
        <v>20190312153941898</v>
      </c>
      <c r="B2878" t="str">
        <f>"1552376381888605"</f>
        <v>1552376381888605</v>
      </c>
      <c r="C2878" t="s">
        <v>40</v>
      </c>
      <c r="D2878">
        <v>3.9956870000000002</v>
      </c>
      <c r="E2878">
        <v>0.55241890000000005</v>
      </c>
      <c r="F2878" t="s">
        <v>41</v>
      </c>
      <c r="G2878">
        <v>-367.73099999999999</v>
      </c>
      <c r="H2878">
        <v>0.90750690000000001</v>
      </c>
      <c r="I2878">
        <v>283.70490000000001</v>
      </c>
      <c r="J2878">
        <v>-367.084</v>
      </c>
      <c r="K2878">
        <v>1.110376</v>
      </c>
      <c r="L2878">
        <v>283.56270000000001</v>
      </c>
      <c r="M2878">
        <v>-0.99987959999999998</v>
      </c>
      <c r="N2878">
        <v>0</v>
      </c>
      <c r="O2878">
        <v>3.8336350000000002E-3</v>
      </c>
      <c r="P2878">
        <v>-0.99972989999999995</v>
      </c>
      <c r="Q2878">
        <v>1.297512E-2</v>
      </c>
      <c r="R2878">
        <v>1.928359E-2</v>
      </c>
      <c r="S2878">
        <v>-3.00061</v>
      </c>
      <c r="T2878">
        <v>-0.62926159999999998</v>
      </c>
      <c r="U2878">
        <v>0.44378659999999998</v>
      </c>
      <c r="V2878">
        <v>1.544163E-2</v>
      </c>
      <c r="W2878">
        <v>2.8013679999999999E-2</v>
      </c>
      <c r="X2878">
        <v>0.99948820000000005</v>
      </c>
      <c r="Y2878">
        <v>0.13962260000000001</v>
      </c>
      <c r="Z2878">
        <v>1.361564E-2</v>
      </c>
      <c r="AA2878">
        <v>0.99011119999999997</v>
      </c>
      <c r="AB2878">
        <v>37</v>
      </c>
      <c r="AC2878">
        <v>-0.64699999999999103</v>
      </c>
      <c r="AD2878">
        <v>-0.2028691</v>
      </c>
      <c r="AE2878">
        <v>0.14220000000000199</v>
      </c>
      <c r="AF2878">
        <v>0.12773831228025501</v>
      </c>
      <c r="AG2878">
        <v>-0.2028691</v>
      </c>
      <c r="AH2878">
        <v>0.59201777198396299</v>
      </c>
      <c r="AI2878">
        <v>108.519068464716</v>
      </c>
      <c r="AJ2878">
        <v>77.824083984112306</v>
      </c>
      <c r="AK2878">
        <v>0.63871589185166999</v>
      </c>
      <c r="AL2878">
        <v>88.394724256988098</v>
      </c>
      <c r="AM2878">
        <v>89.1148771485922</v>
      </c>
      <c r="AN2878">
        <v>0.999999936071717</v>
      </c>
    </row>
    <row r="2879" spans="1:40" x14ac:dyDescent="0.25">
      <c r="A2879" t="str">
        <f>"20190312153941912"</f>
        <v>20190312153941912</v>
      </c>
      <c r="B2879" t="str">
        <f>"1552376381898365"</f>
        <v>1552376381898365</v>
      </c>
      <c r="C2879" t="s">
        <v>40</v>
      </c>
      <c r="D2879">
        <v>3.9773239999999999</v>
      </c>
      <c r="E2879">
        <v>0.55249930000000003</v>
      </c>
      <c r="F2879" t="s">
        <v>41</v>
      </c>
      <c r="G2879">
        <v>-368.06060000000002</v>
      </c>
      <c r="H2879">
        <v>0.90651230000000005</v>
      </c>
      <c r="I2879">
        <v>283.70760000000001</v>
      </c>
      <c r="J2879">
        <v>-367.30250000000001</v>
      </c>
      <c r="K2879">
        <v>1.110371</v>
      </c>
      <c r="L2879">
        <v>283.56349999999998</v>
      </c>
      <c r="M2879">
        <v>-0.99988129999999997</v>
      </c>
      <c r="N2879">
        <v>0</v>
      </c>
      <c r="O2879">
        <v>3.7475E-3</v>
      </c>
      <c r="P2879">
        <v>-0.99973219999999996</v>
      </c>
      <c r="Q2879">
        <v>1.288356E-2</v>
      </c>
      <c r="R2879">
        <v>1.923126E-2</v>
      </c>
      <c r="S2879">
        <v>-3.0003660000000001</v>
      </c>
      <c r="T2879">
        <v>-0.62639619999999996</v>
      </c>
      <c r="U2879">
        <v>0.44326779999999999</v>
      </c>
      <c r="V2879">
        <v>1.5475559999999999E-2</v>
      </c>
      <c r="W2879">
        <v>2.7838269999999998E-2</v>
      </c>
      <c r="X2879">
        <v>0.99949259999999995</v>
      </c>
      <c r="Y2879">
        <v>0.1395766</v>
      </c>
      <c r="Z2879">
        <v>1.356913E-2</v>
      </c>
      <c r="AA2879">
        <v>0.99011830000000001</v>
      </c>
      <c r="AB2879">
        <v>37</v>
      </c>
      <c r="AC2879">
        <v>-0.75810000000001299</v>
      </c>
      <c r="AD2879">
        <v>-0.2038587</v>
      </c>
      <c r="AE2879">
        <v>0.144100000000037</v>
      </c>
      <c r="AF2879">
        <v>0.13204249169587301</v>
      </c>
      <c r="AG2879">
        <v>-0.2038587</v>
      </c>
      <c r="AH2879">
        <v>0.70914385010100001</v>
      </c>
      <c r="AI2879">
        <v>105.781042585093</v>
      </c>
      <c r="AJ2879">
        <v>79.452323761243093</v>
      </c>
      <c r="AK2879">
        <v>0.749585611731585</v>
      </c>
      <c r="AL2879">
        <v>88.404778469450093</v>
      </c>
      <c r="AM2879">
        <v>89.112936476943304</v>
      </c>
      <c r="AN2879">
        <v>0.99999995984433199</v>
      </c>
    </row>
    <row r="2880" spans="1:40" x14ac:dyDescent="0.25">
      <c r="A2880" t="str">
        <f>"20190312153941924"</f>
        <v>20190312153941924</v>
      </c>
      <c r="B2880" t="str">
        <f>"1552376381918860"</f>
        <v>1552376381918860</v>
      </c>
      <c r="C2880" t="s">
        <v>40</v>
      </c>
      <c r="D2880">
        <v>3.990796</v>
      </c>
      <c r="E2880">
        <v>0.55271630000000005</v>
      </c>
      <c r="F2880" t="s">
        <v>41</v>
      </c>
      <c r="G2880">
        <v>-368.0788</v>
      </c>
      <c r="H2880">
        <v>0.94852610000000004</v>
      </c>
      <c r="I2880">
        <v>283.6789</v>
      </c>
      <c r="J2880">
        <v>-367.51440000000002</v>
      </c>
      <c r="K2880">
        <v>1.1103620000000001</v>
      </c>
      <c r="L2880">
        <v>283.56420000000003</v>
      </c>
      <c r="M2880">
        <v>-0.99988259999999995</v>
      </c>
      <c r="N2880">
        <v>0</v>
      </c>
      <c r="O2880">
        <v>3.6641009999999999E-3</v>
      </c>
      <c r="P2880">
        <v>-0.99972989999999995</v>
      </c>
      <c r="Q2880">
        <v>1.3036280000000001E-2</v>
      </c>
      <c r="R2880">
        <v>1.9241999999999999E-2</v>
      </c>
      <c r="S2880">
        <v>-3.0003359999999999</v>
      </c>
      <c r="T2880">
        <v>-0.62564640000000005</v>
      </c>
      <c r="U2880">
        <v>0.44384770000000001</v>
      </c>
      <c r="V2880">
        <v>1.556955E-2</v>
      </c>
      <c r="W2880">
        <v>2.7915010000000001E-2</v>
      </c>
      <c r="X2880">
        <v>0.99948910000000002</v>
      </c>
      <c r="Y2880">
        <v>0.1398472</v>
      </c>
      <c r="Z2880">
        <v>1.359807E-2</v>
      </c>
      <c r="AA2880">
        <v>0.99007970000000001</v>
      </c>
      <c r="AB2880">
        <v>37</v>
      </c>
      <c r="AC2880">
        <v>-0.56439999999997703</v>
      </c>
      <c r="AD2880">
        <v>-0.1618359</v>
      </c>
      <c r="AE2880">
        <v>0.11469999999997001</v>
      </c>
      <c r="AF2880">
        <v>0.10438859888861</v>
      </c>
      <c r="AG2880">
        <v>-0.1618359</v>
      </c>
      <c r="AH2880">
        <v>0.52348301421714805</v>
      </c>
      <c r="AI2880">
        <v>106.866405291737</v>
      </c>
      <c r="AJ2880">
        <v>78.722485964157201</v>
      </c>
      <c r="AK2880">
        <v>0.55778338472977895</v>
      </c>
      <c r="AL2880">
        <v>88.400380041737606</v>
      </c>
      <c r="AM2880">
        <v>89.107546687344495</v>
      </c>
      <c r="AN2880">
        <v>1.0000000598446499</v>
      </c>
    </row>
    <row r="2881" spans="1:40" x14ac:dyDescent="0.25">
      <c r="A2881" t="str">
        <f>"20190312153941937"</f>
        <v>20190312153941937</v>
      </c>
      <c r="B2881" t="str">
        <f>"1552376381928622"</f>
        <v>1552376381928622</v>
      </c>
      <c r="C2881" t="s">
        <v>40</v>
      </c>
      <c r="D2881">
        <v>3.9943909999999998</v>
      </c>
      <c r="E2881">
        <v>0.55304549999999997</v>
      </c>
      <c r="F2881" t="s">
        <v>41</v>
      </c>
      <c r="G2881">
        <v>-368.39729999999997</v>
      </c>
      <c r="H2881">
        <v>0.92424870000000003</v>
      </c>
      <c r="I2881">
        <v>283.69560000000001</v>
      </c>
      <c r="J2881">
        <v>-367.72550000000001</v>
      </c>
      <c r="K2881">
        <v>1.110355</v>
      </c>
      <c r="L2881">
        <v>283.56490000000002</v>
      </c>
      <c r="M2881">
        <v>-0.99988410000000005</v>
      </c>
      <c r="N2881">
        <v>0</v>
      </c>
      <c r="O2881">
        <v>3.5806639999999999E-3</v>
      </c>
      <c r="P2881">
        <v>-0.99973369999999995</v>
      </c>
      <c r="Q2881">
        <v>1.2995329999999999E-2</v>
      </c>
      <c r="R2881">
        <v>1.9079659999999998E-2</v>
      </c>
      <c r="S2881">
        <v>-3.0005489999999999</v>
      </c>
      <c r="T2881">
        <v>-0.63264290000000001</v>
      </c>
      <c r="U2881">
        <v>0.44573970000000002</v>
      </c>
      <c r="V2881">
        <v>1.5490769999999999E-2</v>
      </c>
      <c r="W2881">
        <v>2.780301E-2</v>
      </c>
      <c r="X2881">
        <v>0.99949339999999998</v>
      </c>
      <c r="Y2881">
        <v>0.14045260000000001</v>
      </c>
      <c r="Z2881">
        <v>1.3825459999999999E-2</v>
      </c>
      <c r="AA2881">
        <v>0.98999090000000001</v>
      </c>
      <c r="AB2881">
        <v>37</v>
      </c>
      <c r="AC2881">
        <v>-0.67179999999996198</v>
      </c>
      <c r="AD2881">
        <v>-0.1861063</v>
      </c>
      <c r="AE2881">
        <v>0.13069999999998999</v>
      </c>
      <c r="AF2881">
        <v>0.119459970357327</v>
      </c>
      <c r="AG2881">
        <v>-0.1861063</v>
      </c>
      <c r="AH2881">
        <v>0.62597608859238396</v>
      </c>
      <c r="AI2881">
        <v>106.279677767731</v>
      </c>
      <c r="AJ2881">
        <v>79.195703894767405</v>
      </c>
      <c r="AK2881">
        <v>0.66389178553954398</v>
      </c>
      <c r="AL2881">
        <v>88.406799587269802</v>
      </c>
      <c r="AM2881">
        <v>89.1120654855076</v>
      </c>
      <c r="AN2881">
        <v>1.0000000139819001</v>
      </c>
    </row>
    <row r="2882" spans="1:40" x14ac:dyDescent="0.25">
      <c r="A2882" t="str">
        <f>"20190312153941950"</f>
        <v>20190312153941950</v>
      </c>
      <c r="B2882" t="str">
        <f>"1552376381938381"</f>
        <v>1552376381938381</v>
      </c>
      <c r="C2882" t="s">
        <v>40</v>
      </c>
      <c r="D2882">
        <v>4.0425240000000002</v>
      </c>
      <c r="E2882">
        <v>0.55334280000000002</v>
      </c>
      <c r="F2882" t="s">
        <v>41</v>
      </c>
      <c r="G2882">
        <v>-368.71660000000003</v>
      </c>
      <c r="H2882">
        <v>0.89909729999999999</v>
      </c>
      <c r="I2882">
        <v>283.7131</v>
      </c>
      <c r="J2882">
        <v>-367.93279999999999</v>
      </c>
      <c r="K2882">
        <v>1.1103459999999901</v>
      </c>
      <c r="L2882">
        <v>283.56560000000002</v>
      </c>
      <c r="M2882">
        <v>-0.99988529999999998</v>
      </c>
      <c r="N2882">
        <v>0</v>
      </c>
      <c r="O2882">
        <v>3.4993559999999999E-3</v>
      </c>
      <c r="P2882">
        <v>-0.99974240000000003</v>
      </c>
      <c r="Q2882">
        <v>1.237364E-2</v>
      </c>
      <c r="R2882">
        <v>1.90297E-2</v>
      </c>
      <c r="S2882">
        <v>-3.0005799999999998</v>
      </c>
      <c r="T2882">
        <v>-0.63962410000000003</v>
      </c>
      <c r="U2882">
        <v>0.44757079999999999</v>
      </c>
      <c r="V2882">
        <v>1.552213E-2</v>
      </c>
      <c r="W2882">
        <v>2.7119480000000001E-2</v>
      </c>
      <c r="X2882">
        <v>0.9995117</v>
      </c>
      <c r="Y2882">
        <v>0.14104359999999999</v>
      </c>
      <c r="Z2882">
        <v>1.4053009999999999E-2</v>
      </c>
      <c r="AA2882">
        <v>0.98990359999999999</v>
      </c>
      <c r="AB2882">
        <v>37</v>
      </c>
      <c r="AC2882">
        <v>-0.78380000000004202</v>
      </c>
      <c r="AD2882">
        <v>-0.21124869999999901</v>
      </c>
      <c r="AE2882">
        <v>0.14749999999997901</v>
      </c>
      <c r="AF2882">
        <v>0.13526628876150201</v>
      </c>
      <c r="AG2882">
        <v>-0.21124869999999901</v>
      </c>
      <c r="AH2882">
        <v>0.73289460291591901</v>
      </c>
      <c r="AI2882">
        <v>105.825462633981</v>
      </c>
      <c r="AJ2882">
        <v>79.542913124628399</v>
      </c>
      <c r="AK2882">
        <v>0.77463377225001095</v>
      </c>
      <c r="AL2882">
        <v>88.445977757209604</v>
      </c>
      <c r="AM2882">
        <v>89.110284499164393</v>
      </c>
      <c r="AN2882">
        <v>1.00000002057604</v>
      </c>
    </row>
    <row r="2883" spans="1:40" x14ac:dyDescent="0.25">
      <c r="A2883" t="str">
        <f>"20190312153941962"</f>
        <v>20190312153941962</v>
      </c>
      <c r="B2883" t="str">
        <f>"1552376381949117"</f>
        <v>1552376381949117</v>
      </c>
      <c r="C2883" t="s">
        <v>40</v>
      </c>
      <c r="D2883">
        <v>4.0208380000000004</v>
      </c>
      <c r="E2883">
        <v>0.55356879999999997</v>
      </c>
      <c r="F2883" t="s">
        <v>41</v>
      </c>
      <c r="G2883">
        <v>-368.73270000000002</v>
      </c>
      <c r="H2883">
        <v>0.93749070000000001</v>
      </c>
      <c r="I2883">
        <v>283.6857</v>
      </c>
      <c r="J2883">
        <v>-368.14030000000002</v>
      </c>
      <c r="K2883">
        <v>1.1103419999999999</v>
      </c>
      <c r="L2883">
        <v>283.56619999999998</v>
      </c>
      <c r="M2883">
        <v>-0.99988650000000001</v>
      </c>
      <c r="N2883">
        <v>0</v>
      </c>
      <c r="O2883">
        <v>3.417846E-3</v>
      </c>
      <c r="P2883">
        <v>-0.99975210000000003</v>
      </c>
      <c r="Q2883">
        <v>1.211492E-2</v>
      </c>
      <c r="R2883">
        <v>1.86938E-2</v>
      </c>
      <c r="S2883">
        <v>-3.0002749999999998</v>
      </c>
      <c r="T2883">
        <v>-0.64842060000000001</v>
      </c>
      <c r="U2883">
        <v>0.44937129999999997</v>
      </c>
      <c r="V2883">
        <v>1.526797E-2</v>
      </c>
      <c r="W2883">
        <v>2.6802019999999999E-2</v>
      </c>
      <c r="X2883">
        <v>0.99952419999999997</v>
      </c>
      <c r="Y2883">
        <v>0.141622</v>
      </c>
      <c r="Z2883">
        <v>1.432159E-2</v>
      </c>
      <c r="AA2883">
        <v>0.98981719999999895</v>
      </c>
      <c r="AB2883">
        <v>37</v>
      </c>
      <c r="AC2883">
        <v>-0.59239999999999704</v>
      </c>
      <c r="AD2883">
        <v>-0.17285130000000001</v>
      </c>
      <c r="AE2883">
        <v>0.119500000000016</v>
      </c>
      <c r="AF2883">
        <v>0.108590809386633</v>
      </c>
      <c r="AG2883">
        <v>-0.17285130000000001</v>
      </c>
      <c r="AH2883">
        <v>0.54797643422600995</v>
      </c>
      <c r="AI2883">
        <v>107.19304479193799</v>
      </c>
      <c r="AJ2883">
        <v>78.791090529788704</v>
      </c>
      <c r="AK2883">
        <v>0.58476295048676497</v>
      </c>
      <c r="AL2883">
        <v>88.464173523470507</v>
      </c>
      <c r="AM2883">
        <v>89.124861395909093</v>
      </c>
      <c r="AN2883">
        <v>1.0000000427848099</v>
      </c>
    </row>
    <row r="2884" spans="1:40" x14ac:dyDescent="0.25">
      <c r="A2884" t="str">
        <f>"20190312153941976"</f>
        <v>20190312153941976</v>
      </c>
      <c r="B2884" t="str">
        <f>"1552376381968637"</f>
        <v>1552376381968637</v>
      </c>
      <c r="C2884" t="s">
        <v>40</v>
      </c>
      <c r="D2884">
        <v>4.0324720000000003</v>
      </c>
      <c r="E2884">
        <v>0.55393479999999995</v>
      </c>
      <c r="F2884" t="s">
        <v>41</v>
      </c>
      <c r="G2884">
        <v>-369.05059999999997</v>
      </c>
      <c r="H2884">
        <v>0.91161000000000003</v>
      </c>
      <c r="I2884">
        <v>283.70280000000002</v>
      </c>
      <c r="J2884">
        <v>-368.37799999999999</v>
      </c>
      <c r="K2884">
        <v>1.1103430000000001</v>
      </c>
      <c r="L2884">
        <v>283.56689999999998</v>
      </c>
      <c r="M2884">
        <v>-0.99988759999999999</v>
      </c>
      <c r="N2884">
        <v>0</v>
      </c>
      <c r="O2884">
        <v>3.324381E-3</v>
      </c>
      <c r="P2884">
        <v>-0.99976790000000004</v>
      </c>
      <c r="Q2884">
        <v>1.141297E-2</v>
      </c>
      <c r="R2884">
        <v>1.8285760000000002E-2</v>
      </c>
      <c r="S2884">
        <v>-3.0002749999999998</v>
      </c>
      <c r="T2884">
        <v>-0.65504629999999997</v>
      </c>
      <c r="U2884">
        <v>0.44998169999999998</v>
      </c>
      <c r="V2884">
        <v>1.4953640000000001E-2</v>
      </c>
      <c r="W2884">
        <v>2.6037910000000001E-2</v>
      </c>
      <c r="X2884">
        <v>0.99954909999999997</v>
      </c>
      <c r="Y2884">
        <v>0.14184089999999999</v>
      </c>
      <c r="Z2884">
        <v>1.450798E-2</v>
      </c>
      <c r="AA2884">
        <v>0.98978319999999997</v>
      </c>
      <c r="AB2884">
        <v>37</v>
      </c>
      <c r="AC2884">
        <v>-0.67259999999993103</v>
      </c>
      <c r="AD2884">
        <v>-0.19873299999999999</v>
      </c>
      <c r="AE2884">
        <v>0.13590000000004901</v>
      </c>
      <c r="AF2884">
        <v>0.123319247289951</v>
      </c>
      <c r="AG2884">
        <v>-0.19873299999999999</v>
      </c>
      <c r="AH2884">
        <v>0.62096292498839001</v>
      </c>
      <c r="AI2884">
        <v>107.427578722679</v>
      </c>
      <c r="AJ2884">
        <v>78.767571334995793</v>
      </c>
      <c r="AK2884">
        <v>0.66354909106357596</v>
      </c>
      <c r="AL2884">
        <v>88.507969015147097</v>
      </c>
      <c r="AM2884">
        <v>89.142896982883897</v>
      </c>
      <c r="AN2884">
        <v>0.99999999370861303</v>
      </c>
    </row>
    <row r="2885" spans="1:40" x14ac:dyDescent="0.25">
      <c r="A2885" t="str">
        <f>"20190312153941999"</f>
        <v>20190312153941999</v>
      </c>
      <c r="B2885" t="str">
        <f>"1552376381988156"</f>
        <v>1552376381988156</v>
      </c>
      <c r="C2885" t="s">
        <v>40</v>
      </c>
      <c r="D2885">
        <v>4.0084569999999999</v>
      </c>
      <c r="E2885">
        <v>0.55427469999999901</v>
      </c>
      <c r="F2885" t="s">
        <v>41</v>
      </c>
      <c r="G2885">
        <v>-369.07049999999998</v>
      </c>
      <c r="H2885">
        <v>0.95647570000000004</v>
      </c>
      <c r="I2885">
        <v>283.67110000000002</v>
      </c>
      <c r="J2885">
        <v>-368.74259999999998</v>
      </c>
      <c r="K2885">
        <v>1.110341</v>
      </c>
      <c r="L2885">
        <v>283.56799999999998</v>
      </c>
      <c r="M2885">
        <v>-0.99988940000000004</v>
      </c>
      <c r="N2885">
        <v>0</v>
      </c>
      <c r="O2885">
        <v>3.1806550000000001E-3</v>
      </c>
      <c r="P2885">
        <v>-0.9997779</v>
      </c>
      <c r="Q2885">
        <v>1.098409E-2</v>
      </c>
      <c r="R2885">
        <v>1.8001039999999999E-2</v>
      </c>
      <c r="S2885">
        <v>-3.0000309999999999</v>
      </c>
      <c r="T2885">
        <v>-0.66666349999999996</v>
      </c>
      <c r="U2885">
        <v>0.45126339999999998</v>
      </c>
      <c r="V2885">
        <v>1.4812769999999999E-2</v>
      </c>
      <c r="W2885">
        <v>2.552548E-2</v>
      </c>
      <c r="X2885">
        <v>0.99956440000000002</v>
      </c>
      <c r="Y2885">
        <v>0.142281399999999</v>
      </c>
      <c r="Z2885">
        <v>1.483948E-2</v>
      </c>
      <c r="AA2885">
        <v>0.98971500000000001</v>
      </c>
      <c r="AB2885">
        <v>37</v>
      </c>
      <c r="AC2885">
        <v>-0.32789999999999903</v>
      </c>
      <c r="AD2885">
        <v>-0.15386530000000001</v>
      </c>
      <c r="AE2885">
        <v>0.10310000000004001</v>
      </c>
      <c r="AF2885">
        <v>8.50200850723907E-2</v>
      </c>
      <c r="AG2885">
        <v>-0.15386530000000001</v>
      </c>
      <c r="AH2885">
        <v>0.27343527138229801</v>
      </c>
      <c r="AI2885">
        <v>118.250759151463</v>
      </c>
      <c r="AJ2885">
        <v>72.727799688462596</v>
      </c>
      <c r="AK2885">
        <v>0.32506890507355202</v>
      </c>
      <c r="AL2885">
        <v>88.537338833081606</v>
      </c>
      <c r="AM2885">
        <v>89.150983084331898</v>
      </c>
      <c r="AN2885">
        <v>0.99999997901583104</v>
      </c>
    </row>
    <row r="2886" spans="1:40" x14ac:dyDescent="0.25">
      <c r="A2886" t="str">
        <f>"20190312153942018"</f>
        <v>20190312153942018</v>
      </c>
      <c r="B2886" t="str">
        <f>"1552376382008654"</f>
        <v>1552376382008654</v>
      </c>
      <c r="C2886" t="s">
        <v>40</v>
      </c>
      <c r="D2886">
        <v>4.001525</v>
      </c>
      <c r="E2886">
        <v>0.5545774</v>
      </c>
      <c r="F2886" t="s">
        <v>41</v>
      </c>
      <c r="G2886">
        <v>-369.70119999999997</v>
      </c>
      <c r="H2886">
        <v>0.89456190000000002</v>
      </c>
      <c r="I2886">
        <v>283.71289999999999</v>
      </c>
      <c r="J2886">
        <v>-369.05919999999998</v>
      </c>
      <c r="K2886">
        <v>1.110344</v>
      </c>
      <c r="L2886">
        <v>283.56889999999999</v>
      </c>
      <c r="M2886">
        <v>-0.99989059999999996</v>
      </c>
      <c r="N2886">
        <v>0</v>
      </c>
      <c r="O2886">
        <v>3.0555600000000001E-3</v>
      </c>
      <c r="P2886">
        <v>-0.99977729999999998</v>
      </c>
      <c r="Q2886">
        <v>1.098708E-2</v>
      </c>
      <c r="R2886">
        <v>1.8016210000000001E-2</v>
      </c>
      <c r="S2886">
        <v>-2.999908</v>
      </c>
      <c r="T2886">
        <v>-0.67527369999999898</v>
      </c>
      <c r="U2886">
        <v>0.45281979999999999</v>
      </c>
      <c r="V2886">
        <v>1.495283E-2</v>
      </c>
      <c r="W2886">
        <v>2.5463989999999999E-2</v>
      </c>
      <c r="X2886">
        <v>0.99956389999999995</v>
      </c>
      <c r="Y2886">
        <v>0.14281189999999999</v>
      </c>
      <c r="Z2886">
        <v>1.511291E-2</v>
      </c>
      <c r="AA2886">
        <v>0.98963449999999997</v>
      </c>
      <c r="AB2886">
        <v>37</v>
      </c>
      <c r="AC2886">
        <v>-0.64199999999999502</v>
      </c>
      <c r="AD2886">
        <v>-0.2157821</v>
      </c>
      <c r="AE2886">
        <v>0.14400000000000501</v>
      </c>
      <c r="AF2886">
        <v>0.128243790313289</v>
      </c>
      <c r="AG2886">
        <v>-0.2157821</v>
      </c>
      <c r="AH2886">
        <v>0.58004815405922205</v>
      </c>
      <c r="AI2886">
        <v>109.96281278316</v>
      </c>
      <c r="AJ2886">
        <v>77.532936973965903</v>
      </c>
      <c r="AK2886">
        <v>0.63203183896212001</v>
      </c>
      <c r="AL2886">
        <v>88.540863121034405</v>
      </c>
      <c r="AM2886">
        <v>89.142956091090795</v>
      </c>
      <c r="AN2886">
        <v>0.99999999604746903</v>
      </c>
    </row>
    <row r="2887" spans="1:40" x14ac:dyDescent="0.25">
      <c r="A2887" t="str">
        <f>"20190312153942032"</f>
        <v>20190312153942032</v>
      </c>
      <c r="B2887" t="str">
        <f>"1552376382018413"</f>
        <v>1552376382018413</v>
      </c>
      <c r="C2887" t="s">
        <v>40</v>
      </c>
      <c r="D2887">
        <v>3.9966189999999999</v>
      </c>
      <c r="E2887">
        <v>0.5547183</v>
      </c>
      <c r="F2887" t="s">
        <v>41</v>
      </c>
      <c r="G2887">
        <v>-370.02789999999999</v>
      </c>
      <c r="H2887">
        <v>0.89029599999999898</v>
      </c>
      <c r="I2887">
        <v>283.71609999999998</v>
      </c>
      <c r="J2887">
        <v>-369.28210000000001</v>
      </c>
      <c r="K2887">
        <v>1.1103459999999901</v>
      </c>
      <c r="L2887">
        <v>283.56950000000001</v>
      </c>
      <c r="M2887">
        <v>-0.99989150000000004</v>
      </c>
      <c r="N2887">
        <v>0</v>
      </c>
      <c r="O2887">
        <v>2.967468E-3</v>
      </c>
      <c r="P2887">
        <v>-0.99977729999999998</v>
      </c>
      <c r="Q2887">
        <v>1.124435E-2</v>
      </c>
      <c r="R2887">
        <v>1.7862070000000001E-2</v>
      </c>
      <c r="S2887">
        <v>-2.9999389999999999</v>
      </c>
      <c r="T2887">
        <v>-0.68155189999999999</v>
      </c>
      <c r="U2887">
        <v>0.45489499999999999</v>
      </c>
      <c r="V2887">
        <v>1.4886760000000001E-2</v>
      </c>
      <c r="W2887">
        <v>2.5681829999999999E-2</v>
      </c>
      <c r="X2887">
        <v>0.99955930000000004</v>
      </c>
      <c r="Y2887">
        <v>0.14348520000000001</v>
      </c>
      <c r="Z2887">
        <v>1.5343849999999999E-2</v>
      </c>
      <c r="AA2887">
        <v>0.98953349999999995</v>
      </c>
      <c r="AB2887">
        <v>37</v>
      </c>
      <c r="AC2887">
        <v>-0.74579999999997404</v>
      </c>
      <c r="AD2887">
        <v>-0.22005</v>
      </c>
      <c r="AE2887">
        <v>0.146599999999978</v>
      </c>
      <c r="AF2887">
        <v>0.13321986244367401</v>
      </c>
      <c r="AG2887">
        <v>-0.22005</v>
      </c>
      <c r="AH2887">
        <v>0.68852178213826198</v>
      </c>
      <c r="AI2887">
        <v>107.42072120226899</v>
      </c>
      <c r="AJ2887">
        <v>79.049339777608694</v>
      </c>
      <c r="AK2887">
        <v>0.73500461136537099</v>
      </c>
      <c r="AL2887">
        <v>88.528377706088506</v>
      </c>
      <c r="AM2887">
        <v>89.146738505121903</v>
      </c>
      <c r="AN2887">
        <v>0.99999998311596805</v>
      </c>
    </row>
    <row r="2888" spans="1:40" x14ac:dyDescent="0.25">
      <c r="A2888" t="str">
        <f>"20190312153942047"</f>
        <v>20190312153942047</v>
      </c>
      <c r="B2888" t="str">
        <f>"1552376382038909"</f>
        <v>1552376382038909</v>
      </c>
      <c r="C2888" t="s">
        <v>40</v>
      </c>
      <c r="D2888">
        <v>3.9912200000000002</v>
      </c>
      <c r="E2888">
        <v>0.55499259999999995</v>
      </c>
      <c r="F2888" t="s">
        <v>41</v>
      </c>
      <c r="G2888">
        <v>-370.04700000000003</v>
      </c>
      <c r="H2888">
        <v>0.93619989999999997</v>
      </c>
      <c r="I2888">
        <v>283.68610000000001</v>
      </c>
      <c r="J2888">
        <v>-369.52839999999998</v>
      </c>
      <c r="K2888">
        <v>1.1103419999999999</v>
      </c>
      <c r="L2888">
        <v>283.57010000000002</v>
      </c>
      <c r="M2888">
        <v>-0.99989240000000001</v>
      </c>
      <c r="N2888">
        <v>0</v>
      </c>
      <c r="O2888">
        <v>2.869964E-3</v>
      </c>
      <c r="P2888">
        <v>-0.99977150000000004</v>
      </c>
      <c r="Q2888">
        <v>1.199794E-2</v>
      </c>
      <c r="R2888">
        <v>1.7698709999999999E-2</v>
      </c>
      <c r="S2888">
        <v>-3.0001829999999998</v>
      </c>
      <c r="T2888">
        <v>-0.68313959999999996</v>
      </c>
      <c r="U2888">
        <v>0.45602419999999999</v>
      </c>
      <c r="V2888">
        <v>1.482059E-2</v>
      </c>
      <c r="W2888">
        <v>2.6394939999999999E-2</v>
      </c>
      <c r="X2888">
        <v>0.99954169999999998</v>
      </c>
      <c r="Y2888">
        <v>0.14390549999999999</v>
      </c>
      <c r="Z2888">
        <v>1.544588E-2</v>
      </c>
      <c r="AA2888">
        <v>0.98947090000000004</v>
      </c>
      <c r="AB2888">
        <v>37</v>
      </c>
      <c r="AC2888">
        <v>-0.51859999999999196</v>
      </c>
      <c r="AD2888">
        <v>-0.17414209999999899</v>
      </c>
      <c r="AE2888">
        <v>0.115999999999985</v>
      </c>
      <c r="AF2888">
        <v>0.103406765747094</v>
      </c>
      <c r="AG2888">
        <v>-0.17414209999999899</v>
      </c>
      <c r="AH2888">
        <v>0.468609608466522</v>
      </c>
      <c r="AI2888">
        <v>109.945040337311</v>
      </c>
      <c r="AJ2888">
        <v>77.556124162394497</v>
      </c>
      <c r="AK2888">
        <v>0.51050308063892402</v>
      </c>
      <c r="AL2888">
        <v>88.487505643105607</v>
      </c>
      <c r="AM2888">
        <v>89.1505156456777</v>
      </c>
      <c r="AN2888">
        <v>0.99999997639222005</v>
      </c>
    </row>
    <row r="2889" spans="1:40" x14ac:dyDescent="0.25">
      <c r="A2889" t="str">
        <f>"20190312153942066"</f>
        <v>20190312153942066</v>
      </c>
      <c r="B2889" t="str">
        <f>"1552376382058429"</f>
        <v>1552376382058429</v>
      </c>
      <c r="C2889" t="s">
        <v>40</v>
      </c>
      <c r="D2889">
        <v>3.9628570000000001</v>
      </c>
      <c r="E2889">
        <v>0.55515639999999999</v>
      </c>
      <c r="F2889" t="s">
        <v>41</v>
      </c>
      <c r="G2889">
        <v>-370.36739999999998</v>
      </c>
      <c r="H2889">
        <v>0.91867699999999997</v>
      </c>
      <c r="I2889">
        <v>283.69830000000002</v>
      </c>
      <c r="J2889">
        <v>-369.84300000000002</v>
      </c>
      <c r="K2889">
        <v>1.1103369999999999</v>
      </c>
      <c r="L2889">
        <v>283.57089999999999</v>
      </c>
      <c r="M2889">
        <v>-0.99989329999999998</v>
      </c>
      <c r="N2889">
        <v>0</v>
      </c>
      <c r="O2889">
        <v>2.745744E-3</v>
      </c>
      <c r="P2889">
        <v>-0.99976339999999997</v>
      </c>
      <c r="Q2889">
        <v>1.293709E-2</v>
      </c>
      <c r="R2889">
        <v>1.7485259999999999E-2</v>
      </c>
      <c r="S2889">
        <v>-3.0008240000000002</v>
      </c>
      <c r="T2889">
        <v>-0.685554</v>
      </c>
      <c r="U2889">
        <v>0.45770260000000001</v>
      </c>
      <c r="V2889">
        <v>1.473123E-2</v>
      </c>
      <c r="W2889">
        <v>2.7287260000000001E-2</v>
      </c>
      <c r="X2889">
        <v>0.99951909999999999</v>
      </c>
      <c r="Y2889">
        <v>0.14449699999999999</v>
      </c>
      <c r="Z2889">
        <v>1.5589499999999999E-2</v>
      </c>
      <c r="AA2889">
        <v>0.9893824</v>
      </c>
      <c r="AB2889">
        <v>37</v>
      </c>
      <c r="AC2889">
        <v>-0.52439999999995701</v>
      </c>
      <c r="AD2889">
        <v>-0.19166</v>
      </c>
      <c r="AE2889">
        <v>0.127400000000022</v>
      </c>
      <c r="AF2889">
        <v>0.111851243149093</v>
      </c>
      <c r="AG2889">
        <v>-0.19166</v>
      </c>
      <c r="AH2889">
        <v>0.46597279039634898</v>
      </c>
      <c r="AI2889">
        <v>111.798973669532</v>
      </c>
      <c r="AJ2889">
        <v>76.502200346258405</v>
      </c>
      <c r="AK2889">
        <v>0.51611519797789096</v>
      </c>
      <c r="AL2889">
        <v>88.436361107738307</v>
      </c>
      <c r="AM2889">
        <v>89.155617735936204</v>
      </c>
      <c r="AN2889">
        <v>1.0000000174802099</v>
      </c>
    </row>
    <row r="2890" spans="1:40" x14ac:dyDescent="0.25">
      <c r="A2890" t="str">
        <f>"20190312153942088"</f>
        <v>20190312153942088</v>
      </c>
      <c r="B2890" t="str">
        <f>"1552376382078924"</f>
        <v>1552376382078924</v>
      </c>
      <c r="C2890" t="s">
        <v>40</v>
      </c>
      <c r="D2890">
        <v>4.003425</v>
      </c>
      <c r="E2890">
        <v>0.55524090000000004</v>
      </c>
      <c r="F2890" t="s">
        <v>41</v>
      </c>
      <c r="G2890">
        <v>-370.69409999999999</v>
      </c>
      <c r="H2890">
        <v>0.91570640000000003</v>
      </c>
      <c r="I2890">
        <v>283.70089999999999</v>
      </c>
      <c r="J2890">
        <v>-370.20440000000002</v>
      </c>
      <c r="K2890">
        <v>1.1103259999999999</v>
      </c>
      <c r="L2890">
        <v>283.5718</v>
      </c>
      <c r="M2890">
        <v>-0.99989430000000001</v>
      </c>
      <c r="N2890">
        <v>0</v>
      </c>
      <c r="O2890">
        <v>2.603167E-3</v>
      </c>
      <c r="P2890">
        <v>-0.99976509999999996</v>
      </c>
      <c r="Q2890">
        <v>1.3393779999999999E-2</v>
      </c>
      <c r="R2890">
        <v>1.7038350000000001E-2</v>
      </c>
      <c r="S2890">
        <v>-3.0015559999999999</v>
      </c>
      <c r="T2890">
        <v>-0.68642619999999999</v>
      </c>
      <c r="U2890">
        <v>0.45782469999999997</v>
      </c>
      <c r="V2890">
        <v>1.44268E-2</v>
      </c>
      <c r="W2890">
        <v>2.7696709999999999E-2</v>
      </c>
      <c r="X2890">
        <v>0.99951230000000002</v>
      </c>
      <c r="Y2890">
        <v>0.14462720000000001</v>
      </c>
      <c r="Z2890">
        <v>1.5651760000000001E-2</v>
      </c>
      <c r="AA2890">
        <v>0.98936239999999998</v>
      </c>
      <c r="AB2890">
        <v>37</v>
      </c>
      <c r="AC2890">
        <v>-0.48969999999996999</v>
      </c>
      <c r="AD2890">
        <v>-0.194619599999999</v>
      </c>
      <c r="AE2890">
        <v>0.129099999999994</v>
      </c>
      <c r="AF2890">
        <v>0.111376239894869</v>
      </c>
      <c r="AG2890">
        <v>-0.194619599999999</v>
      </c>
      <c r="AH2890">
        <v>0.42697702662689602</v>
      </c>
      <c r="AI2890">
        <v>113.79988277782699</v>
      </c>
      <c r="AJ2890">
        <v>75.380265741095897</v>
      </c>
      <c r="AK2890">
        <v>0.482276722208759</v>
      </c>
      <c r="AL2890">
        <v>88.412892514768998</v>
      </c>
      <c r="AM2890">
        <v>89.173059345059599</v>
      </c>
      <c r="AN2890">
        <v>1.0000000390771699</v>
      </c>
    </row>
    <row r="2891" spans="1:40" x14ac:dyDescent="0.25">
      <c r="A2891" t="str">
        <f>"20190312153942111"</f>
        <v>20190312153942111</v>
      </c>
      <c r="B2891" t="str">
        <f>"1552376382098445"</f>
        <v>1552376382098445</v>
      </c>
      <c r="C2891" t="s">
        <v>40</v>
      </c>
      <c r="D2891">
        <v>3.9924900000000001</v>
      </c>
      <c r="E2891">
        <v>0.55547040000000003</v>
      </c>
      <c r="F2891" t="s">
        <v>41</v>
      </c>
      <c r="G2891">
        <v>-371.02449999999999</v>
      </c>
      <c r="H2891">
        <v>0.92245149999999998</v>
      </c>
      <c r="I2891">
        <v>283.697</v>
      </c>
      <c r="J2891">
        <v>-370.56740000000002</v>
      </c>
      <c r="K2891">
        <v>1.1103130000000001</v>
      </c>
      <c r="L2891">
        <v>283.57249999999999</v>
      </c>
      <c r="M2891">
        <v>-0.99989530000000004</v>
      </c>
      <c r="N2891">
        <v>0</v>
      </c>
      <c r="O2891">
        <v>2.460243E-3</v>
      </c>
      <c r="P2891">
        <v>-0.99976600000000004</v>
      </c>
      <c r="Q2891">
        <v>1.364285E-2</v>
      </c>
      <c r="R2891">
        <v>1.6801050000000001E-2</v>
      </c>
      <c r="S2891">
        <v>-3.0021360000000001</v>
      </c>
      <c r="T2891">
        <v>-0.68782500000000002</v>
      </c>
      <c r="U2891">
        <v>0.45715329999999899</v>
      </c>
      <c r="V2891">
        <v>1.433254E-2</v>
      </c>
      <c r="W2891">
        <v>2.790453E-2</v>
      </c>
      <c r="X2891">
        <v>0.99950779999999995</v>
      </c>
      <c r="Y2891">
        <v>0.1445099</v>
      </c>
      <c r="Z2891">
        <v>1.5699149999999999E-2</v>
      </c>
      <c r="AA2891">
        <v>0.9893788</v>
      </c>
      <c r="AB2891">
        <v>37</v>
      </c>
      <c r="AC2891">
        <v>-0.45709999999996798</v>
      </c>
      <c r="AD2891">
        <v>-0.18786149999999899</v>
      </c>
      <c r="AE2891">
        <v>0.124500000000011</v>
      </c>
      <c r="AF2891">
        <v>0.106610994388702</v>
      </c>
      <c r="AG2891">
        <v>-0.18786149999999899</v>
      </c>
      <c r="AH2891">
        <v>0.395253684375096</v>
      </c>
      <c r="AI2891">
        <v>114.650084687318</v>
      </c>
      <c r="AJ2891">
        <v>74.904950248441097</v>
      </c>
      <c r="AK2891">
        <v>0.45042571231989598</v>
      </c>
      <c r="AL2891">
        <v>88.400980581183006</v>
      </c>
      <c r="AM2891">
        <v>89.178457864069202</v>
      </c>
      <c r="AN2891">
        <v>0.99999996337910502</v>
      </c>
    </row>
    <row r="2892" spans="1:40" x14ac:dyDescent="0.25">
      <c r="A2892" t="str">
        <f>"20190312153942124"</f>
        <v>20190312153942124</v>
      </c>
      <c r="B2892" t="str">
        <f>"1552376382118940"</f>
        <v>1552376382118940</v>
      </c>
      <c r="C2892" t="s">
        <v>40</v>
      </c>
      <c r="D2892">
        <v>3.9990579999999998</v>
      </c>
      <c r="E2892">
        <v>0.55564080000000005</v>
      </c>
      <c r="F2892" t="s">
        <v>41</v>
      </c>
      <c r="G2892">
        <v>-371.35489999999999</v>
      </c>
      <c r="H2892">
        <v>0.92916359999999998</v>
      </c>
      <c r="I2892">
        <v>283.69310000000002</v>
      </c>
      <c r="J2892">
        <v>-370.7912</v>
      </c>
      <c r="K2892">
        <v>1.1103069999999999</v>
      </c>
      <c r="L2892">
        <v>283.57299999999998</v>
      </c>
      <c r="M2892">
        <v>-0.9998958</v>
      </c>
      <c r="N2892">
        <v>0</v>
      </c>
      <c r="O2892">
        <v>2.3723160000000002E-3</v>
      </c>
      <c r="P2892">
        <v>-0.99976860000000001</v>
      </c>
      <c r="Q2892">
        <v>1.367061E-2</v>
      </c>
      <c r="R2892">
        <v>1.6609970000000002E-2</v>
      </c>
      <c r="S2892">
        <v>-3.002472</v>
      </c>
      <c r="T2892">
        <v>-0.69078200000000001</v>
      </c>
      <c r="U2892">
        <v>0.4575806</v>
      </c>
      <c r="V2892">
        <v>1.4229179999999999E-2</v>
      </c>
      <c r="W2892">
        <v>2.7910250000000001E-2</v>
      </c>
      <c r="X2892">
        <v>0.99950919999999999</v>
      </c>
      <c r="Y2892">
        <v>0.14468159999999999</v>
      </c>
      <c r="Z2892">
        <v>1.5802340000000002E-2</v>
      </c>
      <c r="AA2892">
        <v>0.98935200000000001</v>
      </c>
      <c r="AB2892">
        <v>37</v>
      </c>
      <c r="AC2892">
        <v>-0.56369999999998299</v>
      </c>
      <c r="AD2892">
        <v>-0.18114339999999901</v>
      </c>
      <c r="AE2892">
        <v>0.120100000000036</v>
      </c>
      <c r="AF2892">
        <v>0.108085553392946</v>
      </c>
      <c r="AG2892">
        <v>-0.18114339999999901</v>
      </c>
      <c r="AH2892">
        <v>0.51328138653853606</v>
      </c>
      <c r="AI2892">
        <v>109.051782100263</v>
      </c>
      <c r="AJ2892">
        <v>78.108529299584802</v>
      </c>
      <c r="AK2892">
        <v>0.55493531152985798</v>
      </c>
      <c r="AL2892">
        <v>88.400652854191407</v>
      </c>
      <c r="AM2892">
        <v>89.184382805088205</v>
      </c>
      <c r="AN2892">
        <v>1.0000000462515799</v>
      </c>
    </row>
    <row r="2893" spans="1:40" x14ac:dyDescent="0.25">
      <c r="A2893" t="str">
        <f>"20190312153942137"</f>
        <v>20190312153942137</v>
      </c>
      <c r="B2893" t="str">
        <f>"1552376382128701"</f>
        <v>1552376382128701</v>
      </c>
      <c r="C2893" t="s">
        <v>40</v>
      </c>
      <c r="D2893">
        <v>4.0280940000000003</v>
      </c>
      <c r="E2893">
        <v>0.55575869999999905</v>
      </c>
      <c r="F2893" t="s">
        <v>41</v>
      </c>
      <c r="G2893">
        <v>-371.67259999999999</v>
      </c>
      <c r="H2893">
        <v>0.90667609999999998</v>
      </c>
      <c r="I2893">
        <v>283.7079</v>
      </c>
      <c r="J2893">
        <v>-371.01339999999999</v>
      </c>
      <c r="K2893">
        <v>1.1103000000000001</v>
      </c>
      <c r="L2893">
        <v>283.57350000000002</v>
      </c>
      <c r="M2893">
        <v>-0.99989629999999996</v>
      </c>
      <c r="N2893">
        <v>0</v>
      </c>
      <c r="O2893">
        <v>2.2847369999999998E-3</v>
      </c>
      <c r="P2893">
        <v>-0.99977419999999995</v>
      </c>
      <c r="Q2893">
        <v>1.359252E-2</v>
      </c>
      <c r="R2893">
        <v>1.633362E-2</v>
      </c>
      <c r="S2893">
        <v>-3.0025629999999999</v>
      </c>
      <c r="T2893">
        <v>-0.69370659999999995</v>
      </c>
      <c r="U2893">
        <v>0.458374</v>
      </c>
      <c r="V2893">
        <v>1.404038E-2</v>
      </c>
      <c r="W2893">
        <v>2.781111E-2</v>
      </c>
      <c r="X2893">
        <v>0.99951460000000003</v>
      </c>
      <c r="Y2893">
        <v>0.14497929999999901</v>
      </c>
      <c r="Z2893">
        <v>1.5920400000000001E-2</v>
      </c>
      <c r="AA2893">
        <v>0.98930660000000004</v>
      </c>
      <c r="AB2893">
        <v>37</v>
      </c>
      <c r="AC2893">
        <v>-0.65919999999999801</v>
      </c>
      <c r="AD2893">
        <v>-0.2036239</v>
      </c>
      <c r="AE2893">
        <v>0.13439999999997099</v>
      </c>
      <c r="AF2893">
        <v>0.121740908918577</v>
      </c>
      <c r="AG2893">
        <v>-0.2036239</v>
      </c>
      <c r="AH2893">
        <v>0.60415931351577301</v>
      </c>
      <c r="AI2893">
        <v>108.283337637968</v>
      </c>
      <c r="AJ2893">
        <v>78.6071974319932</v>
      </c>
      <c r="AK2893">
        <v>0.64907011767865397</v>
      </c>
      <c r="AL2893">
        <v>88.406335310145195</v>
      </c>
      <c r="AM2893">
        <v>89.195207743485398</v>
      </c>
      <c r="AN2893">
        <v>1.00000001286156</v>
      </c>
    </row>
    <row r="2894" spans="1:40" x14ac:dyDescent="0.25">
      <c r="A2894" t="str">
        <f>"20190312153942155"</f>
        <v>20190312153942155</v>
      </c>
      <c r="B2894" t="str">
        <f>"1552376382149197"</f>
        <v>1552376382149197</v>
      </c>
      <c r="C2894" t="s">
        <v>40</v>
      </c>
      <c r="D2894">
        <v>3.9428290000000001</v>
      </c>
      <c r="E2894">
        <v>0.55567769999999905</v>
      </c>
      <c r="F2894" t="s">
        <v>41</v>
      </c>
      <c r="G2894">
        <v>-371.99040000000002</v>
      </c>
      <c r="H2894">
        <v>0.88393279999999996</v>
      </c>
      <c r="I2894">
        <v>283.72280000000001</v>
      </c>
      <c r="J2894">
        <v>-371.30520000000001</v>
      </c>
      <c r="K2894">
        <v>1.110293</v>
      </c>
      <c r="L2894">
        <v>283.57400000000001</v>
      </c>
      <c r="M2894">
        <v>-0.99989700000000004</v>
      </c>
      <c r="N2894">
        <v>0</v>
      </c>
      <c r="O2894">
        <v>2.1692360000000002E-3</v>
      </c>
      <c r="P2894">
        <v>-0.99978690000000003</v>
      </c>
      <c r="Q2894">
        <v>1.2647520000000001E-2</v>
      </c>
      <c r="R2894">
        <v>1.632844E-2</v>
      </c>
      <c r="S2894">
        <v>-3.0026549999999999</v>
      </c>
      <c r="T2894">
        <v>-0.69581999999999999</v>
      </c>
      <c r="U2894">
        <v>0.45846559999999997</v>
      </c>
      <c r="V2894">
        <v>1.415103E-2</v>
      </c>
      <c r="W2894">
        <v>2.684158E-2</v>
      </c>
      <c r="X2894">
        <v>0.99953959999999997</v>
      </c>
      <c r="Y2894">
        <v>0.14509069999999999</v>
      </c>
      <c r="Z2894">
        <v>1.600611E-2</v>
      </c>
      <c r="AA2894">
        <v>0.98928890000000003</v>
      </c>
      <c r="AB2894">
        <v>37</v>
      </c>
      <c r="AC2894">
        <v>-0.68520000000000802</v>
      </c>
      <c r="AD2894">
        <v>-0.22636019999999901</v>
      </c>
      <c r="AE2894">
        <v>0.14879999999999399</v>
      </c>
      <c r="AF2894">
        <v>0.13340918817646599</v>
      </c>
      <c r="AG2894">
        <v>-0.22636019999999901</v>
      </c>
      <c r="AH2894">
        <v>0.62081921042943899</v>
      </c>
      <c r="AI2894">
        <v>109.620001939052</v>
      </c>
      <c r="AJ2894">
        <v>77.872025117933106</v>
      </c>
      <c r="AK2894">
        <v>0.67413162191976705</v>
      </c>
      <c r="AL2894">
        <v>88.461906124057194</v>
      </c>
      <c r="AM2894">
        <v>89.188886432871001</v>
      </c>
      <c r="AN2894">
        <v>1.00000006701755</v>
      </c>
    </row>
    <row r="2895" spans="1:40" x14ac:dyDescent="0.25">
      <c r="A2895" t="str">
        <f>"20190312153942178"</f>
        <v>20190312153942178</v>
      </c>
      <c r="B2895" t="str">
        <f>"1552376382168716"</f>
        <v>1552376382168716</v>
      </c>
      <c r="C2895" t="s">
        <v>40</v>
      </c>
      <c r="D2895">
        <v>4.0538100000000004</v>
      </c>
      <c r="E2895">
        <v>0.55580980000000002</v>
      </c>
      <c r="F2895" t="s">
        <v>41</v>
      </c>
      <c r="G2895">
        <v>-372.01589999999999</v>
      </c>
      <c r="H2895">
        <v>0.94471649999999996</v>
      </c>
      <c r="I2895">
        <v>283.6825</v>
      </c>
      <c r="J2895">
        <v>-371.6671</v>
      </c>
      <c r="K2895">
        <v>1.1102810000000001</v>
      </c>
      <c r="L2895">
        <v>283.57470000000001</v>
      </c>
      <c r="M2895">
        <v>-0.9998977</v>
      </c>
      <c r="N2895">
        <v>0</v>
      </c>
      <c r="O2895">
        <v>2.0263360000000001E-3</v>
      </c>
      <c r="P2895">
        <v>-0.99980519999999995</v>
      </c>
      <c r="Q2895">
        <v>1.083161E-2</v>
      </c>
      <c r="R2895">
        <v>1.6503879999999999E-2</v>
      </c>
      <c r="S2895">
        <v>-3.0020449999999999</v>
      </c>
      <c r="T2895">
        <v>-0.6994998</v>
      </c>
      <c r="U2895">
        <v>0.4575806</v>
      </c>
      <c r="V2895">
        <v>1.4469940000000001E-2</v>
      </c>
      <c r="W2895">
        <v>2.4999230000000001E-2</v>
      </c>
      <c r="X2895">
        <v>0.99958279999999999</v>
      </c>
      <c r="Y2895">
        <v>0.14493689999999901</v>
      </c>
      <c r="Z2895">
        <v>1.6107179999999999E-2</v>
      </c>
      <c r="AA2895">
        <v>0.98930980000000002</v>
      </c>
      <c r="AB2895">
        <v>37</v>
      </c>
      <c r="AC2895">
        <v>-0.34879999999998201</v>
      </c>
      <c r="AD2895">
        <v>-0.165564499999999</v>
      </c>
      <c r="AE2895">
        <v>0.107799999999997</v>
      </c>
      <c r="AF2895">
        <v>8.8824717294679695E-2</v>
      </c>
      <c r="AG2895">
        <v>-0.165564499999999</v>
      </c>
      <c r="AH2895">
        <v>0.28948134000062797</v>
      </c>
      <c r="AI2895">
        <v>118.668696886158</v>
      </c>
      <c r="AJ2895">
        <v>72.941844333538199</v>
      </c>
      <c r="AK2895">
        <v>0.34510995388613303</v>
      </c>
      <c r="AL2895">
        <v>88.567500476161797</v>
      </c>
      <c r="AM2895">
        <v>89.170645405569502</v>
      </c>
      <c r="AN2895">
        <v>1.0000000573600101</v>
      </c>
    </row>
    <row r="2896" spans="1:40" x14ac:dyDescent="0.25">
      <c r="A2896" t="str">
        <f>"20190312153942190"</f>
        <v>20190312153942190</v>
      </c>
      <c r="B2896" t="str">
        <f>"1552376382178477"</f>
        <v>1552376382178477</v>
      </c>
      <c r="C2896" t="s">
        <v>40</v>
      </c>
      <c r="D2896">
        <v>4.0345399999999998</v>
      </c>
      <c r="E2896">
        <v>0.55583800000000005</v>
      </c>
      <c r="F2896" t="s">
        <v>41</v>
      </c>
      <c r="G2896">
        <v>-372.64179999999999</v>
      </c>
      <c r="H2896">
        <v>0.88026859999999996</v>
      </c>
      <c r="I2896">
        <v>283.72399999999999</v>
      </c>
      <c r="J2896">
        <v>-371.8836</v>
      </c>
      <c r="K2896">
        <v>1.1102749999999999</v>
      </c>
      <c r="L2896">
        <v>283.57499999999999</v>
      </c>
      <c r="M2896">
        <v>-0.99989810000000001</v>
      </c>
      <c r="N2896">
        <v>0</v>
      </c>
      <c r="O2896">
        <v>1.9405570000000001E-3</v>
      </c>
      <c r="P2896">
        <v>-0.99979960000000001</v>
      </c>
      <c r="Q2896">
        <v>1.0254579999999999E-2</v>
      </c>
      <c r="R2896">
        <v>1.720783E-2</v>
      </c>
      <c r="S2896">
        <v>-3.000702</v>
      </c>
      <c r="T2896">
        <v>-0.70818319999999901</v>
      </c>
      <c r="U2896">
        <v>0.4585571</v>
      </c>
      <c r="V2896">
        <v>1.5260070000000001E-2</v>
      </c>
      <c r="W2896">
        <v>2.440813E-2</v>
      </c>
      <c r="X2896">
        <v>0.99958559999999996</v>
      </c>
      <c r="Y2896">
        <v>0.14529489999999901</v>
      </c>
      <c r="Z2896">
        <v>1.6369849999999998E-2</v>
      </c>
      <c r="AA2896">
        <v>0.98925300000000005</v>
      </c>
      <c r="AB2896">
        <v>37</v>
      </c>
      <c r="AC2896">
        <v>-0.758199999999987</v>
      </c>
      <c r="AD2896">
        <v>-0.230006399999999</v>
      </c>
      <c r="AE2896">
        <v>0.14899999999999999</v>
      </c>
      <c r="AF2896">
        <v>0.135520512150205</v>
      </c>
      <c r="AG2896">
        <v>-0.230006399999999</v>
      </c>
      <c r="AH2896">
        <v>0.69675233842335305</v>
      </c>
      <c r="AI2896">
        <v>107.954376899823</v>
      </c>
      <c r="AJ2896">
        <v>78.993219128623196</v>
      </c>
      <c r="AK2896">
        <v>0.74614514295331602</v>
      </c>
      <c r="AL2896">
        <v>88.601378267467098</v>
      </c>
      <c r="AM2896">
        <v>89.125367862078207</v>
      </c>
      <c r="AN2896">
        <v>0.99999999913693005</v>
      </c>
    </row>
    <row r="2897" spans="1:40" x14ac:dyDescent="0.25">
      <c r="A2897" t="str">
        <f>"20190312153942210"</f>
        <v>20190312153942210</v>
      </c>
      <c r="B2897" t="str">
        <f>"1552376382198973"</f>
        <v>1552376382198973</v>
      </c>
      <c r="C2897" t="s">
        <v>40</v>
      </c>
      <c r="D2897">
        <v>4.0436360000000002</v>
      </c>
      <c r="E2897">
        <v>0.55595249999999996</v>
      </c>
      <c r="F2897" t="s">
        <v>41</v>
      </c>
      <c r="G2897">
        <v>-372.66050000000001</v>
      </c>
      <c r="H2897">
        <v>0.92609719999999995</v>
      </c>
      <c r="I2897">
        <v>283.69479999999999</v>
      </c>
      <c r="J2897">
        <v>-372.20100000000002</v>
      </c>
      <c r="K2897">
        <v>1.110271</v>
      </c>
      <c r="L2897">
        <v>283.57549999999998</v>
      </c>
      <c r="M2897">
        <v>-0.99989859999999997</v>
      </c>
      <c r="N2897">
        <v>0</v>
      </c>
      <c r="O2897">
        <v>1.8152400000000001E-3</v>
      </c>
      <c r="P2897">
        <v>-0.99979130000000005</v>
      </c>
      <c r="Q2897">
        <v>8.7590800000000007E-3</v>
      </c>
      <c r="R2897">
        <v>1.84631E-2</v>
      </c>
      <c r="S2897">
        <v>-2.9999389999999999</v>
      </c>
      <c r="T2897">
        <v>-0.71133469999999999</v>
      </c>
      <c r="U2897">
        <v>0.46096799999999999</v>
      </c>
      <c r="V2897">
        <v>1.6641079999999999E-2</v>
      </c>
      <c r="W2897">
        <v>2.289364E-2</v>
      </c>
      <c r="X2897">
        <v>0.99959940000000003</v>
      </c>
      <c r="Y2897">
        <v>0.14617079999999999</v>
      </c>
      <c r="Z2897">
        <v>1.6574829999999999E-2</v>
      </c>
      <c r="AA2897">
        <v>0.98912049999999996</v>
      </c>
      <c r="AB2897">
        <v>37</v>
      </c>
      <c r="AC2897">
        <v>-0.45950000000004798</v>
      </c>
      <c r="AD2897">
        <v>-0.1841738</v>
      </c>
      <c r="AE2897">
        <v>0.119300000000009</v>
      </c>
      <c r="AF2897">
        <v>0.102968258833823</v>
      </c>
      <c r="AG2897">
        <v>-0.1841738</v>
      </c>
      <c r="AH2897">
        <v>0.399577015148873</v>
      </c>
      <c r="AI2897">
        <v>114.05313262390101</v>
      </c>
      <c r="AJ2897">
        <v>75.549656960692502</v>
      </c>
      <c r="AK2897">
        <v>0.45186750488278299</v>
      </c>
      <c r="AL2897">
        <v>88.688176444532203</v>
      </c>
      <c r="AM2897">
        <v>89.046242342870102</v>
      </c>
      <c r="AN2897">
        <v>1.0000000023881801</v>
      </c>
    </row>
    <row r="2898" spans="1:40" x14ac:dyDescent="0.25">
      <c r="A2898" t="str">
        <f>"20190312153942223"</f>
        <v>20190312153942223</v>
      </c>
      <c r="B2898" t="str">
        <f>"1552376382208732"</f>
        <v>1552376382208732</v>
      </c>
      <c r="C2898" t="s">
        <v>40</v>
      </c>
      <c r="D2898">
        <v>4.066255</v>
      </c>
      <c r="E2898">
        <v>0.55598549999999902</v>
      </c>
      <c r="F2898" t="s">
        <v>41</v>
      </c>
      <c r="G2898">
        <v>-372.98489999999998</v>
      </c>
      <c r="H2898">
        <v>0.92242959999999996</v>
      </c>
      <c r="I2898">
        <v>283.69740000000002</v>
      </c>
      <c r="J2898">
        <v>-372.41160000000002</v>
      </c>
      <c r="K2898">
        <v>1.110266</v>
      </c>
      <c r="L2898">
        <v>283.57580000000002</v>
      </c>
      <c r="M2898">
        <v>-0.99989879999999998</v>
      </c>
      <c r="N2898">
        <v>0</v>
      </c>
      <c r="O2898">
        <v>1.732122E-3</v>
      </c>
      <c r="P2898">
        <v>-0.99978319999999998</v>
      </c>
      <c r="Q2898">
        <v>7.71688699999999E-3</v>
      </c>
      <c r="R2898">
        <v>1.9342850000000002E-2</v>
      </c>
      <c r="S2898">
        <v>-2.998291</v>
      </c>
      <c r="T2898">
        <v>-0.71846529999999997</v>
      </c>
      <c r="U2898">
        <v>0.46545409999999998</v>
      </c>
      <c r="V2898">
        <v>1.7604209999999999E-2</v>
      </c>
      <c r="W2898">
        <v>2.184057E-2</v>
      </c>
      <c r="X2898">
        <v>0.99960649999999995</v>
      </c>
      <c r="Y2898">
        <v>0.1476555</v>
      </c>
      <c r="Z2898">
        <v>1.693747E-2</v>
      </c>
      <c r="AA2898">
        <v>0.98889380000000005</v>
      </c>
      <c r="AB2898">
        <v>37</v>
      </c>
      <c r="AC2898">
        <v>-0.57329999999995995</v>
      </c>
      <c r="AD2898">
        <v>-0.18783639999999899</v>
      </c>
      <c r="AE2898">
        <v>0.1216</v>
      </c>
      <c r="AF2898">
        <v>0.10937131997487801</v>
      </c>
      <c r="AG2898">
        <v>-0.18783639999999899</v>
      </c>
      <c r="AH2898">
        <v>0.52008326279171602</v>
      </c>
      <c r="AI2898">
        <v>109.465208328461</v>
      </c>
      <c r="AJ2898">
        <v>78.123990211952204</v>
      </c>
      <c r="AK2898">
        <v>0.56367650211276699</v>
      </c>
      <c r="AL2898">
        <v>88.748528055206904</v>
      </c>
      <c r="AM2898">
        <v>88.991060306206805</v>
      </c>
      <c r="AN2898">
        <v>1.00000003677494</v>
      </c>
    </row>
    <row r="2899" spans="1:40" x14ac:dyDescent="0.25">
      <c r="A2899" t="str">
        <f>"20190312153942236"</f>
        <v>20190312153942236</v>
      </c>
      <c r="B2899" t="str">
        <f>"1552376382228253"</f>
        <v>1552376382228253</v>
      </c>
      <c r="C2899" t="s">
        <v>40</v>
      </c>
      <c r="D2899">
        <v>4.0913690000000003</v>
      </c>
      <c r="E2899">
        <v>0.55609929999999996</v>
      </c>
      <c r="F2899" t="s">
        <v>41</v>
      </c>
      <c r="G2899">
        <v>-373.30020000000002</v>
      </c>
      <c r="H2899">
        <v>0.89614210000000005</v>
      </c>
      <c r="I2899">
        <v>283.71499999999997</v>
      </c>
      <c r="J2899">
        <v>-372.62299999999999</v>
      </c>
      <c r="K2899">
        <v>1.1102620000000001</v>
      </c>
      <c r="L2899">
        <v>283.5761</v>
      </c>
      <c r="M2899">
        <v>-0.99989910000000004</v>
      </c>
      <c r="N2899">
        <v>0</v>
      </c>
      <c r="O2899">
        <v>1.648463E-3</v>
      </c>
      <c r="P2899">
        <v>-0.99976690000000001</v>
      </c>
      <c r="Q2899">
        <v>7.3366219999999897E-3</v>
      </c>
      <c r="R2899">
        <v>2.0313930000000001E-2</v>
      </c>
      <c r="S2899">
        <v>-2.9971619999999999</v>
      </c>
      <c r="T2899">
        <v>-0.72238719999999901</v>
      </c>
      <c r="U2899">
        <v>0.46807860000000001</v>
      </c>
      <c r="V2899">
        <v>1.8659220000000001E-2</v>
      </c>
      <c r="W2899">
        <v>2.144917E-2</v>
      </c>
      <c r="X2899">
        <v>0.99959580000000003</v>
      </c>
      <c r="Y2899">
        <v>0.14856639999999999</v>
      </c>
      <c r="Z2899">
        <v>1.7159830000000001E-2</v>
      </c>
      <c r="AA2899">
        <v>0.98875360000000001</v>
      </c>
      <c r="AB2899">
        <v>36</v>
      </c>
      <c r="AC2899">
        <v>-0.67719999999997005</v>
      </c>
      <c r="AD2899">
        <v>-0.2141199</v>
      </c>
      <c r="AE2899">
        <v>0.13889999999997801</v>
      </c>
      <c r="AF2899">
        <v>0.125722042685491</v>
      </c>
      <c r="AG2899">
        <v>-0.2141199</v>
      </c>
      <c r="AH2899">
        <v>0.61812718634560304</v>
      </c>
      <c r="AI2899">
        <v>108.749829674829</v>
      </c>
      <c r="AJ2899">
        <v>78.503324916396593</v>
      </c>
      <c r="AK2899">
        <v>0.66613405714807505</v>
      </c>
      <c r="AL2899">
        <v>88.770958830472097</v>
      </c>
      <c r="AM2899">
        <v>88.930597341147006</v>
      </c>
      <c r="AN2899">
        <v>0.99999999838116804</v>
      </c>
    </row>
    <row r="2900" spans="1:40" x14ac:dyDescent="0.25">
      <c r="A2900" t="str">
        <f>"20190312153942255"</f>
        <v>20190312153942255</v>
      </c>
      <c r="B2900" t="str">
        <f>"1552376382248749"</f>
        <v>1552376382248749</v>
      </c>
      <c r="C2900" t="s">
        <v>40</v>
      </c>
      <c r="D2900">
        <v>4.0496429999999997</v>
      </c>
      <c r="E2900">
        <v>0.55611869999999997</v>
      </c>
      <c r="F2900" t="s">
        <v>41</v>
      </c>
      <c r="G2900">
        <v>-373.31950000000001</v>
      </c>
      <c r="H2900">
        <v>0.94162440000000003</v>
      </c>
      <c r="I2900">
        <v>283.68610000000001</v>
      </c>
      <c r="J2900">
        <v>-372.93819999999999</v>
      </c>
      <c r="K2900">
        <v>1.1102609999999999</v>
      </c>
      <c r="L2900">
        <v>283.57650000000001</v>
      </c>
      <c r="M2900">
        <v>-0.9998996</v>
      </c>
      <c r="N2900">
        <v>0</v>
      </c>
      <c r="O2900">
        <v>1.523232E-3</v>
      </c>
      <c r="P2900">
        <v>-0.99973970000000001</v>
      </c>
      <c r="Q2900">
        <v>6.4208019999999998E-3</v>
      </c>
      <c r="R2900">
        <v>2.1904509999999999E-2</v>
      </c>
      <c r="S2900">
        <v>-2.996429</v>
      </c>
      <c r="T2900">
        <v>-0.72565049999999998</v>
      </c>
      <c r="U2900">
        <v>0.47171020000000002</v>
      </c>
      <c r="V2900">
        <v>2.0375279999999999E-2</v>
      </c>
      <c r="W2900">
        <v>2.0519550000000001E-2</v>
      </c>
      <c r="X2900">
        <v>0.99958179999999996</v>
      </c>
      <c r="Y2900">
        <v>0.149819799999999</v>
      </c>
      <c r="Z2900">
        <v>1.7416170000000002E-2</v>
      </c>
      <c r="AA2900">
        <v>0.98855990000000005</v>
      </c>
      <c r="AB2900">
        <v>36</v>
      </c>
      <c r="AC2900">
        <v>-0.38130000000001002</v>
      </c>
      <c r="AD2900">
        <v>-0.1686366</v>
      </c>
      <c r="AE2900">
        <v>0.1096</v>
      </c>
      <c r="AF2900">
        <v>9.2336306737040394E-2</v>
      </c>
      <c r="AG2900">
        <v>-0.1686366</v>
      </c>
      <c r="AH2900">
        <v>0.323092373166534</v>
      </c>
      <c r="AI2900">
        <v>116.64992972126601</v>
      </c>
      <c r="AJ2900">
        <v>74.050636525151802</v>
      </c>
      <c r="AK2900">
        <v>0.37596938439157401</v>
      </c>
      <c r="AL2900">
        <v>88.824233855449506</v>
      </c>
      <c r="AM2900">
        <v>88.832255745789695</v>
      </c>
      <c r="AN2900">
        <v>0.99999998942926005</v>
      </c>
    </row>
    <row r="2901" spans="1:40" x14ac:dyDescent="0.25">
      <c r="A2901" t="str">
        <f>"20190312153942279"</f>
        <v>20190312153942279</v>
      </c>
      <c r="B2901" t="str">
        <f>"1552376382268268"</f>
        <v>1552376382268268</v>
      </c>
      <c r="C2901" t="s">
        <v>40</v>
      </c>
      <c r="D2901">
        <v>4.107583</v>
      </c>
      <c r="E2901">
        <v>0.55619839999999998</v>
      </c>
      <c r="F2901" t="s">
        <v>41</v>
      </c>
      <c r="G2901">
        <v>-373.64370000000002</v>
      </c>
      <c r="H2901">
        <v>0.93854689999999996</v>
      </c>
      <c r="I2901">
        <v>283.68889999999999</v>
      </c>
      <c r="J2901">
        <v>-373.30579999999998</v>
      </c>
      <c r="K2901">
        <v>1.1102590000000001</v>
      </c>
      <c r="L2901">
        <v>283.577</v>
      </c>
      <c r="M2901">
        <v>-0.99989989999999995</v>
      </c>
      <c r="N2901">
        <v>0</v>
      </c>
      <c r="O2901">
        <v>1.378687E-3</v>
      </c>
      <c r="P2901">
        <v>-0.99971489999999996</v>
      </c>
      <c r="Q2901">
        <v>6.3789060000000002E-3</v>
      </c>
      <c r="R2901">
        <v>2.3010510000000001E-2</v>
      </c>
      <c r="S2901">
        <v>-2.9950260000000002</v>
      </c>
      <c r="T2901">
        <v>-0.72902349999999905</v>
      </c>
      <c r="U2901">
        <v>0.47634890000000002</v>
      </c>
      <c r="V2901">
        <v>2.1625930000000002E-2</v>
      </c>
      <c r="W2901">
        <v>2.0462339999999999E-2</v>
      </c>
      <c r="X2901">
        <v>0.99955669999999996</v>
      </c>
      <c r="Y2901">
        <v>0.15143599999999999</v>
      </c>
      <c r="Z2901">
        <v>1.7727920000000001E-2</v>
      </c>
      <c r="AA2901">
        <v>0.98830810000000002</v>
      </c>
      <c r="AB2901">
        <v>36</v>
      </c>
      <c r="AC2901">
        <v>-0.337900000000047</v>
      </c>
      <c r="AD2901">
        <v>-0.17171210000000001</v>
      </c>
      <c r="AE2901">
        <v>0.11189999999999101</v>
      </c>
      <c r="AF2901">
        <v>9.0396905411172901E-2</v>
      </c>
      <c r="AG2901">
        <v>-0.17171210000000001</v>
      </c>
      <c r="AH2901">
        <v>0.27423439582778197</v>
      </c>
      <c r="AI2901">
        <v>120.73891542349401</v>
      </c>
      <c r="AJ2901">
        <v>71.756037193187893</v>
      </c>
      <c r="AK2901">
        <v>0.33594813535627099</v>
      </c>
      <c r="AL2901">
        <v>88.827512438843598</v>
      </c>
      <c r="AM2901">
        <v>88.760569324234595</v>
      </c>
      <c r="AN2901">
        <v>0.99999999236076498</v>
      </c>
    </row>
    <row r="2902" spans="1:40" x14ac:dyDescent="0.25">
      <c r="A2902" t="str">
        <f>"20190312153942300"</f>
        <v>20190312153942300</v>
      </c>
      <c r="B2902" t="str">
        <f>"1552376382288765"</f>
        <v>1552376382288765</v>
      </c>
      <c r="C2902" t="s">
        <v>40</v>
      </c>
      <c r="D2902">
        <v>4.0759790000000002</v>
      </c>
      <c r="E2902">
        <v>0.55623789999999995</v>
      </c>
      <c r="F2902" t="s">
        <v>41</v>
      </c>
      <c r="G2902">
        <v>-374.2681</v>
      </c>
      <c r="H2902">
        <v>0.8753668</v>
      </c>
      <c r="I2902">
        <v>283.73149999999998</v>
      </c>
      <c r="J2902">
        <v>-373.66399999999999</v>
      </c>
      <c r="K2902">
        <v>1.110266</v>
      </c>
      <c r="L2902">
        <v>283.57729999999998</v>
      </c>
      <c r="M2902">
        <v>-0.99990029999999996</v>
      </c>
      <c r="N2902">
        <v>0</v>
      </c>
      <c r="O2902">
        <v>1.23675E-3</v>
      </c>
      <c r="P2902">
        <v>-0.99969819999999998</v>
      </c>
      <c r="Q2902">
        <v>6.9269429999999996E-3</v>
      </c>
      <c r="R2902">
        <v>2.3573380000000001E-2</v>
      </c>
      <c r="S2902">
        <v>-2.9944760000000001</v>
      </c>
      <c r="T2902">
        <v>-0.73098200000000002</v>
      </c>
      <c r="U2902">
        <v>0.47985840000000002</v>
      </c>
      <c r="V2902">
        <v>2.2330559999999999E-2</v>
      </c>
      <c r="W2902">
        <v>2.099676E-2</v>
      </c>
      <c r="X2902">
        <v>0.99953009999999998</v>
      </c>
      <c r="Y2902">
        <v>0.152671</v>
      </c>
      <c r="Z2902">
        <v>1.795737E-2</v>
      </c>
      <c r="AA2902">
        <v>0.98811389999999999</v>
      </c>
      <c r="AB2902">
        <v>36</v>
      </c>
      <c r="AC2902">
        <v>-0.60410000000001596</v>
      </c>
      <c r="AD2902">
        <v>-0.2348992</v>
      </c>
      <c r="AE2902">
        <v>0.154200000000003</v>
      </c>
      <c r="AF2902">
        <v>0.13437787951486299</v>
      </c>
      <c r="AG2902">
        <v>-0.2348992</v>
      </c>
      <c r="AH2902">
        <v>0.52917446795733702</v>
      </c>
      <c r="AI2902">
        <v>113.279410776536</v>
      </c>
      <c r="AJ2902">
        <v>75.751557719952501</v>
      </c>
      <c r="AK2902">
        <v>0.59435735563840897</v>
      </c>
      <c r="AL2902">
        <v>88.796885818987803</v>
      </c>
      <c r="AM2902">
        <v>88.720164566503001</v>
      </c>
      <c r="AN2902">
        <v>0.99999996932321</v>
      </c>
    </row>
    <row r="2903" spans="1:40" x14ac:dyDescent="0.25">
      <c r="A2903" t="str">
        <f>"20190312153942322"</f>
        <v>20190312153942322</v>
      </c>
      <c r="B2903" t="str">
        <f>"1552376382308284"</f>
        <v>1552376382308284</v>
      </c>
      <c r="C2903" t="s">
        <v>40</v>
      </c>
      <c r="D2903">
        <v>4.0920339999999999</v>
      </c>
      <c r="E2903">
        <v>0.55620819999999904</v>
      </c>
      <c r="F2903" t="s">
        <v>41</v>
      </c>
      <c r="G2903">
        <v>-374.59589999999997</v>
      </c>
      <c r="H2903">
        <v>0.88285829999999998</v>
      </c>
      <c r="I2903">
        <v>283.7276</v>
      </c>
      <c r="J2903">
        <v>-374.0215</v>
      </c>
      <c r="K2903">
        <v>1.110268</v>
      </c>
      <c r="L2903">
        <v>283.57760000000002</v>
      </c>
      <c r="M2903">
        <v>-0.99990080000000003</v>
      </c>
      <c r="N2903">
        <v>0</v>
      </c>
      <c r="O2903">
        <v>1.095457E-3</v>
      </c>
      <c r="P2903">
        <v>-0.99967859999999997</v>
      </c>
      <c r="Q2903">
        <v>7.7963429999999998E-3</v>
      </c>
      <c r="R2903">
        <v>2.413028E-2</v>
      </c>
      <c r="S2903">
        <v>-2.9946290000000002</v>
      </c>
      <c r="T2903">
        <v>-0.73075540000000005</v>
      </c>
      <c r="U2903">
        <v>0.48147580000000001</v>
      </c>
      <c r="V2903">
        <v>2.302827E-2</v>
      </c>
      <c r="W2903">
        <v>2.1854869999999998E-2</v>
      </c>
      <c r="X2903">
        <v>0.99949589999999999</v>
      </c>
      <c r="Y2903">
        <v>0.15330429999999901</v>
      </c>
      <c r="Z2903">
        <v>1.8059809999999999E-2</v>
      </c>
      <c r="AA2903">
        <v>0.98801399999999995</v>
      </c>
      <c r="AB2903">
        <v>36</v>
      </c>
      <c r="AC2903">
        <v>-0.57439999999996805</v>
      </c>
      <c r="AD2903">
        <v>-0.22740969999999899</v>
      </c>
      <c r="AE2903">
        <v>0.14999999999997701</v>
      </c>
      <c r="AF2903">
        <v>0.13025712749243601</v>
      </c>
      <c r="AG2903">
        <v>-0.22740969999999899</v>
      </c>
      <c r="AH2903">
        <v>0.50104268289153997</v>
      </c>
      <c r="AI2903">
        <v>113.714510441364</v>
      </c>
      <c r="AJ2903">
        <v>75.427280177305093</v>
      </c>
      <c r="AK2903">
        <v>0.56544306609580397</v>
      </c>
      <c r="AL2903">
        <v>88.7477084780799</v>
      </c>
      <c r="AM2903">
        <v>88.680145372269607</v>
      </c>
      <c r="AN2903">
        <v>0.99999999533936001</v>
      </c>
    </row>
    <row r="2904" spans="1:40" x14ac:dyDescent="0.25">
      <c r="A2904" t="str">
        <f>"20190312153942344"</f>
        <v>20190312153942344</v>
      </c>
      <c r="B2904" t="str">
        <f>"1552376382338543"</f>
        <v>1552376382338543</v>
      </c>
      <c r="C2904" t="s">
        <v>40</v>
      </c>
      <c r="D2904">
        <v>4.1144290000000003</v>
      </c>
      <c r="E2904">
        <v>0.55611959999999905</v>
      </c>
      <c r="F2904" t="s">
        <v>41</v>
      </c>
      <c r="G2904">
        <v>-374.92360000000002</v>
      </c>
      <c r="H2904">
        <v>0.89048780000000005</v>
      </c>
      <c r="I2904">
        <v>283.72320000000002</v>
      </c>
      <c r="J2904">
        <v>-374.3818</v>
      </c>
      <c r="K2904">
        <v>1.1102700000000001</v>
      </c>
      <c r="L2904">
        <v>283.5779</v>
      </c>
      <c r="M2904">
        <v>-0.99990089999999998</v>
      </c>
      <c r="N2904">
        <v>0</v>
      </c>
      <c r="O2904">
        <v>9.5320170000000001E-4</v>
      </c>
      <c r="P2904">
        <v>-0.99966319999999997</v>
      </c>
      <c r="Q2904">
        <v>8.4054319999999991E-3</v>
      </c>
      <c r="R2904">
        <v>2.4560309999999998E-2</v>
      </c>
      <c r="S2904">
        <v>-2.9949949999999999</v>
      </c>
      <c r="T2904">
        <v>-0.72969249999999997</v>
      </c>
      <c r="U2904">
        <v>0.48242190000000001</v>
      </c>
      <c r="V2904">
        <v>2.360054E-2</v>
      </c>
      <c r="W2904">
        <v>2.2453629999999999E-2</v>
      </c>
      <c r="X2904">
        <v>0.9994693</v>
      </c>
      <c r="Y2904">
        <v>0.15372769999999999</v>
      </c>
      <c r="Z2904">
        <v>1.8116210000000001E-2</v>
      </c>
      <c r="AA2904">
        <v>0.98794720000000003</v>
      </c>
      <c r="AB2904">
        <v>36</v>
      </c>
      <c r="AC2904">
        <v>-0.54180000000002304</v>
      </c>
      <c r="AD2904">
        <v>-0.21978220000000001</v>
      </c>
      <c r="AE2904">
        <v>0.14530000000002</v>
      </c>
      <c r="AF2904">
        <v>0.12551524878453801</v>
      </c>
      <c r="AG2904">
        <v>-0.21978220000000001</v>
      </c>
      <c r="AH2904">
        <v>0.46981558989800898</v>
      </c>
      <c r="AI2904">
        <v>114.320798188053</v>
      </c>
      <c r="AJ2904">
        <v>75.042274605523602</v>
      </c>
      <c r="AK2904">
        <v>0.53365249144504001</v>
      </c>
      <c r="AL2904">
        <v>88.713393661376401</v>
      </c>
      <c r="AM2904">
        <v>88.647322034240403</v>
      </c>
      <c r="AN2904">
        <v>1.0000000163154701</v>
      </c>
    </row>
    <row r="2905" spans="1:40" x14ac:dyDescent="0.25">
      <c r="A2905" t="str">
        <f>"20190312153942366"</f>
        <v>20190312153942366</v>
      </c>
      <c r="B2905" t="str">
        <f>"1552376382359043"</f>
        <v>1552376382359043</v>
      </c>
      <c r="C2905" t="s">
        <v>40</v>
      </c>
      <c r="D2905">
        <v>4.1230390000000003</v>
      </c>
      <c r="E2905">
        <v>0.55603199999999997</v>
      </c>
      <c r="F2905" t="s">
        <v>41</v>
      </c>
      <c r="G2905">
        <v>-375.25130000000001</v>
      </c>
      <c r="H2905">
        <v>0.89871509999999999</v>
      </c>
      <c r="I2905">
        <v>283.71859999999998</v>
      </c>
      <c r="J2905">
        <v>-374.74630000000002</v>
      </c>
      <c r="K2905">
        <v>1.1102650000000001</v>
      </c>
      <c r="L2905">
        <v>283.57810000000001</v>
      </c>
      <c r="M2905">
        <v>-0.99990120000000005</v>
      </c>
      <c r="N2905">
        <v>0</v>
      </c>
      <c r="O2905">
        <v>8.0903360000000001E-4</v>
      </c>
      <c r="P2905">
        <v>-0.99965669999999995</v>
      </c>
      <c r="Q2905">
        <v>8.2938300000000003E-3</v>
      </c>
      <c r="R2905">
        <v>2.485656E-2</v>
      </c>
      <c r="S2905">
        <v>-2.9952390000000002</v>
      </c>
      <c r="T2905">
        <v>-0.72882360000000002</v>
      </c>
      <c r="U2905">
        <v>0.48284909999999998</v>
      </c>
      <c r="V2905">
        <v>2.4041010000000002E-2</v>
      </c>
      <c r="W2905">
        <v>2.2332540000000001E-2</v>
      </c>
      <c r="X2905">
        <v>0.9994615</v>
      </c>
      <c r="Y2905">
        <v>0.15399409999999999</v>
      </c>
      <c r="Z2905">
        <v>1.8159729999999999E-2</v>
      </c>
      <c r="AA2905">
        <v>0.98790489999999997</v>
      </c>
      <c r="AB2905">
        <v>36</v>
      </c>
      <c r="AC2905">
        <v>-0.50499999999999501</v>
      </c>
      <c r="AD2905">
        <v>-0.21154990000000001</v>
      </c>
      <c r="AE2905">
        <v>0.14049999999997401</v>
      </c>
      <c r="AF2905">
        <v>0.120469462729646</v>
      </c>
      <c r="AG2905">
        <v>-0.21154990000000001</v>
      </c>
      <c r="AH2905">
        <v>0.434364812665268</v>
      </c>
      <c r="AI2905">
        <v>115.141462893756</v>
      </c>
      <c r="AJ2905">
        <v>74.498843841810597</v>
      </c>
      <c r="AK2905">
        <v>0.49793477697597399</v>
      </c>
      <c r="AL2905">
        <v>88.720333328090106</v>
      </c>
      <c r="AM2905">
        <v>88.622075147780393</v>
      </c>
      <c r="AN2905">
        <v>1.00000000124346</v>
      </c>
    </row>
    <row r="2906" spans="1:40" x14ac:dyDescent="0.25">
      <c r="A2906" t="str">
        <f>"20190312153942389"</f>
        <v>20190312153942389</v>
      </c>
      <c r="B2906" t="str">
        <f>"1552376382378559"</f>
        <v>1552376382378559</v>
      </c>
      <c r="C2906" t="s">
        <v>40</v>
      </c>
      <c r="D2906">
        <v>4.0627430000000002</v>
      </c>
      <c r="E2906">
        <v>0.55582769999999904</v>
      </c>
      <c r="F2906" t="s">
        <v>41</v>
      </c>
      <c r="G2906">
        <v>-375.57889999999998</v>
      </c>
      <c r="H2906">
        <v>0.90750969999999997</v>
      </c>
      <c r="I2906">
        <v>283.71230000000003</v>
      </c>
      <c r="J2906">
        <v>-375.10180000000003</v>
      </c>
      <c r="K2906">
        <v>1.1102540000000001</v>
      </c>
      <c r="L2906">
        <v>283.57819999999998</v>
      </c>
      <c r="M2906">
        <v>-0.9999015</v>
      </c>
      <c r="N2906">
        <v>0</v>
      </c>
      <c r="O2906">
        <v>6.6837410000000004E-4</v>
      </c>
      <c r="P2906">
        <v>-0.99965800000000005</v>
      </c>
      <c r="Q2906">
        <v>7.6335149999999996E-3</v>
      </c>
      <c r="R2906">
        <v>2.5020130000000002E-2</v>
      </c>
      <c r="S2906">
        <v>-2.9950559999999999</v>
      </c>
      <c r="T2906">
        <v>-0.72939069999999995</v>
      </c>
      <c r="U2906">
        <v>0.48254390000000003</v>
      </c>
      <c r="V2906">
        <v>2.43453E-2</v>
      </c>
      <c r="W2906">
        <v>2.1664180000000002E-2</v>
      </c>
      <c r="X2906">
        <v>0.99946889999999999</v>
      </c>
      <c r="Y2906">
        <v>0.154032</v>
      </c>
      <c r="Z2906">
        <v>1.821275E-2</v>
      </c>
      <c r="AA2906">
        <v>0.98789800000000005</v>
      </c>
      <c r="AB2906">
        <v>36</v>
      </c>
      <c r="AC2906">
        <v>-0.47709999999995001</v>
      </c>
      <c r="AD2906">
        <v>-0.20274429999999999</v>
      </c>
      <c r="AE2906">
        <v>0.13410000000004599</v>
      </c>
      <c r="AF2906">
        <v>0.11460120121466599</v>
      </c>
      <c r="AG2906">
        <v>-0.20274429999999999</v>
      </c>
      <c r="AH2906">
        <v>0.40877605946153101</v>
      </c>
      <c r="AI2906">
        <v>115.527562019005</v>
      </c>
      <c r="AJ2906">
        <v>74.339051365800003</v>
      </c>
      <c r="AK2906">
        <v>0.47046418916983601</v>
      </c>
      <c r="AL2906">
        <v>88.758636873361198</v>
      </c>
      <c r="AM2906">
        <v>88.604651763770505</v>
      </c>
      <c r="AN2906">
        <v>1.00000005619718</v>
      </c>
    </row>
    <row r="2907" spans="1:40" x14ac:dyDescent="0.25">
      <c r="A2907" t="str">
        <f>"20190312153942411"</f>
        <v>20190312153942411</v>
      </c>
      <c r="B2907" t="str">
        <f>"1552376382399056"</f>
        <v>1552376382399056</v>
      </c>
      <c r="C2907" t="s">
        <v>40</v>
      </c>
      <c r="D2907">
        <v>4.079358</v>
      </c>
      <c r="E2907">
        <v>0.55572279999999996</v>
      </c>
      <c r="F2907" t="s">
        <v>41</v>
      </c>
      <c r="G2907">
        <v>-375.90539999999999</v>
      </c>
      <c r="H2907">
        <v>0.91419989999999995</v>
      </c>
      <c r="I2907">
        <v>283.7079</v>
      </c>
      <c r="J2907">
        <v>-375.46559999999999</v>
      </c>
      <c r="K2907">
        <v>1.1102430000000001</v>
      </c>
      <c r="L2907">
        <v>283.57830000000001</v>
      </c>
      <c r="M2907">
        <v>-0.9999017</v>
      </c>
      <c r="N2907">
        <v>0</v>
      </c>
      <c r="O2907">
        <v>5.2401909999999995E-4</v>
      </c>
      <c r="P2907">
        <v>-0.99967249999999996</v>
      </c>
      <c r="Q2907">
        <v>6.7711400000000001E-3</v>
      </c>
      <c r="R2907">
        <v>2.4681689999999999E-2</v>
      </c>
      <c r="S2907">
        <v>-2.9945680000000001</v>
      </c>
      <c r="T2907">
        <v>-0.73066600000000004</v>
      </c>
      <c r="U2907">
        <v>0.48147580000000001</v>
      </c>
      <c r="V2907">
        <v>2.4151410000000002E-2</v>
      </c>
      <c r="W2907">
        <v>2.0794150000000001E-2</v>
      </c>
      <c r="X2907">
        <v>0.99949200000000005</v>
      </c>
      <c r="Y2907">
        <v>0.153840899999999</v>
      </c>
      <c r="Z2907">
        <v>1.8258719999999999E-2</v>
      </c>
      <c r="AA2907">
        <v>0.98792690000000005</v>
      </c>
      <c r="AB2907">
        <v>36</v>
      </c>
      <c r="AC2907">
        <v>-0.43979999999999098</v>
      </c>
      <c r="AD2907">
        <v>-0.1960431</v>
      </c>
      <c r="AE2907">
        <v>0.12959999999998201</v>
      </c>
      <c r="AF2907">
        <v>0.109373587701398</v>
      </c>
      <c r="AG2907">
        <v>-0.1960431</v>
      </c>
      <c r="AH2907">
        <v>0.37187998226310998</v>
      </c>
      <c r="AI2907">
        <v>116.827892231885</v>
      </c>
      <c r="AJ2907">
        <v>73.610867731523001</v>
      </c>
      <c r="AK2907">
        <v>0.434384852351341</v>
      </c>
      <c r="AL2907">
        <v>88.808497056366605</v>
      </c>
      <c r="AM2907">
        <v>88.615792186820599</v>
      </c>
      <c r="AN2907">
        <v>0.99999997267160401</v>
      </c>
    </row>
    <row r="2908" spans="1:40" x14ac:dyDescent="0.25">
      <c r="A2908" t="str">
        <f>"20190312153942434"</f>
        <v>20190312153942434</v>
      </c>
      <c r="B2908" t="str">
        <f>"1552376382428349"</f>
        <v>1552376382428349</v>
      </c>
      <c r="C2908" t="s">
        <v>40</v>
      </c>
      <c r="D2908">
        <v>4.1551090000000004</v>
      </c>
      <c r="E2908">
        <v>0.53842909999999999</v>
      </c>
      <c r="F2908" t="s">
        <v>41</v>
      </c>
      <c r="G2908">
        <v>-376.23219999999998</v>
      </c>
      <c r="H2908">
        <v>0.9225409</v>
      </c>
      <c r="I2908">
        <v>283.70139999999998</v>
      </c>
      <c r="J2908">
        <v>-375.83</v>
      </c>
      <c r="K2908">
        <v>1.1102320000000001</v>
      </c>
      <c r="L2908">
        <v>283.57839999999999</v>
      </c>
      <c r="M2908">
        <v>-0.99990190000000001</v>
      </c>
      <c r="N2908">
        <v>0</v>
      </c>
      <c r="O2908">
        <v>3.7977630000000001E-4</v>
      </c>
      <c r="P2908">
        <v>-0.99968800000000002</v>
      </c>
      <c r="Q2908">
        <v>6.7001530000000004E-3</v>
      </c>
      <c r="R2908">
        <v>2.406498E-2</v>
      </c>
      <c r="S2908">
        <v>-2.9941409999999999</v>
      </c>
      <c r="T2908">
        <v>-0.73319000000000001</v>
      </c>
      <c r="U2908">
        <v>0.47976679999999999</v>
      </c>
      <c r="V2908">
        <v>2.3678979999999999E-2</v>
      </c>
      <c r="W2908">
        <v>2.0716439999999999E-2</v>
      </c>
      <c r="X2908">
        <v>0.99950490000000003</v>
      </c>
      <c r="Y2908">
        <v>0.1534316</v>
      </c>
      <c r="Z2908">
        <v>1.830884E-2</v>
      </c>
      <c r="AA2908">
        <v>0.98798969999999997</v>
      </c>
      <c r="AB2908">
        <v>36</v>
      </c>
      <c r="AC2908">
        <v>-0.40219999999999301</v>
      </c>
      <c r="AD2908">
        <v>-0.187691099999999</v>
      </c>
      <c r="AE2908">
        <v>0.12299999999999001</v>
      </c>
      <c r="AF2908">
        <v>0.102445478942659</v>
      </c>
      <c r="AG2908">
        <v>-0.187691099999999</v>
      </c>
      <c r="AH2908">
        <v>0.33544390515549899</v>
      </c>
      <c r="AI2908">
        <v>118.15260464084299</v>
      </c>
      <c r="AJ2908">
        <v>73.017186449770904</v>
      </c>
      <c r="AK2908">
        <v>0.397801003871248</v>
      </c>
      <c r="AL2908">
        <v>88.812950449926504</v>
      </c>
      <c r="AM2908">
        <v>88.6428762022706</v>
      </c>
      <c r="AN2908">
        <v>0.99999995505206096</v>
      </c>
    </row>
    <row r="2909" spans="1:40" x14ac:dyDescent="0.25">
      <c r="A2909" t="str">
        <f>"20190312153942456"</f>
        <v>20190312153942456</v>
      </c>
      <c r="B2909" t="str">
        <f>"1552376382448832"</f>
        <v>1552376382448832</v>
      </c>
      <c r="C2909" t="s">
        <v>40</v>
      </c>
      <c r="D2909">
        <v>4.2469489999999999</v>
      </c>
      <c r="E2909">
        <v>0.52100089999999999</v>
      </c>
      <c r="F2909" t="s">
        <v>41</v>
      </c>
      <c r="G2909">
        <v>-376.57040000000001</v>
      </c>
      <c r="H2909">
        <v>0.95576819999999896</v>
      </c>
      <c r="I2909">
        <v>283.66419999999999</v>
      </c>
      <c r="J2909">
        <v>-376.19490000000002</v>
      </c>
      <c r="K2909">
        <v>1.110225</v>
      </c>
      <c r="L2909">
        <v>283.57830000000001</v>
      </c>
      <c r="M2909">
        <v>-0.99990179999999995</v>
      </c>
      <c r="N2909">
        <v>0</v>
      </c>
      <c r="O2909">
        <v>2.3570129999999999E-4</v>
      </c>
      <c r="P2909">
        <v>-0.9997009</v>
      </c>
      <c r="Q2909">
        <v>6.2216479999999998E-3</v>
      </c>
      <c r="R2909">
        <v>2.3651680000000001E-2</v>
      </c>
      <c r="S2909">
        <v>-2.9967649999999999</v>
      </c>
      <c r="T2909">
        <v>-0.62527630000000001</v>
      </c>
      <c r="U2909">
        <v>0.34551999999999999</v>
      </c>
      <c r="V2909">
        <v>2.340983E-2</v>
      </c>
      <c r="W2909">
        <v>2.0231599999999999E-2</v>
      </c>
      <c r="X2909">
        <v>0.9995212</v>
      </c>
      <c r="Y2909">
        <v>0.1119305</v>
      </c>
      <c r="Z2909">
        <v>1.146732E-2</v>
      </c>
      <c r="AA2909">
        <v>0.99364980000000003</v>
      </c>
      <c r="AB2909">
        <v>36</v>
      </c>
      <c r="AC2909">
        <v>-0.37549999999998801</v>
      </c>
      <c r="AD2909">
        <v>-0.15445680000000001</v>
      </c>
      <c r="AE2909">
        <v>8.5899999999980894E-2</v>
      </c>
      <c r="AF2909">
        <v>7.3925485541894098E-2</v>
      </c>
      <c r="AG2909">
        <v>-0.15445680000000001</v>
      </c>
      <c r="AH2909">
        <v>0.32350584034563901</v>
      </c>
      <c r="AI2909">
        <v>114.959568427883</v>
      </c>
      <c r="AJ2909">
        <v>77.128147076939001</v>
      </c>
      <c r="AK2909">
        <v>0.36602992940001899</v>
      </c>
      <c r="AL2909">
        <v>88.840735594355394</v>
      </c>
      <c r="AM2909">
        <v>88.658318315766095</v>
      </c>
      <c r="AN2909">
        <v>0.99999998351431396</v>
      </c>
    </row>
    <row r="2910" spans="1:40" x14ac:dyDescent="0.25">
      <c r="A2910" t="str">
        <f>"20190312153942480"</f>
        <v>20190312153942480</v>
      </c>
      <c r="B2910" t="str">
        <f>"1552376382468352"</f>
        <v>1552376382468352</v>
      </c>
      <c r="C2910" t="s">
        <v>40</v>
      </c>
      <c r="D2910">
        <v>4.2190159999999999</v>
      </c>
      <c r="E2910">
        <v>0.4758327</v>
      </c>
      <c r="F2910" t="s">
        <v>41</v>
      </c>
      <c r="G2910">
        <v>-376.91379999999998</v>
      </c>
      <c r="H2910">
        <v>0.99682380000000004</v>
      </c>
      <c r="I2910">
        <v>283.62979999999999</v>
      </c>
      <c r="J2910">
        <v>-376.55630000000002</v>
      </c>
      <c r="K2910">
        <v>1.1102270000000001</v>
      </c>
      <c r="L2910">
        <v>283.57830000000001</v>
      </c>
      <c r="M2910">
        <v>-0.99990199999999996</v>
      </c>
      <c r="N2910">
        <v>0</v>
      </c>
      <c r="O2910" s="1">
        <v>9.2639869999999998E-5</v>
      </c>
      <c r="P2910">
        <v>-0.99970870000000001</v>
      </c>
      <c r="Q2910">
        <v>6.1194149999999996E-3</v>
      </c>
      <c r="R2910">
        <v>2.3347670000000001E-2</v>
      </c>
      <c r="S2910">
        <v>-2.99884</v>
      </c>
      <c r="T2910">
        <v>-0.4732421</v>
      </c>
      <c r="U2910">
        <v>0.2130737</v>
      </c>
      <c r="V2910">
        <v>2.3248830000000002E-2</v>
      </c>
      <c r="W2910">
        <v>2.012386E-2</v>
      </c>
      <c r="X2910">
        <v>0.99952719999999995</v>
      </c>
      <c r="Y2910">
        <v>6.9921120000000003E-2</v>
      </c>
      <c r="Z2910">
        <v>5.4618519999999997E-3</v>
      </c>
      <c r="AA2910">
        <v>0.99753760000000002</v>
      </c>
      <c r="AB2910">
        <v>36</v>
      </c>
      <c r="AC2910">
        <v>-0.35749999999995902</v>
      </c>
      <c r="AD2910">
        <v>-0.113403199999999</v>
      </c>
      <c r="AE2910">
        <v>5.1499999999975898E-2</v>
      </c>
      <c r="AF2910">
        <v>4.6848650291903798E-2</v>
      </c>
      <c r="AG2910">
        <v>-0.113403199999999</v>
      </c>
      <c r="AH2910">
        <v>0.32542514068605399</v>
      </c>
      <c r="AI2910">
        <v>109.030398365417</v>
      </c>
      <c r="AJ2910">
        <v>81.807904841700804</v>
      </c>
      <c r="AK2910">
        <v>0.34778815965318699</v>
      </c>
      <c r="AL2910">
        <v>88.846909976247105</v>
      </c>
      <c r="AM2910">
        <v>88.667550325704894</v>
      </c>
      <c r="AN2910">
        <v>1.0000000506887501</v>
      </c>
    </row>
    <row r="2911" spans="1:40" x14ac:dyDescent="0.25">
      <c r="A2911" t="str">
        <f>"20190312153942501"</f>
        <v>20190312153942501</v>
      </c>
      <c r="B2911" t="str">
        <f>"1552376382488848"</f>
        <v>1552376382488848</v>
      </c>
      <c r="C2911" t="s">
        <v>40</v>
      </c>
      <c r="D2911">
        <v>4.2774850000000004</v>
      </c>
      <c r="E2911">
        <v>0.47223690000000001</v>
      </c>
      <c r="F2911" t="s">
        <v>61</v>
      </c>
      <c r="G2911">
        <v>-397.72739999999999</v>
      </c>
      <c r="H2911" s="1">
        <v>2.5753370000000001E-6</v>
      </c>
      <c r="I2911">
        <v>282.64710000000002</v>
      </c>
      <c r="J2911">
        <v>-376.91059999999999</v>
      </c>
      <c r="K2911">
        <v>1.110231</v>
      </c>
      <c r="L2911">
        <v>283.57819999999998</v>
      </c>
      <c r="M2911">
        <v>-0.99990210000000002</v>
      </c>
      <c r="N2911">
        <v>0</v>
      </c>
      <c r="O2911" s="1">
        <v>-4.7563440000000002E-5</v>
      </c>
      <c r="P2911">
        <v>-0.99970930000000002</v>
      </c>
      <c r="Q2911">
        <v>6.1959249999999997E-3</v>
      </c>
      <c r="R2911">
        <v>2.3302159999999999E-2</v>
      </c>
      <c r="S2911">
        <v>-3.0049130000000002</v>
      </c>
      <c r="T2911">
        <v>-0.15757950000000001</v>
      </c>
      <c r="U2911">
        <v>-0.1321716</v>
      </c>
      <c r="V2911">
        <v>2.3343570000000001E-2</v>
      </c>
      <c r="W2911">
        <v>2.019489E-2</v>
      </c>
      <c r="X2911">
        <v>0.99952350000000001</v>
      </c>
      <c r="Y2911">
        <v>-4.3835109999999997E-2</v>
      </c>
      <c r="Z2911">
        <v>-1.145536E-3</v>
      </c>
      <c r="AA2911">
        <v>0.99903810000000004</v>
      </c>
      <c r="AB2911">
        <v>36</v>
      </c>
      <c r="AC2911">
        <v>-20.816800000000001</v>
      </c>
      <c r="AD2911">
        <v>-1.1102284246630001</v>
      </c>
      <c r="AE2911">
        <v>-0.93109999999995796</v>
      </c>
      <c r="AF2911">
        <v>-0.92747689859789195</v>
      </c>
      <c r="AG2911">
        <v>-1.1102284246630001</v>
      </c>
      <c r="AH2911">
        <v>20.757917510689399</v>
      </c>
      <c r="AI2911">
        <v>93.058477869005401</v>
      </c>
      <c r="AJ2911">
        <v>92.558310179374601</v>
      </c>
      <c r="AK2911">
        <v>20.808266624900501</v>
      </c>
      <c r="AL2911">
        <v>88.842839361452803</v>
      </c>
      <c r="AM2911">
        <v>88.662117553719597</v>
      </c>
      <c r="AN2911">
        <v>0.99999999144735296</v>
      </c>
    </row>
    <row r="2912" spans="1:40" x14ac:dyDescent="0.25">
      <c r="A2912" t="str">
        <f>"20190312153942523"</f>
        <v>20190312153942523</v>
      </c>
      <c r="B2912" t="str">
        <f>"1552376382519104"</f>
        <v>1552376382519104</v>
      </c>
      <c r="C2912" t="s">
        <v>40</v>
      </c>
      <c r="D2912">
        <v>4.224145</v>
      </c>
      <c r="E2912">
        <v>0.47090660000000001</v>
      </c>
      <c r="F2912" t="s">
        <v>62</v>
      </c>
      <c r="G2912">
        <v>-410.1592</v>
      </c>
      <c r="H2912" s="1">
        <v>2.4774690000000002E-6</v>
      </c>
      <c r="I2912">
        <v>281.8313</v>
      </c>
      <c r="J2912">
        <v>-377.26839999999999</v>
      </c>
      <c r="K2912">
        <v>1.110233</v>
      </c>
      <c r="L2912">
        <v>283.57799999999997</v>
      </c>
      <c r="M2912">
        <v>-0.99990210000000002</v>
      </c>
      <c r="N2912">
        <v>0</v>
      </c>
      <c r="O2912">
        <v>-1.891404E-4</v>
      </c>
      <c r="P2912">
        <v>-0.99970590000000004</v>
      </c>
      <c r="Q2912">
        <v>6.8628990000000004E-3</v>
      </c>
      <c r="R2912">
        <v>2.326222E-2</v>
      </c>
      <c r="S2912">
        <v>-3.0052189999999999</v>
      </c>
      <c r="T2912">
        <v>-0.10034940000000001</v>
      </c>
      <c r="U2912">
        <v>-0.15789790000000001</v>
      </c>
      <c r="V2912">
        <v>2.3444909999999999E-2</v>
      </c>
      <c r="W2912">
        <v>2.085708E-2</v>
      </c>
      <c r="X2912">
        <v>0.99950749999999999</v>
      </c>
      <c r="Y2912">
        <v>-5.2251039999999999E-2</v>
      </c>
      <c r="Z2912">
        <v>-8.6522230000000001E-4</v>
      </c>
      <c r="AA2912">
        <v>0.99863360000000001</v>
      </c>
      <c r="AB2912">
        <v>36</v>
      </c>
      <c r="AC2912">
        <v>-32.890799999999999</v>
      </c>
      <c r="AD2912">
        <v>-1.1102305225309901</v>
      </c>
      <c r="AE2912">
        <v>-1.7466999999999699</v>
      </c>
      <c r="AF2912">
        <v>-1.73850309543288</v>
      </c>
      <c r="AG2912">
        <v>-1.1102305225309901</v>
      </c>
      <c r="AH2912">
        <v>32.853801363181802</v>
      </c>
      <c r="AI2912">
        <v>91.932761210642596</v>
      </c>
      <c r="AJ2912">
        <v>93.029058095801801</v>
      </c>
      <c r="AK2912">
        <v>32.918494328225201</v>
      </c>
      <c r="AL2912">
        <v>88.804890638049997</v>
      </c>
      <c r="AM2912">
        <v>88.656290110227204</v>
      </c>
      <c r="AN2912">
        <v>0.99999996207364095</v>
      </c>
    </row>
    <row r="2913" spans="1:40" x14ac:dyDescent="0.25">
      <c r="A2913" t="str">
        <f>"20190312153942545"</f>
        <v>20190312153942545</v>
      </c>
      <c r="B2913" t="str">
        <f>"1552376382538625"</f>
        <v>1552376382538625</v>
      </c>
      <c r="C2913" t="s">
        <v>40</v>
      </c>
      <c r="D2913">
        <v>4.2174940000000003</v>
      </c>
      <c r="E2913">
        <v>0.47087879999999899</v>
      </c>
      <c r="F2913" t="s">
        <v>62</v>
      </c>
      <c r="G2913">
        <v>-419.72879999999998</v>
      </c>
      <c r="H2913" s="1">
        <v>4.2293079999999997E-6</v>
      </c>
      <c r="I2913">
        <v>281.20960000000002</v>
      </c>
      <c r="J2913">
        <v>-377.63260000000002</v>
      </c>
      <c r="K2913">
        <v>1.1102289999999999</v>
      </c>
      <c r="L2913">
        <v>283.57780000000002</v>
      </c>
      <c r="M2913">
        <v>-0.99990219999999996</v>
      </c>
      <c r="N2913">
        <v>0</v>
      </c>
      <c r="O2913">
        <v>-3.334597E-4</v>
      </c>
      <c r="P2913">
        <v>-0.99969640000000004</v>
      </c>
      <c r="Q2913">
        <v>7.1505919999999999E-3</v>
      </c>
      <c r="R2913">
        <v>2.357648E-2</v>
      </c>
      <c r="S2913">
        <v>-3.0053100000000001</v>
      </c>
      <c r="T2913">
        <v>-7.8580979999999995E-2</v>
      </c>
      <c r="U2913">
        <v>-0.16763310000000001</v>
      </c>
      <c r="V2913">
        <v>2.390337E-2</v>
      </c>
      <c r="W2913">
        <v>2.1140260000000001E-2</v>
      </c>
      <c r="X2913">
        <v>0.99949069999999995</v>
      </c>
      <c r="Y2913">
        <v>-5.5340670000000002E-2</v>
      </c>
      <c r="Z2913">
        <v>-7.1410979999999896E-4</v>
      </c>
      <c r="AA2913">
        <v>0.99846729999999995</v>
      </c>
      <c r="AB2913">
        <v>36</v>
      </c>
      <c r="AC2913">
        <v>-42.096199999999897</v>
      </c>
      <c r="AD2913">
        <v>-1.1102247706919901</v>
      </c>
      <c r="AE2913">
        <v>-2.3681999999999999</v>
      </c>
      <c r="AF2913">
        <v>-2.3525299411069698</v>
      </c>
      <c r="AG2913">
        <v>-1.1102247706919901</v>
      </c>
      <c r="AH2913">
        <v>42.0678189598516</v>
      </c>
      <c r="AI2913">
        <v>91.509402408162302</v>
      </c>
      <c r="AJ2913">
        <v>93.200778963956694</v>
      </c>
      <c r="AK2913">
        <v>42.148171825170699</v>
      </c>
      <c r="AL2913">
        <v>88.788662050445694</v>
      </c>
      <c r="AM2913">
        <v>88.630001061485501</v>
      </c>
      <c r="AN2913">
        <v>0.99999997053835599</v>
      </c>
    </row>
    <row r="2914" spans="1:40" x14ac:dyDescent="0.25">
      <c r="A2914" t="str">
        <f>"20190312153942567"</f>
        <v>20190312153942567</v>
      </c>
      <c r="B2914" t="str">
        <f>"1552376382559128"</f>
        <v>1552376382559128</v>
      </c>
      <c r="C2914" t="s">
        <v>40</v>
      </c>
      <c r="D2914">
        <v>4.1730689999999999</v>
      </c>
      <c r="E2914">
        <v>0.4710511</v>
      </c>
      <c r="F2914" t="s">
        <v>62</v>
      </c>
      <c r="G2914">
        <v>-423.29689999999999</v>
      </c>
      <c r="H2914" s="1">
        <v>3.6917120000000001E-6</v>
      </c>
      <c r="I2914">
        <v>281.04829999999998</v>
      </c>
      <c r="J2914">
        <v>-377.9853</v>
      </c>
      <c r="K2914">
        <v>1.1102320000000001</v>
      </c>
      <c r="L2914">
        <v>283.57749999999999</v>
      </c>
      <c r="M2914">
        <v>-0.99990210000000002</v>
      </c>
      <c r="N2914">
        <v>0</v>
      </c>
      <c r="O2914">
        <v>-4.7313360000000003E-4</v>
      </c>
      <c r="P2914">
        <v>-0.99968319999999999</v>
      </c>
      <c r="Q2914">
        <v>8.0508760000000002E-3</v>
      </c>
      <c r="R2914">
        <v>2.3841890000000001E-2</v>
      </c>
      <c r="S2914">
        <v>-3.0053709999999998</v>
      </c>
      <c r="T2914">
        <v>-7.3068859999999999E-2</v>
      </c>
      <c r="U2914">
        <v>-0.16647339999999999</v>
      </c>
      <c r="V2914">
        <v>2.430823E-2</v>
      </c>
      <c r="W2914">
        <v>2.2036030000000002E-2</v>
      </c>
      <c r="X2914">
        <v>0.99946159999999995</v>
      </c>
      <c r="Y2914">
        <v>-5.481871E-2</v>
      </c>
      <c r="Z2914">
        <v>-6.5429469999999995E-4</v>
      </c>
      <c r="AA2914">
        <v>0.9984961</v>
      </c>
      <c r="AB2914">
        <v>36</v>
      </c>
      <c r="AC2914">
        <v>-45.311599999999999</v>
      </c>
      <c r="AD2914">
        <v>-1.11022830828799</v>
      </c>
      <c r="AE2914">
        <v>-2.5291999999999999</v>
      </c>
      <c r="AF2914">
        <v>-2.5062592159848802</v>
      </c>
      <c r="AG2914">
        <v>-1.11022830828799</v>
      </c>
      <c r="AH2914">
        <v>45.285688793288003</v>
      </c>
      <c r="AI2914">
        <v>91.402242580344506</v>
      </c>
      <c r="AJ2914">
        <v>93.167705741001896</v>
      </c>
      <c r="AK2914">
        <v>45.368574494210897</v>
      </c>
      <c r="AL2914">
        <v>88.737326259007403</v>
      </c>
      <c r="AM2914">
        <v>88.606765416744693</v>
      </c>
      <c r="AN2914">
        <v>0.99999998326922601</v>
      </c>
    </row>
    <row r="2915" spans="1:40" x14ac:dyDescent="0.25">
      <c r="A2915" t="str">
        <f>"20190312153942590"</f>
        <v>20190312153942590</v>
      </c>
      <c r="B2915" t="str">
        <f>"1552376382578644"</f>
        <v>1552376382578644</v>
      </c>
      <c r="C2915" t="s">
        <v>40</v>
      </c>
      <c r="D2915">
        <v>4.1948699999999999</v>
      </c>
      <c r="E2915">
        <v>0.47114650000000002</v>
      </c>
      <c r="F2915" t="s">
        <v>62</v>
      </c>
      <c r="G2915">
        <v>-425.45549999999997</v>
      </c>
      <c r="H2915" s="1">
        <v>3.3145389999999998E-6</v>
      </c>
      <c r="I2915">
        <v>280.98270000000002</v>
      </c>
      <c r="J2915">
        <v>-378.34039999999999</v>
      </c>
      <c r="K2915">
        <v>1.110225</v>
      </c>
      <c r="L2915">
        <v>283.5772</v>
      </c>
      <c r="M2915">
        <v>-0.99990219999999996</v>
      </c>
      <c r="N2915">
        <v>0</v>
      </c>
      <c r="O2915">
        <v>-6.1388190000000002E-4</v>
      </c>
      <c r="P2915">
        <v>-0.99968749999999995</v>
      </c>
      <c r="Q2915">
        <v>8.4379409999999992E-3</v>
      </c>
      <c r="R2915">
        <v>2.353653E-2</v>
      </c>
      <c r="S2915">
        <v>-3.0053709999999998</v>
      </c>
      <c r="T2915">
        <v>-7.0289249999999998E-2</v>
      </c>
      <c r="U2915">
        <v>-0.16427610000000001</v>
      </c>
      <c r="V2915">
        <v>2.4143479999999998E-2</v>
      </c>
      <c r="W2915">
        <v>2.2419310000000001E-2</v>
      </c>
      <c r="X2915">
        <v>0.99945709999999999</v>
      </c>
      <c r="Y2915">
        <v>-5.3951800000000001E-2</v>
      </c>
      <c r="Z2915">
        <v>-6.1600659999999998E-4</v>
      </c>
      <c r="AA2915">
        <v>0.99854330000000002</v>
      </c>
      <c r="AB2915">
        <v>36</v>
      </c>
      <c r="AC2915">
        <v>-47.115099999999899</v>
      </c>
      <c r="AD2915">
        <v>-1.1102216854610001</v>
      </c>
      <c r="AE2915">
        <v>-2.59449999999998</v>
      </c>
      <c r="AF2915">
        <v>-2.5641541035008801</v>
      </c>
      <c r="AG2915">
        <v>-1.1102216854610001</v>
      </c>
      <c r="AH2915">
        <v>47.090615340373603</v>
      </c>
      <c r="AI2915">
        <v>91.348574310836</v>
      </c>
      <c r="AJ2915">
        <v>93.116762552105996</v>
      </c>
      <c r="AK2915">
        <v>47.173440955609799</v>
      </c>
      <c r="AL2915">
        <v>88.715360544534406</v>
      </c>
      <c r="AM2915">
        <v>88.616198207656694</v>
      </c>
      <c r="AN2915">
        <v>1.00000001391389</v>
      </c>
    </row>
    <row r="2916" spans="1:40" x14ac:dyDescent="0.25">
      <c r="A2916" t="str">
        <f>"20190312153942612"</f>
        <v>20190312153942612</v>
      </c>
      <c r="B2916" t="str">
        <f>"1552376382599136"</f>
        <v>1552376382599136</v>
      </c>
      <c r="C2916" t="s">
        <v>40</v>
      </c>
      <c r="D2916">
        <v>4.192869</v>
      </c>
      <c r="E2916">
        <v>0.47116950000000002</v>
      </c>
      <c r="F2916" t="s">
        <v>62</v>
      </c>
      <c r="G2916">
        <v>-427.2885</v>
      </c>
      <c r="H2916" s="1">
        <v>2.9965809999999999E-6</v>
      </c>
      <c r="I2916">
        <v>280.90069999999997</v>
      </c>
      <c r="J2916">
        <v>-378.70310000000001</v>
      </c>
      <c r="K2916">
        <v>1.110212</v>
      </c>
      <c r="L2916">
        <v>283.57679999999999</v>
      </c>
      <c r="M2916">
        <v>-0.99990210000000002</v>
      </c>
      <c r="N2916">
        <v>0</v>
      </c>
      <c r="O2916">
        <v>-7.5773089999999995E-4</v>
      </c>
      <c r="P2916">
        <v>-0.99970590000000004</v>
      </c>
      <c r="Q2916">
        <v>8.9385790000000003E-3</v>
      </c>
      <c r="R2916">
        <v>2.255068E-2</v>
      </c>
      <c r="S2916">
        <v>-3.0053709999999998</v>
      </c>
      <c r="T2916">
        <v>-6.8166729999999995E-2</v>
      </c>
      <c r="U2916">
        <v>-0.16433719999999999</v>
      </c>
      <c r="V2916">
        <v>2.3301430000000001E-2</v>
      </c>
      <c r="W2916">
        <v>2.291605E-2</v>
      </c>
      <c r="X2916">
        <v>0.99946579999999996</v>
      </c>
      <c r="Y2916">
        <v>-5.3829299999999997E-2</v>
      </c>
      <c r="Z2916">
        <v>-5.9276139999999897E-4</v>
      </c>
      <c r="AA2916">
        <v>0.99855000000000005</v>
      </c>
      <c r="AB2916">
        <v>36</v>
      </c>
      <c r="AC2916">
        <v>-48.5853999999999</v>
      </c>
      <c r="AD2916">
        <v>-1.110209003419</v>
      </c>
      <c r="AE2916">
        <v>-2.6761000000000101</v>
      </c>
      <c r="AF2916">
        <v>-2.6379077530327701</v>
      </c>
      <c r="AG2916">
        <v>-1.110209003419</v>
      </c>
      <c r="AH2916">
        <v>48.5621338347121</v>
      </c>
      <c r="AI2916">
        <v>91.307718906837593</v>
      </c>
      <c r="AJ2916">
        <v>93.109265902042793</v>
      </c>
      <c r="AK2916">
        <v>48.6463972347929</v>
      </c>
      <c r="AL2916">
        <v>88.686892097731899</v>
      </c>
      <c r="AM2916">
        <v>88.664454764649506</v>
      </c>
      <c r="AN2916">
        <v>0.99999999367864301</v>
      </c>
    </row>
    <row r="2917" spans="1:40" x14ac:dyDescent="0.25">
      <c r="A2917" t="str">
        <f>"20190312153942635"</f>
        <v>20190312153942635</v>
      </c>
      <c r="B2917" t="str">
        <f>"1552376382628417"</f>
        <v>1552376382628417</v>
      </c>
      <c r="C2917" t="s">
        <v>40</v>
      </c>
      <c r="D2917">
        <v>4.1890460000000003</v>
      </c>
      <c r="E2917">
        <v>0.47150110000000001</v>
      </c>
      <c r="F2917" t="s">
        <v>62</v>
      </c>
      <c r="G2917">
        <v>-429.12520000000001</v>
      </c>
      <c r="H2917" s="1">
        <v>2.6821640000000002E-6</v>
      </c>
      <c r="I2917">
        <v>280.7704</v>
      </c>
      <c r="J2917">
        <v>-379.0718</v>
      </c>
      <c r="K2917">
        <v>1.110222</v>
      </c>
      <c r="L2917">
        <v>283.57639999999998</v>
      </c>
      <c r="M2917">
        <v>-0.99990210000000002</v>
      </c>
      <c r="N2917">
        <v>0</v>
      </c>
      <c r="O2917">
        <v>-9.0372460000000005E-4</v>
      </c>
      <c r="P2917">
        <v>-0.99971790000000005</v>
      </c>
      <c r="Q2917">
        <v>9.6479229999999992E-3</v>
      </c>
      <c r="R2917">
        <v>2.1713400000000001E-2</v>
      </c>
      <c r="S2917">
        <v>-3.0052490000000001</v>
      </c>
      <c r="T2917">
        <v>-6.6170569999999998E-2</v>
      </c>
      <c r="U2917">
        <v>-0.16726679999999999</v>
      </c>
      <c r="V2917">
        <v>2.2609870000000001E-2</v>
      </c>
      <c r="W2917">
        <v>2.3621570000000001E-2</v>
      </c>
      <c r="X2917">
        <v>0.9994653</v>
      </c>
      <c r="Y2917">
        <v>-5.4656799999999998E-2</v>
      </c>
      <c r="Z2917">
        <v>-5.8130529999999897E-4</v>
      </c>
      <c r="AA2917">
        <v>0.99850510000000003</v>
      </c>
      <c r="AB2917">
        <v>36</v>
      </c>
      <c r="AC2917">
        <v>-50.053400000000003</v>
      </c>
      <c r="AD2917">
        <v>-1.110219317836</v>
      </c>
      <c r="AE2917">
        <v>-2.8059999999999801</v>
      </c>
      <c r="AF2917">
        <v>-2.7594066256956502</v>
      </c>
      <c r="AG2917">
        <v>-1.110219317836</v>
      </c>
      <c r="AH2917">
        <v>50.031378165294498</v>
      </c>
      <c r="AI2917">
        <v>91.269282676891805</v>
      </c>
      <c r="AJ2917">
        <v>93.156865556708695</v>
      </c>
      <c r="AK2917">
        <v>50.119713815806399</v>
      </c>
      <c r="AL2917">
        <v>88.646457886888101</v>
      </c>
      <c r="AM2917">
        <v>88.704077859908296</v>
      </c>
      <c r="AN2917">
        <v>1.0000000353473799</v>
      </c>
    </row>
    <row r="2918" spans="1:40" x14ac:dyDescent="0.25">
      <c r="A2918" t="str">
        <f>"20190312153942657"</f>
        <v>20190312153942657</v>
      </c>
      <c r="B2918" t="str">
        <f>"1552376382648913"</f>
        <v>1552376382648913</v>
      </c>
      <c r="C2918" t="s">
        <v>40</v>
      </c>
      <c r="D2918">
        <v>4.1781839999999999</v>
      </c>
      <c r="E2918">
        <v>0.47171459999999998</v>
      </c>
      <c r="F2918" t="s">
        <v>62</v>
      </c>
      <c r="G2918">
        <v>-433.81740000000002</v>
      </c>
      <c r="H2918" s="1">
        <v>4.2667430000000003E-6</v>
      </c>
      <c r="I2918">
        <v>280.5342</v>
      </c>
      <c r="J2918">
        <v>-379.42160000000001</v>
      </c>
      <c r="K2918">
        <v>1.110225</v>
      </c>
      <c r="L2918">
        <v>283.57589999999999</v>
      </c>
      <c r="M2918">
        <v>-0.99990190000000001</v>
      </c>
      <c r="N2918">
        <v>0</v>
      </c>
      <c r="O2918">
        <v>-1.0418599999999999E-3</v>
      </c>
      <c r="P2918">
        <v>-0.99971429999999994</v>
      </c>
      <c r="Q2918">
        <v>1.055119E-2</v>
      </c>
      <c r="R2918">
        <v>2.1451350000000001E-2</v>
      </c>
      <c r="S2918">
        <v>-3.0050659999999998</v>
      </c>
      <c r="T2918">
        <v>-6.0941460000000003E-2</v>
      </c>
      <c r="U2918">
        <v>-0.16699220000000001</v>
      </c>
      <c r="V2918">
        <v>2.2485640000000001E-2</v>
      </c>
      <c r="W2918">
        <v>2.4521580000000001E-2</v>
      </c>
      <c r="X2918">
        <v>0.99944639999999996</v>
      </c>
      <c r="Y2918">
        <v>-5.4433290000000002E-2</v>
      </c>
      <c r="Z2918">
        <v>-5.3034800000000004E-4</v>
      </c>
      <c r="AA2918">
        <v>0.99851730000000005</v>
      </c>
      <c r="AB2918">
        <v>36</v>
      </c>
      <c r="AC2918">
        <v>-54.395800000000001</v>
      </c>
      <c r="AD2918">
        <v>-1.110220733257</v>
      </c>
      <c r="AE2918">
        <v>-3.0416999999999899</v>
      </c>
      <c r="AF2918">
        <v>-2.9837809321866202</v>
      </c>
      <c r="AG2918">
        <v>-1.110220733257</v>
      </c>
      <c r="AH2918">
        <v>54.376358856163499</v>
      </c>
      <c r="AI2918">
        <v>91.167908541750705</v>
      </c>
      <c r="AJ2918">
        <v>93.140827765768407</v>
      </c>
      <c r="AK2918">
        <v>54.469477151723297</v>
      </c>
      <c r="AL2918">
        <v>88.594876129235203</v>
      </c>
      <c r="AM2918">
        <v>88.711171536178199</v>
      </c>
      <c r="AN2918">
        <v>1.0000000091824299</v>
      </c>
    </row>
    <row r="2919" spans="1:40" x14ac:dyDescent="0.25">
      <c r="A2919" t="str">
        <f>"20190312153942681"</f>
        <v>20190312153942681</v>
      </c>
      <c r="B2919" t="str">
        <f>"1552376382668432"</f>
        <v>1552376382668432</v>
      </c>
      <c r="C2919" t="s">
        <v>40</v>
      </c>
      <c r="D2919">
        <v>4.1788379999999998</v>
      </c>
      <c r="E2919">
        <v>0.47182639999999998</v>
      </c>
      <c r="F2919" t="s">
        <v>62</v>
      </c>
      <c r="G2919">
        <v>-437.72269999999997</v>
      </c>
      <c r="H2919" s="1">
        <v>6.0140380000000001E-6</v>
      </c>
      <c r="I2919">
        <v>280.35739999999998</v>
      </c>
      <c r="J2919">
        <v>-379.7894</v>
      </c>
      <c r="K2919">
        <v>1.110223</v>
      </c>
      <c r="L2919">
        <v>283.5754</v>
      </c>
      <c r="M2919">
        <v>-0.99990190000000001</v>
      </c>
      <c r="N2919">
        <v>0</v>
      </c>
      <c r="O2919">
        <v>-1.1880969999999999E-3</v>
      </c>
      <c r="P2919">
        <v>-0.99972130000000003</v>
      </c>
      <c r="Q2919">
        <v>1.070081E-2</v>
      </c>
      <c r="R2919">
        <v>2.1056950000000001E-2</v>
      </c>
      <c r="S2919">
        <v>-3.0050050000000001</v>
      </c>
      <c r="T2919">
        <v>-5.7223799999999998E-2</v>
      </c>
      <c r="U2919">
        <v>-0.1658936</v>
      </c>
      <c r="V2919">
        <v>2.2237369999999999E-2</v>
      </c>
      <c r="W2919">
        <v>2.4667919999999999E-2</v>
      </c>
      <c r="X2919">
        <v>0.99944840000000001</v>
      </c>
      <c r="Y2919">
        <v>-5.3925840000000003E-2</v>
      </c>
      <c r="Z2919">
        <v>-4.9040580000000002E-4</v>
      </c>
      <c r="AA2919">
        <v>0.99854480000000001</v>
      </c>
      <c r="AB2919">
        <v>36</v>
      </c>
      <c r="AC2919">
        <v>-57.933299999999903</v>
      </c>
      <c r="AD2919">
        <v>-1.1102169859619999</v>
      </c>
      <c r="AE2919">
        <v>-3.2180000000000102</v>
      </c>
      <c r="AF2919">
        <v>-3.14800810112123</v>
      </c>
      <c r="AG2919">
        <v>-1.1102169859619999</v>
      </c>
      <c r="AH2919">
        <v>57.915878716674698</v>
      </c>
      <c r="AI2919">
        <v>91.0965772060257</v>
      </c>
      <c r="AJ2919">
        <v>93.111241120471902</v>
      </c>
      <c r="AK2919">
        <v>58.011994831114201</v>
      </c>
      <c r="AL2919">
        <v>88.586488993430507</v>
      </c>
      <c r="AM2919">
        <v>88.7253996670823</v>
      </c>
      <c r="AN2919">
        <v>1.0000000555821</v>
      </c>
    </row>
    <row r="2920" spans="1:40" x14ac:dyDescent="0.25">
      <c r="A2920" t="str">
        <f>"20190312153942702"</f>
        <v>20190312153942702</v>
      </c>
      <c r="B2920" t="str">
        <f>"1552376382698688"</f>
        <v>1552376382698688</v>
      </c>
      <c r="C2920" t="s">
        <v>40</v>
      </c>
      <c r="D2920">
        <v>4.13192</v>
      </c>
      <c r="E2920">
        <v>0.47198600000000002</v>
      </c>
      <c r="F2920" t="s">
        <v>62</v>
      </c>
      <c r="G2920">
        <v>-439.15449999999998</v>
      </c>
      <c r="H2920" s="1">
        <v>6.6548920000000002E-6</v>
      </c>
      <c r="I2920">
        <v>280.28960000000001</v>
      </c>
      <c r="J2920">
        <v>-380.14409999999998</v>
      </c>
      <c r="K2920">
        <v>1.1102270000000001</v>
      </c>
      <c r="L2920">
        <v>283.57490000000001</v>
      </c>
      <c r="M2920">
        <v>-0.99990159999999995</v>
      </c>
      <c r="N2920">
        <v>0</v>
      </c>
      <c r="O2920">
        <v>-1.328615E-3</v>
      </c>
      <c r="P2920">
        <v>-0.99970970000000003</v>
      </c>
      <c r="Q2920">
        <v>1.1060489999999999E-2</v>
      </c>
      <c r="R2920">
        <v>2.1400889999999999E-2</v>
      </c>
      <c r="S2920">
        <v>-3.0049739999999998</v>
      </c>
      <c r="T2920">
        <v>-5.6197520000000001E-2</v>
      </c>
      <c r="U2920">
        <v>-0.16632079999999999</v>
      </c>
      <c r="V2920">
        <v>2.2721580000000002E-2</v>
      </c>
      <c r="W2920">
        <v>2.5024959999999999E-2</v>
      </c>
      <c r="X2920">
        <v>0.9994286</v>
      </c>
      <c r="Y2920">
        <v>-5.392798E-2</v>
      </c>
      <c r="Z2920">
        <v>-4.7900939999999999E-4</v>
      </c>
      <c r="AA2920">
        <v>0.99854469999999995</v>
      </c>
      <c r="AB2920">
        <v>36</v>
      </c>
      <c r="AC2920">
        <v>-59.010399999999997</v>
      </c>
      <c r="AD2920">
        <v>-1.1102203451079999</v>
      </c>
      <c r="AE2920">
        <v>-3.2852999999999999</v>
      </c>
      <c r="AF2920">
        <v>-3.2057561292413901</v>
      </c>
      <c r="AG2920">
        <v>-1.1102203451079999</v>
      </c>
      <c r="AH2920">
        <v>58.9938959358131</v>
      </c>
      <c r="AI2920">
        <v>91.076547900209704</v>
      </c>
      <c r="AJ2920">
        <v>93.110420515708995</v>
      </c>
      <c r="AK2920">
        <v>59.091363322066002</v>
      </c>
      <c r="AL2920">
        <v>88.566025744713002</v>
      </c>
      <c r="AM2920">
        <v>88.6976294098545</v>
      </c>
      <c r="AN2920">
        <v>1.00000002265932</v>
      </c>
    </row>
    <row r="2921" spans="1:40" x14ac:dyDescent="0.25">
      <c r="A2921" t="str">
        <f>"20190312153942724"</f>
        <v>20190312153942724</v>
      </c>
      <c r="B2921" t="str">
        <f>"1552376382718209"</f>
        <v>1552376382718209</v>
      </c>
      <c r="C2921" t="s">
        <v>40</v>
      </c>
      <c r="D2921">
        <v>4.2004539999999997</v>
      </c>
      <c r="E2921">
        <v>0.47185060000000001</v>
      </c>
      <c r="F2921" t="s">
        <v>61</v>
      </c>
      <c r="G2921">
        <v>-440.7217</v>
      </c>
      <c r="H2921" s="1">
        <v>-9.627717999999999E-7</v>
      </c>
      <c r="I2921">
        <v>280.2706</v>
      </c>
      <c r="J2921">
        <v>-380.49599999999998</v>
      </c>
      <c r="K2921">
        <v>1.1102289999999999</v>
      </c>
      <c r="L2921">
        <v>283.57420000000002</v>
      </c>
      <c r="M2921">
        <v>-0.99990140000000005</v>
      </c>
      <c r="N2921">
        <v>0</v>
      </c>
      <c r="O2921">
        <v>-1.4684170000000001E-3</v>
      </c>
      <c r="P2921">
        <v>-0.99970400000000004</v>
      </c>
      <c r="Q2921">
        <v>1.0727159999999999E-2</v>
      </c>
      <c r="R2921">
        <v>2.1838759999999999E-2</v>
      </c>
      <c r="S2921">
        <v>-3.0049739999999998</v>
      </c>
      <c r="T2921">
        <v>-5.5073259999999999E-2</v>
      </c>
      <c r="U2921">
        <v>-0.1639099</v>
      </c>
      <c r="V2921">
        <v>2.3299500000000001E-2</v>
      </c>
      <c r="W2921">
        <v>2.46889E-2</v>
      </c>
      <c r="X2921">
        <v>0.99942359999999997</v>
      </c>
      <c r="Y2921">
        <v>-5.2990160000000001E-2</v>
      </c>
      <c r="Z2921">
        <v>-4.5829129999999999E-4</v>
      </c>
      <c r="AA2921">
        <v>0.99859489999999995</v>
      </c>
      <c r="AB2921">
        <v>36</v>
      </c>
      <c r="AC2921">
        <v>-60.225700000000003</v>
      </c>
      <c r="AD2921">
        <v>-1.1102299627718</v>
      </c>
      <c r="AE2921">
        <v>-3.3036000000000101</v>
      </c>
      <c r="AF2921">
        <v>-3.2140624111874199</v>
      </c>
      <c r="AG2921">
        <v>-1.1102299627718</v>
      </c>
      <c r="AH2921">
        <v>60.210086758171002</v>
      </c>
      <c r="AI2921">
        <v>91.054871031683405</v>
      </c>
      <c r="AJ2921">
        <v>93.055594255266399</v>
      </c>
      <c r="AK2921">
        <v>60.306030835893402</v>
      </c>
      <c r="AL2921">
        <v>88.585286441243497</v>
      </c>
      <c r="AM2921">
        <v>88.664508977085006</v>
      </c>
      <c r="AN2921">
        <v>0.99999997036020905</v>
      </c>
    </row>
    <row r="2922" spans="1:40" x14ac:dyDescent="0.25">
      <c r="A2922" t="str">
        <f>"20190312153942746"</f>
        <v>20190312153942746</v>
      </c>
      <c r="B2922" t="str">
        <f>"1552376382738704"</f>
        <v>1552376382738704</v>
      </c>
      <c r="C2922" t="s">
        <v>40</v>
      </c>
      <c r="D2922">
        <v>4.132225</v>
      </c>
      <c r="E2922">
        <v>0.43928929999999999</v>
      </c>
      <c r="F2922" t="s">
        <v>61</v>
      </c>
      <c r="G2922">
        <v>-439.96929999999998</v>
      </c>
      <c r="H2922" s="1">
        <v>-1.3660379999999999E-6</v>
      </c>
      <c r="I2922">
        <v>280.33580000000001</v>
      </c>
      <c r="J2922">
        <v>-380.85449999999997</v>
      </c>
      <c r="K2922">
        <v>1.1102270000000001</v>
      </c>
      <c r="L2922">
        <v>283.57350000000002</v>
      </c>
      <c r="M2922">
        <v>-0.99990129999999999</v>
      </c>
      <c r="N2922">
        <v>0</v>
      </c>
      <c r="O2922">
        <v>-1.6109609999999999E-3</v>
      </c>
      <c r="P2922">
        <v>-0.99970119999999896</v>
      </c>
      <c r="Q2922">
        <v>1.0697399999999999E-2</v>
      </c>
      <c r="R2922">
        <v>2.1984050000000002E-2</v>
      </c>
      <c r="S2922">
        <v>-3.005096</v>
      </c>
      <c r="T2922">
        <v>-5.6098339999999997E-2</v>
      </c>
      <c r="U2922">
        <v>-0.16363529999999901</v>
      </c>
      <c r="V2922">
        <v>2.3587250000000001E-2</v>
      </c>
      <c r="W2922">
        <v>2.4656959999999999E-2</v>
      </c>
      <c r="X2922">
        <v>0.99941769999999996</v>
      </c>
      <c r="Y2922">
        <v>-5.2754339999999997E-2</v>
      </c>
      <c r="Z2922">
        <v>-4.6194409999999997E-4</v>
      </c>
      <c r="AA2922">
        <v>0.99860740000000003</v>
      </c>
      <c r="AB2922">
        <v>36</v>
      </c>
      <c r="AC2922">
        <v>-59.114800000000002</v>
      </c>
      <c r="AD2922">
        <v>-1.1102283660379999</v>
      </c>
      <c r="AE2922">
        <v>-3.23770000000001</v>
      </c>
      <c r="AF2922">
        <v>-3.14135017535855</v>
      </c>
      <c r="AG2922">
        <v>-1.1102283660379999</v>
      </c>
      <c r="AH2922">
        <v>59.099156382707498</v>
      </c>
      <c r="AI2922">
        <v>91.074707016224593</v>
      </c>
      <c r="AJ2922">
        <v>93.042630347148005</v>
      </c>
      <c r="AK2922">
        <v>59.192997669459999</v>
      </c>
      <c r="AL2922">
        <v>88.587117112247896</v>
      </c>
      <c r="AM2922">
        <v>88.648013701518096</v>
      </c>
      <c r="AN2922">
        <v>1.0000000315561399</v>
      </c>
    </row>
    <row r="2923" spans="1:40" x14ac:dyDescent="0.25">
      <c r="A2923" t="str">
        <f>"20190312153942758"</f>
        <v>20190312153942758</v>
      </c>
      <c r="B2923" t="str">
        <f>"1552376382748464"</f>
        <v>1552376382748464</v>
      </c>
      <c r="C2923" t="s">
        <v>40</v>
      </c>
      <c r="D2923">
        <v>4.0613960000000002</v>
      </c>
      <c r="E2923">
        <v>0.4361237</v>
      </c>
      <c r="F2923" t="s">
        <v>67</v>
      </c>
      <c r="G2923">
        <v>-512.82590000000005</v>
      </c>
      <c r="H2923">
        <v>2.232253</v>
      </c>
      <c r="I2923">
        <v>265.19600000000003</v>
      </c>
      <c r="J2923">
        <v>-381.041</v>
      </c>
      <c r="K2923">
        <v>1.1102270000000001</v>
      </c>
      <c r="L2923">
        <v>283.57319999999999</v>
      </c>
      <c r="M2923">
        <v>-0.99990120000000005</v>
      </c>
      <c r="N2923">
        <v>0</v>
      </c>
      <c r="O2923">
        <v>-1.6849740000000001E-3</v>
      </c>
      <c r="P2923">
        <v>-0.99969839999999999</v>
      </c>
      <c r="Q2923">
        <v>1.065346E-2</v>
      </c>
      <c r="R2923">
        <v>2.2133449999999999E-2</v>
      </c>
      <c r="S2923">
        <v>-3.009827</v>
      </c>
      <c r="T2923">
        <v>2.5591369999999999E-2</v>
      </c>
      <c r="U2923">
        <v>-0.41912840000000001</v>
      </c>
      <c r="V2923">
        <v>2.3810709999999999E-2</v>
      </c>
      <c r="W2923">
        <v>2.461168E-2</v>
      </c>
      <c r="X2923">
        <v>0.99941349999999995</v>
      </c>
      <c r="Y2923">
        <v>-0.13624849999999999</v>
      </c>
      <c r="Z2923">
        <v>5.6218390000000004E-4</v>
      </c>
      <c r="AA2923">
        <v>0.99067459999999996</v>
      </c>
      <c r="AB2923">
        <v>36</v>
      </c>
      <c r="AC2923">
        <v>-131.78489999999999</v>
      </c>
      <c r="AD2923">
        <v>1.122026</v>
      </c>
      <c r="AE2923">
        <v>-18.377199999999998</v>
      </c>
      <c r="AF2923">
        <v>-18.153807294442402</v>
      </c>
      <c r="AG2923">
        <v>1.122026</v>
      </c>
      <c r="AH2923">
        <v>131.80630869730399</v>
      </c>
      <c r="AI2923">
        <v>89.516831735100595</v>
      </c>
      <c r="AJ2923">
        <v>97.842062682153298</v>
      </c>
      <c r="AK2923">
        <v>133.05533688671599</v>
      </c>
      <c r="AL2923">
        <v>88.589712228331393</v>
      </c>
      <c r="AM2923">
        <v>88.635204393058302</v>
      </c>
      <c r="AN2923">
        <v>1.0000000143426799</v>
      </c>
    </row>
    <row r="2924" spans="1:40" x14ac:dyDescent="0.25">
      <c r="A2924" t="str">
        <f>"20190312153942769"</f>
        <v>20190312153942769</v>
      </c>
      <c r="B2924" t="str">
        <f>"1552376382758224"</f>
        <v>1552376382758224</v>
      </c>
      <c r="C2924" t="s">
        <v>40</v>
      </c>
      <c r="D2924">
        <v>4.0707509999999996</v>
      </c>
      <c r="E2924">
        <v>0.43448029999999999</v>
      </c>
      <c r="F2924" t="s">
        <v>67</v>
      </c>
      <c r="G2924">
        <v>-512.82579999999996</v>
      </c>
      <c r="H2924">
        <v>1.9722489999999999</v>
      </c>
      <c r="I2924">
        <v>264.13049999999998</v>
      </c>
      <c r="J2924">
        <v>-381.23259999999999</v>
      </c>
      <c r="K2924">
        <v>1.1102339999999999</v>
      </c>
      <c r="L2924">
        <v>283.57279999999997</v>
      </c>
      <c r="M2924">
        <v>-0.99990100000000004</v>
      </c>
      <c r="N2924">
        <v>0</v>
      </c>
      <c r="O2924">
        <v>-1.7610130000000001E-3</v>
      </c>
      <c r="P2924">
        <v>-0.99969870000000005</v>
      </c>
      <c r="Q2924">
        <v>1.1138550000000001E-2</v>
      </c>
      <c r="R2924">
        <v>2.187917E-2</v>
      </c>
      <c r="S2924">
        <v>-3.010529</v>
      </c>
      <c r="T2924">
        <v>1.9693970000000002E-2</v>
      </c>
      <c r="U2924">
        <v>-0.44415280000000001</v>
      </c>
      <c r="V2924">
        <v>2.3632400000000001E-2</v>
      </c>
      <c r="W2924">
        <v>2.5095039999999999E-2</v>
      </c>
      <c r="X2924">
        <v>0.99940569999999895</v>
      </c>
      <c r="Y2924">
        <v>-0.1442078</v>
      </c>
      <c r="Z2924">
        <v>4.5767939999999998E-4</v>
      </c>
      <c r="AA2924">
        <v>0.98954730000000002</v>
      </c>
      <c r="AB2924">
        <v>36</v>
      </c>
      <c r="AC2924">
        <v>-131.593199999999</v>
      </c>
      <c r="AD2924">
        <v>0.86201499999999998</v>
      </c>
      <c r="AE2924">
        <v>-19.4422999999999</v>
      </c>
      <c r="AF2924">
        <v>-19.209703239000799</v>
      </c>
      <c r="AG2924">
        <v>0.86201499999999998</v>
      </c>
      <c r="AH2924">
        <v>131.621710104703</v>
      </c>
      <c r="AI2924">
        <v>89.6286981513786</v>
      </c>
      <c r="AJ2924">
        <v>98.303483297167105</v>
      </c>
      <c r="AK2924">
        <v>133.01890970564</v>
      </c>
      <c r="AL2924">
        <v>88.562009165858001</v>
      </c>
      <c r="AM2924">
        <v>88.645410475074598</v>
      </c>
      <c r="AN2924">
        <v>1.00000000227742</v>
      </c>
    </row>
    <row r="2925" spans="1:40" x14ac:dyDescent="0.25">
      <c r="A2925" t="str">
        <f>"20190312153942782"</f>
        <v>20190312153942782</v>
      </c>
      <c r="B2925" t="str">
        <f>"1552376382778720"</f>
        <v>1552376382778720</v>
      </c>
      <c r="C2925" t="s">
        <v>40</v>
      </c>
      <c r="D2925">
        <v>4.0547969999999998</v>
      </c>
      <c r="E2925">
        <v>0.4323129</v>
      </c>
      <c r="F2925" t="s">
        <v>67</v>
      </c>
      <c r="G2925">
        <v>-512.82590000000005</v>
      </c>
      <c r="H2925">
        <v>2.0729489999999999</v>
      </c>
      <c r="I2925">
        <v>263.55239999999998</v>
      </c>
      <c r="J2925">
        <v>-381.42809999999997</v>
      </c>
      <c r="K2925">
        <v>1.1102339999999999</v>
      </c>
      <c r="L2925">
        <v>283.57229999999998</v>
      </c>
      <c r="M2925">
        <v>-0.99990100000000004</v>
      </c>
      <c r="N2925">
        <v>0</v>
      </c>
      <c r="O2925">
        <v>-1.8386030000000001E-3</v>
      </c>
      <c r="P2925">
        <v>-0.9997028</v>
      </c>
      <c r="Q2925">
        <v>1.1413059999999999E-2</v>
      </c>
      <c r="R2925">
        <v>2.1546260000000001E-2</v>
      </c>
      <c r="S2925">
        <v>-3.0106809999999999</v>
      </c>
      <c r="T2925">
        <v>2.2027370000000001E-2</v>
      </c>
      <c r="U2925">
        <v>-0.45803830000000001</v>
      </c>
      <c r="V2925">
        <v>2.3377060000000002E-2</v>
      </c>
      <c r="W2925">
        <v>2.5368180000000001E-2</v>
      </c>
      <c r="X2925">
        <v>0.99940479999999998</v>
      </c>
      <c r="Y2925">
        <v>-0.1485851</v>
      </c>
      <c r="Z2925">
        <v>5.2706249999999997E-4</v>
      </c>
      <c r="AA2925">
        <v>0.98889950000000004</v>
      </c>
      <c r="AB2925">
        <v>36</v>
      </c>
      <c r="AC2925">
        <v>-131.39779999999999</v>
      </c>
      <c r="AD2925">
        <v>0.96271499999999999</v>
      </c>
      <c r="AE2925">
        <v>-20.0199</v>
      </c>
      <c r="AF2925">
        <v>-19.7772166831909</v>
      </c>
      <c r="AG2925">
        <v>0.96271499999999999</v>
      </c>
      <c r="AH2925">
        <v>131.42749501772701</v>
      </c>
      <c r="AI2925">
        <v>89.584984558898896</v>
      </c>
      <c r="AJ2925">
        <v>98.557663593771807</v>
      </c>
      <c r="AK2925">
        <v>132.910690189088</v>
      </c>
      <c r="AL2925">
        <v>88.546354398992094</v>
      </c>
      <c r="AM2925">
        <v>88.660039780248297</v>
      </c>
      <c r="AN2925">
        <v>0.999999992876898</v>
      </c>
    </row>
    <row r="2926" spans="1:40" x14ac:dyDescent="0.25">
      <c r="A2926" t="str">
        <f>"20190312153942795"</f>
        <v>20190312153942795</v>
      </c>
      <c r="B2926" t="str">
        <f>"1552376382788480"</f>
        <v>1552376382788480</v>
      </c>
      <c r="C2926" t="s">
        <v>40</v>
      </c>
      <c r="D2926">
        <v>4.0643070000000003</v>
      </c>
      <c r="E2926">
        <v>0.43177260000000001</v>
      </c>
      <c r="F2926" t="s">
        <v>67</v>
      </c>
      <c r="G2926">
        <v>-512.82579999999996</v>
      </c>
      <c r="H2926">
        <v>1.9605440000000001</v>
      </c>
      <c r="I2926">
        <v>262.77780000000001</v>
      </c>
      <c r="J2926">
        <v>-381.62830000000002</v>
      </c>
      <c r="K2926">
        <v>1.1102299999999901</v>
      </c>
      <c r="L2926">
        <v>283.57190000000003</v>
      </c>
      <c r="M2926">
        <v>-0.99990080000000003</v>
      </c>
      <c r="N2926">
        <v>0</v>
      </c>
      <c r="O2926">
        <v>-1.9181000000000001E-3</v>
      </c>
      <c r="P2926">
        <v>-0.99969759999999996</v>
      </c>
      <c r="Q2926">
        <v>1.2325020000000001E-2</v>
      </c>
      <c r="R2926">
        <v>2.1280960000000002E-2</v>
      </c>
      <c r="S2926">
        <v>-3.0109560000000002</v>
      </c>
      <c r="T2926">
        <v>1.9486429999999999E-2</v>
      </c>
      <c r="U2926">
        <v>-0.47650150000000002</v>
      </c>
      <c r="V2926">
        <v>2.319075E-2</v>
      </c>
      <c r="W2926">
        <v>2.6278159999999998E-2</v>
      </c>
      <c r="X2926">
        <v>0.99938570000000004</v>
      </c>
      <c r="Y2926">
        <v>-0.15441250000000001</v>
      </c>
      <c r="Z2926">
        <v>4.84234E-4</v>
      </c>
      <c r="AA2926">
        <v>0.98800639999999995</v>
      </c>
      <c r="AB2926">
        <v>36</v>
      </c>
      <c r="AC2926">
        <v>-131.197499999999</v>
      </c>
      <c r="AD2926">
        <v>0.85031399999999902</v>
      </c>
      <c r="AE2926">
        <v>-20.7941</v>
      </c>
      <c r="AF2926">
        <v>-20.541545596547198</v>
      </c>
      <c r="AG2926">
        <v>0.85031399999999902</v>
      </c>
      <c r="AH2926">
        <v>131.23177026408101</v>
      </c>
      <c r="AI2926">
        <v>89.633224096311594</v>
      </c>
      <c r="AJ2926">
        <v>98.896249328095493</v>
      </c>
      <c r="AK2926">
        <v>132.83243450316701</v>
      </c>
      <c r="AL2926">
        <v>88.494199099506005</v>
      </c>
      <c r="AM2926">
        <v>88.670689724050902</v>
      </c>
      <c r="AN2926">
        <v>1.0000000649715099</v>
      </c>
    </row>
    <row r="2927" spans="1:40" x14ac:dyDescent="0.25">
      <c r="A2927" t="str">
        <f>"20190312153942807"</f>
        <v>20190312153942807</v>
      </c>
      <c r="B2927" t="str">
        <f>"1552376382798239"</f>
        <v>1552376382798239</v>
      </c>
      <c r="C2927" t="s">
        <v>40</v>
      </c>
      <c r="D2927">
        <v>4.0650870000000001</v>
      </c>
      <c r="E2927">
        <v>0.43129790000000001</v>
      </c>
      <c r="F2927" t="s">
        <v>67</v>
      </c>
      <c r="G2927">
        <v>-512.82579999999996</v>
      </c>
      <c r="H2927">
        <v>2.0011519999999998</v>
      </c>
      <c r="I2927">
        <v>262.58940000000001</v>
      </c>
      <c r="J2927">
        <v>-381.8039</v>
      </c>
      <c r="K2927">
        <v>1.1102299999999901</v>
      </c>
      <c r="L2927">
        <v>283.57150000000001</v>
      </c>
      <c r="M2927">
        <v>-0.99990069999999998</v>
      </c>
      <c r="N2927">
        <v>0</v>
      </c>
      <c r="O2927">
        <v>-1.9879419999999999E-3</v>
      </c>
      <c r="P2927">
        <v>-0.99970380000000003</v>
      </c>
      <c r="Q2927">
        <v>1.253053E-2</v>
      </c>
      <c r="R2927">
        <v>2.0860900000000002E-2</v>
      </c>
      <c r="S2927">
        <v>-3.0109249999999999</v>
      </c>
      <c r="T2927">
        <v>2.0447969999999999E-2</v>
      </c>
      <c r="U2927">
        <v>-0.48153689999999999</v>
      </c>
      <c r="V2927">
        <v>2.2840510000000001E-2</v>
      </c>
      <c r="W2927">
        <v>2.648265E-2</v>
      </c>
      <c r="X2927">
        <v>0.99938830000000001</v>
      </c>
      <c r="Y2927">
        <v>-0.15595599999999901</v>
      </c>
      <c r="Z2927">
        <v>5.1280309999999997E-4</v>
      </c>
      <c r="AA2927">
        <v>0.98776390000000003</v>
      </c>
      <c r="AB2927">
        <v>36</v>
      </c>
      <c r="AC2927">
        <v>-131.02189999999899</v>
      </c>
      <c r="AD2927">
        <v>0.89092199999999999</v>
      </c>
      <c r="AE2927">
        <v>-20.982099999999999</v>
      </c>
      <c r="AF2927">
        <v>-20.720635133771701</v>
      </c>
      <c r="AG2927">
        <v>0.89092199999999999</v>
      </c>
      <c r="AH2927">
        <v>131.05744810194699</v>
      </c>
      <c r="AI2927">
        <v>89.615290555865201</v>
      </c>
      <c r="AJ2927">
        <v>98.984293931037499</v>
      </c>
      <c r="AK2927">
        <v>132.68833093136601</v>
      </c>
      <c r="AL2927">
        <v>88.482478503983401</v>
      </c>
      <c r="AM2927">
        <v>88.690762093502101</v>
      </c>
      <c r="AN2927">
        <v>0.99999999691248598</v>
      </c>
    </row>
    <row r="2928" spans="1:40" x14ac:dyDescent="0.25">
      <c r="A2928" t="str">
        <f>"20190312153942818"</f>
        <v>20190312153942818</v>
      </c>
      <c r="B2928" t="str">
        <f>"1552376382808976"</f>
        <v>1552376382808976</v>
      </c>
      <c r="C2928" t="s">
        <v>40</v>
      </c>
      <c r="D2928">
        <v>4.0319310000000002</v>
      </c>
      <c r="E2928">
        <v>0.43093290000000001</v>
      </c>
      <c r="F2928" t="s">
        <v>67</v>
      </c>
      <c r="G2928">
        <v>-512.82579999999996</v>
      </c>
      <c r="H2928">
        <v>2.0134979999999998</v>
      </c>
      <c r="I2928">
        <v>262.39580000000001</v>
      </c>
      <c r="J2928">
        <v>-381.99950000000001</v>
      </c>
      <c r="K2928">
        <v>1.1102270000000001</v>
      </c>
      <c r="L2928">
        <v>283.57100000000003</v>
      </c>
      <c r="M2928">
        <v>-0.99990049999999997</v>
      </c>
      <c r="N2928">
        <v>0</v>
      </c>
      <c r="O2928">
        <v>-2.0658899999999999E-3</v>
      </c>
      <c r="P2928">
        <v>-0.9997007</v>
      </c>
      <c r="Q2928">
        <v>1.299607E-2</v>
      </c>
      <c r="R2928">
        <v>2.0732919999999998E-2</v>
      </c>
      <c r="S2928">
        <v>-3.0108030000000001</v>
      </c>
      <c r="T2928">
        <v>2.0758269999999999E-2</v>
      </c>
      <c r="U2928">
        <v>-0.4866028</v>
      </c>
      <c r="V2928">
        <v>2.279045E-2</v>
      </c>
      <c r="W2928">
        <v>2.694645E-2</v>
      </c>
      <c r="X2928">
        <v>0.99937710000000002</v>
      </c>
      <c r="Y2928">
        <v>-0.15750500000000001</v>
      </c>
      <c r="Z2928">
        <v>5.2530809999999997E-4</v>
      </c>
      <c r="AA2928">
        <v>0.98751809999999995</v>
      </c>
      <c r="AB2928">
        <v>36</v>
      </c>
      <c r="AC2928">
        <v>-130.82629999999901</v>
      </c>
      <c r="AD2928">
        <v>0.90327099999999905</v>
      </c>
      <c r="AE2928">
        <v>-21.175199999999901</v>
      </c>
      <c r="AF2928">
        <v>-20.903884690747901</v>
      </c>
      <c r="AG2928">
        <v>0.90327099999999905</v>
      </c>
      <c r="AH2928">
        <v>130.863691634704</v>
      </c>
      <c r="AI2928">
        <v>89.609479759290906</v>
      </c>
      <c r="AJ2928">
        <v>99.075631126908704</v>
      </c>
      <c r="AK2928">
        <v>132.52582420768599</v>
      </c>
      <c r="AL2928">
        <v>88.455895318541494</v>
      </c>
      <c r="AM2928">
        <v>88.693615945400296</v>
      </c>
      <c r="AN2928">
        <v>1.0000000518915999</v>
      </c>
    </row>
    <row r="2929" spans="1:40" x14ac:dyDescent="0.25">
      <c r="A2929" t="str">
        <f>"20190312153942830"</f>
        <v>20190312153942830</v>
      </c>
      <c r="B2929" t="str">
        <f>"1552376382818736"</f>
        <v>1552376382818736</v>
      </c>
      <c r="C2929" t="s">
        <v>40</v>
      </c>
      <c r="D2929">
        <v>4.0320609999999997</v>
      </c>
      <c r="E2929">
        <v>0.43054249999999999</v>
      </c>
      <c r="F2929" t="s">
        <v>67</v>
      </c>
      <c r="G2929">
        <v>-512.82579999999996</v>
      </c>
      <c r="H2929">
        <v>2.0372780000000001</v>
      </c>
      <c r="I2929">
        <v>262.27670000000001</v>
      </c>
      <c r="J2929">
        <v>-382.1859</v>
      </c>
      <c r="K2929">
        <v>1.110225</v>
      </c>
      <c r="L2929">
        <v>283.57060000000001</v>
      </c>
      <c r="M2929">
        <v>-0.99990049999999997</v>
      </c>
      <c r="N2929">
        <v>0</v>
      </c>
      <c r="O2929">
        <v>-2.140379E-3</v>
      </c>
      <c r="P2929">
        <v>-0.99970950000000003</v>
      </c>
      <c r="Q2929">
        <v>1.3120349999999999E-2</v>
      </c>
      <c r="R2929">
        <v>2.0216930000000001E-2</v>
      </c>
      <c r="S2929">
        <v>-3.010742</v>
      </c>
      <c r="T2929">
        <v>2.13362E-2</v>
      </c>
      <c r="U2929">
        <v>-0.49005130000000002</v>
      </c>
      <c r="V2929">
        <v>2.2348650000000001E-2</v>
      </c>
      <c r="W2929">
        <v>2.706942E-2</v>
      </c>
      <c r="X2929">
        <v>0.99938369999999999</v>
      </c>
      <c r="Y2929">
        <v>-0.15853639999999999</v>
      </c>
      <c r="Z2929">
        <v>5.4300050000000003E-4</v>
      </c>
      <c r="AA2929">
        <v>0.98735300000000004</v>
      </c>
      <c r="AB2929">
        <v>36</v>
      </c>
      <c r="AC2929">
        <v>-130.63989999999899</v>
      </c>
      <c r="AD2929">
        <v>0.92705299999999902</v>
      </c>
      <c r="AE2929">
        <v>-21.293900000000001</v>
      </c>
      <c r="AF2929">
        <v>-21.013174362625001</v>
      </c>
      <c r="AG2929">
        <v>0.92705299999999902</v>
      </c>
      <c r="AH2929">
        <v>130.678771896439</v>
      </c>
      <c r="AI2929">
        <v>89.598697654102395</v>
      </c>
      <c r="AJ2929">
        <v>99.134975729764705</v>
      </c>
      <c r="AK2929">
        <v>132.36069789941601</v>
      </c>
      <c r="AL2929">
        <v>88.448847001819502</v>
      </c>
      <c r="AM2929">
        <v>88.718940543555405</v>
      </c>
      <c r="AN2929">
        <v>0.99999999774082404</v>
      </c>
    </row>
    <row r="2930" spans="1:40" x14ac:dyDescent="0.25">
      <c r="A2930" t="str">
        <f>"20190312153942842"</f>
        <v>20190312153942842</v>
      </c>
      <c r="B2930" t="str">
        <f>"1552376382838256"</f>
        <v>1552376382838256</v>
      </c>
      <c r="C2930" t="s">
        <v>40</v>
      </c>
      <c r="D2930">
        <v>4.0102890000000002</v>
      </c>
      <c r="E2930">
        <v>0.42987150000000002</v>
      </c>
      <c r="F2930" t="s">
        <v>67</v>
      </c>
      <c r="G2930">
        <v>-512.82579999999996</v>
      </c>
      <c r="H2930">
        <v>2.0373359999999998</v>
      </c>
      <c r="I2930">
        <v>262.10950000000003</v>
      </c>
      <c r="J2930">
        <v>-382.36579999999998</v>
      </c>
      <c r="K2930">
        <v>1.110223</v>
      </c>
      <c r="L2930">
        <v>283.57010000000002</v>
      </c>
      <c r="M2930">
        <v>-0.99990029999999996</v>
      </c>
      <c r="N2930">
        <v>0</v>
      </c>
      <c r="O2930">
        <v>-2.2120080000000001E-3</v>
      </c>
      <c r="P2930">
        <v>-0.99971310000000002</v>
      </c>
      <c r="Q2930">
        <v>1.318243E-2</v>
      </c>
      <c r="R2930">
        <v>2.0003980000000001E-2</v>
      </c>
      <c r="S2930">
        <v>-3.0105900000000001</v>
      </c>
      <c r="T2930">
        <v>2.1366949999999999E-2</v>
      </c>
      <c r="U2930">
        <v>-0.4945679</v>
      </c>
      <c r="V2930">
        <v>2.220751E-2</v>
      </c>
      <c r="W2930">
        <v>2.7130439999999999E-2</v>
      </c>
      <c r="X2930">
        <v>0.99938519999999997</v>
      </c>
      <c r="Y2930">
        <v>-0.15991610000000001</v>
      </c>
      <c r="Z2930">
        <v>5.4810340000000001E-4</v>
      </c>
      <c r="AA2930">
        <v>0.98713050000000002</v>
      </c>
      <c r="AB2930">
        <v>36</v>
      </c>
      <c r="AC2930">
        <v>-130.45999999999901</v>
      </c>
      <c r="AD2930">
        <v>0.92711299999999996</v>
      </c>
      <c r="AE2930">
        <v>-21.460599999999999</v>
      </c>
      <c r="AF2930">
        <v>-21.1708998469731</v>
      </c>
      <c r="AG2930">
        <v>0.92711299999999996</v>
      </c>
      <c r="AH2930">
        <v>130.50073946834999</v>
      </c>
      <c r="AI2930">
        <v>89.598214516783898</v>
      </c>
      <c r="AJ2930">
        <v>99.214713150863304</v>
      </c>
      <c r="AK2930">
        <v>132.21009621292799</v>
      </c>
      <c r="AL2930">
        <v>88.445349541867103</v>
      </c>
      <c r="AM2930">
        <v>88.727030147810098</v>
      </c>
      <c r="AN2930">
        <v>1.00000000612701</v>
      </c>
    </row>
    <row r="2931" spans="1:40" x14ac:dyDescent="0.25">
      <c r="A2931" t="str">
        <f>"20190312153942854"</f>
        <v>20190312153942854</v>
      </c>
      <c r="B2931" t="str">
        <f>"1552376382848993"</f>
        <v>1552376382848993</v>
      </c>
      <c r="C2931" t="s">
        <v>40</v>
      </c>
      <c r="D2931">
        <v>4.0247539999999997</v>
      </c>
      <c r="E2931">
        <v>0.42982589999999998</v>
      </c>
      <c r="F2931" t="s">
        <v>67</v>
      </c>
      <c r="G2931">
        <v>-512.82579999999996</v>
      </c>
      <c r="H2931">
        <v>2.0157250000000002</v>
      </c>
      <c r="I2931">
        <v>261.87810000000002</v>
      </c>
      <c r="J2931">
        <v>-382.5729</v>
      </c>
      <c r="K2931">
        <v>1.110223</v>
      </c>
      <c r="L2931">
        <v>283.56959999999998</v>
      </c>
      <c r="M2931">
        <v>-0.99990020000000002</v>
      </c>
      <c r="N2931">
        <v>0</v>
      </c>
      <c r="O2931">
        <v>-2.2943659999999999E-3</v>
      </c>
      <c r="P2931">
        <v>-0.99971710000000003</v>
      </c>
      <c r="Q2931">
        <v>1.305221E-2</v>
      </c>
      <c r="R2931">
        <v>1.9889230000000001E-2</v>
      </c>
      <c r="S2931">
        <v>-3.0105900000000001</v>
      </c>
      <c r="T2931">
        <v>2.089775E-2</v>
      </c>
      <c r="U2931">
        <v>-0.50057980000000002</v>
      </c>
      <c r="V2931">
        <v>2.2175090000000001E-2</v>
      </c>
      <c r="W2931">
        <v>2.6998879999999999E-2</v>
      </c>
      <c r="X2931">
        <v>0.99938950000000004</v>
      </c>
      <c r="Y2931">
        <v>-0.16175349999999999</v>
      </c>
      <c r="Z2931">
        <v>5.4174659999999995E-4</v>
      </c>
      <c r="AA2931">
        <v>0.98683109999999996</v>
      </c>
      <c r="AB2931">
        <v>36</v>
      </c>
      <c r="AC2931">
        <v>-130.25289999999899</v>
      </c>
      <c r="AD2931">
        <v>0.90550200000000003</v>
      </c>
      <c r="AE2931">
        <v>-21.691499999999898</v>
      </c>
      <c r="AF2931">
        <v>-21.391560103339501</v>
      </c>
      <c r="AG2931">
        <v>0.90550200000000003</v>
      </c>
      <c r="AH2931">
        <v>130.296203071788</v>
      </c>
      <c r="AI2931">
        <v>89.607085544832103</v>
      </c>
      <c r="AJ2931">
        <v>99.323440268911298</v>
      </c>
      <c r="AK2931">
        <v>132.043626549907</v>
      </c>
      <c r="AL2931">
        <v>88.452890163578999</v>
      </c>
      <c r="AM2931">
        <v>88.7288933710349</v>
      </c>
      <c r="AN2931">
        <v>1.0000000234240001</v>
      </c>
    </row>
    <row r="2932" spans="1:40" x14ac:dyDescent="0.25">
      <c r="A2932" t="str">
        <f>"20190312153942869"</f>
        <v>20190312153942869</v>
      </c>
      <c r="B2932" t="str">
        <f>"1552376382858753"</f>
        <v>1552376382858753</v>
      </c>
      <c r="C2932" t="s">
        <v>40</v>
      </c>
      <c r="D2932">
        <v>4.048152</v>
      </c>
      <c r="E2932">
        <v>0.42964429999999998</v>
      </c>
      <c r="F2932" t="s">
        <v>67</v>
      </c>
      <c r="G2932">
        <v>-512.82579999999996</v>
      </c>
      <c r="H2932">
        <v>1.9863470000000001</v>
      </c>
      <c r="I2932">
        <v>261.87610000000001</v>
      </c>
      <c r="J2932">
        <v>-382.80309999999997</v>
      </c>
      <c r="K2932">
        <v>1.1102259999999999</v>
      </c>
      <c r="L2932">
        <v>283.56900000000002</v>
      </c>
      <c r="M2932">
        <v>-0.99990000000000001</v>
      </c>
      <c r="N2932">
        <v>0</v>
      </c>
      <c r="O2932">
        <v>-2.3856649999999999E-3</v>
      </c>
      <c r="P2932">
        <v>-0.99972159999999999</v>
      </c>
      <c r="Q2932">
        <v>1.297946E-2</v>
      </c>
      <c r="R2932">
        <v>1.9707189999999999E-2</v>
      </c>
      <c r="S2932">
        <v>-3.0105590000000002</v>
      </c>
      <c r="T2932">
        <v>2.0251749999999999E-2</v>
      </c>
      <c r="U2932">
        <v>-0.50140379999999996</v>
      </c>
      <c r="V2932">
        <v>2.2084389999999999E-2</v>
      </c>
      <c r="W2932">
        <v>2.692452E-2</v>
      </c>
      <c r="X2932">
        <v>0.99939350000000005</v>
      </c>
      <c r="Y2932">
        <v>-0.16192799999999999</v>
      </c>
      <c r="Z2932">
        <v>5.2496719999999995E-4</v>
      </c>
      <c r="AA2932">
        <v>0.98680250000000003</v>
      </c>
      <c r="AB2932">
        <v>36</v>
      </c>
      <c r="AC2932">
        <v>-130.02269999999999</v>
      </c>
      <c r="AD2932">
        <v>0.87612100000000004</v>
      </c>
      <c r="AE2932">
        <v>-21.692900000000002</v>
      </c>
      <c r="AF2932">
        <v>-21.381672999650501</v>
      </c>
      <c r="AG2932">
        <v>0.87612100000000004</v>
      </c>
      <c r="AH2932">
        <v>130.068341310016</v>
      </c>
      <c r="AI2932">
        <v>89.619181047872303</v>
      </c>
      <c r="AJ2932">
        <v>99.335245431402697</v>
      </c>
      <c r="AK2932">
        <v>131.81698274277599</v>
      </c>
      <c r="AL2932">
        <v>88.457152204708507</v>
      </c>
      <c r="AM2932">
        <v>88.734095789448006</v>
      </c>
      <c r="AN2932">
        <v>1.0000000089505701</v>
      </c>
    </row>
    <row r="2933" spans="1:40" x14ac:dyDescent="0.25">
      <c r="A2933" t="str">
        <f>"20190312153942881"</f>
        <v>20190312153942881</v>
      </c>
      <c r="B2933" t="str">
        <f>"1552376382868512"</f>
        <v>1552376382868512</v>
      </c>
      <c r="C2933" t="s">
        <v>40</v>
      </c>
      <c r="D2933">
        <v>4.0003599999999997</v>
      </c>
      <c r="E2933">
        <v>0.42948449999999999</v>
      </c>
      <c r="F2933" t="s">
        <v>67</v>
      </c>
      <c r="G2933">
        <v>-512.82579999999996</v>
      </c>
      <c r="H2933">
        <v>1.953119</v>
      </c>
      <c r="I2933">
        <v>261.82639999999998</v>
      </c>
      <c r="J2933">
        <v>-382.99029999999999</v>
      </c>
      <c r="K2933">
        <v>1.1102259999999999</v>
      </c>
      <c r="L2933">
        <v>283.5684</v>
      </c>
      <c r="M2933">
        <v>-0.99989969999999995</v>
      </c>
      <c r="N2933">
        <v>0</v>
      </c>
      <c r="O2933">
        <v>-2.4599190000000001E-3</v>
      </c>
      <c r="P2933">
        <v>-0.99971429999999994</v>
      </c>
      <c r="Q2933">
        <v>1.326334E-2</v>
      </c>
      <c r="R2933">
        <v>1.988527E-2</v>
      </c>
      <c r="S2933">
        <v>-3.0104980000000001</v>
      </c>
      <c r="T2933">
        <v>1.9517779999999998E-2</v>
      </c>
      <c r="U2933">
        <v>-0.50341800000000003</v>
      </c>
      <c r="V2933">
        <v>2.233661E-2</v>
      </c>
      <c r="W2933">
        <v>2.7207180000000001E-2</v>
      </c>
      <c r="X2933">
        <v>0.99938020000000005</v>
      </c>
      <c r="Y2933">
        <v>-0.16250049999999999</v>
      </c>
      <c r="Z2933">
        <v>5.0728890000000003E-4</v>
      </c>
      <c r="AA2933">
        <v>0.98670829999999998</v>
      </c>
      <c r="AB2933">
        <v>36</v>
      </c>
      <c r="AC2933">
        <v>-129.835499999999</v>
      </c>
      <c r="AD2933">
        <v>0.842892999999999</v>
      </c>
      <c r="AE2933">
        <v>-21.742000000000001</v>
      </c>
      <c r="AF2933">
        <v>-21.421640107474602</v>
      </c>
      <c r="AG2933">
        <v>0.842892999999999</v>
      </c>
      <c r="AH2933">
        <v>129.88327109182401</v>
      </c>
      <c r="AI2933">
        <v>89.633133528498007</v>
      </c>
      <c r="AJ2933">
        <v>99.365477298497098</v>
      </c>
      <c r="AK2933">
        <v>131.64065193934499</v>
      </c>
      <c r="AL2933">
        <v>88.440950982946404</v>
      </c>
      <c r="AM2933">
        <v>88.719625982742997</v>
      </c>
      <c r="AN2933">
        <v>0.99999996947094105</v>
      </c>
    </row>
    <row r="2934" spans="1:40" x14ac:dyDescent="0.25">
      <c r="A2934" t="str">
        <f>"20190312153942894"</f>
        <v>20190312153942894</v>
      </c>
      <c r="B2934" t="str">
        <f>"1552376382889008"</f>
        <v>1552376382889008</v>
      </c>
      <c r="C2934" t="s">
        <v>40</v>
      </c>
      <c r="D2934">
        <v>3.9943200000000001</v>
      </c>
      <c r="E2934">
        <v>0.42913960000000001</v>
      </c>
      <c r="F2934" t="s">
        <v>67</v>
      </c>
      <c r="G2934">
        <v>-512.82579999999996</v>
      </c>
      <c r="H2934">
        <v>1.958037</v>
      </c>
      <c r="I2934">
        <v>261.82929999999999</v>
      </c>
      <c r="J2934">
        <v>-383.21409999999997</v>
      </c>
      <c r="K2934">
        <v>1.1102270000000001</v>
      </c>
      <c r="L2934">
        <v>283.56779999999998</v>
      </c>
      <c r="M2934">
        <v>-0.99989950000000005</v>
      </c>
      <c r="N2934">
        <v>0</v>
      </c>
      <c r="O2934">
        <v>-2.5490679999999998E-3</v>
      </c>
      <c r="P2934">
        <v>-0.99970999999999999</v>
      </c>
      <c r="Q2934">
        <v>1.325698E-2</v>
      </c>
      <c r="R2934">
        <v>2.0101020000000001E-2</v>
      </c>
      <c r="S2934">
        <v>-3.0106510000000002</v>
      </c>
      <c r="T2934">
        <v>1.966095E-2</v>
      </c>
      <c r="U2934">
        <v>-0.50408940000000002</v>
      </c>
      <c r="V2934">
        <v>2.2641439999999999E-2</v>
      </c>
      <c r="W2934">
        <v>2.719908E-2</v>
      </c>
      <c r="X2934">
        <v>0.99937359999999997</v>
      </c>
      <c r="Y2934">
        <v>-0.1626184</v>
      </c>
      <c r="Z2934">
        <v>5.1077920000000001E-4</v>
      </c>
      <c r="AA2934">
        <v>0.98668889999999998</v>
      </c>
      <c r="AB2934">
        <v>36</v>
      </c>
      <c r="AC2934">
        <v>-129.61169999999899</v>
      </c>
      <c r="AD2934">
        <v>0.84780999999999895</v>
      </c>
      <c r="AE2934">
        <v>-21.738499999999899</v>
      </c>
      <c r="AF2934">
        <v>-21.407117310751001</v>
      </c>
      <c r="AG2934">
        <v>0.84780999999999895</v>
      </c>
      <c r="AH2934">
        <v>129.66130114156999</v>
      </c>
      <c r="AI2934">
        <v>89.630371900700496</v>
      </c>
      <c r="AJ2934">
        <v>99.374978428897293</v>
      </c>
      <c r="AK2934">
        <v>131.41931542614799</v>
      </c>
      <c r="AL2934">
        <v>88.441415311538194</v>
      </c>
      <c r="AM2934">
        <v>88.702149955642298</v>
      </c>
      <c r="AN2934">
        <v>1.00000000856754</v>
      </c>
    </row>
    <row r="2935" spans="1:40" x14ac:dyDescent="0.25">
      <c r="A2935" t="str">
        <f>"20190312153942915"</f>
        <v>20190312153942915</v>
      </c>
      <c r="B2935" t="str">
        <f>"1552376382908527"</f>
        <v>1552376382908527</v>
      </c>
      <c r="C2935" t="s">
        <v>40</v>
      </c>
      <c r="D2935">
        <v>3.9936050000000001</v>
      </c>
      <c r="E2935">
        <v>0.42894169999999998</v>
      </c>
      <c r="F2935" t="s">
        <v>67</v>
      </c>
      <c r="G2935">
        <v>-512.82579999999996</v>
      </c>
      <c r="H2935">
        <v>1.903769</v>
      </c>
      <c r="I2935">
        <v>261.77140000000003</v>
      </c>
      <c r="J2935">
        <v>-383.52839999999998</v>
      </c>
      <c r="K2935">
        <v>1.1102259999999999</v>
      </c>
      <c r="L2935">
        <v>283.56689999999998</v>
      </c>
      <c r="M2935">
        <v>-0.99989930000000005</v>
      </c>
      <c r="N2935">
        <v>0</v>
      </c>
      <c r="O2935">
        <v>-2.674095E-3</v>
      </c>
      <c r="P2935">
        <v>-0.99968789999999996</v>
      </c>
      <c r="Q2935">
        <v>1.3772639999999999E-2</v>
      </c>
      <c r="R2935">
        <v>2.0848950000000002E-2</v>
      </c>
      <c r="S2935">
        <v>-3.0108030000000001</v>
      </c>
      <c r="T2935">
        <v>1.8435239999999999E-2</v>
      </c>
      <c r="U2935">
        <v>-0.50631709999999996</v>
      </c>
      <c r="V2935">
        <v>2.351429E-2</v>
      </c>
      <c r="W2935">
        <v>2.7712919999999999E-2</v>
      </c>
      <c r="X2935">
        <v>0.99933930000000004</v>
      </c>
      <c r="Y2935">
        <v>-0.16319739999999999</v>
      </c>
      <c r="Z2935">
        <v>4.7988339999999999E-4</v>
      </c>
      <c r="AA2935">
        <v>0.98659330000000001</v>
      </c>
      <c r="AB2935">
        <v>36</v>
      </c>
      <c r="AC2935">
        <v>-129.29739999999899</v>
      </c>
      <c r="AD2935">
        <v>0.793542999999999</v>
      </c>
      <c r="AE2935">
        <v>-21.795499999999901</v>
      </c>
      <c r="AF2935">
        <v>-21.448849350614601</v>
      </c>
      <c r="AG2935">
        <v>0.793542999999999</v>
      </c>
      <c r="AH2935">
        <v>129.350488892572</v>
      </c>
      <c r="AI2935">
        <v>89.653239500960396</v>
      </c>
      <c r="AJ2935">
        <v>99.415095401475895</v>
      </c>
      <c r="AK2935">
        <v>131.11915125451901</v>
      </c>
      <c r="AL2935">
        <v>88.411963303143693</v>
      </c>
      <c r="AM2935">
        <v>88.652088417039494</v>
      </c>
      <c r="AN2935">
        <v>0.99999998214680996</v>
      </c>
    </row>
    <row r="2936" spans="1:40" x14ac:dyDescent="0.25">
      <c r="A2936" t="str">
        <f>"20190312153942936"</f>
        <v>20190312153942936</v>
      </c>
      <c r="B2936" t="str">
        <f>"1552376382929024"</f>
        <v>1552376382929024</v>
      </c>
      <c r="C2936" t="s">
        <v>40</v>
      </c>
      <c r="D2936">
        <v>3.9912369999999999</v>
      </c>
      <c r="E2936">
        <v>0.42868529999999999</v>
      </c>
      <c r="F2936" t="s">
        <v>67</v>
      </c>
      <c r="G2936">
        <v>-512.82579999999996</v>
      </c>
      <c r="H2936">
        <v>1.935816</v>
      </c>
      <c r="I2936">
        <v>261.84739999999999</v>
      </c>
      <c r="J2936">
        <v>-383.87619999999998</v>
      </c>
      <c r="K2936">
        <v>1.1102190000000001</v>
      </c>
      <c r="L2936">
        <v>283.56580000000002</v>
      </c>
      <c r="M2936">
        <v>-0.99989890000000003</v>
      </c>
      <c r="N2936">
        <v>0</v>
      </c>
      <c r="O2936">
        <v>-2.8123520000000002E-3</v>
      </c>
      <c r="P2936">
        <v>-0.99967499999999998</v>
      </c>
      <c r="Q2936">
        <v>1.427783E-2</v>
      </c>
      <c r="R2936">
        <v>2.1121709999999998E-2</v>
      </c>
      <c r="S2936">
        <v>-3.0112299999999999</v>
      </c>
      <c r="T2936">
        <v>1.9229050000000001E-2</v>
      </c>
      <c r="U2936">
        <v>-0.50582890000000003</v>
      </c>
      <c r="V2936">
        <v>2.392507E-2</v>
      </c>
      <c r="W2936">
        <v>2.8215779999999999E-2</v>
      </c>
      <c r="X2936">
        <v>0.99931550000000002</v>
      </c>
      <c r="Y2936">
        <v>-0.1628822</v>
      </c>
      <c r="Z2936">
        <v>4.9860720000000005E-4</v>
      </c>
      <c r="AA2936">
        <v>0.98664540000000001</v>
      </c>
      <c r="AB2936">
        <v>36</v>
      </c>
      <c r="AC2936">
        <v>-128.94959999999901</v>
      </c>
      <c r="AD2936">
        <v>0.82559699999999903</v>
      </c>
      <c r="AE2936">
        <v>-21.718399999999999</v>
      </c>
      <c r="AF2936">
        <v>-21.354775973160901</v>
      </c>
      <c r="AG2936">
        <v>0.82559699999999903</v>
      </c>
      <c r="AH2936">
        <v>129.005033400049</v>
      </c>
      <c r="AI2936">
        <v>89.638250297517899</v>
      </c>
      <c r="AJ2936">
        <v>99.399192130538793</v>
      </c>
      <c r="AK2936">
        <v>130.763170311132</v>
      </c>
      <c r="AL2936">
        <v>88.383140309705396</v>
      </c>
      <c r="AM2936">
        <v>88.628517506871503</v>
      </c>
      <c r="AN2936">
        <v>1.00000000387788</v>
      </c>
    </row>
    <row r="2937" spans="1:40" x14ac:dyDescent="0.25">
      <c r="A2937" t="str">
        <f>"20190312153942949"</f>
        <v>20190312153942949</v>
      </c>
      <c r="B2937" t="str">
        <f>"1552376382938784"</f>
        <v>1552376382938784</v>
      </c>
      <c r="C2937" t="s">
        <v>40</v>
      </c>
      <c r="D2937">
        <v>3.998075</v>
      </c>
      <c r="E2937">
        <v>0.42857499999999998</v>
      </c>
      <c r="F2937" t="s">
        <v>67</v>
      </c>
      <c r="G2937">
        <v>-512.82579999999996</v>
      </c>
      <c r="H2937">
        <v>1.968378</v>
      </c>
      <c r="I2937">
        <v>261.84870000000001</v>
      </c>
      <c r="J2937">
        <v>-384.06900000000002</v>
      </c>
      <c r="K2937">
        <v>1.1102190000000001</v>
      </c>
      <c r="L2937">
        <v>283.5652</v>
      </c>
      <c r="M2937">
        <v>-0.99989890000000003</v>
      </c>
      <c r="N2937">
        <v>0</v>
      </c>
      <c r="O2937">
        <v>-2.8889889999999998E-3</v>
      </c>
      <c r="P2937">
        <v>-0.99967589999999995</v>
      </c>
      <c r="Q2937">
        <v>1.3795429999999999E-2</v>
      </c>
      <c r="R2937">
        <v>2.1405449999999999E-2</v>
      </c>
      <c r="S2937">
        <v>-3.011444</v>
      </c>
      <c r="T2937">
        <v>2.0042899999999999E-2</v>
      </c>
      <c r="U2937">
        <v>-0.50717159999999994</v>
      </c>
      <c r="V2937">
        <v>2.428543E-2</v>
      </c>
      <c r="W2937">
        <v>2.773246E-2</v>
      </c>
      <c r="X2937">
        <v>0.99932030000000005</v>
      </c>
      <c r="Y2937">
        <v>-0.1632227</v>
      </c>
      <c r="Z2937">
        <v>5.2027279999999996E-4</v>
      </c>
      <c r="AA2937">
        <v>0.9865891</v>
      </c>
      <c r="AB2937">
        <v>35</v>
      </c>
      <c r="AC2937">
        <v>-128.756799999999</v>
      </c>
      <c r="AD2937">
        <v>0.85815899999999901</v>
      </c>
      <c r="AE2937">
        <v>-21.7165</v>
      </c>
      <c r="AF2937">
        <v>-21.343474431420798</v>
      </c>
      <c r="AG2937">
        <v>0.85815899999999901</v>
      </c>
      <c r="AH2937">
        <v>128.813443550616</v>
      </c>
      <c r="AI2937">
        <v>89.623433460810304</v>
      </c>
      <c r="AJ2937">
        <v>99.408029452673802</v>
      </c>
      <c r="AK2937">
        <v>130.57252228949901</v>
      </c>
      <c r="AL2937">
        <v>88.410843288604596</v>
      </c>
      <c r="AM2937">
        <v>88.607874956460407</v>
      </c>
      <c r="AN2937">
        <v>0.99999996672001301</v>
      </c>
    </row>
    <row r="2938" spans="1:40" x14ac:dyDescent="0.25">
      <c r="A2938" t="str">
        <f>"20190312153942961"</f>
        <v>20190312153942961</v>
      </c>
      <c r="B2938" t="str">
        <f>"1552376382948545"</f>
        <v>1552376382948545</v>
      </c>
      <c r="C2938" t="s">
        <v>40</v>
      </c>
      <c r="D2938">
        <v>3.9949159999999999</v>
      </c>
      <c r="E2938">
        <v>0.42851119999999998</v>
      </c>
      <c r="F2938" t="s">
        <v>67</v>
      </c>
      <c r="G2938">
        <v>-512.82579999999996</v>
      </c>
      <c r="H2938">
        <v>1.88524</v>
      </c>
      <c r="I2938">
        <v>261.88780000000003</v>
      </c>
      <c r="J2938">
        <v>-384.26249999999999</v>
      </c>
      <c r="K2938">
        <v>1.1102160000000001</v>
      </c>
      <c r="L2938">
        <v>283.56450000000001</v>
      </c>
      <c r="M2938">
        <v>-0.99989859999999997</v>
      </c>
      <c r="N2938">
        <v>0</v>
      </c>
      <c r="O2938">
        <v>-2.966102E-3</v>
      </c>
      <c r="P2938">
        <v>-0.99967059999999996</v>
      </c>
      <c r="Q2938">
        <v>1.386136E-2</v>
      </c>
      <c r="R2938">
        <v>2.1607149999999999E-2</v>
      </c>
      <c r="S2938">
        <v>-3.011536</v>
      </c>
      <c r="T2938">
        <v>1.8128990000000001E-2</v>
      </c>
      <c r="U2938">
        <v>-0.507019</v>
      </c>
      <c r="V2938">
        <v>2.4564320000000001E-2</v>
      </c>
      <c r="W2938">
        <v>2.77968E-2</v>
      </c>
      <c r="X2938">
        <v>0.99931170000000002</v>
      </c>
      <c r="Y2938">
        <v>-0.16309370000000001</v>
      </c>
      <c r="Z2938">
        <v>4.6973410000000001E-4</v>
      </c>
      <c r="AA2938">
        <v>0.98661049999999995</v>
      </c>
      <c r="AB2938">
        <v>35</v>
      </c>
      <c r="AC2938">
        <v>-128.563299999999</v>
      </c>
      <c r="AD2938">
        <v>0.77502400000000005</v>
      </c>
      <c r="AE2938">
        <v>-21.676699999999901</v>
      </c>
      <c r="AF2938">
        <v>-21.294483303539199</v>
      </c>
      <c r="AG2938">
        <v>0.77502400000000005</v>
      </c>
      <c r="AH2938">
        <v>128.622490840003</v>
      </c>
      <c r="AI2938">
        <v>89.659400525473799</v>
      </c>
      <c r="AJ2938">
        <v>99.400506424661003</v>
      </c>
      <c r="AK2938">
        <v>130.375614404121</v>
      </c>
      <c r="AL2938">
        <v>88.407155462876602</v>
      </c>
      <c r="AM2938">
        <v>88.591882301539599</v>
      </c>
      <c r="AN2938">
        <v>0.99999997083209502</v>
      </c>
    </row>
    <row r="2939" spans="1:40" x14ac:dyDescent="0.25">
      <c r="A2939" t="str">
        <f>"20190312153942974"</f>
        <v>20190312153942974</v>
      </c>
      <c r="B2939" t="str">
        <f>"1552376382969040"</f>
        <v>1552376382969040</v>
      </c>
      <c r="C2939" t="s">
        <v>40</v>
      </c>
      <c r="D2939">
        <v>3.9767890000000001</v>
      </c>
      <c r="E2939">
        <v>0.42818440000000002</v>
      </c>
      <c r="F2939" t="s">
        <v>67</v>
      </c>
      <c r="G2939">
        <v>-512.82579999999996</v>
      </c>
      <c r="H2939">
        <v>1.8717459999999999</v>
      </c>
      <c r="I2939">
        <v>261.91579999999999</v>
      </c>
      <c r="J2939">
        <v>-384.48169999999999</v>
      </c>
      <c r="K2939">
        <v>1.110217</v>
      </c>
      <c r="L2939">
        <v>283.56380000000001</v>
      </c>
      <c r="M2939">
        <v>-0.99989830000000002</v>
      </c>
      <c r="N2939">
        <v>0</v>
      </c>
      <c r="O2939">
        <v>-3.0532279999999998E-3</v>
      </c>
      <c r="P2939">
        <v>-0.99966080000000002</v>
      </c>
      <c r="Q2939">
        <v>1.3894419999999999E-2</v>
      </c>
      <c r="R2939">
        <v>2.2033150000000001E-2</v>
      </c>
      <c r="S2939">
        <v>-3.0117189999999998</v>
      </c>
      <c r="T2939">
        <v>1.7841340000000001E-2</v>
      </c>
      <c r="U2939">
        <v>-0.50714110000000001</v>
      </c>
      <c r="V2939">
        <v>2.5077350000000002E-2</v>
      </c>
      <c r="W2939">
        <v>2.7828740000000001E-2</v>
      </c>
      <c r="X2939">
        <v>0.99929809999999997</v>
      </c>
      <c r="Y2939">
        <v>-0.16303689999999901</v>
      </c>
      <c r="Z2939">
        <v>4.6157229999999999E-4</v>
      </c>
      <c r="AA2939">
        <v>0.98661989999999999</v>
      </c>
      <c r="AB2939">
        <v>35</v>
      </c>
      <c r="AC2939">
        <v>-128.344099999999</v>
      </c>
      <c r="AD2939">
        <v>0.76152899999999901</v>
      </c>
      <c r="AE2939">
        <v>-21.648</v>
      </c>
      <c r="AF2939">
        <v>-21.255269627641201</v>
      </c>
      <c r="AG2939">
        <v>0.76152899999999901</v>
      </c>
      <c r="AH2939">
        <v>128.40520872840301</v>
      </c>
      <c r="AI2939">
        <v>89.664763367691094</v>
      </c>
      <c r="AJ2939">
        <v>99.399098882290801</v>
      </c>
      <c r="AK2939">
        <v>130.154769570486</v>
      </c>
      <c r="AL2939">
        <v>88.405324777852101</v>
      </c>
      <c r="AM2939">
        <v>88.562466181976305</v>
      </c>
      <c r="AN2939">
        <v>1.00000000245831</v>
      </c>
    </row>
    <row r="2940" spans="1:40" x14ac:dyDescent="0.25">
      <c r="A2940" t="str">
        <f>"20190312153942990"</f>
        <v>20190312153942990</v>
      </c>
      <c r="B2940" t="str">
        <f>"1552376382978801"</f>
        <v>1552376382978801</v>
      </c>
      <c r="C2940" t="s">
        <v>40</v>
      </c>
      <c r="D2940">
        <v>3.9978050000000001</v>
      </c>
      <c r="E2940">
        <v>0.42806379999999999</v>
      </c>
      <c r="F2940" t="s">
        <v>67</v>
      </c>
      <c r="G2940">
        <v>-512.82569999999998</v>
      </c>
      <c r="H2940">
        <v>1.8541300000000001</v>
      </c>
      <c r="I2940">
        <v>261.90069999999997</v>
      </c>
      <c r="J2940">
        <v>-384.71019999999999</v>
      </c>
      <c r="K2940">
        <v>1.1102179999999999</v>
      </c>
      <c r="L2940">
        <v>283.56299999999999</v>
      </c>
      <c r="M2940">
        <v>-0.99989810000000001</v>
      </c>
      <c r="N2940">
        <v>0</v>
      </c>
      <c r="O2940">
        <v>-3.1440650000000001E-3</v>
      </c>
      <c r="P2940">
        <v>-0.99966719999999998</v>
      </c>
      <c r="Q2940">
        <v>1.393664E-2</v>
      </c>
      <c r="R2940">
        <v>2.1713880000000001E-2</v>
      </c>
      <c r="S2940">
        <v>-3.0119929999999999</v>
      </c>
      <c r="T2940">
        <v>1.7459990000000002E-2</v>
      </c>
      <c r="U2940">
        <v>-0.50839230000000002</v>
      </c>
      <c r="V2940">
        <v>2.4848840000000001E-2</v>
      </c>
      <c r="W2940">
        <v>2.787164E-2</v>
      </c>
      <c r="X2940">
        <v>0.99930260000000004</v>
      </c>
      <c r="Y2940">
        <v>-0.16333120000000001</v>
      </c>
      <c r="Z2940">
        <v>4.5197439999999998E-4</v>
      </c>
      <c r="AA2940">
        <v>0.98657119999999998</v>
      </c>
      <c r="AB2940">
        <v>35</v>
      </c>
      <c r="AC2940">
        <v>-128.1155</v>
      </c>
      <c r="AD2940">
        <v>0.74391199999999902</v>
      </c>
      <c r="AE2940">
        <v>-21.662299999999998</v>
      </c>
      <c r="AF2940">
        <v>-21.258653552968699</v>
      </c>
      <c r="AG2940">
        <v>0.74391199999999902</v>
      </c>
      <c r="AH2940">
        <v>128.17877934722799</v>
      </c>
      <c r="AI2940">
        <v>89.671956846264493</v>
      </c>
      <c r="AJ2940">
        <v>99.416877581751805</v>
      </c>
      <c r="AK2940">
        <v>129.93184071233</v>
      </c>
      <c r="AL2940">
        <v>88.402865814837</v>
      </c>
      <c r="AM2940">
        <v>88.575566277623693</v>
      </c>
      <c r="AN2940">
        <v>0.99999998976619697</v>
      </c>
    </row>
    <row r="2941" spans="1:40" x14ac:dyDescent="0.25">
      <c r="A2941" t="str">
        <f>"20190312153943005"</f>
        <v>20190312153943005</v>
      </c>
      <c r="B2941" t="str">
        <f>"1552376382998320"</f>
        <v>1552376382998320</v>
      </c>
      <c r="C2941" t="s">
        <v>40</v>
      </c>
      <c r="D2941">
        <v>3.9675859999999998</v>
      </c>
      <c r="E2941">
        <v>0.42772470000000001</v>
      </c>
      <c r="F2941" t="s">
        <v>67</v>
      </c>
      <c r="G2941">
        <v>-512.82569999999998</v>
      </c>
      <c r="H2941">
        <v>1.8269470000000001</v>
      </c>
      <c r="I2941">
        <v>261.86200000000002</v>
      </c>
      <c r="J2941">
        <v>-384.95609999999999</v>
      </c>
      <c r="K2941">
        <v>1.1102270000000001</v>
      </c>
      <c r="L2941">
        <v>283.56209999999999</v>
      </c>
      <c r="M2941">
        <v>-0.99989760000000005</v>
      </c>
      <c r="N2941">
        <v>0</v>
      </c>
      <c r="O2941">
        <v>-3.2413780000000001E-3</v>
      </c>
      <c r="P2941">
        <v>-0.99966180000000004</v>
      </c>
      <c r="Q2941">
        <v>1.415166E-2</v>
      </c>
      <c r="R2941">
        <v>2.1825790000000001E-2</v>
      </c>
      <c r="S2941">
        <v>-3.011841</v>
      </c>
      <c r="T2941">
        <v>1.6851189999999999E-2</v>
      </c>
      <c r="U2941">
        <v>-0.51016240000000002</v>
      </c>
      <c r="V2941">
        <v>2.5058130000000001E-2</v>
      </c>
      <c r="W2941">
        <v>2.8092800000000001E-2</v>
      </c>
      <c r="X2941">
        <v>0.99929120000000005</v>
      </c>
      <c r="Y2941">
        <v>-0.16380719999999999</v>
      </c>
      <c r="Z2941">
        <v>4.3699739999999998E-4</v>
      </c>
      <c r="AA2941">
        <v>0.98649229999999999</v>
      </c>
      <c r="AB2941">
        <v>35</v>
      </c>
      <c r="AC2941">
        <v>-127.86960000000001</v>
      </c>
      <c r="AD2941">
        <v>0.71672000000000002</v>
      </c>
      <c r="AE2941">
        <v>-21.7000999999999</v>
      </c>
      <c r="AF2941">
        <v>-21.284822018985398</v>
      </c>
      <c r="AG2941">
        <v>0.71672000000000002</v>
      </c>
      <c r="AH2941">
        <v>127.93536636806699</v>
      </c>
      <c r="AI2941">
        <v>89.683372768573705</v>
      </c>
      <c r="AJ2941">
        <v>99.445876808421701</v>
      </c>
      <c r="AK2941">
        <v>129.695856925616</v>
      </c>
      <c r="AL2941">
        <v>88.390189346953804</v>
      </c>
      <c r="AM2941">
        <v>88.563557573068607</v>
      </c>
      <c r="AN2941">
        <v>1.0000000088441801</v>
      </c>
    </row>
    <row r="2942" spans="1:40" x14ac:dyDescent="0.25">
      <c r="A2942" t="str">
        <f>"20190312153943020"</f>
        <v>20190312153943020</v>
      </c>
      <c r="B2942" t="str">
        <f>"1552376383009056"</f>
        <v>1552376383009056</v>
      </c>
      <c r="C2942" t="s">
        <v>40</v>
      </c>
      <c r="D2942">
        <v>4.0048490000000001</v>
      </c>
      <c r="E2942">
        <v>0.42761979999999999</v>
      </c>
      <c r="F2942" t="s">
        <v>67</v>
      </c>
      <c r="G2942">
        <v>-512.82569999999998</v>
      </c>
      <c r="H2942">
        <v>1.837788</v>
      </c>
      <c r="I2942">
        <v>261.7962</v>
      </c>
      <c r="J2942">
        <v>-385.18549999999999</v>
      </c>
      <c r="K2942">
        <v>1.1102320000000001</v>
      </c>
      <c r="L2942">
        <v>283.56130000000002</v>
      </c>
      <c r="M2942">
        <v>-0.99989709999999998</v>
      </c>
      <c r="N2942">
        <v>0</v>
      </c>
      <c r="O2942">
        <v>-3.3319389999999999E-3</v>
      </c>
      <c r="P2942">
        <v>-0.99965859999999995</v>
      </c>
      <c r="Q2942">
        <v>1.4634309999999999E-2</v>
      </c>
      <c r="R2942">
        <v>2.1649729999999999E-2</v>
      </c>
      <c r="S2942">
        <v>-3.0119630000000002</v>
      </c>
      <c r="T2942">
        <v>1.7139430000000001E-2</v>
      </c>
      <c r="U2942">
        <v>-0.51269529999999996</v>
      </c>
      <c r="V2942">
        <v>2.497247E-2</v>
      </c>
      <c r="W2942">
        <v>2.8587089999999999E-2</v>
      </c>
      <c r="X2942">
        <v>0.99927929999999998</v>
      </c>
      <c r="Y2942">
        <v>-0.16451749999999901</v>
      </c>
      <c r="Z2942">
        <v>4.4591820000000002E-4</v>
      </c>
      <c r="AA2942">
        <v>0.98637410000000003</v>
      </c>
      <c r="AB2942">
        <v>35</v>
      </c>
      <c r="AC2942">
        <v>-127.64019999999999</v>
      </c>
      <c r="AD2942">
        <v>0.72755599999999998</v>
      </c>
      <c r="AE2942">
        <v>-21.7651</v>
      </c>
      <c r="AF2942">
        <v>-21.338974667820501</v>
      </c>
      <c r="AG2942">
        <v>0.72755599999999998</v>
      </c>
      <c r="AH2942">
        <v>127.70798631583401</v>
      </c>
      <c r="AI2942">
        <v>89.678051183253103</v>
      </c>
      <c r="AJ2942">
        <v>99.486028161889607</v>
      </c>
      <c r="AK2942">
        <v>129.48054273307699</v>
      </c>
      <c r="AL2942">
        <v>88.361857193416697</v>
      </c>
      <c r="AM2942">
        <v>88.5684488944771</v>
      </c>
      <c r="AN2942">
        <v>0.99999998269052903</v>
      </c>
    </row>
    <row r="2943" spans="1:40" x14ac:dyDescent="0.25">
      <c r="A2943" t="str">
        <f>"20190312153943038"</f>
        <v>20190312153943038</v>
      </c>
      <c r="B2943" t="str">
        <f>"1552376383028329"</f>
        <v>1552376383028329</v>
      </c>
      <c r="C2943" t="s">
        <v>40</v>
      </c>
      <c r="D2943">
        <v>3.9868760000000001</v>
      </c>
      <c r="E2943">
        <v>0.42736109999999999</v>
      </c>
      <c r="F2943" t="s">
        <v>67</v>
      </c>
      <c r="G2943">
        <v>-512.82579999999996</v>
      </c>
      <c r="H2943">
        <v>1.9117489999999999</v>
      </c>
      <c r="I2943">
        <v>261.77809999999999</v>
      </c>
      <c r="J2943">
        <v>-385.46749999999997</v>
      </c>
      <c r="K2943">
        <v>1.110242</v>
      </c>
      <c r="L2943">
        <v>283.56029999999998</v>
      </c>
      <c r="M2943">
        <v>-0.99989629999999996</v>
      </c>
      <c r="N2943">
        <v>0</v>
      </c>
      <c r="O2943">
        <v>-3.4423959999999999E-3</v>
      </c>
      <c r="P2943">
        <v>-0.99966339999999998</v>
      </c>
      <c r="Q2943">
        <v>1.5359360000000001E-2</v>
      </c>
      <c r="R2943">
        <v>2.090438E-2</v>
      </c>
      <c r="S2943">
        <v>-3.0118710000000002</v>
      </c>
      <c r="T2943">
        <v>1.8914819999999999E-2</v>
      </c>
      <c r="U2943">
        <v>-0.51400760000000001</v>
      </c>
      <c r="V2943">
        <v>2.433716E-2</v>
      </c>
      <c r="W2943">
        <v>2.9339219999999999E-2</v>
      </c>
      <c r="X2943">
        <v>0.99927319999999997</v>
      </c>
      <c r="Y2943">
        <v>-0.16483049999999999</v>
      </c>
      <c r="Z2943">
        <v>4.9239179999999996E-4</v>
      </c>
      <c r="AA2943">
        <v>0.98632180000000003</v>
      </c>
      <c r="AB2943">
        <v>35</v>
      </c>
      <c r="AC2943">
        <v>-127.3583</v>
      </c>
      <c r="AD2943">
        <v>0.80150699999999997</v>
      </c>
      <c r="AE2943">
        <v>-21.7821999999999</v>
      </c>
      <c r="AF2943">
        <v>-21.342789063959302</v>
      </c>
      <c r="AG2943">
        <v>0.80150699999999997</v>
      </c>
      <c r="AH2943">
        <v>127.42763208157101</v>
      </c>
      <c r="AI2943">
        <v>89.644570825387305</v>
      </c>
      <c r="AJ2943">
        <v>99.508186192647202</v>
      </c>
      <c r="AK2943">
        <v>129.20510236215799</v>
      </c>
      <c r="AL2943">
        <v>88.318745272748401</v>
      </c>
      <c r="AM2943">
        <v>88.604845053667106</v>
      </c>
      <c r="AN2943">
        <v>1.0000000077126501</v>
      </c>
    </row>
    <row r="2944" spans="1:40" x14ac:dyDescent="0.25">
      <c r="A2944" t="str">
        <f>"20190312153943059"</f>
        <v>20190312153943059</v>
      </c>
      <c r="B2944" t="str">
        <f>"1552376383048824"</f>
        <v>1552376383048824</v>
      </c>
      <c r="C2944" t="s">
        <v>40</v>
      </c>
      <c r="D2944">
        <v>4.0016309999999997</v>
      </c>
      <c r="E2944">
        <v>0.42704809999999999</v>
      </c>
      <c r="F2944" t="s">
        <v>67</v>
      </c>
      <c r="G2944">
        <v>-512.82579999999996</v>
      </c>
      <c r="H2944">
        <v>1.981374</v>
      </c>
      <c r="I2944">
        <v>261.6447</v>
      </c>
      <c r="J2944">
        <v>-385.81729999999999</v>
      </c>
      <c r="K2944">
        <v>1.110258</v>
      </c>
      <c r="L2944">
        <v>283.55889999999999</v>
      </c>
      <c r="M2944">
        <v>-0.99989539999999999</v>
      </c>
      <c r="N2944">
        <v>0</v>
      </c>
      <c r="O2944">
        <v>-3.5797680000000001E-3</v>
      </c>
      <c r="P2944">
        <v>-0.99968520000000005</v>
      </c>
      <c r="Q2944">
        <v>1.55975E-2</v>
      </c>
      <c r="R2944">
        <v>1.9660500000000001E-2</v>
      </c>
      <c r="S2944">
        <v>-3.011536</v>
      </c>
      <c r="T2944">
        <v>2.060068E-2</v>
      </c>
      <c r="U2944">
        <v>-0.51821899999999999</v>
      </c>
      <c r="V2944">
        <v>2.323074E-2</v>
      </c>
      <c r="W2944">
        <v>2.9618530000000001E-2</v>
      </c>
      <c r="X2944">
        <v>0.99929129999999999</v>
      </c>
      <c r="Y2944">
        <v>-0.16605249999999999</v>
      </c>
      <c r="Z2944">
        <v>5.3948940000000001E-4</v>
      </c>
      <c r="AA2944">
        <v>0.98611680000000002</v>
      </c>
      <c r="AB2944">
        <v>35</v>
      </c>
      <c r="AC2944">
        <v>-127.008499999999</v>
      </c>
      <c r="AD2944">
        <v>0.871116</v>
      </c>
      <c r="AE2944">
        <v>-21.914199999999902</v>
      </c>
      <c r="AF2944">
        <v>-21.458373683743702</v>
      </c>
      <c r="AG2944">
        <v>0.871116</v>
      </c>
      <c r="AH2944">
        <v>127.080336207291</v>
      </c>
      <c r="AI2944">
        <v>89.612734468013102</v>
      </c>
      <c r="AJ2944">
        <v>99.584370282561295</v>
      </c>
      <c r="AK2944">
        <v>128.88224274427699</v>
      </c>
      <c r="AL2944">
        <v>88.302735040352502</v>
      </c>
      <c r="AM2944">
        <v>88.668272546391904</v>
      </c>
      <c r="AN2944">
        <v>1.0000000134279901</v>
      </c>
    </row>
    <row r="2945" spans="1:40" x14ac:dyDescent="0.25">
      <c r="A2945" t="str">
        <f>"20190312153943082"</f>
        <v>20190312153943082</v>
      </c>
      <c r="B2945" t="str">
        <f>"1552376383068344"</f>
        <v>1552376383068344</v>
      </c>
      <c r="C2945" t="s">
        <v>40</v>
      </c>
      <c r="D2945">
        <v>4.01213</v>
      </c>
      <c r="E2945">
        <v>0.4268634</v>
      </c>
      <c r="F2945" t="s">
        <v>67</v>
      </c>
      <c r="G2945">
        <v>-512.82579999999996</v>
      </c>
      <c r="H2945">
        <v>1.985133</v>
      </c>
      <c r="I2945">
        <v>261.43299999999999</v>
      </c>
      <c r="J2945">
        <v>-386.16180000000003</v>
      </c>
      <c r="K2945">
        <v>1.110271</v>
      </c>
      <c r="L2945">
        <v>283.55759999999998</v>
      </c>
      <c r="M2945">
        <v>-0.99989430000000001</v>
      </c>
      <c r="N2945">
        <v>0</v>
      </c>
      <c r="O2945">
        <v>-3.7152299999999999E-3</v>
      </c>
      <c r="P2945">
        <v>-0.99970780000000004</v>
      </c>
      <c r="Q2945">
        <v>1.5418289999999999E-2</v>
      </c>
      <c r="R2945">
        <v>1.8622989999999999E-2</v>
      </c>
      <c r="S2945">
        <v>-3.0109859999999999</v>
      </c>
      <c r="T2945">
        <v>2.0742420000000001E-2</v>
      </c>
      <c r="U2945">
        <v>-0.52453609999999995</v>
      </c>
      <c r="V2945">
        <v>2.2328730000000001E-2</v>
      </c>
      <c r="W2945">
        <v>2.9480300000000001E-2</v>
      </c>
      <c r="X2945">
        <v>0.99931590000000003</v>
      </c>
      <c r="Y2945">
        <v>-0.1679572</v>
      </c>
      <c r="Z2945">
        <v>5.487879E-4</v>
      </c>
      <c r="AA2945">
        <v>0.98579410000000001</v>
      </c>
      <c r="AB2945">
        <v>35</v>
      </c>
      <c r="AC2945">
        <v>-126.66399999999901</v>
      </c>
      <c r="AD2945">
        <v>0.87486200000000003</v>
      </c>
      <c r="AE2945">
        <v>-22.124599999999901</v>
      </c>
      <c r="AF2945">
        <v>-21.652812501489699</v>
      </c>
      <c r="AG2945">
        <v>0.87486200000000003</v>
      </c>
      <c r="AH2945">
        <v>126.739464537245</v>
      </c>
      <c r="AI2945">
        <v>89.6101511560869</v>
      </c>
      <c r="AJ2945">
        <v>99.695097593672401</v>
      </c>
      <c r="AK2945">
        <v>128.57877563552699</v>
      </c>
      <c r="AL2945">
        <v>88.310658412561907</v>
      </c>
      <c r="AM2945">
        <v>88.719995200050207</v>
      </c>
      <c r="AN2945">
        <v>0.99999996413215497</v>
      </c>
    </row>
    <row r="2946" spans="1:40" x14ac:dyDescent="0.25">
      <c r="A2946" t="str">
        <f>"20190312153943094"</f>
        <v>20190312153943094</v>
      </c>
      <c r="B2946" t="str">
        <f>"1552376383088839"</f>
        <v>1552376383088839</v>
      </c>
      <c r="C2946" t="s">
        <v>40</v>
      </c>
      <c r="D2946">
        <v>4.0497560000000004</v>
      </c>
      <c r="E2946">
        <v>0.42655090000000001</v>
      </c>
      <c r="F2946" t="s">
        <v>67</v>
      </c>
      <c r="G2946">
        <v>-512.82579999999996</v>
      </c>
      <c r="H2946">
        <v>1.9062129999999999</v>
      </c>
      <c r="I2946">
        <v>261.2876</v>
      </c>
      <c r="J2946">
        <v>-386.3759</v>
      </c>
      <c r="K2946">
        <v>1.1102730000000001</v>
      </c>
      <c r="L2946">
        <v>283.5566</v>
      </c>
      <c r="M2946">
        <v>-0.9998937</v>
      </c>
      <c r="N2946">
        <v>0</v>
      </c>
      <c r="O2946">
        <v>-3.7994439999999999E-3</v>
      </c>
      <c r="P2946">
        <v>-0.99971310000000002</v>
      </c>
      <c r="Q2946">
        <v>1.542575E-2</v>
      </c>
      <c r="R2946">
        <v>1.8346270000000001E-2</v>
      </c>
      <c r="S2946">
        <v>-3.0104679999999999</v>
      </c>
      <c r="T2946">
        <v>1.8919229999999999E-2</v>
      </c>
      <c r="U2946">
        <v>-0.52929689999999996</v>
      </c>
      <c r="V2946">
        <v>2.213654E-2</v>
      </c>
      <c r="W2946">
        <v>2.9513190000000002E-2</v>
      </c>
      <c r="X2946">
        <v>0.99931930000000002</v>
      </c>
      <c r="Y2946">
        <v>-0.16941600000000001</v>
      </c>
      <c r="Z2946">
        <v>5.0459319999999997E-4</v>
      </c>
      <c r="AA2946">
        <v>0.98554450000000005</v>
      </c>
      <c r="AB2946">
        <v>35</v>
      </c>
      <c r="AC2946">
        <v>-126.449899999999</v>
      </c>
      <c r="AD2946">
        <v>0.79593999999999998</v>
      </c>
      <c r="AE2946">
        <v>-22.268999999999998</v>
      </c>
      <c r="AF2946">
        <v>-21.7875150391746</v>
      </c>
      <c r="AG2946">
        <v>0.79593999999999998</v>
      </c>
      <c r="AH2946">
        <v>126.528742945993</v>
      </c>
      <c r="AI2946">
        <v>89.644807966102505</v>
      </c>
      <c r="AJ2946">
        <v>99.770187762602205</v>
      </c>
      <c r="AK2946">
        <v>128.39334921855999</v>
      </c>
      <c r="AL2946">
        <v>88.308773294584398</v>
      </c>
      <c r="AM2946">
        <v>88.731013278772494</v>
      </c>
      <c r="AN2946">
        <v>1.0000000590698099</v>
      </c>
    </row>
    <row r="2947" spans="1:40" x14ac:dyDescent="0.25">
      <c r="A2947" t="str">
        <f>"20190312153943109"</f>
        <v>20190312153943109</v>
      </c>
      <c r="B2947" t="str">
        <f>"1552376383098599"</f>
        <v>1552376383098599</v>
      </c>
      <c r="C2947" t="s">
        <v>40</v>
      </c>
      <c r="D2947">
        <v>4.0126650000000001</v>
      </c>
      <c r="E2947">
        <v>0.42644840000000001</v>
      </c>
      <c r="F2947" t="s">
        <v>67</v>
      </c>
      <c r="G2947">
        <v>-512.82569999999998</v>
      </c>
      <c r="H2947">
        <v>1.8573599999999999</v>
      </c>
      <c r="I2947">
        <v>261.18259999999998</v>
      </c>
      <c r="J2947">
        <v>-386.59660000000002</v>
      </c>
      <c r="K2947">
        <v>1.110277</v>
      </c>
      <c r="L2947">
        <v>283.5557</v>
      </c>
      <c r="M2947">
        <v>-0.99989280000000003</v>
      </c>
      <c r="N2947">
        <v>0</v>
      </c>
      <c r="O2947">
        <v>-3.885847E-3</v>
      </c>
      <c r="P2947">
        <v>-0.99972139999999998</v>
      </c>
      <c r="Q2947">
        <v>1.531424E-2</v>
      </c>
      <c r="R2947">
        <v>1.796387E-2</v>
      </c>
      <c r="S2947">
        <v>-3.0103759999999999</v>
      </c>
      <c r="T2947">
        <v>1.7787580000000001E-2</v>
      </c>
      <c r="U2947">
        <v>-0.53265379999999996</v>
      </c>
      <c r="V2947">
        <v>2.1840459999999999E-2</v>
      </c>
      <c r="W2947">
        <v>2.9432639999999999E-2</v>
      </c>
      <c r="X2947">
        <v>0.99932810000000005</v>
      </c>
      <c r="Y2947">
        <v>-0.170402</v>
      </c>
      <c r="Z2947">
        <v>4.7676419999999998E-4</v>
      </c>
      <c r="AA2947">
        <v>0.98537450000000004</v>
      </c>
      <c r="AB2947">
        <v>35</v>
      </c>
      <c r="AC2947">
        <v>-126.22909999999899</v>
      </c>
      <c r="AD2947">
        <v>0.74708299999999905</v>
      </c>
      <c r="AE2947">
        <v>-22.373100000000001</v>
      </c>
      <c r="AF2947">
        <v>-21.881632067291001</v>
      </c>
      <c r="AG2947">
        <v>0.74708299999999905</v>
      </c>
      <c r="AH2947">
        <v>126.310804206672</v>
      </c>
      <c r="AI2947">
        <v>89.6660932734829</v>
      </c>
      <c r="AJ2947">
        <v>99.828173351256098</v>
      </c>
      <c r="AK2947">
        <v>128.19431818248901</v>
      </c>
      <c r="AL2947">
        <v>88.313390322722597</v>
      </c>
      <c r="AM2947">
        <v>88.747991775212299</v>
      </c>
      <c r="AN2947">
        <v>0.99999996871999497</v>
      </c>
    </row>
    <row r="2948" spans="1:40" x14ac:dyDescent="0.25">
      <c r="A2948" t="str">
        <f>"20190312153943127"</f>
        <v>20190312153943127</v>
      </c>
      <c r="B2948" t="str">
        <f>"1552376383118680"</f>
        <v>1552376383118680</v>
      </c>
      <c r="C2948" t="s">
        <v>40</v>
      </c>
      <c r="D2948">
        <v>4.0596909999999999</v>
      </c>
      <c r="E2948">
        <v>0.42621579999999898</v>
      </c>
      <c r="F2948" t="s">
        <v>67</v>
      </c>
      <c r="G2948">
        <v>-512.82569999999998</v>
      </c>
      <c r="H2948">
        <v>1.8160000000000001</v>
      </c>
      <c r="I2948">
        <v>261.14179999999999</v>
      </c>
      <c r="J2948">
        <v>-386.87950000000001</v>
      </c>
      <c r="K2948">
        <v>1.110285</v>
      </c>
      <c r="L2948">
        <v>283.55450000000002</v>
      </c>
      <c r="M2948">
        <v>-0.99989170000000005</v>
      </c>
      <c r="N2948">
        <v>0</v>
      </c>
      <c r="O2948">
        <v>-3.9951470000000001E-3</v>
      </c>
      <c r="P2948">
        <v>-0.99972859999999997</v>
      </c>
      <c r="Q2948">
        <v>1.4939620000000001E-2</v>
      </c>
      <c r="R2948">
        <v>1.788532E-2</v>
      </c>
      <c r="S2948">
        <v>-3.0102540000000002</v>
      </c>
      <c r="T2948">
        <v>1.6831519999999999E-2</v>
      </c>
      <c r="U2948">
        <v>-0.53451539999999997</v>
      </c>
      <c r="V2948">
        <v>2.1871209999999999E-2</v>
      </c>
      <c r="W2948">
        <v>2.91071E-2</v>
      </c>
      <c r="X2948">
        <v>0.99933700000000003</v>
      </c>
      <c r="Y2948">
        <v>-0.17089219999999999</v>
      </c>
      <c r="Z2948">
        <v>4.5188649999999998E-4</v>
      </c>
      <c r="AA2948">
        <v>0.98528959999999999</v>
      </c>
      <c r="AB2948">
        <v>35</v>
      </c>
      <c r="AC2948">
        <v>-125.946199999999</v>
      </c>
      <c r="AD2948">
        <v>0.70571499999999898</v>
      </c>
      <c r="AE2948">
        <v>-22.412700000000001</v>
      </c>
      <c r="AF2948">
        <v>-21.908630279450801</v>
      </c>
      <c r="AG2948">
        <v>0.70571499999999898</v>
      </c>
      <c r="AH2948">
        <v>126.03091014967001</v>
      </c>
      <c r="AI2948">
        <v>89.683913621766706</v>
      </c>
      <c r="AJ2948">
        <v>99.861487345445695</v>
      </c>
      <c r="AK2948">
        <v>127.92293159374201</v>
      </c>
      <c r="AL2948">
        <v>88.332050449193403</v>
      </c>
      <c r="AM2948">
        <v>88.746240750697694</v>
      </c>
      <c r="AN2948">
        <v>1.00000000633313</v>
      </c>
    </row>
    <row r="2949" spans="1:40" x14ac:dyDescent="0.25">
      <c r="A2949" t="str">
        <f>"20190312153943148"</f>
        <v>20190312153943148</v>
      </c>
      <c r="B2949" t="str">
        <f>"1552376383139217"</f>
        <v>1552376383139217</v>
      </c>
      <c r="C2949" t="s">
        <v>40</v>
      </c>
      <c r="D2949">
        <v>4.0920069999999997</v>
      </c>
      <c r="E2949">
        <v>0.42600199999999999</v>
      </c>
      <c r="F2949" t="s">
        <v>67</v>
      </c>
      <c r="G2949">
        <v>-512.82569999999998</v>
      </c>
      <c r="H2949">
        <v>1.67226899999999</v>
      </c>
      <c r="I2949">
        <v>261.09739999999999</v>
      </c>
      <c r="J2949">
        <v>-387.21429999999998</v>
      </c>
      <c r="K2949">
        <v>1.110298</v>
      </c>
      <c r="L2949">
        <v>283.553</v>
      </c>
      <c r="M2949">
        <v>-0.99989030000000001</v>
      </c>
      <c r="N2949">
        <v>0</v>
      </c>
      <c r="O2949">
        <v>-4.1239620000000001E-3</v>
      </c>
      <c r="P2949">
        <v>-0.99972680000000003</v>
      </c>
      <c r="Q2949">
        <v>1.5079489999999999E-2</v>
      </c>
      <c r="R2949">
        <v>1.7864999999999999E-2</v>
      </c>
      <c r="S2949">
        <v>-3.0102229999999999</v>
      </c>
      <c r="T2949">
        <v>1.343369E-2</v>
      </c>
      <c r="U2949">
        <v>-0.53674319999999998</v>
      </c>
      <c r="V2949">
        <v>2.1979660000000002E-2</v>
      </c>
      <c r="W2949">
        <v>2.9307759999999999E-2</v>
      </c>
      <c r="X2949">
        <v>0.99932869999999996</v>
      </c>
      <c r="Y2949">
        <v>-0.17147470000000001</v>
      </c>
      <c r="Z2949">
        <v>3.6136369999999998E-4</v>
      </c>
      <c r="AA2949">
        <v>0.98518850000000002</v>
      </c>
      <c r="AB2949">
        <v>35</v>
      </c>
      <c r="AC2949">
        <v>-125.6114</v>
      </c>
      <c r="AD2949">
        <v>0.561970999999999</v>
      </c>
      <c r="AE2949">
        <v>-22.4556</v>
      </c>
      <c r="AF2949">
        <v>-21.936914458344098</v>
      </c>
      <c r="AG2949">
        <v>0.561970999999999</v>
      </c>
      <c r="AH2949">
        <v>125.70050899234</v>
      </c>
      <c r="AI2949">
        <v>89.747662436357501</v>
      </c>
      <c r="AJ2949">
        <v>99.899408905010802</v>
      </c>
      <c r="AK2949">
        <v>127.60157517950501</v>
      </c>
      <c r="AL2949">
        <v>88.320548477221394</v>
      </c>
      <c r="AM2949">
        <v>88.740015431145906</v>
      </c>
      <c r="AN2949">
        <v>0.99999995044681</v>
      </c>
    </row>
    <row r="2950" spans="1:40" x14ac:dyDescent="0.25">
      <c r="A2950" t="str">
        <f>"20190312153943160"</f>
        <v>20190312153943160</v>
      </c>
      <c r="B2950" t="str">
        <f>"1552376383148938"</f>
        <v>1552376383148938</v>
      </c>
      <c r="C2950" t="s">
        <v>40</v>
      </c>
      <c r="D2950">
        <v>4.0874819999999996</v>
      </c>
      <c r="E2950">
        <v>0.42590719999999999</v>
      </c>
      <c r="F2950" t="s">
        <v>67</v>
      </c>
      <c r="G2950">
        <v>-512.82569999999998</v>
      </c>
      <c r="H2950">
        <v>1.585939</v>
      </c>
      <c r="I2950">
        <v>261.08089999999999</v>
      </c>
      <c r="J2950">
        <v>-387.39920000000001</v>
      </c>
      <c r="K2950">
        <v>1.110304</v>
      </c>
      <c r="L2950">
        <v>283.55220000000003</v>
      </c>
      <c r="M2950">
        <v>-0.99988960000000005</v>
      </c>
      <c r="N2950">
        <v>0</v>
      </c>
      <c r="O2950">
        <v>-4.1959229999999998E-3</v>
      </c>
      <c r="P2950">
        <v>-0.99972720000000004</v>
      </c>
      <c r="Q2950">
        <v>1.507092E-2</v>
      </c>
      <c r="R2950">
        <v>1.7840020000000002E-2</v>
      </c>
      <c r="S2950">
        <v>-3.010284</v>
      </c>
      <c r="T2950">
        <v>1.140058E-2</v>
      </c>
      <c r="U2950">
        <v>-0.53854369999999996</v>
      </c>
      <c r="V2950">
        <v>2.2026629999999998E-2</v>
      </c>
      <c r="W2950">
        <v>2.9327780000000001E-2</v>
      </c>
      <c r="X2950">
        <v>0.99932710000000002</v>
      </c>
      <c r="Y2950">
        <v>-0.17197179999999901</v>
      </c>
      <c r="Z2950">
        <v>3.0731509999999999E-4</v>
      </c>
      <c r="AA2950">
        <v>0.98510180000000003</v>
      </c>
      <c r="AB2950">
        <v>35</v>
      </c>
      <c r="AC2950">
        <v>-125.426499999999</v>
      </c>
      <c r="AD2950">
        <v>0.47563499999999898</v>
      </c>
      <c r="AE2950">
        <v>-22.471299999999999</v>
      </c>
      <c r="AF2950">
        <v>-21.9444629824157</v>
      </c>
      <c r="AG2950">
        <v>0.47563499999999898</v>
      </c>
      <c r="AH2950">
        <v>125.51794422512999</v>
      </c>
      <c r="AI2950">
        <v>89.786129589751496</v>
      </c>
      <c r="AJ2950">
        <v>99.916865604959497</v>
      </c>
      <c r="AK2950">
        <v>127.422682465653</v>
      </c>
      <c r="AL2950">
        <v>88.319400958524199</v>
      </c>
      <c r="AM2950">
        <v>88.737321724490002</v>
      </c>
      <c r="AN2950">
        <v>0.99999997195164703</v>
      </c>
    </row>
    <row r="2951" spans="1:40" x14ac:dyDescent="0.25">
      <c r="A2951" t="str">
        <f>"20190312153943171"</f>
        <v>20190312153943171</v>
      </c>
      <c r="B2951" t="str">
        <f>"1552376383158696"</f>
        <v>1552376383158696</v>
      </c>
      <c r="C2951" t="s">
        <v>40</v>
      </c>
      <c r="D2951">
        <v>4.0936000000000003</v>
      </c>
      <c r="E2951">
        <v>0.42578949999999999</v>
      </c>
      <c r="F2951" t="s">
        <v>67</v>
      </c>
      <c r="G2951">
        <v>-512.82569999999998</v>
      </c>
      <c r="H2951">
        <v>1.528632</v>
      </c>
      <c r="I2951">
        <v>261.0727</v>
      </c>
      <c r="J2951">
        <v>-387.58089999999999</v>
      </c>
      <c r="K2951">
        <v>1.110301</v>
      </c>
      <c r="L2951">
        <v>283.5514</v>
      </c>
      <c r="M2951">
        <v>-0.99988900000000003</v>
      </c>
      <c r="N2951">
        <v>0</v>
      </c>
      <c r="O2951">
        <v>-4.2674599999999998E-3</v>
      </c>
      <c r="P2951">
        <v>-0.99972810000000001</v>
      </c>
      <c r="Q2951">
        <v>1.5223520000000001E-2</v>
      </c>
      <c r="R2951">
        <v>1.7665449999999999E-2</v>
      </c>
      <c r="S2951">
        <v>-3.0103149999999999</v>
      </c>
      <c r="T2951">
        <v>1.0041949999999999E-2</v>
      </c>
      <c r="U2951">
        <v>-0.53952029999999995</v>
      </c>
      <c r="V2951">
        <v>2.1923649999999999E-2</v>
      </c>
      <c r="W2951">
        <v>2.9501280000000001E-2</v>
      </c>
      <c r="X2951">
        <v>0.99932430000000005</v>
      </c>
      <c r="Y2951">
        <v>-0.17220949999999999</v>
      </c>
      <c r="Z2951">
        <v>2.7083819999999998E-4</v>
      </c>
      <c r="AA2951">
        <v>0.9850603</v>
      </c>
      <c r="AB2951">
        <v>35</v>
      </c>
      <c r="AC2951">
        <v>-125.2448</v>
      </c>
      <c r="AD2951">
        <v>0.41833100000000001</v>
      </c>
      <c r="AE2951">
        <v>-22.4787</v>
      </c>
      <c r="AF2951">
        <v>-21.943726464437301</v>
      </c>
      <c r="AG2951">
        <v>0.41833100000000001</v>
      </c>
      <c r="AH2951">
        <v>125.338241385488</v>
      </c>
      <c r="AI2951">
        <v>89.811634409015497</v>
      </c>
      <c r="AJ2951">
        <v>99.930474315079707</v>
      </c>
      <c r="AK2951">
        <v>127.245341311887</v>
      </c>
      <c r="AL2951">
        <v>88.309455908770204</v>
      </c>
      <c r="AM2951">
        <v>88.743219642948304</v>
      </c>
      <c r="AN2951">
        <v>1.0000000142607199</v>
      </c>
    </row>
    <row r="2952" spans="1:40" x14ac:dyDescent="0.25">
      <c r="A2952" t="str">
        <f>"20190312153943194"</f>
        <v>20190312153943194</v>
      </c>
      <c r="B2952" t="str">
        <f>"1552376383188952"</f>
        <v>1552376383188952</v>
      </c>
      <c r="C2952" t="s">
        <v>40</v>
      </c>
      <c r="D2952">
        <v>4.1366779999999999</v>
      </c>
      <c r="E2952">
        <v>0.42550710000000003</v>
      </c>
      <c r="F2952" t="s">
        <v>67</v>
      </c>
      <c r="G2952">
        <v>-512.82569999999998</v>
      </c>
      <c r="H2952">
        <v>1.5340009999999999</v>
      </c>
      <c r="I2952">
        <v>261.03500000000003</v>
      </c>
      <c r="J2952">
        <v>-387.92239999999998</v>
      </c>
      <c r="K2952">
        <v>1.1103000000000001</v>
      </c>
      <c r="L2952">
        <v>283.54969999999997</v>
      </c>
      <c r="M2952">
        <v>-0.99988809999999995</v>
      </c>
      <c r="N2952">
        <v>0</v>
      </c>
      <c r="O2952">
        <v>-4.4032510000000004E-3</v>
      </c>
      <c r="P2952">
        <v>-0.99974090000000004</v>
      </c>
      <c r="Q2952">
        <v>1.4779860000000001E-2</v>
      </c>
      <c r="R2952">
        <v>1.7318599999999899E-2</v>
      </c>
      <c r="S2952">
        <v>-3.0101930000000001</v>
      </c>
      <c r="T2952">
        <v>1.018524E-2</v>
      </c>
      <c r="U2952">
        <v>-0.54116819999999999</v>
      </c>
      <c r="V2952">
        <v>2.1712809999999999E-2</v>
      </c>
      <c r="W2952">
        <v>2.9080890000000002E-2</v>
      </c>
      <c r="X2952">
        <v>0.99934120000000004</v>
      </c>
      <c r="Y2952">
        <v>-0.17260500000000001</v>
      </c>
      <c r="Z2952">
        <v>2.749087E-4</v>
      </c>
      <c r="AA2952">
        <v>0.98499110000000001</v>
      </c>
      <c r="AB2952">
        <v>35</v>
      </c>
      <c r="AC2952">
        <v>-124.9033</v>
      </c>
      <c r="AD2952">
        <v>0.423700999999999</v>
      </c>
      <c r="AE2952">
        <v>-22.514699999999898</v>
      </c>
      <c r="AF2952">
        <v>-21.964200099558798</v>
      </c>
      <c r="AG2952">
        <v>0.423700999999999</v>
      </c>
      <c r="AH2952">
        <v>124.999843767478</v>
      </c>
      <c r="AI2952">
        <v>89.808720705649094</v>
      </c>
      <c r="AJ2952">
        <v>99.965924278182399</v>
      </c>
      <c r="AK2952">
        <v>126.915588287825</v>
      </c>
      <c r="AL2952">
        <v>88.333552778899204</v>
      </c>
      <c r="AM2952">
        <v>88.755323336284306</v>
      </c>
      <c r="AN2952">
        <v>0.99999998914936405</v>
      </c>
    </row>
    <row r="2953" spans="1:40" x14ac:dyDescent="0.25">
      <c r="A2953" t="str">
        <f>"20190312153943206"</f>
        <v>20190312153943206</v>
      </c>
      <c r="B2953" t="str">
        <f>"1552376383198712"</f>
        <v>1552376383198712</v>
      </c>
      <c r="C2953" t="s">
        <v>40</v>
      </c>
      <c r="D2953">
        <v>4.0788320000000002</v>
      </c>
      <c r="E2953">
        <v>0.4254038</v>
      </c>
      <c r="F2953" t="s">
        <v>67</v>
      </c>
      <c r="G2953">
        <v>-512.82560000000001</v>
      </c>
      <c r="H2953">
        <v>1.4095040000000001</v>
      </c>
      <c r="I2953">
        <v>260.95710000000003</v>
      </c>
      <c r="J2953">
        <v>-388.11970000000002</v>
      </c>
      <c r="K2953">
        <v>1.110293</v>
      </c>
      <c r="L2953">
        <v>283.54880000000003</v>
      </c>
      <c r="M2953">
        <v>-0.99988759999999999</v>
      </c>
      <c r="N2953">
        <v>0</v>
      </c>
      <c r="O2953">
        <v>-4.4817169999999996E-3</v>
      </c>
      <c r="P2953">
        <v>-0.9997414</v>
      </c>
      <c r="Q2953">
        <v>1.466746E-2</v>
      </c>
      <c r="R2953">
        <v>1.7378459999999998E-2</v>
      </c>
      <c r="S2953">
        <v>-3.0100709999999999</v>
      </c>
      <c r="T2953">
        <v>7.2123999999999999E-3</v>
      </c>
      <c r="U2953">
        <v>-0.54446410000000001</v>
      </c>
      <c r="V2953">
        <v>2.185119E-2</v>
      </c>
      <c r="W2953">
        <v>2.8973639999999998E-2</v>
      </c>
      <c r="X2953">
        <v>0.99934129999999999</v>
      </c>
      <c r="Y2953">
        <v>-0.1735796</v>
      </c>
      <c r="Z2953">
        <v>1.956301E-4</v>
      </c>
      <c r="AA2953">
        <v>0.98481980000000002</v>
      </c>
      <c r="AB2953">
        <v>35</v>
      </c>
      <c r="AC2953">
        <v>-124.7059</v>
      </c>
      <c r="AD2953">
        <v>0.299211</v>
      </c>
      <c r="AE2953">
        <v>-22.591699999999999</v>
      </c>
      <c r="AF2953">
        <v>-22.032396496306198</v>
      </c>
      <c r="AG2953">
        <v>0.299211</v>
      </c>
      <c r="AH2953">
        <v>124.805211651523</v>
      </c>
      <c r="AI2953">
        <v>89.864729618267404</v>
      </c>
      <c r="AJ2953">
        <v>100.01151807012199</v>
      </c>
      <c r="AK2953">
        <v>126.735381318614</v>
      </c>
      <c r="AL2953">
        <v>88.339700343363603</v>
      </c>
      <c r="AM2953">
        <v>88.747393412250702</v>
      </c>
      <c r="AN2953">
        <v>0.99999999010247698</v>
      </c>
    </row>
    <row r="2954" spans="1:40" x14ac:dyDescent="0.25">
      <c r="A2954" t="str">
        <f>"20190312153943226"</f>
        <v>20190312153943226</v>
      </c>
      <c r="B2954" t="str">
        <f>"1552376383218885"</f>
        <v>1552376383218885</v>
      </c>
      <c r="C2954" t="s">
        <v>40</v>
      </c>
      <c r="D2954">
        <v>4.0929719999999996</v>
      </c>
      <c r="E2954">
        <v>0.4253074</v>
      </c>
      <c r="F2954" t="s">
        <v>67</v>
      </c>
      <c r="G2954">
        <v>-512.82560000000001</v>
      </c>
      <c r="H2954">
        <v>1.3714759999999999</v>
      </c>
      <c r="I2954">
        <v>260.96850000000001</v>
      </c>
      <c r="J2954">
        <v>-388.44029999999998</v>
      </c>
      <c r="K2954">
        <v>1.110285</v>
      </c>
      <c r="L2954">
        <v>283.54719999999998</v>
      </c>
      <c r="M2954">
        <v>-0.99988699999999997</v>
      </c>
      <c r="N2954">
        <v>0</v>
      </c>
      <c r="O2954">
        <v>-4.6091680000000003E-3</v>
      </c>
      <c r="P2954">
        <v>-0.99974010000000002</v>
      </c>
      <c r="Q2954">
        <v>1.4508210000000001E-2</v>
      </c>
      <c r="R2954">
        <v>1.758794E-2</v>
      </c>
      <c r="S2954">
        <v>-3.0101619999999998</v>
      </c>
      <c r="T2954">
        <v>6.3062910000000003E-3</v>
      </c>
      <c r="U2954">
        <v>-0.54504390000000003</v>
      </c>
      <c r="V2954">
        <v>2.2188099999999999E-2</v>
      </c>
      <c r="W2954">
        <v>2.8818739999999999E-2</v>
      </c>
      <c r="X2954">
        <v>0.99933839999999996</v>
      </c>
      <c r="Y2954">
        <v>-0.1736327</v>
      </c>
      <c r="Z2954">
        <v>1.7083490000000001E-4</v>
      </c>
      <c r="AA2954">
        <v>0.98481050000000003</v>
      </c>
      <c r="AB2954">
        <v>35</v>
      </c>
      <c r="AC2954">
        <v>-124.3853</v>
      </c>
      <c r="AD2954">
        <v>0.26119099999999901</v>
      </c>
      <c r="AE2954">
        <v>-22.578699999999898</v>
      </c>
      <c r="AF2954">
        <v>-22.0049947361167</v>
      </c>
      <c r="AG2954">
        <v>0.26119099999999901</v>
      </c>
      <c r="AH2954">
        <v>124.487526748024</v>
      </c>
      <c r="AI2954">
        <v>89.881621372760904</v>
      </c>
      <c r="AJ2954">
        <v>100.024318915652</v>
      </c>
      <c r="AK2954">
        <v>126.41768994058999</v>
      </c>
      <c r="AL2954">
        <v>88.348579240908194</v>
      </c>
      <c r="AM2954">
        <v>88.728082851534793</v>
      </c>
      <c r="AN2954">
        <v>1.0000000346356701</v>
      </c>
    </row>
    <row r="2955" spans="1:40" x14ac:dyDescent="0.25">
      <c r="A2955" t="str">
        <f>"20190312153943249"</f>
        <v>20190312153943249</v>
      </c>
      <c r="B2955" t="str">
        <f>"1552376383238405"</f>
        <v>1552376383238405</v>
      </c>
      <c r="C2955" t="s">
        <v>40</v>
      </c>
      <c r="D2955">
        <v>4.1146859999999998</v>
      </c>
      <c r="E2955">
        <v>0.42502469999999998</v>
      </c>
      <c r="F2955" t="s">
        <v>67</v>
      </c>
      <c r="G2955">
        <v>-512.82560000000001</v>
      </c>
      <c r="H2955">
        <v>1.32897</v>
      </c>
      <c r="I2955">
        <v>261.01679999999999</v>
      </c>
      <c r="J2955">
        <v>-388.78370000000001</v>
      </c>
      <c r="K2955">
        <v>1.110284</v>
      </c>
      <c r="L2955">
        <v>283.5455</v>
      </c>
      <c r="M2955">
        <v>-0.99988650000000001</v>
      </c>
      <c r="N2955">
        <v>0</v>
      </c>
      <c r="O2955">
        <v>-4.744875E-3</v>
      </c>
      <c r="P2955">
        <v>-0.99972989999999995</v>
      </c>
      <c r="Q2955">
        <v>1.4730750000000001E-2</v>
      </c>
      <c r="R2955">
        <v>1.7980409999999999E-2</v>
      </c>
      <c r="S2955">
        <v>-3.0102540000000002</v>
      </c>
      <c r="T2955">
        <v>5.2942040000000003E-3</v>
      </c>
      <c r="U2955">
        <v>-0.54525760000000001</v>
      </c>
      <c r="V2955">
        <v>2.271627E-2</v>
      </c>
      <c r="W2955">
        <v>2.903275E-2</v>
      </c>
      <c r="X2955">
        <v>0.99932030000000005</v>
      </c>
      <c r="Y2955">
        <v>-0.17356150000000001</v>
      </c>
      <c r="Z2955">
        <v>1.4311400000000001E-4</v>
      </c>
      <c r="AA2955">
        <v>0.984823</v>
      </c>
      <c r="AB2955">
        <v>35</v>
      </c>
      <c r="AC2955">
        <v>-124.0419</v>
      </c>
      <c r="AD2955">
        <v>0.21868599999999999</v>
      </c>
      <c r="AE2955">
        <v>-22.528700000000001</v>
      </c>
      <c r="AF2955">
        <v>-21.939756835764602</v>
      </c>
      <c r="AG2955">
        <v>0.21868599999999999</v>
      </c>
      <c r="AH2955">
        <v>124.147036624262</v>
      </c>
      <c r="AI2955">
        <v>89.900613187012098</v>
      </c>
      <c r="AJ2955">
        <v>100.02205828991799</v>
      </c>
      <c r="AK2955">
        <v>126.070961986355</v>
      </c>
      <c r="AL2955">
        <v>88.336312173847404</v>
      </c>
      <c r="AM2955">
        <v>88.697792606054307</v>
      </c>
      <c r="AN2955">
        <v>0.99999999574368204</v>
      </c>
    </row>
    <row r="2956" spans="1:40" x14ac:dyDescent="0.25">
      <c r="A2956" t="str">
        <f>"20190312153943272"</f>
        <v>20190312153943272</v>
      </c>
      <c r="B2956" t="str">
        <f>"1552376383258901"</f>
        <v>1552376383258901</v>
      </c>
      <c r="C2956" t="s">
        <v>40</v>
      </c>
      <c r="D2956">
        <v>4.1272390000000003</v>
      </c>
      <c r="E2956">
        <v>0.42486410000000002</v>
      </c>
      <c r="F2956" t="s">
        <v>67</v>
      </c>
      <c r="G2956">
        <v>-512.82560000000001</v>
      </c>
      <c r="H2956">
        <v>1.303064</v>
      </c>
      <c r="I2956">
        <v>261.03449999999998</v>
      </c>
      <c r="J2956">
        <v>-389.14109999999999</v>
      </c>
      <c r="K2956">
        <v>1.110282</v>
      </c>
      <c r="L2956">
        <v>283.5437</v>
      </c>
      <c r="M2956">
        <v>-0.99988630000000001</v>
      </c>
      <c r="N2956">
        <v>0</v>
      </c>
      <c r="O2956">
        <v>-4.8866509999999997E-3</v>
      </c>
      <c r="P2956">
        <v>-0.99971849999999995</v>
      </c>
      <c r="Q2956">
        <v>1.4903690000000001E-2</v>
      </c>
      <c r="R2956">
        <v>1.8472809999999999E-2</v>
      </c>
      <c r="S2956">
        <v>-3.0105900000000001</v>
      </c>
      <c r="T2956">
        <v>4.6807530000000002E-3</v>
      </c>
      <c r="U2956">
        <v>-0.54635619999999996</v>
      </c>
      <c r="V2956">
        <v>2.3350320000000001E-2</v>
      </c>
      <c r="W2956">
        <v>2.9178599999999999E-2</v>
      </c>
      <c r="X2956">
        <v>0.99930140000000001</v>
      </c>
      <c r="Y2956">
        <v>-0.17375060000000001</v>
      </c>
      <c r="Z2956">
        <v>1.2644030000000001E-4</v>
      </c>
      <c r="AA2956">
        <v>0.98478969999999999</v>
      </c>
      <c r="AB2956">
        <v>35</v>
      </c>
      <c r="AC2956">
        <v>-123.6845</v>
      </c>
      <c r="AD2956">
        <v>0.19278199999999901</v>
      </c>
      <c r="AE2956">
        <v>-22.5092</v>
      </c>
      <c r="AF2956">
        <v>-21.904415186710501</v>
      </c>
      <c r="AG2956">
        <v>0.19278199999999901</v>
      </c>
      <c r="AH2956">
        <v>123.79273763303399</v>
      </c>
      <c r="AI2956">
        <v>89.912138392512603</v>
      </c>
      <c r="AJ2956">
        <v>100.034297786832</v>
      </c>
      <c r="AK2956">
        <v>125.715879904857</v>
      </c>
      <c r="AL2956">
        <v>88.327951979536607</v>
      </c>
      <c r="AM2956">
        <v>88.661433504662</v>
      </c>
      <c r="AN2956">
        <v>0.99999995809201003</v>
      </c>
    </row>
    <row r="2957" spans="1:40" x14ac:dyDescent="0.25">
      <c r="A2957" t="str">
        <f>"20190312153943295"</f>
        <v>20190312153943295</v>
      </c>
      <c r="B2957" t="str">
        <f>"1552376383289157"</f>
        <v>1552376383289157</v>
      </c>
      <c r="C2957" t="s">
        <v>40</v>
      </c>
      <c r="D2957">
        <v>4.1065620000000003</v>
      </c>
      <c r="E2957">
        <v>0.42455910000000002</v>
      </c>
      <c r="F2957" t="s">
        <v>67</v>
      </c>
      <c r="G2957">
        <v>-512.82560000000001</v>
      </c>
      <c r="H2957">
        <v>1.297069</v>
      </c>
      <c r="I2957">
        <v>261.1044</v>
      </c>
      <c r="J2957">
        <v>-389.49090000000001</v>
      </c>
      <c r="K2957">
        <v>1.1102730000000001</v>
      </c>
      <c r="L2957">
        <v>283.54180000000002</v>
      </c>
      <c r="M2957">
        <v>-0.99988600000000005</v>
      </c>
      <c r="N2957">
        <v>0</v>
      </c>
      <c r="O2957">
        <v>-5.0256449999999996E-3</v>
      </c>
      <c r="P2957">
        <v>-0.99971319999999997</v>
      </c>
      <c r="Q2957">
        <v>1.5030679999999999E-2</v>
      </c>
      <c r="R2957">
        <v>1.8651899999999999E-2</v>
      </c>
      <c r="S2957">
        <v>-3.010834</v>
      </c>
      <c r="T2957">
        <v>4.5487879999999998E-3</v>
      </c>
      <c r="U2957">
        <v>-0.54623409999999994</v>
      </c>
      <c r="V2957">
        <v>2.3668370000000001E-2</v>
      </c>
      <c r="W2957">
        <v>2.9273449999999999E-2</v>
      </c>
      <c r="X2957">
        <v>0.99929120000000005</v>
      </c>
      <c r="Y2957">
        <v>-0.1735611</v>
      </c>
      <c r="Z2957">
        <v>1.225159E-4</v>
      </c>
      <c r="AA2957">
        <v>0.98482309999999995</v>
      </c>
      <c r="AB2957">
        <v>35</v>
      </c>
      <c r="AC2957">
        <v>-123.3347</v>
      </c>
      <c r="AD2957">
        <v>0.18679599999999999</v>
      </c>
      <c r="AE2957">
        <v>-22.4374</v>
      </c>
      <c r="AF2957">
        <v>-21.817168889188999</v>
      </c>
      <c r="AG2957">
        <v>0.18679599999999999</v>
      </c>
      <c r="AH2957">
        <v>123.44564188035</v>
      </c>
      <c r="AI2957">
        <v>89.914624110434502</v>
      </c>
      <c r="AJ2957">
        <v>100.02267279128699</v>
      </c>
      <c r="AK2957">
        <v>125.35888580526201</v>
      </c>
      <c r="AL2957">
        <v>88.322515246821794</v>
      </c>
      <c r="AM2957">
        <v>88.643194085958498</v>
      </c>
      <c r="AN2957">
        <v>1.00000001450539</v>
      </c>
    </row>
    <row r="2958" spans="1:40" x14ac:dyDescent="0.25">
      <c r="A2958" t="str">
        <f>"20190312153943317"</f>
        <v>20190312153943317</v>
      </c>
      <c r="B2958" t="str">
        <f>"1552376383308678"</f>
        <v>1552376383308678</v>
      </c>
      <c r="C2958" t="s">
        <v>40</v>
      </c>
      <c r="D2958">
        <v>4.1212299999999997</v>
      </c>
      <c r="E2958">
        <v>0.4183772</v>
      </c>
      <c r="F2958" t="s">
        <v>67</v>
      </c>
      <c r="G2958">
        <v>-512.82560000000001</v>
      </c>
      <c r="H2958">
        <v>1.267388</v>
      </c>
      <c r="I2958">
        <v>261.08620000000002</v>
      </c>
      <c r="J2958">
        <v>-389.83769999999998</v>
      </c>
      <c r="K2958">
        <v>1.11026</v>
      </c>
      <c r="L2958">
        <v>283.53989999999999</v>
      </c>
      <c r="M2958">
        <v>-0.99988589999999999</v>
      </c>
      <c r="N2958">
        <v>0</v>
      </c>
      <c r="O2958">
        <v>-5.1639149999999998E-3</v>
      </c>
      <c r="P2958">
        <v>-0.99971969999999999</v>
      </c>
      <c r="Q2958">
        <v>1.5110770000000001E-2</v>
      </c>
      <c r="R2958">
        <v>1.8241859999999999E-2</v>
      </c>
      <c r="S2958">
        <v>-3.0110169999999998</v>
      </c>
      <c r="T2958">
        <v>3.8375850000000001E-3</v>
      </c>
      <c r="U2958">
        <v>-0.54821779999999998</v>
      </c>
      <c r="V2958">
        <v>2.339654E-2</v>
      </c>
      <c r="W2958">
        <v>2.9319680000000001E-2</v>
      </c>
      <c r="X2958">
        <v>0.99929619999999997</v>
      </c>
      <c r="Y2958">
        <v>-0.17404249999999999</v>
      </c>
      <c r="Z2958">
        <v>1.0347789999999999E-4</v>
      </c>
      <c r="AA2958">
        <v>0.98473820000000001</v>
      </c>
      <c r="AB2958">
        <v>35</v>
      </c>
      <c r="AC2958">
        <v>-122.9879</v>
      </c>
      <c r="AD2958">
        <v>0.15712799999999899</v>
      </c>
      <c r="AE2958">
        <v>-22.453699999999898</v>
      </c>
      <c r="AF2958">
        <v>-21.8182030343918</v>
      </c>
      <c r="AG2958">
        <v>0.15712799999999899</v>
      </c>
      <c r="AH2958">
        <v>123.10202609279099</v>
      </c>
      <c r="AI2958">
        <v>89.927989717730696</v>
      </c>
      <c r="AJ2958">
        <v>100.05054627930301</v>
      </c>
      <c r="AK2958">
        <v>125.02066829531999</v>
      </c>
      <c r="AL2958">
        <v>88.319865248257898</v>
      </c>
      <c r="AM2958">
        <v>88.658777914725604</v>
      </c>
      <c r="AN2958">
        <v>0.99999996852685602</v>
      </c>
    </row>
    <row r="2959" spans="1:40" x14ac:dyDescent="0.25">
      <c r="A2959" t="str">
        <f>"20190312153943338"</f>
        <v>20190312153943338</v>
      </c>
      <c r="B2959" t="str">
        <f>"1552376383328888"</f>
        <v>1552376383328888</v>
      </c>
      <c r="C2959" t="s">
        <v>40</v>
      </c>
      <c r="D2959">
        <v>4.1306089999999998</v>
      </c>
      <c r="E2959">
        <v>0.41831679999999999</v>
      </c>
      <c r="F2959" t="s">
        <v>65</v>
      </c>
      <c r="G2959">
        <v>-456.14600000000002</v>
      </c>
      <c r="H2959">
        <v>0.661444699999999</v>
      </c>
      <c r="I2959">
        <v>270.33199999999999</v>
      </c>
      <c r="J2959">
        <v>-390.17579999999998</v>
      </c>
      <c r="K2959">
        <v>1.11025</v>
      </c>
      <c r="L2959">
        <v>283.53800000000001</v>
      </c>
      <c r="M2959">
        <v>-0.99988540000000004</v>
      </c>
      <c r="N2959">
        <v>0</v>
      </c>
      <c r="O2959">
        <v>-5.2986140000000001E-3</v>
      </c>
      <c r="P2959">
        <v>-0.99971569999999998</v>
      </c>
      <c r="Q2959">
        <v>1.5625960000000001E-2</v>
      </c>
      <c r="R2959">
        <v>1.800999E-2</v>
      </c>
      <c r="S2959">
        <v>-3.0120849999999999</v>
      </c>
      <c r="T2959">
        <v>-2.038777E-2</v>
      </c>
      <c r="U2959">
        <v>-0.59997559999999905</v>
      </c>
      <c r="V2959">
        <v>2.329908E-2</v>
      </c>
      <c r="W2959">
        <v>2.980155E-2</v>
      </c>
      <c r="X2959">
        <v>0.99928430000000001</v>
      </c>
      <c r="Y2959">
        <v>-0.19014790000000001</v>
      </c>
      <c r="Z2959">
        <v>-6.0174220000000001E-4</v>
      </c>
      <c r="AA2959">
        <v>0.9817553</v>
      </c>
      <c r="AB2959">
        <v>35</v>
      </c>
      <c r="AC2959">
        <v>-65.970199999999906</v>
      </c>
      <c r="AD2959">
        <v>-0.44880530000000002</v>
      </c>
      <c r="AE2959">
        <v>-13.206</v>
      </c>
      <c r="AF2959">
        <v>-12.855656727807499</v>
      </c>
      <c r="AG2959">
        <v>-0.44880530000000002</v>
      </c>
      <c r="AH2959">
        <v>66.036315680319007</v>
      </c>
      <c r="AI2959">
        <v>90.382220410315597</v>
      </c>
      <c r="AJ2959">
        <v>101.01629981827899</v>
      </c>
      <c r="AK2959">
        <v>67.277517230730794</v>
      </c>
      <c r="AL2959">
        <v>88.292244191217705</v>
      </c>
      <c r="AM2959">
        <v>88.664346945759803</v>
      </c>
      <c r="AN2959">
        <v>1.00000004586886</v>
      </c>
    </row>
    <row r="2960" spans="1:40" x14ac:dyDescent="0.25">
      <c r="A2960" t="str">
        <f>"20190312153943361"</f>
        <v>20190312153943361</v>
      </c>
      <c r="B2960" t="str">
        <f>"1552376383348407"</f>
        <v>1552376383348407</v>
      </c>
      <c r="C2960" t="s">
        <v>40</v>
      </c>
      <c r="D2960">
        <v>4.0923410000000002</v>
      </c>
      <c r="E2960">
        <v>0.4178674</v>
      </c>
      <c r="F2960" t="s">
        <v>65</v>
      </c>
      <c r="G2960">
        <v>-456.34809999999999</v>
      </c>
      <c r="H2960">
        <v>0.70891000000000004</v>
      </c>
      <c r="I2960">
        <v>270.33199999999999</v>
      </c>
      <c r="J2960">
        <v>-390.52249999999998</v>
      </c>
      <c r="K2960">
        <v>1.1102479999999999</v>
      </c>
      <c r="L2960">
        <v>283.53609999999998</v>
      </c>
      <c r="M2960">
        <v>-0.99988529999999998</v>
      </c>
      <c r="N2960">
        <v>0</v>
      </c>
      <c r="O2960">
        <v>-5.4372489999999999E-3</v>
      </c>
      <c r="P2960">
        <v>-0.99972209999999995</v>
      </c>
      <c r="Q2960">
        <v>1.5701969999999999E-2</v>
      </c>
      <c r="R2960">
        <v>1.7594909999999998E-2</v>
      </c>
      <c r="S2960">
        <v>-3.0119929999999999</v>
      </c>
      <c r="T2960">
        <v>-1.8267390000000001E-2</v>
      </c>
      <c r="U2960">
        <v>-0.60110469999999905</v>
      </c>
      <c r="V2960">
        <v>2.3022529999999999E-2</v>
      </c>
      <c r="W2960">
        <v>2.984492E-2</v>
      </c>
      <c r="X2960">
        <v>0.99928939999999999</v>
      </c>
      <c r="Y2960">
        <v>-0.19037219999999999</v>
      </c>
      <c r="Z2960">
        <v>-5.3899850000000001E-4</v>
      </c>
      <c r="AA2960">
        <v>0.98171180000000002</v>
      </c>
      <c r="AB2960">
        <v>35</v>
      </c>
      <c r="AC2960">
        <v>-65.825599999999994</v>
      </c>
      <c r="AD2960">
        <v>-0.40133799999999897</v>
      </c>
      <c r="AE2960">
        <v>-13.204099999999899</v>
      </c>
      <c r="AF2960">
        <v>-12.8454997972269</v>
      </c>
      <c r="AG2960">
        <v>-0.40133799999999897</v>
      </c>
      <c r="AH2960">
        <v>65.894073178215805</v>
      </c>
      <c r="AI2960">
        <v>90.342517085381402</v>
      </c>
      <c r="AJ2960">
        <v>101.030988602002</v>
      </c>
      <c r="AK2960">
        <v>67.135659803467107</v>
      </c>
      <c r="AL2960">
        <v>88.289758141346496</v>
      </c>
      <c r="AM2960">
        <v>88.680201661985095</v>
      </c>
      <c r="AN2960">
        <v>1.00000003054488</v>
      </c>
    </row>
    <row r="2961" spans="1:40" x14ac:dyDescent="0.25">
      <c r="A2961" t="str">
        <f>"20190312153943383"</f>
        <v>20190312153943383</v>
      </c>
      <c r="B2961" t="str">
        <f>"1552376383378663"</f>
        <v>1552376383378663</v>
      </c>
      <c r="C2961" t="s">
        <v>40</v>
      </c>
      <c r="D2961">
        <v>4.0824639999999999</v>
      </c>
      <c r="E2961">
        <v>0.41750710000000002</v>
      </c>
      <c r="F2961" t="s">
        <v>65</v>
      </c>
      <c r="G2961">
        <v>-456.15929999999997</v>
      </c>
      <c r="H2961">
        <v>0.76409150000000003</v>
      </c>
      <c r="I2961">
        <v>270.33199999999999</v>
      </c>
      <c r="J2961">
        <v>-390.87270000000001</v>
      </c>
      <c r="K2961">
        <v>1.110257</v>
      </c>
      <c r="L2961">
        <v>283.53399999999999</v>
      </c>
      <c r="M2961">
        <v>-0.99988500000000002</v>
      </c>
      <c r="N2961">
        <v>0</v>
      </c>
      <c r="O2961">
        <v>-5.5770899999999998E-3</v>
      </c>
      <c r="P2961">
        <v>-0.99972159999999999</v>
      </c>
      <c r="Q2961">
        <v>1.6050689999999999E-2</v>
      </c>
      <c r="R2961">
        <v>1.7304E-2</v>
      </c>
      <c r="S2961">
        <v>-3.0117189999999998</v>
      </c>
      <c r="T2961">
        <v>-1.588237E-2</v>
      </c>
      <c r="U2961">
        <v>-0.60586549999999995</v>
      </c>
      <c r="V2961">
        <v>2.2871539999999999E-2</v>
      </c>
      <c r="W2961">
        <v>3.0162350000000001E-2</v>
      </c>
      <c r="X2961">
        <v>0.99928329999999999</v>
      </c>
      <c r="Y2961">
        <v>-0.19174469999999999</v>
      </c>
      <c r="Z2961">
        <v>-4.714497E-4</v>
      </c>
      <c r="AA2961">
        <v>0.98144469999999995</v>
      </c>
      <c r="AB2961">
        <v>35</v>
      </c>
      <c r="AC2961">
        <v>-65.286599999999893</v>
      </c>
      <c r="AD2961">
        <v>-0.34616550000000001</v>
      </c>
      <c r="AE2961">
        <v>-13.2019999999999</v>
      </c>
      <c r="AF2961">
        <v>-12.837302456422099</v>
      </c>
      <c r="AG2961">
        <v>-0.34616550000000001</v>
      </c>
      <c r="AH2961">
        <v>65.357455258025695</v>
      </c>
      <c r="AI2961">
        <v>90.2977744867285</v>
      </c>
      <c r="AJ2961">
        <v>101.112391339082</v>
      </c>
      <c r="AK2961">
        <v>66.607155191584994</v>
      </c>
      <c r="AL2961">
        <v>88.271562487815999</v>
      </c>
      <c r="AM2961">
        <v>88.688846339929995</v>
      </c>
      <c r="AN2961">
        <v>0.99999999417919105</v>
      </c>
    </row>
    <row r="2962" spans="1:40" x14ac:dyDescent="0.25">
      <c r="A2962" t="str">
        <f>"20190312153943405"</f>
        <v>20190312153943405</v>
      </c>
      <c r="B2962" t="str">
        <f>"1552376383399164"</f>
        <v>1552376383399164</v>
      </c>
      <c r="C2962" t="s">
        <v>40</v>
      </c>
      <c r="D2962">
        <v>4.1116910000000004</v>
      </c>
      <c r="E2962">
        <v>0.40834989999999999</v>
      </c>
      <c r="F2962" t="s">
        <v>65</v>
      </c>
      <c r="G2962">
        <v>-456.08120000000002</v>
      </c>
      <c r="H2962">
        <v>0.72914219999999996</v>
      </c>
      <c r="I2962">
        <v>270.33199999999999</v>
      </c>
      <c r="J2962">
        <v>-391.2208</v>
      </c>
      <c r="K2962">
        <v>1.110257</v>
      </c>
      <c r="L2962">
        <v>283.53190000000001</v>
      </c>
      <c r="M2962">
        <v>-0.99988449999999995</v>
      </c>
      <c r="N2962">
        <v>0</v>
      </c>
      <c r="O2962">
        <v>-5.716591E-3</v>
      </c>
      <c r="P2962">
        <v>-0.9997144</v>
      </c>
      <c r="Q2962">
        <v>1.6506719999999999E-2</v>
      </c>
      <c r="R2962">
        <v>1.729077E-2</v>
      </c>
      <c r="S2962">
        <v>-3.0116879999999999</v>
      </c>
      <c r="T2962">
        <v>-1.7598869999999999E-2</v>
      </c>
      <c r="U2962">
        <v>-0.60974119999999998</v>
      </c>
      <c r="V2962">
        <v>2.2997610000000002E-2</v>
      </c>
      <c r="W2962">
        <v>3.058988E-2</v>
      </c>
      <c r="X2962">
        <v>0.99926740000000003</v>
      </c>
      <c r="Y2962">
        <v>-0.19282260000000001</v>
      </c>
      <c r="Z2962">
        <v>-5.2465140000000003E-4</v>
      </c>
      <c r="AA2962">
        <v>0.98123349999999998</v>
      </c>
      <c r="AB2962">
        <v>35</v>
      </c>
      <c r="AC2962">
        <v>-64.860399999999998</v>
      </c>
      <c r="AD2962">
        <v>-0.38111479999999998</v>
      </c>
      <c r="AE2962">
        <v>-13.1999</v>
      </c>
      <c r="AF2962">
        <v>-12.828441818399501</v>
      </c>
      <c r="AG2962">
        <v>-0.38111479999999998</v>
      </c>
      <c r="AH2962">
        <v>64.932653158069598</v>
      </c>
      <c r="AI2962">
        <v>90.329910412961297</v>
      </c>
      <c r="AJ2962">
        <v>101.17573946988</v>
      </c>
      <c r="AK2962">
        <v>66.188848109972497</v>
      </c>
      <c r="AL2962">
        <v>88.247055495602595</v>
      </c>
      <c r="AM2962">
        <v>88.681600715782906</v>
      </c>
      <c r="AN2962">
        <v>0.99999998376344301</v>
      </c>
    </row>
    <row r="2963" spans="1:40" x14ac:dyDescent="0.25">
      <c r="A2963" t="str">
        <f>"20190312153943427"</f>
        <v>20190312153943427</v>
      </c>
      <c r="B2963" t="str">
        <f>"1552376383419190"</f>
        <v>1552376383419190</v>
      </c>
      <c r="C2963" t="s">
        <v>40</v>
      </c>
      <c r="D2963">
        <v>4.0667660000000003</v>
      </c>
      <c r="E2963">
        <v>0.40863110000000002</v>
      </c>
      <c r="F2963" t="s">
        <v>65</v>
      </c>
      <c r="G2963">
        <v>-450.54160000000002</v>
      </c>
      <c r="H2963">
        <v>0.76090429999999998</v>
      </c>
      <c r="I2963">
        <v>270.08659999999998</v>
      </c>
      <c r="J2963">
        <v>-391.56650000000002</v>
      </c>
      <c r="K2963">
        <v>1.1102510000000001</v>
      </c>
      <c r="L2963">
        <v>283.52980000000002</v>
      </c>
      <c r="M2963">
        <v>-0.9998842</v>
      </c>
      <c r="N2963">
        <v>0</v>
      </c>
      <c r="O2963">
        <v>-5.8548019999999897E-3</v>
      </c>
      <c r="P2963">
        <v>-0.99970380000000003</v>
      </c>
      <c r="Q2963">
        <v>1.7054679999999999E-2</v>
      </c>
      <c r="R2963">
        <v>1.737416E-2</v>
      </c>
      <c r="S2963">
        <v>-3.0129389999999998</v>
      </c>
      <c r="T2963">
        <v>-1.7743229999999999E-2</v>
      </c>
      <c r="U2963">
        <v>-0.68289180000000005</v>
      </c>
      <c r="V2963">
        <v>2.321898E-2</v>
      </c>
      <c r="W2963">
        <v>3.111129E-2</v>
      </c>
      <c r="X2963">
        <v>0.99924619999999997</v>
      </c>
      <c r="Y2963">
        <v>-0.21532860000000001</v>
      </c>
      <c r="Z2963">
        <v>-5.9204639999999996E-4</v>
      </c>
      <c r="AA2963">
        <v>0.97654149999999995</v>
      </c>
      <c r="AB2963">
        <v>35</v>
      </c>
      <c r="AC2963">
        <v>-58.975099999999998</v>
      </c>
      <c r="AD2963">
        <v>-0.34934670000000001</v>
      </c>
      <c r="AE2963">
        <v>-13.443199999999999</v>
      </c>
      <c r="AF2963">
        <v>-13.097211068978201</v>
      </c>
      <c r="AG2963">
        <v>-0.34934670000000001</v>
      </c>
      <c r="AH2963">
        <v>59.050834324700098</v>
      </c>
      <c r="AI2963">
        <v>90.330918208905103</v>
      </c>
      <c r="AJ2963">
        <v>102.505508394968</v>
      </c>
      <c r="AK2963">
        <v>60.486858203624202</v>
      </c>
      <c r="AL2963">
        <v>88.2171667059188</v>
      </c>
      <c r="AM2963">
        <v>88.668886404412603</v>
      </c>
      <c r="AN2963">
        <v>1.0000000008060701</v>
      </c>
    </row>
    <row r="2964" spans="1:40" x14ac:dyDescent="0.25">
      <c r="A2964" t="str">
        <f>"20190312153943449"</f>
        <v>20190312153943449</v>
      </c>
      <c r="B2964" t="str">
        <f>"1552376383438706"</f>
        <v>1552376383438706</v>
      </c>
      <c r="C2964" t="s">
        <v>40</v>
      </c>
      <c r="D2964">
        <v>4.0456560000000001</v>
      </c>
      <c r="E2964">
        <v>0.4083077</v>
      </c>
      <c r="F2964" t="s">
        <v>65</v>
      </c>
      <c r="G2964">
        <v>-451.09010000000001</v>
      </c>
      <c r="H2964">
        <v>0.77403829999999996</v>
      </c>
      <c r="I2964">
        <v>270.08659999999998</v>
      </c>
      <c r="J2964">
        <v>-391.90589999999997</v>
      </c>
      <c r="K2964">
        <v>1.110255</v>
      </c>
      <c r="L2964">
        <v>283.52760000000001</v>
      </c>
      <c r="M2964">
        <v>-0.99988370000000004</v>
      </c>
      <c r="N2964">
        <v>0</v>
      </c>
      <c r="O2964">
        <v>-5.9904099999999998E-3</v>
      </c>
      <c r="P2964">
        <v>-0.99970630000000005</v>
      </c>
      <c r="Q2964">
        <v>1.650985E-2</v>
      </c>
      <c r="R2964">
        <v>1.7751220000000002E-2</v>
      </c>
      <c r="S2964">
        <v>-3.0130309999999998</v>
      </c>
      <c r="T2964">
        <v>-1.7018200000000001E-2</v>
      </c>
      <c r="U2964">
        <v>-0.680481</v>
      </c>
      <c r="V2964">
        <v>2.373171E-2</v>
      </c>
      <c r="W2964">
        <v>3.0543170000000001E-2</v>
      </c>
      <c r="X2964">
        <v>0.99925169999999996</v>
      </c>
      <c r="Y2964">
        <v>-0.21444659999999999</v>
      </c>
      <c r="Z2964">
        <v>-5.6467069999999999E-4</v>
      </c>
      <c r="AA2964">
        <v>0.97673549999999998</v>
      </c>
      <c r="AB2964">
        <v>35</v>
      </c>
      <c r="AC2964">
        <v>-59.184199999999997</v>
      </c>
      <c r="AD2964">
        <v>-0.33621669999999898</v>
      </c>
      <c r="AE2964">
        <v>-13.441000000000001</v>
      </c>
      <c r="AF2964">
        <v>-13.085784694671</v>
      </c>
      <c r="AG2964">
        <v>-0.33621669999999898</v>
      </c>
      <c r="AH2964">
        <v>59.261844188592796</v>
      </c>
      <c r="AI2964">
        <v>90.317412910650702</v>
      </c>
      <c r="AJ2964">
        <v>102.451841112343</v>
      </c>
      <c r="AK2964">
        <v>60.690336787479602</v>
      </c>
      <c r="AL2964">
        <v>88.249733095411202</v>
      </c>
      <c r="AM2964">
        <v>88.639510681546</v>
      </c>
      <c r="AN2964">
        <v>1.0000000196230301</v>
      </c>
    </row>
    <row r="2965" spans="1:40" x14ac:dyDescent="0.25">
      <c r="A2965" t="str">
        <f>"20190312153943472"</f>
        <v>20190312153943472</v>
      </c>
      <c r="B2965" t="str">
        <f>"1552376383468962"</f>
        <v>1552376383468962</v>
      </c>
      <c r="C2965" t="s">
        <v>40</v>
      </c>
      <c r="D2965">
        <v>4.0257759999999996</v>
      </c>
      <c r="E2965">
        <v>0.4082692</v>
      </c>
      <c r="F2965" t="s">
        <v>65</v>
      </c>
      <c r="G2965">
        <v>-451.27530000000002</v>
      </c>
      <c r="H2965">
        <v>0.63864989999999999</v>
      </c>
      <c r="I2965">
        <v>270.08670000000001</v>
      </c>
      <c r="J2965">
        <v>-392.25560000000002</v>
      </c>
      <c r="K2965">
        <v>1.1102559999999999</v>
      </c>
      <c r="L2965">
        <v>283.52539999999999</v>
      </c>
      <c r="M2965">
        <v>-0.99988299999999997</v>
      </c>
      <c r="N2965">
        <v>0</v>
      </c>
      <c r="O2965">
        <v>-6.1300819999999898E-3</v>
      </c>
      <c r="P2965">
        <v>-0.99970650000000005</v>
      </c>
      <c r="Q2965">
        <v>1.5777880000000001E-2</v>
      </c>
      <c r="R2965">
        <v>1.8380299999999999E-2</v>
      </c>
      <c r="S2965">
        <v>-3.0133969999999999</v>
      </c>
      <c r="T2965">
        <v>-2.3936510000000001E-2</v>
      </c>
      <c r="U2965">
        <v>-0.68222050000000001</v>
      </c>
      <c r="V2965">
        <v>2.450053E-2</v>
      </c>
      <c r="W2965">
        <v>2.9790110000000002E-2</v>
      </c>
      <c r="X2965">
        <v>0.99925580000000003</v>
      </c>
      <c r="Y2965">
        <v>-0.21481800000000001</v>
      </c>
      <c r="Z2965">
        <v>-7.9443429999999902E-4</v>
      </c>
      <c r="AA2965">
        <v>0.97665380000000002</v>
      </c>
      <c r="AB2965">
        <v>35</v>
      </c>
      <c r="AC2965">
        <v>-59.0197</v>
      </c>
      <c r="AD2965">
        <v>-0.47160609999999897</v>
      </c>
      <c r="AE2965">
        <v>-13.4386999999999</v>
      </c>
      <c r="AF2965">
        <v>-13.0758225674429</v>
      </c>
      <c r="AG2965">
        <v>-0.47160609999999897</v>
      </c>
      <c r="AH2965">
        <v>59.0973918700127</v>
      </c>
      <c r="AI2965">
        <v>90.446422846927007</v>
      </c>
      <c r="AJ2965">
        <v>102.47619882486499</v>
      </c>
      <c r="AK2965">
        <v>60.528516204898501</v>
      </c>
      <c r="AL2965">
        <v>88.292899765665297</v>
      </c>
      <c r="AM2965">
        <v>88.595458977376396</v>
      </c>
      <c r="AN2965">
        <v>0.99999994022886396</v>
      </c>
    </row>
    <row r="2966" spans="1:40" x14ac:dyDescent="0.25">
      <c r="A2966" t="str">
        <f>"20190312153943495"</f>
        <v>20190312153943495</v>
      </c>
      <c r="B2966" t="str">
        <f>"1552376383488482"</f>
        <v>1552376383488482</v>
      </c>
      <c r="C2966" t="s">
        <v>40</v>
      </c>
      <c r="D2966">
        <v>4.022672</v>
      </c>
      <c r="E2966">
        <v>0.40800940000000002</v>
      </c>
      <c r="F2966" t="s">
        <v>65</v>
      </c>
      <c r="G2966">
        <v>-451.74630000000002</v>
      </c>
      <c r="H2966">
        <v>0.55822369999999899</v>
      </c>
      <c r="I2966">
        <v>270.08670000000001</v>
      </c>
      <c r="J2966">
        <v>-392.60230000000001</v>
      </c>
      <c r="K2966">
        <v>1.1102639999999999</v>
      </c>
      <c r="L2966">
        <v>283.5231</v>
      </c>
      <c r="M2966">
        <v>-0.99988250000000001</v>
      </c>
      <c r="N2966">
        <v>0</v>
      </c>
      <c r="O2966">
        <v>-6.268816E-3</v>
      </c>
      <c r="P2966">
        <v>-0.99966869999999997</v>
      </c>
      <c r="Q2966">
        <v>1.6778370000000001E-2</v>
      </c>
      <c r="R2966">
        <v>1.9520679999999999E-2</v>
      </c>
      <c r="S2966">
        <v>-3.013855</v>
      </c>
      <c r="T2966">
        <v>-2.7965899999999998E-2</v>
      </c>
      <c r="U2966">
        <v>-0.68081669999999905</v>
      </c>
      <c r="V2966">
        <v>2.5779079999999999E-2</v>
      </c>
      <c r="W2966">
        <v>3.0770510000000001E-2</v>
      </c>
      <c r="X2966">
        <v>0.99919400000000003</v>
      </c>
      <c r="Y2966">
        <v>-0.2142154</v>
      </c>
      <c r="Z2966">
        <v>-9.2403950000000004E-4</v>
      </c>
      <c r="AA2966">
        <v>0.97678600000000004</v>
      </c>
      <c r="AB2966">
        <v>35</v>
      </c>
      <c r="AC2966">
        <v>-59.143999999999998</v>
      </c>
      <c r="AD2966">
        <v>-0.55204030000000004</v>
      </c>
      <c r="AE2966">
        <v>-13.4363999999999</v>
      </c>
      <c r="AF2966">
        <v>-13.0642544929691</v>
      </c>
      <c r="AG2966">
        <v>-0.55204030000000004</v>
      </c>
      <c r="AH2966">
        <v>59.222169955594701</v>
      </c>
      <c r="AI2966">
        <v>90.521529755208704</v>
      </c>
      <c r="AJ2966">
        <v>102.44006070197401</v>
      </c>
      <c r="AK2966">
        <v>60.6485359114236</v>
      </c>
      <c r="AL2966">
        <v>88.236701343949903</v>
      </c>
      <c r="AM2966">
        <v>88.522103921992198</v>
      </c>
      <c r="AN2966">
        <v>1.0000000174436501</v>
      </c>
    </row>
    <row r="2967" spans="1:40" x14ac:dyDescent="0.25">
      <c r="A2967" t="str">
        <f>"20190312153943518"</f>
        <v>20190312153943518</v>
      </c>
      <c r="B2967" t="str">
        <f>"1552376383508978"</f>
        <v>1552376383508978</v>
      </c>
      <c r="C2967" t="s">
        <v>40</v>
      </c>
      <c r="D2967">
        <v>4.0276449999999997</v>
      </c>
      <c r="E2967">
        <v>0.40771639999999998</v>
      </c>
      <c r="F2967" t="s">
        <v>65</v>
      </c>
      <c r="G2967">
        <v>-452.233</v>
      </c>
      <c r="H2967">
        <v>0.61923030000000001</v>
      </c>
      <c r="I2967">
        <v>270.08670000000001</v>
      </c>
      <c r="J2967">
        <v>-392.95650000000001</v>
      </c>
      <c r="K2967">
        <v>1.110274</v>
      </c>
      <c r="L2967">
        <v>283.52080000000001</v>
      </c>
      <c r="M2967">
        <v>-0.99988180000000004</v>
      </c>
      <c r="N2967">
        <v>0</v>
      </c>
      <c r="O2967">
        <v>-6.4104239999999996E-3</v>
      </c>
      <c r="P2967">
        <v>-0.99963210000000002</v>
      </c>
      <c r="Q2967">
        <v>1.826092E-2</v>
      </c>
      <c r="R2967">
        <v>2.006024E-2</v>
      </c>
      <c r="S2967">
        <v>-3.0146790000000001</v>
      </c>
      <c r="T2967">
        <v>-2.4824019999999999E-2</v>
      </c>
      <c r="U2967">
        <v>-0.67929079999999997</v>
      </c>
      <c r="V2967">
        <v>2.6459440000000001E-2</v>
      </c>
      <c r="W2967">
        <v>3.2235109999999997E-2</v>
      </c>
      <c r="X2967">
        <v>0.99912999999999996</v>
      </c>
      <c r="Y2967">
        <v>-0.21355109999999999</v>
      </c>
      <c r="Z2967">
        <v>-8.1620390000000003E-4</v>
      </c>
      <c r="AA2967">
        <v>0.97693160000000001</v>
      </c>
      <c r="AB2967">
        <v>35</v>
      </c>
      <c r="AC2967">
        <v>-59.276499999999999</v>
      </c>
      <c r="AD2967">
        <v>-0.49104369999999897</v>
      </c>
      <c r="AE2967">
        <v>-13.434100000000001</v>
      </c>
      <c r="AF2967">
        <v>-13.052947324754699</v>
      </c>
      <c r="AG2967">
        <v>-0.49104369999999897</v>
      </c>
      <c r="AH2967">
        <v>59.357534151764398</v>
      </c>
      <c r="AI2967">
        <v>90.462916578044599</v>
      </c>
      <c r="AJ2967">
        <v>102.402161030925</v>
      </c>
      <c r="AK2967">
        <v>60.777770758362003</v>
      </c>
      <c r="AL2967">
        <v>88.152744200132901</v>
      </c>
      <c r="AM2967">
        <v>88.483020242853897</v>
      </c>
      <c r="AN2967">
        <v>0.999999980590912</v>
      </c>
    </row>
    <row r="2968" spans="1:40" x14ac:dyDescent="0.25">
      <c r="A2968" t="str">
        <f>"20190312153943539"</f>
        <v>20190312153943539</v>
      </c>
      <c r="B2968" t="str">
        <f>"1552376383528498"</f>
        <v>1552376383528498</v>
      </c>
      <c r="C2968" t="s">
        <v>40</v>
      </c>
      <c r="D2968">
        <v>4.0043280000000001</v>
      </c>
      <c r="E2968">
        <v>0.40233340000000001</v>
      </c>
      <c r="F2968" t="s">
        <v>65</v>
      </c>
      <c r="G2968">
        <v>-452.5215</v>
      </c>
      <c r="H2968">
        <v>0.70094299999999998</v>
      </c>
      <c r="I2968">
        <v>270.08659999999998</v>
      </c>
      <c r="J2968">
        <v>-393.28769999999997</v>
      </c>
      <c r="K2968">
        <v>1.1102780000000001</v>
      </c>
      <c r="L2968">
        <v>283.51850000000002</v>
      </c>
      <c r="M2968">
        <v>-0.99988129999999997</v>
      </c>
      <c r="N2968">
        <v>0</v>
      </c>
      <c r="O2968">
        <v>-6.5432299999999997E-3</v>
      </c>
      <c r="P2968">
        <v>-0.99962320000000005</v>
      </c>
      <c r="Q2968">
        <v>1.9008029999999999E-2</v>
      </c>
      <c r="R2968">
        <v>1.9806230000000001E-2</v>
      </c>
      <c r="S2968">
        <v>-3.0151370000000002</v>
      </c>
      <c r="T2968">
        <v>-2.0719410000000001E-2</v>
      </c>
      <c r="U2968">
        <v>-0.68002320000000005</v>
      </c>
      <c r="V2968">
        <v>2.6337989999999999E-2</v>
      </c>
      <c r="W2968">
        <v>3.2967620000000003E-2</v>
      </c>
      <c r="X2968">
        <v>0.99910929999999998</v>
      </c>
      <c r="Y2968">
        <v>-0.21361740000000001</v>
      </c>
      <c r="Z2968">
        <v>-6.8045439999999996E-4</v>
      </c>
      <c r="AA2968">
        <v>0.97691709999999998</v>
      </c>
      <c r="AB2968">
        <v>35</v>
      </c>
      <c r="AC2968">
        <v>-59.233800000000002</v>
      </c>
      <c r="AD2968">
        <v>-0.409335</v>
      </c>
      <c r="AE2968">
        <v>-13.431900000000001</v>
      </c>
      <c r="AF2968">
        <v>-13.0434018918627</v>
      </c>
      <c r="AG2968">
        <v>-0.409335</v>
      </c>
      <c r="AH2968">
        <v>59.317734107788702</v>
      </c>
      <c r="AI2968">
        <v>90.386150731281504</v>
      </c>
      <c r="AJ2968">
        <v>102.401430159505</v>
      </c>
      <c r="AK2968">
        <v>60.736245090861502</v>
      </c>
      <c r="AL2968">
        <v>88.110752132013701</v>
      </c>
      <c r="AM2968">
        <v>88.489948745040905</v>
      </c>
      <c r="AN2968">
        <v>0.99999997351609604</v>
      </c>
    </row>
    <row r="2969" spans="1:40" x14ac:dyDescent="0.25">
      <c r="A2969" t="str">
        <f>"20190312153943562"</f>
        <v>20190312153943562</v>
      </c>
      <c r="B2969" t="str">
        <f>"1552376383548994"</f>
        <v>1552376383548994</v>
      </c>
      <c r="C2969" t="s">
        <v>40</v>
      </c>
      <c r="D2969">
        <v>4.0508119999999996</v>
      </c>
      <c r="E2969">
        <v>0.40823999999999999</v>
      </c>
      <c r="F2969" t="s">
        <v>65</v>
      </c>
      <c r="G2969">
        <v>-448.28190000000001</v>
      </c>
      <c r="H2969">
        <v>0.60224719999999998</v>
      </c>
      <c r="I2969">
        <v>270.315</v>
      </c>
      <c r="J2969">
        <v>-393.63709999999998</v>
      </c>
      <c r="K2969">
        <v>1.110269</v>
      </c>
      <c r="L2969">
        <v>283.51609999999999</v>
      </c>
      <c r="M2969">
        <v>-0.99988049999999995</v>
      </c>
      <c r="N2969">
        <v>0</v>
      </c>
      <c r="O2969">
        <v>-6.6828369999999996E-3</v>
      </c>
      <c r="P2969">
        <v>-0.99963990000000003</v>
      </c>
      <c r="Q2969">
        <v>1.8825250000000002E-2</v>
      </c>
      <c r="R2969">
        <v>1.9130580000000001E-2</v>
      </c>
      <c r="S2969">
        <v>-3.0160520000000002</v>
      </c>
      <c r="T2969">
        <v>-2.7861360000000002E-2</v>
      </c>
      <c r="U2969">
        <v>-0.72412109999999996</v>
      </c>
      <c r="V2969">
        <v>2.5802120000000001E-2</v>
      </c>
      <c r="W2969">
        <v>3.2771269999999998E-2</v>
      </c>
      <c r="X2969">
        <v>0.99912979999999996</v>
      </c>
      <c r="Y2969">
        <v>-0.2269419</v>
      </c>
      <c r="Z2969">
        <v>-9.7264200000000002E-4</v>
      </c>
      <c r="AA2969">
        <v>0.97390779999999999</v>
      </c>
      <c r="AB2969">
        <v>35</v>
      </c>
      <c r="AC2969">
        <v>-54.644799999999996</v>
      </c>
      <c r="AD2969">
        <v>-0.50802179999999997</v>
      </c>
      <c r="AE2969">
        <v>-13.201099999999901</v>
      </c>
      <c r="AF2969">
        <v>-12.834539252266699</v>
      </c>
      <c r="AG2969">
        <v>-0.50802179999999997</v>
      </c>
      <c r="AH2969">
        <v>54.727339615186899</v>
      </c>
      <c r="AI2969">
        <v>90.5178009852267</v>
      </c>
      <c r="AJ2969">
        <v>103.198370200216</v>
      </c>
      <c r="AK2969">
        <v>56.214457084661497</v>
      </c>
      <c r="AL2969">
        <v>88.122008349560502</v>
      </c>
      <c r="AM2969">
        <v>88.520688635818004</v>
      </c>
      <c r="AN2969">
        <v>1.00000003139097</v>
      </c>
    </row>
    <row r="2970" spans="1:40" x14ac:dyDescent="0.25">
      <c r="A2970" t="str">
        <f>"20190312153943585"</f>
        <v>20190312153943585</v>
      </c>
      <c r="B2970" t="str">
        <f>"1552376383579251"</f>
        <v>1552376383579251</v>
      </c>
      <c r="C2970" t="s">
        <v>40</v>
      </c>
      <c r="D2970">
        <v>4.0881489999999996</v>
      </c>
      <c r="E2970">
        <v>0.40773969999999998</v>
      </c>
      <c r="F2970" t="s">
        <v>62</v>
      </c>
      <c r="G2970">
        <v>-426.66930000000002</v>
      </c>
      <c r="H2970" s="1">
        <v>4.1856539999999996E-6</v>
      </c>
      <c r="I2970">
        <v>276.03899999999999</v>
      </c>
      <c r="J2970">
        <v>-393.99189999999999</v>
      </c>
      <c r="K2970">
        <v>1.1102540000000001</v>
      </c>
      <c r="L2970">
        <v>283.51350000000002</v>
      </c>
      <c r="M2970">
        <v>-0.99987979999999999</v>
      </c>
      <c r="N2970">
        <v>0</v>
      </c>
      <c r="O2970">
        <v>-6.8250749999999999E-3</v>
      </c>
      <c r="P2970">
        <v>-0.99966929999999998</v>
      </c>
      <c r="Q2970">
        <v>1.850021E-2</v>
      </c>
      <c r="R2970">
        <v>1.7878049999999999E-2</v>
      </c>
      <c r="S2970">
        <v>-3.0160520000000002</v>
      </c>
      <c r="T2970">
        <v>-0.10137450000000001</v>
      </c>
      <c r="U2970">
        <v>-0.68270869999999995</v>
      </c>
      <c r="V2970">
        <v>2.4692269999999999E-2</v>
      </c>
      <c r="W2970">
        <v>3.243385E-2</v>
      </c>
      <c r="X2970">
        <v>0.99916879999999997</v>
      </c>
      <c r="Y2970">
        <v>-0.21399940000000001</v>
      </c>
      <c r="Z2970">
        <v>-3.3240940000000001E-3</v>
      </c>
      <c r="AA2970">
        <v>0.97682820000000004</v>
      </c>
      <c r="AB2970">
        <v>34</v>
      </c>
      <c r="AC2970">
        <v>-32.677399999999999</v>
      </c>
      <c r="AD2970">
        <v>-1.110249814346</v>
      </c>
      <c r="AE2970">
        <v>-7.4745000000000301</v>
      </c>
      <c r="AF2970">
        <v>-7.2433327685414</v>
      </c>
      <c r="AG2970">
        <v>-1.110249814346</v>
      </c>
      <c r="AH2970">
        <v>32.691795496412396</v>
      </c>
      <c r="AI2970">
        <v>91.899061241614604</v>
      </c>
      <c r="AJ2970">
        <v>102.49287711045299</v>
      </c>
      <c r="AK2970">
        <v>33.5030150438036</v>
      </c>
      <c r="AL2970">
        <v>88.141351272419897</v>
      </c>
      <c r="AM2970">
        <v>88.584348356691393</v>
      </c>
      <c r="AN2970">
        <v>0.99999997685850694</v>
      </c>
    </row>
    <row r="2971" spans="1:40" x14ac:dyDescent="0.25">
      <c r="A2971" t="str">
        <f>"20190312153943606"</f>
        <v>20190312153943606</v>
      </c>
      <c r="B2971" t="str">
        <f>"1552376383598770"</f>
        <v>1552376383598770</v>
      </c>
      <c r="C2971" t="s">
        <v>40</v>
      </c>
      <c r="D2971">
        <v>4.0540830000000003</v>
      </c>
      <c r="E2971">
        <v>0.40812690000000001</v>
      </c>
      <c r="F2971" t="s">
        <v>62</v>
      </c>
      <c r="G2971">
        <v>-426.0926</v>
      </c>
      <c r="H2971" s="1">
        <v>4.2698420000000001E-6</v>
      </c>
      <c r="I2971">
        <v>276.16250000000002</v>
      </c>
      <c r="J2971">
        <v>-394.32310000000001</v>
      </c>
      <c r="K2971">
        <v>1.110258</v>
      </c>
      <c r="L2971">
        <v>283.5111</v>
      </c>
      <c r="M2971">
        <v>-0.99987890000000001</v>
      </c>
      <c r="N2971">
        <v>0</v>
      </c>
      <c r="O2971">
        <v>-6.9576730000000002E-3</v>
      </c>
      <c r="P2971">
        <v>-0.99968679999999999</v>
      </c>
      <c r="Q2971">
        <v>1.811244E-2</v>
      </c>
      <c r="R2971">
        <v>1.7265309999999999E-2</v>
      </c>
      <c r="S2971">
        <v>-3.0152589999999999</v>
      </c>
      <c r="T2971">
        <v>-0.1042873</v>
      </c>
      <c r="U2971">
        <v>-0.69049069999999901</v>
      </c>
      <c r="V2971">
        <v>2.4211989999999999E-2</v>
      </c>
      <c r="W2971">
        <v>3.2035420000000002E-2</v>
      </c>
      <c r="X2971">
        <v>0.99919340000000001</v>
      </c>
      <c r="Y2971">
        <v>-0.21631359999999999</v>
      </c>
      <c r="Z2971">
        <v>-3.4544350000000001E-3</v>
      </c>
      <c r="AA2971">
        <v>0.97631780000000001</v>
      </c>
      <c r="AB2971">
        <v>34</v>
      </c>
      <c r="AC2971">
        <v>-31.769499999999901</v>
      </c>
      <c r="AD2971">
        <v>-1.110253730158</v>
      </c>
      <c r="AE2971">
        <v>-7.34859999999997</v>
      </c>
      <c r="AF2971">
        <v>-7.1191058620803096</v>
      </c>
      <c r="AG2971">
        <v>-1.110253730158</v>
      </c>
      <c r="AH2971">
        <v>31.7830196429443</v>
      </c>
      <c r="AI2971">
        <v>91.952321747474699</v>
      </c>
      <c r="AJ2971">
        <v>102.625338144781</v>
      </c>
      <c r="AK2971">
        <v>32.589487096985998</v>
      </c>
      <c r="AL2971">
        <v>88.164191486601098</v>
      </c>
      <c r="AM2971">
        <v>88.611906942846403</v>
      </c>
      <c r="AN2971">
        <v>0.99999996959894699</v>
      </c>
    </row>
    <row r="2972" spans="1:40" x14ac:dyDescent="0.25">
      <c r="A2972" t="str">
        <f>"20190312153943629"</f>
        <v>20190312153943629</v>
      </c>
      <c r="B2972" t="str">
        <f>"1552376383618290"</f>
        <v>1552376383618290</v>
      </c>
      <c r="C2972" t="s">
        <v>40</v>
      </c>
      <c r="D2972">
        <v>4.0470569999999997</v>
      </c>
      <c r="E2972">
        <v>0.40801300000000001</v>
      </c>
      <c r="F2972" t="s">
        <v>62</v>
      </c>
      <c r="G2972">
        <v>-424.93889999999999</v>
      </c>
      <c r="H2972" s="1">
        <v>4.4028999999999998E-6</v>
      </c>
      <c r="I2972">
        <v>276.50979999999998</v>
      </c>
      <c r="J2972">
        <v>-394.66430000000003</v>
      </c>
      <c r="K2972">
        <v>1.110263</v>
      </c>
      <c r="L2972">
        <v>283.5086</v>
      </c>
      <c r="M2972">
        <v>-0.99987800000000004</v>
      </c>
      <c r="N2972">
        <v>0</v>
      </c>
      <c r="O2972">
        <v>-7.0944479999999997E-3</v>
      </c>
      <c r="P2972">
        <v>-0.99968029999999997</v>
      </c>
      <c r="Q2972">
        <v>1.8778889999999999E-2</v>
      </c>
      <c r="R2972">
        <v>1.6934859999999999E-2</v>
      </c>
      <c r="S2972">
        <v>-3.0148619999999999</v>
      </c>
      <c r="T2972">
        <v>-0.109331</v>
      </c>
      <c r="U2972">
        <v>-0.68945310000000004</v>
      </c>
      <c r="V2972">
        <v>2.4018299999999999E-2</v>
      </c>
      <c r="W2972">
        <v>3.269263E-2</v>
      </c>
      <c r="X2972">
        <v>0.99917679999999998</v>
      </c>
      <c r="Y2972">
        <v>-0.21587729999999999</v>
      </c>
      <c r="Z2972">
        <v>-3.6092989999999998E-3</v>
      </c>
      <c r="AA2972">
        <v>0.9764138</v>
      </c>
      <c r="AB2972">
        <v>34</v>
      </c>
      <c r="AC2972">
        <v>-30.2745999999999</v>
      </c>
      <c r="AD2972">
        <v>-1.1102585970999901</v>
      </c>
      <c r="AE2972">
        <v>-6.9988000000000099</v>
      </c>
      <c r="AF2972">
        <v>-6.7751717653764301</v>
      </c>
      <c r="AG2972">
        <v>-1.1102585970999901</v>
      </c>
      <c r="AH2972">
        <v>30.2848315001891</v>
      </c>
      <c r="AI2972">
        <v>92.048951918465804</v>
      </c>
      <c r="AJ2972">
        <v>102.610288065292</v>
      </c>
      <c r="AK2972">
        <v>31.053287194717999</v>
      </c>
      <c r="AL2972">
        <v>88.126516412998299</v>
      </c>
      <c r="AM2972">
        <v>88.622984187216602</v>
      </c>
      <c r="AN2972">
        <v>0.99999998222472297</v>
      </c>
    </row>
    <row r="2973" spans="1:40" x14ac:dyDescent="0.25">
      <c r="A2973" t="str">
        <f>"20190312153943650"</f>
        <v>20190312153943650</v>
      </c>
      <c r="B2973" t="str">
        <f>"1552376383638786"</f>
        <v>1552376383638786</v>
      </c>
      <c r="C2973" t="s">
        <v>40</v>
      </c>
      <c r="D2973">
        <v>4.0538480000000003</v>
      </c>
      <c r="E2973">
        <v>0.40787950000000001</v>
      </c>
      <c r="F2973" t="s">
        <v>62</v>
      </c>
      <c r="G2973">
        <v>-425.37009999999998</v>
      </c>
      <c r="H2973" s="1">
        <v>4.3226290000000001E-6</v>
      </c>
      <c r="I2973">
        <v>276.46640000000002</v>
      </c>
      <c r="J2973">
        <v>-395.00599999999997</v>
      </c>
      <c r="K2973">
        <v>1.110279</v>
      </c>
      <c r="L2973">
        <v>283.50599999999997</v>
      </c>
      <c r="M2973">
        <v>-0.99987709999999996</v>
      </c>
      <c r="N2973">
        <v>0</v>
      </c>
      <c r="O2973">
        <v>-7.2314679999999996E-3</v>
      </c>
      <c r="P2973">
        <v>-0.99968919999999994</v>
      </c>
      <c r="Q2973">
        <v>1.8757490000000002E-2</v>
      </c>
      <c r="R2973">
        <v>1.641973E-2</v>
      </c>
      <c r="S2973">
        <v>-3.0146790000000001</v>
      </c>
      <c r="T2973">
        <v>-0.1090045</v>
      </c>
      <c r="U2973">
        <v>-0.69140630000000003</v>
      </c>
      <c r="V2973">
        <v>2.364014E-2</v>
      </c>
      <c r="W2973">
        <v>3.2662610000000002E-2</v>
      </c>
      <c r="X2973">
        <v>0.99918680000000004</v>
      </c>
      <c r="Y2973">
        <v>-0.21635799999999999</v>
      </c>
      <c r="Z2973">
        <v>-3.6021730000000002E-3</v>
      </c>
      <c r="AA2973">
        <v>0.97630749999999999</v>
      </c>
      <c r="AB2973">
        <v>34</v>
      </c>
      <c r="AC2973">
        <v>-30.364100000000001</v>
      </c>
      <c r="AD2973">
        <v>-1.1102746773709999</v>
      </c>
      <c r="AE2973">
        <v>-7.0395999999999503</v>
      </c>
      <c r="AF2973">
        <v>-6.8111754259097701</v>
      </c>
      <c r="AG2973">
        <v>-1.1102746773709999</v>
      </c>
      <c r="AH2973">
        <v>30.375675974903402</v>
      </c>
      <c r="AI2973">
        <v>92.042634176860403</v>
      </c>
      <c r="AJ2973">
        <v>102.63845219490599</v>
      </c>
      <c r="AK2973">
        <v>31.149743361287101</v>
      </c>
      <c r="AL2973">
        <v>88.128237350617297</v>
      </c>
      <c r="AM2973">
        <v>88.644670242672603</v>
      </c>
      <c r="AN2973">
        <v>0.99999998180273497</v>
      </c>
    </row>
    <row r="2974" spans="1:40" x14ac:dyDescent="0.25">
      <c r="A2974" t="str">
        <f>"20190312153943673"</f>
        <v>20190312153943673</v>
      </c>
      <c r="B2974" t="str">
        <f>"1552376383669046"</f>
        <v>1552376383669046</v>
      </c>
      <c r="C2974" t="s">
        <v>40</v>
      </c>
      <c r="D2974">
        <v>4.0274349999999997</v>
      </c>
      <c r="E2974">
        <v>0.40765639999999997</v>
      </c>
      <c r="F2974" t="s">
        <v>62</v>
      </c>
      <c r="G2974">
        <v>-425.58710000000002</v>
      </c>
      <c r="H2974" s="1">
        <v>4.2753219999999997E-6</v>
      </c>
      <c r="I2974">
        <v>276.46409999999997</v>
      </c>
      <c r="J2974">
        <v>-395.35469999999998</v>
      </c>
      <c r="K2974">
        <v>1.110287</v>
      </c>
      <c r="L2974">
        <v>283.5034</v>
      </c>
      <c r="M2974">
        <v>-0.9998764</v>
      </c>
      <c r="N2974">
        <v>0</v>
      </c>
      <c r="O2974">
        <v>-7.3712359999999998E-3</v>
      </c>
      <c r="P2974">
        <v>-0.99969220000000003</v>
      </c>
      <c r="Q2974">
        <v>1.8777950000000002E-2</v>
      </c>
      <c r="R2974">
        <v>1.622966E-2</v>
      </c>
      <c r="S2974">
        <v>-3.0143740000000001</v>
      </c>
      <c r="T2974">
        <v>-0.1094395</v>
      </c>
      <c r="U2974">
        <v>-0.69412229999999997</v>
      </c>
      <c r="V2974">
        <v>2.359004E-2</v>
      </c>
      <c r="W2974">
        <v>3.2675000000000003E-2</v>
      </c>
      <c r="X2974">
        <v>0.99918759999999995</v>
      </c>
      <c r="Y2974">
        <v>-0.2170771</v>
      </c>
      <c r="Z2974">
        <v>-3.624412E-3</v>
      </c>
      <c r="AA2974">
        <v>0.97614769999999895</v>
      </c>
      <c r="AB2974">
        <v>34</v>
      </c>
      <c r="AC2974">
        <v>-30.232399999999998</v>
      </c>
      <c r="AD2974">
        <v>-1.110282724678</v>
      </c>
      <c r="AE2974">
        <v>-7.0393000000000203</v>
      </c>
      <c r="AF2974">
        <v>-6.8075277894657198</v>
      </c>
      <c r="AG2974">
        <v>-1.110282724678</v>
      </c>
      <c r="AH2974">
        <v>30.2447778540486</v>
      </c>
      <c r="AI2974">
        <v>92.0511094196887</v>
      </c>
      <c r="AJ2974">
        <v>102.684806056496</v>
      </c>
      <c r="AK2974">
        <v>31.021311219447501</v>
      </c>
      <c r="AL2974">
        <v>88.127527116111295</v>
      </c>
      <c r="AM2974">
        <v>88.647542576050398</v>
      </c>
      <c r="AN2974">
        <v>1.0000000028029801</v>
      </c>
    </row>
    <row r="2975" spans="1:40" x14ac:dyDescent="0.25">
      <c r="A2975" t="str">
        <f>"20190312153943697"</f>
        <v>20190312153943697</v>
      </c>
      <c r="B2975" t="str">
        <f>"1552376383688580"</f>
        <v>1552376383688580</v>
      </c>
      <c r="C2975" t="s">
        <v>40</v>
      </c>
      <c r="D2975">
        <v>4.3061299999999996</v>
      </c>
      <c r="E2975">
        <v>0.42793769999999998</v>
      </c>
      <c r="F2975" t="s">
        <v>62</v>
      </c>
      <c r="G2975">
        <v>-426.04770000000002</v>
      </c>
      <c r="H2975" s="1">
        <v>4.1925269999999998E-6</v>
      </c>
      <c r="I2975">
        <v>276.40940000000001</v>
      </c>
      <c r="J2975">
        <v>-395.70909999999998</v>
      </c>
      <c r="K2975">
        <v>1.11029</v>
      </c>
      <c r="L2975">
        <v>283.50069999999999</v>
      </c>
      <c r="M2975">
        <v>-0.99987539999999997</v>
      </c>
      <c r="N2975">
        <v>0</v>
      </c>
      <c r="O2975">
        <v>-7.51315199999999E-3</v>
      </c>
      <c r="P2975">
        <v>-0.99968990000000002</v>
      </c>
      <c r="Q2975">
        <v>1.9116830000000001E-2</v>
      </c>
      <c r="R2975">
        <v>1.5962219999999999E-2</v>
      </c>
      <c r="S2975">
        <v>-3.0142820000000001</v>
      </c>
      <c r="T2975">
        <v>-0.1090381</v>
      </c>
      <c r="U2975">
        <v>-0.69668580000000002</v>
      </c>
      <c r="V2975">
        <v>2.34644E-2</v>
      </c>
      <c r="W2975">
        <v>3.3006699999999903E-2</v>
      </c>
      <c r="X2975">
        <v>0.9991797</v>
      </c>
      <c r="Y2975">
        <v>-0.21773390000000001</v>
      </c>
      <c r="Z2975">
        <v>-3.6175510000000001E-3</v>
      </c>
      <c r="AA2975">
        <v>0.97600140000000002</v>
      </c>
      <c r="AB2975">
        <v>34</v>
      </c>
      <c r="AC2975">
        <v>-30.3386</v>
      </c>
      <c r="AD2975">
        <v>-1.110285807473</v>
      </c>
      <c r="AE2975">
        <v>-7.0912999999999897</v>
      </c>
      <c r="AF2975">
        <v>-6.85443473945082</v>
      </c>
      <c r="AG2975">
        <v>-1.110285807473</v>
      </c>
      <c r="AH2975">
        <v>30.352481437153699</v>
      </c>
      <c r="AI2975">
        <v>92.0435159223954</v>
      </c>
      <c r="AJ2975">
        <v>102.725520645581</v>
      </c>
      <c r="AK2975">
        <v>31.136620554652801</v>
      </c>
      <c r="AL2975">
        <v>88.108511931935595</v>
      </c>
      <c r="AM2975">
        <v>88.654732446185903</v>
      </c>
      <c r="AN2975">
        <v>1.0000000466021599</v>
      </c>
    </row>
    <row r="2976" spans="1:40" x14ac:dyDescent="0.25">
      <c r="A2976" t="str">
        <f>"20190312153943718"</f>
        <v>20190312153943718</v>
      </c>
      <c r="B2976" t="str">
        <f>"1552376383709058"</f>
        <v>1552376383709058</v>
      </c>
      <c r="C2976" t="s">
        <v>40</v>
      </c>
      <c r="D2976">
        <v>4.2009429999999996</v>
      </c>
      <c r="E2976">
        <v>0.43946360000000001</v>
      </c>
      <c r="F2976" t="s">
        <v>67</v>
      </c>
      <c r="G2976">
        <v>-512.82560000000001</v>
      </c>
      <c r="H2976">
        <v>1.443195</v>
      </c>
      <c r="I2976">
        <v>262.88670000000002</v>
      </c>
      <c r="J2976">
        <v>-396.04250000000002</v>
      </c>
      <c r="K2976">
        <v>1.1102890000000001</v>
      </c>
      <c r="L2976">
        <v>283.49799999999999</v>
      </c>
      <c r="M2976">
        <v>-0.99987440000000005</v>
      </c>
      <c r="N2976">
        <v>0</v>
      </c>
      <c r="O2976">
        <v>-7.6468530000000003E-3</v>
      </c>
      <c r="P2976">
        <v>-0.99969490000000005</v>
      </c>
      <c r="Q2976">
        <v>1.9078379999999999E-2</v>
      </c>
      <c r="R2976">
        <v>1.5691279999999998E-2</v>
      </c>
      <c r="S2976">
        <v>-3.0092469999999998</v>
      </c>
      <c r="T2976">
        <v>8.5557700000000007E-3</v>
      </c>
      <c r="U2976">
        <v>-0.52966309999999905</v>
      </c>
      <c r="V2976">
        <v>2.3327009999999999E-2</v>
      </c>
      <c r="W2976">
        <v>3.2961890000000001E-2</v>
      </c>
      <c r="X2976">
        <v>0.99918439999999997</v>
      </c>
      <c r="Y2976">
        <v>-0.1658097</v>
      </c>
      <c r="Z2976">
        <v>2.123397E-4</v>
      </c>
      <c r="AA2976">
        <v>0.98615779999999997</v>
      </c>
      <c r="AB2976">
        <v>34</v>
      </c>
      <c r="AC2976">
        <v>-116.7831</v>
      </c>
      <c r="AD2976">
        <v>0.33290599999999998</v>
      </c>
      <c r="AE2976">
        <v>-20.6112999999999</v>
      </c>
      <c r="AF2976">
        <v>-19.717432614490399</v>
      </c>
      <c r="AG2976">
        <v>0.33290599999999998</v>
      </c>
      <c r="AH2976">
        <v>116.93639011960001</v>
      </c>
      <c r="AI2976">
        <v>89.8391556817908</v>
      </c>
      <c r="AJ2976">
        <v>99.570998795825602</v>
      </c>
      <c r="AK2976">
        <v>118.587551241752</v>
      </c>
      <c r="AL2976">
        <v>88.111080760636696</v>
      </c>
      <c r="AM2976">
        <v>88.662612747519006</v>
      </c>
      <c r="AN2976">
        <v>1.0000000503956299</v>
      </c>
    </row>
    <row r="2977" spans="1:40" x14ac:dyDescent="0.25">
      <c r="A2977" t="str">
        <f>"20190312153943732"</f>
        <v>20190312153943732</v>
      </c>
      <c r="B2977" t="str">
        <f>"1552376383728579"</f>
        <v>1552376383728579</v>
      </c>
      <c r="C2977" t="s">
        <v>40</v>
      </c>
      <c r="D2977">
        <v>4.2446999999999999</v>
      </c>
      <c r="E2977">
        <v>0.48878700000000003</v>
      </c>
      <c r="F2977" t="s">
        <v>67</v>
      </c>
      <c r="G2977">
        <v>-512.82539999999995</v>
      </c>
      <c r="H2977">
        <v>0.8051604</v>
      </c>
      <c r="I2977">
        <v>266.43740000000003</v>
      </c>
      <c r="J2977">
        <v>-396.25869999999998</v>
      </c>
      <c r="K2977">
        <v>1.1102920000000001</v>
      </c>
      <c r="L2977">
        <v>283.49619999999999</v>
      </c>
      <c r="M2977">
        <v>-0.99987389999999998</v>
      </c>
      <c r="N2977">
        <v>0</v>
      </c>
      <c r="O2977">
        <v>-7.7336050000000002E-3</v>
      </c>
      <c r="P2977">
        <v>-0.99970040000000004</v>
      </c>
      <c r="Q2977">
        <v>1.893212E-2</v>
      </c>
      <c r="R2977">
        <v>1.552429E-2</v>
      </c>
      <c r="S2977">
        <v>-3.0079349999999998</v>
      </c>
      <c r="T2977">
        <v>-7.8570840000000003E-3</v>
      </c>
      <c r="U2977">
        <v>-0.4394226</v>
      </c>
      <c r="V2977">
        <v>2.3246920000000001E-2</v>
      </c>
      <c r="W2977">
        <v>3.2812250000000001E-2</v>
      </c>
      <c r="X2977">
        <v>0.99919119999999995</v>
      </c>
      <c r="Y2977">
        <v>-0.13689560000000001</v>
      </c>
      <c r="Z2977">
        <v>-1.5775629999999999E-4</v>
      </c>
      <c r="AA2977">
        <v>0.99058539999999995</v>
      </c>
      <c r="AB2977">
        <v>34</v>
      </c>
      <c r="AC2977">
        <v>-116.566699999999</v>
      </c>
      <c r="AD2977">
        <v>-0.3051316</v>
      </c>
      <c r="AE2977">
        <v>-17.058799999999898</v>
      </c>
      <c r="AF2977">
        <v>-16.1566138385726</v>
      </c>
      <c r="AG2977">
        <v>-0.3051316</v>
      </c>
      <c r="AH2977">
        <v>116.694369302414</v>
      </c>
      <c r="AI2977">
        <v>90.148400659290203</v>
      </c>
      <c r="AJ2977">
        <v>97.882624771475193</v>
      </c>
      <c r="AK2977">
        <v>117.807916130073</v>
      </c>
      <c r="AL2977">
        <v>88.119659156357102</v>
      </c>
      <c r="AM2977">
        <v>88.667211886096993</v>
      </c>
      <c r="AN2977">
        <v>1.0000000585984901</v>
      </c>
    </row>
    <row r="2978" spans="1:40" x14ac:dyDescent="0.25">
      <c r="A2978" t="str">
        <f>"20190312153943752"</f>
        <v>20190312153943752</v>
      </c>
      <c r="B2978" t="str">
        <f>"1552376383749074"</f>
        <v>1552376383749074</v>
      </c>
      <c r="C2978" t="s">
        <v>40</v>
      </c>
      <c r="D2978">
        <v>4.2078530000000001</v>
      </c>
      <c r="E2978">
        <v>0.48946970000000001</v>
      </c>
      <c r="F2978" t="s">
        <v>61</v>
      </c>
      <c r="G2978">
        <v>-453.87670000000003</v>
      </c>
      <c r="H2978" s="1">
        <v>6.1590940000000001E-7</v>
      </c>
      <c r="I2978">
        <v>282.56459999999998</v>
      </c>
      <c r="J2978">
        <v>-396.55189999999999</v>
      </c>
      <c r="K2978">
        <v>1.1102959999999999</v>
      </c>
      <c r="L2978">
        <v>283.4939</v>
      </c>
      <c r="M2978">
        <v>-0.99987289999999995</v>
      </c>
      <c r="N2978">
        <v>0</v>
      </c>
      <c r="O2978">
        <v>-7.8509859999999904E-3</v>
      </c>
      <c r="P2978">
        <v>-0.99970309999999996</v>
      </c>
      <c r="Q2978">
        <v>1.9347920000000001E-2</v>
      </c>
      <c r="R2978">
        <v>1.4817550000000001E-2</v>
      </c>
      <c r="S2978">
        <v>-3.0027469999999998</v>
      </c>
      <c r="T2978">
        <v>-5.7862520000000001E-2</v>
      </c>
      <c r="U2978">
        <v>-4.8553470000000001E-2</v>
      </c>
      <c r="V2978">
        <v>2.2657460000000001E-2</v>
      </c>
      <c r="W2978">
        <v>3.322307E-2</v>
      </c>
      <c r="X2978">
        <v>0.9991911</v>
      </c>
      <c r="Y2978">
        <v>-8.3162719999999996E-3</v>
      </c>
      <c r="Z2978" s="1">
        <v>7.1160469999999995E-5</v>
      </c>
      <c r="AA2978">
        <v>0.9999654</v>
      </c>
      <c r="AB2978">
        <v>34</v>
      </c>
      <c r="AC2978">
        <v>-57.324800000000003</v>
      </c>
      <c r="AD2978">
        <v>-1.1102953840906</v>
      </c>
      <c r="AE2978">
        <v>-0.92930000000001201</v>
      </c>
      <c r="AF2978">
        <v>-0.47899217587896198</v>
      </c>
      <c r="AG2978">
        <v>-1.1102953840906</v>
      </c>
      <c r="AH2978">
        <v>57.308836444752799</v>
      </c>
      <c r="AI2978">
        <v>91.109864811866998</v>
      </c>
      <c r="AJ2978">
        <v>90.478871894183598</v>
      </c>
      <c r="AK2978">
        <v>57.321592127189803</v>
      </c>
      <c r="AL2978">
        <v>88.096107940831004</v>
      </c>
      <c r="AM2978">
        <v>88.700994837671701</v>
      </c>
      <c r="AN2978">
        <v>0.99999999359654301</v>
      </c>
    </row>
    <row r="2979" spans="1:40" x14ac:dyDescent="0.25">
      <c r="A2979" t="str">
        <f>"20190312153943764"</f>
        <v>20190312153943764</v>
      </c>
      <c r="B2979" t="str">
        <f>"1552376383758837"</f>
        <v>1552376383758837</v>
      </c>
      <c r="C2979" t="s">
        <v>40</v>
      </c>
      <c r="D2979">
        <v>4.2069210000000004</v>
      </c>
      <c r="E2979">
        <v>0.48932969999999998</v>
      </c>
      <c r="F2979" t="s">
        <v>61</v>
      </c>
      <c r="G2979">
        <v>-447.18860000000001</v>
      </c>
      <c r="H2979" s="1">
        <v>2.371107E-6</v>
      </c>
      <c r="I2979">
        <v>282.72919999999999</v>
      </c>
      <c r="J2979">
        <v>-396.73790000000002</v>
      </c>
      <c r="K2979">
        <v>1.1102970000000001</v>
      </c>
      <c r="L2979">
        <v>283.4923</v>
      </c>
      <c r="M2979">
        <v>-0.99987230000000005</v>
      </c>
      <c r="N2979">
        <v>0</v>
      </c>
      <c r="O2979">
        <v>-7.9255869999999996E-3</v>
      </c>
      <c r="P2979">
        <v>-0.99970320000000001</v>
      </c>
      <c r="Q2979">
        <v>1.9654339999999999E-2</v>
      </c>
      <c r="R2979">
        <v>1.439789E-2</v>
      </c>
      <c r="S2979">
        <v>-3.0028079999999999</v>
      </c>
      <c r="T2979">
        <v>-6.5841559999999993E-2</v>
      </c>
      <c r="U2979">
        <v>-4.534912E-2</v>
      </c>
      <c r="V2979">
        <v>2.231232E-2</v>
      </c>
      <c r="W2979">
        <v>3.3526630000000002E-2</v>
      </c>
      <c r="X2979">
        <v>0.99918870000000004</v>
      </c>
      <c r="Y2979">
        <v>-7.1747790000000001E-3</v>
      </c>
      <c r="Z2979" s="1">
        <v>9.5118089999999999E-5</v>
      </c>
      <c r="AA2979">
        <v>0.99997429999999998</v>
      </c>
      <c r="AB2979">
        <v>34</v>
      </c>
      <c r="AC2979">
        <v>-50.450699999999898</v>
      </c>
      <c r="AD2979">
        <v>-1.11029462889299</v>
      </c>
      <c r="AE2979">
        <v>-0.76310000000000799</v>
      </c>
      <c r="AF2979">
        <v>-0.36301033403382499</v>
      </c>
      <c r="AG2979">
        <v>-1.11029462889299</v>
      </c>
      <c r="AH2979">
        <v>50.430744163542997</v>
      </c>
      <c r="AI2979">
        <v>91.261200378500405</v>
      </c>
      <c r="AJ2979">
        <v>90.412419074714293</v>
      </c>
      <c r="AK2979">
        <v>50.444271107374398</v>
      </c>
      <c r="AL2979">
        <v>88.078705486704393</v>
      </c>
      <c r="AM2979">
        <v>88.720772823293402</v>
      </c>
      <c r="AN2979">
        <v>0.99999996637531396</v>
      </c>
    </row>
    <row r="2980" spans="1:40" x14ac:dyDescent="0.25">
      <c r="A2980" t="str">
        <f>"20190312153943775"</f>
        <v>20190312153943775</v>
      </c>
      <c r="B2980" t="str">
        <f>"1552376383768594"</f>
        <v>1552376383768594</v>
      </c>
      <c r="C2980" t="s">
        <v>40</v>
      </c>
      <c r="D2980">
        <v>4.2307800000000002</v>
      </c>
      <c r="E2980">
        <v>0.48946420000000002</v>
      </c>
      <c r="F2980" t="s">
        <v>61</v>
      </c>
      <c r="G2980">
        <v>-446.35500000000002</v>
      </c>
      <c r="H2980" s="1">
        <v>1.9288230000000001E-6</v>
      </c>
      <c r="I2980">
        <v>282.69959999999998</v>
      </c>
      <c r="J2980">
        <v>-396.92189999999999</v>
      </c>
      <c r="K2980">
        <v>1.1103019999999999</v>
      </c>
      <c r="L2980">
        <v>283.49079999999998</v>
      </c>
      <c r="M2980">
        <v>-0.99987190000000004</v>
      </c>
      <c r="N2980">
        <v>0</v>
      </c>
      <c r="O2980">
        <v>-7.9995919999999998E-3</v>
      </c>
      <c r="P2980">
        <v>-0.99970479999999995</v>
      </c>
      <c r="Q2980">
        <v>1.979413E-2</v>
      </c>
      <c r="R2980">
        <v>1.4101219999999999E-2</v>
      </c>
      <c r="S2980">
        <v>-3.0028990000000002</v>
      </c>
      <c r="T2980">
        <v>-6.7196610000000004E-2</v>
      </c>
      <c r="U2980">
        <v>-4.7973630000000003E-2</v>
      </c>
      <c r="V2980">
        <v>2.2089629999999999E-2</v>
      </c>
      <c r="W2980">
        <v>3.3663890000000002E-2</v>
      </c>
      <c r="X2980">
        <v>0.99918910000000005</v>
      </c>
      <c r="Y2980">
        <v>-7.9738910000000003E-3</v>
      </c>
      <c r="Z2980" s="1">
        <v>8.9787939999999997E-5</v>
      </c>
      <c r="AA2980">
        <v>0.99996819999999997</v>
      </c>
      <c r="AB2980">
        <v>34</v>
      </c>
      <c r="AC2980">
        <v>-49.433100000000003</v>
      </c>
      <c r="AD2980">
        <v>-1.1103000711769999</v>
      </c>
      <c r="AE2980">
        <v>-0.79120000000000301</v>
      </c>
      <c r="AF2980">
        <v>-0.39549257436639801</v>
      </c>
      <c r="AG2980">
        <v>-1.1103000711769999</v>
      </c>
      <c r="AH2980">
        <v>49.412926346944701</v>
      </c>
      <c r="AI2980">
        <v>91.287168624679097</v>
      </c>
      <c r="AJ2980">
        <v>90.458575784849799</v>
      </c>
      <c r="AK2980">
        <v>49.426981202507299</v>
      </c>
      <c r="AL2980">
        <v>88.070836755275096</v>
      </c>
      <c r="AM2980">
        <v>88.7335365861382</v>
      </c>
      <c r="AN2980">
        <v>1.0000000334011301</v>
      </c>
    </row>
    <row r="2981" spans="1:40" x14ac:dyDescent="0.25">
      <c r="A2981" t="str">
        <f>"20190312153943796"</f>
        <v>20190312153943796</v>
      </c>
      <c r="B2981" t="str">
        <f>"1552376383789090"</f>
        <v>1552376383789090</v>
      </c>
      <c r="C2981" t="s">
        <v>40</v>
      </c>
      <c r="D2981">
        <v>4.2259289999999998</v>
      </c>
      <c r="E2981">
        <v>0.48954589999999998</v>
      </c>
      <c r="F2981" t="s">
        <v>61</v>
      </c>
      <c r="G2981">
        <v>-446.07819999999998</v>
      </c>
      <c r="H2981" s="1">
        <v>1.781278E-6</v>
      </c>
      <c r="I2981">
        <v>282.70499999999998</v>
      </c>
      <c r="J2981">
        <v>-397.23649999999998</v>
      </c>
      <c r="K2981">
        <v>1.1103050000000001</v>
      </c>
      <c r="L2981">
        <v>283.48820000000001</v>
      </c>
      <c r="M2981">
        <v>-0.99987090000000001</v>
      </c>
      <c r="N2981">
        <v>0</v>
      </c>
      <c r="O2981">
        <v>-8.1257969999999902E-3</v>
      </c>
      <c r="P2981">
        <v>-0.99971379999999999</v>
      </c>
      <c r="Q2981">
        <v>2.007871E-2</v>
      </c>
      <c r="R2981">
        <v>1.3008749999999999E-2</v>
      </c>
      <c r="S2981">
        <v>-3.002869</v>
      </c>
      <c r="T2981">
        <v>-6.7826269999999994E-2</v>
      </c>
      <c r="U2981">
        <v>-4.8004150000000002E-2</v>
      </c>
      <c r="V2981">
        <v>2.1123289999999999E-2</v>
      </c>
      <c r="W2981">
        <v>3.3944580000000002E-2</v>
      </c>
      <c r="X2981">
        <v>0.99920050000000005</v>
      </c>
      <c r="Y2981">
        <v>-7.8580590000000006E-3</v>
      </c>
      <c r="Z2981" s="1">
        <v>9.4788070000000006E-5</v>
      </c>
      <c r="AA2981">
        <v>0.99996910000000006</v>
      </c>
      <c r="AB2981">
        <v>34</v>
      </c>
      <c r="AC2981">
        <v>-48.841700000000003</v>
      </c>
      <c r="AD2981">
        <v>-1.1103032187220001</v>
      </c>
      <c r="AE2981">
        <v>-0.78320000000002199</v>
      </c>
      <c r="AF2981">
        <v>-0.38605880768298001</v>
      </c>
      <c r="AG2981">
        <v>-1.1103032187220001</v>
      </c>
      <c r="AH2981">
        <v>48.821228811298802</v>
      </c>
      <c r="AI2981">
        <v>91.302768037737593</v>
      </c>
      <c r="AJ2981">
        <v>90.453062731803996</v>
      </c>
      <c r="AK2981">
        <v>48.835378541439503</v>
      </c>
      <c r="AL2981">
        <v>88.054745206944204</v>
      </c>
      <c r="AM2981">
        <v>88.788936633871998</v>
      </c>
      <c r="AN2981">
        <v>1.00000003354602</v>
      </c>
    </row>
    <row r="2982" spans="1:40" x14ac:dyDescent="0.25">
      <c r="A2982" t="str">
        <f>"20190312153943808"</f>
        <v>20190312153943808</v>
      </c>
      <c r="B2982" t="str">
        <f>"1552376383798850"</f>
        <v>1552376383798850</v>
      </c>
      <c r="C2982" t="s">
        <v>40</v>
      </c>
      <c r="D2982">
        <v>4.1981539999999997</v>
      </c>
      <c r="E2982">
        <v>0.4896837</v>
      </c>
      <c r="F2982" t="s">
        <v>61</v>
      </c>
      <c r="G2982">
        <v>-445.61989999999997</v>
      </c>
      <c r="H2982" s="1">
        <v>1.5387180000000001E-6</v>
      </c>
      <c r="I2982">
        <v>282.67489999999998</v>
      </c>
      <c r="J2982">
        <v>-397.41750000000002</v>
      </c>
      <c r="K2982">
        <v>1.1103069999999999</v>
      </c>
      <c r="L2982">
        <v>283.48660000000001</v>
      </c>
      <c r="M2982">
        <v>-0.99987040000000005</v>
      </c>
      <c r="N2982">
        <v>0</v>
      </c>
      <c r="O2982">
        <v>-8.1987290000000001E-3</v>
      </c>
      <c r="P2982">
        <v>-0.99971370000000004</v>
      </c>
      <c r="Q2982">
        <v>2.010762E-2</v>
      </c>
      <c r="R2982">
        <v>1.298038E-2</v>
      </c>
      <c r="S2982">
        <v>-3.002869</v>
      </c>
      <c r="T2982">
        <v>-6.8909880000000007E-2</v>
      </c>
      <c r="U2982">
        <v>-5.0476069999999998E-2</v>
      </c>
      <c r="V2982">
        <v>2.1168019999999999E-2</v>
      </c>
      <c r="W2982">
        <v>3.3971269999999998E-2</v>
      </c>
      <c r="X2982">
        <v>0.99919860000000005</v>
      </c>
      <c r="Y2982">
        <v>-8.6078819999999903E-3</v>
      </c>
      <c r="Z2982" s="1">
        <v>8.9372840000000002E-5</v>
      </c>
      <c r="AA2982">
        <v>0.99996289999999999</v>
      </c>
      <c r="AB2982">
        <v>34</v>
      </c>
      <c r="AC2982">
        <v>-48.202399999999898</v>
      </c>
      <c r="AD2982">
        <v>-1.110305461282</v>
      </c>
      <c r="AE2982">
        <v>-0.81170000000002995</v>
      </c>
      <c r="AF2982">
        <v>-0.41621558984052898</v>
      </c>
      <c r="AG2982">
        <v>-1.110305461282</v>
      </c>
      <c r="AH2982">
        <v>48.181878243828002</v>
      </c>
      <c r="AI2982">
        <v>91.320043759624298</v>
      </c>
      <c r="AJ2982">
        <v>90.494933040757203</v>
      </c>
      <c r="AK2982">
        <v>48.196466724622397</v>
      </c>
      <c r="AL2982">
        <v>88.053215010006696</v>
      </c>
      <c r="AM2982">
        <v>88.786370584157694</v>
      </c>
      <c r="AN2982">
        <v>0.99999998724904604</v>
      </c>
    </row>
    <row r="2983" spans="1:40" x14ac:dyDescent="0.25">
      <c r="A2983" t="str">
        <f>"20190312153943820"</f>
        <v>20190312153943820</v>
      </c>
      <c r="B2983" t="str">
        <f>"1552376383808610"</f>
        <v>1552376383808610</v>
      </c>
      <c r="C2983" t="s">
        <v>40</v>
      </c>
      <c r="D2983">
        <v>4.2541079999999996</v>
      </c>
      <c r="E2983">
        <v>0.48979630000000002</v>
      </c>
      <c r="F2983" t="s">
        <v>61</v>
      </c>
      <c r="G2983">
        <v>-445.1343</v>
      </c>
      <c r="H2983" s="1">
        <v>1.27931E-6</v>
      </c>
      <c r="I2983">
        <v>282.69760000000002</v>
      </c>
      <c r="J2983">
        <v>-397.59609999999998</v>
      </c>
      <c r="K2983">
        <v>1.110306</v>
      </c>
      <c r="L2983">
        <v>283.48509999999999</v>
      </c>
      <c r="M2983">
        <v>-0.99986960000000003</v>
      </c>
      <c r="N2983">
        <v>0</v>
      </c>
      <c r="O2983">
        <v>-8.2704700000000003E-3</v>
      </c>
      <c r="P2983">
        <v>-0.99971690000000002</v>
      </c>
      <c r="Q2983">
        <v>2.0299569999999999E-2</v>
      </c>
      <c r="R2983">
        <v>1.240815E-2</v>
      </c>
      <c r="S2983">
        <v>-3.002869</v>
      </c>
      <c r="T2983">
        <v>-6.9872740000000003E-2</v>
      </c>
      <c r="U2983">
        <v>-4.9652099999999998E-2</v>
      </c>
      <c r="V2983">
        <v>2.0667310000000001E-2</v>
      </c>
      <c r="W2983">
        <v>3.4160469999999998E-2</v>
      </c>
      <c r="X2983">
        <v>0.9992027</v>
      </c>
      <c r="Y2983">
        <v>-8.2619330000000008E-3</v>
      </c>
      <c r="Z2983" s="1">
        <v>9.6314719999999996E-5</v>
      </c>
      <c r="AA2983">
        <v>0.99996580000000002</v>
      </c>
      <c r="AB2983">
        <v>34</v>
      </c>
      <c r="AC2983">
        <v>-47.538200000000003</v>
      </c>
      <c r="AD2983">
        <v>-1.1103047206899901</v>
      </c>
      <c r="AE2983">
        <v>-0.78749999999996501</v>
      </c>
      <c r="AF2983">
        <v>-0.394057079131721</v>
      </c>
      <c r="AG2983">
        <v>-1.1103047206899901</v>
      </c>
      <c r="AH2983">
        <v>47.517173703850503</v>
      </c>
      <c r="AI2983">
        <v>91.338505834236798</v>
      </c>
      <c r="AJ2983">
        <v>90.475139580132804</v>
      </c>
      <c r="AK2983">
        <v>47.531777311145198</v>
      </c>
      <c r="AL2983">
        <v>88.042368486618599</v>
      </c>
      <c r="AM2983">
        <v>88.815074446120903</v>
      </c>
      <c r="AN2983">
        <v>1.0000000555502699</v>
      </c>
    </row>
    <row r="2984" spans="1:40" x14ac:dyDescent="0.25">
      <c r="A2984" t="str">
        <f>"20190312153943833"</f>
        <v>20190312153943833</v>
      </c>
      <c r="B2984" t="str">
        <f>"1552376383829106"</f>
        <v>1552376383829106</v>
      </c>
      <c r="C2984" t="s">
        <v>40</v>
      </c>
      <c r="D2984">
        <v>4.1984000000000004</v>
      </c>
      <c r="E2984">
        <v>0.49009360000000002</v>
      </c>
      <c r="F2984" t="s">
        <v>61</v>
      </c>
      <c r="G2984">
        <v>-445.74810000000002</v>
      </c>
      <c r="H2984" s="1">
        <v>1.607023E-6</v>
      </c>
      <c r="I2984">
        <v>282.67270000000002</v>
      </c>
      <c r="J2984">
        <v>-397.79160000000002</v>
      </c>
      <c r="K2984">
        <v>1.110304</v>
      </c>
      <c r="L2984">
        <v>283.48340000000002</v>
      </c>
      <c r="M2984">
        <v>-0.99986909999999896</v>
      </c>
      <c r="N2984">
        <v>0</v>
      </c>
      <c r="O2984">
        <v>-8.3490079999999998E-3</v>
      </c>
      <c r="P2984">
        <v>-0.99971540000000003</v>
      </c>
      <c r="Q2984">
        <v>2.0238160000000002E-2</v>
      </c>
      <c r="R2984">
        <v>1.263653E-2</v>
      </c>
      <c r="S2984">
        <v>-3.002869</v>
      </c>
      <c r="T2984">
        <v>-6.9241049999999998E-2</v>
      </c>
      <c r="U2984">
        <v>-5.0659179999999998E-2</v>
      </c>
      <c r="V2984">
        <v>2.0974320000000001E-2</v>
      </c>
      <c r="W2984">
        <v>3.4097570000000001E-2</v>
      </c>
      <c r="X2984">
        <v>0.99919840000000004</v>
      </c>
      <c r="Y2984">
        <v>-8.5186089999999999E-3</v>
      </c>
      <c r="Z2984" s="1">
        <v>9.4295809999999993E-5</v>
      </c>
      <c r="AA2984">
        <v>0.99996370000000001</v>
      </c>
      <c r="AB2984">
        <v>34</v>
      </c>
      <c r="AC2984">
        <v>-47.956499999999998</v>
      </c>
      <c r="AD2984">
        <v>-1.110302392977</v>
      </c>
      <c r="AE2984">
        <v>-0.81069999999999698</v>
      </c>
      <c r="AF2984">
        <v>-0.41002435651824998</v>
      </c>
      <c r="AG2984">
        <v>-1.110302392977</v>
      </c>
      <c r="AH2984">
        <v>47.935909758535203</v>
      </c>
      <c r="AI2984">
        <v>91.326812047838104</v>
      </c>
      <c r="AJ2984">
        <v>90.490072939692396</v>
      </c>
      <c r="AK2984">
        <v>47.950519660950697</v>
      </c>
      <c r="AL2984">
        <v>88.045974391832303</v>
      </c>
      <c r="AM2984">
        <v>88.797472500008496</v>
      </c>
      <c r="AN2984">
        <v>1.00000000447096</v>
      </c>
    </row>
    <row r="2985" spans="1:40" x14ac:dyDescent="0.25">
      <c r="A2985" t="str">
        <f>"20190312153943844"</f>
        <v>20190312153943844</v>
      </c>
      <c r="B2985" t="str">
        <f>"1552376383838867"</f>
        <v>1552376383838867</v>
      </c>
      <c r="C2985" t="s">
        <v>40</v>
      </c>
      <c r="D2985">
        <v>4.216577</v>
      </c>
      <c r="E2985">
        <v>0.4902474</v>
      </c>
      <c r="F2985" t="s">
        <v>61</v>
      </c>
      <c r="G2985">
        <v>-446.83139999999997</v>
      </c>
      <c r="H2985" s="1">
        <v>2.1818999999999998E-6</v>
      </c>
      <c r="I2985">
        <v>282.70940000000002</v>
      </c>
      <c r="J2985">
        <v>-397.96730000000002</v>
      </c>
      <c r="K2985">
        <v>1.110303</v>
      </c>
      <c r="L2985">
        <v>283.48180000000002</v>
      </c>
      <c r="M2985">
        <v>-0.9998686</v>
      </c>
      <c r="N2985">
        <v>0</v>
      </c>
      <c r="O2985">
        <v>-8.4195609999999903E-3</v>
      </c>
      <c r="P2985">
        <v>-0.99972459999999996</v>
      </c>
      <c r="Q2985">
        <v>1.9810310000000001E-2</v>
      </c>
      <c r="R2985">
        <v>1.2583840000000001E-2</v>
      </c>
      <c r="S2985">
        <v>-3.0028380000000001</v>
      </c>
      <c r="T2985">
        <v>-6.7986729999999995E-2</v>
      </c>
      <c r="U2985">
        <v>-4.73938E-2</v>
      </c>
      <c r="V2985">
        <v>2.0992259999999999E-2</v>
      </c>
      <c r="W2985">
        <v>3.3667699999999898E-2</v>
      </c>
      <c r="X2985">
        <v>0.99921260000000001</v>
      </c>
      <c r="Y2985">
        <v>-7.3614269999999898E-3</v>
      </c>
      <c r="Z2985">
        <v>1.072844E-4</v>
      </c>
      <c r="AA2985">
        <v>0.99997290000000005</v>
      </c>
      <c r="AB2985">
        <v>34</v>
      </c>
      <c r="AC2985">
        <v>-48.864099999999901</v>
      </c>
      <c r="AD2985">
        <v>-1.1103008181</v>
      </c>
      <c r="AE2985">
        <v>-0.77240000000000397</v>
      </c>
      <c r="AF2985">
        <v>-0.36073266718629099</v>
      </c>
      <c r="AG2985">
        <v>-1.1103008181</v>
      </c>
      <c r="AH2985">
        <v>48.843659919594998</v>
      </c>
      <c r="AI2985">
        <v>91.302172339156797</v>
      </c>
      <c r="AJ2985">
        <v>90.423147725250303</v>
      </c>
      <c r="AK2985">
        <v>48.857609543498</v>
      </c>
      <c r="AL2985">
        <v>88.070618278769302</v>
      </c>
      <c r="AM2985">
        <v>88.796461341504795</v>
      </c>
      <c r="AN2985">
        <v>1.00000000450097</v>
      </c>
    </row>
    <row r="2986" spans="1:40" x14ac:dyDescent="0.25">
      <c r="A2986" t="str">
        <f>"20190312153943856"</f>
        <v>20190312153943856</v>
      </c>
      <c r="B2986" t="str">
        <f>"1552376383848626"</f>
        <v>1552376383848626</v>
      </c>
      <c r="C2986" t="s">
        <v>40</v>
      </c>
      <c r="D2986">
        <v>4.2204240000000004</v>
      </c>
      <c r="E2986">
        <v>0.490365</v>
      </c>
      <c r="F2986" t="s">
        <v>61</v>
      </c>
      <c r="G2986">
        <v>-447.0727</v>
      </c>
      <c r="H2986" s="1">
        <v>2.3095660000000002E-6</v>
      </c>
      <c r="I2986">
        <v>282.72669999999999</v>
      </c>
      <c r="J2986">
        <v>-398.14499999999998</v>
      </c>
      <c r="K2986">
        <v>1.110298</v>
      </c>
      <c r="L2986">
        <v>283.4803</v>
      </c>
      <c r="M2986">
        <v>-0.99986799999999998</v>
      </c>
      <c r="N2986">
        <v>0</v>
      </c>
      <c r="O2986">
        <v>-8.4908299999999996E-3</v>
      </c>
      <c r="P2986">
        <v>-0.99972530000000004</v>
      </c>
      <c r="Q2986">
        <v>1.9576420000000001E-2</v>
      </c>
      <c r="R2986">
        <v>1.2883520000000001E-2</v>
      </c>
      <c r="S2986">
        <v>-3.002777</v>
      </c>
      <c r="T2986">
        <v>-6.7894339999999997E-2</v>
      </c>
      <c r="U2986">
        <v>-4.6173100000000002E-2</v>
      </c>
      <c r="V2986">
        <v>2.1363150000000001E-2</v>
      </c>
      <c r="W2986">
        <v>3.3431799999999998E-2</v>
      </c>
      <c r="X2986">
        <v>0.99921269999999995</v>
      </c>
      <c r="Y2986">
        <v>-6.8841960000000004E-3</v>
      </c>
      <c r="Z2986">
        <v>1.141467E-4</v>
      </c>
      <c r="AA2986">
        <v>0.99997630000000004</v>
      </c>
      <c r="AB2986">
        <v>34</v>
      </c>
      <c r="AC2986">
        <v>-48.927700000000002</v>
      </c>
      <c r="AD2986">
        <v>-1.110295690434</v>
      </c>
      <c r="AE2986">
        <v>-0.75360000000000504</v>
      </c>
      <c r="AF2986">
        <v>-0.33792220890084301</v>
      </c>
      <c r="AG2986">
        <v>-1.110295690434</v>
      </c>
      <c r="AH2986">
        <v>48.907156311403199</v>
      </c>
      <c r="AI2986">
        <v>91.300480722378097</v>
      </c>
      <c r="AJ2986">
        <v>90.395876794565993</v>
      </c>
      <c r="AK2986">
        <v>48.920924831890602</v>
      </c>
      <c r="AL2986">
        <v>88.084142043225</v>
      </c>
      <c r="AM2986">
        <v>88.775203835823902</v>
      </c>
      <c r="AN2986">
        <v>1.00000004463522</v>
      </c>
    </row>
    <row r="2987" spans="1:40" x14ac:dyDescent="0.25">
      <c r="A2987" t="str">
        <f>"20190312153943874"</f>
        <v>20190312153943874</v>
      </c>
      <c r="B2987" t="str">
        <f>"1552376383869122"</f>
        <v>1552376383869122</v>
      </c>
      <c r="C2987" t="s">
        <v>40</v>
      </c>
      <c r="D2987">
        <v>4.1906780000000001</v>
      </c>
      <c r="E2987">
        <v>0.49061759999999899</v>
      </c>
      <c r="F2987" t="s">
        <v>61</v>
      </c>
      <c r="G2987">
        <v>-447.57859999999999</v>
      </c>
      <c r="H2987" s="1">
        <v>2.5776920000000001E-6</v>
      </c>
      <c r="I2987">
        <v>282.75080000000003</v>
      </c>
      <c r="J2987">
        <v>-398.42399999999998</v>
      </c>
      <c r="K2987">
        <v>1.1102939999999999</v>
      </c>
      <c r="L2987">
        <v>283.4778</v>
      </c>
      <c r="M2987">
        <v>-0.99986710000000001</v>
      </c>
      <c r="N2987">
        <v>0</v>
      </c>
      <c r="O2987">
        <v>-8.6028600000000004E-3</v>
      </c>
      <c r="P2987">
        <v>-0.99972859999999997</v>
      </c>
      <c r="Q2987">
        <v>1.9232849999999999E-2</v>
      </c>
      <c r="R2987">
        <v>1.316647E-2</v>
      </c>
      <c r="S2987">
        <v>-3.0027469999999998</v>
      </c>
      <c r="T2987">
        <v>-6.7442769999999999E-2</v>
      </c>
      <c r="U2987">
        <v>-4.431152E-2</v>
      </c>
      <c r="V2987">
        <v>2.175856E-2</v>
      </c>
      <c r="W2987">
        <v>3.308581E-2</v>
      </c>
      <c r="X2987">
        <v>0.99921570000000004</v>
      </c>
      <c r="Y2987">
        <v>-6.1527159999999999E-3</v>
      </c>
      <c r="Z2987">
        <v>1.241185E-4</v>
      </c>
      <c r="AA2987">
        <v>0.99998100000000001</v>
      </c>
      <c r="AB2987">
        <v>34</v>
      </c>
      <c r="AC2987">
        <v>-49.154599999999903</v>
      </c>
      <c r="AD2987">
        <v>-1.110291422308</v>
      </c>
      <c r="AE2987">
        <v>-0.726999999999975</v>
      </c>
      <c r="AF2987">
        <v>-0.30390737495922199</v>
      </c>
      <c r="AG2987">
        <v>-1.110291422308</v>
      </c>
      <c r="AH2987">
        <v>49.133972580616899</v>
      </c>
      <c r="AI2987">
        <v>91.294480545124202</v>
      </c>
      <c r="AJ2987">
        <v>90.354385916367505</v>
      </c>
      <c r="AK2987">
        <v>49.147455359233199</v>
      </c>
      <c r="AL2987">
        <v>88.1039768122872</v>
      </c>
      <c r="AM2987">
        <v>88.752544957273997</v>
      </c>
      <c r="AN2987">
        <v>1.00000006044155</v>
      </c>
    </row>
    <row r="2988" spans="1:40" x14ac:dyDescent="0.25">
      <c r="A2988" t="str">
        <f>"20190312153943886"</f>
        <v>20190312153943886</v>
      </c>
      <c r="B2988" t="str">
        <f>"1552376383878883"</f>
        <v>1552376383878883</v>
      </c>
      <c r="C2988" t="s">
        <v>40</v>
      </c>
      <c r="D2988">
        <v>4.1958190000000002</v>
      </c>
      <c r="E2988">
        <v>0.49068659999999997</v>
      </c>
      <c r="F2988" t="s">
        <v>61</v>
      </c>
      <c r="G2988">
        <v>-448.24250000000001</v>
      </c>
      <c r="H2988" s="1">
        <v>2.9293309999999999E-6</v>
      </c>
      <c r="I2988">
        <v>282.78919999999999</v>
      </c>
      <c r="J2988">
        <v>-398.60019999999997</v>
      </c>
      <c r="K2988">
        <v>1.1102970000000001</v>
      </c>
      <c r="L2988">
        <v>283.47620000000001</v>
      </c>
      <c r="M2988">
        <v>-0.99986660000000005</v>
      </c>
      <c r="N2988">
        <v>0</v>
      </c>
      <c r="O2988">
        <v>-8.6737749999999999E-3</v>
      </c>
      <c r="P2988">
        <v>-0.99973350000000005</v>
      </c>
      <c r="Q2988">
        <v>1.8563010000000001E-2</v>
      </c>
      <c r="R2988">
        <v>1.3737020000000001E-2</v>
      </c>
      <c r="S2988">
        <v>-3.0026549999999999</v>
      </c>
      <c r="T2988">
        <v>-6.6919329999999999E-2</v>
      </c>
      <c r="U2988">
        <v>-4.1503909999999998E-2</v>
      </c>
      <c r="V2988">
        <v>2.2400059999999999E-2</v>
      </c>
      <c r="W2988">
        <v>3.2414779999999997E-2</v>
      </c>
      <c r="X2988">
        <v>0.99922350000000004</v>
      </c>
      <c r="Y2988">
        <v>-5.1476619999999999E-3</v>
      </c>
      <c r="Z2988">
        <v>1.3593820000000001E-4</v>
      </c>
      <c r="AA2988">
        <v>0.99998679999999995</v>
      </c>
      <c r="AB2988">
        <v>34</v>
      </c>
      <c r="AC2988">
        <v>-49.642299999999999</v>
      </c>
      <c r="AD2988">
        <v>-1.1102940706690001</v>
      </c>
      <c r="AE2988">
        <v>-0.68700000000001105</v>
      </c>
      <c r="AF2988">
        <v>-0.25621862158479802</v>
      </c>
      <c r="AG2988">
        <v>-1.1102940706690001</v>
      </c>
      <c r="AH2988">
        <v>49.6215740667811</v>
      </c>
      <c r="AI2988">
        <v>91.281775210372999</v>
      </c>
      <c r="AJ2988">
        <v>90.295841384783401</v>
      </c>
      <c r="AK2988">
        <v>49.634655370723102</v>
      </c>
      <c r="AL2988">
        <v>88.142444598452101</v>
      </c>
      <c r="AM2988">
        <v>88.715788839056501</v>
      </c>
      <c r="AN2988">
        <v>1.0000000418013499</v>
      </c>
    </row>
    <row r="2989" spans="1:40" x14ac:dyDescent="0.25">
      <c r="A2989" t="str">
        <f>"20190312153943898"</f>
        <v>20190312153943898</v>
      </c>
      <c r="B2989" t="str">
        <f>"1552376383888642"</f>
        <v>1552376383888642</v>
      </c>
      <c r="C2989" t="s">
        <v>40</v>
      </c>
      <c r="D2989">
        <v>4.1994449999999999</v>
      </c>
      <c r="E2989">
        <v>0.49075429999999998</v>
      </c>
      <c r="F2989" t="s">
        <v>61</v>
      </c>
      <c r="G2989">
        <v>-447.08749999999998</v>
      </c>
      <c r="H2989" s="1">
        <v>2.312166E-6</v>
      </c>
      <c r="I2989">
        <v>282.84739999999999</v>
      </c>
      <c r="J2989">
        <v>-398.78769999999997</v>
      </c>
      <c r="K2989">
        <v>1.1102959999999999</v>
      </c>
      <c r="L2989">
        <v>283.47449999999998</v>
      </c>
      <c r="M2989">
        <v>-0.99986580000000003</v>
      </c>
      <c r="N2989">
        <v>0</v>
      </c>
      <c r="O2989">
        <v>-8.7488619999999996E-3</v>
      </c>
      <c r="P2989">
        <v>-0.99972499999999997</v>
      </c>
      <c r="Q2989">
        <v>1.8611809999999999E-2</v>
      </c>
      <c r="R2989">
        <v>1.4269179999999999E-2</v>
      </c>
      <c r="S2989">
        <v>-3.0026549999999999</v>
      </c>
      <c r="T2989">
        <v>-6.8756819999999996E-2</v>
      </c>
      <c r="U2989">
        <v>-3.8940429999999998E-2</v>
      </c>
      <c r="V2989">
        <v>2.3007199999999998E-2</v>
      </c>
      <c r="W2989">
        <v>3.2461959999999998E-2</v>
      </c>
      <c r="X2989">
        <v>0.99920819999999999</v>
      </c>
      <c r="Y2989">
        <v>-4.2192999999999996E-3</v>
      </c>
      <c r="Z2989">
        <v>1.520173E-4</v>
      </c>
      <c r="AA2989">
        <v>0.99999110000000002</v>
      </c>
      <c r="AB2989">
        <v>34</v>
      </c>
      <c r="AC2989">
        <v>-48.299799999999998</v>
      </c>
      <c r="AD2989">
        <v>-1.110293687834</v>
      </c>
      <c r="AE2989">
        <v>-0.627099999999984</v>
      </c>
      <c r="AF2989">
        <v>-0.20435920098537799</v>
      </c>
      <c r="AG2989">
        <v>-1.110293687834</v>
      </c>
      <c r="AH2989">
        <v>48.277930984812897</v>
      </c>
      <c r="AI2989">
        <v>91.317441727443693</v>
      </c>
      <c r="AJ2989">
        <v>90.242530066001294</v>
      </c>
      <c r="AK2989">
        <v>48.291128946532403</v>
      </c>
      <c r="AL2989">
        <v>88.139740010064997</v>
      </c>
      <c r="AM2989">
        <v>88.6809730215966</v>
      </c>
      <c r="AN2989">
        <v>1.0000000685230499</v>
      </c>
    </row>
    <row r="2990" spans="1:40" x14ac:dyDescent="0.25">
      <c r="A2990" t="str">
        <f>"20190312153943912"</f>
        <v>20190312153943912</v>
      </c>
      <c r="B2990" t="str">
        <f>"1552376383898403"</f>
        <v>1552376383898403</v>
      </c>
      <c r="C2990" t="s">
        <v>40</v>
      </c>
      <c r="D2990">
        <v>4.1636509999999998</v>
      </c>
      <c r="E2990">
        <v>0.49079319999999999</v>
      </c>
      <c r="F2990" t="s">
        <v>61</v>
      </c>
      <c r="G2990">
        <v>-448.0548</v>
      </c>
      <c r="H2990" s="1">
        <v>2.8260569999999998E-6</v>
      </c>
      <c r="I2990">
        <v>282.86709999999999</v>
      </c>
      <c r="J2990">
        <v>-399.0016</v>
      </c>
      <c r="K2990">
        <v>1.1102890000000001</v>
      </c>
      <c r="L2990">
        <v>283.4726</v>
      </c>
      <c r="M2990">
        <v>-0.99986509999999995</v>
      </c>
      <c r="N2990">
        <v>0</v>
      </c>
      <c r="O2990">
        <v>-8.8347959999999903E-3</v>
      </c>
      <c r="P2990">
        <v>-0.99972939999999999</v>
      </c>
      <c r="Q2990">
        <v>1.8299840000000001E-2</v>
      </c>
      <c r="R2990">
        <v>1.437944E-2</v>
      </c>
      <c r="S2990">
        <v>-3.0026250000000001</v>
      </c>
      <c r="T2990">
        <v>-6.7667720000000001E-2</v>
      </c>
      <c r="U2990">
        <v>-3.701782E-2</v>
      </c>
      <c r="V2990">
        <v>2.3203560000000002E-2</v>
      </c>
      <c r="W2990">
        <v>3.2148370000000002E-2</v>
      </c>
      <c r="X2990">
        <v>0.99921380000000004</v>
      </c>
      <c r="Y2990">
        <v>-3.4934549999999999E-3</v>
      </c>
      <c r="Z2990">
        <v>1.597262E-4</v>
      </c>
      <c r="AA2990">
        <v>0.99999389999999999</v>
      </c>
      <c r="AB2990">
        <v>34</v>
      </c>
      <c r="AC2990">
        <v>-49.053199999999997</v>
      </c>
      <c r="AD2990">
        <v>-1.1102861739430001</v>
      </c>
      <c r="AE2990">
        <v>-0.60550000000000603</v>
      </c>
      <c r="AF2990">
        <v>-0.171971708170677</v>
      </c>
      <c r="AG2990">
        <v>-1.1102861739430001</v>
      </c>
      <c r="AH2990">
        <v>49.031519541026803</v>
      </c>
      <c r="AI2990">
        <v>91.297195182345504</v>
      </c>
      <c r="AJ2990">
        <v>90.200956706270006</v>
      </c>
      <c r="AK2990">
        <v>49.044390282259101</v>
      </c>
      <c r="AL2990">
        <v>88.157716778985701</v>
      </c>
      <c r="AM2990">
        <v>88.669726977138396</v>
      </c>
      <c r="AN2990">
        <v>1.00000007050038</v>
      </c>
    </row>
    <row r="2991" spans="1:40" x14ac:dyDescent="0.25">
      <c r="A2991" t="str">
        <f>"20190312153943931"</f>
        <v>20190312153943931</v>
      </c>
      <c r="B2991" t="str">
        <f>"1552376383918899"</f>
        <v>1552376383918899</v>
      </c>
      <c r="C2991" t="s">
        <v>40</v>
      </c>
      <c r="D2991">
        <v>4.2323409999999999</v>
      </c>
      <c r="E2991">
        <v>0.49081419999999998</v>
      </c>
      <c r="F2991" t="s">
        <v>61</v>
      </c>
      <c r="G2991">
        <v>-448.33519999999999</v>
      </c>
      <c r="H2991" s="1">
        <v>2.9749489999999898E-6</v>
      </c>
      <c r="I2991">
        <v>282.87439999999998</v>
      </c>
      <c r="J2991">
        <v>-399.27940000000001</v>
      </c>
      <c r="K2991">
        <v>1.110287</v>
      </c>
      <c r="L2991">
        <v>283.47000000000003</v>
      </c>
      <c r="M2991">
        <v>-0.99986419999999998</v>
      </c>
      <c r="N2991">
        <v>0</v>
      </c>
      <c r="O2991">
        <v>-8.9462350000000003E-3</v>
      </c>
      <c r="P2991">
        <v>-0.99972459999999996</v>
      </c>
      <c r="Q2991">
        <v>1.833885E-2</v>
      </c>
      <c r="R2991">
        <v>1.4647729999999999E-2</v>
      </c>
      <c r="S2991">
        <v>-3.0025940000000002</v>
      </c>
      <c r="T2991">
        <v>-6.7575339999999998E-2</v>
      </c>
      <c r="U2991">
        <v>-3.6407469999999997E-2</v>
      </c>
      <c r="V2991">
        <v>2.358302E-2</v>
      </c>
      <c r="W2991">
        <v>3.2185070000000003E-2</v>
      </c>
      <c r="X2991">
        <v>0.99920370000000003</v>
      </c>
      <c r="Y2991">
        <v>-3.1789880000000002E-3</v>
      </c>
      <c r="Z2991">
        <v>1.6555580000000001E-4</v>
      </c>
      <c r="AA2991">
        <v>0.99999490000000002</v>
      </c>
      <c r="AB2991">
        <v>34</v>
      </c>
      <c r="AC2991">
        <v>-49.055799999999898</v>
      </c>
      <c r="AD2991">
        <v>-1.110284025051</v>
      </c>
      <c r="AE2991">
        <v>-0.59560000000004698</v>
      </c>
      <c r="AF2991">
        <v>-0.156589206046959</v>
      </c>
      <c r="AG2991">
        <v>-1.110284025051</v>
      </c>
      <c r="AH2991">
        <v>49.034051071054499</v>
      </c>
      <c r="AI2991">
        <v>91.297127087645407</v>
      </c>
      <c r="AJ2991">
        <v>90.182972239262398</v>
      </c>
      <c r="AK2991">
        <v>49.0468695762994</v>
      </c>
      <c r="AL2991">
        <v>88.155612871352403</v>
      </c>
      <c r="AM2991">
        <v>88.647966672613194</v>
      </c>
      <c r="AN2991">
        <v>1.00000003582845</v>
      </c>
    </row>
    <row r="2992" spans="1:40" x14ac:dyDescent="0.25">
      <c r="A2992" t="str">
        <f>"20190312153943954"</f>
        <v>20190312153943954</v>
      </c>
      <c r="B2992" t="str">
        <f>"1552376383949154"</f>
        <v>1552376383949154</v>
      </c>
      <c r="C2992" t="s">
        <v>40</v>
      </c>
      <c r="D2992">
        <v>4.0872820000000001</v>
      </c>
      <c r="E2992">
        <v>0.53182910000000005</v>
      </c>
      <c r="F2992" t="s">
        <v>61</v>
      </c>
      <c r="G2992">
        <v>-448.97109999999998</v>
      </c>
      <c r="H2992" s="1">
        <v>3.3128339999999902E-6</v>
      </c>
      <c r="I2992">
        <v>282.88569999999999</v>
      </c>
      <c r="J2992">
        <v>-399.6241</v>
      </c>
      <c r="K2992">
        <v>1.1102920000000001</v>
      </c>
      <c r="L2992">
        <v>283.4667</v>
      </c>
      <c r="M2992">
        <v>-0.99986299999999995</v>
      </c>
      <c r="N2992">
        <v>0</v>
      </c>
      <c r="O2992">
        <v>-9.0844910000000001E-3</v>
      </c>
      <c r="P2992">
        <v>-0.99972059999999996</v>
      </c>
      <c r="Q2992">
        <v>1.841448E-2</v>
      </c>
      <c r="R2992">
        <v>1.483663E-2</v>
      </c>
      <c r="S2992">
        <v>-3.0025629999999999</v>
      </c>
      <c r="T2992">
        <v>-6.7087649999999999E-2</v>
      </c>
      <c r="U2992">
        <v>-3.5308840000000001E-2</v>
      </c>
      <c r="V2992">
        <v>2.391033E-2</v>
      </c>
      <c r="W2992">
        <v>3.2257510000000003E-2</v>
      </c>
      <c r="X2992">
        <v>0.99919349999999996</v>
      </c>
      <c r="Y2992">
        <v>-2.6751330000000001E-3</v>
      </c>
      <c r="Z2992">
        <v>1.730801E-4</v>
      </c>
      <c r="AA2992">
        <v>0.99999640000000001</v>
      </c>
      <c r="AB2992">
        <v>34</v>
      </c>
      <c r="AC2992">
        <v>-49.346999999999902</v>
      </c>
      <c r="AD2992">
        <v>-1.110288687166</v>
      </c>
      <c r="AE2992">
        <v>-0.58100000000001695</v>
      </c>
      <c r="AF2992">
        <v>-0.13257361966132999</v>
      </c>
      <c r="AG2992">
        <v>-1.110288687166</v>
      </c>
      <c r="AH2992">
        <v>49.325275295101598</v>
      </c>
      <c r="AI2992">
        <v>91.2894785673532</v>
      </c>
      <c r="AJ2992">
        <v>90.153995908693005</v>
      </c>
      <c r="AK2992">
        <v>49.337947866434803</v>
      </c>
      <c r="AL2992">
        <v>88.151460051467495</v>
      </c>
      <c r="AM2992">
        <v>88.629194852367107</v>
      </c>
      <c r="AN2992">
        <v>0.99999995063717795</v>
      </c>
    </row>
    <row r="2993" spans="1:40" x14ac:dyDescent="0.25">
      <c r="A2993" t="str">
        <f>"20190312153943967"</f>
        <v>20190312153943967</v>
      </c>
      <c r="B2993" t="str">
        <f>"1552376383958915"</f>
        <v>1552376383958915</v>
      </c>
      <c r="C2993" t="s">
        <v>40</v>
      </c>
      <c r="D2993">
        <v>4.1117140000000001</v>
      </c>
      <c r="E2993">
        <v>0.53443200000000002</v>
      </c>
      <c r="F2993" t="s">
        <v>64</v>
      </c>
      <c r="G2993">
        <v>-510.95370000000003</v>
      </c>
      <c r="H2993">
        <v>0.38632729999999998</v>
      </c>
      <c r="I2993">
        <v>294.42959999999999</v>
      </c>
      <c r="J2993">
        <v>-399.83339999999998</v>
      </c>
      <c r="K2993">
        <v>1.110293</v>
      </c>
      <c r="L2993">
        <v>283.46480000000003</v>
      </c>
      <c r="M2993">
        <v>-0.99986220000000003</v>
      </c>
      <c r="N2993">
        <v>0</v>
      </c>
      <c r="O2993">
        <v>-9.1684009999999996E-3</v>
      </c>
      <c r="P2993">
        <v>-0.9997239</v>
      </c>
      <c r="Q2993">
        <v>1.8311299999999999E-2</v>
      </c>
      <c r="R2993">
        <v>1.473297E-2</v>
      </c>
      <c r="S2993">
        <v>-2.996826</v>
      </c>
      <c r="T2993">
        <v>-1.948571E-2</v>
      </c>
      <c r="U2993">
        <v>0.29510500000000001</v>
      </c>
      <c r="V2993">
        <v>2.3890410000000001E-2</v>
      </c>
      <c r="W2993">
        <v>3.2153139999999997E-2</v>
      </c>
      <c r="X2993">
        <v>0.99919740000000001</v>
      </c>
      <c r="Y2993">
        <v>0.10711710000000001</v>
      </c>
      <c r="Z2993">
        <v>4.068815E-4</v>
      </c>
      <c r="AA2993">
        <v>0.99424630000000003</v>
      </c>
      <c r="AB2993">
        <v>34</v>
      </c>
      <c r="AC2993">
        <v>-111.1203</v>
      </c>
      <c r="AD2993">
        <v>-0.72396569999999905</v>
      </c>
      <c r="AE2993">
        <v>10.964799999999901</v>
      </c>
      <c r="AF2993">
        <v>11.982728369323899</v>
      </c>
      <c r="AG2993">
        <v>-0.72396569999999905</v>
      </c>
      <c r="AH2993">
        <v>111.010422688066</v>
      </c>
      <c r="AI2993">
        <v>90.371496993974802</v>
      </c>
      <c r="AJ2993">
        <v>83.8392113356783</v>
      </c>
      <c r="AK2993">
        <v>111.657618866296</v>
      </c>
      <c r="AL2993">
        <v>88.157443225509297</v>
      </c>
      <c r="AM2993">
        <v>88.6303417962976</v>
      </c>
      <c r="AN2993">
        <v>1.0000000101342901</v>
      </c>
    </row>
    <row r="2994" spans="1:40" x14ac:dyDescent="0.25">
      <c r="A2994" t="str">
        <f>"20190312153943981"</f>
        <v>20190312153943981</v>
      </c>
      <c r="B2994" t="str">
        <f>"1552376383968675"</f>
        <v>1552376383968675</v>
      </c>
      <c r="C2994" t="s">
        <v>40</v>
      </c>
      <c r="D2994">
        <v>4.0415789999999996</v>
      </c>
      <c r="E2994">
        <v>0.53586540000000005</v>
      </c>
      <c r="F2994" t="s">
        <v>64</v>
      </c>
      <c r="G2994">
        <v>-510.95359999999999</v>
      </c>
      <c r="H2994">
        <v>5.7281550000000001E-2</v>
      </c>
      <c r="I2994">
        <v>295.14859999999999</v>
      </c>
      <c r="J2994">
        <v>-400.04410000000001</v>
      </c>
      <c r="K2994">
        <v>1.1102939999999999</v>
      </c>
      <c r="L2994">
        <v>283.46269999999998</v>
      </c>
      <c r="M2994">
        <v>-0.99986140000000001</v>
      </c>
      <c r="N2994">
        <v>0</v>
      </c>
      <c r="O2994">
        <v>-9.252906E-3</v>
      </c>
      <c r="P2994">
        <v>-0.99972559999999999</v>
      </c>
      <c r="Q2994">
        <v>1.819258E-2</v>
      </c>
      <c r="R2994">
        <v>1.4754099999999999E-2</v>
      </c>
      <c r="S2994">
        <v>-2.9967350000000001</v>
      </c>
      <c r="T2994">
        <v>-2.8395650000000001E-2</v>
      </c>
      <c r="U2994">
        <v>0.31509399999999999</v>
      </c>
      <c r="V2994">
        <v>2.3995820000000001E-2</v>
      </c>
      <c r="W2994">
        <v>3.2033029999999997E-2</v>
      </c>
      <c r="X2994">
        <v>0.9991987</v>
      </c>
      <c r="Y2994">
        <v>0.1137625</v>
      </c>
      <c r="Z2994">
        <v>6.2493759999999998E-4</v>
      </c>
      <c r="AA2994">
        <v>0.99350780000000005</v>
      </c>
      <c r="AB2994">
        <v>34</v>
      </c>
      <c r="AC2994">
        <v>-110.909499999999</v>
      </c>
      <c r="AD2994">
        <v>-1.05301245</v>
      </c>
      <c r="AE2994">
        <v>11.6859</v>
      </c>
      <c r="AF2994">
        <v>12.710599944275</v>
      </c>
      <c r="AG2994">
        <v>-1.05301245</v>
      </c>
      <c r="AH2994">
        <v>110.78673532607</v>
      </c>
      <c r="AI2994">
        <v>90.541023081984093</v>
      </c>
      <c r="AJ2994">
        <v>83.455052713625406</v>
      </c>
      <c r="AK2994">
        <v>111.518468920497</v>
      </c>
      <c r="AL2994">
        <v>88.164328509692695</v>
      </c>
      <c r="AM2994">
        <v>88.624302654771697</v>
      </c>
      <c r="AN2994">
        <v>0.99999997823507103</v>
      </c>
    </row>
    <row r="2995" spans="1:40" x14ac:dyDescent="0.25">
      <c r="A2995" t="str">
        <f>"20190312153943998"</f>
        <v>20190312153943998</v>
      </c>
      <c r="B2995" t="str">
        <f>"1552376383989171"</f>
        <v>1552376383989171</v>
      </c>
      <c r="C2995" t="s">
        <v>40</v>
      </c>
      <c r="D2995">
        <v>4.0044430000000002</v>
      </c>
      <c r="E2995">
        <v>0.53747029999999996</v>
      </c>
      <c r="F2995" t="s">
        <v>64</v>
      </c>
      <c r="G2995">
        <v>-510.95370000000003</v>
      </c>
      <c r="H2995">
        <v>0.27154050000000002</v>
      </c>
      <c r="I2995">
        <v>295.55829999999997</v>
      </c>
      <c r="J2995">
        <v>-400.3014</v>
      </c>
      <c r="K2995">
        <v>1.1102939999999999</v>
      </c>
      <c r="L2995">
        <v>283.46030000000002</v>
      </c>
      <c r="M2995">
        <v>-0.99986050000000004</v>
      </c>
      <c r="N2995">
        <v>0</v>
      </c>
      <c r="O2995">
        <v>-9.3565950000000005E-3</v>
      </c>
      <c r="P2995">
        <v>-0.99972989999999995</v>
      </c>
      <c r="Q2995">
        <v>1.8315430000000001E-2</v>
      </c>
      <c r="R2995">
        <v>1.4314199999999999E-2</v>
      </c>
      <c r="S2995">
        <v>-2.9963989999999998</v>
      </c>
      <c r="T2995">
        <v>-2.265787E-2</v>
      </c>
      <c r="U2995">
        <v>0.32678220000000002</v>
      </c>
      <c r="V2995">
        <v>2.366004E-2</v>
      </c>
      <c r="W2995">
        <v>3.2153609999999999E-2</v>
      </c>
      <c r="X2995">
        <v>0.99920279999999995</v>
      </c>
      <c r="Y2995">
        <v>0.11770949999999999</v>
      </c>
      <c r="Z2995">
        <v>5.1427699999999897E-4</v>
      </c>
      <c r="AA2995">
        <v>0.99304800000000004</v>
      </c>
      <c r="AB2995">
        <v>34</v>
      </c>
      <c r="AC2995">
        <v>-110.6523</v>
      </c>
      <c r="AD2995">
        <v>-0.83875350000000004</v>
      </c>
      <c r="AE2995">
        <v>12.0979999999999</v>
      </c>
      <c r="AF2995">
        <v>13.132152562687599</v>
      </c>
      <c r="AG2995">
        <v>-0.83875350000000004</v>
      </c>
      <c r="AH2995">
        <v>110.52797280922501</v>
      </c>
      <c r="AI2995">
        <v>90.431750277724902</v>
      </c>
      <c r="AJ2995">
        <v>83.224284438482599</v>
      </c>
      <c r="AK2995">
        <v>111.30853386726599</v>
      </c>
      <c r="AL2995">
        <v>88.157416160345804</v>
      </c>
      <c r="AM2995">
        <v>88.643551480367705</v>
      </c>
      <c r="AN2995">
        <v>0.99999994382833501</v>
      </c>
    </row>
    <row r="2996" spans="1:40" x14ac:dyDescent="0.25">
      <c r="A2996" t="str">
        <f>"20190312153944020"</f>
        <v>20190312153944020</v>
      </c>
      <c r="B2996" t="str">
        <f>"1552376384008691"</f>
        <v>1552376384008691</v>
      </c>
      <c r="C2996" t="s">
        <v>40</v>
      </c>
      <c r="D2996">
        <v>3.9828890000000001</v>
      </c>
      <c r="E2996">
        <v>0.5383135</v>
      </c>
      <c r="F2996" t="s">
        <v>64</v>
      </c>
      <c r="G2996">
        <v>-510.95389999999998</v>
      </c>
      <c r="H2996">
        <v>0.68528719999999999</v>
      </c>
      <c r="I2996">
        <v>295.97250000000003</v>
      </c>
      <c r="J2996">
        <v>-400.62900000000002</v>
      </c>
      <c r="K2996">
        <v>1.110293</v>
      </c>
      <c r="L2996">
        <v>283.45699999999999</v>
      </c>
      <c r="M2996">
        <v>-0.99985930000000001</v>
      </c>
      <c r="N2996">
        <v>0</v>
      </c>
      <c r="O2996">
        <v>-9.4879430000000004E-3</v>
      </c>
      <c r="P2996">
        <v>-0.99973339999999999</v>
      </c>
      <c r="Q2996">
        <v>1.8533129999999998E-2</v>
      </c>
      <c r="R2996">
        <v>1.377138E-2</v>
      </c>
      <c r="S2996">
        <v>-2.9962460000000002</v>
      </c>
      <c r="T2996">
        <v>-1.1505960000000001E-2</v>
      </c>
      <c r="U2996">
        <v>0.3388062</v>
      </c>
      <c r="V2996">
        <v>2.3248319999999999E-2</v>
      </c>
      <c r="W2996">
        <v>3.236903E-2</v>
      </c>
      <c r="X2996">
        <v>0.99920560000000003</v>
      </c>
      <c r="Y2996">
        <v>0.12178360000000001</v>
      </c>
      <c r="Z2996">
        <v>2.6941539999999998E-4</v>
      </c>
      <c r="AA2996">
        <v>0.99255660000000001</v>
      </c>
      <c r="AB2996">
        <v>34</v>
      </c>
      <c r="AC2996">
        <v>-110.324899999999</v>
      </c>
      <c r="AD2996">
        <v>-0.42500579999999999</v>
      </c>
      <c r="AE2996">
        <v>12.515499999999999</v>
      </c>
      <c r="AF2996">
        <v>13.561594379455601</v>
      </c>
      <c r="AG2996">
        <v>-0.42500579999999999</v>
      </c>
      <c r="AH2996">
        <v>110.199560825923</v>
      </c>
      <c r="AI2996">
        <v>90.219316608038696</v>
      </c>
      <c r="AJ2996">
        <v>82.984229885700799</v>
      </c>
      <c r="AK2996">
        <v>111.031710237523</v>
      </c>
      <c r="AL2996">
        <v>88.145067243478294</v>
      </c>
      <c r="AM2996">
        <v>88.667150852144204</v>
      </c>
      <c r="AN2996">
        <v>1.00000003477866</v>
      </c>
    </row>
    <row r="2997" spans="1:40" x14ac:dyDescent="0.25">
      <c r="A2997" t="str">
        <f>"20190312153944036"</f>
        <v>20190312153944036</v>
      </c>
      <c r="B2997" t="str">
        <f>"1552376384029187"</f>
        <v>1552376384029187</v>
      </c>
      <c r="C2997" t="s">
        <v>40</v>
      </c>
      <c r="D2997">
        <v>4.0051139999999998</v>
      </c>
      <c r="E2997">
        <v>0.53888599999999998</v>
      </c>
      <c r="F2997" t="s">
        <v>64</v>
      </c>
      <c r="G2997">
        <v>-510.95389999999998</v>
      </c>
      <c r="H2997">
        <v>0.89892169999999905</v>
      </c>
      <c r="I2997">
        <v>296.1336</v>
      </c>
      <c r="J2997">
        <v>-400.87779999999998</v>
      </c>
      <c r="K2997">
        <v>1.110293</v>
      </c>
      <c r="L2997">
        <v>283.45460000000003</v>
      </c>
      <c r="M2997">
        <v>-0.99985840000000004</v>
      </c>
      <c r="N2997">
        <v>0</v>
      </c>
      <c r="O2997">
        <v>-9.5879410000000009E-3</v>
      </c>
      <c r="P2997">
        <v>-0.99973109999999998</v>
      </c>
      <c r="Q2997">
        <v>1.8796159999999999E-2</v>
      </c>
      <c r="R2997">
        <v>1.3583420000000001E-2</v>
      </c>
      <c r="S2997">
        <v>-2.9961850000000001</v>
      </c>
      <c r="T2997">
        <v>-5.7380199999999999E-3</v>
      </c>
      <c r="U2997">
        <v>0.34426879999999999</v>
      </c>
      <c r="V2997">
        <v>2.316029E-2</v>
      </c>
      <c r="W2997">
        <v>3.2630199999999998E-2</v>
      </c>
      <c r="X2997">
        <v>0.99919910000000001</v>
      </c>
      <c r="Y2997">
        <v>0.123672</v>
      </c>
      <c r="Z2997">
        <v>1.3634000000000001E-4</v>
      </c>
      <c r="AA2997">
        <v>0.99232319999999996</v>
      </c>
      <c r="AB2997">
        <v>34</v>
      </c>
      <c r="AC2997">
        <v>-110.0761</v>
      </c>
      <c r="AD2997">
        <v>-0.21137130000000001</v>
      </c>
      <c r="AE2997">
        <v>12.678999999999901</v>
      </c>
      <c r="AF2997">
        <v>13.7338712065604</v>
      </c>
      <c r="AG2997">
        <v>-0.21137130000000001</v>
      </c>
      <c r="AH2997">
        <v>109.94906210935299</v>
      </c>
      <c r="AI2997">
        <v>90.109298612196795</v>
      </c>
      <c r="AJ2997">
        <v>82.879992311246198</v>
      </c>
      <c r="AK2997">
        <v>110.80370099807701</v>
      </c>
      <c r="AL2997">
        <v>88.130095303596505</v>
      </c>
      <c r="AM2997">
        <v>88.672187254228206</v>
      </c>
      <c r="AN2997">
        <v>0.99999998521286604</v>
      </c>
    </row>
    <row r="2998" spans="1:40" x14ac:dyDescent="0.25">
      <c r="A2998" t="str">
        <f>"20190312153944050"</f>
        <v>20190312153944050</v>
      </c>
      <c r="B2998" t="str">
        <f>"1552376384038948"</f>
        <v>1552376384038948</v>
      </c>
      <c r="C2998" t="s">
        <v>40</v>
      </c>
      <c r="D2998">
        <v>3.9864639999999998</v>
      </c>
      <c r="E2998">
        <v>0.53917360000000003</v>
      </c>
      <c r="F2998" t="s">
        <v>64</v>
      </c>
      <c r="G2998">
        <v>-510.95400000000001</v>
      </c>
      <c r="H2998">
        <v>1.132509</v>
      </c>
      <c r="I2998">
        <v>296.25779999999997</v>
      </c>
      <c r="J2998">
        <v>-401.08909999999997</v>
      </c>
      <c r="K2998">
        <v>1.1102959999999999</v>
      </c>
      <c r="L2998">
        <v>283.45249999999999</v>
      </c>
      <c r="M2998">
        <v>-0.99985749999999995</v>
      </c>
      <c r="N2998">
        <v>0</v>
      </c>
      <c r="O2998">
        <v>-9.6730410000000003E-3</v>
      </c>
      <c r="P2998">
        <v>-0.99973540000000005</v>
      </c>
      <c r="Q2998">
        <v>1.8706E-2</v>
      </c>
      <c r="R2998">
        <v>1.339459E-2</v>
      </c>
      <c r="S2998">
        <v>-2.9960629999999999</v>
      </c>
      <c r="T2998">
        <v>6.0701370000000002E-4</v>
      </c>
      <c r="U2998">
        <v>0.34848020000000002</v>
      </c>
      <c r="V2998">
        <v>2.305652E-2</v>
      </c>
      <c r="W2998">
        <v>3.2538699999999997E-2</v>
      </c>
      <c r="X2998">
        <v>0.99920450000000005</v>
      </c>
      <c r="Y2998">
        <v>0.12513759999999999</v>
      </c>
      <c r="Z2998" s="1">
        <v>-1.458774E-5</v>
      </c>
      <c r="AA2998">
        <v>0.9921394</v>
      </c>
      <c r="AB2998">
        <v>34</v>
      </c>
      <c r="AC2998">
        <v>-109.86490000000001</v>
      </c>
      <c r="AD2998">
        <v>2.2213E-2</v>
      </c>
      <c r="AE2998">
        <v>12.8052999999999</v>
      </c>
      <c r="AF2998">
        <v>13.8675296367876</v>
      </c>
      <c r="AG2998">
        <v>2.2213E-2</v>
      </c>
      <c r="AH2998">
        <v>109.735876517382</v>
      </c>
      <c r="AI2998">
        <v>89.988493564813496</v>
      </c>
      <c r="AJ2998">
        <v>82.797602787999494</v>
      </c>
      <c r="AK2998">
        <v>110.608641012728</v>
      </c>
      <c r="AL2998">
        <v>88.135340683173894</v>
      </c>
      <c r="AM2998">
        <v>88.678141563248502</v>
      </c>
      <c r="AN2998">
        <v>1.00000000146622</v>
      </c>
    </row>
    <row r="2999" spans="1:40" x14ac:dyDescent="0.25">
      <c r="A2999" t="str">
        <f>"20190312153944065"</f>
        <v>20190312153944065</v>
      </c>
      <c r="B2999" t="str">
        <f>"1552376384058467"</f>
        <v>1552376384058467</v>
      </c>
      <c r="C2999" t="s">
        <v>40</v>
      </c>
      <c r="D2999">
        <v>3.9801120000000001</v>
      </c>
      <c r="E2999">
        <v>0.53961150000000002</v>
      </c>
      <c r="F2999" t="s">
        <v>64</v>
      </c>
      <c r="G2999">
        <v>-510.95400000000001</v>
      </c>
      <c r="H2999">
        <v>1.1773579999999999</v>
      </c>
      <c r="I2999">
        <v>296.29480000000001</v>
      </c>
      <c r="J2999">
        <v>-401.30919999999998</v>
      </c>
      <c r="K2999">
        <v>1.1103000000000001</v>
      </c>
      <c r="L2999">
        <v>283.45030000000003</v>
      </c>
      <c r="M2999">
        <v>-0.99985670000000004</v>
      </c>
      <c r="N2999">
        <v>0</v>
      </c>
      <c r="O2999">
        <v>-9.7615979999999998E-3</v>
      </c>
      <c r="P2999">
        <v>-0.99974260000000004</v>
      </c>
      <c r="Q2999">
        <v>1.863395E-2</v>
      </c>
      <c r="R2999">
        <v>1.2941390000000001E-2</v>
      </c>
      <c r="S2999">
        <v>-2.9960939999999998</v>
      </c>
      <c r="T2999">
        <v>1.8311740000000001E-3</v>
      </c>
      <c r="U2999">
        <v>0.35021970000000002</v>
      </c>
      <c r="V2999">
        <v>2.269204E-2</v>
      </c>
      <c r="W2999">
        <v>3.2464819999999998E-2</v>
      </c>
      <c r="X2999">
        <v>0.99921519999999997</v>
      </c>
      <c r="Y2999">
        <v>0.1257926</v>
      </c>
      <c r="Z2999" s="1">
        <v>-4.4258229999999998E-5</v>
      </c>
      <c r="AA2999">
        <v>0.99205650000000001</v>
      </c>
      <c r="AB2999">
        <v>34</v>
      </c>
      <c r="AC2999">
        <v>-109.6448</v>
      </c>
      <c r="AD2999">
        <v>6.7057999999999798E-2</v>
      </c>
      <c r="AE2999">
        <v>12.844499999999901</v>
      </c>
      <c r="AF2999">
        <v>13.9142936108227</v>
      </c>
      <c r="AG2999">
        <v>6.7057999999999798E-2</v>
      </c>
      <c r="AH2999">
        <v>109.514139667241</v>
      </c>
      <c r="AI2999">
        <v>89.965196286636399</v>
      </c>
      <c r="AJ2999">
        <v>82.759094804774406</v>
      </c>
      <c r="AK2999">
        <v>110.394559877376</v>
      </c>
      <c r="AL2999">
        <v>88.139575845644998</v>
      </c>
      <c r="AM2999">
        <v>88.699044333902606</v>
      </c>
      <c r="AN2999">
        <v>0.99999995456401503</v>
      </c>
    </row>
    <row r="3000" spans="1:40" x14ac:dyDescent="0.25">
      <c r="A3000" t="str">
        <f>"20190312153944076"</f>
        <v>20190312153944076</v>
      </c>
      <c r="B3000" t="str">
        <f>"1552376384069203"</f>
        <v>1552376384069203</v>
      </c>
      <c r="C3000" t="s">
        <v>40</v>
      </c>
      <c r="D3000">
        <v>3.9619789999999999</v>
      </c>
      <c r="E3000">
        <v>0.53976849999999998</v>
      </c>
      <c r="F3000" t="s">
        <v>64</v>
      </c>
      <c r="G3000">
        <v>-510.95400000000001</v>
      </c>
      <c r="H3000">
        <v>1.236545</v>
      </c>
      <c r="I3000">
        <v>296.35250000000002</v>
      </c>
      <c r="J3000">
        <v>-401.49</v>
      </c>
      <c r="K3000">
        <v>1.1103019999999999</v>
      </c>
      <c r="L3000">
        <v>283.44839999999999</v>
      </c>
      <c r="M3000">
        <v>-0.99985610000000003</v>
      </c>
      <c r="N3000">
        <v>0</v>
      </c>
      <c r="O3000">
        <v>-9.8341829999999998E-3</v>
      </c>
      <c r="P3000">
        <v>-0.99974790000000002</v>
      </c>
      <c r="Q3000">
        <v>1.8623069999999999E-2</v>
      </c>
      <c r="R3000">
        <v>1.2557E-2</v>
      </c>
      <c r="S3000">
        <v>-2.9961850000000001</v>
      </c>
      <c r="T3000">
        <v>3.4521819999999998E-3</v>
      </c>
      <c r="U3000">
        <v>0.35256959999999998</v>
      </c>
      <c r="V3000">
        <v>2.238035E-2</v>
      </c>
      <c r="W3000">
        <v>3.2452910000000001E-2</v>
      </c>
      <c r="X3000">
        <v>0.99922259999999996</v>
      </c>
      <c r="Y3000">
        <v>0.1266285</v>
      </c>
      <c r="Z3000" s="1">
        <v>-8.3993849999999999E-5</v>
      </c>
      <c r="AA3000">
        <v>0.9919502</v>
      </c>
      <c r="AB3000">
        <v>34</v>
      </c>
      <c r="AC3000">
        <v>-109.464</v>
      </c>
      <c r="AD3000">
        <v>0.12624299999999899</v>
      </c>
      <c r="AE3000">
        <v>12.9041</v>
      </c>
      <c r="AF3000">
        <v>13.980049404999701</v>
      </c>
      <c r="AG3000">
        <v>0.12624299999999899</v>
      </c>
      <c r="AH3000">
        <v>109.33164883470999</v>
      </c>
      <c r="AI3000">
        <v>89.934376084067196</v>
      </c>
      <c r="AJ3000">
        <v>82.713229405893102</v>
      </c>
      <c r="AK3000">
        <v>110.22189961880299</v>
      </c>
      <c r="AL3000">
        <v>88.140258567155101</v>
      </c>
      <c r="AM3000">
        <v>88.716917293989795</v>
      </c>
      <c r="AN3000">
        <v>0.99999993789217301</v>
      </c>
    </row>
    <row r="3001" spans="1:40" x14ac:dyDescent="0.25">
      <c r="A3001" t="str">
        <f>"20190312153944088"</f>
        <v>20190312153944088</v>
      </c>
      <c r="B3001" t="str">
        <f>"1552376384078963"</f>
        <v>1552376384078963</v>
      </c>
      <c r="C3001" t="s">
        <v>40</v>
      </c>
      <c r="D3001">
        <v>3.9676439999999999</v>
      </c>
      <c r="E3001">
        <v>0.53990530000000003</v>
      </c>
      <c r="F3001" t="s">
        <v>64</v>
      </c>
      <c r="G3001">
        <v>-510.95400000000001</v>
      </c>
      <c r="H3001">
        <v>1.295221</v>
      </c>
      <c r="I3001">
        <v>296.33229999999998</v>
      </c>
      <c r="J3001">
        <v>-401.66449999999998</v>
      </c>
      <c r="K3001">
        <v>1.1103019999999999</v>
      </c>
      <c r="L3001">
        <v>283.44659999999999</v>
      </c>
      <c r="M3001">
        <v>-0.99985539999999995</v>
      </c>
      <c r="N3001">
        <v>0</v>
      </c>
      <c r="O3001">
        <v>-9.9045039999999997E-3</v>
      </c>
      <c r="P3001">
        <v>-0.99974980000000002</v>
      </c>
      <c r="Q3001">
        <v>1.8717899999999999E-2</v>
      </c>
      <c r="R3001">
        <v>1.225453E-2</v>
      </c>
      <c r="S3001">
        <v>-2.9962770000000001</v>
      </c>
      <c r="T3001">
        <v>5.0640109999999898E-3</v>
      </c>
      <c r="U3001">
        <v>0.35266110000000001</v>
      </c>
      <c r="V3001">
        <v>2.21481E-2</v>
      </c>
      <c r="W3001">
        <v>3.2546800000000001E-2</v>
      </c>
      <c r="X3001">
        <v>0.99922480000000002</v>
      </c>
      <c r="Y3001">
        <v>0.12672449999999999</v>
      </c>
      <c r="Z3001">
        <v>-1.2340610000000001E-4</v>
      </c>
      <c r="AA3001">
        <v>0.99193790000000004</v>
      </c>
      <c r="AB3001">
        <v>34</v>
      </c>
      <c r="AC3001">
        <v>-109.2895</v>
      </c>
      <c r="AD3001">
        <v>0.184918999999999</v>
      </c>
      <c r="AE3001">
        <v>12.8856999999999</v>
      </c>
      <c r="AF3001">
        <v>13.9675901084603</v>
      </c>
      <c r="AG3001">
        <v>0.184918999999999</v>
      </c>
      <c r="AH3001">
        <v>109.156191356782</v>
      </c>
      <c r="AI3001">
        <v>89.903721640536205</v>
      </c>
      <c r="AJ3001">
        <v>82.708077252846493</v>
      </c>
      <c r="AK3001">
        <v>110.046362411454</v>
      </c>
      <c r="AL3001">
        <v>88.134876369897199</v>
      </c>
      <c r="AM3001">
        <v>88.730230778017201</v>
      </c>
      <c r="AN3001">
        <v>1.0000000167294401</v>
      </c>
    </row>
    <row r="3002" spans="1:40" x14ac:dyDescent="0.25">
      <c r="A3002" t="str">
        <f>"20190312153944109"</f>
        <v>20190312153944109</v>
      </c>
      <c r="B3002" t="str">
        <f>"1552376384098482"</f>
        <v>1552376384098482</v>
      </c>
      <c r="C3002" t="s">
        <v>40</v>
      </c>
      <c r="D3002">
        <v>3.9423620000000001</v>
      </c>
      <c r="E3002">
        <v>0.54068369999999999</v>
      </c>
      <c r="F3002" t="s">
        <v>64</v>
      </c>
      <c r="G3002">
        <v>-510.95409999999998</v>
      </c>
      <c r="H3002">
        <v>1.352738</v>
      </c>
      <c r="I3002">
        <v>296.32429999999999</v>
      </c>
      <c r="J3002">
        <v>-401.97699999999998</v>
      </c>
      <c r="K3002">
        <v>1.110304</v>
      </c>
      <c r="L3002">
        <v>283.4434</v>
      </c>
      <c r="M3002">
        <v>-0.99985409999999997</v>
      </c>
      <c r="N3002">
        <v>0</v>
      </c>
      <c r="O3002">
        <v>-1.0030249999999999E-2</v>
      </c>
      <c r="P3002">
        <v>-0.99975970000000003</v>
      </c>
      <c r="Q3002">
        <v>1.837772E-2</v>
      </c>
      <c r="R3002">
        <v>1.1949950000000001E-2</v>
      </c>
      <c r="S3002">
        <v>-2.9963069999999998</v>
      </c>
      <c r="T3002">
        <v>6.6490169999999897E-3</v>
      </c>
      <c r="U3002">
        <v>0.35305789999999998</v>
      </c>
      <c r="V3002">
        <v>2.1969369999999998E-2</v>
      </c>
      <c r="W3002">
        <v>3.2204129999999997E-2</v>
      </c>
      <c r="X3002">
        <v>0.99923980000000001</v>
      </c>
      <c r="Y3002">
        <v>0.12697749999999999</v>
      </c>
      <c r="Z3002">
        <v>-1.6258639999999999E-4</v>
      </c>
      <c r="AA3002">
        <v>0.99190560000000005</v>
      </c>
      <c r="AB3002">
        <v>34</v>
      </c>
      <c r="AC3002">
        <v>-108.97709999999999</v>
      </c>
      <c r="AD3002">
        <v>0.24243399999999901</v>
      </c>
      <c r="AE3002">
        <v>12.880899999999899</v>
      </c>
      <c r="AF3002">
        <v>13.9733557659174</v>
      </c>
      <c r="AG3002">
        <v>0.24243399999999901</v>
      </c>
      <c r="AH3002">
        <v>108.841874709281</v>
      </c>
      <c r="AI3002">
        <v>89.873418686691707</v>
      </c>
      <c r="AJ3002">
        <v>82.684261127494693</v>
      </c>
      <c r="AK3002">
        <v>109.735441566689</v>
      </c>
      <c r="AL3002">
        <v>88.154520123245504</v>
      </c>
      <c r="AM3002">
        <v>88.740493106343294</v>
      </c>
      <c r="AN3002">
        <v>0.99999996855564599</v>
      </c>
    </row>
    <row r="3003" spans="1:40" x14ac:dyDescent="0.25">
      <c r="A3003" t="str">
        <f>"20190312153944123"</f>
        <v>20190312153944123</v>
      </c>
      <c r="B3003" t="str">
        <f>"1552376384118979"</f>
        <v>1552376384118979</v>
      </c>
      <c r="C3003" t="s">
        <v>40</v>
      </c>
      <c r="D3003">
        <v>3.8342649999999998</v>
      </c>
      <c r="E3003">
        <v>0.54169699999999998</v>
      </c>
      <c r="F3003" t="s">
        <v>64</v>
      </c>
      <c r="G3003">
        <v>-510.95409999999998</v>
      </c>
      <c r="H3003">
        <v>1.3343069999999999</v>
      </c>
      <c r="I3003">
        <v>296.4753</v>
      </c>
      <c r="J3003">
        <v>-402.18709999999999</v>
      </c>
      <c r="K3003">
        <v>1.1103050000000001</v>
      </c>
      <c r="L3003">
        <v>283.44119999999998</v>
      </c>
      <c r="M3003">
        <v>-0.99985329999999994</v>
      </c>
      <c r="N3003">
        <v>0</v>
      </c>
      <c r="O3003">
        <v>-1.0114629999999999E-2</v>
      </c>
      <c r="P3003">
        <v>-0.99976609999999999</v>
      </c>
      <c r="Q3003">
        <v>1.8086649999999999E-2</v>
      </c>
      <c r="R3003">
        <v>1.1867020000000001E-2</v>
      </c>
      <c r="S3003">
        <v>-2.9962770000000001</v>
      </c>
      <c r="T3003">
        <v>6.1612129999999996E-3</v>
      </c>
      <c r="U3003">
        <v>0.35830689999999998</v>
      </c>
      <c r="V3003">
        <v>2.1970940000000001E-2</v>
      </c>
      <c r="W3003">
        <v>3.191198E-2</v>
      </c>
      <c r="X3003">
        <v>0.99924919999999995</v>
      </c>
      <c r="Y3003">
        <v>0.12877569999999999</v>
      </c>
      <c r="Z3003">
        <v>-1.5265959999999999E-4</v>
      </c>
      <c r="AA3003">
        <v>0.99167369999999999</v>
      </c>
      <c r="AB3003">
        <v>34</v>
      </c>
      <c r="AC3003">
        <v>-108.767</v>
      </c>
      <c r="AD3003">
        <v>0.22400200000000001</v>
      </c>
      <c r="AE3003">
        <v>13.0341</v>
      </c>
      <c r="AF3003">
        <v>14.1336171056687</v>
      </c>
      <c r="AG3003">
        <v>0.22400200000000001</v>
      </c>
      <c r="AH3003">
        <v>108.62913313728301</v>
      </c>
      <c r="AI3003">
        <v>89.882839170756299</v>
      </c>
      <c r="AJ3003">
        <v>82.586952097632306</v>
      </c>
      <c r="AK3003">
        <v>109.544958238813</v>
      </c>
      <c r="AL3003">
        <v>88.171267806670798</v>
      </c>
      <c r="AM3003">
        <v>88.740414972321702</v>
      </c>
      <c r="AN3003">
        <v>1.0000000301863201</v>
      </c>
    </row>
    <row r="3004" spans="1:40" x14ac:dyDescent="0.25">
      <c r="A3004" t="str">
        <f>"20190312153944254"</f>
        <v>20190312153944254</v>
      </c>
      <c r="B3004" t="str">
        <f>"1552376384248787"</f>
        <v>1552376384248787</v>
      </c>
      <c r="C3004" t="s">
        <v>40</v>
      </c>
      <c r="D3004">
        <v>3.5101179999999998</v>
      </c>
      <c r="E3004">
        <v>0.49279309999999998</v>
      </c>
      <c r="F3004" t="s">
        <v>64</v>
      </c>
      <c r="G3004">
        <v>-510.95409999999998</v>
      </c>
      <c r="H3004">
        <v>1.435783</v>
      </c>
      <c r="I3004">
        <v>296.74639999999999</v>
      </c>
      <c r="J3004">
        <v>-404.16579999999999</v>
      </c>
      <c r="K3004">
        <v>1.1103099999999999</v>
      </c>
      <c r="L3004">
        <v>283.41969999999998</v>
      </c>
      <c r="M3004">
        <v>-0.99984510000000004</v>
      </c>
      <c r="N3004">
        <v>0</v>
      </c>
      <c r="O3004">
        <v>-1.091199E-2</v>
      </c>
      <c r="P3004">
        <v>-0.99974189999999996</v>
      </c>
      <c r="Q3004">
        <v>1.9766909999999999E-2</v>
      </c>
      <c r="R3004">
        <v>1.1210060000000001E-2</v>
      </c>
      <c r="S3004">
        <v>-2.9961850000000001</v>
      </c>
      <c r="T3004">
        <v>8.9682340000000003E-3</v>
      </c>
      <c r="U3004">
        <v>0.36651610000000001</v>
      </c>
      <c r="V3004">
        <v>2.211072E-2</v>
      </c>
      <c r="W3004">
        <v>3.3579539999999998E-2</v>
      </c>
      <c r="X3004">
        <v>0.99919150000000001</v>
      </c>
      <c r="Y3004">
        <v>0.1322469</v>
      </c>
      <c r="Z3004">
        <v>-2.297352E-4</v>
      </c>
      <c r="AA3004">
        <v>0.99121680000000001</v>
      </c>
      <c r="AB3004">
        <v>34</v>
      </c>
      <c r="AC3004">
        <v>-106.78830000000001</v>
      </c>
      <c r="AD3004">
        <v>0.32547299999999901</v>
      </c>
      <c r="AE3004">
        <v>13.326700000000001</v>
      </c>
      <c r="AF3004">
        <v>14.4911578504805</v>
      </c>
      <c r="AG3004">
        <v>0.32547299999999901</v>
      </c>
      <c r="AH3004">
        <v>106.635530811694</v>
      </c>
      <c r="AI3004">
        <v>89.826715066002706</v>
      </c>
      <c r="AJ3004">
        <v>82.261237284624698</v>
      </c>
      <c r="AK3004">
        <v>107.61615129715901</v>
      </c>
      <c r="AL3004">
        <v>88.075672442242094</v>
      </c>
      <c r="AM3004">
        <v>88.7323308727061</v>
      </c>
      <c r="AN3004">
        <v>1.00000006155888</v>
      </c>
    </row>
    <row r="3005" spans="1:40" x14ac:dyDescent="0.25">
      <c r="A3005" t="str">
        <f>"20190312153944276"</f>
        <v>20190312153944276</v>
      </c>
      <c r="B3005" t="str">
        <f>"1552376384269284"</f>
        <v>1552376384269284</v>
      </c>
      <c r="C3005" t="s">
        <v>40</v>
      </c>
      <c r="D3005">
        <v>3.8846430000000001</v>
      </c>
      <c r="E3005">
        <v>0.48014259999999997</v>
      </c>
      <c r="F3005" t="s">
        <v>41</v>
      </c>
      <c r="G3005">
        <v>-404.91109999999998</v>
      </c>
      <c r="H3005">
        <v>0.99405719999999997</v>
      </c>
      <c r="I3005">
        <v>283.40750000000003</v>
      </c>
      <c r="J3005">
        <v>-404.49040000000002</v>
      </c>
      <c r="K3005">
        <v>1.1103069999999999</v>
      </c>
      <c r="L3005">
        <v>283.416</v>
      </c>
      <c r="M3005">
        <v>-0.99984379999999995</v>
      </c>
      <c r="N3005">
        <v>0</v>
      </c>
      <c r="O3005">
        <v>-1.1042740000000001E-2</v>
      </c>
      <c r="P3005">
        <v>-0.99973250000000002</v>
      </c>
      <c r="Q3005">
        <v>1.9999800000000002E-2</v>
      </c>
      <c r="R3005">
        <v>1.1626859999999999E-2</v>
      </c>
      <c r="S3005">
        <v>-3.0106199999999999</v>
      </c>
      <c r="T3005">
        <v>-0.4696748</v>
      </c>
      <c r="U3005">
        <v>-4.9499509999999997E-2</v>
      </c>
      <c r="V3005">
        <v>2.265795E-2</v>
      </c>
      <c r="W3005">
        <v>3.3810199999999999E-2</v>
      </c>
      <c r="X3005">
        <v>0.99917140000000004</v>
      </c>
      <c r="Y3005">
        <v>-5.4635769999999998E-3</v>
      </c>
      <c r="Z3005">
        <v>1.2887770000000001E-3</v>
      </c>
      <c r="AA3005">
        <v>0.99998430000000005</v>
      </c>
      <c r="AB3005">
        <v>34</v>
      </c>
      <c r="AC3005">
        <v>-0.420699999999953</v>
      </c>
      <c r="AD3005">
        <v>-0.116249799999999</v>
      </c>
      <c r="AE3005">
        <v>-8.4999999999695302E-3</v>
      </c>
      <c r="AF3005">
        <v>-3.5801095720713301E-3</v>
      </c>
      <c r="AG3005">
        <v>-0.116249799999999</v>
      </c>
      <c r="AH3005">
        <v>0.39093074688357898</v>
      </c>
      <c r="AI3005">
        <v>106.560070357461</v>
      </c>
      <c r="AJ3005">
        <v>90.524695067252296</v>
      </c>
      <c r="AK3005">
        <v>0.40786478401982801</v>
      </c>
      <c r="AL3005">
        <v>88.062448969479306</v>
      </c>
      <c r="AM3005">
        <v>88.700941151051197</v>
      </c>
      <c r="AN3005">
        <v>0.99999999945010098</v>
      </c>
    </row>
    <row r="3006" spans="1:40" x14ac:dyDescent="0.25">
      <c r="A3006" t="str">
        <f>"20190312153944298"</f>
        <v>20190312153944298</v>
      </c>
      <c r="B3006" t="str">
        <f>"1552376384288803"</f>
        <v>1552376384288803</v>
      </c>
      <c r="C3006" t="s">
        <v>40</v>
      </c>
      <c r="D3006">
        <v>4.118608</v>
      </c>
      <c r="E3006">
        <v>0.47594690000000001</v>
      </c>
      <c r="F3006" t="s">
        <v>41</v>
      </c>
      <c r="G3006">
        <v>-405.22489999999999</v>
      </c>
      <c r="H3006">
        <v>1.0202009999999999</v>
      </c>
      <c r="I3006">
        <v>283.38099999999997</v>
      </c>
      <c r="J3006">
        <v>-404.82369999999997</v>
      </c>
      <c r="K3006">
        <v>1.1103050000000001</v>
      </c>
      <c r="L3006">
        <v>283.41219999999998</v>
      </c>
      <c r="M3006">
        <v>-0.99984220000000001</v>
      </c>
      <c r="N3006">
        <v>0</v>
      </c>
      <c r="O3006">
        <v>-1.117683E-2</v>
      </c>
      <c r="P3006">
        <v>-0.99971909999999997</v>
      </c>
      <c r="Q3006">
        <v>2.0319319999999998E-2</v>
      </c>
      <c r="R3006">
        <v>1.220562E-2</v>
      </c>
      <c r="S3006">
        <v>-3.0098880000000001</v>
      </c>
      <c r="T3006">
        <v>-0.3693399</v>
      </c>
      <c r="U3006">
        <v>-0.14471439999999999</v>
      </c>
      <c r="V3006">
        <v>2.3370720000000001E-2</v>
      </c>
      <c r="W3006">
        <v>3.4127589999999999E-2</v>
      </c>
      <c r="X3006">
        <v>0.99914420000000004</v>
      </c>
      <c r="Y3006">
        <v>-3.6665469999999999E-2</v>
      </c>
      <c r="Z3006">
        <v>-8.7429499999999998E-4</v>
      </c>
      <c r="AA3006">
        <v>0.99932719999999997</v>
      </c>
      <c r="AB3006">
        <v>34</v>
      </c>
      <c r="AC3006">
        <v>-0.40120000000001699</v>
      </c>
      <c r="AD3006">
        <v>-9.0103999999999906E-2</v>
      </c>
      <c r="AE3006">
        <v>-3.1200000000012499E-2</v>
      </c>
      <c r="AF3006">
        <v>-2.5438119236121201E-2</v>
      </c>
      <c r="AG3006">
        <v>-9.0103999999999906E-2</v>
      </c>
      <c r="AH3006">
        <v>0.38235406775703601</v>
      </c>
      <c r="AI3006">
        <v>103.231941192167</v>
      </c>
      <c r="AJ3006">
        <v>93.806294371002906</v>
      </c>
      <c r="AK3006">
        <v>0.39365017700570598</v>
      </c>
      <c r="AL3006">
        <v>88.044253377163898</v>
      </c>
      <c r="AM3006">
        <v>88.660053782509394</v>
      </c>
      <c r="AN3006">
        <v>1.0000000076730799</v>
      </c>
    </row>
    <row r="3007" spans="1:40" x14ac:dyDescent="0.25">
      <c r="A3007" t="str">
        <f>"20190312153944321"</f>
        <v>20190312153944321</v>
      </c>
      <c r="B3007" t="str">
        <f>"1552376384308323"</f>
        <v>1552376384308323</v>
      </c>
      <c r="C3007" t="s">
        <v>40</v>
      </c>
      <c r="D3007">
        <v>3.8072870000000001</v>
      </c>
      <c r="E3007">
        <v>0.4741592</v>
      </c>
      <c r="F3007" t="s">
        <v>62</v>
      </c>
      <c r="G3007">
        <v>-417.89400000000001</v>
      </c>
      <c r="H3007" s="1">
        <v>3.776218E-6</v>
      </c>
      <c r="I3007">
        <v>282.66930000000002</v>
      </c>
      <c r="J3007">
        <v>-405.16430000000003</v>
      </c>
      <c r="K3007">
        <v>1.1103099999999999</v>
      </c>
      <c r="L3007">
        <v>283.40820000000002</v>
      </c>
      <c r="M3007">
        <v>-0.99984079999999997</v>
      </c>
      <c r="N3007">
        <v>0</v>
      </c>
      <c r="O3007">
        <v>-1.131425E-2</v>
      </c>
      <c r="P3007">
        <v>-0.99971120000000002</v>
      </c>
      <c r="Q3007">
        <v>2.0279419999999999E-2</v>
      </c>
      <c r="R3007">
        <v>1.290058E-2</v>
      </c>
      <c r="S3007">
        <v>-3.0081180000000001</v>
      </c>
      <c r="T3007">
        <v>-0.25553569999999998</v>
      </c>
      <c r="U3007">
        <v>-0.17095949999999999</v>
      </c>
      <c r="V3007">
        <v>2.4202749999999999E-2</v>
      </c>
      <c r="W3007">
        <v>3.4086129999999999E-2</v>
      </c>
      <c r="X3007">
        <v>0.99912579999999995</v>
      </c>
      <c r="Y3007">
        <v>-4.5318360000000002E-2</v>
      </c>
      <c r="Z3007">
        <v>-9.6123360000000002E-4</v>
      </c>
      <c r="AA3007">
        <v>0.99897210000000003</v>
      </c>
      <c r="AB3007">
        <v>33</v>
      </c>
      <c r="AC3007">
        <v>-12.7296999999999</v>
      </c>
      <c r="AD3007">
        <v>-1.1103062237819901</v>
      </c>
      <c r="AE3007">
        <v>-0.738900000000001</v>
      </c>
      <c r="AF3007">
        <v>-0.590336001149527</v>
      </c>
      <c r="AG3007">
        <v>-1.1103062237819901</v>
      </c>
      <c r="AH3007">
        <v>12.641397833246399</v>
      </c>
      <c r="AI3007">
        <v>95.014026788238795</v>
      </c>
      <c r="AJ3007">
        <v>92.673692160672701</v>
      </c>
      <c r="AK3007">
        <v>12.7037874542685</v>
      </c>
      <c r="AL3007">
        <v>88.046630229605398</v>
      </c>
      <c r="AM3007">
        <v>88.612342627755396</v>
      </c>
      <c r="AN3007">
        <v>1.0000000007957801</v>
      </c>
    </row>
    <row r="3008" spans="1:40" x14ac:dyDescent="0.25">
      <c r="A3008" t="str">
        <f>"20190312153944345"</f>
        <v>20190312153944345</v>
      </c>
      <c r="B3008" t="str">
        <f>"1552376384338579"</f>
        <v>1552376384338579</v>
      </c>
      <c r="C3008" t="s">
        <v>40</v>
      </c>
      <c r="D3008">
        <v>3.7961149999999999</v>
      </c>
      <c r="E3008">
        <v>0.4727382</v>
      </c>
      <c r="F3008" t="s">
        <v>62</v>
      </c>
      <c r="G3008">
        <v>-423.63069999999999</v>
      </c>
      <c r="H3008" s="1">
        <v>3.5225160000000002E-6</v>
      </c>
      <c r="I3008">
        <v>282.3064</v>
      </c>
      <c r="J3008">
        <v>-405.51209999999998</v>
      </c>
      <c r="K3008">
        <v>1.110314</v>
      </c>
      <c r="L3008">
        <v>283.40410000000003</v>
      </c>
      <c r="M3008">
        <v>-0.99983909999999998</v>
      </c>
      <c r="N3008">
        <v>0</v>
      </c>
      <c r="O3008">
        <v>-1.1454539999999999E-2</v>
      </c>
      <c r="P3008">
        <v>-0.99968950000000001</v>
      </c>
      <c r="Q3008">
        <v>2.0749170000000001E-2</v>
      </c>
      <c r="R3008">
        <v>1.380692E-2</v>
      </c>
      <c r="S3008">
        <v>-3.0068359999999998</v>
      </c>
      <c r="T3008">
        <v>-0.18078859999999999</v>
      </c>
      <c r="U3008">
        <v>-0.17941279999999901</v>
      </c>
      <c r="V3008">
        <v>2.524908E-2</v>
      </c>
      <c r="W3008">
        <v>3.4553630000000002E-2</v>
      </c>
      <c r="X3008">
        <v>0.99908379999999997</v>
      </c>
      <c r="Y3008">
        <v>-4.8057330000000002E-2</v>
      </c>
      <c r="Z3008">
        <v>-7.5468330000000002E-4</v>
      </c>
      <c r="AA3008">
        <v>0.99884430000000002</v>
      </c>
      <c r="AB3008">
        <v>33</v>
      </c>
      <c r="AC3008">
        <v>-18.118600000000001</v>
      </c>
      <c r="AD3008">
        <v>-1.110310477484</v>
      </c>
      <c r="AE3008">
        <v>-1.0977000000000301</v>
      </c>
      <c r="AF3008">
        <v>-0.88675016821156405</v>
      </c>
      <c r="AG3008">
        <v>-1.110310477484</v>
      </c>
      <c r="AH3008">
        <v>18.062405030816301</v>
      </c>
      <c r="AI3008">
        <v>93.513370455281603</v>
      </c>
      <c r="AJ3008">
        <v>92.810604830349604</v>
      </c>
      <c r="AK3008">
        <v>18.1182115760495</v>
      </c>
      <c r="AL3008">
        <v>88.019828571741797</v>
      </c>
      <c r="AM3008">
        <v>88.552315781459995</v>
      </c>
      <c r="AN3008">
        <v>0.99999995440473</v>
      </c>
    </row>
    <row r="3009" spans="1:40" x14ac:dyDescent="0.25">
      <c r="A3009" t="str">
        <f>"20190312153944365"</f>
        <v>20190312153944365</v>
      </c>
      <c r="B3009" t="str">
        <f>"1552376384359119"</f>
        <v>1552376384359119</v>
      </c>
      <c r="C3009" t="s">
        <v>40</v>
      </c>
      <c r="D3009">
        <v>3.8175319999999999</v>
      </c>
      <c r="E3009">
        <v>0.47177740000000001</v>
      </c>
      <c r="F3009" t="s">
        <v>62</v>
      </c>
      <c r="G3009">
        <v>-433.89429999999999</v>
      </c>
      <c r="H3009" s="1">
        <v>4.2027109999999997E-6</v>
      </c>
      <c r="I3009">
        <v>281.65649999999999</v>
      </c>
      <c r="J3009">
        <v>-405.8295</v>
      </c>
      <c r="K3009">
        <v>1.1103190000000001</v>
      </c>
      <c r="L3009">
        <v>283.40039999999999</v>
      </c>
      <c r="M3009">
        <v>-0.99983770000000005</v>
      </c>
      <c r="N3009">
        <v>0</v>
      </c>
      <c r="O3009">
        <v>-1.1582429999999999E-2</v>
      </c>
      <c r="P3009">
        <v>-0.99967779999999995</v>
      </c>
      <c r="Q3009">
        <v>2.1056600000000002E-2</v>
      </c>
      <c r="R3009">
        <v>1.4187750000000001E-2</v>
      </c>
      <c r="S3009">
        <v>-3.00589</v>
      </c>
      <c r="T3009">
        <v>-0.1175904</v>
      </c>
      <c r="U3009">
        <v>-0.18508910000000001</v>
      </c>
      <c r="V3009">
        <v>2.5757619999999998E-2</v>
      </c>
      <c r="W3009">
        <v>3.4859090000000002E-2</v>
      </c>
      <c r="X3009">
        <v>0.99906030000000001</v>
      </c>
      <c r="Y3009">
        <v>-4.9864169999999999E-2</v>
      </c>
      <c r="Z3009">
        <v>-5.215501E-4</v>
      </c>
      <c r="AA3009">
        <v>0.99875590000000003</v>
      </c>
      <c r="AB3009">
        <v>33</v>
      </c>
      <c r="AC3009">
        <v>-28.064799999999899</v>
      </c>
      <c r="AD3009">
        <v>-1.110314797289</v>
      </c>
      <c r="AE3009">
        <v>-1.74389999999999</v>
      </c>
      <c r="AF3009">
        <v>-1.4164849174727601</v>
      </c>
      <c r="AG3009">
        <v>-1.110314797289</v>
      </c>
      <c r="AH3009">
        <v>28.0393993036861</v>
      </c>
      <c r="AI3009">
        <v>92.264750315342795</v>
      </c>
      <c r="AJ3009">
        <v>92.891990385069406</v>
      </c>
      <c r="AK3009">
        <v>28.0971020175046</v>
      </c>
      <c r="AL3009">
        <v>88.002316637167894</v>
      </c>
      <c r="AM3009">
        <v>88.523136134900994</v>
      </c>
      <c r="AN3009">
        <v>1.00000004708989</v>
      </c>
    </row>
    <row r="3010" spans="1:40" x14ac:dyDescent="0.25">
      <c r="A3010" t="str">
        <f>"20190312153944388"</f>
        <v>20190312153944388</v>
      </c>
      <c r="B3010" t="str">
        <f>"1552376384378595"</f>
        <v>1552376384378595</v>
      </c>
      <c r="C3010" t="s">
        <v>40</v>
      </c>
      <c r="D3010">
        <v>3.821717</v>
      </c>
      <c r="E3010">
        <v>0.47099829999999998</v>
      </c>
      <c r="F3010" t="s">
        <v>62</v>
      </c>
      <c r="G3010">
        <v>-439.88010000000003</v>
      </c>
      <c r="H3010" s="1">
        <v>6.8935839999999999E-6</v>
      </c>
      <c r="I3010">
        <v>281.2396</v>
      </c>
      <c r="J3010">
        <v>-406.16059999999999</v>
      </c>
      <c r="K3010">
        <v>1.1103270000000001</v>
      </c>
      <c r="L3010">
        <v>283.39640000000003</v>
      </c>
      <c r="M3010">
        <v>-0.99983619999999995</v>
      </c>
      <c r="N3010">
        <v>0</v>
      </c>
      <c r="O3010">
        <v>-1.1715919999999999E-2</v>
      </c>
      <c r="P3010">
        <v>-0.99968210000000002</v>
      </c>
      <c r="Q3010">
        <v>2.1412540000000001E-2</v>
      </c>
      <c r="R3010">
        <v>1.3309710000000001E-2</v>
      </c>
      <c r="S3010">
        <v>-3.0057369999999999</v>
      </c>
      <c r="T3010">
        <v>-9.8010299999999995E-2</v>
      </c>
      <c r="U3010">
        <v>-0.19073490000000001</v>
      </c>
      <c r="V3010">
        <v>2.5012690000000001E-2</v>
      </c>
      <c r="W3010">
        <v>3.521316E-2</v>
      </c>
      <c r="X3010">
        <v>0.99906680000000003</v>
      </c>
      <c r="Y3010">
        <v>-5.1610570000000001E-2</v>
      </c>
      <c r="Z3010">
        <v>-4.5884479999999997E-4</v>
      </c>
      <c r="AA3010">
        <v>0.99866719999999998</v>
      </c>
      <c r="AB3010">
        <v>33</v>
      </c>
      <c r="AC3010">
        <v>-33.719499999999996</v>
      </c>
      <c r="AD3010">
        <v>-1.110320106416</v>
      </c>
      <c r="AE3010">
        <v>-2.1568000000000298</v>
      </c>
      <c r="AF3010">
        <v>-1.7596592239916</v>
      </c>
      <c r="AG3010">
        <v>-1.110320106416</v>
      </c>
      <c r="AH3010">
        <v>33.706059283383702</v>
      </c>
      <c r="AI3010">
        <v>91.884149006905204</v>
      </c>
      <c r="AJ3010">
        <v>92.988471618595099</v>
      </c>
      <c r="AK3010">
        <v>33.770218295685702</v>
      </c>
      <c r="AL3010">
        <v>87.982017436387494</v>
      </c>
      <c r="AM3010">
        <v>88.565839386255902</v>
      </c>
      <c r="AN3010">
        <v>1.0000000360802299</v>
      </c>
    </row>
    <row r="3011" spans="1:40" x14ac:dyDescent="0.25">
      <c r="A3011" t="str">
        <f>"20190312153944410"</f>
        <v>20190312153944410</v>
      </c>
      <c r="B3011" t="str">
        <f>"1552376384399091"</f>
        <v>1552376384399091</v>
      </c>
      <c r="C3011" t="s">
        <v>40</v>
      </c>
      <c r="D3011">
        <v>3.8872529999999998</v>
      </c>
      <c r="E3011">
        <v>0.4700358</v>
      </c>
      <c r="F3011" t="s">
        <v>61</v>
      </c>
      <c r="G3011">
        <v>-448.13310000000001</v>
      </c>
      <c r="H3011" s="1">
        <v>2.9658620000000001E-6</v>
      </c>
      <c r="I3011">
        <v>280.62220000000002</v>
      </c>
      <c r="J3011">
        <v>-406.49099999999999</v>
      </c>
      <c r="K3011">
        <v>1.1103289999999999</v>
      </c>
      <c r="L3011">
        <v>283.39240000000001</v>
      </c>
      <c r="M3011">
        <v>-0.99983449999999996</v>
      </c>
      <c r="N3011">
        <v>0</v>
      </c>
      <c r="O3011">
        <v>-1.1847979999999999E-2</v>
      </c>
      <c r="P3011">
        <v>-0.99968789999999996</v>
      </c>
      <c r="Q3011">
        <v>2.1703980000000001E-2</v>
      </c>
      <c r="R3011">
        <v>1.2364790000000001E-2</v>
      </c>
      <c r="S3011">
        <v>-3.0053709999999998</v>
      </c>
      <c r="T3011">
        <v>-7.9502820000000002E-2</v>
      </c>
      <c r="U3011">
        <v>-0.19863890000000001</v>
      </c>
      <c r="V3011">
        <v>2.4199849999999998E-2</v>
      </c>
      <c r="W3011">
        <v>3.5501949999999997E-2</v>
      </c>
      <c r="X3011">
        <v>0.99907650000000003</v>
      </c>
      <c r="Y3011">
        <v>-5.4108089999999998E-2</v>
      </c>
      <c r="Z3011">
        <v>-4.0175280000000001E-4</v>
      </c>
      <c r="AA3011">
        <v>0.99853499999999995</v>
      </c>
      <c r="AB3011">
        <v>33</v>
      </c>
      <c r="AC3011">
        <v>-41.642099999999999</v>
      </c>
      <c r="AD3011">
        <v>-1.1103260341379999</v>
      </c>
      <c r="AE3011">
        <v>-2.77019999999998</v>
      </c>
      <c r="AF3011">
        <v>-2.27497347624363</v>
      </c>
      <c r="AG3011">
        <v>-1.1103260341379999</v>
      </c>
      <c r="AH3011">
        <v>41.642525904218701</v>
      </c>
      <c r="AI3011">
        <v>91.5250581016643</v>
      </c>
      <c r="AJ3011">
        <v>93.127018176321002</v>
      </c>
      <c r="AK3011">
        <v>41.719399467193</v>
      </c>
      <c r="AL3011">
        <v>87.965460434607493</v>
      </c>
      <c r="AM3011">
        <v>88.612440393603293</v>
      </c>
      <c r="AN3011">
        <v>0.99999993702303502</v>
      </c>
    </row>
    <row r="3012" spans="1:40" x14ac:dyDescent="0.25">
      <c r="A3012" t="str">
        <f>"20190312153944433"</f>
        <v>20190312153944433</v>
      </c>
      <c r="B3012" t="str">
        <f>"1552376384428374"</f>
        <v>1552376384428374</v>
      </c>
      <c r="C3012" t="s">
        <v>40</v>
      </c>
      <c r="D3012">
        <v>3.8623400000000001</v>
      </c>
      <c r="E3012">
        <v>0.46949010000000002</v>
      </c>
      <c r="F3012" t="s">
        <v>61</v>
      </c>
      <c r="G3012">
        <v>-458.24650000000003</v>
      </c>
      <c r="H3012" s="1">
        <v>3.06195E-6</v>
      </c>
      <c r="I3012">
        <v>279.8039</v>
      </c>
      <c r="J3012">
        <v>-406.82339999999999</v>
      </c>
      <c r="K3012">
        <v>1.110328</v>
      </c>
      <c r="L3012">
        <v>283.38830000000002</v>
      </c>
      <c r="M3012">
        <v>-0.99983319999999998</v>
      </c>
      <c r="N3012">
        <v>0</v>
      </c>
      <c r="O3012">
        <v>-1.197954E-2</v>
      </c>
      <c r="P3012">
        <v>-0.99970190000000003</v>
      </c>
      <c r="Q3012">
        <v>2.1667510000000001E-2</v>
      </c>
      <c r="R3012">
        <v>1.127736E-2</v>
      </c>
      <c r="S3012">
        <v>-3.004883</v>
      </c>
      <c r="T3012">
        <v>-6.4464569999999999E-2</v>
      </c>
      <c r="U3012">
        <v>-0.20834349999999999</v>
      </c>
      <c r="V3012">
        <v>2.3244529999999999E-2</v>
      </c>
      <c r="W3012">
        <v>3.5463830000000002E-2</v>
      </c>
      <c r="X3012">
        <v>0.99910060000000001</v>
      </c>
      <c r="Y3012">
        <v>-5.7201630000000003E-2</v>
      </c>
      <c r="Z3012">
        <v>-3.5611920000000002E-4</v>
      </c>
      <c r="AA3012">
        <v>0.99836259999999999</v>
      </c>
      <c r="AB3012">
        <v>33</v>
      </c>
      <c r="AC3012">
        <v>-51.423099999999998</v>
      </c>
      <c r="AD3012">
        <v>-1.11032493805</v>
      </c>
      <c r="AE3012">
        <v>-3.5844000000000098</v>
      </c>
      <c r="AF3012">
        <v>-2.9666826946460301</v>
      </c>
      <c r="AG3012">
        <v>-1.11032493805</v>
      </c>
      <c r="AH3012">
        <v>51.438487562277501</v>
      </c>
      <c r="AI3012">
        <v>91.234514561343204</v>
      </c>
      <c r="AJ3012">
        <v>93.300841695924802</v>
      </c>
      <c r="AK3012">
        <v>51.535929509162301</v>
      </c>
      <c r="AL3012">
        <v>87.967646054483595</v>
      </c>
      <c r="AM3012">
        <v>88.667228056421493</v>
      </c>
      <c r="AN3012">
        <v>1.0000000001667699</v>
      </c>
    </row>
    <row r="3013" spans="1:40" x14ac:dyDescent="0.25">
      <c r="A3013" t="str">
        <f>"20190312153944455"</f>
        <v>20190312153944455</v>
      </c>
      <c r="B3013" t="str">
        <f>"1552376384448867"</f>
        <v>1552376384448867</v>
      </c>
      <c r="C3013" t="s">
        <v>40</v>
      </c>
      <c r="D3013">
        <v>3.895391</v>
      </c>
      <c r="E3013">
        <v>0.46905079999999999</v>
      </c>
      <c r="F3013" t="s">
        <v>61</v>
      </c>
      <c r="G3013">
        <v>-469.33240000000001</v>
      </c>
      <c r="H3013">
        <v>8.0000450000000001E-2</v>
      </c>
      <c r="I3013">
        <v>278.90570000000002</v>
      </c>
      <c r="J3013">
        <v>-407.15949999999998</v>
      </c>
      <c r="K3013">
        <v>1.1103369999999999</v>
      </c>
      <c r="L3013">
        <v>283.38409999999999</v>
      </c>
      <c r="M3013">
        <v>-0.99983140000000004</v>
      </c>
      <c r="N3013">
        <v>0</v>
      </c>
      <c r="O3013">
        <v>-1.2109780000000001E-2</v>
      </c>
      <c r="P3013">
        <v>-0.99970270000000006</v>
      </c>
      <c r="Q3013">
        <v>2.1862599999999999E-2</v>
      </c>
      <c r="R3013">
        <v>1.07934E-2</v>
      </c>
      <c r="S3013">
        <v>-3.0044559999999998</v>
      </c>
      <c r="T3013">
        <v>-4.9522040000000003E-2</v>
      </c>
      <c r="U3013">
        <v>-0.21545410000000001</v>
      </c>
      <c r="V3013">
        <v>2.289093E-2</v>
      </c>
      <c r="W3013">
        <v>3.5656819999999999E-2</v>
      </c>
      <c r="X3013">
        <v>0.99910189999999999</v>
      </c>
      <c r="Y3013">
        <v>-5.9436299999999997E-2</v>
      </c>
      <c r="Z3013">
        <v>-2.8985090000000001E-4</v>
      </c>
      <c r="AA3013">
        <v>0.99823209999999996</v>
      </c>
      <c r="AB3013">
        <v>33</v>
      </c>
      <c r="AC3013">
        <v>-62.172899999999998</v>
      </c>
      <c r="AD3013">
        <v>-1.0303365499999999</v>
      </c>
      <c r="AE3013">
        <v>-4.4783999999999597</v>
      </c>
      <c r="AF3013">
        <v>-3.7240821953815</v>
      </c>
      <c r="AG3013">
        <v>-1.0303365499999999</v>
      </c>
      <c r="AH3013">
        <v>62.205582191473603</v>
      </c>
      <c r="AI3013">
        <v>90.947231048228403</v>
      </c>
      <c r="AJ3013">
        <v>93.426056210371001</v>
      </c>
      <c r="AK3013">
        <v>62.325475027346599</v>
      </c>
      <c r="AL3013">
        <v>87.956581553981593</v>
      </c>
      <c r="AM3013">
        <v>88.687496985072301</v>
      </c>
      <c r="AN3013">
        <v>1.0000000050361899</v>
      </c>
    </row>
    <row r="3014" spans="1:40" x14ac:dyDescent="0.25">
      <c r="A3014" t="str">
        <f>"20190312153944477"</f>
        <v>20190312153944477</v>
      </c>
      <c r="B3014" t="str">
        <f>"1552376384468388"</f>
        <v>1552376384468388</v>
      </c>
      <c r="C3014" t="s">
        <v>40</v>
      </c>
      <c r="D3014">
        <v>3.850117</v>
      </c>
      <c r="E3014">
        <v>0.46838930000000001</v>
      </c>
      <c r="F3014" t="s">
        <v>54</v>
      </c>
      <c r="G3014">
        <v>-485.25599999999997</v>
      </c>
      <c r="H3014" s="1">
        <v>2.0106299999999998E-6</v>
      </c>
      <c r="I3014">
        <v>277.6635</v>
      </c>
      <c r="J3014">
        <v>-407.48869999999999</v>
      </c>
      <c r="K3014">
        <v>1.1103449999999999</v>
      </c>
      <c r="L3014">
        <v>283.38010000000003</v>
      </c>
      <c r="M3014">
        <v>-0.99983</v>
      </c>
      <c r="N3014">
        <v>0</v>
      </c>
      <c r="O3014">
        <v>-1.2235009999999999E-2</v>
      </c>
      <c r="P3014">
        <v>-0.9996678</v>
      </c>
      <c r="Q3014">
        <v>2.3408040000000001E-2</v>
      </c>
      <c r="R3014">
        <v>1.080012E-2</v>
      </c>
      <c r="S3014">
        <v>-3.0042110000000002</v>
      </c>
      <c r="T3014">
        <v>-4.271233E-2</v>
      </c>
      <c r="U3014">
        <v>-0.22006229999999999</v>
      </c>
      <c r="V3014">
        <v>2.30222E-2</v>
      </c>
      <c r="W3014">
        <v>3.7199320000000001E-2</v>
      </c>
      <c r="X3014">
        <v>0.9990426</v>
      </c>
      <c r="Y3014">
        <v>-6.0841689999999997E-2</v>
      </c>
      <c r="Z3014">
        <v>-2.58204E-4</v>
      </c>
      <c r="AA3014">
        <v>0.99814740000000002</v>
      </c>
      <c r="AB3014">
        <v>33</v>
      </c>
      <c r="AC3014">
        <v>-77.767299999999906</v>
      </c>
      <c r="AD3014">
        <v>-1.1103429893700001</v>
      </c>
      <c r="AE3014">
        <v>-5.7166000000000201</v>
      </c>
      <c r="AF3014">
        <v>-4.7636319312373097</v>
      </c>
      <c r="AG3014">
        <v>-1.1103429893700001</v>
      </c>
      <c r="AH3014">
        <v>77.815649469009301</v>
      </c>
      <c r="AI3014">
        <v>90.815964452451297</v>
      </c>
      <c r="AJ3014">
        <v>93.503097744539502</v>
      </c>
      <c r="AK3014">
        <v>77.969226961757599</v>
      </c>
      <c r="AL3014">
        <v>87.868144019979098</v>
      </c>
      <c r="AM3014">
        <v>88.679894654649502</v>
      </c>
      <c r="AN3014">
        <v>0.99999996385803003</v>
      </c>
    </row>
    <row r="3015" spans="1:40" x14ac:dyDescent="0.25">
      <c r="A3015" t="str">
        <f>"20190312153944499"</f>
        <v>20190312153944499</v>
      </c>
      <c r="B3015" t="str">
        <f>"1552376384488883"</f>
        <v>1552376384488883</v>
      </c>
      <c r="C3015" t="s">
        <v>40</v>
      </c>
      <c r="D3015">
        <v>3.8693620000000002</v>
      </c>
      <c r="E3015">
        <v>0.46788790000000002</v>
      </c>
      <c r="F3015" t="s">
        <v>54</v>
      </c>
      <c r="G3015">
        <v>-503.90159999999997</v>
      </c>
      <c r="H3015">
        <v>8.0000139999999997E-2</v>
      </c>
      <c r="I3015">
        <v>276.15499999999997</v>
      </c>
      <c r="J3015">
        <v>-407.8175</v>
      </c>
      <c r="K3015">
        <v>1.110349</v>
      </c>
      <c r="L3015">
        <v>283.3759</v>
      </c>
      <c r="M3015">
        <v>-0.99982850000000001</v>
      </c>
      <c r="N3015">
        <v>0</v>
      </c>
      <c r="O3015">
        <v>-1.235846E-2</v>
      </c>
      <c r="P3015">
        <v>-0.99964350000000002</v>
      </c>
      <c r="Q3015">
        <v>2.43517E-2</v>
      </c>
      <c r="R3015">
        <v>1.094901E-2</v>
      </c>
      <c r="S3015">
        <v>-3.0041500000000001</v>
      </c>
      <c r="T3015">
        <v>-3.2104729999999998E-2</v>
      </c>
      <c r="U3015">
        <v>-0.2251282</v>
      </c>
      <c r="V3015">
        <v>2.329407E-2</v>
      </c>
      <c r="W3015">
        <v>3.8140880000000002E-2</v>
      </c>
      <c r="X3015">
        <v>0.99900080000000002</v>
      </c>
      <c r="Y3015">
        <v>-6.2395890000000002E-2</v>
      </c>
      <c r="Z3015">
        <v>-2.0105129999999999E-4</v>
      </c>
      <c r="AA3015">
        <v>0.99805149999999998</v>
      </c>
      <c r="AB3015">
        <v>33</v>
      </c>
      <c r="AC3015">
        <v>-96.084099999999907</v>
      </c>
      <c r="AD3015">
        <v>-1.0303488599999999</v>
      </c>
      <c r="AE3015">
        <v>-7.2209000000000199</v>
      </c>
      <c r="AF3015">
        <v>-6.0320942283135297</v>
      </c>
      <c r="AG3015">
        <v>-1.0303488599999999</v>
      </c>
      <c r="AH3015">
        <v>96.155013573984107</v>
      </c>
      <c r="AI3015">
        <v>90.612724924056096</v>
      </c>
      <c r="AJ3015">
        <v>93.589633198961593</v>
      </c>
      <c r="AK3015">
        <v>96.349542889240695</v>
      </c>
      <c r="AL3015">
        <v>87.814158296550104</v>
      </c>
      <c r="AM3015">
        <v>88.664255229538298</v>
      </c>
      <c r="AN3015">
        <v>0.99999996941248903</v>
      </c>
    </row>
    <row r="3016" spans="1:40" x14ac:dyDescent="0.25">
      <c r="A3016" t="str">
        <f>"20190312153944523"</f>
        <v>20190312153944523</v>
      </c>
      <c r="B3016" t="str">
        <f>"1552376384519139"</f>
        <v>1552376384519139</v>
      </c>
      <c r="C3016" t="s">
        <v>40</v>
      </c>
      <c r="D3016">
        <v>3.952734</v>
      </c>
      <c r="E3016">
        <v>0.46754129999999999</v>
      </c>
      <c r="F3016" t="s">
        <v>67</v>
      </c>
      <c r="G3016">
        <v>-512.8252</v>
      </c>
      <c r="H3016">
        <v>7.6917890000000003E-2</v>
      </c>
      <c r="I3016">
        <v>275.3877</v>
      </c>
      <c r="J3016">
        <v>-408.1558</v>
      </c>
      <c r="K3016">
        <v>1.1103510000000001</v>
      </c>
      <c r="L3016">
        <v>283.3716</v>
      </c>
      <c r="M3016">
        <v>-0.99982700000000002</v>
      </c>
      <c r="N3016">
        <v>0</v>
      </c>
      <c r="O3016">
        <v>-1.248371E-2</v>
      </c>
      <c r="P3016">
        <v>-0.99965479999999995</v>
      </c>
      <c r="Q3016">
        <v>2.3860099999999999E-2</v>
      </c>
      <c r="R3016">
        <v>1.1025190000000001E-2</v>
      </c>
      <c r="S3016">
        <v>-3.0043329999999999</v>
      </c>
      <c r="T3016">
        <v>-2.9564739999999999E-2</v>
      </c>
      <c r="U3016">
        <v>-0.2285461</v>
      </c>
      <c r="V3016">
        <v>2.3496099999999999E-2</v>
      </c>
      <c r="W3016">
        <v>3.7647720000000003E-2</v>
      </c>
      <c r="X3016">
        <v>0.99901479999999998</v>
      </c>
      <c r="Y3016">
        <v>-6.3395709999999994E-2</v>
      </c>
      <c r="Z3016">
        <v>-1.8880859999999999E-4</v>
      </c>
      <c r="AA3016">
        <v>0.99798849999999995</v>
      </c>
      <c r="AB3016">
        <v>33</v>
      </c>
      <c r="AC3016">
        <v>-104.6694</v>
      </c>
      <c r="AD3016">
        <v>-1.03343311</v>
      </c>
      <c r="AE3016">
        <v>-7.9839000000000002</v>
      </c>
      <c r="AF3016">
        <v>-6.6758440593570398</v>
      </c>
      <c r="AG3016">
        <v>-1.03343311</v>
      </c>
      <c r="AH3016">
        <v>104.750768036138</v>
      </c>
      <c r="AI3016">
        <v>90.564096720894696</v>
      </c>
      <c r="AJ3016">
        <v>93.646570836466793</v>
      </c>
      <c r="AK3016">
        <v>104.968368007026</v>
      </c>
      <c r="AL3016">
        <v>87.842434646933796</v>
      </c>
      <c r="AM3016">
        <v>88.652693410813299</v>
      </c>
      <c r="AN3016">
        <v>0.999999994077724</v>
      </c>
    </row>
    <row r="3017" spans="1:40" x14ac:dyDescent="0.25">
      <c r="A3017" t="str">
        <f>"20190312153944545"</f>
        <v>20190312153944545</v>
      </c>
      <c r="B3017" t="str">
        <f>"1552376384538659"</f>
        <v>1552376384538659</v>
      </c>
      <c r="C3017" t="s">
        <v>40</v>
      </c>
      <c r="D3017">
        <v>3.9894579999999999</v>
      </c>
      <c r="E3017">
        <v>0.46724480000000002</v>
      </c>
      <c r="F3017" t="s">
        <v>67</v>
      </c>
      <c r="G3017">
        <v>-512.8252</v>
      </c>
      <c r="H3017">
        <v>0.117463</v>
      </c>
      <c r="I3017">
        <v>275.32389999999998</v>
      </c>
      <c r="J3017">
        <v>-408.49220000000003</v>
      </c>
      <c r="K3017">
        <v>1.1103430000000001</v>
      </c>
      <c r="L3017">
        <v>283.36720000000003</v>
      </c>
      <c r="M3017">
        <v>-0.99982550000000003</v>
      </c>
      <c r="N3017">
        <v>0</v>
      </c>
      <c r="O3017">
        <v>-1.2607409999999999E-2</v>
      </c>
      <c r="P3017">
        <v>-0.99967620000000001</v>
      </c>
      <c r="Q3017">
        <v>2.3129469999999999E-2</v>
      </c>
      <c r="R3017">
        <v>1.0600419999999999E-2</v>
      </c>
      <c r="S3017">
        <v>-3.0042719999999998</v>
      </c>
      <c r="T3017">
        <v>-2.8496029999999999E-2</v>
      </c>
      <c r="U3017">
        <v>-0.23098750000000001</v>
      </c>
      <c r="V3017">
        <v>2.3195279999999999E-2</v>
      </c>
      <c r="W3017">
        <v>3.6915320000000001E-2</v>
      </c>
      <c r="X3017">
        <v>0.99904919999999997</v>
      </c>
      <c r="Y3017">
        <v>-6.4080189999999995E-2</v>
      </c>
      <c r="Z3017">
        <v>-1.8405200000000001E-4</v>
      </c>
      <c r="AA3017">
        <v>0.99794470000000002</v>
      </c>
      <c r="AB3017">
        <v>33</v>
      </c>
      <c r="AC3017">
        <v>-104.332999999999</v>
      </c>
      <c r="AD3017">
        <v>-0.99287999999999998</v>
      </c>
      <c r="AE3017">
        <v>-8.0433000000000394</v>
      </c>
      <c r="AF3017">
        <v>-6.7265611468751096</v>
      </c>
      <c r="AG3017">
        <v>-0.99287999999999998</v>
      </c>
      <c r="AH3017">
        <v>104.416720805902</v>
      </c>
      <c r="AI3017">
        <v>90.5436720642778</v>
      </c>
      <c r="AJ3017">
        <v>93.685920663259196</v>
      </c>
      <c r="AK3017">
        <v>104.637870866215</v>
      </c>
      <c r="AL3017">
        <v>87.884427352467895</v>
      </c>
      <c r="AM3017">
        <v>88.669982489212799</v>
      </c>
      <c r="AN3017">
        <v>1.0000000329428</v>
      </c>
    </row>
    <row r="3018" spans="1:40" x14ac:dyDescent="0.25">
      <c r="A3018" t="str">
        <f>"20190312153944566"</f>
        <v>20190312153944566</v>
      </c>
      <c r="B3018" t="str">
        <f>"1552376384559159"</f>
        <v>1552376384559159</v>
      </c>
      <c r="C3018" t="s">
        <v>40</v>
      </c>
      <c r="D3018">
        <v>4.0063319999999996</v>
      </c>
      <c r="E3018">
        <v>0.46699180000000001</v>
      </c>
      <c r="F3018" t="s">
        <v>67</v>
      </c>
      <c r="G3018">
        <v>-512.8252</v>
      </c>
      <c r="H3018">
        <v>8.4018949999999995E-2</v>
      </c>
      <c r="I3018">
        <v>275.2253</v>
      </c>
      <c r="J3018">
        <v>-408.81959999999998</v>
      </c>
      <c r="K3018">
        <v>1.1103350000000001</v>
      </c>
      <c r="L3018">
        <v>283.36290000000002</v>
      </c>
      <c r="M3018">
        <v>-0.99982400000000005</v>
      </c>
      <c r="N3018">
        <v>0</v>
      </c>
      <c r="O3018">
        <v>-1.2726940000000001E-2</v>
      </c>
      <c r="P3018">
        <v>-0.99971049999999995</v>
      </c>
      <c r="Q3018">
        <v>2.1864870000000002E-2</v>
      </c>
      <c r="R3018">
        <v>1.004612E-2</v>
      </c>
      <c r="S3018">
        <v>-3.0041500000000001</v>
      </c>
      <c r="T3018">
        <v>-2.9549479999999999E-2</v>
      </c>
      <c r="U3018">
        <v>-0.23443600000000001</v>
      </c>
      <c r="V3018">
        <v>2.2761489999999999E-2</v>
      </c>
      <c r="W3018">
        <v>3.5649680000000003E-2</v>
      </c>
      <c r="X3018">
        <v>0.99910509999999997</v>
      </c>
      <c r="Y3018">
        <v>-6.5102450000000006E-2</v>
      </c>
      <c r="Z3018">
        <v>-1.9470150000000001E-4</v>
      </c>
      <c r="AA3018">
        <v>0.99787859999999995</v>
      </c>
      <c r="AB3018">
        <v>33</v>
      </c>
      <c r="AC3018">
        <v>-104.0056</v>
      </c>
      <c r="AD3018">
        <v>-1.0263160499999999</v>
      </c>
      <c r="AE3018">
        <v>-8.1376000000000097</v>
      </c>
      <c r="AF3018">
        <v>-6.8124826791814899</v>
      </c>
      <c r="AG3018">
        <v>-1.0263160499999999</v>
      </c>
      <c r="AH3018">
        <v>104.090677302958</v>
      </c>
      <c r="AI3018">
        <v>90.563702248061304</v>
      </c>
      <c r="AJ3018">
        <v>93.744529647251198</v>
      </c>
      <c r="AK3018">
        <v>104.31841805873501</v>
      </c>
      <c r="AL3018">
        <v>87.956990881458594</v>
      </c>
      <c r="AM3018">
        <v>88.694920323349606</v>
      </c>
      <c r="AN3018">
        <v>0.99999999297856601</v>
      </c>
    </row>
    <row r="3019" spans="1:40" x14ac:dyDescent="0.25">
      <c r="A3019" t="str">
        <f>"20190312153944588"</f>
        <v>20190312153944588</v>
      </c>
      <c r="B3019" t="str">
        <f>"1552376384578675"</f>
        <v>1552376384578675</v>
      </c>
      <c r="C3019" t="s">
        <v>40</v>
      </c>
      <c r="D3019">
        <v>4.0395989999999999</v>
      </c>
      <c r="E3019">
        <v>0.4667733</v>
      </c>
      <c r="F3019" t="s">
        <v>54</v>
      </c>
      <c r="G3019">
        <v>-504.72199999999998</v>
      </c>
      <c r="H3019">
        <v>8.0000039999999994E-2</v>
      </c>
      <c r="I3019">
        <v>275.76249999999999</v>
      </c>
      <c r="J3019">
        <v>-409.14179999999999</v>
      </c>
      <c r="K3019">
        <v>1.1103350000000001</v>
      </c>
      <c r="L3019">
        <v>283.3587</v>
      </c>
      <c r="M3019">
        <v>-0.99982260000000001</v>
      </c>
      <c r="N3019">
        <v>0</v>
      </c>
      <c r="O3019">
        <v>-1.284361E-2</v>
      </c>
      <c r="P3019">
        <v>-0.9997028</v>
      </c>
      <c r="Q3019">
        <v>2.2440870000000002E-2</v>
      </c>
      <c r="R3019">
        <v>9.5503959999999992E-3</v>
      </c>
      <c r="S3019">
        <v>-3.0039370000000001</v>
      </c>
      <c r="T3019">
        <v>-3.2273049999999998E-2</v>
      </c>
      <c r="U3019">
        <v>-0.23806759999999999</v>
      </c>
      <c r="V3019">
        <v>2.2382349999999999E-2</v>
      </c>
      <c r="W3019">
        <v>3.6223419999999999E-2</v>
      </c>
      <c r="X3019">
        <v>0.99909309999999996</v>
      </c>
      <c r="Y3019">
        <v>-6.6189919999999999E-2</v>
      </c>
      <c r="Z3019">
        <v>-2.172327E-4</v>
      </c>
      <c r="AA3019">
        <v>0.997807</v>
      </c>
      <c r="AB3019">
        <v>33</v>
      </c>
      <c r="AC3019">
        <v>-95.580200000000005</v>
      </c>
      <c r="AD3019">
        <v>-1.03033496</v>
      </c>
      <c r="AE3019">
        <v>-7.5961999999999996</v>
      </c>
      <c r="AF3019">
        <v>-6.3671267513692298</v>
      </c>
      <c r="AG3019">
        <v>-1.03033496</v>
      </c>
      <c r="AH3019">
        <v>95.658840526403694</v>
      </c>
      <c r="AI3019">
        <v>90.615742776301303</v>
      </c>
      <c r="AJ3019">
        <v>93.808034605548599</v>
      </c>
      <c r="AK3019">
        <v>95.876043222766199</v>
      </c>
      <c r="AL3019">
        <v>87.924096900771801</v>
      </c>
      <c r="AM3019">
        <v>88.716636401513</v>
      </c>
      <c r="AN3019">
        <v>1.0000000641078099</v>
      </c>
    </row>
    <row r="3020" spans="1:40" x14ac:dyDescent="0.25">
      <c r="A3020" t="str">
        <f>"20190312153944611"</f>
        <v>20190312153944611</v>
      </c>
      <c r="B3020" t="str">
        <f>"1552376384608931"</f>
        <v>1552376384608931</v>
      </c>
      <c r="C3020" t="s">
        <v>40</v>
      </c>
      <c r="D3020">
        <v>4.0563479999999998</v>
      </c>
      <c r="E3020">
        <v>0.4664546</v>
      </c>
      <c r="F3020" t="s">
        <v>67</v>
      </c>
      <c r="G3020">
        <v>-512.8252</v>
      </c>
      <c r="H3020">
        <v>6.3990770000000002E-2</v>
      </c>
      <c r="I3020">
        <v>275.03199999999998</v>
      </c>
      <c r="J3020">
        <v>-409.47280000000001</v>
      </c>
      <c r="K3020">
        <v>1.1103190000000001</v>
      </c>
      <c r="L3020">
        <v>283.35430000000002</v>
      </c>
      <c r="M3020">
        <v>-0.99982099999999996</v>
      </c>
      <c r="N3020">
        <v>0</v>
      </c>
      <c r="O3020">
        <v>-1.29617E-2</v>
      </c>
      <c r="P3020">
        <v>-0.9996777</v>
      </c>
      <c r="Q3020">
        <v>2.3886009999999999E-2</v>
      </c>
      <c r="R3020">
        <v>8.6260750000000004E-3</v>
      </c>
      <c r="S3020">
        <v>-3.0039370000000001</v>
      </c>
      <c r="T3020">
        <v>-3.0312539999999999E-2</v>
      </c>
      <c r="U3020">
        <v>-0.2412415</v>
      </c>
      <c r="V3020">
        <v>2.1575569999999999E-2</v>
      </c>
      <c r="W3020">
        <v>3.7665829999999997E-2</v>
      </c>
      <c r="X3020">
        <v>0.99905750000000004</v>
      </c>
      <c r="Y3020">
        <v>-6.7119910000000005E-2</v>
      </c>
      <c r="Z3020">
        <v>-2.0752370000000001E-4</v>
      </c>
      <c r="AA3020">
        <v>0.99774490000000005</v>
      </c>
      <c r="AB3020">
        <v>33</v>
      </c>
      <c r="AC3020">
        <v>-103.3524</v>
      </c>
      <c r="AD3020">
        <v>-1.0463282300000001</v>
      </c>
      <c r="AE3020">
        <v>-8.3223000000000393</v>
      </c>
      <c r="AF3020">
        <v>-6.9811397715970704</v>
      </c>
      <c r="AG3020">
        <v>-1.0463282300000001</v>
      </c>
      <c r="AH3020">
        <v>103.441063796854</v>
      </c>
      <c r="AI3020">
        <v>90.578223904675497</v>
      </c>
      <c r="AJ3020">
        <v>93.860983221625901</v>
      </c>
      <c r="AK3020">
        <v>103.68165119586099</v>
      </c>
      <c r="AL3020">
        <v>87.841396413591497</v>
      </c>
      <c r="AM3020">
        <v>88.762836998103197</v>
      </c>
      <c r="AN3020">
        <v>1.00000005413833</v>
      </c>
    </row>
    <row r="3021" spans="1:40" x14ac:dyDescent="0.25">
      <c r="A3021" t="str">
        <f>"20190312153944634"</f>
        <v>20190312153944634</v>
      </c>
      <c r="B3021" t="str">
        <f>"1552376384628453"</f>
        <v>1552376384628453</v>
      </c>
      <c r="C3021" t="s">
        <v>40</v>
      </c>
      <c r="D3021">
        <v>4.1177089999999996</v>
      </c>
      <c r="E3021">
        <v>0.46622590000000003</v>
      </c>
      <c r="F3021" t="s">
        <v>67</v>
      </c>
      <c r="G3021">
        <v>-512.8252</v>
      </c>
      <c r="H3021">
        <v>0.20117959999999999</v>
      </c>
      <c r="I3021">
        <v>274.8698</v>
      </c>
      <c r="J3021">
        <v>-409.8066</v>
      </c>
      <c r="K3021">
        <v>1.1102989999999999</v>
      </c>
      <c r="L3021">
        <v>283.34989999999999</v>
      </c>
      <c r="M3021">
        <v>-0.99981940000000002</v>
      </c>
      <c r="N3021">
        <v>0</v>
      </c>
      <c r="O3021">
        <v>-1.307884E-2</v>
      </c>
      <c r="P3021">
        <v>-0.99973480000000003</v>
      </c>
      <c r="Q3021">
        <v>2.1994710000000001E-2</v>
      </c>
      <c r="R3021">
        <v>6.8173590000000003E-3</v>
      </c>
      <c r="S3021">
        <v>-3.0037229999999999</v>
      </c>
      <c r="T3021">
        <v>-2.641988E-2</v>
      </c>
      <c r="U3021">
        <v>-0.246582</v>
      </c>
      <c r="V3021">
        <v>1.9885440000000001E-2</v>
      </c>
      <c r="W3021">
        <v>3.5773579999999999E-2</v>
      </c>
      <c r="X3021">
        <v>0.99916210000000005</v>
      </c>
      <c r="Y3021">
        <v>-6.8771550000000001E-2</v>
      </c>
      <c r="Z3021">
        <v>-1.870982E-4</v>
      </c>
      <c r="AA3021">
        <v>0.99763239999999997</v>
      </c>
      <c r="AB3021">
        <v>33</v>
      </c>
      <c r="AC3021">
        <v>-103.01860000000001</v>
      </c>
      <c r="AD3021">
        <v>-0.90911940000000002</v>
      </c>
      <c r="AE3021">
        <v>-8.4800999999999895</v>
      </c>
      <c r="AF3021">
        <v>-7.1313310350126002</v>
      </c>
      <c r="AG3021">
        <v>-0.90911940000000002</v>
      </c>
      <c r="AH3021">
        <v>103.11273129564999</v>
      </c>
      <c r="AI3021">
        <v>90.503945869268506</v>
      </c>
      <c r="AJ3021">
        <v>93.9563065347308</v>
      </c>
      <c r="AK3021">
        <v>103.363038537299</v>
      </c>
      <c r="AL3021">
        <v>87.949887501584996</v>
      </c>
      <c r="AM3021">
        <v>88.859843271394993</v>
      </c>
      <c r="AN3021">
        <v>1.0000000409131999</v>
      </c>
    </row>
    <row r="3022" spans="1:40" x14ac:dyDescent="0.25">
      <c r="A3022" t="str">
        <f>"20190312153944655"</f>
        <v>20190312153944655</v>
      </c>
      <c r="B3022" t="str">
        <f>"1552376384648947"</f>
        <v>1552376384648947</v>
      </c>
      <c r="C3022" t="s">
        <v>40</v>
      </c>
      <c r="D3022">
        <v>4.1323879999999997</v>
      </c>
      <c r="E3022">
        <v>0.46606389999999998</v>
      </c>
      <c r="F3022" t="s">
        <v>67</v>
      </c>
      <c r="G3022">
        <v>-512.82510000000002</v>
      </c>
      <c r="H3022">
        <v>6.5359469999999899E-3</v>
      </c>
      <c r="I3022">
        <v>274.63499999999999</v>
      </c>
      <c r="J3022">
        <v>-410.13560000000001</v>
      </c>
      <c r="K3022">
        <v>1.110284</v>
      </c>
      <c r="L3022">
        <v>283.34550000000002</v>
      </c>
      <c r="M3022">
        <v>-0.99981799999999998</v>
      </c>
      <c r="N3022">
        <v>0</v>
      </c>
      <c r="O3022">
        <v>-1.319204E-2</v>
      </c>
      <c r="P3022">
        <v>-0.99978679999999998</v>
      </c>
      <c r="Q3022">
        <v>1.9574850000000001E-2</v>
      </c>
      <c r="R3022">
        <v>6.5949859999999997E-3</v>
      </c>
      <c r="S3022">
        <v>-3.0032350000000001</v>
      </c>
      <c r="T3022">
        <v>-3.2174939999999999E-2</v>
      </c>
      <c r="U3022">
        <v>-0.25405879999999997</v>
      </c>
      <c r="V3022">
        <v>1.9777659999999999E-2</v>
      </c>
      <c r="W3022">
        <v>3.3352699999999999E-2</v>
      </c>
      <c r="X3022">
        <v>0.99924789999999997</v>
      </c>
      <c r="Y3022">
        <v>-7.1137000000000006E-2</v>
      </c>
      <c r="Z3022">
        <v>-2.3930380000000001E-4</v>
      </c>
      <c r="AA3022">
        <v>0.99746650000000003</v>
      </c>
      <c r="AB3022">
        <v>33</v>
      </c>
      <c r="AC3022">
        <v>-102.6895</v>
      </c>
      <c r="AD3022">
        <v>-1.1037480529999999</v>
      </c>
      <c r="AE3022">
        <v>-8.7105000000000192</v>
      </c>
      <c r="AF3022">
        <v>-7.3540856823830598</v>
      </c>
      <c r="AG3022">
        <v>-1.1037480529999999</v>
      </c>
      <c r="AH3022">
        <v>102.783692986274</v>
      </c>
      <c r="AI3022">
        <v>90.613681392713303</v>
      </c>
      <c r="AJ3022">
        <v>94.092490192625206</v>
      </c>
      <c r="AK3022">
        <v>103.052357468837</v>
      </c>
      <c r="AL3022">
        <v>88.088676510119299</v>
      </c>
      <c r="AM3022">
        <v>88.866118698479994</v>
      </c>
      <c r="AN3022">
        <v>0.99999996204338704</v>
      </c>
    </row>
    <row r="3023" spans="1:40" x14ac:dyDescent="0.25">
      <c r="A3023" t="str">
        <f>"20190312153944678"</f>
        <v>20190312153944678</v>
      </c>
      <c r="B3023" t="str">
        <f>"1552376384668467"</f>
        <v>1552376384668467</v>
      </c>
      <c r="C3023" t="s">
        <v>40</v>
      </c>
      <c r="D3023">
        <v>4.1267940000000003</v>
      </c>
      <c r="E3023">
        <v>0.4659412</v>
      </c>
      <c r="F3023" t="s">
        <v>54</v>
      </c>
      <c r="G3023">
        <v>-495.83010000000002</v>
      </c>
      <c r="H3023" s="1">
        <v>1.7508889999999999E-6</v>
      </c>
      <c r="I3023">
        <v>276.04270000000002</v>
      </c>
      <c r="J3023">
        <v>-410.45929999999998</v>
      </c>
      <c r="K3023">
        <v>1.1102890000000001</v>
      </c>
      <c r="L3023">
        <v>283.34109999999998</v>
      </c>
      <c r="M3023">
        <v>-0.99981679999999995</v>
      </c>
      <c r="N3023">
        <v>0</v>
      </c>
      <c r="O3023">
        <v>-1.330011E-2</v>
      </c>
      <c r="P3023">
        <v>-0.99980539999999996</v>
      </c>
      <c r="Q3023">
        <v>1.8210440000000001E-2</v>
      </c>
      <c r="R3023">
        <v>7.6059580000000003E-3</v>
      </c>
      <c r="S3023">
        <v>-3.0031129999999999</v>
      </c>
      <c r="T3023">
        <v>-3.8909199999999998E-2</v>
      </c>
      <c r="U3023">
        <v>-0.25592039999999999</v>
      </c>
      <c r="V3023">
        <v>2.0897140000000002E-2</v>
      </c>
      <c r="W3023">
        <v>3.1986800000000003E-2</v>
      </c>
      <c r="X3023">
        <v>0.99926979999999999</v>
      </c>
      <c r="Y3023">
        <v>-7.1644920000000001E-2</v>
      </c>
      <c r="Z3023">
        <v>-2.9127789999999998E-4</v>
      </c>
      <c r="AA3023">
        <v>0.99743009999999999</v>
      </c>
      <c r="AB3023">
        <v>33</v>
      </c>
      <c r="AC3023">
        <v>-85.370800000000003</v>
      </c>
      <c r="AD3023">
        <v>-1.1102872491110001</v>
      </c>
      <c r="AE3023">
        <v>-7.2983999999999503</v>
      </c>
      <c r="AF3023">
        <v>-6.1611711644317397</v>
      </c>
      <c r="AG3023">
        <v>-1.1102872491110001</v>
      </c>
      <c r="AH3023">
        <v>85.445978550063501</v>
      </c>
      <c r="AI3023">
        <v>90.742533338731604</v>
      </c>
      <c r="AJ3023">
        <v>94.124233980324703</v>
      </c>
      <c r="AK3023">
        <v>85.675013967147294</v>
      </c>
      <c r="AL3023">
        <v>88.166978672379301</v>
      </c>
      <c r="AM3023">
        <v>88.801981775992104</v>
      </c>
      <c r="AN3023">
        <v>0.99999998951322899</v>
      </c>
    </row>
    <row r="3024" spans="1:40" x14ac:dyDescent="0.25">
      <c r="A3024" t="str">
        <f>"20190312153944701"</f>
        <v>20190312153944701</v>
      </c>
      <c r="B3024" t="str">
        <f>"1552376384698723"</f>
        <v>1552376384698723</v>
      </c>
      <c r="C3024" t="s">
        <v>40</v>
      </c>
      <c r="D3024">
        <v>4.1129879999999996</v>
      </c>
      <c r="E3024">
        <v>0.46582220000000002</v>
      </c>
      <c r="F3024" t="s">
        <v>54</v>
      </c>
      <c r="G3024">
        <v>-488.76</v>
      </c>
      <c r="H3024" s="1">
        <v>2.2971859999999998E-6</v>
      </c>
      <c r="I3024">
        <v>276.7158</v>
      </c>
      <c r="J3024">
        <v>-410.79640000000001</v>
      </c>
      <c r="K3024">
        <v>1.1103080000000001</v>
      </c>
      <c r="L3024">
        <v>283.3365</v>
      </c>
      <c r="M3024">
        <v>-0.99981529999999996</v>
      </c>
      <c r="N3024">
        <v>0</v>
      </c>
      <c r="O3024">
        <v>-1.340995E-2</v>
      </c>
      <c r="P3024">
        <v>-0.99976810000000005</v>
      </c>
      <c r="Q3024">
        <v>1.933025E-2</v>
      </c>
      <c r="R3024">
        <v>9.5250439999999999E-3</v>
      </c>
      <c r="S3024">
        <v>-3.0032960000000002</v>
      </c>
      <c r="T3024">
        <v>-4.258609E-2</v>
      </c>
      <c r="U3024">
        <v>-0.25411990000000001</v>
      </c>
      <c r="V3024">
        <v>2.292553E-2</v>
      </c>
      <c r="W3024">
        <v>3.3103920000000002E-2</v>
      </c>
      <c r="X3024">
        <v>0.99918899999999999</v>
      </c>
      <c r="Y3024">
        <v>-7.0935609999999996E-2</v>
      </c>
      <c r="Z3024">
        <v>-3.1221519999999998E-4</v>
      </c>
      <c r="AA3024">
        <v>0.9974809</v>
      </c>
      <c r="AB3024">
        <v>33</v>
      </c>
      <c r="AC3024">
        <v>-77.9635999999999</v>
      </c>
      <c r="AD3024">
        <v>-1.110305702814</v>
      </c>
      <c r="AE3024">
        <v>-6.6206999999999896</v>
      </c>
      <c r="AF3024">
        <v>-5.5733952202611103</v>
      </c>
      <c r="AG3024">
        <v>-1.110305702814</v>
      </c>
      <c r="AH3024">
        <v>78.029667730750504</v>
      </c>
      <c r="AI3024">
        <v>90.813151127741193</v>
      </c>
      <c r="AJ3024">
        <v>94.085505388787993</v>
      </c>
      <c r="AK3024">
        <v>78.236337843781101</v>
      </c>
      <c r="AL3024">
        <v>88.102938604059403</v>
      </c>
      <c r="AM3024">
        <v>88.685628356170099</v>
      </c>
      <c r="AN3024">
        <v>1.00000005358307</v>
      </c>
    </row>
    <row r="3025" spans="1:40" x14ac:dyDescent="0.25">
      <c r="A3025" t="str">
        <f>"20190312153944724"</f>
        <v>20190312153944724</v>
      </c>
      <c r="B3025" t="str">
        <f>"1552376384719219"</f>
        <v>1552376384719219</v>
      </c>
      <c r="C3025" t="s">
        <v>40</v>
      </c>
      <c r="D3025">
        <v>4.0929679999999999</v>
      </c>
      <c r="E3025">
        <v>0.46576380000000001</v>
      </c>
      <c r="F3025" t="s">
        <v>54</v>
      </c>
      <c r="G3025">
        <v>-495.44069999999999</v>
      </c>
      <c r="H3025" s="1">
        <v>1.8835000000000001E-6</v>
      </c>
      <c r="I3025">
        <v>276.3202</v>
      </c>
      <c r="J3025">
        <v>-411.1327</v>
      </c>
      <c r="K3025">
        <v>1.1103149999999999</v>
      </c>
      <c r="L3025">
        <v>283.33179999999999</v>
      </c>
      <c r="M3025">
        <v>-0.99981379999999997</v>
      </c>
      <c r="N3025">
        <v>0</v>
      </c>
      <c r="O3025">
        <v>-1.351778E-2</v>
      </c>
      <c r="P3025">
        <v>-0.99970309999999996</v>
      </c>
      <c r="Q3025">
        <v>2.1928929999999999E-2</v>
      </c>
      <c r="R3025">
        <v>1.0621169999999999E-2</v>
      </c>
      <c r="S3025">
        <v>-3.0038450000000001</v>
      </c>
      <c r="T3025">
        <v>-3.9402369999999999E-2</v>
      </c>
      <c r="U3025">
        <v>-0.24899289999999999</v>
      </c>
      <c r="V3025">
        <v>2.4128030000000002E-2</v>
      </c>
      <c r="W3025">
        <v>3.5699229999999998E-2</v>
      </c>
      <c r="X3025">
        <v>0.99907120000000005</v>
      </c>
      <c r="Y3025">
        <v>-6.9122929999999999E-2</v>
      </c>
      <c r="Z3025">
        <v>-2.7556420000000002E-4</v>
      </c>
      <c r="AA3025">
        <v>0.9976081</v>
      </c>
      <c r="AB3025">
        <v>33</v>
      </c>
      <c r="AC3025">
        <v>-84.307999999999893</v>
      </c>
      <c r="AD3025">
        <v>-1.1103131165</v>
      </c>
      <c r="AE3025">
        <v>-7.0115999999999801</v>
      </c>
      <c r="AF3025">
        <v>-5.87018302160934</v>
      </c>
      <c r="AG3025">
        <v>-1.1103131165</v>
      </c>
      <c r="AH3025">
        <v>84.380551054855005</v>
      </c>
      <c r="AI3025">
        <v>90.752059860941202</v>
      </c>
      <c r="AJ3025">
        <v>93.979538985135505</v>
      </c>
      <c r="AK3025">
        <v>84.591779980355398</v>
      </c>
      <c r="AL3025">
        <v>87.954149937896204</v>
      </c>
      <c r="AM3025">
        <v>88.616549435989597</v>
      </c>
      <c r="AN3025">
        <v>0.99999992976185403</v>
      </c>
    </row>
    <row r="3026" spans="1:40" x14ac:dyDescent="0.25">
      <c r="A3026" t="str">
        <f>"20190312153944746"</f>
        <v>20190312153944746</v>
      </c>
      <c r="B3026" t="str">
        <f>"1552376384738739"</f>
        <v>1552376384738739</v>
      </c>
      <c r="C3026" t="s">
        <v>40</v>
      </c>
      <c r="D3026">
        <v>4.0601849999999997</v>
      </c>
      <c r="E3026">
        <v>0.465694</v>
      </c>
      <c r="F3026" t="s">
        <v>67</v>
      </c>
      <c r="G3026">
        <v>-512.8252</v>
      </c>
      <c r="H3026">
        <v>3.3836249999999998E-2</v>
      </c>
      <c r="I3026">
        <v>274.99419999999998</v>
      </c>
      <c r="J3026">
        <v>-411.45490000000001</v>
      </c>
      <c r="K3026">
        <v>1.110312</v>
      </c>
      <c r="L3026">
        <v>283.32740000000001</v>
      </c>
      <c r="M3026">
        <v>-0.99981240000000005</v>
      </c>
      <c r="N3026">
        <v>0</v>
      </c>
      <c r="O3026">
        <v>-1.3618949999999999E-2</v>
      </c>
      <c r="P3026">
        <v>-0.99970190000000003</v>
      </c>
      <c r="Q3026">
        <v>2.1675880000000002E-2</v>
      </c>
      <c r="R3026">
        <v>1.1242429999999999E-2</v>
      </c>
      <c r="S3026">
        <v>-3.004181</v>
      </c>
      <c r="T3026">
        <v>-3.1798720000000003E-2</v>
      </c>
      <c r="U3026">
        <v>-0.24630740000000001</v>
      </c>
      <c r="V3026">
        <v>2.4850480000000001E-2</v>
      </c>
      <c r="W3026">
        <v>3.5444290000000003E-2</v>
      </c>
      <c r="X3026">
        <v>0.99906269999999997</v>
      </c>
      <c r="Y3026">
        <v>-6.8128720000000004E-2</v>
      </c>
      <c r="Z3026">
        <v>-2.1605229999999999E-4</v>
      </c>
      <c r="AA3026">
        <v>0.99767649999999997</v>
      </c>
      <c r="AB3026">
        <v>33</v>
      </c>
      <c r="AC3026">
        <v>-101.3703</v>
      </c>
      <c r="AD3026">
        <v>-1.07647575</v>
      </c>
      <c r="AE3026">
        <v>-8.3332000000000299</v>
      </c>
      <c r="AF3026">
        <v>-6.95096042349493</v>
      </c>
      <c r="AG3026">
        <v>-1.07647575</v>
      </c>
      <c r="AH3026">
        <v>101.463032099274</v>
      </c>
      <c r="AI3026">
        <v>90.606437551601402</v>
      </c>
      <c r="AJ3026">
        <v>93.919056923018303</v>
      </c>
      <c r="AK3026">
        <v>101.706546169004</v>
      </c>
      <c r="AL3026">
        <v>87.968766442525705</v>
      </c>
      <c r="AM3026">
        <v>88.575130381265595</v>
      </c>
      <c r="AN3026">
        <v>1.00000006129056</v>
      </c>
    </row>
    <row r="3027" spans="1:40" x14ac:dyDescent="0.25">
      <c r="A3027" t="str">
        <f>"20190312153944768"</f>
        <v>20190312153944768</v>
      </c>
      <c r="B3027" t="str">
        <f>"1552376384759235"</f>
        <v>1552376384759235</v>
      </c>
      <c r="C3027" t="s">
        <v>40</v>
      </c>
      <c r="D3027">
        <v>4.1504810000000001</v>
      </c>
      <c r="E3027">
        <v>0.46576800000000002</v>
      </c>
      <c r="F3027" t="s">
        <v>67</v>
      </c>
      <c r="G3027">
        <v>-512.82510000000002</v>
      </c>
      <c r="H3027">
        <v>1.8674670000000001E-2</v>
      </c>
      <c r="I3027">
        <v>275.06509999999997</v>
      </c>
      <c r="J3027">
        <v>-411.7774</v>
      </c>
      <c r="K3027">
        <v>1.1102970000000001</v>
      </c>
      <c r="L3027">
        <v>283.3229</v>
      </c>
      <c r="M3027">
        <v>-0.99981109999999895</v>
      </c>
      <c r="N3027">
        <v>0</v>
      </c>
      <c r="O3027">
        <v>-1.3719530000000001E-2</v>
      </c>
      <c r="P3027">
        <v>-0.99973920000000005</v>
      </c>
      <c r="Q3027">
        <v>2.0143399999999999E-2</v>
      </c>
      <c r="R3027">
        <v>1.0766049999999999E-2</v>
      </c>
      <c r="S3027">
        <v>-3.0043329999999999</v>
      </c>
      <c r="T3027">
        <v>-3.2350660000000003E-2</v>
      </c>
      <c r="U3027">
        <v>-0.24487300000000001</v>
      </c>
      <c r="V3027">
        <v>2.4475549999999999E-2</v>
      </c>
      <c r="W3027">
        <v>3.3910269999999999E-2</v>
      </c>
      <c r="X3027">
        <v>0.99912509999999999</v>
      </c>
      <c r="Y3027">
        <v>-6.7550979999999997E-2</v>
      </c>
      <c r="Z3027">
        <v>-2.1560890000000001E-4</v>
      </c>
      <c r="AA3027">
        <v>0.99771580000000004</v>
      </c>
      <c r="AB3027">
        <v>33</v>
      </c>
      <c r="AC3027">
        <v>-101.04770000000001</v>
      </c>
      <c r="AD3027">
        <v>-1.0916223300000001</v>
      </c>
      <c r="AE3027">
        <v>-8.2578000000000298</v>
      </c>
      <c r="AF3027">
        <v>-6.8697678781608102</v>
      </c>
      <c r="AG3027">
        <v>-1.0916223300000001</v>
      </c>
      <c r="AH3027">
        <v>101.139766467936</v>
      </c>
      <c r="AI3027">
        <v>90.616959681571203</v>
      </c>
      <c r="AJ3027">
        <v>93.885761964612499</v>
      </c>
      <c r="AK3027">
        <v>101.37868469851</v>
      </c>
      <c r="AL3027">
        <v>88.056712018758304</v>
      </c>
      <c r="AM3027">
        <v>88.596706958588399</v>
      </c>
      <c r="AN3027">
        <v>0.99999996220464205</v>
      </c>
    </row>
    <row r="3028" spans="1:40" x14ac:dyDescent="0.25">
      <c r="A3028" t="str">
        <f>"20190312153944779"</f>
        <v>20190312153944779</v>
      </c>
      <c r="B3028" t="str">
        <f>"1552376384768995"</f>
        <v>1552376384768995</v>
      </c>
      <c r="C3028" t="s">
        <v>40</v>
      </c>
      <c r="D3028">
        <v>4.067787</v>
      </c>
      <c r="E3028">
        <v>0.49417559999999999</v>
      </c>
      <c r="F3028" t="s">
        <v>54</v>
      </c>
      <c r="G3028">
        <v>-499.97309999999999</v>
      </c>
      <c r="H3028">
        <v>6.5372559999999996E-2</v>
      </c>
      <c r="I3028">
        <v>276.10890000000001</v>
      </c>
      <c r="J3028">
        <v>-411.95609999999999</v>
      </c>
      <c r="K3028">
        <v>1.110282</v>
      </c>
      <c r="L3028">
        <v>283.32040000000001</v>
      </c>
      <c r="M3028">
        <v>-0.99981039999999999</v>
      </c>
      <c r="N3028">
        <v>0</v>
      </c>
      <c r="O3028">
        <v>-1.377518E-2</v>
      </c>
      <c r="P3028">
        <v>-0.99975760000000002</v>
      </c>
      <c r="Q3028">
        <v>1.9303029999999999E-2</v>
      </c>
      <c r="R3028">
        <v>1.0596619999999999E-2</v>
      </c>
      <c r="S3028">
        <v>-3.004181</v>
      </c>
      <c r="T3028">
        <v>-3.5592909999999998E-2</v>
      </c>
      <c r="U3028">
        <v>-0.24572749999999999</v>
      </c>
      <c r="V3028">
        <v>2.436226E-2</v>
      </c>
      <c r="W3028">
        <v>3.3069609999999999E-2</v>
      </c>
      <c r="X3028">
        <v>0.99915609999999999</v>
      </c>
      <c r="Y3028">
        <v>-6.7780809999999997E-2</v>
      </c>
      <c r="Z3028">
        <v>-2.3792679999999999E-4</v>
      </c>
      <c r="AA3028">
        <v>0.99770020000000004</v>
      </c>
      <c r="AB3028">
        <v>33</v>
      </c>
      <c r="AC3028">
        <v>-88.016999999999996</v>
      </c>
      <c r="AD3028">
        <v>-1.0449094400000001</v>
      </c>
      <c r="AE3028">
        <v>-7.2115</v>
      </c>
      <c r="AF3028">
        <v>-5.9974111490688102</v>
      </c>
      <c r="AG3028">
        <v>-1.0449094400000001</v>
      </c>
      <c r="AH3028">
        <v>88.095663160900102</v>
      </c>
      <c r="AI3028">
        <v>90.677988620476199</v>
      </c>
      <c r="AJ3028">
        <v>93.894595275963894</v>
      </c>
      <c r="AK3028">
        <v>88.305756573326207</v>
      </c>
      <c r="AL3028">
        <v>88.104905426845903</v>
      </c>
      <c r="AM3028">
        <v>88.603243123280095</v>
      </c>
      <c r="AN3028">
        <v>1.0000000154925299</v>
      </c>
    </row>
    <row r="3029" spans="1:40" x14ac:dyDescent="0.25">
      <c r="A3029" t="str">
        <f>"20190312153944792"</f>
        <v>20190312153944792</v>
      </c>
      <c r="B3029" t="str">
        <f>"1552376384788515"</f>
        <v>1552376384788515</v>
      </c>
      <c r="C3029" t="s">
        <v>40</v>
      </c>
      <c r="D3029">
        <v>3.9939550000000001</v>
      </c>
      <c r="E3029">
        <v>0.5061947</v>
      </c>
      <c r="F3029" t="s">
        <v>50</v>
      </c>
      <c r="G3029">
        <v>0</v>
      </c>
      <c r="H3029">
        <v>0</v>
      </c>
      <c r="I3029">
        <v>0</v>
      </c>
      <c r="J3029">
        <v>-412.14030000000002</v>
      </c>
      <c r="K3029">
        <v>1.110271</v>
      </c>
      <c r="L3029">
        <v>283.31779999999998</v>
      </c>
      <c r="M3029">
        <v>-0.99980970000000002</v>
      </c>
      <c r="N3029">
        <v>0</v>
      </c>
      <c r="O3029">
        <v>-1.383178E-2</v>
      </c>
      <c r="P3029">
        <v>-0.99977090000000002</v>
      </c>
      <c r="Q3029">
        <v>1.890184E-2</v>
      </c>
      <c r="R3029">
        <v>1.0061789999999999E-2</v>
      </c>
      <c r="S3029">
        <v>-3.0003359999999999</v>
      </c>
      <c r="T3029">
        <v>3.1412120000000002E-2</v>
      </c>
      <c r="U3029">
        <v>-1.6113280000000001E-2</v>
      </c>
      <c r="V3029">
        <v>2.388446E-2</v>
      </c>
      <c r="W3029">
        <v>3.2667380000000003E-2</v>
      </c>
      <c r="X3029">
        <v>0.99918090000000004</v>
      </c>
      <c r="Y3029">
        <v>8.4617689999999992E-3</v>
      </c>
      <c r="Z3029">
        <v>-1.8911009999999999E-4</v>
      </c>
      <c r="AA3029">
        <v>0.99996419999999997</v>
      </c>
      <c r="AB3029">
        <v>33</v>
      </c>
      <c r="AC3029">
        <v>-3.0003359999999999</v>
      </c>
      <c r="AD3029">
        <v>3.1412120000000002E-2</v>
      </c>
      <c r="AE3029">
        <v>-1.6113280000000001E-2</v>
      </c>
      <c r="AF3029">
        <v>2.53893937481827E-2</v>
      </c>
      <c r="AG3029">
        <v>3.1412120000000002E-2</v>
      </c>
      <c r="AH3029">
        <v>2.9999430013281598</v>
      </c>
      <c r="AI3029">
        <v>89.400104707689906</v>
      </c>
      <c r="AJ3029">
        <v>89.515100661976007</v>
      </c>
      <c r="AK3029">
        <v>3.0002148846067</v>
      </c>
      <c r="AL3029">
        <v>88.127964027854702</v>
      </c>
      <c r="AM3029">
        <v>88.630660181489304</v>
      </c>
      <c r="AN3029">
        <v>1.0000000480351801</v>
      </c>
    </row>
    <row r="3030" spans="1:40" x14ac:dyDescent="0.25">
      <c r="A3030" t="str">
        <f>"20190312153944805"</f>
        <v>20190312153944805</v>
      </c>
      <c r="B3030" t="str">
        <f>"1552376384799251"</f>
        <v>1552376384799251</v>
      </c>
      <c r="C3030" t="s">
        <v>40</v>
      </c>
      <c r="D3030">
        <v>3.967273</v>
      </c>
      <c r="E3030">
        <v>0.50839899999999905</v>
      </c>
      <c r="F3030" t="s">
        <v>50</v>
      </c>
      <c r="G3030">
        <v>0</v>
      </c>
      <c r="H3030">
        <v>0</v>
      </c>
      <c r="I3030">
        <v>0</v>
      </c>
      <c r="J3030">
        <v>-412.315</v>
      </c>
      <c r="K3030">
        <v>1.110266</v>
      </c>
      <c r="L3030">
        <v>283.31529999999998</v>
      </c>
      <c r="M3030">
        <v>-0.99980899999999995</v>
      </c>
      <c r="N3030">
        <v>0</v>
      </c>
      <c r="O3030">
        <v>-1.388469E-2</v>
      </c>
      <c r="P3030">
        <v>-0.99977559999999999</v>
      </c>
      <c r="Q3030">
        <v>1.884038E-2</v>
      </c>
      <c r="R3030">
        <v>9.6993389999999995E-3</v>
      </c>
      <c r="S3030">
        <v>-2.9993590000000001</v>
      </c>
      <c r="T3030">
        <v>3.0603890000000002E-2</v>
      </c>
      <c r="U3030">
        <v>7.8369140000000004E-2</v>
      </c>
      <c r="V3030">
        <v>2.3574990000000001E-2</v>
      </c>
      <c r="W3030">
        <v>3.2604460000000002E-2</v>
      </c>
      <c r="X3030">
        <v>0.99919029999999998</v>
      </c>
      <c r="Y3030">
        <v>3.9995650000000001E-2</v>
      </c>
      <c r="Z3030">
        <v>-3.4566780000000002E-4</v>
      </c>
      <c r="AA3030">
        <v>0.99919979999999997</v>
      </c>
      <c r="AB3030">
        <v>33</v>
      </c>
      <c r="AC3030">
        <v>-2.9993590000000001</v>
      </c>
      <c r="AD3030">
        <v>3.0603890000000002E-2</v>
      </c>
      <c r="AE3030">
        <v>7.8369140000000004E-2</v>
      </c>
      <c r="AF3030">
        <v>0.119998209087642</v>
      </c>
      <c r="AG3030">
        <v>3.0603890000000002E-2</v>
      </c>
      <c r="AH3030">
        <v>2.9976697047748599</v>
      </c>
      <c r="AI3030">
        <v>89.415542770552705</v>
      </c>
      <c r="AJ3030">
        <v>87.707645383002401</v>
      </c>
      <c r="AK3030">
        <v>3.00022662930526</v>
      </c>
      <c r="AL3030">
        <v>88.131570990669701</v>
      </c>
      <c r="AM3030">
        <v>88.648408749084993</v>
      </c>
      <c r="AN3030">
        <v>1.00000004328973</v>
      </c>
    </row>
    <row r="3031" spans="1:40" x14ac:dyDescent="0.25">
      <c r="A3031" t="str">
        <f>"20190312153944815"</f>
        <v>20190312153944815</v>
      </c>
      <c r="B3031" t="str">
        <f>"1552376384809012"</f>
        <v>1552376384809012</v>
      </c>
      <c r="C3031" t="s">
        <v>40</v>
      </c>
      <c r="D3031">
        <v>3.9378009999999999</v>
      </c>
      <c r="E3031">
        <v>0.50984770000000001</v>
      </c>
      <c r="F3031" t="s">
        <v>50</v>
      </c>
      <c r="G3031">
        <v>0</v>
      </c>
      <c r="H3031">
        <v>0</v>
      </c>
      <c r="I3031">
        <v>0</v>
      </c>
      <c r="J3031">
        <v>-412.48630000000003</v>
      </c>
      <c r="K3031">
        <v>1.1102609999999999</v>
      </c>
      <c r="L3031">
        <v>283.31290000000001</v>
      </c>
      <c r="M3031">
        <v>-0.99980820000000004</v>
      </c>
      <c r="N3031">
        <v>0</v>
      </c>
      <c r="O3031">
        <v>-1.3935919999999999E-2</v>
      </c>
      <c r="P3031">
        <v>-0.99977419999999995</v>
      </c>
      <c r="Q3031">
        <v>1.9069280000000001E-2</v>
      </c>
      <c r="R3031">
        <v>9.3889539999999997E-3</v>
      </c>
      <c r="S3031">
        <v>-2.9990839999999999</v>
      </c>
      <c r="T3031">
        <v>3.4903049999999998E-2</v>
      </c>
      <c r="U3031">
        <v>9.5001219999999997E-2</v>
      </c>
      <c r="V3031">
        <v>2.3315840000000001E-2</v>
      </c>
      <c r="W3031">
        <v>3.2832750000000001E-2</v>
      </c>
      <c r="X3031">
        <v>0.99918879999999999</v>
      </c>
      <c r="Y3031">
        <v>4.5584020000000003E-2</v>
      </c>
      <c r="Z3031">
        <v>-4.2733490000000001E-4</v>
      </c>
      <c r="AA3031">
        <v>0.99896039999999997</v>
      </c>
      <c r="AB3031">
        <v>33</v>
      </c>
      <c r="AC3031">
        <v>-2.9990839999999999</v>
      </c>
      <c r="AD3031">
        <v>3.4903049999999998E-2</v>
      </c>
      <c r="AE3031">
        <v>9.5001219999999997E-2</v>
      </c>
      <c r="AF3031">
        <v>0.136772438989166</v>
      </c>
      <c r="AG3031">
        <v>3.4903049999999998E-2</v>
      </c>
      <c r="AH3031">
        <v>2.9970631323677002</v>
      </c>
      <c r="AI3031">
        <v>89.333471431373397</v>
      </c>
      <c r="AJ3031">
        <v>87.387092006912397</v>
      </c>
      <c r="AK3031">
        <v>3.0003853656428898</v>
      </c>
      <c r="AL3031">
        <v>88.118483732674406</v>
      </c>
      <c r="AM3031">
        <v>88.663258799358999</v>
      </c>
      <c r="AN3031">
        <v>0.99999993795645203</v>
      </c>
    </row>
    <row r="3032" spans="1:40" x14ac:dyDescent="0.25">
      <c r="A3032" t="str">
        <f>"20190312153944827"</f>
        <v>20190312153944827</v>
      </c>
      <c r="B3032" t="str">
        <f>"1552376384818771"</f>
        <v>1552376384818771</v>
      </c>
      <c r="C3032" t="s">
        <v>40</v>
      </c>
      <c r="D3032">
        <v>3.9606919999999999</v>
      </c>
      <c r="E3032">
        <v>0.51089899999999999</v>
      </c>
      <c r="F3032" t="s">
        <v>50</v>
      </c>
      <c r="G3032">
        <v>0</v>
      </c>
      <c r="H3032">
        <v>0</v>
      </c>
      <c r="I3032">
        <v>0</v>
      </c>
      <c r="J3032">
        <v>-412.65179999999998</v>
      </c>
      <c r="K3032">
        <v>1.110258</v>
      </c>
      <c r="L3032">
        <v>283.31049999999999</v>
      </c>
      <c r="M3032">
        <v>-0.99980760000000002</v>
      </c>
      <c r="N3032">
        <v>0</v>
      </c>
      <c r="O3032">
        <v>-1.3985249999999999E-2</v>
      </c>
      <c r="P3032">
        <v>-0.99976089999999995</v>
      </c>
      <c r="Q3032">
        <v>1.9917979999999998E-2</v>
      </c>
      <c r="R3032">
        <v>9.0619169999999992E-3</v>
      </c>
      <c r="S3032">
        <v>-2.9988709999999998</v>
      </c>
      <c r="T3032">
        <v>4.0431620000000001E-2</v>
      </c>
      <c r="U3032">
        <v>0.105957</v>
      </c>
      <c r="V3032">
        <v>2.3038200000000002E-2</v>
      </c>
      <c r="W3032">
        <v>3.3680099999999998E-2</v>
      </c>
      <c r="X3032">
        <v>0.99916709999999997</v>
      </c>
      <c r="Y3032">
        <v>4.9278929999999999E-2</v>
      </c>
      <c r="Z3032">
        <v>-5.2058809999999895E-4</v>
      </c>
      <c r="AA3032">
        <v>0.99878489999999998</v>
      </c>
      <c r="AB3032">
        <v>33</v>
      </c>
      <c r="AC3032">
        <v>-2.9988709999999998</v>
      </c>
      <c r="AD3032">
        <v>4.0431620000000001E-2</v>
      </c>
      <c r="AE3032">
        <v>0.105957</v>
      </c>
      <c r="AF3032">
        <v>0.14786371988661801</v>
      </c>
      <c r="AG3032">
        <v>4.0431620000000001E-2</v>
      </c>
      <c r="AH3032">
        <v>2.9965516747002501</v>
      </c>
      <c r="AI3032">
        <v>89.227910533306002</v>
      </c>
      <c r="AJ3032">
        <v>87.175052549992202</v>
      </c>
      <c r="AK3032">
        <v>3.0004700189642599</v>
      </c>
      <c r="AL3032">
        <v>88.069907400727402</v>
      </c>
      <c r="AM3032">
        <v>88.679142077101702</v>
      </c>
      <c r="AN3032">
        <v>1.0000000007588199</v>
      </c>
    </row>
    <row r="3033" spans="1:40" x14ac:dyDescent="0.25">
      <c r="A3033" t="str">
        <f>"20190312153944839"</f>
        <v>20190312153944839</v>
      </c>
      <c r="B3033" t="str">
        <f>"1552376384828531"</f>
        <v>1552376384828531</v>
      </c>
      <c r="C3033" t="s">
        <v>40</v>
      </c>
      <c r="D3033">
        <v>3.907527</v>
      </c>
      <c r="E3033">
        <v>0.51156469999999998</v>
      </c>
      <c r="F3033" t="s">
        <v>50</v>
      </c>
      <c r="G3033">
        <v>0</v>
      </c>
      <c r="H3033">
        <v>0</v>
      </c>
      <c r="I3033">
        <v>0</v>
      </c>
      <c r="J3033">
        <v>-412.82339999999999</v>
      </c>
      <c r="K3033">
        <v>1.110249</v>
      </c>
      <c r="L3033">
        <v>283.30799999999999</v>
      </c>
      <c r="M3033">
        <v>-0.9998068</v>
      </c>
      <c r="N3033">
        <v>0</v>
      </c>
      <c r="O3033">
        <v>-1.4036359999999999E-2</v>
      </c>
      <c r="P3033">
        <v>-0.99975429999999998</v>
      </c>
      <c r="Q3033">
        <v>2.043911E-2</v>
      </c>
      <c r="R3033">
        <v>8.5804980000000006E-3</v>
      </c>
      <c r="S3033">
        <v>-2.998688</v>
      </c>
      <c r="T3033">
        <v>4.6708350000000003E-2</v>
      </c>
      <c r="U3033">
        <v>0.1137085</v>
      </c>
      <c r="V3033">
        <v>2.2607539999999999E-2</v>
      </c>
      <c r="W3033">
        <v>3.4200029999999999E-2</v>
      </c>
      <c r="X3033">
        <v>0.99915929999999997</v>
      </c>
      <c r="Y3033">
        <v>5.1908080000000002E-2</v>
      </c>
      <c r="Z3033">
        <v>-6.2266950000000002E-4</v>
      </c>
      <c r="AA3033">
        <v>0.99865170000000003</v>
      </c>
      <c r="AB3033">
        <v>33</v>
      </c>
      <c r="AC3033">
        <v>-2.998688</v>
      </c>
      <c r="AD3033">
        <v>4.6708350000000003E-2</v>
      </c>
      <c r="AE3033">
        <v>0.1137085</v>
      </c>
      <c r="AF3033">
        <v>0.155754210771236</v>
      </c>
      <c r="AG3033">
        <v>4.6708350000000003E-2</v>
      </c>
      <c r="AH3033">
        <v>2.9960704623525798</v>
      </c>
      <c r="AI3033">
        <v>89.108042857764602</v>
      </c>
      <c r="AJ3033">
        <v>87.024091132197995</v>
      </c>
      <c r="AK3033">
        <v>3.0004798382116</v>
      </c>
      <c r="AL3033">
        <v>88.040100480311494</v>
      </c>
      <c r="AM3033">
        <v>88.703814652596193</v>
      </c>
      <c r="AN3033">
        <v>1.0000000248466701</v>
      </c>
    </row>
    <row r="3034" spans="1:40" x14ac:dyDescent="0.25">
      <c r="A3034" t="str">
        <f>"20190312153944851"</f>
        <v>20190312153944851</v>
      </c>
      <c r="B3034" t="str">
        <f>"1552376384838292"</f>
        <v>1552376384838292</v>
      </c>
      <c r="C3034" t="s">
        <v>40</v>
      </c>
      <c r="D3034">
        <v>3.8911500000000001</v>
      </c>
      <c r="E3034">
        <v>0.5122468</v>
      </c>
      <c r="F3034" t="s">
        <v>50</v>
      </c>
      <c r="G3034">
        <v>0</v>
      </c>
      <c r="H3034">
        <v>0</v>
      </c>
      <c r="I3034">
        <v>0</v>
      </c>
      <c r="J3034">
        <v>-413.00720000000001</v>
      </c>
      <c r="K3034">
        <v>1.1102430000000001</v>
      </c>
      <c r="L3034">
        <v>283.30549999999999</v>
      </c>
      <c r="M3034">
        <v>-0.99980610000000003</v>
      </c>
      <c r="N3034">
        <v>0</v>
      </c>
      <c r="O3034">
        <v>-1.4090460000000001E-2</v>
      </c>
      <c r="P3034">
        <v>-0.99974700000000005</v>
      </c>
      <c r="Q3034">
        <v>2.090316E-2</v>
      </c>
      <c r="R3034">
        <v>8.3323489999999993E-3</v>
      </c>
      <c r="S3034">
        <v>-2.9986269999999999</v>
      </c>
      <c r="T3034">
        <v>5.1758890000000002E-2</v>
      </c>
      <c r="U3034">
        <v>0.11764529999999999</v>
      </c>
      <c r="V3034">
        <v>2.2413470000000001E-2</v>
      </c>
      <c r="W3034">
        <v>3.4662760000000001E-2</v>
      </c>
      <c r="X3034">
        <v>0.99914769999999997</v>
      </c>
      <c r="Y3034">
        <v>5.3269940000000002E-2</v>
      </c>
      <c r="Z3034">
        <v>-7.0266729999999904E-4</v>
      </c>
      <c r="AA3034">
        <v>0.99857989999999996</v>
      </c>
      <c r="AB3034">
        <v>33</v>
      </c>
      <c r="AC3034">
        <v>-2.9986269999999999</v>
      </c>
      <c r="AD3034">
        <v>5.1758890000000002E-2</v>
      </c>
      <c r="AE3034">
        <v>0.11764529999999999</v>
      </c>
      <c r="AF3034">
        <v>0.159842100608661</v>
      </c>
      <c r="AG3034">
        <v>5.1758890000000002E-2</v>
      </c>
      <c r="AH3034">
        <v>2.9957802371177702</v>
      </c>
      <c r="AI3034">
        <v>89.0115897372782</v>
      </c>
      <c r="AJ3034">
        <v>86.945836764166401</v>
      </c>
      <c r="AK3034">
        <v>3.0004879118114101</v>
      </c>
      <c r="AL3034">
        <v>88.013572222771302</v>
      </c>
      <c r="AM3034">
        <v>88.7149228401762</v>
      </c>
      <c r="AN3034">
        <v>0.99999999849177401</v>
      </c>
    </row>
    <row r="3035" spans="1:40" x14ac:dyDescent="0.25">
      <c r="A3035" t="str">
        <f>"20190312153944868"</f>
        <v>20190312153944868</v>
      </c>
      <c r="B3035" t="str">
        <f>"1552376384858787"</f>
        <v>1552376384858787</v>
      </c>
      <c r="C3035" t="s">
        <v>40</v>
      </c>
      <c r="D3035">
        <v>3.8659059999999998</v>
      </c>
      <c r="E3035">
        <v>0.51336190000000004</v>
      </c>
      <c r="F3035" t="s">
        <v>50</v>
      </c>
      <c r="G3035">
        <v>0</v>
      </c>
      <c r="H3035">
        <v>0</v>
      </c>
      <c r="I3035">
        <v>0</v>
      </c>
      <c r="J3035">
        <v>-413.24919999999997</v>
      </c>
      <c r="K3035">
        <v>1.1102320000000001</v>
      </c>
      <c r="L3035">
        <v>283.30200000000002</v>
      </c>
      <c r="M3035">
        <v>-0.9998051</v>
      </c>
      <c r="N3035">
        <v>0</v>
      </c>
      <c r="O3035">
        <v>-1.416136E-2</v>
      </c>
      <c r="P3035">
        <v>-0.99975000000000003</v>
      </c>
      <c r="Q3035">
        <v>2.0892029999999999E-2</v>
      </c>
      <c r="R3035">
        <v>7.9851090000000007E-3</v>
      </c>
      <c r="S3035">
        <v>-2.9986269999999999</v>
      </c>
      <c r="T3035">
        <v>5.5699940000000003E-2</v>
      </c>
      <c r="U3035">
        <v>0.1223755</v>
      </c>
      <c r="V3035">
        <v>2.213735E-2</v>
      </c>
      <c r="W3035">
        <v>3.465037E-2</v>
      </c>
      <c r="X3035">
        <v>0.99915430000000005</v>
      </c>
      <c r="Y3035">
        <v>5.4911500000000002E-2</v>
      </c>
      <c r="Z3035">
        <v>-7.726931E-4</v>
      </c>
      <c r="AA3035">
        <v>0.99849089999999996</v>
      </c>
      <c r="AB3035">
        <v>33</v>
      </c>
      <c r="AC3035">
        <v>-2.9986269999999999</v>
      </c>
      <c r="AD3035">
        <v>5.5699940000000003E-2</v>
      </c>
      <c r="AE3035">
        <v>0.1223755</v>
      </c>
      <c r="AF3035">
        <v>0.16477512193954499</v>
      </c>
      <c r="AG3035">
        <v>5.5699940000000003E-2</v>
      </c>
      <c r="AH3035">
        <v>2.9955612237578899</v>
      </c>
      <c r="AI3035">
        <v>88.936363494168802</v>
      </c>
      <c r="AJ3035">
        <v>86.851536729951903</v>
      </c>
      <c r="AK3035">
        <v>3.0006066668938902</v>
      </c>
      <c r="AL3035">
        <v>88.014282572622193</v>
      </c>
      <c r="AM3035">
        <v>88.730757361205804</v>
      </c>
      <c r="AN3035">
        <v>1.0000000128073201</v>
      </c>
    </row>
    <row r="3036" spans="1:40" x14ac:dyDescent="0.25">
      <c r="A3036" t="str">
        <f>"20190312153944880"</f>
        <v>20190312153944880</v>
      </c>
      <c r="B3036" t="str">
        <f>"1552376384868548"</f>
        <v>1552376384868548</v>
      </c>
      <c r="C3036" t="s">
        <v>40</v>
      </c>
      <c r="D3036">
        <v>3.8533219999999999</v>
      </c>
      <c r="E3036">
        <v>0.51391309999999901</v>
      </c>
      <c r="F3036" t="s">
        <v>50</v>
      </c>
      <c r="G3036">
        <v>0</v>
      </c>
      <c r="H3036">
        <v>0</v>
      </c>
      <c r="I3036">
        <v>0</v>
      </c>
      <c r="J3036">
        <v>-413.42</v>
      </c>
      <c r="K3036">
        <v>1.1102240000000001</v>
      </c>
      <c r="L3036">
        <v>283.29950000000002</v>
      </c>
      <c r="M3036">
        <v>-0.99980440000000004</v>
      </c>
      <c r="N3036">
        <v>0</v>
      </c>
      <c r="O3036">
        <v>-1.421129E-2</v>
      </c>
      <c r="P3036">
        <v>-0.99976430000000005</v>
      </c>
      <c r="Q3036">
        <v>2.0208670000000001E-2</v>
      </c>
      <c r="R3036">
        <v>7.9584080000000001E-3</v>
      </c>
      <c r="S3036">
        <v>-2.9985659999999998</v>
      </c>
      <c r="T3036">
        <v>5.6595329999999999E-2</v>
      </c>
      <c r="U3036">
        <v>0.13040160000000001</v>
      </c>
      <c r="V3036">
        <v>2.2160889999999999E-2</v>
      </c>
      <c r="W3036">
        <v>3.396652E-2</v>
      </c>
      <c r="X3036">
        <v>0.99917719999999999</v>
      </c>
      <c r="Y3036">
        <v>5.7628980000000003E-2</v>
      </c>
      <c r="Z3036">
        <v>-8.1165779999999997E-4</v>
      </c>
      <c r="AA3036">
        <v>0.99833769999999999</v>
      </c>
      <c r="AB3036">
        <v>33</v>
      </c>
      <c r="AC3036">
        <v>-2.9985659999999998</v>
      </c>
      <c r="AD3036">
        <v>5.6595329999999999E-2</v>
      </c>
      <c r="AE3036">
        <v>0.13040160000000001</v>
      </c>
      <c r="AF3036">
        <v>0.172944459475185</v>
      </c>
      <c r="AG3036">
        <v>5.6595329999999999E-2</v>
      </c>
      <c r="AH3036">
        <v>2.9953447547509802</v>
      </c>
      <c r="AI3036">
        <v>88.919357051997594</v>
      </c>
      <c r="AJ3036">
        <v>86.695539453252294</v>
      </c>
      <c r="AK3036">
        <v>3.0008670442482401</v>
      </c>
      <c r="AL3036">
        <v>88.053487255937299</v>
      </c>
      <c r="AM3036">
        <v>88.729437250953694</v>
      </c>
      <c r="AN3036">
        <v>0.99999995326317004</v>
      </c>
    </row>
    <row r="3037" spans="1:40" x14ac:dyDescent="0.25">
      <c r="A3037" t="str">
        <f>"20190312153944901"</f>
        <v>20190312153944901</v>
      </c>
      <c r="B3037" t="str">
        <f>"1552376384898804"</f>
        <v>1552376384898804</v>
      </c>
      <c r="C3037" t="s">
        <v>40</v>
      </c>
      <c r="D3037">
        <v>3.8818959999999998</v>
      </c>
      <c r="E3037">
        <v>0.51488440000000002</v>
      </c>
      <c r="F3037" t="s">
        <v>50</v>
      </c>
      <c r="G3037">
        <v>0</v>
      </c>
      <c r="H3037">
        <v>0</v>
      </c>
      <c r="I3037">
        <v>0</v>
      </c>
      <c r="J3037">
        <v>-413.73899999999998</v>
      </c>
      <c r="K3037">
        <v>1.1102099999999999</v>
      </c>
      <c r="L3037">
        <v>283.29489999999998</v>
      </c>
      <c r="M3037">
        <v>-0.99980309999999994</v>
      </c>
      <c r="N3037">
        <v>0</v>
      </c>
      <c r="O3037">
        <v>-1.430329E-2</v>
      </c>
      <c r="P3037">
        <v>-0.99978659999999997</v>
      </c>
      <c r="Q3037">
        <v>1.9137069999999999E-2</v>
      </c>
      <c r="R3037">
        <v>7.78026699999999E-3</v>
      </c>
      <c r="S3037">
        <v>-2.9985050000000002</v>
      </c>
      <c r="T3037">
        <v>5.3858280000000001E-2</v>
      </c>
      <c r="U3037">
        <v>0.134552</v>
      </c>
      <c r="V3037">
        <v>2.2075230000000001E-2</v>
      </c>
      <c r="W3037">
        <v>3.2893270000000002E-2</v>
      </c>
      <c r="X3037">
        <v>0.99921510000000002</v>
      </c>
      <c r="Y3037">
        <v>5.9101790000000001E-2</v>
      </c>
      <c r="Z3037">
        <v>-7.8727500000000004E-4</v>
      </c>
      <c r="AA3037">
        <v>0.99825169999999996</v>
      </c>
      <c r="AB3037">
        <v>33</v>
      </c>
      <c r="AC3037">
        <v>-2.9985050000000002</v>
      </c>
      <c r="AD3037">
        <v>5.3858280000000001E-2</v>
      </c>
      <c r="AE3037">
        <v>0.134552</v>
      </c>
      <c r="AF3037">
        <v>0.17737366716926301</v>
      </c>
      <c r="AG3037">
        <v>5.3858280000000001E-2</v>
      </c>
      <c r="AH3037">
        <v>2.9953090708543901</v>
      </c>
      <c r="AI3037">
        <v>88.9716837365728</v>
      </c>
      <c r="AJ3037">
        <v>86.611064814245097</v>
      </c>
      <c r="AK3037">
        <v>3.0010395802241998</v>
      </c>
      <c r="AL3037">
        <v>88.115014528320899</v>
      </c>
      <c r="AM3037">
        <v>88.734394833564096</v>
      </c>
      <c r="AN3037">
        <v>1.0000000495294199</v>
      </c>
    </row>
    <row r="3038" spans="1:40" x14ac:dyDescent="0.25">
      <c r="A3038" t="str">
        <f>"20190312153944913"</f>
        <v>20190312153944913</v>
      </c>
      <c r="B3038" t="str">
        <f>"1552376384908564"</f>
        <v>1552376384908564</v>
      </c>
      <c r="C3038" t="s">
        <v>40</v>
      </c>
      <c r="D3038">
        <v>3.8271280000000001</v>
      </c>
      <c r="E3038">
        <v>0.51510509999999998</v>
      </c>
      <c r="F3038" t="s">
        <v>50</v>
      </c>
      <c r="G3038">
        <v>0</v>
      </c>
      <c r="H3038">
        <v>0</v>
      </c>
      <c r="I3038">
        <v>0</v>
      </c>
      <c r="J3038">
        <v>-413.90980000000002</v>
      </c>
      <c r="K3038">
        <v>1.110206</v>
      </c>
      <c r="L3038">
        <v>283.29239999999999</v>
      </c>
      <c r="M3038">
        <v>-0.99980239999999998</v>
      </c>
      <c r="N3038">
        <v>0</v>
      </c>
      <c r="O3038">
        <v>-1.4352749999999999E-2</v>
      </c>
      <c r="P3038">
        <v>-0.9997838</v>
      </c>
      <c r="Q3038">
        <v>1.9102790000000001E-2</v>
      </c>
      <c r="R3038">
        <v>8.2376120000000001E-3</v>
      </c>
      <c r="S3038">
        <v>-2.9985659999999998</v>
      </c>
      <c r="T3038">
        <v>4.941094E-2</v>
      </c>
      <c r="U3038">
        <v>0.1418152</v>
      </c>
      <c r="V3038">
        <v>2.258199E-2</v>
      </c>
      <c r="W3038">
        <v>3.2857999999999998E-2</v>
      </c>
      <c r="X3038">
        <v>0.99920489999999995</v>
      </c>
      <c r="Y3038">
        <v>6.1564470000000003E-2</v>
      </c>
      <c r="Z3038">
        <v>-7.4331339999999895E-4</v>
      </c>
      <c r="AA3038">
        <v>0.99810279999999996</v>
      </c>
      <c r="AB3038">
        <v>33</v>
      </c>
      <c r="AC3038">
        <v>-2.9985659999999998</v>
      </c>
      <c r="AD3038">
        <v>4.941094E-2</v>
      </c>
      <c r="AE3038">
        <v>0.1418152</v>
      </c>
      <c r="AF3038">
        <v>0.18479226384506101</v>
      </c>
      <c r="AG3038">
        <v>4.941094E-2</v>
      </c>
      <c r="AH3038">
        <v>2.99540990987385</v>
      </c>
      <c r="AI3038">
        <v>89.056753110779098</v>
      </c>
      <c r="AJ3038">
        <v>86.469793541808201</v>
      </c>
      <c r="AK3038">
        <v>3.0015113109797098</v>
      </c>
      <c r="AL3038">
        <v>88.117036375085803</v>
      </c>
      <c r="AM3038">
        <v>88.705338108785398</v>
      </c>
      <c r="AN3038">
        <v>1.0000000133101801</v>
      </c>
    </row>
    <row r="3039" spans="1:40" x14ac:dyDescent="0.25">
      <c r="A3039" t="str">
        <f>"20190312153944925"</f>
        <v>20190312153944925</v>
      </c>
      <c r="B3039" t="str">
        <f>"1552376384919299"</f>
        <v>1552376384919299</v>
      </c>
      <c r="C3039" t="s">
        <v>40</v>
      </c>
      <c r="D3039">
        <v>3.8370479999999998</v>
      </c>
      <c r="E3039">
        <v>0.51537619999999995</v>
      </c>
      <c r="F3039" t="s">
        <v>50</v>
      </c>
      <c r="G3039">
        <v>0</v>
      </c>
      <c r="H3039">
        <v>0</v>
      </c>
      <c r="I3039">
        <v>0</v>
      </c>
      <c r="J3039">
        <v>-414.08139999999997</v>
      </c>
      <c r="K3039">
        <v>1.1102069999999999</v>
      </c>
      <c r="L3039">
        <v>283.28989999999999</v>
      </c>
      <c r="M3039">
        <v>-0.99980179999999996</v>
      </c>
      <c r="N3039">
        <v>0</v>
      </c>
      <c r="O3039">
        <v>-1.4402089999999999E-2</v>
      </c>
      <c r="P3039">
        <v>-0.9997838</v>
      </c>
      <c r="Q3039">
        <v>1.9064899999999999E-2</v>
      </c>
      <c r="R3039">
        <v>8.3287009999999904E-3</v>
      </c>
      <c r="S3039">
        <v>-2.9985050000000002</v>
      </c>
      <c r="T3039">
        <v>4.8859239999999998E-2</v>
      </c>
      <c r="U3039">
        <v>0.14489749999999901</v>
      </c>
      <c r="V3039">
        <v>2.2722559999999999E-2</v>
      </c>
      <c r="W3039">
        <v>3.2819399999999999E-2</v>
      </c>
      <c r="X3039">
        <v>0.99920299999999995</v>
      </c>
      <c r="Y3039">
        <v>6.2638369999999999E-2</v>
      </c>
      <c r="Z3039">
        <v>-7.4455959999999999E-4</v>
      </c>
      <c r="AA3039">
        <v>0.99803600000000003</v>
      </c>
      <c r="AB3039">
        <v>33</v>
      </c>
      <c r="AC3039">
        <v>-2.9985050000000002</v>
      </c>
      <c r="AD3039">
        <v>4.8859239999999998E-2</v>
      </c>
      <c r="AE3039">
        <v>0.14489749999999901</v>
      </c>
      <c r="AF3039">
        <v>0.18802148255065701</v>
      </c>
      <c r="AG3039">
        <v>4.8859239999999998E-2</v>
      </c>
      <c r="AH3039">
        <v>2.9953134874957201</v>
      </c>
      <c r="AI3039">
        <v>89.067315523736696</v>
      </c>
      <c r="AJ3039">
        <v>86.408148472086793</v>
      </c>
      <c r="AK3039">
        <v>3.00160660173976</v>
      </c>
      <c r="AL3039">
        <v>88.119249219776705</v>
      </c>
      <c r="AM3039">
        <v>88.697279296395806</v>
      </c>
      <c r="AN3039">
        <v>1.00000003147915</v>
      </c>
    </row>
    <row r="3040" spans="1:40" x14ac:dyDescent="0.25">
      <c r="A3040" t="str">
        <f>"20190312153944947"</f>
        <v>20190312153944947</v>
      </c>
      <c r="B3040" t="str">
        <f>"1552376384938820"</f>
        <v>1552376384938820</v>
      </c>
      <c r="C3040" t="s">
        <v>40</v>
      </c>
      <c r="D3040">
        <v>3.9066610000000002</v>
      </c>
      <c r="E3040">
        <v>0.51555209999999996</v>
      </c>
      <c r="F3040" t="s">
        <v>50</v>
      </c>
      <c r="G3040">
        <v>0</v>
      </c>
      <c r="H3040">
        <v>0</v>
      </c>
      <c r="I3040">
        <v>0</v>
      </c>
      <c r="J3040">
        <v>-414.4008</v>
      </c>
      <c r="K3040">
        <v>1.1102160000000001</v>
      </c>
      <c r="L3040">
        <v>283.28519999999997</v>
      </c>
      <c r="M3040">
        <v>-0.99980029999999998</v>
      </c>
      <c r="N3040">
        <v>0</v>
      </c>
      <c r="O3040">
        <v>-1.449254E-2</v>
      </c>
      <c r="P3040">
        <v>-0.99976739999999997</v>
      </c>
      <c r="Q3040">
        <v>1.947979E-2</v>
      </c>
      <c r="R3040">
        <v>9.2741869999999997E-3</v>
      </c>
      <c r="S3040">
        <v>-2.9984739999999999</v>
      </c>
      <c r="T3040">
        <v>4.8892739999999997E-2</v>
      </c>
      <c r="U3040">
        <v>0.1473999</v>
      </c>
      <c r="V3040">
        <v>2.3758169999999999E-2</v>
      </c>
      <c r="W3040">
        <v>3.323164E-2</v>
      </c>
      <c r="X3040">
        <v>0.99916519999999998</v>
      </c>
      <c r="Y3040">
        <v>6.3559930000000001E-2</v>
      </c>
      <c r="Z3040">
        <v>-7.5404539999999998E-4</v>
      </c>
      <c r="AA3040">
        <v>0.99797769999999997</v>
      </c>
      <c r="AB3040">
        <v>33</v>
      </c>
      <c r="AC3040">
        <v>-2.9984739999999999</v>
      </c>
      <c r="AD3040">
        <v>4.8892739999999997E-2</v>
      </c>
      <c r="AE3040">
        <v>0.1473999</v>
      </c>
      <c r="AF3040">
        <v>0.190793429228478</v>
      </c>
      <c r="AG3040">
        <v>4.8892739999999997E-2</v>
      </c>
      <c r="AH3040">
        <v>2.9952281762847499</v>
      </c>
      <c r="AI3040">
        <v>89.066704067026194</v>
      </c>
      <c r="AJ3040">
        <v>86.355233008481605</v>
      </c>
      <c r="AK3040">
        <v>3.0016969301832499</v>
      </c>
      <c r="AL3040">
        <v>88.095616551589401</v>
      </c>
      <c r="AM3040">
        <v>88.637876488631704</v>
      </c>
      <c r="AN3040">
        <v>0.99999994471493703</v>
      </c>
    </row>
    <row r="3041" spans="1:40" x14ac:dyDescent="0.25">
      <c r="A3041" t="str">
        <f>"20190312153944970"</f>
        <v>20190312153944970</v>
      </c>
      <c r="B3041" t="str">
        <f>"1552376384958339"</f>
        <v>1552376384958339</v>
      </c>
      <c r="C3041" t="s">
        <v>40</v>
      </c>
      <c r="D3041">
        <v>3.8585769999999999</v>
      </c>
      <c r="E3041">
        <v>0.51570590000000005</v>
      </c>
      <c r="F3041" t="s">
        <v>50</v>
      </c>
      <c r="G3041">
        <v>0</v>
      </c>
      <c r="H3041">
        <v>0</v>
      </c>
      <c r="I3041">
        <v>0</v>
      </c>
      <c r="J3041">
        <v>-414.7278</v>
      </c>
      <c r="K3041">
        <v>1.110225</v>
      </c>
      <c r="L3041">
        <v>283.28030000000001</v>
      </c>
      <c r="M3041">
        <v>-0.9997992</v>
      </c>
      <c r="N3041">
        <v>0</v>
      </c>
      <c r="O3041">
        <v>-1.4582960000000001E-2</v>
      </c>
      <c r="P3041">
        <v>-0.99974719999999995</v>
      </c>
      <c r="Q3041">
        <v>2.034528E-2</v>
      </c>
      <c r="R3041">
        <v>9.5897459999999997E-3</v>
      </c>
      <c r="S3041">
        <v>-2.9983520000000001</v>
      </c>
      <c r="T3041">
        <v>4.6895270000000003E-2</v>
      </c>
      <c r="U3041">
        <v>0.15142820000000001</v>
      </c>
      <c r="V3041">
        <v>2.4163819999999999E-2</v>
      </c>
      <c r="W3041">
        <v>3.4094699999999901E-2</v>
      </c>
      <c r="X3041">
        <v>0.99912639999999997</v>
      </c>
      <c r="Y3041">
        <v>6.4990240000000005E-2</v>
      </c>
      <c r="Z3041">
        <v>-7.3584009999999903E-4</v>
      </c>
      <c r="AA3041">
        <v>0.99788560000000004</v>
      </c>
      <c r="AB3041">
        <v>33</v>
      </c>
      <c r="AC3041">
        <v>-2.9983520000000001</v>
      </c>
      <c r="AD3041">
        <v>4.6895270000000003E-2</v>
      </c>
      <c r="AE3041">
        <v>0.15142820000000001</v>
      </c>
      <c r="AF3041">
        <v>0.19509346970171301</v>
      </c>
      <c r="AG3041">
        <v>4.6895270000000003E-2</v>
      </c>
      <c r="AH3041">
        <v>2.9950938266265101</v>
      </c>
      <c r="AI3041">
        <v>89.104869167664802</v>
      </c>
      <c r="AJ3041">
        <v>86.273150679666003</v>
      </c>
      <c r="AK3041">
        <v>3.00180739864583</v>
      </c>
      <c r="AL3041">
        <v>88.046138821814196</v>
      </c>
      <c r="AM3041">
        <v>88.614574628598703</v>
      </c>
      <c r="AN3041">
        <v>0.99999995097101901</v>
      </c>
    </row>
    <row r="3042" spans="1:40" x14ac:dyDescent="0.25">
      <c r="A3042" t="str">
        <f>"20190312153944992"</f>
        <v>20190312153944992</v>
      </c>
      <c r="B3042" t="str">
        <f>"1552376384988596"</f>
        <v>1552376384988596</v>
      </c>
      <c r="C3042" t="s">
        <v>40</v>
      </c>
      <c r="D3042">
        <v>3.8741349999999999</v>
      </c>
      <c r="E3042">
        <v>0.53355750000000002</v>
      </c>
      <c r="F3042" t="s">
        <v>50</v>
      </c>
      <c r="G3042">
        <v>0</v>
      </c>
      <c r="H3042">
        <v>0</v>
      </c>
      <c r="I3042">
        <v>0</v>
      </c>
      <c r="J3042">
        <v>-415.05090000000001</v>
      </c>
      <c r="K3042">
        <v>1.1102299999999901</v>
      </c>
      <c r="L3042">
        <v>283.27550000000002</v>
      </c>
      <c r="M3042">
        <v>-0.99979779999999996</v>
      </c>
      <c r="N3042">
        <v>0</v>
      </c>
      <c r="O3042">
        <v>-1.466752E-2</v>
      </c>
      <c r="P3042">
        <v>-0.99972459999999996</v>
      </c>
      <c r="Q3042">
        <v>2.1520580000000001E-2</v>
      </c>
      <c r="R3042">
        <v>9.3513959999999997E-3</v>
      </c>
      <c r="S3042">
        <v>-2.9983520000000001</v>
      </c>
      <c r="T3042">
        <v>4.7227379999999999E-2</v>
      </c>
      <c r="U3042">
        <v>0.1534729</v>
      </c>
      <c r="V3042">
        <v>2.4009639999999999E-2</v>
      </c>
      <c r="W3042">
        <v>3.52675E-2</v>
      </c>
      <c r="X3042">
        <v>0.99908949999999996</v>
      </c>
      <c r="Y3042">
        <v>6.5753119999999998E-2</v>
      </c>
      <c r="Z3042">
        <v>-7.4837329999999998E-4</v>
      </c>
      <c r="AA3042">
        <v>0.99783560000000004</v>
      </c>
      <c r="AB3042">
        <v>33</v>
      </c>
      <c r="AC3042">
        <v>-2.9983520000000001</v>
      </c>
      <c r="AD3042">
        <v>4.7227379999999999E-2</v>
      </c>
      <c r="AE3042">
        <v>0.1534729</v>
      </c>
      <c r="AF3042">
        <v>0.19739009255399101</v>
      </c>
      <c r="AG3042">
        <v>4.7227379999999999E-2</v>
      </c>
      <c r="AH3042">
        <v>2.9950369952075202</v>
      </c>
      <c r="AI3042">
        <v>89.098558998323696</v>
      </c>
      <c r="AJ3042">
        <v>86.229333028819795</v>
      </c>
      <c r="AK3042">
        <v>3.0019060406218201</v>
      </c>
      <c r="AL3042">
        <v>87.978902065166594</v>
      </c>
      <c r="AM3042">
        <v>88.623360257400506</v>
      </c>
      <c r="AN3042">
        <v>1.0000000441897099</v>
      </c>
    </row>
    <row r="3043" spans="1:40" x14ac:dyDescent="0.25">
      <c r="A3043" t="str">
        <f>"20190312153945014"</f>
        <v>20190312153945014</v>
      </c>
      <c r="B3043" t="str">
        <f>"1552376385009091"</f>
        <v>1552376385009091</v>
      </c>
      <c r="C3043" t="s">
        <v>40</v>
      </c>
      <c r="D3043">
        <v>3.8801049999999999</v>
      </c>
      <c r="E3043">
        <v>0.53393780000000002</v>
      </c>
      <c r="F3043" t="s">
        <v>64</v>
      </c>
      <c r="G3043">
        <v>-529.6703</v>
      </c>
      <c r="H3043">
        <v>2.5069689999999998</v>
      </c>
      <c r="I3043">
        <v>294.55</v>
      </c>
      <c r="J3043">
        <v>-415.37880000000001</v>
      </c>
      <c r="K3043">
        <v>1.1102299999999901</v>
      </c>
      <c r="L3043">
        <v>283.2706</v>
      </c>
      <c r="M3043">
        <v>-0.99979689999999999</v>
      </c>
      <c r="N3043">
        <v>0</v>
      </c>
      <c r="O3043">
        <v>-1.474548E-2</v>
      </c>
      <c r="P3043">
        <v>-0.9997085</v>
      </c>
      <c r="Q3043">
        <v>2.2369509999999999E-2</v>
      </c>
      <c r="R3043">
        <v>9.1172619999999992E-3</v>
      </c>
      <c r="S3043">
        <v>-2.9973139999999998</v>
      </c>
      <c r="T3043">
        <v>3.6527160000000003E-2</v>
      </c>
      <c r="U3043">
        <v>0.29483029999999999</v>
      </c>
      <c r="V3043">
        <v>2.3853860000000001E-2</v>
      </c>
      <c r="W3043">
        <v>3.6113819999999998E-2</v>
      </c>
      <c r="X3043">
        <v>0.99906300000000003</v>
      </c>
      <c r="Y3043">
        <v>0.11254840000000001</v>
      </c>
      <c r="Z3043">
        <v>-8.6341979999999998E-4</v>
      </c>
      <c r="AA3043">
        <v>0.99364580000000002</v>
      </c>
      <c r="AB3043">
        <v>33</v>
      </c>
      <c r="AC3043">
        <v>-114.291499999999</v>
      </c>
      <c r="AD3043">
        <v>1.396739</v>
      </c>
      <c r="AE3043">
        <v>11.279400000000001</v>
      </c>
      <c r="AF3043">
        <v>12.961698401971301</v>
      </c>
      <c r="AG3043">
        <v>1.396739</v>
      </c>
      <c r="AH3043">
        <v>114.095860209574</v>
      </c>
      <c r="AI3043">
        <v>89.303113478520302</v>
      </c>
      <c r="AJ3043">
        <v>83.518780622849704</v>
      </c>
      <c r="AK3043">
        <v>114.83824198524</v>
      </c>
      <c r="AL3043">
        <v>87.930380592370696</v>
      </c>
      <c r="AM3043">
        <v>88.632252540503501</v>
      </c>
      <c r="AN3043">
        <v>1.0000000463004399</v>
      </c>
    </row>
    <row r="3044" spans="1:40" x14ac:dyDescent="0.25">
      <c r="A3044" t="str">
        <f>"20190312153945028"</f>
        <v>20190312153945028</v>
      </c>
      <c r="B3044" t="str">
        <f>"1552376385018852"</f>
        <v>1552376385018852</v>
      </c>
      <c r="C3044" t="s">
        <v>40</v>
      </c>
      <c r="D3044">
        <v>3.8680750000000002</v>
      </c>
      <c r="E3044">
        <v>0.53419569999999905</v>
      </c>
      <c r="F3044" t="s">
        <v>64</v>
      </c>
      <c r="G3044">
        <v>-529.34630000000004</v>
      </c>
      <c r="H3044">
        <v>2.3437220000000001</v>
      </c>
      <c r="I3044">
        <v>294.55</v>
      </c>
      <c r="J3044">
        <v>-415.57150000000001</v>
      </c>
      <c r="K3044">
        <v>1.1102299999999901</v>
      </c>
      <c r="L3044">
        <v>283.26769999999999</v>
      </c>
      <c r="M3044">
        <v>-0.99979629999999997</v>
      </c>
      <c r="N3044">
        <v>0</v>
      </c>
      <c r="O3044">
        <v>-1.47846E-2</v>
      </c>
      <c r="P3044">
        <v>-0.99969569999999996</v>
      </c>
      <c r="Q3044">
        <v>2.3184360000000001E-2</v>
      </c>
      <c r="R3044">
        <v>8.4412859999999992E-3</v>
      </c>
      <c r="S3044">
        <v>-2.9974669999999999</v>
      </c>
      <c r="T3044">
        <v>3.2444359999999998E-2</v>
      </c>
      <c r="U3044">
        <v>0.29666140000000002</v>
      </c>
      <c r="V3044">
        <v>2.3217020000000001E-2</v>
      </c>
      <c r="W3044">
        <v>3.6927229999999998E-2</v>
      </c>
      <c r="X3044">
        <v>0.99904820000000005</v>
      </c>
      <c r="Y3044">
        <v>0.11318540000000001</v>
      </c>
      <c r="Z3044">
        <v>-7.7071759999999996E-4</v>
      </c>
      <c r="AA3044">
        <v>0.99357359999999995</v>
      </c>
      <c r="AB3044">
        <v>33</v>
      </c>
      <c r="AC3044">
        <v>-113.7748</v>
      </c>
      <c r="AD3044">
        <v>1.233492</v>
      </c>
      <c r="AE3044">
        <v>11.282299999999999</v>
      </c>
      <c r="AF3044">
        <v>12.961831652723401</v>
      </c>
      <c r="AG3044">
        <v>1.233492</v>
      </c>
      <c r="AH3044">
        <v>113.582321928667</v>
      </c>
      <c r="AI3044">
        <v>89.381810364068201</v>
      </c>
      <c r="AJ3044">
        <v>83.489661828046394</v>
      </c>
      <c r="AK3044">
        <v>114.32617564239099</v>
      </c>
      <c r="AL3044">
        <v>87.883744378113505</v>
      </c>
      <c r="AM3044">
        <v>88.668735033807394</v>
      </c>
      <c r="AN3044">
        <v>0.99999997812819597</v>
      </c>
    </row>
    <row r="3045" spans="1:40" x14ac:dyDescent="0.25">
      <c r="A3045" t="str">
        <f>"20190312153945042"</f>
        <v>20190312153945042</v>
      </c>
      <c r="B3045" t="str">
        <f>"1552376385038932"</f>
        <v>1552376385038932</v>
      </c>
      <c r="C3045" t="s">
        <v>40</v>
      </c>
      <c r="D3045">
        <v>3.8572570000000002</v>
      </c>
      <c r="E3045">
        <v>0.53434809999999999</v>
      </c>
      <c r="F3045" t="s">
        <v>64</v>
      </c>
      <c r="G3045">
        <v>-529.59720000000004</v>
      </c>
      <c r="H3045">
        <v>2.3802569999999998</v>
      </c>
      <c r="I3045">
        <v>294.55</v>
      </c>
      <c r="J3045">
        <v>-415.77859999999998</v>
      </c>
      <c r="K3045">
        <v>1.1102240000000001</v>
      </c>
      <c r="L3045">
        <v>283.26459999999997</v>
      </c>
      <c r="M3045">
        <v>-0.99979560000000001</v>
      </c>
      <c r="N3045">
        <v>0</v>
      </c>
      <c r="O3045">
        <v>-1.4821910000000001E-2</v>
      </c>
      <c r="P3045">
        <v>-0.99968349999999995</v>
      </c>
      <c r="Q3045">
        <v>2.3929860000000001E-2</v>
      </c>
      <c r="R3045">
        <v>7.7604900000000001E-3</v>
      </c>
      <c r="S3045">
        <v>-2.99762</v>
      </c>
      <c r="T3045">
        <v>3.3389929999999998E-2</v>
      </c>
      <c r="U3045">
        <v>0.29660029999999998</v>
      </c>
      <c r="V3045">
        <v>2.2573780000000002E-2</v>
      </c>
      <c r="W3045">
        <v>3.7671059999999999E-2</v>
      </c>
      <c r="X3045">
        <v>0.99903520000000001</v>
      </c>
      <c r="Y3045">
        <v>0.11319709999999999</v>
      </c>
      <c r="Z3045">
        <v>-7.9361839999999998E-4</v>
      </c>
      <c r="AA3045">
        <v>0.99357220000000002</v>
      </c>
      <c r="AB3045">
        <v>33</v>
      </c>
      <c r="AC3045">
        <v>-113.8186</v>
      </c>
      <c r="AD3045">
        <v>1.270033</v>
      </c>
      <c r="AE3045">
        <v>11.285399999999999</v>
      </c>
      <c r="AF3045">
        <v>12.9697294701802</v>
      </c>
      <c r="AG3045">
        <v>1.270033</v>
      </c>
      <c r="AH3045">
        <v>113.624797933731</v>
      </c>
      <c r="AI3045">
        <v>89.363738428903403</v>
      </c>
      <c r="AJ3045">
        <v>83.488143368045996</v>
      </c>
      <c r="AK3045">
        <v>114.369670681663</v>
      </c>
      <c r="AL3045">
        <v>87.841096443281202</v>
      </c>
      <c r="AM3045">
        <v>88.705588879620905</v>
      </c>
      <c r="AN3045">
        <v>1.0000000075720199</v>
      </c>
    </row>
    <row r="3046" spans="1:40" x14ac:dyDescent="0.25">
      <c r="A3046" t="str">
        <f>"20190312153945058"</f>
        <v>20190312153945058</v>
      </c>
      <c r="B3046" t="str">
        <f>"1552376385048692"</f>
        <v>1552376385048692</v>
      </c>
      <c r="C3046" t="s">
        <v>40</v>
      </c>
      <c r="D3046">
        <v>3.9031470000000001</v>
      </c>
      <c r="E3046">
        <v>0.53431899999999999</v>
      </c>
      <c r="F3046" t="s">
        <v>64</v>
      </c>
      <c r="G3046">
        <v>-530.16010000000006</v>
      </c>
      <c r="H3046">
        <v>2.3948849999999999</v>
      </c>
      <c r="I3046">
        <v>294.55</v>
      </c>
      <c r="J3046">
        <v>-416.02260000000001</v>
      </c>
      <c r="K3046">
        <v>1.1102240000000001</v>
      </c>
      <c r="L3046">
        <v>283.26089999999999</v>
      </c>
      <c r="M3046">
        <v>-0.99979510000000005</v>
      </c>
      <c r="N3046">
        <v>0</v>
      </c>
      <c r="O3046">
        <v>-1.485738E-2</v>
      </c>
      <c r="P3046">
        <v>-0.9996564</v>
      </c>
      <c r="Q3046">
        <v>2.545453E-2</v>
      </c>
      <c r="R3046">
        <v>6.2714980000000004E-3</v>
      </c>
      <c r="S3046">
        <v>-2.9978030000000002</v>
      </c>
      <c r="T3046">
        <v>3.3671619999999999E-2</v>
      </c>
      <c r="U3046">
        <v>0.29577639999999999</v>
      </c>
      <c r="V3046">
        <v>2.112091E-2</v>
      </c>
      <c r="W3046">
        <v>3.9193430000000001E-2</v>
      </c>
      <c r="X3046">
        <v>0.99900840000000002</v>
      </c>
      <c r="Y3046">
        <v>0.1129558</v>
      </c>
      <c r="Z3046">
        <v>-7.9932089999999896E-4</v>
      </c>
      <c r="AA3046">
        <v>0.99359969999999997</v>
      </c>
      <c r="AB3046">
        <v>33</v>
      </c>
      <c r="AC3046">
        <v>-114.1375</v>
      </c>
      <c r="AD3046">
        <v>1.2846610000000001</v>
      </c>
      <c r="AE3046">
        <v>11.289099999999999</v>
      </c>
      <c r="AF3046">
        <v>12.982169511025001</v>
      </c>
      <c r="AG3046">
        <v>1.2846610000000001</v>
      </c>
      <c r="AH3046">
        <v>113.94286231754501</v>
      </c>
      <c r="AI3046">
        <v>89.358191958233704</v>
      </c>
      <c r="AJ3046">
        <v>83.499989981977194</v>
      </c>
      <c r="AK3046">
        <v>114.687239709625</v>
      </c>
      <c r="AL3046">
        <v>87.753806554764296</v>
      </c>
      <c r="AM3046">
        <v>88.788840265371306</v>
      </c>
      <c r="AN3046">
        <v>1.0000000005324701</v>
      </c>
    </row>
    <row r="3047" spans="1:40" x14ac:dyDescent="0.25">
      <c r="A3047" t="str">
        <f>"20190312153945071"</f>
        <v>20190312153945071</v>
      </c>
      <c r="B3047" t="str">
        <f>"1552376385058453"</f>
        <v>1552376385058453</v>
      </c>
      <c r="C3047" t="s">
        <v>40</v>
      </c>
      <c r="D3047">
        <v>3.8604940000000001</v>
      </c>
      <c r="E3047">
        <v>0.5344179</v>
      </c>
      <c r="F3047" t="s">
        <v>64</v>
      </c>
      <c r="G3047">
        <v>-532.33109999999999</v>
      </c>
      <c r="H3047">
        <v>2.5460929999999999</v>
      </c>
      <c r="I3047">
        <v>294.55</v>
      </c>
      <c r="J3047">
        <v>-416.21480000000003</v>
      </c>
      <c r="K3047">
        <v>1.110217</v>
      </c>
      <c r="L3047">
        <v>283.25810000000001</v>
      </c>
      <c r="M3047">
        <v>-0.99979479999999998</v>
      </c>
      <c r="N3047">
        <v>0</v>
      </c>
      <c r="O3047">
        <v>-1.487726E-2</v>
      </c>
      <c r="P3047">
        <v>-0.99965360000000003</v>
      </c>
      <c r="Q3047">
        <v>2.571888E-2</v>
      </c>
      <c r="R3047">
        <v>5.6016449999999997E-3</v>
      </c>
      <c r="S3047">
        <v>-2.9982600000000001</v>
      </c>
      <c r="T3047">
        <v>3.7016750000000001E-2</v>
      </c>
      <c r="U3047">
        <v>0.29101559999999999</v>
      </c>
      <c r="V3047">
        <v>2.047175E-2</v>
      </c>
      <c r="W3047">
        <v>3.9456449999999997E-2</v>
      </c>
      <c r="X3047">
        <v>0.9990116</v>
      </c>
      <c r="Y3047">
        <v>0.1113963</v>
      </c>
      <c r="Z3047">
        <v>-8.6929929999999904E-4</v>
      </c>
      <c r="AA3047">
        <v>0.99377570000000004</v>
      </c>
      <c r="AB3047">
        <v>32</v>
      </c>
      <c r="AC3047">
        <v>-116.116299999999</v>
      </c>
      <c r="AD3047">
        <v>1.4358759999999999</v>
      </c>
      <c r="AE3047">
        <v>11.291899999999901</v>
      </c>
      <c r="AF3047">
        <v>13.016334004028</v>
      </c>
      <c r="AG3047">
        <v>1.4358759999999999</v>
      </c>
      <c r="AH3047">
        <v>115.91787885127199</v>
      </c>
      <c r="AI3047">
        <v>89.2947447249379</v>
      </c>
      <c r="AJ3047">
        <v>83.593136583540996</v>
      </c>
      <c r="AK3047">
        <v>116.655224178645</v>
      </c>
      <c r="AL3047">
        <v>87.7387250431551</v>
      </c>
      <c r="AM3047">
        <v>88.826058942938204</v>
      </c>
      <c r="AN3047">
        <v>1.0000000404646101</v>
      </c>
    </row>
    <row r="3048" spans="1:40" x14ac:dyDescent="0.25">
      <c r="A3048" t="str">
        <f>"20190312153945084"</f>
        <v>20190312153945084</v>
      </c>
      <c r="B3048" t="str">
        <f>"1552376385078948"</f>
        <v>1552376385078948</v>
      </c>
      <c r="C3048" t="s">
        <v>40</v>
      </c>
      <c r="D3048">
        <v>3.809828</v>
      </c>
      <c r="E3048">
        <v>0.53498319999999999</v>
      </c>
      <c r="F3048" t="s">
        <v>64</v>
      </c>
      <c r="G3048">
        <v>-533.06370000000004</v>
      </c>
      <c r="H3048">
        <v>2.5795940000000002</v>
      </c>
      <c r="I3048">
        <v>294.55</v>
      </c>
      <c r="J3048">
        <v>-416.40219999999999</v>
      </c>
      <c r="K3048">
        <v>1.1102069999999999</v>
      </c>
      <c r="L3048">
        <v>283.2552</v>
      </c>
      <c r="M3048">
        <v>-0.99979470000000004</v>
      </c>
      <c r="N3048">
        <v>0</v>
      </c>
      <c r="O3048">
        <v>-1.4892259999999999E-2</v>
      </c>
      <c r="P3048">
        <v>-0.99964030000000004</v>
      </c>
      <c r="Q3048">
        <v>2.6373690000000002E-2</v>
      </c>
      <c r="R3048">
        <v>4.8763349999999999E-3</v>
      </c>
      <c r="S3048">
        <v>-2.9984739999999999</v>
      </c>
      <c r="T3048">
        <v>3.7708039999999998E-2</v>
      </c>
      <c r="U3048">
        <v>0.28976439999999998</v>
      </c>
      <c r="V3048">
        <v>1.9762080000000001E-2</v>
      </c>
      <c r="W3048">
        <v>4.0109190000000003E-2</v>
      </c>
      <c r="X3048">
        <v>0.99899979999999999</v>
      </c>
      <c r="Y3048">
        <v>0.1109933</v>
      </c>
      <c r="Z3048">
        <v>-8.8314699999999895E-4</v>
      </c>
      <c r="AA3048">
        <v>0.99382079999999995</v>
      </c>
      <c r="AB3048">
        <v>32</v>
      </c>
      <c r="AC3048">
        <v>-116.6615</v>
      </c>
      <c r="AD3048">
        <v>1.46938699999999</v>
      </c>
      <c r="AE3048">
        <v>11.2948</v>
      </c>
      <c r="AF3048">
        <v>13.0290168672528</v>
      </c>
      <c r="AG3048">
        <v>1.46938699999999</v>
      </c>
      <c r="AH3048">
        <v>116.46203514564</v>
      </c>
      <c r="AI3048">
        <v>89.2816256565565</v>
      </c>
      <c r="AJ3048">
        <v>83.616662240328296</v>
      </c>
      <c r="AK3048">
        <v>117.19778158714099</v>
      </c>
      <c r="AL3048">
        <v>87.701295943687896</v>
      </c>
      <c r="AM3048">
        <v>88.866730386596601</v>
      </c>
      <c r="AN3048">
        <v>0.99999994366420897</v>
      </c>
    </row>
    <row r="3049" spans="1:40" x14ac:dyDescent="0.25">
      <c r="A3049" t="str">
        <f>"20190312153945099"</f>
        <v>20190312153945099</v>
      </c>
      <c r="B3049" t="str">
        <f>"1552376385088708"</f>
        <v>1552376385088708</v>
      </c>
      <c r="C3049" t="s">
        <v>40</v>
      </c>
      <c r="D3049">
        <v>3.8041429999999998</v>
      </c>
      <c r="E3049">
        <v>0.53514240000000002</v>
      </c>
      <c r="F3049" t="s">
        <v>64</v>
      </c>
      <c r="G3049">
        <v>-532.21770000000004</v>
      </c>
      <c r="H3049">
        <v>2.8676219999999999</v>
      </c>
      <c r="I3049">
        <v>294.55</v>
      </c>
      <c r="J3049">
        <v>-416.61989999999997</v>
      </c>
      <c r="K3049">
        <v>1.1101970000000001</v>
      </c>
      <c r="L3049">
        <v>283.25200000000001</v>
      </c>
      <c r="M3049">
        <v>-0.99979450000000003</v>
      </c>
      <c r="N3049">
        <v>0</v>
      </c>
      <c r="O3049">
        <v>-1.490462E-2</v>
      </c>
      <c r="P3049">
        <v>-0.99964489999999995</v>
      </c>
      <c r="Q3049">
        <v>2.6331460000000001E-2</v>
      </c>
      <c r="R3049">
        <v>4.0946369999999999E-3</v>
      </c>
      <c r="S3049">
        <v>-2.9984440000000001</v>
      </c>
      <c r="T3049">
        <v>4.5501350000000003E-2</v>
      </c>
      <c r="U3049">
        <v>0.2924194</v>
      </c>
      <c r="V3049">
        <v>1.8993690000000001E-2</v>
      </c>
      <c r="W3049">
        <v>4.0065829999999997E-2</v>
      </c>
      <c r="X3049">
        <v>0.99901649999999997</v>
      </c>
      <c r="Y3049">
        <v>0.1118736</v>
      </c>
      <c r="Z3049">
        <v>-1.0724689999999999E-3</v>
      </c>
      <c r="AA3049">
        <v>0.99372179999999999</v>
      </c>
      <c r="AB3049">
        <v>32</v>
      </c>
      <c r="AC3049">
        <v>-115.59780000000001</v>
      </c>
      <c r="AD3049">
        <v>1.757425</v>
      </c>
      <c r="AE3049">
        <v>11.298</v>
      </c>
      <c r="AF3049">
        <v>13.016868630807901</v>
      </c>
      <c r="AG3049">
        <v>1.757425</v>
      </c>
      <c r="AH3049">
        <v>115.39013101332399</v>
      </c>
      <c r="AI3049">
        <v>89.132934845301406</v>
      </c>
      <c r="AJ3049">
        <v>83.563817361172894</v>
      </c>
      <c r="AK3049">
        <v>116.135307925085</v>
      </c>
      <c r="AL3049">
        <v>87.703782414855198</v>
      </c>
      <c r="AM3049">
        <v>88.910801595132099</v>
      </c>
      <c r="AN3049">
        <v>0.999999999132827</v>
      </c>
    </row>
    <row r="3050" spans="1:40" x14ac:dyDescent="0.25">
      <c r="A3050" t="str">
        <f>"20190312153945113"</f>
        <v>20190312153945113</v>
      </c>
      <c r="B3050" t="str">
        <f>"1552376385098468"</f>
        <v>1552376385098468</v>
      </c>
      <c r="C3050" t="s">
        <v>40</v>
      </c>
      <c r="D3050">
        <v>3.8206440000000002</v>
      </c>
      <c r="E3050">
        <v>0.53537330000000005</v>
      </c>
      <c r="F3050" t="s">
        <v>64</v>
      </c>
      <c r="G3050">
        <v>-532.90089999999998</v>
      </c>
      <c r="H3050">
        <v>2.973176</v>
      </c>
      <c r="I3050">
        <v>294.55</v>
      </c>
      <c r="J3050">
        <v>-416.81869999999998</v>
      </c>
      <c r="K3050">
        <v>1.110193</v>
      </c>
      <c r="L3050">
        <v>283.24900000000002</v>
      </c>
      <c r="M3050">
        <v>-0.99979450000000003</v>
      </c>
      <c r="N3050">
        <v>0</v>
      </c>
      <c r="O3050">
        <v>-1.4910939999999999E-2</v>
      </c>
      <c r="P3050">
        <v>-0.99964180000000002</v>
      </c>
      <c r="Q3050">
        <v>2.6498150000000002E-2</v>
      </c>
      <c r="R3050">
        <v>3.845055E-3</v>
      </c>
      <c r="S3050">
        <v>-2.9986269999999999</v>
      </c>
      <c r="T3050">
        <v>4.8044200000000002E-2</v>
      </c>
      <c r="U3050">
        <v>0.29135129999999998</v>
      </c>
      <c r="V3050">
        <v>1.8751179999999999E-2</v>
      </c>
      <c r="W3050">
        <v>4.0230679999999998E-2</v>
      </c>
      <c r="X3050">
        <v>0.99901439999999997</v>
      </c>
      <c r="Y3050">
        <v>0.1115218</v>
      </c>
      <c r="Z3050">
        <v>-1.1296360000000001E-3</v>
      </c>
      <c r="AA3050">
        <v>0.99376140000000002</v>
      </c>
      <c r="AB3050">
        <v>32</v>
      </c>
      <c r="AC3050">
        <v>-116.0822</v>
      </c>
      <c r="AD3050">
        <v>1.8629830000000001</v>
      </c>
      <c r="AE3050">
        <v>11.300999999999901</v>
      </c>
      <c r="AF3050">
        <v>13.0274774505996</v>
      </c>
      <c r="AG3050">
        <v>1.8629830000000001</v>
      </c>
      <c r="AH3050">
        <v>115.871203642278</v>
      </c>
      <c r="AI3050">
        <v>89.084641170522303</v>
      </c>
      <c r="AJ3050">
        <v>83.585135778949606</v>
      </c>
      <c r="AK3050">
        <v>116.61612970723399</v>
      </c>
      <c r="AL3050">
        <v>87.694329454328596</v>
      </c>
      <c r="AM3050">
        <v>88.924702851972</v>
      </c>
      <c r="AN3050">
        <v>0.99999994288600502</v>
      </c>
    </row>
    <row r="3051" spans="1:40" x14ac:dyDescent="0.25">
      <c r="A3051" t="str">
        <f>"20190312153945125"</f>
        <v>20190312153945125</v>
      </c>
      <c r="B3051" t="str">
        <f>"1552376385118965"</f>
        <v>1552376385118965</v>
      </c>
      <c r="C3051" t="s">
        <v>40</v>
      </c>
      <c r="D3051">
        <v>3.8437229999999998</v>
      </c>
      <c r="E3051">
        <v>0.53570669999999898</v>
      </c>
      <c r="F3051" t="s">
        <v>64</v>
      </c>
      <c r="G3051">
        <v>-532.61969999999997</v>
      </c>
      <c r="H3051">
        <v>3.0818949999999998</v>
      </c>
      <c r="I3051">
        <v>294.55</v>
      </c>
      <c r="J3051">
        <v>-416.99169999999998</v>
      </c>
      <c r="K3051">
        <v>1.110188</v>
      </c>
      <c r="L3051">
        <v>283.24639999999999</v>
      </c>
      <c r="M3051">
        <v>-0.99979439999999997</v>
      </c>
      <c r="N3051">
        <v>0</v>
      </c>
      <c r="O3051">
        <v>-1.491371E-2</v>
      </c>
      <c r="P3051">
        <v>-0.9996507</v>
      </c>
      <c r="Q3051">
        <v>2.6176209999999998E-2</v>
      </c>
      <c r="R3051">
        <v>3.6792909999999999E-3</v>
      </c>
      <c r="S3051">
        <v>-2.998596</v>
      </c>
      <c r="T3051">
        <v>5.105817E-2</v>
      </c>
      <c r="U3051">
        <v>0.29263309999999998</v>
      </c>
      <c r="V3051">
        <v>1.858887E-2</v>
      </c>
      <c r="W3051">
        <v>3.990813E-2</v>
      </c>
      <c r="X3051">
        <v>0.99903039999999999</v>
      </c>
      <c r="Y3051">
        <v>0.11194419999999999</v>
      </c>
      <c r="Z3051">
        <v>-1.2041139999999901E-3</v>
      </c>
      <c r="AA3051">
        <v>0.99371370000000003</v>
      </c>
      <c r="AB3051">
        <v>32</v>
      </c>
      <c r="AC3051">
        <v>-115.628</v>
      </c>
      <c r="AD3051">
        <v>1.9717070000000001</v>
      </c>
      <c r="AE3051">
        <v>11.303599999999999</v>
      </c>
      <c r="AF3051">
        <v>13.023196856621199</v>
      </c>
      <c r="AG3051">
        <v>1.9717070000000001</v>
      </c>
      <c r="AH3051">
        <v>115.413301666238</v>
      </c>
      <c r="AI3051">
        <v>89.027431955890705</v>
      </c>
      <c r="AJ3051">
        <v>83.561996560155805</v>
      </c>
      <c r="AK3051">
        <v>116.16247882325101</v>
      </c>
      <c r="AL3051">
        <v>87.712825130819994</v>
      </c>
      <c r="AM3051">
        <v>88.934025523152698</v>
      </c>
      <c r="AN3051">
        <v>0.99999997252606598</v>
      </c>
    </row>
    <row r="3052" spans="1:40" x14ac:dyDescent="0.25">
      <c r="A3052" t="str">
        <f>"20190312153945139"</f>
        <v>20190312153945139</v>
      </c>
      <c r="B3052" t="str">
        <f>"1552376385128454"</f>
        <v>1552376385128454</v>
      </c>
      <c r="C3052" t="s">
        <v>40</v>
      </c>
      <c r="D3052">
        <v>3.816354</v>
      </c>
      <c r="E3052">
        <v>0.53593710000000006</v>
      </c>
      <c r="F3052" t="s">
        <v>64</v>
      </c>
      <c r="G3052">
        <v>-531.82399999999996</v>
      </c>
      <c r="H3052">
        <v>3.1509779999999998</v>
      </c>
      <c r="I3052">
        <v>294.55</v>
      </c>
      <c r="J3052">
        <v>-417.18490000000003</v>
      </c>
      <c r="K3052">
        <v>1.1101859999999999</v>
      </c>
      <c r="L3052">
        <v>283.24349999999998</v>
      </c>
      <c r="M3052">
        <v>-0.99979439999999997</v>
      </c>
      <c r="N3052">
        <v>0</v>
      </c>
      <c r="O3052">
        <v>-1.491518E-2</v>
      </c>
      <c r="P3052">
        <v>-0.99966140000000003</v>
      </c>
      <c r="Q3052">
        <v>2.5745199999999999E-2</v>
      </c>
      <c r="R3052">
        <v>3.8074419999999999E-3</v>
      </c>
      <c r="S3052">
        <v>-2.9985659999999998</v>
      </c>
      <c r="T3052">
        <v>5.3292390000000002E-2</v>
      </c>
      <c r="U3052">
        <v>0.29516599999999998</v>
      </c>
      <c r="V3052">
        <v>1.871898E-2</v>
      </c>
      <c r="W3052">
        <v>3.9475980000000001E-2</v>
      </c>
      <c r="X3052">
        <v>0.99904519999999997</v>
      </c>
      <c r="Y3052">
        <v>0.11277619999999999</v>
      </c>
      <c r="Z3052">
        <v>-1.2641589999999999E-3</v>
      </c>
      <c r="AA3052">
        <v>0.99361960000000005</v>
      </c>
      <c r="AB3052">
        <v>32</v>
      </c>
      <c r="AC3052">
        <v>-114.6391</v>
      </c>
      <c r="AD3052">
        <v>2.0407920000000002</v>
      </c>
      <c r="AE3052">
        <v>11.3065</v>
      </c>
      <c r="AF3052">
        <v>13.0111825982056</v>
      </c>
      <c r="AG3052">
        <v>2.0407920000000002</v>
      </c>
      <c r="AH3052">
        <v>114.421779283013</v>
      </c>
      <c r="AI3052">
        <v>88.984739728684701</v>
      </c>
      <c r="AJ3052">
        <v>83.512621631479007</v>
      </c>
      <c r="AK3052">
        <v>115.177251568535</v>
      </c>
      <c r="AL3052">
        <v>87.737605165954804</v>
      </c>
      <c r="AM3052">
        <v>88.926582033106001</v>
      </c>
      <c r="AN3052">
        <v>1.00000003242611</v>
      </c>
    </row>
    <row r="3053" spans="1:40" x14ac:dyDescent="0.25">
      <c r="A3053" t="str">
        <f>"20190312153945159"</f>
        <v>20190312153945159</v>
      </c>
      <c r="B3053" t="str">
        <f>"1552376385148950"</f>
        <v>1552376385148950</v>
      </c>
      <c r="C3053" t="s">
        <v>40</v>
      </c>
      <c r="D3053">
        <v>3.8589630000000001</v>
      </c>
      <c r="E3053">
        <v>0.53630489999999997</v>
      </c>
      <c r="F3053" t="s">
        <v>64</v>
      </c>
      <c r="G3053">
        <v>-531.28909999999996</v>
      </c>
      <c r="H3053">
        <v>3.1148069999999999</v>
      </c>
      <c r="I3053">
        <v>294.55</v>
      </c>
      <c r="J3053">
        <v>-417.48289999999997</v>
      </c>
      <c r="K3053">
        <v>1.1101810000000001</v>
      </c>
      <c r="L3053">
        <v>283.23910000000001</v>
      </c>
      <c r="M3053">
        <v>-0.99979439999999997</v>
      </c>
      <c r="N3053">
        <v>0</v>
      </c>
      <c r="O3053">
        <v>-1.4913539999999999E-2</v>
      </c>
      <c r="P3053">
        <v>-0.99966569999999999</v>
      </c>
      <c r="Q3053">
        <v>2.546532E-2</v>
      </c>
      <c r="R3053">
        <v>4.4947329999999999E-3</v>
      </c>
      <c r="S3053">
        <v>-2.9985050000000002</v>
      </c>
      <c r="T3053">
        <v>5.2680970000000001E-2</v>
      </c>
      <c r="U3053">
        <v>0.29711910000000002</v>
      </c>
      <c r="V3053">
        <v>1.940499E-2</v>
      </c>
      <c r="W3053">
        <v>3.9193909999999998E-2</v>
      </c>
      <c r="X3053">
        <v>0.99904320000000002</v>
      </c>
      <c r="Y3053">
        <v>0.1134179</v>
      </c>
      <c r="Z3053">
        <v>-1.255237E-3</v>
      </c>
      <c r="AA3053">
        <v>0.99354659999999995</v>
      </c>
      <c r="AB3053">
        <v>32</v>
      </c>
      <c r="AC3053">
        <v>-113.8062</v>
      </c>
      <c r="AD3053">
        <v>2.004626</v>
      </c>
      <c r="AE3053">
        <v>11.3109</v>
      </c>
      <c r="AF3053">
        <v>13.0030604026418</v>
      </c>
      <c r="AG3053">
        <v>2.004626</v>
      </c>
      <c r="AH3053">
        <v>113.589940967297</v>
      </c>
      <c r="AI3053">
        <v>88.995512455433996</v>
      </c>
      <c r="AJ3053">
        <v>83.469566762255496</v>
      </c>
      <c r="AK3053">
        <v>114.34934540341099</v>
      </c>
      <c r="AL3053">
        <v>87.753779066048807</v>
      </c>
      <c r="AM3053">
        <v>88.887251082928103</v>
      </c>
      <c r="AN3053">
        <v>1.0000000158421101</v>
      </c>
    </row>
    <row r="3054" spans="1:40" x14ac:dyDescent="0.25">
      <c r="A3054" t="str">
        <f>"20190312153945182"</f>
        <v>20190312153945182</v>
      </c>
      <c r="B3054" t="str">
        <f>"1552376385179205"</f>
        <v>1552376385179205</v>
      </c>
      <c r="C3054" t="s">
        <v>40</v>
      </c>
      <c r="D3054">
        <v>3.8916710000000001</v>
      </c>
      <c r="E3054">
        <v>0.53667609999999999</v>
      </c>
      <c r="F3054" t="s">
        <v>64</v>
      </c>
      <c r="G3054">
        <v>-529.74659999999994</v>
      </c>
      <c r="H3054">
        <v>3.014202</v>
      </c>
      <c r="I3054">
        <v>294.55</v>
      </c>
      <c r="J3054">
        <v>-417.80360000000002</v>
      </c>
      <c r="K3054">
        <v>1.1101719999999999</v>
      </c>
      <c r="L3054">
        <v>283.23430000000002</v>
      </c>
      <c r="M3054">
        <v>-0.99979470000000004</v>
      </c>
      <c r="N3054">
        <v>0</v>
      </c>
      <c r="O3054">
        <v>-1.490966E-2</v>
      </c>
      <c r="P3054">
        <v>-0.99967309999999998</v>
      </c>
      <c r="Q3054">
        <v>2.4845140000000002E-2</v>
      </c>
      <c r="R3054">
        <v>6.0691590000000002E-3</v>
      </c>
      <c r="S3054">
        <v>-2.9983520000000001</v>
      </c>
      <c r="T3054">
        <v>5.0855039999999997E-2</v>
      </c>
      <c r="U3054">
        <v>0.30209350000000001</v>
      </c>
      <c r="V3054">
        <v>2.097574E-2</v>
      </c>
      <c r="W3054">
        <v>3.8571630000000003E-2</v>
      </c>
      <c r="X3054">
        <v>0.99903569999999997</v>
      </c>
      <c r="Y3054">
        <v>0.1150519</v>
      </c>
      <c r="Z3054">
        <v>-1.2254550000000001E-3</v>
      </c>
      <c r="AA3054">
        <v>0.99335870000000004</v>
      </c>
      <c r="AB3054">
        <v>32</v>
      </c>
      <c r="AC3054">
        <v>-111.942999999999</v>
      </c>
      <c r="AD3054">
        <v>1.9040299999999999</v>
      </c>
      <c r="AE3054">
        <v>11.3156999999999</v>
      </c>
      <c r="AF3054">
        <v>12.979914009741201</v>
      </c>
      <c r="AG3054">
        <v>1.9040299999999999</v>
      </c>
      <c r="AH3054">
        <v>111.729828607922</v>
      </c>
      <c r="AI3054">
        <v>89.030216503160005</v>
      </c>
      <c r="AJ3054">
        <v>83.373519868346804</v>
      </c>
      <c r="AK3054">
        <v>112.49736929678301</v>
      </c>
      <c r="AL3054">
        <v>87.789460122296703</v>
      </c>
      <c r="AM3054">
        <v>88.797195314800604</v>
      </c>
      <c r="AN3054">
        <v>1.0000000410919401</v>
      </c>
    </row>
    <row r="3055" spans="1:40" x14ac:dyDescent="0.25">
      <c r="A3055" t="str">
        <f>"20190312153945194"</f>
        <v>20190312153945194</v>
      </c>
      <c r="B3055" t="str">
        <f>"1552376385188966"</f>
        <v>1552376385188966</v>
      </c>
      <c r="C3055" t="s">
        <v>40</v>
      </c>
      <c r="D3055">
        <v>3.915851</v>
      </c>
      <c r="E3055">
        <v>0.53667609999999999</v>
      </c>
      <c r="F3055" t="s">
        <v>64</v>
      </c>
      <c r="G3055">
        <v>-527.36609999999996</v>
      </c>
      <c r="H3055">
        <v>2.7707090000000001</v>
      </c>
      <c r="I3055">
        <v>294.55</v>
      </c>
      <c r="J3055">
        <v>-417.99160000000001</v>
      </c>
      <c r="K3055">
        <v>1.1101719999999999</v>
      </c>
      <c r="L3055">
        <v>283.23149999999998</v>
      </c>
      <c r="M3055">
        <v>-0.99979459999999998</v>
      </c>
      <c r="N3055">
        <v>0</v>
      </c>
      <c r="O3055">
        <v>-1.490701E-2</v>
      </c>
      <c r="P3055">
        <v>-0.99967240000000002</v>
      </c>
      <c r="Q3055">
        <v>2.469652E-2</v>
      </c>
      <c r="R3055">
        <v>6.7293819999999999E-3</v>
      </c>
      <c r="S3055">
        <v>-2.9979550000000001</v>
      </c>
      <c r="T3055">
        <v>4.5439479999999997E-2</v>
      </c>
      <c r="U3055">
        <v>0.3096313</v>
      </c>
      <c r="V3055">
        <v>2.1633280000000001E-2</v>
      </c>
      <c r="W3055">
        <v>3.8421530000000002E-2</v>
      </c>
      <c r="X3055">
        <v>0.99902740000000001</v>
      </c>
      <c r="Y3055">
        <v>0.1175374</v>
      </c>
      <c r="Z3055">
        <v>-1.1137230000000001E-3</v>
      </c>
      <c r="AA3055">
        <v>0.99306779999999995</v>
      </c>
      <c r="AB3055">
        <v>32</v>
      </c>
      <c r="AC3055">
        <v>-109.374499999999</v>
      </c>
      <c r="AD3055">
        <v>1.6605369999999999</v>
      </c>
      <c r="AE3055">
        <v>11.3185</v>
      </c>
      <c r="AF3055">
        <v>12.9448904467099</v>
      </c>
      <c r="AG3055">
        <v>1.6605369999999999</v>
      </c>
      <c r="AH3055">
        <v>109.168707162328</v>
      </c>
      <c r="AI3055">
        <v>89.134617586048293</v>
      </c>
      <c r="AJ3055">
        <v>83.237618368416193</v>
      </c>
      <c r="AK3055">
        <v>109.946051294714</v>
      </c>
      <c r="AL3055">
        <v>87.7980664621671</v>
      </c>
      <c r="AM3055">
        <v>88.759491523442406</v>
      </c>
      <c r="AN3055">
        <v>0.99999997936092899</v>
      </c>
    </row>
    <row r="3056" spans="1:40" x14ac:dyDescent="0.25">
      <c r="A3056" t="str">
        <f>"20190312153945215"</f>
        <v>20190312153945215</v>
      </c>
      <c r="B3056" t="str">
        <f>"1552376385208486"</f>
        <v>1552376385208486</v>
      </c>
      <c r="C3056" t="s">
        <v>40</v>
      </c>
      <c r="D3056">
        <v>3.8993389999999999</v>
      </c>
      <c r="E3056">
        <v>0.53866210000000003</v>
      </c>
      <c r="F3056" t="s">
        <v>64</v>
      </c>
      <c r="G3056">
        <v>-526.89699999999903</v>
      </c>
      <c r="H3056">
        <v>2.745978</v>
      </c>
      <c r="I3056">
        <v>294.55</v>
      </c>
      <c r="J3056">
        <v>-418.28219999999999</v>
      </c>
      <c r="K3056">
        <v>1.1101730000000001</v>
      </c>
      <c r="L3056">
        <v>283.22719999999998</v>
      </c>
      <c r="M3056">
        <v>-0.99979470000000004</v>
      </c>
      <c r="N3056">
        <v>0</v>
      </c>
      <c r="O3056">
        <v>-1.490435E-2</v>
      </c>
      <c r="P3056">
        <v>-0.99968080000000004</v>
      </c>
      <c r="Q3056">
        <v>2.4163179999999999E-2</v>
      </c>
      <c r="R3056">
        <v>7.4043169999999997E-3</v>
      </c>
      <c r="S3056">
        <v>-2.9977420000000001</v>
      </c>
      <c r="T3056">
        <v>4.5029640000000003E-2</v>
      </c>
      <c r="U3056">
        <v>0.311554</v>
      </c>
      <c r="V3056">
        <v>2.2305820000000001E-2</v>
      </c>
      <c r="W3056">
        <v>3.7886910000000003E-2</v>
      </c>
      <c r="X3056">
        <v>0.99903299999999995</v>
      </c>
      <c r="Y3056">
        <v>0.1181724</v>
      </c>
      <c r="Z3056">
        <v>-1.1084370000000001E-3</v>
      </c>
      <c r="AA3056">
        <v>0.99299249999999994</v>
      </c>
      <c r="AB3056">
        <v>32</v>
      </c>
      <c r="AC3056">
        <v>-108.61479999999899</v>
      </c>
      <c r="AD3056">
        <v>1.635805</v>
      </c>
      <c r="AE3056">
        <v>11.322800000000001</v>
      </c>
      <c r="AF3056">
        <v>12.937624607646899</v>
      </c>
      <c r="AG3056">
        <v>1.635805</v>
      </c>
      <c r="AH3056">
        <v>108.409633027289</v>
      </c>
      <c r="AI3056">
        <v>89.141613293660797</v>
      </c>
      <c r="AJ3056">
        <v>83.194497996462999</v>
      </c>
      <c r="AK3056">
        <v>109.19114671802799</v>
      </c>
      <c r="AL3056">
        <v>87.828720192070904</v>
      </c>
      <c r="AM3056">
        <v>88.720946118345296</v>
      </c>
      <c r="AN3056">
        <v>0.99999995132210895</v>
      </c>
    </row>
    <row r="3057" spans="1:40" x14ac:dyDescent="0.25">
      <c r="A3057" t="str">
        <f>"20190312153945236"</f>
        <v>20190312153945236</v>
      </c>
      <c r="B3057" t="str">
        <f>"1552376385228982"</f>
        <v>1552376385228982</v>
      </c>
      <c r="C3057" t="s">
        <v>40</v>
      </c>
      <c r="D3057">
        <v>3.9285709999999998</v>
      </c>
      <c r="E3057">
        <v>0.53863450000000002</v>
      </c>
      <c r="F3057" t="s">
        <v>64</v>
      </c>
      <c r="G3057">
        <v>-514.30899999999997</v>
      </c>
      <c r="H3057">
        <v>0.71777740000000001</v>
      </c>
      <c r="I3057">
        <v>293.69319999999999</v>
      </c>
      <c r="J3057">
        <v>-418.60430000000002</v>
      </c>
      <c r="K3057">
        <v>1.110177</v>
      </c>
      <c r="L3057">
        <v>283.22239999999999</v>
      </c>
      <c r="M3057">
        <v>-0.99979479999999998</v>
      </c>
      <c r="N3057">
        <v>0</v>
      </c>
      <c r="O3057">
        <v>-1.490241E-2</v>
      </c>
      <c r="P3057">
        <v>-0.99970230000000004</v>
      </c>
      <c r="Q3057">
        <v>2.332149E-2</v>
      </c>
      <c r="R3057">
        <v>7.1920040000000001E-3</v>
      </c>
      <c r="S3057">
        <v>-2.9988100000000002</v>
      </c>
      <c r="T3057">
        <v>-1.2251379999999999E-2</v>
      </c>
      <c r="U3057">
        <v>0.3268433</v>
      </c>
      <c r="V3057">
        <v>2.2091880000000001E-2</v>
      </c>
      <c r="W3057">
        <v>3.70435E-2</v>
      </c>
      <c r="X3057">
        <v>0.99906950000000005</v>
      </c>
      <c r="Y3057">
        <v>0.12315230000000001</v>
      </c>
      <c r="Z3057">
        <v>3.1153909999999998E-4</v>
      </c>
      <c r="AA3057">
        <v>0.99238769999999998</v>
      </c>
      <c r="AB3057">
        <v>32</v>
      </c>
      <c r="AC3057">
        <v>-95.704699999999903</v>
      </c>
      <c r="AD3057">
        <v>-0.39239960000000002</v>
      </c>
      <c r="AE3057">
        <v>10.470799999999899</v>
      </c>
      <c r="AF3057">
        <v>11.895804375558299</v>
      </c>
      <c r="AG3057">
        <v>-0.39239960000000002</v>
      </c>
      <c r="AH3057">
        <v>95.536428370385195</v>
      </c>
      <c r="AI3057">
        <v>90.2335279776661</v>
      </c>
      <c r="AJ3057">
        <v>82.902295433427696</v>
      </c>
      <c r="AK3057">
        <v>96.274987847090202</v>
      </c>
      <c r="AL3057">
        <v>87.877078229497201</v>
      </c>
      <c r="AM3057">
        <v>88.733256052912296</v>
      </c>
      <c r="AN3057">
        <v>1.0000000689422099</v>
      </c>
    </row>
    <row r="3058" spans="1:40" x14ac:dyDescent="0.25">
      <c r="A3058" t="str">
        <f>"20190312153945259"</f>
        <v>20190312153945259</v>
      </c>
      <c r="B3058" t="str">
        <f>"1552376385248502"</f>
        <v>1552376385248502</v>
      </c>
      <c r="C3058" t="s">
        <v>40</v>
      </c>
      <c r="D3058">
        <v>3.8993359999999999</v>
      </c>
      <c r="E3058">
        <v>0.53905990000000004</v>
      </c>
      <c r="F3058" t="s">
        <v>64</v>
      </c>
      <c r="G3058">
        <v>-522.78160000000003</v>
      </c>
      <c r="H3058">
        <v>0.66038969999999997</v>
      </c>
      <c r="I3058">
        <v>294.55</v>
      </c>
      <c r="J3058">
        <v>-418.9187</v>
      </c>
      <c r="K3058">
        <v>1.1101780000000001</v>
      </c>
      <c r="L3058">
        <v>283.21769999999998</v>
      </c>
      <c r="M3058">
        <v>-0.99979470000000004</v>
      </c>
      <c r="N3058">
        <v>0</v>
      </c>
      <c r="O3058">
        <v>-1.490168E-2</v>
      </c>
      <c r="P3058">
        <v>-0.99969540000000001</v>
      </c>
      <c r="Q3058">
        <v>2.3691569999999999E-2</v>
      </c>
      <c r="R3058">
        <v>6.9334119999999999E-3</v>
      </c>
      <c r="S3058">
        <v>-2.9988709999999998</v>
      </c>
      <c r="T3058">
        <v>-1.2945180000000001E-2</v>
      </c>
      <c r="U3058">
        <v>0.32608029999999999</v>
      </c>
      <c r="V3058">
        <v>2.183264E-2</v>
      </c>
      <c r="W3058">
        <v>3.7411369999999999E-2</v>
      </c>
      <c r="X3058">
        <v>0.99906139999999999</v>
      </c>
      <c r="Y3058">
        <v>0.1228997</v>
      </c>
      <c r="Z3058">
        <v>3.2863260000000002E-4</v>
      </c>
      <c r="AA3058">
        <v>0.9924191</v>
      </c>
      <c r="AB3058">
        <v>32</v>
      </c>
      <c r="AC3058">
        <v>-103.8629</v>
      </c>
      <c r="AD3058">
        <v>-0.44978829999999997</v>
      </c>
      <c r="AE3058">
        <v>11.3323</v>
      </c>
      <c r="AF3058">
        <v>12.8786803734023</v>
      </c>
      <c r="AG3058">
        <v>-0.44978829999999997</v>
      </c>
      <c r="AH3058">
        <v>103.68055750119299</v>
      </c>
      <c r="AI3058">
        <v>90.246664085445701</v>
      </c>
      <c r="AJ3058">
        <v>82.919273193212703</v>
      </c>
      <c r="AK3058">
        <v>104.47832656313599</v>
      </c>
      <c r="AL3058">
        <v>87.855986016486796</v>
      </c>
      <c r="AM3058">
        <v>88.748105917127603</v>
      </c>
      <c r="AN3058">
        <v>0.99999997787230299</v>
      </c>
    </row>
    <row r="3059" spans="1:40" x14ac:dyDescent="0.25">
      <c r="A3059" t="str">
        <f>"20190312153945281"</f>
        <v>20190312153945281</v>
      </c>
      <c r="B3059" t="str">
        <f>"1552376385268998"</f>
        <v>1552376385268998</v>
      </c>
      <c r="C3059" t="s">
        <v>40</v>
      </c>
      <c r="D3059">
        <v>3.8900790000000001</v>
      </c>
      <c r="E3059">
        <v>0.53934340000000003</v>
      </c>
      <c r="F3059" t="s">
        <v>64</v>
      </c>
      <c r="G3059">
        <v>-514.28470000000004</v>
      </c>
      <c r="H3059">
        <v>1.199106</v>
      </c>
      <c r="I3059">
        <v>293.69319999999999</v>
      </c>
      <c r="J3059">
        <v>-419.24180000000001</v>
      </c>
      <c r="K3059">
        <v>1.110179</v>
      </c>
      <c r="L3059">
        <v>283.21280000000002</v>
      </c>
      <c r="M3059">
        <v>-0.99979479999999998</v>
      </c>
      <c r="N3059">
        <v>0</v>
      </c>
      <c r="O3059">
        <v>-1.4901660000000001E-2</v>
      </c>
      <c r="P3059">
        <v>-0.99968040000000002</v>
      </c>
      <c r="Q3059">
        <v>2.439055E-2</v>
      </c>
      <c r="R3059">
        <v>6.6397030000000003E-3</v>
      </c>
      <c r="S3059">
        <v>-2.998535</v>
      </c>
      <c r="T3059">
        <v>2.7987960000000001E-3</v>
      </c>
      <c r="U3059">
        <v>0.32937620000000001</v>
      </c>
      <c r="V3059">
        <v>2.1538620000000001E-2</v>
      </c>
      <c r="W3059">
        <v>3.8108490000000002E-2</v>
      </c>
      <c r="X3059">
        <v>0.99904139999999997</v>
      </c>
      <c r="Y3059">
        <v>0.1239907</v>
      </c>
      <c r="Z3059" s="1">
        <v>-7.1563259999999997E-5</v>
      </c>
      <c r="AA3059">
        <v>0.99228329999999998</v>
      </c>
      <c r="AB3059">
        <v>32</v>
      </c>
      <c r="AC3059">
        <v>-95.042900000000003</v>
      </c>
      <c r="AD3059">
        <v>8.8926999999999895E-2</v>
      </c>
      <c r="AE3059">
        <v>10.4803999999999</v>
      </c>
      <c r="AF3059">
        <v>11.895656134607799</v>
      </c>
      <c r="AG3059">
        <v>8.8926999999999895E-2</v>
      </c>
      <c r="AH3059">
        <v>94.876072714331002</v>
      </c>
      <c r="AI3059">
        <v>89.9467140929019</v>
      </c>
      <c r="AJ3059">
        <v>82.853491248387897</v>
      </c>
      <c r="AK3059">
        <v>95.618950614296097</v>
      </c>
      <c r="AL3059">
        <v>87.816015401634999</v>
      </c>
      <c r="AM3059">
        <v>88.764935191095702</v>
      </c>
      <c r="AN3059">
        <v>0.99999994403777004</v>
      </c>
    </row>
    <row r="3060" spans="1:40" x14ac:dyDescent="0.25">
      <c r="A3060" t="str">
        <f>"20190312153945304"</f>
        <v>20190312153945304</v>
      </c>
      <c r="B3060" t="str">
        <f>"1552376385299258"</f>
        <v>1552376385299258</v>
      </c>
      <c r="C3060" t="s">
        <v>40</v>
      </c>
      <c r="D3060">
        <v>3.9355129999999998</v>
      </c>
      <c r="E3060">
        <v>0.53949899999999995</v>
      </c>
      <c r="F3060" t="s">
        <v>64</v>
      </c>
      <c r="G3060">
        <v>-514.14</v>
      </c>
      <c r="H3060">
        <v>1.4820199999999999</v>
      </c>
      <c r="I3060">
        <v>293.69319999999999</v>
      </c>
      <c r="J3060">
        <v>-419.5641</v>
      </c>
      <c r="K3060">
        <v>1.110179</v>
      </c>
      <c r="L3060">
        <v>283.20800000000003</v>
      </c>
      <c r="M3060">
        <v>-0.99979479999999998</v>
      </c>
      <c r="N3060">
        <v>0</v>
      </c>
      <c r="O3060">
        <v>-1.4901889999999999E-2</v>
      </c>
      <c r="P3060">
        <v>-0.9996678</v>
      </c>
      <c r="Q3060">
        <v>2.5016099999999999E-2</v>
      </c>
      <c r="R3060">
        <v>6.2083390000000002E-3</v>
      </c>
      <c r="S3060">
        <v>-2.9984739999999999</v>
      </c>
      <c r="T3060">
        <v>1.1751650000000001E-2</v>
      </c>
      <c r="U3060">
        <v>0.3311462</v>
      </c>
      <c r="V3060">
        <v>2.110741E-2</v>
      </c>
      <c r="W3060">
        <v>3.8732210000000003E-2</v>
      </c>
      <c r="X3060">
        <v>0.99902670000000005</v>
      </c>
      <c r="Y3060">
        <v>0.124570899999999</v>
      </c>
      <c r="Z3060">
        <v>-3.016111E-4</v>
      </c>
      <c r="AA3060">
        <v>0.9922107</v>
      </c>
      <c r="AB3060">
        <v>32</v>
      </c>
      <c r="AC3060">
        <v>-94.575900000000004</v>
      </c>
      <c r="AD3060">
        <v>0.37184099999999998</v>
      </c>
      <c r="AE3060">
        <v>10.485200000000001</v>
      </c>
      <c r="AF3060">
        <v>11.893346258421699</v>
      </c>
      <c r="AG3060">
        <v>0.37184099999999998</v>
      </c>
      <c r="AH3060">
        <v>94.407690732814103</v>
      </c>
      <c r="AI3060">
        <v>89.776101530278694</v>
      </c>
      <c r="AJ3060">
        <v>82.819784740117598</v>
      </c>
      <c r="AK3060">
        <v>95.154621645271007</v>
      </c>
      <c r="AL3060">
        <v>87.780252654882304</v>
      </c>
      <c r="AM3060">
        <v>88.789636345493605</v>
      </c>
      <c r="AN3060">
        <v>1.00000002708064</v>
      </c>
    </row>
    <row r="3061" spans="1:40" x14ac:dyDescent="0.25">
      <c r="A3061" t="str">
        <f>"20190312153945326"</f>
        <v>20190312153945326</v>
      </c>
      <c r="B3061" t="str">
        <f>"1552376385318777"</f>
        <v>1552376385318777</v>
      </c>
      <c r="C3061" t="s">
        <v>40</v>
      </c>
      <c r="D3061">
        <v>3.9543330000000001</v>
      </c>
      <c r="E3061">
        <v>0.53958139999999999</v>
      </c>
      <c r="F3061" t="s">
        <v>64</v>
      </c>
      <c r="G3061">
        <v>-514.49789999999996</v>
      </c>
      <c r="H3061">
        <v>1.6295580000000001</v>
      </c>
      <c r="I3061">
        <v>293.69319999999999</v>
      </c>
      <c r="J3061">
        <v>-419.88600000000002</v>
      </c>
      <c r="K3061">
        <v>1.1101829999999999</v>
      </c>
      <c r="L3061">
        <v>283.20319999999998</v>
      </c>
      <c r="M3061">
        <v>-0.99979479999999998</v>
      </c>
      <c r="N3061">
        <v>0</v>
      </c>
      <c r="O3061">
        <v>-1.490212E-2</v>
      </c>
      <c r="P3061">
        <v>-0.99965619999999999</v>
      </c>
      <c r="Q3061">
        <v>2.5474810000000001E-2</v>
      </c>
      <c r="R3061">
        <v>6.1979069999999999E-3</v>
      </c>
      <c r="S3061">
        <v>-2.9985050000000002</v>
      </c>
      <c r="T3061">
        <v>1.6407370000000001E-2</v>
      </c>
      <c r="U3061">
        <v>0.33117679999999999</v>
      </c>
      <c r="V3061">
        <v>2.1097080000000001E-2</v>
      </c>
      <c r="W3061">
        <v>3.9189139999999997E-2</v>
      </c>
      <c r="X3061">
        <v>0.99900909999999998</v>
      </c>
      <c r="Y3061">
        <v>0.124579</v>
      </c>
      <c r="Z3061">
        <v>-4.2111960000000001E-4</v>
      </c>
      <c r="AA3061">
        <v>0.99220960000000002</v>
      </c>
      <c r="AB3061">
        <v>32</v>
      </c>
      <c r="AC3061">
        <v>-94.611900000000006</v>
      </c>
      <c r="AD3061">
        <v>0.51937500000000003</v>
      </c>
      <c r="AE3061">
        <v>10.49</v>
      </c>
      <c r="AF3061">
        <v>11.8985313736612</v>
      </c>
      <c r="AG3061">
        <v>0.51937500000000003</v>
      </c>
      <c r="AH3061">
        <v>94.442242646330598</v>
      </c>
      <c r="AI3061">
        <v>89.687382416514197</v>
      </c>
      <c r="AJ3061">
        <v>82.819287684592695</v>
      </c>
      <c r="AK3061">
        <v>95.190241071808501</v>
      </c>
      <c r="AL3061">
        <v>87.754052605896007</v>
      </c>
      <c r="AM3061">
        <v>88.790207216543095</v>
      </c>
      <c r="AN3061">
        <v>1.0000000286806301</v>
      </c>
    </row>
    <row r="3062" spans="1:40" x14ac:dyDescent="0.25">
      <c r="A3062" t="str">
        <f>"20190312153945349"</f>
        <v>20190312153945349</v>
      </c>
      <c r="B3062" t="str">
        <f>"1552376385339269"</f>
        <v>1552376385339269</v>
      </c>
      <c r="C3062" t="s">
        <v>40</v>
      </c>
      <c r="D3062">
        <v>3.9627240000000001</v>
      </c>
      <c r="E3062">
        <v>0.53955850000000005</v>
      </c>
      <c r="F3062" t="s">
        <v>64</v>
      </c>
      <c r="G3062">
        <v>-522.48180000000002</v>
      </c>
      <c r="H3062">
        <v>1.6179250000000001</v>
      </c>
      <c r="I3062">
        <v>294.55</v>
      </c>
      <c r="J3062">
        <v>-420.21190000000001</v>
      </c>
      <c r="K3062">
        <v>1.1101890000000001</v>
      </c>
      <c r="L3062">
        <v>283.19839999999999</v>
      </c>
      <c r="M3062">
        <v>-0.99979479999999998</v>
      </c>
      <c r="N3062">
        <v>0</v>
      </c>
      <c r="O3062">
        <v>-1.490234E-2</v>
      </c>
      <c r="P3062">
        <v>-0.99964260000000005</v>
      </c>
      <c r="Q3062">
        <v>2.6023859999999999E-2</v>
      </c>
      <c r="R3062">
        <v>6.1203769999999998E-3</v>
      </c>
      <c r="S3062">
        <v>-2.998596</v>
      </c>
      <c r="T3062">
        <v>1.484239E-2</v>
      </c>
      <c r="U3062">
        <v>0.3316345</v>
      </c>
      <c r="V3062">
        <v>2.1019630000000001E-2</v>
      </c>
      <c r="W3062">
        <v>3.9736130000000001E-2</v>
      </c>
      <c r="X3062">
        <v>0.99898909999999996</v>
      </c>
      <c r="Y3062">
        <v>0.1247259</v>
      </c>
      <c r="Z3062">
        <v>-3.8130150000000002E-4</v>
      </c>
      <c r="AA3062">
        <v>0.99219109999999999</v>
      </c>
      <c r="AB3062">
        <v>32</v>
      </c>
      <c r="AC3062">
        <v>-102.26990000000001</v>
      </c>
      <c r="AD3062">
        <v>0.50773599999999997</v>
      </c>
      <c r="AE3062">
        <v>11.351599999999999</v>
      </c>
      <c r="AF3062">
        <v>12.874230066887799</v>
      </c>
      <c r="AG3062">
        <v>0.50773599999999997</v>
      </c>
      <c r="AH3062">
        <v>102.086874258609</v>
      </c>
      <c r="AI3062">
        <v>89.717277188070597</v>
      </c>
      <c r="AJ3062">
        <v>82.812342321613997</v>
      </c>
      <c r="AK3062">
        <v>102.896712734441</v>
      </c>
      <c r="AL3062">
        <v>87.722687898762402</v>
      </c>
      <c r="AM3062">
        <v>88.794623079031993</v>
      </c>
      <c r="AN3062">
        <v>1.0000000033957599</v>
      </c>
    </row>
    <row r="3063" spans="1:40" x14ac:dyDescent="0.25">
      <c r="A3063" t="str">
        <f>"20190312153945370"</f>
        <v>20190312153945370</v>
      </c>
      <c r="B3063" t="str">
        <f>"1552376385358790"</f>
        <v>1552376385358790</v>
      </c>
      <c r="C3063" t="s">
        <v>40</v>
      </c>
      <c r="D3063">
        <v>4.0103629999999999</v>
      </c>
      <c r="E3063">
        <v>0.53970189999999996</v>
      </c>
      <c r="F3063" t="s">
        <v>64</v>
      </c>
      <c r="G3063">
        <v>-523.00620000000004</v>
      </c>
      <c r="H3063">
        <v>1.565982</v>
      </c>
      <c r="I3063">
        <v>294.55</v>
      </c>
      <c r="J3063">
        <v>-420.52370000000002</v>
      </c>
      <c r="K3063">
        <v>1.110193</v>
      </c>
      <c r="L3063">
        <v>283.19380000000001</v>
      </c>
      <c r="M3063">
        <v>-0.99979479999999998</v>
      </c>
      <c r="N3063">
        <v>0</v>
      </c>
      <c r="O3063">
        <v>-1.4902810000000001E-2</v>
      </c>
      <c r="P3063">
        <v>-0.99964759999999997</v>
      </c>
      <c r="Q3063">
        <v>2.581468E-2</v>
      </c>
      <c r="R3063">
        <v>6.1920500000000002E-3</v>
      </c>
      <c r="S3063">
        <v>-2.998688</v>
      </c>
      <c r="T3063">
        <v>1.329875E-2</v>
      </c>
      <c r="U3063">
        <v>0.3311462</v>
      </c>
      <c r="V3063">
        <v>2.1091789999999999E-2</v>
      </c>
      <c r="W3063">
        <v>3.9525530000000003E-2</v>
      </c>
      <c r="X3063">
        <v>0.998996</v>
      </c>
      <c r="Y3063">
        <v>0.1245637</v>
      </c>
      <c r="Z3063">
        <v>-3.4128199999999999E-4</v>
      </c>
      <c r="AA3063">
        <v>0.99221150000000002</v>
      </c>
      <c r="AB3063">
        <v>32</v>
      </c>
      <c r="AC3063">
        <v>-102.4825</v>
      </c>
      <c r="AD3063">
        <v>0.455789</v>
      </c>
      <c r="AE3063">
        <v>11.356199999999999</v>
      </c>
      <c r="AF3063">
        <v>12.882107915514601</v>
      </c>
      <c r="AG3063">
        <v>0.455789</v>
      </c>
      <c r="AH3063">
        <v>102.29986268463701</v>
      </c>
      <c r="AI3063">
        <v>89.746725024276103</v>
      </c>
      <c r="AJ3063">
        <v>82.822807636908607</v>
      </c>
      <c r="AK3063">
        <v>103.10876952643299</v>
      </c>
      <c r="AL3063">
        <v>87.734764026899697</v>
      </c>
      <c r="AM3063">
        <v>88.790494621115101</v>
      </c>
      <c r="AN3063">
        <v>1.00000006957159</v>
      </c>
    </row>
    <row r="3064" spans="1:40" x14ac:dyDescent="0.25">
      <c r="A3064" t="str">
        <f>"20190312153945393"</f>
        <v>20190312153945393</v>
      </c>
      <c r="B3064" t="str">
        <f>"1552376385389046"</f>
        <v>1552376385389046</v>
      </c>
      <c r="C3064" t="s">
        <v>40</v>
      </c>
      <c r="D3064">
        <v>4.0312340000000004</v>
      </c>
      <c r="E3064">
        <v>0.53969690000000003</v>
      </c>
      <c r="F3064" t="s">
        <v>64</v>
      </c>
      <c r="G3064">
        <v>-523.00289999999995</v>
      </c>
      <c r="H3064">
        <v>1.4493499999999999</v>
      </c>
      <c r="I3064">
        <v>294.55</v>
      </c>
      <c r="J3064">
        <v>-420.84910000000002</v>
      </c>
      <c r="K3064">
        <v>1.1101909999999999</v>
      </c>
      <c r="L3064">
        <v>283.18889999999999</v>
      </c>
      <c r="M3064">
        <v>-0.99979490000000004</v>
      </c>
      <c r="N3064">
        <v>0</v>
      </c>
      <c r="O3064">
        <v>-1.490316E-2</v>
      </c>
      <c r="P3064">
        <v>-0.99965199999999999</v>
      </c>
      <c r="Q3064">
        <v>2.5664849999999999E-2</v>
      </c>
      <c r="R3064">
        <v>6.1341140000000004E-3</v>
      </c>
      <c r="S3064">
        <v>-2.9987490000000001</v>
      </c>
      <c r="T3064">
        <v>9.9269149999999997E-3</v>
      </c>
      <c r="U3064">
        <v>0.33230589999999999</v>
      </c>
      <c r="V3064">
        <v>2.1034400000000002E-2</v>
      </c>
      <c r="W3064">
        <v>3.9373539999999999E-2</v>
      </c>
      <c r="X3064">
        <v>0.99900319999999998</v>
      </c>
      <c r="Y3064">
        <v>0.1249416</v>
      </c>
      <c r="Z3064">
        <v>-2.5536610000000001E-4</v>
      </c>
      <c r="AA3064">
        <v>0.99216409999999999</v>
      </c>
      <c r="AB3064">
        <v>32</v>
      </c>
      <c r="AC3064">
        <v>-102.15379999999899</v>
      </c>
      <c r="AD3064">
        <v>0.33915899999999999</v>
      </c>
      <c r="AE3064">
        <v>11.3611</v>
      </c>
      <c r="AF3064">
        <v>12.882255347331199</v>
      </c>
      <c r="AG3064">
        <v>0.33915899999999999</v>
      </c>
      <c r="AH3064">
        <v>101.972010330869</v>
      </c>
      <c r="AI3064">
        <v>89.810937584177395</v>
      </c>
      <c r="AJ3064">
        <v>82.799892341215497</v>
      </c>
      <c r="AK3064">
        <v>102.78306486274801</v>
      </c>
      <c r="AL3064">
        <v>87.743479169053401</v>
      </c>
      <c r="AM3064">
        <v>88.793793358845804</v>
      </c>
      <c r="AN3064">
        <v>1.00000005762286</v>
      </c>
    </row>
    <row r="3065" spans="1:40" x14ac:dyDescent="0.25">
      <c r="A3065" t="str">
        <f>"20190312153945415"</f>
        <v>20190312153945415</v>
      </c>
      <c r="B3065" t="str">
        <f>"1552376385408566"</f>
        <v>1552376385408566</v>
      </c>
      <c r="C3065" t="s">
        <v>40</v>
      </c>
      <c r="D3065">
        <v>4.0387529999999998</v>
      </c>
      <c r="E3065">
        <v>0.53966219999999998</v>
      </c>
      <c r="F3065" t="s">
        <v>64</v>
      </c>
      <c r="G3065">
        <v>-523.40890000000002</v>
      </c>
      <c r="H3065">
        <v>1.484294</v>
      </c>
      <c r="I3065">
        <v>294.55</v>
      </c>
      <c r="J3065">
        <v>-421.1678</v>
      </c>
      <c r="K3065">
        <v>1.110188</v>
      </c>
      <c r="L3065">
        <v>283.1841</v>
      </c>
      <c r="M3065">
        <v>-0.99979479999999998</v>
      </c>
      <c r="N3065">
        <v>0</v>
      </c>
      <c r="O3065">
        <v>-1.49035E-2</v>
      </c>
      <c r="P3065">
        <v>-0.99966960000000005</v>
      </c>
      <c r="Q3065">
        <v>2.4889250000000002E-2</v>
      </c>
      <c r="R3065">
        <v>6.4356219999999898E-3</v>
      </c>
      <c r="S3065">
        <v>-2.9987180000000002</v>
      </c>
      <c r="T3065">
        <v>1.0940790000000001E-2</v>
      </c>
      <c r="U3065">
        <v>0.33218379999999997</v>
      </c>
      <c r="V3065">
        <v>2.133639E-2</v>
      </c>
      <c r="W3065">
        <v>3.859688E-2</v>
      </c>
      <c r="X3065">
        <v>0.99902709999999995</v>
      </c>
      <c r="Y3065">
        <v>0.1249029</v>
      </c>
      <c r="Z3065">
        <v>-2.81382E-4</v>
      </c>
      <c r="AA3065">
        <v>0.99216890000000002</v>
      </c>
      <c r="AB3065">
        <v>32</v>
      </c>
      <c r="AC3065">
        <v>-102.2411</v>
      </c>
      <c r="AD3065">
        <v>0.37410599999999999</v>
      </c>
      <c r="AE3065">
        <v>11.3659</v>
      </c>
      <c r="AF3065">
        <v>12.888360648013499</v>
      </c>
      <c r="AG3065">
        <v>0.37410599999999999</v>
      </c>
      <c r="AH3065">
        <v>102.058985232957</v>
      </c>
      <c r="AI3065">
        <v>89.791633205545494</v>
      </c>
      <c r="AJ3065">
        <v>82.802590245283497</v>
      </c>
      <c r="AK3065">
        <v>102.87023992522499</v>
      </c>
      <c r="AL3065">
        <v>87.788012353524095</v>
      </c>
      <c r="AM3065">
        <v>88.776510389216199</v>
      </c>
      <c r="AN3065">
        <v>1.00000005360918</v>
      </c>
    </row>
    <row r="3066" spans="1:40" x14ac:dyDescent="0.25">
      <c r="A3066" t="str">
        <f>"20190312153945437"</f>
        <v>20190312153945437</v>
      </c>
      <c r="B3066" t="str">
        <f>"1552376385429063"</f>
        <v>1552376385429063</v>
      </c>
      <c r="C3066" t="s">
        <v>40</v>
      </c>
      <c r="D3066">
        <v>4.0267809999999997</v>
      </c>
      <c r="E3066">
        <v>0.53971759999999902</v>
      </c>
      <c r="F3066" t="s">
        <v>64</v>
      </c>
      <c r="G3066">
        <v>-523.50220000000002</v>
      </c>
      <c r="H3066">
        <v>1.4742440000000001</v>
      </c>
      <c r="I3066">
        <v>294.55</v>
      </c>
      <c r="J3066">
        <v>-421.48349999999999</v>
      </c>
      <c r="K3066">
        <v>1.1101939999999999</v>
      </c>
      <c r="L3066">
        <v>283.17939999999999</v>
      </c>
      <c r="M3066">
        <v>-0.99979479999999998</v>
      </c>
      <c r="N3066">
        <v>0</v>
      </c>
      <c r="O3066">
        <v>-1.4903970000000001E-2</v>
      </c>
      <c r="P3066">
        <v>-0.99968080000000004</v>
      </c>
      <c r="Q3066">
        <v>2.4433050000000001E-2</v>
      </c>
      <c r="R3066">
        <v>6.438984E-3</v>
      </c>
      <c r="S3066">
        <v>-2.9985659999999998</v>
      </c>
      <c r="T3066">
        <v>1.0669949999999999E-2</v>
      </c>
      <c r="U3066">
        <v>0.33303829999999901</v>
      </c>
      <c r="V3066">
        <v>2.1340379999999999E-2</v>
      </c>
      <c r="W3066">
        <v>3.8138980000000003E-2</v>
      </c>
      <c r="X3066">
        <v>0.9990445</v>
      </c>
      <c r="Y3066">
        <v>0.1251883</v>
      </c>
      <c r="Z3066">
        <v>-2.7493379999999999E-4</v>
      </c>
      <c r="AA3066">
        <v>0.99213300000000004</v>
      </c>
      <c r="AB3066">
        <v>32</v>
      </c>
      <c r="AC3066">
        <v>-102.0187</v>
      </c>
      <c r="AD3066">
        <v>0.36404999999999998</v>
      </c>
      <c r="AE3066">
        <v>11.3706</v>
      </c>
      <c r="AF3066">
        <v>12.889801466500799</v>
      </c>
      <c r="AG3066">
        <v>0.36404999999999998</v>
      </c>
      <c r="AH3066">
        <v>101.836602714348</v>
      </c>
      <c r="AI3066">
        <v>89.796798625552995</v>
      </c>
      <c r="AJ3066">
        <v>82.786240622827506</v>
      </c>
      <c r="AK3066">
        <v>102.649759700879</v>
      </c>
      <c r="AL3066">
        <v>87.814267202558298</v>
      </c>
      <c r="AM3066">
        <v>88.776302967356699</v>
      </c>
      <c r="AN3066">
        <v>0.999999953297116</v>
      </c>
    </row>
    <row r="3067" spans="1:40" x14ac:dyDescent="0.25">
      <c r="A3067" t="str">
        <f>"20190312153945460"</f>
        <v>20190312153945460</v>
      </c>
      <c r="B3067" t="str">
        <f>"1552376385448582"</f>
        <v>1552376385448582</v>
      </c>
      <c r="C3067" t="s">
        <v>40</v>
      </c>
      <c r="D3067">
        <v>4.041747</v>
      </c>
      <c r="E3067">
        <v>0.53972330000000002</v>
      </c>
      <c r="F3067" t="s">
        <v>64</v>
      </c>
      <c r="G3067">
        <v>-523.7269</v>
      </c>
      <c r="H3067">
        <v>1.477719</v>
      </c>
      <c r="I3067">
        <v>294.55</v>
      </c>
      <c r="J3067">
        <v>-421.80239999999998</v>
      </c>
      <c r="K3067">
        <v>1.1101939999999999</v>
      </c>
      <c r="L3067">
        <v>283.17469999999997</v>
      </c>
      <c r="M3067">
        <v>-0.99979499999999999</v>
      </c>
      <c r="N3067">
        <v>0</v>
      </c>
      <c r="O3067">
        <v>-1.490431E-2</v>
      </c>
      <c r="P3067">
        <v>-0.9996855</v>
      </c>
      <c r="Q3067">
        <v>2.4277420000000001E-2</v>
      </c>
      <c r="R3067">
        <v>6.2995589999999997E-3</v>
      </c>
      <c r="S3067">
        <v>-2.9985050000000002</v>
      </c>
      <c r="T3067">
        <v>1.0780929999999999E-2</v>
      </c>
      <c r="U3067">
        <v>0.33346559999999997</v>
      </c>
      <c r="V3067">
        <v>2.1201310000000001E-2</v>
      </c>
      <c r="W3067">
        <v>3.7981260000000003E-2</v>
      </c>
      <c r="X3067">
        <v>0.99905350000000004</v>
      </c>
      <c r="Y3067">
        <v>0.12533050000000001</v>
      </c>
      <c r="Z3067">
        <v>-2.78053E-4</v>
      </c>
      <c r="AA3067">
        <v>0.99211499999999997</v>
      </c>
      <c r="AB3067">
        <v>32</v>
      </c>
      <c r="AC3067">
        <v>-101.92449999999999</v>
      </c>
      <c r="AD3067">
        <v>0.36752499999999899</v>
      </c>
      <c r="AE3067">
        <v>11.375299999999999</v>
      </c>
      <c r="AF3067">
        <v>12.8931276944651</v>
      </c>
      <c r="AG3067">
        <v>0.36752499999999899</v>
      </c>
      <c r="AH3067">
        <v>101.742313048931</v>
      </c>
      <c r="AI3067">
        <v>89.794672731448799</v>
      </c>
      <c r="AJ3067">
        <v>82.777782241397901</v>
      </c>
      <c r="AK3067">
        <v>102.556648155632</v>
      </c>
      <c r="AL3067">
        <v>87.823310511945706</v>
      </c>
      <c r="AM3067">
        <v>88.784286046943905</v>
      </c>
      <c r="AN3067">
        <v>0.99999998375957599</v>
      </c>
    </row>
    <row r="3068" spans="1:40" x14ac:dyDescent="0.25">
      <c r="A3068" t="str">
        <f>"20190312153945482"</f>
        <v>20190312153945482</v>
      </c>
      <c r="B3068" t="str">
        <f>"1552376385478841"</f>
        <v>1552376385478841</v>
      </c>
      <c r="C3068" t="s">
        <v>40</v>
      </c>
      <c r="D3068">
        <v>4.034853</v>
      </c>
      <c r="E3068">
        <v>0.53972209999999998</v>
      </c>
      <c r="F3068" t="s">
        <v>64</v>
      </c>
      <c r="G3068">
        <v>-524.18430000000001</v>
      </c>
      <c r="H3068">
        <v>1.505663</v>
      </c>
      <c r="I3068">
        <v>294.55</v>
      </c>
      <c r="J3068">
        <v>-422.12389999999999</v>
      </c>
      <c r="K3068">
        <v>1.1101920000000001</v>
      </c>
      <c r="L3068">
        <v>283.16989999999998</v>
      </c>
      <c r="M3068">
        <v>-0.99979490000000004</v>
      </c>
      <c r="N3068">
        <v>0</v>
      </c>
      <c r="O3068">
        <v>-1.490442E-2</v>
      </c>
      <c r="P3068">
        <v>-0.99969439999999998</v>
      </c>
      <c r="Q3068">
        <v>2.4032939999999999E-2</v>
      </c>
      <c r="R3068">
        <v>5.7884049999999999E-3</v>
      </c>
      <c r="S3068">
        <v>-2.9985659999999998</v>
      </c>
      <c r="T3068">
        <v>1.1585E-2</v>
      </c>
      <c r="U3068">
        <v>0.33316040000000002</v>
      </c>
      <c r="V3068">
        <v>2.0690440000000001E-2</v>
      </c>
      <c r="W3068">
        <v>3.7735390000000001E-2</v>
      </c>
      <c r="X3068">
        <v>0.99907360000000001</v>
      </c>
      <c r="Y3068">
        <v>0.12522849999999999</v>
      </c>
      <c r="Z3068">
        <v>-2.9859029999999999E-4</v>
      </c>
      <c r="AA3068">
        <v>0.99212789999999995</v>
      </c>
      <c r="AB3068">
        <v>32</v>
      </c>
      <c r="AC3068">
        <v>-102.0604</v>
      </c>
      <c r="AD3068">
        <v>0.39547099999999902</v>
      </c>
      <c r="AE3068">
        <v>11.380100000000001</v>
      </c>
      <c r="AF3068">
        <v>12.899938472848699</v>
      </c>
      <c r="AG3068">
        <v>0.39547099999999902</v>
      </c>
      <c r="AH3068">
        <v>101.877920688936</v>
      </c>
      <c r="AI3068">
        <v>89.779351415627204</v>
      </c>
      <c r="AJ3068">
        <v>82.783524335895805</v>
      </c>
      <c r="AK3068">
        <v>102.692139591189</v>
      </c>
      <c r="AL3068">
        <v>87.837408088223398</v>
      </c>
      <c r="AM3068">
        <v>88.813595461850099</v>
      </c>
      <c r="AN3068">
        <v>1.0000000560914</v>
      </c>
    </row>
    <row r="3069" spans="1:40" x14ac:dyDescent="0.25">
      <c r="A3069" t="str">
        <f>"20190312153945505"</f>
        <v>20190312153945505</v>
      </c>
      <c r="B3069" t="str">
        <f>"1552376385499335"</f>
        <v>1552376385499335</v>
      </c>
      <c r="C3069" t="s">
        <v>40</v>
      </c>
      <c r="D3069">
        <v>3.9849730000000001</v>
      </c>
      <c r="E3069">
        <v>0.53991149999999999</v>
      </c>
      <c r="F3069" t="s">
        <v>64</v>
      </c>
      <c r="G3069">
        <v>-524.95830000000001</v>
      </c>
      <c r="H3069">
        <v>1.560308</v>
      </c>
      <c r="I3069">
        <v>294.55</v>
      </c>
      <c r="J3069">
        <v>-422.44819999999999</v>
      </c>
      <c r="K3069">
        <v>1.110196</v>
      </c>
      <c r="L3069">
        <v>283.1651</v>
      </c>
      <c r="M3069">
        <v>-0.99979499999999999</v>
      </c>
      <c r="N3069">
        <v>0</v>
      </c>
      <c r="O3069">
        <v>-1.490476E-2</v>
      </c>
      <c r="P3069">
        <v>-0.99969629999999998</v>
      </c>
      <c r="Q3069">
        <v>2.4025049999999999E-2</v>
      </c>
      <c r="R3069">
        <v>5.5018910000000001E-3</v>
      </c>
      <c r="S3069">
        <v>-2.998688</v>
      </c>
      <c r="T3069">
        <v>1.3128040000000001E-2</v>
      </c>
      <c r="U3069">
        <v>0.33184809999999998</v>
      </c>
      <c r="V3069">
        <v>2.0404289999999999E-2</v>
      </c>
      <c r="W3069">
        <v>3.772586E-2</v>
      </c>
      <c r="X3069">
        <v>0.99907979999999996</v>
      </c>
      <c r="Y3069">
        <v>0.1247952</v>
      </c>
      <c r="Z3069">
        <v>-3.3741039999999998E-4</v>
      </c>
      <c r="AA3069">
        <v>0.99218249999999997</v>
      </c>
      <c r="AB3069">
        <v>32</v>
      </c>
      <c r="AC3069">
        <v>-102.51009999999999</v>
      </c>
      <c r="AD3069">
        <v>0.45011200000000001</v>
      </c>
      <c r="AE3069">
        <v>11.3849</v>
      </c>
      <c r="AF3069">
        <v>12.911421135844099</v>
      </c>
      <c r="AG3069">
        <v>0.45011200000000001</v>
      </c>
      <c r="AH3069">
        <v>102.327056853127</v>
      </c>
      <c r="AI3069">
        <v>89.7499539260467</v>
      </c>
      <c r="AJ3069">
        <v>82.808538498808801</v>
      </c>
      <c r="AK3069">
        <v>103.139390926953</v>
      </c>
      <c r="AL3069">
        <v>87.837954408872505</v>
      </c>
      <c r="AM3069">
        <v>88.830006172009206</v>
      </c>
      <c r="AN3069">
        <v>1.00000001116559</v>
      </c>
    </row>
    <row r="3070" spans="1:40" x14ac:dyDescent="0.25">
      <c r="A3070" t="str">
        <f>"20190312153945526"</f>
        <v>20190312153945526</v>
      </c>
      <c r="B3070" t="str">
        <f>"1552376385518854"</f>
        <v>1552376385518854</v>
      </c>
      <c r="C3070" t="s">
        <v>40</v>
      </c>
      <c r="D3070">
        <v>3.9921709999999999</v>
      </c>
      <c r="E3070">
        <v>0.54010709999999995</v>
      </c>
      <c r="F3070" t="s">
        <v>64</v>
      </c>
      <c r="G3070">
        <v>-525.12980000000005</v>
      </c>
      <c r="H3070">
        <v>1.6056859999999999</v>
      </c>
      <c r="I3070">
        <v>294.55</v>
      </c>
      <c r="J3070">
        <v>-422.75959999999998</v>
      </c>
      <c r="K3070">
        <v>1.1102030000000001</v>
      </c>
      <c r="L3070">
        <v>283.16050000000001</v>
      </c>
      <c r="M3070">
        <v>-0.99979499999999999</v>
      </c>
      <c r="N3070">
        <v>0</v>
      </c>
      <c r="O3070">
        <v>-1.4905109999999999E-2</v>
      </c>
      <c r="P3070">
        <v>-0.99969509999999995</v>
      </c>
      <c r="Q3070">
        <v>2.4213430000000001E-2</v>
      </c>
      <c r="R3070">
        <v>4.882501E-3</v>
      </c>
      <c r="S3070">
        <v>-2.9987490000000001</v>
      </c>
      <c r="T3070">
        <v>1.447296E-2</v>
      </c>
      <c r="U3070">
        <v>0.33248899999999998</v>
      </c>
      <c r="V3070">
        <v>1.9785339999999998E-2</v>
      </c>
      <c r="W3070">
        <v>3.7912170000000002E-2</v>
      </c>
      <c r="X3070">
        <v>0.99908520000000001</v>
      </c>
      <c r="Y3070">
        <v>0.12500249999999999</v>
      </c>
      <c r="Z3070">
        <v>-3.7246510000000003E-4</v>
      </c>
      <c r="AA3070">
        <v>0.99215640000000005</v>
      </c>
      <c r="AB3070">
        <v>32</v>
      </c>
      <c r="AC3070">
        <v>-102.3702</v>
      </c>
      <c r="AD3070">
        <v>0.49548300000000001</v>
      </c>
      <c r="AE3070">
        <v>11.3894999999999</v>
      </c>
      <c r="AF3070">
        <v>12.9139180872077</v>
      </c>
      <c r="AG3070">
        <v>0.49548300000000001</v>
      </c>
      <c r="AH3070">
        <v>102.1866835168</v>
      </c>
      <c r="AI3070">
        <v>89.724378483815897</v>
      </c>
      <c r="AJ3070">
        <v>82.797385232880899</v>
      </c>
      <c r="AK3070">
        <v>103.000645978213</v>
      </c>
      <c r="AL3070">
        <v>87.827271997583196</v>
      </c>
      <c r="AM3070">
        <v>88.865493833390104</v>
      </c>
      <c r="AN3070">
        <v>1.0000000145860299</v>
      </c>
    </row>
    <row r="3071" spans="1:40" x14ac:dyDescent="0.25">
      <c r="A3071" t="str">
        <f>"20190312153945550"</f>
        <v>20190312153945550</v>
      </c>
      <c r="B3071" t="str">
        <f>"1552376385539349"</f>
        <v>1552376385539349</v>
      </c>
      <c r="C3071" t="s">
        <v>40</v>
      </c>
      <c r="D3071">
        <v>4.0105180000000002</v>
      </c>
      <c r="E3071">
        <v>0.54027969999999903</v>
      </c>
      <c r="F3071" t="s">
        <v>64</v>
      </c>
      <c r="G3071">
        <v>-525.60350000000005</v>
      </c>
      <c r="H3071">
        <v>1.6280429999999999</v>
      </c>
      <c r="I3071">
        <v>294.55</v>
      </c>
      <c r="J3071">
        <v>-423.08139999999997</v>
      </c>
      <c r="K3071">
        <v>1.1102080000000001</v>
      </c>
      <c r="L3071">
        <v>283.15559999999999</v>
      </c>
      <c r="M3071">
        <v>-0.99979499999999999</v>
      </c>
      <c r="N3071">
        <v>0</v>
      </c>
      <c r="O3071">
        <v>-1.4905450000000001E-2</v>
      </c>
      <c r="P3071">
        <v>-0.99969260000000004</v>
      </c>
      <c r="Q3071">
        <v>2.441809E-2</v>
      </c>
      <c r="R3071">
        <v>4.3490040000000001E-3</v>
      </c>
      <c r="S3071">
        <v>-2.9989620000000001</v>
      </c>
      <c r="T3071">
        <v>1.5102859999999999E-2</v>
      </c>
      <c r="U3071">
        <v>0.3321228</v>
      </c>
      <c r="V3071">
        <v>1.9252370000000001E-2</v>
      </c>
      <c r="W3071">
        <v>3.811515E-2</v>
      </c>
      <c r="X3071">
        <v>0.99908790000000003</v>
      </c>
      <c r="Y3071">
        <v>0.12487529999999999</v>
      </c>
      <c r="Z3071">
        <v>-3.8833299999999998E-4</v>
      </c>
      <c r="AA3071">
        <v>0.99217239999999995</v>
      </c>
      <c r="AB3071">
        <v>32</v>
      </c>
      <c r="AC3071">
        <v>-102.52209999999999</v>
      </c>
      <c r="AD3071">
        <v>0.51783500000000005</v>
      </c>
      <c r="AE3071">
        <v>11.394399999999999</v>
      </c>
      <c r="AF3071">
        <v>12.9210898447079</v>
      </c>
      <c r="AG3071">
        <v>0.51783500000000005</v>
      </c>
      <c r="AH3071">
        <v>102.338274810028</v>
      </c>
      <c r="AI3071">
        <v>89.7123674720754</v>
      </c>
      <c r="AJ3071">
        <v>82.803990238738393</v>
      </c>
      <c r="AK3071">
        <v>103.152048971192</v>
      </c>
      <c r="AL3071">
        <v>87.815633711592696</v>
      </c>
      <c r="AM3071">
        <v>88.896050046022793</v>
      </c>
      <c r="AN3071">
        <v>1.0000000251682699</v>
      </c>
    </row>
    <row r="3072" spans="1:40" x14ac:dyDescent="0.25">
      <c r="A3072" t="str">
        <f>"20190312153945572"</f>
        <v>20190312153945572</v>
      </c>
      <c r="B3072" t="str">
        <f>"1552376385568630"</f>
        <v>1552376385568630</v>
      </c>
      <c r="C3072" t="s">
        <v>40</v>
      </c>
      <c r="D3072">
        <v>4.0026659999999996</v>
      </c>
      <c r="E3072">
        <v>0.5404793</v>
      </c>
      <c r="F3072" t="s">
        <v>64</v>
      </c>
      <c r="G3072">
        <v>-526.04870000000005</v>
      </c>
      <c r="H3072">
        <v>1.6506719999999999</v>
      </c>
      <c r="I3072">
        <v>294.55</v>
      </c>
      <c r="J3072">
        <v>-423.40050000000002</v>
      </c>
      <c r="K3072">
        <v>1.110214</v>
      </c>
      <c r="L3072">
        <v>283.15089999999998</v>
      </c>
      <c r="M3072">
        <v>-0.99979499999999999</v>
      </c>
      <c r="N3072">
        <v>0</v>
      </c>
      <c r="O3072">
        <v>-1.490556E-2</v>
      </c>
      <c r="P3072">
        <v>-0.99969269999999999</v>
      </c>
      <c r="Q3072">
        <v>2.4476009999999999E-2</v>
      </c>
      <c r="R3072">
        <v>3.9252879999999999E-3</v>
      </c>
      <c r="S3072">
        <v>-2.9990839999999999</v>
      </c>
      <c r="T3072">
        <v>1.5744330000000001E-2</v>
      </c>
      <c r="U3072">
        <v>0.33187870000000003</v>
      </c>
      <c r="V3072">
        <v>1.8828749999999998E-2</v>
      </c>
      <c r="W3072">
        <v>3.8171379999999998E-2</v>
      </c>
      <c r="X3072">
        <v>0.99909380000000003</v>
      </c>
      <c r="Y3072">
        <v>0.124791</v>
      </c>
      <c r="Z3072">
        <v>-4.0459200000000001E-4</v>
      </c>
      <c r="AA3072">
        <v>0.99218300000000004</v>
      </c>
      <c r="AB3072">
        <v>32</v>
      </c>
      <c r="AC3072">
        <v>-102.6482</v>
      </c>
      <c r="AD3072">
        <v>0.54045799999999999</v>
      </c>
      <c r="AE3072">
        <v>11.399100000000001</v>
      </c>
      <c r="AF3072">
        <v>12.927651958654399</v>
      </c>
      <c r="AG3072">
        <v>0.54045799999999999</v>
      </c>
      <c r="AH3072">
        <v>102.46406244719</v>
      </c>
      <c r="AI3072">
        <v>89.700166841625503</v>
      </c>
      <c r="AJ3072">
        <v>82.809119885445</v>
      </c>
      <c r="AK3072">
        <v>103.27778257299801</v>
      </c>
      <c r="AL3072">
        <v>87.812409565695603</v>
      </c>
      <c r="AM3072">
        <v>88.920341396011594</v>
      </c>
      <c r="AN3072">
        <v>0.999999998638053</v>
      </c>
    </row>
    <row r="3073" spans="1:40" x14ac:dyDescent="0.25">
      <c r="A3073" t="str">
        <f>"20190312153945594"</f>
        <v>20190312153945594</v>
      </c>
      <c r="B3073" t="str">
        <f>"1552376385589126"</f>
        <v>1552376385589126</v>
      </c>
      <c r="C3073" t="s">
        <v>40</v>
      </c>
      <c r="D3073">
        <v>3.9911409999999998</v>
      </c>
      <c r="E3073">
        <v>0.54488289999999995</v>
      </c>
      <c r="F3073" t="s">
        <v>64</v>
      </c>
      <c r="G3073">
        <v>-526.27199999999903</v>
      </c>
      <c r="H3073">
        <v>1.6677729999999999</v>
      </c>
      <c r="I3073">
        <v>294.55</v>
      </c>
      <c r="J3073">
        <v>-423.71769999999998</v>
      </c>
      <c r="K3073">
        <v>1.1102190000000001</v>
      </c>
      <c r="L3073">
        <v>283.14609999999999</v>
      </c>
      <c r="M3073">
        <v>-0.99979510000000005</v>
      </c>
      <c r="N3073">
        <v>0</v>
      </c>
      <c r="O3073">
        <v>-1.490579E-2</v>
      </c>
      <c r="P3073">
        <v>-0.99968190000000001</v>
      </c>
      <c r="Q3073">
        <v>2.4922119999999999E-2</v>
      </c>
      <c r="R3073">
        <v>3.855345E-3</v>
      </c>
      <c r="S3073">
        <v>-2.9991759999999998</v>
      </c>
      <c r="T3073">
        <v>1.6257879999999999E-2</v>
      </c>
      <c r="U3073">
        <v>0.33233639999999998</v>
      </c>
      <c r="V3073">
        <v>1.8758759999999999E-2</v>
      </c>
      <c r="W3073">
        <v>3.8615469999999999E-2</v>
      </c>
      <c r="X3073">
        <v>0.99907800000000002</v>
      </c>
      <c r="Y3073">
        <v>0.1249374</v>
      </c>
      <c r="Z3073">
        <v>-4.181694E-4</v>
      </c>
      <c r="AA3073">
        <v>0.99216459999999995</v>
      </c>
      <c r="AB3073">
        <v>32</v>
      </c>
      <c r="AC3073">
        <v>-102.554299999999</v>
      </c>
      <c r="AD3073">
        <v>0.55755399999999899</v>
      </c>
      <c r="AE3073">
        <v>11.4039</v>
      </c>
      <c r="AF3073">
        <v>12.931051526581401</v>
      </c>
      <c r="AG3073">
        <v>0.55755399999999899</v>
      </c>
      <c r="AH3073">
        <v>102.369915426449</v>
      </c>
      <c r="AI3073">
        <v>89.690403847156801</v>
      </c>
      <c r="AJ3073">
        <v>82.800703095258697</v>
      </c>
      <c r="AK3073">
        <v>103.18489494332201</v>
      </c>
      <c r="AL3073">
        <v>87.786946196213606</v>
      </c>
      <c r="AM3073">
        <v>88.924336738242701</v>
      </c>
      <c r="AN3073">
        <v>0.99999994784202795</v>
      </c>
    </row>
    <row r="3074" spans="1:40" x14ac:dyDescent="0.25">
      <c r="A3074" t="str">
        <f>"20190312153945616"</f>
        <v>20190312153945616</v>
      </c>
      <c r="B3074" t="str">
        <f>"1552376385608650"</f>
        <v>1552376385608650</v>
      </c>
      <c r="C3074" t="s">
        <v>40</v>
      </c>
      <c r="D3074">
        <v>3.9691589999999999</v>
      </c>
      <c r="E3074">
        <v>0.54473349999999998</v>
      </c>
      <c r="F3074" t="s">
        <v>64</v>
      </c>
      <c r="G3074">
        <v>-510.95429999999999</v>
      </c>
      <c r="H3074">
        <v>1.9719169999999999</v>
      </c>
      <c r="I3074">
        <v>293.84379999999999</v>
      </c>
      <c r="J3074">
        <v>-424.03089999999997</v>
      </c>
      <c r="K3074">
        <v>1.110223</v>
      </c>
      <c r="L3074">
        <v>283.14139999999998</v>
      </c>
      <c r="M3074">
        <v>-0.99979510000000005</v>
      </c>
      <c r="N3074">
        <v>0</v>
      </c>
      <c r="O3074">
        <v>-1.490613E-2</v>
      </c>
      <c r="P3074">
        <v>-0.9996507</v>
      </c>
      <c r="Q3074">
        <v>2.605625E-2</v>
      </c>
      <c r="R3074">
        <v>4.4310690000000002E-3</v>
      </c>
      <c r="S3074">
        <v>-2.9988100000000002</v>
      </c>
      <c r="T3074">
        <v>2.9624339999999999E-2</v>
      </c>
      <c r="U3074">
        <v>0.36773679999999997</v>
      </c>
      <c r="V3074">
        <v>1.933433E-2</v>
      </c>
      <c r="W3074">
        <v>3.9747560000000001E-2</v>
      </c>
      <c r="X3074">
        <v>0.99902270000000004</v>
      </c>
      <c r="Y3074">
        <v>0.13649169999999999</v>
      </c>
      <c r="Z3074">
        <v>-8.1839209999999996E-4</v>
      </c>
      <c r="AA3074">
        <v>0.99064090000000005</v>
      </c>
      <c r="AB3074">
        <v>32</v>
      </c>
      <c r="AC3074">
        <v>-86.923400000000001</v>
      </c>
      <c r="AD3074">
        <v>0.86169399999999996</v>
      </c>
      <c r="AE3074">
        <v>10.702400000000001</v>
      </c>
      <c r="AF3074">
        <v>11.995862483094401</v>
      </c>
      <c r="AG3074">
        <v>0.86169399999999996</v>
      </c>
      <c r="AH3074">
        <v>86.745797011254794</v>
      </c>
      <c r="AI3074">
        <v>89.436232744403696</v>
      </c>
      <c r="AJ3074">
        <v>82.126643011690703</v>
      </c>
      <c r="AK3074">
        <v>87.575547571115806</v>
      </c>
      <c r="AL3074">
        <v>87.722032528015205</v>
      </c>
      <c r="AM3074">
        <v>88.891279212440693</v>
      </c>
      <c r="AN3074">
        <v>1.0000000199788901</v>
      </c>
    </row>
    <row r="3075" spans="1:40" x14ac:dyDescent="0.25">
      <c r="A3075" t="str">
        <f>"20190312153945638"</f>
        <v>20190312153945638</v>
      </c>
      <c r="B3075" t="str">
        <f>"1552376385629142"</f>
        <v>1552376385629142</v>
      </c>
      <c r="C3075" t="s">
        <v>40</v>
      </c>
      <c r="D3075">
        <v>3.9615619999999998</v>
      </c>
      <c r="E3075">
        <v>0.54490539999999998</v>
      </c>
      <c r="F3075" t="s">
        <v>64</v>
      </c>
      <c r="G3075">
        <v>-510.95429999999999</v>
      </c>
      <c r="H3075">
        <v>2.1105480000000001</v>
      </c>
      <c r="I3075">
        <v>293.8177</v>
      </c>
      <c r="J3075">
        <v>-424.34440000000001</v>
      </c>
      <c r="K3075">
        <v>1.1102339999999999</v>
      </c>
      <c r="L3075">
        <v>283.13679999999999</v>
      </c>
      <c r="M3075">
        <v>-0.99979510000000005</v>
      </c>
      <c r="N3075">
        <v>0</v>
      </c>
      <c r="O3075">
        <v>-1.4906600000000001E-2</v>
      </c>
      <c r="P3075">
        <v>-0.9996486</v>
      </c>
      <c r="Q3075">
        <v>2.6090470000000001E-2</v>
      </c>
      <c r="R3075">
        <v>4.7121109999999997E-3</v>
      </c>
      <c r="S3075">
        <v>-2.9985050000000002</v>
      </c>
      <c r="T3075">
        <v>3.4510140000000002E-2</v>
      </c>
      <c r="U3075">
        <v>0.36828610000000001</v>
      </c>
      <c r="V3075">
        <v>1.961591E-2</v>
      </c>
      <c r="W3075">
        <v>3.9779479999999999E-2</v>
      </c>
      <c r="X3075">
        <v>0.99901589999999996</v>
      </c>
      <c r="Y3075">
        <v>0.13668050000000001</v>
      </c>
      <c r="Z3075">
        <v>-9.5453059999999997E-4</v>
      </c>
      <c r="AA3075">
        <v>0.99061469999999896</v>
      </c>
      <c r="AB3075">
        <v>32</v>
      </c>
      <c r="AC3075">
        <v>-86.609899999999897</v>
      </c>
      <c r="AD3075">
        <v>1.0003139999999999</v>
      </c>
      <c r="AE3075">
        <v>10.680899999999999</v>
      </c>
      <c r="AF3075">
        <v>11.969320527835</v>
      </c>
      <c r="AG3075">
        <v>1.0003139999999999</v>
      </c>
      <c r="AH3075">
        <v>86.429687648929601</v>
      </c>
      <c r="AI3075">
        <v>89.343171636883397</v>
      </c>
      <c r="AJ3075">
        <v>82.115473278303796</v>
      </c>
      <c r="AK3075">
        <v>87.260278300542794</v>
      </c>
      <c r="AL3075">
        <v>87.720202107328205</v>
      </c>
      <c r="AM3075">
        <v>88.875128564472206</v>
      </c>
      <c r="AN3075">
        <v>0.99999997970350396</v>
      </c>
    </row>
    <row r="3076" spans="1:40" x14ac:dyDescent="0.25">
      <c r="A3076" t="str">
        <f>"20190312153945662"</f>
        <v>20190312153945662</v>
      </c>
      <c r="B3076" t="str">
        <f>"1552376385648662"</f>
        <v>1552376385648662</v>
      </c>
      <c r="C3076" t="s">
        <v>40</v>
      </c>
      <c r="D3076">
        <v>3.9513370000000001</v>
      </c>
      <c r="E3076">
        <v>0.54514830000000003</v>
      </c>
      <c r="F3076" t="s">
        <v>64</v>
      </c>
      <c r="G3076">
        <v>-510.95429999999999</v>
      </c>
      <c r="H3076">
        <v>2.1297220000000001</v>
      </c>
      <c r="I3076">
        <v>293.84620000000001</v>
      </c>
      <c r="J3076">
        <v>-424.66640000000001</v>
      </c>
      <c r="K3076">
        <v>1.110233</v>
      </c>
      <c r="L3076">
        <v>283.13200000000001</v>
      </c>
      <c r="M3076">
        <v>-0.99979510000000005</v>
      </c>
      <c r="N3076">
        <v>0</v>
      </c>
      <c r="O3076">
        <v>-1.490694E-2</v>
      </c>
      <c r="P3076">
        <v>-0.99966330000000003</v>
      </c>
      <c r="Q3076">
        <v>2.5519429999999999E-2</v>
      </c>
      <c r="R3076">
        <v>4.7245330000000004E-3</v>
      </c>
      <c r="S3076">
        <v>-2.9984130000000002</v>
      </c>
      <c r="T3076">
        <v>3.5297269999999999E-2</v>
      </c>
      <c r="U3076">
        <v>0.37075809999999998</v>
      </c>
      <c r="V3076">
        <v>1.9628820000000002E-2</v>
      </c>
      <c r="W3076">
        <v>3.9207249999999999E-2</v>
      </c>
      <c r="X3076">
        <v>0.99903830000000005</v>
      </c>
      <c r="Y3076">
        <v>0.13748850000000001</v>
      </c>
      <c r="Z3076">
        <v>-9.8102299999999992E-4</v>
      </c>
      <c r="AA3076">
        <v>0.99050289999999996</v>
      </c>
      <c r="AB3076">
        <v>32</v>
      </c>
      <c r="AC3076">
        <v>-86.287899999999894</v>
      </c>
      <c r="AD3076">
        <v>1.0194889999999901</v>
      </c>
      <c r="AE3076">
        <v>10.7142</v>
      </c>
      <c r="AF3076">
        <v>11.9977690723458</v>
      </c>
      <c r="AG3076">
        <v>1.0194889999999901</v>
      </c>
      <c r="AH3076">
        <v>86.106742002411593</v>
      </c>
      <c r="AI3076">
        <v>89.328149405379605</v>
      </c>
      <c r="AJ3076">
        <v>82.067706019404795</v>
      </c>
      <c r="AK3076">
        <v>86.944561870218905</v>
      </c>
      <c r="AL3076">
        <v>87.753014143663705</v>
      </c>
      <c r="AM3076">
        <v>88.874413664331598</v>
      </c>
      <c r="AN3076">
        <v>1.00000001194702</v>
      </c>
    </row>
    <row r="3077" spans="1:40" x14ac:dyDescent="0.25">
      <c r="A3077" t="str">
        <f>"20190312153945683"</f>
        <v>20190312153945683</v>
      </c>
      <c r="B3077" t="str">
        <f>"1552376385678918"</f>
        <v>1552376385678918</v>
      </c>
      <c r="C3077" t="s">
        <v>40</v>
      </c>
      <c r="D3077">
        <v>3.9346749999999999</v>
      </c>
      <c r="E3077">
        <v>0.54527859999999995</v>
      </c>
      <c r="F3077" t="s">
        <v>64</v>
      </c>
      <c r="G3077">
        <v>-510.95429999999999</v>
      </c>
      <c r="H3077">
        <v>2.064959</v>
      </c>
      <c r="I3077">
        <v>293.85520000000002</v>
      </c>
      <c r="J3077">
        <v>-424.98079999999999</v>
      </c>
      <c r="K3077">
        <v>1.1102299999999901</v>
      </c>
      <c r="L3077">
        <v>283.12729999999999</v>
      </c>
      <c r="M3077">
        <v>-0.99979510000000005</v>
      </c>
      <c r="N3077">
        <v>0</v>
      </c>
      <c r="O3077">
        <v>-1.490705E-2</v>
      </c>
      <c r="P3077">
        <v>-0.99968619999999997</v>
      </c>
      <c r="Q3077">
        <v>2.4709769999999999E-2</v>
      </c>
      <c r="R3077">
        <v>4.1379160000000002E-3</v>
      </c>
      <c r="S3077">
        <v>-2.9984130000000002</v>
      </c>
      <c r="T3077">
        <v>3.3178689999999997E-2</v>
      </c>
      <c r="U3077">
        <v>0.3726196</v>
      </c>
      <c r="V3077">
        <v>1.9042699999999999E-2</v>
      </c>
      <c r="W3077">
        <v>3.8396279999999998E-2</v>
      </c>
      <c r="X3077">
        <v>0.99908110000000006</v>
      </c>
      <c r="Y3077">
        <v>0.1380953</v>
      </c>
      <c r="Z3077">
        <v>-9.2545539999999997E-4</v>
      </c>
      <c r="AA3077">
        <v>0.99041849999999998</v>
      </c>
      <c r="AB3077">
        <v>32</v>
      </c>
      <c r="AC3077">
        <v>-85.973500000000001</v>
      </c>
      <c r="AD3077">
        <v>0.95472900000000005</v>
      </c>
      <c r="AE3077">
        <v>10.7279</v>
      </c>
      <c r="AF3077">
        <v>12.0069811969867</v>
      </c>
      <c r="AG3077">
        <v>0.95472900000000005</v>
      </c>
      <c r="AH3077">
        <v>85.793591020913595</v>
      </c>
      <c r="AI3077">
        <v>89.3685800934648</v>
      </c>
      <c r="AJ3077">
        <v>82.03308921531</v>
      </c>
      <c r="AK3077">
        <v>86.634977723734707</v>
      </c>
      <c r="AL3077">
        <v>87.799514231767105</v>
      </c>
      <c r="AM3077">
        <v>88.908062374331607</v>
      </c>
      <c r="AN3077">
        <v>0.99999997155916798</v>
      </c>
    </row>
    <row r="3078" spans="1:40" x14ac:dyDescent="0.25">
      <c r="A3078" t="str">
        <f>"20190312153945706"</f>
        <v>20190312153945706</v>
      </c>
      <c r="B3078" t="str">
        <f>"1552376385699414"</f>
        <v>1552376385699414</v>
      </c>
      <c r="C3078" t="s">
        <v>40</v>
      </c>
      <c r="D3078">
        <v>3.901119</v>
      </c>
      <c r="E3078">
        <v>0.54544230000000005</v>
      </c>
      <c r="F3078" t="s">
        <v>64</v>
      </c>
      <c r="G3078">
        <v>-510.95429999999999</v>
      </c>
      <c r="H3078">
        <v>2.0115319999999999</v>
      </c>
      <c r="I3078">
        <v>293.79660000000001</v>
      </c>
      <c r="J3078">
        <v>-425.29829999999998</v>
      </c>
      <c r="K3078">
        <v>1.1102399999999999</v>
      </c>
      <c r="L3078">
        <v>283.12259999999998</v>
      </c>
      <c r="M3078">
        <v>-0.99979510000000005</v>
      </c>
      <c r="N3078">
        <v>0</v>
      </c>
      <c r="O3078">
        <v>-1.490704E-2</v>
      </c>
      <c r="P3078">
        <v>-0.9996718</v>
      </c>
      <c r="Q3078">
        <v>2.5408360000000001E-2</v>
      </c>
      <c r="R3078">
        <v>3.3074060000000001E-3</v>
      </c>
      <c r="S3078">
        <v>-2.9986570000000001</v>
      </c>
      <c r="T3078">
        <v>3.1439420000000003E-2</v>
      </c>
      <c r="U3078">
        <v>0.3721313</v>
      </c>
      <c r="V3078">
        <v>1.8212099999999998E-2</v>
      </c>
      <c r="W3078">
        <v>3.9092889999999998E-2</v>
      </c>
      <c r="X3078">
        <v>0.9990696</v>
      </c>
      <c r="Y3078">
        <v>0.13792760000000001</v>
      </c>
      <c r="Z3078">
        <v>-8.7600660000000002E-4</v>
      </c>
      <c r="AA3078">
        <v>0.99044189999999999</v>
      </c>
      <c r="AB3078">
        <v>32</v>
      </c>
      <c r="AC3078">
        <v>-85.656000000000006</v>
      </c>
      <c r="AD3078">
        <v>0.90129199999999998</v>
      </c>
      <c r="AE3078">
        <v>10.673999999999999</v>
      </c>
      <c r="AF3078">
        <v>11.948508213632399</v>
      </c>
      <c r="AG3078">
        <v>0.90129199999999998</v>
      </c>
      <c r="AH3078">
        <v>85.478028607249598</v>
      </c>
      <c r="AI3078">
        <v>89.401704425786505</v>
      </c>
      <c r="AJ3078">
        <v>82.042496744886805</v>
      </c>
      <c r="AK3078">
        <v>86.3138027802175</v>
      </c>
      <c r="AL3078">
        <v>87.759571489728003</v>
      </c>
      <c r="AM3078">
        <v>88.955667445819003</v>
      </c>
      <c r="AN3078">
        <v>1.0000000001395599</v>
      </c>
    </row>
    <row r="3079" spans="1:40" x14ac:dyDescent="0.25">
      <c r="A3079" t="str">
        <f>"20190312153945717"</f>
        <v>20190312153945717</v>
      </c>
      <c r="B3079" t="str">
        <f>"1552376385709175"</f>
        <v>1552376385709175</v>
      </c>
      <c r="C3079" t="s">
        <v>40</v>
      </c>
      <c r="D3079">
        <v>3.9248470000000002</v>
      </c>
      <c r="E3079">
        <v>0.54552060000000002</v>
      </c>
      <c r="F3079" t="s">
        <v>64</v>
      </c>
      <c r="G3079">
        <v>-510.95429999999999</v>
      </c>
      <c r="H3079">
        <v>2.0611570000000001</v>
      </c>
      <c r="I3079">
        <v>293.7149</v>
      </c>
      <c r="J3079">
        <v>-425.4658</v>
      </c>
      <c r="K3079">
        <v>1.110244</v>
      </c>
      <c r="L3079">
        <v>283.12009999999998</v>
      </c>
      <c r="M3079">
        <v>-0.9997952</v>
      </c>
      <c r="N3079">
        <v>0</v>
      </c>
      <c r="O3079">
        <v>-1.490739E-2</v>
      </c>
      <c r="P3079">
        <v>-0.99963740000000001</v>
      </c>
      <c r="Q3079">
        <v>2.6782589999999998E-2</v>
      </c>
      <c r="R3079">
        <v>2.8642799999999999E-3</v>
      </c>
      <c r="S3079">
        <v>-2.998901</v>
      </c>
      <c r="T3079">
        <v>3.3295390000000001E-2</v>
      </c>
      <c r="U3079">
        <v>0.3708496</v>
      </c>
      <c r="V3079">
        <v>1.7768920000000001E-2</v>
      </c>
      <c r="W3079">
        <v>4.0466059999999998E-2</v>
      </c>
      <c r="X3079">
        <v>0.99902290000000005</v>
      </c>
      <c r="Y3079">
        <v>0.13750019999999999</v>
      </c>
      <c r="Z3079">
        <v>-9.2530629999999997E-4</v>
      </c>
      <c r="AA3079">
        <v>0.99050130000000003</v>
      </c>
      <c r="AB3079">
        <v>32</v>
      </c>
      <c r="AC3079">
        <v>-85.488499999999902</v>
      </c>
      <c r="AD3079">
        <v>0.95091300000000001</v>
      </c>
      <c r="AE3079">
        <v>10.594799999999999</v>
      </c>
      <c r="AF3079">
        <v>11.866706236572201</v>
      </c>
      <c r="AG3079">
        <v>0.95091300000000001</v>
      </c>
      <c r="AH3079">
        <v>85.310647411816504</v>
      </c>
      <c r="AI3079">
        <v>89.367469999350604</v>
      </c>
      <c r="AJ3079">
        <v>82.080973950814595</v>
      </c>
      <c r="AK3079">
        <v>86.137271342096398</v>
      </c>
      <c r="AL3079">
        <v>87.680832304132295</v>
      </c>
      <c r="AM3079">
        <v>88.981027576962703</v>
      </c>
      <c r="AN3079">
        <v>0.99999999562715003</v>
      </c>
    </row>
    <row r="3080" spans="1:40" x14ac:dyDescent="0.25">
      <c r="A3080" t="str">
        <f>"20190312153945739"</f>
        <v>20190312153945739</v>
      </c>
      <c r="B3080" t="str">
        <f>"1552376385728739"</f>
        <v>1552376385728739</v>
      </c>
      <c r="C3080" t="s">
        <v>40</v>
      </c>
      <c r="D3080">
        <v>3.9116409999999999</v>
      </c>
      <c r="E3080">
        <v>0.54564899999999905</v>
      </c>
      <c r="F3080" t="s">
        <v>64</v>
      </c>
      <c r="G3080">
        <v>-511.18099999999998</v>
      </c>
      <c r="H3080">
        <v>2.182938</v>
      </c>
      <c r="I3080">
        <v>293.69319999999999</v>
      </c>
      <c r="J3080">
        <v>-425.77109999999999</v>
      </c>
      <c r="K3080">
        <v>1.1102540000000001</v>
      </c>
      <c r="L3080">
        <v>283.1155</v>
      </c>
      <c r="M3080">
        <v>-0.99979530000000005</v>
      </c>
      <c r="N3080">
        <v>0</v>
      </c>
      <c r="O3080">
        <v>-1.4907739999999999E-2</v>
      </c>
      <c r="P3080">
        <v>-0.99958970000000003</v>
      </c>
      <c r="Q3080">
        <v>2.8566729999999999E-2</v>
      </c>
      <c r="R3080">
        <v>2.113078E-3</v>
      </c>
      <c r="S3080">
        <v>-2.9990230000000002</v>
      </c>
      <c r="T3080">
        <v>3.753459E-2</v>
      </c>
      <c r="U3080">
        <v>0.36993409999999999</v>
      </c>
      <c r="V3080">
        <v>1.7017359999999999E-2</v>
      </c>
      <c r="W3080">
        <v>4.2247430000000002E-2</v>
      </c>
      <c r="X3080">
        <v>0.99896220000000002</v>
      </c>
      <c r="Y3080">
        <v>0.13719529999999999</v>
      </c>
      <c r="Z3080">
        <v>-1.0411890000000001E-3</v>
      </c>
      <c r="AA3080">
        <v>0.99054350000000002</v>
      </c>
      <c r="AB3080">
        <v>32</v>
      </c>
      <c r="AC3080">
        <v>-85.409899999999993</v>
      </c>
      <c r="AD3080">
        <v>1.072684</v>
      </c>
      <c r="AE3080">
        <v>10.577699999999901</v>
      </c>
      <c r="AF3080">
        <v>11.848071421138799</v>
      </c>
      <c r="AG3080">
        <v>1.072684</v>
      </c>
      <c r="AH3080">
        <v>85.229462001870402</v>
      </c>
      <c r="AI3080">
        <v>89.285790060196803</v>
      </c>
      <c r="AJ3080">
        <v>82.085815957509794</v>
      </c>
      <c r="AK3080">
        <v>86.055729852767698</v>
      </c>
      <c r="AL3080">
        <v>87.578679815333203</v>
      </c>
      <c r="AM3080">
        <v>89.024058559895707</v>
      </c>
      <c r="AN3080">
        <v>0.999999956455906</v>
      </c>
    </row>
    <row r="3081" spans="1:40" x14ac:dyDescent="0.25">
      <c r="A3081" t="str">
        <f>"20190312153945753"</f>
        <v>20190312153945753</v>
      </c>
      <c r="B3081" t="str">
        <f>"1552376385749190"</f>
        <v>1552376385749190</v>
      </c>
      <c r="C3081" t="s">
        <v>40</v>
      </c>
      <c r="D3081">
        <v>3.8937149999999998</v>
      </c>
      <c r="E3081">
        <v>0.54574590000000001</v>
      </c>
      <c r="F3081" t="s">
        <v>64</v>
      </c>
      <c r="G3081">
        <v>-511.7842</v>
      </c>
      <c r="H3081">
        <v>2.3551350000000002</v>
      </c>
      <c r="I3081">
        <v>293.69319999999999</v>
      </c>
      <c r="J3081">
        <v>-425.959</v>
      </c>
      <c r="K3081">
        <v>1.1102609999999999</v>
      </c>
      <c r="L3081">
        <v>283.11270000000002</v>
      </c>
      <c r="M3081">
        <v>-0.9997952</v>
      </c>
      <c r="N3081">
        <v>0</v>
      </c>
      <c r="O3081">
        <v>-1.4907729999999999E-2</v>
      </c>
      <c r="P3081">
        <v>-0.99957589999999996</v>
      </c>
      <c r="Q3081">
        <v>2.9059740000000001E-2</v>
      </c>
      <c r="R3081">
        <v>1.86188E-3</v>
      </c>
      <c r="S3081">
        <v>-2.9992070000000002</v>
      </c>
      <c r="T3081">
        <v>4.3410900000000002E-2</v>
      </c>
      <c r="U3081">
        <v>0.36883539999999998</v>
      </c>
      <c r="V3081">
        <v>1.676594E-2</v>
      </c>
      <c r="W3081">
        <v>4.2739069999999997E-2</v>
      </c>
      <c r="X3081">
        <v>0.99894559999999999</v>
      </c>
      <c r="Y3081">
        <v>0.13682659999999999</v>
      </c>
      <c r="Z3081">
        <v>-1.201475E-3</v>
      </c>
      <c r="AA3081">
        <v>0.99059430000000004</v>
      </c>
      <c r="AB3081">
        <v>32</v>
      </c>
      <c r="AC3081">
        <v>-85.825199999999995</v>
      </c>
      <c r="AD3081">
        <v>1.24487399999999</v>
      </c>
      <c r="AE3081">
        <v>10.580499999999899</v>
      </c>
      <c r="AF3081">
        <v>11.856445653222901</v>
      </c>
      <c r="AG3081">
        <v>1.24487399999999</v>
      </c>
      <c r="AH3081">
        <v>85.640166816884403</v>
      </c>
      <c r="AI3081">
        <v>89.175068593186197</v>
      </c>
      <c r="AJ3081">
        <v>82.117795198258094</v>
      </c>
      <c r="AK3081">
        <v>86.465965484851296</v>
      </c>
      <c r="AL3081">
        <v>87.550485601919405</v>
      </c>
      <c r="AM3081">
        <v>89.038458733014593</v>
      </c>
      <c r="AN3081">
        <v>1.0000000183039499</v>
      </c>
    </row>
    <row r="3082" spans="1:40" x14ac:dyDescent="0.25">
      <c r="A3082" t="str">
        <f>"20190312153945774"</f>
        <v>20190312153945774</v>
      </c>
      <c r="B3082" t="str">
        <f>"1552376385768710"</f>
        <v>1552376385768710</v>
      </c>
      <c r="C3082" t="s">
        <v>40</v>
      </c>
      <c r="D3082">
        <v>3.9406850000000002</v>
      </c>
      <c r="E3082">
        <v>0.5464523</v>
      </c>
      <c r="F3082" t="s">
        <v>64</v>
      </c>
      <c r="G3082">
        <v>-511.95389999999998</v>
      </c>
      <c r="H3082">
        <v>2.3995150000000001</v>
      </c>
      <c r="I3082">
        <v>293.69319999999999</v>
      </c>
      <c r="J3082">
        <v>-426.2527</v>
      </c>
      <c r="K3082">
        <v>1.110269</v>
      </c>
      <c r="L3082">
        <v>283.10829999999999</v>
      </c>
      <c r="M3082">
        <v>-0.99979530000000005</v>
      </c>
      <c r="N3082">
        <v>0</v>
      </c>
      <c r="O3082">
        <v>-1.49082E-2</v>
      </c>
      <c r="P3082">
        <v>-0.99954520000000002</v>
      </c>
      <c r="Q3082">
        <v>3.014584E-2</v>
      </c>
      <c r="R3082">
        <v>1.1030980000000001E-3</v>
      </c>
      <c r="S3082">
        <v>-2.9992679999999998</v>
      </c>
      <c r="T3082">
        <v>4.4968609999999999E-2</v>
      </c>
      <c r="U3082">
        <v>0.36901859999999997</v>
      </c>
      <c r="V3082">
        <v>1.6007440000000001E-2</v>
      </c>
      <c r="W3082">
        <v>4.3823340000000002E-2</v>
      </c>
      <c r="X3082">
        <v>0.99891099999999999</v>
      </c>
      <c r="Y3082">
        <v>0.13688310000000001</v>
      </c>
      <c r="Z3082">
        <v>-1.244981E-3</v>
      </c>
      <c r="AA3082">
        <v>0.99058650000000004</v>
      </c>
      <c r="AB3082">
        <v>32</v>
      </c>
      <c r="AC3082">
        <v>-85.701199999999901</v>
      </c>
      <c r="AD3082">
        <v>1.2892459999999999</v>
      </c>
      <c r="AE3082">
        <v>10.584899999999999</v>
      </c>
      <c r="AF3082">
        <v>11.8588502018335</v>
      </c>
      <c r="AG3082">
        <v>1.2892459999999999</v>
      </c>
      <c r="AH3082">
        <v>85.514795573801393</v>
      </c>
      <c r="AI3082">
        <v>89.1444437594768</v>
      </c>
      <c r="AJ3082">
        <v>82.104804167847007</v>
      </c>
      <c r="AK3082">
        <v>86.342774714431599</v>
      </c>
      <c r="AL3082">
        <v>87.488303075758793</v>
      </c>
      <c r="AM3082">
        <v>89.08191995384</v>
      </c>
      <c r="AN3082">
        <v>0.99999995459255298</v>
      </c>
    </row>
    <row r="3083" spans="1:40" x14ac:dyDescent="0.25">
      <c r="A3083" t="str">
        <f>"20190312153945796"</f>
        <v>20190312153945796</v>
      </c>
      <c r="B3083" t="str">
        <f>"1552376385789210"</f>
        <v>1552376385789210</v>
      </c>
      <c r="C3083" t="s">
        <v>40</v>
      </c>
      <c r="D3083">
        <v>3.914269</v>
      </c>
      <c r="E3083">
        <v>0.54580759999999995</v>
      </c>
      <c r="F3083" t="s">
        <v>64</v>
      </c>
      <c r="G3083">
        <v>-512.21669999999995</v>
      </c>
      <c r="H3083">
        <v>0.93100640000000001</v>
      </c>
      <c r="I3083">
        <v>293.69319999999999</v>
      </c>
      <c r="J3083">
        <v>-426.56380000000001</v>
      </c>
      <c r="K3083">
        <v>1.110271</v>
      </c>
      <c r="L3083">
        <v>283.1037</v>
      </c>
      <c r="M3083">
        <v>-0.9997952</v>
      </c>
      <c r="N3083">
        <v>0</v>
      </c>
      <c r="O3083">
        <v>-1.490842E-2</v>
      </c>
      <c r="P3083">
        <v>-0.99951820000000002</v>
      </c>
      <c r="Q3083">
        <v>3.1036870000000001E-2</v>
      </c>
      <c r="R3083">
        <v>5.1990079999999995E-4</v>
      </c>
      <c r="S3083">
        <v>-3.00116</v>
      </c>
      <c r="T3083">
        <v>-6.2553879999999997E-3</v>
      </c>
      <c r="U3083">
        <v>0.36953740000000002</v>
      </c>
      <c r="V3083">
        <v>1.5424179999999999E-2</v>
      </c>
      <c r="W3083">
        <v>4.4712229999999999E-2</v>
      </c>
      <c r="X3083">
        <v>0.99888080000000001</v>
      </c>
      <c r="Y3083">
        <v>0.1369928</v>
      </c>
      <c r="Z3083">
        <v>1.73197599999999E-4</v>
      </c>
      <c r="AA3083">
        <v>0.99057200000000001</v>
      </c>
      <c r="AB3083">
        <v>32</v>
      </c>
      <c r="AC3083">
        <v>-85.652899999999903</v>
      </c>
      <c r="AD3083">
        <v>-0.1792646</v>
      </c>
      <c r="AE3083">
        <v>10.5894999999999</v>
      </c>
      <c r="AF3083">
        <v>11.8653407150052</v>
      </c>
      <c r="AG3083">
        <v>-0.1792646</v>
      </c>
      <c r="AH3083">
        <v>85.485122724361403</v>
      </c>
      <c r="AI3083">
        <v>90.119009697505405</v>
      </c>
      <c r="AJ3083">
        <v>82.097830195614705</v>
      </c>
      <c r="AK3083">
        <v>86.304835630914098</v>
      </c>
      <c r="AL3083">
        <v>87.4373234923994</v>
      </c>
      <c r="AM3083">
        <v>89.115339701016694</v>
      </c>
      <c r="AN3083">
        <v>0.99999997072444202</v>
      </c>
    </row>
    <row r="3084" spans="1:40" x14ac:dyDescent="0.25">
      <c r="A3084" t="str">
        <f>"20190312153945808"</f>
        <v>20190312153945808</v>
      </c>
      <c r="B3084" t="str">
        <f>"1552376385798966"</f>
        <v>1552376385798966</v>
      </c>
      <c r="C3084" t="s">
        <v>40</v>
      </c>
      <c r="D3084">
        <v>4.0488080000000002</v>
      </c>
      <c r="E3084">
        <v>0.54580759999999995</v>
      </c>
      <c r="F3084" t="s">
        <v>64</v>
      </c>
      <c r="G3084">
        <v>-514.08249999999998</v>
      </c>
      <c r="H3084">
        <v>1.215624</v>
      </c>
      <c r="I3084">
        <v>293.69319999999999</v>
      </c>
      <c r="J3084">
        <v>-426.7414</v>
      </c>
      <c r="K3084">
        <v>1.1102650000000001</v>
      </c>
      <c r="L3084">
        <v>283.10109999999997</v>
      </c>
      <c r="M3084">
        <v>-0.9997952</v>
      </c>
      <c r="N3084">
        <v>0</v>
      </c>
      <c r="O3084">
        <v>-1.490854E-2</v>
      </c>
      <c r="P3084">
        <v>-0.99952660000000004</v>
      </c>
      <c r="Q3084">
        <v>3.0753140000000002E-2</v>
      </c>
      <c r="R3084">
        <v>9.1214940000000004E-4</v>
      </c>
      <c r="S3084">
        <v>-3.0011290000000002</v>
      </c>
      <c r="T3084">
        <v>3.6156180000000001E-3</v>
      </c>
      <c r="U3084">
        <v>0.36312870000000003</v>
      </c>
      <c r="V3084">
        <v>1.581662E-2</v>
      </c>
      <c r="W3084">
        <v>4.4427849999999998E-2</v>
      </c>
      <c r="X3084">
        <v>0.99888739999999998</v>
      </c>
      <c r="Y3084">
        <v>0.13490969999999999</v>
      </c>
      <c r="Z3084" s="1">
        <v>-9.8872139999999994E-5</v>
      </c>
      <c r="AA3084">
        <v>0.99085789999999996</v>
      </c>
      <c r="AB3084">
        <v>32</v>
      </c>
      <c r="AC3084">
        <v>-87.341099999999898</v>
      </c>
      <c r="AD3084">
        <v>0.105358999999999</v>
      </c>
      <c r="AE3084">
        <v>10.5921</v>
      </c>
      <c r="AF3084">
        <v>11.893155774585701</v>
      </c>
      <c r="AG3084">
        <v>0.105358999999999</v>
      </c>
      <c r="AH3084">
        <v>87.173338678471097</v>
      </c>
      <c r="AI3084">
        <v>89.931387114755694</v>
      </c>
      <c r="AJ3084">
        <v>82.231038367904404</v>
      </c>
      <c r="AK3084">
        <v>87.980959480724394</v>
      </c>
      <c r="AL3084">
        <v>87.453633596551896</v>
      </c>
      <c r="AM3084">
        <v>89.092840848392498</v>
      </c>
      <c r="AN3084">
        <v>1.0000000186013001</v>
      </c>
    </row>
    <row r="3085" spans="1:40" x14ac:dyDescent="0.25">
      <c r="A3085" t="str">
        <f>"20190312153945822"</f>
        <v>20190312153945822</v>
      </c>
      <c r="B3085" t="str">
        <f>"1552376385808726"</f>
        <v>1552376385808726</v>
      </c>
      <c r="C3085" t="s">
        <v>40</v>
      </c>
      <c r="D3085">
        <v>4.0791849999999998</v>
      </c>
      <c r="E3085">
        <v>0.51691319999999996</v>
      </c>
      <c r="F3085" t="s">
        <v>64</v>
      </c>
      <c r="G3085">
        <v>-513.98479999999995</v>
      </c>
      <c r="H3085">
        <v>1.189365</v>
      </c>
      <c r="I3085">
        <v>293.69319999999999</v>
      </c>
      <c r="J3085">
        <v>-426.9289</v>
      </c>
      <c r="K3085">
        <v>1.110266</v>
      </c>
      <c r="L3085">
        <v>283.09829999999999</v>
      </c>
      <c r="M3085">
        <v>-0.9997952</v>
      </c>
      <c r="N3085">
        <v>0</v>
      </c>
      <c r="O3085">
        <v>-1.4908650000000001E-2</v>
      </c>
      <c r="P3085">
        <v>-0.99953650000000005</v>
      </c>
      <c r="Q3085">
        <v>3.04245E-2</v>
      </c>
      <c r="R3085">
        <v>9.802070999999999E-4</v>
      </c>
      <c r="S3085">
        <v>-3.001007</v>
      </c>
      <c r="T3085">
        <v>2.7238129999999998E-3</v>
      </c>
      <c r="U3085">
        <v>0.36434939999999999</v>
      </c>
      <c r="V3085">
        <v>1.5884820000000001E-2</v>
      </c>
      <c r="W3085">
        <v>4.4098209999999999E-2</v>
      </c>
      <c r="X3085">
        <v>0.99890089999999998</v>
      </c>
      <c r="Y3085">
        <v>0.13531189999999901</v>
      </c>
      <c r="Z3085" s="1">
        <v>-7.4668139999999994E-5</v>
      </c>
      <c r="AA3085">
        <v>0.99080310000000005</v>
      </c>
      <c r="AB3085">
        <v>32</v>
      </c>
      <c r="AC3085">
        <v>-87.055899999999895</v>
      </c>
      <c r="AD3085">
        <v>7.9099000000000003E-2</v>
      </c>
      <c r="AE3085">
        <v>10.5948999999999</v>
      </c>
      <c r="AF3085">
        <v>11.891720088483099</v>
      </c>
      <c r="AG3085">
        <v>7.9099000000000003E-2</v>
      </c>
      <c r="AH3085">
        <v>86.888181652448097</v>
      </c>
      <c r="AI3085">
        <v>89.948322324098399</v>
      </c>
      <c r="AJ3085">
        <v>82.206783722434494</v>
      </c>
      <c r="AK3085">
        <v>87.698206219873498</v>
      </c>
      <c r="AL3085">
        <v>87.472539043452898</v>
      </c>
      <c r="AM3085">
        <v>89.088942219523503</v>
      </c>
      <c r="AN3085">
        <v>0.99999999382622295</v>
      </c>
    </row>
    <row r="3086" spans="1:40" x14ac:dyDescent="0.25">
      <c r="A3086" t="str">
        <f>"20190312153945836"</f>
        <v>20190312153945836</v>
      </c>
      <c r="B3086" t="str">
        <f>"1552376385829223"</f>
        <v>1552376385829223</v>
      </c>
      <c r="C3086" t="s">
        <v>40</v>
      </c>
      <c r="D3086">
        <v>3.995965</v>
      </c>
      <c r="E3086">
        <v>0.49558160000000001</v>
      </c>
      <c r="F3086" t="s">
        <v>50</v>
      </c>
      <c r="G3086">
        <v>0</v>
      </c>
      <c r="H3086">
        <v>0</v>
      </c>
      <c r="I3086">
        <v>0</v>
      </c>
      <c r="J3086">
        <v>-427.12819999999999</v>
      </c>
      <c r="K3086">
        <v>1.110266</v>
      </c>
      <c r="L3086">
        <v>283.09530000000001</v>
      </c>
      <c r="M3086">
        <v>-0.9997954</v>
      </c>
      <c r="N3086">
        <v>0</v>
      </c>
      <c r="O3086">
        <v>-1.4908879999999999E-2</v>
      </c>
      <c r="P3086">
        <v>-0.99953539999999996</v>
      </c>
      <c r="Q3086">
        <v>3.0460319999999999E-2</v>
      </c>
      <c r="R3086">
        <v>1.1729220000000001E-3</v>
      </c>
      <c r="S3086">
        <v>-2.9984440000000001</v>
      </c>
      <c r="T3086">
        <v>9.1705679999999998E-2</v>
      </c>
      <c r="U3086">
        <v>0.1379089</v>
      </c>
      <c r="V3086">
        <v>1.6077839999999999E-2</v>
      </c>
      <c r="W3086">
        <v>4.4132980000000002E-2</v>
      </c>
      <c r="X3086">
        <v>0.99889629999999996</v>
      </c>
      <c r="Y3086">
        <v>6.0799020000000002E-2</v>
      </c>
      <c r="Z3086">
        <v>-1.3847449999999999E-3</v>
      </c>
      <c r="AA3086">
        <v>0.99814910000000001</v>
      </c>
      <c r="AB3086">
        <v>31</v>
      </c>
      <c r="AC3086">
        <v>-2.9984440000000001</v>
      </c>
      <c r="AD3086">
        <v>9.1705679999999998E-2</v>
      </c>
      <c r="AE3086">
        <v>0.1379089</v>
      </c>
      <c r="AF3086">
        <v>0.18243090208148399</v>
      </c>
      <c r="AG3086">
        <v>9.1705679999999998E-2</v>
      </c>
      <c r="AH3086">
        <v>2.9932604145552602</v>
      </c>
      <c r="AI3086">
        <v>88.248404071141394</v>
      </c>
      <c r="AJ3086">
        <v>86.512295664253998</v>
      </c>
      <c r="AK3086">
        <v>3.0002164713770401</v>
      </c>
      <c r="AL3086">
        <v>87.4705449877235</v>
      </c>
      <c r="AM3086">
        <v>89.077869407054393</v>
      </c>
      <c r="AN3086">
        <v>1.00000001750821</v>
      </c>
    </row>
    <row r="3087" spans="1:40" x14ac:dyDescent="0.25">
      <c r="A3087" t="str">
        <f>"20190312153945851"</f>
        <v>20190312153945851</v>
      </c>
      <c r="B3087" t="str">
        <f>"1552376385848742"</f>
        <v>1552376385848742</v>
      </c>
      <c r="C3087" t="s">
        <v>40</v>
      </c>
      <c r="D3087">
        <v>4.0395430000000001</v>
      </c>
      <c r="E3087">
        <v>0.48349910000000001</v>
      </c>
      <c r="F3087" t="s">
        <v>50</v>
      </c>
      <c r="G3087">
        <v>0</v>
      </c>
      <c r="H3087">
        <v>0</v>
      </c>
      <c r="I3087">
        <v>0</v>
      </c>
      <c r="J3087">
        <v>-427.34500000000003</v>
      </c>
      <c r="K3087">
        <v>1.1102620000000001</v>
      </c>
      <c r="L3087">
        <v>283.09210000000002</v>
      </c>
      <c r="M3087">
        <v>-0.99979530000000005</v>
      </c>
      <c r="N3087">
        <v>0</v>
      </c>
      <c r="O3087">
        <v>-1.490899E-2</v>
      </c>
      <c r="P3087">
        <v>-0.99955740000000004</v>
      </c>
      <c r="Q3087">
        <v>2.9701290000000002E-2</v>
      </c>
      <c r="R3087">
        <v>1.694812E-3</v>
      </c>
      <c r="S3087">
        <v>-2.9990230000000002</v>
      </c>
      <c r="T3087">
        <v>7.9566719999999994E-2</v>
      </c>
      <c r="U3087">
        <v>-3.225708E-2</v>
      </c>
      <c r="V3087">
        <v>1.6600139999999999E-2</v>
      </c>
      <c r="W3087">
        <v>4.3372679999999997E-2</v>
      </c>
      <c r="X3087">
        <v>0.99892099999999995</v>
      </c>
      <c r="Y3087">
        <v>4.1487759999999999E-3</v>
      </c>
      <c r="Z3087">
        <v>-4.5050979999999998E-4</v>
      </c>
      <c r="AA3087">
        <v>0.99999130000000003</v>
      </c>
      <c r="AB3087">
        <v>31</v>
      </c>
      <c r="AC3087">
        <v>-2.9990230000000002</v>
      </c>
      <c r="AD3087">
        <v>7.9566719999999994E-2</v>
      </c>
      <c r="AE3087">
        <v>-3.225708E-2</v>
      </c>
      <c r="AF3087">
        <v>1.2454327361389499E-2</v>
      </c>
      <c r="AG3087">
        <v>7.9566719999999994E-2</v>
      </c>
      <c r="AH3087">
        <v>2.99706122596363</v>
      </c>
      <c r="AI3087">
        <v>88.479267861334407</v>
      </c>
      <c r="AJ3087">
        <v>89.761908004779698</v>
      </c>
      <c r="AK3087">
        <v>2.9981430862078899</v>
      </c>
      <c r="AL3087">
        <v>87.514148579499604</v>
      </c>
      <c r="AM3087">
        <v>89.047942307586695</v>
      </c>
      <c r="AN3087">
        <v>0.99999995912969997</v>
      </c>
    </row>
    <row r="3088" spans="1:40" x14ac:dyDescent="0.25">
      <c r="A3088" t="str">
        <f>"20190312153945865"</f>
        <v>20190312153945865</v>
      </c>
      <c r="B3088" t="str">
        <f>"1552376385858502"</f>
        <v>1552376385858502</v>
      </c>
      <c r="C3088" t="s">
        <v>40</v>
      </c>
      <c r="D3088">
        <v>4.0160650000000002</v>
      </c>
      <c r="E3088">
        <v>0.47996879999999997</v>
      </c>
      <c r="F3088" t="s">
        <v>67</v>
      </c>
      <c r="G3088">
        <v>-545.04870000000005</v>
      </c>
      <c r="H3088">
        <v>3.1650339999999999</v>
      </c>
      <c r="I3088">
        <v>278.05</v>
      </c>
      <c r="J3088">
        <v>-427.5333</v>
      </c>
      <c r="K3088">
        <v>1.1102590000000001</v>
      </c>
      <c r="L3088">
        <v>283.08929999999998</v>
      </c>
      <c r="M3088">
        <v>-0.99979530000000005</v>
      </c>
      <c r="N3088">
        <v>0</v>
      </c>
      <c r="O3088">
        <v>-1.4909220000000001E-2</v>
      </c>
      <c r="P3088">
        <v>-0.99957969999999896</v>
      </c>
      <c r="Q3088">
        <v>2.8914510000000001E-2</v>
      </c>
      <c r="R3088">
        <v>2.0827710000000002E-3</v>
      </c>
      <c r="S3088">
        <v>-2.9999690000000001</v>
      </c>
      <c r="T3088">
        <v>5.2372929999999998E-2</v>
      </c>
      <c r="U3088">
        <v>-0.1285095</v>
      </c>
      <c r="V3088">
        <v>1.698844E-2</v>
      </c>
      <c r="W3088">
        <v>4.2585669999999999E-2</v>
      </c>
      <c r="X3088">
        <v>0.99894839999999996</v>
      </c>
      <c r="Y3088">
        <v>-2.789401E-2</v>
      </c>
      <c r="Z3088" s="1">
        <v>-1.6785660000000002E-5</v>
      </c>
      <c r="AA3088">
        <v>0.99961089999999997</v>
      </c>
      <c r="AB3088">
        <v>31</v>
      </c>
      <c r="AC3088">
        <v>-117.5154</v>
      </c>
      <c r="AD3088">
        <v>2.0547749999999998</v>
      </c>
      <c r="AE3088">
        <v>-5.0392999999999599</v>
      </c>
      <c r="AF3088">
        <v>-3.2855102895411901</v>
      </c>
      <c r="AG3088">
        <v>2.0547749999999998</v>
      </c>
      <c r="AH3088">
        <v>117.54160483412799</v>
      </c>
      <c r="AI3088">
        <v>88.998890695241897</v>
      </c>
      <c r="AJ3088">
        <v>91.601108563666799</v>
      </c>
      <c r="AK3088">
        <v>117.605465626159</v>
      </c>
      <c r="AL3088">
        <v>87.559282802863095</v>
      </c>
      <c r="AM3088">
        <v>89.025703338196294</v>
      </c>
      <c r="AN3088">
        <v>1.0000000261227699</v>
      </c>
    </row>
    <row r="3089" spans="1:40" x14ac:dyDescent="0.25">
      <c r="A3089" t="str">
        <f>"20190312153945877"</f>
        <v>20190312153945877</v>
      </c>
      <c r="B3089" t="str">
        <f>"1552376385869238"</f>
        <v>1552376385869238</v>
      </c>
      <c r="C3089" t="s">
        <v>40</v>
      </c>
      <c r="D3089">
        <v>4.0214210000000001</v>
      </c>
      <c r="E3089">
        <v>0.47756959999999998</v>
      </c>
      <c r="F3089" t="s">
        <v>67</v>
      </c>
      <c r="G3089">
        <v>-511.95940000000002</v>
      </c>
      <c r="H3089">
        <v>2.1884890000000001</v>
      </c>
      <c r="I3089">
        <v>278.70310000000001</v>
      </c>
      <c r="J3089">
        <v>-427.70389999999998</v>
      </c>
      <c r="K3089">
        <v>1.110252</v>
      </c>
      <c r="L3089">
        <v>283.08670000000001</v>
      </c>
      <c r="M3089">
        <v>-0.99979530000000005</v>
      </c>
      <c r="N3089">
        <v>0</v>
      </c>
      <c r="O3089">
        <v>-1.490934E-2</v>
      </c>
      <c r="P3089">
        <v>-0.99959419999999999</v>
      </c>
      <c r="Q3089">
        <v>2.8408470000000002E-2</v>
      </c>
      <c r="R3089">
        <v>2.209492E-3</v>
      </c>
      <c r="S3089">
        <v>-3.0004879999999998</v>
      </c>
      <c r="T3089">
        <v>3.8322929999999998E-2</v>
      </c>
      <c r="U3089">
        <v>-0.15588379999999999</v>
      </c>
      <c r="V3089">
        <v>1.711561E-2</v>
      </c>
      <c r="W3089">
        <v>4.2078289999999997E-2</v>
      </c>
      <c r="X3089">
        <v>0.99896770000000001</v>
      </c>
      <c r="Y3089">
        <v>-3.6984629999999998E-2</v>
      </c>
      <c r="Z3089" s="1">
        <v>4.5735880000000002E-5</v>
      </c>
      <c r="AA3089">
        <v>0.99931590000000003</v>
      </c>
      <c r="AB3089">
        <v>31</v>
      </c>
      <c r="AC3089">
        <v>-84.255499999999998</v>
      </c>
      <c r="AD3089">
        <v>1.0782369999999999</v>
      </c>
      <c r="AE3089">
        <v>-4.3836000000000004</v>
      </c>
      <c r="AF3089">
        <v>-3.1262906516032198</v>
      </c>
      <c r="AG3089">
        <v>1.0782369999999999</v>
      </c>
      <c r="AH3089">
        <v>84.2977278189678</v>
      </c>
      <c r="AI3089">
        <v>89.267683386700995</v>
      </c>
      <c r="AJ3089">
        <v>92.123914968387197</v>
      </c>
      <c r="AK3089">
        <v>84.3625699211875</v>
      </c>
      <c r="AL3089">
        <v>87.588379545011094</v>
      </c>
      <c r="AM3089">
        <v>89.018430448835403</v>
      </c>
      <c r="AN3089">
        <v>0.99999999611914303</v>
      </c>
    </row>
    <row r="3090" spans="1:40" x14ac:dyDescent="0.25">
      <c r="A3090" t="str">
        <f>"20190312153945888"</f>
        <v>20190312153945888</v>
      </c>
      <c r="B3090" t="str">
        <f>"1552376385878998"</f>
        <v>1552376385878998</v>
      </c>
      <c r="C3090" t="s">
        <v>40</v>
      </c>
      <c r="D3090">
        <v>3.9708700000000001</v>
      </c>
      <c r="E3090">
        <v>0.47584650000000001</v>
      </c>
      <c r="F3090" t="s">
        <v>67</v>
      </c>
      <c r="G3090">
        <v>-511.95920000000001</v>
      </c>
      <c r="H3090">
        <v>1.8706659999999999</v>
      </c>
      <c r="I3090">
        <v>278.17259999999999</v>
      </c>
      <c r="J3090">
        <v>-427.87430000000001</v>
      </c>
      <c r="K3090">
        <v>1.110252</v>
      </c>
      <c r="L3090">
        <v>283.08420000000001</v>
      </c>
      <c r="M3090">
        <v>-0.9997954</v>
      </c>
      <c r="N3090">
        <v>0</v>
      </c>
      <c r="O3090">
        <v>-1.490969E-2</v>
      </c>
      <c r="P3090">
        <v>-0.99960819999999995</v>
      </c>
      <c r="Q3090">
        <v>2.7894120000000001E-2</v>
      </c>
      <c r="R3090">
        <v>2.400517E-3</v>
      </c>
      <c r="S3090">
        <v>-3.0007929999999998</v>
      </c>
      <c r="T3090">
        <v>2.70853E-2</v>
      </c>
      <c r="U3090">
        <v>-0.17501829999999999</v>
      </c>
      <c r="V3090">
        <v>1.7307010000000001E-2</v>
      </c>
      <c r="W3090">
        <v>4.1563280000000001E-2</v>
      </c>
      <c r="X3090">
        <v>0.99898589999999998</v>
      </c>
      <c r="Y3090">
        <v>-4.3331660000000001E-2</v>
      </c>
      <c r="Z3090" s="1">
        <v>6.0934080000000002E-5</v>
      </c>
      <c r="AA3090">
        <v>0.99906079999999997</v>
      </c>
      <c r="AB3090">
        <v>31</v>
      </c>
      <c r="AC3090">
        <v>-84.084900000000005</v>
      </c>
      <c r="AD3090">
        <v>0.76041399999999904</v>
      </c>
      <c r="AE3090">
        <v>-4.9116000000000204</v>
      </c>
      <c r="AF3090">
        <v>-3.6569589452565099</v>
      </c>
      <c r="AG3090">
        <v>0.76041399999999904</v>
      </c>
      <c r="AH3090">
        <v>84.141931023185606</v>
      </c>
      <c r="AI3090">
        <v>89.482704532942293</v>
      </c>
      <c r="AJ3090">
        <v>92.488610996673202</v>
      </c>
      <c r="AK3090">
        <v>84.224795247535098</v>
      </c>
      <c r="AL3090">
        <v>87.617913134127505</v>
      </c>
      <c r="AM3090">
        <v>89.007474041051907</v>
      </c>
      <c r="AN3090">
        <v>0.99999993361915196</v>
      </c>
    </row>
    <row r="3091" spans="1:40" x14ac:dyDescent="0.25">
      <c r="A3091" t="str">
        <f>"20190312153945902"</f>
        <v>20190312153945902</v>
      </c>
      <c r="B3091" t="str">
        <f>"1552376385898518"</f>
        <v>1552376385898518</v>
      </c>
      <c r="C3091" t="s">
        <v>40</v>
      </c>
      <c r="D3091">
        <v>3.9891459999999999</v>
      </c>
      <c r="E3091">
        <v>0.47329320000000002</v>
      </c>
      <c r="F3091" t="s">
        <v>67</v>
      </c>
      <c r="G3091">
        <v>-511.95920000000001</v>
      </c>
      <c r="H3091">
        <v>1.631329</v>
      </c>
      <c r="I3091">
        <v>277.79570000000001</v>
      </c>
      <c r="J3091">
        <v>-428.05579999999998</v>
      </c>
      <c r="K3091">
        <v>1.1102529999999999</v>
      </c>
      <c r="L3091">
        <v>283.08150000000001</v>
      </c>
      <c r="M3091">
        <v>-0.99979530000000005</v>
      </c>
      <c r="N3091">
        <v>0</v>
      </c>
      <c r="O3091">
        <v>-1.4909800000000001E-2</v>
      </c>
      <c r="P3091">
        <v>-0.99959929999999997</v>
      </c>
      <c r="Q3091">
        <v>2.8202149999999999E-2</v>
      </c>
      <c r="R3091">
        <v>2.4993720000000001E-3</v>
      </c>
      <c r="S3091">
        <v>-3.0010680000000001</v>
      </c>
      <c r="T3091">
        <v>1.8600579999999999E-2</v>
      </c>
      <c r="U3091">
        <v>-0.18875120000000001</v>
      </c>
      <c r="V3091">
        <v>1.740593E-2</v>
      </c>
      <c r="W3091">
        <v>4.1870089999999999E-2</v>
      </c>
      <c r="X3091">
        <v>0.99897150000000001</v>
      </c>
      <c r="Y3091">
        <v>-4.7881260000000002E-2</v>
      </c>
      <c r="Z3091" s="1">
        <v>5.5921919999999897E-5</v>
      </c>
      <c r="AA3091">
        <v>0.99885299999999999</v>
      </c>
      <c r="AB3091">
        <v>31</v>
      </c>
      <c r="AC3091">
        <v>-83.903400000000005</v>
      </c>
      <c r="AD3091">
        <v>0.52107599999999898</v>
      </c>
      <c r="AE3091">
        <v>-5.2857999999999903</v>
      </c>
      <c r="AF3091">
        <v>-4.03395743114495</v>
      </c>
      <c r="AG3091">
        <v>0.52107599999999898</v>
      </c>
      <c r="AH3091">
        <v>83.969663519270398</v>
      </c>
      <c r="AI3091">
        <v>89.644863630398305</v>
      </c>
      <c r="AJ3091">
        <v>92.750412041752099</v>
      </c>
      <c r="AK3091">
        <v>84.068119547742697</v>
      </c>
      <c r="AL3091">
        <v>87.600319212479803</v>
      </c>
      <c r="AM3091">
        <v>89.001787915230693</v>
      </c>
      <c r="AN3091">
        <v>1.0000000643239999</v>
      </c>
    </row>
    <row r="3092" spans="1:40" x14ac:dyDescent="0.25">
      <c r="A3092" t="str">
        <f>"20190312153945919"</f>
        <v>20190312153945919</v>
      </c>
      <c r="B3092" t="str">
        <f>"1552376385909255"</f>
        <v>1552376385909255</v>
      </c>
      <c r="C3092" t="s">
        <v>40</v>
      </c>
      <c r="D3092">
        <v>3.9845839999999999</v>
      </c>
      <c r="E3092">
        <v>0.47220469999999998</v>
      </c>
      <c r="F3092" t="s">
        <v>67</v>
      </c>
      <c r="G3092">
        <v>-511.95909999999998</v>
      </c>
      <c r="H3092">
        <v>1.3581460000000001</v>
      </c>
      <c r="I3092">
        <v>277.23439999999999</v>
      </c>
      <c r="J3092">
        <v>-428.28829999999999</v>
      </c>
      <c r="K3092">
        <v>1.110255</v>
      </c>
      <c r="L3092">
        <v>283.07799999999997</v>
      </c>
      <c r="M3092">
        <v>-0.99979530000000005</v>
      </c>
      <c r="N3092">
        <v>0</v>
      </c>
      <c r="O3092">
        <v>-1.4910029999999999E-2</v>
      </c>
      <c r="P3092">
        <v>-0.99956880000000004</v>
      </c>
      <c r="Q3092">
        <v>2.9222950000000001E-2</v>
      </c>
      <c r="R3092">
        <v>2.8567689999999999E-3</v>
      </c>
      <c r="S3092">
        <v>-3.001465</v>
      </c>
      <c r="T3092">
        <v>8.8707209999999998E-3</v>
      </c>
      <c r="U3092">
        <v>-0.20916750000000001</v>
      </c>
      <c r="V3092">
        <v>1.7762859999999998E-2</v>
      </c>
      <c r="W3092">
        <v>4.2888660000000002E-2</v>
      </c>
      <c r="X3092">
        <v>0.99892190000000003</v>
      </c>
      <c r="Y3092">
        <v>-5.4636610000000002E-2</v>
      </c>
      <c r="Z3092" s="1">
        <v>3.6630520000000002E-5</v>
      </c>
      <c r="AA3092">
        <v>0.99850629999999996</v>
      </c>
      <c r="AB3092">
        <v>31</v>
      </c>
      <c r="AC3092">
        <v>-83.6707999999999</v>
      </c>
      <c r="AD3092">
        <v>0.247890999999999</v>
      </c>
      <c r="AE3092">
        <v>-5.8435999999999799</v>
      </c>
      <c r="AF3092">
        <v>-4.5952593310122696</v>
      </c>
      <c r="AG3092">
        <v>0.247890999999999</v>
      </c>
      <c r="AH3092">
        <v>83.747902224445298</v>
      </c>
      <c r="AI3092">
        <v>89.830661620313407</v>
      </c>
      <c r="AJ3092">
        <v>93.1406782003682</v>
      </c>
      <c r="AK3092">
        <v>83.874245065230696</v>
      </c>
      <c r="AL3092">
        <v>87.541906715209194</v>
      </c>
      <c r="AM3092">
        <v>88.981272048647796</v>
      </c>
      <c r="AN3092">
        <v>0.999999959325791</v>
      </c>
    </row>
    <row r="3093" spans="1:40" x14ac:dyDescent="0.25">
      <c r="A3093" t="str">
        <f>"20190312153945940"</f>
        <v>20190312153945940</v>
      </c>
      <c r="B3093" t="str">
        <f>"1552376385928775"</f>
        <v>1552376385928775</v>
      </c>
      <c r="C3093" t="s">
        <v>40</v>
      </c>
      <c r="D3093">
        <v>4.0032129999999997</v>
      </c>
      <c r="E3093">
        <v>0.4705085</v>
      </c>
      <c r="F3093" t="s">
        <v>67</v>
      </c>
      <c r="G3093">
        <v>-511.959</v>
      </c>
      <c r="H3093">
        <v>1.302181</v>
      </c>
      <c r="I3093">
        <v>277.02730000000003</v>
      </c>
      <c r="J3093">
        <v>-428.59480000000002</v>
      </c>
      <c r="K3093">
        <v>1.110263</v>
      </c>
      <c r="L3093">
        <v>283.07350000000002</v>
      </c>
      <c r="M3093">
        <v>-0.9997954</v>
      </c>
      <c r="N3093">
        <v>0</v>
      </c>
      <c r="O3093">
        <v>-1.4910140000000001E-2</v>
      </c>
      <c r="P3093">
        <v>-0.99957200000000002</v>
      </c>
      <c r="Q3093">
        <v>2.909817E-2</v>
      </c>
      <c r="R3093">
        <v>3.0128379999999999E-3</v>
      </c>
      <c r="S3093">
        <v>-3.001709</v>
      </c>
      <c r="T3093">
        <v>6.8882700000000002E-3</v>
      </c>
      <c r="U3093">
        <v>-0.2170715</v>
      </c>
      <c r="V3093">
        <v>1.791908E-2</v>
      </c>
      <c r="W3093">
        <v>4.2762889999999998E-2</v>
      </c>
      <c r="X3093">
        <v>0.99892460000000005</v>
      </c>
      <c r="Y3093">
        <v>-5.7246810000000002E-2</v>
      </c>
      <c r="Z3093" s="1">
        <v>3.143026E-5</v>
      </c>
      <c r="AA3093">
        <v>0.99836000000000003</v>
      </c>
      <c r="AB3093">
        <v>31</v>
      </c>
      <c r="AC3093">
        <v>-83.364199999999897</v>
      </c>
      <c r="AD3093">
        <v>0.19191800000000001</v>
      </c>
      <c r="AE3093">
        <v>-6.04619999999999</v>
      </c>
      <c r="AF3093">
        <v>-4.8024144140543799</v>
      </c>
      <c r="AG3093">
        <v>0.19191800000000001</v>
      </c>
      <c r="AH3093">
        <v>83.444649483479694</v>
      </c>
      <c r="AI3093">
        <v>89.868440859476706</v>
      </c>
      <c r="AJ3093">
        <v>93.2938586782725</v>
      </c>
      <c r="AK3093">
        <v>83.582950080407102</v>
      </c>
      <c r="AL3093">
        <v>87.549119663315807</v>
      </c>
      <c r="AM3093">
        <v>88.972317276265699</v>
      </c>
      <c r="AN3093">
        <v>1.0000000573371699</v>
      </c>
    </row>
    <row r="3094" spans="1:40" x14ac:dyDescent="0.25">
      <c r="A3094" t="str">
        <f>"20190312153945953"</f>
        <v>20190312153945953</v>
      </c>
      <c r="B3094" t="str">
        <f>"1552376385949271"</f>
        <v>1552376385949271</v>
      </c>
      <c r="C3094" t="s">
        <v>40</v>
      </c>
      <c r="D3094">
        <v>3.9986989999999998</v>
      </c>
      <c r="E3094">
        <v>0.46925620000000001</v>
      </c>
      <c r="F3094" t="s">
        <v>67</v>
      </c>
      <c r="G3094">
        <v>-511.959</v>
      </c>
      <c r="H3094">
        <v>1.1137539999999999</v>
      </c>
      <c r="I3094">
        <v>276.67340000000002</v>
      </c>
      <c r="J3094">
        <v>-428.7749</v>
      </c>
      <c r="K3094">
        <v>1.1102650000000001</v>
      </c>
      <c r="L3094">
        <v>283.07080000000002</v>
      </c>
      <c r="M3094">
        <v>-0.99979549999999995</v>
      </c>
      <c r="N3094">
        <v>0</v>
      </c>
      <c r="O3094">
        <v>-1.4910369999999999E-2</v>
      </c>
      <c r="P3094">
        <v>-0.99957390000000002</v>
      </c>
      <c r="Q3094">
        <v>2.9060809999999999E-2</v>
      </c>
      <c r="R3094">
        <v>2.787641E-3</v>
      </c>
      <c r="S3094">
        <v>-3.0019840000000002</v>
      </c>
      <c r="T3094">
        <v>1.2862680000000001E-4</v>
      </c>
      <c r="U3094">
        <v>-0.2304688</v>
      </c>
      <c r="V3094">
        <v>1.7694270000000002E-2</v>
      </c>
      <c r="W3094">
        <v>4.27243E-2</v>
      </c>
      <c r="X3094">
        <v>0.99893019999999999</v>
      </c>
      <c r="Y3094">
        <v>-6.1670389999999999E-2</v>
      </c>
      <c r="Z3094" s="1">
        <v>6.8138249999999999E-7</v>
      </c>
      <c r="AA3094">
        <v>0.9980966</v>
      </c>
      <c r="AB3094">
        <v>31</v>
      </c>
      <c r="AC3094">
        <v>-83.184100000000001</v>
      </c>
      <c r="AD3094">
        <v>3.4890000000000702E-3</v>
      </c>
      <c r="AE3094">
        <v>-6.3974000000000002</v>
      </c>
      <c r="AF3094">
        <v>-5.1562672164176497</v>
      </c>
      <c r="AG3094">
        <v>3.4890000000000702E-3</v>
      </c>
      <c r="AH3094">
        <v>83.270247409363705</v>
      </c>
      <c r="AI3094">
        <v>89.997603912235405</v>
      </c>
      <c r="AJ3094">
        <v>93.5433498589164</v>
      </c>
      <c r="AK3094">
        <v>83.429738147718496</v>
      </c>
      <c r="AL3094">
        <v>87.551332586316903</v>
      </c>
      <c r="AM3094">
        <v>88.985213398841296</v>
      </c>
      <c r="AN3094">
        <v>0.999999998736681</v>
      </c>
    </row>
    <row r="3095" spans="1:40" x14ac:dyDescent="0.25">
      <c r="A3095" t="str">
        <f>"20190312153945966"</f>
        <v>20190312153945966</v>
      </c>
      <c r="B3095" t="str">
        <f>"1552376385959030"</f>
        <v>1552376385959030</v>
      </c>
      <c r="C3095" t="s">
        <v>40</v>
      </c>
      <c r="D3095">
        <v>4.0259919999999996</v>
      </c>
      <c r="E3095">
        <v>0.46876780000000001</v>
      </c>
      <c r="F3095" t="s">
        <v>67</v>
      </c>
      <c r="G3095">
        <v>-511.959</v>
      </c>
      <c r="H3095">
        <v>0.98839960000000004</v>
      </c>
      <c r="I3095">
        <v>276.38209999999998</v>
      </c>
      <c r="J3095">
        <v>-428.96429999999998</v>
      </c>
      <c r="K3095">
        <v>1.110269</v>
      </c>
      <c r="L3095">
        <v>283.06790000000001</v>
      </c>
      <c r="M3095">
        <v>-0.9997954</v>
      </c>
      <c r="N3095">
        <v>0</v>
      </c>
      <c r="O3095">
        <v>-1.491048E-2</v>
      </c>
      <c r="P3095">
        <v>-0.99957759999999996</v>
      </c>
      <c r="Q3095">
        <v>2.8930270000000001E-2</v>
      </c>
      <c r="R3095">
        <v>2.7583899999999999E-3</v>
      </c>
      <c r="S3095">
        <v>-3.0021360000000001</v>
      </c>
      <c r="T3095">
        <v>-4.3952469999999997E-3</v>
      </c>
      <c r="U3095">
        <v>-0.241394</v>
      </c>
      <c r="V3095">
        <v>1.7665190000000001E-2</v>
      </c>
      <c r="W3095">
        <v>4.2592820000000003E-2</v>
      </c>
      <c r="X3095">
        <v>0.99893639999999995</v>
      </c>
      <c r="Y3095">
        <v>-6.5275879999999994E-2</v>
      </c>
      <c r="Z3095" s="1">
        <v>-2.591371E-5</v>
      </c>
      <c r="AA3095">
        <v>0.99786719999999896</v>
      </c>
      <c r="AB3095">
        <v>31</v>
      </c>
      <c r="AC3095">
        <v>-82.994699999999995</v>
      </c>
      <c r="AD3095">
        <v>-0.1218694</v>
      </c>
      <c r="AE3095">
        <v>-6.6858000000000199</v>
      </c>
      <c r="AF3095">
        <v>-5.4474385137641903</v>
      </c>
      <c r="AG3095">
        <v>-0.1218694</v>
      </c>
      <c r="AH3095">
        <v>83.084991780482795</v>
      </c>
      <c r="AI3095">
        <v>90.083861564198699</v>
      </c>
      <c r="AJ3095">
        <v>93.7512088156614</v>
      </c>
      <c r="AK3095">
        <v>83.263469166704795</v>
      </c>
      <c r="AL3095">
        <v>87.5588728713508</v>
      </c>
      <c r="AM3095">
        <v>88.986887108885696</v>
      </c>
      <c r="AN3095">
        <v>1.00000006924912</v>
      </c>
    </row>
    <row r="3096" spans="1:40" x14ac:dyDescent="0.25">
      <c r="A3096" t="str">
        <f>"20190312153945986"</f>
        <v>20190312153945986</v>
      </c>
      <c r="B3096" t="str">
        <f>"1552376385978551"</f>
        <v>1552376385978551</v>
      </c>
      <c r="C3096" t="s">
        <v>40</v>
      </c>
      <c r="D3096">
        <v>3.9942410000000002</v>
      </c>
      <c r="E3096">
        <v>0.46794239999999998</v>
      </c>
      <c r="F3096" t="s">
        <v>67</v>
      </c>
      <c r="G3096">
        <v>-511.959</v>
      </c>
      <c r="H3096">
        <v>0.96666560000000001</v>
      </c>
      <c r="I3096">
        <v>276.28460000000001</v>
      </c>
      <c r="J3096">
        <v>-429.2353</v>
      </c>
      <c r="K3096">
        <v>1.110277</v>
      </c>
      <c r="L3096">
        <v>283.06389999999999</v>
      </c>
      <c r="M3096">
        <v>-0.9997954</v>
      </c>
      <c r="N3096">
        <v>0</v>
      </c>
      <c r="O3096">
        <v>-1.4910710000000001E-2</v>
      </c>
      <c r="P3096">
        <v>-0.99955660000000002</v>
      </c>
      <c r="Q3096">
        <v>2.967709E-2</v>
      </c>
      <c r="R3096">
        <v>2.454936E-3</v>
      </c>
      <c r="S3096">
        <v>-3.0020449999999999</v>
      </c>
      <c r="T3096">
        <v>-5.1914450000000003E-3</v>
      </c>
      <c r="U3096">
        <v>-0.2453613</v>
      </c>
      <c r="V3096">
        <v>1.7361669999999999E-2</v>
      </c>
      <c r="W3096">
        <v>4.3337420000000001E-2</v>
      </c>
      <c r="X3096">
        <v>0.99890970000000001</v>
      </c>
      <c r="Y3096">
        <v>-6.6588110000000006E-2</v>
      </c>
      <c r="Z3096" s="1">
        <v>-3.1739680000000002E-5</v>
      </c>
      <c r="AA3096">
        <v>0.99778060000000002</v>
      </c>
      <c r="AB3096">
        <v>31</v>
      </c>
      <c r="AC3096">
        <v>-82.723699999999994</v>
      </c>
      <c r="AD3096">
        <v>-0.1436114</v>
      </c>
      <c r="AE3096">
        <v>-6.7792999999999699</v>
      </c>
      <c r="AF3096">
        <v>-5.5449452580516203</v>
      </c>
      <c r="AG3096">
        <v>-0.1436114</v>
      </c>
      <c r="AH3096">
        <v>82.815347514709003</v>
      </c>
      <c r="AI3096">
        <v>90.099135449841199</v>
      </c>
      <c r="AJ3096">
        <v>93.830551778522803</v>
      </c>
      <c r="AK3096">
        <v>83.000896538115896</v>
      </c>
      <c r="AL3096">
        <v>87.516171016024302</v>
      </c>
      <c r="AM3096">
        <v>89.004264081387305</v>
      </c>
      <c r="AN3096">
        <v>1.00000007415576</v>
      </c>
    </row>
    <row r="3097" spans="1:40" x14ac:dyDescent="0.25">
      <c r="A3097" t="str">
        <f>"20190312153946007"</f>
        <v>20190312153946007</v>
      </c>
      <c r="B3097" t="str">
        <f>"1552376385999047"</f>
        <v>1552376385999047</v>
      </c>
      <c r="C3097" t="s">
        <v>40</v>
      </c>
      <c r="D3097">
        <v>4.0297039999999997</v>
      </c>
      <c r="E3097">
        <v>0.46723930000000002</v>
      </c>
      <c r="F3097" t="s">
        <v>67</v>
      </c>
      <c r="G3097">
        <v>-511.95890000000003</v>
      </c>
      <c r="H3097">
        <v>0.94981099999999996</v>
      </c>
      <c r="I3097">
        <v>276.0985</v>
      </c>
      <c r="J3097">
        <v>-429.53769999999997</v>
      </c>
      <c r="K3097">
        <v>1.110287</v>
      </c>
      <c r="L3097">
        <v>283.05939999999998</v>
      </c>
      <c r="M3097">
        <v>-0.9997954</v>
      </c>
      <c r="N3097">
        <v>0</v>
      </c>
      <c r="O3097">
        <v>-1.4910929999999999E-2</v>
      </c>
      <c r="P3097">
        <v>-0.99951869999999998</v>
      </c>
      <c r="Q3097">
        <v>3.098161E-2</v>
      </c>
      <c r="R3097">
        <v>1.6305009999999999E-3</v>
      </c>
      <c r="S3097">
        <v>-3.0021059999999999</v>
      </c>
      <c r="T3097">
        <v>-5.8205130000000002E-3</v>
      </c>
      <c r="U3097">
        <v>-0.25277709999999998</v>
      </c>
      <c r="V3097">
        <v>1.6537139999999999E-2</v>
      </c>
      <c r="W3097">
        <v>4.4639829999999998E-2</v>
      </c>
      <c r="X3097">
        <v>0.99886629999999998</v>
      </c>
      <c r="Y3097">
        <v>-6.9033860000000002E-2</v>
      </c>
      <c r="Z3097" s="1">
        <v>-3.7947749999999999E-5</v>
      </c>
      <c r="AA3097">
        <v>0.99761429999999995</v>
      </c>
      <c r="AB3097">
        <v>31</v>
      </c>
      <c r="AC3097">
        <v>-82.421199999999999</v>
      </c>
      <c r="AD3097">
        <v>-0.16047599999999901</v>
      </c>
      <c r="AE3097">
        <v>-6.9608999999999801</v>
      </c>
      <c r="AF3097">
        <v>-5.7310128518504904</v>
      </c>
      <c r="AG3097">
        <v>-0.16047599999999901</v>
      </c>
      <c r="AH3097">
        <v>82.515527781985199</v>
      </c>
      <c r="AI3097">
        <v>90.111160767001607</v>
      </c>
      <c r="AJ3097">
        <v>93.973026560371494</v>
      </c>
      <c r="AK3097">
        <v>82.714464188521603</v>
      </c>
      <c r="AL3097">
        <v>87.441476026109299</v>
      </c>
      <c r="AM3097">
        <v>89.051502917495299</v>
      </c>
      <c r="AN3097">
        <v>1.00000003834874</v>
      </c>
    </row>
    <row r="3098" spans="1:40" x14ac:dyDescent="0.25">
      <c r="A3098" t="str">
        <f>"20190312153946030"</f>
        <v>20190312153946030</v>
      </c>
      <c r="B3098" t="str">
        <f>"1552376386018566"</f>
        <v>1552376386018566</v>
      </c>
      <c r="C3098" t="s">
        <v>40</v>
      </c>
      <c r="D3098">
        <v>4.0096679999999996</v>
      </c>
      <c r="E3098">
        <v>0.46659440000000002</v>
      </c>
      <c r="F3098" t="s">
        <v>67</v>
      </c>
      <c r="G3098">
        <v>-511.959</v>
      </c>
      <c r="H3098">
        <v>0.97265179999999996</v>
      </c>
      <c r="I3098">
        <v>275.89299999999997</v>
      </c>
      <c r="J3098">
        <v>-429.84719999999999</v>
      </c>
      <c r="K3098">
        <v>1.1102939999999999</v>
      </c>
      <c r="L3098">
        <v>283.05470000000003</v>
      </c>
      <c r="M3098">
        <v>-0.9997954</v>
      </c>
      <c r="N3098">
        <v>0</v>
      </c>
      <c r="O3098">
        <v>-1.4911280000000001E-2</v>
      </c>
      <c r="P3098">
        <v>-0.99947900000000001</v>
      </c>
      <c r="Q3098">
        <v>3.2270640000000003E-2</v>
      </c>
      <c r="R3098">
        <v>4.555208E-4</v>
      </c>
      <c r="S3098">
        <v>-3.002014</v>
      </c>
      <c r="T3098">
        <v>-5.010128E-3</v>
      </c>
      <c r="U3098">
        <v>-0.26101679999999999</v>
      </c>
      <c r="V3098">
        <v>1.5361970000000001E-2</v>
      </c>
      <c r="W3098">
        <v>4.5926450000000001E-2</v>
      </c>
      <c r="X3098">
        <v>0.99882669999999996</v>
      </c>
      <c r="Y3098">
        <v>-7.1754109999999996E-2</v>
      </c>
      <c r="Z3098" s="1">
        <v>-3.492672E-5</v>
      </c>
      <c r="AA3098">
        <v>0.99742229999999998</v>
      </c>
      <c r="AB3098">
        <v>31</v>
      </c>
      <c r="AC3098">
        <v>-82.111800000000002</v>
      </c>
      <c r="AD3098">
        <v>-0.13764219999999999</v>
      </c>
      <c r="AE3098">
        <v>-7.1617000000000504</v>
      </c>
      <c r="AF3098">
        <v>-5.9363806409505697</v>
      </c>
      <c r="AG3098">
        <v>-0.13764219999999999</v>
      </c>
      <c r="AH3098">
        <v>82.209239994198995</v>
      </c>
      <c r="AI3098">
        <v>90.095680592455693</v>
      </c>
      <c r="AJ3098">
        <v>94.130195236640006</v>
      </c>
      <c r="AK3098">
        <v>82.423411121557393</v>
      </c>
      <c r="AL3098">
        <v>87.367682336264295</v>
      </c>
      <c r="AM3098">
        <v>89.118859502376296</v>
      </c>
      <c r="AN3098">
        <v>1.0000000027823801</v>
      </c>
    </row>
    <row r="3099" spans="1:40" x14ac:dyDescent="0.25">
      <c r="A3099" t="str">
        <f>"20190312153946044"</f>
        <v>20190312153946044</v>
      </c>
      <c r="B3099" t="str">
        <f>"1552376386039063"</f>
        <v>1552376386039063</v>
      </c>
      <c r="C3099" t="s">
        <v>40</v>
      </c>
      <c r="D3099">
        <v>3.9626269999999999</v>
      </c>
      <c r="E3099">
        <v>0.4659642</v>
      </c>
      <c r="F3099" t="s">
        <v>67</v>
      </c>
      <c r="G3099">
        <v>-511.959</v>
      </c>
      <c r="H3099">
        <v>1.0041610000000001</v>
      </c>
      <c r="I3099">
        <v>275.67860000000002</v>
      </c>
      <c r="J3099">
        <v>-430.04899999999998</v>
      </c>
      <c r="K3099">
        <v>1.1102970000000001</v>
      </c>
      <c r="L3099">
        <v>283.05180000000001</v>
      </c>
      <c r="M3099">
        <v>-0.9997954</v>
      </c>
      <c r="N3099">
        <v>0</v>
      </c>
      <c r="O3099">
        <v>-1.4911509999999999E-2</v>
      </c>
      <c r="P3099">
        <v>-0.99946630000000003</v>
      </c>
      <c r="Q3099">
        <v>3.2665230000000003E-2</v>
      </c>
      <c r="R3099">
        <v>-4.8454619999999999E-4</v>
      </c>
      <c r="S3099">
        <v>-3.0018310000000001</v>
      </c>
      <c r="T3099">
        <v>-3.8770440000000001E-3</v>
      </c>
      <c r="U3099">
        <v>-0.26965329999999998</v>
      </c>
      <c r="V3099">
        <v>1.442205E-2</v>
      </c>
      <c r="W3099">
        <v>4.6320380000000001E-2</v>
      </c>
      <c r="X3099">
        <v>0.99882249999999995</v>
      </c>
      <c r="Y3099">
        <v>-7.4606279999999997E-2</v>
      </c>
      <c r="Z3099" s="1">
        <v>-2.886395E-5</v>
      </c>
      <c r="AA3099">
        <v>0.99721309999999996</v>
      </c>
      <c r="AB3099">
        <v>31</v>
      </c>
      <c r="AC3099">
        <v>-81.909999999999897</v>
      </c>
      <c r="AD3099">
        <v>-0.106135999999999</v>
      </c>
      <c r="AE3099">
        <v>-7.37319999999999</v>
      </c>
      <c r="AF3099">
        <v>-6.1508539478343396</v>
      </c>
      <c r="AG3099">
        <v>-0.106135999999999</v>
      </c>
      <c r="AH3099">
        <v>82.010710546292003</v>
      </c>
      <c r="AI3099">
        <v>90.073942900454895</v>
      </c>
      <c r="AJ3099">
        <v>94.289188521654793</v>
      </c>
      <c r="AK3099">
        <v>82.241114495401703</v>
      </c>
      <c r="AL3099">
        <v>87.345087702446904</v>
      </c>
      <c r="AM3099">
        <v>89.172760747296394</v>
      </c>
      <c r="AN3099">
        <v>0.99999997981789801</v>
      </c>
    </row>
    <row r="3100" spans="1:40" x14ac:dyDescent="0.25">
      <c r="A3100" t="str">
        <f>"20190312153946064"</f>
        <v>20190312153946064</v>
      </c>
      <c r="B3100" t="str">
        <f>"1552376386058582"</f>
        <v>1552376386058582</v>
      </c>
      <c r="C3100" t="s">
        <v>40</v>
      </c>
      <c r="D3100">
        <v>3.9547750000000002</v>
      </c>
      <c r="E3100">
        <v>0.46548260000000002</v>
      </c>
      <c r="F3100" t="s">
        <v>67</v>
      </c>
      <c r="G3100">
        <v>-512.82550000000003</v>
      </c>
      <c r="H3100">
        <v>1.0175449999999999</v>
      </c>
      <c r="I3100">
        <v>275.3974</v>
      </c>
      <c r="J3100">
        <v>-430.31450000000001</v>
      </c>
      <c r="K3100">
        <v>1.110293</v>
      </c>
      <c r="L3100">
        <v>283.0478</v>
      </c>
      <c r="M3100">
        <v>-0.9997954</v>
      </c>
      <c r="N3100">
        <v>0</v>
      </c>
      <c r="O3100">
        <v>-1.491162E-2</v>
      </c>
      <c r="P3100">
        <v>-0.99946550000000001</v>
      </c>
      <c r="Q3100">
        <v>3.2635650000000002E-2</v>
      </c>
      <c r="R3100">
        <v>-1.8976959999999999E-3</v>
      </c>
      <c r="S3100">
        <v>-3.0015869999999998</v>
      </c>
      <c r="T3100">
        <v>-3.3603909999999999E-3</v>
      </c>
      <c r="U3100">
        <v>-0.27755740000000001</v>
      </c>
      <c r="V3100">
        <v>1.3009349999999999E-2</v>
      </c>
      <c r="W3100">
        <v>4.6289410000000003E-2</v>
      </c>
      <c r="X3100">
        <v>0.99884340000000005</v>
      </c>
      <c r="Y3100">
        <v>-7.7217439999999998E-2</v>
      </c>
      <c r="Z3100" s="1">
        <v>-2.64751E-5</v>
      </c>
      <c r="AA3100">
        <v>0.99701430000000002</v>
      </c>
      <c r="AB3100">
        <v>31</v>
      </c>
      <c r="AC3100">
        <v>-82.510999999999996</v>
      </c>
      <c r="AD3100">
        <v>-9.2747999999999803E-2</v>
      </c>
      <c r="AE3100">
        <v>-7.6503999999999897</v>
      </c>
      <c r="AF3100">
        <v>-6.4190535827115802</v>
      </c>
      <c r="AG3100">
        <v>-9.2747999999999803E-2</v>
      </c>
      <c r="AH3100">
        <v>82.615811367507604</v>
      </c>
      <c r="AI3100">
        <v>90.064129354986704</v>
      </c>
      <c r="AJ3100">
        <v>94.442820883246199</v>
      </c>
      <c r="AK3100">
        <v>82.864860701028306</v>
      </c>
      <c r="AL3100">
        <v>87.346864231754196</v>
      </c>
      <c r="AM3100">
        <v>89.253798237193095</v>
      </c>
      <c r="AN3100">
        <v>1.0000000451945601</v>
      </c>
    </row>
    <row r="3101" spans="1:40" x14ac:dyDescent="0.25">
      <c r="A3101" t="str">
        <f>"20190312153946076"</f>
        <v>20190312153946076</v>
      </c>
      <c r="B3101" t="str">
        <f>"1552376386069318"</f>
        <v>1552376386069318</v>
      </c>
      <c r="C3101" t="s">
        <v>40</v>
      </c>
      <c r="D3101">
        <v>3.9729030000000001</v>
      </c>
      <c r="E3101">
        <v>0.46540490000000001</v>
      </c>
      <c r="F3101" t="s">
        <v>67</v>
      </c>
      <c r="G3101">
        <v>-512.82550000000003</v>
      </c>
      <c r="H3101">
        <v>1.062743</v>
      </c>
      <c r="I3101">
        <v>275.19959999999998</v>
      </c>
      <c r="J3101">
        <v>-430.49239999999998</v>
      </c>
      <c r="K3101">
        <v>1.1102920000000001</v>
      </c>
      <c r="L3101">
        <v>283.04520000000002</v>
      </c>
      <c r="M3101">
        <v>-0.99979560000000001</v>
      </c>
      <c r="N3101">
        <v>0</v>
      </c>
      <c r="O3101">
        <v>-1.4911850000000001E-2</v>
      </c>
      <c r="P3101">
        <v>-0.99946809999999997</v>
      </c>
      <c r="Q3101">
        <v>3.252294E-2</v>
      </c>
      <c r="R3101">
        <v>-2.447795E-3</v>
      </c>
      <c r="S3101">
        <v>-3.00116</v>
      </c>
      <c r="T3101">
        <v>-1.7266269999999999E-3</v>
      </c>
      <c r="U3101">
        <v>-0.28546139999999998</v>
      </c>
      <c r="V3101">
        <v>1.2459430000000001E-2</v>
      </c>
      <c r="W3101">
        <v>4.6175569999999999E-2</v>
      </c>
      <c r="X3101">
        <v>0.99885570000000001</v>
      </c>
      <c r="Y3101">
        <v>-7.9832899999999998E-2</v>
      </c>
      <c r="Z3101" s="1">
        <v>-1.435421E-5</v>
      </c>
      <c r="AA3101">
        <v>0.99680820000000003</v>
      </c>
      <c r="AB3101">
        <v>31</v>
      </c>
      <c r="AC3101">
        <v>-82.333100000000002</v>
      </c>
      <c r="AD3101">
        <v>-4.7549000000000001E-2</v>
      </c>
      <c r="AE3101">
        <v>-7.8456000000000401</v>
      </c>
      <c r="AF3101">
        <v>-6.6168720397744796</v>
      </c>
      <c r="AG3101">
        <v>-4.7549000000000001E-2</v>
      </c>
      <c r="AH3101">
        <v>82.440919921885296</v>
      </c>
      <c r="AI3101">
        <v>90.032940240822796</v>
      </c>
      <c r="AJ3101">
        <v>94.588836238216999</v>
      </c>
      <c r="AK3101">
        <v>82.706048956922402</v>
      </c>
      <c r="AL3101">
        <v>87.3533938175527</v>
      </c>
      <c r="AM3101">
        <v>89.285346488994406</v>
      </c>
      <c r="AN3101">
        <v>1.0000000650416101</v>
      </c>
    </row>
    <row r="3102" spans="1:40" x14ac:dyDescent="0.25">
      <c r="A3102" t="str">
        <f>"20190312153946087"</f>
        <v>20190312153946087</v>
      </c>
      <c r="B3102" t="str">
        <f>"1552376386079079"</f>
        <v>1552376386079079</v>
      </c>
      <c r="C3102" t="s">
        <v>40</v>
      </c>
      <c r="D3102">
        <v>3.9855689999999999</v>
      </c>
      <c r="E3102">
        <v>0.46538220000000002</v>
      </c>
      <c r="F3102" t="s">
        <v>67</v>
      </c>
      <c r="G3102">
        <v>-512.82550000000003</v>
      </c>
      <c r="H3102">
        <v>1.062827</v>
      </c>
      <c r="I3102">
        <v>275.15050000000002</v>
      </c>
      <c r="J3102">
        <v>-430.649</v>
      </c>
      <c r="K3102">
        <v>1.1102909999999999</v>
      </c>
      <c r="L3102">
        <v>283.0428</v>
      </c>
      <c r="M3102">
        <v>-0.99979560000000001</v>
      </c>
      <c r="N3102">
        <v>0</v>
      </c>
      <c r="O3102">
        <v>-1.4912079999999999E-2</v>
      </c>
      <c r="P3102">
        <v>-0.99947140000000001</v>
      </c>
      <c r="Q3102">
        <v>3.2387609999999997E-2</v>
      </c>
      <c r="R3102">
        <v>-2.9181229999999999E-3</v>
      </c>
      <c r="S3102">
        <v>-3.0009459999999999</v>
      </c>
      <c r="T3102">
        <v>-1.7271039999999999E-3</v>
      </c>
      <c r="U3102">
        <v>-0.28775020000000001</v>
      </c>
      <c r="V3102">
        <v>1.198955E-2</v>
      </c>
      <c r="W3102">
        <v>4.603981E-2</v>
      </c>
      <c r="X3102">
        <v>0.99886759999999997</v>
      </c>
      <c r="Y3102">
        <v>-8.0592709999999998E-2</v>
      </c>
      <c r="Z3102" s="1">
        <v>-1.4576700000000001E-5</v>
      </c>
      <c r="AA3102">
        <v>0.9967471</v>
      </c>
      <c r="AB3102">
        <v>31</v>
      </c>
      <c r="AC3102">
        <v>-82.176500000000004</v>
      </c>
      <c r="AD3102">
        <v>-4.7463999999999902E-2</v>
      </c>
      <c r="AE3102">
        <v>-7.8922999999999703</v>
      </c>
      <c r="AF3102">
        <v>-6.6658833180953403</v>
      </c>
      <c r="AG3102">
        <v>-4.7463999999999902E-2</v>
      </c>
      <c r="AH3102">
        <v>82.285035367733698</v>
      </c>
      <c r="AI3102">
        <v>90.032941674549406</v>
      </c>
      <c r="AJ3102">
        <v>94.631398404656295</v>
      </c>
      <c r="AK3102">
        <v>82.554607979875598</v>
      </c>
      <c r="AL3102">
        <v>87.361180264080105</v>
      </c>
      <c r="AM3102">
        <v>89.312303627415801</v>
      </c>
      <c r="AN3102">
        <v>0.99999994787189705</v>
      </c>
    </row>
    <row r="3103" spans="1:40" x14ac:dyDescent="0.25">
      <c r="A3103" t="str">
        <f>"20190312153946100"</f>
        <v>20190312153946100</v>
      </c>
      <c r="B3103" t="str">
        <f>"1552376386088839"</f>
        <v>1552376386088839</v>
      </c>
      <c r="C3103" t="s">
        <v>40</v>
      </c>
      <c r="D3103">
        <v>3.7668529999999998</v>
      </c>
      <c r="E3103">
        <v>0.46538220000000002</v>
      </c>
      <c r="F3103" t="s">
        <v>67</v>
      </c>
      <c r="G3103">
        <v>-512.82550000000003</v>
      </c>
      <c r="H3103">
        <v>1.07637</v>
      </c>
      <c r="I3103">
        <v>275.11099999999999</v>
      </c>
      <c r="J3103">
        <v>-430.82679999999999</v>
      </c>
      <c r="K3103">
        <v>1.1102890000000001</v>
      </c>
      <c r="L3103">
        <v>283.04020000000003</v>
      </c>
      <c r="M3103">
        <v>-0.99979560000000001</v>
      </c>
      <c r="N3103">
        <v>0</v>
      </c>
      <c r="O3103">
        <v>-1.491231E-2</v>
      </c>
      <c r="P3103">
        <v>-0.99948250000000005</v>
      </c>
      <c r="Q3103">
        <v>3.2018270000000001E-2</v>
      </c>
      <c r="R3103">
        <v>-3.1276630000000001E-3</v>
      </c>
      <c r="S3103">
        <v>-3.0007929999999998</v>
      </c>
      <c r="T3103">
        <v>-1.235723E-3</v>
      </c>
      <c r="U3103">
        <v>-0.28964230000000002</v>
      </c>
      <c r="V3103">
        <v>1.178036E-2</v>
      </c>
      <c r="W3103">
        <v>4.5669700000000001E-2</v>
      </c>
      <c r="X3103">
        <v>0.99888710000000003</v>
      </c>
      <c r="Y3103">
        <v>-8.1220000000000001E-2</v>
      </c>
      <c r="Z3103" s="1">
        <v>-1.055844E-5</v>
      </c>
      <c r="AA3103">
        <v>0.99669620000000003</v>
      </c>
      <c r="AB3103">
        <v>31</v>
      </c>
      <c r="AC3103">
        <v>-81.998699999999999</v>
      </c>
      <c r="AD3103">
        <v>-3.3918999999999797E-2</v>
      </c>
      <c r="AE3103">
        <v>-7.92920000000003</v>
      </c>
      <c r="AF3103">
        <v>-6.7054130115888597</v>
      </c>
      <c r="AG3103">
        <v>-3.3918999999999797E-2</v>
      </c>
      <c r="AH3103">
        <v>82.107820271137896</v>
      </c>
      <c r="AI3103">
        <v>90.023590530468894</v>
      </c>
      <c r="AJ3103">
        <v>94.668753418955504</v>
      </c>
      <c r="AK3103">
        <v>82.381174207655107</v>
      </c>
      <c r="AL3103">
        <v>87.382408389639593</v>
      </c>
      <c r="AM3103">
        <v>89.324314410539401</v>
      </c>
      <c r="AN3103">
        <v>0.99999996846311401</v>
      </c>
    </row>
    <row r="3104" spans="1:40" x14ac:dyDescent="0.25">
      <c r="A3104" t="str">
        <f>"20190312153946208"</f>
        <v>20190312153946208</v>
      </c>
      <c r="B3104" t="str">
        <f>"1552376386199127"</f>
        <v>1552376386199127</v>
      </c>
      <c r="C3104" t="s">
        <v>40</v>
      </c>
      <c r="D3104">
        <v>3.4439269999999902</v>
      </c>
      <c r="E3104">
        <v>0.4644141</v>
      </c>
      <c r="F3104" t="s">
        <v>67</v>
      </c>
      <c r="G3104">
        <v>-512.82550000000003</v>
      </c>
      <c r="H3104">
        <v>1.0462209999999901</v>
      </c>
      <c r="I3104">
        <v>275.11450000000002</v>
      </c>
      <c r="J3104">
        <v>-432.3297</v>
      </c>
      <c r="K3104">
        <v>1.1102810000000001</v>
      </c>
      <c r="L3104">
        <v>283.01780000000002</v>
      </c>
      <c r="M3104">
        <v>-0.99979560000000001</v>
      </c>
      <c r="N3104">
        <v>0</v>
      </c>
      <c r="O3104">
        <v>-1.491309E-2</v>
      </c>
      <c r="P3104">
        <v>-0.999533</v>
      </c>
      <c r="Q3104">
        <v>3.0498000000000001E-2</v>
      </c>
      <c r="R3104">
        <v>1.998882E-3</v>
      </c>
      <c r="S3104">
        <v>-3.0007630000000001</v>
      </c>
      <c r="T3104">
        <v>-2.3416280000000001E-3</v>
      </c>
      <c r="U3104">
        <v>-0.29003909999999899</v>
      </c>
      <c r="V3104">
        <v>1.6907910000000002E-2</v>
      </c>
      <c r="W3104">
        <v>4.4140600000000002E-2</v>
      </c>
      <c r="X3104">
        <v>0.99888220000000005</v>
      </c>
      <c r="Y3104">
        <v>-8.1350729999999996E-2</v>
      </c>
      <c r="Z3104" s="1">
        <v>-2.0058029999999999E-5</v>
      </c>
      <c r="AA3104">
        <v>0.99668559999999995</v>
      </c>
      <c r="AB3104">
        <v>31</v>
      </c>
      <c r="AC3104">
        <v>-80.495800000000003</v>
      </c>
      <c r="AD3104">
        <v>-6.4060000000000006E-2</v>
      </c>
      <c r="AE3104">
        <v>-7.9032999999999998</v>
      </c>
      <c r="AF3104">
        <v>-6.7018637538591799</v>
      </c>
      <c r="AG3104">
        <v>-6.4060000000000006E-2</v>
      </c>
      <c r="AH3104">
        <v>80.604669736903105</v>
      </c>
      <c r="AI3104">
        <v>90.045378828982706</v>
      </c>
      <c r="AJ3104">
        <v>94.752917110918304</v>
      </c>
      <c r="AK3104">
        <v>80.882827997382293</v>
      </c>
      <c r="AL3104">
        <v>87.4701078217538</v>
      </c>
      <c r="AM3104">
        <v>89.030256643075006</v>
      </c>
      <c r="AN3104">
        <v>0.99999995973288303</v>
      </c>
    </row>
    <row r="3105" spans="1:40" x14ac:dyDescent="0.25">
      <c r="A3105" t="str">
        <f>"20190312153946221"</f>
        <v>20190312153946221</v>
      </c>
      <c r="B3105" t="str">
        <f>"1552376386218647"</f>
        <v>1552376386218647</v>
      </c>
      <c r="C3105" t="s">
        <v>40</v>
      </c>
      <c r="D3105">
        <v>4.0271730000000003</v>
      </c>
      <c r="E3105">
        <v>0.46691290000000002</v>
      </c>
      <c r="F3105" t="s">
        <v>41</v>
      </c>
      <c r="G3105">
        <v>-433.15809999999999</v>
      </c>
      <c r="H3105">
        <v>0.98674649999999997</v>
      </c>
      <c r="I3105">
        <v>282.93490000000003</v>
      </c>
      <c r="J3105">
        <v>-432.51170000000002</v>
      </c>
      <c r="K3105">
        <v>1.1102860000000001</v>
      </c>
      <c r="L3105">
        <v>283.01510000000002</v>
      </c>
      <c r="M3105">
        <v>-0.99979569999999995</v>
      </c>
      <c r="N3105">
        <v>0</v>
      </c>
      <c r="O3105">
        <v>-1.491321E-2</v>
      </c>
      <c r="P3105">
        <v>-0.99950539999999999</v>
      </c>
      <c r="Q3105">
        <v>3.1342500000000002E-2</v>
      </c>
      <c r="R3105">
        <v>2.656336E-3</v>
      </c>
      <c r="S3105">
        <v>-3.0156860000000001</v>
      </c>
      <c r="T3105">
        <v>-0.4498376</v>
      </c>
      <c r="U3105">
        <v>-0.3027649</v>
      </c>
      <c r="V3105">
        <v>1.7565040000000001E-2</v>
      </c>
      <c r="W3105">
        <v>4.4983290000000002E-2</v>
      </c>
      <c r="X3105">
        <v>0.99883330000000004</v>
      </c>
      <c r="Y3105">
        <v>-8.4283800000000006E-2</v>
      </c>
      <c r="Z3105">
        <v>-4.0295519999999996E-3</v>
      </c>
      <c r="AA3105">
        <v>0.99643360000000003</v>
      </c>
      <c r="AB3105">
        <v>31</v>
      </c>
      <c r="AC3105">
        <v>-0.646399999999971</v>
      </c>
      <c r="AD3105">
        <v>-0.1235395</v>
      </c>
      <c r="AE3105">
        <v>-8.0199999999990695E-2</v>
      </c>
      <c r="AF3105">
        <v>-6.8100515602715295E-2</v>
      </c>
      <c r="AG3105">
        <v>-0.1235395</v>
      </c>
      <c r="AH3105">
        <v>0.62503980856877595</v>
      </c>
      <c r="AI3105">
        <v>101.116308153978</v>
      </c>
      <c r="AJ3105">
        <v>96.218070397399202</v>
      </c>
      <c r="AK3105">
        <v>0.64076083727183097</v>
      </c>
      <c r="AL3105">
        <v>87.421777316097106</v>
      </c>
      <c r="AM3105">
        <v>88.992525645396896</v>
      </c>
      <c r="AN3105">
        <v>0.99999999409915696</v>
      </c>
    </row>
    <row r="3106" spans="1:40" x14ac:dyDescent="0.25">
      <c r="A3106" t="str">
        <f>"20190312153946234"</f>
        <v>20190312153946234</v>
      </c>
      <c r="B3106" t="str">
        <f>"1552376386228407"</f>
        <v>1552376386228407</v>
      </c>
      <c r="C3106" t="s">
        <v>40</v>
      </c>
      <c r="D3106">
        <v>3.9556420000000001</v>
      </c>
      <c r="E3106">
        <v>0.4678408</v>
      </c>
      <c r="F3106" t="s">
        <v>41</v>
      </c>
      <c r="G3106">
        <v>-433.43340000000001</v>
      </c>
      <c r="H3106">
        <v>0.98433470000000001</v>
      </c>
      <c r="I3106">
        <v>282.93</v>
      </c>
      <c r="J3106">
        <v>-432.68459999999999</v>
      </c>
      <c r="K3106">
        <v>1.1102909999999999</v>
      </c>
      <c r="L3106">
        <v>283.01249999999999</v>
      </c>
      <c r="M3106">
        <v>-0.99979560000000001</v>
      </c>
      <c r="N3106">
        <v>0</v>
      </c>
      <c r="O3106">
        <v>-1.49132E-2</v>
      </c>
      <c r="P3106">
        <v>-0.99948009999999998</v>
      </c>
      <c r="Q3106">
        <v>3.2097979999999998E-2</v>
      </c>
      <c r="R3106">
        <v>3.0845880000000001E-3</v>
      </c>
      <c r="S3106">
        <v>-3.0151979999999998</v>
      </c>
      <c r="T3106">
        <v>-0.41219030000000001</v>
      </c>
      <c r="U3106">
        <v>-0.27899170000000001</v>
      </c>
      <c r="V3106">
        <v>1.7992899999999999E-2</v>
      </c>
      <c r="W3106">
        <v>4.5737350000000003E-2</v>
      </c>
      <c r="X3106">
        <v>0.99879150000000005</v>
      </c>
      <c r="Y3106">
        <v>-7.6703880000000002E-2</v>
      </c>
      <c r="Z3106">
        <v>-3.1828550000000001E-3</v>
      </c>
      <c r="AA3106">
        <v>0.99704890000000002</v>
      </c>
      <c r="AB3106">
        <v>31</v>
      </c>
      <c r="AC3106">
        <v>-0.74880000000001701</v>
      </c>
      <c r="AD3106">
        <v>-0.12595629999999899</v>
      </c>
      <c r="AE3106">
        <v>-8.2499999999981796E-2</v>
      </c>
      <c r="AF3106">
        <v>-6.9383135124950701E-2</v>
      </c>
      <c r="AG3106">
        <v>-0.12595629999999899</v>
      </c>
      <c r="AH3106">
        <v>0.72955213456502499</v>
      </c>
      <c r="AI3106">
        <v>99.752328995476503</v>
      </c>
      <c r="AJ3106">
        <v>95.432703032867394</v>
      </c>
      <c r="AK3106">
        <v>0.74358948755199705</v>
      </c>
      <c r="AL3106">
        <v>87.378528502652699</v>
      </c>
      <c r="AM3106">
        <v>88.967947031703503</v>
      </c>
      <c r="AN3106">
        <v>1.0000000550538299</v>
      </c>
    </row>
    <row r="3107" spans="1:40" x14ac:dyDescent="0.25">
      <c r="A3107" t="str">
        <f>"20190312153946253"</f>
        <v>20190312153946253</v>
      </c>
      <c r="B3107" t="str">
        <f>"1552376386248902"</f>
        <v>1552376386248902</v>
      </c>
      <c r="C3107" t="s">
        <v>40</v>
      </c>
      <c r="D3107">
        <v>3.9364590000000002</v>
      </c>
      <c r="E3107">
        <v>0.47007569999999999</v>
      </c>
      <c r="F3107" t="s">
        <v>61</v>
      </c>
      <c r="G3107">
        <v>-442.05650000000003</v>
      </c>
      <c r="H3107" s="1">
        <v>-3.3583540000000001E-7</v>
      </c>
      <c r="I3107">
        <v>282.17779999999999</v>
      </c>
      <c r="J3107">
        <v>-432.95499999999998</v>
      </c>
      <c r="K3107">
        <v>1.110295</v>
      </c>
      <c r="L3107">
        <v>283.00850000000003</v>
      </c>
      <c r="M3107">
        <v>-0.99979569999999995</v>
      </c>
      <c r="N3107">
        <v>0</v>
      </c>
      <c r="O3107">
        <v>-1.4913549999999999E-2</v>
      </c>
      <c r="P3107">
        <v>-0.99942940000000002</v>
      </c>
      <c r="Q3107">
        <v>3.3571320000000002E-2</v>
      </c>
      <c r="R3107">
        <v>3.7533750000000002E-3</v>
      </c>
      <c r="S3107">
        <v>-3.013855</v>
      </c>
      <c r="T3107">
        <v>-0.35705360000000003</v>
      </c>
      <c r="U3107">
        <v>-0.26843260000000002</v>
      </c>
      <c r="V3107">
        <v>1.866112E-2</v>
      </c>
      <c r="W3107">
        <v>4.720775E-2</v>
      </c>
      <c r="X3107">
        <v>0.99871080000000001</v>
      </c>
      <c r="Y3107">
        <v>-7.3443069999999999E-2</v>
      </c>
      <c r="Z3107">
        <v>-2.5697490000000001E-3</v>
      </c>
      <c r="AA3107">
        <v>0.99729610000000002</v>
      </c>
      <c r="AB3107">
        <v>31</v>
      </c>
      <c r="AC3107">
        <v>-9.1015000000000406</v>
      </c>
      <c r="AD3107">
        <v>-1.1102953358354</v>
      </c>
      <c r="AE3107">
        <v>-0.83070000000003497</v>
      </c>
      <c r="AF3107">
        <v>-0.68475321701418002</v>
      </c>
      <c r="AG3107">
        <v>-1.1102953358354</v>
      </c>
      <c r="AH3107">
        <v>8.9803392663243393</v>
      </c>
      <c r="AI3107">
        <v>97.027871738360403</v>
      </c>
      <c r="AJ3107">
        <v>94.360380663872206</v>
      </c>
      <c r="AK3107">
        <v>9.0745873757034197</v>
      </c>
      <c r="AL3107">
        <v>87.294189610198202</v>
      </c>
      <c r="AM3107">
        <v>88.929540953987399</v>
      </c>
      <c r="AN3107">
        <v>1.00000003554817</v>
      </c>
    </row>
    <row r="3108" spans="1:40" x14ac:dyDescent="0.25">
      <c r="A3108" t="str">
        <f>"20190312153946267"</f>
        <v>20190312153946267</v>
      </c>
      <c r="B3108" t="str">
        <f>"1552376386258663"</f>
        <v>1552376386258663</v>
      </c>
      <c r="C3108" t="s">
        <v>40</v>
      </c>
      <c r="D3108">
        <v>3.9452729999999998</v>
      </c>
      <c r="E3108">
        <v>0.47067559999999897</v>
      </c>
      <c r="F3108" t="s">
        <v>61</v>
      </c>
      <c r="G3108">
        <v>-446.505</v>
      </c>
      <c r="H3108" s="1">
        <v>2.0431130000000001E-6</v>
      </c>
      <c r="I3108">
        <v>281.91059999999999</v>
      </c>
      <c r="J3108">
        <v>-433.1386</v>
      </c>
      <c r="K3108">
        <v>1.110295</v>
      </c>
      <c r="L3108">
        <v>283.00580000000002</v>
      </c>
      <c r="M3108">
        <v>-0.99979560000000001</v>
      </c>
      <c r="N3108">
        <v>0</v>
      </c>
      <c r="O3108">
        <v>-1.491378E-2</v>
      </c>
      <c r="P3108">
        <v>-0.99943669999999996</v>
      </c>
      <c r="Q3108">
        <v>3.3350100000000001E-2</v>
      </c>
      <c r="R3108">
        <v>3.7583999999999998E-3</v>
      </c>
      <c r="S3108">
        <v>-3.0109560000000002</v>
      </c>
      <c r="T3108">
        <v>-0.2467201</v>
      </c>
      <c r="U3108">
        <v>-0.24395749999999999</v>
      </c>
      <c r="V3108">
        <v>1.8666390000000001E-2</v>
      </c>
      <c r="W3108">
        <v>4.6985789999999999E-2</v>
      </c>
      <c r="X3108">
        <v>0.99872110000000003</v>
      </c>
      <c r="Y3108">
        <v>-6.5714110000000006E-2</v>
      </c>
      <c r="Z3108">
        <v>-1.4655409999999999E-3</v>
      </c>
      <c r="AA3108">
        <v>0.99783739999999999</v>
      </c>
      <c r="AB3108">
        <v>31</v>
      </c>
      <c r="AC3108">
        <v>-13.366400000000001</v>
      </c>
      <c r="AD3108">
        <v>-1.1102929568869999</v>
      </c>
      <c r="AE3108">
        <v>-1.0952000000000299</v>
      </c>
      <c r="AF3108">
        <v>-0.88961865565263099</v>
      </c>
      <c r="AG3108">
        <v>-1.1102929568869999</v>
      </c>
      <c r="AH3108">
        <v>13.2901583010902</v>
      </c>
      <c r="AI3108">
        <v>94.764928848853501</v>
      </c>
      <c r="AJ3108">
        <v>93.829560773763404</v>
      </c>
      <c r="AK3108">
        <v>13.3660943985382</v>
      </c>
      <c r="AL3108">
        <v>87.306920924213301</v>
      </c>
      <c r="AM3108">
        <v>88.929249761398097</v>
      </c>
      <c r="AN3108">
        <v>0.99999996708138195</v>
      </c>
    </row>
    <row r="3109" spans="1:40" x14ac:dyDescent="0.25">
      <c r="A3109" t="str">
        <f>"20190312153946279"</f>
        <v>20190312153946279</v>
      </c>
      <c r="B3109" t="str">
        <f>"1552376386268422"</f>
        <v>1552376386268422</v>
      </c>
      <c r="C3109" t="s">
        <v>40</v>
      </c>
      <c r="D3109">
        <v>3.921494</v>
      </c>
      <c r="E3109">
        <v>0.47110920000000001</v>
      </c>
      <c r="F3109" t="s">
        <v>61</v>
      </c>
      <c r="G3109">
        <v>-449.36599999999999</v>
      </c>
      <c r="H3109" s="1">
        <v>3.5736649999999999E-6</v>
      </c>
      <c r="I3109">
        <v>281.72609999999997</v>
      </c>
      <c r="J3109">
        <v>-433.31119999999999</v>
      </c>
      <c r="K3109">
        <v>1.110298</v>
      </c>
      <c r="L3109">
        <v>283.00319999999999</v>
      </c>
      <c r="M3109">
        <v>-0.99979569999999995</v>
      </c>
      <c r="N3109">
        <v>0</v>
      </c>
      <c r="O3109">
        <v>-1.491401E-2</v>
      </c>
      <c r="P3109">
        <v>-0.99944630000000001</v>
      </c>
      <c r="Q3109">
        <v>3.306419E-2</v>
      </c>
      <c r="R3109">
        <v>3.7631420000000001E-3</v>
      </c>
      <c r="S3109">
        <v>-3.0095209999999999</v>
      </c>
      <c r="T3109">
        <v>-0.20591370000000001</v>
      </c>
      <c r="U3109">
        <v>-0.2373352</v>
      </c>
      <c r="V3109">
        <v>1.8671739999999999E-2</v>
      </c>
      <c r="W3109">
        <v>4.6699049999999999E-2</v>
      </c>
      <c r="X3109">
        <v>0.99873449999999997</v>
      </c>
      <c r="Y3109">
        <v>-6.3626219999999997E-2</v>
      </c>
      <c r="Z3109">
        <v>-1.153198E-3</v>
      </c>
      <c r="AA3109">
        <v>0.99797309999999995</v>
      </c>
      <c r="AB3109">
        <v>31</v>
      </c>
      <c r="AC3109">
        <v>-16.0548</v>
      </c>
      <c r="AD3109">
        <v>-1.1102944263349901</v>
      </c>
      <c r="AE3109">
        <v>-1.2771000000000099</v>
      </c>
      <c r="AF3109">
        <v>-1.03258677471712</v>
      </c>
      <c r="AG3109">
        <v>-1.1102944263349901</v>
      </c>
      <c r="AH3109">
        <v>15.9960404490336</v>
      </c>
      <c r="AI3109">
        <v>93.962344192805602</v>
      </c>
      <c r="AJ3109">
        <v>93.693469713371798</v>
      </c>
      <c r="AK3109">
        <v>16.067740949106401</v>
      </c>
      <c r="AL3109">
        <v>87.323368107935806</v>
      </c>
      <c r="AM3109">
        <v>88.9289573106646</v>
      </c>
      <c r="AN3109">
        <v>1.0000000183178801</v>
      </c>
    </row>
    <row r="3110" spans="1:40" x14ac:dyDescent="0.25">
      <c r="A3110" t="str">
        <f>"20190312153946298"</f>
        <v>20190312153946298</v>
      </c>
      <c r="B3110" t="str">
        <f>"1552376386288919"</f>
        <v>1552376386288919</v>
      </c>
      <c r="C3110" t="s">
        <v>40</v>
      </c>
      <c r="D3110">
        <v>3.942523</v>
      </c>
      <c r="E3110">
        <v>0.47164159999999999</v>
      </c>
      <c r="F3110" t="s">
        <v>61</v>
      </c>
      <c r="G3110">
        <v>-452.49919999999997</v>
      </c>
      <c r="H3110" s="1">
        <v>-7.1490690000000002E-8</v>
      </c>
      <c r="I3110">
        <v>281.52010000000001</v>
      </c>
      <c r="J3110">
        <v>-433.56920000000002</v>
      </c>
      <c r="K3110">
        <v>1.110301</v>
      </c>
      <c r="L3110">
        <v>282.99939999999998</v>
      </c>
      <c r="M3110">
        <v>-0.99979569999999995</v>
      </c>
      <c r="N3110">
        <v>0</v>
      </c>
      <c r="O3110">
        <v>-1.491424E-2</v>
      </c>
      <c r="P3110">
        <v>-0.99944960000000005</v>
      </c>
      <c r="Q3110">
        <v>3.2927739999999997E-2</v>
      </c>
      <c r="R3110">
        <v>4.0761809999999999E-3</v>
      </c>
      <c r="S3110">
        <v>-3.0083009999999999</v>
      </c>
      <c r="T3110">
        <v>-0.1740729</v>
      </c>
      <c r="U3110">
        <v>-0.23251340000000001</v>
      </c>
      <c r="V3110">
        <v>1.898495E-2</v>
      </c>
      <c r="W3110">
        <v>4.6561390000000001E-2</v>
      </c>
      <c r="X3110">
        <v>0.99873500000000004</v>
      </c>
      <c r="Y3110">
        <v>-6.2102499999999998E-2</v>
      </c>
      <c r="Z3110">
        <v>-9.3165719999999997E-4</v>
      </c>
      <c r="AA3110">
        <v>0.99806930000000005</v>
      </c>
      <c r="AB3110">
        <v>31</v>
      </c>
      <c r="AC3110">
        <v>-18.9299999999999</v>
      </c>
      <c r="AD3110">
        <v>-1.11030107149069</v>
      </c>
      <c r="AE3110">
        <v>-1.4792999999999601</v>
      </c>
      <c r="AF3110">
        <v>-1.19270439093431</v>
      </c>
      <c r="AG3110">
        <v>-1.11030107149069</v>
      </c>
      <c r="AH3110">
        <v>18.885384189038</v>
      </c>
      <c r="AI3110">
        <v>93.357960221246501</v>
      </c>
      <c r="AJ3110">
        <v>93.613709367485797</v>
      </c>
      <c r="AK3110">
        <v>18.955554547442699</v>
      </c>
      <c r="AL3110">
        <v>87.3312639736872</v>
      </c>
      <c r="AM3110">
        <v>88.910995889606298</v>
      </c>
      <c r="AN3110">
        <v>0.999999995795117</v>
      </c>
    </row>
    <row r="3111" spans="1:40" x14ac:dyDescent="0.25">
      <c r="A3111" t="str">
        <f>"20190312153946313"</f>
        <v>20190312153946313</v>
      </c>
      <c r="B3111" t="str">
        <f>"1552376386309415"</f>
        <v>1552376386309415</v>
      </c>
      <c r="C3111" t="s">
        <v>40</v>
      </c>
      <c r="D3111">
        <v>3.900061</v>
      </c>
      <c r="E3111">
        <v>0.47172920000000002</v>
      </c>
      <c r="F3111" t="s">
        <v>61</v>
      </c>
      <c r="G3111">
        <v>-459.25189999999998</v>
      </c>
      <c r="H3111" s="1">
        <v>3.5413899999999998E-6</v>
      </c>
      <c r="I3111">
        <v>281.07569999999998</v>
      </c>
      <c r="J3111">
        <v>-433.77940000000001</v>
      </c>
      <c r="K3111">
        <v>1.110298</v>
      </c>
      <c r="L3111">
        <v>282.99619999999999</v>
      </c>
      <c r="M3111">
        <v>-0.99979580000000001</v>
      </c>
      <c r="N3111">
        <v>0</v>
      </c>
      <c r="O3111">
        <v>-1.491435E-2</v>
      </c>
      <c r="P3111">
        <v>-0.99944250000000001</v>
      </c>
      <c r="Q3111">
        <v>3.3118710000000003E-2</v>
      </c>
      <c r="R3111">
        <v>4.300529E-3</v>
      </c>
      <c r="S3111">
        <v>-3.006866</v>
      </c>
      <c r="T3111">
        <v>-0.12999079999999999</v>
      </c>
      <c r="U3111">
        <v>-0.22521969999999999</v>
      </c>
      <c r="V3111">
        <v>1.920941E-2</v>
      </c>
      <c r="W3111">
        <v>4.6750970000000003E-2</v>
      </c>
      <c r="X3111">
        <v>0.99872179999999999</v>
      </c>
      <c r="Y3111">
        <v>-5.9768549999999997E-2</v>
      </c>
      <c r="Z3111">
        <v>-6.4601190000000003E-4</v>
      </c>
      <c r="AA3111">
        <v>0.99821199999999999</v>
      </c>
      <c r="AB3111">
        <v>31</v>
      </c>
      <c r="AC3111">
        <v>-25.472499999999901</v>
      </c>
      <c r="AD3111">
        <v>-1.1102944586100001</v>
      </c>
      <c r="AE3111">
        <v>-1.9205000000000001</v>
      </c>
      <c r="AF3111">
        <v>-1.5374407611021901</v>
      </c>
      <c r="AG3111">
        <v>-1.1102944586100001</v>
      </c>
      <c r="AH3111">
        <v>25.450232099743602</v>
      </c>
      <c r="AI3111">
        <v>92.493467792665498</v>
      </c>
      <c r="AJ3111">
        <v>93.457019385237402</v>
      </c>
      <c r="AK3111">
        <v>25.520791363308899</v>
      </c>
      <c r="AL3111">
        <v>87.320389859743003</v>
      </c>
      <c r="AM3111">
        <v>88.898109136339002</v>
      </c>
      <c r="AN3111">
        <v>0.999999944211862</v>
      </c>
    </row>
    <row r="3112" spans="1:40" x14ac:dyDescent="0.25">
      <c r="A3112" t="str">
        <f>"20190312153946326"</f>
        <v>20190312153946326</v>
      </c>
      <c r="B3112" t="str">
        <f>"1552376386319175"</f>
        <v>1552376386319175</v>
      </c>
      <c r="C3112" t="s">
        <v>40</v>
      </c>
      <c r="D3112">
        <v>3.9733360000000002</v>
      </c>
      <c r="E3112">
        <v>0.47174189999999999</v>
      </c>
      <c r="F3112" t="s">
        <v>61</v>
      </c>
      <c r="G3112">
        <v>-466.11689999999999</v>
      </c>
      <c r="H3112" s="1">
        <v>1.893839E-6</v>
      </c>
      <c r="I3112">
        <v>280.601</v>
      </c>
      <c r="J3112">
        <v>-433.95069999999998</v>
      </c>
      <c r="K3112">
        <v>1.1103019999999999</v>
      </c>
      <c r="L3112">
        <v>282.99369999999999</v>
      </c>
      <c r="M3112">
        <v>-0.99979580000000001</v>
      </c>
      <c r="N3112">
        <v>0</v>
      </c>
      <c r="O3112">
        <v>-1.4914699999999999E-2</v>
      </c>
      <c r="P3112">
        <v>-0.99944449999999996</v>
      </c>
      <c r="Q3112">
        <v>3.304642E-2</v>
      </c>
      <c r="R3112">
        <v>4.3423709999999898E-3</v>
      </c>
      <c r="S3112">
        <v>-3.0060419999999999</v>
      </c>
      <c r="T3112">
        <v>-0.10321139999999999</v>
      </c>
      <c r="U3112">
        <v>-0.2226563</v>
      </c>
      <c r="V3112">
        <v>1.9251399999999998E-2</v>
      </c>
      <c r="W3112">
        <v>4.6678089999999998E-2</v>
      </c>
      <c r="X3112">
        <v>0.99872450000000002</v>
      </c>
      <c r="Y3112">
        <v>-5.8957860000000001E-2</v>
      </c>
      <c r="Z3112">
        <v>-4.9926449999999998E-4</v>
      </c>
      <c r="AA3112">
        <v>0.99826029999999999</v>
      </c>
      <c r="AB3112">
        <v>31</v>
      </c>
      <c r="AC3112">
        <v>-32.166200000000003</v>
      </c>
      <c r="AD3112">
        <v>-1.1103001061610001</v>
      </c>
      <c r="AE3112">
        <v>-2.3926999999999898</v>
      </c>
      <c r="AF3112">
        <v>-1.9103763639935101</v>
      </c>
      <c r="AG3112">
        <v>-1.1103001061610001</v>
      </c>
      <c r="AH3112">
        <v>32.160204297538797</v>
      </c>
      <c r="AI3112">
        <v>91.973819749686996</v>
      </c>
      <c r="AJ3112">
        <v>93.399481909636407</v>
      </c>
      <c r="AK3112">
        <v>32.236020918179001</v>
      </c>
      <c r="AL3112">
        <v>87.324570406433594</v>
      </c>
      <c r="AM3112">
        <v>88.895704084933399</v>
      </c>
      <c r="AN3112">
        <v>1.0000000436941201</v>
      </c>
    </row>
    <row r="3113" spans="1:40" x14ac:dyDescent="0.25">
      <c r="A3113" t="str">
        <f>"20190312153946339"</f>
        <v>20190312153946339</v>
      </c>
      <c r="B3113" t="str">
        <f>"1552376386328936"</f>
        <v>1552376386328936</v>
      </c>
      <c r="C3113" t="s">
        <v>40</v>
      </c>
      <c r="D3113">
        <v>3.9458989999999998</v>
      </c>
      <c r="E3113">
        <v>0.47179690000000002</v>
      </c>
      <c r="F3113" t="s">
        <v>61</v>
      </c>
      <c r="G3113">
        <v>-469.55709999999999</v>
      </c>
      <c r="H3113" s="1">
        <v>3.7350019999999999E-6</v>
      </c>
      <c r="I3113">
        <v>280.36189999999999</v>
      </c>
      <c r="J3113">
        <v>-434.13569999999999</v>
      </c>
      <c r="K3113">
        <v>1.110301</v>
      </c>
      <c r="L3113">
        <v>282.99090000000001</v>
      </c>
      <c r="M3113">
        <v>-0.99979569999999995</v>
      </c>
      <c r="N3113">
        <v>0</v>
      </c>
      <c r="O3113">
        <v>-1.491493E-2</v>
      </c>
      <c r="P3113">
        <v>-0.99943579999999999</v>
      </c>
      <c r="Q3113">
        <v>3.3300610000000001E-2</v>
      </c>
      <c r="R3113">
        <v>4.3869109999999899E-3</v>
      </c>
      <c r="S3113">
        <v>-3.0057680000000002</v>
      </c>
      <c r="T3113">
        <v>-9.372759E-2</v>
      </c>
      <c r="U3113">
        <v>-0.222168</v>
      </c>
      <c r="V3113">
        <v>1.9295909999999999E-2</v>
      </c>
      <c r="W3113">
        <v>4.693054E-2</v>
      </c>
      <c r="X3113">
        <v>0.99871180000000004</v>
      </c>
      <c r="Y3113">
        <v>-5.8807650000000003E-2</v>
      </c>
      <c r="Z3113">
        <v>-4.5111020000000002E-4</v>
      </c>
      <c r="AA3113">
        <v>0.99826930000000003</v>
      </c>
      <c r="AB3113">
        <v>31</v>
      </c>
      <c r="AC3113">
        <v>-35.421399999999998</v>
      </c>
      <c r="AD3113">
        <v>-1.1102972649979901</v>
      </c>
      <c r="AE3113">
        <v>-2.6290000000000102</v>
      </c>
      <c r="AF3113">
        <v>-2.0983002895635399</v>
      </c>
      <c r="AG3113">
        <v>-1.1102972649979901</v>
      </c>
      <c r="AH3113">
        <v>35.422061542116801</v>
      </c>
      <c r="AI3113">
        <v>91.792197026280704</v>
      </c>
      <c r="AJ3113">
        <v>93.390074370522498</v>
      </c>
      <c r="AK3113">
        <v>35.501522052094501</v>
      </c>
      <c r="AL3113">
        <v>87.310090191136396</v>
      </c>
      <c r="AM3113">
        <v>88.893137471828794</v>
      </c>
      <c r="AN3113">
        <v>1.0000000335933199</v>
      </c>
    </row>
    <row r="3114" spans="1:40" x14ac:dyDescent="0.25">
      <c r="A3114" t="str">
        <f>"20190312153946352"</f>
        <v>20190312153946352</v>
      </c>
      <c r="B3114" t="str">
        <f>"1552376386349431"</f>
        <v>1552376386349431</v>
      </c>
      <c r="C3114" t="s">
        <v>40</v>
      </c>
      <c r="D3114">
        <v>3.9999310000000001</v>
      </c>
      <c r="E3114">
        <v>0.47169460000000002</v>
      </c>
      <c r="F3114" t="s">
        <v>54</v>
      </c>
      <c r="G3114">
        <v>-473.7824</v>
      </c>
      <c r="H3114" s="1">
        <v>4.5395980000000001E-6</v>
      </c>
      <c r="I3114">
        <v>280.07310000000001</v>
      </c>
      <c r="J3114">
        <v>-434.31979999999999</v>
      </c>
      <c r="K3114">
        <v>1.1103069999999999</v>
      </c>
      <c r="L3114">
        <v>282.98809999999997</v>
      </c>
      <c r="M3114">
        <v>-0.99979560000000001</v>
      </c>
      <c r="N3114">
        <v>0</v>
      </c>
      <c r="O3114">
        <v>-1.491492E-2</v>
      </c>
      <c r="P3114">
        <v>-0.99943800000000005</v>
      </c>
      <c r="Q3114">
        <v>3.3233779999999997E-2</v>
      </c>
      <c r="R3114">
        <v>4.3821279999999999E-3</v>
      </c>
      <c r="S3114">
        <v>-3.0054630000000002</v>
      </c>
      <c r="T3114">
        <v>-8.4167240000000004E-2</v>
      </c>
      <c r="U3114">
        <v>-0.22119140000000001</v>
      </c>
      <c r="V3114">
        <v>1.9291229999999999E-2</v>
      </c>
      <c r="W3114">
        <v>4.6862899999999999E-2</v>
      </c>
      <c r="X3114">
        <v>0.99871500000000002</v>
      </c>
      <c r="Y3114">
        <v>-5.849671E-2</v>
      </c>
      <c r="Z3114">
        <v>-4.0081379999999997E-4</v>
      </c>
      <c r="AA3114">
        <v>0.99828749999999999</v>
      </c>
      <c r="AB3114">
        <v>31</v>
      </c>
      <c r="AC3114">
        <v>-39.462600000000002</v>
      </c>
      <c r="AD3114">
        <v>-1.110302460402</v>
      </c>
      <c r="AE3114">
        <v>-2.9149999999999601</v>
      </c>
      <c r="AF3114">
        <v>-2.3242094539598699</v>
      </c>
      <c r="AG3114">
        <v>-1.110302460402</v>
      </c>
      <c r="AH3114">
        <v>39.470614889412097</v>
      </c>
      <c r="AI3114">
        <v>91.608511961062305</v>
      </c>
      <c r="AJ3114">
        <v>93.369944901057096</v>
      </c>
      <c r="AK3114">
        <v>39.554571934072698</v>
      </c>
      <c r="AL3114">
        <v>87.313969767492694</v>
      </c>
      <c r="AM3114">
        <v>88.893409406557794</v>
      </c>
      <c r="AN3114">
        <v>0.99999996708815997</v>
      </c>
    </row>
    <row r="3115" spans="1:40" x14ac:dyDescent="0.25">
      <c r="A3115" t="str">
        <f>"20190312153946365"</f>
        <v>20190312153946365</v>
      </c>
      <c r="B3115" t="str">
        <f>"1552376386359191"</f>
        <v>1552376386359191</v>
      </c>
      <c r="C3115" t="s">
        <v>40</v>
      </c>
      <c r="D3115">
        <v>3.9867680000000001</v>
      </c>
      <c r="E3115">
        <v>0.47148180000000001</v>
      </c>
      <c r="F3115" t="s">
        <v>54</v>
      </c>
      <c r="G3115">
        <v>-481.02280000000002</v>
      </c>
      <c r="H3115" s="1">
        <v>1.926105E-6</v>
      </c>
      <c r="I3115">
        <v>279.54860000000002</v>
      </c>
      <c r="J3115">
        <v>-434.4914</v>
      </c>
      <c r="K3115">
        <v>1.1103050000000001</v>
      </c>
      <c r="L3115">
        <v>282.98559999999998</v>
      </c>
      <c r="M3115">
        <v>-0.99979589999999996</v>
      </c>
      <c r="N3115">
        <v>0</v>
      </c>
      <c r="O3115">
        <v>-1.491516E-2</v>
      </c>
      <c r="P3115">
        <v>-0.99945919999999999</v>
      </c>
      <c r="Q3115">
        <v>3.2562229999999998E-2</v>
      </c>
      <c r="R3115">
        <v>4.5999190000000001E-3</v>
      </c>
      <c r="S3115">
        <v>-3.0050349999999999</v>
      </c>
      <c r="T3115">
        <v>-7.1441050000000006E-2</v>
      </c>
      <c r="U3115">
        <v>-0.2213135</v>
      </c>
      <c r="V3115">
        <v>1.950967E-2</v>
      </c>
      <c r="W3115">
        <v>4.6190340000000003E-2</v>
      </c>
      <c r="X3115">
        <v>0.99874209999999997</v>
      </c>
      <c r="Y3115">
        <v>-5.8551939999999997E-2</v>
      </c>
      <c r="Z3115">
        <v>-3.4092680000000002E-4</v>
      </c>
      <c r="AA3115">
        <v>0.99828430000000001</v>
      </c>
      <c r="AB3115">
        <v>31</v>
      </c>
      <c r="AC3115">
        <v>-46.531399999999998</v>
      </c>
      <c r="AD3115">
        <v>-1.1103030738949999</v>
      </c>
      <c r="AE3115">
        <v>-3.4369999999999501</v>
      </c>
      <c r="AF3115">
        <v>-2.7409777342921502</v>
      </c>
      <c r="AG3115">
        <v>-1.1103030738949999</v>
      </c>
      <c r="AH3115">
        <v>46.551130414584897</v>
      </c>
      <c r="AI3115">
        <v>91.363955972346901</v>
      </c>
      <c r="AJ3115">
        <v>93.369742885768801</v>
      </c>
      <c r="AK3115">
        <v>46.644972662994299</v>
      </c>
      <c r="AL3115">
        <v>87.352546425802203</v>
      </c>
      <c r="AM3115">
        <v>88.880912698786304</v>
      </c>
      <c r="AN3115">
        <v>0.99999997852261702</v>
      </c>
    </row>
    <row r="3116" spans="1:40" x14ac:dyDescent="0.25">
      <c r="A3116" t="str">
        <f>"20190312153946388"</f>
        <v>20190312153946388</v>
      </c>
      <c r="B3116" t="str">
        <f>"1552376386378712"</f>
        <v>1552376386378712</v>
      </c>
      <c r="C3116" t="s">
        <v>40</v>
      </c>
      <c r="D3116">
        <v>4.0295949999999996</v>
      </c>
      <c r="E3116">
        <v>0.47111649999999999</v>
      </c>
      <c r="F3116" t="s">
        <v>54</v>
      </c>
      <c r="G3116">
        <v>-483.43209999999999</v>
      </c>
      <c r="H3116" s="1">
        <v>2.2901910000000001E-6</v>
      </c>
      <c r="I3116">
        <v>279.36959999999999</v>
      </c>
      <c r="J3116">
        <v>-434.79910000000001</v>
      </c>
      <c r="K3116">
        <v>1.110306</v>
      </c>
      <c r="L3116">
        <v>282.98099999999999</v>
      </c>
      <c r="M3116">
        <v>-0.99979589999999996</v>
      </c>
      <c r="N3116">
        <v>0</v>
      </c>
      <c r="O3116">
        <v>-1.49155E-2</v>
      </c>
      <c r="P3116">
        <v>-0.99948219999999999</v>
      </c>
      <c r="Q3116">
        <v>3.1860270000000003E-2</v>
      </c>
      <c r="R3116">
        <v>4.5515820000000002E-3</v>
      </c>
      <c r="S3116">
        <v>-3.0048520000000001</v>
      </c>
      <c r="T3116">
        <v>-6.8170190000000006E-2</v>
      </c>
      <c r="U3116">
        <v>-0.2220154</v>
      </c>
      <c r="V3116">
        <v>1.9462119999999999E-2</v>
      </c>
      <c r="W3116">
        <v>4.5487270000000003E-2</v>
      </c>
      <c r="X3116">
        <v>0.99877530000000003</v>
      </c>
      <c r="Y3116">
        <v>-5.8789010000000003E-2</v>
      </c>
      <c r="Z3116">
        <v>-3.280162E-4</v>
      </c>
      <c r="AA3116">
        <v>0.9982704</v>
      </c>
      <c r="AB3116">
        <v>31</v>
      </c>
      <c r="AC3116">
        <v>-48.632999999999903</v>
      </c>
      <c r="AD3116">
        <v>-1.1103037098090001</v>
      </c>
      <c r="AE3116">
        <v>-3.6114000000000002</v>
      </c>
      <c r="AF3116">
        <v>-2.8840503348684501</v>
      </c>
      <c r="AG3116">
        <v>-1.1103037098090001</v>
      </c>
      <c r="AH3116">
        <v>48.656238240498503</v>
      </c>
      <c r="AI3116">
        <v>91.304935970820594</v>
      </c>
      <c r="AJ3116">
        <v>93.392181596602398</v>
      </c>
      <c r="AK3116">
        <v>48.7542822773366</v>
      </c>
      <c r="AL3116">
        <v>87.392871770539898</v>
      </c>
      <c r="AM3116">
        <v>88.883676605704494</v>
      </c>
      <c r="AN3116">
        <v>0.99999998286851799</v>
      </c>
    </row>
    <row r="3117" spans="1:40" x14ac:dyDescent="0.25">
      <c r="A3117" t="str">
        <f>"20190312153946409"</f>
        <v>20190312153946409</v>
      </c>
      <c r="B3117" t="str">
        <f>"1552376386399207"</f>
        <v>1552376386399207</v>
      </c>
      <c r="C3117" t="s">
        <v>40</v>
      </c>
      <c r="D3117">
        <v>4.0536799999999999</v>
      </c>
      <c r="E3117">
        <v>0.47089560000000003</v>
      </c>
      <c r="F3117" t="s">
        <v>54</v>
      </c>
      <c r="G3117">
        <v>-492.25749999999999</v>
      </c>
      <c r="H3117" s="1">
        <v>2.9638190000000002E-6</v>
      </c>
      <c r="I3117">
        <v>278.68950000000001</v>
      </c>
      <c r="J3117">
        <v>-435.10579999999999</v>
      </c>
      <c r="K3117">
        <v>1.110301</v>
      </c>
      <c r="L3117">
        <v>282.97640000000001</v>
      </c>
      <c r="M3117">
        <v>-0.99979580000000001</v>
      </c>
      <c r="N3117">
        <v>0</v>
      </c>
      <c r="O3117">
        <v>-1.491573E-2</v>
      </c>
      <c r="P3117">
        <v>-0.9995385</v>
      </c>
      <c r="Q3117">
        <v>3.0057460000000001E-2</v>
      </c>
      <c r="R3117">
        <v>4.3880819999999997E-3</v>
      </c>
      <c r="S3117">
        <v>-3.0044559999999998</v>
      </c>
      <c r="T3117">
        <v>-5.8056829999999997E-2</v>
      </c>
      <c r="U3117">
        <v>-0.22439580000000001</v>
      </c>
      <c r="V3117">
        <v>1.9299380000000001E-2</v>
      </c>
      <c r="W3117">
        <v>4.3683760000000002E-2</v>
      </c>
      <c r="X3117">
        <v>0.99885900000000005</v>
      </c>
      <c r="Y3117">
        <v>-5.9587960000000002E-2</v>
      </c>
      <c r="Z3117">
        <v>-2.8709580000000002E-4</v>
      </c>
      <c r="AA3117">
        <v>0.99822299999999997</v>
      </c>
      <c r="AB3117">
        <v>31</v>
      </c>
      <c r="AC3117">
        <v>-57.151699999999998</v>
      </c>
      <c r="AD3117">
        <v>-1.110298036181</v>
      </c>
      <c r="AE3117">
        <v>-4.2869000000000002</v>
      </c>
      <c r="AF3117">
        <v>-3.4325961776184601</v>
      </c>
      <c r="AG3117">
        <v>-1.110298036181</v>
      </c>
      <c r="AH3117">
        <v>57.1878262553601</v>
      </c>
      <c r="AI3117">
        <v>91.110256497351699</v>
      </c>
      <c r="AJ3117">
        <v>93.4349546995129</v>
      </c>
      <c r="AK3117">
        <v>57.301509142962402</v>
      </c>
      <c r="AL3117">
        <v>87.496308249401196</v>
      </c>
      <c r="AM3117">
        <v>88.893101578339099</v>
      </c>
      <c r="AN3117">
        <v>1.0000000194185601</v>
      </c>
    </row>
    <row r="3118" spans="1:40" x14ac:dyDescent="0.25">
      <c r="A3118" t="str">
        <f>"20190312153946425"</f>
        <v>20190312153946425</v>
      </c>
      <c r="B3118" t="str">
        <f>"1552376386418726"</f>
        <v>1552376386418726</v>
      </c>
      <c r="C3118" t="s">
        <v>40</v>
      </c>
      <c r="D3118">
        <v>4.04704</v>
      </c>
      <c r="E3118">
        <v>0.47068719999999997</v>
      </c>
      <c r="F3118" t="s">
        <v>54</v>
      </c>
      <c r="G3118">
        <v>-497.3546</v>
      </c>
      <c r="H3118" s="1">
        <v>1.9885129999999998E-6</v>
      </c>
      <c r="I3118">
        <v>278.28539999999998</v>
      </c>
      <c r="J3118">
        <v>-435.31099999999998</v>
      </c>
      <c r="K3118">
        <v>1.110298</v>
      </c>
      <c r="L3118">
        <v>282.97340000000003</v>
      </c>
      <c r="M3118">
        <v>-0.99979589999999996</v>
      </c>
      <c r="N3118">
        <v>0</v>
      </c>
      <c r="O3118">
        <v>-1.491584E-2</v>
      </c>
      <c r="P3118">
        <v>-0.9995617</v>
      </c>
      <c r="Q3118">
        <v>2.9329049999999999E-2</v>
      </c>
      <c r="R3118">
        <v>4.0502630000000001E-3</v>
      </c>
      <c r="S3118">
        <v>-3.0039980000000002</v>
      </c>
      <c r="T3118">
        <v>-5.3580759999999998E-2</v>
      </c>
      <c r="U3118">
        <v>-0.22637940000000001</v>
      </c>
      <c r="V3118">
        <v>1.8962150000000001E-2</v>
      </c>
      <c r="W3118">
        <v>4.2954880000000001E-2</v>
      </c>
      <c r="X3118">
        <v>0.99889709999999998</v>
      </c>
      <c r="Y3118">
        <v>-6.0255719999999999E-2</v>
      </c>
      <c r="Z3118">
        <v>-2.7094340000000003E-4</v>
      </c>
      <c r="AA3118">
        <v>0.99818300000000004</v>
      </c>
      <c r="AB3118">
        <v>31</v>
      </c>
      <c r="AC3118">
        <v>-62.043599999999998</v>
      </c>
      <c r="AD3118">
        <v>-1.110296011487</v>
      </c>
      <c r="AE3118">
        <v>-4.6880000000000397</v>
      </c>
      <c r="AF3118">
        <v>-3.7607625060105199</v>
      </c>
      <c r="AG3118">
        <v>-1.110296011487</v>
      </c>
      <c r="AH3118">
        <v>62.086858295457901</v>
      </c>
      <c r="AI3118">
        <v>91.022634272948196</v>
      </c>
      <c r="AJ3118">
        <v>93.466319186984805</v>
      </c>
      <c r="AK3118">
        <v>62.210562325540899</v>
      </c>
      <c r="AL3118">
        <v>87.538109313670404</v>
      </c>
      <c r="AM3118">
        <v>88.912479883994806</v>
      </c>
      <c r="AN3118">
        <v>1.0000000506184199</v>
      </c>
    </row>
    <row r="3119" spans="1:40" x14ac:dyDescent="0.25">
      <c r="A3119" t="str">
        <f>"20190312153946443"</f>
        <v>20190312153946443</v>
      </c>
      <c r="B3119" t="str">
        <f>"1552376386439226"</f>
        <v>1552376386439226</v>
      </c>
      <c r="C3119" t="s">
        <v>40</v>
      </c>
      <c r="D3119">
        <v>4.019183</v>
      </c>
      <c r="E3119">
        <v>0.47053739999999999</v>
      </c>
      <c r="F3119" t="s">
        <v>54</v>
      </c>
      <c r="G3119">
        <v>-500.82709999999997</v>
      </c>
      <c r="H3119">
        <v>8.0000689999999999E-2</v>
      </c>
      <c r="I3119">
        <v>277.98750000000001</v>
      </c>
      <c r="J3119">
        <v>-435.56599999999997</v>
      </c>
      <c r="K3119">
        <v>1.1102909999999999</v>
      </c>
      <c r="L3119">
        <v>282.96949999999998</v>
      </c>
      <c r="M3119">
        <v>-0.99979569999999995</v>
      </c>
      <c r="N3119">
        <v>0</v>
      </c>
      <c r="O3119">
        <v>-1.491607E-2</v>
      </c>
      <c r="P3119">
        <v>-0.99961880000000003</v>
      </c>
      <c r="Q3119">
        <v>2.738962E-2</v>
      </c>
      <c r="R3119">
        <v>3.4838769999999998E-3</v>
      </c>
      <c r="S3119">
        <v>-3.0036010000000002</v>
      </c>
      <c r="T3119">
        <v>-4.72343E-2</v>
      </c>
      <c r="U3119">
        <v>-0.22857669999999999</v>
      </c>
      <c r="V3119">
        <v>1.839679E-2</v>
      </c>
      <c r="W3119">
        <v>4.1014910000000002E-2</v>
      </c>
      <c r="X3119">
        <v>0.99898920000000002</v>
      </c>
      <c r="Y3119">
        <v>-6.0992919999999999E-2</v>
      </c>
      <c r="Z3119">
        <v>-2.446646E-4</v>
      </c>
      <c r="AA3119">
        <v>0.99813819999999998</v>
      </c>
      <c r="AB3119">
        <v>31</v>
      </c>
      <c r="AC3119">
        <v>-65.261099999999999</v>
      </c>
      <c r="AD3119">
        <v>-1.0302903099999901</v>
      </c>
      <c r="AE3119">
        <v>-4.98199999999997</v>
      </c>
      <c r="AF3119">
        <v>-4.0069230510664502</v>
      </c>
      <c r="AG3119">
        <v>-1.0302903099999901</v>
      </c>
      <c r="AH3119">
        <v>65.311973308558706</v>
      </c>
      <c r="AI3119">
        <v>90.902064877538393</v>
      </c>
      <c r="AJ3119">
        <v>93.510725207895206</v>
      </c>
      <c r="AK3119">
        <v>65.442881873569206</v>
      </c>
      <c r="AL3119">
        <v>87.649359496929506</v>
      </c>
      <c r="AM3119">
        <v>88.944994305680794</v>
      </c>
      <c r="AN3119">
        <v>1.00000004322062</v>
      </c>
    </row>
    <row r="3120" spans="1:40" x14ac:dyDescent="0.25">
      <c r="A3120" t="str">
        <f>"20190312153946458"</f>
        <v>20190312153946458</v>
      </c>
      <c r="B3120" t="str">
        <f>"1552376386448983"</f>
        <v>1552376386448983</v>
      </c>
      <c r="C3120" t="s">
        <v>40</v>
      </c>
      <c r="D3120">
        <v>4.067323</v>
      </c>
      <c r="E3120">
        <v>0.47045989999999999</v>
      </c>
      <c r="F3120" t="s">
        <v>54</v>
      </c>
      <c r="G3120">
        <v>-501.74110000000002</v>
      </c>
      <c r="H3120">
        <v>8.0000440000000006E-2</v>
      </c>
      <c r="I3120">
        <v>277.87790000000001</v>
      </c>
      <c r="J3120">
        <v>-435.77379999999999</v>
      </c>
      <c r="K3120">
        <v>1.1102909999999999</v>
      </c>
      <c r="L3120">
        <v>282.9665</v>
      </c>
      <c r="M3120">
        <v>-0.99979589999999996</v>
      </c>
      <c r="N3120">
        <v>0</v>
      </c>
      <c r="O3120">
        <v>-1.49163E-2</v>
      </c>
      <c r="P3120">
        <v>-0.99965099999999996</v>
      </c>
      <c r="Q3120">
        <v>2.621952E-2</v>
      </c>
      <c r="R3120">
        <v>3.2642460000000002E-3</v>
      </c>
      <c r="S3120">
        <v>-3.0032649999999999</v>
      </c>
      <c r="T3120">
        <v>-4.6758290000000001E-2</v>
      </c>
      <c r="U3120">
        <v>-0.23107910000000001</v>
      </c>
      <c r="V3120">
        <v>1.817796E-2</v>
      </c>
      <c r="W3120">
        <v>3.9844280000000003E-2</v>
      </c>
      <c r="X3120">
        <v>0.9990405</v>
      </c>
      <c r="Y3120">
        <v>-6.1827960000000001E-2</v>
      </c>
      <c r="Z3120">
        <v>-2.487058E-4</v>
      </c>
      <c r="AA3120">
        <v>0.99808680000000005</v>
      </c>
      <c r="AB3120">
        <v>31</v>
      </c>
      <c r="AC3120">
        <v>-65.967299999999994</v>
      </c>
      <c r="AD3120">
        <v>-1.0302905600000001</v>
      </c>
      <c r="AE3120">
        <v>-5.08859999999998</v>
      </c>
      <c r="AF3120">
        <v>-4.1029594647738499</v>
      </c>
      <c r="AG3120">
        <v>-1.0302905600000001</v>
      </c>
      <c r="AH3120">
        <v>66.019860781043604</v>
      </c>
      <c r="AI3120">
        <v>90.892350684934698</v>
      </c>
      <c r="AJ3120">
        <v>93.556207257753101</v>
      </c>
      <c r="AK3120">
        <v>66.1552552149561</v>
      </c>
      <c r="AL3120">
        <v>87.716486356183495</v>
      </c>
      <c r="AM3120">
        <v>88.957594340633605</v>
      </c>
      <c r="AN3120">
        <v>0.99999996275936398</v>
      </c>
    </row>
    <row r="3121" spans="1:40" x14ac:dyDescent="0.25">
      <c r="A3121" t="str">
        <f>"20190312153946471"</f>
        <v>20190312153946471</v>
      </c>
      <c r="B3121" t="str">
        <f>"1552376386458743"</f>
        <v>1552376386458743</v>
      </c>
      <c r="C3121" t="s">
        <v>40</v>
      </c>
      <c r="D3121">
        <v>4.0895010000000003</v>
      </c>
      <c r="E3121">
        <v>0.4703833</v>
      </c>
      <c r="F3121" t="s">
        <v>54</v>
      </c>
      <c r="G3121">
        <v>-501.06580000000002</v>
      </c>
      <c r="H3121">
        <v>8.0000639999999998E-2</v>
      </c>
      <c r="I3121">
        <v>277.92380000000003</v>
      </c>
      <c r="J3121">
        <v>-435.9511</v>
      </c>
      <c r="K3121">
        <v>1.1102920000000001</v>
      </c>
      <c r="L3121">
        <v>282.96379999999999</v>
      </c>
      <c r="M3121">
        <v>-0.99979569999999995</v>
      </c>
      <c r="N3121">
        <v>0</v>
      </c>
      <c r="O3121">
        <v>-1.491629E-2</v>
      </c>
      <c r="P3121">
        <v>-0.99966029999999995</v>
      </c>
      <c r="Q3121">
        <v>2.591384E-2</v>
      </c>
      <c r="R3121">
        <v>2.8076730000000001E-3</v>
      </c>
      <c r="S3121">
        <v>-3.003082</v>
      </c>
      <c r="T3121">
        <v>-4.7387840000000001E-2</v>
      </c>
      <c r="U3121">
        <v>-0.23193359999999999</v>
      </c>
      <c r="V3121">
        <v>1.7721460000000001E-2</v>
      </c>
      <c r="W3121">
        <v>3.953839E-2</v>
      </c>
      <c r="X3121">
        <v>0.99906090000000003</v>
      </c>
      <c r="Y3121">
        <v>-6.2114759999999998E-2</v>
      </c>
      <c r="Z3121">
        <v>-2.5432610000000001E-4</v>
      </c>
      <c r="AA3121">
        <v>0.99806899999999998</v>
      </c>
      <c r="AB3121">
        <v>31</v>
      </c>
      <c r="AC3121">
        <v>-65.114699999999999</v>
      </c>
      <c r="AD3121">
        <v>-1.0302913600000001</v>
      </c>
      <c r="AE3121">
        <v>-5.0399999999999601</v>
      </c>
      <c r="AF3121">
        <v>-4.0670668956019096</v>
      </c>
      <c r="AG3121">
        <v>-1.0302913600000001</v>
      </c>
      <c r="AH3121">
        <v>65.166421680487304</v>
      </c>
      <c r="AI3121">
        <v>90.904021199004603</v>
      </c>
      <c r="AJ3121">
        <v>93.571224519205202</v>
      </c>
      <c r="AK3121">
        <v>65.301340323601906</v>
      </c>
      <c r="AL3121">
        <v>87.734026487595401</v>
      </c>
      <c r="AM3121">
        <v>88.983787281472999</v>
      </c>
      <c r="AN3121">
        <v>1.0000000081685601</v>
      </c>
    </row>
    <row r="3122" spans="1:40" x14ac:dyDescent="0.25">
      <c r="A3122" t="str">
        <f>"20190312153946484"</f>
        <v>20190312153946484</v>
      </c>
      <c r="B3122" t="str">
        <f>"1552376386479239"</f>
        <v>1552376386479239</v>
      </c>
      <c r="C3122" t="s">
        <v>40</v>
      </c>
      <c r="D3122">
        <v>4.0996059999999996</v>
      </c>
      <c r="E3122">
        <v>0.47026820000000003</v>
      </c>
      <c r="F3122" t="s">
        <v>54</v>
      </c>
      <c r="G3122">
        <v>-503.85520000000002</v>
      </c>
      <c r="H3122">
        <v>8.0000070000000006E-2</v>
      </c>
      <c r="I3122">
        <v>277.67360000000002</v>
      </c>
      <c r="J3122">
        <v>-436.12549999999999</v>
      </c>
      <c r="K3122">
        <v>1.1102939999999999</v>
      </c>
      <c r="L3122">
        <v>282.96120000000002</v>
      </c>
      <c r="M3122">
        <v>-0.99979580000000001</v>
      </c>
      <c r="N3122">
        <v>0</v>
      </c>
      <c r="O3122">
        <v>-1.4916520000000001E-2</v>
      </c>
      <c r="P3122">
        <v>-0.99965000000000004</v>
      </c>
      <c r="Q3122">
        <v>2.633334E-2</v>
      </c>
      <c r="R3122">
        <v>2.5779639999999999E-3</v>
      </c>
      <c r="S3122">
        <v>-3.002869</v>
      </c>
      <c r="T3122">
        <v>-4.5561789999999998E-2</v>
      </c>
      <c r="U3122">
        <v>-0.23394780000000001</v>
      </c>
      <c r="V3122">
        <v>1.7491969999999999E-2</v>
      </c>
      <c r="W3122">
        <v>3.9956730000000003E-2</v>
      </c>
      <c r="X3122">
        <v>0.9990483</v>
      </c>
      <c r="Y3122">
        <v>-6.2785770000000005E-2</v>
      </c>
      <c r="Z3122">
        <v>-2.4961740000000002E-4</v>
      </c>
      <c r="AA3122">
        <v>0.998027</v>
      </c>
      <c r="AB3122">
        <v>31</v>
      </c>
      <c r="AC3122">
        <v>-67.729699999999994</v>
      </c>
      <c r="AD3122">
        <v>-1.03029393</v>
      </c>
      <c r="AE3122">
        <v>-5.2875999999999896</v>
      </c>
      <c r="AF3122">
        <v>-4.2756428920415601</v>
      </c>
      <c r="AG3122">
        <v>-1.03029393</v>
      </c>
      <c r="AH3122">
        <v>67.785452530428699</v>
      </c>
      <c r="AI3122">
        <v>90.869063957921796</v>
      </c>
      <c r="AJ3122">
        <v>93.609213620427695</v>
      </c>
      <c r="AK3122">
        <v>67.927978053799393</v>
      </c>
      <c r="AL3122">
        <v>87.710038413213994</v>
      </c>
      <c r="AM3122">
        <v>88.996931715233302</v>
      </c>
      <c r="AN3122">
        <v>1.0000000075098301</v>
      </c>
    </row>
    <row r="3123" spans="1:40" x14ac:dyDescent="0.25">
      <c r="A3123" t="str">
        <f>"20190312153946498"</f>
        <v>20190312153946498</v>
      </c>
      <c r="B3123" t="str">
        <f>"1552376386488999"</f>
        <v>1552376386488999</v>
      </c>
      <c r="C3123" t="s">
        <v>40</v>
      </c>
      <c r="D3123">
        <v>4.1145019999999999</v>
      </c>
      <c r="E3123">
        <v>0.47018130000000002</v>
      </c>
      <c r="F3123" t="s">
        <v>67</v>
      </c>
      <c r="G3123">
        <v>-511.95859999999999</v>
      </c>
      <c r="H3123">
        <v>0.10649930000000001</v>
      </c>
      <c r="I3123">
        <v>277.0213</v>
      </c>
      <c r="J3123">
        <v>-436.32729999999998</v>
      </c>
      <c r="K3123">
        <v>1.110303</v>
      </c>
      <c r="L3123">
        <v>282.95819999999998</v>
      </c>
      <c r="M3123">
        <v>-0.99979589999999996</v>
      </c>
      <c r="N3123">
        <v>0</v>
      </c>
      <c r="O3123">
        <v>-1.491687E-2</v>
      </c>
      <c r="P3123">
        <v>-0.99959279999999995</v>
      </c>
      <c r="Q3123">
        <v>2.8431410000000001E-2</v>
      </c>
      <c r="R3123">
        <v>2.5045649999999998E-3</v>
      </c>
      <c r="S3123">
        <v>-3.0027159999999999</v>
      </c>
      <c r="T3123">
        <v>-3.9743300000000002E-2</v>
      </c>
      <c r="U3123">
        <v>-0.23519899999999999</v>
      </c>
      <c r="V3123">
        <v>1.7418199999999998E-2</v>
      </c>
      <c r="W3123">
        <v>4.205209E-2</v>
      </c>
      <c r="X3123">
        <v>0.99896359999999995</v>
      </c>
      <c r="Y3123">
        <v>-6.3203949999999995E-2</v>
      </c>
      <c r="Z3123">
        <v>-2.2050910000000001E-4</v>
      </c>
      <c r="AA3123">
        <v>0.99800060000000002</v>
      </c>
      <c r="AB3123">
        <v>31</v>
      </c>
      <c r="AC3123">
        <v>-75.631299999999996</v>
      </c>
      <c r="AD3123">
        <v>-1.0038037</v>
      </c>
      <c r="AE3123">
        <v>-5.9368999999999801</v>
      </c>
      <c r="AF3123">
        <v>-4.80711070671149</v>
      </c>
      <c r="AG3123">
        <v>-1.0038037</v>
      </c>
      <c r="AH3123">
        <v>75.698198745576505</v>
      </c>
      <c r="AI3123">
        <v>90.758204916191303</v>
      </c>
      <c r="AJ3123">
        <v>93.633611017861398</v>
      </c>
      <c r="AK3123">
        <v>75.857321522312603</v>
      </c>
      <c r="AL3123">
        <v>87.589882089264805</v>
      </c>
      <c r="AM3123">
        <v>89.001076487931996</v>
      </c>
      <c r="AN3123">
        <v>1.0000000230447801</v>
      </c>
    </row>
    <row r="3124" spans="1:40" x14ac:dyDescent="0.25">
      <c r="A3124" t="str">
        <f>"20190312153946514"</f>
        <v>20190312153946514</v>
      </c>
      <c r="B3124" t="str">
        <f>"1552376386508520"</f>
        <v>1552376386508520</v>
      </c>
      <c r="C3124" t="s">
        <v>40</v>
      </c>
      <c r="D3124">
        <v>4.099431</v>
      </c>
      <c r="E3124">
        <v>0.470219</v>
      </c>
      <c r="F3124" t="s">
        <v>67</v>
      </c>
      <c r="G3124">
        <v>-511.95870000000002</v>
      </c>
      <c r="H3124">
        <v>0.32902409999999999</v>
      </c>
      <c r="I3124">
        <v>277.01409999999998</v>
      </c>
      <c r="J3124">
        <v>-436.53550000000001</v>
      </c>
      <c r="K3124">
        <v>1.110304</v>
      </c>
      <c r="L3124">
        <v>282.95510000000002</v>
      </c>
      <c r="M3124">
        <v>-0.99979600000000002</v>
      </c>
      <c r="N3124">
        <v>0</v>
      </c>
      <c r="O3124">
        <v>-1.491698E-2</v>
      </c>
      <c r="P3124">
        <v>-0.9995773</v>
      </c>
      <c r="Q3124">
        <v>2.900759E-2</v>
      </c>
      <c r="R3124">
        <v>2.0745149999999999E-3</v>
      </c>
      <c r="S3124">
        <v>-3.0027159999999999</v>
      </c>
      <c r="T3124">
        <v>-3.1015040000000001E-2</v>
      </c>
      <c r="U3124">
        <v>-0.23599239999999999</v>
      </c>
      <c r="V3124">
        <v>1.6988059999999999E-2</v>
      </c>
      <c r="W3124">
        <v>4.2627600000000002E-2</v>
      </c>
      <c r="X3124">
        <v>0.99894660000000002</v>
      </c>
      <c r="Y3124">
        <v>-6.3467590000000004E-2</v>
      </c>
      <c r="Z3124">
        <v>-1.734413E-4</v>
      </c>
      <c r="AA3124">
        <v>0.99798390000000003</v>
      </c>
      <c r="AB3124">
        <v>31</v>
      </c>
      <c r="AC3124">
        <v>-75.423199999999994</v>
      </c>
      <c r="AD3124">
        <v>-0.78127990000000003</v>
      </c>
      <c r="AE3124">
        <v>-5.94100000000003</v>
      </c>
      <c r="AF3124">
        <v>-4.8146347272514696</v>
      </c>
      <c r="AG3124">
        <v>-0.78127990000000003</v>
      </c>
      <c r="AH3124">
        <v>75.4953857554775</v>
      </c>
      <c r="AI3124">
        <v>90.591714299278806</v>
      </c>
      <c r="AJ3124">
        <v>93.649033316096805</v>
      </c>
      <c r="AK3124">
        <v>75.652788291029694</v>
      </c>
      <c r="AL3124">
        <v>87.556878163176407</v>
      </c>
      <c r="AM3124">
        <v>89.025723372005302</v>
      </c>
      <c r="AN3124">
        <v>1.0000000080579401</v>
      </c>
    </row>
    <row r="3125" spans="1:40" x14ac:dyDescent="0.25">
      <c r="A3125" t="str">
        <f>"20190312153946526"</f>
        <v>20190312153946526</v>
      </c>
      <c r="B3125" t="str">
        <f>"1552376386519255"</f>
        <v>1552376386519255</v>
      </c>
      <c r="C3125" t="s">
        <v>40</v>
      </c>
      <c r="D3125">
        <v>4.1615099999999998</v>
      </c>
      <c r="E3125">
        <v>0.4701611</v>
      </c>
      <c r="F3125" t="s">
        <v>67</v>
      </c>
      <c r="G3125">
        <v>-511.9588</v>
      </c>
      <c r="H3125">
        <v>0.50164770000000003</v>
      </c>
      <c r="I3125">
        <v>277.00529999999998</v>
      </c>
      <c r="J3125">
        <v>-436.69400000000002</v>
      </c>
      <c r="K3125">
        <v>1.110304</v>
      </c>
      <c r="L3125">
        <v>282.95269999999999</v>
      </c>
      <c r="M3125">
        <v>-0.99979589999999996</v>
      </c>
      <c r="N3125">
        <v>0</v>
      </c>
      <c r="O3125">
        <v>-1.491721E-2</v>
      </c>
      <c r="P3125">
        <v>-0.99955559999999999</v>
      </c>
      <c r="Q3125">
        <v>2.9762139999999999E-2</v>
      </c>
      <c r="R3125">
        <v>1.76268E-3</v>
      </c>
      <c r="S3125">
        <v>-3.0024410000000001</v>
      </c>
      <c r="T3125">
        <v>-2.4226069999999999E-2</v>
      </c>
      <c r="U3125">
        <v>-0.2368469</v>
      </c>
      <c r="V3125">
        <v>1.6676079999999999E-2</v>
      </c>
      <c r="W3125">
        <v>4.3380299999999997E-2</v>
      </c>
      <c r="X3125">
        <v>0.99891940000000001</v>
      </c>
      <c r="Y3125">
        <v>-6.3757750000000002E-2</v>
      </c>
      <c r="Z3125">
        <v>-1.3665549999999999E-4</v>
      </c>
      <c r="AA3125">
        <v>0.9979654</v>
      </c>
      <c r="AB3125">
        <v>31</v>
      </c>
      <c r="AC3125">
        <v>-75.264799999999894</v>
      </c>
      <c r="AD3125">
        <v>-0.60865630000000004</v>
      </c>
      <c r="AE3125">
        <v>-5.9474000000000098</v>
      </c>
      <c r="AF3125">
        <v>-4.8235795793452203</v>
      </c>
      <c r="AG3125">
        <v>-0.60865630000000004</v>
      </c>
      <c r="AH3125">
        <v>75.340254267444706</v>
      </c>
      <c r="AI3125">
        <v>90.461923419804606</v>
      </c>
      <c r="AJ3125">
        <v>93.663301381889994</v>
      </c>
      <c r="AK3125">
        <v>75.496962160957295</v>
      </c>
      <c r="AL3125">
        <v>87.513711563769405</v>
      </c>
      <c r="AM3125">
        <v>89.043586242673996</v>
      </c>
      <c r="AN3125">
        <v>0.99999995488430704</v>
      </c>
    </row>
    <row r="3126" spans="1:40" x14ac:dyDescent="0.25">
      <c r="A3126" t="str">
        <f>"20190312153946538"</f>
        <v>20190312153946538</v>
      </c>
      <c r="B3126" t="str">
        <f>"1552376386529015"</f>
        <v>1552376386529015</v>
      </c>
      <c r="C3126" t="s">
        <v>40</v>
      </c>
      <c r="D3126">
        <v>4.1874979999999997</v>
      </c>
      <c r="E3126">
        <v>0.47035850000000001</v>
      </c>
      <c r="F3126" t="s">
        <v>67</v>
      </c>
      <c r="G3126">
        <v>-511.9588</v>
      </c>
      <c r="H3126">
        <v>0.59336440000000001</v>
      </c>
      <c r="I3126">
        <v>276.98390000000001</v>
      </c>
      <c r="J3126">
        <v>-436.86930000000001</v>
      </c>
      <c r="K3126">
        <v>1.1103069999999999</v>
      </c>
      <c r="L3126">
        <v>282.95010000000002</v>
      </c>
      <c r="M3126">
        <v>-0.99979589999999996</v>
      </c>
      <c r="N3126">
        <v>0</v>
      </c>
      <c r="O3126">
        <v>-1.4917450000000001E-2</v>
      </c>
      <c r="P3126">
        <v>-0.99953939999999997</v>
      </c>
      <c r="Q3126">
        <v>3.0317420000000001E-2</v>
      </c>
      <c r="R3126">
        <v>1.459155E-3</v>
      </c>
      <c r="S3126">
        <v>-3.0023499999999999</v>
      </c>
      <c r="T3126">
        <v>-2.0617719999999999E-2</v>
      </c>
      <c r="U3126">
        <v>-0.23809810000000001</v>
      </c>
      <c r="V3126">
        <v>1.6372749999999998E-2</v>
      </c>
      <c r="W3126">
        <v>4.3934809999999998E-2</v>
      </c>
      <c r="X3126">
        <v>0.99890020000000002</v>
      </c>
      <c r="Y3126">
        <v>-6.4173629999999995E-2</v>
      </c>
      <c r="Z3126">
        <v>-1.177277E-4</v>
      </c>
      <c r="AA3126">
        <v>0.99793880000000001</v>
      </c>
      <c r="AB3126">
        <v>31</v>
      </c>
      <c r="AC3126">
        <v>-75.089499999999902</v>
      </c>
      <c r="AD3126">
        <v>-0.51694259999999903</v>
      </c>
      <c r="AE3126">
        <v>-5.9662000000000104</v>
      </c>
      <c r="AF3126">
        <v>-4.8450599805929899</v>
      </c>
      <c r="AG3126">
        <v>-0.51694259999999903</v>
      </c>
      <c r="AH3126">
        <v>75.166611769626996</v>
      </c>
      <c r="AI3126">
        <v>90.393217494609999</v>
      </c>
      <c r="AJ3126">
        <v>93.688046852420797</v>
      </c>
      <c r="AK3126">
        <v>75.324374280793506</v>
      </c>
      <c r="AL3126">
        <v>87.481910201483103</v>
      </c>
      <c r="AM3126">
        <v>89.060961766464203</v>
      </c>
      <c r="AN3126">
        <v>0.99999997201616897</v>
      </c>
    </row>
    <row r="3127" spans="1:40" x14ac:dyDescent="0.25">
      <c r="A3127" t="str">
        <f>"20190312153946551"</f>
        <v>20190312153946551</v>
      </c>
      <c r="B3127" t="str">
        <f>"1552376386538776"</f>
        <v>1552376386538776</v>
      </c>
      <c r="C3127" t="s">
        <v>40</v>
      </c>
      <c r="D3127">
        <v>4.1526379999999996</v>
      </c>
      <c r="E3127">
        <v>0.47074880000000002</v>
      </c>
      <c r="F3127" t="s">
        <v>67</v>
      </c>
      <c r="G3127">
        <v>-511.9588</v>
      </c>
      <c r="H3127">
        <v>0.65886769999999995</v>
      </c>
      <c r="I3127">
        <v>277.0179</v>
      </c>
      <c r="J3127">
        <v>-437.04880000000003</v>
      </c>
      <c r="K3127">
        <v>1.110309</v>
      </c>
      <c r="L3127">
        <v>282.94740000000002</v>
      </c>
      <c r="M3127">
        <v>-0.99979589999999996</v>
      </c>
      <c r="N3127">
        <v>0</v>
      </c>
      <c r="O3127">
        <v>-1.4917440000000001E-2</v>
      </c>
      <c r="P3127">
        <v>-0.99953650000000005</v>
      </c>
      <c r="Q3127">
        <v>3.0424360000000001E-2</v>
      </c>
      <c r="R3127">
        <v>1.1211120000000001E-3</v>
      </c>
      <c r="S3127">
        <v>-3.0022890000000002</v>
      </c>
      <c r="T3127">
        <v>-1.80465E-2</v>
      </c>
      <c r="U3127">
        <v>-0.23718259999999999</v>
      </c>
      <c r="V3127">
        <v>1.6034570000000001E-2</v>
      </c>
      <c r="W3127">
        <v>4.4041039999999997E-2</v>
      </c>
      <c r="X3127">
        <v>0.99890100000000004</v>
      </c>
      <c r="Y3127">
        <v>-6.3873100000000002E-2</v>
      </c>
      <c r="Z3127">
        <v>-1.021477E-4</v>
      </c>
      <c r="AA3127">
        <v>0.99795800000000001</v>
      </c>
      <c r="AB3127">
        <v>31</v>
      </c>
      <c r="AC3127">
        <v>-74.909999999999897</v>
      </c>
      <c r="AD3127">
        <v>-0.45144129999999999</v>
      </c>
      <c r="AE3127">
        <v>-5.9295000000000098</v>
      </c>
      <c r="AF3127">
        <v>-4.8110972915609098</v>
      </c>
      <c r="AG3127">
        <v>-0.45144129999999999</v>
      </c>
      <c r="AH3127">
        <v>74.987417855743701</v>
      </c>
      <c r="AI3127">
        <v>90.344221726265999</v>
      </c>
      <c r="AJ3127">
        <v>93.670992788271107</v>
      </c>
      <c r="AK3127">
        <v>75.142952384559095</v>
      </c>
      <c r="AL3127">
        <v>87.475817753872903</v>
      </c>
      <c r="AM3127">
        <v>89.080355020006905</v>
      </c>
      <c r="AN3127">
        <v>0.999999964220182</v>
      </c>
    </row>
    <row r="3128" spans="1:40" x14ac:dyDescent="0.25">
      <c r="A3128" t="str">
        <f>"20190312153946565"</f>
        <v>20190312153946565</v>
      </c>
      <c r="B3128" t="str">
        <f>"1552376386559270"</f>
        <v>1552376386559270</v>
      </c>
      <c r="C3128" t="s">
        <v>40</v>
      </c>
      <c r="D3128">
        <v>4.1467519999999896</v>
      </c>
      <c r="E3128">
        <v>0.48546400000000001</v>
      </c>
      <c r="F3128" t="s">
        <v>67</v>
      </c>
      <c r="G3128">
        <v>-511.9588</v>
      </c>
      <c r="H3128">
        <v>0.64920959999999905</v>
      </c>
      <c r="I3128">
        <v>277.07639999999998</v>
      </c>
      <c r="J3128">
        <v>-437.22879999999998</v>
      </c>
      <c r="K3128">
        <v>1.1103099999999999</v>
      </c>
      <c r="L3128">
        <v>282.94470000000001</v>
      </c>
      <c r="M3128">
        <v>-0.99979589999999996</v>
      </c>
      <c r="N3128">
        <v>0</v>
      </c>
      <c r="O3128">
        <v>-1.4917669999999999E-2</v>
      </c>
      <c r="P3128">
        <v>-0.99952350000000001</v>
      </c>
      <c r="Q3128">
        <v>3.0863189999999999E-2</v>
      </c>
      <c r="R3128">
        <v>6.8249089999999999E-4</v>
      </c>
      <c r="S3128">
        <v>-3.0021969999999998</v>
      </c>
      <c r="T3128">
        <v>-1.8476369999999999E-2</v>
      </c>
      <c r="U3128">
        <v>-0.23529050000000001</v>
      </c>
      <c r="V3128">
        <v>1.559615E-2</v>
      </c>
      <c r="W3128">
        <v>4.447835E-2</v>
      </c>
      <c r="X3128">
        <v>0.99888860000000002</v>
      </c>
      <c r="Y3128">
        <v>-6.3250139999999996E-2</v>
      </c>
      <c r="Z3128">
        <v>-1.026711E-4</v>
      </c>
      <c r="AA3128">
        <v>0.99799769999999999</v>
      </c>
      <c r="AB3128">
        <v>31</v>
      </c>
      <c r="AC3128">
        <v>-74.73</v>
      </c>
      <c r="AD3128">
        <v>-0.46110040000000002</v>
      </c>
      <c r="AE3128">
        <v>-5.8683000000000298</v>
      </c>
      <c r="AF3128">
        <v>-4.7525660983208899</v>
      </c>
      <c r="AG3128">
        <v>-0.46110040000000002</v>
      </c>
      <c r="AH3128">
        <v>74.8064018473479</v>
      </c>
      <c r="AI3128">
        <v>90.352451359042306</v>
      </c>
      <c r="AJ3128">
        <v>93.635203632481193</v>
      </c>
      <c r="AK3128">
        <v>74.958636963626006</v>
      </c>
      <c r="AL3128">
        <v>87.450737247588506</v>
      </c>
      <c r="AM3128">
        <v>89.1054848674612</v>
      </c>
      <c r="AN3128">
        <v>0.99999999936175199</v>
      </c>
    </row>
    <row r="3129" spans="1:40" x14ac:dyDescent="0.25">
      <c r="A3129" t="str">
        <f>"20190312153946576"</f>
        <v>20190312153946576</v>
      </c>
      <c r="B3129" t="str">
        <f>"1552376386569031"</f>
        <v>1552376386569031</v>
      </c>
      <c r="C3129" t="s">
        <v>40</v>
      </c>
      <c r="D3129">
        <v>4.1624179999999997</v>
      </c>
      <c r="E3129">
        <v>0.48517579999999999</v>
      </c>
      <c r="F3129" t="s">
        <v>54</v>
      </c>
      <c r="G3129">
        <v>-488.70170000000002</v>
      </c>
      <c r="H3129" s="1">
        <v>3.4213589999999999E-6</v>
      </c>
      <c r="I3129">
        <v>280.86520000000002</v>
      </c>
      <c r="J3129">
        <v>-437.399</v>
      </c>
      <c r="K3129">
        <v>1.110306</v>
      </c>
      <c r="L3129">
        <v>282.94220000000001</v>
      </c>
      <c r="M3129">
        <v>-0.99979600000000002</v>
      </c>
      <c r="N3129">
        <v>0</v>
      </c>
      <c r="O3129">
        <v>-1.491778E-2</v>
      </c>
      <c r="P3129">
        <v>-0.99952960000000002</v>
      </c>
      <c r="Q3129">
        <v>3.0671029999999998E-2</v>
      </c>
      <c r="R3129">
        <v>2.841505E-4</v>
      </c>
      <c r="S3129">
        <v>-3.003479</v>
      </c>
      <c r="T3129">
        <v>-6.4787150000000002E-2</v>
      </c>
      <c r="U3129">
        <v>-0.121337899999999</v>
      </c>
      <c r="V3129">
        <v>1.519792E-2</v>
      </c>
      <c r="W3129">
        <v>4.4285419999999999E-2</v>
      </c>
      <c r="X3129">
        <v>0.99890330000000005</v>
      </c>
      <c r="Y3129">
        <v>-2.5452249999999999E-2</v>
      </c>
      <c r="Z3129" s="1">
        <v>4.7247540000000001E-5</v>
      </c>
      <c r="AA3129">
        <v>0.99967600000000001</v>
      </c>
      <c r="AB3129">
        <v>31</v>
      </c>
      <c r="AC3129">
        <v>-51.302700000000002</v>
      </c>
      <c r="AD3129">
        <v>-1.1103025786409999</v>
      </c>
      <c r="AE3129">
        <v>-2.0769999999999902</v>
      </c>
      <c r="AF3129">
        <v>-1.3107625462304799</v>
      </c>
      <c r="AG3129">
        <v>-1.1103025786409999</v>
      </c>
      <c r="AH3129">
        <v>51.303986614350997</v>
      </c>
      <c r="AI3129">
        <v>91.239376984072294</v>
      </c>
      <c r="AJ3129">
        <v>91.463528128581302</v>
      </c>
      <c r="AK3129">
        <v>51.332737242370399</v>
      </c>
      <c r="AL3129">
        <v>87.461802198971796</v>
      </c>
      <c r="AM3129">
        <v>89.1283345521516</v>
      </c>
      <c r="AN3129">
        <v>0.99999998897389597</v>
      </c>
    </row>
    <row r="3130" spans="1:40" x14ac:dyDescent="0.25">
      <c r="A3130" t="str">
        <f>"20190312153946600"</f>
        <v>20190312153946600</v>
      </c>
      <c r="B3130" t="str">
        <f>"1552376386588552"</f>
        <v>1552376386588552</v>
      </c>
      <c r="C3130" t="s">
        <v>40</v>
      </c>
      <c r="D3130">
        <v>4.1544299999999996</v>
      </c>
      <c r="E3130">
        <v>0.48515540000000001</v>
      </c>
      <c r="F3130" t="s">
        <v>54</v>
      </c>
      <c r="G3130">
        <v>-489.54090000000002</v>
      </c>
      <c r="H3130" s="1">
        <v>3.5622509999999999E-6</v>
      </c>
      <c r="I3130">
        <v>280.77420000000001</v>
      </c>
      <c r="J3130">
        <v>-437.70530000000002</v>
      </c>
      <c r="K3130">
        <v>1.1102970000000001</v>
      </c>
      <c r="L3130">
        <v>282.93759999999997</v>
      </c>
      <c r="M3130">
        <v>-0.99979600000000002</v>
      </c>
      <c r="N3130">
        <v>0</v>
      </c>
      <c r="O3130">
        <v>-1.4918249999999999E-2</v>
      </c>
      <c r="P3130">
        <v>-0.99956210000000001</v>
      </c>
      <c r="Q3130">
        <v>2.959169E-2</v>
      </c>
      <c r="R3130">
        <v>1.0238989999999999E-4</v>
      </c>
      <c r="S3130">
        <v>-3.0034179999999999</v>
      </c>
      <c r="T3130">
        <v>-6.3954469999999999E-2</v>
      </c>
      <c r="U3130">
        <v>-0.1248779</v>
      </c>
      <c r="V3130">
        <v>1.501721E-2</v>
      </c>
      <c r="W3130">
        <v>4.3204989999999999E-2</v>
      </c>
      <c r="X3130">
        <v>0.99895330000000004</v>
      </c>
      <c r="Y3130">
        <v>-2.6628679999999998E-2</v>
      </c>
      <c r="Z3130" s="1">
        <v>3.4130880000000001E-5</v>
      </c>
      <c r="AA3130">
        <v>0.99964540000000002</v>
      </c>
      <c r="AB3130">
        <v>31</v>
      </c>
      <c r="AC3130">
        <v>-51.835599999999999</v>
      </c>
      <c r="AD3130">
        <v>-1.1102934377489999</v>
      </c>
      <c r="AE3130">
        <v>-2.1633999999999598</v>
      </c>
      <c r="AF3130">
        <v>-1.3891548392680799</v>
      </c>
      <c r="AG3130">
        <v>-1.1102934377489999</v>
      </c>
      <c r="AH3130">
        <v>51.838365767794699</v>
      </c>
      <c r="AI3130">
        <v>91.226554560868607</v>
      </c>
      <c r="AJ3130">
        <v>91.535034215691098</v>
      </c>
      <c r="AK3130">
        <v>51.868860293639003</v>
      </c>
      <c r="AL3130">
        <v>87.523765480840396</v>
      </c>
      <c r="AM3130">
        <v>89.138740573393207</v>
      </c>
      <c r="AN3130">
        <v>0.99999994166898498</v>
      </c>
    </row>
    <row r="3131" spans="1:40" x14ac:dyDescent="0.25">
      <c r="A3131" t="str">
        <f>"20190312153946622"</f>
        <v>20190312153946622</v>
      </c>
      <c r="B3131" t="str">
        <f>"1552376386618808"</f>
        <v>1552376386618808</v>
      </c>
      <c r="C3131" t="s">
        <v>40</v>
      </c>
      <c r="D3131">
        <v>4.2205589999999997</v>
      </c>
      <c r="E3131">
        <v>0.48491099999999998</v>
      </c>
      <c r="F3131" t="s">
        <v>54</v>
      </c>
      <c r="G3131">
        <v>-487.2774</v>
      </c>
      <c r="H3131" s="1">
        <v>3.168713E-6</v>
      </c>
      <c r="I3131">
        <v>280.86540000000002</v>
      </c>
      <c r="J3131">
        <v>-438.0104</v>
      </c>
      <c r="K3131">
        <v>1.1102909999999999</v>
      </c>
      <c r="L3131">
        <v>282.93310000000002</v>
      </c>
      <c r="M3131">
        <v>-0.99979600000000002</v>
      </c>
      <c r="N3131">
        <v>0</v>
      </c>
      <c r="O3131">
        <v>-1.4918829999999999E-2</v>
      </c>
      <c r="P3131">
        <v>-0.99959540000000002</v>
      </c>
      <c r="Q3131">
        <v>2.8443E-2</v>
      </c>
      <c r="R3131">
        <v>6.0209640000000002E-4</v>
      </c>
      <c r="S3131">
        <v>-3.0033569999999998</v>
      </c>
      <c r="T3131">
        <v>-6.7267889999999997E-2</v>
      </c>
      <c r="U3131">
        <v>-0.1255493</v>
      </c>
      <c r="V3131">
        <v>1.551773E-2</v>
      </c>
      <c r="W3131">
        <v>4.2054939999999999E-2</v>
      </c>
      <c r="X3131">
        <v>0.99899479999999996</v>
      </c>
      <c r="Y3131">
        <v>-2.6851690000000001E-2</v>
      </c>
      <c r="Z3131" s="1">
        <v>3.34162E-5</v>
      </c>
      <c r="AA3131">
        <v>0.99963950000000001</v>
      </c>
      <c r="AB3131">
        <v>31</v>
      </c>
      <c r="AC3131">
        <v>-49.267000000000003</v>
      </c>
      <c r="AD3131">
        <v>-1.1102878312869999</v>
      </c>
      <c r="AE3131">
        <v>-2.0676999999999999</v>
      </c>
      <c r="AF3131">
        <v>-1.3317205400857699</v>
      </c>
      <c r="AG3131">
        <v>-1.1102878312869999</v>
      </c>
      <c r="AH3131">
        <v>49.267388688953602</v>
      </c>
      <c r="AI3131">
        <v>91.290525578228696</v>
      </c>
      <c r="AJ3131">
        <v>91.548354669565896</v>
      </c>
      <c r="AK3131">
        <v>49.297888462829903</v>
      </c>
      <c r="AL3131">
        <v>87.589718630321997</v>
      </c>
      <c r="AM3131">
        <v>89.110076510735297</v>
      </c>
      <c r="AN3131">
        <v>1.0000000141748899</v>
      </c>
    </row>
    <row r="3132" spans="1:40" x14ac:dyDescent="0.25">
      <c r="A3132" t="str">
        <f>"20190312153946638"</f>
        <v>20190312153946638</v>
      </c>
      <c r="B3132" t="str">
        <f>"1552376386628569"</f>
        <v>1552376386628569</v>
      </c>
      <c r="C3132" t="s">
        <v>40</v>
      </c>
      <c r="D3132">
        <v>4.2292269999999998</v>
      </c>
      <c r="E3132">
        <v>0.48500799999999999</v>
      </c>
      <c r="F3132" t="s">
        <v>54</v>
      </c>
      <c r="G3132">
        <v>-484.56240000000003</v>
      </c>
      <c r="H3132" s="1">
        <v>2.6971349999999999E-6</v>
      </c>
      <c r="I3132">
        <v>280.97989999999999</v>
      </c>
      <c r="J3132">
        <v>-438.22890000000001</v>
      </c>
      <c r="K3132">
        <v>1.1102890000000001</v>
      </c>
      <c r="L3132">
        <v>282.9298</v>
      </c>
      <c r="M3132">
        <v>-0.99979589999999996</v>
      </c>
      <c r="N3132">
        <v>0</v>
      </c>
      <c r="O3132">
        <v>-1.4919180000000001E-2</v>
      </c>
      <c r="P3132">
        <v>-0.99960340000000003</v>
      </c>
      <c r="Q3132">
        <v>2.8140490000000001E-2</v>
      </c>
      <c r="R3132">
        <v>1.154408E-3</v>
      </c>
      <c r="S3132">
        <v>-3.0032960000000002</v>
      </c>
      <c r="T3132">
        <v>-7.1630120000000005E-2</v>
      </c>
      <c r="U3132">
        <v>-0.12600710000000001</v>
      </c>
      <c r="V3132">
        <v>1.6070620000000001E-2</v>
      </c>
      <c r="W3132">
        <v>4.1751469999999999E-2</v>
      </c>
      <c r="X3132">
        <v>0.99899879999999996</v>
      </c>
      <c r="Y3132">
        <v>-2.7003840000000001E-2</v>
      </c>
      <c r="Z3132" s="1">
        <v>3.377808E-5</v>
      </c>
      <c r="AA3132">
        <v>0.9996353</v>
      </c>
      <c r="AB3132">
        <v>30</v>
      </c>
      <c r="AC3132">
        <v>-46.333500000000001</v>
      </c>
      <c r="AD3132">
        <v>-1.1102863028650001</v>
      </c>
      <c r="AE3132">
        <v>-1.94990000000001</v>
      </c>
      <c r="AF3132">
        <v>-1.2576400776226799</v>
      </c>
      <c r="AG3132">
        <v>-1.1102863028650001</v>
      </c>
      <c r="AH3132">
        <v>46.330878694069597</v>
      </c>
      <c r="AI3132">
        <v>91.372284252391395</v>
      </c>
      <c r="AJ3132">
        <v>91.554897731976794</v>
      </c>
      <c r="AK3132">
        <v>46.361241514909501</v>
      </c>
      <c r="AL3132">
        <v>87.607121494578905</v>
      </c>
      <c r="AM3132">
        <v>89.078377986767507</v>
      </c>
      <c r="AN3132">
        <v>1.0000000262378901</v>
      </c>
    </row>
    <row r="3133" spans="1:40" x14ac:dyDescent="0.25">
      <c r="A3133" t="str">
        <f>"20190312153946651"</f>
        <v>20190312153946651</v>
      </c>
      <c r="B3133" t="str">
        <f>"1552376386649063"</f>
        <v>1552376386649063</v>
      </c>
      <c r="C3133" t="s">
        <v>40</v>
      </c>
      <c r="D3133">
        <v>4.2481220000000004</v>
      </c>
      <c r="E3133">
        <v>0.48500520000000003</v>
      </c>
      <c r="F3133" t="s">
        <v>54</v>
      </c>
      <c r="G3133">
        <v>-482.8252</v>
      </c>
      <c r="H3133" s="1">
        <v>2.398852E-6</v>
      </c>
      <c r="I3133">
        <v>281.09280000000001</v>
      </c>
      <c r="J3133">
        <v>-438.42540000000002</v>
      </c>
      <c r="K3133">
        <v>1.1102939999999999</v>
      </c>
      <c r="L3133">
        <v>282.92689999999999</v>
      </c>
      <c r="M3133">
        <v>-0.99979600000000002</v>
      </c>
      <c r="N3133">
        <v>0</v>
      </c>
      <c r="O3133">
        <v>-1.491929E-2</v>
      </c>
      <c r="P3133">
        <v>-0.99961960000000005</v>
      </c>
      <c r="Q3133">
        <v>2.755355E-2</v>
      </c>
      <c r="R3133">
        <v>1.3692140000000001E-3</v>
      </c>
      <c r="S3133">
        <v>-3.0034480000000001</v>
      </c>
      <c r="T3133">
        <v>-7.4774980000000005E-2</v>
      </c>
      <c r="U3133">
        <v>-0.1237183</v>
      </c>
      <c r="V3133">
        <v>1.6285709999999998E-2</v>
      </c>
      <c r="W3133">
        <v>4.1163560000000002E-2</v>
      </c>
      <c r="X3133">
        <v>0.99901969999999995</v>
      </c>
      <c r="Y3133">
        <v>-2.6241049999999998E-2</v>
      </c>
      <c r="Z3133" s="1">
        <v>4.4752549999999999E-5</v>
      </c>
      <c r="AA3133">
        <v>0.99965570000000004</v>
      </c>
      <c r="AB3133">
        <v>30</v>
      </c>
      <c r="AC3133">
        <v>-44.3997999999999</v>
      </c>
      <c r="AD3133">
        <v>-1.110291601148</v>
      </c>
      <c r="AE3133">
        <v>-1.8340999999999701</v>
      </c>
      <c r="AF3133">
        <v>-1.1706901061922601</v>
      </c>
      <c r="AG3133">
        <v>-1.110291601148</v>
      </c>
      <c r="AH3133">
        <v>44.394509338692004</v>
      </c>
      <c r="AI3133">
        <v>91.432151682646605</v>
      </c>
      <c r="AJ3133">
        <v>91.510548531654607</v>
      </c>
      <c r="AK3133">
        <v>44.423819311125499</v>
      </c>
      <c r="AL3133">
        <v>87.640835207117107</v>
      </c>
      <c r="AM3133">
        <v>89.066064656437803</v>
      </c>
      <c r="AN3133">
        <v>1.00000001200508</v>
      </c>
    </row>
    <row r="3134" spans="1:40" x14ac:dyDescent="0.25">
      <c r="A3134" t="str">
        <f>"20190312153946665"</f>
        <v>20190312153946665</v>
      </c>
      <c r="B3134" t="str">
        <f>"1552376386658822"</f>
        <v>1552376386658822</v>
      </c>
      <c r="C3134" t="s">
        <v>40</v>
      </c>
      <c r="D3134">
        <v>4.2500210000000003</v>
      </c>
      <c r="E3134">
        <v>0.4849871</v>
      </c>
      <c r="F3134" t="s">
        <v>54</v>
      </c>
      <c r="G3134">
        <v>-480.42840000000001</v>
      </c>
      <c r="H3134" s="1">
        <v>1.9836150000000002E-6</v>
      </c>
      <c r="I3134">
        <v>281.20609999999999</v>
      </c>
      <c r="J3134">
        <v>-438.5992</v>
      </c>
      <c r="K3134">
        <v>1.11029</v>
      </c>
      <c r="L3134">
        <v>282.92430000000002</v>
      </c>
      <c r="M3134">
        <v>-0.99979589999999996</v>
      </c>
      <c r="N3134">
        <v>0</v>
      </c>
      <c r="O3134">
        <v>-1.4919409999999999E-2</v>
      </c>
      <c r="P3134">
        <v>-0.99964629999999999</v>
      </c>
      <c r="Q3134">
        <v>2.6534350000000002E-2</v>
      </c>
      <c r="R3134">
        <v>1.814583E-3</v>
      </c>
      <c r="S3134">
        <v>-3.0035400000000001</v>
      </c>
      <c r="T3134">
        <v>-7.9394580000000006E-2</v>
      </c>
      <c r="U3134">
        <v>-0.1230469</v>
      </c>
      <c r="V3134">
        <v>1.673152E-2</v>
      </c>
      <c r="W3134">
        <v>4.0143970000000001E-2</v>
      </c>
      <c r="X3134">
        <v>0.99905379999999999</v>
      </c>
      <c r="Y3134">
        <v>-2.601624E-2</v>
      </c>
      <c r="Z3134" s="1">
        <v>5.0487900000000002E-5</v>
      </c>
      <c r="AA3134">
        <v>0.99966149999999998</v>
      </c>
      <c r="AB3134">
        <v>30</v>
      </c>
      <c r="AC3134">
        <v>-41.8292</v>
      </c>
      <c r="AD3134">
        <v>-1.110288016385</v>
      </c>
      <c r="AE3134">
        <v>-1.7182000000000199</v>
      </c>
      <c r="AF3134">
        <v>-1.0931149735549499</v>
      </c>
      <c r="AG3134">
        <v>-1.110288016385</v>
      </c>
      <c r="AH3134">
        <v>41.820765216955202</v>
      </c>
      <c r="AI3134">
        <v>91.520253706421997</v>
      </c>
      <c r="AJ3134">
        <v>91.497261393770799</v>
      </c>
      <c r="AK3134">
        <v>41.849779487548403</v>
      </c>
      <c r="AL3134">
        <v>87.699301693770707</v>
      </c>
      <c r="AM3134">
        <v>89.040536284647899</v>
      </c>
      <c r="AN3134">
        <v>0.99999998869165496</v>
      </c>
    </row>
    <row r="3135" spans="1:40" x14ac:dyDescent="0.25">
      <c r="A3135" t="str">
        <f>"20190312153946678"</f>
        <v>20190312153946678</v>
      </c>
      <c r="B3135" t="str">
        <f>"1552376386668584"</f>
        <v>1552376386668584</v>
      </c>
      <c r="C3135" t="s">
        <v>40</v>
      </c>
      <c r="D3135">
        <v>4.2280100000000003</v>
      </c>
      <c r="E3135">
        <v>0.48500330000000003</v>
      </c>
      <c r="F3135" t="s">
        <v>54</v>
      </c>
      <c r="G3135">
        <v>-478.95359999999999</v>
      </c>
      <c r="H3135" s="1">
        <v>2.3523669999999999E-6</v>
      </c>
      <c r="I3135">
        <v>281.28539999999998</v>
      </c>
      <c r="J3135">
        <v>-438.76940000000002</v>
      </c>
      <c r="K3135">
        <v>1.110271</v>
      </c>
      <c r="L3135">
        <v>282.92180000000002</v>
      </c>
      <c r="M3135">
        <v>-0.99979589999999996</v>
      </c>
      <c r="N3135">
        <v>0</v>
      </c>
      <c r="O3135">
        <v>-1.4919760000000001E-2</v>
      </c>
      <c r="P3135">
        <v>-0.99969339999999995</v>
      </c>
      <c r="Q3135">
        <v>2.4662090000000001E-2</v>
      </c>
      <c r="R3135">
        <v>2.2189459999999999E-3</v>
      </c>
      <c r="S3135">
        <v>-3.003479</v>
      </c>
      <c r="T3135">
        <v>-8.2636000000000001E-2</v>
      </c>
      <c r="U3135">
        <v>-0.1219788</v>
      </c>
      <c r="V3135">
        <v>1.7136700000000001E-2</v>
      </c>
      <c r="W3135">
        <v>3.827096E-2</v>
      </c>
      <c r="X3135">
        <v>0.99912049999999997</v>
      </c>
      <c r="Y3135">
        <v>-2.5661610000000001E-2</v>
      </c>
      <c r="Z3135" s="1">
        <v>5.7435329999999997E-5</v>
      </c>
      <c r="AA3135">
        <v>0.99967070000000002</v>
      </c>
      <c r="AB3135">
        <v>30</v>
      </c>
      <c r="AC3135">
        <v>-40.184199999999898</v>
      </c>
      <c r="AD3135">
        <v>-1.1102686476329999</v>
      </c>
      <c r="AE3135">
        <v>-1.6364000000000301</v>
      </c>
      <c r="AF3135">
        <v>-1.0358341383751</v>
      </c>
      <c r="AG3135">
        <v>-1.1102686476329999</v>
      </c>
      <c r="AH3135">
        <v>40.1735261688723</v>
      </c>
      <c r="AI3135">
        <v>91.582544680439696</v>
      </c>
      <c r="AJ3135">
        <v>91.476987043374905</v>
      </c>
      <c r="AK3135">
        <v>40.202212049502997</v>
      </c>
      <c r="AL3135">
        <v>87.806699999632102</v>
      </c>
      <c r="AM3135">
        <v>89.017371458894203</v>
      </c>
      <c r="AN3135">
        <v>1.0000000531932201</v>
      </c>
    </row>
    <row r="3136" spans="1:40" x14ac:dyDescent="0.25">
      <c r="A3136" t="str">
        <f>"20190312153946693"</f>
        <v>20190312153946693</v>
      </c>
      <c r="B3136" t="str">
        <f>"1552376386689079"</f>
        <v>1552376386689079</v>
      </c>
      <c r="C3136" t="s">
        <v>40</v>
      </c>
      <c r="D3136">
        <v>4.2401809999999998</v>
      </c>
      <c r="E3136">
        <v>0.48494320000000002</v>
      </c>
      <c r="F3136" t="s">
        <v>54</v>
      </c>
      <c r="G3136">
        <v>-476.80549999999999</v>
      </c>
      <c r="H3136" s="1">
        <v>3.314639E-6</v>
      </c>
      <c r="I3136">
        <v>281.3963</v>
      </c>
      <c r="J3136">
        <v>-438.99400000000003</v>
      </c>
      <c r="K3136">
        <v>1.110269</v>
      </c>
      <c r="L3136">
        <v>282.91840000000002</v>
      </c>
      <c r="M3136">
        <v>-0.99979589999999996</v>
      </c>
      <c r="N3136">
        <v>0</v>
      </c>
      <c r="O3136">
        <v>-1.4919750000000001E-2</v>
      </c>
      <c r="P3136">
        <v>-0.99971339999999997</v>
      </c>
      <c r="Q3136">
        <v>2.3831000000000001E-2</v>
      </c>
      <c r="R3136">
        <v>2.2517539999999999E-3</v>
      </c>
      <c r="S3136">
        <v>-3.003387</v>
      </c>
      <c r="T3136">
        <v>-8.7668300000000005E-2</v>
      </c>
      <c r="U3136">
        <v>-0.1204529</v>
      </c>
      <c r="V3136">
        <v>1.7169839999999999E-2</v>
      </c>
      <c r="W3136">
        <v>3.7439010000000002E-2</v>
      </c>
      <c r="X3136">
        <v>0.99915140000000002</v>
      </c>
      <c r="Y3136">
        <v>-2.5155500000000001E-2</v>
      </c>
      <c r="Z3136" s="1">
        <v>6.8316210000000002E-5</v>
      </c>
      <c r="AA3136">
        <v>0.99968360000000001</v>
      </c>
      <c r="AB3136">
        <v>30</v>
      </c>
      <c r="AC3136">
        <v>-37.811499999999903</v>
      </c>
      <c r="AD3136">
        <v>-1.110265685361</v>
      </c>
      <c r="AE3136">
        <v>-1.52210000000002</v>
      </c>
      <c r="AF3136">
        <v>-0.95691636053003903</v>
      </c>
      <c r="AG3136">
        <v>-1.110265685361</v>
      </c>
      <c r="AH3136">
        <v>37.797465941617098</v>
      </c>
      <c r="AI3136">
        <v>91.681988213929401</v>
      </c>
      <c r="AJ3136">
        <v>91.450244299151706</v>
      </c>
      <c r="AK3136">
        <v>37.825874879780997</v>
      </c>
      <c r="AL3136">
        <v>87.854401301586506</v>
      </c>
      <c r="AM3136">
        <v>89.015502007085303</v>
      </c>
      <c r="AN3136">
        <v>1.0000000014986801</v>
      </c>
    </row>
    <row r="3137" spans="1:40" x14ac:dyDescent="0.25">
      <c r="A3137" t="str">
        <f>"20190312153946711"</f>
        <v>20190312153946711</v>
      </c>
      <c r="B3137" t="str">
        <f>"1552376386698839"</f>
        <v>1552376386698839</v>
      </c>
      <c r="C3137" t="s">
        <v>40</v>
      </c>
      <c r="D3137">
        <v>4.2613430000000001</v>
      </c>
      <c r="E3137">
        <v>0.4848826</v>
      </c>
      <c r="F3137" t="s">
        <v>54</v>
      </c>
      <c r="G3137">
        <v>-475.79070000000002</v>
      </c>
      <c r="H3137" s="1">
        <v>3.7686359999999999E-6</v>
      </c>
      <c r="I3137">
        <v>281.44189999999998</v>
      </c>
      <c r="J3137">
        <v>-439.22089999999997</v>
      </c>
      <c r="K3137">
        <v>1.1102700000000001</v>
      </c>
      <c r="L3137">
        <v>282.91500000000002</v>
      </c>
      <c r="M3137">
        <v>-0.99979600000000002</v>
      </c>
      <c r="N3137">
        <v>0</v>
      </c>
      <c r="O3137">
        <v>-1.49201E-2</v>
      </c>
      <c r="P3137">
        <v>-0.99973679999999998</v>
      </c>
      <c r="Q3137">
        <v>2.2837429999999999E-2</v>
      </c>
      <c r="R3137">
        <v>2.0879869999999999E-3</v>
      </c>
      <c r="S3137">
        <v>-3.0033259999999999</v>
      </c>
      <c r="T3137">
        <v>-9.0619089999999999E-2</v>
      </c>
      <c r="U3137">
        <v>-0.12051389999999999</v>
      </c>
      <c r="V3137">
        <v>1.70065999999999E-2</v>
      </c>
      <c r="W3137">
        <v>3.6444049999999999E-2</v>
      </c>
      <c r="X3137">
        <v>0.99919100000000005</v>
      </c>
      <c r="Y3137">
        <v>-2.5175940000000001E-2</v>
      </c>
      <c r="Z3137" s="1">
        <v>7.0318319999999995E-5</v>
      </c>
      <c r="AA3137">
        <v>0.99968299999999999</v>
      </c>
      <c r="AB3137">
        <v>30</v>
      </c>
      <c r="AC3137">
        <v>-36.569800000000001</v>
      </c>
      <c r="AD3137">
        <v>-1.1102662313639999</v>
      </c>
      <c r="AE3137">
        <v>-1.47310000000004</v>
      </c>
      <c r="AF3137">
        <v>-0.92640782688185597</v>
      </c>
      <c r="AG3137">
        <v>-1.1102662313639999</v>
      </c>
      <c r="AH3137">
        <v>36.554070648200501</v>
      </c>
      <c r="AI3137">
        <v>91.739166565104</v>
      </c>
      <c r="AJ3137">
        <v>91.451764410524007</v>
      </c>
      <c r="AK3137">
        <v>36.582659874862102</v>
      </c>
      <c r="AL3137">
        <v>87.911447297283303</v>
      </c>
      <c r="AM3137">
        <v>89.024898815820706</v>
      </c>
      <c r="AN3137">
        <v>1.00000002385248</v>
      </c>
    </row>
    <row r="3138" spans="1:40" x14ac:dyDescent="0.25">
      <c r="A3138" t="str">
        <f>"20190312153946726"</f>
        <v>20190312153946726</v>
      </c>
      <c r="B3138" t="str">
        <f>"1552376386719335"</f>
        <v>1552376386719335</v>
      </c>
      <c r="C3138" t="s">
        <v>40</v>
      </c>
      <c r="D3138">
        <v>4.26274</v>
      </c>
      <c r="E3138">
        <v>0.48489260000000001</v>
      </c>
      <c r="F3138" t="s">
        <v>54</v>
      </c>
      <c r="G3138">
        <v>-474.9461</v>
      </c>
      <c r="H3138" s="1">
        <v>4.1452139999999997E-6</v>
      </c>
      <c r="I3138">
        <v>281.46469999999999</v>
      </c>
      <c r="J3138">
        <v>-439.42059999999998</v>
      </c>
      <c r="K3138">
        <v>1.1102700000000001</v>
      </c>
      <c r="L3138">
        <v>282.91199999999998</v>
      </c>
      <c r="M3138">
        <v>-0.99979609999999997</v>
      </c>
      <c r="N3138">
        <v>0</v>
      </c>
      <c r="O3138">
        <v>-1.492045E-2</v>
      </c>
      <c r="P3138">
        <v>-0.99974209999999997</v>
      </c>
      <c r="Q3138">
        <v>2.2638579999999998E-2</v>
      </c>
      <c r="R3138">
        <v>1.8090269999999999E-3</v>
      </c>
      <c r="S3138">
        <v>-3.003174</v>
      </c>
      <c r="T3138">
        <v>-9.3332650000000003E-2</v>
      </c>
      <c r="U3138">
        <v>-0.1219177</v>
      </c>
      <c r="V3138">
        <v>1.6728059999999999E-2</v>
      </c>
      <c r="W3138">
        <v>3.6244859999999997E-2</v>
      </c>
      <c r="X3138">
        <v>0.9992029</v>
      </c>
      <c r="Y3138">
        <v>-2.564365E-2</v>
      </c>
      <c r="Z3138" s="1">
        <v>6.5173369999999898E-5</v>
      </c>
      <c r="AA3138">
        <v>0.99967119999999998</v>
      </c>
      <c r="AB3138">
        <v>30</v>
      </c>
      <c r="AC3138">
        <v>-35.525500000000001</v>
      </c>
      <c r="AD3138">
        <v>-1.110265854786</v>
      </c>
      <c r="AE3138">
        <v>-1.44730000000004</v>
      </c>
      <c r="AF3138">
        <v>-0.91614000535911999</v>
      </c>
      <c r="AG3138">
        <v>-1.110265854786</v>
      </c>
      <c r="AH3138">
        <v>35.508516384594799</v>
      </c>
      <c r="AI3138">
        <v>91.790322261037204</v>
      </c>
      <c r="AJ3138">
        <v>91.477935958306205</v>
      </c>
      <c r="AK3138">
        <v>35.537680546326598</v>
      </c>
      <c r="AL3138">
        <v>87.922867490330404</v>
      </c>
      <c r="AM3138">
        <v>89.040877773991099</v>
      </c>
      <c r="AN3138">
        <v>0.99999997661809603</v>
      </c>
    </row>
    <row r="3139" spans="1:40" x14ac:dyDescent="0.25">
      <c r="A3139" t="str">
        <f>"20190312153946739"</f>
        <v>20190312153946739</v>
      </c>
      <c r="B3139" t="str">
        <f>"1552376386729096"</f>
        <v>1552376386729096</v>
      </c>
      <c r="C3139" t="s">
        <v>40</v>
      </c>
      <c r="D3139">
        <v>4.2403120000000003</v>
      </c>
      <c r="E3139">
        <v>0.48490329999999898</v>
      </c>
      <c r="F3139" t="s">
        <v>54</v>
      </c>
      <c r="G3139">
        <v>-475.02159999999998</v>
      </c>
      <c r="H3139" s="1">
        <v>4.1112459999999997E-6</v>
      </c>
      <c r="I3139">
        <v>281.45909999999998</v>
      </c>
      <c r="J3139">
        <v>-439.59809999999999</v>
      </c>
      <c r="K3139">
        <v>1.110268</v>
      </c>
      <c r="L3139">
        <v>282.90940000000001</v>
      </c>
      <c r="M3139">
        <v>-0.99979609999999997</v>
      </c>
      <c r="N3139">
        <v>0</v>
      </c>
      <c r="O3139">
        <v>-1.49208E-2</v>
      </c>
      <c r="P3139">
        <v>-0.99974499999999999</v>
      </c>
      <c r="Q3139">
        <v>2.2543730000000001E-2</v>
      </c>
      <c r="R3139">
        <v>1.382267E-3</v>
      </c>
      <c r="S3139">
        <v>-3.0031129999999999</v>
      </c>
      <c r="T3139">
        <v>-9.3656180000000006E-2</v>
      </c>
      <c r="U3139">
        <v>-0.1225586</v>
      </c>
      <c r="V3139">
        <v>1.6301880000000001E-2</v>
      </c>
      <c r="W3139">
        <v>3.6149559999999997E-2</v>
      </c>
      <c r="X3139">
        <v>0.99921340000000003</v>
      </c>
      <c r="Y3139">
        <v>-2.5856959999999998E-2</v>
      </c>
      <c r="Z3139" s="1">
        <v>6.2087000000000004E-5</v>
      </c>
      <c r="AA3139">
        <v>0.99966569999999999</v>
      </c>
      <c r="AB3139">
        <v>30</v>
      </c>
      <c r="AC3139">
        <v>-35.423499999999898</v>
      </c>
      <c r="AD3139">
        <v>-1.110263888754</v>
      </c>
      <c r="AE3139">
        <v>-1.4503000000000199</v>
      </c>
      <c r="AF3139">
        <v>-0.92063974695293804</v>
      </c>
      <c r="AG3139">
        <v>-1.110263888754</v>
      </c>
      <c r="AH3139">
        <v>35.406473913527201</v>
      </c>
      <c r="AI3139">
        <v>91.795466115433001</v>
      </c>
      <c r="AJ3139">
        <v>91.489470230789607</v>
      </c>
      <c r="AK3139">
        <v>35.435838616231798</v>
      </c>
      <c r="AL3139">
        <v>87.928331366659904</v>
      </c>
      <c r="AM3139">
        <v>89.065318714457504</v>
      </c>
      <c r="AN3139">
        <v>0.99999998035964299</v>
      </c>
    </row>
    <row r="3140" spans="1:40" x14ac:dyDescent="0.25">
      <c r="A3140" t="str">
        <f>"20190312153946756"</f>
        <v>20190312153946756</v>
      </c>
      <c r="B3140" t="str">
        <f>"1552376386749174"</f>
        <v>1552376386749174</v>
      </c>
      <c r="C3140" t="s">
        <v>40</v>
      </c>
      <c r="D3140">
        <v>4.2540449999999996</v>
      </c>
      <c r="E3140">
        <v>0.4848789</v>
      </c>
      <c r="F3140" t="s">
        <v>54</v>
      </c>
      <c r="G3140">
        <v>-475.28019999999998</v>
      </c>
      <c r="H3140" s="1">
        <v>3.9948189999999997E-6</v>
      </c>
      <c r="I3140">
        <v>281.43939999999998</v>
      </c>
      <c r="J3140">
        <v>-439.83370000000002</v>
      </c>
      <c r="K3140">
        <v>1.1102730000000001</v>
      </c>
      <c r="L3140">
        <v>282.9058</v>
      </c>
      <c r="M3140">
        <v>-0.99979620000000002</v>
      </c>
      <c r="N3140">
        <v>0</v>
      </c>
      <c r="O3140">
        <v>-1.4920910000000001E-2</v>
      </c>
      <c r="P3140">
        <v>-0.99973990000000001</v>
      </c>
      <c r="Q3140">
        <v>2.2775199999999999E-2</v>
      </c>
      <c r="R3140">
        <v>1.41141799999999E-3</v>
      </c>
      <c r="S3140">
        <v>-3.0031129999999999</v>
      </c>
      <c r="T3140">
        <v>-9.3443159999999997E-2</v>
      </c>
      <c r="U3140">
        <v>-0.1237183</v>
      </c>
      <c r="V3140">
        <v>1.6331180000000001E-2</v>
      </c>
      <c r="W3140">
        <v>3.6379710000000003E-2</v>
      </c>
      <c r="X3140">
        <v>0.9992046</v>
      </c>
      <c r="Y3140">
        <v>-2.6242060000000001E-2</v>
      </c>
      <c r="Z3140" s="1">
        <v>5.5961190000000001E-5</v>
      </c>
      <c r="AA3140">
        <v>0.99965559999999998</v>
      </c>
      <c r="AB3140">
        <v>30</v>
      </c>
      <c r="AC3140">
        <v>-35.446499999999901</v>
      </c>
      <c r="AD3140">
        <v>-1.110269005181</v>
      </c>
      <c r="AE3140">
        <v>-1.4664000000000199</v>
      </c>
      <c r="AF3140">
        <v>-0.936376677785274</v>
      </c>
      <c r="AG3140">
        <v>-1.110269005181</v>
      </c>
      <c r="AH3140">
        <v>35.429734865573401</v>
      </c>
      <c r="AI3140">
        <v>91.794276295294395</v>
      </c>
      <c r="AJ3140">
        <v>91.513924547522606</v>
      </c>
      <c r="AK3140">
        <v>35.459492539958703</v>
      </c>
      <c r="AL3140">
        <v>87.915136128503605</v>
      </c>
      <c r="AM3140">
        <v>89.063630829367</v>
      </c>
      <c r="AN3140">
        <v>1.0000000117005099</v>
      </c>
    </row>
    <row r="3141" spans="1:40" x14ac:dyDescent="0.25">
      <c r="A3141" t="str">
        <f>"20190312153946771"</f>
        <v>20190312153946771</v>
      </c>
      <c r="B3141" t="str">
        <f>"1552376386758931"</f>
        <v>1552376386758931</v>
      </c>
      <c r="C3141" t="s">
        <v>40</v>
      </c>
      <c r="D3141">
        <v>4.2519559999999998</v>
      </c>
      <c r="E3141">
        <v>0.48481770000000002</v>
      </c>
      <c r="F3141" t="s">
        <v>54</v>
      </c>
      <c r="G3141">
        <v>-476.27140000000003</v>
      </c>
      <c r="H3141" s="1">
        <v>3.5520850000000001E-6</v>
      </c>
      <c r="I3141">
        <v>281.40289999999999</v>
      </c>
      <c r="J3141">
        <v>-440.03519999999997</v>
      </c>
      <c r="K3141">
        <v>1.110276</v>
      </c>
      <c r="L3141">
        <v>282.90280000000001</v>
      </c>
      <c r="M3141">
        <v>-0.99979620000000002</v>
      </c>
      <c r="N3141">
        <v>0</v>
      </c>
      <c r="O3141">
        <v>-1.492126E-2</v>
      </c>
      <c r="P3141">
        <v>-0.99972229999999995</v>
      </c>
      <c r="Q3141">
        <v>2.352282E-2</v>
      </c>
      <c r="R3141">
        <v>1.4772769999999999E-3</v>
      </c>
      <c r="S3141">
        <v>-3.003082</v>
      </c>
      <c r="T3141">
        <v>-9.1505169999999997E-2</v>
      </c>
      <c r="U3141">
        <v>-0.1238708</v>
      </c>
      <c r="V3141">
        <v>1.6396979999999999E-2</v>
      </c>
      <c r="W3141">
        <v>3.7125930000000001E-2</v>
      </c>
      <c r="X3141">
        <v>0.99917610000000001</v>
      </c>
      <c r="Y3141">
        <v>-2.629304E-2</v>
      </c>
      <c r="Z3141" s="1">
        <v>5.4036180000000001E-5</v>
      </c>
      <c r="AA3141">
        <v>0.9996543</v>
      </c>
      <c r="AB3141">
        <v>30</v>
      </c>
      <c r="AC3141">
        <v>-36.236199999999997</v>
      </c>
      <c r="AD3141">
        <v>-1.1102724479149999</v>
      </c>
      <c r="AE3141">
        <v>-1.49990000000002</v>
      </c>
      <c r="AF3141">
        <v>-0.95809530573685997</v>
      </c>
      <c r="AG3141">
        <v>-1.1102724479149999</v>
      </c>
      <c r="AH3141">
        <v>36.220601810986402</v>
      </c>
      <c r="AI3141">
        <v>91.755127933537693</v>
      </c>
      <c r="AJ3141">
        <v>91.515215564821901</v>
      </c>
      <c r="AK3141">
        <v>36.2502778896039</v>
      </c>
      <c r="AL3141">
        <v>87.872352020201802</v>
      </c>
      <c r="AM3141">
        <v>89.059831966377004</v>
      </c>
      <c r="AN3141">
        <v>1.00000003722134</v>
      </c>
    </row>
    <row r="3142" spans="1:40" x14ac:dyDescent="0.25">
      <c r="A3142" t="str">
        <f>"20190312153946786"</f>
        <v>20190312153946786</v>
      </c>
      <c r="B3142" t="str">
        <f>"1552376386778451"</f>
        <v>1552376386778451</v>
      </c>
      <c r="C3142" t="s">
        <v>40</v>
      </c>
      <c r="D3142">
        <v>4.2710359999999996</v>
      </c>
      <c r="E3142">
        <v>0.48480230000000002</v>
      </c>
      <c r="F3142" t="s">
        <v>54</v>
      </c>
      <c r="G3142">
        <v>-477.42880000000002</v>
      </c>
      <c r="H3142" s="1">
        <v>3.0345450000000001E-6</v>
      </c>
      <c r="I3142">
        <v>281.35399999999998</v>
      </c>
      <c r="J3142">
        <v>-440.23309999999998</v>
      </c>
      <c r="K3142">
        <v>1.1102810000000001</v>
      </c>
      <c r="L3142">
        <v>282.8999</v>
      </c>
      <c r="M3142">
        <v>-0.99979620000000002</v>
      </c>
      <c r="N3142">
        <v>0</v>
      </c>
      <c r="O3142">
        <v>-1.492161E-2</v>
      </c>
      <c r="P3142">
        <v>-0.99969730000000001</v>
      </c>
      <c r="Q3142">
        <v>2.4568130000000001E-2</v>
      </c>
      <c r="R3142">
        <v>1.397524E-3</v>
      </c>
      <c r="S3142">
        <v>-3.0031129999999999</v>
      </c>
      <c r="T3142">
        <v>-8.9167120000000002E-2</v>
      </c>
      <c r="U3142">
        <v>-0.1243896</v>
      </c>
      <c r="V3142">
        <v>1.6317249999999998E-2</v>
      </c>
      <c r="W3142">
        <v>3.8169950000000001E-2</v>
      </c>
      <c r="X3142">
        <v>0.99913810000000003</v>
      </c>
      <c r="Y3142">
        <v>-2.646486E-2</v>
      </c>
      <c r="Z3142" s="1">
        <v>5.0116510000000001E-5</v>
      </c>
      <c r="AA3142">
        <v>0.99964980000000003</v>
      </c>
      <c r="AB3142">
        <v>30</v>
      </c>
      <c r="AC3142">
        <v>-37.195700000000002</v>
      </c>
      <c r="AD3142">
        <v>-1.1102779654549999</v>
      </c>
      <c r="AE3142">
        <v>-1.5458999999999601</v>
      </c>
      <c r="AF3142">
        <v>-0.98977643830315198</v>
      </c>
      <c r="AG3142">
        <v>-1.1102779654549999</v>
      </c>
      <c r="AH3142">
        <v>37.181555898825003</v>
      </c>
      <c r="AI3142">
        <v>91.709794946387007</v>
      </c>
      <c r="AJ3142">
        <v>91.524858802690105</v>
      </c>
      <c r="AK3142">
        <v>37.211294973648002</v>
      </c>
      <c r="AL3142">
        <v>87.8124917152536</v>
      </c>
      <c r="AM3142">
        <v>89.064367123729696</v>
      </c>
      <c r="AN3142">
        <v>1.0000000703010801</v>
      </c>
    </row>
    <row r="3143" spans="1:40" x14ac:dyDescent="0.25">
      <c r="A3143" t="str">
        <f>"20190312153946801"</f>
        <v>20190312153946801</v>
      </c>
      <c r="B3143" t="str">
        <f>"1552376386789187"</f>
        <v>1552376386789187</v>
      </c>
      <c r="C3143" t="s">
        <v>40</v>
      </c>
      <c r="D3143">
        <v>4.2834059999999896</v>
      </c>
      <c r="E3143">
        <v>0.48478660000000001</v>
      </c>
      <c r="F3143" t="s">
        <v>54</v>
      </c>
      <c r="G3143">
        <v>-478.8931</v>
      </c>
      <c r="H3143" s="1">
        <v>2.380003E-6</v>
      </c>
      <c r="I3143">
        <v>281.29469999999998</v>
      </c>
      <c r="J3143">
        <v>-440.43689999999998</v>
      </c>
      <c r="K3143">
        <v>1.1102909999999999</v>
      </c>
      <c r="L3143">
        <v>282.89690000000002</v>
      </c>
      <c r="M3143">
        <v>-0.99979620000000002</v>
      </c>
      <c r="N3143">
        <v>0</v>
      </c>
      <c r="O3143">
        <v>-1.492197E-2</v>
      </c>
      <c r="P3143">
        <v>-0.99965199999999999</v>
      </c>
      <c r="Q3143">
        <v>2.6343269999999998E-2</v>
      </c>
      <c r="R3143">
        <v>1.561921E-3</v>
      </c>
      <c r="S3143">
        <v>-3.0032350000000001</v>
      </c>
      <c r="T3143">
        <v>-8.6250069999999998E-2</v>
      </c>
      <c r="U3143">
        <v>-0.12469479999999999</v>
      </c>
      <c r="V3143">
        <v>1.6481530000000001E-2</v>
      </c>
      <c r="W3143">
        <v>3.9943390000000002E-2</v>
      </c>
      <c r="X3143">
        <v>0.99906600000000001</v>
      </c>
      <c r="Y3143">
        <v>-2.6564520000000001E-2</v>
      </c>
      <c r="Z3143" s="1">
        <v>4.7055360000000001E-5</v>
      </c>
      <c r="AA3143">
        <v>0.99964710000000001</v>
      </c>
      <c r="AB3143">
        <v>30</v>
      </c>
      <c r="AC3143">
        <v>-38.456200000000003</v>
      </c>
      <c r="AD3143">
        <v>-1.1102886199969999</v>
      </c>
      <c r="AE3143">
        <v>-1.60220000000003</v>
      </c>
      <c r="AF3143">
        <v>-1.0272714472472999</v>
      </c>
      <c r="AG3143">
        <v>-1.1102886199969999</v>
      </c>
      <c r="AH3143">
        <v>38.443837854298103</v>
      </c>
      <c r="AI3143">
        <v>91.653697884729795</v>
      </c>
      <c r="AJ3143">
        <v>91.530656634196205</v>
      </c>
      <c r="AK3143">
        <v>38.473584397786396</v>
      </c>
      <c r="AL3143">
        <v>87.710803318162206</v>
      </c>
      <c r="AM3143">
        <v>89.054880801193605</v>
      </c>
      <c r="AN3143">
        <v>0.99999999379591598</v>
      </c>
    </row>
    <row r="3144" spans="1:40" x14ac:dyDescent="0.25">
      <c r="A3144" t="str">
        <f>"20190312153946824"</f>
        <v>20190312153946824</v>
      </c>
      <c r="B3144" t="str">
        <f>"1552376386818466"</f>
        <v>1552376386818466</v>
      </c>
      <c r="C3144" t="s">
        <v>40</v>
      </c>
      <c r="D3144">
        <v>4.2877679999999998</v>
      </c>
      <c r="E3144">
        <v>0.48468820000000001</v>
      </c>
      <c r="F3144" t="s">
        <v>54</v>
      </c>
      <c r="G3144">
        <v>-481.8931</v>
      </c>
      <c r="H3144" s="1">
        <v>2.2413200000000002E-6</v>
      </c>
      <c r="I3144">
        <v>281.18200000000002</v>
      </c>
      <c r="J3144">
        <v>-440.74099999999999</v>
      </c>
      <c r="K3144">
        <v>1.110301</v>
      </c>
      <c r="L3144">
        <v>282.89229999999998</v>
      </c>
      <c r="M3144">
        <v>-0.99979620000000002</v>
      </c>
      <c r="N3144">
        <v>0</v>
      </c>
      <c r="O3144">
        <v>-1.4922309999999999E-2</v>
      </c>
      <c r="P3144">
        <v>-0.99962280000000003</v>
      </c>
      <c r="Q3144">
        <v>2.7421810000000001E-2</v>
      </c>
      <c r="R3144">
        <v>1.5738130000000001E-3</v>
      </c>
      <c r="S3144">
        <v>-3.003387</v>
      </c>
      <c r="T3144">
        <v>-8.0437300000000003E-2</v>
      </c>
      <c r="U3144">
        <v>-0.1242371</v>
      </c>
      <c r="V3144">
        <v>1.64932E-2</v>
      </c>
      <c r="W3144">
        <v>4.1019670000000001E-2</v>
      </c>
      <c r="X3144">
        <v>0.99902219999999997</v>
      </c>
      <c r="Y3144">
        <v>-2.6410639999999999E-2</v>
      </c>
      <c r="Z3144" s="1">
        <v>4.5951919999999998E-5</v>
      </c>
      <c r="AA3144">
        <v>0.99965119999999996</v>
      </c>
      <c r="AB3144">
        <v>30</v>
      </c>
      <c r="AC3144">
        <v>-41.152099999999997</v>
      </c>
      <c r="AD3144">
        <v>-1.1102987586799999</v>
      </c>
      <c r="AE3144">
        <v>-1.71029999999996</v>
      </c>
      <c r="AF3144">
        <v>-1.09517251976028</v>
      </c>
      <c r="AG3144">
        <v>-1.1102987586799999</v>
      </c>
      <c r="AH3144">
        <v>41.143142999475202</v>
      </c>
      <c r="AI3144">
        <v>91.545275426199197</v>
      </c>
      <c r="AJ3144">
        <v>91.524772896402496</v>
      </c>
      <c r="AK3144">
        <v>41.172689759801003</v>
      </c>
      <c r="AL3144">
        <v>87.649086431851799</v>
      </c>
      <c r="AM3144">
        <v>89.054170258031505</v>
      </c>
      <c r="AN3144">
        <v>0.99999999753299396</v>
      </c>
    </row>
    <row r="3145" spans="1:40" x14ac:dyDescent="0.25">
      <c r="A3145" t="str">
        <f>"20190312153946845"</f>
        <v>20190312153946845</v>
      </c>
      <c r="B3145" t="str">
        <f>"1552376386838969"</f>
        <v>1552376386838969</v>
      </c>
      <c r="C3145" t="s">
        <v>40</v>
      </c>
      <c r="D3145">
        <v>4.2600179999999996</v>
      </c>
      <c r="E3145">
        <v>0.48471910000000001</v>
      </c>
      <c r="F3145" t="s">
        <v>54</v>
      </c>
      <c r="G3145">
        <v>-484.44170000000003</v>
      </c>
      <c r="H3145" s="1">
        <v>2.683791E-6</v>
      </c>
      <c r="I3145">
        <v>281.07220000000001</v>
      </c>
      <c r="J3145">
        <v>-441.03710000000001</v>
      </c>
      <c r="K3145">
        <v>1.110301</v>
      </c>
      <c r="L3145">
        <v>282.8879</v>
      </c>
      <c r="M3145">
        <v>-0.99979620000000002</v>
      </c>
      <c r="N3145">
        <v>0</v>
      </c>
      <c r="O3145">
        <v>-1.492242E-2</v>
      </c>
      <c r="P3145">
        <v>-0.99961809999999995</v>
      </c>
      <c r="Q3145">
        <v>2.7607199999999998E-2</v>
      </c>
      <c r="R3145">
        <v>1.3813160000000001E-3</v>
      </c>
      <c r="S3145">
        <v>-3.0034179999999999</v>
      </c>
      <c r="T3145">
        <v>-7.6307539999999993E-2</v>
      </c>
      <c r="U3145">
        <v>-0.1250916</v>
      </c>
      <c r="V3145">
        <v>1.630094E-2</v>
      </c>
      <c r="W3145">
        <v>4.1204060000000001E-2</v>
      </c>
      <c r="X3145">
        <v>0.99901779999999996</v>
      </c>
      <c r="Y3145">
        <v>-2.669436E-2</v>
      </c>
      <c r="Z3145" s="1">
        <v>3.9993349999999999E-5</v>
      </c>
      <c r="AA3145">
        <v>0.99964359999999997</v>
      </c>
      <c r="AB3145">
        <v>30</v>
      </c>
      <c r="AC3145">
        <v>-43.404600000000002</v>
      </c>
      <c r="AD3145">
        <v>-1.1102983162090001</v>
      </c>
      <c r="AE3145">
        <v>-1.8156999999999901</v>
      </c>
      <c r="AF3145">
        <v>-1.1669739681150799</v>
      </c>
      <c r="AG3145">
        <v>-1.1102983162090001</v>
      </c>
      <c r="AH3145">
        <v>43.398515278034097</v>
      </c>
      <c r="AI3145">
        <v>91.464993948967503</v>
      </c>
      <c r="AJ3145">
        <v>91.540296357027501</v>
      </c>
      <c r="AK3145">
        <v>43.4283976095249</v>
      </c>
      <c r="AL3145">
        <v>87.638512800105104</v>
      </c>
      <c r="AM3145">
        <v>89.065189640161094</v>
      </c>
      <c r="AN3145">
        <v>1.0000000299611</v>
      </c>
    </row>
    <row r="3146" spans="1:40" x14ac:dyDescent="0.25">
      <c r="A3146" t="str">
        <f>"20190312153946861"</f>
        <v>20190312153946861</v>
      </c>
      <c r="B3146" t="str">
        <f>"1552376386848723"</f>
        <v>1552376386848723</v>
      </c>
      <c r="C3146" t="s">
        <v>40</v>
      </c>
      <c r="D3146">
        <v>4.242286</v>
      </c>
      <c r="E3146">
        <v>0.48474089999999997</v>
      </c>
      <c r="F3146" t="s">
        <v>54</v>
      </c>
      <c r="G3146">
        <v>-484.8449</v>
      </c>
      <c r="H3146" s="1">
        <v>2.75419E-6</v>
      </c>
      <c r="I3146">
        <v>281.05930000000001</v>
      </c>
      <c r="J3146">
        <v>-441.25420000000003</v>
      </c>
      <c r="K3146">
        <v>1.1103050000000001</v>
      </c>
      <c r="L3146">
        <v>282.88470000000001</v>
      </c>
      <c r="M3146">
        <v>-0.99979609999999997</v>
      </c>
      <c r="N3146">
        <v>0</v>
      </c>
      <c r="O3146">
        <v>-1.492277E-2</v>
      </c>
      <c r="P3146">
        <v>-0.9996275</v>
      </c>
      <c r="Q3146">
        <v>2.7257440000000001E-2</v>
      </c>
      <c r="R3146">
        <v>1.419734E-3</v>
      </c>
      <c r="S3146">
        <v>-3.003387</v>
      </c>
      <c r="T3146">
        <v>-7.6120140000000003E-2</v>
      </c>
      <c r="U3146">
        <v>-0.12536620000000001</v>
      </c>
      <c r="V3146">
        <v>1.633985E-2</v>
      </c>
      <c r="W3146">
        <v>4.0853399999999998E-2</v>
      </c>
      <c r="X3146">
        <v>0.99903149999999996</v>
      </c>
      <c r="Y3146">
        <v>-2.6785670000000001E-2</v>
      </c>
      <c r="Z3146" s="1">
        <v>3.8747849999999999E-5</v>
      </c>
      <c r="AA3146">
        <v>0.99964120000000001</v>
      </c>
      <c r="AB3146">
        <v>30</v>
      </c>
      <c r="AC3146">
        <v>-43.590699999999899</v>
      </c>
      <c r="AD3146">
        <v>-1.11030224580999</v>
      </c>
      <c r="AE3146">
        <v>-1.8253999999999999</v>
      </c>
      <c r="AF3146">
        <v>-1.1738822574827901</v>
      </c>
      <c r="AG3146">
        <v>-1.11030224580999</v>
      </c>
      <c r="AH3146">
        <v>43.584860479889201</v>
      </c>
      <c r="AI3146">
        <v>91.458736595723593</v>
      </c>
      <c r="AJ3146">
        <v>91.542788991879704</v>
      </c>
      <c r="AK3146">
        <v>43.614800626426003</v>
      </c>
      <c r="AL3146">
        <v>87.658620916097405</v>
      </c>
      <c r="AM3146">
        <v>89.062971512553304</v>
      </c>
      <c r="AN3146">
        <v>0.99999996449091499</v>
      </c>
    </row>
    <row r="3147" spans="1:40" x14ac:dyDescent="0.25">
      <c r="A3147" t="str">
        <f>"20190312153946878"</f>
        <v>20190312153946878</v>
      </c>
      <c r="B3147" t="str">
        <f>"1552376386869219"</f>
        <v>1552376386869219</v>
      </c>
      <c r="C3147" t="s">
        <v>40</v>
      </c>
      <c r="D3147">
        <v>4.2159190000000004</v>
      </c>
      <c r="E3147">
        <v>0.48474289999999998</v>
      </c>
      <c r="F3147" t="s">
        <v>54</v>
      </c>
      <c r="G3147">
        <v>-484.62150000000003</v>
      </c>
      <c r="H3147" s="1">
        <v>2.7162279999999999E-6</v>
      </c>
      <c r="I3147">
        <v>281.07839999999999</v>
      </c>
      <c r="J3147">
        <v>-441.48950000000002</v>
      </c>
      <c r="K3147">
        <v>1.110301</v>
      </c>
      <c r="L3147">
        <v>282.8811</v>
      </c>
      <c r="M3147">
        <v>-0.99979620000000002</v>
      </c>
      <c r="N3147">
        <v>0</v>
      </c>
      <c r="O3147">
        <v>-1.492312E-2</v>
      </c>
      <c r="P3147">
        <v>-0.9996197</v>
      </c>
      <c r="Q3147">
        <v>2.7550169999999999E-2</v>
      </c>
      <c r="R3147">
        <v>1.3329940000000001E-3</v>
      </c>
      <c r="S3147">
        <v>-3.003387</v>
      </c>
      <c r="T3147">
        <v>-7.6893569999999994E-2</v>
      </c>
      <c r="U3147">
        <v>-0.1250916</v>
      </c>
      <c r="V3147">
        <v>1.625327E-2</v>
      </c>
      <c r="W3147">
        <v>4.1144500000000001E-2</v>
      </c>
      <c r="X3147">
        <v>0.99902100000000005</v>
      </c>
      <c r="Y3147">
        <v>-2.6694019999999999E-2</v>
      </c>
      <c r="Z3147" s="1">
        <v>4.0322950000000003E-5</v>
      </c>
      <c r="AA3147">
        <v>0.99964359999999997</v>
      </c>
      <c r="AB3147">
        <v>30</v>
      </c>
      <c r="AC3147">
        <v>-43.131999999999998</v>
      </c>
      <c r="AD3147">
        <v>-1.1102982837719999</v>
      </c>
      <c r="AE3147">
        <v>-1.80270000000001</v>
      </c>
      <c r="AF3147">
        <v>-1.15800969800787</v>
      </c>
      <c r="AG3147">
        <v>-1.1102982837719999</v>
      </c>
      <c r="AH3147">
        <v>43.125573439538698</v>
      </c>
      <c r="AI3147">
        <v>91.474263267345407</v>
      </c>
      <c r="AJ3147">
        <v>91.538139051429098</v>
      </c>
      <c r="AK3147">
        <v>43.155403291229597</v>
      </c>
      <c r="AL3147">
        <v>87.641928158883999</v>
      </c>
      <c r="AM3147">
        <v>89.067925874740197</v>
      </c>
      <c r="AN3147">
        <v>0.99999999855347099</v>
      </c>
    </row>
    <row r="3148" spans="1:40" x14ac:dyDescent="0.25">
      <c r="A3148" t="str">
        <f>"20190312153946894"</f>
        <v>20190312153946894</v>
      </c>
      <c r="B3148" t="str">
        <f>"1552376386888739"</f>
        <v>1552376386888739</v>
      </c>
      <c r="C3148" t="s">
        <v>40</v>
      </c>
      <c r="D3148">
        <v>4.2056779999999998</v>
      </c>
      <c r="E3148">
        <v>0.48473719999999998</v>
      </c>
      <c r="F3148" t="s">
        <v>54</v>
      </c>
      <c r="G3148">
        <v>-485.27260000000001</v>
      </c>
      <c r="H3148" s="1">
        <v>2.829409E-6</v>
      </c>
      <c r="I3148">
        <v>281.05180000000001</v>
      </c>
      <c r="J3148">
        <v>-441.69970000000001</v>
      </c>
      <c r="K3148">
        <v>1.1103019999999999</v>
      </c>
      <c r="L3148">
        <v>282.87799999999999</v>
      </c>
      <c r="M3148">
        <v>-0.99979609999999997</v>
      </c>
      <c r="N3148">
        <v>0</v>
      </c>
      <c r="O3148">
        <v>-1.492311E-2</v>
      </c>
      <c r="P3148">
        <v>-0.99961999999999995</v>
      </c>
      <c r="Q3148">
        <v>2.7529350000000001E-2</v>
      </c>
      <c r="R3148">
        <v>1.4661590000000001E-3</v>
      </c>
      <c r="S3148">
        <v>-3.0034480000000001</v>
      </c>
      <c r="T3148">
        <v>-7.6164599999999999E-2</v>
      </c>
      <c r="U3148">
        <v>-0.1254883</v>
      </c>
      <c r="V3148">
        <v>1.6386370000000001E-2</v>
      </c>
      <c r="W3148">
        <v>4.1122590000000001E-2</v>
      </c>
      <c r="X3148">
        <v>0.99901969999999995</v>
      </c>
      <c r="Y3148">
        <v>-2.682503E-2</v>
      </c>
      <c r="Z3148" s="1">
        <v>3.8279479999999997E-5</v>
      </c>
      <c r="AA3148">
        <v>0.99964019999999998</v>
      </c>
      <c r="AB3148">
        <v>30</v>
      </c>
      <c r="AC3148">
        <v>-43.572899999999997</v>
      </c>
      <c r="AD3148">
        <v>-1.1102991705909999</v>
      </c>
      <c r="AE3148">
        <v>-1.8261999999999701</v>
      </c>
      <c r="AF3148">
        <v>-1.1749317011412099</v>
      </c>
      <c r="AG3148">
        <v>-1.1102991705909999</v>
      </c>
      <c r="AH3148">
        <v>43.5670635099668</v>
      </c>
      <c r="AI3148">
        <v>91.459326807436398</v>
      </c>
      <c r="AJ3148">
        <v>91.544798049098304</v>
      </c>
      <c r="AK3148">
        <v>43.597044069891297</v>
      </c>
      <c r="AL3148">
        <v>87.643184507228099</v>
      </c>
      <c r="AM3148">
        <v>89.060293147198493</v>
      </c>
      <c r="AN3148">
        <v>0.99999997075908698</v>
      </c>
    </row>
    <row r="3149" spans="1:40" x14ac:dyDescent="0.25">
      <c r="A3149" t="str">
        <f>"20190312153946907"</f>
        <v>20190312153946907</v>
      </c>
      <c r="B3149" t="str">
        <f>"1552376386898499"</f>
        <v>1552376386898499</v>
      </c>
      <c r="C3149" t="s">
        <v>40</v>
      </c>
      <c r="D3149">
        <v>4.2102769999999996</v>
      </c>
      <c r="E3149">
        <v>0.48474020000000001</v>
      </c>
      <c r="F3149" t="s">
        <v>54</v>
      </c>
      <c r="G3149">
        <v>-485.32190000000003</v>
      </c>
      <c r="H3149" s="1">
        <v>2.8387710000000001E-6</v>
      </c>
      <c r="I3149">
        <v>281.05889999999999</v>
      </c>
      <c r="J3149">
        <v>-441.87119999999999</v>
      </c>
      <c r="K3149">
        <v>1.110304</v>
      </c>
      <c r="L3149">
        <v>282.87549999999999</v>
      </c>
      <c r="M3149">
        <v>-0.99979609999999997</v>
      </c>
      <c r="N3149">
        <v>0</v>
      </c>
      <c r="O3149">
        <v>-1.492346E-2</v>
      </c>
      <c r="P3149">
        <v>-0.99961820000000001</v>
      </c>
      <c r="Q3149">
        <v>2.7600400000000001E-2</v>
      </c>
      <c r="R3149">
        <v>1.4469859999999999E-3</v>
      </c>
      <c r="S3149">
        <v>-3.0034179999999999</v>
      </c>
      <c r="T3149">
        <v>-7.6444860000000003E-2</v>
      </c>
      <c r="U3149">
        <v>-0.1252441</v>
      </c>
      <c r="V3149">
        <v>1.6367619999999999E-2</v>
      </c>
      <c r="W3149">
        <v>4.1192619999999999E-2</v>
      </c>
      <c r="X3149">
        <v>0.99901719999999905</v>
      </c>
      <c r="Y3149">
        <v>-2.6743980000000001E-2</v>
      </c>
      <c r="Z3149" s="1">
        <v>3.94606E-5</v>
      </c>
      <c r="AA3149">
        <v>0.99964229999999998</v>
      </c>
      <c r="AB3149">
        <v>30</v>
      </c>
      <c r="AC3149">
        <v>-43.450699999999998</v>
      </c>
      <c r="AD3149">
        <v>-1.1103011612289999</v>
      </c>
      <c r="AE3149">
        <v>-1.81659999999999</v>
      </c>
      <c r="AF3149">
        <v>-1.16714210644201</v>
      </c>
      <c r="AG3149">
        <v>-1.1103011612289999</v>
      </c>
      <c r="AH3149">
        <v>43.444654637401399</v>
      </c>
      <c r="AI3149">
        <v>91.463443482227007</v>
      </c>
      <c r="AJ3149">
        <v>91.538882893476398</v>
      </c>
      <c r="AK3149">
        <v>43.474509841151097</v>
      </c>
      <c r="AL3149">
        <v>87.639168864355199</v>
      </c>
      <c r="AM3149">
        <v>89.061365859858199</v>
      </c>
      <c r="AN3149">
        <v>1.00000004841138</v>
      </c>
    </row>
    <row r="3150" spans="1:40" x14ac:dyDescent="0.25">
      <c r="A3150" t="str">
        <f>"20190312153946918"</f>
        <v>20190312153946918</v>
      </c>
      <c r="B3150" t="str">
        <f>"1552376386909235"</f>
        <v>1552376386909235</v>
      </c>
      <c r="C3150" t="s">
        <v>40</v>
      </c>
      <c r="D3150">
        <v>4.2235849999999999</v>
      </c>
      <c r="E3150">
        <v>0.48474620000000002</v>
      </c>
      <c r="F3150" t="s">
        <v>54</v>
      </c>
      <c r="G3150">
        <v>-485.56220000000002</v>
      </c>
      <c r="H3150" s="1">
        <v>2.880954E-6</v>
      </c>
      <c r="I3150">
        <v>281.05399999999997</v>
      </c>
      <c r="J3150">
        <v>-442.03579999999999</v>
      </c>
      <c r="K3150">
        <v>1.1103050000000001</v>
      </c>
      <c r="L3150">
        <v>282.87299999999999</v>
      </c>
      <c r="M3150">
        <v>-0.99979609999999997</v>
      </c>
      <c r="N3150">
        <v>0</v>
      </c>
      <c r="O3150">
        <v>-1.4923820000000001E-2</v>
      </c>
      <c r="P3150">
        <v>-0.99963199999999997</v>
      </c>
      <c r="Q3150">
        <v>2.7087219999999999E-2</v>
      </c>
      <c r="R3150">
        <v>1.470498E-3</v>
      </c>
      <c r="S3150">
        <v>-3.0034179999999999</v>
      </c>
      <c r="T3150">
        <v>-7.6324699999999995E-2</v>
      </c>
      <c r="U3150">
        <v>-0.12521360000000001</v>
      </c>
      <c r="V3150">
        <v>1.6391550000000001E-2</v>
      </c>
      <c r="W3150">
        <v>4.0678550000000001E-2</v>
      </c>
      <c r="X3150">
        <v>0.99903779999999998</v>
      </c>
      <c r="Y3150">
        <v>-2.6733509999999999E-2</v>
      </c>
      <c r="Z3150" s="1">
        <v>3.9540489999999998E-5</v>
      </c>
      <c r="AA3150">
        <v>0.99964260000000005</v>
      </c>
      <c r="AB3150">
        <v>30</v>
      </c>
      <c r="AC3150">
        <v>-43.526400000000002</v>
      </c>
      <c r="AD3150">
        <v>-1.1103021190459901</v>
      </c>
      <c r="AE3150">
        <v>-1.81899999999996</v>
      </c>
      <c r="AF3150">
        <v>-1.16839817703702</v>
      </c>
      <c r="AG3150">
        <v>-1.1103021190459901</v>
      </c>
      <c r="AH3150">
        <v>43.520431549610201</v>
      </c>
      <c r="AI3150">
        <v>91.460898430461995</v>
      </c>
      <c r="AJ3150">
        <v>91.5378571660072</v>
      </c>
      <c r="AK3150">
        <v>43.550268510767701</v>
      </c>
      <c r="AL3150">
        <v>87.668647446535402</v>
      </c>
      <c r="AM3150">
        <v>89.0600131711617</v>
      </c>
      <c r="AN3150">
        <v>0.99999997658517203</v>
      </c>
    </row>
    <row r="3151" spans="1:40" x14ac:dyDescent="0.25">
      <c r="A3151" t="str">
        <f>"20190312153946934"</f>
        <v>20190312153946934</v>
      </c>
      <c r="B3151" t="str">
        <f>"1552376386928758"</f>
        <v>1552376386928758</v>
      </c>
      <c r="C3151" t="s">
        <v>40</v>
      </c>
      <c r="D3151">
        <v>4.2206869999999999</v>
      </c>
      <c r="E3151">
        <v>0.48476469999999999</v>
      </c>
      <c r="F3151" t="s">
        <v>54</v>
      </c>
      <c r="G3151">
        <v>-484.60090000000002</v>
      </c>
      <c r="H3151" s="1">
        <v>2.7142519999999999E-6</v>
      </c>
      <c r="I3151">
        <v>281.0976</v>
      </c>
      <c r="J3151">
        <v>-442.24259999999998</v>
      </c>
      <c r="K3151">
        <v>1.1103019999999999</v>
      </c>
      <c r="L3151">
        <v>282.86989999999997</v>
      </c>
      <c r="M3151">
        <v>-0.99979620000000002</v>
      </c>
      <c r="N3151">
        <v>0</v>
      </c>
      <c r="O3151">
        <v>-1.492393E-2</v>
      </c>
      <c r="P3151">
        <v>-0.99962810000000002</v>
      </c>
      <c r="Q3151">
        <v>2.7180429999999998E-2</v>
      </c>
      <c r="R3151">
        <v>2.2344600000000002E-3</v>
      </c>
      <c r="S3151">
        <v>-3.0034179999999999</v>
      </c>
      <c r="T3151">
        <v>-7.8343629999999997E-2</v>
      </c>
      <c r="U3151">
        <v>-0.12527469999999999</v>
      </c>
      <c r="V3151">
        <v>1.7155440000000001E-2</v>
      </c>
      <c r="W3151">
        <v>4.0770969999999997E-2</v>
      </c>
      <c r="X3151">
        <v>0.99902120000000005</v>
      </c>
      <c r="Y3151">
        <v>-2.675346E-2</v>
      </c>
      <c r="Z3151" s="1">
        <v>4.0328860000000003E-5</v>
      </c>
      <c r="AA3151">
        <v>0.99964209999999998</v>
      </c>
      <c r="AB3151">
        <v>30</v>
      </c>
      <c r="AC3151">
        <v>-42.3583</v>
      </c>
      <c r="AD3151">
        <v>-1.1102992857480001</v>
      </c>
      <c r="AE3151">
        <v>-1.77229999999997</v>
      </c>
      <c r="AF3151">
        <v>-1.13911056712301</v>
      </c>
      <c r="AG3151">
        <v>-1.1102992857480001</v>
      </c>
      <c r="AH3151">
        <v>42.350986511868498</v>
      </c>
      <c r="AI3151">
        <v>91.501214421511804</v>
      </c>
      <c r="AJ3151">
        <v>91.540707815446495</v>
      </c>
      <c r="AK3151">
        <v>42.380849400602301</v>
      </c>
      <c r="AL3151">
        <v>87.663347757502393</v>
      </c>
      <c r="AM3151">
        <v>89.016199349032505</v>
      </c>
      <c r="AN3151">
        <v>0.99999996958288595</v>
      </c>
    </row>
    <row r="3152" spans="1:40" x14ac:dyDescent="0.25">
      <c r="A3152" t="str">
        <f>"20190312153946958"</f>
        <v>20190312153946958</v>
      </c>
      <c r="B3152" t="str">
        <f>"1552376386949255"</f>
        <v>1552376386949255</v>
      </c>
      <c r="C3152" t="s">
        <v>40</v>
      </c>
      <c r="D3152">
        <v>4.2094480000000001</v>
      </c>
      <c r="E3152">
        <v>0.48476449999999999</v>
      </c>
      <c r="F3152" t="s">
        <v>54</v>
      </c>
      <c r="G3152">
        <v>-484.66019999999997</v>
      </c>
      <c r="H3152" s="1">
        <v>2.7279140000000001E-6</v>
      </c>
      <c r="I3152">
        <v>281.13350000000003</v>
      </c>
      <c r="J3152">
        <v>-442.54430000000002</v>
      </c>
      <c r="K3152">
        <v>1.110303</v>
      </c>
      <c r="L3152">
        <v>282.86540000000002</v>
      </c>
      <c r="M3152">
        <v>-0.99979609999999997</v>
      </c>
      <c r="N3152">
        <v>0</v>
      </c>
      <c r="O3152">
        <v>-1.4924389999999999E-2</v>
      </c>
      <c r="P3152">
        <v>-0.99964090000000005</v>
      </c>
      <c r="Q3152">
        <v>2.6633569999999999E-2</v>
      </c>
      <c r="R3152">
        <v>2.9434140000000001E-3</v>
      </c>
      <c r="S3152">
        <v>-3.0035400000000001</v>
      </c>
      <c r="T3152">
        <v>-7.8618999999999994E-2</v>
      </c>
      <c r="U3152">
        <v>-0.1229553</v>
      </c>
      <c r="V3152">
        <v>1.7864990000000001E-2</v>
      </c>
      <c r="W3152">
        <v>4.0222109999999998E-2</v>
      </c>
      <c r="X3152">
        <v>0.99903109999999995</v>
      </c>
      <c r="Y3152">
        <v>-2.5980920000000001E-2</v>
      </c>
      <c r="Z3152" s="1">
        <v>5.0587200000000002E-5</v>
      </c>
      <c r="AA3152">
        <v>0.99966250000000001</v>
      </c>
      <c r="AB3152">
        <v>30</v>
      </c>
      <c r="AC3152">
        <v>-42.115899999999897</v>
      </c>
      <c r="AD3152">
        <v>-1.110300272086</v>
      </c>
      <c r="AE3152">
        <v>-1.73189999999999</v>
      </c>
      <c r="AF3152">
        <v>-1.1023299684907799</v>
      </c>
      <c r="AG3152">
        <v>-1.110300272086</v>
      </c>
      <c r="AH3152">
        <v>42.107842610408298</v>
      </c>
      <c r="AI3152">
        <v>91.509908987577106</v>
      </c>
      <c r="AJ3152">
        <v>91.499588406915606</v>
      </c>
      <c r="AK3152">
        <v>42.1368995935456</v>
      </c>
      <c r="AL3152">
        <v>87.694821141029607</v>
      </c>
      <c r="AM3152">
        <v>88.975527946823803</v>
      </c>
      <c r="AN3152">
        <v>1.0000000573838701</v>
      </c>
    </row>
    <row r="3153" spans="1:40" x14ac:dyDescent="0.25">
      <c r="A3153" t="str">
        <f>"20190312153946979"</f>
        <v>20190312153946979</v>
      </c>
      <c r="B3153" t="str">
        <f>"1552376386968771"</f>
        <v>1552376386968771</v>
      </c>
      <c r="C3153" t="s">
        <v>40</v>
      </c>
      <c r="D3153">
        <v>4.1900810000000002</v>
      </c>
      <c r="E3153">
        <v>0.48474420000000001</v>
      </c>
      <c r="F3153" t="s">
        <v>54</v>
      </c>
      <c r="G3153">
        <v>-484.00310000000002</v>
      </c>
      <c r="H3153" s="1">
        <v>2.617479E-6</v>
      </c>
      <c r="I3153">
        <v>281.20359999999999</v>
      </c>
      <c r="J3153">
        <v>-442.84019999999998</v>
      </c>
      <c r="K3153">
        <v>1.110301</v>
      </c>
      <c r="L3153">
        <v>282.86099999999999</v>
      </c>
      <c r="M3153">
        <v>-0.99979620000000002</v>
      </c>
      <c r="N3153">
        <v>0</v>
      </c>
      <c r="O3153">
        <v>-1.492462E-2</v>
      </c>
      <c r="P3153">
        <v>-0.99963599999999997</v>
      </c>
      <c r="Q3153">
        <v>2.6723179999999999E-2</v>
      </c>
      <c r="R3153">
        <v>3.7219760000000001E-3</v>
      </c>
      <c r="S3153">
        <v>-3.003571</v>
      </c>
      <c r="T3153">
        <v>-8.0438140000000005E-2</v>
      </c>
      <c r="U3153">
        <v>-0.12039179999999999</v>
      </c>
      <c r="V3153">
        <v>1.8643719999999999E-2</v>
      </c>
      <c r="W3153">
        <v>4.0309780000000003E-2</v>
      </c>
      <c r="X3153">
        <v>0.99901329999999999</v>
      </c>
      <c r="Y3153">
        <v>-2.5128609999999999E-2</v>
      </c>
      <c r="Z3153" s="1">
        <v>6.3170589999999994E-5</v>
      </c>
      <c r="AA3153">
        <v>0.99968420000000002</v>
      </c>
      <c r="AB3153">
        <v>30</v>
      </c>
      <c r="AC3153">
        <v>-41.1629</v>
      </c>
      <c r="AD3153">
        <v>-1.110298382521</v>
      </c>
      <c r="AE3153">
        <v>-1.65739999999999</v>
      </c>
      <c r="AF3153">
        <v>-1.0420610170696201</v>
      </c>
      <c r="AG3153">
        <v>-1.110298382521</v>
      </c>
      <c r="AH3153">
        <v>41.153160009572503</v>
      </c>
      <c r="AI3153">
        <v>91.544950932991597</v>
      </c>
      <c r="AJ3153">
        <v>91.450506898320398</v>
      </c>
      <c r="AK3153">
        <v>41.181321402244997</v>
      </c>
      <c r="AL3153">
        <v>87.689793857120605</v>
      </c>
      <c r="AM3153">
        <v>88.930862595748195</v>
      </c>
      <c r="AN3153">
        <v>1.0000000201179799</v>
      </c>
    </row>
    <row r="3154" spans="1:40" x14ac:dyDescent="0.25">
      <c r="A3154" t="str">
        <f>"20190312153947003"</f>
        <v>20190312153947003</v>
      </c>
      <c r="B3154" t="str">
        <f>"1552376386999027"</f>
        <v>1552376386999027</v>
      </c>
      <c r="C3154" t="s">
        <v>40</v>
      </c>
      <c r="D3154">
        <v>4.1948589999999903</v>
      </c>
      <c r="E3154">
        <v>0.4847051</v>
      </c>
      <c r="F3154" t="s">
        <v>54</v>
      </c>
      <c r="G3154">
        <v>-484.13049999999998</v>
      </c>
      <c r="H3154" s="1">
        <v>2.6425609999999999E-6</v>
      </c>
      <c r="I3154">
        <v>281.2321</v>
      </c>
      <c r="J3154">
        <v>-443.16329999999999</v>
      </c>
      <c r="K3154">
        <v>1.1102989999999999</v>
      </c>
      <c r="L3154">
        <v>282.8562</v>
      </c>
      <c r="M3154">
        <v>-0.99979629999999997</v>
      </c>
      <c r="N3154">
        <v>0</v>
      </c>
      <c r="O3154">
        <v>-1.492509E-2</v>
      </c>
      <c r="P3154">
        <v>-0.99962010000000001</v>
      </c>
      <c r="Q3154">
        <v>2.729177E-2</v>
      </c>
      <c r="R3154">
        <v>3.9260759999999997E-3</v>
      </c>
      <c r="S3154">
        <v>-3.0037229999999999</v>
      </c>
      <c r="T3154">
        <v>-8.0770369999999994E-2</v>
      </c>
      <c r="U3154">
        <v>-0.1184998</v>
      </c>
      <c r="V3154">
        <v>1.8848119999999999E-2</v>
      </c>
      <c r="W3154">
        <v>4.0876269999999999E-2</v>
      </c>
      <c r="X3154">
        <v>0.99898640000000005</v>
      </c>
      <c r="Y3154">
        <v>-2.449759E-2</v>
      </c>
      <c r="Z3154" s="1">
        <v>7.1921089999999998E-5</v>
      </c>
      <c r="AA3154">
        <v>0.99969989999999997</v>
      </c>
      <c r="AB3154">
        <v>30</v>
      </c>
      <c r="AC3154">
        <v>-40.967199999999899</v>
      </c>
      <c r="AD3154">
        <v>-1.1102963574389999</v>
      </c>
      <c r="AE3154">
        <v>-1.6240999999999901</v>
      </c>
      <c r="AF3154">
        <v>-1.0116815378081701</v>
      </c>
      <c r="AG3154">
        <v>-1.1102963574389999</v>
      </c>
      <c r="AH3154">
        <v>40.956841561180099</v>
      </c>
      <c r="AI3154">
        <v>91.552373962259097</v>
      </c>
      <c r="AJ3154">
        <v>91.414984538652703</v>
      </c>
      <c r="AK3154">
        <v>40.984376635528903</v>
      </c>
      <c r="AL3154">
        <v>87.657309488927993</v>
      </c>
      <c r="AM3154">
        <v>88.919114800121704</v>
      </c>
      <c r="AN3154">
        <v>0.999999974230803</v>
      </c>
    </row>
    <row r="3155" spans="1:40" x14ac:dyDescent="0.25">
      <c r="A3155" t="str">
        <f>"20190312153947025"</f>
        <v>20190312153947025</v>
      </c>
      <c r="B3155" t="str">
        <f>"1552376387019096"</f>
        <v>1552376387019096</v>
      </c>
      <c r="C3155" t="s">
        <v>40</v>
      </c>
      <c r="D3155">
        <v>4.196002</v>
      </c>
      <c r="E3155">
        <v>0.4846453</v>
      </c>
      <c r="F3155" t="s">
        <v>54</v>
      </c>
      <c r="G3155">
        <v>-485.20650000000001</v>
      </c>
      <c r="H3155" s="1">
        <v>2.830952E-6</v>
      </c>
      <c r="I3155">
        <v>281.20359999999999</v>
      </c>
      <c r="J3155">
        <v>-443.4554</v>
      </c>
      <c r="K3155">
        <v>1.1103019999999999</v>
      </c>
      <c r="L3155">
        <v>282.85180000000003</v>
      </c>
      <c r="M3155">
        <v>-0.99979629999999997</v>
      </c>
      <c r="N3155">
        <v>0</v>
      </c>
      <c r="O3155">
        <v>-1.492543E-2</v>
      </c>
      <c r="P3155">
        <v>-0.99960899999999997</v>
      </c>
      <c r="Q3155">
        <v>2.7724220000000001E-2</v>
      </c>
      <c r="R3155">
        <v>3.6626720000000001E-3</v>
      </c>
      <c r="S3155">
        <v>-3.003784</v>
      </c>
      <c r="T3155">
        <v>-7.9325199999999998E-2</v>
      </c>
      <c r="U3155">
        <v>-0.1180725</v>
      </c>
      <c r="V3155">
        <v>1.8584799999999999E-2</v>
      </c>
      <c r="W3155">
        <v>4.1307440000000001E-2</v>
      </c>
      <c r="X3155">
        <v>0.99897360000000002</v>
      </c>
      <c r="Y3155">
        <v>-2.435464E-2</v>
      </c>
      <c r="Z3155" s="1">
        <v>7.252925E-5</v>
      </c>
      <c r="AA3155">
        <v>0.99970340000000002</v>
      </c>
      <c r="AB3155">
        <v>30</v>
      </c>
      <c r="AC3155">
        <v>-41.751100000000001</v>
      </c>
      <c r="AD3155">
        <v>-1.110299169048</v>
      </c>
      <c r="AE3155">
        <v>-1.6482000000000301</v>
      </c>
      <c r="AF3155">
        <v>-1.02408262246985</v>
      </c>
      <c r="AG3155">
        <v>-1.110299169048</v>
      </c>
      <c r="AH3155">
        <v>41.741576990586502</v>
      </c>
      <c r="AI3155">
        <v>91.523213565042496</v>
      </c>
      <c r="AJ3155">
        <v>91.405405548146902</v>
      </c>
      <c r="AK3155">
        <v>41.768897030248397</v>
      </c>
      <c r="AL3155">
        <v>87.632584388595802</v>
      </c>
      <c r="AM3155">
        <v>88.934198280215696</v>
      </c>
      <c r="AN3155">
        <v>0.999999976443676</v>
      </c>
    </row>
    <row r="3156" spans="1:40" x14ac:dyDescent="0.25">
      <c r="A3156" t="str">
        <f>"20190312153947047"</f>
        <v>20190312153947047</v>
      </c>
      <c r="B3156" t="str">
        <f>"1552376387038487"</f>
        <v>1552376387038487</v>
      </c>
      <c r="C3156" t="s">
        <v>40</v>
      </c>
      <c r="D3156">
        <v>4.1915339999999999</v>
      </c>
      <c r="E3156">
        <v>0.48460589999999998</v>
      </c>
      <c r="F3156" t="s">
        <v>54</v>
      </c>
      <c r="G3156">
        <v>-486.14190000000002</v>
      </c>
      <c r="H3156" s="1">
        <v>2.9924159999999999E-6</v>
      </c>
      <c r="I3156">
        <v>281.15260000000001</v>
      </c>
      <c r="J3156">
        <v>-443.74869999999999</v>
      </c>
      <c r="K3156">
        <v>1.110304</v>
      </c>
      <c r="L3156">
        <v>282.84739999999999</v>
      </c>
      <c r="M3156">
        <v>-0.99979629999999997</v>
      </c>
      <c r="N3156">
        <v>0</v>
      </c>
      <c r="O3156">
        <v>-1.4925900000000001E-2</v>
      </c>
      <c r="P3156">
        <v>-0.99959989999999999</v>
      </c>
      <c r="Q3156">
        <v>2.8051860000000001E-2</v>
      </c>
      <c r="R3156">
        <v>3.6464760000000001E-3</v>
      </c>
      <c r="S3156">
        <v>-3.0037539999999998</v>
      </c>
      <c r="T3156">
        <v>-7.8129169999999998E-2</v>
      </c>
      <c r="U3156">
        <v>-0.1195679</v>
      </c>
      <c r="V3156">
        <v>1.856903E-2</v>
      </c>
      <c r="W3156">
        <v>4.1632849999999999E-2</v>
      </c>
      <c r="X3156">
        <v>0.99896039999999997</v>
      </c>
      <c r="Y3156">
        <v>-2.4851410000000001E-2</v>
      </c>
      <c r="Z3156" s="1">
        <v>6.4990769999999999E-5</v>
      </c>
      <c r="AA3156">
        <v>0.99969110000000005</v>
      </c>
      <c r="AB3156">
        <v>30</v>
      </c>
      <c r="AC3156">
        <v>-42.3932</v>
      </c>
      <c r="AD3156">
        <v>-1.1103010075839901</v>
      </c>
      <c r="AE3156">
        <v>-1.6947999999999801</v>
      </c>
      <c r="AF3156">
        <v>-1.0610694274461401</v>
      </c>
      <c r="AG3156">
        <v>-1.1103010075839901</v>
      </c>
      <c r="AH3156">
        <v>42.384748185744002</v>
      </c>
      <c r="AI3156">
        <v>91.500093966256699</v>
      </c>
      <c r="AJ3156">
        <v>91.434056047289502</v>
      </c>
      <c r="AK3156">
        <v>42.412563179159903</v>
      </c>
      <c r="AL3156">
        <v>87.613923752448599</v>
      </c>
      <c r="AM3156">
        <v>88.935088382311605</v>
      </c>
      <c r="AN3156">
        <v>0.99999999192121103</v>
      </c>
    </row>
    <row r="3157" spans="1:40" x14ac:dyDescent="0.25">
      <c r="A3157" t="str">
        <f>"20190312153947068"</f>
        <v>20190312153947068</v>
      </c>
      <c r="B3157" t="str">
        <f>"1552376387058983"</f>
        <v>1552376387058983</v>
      </c>
      <c r="C3157" t="s">
        <v>40</v>
      </c>
      <c r="D3157">
        <v>4.1795629999999999</v>
      </c>
      <c r="E3157">
        <v>0.48456640000000001</v>
      </c>
      <c r="F3157" t="s">
        <v>54</v>
      </c>
      <c r="G3157">
        <v>-486.90429999999998</v>
      </c>
      <c r="H3157" s="1">
        <v>3.1250999999999999E-6</v>
      </c>
      <c r="I3157">
        <v>281.12349999999998</v>
      </c>
      <c r="J3157">
        <v>-444.03390000000002</v>
      </c>
      <c r="K3157">
        <v>1.1102959999999999</v>
      </c>
      <c r="L3157">
        <v>282.84320000000002</v>
      </c>
      <c r="M3157">
        <v>-0.99979620000000002</v>
      </c>
      <c r="N3157">
        <v>0</v>
      </c>
      <c r="O3157">
        <v>-1.492624E-2</v>
      </c>
      <c r="P3157">
        <v>-0.99960599999999999</v>
      </c>
      <c r="Q3157">
        <v>2.780494E-2</v>
      </c>
      <c r="R3157">
        <v>3.839744E-3</v>
      </c>
      <c r="S3157">
        <v>-3.0038149999999999</v>
      </c>
      <c r="T3157">
        <v>-7.7281829999999996E-2</v>
      </c>
      <c r="U3157">
        <v>-0.11999509999999999</v>
      </c>
      <c r="V3157">
        <v>1.8762629999999999E-2</v>
      </c>
      <c r="W3157">
        <v>4.1384629999999999E-2</v>
      </c>
      <c r="X3157">
        <v>0.9989671</v>
      </c>
      <c r="Y3157">
        <v>-2.4992250000000001E-2</v>
      </c>
      <c r="Z3157" s="1">
        <v>6.2482810000000005E-5</v>
      </c>
      <c r="AA3157">
        <v>0.99968769999999996</v>
      </c>
      <c r="AB3157">
        <v>30</v>
      </c>
      <c r="AC3157">
        <v>-42.870399999999897</v>
      </c>
      <c r="AD3157">
        <v>-1.1102928748999901</v>
      </c>
      <c r="AE3157">
        <v>-1.71970000000004</v>
      </c>
      <c r="AF3157">
        <v>-1.07883291935488</v>
      </c>
      <c r="AG3157">
        <v>-1.1102928748999901</v>
      </c>
      <c r="AH3157">
        <v>42.862590421594199</v>
      </c>
      <c r="AI3157">
        <v>91.483362185475201</v>
      </c>
      <c r="AJ3157">
        <v>91.441805652129801</v>
      </c>
      <c r="AK3157">
        <v>42.890538448302102</v>
      </c>
      <c r="AL3157">
        <v>87.628157987106306</v>
      </c>
      <c r="AM3157">
        <v>88.923995466229499</v>
      </c>
      <c r="AN3157">
        <v>0.99999999538358098</v>
      </c>
    </row>
    <row r="3158" spans="1:40" x14ac:dyDescent="0.25">
      <c r="A3158" t="str">
        <f>"20190312153947091"</f>
        <v>20190312153947091</v>
      </c>
      <c r="B3158" t="str">
        <f>"1552376387078503"</f>
        <v>1552376387078503</v>
      </c>
      <c r="C3158" t="s">
        <v>40</v>
      </c>
      <c r="D3158">
        <v>4.1530199999999997</v>
      </c>
      <c r="E3158">
        <v>0.48453400000000002</v>
      </c>
      <c r="F3158" t="s">
        <v>54</v>
      </c>
      <c r="G3158">
        <v>-486.70269999999999</v>
      </c>
      <c r="H3158" s="1">
        <v>3.0908640000000002E-6</v>
      </c>
      <c r="I3158">
        <v>281.14080000000001</v>
      </c>
      <c r="J3158">
        <v>-444.33190000000002</v>
      </c>
      <c r="K3158">
        <v>1.110295</v>
      </c>
      <c r="L3158">
        <v>282.83870000000002</v>
      </c>
      <c r="M3158">
        <v>-0.99979640000000003</v>
      </c>
      <c r="N3158">
        <v>0</v>
      </c>
      <c r="O3158">
        <v>-1.492659E-2</v>
      </c>
      <c r="P3158">
        <v>-0.99960769999999999</v>
      </c>
      <c r="Q3158">
        <v>2.7718400000000001E-2</v>
      </c>
      <c r="R3158">
        <v>4.0773249999999997E-3</v>
      </c>
      <c r="S3158">
        <v>-3.003784</v>
      </c>
      <c r="T3158">
        <v>-7.8161949999999994E-2</v>
      </c>
      <c r="U3158">
        <v>-0.1198425</v>
      </c>
      <c r="V3158">
        <v>1.9000619999999999E-2</v>
      </c>
      <c r="W3158">
        <v>4.1295529999999997E-2</v>
      </c>
      <c r="X3158">
        <v>0.99896629999999997</v>
      </c>
      <c r="Y3158">
        <v>-2.4941540000000002E-2</v>
      </c>
      <c r="Z3158" s="1">
        <v>6.3863149999999897E-5</v>
      </c>
      <c r="AA3158">
        <v>0.99968889999999999</v>
      </c>
      <c r="AB3158">
        <v>30</v>
      </c>
      <c r="AC3158">
        <v>-42.370799999999903</v>
      </c>
      <c r="AD3158">
        <v>-1.110291909136</v>
      </c>
      <c r="AE3158">
        <v>-1.6979</v>
      </c>
      <c r="AF3158">
        <v>-1.06447118359981</v>
      </c>
      <c r="AG3158">
        <v>-1.110291909136</v>
      </c>
      <c r="AH3158">
        <v>42.362383017810899</v>
      </c>
      <c r="AI3158">
        <v>91.500869766852702</v>
      </c>
      <c r="AJ3158">
        <v>91.4394108729755</v>
      </c>
      <c r="AK3158">
        <v>42.390297733938098</v>
      </c>
      <c r="AL3158">
        <v>87.633267435158999</v>
      </c>
      <c r="AM3158">
        <v>88.910349547051695</v>
      </c>
      <c r="AN3158">
        <v>1.00000000644702</v>
      </c>
    </row>
    <row r="3159" spans="1:40" x14ac:dyDescent="0.25">
      <c r="A3159" t="str">
        <f>"20190312153947114"</f>
        <v>20190312153947114</v>
      </c>
      <c r="B3159" t="str">
        <f>"1552376387108762"</f>
        <v>1552376387108762</v>
      </c>
      <c r="C3159" t="s">
        <v>40</v>
      </c>
      <c r="D3159">
        <v>4.1587339999999999</v>
      </c>
      <c r="E3159">
        <v>0.4844928</v>
      </c>
      <c r="F3159" t="s">
        <v>54</v>
      </c>
      <c r="G3159">
        <v>-486.92219999999998</v>
      </c>
      <c r="H3159" s="1">
        <v>3.1302909999999999E-6</v>
      </c>
      <c r="I3159">
        <v>281.1465</v>
      </c>
      <c r="J3159">
        <v>-444.64499999999998</v>
      </c>
      <c r="K3159">
        <v>1.1103050000000001</v>
      </c>
      <c r="L3159">
        <v>282.834</v>
      </c>
      <c r="M3159">
        <v>-0.99979609999999997</v>
      </c>
      <c r="N3159">
        <v>0</v>
      </c>
      <c r="O3159">
        <v>-1.492667E-2</v>
      </c>
      <c r="P3159">
        <v>-0.99960510000000002</v>
      </c>
      <c r="Q3159">
        <v>2.7746219999999999E-2</v>
      </c>
      <c r="R3159">
        <v>4.4388739999999998E-3</v>
      </c>
      <c r="S3159">
        <v>-3.0038450000000001</v>
      </c>
      <c r="T3159">
        <v>-7.8307630000000003E-2</v>
      </c>
      <c r="U3159">
        <v>-0.11935419999999999</v>
      </c>
      <c r="V3159">
        <v>1.936206E-2</v>
      </c>
      <c r="W3159">
        <v>4.1335070000000002E-2</v>
      </c>
      <c r="X3159">
        <v>0.99895769999999995</v>
      </c>
      <c r="Y3159">
        <v>-2.477845E-2</v>
      </c>
      <c r="Z3159" s="1">
        <v>6.6107900000000004E-5</v>
      </c>
      <c r="AA3159">
        <v>0.99969300000000005</v>
      </c>
      <c r="AB3159">
        <v>30</v>
      </c>
      <c r="AC3159">
        <v>-42.277199999999901</v>
      </c>
      <c r="AD3159">
        <v>-1.1103018697089999</v>
      </c>
      <c r="AE3159">
        <v>-1.6875</v>
      </c>
      <c r="AF3159">
        <v>-1.05546896873483</v>
      </c>
      <c r="AG3159">
        <v>-1.1103018697089999</v>
      </c>
      <c r="AH3159">
        <v>42.268573257789498</v>
      </c>
      <c r="AI3159">
        <v>91.504218634349002</v>
      </c>
      <c r="AJ3159">
        <v>91.430409126717294</v>
      </c>
      <c r="AK3159">
        <v>42.296324547588704</v>
      </c>
      <c r="AL3159">
        <v>87.630999965819498</v>
      </c>
      <c r="AM3159">
        <v>88.889617215108998</v>
      </c>
      <c r="AN3159">
        <v>0.99999998188431904</v>
      </c>
    </row>
    <row r="3160" spans="1:40" x14ac:dyDescent="0.25">
      <c r="A3160" t="str">
        <f>"20190312153947136"</f>
        <v>20190312153947136</v>
      </c>
      <c r="B3160" t="str">
        <f>"1552376387129258"</f>
        <v>1552376387129258</v>
      </c>
      <c r="C3160" t="s">
        <v>40</v>
      </c>
      <c r="D3160">
        <v>4.296367</v>
      </c>
      <c r="E3160">
        <v>0.48445569999999999</v>
      </c>
      <c r="F3160" t="s">
        <v>54</v>
      </c>
      <c r="G3160">
        <v>-487.3546</v>
      </c>
      <c r="H3160" s="1">
        <v>3.2072579999999999E-6</v>
      </c>
      <c r="I3160">
        <v>281.1497</v>
      </c>
      <c r="J3160">
        <v>-444.93630000000002</v>
      </c>
      <c r="K3160">
        <v>1.1103160000000001</v>
      </c>
      <c r="L3160">
        <v>282.8297</v>
      </c>
      <c r="M3160">
        <v>-0.99979560000000001</v>
      </c>
      <c r="N3160">
        <v>0</v>
      </c>
      <c r="O3160">
        <v>-1.4927080000000001E-2</v>
      </c>
      <c r="P3160">
        <v>-0.99959679999999995</v>
      </c>
      <c r="Q3160">
        <v>2.8069779999999999E-2</v>
      </c>
      <c r="R3160">
        <v>4.3195509999999996E-3</v>
      </c>
      <c r="S3160">
        <v>-3.0039370000000001</v>
      </c>
      <c r="T3160">
        <v>-7.8091980000000005E-2</v>
      </c>
      <c r="U3160">
        <v>-0.1184692</v>
      </c>
      <c r="V3160">
        <v>1.9243079999999999E-2</v>
      </c>
      <c r="W3160">
        <v>4.1701450000000001E-2</v>
      </c>
      <c r="X3160">
        <v>0.99894479999999997</v>
      </c>
      <c r="Y3160">
        <v>-2.4482879999999999E-2</v>
      </c>
      <c r="Z3160" s="1">
        <v>6.9775180000000001E-5</v>
      </c>
      <c r="AA3160">
        <v>0.99970020000000004</v>
      </c>
      <c r="AB3160">
        <v>30</v>
      </c>
      <c r="AC3160">
        <v>-42.418299999999903</v>
      </c>
      <c r="AD3160">
        <v>-1.110312792742</v>
      </c>
      <c r="AE3160">
        <v>-1.68</v>
      </c>
      <c r="AF3160">
        <v>-1.04585711078316</v>
      </c>
      <c r="AG3160">
        <v>-1.110312792742</v>
      </c>
      <c r="AH3160">
        <v>42.409641550748603</v>
      </c>
      <c r="AI3160">
        <v>91.499243652618603</v>
      </c>
      <c r="AJ3160">
        <v>91.412675351558704</v>
      </c>
      <c r="AK3160">
        <v>42.437062905635699</v>
      </c>
      <c r="AL3160">
        <v>87.609989889368705</v>
      </c>
      <c r="AM3160">
        <v>88.896424585354197</v>
      </c>
      <c r="AN3160">
        <v>1.00000001025351</v>
      </c>
    </row>
    <row r="3161" spans="1:40" x14ac:dyDescent="0.25">
      <c r="A3161" t="str">
        <f>"20190312153947157"</f>
        <v>20190312153947157</v>
      </c>
      <c r="B3161" t="str">
        <f>"1552376387148776"</f>
        <v>1552376387148776</v>
      </c>
      <c r="C3161" t="s">
        <v>40</v>
      </c>
      <c r="D3161">
        <v>4.1194110000000004</v>
      </c>
      <c r="E3161">
        <v>0.51509740000000004</v>
      </c>
      <c r="F3161" t="s">
        <v>54</v>
      </c>
      <c r="G3161">
        <v>-488.03250000000003</v>
      </c>
      <c r="H3161" s="1">
        <v>3.3253749999999999E-6</v>
      </c>
      <c r="I3161">
        <v>281.12520000000001</v>
      </c>
      <c r="J3161">
        <v>-445.22550000000001</v>
      </c>
      <c r="K3161">
        <v>1.110341</v>
      </c>
      <c r="L3161">
        <v>282.8254</v>
      </c>
      <c r="M3161">
        <v>-0.99979419999999997</v>
      </c>
      <c r="N3161">
        <v>0</v>
      </c>
      <c r="O3161">
        <v>-1.492724E-2</v>
      </c>
      <c r="P3161">
        <v>-0.99959500000000001</v>
      </c>
      <c r="Q3161">
        <v>2.8198999999999998E-2</v>
      </c>
      <c r="R3161">
        <v>3.8316190000000001E-3</v>
      </c>
      <c r="S3161">
        <v>-3.0039060000000002</v>
      </c>
      <c r="T3161">
        <v>-7.7391509999999997E-2</v>
      </c>
      <c r="U3161">
        <v>-0.1188049</v>
      </c>
      <c r="V3161">
        <v>1.8755290000000001E-2</v>
      </c>
      <c r="W3161">
        <v>4.1926789999999999E-2</v>
      </c>
      <c r="X3161">
        <v>0.99894459999999996</v>
      </c>
      <c r="Y3161">
        <v>-2.4594660000000001E-2</v>
      </c>
      <c r="Z3161" s="1">
        <v>6.7715589999999999E-5</v>
      </c>
      <c r="AA3161">
        <v>0.99969750000000002</v>
      </c>
      <c r="AB3161">
        <v>30</v>
      </c>
      <c r="AC3161">
        <v>-42.807000000000002</v>
      </c>
      <c r="AD3161">
        <v>-1.110337674625</v>
      </c>
      <c r="AE3161">
        <v>-1.7001999999999899</v>
      </c>
      <c r="AF3161">
        <v>-1.06024765886787</v>
      </c>
      <c r="AG3161">
        <v>-1.110337674625</v>
      </c>
      <c r="AH3161">
        <v>42.7988619784321</v>
      </c>
      <c r="AI3161">
        <v>91.485644573916304</v>
      </c>
      <c r="AJ3161">
        <v>91.419086654867996</v>
      </c>
      <c r="AK3161">
        <v>42.826388611447399</v>
      </c>
      <c r="AL3161">
        <v>87.597067448526005</v>
      </c>
      <c r="AM3161">
        <v>88.924392083178901</v>
      </c>
      <c r="AN3161">
        <v>0.99999996524592305</v>
      </c>
    </row>
    <row r="3162" spans="1:40" x14ac:dyDescent="0.25">
      <c r="A3162" t="str">
        <f>"20190312153947180"</f>
        <v>20190312153947180</v>
      </c>
      <c r="B3162" t="str">
        <f>"1552376387169270"</f>
        <v>1552376387169270</v>
      </c>
      <c r="C3162" t="s">
        <v>40</v>
      </c>
      <c r="D3162">
        <v>4.0696810000000001</v>
      </c>
      <c r="E3162">
        <v>0.52760530000000005</v>
      </c>
      <c r="F3162" t="s">
        <v>41</v>
      </c>
      <c r="G3162">
        <v>-446.2047</v>
      </c>
      <c r="H3162">
        <v>1.021865</v>
      </c>
      <c r="I3162">
        <v>282.863</v>
      </c>
      <c r="J3162">
        <v>-445.52319999999997</v>
      </c>
      <c r="K3162">
        <v>1.1103860000000001</v>
      </c>
      <c r="L3162">
        <v>282.82100000000003</v>
      </c>
      <c r="M3162">
        <v>-0.99979169999999995</v>
      </c>
      <c r="N3162">
        <v>0</v>
      </c>
      <c r="O3162">
        <v>-1.492746E-2</v>
      </c>
      <c r="P3162">
        <v>-0.99960369999999998</v>
      </c>
      <c r="Q3162">
        <v>2.796415E-2</v>
      </c>
      <c r="R3162">
        <v>3.279442E-3</v>
      </c>
      <c r="S3162">
        <v>-3.0084529999999998</v>
      </c>
      <c r="T3162">
        <v>-0.27192709999999998</v>
      </c>
      <c r="U3162">
        <v>0.11477660000000001</v>
      </c>
      <c r="V3162">
        <v>1.820374E-2</v>
      </c>
      <c r="W3162">
        <v>4.1881540000000002E-2</v>
      </c>
      <c r="X3162">
        <v>0.99895670000000003</v>
      </c>
      <c r="Y3162">
        <v>5.2761849999999999E-2</v>
      </c>
      <c r="Z3162">
        <v>3.7250149999999999E-3</v>
      </c>
      <c r="AA3162">
        <v>0.99860020000000005</v>
      </c>
      <c r="AB3162">
        <v>30</v>
      </c>
      <c r="AC3162">
        <v>-0.68150000000002797</v>
      </c>
      <c r="AD3162">
        <v>-8.8521000000000002E-2</v>
      </c>
      <c r="AE3162">
        <v>4.2000000000029999E-2</v>
      </c>
      <c r="AF3162">
        <v>5.1307003830809002E-2</v>
      </c>
      <c r="AG3162">
        <v>-8.8521000000000002E-2</v>
      </c>
      <c r="AH3162">
        <v>0.66954339174281297</v>
      </c>
      <c r="AI3162">
        <v>97.509687964113596</v>
      </c>
      <c r="AJ3162">
        <v>85.617997354165894</v>
      </c>
      <c r="AK3162">
        <v>0.67731582700359605</v>
      </c>
      <c r="AL3162">
        <v>87.599662358950098</v>
      </c>
      <c r="AM3162">
        <v>88.956028777405706</v>
      </c>
      <c r="AN3162">
        <v>0.99999996400882396</v>
      </c>
    </row>
    <row r="3163" spans="1:40" x14ac:dyDescent="0.25">
      <c r="A3163" t="str">
        <f>"20190312153947203"</f>
        <v>20190312153947203</v>
      </c>
      <c r="B3163" t="str">
        <f>"1552376387198551"</f>
        <v>1552376387198551</v>
      </c>
      <c r="C3163" t="s">
        <v>40</v>
      </c>
      <c r="D3163">
        <v>4.1600449999999896</v>
      </c>
      <c r="E3163">
        <v>0.53712389999999999</v>
      </c>
      <c r="F3163" t="s">
        <v>41</v>
      </c>
      <c r="G3163">
        <v>-446.45260000000002</v>
      </c>
      <c r="H3163">
        <v>0.98732410000000004</v>
      </c>
      <c r="I3163">
        <v>282.8852</v>
      </c>
      <c r="J3163">
        <v>-445.82240000000002</v>
      </c>
      <c r="K3163">
        <v>1.110439</v>
      </c>
      <c r="L3163">
        <v>282.81650000000002</v>
      </c>
      <c r="M3163">
        <v>-0.99978800000000001</v>
      </c>
      <c r="N3163">
        <v>0</v>
      </c>
      <c r="O3163">
        <v>-1.492743E-2</v>
      </c>
      <c r="P3163">
        <v>-0.99961920000000004</v>
      </c>
      <c r="Q3163">
        <v>2.74725E-2</v>
      </c>
      <c r="R3163">
        <v>2.6111569999999998E-3</v>
      </c>
      <c r="S3163">
        <v>-3.0116580000000002</v>
      </c>
      <c r="T3163">
        <v>-0.39891680000000002</v>
      </c>
      <c r="U3163">
        <v>0.20675660000000001</v>
      </c>
      <c r="V3163">
        <v>1.753563E-2</v>
      </c>
      <c r="W3163">
        <v>4.1644760000000003E-2</v>
      </c>
      <c r="X3163">
        <v>0.99897860000000005</v>
      </c>
      <c r="Y3163">
        <v>8.2529660000000005E-2</v>
      </c>
      <c r="Z3163">
        <v>7.4025219999999999E-3</v>
      </c>
      <c r="AA3163">
        <v>0.99656109999999998</v>
      </c>
      <c r="AB3163">
        <v>30</v>
      </c>
      <c r="AC3163">
        <v>-0.63020000000000198</v>
      </c>
      <c r="AD3163">
        <v>-0.123114899999999</v>
      </c>
      <c r="AE3163">
        <v>6.8699999999978403E-2</v>
      </c>
      <c r="AF3163">
        <v>7.5261924431819699E-2</v>
      </c>
      <c r="AG3163">
        <v>-0.123114899999999</v>
      </c>
      <c r="AH3163">
        <v>0.60623881885068298</v>
      </c>
      <c r="AI3163">
        <v>101.39435163951801</v>
      </c>
      <c r="AJ3163">
        <v>82.923185134096201</v>
      </c>
      <c r="AK3163">
        <v>0.62317504872440299</v>
      </c>
      <c r="AL3163">
        <v>87.613240819640893</v>
      </c>
      <c r="AM3163">
        <v>88.994358422202097</v>
      </c>
      <c r="AN3163">
        <v>1.00000001380645</v>
      </c>
    </row>
    <row r="3164" spans="1:40" x14ac:dyDescent="0.25">
      <c r="A3164" t="str">
        <f>"20190312153947225"</f>
        <v>20190312153947225</v>
      </c>
      <c r="B3164" t="str">
        <f>"1552376387219047"</f>
        <v>1552376387219047</v>
      </c>
      <c r="C3164" t="s">
        <v>40</v>
      </c>
      <c r="D3164">
        <v>4.1626089999999998</v>
      </c>
      <c r="E3164">
        <v>0.54012289999999996</v>
      </c>
      <c r="F3164" t="s">
        <v>41</v>
      </c>
      <c r="G3164">
        <v>-446.70359999999999</v>
      </c>
      <c r="H3164">
        <v>0.96001449999999999</v>
      </c>
      <c r="I3164">
        <v>282.89710000000002</v>
      </c>
      <c r="J3164">
        <v>-446.11810000000003</v>
      </c>
      <c r="K3164">
        <v>1.110493</v>
      </c>
      <c r="L3164">
        <v>282.81209999999999</v>
      </c>
      <c r="M3164">
        <v>-0.99978420000000001</v>
      </c>
      <c r="N3164">
        <v>0</v>
      </c>
      <c r="O3164">
        <v>-1.4927350000000001E-2</v>
      </c>
      <c r="P3164">
        <v>-0.99963340000000001</v>
      </c>
      <c r="Q3164">
        <v>2.6972759999999998E-2</v>
      </c>
      <c r="R3164">
        <v>2.4360739999999999E-3</v>
      </c>
      <c r="S3164">
        <v>-3.0145569999999999</v>
      </c>
      <c r="T3164">
        <v>-0.51464299999999996</v>
      </c>
      <c r="U3164">
        <v>0.27505489999999999</v>
      </c>
      <c r="V3164">
        <v>1.7360850000000001E-2</v>
      </c>
      <c r="W3164">
        <v>4.1422260000000002E-2</v>
      </c>
      <c r="X3164">
        <v>0.99899090000000001</v>
      </c>
      <c r="Y3164">
        <v>0.1040145</v>
      </c>
      <c r="Z3164">
        <v>1.1322560000000001E-2</v>
      </c>
      <c r="AA3164">
        <v>0.99451129999999999</v>
      </c>
      <c r="AB3164">
        <v>30</v>
      </c>
      <c r="AC3164">
        <v>-0.58549999999996705</v>
      </c>
      <c r="AD3164">
        <v>-0.15047849999999899</v>
      </c>
      <c r="AE3164">
        <v>8.5000000000036297E-2</v>
      </c>
      <c r="AF3164">
        <v>8.8036333059870298E-2</v>
      </c>
      <c r="AG3164">
        <v>-0.15047849999999899</v>
      </c>
      <c r="AH3164">
        <v>0.54867219138065904</v>
      </c>
      <c r="AI3164">
        <v>105.15205822431599</v>
      </c>
      <c r="AJ3164">
        <v>80.884393927530198</v>
      </c>
      <c r="AK3164">
        <v>0.57570421962613105</v>
      </c>
      <c r="AL3164">
        <v>87.626000132472498</v>
      </c>
      <c r="AM3164">
        <v>89.004392016319798</v>
      </c>
      <c r="AN3164">
        <v>1.0000000105095199</v>
      </c>
    </row>
    <row r="3165" spans="1:40" x14ac:dyDescent="0.25">
      <c r="A3165" t="str">
        <f>"20190312153947247"</f>
        <v>20190312153947247</v>
      </c>
      <c r="B3165" t="str">
        <f>"1552376387238567"</f>
        <v>1552376387238567</v>
      </c>
      <c r="C3165" t="s">
        <v>40</v>
      </c>
      <c r="D3165">
        <v>4.1001839999999996</v>
      </c>
      <c r="E3165">
        <v>0.5422013</v>
      </c>
      <c r="F3165" t="s">
        <v>41</v>
      </c>
      <c r="G3165">
        <v>-446.96469999999999</v>
      </c>
      <c r="H3165">
        <v>0.9553258</v>
      </c>
      <c r="I3165">
        <v>282.89589999999998</v>
      </c>
      <c r="J3165">
        <v>-446.4092</v>
      </c>
      <c r="K3165">
        <v>1.1105480000000001</v>
      </c>
      <c r="L3165">
        <v>282.80770000000001</v>
      </c>
      <c r="M3165">
        <v>-0.99977969999999905</v>
      </c>
      <c r="N3165">
        <v>0</v>
      </c>
      <c r="O3165">
        <v>-1.4927259999999999E-2</v>
      </c>
      <c r="P3165">
        <v>-0.99963069999999998</v>
      </c>
      <c r="Q3165">
        <v>2.7051209999999999E-2</v>
      </c>
      <c r="R3165">
        <v>2.586929E-3</v>
      </c>
      <c r="S3165">
        <v>-3.0152589999999999</v>
      </c>
      <c r="T3165">
        <v>-0.55282880000000001</v>
      </c>
      <c r="U3165">
        <v>0.29675289999999999</v>
      </c>
      <c r="V3165">
        <v>1.7511539999999999E-2</v>
      </c>
      <c r="W3165">
        <v>4.1801970000000001E-2</v>
      </c>
      <c r="X3165">
        <v>0.99897239999999998</v>
      </c>
      <c r="Y3165">
        <v>0.1107149</v>
      </c>
      <c r="Z3165">
        <v>1.275042E-2</v>
      </c>
      <c r="AA3165">
        <v>0.99377040000000005</v>
      </c>
      <c r="AB3165">
        <v>30</v>
      </c>
      <c r="AC3165">
        <v>-0.555499999999995</v>
      </c>
      <c r="AD3165">
        <v>-0.15522219999999901</v>
      </c>
      <c r="AE3165">
        <v>8.8199999999971995E-2</v>
      </c>
      <c r="AF3165">
        <v>8.9655040789873505E-2</v>
      </c>
      <c r="AG3165">
        <v>-0.15522219999999901</v>
      </c>
      <c r="AH3165">
        <v>0.51490612761620103</v>
      </c>
      <c r="AI3165">
        <v>106.540835783296</v>
      </c>
      <c r="AJ3165">
        <v>80.122728569151903</v>
      </c>
      <c r="AK3165">
        <v>0.54521580861947205</v>
      </c>
      <c r="AL3165">
        <v>87.604225364382799</v>
      </c>
      <c r="AM3165">
        <v>88.995733432208297</v>
      </c>
      <c r="AN3165">
        <v>0.99999995734540503</v>
      </c>
    </row>
    <row r="3166" spans="1:40" x14ac:dyDescent="0.25">
      <c r="A3166" t="str">
        <f>"20190312153947270"</f>
        <v>20190312153947270</v>
      </c>
      <c r="B3166" t="str">
        <f>"1552376387259063"</f>
        <v>1552376387259063</v>
      </c>
      <c r="C3166" t="s">
        <v>40</v>
      </c>
      <c r="D3166">
        <v>4.05199</v>
      </c>
      <c r="E3166">
        <v>0.54340149999999998</v>
      </c>
      <c r="F3166" t="s">
        <v>41</v>
      </c>
      <c r="G3166">
        <v>-447.22649999999999</v>
      </c>
      <c r="H3166">
        <v>0.95416670000000003</v>
      </c>
      <c r="I3166">
        <v>282.89249999999998</v>
      </c>
      <c r="J3166">
        <v>-446.70659999999998</v>
      </c>
      <c r="K3166">
        <v>1.110595</v>
      </c>
      <c r="L3166">
        <v>282.80329999999998</v>
      </c>
      <c r="M3166">
        <v>-0.99977510000000003</v>
      </c>
      <c r="N3166">
        <v>0</v>
      </c>
      <c r="O3166">
        <v>-1.4927380000000001E-2</v>
      </c>
      <c r="P3166">
        <v>-0.99963469999999999</v>
      </c>
      <c r="Q3166">
        <v>2.6858949999999999E-2</v>
      </c>
      <c r="R3166">
        <v>3.0761590000000002E-3</v>
      </c>
      <c r="S3166">
        <v>-3.01593</v>
      </c>
      <c r="T3166">
        <v>-0.57714469999999995</v>
      </c>
      <c r="U3166">
        <v>0.31240839999999998</v>
      </c>
      <c r="V3166">
        <v>1.8001030000000001E-2</v>
      </c>
      <c r="W3166">
        <v>4.1918690000000002E-2</v>
      </c>
      <c r="X3166">
        <v>0.99895880000000004</v>
      </c>
      <c r="Y3166">
        <v>0.1155297</v>
      </c>
      <c r="Z3166">
        <v>1.375067E-2</v>
      </c>
      <c r="AA3166">
        <v>0.9932088</v>
      </c>
      <c r="AB3166">
        <v>29</v>
      </c>
      <c r="AC3166">
        <v>-0.51990000000000602</v>
      </c>
      <c r="AD3166">
        <v>-0.15642829999999999</v>
      </c>
      <c r="AE3166">
        <v>8.9200000000005206E-2</v>
      </c>
      <c r="AF3166">
        <v>8.9114837770753602E-2</v>
      </c>
      <c r="AG3166">
        <v>-0.15642829999999999</v>
      </c>
      <c r="AH3166">
        <v>0.476597896396729</v>
      </c>
      <c r="AI3166">
        <v>107.881113756327</v>
      </c>
      <c r="AJ3166">
        <v>79.409063964449899</v>
      </c>
      <c r="AK3166">
        <v>0.50946719443118704</v>
      </c>
      <c r="AL3166">
        <v>87.597531913368599</v>
      </c>
      <c r="AM3166">
        <v>88.967653687850699</v>
      </c>
      <c r="AN3166">
        <v>0.99999994887490695</v>
      </c>
    </row>
    <row r="3167" spans="1:40" x14ac:dyDescent="0.25">
      <c r="A3167" t="str">
        <f>"20190312153947292"</f>
        <v>20190312153947292</v>
      </c>
      <c r="B3167" t="str">
        <f>"1552376387278583"</f>
        <v>1552376387278583</v>
      </c>
      <c r="C3167" t="s">
        <v>40</v>
      </c>
      <c r="D3167">
        <v>4.1135400000000004</v>
      </c>
      <c r="E3167">
        <v>0.54418999999999995</v>
      </c>
      <c r="F3167" t="s">
        <v>41</v>
      </c>
      <c r="G3167">
        <v>-447.48939999999999</v>
      </c>
      <c r="H3167">
        <v>0.95698819999999996</v>
      </c>
      <c r="I3167">
        <v>282.88709999999998</v>
      </c>
      <c r="J3167">
        <v>-446.99040000000002</v>
      </c>
      <c r="K3167">
        <v>1.1106339999999999</v>
      </c>
      <c r="L3167">
        <v>282.79910000000001</v>
      </c>
      <c r="M3167">
        <v>-0.99977059999999995</v>
      </c>
      <c r="N3167">
        <v>0</v>
      </c>
      <c r="O3167">
        <v>-1.492691E-2</v>
      </c>
      <c r="P3167">
        <v>-0.99964960000000003</v>
      </c>
      <c r="Q3167">
        <v>2.6181820000000001E-2</v>
      </c>
      <c r="R3167">
        <v>3.8877249999999999E-3</v>
      </c>
      <c r="S3167">
        <v>-3.0160520000000002</v>
      </c>
      <c r="T3167">
        <v>-0.59182069999999998</v>
      </c>
      <c r="U3167">
        <v>0.32266240000000002</v>
      </c>
      <c r="V3167">
        <v>1.881244E-2</v>
      </c>
      <c r="W3167">
        <v>4.1529459999999997E-2</v>
      </c>
      <c r="X3167">
        <v>0.99896010000000002</v>
      </c>
      <c r="Y3167">
        <v>0.11868629999999999</v>
      </c>
      <c r="Z3167">
        <v>1.43968E-2</v>
      </c>
      <c r="AA3167">
        <v>0.99282740000000003</v>
      </c>
      <c r="AB3167">
        <v>29</v>
      </c>
      <c r="AC3167">
        <v>-0.49899999999996603</v>
      </c>
      <c r="AD3167">
        <v>-0.1536458</v>
      </c>
      <c r="AE3167">
        <v>8.7999999999965398E-2</v>
      </c>
      <c r="AF3167">
        <v>8.7403112507722203E-2</v>
      </c>
      <c r="AG3167">
        <v>-0.1536458</v>
      </c>
      <c r="AH3167">
        <v>0.45572769798107599</v>
      </c>
      <c r="AI3167">
        <v>108.3201886345</v>
      </c>
      <c r="AJ3167">
        <v>79.143188905479605</v>
      </c>
      <c r="AK3167">
        <v>0.48880882831717398</v>
      </c>
      <c r="AL3167">
        <v>87.619852573611197</v>
      </c>
      <c r="AM3167">
        <v>88.921132064627997</v>
      </c>
      <c r="AN3167">
        <v>0.99999994266932601</v>
      </c>
    </row>
    <row r="3168" spans="1:40" x14ac:dyDescent="0.25">
      <c r="A3168" t="str">
        <f>"20190312153947314"</f>
        <v>20190312153947314</v>
      </c>
      <c r="B3168" t="str">
        <f>"1552376387308839"</f>
        <v>1552376387308839</v>
      </c>
      <c r="C3168" t="s">
        <v>40</v>
      </c>
      <c r="D3168">
        <v>4.0439480000000003</v>
      </c>
      <c r="E3168">
        <v>0.54506709999999903</v>
      </c>
      <c r="F3168" t="s">
        <v>41</v>
      </c>
      <c r="G3168">
        <v>-447.7509</v>
      </c>
      <c r="H3168">
        <v>0.9584703</v>
      </c>
      <c r="I3168">
        <v>282.88260000000002</v>
      </c>
      <c r="J3168">
        <v>-447.28440000000001</v>
      </c>
      <c r="K3168">
        <v>1.11066</v>
      </c>
      <c r="L3168">
        <v>282.79469999999998</v>
      </c>
      <c r="M3168">
        <v>-0.99976609999999999</v>
      </c>
      <c r="N3168">
        <v>0</v>
      </c>
      <c r="O3168">
        <v>-1.492632E-2</v>
      </c>
      <c r="P3168">
        <v>-0.99965930000000003</v>
      </c>
      <c r="Q3168">
        <v>2.5665839999999999E-2</v>
      </c>
      <c r="R3168">
        <v>4.7859829999999997E-3</v>
      </c>
      <c r="S3168">
        <v>-3.0155639999999999</v>
      </c>
      <c r="T3168">
        <v>-0.60343849999999999</v>
      </c>
      <c r="U3168">
        <v>0.33074949999999997</v>
      </c>
      <c r="V3168">
        <v>1.9710200000000001E-2</v>
      </c>
      <c r="W3168">
        <v>4.1312689999999999E-2</v>
      </c>
      <c r="X3168">
        <v>0.9989519</v>
      </c>
      <c r="Y3168">
        <v>0.12118619999999999</v>
      </c>
      <c r="Z3168">
        <v>1.4921139999999999E-2</v>
      </c>
      <c r="AA3168">
        <v>0.99251769999999995</v>
      </c>
      <c r="AB3168">
        <v>29</v>
      </c>
      <c r="AC3168">
        <v>-0.46649999999999597</v>
      </c>
      <c r="AD3168">
        <v>-0.15218969999999901</v>
      </c>
      <c r="AE3168">
        <v>8.7900000000047301E-2</v>
      </c>
      <c r="AF3168">
        <v>8.6013570631771202E-2</v>
      </c>
      <c r="AG3168">
        <v>-0.15218969999999901</v>
      </c>
      <c r="AH3168">
        <v>0.42178416508308297</v>
      </c>
      <c r="AI3168">
        <v>109.470901028387</v>
      </c>
      <c r="AJ3168">
        <v>78.473834132824905</v>
      </c>
      <c r="AK3168">
        <v>0.45657630362706098</v>
      </c>
      <c r="AL3168">
        <v>87.632283537190702</v>
      </c>
      <c r="AM3168">
        <v>88.869650522961194</v>
      </c>
      <c r="AN3168">
        <v>1.00000006442634</v>
      </c>
    </row>
    <row r="3169" spans="1:40" x14ac:dyDescent="0.25">
      <c r="A3169" t="str">
        <f>"20190312153947337"</f>
        <v>20190312153947337</v>
      </c>
      <c r="B3169" t="str">
        <f>"1552376387329335"</f>
        <v>1552376387329335</v>
      </c>
      <c r="C3169" t="s">
        <v>40</v>
      </c>
      <c r="D3169">
        <v>4.0064279999999997</v>
      </c>
      <c r="E3169">
        <v>0.54583619999999899</v>
      </c>
      <c r="F3169" t="s">
        <v>41</v>
      </c>
      <c r="G3169">
        <v>-448.01240000000001</v>
      </c>
      <c r="H3169">
        <v>0.96208640000000001</v>
      </c>
      <c r="I3169">
        <v>282.87709999999998</v>
      </c>
      <c r="J3169">
        <v>-447.57429999999999</v>
      </c>
      <c r="K3169">
        <v>1.1107</v>
      </c>
      <c r="L3169">
        <v>282.79039999999998</v>
      </c>
      <c r="M3169">
        <v>-0.99976089999999995</v>
      </c>
      <c r="N3169">
        <v>0</v>
      </c>
      <c r="O3169">
        <v>-1.49247999999999E-2</v>
      </c>
      <c r="P3169">
        <v>-0.99967450000000002</v>
      </c>
      <c r="Q3169">
        <v>2.4906459999999998E-2</v>
      </c>
      <c r="R3169">
        <v>5.5551130000000004E-3</v>
      </c>
      <c r="S3169">
        <v>-3.0151979999999998</v>
      </c>
      <c r="T3169">
        <v>-0.6154849</v>
      </c>
      <c r="U3169">
        <v>0.33981319999999998</v>
      </c>
      <c r="V3169">
        <v>2.0478039999999999E-2</v>
      </c>
      <c r="W3169">
        <v>4.0880560000000003E-2</v>
      </c>
      <c r="X3169">
        <v>0.99895420000000001</v>
      </c>
      <c r="Y3169">
        <v>0.12398140000000001</v>
      </c>
      <c r="Z3169">
        <v>1.5493699999999999E-2</v>
      </c>
      <c r="AA3169">
        <v>0.99216360000000003</v>
      </c>
      <c r="AB3169">
        <v>29</v>
      </c>
      <c r="AC3169">
        <v>-0.43810000000001897</v>
      </c>
      <c r="AD3169">
        <v>-0.14861359999999901</v>
      </c>
      <c r="AE3169">
        <v>8.6700000000007493E-2</v>
      </c>
      <c r="AF3169">
        <v>8.3935142312105401E-2</v>
      </c>
      <c r="AG3169">
        <v>-0.14861359999999901</v>
      </c>
      <c r="AH3169">
        <v>0.39321431594897799</v>
      </c>
      <c r="AI3169">
        <v>110.285247898988</v>
      </c>
      <c r="AJ3169">
        <v>77.9505372223053</v>
      </c>
      <c r="AK3169">
        <v>0.42865908189041801</v>
      </c>
      <c r="AL3169">
        <v>87.657063619831206</v>
      </c>
      <c r="AM3169">
        <v>88.825630890806593</v>
      </c>
      <c r="AN3169">
        <v>1.0000000320028899</v>
      </c>
    </row>
    <row r="3170" spans="1:40" x14ac:dyDescent="0.25">
      <c r="A3170" t="str">
        <f>"20190312153947359"</f>
        <v>20190312153947359</v>
      </c>
      <c r="B3170" t="str">
        <f>"1552376387348856"</f>
        <v>1552376387348856</v>
      </c>
      <c r="C3170" t="s">
        <v>40</v>
      </c>
      <c r="D3170">
        <v>4.0835100000000004</v>
      </c>
      <c r="E3170">
        <v>0.54671650000000005</v>
      </c>
      <c r="F3170" t="s">
        <v>41</v>
      </c>
      <c r="G3170">
        <v>-448.27269999999999</v>
      </c>
      <c r="H3170">
        <v>0.96545340000000002</v>
      </c>
      <c r="I3170">
        <v>282.87119999999999</v>
      </c>
      <c r="J3170">
        <v>-447.86009999999999</v>
      </c>
      <c r="K3170">
        <v>1.1107400000000001</v>
      </c>
      <c r="L3170">
        <v>282.78609999999998</v>
      </c>
      <c r="M3170">
        <v>-0.99975570000000002</v>
      </c>
      <c r="N3170">
        <v>0</v>
      </c>
      <c r="O3170">
        <v>-1.492275E-2</v>
      </c>
      <c r="P3170">
        <v>-0.99968069999999998</v>
      </c>
      <c r="Q3170">
        <v>2.4564280000000001E-2</v>
      </c>
      <c r="R3170">
        <v>5.9531380000000002E-3</v>
      </c>
      <c r="S3170">
        <v>-3.0146790000000001</v>
      </c>
      <c r="T3170">
        <v>-0.62708450000000004</v>
      </c>
      <c r="U3170">
        <v>0.34783940000000002</v>
      </c>
      <c r="V3170">
        <v>2.0874190000000001E-2</v>
      </c>
      <c r="W3170">
        <v>4.086675E-2</v>
      </c>
      <c r="X3170">
        <v>0.99894649999999996</v>
      </c>
      <c r="Y3170">
        <v>0.126447</v>
      </c>
      <c r="Z3170">
        <v>1.603255E-2</v>
      </c>
      <c r="AA3170">
        <v>0.99184380000000005</v>
      </c>
      <c r="AB3170">
        <v>29</v>
      </c>
      <c r="AC3170">
        <v>-0.41259999999999702</v>
      </c>
      <c r="AD3170">
        <v>-0.14528659999999999</v>
      </c>
      <c r="AE3170">
        <v>8.5100000000011194E-2</v>
      </c>
      <c r="AF3170">
        <v>8.15495868986547E-2</v>
      </c>
      <c r="AG3170">
        <v>-0.14528659999999999</v>
      </c>
      <c r="AH3170">
        <v>0.36756821642927101</v>
      </c>
      <c r="AI3170">
        <v>111.100668346557</v>
      </c>
      <c r="AJ3170">
        <v>77.490836896662202</v>
      </c>
      <c r="AK3170">
        <v>0.40356526732598902</v>
      </c>
      <c r="AL3170">
        <v>87.657855382717798</v>
      </c>
      <c r="AM3170">
        <v>88.802909911016499</v>
      </c>
      <c r="AN3170">
        <v>0.99999996646298295</v>
      </c>
    </row>
    <row r="3171" spans="1:40" x14ac:dyDescent="0.25">
      <c r="A3171" t="str">
        <f>"20190312153947382"</f>
        <v>20190312153947382</v>
      </c>
      <c r="B3171" t="str">
        <f>"1552376387369351"</f>
        <v>1552376387369351</v>
      </c>
      <c r="C3171" t="s">
        <v>40</v>
      </c>
      <c r="D3171">
        <v>4.0929190000000002</v>
      </c>
      <c r="E3171">
        <v>0.54752840000000003</v>
      </c>
      <c r="F3171" t="s">
        <v>41</v>
      </c>
      <c r="G3171">
        <v>-448.76580000000001</v>
      </c>
      <c r="H3171">
        <v>0.91885519999999998</v>
      </c>
      <c r="I3171">
        <v>282.89299999999997</v>
      </c>
      <c r="J3171">
        <v>-448.14760000000001</v>
      </c>
      <c r="K3171">
        <v>1.110779</v>
      </c>
      <c r="L3171">
        <v>282.78179999999998</v>
      </c>
      <c r="M3171">
        <v>-0.99975060000000004</v>
      </c>
      <c r="N3171">
        <v>0</v>
      </c>
      <c r="O3171">
        <v>-1.4919999999999999E-2</v>
      </c>
      <c r="P3171">
        <v>-0.99968950000000001</v>
      </c>
      <c r="Q3171">
        <v>2.4254250000000002E-2</v>
      </c>
      <c r="R3171">
        <v>5.729184E-3</v>
      </c>
      <c r="S3171">
        <v>-3.0144959999999998</v>
      </c>
      <c r="T3171">
        <v>-0.63867640000000003</v>
      </c>
      <c r="U3171">
        <v>0.35562129999999997</v>
      </c>
      <c r="V3171">
        <v>2.0647660000000002E-2</v>
      </c>
      <c r="W3171">
        <v>4.0866260000000001E-2</v>
      </c>
      <c r="X3171">
        <v>0.99895129999999999</v>
      </c>
      <c r="Y3171">
        <v>0.1288155</v>
      </c>
      <c r="Z3171">
        <v>1.6567990000000001E-2</v>
      </c>
      <c r="AA3171">
        <v>0.99153020000000003</v>
      </c>
      <c r="AB3171">
        <v>29</v>
      </c>
      <c r="AC3171">
        <v>-0.61820000000000097</v>
      </c>
      <c r="AD3171">
        <v>-0.19192380000000001</v>
      </c>
      <c r="AE3171">
        <v>0.111199999999996</v>
      </c>
      <c r="AF3171">
        <v>0.11013043574619399</v>
      </c>
      <c r="AG3171">
        <v>-0.19192380000000001</v>
      </c>
      <c r="AH3171">
        <v>0.56383139343976596</v>
      </c>
      <c r="AI3171">
        <v>108.473389488455</v>
      </c>
      <c r="AJ3171">
        <v>78.947846357920895</v>
      </c>
      <c r="AK3171">
        <v>0.60569736511917804</v>
      </c>
      <c r="AL3171">
        <v>87.657883649751099</v>
      </c>
      <c r="AM3171">
        <v>88.815902890411905</v>
      </c>
      <c r="AN3171">
        <v>1.0000000384207699</v>
      </c>
    </row>
    <row r="3172" spans="1:40" x14ac:dyDescent="0.25">
      <c r="A3172" t="str">
        <f>"20190312153947404"</f>
        <v>20190312153947404</v>
      </c>
      <c r="B3172" t="str">
        <f>"1552376387398631"</f>
        <v>1552376387398631</v>
      </c>
      <c r="C3172" t="s">
        <v>40</v>
      </c>
      <c r="D3172">
        <v>4.0883089999999997</v>
      </c>
      <c r="E3172">
        <v>0.54843430000000004</v>
      </c>
      <c r="F3172" t="s">
        <v>41</v>
      </c>
      <c r="G3172">
        <v>-449.02289999999999</v>
      </c>
      <c r="H3172">
        <v>0.92229209999999995</v>
      </c>
      <c r="I3172">
        <v>282.88690000000003</v>
      </c>
      <c r="J3172">
        <v>-448.43360000000001</v>
      </c>
      <c r="K3172">
        <v>1.110814</v>
      </c>
      <c r="L3172">
        <v>282.77760000000001</v>
      </c>
      <c r="M3172">
        <v>-0.99974549999999995</v>
      </c>
      <c r="N3172">
        <v>0</v>
      </c>
      <c r="O3172">
        <v>-1.4916489999999999E-2</v>
      </c>
      <c r="P3172">
        <v>-0.99970190000000003</v>
      </c>
      <c r="Q3172">
        <v>2.3833130000000001E-2</v>
      </c>
      <c r="R3172">
        <v>5.326272E-3</v>
      </c>
      <c r="S3172">
        <v>-3.0146480000000002</v>
      </c>
      <c r="T3172">
        <v>-0.64916909999999906</v>
      </c>
      <c r="U3172">
        <v>0.3611145</v>
      </c>
      <c r="V3172">
        <v>2.0241740000000001E-2</v>
      </c>
      <c r="W3172">
        <v>4.0742390000000003E-2</v>
      </c>
      <c r="X3172">
        <v>0.99896459999999998</v>
      </c>
      <c r="Y3172">
        <v>0.1304488</v>
      </c>
      <c r="Z3172">
        <v>1.7004160000000001E-2</v>
      </c>
      <c r="AA3172">
        <v>0.9913092</v>
      </c>
      <c r="AB3172">
        <v>29</v>
      </c>
      <c r="AC3172">
        <v>-0.58929999999997995</v>
      </c>
      <c r="AD3172">
        <v>-0.18852189999999899</v>
      </c>
      <c r="AE3172">
        <v>0.10930000000001799</v>
      </c>
      <c r="AF3172">
        <v>0.10744865710501</v>
      </c>
      <c r="AG3172">
        <v>-0.18852189999999899</v>
      </c>
      <c r="AH3172">
        <v>0.534701646699975</v>
      </c>
      <c r="AI3172">
        <v>109.068420834221</v>
      </c>
      <c r="AJ3172">
        <v>78.637702407459301</v>
      </c>
      <c r="AK3172">
        <v>0.57705421900974396</v>
      </c>
      <c r="AL3172">
        <v>87.664986636488095</v>
      </c>
      <c r="AM3172">
        <v>88.839190511534795</v>
      </c>
      <c r="AN3172">
        <v>0.99999997121714901</v>
      </c>
    </row>
    <row r="3173" spans="1:40" x14ac:dyDescent="0.25">
      <c r="A3173" t="str">
        <f>"20190312153947426"</f>
        <v>20190312153947426</v>
      </c>
      <c r="B3173" t="str">
        <f>"1552376387419127"</f>
        <v>1552376387419127</v>
      </c>
      <c r="C3173" t="s">
        <v>40</v>
      </c>
      <c r="D3173">
        <v>3.999298</v>
      </c>
      <c r="E3173">
        <v>0.5488267</v>
      </c>
      <c r="F3173" t="s">
        <v>41</v>
      </c>
      <c r="G3173">
        <v>-449.27859999999998</v>
      </c>
      <c r="H3173">
        <v>0.9251568</v>
      </c>
      <c r="I3173">
        <v>282.88060000000002</v>
      </c>
      <c r="J3173">
        <v>-448.72329999999999</v>
      </c>
      <c r="K3173">
        <v>1.1108450000000001</v>
      </c>
      <c r="L3173">
        <v>282.77319999999997</v>
      </c>
      <c r="M3173">
        <v>-0.99974070000000004</v>
      </c>
      <c r="N3173">
        <v>0</v>
      </c>
      <c r="O3173">
        <v>-1.491293E-2</v>
      </c>
      <c r="P3173">
        <v>-0.99970270000000006</v>
      </c>
      <c r="Q3173">
        <v>2.3870860000000001E-2</v>
      </c>
      <c r="R3173">
        <v>4.9769790000000003E-3</v>
      </c>
      <c r="S3173">
        <v>-3.0147089999999999</v>
      </c>
      <c r="T3173">
        <v>-0.66241159999999999</v>
      </c>
      <c r="U3173">
        <v>0.36633300000000002</v>
      </c>
      <c r="V3173">
        <v>1.9889E-2</v>
      </c>
      <c r="W3173">
        <v>4.1068279999999999E-2</v>
      </c>
      <c r="X3173">
        <v>0.99895829999999997</v>
      </c>
      <c r="Y3173">
        <v>0.13196559999999999</v>
      </c>
      <c r="Z3173">
        <v>1.7504390000000002E-2</v>
      </c>
      <c r="AA3173">
        <v>0.99109970000000003</v>
      </c>
      <c r="AB3173">
        <v>29</v>
      </c>
      <c r="AC3173">
        <v>-0.55529999999998803</v>
      </c>
      <c r="AD3173">
        <v>-0.1856882</v>
      </c>
      <c r="AE3173">
        <v>0.107400000000041</v>
      </c>
      <c r="AF3173">
        <v>0.10441582124955</v>
      </c>
      <c r="AG3173">
        <v>-0.1856882</v>
      </c>
      <c r="AH3173">
        <v>0.49976812346196098</v>
      </c>
      <c r="AI3173">
        <v>109.98610547140299</v>
      </c>
      <c r="AJ3173">
        <v>78.199031055520607</v>
      </c>
      <c r="AK3173">
        <v>0.54327796621540603</v>
      </c>
      <c r="AL3173">
        <v>87.646298777325399</v>
      </c>
      <c r="AM3173">
        <v>88.859406621785098</v>
      </c>
      <c r="AN3173">
        <v>0.99999993054102099</v>
      </c>
    </row>
    <row r="3174" spans="1:40" x14ac:dyDescent="0.25">
      <c r="A3174" t="str">
        <f>"20190312153947448"</f>
        <v>20190312153947448</v>
      </c>
      <c r="B3174" t="str">
        <f>"1552376387438647"</f>
        <v>1552376387438647</v>
      </c>
      <c r="C3174" t="s">
        <v>40</v>
      </c>
      <c r="D3174">
        <v>4.0767930000000003</v>
      </c>
      <c r="E3174">
        <v>0.54931030000000003</v>
      </c>
      <c r="F3174" t="s">
        <v>41</v>
      </c>
      <c r="G3174">
        <v>-449.53469999999999</v>
      </c>
      <c r="H3174">
        <v>0.93130950000000001</v>
      </c>
      <c r="I3174">
        <v>282.87259999999998</v>
      </c>
      <c r="J3174">
        <v>-449</v>
      </c>
      <c r="K3174">
        <v>1.110865</v>
      </c>
      <c r="L3174">
        <v>282.76909999999998</v>
      </c>
      <c r="M3174">
        <v>-0.99973610000000002</v>
      </c>
      <c r="N3174">
        <v>0</v>
      </c>
      <c r="O3174">
        <v>-1.4909489999999999E-2</v>
      </c>
      <c r="P3174">
        <v>-0.99970870000000001</v>
      </c>
      <c r="Q3174">
        <v>2.3738189999999999E-2</v>
      </c>
      <c r="R3174">
        <v>4.4177510000000001E-3</v>
      </c>
      <c r="S3174">
        <v>-3.0149840000000001</v>
      </c>
      <c r="T3174">
        <v>-0.66725449999999997</v>
      </c>
      <c r="U3174">
        <v>0.36865229999999999</v>
      </c>
      <c r="V3174">
        <v>1.932671E-2</v>
      </c>
      <c r="W3174">
        <v>4.1203099999999999E-2</v>
      </c>
      <c r="X3174">
        <v>0.99896379999999996</v>
      </c>
      <c r="Y3174">
        <v>0.13263759999999999</v>
      </c>
      <c r="Z3174">
        <v>1.7699510000000002E-2</v>
      </c>
      <c r="AA3174">
        <v>0.99100659999999896</v>
      </c>
      <c r="AB3174">
        <v>28</v>
      </c>
      <c r="AC3174">
        <v>-0.53469999999998596</v>
      </c>
      <c r="AD3174">
        <v>-0.17955550000000001</v>
      </c>
      <c r="AE3174">
        <v>0.103499999999996</v>
      </c>
      <c r="AF3174">
        <v>0.100534408254474</v>
      </c>
      <c r="AG3174">
        <v>-0.17955550000000001</v>
      </c>
      <c r="AH3174">
        <v>0.480833816939021</v>
      </c>
      <c r="AI3174">
        <v>110.078429033744</v>
      </c>
      <c r="AJ3174">
        <v>78.190524811489297</v>
      </c>
      <c r="AK3174">
        <v>0.52301864625983996</v>
      </c>
      <c r="AL3174">
        <v>87.638567651097901</v>
      </c>
      <c r="AM3174">
        <v>88.891650740486895</v>
      </c>
      <c r="AN3174">
        <v>0.99999994543973503</v>
      </c>
    </row>
    <row r="3175" spans="1:40" x14ac:dyDescent="0.25">
      <c r="A3175" t="str">
        <f>"20190312153947465"</f>
        <v>20190312153947465</v>
      </c>
      <c r="B3175" t="str">
        <f>"1552376387459143"</f>
        <v>1552376387459143</v>
      </c>
      <c r="C3175" t="s">
        <v>40</v>
      </c>
      <c r="D3175">
        <v>3.9734980000000002</v>
      </c>
      <c r="E3175">
        <v>0.54957869999999998</v>
      </c>
      <c r="F3175" t="s">
        <v>41</v>
      </c>
      <c r="G3175">
        <v>-449.7885</v>
      </c>
      <c r="H3175">
        <v>0.9349153</v>
      </c>
      <c r="I3175">
        <v>282.86610000000002</v>
      </c>
      <c r="J3175">
        <v>-449.2029</v>
      </c>
      <c r="K3175">
        <v>1.110886</v>
      </c>
      <c r="L3175">
        <v>282.76609999999999</v>
      </c>
      <c r="M3175">
        <v>-0.99973270000000003</v>
      </c>
      <c r="N3175">
        <v>0</v>
      </c>
      <c r="O3175">
        <v>-1.4907109999999999E-2</v>
      </c>
      <c r="P3175">
        <v>-0.99971489999999996</v>
      </c>
      <c r="Q3175">
        <v>2.3508230000000001E-2</v>
      </c>
      <c r="R3175">
        <v>4.1933420000000001E-3</v>
      </c>
      <c r="S3175">
        <v>-3.015228</v>
      </c>
      <c r="T3175">
        <v>-0.67299010000000004</v>
      </c>
      <c r="U3175">
        <v>0.37057499999999999</v>
      </c>
      <c r="V3175">
        <v>1.9099930000000001E-2</v>
      </c>
      <c r="W3175">
        <v>4.1166889999999998E-2</v>
      </c>
      <c r="X3175">
        <v>0.99896969999999996</v>
      </c>
      <c r="Y3175">
        <v>0.13317599999999999</v>
      </c>
      <c r="Z3175">
        <v>1.790462E-2</v>
      </c>
      <c r="AA3175">
        <v>0.99093070000000005</v>
      </c>
      <c r="AB3175">
        <v>28</v>
      </c>
      <c r="AC3175">
        <v>-0.58559999999999901</v>
      </c>
      <c r="AD3175">
        <v>-0.17597070000000001</v>
      </c>
      <c r="AE3175">
        <v>0.100000000000022</v>
      </c>
      <c r="AF3175">
        <v>9.9950261113084193E-2</v>
      </c>
      <c r="AG3175">
        <v>-0.17597070000000001</v>
      </c>
      <c r="AH3175">
        <v>0.536933649592097</v>
      </c>
      <c r="AI3175">
        <v>107.858828174313</v>
      </c>
      <c r="AJ3175">
        <v>79.455078883248902</v>
      </c>
      <c r="AK3175">
        <v>0.57380613975396999</v>
      </c>
      <c r="AL3175">
        <v>87.6406442003411</v>
      </c>
      <c r="AM3175">
        <v>88.904659413066398</v>
      </c>
      <c r="AN3175">
        <v>0.99999999083818303</v>
      </c>
    </row>
    <row r="3176" spans="1:40" x14ac:dyDescent="0.25">
      <c r="A3176" t="str">
        <f>"20190312153947482"</f>
        <v>20190312153947482</v>
      </c>
      <c r="B3176" t="str">
        <f>"1552376387468905"</f>
        <v>1552376387468905</v>
      </c>
      <c r="C3176" t="s">
        <v>40</v>
      </c>
      <c r="D3176">
        <v>4.0477550000000004</v>
      </c>
      <c r="E3176">
        <v>0.54978640000000001</v>
      </c>
      <c r="F3176" t="s">
        <v>41</v>
      </c>
      <c r="G3176">
        <v>-450.03449999999998</v>
      </c>
      <c r="H3176">
        <v>0.92380189999999995</v>
      </c>
      <c r="I3176">
        <v>282.86900000000003</v>
      </c>
      <c r="J3176">
        <v>-449.41800000000001</v>
      </c>
      <c r="K3176">
        <v>1.110911</v>
      </c>
      <c r="L3176">
        <v>282.7629</v>
      </c>
      <c r="M3176">
        <v>-0.99972930000000004</v>
      </c>
      <c r="N3176">
        <v>0</v>
      </c>
      <c r="O3176">
        <v>-1.4904830000000001E-2</v>
      </c>
      <c r="P3176">
        <v>-0.99970910000000002</v>
      </c>
      <c r="Q3176">
        <v>2.3862729999999999E-2</v>
      </c>
      <c r="R3176">
        <v>3.5569849999999999E-3</v>
      </c>
      <c r="S3176">
        <v>-3.0152589999999999</v>
      </c>
      <c r="T3176">
        <v>-0.678454</v>
      </c>
      <c r="U3176">
        <v>0.37155149999999998</v>
      </c>
      <c r="V3176">
        <v>1.8461399999999999E-2</v>
      </c>
      <c r="W3176">
        <v>4.1724789999999998E-2</v>
      </c>
      <c r="X3176">
        <v>0.99895860000000003</v>
      </c>
      <c r="Y3176">
        <v>0.13342509999999999</v>
      </c>
      <c r="Z3176">
        <v>1.807305E-2</v>
      </c>
      <c r="AA3176">
        <v>0.9908941</v>
      </c>
      <c r="AB3176">
        <v>28</v>
      </c>
      <c r="AC3176">
        <v>-0.61649999999997296</v>
      </c>
      <c r="AD3176">
        <v>-0.187109099999999</v>
      </c>
      <c r="AE3176">
        <v>0.10610000000002601</v>
      </c>
      <c r="AF3176">
        <v>0.105812149233196</v>
      </c>
      <c r="AG3176">
        <v>-0.187109099999999</v>
      </c>
      <c r="AH3176">
        <v>0.56436005311715498</v>
      </c>
      <c r="AI3176">
        <v>108.04892655232101</v>
      </c>
      <c r="AJ3176">
        <v>79.380870480570593</v>
      </c>
      <c r="AK3176">
        <v>0.60391083429804104</v>
      </c>
      <c r="AL3176">
        <v>87.608651495254094</v>
      </c>
      <c r="AM3176">
        <v>88.9412575174686</v>
      </c>
      <c r="AN3176">
        <v>1.0000000329522301</v>
      </c>
    </row>
    <row r="3177" spans="1:40" x14ac:dyDescent="0.25">
      <c r="A3177" t="str">
        <f>"20190312153947497"</f>
        <v>20190312153947497</v>
      </c>
      <c r="B3177" t="str">
        <f>"1552376387489399"</f>
        <v>1552376387489399</v>
      </c>
      <c r="C3177" t="s">
        <v>40</v>
      </c>
      <c r="D3177">
        <v>3.9599820000000001</v>
      </c>
      <c r="E3177">
        <v>0.55001269999999902</v>
      </c>
      <c r="F3177" t="s">
        <v>41</v>
      </c>
      <c r="G3177">
        <v>-450.28089999999997</v>
      </c>
      <c r="H3177">
        <v>0.91633929999999997</v>
      </c>
      <c r="I3177">
        <v>282.86919999999998</v>
      </c>
      <c r="J3177">
        <v>-449.60509999999999</v>
      </c>
      <c r="K3177">
        <v>1.110932</v>
      </c>
      <c r="L3177">
        <v>282.76010000000002</v>
      </c>
      <c r="M3177">
        <v>-0.999726</v>
      </c>
      <c r="N3177">
        <v>0</v>
      </c>
      <c r="O3177">
        <v>-1.4902449999999999E-2</v>
      </c>
      <c r="P3177">
        <v>-0.99971620000000005</v>
      </c>
      <c r="Q3177">
        <v>2.3625730000000001E-2</v>
      </c>
      <c r="R3177">
        <v>3.0958880000000002E-3</v>
      </c>
      <c r="S3177">
        <v>-3.0157780000000001</v>
      </c>
      <c r="T3177">
        <v>-0.68003269999999905</v>
      </c>
      <c r="U3177">
        <v>0.37155149999999998</v>
      </c>
      <c r="V3177">
        <v>1.7998179999999999E-2</v>
      </c>
      <c r="W3177">
        <v>4.166429E-2</v>
      </c>
      <c r="X3177">
        <v>0.99896960000000001</v>
      </c>
      <c r="Y3177">
        <v>0.13338749999999999</v>
      </c>
      <c r="Z3177">
        <v>1.8106379999999998E-2</v>
      </c>
      <c r="AA3177">
        <v>0.99089850000000002</v>
      </c>
      <c r="AB3177">
        <v>28</v>
      </c>
      <c r="AC3177">
        <v>-0.67579999999998097</v>
      </c>
      <c r="AD3177">
        <v>-0.19459270000000001</v>
      </c>
      <c r="AE3177">
        <v>0.109099999999955</v>
      </c>
      <c r="AF3177">
        <v>0.110251618432674</v>
      </c>
      <c r="AG3177">
        <v>-0.19459270000000001</v>
      </c>
      <c r="AH3177">
        <v>0.62370016558491104</v>
      </c>
      <c r="AI3177">
        <v>107.078734523069</v>
      </c>
      <c r="AJ3177">
        <v>79.975371640223301</v>
      </c>
      <c r="AK3177">
        <v>0.66258858638748097</v>
      </c>
      <c r="AL3177">
        <v>87.612120958589301</v>
      </c>
      <c r="AM3177">
        <v>88.967828254626696</v>
      </c>
      <c r="AN3177">
        <v>1.0000000546343299</v>
      </c>
    </row>
    <row r="3178" spans="1:40" x14ac:dyDescent="0.25">
      <c r="A3178" t="str">
        <f>"20190312153947509"</f>
        <v>20190312153947509</v>
      </c>
      <c r="B3178" t="str">
        <f>"1552376387499159"</f>
        <v>1552376387499159</v>
      </c>
      <c r="C3178" t="s">
        <v>40</v>
      </c>
      <c r="D3178">
        <v>3.9672779999999999</v>
      </c>
      <c r="E3178">
        <v>0.55010289999999995</v>
      </c>
      <c r="F3178" t="s">
        <v>41</v>
      </c>
      <c r="G3178">
        <v>-450.29790000000003</v>
      </c>
      <c r="H3178">
        <v>0.95383249999999997</v>
      </c>
      <c r="I3178">
        <v>282.84550000000002</v>
      </c>
      <c r="J3178">
        <v>-449.76319999999998</v>
      </c>
      <c r="K3178">
        <v>1.1109439999999999</v>
      </c>
      <c r="L3178">
        <v>282.7577</v>
      </c>
      <c r="M3178">
        <v>-0.99972349999999999</v>
      </c>
      <c r="N3178">
        <v>0</v>
      </c>
      <c r="O3178">
        <v>-1.490091E-2</v>
      </c>
      <c r="P3178">
        <v>-0.99971989999999999</v>
      </c>
      <c r="Q3178">
        <v>2.347103E-2</v>
      </c>
      <c r="R3178">
        <v>3.1316970000000001E-3</v>
      </c>
      <c r="S3178">
        <v>-3.0158689999999999</v>
      </c>
      <c r="T3178">
        <v>-0.68404509999999996</v>
      </c>
      <c r="U3178">
        <v>0.37179570000000001</v>
      </c>
      <c r="V3178">
        <v>1.8032409999999999E-2</v>
      </c>
      <c r="W3178">
        <v>4.1657619999999999E-2</v>
      </c>
      <c r="X3178">
        <v>0.9989692</v>
      </c>
      <c r="Y3178">
        <v>0.13341800000000001</v>
      </c>
      <c r="Z3178">
        <v>1.8213050000000001E-2</v>
      </c>
      <c r="AA3178">
        <v>0.99089249999999995</v>
      </c>
      <c r="AB3178">
        <v>28</v>
      </c>
      <c r="AC3178">
        <v>-0.53470000000004303</v>
      </c>
      <c r="AD3178">
        <v>-0.15711149999999999</v>
      </c>
      <c r="AE3178">
        <v>8.7800000000015602E-2</v>
      </c>
      <c r="AF3178">
        <v>8.8332938435248295E-2</v>
      </c>
      <c r="AG3178">
        <v>-0.15711149999999999</v>
      </c>
      <c r="AH3178">
        <v>0.49197203608273099</v>
      </c>
      <c r="AI3178">
        <v>107.449190432278</v>
      </c>
      <c r="AJ3178">
        <v>79.821074461308996</v>
      </c>
      <c r="AK3178">
        <v>0.52394963091144897</v>
      </c>
      <c r="AL3178">
        <v>87.612503308247199</v>
      </c>
      <c r="AM3178">
        <v>88.965865221447402</v>
      </c>
      <c r="AN3178">
        <v>0.99999999383155602</v>
      </c>
    </row>
    <row r="3179" spans="1:40" x14ac:dyDescent="0.25">
      <c r="A3179" t="str">
        <f>"20190312153947527"</f>
        <v>20190312153947527</v>
      </c>
      <c r="B3179" t="str">
        <f>"1552376387518679"</f>
        <v>1552376387518679</v>
      </c>
      <c r="C3179" t="s">
        <v>40</v>
      </c>
      <c r="D3179">
        <v>4.0697760000000001</v>
      </c>
      <c r="E3179">
        <v>0.55018500000000004</v>
      </c>
      <c r="F3179" t="s">
        <v>41</v>
      </c>
      <c r="G3179">
        <v>-450.53769999999997</v>
      </c>
      <c r="H3179">
        <v>0.93493459999999995</v>
      </c>
      <c r="I3179">
        <v>282.85359999999997</v>
      </c>
      <c r="J3179">
        <v>-449.97620000000001</v>
      </c>
      <c r="K3179">
        <v>1.1109639999999901</v>
      </c>
      <c r="L3179">
        <v>282.75450000000001</v>
      </c>
      <c r="M3179">
        <v>-0.99971980000000005</v>
      </c>
      <c r="N3179">
        <v>0</v>
      </c>
      <c r="O3179">
        <v>-1.489825E-2</v>
      </c>
      <c r="P3179">
        <v>-0.99972729999999999</v>
      </c>
      <c r="Q3179">
        <v>2.319119E-2</v>
      </c>
      <c r="R3179">
        <v>2.7879100000000002E-3</v>
      </c>
      <c r="S3179">
        <v>-3.0158079999999998</v>
      </c>
      <c r="T3179">
        <v>-0.68542049999999999</v>
      </c>
      <c r="U3179">
        <v>0.37255860000000002</v>
      </c>
      <c r="V3179">
        <v>1.7686259999999999E-2</v>
      </c>
      <c r="W3179">
        <v>4.1571860000000002E-2</v>
      </c>
      <c r="X3179">
        <v>0.99897899999999995</v>
      </c>
      <c r="Y3179">
        <v>0.13364429999999999</v>
      </c>
      <c r="Z3179">
        <v>1.8273580000000001E-2</v>
      </c>
      <c r="AA3179">
        <v>0.99086090000000004</v>
      </c>
      <c r="AB3179">
        <v>28</v>
      </c>
      <c r="AC3179">
        <v>-0.56149999999996603</v>
      </c>
      <c r="AD3179">
        <v>-0.176029399999999</v>
      </c>
      <c r="AE3179">
        <v>9.9099999999964397E-2</v>
      </c>
      <c r="AF3179">
        <v>9.8105144826716797E-2</v>
      </c>
      <c r="AG3179">
        <v>-0.176029399999999</v>
      </c>
      <c r="AH3179">
        <v>0.51123405472314598</v>
      </c>
      <c r="AI3179">
        <v>108.683097749491</v>
      </c>
      <c r="AJ3179">
        <v>79.137073086283493</v>
      </c>
      <c r="AK3179">
        <v>0.54951908776174496</v>
      </c>
      <c r="AL3179">
        <v>87.617421347702901</v>
      </c>
      <c r="AM3179">
        <v>88.985722224906198</v>
      </c>
      <c r="AN3179">
        <v>1.0000000328888199</v>
      </c>
    </row>
    <row r="3180" spans="1:40" x14ac:dyDescent="0.25">
      <c r="A3180" t="str">
        <f>"20190312153947548"</f>
        <v>20190312153947548</v>
      </c>
      <c r="B3180" t="str">
        <f>"1552376387539175"</f>
        <v>1552376387539175</v>
      </c>
      <c r="C3180" t="s">
        <v>40</v>
      </c>
      <c r="D3180">
        <v>4.084638</v>
      </c>
      <c r="E3180">
        <v>0.54877549999999997</v>
      </c>
      <c r="F3180" t="s">
        <v>41</v>
      </c>
      <c r="G3180">
        <v>-450.78160000000003</v>
      </c>
      <c r="H3180">
        <v>0.9274154</v>
      </c>
      <c r="I3180">
        <v>282.85430000000002</v>
      </c>
      <c r="J3180">
        <v>-450.25099999999998</v>
      </c>
      <c r="K3180">
        <v>1.110994</v>
      </c>
      <c r="L3180">
        <v>282.75049999999999</v>
      </c>
      <c r="M3180">
        <v>-0.99971560000000004</v>
      </c>
      <c r="N3180">
        <v>0</v>
      </c>
      <c r="O3180">
        <v>-1.489502E-2</v>
      </c>
      <c r="P3180">
        <v>-0.99973749999999995</v>
      </c>
      <c r="Q3180">
        <v>2.275926E-2</v>
      </c>
      <c r="R3180">
        <v>2.6751549999999998E-3</v>
      </c>
      <c r="S3180">
        <v>-3.015717</v>
      </c>
      <c r="T3180">
        <v>-0.68735840000000004</v>
      </c>
      <c r="U3180">
        <v>0.3722839</v>
      </c>
      <c r="V3180">
        <v>1.75704E-2</v>
      </c>
      <c r="W3180">
        <v>4.1374620000000001E-2</v>
      </c>
      <c r="X3180">
        <v>0.99898920000000002</v>
      </c>
      <c r="Y3180">
        <v>0.13353760000000001</v>
      </c>
      <c r="Z3180">
        <v>1.8311930000000001E-2</v>
      </c>
      <c r="AA3180">
        <v>0.99087449999999999</v>
      </c>
      <c r="AB3180">
        <v>28</v>
      </c>
      <c r="AC3180">
        <v>-0.53060000000004903</v>
      </c>
      <c r="AD3180">
        <v>-0.18357860000000001</v>
      </c>
      <c r="AE3180">
        <v>0.103800000000035</v>
      </c>
      <c r="AF3180">
        <v>0.10014699957336</v>
      </c>
      <c r="AG3180">
        <v>-0.18357860000000001</v>
      </c>
      <c r="AH3180">
        <v>0.47431052675976398</v>
      </c>
      <c r="AI3180">
        <v>110.74136714981201</v>
      </c>
      <c r="AJ3180">
        <v>78.077552569336902</v>
      </c>
      <c r="AK3180">
        <v>0.51836377158963498</v>
      </c>
      <c r="AL3180">
        <v>87.628732020292702</v>
      </c>
      <c r="AM3180">
        <v>88.992375516097198</v>
      </c>
      <c r="AN3180">
        <v>0.99999999992647204</v>
      </c>
    </row>
    <row r="3181" spans="1:40" x14ac:dyDescent="0.25">
      <c r="A3181" t="str">
        <f>"20190312153947571"</f>
        <v>20190312153947571</v>
      </c>
      <c r="B3181" t="str">
        <f>"1552376387558695"</f>
        <v>1552376387558695</v>
      </c>
      <c r="C3181" t="s">
        <v>40</v>
      </c>
      <c r="D3181">
        <v>4.0978050000000001</v>
      </c>
      <c r="E3181">
        <v>0.47348069999999998</v>
      </c>
      <c r="F3181" t="s">
        <v>41</v>
      </c>
      <c r="G3181">
        <v>-451.03120000000001</v>
      </c>
      <c r="H3181">
        <v>0.93547729999999996</v>
      </c>
      <c r="I3181">
        <v>282.84440000000001</v>
      </c>
      <c r="J3181">
        <v>-450.52569999999997</v>
      </c>
      <c r="K3181">
        <v>1.1110199999999999</v>
      </c>
      <c r="L3181">
        <v>282.74639999999999</v>
      </c>
      <c r="M3181">
        <v>-0.99971169999999998</v>
      </c>
      <c r="N3181">
        <v>0</v>
      </c>
      <c r="O3181">
        <v>-1.4891980000000001E-2</v>
      </c>
      <c r="P3181">
        <v>-0.99974949999999996</v>
      </c>
      <c r="Q3181">
        <v>2.2192389999999999E-2</v>
      </c>
      <c r="R3181">
        <v>2.9168520000000002E-3</v>
      </c>
      <c r="S3181">
        <v>-3.0152890000000001</v>
      </c>
      <c r="T3181">
        <v>-0.67844869999999902</v>
      </c>
      <c r="U3181">
        <v>0.36126710000000001</v>
      </c>
      <c r="V3181">
        <v>1.7809099999999901E-2</v>
      </c>
      <c r="W3181">
        <v>4.1021580000000002E-2</v>
      </c>
      <c r="X3181">
        <v>0.99899950000000004</v>
      </c>
      <c r="Y3181">
        <v>0.13015930000000001</v>
      </c>
      <c r="Z3181">
        <v>1.7711870000000001E-2</v>
      </c>
      <c r="AA3181">
        <v>0.99133490000000002</v>
      </c>
      <c r="AB3181">
        <v>28</v>
      </c>
      <c r="AC3181">
        <v>-0.50550000000004003</v>
      </c>
      <c r="AD3181">
        <v>-0.1755427</v>
      </c>
      <c r="AE3181">
        <v>9.8000000000013202E-2</v>
      </c>
      <c r="AF3181">
        <v>9.4531439641217102E-2</v>
      </c>
      <c r="AG3181">
        <v>-0.1755427</v>
      </c>
      <c r="AH3181">
        <v>0.451507744513092</v>
      </c>
      <c r="AI3181">
        <v>110.83387915421299</v>
      </c>
      <c r="AJ3181">
        <v>78.174886559860795</v>
      </c>
      <c r="AK3181">
        <v>0.49356932234411599</v>
      </c>
      <c r="AL3181">
        <v>87.648976834156599</v>
      </c>
      <c r="AM3181">
        <v>88.978699994608405</v>
      </c>
      <c r="AN3181">
        <v>0.99999996753437703</v>
      </c>
    </row>
    <row r="3182" spans="1:40" x14ac:dyDescent="0.25">
      <c r="A3182" t="str">
        <f>"20190312153947594"</f>
        <v>20190312153947594</v>
      </c>
      <c r="B3182" t="str">
        <f>"1552376387588951"</f>
        <v>1552376387588951</v>
      </c>
      <c r="C3182" t="s">
        <v>40</v>
      </c>
      <c r="D3182">
        <v>4.0798209999999999</v>
      </c>
      <c r="E3182">
        <v>0.46628350000000002</v>
      </c>
      <c r="F3182" t="s">
        <v>54</v>
      </c>
      <c r="G3182">
        <v>-482.13130000000001</v>
      </c>
      <c r="H3182" s="1">
        <v>2.2260660000000001E-6</v>
      </c>
      <c r="I3182">
        <v>280.52429999999998</v>
      </c>
      <c r="J3182">
        <v>-450.80410000000001</v>
      </c>
      <c r="K3182">
        <v>1.1110340000000001</v>
      </c>
      <c r="L3182">
        <v>282.74220000000003</v>
      </c>
      <c r="M3182">
        <v>-0.9997085</v>
      </c>
      <c r="N3182">
        <v>0</v>
      </c>
      <c r="O3182">
        <v>-1.4888520000000001E-2</v>
      </c>
      <c r="P3182">
        <v>-0.99974680000000005</v>
      </c>
      <c r="Q3182">
        <v>2.234477E-2</v>
      </c>
      <c r="R3182">
        <v>2.6536950000000002E-3</v>
      </c>
      <c r="S3182">
        <v>-3.0037539999999998</v>
      </c>
      <c r="T3182">
        <v>-0.10558969999999999</v>
      </c>
      <c r="U3182">
        <v>-0.2111816</v>
      </c>
      <c r="V3182">
        <v>1.7542619999999998E-2</v>
      </c>
      <c r="W3182">
        <v>4.134032E-2</v>
      </c>
      <c r="X3182">
        <v>0.99899110000000002</v>
      </c>
      <c r="Y3182">
        <v>-5.5245679999999998E-2</v>
      </c>
      <c r="Z3182">
        <v>-4.4694329999999999E-4</v>
      </c>
      <c r="AA3182">
        <v>0.99847269999999999</v>
      </c>
      <c r="AB3182">
        <v>28</v>
      </c>
      <c r="AC3182">
        <v>-31.327200000000001</v>
      </c>
      <c r="AD3182">
        <v>-1.1110317739339901</v>
      </c>
      <c r="AE3182">
        <v>-2.2179000000000402</v>
      </c>
      <c r="AF3182">
        <v>-1.7489652984492201</v>
      </c>
      <c r="AG3182">
        <v>-1.1110317739339901</v>
      </c>
      <c r="AH3182">
        <v>31.3175590414006</v>
      </c>
      <c r="AI3182">
        <v>92.028633028423002</v>
      </c>
      <c r="AJ3182">
        <v>93.196428819404403</v>
      </c>
      <c r="AK3182">
        <v>31.386028349083698</v>
      </c>
      <c r="AL3182">
        <v>87.630698928967902</v>
      </c>
      <c r="AM3182">
        <v>88.993970224401096</v>
      </c>
      <c r="AN3182">
        <v>0.99999999172668796</v>
      </c>
    </row>
    <row r="3183" spans="1:40" x14ac:dyDescent="0.25">
      <c r="A3183" t="str">
        <f>"20190312153947616"</f>
        <v>20190312153947616</v>
      </c>
      <c r="B3183" t="str">
        <f>"1552376387609447"</f>
        <v>1552376387609447</v>
      </c>
      <c r="C3183" t="s">
        <v>40</v>
      </c>
      <c r="D3183">
        <v>4.1222459999999996</v>
      </c>
      <c r="E3183">
        <v>0.46510620000000003</v>
      </c>
      <c r="F3183" t="s">
        <v>54</v>
      </c>
      <c r="G3183">
        <v>-499.95769999999999</v>
      </c>
      <c r="H3183">
        <v>4.3424780000000003E-2</v>
      </c>
      <c r="I3183">
        <v>278.35939999999999</v>
      </c>
      <c r="J3183">
        <v>-451.0693</v>
      </c>
      <c r="K3183">
        <v>1.1110249999999999</v>
      </c>
      <c r="L3183">
        <v>282.73829999999998</v>
      </c>
      <c r="M3183">
        <v>-0.99970780000000004</v>
      </c>
      <c r="N3183">
        <v>0</v>
      </c>
      <c r="O3183">
        <v>-1.488574E-2</v>
      </c>
      <c r="P3183">
        <v>-0.99974759999999996</v>
      </c>
      <c r="Q3183">
        <v>2.2347430000000001E-2</v>
      </c>
      <c r="R3183">
        <v>2.3588300000000001E-3</v>
      </c>
      <c r="S3183">
        <v>-3.0029910000000002</v>
      </c>
      <c r="T3183">
        <v>-6.5224409999999997E-2</v>
      </c>
      <c r="U3183">
        <v>-0.26776119999999998</v>
      </c>
      <c r="V3183">
        <v>1.7245199999999999E-2</v>
      </c>
      <c r="W3183">
        <v>4.1389860000000001E-2</v>
      </c>
      <c r="X3183">
        <v>0.99899420000000005</v>
      </c>
      <c r="Y3183">
        <v>-7.3959250000000004E-2</v>
      </c>
      <c r="Z3183">
        <v>-4.7887290000000001E-4</v>
      </c>
      <c r="AA3183">
        <v>0.99726119999999996</v>
      </c>
      <c r="AB3183">
        <v>27</v>
      </c>
      <c r="AC3183">
        <v>-48.888399999999898</v>
      </c>
      <c r="AD3183">
        <v>-1.0676002200000001</v>
      </c>
      <c r="AE3183">
        <v>-4.3788999999999803</v>
      </c>
      <c r="AF3183">
        <v>-3.6488164283864002</v>
      </c>
      <c r="AG3183">
        <v>-1.0676002200000001</v>
      </c>
      <c r="AH3183">
        <v>48.925030756997003</v>
      </c>
      <c r="AI3183">
        <v>91.246600184856305</v>
      </c>
      <c r="AJ3183">
        <v>94.265208556335693</v>
      </c>
      <c r="AK3183">
        <v>49.072520478684503</v>
      </c>
      <c r="AL3183">
        <v>87.627857999984101</v>
      </c>
      <c r="AM3183">
        <v>89.011026243497199</v>
      </c>
      <c r="AN3183">
        <v>0.99999996453374895</v>
      </c>
    </row>
    <row r="3184" spans="1:40" x14ac:dyDescent="0.25">
      <c r="A3184" t="str">
        <f>"20190312153947639"</f>
        <v>20190312153947639</v>
      </c>
      <c r="B3184" t="str">
        <f>"1552376387628968"</f>
        <v>1552376387628968</v>
      </c>
      <c r="C3184" t="s">
        <v>40</v>
      </c>
      <c r="D3184">
        <v>4.1046529999999999</v>
      </c>
      <c r="E3184">
        <v>0.46469120000000003</v>
      </c>
      <c r="F3184" t="s">
        <v>54</v>
      </c>
      <c r="G3184">
        <v>-502.9375</v>
      </c>
      <c r="H3184">
        <v>8.0000210000000002E-2</v>
      </c>
      <c r="I3184">
        <v>277.9418</v>
      </c>
      <c r="J3184">
        <v>-451.34620000000001</v>
      </c>
      <c r="K3184">
        <v>1.1109690000000001</v>
      </c>
      <c r="L3184">
        <v>282.73410000000001</v>
      </c>
      <c r="M3184">
        <v>-0.99971100000000002</v>
      </c>
      <c r="N3184">
        <v>0</v>
      </c>
      <c r="O3184">
        <v>-1.4883489999999999E-2</v>
      </c>
      <c r="P3184">
        <v>-0.99974359999999995</v>
      </c>
      <c r="Q3184">
        <v>2.2577739999999999E-2</v>
      </c>
      <c r="R3184">
        <v>1.709534E-3</v>
      </c>
      <c r="S3184">
        <v>-3.002777</v>
      </c>
      <c r="T3184">
        <v>-5.9688570000000003E-2</v>
      </c>
      <c r="U3184">
        <v>-0.27767940000000002</v>
      </c>
      <c r="V3184">
        <v>1.6593480000000001E-2</v>
      </c>
      <c r="W3184">
        <v>4.1444170000000002E-2</v>
      </c>
      <c r="X3184">
        <v>0.99900299999999997</v>
      </c>
      <c r="Y3184">
        <v>-7.7236040000000006E-2</v>
      </c>
      <c r="Z3184">
        <v>-4.7074569999999997E-4</v>
      </c>
      <c r="AA3184">
        <v>0.99701269999999997</v>
      </c>
      <c r="AB3184">
        <v>27</v>
      </c>
      <c r="AC3184">
        <v>-51.591299999999897</v>
      </c>
      <c r="AD3184">
        <v>-1.03096879</v>
      </c>
      <c r="AE3184">
        <v>-4.7923000000000098</v>
      </c>
      <c r="AF3184">
        <v>-4.0221810645920302</v>
      </c>
      <c r="AG3184">
        <v>-1.03096879</v>
      </c>
      <c r="AH3184">
        <v>51.636478413714897</v>
      </c>
      <c r="AI3184">
        <v>91.140356450462306</v>
      </c>
      <c r="AJ3184">
        <v>94.454013955857604</v>
      </c>
      <c r="AK3184">
        <v>51.803153766275202</v>
      </c>
      <c r="AL3184">
        <v>87.624743626735196</v>
      </c>
      <c r="AM3184">
        <v>89.0484023051675</v>
      </c>
      <c r="AN3184">
        <v>0.99999997840724897</v>
      </c>
    </row>
    <row r="3185" spans="1:40" x14ac:dyDescent="0.25">
      <c r="A3185" t="str">
        <f>"20190312153947661"</f>
        <v>20190312153947661</v>
      </c>
      <c r="B3185" t="str">
        <f>"1552376387649463"</f>
        <v>1552376387649463</v>
      </c>
      <c r="C3185" t="s">
        <v>40</v>
      </c>
      <c r="D3185">
        <v>4.0283910000000001</v>
      </c>
      <c r="E3185">
        <v>0.4641825</v>
      </c>
      <c r="F3185" t="s">
        <v>54</v>
      </c>
      <c r="G3185">
        <v>-502.99939999999998</v>
      </c>
      <c r="H3185">
        <v>8.0000199999999994E-2</v>
      </c>
      <c r="I3185">
        <v>277.86649999999997</v>
      </c>
      <c r="J3185">
        <v>-451.61200000000002</v>
      </c>
      <c r="K3185">
        <v>1.110876</v>
      </c>
      <c r="L3185">
        <v>282.73020000000002</v>
      </c>
      <c r="M3185">
        <v>-0.999718</v>
      </c>
      <c r="N3185">
        <v>0</v>
      </c>
      <c r="O3185">
        <v>-1.488421E-2</v>
      </c>
      <c r="P3185">
        <v>-0.99973009999999995</v>
      </c>
      <c r="Q3185">
        <v>2.3160259999999998E-2</v>
      </c>
      <c r="R3185">
        <v>1.863642E-3</v>
      </c>
      <c r="S3185">
        <v>-3.0026250000000001</v>
      </c>
      <c r="T3185">
        <v>-5.993068E-2</v>
      </c>
      <c r="U3185">
        <v>-0.28295900000000002</v>
      </c>
      <c r="V3185">
        <v>1.6748200000000001E-2</v>
      </c>
      <c r="W3185">
        <v>4.165427E-2</v>
      </c>
      <c r="X3185">
        <v>0.99899170000000004</v>
      </c>
      <c r="Y3185">
        <v>-7.8977409999999998E-2</v>
      </c>
      <c r="Z3185">
        <v>-4.8996710000000004E-4</v>
      </c>
      <c r="AA3185">
        <v>0.99687630000000005</v>
      </c>
      <c r="AB3185">
        <v>27</v>
      </c>
      <c r="AC3185">
        <v>-51.3874</v>
      </c>
      <c r="AD3185">
        <v>-1.0308758</v>
      </c>
      <c r="AE3185">
        <v>-4.8637000000000503</v>
      </c>
      <c r="AF3185">
        <v>-4.0965352452069199</v>
      </c>
      <c r="AG3185">
        <v>-1.0308758</v>
      </c>
      <c r="AH3185">
        <v>51.433595213216897</v>
      </c>
      <c r="AI3185">
        <v>91.144593196405694</v>
      </c>
      <c r="AJ3185">
        <v>94.553827987703201</v>
      </c>
      <c r="AK3185">
        <v>51.606773029199402</v>
      </c>
      <c r="AL3185">
        <v>87.612695427105095</v>
      </c>
      <c r="AM3185">
        <v>89.039520263306699</v>
      </c>
      <c r="AN3185">
        <v>0.999999998540681</v>
      </c>
    </row>
    <row r="3186" spans="1:40" x14ac:dyDescent="0.25">
      <c r="A3186" t="str">
        <f>"20190312153947683"</f>
        <v>20190312153947683</v>
      </c>
      <c r="B3186" t="str">
        <f>"1552376387678747"</f>
        <v>1552376387678747</v>
      </c>
      <c r="C3186" t="s">
        <v>40</v>
      </c>
      <c r="D3186">
        <v>4.1532549999999997</v>
      </c>
      <c r="E3186">
        <v>0.46351979999999998</v>
      </c>
      <c r="F3186" t="s">
        <v>54</v>
      </c>
      <c r="G3186">
        <v>-499.9676</v>
      </c>
      <c r="H3186">
        <v>5.9835699999999999E-2</v>
      </c>
      <c r="I3186">
        <v>278.11040000000003</v>
      </c>
      <c r="J3186">
        <v>-451.87790000000001</v>
      </c>
      <c r="K3186">
        <v>1.110787</v>
      </c>
      <c r="L3186">
        <v>282.72629999999998</v>
      </c>
      <c r="M3186">
        <v>-0.9997258</v>
      </c>
      <c r="N3186">
        <v>0</v>
      </c>
      <c r="O3186">
        <v>-1.4882060000000001E-2</v>
      </c>
      <c r="P3186">
        <v>-0.99972079999999997</v>
      </c>
      <c r="Q3186">
        <v>2.354759E-2</v>
      </c>
      <c r="R3186">
        <v>1.998943E-3</v>
      </c>
      <c r="S3186">
        <v>-3.0028990000000002</v>
      </c>
      <c r="T3186">
        <v>-6.5269949999999993E-2</v>
      </c>
      <c r="U3186">
        <v>-0.28689579999999998</v>
      </c>
      <c r="V3186">
        <v>1.688104E-2</v>
      </c>
      <c r="W3186">
        <v>4.1614739999999997E-2</v>
      </c>
      <c r="X3186">
        <v>0.99899110000000002</v>
      </c>
      <c r="Y3186">
        <v>-8.0263669999999995E-2</v>
      </c>
      <c r="Z3186">
        <v>-5.4752260000000004E-4</v>
      </c>
      <c r="AA3186">
        <v>0.99677349999999998</v>
      </c>
      <c r="AB3186">
        <v>27</v>
      </c>
      <c r="AC3186">
        <v>-48.089699999999901</v>
      </c>
      <c r="AD3186">
        <v>-1.0509512999999999</v>
      </c>
      <c r="AE3186">
        <v>-4.6158999999999502</v>
      </c>
      <c r="AF3186">
        <v>-3.8977533028117799</v>
      </c>
      <c r="AG3186">
        <v>-1.0509512999999999</v>
      </c>
      <c r="AH3186">
        <v>48.130300932972702</v>
      </c>
      <c r="AI3186">
        <v>91.246805244043401</v>
      </c>
      <c r="AJ3186">
        <v>94.629900727605701</v>
      </c>
      <c r="AK3186">
        <v>48.299304832917201</v>
      </c>
      <c r="AL3186">
        <v>87.614962267285804</v>
      </c>
      <c r="AM3186">
        <v>89.031902986372302</v>
      </c>
      <c r="AN3186">
        <v>0.99999998698797898</v>
      </c>
    </row>
    <row r="3187" spans="1:40" x14ac:dyDescent="0.25">
      <c r="A3187" t="str">
        <f>"20190312153947705"</f>
        <v>20190312153947705</v>
      </c>
      <c r="B3187" t="str">
        <f>"1552376387699243"</f>
        <v>1552376387699243</v>
      </c>
      <c r="C3187" t="s">
        <v>40</v>
      </c>
      <c r="D3187">
        <v>4.0852950000000003</v>
      </c>
      <c r="E3187">
        <v>0.46316990000000002</v>
      </c>
      <c r="F3187" t="s">
        <v>54</v>
      </c>
      <c r="G3187">
        <v>-499.98129999999998</v>
      </c>
      <c r="H3187">
        <v>7.351357E-2</v>
      </c>
      <c r="I3187">
        <v>278.05239999999998</v>
      </c>
      <c r="J3187">
        <v>-452.1456</v>
      </c>
      <c r="K3187">
        <v>1.110706</v>
      </c>
      <c r="L3187">
        <v>282.72230000000002</v>
      </c>
      <c r="M3187">
        <v>-0.9997336</v>
      </c>
      <c r="N3187">
        <v>0</v>
      </c>
      <c r="O3187">
        <v>-1.487802E-2</v>
      </c>
      <c r="P3187">
        <v>-0.99970510000000001</v>
      </c>
      <c r="Q3187">
        <v>2.4190650000000001E-2</v>
      </c>
      <c r="R3187">
        <v>2.1390770000000001E-3</v>
      </c>
      <c r="S3187">
        <v>-3.0029599999999999</v>
      </c>
      <c r="T3187">
        <v>-6.4754129999999993E-2</v>
      </c>
      <c r="U3187">
        <v>-0.291778599999999</v>
      </c>
      <c r="V3187">
        <v>1.7016420000000001E-2</v>
      </c>
      <c r="W3187">
        <v>4.1819599999999998E-2</v>
      </c>
      <c r="X3187">
        <v>0.99898030000000004</v>
      </c>
      <c r="Y3187">
        <v>-8.1871520000000003E-2</v>
      </c>
      <c r="Z3187">
        <v>-5.6052640000000002E-4</v>
      </c>
      <c r="AA3187">
        <v>0.99664269999999999</v>
      </c>
      <c r="AB3187">
        <v>27</v>
      </c>
      <c r="AC3187">
        <v>-47.835699999999903</v>
      </c>
      <c r="AD3187">
        <v>-1.0371924299999999</v>
      </c>
      <c r="AE3187">
        <v>-4.6699000000000401</v>
      </c>
      <c r="AF3187">
        <v>-3.9557294912629999</v>
      </c>
      <c r="AG3187">
        <v>-1.0371924299999999</v>
      </c>
      <c r="AH3187">
        <v>47.877597374997997</v>
      </c>
      <c r="AI3187">
        <v>91.236815365015701</v>
      </c>
      <c r="AJ3187">
        <v>94.723148116787698</v>
      </c>
      <c r="AK3187">
        <v>48.051929142827497</v>
      </c>
      <c r="AL3187">
        <v>87.603214550628707</v>
      </c>
      <c r="AM3187">
        <v>89.024130136415394</v>
      </c>
      <c r="AN3187">
        <v>1.00000003864093</v>
      </c>
    </row>
    <row r="3188" spans="1:40" x14ac:dyDescent="0.25">
      <c r="A3188" t="str">
        <f>"20190312153947721"</f>
        <v>20190312153947721</v>
      </c>
      <c r="B3188" t="str">
        <f>"1552376387718759"</f>
        <v>1552376387718759</v>
      </c>
      <c r="C3188" t="s">
        <v>40</v>
      </c>
      <c r="D3188">
        <v>4.1145659999999999</v>
      </c>
      <c r="E3188">
        <v>0.46293800000000002</v>
      </c>
      <c r="F3188" t="s">
        <v>54</v>
      </c>
      <c r="G3188">
        <v>-500.33879999999999</v>
      </c>
      <c r="H3188">
        <v>8.0000870000000002E-2</v>
      </c>
      <c r="I3188">
        <v>278.00259999999997</v>
      </c>
      <c r="J3188">
        <v>-452.3442</v>
      </c>
      <c r="K3188">
        <v>1.1106560000000001</v>
      </c>
      <c r="L3188">
        <v>282.71929999999998</v>
      </c>
      <c r="M3188">
        <v>-0.9997395</v>
      </c>
      <c r="N3188">
        <v>0</v>
      </c>
      <c r="O3188">
        <v>-1.487461E-2</v>
      </c>
      <c r="P3188">
        <v>-0.99969750000000002</v>
      </c>
      <c r="Q3188">
        <v>2.451323E-2</v>
      </c>
      <c r="R3188">
        <v>2.0419000000000001E-3</v>
      </c>
      <c r="S3188">
        <v>-3.003082</v>
      </c>
      <c r="T3188">
        <v>-6.4226749999999999E-2</v>
      </c>
      <c r="U3188">
        <v>-0.29409790000000002</v>
      </c>
      <c r="V3188">
        <v>1.6915860000000001E-2</v>
      </c>
      <c r="W3188">
        <v>4.1814360000000002E-2</v>
      </c>
      <c r="X3188">
        <v>0.99898220000000004</v>
      </c>
      <c r="Y3188">
        <v>-8.2633609999999996E-2</v>
      </c>
      <c r="Z3188">
        <v>-5.641229E-4</v>
      </c>
      <c r="AA3188">
        <v>0.99657980000000002</v>
      </c>
      <c r="AB3188">
        <v>27</v>
      </c>
      <c r="AC3188">
        <v>-47.994599999999899</v>
      </c>
      <c r="AD3188">
        <v>-1.03065513</v>
      </c>
      <c r="AE3188">
        <v>-4.7167000000000003</v>
      </c>
      <c r="AF3188">
        <v>-4.0003429581056702</v>
      </c>
      <c r="AG3188">
        <v>-1.03065513</v>
      </c>
      <c r="AH3188">
        <v>48.037517617994901</v>
      </c>
      <c r="AI3188">
        <v>91.224866071000704</v>
      </c>
      <c r="AJ3188">
        <v>94.760344595861</v>
      </c>
      <c r="AK3188">
        <v>48.214811963530799</v>
      </c>
      <c r="AL3188">
        <v>87.603514978191996</v>
      </c>
      <c r="AM3188">
        <v>89.029897862788204</v>
      </c>
      <c r="AN3188">
        <v>1.00000001146929</v>
      </c>
    </row>
    <row r="3189" spans="1:40" x14ac:dyDescent="0.25">
      <c r="A3189" t="str">
        <f>"20190312153947738"</f>
        <v>20190312153947738</v>
      </c>
      <c r="B3189" t="str">
        <f>"1552376387728520"</f>
        <v>1552376387728520</v>
      </c>
      <c r="C3189" t="s">
        <v>40</v>
      </c>
      <c r="D3189">
        <v>4.0981489999999896</v>
      </c>
      <c r="E3189">
        <v>0.46287410000000001</v>
      </c>
      <c r="F3189" t="s">
        <v>54</v>
      </c>
      <c r="G3189">
        <v>-499.97809999999998</v>
      </c>
      <c r="H3189">
        <v>7.0308389999999998E-2</v>
      </c>
      <c r="I3189">
        <v>278.01569999999998</v>
      </c>
      <c r="J3189">
        <v>-452.5478</v>
      </c>
      <c r="K3189">
        <v>1.110606</v>
      </c>
      <c r="L3189">
        <v>282.71620000000001</v>
      </c>
      <c r="M3189">
        <v>-0.99974529999999995</v>
      </c>
      <c r="N3189">
        <v>0</v>
      </c>
      <c r="O3189">
        <v>-1.487085E-2</v>
      </c>
      <c r="P3189">
        <v>-0.99969200000000003</v>
      </c>
      <c r="Q3189">
        <v>2.47402E-2</v>
      </c>
      <c r="R3189">
        <v>1.9609150000000001E-3</v>
      </c>
      <c r="S3189">
        <v>-3.003082</v>
      </c>
      <c r="T3189">
        <v>-6.5588830000000001E-2</v>
      </c>
      <c r="U3189">
        <v>-0.29653930000000001</v>
      </c>
      <c r="V3189">
        <v>1.6830749999999998E-2</v>
      </c>
      <c r="W3189">
        <v>4.1709070000000001E-2</v>
      </c>
      <c r="X3189">
        <v>0.99898799999999999</v>
      </c>
      <c r="Y3189">
        <v>-8.3438990000000005E-2</v>
      </c>
      <c r="Z3189">
        <v>-5.8491779999999996E-4</v>
      </c>
      <c r="AA3189">
        <v>0.99651270000000003</v>
      </c>
      <c r="AB3189">
        <v>27</v>
      </c>
      <c r="AC3189">
        <v>-47.430299999999903</v>
      </c>
      <c r="AD3189">
        <v>-1.0402976100000001</v>
      </c>
      <c r="AE3189">
        <v>-4.7005000000000301</v>
      </c>
      <c r="AF3189">
        <v>-3.9926475070740999</v>
      </c>
      <c r="AG3189">
        <v>-1.0402976100000001</v>
      </c>
      <c r="AH3189">
        <v>47.472349127353397</v>
      </c>
      <c r="AI3189">
        <v>91.250949820705003</v>
      </c>
      <c r="AJ3189">
        <v>94.807529925283603</v>
      </c>
      <c r="AK3189">
        <v>47.6513104216709</v>
      </c>
      <c r="AL3189">
        <v>87.609552824819602</v>
      </c>
      <c r="AM3189">
        <v>89.034783485564802</v>
      </c>
      <c r="AN3189">
        <v>0.99999997240491301</v>
      </c>
    </row>
    <row r="3190" spans="1:40" x14ac:dyDescent="0.25">
      <c r="A3190" t="str">
        <f>"20190312153947753"</f>
        <v>20190312153947753</v>
      </c>
      <c r="B3190" t="str">
        <f>"1552376387749016"</f>
        <v>1552376387749016</v>
      </c>
      <c r="C3190" t="s">
        <v>40</v>
      </c>
      <c r="D3190">
        <v>4.1210719999999998</v>
      </c>
      <c r="E3190">
        <v>0.46258310000000002</v>
      </c>
      <c r="F3190" t="s">
        <v>54</v>
      </c>
      <c r="G3190">
        <v>-499.9785</v>
      </c>
      <c r="H3190">
        <v>7.0701490000000006E-2</v>
      </c>
      <c r="I3190">
        <v>278.0188</v>
      </c>
      <c r="J3190">
        <v>-452.73779999999999</v>
      </c>
      <c r="K3190">
        <v>1.110568</v>
      </c>
      <c r="L3190">
        <v>282.71350000000001</v>
      </c>
      <c r="M3190">
        <v>-0.99975029999999998</v>
      </c>
      <c r="N3190">
        <v>0</v>
      </c>
      <c r="O3190">
        <v>-1.486756E-2</v>
      </c>
      <c r="P3190">
        <v>-0.99969909999999995</v>
      </c>
      <c r="Q3190">
        <v>2.4476439999999999E-2</v>
      </c>
      <c r="R3190">
        <v>1.7657860000000001E-3</v>
      </c>
      <c r="S3190">
        <v>-3.0031430000000001</v>
      </c>
      <c r="T3190">
        <v>-6.5843109999999996E-2</v>
      </c>
      <c r="U3190">
        <v>-0.29742429999999997</v>
      </c>
      <c r="V3190">
        <v>1.6632620000000001E-2</v>
      </c>
      <c r="W3190">
        <v>4.1151170000000001E-2</v>
      </c>
      <c r="X3190">
        <v>0.99901450000000003</v>
      </c>
      <c r="Y3190">
        <v>-8.3731E-2</v>
      </c>
      <c r="Z3190">
        <v>-5.9043099999999999E-4</v>
      </c>
      <c r="AA3190">
        <v>0.99648820000000005</v>
      </c>
      <c r="AB3190">
        <v>27</v>
      </c>
      <c r="AC3190">
        <v>-47.240699999999997</v>
      </c>
      <c r="AD3190">
        <v>-1.03986651</v>
      </c>
      <c r="AE3190">
        <v>-4.6947000000000099</v>
      </c>
      <c r="AF3190">
        <v>-3.98981497838933</v>
      </c>
      <c r="AG3190">
        <v>-1.03986651</v>
      </c>
      <c r="AH3190">
        <v>47.282599671978403</v>
      </c>
      <c r="AI3190">
        <v>91.2554189411984</v>
      </c>
      <c r="AJ3190">
        <v>94.8233239220108</v>
      </c>
      <c r="AK3190">
        <v>47.462028798408603</v>
      </c>
      <c r="AL3190">
        <v>87.641545715683904</v>
      </c>
      <c r="AM3190">
        <v>89.046169108885096</v>
      </c>
      <c r="AN3190">
        <v>1.00000001702534</v>
      </c>
    </row>
    <row r="3191" spans="1:40" x14ac:dyDescent="0.25">
      <c r="A3191" t="str">
        <f>"20190312153947766"</f>
        <v>20190312153947766</v>
      </c>
      <c r="B3191" t="str">
        <f>"1552376387758776"</f>
        <v>1552376387758776</v>
      </c>
      <c r="C3191" t="s">
        <v>40</v>
      </c>
      <c r="D3191">
        <v>4.0861809999999998</v>
      </c>
      <c r="E3191">
        <v>0.46237850000000003</v>
      </c>
      <c r="F3191" t="s">
        <v>54</v>
      </c>
      <c r="G3191">
        <v>-499.95780000000002</v>
      </c>
      <c r="H3191">
        <v>1.555371E-2</v>
      </c>
      <c r="I3191">
        <v>277.9889</v>
      </c>
      <c r="J3191">
        <v>-452.88490000000002</v>
      </c>
      <c r="K3191">
        <v>1.110536</v>
      </c>
      <c r="L3191">
        <v>282.71129999999999</v>
      </c>
      <c r="M3191">
        <v>-0.99975380000000003</v>
      </c>
      <c r="N3191">
        <v>0</v>
      </c>
      <c r="O3191">
        <v>-1.486459E-2</v>
      </c>
      <c r="P3191">
        <v>-0.99969730000000001</v>
      </c>
      <c r="Q3191">
        <v>2.452988E-2</v>
      </c>
      <c r="R3191">
        <v>1.8881010000000001E-3</v>
      </c>
      <c r="S3191">
        <v>-3.0031129999999999</v>
      </c>
      <c r="T3191">
        <v>-6.9641110000000006E-2</v>
      </c>
      <c r="U3191">
        <v>-0.30047610000000002</v>
      </c>
      <c r="V3191">
        <v>1.6751869999999999E-2</v>
      </c>
      <c r="W3191">
        <v>4.0989190000000002E-2</v>
      </c>
      <c r="X3191">
        <v>0.99901910000000005</v>
      </c>
      <c r="Y3191">
        <v>-8.4735450000000004E-2</v>
      </c>
      <c r="Z3191">
        <v>-6.3614100000000001E-4</v>
      </c>
      <c r="AA3191">
        <v>0.99640329999999999</v>
      </c>
      <c r="AB3191">
        <v>27</v>
      </c>
      <c r="AC3191">
        <v>-47.072899999999997</v>
      </c>
      <c r="AD3191">
        <v>-1.0949822899999999</v>
      </c>
      <c r="AE3191">
        <v>-4.7223999999999897</v>
      </c>
      <c r="AF3191">
        <v>-4.0199103101637199</v>
      </c>
      <c r="AG3191">
        <v>-1.0949822899999999</v>
      </c>
      <c r="AH3191">
        <v>47.112665498355199</v>
      </c>
      <c r="AI3191">
        <v>91.326597688129795</v>
      </c>
      <c r="AJ3191">
        <v>94.876976681637998</v>
      </c>
      <c r="AK3191">
        <v>47.296531748925098</v>
      </c>
      <c r="AL3191">
        <v>87.650834166677001</v>
      </c>
      <c r="AM3191">
        <v>89.039336178536999</v>
      </c>
      <c r="AN3191">
        <v>0.99999995050507995</v>
      </c>
    </row>
    <row r="3192" spans="1:40" x14ac:dyDescent="0.25">
      <c r="A3192" t="str">
        <f>"20190312153947784"</f>
        <v>20190312153947784</v>
      </c>
      <c r="B3192" t="str">
        <f>"1552376387779275"</f>
        <v>1552376387779275</v>
      </c>
      <c r="C3192" t="s">
        <v>40</v>
      </c>
      <c r="D3192">
        <v>4.1270519999999999</v>
      </c>
      <c r="E3192">
        <v>0.46208460000000001</v>
      </c>
      <c r="F3192" t="s">
        <v>54</v>
      </c>
      <c r="G3192">
        <v>-499.95780000000002</v>
      </c>
      <c r="H3192">
        <v>2.3196000000000001E-2</v>
      </c>
      <c r="I3192">
        <v>277.98329999999999</v>
      </c>
      <c r="J3192">
        <v>-453.09769999999997</v>
      </c>
      <c r="K3192">
        <v>1.110506</v>
      </c>
      <c r="L3192">
        <v>282.70819999999998</v>
      </c>
      <c r="M3192">
        <v>-0.99975890000000001</v>
      </c>
      <c r="N3192">
        <v>0</v>
      </c>
      <c r="O3192">
        <v>-1.4859799999999901E-2</v>
      </c>
      <c r="P3192">
        <v>-0.99971080000000001</v>
      </c>
      <c r="Q3192">
        <v>2.3970869999999998E-2</v>
      </c>
      <c r="R3192">
        <v>1.9908130000000001E-3</v>
      </c>
      <c r="S3192">
        <v>-3.0031430000000001</v>
      </c>
      <c r="T3192">
        <v>-6.9369910000000007E-2</v>
      </c>
      <c r="U3192">
        <v>-0.30163570000000001</v>
      </c>
      <c r="V3192">
        <v>1.685006E-2</v>
      </c>
      <c r="W3192">
        <v>4.013444E-2</v>
      </c>
      <c r="X3192">
        <v>0.99905219999999995</v>
      </c>
      <c r="Y3192">
        <v>-8.5120249999999995E-2</v>
      </c>
      <c r="Z3192">
        <v>-6.3819080000000002E-4</v>
      </c>
      <c r="AA3192">
        <v>0.99637050000000005</v>
      </c>
      <c r="AB3192">
        <v>27</v>
      </c>
      <c r="AC3192">
        <v>-46.860100000000003</v>
      </c>
      <c r="AD3192">
        <v>-1.08731</v>
      </c>
      <c r="AE3192">
        <v>-4.7248999999999901</v>
      </c>
      <c r="AF3192">
        <v>-4.0258097979335803</v>
      </c>
      <c r="AG3192">
        <v>-1.08731</v>
      </c>
      <c r="AH3192">
        <v>46.900148298232601</v>
      </c>
      <c r="AI3192">
        <v>91.323215171735299</v>
      </c>
      <c r="AJ3192">
        <v>94.906122765284294</v>
      </c>
      <c r="AK3192">
        <v>47.085170679965202</v>
      </c>
      <c r="AL3192">
        <v>87.699848184517904</v>
      </c>
      <c r="AM3192">
        <v>89.033738382967599</v>
      </c>
      <c r="AN3192">
        <v>0.99999999806047801</v>
      </c>
    </row>
    <row r="3193" spans="1:40" x14ac:dyDescent="0.25">
      <c r="A3193" t="str">
        <f>"20190312153947798"</f>
        <v>20190312153947798</v>
      </c>
      <c r="B3193" t="str">
        <f>"1552376387789032"</f>
        <v>1552376387789032</v>
      </c>
      <c r="C3193" t="s">
        <v>40</v>
      </c>
      <c r="D3193">
        <v>4.1158140000000003</v>
      </c>
      <c r="E3193">
        <v>0.4620223</v>
      </c>
      <c r="F3193" t="s">
        <v>54</v>
      </c>
      <c r="G3193">
        <v>-499.95780000000002</v>
      </c>
      <c r="H3193">
        <v>5.6586400000000004E-3</v>
      </c>
      <c r="I3193">
        <v>277.96929999999998</v>
      </c>
      <c r="J3193">
        <v>-453.27330000000001</v>
      </c>
      <c r="K3193">
        <v>1.110484</v>
      </c>
      <c r="L3193">
        <v>282.70549999999997</v>
      </c>
      <c r="M3193">
        <v>-0.9997627</v>
      </c>
      <c r="N3193">
        <v>0</v>
      </c>
      <c r="O3193">
        <v>-1.485438E-2</v>
      </c>
      <c r="P3193">
        <v>-0.99971429999999994</v>
      </c>
      <c r="Q3193">
        <v>2.3792199999999999E-2</v>
      </c>
      <c r="R3193">
        <v>2.3601130000000001E-3</v>
      </c>
      <c r="S3193">
        <v>-3.0032040000000002</v>
      </c>
      <c r="T3193">
        <v>-7.0808289999999996E-2</v>
      </c>
      <c r="U3193">
        <v>-0.30371090000000001</v>
      </c>
      <c r="V3193">
        <v>1.72141E-2</v>
      </c>
      <c r="W3193">
        <v>3.972564E-2</v>
      </c>
      <c r="X3193">
        <v>0.99906240000000002</v>
      </c>
      <c r="Y3193">
        <v>-8.5804279999999997E-2</v>
      </c>
      <c r="Z3193">
        <v>-6.5955579999999998E-4</v>
      </c>
      <c r="AA3193">
        <v>0.99631179999999997</v>
      </c>
      <c r="AB3193">
        <v>27</v>
      </c>
      <c r="AC3193">
        <v>-46.6845</v>
      </c>
      <c r="AD3193">
        <v>-1.10482536</v>
      </c>
      <c r="AE3193">
        <v>-4.7361999999999904</v>
      </c>
      <c r="AF3193">
        <v>-4.0398803952938902</v>
      </c>
      <c r="AG3193">
        <v>-1.10482536</v>
      </c>
      <c r="AH3193">
        <v>46.723808143857603</v>
      </c>
      <c r="AI3193">
        <v>91.3495233106283</v>
      </c>
      <c r="AJ3193">
        <v>94.9416747523655</v>
      </c>
      <c r="AK3193">
        <v>46.911144946040203</v>
      </c>
      <c r="AL3193">
        <v>87.723289547674696</v>
      </c>
      <c r="AM3193">
        <v>89.012876782108705</v>
      </c>
      <c r="AN3193">
        <v>1.0000000654029799</v>
      </c>
    </row>
    <row r="3194" spans="1:40" x14ac:dyDescent="0.25">
      <c r="A3194" t="str">
        <f>"20190312153947817"</f>
        <v>20190312153947817</v>
      </c>
      <c r="B3194" t="str">
        <f>"1552376387808551"</f>
        <v>1552376387808551</v>
      </c>
      <c r="C3194" t="s">
        <v>40</v>
      </c>
      <c r="D3194">
        <v>4.1039250000000003</v>
      </c>
      <c r="E3194">
        <v>0.4617984</v>
      </c>
      <c r="F3194" t="s">
        <v>54</v>
      </c>
      <c r="G3194">
        <v>-499.3922</v>
      </c>
      <c r="H3194" s="1">
        <v>1.5856300000000001E-6</v>
      </c>
      <c r="I3194">
        <v>278.05009999999999</v>
      </c>
      <c r="J3194">
        <v>-453.49329999999998</v>
      </c>
      <c r="K3194">
        <v>1.110463</v>
      </c>
      <c r="L3194">
        <v>282.70229999999998</v>
      </c>
      <c r="M3194">
        <v>-0.99976690000000001</v>
      </c>
      <c r="N3194">
        <v>0</v>
      </c>
      <c r="O3194">
        <v>-1.484502E-2</v>
      </c>
      <c r="P3194">
        <v>-0.99971790000000005</v>
      </c>
      <c r="Q3194">
        <v>2.357513E-2</v>
      </c>
      <c r="R3194">
        <v>2.9004310000000002E-3</v>
      </c>
      <c r="S3194">
        <v>-3.0032960000000002</v>
      </c>
      <c r="T3194">
        <v>-7.2315340000000006E-2</v>
      </c>
      <c r="U3194">
        <v>-0.30316159999999998</v>
      </c>
      <c r="V3194">
        <v>1.7745009999999999E-2</v>
      </c>
      <c r="W3194">
        <v>3.9242979999999997E-2</v>
      </c>
      <c r="X3194">
        <v>0.99907210000000002</v>
      </c>
      <c r="Y3194">
        <v>-8.5629469999999999E-2</v>
      </c>
      <c r="Z3194">
        <v>-6.7170229999999895E-4</v>
      </c>
      <c r="AA3194">
        <v>0.99632679999999996</v>
      </c>
      <c r="AB3194">
        <v>27</v>
      </c>
      <c r="AC3194">
        <v>-45.898899999999998</v>
      </c>
      <c r="AD3194">
        <v>-1.11046141437</v>
      </c>
      <c r="AE3194">
        <v>-4.6521999999999899</v>
      </c>
      <c r="AF3194">
        <v>-3.9679344560630998</v>
      </c>
      <c r="AG3194">
        <v>-1.11046141437</v>
      </c>
      <c r="AH3194">
        <v>45.936296920684597</v>
      </c>
      <c r="AI3194">
        <v>91.379659695109893</v>
      </c>
      <c r="AJ3194">
        <v>94.936901657222506</v>
      </c>
      <c r="AK3194">
        <v>46.120722058373303</v>
      </c>
      <c r="AL3194">
        <v>87.750965314465006</v>
      </c>
      <c r="AM3194">
        <v>88.982448527802504</v>
      </c>
      <c r="AN3194">
        <v>0.999999978928795</v>
      </c>
    </row>
    <row r="3195" spans="1:40" x14ac:dyDescent="0.25">
      <c r="A3195" t="str">
        <f>"20190312153947834"</f>
        <v>20190312153947834</v>
      </c>
      <c r="B3195" t="str">
        <f>"1552376387829048"</f>
        <v>1552376387829048</v>
      </c>
      <c r="C3195" t="s">
        <v>40</v>
      </c>
      <c r="D3195">
        <v>4.1070510000000002</v>
      </c>
      <c r="E3195">
        <v>0.46161239999999998</v>
      </c>
      <c r="F3195" t="s">
        <v>54</v>
      </c>
      <c r="G3195">
        <v>-499.08390000000003</v>
      </c>
      <c r="H3195" s="1">
        <v>1.648793E-6</v>
      </c>
      <c r="I3195">
        <v>278.09820000000002</v>
      </c>
      <c r="J3195">
        <v>-453.70389999999998</v>
      </c>
      <c r="K3195">
        <v>1.1104510000000001</v>
      </c>
      <c r="L3195">
        <v>282.69920000000002</v>
      </c>
      <c r="M3195">
        <v>-0.99977059999999995</v>
      </c>
      <c r="N3195">
        <v>0</v>
      </c>
      <c r="O3195">
        <v>-1.483225E-2</v>
      </c>
      <c r="P3195">
        <v>-0.99972649999999996</v>
      </c>
      <c r="Q3195">
        <v>2.318547E-2</v>
      </c>
      <c r="R3195">
        <v>3.1025800000000002E-3</v>
      </c>
      <c r="S3195">
        <v>-3.0034480000000001</v>
      </c>
      <c r="T3195">
        <v>-7.3155880000000006E-2</v>
      </c>
      <c r="U3195">
        <v>-0.30331419999999998</v>
      </c>
      <c r="V3195">
        <v>1.7934720000000001E-2</v>
      </c>
      <c r="W3195">
        <v>3.8623089999999999E-2</v>
      </c>
      <c r="X3195">
        <v>0.99909289999999995</v>
      </c>
      <c r="Y3195">
        <v>-8.5686769999999995E-2</v>
      </c>
      <c r="Z3195">
        <v>-6.8047889999999997E-4</v>
      </c>
      <c r="AA3195">
        <v>0.99632189999999998</v>
      </c>
      <c r="AB3195">
        <v>27</v>
      </c>
      <c r="AC3195">
        <v>-45.38</v>
      </c>
      <c r="AD3195">
        <v>-1.1104493512069999</v>
      </c>
      <c r="AE3195">
        <v>-4.6009999999999902</v>
      </c>
      <c r="AF3195">
        <v>-3.9249995770025099</v>
      </c>
      <c r="AG3195">
        <v>-1.1104493512069999</v>
      </c>
      <c r="AH3195">
        <v>45.416340391942903</v>
      </c>
      <c r="AI3195">
        <v>91.395428384170302</v>
      </c>
      <c r="AJ3195">
        <v>94.939379149352504</v>
      </c>
      <c r="AK3195">
        <v>45.599152339028102</v>
      </c>
      <c r="AL3195">
        <v>87.786509414165195</v>
      </c>
      <c r="AM3195">
        <v>88.971593724273703</v>
      </c>
      <c r="AN3195">
        <v>1.0000000100465101</v>
      </c>
    </row>
    <row r="3196" spans="1:40" x14ac:dyDescent="0.25">
      <c r="A3196" t="str">
        <f>"20190312153947850"</f>
        <v>20190312153947850</v>
      </c>
      <c r="B3196" t="str">
        <f>"1552376387838808"</f>
        <v>1552376387838808</v>
      </c>
      <c r="C3196" t="s">
        <v>40</v>
      </c>
      <c r="D3196">
        <v>4.0804749999999999</v>
      </c>
      <c r="E3196">
        <v>0.46153139999999998</v>
      </c>
      <c r="F3196" t="s">
        <v>54</v>
      </c>
      <c r="G3196">
        <v>-498.23230000000001</v>
      </c>
      <c r="H3196" s="1">
        <v>1.8159000000000001E-6</v>
      </c>
      <c r="I3196">
        <v>278.1893</v>
      </c>
      <c r="J3196">
        <v>-453.89620000000002</v>
      </c>
      <c r="K3196">
        <v>1.1104369999999999</v>
      </c>
      <c r="L3196">
        <v>282.69639999999998</v>
      </c>
      <c r="M3196">
        <v>-0.99977389999999999</v>
      </c>
      <c r="N3196">
        <v>0</v>
      </c>
      <c r="O3196">
        <v>-1.48174E-2</v>
      </c>
      <c r="P3196">
        <v>-0.99976589999999999</v>
      </c>
      <c r="Q3196">
        <v>2.128789E-2</v>
      </c>
      <c r="R3196">
        <v>3.8822069999999999E-3</v>
      </c>
      <c r="S3196">
        <v>-3.0035099999999999</v>
      </c>
      <c r="T3196">
        <v>-7.4901579999999995E-2</v>
      </c>
      <c r="U3196">
        <v>-0.3041992</v>
      </c>
      <c r="V3196">
        <v>1.8699980000000001E-2</v>
      </c>
      <c r="W3196">
        <v>3.6534110000000002E-2</v>
      </c>
      <c r="X3196">
        <v>0.99915739999999997</v>
      </c>
      <c r="Y3196">
        <v>-8.5989099999999999E-2</v>
      </c>
      <c r="Z3196">
        <v>-7.0081769999999998E-4</v>
      </c>
      <c r="AA3196">
        <v>0.99629579999999995</v>
      </c>
      <c r="AB3196">
        <v>27</v>
      </c>
      <c r="AC3196">
        <v>-44.336099999999902</v>
      </c>
      <c r="AD3196">
        <v>-1.1104351841</v>
      </c>
      <c r="AE3196">
        <v>-4.5070999999999799</v>
      </c>
      <c r="AF3196">
        <v>-3.8471942977873099</v>
      </c>
      <c r="AG3196">
        <v>-1.1104351841</v>
      </c>
      <c r="AH3196">
        <v>44.370474100586001</v>
      </c>
      <c r="AI3196">
        <v>91.428253870887801</v>
      </c>
      <c r="AJ3196">
        <v>94.955504518606602</v>
      </c>
      <c r="AK3196">
        <v>44.550790589772802</v>
      </c>
      <c r="AL3196">
        <v>87.906283688518599</v>
      </c>
      <c r="AM3196">
        <v>88.927791699928505</v>
      </c>
      <c r="AN3196">
        <v>0.99999997021012499</v>
      </c>
    </row>
    <row r="3197" spans="1:40" x14ac:dyDescent="0.25">
      <c r="A3197" t="str">
        <f>"20190312153947872"</f>
        <v>20190312153947872</v>
      </c>
      <c r="B3197" t="str">
        <f>"1552376387869064"</f>
        <v>1552376387869064</v>
      </c>
      <c r="C3197" t="s">
        <v>40</v>
      </c>
      <c r="D3197">
        <v>4.1015490000000003</v>
      </c>
      <c r="E3197">
        <v>0.46125640000000001</v>
      </c>
      <c r="F3197" t="s">
        <v>54</v>
      </c>
      <c r="G3197">
        <v>-495.30459999999999</v>
      </c>
      <c r="H3197" s="1">
        <v>2.3934849999999998E-6</v>
      </c>
      <c r="I3197">
        <v>278.52019999999999</v>
      </c>
      <c r="J3197">
        <v>-454.16230000000002</v>
      </c>
      <c r="K3197">
        <v>1.1104309999999999</v>
      </c>
      <c r="L3197">
        <v>282.69240000000002</v>
      </c>
      <c r="M3197">
        <v>-0.99977800000000006</v>
      </c>
      <c r="N3197">
        <v>0</v>
      </c>
      <c r="O3197">
        <v>-1.479072E-2</v>
      </c>
      <c r="P3197">
        <v>-0.99978500000000003</v>
      </c>
      <c r="Q3197">
        <v>2.0261660000000001E-2</v>
      </c>
      <c r="R3197">
        <v>4.4733940000000003E-3</v>
      </c>
      <c r="S3197">
        <v>-3.0035400000000001</v>
      </c>
      <c r="T3197">
        <v>-8.0544829999999998E-2</v>
      </c>
      <c r="U3197">
        <v>-0.30291750000000001</v>
      </c>
      <c r="V3197">
        <v>1.9265259999999999E-2</v>
      </c>
      <c r="W3197">
        <v>3.5267020000000003E-2</v>
      </c>
      <c r="X3197">
        <v>0.99919219999999997</v>
      </c>
      <c r="Y3197">
        <v>-8.5590589999999994E-2</v>
      </c>
      <c r="Z3197">
        <v>-7.4899459999999999E-4</v>
      </c>
      <c r="AA3197">
        <v>0.9963301</v>
      </c>
      <c r="AB3197">
        <v>27</v>
      </c>
      <c r="AC3197">
        <v>-41.142299999999899</v>
      </c>
      <c r="AD3197">
        <v>-1.110428606515</v>
      </c>
      <c r="AE3197">
        <v>-4.1722000000000303</v>
      </c>
      <c r="AF3197">
        <v>-3.5605834079657801</v>
      </c>
      <c r="AG3197">
        <v>-1.110428606515</v>
      </c>
      <c r="AH3197">
        <v>41.169830085027598</v>
      </c>
      <c r="AI3197">
        <v>91.539258454575801</v>
      </c>
      <c r="AJ3197">
        <v>94.942940897257699</v>
      </c>
      <c r="AK3197">
        <v>41.3384290355269</v>
      </c>
      <c r="AL3197">
        <v>87.978929460016403</v>
      </c>
      <c r="AM3197">
        <v>88.895426387391595</v>
      </c>
      <c r="AN3197">
        <v>0.99999998274169299</v>
      </c>
    </row>
    <row r="3198" spans="1:40" x14ac:dyDescent="0.25">
      <c r="A3198" t="str">
        <f>"20190312153947895"</f>
        <v>20190312153947895</v>
      </c>
      <c r="B3198" t="str">
        <f>"1552376387888583"</f>
        <v>1552376387888583</v>
      </c>
      <c r="C3198" t="s">
        <v>40</v>
      </c>
      <c r="D3198">
        <v>4.0412140000000001</v>
      </c>
      <c r="E3198">
        <v>0.46115660000000003</v>
      </c>
      <c r="F3198" t="s">
        <v>54</v>
      </c>
      <c r="G3198">
        <v>-492.40280000000001</v>
      </c>
      <c r="H3198" s="1">
        <v>2.9630389999999999E-6</v>
      </c>
      <c r="I3198">
        <v>278.83139999999997</v>
      </c>
      <c r="J3198">
        <v>-454.43090000000001</v>
      </c>
      <c r="K3198">
        <v>1.1104240000000001</v>
      </c>
      <c r="L3198">
        <v>282.68849999999998</v>
      </c>
      <c r="M3198">
        <v>-0.99978180000000005</v>
      </c>
      <c r="N3198">
        <v>0</v>
      </c>
      <c r="O3198">
        <v>-1.4753509999999999E-2</v>
      </c>
      <c r="P3198">
        <v>-0.9997895</v>
      </c>
      <c r="Q3198">
        <v>1.9966250000000001E-2</v>
      </c>
      <c r="R3198">
        <v>4.7785830000000003E-3</v>
      </c>
      <c r="S3198">
        <v>-3.003784</v>
      </c>
      <c r="T3198">
        <v>-8.7224010000000005E-2</v>
      </c>
      <c r="U3198">
        <v>-0.30328369999999999</v>
      </c>
      <c r="V3198">
        <v>1.9533600000000002E-2</v>
      </c>
      <c r="W3198">
        <v>3.4755689999999999E-2</v>
      </c>
      <c r="X3198">
        <v>0.99920489999999995</v>
      </c>
      <c r="Y3198">
        <v>-8.5735430000000001E-2</v>
      </c>
      <c r="Z3198">
        <v>-8.1418569999999995E-4</v>
      </c>
      <c r="AA3198">
        <v>0.99631760000000003</v>
      </c>
      <c r="AB3198">
        <v>27</v>
      </c>
      <c r="AC3198">
        <v>-37.971899999999998</v>
      </c>
      <c r="AD3198">
        <v>-1.1104210369609999</v>
      </c>
      <c r="AE3198">
        <v>-3.8571</v>
      </c>
      <c r="AF3198">
        <v>-3.2936122107995098</v>
      </c>
      <c r="AG3198">
        <v>-1.1104210369609999</v>
      </c>
      <c r="AH3198">
        <v>37.9925201372671</v>
      </c>
      <c r="AI3198">
        <v>91.6678756982583</v>
      </c>
      <c r="AJ3198">
        <v>94.954645241325906</v>
      </c>
      <c r="AK3198">
        <v>38.151179570952898</v>
      </c>
      <c r="AL3198">
        <v>88.008244470664295</v>
      </c>
      <c r="AM3198">
        <v>88.880059237326705</v>
      </c>
      <c r="AN3198">
        <v>0.99999997585017197</v>
      </c>
    </row>
    <row r="3199" spans="1:40" x14ac:dyDescent="0.25">
      <c r="A3199" t="str">
        <f>"20190312153947917"</f>
        <v>20190312153947917</v>
      </c>
      <c r="B3199" t="str">
        <f>"1552376387909080"</f>
        <v>1552376387909080</v>
      </c>
      <c r="C3199" t="s">
        <v>40</v>
      </c>
      <c r="D3199">
        <v>4.0213089999999996</v>
      </c>
      <c r="E3199">
        <v>0.46105059999999898</v>
      </c>
      <c r="F3199" t="s">
        <v>54</v>
      </c>
      <c r="G3199">
        <v>-491.80810000000002</v>
      </c>
      <c r="H3199" s="1">
        <v>3.0833230000000002E-6</v>
      </c>
      <c r="I3199">
        <v>278.91550000000001</v>
      </c>
      <c r="J3199">
        <v>-454.70100000000002</v>
      </c>
      <c r="K3199">
        <v>1.1104149999999999</v>
      </c>
      <c r="L3199">
        <v>282.68459999999999</v>
      </c>
      <c r="M3199">
        <v>-0.99978520000000004</v>
      </c>
      <c r="N3199">
        <v>0</v>
      </c>
      <c r="O3199">
        <v>-1.470467E-2</v>
      </c>
      <c r="P3199">
        <v>-0.99977249999999995</v>
      </c>
      <c r="Q3199">
        <v>2.07735E-2</v>
      </c>
      <c r="R3199">
        <v>4.847105E-3</v>
      </c>
      <c r="S3199">
        <v>-3.003876</v>
      </c>
      <c r="T3199">
        <v>-8.9240550000000002E-2</v>
      </c>
      <c r="U3199">
        <v>-0.30322270000000001</v>
      </c>
      <c r="V3199">
        <v>1.9553669999999999E-2</v>
      </c>
      <c r="W3199">
        <v>3.5372809999999998E-2</v>
      </c>
      <c r="X3199">
        <v>0.99918289999999998</v>
      </c>
      <c r="Y3199">
        <v>-8.5759650000000007E-2</v>
      </c>
      <c r="Z3199">
        <v>-8.3478239999999998E-4</v>
      </c>
      <c r="AA3199">
        <v>0.99631550000000002</v>
      </c>
      <c r="AB3199">
        <v>27</v>
      </c>
      <c r="AC3199">
        <v>-37.107100000000003</v>
      </c>
      <c r="AD3199">
        <v>-1.1104119166769999</v>
      </c>
      <c r="AE3199">
        <v>-3.7690999999999799</v>
      </c>
      <c r="AF3199">
        <v>-3.2201324231864299</v>
      </c>
      <c r="AG3199">
        <v>-1.1104119166769999</v>
      </c>
      <c r="AH3199">
        <v>37.125610807886503</v>
      </c>
      <c r="AI3199">
        <v>91.706778376278393</v>
      </c>
      <c r="AJ3199">
        <v>94.957208685400204</v>
      </c>
      <c r="AK3199">
        <v>37.281540275399202</v>
      </c>
      <c r="AL3199">
        <v>87.972864440155504</v>
      </c>
      <c r="AM3199">
        <v>88.878884158222505</v>
      </c>
      <c r="AN3199">
        <v>1.00000002467508</v>
      </c>
    </row>
    <row r="3200" spans="1:40" x14ac:dyDescent="0.25">
      <c r="A3200" t="str">
        <f>"20190312153947939"</f>
        <v>20190312153947939</v>
      </c>
      <c r="B3200" t="str">
        <f>"1552376387928600"</f>
        <v>1552376387928600</v>
      </c>
      <c r="C3200" t="s">
        <v>40</v>
      </c>
      <c r="D3200">
        <v>4.0190849999999996</v>
      </c>
      <c r="E3200">
        <v>0.4608988</v>
      </c>
      <c r="F3200" t="s">
        <v>54</v>
      </c>
      <c r="G3200">
        <v>-492.46460000000002</v>
      </c>
      <c r="H3200" s="1">
        <v>2.9579230000000001E-6</v>
      </c>
      <c r="I3200">
        <v>278.86470000000003</v>
      </c>
      <c r="J3200">
        <v>-454.96190000000001</v>
      </c>
      <c r="K3200">
        <v>1.110412</v>
      </c>
      <c r="L3200">
        <v>282.68079999999998</v>
      </c>
      <c r="M3200">
        <v>-0.99978840000000002</v>
      </c>
      <c r="N3200">
        <v>0</v>
      </c>
      <c r="O3200">
        <v>-1.464317E-2</v>
      </c>
      <c r="P3200">
        <v>-0.99974419999999997</v>
      </c>
      <c r="Q3200">
        <v>2.2172210000000001E-2</v>
      </c>
      <c r="R3200">
        <v>4.4885180000000004E-3</v>
      </c>
      <c r="S3200">
        <v>-3.0039980000000002</v>
      </c>
      <c r="T3200">
        <v>-8.8330510000000001E-2</v>
      </c>
      <c r="U3200">
        <v>-0.30386350000000001</v>
      </c>
      <c r="V3200">
        <v>1.9134330000000001E-2</v>
      </c>
      <c r="W3200">
        <v>3.6611779999999997E-2</v>
      </c>
      <c r="X3200">
        <v>0.99914630000000004</v>
      </c>
      <c r="Y3200">
        <v>-8.6027820000000005E-2</v>
      </c>
      <c r="Z3200">
        <v>-8.3196660000000005E-4</v>
      </c>
      <c r="AA3200">
        <v>0.99629239999999997</v>
      </c>
      <c r="AB3200">
        <v>27</v>
      </c>
      <c r="AC3200">
        <v>-37.502699999999997</v>
      </c>
      <c r="AD3200">
        <v>-1.1104090420770001</v>
      </c>
      <c r="AE3200">
        <v>-3.8160999999999401</v>
      </c>
      <c r="AF3200">
        <v>-3.26364318164251</v>
      </c>
      <c r="AG3200">
        <v>-1.1104090420770001</v>
      </c>
      <c r="AH3200">
        <v>37.522006197947299</v>
      </c>
      <c r="AI3200">
        <v>91.688718110508802</v>
      </c>
      <c r="AJ3200">
        <v>94.971044134373301</v>
      </c>
      <c r="AK3200">
        <v>37.680038802748101</v>
      </c>
      <c r="AL3200">
        <v>87.901830476078104</v>
      </c>
      <c r="AM3200">
        <v>88.902881031369006</v>
      </c>
      <c r="AN3200">
        <v>0.99999993691150102</v>
      </c>
    </row>
    <row r="3201" spans="1:40" x14ac:dyDescent="0.25">
      <c r="A3201" t="str">
        <f>"20190312153947962"</f>
        <v>20190312153947962</v>
      </c>
      <c r="B3201" t="str">
        <f>"1552376387949096"</f>
        <v>1552376387949096</v>
      </c>
      <c r="C3201" t="s">
        <v>40</v>
      </c>
      <c r="D3201">
        <v>4.0451309999999996</v>
      </c>
      <c r="E3201">
        <v>0.4606748</v>
      </c>
      <c r="F3201" t="s">
        <v>54</v>
      </c>
      <c r="G3201">
        <v>-494.233</v>
      </c>
      <c r="H3201" s="1">
        <v>2.6111080000000001E-6</v>
      </c>
      <c r="I3201">
        <v>278.67649999999998</v>
      </c>
      <c r="J3201">
        <v>-455.22949999999997</v>
      </c>
      <c r="K3201">
        <v>1.110403</v>
      </c>
      <c r="L3201">
        <v>282.67689999999999</v>
      </c>
      <c r="M3201">
        <v>-0.9997916</v>
      </c>
      <c r="N3201">
        <v>0</v>
      </c>
      <c r="O3201">
        <v>-1.4568350000000001E-2</v>
      </c>
      <c r="P3201">
        <v>-0.99970669999999995</v>
      </c>
      <c r="Q3201">
        <v>2.3946189999999999E-2</v>
      </c>
      <c r="R3201">
        <v>3.6437520000000001E-3</v>
      </c>
      <c r="S3201">
        <v>-3.0040279999999999</v>
      </c>
      <c r="T3201">
        <v>-8.4940310000000005E-2</v>
      </c>
      <c r="U3201">
        <v>-0.30630489999999999</v>
      </c>
      <c r="V3201">
        <v>1.821534E-2</v>
      </c>
      <c r="W3201">
        <v>3.8242850000000002E-2</v>
      </c>
      <c r="X3201">
        <v>0.99910239999999995</v>
      </c>
      <c r="Y3201">
        <v>-8.6904729999999999E-2</v>
      </c>
      <c r="Z3201">
        <v>-8.1448060000000001E-4</v>
      </c>
      <c r="AA3201">
        <v>0.99621630000000005</v>
      </c>
      <c r="AB3201">
        <v>27</v>
      </c>
      <c r="AC3201">
        <v>-39.003500000000003</v>
      </c>
      <c r="AD3201">
        <v>-1.110400388892</v>
      </c>
      <c r="AE3201">
        <v>-4.0004000000000097</v>
      </c>
      <c r="AF3201">
        <v>-3.4289503938583001</v>
      </c>
      <c r="AG3201">
        <v>-1.110400388892</v>
      </c>
      <c r="AH3201">
        <v>39.026343630760103</v>
      </c>
      <c r="AI3201">
        <v>91.623522153224897</v>
      </c>
      <c r="AJ3201">
        <v>95.021253347216799</v>
      </c>
      <c r="AK3201">
        <v>39.192425122890299</v>
      </c>
      <c r="AL3201">
        <v>87.808311559332694</v>
      </c>
      <c r="AM3201">
        <v>88.955515979733207</v>
      </c>
      <c r="AN3201">
        <v>0.99999995993659796</v>
      </c>
    </row>
    <row r="3202" spans="1:40" x14ac:dyDescent="0.25">
      <c r="A3202" t="str">
        <f>"20190312153947985"</f>
        <v>20190312153947985</v>
      </c>
      <c r="B3202" t="str">
        <f>"1552376387979354"</f>
        <v>1552376387979354</v>
      </c>
      <c r="C3202" t="s">
        <v>40</v>
      </c>
      <c r="D3202">
        <v>4.0850059999999999</v>
      </c>
      <c r="E3202">
        <v>0.44218069999999998</v>
      </c>
      <c r="F3202" t="s">
        <v>54</v>
      </c>
      <c r="G3202">
        <v>-497.90120000000002</v>
      </c>
      <c r="H3202" s="1">
        <v>1.8877430000000001E-6</v>
      </c>
      <c r="I3202">
        <v>278.26369999999997</v>
      </c>
      <c r="J3202">
        <v>-455.50040000000001</v>
      </c>
      <c r="K3202">
        <v>1.1103940000000001</v>
      </c>
      <c r="L3202">
        <v>282.673</v>
      </c>
      <c r="M3202">
        <v>-0.99979459999999998</v>
      </c>
      <c r="N3202">
        <v>0</v>
      </c>
      <c r="O3202">
        <v>-1.448175E-2</v>
      </c>
      <c r="P3202">
        <v>-0.99969110000000005</v>
      </c>
      <c r="Q3202">
        <v>2.4748740000000002E-2</v>
      </c>
      <c r="R3202">
        <v>2.315082E-3</v>
      </c>
      <c r="S3202">
        <v>-3.0039060000000002</v>
      </c>
      <c r="T3202">
        <v>-7.8167559999999997E-2</v>
      </c>
      <c r="U3202">
        <v>-0.31066890000000003</v>
      </c>
      <c r="V3202">
        <v>1.6800820000000001E-2</v>
      </c>
      <c r="W3202">
        <v>3.8919460000000003E-2</v>
      </c>
      <c r="X3202">
        <v>0.99910109999999996</v>
      </c>
      <c r="Y3202">
        <v>-8.8431029999999994E-2</v>
      </c>
      <c r="Z3202">
        <v>-7.715857E-4</v>
      </c>
      <c r="AA3202">
        <v>0.99608200000000002</v>
      </c>
      <c r="AB3202">
        <v>27</v>
      </c>
      <c r="AC3202">
        <v>-42.400799999999997</v>
      </c>
      <c r="AD3202">
        <v>-1.110392112257</v>
      </c>
      <c r="AE3202">
        <v>-4.4093000000000302</v>
      </c>
      <c r="AF3202">
        <v>-3.7921651182312699</v>
      </c>
      <c r="AG3202">
        <v>-1.110392112257</v>
      </c>
      <c r="AH3202">
        <v>42.431424874826902</v>
      </c>
      <c r="AI3202">
        <v>91.493088442772802</v>
      </c>
      <c r="AJ3202">
        <v>95.107048239514796</v>
      </c>
      <c r="AK3202">
        <v>42.615012657923401</v>
      </c>
      <c r="AL3202">
        <v>87.769515864374398</v>
      </c>
      <c r="AM3202">
        <v>89.036608648574997</v>
      </c>
      <c r="AN3202">
        <v>0.99999999997028599</v>
      </c>
    </row>
    <row r="3203" spans="1:40" x14ac:dyDescent="0.25">
      <c r="A3203" t="str">
        <f>"20190312153948007"</f>
        <v>20190312153948007</v>
      </c>
      <c r="B3203" t="str">
        <f>"1552376387998873"</f>
        <v>1552376387998873</v>
      </c>
      <c r="C3203" t="s">
        <v>40</v>
      </c>
      <c r="D3203">
        <v>4.0926229999999997</v>
      </c>
      <c r="E3203">
        <v>0.44173180000000001</v>
      </c>
      <c r="F3203" t="s">
        <v>67</v>
      </c>
      <c r="G3203">
        <v>-512.8252</v>
      </c>
      <c r="H3203">
        <v>0.19747700000000001</v>
      </c>
      <c r="I3203">
        <v>273.87569999999999</v>
      </c>
      <c r="J3203">
        <v>-455.76929999999999</v>
      </c>
      <c r="K3203">
        <v>1.110376</v>
      </c>
      <c r="L3203">
        <v>282.66930000000002</v>
      </c>
      <c r="M3203">
        <v>-0.99979759999999995</v>
      </c>
      <c r="N3203">
        <v>0</v>
      </c>
      <c r="O3203">
        <v>-1.438647E-2</v>
      </c>
      <c r="P3203">
        <v>-0.999699</v>
      </c>
      <c r="Q3203">
        <v>2.4492529999999998E-2</v>
      </c>
      <c r="R3203">
        <v>1.5247289999999901E-3</v>
      </c>
      <c r="S3203">
        <v>-3.003174</v>
      </c>
      <c r="T3203">
        <v>-4.7822240000000002E-2</v>
      </c>
      <c r="U3203">
        <v>-0.46087650000000002</v>
      </c>
      <c r="V3203">
        <v>1.5916019999999999E-2</v>
      </c>
      <c r="W3203">
        <v>3.8554480000000002E-2</v>
      </c>
      <c r="X3203">
        <v>0.99912970000000001</v>
      </c>
      <c r="Y3203">
        <v>-0.137435</v>
      </c>
      <c r="Z3203">
        <v>-8.6011970000000003E-4</v>
      </c>
      <c r="AA3203">
        <v>0.99051040000000001</v>
      </c>
      <c r="AB3203">
        <v>27</v>
      </c>
      <c r="AC3203">
        <v>-57.055900000000001</v>
      </c>
      <c r="AD3203">
        <v>-0.91289900000000002</v>
      </c>
      <c r="AE3203">
        <v>-8.7936000000000192</v>
      </c>
      <c r="AF3203">
        <v>-7.9697826385133403</v>
      </c>
      <c r="AG3203">
        <v>-0.91289900000000002</v>
      </c>
      <c r="AH3203">
        <v>57.162221320406502</v>
      </c>
      <c r="AI3203">
        <v>90.906190327188995</v>
      </c>
      <c r="AJ3203">
        <v>97.937237022448699</v>
      </c>
      <c r="AK3203">
        <v>57.7223558612475</v>
      </c>
      <c r="AL3203">
        <v>87.790443302632198</v>
      </c>
      <c r="AM3203">
        <v>89.087362083535297</v>
      </c>
      <c r="AN3203">
        <v>0.999999962521399</v>
      </c>
    </row>
    <row r="3204" spans="1:40" x14ac:dyDescent="0.25">
      <c r="A3204" t="str">
        <f>"20190312153948030"</f>
        <v>20190312153948030</v>
      </c>
      <c r="B3204" t="str">
        <f>"1552376388019368"</f>
        <v>1552376388019368</v>
      </c>
      <c r="C3204" t="s">
        <v>40</v>
      </c>
      <c r="D3204">
        <v>4.0736919999999897</v>
      </c>
      <c r="E3204">
        <v>0.44133139999999998</v>
      </c>
      <c r="F3204" t="s">
        <v>67</v>
      </c>
      <c r="G3204">
        <v>-512.8252</v>
      </c>
      <c r="H3204">
        <v>2.7562980000000001E-2</v>
      </c>
      <c r="I3204">
        <v>273.78769999999997</v>
      </c>
      <c r="J3204">
        <v>-456.03469999999999</v>
      </c>
      <c r="K3204">
        <v>1.1103700000000001</v>
      </c>
      <c r="L3204">
        <v>282.66550000000001</v>
      </c>
      <c r="M3204">
        <v>-0.99980020000000003</v>
      </c>
      <c r="N3204">
        <v>0</v>
      </c>
      <c r="O3204">
        <v>-1.42843E-2</v>
      </c>
      <c r="P3204">
        <v>-0.99970959999999998</v>
      </c>
      <c r="Q3204">
        <v>2.405055E-2</v>
      </c>
      <c r="R3204">
        <v>1.550021E-3</v>
      </c>
      <c r="S3204">
        <v>-3.0030519999999998</v>
      </c>
      <c r="T3204">
        <v>-5.6987879999999998E-2</v>
      </c>
      <c r="U3204">
        <v>-0.4674683</v>
      </c>
      <c r="V3204">
        <v>1.583969E-2</v>
      </c>
      <c r="W3204">
        <v>3.8019850000000001E-2</v>
      </c>
      <c r="X3204">
        <v>0.99915140000000002</v>
      </c>
      <c r="Y3204">
        <v>-0.13965859999999999</v>
      </c>
      <c r="Z3204">
        <v>-1.047711E-3</v>
      </c>
      <c r="AA3204">
        <v>0.9901991</v>
      </c>
      <c r="AB3204">
        <v>27</v>
      </c>
      <c r="AC3204">
        <v>-56.790500000000002</v>
      </c>
      <c r="AD3204">
        <v>-1.08280702</v>
      </c>
      <c r="AE3204">
        <v>-8.8778000000000308</v>
      </c>
      <c r="AF3204">
        <v>-8.0627410055447495</v>
      </c>
      <c r="AG3204">
        <v>-1.08280702</v>
      </c>
      <c r="AH3204">
        <v>56.891341486246603</v>
      </c>
      <c r="AI3204">
        <v>91.079587697784703</v>
      </c>
      <c r="AJ3204">
        <v>98.066340614237006</v>
      </c>
      <c r="AK3204">
        <v>57.470035667900703</v>
      </c>
      <c r="AL3204">
        <v>87.821097823167605</v>
      </c>
      <c r="AM3204">
        <v>89.091757897411298</v>
      </c>
      <c r="AN3204">
        <v>0.999999962447638</v>
      </c>
    </row>
    <row r="3205" spans="1:40" x14ac:dyDescent="0.25">
      <c r="A3205" t="str">
        <f>"20190312153948051"</f>
        <v>20190312153948051</v>
      </c>
      <c r="B3205" t="str">
        <f>"1552376388038887"</f>
        <v>1552376388038887</v>
      </c>
      <c r="C3205" t="s">
        <v>40</v>
      </c>
      <c r="D3205">
        <v>4.0299259999999997</v>
      </c>
      <c r="E3205">
        <v>0.44153759999999997</v>
      </c>
      <c r="F3205" t="s">
        <v>67</v>
      </c>
      <c r="G3205">
        <v>-512.8252</v>
      </c>
      <c r="H3205">
        <v>2.4484570000000001E-2</v>
      </c>
      <c r="I3205">
        <v>273.76459999999997</v>
      </c>
      <c r="J3205">
        <v>-456.2996</v>
      </c>
      <c r="K3205">
        <v>1.1103510000000001</v>
      </c>
      <c r="L3205">
        <v>282.66180000000003</v>
      </c>
      <c r="M3205">
        <v>-0.99980290000000005</v>
      </c>
      <c r="N3205">
        <v>0</v>
      </c>
      <c r="O3205">
        <v>-1.4176499999999899E-2</v>
      </c>
      <c r="P3205">
        <v>-0.99971259999999995</v>
      </c>
      <c r="Q3205">
        <v>2.391399E-2</v>
      </c>
      <c r="R3205">
        <v>1.709733E-3</v>
      </c>
      <c r="S3205">
        <v>-3.0030209999999999</v>
      </c>
      <c r="T3205">
        <v>-5.7416080000000001E-2</v>
      </c>
      <c r="U3205">
        <v>-0.4706726</v>
      </c>
      <c r="V3205">
        <v>1.5892090000000001E-2</v>
      </c>
      <c r="W3205">
        <v>3.7802090000000003E-2</v>
      </c>
      <c r="X3205">
        <v>0.99915889999999996</v>
      </c>
      <c r="Y3205">
        <v>-0.1407977</v>
      </c>
      <c r="Z3205">
        <v>-1.0683769999999999E-3</v>
      </c>
      <c r="AA3205">
        <v>0.99003779999999997</v>
      </c>
      <c r="AB3205">
        <v>27</v>
      </c>
      <c r="AC3205">
        <v>-56.525599999999997</v>
      </c>
      <c r="AD3205">
        <v>-1.08586643</v>
      </c>
      <c r="AE3205">
        <v>-8.8972000000000495</v>
      </c>
      <c r="AF3205">
        <v>-8.0919791555729894</v>
      </c>
      <c r="AG3205">
        <v>-1.08586643</v>
      </c>
      <c r="AH3205">
        <v>56.6256704856238</v>
      </c>
      <c r="AI3205">
        <v>91.087536319606201</v>
      </c>
      <c r="AJ3205">
        <v>98.132678167990207</v>
      </c>
      <c r="AK3205">
        <v>57.211238323466397</v>
      </c>
      <c r="AL3205">
        <v>87.8335836790542</v>
      </c>
      <c r="AM3205">
        <v>89.088760645091398</v>
      </c>
      <c r="AN3205">
        <v>1.00000003199107</v>
      </c>
    </row>
    <row r="3206" spans="1:40" x14ac:dyDescent="0.25">
      <c r="A3206" t="str">
        <f>"20190312153948075"</f>
        <v>20190312153948075</v>
      </c>
      <c r="B3206" t="str">
        <f>"1552376388069144"</f>
        <v>1552376388069144</v>
      </c>
      <c r="C3206" t="s">
        <v>40</v>
      </c>
      <c r="D3206">
        <v>4.0631250000000003</v>
      </c>
      <c r="E3206">
        <v>0.44175500000000001</v>
      </c>
      <c r="F3206" t="s">
        <v>67</v>
      </c>
      <c r="G3206">
        <v>-512.82510000000002</v>
      </c>
      <c r="H3206">
        <v>9.4099040000000002E-3</v>
      </c>
      <c r="I3206">
        <v>273.83969999999999</v>
      </c>
      <c r="J3206">
        <v>-456.56920000000002</v>
      </c>
      <c r="K3206">
        <v>1.110333</v>
      </c>
      <c r="L3206">
        <v>282.65809999999999</v>
      </c>
      <c r="M3206">
        <v>-0.99980559999999996</v>
      </c>
      <c r="N3206">
        <v>0</v>
      </c>
      <c r="O3206">
        <v>-1.406283E-2</v>
      </c>
      <c r="P3206">
        <v>-0.99973849999999997</v>
      </c>
      <c r="Q3206">
        <v>2.2791220000000001E-2</v>
      </c>
      <c r="R3206">
        <v>1.9597239999999999E-3</v>
      </c>
      <c r="S3206">
        <v>-3.0030209999999999</v>
      </c>
      <c r="T3206">
        <v>-5.848503E-2</v>
      </c>
      <c r="U3206">
        <v>-0.46868900000000002</v>
      </c>
      <c r="V3206">
        <v>1.6028899999999999E-2</v>
      </c>
      <c r="W3206">
        <v>3.6607969999999997E-2</v>
      </c>
      <c r="X3206">
        <v>0.99920109999999995</v>
      </c>
      <c r="Y3206">
        <v>-0.14027110000000001</v>
      </c>
      <c r="Z3206">
        <v>-1.0854219999999999E-3</v>
      </c>
      <c r="AA3206">
        <v>0.99011249999999995</v>
      </c>
      <c r="AB3206">
        <v>27</v>
      </c>
      <c r="AC3206">
        <v>-56.255899999999997</v>
      </c>
      <c r="AD3206">
        <v>-1.100923096</v>
      </c>
      <c r="AE3206">
        <v>-8.8183999999999898</v>
      </c>
      <c r="AF3206">
        <v>-8.0233359974155398</v>
      </c>
      <c r="AG3206">
        <v>-1.100923096</v>
      </c>
      <c r="AH3206">
        <v>56.353294828240003</v>
      </c>
      <c r="AI3206">
        <v>91.108022104978104</v>
      </c>
      <c r="AJ3206">
        <v>98.103063795199503</v>
      </c>
      <c r="AK3206">
        <v>56.932238584033101</v>
      </c>
      <c r="AL3206">
        <v>87.902048954627304</v>
      </c>
      <c r="AM3206">
        <v>89.080956221849604</v>
      </c>
      <c r="AN3206">
        <v>0.99999995367196903</v>
      </c>
    </row>
    <row r="3207" spans="1:40" x14ac:dyDescent="0.25">
      <c r="A3207" t="str">
        <f>"20190312153948096"</f>
        <v>20190312153948096</v>
      </c>
      <c r="B3207" t="str">
        <f>"1552376388088667"</f>
        <v>1552376388088667</v>
      </c>
      <c r="C3207" t="s">
        <v>40</v>
      </c>
      <c r="D3207">
        <v>4.1018410000000003</v>
      </c>
      <c r="E3207">
        <v>0.44160270000000001</v>
      </c>
      <c r="F3207" t="s">
        <v>43</v>
      </c>
      <c r="G3207">
        <v>-511.2509</v>
      </c>
      <c r="H3207">
        <v>-0.05</v>
      </c>
      <c r="I3207">
        <v>274.1721</v>
      </c>
      <c r="J3207">
        <v>-456.8338</v>
      </c>
      <c r="K3207">
        <v>1.1103099999999999</v>
      </c>
      <c r="L3207">
        <v>282.65449999999998</v>
      </c>
      <c r="M3207">
        <v>-0.99980800000000003</v>
      </c>
      <c r="N3207">
        <v>0</v>
      </c>
      <c r="O3207">
        <v>-1.394974E-2</v>
      </c>
      <c r="P3207">
        <v>-0.99977669999999996</v>
      </c>
      <c r="Q3207">
        <v>2.101428E-2</v>
      </c>
      <c r="R3207">
        <v>2.282938E-3</v>
      </c>
      <c r="S3207">
        <v>-3.0032040000000002</v>
      </c>
      <c r="T3207">
        <v>-6.372738E-2</v>
      </c>
      <c r="U3207">
        <v>-0.46606449999999999</v>
      </c>
      <c r="V3207">
        <v>1.623931E-2</v>
      </c>
      <c r="W3207">
        <v>3.477094E-2</v>
      </c>
      <c r="X3207">
        <v>0.99926329999999997</v>
      </c>
      <c r="Y3207">
        <v>-0.13952490000000001</v>
      </c>
      <c r="Z3207">
        <v>-1.177216E-3</v>
      </c>
      <c r="AA3207">
        <v>0.99021789999999998</v>
      </c>
      <c r="AB3207">
        <v>27</v>
      </c>
      <c r="AC3207">
        <v>-54.417099999999998</v>
      </c>
      <c r="AD3207">
        <v>-1.16031</v>
      </c>
      <c r="AE3207">
        <v>-8.4823999999999806</v>
      </c>
      <c r="AF3207">
        <v>-7.7189720217081597</v>
      </c>
      <c r="AG3207">
        <v>-1.16031</v>
      </c>
      <c r="AH3207">
        <v>54.505949273433799</v>
      </c>
      <c r="AI3207">
        <v>91.207470645620404</v>
      </c>
      <c r="AJ3207">
        <v>98.060459538963002</v>
      </c>
      <c r="AK3207">
        <v>55.062031878292998</v>
      </c>
      <c r="AL3207">
        <v>88.007370106294104</v>
      </c>
      <c r="AM3207">
        <v>89.068952070183798</v>
      </c>
      <c r="AN3207">
        <v>0.99999993809232202</v>
      </c>
    </row>
    <row r="3208" spans="1:40" x14ac:dyDescent="0.25">
      <c r="A3208" t="str">
        <f>"20190312153948118"</f>
        <v>20190312153948118</v>
      </c>
      <c r="B3208" t="str">
        <f>"1552376388109160"</f>
        <v>1552376388109160</v>
      </c>
      <c r="C3208" t="s">
        <v>40</v>
      </c>
      <c r="D3208">
        <v>4.1100879999999904</v>
      </c>
      <c r="E3208">
        <v>0.4415057</v>
      </c>
      <c r="F3208" t="s">
        <v>54</v>
      </c>
      <c r="G3208">
        <v>-500.63780000000003</v>
      </c>
      <c r="H3208">
        <v>8.0001130000000004E-2</v>
      </c>
      <c r="I3208">
        <v>275.85230000000001</v>
      </c>
      <c r="J3208">
        <v>-457.09300000000002</v>
      </c>
      <c r="K3208">
        <v>1.1102810000000001</v>
      </c>
      <c r="L3208">
        <v>282.65109999999999</v>
      </c>
      <c r="M3208">
        <v>-0.99981019999999998</v>
      </c>
      <c r="N3208">
        <v>0</v>
      </c>
      <c r="O3208">
        <v>-1.3837810000000001E-2</v>
      </c>
      <c r="P3208">
        <v>-0.99978520000000004</v>
      </c>
      <c r="Q3208">
        <v>2.0510839999999999E-2</v>
      </c>
      <c r="R3208">
        <v>2.9673099999999999E-3</v>
      </c>
      <c r="S3208">
        <v>-3.0032350000000001</v>
      </c>
      <c r="T3208">
        <v>-7.0638779999999998E-2</v>
      </c>
      <c r="U3208">
        <v>-0.4663696</v>
      </c>
      <c r="V3208">
        <v>1.6811759999999999E-2</v>
      </c>
      <c r="W3208">
        <v>3.421623E-2</v>
      </c>
      <c r="X3208">
        <v>0.99927310000000003</v>
      </c>
      <c r="Y3208">
        <v>-0.13972609999999999</v>
      </c>
      <c r="Z3208">
        <v>-1.3097989999999999E-3</v>
      </c>
      <c r="AA3208">
        <v>0.99018930000000005</v>
      </c>
      <c r="AB3208">
        <v>27</v>
      </c>
      <c r="AC3208">
        <v>-43.544800000000002</v>
      </c>
      <c r="AD3208">
        <v>-1.03027986999999</v>
      </c>
      <c r="AE3208">
        <v>-6.7987999999999698</v>
      </c>
      <c r="AF3208">
        <v>-6.1921436609300899</v>
      </c>
      <c r="AG3208">
        <v>-1.03027986999999</v>
      </c>
      <c r="AH3208">
        <v>43.6108866123502</v>
      </c>
      <c r="AI3208">
        <v>91.339891368028802</v>
      </c>
      <c r="AJ3208">
        <v>98.081192554352299</v>
      </c>
      <c r="AK3208">
        <v>44.060339885699896</v>
      </c>
      <c r="AL3208">
        <v>88.039171808270297</v>
      </c>
      <c r="AM3208">
        <v>89.036147346769596</v>
      </c>
      <c r="AN3208">
        <v>1.0000000570266501</v>
      </c>
    </row>
    <row r="3209" spans="1:40" x14ac:dyDescent="0.25">
      <c r="A3209" t="str">
        <f>"20190312153948141"</f>
        <v>20190312153948141</v>
      </c>
      <c r="B3209" t="str">
        <f>"1552376388128680"</f>
        <v>1552376388128680</v>
      </c>
      <c r="C3209" t="s">
        <v>40</v>
      </c>
      <c r="D3209">
        <v>4.1159210000000002</v>
      </c>
      <c r="E3209">
        <v>0.4413048</v>
      </c>
      <c r="F3209" t="s">
        <v>54</v>
      </c>
      <c r="G3209">
        <v>-499.95780000000002</v>
      </c>
      <c r="H3209">
        <v>5.0051379999999999E-2</v>
      </c>
      <c r="I3209">
        <v>276.01580000000001</v>
      </c>
      <c r="J3209">
        <v>-457.36099999999999</v>
      </c>
      <c r="K3209">
        <v>1.110269</v>
      </c>
      <c r="L3209">
        <v>282.64749999999998</v>
      </c>
      <c r="M3209">
        <v>-0.99981240000000005</v>
      </c>
      <c r="N3209">
        <v>0</v>
      </c>
      <c r="O3209">
        <v>-1.372282E-2</v>
      </c>
      <c r="P3209">
        <v>-0.99978069999999997</v>
      </c>
      <c r="Q3209">
        <v>2.062783E-2</v>
      </c>
      <c r="R3209">
        <v>3.6503600000000001E-3</v>
      </c>
      <c r="S3209">
        <v>-3.0035400000000001</v>
      </c>
      <c r="T3209">
        <v>-7.429028E-2</v>
      </c>
      <c r="U3209">
        <v>-0.4649353</v>
      </c>
      <c r="V3209">
        <v>1.7379809999999999E-2</v>
      </c>
      <c r="W3209">
        <v>3.4286759999999999E-2</v>
      </c>
      <c r="X3209">
        <v>0.99926090000000001</v>
      </c>
      <c r="Y3209">
        <v>-0.13935939999999999</v>
      </c>
      <c r="Z3209">
        <v>-1.3757159999999999E-3</v>
      </c>
      <c r="AA3209">
        <v>0.99024089999999998</v>
      </c>
      <c r="AB3209">
        <v>27</v>
      </c>
      <c r="AC3209">
        <v>-42.596800000000002</v>
      </c>
      <c r="AD3209">
        <v>-1.06021762</v>
      </c>
      <c r="AE3209">
        <v>-6.6316999999999604</v>
      </c>
      <c r="AF3209">
        <v>-6.04281769580719</v>
      </c>
      <c r="AG3209">
        <v>-1.06021762</v>
      </c>
      <c r="AH3209">
        <v>42.658001413395297</v>
      </c>
      <c r="AI3209">
        <v>91.4096626704833</v>
      </c>
      <c r="AJ3209">
        <v>98.062720569717996</v>
      </c>
      <c r="AK3209">
        <v>43.0969232276708</v>
      </c>
      <c r="AL3209">
        <v>88.035128238784694</v>
      </c>
      <c r="AM3209">
        <v>89.003574172102404</v>
      </c>
      <c r="AN3209">
        <v>0.99999999298787101</v>
      </c>
    </row>
    <row r="3210" spans="1:40" x14ac:dyDescent="0.25">
      <c r="A3210" t="str">
        <f>"20190312153948163"</f>
        <v>20190312153948163</v>
      </c>
      <c r="B3210" t="str">
        <f>"1552376388158953"</f>
        <v>1552376388158953</v>
      </c>
      <c r="C3210" t="s">
        <v>40</v>
      </c>
      <c r="D3210">
        <v>4.0946360000000004</v>
      </c>
      <c r="E3210">
        <v>0.44135609999999997</v>
      </c>
      <c r="F3210" t="s">
        <v>54</v>
      </c>
      <c r="G3210">
        <v>-499.95780000000002</v>
      </c>
      <c r="H3210">
        <v>4.9138840000000003E-2</v>
      </c>
      <c r="I3210">
        <v>276.05579999999998</v>
      </c>
      <c r="J3210">
        <v>-457.62560000000002</v>
      </c>
      <c r="K3210">
        <v>1.110257</v>
      </c>
      <c r="L3210">
        <v>282.64389999999997</v>
      </c>
      <c r="M3210">
        <v>-0.99981450000000005</v>
      </c>
      <c r="N3210">
        <v>0</v>
      </c>
      <c r="O3210">
        <v>-1.3609329999999999E-2</v>
      </c>
      <c r="P3210">
        <v>-0.99974969999999996</v>
      </c>
      <c r="Q3210">
        <v>2.1957290000000001E-2</v>
      </c>
      <c r="R3210">
        <v>4.2959950000000004E-3</v>
      </c>
      <c r="S3210">
        <v>-3.0039060000000002</v>
      </c>
      <c r="T3210">
        <v>-7.483041E-2</v>
      </c>
      <c r="U3210">
        <v>-0.46484379999999997</v>
      </c>
      <c r="V3210">
        <v>1.7911570000000002E-2</v>
      </c>
      <c r="W3210">
        <v>3.5576290000000003E-2</v>
      </c>
      <c r="X3210">
        <v>0.99920640000000005</v>
      </c>
      <c r="Y3210">
        <v>-0.13942349999999901</v>
      </c>
      <c r="Z3210">
        <v>-1.3891540000000001E-3</v>
      </c>
      <c r="AA3210">
        <v>0.99023190000000005</v>
      </c>
      <c r="AB3210">
        <v>27</v>
      </c>
      <c r="AC3210">
        <v>-42.3322</v>
      </c>
      <c r="AD3210">
        <v>-1.0611181599999999</v>
      </c>
      <c r="AE3210">
        <v>-6.5880999999999901</v>
      </c>
      <c r="AF3210">
        <v>-6.0076378626141604</v>
      </c>
      <c r="AG3210">
        <v>-1.0611181599999999</v>
      </c>
      <c r="AH3210">
        <v>42.391940658744403</v>
      </c>
      <c r="AI3210">
        <v>91.419699112349306</v>
      </c>
      <c r="AJ3210">
        <v>98.066045745957496</v>
      </c>
      <c r="AK3210">
        <v>42.828662333212101</v>
      </c>
      <c r="AL3210">
        <v>87.961198427231295</v>
      </c>
      <c r="AM3210">
        <v>88.973037539799094</v>
      </c>
      <c r="AN3210">
        <v>0.99999996327549301</v>
      </c>
    </row>
    <row r="3211" spans="1:40" x14ac:dyDescent="0.25">
      <c r="A3211" t="str">
        <f>"20190312153948186"</f>
        <v>20190312153948186</v>
      </c>
      <c r="B3211" t="str">
        <f>"1552376388179432"</f>
        <v>1552376388179432</v>
      </c>
      <c r="C3211" t="s">
        <v>40</v>
      </c>
      <c r="D3211">
        <v>4.1054279999999999</v>
      </c>
      <c r="E3211">
        <v>0.44146560000000001</v>
      </c>
      <c r="F3211" t="s">
        <v>54</v>
      </c>
      <c r="G3211">
        <v>-501.2944</v>
      </c>
      <c r="H3211">
        <v>8.0000920000000003E-2</v>
      </c>
      <c r="I3211">
        <v>275.9237</v>
      </c>
      <c r="J3211">
        <v>-457.88869999999997</v>
      </c>
      <c r="K3211">
        <v>1.1102529999999999</v>
      </c>
      <c r="L3211">
        <v>282.64049999999997</v>
      </c>
      <c r="M3211">
        <v>-0.9998165</v>
      </c>
      <c r="N3211">
        <v>0</v>
      </c>
      <c r="O3211">
        <v>-1.34973E-2</v>
      </c>
      <c r="P3211">
        <v>-0.99972749999999999</v>
      </c>
      <c r="Q3211">
        <v>2.2886630000000002E-2</v>
      </c>
      <c r="R3211">
        <v>4.6000679999999997E-3</v>
      </c>
      <c r="S3211">
        <v>-3.0043329999999999</v>
      </c>
      <c r="T3211">
        <v>-7.0879819999999996E-2</v>
      </c>
      <c r="U3211">
        <v>-0.46234130000000001</v>
      </c>
      <c r="V3211">
        <v>1.8103370000000001E-2</v>
      </c>
      <c r="W3211">
        <v>3.647073E-2</v>
      </c>
      <c r="X3211">
        <v>0.99917069999999997</v>
      </c>
      <c r="Y3211">
        <v>-0.13871159999999999</v>
      </c>
      <c r="Z3211">
        <v>-1.3100119999999999E-3</v>
      </c>
      <c r="AA3211">
        <v>0.99033190000000004</v>
      </c>
      <c r="AB3211">
        <v>27</v>
      </c>
      <c r="AC3211">
        <v>-43.405700000000003</v>
      </c>
      <c r="AD3211">
        <v>-1.0302520799999999</v>
      </c>
      <c r="AE3211">
        <v>-6.7167999999999699</v>
      </c>
      <c r="AF3211">
        <v>-6.1269031529879996</v>
      </c>
      <c r="AG3211">
        <v>-1.0302520799999999</v>
      </c>
      <c r="AH3211">
        <v>43.468496229625799</v>
      </c>
      <c r="AI3211">
        <v>91.344435662327697</v>
      </c>
      <c r="AJ3211">
        <v>98.023012118722207</v>
      </c>
      <c r="AK3211">
        <v>43.9102553631772</v>
      </c>
      <c r="AL3211">
        <v>87.909917510018204</v>
      </c>
      <c r="AM3211">
        <v>88.962005974394998</v>
      </c>
      <c r="AN3211">
        <v>0.99999996694528903</v>
      </c>
    </row>
    <row r="3212" spans="1:40" x14ac:dyDescent="0.25">
      <c r="A3212" t="str">
        <f>"20190312153948208"</f>
        <v>20190312153948208</v>
      </c>
      <c r="B3212" t="str">
        <f>"1552376388198952"</f>
        <v>1552376388198952</v>
      </c>
      <c r="C3212" t="s">
        <v>40</v>
      </c>
      <c r="D3212">
        <v>4.1400920000000001</v>
      </c>
      <c r="E3212">
        <v>0.44143369999999998</v>
      </c>
      <c r="F3212" t="s">
        <v>54</v>
      </c>
      <c r="G3212">
        <v>-503.57409999999999</v>
      </c>
      <c r="H3212">
        <v>8.0000290000000002E-2</v>
      </c>
      <c r="I3212">
        <v>275.63569999999999</v>
      </c>
      <c r="J3212">
        <v>-458.15499999999997</v>
      </c>
      <c r="K3212">
        <v>1.11025</v>
      </c>
      <c r="L3212">
        <v>282.63709999999998</v>
      </c>
      <c r="M3212">
        <v>-0.99981850000000005</v>
      </c>
      <c r="N3212">
        <v>0</v>
      </c>
      <c r="O3212">
        <v>-1.3384709999999999E-2</v>
      </c>
      <c r="P3212">
        <v>-0.99970829999999999</v>
      </c>
      <c r="Q3212">
        <v>2.3736420000000001E-2</v>
      </c>
      <c r="R3212">
        <v>4.4595759999999998E-3</v>
      </c>
      <c r="S3212">
        <v>-3.0044559999999998</v>
      </c>
      <c r="T3212">
        <v>-6.7753549999999996E-2</v>
      </c>
      <c r="U3212">
        <v>-0.46066279999999998</v>
      </c>
      <c r="V3212">
        <v>1.7850270000000001E-2</v>
      </c>
      <c r="W3212">
        <v>3.7290329999999997E-2</v>
      </c>
      <c r="X3212">
        <v>0.99914499999999995</v>
      </c>
      <c r="Y3212">
        <v>-0.1382796</v>
      </c>
      <c r="Z3212">
        <v>-1.24993E-3</v>
      </c>
      <c r="AA3212">
        <v>0.99039239999999995</v>
      </c>
      <c r="AB3212">
        <v>26</v>
      </c>
      <c r="AC3212">
        <v>-45.4191</v>
      </c>
      <c r="AD3212">
        <v>-1.0302497100000001</v>
      </c>
      <c r="AE3212">
        <v>-7.0013999999999896</v>
      </c>
      <c r="AF3212">
        <v>-6.3895840387071603</v>
      </c>
      <c r="AG3212">
        <v>-1.0302497100000001</v>
      </c>
      <c r="AH3212">
        <v>45.4858904818919</v>
      </c>
      <c r="AI3212">
        <v>91.284909068623605</v>
      </c>
      <c r="AJ3212">
        <v>97.996243628043302</v>
      </c>
      <c r="AK3212">
        <v>45.944035865205798</v>
      </c>
      <c r="AL3212">
        <v>87.862925914865002</v>
      </c>
      <c r="AM3212">
        <v>88.976488555191807</v>
      </c>
      <c r="AN3212">
        <v>0.99999996593778995</v>
      </c>
    </row>
    <row r="3213" spans="1:40" x14ac:dyDescent="0.25">
      <c r="A3213" t="str">
        <f>"20190312153948231"</f>
        <v>20190312153948231</v>
      </c>
      <c r="B3213" t="str">
        <f>"1552376388219447"</f>
        <v>1552376388219447</v>
      </c>
      <c r="C3213" t="s">
        <v>40</v>
      </c>
      <c r="D3213">
        <v>4.1494049999999998</v>
      </c>
      <c r="E3213">
        <v>0.4412838</v>
      </c>
      <c r="F3213" t="s">
        <v>43</v>
      </c>
      <c r="G3213">
        <v>-510.91399999999999</v>
      </c>
      <c r="H3213">
        <v>-0.05</v>
      </c>
      <c r="I3213">
        <v>274.5351</v>
      </c>
      <c r="J3213">
        <v>-458.4246</v>
      </c>
      <c r="K3213">
        <v>1.1102510000000001</v>
      </c>
      <c r="L3213">
        <v>282.6336</v>
      </c>
      <c r="M3213">
        <v>-0.99982040000000005</v>
      </c>
      <c r="N3213">
        <v>0</v>
      </c>
      <c r="O3213">
        <v>-1.327118E-2</v>
      </c>
      <c r="P3213">
        <v>-0.99970210000000004</v>
      </c>
      <c r="Q3213">
        <v>2.3880410000000001E-2</v>
      </c>
      <c r="R3213">
        <v>5.1050319999999998E-3</v>
      </c>
      <c r="S3213">
        <v>-3.0045470000000001</v>
      </c>
      <c r="T3213">
        <v>-6.607449E-2</v>
      </c>
      <c r="U3213">
        <v>-0.46139530000000001</v>
      </c>
      <c r="V3213">
        <v>1.8382389999999998E-2</v>
      </c>
      <c r="W3213">
        <v>3.7407559999999999E-2</v>
      </c>
      <c r="X3213">
        <v>0.99913099999999999</v>
      </c>
      <c r="Y3213">
        <v>-0.13862479999999999</v>
      </c>
      <c r="Z3213">
        <v>-1.225156E-3</v>
      </c>
      <c r="AA3213">
        <v>0.99034420000000001</v>
      </c>
      <c r="AB3213">
        <v>26</v>
      </c>
      <c r="AC3213">
        <v>-52.489399999999897</v>
      </c>
      <c r="AD3213">
        <v>-1.1602509999999999</v>
      </c>
      <c r="AE3213">
        <v>-8.0984999999999996</v>
      </c>
      <c r="AF3213">
        <v>-7.3975961461812796</v>
      </c>
      <c r="AG3213">
        <v>-1.1602509999999999</v>
      </c>
      <c r="AH3213">
        <v>52.567175568619298</v>
      </c>
      <c r="AI3213">
        <v>91.252081083802693</v>
      </c>
      <c r="AJ3213">
        <v>98.010433142650896</v>
      </c>
      <c r="AK3213">
        <v>53.097820655720398</v>
      </c>
      <c r="AL3213">
        <v>87.856204506240402</v>
      </c>
      <c r="AM3213">
        <v>88.945969498944095</v>
      </c>
      <c r="AN3213">
        <v>0.99999999648413196</v>
      </c>
    </row>
    <row r="3214" spans="1:40" x14ac:dyDescent="0.25">
      <c r="A3214" t="str">
        <f>"20190312153948252"</f>
        <v>20190312153948252</v>
      </c>
      <c r="B3214" t="str">
        <f>"1552376388238968"</f>
        <v>1552376388238968</v>
      </c>
      <c r="C3214" t="s">
        <v>40</v>
      </c>
      <c r="D3214">
        <v>4.1754709999999999</v>
      </c>
      <c r="E3214">
        <v>0.44117980000000001</v>
      </c>
      <c r="F3214" t="s">
        <v>54</v>
      </c>
      <c r="G3214">
        <v>-504.85579999999999</v>
      </c>
      <c r="H3214">
        <v>8.0000039999999994E-2</v>
      </c>
      <c r="I3214">
        <v>275.51299999999998</v>
      </c>
      <c r="J3214">
        <v>-458.67950000000002</v>
      </c>
      <c r="K3214">
        <v>1.110276</v>
      </c>
      <c r="L3214">
        <v>282.63029999999998</v>
      </c>
      <c r="M3214">
        <v>-0.99982130000000002</v>
      </c>
      <c r="N3214">
        <v>0</v>
      </c>
      <c r="O3214">
        <v>-1.3167750000000001E-2</v>
      </c>
      <c r="P3214">
        <v>-0.99970619999999999</v>
      </c>
      <c r="Q3214">
        <v>2.3457869999999999E-2</v>
      </c>
      <c r="R3214">
        <v>6.1212280000000003E-3</v>
      </c>
      <c r="S3214">
        <v>-3.0048520000000001</v>
      </c>
      <c r="T3214">
        <v>-6.6673869999999996E-2</v>
      </c>
      <c r="U3214">
        <v>-0.46081539999999999</v>
      </c>
      <c r="V3214">
        <v>1.9294820000000001E-2</v>
      </c>
      <c r="W3214">
        <v>3.7010149999999999E-2</v>
      </c>
      <c r="X3214">
        <v>0.99912860000000003</v>
      </c>
      <c r="Y3214">
        <v>-0.13852490000000001</v>
      </c>
      <c r="Z3214">
        <v>-1.23734E-3</v>
      </c>
      <c r="AA3214">
        <v>0.99035819999999997</v>
      </c>
      <c r="AB3214">
        <v>26</v>
      </c>
      <c r="AC3214">
        <v>-46.176299999999898</v>
      </c>
      <c r="AD3214">
        <v>-1.03027596</v>
      </c>
      <c r="AE3214">
        <v>-7.1173000000000002</v>
      </c>
      <c r="AF3214">
        <v>-6.5054255585003604</v>
      </c>
      <c r="AG3214">
        <v>-1.03027596</v>
      </c>
      <c r="AH3214">
        <v>46.243536733615699</v>
      </c>
      <c r="AI3214">
        <v>91.263860964635199</v>
      </c>
      <c r="AJ3214">
        <v>98.007679042814601</v>
      </c>
      <c r="AK3214">
        <v>46.710242130438701</v>
      </c>
      <c r="AL3214">
        <v>87.878990209173693</v>
      </c>
      <c r="AM3214">
        <v>88.893661583256105</v>
      </c>
      <c r="AN3214">
        <v>1.0000000003099001</v>
      </c>
    </row>
    <row r="3215" spans="1:40" x14ac:dyDescent="0.25">
      <c r="A3215" t="str">
        <f>"20190312153948275"</f>
        <v>20190312153948275</v>
      </c>
      <c r="B3215" t="str">
        <f>"1552376388269228"</f>
        <v>1552376388269228</v>
      </c>
      <c r="C3215" t="s">
        <v>40</v>
      </c>
      <c r="D3215">
        <v>4.179119</v>
      </c>
      <c r="E3215">
        <v>0.44115589999999999</v>
      </c>
      <c r="F3215" t="s">
        <v>54</v>
      </c>
      <c r="G3215">
        <v>-503.4015</v>
      </c>
      <c r="H3215">
        <v>8.0000310000000005E-2</v>
      </c>
      <c r="I3215">
        <v>275.80560000000003</v>
      </c>
      <c r="J3215">
        <v>-458.94260000000003</v>
      </c>
      <c r="K3215">
        <v>1.1103700000000001</v>
      </c>
      <c r="L3215">
        <v>282.62700000000001</v>
      </c>
      <c r="M3215">
        <v>-0.99981889999999995</v>
      </c>
      <c r="N3215">
        <v>0</v>
      </c>
      <c r="O3215">
        <v>-1.306219E-2</v>
      </c>
      <c r="P3215">
        <v>-0.99968800000000002</v>
      </c>
      <c r="Q3215">
        <v>2.413328E-2</v>
      </c>
      <c r="R3215">
        <v>6.4531190000000002E-3</v>
      </c>
      <c r="S3215">
        <v>-3.00528</v>
      </c>
      <c r="T3215">
        <v>-6.9233779999999995E-2</v>
      </c>
      <c r="U3215">
        <v>-0.45861819999999998</v>
      </c>
      <c r="V3215">
        <v>1.9520969999999999E-2</v>
      </c>
      <c r="W3215">
        <v>3.7959819999999998E-2</v>
      </c>
      <c r="X3215">
        <v>0.99908859999999999</v>
      </c>
      <c r="Y3215">
        <v>-0.13789849999999901</v>
      </c>
      <c r="Z3215">
        <v>-1.2799669999999999E-3</v>
      </c>
      <c r="AA3215">
        <v>0.99044560000000004</v>
      </c>
      <c r="AB3215">
        <v>26</v>
      </c>
      <c r="AC3215">
        <v>-44.4588999999999</v>
      </c>
      <c r="AD3215">
        <v>-1.0303696899999999</v>
      </c>
      <c r="AE3215">
        <v>-6.8213999999999801</v>
      </c>
      <c r="AF3215">
        <v>-6.2367588803366099</v>
      </c>
      <c r="AG3215">
        <v>-1.0303696899999999</v>
      </c>
      <c r="AH3215">
        <v>44.520854356545101</v>
      </c>
      <c r="AI3215">
        <v>91.312974012428995</v>
      </c>
      <c r="AJ3215">
        <v>97.974456276774106</v>
      </c>
      <c r="AK3215">
        <v>44.967380351386197</v>
      </c>
      <c r="AL3215">
        <v>87.824539906319401</v>
      </c>
      <c r="AM3215">
        <v>88.880652931849099</v>
      </c>
      <c r="AN3215">
        <v>1.0000000234270601</v>
      </c>
    </row>
    <row r="3216" spans="1:40" x14ac:dyDescent="0.25">
      <c r="A3216" t="str">
        <f>"20190312153948298"</f>
        <v>20190312153948298</v>
      </c>
      <c r="B3216" t="str">
        <f>"1552376388288744"</f>
        <v>1552376388288744</v>
      </c>
      <c r="C3216" t="s">
        <v>40</v>
      </c>
      <c r="D3216">
        <v>4.2161400000000002</v>
      </c>
      <c r="E3216">
        <v>0.44107970000000002</v>
      </c>
      <c r="F3216" t="s">
        <v>43</v>
      </c>
      <c r="G3216">
        <v>-510.93110000000001</v>
      </c>
      <c r="H3216">
        <v>-0.05</v>
      </c>
      <c r="I3216">
        <v>274.71069999999997</v>
      </c>
      <c r="J3216">
        <v>-459.21039999999999</v>
      </c>
      <c r="K3216">
        <v>1.1105210000000001</v>
      </c>
      <c r="L3216">
        <v>282.62360000000001</v>
      </c>
      <c r="M3216">
        <v>-0.99981260000000005</v>
      </c>
      <c r="N3216">
        <v>0</v>
      </c>
      <c r="O3216">
        <v>-1.2950089999999999E-2</v>
      </c>
      <c r="P3216">
        <v>-0.99966259999999996</v>
      </c>
      <c r="Q3216">
        <v>2.53298E-2</v>
      </c>
      <c r="R3216">
        <v>5.7818610000000001E-3</v>
      </c>
      <c r="S3216">
        <v>-3.005493</v>
      </c>
      <c r="T3216">
        <v>-6.7081810000000006E-2</v>
      </c>
      <c r="U3216">
        <v>-0.45764159999999998</v>
      </c>
      <c r="V3216">
        <v>1.873783E-2</v>
      </c>
      <c r="W3216">
        <v>3.9713730000000003E-2</v>
      </c>
      <c r="X3216">
        <v>0.99903540000000002</v>
      </c>
      <c r="Y3216">
        <v>-0.13768649999999999</v>
      </c>
      <c r="Z3216">
        <v>-1.240267E-3</v>
      </c>
      <c r="AA3216">
        <v>0.99047510000000005</v>
      </c>
      <c r="AB3216">
        <v>26</v>
      </c>
      <c r="AC3216">
        <v>-51.720700000000001</v>
      </c>
      <c r="AD3216">
        <v>-1.1605209999999999</v>
      </c>
      <c r="AE3216">
        <v>-7.9129000000000298</v>
      </c>
      <c r="AF3216">
        <v>-7.23881804352507</v>
      </c>
      <c r="AG3216">
        <v>-1.1605209999999999</v>
      </c>
      <c r="AH3216">
        <v>51.793365180023002</v>
      </c>
      <c r="AI3216">
        <v>91.271245463271697</v>
      </c>
      <c r="AJ3216">
        <v>97.956315707699602</v>
      </c>
      <c r="AK3216">
        <v>52.309654676072299</v>
      </c>
      <c r="AL3216">
        <v>87.723972349797805</v>
      </c>
      <c r="AM3216">
        <v>88.925490817461807</v>
      </c>
      <c r="AN3216">
        <v>1.00000000853839</v>
      </c>
    </row>
    <row r="3217" spans="1:40" x14ac:dyDescent="0.25">
      <c r="A3217" t="str">
        <f>"20190312153948319"</f>
        <v>20190312153948319</v>
      </c>
      <c r="B3217" t="str">
        <f>"1552376388309240"</f>
        <v>1552376388309240</v>
      </c>
      <c r="C3217" t="s">
        <v>40</v>
      </c>
      <c r="D3217">
        <v>4.2199479999999996</v>
      </c>
      <c r="E3217">
        <v>0.44102219999999998</v>
      </c>
      <c r="F3217" t="s">
        <v>67</v>
      </c>
      <c r="G3217">
        <v>-512.82510000000002</v>
      </c>
      <c r="H3217">
        <v>-2.3437110000000001E-2</v>
      </c>
      <c r="I3217">
        <v>274.41500000000002</v>
      </c>
      <c r="J3217">
        <v>-459.46120000000002</v>
      </c>
      <c r="K3217">
        <v>1.110654</v>
      </c>
      <c r="L3217">
        <v>282.62040000000002</v>
      </c>
      <c r="M3217">
        <v>-0.99980460000000004</v>
      </c>
      <c r="N3217">
        <v>0</v>
      </c>
      <c r="O3217">
        <v>-1.284305E-2</v>
      </c>
      <c r="P3217">
        <v>-0.99966869999999997</v>
      </c>
      <c r="Q3217">
        <v>2.5344189999999999E-2</v>
      </c>
      <c r="R3217">
        <v>4.5266059999999999E-3</v>
      </c>
      <c r="S3217">
        <v>-3.00528</v>
      </c>
      <c r="T3217">
        <v>-6.3557390000000005E-2</v>
      </c>
      <c r="U3217">
        <v>-0.46011350000000001</v>
      </c>
      <c r="V3217">
        <v>1.737578E-2</v>
      </c>
      <c r="W3217">
        <v>4.0358379999999999E-2</v>
      </c>
      <c r="X3217">
        <v>0.99903419999999998</v>
      </c>
      <c r="Y3217">
        <v>-0.138601799999999</v>
      </c>
      <c r="Z3217">
        <v>-1.1869980000000001E-3</v>
      </c>
      <c r="AA3217">
        <v>0.99034750000000005</v>
      </c>
      <c r="AB3217">
        <v>26</v>
      </c>
      <c r="AC3217">
        <v>-53.363900000000001</v>
      </c>
      <c r="AD3217">
        <v>-1.13409111</v>
      </c>
      <c r="AE3217">
        <v>-8.2053999999999903</v>
      </c>
      <c r="AF3217">
        <v>-7.5159742966249103</v>
      </c>
      <c r="AG3217">
        <v>-1.13409111</v>
      </c>
      <c r="AH3217">
        <v>53.441312847648902</v>
      </c>
      <c r="AI3217">
        <v>91.203861136051401</v>
      </c>
      <c r="AJ3217">
        <v>98.005559070855597</v>
      </c>
      <c r="AK3217">
        <v>53.979162193883603</v>
      </c>
      <c r="AL3217">
        <v>87.687007025029104</v>
      </c>
      <c r="AM3217">
        <v>89.003579164896095</v>
      </c>
      <c r="AN3217">
        <v>1.0000000246682299</v>
      </c>
    </row>
    <row r="3218" spans="1:40" x14ac:dyDescent="0.25">
      <c r="A3218" t="str">
        <f>"20190312153948341"</f>
        <v>20190312153948341</v>
      </c>
      <c r="B3218" t="str">
        <f>"1552376388328760"</f>
        <v>1552376388328760</v>
      </c>
      <c r="C3218" t="s">
        <v>40</v>
      </c>
      <c r="D3218">
        <v>4.2178649999999998</v>
      </c>
      <c r="E3218">
        <v>0.44087720000000002</v>
      </c>
      <c r="F3218" t="s">
        <v>67</v>
      </c>
      <c r="G3218">
        <v>-512.82510000000002</v>
      </c>
      <c r="H3218">
        <v>-2.859768E-2</v>
      </c>
      <c r="I3218">
        <v>274.37389999999999</v>
      </c>
      <c r="J3218">
        <v>-459.71660000000003</v>
      </c>
      <c r="K3218">
        <v>1.1107830000000001</v>
      </c>
      <c r="L3218">
        <v>282.6173</v>
      </c>
      <c r="M3218">
        <v>-0.99979510000000005</v>
      </c>
      <c r="N3218">
        <v>0</v>
      </c>
      <c r="O3218">
        <v>-1.2735700000000001E-2</v>
      </c>
      <c r="P3218">
        <v>-0.99969350000000001</v>
      </c>
      <c r="Q3218">
        <v>2.4598740000000001E-2</v>
      </c>
      <c r="R3218">
        <v>2.850965E-3</v>
      </c>
      <c r="S3218">
        <v>-3.0047000000000001</v>
      </c>
      <c r="T3218">
        <v>-6.4141749999999997E-2</v>
      </c>
      <c r="U3218">
        <v>-0.46432499999999999</v>
      </c>
      <c r="V3218">
        <v>1.5593340000000001E-2</v>
      </c>
      <c r="W3218">
        <v>4.0321679999999999E-2</v>
      </c>
      <c r="X3218">
        <v>0.99906499999999998</v>
      </c>
      <c r="Y3218">
        <v>-0.14009160000000001</v>
      </c>
      <c r="Z3218">
        <v>-1.2160910000000001E-3</v>
      </c>
      <c r="AA3218">
        <v>0.99013779999999996</v>
      </c>
      <c r="AB3218">
        <v>26</v>
      </c>
      <c r="AC3218">
        <v>-53.1084999999999</v>
      </c>
      <c r="AD3218">
        <v>-1.1393806799999999</v>
      </c>
      <c r="AE3218">
        <v>-8.2433999999999994</v>
      </c>
      <c r="AF3218">
        <v>-7.5628745672219102</v>
      </c>
      <c r="AG3218">
        <v>-1.1393806799999999</v>
      </c>
      <c r="AH3218">
        <v>53.185286656575499</v>
      </c>
      <c r="AI3218">
        <v>91.215032398444805</v>
      </c>
      <c r="AJ3218">
        <v>98.093123192783906</v>
      </c>
      <c r="AK3218">
        <v>53.732392248955399</v>
      </c>
      <c r="AL3218">
        <v>87.689111279250696</v>
      </c>
      <c r="AM3218">
        <v>89.105803894510302</v>
      </c>
      <c r="AN3218">
        <v>0.99999993217768601</v>
      </c>
    </row>
    <row r="3219" spans="1:40" x14ac:dyDescent="0.25">
      <c r="A3219" t="str">
        <f>"20190312153948364"</f>
        <v>20190312153948364</v>
      </c>
      <c r="B3219" t="str">
        <f>"1552376388359016"</f>
        <v>1552376388359016</v>
      </c>
      <c r="C3219" t="s">
        <v>40</v>
      </c>
      <c r="D3219">
        <v>4.2452889999999996</v>
      </c>
      <c r="E3219">
        <v>0.44060349999999998</v>
      </c>
      <c r="F3219" t="s">
        <v>43</v>
      </c>
      <c r="G3219">
        <v>-511.75439999999998</v>
      </c>
      <c r="H3219">
        <v>-0.05</v>
      </c>
      <c r="I3219">
        <v>274.46780000000001</v>
      </c>
      <c r="J3219">
        <v>-459.9742</v>
      </c>
      <c r="K3219">
        <v>1.1109059999999999</v>
      </c>
      <c r="L3219">
        <v>282.61410000000001</v>
      </c>
      <c r="M3219">
        <v>-0.99978409999999995</v>
      </c>
      <c r="N3219">
        <v>0</v>
      </c>
      <c r="O3219">
        <v>-1.263041E-2</v>
      </c>
      <c r="P3219">
        <v>-0.99971209999999999</v>
      </c>
      <c r="Q3219">
        <v>2.3914899999999999E-2</v>
      </c>
      <c r="R3219">
        <v>2.021007E-3</v>
      </c>
      <c r="S3219">
        <v>-3.003876</v>
      </c>
      <c r="T3219">
        <v>-6.7005990000000001E-2</v>
      </c>
      <c r="U3219">
        <v>-0.47042850000000003</v>
      </c>
      <c r="V3219">
        <v>1.465873E-2</v>
      </c>
      <c r="W3219">
        <v>4.0411259999999997E-2</v>
      </c>
      <c r="X3219">
        <v>0.99907559999999995</v>
      </c>
      <c r="Y3219">
        <v>-0.1421975</v>
      </c>
      <c r="Z3219">
        <v>-1.2962029999999999E-3</v>
      </c>
      <c r="AA3219">
        <v>0.98983750000000004</v>
      </c>
      <c r="AB3219">
        <v>26</v>
      </c>
      <c r="AC3219">
        <v>-51.780199999999901</v>
      </c>
      <c r="AD3219">
        <v>-1.160906</v>
      </c>
      <c r="AE3219">
        <v>-8.1462999999999894</v>
      </c>
      <c r="AF3219">
        <v>-7.4878829408545498</v>
      </c>
      <c r="AG3219">
        <v>-1.160906</v>
      </c>
      <c r="AH3219">
        <v>51.853538945795499</v>
      </c>
      <c r="AI3219">
        <v>91.269371351656503</v>
      </c>
      <c r="AJ3219">
        <v>98.216965821888095</v>
      </c>
      <c r="AK3219">
        <v>52.404251687052202</v>
      </c>
      <c r="AL3219">
        <v>87.683974696653195</v>
      </c>
      <c r="AM3219">
        <v>89.159399848376196</v>
      </c>
      <c r="AN3219">
        <v>1.00000000140768</v>
      </c>
    </row>
    <row r="3220" spans="1:40" x14ac:dyDescent="0.25">
      <c r="A3220" t="str">
        <f>"20190312153948387"</f>
        <v>20190312153948387</v>
      </c>
      <c r="B3220" t="str">
        <f>"1552376388378536"</f>
        <v>1552376388378536</v>
      </c>
      <c r="C3220" t="s">
        <v>40</v>
      </c>
      <c r="D3220">
        <v>4.2880190000000002</v>
      </c>
      <c r="E3220">
        <v>0.44047520000000001</v>
      </c>
      <c r="F3220" t="s">
        <v>54</v>
      </c>
      <c r="G3220">
        <v>-504.27820000000003</v>
      </c>
      <c r="H3220">
        <v>8.0000119999999994E-2</v>
      </c>
      <c r="I3220">
        <v>275.6053</v>
      </c>
      <c r="J3220">
        <v>-460.23079999999999</v>
      </c>
      <c r="K3220">
        <v>1.111035</v>
      </c>
      <c r="L3220">
        <v>282.61099999999999</v>
      </c>
      <c r="M3220">
        <v>-0.99977059999999995</v>
      </c>
      <c r="N3220">
        <v>0</v>
      </c>
      <c r="O3220">
        <v>-1.252724E-2</v>
      </c>
      <c r="P3220">
        <v>-0.999726</v>
      </c>
      <c r="Q3220">
        <v>2.3394160000000001E-2</v>
      </c>
      <c r="R3220">
        <v>9.6149790000000005E-4</v>
      </c>
      <c r="S3220">
        <v>-3.0035400000000001</v>
      </c>
      <c r="T3220">
        <v>-6.9889069999999998E-2</v>
      </c>
      <c r="U3220">
        <v>-0.47515869999999999</v>
      </c>
      <c r="V3220">
        <v>1.349653E-2</v>
      </c>
      <c r="W3220">
        <v>4.076478E-2</v>
      </c>
      <c r="X3220">
        <v>0.99907760000000001</v>
      </c>
      <c r="Y3220">
        <v>-0.1438342</v>
      </c>
      <c r="Z3220">
        <v>-1.373247E-3</v>
      </c>
      <c r="AA3220">
        <v>0.98960079999999995</v>
      </c>
      <c r="AB3220">
        <v>26</v>
      </c>
      <c r="AC3220">
        <v>-44.047400000000003</v>
      </c>
      <c r="AD3220">
        <v>-1.03103488</v>
      </c>
      <c r="AE3220">
        <v>-7.0056999999999903</v>
      </c>
      <c r="AF3220">
        <v>-6.4498277542536204</v>
      </c>
      <c r="AG3220">
        <v>-1.03103488</v>
      </c>
      <c r="AH3220">
        <v>44.108147074495101</v>
      </c>
      <c r="AI3220">
        <v>91.324968468950104</v>
      </c>
      <c r="AJ3220">
        <v>98.319262186243293</v>
      </c>
      <c r="AK3220">
        <v>44.589146093288399</v>
      </c>
      <c r="AL3220">
        <v>87.6637027547022</v>
      </c>
      <c r="AM3220">
        <v>89.226038926299793</v>
      </c>
      <c r="AN3220">
        <v>0.99999998721612404</v>
      </c>
    </row>
    <row r="3221" spans="1:40" x14ac:dyDescent="0.25">
      <c r="A3221" t="str">
        <f>"20190312153948400"</f>
        <v>20190312153948400</v>
      </c>
      <c r="B3221" t="str">
        <f>"1552376388389272"</f>
        <v>1552376388389272</v>
      </c>
      <c r="C3221" t="s">
        <v>40</v>
      </c>
      <c r="D3221">
        <v>4.2637</v>
      </c>
      <c r="E3221">
        <v>0.4403957</v>
      </c>
      <c r="F3221" t="s">
        <v>54</v>
      </c>
      <c r="G3221">
        <v>-502.90910000000002</v>
      </c>
      <c r="H3221">
        <v>8.0000459999999995E-2</v>
      </c>
      <c r="I3221">
        <v>275.7978</v>
      </c>
      <c r="J3221">
        <v>-460.39069999999998</v>
      </c>
      <c r="K3221">
        <v>1.1111279999999999</v>
      </c>
      <c r="L3221">
        <v>282.60910000000001</v>
      </c>
      <c r="M3221">
        <v>-0.99976080000000001</v>
      </c>
      <c r="N3221">
        <v>0</v>
      </c>
      <c r="O3221">
        <v>-1.2462279999999999E-2</v>
      </c>
      <c r="P3221">
        <v>-0.99972700000000003</v>
      </c>
      <c r="Q3221">
        <v>2.336216E-2</v>
      </c>
      <c r="R3221">
        <v>5.7582529999999996E-4</v>
      </c>
      <c r="S3221">
        <v>-3.0029910000000002</v>
      </c>
      <c r="T3221">
        <v>-7.2547199999999895E-2</v>
      </c>
      <c r="U3221">
        <v>-0.47940060000000001</v>
      </c>
      <c r="V3221">
        <v>1.3046230000000001E-2</v>
      </c>
      <c r="W3221">
        <v>4.1326979999999999E-2</v>
      </c>
      <c r="X3221">
        <v>0.99906050000000002</v>
      </c>
      <c r="Y3221">
        <v>-0.14528640000000001</v>
      </c>
      <c r="Z3221">
        <v>-1.4445479999999999E-3</v>
      </c>
      <c r="AA3221">
        <v>0.98938859999999995</v>
      </c>
      <c r="AB3221">
        <v>25</v>
      </c>
      <c r="AC3221">
        <v>-42.5184</v>
      </c>
      <c r="AD3221">
        <v>-1.03112754</v>
      </c>
      <c r="AE3221">
        <v>-6.8113000000000099</v>
      </c>
      <c r="AF3221">
        <v>-6.2772096483148099</v>
      </c>
      <c r="AG3221">
        <v>-1.03112754</v>
      </c>
      <c r="AH3221">
        <v>42.575581791331999</v>
      </c>
      <c r="AI3221">
        <v>91.372529381560796</v>
      </c>
      <c r="AJ3221">
        <v>98.387085771818207</v>
      </c>
      <c r="AK3221">
        <v>43.048191017080498</v>
      </c>
      <c r="AL3221">
        <v>87.631463935204494</v>
      </c>
      <c r="AM3221">
        <v>89.251845675754794</v>
      </c>
      <c r="AN3221">
        <v>1.00000000302669</v>
      </c>
    </row>
    <row r="3222" spans="1:40" x14ac:dyDescent="0.25">
      <c r="A3222" t="str">
        <f>"20190312153948413"</f>
        <v>20190312153948413</v>
      </c>
      <c r="B3222" t="str">
        <f>"1552376388408793"</f>
        <v>1552376388408793</v>
      </c>
      <c r="C3222" t="s">
        <v>40</v>
      </c>
      <c r="D3222">
        <v>4.2624490000000002</v>
      </c>
      <c r="E3222">
        <v>0.44022309999999998</v>
      </c>
      <c r="F3222" t="s">
        <v>54</v>
      </c>
      <c r="G3222">
        <v>-502.71870000000001</v>
      </c>
      <c r="H3222">
        <v>8.0000500000000002E-2</v>
      </c>
      <c r="I3222">
        <v>275.82769999999999</v>
      </c>
      <c r="J3222">
        <v>-460.53300000000002</v>
      </c>
      <c r="K3222">
        <v>1.111216</v>
      </c>
      <c r="L3222">
        <v>282.60739999999998</v>
      </c>
      <c r="M3222">
        <v>-0.99975130000000001</v>
      </c>
      <c r="N3222">
        <v>0</v>
      </c>
      <c r="O3222">
        <v>-1.2403849999999999E-2</v>
      </c>
      <c r="P3222">
        <v>-0.99973559999999995</v>
      </c>
      <c r="Q3222">
        <v>2.2996559999999999E-2</v>
      </c>
      <c r="R3222">
        <v>2.5886699999999997E-4</v>
      </c>
      <c r="S3222">
        <v>-3.0028079999999999</v>
      </c>
      <c r="T3222">
        <v>-7.3149560000000002E-2</v>
      </c>
      <c r="U3222">
        <v>-0.48107909999999998</v>
      </c>
      <c r="V3222">
        <v>1.2671109999999999E-2</v>
      </c>
      <c r="W3222">
        <v>4.1518979999999997E-2</v>
      </c>
      <c r="X3222">
        <v>0.99905739999999998</v>
      </c>
      <c r="Y3222">
        <v>-0.14589189999999999</v>
      </c>
      <c r="Z3222">
        <v>-1.465301E-3</v>
      </c>
      <c r="AA3222">
        <v>0.9892995</v>
      </c>
      <c r="AB3222">
        <v>25</v>
      </c>
      <c r="AC3222">
        <v>-42.185699999999997</v>
      </c>
      <c r="AD3222">
        <v>-1.0312155000000001</v>
      </c>
      <c r="AE3222">
        <v>-6.7796999999999903</v>
      </c>
      <c r="AF3222">
        <v>-6.2521813914894997</v>
      </c>
      <c r="AG3222">
        <v>-1.0312155000000001</v>
      </c>
      <c r="AH3222">
        <v>42.241956517929701</v>
      </c>
      <c r="AI3222">
        <v>91.3833689835906</v>
      </c>
      <c r="AJ3222">
        <v>98.419156402263496</v>
      </c>
      <c r="AK3222">
        <v>42.714588468369897</v>
      </c>
      <c r="AL3222">
        <v>87.620453773048197</v>
      </c>
      <c r="AM3222">
        <v>89.273352862118998</v>
      </c>
      <c r="AN3222">
        <v>1.0000000356118099</v>
      </c>
    </row>
    <row r="3223" spans="1:40" x14ac:dyDescent="0.25">
      <c r="A3223" t="str">
        <f>"20190312153948432"</f>
        <v>20190312153948432</v>
      </c>
      <c r="B3223" t="str">
        <f>"1552376388418552"</f>
        <v>1552376388418552</v>
      </c>
      <c r="C3223" t="s">
        <v>40</v>
      </c>
      <c r="D3223">
        <v>4.2787300000000004</v>
      </c>
      <c r="E3223">
        <v>0.44015939999999998</v>
      </c>
      <c r="F3223" t="s">
        <v>54</v>
      </c>
      <c r="G3223">
        <v>-501.47050000000002</v>
      </c>
      <c r="H3223">
        <v>8.0000859999999993E-2</v>
      </c>
      <c r="I3223">
        <v>276.01650000000001</v>
      </c>
      <c r="J3223">
        <v>-460.72320000000002</v>
      </c>
      <c r="K3223">
        <v>1.1113280000000001</v>
      </c>
      <c r="L3223">
        <v>282.60509999999999</v>
      </c>
      <c r="M3223">
        <v>-0.9997376</v>
      </c>
      <c r="N3223">
        <v>0</v>
      </c>
      <c r="O3223">
        <v>-1.23248E-2</v>
      </c>
      <c r="P3223">
        <v>-0.99974249999999998</v>
      </c>
      <c r="Q3223">
        <v>2.268127E-2</v>
      </c>
      <c r="R3223">
        <v>3.3465120000000001E-4</v>
      </c>
      <c r="S3223">
        <v>-3.0027159999999999</v>
      </c>
      <c r="T3223">
        <v>-7.5638410000000003E-2</v>
      </c>
      <c r="U3223">
        <v>-0.483429</v>
      </c>
      <c r="V3223">
        <v>1.266786E-2</v>
      </c>
      <c r="W3223">
        <v>4.1973009999999998E-2</v>
      </c>
      <c r="X3223">
        <v>0.99903850000000005</v>
      </c>
      <c r="Y3223">
        <v>-0.14672639999999901</v>
      </c>
      <c r="Z3223">
        <v>-1.5275079999999999E-3</v>
      </c>
      <c r="AA3223">
        <v>0.9891759</v>
      </c>
      <c r="AB3223">
        <v>25</v>
      </c>
      <c r="AC3223">
        <v>-40.747300000000003</v>
      </c>
      <c r="AD3223">
        <v>-1.0313271399999999</v>
      </c>
      <c r="AE3223">
        <v>-6.58859999999998</v>
      </c>
      <c r="AF3223">
        <v>-6.0820064837204004</v>
      </c>
      <c r="AG3223">
        <v>-1.0313271399999999</v>
      </c>
      <c r="AH3223">
        <v>40.7999512675879</v>
      </c>
      <c r="AI3223">
        <v>91.432176204167405</v>
      </c>
      <c r="AJ3223">
        <v>98.478587926200404</v>
      </c>
      <c r="AK3223">
        <v>41.263670001288901</v>
      </c>
      <c r="AL3223">
        <v>87.594417147662</v>
      </c>
      <c r="AM3223">
        <v>89.273525477270994</v>
      </c>
      <c r="AN3223">
        <v>1.00000006636384</v>
      </c>
    </row>
    <row r="3224" spans="1:40" x14ac:dyDescent="0.25">
      <c r="A3224" t="str">
        <f>"20190312153948454"</f>
        <v>20190312153948454</v>
      </c>
      <c r="B3224" t="str">
        <f>"1552376388449310"</f>
        <v>1552376388449310</v>
      </c>
      <c r="C3224" t="s">
        <v>40</v>
      </c>
      <c r="D3224">
        <v>4.2847689999999998</v>
      </c>
      <c r="E3224">
        <v>0.43993559999999998</v>
      </c>
      <c r="F3224" t="s">
        <v>54</v>
      </c>
      <c r="G3224">
        <v>-500.83530000000002</v>
      </c>
      <c r="H3224">
        <v>8.0001009999999997E-2</v>
      </c>
      <c r="I3224">
        <v>276.14350000000002</v>
      </c>
      <c r="J3224">
        <v>-460.96980000000002</v>
      </c>
      <c r="K3224">
        <v>1.111472</v>
      </c>
      <c r="L3224">
        <v>282.60210000000001</v>
      </c>
      <c r="M3224">
        <v>-0.9997182</v>
      </c>
      <c r="N3224">
        <v>0</v>
      </c>
      <c r="O3224">
        <v>-1.2223019999999999E-2</v>
      </c>
      <c r="P3224">
        <v>-0.99977249999999995</v>
      </c>
      <c r="Q3224">
        <v>2.1322959999999998E-2</v>
      </c>
      <c r="R3224">
        <v>3.7808699999999999E-4</v>
      </c>
      <c r="S3224">
        <v>-3.0027159999999999</v>
      </c>
      <c r="T3224">
        <v>-7.7203040000000001E-2</v>
      </c>
      <c r="U3224">
        <v>-0.48370360000000001</v>
      </c>
      <c r="V3224">
        <v>1.260995E-2</v>
      </c>
      <c r="W3224">
        <v>4.1658569999999999E-2</v>
      </c>
      <c r="X3224">
        <v>0.9990523</v>
      </c>
      <c r="Y3224">
        <v>-0.146913299999999</v>
      </c>
      <c r="Z3224">
        <v>-1.564062E-3</v>
      </c>
      <c r="AA3224">
        <v>0.98914809999999997</v>
      </c>
      <c r="AB3224">
        <v>25</v>
      </c>
      <c r="AC3224">
        <v>-39.865499999999997</v>
      </c>
      <c r="AD3224">
        <v>-1.0314709900000001</v>
      </c>
      <c r="AE3224">
        <v>-6.4585999999999899</v>
      </c>
      <c r="AF3224">
        <v>-5.9668472312020997</v>
      </c>
      <c r="AG3224">
        <v>-1.0314709900000001</v>
      </c>
      <c r="AH3224">
        <v>39.915442548217101</v>
      </c>
      <c r="AI3224">
        <v>91.464013665669199</v>
      </c>
      <c r="AJ3224">
        <v>98.5020279875569</v>
      </c>
      <c r="AK3224">
        <v>40.372140791686199</v>
      </c>
      <c r="AL3224">
        <v>87.612448779517507</v>
      </c>
      <c r="AM3224">
        <v>89.276856125646603</v>
      </c>
      <c r="AN3224">
        <v>0.99999997271436802</v>
      </c>
    </row>
    <row r="3225" spans="1:40" x14ac:dyDescent="0.25">
      <c r="A3225" t="str">
        <f>"20190312153948469"</f>
        <v>20190312153948469</v>
      </c>
      <c r="B3225" t="str">
        <f>"1552376388459071"</f>
        <v>1552376388459071</v>
      </c>
      <c r="C3225" t="s">
        <v>40</v>
      </c>
      <c r="D3225">
        <v>4.2811820000000003</v>
      </c>
      <c r="E3225">
        <v>0.43993559999999998</v>
      </c>
      <c r="F3225" t="s">
        <v>54</v>
      </c>
      <c r="G3225">
        <v>-499.95780000000002</v>
      </c>
      <c r="H3225">
        <v>3.5901839999999997E-2</v>
      </c>
      <c r="I3225">
        <v>276.29559999999998</v>
      </c>
      <c r="J3225">
        <v>-461.14190000000002</v>
      </c>
      <c r="K3225">
        <v>1.1115699999999999</v>
      </c>
      <c r="L3225">
        <v>282.6001</v>
      </c>
      <c r="M3225">
        <v>-0.99970329999999996</v>
      </c>
      <c r="N3225">
        <v>0</v>
      </c>
      <c r="O3225">
        <v>-1.2153199999999999E-2</v>
      </c>
      <c r="P3225">
        <v>-0.99979569999999995</v>
      </c>
      <c r="Q3225">
        <v>2.0207409999999999E-2</v>
      </c>
      <c r="R3225">
        <v>4.8065899999999998E-4</v>
      </c>
      <c r="S3225">
        <v>-3.0025940000000002</v>
      </c>
      <c r="T3225">
        <v>-8.2833290000000004E-2</v>
      </c>
      <c r="U3225">
        <v>-0.48568729999999899</v>
      </c>
      <c r="V3225">
        <v>1.2643110000000001E-2</v>
      </c>
      <c r="W3225">
        <v>4.1308869999999998E-2</v>
      </c>
      <c r="X3225">
        <v>0.99906640000000002</v>
      </c>
      <c r="Y3225">
        <v>-0.14761840000000001</v>
      </c>
      <c r="Z3225">
        <v>-1.6896350000000001E-3</v>
      </c>
      <c r="AA3225">
        <v>0.98904289999999995</v>
      </c>
      <c r="AB3225">
        <v>25</v>
      </c>
      <c r="AC3225">
        <v>-38.815899999999999</v>
      </c>
      <c r="AD3225">
        <v>-1.07566816</v>
      </c>
      <c r="AE3225">
        <v>-6.3045000000000098</v>
      </c>
      <c r="AF3225">
        <v>-5.82783115408506</v>
      </c>
      <c r="AG3225">
        <v>-1.07566816</v>
      </c>
      <c r="AH3225">
        <v>38.860592735295697</v>
      </c>
      <c r="AI3225">
        <v>91.568026818072298</v>
      </c>
      <c r="AJ3225">
        <v>98.528951981050099</v>
      </c>
      <c r="AK3225">
        <v>39.309875930731202</v>
      </c>
      <c r="AL3225">
        <v>87.632502373427698</v>
      </c>
      <c r="AM3225">
        <v>89.274964930646405</v>
      </c>
      <c r="AN3225">
        <v>0.99999997129005402</v>
      </c>
    </row>
    <row r="3226" spans="1:40" x14ac:dyDescent="0.25">
      <c r="A3226" t="str">
        <f>"20190312153948487"</f>
        <v>20190312153948487</v>
      </c>
      <c r="B3226" t="str">
        <f>"1552376388478591"</f>
        <v>1552376388478591</v>
      </c>
      <c r="C3226" t="s">
        <v>40</v>
      </c>
      <c r="D3226">
        <v>4.290165</v>
      </c>
      <c r="E3226">
        <v>0.43482880000000002</v>
      </c>
      <c r="F3226" t="s">
        <v>54</v>
      </c>
      <c r="G3226">
        <v>-499.78570000000002</v>
      </c>
      <c r="H3226" s="1">
        <v>1.217946E-6</v>
      </c>
      <c r="I3226">
        <v>276.3587</v>
      </c>
      <c r="J3226">
        <v>-461.32530000000003</v>
      </c>
      <c r="K3226">
        <v>1.111669</v>
      </c>
      <c r="L3226">
        <v>282.59800000000001</v>
      </c>
      <c r="M3226">
        <v>-0.99968670000000004</v>
      </c>
      <c r="N3226">
        <v>0</v>
      </c>
      <c r="O3226">
        <v>-1.207886E-2</v>
      </c>
      <c r="P3226">
        <v>-0.99982510000000002</v>
      </c>
      <c r="Q3226">
        <v>1.871604E-2</v>
      </c>
      <c r="R3226">
        <v>2.4466169999999999E-4</v>
      </c>
      <c r="S3226">
        <v>-3.0025940000000002</v>
      </c>
      <c r="T3226">
        <v>-8.636808E-2</v>
      </c>
      <c r="U3226">
        <v>-0.48495480000000002</v>
      </c>
      <c r="V3226">
        <v>1.233325E-2</v>
      </c>
      <c r="W3226">
        <v>4.0634709999999997E-2</v>
      </c>
      <c r="X3226">
        <v>0.99909789999999998</v>
      </c>
      <c r="Y3226">
        <v>-0.14745229999999901</v>
      </c>
      <c r="Z3226">
        <v>-1.7614869999999999E-3</v>
      </c>
      <c r="AA3226">
        <v>0.98906760000000005</v>
      </c>
      <c r="AB3226">
        <v>24</v>
      </c>
      <c r="AC3226">
        <v>-38.4603999999999</v>
      </c>
      <c r="AD3226">
        <v>-1.111667782054</v>
      </c>
      <c r="AE3226">
        <v>-6.2393000000000098</v>
      </c>
      <c r="AF3226">
        <v>-5.7694786177617203</v>
      </c>
      <c r="AG3226">
        <v>-1.111667782054</v>
      </c>
      <c r="AH3226">
        <v>38.5016331249914</v>
      </c>
      <c r="AI3226">
        <v>91.635604836327005</v>
      </c>
      <c r="AJ3226">
        <v>98.522373121023705</v>
      </c>
      <c r="AK3226">
        <v>38.947380426286699</v>
      </c>
      <c r="AL3226">
        <v>87.671161313100995</v>
      </c>
      <c r="AM3226">
        <v>89.292754711736293</v>
      </c>
      <c r="AN3226">
        <v>0.99999995124837704</v>
      </c>
    </row>
    <row r="3227" spans="1:40" x14ac:dyDescent="0.25">
      <c r="A3227" t="str">
        <f>"20190312153948502"</f>
        <v>20190312153948502</v>
      </c>
      <c r="B3227" t="str">
        <f>"1552376388489326"</f>
        <v>1552376388489326</v>
      </c>
      <c r="C3227" t="s">
        <v>40</v>
      </c>
      <c r="D3227">
        <v>4.3349929999999999</v>
      </c>
      <c r="E3227">
        <v>0.43422070000000001</v>
      </c>
      <c r="F3227" t="s">
        <v>54</v>
      </c>
      <c r="G3227">
        <v>-485.74439999999998</v>
      </c>
      <c r="H3227" s="1">
        <v>2.322023E-6</v>
      </c>
      <c r="I3227">
        <v>278.29930000000002</v>
      </c>
      <c r="J3227">
        <v>-461.48680000000002</v>
      </c>
      <c r="K3227">
        <v>1.111747</v>
      </c>
      <c r="L3227">
        <v>282.59620000000001</v>
      </c>
      <c r="M3227">
        <v>-0.9996718</v>
      </c>
      <c r="N3227">
        <v>0</v>
      </c>
      <c r="O3227">
        <v>-1.201228E-2</v>
      </c>
      <c r="P3227">
        <v>-0.99984280000000003</v>
      </c>
      <c r="Q3227">
        <v>1.77386E-2</v>
      </c>
      <c r="R3227">
        <v>1.331704E-4</v>
      </c>
      <c r="S3227">
        <v>-3.0032040000000002</v>
      </c>
      <c r="T3227">
        <v>-0.13671910000000001</v>
      </c>
      <c r="U3227">
        <v>-0.52868649999999995</v>
      </c>
      <c r="V3227">
        <v>1.2155259999999999E-2</v>
      </c>
      <c r="W3227">
        <v>4.0357419999999998E-2</v>
      </c>
      <c r="X3227">
        <v>0.99911139999999998</v>
      </c>
      <c r="Y3227">
        <v>-0.16137899999999999</v>
      </c>
      <c r="Z3227">
        <v>-3.1010780000000002E-3</v>
      </c>
      <c r="AA3227">
        <v>0.98688759999999998</v>
      </c>
      <c r="AB3227">
        <v>24</v>
      </c>
      <c r="AC3227">
        <v>-24.257599999999901</v>
      </c>
      <c r="AD3227">
        <v>-1.1117446779769999</v>
      </c>
      <c r="AE3227">
        <v>-4.2968999999999902</v>
      </c>
      <c r="AF3227">
        <v>-3.9969860162200899</v>
      </c>
      <c r="AG3227">
        <v>-1.1117446779769999</v>
      </c>
      <c r="AH3227">
        <v>24.2580747104764</v>
      </c>
      <c r="AI3227">
        <v>92.589160021928294</v>
      </c>
      <c r="AJ3227">
        <v>99.356516871336495</v>
      </c>
      <c r="AK3227">
        <v>24.610283665612702</v>
      </c>
      <c r="AL3227">
        <v>87.687062087673397</v>
      </c>
      <c r="AM3227">
        <v>89.302969880140594</v>
      </c>
      <c r="AN3227">
        <v>1.00000003065234</v>
      </c>
    </row>
    <row r="3228" spans="1:40" x14ac:dyDescent="0.25">
      <c r="A3228" t="str">
        <f>"20190312153948515"</f>
        <v>20190312153948515</v>
      </c>
      <c r="B3228" t="str">
        <f>"1552376388508847"</f>
        <v>1552376388508847</v>
      </c>
      <c r="C3228" t="s">
        <v>40</v>
      </c>
      <c r="D3228">
        <v>4.3456099999999998</v>
      </c>
      <c r="E3228">
        <v>0.43384129999999899</v>
      </c>
      <c r="F3228" t="s">
        <v>54</v>
      </c>
      <c r="G3228">
        <v>-485.32940000000002</v>
      </c>
      <c r="H3228" s="1">
        <v>2.2693149999999998E-6</v>
      </c>
      <c r="I3228">
        <v>278.35840000000002</v>
      </c>
      <c r="J3228">
        <v>-461.62880000000001</v>
      </c>
      <c r="K3228">
        <v>1.1117999999999999</v>
      </c>
      <c r="L3228">
        <v>282.59449999999998</v>
      </c>
      <c r="M3228">
        <v>-0.99965890000000002</v>
      </c>
      <c r="N3228">
        <v>0</v>
      </c>
      <c r="O3228">
        <v>-1.195244E-2</v>
      </c>
      <c r="P3228">
        <v>-0.99985460000000004</v>
      </c>
      <c r="Q3228">
        <v>1.7060410000000002E-2</v>
      </c>
      <c r="R3228" s="1">
        <v>7.0127570000000001E-5</v>
      </c>
      <c r="S3228">
        <v>-3.0030209999999999</v>
      </c>
      <c r="T3228">
        <v>-0.14002590000000001</v>
      </c>
      <c r="U3228">
        <v>-0.53375240000000002</v>
      </c>
      <c r="V3228">
        <v>1.203252E-2</v>
      </c>
      <c r="W3228">
        <v>4.0270229999999997E-2</v>
      </c>
      <c r="X3228">
        <v>0.99911640000000002</v>
      </c>
      <c r="Y3228">
        <v>-0.16305310000000001</v>
      </c>
      <c r="Z3228">
        <v>-3.217199E-3</v>
      </c>
      <c r="AA3228">
        <v>0.98661200000000004</v>
      </c>
      <c r="AB3228">
        <v>24</v>
      </c>
      <c r="AC3228">
        <v>-23.700600000000001</v>
      </c>
      <c r="AD3228">
        <v>-1.111797730685</v>
      </c>
      <c r="AE3228">
        <v>-4.2360999999999596</v>
      </c>
      <c r="AF3228">
        <v>-3.9440304413187901</v>
      </c>
      <c r="AG3228">
        <v>-1.111797730685</v>
      </c>
      <c r="AH3228">
        <v>23.699014838416399</v>
      </c>
      <c r="AI3228">
        <v>92.649573786882897</v>
      </c>
      <c r="AJ3228">
        <v>99.448665692692899</v>
      </c>
      <c r="AK3228">
        <v>24.050670980816399</v>
      </c>
      <c r="AL3228">
        <v>87.6920617621753</v>
      </c>
      <c r="AM3228">
        <v>89.310011040229398</v>
      </c>
      <c r="AN3228">
        <v>1.0000000268553799</v>
      </c>
    </row>
    <row r="3229" spans="1:40" x14ac:dyDescent="0.25">
      <c r="A3229" t="str">
        <f>"20190312153948531"</f>
        <v>20190312153948531</v>
      </c>
      <c r="B3229" t="str">
        <f>"1552376388518607"</f>
        <v>1552376388518607</v>
      </c>
      <c r="C3229" t="s">
        <v>40</v>
      </c>
      <c r="D3229">
        <v>4.2829139999999999</v>
      </c>
      <c r="E3229">
        <v>0.43381940000000002</v>
      </c>
      <c r="F3229" t="s">
        <v>54</v>
      </c>
      <c r="G3229">
        <v>-485.12479999999999</v>
      </c>
      <c r="H3229" s="1">
        <v>2.244681E-6</v>
      </c>
      <c r="I3229">
        <v>278.39139999999998</v>
      </c>
      <c r="J3229">
        <v>-461.78680000000003</v>
      </c>
      <c r="K3229">
        <v>1.111853</v>
      </c>
      <c r="L3229">
        <v>282.59269999999998</v>
      </c>
      <c r="M3229">
        <v>-0.99964529999999996</v>
      </c>
      <c r="N3229">
        <v>0</v>
      </c>
      <c r="O3229">
        <v>-1.188579E-2</v>
      </c>
      <c r="P3229">
        <v>-0.99986039999999998</v>
      </c>
      <c r="Q3229">
        <v>1.6713209999999999E-2</v>
      </c>
      <c r="R3229">
        <v>-3.534004E-4</v>
      </c>
      <c r="S3229">
        <v>-3.002869</v>
      </c>
      <c r="T3229">
        <v>-0.142091299999999</v>
      </c>
      <c r="U3229">
        <v>-0.53717040000000005</v>
      </c>
      <c r="V3229">
        <v>1.154254E-2</v>
      </c>
      <c r="W3229">
        <v>4.0536559999999999E-2</v>
      </c>
      <c r="X3229">
        <v>0.99911139999999998</v>
      </c>
      <c r="Y3229">
        <v>-0.16420960000000001</v>
      </c>
      <c r="Z3229">
        <v>-3.294693E-3</v>
      </c>
      <c r="AA3229">
        <v>0.98641999999999996</v>
      </c>
      <c r="AB3229">
        <v>24</v>
      </c>
      <c r="AC3229">
        <v>-23.337999999999901</v>
      </c>
      <c r="AD3229">
        <v>-1.111850755319</v>
      </c>
      <c r="AE3229">
        <v>-4.2012999999999998</v>
      </c>
      <c r="AF3229">
        <v>-3.9149269435937999</v>
      </c>
      <c r="AG3229">
        <v>-1.111850755319</v>
      </c>
      <c r="AH3229">
        <v>23.334999847764099</v>
      </c>
      <c r="AI3229">
        <v>92.690384623869306</v>
      </c>
      <c r="AJ3229">
        <v>99.523852454692801</v>
      </c>
      <c r="AK3229">
        <v>23.6872345994827</v>
      </c>
      <c r="AL3229">
        <v>87.676789682568</v>
      </c>
      <c r="AM3229">
        <v>89.338102430977401</v>
      </c>
      <c r="AN3229">
        <v>1.00000001626812</v>
      </c>
    </row>
    <row r="3230" spans="1:40" x14ac:dyDescent="0.25">
      <c r="A3230" t="str">
        <f>"20190312153948547"</f>
        <v>20190312153948547</v>
      </c>
      <c r="B3230" t="str">
        <f>"1552376388539103"</f>
        <v>1552376388539103</v>
      </c>
      <c r="C3230" t="s">
        <v>40</v>
      </c>
      <c r="D3230">
        <v>4.2938470000000004</v>
      </c>
      <c r="E3230">
        <v>0.43361670000000002</v>
      </c>
      <c r="F3230" t="s">
        <v>54</v>
      </c>
      <c r="G3230">
        <v>-485.3707</v>
      </c>
      <c r="H3230" s="1">
        <v>2.2785939999999999E-6</v>
      </c>
      <c r="I3230">
        <v>278.36399999999998</v>
      </c>
      <c r="J3230">
        <v>-461.94880000000001</v>
      </c>
      <c r="K3230">
        <v>1.111899</v>
      </c>
      <c r="L3230">
        <v>282.59089999999998</v>
      </c>
      <c r="M3230">
        <v>-0.99963210000000002</v>
      </c>
      <c r="N3230">
        <v>0</v>
      </c>
      <c r="O3230">
        <v>-1.1817279999999999E-2</v>
      </c>
      <c r="P3230">
        <v>-0.99986359999999996</v>
      </c>
      <c r="Q3230">
        <v>1.6525379999999999E-2</v>
      </c>
      <c r="R3230">
        <v>-1.2798409999999999E-4</v>
      </c>
      <c r="S3230">
        <v>-3.0025940000000002</v>
      </c>
      <c r="T3230">
        <v>-0.14155599999999999</v>
      </c>
      <c r="U3230">
        <v>-0.53839110000000001</v>
      </c>
      <c r="V3230">
        <v>1.169943E-2</v>
      </c>
      <c r="W3230">
        <v>4.0931530000000001E-2</v>
      </c>
      <c r="X3230">
        <v>0.99909349999999997</v>
      </c>
      <c r="Y3230">
        <v>-0.16468189999999999</v>
      </c>
      <c r="Z3230">
        <v>-3.2967069999999998E-3</v>
      </c>
      <c r="AA3230">
        <v>0.98634120000000003</v>
      </c>
      <c r="AB3230">
        <v>23</v>
      </c>
      <c r="AC3230">
        <v>-23.421899999999901</v>
      </c>
      <c r="AD3230">
        <v>-1.111896721406</v>
      </c>
      <c r="AE3230">
        <v>-4.2268999999999401</v>
      </c>
      <c r="AF3230">
        <v>-3.9411372442067401</v>
      </c>
      <c r="AG3230">
        <v>-1.111896721406</v>
      </c>
      <c r="AH3230">
        <v>23.419115339675599</v>
      </c>
      <c r="AI3230">
        <v>92.680620259150601</v>
      </c>
      <c r="AJ3230">
        <v>99.552638423123994</v>
      </c>
      <c r="AK3230">
        <v>23.774436699736398</v>
      </c>
      <c r="AL3230">
        <v>87.6541408364494</v>
      </c>
      <c r="AM3230">
        <v>89.329094499543501</v>
      </c>
      <c r="AN3230">
        <v>1.0000000442763499</v>
      </c>
    </row>
    <row r="3231" spans="1:40" x14ac:dyDescent="0.25">
      <c r="A3231" t="str">
        <f>"20190312153948565"</f>
        <v>20190312153948565</v>
      </c>
      <c r="B3231" t="str">
        <f>"1552376388558626"</f>
        <v>1552376388558626</v>
      </c>
      <c r="C3231" t="s">
        <v>40</v>
      </c>
      <c r="D3231">
        <v>4.3153509999999997</v>
      </c>
      <c r="E3231">
        <v>0.43334590000000001</v>
      </c>
      <c r="F3231" t="s">
        <v>54</v>
      </c>
      <c r="G3231">
        <v>-485.39060000000001</v>
      </c>
      <c r="H3231" s="1">
        <v>2.2877609999999999E-6</v>
      </c>
      <c r="I3231">
        <v>278.37990000000002</v>
      </c>
      <c r="J3231">
        <v>-462.12959999999998</v>
      </c>
      <c r="K3231">
        <v>1.1119330000000001</v>
      </c>
      <c r="L3231">
        <v>282.58879999999999</v>
      </c>
      <c r="M3231">
        <v>-0.99961840000000002</v>
      </c>
      <c r="N3231">
        <v>0</v>
      </c>
      <c r="O3231">
        <v>-1.1741130000000001E-2</v>
      </c>
      <c r="P3231">
        <v>-0.99986280000000005</v>
      </c>
      <c r="Q3231">
        <v>1.6561679999999999E-2</v>
      </c>
      <c r="R3231" s="1">
        <v>9.6277420000000002E-5</v>
      </c>
      <c r="S3231">
        <v>-3.0027469999999998</v>
      </c>
      <c r="T3231">
        <v>-0.1424269</v>
      </c>
      <c r="U3231">
        <v>-0.53939820000000005</v>
      </c>
      <c r="V3231">
        <v>1.184758E-2</v>
      </c>
      <c r="W3231">
        <v>4.1555660000000001E-2</v>
      </c>
      <c r="X3231">
        <v>0.99906589999999995</v>
      </c>
      <c r="Y3231">
        <v>-0.16506609999999999</v>
      </c>
      <c r="Z3231">
        <v>-3.3293110000000002E-3</v>
      </c>
      <c r="AA3231">
        <v>0.98627690000000001</v>
      </c>
      <c r="AB3231">
        <v>23</v>
      </c>
      <c r="AC3231">
        <v>-23.260999999999999</v>
      </c>
      <c r="AD3231">
        <v>-1.1119307122390001</v>
      </c>
      <c r="AE3231">
        <v>-4.2088999999999697</v>
      </c>
      <c r="AF3231">
        <v>-3.9267254946491699</v>
      </c>
      <c r="AG3231">
        <v>-1.1119307122390001</v>
      </c>
      <c r="AH3231">
        <v>23.2573685126901</v>
      </c>
      <c r="AI3231">
        <v>92.699074665649405</v>
      </c>
      <c r="AJ3231">
        <v>99.583320266235006</v>
      </c>
      <c r="AK3231">
        <v>23.612724390764701</v>
      </c>
      <c r="AL3231">
        <v>87.618350157159199</v>
      </c>
      <c r="AM3231">
        <v>89.320580840572703</v>
      </c>
      <c r="AN3231">
        <v>0.99999995528635</v>
      </c>
    </row>
    <row r="3232" spans="1:40" x14ac:dyDescent="0.25">
      <c r="A3232" t="str">
        <f>"20190312153948582"</f>
        <v>20190312153948582</v>
      </c>
      <c r="B3232" t="str">
        <f>"1552376388569358"</f>
        <v>1552376388569358</v>
      </c>
      <c r="C3232" t="s">
        <v>40</v>
      </c>
      <c r="D3232">
        <v>4.310505</v>
      </c>
      <c r="E3232">
        <v>0.43328129999999998</v>
      </c>
      <c r="F3232" t="s">
        <v>54</v>
      </c>
      <c r="G3232">
        <v>-485.7013</v>
      </c>
      <c r="H3232" s="1">
        <v>2.3293030000000002E-6</v>
      </c>
      <c r="I3232">
        <v>278.3415</v>
      </c>
      <c r="J3232">
        <v>-462.28980000000001</v>
      </c>
      <c r="K3232">
        <v>1.1119570000000001</v>
      </c>
      <c r="L3232">
        <v>282.58699999999999</v>
      </c>
      <c r="M3232">
        <v>-0.99960740000000003</v>
      </c>
      <c r="N3232">
        <v>0</v>
      </c>
      <c r="O3232">
        <v>-1.167411E-2</v>
      </c>
      <c r="P3232">
        <v>-0.9998745</v>
      </c>
      <c r="Q3232">
        <v>1.5832740000000001E-2</v>
      </c>
      <c r="R3232" s="1">
        <v>9.5801460000000005E-5</v>
      </c>
      <c r="S3232">
        <v>-3.0028380000000001</v>
      </c>
      <c r="T3232">
        <v>-0.14165069999999999</v>
      </c>
      <c r="U3232">
        <v>-0.54107669999999997</v>
      </c>
      <c r="V3232">
        <v>1.178012E-2</v>
      </c>
      <c r="W3232">
        <v>4.12941E-2</v>
      </c>
      <c r="X3232">
        <v>0.99907760000000001</v>
      </c>
      <c r="Y3232">
        <v>-0.1656619</v>
      </c>
      <c r="Z3232">
        <v>-3.3279870000000001E-3</v>
      </c>
      <c r="AA3232">
        <v>0.98617699999999997</v>
      </c>
      <c r="AB3232">
        <v>23</v>
      </c>
      <c r="AC3232">
        <v>-23.411499999999901</v>
      </c>
      <c r="AD3232">
        <v>-1.1119546706969901</v>
      </c>
      <c r="AE3232">
        <v>-4.2454999999999901</v>
      </c>
      <c r="AF3232">
        <v>-3.96315762207246</v>
      </c>
      <c r="AG3232">
        <v>-1.1119546706969901</v>
      </c>
      <c r="AH3232">
        <v>23.408356961507099</v>
      </c>
      <c r="AI3232">
        <v>92.681542607695107</v>
      </c>
      <c r="AJ3232">
        <v>99.6093524745623</v>
      </c>
      <c r="AK3232">
        <v>23.767503805919802</v>
      </c>
      <c r="AL3232">
        <v>87.633349452101299</v>
      </c>
      <c r="AM3232">
        <v>89.324456997311302</v>
      </c>
      <c r="AN3232">
        <v>1.00000001237189</v>
      </c>
    </row>
    <row r="3233" spans="1:40" x14ac:dyDescent="0.25">
      <c r="A3233" t="str">
        <f>"20190312153948598"</f>
        <v>20190312153948598</v>
      </c>
      <c r="B3233" t="str">
        <f>"1552376388588878"</f>
        <v>1552376388588878</v>
      </c>
      <c r="C3233" t="s">
        <v>40</v>
      </c>
      <c r="D3233">
        <v>4.2727930000000001</v>
      </c>
      <c r="E3233">
        <v>0.4329906</v>
      </c>
      <c r="F3233" t="s">
        <v>54</v>
      </c>
      <c r="G3233">
        <v>-485.53649999999999</v>
      </c>
      <c r="H3233" s="1">
        <v>2.3184830000000001E-6</v>
      </c>
      <c r="I3233">
        <v>278.39359999999999</v>
      </c>
      <c r="J3233">
        <v>-462.45920000000001</v>
      </c>
      <c r="K3233">
        <v>1.111972</v>
      </c>
      <c r="L3233">
        <v>282.58510000000001</v>
      </c>
      <c r="M3233">
        <v>-0.99959679999999995</v>
      </c>
      <c r="N3233">
        <v>0</v>
      </c>
      <c r="O3233">
        <v>-1.1603499999999999E-2</v>
      </c>
      <c r="P3233">
        <v>-0.99988619999999995</v>
      </c>
      <c r="Q3233">
        <v>1.5089460000000001E-2</v>
      </c>
      <c r="R3233">
        <v>4.9552889999999897E-4</v>
      </c>
      <c r="S3233">
        <v>-3.0027159999999999</v>
      </c>
      <c r="T3233">
        <v>-0.14362829999999999</v>
      </c>
      <c r="U3233">
        <v>-0.54165649999999999</v>
      </c>
      <c r="V3233">
        <v>1.210936E-2</v>
      </c>
      <c r="W3233">
        <v>4.0997289999999999E-2</v>
      </c>
      <c r="X3233">
        <v>0.99908589999999997</v>
      </c>
      <c r="Y3233">
        <v>-0.16591789999999901</v>
      </c>
      <c r="Z3233">
        <v>-3.383886E-3</v>
      </c>
      <c r="AA3233">
        <v>0.98613379999999995</v>
      </c>
      <c r="AB3233">
        <v>22</v>
      </c>
      <c r="AC3233">
        <v>-23.077299999999902</v>
      </c>
      <c r="AD3233">
        <v>-1.1119696815169999</v>
      </c>
      <c r="AE3233">
        <v>-4.1915000000000102</v>
      </c>
      <c r="AF3233">
        <v>-3.9145518407453799</v>
      </c>
      <c r="AG3233">
        <v>-1.1119696815169999</v>
      </c>
      <c r="AH3233">
        <v>23.0725397540564</v>
      </c>
      <c r="AI3233">
        <v>92.720390476683804</v>
      </c>
      <c r="AJ3233">
        <v>99.6292671476008</v>
      </c>
      <c r="AK3233">
        <v>23.428663713259599</v>
      </c>
      <c r="AL3233">
        <v>87.650369855497303</v>
      </c>
      <c r="AM3233">
        <v>89.305583985708694</v>
      </c>
      <c r="AN3233">
        <v>1.00000002498288</v>
      </c>
    </row>
    <row r="3234" spans="1:40" x14ac:dyDescent="0.25">
      <c r="A3234" t="str">
        <f>"20190312153948614"</f>
        <v>20190312153948614</v>
      </c>
      <c r="B3234" t="str">
        <f>"1552376388609374"</f>
        <v>1552376388609374</v>
      </c>
      <c r="C3234" t="s">
        <v>40</v>
      </c>
      <c r="D3234">
        <v>4.2947030000000002</v>
      </c>
      <c r="E3234">
        <v>0.43297370000000002</v>
      </c>
      <c r="F3234" t="s">
        <v>54</v>
      </c>
      <c r="G3234">
        <v>-485.37</v>
      </c>
      <c r="H3234" s="1">
        <v>2.3067120000000002E-6</v>
      </c>
      <c r="I3234">
        <v>278.44380000000001</v>
      </c>
      <c r="J3234">
        <v>-462.6157</v>
      </c>
      <c r="K3234">
        <v>1.11199</v>
      </c>
      <c r="L3234">
        <v>282.58339999999998</v>
      </c>
      <c r="M3234">
        <v>-0.99958780000000003</v>
      </c>
      <c r="N3234">
        <v>0</v>
      </c>
      <c r="O3234">
        <v>-1.1537179999999999E-2</v>
      </c>
      <c r="P3234">
        <v>-0.9998956</v>
      </c>
      <c r="Q3234">
        <v>1.4438090000000001E-2</v>
      </c>
      <c r="R3234">
        <v>6.3909890000000003E-4</v>
      </c>
      <c r="S3234">
        <v>-3.0028380000000001</v>
      </c>
      <c r="T3234">
        <v>-0.1457417</v>
      </c>
      <c r="U3234">
        <v>-0.54278559999999998</v>
      </c>
      <c r="V3234">
        <v>1.218648E-2</v>
      </c>
      <c r="W3234">
        <v>4.0719039999999998E-2</v>
      </c>
      <c r="X3234">
        <v>0.99909630000000005</v>
      </c>
      <c r="Y3234">
        <v>-0.1663297</v>
      </c>
      <c r="Z3234">
        <v>-3.4464629999999999E-3</v>
      </c>
      <c r="AA3234">
        <v>0.98606419999999995</v>
      </c>
      <c r="AB3234">
        <v>22</v>
      </c>
      <c r="AC3234">
        <v>-22.754300000000001</v>
      </c>
      <c r="AD3234">
        <v>-1.111987693288</v>
      </c>
      <c r="AE3234">
        <v>-4.1395999999999704</v>
      </c>
      <c r="AF3234">
        <v>-3.8677719409840798</v>
      </c>
      <c r="AG3234">
        <v>-1.111987693288</v>
      </c>
      <c r="AH3234">
        <v>22.747973813534401</v>
      </c>
      <c r="AI3234">
        <v>92.759024145115504</v>
      </c>
      <c r="AJ3234">
        <v>99.649554222412505</v>
      </c>
      <c r="AK3234">
        <v>23.1012226741083</v>
      </c>
      <c r="AL3234">
        <v>87.666325633005499</v>
      </c>
      <c r="AM3234">
        <v>89.301169219942807</v>
      </c>
      <c r="AN3234">
        <v>0.99999998359349995</v>
      </c>
    </row>
    <row r="3235" spans="1:40" x14ac:dyDescent="0.25">
      <c r="A3235" t="str">
        <f>"20190312153948632"</f>
        <v>20190312153948632</v>
      </c>
      <c r="B3235" t="str">
        <f>"1552376388628894"</f>
        <v>1552376388628894</v>
      </c>
      <c r="C3235" t="s">
        <v>40</v>
      </c>
      <c r="D3235">
        <v>4.2795550000000002</v>
      </c>
      <c r="E3235">
        <v>0.43279390000000001</v>
      </c>
      <c r="F3235" t="s">
        <v>54</v>
      </c>
      <c r="G3235">
        <v>-484.8587</v>
      </c>
      <c r="H3235" s="1">
        <v>2.258643E-6</v>
      </c>
      <c r="I3235">
        <v>278.56439999999998</v>
      </c>
      <c r="J3235">
        <v>-462.78660000000002</v>
      </c>
      <c r="K3235">
        <v>1.1119939999999999</v>
      </c>
      <c r="L3235">
        <v>282.58159999999998</v>
      </c>
      <c r="M3235">
        <v>-0.99957929999999995</v>
      </c>
      <c r="N3235">
        <v>0</v>
      </c>
      <c r="O3235">
        <v>-1.1464830000000001E-2</v>
      </c>
      <c r="P3235">
        <v>-0.99990800000000002</v>
      </c>
      <c r="Q3235">
        <v>1.3537510000000001E-2</v>
      </c>
      <c r="R3235">
        <v>9.7201489999999998E-4</v>
      </c>
      <c r="S3235">
        <v>-3.002869</v>
      </c>
      <c r="T3235">
        <v>-0.15012130000000001</v>
      </c>
      <c r="U3235">
        <v>-0.54257200000000005</v>
      </c>
      <c r="V3235">
        <v>1.2447120000000001E-2</v>
      </c>
      <c r="W3235">
        <v>4.0172550000000001E-2</v>
      </c>
      <c r="X3235">
        <v>0.99911519999999998</v>
      </c>
      <c r="Y3235">
        <v>-0.16632040000000001</v>
      </c>
      <c r="Z3235">
        <v>-3.5532440000000001E-3</v>
      </c>
      <c r="AA3235">
        <v>0.98606530000000003</v>
      </c>
      <c r="AB3235">
        <v>22</v>
      </c>
      <c r="AC3235">
        <v>-22.072099999999899</v>
      </c>
      <c r="AD3235">
        <v>-1.111991741357</v>
      </c>
      <c r="AE3235">
        <v>-4.0171999999999999</v>
      </c>
      <c r="AF3235">
        <v>-3.7545689837981402</v>
      </c>
      <c r="AG3235">
        <v>-1.111991741357</v>
      </c>
      <c r="AH3235">
        <v>22.062518861422198</v>
      </c>
      <c r="AI3235">
        <v>92.844544110823094</v>
      </c>
      <c r="AJ3235">
        <v>99.657991659492595</v>
      </c>
      <c r="AK3235">
        <v>22.4073214016659</v>
      </c>
      <c r="AL3235">
        <v>87.697662823889701</v>
      </c>
      <c r="AM3235">
        <v>89.286237912571806</v>
      </c>
      <c r="AN3235">
        <v>0.99999997372041804</v>
      </c>
    </row>
    <row r="3236" spans="1:40" x14ac:dyDescent="0.25">
      <c r="A3236" t="str">
        <f>"20190312153948655"</f>
        <v>20190312153948655</v>
      </c>
      <c r="B3236" t="str">
        <f>"1552376388648415"</f>
        <v>1552376388648415</v>
      </c>
      <c r="C3236" t="s">
        <v>40</v>
      </c>
      <c r="D3236">
        <v>4.2924550000000004</v>
      </c>
      <c r="E3236">
        <v>0.4325986</v>
      </c>
      <c r="F3236" t="s">
        <v>54</v>
      </c>
      <c r="G3236">
        <v>-484.39729999999997</v>
      </c>
      <c r="H3236" s="1">
        <v>2.2153799999999999E-6</v>
      </c>
      <c r="I3236">
        <v>278.67360000000002</v>
      </c>
      <c r="J3236">
        <v>-463.00130000000001</v>
      </c>
      <c r="K3236">
        <v>1.111991</v>
      </c>
      <c r="L3236">
        <v>282.57920000000001</v>
      </c>
      <c r="M3236">
        <v>-0.99957030000000002</v>
      </c>
      <c r="N3236">
        <v>0</v>
      </c>
      <c r="O3236">
        <v>-1.137292E-2</v>
      </c>
      <c r="P3236">
        <v>-0.99992329999999996</v>
      </c>
      <c r="Q3236">
        <v>1.2322130000000001E-2</v>
      </c>
      <c r="R3236">
        <v>1.3326309999999999E-3</v>
      </c>
      <c r="S3236">
        <v>-3.002869</v>
      </c>
      <c r="T3236">
        <v>-0.15451409999999999</v>
      </c>
      <c r="U3236">
        <v>-0.54302980000000001</v>
      </c>
      <c r="V3236">
        <v>1.2715819999999999E-2</v>
      </c>
      <c r="W3236">
        <v>3.9330660000000003E-2</v>
      </c>
      <c r="X3236">
        <v>0.99914530000000001</v>
      </c>
      <c r="Y3236">
        <v>-0.1665451</v>
      </c>
      <c r="Z3236">
        <v>-3.667446E-3</v>
      </c>
      <c r="AA3236">
        <v>0.98602699999999999</v>
      </c>
      <c r="AB3236">
        <v>22</v>
      </c>
      <c r="AC3236">
        <v>-21.395999999999901</v>
      </c>
      <c r="AD3236">
        <v>-1.1119887846200001</v>
      </c>
      <c r="AE3236">
        <v>-3.90559999999999</v>
      </c>
      <c r="AF3236">
        <v>-3.6523761766659</v>
      </c>
      <c r="AG3236">
        <v>-1.1119887846200001</v>
      </c>
      <c r="AH3236">
        <v>21.3831545964578</v>
      </c>
      <c r="AI3236">
        <v>92.934450165933697</v>
      </c>
      <c r="AJ3236">
        <v>99.692935809090798</v>
      </c>
      <c r="AK3236">
        <v>21.721318359828199</v>
      </c>
      <c r="AL3236">
        <v>87.745937700147493</v>
      </c>
      <c r="AM3236">
        <v>89.270853310276394</v>
      </c>
      <c r="AN3236">
        <v>0.99999996170319805</v>
      </c>
    </row>
    <row r="3237" spans="1:40" x14ac:dyDescent="0.25">
      <c r="A3237" t="str">
        <f>"20190312153948677"</f>
        <v>20190312153948677</v>
      </c>
      <c r="B3237" t="str">
        <f>"1552376388668914"</f>
        <v>1552376388668914</v>
      </c>
      <c r="C3237" t="s">
        <v>40</v>
      </c>
      <c r="D3237">
        <v>4.2991359999999998</v>
      </c>
      <c r="E3237">
        <v>0.4324597</v>
      </c>
      <c r="F3237" t="s">
        <v>54</v>
      </c>
      <c r="G3237">
        <v>-484.02789999999999</v>
      </c>
      <c r="H3237" s="1">
        <v>2.1852339999999999E-6</v>
      </c>
      <c r="I3237">
        <v>278.77370000000002</v>
      </c>
      <c r="J3237">
        <v>-463.21069999999997</v>
      </c>
      <c r="K3237">
        <v>1.1119969999999999</v>
      </c>
      <c r="L3237">
        <v>282.577</v>
      </c>
      <c r="M3237">
        <v>-0.99956290000000003</v>
      </c>
      <c r="N3237">
        <v>0</v>
      </c>
      <c r="O3237">
        <v>-1.1283690000000001E-2</v>
      </c>
      <c r="P3237">
        <v>-0.99992729999999996</v>
      </c>
      <c r="Q3237">
        <v>1.194805E-2</v>
      </c>
      <c r="R3237">
        <v>1.70583E-3</v>
      </c>
      <c r="S3237">
        <v>-3.0028990000000002</v>
      </c>
      <c r="T3237">
        <v>-0.1588077</v>
      </c>
      <c r="U3237">
        <v>-0.54348750000000001</v>
      </c>
      <c r="V3237">
        <v>1.29996E-2</v>
      </c>
      <c r="W3237">
        <v>3.9267759999999999E-2</v>
      </c>
      <c r="X3237">
        <v>0.99914409999999998</v>
      </c>
      <c r="Y3237">
        <v>-0.1667652</v>
      </c>
      <c r="Z3237">
        <v>-3.7795720000000001E-3</v>
      </c>
      <c r="AA3237">
        <v>0.98598940000000002</v>
      </c>
      <c r="AB3237">
        <v>21</v>
      </c>
      <c r="AC3237">
        <v>-20.8172</v>
      </c>
      <c r="AD3237">
        <v>-1.1119948147659999</v>
      </c>
      <c r="AE3237">
        <v>-3.8032999999999699</v>
      </c>
      <c r="AF3237">
        <v>-3.5582499985906701</v>
      </c>
      <c r="AG3237">
        <v>-1.1119948147659999</v>
      </c>
      <c r="AH3237">
        <v>20.801367843923199</v>
      </c>
      <c r="AI3237">
        <v>93.016263558255702</v>
      </c>
      <c r="AJ3237">
        <v>99.70697699182</v>
      </c>
      <c r="AK3237">
        <v>21.132784475755599</v>
      </c>
      <c r="AL3237">
        <v>87.749544341196</v>
      </c>
      <c r="AM3237">
        <v>89.254581804588398</v>
      </c>
      <c r="AN3237">
        <v>0.99999993957019195</v>
      </c>
    </row>
    <row r="3238" spans="1:40" x14ac:dyDescent="0.25">
      <c r="A3238" t="str">
        <f>"20190312153948694"</f>
        <v>20190312153948694</v>
      </c>
      <c r="B3238" t="str">
        <f>"1552376388689408"</f>
        <v>1552376388689408</v>
      </c>
      <c r="C3238" t="s">
        <v>40</v>
      </c>
      <c r="D3238">
        <v>4.335852</v>
      </c>
      <c r="E3238">
        <v>0.42839339999999998</v>
      </c>
      <c r="F3238" t="s">
        <v>54</v>
      </c>
      <c r="G3238">
        <v>-483.99799999999999</v>
      </c>
      <c r="H3238" s="1">
        <v>2.1944570000000002E-6</v>
      </c>
      <c r="I3238">
        <v>278.81470000000002</v>
      </c>
      <c r="J3238">
        <v>-463.35719999999998</v>
      </c>
      <c r="K3238">
        <v>1.112052</v>
      </c>
      <c r="L3238">
        <v>282.5754</v>
      </c>
      <c r="M3238">
        <v>-0.99955320000000003</v>
      </c>
      <c r="N3238">
        <v>0</v>
      </c>
      <c r="O3238">
        <v>-1.1224100000000001E-2</v>
      </c>
      <c r="P3238">
        <v>-0.99993299999999996</v>
      </c>
      <c r="Q3238">
        <v>1.1462190000000001E-2</v>
      </c>
      <c r="R3238">
        <v>1.616714E-3</v>
      </c>
      <c r="S3238">
        <v>-3.003082</v>
      </c>
      <c r="T3238">
        <v>-0.16064690000000001</v>
      </c>
      <c r="U3238">
        <v>-0.5435181</v>
      </c>
      <c r="V3238">
        <v>1.28507999999999E-2</v>
      </c>
      <c r="W3238">
        <v>3.9156740000000002E-2</v>
      </c>
      <c r="X3238">
        <v>0.99915050000000005</v>
      </c>
      <c r="Y3238">
        <v>-0.16681799999999999</v>
      </c>
      <c r="Z3238">
        <v>-3.827605E-3</v>
      </c>
      <c r="AA3238">
        <v>0.98598030000000003</v>
      </c>
      <c r="AB3238">
        <v>21</v>
      </c>
      <c r="AC3238">
        <v>-20.640799999999999</v>
      </c>
      <c r="AD3238">
        <v>-1.1120498055429999</v>
      </c>
      <c r="AE3238">
        <v>-3.7606999999999799</v>
      </c>
      <c r="AF3238">
        <v>-3.5188138361935399</v>
      </c>
      <c r="AG3238">
        <v>-1.1120498055429999</v>
      </c>
      <c r="AH3238">
        <v>20.6237851187568</v>
      </c>
      <c r="AI3238">
        <v>93.042558336094203</v>
      </c>
      <c r="AJ3238">
        <v>99.682523148370706</v>
      </c>
      <c r="AK3238">
        <v>20.951353612796701</v>
      </c>
      <c r="AL3238">
        <v>87.755910479772595</v>
      </c>
      <c r="AM3238">
        <v>89.263118011730498</v>
      </c>
      <c r="AN3238">
        <v>1.0000000574991501</v>
      </c>
    </row>
    <row r="3239" spans="1:40" x14ac:dyDescent="0.25">
      <c r="A3239" t="str">
        <f>"20190312153948710"</f>
        <v>20190312153948710</v>
      </c>
      <c r="B3239" t="str">
        <f>"1552376388699167"</f>
        <v>1552376388699167</v>
      </c>
      <c r="C3239" t="s">
        <v>40</v>
      </c>
      <c r="D3239">
        <v>4.3022669999999996</v>
      </c>
      <c r="E3239">
        <v>0.42830439999999997</v>
      </c>
      <c r="F3239" t="s">
        <v>54</v>
      </c>
      <c r="G3239">
        <v>-480.76589999999999</v>
      </c>
      <c r="H3239" s="1">
        <v>1.7671030000000001E-6</v>
      </c>
      <c r="I3239">
        <v>279.22770000000003</v>
      </c>
      <c r="J3239">
        <v>-463.51589999999999</v>
      </c>
      <c r="K3239">
        <v>1.112109</v>
      </c>
      <c r="L3239">
        <v>282.57369999999997</v>
      </c>
      <c r="M3239">
        <v>-0.99954290000000001</v>
      </c>
      <c r="N3239">
        <v>0</v>
      </c>
      <c r="O3239">
        <v>-1.1159290000000001E-2</v>
      </c>
      <c r="P3239">
        <v>-0.99993750000000003</v>
      </c>
      <c r="Q3239">
        <v>1.113771E-2</v>
      </c>
      <c r="R3239">
        <v>1.094841E-3</v>
      </c>
      <c r="S3239">
        <v>-3.0033259999999999</v>
      </c>
      <c r="T3239">
        <v>-0.19184970000000001</v>
      </c>
      <c r="U3239">
        <v>-0.57754519999999998</v>
      </c>
      <c r="V3239">
        <v>1.226416E-2</v>
      </c>
      <c r="W3239">
        <v>3.9227739999999997E-2</v>
      </c>
      <c r="X3239">
        <v>0.99915500000000002</v>
      </c>
      <c r="Y3239">
        <v>-0.17754039999999999</v>
      </c>
      <c r="Z3239">
        <v>-4.9077599999999997E-3</v>
      </c>
      <c r="AA3239">
        <v>0.98410129999999996</v>
      </c>
      <c r="AB3239">
        <v>21</v>
      </c>
      <c r="AC3239">
        <v>-17.25</v>
      </c>
      <c r="AD3239">
        <v>-1.1121072328970001</v>
      </c>
      <c r="AE3239">
        <v>-3.3459999999999401</v>
      </c>
      <c r="AF3239">
        <v>-3.1406373619085</v>
      </c>
      <c r="AG3239">
        <v>-1.1121072328970001</v>
      </c>
      <c r="AH3239">
        <v>17.2173119678543</v>
      </c>
      <c r="AI3239">
        <v>93.635906328081902</v>
      </c>
      <c r="AJ3239">
        <v>100.337755174772</v>
      </c>
      <c r="AK3239">
        <v>17.536710550582001</v>
      </c>
      <c r="AL3239">
        <v>87.751839154090206</v>
      </c>
      <c r="AM3239">
        <v>89.296756438517093</v>
      </c>
      <c r="AN3239">
        <v>0.99999996961550597</v>
      </c>
    </row>
    <row r="3240" spans="1:40" x14ac:dyDescent="0.25">
      <c r="A3240" t="str">
        <f>"20190312153948726"</f>
        <v>20190312153948726</v>
      </c>
      <c r="B3240" t="str">
        <f>"1552376388718687"</f>
        <v>1552376388718687</v>
      </c>
      <c r="C3240" t="s">
        <v>40</v>
      </c>
      <c r="D3240">
        <v>4.3128880000000001</v>
      </c>
      <c r="E3240">
        <v>0.42760949999999998</v>
      </c>
      <c r="F3240" t="s">
        <v>54</v>
      </c>
      <c r="G3240">
        <v>-481.4237</v>
      </c>
      <c r="H3240" s="1">
        <v>1.845165E-6</v>
      </c>
      <c r="I3240">
        <v>279.11840000000001</v>
      </c>
      <c r="J3240">
        <v>-463.6542</v>
      </c>
      <c r="K3240">
        <v>1.1121299999999901</v>
      </c>
      <c r="L3240">
        <v>282.57220000000001</v>
      </c>
      <c r="M3240">
        <v>-0.99953709999999996</v>
      </c>
      <c r="N3240">
        <v>0</v>
      </c>
      <c r="O3240">
        <v>-1.1102590000000001E-2</v>
      </c>
      <c r="P3240">
        <v>-0.99993880000000002</v>
      </c>
      <c r="Q3240">
        <v>1.10533E-2</v>
      </c>
      <c r="R3240">
        <v>7.7017890000000003E-4</v>
      </c>
      <c r="S3240">
        <v>-3.0029300000000001</v>
      </c>
      <c r="T3240">
        <v>-0.18648670000000001</v>
      </c>
      <c r="U3240">
        <v>-0.57940669999999905</v>
      </c>
      <c r="V3240">
        <v>1.188264E-2</v>
      </c>
      <c r="W3240">
        <v>3.9372110000000002E-2</v>
      </c>
      <c r="X3240">
        <v>0.99915399999999999</v>
      </c>
      <c r="Y3240">
        <v>-0.17822499999999999</v>
      </c>
      <c r="Z3240">
        <v>-4.7956960000000003E-3</v>
      </c>
      <c r="AA3240">
        <v>0.98397809999999997</v>
      </c>
      <c r="AB3240">
        <v>21</v>
      </c>
      <c r="AC3240">
        <v>-17.769499999999901</v>
      </c>
      <c r="AD3240">
        <v>-1.1121281548349999</v>
      </c>
      <c r="AE3240">
        <v>-3.4538000000000002</v>
      </c>
      <c r="AF3240">
        <v>-3.2439760357430298</v>
      </c>
      <c r="AG3240">
        <v>-1.1121281548349999</v>
      </c>
      <c r="AH3240">
        <v>17.739807243348501</v>
      </c>
      <c r="AI3240">
        <v>93.528876371114706</v>
      </c>
      <c r="AJ3240">
        <v>100.36285153513199</v>
      </c>
      <c r="AK3240">
        <v>18.0682309755109</v>
      </c>
      <c r="AL3240">
        <v>87.743561121175304</v>
      </c>
      <c r="AM3240">
        <v>89.318630535040697</v>
      </c>
      <c r="AN3240">
        <v>1.0000000379476099</v>
      </c>
    </row>
    <row r="3241" spans="1:40" x14ac:dyDescent="0.25">
      <c r="A3241" t="str">
        <f>"20190312153948739"</f>
        <v>20190312153948739</v>
      </c>
      <c r="B3241" t="str">
        <f>"1552376388729423"</f>
        <v>1552376388729423</v>
      </c>
      <c r="C3241" t="s">
        <v>40</v>
      </c>
      <c r="D3241">
        <v>4.3144390000000001</v>
      </c>
      <c r="E3241">
        <v>0.4273692</v>
      </c>
      <c r="F3241" t="s">
        <v>54</v>
      </c>
      <c r="G3241">
        <v>-482.22109999999998</v>
      </c>
      <c r="H3241" s="1">
        <v>1.927471E-6</v>
      </c>
      <c r="I3241">
        <v>278.9511</v>
      </c>
      <c r="J3241">
        <v>-463.77550000000002</v>
      </c>
      <c r="K3241">
        <v>1.112123</v>
      </c>
      <c r="L3241">
        <v>282.57089999999999</v>
      </c>
      <c r="M3241">
        <v>-0.9995349</v>
      </c>
      <c r="N3241">
        <v>0</v>
      </c>
      <c r="O3241">
        <v>-1.1053230000000001E-2</v>
      </c>
      <c r="P3241">
        <v>-0.99994130000000003</v>
      </c>
      <c r="Q3241">
        <v>1.0849849999999999E-2</v>
      </c>
      <c r="R3241">
        <v>4.809325E-4</v>
      </c>
      <c r="S3241">
        <v>-3.0026549999999999</v>
      </c>
      <c r="T3241">
        <v>-0.1798546</v>
      </c>
      <c r="U3241">
        <v>-0.58560179999999995</v>
      </c>
      <c r="V3241">
        <v>1.154405E-2</v>
      </c>
      <c r="W3241">
        <v>3.9265370000000001E-2</v>
      </c>
      <c r="X3241">
        <v>0.99916210000000005</v>
      </c>
      <c r="Y3241">
        <v>-0.1802646</v>
      </c>
      <c r="Z3241">
        <v>-4.68835E-3</v>
      </c>
      <c r="AA3241">
        <v>0.98360700000000001</v>
      </c>
      <c r="AB3241">
        <v>20</v>
      </c>
      <c r="AC3241">
        <v>-18.445599999999899</v>
      </c>
      <c r="AD3241">
        <v>-1.1121210725290001</v>
      </c>
      <c r="AE3241">
        <v>-3.6197999999999899</v>
      </c>
      <c r="AF3241">
        <v>-3.4036988047425201</v>
      </c>
      <c r="AG3241">
        <v>-1.1121210725290001</v>
      </c>
      <c r="AH3241">
        <v>18.420022981949401</v>
      </c>
      <c r="AI3241">
        <v>93.397695097010896</v>
      </c>
      <c r="AJ3241">
        <v>100.469170966872</v>
      </c>
      <c r="AK3241">
        <v>18.7648401402441</v>
      </c>
      <c r="AL3241">
        <v>87.749681448321894</v>
      </c>
      <c r="AM3241">
        <v>89.338049436713703</v>
      </c>
      <c r="AN3241">
        <v>0.99999996822402404</v>
      </c>
    </row>
    <row r="3242" spans="1:40" x14ac:dyDescent="0.25">
      <c r="A3242" t="str">
        <f>"20190312153948752"</f>
        <v>20190312153948752</v>
      </c>
      <c r="B3242" t="str">
        <f>"1552376388739183"</f>
        <v>1552376388739183</v>
      </c>
      <c r="C3242" t="s">
        <v>40</v>
      </c>
      <c r="D3242">
        <v>4.3112839999999997</v>
      </c>
      <c r="E3242">
        <v>0.4272879</v>
      </c>
      <c r="F3242" t="s">
        <v>54</v>
      </c>
      <c r="G3242">
        <v>-482.64089999999999</v>
      </c>
      <c r="H3242" s="1">
        <v>1.974543E-6</v>
      </c>
      <c r="I3242">
        <v>278.87360000000001</v>
      </c>
      <c r="J3242">
        <v>-463.89319999999998</v>
      </c>
      <c r="K3242">
        <v>1.11208</v>
      </c>
      <c r="L3242">
        <v>282.56959999999998</v>
      </c>
      <c r="M3242">
        <v>-0.99953619999999999</v>
      </c>
      <c r="N3242">
        <v>0</v>
      </c>
      <c r="O3242">
        <v>-1.1007289999999999E-2</v>
      </c>
      <c r="P3242">
        <v>-0.9999401</v>
      </c>
      <c r="Q3242">
        <v>1.0941920000000001E-2</v>
      </c>
      <c r="R3242">
        <v>1.045606E-4</v>
      </c>
      <c r="S3242">
        <v>-3.0024109999999999</v>
      </c>
      <c r="T3242">
        <v>-0.17699279999999901</v>
      </c>
      <c r="U3242">
        <v>-0.58840939999999997</v>
      </c>
      <c r="V3242">
        <v>1.112137E-2</v>
      </c>
      <c r="W3242">
        <v>3.932302E-2</v>
      </c>
      <c r="X3242">
        <v>0.99916459999999996</v>
      </c>
      <c r="Y3242">
        <v>-0.1812183</v>
      </c>
      <c r="Z3242">
        <v>-4.6443359999999998E-3</v>
      </c>
      <c r="AA3242">
        <v>0.98343190000000003</v>
      </c>
      <c r="AB3242">
        <v>20</v>
      </c>
      <c r="AC3242">
        <v>-18.747699999999998</v>
      </c>
      <c r="AD3242">
        <v>-1.112078025457</v>
      </c>
      <c r="AE3242">
        <v>-3.6959999999999602</v>
      </c>
      <c r="AF3242">
        <v>-3.4775528322939202</v>
      </c>
      <c r="AG3242">
        <v>-1.112078025457</v>
      </c>
      <c r="AH3242">
        <v>18.7238450189129</v>
      </c>
      <c r="AI3242">
        <v>93.341994398746394</v>
      </c>
      <c r="AJ3242">
        <v>100.521575076235</v>
      </c>
      <c r="AK3242">
        <v>19.0764898115027</v>
      </c>
      <c r="AL3242">
        <v>87.746375732886506</v>
      </c>
      <c r="AM3242">
        <v>89.362286003294699</v>
      </c>
      <c r="AN3242">
        <v>0.99999994133287695</v>
      </c>
    </row>
    <row r="3243" spans="1:40" x14ac:dyDescent="0.25">
      <c r="A3243" t="str">
        <f>"20190312153948766"</f>
        <v>20190312153948766</v>
      </c>
      <c r="B3243" t="str">
        <f>"1552376388758702"</f>
        <v>1552376388758702</v>
      </c>
      <c r="C3243" t="s">
        <v>40</v>
      </c>
      <c r="D3243">
        <v>4.3035259999999997</v>
      </c>
      <c r="E3243">
        <v>0.42674390000000001</v>
      </c>
      <c r="F3243" t="s">
        <v>54</v>
      </c>
      <c r="G3243">
        <v>-482.98500000000001</v>
      </c>
      <c r="H3243" s="1">
        <v>2.0157349999999999E-6</v>
      </c>
      <c r="I3243">
        <v>278.81740000000002</v>
      </c>
      <c r="J3243">
        <v>-464.01089999999999</v>
      </c>
      <c r="K3243">
        <v>1.112052</v>
      </c>
      <c r="L3243">
        <v>282.5684</v>
      </c>
      <c r="M3243">
        <v>-0.99953789999999998</v>
      </c>
      <c r="N3243">
        <v>0</v>
      </c>
      <c r="O3243">
        <v>-1.096449E-2</v>
      </c>
      <c r="P3243">
        <v>-0.99992769999999997</v>
      </c>
      <c r="Q3243">
        <v>1.1974159999999999E-2</v>
      </c>
      <c r="R3243">
        <v>-1.2176419999999999E-3</v>
      </c>
      <c r="S3243">
        <v>-3.002167</v>
      </c>
      <c r="T3243">
        <v>-0.1748731</v>
      </c>
      <c r="U3243">
        <v>-0.59002690000000002</v>
      </c>
      <c r="V3243">
        <v>9.7562499999999993E-3</v>
      </c>
      <c r="W3243">
        <v>4.0314540000000003E-2</v>
      </c>
      <c r="X3243">
        <v>0.99913940000000001</v>
      </c>
      <c r="Y3243">
        <v>-0.18179139999999999</v>
      </c>
      <c r="Z3243">
        <v>-4.6079270000000004E-3</v>
      </c>
      <c r="AA3243">
        <v>0.98332629999999999</v>
      </c>
      <c r="AB3243">
        <v>20</v>
      </c>
      <c r="AC3243">
        <v>-18.9741</v>
      </c>
      <c r="AD3243">
        <v>-1.112049984265</v>
      </c>
      <c r="AE3243">
        <v>-3.7509999999999701</v>
      </c>
      <c r="AF3243">
        <v>-3.5309766470618298</v>
      </c>
      <c r="AG3243">
        <v>-1.112049984265</v>
      </c>
      <c r="AH3243">
        <v>18.951453135899701</v>
      </c>
      <c r="AI3243">
        <v>93.301514602904405</v>
      </c>
      <c r="AJ3243">
        <v>100.554158713657</v>
      </c>
      <c r="AK3243">
        <v>19.309635605360398</v>
      </c>
      <c r="AL3243">
        <v>87.689520846020699</v>
      </c>
      <c r="AM3243">
        <v>89.440544348915793</v>
      </c>
      <c r="AN3243">
        <v>0.99999999359091696</v>
      </c>
    </row>
    <row r="3244" spans="1:40" x14ac:dyDescent="0.25">
      <c r="A3244" t="str">
        <f>"20190312153948783"</f>
        <v>20190312153948783</v>
      </c>
      <c r="B3244" t="str">
        <f>"1552376388768463"</f>
        <v>1552376388768463</v>
      </c>
      <c r="C3244" t="s">
        <v>40</v>
      </c>
      <c r="D3244">
        <v>4.3027559999999996</v>
      </c>
      <c r="E3244">
        <v>0.42659900000000001</v>
      </c>
      <c r="F3244" t="s">
        <v>54</v>
      </c>
      <c r="G3244">
        <v>-483.75330000000002</v>
      </c>
      <c r="H3244" s="1">
        <v>2.0865810000000002E-6</v>
      </c>
      <c r="I3244">
        <v>278.63240000000002</v>
      </c>
      <c r="J3244">
        <v>-464.15019999999998</v>
      </c>
      <c r="K3244">
        <v>1.112033</v>
      </c>
      <c r="L3244">
        <v>282.56689999999998</v>
      </c>
      <c r="M3244">
        <v>-0.99953919999999996</v>
      </c>
      <c r="N3244">
        <v>0</v>
      </c>
      <c r="O3244">
        <v>-1.0917410000000001E-2</v>
      </c>
      <c r="P3244">
        <v>-0.99991980000000003</v>
      </c>
      <c r="Q3244">
        <v>1.259382E-2</v>
      </c>
      <c r="R3244">
        <v>-1.398926E-3</v>
      </c>
      <c r="S3244">
        <v>-3.0015559999999999</v>
      </c>
      <c r="T3244">
        <v>-0.16907159999999999</v>
      </c>
      <c r="U3244">
        <v>-0.59841919999999904</v>
      </c>
      <c r="V3244">
        <v>9.5275289999999999E-3</v>
      </c>
      <c r="W3244">
        <v>4.0908659999999999E-2</v>
      </c>
      <c r="X3244">
        <v>0.99911749999999999</v>
      </c>
      <c r="Y3244">
        <v>-0.18453439999999999</v>
      </c>
      <c r="Z3244">
        <v>-4.534059E-3</v>
      </c>
      <c r="AA3244">
        <v>0.98281560000000001</v>
      </c>
      <c r="AB3244">
        <v>20</v>
      </c>
      <c r="AC3244">
        <v>-19.603100000000001</v>
      </c>
      <c r="AD3244">
        <v>-1.1120309134190001</v>
      </c>
      <c r="AE3244">
        <v>-3.9344999999999501</v>
      </c>
      <c r="AF3244">
        <v>-3.7086919849365501</v>
      </c>
      <c r="AG3244">
        <v>-1.1120309134190001</v>
      </c>
      <c r="AH3244">
        <v>19.5843209451488</v>
      </c>
      <c r="AI3244">
        <v>93.193230124593001</v>
      </c>
      <c r="AJ3244">
        <v>100.723150181108</v>
      </c>
      <c r="AK3244">
        <v>19.963382375592801</v>
      </c>
      <c r="AL3244">
        <v>87.655452268816106</v>
      </c>
      <c r="AM3244">
        <v>89.453647188464601</v>
      </c>
      <c r="AN3244">
        <v>1.0000000355390399</v>
      </c>
    </row>
    <row r="3245" spans="1:40" x14ac:dyDescent="0.25">
      <c r="A3245" t="str">
        <f>"20190312153948799"</f>
        <v>20190312153948799</v>
      </c>
      <c r="B3245" t="str">
        <f>"1552376388788959"</f>
        <v>1552376388788959</v>
      </c>
      <c r="C3245" t="s">
        <v>40</v>
      </c>
      <c r="D3245">
        <v>4.3046249999999997</v>
      </c>
      <c r="E3245">
        <v>0.4261971</v>
      </c>
      <c r="F3245" t="s">
        <v>54</v>
      </c>
      <c r="G3245">
        <v>-484.32569999999998</v>
      </c>
      <c r="H3245" s="1">
        <v>2.153506E-6</v>
      </c>
      <c r="I3245">
        <v>278.53449999999998</v>
      </c>
      <c r="J3245">
        <v>-464.29939999999999</v>
      </c>
      <c r="K3245">
        <v>1.112055</v>
      </c>
      <c r="L3245">
        <v>282.56540000000001</v>
      </c>
      <c r="M3245">
        <v>-0.9995385</v>
      </c>
      <c r="N3245">
        <v>0</v>
      </c>
      <c r="O3245">
        <v>-1.087247E-2</v>
      </c>
      <c r="P3245">
        <v>-0.99989819999999996</v>
      </c>
      <c r="Q3245">
        <v>1.408893E-2</v>
      </c>
      <c r="R3245">
        <v>-2.2325700000000001E-3</v>
      </c>
      <c r="S3245">
        <v>-3.0015260000000001</v>
      </c>
      <c r="T3245">
        <v>-0.16543749999999999</v>
      </c>
      <c r="U3245">
        <v>-0.59991459999999996</v>
      </c>
      <c r="V3245">
        <v>8.6481200000000005E-3</v>
      </c>
      <c r="W3245">
        <v>4.2446079999999997E-2</v>
      </c>
      <c r="X3245">
        <v>0.99906130000000004</v>
      </c>
      <c r="Y3245">
        <v>-0.1850618</v>
      </c>
      <c r="Z3245">
        <v>-4.4534090000000002E-3</v>
      </c>
      <c r="AA3245">
        <v>0.98271679999999995</v>
      </c>
      <c r="AB3245">
        <v>20</v>
      </c>
      <c r="AC3245">
        <v>-20.0262999999999</v>
      </c>
      <c r="AD3245">
        <v>-1.112052846494</v>
      </c>
      <c r="AE3245">
        <v>-4.0309000000000301</v>
      </c>
      <c r="AF3245">
        <v>-3.8015726884402099</v>
      </c>
      <c r="AG3245">
        <v>-1.112052846494</v>
      </c>
      <c r="AH3245">
        <v>20.009660659299701</v>
      </c>
      <c r="AI3245">
        <v>93.125198066145401</v>
      </c>
      <c r="AJ3245">
        <v>100.75724070066499</v>
      </c>
      <c r="AK3245">
        <v>20.397919897362499</v>
      </c>
      <c r="AL3245">
        <v>87.567287823268799</v>
      </c>
      <c r="AM3245">
        <v>89.5040460467999</v>
      </c>
      <c r="AN3245">
        <v>0.99999997042229505</v>
      </c>
    </row>
    <row r="3246" spans="1:40" x14ac:dyDescent="0.25">
      <c r="A3246" t="str">
        <f>"20190312153948823"</f>
        <v>20190312153948823</v>
      </c>
      <c r="B3246" t="str">
        <f>"1552376388808479"</f>
        <v>1552376388808479</v>
      </c>
      <c r="C3246" t="s">
        <v>40</v>
      </c>
      <c r="D3246">
        <v>4.3150110000000002</v>
      </c>
      <c r="E3246">
        <v>0.42580299999999999</v>
      </c>
      <c r="F3246" t="s">
        <v>54</v>
      </c>
      <c r="G3246">
        <v>-485.07069999999999</v>
      </c>
      <c r="H3246" s="1">
        <v>2.2294950000000001E-6</v>
      </c>
      <c r="I3246">
        <v>278.37560000000002</v>
      </c>
      <c r="J3246">
        <v>-464.49009999999998</v>
      </c>
      <c r="K3246">
        <v>1.112098</v>
      </c>
      <c r="L3246">
        <v>282.5634</v>
      </c>
      <c r="M3246">
        <v>-0.99953550000000002</v>
      </c>
      <c r="N3246">
        <v>0</v>
      </c>
      <c r="O3246">
        <v>-1.082665E-2</v>
      </c>
      <c r="P3246">
        <v>-0.99988379999999999</v>
      </c>
      <c r="Q3246">
        <v>1.509048E-2</v>
      </c>
      <c r="R3246">
        <v>-2.235903E-3</v>
      </c>
      <c r="S3246">
        <v>-3.0012210000000001</v>
      </c>
      <c r="T3246">
        <v>-0.16067909999999999</v>
      </c>
      <c r="U3246">
        <v>-0.60537719999999995</v>
      </c>
      <c r="V3246">
        <v>8.5979130000000004E-3</v>
      </c>
      <c r="W3246">
        <v>4.3568469999999998E-2</v>
      </c>
      <c r="X3246">
        <v>0.99901340000000005</v>
      </c>
      <c r="Y3246">
        <v>-0.186857</v>
      </c>
      <c r="Z3246">
        <v>-4.3751299999999996E-3</v>
      </c>
      <c r="AA3246">
        <v>0.98237739999999996</v>
      </c>
      <c r="AB3246">
        <v>19</v>
      </c>
      <c r="AC3246">
        <v>-20.5806</v>
      </c>
      <c r="AD3246">
        <v>-1.1120957705050001</v>
      </c>
      <c r="AE3246">
        <v>-4.1877999999999798</v>
      </c>
      <c r="AF3246">
        <v>-3.9535599000587598</v>
      </c>
      <c r="AG3246">
        <v>-1.1120957705050001</v>
      </c>
      <c r="AH3246">
        <v>20.567084855431499</v>
      </c>
      <c r="AI3246">
        <v>93.039521370378495</v>
      </c>
      <c r="AJ3246">
        <v>100.881097770848</v>
      </c>
      <c r="AK3246">
        <v>20.9731345377044</v>
      </c>
      <c r="AL3246">
        <v>87.502920012599006</v>
      </c>
      <c r="AM3246">
        <v>89.506901543923107</v>
      </c>
      <c r="AN3246">
        <v>0.99999995453282697</v>
      </c>
    </row>
    <row r="3247" spans="1:40" x14ac:dyDescent="0.25">
      <c r="A3247" t="str">
        <f>"20190312153948845"</f>
        <v>20190312153948845</v>
      </c>
      <c r="B3247" t="str">
        <f>"1552376388838735"</f>
        <v>1552376388838735</v>
      </c>
      <c r="C3247" t="s">
        <v>40</v>
      </c>
      <c r="D3247">
        <v>4.3291589999999998</v>
      </c>
      <c r="E3247">
        <v>0.4255351</v>
      </c>
      <c r="F3247" t="s">
        <v>54</v>
      </c>
      <c r="G3247">
        <v>-485.6617</v>
      </c>
      <c r="H3247" s="1">
        <v>2.296403E-6</v>
      </c>
      <c r="I3247">
        <v>278.26830000000001</v>
      </c>
      <c r="J3247">
        <v>-464.67570000000001</v>
      </c>
      <c r="K3247">
        <v>1.1121299999999901</v>
      </c>
      <c r="L3247">
        <v>282.56139999999999</v>
      </c>
      <c r="M3247">
        <v>-0.99953340000000002</v>
      </c>
      <c r="N3247">
        <v>0</v>
      </c>
      <c r="O3247">
        <v>-1.080013E-2</v>
      </c>
      <c r="P3247">
        <v>-0.99988969999999999</v>
      </c>
      <c r="Q3247">
        <v>1.481324E-2</v>
      </c>
      <c r="R3247">
        <v>-1.181124E-3</v>
      </c>
      <c r="S3247">
        <v>-3.0013730000000001</v>
      </c>
      <c r="T3247">
        <v>-0.1576552</v>
      </c>
      <c r="U3247">
        <v>-0.608886699999999</v>
      </c>
      <c r="V3247">
        <v>9.6248370000000007E-3</v>
      </c>
      <c r="W3247">
        <v>4.3375539999999997E-2</v>
      </c>
      <c r="X3247">
        <v>0.99901249999999997</v>
      </c>
      <c r="Y3247">
        <v>-0.1879844</v>
      </c>
      <c r="Z3247">
        <v>-4.3228679999999997E-3</v>
      </c>
      <c r="AA3247">
        <v>0.98216250000000005</v>
      </c>
      <c r="AB3247">
        <v>19</v>
      </c>
      <c r="AC3247">
        <v>-20.985999999999901</v>
      </c>
      <c r="AD3247">
        <v>-1.1121277035970001</v>
      </c>
      <c r="AE3247">
        <v>-4.2930999999999804</v>
      </c>
      <c r="AF3247">
        <v>-4.0551744385635899</v>
      </c>
      <c r="AG3247">
        <v>-1.1121277035970001</v>
      </c>
      <c r="AH3247">
        <v>20.974622135946699</v>
      </c>
      <c r="AI3247">
        <v>92.980042778887906</v>
      </c>
      <c r="AJ3247">
        <v>100.942398242636</v>
      </c>
      <c r="AK3247">
        <v>21.391962076958599</v>
      </c>
      <c r="AL3247">
        <v>87.513984723202995</v>
      </c>
      <c r="AM3247">
        <v>89.448009432145497</v>
      </c>
      <c r="AN3247">
        <v>1.0000000250569001</v>
      </c>
    </row>
    <row r="3248" spans="1:40" x14ac:dyDescent="0.25">
      <c r="A3248" t="str">
        <f>"20190312153948868"</f>
        <v>20190312153948868</v>
      </c>
      <c r="B3248" t="str">
        <f>"1552376388859231"</f>
        <v>1552376388859231</v>
      </c>
      <c r="C3248" t="s">
        <v>40</v>
      </c>
      <c r="D3248">
        <v>4.3323099999999997</v>
      </c>
      <c r="E3248">
        <v>0.42534060000000001</v>
      </c>
      <c r="F3248" t="s">
        <v>54</v>
      </c>
      <c r="G3248">
        <v>-485.84219999999999</v>
      </c>
      <c r="H3248" s="1">
        <v>2.331054E-6</v>
      </c>
      <c r="I3248">
        <v>278.2758</v>
      </c>
      <c r="J3248">
        <v>-464.8578</v>
      </c>
      <c r="K3248">
        <v>1.112147</v>
      </c>
      <c r="L3248">
        <v>282.55939999999998</v>
      </c>
      <c r="M3248">
        <v>-0.9995328</v>
      </c>
      <c r="N3248">
        <v>0</v>
      </c>
      <c r="O3248">
        <v>-1.079252E-2</v>
      </c>
      <c r="P3248">
        <v>-0.99989229999999996</v>
      </c>
      <c r="Q3248">
        <v>1.4680260000000001E-2</v>
      </c>
      <c r="R3248" s="1">
        <v>-6.413256E-5</v>
      </c>
      <c r="S3248">
        <v>-3.0019840000000002</v>
      </c>
      <c r="T3248">
        <v>-0.15772990000000001</v>
      </c>
      <c r="U3248">
        <v>-0.60781859999999999</v>
      </c>
      <c r="V3248">
        <v>1.0733029999999999E-2</v>
      </c>
      <c r="W3248">
        <v>4.3268349999999997E-2</v>
      </c>
      <c r="X3248">
        <v>0.9990059</v>
      </c>
      <c r="Y3248">
        <v>-0.1876176</v>
      </c>
      <c r="Z3248">
        <v>-4.3150640000000004E-3</v>
      </c>
      <c r="AA3248">
        <v>0.98223269999999996</v>
      </c>
      <c r="AB3248">
        <v>19</v>
      </c>
      <c r="AC3248">
        <v>-20.984399999999901</v>
      </c>
      <c r="AD3248">
        <v>-1.1121446689459999</v>
      </c>
      <c r="AE3248">
        <v>-4.2835999999999697</v>
      </c>
      <c r="AF3248">
        <v>-4.0458734386719604</v>
      </c>
      <c r="AG3248">
        <v>-1.1121446689459999</v>
      </c>
      <c r="AH3248">
        <v>20.972873400061101</v>
      </c>
      <c r="AI3248">
        <v>92.980572904167005</v>
      </c>
      <c r="AJ3248">
        <v>100.918792892045</v>
      </c>
      <c r="AK3248">
        <v>21.3884870035589</v>
      </c>
      <c r="AL3248">
        <v>87.520132135877304</v>
      </c>
      <c r="AM3248">
        <v>89.384454425074793</v>
      </c>
      <c r="AN3248">
        <v>1.0000000681397501</v>
      </c>
    </row>
    <row r="3249" spans="1:40" x14ac:dyDescent="0.25">
      <c r="A3249" t="str">
        <f>"20190312153948889"</f>
        <v>20190312153948889</v>
      </c>
      <c r="B3249" t="str">
        <f>"1552376388878751"</f>
        <v>1552376388878751</v>
      </c>
      <c r="C3249" t="s">
        <v>40</v>
      </c>
      <c r="D3249">
        <v>4.3327400000000003</v>
      </c>
      <c r="E3249">
        <v>0.42498069999999999</v>
      </c>
      <c r="F3249" t="s">
        <v>54</v>
      </c>
      <c r="G3249">
        <v>-486.07010000000002</v>
      </c>
      <c r="H3249" s="1">
        <v>2.3720159999999999E-6</v>
      </c>
      <c r="I3249">
        <v>278.27730000000003</v>
      </c>
      <c r="J3249">
        <v>-465.03460000000001</v>
      </c>
      <c r="K3249">
        <v>1.112169</v>
      </c>
      <c r="L3249">
        <v>282.55759999999998</v>
      </c>
      <c r="M3249">
        <v>-0.99953250000000005</v>
      </c>
      <c r="N3249">
        <v>0</v>
      </c>
      <c r="O3249">
        <v>-1.0804869999999999E-2</v>
      </c>
      <c r="P3249">
        <v>-0.99989399999999995</v>
      </c>
      <c r="Q3249">
        <v>1.4549909999999999E-2</v>
      </c>
      <c r="R3249">
        <v>7.943014E-4</v>
      </c>
      <c r="S3249">
        <v>-3.0025940000000002</v>
      </c>
      <c r="T3249">
        <v>-0.15742410000000001</v>
      </c>
      <c r="U3249">
        <v>-0.60614009999999996</v>
      </c>
      <c r="V3249">
        <v>1.1602680000000001E-2</v>
      </c>
      <c r="W3249">
        <v>4.3141150000000003E-2</v>
      </c>
      <c r="X3249">
        <v>0.99900160000000005</v>
      </c>
      <c r="Y3249">
        <v>-0.18704080000000001</v>
      </c>
      <c r="Z3249">
        <v>-4.2904889999999998E-3</v>
      </c>
      <c r="AA3249">
        <v>0.98234279999999996</v>
      </c>
      <c r="AB3249">
        <v>18</v>
      </c>
      <c r="AC3249">
        <v>-21.035499999999999</v>
      </c>
      <c r="AD3249">
        <v>-1.1121666279839999</v>
      </c>
      <c r="AE3249">
        <v>-4.2802999999999498</v>
      </c>
      <c r="AF3249">
        <v>-4.04182201549835</v>
      </c>
      <c r="AG3249">
        <v>-1.1121666279839999</v>
      </c>
      <c r="AH3249">
        <v>21.0241051834894</v>
      </c>
      <c r="AI3249">
        <v>92.973746773157401</v>
      </c>
      <c r="AJ3249">
        <v>100.88217589669701</v>
      </c>
      <c r="AK3249">
        <v>21.437962556637501</v>
      </c>
      <c r="AL3249">
        <v>87.527426774135193</v>
      </c>
      <c r="AM3249">
        <v>89.3345809393915</v>
      </c>
      <c r="AN3249">
        <v>0.99999998890453201</v>
      </c>
    </row>
    <row r="3250" spans="1:40" x14ac:dyDescent="0.25">
      <c r="A3250" t="str">
        <f>"20190312153948911"</f>
        <v>20190312153948911</v>
      </c>
      <c r="B3250" t="str">
        <f>"1552376388899247"</f>
        <v>1552376388899247</v>
      </c>
      <c r="C3250" t="s">
        <v>40</v>
      </c>
      <c r="D3250">
        <v>4.289663</v>
      </c>
      <c r="E3250">
        <v>0.4246799</v>
      </c>
      <c r="F3250" t="s">
        <v>54</v>
      </c>
      <c r="G3250">
        <v>-486.05560000000003</v>
      </c>
      <c r="H3250" s="1">
        <v>2.3813430000000001E-6</v>
      </c>
      <c r="I3250">
        <v>278.3109</v>
      </c>
      <c r="J3250">
        <v>-465.21089999999998</v>
      </c>
      <c r="K3250">
        <v>1.1122019999999999</v>
      </c>
      <c r="L3250">
        <v>282.55560000000003</v>
      </c>
      <c r="M3250">
        <v>-0.99953179999999997</v>
      </c>
      <c r="N3250">
        <v>0</v>
      </c>
      <c r="O3250">
        <v>-1.0845570000000001E-2</v>
      </c>
      <c r="P3250">
        <v>-0.99988849999999996</v>
      </c>
      <c r="Q3250">
        <v>1.485647E-2</v>
      </c>
      <c r="R3250">
        <v>1.563154E-3</v>
      </c>
      <c r="S3250">
        <v>-3.0031430000000001</v>
      </c>
      <c r="T3250">
        <v>-0.15888859999999999</v>
      </c>
      <c r="U3250">
        <v>-0.60668949999999999</v>
      </c>
      <c r="V3250">
        <v>1.2410249999999999E-2</v>
      </c>
      <c r="W3250">
        <v>4.3460810000000002E-2</v>
      </c>
      <c r="X3250">
        <v>0.99897809999999998</v>
      </c>
      <c r="Y3250">
        <v>-0.1871343</v>
      </c>
      <c r="Z3250">
        <v>-4.3298119999999997E-3</v>
      </c>
      <c r="AA3250">
        <v>0.9823248</v>
      </c>
      <c r="AB3250">
        <v>18</v>
      </c>
      <c r="AC3250">
        <v>-20.8447</v>
      </c>
      <c r="AD3250">
        <v>-1.112199618657</v>
      </c>
      <c r="AE3250">
        <v>-4.2447000000000203</v>
      </c>
      <c r="AF3250">
        <v>-4.0073306273949996</v>
      </c>
      <c r="AG3250">
        <v>-1.112199618657</v>
      </c>
      <c r="AH3250">
        <v>20.832580942753498</v>
      </c>
      <c r="AI3250">
        <v>93.001062917435902</v>
      </c>
      <c r="AJ3250">
        <v>100.888351796694</v>
      </c>
      <c r="AK3250">
        <v>21.243637058784799</v>
      </c>
      <c r="AL3250">
        <v>87.509094563564702</v>
      </c>
      <c r="AM3250">
        <v>89.288254294908</v>
      </c>
      <c r="AN3250">
        <v>1.00000005029526</v>
      </c>
    </row>
    <row r="3251" spans="1:40" x14ac:dyDescent="0.25">
      <c r="A3251" t="str">
        <f>"20190312153948934"</f>
        <v>20190312153948934</v>
      </c>
      <c r="B3251" t="str">
        <f>"1552376388928527"</f>
        <v>1552376388928527</v>
      </c>
      <c r="C3251" t="s">
        <v>40</v>
      </c>
      <c r="D3251">
        <v>4.2655120000000002</v>
      </c>
      <c r="E3251">
        <v>0.42439690000000002</v>
      </c>
      <c r="F3251" t="s">
        <v>54</v>
      </c>
      <c r="G3251">
        <v>-486.3288</v>
      </c>
      <c r="H3251" s="1">
        <v>2.4212510000000001E-6</v>
      </c>
      <c r="I3251">
        <v>278.2867</v>
      </c>
      <c r="J3251">
        <v>-465.38260000000002</v>
      </c>
      <c r="K3251">
        <v>1.112252</v>
      </c>
      <c r="L3251">
        <v>282.55360000000002</v>
      </c>
      <c r="M3251">
        <v>-0.99953029999999998</v>
      </c>
      <c r="N3251">
        <v>0</v>
      </c>
      <c r="O3251">
        <v>-1.093032E-2</v>
      </c>
      <c r="P3251">
        <v>-0.99987440000000005</v>
      </c>
      <c r="Q3251">
        <v>1.5805630000000001E-2</v>
      </c>
      <c r="R3251">
        <v>1.3006350000000001E-3</v>
      </c>
      <c r="S3251">
        <v>-3.0036619999999998</v>
      </c>
      <c r="T3251">
        <v>-0.15819129999999901</v>
      </c>
      <c r="U3251">
        <v>-0.60717769999999904</v>
      </c>
      <c r="V3251">
        <v>1.222958E-2</v>
      </c>
      <c r="W3251">
        <v>4.4428809999999999E-2</v>
      </c>
      <c r="X3251">
        <v>0.99893770000000004</v>
      </c>
      <c r="Y3251">
        <v>-0.1871737</v>
      </c>
      <c r="Z3251">
        <v>-4.3066509999999999E-3</v>
      </c>
      <c r="AA3251">
        <v>0.98231740000000001</v>
      </c>
      <c r="AB3251">
        <v>18</v>
      </c>
      <c r="AC3251">
        <v>-20.946199999999902</v>
      </c>
      <c r="AD3251">
        <v>-1.1122495787489901</v>
      </c>
      <c r="AE3251">
        <v>-4.2669000000000201</v>
      </c>
      <c r="AF3251">
        <v>-4.0267008544942096</v>
      </c>
      <c r="AG3251">
        <v>-1.1122495787489901</v>
      </c>
      <c r="AH3251">
        <v>20.9349283129668</v>
      </c>
      <c r="AI3251">
        <v>92.986560131098003</v>
      </c>
      <c r="AJ3251">
        <v>100.88751466265801</v>
      </c>
      <c r="AK3251">
        <v>21.347661285632</v>
      </c>
      <c r="AL3251">
        <v>87.453578503920397</v>
      </c>
      <c r="AM3251">
        <v>89.298586573498397</v>
      </c>
      <c r="AN3251">
        <v>1.0000000051331399</v>
      </c>
    </row>
    <row r="3252" spans="1:40" x14ac:dyDescent="0.25">
      <c r="A3252" t="str">
        <f>"20190312153948956"</f>
        <v>20190312153948956</v>
      </c>
      <c r="B3252" t="str">
        <f>"1552376388949023"</f>
        <v>1552376388949023</v>
      </c>
      <c r="C3252" t="s">
        <v>40</v>
      </c>
      <c r="D3252">
        <v>4.278219</v>
      </c>
      <c r="E3252">
        <v>0.4241703</v>
      </c>
      <c r="F3252" t="s">
        <v>54</v>
      </c>
      <c r="G3252">
        <v>-487.0883</v>
      </c>
      <c r="H3252" s="1">
        <v>2.5049119999999998E-6</v>
      </c>
      <c r="I3252">
        <v>278.14229999999998</v>
      </c>
      <c r="J3252">
        <v>-465.55369999999999</v>
      </c>
      <c r="K3252">
        <v>1.112309</v>
      </c>
      <c r="L3252">
        <v>282.55169999999998</v>
      </c>
      <c r="M3252">
        <v>-0.99952830000000004</v>
      </c>
      <c r="N3252">
        <v>0</v>
      </c>
      <c r="O3252">
        <v>-1.107877E-2</v>
      </c>
      <c r="P3252">
        <v>-0.99985789999999997</v>
      </c>
      <c r="Q3252">
        <v>1.685789E-2</v>
      </c>
      <c r="R3252">
        <v>5.7096769999999896E-4</v>
      </c>
      <c r="S3252">
        <v>-3.0036320000000001</v>
      </c>
      <c r="T3252">
        <v>-0.15391250000000001</v>
      </c>
      <c r="U3252">
        <v>-0.61044309999999902</v>
      </c>
      <c r="V3252">
        <v>1.1643789999999999E-2</v>
      </c>
      <c r="W3252">
        <v>4.5491080000000003E-2</v>
      </c>
      <c r="X3252">
        <v>0.99889689999999998</v>
      </c>
      <c r="Y3252">
        <v>-0.18806709999999999</v>
      </c>
      <c r="Z3252">
        <v>-4.2050300000000002E-3</v>
      </c>
      <c r="AA3252">
        <v>0.9821472</v>
      </c>
      <c r="AB3252">
        <v>18</v>
      </c>
      <c r="AC3252">
        <v>-21.534600000000001</v>
      </c>
      <c r="AD3252">
        <v>-1.1123064950879999</v>
      </c>
      <c r="AE3252">
        <v>-4.4093999999999998</v>
      </c>
      <c r="AF3252">
        <v>-4.15980284838591</v>
      </c>
      <c r="AG3252">
        <v>-1.1123064950879999</v>
      </c>
      <c r="AH3252">
        <v>21.527026408847799</v>
      </c>
      <c r="AI3252">
        <v>92.904225110837004</v>
      </c>
      <c r="AJ3252">
        <v>100.93682581196499</v>
      </c>
      <c r="AK3252">
        <v>21.9534519263756</v>
      </c>
      <c r="AL3252">
        <v>87.392653335202795</v>
      </c>
      <c r="AM3252">
        <v>89.332153487941795</v>
      </c>
      <c r="AN3252">
        <v>1.0000000165173699</v>
      </c>
    </row>
    <row r="3253" spans="1:40" x14ac:dyDescent="0.25">
      <c r="A3253" t="str">
        <f>"20190312153948979"</f>
        <v>20190312153948979</v>
      </c>
      <c r="B3253" t="str">
        <f>"1552376388968543"</f>
        <v>1552376388968543</v>
      </c>
      <c r="C3253" t="s">
        <v>40</v>
      </c>
      <c r="D3253">
        <v>4.2762609999999999</v>
      </c>
      <c r="E3253">
        <v>0.41900900000000002</v>
      </c>
      <c r="F3253" t="s">
        <v>54</v>
      </c>
      <c r="G3253">
        <v>-487.79750000000001</v>
      </c>
      <c r="H3253" s="1">
        <v>2.5815970000000001E-6</v>
      </c>
      <c r="I3253">
        <v>278.0034</v>
      </c>
      <c r="J3253">
        <v>-465.71949999999998</v>
      </c>
      <c r="K3253">
        <v>1.112385</v>
      </c>
      <c r="L3253">
        <v>282.5496</v>
      </c>
      <c r="M3253">
        <v>-0.999525</v>
      </c>
      <c r="N3253">
        <v>0</v>
      </c>
      <c r="O3253">
        <v>-1.130658E-2</v>
      </c>
      <c r="P3253">
        <v>-0.99985619999999997</v>
      </c>
      <c r="Q3253">
        <v>1.6953240000000001E-2</v>
      </c>
      <c r="R3253">
        <v>-4.4173120000000002E-4</v>
      </c>
      <c r="S3253">
        <v>-3.0032960000000002</v>
      </c>
      <c r="T3253">
        <v>-0.1501806</v>
      </c>
      <c r="U3253">
        <v>-0.61410520000000002</v>
      </c>
      <c r="V3253">
        <v>1.0853649999999999E-2</v>
      </c>
      <c r="W3253">
        <v>4.561635E-2</v>
      </c>
      <c r="X3253">
        <v>0.99890009999999996</v>
      </c>
      <c r="Y3253">
        <v>-0.1890242</v>
      </c>
      <c r="Z3253">
        <v>-4.1155539999999996E-3</v>
      </c>
      <c r="AA3253">
        <v>0.98196380000000005</v>
      </c>
      <c r="AB3253">
        <v>17</v>
      </c>
      <c r="AC3253">
        <v>-22.077999999999999</v>
      </c>
      <c r="AD3253">
        <v>-1.112382418403</v>
      </c>
      <c r="AE3253">
        <v>-4.54619999999999</v>
      </c>
      <c r="AF3253">
        <v>-4.2857427328305002</v>
      </c>
      <c r="AG3253">
        <v>-1.112382418403</v>
      </c>
      <c r="AH3253">
        <v>22.0742530887036</v>
      </c>
      <c r="AI3253">
        <v>92.832057345206593</v>
      </c>
      <c r="AJ3253">
        <v>100.98735041541499</v>
      </c>
      <c r="AK3253">
        <v>22.513943120673499</v>
      </c>
      <c r="AL3253">
        <v>87.385468473354905</v>
      </c>
      <c r="AM3253">
        <v>89.377471414621994</v>
      </c>
      <c r="AN3253">
        <v>1.0000000314428199</v>
      </c>
    </row>
    <row r="3254" spans="1:40" x14ac:dyDescent="0.25">
      <c r="A3254" t="str">
        <f>"20190312153949000"</f>
        <v>20190312153949000</v>
      </c>
      <c r="B3254" t="str">
        <f>"1552376388989040"</f>
        <v>1552376388989040</v>
      </c>
      <c r="C3254" t="s">
        <v>40</v>
      </c>
      <c r="D3254">
        <v>4.2798179999999997</v>
      </c>
      <c r="E3254">
        <v>0.41923579999999999</v>
      </c>
      <c r="F3254" t="s">
        <v>54</v>
      </c>
      <c r="G3254">
        <v>-486.19220000000001</v>
      </c>
      <c r="H3254" s="1">
        <v>2.3155140000000001E-6</v>
      </c>
      <c r="I3254">
        <v>278.05619999999999</v>
      </c>
      <c r="J3254">
        <v>-465.8793</v>
      </c>
      <c r="K3254">
        <v>1.1126119999999999</v>
      </c>
      <c r="L3254">
        <v>282.54750000000001</v>
      </c>
      <c r="M3254">
        <v>-0.99950059999999996</v>
      </c>
      <c r="N3254">
        <v>0</v>
      </c>
      <c r="O3254">
        <v>-1.1555869999999999E-2</v>
      </c>
      <c r="P3254">
        <v>-0.99987459999999995</v>
      </c>
      <c r="Q3254">
        <v>1.5774630000000001E-2</v>
      </c>
      <c r="R3254">
        <v>-1.4495510000000001E-3</v>
      </c>
      <c r="S3254">
        <v>-3.0028990000000002</v>
      </c>
      <c r="T3254">
        <v>-0.1631629</v>
      </c>
      <c r="U3254">
        <v>-0.65908809999999995</v>
      </c>
      <c r="V3254">
        <v>1.009357E-2</v>
      </c>
      <c r="W3254">
        <v>4.5176689999999999E-2</v>
      </c>
      <c r="X3254">
        <v>0.99892800000000004</v>
      </c>
      <c r="Y3254">
        <v>-0.2028056</v>
      </c>
      <c r="Z3254">
        <v>-4.8209289999999998E-3</v>
      </c>
      <c r="AA3254">
        <v>0.97920720000000006</v>
      </c>
      <c r="AB3254">
        <v>17</v>
      </c>
      <c r="AC3254">
        <v>-20.312899999999999</v>
      </c>
      <c r="AD3254">
        <v>-1.1126096844859901</v>
      </c>
      <c r="AE3254">
        <v>-4.4913000000000203</v>
      </c>
      <c r="AF3254">
        <v>-4.2440258086280602</v>
      </c>
      <c r="AG3254">
        <v>-1.1126096844859901</v>
      </c>
      <c r="AH3254">
        <v>20.3053861912875</v>
      </c>
      <c r="AI3254">
        <v>93.070107219121795</v>
      </c>
      <c r="AJ3254">
        <v>101.805433316061</v>
      </c>
      <c r="AK3254">
        <v>20.773982857209699</v>
      </c>
      <c r="AL3254">
        <v>87.410685002540106</v>
      </c>
      <c r="AM3254">
        <v>89.421080117377599</v>
      </c>
      <c r="AN3254">
        <v>0.99999998132934997</v>
      </c>
    </row>
    <row r="3255" spans="1:40" x14ac:dyDescent="0.25">
      <c r="A3255" t="str">
        <f>"20190312153949024"</f>
        <v>20190312153949024</v>
      </c>
      <c r="B3255" t="str">
        <f>"1552376389019295"</f>
        <v>1552376389019295</v>
      </c>
      <c r="C3255" t="s">
        <v>40</v>
      </c>
      <c r="D3255">
        <v>4.2771290000000004</v>
      </c>
      <c r="E3255">
        <v>0.4192188</v>
      </c>
      <c r="F3255" t="s">
        <v>54</v>
      </c>
      <c r="G3255">
        <v>-486.7038</v>
      </c>
      <c r="H3255" s="1">
        <v>2.375753E-6</v>
      </c>
      <c r="I3255">
        <v>277.9699</v>
      </c>
      <c r="J3255">
        <v>-466.03800000000001</v>
      </c>
      <c r="K3255">
        <v>1.112886</v>
      </c>
      <c r="L3255">
        <v>282.5453</v>
      </c>
      <c r="M3255">
        <v>-0.99946480000000004</v>
      </c>
      <c r="N3255">
        <v>0</v>
      </c>
      <c r="O3255">
        <v>-1.186008E-2</v>
      </c>
      <c r="P3255">
        <v>-0.99989090000000003</v>
      </c>
      <c r="Q3255">
        <v>1.4615370000000001E-2</v>
      </c>
      <c r="R3255">
        <v>-2.1907290000000002E-3</v>
      </c>
      <c r="S3255">
        <v>-3.0019529999999999</v>
      </c>
      <c r="T3255">
        <v>-0.160388</v>
      </c>
      <c r="U3255">
        <v>-0.65988159999999996</v>
      </c>
      <c r="V3255">
        <v>9.6556860000000001E-3</v>
      </c>
      <c r="W3255">
        <v>4.5098100000000002E-2</v>
      </c>
      <c r="X3255">
        <v>0.99893589999999999</v>
      </c>
      <c r="Y3255">
        <v>-0.20282800000000001</v>
      </c>
      <c r="Z3255">
        <v>-4.7249029999999999E-3</v>
      </c>
      <c r="AA3255">
        <v>0.97920300000000005</v>
      </c>
      <c r="AB3255">
        <v>16</v>
      </c>
      <c r="AC3255">
        <v>-20.665799999999901</v>
      </c>
      <c r="AD3255">
        <v>-1.1128836242469999</v>
      </c>
      <c r="AE3255">
        <v>-4.5754000000000001</v>
      </c>
      <c r="AF3255">
        <v>-4.31792907943621</v>
      </c>
      <c r="AG3255">
        <v>-1.1128836242469999</v>
      </c>
      <c r="AH3255">
        <v>20.661516814877299</v>
      </c>
      <c r="AI3255">
        <v>93.018045235448895</v>
      </c>
      <c r="AJ3255">
        <v>101.804021011852</v>
      </c>
      <c r="AK3255">
        <v>21.137201768153101</v>
      </c>
      <c r="AL3255">
        <v>87.415192524439803</v>
      </c>
      <c r="AM3255">
        <v>89.446197871699496</v>
      </c>
      <c r="AN3255">
        <v>1.0000000016022701</v>
      </c>
    </row>
    <row r="3256" spans="1:40" x14ac:dyDescent="0.25">
      <c r="A3256" t="str">
        <f>"20190312153949046"</f>
        <v>20190312153949046</v>
      </c>
      <c r="B3256" t="str">
        <f>"1552376389038815"</f>
        <v>1552376389038815</v>
      </c>
      <c r="C3256" t="s">
        <v>40</v>
      </c>
      <c r="D3256">
        <v>4.2391540000000001</v>
      </c>
      <c r="E3256">
        <v>0.41885519999999998</v>
      </c>
      <c r="F3256" t="s">
        <v>54</v>
      </c>
      <c r="G3256">
        <v>-486.3904</v>
      </c>
      <c r="H3256" s="1">
        <v>2.3501740000000001E-6</v>
      </c>
      <c r="I3256">
        <v>278.05470000000003</v>
      </c>
      <c r="J3256">
        <v>-466.18740000000003</v>
      </c>
      <c r="K3256">
        <v>1.1130739999999999</v>
      </c>
      <c r="L3256">
        <v>282.54309999999998</v>
      </c>
      <c r="M3256">
        <v>-0.99943470000000001</v>
      </c>
      <c r="N3256">
        <v>0</v>
      </c>
      <c r="O3256">
        <v>-1.2254309999999999E-2</v>
      </c>
      <c r="P3256">
        <v>-0.99988440000000001</v>
      </c>
      <c r="Q3256">
        <v>1.498822E-2</v>
      </c>
      <c r="R3256">
        <v>-2.5674339999999999E-3</v>
      </c>
      <c r="S3256">
        <v>-3.0012819999999998</v>
      </c>
      <c r="T3256">
        <v>-0.16411229999999999</v>
      </c>
      <c r="U3256">
        <v>-0.66220089999999998</v>
      </c>
      <c r="V3256">
        <v>9.6690649999999993E-3</v>
      </c>
      <c r="W3256">
        <v>4.628608E-2</v>
      </c>
      <c r="X3256">
        <v>0.99888140000000003</v>
      </c>
      <c r="Y3256">
        <v>-0.20319690000000001</v>
      </c>
      <c r="Z3256">
        <v>-4.8237810000000001E-3</v>
      </c>
      <c r="AA3256">
        <v>0.97912600000000005</v>
      </c>
      <c r="AB3256">
        <v>16</v>
      </c>
      <c r="AC3256">
        <v>-20.2029999999999</v>
      </c>
      <c r="AD3256">
        <v>-1.1130716498259901</v>
      </c>
      <c r="AE3256">
        <v>-4.4883999999999498</v>
      </c>
      <c r="AF3256">
        <v>-4.22813702367025</v>
      </c>
      <c r="AG3256">
        <v>-1.1130716498259901</v>
      </c>
      <c r="AH3256">
        <v>20.198085399344698</v>
      </c>
      <c r="AI3256">
        <v>93.087464590834699</v>
      </c>
      <c r="AJ3256">
        <v>101.823202555894</v>
      </c>
      <c r="AK3256">
        <v>20.665883116571599</v>
      </c>
      <c r="AL3256">
        <v>87.3470550361465</v>
      </c>
      <c r="AM3256">
        <v>89.445400310698503</v>
      </c>
      <c r="AN3256">
        <v>0.99999997164284904</v>
      </c>
    </row>
    <row r="3257" spans="1:40" x14ac:dyDescent="0.25">
      <c r="A3257" t="str">
        <f>"20190312153949069"</f>
        <v>20190312153949069</v>
      </c>
      <c r="B3257" t="str">
        <f>"1552376389059310"</f>
        <v>1552376389059310</v>
      </c>
      <c r="C3257" t="s">
        <v>40</v>
      </c>
      <c r="D3257">
        <v>4.2317609999999997</v>
      </c>
      <c r="E3257">
        <v>0.4186706</v>
      </c>
      <c r="F3257" t="s">
        <v>54</v>
      </c>
      <c r="G3257">
        <v>-486.52800000000002</v>
      </c>
      <c r="H3257" s="1">
        <v>2.364456E-6</v>
      </c>
      <c r="I3257">
        <v>278.02609999999999</v>
      </c>
      <c r="J3257">
        <v>-466.33530000000002</v>
      </c>
      <c r="K3257">
        <v>1.113086</v>
      </c>
      <c r="L3257">
        <v>282.54059999999998</v>
      </c>
      <c r="M3257">
        <v>-0.9994267</v>
      </c>
      <c r="N3257">
        <v>0</v>
      </c>
      <c r="O3257">
        <v>-1.2805550000000001E-2</v>
      </c>
      <c r="P3257">
        <v>-0.99984269999999997</v>
      </c>
      <c r="Q3257">
        <v>1.7428599999999999E-2</v>
      </c>
      <c r="R3257">
        <v>-3.3179889999999999E-3</v>
      </c>
      <c r="S3257">
        <v>-3.001099</v>
      </c>
      <c r="T3257">
        <v>-0.16422529999999999</v>
      </c>
      <c r="U3257">
        <v>-0.66644289999999995</v>
      </c>
      <c r="V3257">
        <v>9.4585829999999996E-3</v>
      </c>
      <c r="W3257">
        <v>4.8766169999999998E-2</v>
      </c>
      <c r="X3257">
        <v>0.99876540000000003</v>
      </c>
      <c r="Y3257">
        <v>-0.20398810000000001</v>
      </c>
      <c r="Z3257">
        <v>-4.8182570000000003E-3</v>
      </c>
      <c r="AA3257">
        <v>0.97896150000000004</v>
      </c>
      <c r="AB3257">
        <v>15</v>
      </c>
      <c r="AC3257">
        <v>-20.192699999999999</v>
      </c>
      <c r="AD3257">
        <v>-1.1130836355439999</v>
      </c>
      <c r="AE3257">
        <v>-4.5144999999999902</v>
      </c>
      <c r="AF3257">
        <v>-4.2431444958930804</v>
      </c>
      <c r="AG3257">
        <v>-1.1130836355439999</v>
      </c>
      <c r="AH3257">
        <v>20.190452517627001</v>
      </c>
      <c r="AI3257">
        <v>93.088153407876305</v>
      </c>
      <c r="AJ3257">
        <v>101.868338809127</v>
      </c>
      <c r="AK3257">
        <v>20.661500508416498</v>
      </c>
      <c r="AL3257">
        <v>87.204795530787806</v>
      </c>
      <c r="AM3257">
        <v>89.457409432142398</v>
      </c>
      <c r="AN3257">
        <v>0.99999996418299697</v>
      </c>
    </row>
    <row r="3258" spans="1:40" x14ac:dyDescent="0.25">
      <c r="A3258" t="str">
        <f>"20190312153949090"</f>
        <v>20190312153949090</v>
      </c>
      <c r="B3258" t="str">
        <f>"1552376389078832"</f>
        <v>1552376389078832</v>
      </c>
      <c r="C3258" t="s">
        <v>40</v>
      </c>
      <c r="D3258">
        <v>4.268294</v>
      </c>
      <c r="E3258">
        <v>0.41591990000000001</v>
      </c>
      <c r="F3258" t="s">
        <v>54</v>
      </c>
      <c r="G3258">
        <v>-487.62380000000002</v>
      </c>
      <c r="H3258" s="1">
        <v>2.474163E-6</v>
      </c>
      <c r="I3258">
        <v>277.78660000000002</v>
      </c>
      <c r="J3258">
        <v>-466.47730000000001</v>
      </c>
      <c r="K3258">
        <v>1.112997</v>
      </c>
      <c r="L3258">
        <v>282.53809999999999</v>
      </c>
      <c r="M3258">
        <v>-0.99943329999999997</v>
      </c>
      <c r="N3258">
        <v>0</v>
      </c>
      <c r="O3258">
        <v>-1.346149E-2</v>
      </c>
      <c r="P3258">
        <v>-0.99979569999999995</v>
      </c>
      <c r="Q3258">
        <v>1.972995E-2</v>
      </c>
      <c r="R3258">
        <v>-4.4124689999999996E-3</v>
      </c>
      <c r="S3258">
        <v>-3.0009769999999998</v>
      </c>
      <c r="T3258">
        <v>-0.156908299999999</v>
      </c>
      <c r="U3258">
        <v>-0.67016600000000004</v>
      </c>
      <c r="V3258">
        <v>9.0067040000000008E-3</v>
      </c>
      <c r="W3258">
        <v>5.0573050000000001E-2</v>
      </c>
      <c r="X3258">
        <v>0.99867980000000001</v>
      </c>
      <c r="Y3258">
        <v>-0.2045353</v>
      </c>
      <c r="Z3258">
        <v>-4.5837320000000001E-3</v>
      </c>
      <c r="AA3258">
        <v>0.97884850000000001</v>
      </c>
      <c r="AB3258">
        <v>15</v>
      </c>
      <c r="AC3258">
        <v>-21.1465</v>
      </c>
      <c r="AD3258">
        <v>-1.112994525837</v>
      </c>
      <c r="AE3258">
        <v>-4.7514999999999601</v>
      </c>
      <c r="AF3258">
        <v>-4.45452328590103</v>
      </c>
      <c r="AG3258">
        <v>-1.112994525837</v>
      </c>
      <c r="AH3258">
        <v>21.152793877124999</v>
      </c>
      <c r="AI3258">
        <v>92.947420673579302</v>
      </c>
      <c r="AJ3258">
        <v>101.89203895122201</v>
      </c>
      <c r="AK3258">
        <v>21.645374178500902</v>
      </c>
      <c r="AL3258">
        <v>87.101141218948698</v>
      </c>
      <c r="AM3258">
        <v>89.483285697499298</v>
      </c>
      <c r="AN3258">
        <v>1.0000000485156399</v>
      </c>
    </row>
    <row r="3259" spans="1:40" x14ac:dyDescent="0.25">
      <c r="A3259" t="str">
        <f>"20190312153949112"</f>
        <v>20190312153949112</v>
      </c>
      <c r="B3259" t="str">
        <f>"1552376389099327"</f>
        <v>1552376389099327</v>
      </c>
      <c r="C3259" t="s">
        <v>40</v>
      </c>
      <c r="D3259">
        <v>4.2115</v>
      </c>
      <c r="E3259">
        <v>0.41672510000000001</v>
      </c>
      <c r="F3259" t="s">
        <v>54</v>
      </c>
      <c r="G3259">
        <v>-486.2835</v>
      </c>
      <c r="H3259" s="1">
        <v>2.291169E-6</v>
      </c>
      <c r="I3259">
        <v>277.94150000000002</v>
      </c>
      <c r="J3259">
        <v>-466.62150000000003</v>
      </c>
      <c r="K3259">
        <v>1.112943</v>
      </c>
      <c r="L3259">
        <v>282.53519999999997</v>
      </c>
      <c r="M3259">
        <v>-0.9994343</v>
      </c>
      <c r="N3259">
        <v>0</v>
      </c>
      <c r="O3259">
        <v>-1.422259E-2</v>
      </c>
      <c r="P3259">
        <v>-0.99975829999999999</v>
      </c>
      <c r="Q3259">
        <v>2.1074499999999999E-2</v>
      </c>
      <c r="R3259">
        <v>-6.2789289999999999E-3</v>
      </c>
      <c r="S3259">
        <v>-3.0008539999999999</v>
      </c>
      <c r="T3259">
        <v>-0.16863040000000001</v>
      </c>
      <c r="U3259">
        <v>-0.69644169999999905</v>
      </c>
      <c r="V3259">
        <v>7.8912779999999998E-3</v>
      </c>
      <c r="W3259">
        <v>5.1544050000000001E-2</v>
      </c>
      <c r="X3259">
        <v>0.99863950000000001</v>
      </c>
      <c r="Y3259">
        <v>-0.21189330000000001</v>
      </c>
      <c r="Z3259">
        <v>-5.0828729999999999E-3</v>
      </c>
      <c r="AA3259">
        <v>0.97727960000000003</v>
      </c>
      <c r="AB3259">
        <v>15</v>
      </c>
      <c r="AC3259">
        <v>-19.6619999999999</v>
      </c>
      <c r="AD3259">
        <v>-1.1129407088309999</v>
      </c>
      <c r="AE3259">
        <v>-4.5936999999999504</v>
      </c>
      <c r="AF3259">
        <v>-4.3003952241469596</v>
      </c>
      <c r="AG3259">
        <v>-1.1129407088309999</v>
      </c>
      <c r="AH3259">
        <v>19.665627232536501</v>
      </c>
      <c r="AI3259">
        <v>93.164475967211004</v>
      </c>
      <c r="AJ3259">
        <v>102.335025720602</v>
      </c>
      <c r="AK3259">
        <v>20.1610746378838</v>
      </c>
      <c r="AL3259">
        <v>87.045434083825</v>
      </c>
      <c r="AM3259">
        <v>89.547256528576696</v>
      </c>
      <c r="AN3259">
        <v>0.99999995615956105</v>
      </c>
    </row>
    <row r="3260" spans="1:40" x14ac:dyDescent="0.25">
      <c r="A3260" t="str">
        <f>"20190312153949135"</f>
        <v>20190312153949135</v>
      </c>
      <c r="B3260" t="str">
        <f>"1552376389128607"</f>
        <v>1552376389128607</v>
      </c>
      <c r="C3260" t="s">
        <v>40</v>
      </c>
      <c r="D3260">
        <v>4.2007770000000004</v>
      </c>
      <c r="E3260">
        <v>0.41661199999999998</v>
      </c>
      <c r="F3260" t="s">
        <v>54</v>
      </c>
      <c r="G3260">
        <v>-487.97039999999998</v>
      </c>
      <c r="H3260" s="1">
        <v>2.4659509999999999E-6</v>
      </c>
      <c r="I3260">
        <v>277.58940000000001</v>
      </c>
      <c r="J3260">
        <v>-466.76179999999999</v>
      </c>
      <c r="K3260">
        <v>1.112975</v>
      </c>
      <c r="L3260">
        <v>282.53210000000001</v>
      </c>
      <c r="M3260">
        <v>-0.99942339999999996</v>
      </c>
      <c r="N3260">
        <v>0</v>
      </c>
      <c r="O3260">
        <v>-1.508016E-2</v>
      </c>
      <c r="P3260">
        <v>-0.99973970000000001</v>
      </c>
      <c r="Q3260">
        <v>2.1007109999999999E-2</v>
      </c>
      <c r="R3260">
        <v>-8.9322749999999999E-3</v>
      </c>
      <c r="S3260">
        <v>-2.9996640000000001</v>
      </c>
      <c r="T3260">
        <v>-0.15637579999999901</v>
      </c>
      <c r="U3260">
        <v>-0.69491579999999997</v>
      </c>
      <c r="V3260">
        <v>6.0921589999999998E-3</v>
      </c>
      <c r="W3260">
        <v>5.1420710000000001E-2</v>
      </c>
      <c r="X3260">
        <v>0.9986585</v>
      </c>
      <c r="Y3260">
        <v>-0.21071210000000001</v>
      </c>
      <c r="Z3260">
        <v>-4.6416419999999996E-3</v>
      </c>
      <c r="AA3260">
        <v>0.9775372</v>
      </c>
      <c r="AB3260">
        <v>15</v>
      </c>
      <c r="AC3260">
        <v>-21.208599999999901</v>
      </c>
      <c r="AD3260">
        <v>-1.112972534049</v>
      </c>
      <c r="AE3260">
        <v>-4.9427000000000003</v>
      </c>
      <c r="AF3260">
        <v>-4.6101185680552197</v>
      </c>
      <c r="AG3260">
        <v>-1.112972534049</v>
      </c>
      <c r="AH3260">
        <v>21.225316515489698</v>
      </c>
      <c r="AI3260">
        <v>92.933347461277407</v>
      </c>
      <c r="AJ3260">
        <v>102.25425498984001</v>
      </c>
      <c r="AK3260">
        <v>21.748700242906299</v>
      </c>
      <c r="AL3260">
        <v>87.052510463781402</v>
      </c>
      <c r="AM3260">
        <v>89.650480450536904</v>
      </c>
      <c r="AN3260">
        <v>1.00000000172021</v>
      </c>
    </row>
    <row r="3261" spans="1:40" x14ac:dyDescent="0.25">
      <c r="A3261" t="str">
        <f>"20190312153949156"</f>
        <v>20190312153949156</v>
      </c>
      <c r="B3261" t="str">
        <f>"1552376389149104"</f>
        <v>1552376389149104</v>
      </c>
      <c r="C3261" t="s">
        <v>40</v>
      </c>
      <c r="D3261">
        <v>4.1584659999999998</v>
      </c>
      <c r="E3261">
        <v>0.41669479999999998</v>
      </c>
      <c r="F3261" t="s">
        <v>54</v>
      </c>
      <c r="G3261">
        <v>-487.46069999999997</v>
      </c>
      <c r="H3261" s="1">
        <v>2.4051500000000002E-6</v>
      </c>
      <c r="I3261">
        <v>277.67320000000001</v>
      </c>
      <c r="J3261">
        <v>-466.89620000000002</v>
      </c>
      <c r="K3261">
        <v>1.1130100000000001</v>
      </c>
      <c r="L3261">
        <v>282.529</v>
      </c>
      <c r="M3261">
        <v>-0.99940640000000003</v>
      </c>
      <c r="N3261">
        <v>0</v>
      </c>
      <c r="O3261">
        <v>-1.6052690000000001E-2</v>
      </c>
      <c r="P3261">
        <v>-0.99971290000000002</v>
      </c>
      <c r="Q3261">
        <v>2.0963329999999999E-2</v>
      </c>
      <c r="R3261">
        <v>-1.161218E-2</v>
      </c>
      <c r="S3261">
        <v>-2.9978940000000001</v>
      </c>
      <c r="T3261">
        <v>-0.16119549999999999</v>
      </c>
      <c r="U3261">
        <v>-0.70373540000000001</v>
      </c>
      <c r="V3261">
        <v>4.3845339999999998E-3</v>
      </c>
      <c r="W3261">
        <v>5.1435000000000002E-2</v>
      </c>
      <c r="X3261">
        <v>0.99866670000000002</v>
      </c>
      <c r="Y3261">
        <v>-0.2125976</v>
      </c>
      <c r="Z3261">
        <v>-4.7841350000000001E-3</v>
      </c>
      <c r="AA3261">
        <v>0.97712810000000005</v>
      </c>
      <c r="AB3261">
        <v>14</v>
      </c>
      <c r="AC3261">
        <v>-20.564499999999899</v>
      </c>
      <c r="AD3261">
        <v>-1.11300759485</v>
      </c>
      <c r="AE3261">
        <v>-4.8557999999999799</v>
      </c>
      <c r="AF3261">
        <v>-4.5123847623619797</v>
      </c>
      <c r="AG3261">
        <v>-1.11300759485</v>
      </c>
      <c r="AH3261">
        <v>20.5827242885644</v>
      </c>
      <c r="AI3261">
        <v>93.023576094247403</v>
      </c>
      <c r="AJ3261">
        <v>102.36542132060001</v>
      </c>
      <c r="AK3261">
        <v>21.100922759179301</v>
      </c>
      <c r="AL3261">
        <v>87.051690559665403</v>
      </c>
      <c r="AM3261">
        <v>89.748450930375597</v>
      </c>
      <c r="AN3261">
        <v>0.99999998052614303</v>
      </c>
    </row>
    <row r="3262" spans="1:40" x14ac:dyDescent="0.25">
      <c r="A3262" t="str">
        <f>"20190312153949180"</f>
        <v>20190312153949180</v>
      </c>
      <c r="B3262" t="str">
        <f>"1552376389168624"</f>
        <v>1552376389168624</v>
      </c>
      <c r="C3262" t="s">
        <v>40</v>
      </c>
      <c r="D3262">
        <v>4.1591690000000003</v>
      </c>
      <c r="E3262">
        <v>0.41662399999999999</v>
      </c>
      <c r="F3262" t="s">
        <v>54</v>
      </c>
      <c r="G3262">
        <v>-487.08159999999998</v>
      </c>
      <c r="H3262" s="1">
        <v>2.3612719999999998E-6</v>
      </c>
      <c r="I3262">
        <v>277.73930000000001</v>
      </c>
      <c r="J3262">
        <v>-467.02940000000001</v>
      </c>
      <c r="K3262">
        <v>1.1129929999999999</v>
      </c>
      <c r="L3262">
        <v>282.5256</v>
      </c>
      <c r="M3262">
        <v>-0.99939509999999998</v>
      </c>
      <c r="N3262">
        <v>0</v>
      </c>
      <c r="O3262">
        <v>-1.716328E-2</v>
      </c>
      <c r="P3262">
        <v>-0.99966480000000002</v>
      </c>
      <c r="Q3262">
        <v>2.1104540000000001E-2</v>
      </c>
      <c r="R3262">
        <v>-1.499286E-2</v>
      </c>
      <c r="S3262">
        <v>-2.9960330000000002</v>
      </c>
      <c r="T3262">
        <v>-0.1651987</v>
      </c>
      <c r="U3262">
        <v>-0.71090699999999996</v>
      </c>
      <c r="V3262">
        <v>2.1114049999999998E-3</v>
      </c>
      <c r="W3262">
        <v>5.1340719999999999E-2</v>
      </c>
      <c r="X3262">
        <v>0.99867899999999998</v>
      </c>
      <c r="Y3262">
        <v>-0.2138485</v>
      </c>
      <c r="Z3262">
        <v>-4.878093E-3</v>
      </c>
      <c r="AA3262">
        <v>0.97685460000000002</v>
      </c>
      <c r="AB3262">
        <v>14</v>
      </c>
      <c r="AC3262">
        <v>-20.0521999999999</v>
      </c>
      <c r="AD3262">
        <v>-1.112990638728</v>
      </c>
      <c r="AE3262">
        <v>-4.7862999999999802</v>
      </c>
      <c r="AF3262">
        <v>-4.4283678830369899</v>
      </c>
      <c r="AG3262">
        <v>-1.112990638728</v>
      </c>
      <c r="AH3262">
        <v>20.072923153228299</v>
      </c>
      <c r="AI3262">
        <v>93.099275026237706</v>
      </c>
      <c r="AJ3262">
        <v>102.440969761579</v>
      </c>
      <c r="AK3262">
        <v>20.5857094651804</v>
      </c>
      <c r="AL3262">
        <v>87.057099716667494</v>
      </c>
      <c r="AM3262">
        <v>89.878865566315199</v>
      </c>
      <c r="AN3262">
        <v>1.0000000363010899</v>
      </c>
    </row>
    <row r="3263" spans="1:40" x14ac:dyDescent="0.25">
      <c r="A3263" t="str">
        <f>"20190312153949201"</f>
        <v>20190312153949201</v>
      </c>
      <c r="B3263" t="str">
        <f>"1552376389189119"</f>
        <v>1552376389189119</v>
      </c>
      <c r="C3263" t="s">
        <v>40</v>
      </c>
      <c r="D3263">
        <v>4.1308030000000002</v>
      </c>
      <c r="E3263">
        <v>0.41663129999999998</v>
      </c>
      <c r="F3263" t="s">
        <v>54</v>
      </c>
      <c r="G3263">
        <v>-487.06560000000002</v>
      </c>
      <c r="H3263" s="1">
        <v>2.3443320000000002E-6</v>
      </c>
      <c r="I3263">
        <v>277.69940000000003</v>
      </c>
      <c r="J3263">
        <v>-467.15839999999997</v>
      </c>
      <c r="K3263">
        <v>1.1129359999999999</v>
      </c>
      <c r="L3263">
        <v>282.52199999999999</v>
      </c>
      <c r="M3263">
        <v>-0.9993919</v>
      </c>
      <c r="N3263">
        <v>0</v>
      </c>
      <c r="O3263">
        <v>-1.82983E-2</v>
      </c>
      <c r="P3263">
        <v>-0.99962419999999996</v>
      </c>
      <c r="Q3263">
        <v>2.0688970000000001E-2</v>
      </c>
      <c r="R3263">
        <v>-1.7980880000000001E-2</v>
      </c>
      <c r="S3263">
        <v>-2.9937130000000001</v>
      </c>
      <c r="T3263">
        <v>-0.16629739999999901</v>
      </c>
      <c r="U3263">
        <v>-0.72109990000000002</v>
      </c>
      <c r="V3263">
        <v>2.535169E-4</v>
      </c>
      <c r="W3263">
        <v>5.0357319999999997E-2</v>
      </c>
      <c r="X3263">
        <v>0.99873129999999999</v>
      </c>
      <c r="Y3263">
        <v>-0.21604950000000001</v>
      </c>
      <c r="Z3263">
        <v>-4.9104470000000001E-3</v>
      </c>
      <c r="AA3263">
        <v>0.97637010000000002</v>
      </c>
      <c r="AB3263">
        <v>13</v>
      </c>
      <c r="AC3263">
        <v>-19.9072</v>
      </c>
      <c r="AD3263">
        <v>-1.1129336556680001</v>
      </c>
      <c r="AE3263">
        <v>-4.8225999999999596</v>
      </c>
      <c r="AF3263">
        <v>-4.4442429260933203</v>
      </c>
      <c r="AG3263">
        <v>-1.1129336556680001</v>
      </c>
      <c r="AH3263">
        <v>19.933300575734599</v>
      </c>
      <c r="AI3263">
        <v>93.119240260266395</v>
      </c>
      <c r="AJ3263">
        <v>102.56884885238399</v>
      </c>
      <c r="AK3263">
        <v>20.453028830729</v>
      </c>
      <c r="AL3263">
        <v>87.113517459114107</v>
      </c>
      <c r="AM3263">
        <v>89.985456100060802</v>
      </c>
      <c r="AN3263">
        <v>1.0000000667740401</v>
      </c>
    </row>
    <row r="3264" spans="1:40" x14ac:dyDescent="0.25">
      <c r="A3264" t="str">
        <f>"20190312153949225"</f>
        <v>20190312153949225</v>
      </c>
      <c r="B3264" t="str">
        <f>"1552376389219375"</f>
        <v>1552376389219375</v>
      </c>
      <c r="C3264" t="s">
        <v>40</v>
      </c>
      <c r="D3264">
        <v>4.1660069999999996</v>
      </c>
      <c r="E3264">
        <v>0.4163616</v>
      </c>
      <c r="F3264" t="s">
        <v>54</v>
      </c>
      <c r="G3264">
        <v>-486.58690000000001</v>
      </c>
      <c r="H3264" s="1">
        <v>2.2893299999999998E-6</v>
      </c>
      <c r="I3264">
        <v>277.78399999999999</v>
      </c>
      <c r="J3264">
        <v>-467.28949999999998</v>
      </c>
      <c r="K3264">
        <v>1.112835</v>
      </c>
      <c r="L3264">
        <v>282.5181</v>
      </c>
      <c r="M3264">
        <v>-0.99939100000000003</v>
      </c>
      <c r="N3264">
        <v>0</v>
      </c>
      <c r="O3264">
        <v>-1.9492570000000001E-2</v>
      </c>
      <c r="P3264">
        <v>-0.99958040000000004</v>
      </c>
      <c r="Q3264">
        <v>2.088831E-2</v>
      </c>
      <c r="R3264">
        <v>-2.0073549999999999E-2</v>
      </c>
      <c r="S3264">
        <v>-2.9915769999999999</v>
      </c>
      <c r="T3264">
        <v>-0.1713681</v>
      </c>
      <c r="U3264">
        <v>-0.72955319999999901</v>
      </c>
      <c r="V3264">
        <v>-6.4799469999999996E-4</v>
      </c>
      <c r="W3264">
        <v>4.98187E-2</v>
      </c>
      <c r="X3264">
        <v>0.99875809999999998</v>
      </c>
      <c r="Y3264">
        <v>-0.21762889999999999</v>
      </c>
      <c r="Z3264">
        <v>-5.0390570000000004E-3</v>
      </c>
      <c r="AA3264">
        <v>0.97601859999999996</v>
      </c>
      <c r="AB3264">
        <v>13</v>
      </c>
      <c r="AC3264">
        <v>-19.2974</v>
      </c>
      <c r="AD3264">
        <v>-1.11283271067</v>
      </c>
      <c r="AE3264">
        <v>-4.7341000000000104</v>
      </c>
      <c r="AF3264">
        <v>-4.3432624419203298</v>
      </c>
      <c r="AG3264">
        <v>-1.11283271067</v>
      </c>
      <c r="AH3264">
        <v>19.325429691278</v>
      </c>
      <c r="AI3264">
        <v>93.215637052052202</v>
      </c>
      <c r="AJ3264">
        <v>102.66638811464399</v>
      </c>
      <c r="AK3264">
        <v>19.838713618424499</v>
      </c>
      <c r="AL3264">
        <v>87.144416797079202</v>
      </c>
      <c r="AM3264">
        <v>90.037173522044398</v>
      </c>
      <c r="AN3264">
        <v>1.0000000325412099</v>
      </c>
    </row>
    <row r="3265" spans="1:40" x14ac:dyDescent="0.25">
      <c r="A3265" t="str">
        <f>"20190312153949247"</f>
        <v>20190312153949247</v>
      </c>
      <c r="B3265" t="str">
        <f>"1552376389238895"</f>
        <v>1552376389238895</v>
      </c>
      <c r="C3265" t="s">
        <v>40</v>
      </c>
      <c r="D3265">
        <v>4.1904919999999999</v>
      </c>
      <c r="E3265">
        <v>0.4162497</v>
      </c>
      <c r="F3265" t="s">
        <v>54</v>
      </c>
      <c r="G3265">
        <v>-486.40370000000001</v>
      </c>
      <c r="H3265" s="1">
        <v>2.263447E-6</v>
      </c>
      <c r="I3265">
        <v>277.80270000000002</v>
      </c>
      <c r="J3265">
        <v>-467.41829999999999</v>
      </c>
      <c r="K3265">
        <v>1.112716</v>
      </c>
      <c r="L3265">
        <v>282.51400000000001</v>
      </c>
      <c r="M3265">
        <v>-0.99938669999999996</v>
      </c>
      <c r="N3265">
        <v>0</v>
      </c>
      <c r="O3265">
        <v>-2.072765E-2</v>
      </c>
      <c r="P3265">
        <v>-0.99950799999999995</v>
      </c>
      <c r="Q3265">
        <v>2.2749169999999999E-2</v>
      </c>
      <c r="R3265">
        <v>-2.1607069999999999E-2</v>
      </c>
      <c r="S3265">
        <v>-2.9900820000000001</v>
      </c>
      <c r="T3265">
        <v>-0.1740833</v>
      </c>
      <c r="U3265">
        <v>-0.73764039999999997</v>
      </c>
      <c r="V3265">
        <v>-9.4702199999999995E-4</v>
      </c>
      <c r="W3265">
        <v>5.0959259999999999E-2</v>
      </c>
      <c r="X3265">
        <v>0.99870029999999999</v>
      </c>
      <c r="Y3265">
        <v>-0.21901509999999999</v>
      </c>
      <c r="Z3265">
        <v>-5.08867E-3</v>
      </c>
      <c r="AA3265">
        <v>0.97570820000000003</v>
      </c>
      <c r="AB3265">
        <v>13</v>
      </c>
      <c r="AC3265">
        <v>-18.985399999999998</v>
      </c>
      <c r="AD3265">
        <v>-1.112713736553</v>
      </c>
      <c r="AE3265">
        <v>-4.7112999999999898</v>
      </c>
      <c r="AF3265">
        <v>-4.3026850561419803</v>
      </c>
      <c r="AG3265">
        <v>-1.112713736553</v>
      </c>
      <c r="AH3265">
        <v>19.017475269813399</v>
      </c>
      <c r="AI3265">
        <v>93.266194945677597</v>
      </c>
      <c r="AJ3265">
        <v>102.74848023710599</v>
      </c>
      <c r="AK3265">
        <v>19.529864213297198</v>
      </c>
      <c r="AL3265">
        <v>87.078984352522497</v>
      </c>
      <c r="AM3265">
        <v>90.054330961393106</v>
      </c>
      <c r="AN3265">
        <v>1.00000001612525</v>
      </c>
    </row>
    <row r="3266" spans="1:40" x14ac:dyDescent="0.25">
      <c r="A3266" t="str">
        <f>"20190312153949269"</f>
        <v>20190312153949269</v>
      </c>
      <c r="B3266" t="str">
        <f>"1552376389259391"</f>
        <v>1552376389259391</v>
      </c>
      <c r="C3266" t="s">
        <v>40</v>
      </c>
      <c r="D3266">
        <v>4.2133139999999996</v>
      </c>
      <c r="E3266">
        <v>0.41619460000000003</v>
      </c>
      <c r="F3266" t="s">
        <v>54</v>
      </c>
      <c r="G3266">
        <v>-486.9307</v>
      </c>
      <c r="H3266" s="1">
        <v>2.3077189999999998E-6</v>
      </c>
      <c r="I3266">
        <v>277.6635</v>
      </c>
      <c r="J3266">
        <v>-467.54020000000003</v>
      </c>
      <c r="K3266">
        <v>1.1125799999999999</v>
      </c>
      <c r="L3266">
        <v>282.51</v>
      </c>
      <c r="M3266">
        <v>-0.99938119999999997</v>
      </c>
      <c r="N3266">
        <v>0</v>
      </c>
      <c r="O3266">
        <v>-2.195888E-2</v>
      </c>
      <c r="P3266">
        <v>-0.99946619999999997</v>
      </c>
      <c r="Q3266">
        <v>2.3794530000000001E-2</v>
      </c>
      <c r="R3266">
        <v>-2.2391189999999998E-2</v>
      </c>
      <c r="S3266">
        <v>-2.9893190000000001</v>
      </c>
      <c r="T3266">
        <v>-0.17046900000000001</v>
      </c>
      <c r="U3266">
        <v>-0.74310299999999996</v>
      </c>
      <c r="V3266">
        <v>-4.9698899999999998E-4</v>
      </c>
      <c r="W3266">
        <v>5.1256900000000001E-2</v>
      </c>
      <c r="X3266">
        <v>0.99868539999999995</v>
      </c>
      <c r="Y3266">
        <v>-0.21956539999999999</v>
      </c>
      <c r="Z3266">
        <v>-4.9297849999999999E-3</v>
      </c>
      <c r="AA3266">
        <v>0.97558529999999999</v>
      </c>
      <c r="AB3266">
        <v>13</v>
      </c>
      <c r="AC3266">
        <v>-19.3904999999999</v>
      </c>
      <c r="AD3266">
        <v>-1.112577692281</v>
      </c>
      <c r="AE3266">
        <v>-4.84649999999999</v>
      </c>
      <c r="AF3266">
        <v>-4.4057244269088196</v>
      </c>
      <c r="AG3266">
        <v>-1.112577692281</v>
      </c>
      <c r="AH3266">
        <v>19.432072606640599</v>
      </c>
      <c r="AI3266">
        <v>93.195937751206003</v>
      </c>
      <c r="AJ3266">
        <v>102.774387141611</v>
      </c>
      <c r="AK3266">
        <v>19.9562943112436</v>
      </c>
      <c r="AL3266">
        <v>87.061908539696503</v>
      </c>
      <c r="AM3266">
        <v>90.028512852810096</v>
      </c>
      <c r="AN3266">
        <v>1.0000000224844099</v>
      </c>
    </row>
    <row r="3267" spans="1:40" x14ac:dyDescent="0.25">
      <c r="A3267" t="str">
        <f>"20190312153949291"</f>
        <v>20190312153949291</v>
      </c>
      <c r="B3267" t="str">
        <f>"1552376389278912"</f>
        <v>1552376389278912</v>
      </c>
      <c r="C3267" t="s">
        <v>40</v>
      </c>
      <c r="D3267">
        <v>4.2073479999999996</v>
      </c>
      <c r="E3267">
        <v>0.4162324</v>
      </c>
      <c r="F3267" t="s">
        <v>54</v>
      </c>
      <c r="G3267">
        <v>-487.15559999999999</v>
      </c>
      <c r="H3267" s="1">
        <v>2.3302780000000002E-6</v>
      </c>
      <c r="I3267">
        <v>277.61450000000002</v>
      </c>
      <c r="J3267">
        <v>-467.66550000000001</v>
      </c>
      <c r="K3267">
        <v>1.1124050000000001</v>
      </c>
      <c r="L3267">
        <v>282.50569999999999</v>
      </c>
      <c r="M3267">
        <v>-0.99937860000000001</v>
      </c>
      <c r="N3267">
        <v>0</v>
      </c>
      <c r="O3267">
        <v>-2.3263869999999999E-2</v>
      </c>
      <c r="P3267">
        <v>-0.99942359999999997</v>
      </c>
      <c r="Q3267">
        <v>2.384497E-2</v>
      </c>
      <c r="R3267">
        <v>-2.4163270000000001E-2</v>
      </c>
      <c r="S3267">
        <v>-2.988953</v>
      </c>
      <c r="T3267">
        <v>-0.16953209999999999</v>
      </c>
      <c r="U3267">
        <v>-0.74597170000000002</v>
      </c>
      <c r="V3267">
        <v>-9.6086429999999996E-4</v>
      </c>
      <c r="W3267">
        <v>5.0307780000000003E-2</v>
      </c>
      <c r="X3267">
        <v>0.99873330000000005</v>
      </c>
      <c r="Y3267">
        <v>-0.2192076</v>
      </c>
      <c r="Z3267">
        <v>-4.8200500000000002E-3</v>
      </c>
      <c r="AA3267">
        <v>0.97566629999999999</v>
      </c>
      <c r="AB3267">
        <v>13</v>
      </c>
      <c r="AC3267">
        <v>-19.490099999999899</v>
      </c>
      <c r="AD3267">
        <v>-1.112402669722</v>
      </c>
      <c r="AE3267">
        <v>-4.8911999999999596</v>
      </c>
      <c r="AF3267">
        <v>-4.4227472512289498</v>
      </c>
      <c r="AG3267">
        <v>-1.112402669722</v>
      </c>
      <c r="AH3267">
        <v>19.538771537344399</v>
      </c>
      <c r="AI3267">
        <v>93.1782727366204</v>
      </c>
      <c r="AJ3267">
        <v>102.75439249287901</v>
      </c>
      <c r="AK3267">
        <v>20.063940942307401</v>
      </c>
      <c r="AL3267">
        <v>87.116359302112997</v>
      </c>
      <c r="AM3267">
        <v>90.055123276743501</v>
      </c>
      <c r="AN3267">
        <v>1.0000000002588101</v>
      </c>
    </row>
    <row r="3268" spans="1:40" x14ac:dyDescent="0.25">
      <c r="A3268" t="str">
        <f>"20190312153949308"</f>
        <v>20190312153949308</v>
      </c>
      <c r="B3268" t="str">
        <f>"1552376389299408"</f>
        <v>1552376389299408</v>
      </c>
      <c r="C3268" t="s">
        <v>40</v>
      </c>
      <c r="D3268">
        <v>4.3569089999999999</v>
      </c>
      <c r="E3268">
        <v>0.41634789999999999</v>
      </c>
      <c r="F3268" t="s">
        <v>54</v>
      </c>
      <c r="G3268">
        <v>-487.0675</v>
      </c>
      <c r="H3268" s="1">
        <v>2.3209250000000001E-6</v>
      </c>
      <c r="I3268">
        <v>277.63229999999999</v>
      </c>
      <c r="J3268">
        <v>-467.7611</v>
      </c>
      <c r="K3268">
        <v>1.112242</v>
      </c>
      <c r="L3268">
        <v>282.50229999999999</v>
      </c>
      <c r="M3268">
        <v>-0.99938009999999999</v>
      </c>
      <c r="N3268">
        <v>0</v>
      </c>
      <c r="O3268">
        <v>-2.4255209999999999E-2</v>
      </c>
      <c r="P3268">
        <v>-0.99938269999999996</v>
      </c>
      <c r="Q3268">
        <v>2.4432809999999999E-2</v>
      </c>
      <c r="R3268">
        <v>-2.5247470000000001E-2</v>
      </c>
      <c r="S3268">
        <v>-2.9876710000000002</v>
      </c>
      <c r="T3268">
        <v>-0.171296799999999</v>
      </c>
      <c r="U3268">
        <v>-0.75045779999999995</v>
      </c>
      <c r="V3268">
        <v>-1.0527970000000001E-3</v>
      </c>
      <c r="W3268">
        <v>4.9933470000000001E-2</v>
      </c>
      <c r="X3268">
        <v>0.99875199999999997</v>
      </c>
      <c r="Y3268">
        <v>-0.21971180000000001</v>
      </c>
      <c r="Z3268">
        <v>-4.8297050000000001E-3</v>
      </c>
      <c r="AA3268">
        <v>0.97555289999999995</v>
      </c>
      <c r="AB3268">
        <v>13</v>
      </c>
      <c r="AC3268">
        <v>-19.3064</v>
      </c>
      <c r="AD3268">
        <v>-1.112239679075</v>
      </c>
      <c r="AE3268">
        <v>-4.87</v>
      </c>
      <c r="AF3268">
        <v>-4.3864457310982301</v>
      </c>
      <c r="AG3268">
        <v>-1.112239679075</v>
      </c>
      <c r="AH3268">
        <v>19.358472382055201</v>
      </c>
      <c r="AI3268">
        <v>93.207183024029405</v>
      </c>
      <c r="AJ3268">
        <v>102.767091147964</v>
      </c>
      <c r="AK3268">
        <v>19.880353020567199</v>
      </c>
      <c r="AL3268">
        <v>87.137832697859196</v>
      </c>
      <c r="AM3268">
        <v>90.060396176870896</v>
      </c>
      <c r="AN3268">
        <v>1.00000000865588</v>
      </c>
    </row>
    <row r="3269" spans="1:40" x14ac:dyDescent="0.25">
      <c r="A3269" t="str">
        <f>"20190312153949320"</f>
        <v>20190312153949320</v>
      </c>
      <c r="B3269" t="str">
        <f>"1552376389309168"</f>
        <v>1552376389309168</v>
      </c>
      <c r="C3269" t="s">
        <v>40</v>
      </c>
      <c r="D3269">
        <v>4.226172</v>
      </c>
      <c r="E3269">
        <v>0.41640460000000001</v>
      </c>
      <c r="F3269" t="s">
        <v>54</v>
      </c>
      <c r="G3269">
        <v>-487.2287</v>
      </c>
      <c r="H3269" s="1">
        <v>2.336999E-6</v>
      </c>
      <c r="I3269">
        <v>277.59679999999997</v>
      </c>
      <c r="J3269">
        <v>-467.83269999999999</v>
      </c>
      <c r="K3269">
        <v>1.1121160000000001</v>
      </c>
      <c r="L3269">
        <v>282.49970000000002</v>
      </c>
      <c r="M3269">
        <v>-0.99938179999999999</v>
      </c>
      <c r="N3269">
        <v>0</v>
      </c>
      <c r="O3269">
        <v>-2.498794E-2</v>
      </c>
      <c r="P3269">
        <v>-0.99934639999999997</v>
      </c>
      <c r="Q3269">
        <v>2.484076E-2</v>
      </c>
      <c r="R3269">
        <v>-2.6268429999999999E-2</v>
      </c>
      <c r="S3269">
        <v>-2.9870610000000002</v>
      </c>
      <c r="T3269">
        <v>-0.17065949999999999</v>
      </c>
      <c r="U3269">
        <v>-0.75268550000000001</v>
      </c>
      <c r="V3269">
        <v>-1.34094799999999E-3</v>
      </c>
      <c r="W3269">
        <v>4.955913E-2</v>
      </c>
      <c r="X3269">
        <v>0.9987703</v>
      </c>
      <c r="Y3269">
        <v>-0.2197317</v>
      </c>
      <c r="Z3269">
        <v>-4.7717480000000001E-3</v>
      </c>
      <c r="AA3269">
        <v>0.97554870000000005</v>
      </c>
      <c r="AB3269">
        <v>13</v>
      </c>
      <c r="AC3269">
        <v>-19.396000000000001</v>
      </c>
      <c r="AD3269">
        <v>-1.11211366300099</v>
      </c>
      <c r="AE3269">
        <v>-4.9029000000000398</v>
      </c>
      <c r="AF3269">
        <v>-4.4029481705866704</v>
      </c>
      <c r="AG3269">
        <v>-1.11211366300099</v>
      </c>
      <c r="AH3269">
        <v>19.4523807459518</v>
      </c>
      <c r="AI3269">
        <v>93.191539692636795</v>
      </c>
      <c r="AJ3269">
        <v>102.753709174843</v>
      </c>
      <c r="AK3269">
        <v>19.975431561740599</v>
      </c>
      <c r="AL3269">
        <v>87.159307388518599</v>
      </c>
      <c r="AM3269">
        <v>90.076925209712599</v>
      </c>
      <c r="AN3269">
        <v>1.0000000088349901</v>
      </c>
    </row>
    <row r="3270" spans="1:40" x14ac:dyDescent="0.25">
      <c r="A3270" t="str">
        <f>"20190312153949334"</f>
        <v>20190312153949334</v>
      </c>
      <c r="B3270" t="str">
        <f>"1552376389328688"</f>
        <v>1552376389328688</v>
      </c>
      <c r="C3270" t="s">
        <v>40</v>
      </c>
      <c r="D3270">
        <v>4.2160719999999996</v>
      </c>
      <c r="E3270">
        <v>0.41653600000000002</v>
      </c>
      <c r="F3270" t="s">
        <v>54</v>
      </c>
      <c r="G3270">
        <v>-487.3322</v>
      </c>
      <c r="H3270" s="1">
        <v>2.3459840000000001E-6</v>
      </c>
      <c r="I3270">
        <v>277.57029999999997</v>
      </c>
      <c r="J3270">
        <v>-467.91210000000001</v>
      </c>
      <c r="K3270">
        <v>1.11198</v>
      </c>
      <c r="L3270">
        <v>282.49680000000001</v>
      </c>
      <c r="M3270">
        <v>-0.99938320000000003</v>
      </c>
      <c r="N3270">
        <v>0</v>
      </c>
      <c r="O3270">
        <v>-2.578811E-2</v>
      </c>
      <c r="P3270">
        <v>-0.99929199999999996</v>
      </c>
      <c r="Q3270">
        <v>2.5284439999999998E-2</v>
      </c>
      <c r="R3270">
        <v>-2.78622E-2</v>
      </c>
      <c r="S3270">
        <v>-2.9863590000000002</v>
      </c>
      <c r="T3270">
        <v>-0.17032039999999901</v>
      </c>
      <c r="U3270">
        <v>-0.75494380000000005</v>
      </c>
      <c r="V3270">
        <v>-2.1344300000000001E-3</v>
      </c>
      <c r="W3270">
        <v>4.9107169999999999E-2</v>
      </c>
      <c r="X3270">
        <v>0.99879119999999999</v>
      </c>
      <c r="Y3270">
        <v>-0.21970139999999999</v>
      </c>
      <c r="Z3270">
        <v>-4.7172910000000002E-3</v>
      </c>
      <c r="AA3270">
        <v>0.97555579999999997</v>
      </c>
      <c r="AB3270">
        <v>13</v>
      </c>
      <c r="AC3270">
        <v>-19.420099999999898</v>
      </c>
      <c r="AD3270">
        <v>-1.111977654016</v>
      </c>
      <c r="AE3270">
        <v>-4.9265000000000301</v>
      </c>
      <c r="AF3270">
        <v>-4.4103252127644401</v>
      </c>
      <c r="AG3270">
        <v>-1.111977654016</v>
      </c>
      <c r="AH3270">
        <v>19.480711203871799</v>
      </c>
      <c r="AI3270">
        <v>93.186485012483502</v>
      </c>
      <c r="AJ3270">
        <v>102.756407880929</v>
      </c>
      <c r="AK3270">
        <v>20.004638756899201</v>
      </c>
      <c r="AL3270">
        <v>87.185234236360202</v>
      </c>
      <c r="AM3270">
        <v>90.122441651970604</v>
      </c>
      <c r="AN3270">
        <v>0.999999965567136</v>
      </c>
    </row>
    <row r="3271" spans="1:40" x14ac:dyDescent="0.25">
      <c r="A3271" t="str">
        <f>"20190312153949347"</f>
        <v>20190312153949347</v>
      </c>
      <c r="B3271" t="str">
        <f>"1552376389339423"</f>
        <v>1552376389339423</v>
      </c>
      <c r="C3271" t="s">
        <v>40</v>
      </c>
      <c r="D3271">
        <v>4.1598670000000002</v>
      </c>
      <c r="E3271">
        <v>0.41657359999999999</v>
      </c>
      <c r="F3271" t="s">
        <v>54</v>
      </c>
      <c r="G3271">
        <v>-487.36919999999998</v>
      </c>
      <c r="H3271" s="1">
        <v>2.3467910000000001E-6</v>
      </c>
      <c r="I3271">
        <v>277.55399999999997</v>
      </c>
      <c r="J3271">
        <v>-467.97980000000001</v>
      </c>
      <c r="K3271">
        <v>1.1118709999999901</v>
      </c>
      <c r="L3271">
        <v>282.49419999999998</v>
      </c>
      <c r="M3271">
        <v>-0.9993824</v>
      </c>
      <c r="N3271">
        <v>0</v>
      </c>
      <c r="O3271">
        <v>-2.646799E-2</v>
      </c>
      <c r="P3271">
        <v>-0.99924420000000003</v>
      </c>
      <c r="Q3271">
        <v>2.434557E-2</v>
      </c>
      <c r="R3271">
        <v>-3.0308310000000001E-2</v>
      </c>
      <c r="S3271">
        <v>-2.9852910000000001</v>
      </c>
      <c r="T3271">
        <v>-0.17060999999999901</v>
      </c>
      <c r="U3271">
        <v>-0.75836179999999997</v>
      </c>
      <c r="V3271">
        <v>-3.8988069999999998E-3</v>
      </c>
      <c r="W3271">
        <v>4.7447799999999998E-2</v>
      </c>
      <c r="X3271">
        <v>0.99886609999999998</v>
      </c>
      <c r="Y3271">
        <v>-0.2201698</v>
      </c>
      <c r="Z3271">
        <v>-4.701322E-3</v>
      </c>
      <c r="AA3271">
        <v>0.97545020000000005</v>
      </c>
      <c r="AB3271">
        <v>13</v>
      </c>
      <c r="AC3271">
        <v>-19.389399999999899</v>
      </c>
      <c r="AD3271">
        <v>-1.1118686532090001</v>
      </c>
      <c r="AE3271">
        <v>-4.9401999999999404</v>
      </c>
      <c r="AF3271">
        <v>-4.4115104639484004</v>
      </c>
      <c r="AG3271">
        <v>-1.1118686532090001</v>
      </c>
      <c r="AH3271">
        <v>19.453325815822399</v>
      </c>
      <c r="AI3271">
        <v>93.190388868378093</v>
      </c>
      <c r="AJ3271">
        <v>102.777097133777</v>
      </c>
      <c r="AK3271">
        <v>19.978227192923299</v>
      </c>
      <c r="AL3271">
        <v>87.280420205344598</v>
      </c>
      <c r="AM3271">
        <v>90.223637634518795</v>
      </c>
      <c r="AN3271">
        <v>0.99999999007503604</v>
      </c>
    </row>
    <row r="3272" spans="1:40" x14ac:dyDescent="0.25">
      <c r="A3272" t="str">
        <f>"20190312153949369"</f>
        <v>20190312153949369</v>
      </c>
      <c r="B3272" t="str">
        <f>"1552376389358943"</f>
        <v>1552376389358943</v>
      </c>
      <c r="C3272" t="s">
        <v>40</v>
      </c>
      <c r="D3272">
        <v>4.2330809999999897</v>
      </c>
      <c r="E3272">
        <v>0.41672439999999999</v>
      </c>
      <c r="F3272" t="s">
        <v>54</v>
      </c>
      <c r="G3272">
        <v>-486.755</v>
      </c>
      <c r="H3272" s="1">
        <v>2.2836960000000001E-6</v>
      </c>
      <c r="I3272">
        <v>277.68380000000002</v>
      </c>
      <c r="J3272">
        <v>-468.10340000000002</v>
      </c>
      <c r="K3272">
        <v>1.1117030000000001</v>
      </c>
      <c r="L3272">
        <v>282.48930000000001</v>
      </c>
      <c r="M3272">
        <v>-0.99937640000000005</v>
      </c>
      <c r="N3272">
        <v>0</v>
      </c>
      <c r="O3272">
        <v>-2.7707309999999999E-2</v>
      </c>
      <c r="P3272">
        <v>-0.99918220000000002</v>
      </c>
      <c r="Q3272">
        <v>2.210525E-2</v>
      </c>
      <c r="R3272">
        <v>-3.3864070000000003E-2</v>
      </c>
      <c r="S3272">
        <v>-2.983368</v>
      </c>
      <c r="T3272">
        <v>-0.17667579999999999</v>
      </c>
      <c r="U3272">
        <v>-0.76437379999999999</v>
      </c>
      <c r="V3272">
        <v>-6.2088669999999999E-3</v>
      </c>
      <c r="W3272">
        <v>4.39815E-2</v>
      </c>
      <c r="X3272">
        <v>0.99901309999999999</v>
      </c>
      <c r="Y3272">
        <v>-0.22093560000000001</v>
      </c>
      <c r="Z3272">
        <v>-4.8203500000000002E-3</v>
      </c>
      <c r="AA3272">
        <v>0.97527649999999999</v>
      </c>
      <c r="AB3272">
        <v>13</v>
      </c>
      <c r="AC3272">
        <v>-18.651599999999899</v>
      </c>
      <c r="AD3272">
        <v>-1.111700716304</v>
      </c>
      <c r="AE3272">
        <v>-4.8054999999999897</v>
      </c>
      <c r="AF3272">
        <v>-4.2725110888354401</v>
      </c>
      <c r="AG3272">
        <v>-1.111700716304</v>
      </c>
      <c r="AH3272">
        <v>18.715266547464999</v>
      </c>
      <c r="AI3272">
        <v>93.314345798891907</v>
      </c>
      <c r="AJ3272">
        <v>102.859684963539</v>
      </c>
      <c r="AK3272">
        <v>19.228921743808598</v>
      </c>
      <c r="AL3272">
        <v>87.479232665192299</v>
      </c>
      <c r="AM3272">
        <v>90.356088718397601</v>
      </c>
      <c r="AN3272">
        <v>1.00000004817164</v>
      </c>
    </row>
    <row r="3273" spans="1:40" x14ac:dyDescent="0.25">
      <c r="A3273" t="str">
        <f>"20190312153949392"</f>
        <v>20190312153949392</v>
      </c>
      <c r="B3273" t="str">
        <f>"1552376389379440"</f>
        <v>1552376389379440</v>
      </c>
      <c r="C3273" t="s">
        <v>40</v>
      </c>
      <c r="D3273">
        <v>4.2071670000000001</v>
      </c>
      <c r="E3273">
        <v>0.41682449999999999</v>
      </c>
      <c r="F3273" t="s">
        <v>54</v>
      </c>
      <c r="G3273">
        <v>-485.96620000000001</v>
      </c>
      <c r="H3273" s="1">
        <v>2.203915E-6</v>
      </c>
      <c r="I3273">
        <v>277.85390000000001</v>
      </c>
      <c r="J3273">
        <v>-468.2276</v>
      </c>
      <c r="K3273">
        <v>1.1115600000000001</v>
      </c>
      <c r="L3273">
        <v>282.48439999999999</v>
      </c>
      <c r="M3273">
        <v>-0.99936499999999995</v>
      </c>
      <c r="N3273">
        <v>0</v>
      </c>
      <c r="O3273">
        <v>-2.8949860000000001E-2</v>
      </c>
      <c r="P3273">
        <v>-0.99912920000000005</v>
      </c>
      <c r="Q3273">
        <v>1.9183539999999999E-2</v>
      </c>
      <c r="R3273">
        <v>-3.7053379999999997E-2</v>
      </c>
      <c r="S3273">
        <v>-2.9803160000000002</v>
      </c>
      <c r="T3273">
        <v>-0.1854818</v>
      </c>
      <c r="U3273">
        <v>-0.77340699999999996</v>
      </c>
      <c r="V3273">
        <v>-8.1490469999999995E-3</v>
      </c>
      <c r="W3273">
        <v>3.9943869999999999E-2</v>
      </c>
      <c r="X3273">
        <v>0.99916870000000002</v>
      </c>
      <c r="Y3273">
        <v>-0.22270139999999999</v>
      </c>
      <c r="Z3273">
        <v>-5.0415119999999997E-3</v>
      </c>
      <c r="AA3273">
        <v>0.97487369999999995</v>
      </c>
      <c r="AB3273">
        <v>13</v>
      </c>
      <c r="AC3273">
        <v>-17.738600000000002</v>
      </c>
      <c r="AD3273">
        <v>-1.111557796085</v>
      </c>
      <c r="AE3273">
        <v>-4.6304999999999801</v>
      </c>
      <c r="AF3273">
        <v>-4.09984578580237</v>
      </c>
      <c r="AG3273">
        <v>-1.111557796085</v>
      </c>
      <c r="AH3273">
        <v>17.799807954163299</v>
      </c>
      <c r="AI3273">
        <v>93.482403950659801</v>
      </c>
      <c r="AJ3273">
        <v>102.97076983405201</v>
      </c>
      <c r="AK3273">
        <v>18.299657357625399</v>
      </c>
      <c r="AL3273">
        <v>87.710775820774401</v>
      </c>
      <c r="AM3273">
        <v>90.467284101364996</v>
      </c>
      <c r="AN3273">
        <v>1.00000000538863</v>
      </c>
    </row>
    <row r="3274" spans="1:40" x14ac:dyDescent="0.25">
      <c r="A3274" t="str">
        <f>"20190312153949406"</f>
        <v>20190312153949406</v>
      </c>
      <c r="B3274" t="str">
        <f>"1552376389398960"</f>
        <v>1552376389398960</v>
      </c>
      <c r="C3274" t="s">
        <v>40</v>
      </c>
      <c r="D3274">
        <v>4.2770859999999997</v>
      </c>
      <c r="E3274">
        <v>0.41697980000000001</v>
      </c>
      <c r="F3274" t="s">
        <v>54</v>
      </c>
      <c r="G3274">
        <v>-485.18439999999998</v>
      </c>
      <c r="H3274" s="1">
        <v>2.1276799999999998E-6</v>
      </c>
      <c r="I3274">
        <v>278.03050000000002</v>
      </c>
      <c r="J3274">
        <v>-468.31349999999998</v>
      </c>
      <c r="K3274">
        <v>1.111477</v>
      </c>
      <c r="L3274">
        <v>282.48090000000002</v>
      </c>
      <c r="M3274">
        <v>-0.99935479999999999</v>
      </c>
      <c r="N3274">
        <v>0</v>
      </c>
      <c r="O3274">
        <v>-2.9799429999999998E-2</v>
      </c>
      <c r="P3274">
        <v>-0.99909579999999998</v>
      </c>
      <c r="Q3274">
        <v>1.7704910000000001E-2</v>
      </c>
      <c r="R3274">
        <v>-3.8659970000000002E-2</v>
      </c>
      <c r="S3274">
        <v>-2.9772949999999998</v>
      </c>
      <c r="T3274">
        <v>-0.19516890000000001</v>
      </c>
      <c r="U3274">
        <v>-0.78201290000000001</v>
      </c>
      <c r="V3274">
        <v>-8.9025879999999995E-3</v>
      </c>
      <c r="W3274">
        <v>3.774301E-2</v>
      </c>
      <c r="X3274">
        <v>0.99924780000000002</v>
      </c>
      <c r="Y3274">
        <v>-0.22471089999999999</v>
      </c>
      <c r="Z3274">
        <v>-5.3177349999999996E-3</v>
      </c>
      <c r="AA3274">
        <v>0.97441100000000003</v>
      </c>
      <c r="AB3274">
        <v>13</v>
      </c>
      <c r="AC3274">
        <v>-16.870899999999999</v>
      </c>
      <c r="AD3274">
        <v>-1.1114748723200001</v>
      </c>
      <c r="AE3274">
        <v>-4.4504000000000001</v>
      </c>
      <c r="AF3274">
        <v>-3.92963222906462</v>
      </c>
      <c r="AG3274">
        <v>-1.1114748723200001</v>
      </c>
      <c r="AH3274">
        <v>16.927360192035099</v>
      </c>
      <c r="AI3274">
        <v>93.659685674795199</v>
      </c>
      <c r="AJ3274">
        <v>103.069531379918</v>
      </c>
      <c r="AK3274">
        <v>17.4130097604749</v>
      </c>
      <c r="AL3274">
        <v>87.836971014910304</v>
      </c>
      <c r="AM3274">
        <v>90.510451185207401</v>
      </c>
      <c r="AN3274">
        <v>0.99999997834089804</v>
      </c>
    </row>
    <row r="3275" spans="1:40" x14ac:dyDescent="0.25">
      <c r="A3275" t="str">
        <f>"20190312153949420"</f>
        <v>20190312153949420</v>
      </c>
      <c r="B3275" t="str">
        <f>"1552376389408719"</f>
        <v>1552376389408719</v>
      </c>
      <c r="C3275" t="s">
        <v>40</v>
      </c>
      <c r="D3275">
        <v>4.2520220000000002</v>
      </c>
      <c r="E3275">
        <v>0.41703509999999999</v>
      </c>
      <c r="F3275" t="s">
        <v>54</v>
      </c>
      <c r="G3275">
        <v>-484.89519999999999</v>
      </c>
      <c r="H3275" s="1">
        <v>2.1020259999999998E-6</v>
      </c>
      <c r="I3275">
        <v>278.10309999999998</v>
      </c>
      <c r="J3275">
        <v>-468.38780000000003</v>
      </c>
      <c r="K3275">
        <v>1.1114109999999999</v>
      </c>
      <c r="L3275">
        <v>282.4778</v>
      </c>
      <c r="M3275">
        <v>-0.99934469999999997</v>
      </c>
      <c r="N3275">
        <v>0</v>
      </c>
      <c r="O3275">
        <v>-3.0526029999999999E-2</v>
      </c>
      <c r="P3275">
        <v>-0.99906589999999995</v>
      </c>
      <c r="Q3275">
        <v>1.6009280000000001E-2</v>
      </c>
      <c r="R3275">
        <v>-4.0140769999999999E-2</v>
      </c>
      <c r="S3275">
        <v>-2.9758610000000001</v>
      </c>
      <c r="T3275">
        <v>-0.1994725</v>
      </c>
      <c r="U3275">
        <v>-0.78567500000000001</v>
      </c>
      <c r="V3275">
        <v>-9.6538500000000003E-3</v>
      </c>
      <c r="W3275">
        <v>3.5446199999999997E-2</v>
      </c>
      <c r="X3275">
        <v>0.99932500000000002</v>
      </c>
      <c r="Y3275">
        <v>-0.22522229999999999</v>
      </c>
      <c r="Z3275">
        <v>-5.4055809999999996E-3</v>
      </c>
      <c r="AA3275">
        <v>0.97429239999999995</v>
      </c>
      <c r="AB3275">
        <v>13</v>
      </c>
      <c r="AC3275">
        <v>-16.507399999999901</v>
      </c>
      <c r="AD3275">
        <v>-1.111408897974</v>
      </c>
      <c r="AE3275">
        <v>-4.3747000000000096</v>
      </c>
      <c r="AF3275">
        <v>-3.85234287979815</v>
      </c>
      <c r="AG3275">
        <v>-1.111408897974</v>
      </c>
      <c r="AH3275">
        <v>16.563117377279699</v>
      </c>
      <c r="AI3275">
        <v>93.739358464567701</v>
      </c>
      <c r="AJ3275">
        <v>103.093386638057</v>
      </c>
      <c r="AK3275">
        <v>17.041497371286699</v>
      </c>
      <c r="AL3275">
        <v>87.968656901145394</v>
      </c>
      <c r="AM3275">
        <v>90.553481255483007</v>
      </c>
      <c r="AN3275">
        <v>1.0000000427696301</v>
      </c>
    </row>
    <row r="3276" spans="1:40" x14ac:dyDescent="0.25">
      <c r="A3276" t="str">
        <f>"20190312153949434"</f>
        <v>20190312153949434</v>
      </c>
      <c r="B3276" t="str">
        <f>"1552376389429216"</f>
        <v>1552376389429216</v>
      </c>
      <c r="C3276" t="s">
        <v>40</v>
      </c>
      <c r="D3276">
        <v>4.5102349999999998</v>
      </c>
      <c r="E3276">
        <v>0.44205440000000001</v>
      </c>
      <c r="F3276" t="s">
        <v>54</v>
      </c>
      <c r="G3276">
        <v>-484.52569999999997</v>
      </c>
      <c r="H3276" s="1">
        <v>2.068954E-6</v>
      </c>
      <c r="I3276">
        <v>278.19490000000002</v>
      </c>
      <c r="J3276">
        <v>-468.46710000000002</v>
      </c>
      <c r="K3276">
        <v>1.1113500000000001</v>
      </c>
      <c r="L3276">
        <v>282.47449999999998</v>
      </c>
      <c r="M3276">
        <v>-0.99933280000000002</v>
      </c>
      <c r="N3276">
        <v>0</v>
      </c>
      <c r="O3276">
        <v>-3.128682E-2</v>
      </c>
      <c r="P3276">
        <v>-0.99903629999999999</v>
      </c>
      <c r="Q3276">
        <v>1.451116E-2</v>
      </c>
      <c r="R3276">
        <v>-4.1424870000000003E-2</v>
      </c>
      <c r="S3276">
        <v>-2.974335</v>
      </c>
      <c r="T3276">
        <v>-0.2048411</v>
      </c>
      <c r="U3276">
        <v>-0.78936770000000001</v>
      </c>
      <c r="V3276">
        <v>-1.017446E-2</v>
      </c>
      <c r="W3276">
        <v>3.3342199999999898E-2</v>
      </c>
      <c r="X3276">
        <v>0.99939219999999895</v>
      </c>
      <c r="Y3276">
        <v>-0.22571289999999999</v>
      </c>
      <c r="Z3276">
        <v>-5.5179119999999998E-3</v>
      </c>
      <c r="AA3276">
        <v>0.97417830000000005</v>
      </c>
      <c r="AB3276">
        <v>13</v>
      </c>
      <c r="AC3276">
        <v>-16.058599999999899</v>
      </c>
      <c r="AD3276">
        <v>-1.1113479310459999</v>
      </c>
      <c r="AE3276">
        <v>-4.2795999999999497</v>
      </c>
      <c r="AF3276">
        <v>-3.7581863969802898</v>
      </c>
      <c r="AG3276">
        <v>-1.1113479310459999</v>
      </c>
      <c r="AH3276">
        <v>16.1126015240181</v>
      </c>
      <c r="AI3276">
        <v>93.842834991360704</v>
      </c>
      <c r="AJ3276">
        <v>103.12923136038501</v>
      </c>
      <c r="AK3276">
        <v>16.5823697670169</v>
      </c>
      <c r="AL3276">
        <v>88.089278514906994</v>
      </c>
      <c r="AM3276">
        <v>90.583288000333198</v>
      </c>
      <c r="AN3276">
        <v>0.99999999567898501</v>
      </c>
    </row>
    <row r="3277" spans="1:40" x14ac:dyDescent="0.25">
      <c r="A3277" t="str">
        <f>"20190312153949448"</f>
        <v>20190312153949448</v>
      </c>
      <c r="B3277" t="str">
        <f>"1552376389438976"</f>
        <v>1552376389438976</v>
      </c>
      <c r="C3277" t="s">
        <v>40</v>
      </c>
      <c r="D3277">
        <v>4.6306469999999997</v>
      </c>
      <c r="E3277">
        <v>0.44205440000000001</v>
      </c>
      <c r="F3277" t="s">
        <v>54</v>
      </c>
      <c r="G3277">
        <v>-481.75240000000002</v>
      </c>
      <c r="H3277" s="1">
        <v>2.0975950000000001E-6</v>
      </c>
      <c r="I3277">
        <v>279.82350000000002</v>
      </c>
      <c r="J3277">
        <v>-468.54090000000002</v>
      </c>
      <c r="K3277">
        <v>1.111397</v>
      </c>
      <c r="L3277">
        <v>282.47129999999999</v>
      </c>
      <c r="M3277">
        <v>-0.9993126</v>
      </c>
      <c r="N3277">
        <v>0</v>
      </c>
      <c r="O3277">
        <v>-3.194926E-2</v>
      </c>
      <c r="P3277">
        <v>-0.9990367</v>
      </c>
      <c r="Q3277">
        <v>1.069063E-2</v>
      </c>
      <c r="R3277">
        <v>-4.256041E-2</v>
      </c>
      <c r="S3277">
        <v>-2.981903</v>
      </c>
      <c r="T3277">
        <v>-0.2494432</v>
      </c>
      <c r="U3277">
        <v>-0.59500120000000001</v>
      </c>
      <c r="V3277">
        <v>-1.064086E-2</v>
      </c>
      <c r="W3277">
        <v>2.9484119999999999E-2</v>
      </c>
      <c r="X3277">
        <v>0.99950859999999997</v>
      </c>
      <c r="Y3277">
        <v>-0.16380059999999999</v>
      </c>
      <c r="Z3277">
        <v>-4.1326820000000004E-3</v>
      </c>
      <c r="AA3277">
        <v>0.98648480000000005</v>
      </c>
      <c r="AB3277">
        <v>13</v>
      </c>
      <c r="AC3277">
        <v>-13.211499999999999</v>
      </c>
      <c r="AD3277">
        <v>-1.1113949024050001</v>
      </c>
      <c r="AE3277">
        <v>-2.6477999999999602</v>
      </c>
      <c r="AF3277">
        <v>-2.2092450077813601</v>
      </c>
      <c r="AG3277">
        <v>-1.1113949024050001</v>
      </c>
      <c r="AH3277">
        <v>13.199560614715301</v>
      </c>
      <c r="AI3277">
        <v>94.747191510236803</v>
      </c>
      <c r="AJ3277">
        <v>99.501672501996396</v>
      </c>
      <c r="AK3277">
        <v>13.429235367475099</v>
      </c>
      <c r="AL3277">
        <v>88.310439493499302</v>
      </c>
      <c r="AM3277">
        <v>90.609953067469505</v>
      </c>
      <c r="AN3277">
        <v>0.99999999135383599</v>
      </c>
    </row>
    <row r="3278" spans="1:40" x14ac:dyDescent="0.25">
      <c r="A3278" t="str">
        <f>"20190312153949470"</f>
        <v>20190312153949470</v>
      </c>
      <c r="B3278" t="str">
        <f>"1552376389459472"</f>
        <v>1552376389459472</v>
      </c>
      <c r="C3278" t="s">
        <v>40</v>
      </c>
      <c r="D3278">
        <v>4.3170460000000004</v>
      </c>
      <c r="E3278">
        <v>0.51412420000000003</v>
      </c>
      <c r="F3278" t="s">
        <v>54</v>
      </c>
      <c r="G3278">
        <v>-481.2441</v>
      </c>
      <c r="H3278" s="1">
        <v>2.0158459999999998E-6</v>
      </c>
      <c r="I3278">
        <v>279.91980000000001</v>
      </c>
      <c r="J3278">
        <v>-468.65899999999999</v>
      </c>
      <c r="K3278">
        <v>1.1115889999999999</v>
      </c>
      <c r="L3278">
        <v>282.46620000000001</v>
      </c>
      <c r="M3278">
        <v>-0.99926970000000004</v>
      </c>
      <c r="N3278">
        <v>0</v>
      </c>
      <c r="O3278">
        <v>-3.2954560000000001E-2</v>
      </c>
      <c r="P3278">
        <v>-0.9990599</v>
      </c>
      <c r="Q3278">
        <v>7.1772240000000003E-3</v>
      </c>
      <c r="R3278">
        <v>-4.2752209999999999E-2</v>
      </c>
      <c r="S3278">
        <v>-2.9802550000000001</v>
      </c>
      <c r="T3278">
        <v>-0.2607409</v>
      </c>
      <c r="U3278">
        <v>-0.59860230000000003</v>
      </c>
      <c r="V3278">
        <v>-9.8176329999999992E-3</v>
      </c>
      <c r="W3278">
        <v>2.6510769999999999E-2</v>
      </c>
      <c r="X3278">
        <v>0.9996003</v>
      </c>
      <c r="Y3278">
        <v>-0.16402030000000001</v>
      </c>
      <c r="Z3278">
        <v>-4.2437280000000004E-3</v>
      </c>
      <c r="AA3278">
        <v>0.98644779999999999</v>
      </c>
      <c r="AB3278">
        <v>13</v>
      </c>
      <c r="AC3278">
        <v>-12.585100000000001</v>
      </c>
      <c r="AD3278">
        <v>-1.111586984154</v>
      </c>
      <c r="AE3278">
        <v>-2.5464000000000002</v>
      </c>
      <c r="AF3278">
        <v>-2.1143561406033999</v>
      </c>
      <c r="AG3278">
        <v>-1.111586984154</v>
      </c>
      <c r="AH3278">
        <v>12.568000968246899</v>
      </c>
      <c r="AI3278">
        <v>94.984731646306898</v>
      </c>
      <c r="AJ3278">
        <v>99.549634844769201</v>
      </c>
      <c r="AK3278">
        <v>12.792997141033901</v>
      </c>
      <c r="AL3278">
        <v>88.480866760102202</v>
      </c>
      <c r="AM3278">
        <v>90.562715767144596</v>
      </c>
      <c r="AN3278">
        <v>0.99999998330190198</v>
      </c>
    </row>
    <row r="3279" spans="1:40" x14ac:dyDescent="0.25">
      <c r="A3279" t="str">
        <f>"20190312153949492"</f>
        <v>20190312153949492</v>
      </c>
      <c r="B3279" t="str">
        <f>"1552376389488755"</f>
        <v>1552376389488755</v>
      </c>
      <c r="C3279" t="s">
        <v>40</v>
      </c>
      <c r="D3279">
        <v>4.4574629999999997</v>
      </c>
      <c r="E3279">
        <v>0.56868909999999995</v>
      </c>
      <c r="F3279" t="s">
        <v>41</v>
      </c>
      <c r="G3279">
        <v>-469.40219999999999</v>
      </c>
      <c r="H3279">
        <v>0.99045369999999999</v>
      </c>
      <c r="I3279">
        <v>282.45870000000002</v>
      </c>
      <c r="J3279">
        <v>-468.7749</v>
      </c>
      <c r="K3279">
        <v>1.1118440000000001</v>
      </c>
      <c r="L3279">
        <v>282.46120000000002</v>
      </c>
      <c r="M3279">
        <v>-0.99921870000000002</v>
      </c>
      <c r="N3279">
        <v>0</v>
      </c>
      <c r="O3279">
        <v>-3.388174E-2</v>
      </c>
      <c r="P3279">
        <v>-0.99908580000000002</v>
      </c>
      <c r="Q3279">
        <v>4.2141510000000002E-3</v>
      </c>
      <c r="R3279">
        <v>-4.2545340000000001E-2</v>
      </c>
      <c r="S3279">
        <v>-3.0049739999999998</v>
      </c>
      <c r="T3279">
        <v>-0.49015379999999997</v>
      </c>
      <c r="U3279">
        <v>-3.2012939999999997E-2</v>
      </c>
      <c r="V3279">
        <v>-8.6755359999999993E-3</v>
      </c>
      <c r="W3279">
        <v>2.455686E-2</v>
      </c>
      <c r="X3279">
        <v>0.99966080000000002</v>
      </c>
      <c r="Y3279">
        <v>2.2495359999999999E-2</v>
      </c>
      <c r="Z3279">
        <v>7.3128169999999897E-3</v>
      </c>
      <c r="AA3279">
        <v>0.99972019999999995</v>
      </c>
      <c r="AB3279">
        <v>12</v>
      </c>
      <c r="AC3279">
        <v>-0.62729999999999098</v>
      </c>
      <c r="AD3279">
        <v>-0.12139030000000001</v>
      </c>
      <c r="AE3279">
        <v>-2.4999999999977202E-3</v>
      </c>
      <c r="AF3279">
        <v>1.8082719207121602E-2</v>
      </c>
      <c r="AG3279">
        <v>-0.12139030000000001</v>
      </c>
      <c r="AH3279">
        <v>0.60439207812742302</v>
      </c>
      <c r="AI3279">
        <v>101.35163708054399</v>
      </c>
      <c r="AJ3279">
        <v>88.286287070602</v>
      </c>
      <c r="AK3279">
        <v>0.61672714693873998</v>
      </c>
      <c r="AL3279">
        <v>88.592854125958794</v>
      </c>
      <c r="AM3279">
        <v>90.497227778890306</v>
      </c>
      <c r="AN3279">
        <v>1.0000000096772901</v>
      </c>
    </row>
    <row r="3280" spans="1:40" x14ac:dyDescent="0.25">
      <c r="A3280" t="str">
        <f>"20190312153949508"</f>
        <v>20190312153949508</v>
      </c>
      <c r="B3280" t="str">
        <f>"1552376389499487"</f>
        <v>1552376389499487</v>
      </c>
      <c r="C3280" t="s">
        <v>40</v>
      </c>
      <c r="D3280">
        <v>4.4300100000000002</v>
      </c>
      <c r="E3280">
        <v>0.56854119999999997</v>
      </c>
      <c r="F3280" t="s">
        <v>41</v>
      </c>
      <c r="G3280">
        <v>-469.47019999999998</v>
      </c>
      <c r="H3280">
        <v>0.91366080000000005</v>
      </c>
      <c r="I3280">
        <v>282.55119999999999</v>
      </c>
      <c r="J3280">
        <v>-468.85270000000003</v>
      </c>
      <c r="K3280">
        <v>1.112018</v>
      </c>
      <c r="L3280">
        <v>282.4579</v>
      </c>
      <c r="M3280">
        <v>-0.99918229999999997</v>
      </c>
      <c r="N3280">
        <v>0</v>
      </c>
      <c r="O3280">
        <v>-3.4469779999999998E-2</v>
      </c>
      <c r="P3280">
        <v>-0.99910580000000004</v>
      </c>
      <c r="Q3280">
        <v>2.7570709999999998E-3</v>
      </c>
      <c r="R3280">
        <v>-4.2194410000000002E-2</v>
      </c>
      <c r="S3280">
        <v>-3.02298</v>
      </c>
      <c r="T3280">
        <v>-0.86181629999999998</v>
      </c>
      <c r="U3280">
        <v>0.3907776</v>
      </c>
      <c r="V3280">
        <v>-7.7323169999999998E-3</v>
      </c>
      <c r="W3280">
        <v>2.3889000000000001E-2</v>
      </c>
      <c r="X3280">
        <v>0.99968469999999998</v>
      </c>
      <c r="Y3280">
        <v>0.15488759999999999</v>
      </c>
      <c r="Z3280">
        <v>3.1165709999999999E-2</v>
      </c>
      <c r="AA3280">
        <v>0.9874404</v>
      </c>
      <c r="AB3280">
        <v>12</v>
      </c>
      <c r="AC3280">
        <v>-0.61749999999994998</v>
      </c>
      <c r="AD3280">
        <v>-0.19835719999999901</v>
      </c>
      <c r="AE3280">
        <v>9.3299999999999203E-2</v>
      </c>
      <c r="AF3280">
        <v>0.104038623078822</v>
      </c>
      <c r="AG3280">
        <v>-0.19835719999999901</v>
      </c>
      <c r="AH3280">
        <v>0.55765781698209904</v>
      </c>
      <c r="AI3280">
        <v>109.272885462967</v>
      </c>
      <c r="AJ3280">
        <v>79.432185797989305</v>
      </c>
      <c r="AK3280">
        <v>0.60095911235725297</v>
      </c>
      <c r="AL3280">
        <v>88.631130884612901</v>
      </c>
      <c r="AM3280">
        <v>90.443160023676896</v>
      </c>
      <c r="AN3280">
        <v>0.99999998623063902</v>
      </c>
    </row>
    <row r="3281" spans="1:40" x14ac:dyDescent="0.25">
      <c r="A3281" t="str">
        <f>"20190312153949520"</f>
        <v>20190312153949520</v>
      </c>
      <c r="B3281" t="str">
        <f>"1552376389509248"</f>
        <v>1552376389509248</v>
      </c>
      <c r="C3281" t="s">
        <v>40</v>
      </c>
      <c r="D3281">
        <v>4.4165109999999999</v>
      </c>
      <c r="E3281">
        <v>0.56818690000000005</v>
      </c>
      <c r="F3281" t="s">
        <v>41</v>
      </c>
      <c r="G3281">
        <v>-469.56720000000001</v>
      </c>
      <c r="H3281">
        <v>0.90789330000000001</v>
      </c>
      <c r="I3281">
        <v>282.5505</v>
      </c>
      <c r="J3281">
        <v>-468.91669999999999</v>
      </c>
      <c r="K3281">
        <v>1.1121460000000001</v>
      </c>
      <c r="L3281">
        <v>282.45510000000002</v>
      </c>
      <c r="M3281">
        <v>-0.99915220000000005</v>
      </c>
      <c r="N3281">
        <v>0</v>
      </c>
      <c r="O3281">
        <v>-3.4950080000000001E-2</v>
      </c>
      <c r="P3281">
        <v>-0.9991428</v>
      </c>
      <c r="Q3281">
        <v>1.551013E-3</v>
      </c>
      <c r="R3281">
        <v>-4.1368639999999998E-2</v>
      </c>
      <c r="S3281">
        <v>-3.0215450000000001</v>
      </c>
      <c r="T3281">
        <v>-0.86338139999999997</v>
      </c>
      <c r="U3281">
        <v>0.39016719999999999</v>
      </c>
      <c r="V3281">
        <v>-6.4229400000000002E-3</v>
      </c>
      <c r="W3281">
        <v>2.3307899999999999E-2</v>
      </c>
      <c r="X3281">
        <v>0.99970769999999998</v>
      </c>
      <c r="Y3281">
        <v>0.155162299999999</v>
      </c>
      <c r="Z3281">
        <v>3.1407270000000001E-2</v>
      </c>
      <c r="AA3281">
        <v>0.98738959999999998</v>
      </c>
      <c r="AB3281">
        <v>11</v>
      </c>
      <c r="AC3281">
        <v>-0.65050000000002195</v>
      </c>
      <c r="AD3281">
        <v>-0.20425269999999901</v>
      </c>
      <c r="AE3281">
        <v>9.5399999999983706E-2</v>
      </c>
      <c r="AF3281">
        <v>0.107688443737139</v>
      </c>
      <c r="AG3281">
        <v>-0.20425269999999901</v>
      </c>
      <c r="AH3281">
        <v>0.58983852821998894</v>
      </c>
      <c r="AI3281">
        <v>108.81165806909701</v>
      </c>
      <c r="AJ3281">
        <v>79.653308849023105</v>
      </c>
      <c r="AK3281">
        <v>0.63342359897981304</v>
      </c>
      <c r="AL3281">
        <v>88.664434754470093</v>
      </c>
      <c r="AM3281">
        <v>90.368109889140797</v>
      </c>
      <c r="AN3281">
        <v>0.99999999889997104</v>
      </c>
    </row>
    <row r="3282" spans="1:40" x14ac:dyDescent="0.25">
      <c r="A3282" t="str">
        <f>"20190312153949536"</f>
        <v>20190312153949536</v>
      </c>
      <c r="B3282" t="str">
        <f>"1552376389528768"</f>
        <v>1552376389528768</v>
      </c>
      <c r="C3282" t="s">
        <v>40</v>
      </c>
      <c r="D3282">
        <v>4.4278909999999998</v>
      </c>
      <c r="E3282">
        <v>0.56791950000000002</v>
      </c>
      <c r="F3282" t="s">
        <v>41</v>
      </c>
      <c r="G3282">
        <v>-469.66090000000003</v>
      </c>
      <c r="H3282">
        <v>0.89909989999999995</v>
      </c>
      <c r="I3282">
        <v>282.55110000000002</v>
      </c>
      <c r="J3282">
        <v>-468.995</v>
      </c>
      <c r="K3282">
        <v>1.1122620000000001</v>
      </c>
      <c r="L3282">
        <v>282.45159999999998</v>
      </c>
      <c r="M3282">
        <v>-0.99911709999999998</v>
      </c>
      <c r="N3282">
        <v>0</v>
      </c>
      <c r="O3282">
        <v>-3.5550089999999999E-2</v>
      </c>
      <c r="P3282">
        <v>-0.99921090000000001</v>
      </c>
      <c r="Q3282">
        <v>-1.181643E-3</v>
      </c>
      <c r="R3282">
        <v>-3.9702929999999997E-2</v>
      </c>
      <c r="S3282">
        <v>-3.0200499999999999</v>
      </c>
      <c r="T3282">
        <v>-0.86459569999999997</v>
      </c>
      <c r="U3282">
        <v>0.38970949999999999</v>
      </c>
      <c r="V3282">
        <v>-4.1540370000000002E-3</v>
      </c>
      <c r="W3282">
        <v>2.121224E-2</v>
      </c>
      <c r="X3282">
        <v>0.9997663</v>
      </c>
      <c r="Y3282">
        <v>0.15560079999999901</v>
      </c>
      <c r="Z3282">
        <v>3.1694220000000002E-2</v>
      </c>
      <c r="AA3282">
        <v>0.98731139999999995</v>
      </c>
      <c r="AB3282">
        <v>11</v>
      </c>
      <c r="AC3282">
        <v>-0.66590000000002103</v>
      </c>
      <c r="AD3282">
        <v>-0.21316209999999999</v>
      </c>
      <c r="AE3282">
        <v>9.9500000000034505E-2</v>
      </c>
      <c r="AF3282">
        <v>0.11189973088328301</v>
      </c>
      <c r="AG3282">
        <v>-0.21316209999999999</v>
      </c>
      <c r="AH3282">
        <v>0.60163669880591597</v>
      </c>
      <c r="AI3282">
        <v>109.204760148074</v>
      </c>
      <c r="AJ3282">
        <v>79.463824234999294</v>
      </c>
      <c r="AK3282">
        <v>0.64801724359637303</v>
      </c>
      <c r="AL3282">
        <v>88.784536931754104</v>
      </c>
      <c r="AM3282">
        <v>90.238063053722499</v>
      </c>
      <c r="AN3282">
        <v>0.99999993488244998</v>
      </c>
    </row>
    <row r="3283" spans="1:40" x14ac:dyDescent="0.25">
      <c r="A3283" t="str">
        <f>"20190312153949553"</f>
        <v>20190312153949553</v>
      </c>
      <c r="B3283" t="str">
        <f>"1552376389549264"</f>
        <v>1552376389549264</v>
      </c>
      <c r="C3283" t="s">
        <v>40</v>
      </c>
      <c r="D3283">
        <v>4.4599140000000004</v>
      </c>
      <c r="E3283">
        <v>0.56820109999999902</v>
      </c>
      <c r="F3283" t="s">
        <v>41</v>
      </c>
      <c r="G3283">
        <v>-469.6687</v>
      </c>
      <c r="H3283">
        <v>0.918377</v>
      </c>
      <c r="I3283">
        <v>282.53949999999998</v>
      </c>
      <c r="J3283">
        <v>-469.07279999999997</v>
      </c>
      <c r="K3283">
        <v>1.112222</v>
      </c>
      <c r="L3283">
        <v>282.44810000000001</v>
      </c>
      <c r="M3283">
        <v>-0.99909329999999996</v>
      </c>
      <c r="N3283">
        <v>0</v>
      </c>
      <c r="O3283">
        <v>-3.6247799999999997E-2</v>
      </c>
      <c r="P3283">
        <v>-0.99921139999999997</v>
      </c>
      <c r="Q3283">
        <v>-2.676679E-3</v>
      </c>
      <c r="R3283">
        <v>-3.9619479999999999E-2</v>
      </c>
      <c r="S3283">
        <v>-3.017029</v>
      </c>
      <c r="T3283">
        <v>-0.86834359999999999</v>
      </c>
      <c r="U3283">
        <v>0.39358520000000002</v>
      </c>
      <c r="V3283">
        <v>-3.3742199999999998E-3</v>
      </c>
      <c r="W3283">
        <v>1.965712E-2</v>
      </c>
      <c r="X3283">
        <v>0.9998011</v>
      </c>
      <c r="Y3283">
        <v>0.15748119999999999</v>
      </c>
      <c r="Z3283">
        <v>3.2314669999999997E-2</v>
      </c>
      <c r="AA3283">
        <v>0.98699309999999996</v>
      </c>
      <c r="AB3283">
        <v>11</v>
      </c>
      <c r="AC3283">
        <v>-0.59590000000002796</v>
      </c>
      <c r="AD3283">
        <v>-0.19384499999999999</v>
      </c>
      <c r="AE3283">
        <v>9.1399999999964607E-2</v>
      </c>
      <c r="AF3283">
        <v>0.10236246502171401</v>
      </c>
      <c r="AG3283">
        <v>-0.19384499999999999</v>
      </c>
      <c r="AH3283">
        <v>0.53670617798092601</v>
      </c>
      <c r="AI3283">
        <v>109.53368066159</v>
      </c>
      <c r="AJ3283">
        <v>79.202030678743796</v>
      </c>
      <c r="AK3283">
        <v>0.57974777252975696</v>
      </c>
      <c r="AL3283">
        <v>88.873657457139799</v>
      </c>
      <c r="AM3283">
        <v>90.193366291711897</v>
      </c>
      <c r="AN3283">
        <v>1.00000001364425</v>
      </c>
    </row>
    <row r="3284" spans="1:40" x14ac:dyDescent="0.25">
      <c r="A3284" t="str">
        <f>"20190312153949570"</f>
        <v>20190312153949570</v>
      </c>
      <c r="B3284" t="str">
        <f>"1552376389559024"</f>
        <v>1552376389559024</v>
      </c>
      <c r="C3284" t="s">
        <v>40</v>
      </c>
      <c r="D3284">
        <v>4.4287780000000003</v>
      </c>
      <c r="E3284">
        <v>0.56832009999999999</v>
      </c>
      <c r="F3284" t="s">
        <v>41</v>
      </c>
      <c r="G3284">
        <v>-469.76409999999998</v>
      </c>
      <c r="H3284">
        <v>0.91293880000000005</v>
      </c>
      <c r="I3284">
        <v>282.53930000000003</v>
      </c>
      <c r="J3284">
        <v>-469.15719999999999</v>
      </c>
      <c r="K3284">
        <v>1.1120559999999999</v>
      </c>
      <c r="L3284">
        <v>282.44409999999999</v>
      </c>
      <c r="M3284">
        <v>-0.99907760000000001</v>
      </c>
      <c r="N3284">
        <v>0</v>
      </c>
      <c r="O3284">
        <v>-3.7050180000000002E-2</v>
      </c>
      <c r="P3284">
        <v>-0.99923779999999995</v>
      </c>
      <c r="Q3284">
        <v>-3.8954219999999999E-3</v>
      </c>
      <c r="R3284">
        <v>-3.8842769999999999E-2</v>
      </c>
      <c r="S3284">
        <v>-3.0157470000000002</v>
      </c>
      <c r="T3284">
        <v>-0.86959609999999998</v>
      </c>
      <c r="U3284">
        <v>0.39663700000000002</v>
      </c>
      <c r="V3284">
        <v>-1.796738E-3</v>
      </c>
      <c r="W3284">
        <v>1.7811609999999999E-2</v>
      </c>
      <c r="X3284">
        <v>0.9998397</v>
      </c>
      <c r="Y3284">
        <v>0.1591805</v>
      </c>
      <c r="Z3284">
        <v>3.2835669999999997E-2</v>
      </c>
      <c r="AA3284">
        <v>0.98670329999999995</v>
      </c>
      <c r="AB3284">
        <v>11</v>
      </c>
      <c r="AC3284">
        <v>-0.606899999999996</v>
      </c>
      <c r="AD3284">
        <v>-0.19911719999999899</v>
      </c>
      <c r="AE3284">
        <v>9.5200000000033896E-2</v>
      </c>
      <c r="AF3284">
        <v>0.106443036855701</v>
      </c>
      <c r="AG3284">
        <v>-0.19911719999999899</v>
      </c>
      <c r="AH3284">
        <v>0.54563240957287396</v>
      </c>
      <c r="AI3284">
        <v>109.706369920751</v>
      </c>
      <c r="AJ3284">
        <v>78.9612674349694</v>
      </c>
      <c r="AK3284">
        <v>0.59050191007921804</v>
      </c>
      <c r="AL3284">
        <v>88.979415904596195</v>
      </c>
      <c r="AM3284">
        <v>90.1029618982692</v>
      </c>
      <c r="AN3284">
        <v>0.99999995370715999</v>
      </c>
    </row>
    <row r="3285" spans="1:40" x14ac:dyDescent="0.25">
      <c r="A3285" t="str">
        <f>"20190312153949586"</f>
        <v>20190312153949586</v>
      </c>
      <c r="B3285" t="str">
        <f>"1552376389579520"</f>
        <v>1552376389579520</v>
      </c>
      <c r="C3285" t="s">
        <v>40</v>
      </c>
      <c r="D3285">
        <v>4.4467359999999996</v>
      </c>
      <c r="E3285">
        <v>0.56801000000000001</v>
      </c>
      <c r="F3285" t="s">
        <v>41</v>
      </c>
      <c r="G3285">
        <v>-469.86160000000001</v>
      </c>
      <c r="H3285">
        <v>0.90857080000000001</v>
      </c>
      <c r="I3285">
        <v>282.53809999999999</v>
      </c>
      <c r="J3285">
        <v>-469.23570000000001</v>
      </c>
      <c r="K3285">
        <v>1.111866</v>
      </c>
      <c r="L3285">
        <v>282.44029999999998</v>
      </c>
      <c r="M3285">
        <v>-0.99906620000000002</v>
      </c>
      <c r="N3285">
        <v>0</v>
      </c>
      <c r="O3285">
        <v>-3.7817360000000001E-2</v>
      </c>
      <c r="P3285">
        <v>-0.99921490000000002</v>
      </c>
      <c r="Q3285">
        <v>-3.6561319999999999E-3</v>
      </c>
      <c r="R3285">
        <v>-3.9452139999999997E-2</v>
      </c>
      <c r="S3285">
        <v>-3.014465</v>
      </c>
      <c r="T3285">
        <v>-0.87113240000000003</v>
      </c>
      <c r="U3285">
        <v>0.401001</v>
      </c>
      <c r="V3285">
        <v>-1.641331E-3</v>
      </c>
      <c r="W3285">
        <v>1.7240450000000001E-2</v>
      </c>
      <c r="X3285">
        <v>0.99985000000000002</v>
      </c>
      <c r="Y3285">
        <v>0.16124820000000001</v>
      </c>
      <c r="Z3285">
        <v>3.3409840000000003E-2</v>
      </c>
      <c r="AA3285">
        <v>0.98634820000000001</v>
      </c>
      <c r="AB3285">
        <v>11</v>
      </c>
      <c r="AC3285">
        <v>-0.62590000000000101</v>
      </c>
      <c r="AD3285">
        <v>-0.20329520000000001</v>
      </c>
      <c r="AE3285">
        <v>9.7800000000006507E-2</v>
      </c>
      <c r="AF3285">
        <v>0.110069689084561</v>
      </c>
      <c r="AG3285">
        <v>-0.20329520000000001</v>
      </c>
      <c r="AH3285">
        <v>0.56370078515833599</v>
      </c>
      <c r="AI3285">
        <v>109.491882987404</v>
      </c>
      <c r="AJ3285">
        <v>78.951296203520599</v>
      </c>
      <c r="AK3285">
        <v>0.60926418734924503</v>
      </c>
      <c r="AL3285">
        <v>89.012146011915306</v>
      </c>
      <c r="AM3285">
        <v>90.0940553629151</v>
      </c>
      <c r="AN3285">
        <v>0.99999997479182601</v>
      </c>
    </row>
    <row r="3286" spans="1:40" x14ac:dyDescent="0.25">
      <c r="A3286" t="str">
        <f>"20190312153949599"</f>
        <v>20190312153949599</v>
      </c>
      <c r="B3286" t="str">
        <f>"1552376389589280"</f>
        <v>1552376389589280</v>
      </c>
      <c r="C3286" t="s">
        <v>40</v>
      </c>
      <c r="D3286">
        <v>4.4524990000000004</v>
      </c>
      <c r="E3286">
        <v>0.56784400000000002</v>
      </c>
      <c r="F3286" t="s">
        <v>41</v>
      </c>
      <c r="G3286">
        <v>-469.95960000000002</v>
      </c>
      <c r="H3286">
        <v>0.90432509999999999</v>
      </c>
      <c r="I3286">
        <v>282.536</v>
      </c>
      <c r="J3286">
        <v>-469.30189999999999</v>
      </c>
      <c r="K3286">
        <v>1.111715</v>
      </c>
      <c r="L3286">
        <v>282.43709999999999</v>
      </c>
      <c r="M3286">
        <v>-0.99905580000000005</v>
      </c>
      <c r="N3286">
        <v>0</v>
      </c>
      <c r="O3286">
        <v>-3.8467250000000001E-2</v>
      </c>
      <c r="P3286">
        <v>-0.99919550000000001</v>
      </c>
      <c r="Q3286">
        <v>-3.2909480000000001E-3</v>
      </c>
      <c r="R3286">
        <v>-3.9975770000000001E-2</v>
      </c>
      <c r="S3286">
        <v>-3.0148929999999998</v>
      </c>
      <c r="T3286">
        <v>-0.86474499999999999</v>
      </c>
      <c r="U3286">
        <v>0.39718629999999999</v>
      </c>
      <c r="V3286">
        <v>-1.51738E-3</v>
      </c>
      <c r="W3286">
        <v>1.691148E-2</v>
      </c>
      <c r="X3286">
        <v>0.99985579999999996</v>
      </c>
      <c r="Y3286">
        <v>0.16075329999999999</v>
      </c>
      <c r="Z3286">
        <v>3.328503E-2</v>
      </c>
      <c r="AA3286">
        <v>0.98643320000000001</v>
      </c>
      <c r="AB3286">
        <v>11</v>
      </c>
      <c r="AC3286">
        <v>-0.65770000000003304</v>
      </c>
      <c r="AD3286">
        <v>-0.20738989999999999</v>
      </c>
      <c r="AE3286">
        <v>9.8900000000014601E-2</v>
      </c>
      <c r="AF3286">
        <v>0.113131821090919</v>
      </c>
      <c r="AG3286">
        <v>-0.20738989999999999</v>
      </c>
      <c r="AH3286">
        <v>0.59550568783891999</v>
      </c>
      <c r="AI3286">
        <v>108.887824943537</v>
      </c>
      <c r="AJ3286">
        <v>79.243357083146904</v>
      </c>
      <c r="AK3286">
        <v>0.64065310723812396</v>
      </c>
      <c r="AL3286">
        <v>89.030997340019994</v>
      </c>
      <c r="AM3286">
        <v>90.086951941644003</v>
      </c>
      <c r="AN3286">
        <v>0.99999996069574604</v>
      </c>
    </row>
    <row r="3287" spans="1:40" x14ac:dyDescent="0.25">
      <c r="A3287" t="str">
        <f>"20190312153949611"</f>
        <v>20190312153949611</v>
      </c>
      <c r="B3287" t="str">
        <f>"1552376389599040"</f>
        <v>1552376389599040</v>
      </c>
      <c r="C3287" t="s">
        <v>40</v>
      </c>
      <c r="D3287">
        <v>4.4685730000000001</v>
      </c>
      <c r="E3287">
        <v>0.56775690000000001</v>
      </c>
      <c r="F3287" t="s">
        <v>41</v>
      </c>
      <c r="G3287">
        <v>-470.05549999999999</v>
      </c>
      <c r="H3287">
        <v>0.89641749999999998</v>
      </c>
      <c r="I3287">
        <v>282.53579999999999</v>
      </c>
      <c r="J3287">
        <v>-469.3646</v>
      </c>
      <c r="K3287">
        <v>1.1116220000000001</v>
      </c>
      <c r="L3287">
        <v>282.43389999999999</v>
      </c>
      <c r="M3287">
        <v>-0.99904219999999999</v>
      </c>
      <c r="N3287">
        <v>0</v>
      </c>
      <c r="O3287">
        <v>-3.9075070000000003E-2</v>
      </c>
      <c r="P3287">
        <v>-0.99915299999999996</v>
      </c>
      <c r="Q3287">
        <v>-2.5570599999999999E-3</v>
      </c>
      <c r="R3287">
        <v>-4.1074409999999999E-2</v>
      </c>
      <c r="S3287">
        <v>-3.0153810000000001</v>
      </c>
      <c r="T3287">
        <v>-0.86159169999999996</v>
      </c>
      <c r="U3287">
        <v>0.39431759999999999</v>
      </c>
      <c r="V3287">
        <v>-2.009397E-3</v>
      </c>
      <c r="W3287">
        <v>1.7137949999999999E-2</v>
      </c>
      <c r="X3287">
        <v>0.99985109999999999</v>
      </c>
      <c r="Y3287">
        <v>0.16045490000000001</v>
      </c>
      <c r="Z3287">
        <v>3.3293030000000001E-2</v>
      </c>
      <c r="AA3287">
        <v>0.98648150000000001</v>
      </c>
      <c r="AB3287">
        <v>11</v>
      </c>
      <c r="AC3287">
        <v>-0.69089999999999896</v>
      </c>
      <c r="AD3287">
        <v>-0.21520449999999899</v>
      </c>
      <c r="AE3287">
        <v>0.1019</v>
      </c>
      <c r="AF3287">
        <v>0.11765244075355499</v>
      </c>
      <c r="AG3287">
        <v>-0.21520449999999899</v>
      </c>
      <c r="AH3287">
        <v>0.62686452142766702</v>
      </c>
      <c r="AI3287">
        <v>108.645000131462</v>
      </c>
      <c r="AJ3287">
        <v>79.370160692107305</v>
      </c>
      <c r="AK3287">
        <v>0.67313758018718395</v>
      </c>
      <c r="AL3287">
        <v>89.018019706896396</v>
      </c>
      <c r="AM3287">
        <v>90.115146957849902</v>
      </c>
      <c r="AN3287">
        <v>0.99999998458885697</v>
      </c>
    </row>
    <row r="3288" spans="1:40" x14ac:dyDescent="0.25">
      <c r="A3288" t="str">
        <f>"20190312153949626"</f>
        <v>20190312153949626</v>
      </c>
      <c r="B3288" t="str">
        <f>"1552376389619536"</f>
        <v>1552376389619536</v>
      </c>
      <c r="C3288" t="s">
        <v>40</v>
      </c>
      <c r="D3288">
        <v>4.4642049999999998</v>
      </c>
      <c r="E3288">
        <v>0.5676023</v>
      </c>
      <c r="F3288" t="s">
        <v>41</v>
      </c>
      <c r="G3288">
        <v>-470.06209999999999</v>
      </c>
      <c r="H3288">
        <v>0.91331580000000001</v>
      </c>
      <c r="I3288">
        <v>282.52440000000001</v>
      </c>
      <c r="J3288">
        <v>-469.43529999999998</v>
      </c>
      <c r="K3288">
        <v>1.1115440000000001</v>
      </c>
      <c r="L3288">
        <v>282.43020000000001</v>
      </c>
      <c r="M3288">
        <v>-0.99902400000000002</v>
      </c>
      <c r="N3288">
        <v>0</v>
      </c>
      <c r="O3288">
        <v>-3.9759179999999998E-2</v>
      </c>
      <c r="P3288">
        <v>-0.9990696</v>
      </c>
      <c r="Q3288">
        <v>-8.4617449999999995E-4</v>
      </c>
      <c r="R3288">
        <v>-4.3119680000000001E-2</v>
      </c>
      <c r="S3288">
        <v>-3.0164179999999998</v>
      </c>
      <c r="T3288">
        <v>-0.85783770000000004</v>
      </c>
      <c r="U3288">
        <v>0.39056400000000002</v>
      </c>
      <c r="V3288">
        <v>-3.373825E-3</v>
      </c>
      <c r="W3288">
        <v>1.8392309999999999E-2</v>
      </c>
      <c r="X3288">
        <v>0.99982519999999997</v>
      </c>
      <c r="Y3288">
        <v>0.1599428</v>
      </c>
      <c r="Z3288">
        <v>3.3263969999999997E-2</v>
      </c>
      <c r="AA3288">
        <v>0.98656560000000004</v>
      </c>
      <c r="AB3288">
        <v>11</v>
      </c>
      <c r="AC3288">
        <v>-0.62680000000000202</v>
      </c>
      <c r="AD3288">
        <v>-0.19822819999999999</v>
      </c>
      <c r="AE3288">
        <v>9.42000000000007E-2</v>
      </c>
      <c r="AF3288">
        <v>0.10844445588216101</v>
      </c>
      <c r="AG3288">
        <v>-0.19822819999999999</v>
      </c>
      <c r="AH3288">
        <v>0.56709221766974005</v>
      </c>
      <c r="AI3288">
        <v>108.948923934706</v>
      </c>
      <c r="AJ3288">
        <v>79.174087335971393</v>
      </c>
      <c r="AK3288">
        <v>0.61044918103671997</v>
      </c>
      <c r="AL3288">
        <v>88.946138887227207</v>
      </c>
      <c r="AM3288">
        <v>90.193338995273095</v>
      </c>
      <c r="AN3288">
        <v>1.0000000451586499</v>
      </c>
    </row>
    <row r="3289" spans="1:40" x14ac:dyDescent="0.25">
      <c r="A3289" t="str">
        <f>"20190312153949643"</f>
        <v>20190312153949643</v>
      </c>
      <c r="B3289" t="str">
        <f>"1552376389639056"</f>
        <v>1552376389639056</v>
      </c>
      <c r="C3289" t="s">
        <v>40</v>
      </c>
      <c r="D3289">
        <v>4.4936499999999997</v>
      </c>
      <c r="E3289">
        <v>0.56719399999999998</v>
      </c>
      <c r="F3289" t="s">
        <v>41</v>
      </c>
      <c r="G3289">
        <v>-470.15809999999999</v>
      </c>
      <c r="H3289">
        <v>0.90793630000000003</v>
      </c>
      <c r="I3289">
        <v>282.5222</v>
      </c>
      <c r="J3289">
        <v>-469.52069999999998</v>
      </c>
      <c r="K3289">
        <v>1.1114569999999999</v>
      </c>
      <c r="L3289">
        <v>282.42579999999998</v>
      </c>
      <c r="M3289">
        <v>-0.99899910000000003</v>
      </c>
      <c r="N3289">
        <v>0</v>
      </c>
      <c r="O3289">
        <v>-4.0592490000000002E-2</v>
      </c>
      <c r="P3289">
        <v>-0.99899309999999997</v>
      </c>
      <c r="Q3289">
        <v>2.11129E-4</v>
      </c>
      <c r="R3289">
        <v>-4.4863550000000002E-2</v>
      </c>
      <c r="S3289">
        <v>-3.0186160000000002</v>
      </c>
      <c r="T3289">
        <v>-0.85057499999999997</v>
      </c>
      <c r="U3289">
        <v>0.38311770000000001</v>
      </c>
      <c r="V3289">
        <v>-4.2848519999999996E-3</v>
      </c>
      <c r="W3289">
        <v>1.8996349999999999E-2</v>
      </c>
      <c r="X3289">
        <v>0.99981039999999999</v>
      </c>
      <c r="Y3289">
        <v>0.15844150000000001</v>
      </c>
      <c r="Z3289">
        <v>3.2997470000000001E-2</v>
      </c>
      <c r="AA3289">
        <v>0.98681680000000005</v>
      </c>
      <c r="AB3289">
        <v>11</v>
      </c>
      <c r="AC3289">
        <v>-0.63740000000001296</v>
      </c>
      <c r="AD3289">
        <v>-0.203520699999999</v>
      </c>
      <c r="AE3289">
        <v>9.6400000000016903E-2</v>
      </c>
      <c r="AF3289">
        <v>0.11112294380080601</v>
      </c>
      <c r="AG3289">
        <v>-0.203520699999999</v>
      </c>
      <c r="AH3289">
        <v>0.57559064419155204</v>
      </c>
      <c r="AI3289">
        <v>109.145728533599</v>
      </c>
      <c r="AJ3289">
        <v>79.072968162606799</v>
      </c>
      <c r="AK3289">
        <v>0.62054296680269705</v>
      </c>
      <c r="AL3289">
        <v>88.911523878473702</v>
      </c>
      <c r="AM3289">
        <v>90.245548988492502</v>
      </c>
      <c r="AN3289">
        <v>1.00000002860907</v>
      </c>
    </row>
    <row r="3290" spans="1:40" x14ac:dyDescent="0.25">
      <c r="A3290" t="str">
        <f>"20190312153949660"</f>
        <v>20190312153949660</v>
      </c>
      <c r="B3290" t="str">
        <f>"1552376389648816"</f>
        <v>1552376389648816</v>
      </c>
      <c r="C3290" t="s">
        <v>40</v>
      </c>
      <c r="D3290">
        <v>4.4809979999999996</v>
      </c>
      <c r="E3290">
        <v>0.56699409999999995</v>
      </c>
      <c r="F3290" t="s">
        <v>41</v>
      </c>
      <c r="G3290">
        <v>-470.2552</v>
      </c>
      <c r="H3290">
        <v>0.90619090000000002</v>
      </c>
      <c r="I3290">
        <v>282.51740000000001</v>
      </c>
      <c r="J3290">
        <v>-469.60019999999997</v>
      </c>
      <c r="K3290">
        <v>1.111372</v>
      </c>
      <c r="L3290">
        <v>282.42149999999998</v>
      </c>
      <c r="M3290">
        <v>-0.99897420000000003</v>
      </c>
      <c r="N3290">
        <v>0</v>
      </c>
      <c r="O3290">
        <v>-4.1386539999999999E-2</v>
      </c>
      <c r="P3290">
        <v>-0.99883310000000003</v>
      </c>
      <c r="Q3290">
        <v>8.2285979999999995E-4</v>
      </c>
      <c r="R3290">
        <v>-4.8290649999999997E-2</v>
      </c>
      <c r="S3290">
        <v>-3.0200200000000001</v>
      </c>
      <c r="T3290">
        <v>-0.84453650000000002</v>
      </c>
      <c r="U3290">
        <v>0.37487789999999999</v>
      </c>
      <c r="V3290">
        <v>-6.9197859999999998E-3</v>
      </c>
      <c r="W3290">
        <v>1.91985E-2</v>
      </c>
      <c r="X3290">
        <v>0.99979169999999995</v>
      </c>
      <c r="Y3290">
        <v>0.15666379999999999</v>
      </c>
      <c r="Z3290">
        <v>3.2736519999999998E-2</v>
      </c>
      <c r="AA3290">
        <v>0.98710929999999997</v>
      </c>
      <c r="AB3290">
        <v>11</v>
      </c>
      <c r="AC3290">
        <v>-0.655000000000029</v>
      </c>
      <c r="AD3290">
        <v>-0.20518110000000001</v>
      </c>
      <c r="AE3290">
        <v>9.5900000000028698E-2</v>
      </c>
      <c r="AF3290">
        <v>0.112155924005592</v>
      </c>
      <c r="AG3290">
        <v>-0.20518110000000001</v>
      </c>
      <c r="AH3290">
        <v>0.59345653266127996</v>
      </c>
      <c r="AI3290">
        <v>108.763929431131</v>
      </c>
      <c r="AJ3290">
        <v>79.298028640069404</v>
      </c>
      <c r="AK3290">
        <v>0.63786275267106396</v>
      </c>
      <c r="AL3290">
        <v>88.899939342863306</v>
      </c>
      <c r="AM3290">
        <v>90.396550803823004</v>
      </c>
      <c r="AN3290">
        <v>0.99999995461471103</v>
      </c>
    </row>
    <row r="3291" spans="1:40" x14ac:dyDescent="0.25">
      <c r="A3291" t="str">
        <f>"20190312153949682"</f>
        <v>20190312153949682</v>
      </c>
      <c r="B3291" t="str">
        <f>"1552376389669311"</f>
        <v>1552376389669311</v>
      </c>
      <c r="C3291" t="s">
        <v>40</v>
      </c>
      <c r="D3291">
        <v>4.4763440000000001</v>
      </c>
      <c r="E3291">
        <v>0.56677509999999998</v>
      </c>
      <c r="F3291" t="s">
        <v>41</v>
      </c>
      <c r="G3291">
        <v>-470.35120000000001</v>
      </c>
      <c r="H3291">
        <v>0.90236229999999995</v>
      </c>
      <c r="I3291">
        <v>282.51220000000001</v>
      </c>
      <c r="J3291">
        <v>-469.70830000000001</v>
      </c>
      <c r="K3291">
        <v>1.111235</v>
      </c>
      <c r="L3291">
        <v>282.41579999999999</v>
      </c>
      <c r="M3291">
        <v>-0.99893900000000002</v>
      </c>
      <c r="N3291">
        <v>0</v>
      </c>
      <c r="O3291">
        <v>-4.2490779999999999E-2</v>
      </c>
      <c r="P3291">
        <v>-0.99866319999999997</v>
      </c>
      <c r="Q3291">
        <v>5.1858739999999996E-4</v>
      </c>
      <c r="R3291">
        <v>-5.1689880000000001E-2</v>
      </c>
      <c r="S3291">
        <v>-3.0217290000000001</v>
      </c>
      <c r="T3291">
        <v>-0.84155219999999897</v>
      </c>
      <c r="U3291">
        <v>0.36276249999999999</v>
      </c>
      <c r="V3291">
        <v>-9.2154170000000001E-3</v>
      </c>
      <c r="W3291">
        <v>1.8276460000000001E-2</v>
      </c>
      <c r="X3291">
        <v>0.99979050000000003</v>
      </c>
      <c r="Y3291">
        <v>0.15390329999999999</v>
      </c>
      <c r="Z3291">
        <v>3.2539529999999997E-2</v>
      </c>
      <c r="AA3291">
        <v>0.98755000000000004</v>
      </c>
      <c r="AB3291">
        <v>11</v>
      </c>
      <c r="AC3291">
        <v>-0.64289999999999703</v>
      </c>
      <c r="AD3291">
        <v>-0.20887269999999999</v>
      </c>
      <c r="AE3291">
        <v>9.6400000000016903E-2</v>
      </c>
      <c r="AF3291">
        <v>0.112065628158919</v>
      </c>
      <c r="AG3291">
        <v>-0.20887269999999999</v>
      </c>
      <c r="AH3291">
        <v>0.57850174232740403</v>
      </c>
      <c r="AI3291">
        <v>109.517805425202</v>
      </c>
      <c r="AJ3291">
        <v>79.036625091286993</v>
      </c>
      <c r="AK3291">
        <v>0.62518059446513996</v>
      </c>
      <c r="AL3291">
        <v>88.952777669924998</v>
      </c>
      <c r="AM3291">
        <v>90.528100185303799</v>
      </c>
      <c r="AN3291">
        <v>0.99999999839543197</v>
      </c>
    </row>
    <row r="3292" spans="1:40" x14ac:dyDescent="0.25">
      <c r="A3292" t="str">
        <f>"20190312153949705"</f>
        <v>20190312153949705</v>
      </c>
      <c r="B3292" t="str">
        <f>"1552376389699567"</f>
        <v>1552376389699567</v>
      </c>
      <c r="C3292" t="s">
        <v>40</v>
      </c>
      <c r="D3292">
        <v>4.4648750000000001</v>
      </c>
      <c r="E3292">
        <v>0.5664844</v>
      </c>
      <c r="F3292" t="s">
        <v>41</v>
      </c>
      <c r="G3292">
        <v>-470.44979999999998</v>
      </c>
      <c r="H3292">
        <v>0.9051131</v>
      </c>
      <c r="I3292">
        <v>282.50200000000001</v>
      </c>
      <c r="J3292">
        <v>-469.81790000000001</v>
      </c>
      <c r="K3292">
        <v>1.11112099999999</v>
      </c>
      <c r="L3292">
        <v>282.40989999999999</v>
      </c>
      <c r="M3292">
        <v>-0.99890210000000002</v>
      </c>
      <c r="N3292">
        <v>0</v>
      </c>
      <c r="O3292">
        <v>-4.3600399999999997E-2</v>
      </c>
      <c r="P3292">
        <v>-0.99851100000000004</v>
      </c>
      <c r="Q3292">
        <v>-1.218319E-4</v>
      </c>
      <c r="R3292">
        <v>-5.4553839999999999E-2</v>
      </c>
      <c r="S3292">
        <v>-3.0226139999999999</v>
      </c>
      <c r="T3292">
        <v>-0.84048429999999996</v>
      </c>
      <c r="U3292">
        <v>0.35073850000000001</v>
      </c>
      <c r="V3292">
        <v>-1.097099E-2</v>
      </c>
      <c r="W3292">
        <v>1.7016369999999999E-2</v>
      </c>
      <c r="X3292">
        <v>0.99979499999999999</v>
      </c>
      <c r="Y3292">
        <v>0.1511692</v>
      </c>
      <c r="Z3292">
        <v>3.2427570000000003E-2</v>
      </c>
      <c r="AA3292">
        <v>0.98797590000000002</v>
      </c>
      <c r="AB3292">
        <v>11</v>
      </c>
      <c r="AC3292">
        <v>-0.63189999999997304</v>
      </c>
      <c r="AD3292">
        <v>-0.20600789999999899</v>
      </c>
      <c r="AE3292">
        <v>9.2100000000016197E-2</v>
      </c>
      <c r="AF3292">
        <v>0.108296673374911</v>
      </c>
      <c r="AG3292">
        <v>-0.20600789999999899</v>
      </c>
      <c r="AH3292">
        <v>0.56815285185442799</v>
      </c>
      <c r="AI3292">
        <v>109.60486196800601</v>
      </c>
      <c r="AJ3292">
        <v>79.208201030866903</v>
      </c>
      <c r="AK3292">
        <v>0.613974826354307</v>
      </c>
      <c r="AL3292">
        <v>89.024986740105803</v>
      </c>
      <c r="AM3292">
        <v>90.628695078413401</v>
      </c>
      <c r="AN3292">
        <v>0.99999998074727803</v>
      </c>
    </row>
    <row r="3293" spans="1:40" x14ac:dyDescent="0.25">
      <c r="A3293" t="str">
        <f>"20190312153949721"</f>
        <v>20190312153949721</v>
      </c>
      <c r="B3293" t="str">
        <f>"1552376389709328"</f>
        <v>1552376389709328</v>
      </c>
      <c r="C3293" t="s">
        <v>40</v>
      </c>
      <c r="D3293">
        <v>4.4407740000000002</v>
      </c>
      <c r="E3293">
        <v>0.5663627</v>
      </c>
      <c r="F3293" t="s">
        <v>41</v>
      </c>
      <c r="G3293">
        <v>-470.54840000000002</v>
      </c>
      <c r="H3293">
        <v>0.90807289999999996</v>
      </c>
      <c r="I3293">
        <v>282.49250000000001</v>
      </c>
      <c r="J3293">
        <v>-469.89749999999998</v>
      </c>
      <c r="K3293">
        <v>1.1110690000000001</v>
      </c>
      <c r="L3293">
        <v>282.40559999999999</v>
      </c>
      <c r="M3293">
        <v>-0.99887400000000004</v>
      </c>
      <c r="N3293">
        <v>0</v>
      </c>
      <c r="O3293">
        <v>-4.4385880000000003E-2</v>
      </c>
      <c r="P3293">
        <v>-0.9984423</v>
      </c>
      <c r="Q3293" s="1">
        <v>-1.820922E-5</v>
      </c>
      <c r="R3293">
        <v>-5.5796480000000002E-2</v>
      </c>
      <c r="S3293">
        <v>-3.022888</v>
      </c>
      <c r="T3293">
        <v>-0.840727</v>
      </c>
      <c r="U3293">
        <v>0.33883669999999999</v>
      </c>
      <c r="V3293">
        <v>-1.142872E-2</v>
      </c>
      <c r="W3293">
        <v>1.6725540000000001E-2</v>
      </c>
      <c r="X3293">
        <v>0.99979479999999998</v>
      </c>
      <c r="Y3293">
        <v>0.14817079999999999</v>
      </c>
      <c r="Z3293">
        <v>3.2246179999999999E-2</v>
      </c>
      <c r="AA3293">
        <v>0.98843590000000003</v>
      </c>
      <c r="AB3293">
        <v>11</v>
      </c>
      <c r="AC3293">
        <v>-0.65090000000003501</v>
      </c>
      <c r="AD3293">
        <v>-0.20299610000000001</v>
      </c>
      <c r="AE3293">
        <v>8.6900000000014105E-2</v>
      </c>
      <c r="AF3293">
        <v>0.105616492910515</v>
      </c>
      <c r="AG3293">
        <v>-0.20299610000000001</v>
      </c>
      <c r="AH3293">
        <v>0.59001873839007501</v>
      </c>
      <c r="AI3293">
        <v>108.709549589915</v>
      </c>
      <c r="AJ3293">
        <v>79.851238259330003</v>
      </c>
      <c r="AK3293">
        <v>0.63283834574189901</v>
      </c>
      <c r="AL3293">
        <v>89.0416524631231</v>
      </c>
      <c r="AM3293">
        <v>90.654923292229199</v>
      </c>
      <c r="AN3293">
        <v>1.00000000071808</v>
      </c>
    </row>
    <row r="3294" spans="1:40" x14ac:dyDescent="0.25">
      <c r="A3294" t="str">
        <f>"20190312153949734"</f>
        <v>20190312153949734</v>
      </c>
      <c r="B3294" t="str">
        <f>"1552376389728849"</f>
        <v>1552376389728849</v>
      </c>
      <c r="C3294" t="s">
        <v>40</v>
      </c>
      <c r="D3294">
        <v>4.4266709999999998</v>
      </c>
      <c r="E3294">
        <v>0.56625119999999995</v>
      </c>
      <c r="F3294" t="s">
        <v>41</v>
      </c>
      <c r="G3294">
        <v>-470.6438</v>
      </c>
      <c r="H3294">
        <v>0.90358400000000005</v>
      </c>
      <c r="I3294">
        <v>282.48809999999997</v>
      </c>
      <c r="J3294">
        <v>-469.96480000000003</v>
      </c>
      <c r="K3294">
        <v>1.111051</v>
      </c>
      <c r="L3294">
        <v>282.40190000000001</v>
      </c>
      <c r="M3294">
        <v>-0.99884989999999996</v>
      </c>
      <c r="N3294">
        <v>0</v>
      </c>
      <c r="O3294">
        <v>-4.5029270000000003E-2</v>
      </c>
      <c r="P3294">
        <v>-0.99834469999999997</v>
      </c>
      <c r="Q3294">
        <v>-2.8728510000000001E-4</v>
      </c>
      <c r="R3294">
        <v>-5.751328E-2</v>
      </c>
      <c r="S3294">
        <v>-3.023285</v>
      </c>
      <c r="T3294">
        <v>-0.84050239999999998</v>
      </c>
      <c r="U3294">
        <v>0.33364870000000002</v>
      </c>
      <c r="V3294">
        <v>-1.2504349999999999E-2</v>
      </c>
      <c r="W3294">
        <v>1.617677E-2</v>
      </c>
      <c r="X3294">
        <v>0.99979099999999999</v>
      </c>
      <c r="Y3294">
        <v>0.14713570000000001</v>
      </c>
      <c r="Z3294">
        <v>3.2270880000000002E-2</v>
      </c>
      <c r="AA3294">
        <v>0.98858979999999996</v>
      </c>
      <c r="AB3294">
        <v>11</v>
      </c>
      <c r="AC3294">
        <v>-0.67899999999997296</v>
      </c>
      <c r="AD3294">
        <v>-0.20746700000000001</v>
      </c>
      <c r="AE3294">
        <v>8.6199999999962501E-2</v>
      </c>
      <c r="AF3294">
        <v>0.106872274840334</v>
      </c>
      <c r="AG3294">
        <v>-0.20746700000000001</v>
      </c>
      <c r="AH3294">
        <v>0.61767760455811405</v>
      </c>
      <c r="AI3294">
        <v>108.312728354348</v>
      </c>
      <c r="AJ3294">
        <v>80.183713265085999</v>
      </c>
      <c r="AK3294">
        <v>0.66029528424122297</v>
      </c>
      <c r="AL3294">
        <v>89.0730989652548</v>
      </c>
      <c r="AM3294">
        <v>90.716558888357795</v>
      </c>
      <c r="AN3294">
        <v>1.0000000451687701</v>
      </c>
    </row>
    <row r="3295" spans="1:40" x14ac:dyDescent="0.25">
      <c r="A3295" t="str">
        <f>"20190312153949761"</f>
        <v>20190312153949761</v>
      </c>
      <c r="B3295" t="str">
        <f>"1552376389749344"</f>
        <v>1552376389749344</v>
      </c>
      <c r="C3295" t="s">
        <v>40</v>
      </c>
      <c r="D3295">
        <v>4.419581</v>
      </c>
      <c r="E3295">
        <v>0.56618889999999999</v>
      </c>
      <c r="F3295" t="s">
        <v>41</v>
      </c>
      <c r="G3295">
        <v>-470.65019999999998</v>
      </c>
      <c r="H3295">
        <v>0.92041910000000005</v>
      </c>
      <c r="I3295">
        <v>282.47609999999997</v>
      </c>
      <c r="J3295">
        <v>-470.08769999999998</v>
      </c>
      <c r="K3295">
        <v>1.111056</v>
      </c>
      <c r="L3295">
        <v>282.39499999999998</v>
      </c>
      <c r="M3295">
        <v>-0.99880429999999998</v>
      </c>
      <c r="N3295">
        <v>0</v>
      </c>
      <c r="O3295">
        <v>-4.6179730000000002E-2</v>
      </c>
      <c r="P3295">
        <v>-0.99830229999999998</v>
      </c>
      <c r="Q3295">
        <v>-3.3640489999999998E-4</v>
      </c>
      <c r="R3295">
        <v>-5.8245239999999997E-2</v>
      </c>
      <c r="S3295">
        <v>-3.0235599999999998</v>
      </c>
      <c r="T3295">
        <v>-0.840929699999999</v>
      </c>
      <c r="U3295">
        <v>0.32678220000000002</v>
      </c>
      <c r="V3295">
        <v>-1.2086339999999999E-2</v>
      </c>
      <c r="W3295">
        <v>1.5705239999999999E-2</v>
      </c>
      <c r="X3295">
        <v>0.99980360000000001</v>
      </c>
      <c r="Y3295">
        <v>0.1460349</v>
      </c>
      <c r="Z3295">
        <v>3.2450899999999998E-2</v>
      </c>
      <c r="AA3295">
        <v>0.98874709999999999</v>
      </c>
      <c r="AB3295">
        <v>11</v>
      </c>
      <c r="AC3295">
        <v>-0.5625</v>
      </c>
      <c r="AD3295">
        <v>-0.1906369</v>
      </c>
      <c r="AE3295">
        <v>8.1099999999992095E-2</v>
      </c>
      <c r="AF3295">
        <v>9.6171574442377505E-2</v>
      </c>
      <c r="AG3295">
        <v>-0.1906369</v>
      </c>
      <c r="AH3295">
        <v>0.50170205648103405</v>
      </c>
      <c r="AI3295">
        <v>110.464857580542</v>
      </c>
      <c r="AJ3295">
        <v>79.148572002962993</v>
      </c>
      <c r="AK3295">
        <v>0.54524889073673</v>
      </c>
      <c r="AL3295">
        <v>89.100119023621801</v>
      </c>
      <c r="AM3295">
        <v>90.692598567964495</v>
      </c>
      <c r="AN3295">
        <v>0.99999998637550602</v>
      </c>
    </row>
    <row r="3296" spans="1:40" x14ac:dyDescent="0.25">
      <c r="A3296" t="str">
        <f>"20190312153949783"</f>
        <v>20190312153949783</v>
      </c>
      <c r="B3296" t="str">
        <f>"1552376389779599"</f>
        <v>1552376389779599</v>
      </c>
      <c r="C3296" t="s">
        <v>40</v>
      </c>
      <c r="D3296">
        <v>4.4471339999999904</v>
      </c>
      <c r="E3296">
        <v>0.54995629999999995</v>
      </c>
      <c r="F3296" t="s">
        <v>41</v>
      </c>
      <c r="G3296">
        <v>-470.83710000000002</v>
      </c>
      <c r="H3296">
        <v>0.9028969</v>
      </c>
      <c r="I3296">
        <v>282.47559999999999</v>
      </c>
      <c r="J3296">
        <v>-470.19619999999998</v>
      </c>
      <c r="K3296">
        <v>1.1110679999999999</v>
      </c>
      <c r="L3296">
        <v>282.38869999999997</v>
      </c>
      <c r="M3296">
        <v>-0.99876189999999998</v>
      </c>
      <c r="N3296">
        <v>0</v>
      </c>
      <c r="O3296">
        <v>-4.719959E-2</v>
      </c>
      <c r="P3296">
        <v>-0.99830450000000004</v>
      </c>
      <c r="Q3296">
        <v>3.7774629999999998E-4</v>
      </c>
      <c r="R3296">
        <v>-5.8207750000000003E-2</v>
      </c>
      <c r="S3296">
        <v>-3.023682</v>
      </c>
      <c r="T3296">
        <v>-0.84046109999999896</v>
      </c>
      <c r="U3296">
        <v>0.322876</v>
      </c>
      <c r="V3296">
        <v>-1.102932E-2</v>
      </c>
      <c r="W3296">
        <v>1.6081419999999999E-2</v>
      </c>
      <c r="X3296">
        <v>0.99980990000000003</v>
      </c>
      <c r="Y3296">
        <v>0.1457561</v>
      </c>
      <c r="Z3296">
        <v>3.2673840000000003E-2</v>
      </c>
      <c r="AA3296">
        <v>0.98878089999999996</v>
      </c>
      <c r="AB3296">
        <v>11</v>
      </c>
      <c r="AC3296">
        <v>-0.64090000000004399</v>
      </c>
      <c r="AD3296">
        <v>-0.208171099999999</v>
      </c>
      <c r="AE3296">
        <v>8.6900000000014105E-2</v>
      </c>
      <c r="AF3296">
        <v>0.10606865052804</v>
      </c>
      <c r="AG3296">
        <v>-0.208171099999999</v>
      </c>
      <c r="AH3296">
        <v>0.57637272040255305</v>
      </c>
      <c r="AI3296">
        <v>109.55553271334099</v>
      </c>
      <c r="AJ3296">
        <v>79.572646318656496</v>
      </c>
      <c r="AK3296">
        <v>0.62192546042454999</v>
      </c>
      <c r="AL3296">
        <v>89.078562830075299</v>
      </c>
      <c r="AM3296">
        <v>90.632028003509902</v>
      </c>
      <c r="AN3296">
        <v>1.00000004705344</v>
      </c>
    </row>
    <row r="3297" spans="1:40" x14ac:dyDescent="0.25">
      <c r="A3297" t="str">
        <f>"20190312153949805"</f>
        <v>20190312153949805</v>
      </c>
      <c r="B3297" t="str">
        <f>"1552376389799121"</f>
        <v>1552376389799121</v>
      </c>
      <c r="C3297" t="s">
        <v>40</v>
      </c>
      <c r="D3297">
        <v>4.4220709999999999</v>
      </c>
      <c r="E3297">
        <v>0.49136570000000002</v>
      </c>
      <c r="F3297" t="s">
        <v>41</v>
      </c>
      <c r="G3297">
        <v>-470.94619999999998</v>
      </c>
      <c r="H3297">
        <v>0.93553920000000002</v>
      </c>
      <c r="I3297">
        <v>282.43779999999998</v>
      </c>
      <c r="J3297">
        <v>-470.30560000000003</v>
      </c>
      <c r="K3297">
        <v>1.1110530000000001</v>
      </c>
      <c r="L3297">
        <v>282.38220000000001</v>
      </c>
      <c r="M3297">
        <v>-0.99871620000000005</v>
      </c>
      <c r="N3297">
        <v>0</v>
      </c>
      <c r="O3297">
        <v>-4.8261930000000001E-2</v>
      </c>
      <c r="P3297">
        <v>-0.99831409999999998</v>
      </c>
      <c r="Q3297">
        <v>1.196735E-3</v>
      </c>
      <c r="R3297">
        <v>-5.8032729999999998E-2</v>
      </c>
      <c r="S3297">
        <v>-3.0168460000000001</v>
      </c>
      <c r="T3297">
        <v>-0.70620859999999996</v>
      </c>
      <c r="U3297">
        <v>0.196991</v>
      </c>
      <c r="V3297">
        <v>-9.7916050000000001E-3</v>
      </c>
      <c r="W3297">
        <v>1.65744E-2</v>
      </c>
      <c r="X3297">
        <v>0.99981469999999995</v>
      </c>
      <c r="Y3297">
        <v>0.1090108</v>
      </c>
      <c r="Z3297">
        <v>2.3713910000000001E-2</v>
      </c>
      <c r="AA3297">
        <v>0.99375769999999997</v>
      </c>
      <c r="AB3297">
        <v>11</v>
      </c>
      <c r="AC3297">
        <v>-0.64059999999994899</v>
      </c>
      <c r="AD3297">
        <v>-0.1755138</v>
      </c>
      <c r="AE3297">
        <v>5.5599999999969799E-2</v>
      </c>
      <c r="AF3297">
        <v>8.0460671020362806E-2</v>
      </c>
      <c r="AG3297">
        <v>-0.1755138</v>
      </c>
      <c r="AH3297">
        <v>0.59298864308143995</v>
      </c>
      <c r="AI3297">
        <v>106.346103548522</v>
      </c>
      <c r="AJ3297">
        <v>82.272915074241894</v>
      </c>
      <c r="AK3297">
        <v>0.62363013429039404</v>
      </c>
      <c r="AL3297">
        <v>89.050313356916305</v>
      </c>
      <c r="AM3297">
        <v>90.561103678768902</v>
      </c>
      <c r="AN3297">
        <v>1.00000001029996</v>
      </c>
    </row>
    <row r="3298" spans="1:40" x14ac:dyDescent="0.25">
      <c r="A3298" t="str">
        <f>"20190312153949827"</f>
        <v>20190312153949827</v>
      </c>
      <c r="B3298" t="str">
        <f>"1552376389818766"</f>
        <v>1552376389818766</v>
      </c>
      <c r="C3298" t="s">
        <v>40</v>
      </c>
      <c r="D3298">
        <v>4.4078530000000002</v>
      </c>
      <c r="E3298">
        <v>0.4749254</v>
      </c>
      <c r="F3298" t="s">
        <v>41</v>
      </c>
      <c r="G3298">
        <v>-471.07769999999999</v>
      </c>
      <c r="H3298">
        <v>1.0149520000000001</v>
      </c>
      <c r="I3298">
        <v>282.31569999999999</v>
      </c>
      <c r="J3298">
        <v>-470.41210000000001</v>
      </c>
      <c r="K3298">
        <v>1.1110390000000001</v>
      </c>
      <c r="L3298">
        <v>282.37580000000003</v>
      </c>
      <c r="M3298">
        <v>-0.99866880000000002</v>
      </c>
      <c r="N3298">
        <v>0</v>
      </c>
      <c r="O3298">
        <v>-4.9325969999999997E-2</v>
      </c>
      <c r="P3298">
        <v>-0.99834860000000003</v>
      </c>
      <c r="Q3298">
        <v>1.429327E-3</v>
      </c>
      <c r="R3298">
        <v>-5.7433819999999997E-2</v>
      </c>
      <c r="S3298">
        <v>-2.9905089999999999</v>
      </c>
      <c r="T3298">
        <v>-0.37203619999999998</v>
      </c>
      <c r="U3298">
        <v>-0.25750729999999999</v>
      </c>
      <c r="V3298">
        <v>-8.1267919999999903E-3</v>
      </c>
      <c r="W3298">
        <v>1.6520529999999999E-2</v>
      </c>
      <c r="X3298">
        <v>0.99983049999999996</v>
      </c>
      <c r="Y3298">
        <v>-3.6633400000000003E-2</v>
      </c>
      <c r="Z3298">
        <v>3.8315089999999999E-3</v>
      </c>
      <c r="AA3298">
        <v>0.99932140000000003</v>
      </c>
      <c r="AB3298">
        <v>11</v>
      </c>
      <c r="AC3298">
        <v>-0.66559999999998298</v>
      </c>
      <c r="AD3298">
        <v>-9.6086999999999798E-2</v>
      </c>
      <c r="AE3298">
        <v>-6.0100000000034001E-2</v>
      </c>
      <c r="AF3298">
        <v>-2.6641008634027599E-2</v>
      </c>
      <c r="AG3298">
        <v>-9.6086999999999798E-2</v>
      </c>
      <c r="AH3298">
        <v>0.65423037811642404</v>
      </c>
      <c r="AI3298">
        <v>98.348490588185001</v>
      </c>
      <c r="AJ3298">
        <v>92.3318612809435</v>
      </c>
      <c r="AK3298">
        <v>0.66178534477608197</v>
      </c>
      <c r="AL3298">
        <v>89.053400294094899</v>
      </c>
      <c r="AM3298">
        <v>90.465699564762602</v>
      </c>
      <c r="AN3298">
        <v>1.0000000006949701</v>
      </c>
    </row>
    <row r="3299" spans="1:40" x14ac:dyDescent="0.25">
      <c r="A3299" t="str">
        <f>"20190312153949849"</f>
        <v>20190312153949849</v>
      </c>
      <c r="B3299" t="str">
        <f>"1552376389839262"</f>
        <v>1552376389839262</v>
      </c>
      <c r="C3299" t="s">
        <v>40</v>
      </c>
      <c r="D3299">
        <v>4.2852920000000001</v>
      </c>
      <c r="E3299">
        <v>0.46813979999999999</v>
      </c>
      <c r="F3299" t="s">
        <v>54</v>
      </c>
      <c r="G3299">
        <v>-481.01819999999998</v>
      </c>
      <c r="H3299" s="1">
        <v>2.0710479999999998E-6</v>
      </c>
      <c r="I3299">
        <v>281.0095</v>
      </c>
      <c r="J3299">
        <v>-470.5188</v>
      </c>
      <c r="K3299">
        <v>1.1110169999999999</v>
      </c>
      <c r="L3299">
        <v>282.36919999999998</v>
      </c>
      <c r="M3299">
        <v>-0.99861809999999995</v>
      </c>
      <c r="N3299">
        <v>0</v>
      </c>
      <c r="O3299">
        <v>-5.0412829999999999E-2</v>
      </c>
      <c r="P3299">
        <v>-0.99837770000000003</v>
      </c>
      <c r="Q3299">
        <v>7.3799679999999896E-4</v>
      </c>
      <c r="R3299">
        <v>-5.6936239999999999E-2</v>
      </c>
      <c r="S3299">
        <v>-2.9833069999999999</v>
      </c>
      <c r="T3299">
        <v>-0.31251449999999997</v>
      </c>
      <c r="U3299">
        <v>-0.38430789999999998</v>
      </c>
      <c r="V3299">
        <v>-6.5392820000000004E-3</v>
      </c>
      <c r="W3299">
        <v>1.5585089999999999E-2</v>
      </c>
      <c r="X3299">
        <v>0.9998572</v>
      </c>
      <c r="Y3299">
        <v>-7.7450580000000005E-2</v>
      </c>
      <c r="Z3299">
        <v>1.21068E-3</v>
      </c>
      <c r="AA3299">
        <v>0.99699539999999998</v>
      </c>
      <c r="AB3299">
        <v>11</v>
      </c>
      <c r="AC3299">
        <v>-10.4993999999999</v>
      </c>
      <c r="AD3299">
        <v>-1.1110149289519999</v>
      </c>
      <c r="AE3299">
        <v>-1.3596999999999699</v>
      </c>
      <c r="AF3299">
        <v>-0.81958221005743503</v>
      </c>
      <c r="AG3299">
        <v>-1.1110149289519999</v>
      </c>
      <c r="AH3299">
        <v>10.4396336427056</v>
      </c>
      <c r="AI3299">
        <v>96.056216435430599</v>
      </c>
      <c r="AJ3299">
        <v>94.488901125426395</v>
      </c>
      <c r="AK3299">
        <v>10.530527990813599</v>
      </c>
      <c r="AL3299">
        <v>89.1070040011288</v>
      </c>
      <c r="AM3299">
        <v>90.374721427858503</v>
      </c>
      <c r="AN3299">
        <v>1.0000000388156101</v>
      </c>
    </row>
    <row r="3300" spans="1:40" x14ac:dyDescent="0.25">
      <c r="A3300" t="str">
        <f>"20190312153949874"</f>
        <v>20190312153949874</v>
      </c>
      <c r="B3300" t="str">
        <f>"1552376389858782"</f>
        <v>1552376389858782</v>
      </c>
      <c r="C3300" t="s">
        <v>40</v>
      </c>
      <c r="D3300">
        <v>4.3235910000000004</v>
      </c>
      <c r="E3300">
        <v>0.46467730000000002</v>
      </c>
      <c r="F3300" t="s">
        <v>54</v>
      </c>
      <c r="G3300">
        <v>-481.4948</v>
      </c>
      <c r="H3300" s="1">
        <v>2.1338790000000001E-6</v>
      </c>
      <c r="I3300">
        <v>280.76130000000001</v>
      </c>
      <c r="J3300">
        <v>-470.6259</v>
      </c>
      <c r="K3300">
        <v>1.1110089999999999</v>
      </c>
      <c r="L3300">
        <v>282.36250000000001</v>
      </c>
      <c r="M3300">
        <v>-0.99856460000000002</v>
      </c>
      <c r="N3300">
        <v>0</v>
      </c>
      <c r="O3300">
        <v>-5.1519429999999998E-2</v>
      </c>
      <c r="P3300">
        <v>-0.99835249999999998</v>
      </c>
      <c r="Q3300">
        <v>-4.835501E-4</v>
      </c>
      <c r="R3300">
        <v>-5.7379010000000001E-2</v>
      </c>
      <c r="S3300">
        <v>-2.9802249999999999</v>
      </c>
      <c r="T3300">
        <v>-0.30166539999999997</v>
      </c>
      <c r="U3300">
        <v>-0.43658449999999999</v>
      </c>
      <c r="V3300">
        <v>-5.8738369999999998E-3</v>
      </c>
      <c r="W3300">
        <v>1.415951E-2</v>
      </c>
      <c r="X3300">
        <v>0.99988250000000001</v>
      </c>
      <c r="Y3300">
        <v>-9.3563320000000005E-2</v>
      </c>
      <c r="Z3300">
        <v>4.69822E-4</v>
      </c>
      <c r="AA3300">
        <v>0.99561319999999998</v>
      </c>
      <c r="AB3300">
        <v>11</v>
      </c>
      <c r="AC3300">
        <v>-10.868899999999901</v>
      </c>
      <c r="AD3300">
        <v>-1.111006866121</v>
      </c>
      <c r="AE3300">
        <v>-1.6012</v>
      </c>
      <c r="AF3300">
        <v>-1.02853497327328</v>
      </c>
      <c r="AG3300">
        <v>-1.111006866121</v>
      </c>
      <c r="AH3300">
        <v>10.826247356832001</v>
      </c>
      <c r="AI3300">
        <v>95.8331909111117</v>
      </c>
      <c r="AJ3300">
        <v>95.427030030218702</v>
      </c>
      <c r="AK3300">
        <v>10.931598797940101</v>
      </c>
      <c r="AL3300">
        <v>89.188692728459699</v>
      </c>
      <c r="AM3300">
        <v>90.336581746673602</v>
      </c>
      <c r="AN3300">
        <v>1.00000000374539</v>
      </c>
    </row>
    <row r="3301" spans="1:40" x14ac:dyDescent="0.25">
      <c r="A3301" t="str">
        <f>"20190312153949894"</f>
        <v>20190312153949894</v>
      </c>
      <c r="B3301" t="str">
        <f>"1552376389889041"</f>
        <v>1552376389889041</v>
      </c>
      <c r="C3301" t="s">
        <v>40</v>
      </c>
      <c r="D3301">
        <v>4.3154690000000002</v>
      </c>
      <c r="E3301">
        <v>0.46186359999999899</v>
      </c>
      <c r="F3301" t="s">
        <v>54</v>
      </c>
      <c r="G3301">
        <v>-481.80309999999997</v>
      </c>
      <c r="H3301" s="1">
        <v>2.1759109999999999E-6</v>
      </c>
      <c r="I3301">
        <v>280.61649999999997</v>
      </c>
      <c r="J3301">
        <v>-470.73239999999998</v>
      </c>
      <c r="K3301">
        <v>1.1109990000000001</v>
      </c>
      <c r="L3301">
        <v>282.35570000000001</v>
      </c>
      <c r="M3301">
        <v>-0.99850899999999998</v>
      </c>
      <c r="N3301">
        <v>0</v>
      </c>
      <c r="O3301">
        <v>-5.2633699999999999E-2</v>
      </c>
      <c r="P3301">
        <v>-0.99833669999999997</v>
      </c>
      <c r="Q3301">
        <v>-1.436662E-3</v>
      </c>
      <c r="R3301">
        <v>-5.763679E-2</v>
      </c>
      <c r="S3301">
        <v>-2.9780880000000001</v>
      </c>
      <c r="T3301">
        <v>-0.29602149999999999</v>
      </c>
      <c r="U3301">
        <v>-0.46521000000000001</v>
      </c>
      <c r="V3301">
        <v>-5.0152290000000004E-3</v>
      </c>
      <c r="W3301">
        <v>1.303142E-2</v>
      </c>
      <c r="X3301">
        <v>0.99990250000000003</v>
      </c>
      <c r="Y3301">
        <v>-0.1018802</v>
      </c>
      <c r="Z3301">
        <v>1.603896E-4</v>
      </c>
      <c r="AA3301">
        <v>0.99479669999999998</v>
      </c>
      <c r="AB3301">
        <v>11</v>
      </c>
      <c r="AC3301">
        <v>-11.070699999999899</v>
      </c>
      <c r="AD3301">
        <v>-1.110996824089</v>
      </c>
      <c r="AE3301">
        <v>-1.7392000000000301</v>
      </c>
      <c r="AF3301">
        <v>-1.1428037809629401</v>
      </c>
      <c r="AG3301">
        <v>-1.110996824089</v>
      </c>
      <c r="AH3301">
        <v>11.038410663268801</v>
      </c>
      <c r="AI3301">
        <v>95.717012632237399</v>
      </c>
      <c r="AJ3301">
        <v>95.910759179635505</v>
      </c>
      <c r="AK3301">
        <v>11.1528841290442</v>
      </c>
      <c r="AL3301">
        <v>89.253333491539095</v>
      </c>
      <c r="AM3301">
        <v>90.287377064617303</v>
      </c>
      <c r="AN3301">
        <v>0.99999998996769401</v>
      </c>
    </row>
    <row r="3302" spans="1:40" x14ac:dyDescent="0.25">
      <c r="A3302" t="str">
        <f>"20190312153949917"</f>
        <v>20190312153949917</v>
      </c>
      <c r="B3302" t="str">
        <f>"1552376389909534"</f>
        <v>1552376389909534</v>
      </c>
      <c r="C3302" t="s">
        <v>40</v>
      </c>
      <c r="D3302">
        <v>4.2781140000000004</v>
      </c>
      <c r="E3302">
        <v>0.46062520000000001</v>
      </c>
      <c r="F3302" t="s">
        <v>54</v>
      </c>
      <c r="G3302">
        <v>-482.1592</v>
      </c>
      <c r="H3302" s="1">
        <v>2.2273030000000001E-6</v>
      </c>
      <c r="I3302">
        <v>280.48180000000002</v>
      </c>
      <c r="J3302">
        <v>-470.8383</v>
      </c>
      <c r="K3302">
        <v>1.110989</v>
      </c>
      <c r="L3302">
        <v>282.34879999999998</v>
      </c>
      <c r="M3302">
        <v>-0.99845170000000005</v>
      </c>
      <c r="N3302">
        <v>0</v>
      </c>
      <c r="O3302">
        <v>-5.3755419999999998E-2</v>
      </c>
      <c r="P3302">
        <v>-0.99824789999999997</v>
      </c>
      <c r="Q3302">
        <v>-2.8924810000000001E-3</v>
      </c>
      <c r="R3302">
        <v>-5.9103290000000003E-2</v>
      </c>
      <c r="S3302">
        <v>-2.9763790000000001</v>
      </c>
      <c r="T3302">
        <v>-0.28938540000000001</v>
      </c>
      <c r="U3302">
        <v>-0.48809809999999998</v>
      </c>
      <c r="V3302">
        <v>-5.3605299999999996E-3</v>
      </c>
      <c r="W3302">
        <v>1.14203E-2</v>
      </c>
      <c r="X3302">
        <v>0.99992040000000004</v>
      </c>
      <c r="Y3302">
        <v>-0.1082926</v>
      </c>
      <c r="Z3302" s="1">
        <v>-4.4659249999999998E-5</v>
      </c>
      <c r="AA3302">
        <v>0.99411899999999997</v>
      </c>
      <c r="AB3302">
        <v>11</v>
      </c>
      <c r="AC3302">
        <v>-11.3208999999999</v>
      </c>
      <c r="AD3302">
        <v>-1.110986772697</v>
      </c>
      <c r="AE3302">
        <v>-1.86699999999996</v>
      </c>
      <c r="AF3302">
        <v>-1.24401456448612</v>
      </c>
      <c r="AG3302">
        <v>-1.110986772697</v>
      </c>
      <c r="AH3302">
        <v>11.2989644790176</v>
      </c>
      <c r="AI3302">
        <v>95.582121735117099</v>
      </c>
      <c r="AJ3302">
        <v>96.282952369213703</v>
      </c>
      <c r="AK3302">
        <v>11.4214036853559</v>
      </c>
      <c r="AL3302">
        <v>89.345650773481495</v>
      </c>
      <c r="AM3302">
        <v>90.307157252375404</v>
      </c>
      <c r="AN3302">
        <v>0.99999998243506505</v>
      </c>
    </row>
    <row r="3303" spans="1:40" x14ac:dyDescent="0.25">
      <c r="A3303" t="str">
        <f>"20190312153949938"</f>
        <v>20190312153949938</v>
      </c>
      <c r="B3303" t="str">
        <f>"1552376389929054"</f>
        <v>1552376389929054</v>
      </c>
      <c r="C3303" t="s">
        <v>40</v>
      </c>
      <c r="D3303">
        <v>4.3097370000000002</v>
      </c>
      <c r="E3303">
        <v>0.4595128</v>
      </c>
      <c r="F3303" t="s">
        <v>54</v>
      </c>
      <c r="G3303">
        <v>-482.173</v>
      </c>
      <c r="H3303" s="1">
        <v>2.2257940000000002E-6</v>
      </c>
      <c r="I3303">
        <v>280.43650000000002</v>
      </c>
      <c r="J3303">
        <v>-470.94349999999997</v>
      </c>
      <c r="K3303">
        <v>1.110973</v>
      </c>
      <c r="L3303">
        <v>282.34179999999998</v>
      </c>
      <c r="M3303">
        <v>-0.9983921</v>
      </c>
      <c r="N3303">
        <v>0</v>
      </c>
      <c r="O3303">
        <v>-5.4883250000000001E-2</v>
      </c>
      <c r="P3303">
        <v>-0.99810030000000005</v>
      </c>
      <c r="Q3303">
        <v>-4.8430929999999997E-3</v>
      </c>
      <c r="R3303">
        <v>-6.1420240000000001E-2</v>
      </c>
      <c r="S3303">
        <v>-2.9746700000000001</v>
      </c>
      <c r="T3303">
        <v>-0.29156720000000003</v>
      </c>
      <c r="U3303">
        <v>-0.50186160000000002</v>
      </c>
      <c r="V3303">
        <v>-6.5507589999999997E-3</v>
      </c>
      <c r="W3303">
        <v>9.332824E-3</v>
      </c>
      <c r="X3303">
        <v>0.99993500000000002</v>
      </c>
      <c r="Y3303">
        <v>-0.1117216</v>
      </c>
      <c r="Z3303">
        <v>-1.024958E-4</v>
      </c>
      <c r="AA3303">
        <v>0.9937395</v>
      </c>
      <c r="AB3303">
        <v>11</v>
      </c>
      <c r="AC3303">
        <v>-11.2295</v>
      </c>
      <c r="AD3303">
        <v>-1.110970774206</v>
      </c>
      <c r="AE3303">
        <v>-1.90529999999995</v>
      </c>
      <c r="AF3303">
        <v>-1.27393420933954</v>
      </c>
      <c r="AG3303">
        <v>-1.110970774206</v>
      </c>
      <c r="AH3303">
        <v>11.2104952614207</v>
      </c>
      <c r="AI3303">
        <v>95.6236273909212</v>
      </c>
      <c r="AJ3303">
        <v>96.483145813126299</v>
      </c>
      <c r="AK3303">
        <v>11.3372116694186</v>
      </c>
      <c r="AL3303">
        <v>89.465260815782102</v>
      </c>
      <c r="AM3303">
        <v>90.375349871701303</v>
      </c>
      <c r="AN3303">
        <v>1.0000000091361401</v>
      </c>
    </row>
    <row r="3304" spans="1:40" x14ac:dyDescent="0.25">
      <c r="A3304" t="str">
        <f>"20190312153949961"</f>
        <v>20190312153949961</v>
      </c>
      <c r="B3304" t="str">
        <f>"1552376389959309"</f>
        <v>1552376389959309</v>
      </c>
      <c r="C3304" t="s">
        <v>40</v>
      </c>
      <c r="D3304">
        <v>4.2886189999999997</v>
      </c>
      <c r="E3304">
        <v>0.45806010000000003</v>
      </c>
      <c r="F3304" t="s">
        <v>54</v>
      </c>
      <c r="G3304">
        <v>-481.9821</v>
      </c>
      <c r="H3304" s="1">
        <v>2.190406E-6</v>
      </c>
      <c r="I3304">
        <v>280.41910000000001</v>
      </c>
      <c r="J3304">
        <v>-471.05040000000002</v>
      </c>
      <c r="K3304">
        <v>1.110954</v>
      </c>
      <c r="L3304">
        <v>282.33449999999999</v>
      </c>
      <c r="M3304">
        <v>-0.99832980000000004</v>
      </c>
      <c r="N3304">
        <v>0</v>
      </c>
      <c r="O3304">
        <v>-5.603752E-2</v>
      </c>
      <c r="P3304">
        <v>-0.99786249999999999</v>
      </c>
      <c r="Q3304">
        <v>-5.3472980000000003E-3</v>
      </c>
      <c r="R3304">
        <v>-6.5133060000000007E-2</v>
      </c>
      <c r="S3304">
        <v>-2.9724119999999998</v>
      </c>
      <c r="T3304">
        <v>-0.2991567</v>
      </c>
      <c r="U3304">
        <v>-0.51773069999999999</v>
      </c>
      <c r="V3304">
        <v>-9.1145730000000008E-3</v>
      </c>
      <c r="W3304">
        <v>8.7062860000000006E-3</v>
      </c>
      <c r="X3304">
        <v>0.99992049999999999</v>
      </c>
      <c r="Y3304">
        <v>-0.11582099999999999</v>
      </c>
      <c r="Z3304">
        <v>-1.9501800000000001E-4</v>
      </c>
      <c r="AA3304">
        <v>0.99327010000000004</v>
      </c>
      <c r="AB3304">
        <v>11</v>
      </c>
      <c r="AC3304">
        <v>-10.9316999999999</v>
      </c>
      <c r="AD3304">
        <v>-1.1109518095940001</v>
      </c>
      <c r="AE3304">
        <v>-1.91539999999997</v>
      </c>
      <c r="AF3304">
        <v>-1.28684916655096</v>
      </c>
      <c r="AG3304">
        <v>-1.1109518095940001</v>
      </c>
      <c r="AH3304">
        <v>10.912516923539201</v>
      </c>
      <c r="AI3304">
        <v>95.773255244376003</v>
      </c>
      <c r="AJ3304">
        <v>96.725495118713098</v>
      </c>
      <c r="AK3304">
        <v>11.044148690923301</v>
      </c>
      <c r="AL3304">
        <v>89.501160225232994</v>
      </c>
      <c r="AM3304">
        <v>90.522253621147399</v>
      </c>
      <c r="AN3304">
        <v>0.99999994058856601</v>
      </c>
    </row>
    <row r="3305" spans="1:40" x14ac:dyDescent="0.25">
      <c r="A3305" t="str">
        <f>"20190312153949984"</f>
        <v>20190312153949984</v>
      </c>
      <c r="B3305" t="str">
        <f>"1552376389978830"</f>
        <v>1552376389978830</v>
      </c>
      <c r="C3305" t="s">
        <v>40</v>
      </c>
      <c r="D3305">
        <v>4.2877549999999998</v>
      </c>
      <c r="E3305">
        <v>0.45773009999999997</v>
      </c>
      <c r="F3305" t="s">
        <v>54</v>
      </c>
      <c r="G3305">
        <v>-481.95909999999998</v>
      </c>
      <c r="H3305" s="1">
        <v>2.1802470000000001E-6</v>
      </c>
      <c r="I3305">
        <v>280.34949999999998</v>
      </c>
      <c r="J3305">
        <v>-471.15609999999998</v>
      </c>
      <c r="K3305">
        <v>1.1109359999999999</v>
      </c>
      <c r="L3305">
        <v>282.3272</v>
      </c>
      <c r="M3305">
        <v>-0.99826630000000005</v>
      </c>
      <c r="N3305">
        <v>0</v>
      </c>
      <c r="O3305">
        <v>-5.7182690000000001E-2</v>
      </c>
      <c r="P3305">
        <v>-0.99767090000000003</v>
      </c>
      <c r="Q3305">
        <v>-5.3888579999999998E-3</v>
      </c>
      <c r="R3305">
        <v>-6.8000179999999993E-2</v>
      </c>
      <c r="S3305">
        <v>-2.9695429999999998</v>
      </c>
      <c r="T3305">
        <v>-0.3024212</v>
      </c>
      <c r="U3305">
        <v>-0.54037480000000004</v>
      </c>
      <c r="V3305">
        <v>-1.0840580000000001E-2</v>
      </c>
      <c r="W3305">
        <v>8.5618090000000001E-3</v>
      </c>
      <c r="X3305">
        <v>0.99990460000000003</v>
      </c>
      <c r="Y3305">
        <v>-0.1221503</v>
      </c>
      <c r="Z3305">
        <v>-4.0139489999999999E-4</v>
      </c>
      <c r="AA3305">
        <v>0.99251149999999999</v>
      </c>
      <c r="AB3305">
        <v>11</v>
      </c>
      <c r="AC3305">
        <v>-10.8029999999999</v>
      </c>
      <c r="AD3305">
        <v>-1.1109338197530001</v>
      </c>
      <c r="AE3305">
        <v>-1.97770000000002</v>
      </c>
      <c r="AF3305">
        <v>-1.3429175601822001</v>
      </c>
      <c r="AG3305">
        <v>-1.1109338197530001</v>
      </c>
      <c r="AH3305">
        <v>10.788035298417199</v>
      </c>
      <c r="AI3305">
        <v>95.834779591302507</v>
      </c>
      <c r="AJ3305">
        <v>97.095798939133303</v>
      </c>
      <c r="AK3305">
        <v>10.927914125084101</v>
      </c>
      <c r="AL3305">
        <v>89.509438493590096</v>
      </c>
      <c r="AM3305">
        <v>90.6211544057347</v>
      </c>
      <c r="AN3305">
        <v>1.0000000159246201</v>
      </c>
    </row>
    <row r="3306" spans="1:40" x14ac:dyDescent="0.25">
      <c r="A3306" t="str">
        <f>"20190312153950006"</f>
        <v>20190312153950006</v>
      </c>
      <c r="B3306" t="str">
        <f>"1552376389999326"</f>
        <v>1552376389999326</v>
      </c>
      <c r="C3306" t="s">
        <v>40</v>
      </c>
      <c r="D3306">
        <v>4.439762</v>
      </c>
      <c r="E3306">
        <v>0.4247264</v>
      </c>
      <c r="F3306" t="s">
        <v>54</v>
      </c>
      <c r="G3306">
        <v>-482.12630000000001</v>
      </c>
      <c r="H3306" s="1">
        <v>2.2044220000000002E-6</v>
      </c>
      <c r="I3306">
        <v>280.2867</v>
      </c>
      <c r="J3306">
        <v>-471.26100000000002</v>
      </c>
      <c r="K3306">
        <v>1.1109180000000001</v>
      </c>
      <c r="L3306">
        <v>282.31979999999999</v>
      </c>
      <c r="M3306">
        <v>-0.99820140000000002</v>
      </c>
      <c r="N3306">
        <v>0</v>
      </c>
      <c r="O3306">
        <v>-5.8323159999999999E-2</v>
      </c>
      <c r="P3306">
        <v>-0.99750649999999996</v>
      </c>
      <c r="Q3306">
        <v>-5.2768759999999998E-3</v>
      </c>
      <c r="R3306">
        <v>-7.0375579999999993E-2</v>
      </c>
      <c r="S3306">
        <v>-2.967743</v>
      </c>
      <c r="T3306">
        <v>-0.3005372</v>
      </c>
      <c r="U3306">
        <v>-0.55200199999999999</v>
      </c>
      <c r="V3306">
        <v>-1.207928E-2</v>
      </c>
      <c r="W3306">
        <v>8.5846969999999901E-3</v>
      </c>
      <c r="X3306">
        <v>0.99989019999999995</v>
      </c>
      <c r="Y3306">
        <v>-0.1248793</v>
      </c>
      <c r="Z3306">
        <v>-4.2204470000000002E-4</v>
      </c>
      <c r="AA3306">
        <v>0.99217180000000005</v>
      </c>
      <c r="AB3306">
        <v>11</v>
      </c>
      <c r="AC3306">
        <v>-10.8653</v>
      </c>
      <c r="AD3306">
        <v>-1.110915795578</v>
      </c>
      <c r="AE3306">
        <v>-2.0330999999999899</v>
      </c>
      <c r="AF3306">
        <v>-1.3819211347776299</v>
      </c>
      <c r="AG3306">
        <v>-1.110915795578</v>
      </c>
      <c r="AH3306">
        <v>10.8557433552247</v>
      </c>
      <c r="AI3306">
        <v>95.796533196856799</v>
      </c>
      <c r="AJ3306">
        <v>97.254654434396997</v>
      </c>
      <c r="AK3306">
        <v>10.9995910706769</v>
      </c>
      <c r="AL3306">
        <v>89.508127056227494</v>
      </c>
      <c r="AM3306">
        <v>90.692134094628102</v>
      </c>
      <c r="AN3306">
        <v>1.0000000090419701</v>
      </c>
    </row>
    <row r="3307" spans="1:40" x14ac:dyDescent="0.25">
      <c r="A3307" t="str">
        <f>"20190312153950028"</f>
        <v>20190312153950028</v>
      </c>
      <c r="B3307" t="str">
        <f>"1552376390018846"</f>
        <v>1552376390018846</v>
      </c>
      <c r="C3307" t="s">
        <v>40</v>
      </c>
      <c r="D3307">
        <v>4.1973159999999998</v>
      </c>
      <c r="E3307">
        <v>0.41960120000000001</v>
      </c>
      <c r="F3307" t="s">
        <v>54</v>
      </c>
      <c r="G3307">
        <v>-490.12959999999998</v>
      </c>
      <c r="H3307" s="1">
        <v>2.627957E-6</v>
      </c>
      <c r="I3307">
        <v>277.09359999999998</v>
      </c>
      <c r="J3307">
        <v>-471.36579999999998</v>
      </c>
      <c r="K3307">
        <v>1.1109009999999999</v>
      </c>
      <c r="L3307">
        <v>282.31229999999999</v>
      </c>
      <c r="M3307">
        <v>-0.99813510000000005</v>
      </c>
      <c r="N3307">
        <v>0</v>
      </c>
      <c r="O3307">
        <v>-5.9465949999999997E-2</v>
      </c>
      <c r="P3307">
        <v>-0.9974324</v>
      </c>
      <c r="Q3307">
        <v>-5.7608819999999897E-3</v>
      </c>
      <c r="R3307">
        <v>-7.1383909999999995E-2</v>
      </c>
      <c r="S3307">
        <v>-2.948944</v>
      </c>
      <c r="T3307">
        <v>-0.1736239</v>
      </c>
      <c r="U3307">
        <v>-0.81680299999999995</v>
      </c>
      <c r="V3307">
        <v>-1.194536E-2</v>
      </c>
      <c r="W3307">
        <v>8.0244310000000003E-3</v>
      </c>
      <c r="X3307">
        <v>0.99989649999999997</v>
      </c>
      <c r="Y3307">
        <v>-0.2089058</v>
      </c>
      <c r="Z3307">
        <v>-2.605713E-3</v>
      </c>
      <c r="AA3307">
        <v>0.97793229999999998</v>
      </c>
      <c r="AB3307">
        <v>11</v>
      </c>
      <c r="AC3307">
        <v>-18.7638</v>
      </c>
      <c r="AD3307">
        <v>-1.1108983720429999</v>
      </c>
      <c r="AE3307">
        <v>-5.2187000000000099</v>
      </c>
      <c r="AF3307">
        <v>-4.0802745049584797</v>
      </c>
      <c r="AG3307">
        <v>-1.1108983720429999</v>
      </c>
      <c r="AH3307">
        <v>18.979203960989999</v>
      </c>
      <c r="AI3307">
        <v>93.275172891499395</v>
      </c>
      <c r="AJ3307">
        <v>102.133146253931</v>
      </c>
      <c r="AK3307">
        <v>19.444611547204602</v>
      </c>
      <c r="AL3307">
        <v>89.5402290579636</v>
      </c>
      <c r="AM3307">
        <v>90.684456996505602</v>
      </c>
      <c r="AN3307">
        <v>1.0000000469153201</v>
      </c>
    </row>
    <row r="3308" spans="1:40" x14ac:dyDescent="0.25">
      <c r="A3308" t="str">
        <f>"20190312153950051"</f>
        <v>20190312153950051</v>
      </c>
      <c r="B3308" t="str">
        <f>"1552376390039342"</f>
        <v>1552376390039342</v>
      </c>
      <c r="C3308" t="s">
        <v>40</v>
      </c>
      <c r="D3308">
        <v>4.2211759999999998</v>
      </c>
      <c r="E3308">
        <v>0.41788130000000001</v>
      </c>
      <c r="F3308" t="s">
        <v>54</v>
      </c>
      <c r="G3308">
        <v>-490.55090000000001</v>
      </c>
      <c r="H3308" s="1">
        <v>2.4540379999999999E-6</v>
      </c>
      <c r="I3308">
        <v>276.70729999999998</v>
      </c>
      <c r="J3308">
        <v>-471.47179999999997</v>
      </c>
      <c r="K3308">
        <v>1.110873</v>
      </c>
      <c r="L3308">
        <v>282.30470000000003</v>
      </c>
      <c r="M3308">
        <v>-0.99806629999999996</v>
      </c>
      <c r="N3308">
        <v>0</v>
      </c>
      <c r="O3308">
        <v>-6.062298E-2</v>
      </c>
      <c r="P3308">
        <v>-0.9974383</v>
      </c>
      <c r="Q3308">
        <v>-6.6390219999999996E-3</v>
      </c>
      <c r="R3308">
        <v>-7.1222480000000005E-2</v>
      </c>
      <c r="S3308">
        <v>-2.94516</v>
      </c>
      <c r="T3308">
        <v>-0.17053760000000001</v>
      </c>
      <c r="U3308">
        <v>-0.86044310000000002</v>
      </c>
      <c r="V3308">
        <v>-1.0623290000000001E-2</v>
      </c>
      <c r="W3308">
        <v>7.0798440000000001E-3</v>
      </c>
      <c r="X3308">
        <v>0.99991850000000004</v>
      </c>
      <c r="Y3308">
        <v>-0.2214729</v>
      </c>
      <c r="Z3308">
        <v>-2.8488150000000002E-3</v>
      </c>
      <c r="AA3308">
        <v>0.97516230000000004</v>
      </c>
      <c r="AB3308">
        <v>11</v>
      </c>
      <c r="AC3308">
        <v>-19.0791</v>
      </c>
      <c r="AD3308">
        <v>-1.1108705459620001</v>
      </c>
      <c r="AE3308">
        <v>-5.5974000000000501</v>
      </c>
      <c r="AF3308">
        <v>-4.4165760136232803</v>
      </c>
      <c r="AG3308">
        <v>-1.1108705459620001</v>
      </c>
      <c r="AH3308">
        <v>19.3230494763873</v>
      </c>
      <c r="AI3308">
        <v>93.207735234928506</v>
      </c>
      <c r="AJ3308">
        <v>102.87466056275299</v>
      </c>
      <c r="AK3308">
        <v>19.852466298193502</v>
      </c>
      <c r="AL3308">
        <v>89.594351427322394</v>
      </c>
      <c r="AM3308">
        <v>90.608696391122507</v>
      </c>
      <c r="AN3308">
        <v>0.999999992561869</v>
      </c>
    </row>
    <row r="3309" spans="1:40" x14ac:dyDescent="0.25">
      <c r="A3309" t="str">
        <f>"20190312153950074"</f>
        <v>20190312153950074</v>
      </c>
      <c r="B3309" t="str">
        <f>"1552376390069252"</f>
        <v>1552376390069252</v>
      </c>
      <c r="C3309" t="s">
        <v>40</v>
      </c>
      <c r="D3309">
        <v>4.1623029999999996</v>
      </c>
      <c r="E3309">
        <v>0.41682200000000003</v>
      </c>
      <c r="F3309" t="s">
        <v>54</v>
      </c>
      <c r="G3309">
        <v>-489.62200000000001</v>
      </c>
      <c r="H3309" s="1">
        <v>2.5213290000000001E-6</v>
      </c>
      <c r="I3309">
        <v>276.91730000000001</v>
      </c>
      <c r="J3309">
        <v>-471.5772</v>
      </c>
      <c r="K3309">
        <v>1.1108610000000001</v>
      </c>
      <c r="L3309">
        <v>282.29689999999999</v>
      </c>
      <c r="M3309">
        <v>-0.99799649999999995</v>
      </c>
      <c r="N3309">
        <v>0</v>
      </c>
      <c r="O3309">
        <v>-6.1775099999999999E-2</v>
      </c>
      <c r="P3309">
        <v>-0.99747660000000005</v>
      </c>
      <c r="Q3309">
        <v>-7.4333159999999997E-3</v>
      </c>
      <c r="R3309">
        <v>-7.0605710000000002E-2</v>
      </c>
      <c r="S3309">
        <v>-2.9441220000000001</v>
      </c>
      <c r="T3309">
        <v>-0.18019309999999999</v>
      </c>
      <c r="U3309">
        <v>-0.87387079999999995</v>
      </c>
      <c r="V3309">
        <v>-8.8505900000000002E-3</v>
      </c>
      <c r="W3309">
        <v>6.2287100000000001E-3</v>
      </c>
      <c r="X3309">
        <v>0.99994139999999998</v>
      </c>
      <c r="Y3309">
        <v>-0.22449959999999999</v>
      </c>
      <c r="Z3309">
        <v>-3.0310950000000001E-3</v>
      </c>
      <c r="AA3309">
        <v>0.97446949999999999</v>
      </c>
      <c r="AB3309">
        <v>11</v>
      </c>
      <c r="AC3309">
        <v>-18.044799999999899</v>
      </c>
      <c r="AD3309">
        <v>-1.1108584786710001</v>
      </c>
      <c r="AE3309">
        <v>-5.3795999999999804</v>
      </c>
      <c r="AF3309">
        <v>-4.2397439164884503</v>
      </c>
      <c r="AG3309">
        <v>-1.1108584786710001</v>
      </c>
      <c r="AH3309">
        <v>18.279066899656598</v>
      </c>
      <c r="AI3309">
        <v>93.387988598515406</v>
      </c>
      <c r="AJ3309">
        <v>103.05857781681701</v>
      </c>
      <c r="AK3309">
        <v>18.797173238526</v>
      </c>
      <c r="AL3309">
        <v>89.643118885602206</v>
      </c>
      <c r="AM3309">
        <v>90.507117928465206</v>
      </c>
      <c r="AN3309">
        <v>0.99999996660278501</v>
      </c>
    </row>
    <row r="3310" spans="1:40" x14ac:dyDescent="0.25">
      <c r="A3310" t="str">
        <f>"20190312153950097"</f>
        <v>20190312153950097</v>
      </c>
      <c r="B3310" t="str">
        <f>"1552376390088771"</f>
        <v>1552376390088771</v>
      </c>
      <c r="C3310" t="s">
        <v>40</v>
      </c>
      <c r="D3310">
        <v>4.1646960000000002</v>
      </c>
      <c r="E3310">
        <v>0.4162785</v>
      </c>
      <c r="F3310" t="s">
        <v>54</v>
      </c>
      <c r="G3310">
        <v>-488.96800000000002</v>
      </c>
      <c r="H3310" s="1">
        <v>2.468478E-6</v>
      </c>
      <c r="I3310">
        <v>277.096</v>
      </c>
      <c r="J3310">
        <v>-471.68650000000002</v>
      </c>
      <c r="K3310">
        <v>1.110843</v>
      </c>
      <c r="L3310">
        <v>282.28870000000001</v>
      </c>
      <c r="M3310">
        <v>-0.99792250000000005</v>
      </c>
      <c r="N3310">
        <v>0</v>
      </c>
      <c r="O3310">
        <v>-6.2971139999999995E-2</v>
      </c>
      <c r="P3310">
        <v>-0.99746349999999995</v>
      </c>
      <c r="Q3310">
        <v>-8.2300080000000005E-3</v>
      </c>
      <c r="R3310">
        <v>-7.0702570000000006E-2</v>
      </c>
      <c r="S3310">
        <v>-2.9439090000000001</v>
      </c>
      <c r="T3310">
        <v>-0.1880454</v>
      </c>
      <c r="U3310">
        <v>-0.88040160000000001</v>
      </c>
      <c r="V3310">
        <v>-7.7491919999999898E-3</v>
      </c>
      <c r="W3310">
        <v>5.3809060000000004E-3</v>
      </c>
      <c r="X3310">
        <v>0.9999555</v>
      </c>
      <c r="Y3310">
        <v>-0.2253127</v>
      </c>
      <c r="Z3310">
        <v>-3.113378E-3</v>
      </c>
      <c r="AA3310">
        <v>0.97428150000000002</v>
      </c>
      <c r="AB3310">
        <v>11</v>
      </c>
      <c r="AC3310">
        <v>-17.281499999999902</v>
      </c>
      <c r="AD3310">
        <v>-1.110840531522</v>
      </c>
      <c r="AE3310">
        <v>-5.1927000000000003</v>
      </c>
      <c r="AF3310">
        <v>-4.0785992906843704</v>
      </c>
      <c r="AG3310">
        <v>-1.110840531522</v>
      </c>
      <c r="AH3310">
        <v>17.507867613479601</v>
      </c>
      <c r="AI3310">
        <v>93.536009463718202</v>
      </c>
      <c r="AJ3310">
        <v>103.113630526517</v>
      </c>
      <c r="AK3310">
        <v>18.010951313897099</v>
      </c>
      <c r="AL3310">
        <v>89.691695309389104</v>
      </c>
      <c r="AM3310">
        <v>90.444006866754904</v>
      </c>
      <c r="AN3310">
        <v>1.00000000305314</v>
      </c>
    </row>
    <row r="3311" spans="1:40" x14ac:dyDescent="0.25">
      <c r="A3311" t="str">
        <f>"20190312153950119"</f>
        <v>20190312153950119</v>
      </c>
      <c r="B3311" t="str">
        <f>"1552376390109267"</f>
        <v>1552376390109267</v>
      </c>
      <c r="C3311" t="s">
        <v>40</v>
      </c>
      <c r="D3311">
        <v>4.1857620000000004</v>
      </c>
      <c r="E3311">
        <v>0.4160219</v>
      </c>
      <c r="F3311" t="s">
        <v>54</v>
      </c>
      <c r="G3311">
        <v>-488.67349999999999</v>
      </c>
      <c r="H3311" s="1">
        <v>2.4459059999999999E-6</v>
      </c>
      <c r="I3311">
        <v>277.17989999999998</v>
      </c>
      <c r="J3311">
        <v>-471.7851</v>
      </c>
      <c r="K3311">
        <v>1.110827</v>
      </c>
      <c r="L3311">
        <v>282.28120000000001</v>
      </c>
      <c r="M3311">
        <v>-0.99785409999999997</v>
      </c>
      <c r="N3311">
        <v>0</v>
      </c>
      <c r="O3311">
        <v>-6.4054650000000005E-2</v>
      </c>
      <c r="P3311">
        <v>-0.99741259999999998</v>
      </c>
      <c r="Q3311">
        <v>-8.9960149999999996E-3</v>
      </c>
      <c r="R3311">
        <v>-7.132637E-2</v>
      </c>
      <c r="S3311">
        <v>-2.9433289999999999</v>
      </c>
      <c r="T3311">
        <v>-0.19247410000000001</v>
      </c>
      <c r="U3311">
        <v>-0.88519289999999995</v>
      </c>
      <c r="V3311">
        <v>-7.2886180000000002E-3</v>
      </c>
      <c r="W3311">
        <v>4.5741080000000003E-3</v>
      </c>
      <c r="X3311">
        <v>0.99996300000000005</v>
      </c>
      <c r="Y3311">
        <v>-0.22574959999999999</v>
      </c>
      <c r="Z3311">
        <v>-3.1316149999999999E-3</v>
      </c>
      <c r="AA3311">
        <v>0.9741803</v>
      </c>
      <c r="AB3311">
        <v>11</v>
      </c>
      <c r="AC3311">
        <v>-16.888399999999901</v>
      </c>
      <c r="AD3311">
        <v>-1.110824554094</v>
      </c>
      <c r="AE3311">
        <v>-5.1013000000000304</v>
      </c>
      <c r="AF3311">
        <v>-3.99311092306078</v>
      </c>
      <c r="AG3311">
        <v>-1.110824554094</v>
      </c>
      <c r="AH3311">
        <v>17.1126595761665</v>
      </c>
      <c r="AI3311">
        <v>93.617098799583701</v>
      </c>
      <c r="AJ3311">
        <v>103.134520893358</v>
      </c>
      <c r="AK3311">
        <v>17.607441148662399</v>
      </c>
      <c r="AL3311">
        <v>89.737922008933097</v>
      </c>
      <c r="AM3311">
        <v>90.417615106351505</v>
      </c>
      <c r="AN3311">
        <v>1.0000000238926701</v>
      </c>
    </row>
    <row r="3312" spans="1:40" x14ac:dyDescent="0.25">
      <c r="A3312" t="str">
        <f>"20190312153950140"</f>
        <v>20190312153950140</v>
      </c>
      <c r="B3312" t="str">
        <f>"1552376390128787"</f>
        <v>1552376390128787</v>
      </c>
      <c r="C3312" t="s">
        <v>40</v>
      </c>
      <c r="D3312">
        <v>4.1949170000000002</v>
      </c>
      <c r="E3312">
        <v>0.4156996</v>
      </c>
      <c r="F3312" t="s">
        <v>54</v>
      </c>
      <c r="G3312">
        <v>-488.54829999999998</v>
      </c>
      <c r="H3312" s="1">
        <v>2.436182E-6</v>
      </c>
      <c r="I3312">
        <v>277.21519999999998</v>
      </c>
      <c r="J3312">
        <v>-471.88569999999999</v>
      </c>
      <c r="K3312">
        <v>1.110811</v>
      </c>
      <c r="L3312">
        <v>282.27339999999998</v>
      </c>
      <c r="M3312">
        <v>-0.99778290000000003</v>
      </c>
      <c r="N3312">
        <v>0</v>
      </c>
      <c r="O3312">
        <v>-6.5162139999999993E-2</v>
      </c>
      <c r="P3312">
        <v>-0.99730039999999998</v>
      </c>
      <c r="Q3312">
        <v>-1.025241E-2</v>
      </c>
      <c r="R3312">
        <v>-7.2707809999999998E-2</v>
      </c>
      <c r="S3312">
        <v>-2.9424440000000001</v>
      </c>
      <c r="T3312">
        <v>-0.1949835</v>
      </c>
      <c r="U3312">
        <v>-0.88922119999999905</v>
      </c>
      <c r="V3312">
        <v>-7.5637809999999899E-3</v>
      </c>
      <c r="W3312">
        <v>3.2809359999999999E-3</v>
      </c>
      <c r="X3312">
        <v>0.99996600000000002</v>
      </c>
      <c r="Y3312">
        <v>-0.22596530000000001</v>
      </c>
      <c r="Z3312">
        <v>-3.1084260000000001E-3</v>
      </c>
      <c r="AA3312">
        <v>0.97413039999999995</v>
      </c>
      <c r="AB3312">
        <v>10</v>
      </c>
      <c r="AC3312">
        <v>-16.662599999999902</v>
      </c>
      <c r="AD3312">
        <v>-1.1108085638179901</v>
      </c>
      <c r="AE3312">
        <v>-5.0581999999999896</v>
      </c>
      <c r="AF3312">
        <v>-3.9455225045640998</v>
      </c>
      <c r="AG3312">
        <v>-1.1108085638179901</v>
      </c>
      <c r="AH3312">
        <v>16.888092504780801</v>
      </c>
      <c r="AI3312">
        <v>93.664783200050096</v>
      </c>
      <c r="AJ3312">
        <v>103.15000446787199</v>
      </c>
      <c r="AK3312">
        <v>17.378397853355398</v>
      </c>
      <c r="AL3312">
        <v>89.8120158748752</v>
      </c>
      <c r="AM3312">
        <v>90.4333791985446</v>
      </c>
      <c r="AN3312">
        <v>0.99999998824002601</v>
      </c>
    </row>
    <row r="3313" spans="1:40" x14ac:dyDescent="0.25">
      <c r="A3313" t="str">
        <f>"20190312153950162"</f>
        <v>20190312153950162</v>
      </c>
      <c r="B3313" t="str">
        <f>"1552376390158697"</f>
        <v>1552376390158697</v>
      </c>
      <c r="C3313" t="s">
        <v>40</v>
      </c>
      <c r="D3313">
        <v>4.1643179999999997</v>
      </c>
      <c r="E3313">
        <v>0.41535119999999998</v>
      </c>
      <c r="F3313" t="s">
        <v>54</v>
      </c>
      <c r="G3313">
        <v>-488.18189999999998</v>
      </c>
      <c r="H3313" s="1">
        <v>2.404475E-6</v>
      </c>
      <c r="I3313">
        <v>277.30939999999998</v>
      </c>
      <c r="J3313">
        <v>-471.98919999999998</v>
      </c>
      <c r="K3313">
        <v>1.1107940000000001</v>
      </c>
      <c r="L3313">
        <v>282.26530000000002</v>
      </c>
      <c r="M3313">
        <v>-0.99770809999999999</v>
      </c>
      <c r="N3313">
        <v>0</v>
      </c>
      <c r="O3313">
        <v>-6.6304589999999997E-2</v>
      </c>
      <c r="P3313">
        <v>-0.99715779999999998</v>
      </c>
      <c r="Q3313">
        <v>-1.189779E-2</v>
      </c>
      <c r="R3313">
        <v>-7.4396260000000006E-2</v>
      </c>
      <c r="S3313">
        <v>-2.9407649999999999</v>
      </c>
      <c r="T3313">
        <v>-0.20045350000000001</v>
      </c>
      <c r="U3313">
        <v>-0.89578250000000004</v>
      </c>
      <c r="V3313">
        <v>-8.1112030000000009E-3</v>
      </c>
      <c r="W3313">
        <v>1.601997E-3</v>
      </c>
      <c r="X3313">
        <v>0.99996580000000002</v>
      </c>
      <c r="Y3313">
        <v>-0.22697590000000001</v>
      </c>
      <c r="Z3313">
        <v>-3.15432E-3</v>
      </c>
      <c r="AA3313">
        <v>0.97389530000000002</v>
      </c>
      <c r="AB3313">
        <v>10</v>
      </c>
      <c r="AC3313">
        <v>-16.192699999999999</v>
      </c>
      <c r="AD3313">
        <v>-1.1107915955249901</v>
      </c>
      <c r="AE3313">
        <v>-4.9559000000000397</v>
      </c>
      <c r="AF3313">
        <v>-3.8546586267171898</v>
      </c>
      <c r="AG3313">
        <v>-1.1107915955249901</v>
      </c>
      <c r="AH3313">
        <v>16.415060306589002</v>
      </c>
      <c r="AI3313">
        <v>93.769034341068405</v>
      </c>
      <c r="AJ3313">
        <v>103.215022643453</v>
      </c>
      <c r="AK3313">
        <v>16.898119894419199</v>
      </c>
      <c r="AL3313">
        <v>89.9082122919732</v>
      </c>
      <c r="AM3313">
        <v>90.464743400655493</v>
      </c>
      <c r="AN3313">
        <v>0.99999997958906695</v>
      </c>
    </row>
    <row r="3314" spans="1:40" x14ac:dyDescent="0.25">
      <c r="A3314" t="str">
        <f>"20190312153950185"</f>
        <v>20190312153950185</v>
      </c>
      <c r="B3314" t="str">
        <f>"1552376390179190"</f>
        <v>1552376390179190</v>
      </c>
      <c r="C3314" t="s">
        <v>40</v>
      </c>
      <c r="D3314">
        <v>4.1441999999999997</v>
      </c>
      <c r="E3314">
        <v>0.41528690000000001</v>
      </c>
      <c r="F3314" t="s">
        <v>54</v>
      </c>
      <c r="G3314">
        <v>-487.78219999999999</v>
      </c>
      <c r="H3314" s="1">
        <v>2.369258E-6</v>
      </c>
      <c r="I3314">
        <v>277.41030000000001</v>
      </c>
      <c r="J3314">
        <v>-472.09300000000002</v>
      </c>
      <c r="K3314">
        <v>1.1107769999999999</v>
      </c>
      <c r="L3314">
        <v>282.25700000000001</v>
      </c>
      <c r="M3314">
        <v>-0.99763139999999995</v>
      </c>
      <c r="N3314">
        <v>0</v>
      </c>
      <c r="O3314">
        <v>-6.7452890000000001E-2</v>
      </c>
      <c r="P3314">
        <v>-0.99697009999999997</v>
      </c>
      <c r="Q3314">
        <v>-1.3914660000000001E-2</v>
      </c>
      <c r="R3314">
        <v>-7.6531160000000001E-2</v>
      </c>
      <c r="S3314">
        <v>-2.9386899999999998</v>
      </c>
      <c r="T3314">
        <v>-0.2066916</v>
      </c>
      <c r="U3314">
        <v>-0.90338130000000005</v>
      </c>
      <c r="V3314">
        <v>-9.1020449999999996E-3</v>
      </c>
      <c r="W3314">
        <v>-4.4473499999999998E-4</v>
      </c>
      <c r="X3314">
        <v>0.99995849999999997</v>
      </c>
      <c r="Y3314">
        <v>-0.22832710000000001</v>
      </c>
      <c r="Z3314">
        <v>-3.2214079999999998E-3</v>
      </c>
      <c r="AA3314">
        <v>0.97357919999999998</v>
      </c>
      <c r="AB3314">
        <v>10</v>
      </c>
      <c r="AC3314">
        <v>-15.6891999999999</v>
      </c>
      <c r="AD3314">
        <v>-1.1107746307419999</v>
      </c>
      <c r="AE3314">
        <v>-4.8466999999999896</v>
      </c>
      <c r="AF3314">
        <v>-3.7600761186012099</v>
      </c>
      <c r="AG3314">
        <v>-1.1107746307419999</v>
      </c>
      <c r="AH3314">
        <v>15.907624551696999</v>
      </c>
      <c r="AI3314">
        <v>93.887503282074206</v>
      </c>
      <c r="AJ3314">
        <v>103.298884616832</v>
      </c>
      <c r="AK3314">
        <v>16.3836659992728</v>
      </c>
      <c r="AL3314">
        <v>90.025481438746297</v>
      </c>
      <c r="AM3314">
        <v>90.521516004021805</v>
      </c>
      <c r="AN3314">
        <v>1.0000000233673201</v>
      </c>
    </row>
    <row r="3315" spans="1:40" x14ac:dyDescent="0.25">
      <c r="A3315" t="str">
        <f>"20190312153950207"</f>
        <v>20190312153950207</v>
      </c>
      <c r="B3315" t="str">
        <f>"1552376390198713"</f>
        <v>1552376390198713</v>
      </c>
      <c r="C3315" t="s">
        <v>40</v>
      </c>
      <c r="D3315">
        <v>4.1670160000000003</v>
      </c>
      <c r="E3315">
        <v>0.41520170000000001</v>
      </c>
      <c r="F3315" t="s">
        <v>54</v>
      </c>
      <c r="G3315">
        <v>-487.46749999999997</v>
      </c>
      <c r="H3315" s="1">
        <v>2.3412359999999999E-6</v>
      </c>
      <c r="I3315">
        <v>277.48899999999998</v>
      </c>
      <c r="J3315">
        <v>-472.19450000000001</v>
      </c>
      <c r="K3315">
        <v>1.1107560000000001</v>
      </c>
      <c r="L3315">
        <v>282.24869999999999</v>
      </c>
      <c r="M3315">
        <v>-0.99755510000000003</v>
      </c>
      <c r="N3315">
        <v>0</v>
      </c>
      <c r="O3315">
        <v>-6.8578440000000004E-2</v>
      </c>
      <c r="P3315">
        <v>-0.99683820000000001</v>
      </c>
      <c r="Q3315">
        <v>-1.4987449999999999E-2</v>
      </c>
      <c r="R3315">
        <v>-7.8031959999999997E-2</v>
      </c>
      <c r="S3315">
        <v>-2.9362180000000002</v>
      </c>
      <c r="T3315">
        <v>-0.2121344</v>
      </c>
      <c r="U3315">
        <v>-0.91058349999999999</v>
      </c>
      <c r="V3315">
        <v>-9.4791939999999998E-3</v>
      </c>
      <c r="W3315">
        <v>-1.5429409999999999E-3</v>
      </c>
      <c r="X3315">
        <v>0.99995389999999995</v>
      </c>
      <c r="Y3315">
        <v>-0.22961889999999999</v>
      </c>
      <c r="Z3315">
        <v>-3.274342E-3</v>
      </c>
      <c r="AA3315">
        <v>0.97327509999999995</v>
      </c>
      <c r="AB3315">
        <v>10</v>
      </c>
      <c r="AC3315">
        <v>-15.2729999999999</v>
      </c>
      <c r="AD3315">
        <v>-1.1107536587639999</v>
      </c>
      <c r="AE3315">
        <v>-4.7596999999999499</v>
      </c>
      <c r="AF3315">
        <v>-3.6832423951772499</v>
      </c>
      <c r="AG3315">
        <v>-1.1107536587639999</v>
      </c>
      <c r="AH3315">
        <v>15.488808250943601</v>
      </c>
      <c r="AI3315">
        <v>93.990932675644402</v>
      </c>
      <c r="AJ3315">
        <v>103.37650157789901</v>
      </c>
      <c r="AK3315">
        <v>15.9594244653931</v>
      </c>
      <c r="AL3315">
        <v>90.088404040738695</v>
      </c>
      <c r="AM3315">
        <v>90.543126579593107</v>
      </c>
      <c r="AN3315">
        <v>1.0000000189555101</v>
      </c>
    </row>
    <row r="3316" spans="1:40" x14ac:dyDescent="0.25">
      <c r="A3316" t="str">
        <f>"20190312153950228"</f>
        <v>20190312153950228</v>
      </c>
      <c r="B3316" t="str">
        <f>"1552376390219206"</f>
        <v>1552376390219206</v>
      </c>
      <c r="C3316" t="s">
        <v>40</v>
      </c>
      <c r="D3316">
        <v>4.159465</v>
      </c>
      <c r="E3316">
        <v>0.4151398</v>
      </c>
      <c r="F3316" t="s">
        <v>54</v>
      </c>
      <c r="G3316">
        <v>-487.36919999999998</v>
      </c>
      <c r="H3316" s="1">
        <v>2.3324150000000001E-6</v>
      </c>
      <c r="I3316">
        <v>277.51339999999999</v>
      </c>
      <c r="J3316">
        <v>-472.29590000000002</v>
      </c>
      <c r="K3316">
        <v>1.110735</v>
      </c>
      <c r="L3316">
        <v>282.24040000000002</v>
      </c>
      <c r="M3316">
        <v>-0.99747750000000002</v>
      </c>
      <c r="N3316">
        <v>0</v>
      </c>
      <c r="O3316">
        <v>-6.9701609999999997E-2</v>
      </c>
      <c r="P3316">
        <v>-0.99673219999999996</v>
      </c>
      <c r="Q3316">
        <v>-1.6453229999999999E-2</v>
      </c>
      <c r="R3316">
        <v>-7.9084730000000006E-2</v>
      </c>
      <c r="S3316">
        <v>-2.934631</v>
      </c>
      <c r="T3316">
        <v>-0.21480920000000001</v>
      </c>
      <c r="U3316">
        <v>-0.91577149999999996</v>
      </c>
      <c r="V3316">
        <v>-9.4100260000000002E-3</v>
      </c>
      <c r="W3316">
        <v>-3.0307989999999998E-3</v>
      </c>
      <c r="X3316">
        <v>0.99995109999999998</v>
      </c>
      <c r="Y3316">
        <v>-0.2302322</v>
      </c>
      <c r="Z3316">
        <v>-3.258712E-3</v>
      </c>
      <c r="AA3316">
        <v>0.9731303</v>
      </c>
      <c r="AB3316">
        <v>10</v>
      </c>
      <c r="AC3316">
        <v>-15.0732999999999</v>
      </c>
      <c r="AD3316">
        <v>-1.110732667585</v>
      </c>
      <c r="AE3316">
        <v>-4.7270000000000296</v>
      </c>
      <c r="AF3316">
        <v>-3.6467444197857</v>
      </c>
      <c r="AG3316">
        <v>-1.110732667585</v>
      </c>
      <c r="AH3316">
        <v>15.2905487488198</v>
      </c>
      <c r="AI3316">
        <v>94.041800804104398</v>
      </c>
      <c r="AJ3316">
        <v>103.414260301415</v>
      </c>
      <c r="AK3316">
        <v>15.7585961608931</v>
      </c>
      <c r="AL3316">
        <v>90.173652262601394</v>
      </c>
      <c r="AM3316">
        <v>90.539165225578699</v>
      </c>
      <c r="AN3316">
        <v>0.99999996836155403</v>
      </c>
    </row>
    <row r="3317" spans="1:40" x14ac:dyDescent="0.25">
      <c r="A3317" t="str">
        <f>"20190312153950252"</f>
        <v>20190312153950252</v>
      </c>
      <c r="B3317" t="str">
        <f>"1552376390249462"</f>
        <v>1552376390249462</v>
      </c>
      <c r="C3317" t="s">
        <v>40</v>
      </c>
      <c r="D3317">
        <v>4.1519130000000004</v>
      </c>
      <c r="E3317">
        <v>0.41501670000000002</v>
      </c>
      <c r="F3317" t="s">
        <v>54</v>
      </c>
      <c r="G3317">
        <v>-487.16379999999998</v>
      </c>
      <c r="H3317" s="1">
        <v>2.3201189999999999E-6</v>
      </c>
      <c r="I3317">
        <v>277.58159999999998</v>
      </c>
      <c r="J3317">
        <v>-472.40019999999998</v>
      </c>
      <c r="K3317">
        <v>1.1107209999999901</v>
      </c>
      <c r="L3317">
        <v>282.23180000000002</v>
      </c>
      <c r="M3317">
        <v>-0.99739630000000001</v>
      </c>
      <c r="N3317">
        <v>0</v>
      </c>
      <c r="O3317">
        <v>-7.085806E-2</v>
      </c>
      <c r="P3317">
        <v>-0.99659759999999997</v>
      </c>
      <c r="Q3317">
        <v>-1.7578070000000001E-2</v>
      </c>
      <c r="R3317">
        <v>-8.0525310000000003E-2</v>
      </c>
      <c r="S3317">
        <v>-2.9332889999999998</v>
      </c>
      <c r="T3317">
        <v>-0.2191362</v>
      </c>
      <c r="U3317">
        <v>-0.91912839999999996</v>
      </c>
      <c r="V3317">
        <v>-9.69655E-3</v>
      </c>
      <c r="W3317">
        <v>-4.1758709999999899E-3</v>
      </c>
      <c r="X3317">
        <v>0.99994430000000001</v>
      </c>
      <c r="Y3317">
        <v>-0.23023199999999999</v>
      </c>
      <c r="Z3317">
        <v>-3.2414649999999998E-3</v>
      </c>
      <c r="AA3317">
        <v>0.9731303</v>
      </c>
      <c r="AB3317">
        <v>10</v>
      </c>
      <c r="AC3317">
        <v>-14.763599999999901</v>
      </c>
      <c r="AD3317">
        <v>-1.11071867988099</v>
      </c>
      <c r="AE3317">
        <v>-4.6502000000000399</v>
      </c>
      <c r="AF3317">
        <v>-3.57389229415688</v>
      </c>
      <c r="AG3317">
        <v>-1.11071867988099</v>
      </c>
      <c r="AH3317">
        <v>14.9788876309262</v>
      </c>
      <c r="AI3317">
        <v>94.125466540134795</v>
      </c>
      <c r="AJ3317">
        <v>103.419609423672</v>
      </c>
      <c r="AK3317">
        <v>15.439348327438699</v>
      </c>
      <c r="AL3317">
        <v>90.239260471794793</v>
      </c>
      <c r="AM3317">
        <v>90.555584923782206</v>
      </c>
      <c r="AN3317">
        <v>1.0000000320414999</v>
      </c>
    </row>
    <row r="3318" spans="1:40" x14ac:dyDescent="0.25">
      <c r="A3318" t="str">
        <f>"20190312153950275"</f>
        <v>20190312153950275</v>
      </c>
      <c r="B3318" t="str">
        <f>"1552376390269175"</f>
        <v>1552376390269175</v>
      </c>
      <c r="C3318" t="s">
        <v>40</v>
      </c>
      <c r="D3318">
        <v>4.1716199999999999</v>
      </c>
      <c r="E3318">
        <v>0.41484100000000002</v>
      </c>
      <c r="F3318" t="s">
        <v>54</v>
      </c>
      <c r="G3318">
        <v>-487.0172</v>
      </c>
      <c r="H3318" s="1">
        <v>2.3088619999999998E-6</v>
      </c>
      <c r="I3318">
        <v>277.6234</v>
      </c>
      <c r="J3318">
        <v>-472.50409999999999</v>
      </c>
      <c r="K3318">
        <v>1.1107020000000001</v>
      </c>
      <c r="L3318">
        <v>282.22300000000001</v>
      </c>
      <c r="M3318">
        <v>-0.99731409999999998</v>
      </c>
      <c r="N3318">
        <v>0</v>
      </c>
      <c r="O3318">
        <v>-7.2008329999999995E-2</v>
      </c>
      <c r="P3318">
        <v>-0.9964345</v>
      </c>
      <c r="Q3318">
        <v>-1.906244E-2</v>
      </c>
      <c r="R3318">
        <v>-8.2188860000000002E-2</v>
      </c>
      <c r="S3318">
        <v>-2.9316710000000001</v>
      </c>
      <c r="T3318">
        <v>-0.222773</v>
      </c>
      <c r="U3318">
        <v>-0.92428589999999999</v>
      </c>
      <c r="V3318">
        <v>-1.021334E-2</v>
      </c>
      <c r="W3318">
        <v>-5.6784089999999997E-3</v>
      </c>
      <c r="X3318">
        <v>0.99993169999999998</v>
      </c>
      <c r="Y3318">
        <v>-0.23080890000000001</v>
      </c>
      <c r="Z3318">
        <v>-3.2328510000000001E-3</v>
      </c>
      <c r="AA3318">
        <v>0.97299369999999996</v>
      </c>
      <c r="AB3318">
        <v>10</v>
      </c>
      <c r="AC3318">
        <v>-14.5131</v>
      </c>
      <c r="AD3318">
        <v>-1.110699691138</v>
      </c>
      <c r="AE3318">
        <v>-4.5995999999999997</v>
      </c>
      <c r="AF3318">
        <v>-3.52374490519145</v>
      </c>
      <c r="AG3318">
        <v>-1.110699691138</v>
      </c>
      <c r="AH3318">
        <v>14.728267550636801</v>
      </c>
      <c r="AI3318">
        <v>94.194727538993305</v>
      </c>
      <c r="AJ3318">
        <v>103.455120274552</v>
      </c>
      <c r="AK3318">
        <v>15.1846072390397</v>
      </c>
      <c r="AL3318">
        <v>90.325350624811406</v>
      </c>
      <c r="AM3318">
        <v>90.585200897243098</v>
      </c>
      <c r="AN3318">
        <v>0.99999998065380802</v>
      </c>
    </row>
    <row r="3319" spans="1:40" x14ac:dyDescent="0.25">
      <c r="A3319" t="str">
        <f>"20190312153950296"</f>
        <v>20190312153950296</v>
      </c>
      <c r="B3319" t="str">
        <f>"1552376390288695"</f>
        <v>1552376390288695</v>
      </c>
      <c r="C3319" t="s">
        <v>40</v>
      </c>
      <c r="D3319">
        <v>4.1737289999999998</v>
      </c>
      <c r="E3319">
        <v>0.41465950000000001</v>
      </c>
      <c r="F3319" t="s">
        <v>54</v>
      </c>
      <c r="G3319">
        <v>-486.85680000000002</v>
      </c>
      <c r="H3319" s="1">
        <v>2.294821E-6</v>
      </c>
      <c r="I3319">
        <v>277.66410000000002</v>
      </c>
      <c r="J3319">
        <v>-472.60210000000001</v>
      </c>
      <c r="K3319">
        <v>1.1106860000000001</v>
      </c>
      <c r="L3319">
        <v>282.21460000000002</v>
      </c>
      <c r="M3319">
        <v>-0.99723550000000005</v>
      </c>
      <c r="N3319">
        <v>0</v>
      </c>
      <c r="O3319">
        <v>-7.30933E-2</v>
      </c>
      <c r="P3319">
        <v>-0.99628689999999998</v>
      </c>
      <c r="Q3319">
        <v>-2.073676E-2</v>
      </c>
      <c r="R3319">
        <v>-8.3562830000000005E-2</v>
      </c>
      <c r="S3319">
        <v>-2.9296570000000002</v>
      </c>
      <c r="T3319">
        <v>-0.22671469999999999</v>
      </c>
      <c r="U3319">
        <v>-0.93054199999999998</v>
      </c>
      <c r="V3319">
        <v>-1.050598E-2</v>
      </c>
      <c r="W3319">
        <v>-7.367976E-3</v>
      </c>
      <c r="X3319">
        <v>0.99991770000000002</v>
      </c>
      <c r="Y3319">
        <v>-0.23181589999999999</v>
      </c>
      <c r="Z3319">
        <v>-3.247883E-3</v>
      </c>
      <c r="AA3319">
        <v>0.97275420000000001</v>
      </c>
      <c r="AB3319">
        <v>10</v>
      </c>
      <c r="AC3319">
        <v>-14.2547</v>
      </c>
      <c r="AD3319">
        <v>-1.1106837051789999</v>
      </c>
      <c r="AE3319">
        <v>-4.5505000000000004</v>
      </c>
      <c r="AF3319">
        <v>-3.4771518286042999</v>
      </c>
      <c r="AG3319">
        <v>-1.1106837051789999</v>
      </c>
      <c r="AH3319">
        <v>14.4694831411294</v>
      </c>
      <c r="AI3319">
        <v>94.268392234599702</v>
      </c>
      <c r="AJ3319">
        <v>103.512490254892</v>
      </c>
      <c r="AK3319">
        <v>14.922806220799901</v>
      </c>
      <c r="AL3319">
        <v>90.422157733368607</v>
      </c>
      <c r="AM3319">
        <v>90.601975707265495</v>
      </c>
      <c r="AN3319">
        <v>1.00000003472969</v>
      </c>
    </row>
    <row r="3320" spans="1:40" x14ac:dyDescent="0.25">
      <c r="A3320" t="str">
        <f>"20190312153950313"</f>
        <v>20190312153950313</v>
      </c>
      <c r="B3320" t="str">
        <f>"1552376390309191"</f>
        <v>1552376390309191</v>
      </c>
      <c r="C3320" t="s">
        <v>40</v>
      </c>
      <c r="D3320">
        <v>4.1877760000000004</v>
      </c>
      <c r="E3320">
        <v>0.41454170000000001</v>
      </c>
      <c r="F3320" t="s">
        <v>54</v>
      </c>
      <c r="G3320">
        <v>-486.69330000000002</v>
      </c>
      <c r="H3320" s="1">
        <v>2.2815730000000002E-6</v>
      </c>
      <c r="I3320">
        <v>277.70870000000002</v>
      </c>
      <c r="J3320">
        <v>-472.67649999999998</v>
      </c>
      <c r="K3320">
        <v>1.110671</v>
      </c>
      <c r="L3320">
        <v>282.20819999999998</v>
      </c>
      <c r="M3320">
        <v>-0.99717489999999998</v>
      </c>
      <c r="N3320">
        <v>0</v>
      </c>
      <c r="O3320">
        <v>-7.3915469999999997E-2</v>
      </c>
      <c r="P3320">
        <v>-0.99618799999999996</v>
      </c>
      <c r="Q3320">
        <v>-2.160815E-2</v>
      </c>
      <c r="R3320">
        <v>-8.4514489999999998E-2</v>
      </c>
      <c r="S3320">
        <v>-2.9278870000000001</v>
      </c>
      <c r="T3320">
        <v>-0.23077919999999999</v>
      </c>
      <c r="U3320">
        <v>-0.93624879999999999</v>
      </c>
      <c r="V3320">
        <v>-1.0637020000000001E-2</v>
      </c>
      <c r="W3320">
        <v>-8.2495450000000005E-3</v>
      </c>
      <c r="X3320">
        <v>0.99990939999999995</v>
      </c>
      <c r="Y3320">
        <v>-0.23288829999999999</v>
      </c>
      <c r="Z3320">
        <v>-3.2855110000000001E-3</v>
      </c>
      <c r="AA3320">
        <v>0.97249790000000003</v>
      </c>
      <c r="AB3320">
        <v>10</v>
      </c>
      <c r="AC3320">
        <v>-14.0168</v>
      </c>
      <c r="AD3320">
        <v>-1.1106687184270001</v>
      </c>
      <c r="AE3320">
        <v>-4.4994999999999497</v>
      </c>
      <c r="AF3320">
        <v>-3.4315057960675199</v>
      </c>
      <c r="AG3320">
        <v>-1.1106687184270001</v>
      </c>
      <c r="AH3320">
        <v>14.230062790844499</v>
      </c>
      <c r="AI3320">
        <v>94.339055532405197</v>
      </c>
      <c r="AJ3320">
        <v>103.557737585176</v>
      </c>
      <c r="AK3320">
        <v>14.6800376042405</v>
      </c>
      <c r="AL3320">
        <v>90.472669470539003</v>
      </c>
      <c r="AM3320">
        <v>90.609488583768197</v>
      </c>
      <c r="AN3320">
        <v>1.00000000469777</v>
      </c>
    </row>
    <row r="3321" spans="1:40" x14ac:dyDescent="0.25">
      <c r="A3321" t="str">
        <f>"20190312153950326"</f>
        <v>20190312153950326</v>
      </c>
      <c r="B3321" t="str">
        <f>"1552376390318951"</f>
        <v>1552376390318951</v>
      </c>
      <c r="C3321" t="s">
        <v>40</v>
      </c>
      <c r="D3321">
        <v>4.1918689999999996</v>
      </c>
      <c r="E3321">
        <v>0.4144852</v>
      </c>
      <c r="F3321" t="s">
        <v>54</v>
      </c>
      <c r="G3321">
        <v>-486.64100000000002</v>
      </c>
      <c r="H3321" s="1">
        <v>2.277867E-6</v>
      </c>
      <c r="I3321">
        <v>277.72449999999998</v>
      </c>
      <c r="J3321">
        <v>-472.7364</v>
      </c>
      <c r="K3321">
        <v>1.1106609999999999</v>
      </c>
      <c r="L3321">
        <v>282.2029</v>
      </c>
      <c r="M3321">
        <v>-0.99712590000000001</v>
      </c>
      <c r="N3321">
        <v>0</v>
      </c>
      <c r="O3321">
        <v>-7.4577459999999998E-2</v>
      </c>
      <c r="P3321">
        <v>-0.99606450000000002</v>
      </c>
      <c r="Q3321">
        <v>-2.2695509999999999E-2</v>
      </c>
      <c r="R3321">
        <v>-8.5678260000000006E-2</v>
      </c>
      <c r="S3321">
        <v>-2.926666</v>
      </c>
      <c r="T3321">
        <v>-0.2327729</v>
      </c>
      <c r="U3321">
        <v>-0.93969729999999996</v>
      </c>
      <c r="V3321">
        <v>-1.1142320000000001E-2</v>
      </c>
      <c r="W3321">
        <v>-9.3450189999999995E-3</v>
      </c>
      <c r="X3321">
        <v>0.99989430000000001</v>
      </c>
      <c r="Y3321">
        <v>-0.23339219999999999</v>
      </c>
      <c r="Z3321">
        <v>-3.2832410000000001E-3</v>
      </c>
      <c r="AA3321">
        <v>0.97237709999999999</v>
      </c>
      <c r="AB3321">
        <v>10</v>
      </c>
      <c r="AC3321">
        <v>-13.904599999999901</v>
      </c>
      <c r="AD3321">
        <v>-1.110658722133</v>
      </c>
      <c r="AE3321">
        <v>-4.4784000000000201</v>
      </c>
      <c r="AF3321">
        <v>-3.4091570513731999</v>
      </c>
      <c r="AG3321">
        <v>-1.110658722133</v>
      </c>
      <c r="AH3321">
        <v>14.118276067878201</v>
      </c>
      <c r="AI3321">
        <v>94.372915444415398</v>
      </c>
      <c r="AJ3321">
        <v>103.575409257022</v>
      </c>
      <c r="AK3321">
        <v>14.566455770941699</v>
      </c>
      <c r="AL3321">
        <v>90.535437917016196</v>
      </c>
      <c r="AM3321">
        <v>90.638448970700097</v>
      </c>
      <c r="AN3321">
        <v>1.0000000459237901</v>
      </c>
    </row>
    <row r="3322" spans="1:40" x14ac:dyDescent="0.25">
      <c r="A3322" t="str">
        <f>"20190312153950339"</f>
        <v>20190312153950339</v>
      </c>
      <c r="B3322" t="str">
        <f>"1552376390328712"</f>
        <v>1552376390328712</v>
      </c>
      <c r="C3322" t="s">
        <v>40</v>
      </c>
      <c r="D3322">
        <v>4.2003159999999999</v>
      </c>
      <c r="E3322">
        <v>0.41442800000000002</v>
      </c>
      <c r="F3322" t="s">
        <v>54</v>
      </c>
      <c r="G3322">
        <v>-486.51549999999997</v>
      </c>
      <c r="H3322" s="1">
        <v>2.267702E-6</v>
      </c>
      <c r="I3322">
        <v>277.75869999999998</v>
      </c>
      <c r="J3322">
        <v>-472.79660000000001</v>
      </c>
      <c r="K3322">
        <v>1.1106499999999999</v>
      </c>
      <c r="L3322">
        <v>282.1977</v>
      </c>
      <c r="M3322">
        <v>-0.99707570000000001</v>
      </c>
      <c r="N3322">
        <v>0</v>
      </c>
      <c r="O3322">
        <v>-7.5244099999999994E-2</v>
      </c>
      <c r="P3322">
        <v>-0.99598940000000002</v>
      </c>
      <c r="Q3322">
        <v>-2.3255359999999999E-2</v>
      </c>
      <c r="R3322">
        <v>-8.6396490000000006E-2</v>
      </c>
      <c r="S3322">
        <v>-2.9252929999999999</v>
      </c>
      <c r="T3322">
        <v>-0.23579079999999999</v>
      </c>
      <c r="U3322">
        <v>-0.94351200000000002</v>
      </c>
      <c r="V3322">
        <v>-1.1195180000000001E-2</v>
      </c>
      <c r="W3322">
        <v>-9.9122199999999994E-3</v>
      </c>
      <c r="X3322">
        <v>0.9998882</v>
      </c>
      <c r="Y3322">
        <v>-0.2340121</v>
      </c>
      <c r="Z3322">
        <v>-3.2990039999999999E-3</v>
      </c>
      <c r="AA3322">
        <v>0.97222810000000004</v>
      </c>
      <c r="AB3322">
        <v>10</v>
      </c>
      <c r="AC3322">
        <v>-13.7188999999999</v>
      </c>
      <c r="AD3322">
        <v>-1.110647732298</v>
      </c>
      <c r="AE3322">
        <v>-4.4390000000000196</v>
      </c>
      <c r="AF3322">
        <v>-3.3740374508483502</v>
      </c>
      <c r="AG3322">
        <v>-1.110647732298</v>
      </c>
      <c r="AH3322">
        <v>13.931386000854401</v>
      </c>
      <c r="AI3322">
        <v>94.430578065109898</v>
      </c>
      <c r="AJ3322">
        <v>103.614298916335</v>
      </c>
      <c r="AK3322">
        <v>14.3771062112578</v>
      </c>
      <c r="AL3322">
        <v>90.567937672991206</v>
      </c>
      <c r="AM3322">
        <v>90.641481481020804</v>
      </c>
      <c r="AN3322">
        <v>0.99999999832990005</v>
      </c>
    </row>
    <row r="3323" spans="1:40" x14ac:dyDescent="0.25">
      <c r="A3323" t="str">
        <f>"20190312153950352"</f>
        <v>20190312153950352</v>
      </c>
      <c r="B3323" t="str">
        <f>"1552376390339447"</f>
        <v>1552376390339447</v>
      </c>
      <c r="C3323" t="s">
        <v>40</v>
      </c>
      <c r="D3323">
        <v>4.1688660000000004</v>
      </c>
      <c r="E3323">
        <v>0.41439730000000002</v>
      </c>
      <c r="F3323" t="s">
        <v>54</v>
      </c>
      <c r="G3323">
        <v>-486.47649999999999</v>
      </c>
      <c r="H3323" s="1">
        <v>2.2654559999999998E-6</v>
      </c>
      <c r="I3323">
        <v>277.77190000000002</v>
      </c>
      <c r="J3323">
        <v>-472.8553</v>
      </c>
      <c r="K3323">
        <v>1.110636</v>
      </c>
      <c r="L3323">
        <v>282.19240000000002</v>
      </c>
      <c r="M3323">
        <v>-0.99702659999999999</v>
      </c>
      <c r="N3323">
        <v>0</v>
      </c>
      <c r="O3323">
        <v>-7.5892989999999994E-2</v>
      </c>
      <c r="P3323">
        <v>-0.99580340000000001</v>
      </c>
      <c r="Q3323">
        <v>-2.4924640000000001E-2</v>
      </c>
      <c r="R3323">
        <v>-8.8058020000000001E-2</v>
      </c>
      <c r="S3323">
        <v>-2.9244690000000002</v>
      </c>
      <c r="T3323">
        <v>-0.23743310000000001</v>
      </c>
      <c r="U3323">
        <v>-0.94613650000000005</v>
      </c>
      <c r="V3323">
        <v>-1.221479E-2</v>
      </c>
      <c r="W3323">
        <v>-1.1589230000000001E-2</v>
      </c>
      <c r="X3323">
        <v>0.99985829999999998</v>
      </c>
      <c r="Y3323">
        <v>-0.23424420000000001</v>
      </c>
      <c r="Z3323">
        <v>-3.2806950000000001E-3</v>
      </c>
      <c r="AA3323">
        <v>0.97217229999999999</v>
      </c>
      <c r="AB3323">
        <v>10</v>
      </c>
      <c r="AC3323">
        <v>-13.6211999999999</v>
      </c>
      <c r="AD3323">
        <v>-1.1106337345440001</v>
      </c>
      <c r="AE3323">
        <v>-4.4204999999999997</v>
      </c>
      <c r="AF3323">
        <v>-3.3537310419192599</v>
      </c>
      <c r="AG3323">
        <v>-1.1106337345440001</v>
      </c>
      <c r="AH3323">
        <v>13.8342135308084</v>
      </c>
      <c r="AI3323">
        <v>94.461280260887705</v>
      </c>
      <c r="AJ3323">
        <v>103.62692565066899</v>
      </c>
      <c r="AK3323">
        <v>14.278182069501799</v>
      </c>
      <c r="AL3323">
        <v>90.664028788048199</v>
      </c>
      <c r="AM3323">
        <v>90.699920280170502</v>
      </c>
      <c r="AN3323">
        <v>1.0000000657128101</v>
      </c>
    </row>
    <row r="3324" spans="1:40" x14ac:dyDescent="0.25">
      <c r="A3324" t="str">
        <f>"20190312153950374"</f>
        <v>20190312153950374</v>
      </c>
      <c r="B3324" t="str">
        <f>"1552376390369705"</f>
        <v>1552376390369705</v>
      </c>
      <c r="C3324" t="s">
        <v>40</v>
      </c>
      <c r="D3324">
        <v>4.2370900000000002</v>
      </c>
      <c r="E3324">
        <v>0.41439930000000003</v>
      </c>
      <c r="F3324" t="s">
        <v>54</v>
      </c>
      <c r="G3324">
        <v>-486.21769999999998</v>
      </c>
      <c r="H3324" s="1">
        <v>2.2454710000000002E-6</v>
      </c>
      <c r="I3324">
        <v>277.84519999999998</v>
      </c>
      <c r="J3324">
        <v>-472.9554</v>
      </c>
      <c r="K3324">
        <v>1.110625</v>
      </c>
      <c r="L3324">
        <v>282.18349999999998</v>
      </c>
      <c r="M3324">
        <v>-0.99694179999999999</v>
      </c>
      <c r="N3324">
        <v>0</v>
      </c>
      <c r="O3324">
        <v>-7.7002699999999993E-2</v>
      </c>
      <c r="P3324">
        <v>-0.99557050000000002</v>
      </c>
      <c r="Q3324">
        <v>-2.705865E-2</v>
      </c>
      <c r="R3324">
        <v>-9.0043070000000003E-2</v>
      </c>
      <c r="S3324">
        <v>-2.922485</v>
      </c>
      <c r="T3324">
        <v>-0.24290709999999999</v>
      </c>
      <c r="U3324">
        <v>-0.95077509999999998</v>
      </c>
      <c r="V3324">
        <v>-1.309741E-2</v>
      </c>
      <c r="W3324">
        <v>-1.373484E-2</v>
      </c>
      <c r="X3324">
        <v>0.99981989999999998</v>
      </c>
      <c r="Y3324">
        <v>-0.2347313</v>
      </c>
      <c r="Z3324">
        <v>-3.2882100000000002E-3</v>
      </c>
      <c r="AA3324">
        <v>0.97205469999999905</v>
      </c>
      <c r="AB3324">
        <v>10</v>
      </c>
      <c r="AC3324">
        <v>-13.2622999999999</v>
      </c>
      <c r="AD3324">
        <v>-1.1106227545289999</v>
      </c>
      <c r="AE3324">
        <v>-4.3383000000000003</v>
      </c>
      <c r="AF3324">
        <v>-3.2832935314021201</v>
      </c>
      <c r="AG3324">
        <v>-1.1106227545289999</v>
      </c>
      <c r="AH3324">
        <v>13.4716632908801</v>
      </c>
      <c r="AI3324">
        <v>94.579437038233493</v>
      </c>
      <c r="AJ3324">
        <v>103.69701324145301</v>
      </c>
      <c r="AK3324">
        <v>13.910399388194101</v>
      </c>
      <c r="AL3324">
        <v>90.786973100775896</v>
      </c>
      <c r="AM3324">
        <v>90.750518562990194</v>
      </c>
      <c r="AN3324">
        <v>1.0000000102072699</v>
      </c>
    </row>
    <row r="3325" spans="1:40" x14ac:dyDescent="0.25">
      <c r="A3325" t="str">
        <f>"20190312153950388"</f>
        <v>20190312153950388</v>
      </c>
      <c r="B3325" t="str">
        <f>"1552376390379463"</f>
        <v>1552376390379463</v>
      </c>
      <c r="C3325" t="s">
        <v>40</v>
      </c>
      <c r="D3325">
        <v>4.3957769999999998</v>
      </c>
      <c r="E3325">
        <v>0.43454720000000002</v>
      </c>
      <c r="F3325" t="s">
        <v>54</v>
      </c>
      <c r="G3325">
        <v>-486.01400000000001</v>
      </c>
      <c r="H3325" s="1">
        <v>2.2305839999999999E-6</v>
      </c>
      <c r="I3325">
        <v>277.90530000000001</v>
      </c>
      <c r="J3325">
        <v>-473.01350000000002</v>
      </c>
      <c r="K3325">
        <v>1.110616</v>
      </c>
      <c r="L3325">
        <v>282.17829999999998</v>
      </c>
      <c r="M3325">
        <v>-0.99689159999999999</v>
      </c>
      <c r="N3325">
        <v>0</v>
      </c>
      <c r="O3325">
        <v>-7.7650899999999995E-2</v>
      </c>
      <c r="P3325">
        <v>-0.99543419999999905</v>
      </c>
      <c r="Q3325">
        <v>-2.7873459999999999E-2</v>
      </c>
      <c r="R3325">
        <v>-9.129234E-2</v>
      </c>
      <c r="S3325">
        <v>-2.9200740000000001</v>
      </c>
      <c r="T3325">
        <v>-0.24834919999999999</v>
      </c>
      <c r="U3325">
        <v>-0.95666499999999999</v>
      </c>
      <c r="V3325">
        <v>-1.370272E-2</v>
      </c>
      <c r="W3325">
        <v>-1.4555780000000001E-2</v>
      </c>
      <c r="X3325">
        <v>0.99980009999999997</v>
      </c>
      <c r="Y3325">
        <v>-0.23608209999999999</v>
      </c>
      <c r="Z3325">
        <v>-3.3660690000000002E-3</v>
      </c>
      <c r="AA3325">
        <v>0.97172729999999996</v>
      </c>
      <c r="AB3325">
        <v>10</v>
      </c>
      <c r="AC3325">
        <v>-13.000499999999899</v>
      </c>
      <c r="AD3325">
        <v>-1.1106137694159901</v>
      </c>
      <c r="AE3325">
        <v>-4.2729999999999597</v>
      </c>
      <c r="AF3325">
        <v>-3.2292363883139701</v>
      </c>
      <c r="AG3325">
        <v>-1.1106137694159901</v>
      </c>
      <c r="AH3325">
        <v>13.2060893533575</v>
      </c>
      <c r="AI3325">
        <v>94.670222745749896</v>
      </c>
      <c r="AJ3325">
        <v>103.740694666176</v>
      </c>
      <c r="AK3325">
        <v>13.6404628442472</v>
      </c>
      <c r="AL3325">
        <v>90.834014265857604</v>
      </c>
      <c r="AM3325">
        <v>90.785215835902093</v>
      </c>
      <c r="AN3325">
        <v>0.999999937613406</v>
      </c>
    </row>
    <row r="3326" spans="1:40" x14ac:dyDescent="0.25">
      <c r="A3326" t="str">
        <f>"20190312153950407"</f>
        <v>20190312153950407</v>
      </c>
      <c r="B3326" t="str">
        <f>"1552376390398983"</f>
        <v>1552376390398983</v>
      </c>
      <c r="C3326" t="s">
        <v>40</v>
      </c>
      <c r="D3326">
        <v>4.4903309999999896</v>
      </c>
      <c r="E3326">
        <v>0.48568169999999999</v>
      </c>
      <c r="F3326" t="s">
        <v>54</v>
      </c>
      <c r="G3326">
        <v>-486.33190000000002</v>
      </c>
      <c r="H3326" s="1">
        <v>2.5137210000000001E-6</v>
      </c>
      <c r="I3326">
        <v>278.54680000000002</v>
      </c>
      <c r="J3326">
        <v>-473.10480000000001</v>
      </c>
      <c r="K3326">
        <v>1.1106130000000001</v>
      </c>
      <c r="L3326">
        <v>282.17</v>
      </c>
      <c r="M3326">
        <v>-0.99681129999999996</v>
      </c>
      <c r="N3326">
        <v>0</v>
      </c>
      <c r="O3326">
        <v>-7.8675010000000004E-2</v>
      </c>
      <c r="P3326">
        <v>-0.99521110000000002</v>
      </c>
      <c r="Q3326">
        <v>-2.987513E-2</v>
      </c>
      <c r="R3326">
        <v>-9.307319E-2</v>
      </c>
      <c r="S3326">
        <v>-2.9335629999999999</v>
      </c>
      <c r="T3326">
        <v>-0.2446285</v>
      </c>
      <c r="U3326">
        <v>-0.79989619999999995</v>
      </c>
      <c r="V3326">
        <v>-1.446744E-2</v>
      </c>
      <c r="W3326">
        <v>-1.656668E-2</v>
      </c>
      <c r="X3326">
        <v>0.99975809999999998</v>
      </c>
      <c r="Y3326">
        <v>-0.18599499999999999</v>
      </c>
      <c r="Z3326">
        <v>-1.192266E-3</v>
      </c>
      <c r="AA3326">
        <v>0.98255000000000003</v>
      </c>
      <c r="AB3326">
        <v>10</v>
      </c>
      <c r="AC3326">
        <v>-13.2271</v>
      </c>
      <c r="AD3326">
        <v>-1.1106104862789901</v>
      </c>
      <c r="AE3326">
        <v>-3.62319999999999</v>
      </c>
      <c r="AF3326">
        <v>-2.5544803375810998</v>
      </c>
      <c r="AG3326">
        <v>-1.1106104862789901</v>
      </c>
      <c r="AH3326">
        <v>13.3834049530954</v>
      </c>
      <c r="AI3326">
        <v>94.660027372809495</v>
      </c>
      <c r="AJ3326">
        <v>100.80602794934001</v>
      </c>
      <c r="AK3326">
        <v>13.670199471326599</v>
      </c>
      <c r="AL3326">
        <v>90.949244259110003</v>
      </c>
      <c r="AM3326">
        <v>90.829065949594295</v>
      </c>
      <c r="AN3326">
        <v>1.00000001011099</v>
      </c>
    </row>
    <row r="3327" spans="1:40" x14ac:dyDescent="0.25">
      <c r="A3327" t="str">
        <f>"20190312153950422"</f>
        <v>20190312153950422</v>
      </c>
      <c r="B3327" t="str">
        <f>"1552376390408743"</f>
        <v>1552376390408743</v>
      </c>
      <c r="C3327" t="s">
        <v>40</v>
      </c>
      <c r="D3327">
        <v>4.3711209999999996</v>
      </c>
      <c r="E3327">
        <v>0.49865490000000001</v>
      </c>
      <c r="F3327" t="s">
        <v>41</v>
      </c>
      <c r="G3327">
        <v>-473.86520000000002</v>
      </c>
      <c r="H3327">
        <v>1.0181439999999999</v>
      </c>
      <c r="I3327">
        <v>282.06650000000002</v>
      </c>
      <c r="J3327">
        <v>-473.1653</v>
      </c>
      <c r="K3327">
        <v>1.1106119999999999</v>
      </c>
      <c r="L3327">
        <v>282.1644</v>
      </c>
      <c r="M3327">
        <v>-0.99675689999999995</v>
      </c>
      <c r="N3327">
        <v>0</v>
      </c>
      <c r="O3327">
        <v>-7.9363349999999999E-2</v>
      </c>
      <c r="P3327">
        <v>-0.99507990000000002</v>
      </c>
      <c r="Q3327">
        <v>-3.0365619999999999E-2</v>
      </c>
      <c r="R3327">
        <v>-9.4309260000000006E-2</v>
      </c>
      <c r="S3327">
        <v>-2.9659119999999999</v>
      </c>
      <c r="T3327">
        <v>-0.36051870000000003</v>
      </c>
      <c r="U3327">
        <v>-0.40335080000000001</v>
      </c>
      <c r="V3327">
        <v>-1.501983E-2</v>
      </c>
      <c r="W3327">
        <v>-1.7062830000000001E-2</v>
      </c>
      <c r="X3327">
        <v>0.99974160000000001</v>
      </c>
      <c r="Y3327">
        <v>-5.585217E-2</v>
      </c>
      <c r="Z3327">
        <v>6.1817440000000003E-3</v>
      </c>
      <c r="AA3327">
        <v>0.99841990000000003</v>
      </c>
      <c r="AB3327">
        <v>10</v>
      </c>
      <c r="AC3327">
        <v>-0.69990000000001296</v>
      </c>
      <c r="AD3327">
        <v>-9.2467999999999995E-2</v>
      </c>
      <c r="AE3327">
        <v>-9.7899999999981405E-2</v>
      </c>
      <c r="AF3327">
        <v>-4.1332220904738801E-2</v>
      </c>
      <c r="AG3327">
        <v>-9.2467999999999995E-2</v>
      </c>
      <c r="AH3327">
        <v>0.69358829915214204</v>
      </c>
      <c r="AI3327">
        <v>97.580504831408106</v>
      </c>
      <c r="AJ3327">
        <v>93.410329314835707</v>
      </c>
      <c r="AK3327">
        <v>0.70094465703768605</v>
      </c>
      <c r="AL3327">
        <v>90.977675588477993</v>
      </c>
      <c r="AM3327">
        <v>90.860730542356706</v>
      </c>
      <c r="AN3327">
        <v>1.00000000111569</v>
      </c>
    </row>
    <row r="3328" spans="1:40" x14ac:dyDescent="0.25">
      <c r="A3328" t="str">
        <f>"20190312153950442"</f>
        <v>20190312153950442</v>
      </c>
      <c r="B3328" t="str">
        <f>"1552376390429239"</f>
        <v>1552376390429239</v>
      </c>
      <c r="C3328" t="s">
        <v>40</v>
      </c>
      <c r="D3328">
        <v>4.321091</v>
      </c>
      <c r="E3328">
        <v>0.55537109999999901</v>
      </c>
      <c r="F3328" t="s">
        <v>41</v>
      </c>
      <c r="G3328">
        <v>-473.94299999999998</v>
      </c>
      <c r="H3328">
        <v>1.0044949999999999</v>
      </c>
      <c r="I3328">
        <v>282.08479999999997</v>
      </c>
      <c r="J3328">
        <v>-473.25650000000002</v>
      </c>
      <c r="K3328">
        <v>1.110619</v>
      </c>
      <c r="L3328">
        <v>282.15589999999997</v>
      </c>
      <c r="M3328">
        <v>-0.99667229999999996</v>
      </c>
      <c r="N3328">
        <v>0</v>
      </c>
      <c r="O3328">
        <v>-8.0419069999999995E-2</v>
      </c>
      <c r="P3328">
        <v>-0.99484720000000004</v>
      </c>
      <c r="Q3328">
        <v>-3.111121E-2</v>
      </c>
      <c r="R3328">
        <v>-9.6494849999999993E-2</v>
      </c>
      <c r="S3328">
        <v>-2.9735109999999998</v>
      </c>
      <c r="T3328">
        <v>-0.40632689999999999</v>
      </c>
      <c r="U3328">
        <v>-0.30557250000000002</v>
      </c>
      <c r="V3328">
        <v>-1.6157049999999999E-2</v>
      </c>
      <c r="W3328">
        <v>-1.7816769999999999E-2</v>
      </c>
      <c r="X3328">
        <v>0.99971069999999995</v>
      </c>
      <c r="Y3328">
        <v>-2.242166E-2</v>
      </c>
      <c r="Z3328">
        <v>9.3700109999999993E-3</v>
      </c>
      <c r="AA3328">
        <v>0.9997047</v>
      </c>
      <c r="AB3328">
        <v>10</v>
      </c>
      <c r="AC3328">
        <v>-0.68650000000002298</v>
      </c>
      <c r="AD3328">
        <v>-0.106123999999999</v>
      </c>
      <c r="AE3328">
        <v>-7.1100000000001204E-2</v>
      </c>
      <c r="AF3328">
        <v>-1.5295456739040999E-2</v>
      </c>
      <c r="AG3328">
        <v>-0.106123999999999</v>
      </c>
      <c r="AH3328">
        <v>0.67405733052675099</v>
      </c>
      <c r="AI3328">
        <v>98.944973037512497</v>
      </c>
      <c r="AJ3328">
        <v>91.299911309157196</v>
      </c>
      <c r="AK3328">
        <v>0.68253171296995796</v>
      </c>
      <c r="AL3328">
        <v>91.020879755972899</v>
      </c>
      <c r="AM3328">
        <v>90.925918054387694</v>
      </c>
      <c r="AN3328">
        <v>0.99999998562621195</v>
      </c>
    </row>
    <row r="3329" spans="1:40" x14ac:dyDescent="0.25">
      <c r="A3329" t="str">
        <f>"20190312153950464"</f>
        <v>20190312153950464</v>
      </c>
      <c r="B3329" t="str">
        <f>"1552376390459089"</f>
        <v>1552376390459089</v>
      </c>
      <c r="C3329" t="s">
        <v>40</v>
      </c>
      <c r="D3329">
        <v>4.3612739999999999</v>
      </c>
      <c r="E3329">
        <v>0.56574959999999996</v>
      </c>
      <c r="F3329" t="s">
        <v>41</v>
      </c>
      <c r="G3329">
        <v>-474.00240000000002</v>
      </c>
      <c r="H3329">
        <v>0.9286761</v>
      </c>
      <c r="I3329">
        <v>282.18720000000002</v>
      </c>
      <c r="J3329">
        <v>-473.35590000000002</v>
      </c>
      <c r="K3329">
        <v>1.110641</v>
      </c>
      <c r="L3329">
        <v>282.14640000000003</v>
      </c>
      <c r="M3329">
        <v>-0.99657609999999996</v>
      </c>
      <c r="N3329">
        <v>0</v>
      </c>
      <c r="O3329">
        <v>-8.1605579999999997E-2</v>
      </c>
      <c r="P3329">
        <v>-0.99469450000000004</v>
      </c>
      <c r="Q3329">
        <v>-3.072335E-2</v>
      </c>
      <c r="R3329">
        <v>-9.818114E-2</v>
      </c>
      <c r="S3329">
        <v>-3.0047609999999998</v>
      </c>
      <c r="T3329">
        <v>-0.73311090000000001</v>
      </c>
      <c r="U3329">
        <v>0.12561040000000001</v>
      </c>
      <c r="V3329">
        <v>-1.6659599999999899E-2</v>
      </c>
      <c r="W3329">
        <v>-1.7436340000000002E-2</v>
      </c>
      <c r="X3329">
        <v>0.99970919999999996</v>
      </c>
      <c r="Y3329">
        <v>0.1173425</v>
      </c>
      <c r="Z3329">
        <v>3.3709719999999999E-2</v>
      </c>
      <c r="AA3329">
        <v>0.99251920000000005</v>
      </c>
      <c r="AB3329">
        <v>10</v>
      </c>
      <c r="AC3329">
        <v>-0.64650000000000296</v>
      </c>
      <c r="AD3329">
        <v>-0.18196490000000001</v>
      </c>
      <c r="AE3329">
        <v>4.0799999999990101E-2</v>
      </c>
      <c r="AF3329">
        <v>8.6593764939238496E-2</v>
      </c>
      <c r="AG3329">
        <v>-0.18196490000000001</v>
      </c>
      <c r="AH3329">
        <v>0.59413270575874499</v>
      </c>
      <c r="AI3329">
        <v>106.860363521843</v>
      </c>
      <c r="AJ3329">
        <v>81.707631998593101</v>
      </c>
      <c r="AK3329">
        <v>0.62737817702767495</v>
      </c>
      <c r="AL3329">
        <v>90.999079294483906</v>
      </c>
      <c r="AM3329">
        <v>90.954714055570193</v>
      </c>
      <c r="AN3329">
        <v>1.00000002639469</v>
      </c>
    </row>
    <row r="3330" spans="1:40" x14ac:dyDescent="0.25">
      <c r="A3330" t="str">
        <f>"20190312153950487"</f>
        <v>20190312153950487</v>
      </c>
      <c r="B3330" t="str">
        <f>"1552376390479582"</f>
        <v>1552376390479582</v>
      </c>
      <c r="C3330" t="s">
        <v>40</v>
      </c>
      <c r="D3330">
        <v>4.3684029999999998</v>
      </c>
      <c r="E3330">
        <v>0.56714560000000003</v>
      </c>
      <c r="F3330" t="s">
        <v>41</v>
      </c>
      <c r="G3330">
        <v>-474.08749999999998</v>
      </c>
      <c r="H3330">
        <v>0.91634910000000003</v>
      </c>
      <c r="I3330">
        <v>282.19529999999997</v>
      </c>
      <c r="J3330">
        <v>-473.45510000000002</v>
      </c>
      <c r="K3330">
        <v>1.1106780000000001</v>
      </c>
      <c r="L3330">
        <v>282.13679999999999</v>
      </c>
      <c r="M3330">
        <v>-0.99647470000000005</v>
      </c>
      <c r="N3330">
        <v>0</v>
      </c>
      <c r="O3330">
        <v>-8.2834270000000002E-2</v>
      </c>
      <c r="P3330">
        <v>-0.99466149999999998</v>
      </c>
      <c r="Q3330">
        <v>-2.9668190000000001E-2</v>
      </c>
      <c r="R3330">
        <v>-9.883662E-2</v>
      </c>
      <c r="S3330">
        <v>-3.0109859999999999</v>
      </c>
      <c r="T3330">
        <v>-0.80030480000000004</v>
      </c>
      <c r="U3330">
        <v>0.19964599999999999</v>
      </c>
      <c r="V3330">
        <v>-1.6083070000000001E-2</v>
      </c>
      <c r="W3330">
        <v>-1.6386609999999999E-2</v>
      </c>
      <c r="X3330">
        <v>0.99973639999999997</v>
      </c>
      <c r="Y3330">
        <v>0.14085400000000001</v>
      </c>
      <c r="Z3330">
        <v>3.9996810000000001E-2</v>
      </c>
      <c r="AA3330">
        <v>0.98922209999999999</v>
      </c>
      <c r="AB3330">
        <v>10</v>
      </c>
      <c r="AC3330">
        <v>-0.63239999999996099</v>
      </c>
      <c r="AD3330">
        <v>-0.1943289</v>
      </c>
      <c r="AE3330">
        <v>5.8499999999980901E-2</v>
      </c>
      <c r="AF3330">
        <v>0.10121199434489001</v>
      </c>
      <c r="AG3330">
        <v>-0.1943289</v>
      </c>
      <c r="AH3330">
        <v>0.57184152998446003</v>
      </c>
      <c r="AI3330">
        <v>108.501736422539</v>
      </c>
      <c r="AJ3330">
        <v>79.962990282459501</v>
      </c>
      <c r="AK3330">
        <v>0.61238086562975502</v>
      </c>
      <c r="AL3330">
        <v>90.938925590819295</v>
      </c>
      <c r="AM3330">
        <v>90.921655498818595</v>
      </c>
      <c r="AN3330">
        <v>1.00000002780643</v>
      </c>
    </row>
    <row r="3331" spans="1:40" x14ac:dyDescent="0.25">
      <c r="A3331" t="str">
        <f>"20190312153950508"</f>
        <v>20190312153950508</v>
      </c>
      <c r="B3331" t="str">
        <f>"1552376390499103"</f>
        <v>1552376390499103</v>
      </c>
      <c r="C3331" t="s">
        <v>40</v>
      </c>
      <c r="D3331">
        <v>4.3225199999999999</v>
      </c>
      <c r="E3331">
        <v>0.56784129999999999</v>
      </c>
      <c r="F3331" t="s">
        <v>41</v>
      </c>
      <c r="G3331">
        <v>-474.17669999999998</v>
      </c>
      <c r="H3331">
        <v>0.9177457</v>
      </c>
      <c r="I3331">
        <v>282.18639999999999</v>
      </c>
      <c r="J3331">
        <v>-473.5521</v>
      </c>
      <c r="K3331">
        <v>1.110708</v>
      </c>
      <c r="L3331">
        <v>282.12729999999999</v>
      </c>
      <c r="M3331">
        <v>-0.99636939999999996</v>
      </c>
      <c r="N3331">
        <v>0</v>
      </c>
      <c r="O3331">
        <v>-8.4092760000000003E-2</v>
      </c>
      <c r="P3331">
        <v>-0.99459869999999995</v>
      </c>
      <c r="Q3331">
        <v>-2.8546200000000001E-2</v>
      </c>
      <c r="R3331">
        <v>-9.9793729999999997E-2</v>
      </c>
      <c r="S3331">
        <v>-3.0126650000000001</v>
      </c>
      <c r="T3331">
        <v>-0.80545649999999902</v>
      </c>
      <c r="U3331">
        <v>0.20715330000000001</v>
      </c>
      <c r="V3331">
        <v>-1.5780160000000001E-2</v>
      </c>
      <c r="W3331">
        <v>-1.5269619999999999E-2</v>
      </c>
      <c r="X3331">
        <v>0.99975890000000001</v>
      </c>
      <c r="Y3331">
        <v>0.1442676</v>
      </c>
      <c r="Z3331">
        <v>4.099912E-2</v>
      </c>
      <c r="AA3331">
        <v>0.98868900000000004</v>
      </c>
      <c r="AB3331">
        <v>10</v>
      </c>
      <c r="AC3331">
        <v>-0.62459999999998606</v>
      </c>
      <c r="AD3331">
        <v>-0.1929623</v>
      </c>
      <c r="AE3331">
        <v>5.9100000000000798E-2</v>
      </c>
      <c r="AF3331">
        <v>0.101790669481648</v>
      </c>
      <c r="AG3331">
        <v>-0.1929623</v>
      </c>
      <c r="AH3331">
        <v>0.564059479883389</v>
      </c>
      <c r="AI3331">
        <v>108.606205471579</v>
      </c>
      <c r="AJ3331">
        <v>79.770450637664396</v>
      </c>
      <c r="AK3331">
        <v>0.60478003146692205</v>
      </c>
      <c r="AL3331">
        <v>90.8749187681655</v>
      </c>
      <c r="AM3331">
        <v>90.904279517464801</v>
      </c>
      <c r="AN3331">
        <v>1.0000000164368801</v>
      </c>
    </row>
    <row r="3332" spans="1:40" x14ac:dyDescent="0.25">
      <c r="A3332" t="str">
        <f>"20190312153950522"</f>
        <v>20190312153950522</v>
      </c>
      <c r="B3332" t="str">
        <f>"1552376390508863"</f>
        <v>1552376390508863</v>
      </c>
      <c r="C3332" t="s">
        <v>40</v>
      </c>
      <c r="D3332">
        <v>4.3722519999999996</v>
      </c>
      <c r="E3332">
        <v>0.56799690000000003</v>
      </c>
      <c r="F3332" t="s">
        <v>41</v>
      </c>
      <c r="G3332">
        <v>-474.26580000000001</v>
      </c>
      <c r="H3332">
        <v>0.9193673</v>
      </c>
      <c r="I3332">
        <v>282.17700000000002</v>
      </c>
      <c r="J3332">
        <v>-473.61059999999998</v>
      </c>
      <c r="K3332">
        <v>1.1107309999999999</v>
      </c>
      <c r="L3332">
        <v>282.12150000000003</v>
      </c>
      <c r="M3332">
        <v>-0.99630209999999997</v>
      </c>
      <c r="N3332">
        <v>0</v>
      </c>
      <c r="O3332">
        <v>-8.4885600000000005E-2</v>
      </c>
      <c r="P3332">
        <v>-0.9945697</v>
      </c>
      <c r="Q3332">
        <v>-2.807666E-2</v>
      </c>
      <c r="R3332">
        <v>-0.10021529999999999</v>
      </c>
      <c r="S3332">
        <v>-3.0140380000000002</v>
      </c>
      <c r="T3332">
        <v>-0.80850949999999999</v>
      </c>
      <c r="U3332">
        <v>0.20883180000000001</v>
      </c>
      <c r="V3332">
        <v>-1.5407000000000001E-2</v>
      </c>
      <c r="W3332">
        <v>-1.4802589999999999E-2</v>
      </c>
      <c r="X3332">
        <v>0.99977169999999904</v>
      </c>
      <c r="Y3332">
        <v>0.14544939999999901</v>
      </c>
      <c r="Z3332">
        <v>4.1494620000000003E-2</v>
      </c>
      <c r="AA3332">
        <v>0.98849520000000002</v>
      </c>
      <c r="AB3332">
        <v>10</v>
      </c>
      <c r="AC3332">
        <v>-0.65520000000003598</v>
      </c>
      <c r="AD3332">
        <v>-0.191363699999999</v>
      </c>
      <c r="AE3332">
        <v>5.5499999999994998E-2</v>
      </c>
      <c r="AF3332">
        <v>0.102260482861933</v>
      </c>
      <c r="AG3332">
        <v>-0.191363699999999</v>
      </c>
      <c r="AH3332">
        <v>0.59751562585552898</v>
      </c>
      <c r="AI3332">
        <v>107.519651724436</v>
      </c>
      <c r="AJ3332">
        <v>80.288329599423506</v>
      </c>
      <c r="AK3332">
        <v>0.63569032962156202</v>
      </c>
      <c r="AL3332">
        <v>90.848156932568699</v>
      </c>
      <c r="AM3332">
        <v>90.882887768022002</v>
      </c>
      <c r="AN3332">
        <v>0.99999997222029802</v>
      </c>
    </row>
    <row r="3333" spans="1:40" x14ac:dyDescent="0.25">
      <c r="A3333" t="str">
        <f>"20190312153950536"</f>
        <v>20190312153950536</v>
      </c>
      <c r="B3333" t="str">
        <f>"1552376390529359"</f>
        <v>1552376390529359</v>
      </c>
      <c r="C3333" t="s">
        <v>40</v>
      </c>
      <c r="D3333">
        <v>4.3610879999999996</v>
      </c>
      <c r="E3333">
        <v>0.5683262</v>
      </c>
      <c r="F3333" t="s">
        <v>41</v>
      </c>
      <c r="G3333">
        <v>-474.35129999999998</v>
      </c>
      <c r="H3333">
        <v>0.9120973</v>
      </c>
      <c r="I3333">
        <v>282.173</v>
      </c>
      <c r="J3333">
        <v>-473.67169999999999</v>
      </c>
      <c r="K3333">
        <v>1.110757</v>
      </c>
      <c r="L3333">
        <v>282.11529999999999</v>
      </c>
      <c r="M3333">
        <v>-0.99622880000000003</v>
      </c>
      <c r="N3333">
        <v>0</v>
      </c>
      <c r="O3333">
        <v>-8.5742260000000001E-2</v>
      </c>
      <c r="P3333">
        <v>-0.99450349999999998</v>
      </c>
      <c r="Q3333">
        <v>-2.8039419999999999E-2</v>
      </c>
      <c r="R3333">
        <v>-0.1008819</v>
      </c>
      <c r="S3333">
        <v>-3.0145870000000001</v>
      </c>
      <c r="T3333">
        <v>-0.8088166</v>
      </c>
      <c r="U3333">
        <v>0.20883180000000001</v>
      </c>
      <c r="V3333">
        <v>-1.521631E-2</v>
      </c>
      <c r="W3333">
        <v>-1.476792E-2</v>
      </c>
      <c r="X3333">
        <v>0.99977519999999998</v>
      </c>
      <c r="Y3333">
        <v>0.14622579999999999</v>
      </c>
      <c r="Z3333">
        <v>4.1830100000000002E-2</v>
      </c>
      <c r="AA3333">
        <v>0.98836639999999998</v>
      </c>
      <c r="AB3333">
        <v>10</v>
      </c>
      <c r="AC3333">
        <v>-0.67959999999999299</v>
      </c>
      <c r="AD3333">
        <v>-0.19865969999999999</v>
      </c>
      <c r="AE3333">
        <v>5.7700000000011097E-2</v>
      </c>
      <c r="AF3333">
        <v>0.10670993477539401</v>
      </c>
      <c r="AG3333">
        <v>-0.19865969999999999</v>
      </c>
      <c r="AH3333">
        <v>0.61958439950099198</v>
      </c>
      <c r="AI3333">
        <v>107.535579333603</v>
      </c>
      <c r="AJ3333">
        <v>80.227917417364594</v>
      </c>
      <c r="AK3333">
        <v>0.65934627828544201</v>
      </c>
      <c r="AL3333">
        <v>90.8461702141323</v>
      </c>
      <c r="AM3333">
        <v>90.871959051519994</v>
      </c>
      <c r="AN3333">
        <v>1.0000000390430901</v>
      </c>
    </row>
    <row r="3334" spans="1:40" x14ac:dyDescent="0.25">
      <c r="A3334" t="str">
        <f>"20190312153950553"</f>
        <v>20190312153950553</v>
      </c>
      <c r="B3334" t="str">
        <f>"1552376390548879"</f>
        <v>1552376390548879</v>
      </c>
      <c r="C3334" t="s">
        <v>40</v>
      </c>
      <c r="D3334">
        <v>4.3953749999999996</v>
      </c>
      <c r="E3334">
        <v>0.56862000000000001</v>
      </c>
      <c r="F3334" t="s">
        <v>41</v>
      </c>
      <c r="G3334">
        <v>-474.35649999999998</v>
      </c>
      <c r="H3334">
        <v>0.92651439999999996</v>
      </c>
      <c r="I3334">
        <v>282.16300000000001</v>
      </c>
      <c r="J3334">
        <v>-473.74919999999997</v>
      </c>
      <c r="K3334">
        <v>1.1107910000000001</v>
      </c>
      <c r="L3334">
        <v>282.10719999999998</v>
      </c>
      <c r="M3334">
        <v>-0.9961295</v>
      </c>
      <c r="N3334">
        <v>0</v>
      </c>
      <c r="O3334">
        <v>-8.6888179999999995E-2</v>
      </c>
      <c r="P3334">
        <v>-0.99437920000000002</v>
      </c>
      <c r="Q3334">
        <v>-2.8325739999999999E-2</v>
      </c>
      <c r="R3334">
        <v>-0.1020192</v>
      </c>
      <c r="S3334">
        <v>-3.014923</v>
      </c>
      <c r="T3334">
        <v>-0.81151030000000002</v>
      </c>
      <c r="U3334">
        <v>0.209259</v>
      </c>
      <c r="V3334">
        <v>-1.5208620000000001E-2</v>
      </c>
      <c r="W3334">
        <v>-1.505752E-2</v>
      </c>
      <c r="X3334">
        <v>0.99977090000000002</v>
      </c>
      <c r="Y3334">
        <v>0.14736150000000001</v>
      </c>
      <c r="Z3334">
        <v>4.2412279999999997E-2</v>
      </c>
      <c r="AA3334">
        <v>0.98817290000000002</v>
      </c>
      <c r="AB3334">
        <v>10</v>
      </c>
      <c r="AC3334">
        <v>-0.60730000000000905</v>
      </c>
      <c r="AD3334">
        <v>-0.18427660000000001</v>
      </c>
      <c r="AE3334">
        <v>5.5800000000033302E-2</v>
      </c>
      <c r="AF3334">
        <v>9.9294904283204394E-2</v>
      </c>
      <c r="AG3334">
        <v>-0.18427660000000001</v>
      </c>
      <c r="AH3334">
        <v>0.54994287086149396</v>
      </c>
      <c r="AI3334">
        <v>108.250039651612</v>
      </c>
      <c r="AJ3334">
        <v>79.765231166706997</v>
      </c>
      <c r="AK3334">
        <v>0.58843394237208402</v>
      </c>
      <c r="AL3334">
        <v>90.862765000573205</v>
      </c>
      <c r="AM3334">
        <v>90.871522197724801</v>
      </c>
      <c r="AN3334">
        <v>0.99999994175883</v>
      </c>
    </row>
    <row r="3335" spans="1:40" x14ac:dyDescent="0.25">
      <c r="A3335" t="str">
        <f>"20190312153950576"</f>
        <v>20190312153950576</v>
      </c>
      <c r="B3335" t="str">
        <f>"1552376390569375"</f>
        <v>1552376390569375</v>
      </c>
      <c r="C3335" t="s">
        <v>40</v>
      </c>
      <c r="D3335">
        <v>4.3839610000000002</v>
      </c>
      <c r="E3335">
        <v>0.56888159999999999</v>
      </c>
      <c r="F3335" t="s">
        <v>41</v>
      </c>
      <c r="G3335">
        <v>-474.44319999999999</v>
      </c>
      <c r="H3335">
        <v>0.92343070000000005</v>
      </c>
      <c r="I3335">
        <v>282.15559999999999</v>
      </c>
      <c r="J3335">
        <v>-473.84769999999997</v>
      </c>
      <c r="K3335">
        <v>1.110838</v>
      </c>
      <c r="L3335">
        <v>282.09679999999997</v>
      </c>
      <c r="M3335">
        <v>-0.9959943</v>
      </c>
      <c r="N3335">
        <v>0</v>
      </c>
      <c r="O3335">
        <v>-8.8424489999999994E-2</v>
      </c>
      <c r="P3335">
        <v>-0.99417310000000003</v>
      </c>
      <c r="Q3335">
        <v>-2.8830290000000001E-2</v>
      </c>
      <c r="R3335">
        <v>-0.1038698</v>
      </c>
      <c r="S3335">
        <v>-3.0151370000000002</v>
      </c>
      <c r="T3335">
        <v>-0.81485969999999996</v>
      </c>
      <c r="U3335">
        <v>0.2084656</v>
      </c>
      <c r="V3335">
        <v>-1.552648E-2</v>
      </c>
      <c r="W3335">
        <v>-1.556598E-2</v>
      </c>
      <c r="X3335">
        <v>0.99975829999999999</v>
      </c>
      <c r="Y3335">
        <v>0.1484606</v>
      </c>
      <c r="Z3335">
        <v>4.3131290000000003E-2</v>
      </c>
      <c r="AA3335">
        <v>0.98797729999999995</v>
      </c>
      <c r="AB3335">
        <v>10</v>
      </c>
      <c r="AC3335">
        <v>-0.59550000000001502</v>
      </c>
      <c r="AD3335">
        <v>-0.1874073</v>
      </c>
      <c r="AE3335">
        <v>5.8800000000019198E-2</v>
      </c>
      <c r="AF3335">
        <v>0.101295637368752</v>
      </c>
      <c r="AG3335">
        <v>-0.1874073</v>
      </c>
      <c r="AH3335">
        <v>0.535448488994551</v>
      </c>
      <c r="AI3335">
        <v>108.978135927274</v>
      </c>
      <c r="AJ3335">
        <v>79.287437743801505</v>
      </c>
      <c r="AK3335">
        <v>0.57627023748392503</v>
      </c>
      <c r="AL3335">
        <v>90.891900965092205</v>
      </c>
      <c r="AM3335">
        <v>90.889745316014299</v>
      </c>
      <c r="AN3335">
        <v>1.0000000148667201</v>
      </c>
    </row>
    <row r="3336" spans="1:40" x14ac:dyDescent="0.25">
      <c r="A3336" t="str">
        <f>"20190312153950588"</f>
        <v>20190312153950588</v>
      </c>
      <c r="B3336" t="str">
        <f>"1552376390579135"</f>
        <v>1552376390579135</v>
      </c>
      <c r="C3336" t="s">
        <v>40</v>
      </c>
      <c r="D3336">
        <v>4.3848159999999998</v>
      </c>
      <c r="E3336">
        <v>0.56896380000000002</v>
      </c>
      <c r="F3336" t="s">
        <v>41</v>
      </c>
      <c r="G3336">
        <v>-474.53140000000002</v>
      </c>
      <c r="H3336">
        <v>0.92557690000000004</v>
      </c>
      <c r="I3336">
        <v>282.1438</v>
      </c>
      <c r="J3336">
        <v>-473.9033</v>
      </c>
      <c r="K3336">
        <v>1.1108640000000001</v>
      </c>
      <c r="L3336">
        <v>282.0908</v>
      </c>
      <c r="M3336">
        <v>-0.99591200000000002</v>
      </c>
      <c r="N3336">
        <v>0</v>
      </c>
      <c r="O3336">
        <v>-8.9346399999999895E-2</v>
      </c>
      <c r="P3336">
        <v>-0.99407259999999997</v>
      </c>
      <c r="Q3336">
        <v>-2.8861120000000001E-2</v>
      </c>
      <c r="R3336">
        <v>-0.1048182</v>
      </c>
      <c r="S3336">
        <v>-3.0153810000000001</v>
      </c>
      <c r="T3336">
        <v>-0.81735429999999998</v>
      </c>
      <c r="U3336">
        <v>0.20602419999999999</v>
      </c>
      <c r="V3336">
        <v>-1.5553640000000001E-2</v>
      </c>
      <c r="W3336">
        <v>-1.5598259999999999E-2</v>
      </c>
      <c r="X3336">
        <v>0.99975729999999996</v>
      </c>
      <c r="Y3336">
        <v>0.14848889999999901</v>
      </c>
      <c r="Z3336">
        <v>4.3504920000000002E-2</v>
      </c>
      <c r="AA3336">
        <v>0.98795659999999996</v>
      </c>
      <c r="AB3336">
        <v>10</v>
      </c>
      <c r="AC3336">
        <v>-0.62810000000001698</v>
      </c>
      <c r="AD3336">
        <v>-0.18528709999999901</v>
      </c>
      <c r="AE3336">
        <v>5.2999999999997202E-2</v>
      </c>
      <c r="AF3336">
        <v>0.100249143879014</v>
      </c>
      <c r="AG3336">
        <v>-0.18528709999999901</v>
      </c>
      <c r="AH3336">
        <v>0.57147227081097796</v>
      </c>
      <c r="AI3336">
        <v>107.71094225865301</v>
      </c>
      <c r="AJ3336">
        <v>80.050263227010902</v>
      </c>
      <c r="AK3336">
        <v>0.609066299002613</v>
      </c>
      <c r="AL3336">
        <v>90.893750764168502</v>
      </c>
      <c r="AM3336">
        <v>90.891302360990395</v>
      </c>
      <c r="AN3336">
        <v>0.99999994016778104</v>
      </c>
    </row>
    <row r="3337" spans="1:40" x14ac:dyDescent="0.25">
      <c r="A3337" t="str">
        <f>"20190312153950601"</f>
        <v>20190312153950601</v>
      </c>
      <c r="B3337" t="str">
        <f>"1552376390588895"</f>
        <v>1552376390588895</v>
      </c>
      <c r="C3337" t="s">
        <v>40</v>
      </c>
      <c r="D3337">
        <v>4.3957620000000004</v>
      </c>
      <c r="E3337">
        <v>0.56908319999999901</v>
      </c>
      <c r="F3337" t="s">
        <v>41</v>
      </c>
      <c r="G3337">
        <v>-474.61579999999998</v>
      </c>
      <c r="H3337">
        <v>0.91756499999999996</v>
      </c>
      <c r="I3337">
        <v>282.13929999999999</v>
      </c>
      <c r="J3337">
        <v>-473.9606</v>
      </c>
      <c r="K3337">
        <v>1.110889</v>
      </c>
      <c r="L3337">
        <v>282.08460000000002</v>
      </c>
      <c r="M3337">
        <v>-0.99582440000000005</v>
      </c>
      <c r="N3337">
        <v>0</v>
      </c>
      <c r="O3337">
        <v>-9.0319449999999996E-2</v>
      </c>
      <c r="P3337">
        <v>-0.99396689999999999</v>
      </c>
      <c r="Q3337">
        <v>-2.8621850000000001E-2</v>
      </c>
      <c r="R3337">
        <v>-0.10588210000000001</v>
      </c>
      <c r="S3337">
        <v>-3.0156559999999999</v>
      </c>
      <c r="T3337">
        <v>-0.8186949</v>
      </c>
      <c r="U3337">
        <v>0.20388790000000001</v>
      </c>
      <c r="V3337">
        <v>-1.564523E-2</v>
      </c>
      <c r="W3337">
        <v>-1.536042E-2</v>
      </c>
      <c r="X3337">
        <v>0.99975959999999997</v>
      </c>
      <c r="Y3337">
        <v>0.1486826</v>
      </c>
      <c r="Z3337">
        <v>4.385534E-2</v>
      </c>
      <c r="AA3337">
        <v>0.98791209999999996</v>
      </c>
      <c r="AB3337">
        <v>10</v>
      </c>
      <c r="AC3337">
        <v>-0.65519999999997902</v>
      </c>
      <c r="AD3337">
        <v>-0.193324</v>
      </c>
      <c r="AE3337">
        <v>5.4699999999968399E-2</v>
      </c>
      <c r="AF3337">
        <v>0.104614137281362</v>
      </c>
      <c r="AG3337">
        <v>-0.193324</v>
      </c>
      <c r="AH3337">
        <v>0.59604740052803096</v>
      </c>
      <c r="AI3337">
        <v>107.71661135724599</v>
      </c>
      <c r="AJ3337">
        <v>80.045231133475198</v>
      </c>
      <c r="AK3337">
        <v>0.63528795862297505</v>
      </c>
      <c r="AL3337">
        <v>90.880121861209503</v>
      </c>
      <c r="AM3337">
        <v>90.896548015527003</v>
      </c>
      <c r="AN3337">
        <v>0.99999998675824397</v>
      </c>
    </row>
    <row r="3338" spans="1:40" x14ac:dyDescent="0.25">
      <c r="A3338" t="str">
        <f>"20190312153950615"</f>
        <v>20190312153950615</v>
      </c>
      <c r="B3338" t="str">
        <f>"1552376390609391"</f>
        <v>1552376390609391</v>
      </c>
      <c r="C3338" t="s">
        <v>40</v>
      </c>
      <c r="D3338">
        <v>4.4052470000000001</v>
      </c>
      <c r="E3338">
        <v>0.56918150000000001</v>
      </c>
      <c r="F3338" t="s">
        <v>41</v>
      </c>
      <c r="G3338">
        <v>-474.7002</v>
      </c>
      <c r="H3338">
        <v>0.91031479999999998</v>
      </c>
      <c r="I3338">
        <v>282.1343</v>
      </c>
      <c r="J3338">
        <v>-474.0172</v>
      </c>
      <c r="K3338">
        <v>1.1109119999999999</v>
      </c>
      <c r="L3338">
        <v>282.07819999999998</v>
      </c>
      <c r="M3338">
        <v>-0.9957338</v>
      </c>
      <c r="N3338">
        <v>0</v>
      </c>
      <c r="O3338">
        <v>-9.1311160000000002E-2</v>
      </c>
      <c r="P3338">
        <v>-0.99379229999999996</v>
      </c>
      <c r="Q3338">
        <v>-2.8842710000000001E-2</v>
      </c>
      <c r="R3338">
        <v>-0.1074485</v>
      </c>
      <c r="S3338">
        <v>-3.0161440000000002</v>
      </c>
      <c r="T3338">
        <v>-0.81850679999999998</v>
      </c>
      <c r="U3338">
        <v>0.2015991</v>
      </c>
      <c r="V3338">
        <v>-1.6224390000000002E-2</v>
      </c>
      <c r="W3338">
        <v>-1.558356E-2</v>
      </c>
      <c r="X3338">
        <v>0.99974689999999999</v>
      </c>
      <c r="Y3338">
        <v>0.1488727</v>
      </c>
      <c r="Z3338">
        <v>4.4128590000000002E-2</v>
      </c>
      <c r="AA3338">
        <v>0.98787119999999995</v>
      </c>
      <c r="AB3338">
        <v>10</v>
      </c>
      <c r="AC3338">
        <v>-0.68299999999999195</v>
      </c>
      <c r="AD3338">
        <v>-0.2005972</v>
      </c>
      <c r="AE3338">
        <v>5.6100000000014902E-2</v>
      </c>
      <c r="AF3338">
        <v>0.108905418425851</v>
      </c>
      <c r="AG3338">
        <v>-0.2005972</v>
      </c>
      <c r="AH3338">
        <v>0.62175053963295002</v>
      </c>
      <c r="AI3338">
        <v>107.62997904464299</v>
      </c>
      <c r="AJ3338">
        <v>80.064896125950597</v>
      </c>
      <c r="AK3338">
        <v>0.66232421089992999</v>
      </c>
      <c r="AL3338">
        <v>90.8929083861387</v>
      </c>
      <c r="AM3338">
        <v>90.929742796163495</v>
      </c>
      <c r="AN3338">
        <v>0.99999997111637695</v>
      </c>
    </row>
    <row r="3339" spans="1:40" x14ac:dyDescent="0.25">
      <c r="A3339" t="str">
        <f>"20190312153950628"</f>
        <v>20190312153950628</v>
      </c>
      <c r="B3339" t="str">
        <f>"1552376390619150"</f>
        <v>1552376390619150</v>
      </c>
      <c r="C3339" t="s">
        <v>40</v>
      </c>
      <c r="D3339">
        <v>4.3973170000000001</v>
      </c>
      <c r="E3339">
        <v>0.56917759999999995</v>
      </c>
      <c r="F3339" t="s">
        <v>41</v>
      </c>
      <c r="G3339">
        <v>-474.70510000000002</v>
      </c>
      <c r="H3339">
        <v>0.92425849999999998</v>
      </c>
      <c r="I3339">
        <v>282.12369999999999</v>
      </c>
      <c r="J3339">
        <v>-474.07690000000002</v>
      </c>
      <c r="K3339">
        <v>1.1109290000000001</v>
      </c>
      <c r="L3339">
        <v>282.07150000000001</v>
      </c>
      <c r="M3339">
        <v>-0.99563389999999996</v>
      </c>
      <c r="N3339">
        <v>0</v>
      </c>
      <c r="O3339">
        <v>-9.239385E-2</v>
      </c>
      <c r="P3339">
        <v>-0.99365300000000001</v>
      </c>
      <c r="Q3339">
        <v>-2.9253459999999998E-2</v>
      </c>
      <c r="R3339">
        <v>-0.10861949999999999</v>
      </c>
      <c r="S3339">
        <v>-3.016327</v>
      </c>
      <c r="T3339">
        <v>-0.81903179999999998</v>
      </c>
      <c r="U3339">
        <v>0.19790650000000001</v>
      </c>
      <c r="V3339">
        <v>-1.6315340000000001E-2</v>
      </c>
      <c r="W3339">
        <v>-1.5995680000000002E-2</v>
      </c>
      <c r="X3339">
        <v>0.99973889999999999</v>
      </c>
      <c r="Y3339">
        <v>0.1486952</v>
      </c>
      <c r="Z3339">
        <v>4.4419029999999998E-2</v>
      </c>
      <c r="AA3339">
        <v>0.98788489999999995</v>
      </c>
      <c r="AB3339">
        <v>10</v>
      </c>
      <c r="AC3339">
        <v>-0.62819999999999199</v>
      </c>
      <c r="AD3339">
        <v>-0.18667049999999999</v>
      </c>
      <c r="AE3339">
        <v>5.21999999999707E-2</v>
      </c>
      <c r="AF3339">
        <v>0.10115314852861</v>
      </c>
      <c r="AG3339">
        <v>-0.18667049999999999</v>
      </c>
      <c r="AH3339">
        <v>0.570647033436808</v>
      </c>
      <c r="AI3339">
        <v>107.853725126634</v>
      </c>
      <c r="AJ3339">
        <v>79.948137315105399</v>
      </c>
      <c r="AK3339">
        <v>0.60886441166956895</v>
      </c>
      <c r="AL3339">
        <v>90.916524077727203</v>
      </c>
      <c r="AM3339">
        <v>90.934961266721203</v>
      </c>
      <c r="AN3339">
        <v>0.999999960135593</v>
      </c>
    </row>
    <row r="3340" spans="1:40" x14ac:dyDescent="0.25">
      <c r="A3340" t="str">
        <f>"20190312153950641"</f>
        <v>20190312153950641</v>
      </c>
      <c r="B3340" t="str">
        <f>"1552376390628912"</f>
        <v>1552376390628912</v>
      </c>
      <c r="C3340" t="s">
        <v>40</v>
      </c>
      <c r="D3340">
        <v>4.3398349999999999</v>
      </c>
      <c r="E3340">
        <v>0.56911210000000001</v>
      </c>
      <c r="F3340" t="s">
        <v>41</v>
      </c>
      <c r="G3340">
        <v>-474.78930000000003</v>
      </c>
      <c r="H3340">
        <v>0.91749780000000003</v>
      </c>
      <c r="I3340">
        <v>282.11779999999999</v>
      </c>
      <c r="J3340">
        <v>-474.13069999999999</v>
      </c>
      <c r="K3340">
        <v>1.11094</v>
      </c>
      <c r="L3340">
        <v>282.06529999999998</v>
      </c>
      <c r="M3340">
        <v>-0.99554140000000002</v>
      </c>
      <c r="N3340">
        <v>0</v>
      </c>
      <c r="O3340">
        <v>-9.3387390000000001E-2</v>
      </c>
      <c r="P3340">
        <v>-0.99347929999999995</v>
      </c>
      <c r="Q3340">
        <v>-2.9212490000000001E-2</v>
      </c>
      <c r="R3340">
        <v>-0.1102086</v>
      </c>
      <c r="S3340">
        <v>-3.0163570000000002</v>
      </c>
      <c r="T3340">
        <v>-0.81963619999999904</v>
      </c>
      <c r="U3340">
        <v>0.19488530000000001</v>
      </c>
      <c r="V3340">
        <v>-1.6916E-2</v>
      </c>
      <c r="W3340">
        <v>-1.595661E-2</v>
      </c>
      <c r="X3340">
        <v>0.9997296</v>
      </c>
      <c r="Y3340">
        <v>0.14864769999999999</v>
      </c>
      <c r="Z3340">
        <v>4.470942E-2</v>
      </c>
      <c r="AA3340">
        <v>0.98787899999999995</v>
      </c>
      <c r="AB3340">
        <v>10</v>
      </c>
      <c r="AC3340">
        <v>-0.65860000000003505</v>
      </c>
      <c r="AD3340">
        <v>-0.19344219999999901</v>
      </c>
      <c r="AE3340">
        <v>5.2500000000008998E-2</v>
      </c>
      <c r="AF3340">
        <v>0.104797132834216</v>
      </c>
      <c r="AG3340">
        <v>-0.19344219999999901</v>
      </c>
      <c r="AH3340">
        <v>0.59943169392490603</v>
      </c>
      <c r="AI3340">
        <v>107.634827134978</v>
      </c>
      <c r="AJ3340">
        <v>80.083345686649906</v>
      </c>
      <c r="AK3340">
        <v>0.63853009284825002</v>
      </c>
      <c r="AL3340">
        <v>90.914285192168293</v>
      </c>
      <c r="AM3340">
        <v>90.969385046493002</v>
      </c>
      <c r="AN3340">
        <v>1.0000000187874201</v>
      </c>
    </row>
    <row r="3341" spans="1:40" x14ac:dyDescent="0.25">
      <c r="A3341" t="str">
        <f>"20190312153950654"</f>
        <v>20190312153950654</v>
      </c>
      <c r="B3341" t="str">
        <f>"1552376390649407"</f>
        <v>1552376390649407</v>
      </c>
      <c r="C3341" t="s">
        <v>40</v>
      </c>
      <c r="D3341">
        <v>4.3846290000000003</v>
      </c>
      <c r="E3341">
        <v>0.56982969999999999</v>
      </c>
      <c r="F3341" t="s">
        <v>41</v>
      </c>
      <c r="G3341">
        <v>-474.87299999999999</v>
      </c>
      <c r="H3341">
        <v>0.90980139999999998</v>
      </c>
      <c r="I3341">
        <v>282.1121</v>
      </c>
      <c r="J3341">
        <v>-474.18630000000002</v>
      </c>
      <c r="K3341">
        <v>1.110941</v>
      </c>
      <c r="L3341">
        <v>282.05880000000002</v>
      </c>
      <c r="M3341">
        <v>-0.99544219999999894</v>
      </c>
      <c r="N3341">
        <v>0</v>
      </c>
      <c r="O3341">
        <v>-9.4437939999999998E-2</v>
      </c>
      <c r="P3341">
        <v>-0.99318620000000002</v>
      </c>
      <c r="Q3341">
        <v>-3.079175E-2</v>
      </c>
      <c r="R3341">
        <v>-0.11239879999999999</v>
      </c>
      <c r="S3341">
        <v>-3.016785</v>
      </c>
      <c r="T3341">
        <v>-0.81739459999999997</v>
      </c>
      <c r="U3341">
        <v>0.19024659999999999</v>
      </c>
      <c r="V3341">
        <v>-1.8066280000000001E-2</v>
      </c>
      <c r="W3341">
        <v>-1.7539119999999998E-2</v>
      </c>
      <c r="X3341">
        <v>0.99968299999999999</v>
      </c>
      <c r="Y3341">
        <v>0.1481951</v>
      </c>
      <c r="Z3341">
        <v>4.4805589999999999E-2</v>
      </c>
      <c r="AA3341">
        <v>0.9879426</v>
      </c>
      <c r="AB3341">
        <v>10</v>
      </c>
      <c r="AC3341">
        <v>-0.68670000000002995</v>
      </c>
      <c r="AD3341">
        <v>-0.201139599999999</v>
      </c>
      <c r="AE3341">
        <v>5.3299999999978802E-2</v>
      </c>
      <c r="AF3341">
        <v>0.108652038276426</v>
      </c>
      <c r="AG3341">
        <v>-0.201139599999999</v>
      </c>
      <c r="AH3341">
        <v>0.62527254197425597</v>
      </c>
      <c r="AI3341">
        <v>107.58516528936001</v>
      </c>
      <c r="AJ3341">
        <v>80.142288193207193</v>
      </c>
      <c r="AK3341">
        <v>0.66575382526631399</v>
      </c>
      <c r="AL3341">
        <v>91.0049690256227</v>
      </c>
      <c r="AM3341">
        <v>91.035337130073003</v>
      </c>
      <c r="AN3341">
        <v>1.0000000558462001</v>
      </c>
    </row>
    <row r="3342" spans="1:40" x14ac:dyDescent="0.25">
      <c r="A3342" t="str">
        <f>"20190312153950688"</f>
        <v>20190312153950688</v>
      </c>
      <c r="B3342" t="str">
        <f>"1552376390679662"</f>
        <v>1552376390679662</v>
      </c>
      <c r="C3342" t="s">
        <v>40</v>
      </c>
      <c r="D3342">
        <v>3.1681330000000001</v>
      </c>
      <c r="E3342">
        <v>0.56345869999999998</v>
      </c>
      <c r="F3342" t="s">
        <v>41</v>
      </c>
      <c r="G3342">
        <v>-474.87709999999998</v>
      </c>
      <c r="H3342">
        <v>0.92174959999999995</v>
      </c>
      <c r="I3342">
        <v>282.1026</v>
      </c>
      <c r="J3342">
        <v>-474.33100000000002</v>
      </c>
      <c r="K3342">
        <v>1.1109260000000001</v>
      </c>
      <c r="L3342">
        <v>282.04169999999999</v>
      </c>
      <c r="M3342">
        <v>-0.99517140000000004</v>
      </c>
      <c r="N3342">
        <v>0</v>
      </c>
      <c r="O3342">
        <v>-9.7250110000000001E-2</v>
      </c>
      <c r="P3342">
        <v>-0.99264929999999996</v>
      </c>
      <c r="Q3342">
        <v>-3.354907E-2</v>
      </c>
      <c r="R3342">
        <v>-0.1162844</v>
      </c>
      <c r="S3342">
        <v>-3.0166629999999999</v>
      </c>
      <c r="T3342">
        <v>-0.82603930000000003</v>
      </c>
      <c r="U3342">
        <v>0.1913147</v>
      </c>
      <c r="V3342">
        <v>-1.9158310000000001E-2</v>
      </c>
      <c r="W3342">
        <v>-2.030125E-2</v>
      </c>
      <c r="X3342">
        <v>0.99961029999999995</v>
      </c>
      <c r="Y3342">
        <v>0.1509489</v>
      </c>
      <c r="Z3342">
        <v>4.6387930000000001E-2</v>
      </c>
      <c r="AA3342">
        <v>0.98745260000000001</v>
      </c>
      <c r="AB3342">
        <v>10</v>
      </c>
      <c r="AC3342">
        <v>-0.54610000000002401</v>
      </c>
      <c r="AD3342">
        <v>-0.18917639999999999</v>
      </c>
      <c r="AE3342">
        <v>6.0900000000003701E-2</v>
      </c>
      <c r="AF3342">
        <v>0.101673112716461</v>
      </c>
      <c r="AG3342">
        <v>-0.18917639999999999</v>
      </c>
      <c r="AH3342">
        <v>0.48062081722203598</v>
      </c>
      <c r="AI3342">
        <v>111.06100383016999</v>
      </c>
      <c r="AJ3342">
        <v>78.055443471652893</v>
      </c>
      <c r="AK3342">
        <v>0.52642331076196802</v>
      </c>
      <c r="AL3342">
        <v>91.163255896070098</v>
      </c>
      <c r="AM3342">
        <v>91.097983815718607</v>
      </c>
      <c r="AN3342">
        <v>0.99999996672985303</v>
      </c>
    </row>
    <row r="3343" spans="1:40" x14ac:dyDescent="0.25">
      <c r="A3343" t="str">
        <f>"20190312153950777"</f>
        <v>20190312153950777</v>
      </c>
      <c r="B3343" t="str">
        <f>"1552376390769455"</f>
        <v>1552376390769455</v>
      </c>
      <c r="C3343" t="s">
        <v>40</v>
      </c>
      <c r="D3343">
        <v>3.586713</v>
      </c>
      <c r="E3343">
        <v>0.56345869999999998</v>
      </c>
      <c r="F3343" t="s">
        <v>41</v>
      </c>
      <c r="G3343">
        <v>-474.98169999999999</v>
      </c>
      <c r="H3343">
        <v>0.76352330000000002</v>
      </c>
      <c r="I3343">
        <v>282.06450000000001</v>
      </c>
      <c r="J3343">
        <v>-474.71089999999998</v>
      </c>
      <c r="K3343">
        <v>1.1108370000000001</v>
      </c>
      <c r="L3343">
        <v>281.99419999999998</v>
      </c>
      <c r="M3343">
        <v>-0.99440099999999998</v>
      </c>
      <c r="N3343">
        <v>0</v>
      </c>
      <c r="O3343">
        <v>-0.10483629999999999</v>
      </c>
      <c r="P3343">
        <v>-0.99073520000000004</v>
      </c>
      <c r="Q3343">
        <v>-3.7364420000000002E-2</v>
      </c>
      <c r="R3343">
        <v>-0.13056880000000001</v>
      </c>
      <c r="S3343">
        <v>-2.9807429999999999</v>
      </c>
      <c r="T3343">
        <v>-1.5911470000000001</v>
      </c>
      <c r="U3343">
        <v>0.105682399999999</v>
      </c>
      <c r="V3343">
        <v>-2.594312E-2</v>
      </c>
      <c r="W3343">
        <v>-2.4136250000000001E-2</v>
      </c>
      <c r="X3343">
        <v>0.99937200000000004</v>
      </c>
      <c r="Y3343">
        <v>0.1112083</v>
      </c>
      <c r="Z3343">
        <v>8.0212909999999998E-2</v>
      </c>
      <c r="AA3343">
        <v>0.99055470000000001</v>
      </c>
      <c r="AB3343">
        <v>10</v>
      </c>
      <c r="AC3343">
        <v>-0.27080000000000798</v>
      </c>
      <c r="AD3343">
        <v>-0.3473137</v>
      </c>
      <c r="AE3343">
        <v>7.0300000000031504E-2</v>
      </c>
      <c r="AF3343">
        <v>3.8686351575047101E-2</v>
      </c>
      <c r="AG3343">
        <v>-0.3473137</v>
      </c>
      <c r="AH3343">
        <v>0.10308133685050699</v>
      </c>
      <c r="AI3343">
        <v>162.41088885728001</v>
      </c>
      <c r="AJ3343">
        <v>69.428922816032994</v>
      </c>
      <c r="AK3343">
        <v>0.36434763895593703</v>
      </c>
      <c r="AL3343">
        <v>91.383039565124704</v>
      </c>
      <c r="AM3343">
        <v>91.487031376186707</v>
      </c>
      <c r="AN3343">
        <v>0.99999999921169802</v>
      </c>
    </row>
    <row r="3344" spans="1:40" x14ac:dyDescent="0.25">
      <c r="A3344" t="str">
        <f>"20190312153950844"</f>
        <v>20190312153950844</v>
      </c>
      <c r="B3344" t="str">
        <f>"1552376390838754"</f>
        <v>1552376390838754</v>
      </c>
      <c r="C3344" t="s">
        <v>40</v>
      </c>
      <c r="D3344">
        <v>4.146255</v>
      </c>
      <c r="E3344">
        <v>0.4080897</v>
      </c>
      <c r="F3344" t="s">
        <v>41</v>
      </c>
      <c r="G3344">
        <v>-475.32819999999998</v>
      </c>
      <c r="H3344">
        <v>0.77923069999999905</v>
      </c>
      <c r="I3344">
        <v>282.0093</v>
      </c>
      <c r="J3344">
        <v>-474.9957</v>
      </c>
      <c r="K3344">
        <v>1.1107750000000001</v>
      </c>
      <c r="L3344">
        <v>281.95670000000001</v>
      </c>
      <c r="M3344">
        <v>-0.99378379999999999</v>
      </c>
      <c r="N3344">
        <v>0</v>
      </c>
      <c r="O3344">
        <v>-0.1105342</v>
      </c>
      <c r="P3344">
        <v>-0.9878519</v>
      </c>
      <c r="Q3344">
        <v>-4.0795579999999998E-2</v>
      </c>
      <c r="R3344">
        <v>-0.14994749999999901</v>
      </c>
      <c r="S3344">
        <v>-2.9771730000000001</v>
      </c>
      <c r="T3344">
        <v>-1.600101</v>
      </c>
      <c r="U3344">
        <v>7.1441649999999995E-2</v>
      </c>
      <c r="V3344">
        <v>-3.979386E-2</v>
      </c>
      <c r="W3344">
        <v>-2.7600510000000002E-2</v>
      </c>
      <c r="X3344">
        <v>0.99882660000000001</v>
      </c>
      <c r="Y3344">
        <v>0.1052115</v>
      </c>
      <c r="Z3344">
        <v>8.2047209999999995E-2</v>
      </c>
      <c r="AA3344">
        <v>0.99105940000000003</v>
      </c>
      <c r="AB3344">
        <v>10</v>
      </c>
      <c r="AC3344">
        <v>-0.33249999999998098</v>
      </c>
      <c r="AD3344">
        <v>-0.33154430000000001</v>
      </c>
      <c r="AE3344">
        <v>5.2599999999983903E-2</v>
      </c>
      <c r="AF3344">
        <v>4.51950046436254E-2</v>
      </c>
      <c r="AG3344">
        <v>-0.33154430000000001</v>
      </c>
      <c r="AH3344">
        <v>0.16479697675364899</v>
      </c>
      <c r="AI3344">
        <v>152.73287643535201</v>
      </c>
      <c r="AJ3344">
        <v>74.663890072731803</v>
      </c>
      <c r="AK3344">
        <v>0.37299095814023397</v>
      </c>
      <c r="AL3344">
        <v>91.581593651505898</v>
      </c>
      <c r="AM3344">
        <v>92.281492139948597</v>
      </c>
      <c r="AN3344">
        <v>0.99999995815675902</v>
      </c>
    </row>
    <row r="3345" spans="1:40" x14ac:dyDescent="0.25">
      <c r="A3345" t="str">
        <f>"20190312153950867"</f>
        <v>20190312153950867</v>
      </c>
      <c r="B3345" t="str">
        <f>"1552376390859247"</f>
        <v>1552376390859247</v>
      </c>
      <c r="C3345" t="s">
        <v>40</v>
      </c>
      <c r="D3345">
        <v>4.1751040000000001</v>
      </c>
      <c r="E3345">
        <v>0.41499979999999997</v>
      </c>
      <c r="F3345" t="s">
        <v>67</v>
      </c>
      <c r="G3345">
        <v>-512.82539999999995</v>
      </c>
      <c r="H3345">
        <v>0.67324110000000004</v>
      </c>
      <c r="I3345">
        <v>266.42860000000002</v>
      </c>
      <c r="J3345">
        <v>-475.09050000000002</v>
      </c>
      <c r="K3345">
        <v>1.110778</v>
      </c>
      <c r="L3345">
        <v>281.94380000000001</v>
      </c>
      <c r="M3345">
        <v>-0.9935697</v>
      </c>
      <c r="N3345">
        <v>0</v>
      </c>
      <c r="O3345">
        <v>-0.11244369999999999</v>
      </c>
      <c r="P3345">
        <v>-0.98615489999999995</v>
      </c>
      <c r="Q3345">
        <v>-4.348022E-2</v>
      </c>
      <c r="R3345">
        <v>-0.1600259</v>
      </c>
      <c r="S3345">
        <v>-2.8574830000000002</v>
      </c>
      <c r="T3345">
        <v>-3.304327E-2</v>
      </c>
      <c r="U3345">
        <v>-1.1729130000000001</v>
      </c>
      <c r="V3345">
        <v>-4.8077290000000002E-2</v>
      </c>
      <c r="W3345">
        <v>-3.0304419999999999E-2</v>
      </c>
      <c r="X3345">
        <v>0.99838380000000004</v>
      </c>
      <c r="Y3345">
        <v>-0.27327760000000001</v>
      </c>
      <c r="Z3345">
        <v>-2.7762499999999999E-4</v>
      </c>
      <c r="AA3345">
        <v>0.96193519999999999</v>
      </c>
      <c r="AB3345">
        <v>10</v>
      </c>
      <c r="AC3345">
        <v>-37.734899999999897</v>
      </c>
      <c r="AD3345">
        <v>-0.43753690000000001</v>
      </c>
      <c r="AE3345">
        <v>-15.515199999999901</v>
      </c>
      <c r="AF3345">
        <v>-11.172077446069199</v>
      </c>
      <c r="AG3345">
        <v>-0.43753690000000001</v>
      </c>
      <c r="AH3345">
        <v>39.235774282521902</v>
      </c>
      <c r="AI3345">
        <v>90.614483052597194</v>
      </c>
      <c r="AJ3345">
        <v>105.89388540398301</v>
      </c>
      <c r="AK3345">
        <v>40.797705040220599</v>
      </c>
      <c r="AL3345">
        <v>91.736581239952699</v>
      </c>
      <c r="AM3345">
        <v>92.756955308139197</v>
      </c>
      <c r="AN3345">
        <v>0.99999999789385996</v>
      </c>
    </row>
    <row r="3346" spans="1:40" x14ac:dyDescent="0.25">
      <c r="A3346" t="str">
        <f>"20190312153950889"</f>
        <v>20190312153950889</v>
      </c>
      <c r="B3346" t="str">
        <f>"1552376390878767"</f>
        <v>1552376390878767</v>
      </c>
      <c r="C3346" t="s">
        <v>40</v>
      </c>
      <c r="D3346">
        <v>4.1740029999999999</v>
      </c>
      <c r="E3346">
        <v>0.41648160000000001</v>
      </c>
      <c r="F3346" t="s">
        <v>67</v>
      </c>
      <c r="G3346">
        <v>-512.82539999999995</v>
      </c>
      <c r="H3346">
        <v>0.80614149999999996</v>
      </c>
      <c r="I3346">
        <v>266.77589999999998</v>
      </c>
      <c r="J3346">
        <v>-475.18180000000001</v>
      </c>
      <c r="K3346">
        <v>1.110795</v>
      </c>
      <c r="L3346">
        <v>281.93119999999999</v>
      </c>
      <c r="M3346">
        <v>-0.99335799999999996</v>
      </c>
      <c r="N3346">
        <v>0</v>
      </c>
      <c r="O3346">
        <v>-0.11429979999999999</v>
      </c>
      <c r="P3346">
        <v>-0.98437169999999896</v>
      </c>
      <c r="Q3346">
        <v>-4.1642390000000001E-2</v>
      </c>
      <c r="R3346">
        <v>-0.17110980000000001</v>
      </c>
      <c r="S3346">
        <v>-2.8549190000000002</v>
      </c>
      <c r="T3346">
        <v>-2.304196E-2</v>
      </c>
      <c r="U3346">
        <v>-1.1475519999999999</v>
      </c>
      <c r="V3346">
        <v>-5.7430429999999998E-2</v>
      </c>
      <c r="W3346">
        <v>-2.8486810000000001E-2</v>
      </c>
      <c r="X3346">
        <v>0.99794300000000002</v>
      </c>
      <c r="Y3346">
        <v>-0.2644437</v>
      </c>
      <c r="Z3346">
        <v>-1.454708E-4</v>
      </c>
      <c r="AA3346">
        <v>0.96440110000000001</v>
      </c>
      <c r="AB3346">
        <v>10</v>
      </c>
      <c r="AC3346">
        <v>-37.6435999999999</v>
      </c>
      <c r="AD3346">
        <v>-0.30465349999999902</v>
      </c>
      <c r="AE3346">
        <v>-15.1553</v>
      </c>
      <c r="AF3346">
        <v>-10.7523198022533</v>
      </c>
      <c r="AG3346">
        <v>-0.30465349999999902</v>
      </c>
      <c r="AH3346">
        <v>39.127046222561297</v>
      </c>
      <c r="AI3346">
        <v>90.430164679952497</v>
      </c>
      <c r="AJ3346">
        <v>105.365879736859</v>
      </c>
      <c r="AK3346">
        <v>40.578700582786603</v>
      </c>
      <c r="AL3346">
        <v>91.6323948296818</v>
      </c>
      <c r="AM3346">
        <v>93.293670949406803</v>
      </c>
      <c r="AN3346">
        <v>0.99999999194148004</v>
      </c>
    </row>
    <row r="3347" spans="1:40" x14ac:dyDescent="0.25">
      <c r="A3347" t="str">
        <f>"20190312153950910"</f>
        <v>20190312153950910</v>
      </c>
      <c r="B3347" t="str">
        <f>"1552376390899263"</f>
        <v>1552376390899263</v>
      </c>
      <c r="C3347" t="s">
        <v>40</v>
      </c>
      <c r="D3347">
        <v>4.2435199999999904</v>
      </c>
      <c r="E3347">
        <v>0.41820800000000002</v>
      </c>
      <c r="F3347" t="s">
        <v>67</v>
      </c>
      <c r="G3347">
        <v>-512.82529999999997</v>
      </c>
      <c r="H3347">
        <v>0.47006999999999999</v>
      </c>
      <c r="I3347">
        <v>266.46120000000002</v>
      </c>
      <c r="J3347">
        <v>-475.27390000000003</v>
      </c>
      <c r="K3347">
        <v>1.1108279999999999</v>
      </c>
      <c r="L3347">
        <v>281.91829999999999</v>
      </c>
      <c r="M3347">
        <v>-0.99313810000000002</v>
      </c>
      <c r="N3347">
        <v>0</v>
      </c>
      <c r="O3347">
        <v>-0.1161954</v>
      </c>
      <c r="P3347">
        <v>-0.98283430000000005</v>
      </c>
      <c r="Q3347">
        <v>-3.732829E-2</v>
      </c>
      <c r="R3347">
        <v>-0.18067530000000001</v>
      </c>
      <c r="S3347">
        <v>-2.8424990000000001</v>
      </c>
      <c r="T3347">
        <v>-4.8375729999999999E-2</v>
      </c>
      <c r="U3347">
        <v>-1.1681520000000001</v>
      </c>
      <c r="V3347">
        <v>-6.521101E-2</v>
      </c>
      <c r="W3347">
        <v>-2.4190360000000001E-2</v>
      </c>
      <c r="X3347">
        <v>0.99757830000000003</v>
      </c>
      <c r="Y3347">
        <v>-0.27003559999999999</v>
      </c>
      <c r="Z3347">
        <v>-3.2166239999999999E-4</v>
      </c>
      <c r="AA3347">
        <v>0.96285030000000005</v>
      </c>
      <c r="AB3347">
        <v>10</v>
      </c>
      <c r="AC3347">
        <v>-37.551399999999902</v>
      </c>
      <c r="AD3347">
        <v>-0.64075800000000005</v>
      </c>
      <c r="AE3347">
        <v>-15.457099999999899</v>
      </c>
      <c r="AF3347">
        <v>-10.985963167108499</v>
      </c>
      <c r="AG3347">
        <v>-0.64075800000000005</v>
      </c>
      <c r="AH3347">
        <v>39.0834665888068</v>
      </c>
      <c r="AI3347">
        <v>90.904220825036603</v>
      </c>
      <c r="AJ3347">
        <v>105.700130654917</v>
      </c>
      <c r="AK3347">
        <v>40.603193447338597</v>
      </c>
      <c r="AL3347">
        <v>91.386140665125296</v>
      </c>
      <c r="AM3347">
        <v>93.740064626236105</v>
      </c>
      <c r="AN3347">
        <v>1.00000005698651</v>
      </c>
    </row>
    <row r="3348" spans="1:40" x14ac:dyDescent="0.25">
      <c r="A3348" t="str">
        <f>"20190312153950933"</f>
        <v>20190312153950933</v>
      </c>
      <c r="B3348" t="str">
        <f>"1552376390928543"</f>
        <v>1552376390928543</v>
      </c>
      <c r="C3348" t="s">
        <v>40</v>
      </c>
      <c r="D3348">
        <v>4.3082940000000001</v>
      </c>
      <c r="E3348">
        <v>0.42209649999999999</v>
      </c>
      <c r="F3348" t="s">
        <v>67</v>
      </c>
      <c r="G3348">
        <v>-512.82529999999997</v>
      </c>
      <c r="H3348">
        <v>0.4495518</v>
      </c>
      <c r="I3348">
        <v>266.24299999999999</v>
      </c>
      <c r="J3348">
        <v>-475.36720000000003</v>
      </c>
      <c r="K3348">
        <v>1.1108579999999999</v>
      </c>
      <c r="L3348">
        <v>281.90499999999997</v>
      </c>
      <c r="M3348">
        <v>-0.99290719999999999</v>
      </c>
      <c r="N3348">
        <v>0</v>
      </c>
      <c r="O3348">
        <v>-0.11815299999999999</v>
      </c>
      <c r="P3348">
        <v>-0.9815258</v>
      </c>
      <c r="Q3348">
        <v>-3.2501889999999999E-2</v>
      </c>
      <c r="R3348">
        <v>-0.18854950000000001</v>
      </c>
      <c r="S3348">
        <v>-2.8330690000000001</v>
      </c>
      <c r="T3348">
        <v>-4.9883959999999998E-2</v>
      </c>
      <c r="U3348">
        <v>-1.182617</v>
      </c>
      <c r="V3348">
        <v>-7.1223709999999996E-2</v>
      </c>
      <c r="W3348">
        <v>-1.9379649999999998E-2</v>
      </c>
      <c r="X3348">
        <v>0.99727209999999999</v>
      </c>
      <c r="Y3348">
        <v>-0.2734549</v>
      </c>
      <c r="Z3348">
        <v>-3.2891949999999898E-4</v>
      </c>
      <c r="AA3348">
        <v>0.96188479999999998</v>
      </c>
      <c r="AB3348">
        <v>10</v>
      </c>
      <c r="AC3348">
        <v>-37.458099999999902</v>
      </c>
      <c r="AD3348">
        <v>-0.66130619999999896</v>
      </c>
      <c r="AE3348">
        <v>-15.6619999999999</v>
      </c>
      <c r="AF3348">
        <v>-11.123149153678</v>
      </c>
      <c r="AG3348">
        <v>-0.66130619999999896</v>
      </c>
      <c r="AH3348">
        <v>39.035992989572897</v>
      </c>
      <c r="AI3348">
        <v>90.933404128610803</v>
      </c>
      <c r="AJ3348">
        <v>105.904689118344</v>
      </c>
      <c r="AK3348">
        <v>40.595203185439502</v>
      </c>
      <c r="AL3348">
        <v>91.110441652908804</v>
      </c>
      <c r="AM3348">
        <v>94.085044517628305</v>
      </c>
      <c r="AN3348">
        <v>1.00000001456934</v>
      </c>
    </row>
    <row r="3349" spans="1:40" x14ac:dyDescent="0.25">
      <c r="A3349" t="str">
        <f>"20190312153950955"</f>
        <v>20190312153950955</v>
      </c>
      <c r="B3349" t="str">
        <f>"1552376390949040"</f>
        <v>1552376390949040</v>
      </c>
      <c r="C3349" t="s">
        <v>40</v>
      </c>
      <c r="D3349">
        <v>4.2844670000000002</v>
      </c>
      <c r="E3349">
        <v>0.4241045</v>
      </c>
      <c r="F3349" t="s">
        <v>67</v>
      </c>
      <c r="G3349">
        <v>-512.82529999999997</v>
      </c>
      <c r="H3349">
        <v>0.47996660000000002</v>
      </c>
      <c r="I3349">
        <v>266.34960000000001</v>
      </c>
      <c r="J3349">
        <v>-475.45909999999998</v>
      </c>
      <c r="K3349">
        <v>1.1108800000000001</v>
      </c>
      <c r="L3349">
        <v>281.89170000000001</v>
      </c>
      <c r="M3349">
        <v>-0.99267139999999998</v>
      </c>
      <c r="N3349">
        <v>0</v>
      </c>
      <c r="O3349">
        <v>-0.120116</v>
      </c>
      <c r="P3349">
        <v>-0.98023179999999999</v>
      </c>
      <c r="Q3349">
        <v>-3.0285079999999999E-2</v>
      </c>
      <c r="R3349">
        <v>-0.19552159999999999</v>
      </c>
      <c r="S3349">
        <v>-2.829132</v>
      </c>
      <c r="T3349">
        <v>-4.7643900000000003E-2</v>
      </c>
      <c r="U3349">
        <v>-1.174866</v>
      </c>
      <c r="V3349">
        <v>-7.6331659999999996E-2</v>
      </c>
      <c r="W3349">
        <v>-1.7178809999999999E-2</v>
      </c>
      <c r="X3349">
        <v>0.99693449999999995</v>
      </c>
      <c r="Y3349">
        <v>-0.26978340000000001</v>
      </c>
      <c r="Z3349">
        <v>-2.5377450000000002E-4</v>
      </c>
      <c r="AA3349">
        <v>0.96292100000000003</v>
      </c>
      <c r="AB3349">
        <v>9</v>
      </c>
      <c r="AC3349">
        <v>-37.3661999999999</v>
      </c>
      <c r="AD3349">
        <v>-0.63091339999999896</v>
      </c>
      <c r="AE3349">
        <v>-15.5421</v>
      </c>
      <c r="AF3349">
        <v>-10.938222099548501</v>
      </c>
      <c r="AG3349">
        <v>-0.63091339999999896</v>
      </c>
      <c r="AH3349">
        <v>38.953167507279701</v>
      </c>
      <c r="AI3349">
        <v>90.893374697132899</v>
      </c>
      <c r="AJ3349">
        <v>105.68497731694499</v>
      </c>
      <c r="AK3349">
        <v>40.464700830075898</v>
      </c>
      <c r="AL3349">
        <v>90.984321712899899</v>
      </c>
      <c r="AM3349">
        <v>94.378387463151</v>
      </c>
      <c r="AN3349">
        <v>1.00000001556081</v>
      </c>
    </row>
    <row r="3350" spans="1:40" x14ac:dyDescent="0.25">
      <c r="A3350" t="str">
        <f>"20190312153950978"</f>
        <v>20190312153950978</v>
      </c>
      <c r="B3350" t="str">
        <f>"1552376390968559"</f>
        <v>1552376390968559</v>
      </c>
      <c r="C3350" t="s">
        <v>40</v>
      </c>
      <c r="D3350">
        <v>4.3141499999999997</v>
      </c>
      <c r="E3350">
        <v>0.42579119999999998</v>
      </c>
      <c r="F3350" t="s">
        <v>67</v>
      </c>
      <c r="G3350">
        <v>-512.82529999999997</v>
      </c>
      <c r="H3350">
        <v>0.45936510000000003</v>
      </c>
      <c r="I3350">
        <v>266.28140000000002</v>
      </c>
      <c r="J3350">
        <v>-475.55099999999999</v>
      </c>
      <c r="K3350">
        <v>1.110884</v>
      </c>
      <c r="L3350">
        <v>281.87819999999999</v>
      </c>
      <c r="M3350">
        <v>-0.99242629999999998</v>
      </c>
      <c r="N3350">
        <v>0</v>
      </c>
      <c r="O3350">
        <v>-0.12212530000000001</v>
      </c>
      <c r="P3350">
        <v>-0.97891439999999996</v>
      </c>
      <c r="Q3350">
        <v>-3.0828729999999999E-2</v>
      </c>
      <c r="R3350">
        <v>-0.20193130000000001</v>
      </c>
      <c r="S3350">
        <v>-2.8236690000000002</v>
      </c>
      <c r="T3350">
        <v>-4.9227239999999998E-2</v>
      </c>
      <c r="U3350">
        <v>-1.1796260000000001</v>
      </c>
      <c r="V3350">
        <v>-8.0835190000000001E-2</v>
      </c>
      <c r="W3350">
        <v>-1.7738339999999998E-2</v>
      </c>
      <c r="X3350">
        <v>0.99656960000000006</v>
      </c>
      <c r="Y3350">
        <v>-0.2698759</v>
      </c>
      <c r="Z3350">
        <v>-2.3039870000000001E-4</v>
      </c>
      <c r="AA3350">
        <v>0.9628951</v>
      </c>
      <c r="AB3350">
        <v>9</v>
      </c>
      <c r="AC3350">
        <v>-37.274299999999897</v>
      </c>
      <c r="AD3350">
        <v>-0.65151890000000001</v>
      </c>
      <c r="AE3350">
        <v>-15.596799999999901</v>
      </c>
      <c r="AF3350">
        <v>-10.924657745383699</v>
      </c>
      <c r="AG3350">
        <v>-0.65151890000000001</v>
      </c>
      <c r="AH3350">
        <v>38.890060955123303</v>
      </c>
      <c r="AI3350">
        <v>90.924018211784201</v>
      </c>
      <c r="AJ3350">
        <v>105.69065291444601</v>
      </c>
      <c r="AK3350">
        <v>40.400612183778001</v>
      </c>
      <c r="AL3350">
        <v>91.016385351354799</v>
      </c>
      <c r="AM3350">
        <v>94.637305430760406</v>
      </c>
      <c r="AN3350">
        <v>0.99999997214622505</v>
      </c>
    </row>
    <row r="3351" spans="1:40" x14ac:dyDescent="0.25">
      <c r="A3351" t="str">
        <f>"20190312153951000"</f>
        <v>20190312153951000</v>
      </c>
      <c r="B3351" t="str">
        <f>"1552376390989056"</f>
        <v>1552376390989056</v>
      </c>
      <c r="C3351" t="s">
        <v>40</v>
      </c>
      <c r="D3351">
        <v>4.3411330000000001</v>
      </c>
      <c r="E3351">
        <v>0.4272746</v>
      </c>
      <c r="F3351" t="s">
        <v>67</v>
      </c>
      <c r="G3351">
        <v>-512.82529999999997</v>
      </c>
      <c r="H3351">
        <v>0.35308309999999998</v>
      </c>
      <c r="I3351">
        <v>266.20650000000001</v>
      </c>
      <c r="J3351">
        <v>-475.64339999999999</v>
      </c>
      <c r="K3351">
        <v>1.110892</v>
      </c>
      <c r="L3351">
        <v>281.86430000000001</v>
      </c>
      <c r="M3351">
        <v>-0.99216919999999997</v>
      </c>
      <c r="N3351">
        <v>0</v>
      </c>
      <c r="O3351">
        <v>-0.1241978</v>
      </c>
      <c r="P3351">
        <v>-0.97766839999999999</v>
      </c>
      <c r="Q3351">
        <v>-3.3465559999999998E-2</v>
      </c>
      <c r="R3351">
        <v>-0.20747289999999999</v>
      </c>
      <c r="S3351">
        <v>-2.81839</v>
      </c>
      <c r="T3351">
        <v>-5.7292940000000001E-2</v>
      </c>
      <c r="U3351">
        <v>-1.1849670000000001</v>
      </c>
      <c r="V3351">
        <v>-8.4402499999999894E-2</v>
      </c>
      <c r="W3351">
        <v>-2.0389899999999999E-2</v>
      </c>
      <c r="X3351">
        <v>0.99622310000000003</v>
      </c>
      <c r="Y3351">
        <v>-0.27005129999999999</v>
      </c>
      <c r="Z3351">
        <v>-2.3061150000000001E-4</v>
      </c>
      <c r="AA3351">
        <v>0.96284590000000003</v>
      </c>
      <c r="AB3351">
        <v>9</v>
      </c>
      <c r="AC3351">
        <v>-37.181899999999899</v>
      </c>
      <c r="AD3351">
        <v>-0.75780890000000001</v>
      </c>
      <c r="AE3351">
        <v>-15.6578</v>
      </c>
      <c r="AF3351">
        <v>-10.914382283664199</v>
      </c>
      <c r="AG3351">
        <v>-0.75780890000000001</v>
      </c>
      <c r="AH3351">
        <v>38.825104078703397</v>
      </c>
      <c r="AI3351">
        <v>91.076471494214502</v>
      </c>
      <c r="AJ3351">
        <v>105.70155600999099</v>
      </c>
      <c r="AK3351">
        <v>40.337163034663597</v>
      </c>
      <c r="AL3351">
        <v>91.168336182728098</v>
      </c>
      <c r="AM3351">
        <v>94.842676359571499</v>
      </c>
      <c r="AN3351">
        <v>0.99999999750093505</v>
      </c>
    </row>
    <row r="3352" spans="1:40" x14ac:dyDescent="0.25">
      <c r="A3352" t="str">
        <f>"20190312153951023"</f>
        <v>20190312153951023</v>
      </c>
      <c r="B3352" t="str">
        <f>"1552376391019311"</f>
        <v>1552376391019311</v>
      </c>
      <c r="C3352" t="s">
        <v>40</v>
      </c>
      <c r="D3352">
        <v>4.3561829999999997</v>
      </c>
      <c r="E3352">
        <v>0.42706660000000002</v>
      </c>
      <c r="F3352" t="s">
        <v>67</v>
      </c>
      <c r="G3352">
        <v>-512.82529999999997</v>
      </c>
      <c r="H3352">
        <v>0.25165520000000002</v>
      </c>
      <c r="I3352">
        <v>266.15030000000002</v>
      </c>
      <c r="J3352">
        <v>-475.7355</v>
      </c>
      <c r="K3352">
        <v>1.1108979999999999</v>
      </c>
      <c r="L3352">
        <v>281.85019999999997</v>
      </c>
      <c r="M3352">
        <v>-0.99190319999999998</v>
      </c>
      <c r="N3352">
        <v>0</v>
      </c>
      <c r="O3352">
        <v>-0.12630430000000001</v>
      </c>
      <c r="P3352">
        <v>-0.97668710000000003</v>
      </c>
      <c r="Q3352">
        <v>-3.4824130000000002E-2</v>
      </c>
      <c r="R3352">
        <v>-0.21182480000000001</v>
      </c>
      <c r="S3352">
        <v>-2.8139340000000002</v>
      </c>
      <c r="T3352">
        <v>-6.5021280000000001E-2</v>
      </c>
      <c r="U3352">
        <v>-1.1892400000000001</v>
      </c>
      <c r="V3352">
        <v>-8.6726010000000006E-2</v>
      </c>
      <c r="W3352">
        <v>-2.1758920000000001E-2</v>
      </c>
      <c r="X3352">
        <v>0.99599459999999995</v>
      </c>
      <c r="Y3352">
        <v>-0.26978560000000001</v>
      </c>
      <c r="Z3352">
        <v>-2.133418E-4</v>
      </c>
      <c r="AA3352">
        <v>0.96292040000000001</v>
      </c>
      <c r="AB3352">
        <v>9</v>
      </c>
      <c r="AC3352">
        <v>-37.089799999999897</v>
      </c>
      <c r="AD3352">
        <v>-0.85924279999999897</v>
      </c>
      <c r="AE3352">
        <v>-15.6998999999999</v>
      </c>
      <c r="AF3352">
        <v>-10.884180302907099</v>
      </c>
      <c r="AG3352">
        <v>-0.85924279999999897</v>
      </c>
      <c r="AH3352">
        <v>38.758214023315901</v>
      </c>
      <c r="AI3352">
        <v>91.222717237426707</v>
      </c>
      <c r="AJ3352">
        <v>105.685939230426</v>
      </c>
      <c r="AK3352">
        <v>40.266646661135098</v>
      </c>
      <c r="AL3352">
        <v>91.246792619413199</v>
      </c>
      <c r="AM3352">
        <v>94.976465470554601</v>
      </c>
      <c r="AN3352">
        <v>1.00000004731962</v>
      </c>
    </row>
    <row r="3353" spans="1:40" x14ac:dyDescent="0.25">
      <c r="A3353" t="str">
        <f>"20190312153951045"</f>
        <v>20190312153951045</v>
      </c>
      <c r="B3353" t="str">
        <f>"1552376391038831"</f>
        <v>1552376391038831</v>
      </c>
      <c r="C3353" t="s">
        <v>40</v>
      </c>
      <c r="D3353">
        <v>4.3653389999999996</v>
      </c>
      <c r="E3353">
        <v>0.39596799999999999</v>
      </c>
      <c r="F3353" t="s">
        <v>67</v>
      </c>
      <c r="G3353">
        <v>-512.8252</v>
      </c>
      <c r="H3353">
        <v>0.17624629999999999</v>
      </c>
      <c r="I3353">
        <v>265.9504</v>
      </c>
      <c r="J3353">
        <v>-475.82650000000001</v>
      </c>
      <c r="K3353">
        <v>1.1109</v>
      </c>
      <c r="L3353">
        <v>281.83600000000001</v>
      </c>
      <c r="M3353">
        <v>-0.99163069999999998</v>
      </c>
      <c r="N3353">
        <v>0</v>
      </c>
      <c r="O3353">
        <v>-0.12842619999999999</v>
      </c>
      <c r="P3353">
        <v>-0.97602029999999995</v>
      </c>
      <c r="Q3353">
        <v>-3.4564530000000003E-2</v>
      </c>
      <c r="R3353">
        <v>-0.2149182</v>
      </c>
      <c r="S3353">
        <v>-2.8079830000000001</v>
      </c>
      <c r="T3353">
        <v>-7.0754410000000004E-2</v>
      </c>
      <c r="U3353">
        <v>-1.203735</v>
      </c>
      <c r="V3353">
        <v>-8.7749450000000007E-2</v>
      </c>
      <c r="W3353">
        <v>-2.1504829999999999E-2</v>
      </c>
      <c r="X3353">
        <v>0.99591039999999997</v>
      </c>
      <c r="Y3353">
        <v>-0.27265660000000003</v>
      </c>
      <c r="Z3353">
        <v>-2.1703050000000001E-4</v>
      </c>
      <c r="AA3353">
        <v>0.96211139999999995</v>
      </c>
      <c r="AB3353">
        <v>9</v>
      </c>
      <c r="AC3353">
        <v>-36.9986999999999</v>
      </c>
      <c r="AD3353">
        <v>-0.93465370000000003</v>
      </c>
      <c r="AE3353">
        <v>-15.8856</v>
      </c>
      <c r="AF3353">
        <v>-10.9960853888683</v>
      </c>
      <c r="AG3353">
        <v>-0.93465370000000003</v>
      </c>
      <c r="AH3353">
        <v>38.711709484368001</v>
      </c>
      <c r="AI3353">
        <v>91.330464924450396</v>
      </c>
      <c r="AJ3353">
        <v>105.857230663503</v>
      </c>
      <c r="AK3353">
        <v>40.253992629555597</v>
      </c>
      <c r="AL3353">
        <v>91.232231018105793</v>
      </c>
      <c r="AM3353">
        <v>95.035315332122707</v>
      </c>
      <c r="AN3353">
        <v>0.99999997425839504</v>
      </c>
    </row>
    <row r="3354" spans="1:40" x14ac:dyDescent="0.25">
      <c r="A3354" t="str">
        <f>"20190312153951067"</f>
        <v>20190312153951067</v>
      </c>
      <c r="B3354" t="str">
        <f>"1552376391059328"</f>
        <v>1552376391059328</v>
      </c>
      <c r="C3354" t="s">
        <v>40</v>
      </c>
      <c r="D3354">
        <v>4.3944449999999904</v>
      </c>
      <c r="E3354">
        <v>0.3946462</v>
      </c>
      <c r="F3354" t="s">
        <v>54</v>
      </c>
      <c r="G3354">
        <v>-491.81119999999999</v>
      </c>
      <c r="H3354" s="1">
        <v>1.3223769999999901E-6</v>
      </c>
      <c r="I3354">
        <v>273.35719999999998</v>
      </c>
      <c r="J3354">
        <v>-475.91750000000002</v>
      </c>
      <c r="K3354">
        <v>1.110908</v>
      </c>
      <c r="L3354">
        <v>281.82170000000002</v>
      </c>
      <c r="M3354">
        <v>-0.99134869999999997</v>
      </c>
      <c r="N3354">
        <v>0</v>
      </c>
      <c r="O3354">
        <v>-0.1305858</v>
      </c>
      <c r="P3354">
        <v>-0.97566410000000003</v>
      </c>
      <c r="Q3354">
        <v>-3.4229379999999997E-2</v>
      </c>
      <c r="R3354">
        <v>-0.21658279999999999</v>
      </c>
      <c r="S3354">
        <v>-2.746216</v>
      </c>
      <c r="T3354">
        <v>-0.19085589999999999</v>
      </c>
      <c r="U3354">
        <v>-1.456696</v>
      </c>
      <c r="V3354">
        <v>-8.7278019999999998E-2</v>
      </c>
      <c r="W3354">
        <v>-2.117074E-2</v>
      </c>
      <c r="X3354">
        <v>0.99595900000000004</v>
      </c>
      <c r="Y3354">
        <v>-0.34880559999999899</v>
      </c>
      <c r="Z3354">
        <v>-2.9393079999999999E-3</v>
      </c>
      <c r="AA3354">
        <v>0.93719050000000004</v>
      </c>
      <c r="AB3354">
        <v>9</v>
      </c>
      <c r="AC3354">
        <v>-15.8936999999999</v>
      </c>
      <c r="AD3354">
        <v>-1.1109066776230001</v>
      </c>
      <c r="AE3354">
        <v>-8.4645000000000401</v>
      </c>
      <c r="AF3354">
        <v>-6.2923839584516399</v>
      </c>
      <c r="AG3354">
        <v>-1.1109066776230001</v>
      </c>
      <c r="AH3354">
        <v>16.799082016330999</v>
      </c>
      <c r="AI3354">
        <v>93.543649366979693</v>
      </c>
      <c r="AJ3354">
        <v>110.53429829882801</v>
      </c>
      <c r="AK3354">
        <v>17.973240278769499</v>
      </c>
      <c r="AL3354">
        <v>91.213084690653304</v>
      </c>
      <c r="AM3354">
        <v>95.008158134440507</v>
      </c>
      <c r="AN3354">
        <v>0.99999999134413398</v>
      </c>
    </row>
    <row r="3355" spans="1:40" x14ac:dyDescent="0.25">
      <c r="A3355" t="str">
        <f>"20190312153951090"</f>
        <v>20190312153951090</v>
      </c>
      <c r="B3355" t="str">
        <f>"1552376391078847"</f>
        <v>1552376391078847</v>
      </c>
      <c r="C3355" t="s">
        <v>40</v>
      </c>
      <c r="D3355">
        <v>4.3822850000000004</v>
      </c>
      <c r="E3355">
        <v>0.39508290000000001</v>
      </c>
      <c r="F3355" t="s">
        <v>54</v>
      </c>
      <c r="G3355">
        <v>-490.74829999999997</v>
      </c>
      <c r="H3355" s="1">
        <v>1.499092E-6</v>
      </c>
      <c r="I3355">
        <v>273.8571</v>
      </c>
      <c r="J3355">
        <v>-476.00740000000002</v>
      </c>
      <c r="K3355">
        <v>1.1109150000000001</v>
      </c>
      <c r="L3355">
        <v>281.80720000000002</v>
      </c>
      <c r="M3355">
        <v>-0.99105969999999999</v>
      </c>
      <c r="N3355">
        <v>0</v>
      </c>
      <c r="O3355">
        <v>-0.13276009999999999</v>
      </c>
      <c r="P3355">
        <v>-0.97562499999999996</v>
      </c>
      <c r="Q3355">
        <v>-3.521055E-2</v>
      </c>
      <c r="R3355">
        <v>-0.21660160000000001</v>
      </c>
      <c r="S3355">
        <v>-2.7409059999999998</v>
      </c>
      <c r="T3355">
        <v>-0.20530950000000001</v>
      </c>
      <c r="U3355">
        <v>-1.471954</v>
      </c>
      <c r="V3355">
        <v>-8.5115629999999998E-2</v>
      </c>
      <c r="W3355">
        <v>-2.214882E-2</v>
      </c>
      <c r="X3355">
        <v>0.99612489999999998</v>
      </c>
      <c r="Y3355">
        <v>-0.35149439999999998</v>
      </c>
      <c r="Z3355">
        <v>-3.1089949999999998E-3</v>
      </c>
      <c r="AA3355">
        <v>0.93618480000000004</v>
      </c>
      <c r="AB3355">
        <v>9</v>
      </c>
      <c r="AC3355">
        <v>-14.7408999999999</v>
      </c>
      <c r="AD3355">
        <v>-1.11091350090799</v>
      </c>
      <c r="AE3355">
        <v>-7.9501000000000097</v>
      </c>
      <c r="AF3355">
        <v>-5.8965961810634102</v>
      </c>
      <c r="AG3355">
        <v>-1.11091350090799</v>
      </c>
      <c r="AH3355">
        <v>15.597317503657401</v>
      </c>
      <c r="AI3355">
        <v>93.811563061429794</v>
      </c>
      <c r="AJ3355">
        <v>110.709196109619</v>
      </c>
      <c r="AK3355">
        <v>16.711681203246101</v>
      </c>
      <c r="AL3355">
        <v>91.269137652243998</v>
      </c>
      <c r="AM3355">
        <v>94.883874935262298</v>
      </c>
      <c r="AN3355">
        <v>1.00000002854884</v>
      </c>
    </row>
    <row r="3356" spans="1:40" x14ac:dyDescent="0.25">
      <c r="A3356" t="str">
        <f>"20190312153951113"</f>
        <v>20190312153951113</v>
      </c>
      <c r="B3356" t="str">
        <f>"1552376391109103"</f>
        <v>1552376391109103</v>
      </c>
      <c r="C3356" t="s">
        <v>40</v>
      </c>
      <c r="D3356">
        <v>4.3795469999999996</v>
      </c>
      <c r="E3356">
        <v>0.39560450000000003</v>
      </c>
      <c r="F3356" t="s">
        <v>54</v>
      </c>
      <c r="G3356">
        <v>-490.24509999999998</v>
      </c>
      <c r="H3356" s="1">
        <v>1.6126889999999999E-6</v>
      </c>
      <c r="I3356">
        <v>274.17840000000001</v>
      </c>
      <c r="J3356">
        <v>-476.09809999999999</v>
      </c>
      <c r="K3356">
        <v>1.110927</v>
      </c>
      <c r="L3356">
        <v>281.79239999999999</v>
      </c>
      <c r="M3356">
        <v>-0.99075780000000002</v>
      </c>
      <c r="N3356">
        <v>0</v>
      </c>
      <c r="O3356">
        <v>-0.134994899999999</v>
      </c>
      <c r="P3356">
        <v>-0.97560530000000001</v>
      </c>
      <c r="Q3356">
        <v>-3.5831889999999998E-2</v>
      </c>
      <c r="R3356">
        <v>-0.2165878</v>
      </c>
      <c r="S3356">
        <v>-2.7411500000000002</v>
      </c>
      <c r="T3356">
        <v>-0.21388099999999999</v>
      </c>
      <c r="U3356">
        <v>-1.46875</v>
      </c>
      <c r="V3356">
        <v>-8.2857609999999998E-2</v>
      </c>
      <c r="W3356">
        <v>-2.27669E-2</v>
      </c>
      <c r="X3356">
        <v>0.99630129999999995</v>
      </c>
      <c r="Y3356">
        <v>-0.34846899999999997</v>
      </c>
      <c r="Z3356">
        <v>-2.9690319999999999E-3</v>
      </c>
      <c r="AA3356">
        <v>0.93731560000000003</v>
      </c>
      <c r="AB3356">
        <v>9</v>
      </c>
      <c r="AC3356">
        <v>-14.146999999999901</v>
      </c>
      <c r="AD3356">
        <v>-1.1109253873109901</v>
      </c>
      <c r="AE3356">
        <v>-7.6139999999999697</v>
      </c>
      <c r="AF3356">
        <v>-5.60753864474641</v>
      </c>
      <c r="AG3356">
        <v>-1.1109253873109901</v>
      </c>
      <c r="AH3356">
        <v>14.973823695094699</v>
      </c>
      <c r="AI3356">
        <v>93.974466661095306</v>
      </c>
      <c r="AJ3356">
        <v>110.53039381893601</v>
      </c>
      <c r="AK3356">
        <v>16.027914428280301</v>
      </c>
      <c r="AL3356">
        <v>91.304560001129602</v>
      </c>
      <c r="AM3356">
        <v>94.754075413688597</v>
      </c>
      <c r="AN3356">
        <v>0.99999999782610505</v>
      </c>
    </row>
    <row r="3357" spans="1:40" x14ac:dyDescent="0.25">
      <c r="A3357" t="str">
        <f>"20190312153951134"</f>
        <v>20190312153951134</v>
      </c>
      <c r="B3357" t="str">
        <f>"1552376391128627"</f>
        <v>1552376391128627</v>
      </c>
      <c r="C3357" t="s">
        <v>40</v>
      </c>
      <c r="D3357">
        <v>4.4233919999999998</v>
      </c>
      <c r="E3357">
        <v>0.39599879999999998</v>
      </c>
      <c r="F3357" t="s">
        <v>54</v>
      </c>
      <c r="G3357">
        <v>-490.0899</v>
      </c>
      <c r="H3357" s="1">
        <v>1.6620529999999999E-6</v>
      </c>
      <c r="I3357">
        <v>274.31810000000002</v>
      </c>
      <c r="J3357">
        <v>-476.18740000000003</v>
      </c>
      <c r="K3357">
        <v>1.110935</v>
      </c>
      <c r="L3357">
        <v>281.77749999999997</v>
      </c>
      <c r="M3357">
        <v>-0.99045070000000002</v>
      </c>
      <c r="N3357">
        <v>0</v>
      </c>
      <c r="O3357">
        <v>-0.13723050000000001</v>
      </c>
      <c r="P3357">
        <v>-0.97575029999999996</v>
      </c>
      <c r="Q3357">
        <v>-3.4759449999999997E-2</v>
      </c>
      <c r="R3357">
        <v>-0.216109</v>
      </c>
      <c r="S3357">
        <v>-2.7418209999999998</v>
      </c>
      <c r="T3357">
        <v>-0.21769579999999999</v>
      </c>
      <c r="U3357">
        <v>-1.464661</v>
      </c>
      <c r="V3357">
        <v>-8.0116610000000005E-2</v>
      </c>
      <c r="W3357">
        <v>-2.1689569999999998E-2</v>
      </c>
      <c r="X3357">
        <v>0.99654949999999998</v>
      </c>
      <c r="Y3357">
        <v>-0.34516469999999999</v>
      </c>
      <c r="Z3357">
        <v>-2.7369360000000001E-3</v>
      </c>
      <c r="AA3357">
        <v>0.93853810000000004</v>
      </c>
      <c r="AB3357">
        <v>9</v>
      </c>
      <c r="AC3357">
        <v>-13.9024999999999</v>
      </c>
      <c r="AD3357">
        <v>-1.1109333379469899</v>
      </c>
      <c r="AE3357">
        <v>-7.4593999999999596</v>
      </c>
      <c r="AF3357">
        <v>-5.4537609508363296</v>
      </c>
      <c r="AG3357">
        <v>-1.1109333379469899</v>
      </c>
      <c r="AH3357">
        <v>14.721702926906</v>
      </c>
      <c r="AI3357">
        <v>94.047654889338006</v>
      </c>
      <c r="AJ3357">
        <v>110.327511920459</v>
      </c>
      <c r="AK3357">
        <v>15.738685410742001</v>
      </c>
      <c r="AL3357">
        <v>91.242818269083898</v>
      </c>
      <c r="AM3357">
        <v>94.596352077627799</v>
      </c>
      <c r="AN3357">
        <v>1.00000000729746</v>
      </c>
    </row>
    <row r="3358" spans="1:40" x14ac:dyDescent="0.25">
      <c r="A3358" t="str">
        <f>"20190312153951156"</f>
        <v>20190312153951156</v>
      </c>
      <c r="B3358" t="str">
        <f>"1552376391149119"</f>
        <v>1552376391149119</v>
      </c>
      <c r="C3358" t="s">
        <v>40</v>
      </c>
      <c r="D3358">
        <v>4.4258829999999998</v>
      </c>
      <c r="E3358">
        <v>0.39647450000000001</v>
      </c>
      <c r="F3358" t="s">
        <v>54</v>
      </c>
      <c r="G3358">
        <v>-490.17419999999998</v>
      </c>
      <c r="H3358" s="1">
        <v>1.667149E-6</v>
      </c>
      <c r="I3358">
        <v>274.33249999999998</v>
      </c>
      <c r="J3358">
        <v>-476.27730000000003</v>
      </c>
      <c r="K3358">
        <v>1.1109519999999999</v>
      </c>
      <c r="L3358">
        <v>281.76229999999998</v>
      </c>
      <c r="M3358">
        <v>-0.99013070000000003</v>
      </c>
      <c r="N3358">
        <v>0</v>
      </c>
      <c r="O3358">
        <v>-0.1395197</v>
      </c>
      <c r="P3358">
        <v>-0.9757401</v>
      </c>
      <c r="Q3358">
        <v>-3.2896250000000002E-2</v>
      </c>
      <c r="R3358">
        <v>-0.2164469</v>
      </c>
      <c r="S3358">
        <v>-2.743347</v>
      </c>
      <c r="T3358">
        <v>-0.21789800000000001</v>
      </c>
      <c r="U3358">
        <v>-1.4602660000000001</v>
      </c>
      <c r="V3358">
        <v>-7.8151719999999994E-2</v>
      </c>
      <c r="W3358">
        <v>-1.9823259999999999E-2</v>
      </c>
      <c r="X3358">
        <v>0.99674439999999997</v>
      </c>
      <c r="Y3358">
        <v>-0.34161849999999999</v>
      </c>
      <c r="Z3358">
        <v>-2.4407449999999998E-3</v>
      </c>
      <c r="AA3358">
        <v>0.93983550000000005</v>
      </c>
      <c r="AB3358">
        <v>9</v>
      </c>
      <c r="AC3358">
        <v>-13.896899999999899</v>
      </c>
      <c r="AD3358">
        <v>-1.110950332851</v>
      </c>
      <c r="AE3358">
        <v>-7.4298000000000002</v>
      </c>
      <c r="AF3358">
        <v>-5.3912618185936401</v>
      </c>
      <c r="AG3358">
        <v>-1.110950332851</v>
      </c>
      <c r="AH3358">
        <v>14.7244665004857</v>
      </c>
      <c r="AI3358">
        <v>94.052606626282099</v>
      </c>
      <c r="AJ3358">
        <v>110.109855942515</v>
      </c>
      <c r="AK3358">
        <v>15.719727362858899</v>
      </c>
      <c r="AL3358">
        <v>91.135863504790095</v>
      </c>
      <c r="AM3358">
        <v>94.483217062264004</v>
      </c>
      <c r="AN3358">
        <v>1.0000000259536701</v>
      </c>
    </row>
    <row r="3359" spans="1:40" x14ac:dyDescent="0.25">
      <c r="A3359" t="str">
        <f>"20190312153951179"</f>
        <v>20190312153951179</v>
      </c>
      <c r="B3359" t="str">
        <f>"1552376391168639"</f>
        <v>1552376391168639</v>
      </c>
      <c r="C3359" t="s">
        <v>40</v>
      </c>
      <c r="D3359">
        <v>4.4121169999999896</v>
      </c>
      <c r="E3359">
        <v>0.39666430000000003</v>
      </c>
      <c r="F3359" t="s">
        <v>54</v>
      </c>
      <c r="G3359">
        <v>-490.58199999999999</v>
      </c>
      <c r="H3359" s="1">
        <v>1.606929E-6</v>
      </c>
      <c r="I3359">
        <v>274.16210000000001</v>
      </c>
      <c r="J3359">
        <v>-476.36559999999997</v>
      </c>
      <c r="K3359">
        <v>1.1109690000000001</v>
      </c>
      <c r="L3359">
        <v>281.74709999999999</v>
      </c>
      <c r="M3359">
        <v>-0.98980520000000005</v>
      </c>
      <c r="N3359">
        <v>0</v>
      </c>
      <c r="O3359">
        <v>-0.14181050000000001</v>
      </c>
      <c r="P3359">
        <v>-0.97551359999999998</v>
      </c>
      <c r="Q3359">
        <v>-3.167557E-2</v>
      </c>
      <c r="R3359">
        <v>-0.2176467</v>
      </c>
      <c r="S3359">
        <v>-2.7440190000000002</v>
      </c>
      <c r="T3359">
        <v>-0.2131092</v>
      </c>
      <c r="U3359">
        <v>-1.457916</v>
      </c>
      <c r="V3359">
        <v>-7.7067460000000004E-2</v>
      </c>
      <c r="W3359">
        <v>-1.8601900000000001E-2</v>
      </c>
      <c r="X3359">
        <v>0.99685230000000002</v>
      </c>
      <c r="Y3359">
        <v>-0.33875290000000002</v>
      </c>
      <c r="Z3359">
        <v>-2.120228E-3</v>
      </c>
      <c r="AA3359">
        <v>0.94087299999999996</v>
      </c>
      <c r="AB3359">
        <v>9</v>
      </c>
      <c r="AC3359">
        <v>-14.2164</v>
      </c>
      <c r="AD3359">
        <v>-1.110967393071</v>
      </c>
      <c r="AE3359">
        <v>-7.5849999999999698</v>
      </c>
      <c r="AF3359">
        <v>-5.4661349661055203</v>
      </c>
      <c r="AG3359">
        <v>-1.110967393071</v>
      </c>
      <c r="AH3359">
        <v>15.076757486907701</v>
      </c>
      <c r="AI3359">
        <v>93.9628345403233</v>
      </c>
      <c r="AJ3359">
        <v>109.928302580907</v>
      </c>
      <c r="AK3359">
        <v>16.075493657588801</v>
      </c>
      <c r="AL3359">
        <v>91.065871873874897</v>
      </c>
      <c r="AM3359">
        <v>94.420789559415397</v>
      </c>
      <c r="AN3359">
        <v>0.99999996604487495</v>
      </c>
    </row>
    <row r="3360" spans="1:40" x14ac:dyDescent="0.25">
      <c r="A3360" t="str">
        <f>"20190312153951200"</f>
        <v>20190312153951200</v>
      </c>
      <c r="B3360" t="str">
        <f>"1552376391189135"</f>
        <v>1552376391189135</v>
      </c>
      <c r="C3360" t="s">
        <v>40</v>
      </c>
      <c r="D3360">
        <v>4.4073479999999998</v>
      </c>
      <c r="E3360">
        <v>0.39680840000000001</v>
      </c>
      <c r="F3360" t="s">
        <v>54</v>
      </c>
      <c r="G3360">
        <v>-490.9128</v>
      </c>
      <c r="H3360" s="1">
        <v>1.5511789999999999E-6</v>
      </c>
      <c r="I3360">
        <v>274.00439999999998</v>
      </c>
      <c r="J3360">
        <v>-476.45499999999998</v>
      </c>
      <c r="K3360">
        <v>1.1109869999999999</v>
      </c>
      <c r="L3360">
        <v>281.73140000000001</v>
      </c>
      <c r="M3360">
        <v>-0.98946369999999895</v>
      </c>
      <c r="N3360">
        <v>0</v>
      </c>
      <c r="O3360">
        <v>-0.14417530000000001</v>
      </c>
      <c r="P3360">
        <v>-0.97525620000000002</v>
      </c>
      <c r="Q3360">
        <v>-3.0766189999999999E-2</v>
      </c>
      <c r="R3360">
        <v>-0.21892800000000001</v>
      </c>
      <c r="S3360">
        <v>-2.7427980000000001</v>
      </c>
      <c r="T3360">
        <v>-0.20946580000000001</v>
      </c>
      <c r="U3360">
        <v>-1.4598390000000001</v>
      </c>
      <c r="V3360">
        <v>-7.599156E-2</v>
      </c>
      <c r="W3360">
        <v>-1.7691599999999998E-2</v>
      </c>
      <c r="X3360">
        <v>0.99695149999999999</v>
      </c>
      <c r="Y3360">
        <v>-0.33721610000000002</v>
      </c>
      <c r="Z3360">
        <v>-1.864837E-3</v>
      </c>
      <c r="AA3360">
        <v>0.94142539999999997</v>
      </c>
      <c r="AB3360">
        <v>9</v>
      </c>
      <c r="AC3360">
        <v>-14.457800000000001</v>
      </c>
      <c r="AD3360">
        <v>-1.110985448821</v>
      </c>
      <c r="AE3360">
        <v>-7.7270000000000296</v>
      </c>
      <c r="AF3360">
        <v>-5.5361876868262501</v>
      </c>
      <c r="AG3360">
        <v>-1.110985448821</v>
      </c>
      <c r="AH3360">
        <v>15.3503570637744</v>
      </c>
      <c r="AI3360">
        <v>93.894841048689898</v>
      </c>
      <c r="AJ3360">
        <v>109.83210783942501</v>
      </c>
      <c r="AK3360">
        <v>16.355950744503598</v>
      </c>
      <c r="AL3360">
        <v>91.013706896352701</v>
      </c>
      <c r="AM3360">
        <v>94.358880623443298</v>
      </c>
      <c r="AN3360">
        <v>1.0000000016270201</v>
      </c>
    </row>
    <row r="3361" spans="1:40" x14ac:dyDescent="0.25">
      <c r="A3361" t="str">
        <f>"20190312153951212"</f>
        <v>20190312153951212</v>
      </c>
      <c r="B3361" t="str">
        <f>"1552376391208655"</f>
        <v>1552376391208655</v>
      </c>
      <c r="C3361" t="s">
        <v>40</v>
      </c>
      <c r="D3361">
        <v>4.3784640000000001</v>
      </c>
      <c r="E3361">
        <v>0.39714240000000001</v>
      </c>
      <c r="F3361" t="s">
        <v>54</v>
      </c>
      <c r="G3361">
        <v>-491.20319999999998</v>
      </c>
      <c r="H3361" s="1">
        <v>1.5009760000000001E-6</v>
      </c>
      <c r="I3361">
        <v>273.86239999999998</v>
      </c>
      <c r="J3361">
        <v>-476.50130000000001</v>
      </c>
      <c r="K3361">
        <v>1.1109910000000001</v>
      </c>
      <c r="L3361">
        <v>281.72320000000002</v>
      </c>
      <c r="M3361">
        <v>-0.98928300000000002</v>
      </c>
      <c r="N3361">
        <v>0</v>
      </c>
      <c r="O3361">
        <v>-0.14540989999999901</v>
      </c>
      <c r="P3361">
        <v>-0.975109</v>
      </c>
      <c r="Q3361">
        <v>-3.0639699999999999E-2</v>
      </c>
      <c r="R3361">
        <v>-0.21959980000000001</v>
      </c>
      <c r="S3361">
        <v>-2.7412109999999998</v>
      </c>
      <c r="T3361">
        <v>-0.2064957</v>
      </c>
      <c r="U3361">
        <v>-1.462585</v>
      </c>
      <c r="V3361">
        <v>-7.5434089999999995E-2</v>
      </c>
      <c r="W3361">
        <v>-1.7564529999999998E-2</v>
      </c>
      <c r="X3361">
        <v>0.99699610000000005</v>
      </c>
      <c r="Y3361">
        <v>-0.33701710000000001</v>
      </c>
      <c r="Z3361">
        <v>-1.7473020000000001E-3</v>
      </c>
      <c r="AA3361">
        <v>0.94149689999999997</v>
      </c>
      <c r="AB3361">
        <v>9</v>
      </c>
      <c r="AC3361">
        <v>-14.701899999999901</v>
      </c>
      <c r="AD3361">
        <v>-1.1109894990239999</v>
      </c>
      <c r="AE3361">
        <v>-7.8608000000000402</v>
      </c>
      <c r="AF3361">
        <v>-5.6143150898955199</v>
      </c>
      <c r="AG3361">
        <v>-1.1109894990239999</v>
      </c>
      <c r="AH3361">
        <v>15.619387259682799</v>
      </c>
      <c r="AI3361">
        <v>93.829443173325899</v>
      </c>
      <c r="AJ3361">
        <v>109.770734975935</v>
      </c>
      <c r="AK3361">
        <v>16.6349057696012</v>
      </c>
      <c r="AL3361">
        <v>91.0064251726604</v>
      </c>
      <c r="AM3361">
        <v>94.326833168346795</v>
      </c>
      <c r="AN3361">
        <v>1.00000001903172</v>
      </c>
    </row>
    <row r="3362" spans="1:40" x14ac:dyDescent="0.25">
      <c r="A3362" t="str">
        <f>"20190312153951224"</f>
        <v>20190312153951224</v>
      </c>
      <c r="B3362" t="str">
        <f>"1552376391219391"</f>
        <v>1552376391219391</v>
      </c>
      <c r="C3362" t="s">
        <v>40</v>
      </c>
      <c r="D3362">
        <v>4.4158119999999998</v>
      </c>
      <c r="E3362">
        <v>0.39718320000000001</v>
      </c>
      <c r="F3362" t="s">
        <v>54</v>
      </c>
      <c r="G3362">
        <v>-491.20710000000003</v>
      </c>
      <c r="H3362" s="1">
        <v>1.5066380000000001E-6</v>
      </c>
      <c r="I3362">
        <v>273.8784</v>
      </c>
      <c r="J3362">
        <v>-476.54899999999998</v>
      </c>
      <c r="K3362">
        <v>1.1109910000000001</v>
      </c>
      <c r="L3362">
        <v>281.71469999999999</v>
      </c>
      <c r="M3362">
        <v>-0.98909380000000002</v>
      </c>
      <c r="N3362">
        <v>0</v>
      </c>
      <c r="O3362">
        <v>-0.14669170000000001</v>
      </c>
      <c r="P3362">
        <v>-0.97490739999999998</v>
      </c>
      <c r="Q3362">
        <v>-3.0398040000000001E-2</v>
      </c>
      <c r="R3362">
        <v>-0.22052640000000001</v>
      </c>
      <c r="S3362">
        <v>-2.7407840000000001</v>
      </c>
      <c r="T3362">
        <v>-0.20705989999999999</v>
      </c>
      <c r="U3362">
        <v>-1.462067</v>
      </c>
      <c r="V3362">
        <v>-7.5089249999999996E-2</v>
      </c>
      <c r="W3362">
        <v>-1.732268E-2</v>
      </c>
      <c r="X3362">
        <v>0.99702630000000003</v>
      </c>
      <c r="Y3362">
        <v>-0.33572249999999998</v>
      </c>
      <c r="Z3362">
        <v>-1.6182359999999999E-3</v>
      </c>
      <c r="AA3362">
        <v>0.94195960000000001</v>
      </c>
      <c r="AB3362">
        <v>9</v>
      </c>
      <c r="AC3362">
        <v>-14.6580999999999</v>
      </c>
      <c r="AD3362">
        <v>-1.1109894933619999</v>
      </c>
      <c r="AE3362">
        <v>-7.8362999999999898</v>
      </c>
      <c r="AF3362">
        <v>-5.5761911551910002</v>
      </c>
      <c r="AG3362">
        <v>-1.1109894933619999</v>
      </c>
      <c r="AH3362">
        <v>15.579519756284601</v>
      </c>
      <c r="AI3362">
        <v>93.841071557256797</v>
      </c>
      <c r="AJ3362">
        <v>109.693204735035</v>
      </c>
      <c r="AK3362">
        <v>16.584620625448501</v>
      </c>
      <c r="AL3362">
        <v>90.992566141712302</v>
      </c>
      <c r="AM3362">
        <v>94.306998079790802</v>
      </c>
      <c r="AN3362">
        <v>0.99999995679981601</v>
      </c>
    </row>
    <row r="3363" spans="1:40" x14ac:dyDescent="0.25">
      <c r="A3363" t="str">
        <f>"20190312153951237"</f>
        <v>20190312153951237</v>
      </c>
      <c r="B3363" t="str">
        <f>"1552376391229152"</f>
        <v>1552376391229152</v>
      </c>
      <c r="C3363" t="s">
        <v>40</v>
      </c>
      <c r="D3363">
        <v>4.3872239999999998</v>
      </c>
      <c r="E3363">
        <v>0.3971595</v>
      </c>
      <c r="F3363" t="s">
        <v>54</v>
      </c>
      <c r="G3363">
        <v>-491.2509</v>
      </c>
      <c r="H3363" s="1">
        <v>1.498602E-6</v>
      </c>
      <c r="I3363">
        <v>273.85570000000001</v>
      </c>
      <c r="J3363">
        <v>-476.59930000000003</v>
      </c>
      <c r="K3363">
        <v>1.110992</v>
      </c>
      <c r="L3363">
        <v>281.7056</v>
      </c>
      <c r="M3363">
        <v>-0.98889119999999997</v>
      </c>
      <c r="N3363">
        <v>0</v>
      </c>
      <c r="O3363">
        <v>-0.1480515</v>
      </c>
      <c r="P3363">
        <v>-0.97466120000000001</v>
      </c>
      <c r="Q3363">
        <v>-3.042098E-2</v>
      </c>
      <c r="R3363">
        <v>-0.2216079</v>
      </c>
      <c r="S3363">
        <v>-2.7395019999999999</v>
      </c>
      <c r="T3363">
        <v>-0.20701839999999999</v>
      </c>
      <c r="U3363">
        <v>-1.4644170000000001</v>
      </c>
      <c r="V3363">
        <v>-7.4824890000000005E-2</v>
      </c>
      <c r="W3363">
        <v>-1.7345650000000001E-2</v>
      </c>
      <c r="X3363">
        <v>0.99704579999999998</v>
      </c>
      <c r="Y3363">
        <v>-0.33524330000000002</v>
      </c>
      <c r="Z3363">
        <v>-1.507818E-3</v>
      </c>
      <c r="AA3363">
        <v>0.94213040000000003</v>
      </c>
      <c r="AB3363">
        <v>9</v>
      </c>
      <c r="AC3363">
        <v>-14.651599999999901</v>
      </c>
      <c r="AD3363">
        <v>-1.1109905013979999</v>
      </c>
      <c r="AE3363">
        <v>-7.8498999999999901</v>
      </c>
      <c r="AF3363">
        <v>-5.5691155458410604</v>
      </c>
      <c r="AG3363">
        <v>-1.1109905013979999</v>
      </c>
      <c r="AH3363">
        <v>15.582782459252</v>
      </c>
      <c r="AI3363">
        <v>93.8409155072777</v>
      </c>
      <c r="AJ3363">
        <v>109.666332321862</v>
      </c>
      <c r="AK3363">
        <v>16.585308469531</v>
      </c>
      <c r="AL3363">
        <v>90.993882399024201</v>
      </c>
      <c r="AM3363">
        <v>94.291807949158098</v>
      </c>
      <c r="AN3363">
        <v>0.999999981517537</v>
      </c>
    </row>
    <row r="3364" spans="1:40" x14ac:dyDescent="0.25">
      <c r="A3364" t="str">
        <f>"20190312153951250"</f>
        <v>20190312153951250</v>
      </c>
      <c r="B3364" t="str">
        <f>"1552376391238911"</f>
        <v>1552376391238911</v>
      </c>
      <c r="C3364" t="s">
        <v>40</v>
      </c>
      <c r="D3364">
        <v>4.3687259999999997</v>
      </c>
      <c r="E3364">
        <v>0.39713739999999997</v>
      </c>
      <c r="F3364" t="s">
        <v>54</v>
      </c>
      <c r="G3364">
        <v>-491.20659999999998</v>
      </c>
      <c r="H3364" s="1">
        <v>1.505499E-6</v>
      </c>
      <c r="I3364">
        <v>273.87520000000001</v>
      </c>
      <c r="J3364">
        <v>-476.65120000000002</v>
      </c>
      <c r="K3364">
        <v>1.1109929999999999</v>
      </c>
      <c r="L3364">
        <v>281.6961</v>
      </c>
      <c r="M3364">
        <v>-0.98867709999999998</v>
      </c>
      <c r="N3364">
        <v>0</v>
      </c>
      <c r="O3364">
        <v>-0.14947530000000001</v>
      </c>
      <c r="P3364">
        <v>-0.9743619</v>
      </c>
      <c r="Q3364">
        <v>-3.0557979999999998E-2</v>
      </c>
      <c r="R3364">
        <v>-0.22290260000000001</v>
      </c>
      <c r="S3364">
        <v>-2.7377929999999999</v>
      </c>
      <c r="T3364">
        <v>-0.20822930000000001</v>
      </c>
      <c r="U3364">
        <v>-1.4676209999999901</v>
      </c>
      <c r="V3364">
        <v>-7.4714420000000004E-2</v>
      </c>
      <c r="W3364">
        <v>-1.7483309999999998E-2</v>
      </c>
      <c r="X3364">
        <v>0.99705169999999999</v>
      </c>
      <c r="Y3364">
        <v>-0.33498699999999998</v>
      </c>
      <c r="Z3364">
        <v>-1.4095189999999999E-3</v>
      </c>
      <c r="AA3364">
        <v>0.94222169999999905</v>
      </c>
      <c r="AB3364">
        <v>9</v>
      </c>
      <c r="AC3364">
        <v>-14.555399999999899</v>
      </c>
      <c r="AD3364">
        <v>-1.110991494501</v>
      </c>
      <c r="AE3364">
        <v>-7.8208999999999902</v>
      </c>
      <c r="AF3364">
        <v>-5.5321476182657499</v>
      </c>
      <c r="AG3364">
        <v>-1.110991494501</v>
      </c>
      <c r="AH3364">
        <v>15.4909497556737</v>
      </c>
      <c r="AI3364">
        <v>93.863946504396907</v>
      </c>
      <c r="AJ3364">
        <v>109.652727008854</v>
      </c>
      <c r="AK3364">
        <v>16.486615289499099</v>
      </c>
      <c r="AL3364">
        <v>91.001770912330599</v>
      </c>
      <c r="AM3364">
        <v>94.285469966479994</v>
      </c>
      <c r="AN3364">
        <v>1.0000000015786901</v>
      </c>
    </row>
    <row r="3365" spans="1:40" x14ac:dyDescent="0.25">
      <c r="A3365" t="str">
        <f>"20190312153951264"</f>
        <v>20190312153951264</v>
      </c>
      <c r="B3365" t="str">
        <f>"1552376391259408"</f>
        <v>1552376391259408</v>
      </c>
      <c r="C3365" t="s">
        <v>40</v>
      </c>
      <c r="D3365">
        <v>4.3487929999999997</v>
      </c>
      <c r="E3365">
        <v>0.3970707</v>
      </c>
      <c r="F3365" t="s">
        <v>54</v>
      </c>
      <c r="G3365">
        <v>-491.08969999999999</v>
      </c>
      <c r="H3365" s="1">
        <v>1.524807E-6</v>
      </c>
      <c r="I3365">
        <v>273.9298</v>
      </c>
      <c r="J3365">
        <v>-476.70229999999998</v>
      </c>
      <c r="K3365">
        <v>1.1109929999999999</v>
      </c>
      <c r="L3365">
        <v>281.68669999999997</v>
      </c>
      <c r="M3365">
        <v>-0.98846350000000005</v>
      </c>
      <c r="N3365">
        <v>0</v>
      </c>
      <c r="O3365">
        <v>-0.15088019999999999</v>
      </c>
      <c r="P3365">
        <v>-0.97407589999999999</v>
      </c>
      <c r="Q3365">
        <v>-3.0383589999999999E-2</v>
      </c>
      <c r="R3365">
        <v>-0.2241716</v>
      </c>
      <c r="S3365">
        <v>-2.735687</v>
      </c>
      <c r="T3365">
        <v>-0.21050199999999999</v>
      </c>
      <c r="U3365">
        <v>-1.4714969999999901</v>
      </c>
      <c r="V3365">
        <v>-7.4595789999999995E-2</v>
      </c>
      <c r="W3365">
        <v>-1.730949E-2</v>
      </c>
      <c r="X3365">
        <v>0.99706360000000005</v>
      </c>
      <c r="Y3365">
        <v>-0.3349801</v>
      </c>
      <c r="Z3365">
        <v>-1.3270199999999999E-3</v>
      </c>
      <c r="AA3365">
        <v>0.94222430000000001</v>
      </c>
      <c r="AB3365">
        <v>9</v>
      </c>
      <c r="AC3365">
        <v>-14.3874</v>
      </c>
      <c r="AD3365">
        <v>-1.1109914751929999</v>
      </c>
      <c r="AE3365">
        <v>-7.7568999999999697</v>
      </c>
      <c r="AF3365">
        <v>-5.4718402284516099</v>
      </c>
      <c r="AG3365">
        <v>-1.1109914751929999</v>
      </c>
      <c r="AH3365">
        <v>15.322341182166801</v>
      </c>
      <c r="AI3365">
        <v>93.906342305309906</v>
      </c>
      <c r="AJ3365">
        <v>109.65241632017</v>
      </c>
      <c r="AK3365">
        <v>16.307957470093399</v>
      </c>
      <c r="AL3365">
        <v>90.991810267672307</v>
      </c>
      <c r="AM3365">
        <v>94.278639998841996</v>
      </c>
      <c r="AN3365">
        <v>0.99999998638737198</v>
      </c>
    </row>
    <row r="3366" spans="1:40" x14ac:dyDescent="0.25">
      <c r="A3366" t="str">
        <f>"20190312153951278"</f>
        <v>20190312153951278</v>
      </c>
      <c r="B3366" t="str">
        <f>"1552376391269168"</f>
        <v>1552376391269168</v>
      </c>
      <c r="C3366" t="s">
        <v>40</v>
      </c>
      <c r="D3366">
        <v>4.3492329999999999</v>
      </c>
      <c r="E3366">
        <v>0.39697139999999997</v>
      </c>
      <c r="F3366" t="s">
        <v>54</v>
      </c>
      <c r="G3366">
        <v>-490.99430000000001</v>
      </c>
      <c r="H3366" s="1">
        <v>1.5399329999999999E-6</v>
      </c>
      <c r="I3366">
        <v>273.9726</v>
      </c>
      <c r="J3366">
        <v>-476.75959999999998</v>
      </c>
      <c r="K3366">
        <v>1.111002</v>
      </c>
      <c r="L3366">
        <v>281.67610000000002</v>
      </c>
      <c r="M3366">
        <v>-0.98821890000000001</v>
      </c>
      <c r="N3366">
        <v>0</v>
      </c>
      <c r="O3366">
        <v>-0.1524742</v>
      </c>
      <c r="P3366">
        <v>-0.9737114</v>
      </c>
      <c r="Q3366">
        <v>-3.0305229999999999E-2</v>
      </c>
      <c r="R3366">
        <v>-0.2257612</v>
      </c>
      <c r="S3366">
        <v>-2.733673</v>
      </c>
      <c r="T3366">
        <v>-0.2125021</v>
      </c>
      <c r="U3366">
        <v>-1.4754940000000001</v>
      </c>
      <c r="V3366">
        <v>-7.4614420000000001E-2</v>
      </c>
      <c r="W3366">
        <v>-1.7232270000000001E-2</v>
      </c>
      <c r="X3366">
        <v>0.99706360000000005</v>
      </c>
      <c r="Y3366">
        <v>-0.3348139</v>
      </c>
      <c r="Z3366">
        <v>-1.221604E-3</v>
      </c>
      <c r="AA3366">
        <v>0.94228350000000005</v>
      </c>
      <c r="AB3366">
        <v>9</v>
      </c>
      <c r="AC3366">
        <v>-14.2347</v>
      </c>
      <c r="AD3366">
        <v>-1.111000460067</v>
      </c>
      <c r="AE3366">
        <v>-7.7035000000000098</v>
      </c>
      <c r="AF3366">
        <v>-5.4172716733455202</v>
      </c>
      <c r="AG3366">
        <v>-1.111000460067</v>
      </c>
      <c r="AH3366">
        <v>15.1714355993058</v>
      </c>
      <c r="AI3366">
        <v>93.9451628514731</v>
      </c>
      <c r="AJ3366">
        <v>109.650145779265</v>
      </c>
      <c r="AK3366">
        <v>16.1478671207372</v>
      </c>
      <c r="AL3366">
        <v>90.987385171978104</v>
      </c>
      <c r="AM3366">
        <v>94.2797046023653</v>
      </c>
      <c r="AN3366">
        <v>1.0000000426231199</v>
      </c>
    </row>
    <row r="3367" spans="1:40" x14ac:dyDescent="0.25">
      <c r="A3367" t="str">
        <f>"20190312153951291"</f>
        <v>20190312153951291</v>
      </c>
      <c r="B3367" t="str">
        <f>"1552376391278927"</f>
        <v>1552376391278927</v>
      </c>
      <c r="C3367" t="s">
        <v>40</v>
      </c>
      <c r="D3367">
        <v>4.3226870000000002</v>
      </c>
      <c r="E3367">
        <v>0.39689859999999999</v>
      </c>
      <c r="F3367" t="s">
        <v>54</v>
      </c>
      <c r="G3367">
        <v>-490.9624</v>
      </c>
      <c r="H3367" s="1">
        <v>1.541163E-6</v>
      </c>
      <c r="I3367">
        <v>273.97609999999997</v>
      </c>
      <c r="J3367">
        <v>-476.81110000000001</v>
      </c>
      <c r="K3367">
        <v>1.1110070000000001</v>
      </c>
      <c r="L3367">
        <v>281.66640000000001</v>
      </c>
      <c r="M3367">
        <v>-0.98799429999999999</v>
      </c>
      <c r="N3367">
        <v>0</v>
      </c>
      <c r="O3367">
        <v>-0.1539227</v>
      </c>
      <c r="P3367">
        <v>-0.97325220000000001</v>
      </c>
      <c r="Q3367">
        <v>-2.9924059999999999E-2</v>
      </c>
      <c r="R3367">
        <v>-0.22778139999999999</v>
      </c>
      <c r="S3367">
        <v>-2.7310490000000001</v>
      </c>
      <c r="T3367">
        <v>-0.2136335</v>
      </c>
      <c r="U3367">
        <v>-1.480621</v>
      </c>
      <c r="V3367">
        <v>-7.5220599999999999E-2</v>
      </c>
      <c r="W3367">
        <v>-1.6853750000000001E-2</v>
      </c>
      <c r="X3367">
        <v>0.99702449999999998</v>
      </c>
      <c r="Y3367">
        <v>-0.33517720000000001</v>
      </c>
      <c r="Z3367">
        <v>-1.139347E-3</v>
      </c>
      <c r="AA3367">
        <v>0.94215439999999995</v>
      </c>
      <c r="AB3367">
        <v>9</v>
      </c>
      <c r="AC3367">
        <v>-14.1512999999999</v>
      </c>
      <c r="AD3367">
        <v>-1.111005458837</v>
      </c>
      <c r="AE3367">
        <v>-7.6903000000000299</v>
      </c>
      <c r="AF3367">
        <v>-5.3945711170304698</v>
      </c>
      <c r="AG3367">
        <v>-1.111005458837</v>
      </c>
      <c r="AH3367">
        <v>15.0946166318691</v>
      </c>
      <c r="AI3367">
        <v>93.964802037931307</v>
      </c>
      <c r="AJ3367">
        <v>109.666065354219</v>
      </c>
      <c r="AK3367">
        <v>16.0680795968082</v>
      </c>
      <c r="AL3367">
        <v>90.965694445182294</v>
      </c>
      <c r="AM3367">
        <v>94.314511439650403</v>
      </c>
      <c r="AN3367">
        <v>1.00000002057683</v>
      </c>
    </row>
    <row r="3368" spans="1:40" x14ac:dyDescent="0.25">
      <c r="A3368" t="str">
        <f>"20190312153951314"</f>
        <v>20190312153951314</v>
      </c>
      <c r="B3368" t="str">
        <f>"1552376391309183"</f>
        <v>1552376391309183</v>
      </c>
      <c r="C3368" t="s">
        <v>40</v>
      </c>
      <c r="D3368">
        <v>4.2988210000000002</v>
      </c>
      <c r="E3368">
        <v>0.39663179999999998</v>
      </c>
      <c r="F3368" t="s">
        <v>54</v>
      </c>
      <c r="G3368">
        <v>-490.97449999999998</v>
      </c>
      <c r="H3368" s="1">
        <v>1.530506E-6</v>
      </c>
      <c r="I3368">
        <v>273.94589999999999</v>
      </c>
      <c r="J3368">
        <v>-476.89710000000002</v>
      </c>
      <c r="K3368">
        <v>1.111003</v>
      </c>
      <c r="L3368">
        <v>281.64999999999998</v>
      </c>
      <c r="M3368">
        <v>-0.98761060000000001</v>
      </c>
      <c r="N3368">
        <v>0</v>
      </c>
      <c r="O3368">
        <v>-0.156366</v>
      </c>
      <c r="P3368">
        <v>-0.97241679999999997</v>
      </c>
      <c r="Q3368">
        <v>-3.0667980000000001E-2</v>
      </c>
      <c r="R3368">
        <v>-0.23122599999999999</v>
      </c>
      <c r="S3368">
        <v>-2.7278440000000002</v>
      </c>
      <c r="T3368">
        <v>-0.213977</v>
      </c>
      <c r="U3368">
        <v>-1.4869380000000001</v>
      </c>
      <c r="V3368">
        <v>-7.6286409999999999E-2</v>
      </c>
      <c r="W3368">
        <v>-1.7602860000000001E-2</v>
      </c>
      <c r="X3368">
        <v>0.99693050000000005</v>
      </c>
      <c r="Y3368">
        <v>-0.33499899999999999</v>
      </c>
      <c r="Z3368">
        <v>-9.618262E-4</v>
      </c>
      <c r="AA3368">
        <v>0.942218</v>
      </c>
      <c r="AB3368">
        <v>9</v>
      </c>
      <c r="AC3368">
        <v>-14.0773999999999</v>
      </c>
      <c r="AD3368">
        <v>-1.111001469494</v>
      </c>
      <c r="AE3368">
        <v>-7.70409999999998</v>
      </c>
      <c r="AF3368">
        <v>-5.3821008247549802</v>
      </c>
      <c r="AG3368">
        <v>-1.111001469494</v>
      </c>
      <c r="AH3368">
        <v>15.036898794600599</v>
      </c>
      <c r="AI3368">
        <v>93.979275174541002</v>
      </c>
      <c r="AJ3368">
        <v>109.69362187355399</v>
      </c>
      <c r="AK3368">
        <v>16.009673916482701</v>
      </c>
      <c r="AL3368">
        <v>91.008621729644005</v>
      </c>
      <c r="AM3368">
        <v>94.375819493909603</v>
      </c>
      <c r="AN3368">
        <v>0.99999994943055703</v>
      </c>
    </row>
    <row r="3369" spans="1:40" x14ac:dyDescent="0.25">
      <c r="A3369" t="str">
        <f>"20190312153951336"</f>
        <v>20190312153951336</v>
      </c>
      <c r="B3369" t="str">
        <f>"1552376391328704"</f>
        <v>1552376391328704</v>
      </c>
      <c r="C3369" t="s">
        <v>40</v>
      </c>
      <c r="D3369">
        <v>4.2955019999999999</v>
      </c>
      <c r="E3369">
        <v>0.39652850000000001</v>
      </c>
      <c r="F3369" t="s">
        <v>54</v>
      </c>
      <c r="G3369">
        <v>-490.6438</v>
      </c>
      <c r="H3369" s="1">
        <v>1.57777E-6</v>
      </c>
      <c r="I3369">
        <v>274.0797</v>
      </c>
      <c r="J3369">
        <v>-476.98379999999997</v>
      </c>
      <c r="K3369">
        <v>1.111002</v>
      </c>
      <c r="L3369">
        <v>281.63319999999999</v>
      </c>
      <c r="M3369">
        <v>-0.98721210000000004</v>
      </c>
      <c r="N3369">
        <v>0</v>
      </c>
      <c r="O3369">
        <v>-0.1588627</v>
      </c>
      <c r="P3369">
        <v>-0.97136800000000001</v>
      </c>
      <c r="Q3369">
        <v>-3.2313000000000001E-2</v>
      </c>
      <c r="R3369">
        <v>-0.2353731</v>
      </c>
      <c r="S3369">
        <v>-2.7217410000000002</v>
      </c>
      <c r="T3369">
        <v>-0.21996969999999999</v>
      </c>
      <c r="U3369">
        <v>-1.4988709999999901</v>
      </c>
      <c r="V3369">
        <v>-7.8024250000000003E-2</v>
      </c>
      <c r="W3369">
        <v>-1.9255390000000001E-2</v>
      </c>
      <c r="X3369">
        <v>0.99676549999999997</v>
      </c>
      <c r="Y3369">
        <v>-0.33665729999999999</v>
      </c>
      <c r="Z3369">
        <v>-8.7044759999999998E-4</v>
      </c>
      <c r="AA3369">
        <v>0.94162679999999999</v>
      </c>
      <c r="AB3369">
        <v>9</v>
      </c>
      <c r="AC3369">
        <v>-13.66</v>
      </c>
      <c r="AD3369">
        <v>-1.1110004222299901</v>
      </c>
      <c r="AE3369">
        <v>-7.5534999999999801</v>
      </c>
      <c r="AF3369">
        <v>-5.2606543662321599</v>
      </c>
      <c r="AG3369">
        <v>-1.1110004222299901</v>
      </c>
      <c r="AH3369">
        <v>14.6125448541738</v>
      </c>
      <c r="AI3369">
        <v>94.091741285129501</v>
      </c>
      <c r="AJ3369">
        <v>109.79935612959601</v>
      </c>
      <c r="AK3369">
        <v>15.570333118285999</v>
      </c>
      <c r="AL3369">
        <v>91.103320758137698</v>
      </c>
      <c r="AM3369">
        <v>94.4758400488858</v>
      </c>
      <c r="AN3369">
        <v>1.0000000078111799</v>
      </c>
    </row>
    <row r="3370" spans="1:40" x14ac:dyDescent="0.25">
      <c r="A3370" t="str">
        <f>"20190312153951357"</f>
        <v>20190312153951357</v>
      </c>
      <c r="B3370" t="str">
        <f>"1552376391349199"</f>
        <v>1552376391349199</v>
      </c>
      <c r="C3370" t="s">
        <v>40</v>
      </c>
      <c r="D3370">
        <v>4.2785279999999997</v>
      </c>
      <c r="E3370">
        <v>0.39640930000000002</v>
      </c>
      <c r="F3370" t="s">
        <v>54</v>
      </c>
      <c r="G3370">
        <v>-490.16019999999997</v>
      </c>
      <c r="H3370" s="1">
        <v>1.6553550000000001E-6</v>
      </c>
      <c r="I3370">
        <v>274.29910000000001</v>
      </c>
      <c r="J3370">
        <v>-477.07060000000001</v>
      </c>
      <c r="K3370">
        <v>1.111002</v>
      </c>
      <c r="L3370">
        <v>281.61610000000002</v>
      </c>
      <c r="M3370">
        <v>-0.9867996</v>
      </c>
      <c r="N3370">
        <v>0</v>
      </c>
      <c r="O3370">
        <v>-0.16140550000000001</v>
      </c>
      <c r="P3370">
        <v>-0.97042519999999999</v>
      </c>
      <c r="Q3370">
        <v>-3.3562309999999998E-2</v>
      </c>
      <c r="R3370">
        <v>-0.23905799999999999</v>
      </c>
      <c r="S3370">
        <v>-2.7146910000000002</v>
      </c>
      <c r="T3370">
        <v>-0.2288946</v>
      </c>
      <c r="U3370">
        <v>-1.5110170000000001</v>
      </c>
      <c r="V3370">
        <v>-7.9243240000000006E-2</v>
      </c>
      <c r="W3370">
        <v>-2.0511109999999999E-2</v>
      </c>
      <c r="X3370">
        <v>0.99664430000000004</v>
      </c>
      <c r="Y3370">
        <v>-0.33845150000000002</v>
      </c>
      <c r="Z3370">
        <v>-7.8468679999999901E-4</v>
      </c>
      <c r="AA3370">
        <v>0.94098349999999997</v>
      </c>
      <c r="AB3370">
        <v>9</v>
      </c>
      <c r="AC3370">
        <v>-13.0895999999999</v>
      </c>
      <c r="AD3370">
        <v>-1.1110003446449901</v>
      </c>
      <c r="AE3370">
        <v>-7.3170000000000002</v>
      </c>
      <c r="AF3370">
        <v>-5.0802408290264003</v>
      </c>
      <c r="AG3370">
        <v>-1.1110003446449901</v>
      </c>
      <c r="AH3370">
        <v>14.022082734198101</v>
      </c>
      <c r="AI3370">
        <v>94.260308194526601</v>
      </c>
      <c r="AJ3370">
        <v>109.91559716625299</v>
      </c>
      <c r="AK3370">
        <v>14.955332589127</v>
      </c>
      <c r="AL3370">
        <v>91.175282420185397</v>
      </c>
      <c r="AM3370">
        <v>94.546026734339193</v>
      </c>
      <c r="AN3370">
        <v>1.0000000287208</v>
      </c>
    </row>
    <row r="3371" spans="1:40" x14ac:dyDescent="0.25">
      <c r="A3371" t="str">
        <f>"20190312153951371"</f>
        <v>20190312153951371</v>
      </c>
      <c r="B3371" t="str">
        <f>"1552376391358960"</f>
        <v>1552376391358960</v>
      </c>
      <c r="C3371" t="s">
        <v>40</v>
      </c>
      <c r="D3371">
        <v>4.2624190000000004</v>
      </c>
      <c r="E3371">
        <v>0.39634730000000001</v>
      </c>
      <c r="F3371" t="s">
        <v>54</v>
      </c>
      <c r="G3371">
        <v>-489.85410000000002</v>
      </c>
      <c r="H3371" s="1">
        <v>1.6933179999999901E-6</v>
      </c>
      <c r="I3371">
        <v>274.4325</v>
      </c>
      <c r="J3371">
        <v>-477.12520000000001</v>
      </c>
      <c r="K3371">
        <v>1.1110100000000001</v>
      </c>
      <c r="L3371">
        <v>281.60520000000002</v>
      </c>
      <c r="M3371">
        <v>-0.98653259999999998</v>
      </c>
      <c r="N3371">
        <v>0</v>
      </c>
      <c r="O3371">
        <v>-0.163028799999999</v>
      </c>
      <c r="P3371">
        <v>-0.96991590000000005</v>
      </c>
      <c r="Q3371">
        <v>-3.4233399999999997E-2</v>
      </c>
      <c r="R3371">
        <v>-0.24102109999999999</v>
      </c>
      <c r="S3371">
        <v>-2.7083439999999999</v>
      </c>
      <c r="T3371">
        <v>-0.23537939999999999</v>
      </c>
      <c r="U3371">
        <v>-1.5219419999999999</v>
      </c>
      <c r="V3371">
        <v>-7.9622789999999999E-2</v>
      </c>
      <c r="W3371">
        <v>-2.1185260000000001E-2</v>
      </c>
      <c r="X3371">
        <v>0.99659989999999998</v>
      </c>
      <c r="Y3371">
        <v>-0.34069959999999999</v>
      </c>
      <c r="Z3371">
        <v>-7.7249759999999904E-4</v>
      </c>
      <c r="AA3371">
        <v>0.94017189999999995</v>
      </c>
      <c r="AB3371">
        <v>9</v>
      </c>
      <c r="AC3371">
        <v>-12.728899999999999</v>
      </c>
      <c r="AD3371">
        <v>-1.111008306682</v>
      </c>
      <c r="AE3371">
        <v>-7.1727000000000096</v>
      </c>
      <c r="AF3371">
        <v>-4.9726102294896899</v>
      </c>
      <c r="AG3371">
        <v>-1.111008306682</v>
      </c>
      <c r="AH3371">
        <v>13.649111208074499</v>
      </c>
      <c r="AI3371">
        <v>94.373491274675203</v>
      </c>
      <c r="AJ3371">
        <v>110.017567990705</v>
      </c>
      <c r="AK3371">
        <v>14.5691258736524</v>
      </c>
      <c r="AL3371">
        <v>91.213916822981602</v>
      </c>
      <c r="AM3371">
        <v>94.567911476719104</v>
      </c>
      <c r="AN3371">
        <v>0.99999998230432996</v>
      </c>
    </row>
    <row r="3372" spans="1:40" x14ac:dyDescent="0.25">
      <c r="A3372" t="str">
        <f>"20190312153951385"</f>
        <v>20190312153951385</v>
      </c>
      <c r="B3372" t="str">
        <f>"1552376391379456"</f>
        <v>1552376391379456</v>
      </c>
      <c r="C3372" t="s">
        <v>40</v>
      </c>
      <c r="D3372">
        <v>4.2490740000000002</v>
      </c>
      <c r="E3372">
        <v>0.39631300000000003</v>
      </c>
      <c r="F3372" t="s">
        <v>54</v>
      </c>
      <c r="G3372">
        <v>-489.75869999999998</v>
      </c>
      <c r="H3372" s="1">
        <v>1.6976400000000001E-6</v>
      </c>
      <c r="I3372">
        <v>274.46870000000001</v>
      </c>
      <c r="J3372">
        <v>-477.17500000000001</v>
      </c>
      <c r="K3372">
        <v>1.111013</v>
      </c>
      <c r="L3372">
        <v>281.59519999999998</v>
      </c>
      <c r="M3372">
        <v>-0.9862841</v>
      </c>
      <c r="N3372">
        <v>0</v>
      </c>
      <c r="O3372">
        <v>-0.16452649999999999</v>
      </c>
      <c r="P3372">
        <v>-0.9694315</v>
      </c>
      <c r="Q3372">
        <v>-3.4428790000000001E-2</v>
      </c>
      <c r="R3372">
        <v>-0.24293600000000001</v>
      </c>
      <c r="S3372">
        <v>-2.7049259999999999</v>
      </c>
      <c r="T3372">
        <v>-0.23787510000000001</v>
      </c>
      <c r="U3372">
        <v>-1.5279849999999999</v>
      </c>
      <c r="V3372">
        <v>-8.0077690000000007E-2</v>
      </c>
      <c r="W3372">
        <v>-2.1383369999999999E-2</v>
      </c>
      <c r="X3372">
        <v>0.99655930000000004</v>
      </c>
      <c r="Y3372">
        <v>-0.34136470000000002</v>
      </c>
      <c r="Z3372">
        <v>-6.9030929999999995E-4</v>
      </c>
      <c r="AA3372">
        <v>0.93993070000000001</v>
      </c>
      <c r="AB3372">
        <v>9</v>
      </c>
      <c r="AC3372">
        <v>-12.583699999999901</v>
      </c>
      <c r="AD3372">
        <v>-1.1110113023599999</v>
      </c>
      <c r="AE3372">
        <v>-7.1264999999999601</v>
      </c>
      <c r="AF3372">
        <v>-4.9297388580541401</v>
      </c>
      <c r="AG3372">
        <v>-1.1110113023599999</v>
      </c>
      <c r="AH3372">
        <v>13.505079618423901</v>
      </c>
      <c r="AI3372">
        <v>94.418955188215307</v>
      </c>
      <c r="AJ3372">
        <v>110.053522726162</v>
      </c>
      <c r="AK3372">
        <v>14.419564723754601</v>
      </c>
      <c r="AL3372">
        <v>91.225270164776603</v>
      </c>
      <c r="AM3372">
        <v>94.594083782993394</v>
      </c>
      <c r="AN3372">
        <v>1.0000000616823801</v>
      </c>
    </row>
    <row r="3373" spans="1:40" x14ac:dyDescent="0.25">
      <c r="A3373" t="str">
        <f>"20190312153951402"</f>
        <v>20190312153951402</v>
      </c>
      <c r="B3373" t="str">
        <f>"1552376391398991"</f>
        <v>1552376391398991</v>
      </c>
      <c r="C3373" t="s">
        <v>40</v>
      </c>
      <c r="D3373">
        <v>4.2679</v>
      </c>
      <c r="E3373">
        <v>0.39630539999999997</v>
      </c>
      <c r="F3373" t="s">
        <v>54</v>
      </c>
      <c r="G3373">
        <v>-489.68099999999998</v>
      </c>
      <c r="H3373" s="1">
        <v>1.700583E-6</v>
      </c>
      <c r="I3373">
        <v>274.49650000000003</v>
      </c>
      <c r="J3373">
        <v>-477.24329999999998</v>
      </c>
      <c r="K3373">
        <v>1.1110089999999999</v>
      </c>
      <c r="L3373">
        <v>281.58139999999997</v>
      </c>
      <c r="M3373">
        <v>-0.98593730000000002</v>
      </c>
      <c r="N3373">
        <v>0</v>
      </c>
      <c r="O3373">
        <v>-0.16659119999999999</v>
      </c>
      <c r="P3373">
        <v>-0.96877029999999997</v>
      </c>
      <c r="Q3373">
        <v>-3.5105570000000003E-2</v>
      </c>
      <c r="R3373">
        <v>-0.24546180000000001</v>
      </c>
      <c r="S3373">
        <v>-2.701721</v>
      </c>
      <c r="T3373">
        <v>-0.24001729999999999</v>
      </c>
      <c r="U3373">
        <v>-1.533569</v>
      </c>
      <c r="V3373">
        <v>-8.0591140000000006E-2</v>
      </c>
      <c r="W3373">
        <v>-2.2063530000000001E-2</v>
      </c>
      <c r="X3373">
        <v>0.99650300000000003</v>
      </c>
      <c r="Y3373">
        <v>-0.34134160000000002</v>
      </c>
      <c r="Z3373">
        <v>-5.3153930000000003E-4</v>
      </c>
      <c r="AA3373">
        <v>0.93993910000000003</v>
      </c>
      <c r="AB3373">
        <v>9</v>
      </c>
      <c r="AC3373">
        <v>-12.4377</v>
      </c>
      <c r="AD3373">
        <v>-1.1110072994169999</v>
      </c>
      <c r="AE3373">
        <v>-7.0848999999999398</v>
      </c>
      <c r="AF3373">
        <v>-4.8842614255443797</v>
      </c>
      <c r="AG3373">
        <v>-1.1110072994169999</v>
      </c>
      <c r="AH3373">
        <v>13.3637433186347</v>
      </c>
      <c r="AI3373">
        <v>94.4648307310474</v>
      </c>
      <c r="AJ3373">
        <v>110.076651692973</v>
      </c>
      <c r="AK3373">
        <v>14.2716496025783</v>
      </c>
      <c r="AL3373">
        <v>91.264249762126298</v>
      </c>
      <c r="AM3373">
        <v>94.623673358558506</v>
      </c>
      <c r="AN3373">
        <v>0.99999998010577995</v>
      </c>
    </row>
    <row r="3374" spans="1:40" x14ac:dyDescent="0.25">
      <c r="A3374" t="str">
        <f>"20190312153951415"</f>
        <v>20190312153951415</v>
      </c>
      <c r="B3374" t="str">
        <f>"1552376391408736"</f>
        <v>1552376391408736</v>
      </c>
      <c r="C3374" t="s">
        <v>40</v>
      </c>
      <c r="D3374">
        <v>4.3053189999999999</v>
      </c>
      <c r="E3374">
        <v>0.39631149999999998</v>
      </c>
      <c r="F3374" t="s">
        <v>54</v>
      </c>
      <c r="G3374">
        <v>-489.53480000000002</v>
      </c>
      <c r="H3374" s="1">
        <v>1.710755E-6</v>
      </c>
      <c r="I3374">
        <v>274.56200000000001</v>
      </c>
      <c r="J3374">
        <v>-477.29259999999999</v>
      </c>
      <c r="K3374">
        <v>1.1110120000000001</v>
      </c>
      <c r="L3374">
        <v>281.57119999999998</v>
      </c>
      <c r="M3374">
        <v>-0.98568089999999997</v>
      </c>
      <c r="N3374">
        <v>0</v>
      </c>
      <c r="O3374">
        <v>-0.168102</v>
      </c>
      <c r="P3374">
        <v>-0.96824469999999996</v>
      </c>
      <c r="Q3374">
        <v>-3.580216E-2</v>
      </c>
      <c r="R3374">
        <v>-0.24742739999999999</v>
      </c>
      <c r="S3374">
        <v>-2.6975709999999999</v>
      </c>
      <c r="T3374">
        <v>-0.2438285</v>
      </c>
      <c r="U3374">
        <v>-1.540527</v>
      </c>
      <c r="V3374">
        <v>-8.1089259999999996E-2</v>
      </c>
      <c r="W3374">
        <v>-2.2763019999999998E-2</v>
      </c>
      <c r="X3374">
        <v>0.99644679999999997</v>
      </c>
      <c r="Y3374">
        <v>-0.3423368</v>
      </c>
      <c r="Z3374">
        <v>-4.6021030000000001E-4</v>
      </c>
      <c r="AA3374">
        <v>0.9395772</v>
      </c>
      <c r="AB3374">
        <v>9</v>
      </c>
      <c r="AC3374">
        <v>-12.2422</v>
      </c>
      <c r="AD3374">
        <v>-1.111010289245</v>
      </c>
      <c r="AE3374">
        <v>-7.0091999999999599</v>
      </c>
      <c r="AF3374">
        <v>-4.8214145849144199</v>
      </c>
      <c r="AG3374">
        <v>-1.111010289245</v>
      </c>
      <c r="AH3374">
        <v>13.1646648090095</v>
      </c>
      <c r="AI3374">
        <v>94.530985170932396</v>
      </c>
      <c r="AJ3374">
        <v>110.11470438018701</v>
      </c>
      <c r="AK3374">
        <v>14.063739971856901</v>
      </c>
      <c r="AL3374">
        <v>91.304337731929294</v>
      </c>
      <c r="AM3374">
        <v>94.6523876648086</v>
      </c>
      <c r="AN3374">
        <v>0.99999992419855099</v>
      </c>
    </row>
    <row r="3375" spans="1:40" x14ac:dyDescent="0.25">
      <c r="A3375" t="str">
        <f>"20190312153951436"</f>
        <v>20190312153951436</v>
      </c>
      <c r="B3375" t="str">
        <f>"1552376391429232"</f>
        <v>1552376391429232</v>
      </c>
      <c r="C3375" t="s">
        <v>40</v>
      </c>
      <c r="D3375">
        <v>4.4124249999999998</v>
      </c>
      <c r="E3375">
        <v>0.39633669999999999</v>
      </c>
      <c r="F3375" t="s">
        <v>54</v>
      </c>
      <c r="G3375">
        <v>-489.39150000000001</v>
      </c>
      <c r="H3375" s="1">
        <v>1.7195189999999999E-6</v>
      </c>
      <c r="I3375">
        <v>274.62909999999999</v>
      </c>
      <c r="J3375">
        <v>-477.37200000000001</v>
      </c>
      <c r="K3375">
        <v>1.1110139999999999</v>
      </c>
      <c r="L3375">
        <v>281.55470000000003</v>
      </c>
      <c r="M3375">
        <v>-0.98525779999999996</v>
      </c>
      <c r="N3375">
        <v>0</v>
      </c>
      <c r="O3375">
        <v>-0.1705642</v>
      </c>
      <c r="P3375">
        <v>-0.96732249999999997</v>
      </c>
      <c r="Q3375">
        <v>-3.6998780000000002E-2</v>
      </c>
      <c r="R3375">
        <v>-0.25083519999999998</v>
      </c>
      <c r="S3375">
        <v>-2.6941830000000002</v>
      </c>
      <c r="T3375">
        <v>-0.24739900000000001</v>
      </c>
      <c r="U3375">
        <v>-1.545868</v>
      </c>
      <c r="V3375">
        <v>-8.2112740000000004E-2</v>
      </c>
      <c r="W3375">
        <v>-2.396471E-2</v>
      </c>
      <c r="X3375">
        <v>0.99633490000000002</v>
      </c>
      <c r="Y3375">
        <v>-0.34189360000000002</v>
      </c>
      <c r="Z3375">
        <v>-2.4614670000000001E-4</v>
      </c>
      <c r="AA3375">
        <v>0.93973859999999998</v>
      </c>
      <c r="AB3375">
        <v>9</v>
      </c>
      <c r="AC3375">
        <v>-12.019500000000001</v>
      </c>
      <c r="AD3375">
        <v>-1.1110122804810001</v>
      </c>
      <c r="AE3375">
        <v>-6.9256000000000304</v>
      </c>
      <c r="AF3375">
        <v>-4.7433962591072696</v>
      </c>
      <c r="AG3375">
        <v>-1.1110122804810001</v>
      </c>
      <c r="AH3375">
        <v>12.941690864895399</v>
      </c>
      <c r="AI3375">
        <v>94.608307530190004</v>
      </c>
      <c r="AJ3375">
        <v>110.12892573486</v>
      </c>
      <c r="AK3375">
        <v>13.8282869076689</v>
      </c>
      <c r="AL3375">
        <v>91.373208173151795</v>
      </c>
      <c r="AM3375">
        <v>94.711372514244403</v>
      </c>
      <c r="AN3375">
        <v>1.0000000211768501</v>
      </c>
    </row>
    <row r="3376" spans="1:40" x14ac:dyDescent="0.25">
      <c r="A3376" t="str">
        <f>"20190312153951449"</f>
        <v>20190312153951449</v>
      </c>
      <c r="B3376" t="str">
        <f>"1552376391438991"</f>
        <v>1552376391438991</v>
      </c>
      <c r="C3376" t="s">
        <v>40</v>
      </c>
      <c r="D3376">
        <v>4.2949929999999998</v>
      </c>
      <c r="E3376">
        <v>0.39633469999999998</v>
      </c>
      <c r="F3376" t="s">
        <v>54</v>
      </c>
      <c r="G3376">
        <v>-489.18959999999998</v>
      </c>
      <c r="H3376" s="1">
        <v>1.717412E-6</v>
      </c>
      <c r="I3376">
        <v>274.71879999999999</v>
      </c>
      <c r="J3376">
        <v>-477.4237</v>
      </c>
      <c r="K3376">
        <v>1.111016</v>
      </c>
      <c r="L3376">
        <v>281.54379999999998</v>
      </c>
      <c r="M3376">
        <v>-0.98497369999999995</v>
      </c>
      <c r="N3376">
        <v>0</v>
      </c>
      <c r="O3376">
        <v>-0.17219660000000001</v>
      </c>
      <c r="P3376">
        <v>-0.96668829999999994</v>
      </c>
      <c r="Q3376">
        <v>-3.7723659999999999E-2</v>
      </c>
      <c r="R3376">
        <v>-0.25316119999999998</v>
      </c>
      <c r="S3376">
        <v>-2.6884160000000001</v>
      </c>
      <c r="T3376">
        <v>-0.25274590000000002</v>
      </c>
      <c r="U3376">
        <v>-1.555115</v>
      </c>
      <c r="V3376">
        <v>-8.2860939999999994E-2</v>
      </c>
      <c r="W3376">
        <v>-2.469348E-2</v>
      </c>
      <c r="X3376">
        <v>0.99625520000000001</v>
      </c>
      <c r="Y3376">
        <v>-0.3436072</v>
      </c>
      <c r="Z3376">
        <v>-1.900475E-4</v>
      </c>
      <c r="AA3376">
        <v>0.93911339999999999</v>
      </c>
      <c r="AB3376">
        <v>9</v>
      </c>
      <c r="AC3376">
        <v>-11.765899999999901</v>
      </c>
      <c r="AD3376">
        <v>-1.1110142825880001</v>
      </c>
      <c r="AE3376">
        <v>-6.8249999999999797</v>
      </c>
      <c r="AF3376">
        <v>-4.6656814598050298</v>
      </c>
      <c r="AG3376">
        <v>-1.1110142825880001</v>
      </c>
      <c r="AH3376">
        <v>12.6808606212008</v>
      </c>
      <c r="AI3376">
        <v>94.700546389325794</v>
      </c>
      <c r="AJ3376">
        <v>110.200132139483</v>
      </c>
      <c r="AK3376">
        <v>13.5575500115177</v>
      </c>
      <c r="AL3376">
        <v>91.4149759217444</v>
      </c>
      <c r="AM3376">
        <v>94.754484588452897</v>
      </c>
      <c r="AN3376">
        <v>1.00000006342961</v>
      </c>
    </row>
    <row r="3377" spans="1:40" x14ac:dyDescent="0.25">
      <c r="A3377" t="str">
        <f>"20190312153951464"</f>
        <v>20190312153951464</v>
      </c>
      <c r="B3377" t="str">
        <f>"1552376391459488"</f>
        <v>1552376391459488</v>
      </c>
      <c r="C3377" t="s">
        <v>40</v>
      </c>
      <c r="D3377">
        <v>4.2943959999999999</v>
      </c>
      <c r="E3377">
        <v>0.39640999999999998</v>
      </c>
      <c r="F3377" t="s">
        <v>54</v>
      </c>
      <c r="G3377">
        <v>-489.09890000000001</v>
      </c>
      <c r="H3377" s="1">
        <v>1.7152209999999901E-6</v>
      </c>
      <c r="I3377">
        <v>274.75209999999998</v>
      </c>
      <c r="J3377">
        <v>-477.47669999999999</v>
      </c>
      <c r="K3377">
        <v>1.1110230000000001</v>
      </c>
      <c r="L3377">
        <v>281.53250000000003</v>
      </c>
      <c r="M3377">
        <v>-0.98467649999999995</v>
      </c>
      <c r="N3377">
        <v>0</v>
      </c>
      <c r="O3377">
        <v>-0.1738884</v>
      </c>
      <c r="P3377">
        <v>-0.96599950000000001</v>
      </c>
      <c r="Q3377">
        <v>-3.8544660000000001E-2</v>
      </c>
      <c r="R3377">
        <v>-0.2556541</v>
      </c>
      <c r="S3377">
        <v>-2.684418</v>
      </c>
      <c r="T3377">
        <v>-0.25544989999999901</v>
      </c>
      <c r="U3377">
        <v>-1.5615840000000001</v>
      </c>
      <c r="V3377">
        <v>-8.3723290000000006E-2</v>
      </c>
      <c r="W3377">
        <v>-2.551896E-2</v>
      </c>
      <c r="X3377">
        <v>0.9961622</v>
      </c>
      <c r="Y3377">
        <v>-0.34428389999999998</v>
      </c>
      <c r="Z3377" s="1">
        <v>-7.8873709999999997E-5</v>
      </c>
      <c r="AA3377">
        <v>0.93886559999999997</v>
      </c>
      <c r="AB3377">
        <v>9</v>
      </c>
      <c r="AC3377">
        <v>-11.622199999999999</v>
      </c>
      <c r="AD3377">
        <v>-1.111021284779</v>
      </c>
      <c r="AE3377">
        <v>-6.7804000000000402</v>
      </c>
      <c r="AF3377">
        <v>-4.62441364262164</v>
      </c>
      <c r="AG3377">
        <v>-1.111021284779</v>
      </c>
      <c r="AH3377">
        <v>12.538757455786699</v>
      </c>
      <c r="AI3377">
        <v>94.752257020590804</v>
      </c>
      <c r="AJ3377">
        <v>110.244456561826</v>
      </c>
      <c r="AK3377">
        <v>13.410444003400601</v>
      </c>
      <c r="AL3377">
        <v>91.462287493311806</v>
      </c>
      <c r="AM3377">
        <v>94.804181440367202</v>
      </c>
      <c r="AN3377">
        <v>0.99999996765837196</v>
      </c>
    </row>
    <row r="3378" spans="1:40" x14ac:dyDescent="0.25">
      <c r="A3378" t="str">
        <f>"20190312153951479"</f>
        <v>20190312153951479</v>
      </c>
      <c r="B3378" t="str">
        <f>"1552376391469248"</f>
        <v>1552376391469248</v>
      </c>
      <c r="C3378" t="s">
        <v>40</v>
      </c>
      <c r="D3378">
        <v>4.2334079999999998</v>
      </c>
      <c r="E3378">
        <v>0.39644849999999998</v>
      </c>
      <c r="F3378" t="s">
        <v>54</v>
      </c>
      <c r="G3378">
        <v>-489.00990000000002</v>
      </c>
      <c r="H3378" s="1">
        <v>1.7130580000000001E-6</v>
      </c>
      <c r="I3378">
        <v>274.78460000000001</v>
      </c>
      <c r="J3378">
        <v>-477.5335</v>
      </c>
      <c r="K3378">
        <v>1.1110329999999999</v>
      </c>
      <c r="L3378">
        <v>281.52030000000002</v>
      </c>
      <c r="M3378">
        <v>-0.98435079999999997</v>
      </c>
      <c r="N3378">
        <v>0</v>
      </c>
      <c r="O3378">
        <v>-0.17572360000000001</v>
      </c>
      <c r="P3378">
        <v>-0.96529330000000002</v>
      </c>
      <c r="Q3378">
        <v>-3.9128259999999998E-2</v>
      </c>
      <c r="R3378">
        <v>-0.25822070000000003</v>
      </c>
      <c r="S3378">
        <v>-2.680237</v>
      </c>
      <c r="T3378">
        <v>-0.25819510000000001</v>
      </c>
      <c r="U3378">
        <v>-1.568176</v>
      </c>
      <c r="V3378">
        <v>-8.4516190000000005E-2</v>
      </c>
      <c r="W3378">
        <v>-2.6107109999999999E-2</v>
      </c>
      <c r="X3378">
        <v>0.99607999999999997</v>
      </c>
      <c r="Y3378">
        <v>-0.34488390000000002</v>
      </c>
      <c r="Z3378" s="1">
        <v>5.0487E-5</v>
      </c>
      <c r="AA3378">
        <v>0.93864539999999996</v>
      </c>
      <c r="AB3378">
        <v>9</v>
      </c>
      <c r="AC3378">
        <v>-11.4764</v>
      </c>
      <c r="AD3378">
        <v>-1.111031286942</v>
      </c>
      <c r="AE3378">
        <v>-6.7356999999999996</v>
      </c>
      <c r="AF3378">
        <v>-4.5820791994010399</v>
      </c>
      <c r="AG3378">
        <v>-1.111031286942</v>
      </c>
      <c r="AH3378">
        <v>12.395110214548801</v>
      </c>
      <c r="AI3378">
        <v>94.805782626973695</v>
      </c>
      <c r="AJ3378">
        <v>110.28775489119199</v>
      </c>
      <c r="AK3378">
        <v>13.2615458201885</v>
      </c>
      <c r="AL3378">
        <v>91.495997241110501</v>
      </c>
      <c r="AM3378">
        <v>94.849861675141398</v>
      </c>
      <c r="AN3378">
        <v>0.99999996698233296</v>
      </c>
    </row>
    <row r="3379" spans="1:40" x14ac:dyDescent="0.25">
      <c r="A3379" t="str">
        <f>"20190312153951492"</f>
        <v>20190312153951492</v>
      </c>
      <c r="B3379" t="str">
        <f>"1552376391488767"</f>
        <v>1552376391488767</v>
      </c>
      <c r="C3379" t="s">
        <v>40</v>
      </c>
      <c r="D3379">
        <v>4.2894180000000004</v>
      </c>
      <c r="E3379">
        <v>0.39645419999999998</v>
      </c>
      <c r="F3379" t="s">
        <v>54</v>
      </c>
      <c r="G3379">
        <v>-488.97320000000002</v>
      </c>
      <c r="H3379" s="1">
        <v>1.7104989999999999E-6</v>
      </c>
      <c r="I3379">
        <v>274.78859999999997</v>
      </c>
      <c r="J3379">
        <v>-477.5883</v>
      </c>
      <c r="K3379">
        <v>1.1110409999999999</v>
      </c>
      <c r="L3379">
        <v>281.50839999999999</v>
      </c>
      <c r="M3379">
        <v>-0.98402849999999997</v>
      </c>
      <c r="N3379">
        <v>0</v>
      </c>
      <c r="O3379">
        <v>-0.17751979999999901</v>
      </c>
      <c r="P3379">
        <v>-0.96442890000000003</v>
      </c>
      <c r="Q3379">
        <v>-3.9738549999999997E-2</v>
      </c>
      <c r="R3379">
        <v>-0.26133840000000003</v>
      </c>
      <c r="S3379">
        <v>-2.6761170000000001</v>
      </c>
      <c r="T3379">
        <v>-0.259907</v>
      </c>
      <c r="U3379">
        <v>-1.5747679999999999</v>
      </c>
      <c r="V3379">
        <v>-8.5918240000000007E-2</v>
      </c>
      <c r="W3379">
        <v>-2.672385E-2</v>
      </c>
      <c r="X3379">
        <v>0.99594369999999999</v>
      </c>
      <c r="Y3379">
        <v>-0.34551569999999998</v>
      </c>
      <c r="Z3379">
        <v>1.771683E-4</v>
      </c>
      <c r="AA3379">
        <v>0.93841300000000005</v>
      </c>
      <c r="AB3379">
        <v>9</v>
      </c>
      <c r="AC3379">
        <v>-11.3849</v>
      </c>
      <c r="AD3379">
        <v>-1.1110392895009999</v>
      </c>
      <c r="AE3379">
        <v>-6.7198000000000198</v>
      </c>
      <c r="AF3379">
        <v>-4.5596259649832502</v>
      </c>
      <c r="AG3379">
        <v>-1.1110392895009999</v>
      </c>
      <c r="AH3379">
        <v>12.310100167641499</v>
      </c>
      <c r="AI3379">
        <v>94.837705355697096</v>
      </c>
      <c r="AJ3379">
        <v>110.324485873779</v>
      </c>
      <c r="AK3379">
        <v>13.174337303285199</v>
      </c>
      <c r="AL3379">
        <v>91.531346155660103</v>
      </c>
      <c r="AM3379">
        <v>94.930594717424796</v>
      </c>
      <c r="AN3379">
        <v>0.99999998084660402</v>
      </c>
    </row>
    <row r="3380" spans="1:40" x14ac:dyDescent="0.25">
      <c r="A3380" t="str">
        <f>"20190312153951508"</f>
        <v>20190312153951508</v>
      </c>
      <c r="B3380" t="str">
        <f>"1552376391499504"</f>
        <v>1552376391499504</v>
      </c>
      <c r="C3380" t="s">
        <v>40</v>
      </c>
      <c r="D3380">
        <v>4.2690519999999896</v>
      </c>
      <c r="E3380">
        <v>0.3965012</v>
      </c>
      <c r="F3380" t="s">
        <v>54</v>
      </c>
      <c r="G3380">
        <v>-488.94150000000002</v>
      </c>
      <c r="H3380" s="1">
        <v>1.705651E-6</v>
      </c>
      <c r="I3380">
        <v>274.77699999999999</v>
      </c>
      <c r="J3380">
        <v>-477.6438</v>
      </c>
      <c r="K3380">
        <v>1.111054</v>
      </c>
      <c r="L3380">
        <v>281.49610000000001</v>
      </c>
      <c r="M3380">
        <v>-0.98369359999999995</v>
      </c>
      <c r="N3380">
        <v>0</v>
      </c>
      <c r="O3380">
        <v>-0.17936559999999999</v>
      </c>
      <c r="P3380">
        <v>-0.96374749999999998</v>
      </c>
      <c r="Q3380">
        <v>-3.9546850000000001E-2</v>
      </c>
      <c r="R3380">
        <v>-0.26386900000000002</v>
      </c>
      <c r="S3380">
        <v>-2.6708069999999999</v>
      </c>
      <c r="T3380">
        <v>-0.26136759999999998</v>
      </c>
      <c r="U3380">
        <v>-1.5835269999999999</v>
      </c>
      <c r="V3380">
        <v>-8.6661870000000002E-2</v>
      </c>
      <c r="W3380">
        <v>-2.6536219999999999E-2</v>
      </c>
      <c r="X3380">
        <v>0.99588429999999994</v>
      </c>
      <c r="Y3380">
        <v>-0.34684520000000002</v>
      </c>
      <c r="Z3380">
        <v>2.778554E-4</v>
      </c>
      <c r="AA3380">
        <v>0.93792240000000004</v>
      </c>
      <c r="AB3380">
        <v>9</v>
      </c>
      <c r="AC3380">
        <v>-11.297700000000001</v>
      </c>
      <c r="AD3380">
        <v>-1.111052294349</v>
      </c>
      <c r="AE3380">
        <v>-6.7191000000000196</v>
      </c>
      <c r="AF3380">
        <v>-4.5510036285967796</v>
      </c>
      <c r="AG3380">
        <v>-1.111052294349</v>
      </c>
      <c r="AH3380">
        <v>12.232335416452701</v>
      </c>
      <c r="AI3380">
        <v>94.8657622448399</v>
      </c>
      <c r="AJ3380">
        <v>110.407566280515</v>
      </c>
      <c r="AK3380">
        <v>13.098706079948601</v>
      </c>
      <c r="AL3380">
        <v>91.520591913150994</v>
      </c>
      <c r="AM3380">
        <v>94.973351489958603</v>
      </c>
      <c r="AN3380">
        <v>0.99999999483513702</v>
      </c>
    </row>
    <row r="3381" spans="1:40" x14ac:dyDescent="0.25">
      <c r="A3381" t="str">
        <f>"20190312153951526"</f>
        <v>20190312153951526</v>
      </c>
      <c r="B3381" t="str">
        <f>"1552376391519024"</f>
        <v>1552376391519024</v>
      </c>
      <c r="C3381" t="s">
        <v>40</v>
      </c>
      <c r="D3381">
        <v>4.2564520000000003</v>
      </c>
      <c r="E3381">
        <v>0.3966517</v>
      </c>
      <c r="F3381" t="s">
        <v>54</v>
      </c>
      <c r="G3381">
        <v>-489.01280000000003</v>
      </c>
      <c r="H3381" s="1">
        <v>1.7011349999999901E-6</v>
      </c>
      <c r="I3381">
        <v>274.71539999999999</v>
      </c>
      <c r="J3381">
        <v>-477.71319999999997</v>
      </c>
      <c r="K3381">
        <v>1.1110690000000001</v>
      </c>
      <c r="L3381">
        <v>281.48059999999998</v>
      </c>
      <c r="M3381">
        <v>-0.98326340000000001</v>
      </c>
      <c r="N3381">
        <v>0</v>
      </c>
      <c r="O3381">
        <v>-0.18170839999999999</v>
      </c>
      <c r="P3381">
        <v>-0.96301119999999996</v>
      </c>
      <c r="Q3381">
        <v>-3.9307460000000002E-2</v>
      </c>
      <c r="R3381">
        <v>-0.266578599999999</v>
      </c>
      <c r="S3381">
        <v>-2.666687</v>
      </c>
      <c r="T3381">
        <v>-0.26060410000000001</v>
      </c>
      <c r="U3381">
        <v>-1.590454</v>
      </c>
      <c r="V3381">
        <v>-8.7087890000000001E-2</v>
      </c>
      <c r="W3381">
        <v>-2.6300469999999999E-2</v>
      </c>
      <c r="X3381">
        <v>0.9958534</v>
      </c>
      <c r="Y3381">
        <v>-0.34705629999999998</v>
      </c>
      <c r="Z3381">
        <v>4.7025270000000002E-4</v>
      </c>
      <c r="AA3381">
        <v>0.93784420000000002</v>
      </c>
      <c r="AB3381">
        <v>9</v>
      </c>
      <c r="AC3381">
        <v>-11.2996</v>
      </c>
      <c r="AD3381">
        <v>-1.1110672988650001</v>
      </c>
      <c r="AE3381">
        <v>-6.7651999999999903</v>
      </c>
      <c r="AF3381">
        <v>-4.5666423803511904</v>
      </c>
      <c r="AG3381">
        <v>-1.1110672988650001</v>
      </c>
      <c r="AH3381">
        <v>12.253645885541401</v>
      </c>
      <c r="AI3381">
        <v>94.856411328756707</v>
      </c>
      <c r="AJ3381">
        <v>110.439228009563</v>
      </c>
      <c r="AK3381">
        <v>13.1240439903588</v>
      </c>
      <c r="AL3381">
        <v>91.507079701910001</v>
      </c>
      <c r="AM3381">
        <v>94.997830692659804</v>
      </c>
      <c r="AN3381">
        <v>1.0000000047992099</v>
      </c>
    </row>
    <row r="3382" spans="1:40" x14ac:dyDescent="0.25">
      <c r="A3382" t="str">
        <f>"20190312153951548"</f>
        <v>20190312153951548</v>
      </c>
      <c r="B3382" t="str">
        <f>"1552376391539520"</f>
        <v>1552376391539520</v>
      </c>
      <c r="C3382" t="s">
        <v>40</v>
      </c>
      <c r="D3382">
        <v>4.2553859999999997</v>
      </c>
      <c r="E3382">
        <v>0.40046110000000001</v>
      </c>
      <c r="F3382" t="s">
        <v>54</v>
      </c>
      <c r="G3382">
        <v>-489.09949999999998</v>
      </c>
      <c r="H3382" s="1">
        <v>1.697567E-6</v>
      </c>
      <c r="I3382">
        <v>274.65159999999997</v>
      </c>
      <c r="J3382">
        <v>-477.79559999999998</v>
      </c>
      <c r="K3382">
        <v>1.1110819999999999</v>
      </c>
      <c r="L3382">
        <v>281.46190000000001</v>
      </c>
      <c r="M3382">
        <v>-0.98273410000000005</v>
      </c>
      <c r="N3382">
        <v>0</v>
      </c>
      <c r="O3382">
        <v>-0.18454989999999999</v>
      </c>
      <c r="P3382">
        <v>-0.96208490000000002</v>
      </c>
      <c r="Q3382">
        <v>-3.9969629999999999E-2</v>
      </c>
      <c r="R3382">
        <v>-0.26980569999999998</v>
      </c>
      <c r="S3382">
        <v>-2.6625369999999999</v>
      </c>
      <c r="T3382">
        <v>-0.25980930000000002</v>
      </c>
      <c r="U3382">
        <v>-1.5968929999999999</v>
      </c>
      <c r="V3382">
        <v>-8.7550740000000002E-2</v>
      </c>
      <c r="W3382">
        <v>-2.6967140000000001E-2</v>
      </c>
      <c r="X3382">
        <v>0.99579499999999999</v>
      </c>
      <c r="Y3382">
        <v>-0.34667249999999999</v>
      </c>
      <c r="Z3382">
        <v>7.3151659999999997E-4</v>
      </c>
      <c r="AA3382">
        <v>0.93798599999999999</v>
      </c>
      <c r="AB3382">
        <v>9</v>
      </c>
      <c r="AC3382">
        <v>-11.303900000000001</v>
      </c>
      <c r="AD3382">
        <v>-1.1110803024329901</v>
      </c>
      <c r="AE3382">
        <v>-6.8103000000000398</v>
      </c>
      <c r="AF3382">
        <v>-4.5745574350935598</v>
      </c>
      <c r="AG3382">
        <v>-1.1110803024329901</v>
      </c>
      <c r="AH3382">
        <v>12.279607996462</v>
      </c>
      <c r="AI3382">
        <v>94.846475315487098</v>
      </c>
      <c r="AJ3382">
        <v>110.43201542998401</v>
      </c>
      <c r="AK3382">
        <v>13.151039795856301</v>
      </c>
      <c r="AL3382">
        <v>91.545290610746903</v>
      </c>
      <c r="AM3382">
        <v>95.024550438723196</v>
      </c>
      <c r="AN3382">
        <v>1.00000002036966</v>
      </c>
    </row>
    <row r="3383" spans="1:40" x14ac:dyDescent="0.25">
      <c r="A3383" t="str">
        <f>"20190312153951561"</f>
        <v>20190312153951561</v>
      </c>
      <c r="B3383" t="str">
        <f>"1552376391549280"</f>
        <v>1552376391549280</v>
      </c>
      <c r="C3383" t="s">
        <v>40</v>
      </c>
      <c r="D3383">
        <v>4.2589610000000002</v>
      </c>
      <c r="E3383">
        <v>0.40039940000000002</v>
      </c>
      <c r="F3383" t="s">
        <v>54</v>
      </c>
      <c r="G3383">
        <v>-487.50360000000001</v>
      </c>
      <c r="H3383" s="1">
        <v>1.7429179999999999E-6</v>
      </c>
      <c r="I3383">
        <v>275.71269999999998</v>
      </c>
      <c r="J3383">
        <v>-477.8467</v>
      </c>
      <c r="K3383">
        <v>1.1110930000000001</v>
      </c>
      <c r="L3383">
        <v>281.4502</v>
      </c>
      <c r="M3383">
        <v>-0.98239540000000003</v>
      </c>
      <c r="N3383">
        <v>0</v>
      </c>
      <c r="O3383">
        <v>-0.18634439999999999</v>
      </c>
      <c r="P3383">
        <v>-0.96145130000000001</v>
      </c>
      <c r="Q3383">
        <v>-4.0569670000000002E-2</v>
      </c>
      <c r="R3383">
        <v>-0.2719665</v>
      </c>
      <c r="S3383">
        <v>-2.6633</v>
      </c>
      <c r="T3383">
        <v>-0.30481459999999999</v>
      </c>
      <c r="U3383">
        <v>-1.57724</v>
      </c>
      <c r="V3383">
        <v>-8.7971419999999995E-2</v>
      </c>
      <c r="W3383">
        <v>-2.7570310000000001E-2</v>
      </c>
      <c r="X3383">
        <v>0.9957414</v>
      </c>
      <c r="Y3383">
        <v>-0.33955289999999999</v>
      </c>
      <c r="Z3383">
        <v>1.419799E-3</v>
      </c>
      <c r="AA3383">
        <v>0.94058589999999997</v>
      </c>
      <c r="AB3383">
        <v>9</v>
      </c>
      <c r="AC3383">
        <v>-9.6569000000000091</v>
      </c>
      <c r="AD3383">
        <v>-1.111091257082</v>
      </c>
      <c r="AE3383">
        <v>-5.7375000000000096</v>
      </c>
      <c r="AF3383">
        <v>-3.8001387342653201</v>
      </c>
      <c r="AG3383">
        <v>-1.111091257082</v>
      </c>
      <c r="AH3383">
        <v>10.454677974003801</v>
      </c>
      <c r="AI3383">
        <v>95.70396540998</v>
      </c>
      <c r="AJ3383">
        <v>109.975543851585</v>
      </c>
      <c r="AK3383">
        <v>11.1792606965464</v>
      </c>
      <c r="AL3383">
        <v>91.579862571597204</v>
      </c>
      <c r="AM3383">
        <v>95.048839209197496</v>
      </c>
      <c r="AN3383">
        <v>1.0000000142021299</v>
      </c>
    </row>
    <row r="3384" spans="1:40" x14ac:dyDescent="0.25">
      <c r="A3384" t="str">
        <f>"20190312153951574"</f>
        <v>20190312153951574</v>
      </c>
      <c r="B3384" t="str">
        <f>"1552376391568800"</f>
        <v>1552376391568800</v>
      </c>
      <c r="C3384" t="s">
        <v>40</v>
      </c>
      <c r="D3384">
        <v>4.2858409999999996</v>
      </c>
      <c r="E3384">
        <v>0.39975329999999998</v>
      </c>
      <c r="F3384" t="s">
        <v>54</v>
      </c>
      <c r="G3384">
        <v>-487.77409999999998</v>
      </c>
      <c r="H3384" s="1">
        <v>1.7363E-6</v>
      </c>
      <c r="I3384">
        <v>275.53890000000001</v>
      </c>
      <c r="J3384">
        <v>-477.89440000000002</v>
      </c>
      <c r="K3384">
        <v>1.1110949999999999</v>
      </c>
      <c r="L3384">
        <v>281.4391</v>
      </c>
      <c r="M3384">
        <v>-0.98207129999999998</v>
      </c>
      <c r="N3384">
        <v>0</v>
      </c>
      <c r="O3384">
        <v>-0.18804489999999999</v>
      </c>
      <c r="P3384">
        <v>-0.96082880000000004</v>
      </c>
      <c r="Q3384">
        <v>-4.096727E-2</v>
      </c>
      <c r="R3384">
        <v>-0.27409830000000002</v>
      </c>
      <c r="S3384">
        <v>-2.6596980000000001</v>
      </c>
      <c r="T3384">
        <v>-0.29767579999999999</v>
      </c>
      <c r="U3384">
        <v>-1.58371</v>
      </c>
      <c r="V3384">
        <v>-8.8457090000000002E-2</v>
      </c>
      <c r="W3384">
        <v>-2.7971039999999999E-2</v>
      </c>
      <c r="X3384">
        <v>0.99568719999999999</v>
      </c>
      <c r="Y3384">
        <v>-0.34021170000000001</v>
      </c>
      <c r="Z3384">
        <v>1.521204E-3</v>
      </c>
      <c r="AA3384">
        <v>0.94034759999999995</v>
      </c>
      <c r="AB3384">
        <v>9</v>
      </c>
      <c r="AC3384">
        <v>-9.87969999999995</v>
      </c>
      <c r="AD3384">
        <v>-1.1110932636999999</v>
      </c>
      <c r="AE3384">
        <v>-5.9001999999999803</v>
      </c>
      <c r="AF3384">
        <v>-3.9005704349403101</v>
      </c>
      <c r="AG3384">
        <v>-1.1110932636999999</v>
      </c>
      <c r="AH3384">
        <v>10.7131428317992</v>
      </c>
      <c r="AI3384">
        <v>95.5661613973773</v>
      </c>
      <c r="AJ3384">
        <v>110.006164250179</v>
      </c>
      <c r="AK3384">
        <v>11.4551476329684</v>
      </c>
      <c r="AL3384">
        <v>91.602831561657695</v>
      </c>
      <c r="AM3384">
        <v>95.076842333881899</v>
      </c>
      <c r="AN3384">
        <v>1.00000001804689</v>
      </c>
    </row>
    <row r="3385" spans="1:40" x14ac:dyDescent="0.25">
      <c r="A3385" t="str">
        <f>"20190312153951588"</f>
        <v>20190312153951588</v>
      </c>
      <c r="B3385" t="str">
        <f>"1552376391579536"</f>
        <v>1552376391579536</v>
      </c>
      <c r="C3385" t="s">
        <v>40</v>
      </c>
      <c r="D3385">
        <v>4.3080499999999997</v>
      </c>
      <c r="E3385">
        <v>0.3844862</v>
      </c>
      <c r="F3385" t="s">
        <v>54</v>
      </c>
      <c r="G3385">
        <v>-487.96839999999997</v>
      </c>
      <c r="H3385" s="1">
        <v>1.727154E-6</v>
      </c>
      <c r="I3385">
        <v>275.38920000000002</v>
      </c>
      <c r="J3385">
        <v>-477.94729999999998</v>
      </c>
      <c r="K3385">
        <v>1.1111070000000001</v>
      </c>
      <c r="L3385">
        <v>281.42660000000001</v>
      </c>
      <c r="M3385">
        <v>-0.98170230000000003</v>
      </c>
      <c r="N3385">
        <v>0</v>
      </c>
      <c r="O3385">
        <v>-0.18996189999999999</v>
      </c>
      <c r="P3385">
        <v>-0.96018680000000001</v>
      </c>
      <c r="Q3385">
        <v>-4.1610170000000002E-2</v>
      </c>
      <c r="R3385">
        <v>-0.2762426</v>
      </c>
      <c r="S3385">
        <v>-2.6549990000000001</v>
      </c>
      <c r="T3385">
        <v>-0.29282970000000003</v>
      </c>
      <c r="U3385">
        <v>-1.594452</v>
      </c>
      <c r="V3385">
        <v>-8.8739390000000001E-2</v>
      </c>
      <c r="W3385">
        <v>-2.8616599999999999E-2</v>
      </c>
      <c r="X3385">
        <v>0.99564370000000002</v>
      </c>
      <c r="Y3385">
        <v>-0.3419314</v>
      </c>
      <c r="Z3385">
        <v>1.595469E-3</v>
      </c>
      <c r="AA3385">
        <v>0.93972359999999999</v>
      </c>
      <c r="AB3385">
        <v>9</v>
      </c>
      <c r="AC3385">
        <v>-10.021099999999899</v>
      </c>
      <c r="AD3385">
        <v>-1.111105272846</v>
      </c>
      <c r="AE3385">
        <v>-6.0373999999999901</v>
      </c>
      <c r="AF3385">
        <v>-3.9876866222592802</v>
      </c>
      <c r="AG3385">
        <v>-1.111105272846</v>
      </c>
      <c r="AH3385">
        <v>10.8873733434967</v>
      </c>
      <c r="AI3385">
        <v>95.473876972186403</v>
      </c>
      <c r="AJ3385">
        <v>110.116120294182</v>
      </c>
      <c r="AK3385">
        <v>11.6477936900245</v>
      </c>
      <c r="AL3385">
        <v>91.639834296179004</v>
      </c>
      <c r="AM3385">
        <v>95.093180723553203</v>
      </c>
      <c r="AN3385">
        <v>0.99999998324141004</v>
      </c>
    </row>
    <row r="3386" spans="1:40" x14ac:dyDescent="0.25">
      <c r="A3386" t="str">
        <f>"20190312153951603"</f>
        <v>20190312153951603</v>
      </c>
      <c r="B3386" t="str">
        <f>"1552376391599059"</f>
        <v>1552376391599059</v>
      </c>
      <c r="C3386" t="s">
        <v>40</v>
      </c>
      <c r="D3386">
        <v>4.342155</v>
      </c>
      <c r="E3386">
        <v>0.37984020000000002</v>
      </c>
      <c r="F3386" t="s">
        <v>54</v>
      </c>
      <c r="G3386">
        <v>-488.47320000000002</v>
      </c>
      <c r="H3386" s="1">
        <v>1.602533E-6</v>
      </c>
      <c r="I3386">
        <v>274.5222</v>
      </c>
      <c r="J3386">
        <v>-478.00170000000003</v>
      </c>
      <c r="K3386">
        <v>1.111124</v>
      </c>
      <c r="L3386">
        <v>281.41370000000001</v>
      </c>
      <c r="M3386">
        <v>-0.98131270000000004</v>
      </c>
      <c r="N3386">
        <v>0</v>
      </c>
      <c r="O3386">
        <v>-0.19196440000000001</v>
      </c>
      <c r="P3386">
        <v>-0.95928670000000005</v>
      </c>
      <c r="Q3386">
        <v>-4.2653580000000003E-2</v>
      </c>
      <c r="R3386">
        <v>-0.27919509999999997</v>
      </c>
      <c r="S3386">
        <v>-2.6183169999999998</v>
      </c>
      <c r="T3386">
        <v>-0.2763852</v>
      </c>
      <c r="U3386">
        <v>-1.717468</v>
      </c>
      <c r="V3386">
        <v>-8.9775839999999996E-2</v>
      </c>
      <c r="W3386">
        <v>-2.9665319999999998E-2</v>
      </c>
      <c r="X3386">
        <v>0.99552010000000002</v>
      </c>
      <c r="Y3386">
        <v>-0.37704169999999998</v>
      </c>
      <c r="Z3386" s="1">
        <v>-1.073815E-5</v>
      </c>
      <c r="AA3386">
        <v>0.92619629999999997</v>
      </c>
      <c r="AB3386">
        <v>9</v>
      </c>
      <c r="AC3386">
        <v>-10.471499999999899</v>
      </c>
      <c r="AD3386">
        <v>-1.1111223974669999</v>
      </c>
      <c r="AE3386">
        <v>-6.8914999999999997</v>
      </c>
      <c r="AF3386">
        <v>-4.7159271292948297</v>
      </c>
      <c r="AG3386">
        <v>-1.1111223974669999</v>
      </c>
      <c r="AH3386">
        <v>11.509332140992299</v>
      </c>
      <c r="AI3386">
        <v>95.104832462664703</v>
      </c>
      <c r="AJ3386">
        <v>112.281272918998</v>
      </c>
      <c r="AK3386">
        <v>12.487565335270499</v>
      </c>
      <c r="AL3386">
        <v>91.699947028671403</v>
      </c>
      <c r="AM3386">
        <v>95.152985483904203</v>
      </c>
      <c r="AN3386">
        <v>1.0000000010812</v>
      </c>
    </row>
    <row r="3387" spans="1:40" x14ac:dyDescent="0.25">
      <c r="A3387" t="str">
        <f>"20190312153951626"</f>
        <v>20190312153951626</v>
      </c>
      <c r="B3387" t="str">
        <f>"1552376391619552"</f>
        <v>1552376391619552</v>
      </c>
      <c r="C3387" t="s">
        <v>40</v>
      </c>
      <c r="D3387">
        <v>4.4892279999999998</v>
      </c>
      <c r="E3387">
        <v>0.37863419999999998</v>
      </c>
      <c r="F3387" t="s">
        <v>54</v>
      </c>
      <c r="G3387">
        <v>-488.82339999999999</v>
      </c>
      <c r="H3387" s="1">
        <v>1.4818029999999901E-6</v>
      </c>
      <c r="I3387">
        <v>274.09280000000001</v>
      </c>
      <c r="J3387">
        <v>-478.08550000000002</v>
      </c>
      <c r="K3387">
        <v>1.1111489999999999</v>
      </c>
      <c r="L3387">
        <v>281.39339999999999</v>
      </c>
      <c r="M3387">
        <v>-0.98068949999999999</v>
      </c>
      <c r="N3387">
        <v>0</v>
      </c>
      <c r="O3387">
        <v>-0.1951232</v>
      </c>
      <c r="P3387">
        <v>-0.95847249999999995</v>
      </c>
      <c r="Q3387">
        <v>-4.2178029999999998E-2</v>
      </c>
      <c r="R3387">
        <v>-0.28204899999999999</v>
      </c>
      <c r="S3387">
        <v>-2.6029360000000001</v>
      </c>
      <c r="T3387">
        <v>-0.26725890000000002</v>
      </c>
      <c r="U3387">
        <v>-1.7608950000000001</v>
      </c>
      <c r="V3387">
        <v>-8.952881E-2</v>
      </c>
      <c r="W3387">
        <v>-2.9190890000000001E-2</v>
      </c>
      <c r="X3387">
        <v>0.99555640000000001</v>
      </c>
      <c r="Y3387">
        <v>-0.38724799999999998</v>
      </c>
      <c r="Z3387">
        <v>-2.0975059999999999E-4</v>
      </c>
      <c r="AA3387">
        <v>0.92197560000000001</v>
      </c>
      <c r="AB3387">
        <v>9</v>
      </c>
      <c r="AC3387">
        <v>-10.7378999999999</v>
      </c>
      <c r="AD3387">
        <v>-1.1111475181970001</v>
      </c>
      <c r="AE3387">
        <v>-7.30059999999997</v>
      </c>
      <c r="AF3387">
        <v>-5.0280319181201696</v>
      </c>
      <c r="AG3387">
        <v>-1.1111475181970001</v>
      </c>
      <c r="AH3387">
        <v>11.8691918578303</v>
      </c>
      <c r="AI3387">
        <v>94.926748814717698</v>
      </c>
      <c r="AJ3387">
        <v>112.958507201198</v>
      </c>
      <c r="AK3387">
        <v>12.9380628045629</v>
      </c>
      <c r="AL3387">
        <v>91.672752364160999</v>
      </c>
      <c r="AM3387">
        <v>95.138696020533402</v>
      </c>
      <c r="AN3387">
        <v>1.0000000307299799</v>
      </c>
    </row>
    <row r="3388" spans="1:40" x14ac:dyDescent="0.25">
      <c r="A3388" t="str">
        <f>"20190312153951647"</f>
        <v>20190312153951647</v>
      </c>
      <c r="B3388" t="str">
        <f>"1552376391639075"</f>
        <v>1552376391639075</v>
      </c>
      <c r="C3388" t="s">
        <v>40</v>
      </c>
      <c r="D3388">
        <v>4.3499530000000002</v>
      </c>
      <c r="E3388">
        <v>0.37826189999999998</v>
      </c>
      <c r="F3388" t="s">
        <v>54</v>
      </c>
      <c r="G3388">
        <v>-489.28</v>
      </c>
      <c r="H3388" s="1">
        <v>1.392247E-6</v>
      </c>
      <c r="I3388">
        <v>273.72489999999999</v>
      </c>
      <c r="J3388">
        <v>-478.16640000000001</v>
      </c>
      <c r="K3388">
        <v>1.1111740000000001</v>
      </c>
      <c r="L3388">
        <v>281.37349999999998</v>
      </c>
      <c r="M3388">
        <v>-0.98006249999999995</v>
      </c>
      <c r="N3388">
        <v>0</v>
      </c>
      <c r="O3388">
        <v>-0.1982477</v>
      </c>
      <c r="P3388">
        <v>-0.95800660000000004</v>
      </c>
      <c r="Q3388">
        <v>-4.1681870000000003E-2</v>
      </c>
      <c r="R3388">
        <v>-0.28370079999999998</v>
      </c>
      <c r="S3388">
        <v>-2.5954899999999999</v>
      </c>
      <c r="T3388">
        <v>-0.2576252</v>
      </c>
      <c r="U3388">
        <v>-1.7779849999999999</v>
      </c>
      <c r="V3388">
        <v>-8.8067870000000006E-2</v>
      </c>
      <c r="W3388">
        <v>-2.869153E-2</v>
      </c>
      <c r="X3388">
        <v>0.99570119999999895</v>
      </c>
      <c r="Y3388">
        <v>-0.38973020000000003</v>
      </c>
      <c r="Z3388" s="1">
        <v>-4.852936E-5</v>
      </c>
      <c r="AA3388">
        <v>0.92092909999999994</v>
      </c>
      <c r="AB3388">
        <v>9</v>
      </c>
      <c r="AC3388">
        <v>-11.1135999999999</v>
      </c>
      <c r="AD3388">
        <v>-1.111172607753</v>
      </c>
      <c r="AE3388">
        <v>-7.6485999999999796</v>
      </c>
      <c r="AF3388">
        <v>-5.2576586489479</v>
      </c>
      <c r="AG3388">
        <v>-1.111172607753</v>
      </c>
      <c r="AH3388">
        <v>12.3258145851454</v>
      </c>
      <c r="AI3388">
        <v>94.740197345881995</v>
      </c>
      <c r="AJ3388">
        <v>113.100995796915</v>
      </c>
      <c r="AK3388">
        <v>13.4463148936971</v>
      </c>
      <c r="AL3388">
        <v>91.644129177619106</v>
      </c>
      <c r="AM3388">
        <v>95.054548997135399</v>
      </c>
      <c r="AN3388">
        <v>1.0000000166507499</v>
      </c>
    </row>
    <row r="3389" spans="1:40" x14ac:dyDescent="0.25">
      <c r="A3389" t="str">
        <f>"20190312153951670"</f>
        <v>20190312153951670</v>
      </c>
      <c r="B3389" t="str">
        <f>"1552376391659568"</f>
        <v>1552376391659568</v>
      </c>
      <c r="C3389" t="s">
        <v>40</v>
      </c>
      <c r="D3389">
        <v>4.3726430000000001</v>
      </c>
      <c r="E3389">
        <v>0.37783159999999999</v>
      </c>
      <c r="F3389" t="s">
        <v>54</v>
      </c>
      <c r="G3389">
        <v>-489.84249999999997</v>
      </c>
      <c r="H3389" s="1">
        <v>1.3030320000000001E-6</v>
      </c>
      <c r="I3389">
        <v>273.33139999999997</v>
      </c>
      <c r="J3389">
        <v>-478.2484</v>
      </c>
      <c r="K3389">
        <v>1.1112</v>
      </c>
      <c r="L3389">
        <v>281.35289999999998</v>
      </c>
      <c r="M3389">
        <v>-0.9794001</v>
      </c>
      <c r="N3389">
        <v>0</v>
      </c>
      <c r="O3389">
        <v>-0.2014948</v>
      </c>
      <c r="P3389">
        <v>-0.95742229999999995</v>
      </c>
      <c r="Q3389">
        <v>-4.1449229999999997E-2</v>
      </c>
      <c r="R3389">
        <v>-0.28570000000000001</v>
      </c>
      <c r="S3389">
        <v>-2.5920719999999999</v>
      </c>
      <c r="T3389">
        <v>-0.24667829999999999</v>
      </c>
      <c r="U3389">
        <v>-1.785339</v>
      </c>
      <c r="V3389">
        <v>-8.6844379999999999E-2</v>
      </c>
      <c r="W3389">
        <v>-2.845605E-2</v>
      </c>
      <c r="X3389">
        <v>0.99581540000000002</v>
      </c>
      <c r="Y3389">
        <v>-0.38908280000000001</v>
      </c>
      <c r="Z3389">
        <v>2.4624169999999998E-4</v>
      </c>
      <c r="AA3389">
        <v>0.92120270000000004</v>
      </c>
      <c r="AB3389">
        <v>9</v>
      </c>
      <c r="AC3389">
        <v>-11.5940999999999</v>
      </c>
      <c r="AD3389">
        <v>-1.1111986969680001</v>
      </c>
      <c r="AE3389">
        <v>-8.0214999999999996</v>
      </c>
      <c r="AF3389">
        <v>-5.4865082251242097</v>
      </c>
      <c r="AG3389">
        <v>-1.1111986969680001</v>
      </c>
      <c r="AH3389">
        <v>12.892600269546801</v>
      </c>
      <c r="AI3389">
        <v>94.534433572060706</v>
      </c>
      <c r="AJ3389">
        <v>113.052412210562</v>
      </c>
      <c r="AK3389">
        <v>14.055450073150199</v>
      </c>
      <c r="AL3389">
        <v>91.6306316803242</v>
      </c>
      <c r="AM3389">
        <v>94.984115766074794</v>
      </c>
      <c r="AN3389">
        <v>1.0000000019981701</v>
      </c>
    </row>
    <row r="3390" spans="1:40" x14ac:dyDescent="0.25">
      <c r="A3390" t="str">
        <f>"20190312153951693"</f>
        <v>20190312153951693</v>
      </c>
      <c r="B3390" t="str">
        <f>"1552376391689432"</f>
        <v>1552376391689432</v>
      </c>
      <c r="C3390" t="s">
        <v>40</v>
      </c>
      <c r="D3390">
        <v>4.3685309999999999</v>
      </c>
      <c r="E3390">
        <v>0.37770239999999999</v>
      </c>
      <c r="F3390" t="s">
        <v>54</v>
      </c>
      <c r="G3390">
        <v>-490.0061</v>
      </c>
      <c r="H3390" s="1">
        <v>1.2666150000000001E-6</v>
      </c>
      <c r="I3390">
        <v>273.19940000000003</v>
      </c>
      <c r="J3390">
        <v>-478.33170000000001</v>
      </c>
      <c r="K3390">
        <v>1.111218</v>
      </c>
      <c r="L3390">
        <v>281.33170000000001</v>
      </c>
      <c r="M3390">
        <v>-0.9786994</v>
      </c>
      <c r="N3390">
        <v>0</v>
      </c>
      <c r="O3390">
        <v>-0.20487089999999999</v>
      </c>
      <c r="P3390">
        <v>-0.95673710000000001</v>
      </c>
      <c r="Q3390">
        <v>-4.290745E-2</v>
      </c>
      <c r="R3390">
        <v>-0.28777350000000002</v>
      </c>
      <c r="S3390">
        <v>-2.5874329999999999</v>
      </c>
      <c r="T3390">
        <v>-0.2445331</v>
      </c>
      <c r="U3390">
        <v>-1.794281</v>
      </c>
      <c r="V3390">
        <v>-8.5576630000000001E-2</v>
      </c>
      <c r="W3390">
        <v>-2.991133E-2</v>
      </c>
      <c r="X3390">
        <v>0.9958825</v>
      </c>
      <c r="Y3390">
        <v>-0.38885130000000001</v>
      </c>
      <c r="Z3390">
        <v>5.2678309999999999E-4</v>
      </c>
      <c r="AA3390">
        <v>0.92130040000000002</v>
      </c>
      <c r="AB3390">
        <v>9</v>
      </c>
      <c r="AC3390">
        <v>-11.674399999999901</v>
      </c>
      <c r="AD3390">
        <v>-1.1112167333849901</v>
      </c>
      <c r="AE3390">
        <v>-8.1322999999999794</v>
      </c>
      <c r="AF3390">
        <v>-5.5340627053203697</v>
      </c>
      <c r="AG3390">
        <v>-1.1112167333849901</v>
      </c>
      <c r="AH3390">
        <v>13.013565150996101</v>
      </c>
      <c r="AI3390">
        <v>94.493016484402801</v>
      </c>
      <c r="AJ3390">
        <v>113.03778794691</v>
      </c>
      <c r="AK3390">
        <v>14.184975523214501</v>
      </c>
      <c r="AL3390">
        <v>91.714048622218201</v>
      </c>
      <c r="AM3390">
        <v>94.911387119950305</v>
      </c>
      <c r="AN3390">
        <v>1.00000000053538</v>
      </c>
    </row>
    <row r="3391" spans="1:40" x14ac:dyDescent="0.25">
      <c r="A3391" t="str">
        <f>"20190312153951716"</f>
        <v>20190312153951716</v>
      </c>
      <c r="B3391" t="str">
        <f>"1552376391708951"</f>
        <v>1552376391708951</v>
      </c>
      <c r="C3391" t="s">
        <v>40</v>
      </c>
      <c r="D3391">
        <v>4.3796179999999998</v>
      </c>
      <c r="E3391">
        <v>0.37774029999999997</v>
      </c>
      <c r="F3391" t="s">
        <v>54</v>
      </c>
      <c r="G3391">
        <v>-489.58890000000002</v>
      </c>
      <c r="H3391" s="1">
        <v>1.332785E-6</v>
      </c>
      <c r="I3391">
        <v>273.47919999999999</v>
      </c>
      <c r="J3391">
        <v>-478.416</v>
      </c>
      <c r="K3391">
        <v>1.1112329999999999</v>
      </c>
      <c r="L3391">
        <v>281.30970000000002</v>
      </c>
      <c r="M3391">
        <v>-0.9779582</v>
      </c>
      <c r="N3391">
        <v>0</v>
      </c>
      <c r="O3391">
        <v>-0.20838010000000001</v>
      </c>
      <c r="P3391">
        <v>-0.95596919999999996</v>
      </c>
      <c r="Q3391">
        <v>-4.3199750000000002E-2</v>
      </c>
      <c r="R3391">
        <v>-0.29027059999999999</v>
      </c>
      <c r="S3391">
        <v>-2.5823969999999998</v>
      </c>
      <c r="T3391">
        <v>-0.2549129</v>
      </c>
      <c r="U3391">
        <v>-1.801361</v>
      </c>
      <c r="V3391">
        <v>-8.4605689999999997E-2</v>
      </c>
      <c r="W3391">
        <v>-3.0200640000000001E-2</v>
      </c>
      <c r="X3391">
        <v>0.99595670000000003</v>
      </c>
      <c r="Y3391">
        <v>-0.38805529999999999</v>
      </c>
      <c r="Z3391">
        <v>8.8044259999999896E-4</v>
      </c>
      <c r="AA3391">
        <v>0.92163569999999995</v>
      </c>
      <c r="AB3391">
        <v>9</v>
      </c>
      <c r="AC3391">
        <v>-11.1729</v>
      </c>
      <c r="AD3391">
        <v>-1.111231667215</v>
      </c>
      <c r="AE3391">
        <v>-7.8305000000000202</v>
      </c>
      <c r="AF3391">
        <v>-5.2950345787833797</v>
      </c>
      <c r="AG3391">
        <v>-1.111231667215</v>
      </c>
      <c r="AH3391">
        <v>12.476687070697899</v>
      </c>
      <c r="AI3391">
        <v>94.687015163873198</v>
      </c>
      <c r="AJ3391">
        <v>112.996089799405</v>
      </c>
      <c r="AK3391">
        <v>13.5992627472541</v>
      </c>
      <c r="AL3391">
        <v>91.730632400945694</v>
      </c>
      <c r="AM3391">
        <v>94.855571166136997</v>
      </c>
      <c r="AN3391">
        <v>0.99999997485583703</v>
      </c>
    </row>
    <row r="3392" spans="1:40" x14ac:dyDescent="0.25">
      <c r="A3392" t="str">
        <f>"20190312153951738"</f>
        <v>20190312153951738</v>
      </c>
      <c r="B3392" t="str">
        <f>"1552376391729447"</f>
        <v>1552376391729447</v>
      </c>
      <c r="C3392" t="s">
        <v>40</v>
      </c>
      <c r="D3392">
        <v>4.3908630000000004</v>
      </c>
      <c r="E3392">
        <v>0.37771169999999998</v>
      </c>
      <c r="F3392" t="s">
        <v>54</v>
      </c>
      <c r="G3392">
        <v>-489.42959999999999</v>
      </c>
      <c r="H3392" s="1">
        <v>1.35602999999999E-6</v>
      </c>
      <c r="I3392">
        <v>273.5849</v>
      </c>
      <c r="J3392">
        <v>-478.49340000000001</v>
      </c>
      <c r="K3392">
        <v>1.111256</v>
      </c>
      <c r="L3392">
        <v>281.28919999999999</v>
      </c>
      <c r="M3392">
        <v>-0.97724929999999999</v>
      </c>
      <c r="N3392">
        <v>0</v>
      </c>
      <c r="O3392">
        <v>-0.21167949999999999</v>
      </c>
      <c r="P3392">
        <v>-0.95543100000000003</v>
      </c>
      <c r="Q3392">
        <v>-4.2654419999999998E-2</v>
      </c>
      <c r="R3392">
        <v>-0.29211670000000001</v>
      </c>
      <c r="S3392">
        <v>-2.5775450000000002</v>
      </c>
      <c r="T3392">
        <v>-0.26006479999999998</v>
      </c>
      <c r="U3392">
        <v>-1.8078609999999999</v>
      </c>
      <c r="V3392">
        <v>-8.3163749999999995E-2</v>
      </c>
      <c r="W3392">
        <v>-2.9649729999999999E-2</v>
      </c>
      <c r="X3392">
        <v>0.9960947</v>
      </c>
      <c r="Y3392">
        <v>-0.38730799999999999</v>
      </c>
      <c r="Z3392">
        <v>1.2161679999999999E-3</v>
      </c>
      <c r="AA3392">
        <v>0.92194960000000004</v>
      </c>
      <c r="AB3392">
        <v>9</v>
      </c>
      <c r="AC3392">
        <v>-10.9361999999999</v>
      </c>
      <c r="AD3392">
        <v>-1.11125464397</v>
      </c>
      <c r="AE3392">
        <v>-7.7042999999999804</v>
      </c>
      <c r="AF3392">
        <v>-5.1787742556819403</v>
      </c>
      <c r="AG3392">
        <v>-1.11125464397</v>
      </c>
      <c r="AH3392">
        <v>12.234891217710899</v>
      </c>
      <c r="AI3392">
        <v>94.781223583733194</v>
      </c>
      <c r="AJ3392">
        <v>112.941926986816</v>
      </c>
      <c r="AK3392">
        <v>13.332184846613799</v>
      </c>
      <c r="AL3392">
        <v>91.699053424111597</v>
      </c>
      <c r="AM3392">
        <v>94.772544783389606</v>
      </c>
      <c r="AN3392">
        <v>0.99999998358561204</v>
      </c>
    </row>
    <row r="3393" spans="1:40" x14ac:dyDescent="0.25">
      <c r="A3393" t="str">
        <f>"20190312153951759"</f>
        <v>20190312153951759</v>
      </c>
      <c r="B3393" t="str">
        <f>"1552376391748968"</f>
        <v>1552376391748968</v>
      </c>
      <c r="C3393" t="s">
        <v>40</v>
      </c>
      <c r="D3393">
        <v>4.3876660000000003</v>
      </c>
      <c r="E3393">
        <v>0.37771480000000002</v>
      </c>
      <c r="F3393" t="s">
        <v>54</v>
      </c>
      <c r="G3393">
        <v>-489.37970000000001</v>
      </c>
      <c r="H3393" s="1">
        <v>1.364007E-6</v>
      </c>
      <c r="I3393">
        <v>273.62</v>
      </c>
      <c r="J3393">
        <v>-478.57229999999998</v>
      </c>
      <c r="K3393">
        <v>1.1112740000000001</v>
      </c>
      <c r="L3393">
        <v>281.26780000000002</v>
      </c>
      <c r="M3393">
        <v>-0.97649680000000005</v>
      </c>
      <c r="N3393">
        <v>0</v>
      </c>
      <c r="O3393">
        <v>-0.21512410000000001</v>
      </c>
      <c r="P3393">
        <v>-0.95470350000000004</v>
      </c>
      <c r="Q3393">
        <v>-4.1969699999999902E-2</v>
      </c>
      <c r="R3393">
        <v>-0.29458489999999998</v>
      </c>
      <c r="S3393">
        <v>-2.5738530000000002</v>
      </c>
      <c r="T3393">
        <v>-0.262735099999999</v>
      </c>
      <c r="U3393">
        <v>-1.813232</v>
      </c>
      <c r="V3393">
        <v>-8.2220169999999995E-2</v>
      </c>
      <c r="W3393">
        <v>-2.8960920000000001E-2</v>
      </c>
      <c r="X3393">
        <v>0.99619329999999995</v>
      </c>
      <c r="Y3393">
        <v>-0.38596960000000002</v>
      </c>
      <c r="Z3393">
        <v>1.5896319999999999E-3</v>
      </c>
      <c r="AA3393">
        <v>0.9225101</v>
      </c>
      <c r="AB3393">
        <v>9</v>
      </c>
      <c r="AC3393">
        <v>-10.807399999999999</v>
      </c>
      <c r="AD3393">
        <v>-1.1112726359930001</v>
      </c>
      <c r="AE3393">
        <v>-7.6478000000000099</v>
      </c>
      <c r="AF3393">
        <v>-5.1075882337397998</v>
      </c>
      <c r="AG3393">
        <v>-1.1112726359930001</v>
      </c>
      <c r="AH3393">
        <v>12.114342153471499</v>
      </c>
      <c r="AI3393">
        <v>94.831522977038205</v>
      </c>
      <c r="AJ3393">
        <v>112.861017319684</v>
      </c>
      <c r="AK3393">
        <v>13.1939255056379</v>
      </c>
      <c r="AL3393">
        <v>91.659570546689196</v>
      </c>
      <c r="AM3393">
        <v>94.718176234488197</v>
      </c>
      <c r="AN3393">
        <v>0.99999999110348203</v>
      </c>
    </row>
    <row r="3394" spans="1:40" x14ac:dyDescent="0.25">
      <c r="A3394" t="str">
        <f>"20190312153951782"</f>
        <v>20190312153951782</v>
      </c>
      <c r="B3394" t="str">
        <f>"1552376391779730"</f>
        <v>1552376391779730</v>
      </c>
      <c r="C3394" t="s">
        <v>40</v>
      </c>
      <c r="D3394">
        <v>4.4297599999999999</v>
      </c>
      <c r="E3394">
        <v>0.37778990000000001</v>
      </c>
      <c r="F3394" t="s">
        <v>54</v>
      </c>
      <c r="G3394">
        <v>-489.37150000000003</v>
      </c>
      <c r="H3394" s="1">
        <v>1.362682E-6</v>
      </c>
      <c r="I3394">
        <v>273.61829999999998</v>
      </c>
      <c r="J3394">
        <v>-478.65469999999999</v>
      </c>
      <c r="K3394">
        <v>1.111286</v>
      </c>
      <c r="L3394">
        <v>281.245</v>
      </c>
      <c r="M3394">
        <v>-0.97568220000000005</v>
      </c>
      <c r="N3394">
        <v>0</v>
      </c>
      <c r="O3394">
        <v>-0.21878929999999999</v>
      </c>
      <c r="P3394">
        <v>-0.9541596</v>
      </c>
      <c r="Q3394">
        <v>-4.1683980000000002E-2</v>
      </c>
      <c r="R3394">
        <v>-0.29638219999999998</v>
      </c>
      <c r="S3394">
        <v>-2.5691830000000002</v>
      </c>
      <c r="T3394">
        <v>-0.26437709999999998</v>
      </c>
      <c r="U3394">
        <v>-1.819855</v>
      </c>
      <c r="V3394">
        <v>-8.0353389999999997E-2</v>
      </c>
      <c r="W3394">
        <v>-2.866695E-2</v>
      </c>
      <c r="X3394">
        <v>0.99635410000000002</v>
      </c>
      <c r="Y3394">
        <v>-0.38488860000000003</v>
      </c>
      <c r="Z3394">
        <v>1.970341E-3</v>
      </c>
      <c r="AA3394">
        <v>0.92296089999999997</v>
      </c>
      <c r="AB3394">
        <v>8</v>
      </c>
      <c r="AC3394">
        <v>-10.716799999999999</v>
      </c>
      <c r="AD3394">
        <v>-1.1112846373180001</v>
      </c>
      <c r="AE3394">
        <v>-7.62670000000002</v>
      </c>
      <c r="AF3394">
        <v>-5.0608383329151296</v>
      </c>
      <c r="AG3394">
        <v>-1.1112846373180001</v>
      </c>
      <c r="AH3394">
        <v>12.0399567465748</v>
      </c>
      <c r="AI3394">
        <v>94.863494436496396</v>
      </c>
      <c r="AJ3394">
        <v>112.79881320929</v>
      </c>
      <c r="AK3394">
        <v>13.107539686624399</v>
      </c>
      <c r="AL3394">
        <v>91.642720333089997</v>
      </c>
      <c r="AM3394">
        <v>94.610778035695702</v>
      </c>
      <c r="AN3394">
        <v>0.99999997694680198</v>
      </c>
    </row>
    <row r="3395" spans="1:40" x14ac:dyDescent="0.25">
      <c r="A3395" t="str">
        <f>"20190312153951806"</f>
        <v>20190312153951806</v>
      </c>
      <c r="B3395" t="str">
        <f>"1552376391799251"</f>
        <v>1552376391799251</v>
      </c>
      <c r="C3395" t="s">
        <v>40</v>
      </c>
      <c r="D3395">
        <v>4.432455</v>
      </c>
      <c r="E3395">
        <v>0.37783050000000001</v>
      </c>
      <c r="F3395" t="s">
        <v>54</v>
      </c>
      <c r="G3395">
        <v>-489.35359999999997</v>
      </c>
      <c r="H3395" s="1">
        <v>1.3686229999999999E-6</v>
      </c>
      <c r="I3395">
        <v>273.63959999999997</v>
      </c>
      <c r="J3395">
        <v>-478.7373</v>
      </c>
      <c r="K3395">
        <v>1.1112879999999901</v>
      </c>
      <c r="L3395">
        <v>281.22179999999997</v>
      </c>
      <c r="M3395">
        <v>-0.9748367</v>
      </c>
      <c r="N3395">
        <v>0</v>
      </c>
      <c r="O3395">
        <v>-0.22252559999999999</v>
      </c>
      <c r="P3395">
        <v>-0.95325510000000002</v>
      </c>
      <c r="Q3395">
        <v>-4.193914E-2</v>
      </c>
      <c r="R3395">
        <v>-0.29924269999999997</v>
      </c>
      <c r="S3395">
        <v>-2.5659179999999999</v>
      </c>
      <c r="T3395">
        <v>-0.26651760000000002</v>
      </c>
      <c r="U3395">
        <v>-1.8240050000000001</v>
      </c>
      <c r="V3395">
        <v>-7.9527070000000005E-2</v>
      </c>
      <c r="W3395">
        <v>-2.8917310000000002E-2</v>
      </c>
      <c r="X3395">
        <v>0.9964132</v>
      </c>
      <c r="Y3395">
        <v>-0.38290869999999999</v>
      </c>
      <c r="Z3395">
        <v>2.4083289999999999E-3</v>
      </c>
      <c r="AA3395">
        <v>0.92378309999999997</v>
      </c>
      <c r="AB3395">
        <v>8</v>
      </c>
      <c r="AC3395">
        <v>-10.616299999999899</v>
      </c>
      <c r="AD3395">
        <v>-1.11128663137699</v>
      </c>
      <c r="AE3395">
        <v>-7.5822000000000003</v>
      </c>
      <c r="AF3395">
        <v>-4.9932189719517597</v>
      </c>
      <c r="AG3395">
        <v>-1.11128663137699</v>
      </c>
      <c r="AH3395">
        <v>11.950734542278401</v>
      </c>
      <c r="AI3395">
        <v>94.904019029830906</v>
      </c>
      <c r="AJ3395">
        <v>112.675996942842</v>
      </c>
      <c r="AK3395">
        <v>12.999509597632599</v>
      </c>
      <c r="AL3395">
        <v>91.657070790497002</v>
      </c>
      <c r="AM3395">
        <v>94.563294540206797</v>
      </c>
      <c r="AN3395">
        <v>1.0000000154073301</v>
      </c>
    </row>
    <row r="3396" spans="1:40" x14ac:dyDescent="0.25">
      <c r="A3396" t="str">
        <f>"20190312153951826"</f>
        <v>20190312153951826</v>
      </c>
      <c r="B3396" t="str">
        <f>"1552376391818773"</f>
        <v>1552376391818773</v>
      </c>
      <c r="C3396" t="s">
        <v>40</v>
      </c>
      <c r="D3396">
        <v>4.366168</v>
      </c>
      <c r="E3396">
        <v>0.3780135</v>
      </c>
      <c r="F3396" t="s">
        <v>54</v>
      </c>
      <c r="G3396">
        <v>-489.32749999999999</v>
      </c>
      <c r="H3396" s="1">
        <v>1.3684830000000001E-6</v>
      </c>
      <c r="I3396">
        <v>273.64569999999998</v>
      </c>
      <c r="J3396">
        <v>-478.81229999999999</v>
      </c>
      <c r="K3396">
        <v>1.111286</v>
      </c>
      <c r="L3396">
        <v>281.2004</v>
      </c>
      <c r="M3396">
        <v>-0.97404429999999997</v>
      </c>
      <c r="N3396">
        <v>0</v>
      </c>
      <c r="O3396">
        <v>-0.2259689</v>
      </c>
      <c r="P3396">
        <v>-0.95224580000000003</v>
      </c>
      <c r="Q3396">
        <v>-4.1271589999999997E-2</v>
      </c>
      <c r="R3396">
        <v>-0.30253079999999999</v>
      </c>
      <c r="S3396">
        <v>-2.560333</v>
      </c>
      <c r="T3396">
        <v>-0.26867010000000002</v>
      </c>
      <c r="U3396">
        <v>-1.8316349999999999</v>
      </c>
      <c r="V3396">
        <v>-7.9440209999999997E-2</v>
      </c>
      <c r="W3396">
        <v>-2.824722E-2</v>
      </c>
      <c r="X3396">
        <v>0.99643930000000003</v>
      </c>
      <c r="Y3396">
        <v>-0.38242330000000002</v>
      </c>
      <c r="Z3396">
        <v>2.757261E-3</v>
      </c>
      <c r="AA3396">
        <v>0.9239832</v>
      </c>
      <c r="AB3396">
        <v>8</v>
      </c>
      <c r="AC3396">
        <v>-10.515199999999901</v>
      </c>
      <c r="AD3396">
        <v>-1.111284631517</v>
      </c>
      <c r="AE3396">
        <v>-7.55470000000002</v>
      </c>
      <c r="AF3396">
        <v>-4.9465034409555901</v>
      </c>
      <c r="AG3396">
        <v>-1.111284631517</v>
      </c>
      <c r="AH3396">
        <v>11.863058049025099</v>
      </c>
      <c r="AI3396">
        <v>94.941561024487399</v>
      </c>
      <c r="AJ3396">
        <v>112.634524508738</v>
      </c>
      <c r="AK3396">
        <v>12.9009688046352</v>
      </c>
      <c r="AL3396">
        <v>91.618661850038293</v>
      </c>
      <c r="AM3396">
        <v>94.558212600563294</v>
      </c>
      <c r="AN3396">
        <v>0.99999996549352999</v>
      </c>
    </row>
    <row r="3397" spans="1:40" x14ac:dyDescent="0.25">
      <c r="A3397" t="str">
        <f>"20190312153951849"</f>
        <v>20190312153951849</v>
      </c>
      <c r="B3397" t="str">
        <f>"1552376391839266"</f>
        <v>1552376391839266</v>
      </c>
      <c r="C3397" t="s">
        <v>40</v>
      </c>
      <c r="D3397">
        <v>4.3943190000000003</v>
      </c>
      <c r="E3397">
        <v>0.37818570000000001</v>
      </c>
      <c r="F3397" t="s">
        <v>54</v>
      </c>
      <c r="G3397">
        <v>-489.50400000000002</v>
      </c>
      <c r="H3397" s="1">
        <v>1.3338789999999999E-6</v>
      </c>
      <c r="I3397">
        <v>273.50360000000001</v>
      </c>
      <c r="J3397">
        <v>-478.89060000000001</v>
      </c>
      <c r="K3397">
        <v>1.1112799999999901</v>
      </c>
      <c r="L3397">
        <v>281.17770000000002</v>
      </c>
      <c r="M3397">
        <v>-0.97319029999999995</v>
      </c>
      <c r="N3397">
        <v>0</v>
      </c>
      <c r="O3397">
        <v>-0.2296185</v>
      </c>
      <c r="P3397">
        <v>-0.95097319999999996</v>
      </c>
      <c r="Q3397">
        <v>-4.076511E-2</v>
      </c>
      <c r="R3397">
        <v>-0.3065754</v>
      </c>
      <c r="S3397">
        <v>-2.5546570000000002</v>
      </c>
      <c r="T3397">
        <v>-0.265528599999999</v>
      </c>
      <c r="U3397">
        <v>-1.839081</v>
      </c>
      <c r="V3397">
        <v>-7.993691E-2</v>
      </c>
      <c r="W3397">
        <v>-2.7740419999999998E-2</v>
      </c>
      <c r="X3397">
        <v>0.99641380000000002</v>
      </c>
      <c r="Y3397">
        <v>-0.38173449999999998</v>
      </c>
      <c r="Z3397">
        <v>3.0787420000000002E-3</v>
      </c>
      <c r="AA3397">
        <v>0.9242669</v>
      </c>
      <c r="AB3397">
        <v>8</v>
      </c>
      <c r="AC3397">
        <v>-10.6134</v>
      </c>
      <c r="AD3397">
        <v>-1.1112786661209999</v>
      </c>
      <c r="AE3397">
        <v>-7.6741000000000099</v>
      </c>
      <c r="AF3397">
        <v>-4.99580316495312</v>
      </c>
      <c r="AG3397">
        <v>-1.1112786661209999</v>
      </c>
      <c r="AH3397">
        <v>12.005605313623301</v>
      </c>
      <c r="AI3397">
        <v>94.8846040218246</v>
      </c>
      <c r="AJ3397">
        <v>112.593296277127</v>
      </c>
      <c r="AK3397">
        <v>13.050959676714699</v>
      </c>
      <c r="AL3397">
        <v>91.589612986889705</v>
      </c>
      <c r="AM3397">
        <v>94.586708482769595</v>
      </c>
      <c r="AN3397">
        <v>0.999999950656281</v>
      </c>
    </row>
    <row r="3398" spans="1:40" x14ac:dyDescent="0.25">
      <c r="A3398" t="str">
        <f>"20190312153951871"</f>
        <v>20190312153951871</v>
      </c>
      <c r="B3398" t="str">
        <f>"1552376391858785"</f>
        <v>1552376391858785</v>
      </c>
      <c r="C3398" t="s">
        <v>40</v>
      </c>
      <c r="D3398">
        <v>4.7882490000000004</v>
      </c>
      <c r="E3398">
        <v>0.39670840000000002</v>
      </c>
      <c r="F3398" t="s">
        <v>54</v>
      </c>
      <c r="G3398">
        <v>-489.58960000000002</v>
      </c>
      <c r="H3398" s="1">
        <v>1.3101280000000001E-6</v>
      </c>
      <c r="I3398">
        <v>273.41489999999999</v>
      </c>
      <c r="J3398">
        <v>-478.971</v>
      </c>
      <c r="K3398">
        <v>1.1112679999999999</v>
      </c>
      <c r="L3398">
        <v>281.15390000000002</v>
      </c>
      <c r="M3398">
        <v>-0.97228519999999896</v>
      </c>
      <c r="N3398">
        <v>0</v>
      </c>
      <c r="O3398">
        <v>-0.23342160000000001</v>
      </c>
      <c r="P3398">
        <v>-0.9493393</v>
      </c>
      <c r="Q3398">
        <v>-4.2212020000000003E-2</v>
      </c>
      <c r="R3398">
        <v>-0.31140489999999998</v>
      </c>
      <c r="S3398">
        <v>-2.547485</v>
      </c>
      <c r="T3398">
        <v>-0.26460009999999901</v>
      </c>
      <c r="U3398">
        <v>-1.8483579999999999</v>
      </c>
      <c r="V3398">
        <v>-8.1116560000000004E-2</v>
      </c>
      <c r="W3398">
        <v>-2.9190899999999999E-2</v>
      </c>
      <c r="X3398">
        <v>0.99627710000000003</v>
      </c>
      <c r="Y3398">
        <v>-0.38157930000000001</v>
      </c>
      <c r="Z3398">
        <v>3.4097580000000001E-3</v>
      </c>
      <c r="AA3398">
        <v>0.92432979999999998</v>
      </c>
      <c r="AB3398">
        <v>8</v>
      </c>
      <c r="AC3398">
        <v>-10.618600000000001</v>
      </c>
      <c r="AD3398">
        <v>-1.1112666898719901</v>
      </c>
      <c r="AE3398">
        <v>-7.7390000000000301</v>
      </c>
      <c r="AF3398">
        <v>-5.0105089376414398</v>
      </c>
      <c r="AG3398">
        <v>-1.1112666898719901</v>
      </c>
      <c r="AH3398">
        <v>12.045663482782301</v>
      </c>
      <c r="AI3398">
        <v>94.8686662058644</v>
      </c>
      <c r="AJ3398">
        <v>112.585335509828</v>
      </c>
      <c r="AK3398">
        <v>13.093438135594401</v>
      </c>
      <c r="AL3398">
        <v>91.672752934456994</v>
      </c>
      <c r="AM3398">
        <v>94.654736329523502</v>
      </c>
      <c r="AN3398">
        <v>1.00000003246672</v>
      </c>
    </row>
    <row r="3399" spans="1:40" x14ac:dyDescent="0.25">
      <c r="A3399" t="str">
        <f>"20190312153951894"</f>
        <v>20190312153951894</v>
      </c>
      <c r="B3399" t="str">
        <f>"1552376391889042"</f>
        <v>1552376391889042</v>
      </c>
      <c r="C3399" t="s">
        <v>40</v>
      </c>
      <c r="D3399">
        <v>4.4077070000000003</v>
      </c>
      <c r="E3399">
        <v>0.40280070000000001</v>
      </c>
      <c r="F3399" t="s">
        <v>54</v>
      </c>
      <c r="G3399">
        <v>-491.04730000000001</v>
      </c>
      <c r="H3399" s="1">
        <v>1.237944E-6</v>
      </c>
      <c r="I3399">
        <v>273.11829999999998</v>
      </c>
      <c r="J3399">
        <v>-479.04880000000003</v>
      </c>
      <c r="K3399">
        <v>1.1112690000000001</v>
      </c>
      <c r="L3399">
        <v>281.13060000000002</v>
      </c>
      <c r="M3399">
        <v>-0.97138310000000005</v>
      </c>
      <c r="N3399">
        <v>0</v>
      </c>
      <c r="O3399">
        <v>-0.23714730000000001</v>
      </c>
      <c r="P3399">
        <v>-0.94784789999999997</v>
      </c>
      <c r="Q3399">
        <v>-4.273395E-2</v>
      </c>
      <c r="R3399">
        <v>-0.31584489999999998</v>
      </c>
      <c r="S3399">
        <v>-2.5852659999999998</v>
      </c>
      <c r="T3399">
        <v>-0.23789750000000001</v>
      </c>
      <c r="U3399">
        <v>-1.720245</v>
      </c>
      <c r="V3399">
        <v>-8.1964199999999904E-2</v>
      </c>
      <c r="W3399">
        <v>-2.971526E-2</v>
      </c>
      <c r="X3399">
        <v>0.99619219999999997</v>
      </c>
      <c r="Y3399">
        <v>-0.34041389999999999</v>
      </c>
      <c r="Z3399">
        <v>5.1044860000000001E-3</v>
      </c>
      <c r="AA3399">
        <v>0.94026180000000004</v>
      </c>
      <c r="AB3399">
        <v>8</v>
      </c>
      <c r="AC3399">
        <v>-11.9984999999999</v>
      </c>
      <c r="AD3399">
        <v>-1.1112677620559901</v>
      </c>
      <c r="AE3399">
        <v>-8.01230000000003</v>
      </c>
      <c r="AF3399">
        <v>-4.9089134194794202</v>
      </c>
      <c r="AG3399">
        <v>-1.1112677620559901</v>
      </c>
      <c r="AH3399">
        <v>13.476479376001601</v>
      </c>
      <c r="AI3399">
        <v>94.430408483296006</v>
      </c>
      <c r="AJ3399">
        <v>110.014550187534</v>
      </c>
      <c r="AK3399">
        <v>14.385681887582701</v>
      </c>
      <c r="AL3399">
        <v>91.702809621505494</v>
      </c>
      <c r="AM3399">
        <v>94.703558660956404</v>
      </c>
      <c r="AN3399">
        <v>1.00000001304967</v>
      </c>
    </row>
    <row r="3400" spans="1:40" x14ac:dyDescent="0.25">
      <c r="A3400" t="str">
        <f>"20190312153951917"</f>
        <v>20190312153951917</v>
      </c>
      <c r="B3400" t="str">
        <f>"1552376391909539"</f>
        <v>1552376391909539</v>
      </c>
      <c r="C3400" t="s">
        <v>40</v>
      </c>
      <c r="D3400">
        <v>4.3659059999999998</v>
      </c>
      <c r="E3400">
        <v>0.4041206</v>
      </c>
      <c r="F3400" t="s">
        <v>54</v>
      </c>
      <c r="G3400">
        <v>-491.10480000000001</v>
      </c>
      <c r="H3400" s="1">
        <v>1.297544E-6</v>
      </c>
      <c r="I3400">
        <v>273.2869</v>
      </c>
      <c r="J3400">
        <v>-479.12729999999999</v>
      </c>
      <c r="K3400">
        <v>1.1112799999999901</v>
      </c>
      <c r="L3400">
        <v>281.10669999999999</v>
      </c>
      <c r="M3400">
        <v>-0.97044759999999997</v>
      </c>
      <c r="N3400">
        <v>0</v>
      </c>
      <c r="O3400">
        <v>-0.24094689999999999</v>
      </c>
      <c r="P3400">
        <v>-0.94662109999999999</v>
      </c>
      <c r="Q3400">
        <v>-4.1781619999999998E-2</v>
      </c>
      <c r="R3400">
        <v>-0.31962960000000001</v>
      </c>
      <c r="S3400">
        <v>-2.5923159999999998</v>
      </c>
      <c r="T3400">
        <v>-0.23894950000000001</v>
      </c>
      <c r="U3400">
        <v>-1.6865840000000001</v>
      </c>
      <c r="V3400">
        <v>-8.2037750000000007E-2</v>
      </c>
      <c r="W3400">
        <v>-2.8762659999999999E-2</v>
      </c>
      <c r="X3400">
        <v>0.99621409999999999</v>
      </c>
      <c r="Y3400">
        <v>-0.32703759999999998</v>
      </c>
      <c r="Z3400">
        <v>6.0004919999999996E-3</v>
      </c>
      <c r="AA3400">
        <v>0.94499219999999895</v>
      </c>
      <c r="AB3400">
        <v>8</v>
      </c>
      <c r="AC3400">
        <v>-11.977499999999999</v>
      </c>
      <c r="AD3400">
        <v>-1.11127870245599</v>
      </c>
      <c r="AE3400">
        <v>-7.8197999999999803</v>
      </c>
      <c r="AF3400">
        <v>-4.67496250793537</v>
      </c>
      <c r="AG3400">
        <v>-1.11127870245599</v>
      </c>
      <c r="AH3400">
        <v>13.4278369555591</v>
      </c>
      <c r="AI3400">
        <v>94.469035325975398</v>
      </c>
      <c r="AJ3400">
        <v>109.195794651611</v>
      </c>
      <c r="AK3400">
        <v>14.2617327176684</v>
      </c>
      <c r="AL3400">
        <v>91.648206323215206</v>
      </c>
      <c r="AM3400">
        <v>94.707657377142098</v>
      </c>
      <c r="AN3400">
        <v>1.0000000080370699</v>
      </c>
    </row>
    <row r="3401" spans="1:40" x14ac:dyDescent="0.25">
      <c r="A3401" t="str">
        <f>"20190312153951938"</f>
        <v>20190312153951938</v>
      </c>
      <c r="B3401" t="str">
        <f>"1552376391929058"</f>
        <v>1552376391929058</v>
      </c>
      <c r="C3401" t="s">
        <v>40</v>
      </c>
      <c r="D3401">
        <v>4.3850160000000002</v>
      </c>
      <c r="E3401">
        <v>0.40515380000000001</v>
      </c>
      <c r="F3401" t="s">
        <v>54</v>
      </c>
      <c r="G3401">
        <v>-491.267</v>
      </c>
      <c r="H3401" s="1">
        <v>1.265614E-6</v>
      </c>
      <c r="I3401">
        <v>273.19659999999999</v>
      </c>
      <c r="J3401">
        <v>-479.20269999999999</v>
      </c>
      <c r="K3401">
        <v>1.1112820000000001</v>
      </c>
      <c r="L3401">
        <v>281.08330000000001</v>
      </c>
      <c r="M3401">
        <v>-0.96952139999999998</v>
      </c>
      <c r="N3401">
        <v>0</v>
      </c>
      <c r="O3401">
        <v>-0.24464759999999999</v>
      </c>
      <c r="P3401">
        <v>-0.9454342</v>
      </c>
      <c r="Q3401">
        <v>-4.0618719999999997E-2</v>
      </c>
      <c r="R3401">
        <v>-0.32327149999999999</v>
      </c>
      <c r="S3401">
        <v>-2.5890810000000002</v>
      </c>
      <c r="T3401">
        <v>-0.23700679999999999</v>
      </c>
      <c r="U3401">
        <v>-1.687012</v>
      </c>
      <c r="V3401">
        <v>-8.2062289999999996E-2</v>
      </c>
      <c r="W3401">
        <v>-2.7599390000000001E-2</v>
      </c>
      <c r="X3401">
        <v>0.99624500000000005</v>
      </c>
      <c r="Y3401">
        <v>-0.324102099999999</v>
      </c>
      <c r="Z3401">
        <v>6.3704240000000004E-3</v>
      </c>
      <c r="AA3401">
        <v>0.94600059999999997</v>
      </c>
      <c r="AB3401">
        <v>8</v>
      </c>
      <c r="AC3401">
        <v>-12.064299999999999</v>
      </c>
      <c r="AD3401">
        <v>-1.1112807343859901</v>
      </c>
      <c r="AE3401">
        <v>-7.88670000000001</v>
      </c>
      <c r="AF3401">
        <v>-4.66748944954713</v>
      </c>
      <c r="AG3401">
        <v>-1.1112807343859901</v>
      </c>
      <c r="AH3401">
        <v>13.5467292669614</v>
      </c>
      <c r="AI3401">
        <v>94.4349027630862</v>
      </c>
      <c r="AJ3401">
        <v>109.011253920001</v>
      </c>
      <c r="AK3401">
        <v>14.3713004444483</v>
      </c>
      <c r="AL3401">
        <v>91.581529353360594</v>
      </c>
      <c r="AM3401">
        <v>94.708913847808802</v>
      </c>
      <c r="AN3401">
        <v>1.0000000228967001</v>
      </c>
    </row>
    <row r="3402" spans="1:40" x14ac:dyDescent="0.25">
      <c r="A3402" t="str">
        <f>"20190312153951960"</f>
        <v>20190312153951960</v>
      </c>
      <c r="B3402" t="str">
        <f>"1552376391949554"</f>
        <v>1552376391949554</v>
      </c>
      <c r="C3402" t="s">
        <v>40</v>
      </c>
      <c r="D3402">
        <v>4.3996500000000003</v>
      </c>
      <c r="E3402">
        <v>0.40590769999999998</v>
      </c>
      <c r="F3402" t="s">
        <v>54</v>
      </c>
      <c r="G3402">
        <v>-490.85120000000001</v>
      </c>
      <c r="H3402" s="1">
        <v>1.362497E-6</v>
      </c>
      <c r="I3402">
        <v>273.47070000000002</v>
      </c>
      <c r="J3402">
        <v>-479.27949999999998</v>
      </c>
      <c r="K3402">
        <v>1.111281</v>
      </c>
      <c r="L3402">
        <v>281.0591</v>
      </c>
      <c r="M3402">
        <v>-0.96855409999999997</v>
      </c>
      <c r="N3402">
        <v>0</v>
      </c>
      <c r="O3402">
        <v>-0.24845020000000001</v>
      </c>
      <c r="P3402">
        <v>-0.94419010000000003</v>
      </c>
      <c r="Q3402">
        <v>-3.9497129999999998E-2</v>
      </c>
      <c r="R3402">
        <v>-0.32702579999999998</v>
      </c>
      <c r="S3402">
        <v>-2.5849299999999999</v>
      </c>
      <c r="T3402">
        <v>-0.24660650000000001</v>
      </c>
      <c r="U3402">
        <v>-1.6893309999999999</v>
      </c>
      <c r="V3402">
        <v>-8.210278E-2</v>
      </c>
      <c r="W3402">
        <v>-2.6482470000000001E-2</v>
      </c>
      <c r="X3402">
        <v>0.99627200000000005</v>
      </c>
      <c r="Y3402">
        <v>-0.3216772</v>
      </c>
      <c r="Z3402">
        <v>7.050026E-3</v>
      </c>
      <c r="AA3402">
        <v>0.94682310000000003</v>
      </c>
      <c r="AB3402">
        <v>8</v>
      </c>
      <c r="AC3402">
        <v>-11.5717</v>
      </c>
      <c r="AD3402">
        <v>-1.1112796375030001</v>
      </c>
      <c r="AE3402">
        <v>-7.5883999999999698</v>
      </c>
      <c r="AF3402">
        <v>-4.44650104275581</v>
      </c>
      <c r="AG3402">
        <v>-1.1112796375030001</v>
      </c>
      <c r="AH3402">
        <v>13.010399239719399</v>
      </c>
      <c r="AI3402">
        <v>94.620872315558501</v>
      </c>
      <c r="AJ3402">
        <v>108.86864021524001</v>
      </c>
      <c r="AK3402">
        <v>13.794085773723699</v>
      </c>
      <c r="AL3402">
        <v>91.517511109442196</v>
      </c>
      <c r="AM3402">
        <v>94.711099692311294</v>
      </c>
      <c r="AN3402">
        <v>1.00000004284251</v>
      </c>
    </row>
    <row r="3403" spans="1:40" x14ac:dyDescent="0.25">
      <c r="A3403" t="str">
        <f>"20190312153951984"</f>
        <v>20190312153951984</v>
      </c>
      <c r="B3403" t="str">
        <f>"1552376391978834"</f>
        <v>1552376391978834</v>
      </c>
      <c r="C3403" t="s">
        <v>40</v>
      </c>
      <c r="D3403">
        <v>4.3607940000000003</v>
      </c>
      <c r="E3403">
        <v>0.40676020000000002</v>
      </c>
      <c r="F3403" t="s">
        <v>54</v>
      </c>
      <c r="G3403">
        <v>-490.81630000000001</v>
      </c>
      <c r="H3403" s="1">
        <v>1.3666260000000001E-6</v>
      </c>
      <c r="I3403">
        <v>273.48230000000001</v>
      </c>
      <c r="J3403">
        <v>-479.35910000000001</v>
      </c>
      <c r="K3403">
        <v>1.111273</v>
      </c>
      <c r="L3403">
        <v>281.03359999999998</v>
      </c>
      <c r="M3403">
        <v>-0.96752360000000004</v>
      </c>
      <c r="N3403">
        <v>0</v>
      </c>
      <c r="O3403">
        <v>-0.25243369999999998</v>
      </c>
      <c r="P3403">
        <v>-0.94287699999999997</v>
      </c>
      <c r="Q3403">
        <v>-4.0464470000000002E-2</v>
      </c>
      <c r="R3403">
        <v>-0.330675</v>
      </c>
      <c r="S3403">
        <v>-2.5800779999999999</v>
      </c>
      <c r="T3403">
        <v>-0.24852489999999999</v>
      </c>
      <c r="U3403">
        <v>-1.694458</v>
      </c>
      <c r="V3403">
        <v>-8.1864980000000004E-2</v>
      </c>
      <c r="W3403">
        <v>-2.7463370000000001E-2</v>
      </c>
      <c r="X3403">
        <v>0.99626499999999996</v>
      </c>
      <c r="Y3403">
        <v>-0.31992490000000001</v>
      </c>
      <c r="Z3403">
        <v>7.5153240000000003E-3</v>
      </c>
      <c r="AA3403">
        <v>0.94741310000000001</v>
      </c>
      <c r="AB3403">
        <v>8</v>
      </c>
      <c r="AC3403">
        <v>-11.4572</v>
      </c>
      <c r="AD3403">
        <v>-1.111271633374</v>
      </c>
      <c r="AE3403">
        <v>-7.5512999999999604</v>
      </c>
      <c r="AF3403">
        <v>-4.3855015700591196</v>
      </c>
      <c r="AG3403">
        <v>-1.111271633374</v>
      </c>
      <c r="AH3403">
        <v>12.9077952326319</v>
      </c>
      <c r="AI3403">
        <v>94.660254372315094</v>
      </c>
      <c r="AJ3403">
        <v>108.765503522655</v>
      </c>
      <c r="AK3403">
        <v>13.6776725517059</v>
      </c>
      <c r="AL3403">
        <v>91.573733013674797</v>
      </c>
      <c r="AM3403">
        <v>94.6975486173869</v>
      </c>
      <c r="AN3403">
        <v>1.0000000309335699</v>
      </c>
    </row>
    <row r="3404" spans="1:40" x14ac:dyDescent="0.25">
      <c r="A3404" t="str">
        <f>"20190312153952006"</f>
        <v>20190312153952006</v>
      </c>
      <c r="B3404" t="str">
        <f>"1552376391999330"</f>
        <v>1552376391999330</v>
      </c>
      <c r="C3404" t="s">
        <v>40</v>
      </c>
      <c r="D3404">
        <v>4.3336730000000001</v>
      </c>
      <c r="E3404">
        <v>0.40734579999999998</v>
      </c>
      <c r="F3404" t="s">
        <v>54</v>
      </c>
      <c r="G3404">
        <v>-490.74669999999998</v>
      </c>
      <c r="H3404" s="1">
        <v>1.3815100000000001E-6</v>
      </c>
      <c r="I3404">
        <v>273.52440000000001</v>
      </c>
      <c r="J3404">
        <v>-479.43520000000001</v>
      </c>
      <c r="K3404">
        <v>1.1112629999999999</v>
      </c>
      <c r="L3404">
        <v>281.00889999999998</v>
      </c>
      <c r="M3404">
        <v>-0.96651480000000001</v>
      </c>
      <c r="N3404">
        <v>0</v>
      </c>
      <c r="O3404">
        <v>-0.2562702</v>
      </c>
      <c r="P3404">
        <v>-0.94156249999999997</v>
      </c>
      <c r="Q3404">
        <v>-4.0443809999999997E-2</v>
      </c>
      <c r="R3404">
        <v>-0.33440140000000002</v>
      </c>
      <c r="S3404">
        <v>-2.5753170000000001</v>
      </c>
      <c r="T3404">
        <v>-0.25131559999999997</v>
      </c>
      <c r="U3404">
        <v>-1.6982119999999901</v>
      </c>
      <c r="V3404">
        <v>-8.1852590000000003E-2</v>
      </c>
      <c r="W3404">
        <v>-2.747523E-2</v>
      </c>
      <c r="X3404">
        <v>0.99626559999999997</v>
      </c>
      <c r="Y3404">
        <v>-0.31794460000000002</v>
      </c>
      <c r="Z3404">
        <v>8.0139389999999994E-3</v>
      </c>
      <c r="AA3404">
        <v>0.94807540000000001</v>
      </c>
      <c r="AB3404">
        <v>8</v>
      </c>
      <c r="AC3404">
        <v>-11.311499999999899</v>
      </c>
      <c r="AD3404">
        <v>-1.1112616184899999</v>
      </c>
      <c r="AE3404">
        <v>-7.4844999999999597</v>
      </c>
      <c r="AF3404">
        <v>-4.3065502717132498</v>
      </c>
      <c r="AG3404">
        <v>-1.1112616184899999</v>
      </c>
      <c r="AH3404">
        <v>12.7662147870853</v>
      </c>
      <c r="AI3404">
        <v>94.715107840010006</v>
      </c>
      <c r="AJ3404">
        <v>108.641289831389</v>
      </c>
      <c r="AK3404">
        <v>13.518783880864399</v>
      </c>
      <c r="AL3404">
        <v>91.574412940929093</v>
      </c>
      <c r="AM3404">
        <v>94.696838023616905</v>
      </c>
      <c r="AN3404">
        <v>0.99999994024830796</v>
      </c>
    </row>
    <row r="3405" spans="1:40" x14ac:dyDescent="0.25">
      <c r="A3405" t="str">
        <f>"20190312153952028"</f>
        <v>20190312153952028</v>
      </c>
      <c r="B3405" t="str">
        <f>"1552376392018851"</f>
        <v>1552376392018851</v>
      </c>
      <c r="C3405" t="s">
        <v>40</v>
      </c>
      <c r="D3405">
        <v>4.2851629999999998</v>
      </c>
      <c r="E3405">
        <v>0.40754469999999998</v>
      </c>
      <c r="F3405" t="s">
        <v>54</v>
      </c>
      <c r="G3405">
        <v>-490.96339999999998</v>
      </c>
      <c r="H3405" s="1">
        <v>1.3262919999999999E-6</v>
      </c>
      <c r="I3405">
        <v>273.36829999999998</v>
      </c>
      <c r="J3405">
        <v>-479.51139999999998</v>
      </c>
      <c r="K3405">
        <v>1.1112500000000001</v>
      </c>
      <c r="L3405">
        <v>280.9837</v>
      </c>
      <c r="M3405">
        <v>-0.96548160000000005</v>
      </c>
      <c r="N3405">
        <v>0</v>
      </c>
      <c r="O3405">
        <v>-0.26013910000000001</v>
      </c>
      <c r="P3405">
        <v>-0.94032230000000006</v>
      </c>
      <c r="Q3405">
        <v>-3.9938700000000001E-2</v>
      </c>
      <c r="R3405">
        <v>-0.33793379999999901</v>
      </c>
      <c r="S3405">
        <v>-2.570465</v>
      </c>
      <c r="T3405">
        <v>-0.24778069999999999</v>
      </c>
      <c r="U3405">
        <v>-1.7036439999999999</v>
      </c>
      <c r="V3405">
        <v>-8.1598480000000001E-2</v>
      </c>
      <c r="W3405">
        <v>-2.7034969999999998E-2</v>
      </c>
      <c r="X3405">
        <v>0.99629860000000003</v>
      </c>
      <c r="Y3405">
        <v>-0.31638480000000002</v>
      </c>
      <c r="Z3405">
        <v>8.2935149999999996E-3</v>
      </c>
      <c r="AA3405">
        <v>0.94859470000000001</v>
      </c>
      <c r="AB3405">
        <v>8</v>
      </c>
      <c r="AC3405">
        <v>-11.4519999999999</v>
      </c>
      <c r="AD3405">
        <v>-1.1112486737080001</v>
      </c>
      <c r="AE3405">
        <v>-7.6154000000000197</v>
      </c>
      <c r="AF3405">
        <v>-4.3454234134505603</v>
      </c>
      <c r="AG3405">
        <v>-1.1112486737080001</v>
      </c>
      <c r="AH3405">
        <v>12.9543099839606</v>
      </c>
      <c r="AI3405">
        <v>94.649546575722894</v>
      </c>
      <c r="AJ3405">
        <v>108.54363084343601</v>
      </c>
      <c r="AK3405">
        <v>13.7088192568698</v>
      </c>
      <c r="AL3405">
        <v>91.549178353472996</v>
      </c>
      <c r="AM3405">
        <v>94.682167301152106</v>
      </c>
      <c r="AN3405">
        <v>1.0000000509515801</v>
      </c>
    </row>
    <row r="3406" spans="1:40" x14ac:dyDescent="0.25">
      <c r="A3406" t="str">
        <f>"20190312153952050"</f>
        <v>20190312153952050</v>
      </c>
      <c r="B3406" t="str">
        <f>"1552376392039347"</f>
        <v>1552376392039347</v>
      </c>
      <c r="C3406" t="s">
        <v>40</v>
      </c>
      <c r="D3406">
        <v>4.3402070000000004</v>
      </c>
      <c r="E3406">
        <v>0.40736430000000001</v>
      </c>
      <c r="F3406" t="s">
        <v>54</v>
      </c>
      <c r="G3406">
        <v>-491.30259999999998</v>
      </c>
      <c r="H3406" s="1">
        <v>1.236633E-6</v>
      </c>
      <c r="I3406">
        <v>273.1146</v>
      </c>
      <c r="J3406">
        <v>-479.58609999999999</v>
      </c>
      <c r="K3406">
        <v>1.1112280000000001</v>
      </c>
      <c r="L3406">
        <v>280.9588</v>
      </c>
      <c r="M3406">
        <v>-0.96444479999999999</v>
      </c>
      <c r="N3406">
        <v>0</v>
      </c>
      <c r="O3406">
        <v>-0.263963</v>
      </c>
      <c r="P3406">
        <v>-0.93925890000000001</v>
      </c>
      <c r="Q3406">
        <v>-3.9372629999999999E-2</v>
      </c>
      <c r="R3406">
        <v>-0.34094390000000002</v>
      </c>
      <c r="S3406">
        <v>-2.5649109999999999</v>
      </c>
      <c r="T3406">
        <v>-0.24172859999999999</v>
      </c>
      <c r="U3406">
        <v>-1.7117610000000001</v>
      </c>
      <c r="V3406">
        <v>-8.0837439999999997E-2</v>
      </c>
      <c r="W3406">
        <v>-2.6571069999999999E-2</v>
      </c>
      <c r="X3406">
        <v>0.99637310000000001</v>
      </c>
      <c r="Y3406">
        <v>-0.31567339999999999</v>
      </c>
      <c r="Z3406">
        <v>8.4334040000000002E-3</v>
      </c>
      <c r="AA3406">
        <v>0.94883039999999996</v>
      </c>
      <c r="AB3406">
        <v>8</v>
      </c>
      <c r="AC3406">
        <v>-11.7164999999999</v>
      </c>
      <c r="AD3406">
        <v>-1.1112267633670001</v>
      </c>
      <c r="AE3406">
        <v>-7.8441999999999998</v>
      </c>
      <c r="AF3406">
        <v>-4.44534440530001</v>
      </c>
      <c r="AG3406">
        <v>-1.1112267633670001</v>
      </c>
      <c r="AH3406">
        <v>13.2890906057475</v>
      </c>
      <c r="AI3406">
        <v>94.534086497727003</v>
      </c>
      <c r="AJ3406">
        <v>108.495645136167</v>
      </c>
      <c r="AK3406">
        <v>14.056878776212001</v>
      </c>
      <c r="AL3406">
        <v>91.522589315855697</v>
      </c>
      <c r="AM3406">
        <v>94.638344527075006</v>
      </c>
      <c r="AN3406">
        <v>1.00000003393515</v>
      </c>
    </row>
    <row r="3407" spans="1:40" x14ac:dyDescent="0.25">
      <c r="A3407" t="str">
        <f>"20190312153952072"</f>
        <v>20190312153952072</v>
      </c>
      <c r="B3407" t="str">
        <f>"1552376392058866"</f>
        <v>1552376392058866</v>
      </c>
      <c r="C3407" t="s">
        <v>40</v>
      </c>
      <c r="D3407">
        <v>4.3193010000000003</v>
      </c>
      <c r="E3407">
        <v>0.40728930000000002</v>
      </c>
      <c r="F3407" t="s">
        <v>54</v>
      </c>
      <c r="G3407">
        <v>-491.88510000000002</v>
      </c>
      <c r="H3407" s="1">
        <v>1.0856790000000001E-6</v>
      </c>
      <c r="I3407">
        <v>272.68759999999997</v>
      </c>
      <c r="J3407">
        <v>-479.66219999999998</v>
      </c>
      <c r="K3407">
        <v>1.1111960000000001</v>
      </c>
      <c r="L3407">
        <v>280.93299999999999</v>
      </c>
      <c r="M3407">
        <v>-0.96336109999999997</v>
      </c>
      <c r="N3407">
        <v>0</v>
      </c>
      <c r="O3407">
        <v>-0.26789780000000002</v>
      </c>
      <c r="P3407">
        <v>-0.93854269999999995</v>
      </c>
      <c r="Q3407">
        <v>-3.9974200000000001E-2</v>
      </c>
      <c r="R3407">
        <v>-0.3428409</v>
      </c>
      <c r="S3407">
        <v>-2.5595089999999998</v>
      </c>
      <c r="T3407">
        <v>-0.23125280000000001</v>
      </c>
      <c r="U3407">
        <v>-1.7212829999999999</v>
      </c>
      <c r="V3407">
        <v>-7.8788449999999996E-2</v>
      </c>
      <c r="W3407">
        <v>-2.7313179999999999E-2</v>
      </c>
      <c r="X3407">
        <v>0.99651710000000004</v>
      </c>
      <c r="Y3407">
        <v>-0.31518479999999999</v>
      </c>
      <c r="Z3407">
        <v>8.3936419999999998E-3</v>
      </c>
      <c r="AA3407">
        <v>0.94899319999999998</v>
      </c>
      <c r="AB3407">
        <v>8</v>
      </c>
      <c r="AC3407">
        <v>-12.222899999999999</v>
      </c>
      <c r="AD3407">
        <v>-1.11119491432099</v>
      </c>
      <c r="AE3407">
        <v>-8.2454000000000107</v>
      </c>
      <c r="AF3407">
        <v>-4.6428262269829803</v>
      </c>
      <c r="AG3407">
        <v>-1.11119491432099</v>
      </c>
      <c r="AH3407">
        <v>13.9061656809957</v>
      </c>
      <c r="AI3407">
        <v>94.334384490407501</v>
      </c>
      <c r="AJ3407">
        <v>108.46252440827401</v>
      </c>
      <c r="AK3407">
        <v>14.702789988939999</v>
      </c>
      <c r="AL3407">
        <v>91.565124611058806</v>
      </c>
      <c r="AM3407">
        <v>94.520619332106605</v>
      </c>
      <c r="AN3407">
        <v>0.99999998012376201</v>
      </c>
    </row>
    <row r="3408" spans="1:40" x14ac:dyDescent="0.25">
      <c r="A3408" t="str">
        <f>"20190312153952094"</f>
        <v>20190312153952094</v>
      </c>
      <c r="B3408" t="str">
        <f>"1552376392089125"</f>
        <v>1552376392089125</v>
      </c>
      <c r="C3408" t="s">
        <v>40</v>
      </c>
      <c r="D3408">
        <v>4.3438530000000002</v>
      </c>
      <c r="E3408">
        <v>0.40734559999999997</v>
      </c>
      <c r="F3408" t="s">
        <v>54</v>
      </c>
      <c r="G3408">
        <v>-492.21969999999999</v>
      </c>
      <c r="H3408" s="1">
        <v>1.0014149999999901E-6</v>
      </c>
      <c r="I3408">
        <v>272.44920000000002</v>
      </c>
      <c r="J3408">
        <v>-479.73930000000001</v>
      </c>
      <c r="K3408">
        <v>1.111165</v>
      </c>
      <c r="L3408">
        <v>280.90640000000002</v>
      </c>
      <c r="M3408">
        <v>-0.96223720000000001</v>
      </c>
      <c r="N3408">
        <v>0</v>
      </c>
      <c r="O3408">
        <v>-0.27191559999999998</v>
      </c>
      <c r="P3408">
        <v>-0.93754870000000001</v>
      </c>
      <c r="Q3408">
        <v>-4.0501309999999999E-2</v>
      </c>
      <c r="R3408">
        <v>-0.34548859999999998</v>
      </c>
      <c r="S3408">
        <v>-2.5560299999999998</v>
      </c>
      <c r="T3408">
        <v>-0.22617999999999999</v>
      </c>
      <c r="U3408">
        <v>-1.726837</v>
      </c>
      <c r="V3408">
        <v>-7.7447820000000001E-2</v>
      </c>
      <c r="W3408">
        <v>-2.8022269999999998E-2</v>
      </c>
      <c r="X3408">
        <v>0.99660249999999995</v>
      </c>
      <c r="Y3408">
        <v>-0.3132607</v>
      </c>
      <c r="Z3408">
        <v>8.5901689999999999E-3</v>
      </c>
      <c r="AA3408">
        <v>0.94962829999999998</v>
      </c>
      <c r="AB3408">
        <v>8</v>
      </c>
      <c r="AC3408">
        <v>-12.4803999999999</v>
      </c>
      <c r="AD3408">
        <v>-1.1111639985849999</v>
      </c>
      <c r="AE3408">
        <v>-8.4572000000000003</v>
      </c>
      <c r="AF3408">
        <v>-4.7189650980928599</v>
      </c>
      <c r="AG3408">
        <v>-1.1111639985849999</v>
      </c>
      <c r="AH3408">
        <v>14.232589028067901</v>
      </c>
      <c r="AI3408">
        <v>94.238142237876403</v>
      </c>
      <c r="AJ3408">
        <v>108.343484742667</v>
      </c>
      <c r="AK3408">
        <v>15.035621286486601</v>
      </c>
      <c r="AL3408">
        <v>91.605768040182895</v>
      </c>
      <c r="AM3408">
        <v>94.443629932983896</v>
      </c>
      <c r="AN3408">
        <v>0.99999997772247695</v>
      </c>
    </row>
    <row r="3409" spans="1:40" x14ac:dyDescent="0.25">
      <c r="A3409" t="str">
        <f>"20190312153952117"</f>
        <v>20190312153952117</v>
      </c>
      <c r="B3409" t="str">
        <f>"1552376392109618"</f>
        <v>1552376392109618</v>
      </c>
      <c r="C3409" t="s">
        <v>40</v>
      </c>
      <c r="D3409">
        <v>4.3671139999999999</v>
      </c>
      <c r="E3409">
        <v>0.40750999999999998</v>
      </c>
      <c r="F3409" t="s">
        <v>54</v>
      </c>
      <c r="G3409">
        <v>-492.65300000000002</v>
      </c>
      <c r="H3409" s="1">
        <v>8.8979830000000001E-7</v>
      </c>
      <c r="I3409">
        <v>272.13350000000003</v>
      </c>
      <c r="J3409">
        <v>-479.81610000000001</v>
      </c>
      <c r="K3409">
        <v>1.1111409999999999</v>
      </c>
      <c r="L3409">
        <v>280.87959999999998</v>
      </c>
      <c r="M3409">
        <v>-0.96108959999999999</v>
      </c>
      <c r="N3409">
        <v>0</v>
      </c>
      <c r="O3409">
        <v>-0.27595429999999999</v>
      </c>
      <c r="P3409">
        <v>-0.93626430000000005</v>
      </c>
      <c r="Q3409">
        <v>-4.0918259999999998E-2</v>
      </c>
      <c r="R3409">
        <v>-0.34890589999999999</v>
      </c>
      <c r="S3409">
        <v>-2.5515750000000001</v>
      </c>
      <c r="T3409">
        <v>-0.21955189999999999</v>
      </c>
      <c r="U3409">
        <v>-1.7334290000000001</v>
      </c>
      <c r="V3409">
        <v>-7.6900860000000001E-2</v>
      </c>
      <c r="W3409">
        <v>-2.8657019999999998E-2</v>
      </c>
      <c r="X3409">
        <v>0.99662689999999998</v>
      </c>
      <c r="Y3409">
        <v>-0.31174210000000002</v>
      </c>
      <c r="Z3409">
        <v>8.6952539999999995E-3</v>
      </c>
      <c r="AA3409">
        <v>0.9501269</v>
      </c>
      <c r="AB3409">
        <v>8</v>
      </c>
      <c r="AC3409">
        <v>-12.8369</v>
      </c>
      <c r="AD3409">
        <v>-1.11114011020169</v>
      </c>
      <c r="AE3409">
        <v>-8.7460999999999505</v>
      </c>
      <c r="AF3409">
        <v>-4.8390061788383498</v>
      </c>
      <c r="AG3409">
        <v>-1.11114011020169</v>
      </c>
      <c r="AH3409">
        <v>14.676983535620399</v>
      </c>
      <c r="AI3409">
        <v>94.112448614073401</v>
      </c>
      <c r="AJ3409">
        <v>108.247404425748</v>
      </c>
      <c r="AK3409">
        <v>15.4940136455409</v>
      </c>
      <c r="AL3409">
        <v>91.642150995297499</v>
      </c>
      <c r="AM3409">
        <v>94.412264438705293</v>
      </c>
      <c r="AN3409">
        <v>1.0000000724338101</v>
      </c>
    </row>
    <row r="3410" spans="1:40" x14ac:dyDescent="0.25">
      <c r="A3410" t="str">
        <f>"20190312153952139"</f>
        <v>20190312153952139</v>
      </c>
      <c r="B3410" t="str">
        <f>"1552376392129138"</f>
        <v>1552376392129138</v>
      </c>
      <c r="C3410" t="s">
        <v>40</v>
      </c>
      <c r="D3410">
        <v>4.3502460000000003</v>
      </c>
      <c r="E3410">
        <v>0.40769899999999998</v>
      </c>
      <c r="F3410" t="s">
        <v>54</v>
      </c>
      <c r="G3410">
        <v>-492.82909999999998</v>
      </c>
      <c r="H3410" s="1">
        <v>8.3503869999999898E-7</v>
      </c>
      <c r="I3410">
        <v>271.9785</v>
      </c>
      <c r="J3410">
        <v>-479.8929</v>
      </c>
      <c r="K3410">
        <v>1.111113</v>
      </c>
      <c r="L3410">
        <v>280.85239999999999</v>
      </c>
      <c r="M3410">
        <v>-0.95991660000000001</v>
      </c>
      <c r="N3410">
        <v>0</v>
      </c>
      <c r="O3410">
        <v>-0.28001890000000002</v>
      </c>
      <c r="P3410">
        <v>-0.93527570000000004</v>
      </c>
      <c r="Q3410">
        <v>-4.1201099999999997E-2</v>
      </c>
      <c r="R3410">
        <v>-0.3515144</v>
      </c>
      <c r="S3410">
        <v>-2.5458069999999999</v>
      </c>
      <c r="T3410">
        <v>-0.2173785</v>
      </c>
      <c r="U3410">
        <v>-1.7413639999999999</v>
      </c>
      <c r="V3410">
        <v>-7.5464429999999999E-2</v>
      </c>
      <c r="W3410">
        <v>-2.918639E-2</v>
      </c>
      <c r="X3410">
        <v>0.99672130000000003</v>
      </c>
      <c r="Y3410">
        <v>-0.31075580000000003</v>
      </c>
      <c r="Z3410">
        <v>8.9454240000000004E-3</v>
      </c>
      <c r="AA3410">
        <v>0.95044770000000001</v>
      </c>
      <c r="AB3410">
        <v>8</v>
      </c>
      <c r="AC3410">
        <v>-12.9361999999999</v>
      </c>
      <c r="AD3410">
        <v>-1.1111121649613001</v>
      </c>
      <c r="AE3410">
        <v>-8.8738999999999901</v>
      </c>
      <c r="AF3410">
        <v>-4.8717493388835997</v>
      </c>
      <c r="AG3410">
        <v>-1.1111121649613001</v>
      </c>
      <c r="AH3410">
        <v>14.8292530659637</v>
      </c>
      <c r="AI3410">
        <v>94.071680415242099</v>
      </c>
      <c r="AJ3410">
        <v>108.18653651789</v>
      </c>
      <c r="AK3410">
        <v>15.648490609590199</v>
      </c>
      <c r="AL3410">
        <v>91.672494411572004</v>
      </c>
      <c r="AM3410">
        <v>94.329755696699607</v>
      </c>
      <c r="AN3410">
        <v>1.00000003771507</v>
      </c>
    </row>
    <row r="3411" spans="1:40" x14ac:dyDescent="0.25">
      <c r="A3411" t="str">
        <f>"20190312153952151"</f>
        <v>20190312153952151</v>
      </c>
      <c r="B3411" t="str">
        <f>"1552376392138898"</f>
        <v>1552376392138898</v>
      </c>
      <c r="C3411" t="s">
        <v>40</v>
      </c>
      <c r="D3411">
        <v>4.3805990000000001</v>
      </c>
      <c r="E3411">
        <v>0.40778039999999999</v>
      </c>
      <c r="F3411" t="s">
        <v>54</v>
      </c>
      <c r="G3411">
        <v>-492.99329999999998</v>
      </c>
      <c r="H3411" s="1">
        <v>7.8920310000000002E-7</v>
      </c>
      <c r="I3411">
        <v>271.84890000000001</v>
      </c>
      <c r="J3411">
        <v>-479.9341</v>
      </c>
      <c r="K3411">
        <v>1.111097</v>
      </c>
      <c r="L3411">
        <v>280.83769999999998</v>
      </c>
      <c r="M3411">
        <v>-0.95927790000000002</v>
      </c>
      <c r="N3411">
        <v>0</v>
      </c>
      <c r="O3411">
        <v>-0.28220529999999999</v>
      </c>
      <c r="P3411">
        <v>-0.93472699999999997</v>
      </c>
      <c r="Q3411">
        <v>-4.1406369999999998E-2</v>
      </c>
      <c r="R3411">
        <v>-0.35294629999999999</v>
      </c>
      <c r="S3411">
        <v>-2.5415649999999999</v>
      </c>
      <c r="T3411">
        <v>-0.2155619</v>
      </c>
      <c r="U3411">
        <v>-1.7467349999999999</v>
      </c>
      <c r="V3411">
        <v>-7.4721750000000003E-2</v>
      </c>
      <c r="W3411">
        <v>-2.9530210000000001E-2</v>
      </c>
      <c r="X3411">
        <v>0.99676710000000002</v>
      </c>
      <c r="Y3411">
        <v>-0.31070150000000002</v>
      </c>
      <c r="Z3411">
        <v>9.0338599999999995E-3</v>
      </c>
      <c r="AA3411">
        <v>0.95046459999999999</v>
      </c>
      <c r="AB3411">
        <v>8</v>
      </c>
      <c r="AC3411">
        <v>-13.059199999999899</v>
      </c>
      <c r="AD3411">
        <v>-1.1110962107969</v>
      </c>
      <c r="AE3411">
        <v>-8.9887999999999693</v>
      </c>
      <c r="AF3411">
        <v>-4.9136077988380498</v>
      </c>
      <c r="AG3411">
        <v>-1.1110962107969</v>
      </c>
      <c r="AH3411">
        <v>14.991554015845001</v>
      </c>
      <c r="AI3411">
        <v>94.028597267054295</v>
      </c>
      <c r="AJ3411">
        <v>108.146991646362</v>
      </c>
      <c r="AK3411">
        <v>15.815333325619401</v>
      </c>
      <c r="AL3411">
        <v>91.6922023836904</v>
      </c>
      <c r="AM3411">
        <v>94.287107992554695</v>
      </c>
      <c r="AN3411">
        <v>1.00000001243405</v>
      </c>
    </row>
    <row r="3412" spans="1:40" x14ac:dyDescent="0.25">
      <c r="A3412" t="str">
        <f>"20190312153952163"</f>
        <v>20190312153952163</v>
      </c>
      <c r="B3412" t="str">
        <f>"1552376392159394"</f>
        <v>1552376392159394</v>
      </c>
      <c r="C3412" t="s">
        <v>40</v>
      </c>
      <c r="D3412">
        <v>4.3621910000000002</v>
      </c>
      <c r="E3412">
        <v>0.4079159</v>
      </c>
      <c r="F3412" t="s">
        <v>54</v>
      </c>
      <c r="G3412">
        <v>-493.09010000000001</v>
      </c>
      <c r="H3412" s="1">
        <v>7.6156229999999998E-7</v>
      </c>
      <c r="I3412">
        <v>271.77069999999998</v>
      </c>
      <c r="J3412">
        <v>-479.97359999999998</v>
      </c>
      <c r="K3412">
        <v>1.1110819999999999</v>
      </c>
      <c r="L3412">
        <v>280.82339999999999</v>
      </c>
      <c r="M3412">
        <v>-0.95865829999999996</v>
      </c>
      <c r="N3412">
        <v>0</v>
      </c>
      <c r="O3412">
        <v>-0.28430759999999899</v>
      </c>
      <c r="P3412">
        <v>-0.9341663</v>
      </c>
      <c r="Q3412">
        <v>-4.1416269999999998E-2</v>
      </c>
      <c r="R3412">
        <v>-0.35442610000000002</v>
      </c>
      <c r="S3412">
        <v>-2.539215</v>
      </c>
      <c r="T3412">
        <v>-0.21445049999999999</v>
      </c>
      <c r="U3412">
        <v>-1.75</v>
      </c>
      <c r="V3412">
        <v>-7.4115429999999996E-2</v>
      </c>
      <c r="W3412">
        <v>-2.9674260000000001E-2</v>
      </c>
      <c r="X3412">
        <v>0.99680809999999997</v>
      </c>
      <c r="Y3412">
        <v>-0.309865</v>
      </c>
      <c r="Z3412">
        <v>9.1705190000000002E-3</v>
      </c>
      <c r="AA3412">
        <v>0.95073629999999998</v>
      </c>
      <c r="AB3412">
        <v>8</v>
      </c>
      <c r="AC3412">
        <v>-13.1165</v>
      </c>
      <c r="AD3412">
        <v>-1.1110812384377</v>
      </c>
      <c r="AE3412">
        <v>-9.0527000000000104</v>
      </c>
      <c r="AF3412">
        <v>-4.92573953413598</v>
      </c>
      <c r="AG3412">
        <v>-1.1110812384377</v>
      </c>
      <c r="AH3412">
        <v>15.0758058145036</v>
      </c>
      <c r="AI3412">
        <v>94.007315311746893</v>
      </c>
      <c r="AJ3412">
        <v>108.093841981784</v>
      </c>
      <c r="AK3412">
        <v>15.8989726848366</v>
      </c>
      <c r="AL3412">
        <v>91.700459440498093</v>
      </c>
      <c r="AM3412">
        <v>94.252274668972603</v>
      </c>
      <c r="AN3412">
        <v>1.0000000234481199</v>
      </c>
    </row>
    <row r="3413" spans="1:40" x14ac:dyDescent="0.25">
      <c r="A3413" t="str">
        <f>"20190312153952175"</f>
        <v>20190312153952175</v>
      </c>
      <c r="B3413" t="str">
        <f>"1552376392169154"</f>
        <v>1552376392169154</v>
      </c>
      <c r="C3413" t="s">
        <v>40</v>
      </c>
      <c r="D3413">
        <v>4.3907369999999997</v>
      </c>
      <c r="E3413">
        <v>0.40798040000000002</v>
      </c>
      <c r="F3413" t="s">
        <v>54</v>
      </c>
      <c r="G3413">
        <v>-493.19240000000002</v>
      </c>
      <c r="H3413" s="1">
        <v>7.3238889999999898E-7</v>
      </c>
      <c r="I3413">
        <v>271.68819999999999</v>
      </c>
      <c r="J3413">
        <v>-480.01479999999998</v>
      </c>
      <c r="K3413">
        <v>1.1110719999999901</v>
      </c>
      <c r="L3413">
        <v>280.80849999999998</v>
      </c>
      <c r="M3413">
        <v>-0.95800700000000005</v>
      </c>
      <c r="N3413">
        <v>0</v>
      </c>
      <c r="O3413">
        <v>-0.28650100000000001</v>
      </c>
      <c r="P3413">
        <v>-0.93362639999999997</v>
      </c>
      <c r="Q3413">
        <v>-4.1433539999999998E-2</v>
      </c>
      <c r="R3413">
        <v>-0.3558441</v>
      </c>
      <c r="S3413">
        <v>-2.5368040000000001</v>
      </c>
      <c r="T3413">
        <v>-0.2132279</v>
      </c>
      <c r="U3413">
        <v>-1.7531429999999999</v>
      </c>
      <c r="V3413">
        <v>-7.3346939999999999E-2</v>
      </c>
      <c r="W3413">
        <v>-2.9831679999999999E-2</v>
      </c>
      <c r="X3413">
        <v>0.99686019999999997</v>
      </c>
      <c r="Y3413">
        <v>-0.30891669999999999</v>
      </c>
      <c r="Z3413">
        <v>9.3113769999999992E-3</v>
      </c>
      <c r="AA3413">
        <v>0.95104350000000004</v>
      </c>
      <c r="AB3413">
        <v>8</v>
      </c>
      <c r="AC3413">
        <v>-13.1776</v>
      </c>
      <c r="AD3413">
        <v>-1.1110712676111001</v>
      </c>
      <c r="AE3413">
        <v>-9.1202999999999808</v>
      </c>
      <c r="AF3413">
        <v>-4.9385248416945098</v>
      </c>
      <c r="AG3413">
        <v>-1.1110712676111001</v>
      </c>
      <c r="AH3413">
        <v>15.1653788324055</v>
      </c>
      <c r="AI3413">
        <v>93.984959692926907</v>
      </c>
      <c r="AJ3413">
        <v>108.03756360088499</v>
      </c>
      <c r="AK3413">
        <v>15.987877348294701</v>
      </c>
      <c r="AL3413">
        <v>91.709483010137305</v>
      </c>
      <c r="AM3413">
        <v>94.2081236472699</v>
      </c>
      <c r="AN3413">
        <v>0.99999998054151196</v>
      </c>
    </row>
    <row r="3414" spans="1:40" x14ac:dyDescent="0.25">
      <c r="A3414" t="str">
        <f>"20190312153952185"</f>
        <v>20190312153952185</v>
      </c>
      <c r="B3414" t="str">
        <f>"1552376392178914"</f>
        <v>1552376392178914</v>
      </c>
      <c r="C3414" t="s">
        <v>40</v>
      </c>
      <c r="D3414">
        <v>4.3559010000000002</v>
      </c>
      <c r="E3414">
        <v>0.40805999999999998</v>
      </c>
      <c r="F3414" t="s">
        <v>54</v>
      </c>
      <c r="G3414">
        <v>-493.22809999999998</v>
      </c>
      <c r="H3414" s="1">
        <v>7.1926599999999995E-7</v>
      </c>
      <c r="I3414">
        <v>271.65100000000001</v>
      </c>
      <c r="J3414">
        <v>-480.05059999999997</v>
      </c>
      <c r="K3414">
        <v>1.1110629999999999</v>
      </c>
      <c r="L3414">
        <v>280.7953</v>
      </c>
      <c r="M3414">
        <v>-0.95743440000000002</v>
      </c>
      <c r="N3414">
        <v>0</v>
      </c>
      <c r="O3414">
        <v>-0.28841409999999901</v>
      </c>
      <c r="P3414">
        <v>-0.93319600000000003</v>
      </c>
      <c r="Q3414">
        <v>-4.200595E-2</v>
      </c>
      <c r="R3414">
        <v>-0.35690429999999901</v>
      </c>
      <c r="S3414">
        <v>-2.534332</v>
      </c>
      <c r="T3414">
        <v>-0.21310519999999999</v>
      </c>
      <c r="U3414">
        <v>-1.7564090000000001</v>
      </c>
      <c r="V3414">
        <v>-7.2494069999999994E-2</v>
      </c>
      <c r="W3414">
        <v>-3.052763E-2</v>
      </c>
      <c r="X3414">
        <v>0.9969015</v>
      </c>
      <c r="Y3414">
        <v>-0.30828489999999997</v>
      </c>
      <c r="Z3414">
        <v>9.467339E-3</v>
      </c>
      <c r="AA3414">
        <v>0.95124699999999995</v>
      </c>
      <c r="AB3414">
        <v>8</v>
      </c>
      <c r="AC3414">
        <v>-13.1775</v>
      </c>
      <c r="AD3414">
        <v>-1.11106228073399</v>
      </c>
      <c r="AE3414">
        <v>-9.1442999999999799</v>
      </c>
      <c r="AF3414">
        <v>-4.9311674772843297</v>
      </c>
      <c r="AG3414">
        <v>-1.11106228073399</v>
      </c>
      <c r="AH3414">
        <v>15.182129447085201</v>
      </c>
      <c r="AI3414">
        <v>93.981530011961297</v>
      </c>
      <c r="AJ3414">
        <v>107.99383697664101</v>
      </c>
      <c r="AK3414">
        <v>16.001497637057199</v>
      </c>
      <c r="AL3414">
        <v>91.749376210943893</v>
      </c>
      <c r="AM3414">
        <v>94.1591930816423</v>
      </c>
      <c r="AN3414">
        <v>0.99999996354041498</v>
      </c>
    </row>
    <row r="3415" spans="1:40" x14ac:dyDescent="0.25">
      <c r="A3415" t="str">
        <f>"20190312153952198"</f>
        <v>20190312153952198</v>
      </c>
      <c r="B3415" t="str">
        <f>"1552376392189650"</f>
        <v>1552376392189650</v>
      </c>
      <c r="C3415" t="s">
        <v>40</v>
      </c>
      <c r="D3415">
        <v>4.3125400000000003</v>
      </c>
      <c r="E3415">
        <v>0.40817759999999997</v>
      </c>
      <c r="F3415" t="s">
        <v>54</v>
      </c>
      <c r="G3415">
        <v>-493.20510000000002</v>
      </c>
      <c r="H3415" s="1">
        <v>7.2239030000000003E-7</v>
      </c>
      <c r="I3415">
        <v>271.65989999999999</v>
      </c>
      <c r="J3415">
        <v>-480.09379999999999</v>
      </c>
      <c r="K3415">
        <v>1.111049</v>
      </c>
      <c r="L3415">
        <v>280.77949999999998</v>
      </c>
      <c r="M3415">
        <v>-0.95673839999999999</v>
      </c>
      <c r="N3415">
        <v>0</v>
      </c>
      <c r="O3415">
        <v>-0.290720599999999</v>
      </c>
      <c r="P3415">
        <v>-0.93259740000000002</v>
      </c>
      <c r="Q3415">
        <v>-4.1767699999999998E-2</v>
      </c>
      <c r="R3415">
        <v>-0.35849360000000002</v>
      </c>
      <c r="S3415">
        <v>-2.5325009999999999</v>
      </c>
      <c r="T3415">
        <v>-0.21390149999999999</v>
      </c>
      <c r="U3415">
        <v>-1.758759</v>
      </c>
      <c r="V3415">
        <v>-7.1787390000000006E-2</v>
      </c>
      <c r="W3415">
        <v>-3.0439850000000001E-2</v>
      </c>
      <c r="X3415">
        <v>0.99695529999999999</v>
      </c>
      <c r="Y3415">
        <v>-0.30691780000000002</v>
      </c>
      <c r="Z3415">
        <v>9.7193430000000001E-3</v>
      </c>
      <c r="AA3415">
        <v>0.95168640000000004</v>
      </c>
      <c r="AB3415">
        <v>8</v>
      </c>
      <c r="AC3415">
        <v>-13.1113</v>
      </c>
      <c r="AD3415">
        <v>-1.1110482776096999</v>
      </c>
      <c r="AE3415">
        <v>-9.1195999999999895</v>
      </c>
      <c r="AF3415">
        <v>-4.8900084729150404</v>
      </c>
      <c r="AG3415">
        <v>-1.1110482776096999</v>
      </c>
      <c r="AH3415">
        <v>15.1231630139791</v>
      </c>
      <c r="AI3415">
        <v>93.998654453613398</v>
      </c>
      <c r="AJ3415">
        <v>107.91838639039101</v>
      </c>
      <c r="AK3415">
        <v>15.9328801755284</v>
      </c>
      <c r="AL3415">
        <v>91.744344486346193</v>
      </c>
      <c r="AM3415">
        <v>94.118567534908195</v>
      </c>
      <c r="AN3415">
        <v>0.99999994201455999</v>
      </c>
    </row>
    <row r="3416" spans="1:40" x14ac:dyDescent="0.25">
      <c r="A3416" t="str">
        <f>"20190312153952210"</f>
        <v>20190312153952210</v>
      </c>
      <c r="B3416" t="str">
        <f>"1552376392199410"</f>
        <v>1552376392199410</v>
      </c>
      <c r="C3416" t="s">
        <v>40</v>
      </c>
      <c r="D3416">
        <v>4.3541179999999997</v>
      </c>
      <c r="E3416">
        <v>0.40827609999999998</v>
      </c>
      <c r="F3416" t="s">
        <v>54</v>
      </c>
      <c r="G3416">
        <v>-493.34210000000002</v>
      </c>
      <c r="H3416" s="1">
        <v>6.8380829999999995E-7</v>
      </c>
      <c r="I3416">
        <v>271.55079999999998</v>
      </c>
      <c r="J3416">
        <v>-480.13670000000002</v>
      </c>
      <c r="K3416">
        <v>1.11104</v>
      </c>
      <c r="L3416">
        <v>280.76350000000002</v>
      </c>
      <c r="M3416">
        <v>-0.95603490000000002</v>
      </c>
      <c r="N3416">
        <v>0</v>
      </c>
      <c r="O3416">
        <v>-0.29303179999999901</v>
      </c>
      <c r="P3416">
        <v>-0.93200490000000002</v>
      </c>
      <c r="Q3416">
        <v>-4.1732129999999999E-2</v>
      </c>
      <c r="R3416">
        <v>-0.36003550000000001</v>
      </c>
      <c r="S3416">
        <v>-2.5299070000000001</v>
      </c>
      <c r="T3416">
        <v>-0.2121661</v>
      </c>
      <c r="U3416">
        <v>-1.762329</v>
      </c>
      <c r="V3416">
        <v>-7.1025539999999998E-2</v>
      </c>
      <c r="W3416">
        <v>-3.0559670000000001E-2</v>
      </c>
      <c r="X3416">
        <v>0.99700619999999995</v>
      </c>
      <c r="Y3416">
        <v>-0.30598819999999999</v>
      </c>
      <c r="Z3416">
        <v>9.8402569999999998E-3</v>
      </c>
      <c r="AA3416">
        <v>0.95198450000000001</v>
      </c>
      <c r="AB3416">
        <v>8</v>
      </c>
      <c r="AC3416">
        <v>-13.2053999999999</v>
      </c>
      <c r="AD3416">
        <v>-1.1110393161917</v>
      </c>
      <c r="AE3416">
        <v>-9.2127000000000301</v>
      </c>
      <c r="AF3416">
        <v>-4.9149788015334801</v>
      </c>
      <c r="AG3416">
        <v>-1.1110393161917</v>
      </c>
      <c r="AH3416">
        <v>15.2528068941229</v>
      </c>
      <c r="AI3416">
        <v>93.966028214038602</v>
      </c>
      <c r="AJ3416">
        <v>107.86072523368</v>
      </c>
      <c r="AK3416">
        <v>16.0636092809508</v>
      </c>
      <c r="AL3416">
        <v>91.751212862771197</v>
      </c>
      <c r="AM3416">
        <v>94.074799567312397</v>
      </c>
      <c r="AN3416">
        <v>0.99999994180061802</v>
      </c>
    </row>
    <row r="3417" spans="1:40" x14ac:dyDescent="0.25">
      <c r="A3417" t="str">
        <f>"20190312153952223"</f>
        <v>20190312153952223</v>
      </c>
      <c r="B3417" t="str">
        <f>"1552376392218930"</f>
        <v>1552376392218930</v>
      </c>
      <c r="C3417" t="s">
        <v>40</v>
      </c>
      <c r="D3417">
        <v>4.4186719999999999</v>
      </c>
      <c r="E3417">
        <v>0.4084468</v>
      </c>
      <c r="F3417" t="s">
        <v>54</v>
      </c>
      <c r="G3417">
        <v>-493.45890000000003</v>
      </c>
      <c r="H3417" s="1">
        <v>6.4983159999999997E-7</v>
      </c>
      <c r="I3417">
        <v>271.45460000000003</v>
      </c>
      <c r="J3417">
        <v>-480.1814</v>
      </c>
      <c r="K3417">
        <v>1.11103</v>
      </c>
      <c r="L3417">
        <v>280.74680000000001</v>
      </c>
      <c r="M3417">
        <v>-0.95529350000000002</v>
      </c>
      <c r="N3417">
        <v>0</v>
      </c>
      <c r="O3417">
        <v>-0.29544680000000001</v>
      </c>
      <c r="P3417">
        <v>-0.93133670000000002</v>
      </c>
      <c r="Q3417">
        <v>-4.1280450000000003E-2</v>
      </c>
      <c r="R3417">
        <v>-0.36181269999999999</v>
      </c>
      <c r="S3417">
        <v>-2.5272830000000002</v>
      </c>
      <c r="T3417">
        <v>-0.21076800000000001</v>
      </c>
      <c r="U3417">
        <v>-1.76593</v>
      </c>
      <c r="V3417">
        <v>-7.0402870000000006E-2</v>
      </c>
      <c r="W3417">
        <v>-3.0272540000000001E-2</v>
      </c>
      <c r="X3417">
        <v>0.99705920000000003</v>
      </c>
      <c r="Y3417">
        <v>-0.30496620000000002</v>
      </c>
      <c r="Z3417">
        <v>9.9845149999999994E-3</v>
      </c>
      <c r="AA3417">
        <v>0.95231080000000001</v>
      </c>
      <c r="AB3417">
        <v>8</v>
      </c>
      <c r="AC3417">
        <v>-13.2775</v>
      </c>
      <c r="AD3417">
        <v>-1.1110293501684001</v>
      </c>
      <c r="AE3417">
        <v>-9.2921999999999798</v>
      </c>
      <c r="AF3417">
        <v>-4.9311181956938102</v>
      </c>
      <c r="AG3417">
        <v>-1.1110293501684001</v>
      </c>
      <c r="AH3417">
        <v>15.358046239758901</v>
      </c>
      <c r="AI3417">
        <v>93.940226766632904</v>
      </c>
      <c r="AJ3417">
        <v>107.80063917412301</v>
      </c>
      <c r="AK3417">
        <v>16.168484690267402</v>
      </c>
      <c r="AL3417">
        <v>91.734753774503503</v>
      </c>
      <c r="AM3417">
        <v>94.0389811891541</v>
      </c>
      <c r="AN3417">
        <v>1.00000001954346</v>
      </c>
    </row>
    <row r="3418" spans="1:40" x14ac:dyDescent="0.25">
      <c r="A3418" t="str">
        <f>"20190312153952236"</f>
        <v>20190312153952236</v>
      </c>
      <c r="B3418" t="str">
        <f>"1552376392229666"</f>
        <v>1552376392229666</v>
      </c>
      <c r="C3418" t="s">
        <v>40</v>
      </c>
      <c r="D3418">
        <v>4.3864199999999904</v>
      </c>
      <c r="E3418">
        <v>0.40852159999999998</v>
      </c>
      <c r="F3418" t="s">
        <v>54</v>
      </c>
      <c r="G3418">
        <v>-493.61090000000002</v>
      </c>
      <c r="H3418" s="1">
        <v>6.074216E-7</v>
      </c>
      <c r="I3418">
        <v>271.3347</v>
      </c>
      <c r="J3418">
        <v>-480.22949999999997</v>
      </c>
      <c r="K3418">
        <v>1.1110249999999999</v>
      </c>
      <c r="L3418">
        <v>280.7287</v>
      </c>
      <c r="M3418">
        <v>-0.95448650000000002</v>
      </c>
      <c r="N3418">
        <v>0</v>
      </c>
      <c r="O3418">
        <v>-0.29804989999999998</v>
      </c>
      <c r="P3418">
        <v>-0.93058490000000005</v>
      </c>
      <c r="Q3418">
        <v>-4.0780339999999998E-2</v>
      </c>
      <c r="R3418">
        <v>-0.36379840000000002</v>
      </c>
      <c r="S3418">
        <v>-2.524597</v>
      </c>
      <c r="T3418">
        <v>-0.20886189999999999</v>
      </c>
      <c r="U3418">
        <v>-1.769379</v>
      </c>
      <c r="V3418">
        <v>-6.9805439999999996E-2</v>
      </c>
      <c r="W3418">
        <v>-2.9952449999999999E-2</v>
      </c>
      <c r="X3418">
        <v>0.99711079999999996</v>
      </c>
      <c r="Y3418">
        <v>-0.30372739999999998</v>
      </c>
      <c r="Z3418">
        <v>1.0122809999999999E-2</v>
      </c>
      <c r="AA3418">
        <v>0.95270520000000003</v>
      </c>
      <c r="AB3418">
        <v>8</v>
      </c>
      <c r="AC3418">
        <v>-13.381399999999999</v>
      </c>
      <c r="AD3418">
        <v>-1.1110243925784</v>
      </c>
      <c r="AE3418">
        <v>-9.3940000000000001</v>
      </c>
      <c r="AF3418">
        <v>-4.9555407829209299</v>
      </c>
      <c r="AG3418">
        <v>-1.1110243925784</v>
      </c>
      <c r="AH3418">
        <v>15.501611614663901</v>
      </c>
      <c r="AI3418">
        <v>93.905412321673495</v>
      </c>
      <c r="AJ3418">
        <v>107.727990154721</v>
      </c>
      <c r="AK3418">
        <v>16.312318115583</v>
      </c>
      <c r="AL3418">
        <v>91.716405770807697</v>
      </c>
      <c r="AM3418">
        <v>94.004612323951307</v>
      </c>
      <c r="AN3418">
        <v>0.99999994809561599</v>
      </c>
    </row>
    <row r="3419" spans="1:40" x14ac:dyDescent="0.25">
      <c r="A3419" t="str">
        <f>"20190312153952249"</f>
        <v>20190312153952249</v>
      </c>
      <c r="B3419" t="str">
        <f>"1552376392239426"</f>
        <v>1552376392239426</v>
      </c>
      <c r="C3419" t="s">
        <v>40</v>
      </c>
      <c r="D3419">
        <v>4.3824579999999997</v>
      </c>
      <c r="E3419">
        <v>0.40862559999999998</v>
      </c>
      <c r="F3419" t="s">
        <v>54</v>
      </c>
      <c r="G3419">
        <v>-493.75470000000001</v>
      </c>
      <c r="H3419" s="1">
        <v>5.6374300000000002E-7</v>
      </c>
      <c r="I3419">
        <v>271.21109999999999</v>
      </c>
      <c r="J3419">
        <v>-480.27229999999997</v>
      </c>
      <c r="K3419">
        <v>1.1110230000000001</v>
      </c>
      <c r="L3419">
        <v>280.71230000000003</v>
      </c>
      <c r="M3419">
        <v>-0.9537561</v>
      </c>
      <c r="N3419">
        <v>0</v>
      </c>
      <c r="O3419">
        <v>-0.300384599999999</v>
      </c>
      <c r="P3419">
        <v>-0.93004699999999996</v>
      </c>
      <c r="Q3419">
        <v>-4.0296779999999997E-2</v>
      </c>
      <c r="R3419">
        <v>-0.3652243</v>
      </c>
      <c r="S3419">
        <v>-2.5211489999999999</v>
      </c>
      <c r="T3419">
        <v>-0.2070987</v>
      </c>
      <c r="U3419">
        <v>-1.7741089999999999</v>
      </c>
      <c r="V3419">
        <v>-6.8887970000000007E-2</v>
      </c>
      <c r="W3419">
        <v>-2.9628959999999999E-2</v>
      </c>
      <c r="X3419">
        <v>0.99718430000000002</v>
      </c>
      <c r="Y3419">
        <v>-0.30321150000000002</v>
      </c>
      <c r="Z3419">
        <v>1.0219880000000001E-2</v>
      </c>
      <c r="AA3419">
        <v>0.95286850000000001</v>
      </c>
      <c r="AB3419">
        <v>8</v>
      </c>
      <c r="AC3419">
        <v>-13.4824</v>
      </c>
      <c r="AD3419">
        <v>-1.11102243625699</v>
      </c>
      <c r="AE3419">
        <v>-9.5012000000000398</v>
      </c>
      <c r="AF3419">
        <v>-4.9895794796206498</v>
      </c>
      <c r="AG3419">
        <v>-1.11102243625699</v>
      </c>
      <c r="AH3419">
        <v>15.6428887125173</v>
      </c>
      <c r="AI3419">
        <v>93.871037115152404</v>
      </c>
      <c r="AJ3419">
        <v>107.69101392412</v>
      </c>
      <c r="AK3419">
        <v>16.456920778490701</v>
      </c>
      <c r="AL3419">
        <v>91.697862877305695</v>
      </c>
      <c r="AM3419">
        <v>93.951856241686599</v>
      </c>
      <c r="AN3419">
        <v>0.99999997792394602</v>
      </c>
    </row>
    <row r="3420" spans="1:40" x14ac:dyDescent="0.25">
      <c r="A3420" t="str">
        <f>"20190312153952261"</f>
        <v>20190312153952261</v>
      </c>
      <c r="B3420" t="str">
        <f>"1552376392258946"</f>
        <v>1552376392258946</v>
      </c>
      <c r="C3420" t="s">
        <v>40</v>
      </c>
      <c r="D3420">
        <v>4.4062479999999997</v>
      </c>
      <c r="E3420">
        <v>0.40877360000000001</v>
      </c>
      <c r="F3420" t="s">
        <v>54</v>
      </c>
      <c r="G3420">
        <v>-493.904</v>
      </c>
      <c r="H3420" s="1">
        <v>5.220837E-7</v>
      </c>
      <c r="I3420">
        <v>271.09320000000002</v>
      </c>
      <c r="J3420">
        <v>-480.31799999999998</v>
      </c>
      <c r="K3420">
        <v>1.111022</v>
      </c>
      <c r="L3420">
        <v>280.69479999999999</v>
      </c>
      <c r="M3420">
        <v>-0.95296930000000002</v>
      </c>
      <c r="N3420">
        <v>0</v>
      </c>
      <c r="O3420">
        <v>-0.30287750000000002</v>
      </c>
      <c r="P3420">
        <v>-0.92937539999999996</v>
      </c>
      <c r="Q3420">
        <v>-3.9978050000000001E-2</v>
      </c>
      <c r="R3420">
        <v>-0.36696479999999998</v>
      </c>
      <c r="S3420">
        <v>-2.5187680000000001</v>
      </c>
      <c r="T3420">
        <v>-0.20528750000000001</v>
      </c>
      <c r="U3420">
        <v>-1.77734399999999</v>
      </c>
      <c r="V3420">
        <v>-6.8142670000000002E-2</v>
      </c>
      <c r="W3420">
        <v>-2.9480969999999999E-2</v>
      </c>
      <c r="X3420">
        <v>0.99723989999999996</v>
      </c>
      <c r="Y3420">
        <v>-0.30196909999999999</v>
      </c>
      <c r="Z3420">
        <v>1.0347200000000001E-2</v>
      </c>
      <c r="AA3420">
        <v>0.95326160000000004</v>
      </c>
      <c r="AB3420">
        <v>9</v>
      </c>
      <c r="AC3420">
        <v>-13.585999999999901</v>
      </c>
      <c r="AD3420">
        <v>-1.1110214779162999</v>
      </c>
      <c r="AE3420">
        <v>-9.6015999999999604</v>
      </c>
      <c r="AF3420">
        <v>-5.0130673800138297</v>
      </c>
      <c r="AG3420">
        <v>-1.1110214779162999</v>
      </c>
      <c r="AH3420">
        <v>15.785656603217801</v>
      </c>
      <c r="AI3420">
        <v>93.8376728589527</v>
      </c>
      <c r="AJ3420">
        <v>107.618340764705</v>
      </c>
      <c r="AK3420">
        <v>16.599764084939999</v>
      </c>
      <c r="AL3420">
        <v>91.689379957700396</v>
      </c>
      <c r="AM3420">
        <v>93.909017056446302</v>
      </c>
      <c r="AN3420">
        <v>0.99999998460943895</v>
      </c>
    </row>
    <row r="3421" spans="1:40" x14ac:dyDescent="0.25">
      <c r="A3421" t="str">
        <f>"20190312153952273"</f>
        <v>20190312153952273</v>
      </c>
      <c r="B3421" t="str">
        <f>"1552376392269682"</f>
        <v>1552376392269682</v>
      </c>
      <c r="C3421" t="s">
        <v>40</v>
      </c>
      <c r="D3421">
        <v>4.4000539999999999</v>
      </c>
      <c r="E3421">
        <v>0.40883930000000002</v>
      </c>
      <c r="F3421" t="s">
        <v>54</v>
      </c>
      <c r="G3421">
        <v>-494.02190000000002</v>
      </c>
      <c r="H3421" s="1">
        <v>4.865199E-7</v>
      </c>
      <c r="I3421">
        <v>270.99259999999998</v>
      </c>
      <c r="J3421">
        <v>-480.36</v>
      </c>
      <c r="K3421">
        <v>1.11102099999999</v>
      </c>
      <c r="L3421">
        <v>280.67860000000002</v>
      </c>
      <c r="M3421">
        <v>-0.95223800000000003</v>
      </c>
      <c r="N3421">
        <v>0</v>
      </c>
      <c r="O3421">
        <v>-0.30517450000000002</v>
      </c>
      <c r="P3421">
        <v>-0.92918800000000001</v>
      </c>
      <c r="Q3421">
        <v>-3.8941040000000003E-2</v>
      </c>
      <c r="R3421">
        <v>-0.3675504</v>
      </c>
      <c r="S3421">
        <v>-2.5158689999999999</v>
      </c>
      <c r="T3421">
        <v>-0.2039696</v>
      </c>
      <c r="U3421">
        <v>-1.7811889999999999</v>
      </c>
      <c r="V3421">
        <v>-6.6356299999999993E-2</v>
      </c>
      <c r="W3421">
        <v>-2.8595289999999999E-2</v>
      </c>
      <c r="X3421">
        <v>0.9973862</v>
      </c>
      <c r="Y3421">
        <v>-0.30116569999999998</v>
      </c>
      <c r="Z3421">
        <v>1.0467819999999999E-2</v>
      </c>
      <c r="AA3421">
        <v>0.95351439999999998</v>
      </c>
      <c r="AB3421">
        <v>9</v>
      </c>
      <c r="AC3421">
        <v>-13.661899999999999</v>
      </c>
      <c r="AD3421">
        <v>-1.1110205134800999</v>
      </c>
      <c r="AE3421">
        <v>-9.6860000000000301</v>
      </c>
      <c r="AF3421">
        <v>-5.0322475378253699</v>
      </c>
      <c r="AG3421">
        <v>-1.1110205134800999</v>
      </c>
      <c r="AH3421">
        <v>15.896227912863599</v>
      </c>
      <c r="AI3421">
        <v>93.812151851409197</v>
      </c>
      <c r="AJ3421">
        <v>107.56615493929201</v>
      </c>
      <c r="AK3421">
        <v>16.710713441413201</v>
      </c>
      <c r="AL3421">
        <v>91.638612729288496</v>
      </c>
      <c r="AM3421">
        <v>93.806290204619302</v>
      </c>
      <c r="AN3421">
        <v>1.0000000405551499</v>
      </c>
    </row>
    <row r="3422" spans="1:40" x14ac:dyDescent="0.25">
      <c r="A3422" t="str">
        <f>"20190312153952286"</f>
        <v>20190312153952286</v>
      </c>
      <c r="B3422" t="str">
        <f>"1552376392279444"</f>
        <v>1552376392279444</v>
      </c>
      <c r="C3422" t="s">
        <v>40</v>
      </c>
      <c r="D3422">
        <v>4.379461</v>
      </c>
      <c r="E3422">
        <v>0.40891820000000001</v>
      </c>
      <c r="F3422" t="s">
        <v>54</v>
      </c>
      <c r="G3422">
        <v>-494.3639</v>
      </c>
      <c r="H3422" s="1">
        <v>4.0191389999999999E-7</v>
      </c>
      <c r="I3422">
        <v>270.75330000000002</v>
      </c>
      <c r="J3422">
        <v>-480.404</v>
      </c>
      <c r="K3422">
        <v>1.1110230000000001</v>
      </c>
      <c r="L3422">
        <v>280.66140000000001</v>
      </c>
      <c r="M3422">
        <v>-0.95145849999999998</v>
      </c>
      <c r="N3422">
        <v>0</v>
      </c>
      <c r="O3422">
        <v>-0.30760120000000002</v>
      </c>
      <c r="P3422">
        <v>-0.92853269999999999</v>
      </c>
      <c r="Q3422">
        <v>-3.878438E-2</v>
      </c>
      <c r="R3422">
        <v>-0.36921910000000002</v>
      </c>
      <c r="S3422">
        <v>-2.5151669999999999</v>
      </c>
      <c r="T3422">
        <v>-0.19954379999999999</v>
      </c>
      <c r="U3422">
        <v>-1.7826229999999901</v>
      </c>
      <c r="V3422">
        <v>-6.5601999999999994E-2</v>
      </c>
      <c r="W3422">
        <v>-2.859886E-2</v>
      </c>
      <c r="X3422">
        <v>0.99743590000000004</v>
      </c>
      <c r="Y3422">
        <v>-0.29923060000000001</v>
      </c>
      <c r="Z3422">
        <v>1.046886E-2</v>
      </c>
      <c r="AA3422">
        <v>0.95412339999999995</v>
      </c>
      <c r="AB3422">
        <v>9</v>
      </c>
      <c r="AC3422">
        <v>-13.959899999999999</v>
      </c>
      <c r="AD3422">
        <v>-1.1110225980860999</v>
      </c>
      <c r="AE3422">
        <v>-9.9080999999999904</v>
      </c>
      <c r="AF3422">
        <v>-5.11180997956391</v>
      </c>
      <c r="AG3422">
        <v>-1.1110225980860999</v>
      </c>
      <c r="AH3422">
        <v>16.262392840555599</v>
      </c>
      <c r="AI3422">
        <v>93.728952922710207</v>
      </c>
      <c r="AJ3422">
        <v>107.44966453252199</v>
      </c>
      <c r="AK3422">
        <v>17.083044031471101</v>
      </c>
      <c r="AL3422">
        <v>91.638817514062296</v>
      </c>
      <c r="AM3422">
        <v>93.762960566289294</v>
      </c>
      <c r="AN3422">
        <v>0.99999994590305297</v>
      </c>
    </row>
    <row r="3423" spans="1:40" x14ac:dyDescent="0.25">
      <c r="A3423" t="str">
        <f>"20190312153952300"</f>
        <v>20190312153952300</v>
      </c>
      <c r="B3423" t="str">
        <f>"1552376392289203"</f>
        <v>1552376392289203</v>
      </c>
      <c r="C3423" t="s">
        <v>40</v>
      </c>
      <c r="D3423">
        <v>4.3521349999999996</v>
      </c>
      <c r="E3423">
        <v>0.40901530000000003</v>
      </c>
      <c r="F3423" t="s">
        <v>54</v>
      </c>
      <c r="G3423">
        <v>-494.46120000000002</v>
      </c>
      <c r="H3423" s="1">
        <v>3.7092170000000001E-7</v>
      </c>
      <c r="I3423">
        <v>270.66559999999998</v>
      </c>
      <c r="J3423">
        <v>-480.45510000000002</v>
      </c>
      <c r="K3423">
        <v>1.1110260000000001</v>
      </c>
      <c r="L3423">
        <v>280.6413</v>
      </c>
      <c r="M3423">
        <v>-0.95054380000000005</v>
      </c>
      <c r="N3423">
        <v>0</v>
      </c>
      <c r="O3423">
        <v>-0.31042229999999998</v>
      </c>
      <c r="P3423">
        <v>-0.92768189999999995</v>
      </c>
      <c r="Q3423">
        <v>-3.8152140000000001E-2</v>
      </c>
      <c r="R3423">
        <v>-0.371417</v>
      </c>
      <c r="S3423">
        <v>-2.5122990000000001</v>
      </c>
      <c r="T3423">
        <v>-0.1985616</v>
      </c>
      <c r="U3423">
        <v>-1.786438</v>
      </c>
      <c r="V3423">
        <v>-6.4997830000000006E-2</v>
      </c>
      <c r="W3423">
        <v>-2.8150419999999999E-2</v>
      </c>
      <c r="X3423">
        <v>0.99748829999999999</v>
      </c>
      <c r="Y3423">
        <v>-0.29788500000000001</v>
      </c>
      <c r="Z3423">
        <v>1.0652490000000001E-2</v>
      </c>
      <c r="AA3423">
        <v>0.95454229999999995</v>
      </c>
      <c r="AB3423">
        <v>9</v>
      </c>
      <c r="AC3423">
        <v>-14.0061</v>
      </c>
      <c r="AD3423">
        <v>-1.1110256290783</v>
      </c>
      <c r="AE3423">
        <v>-9.9757000000000104</v>
      </c>
      <c r="AF3423">
        <v>-5.1134554620310197</v>
      </c>
      <c r="AG3423">
        <v>-1.1110256290783</v>
      </c>
      <c r="AH3423">
        <v>16.342723722232499</v>
      </c>
      <c r="AI3423">
        <v>93.712211462103198</v>
      </c>
      <c r="AJ3423">
        <v>107.374317875928</v>
      </c>
      <c r="AK3423">
        <v>17.160023991004898</v>
      </c>
      <c r="AL3423">
        <v>91.613113297643807</v>
      </c>
      <c r="AM3423">
        <v>93.728207993766205</v>
      </c>
      <c r="AN3423">
        <v>1.0000000363438799</v>
      </c>
    </row>
    <row r="3424" spans="1:40" x14ac:dyDescent="0.25">
      <c r="A3424" t="str">
        <f>"20190312153952316"</f>
        <v>20190312153952316</v>
      </c>
      <c r="B3424" t="str">
        <f>"1552376392309698"</f>
        <v>1552376392309698</v>
      </c>
      <c r="C3424" t="s">
        <v>40</v>
      </c>
      <c r="D3424">
        <v>4.3384589999999896</v>
      </c>
      <c r="E3424">
        <v>0.40932770000000002</v>
      </c>
      <c r="F3424" t="s">
        <v>54</v>
      </c>
      <c r="G3424">
        <v>-494.73489999999998</v>
      </c>
      <c r="H3424" s="1">
        <v>2.9093849999999999E-7</v>
      </c>
      <c r="I3424">
        <v>270.43939999999998</v>
      </c>
      <c r="J3424">
        <v>-480.51150000000001</v>
      </c>
      <c r="K3424">
        <v>1.111032</v>
      </c>
      <c r="L3424">
        <v>280.6189</v>
      </c>
      <c r="M3424">
        <v>-0.94951909999999895</v>
      </c>
      <c r="N3424">
        <v>0</v>
      </c>
      <c r="O3424">
        <v>-0.31354900000000002</v>
      </c>
      <c r="P3424">
        <v>-0.9267862</v>
      </c>
      <c r="Q3424">
        <v>-3.706599E-2</v>
      </c>
      <c r="R3424">
        <v>-0.37375560000000002</v>
      </c>
      <c r="S3424">
        <v>-2.508362</v>
      </c>
      <c r="T3424">
        <v>-0.19516069999999999</v>
      </c>
      <c r="U3424">
        <v>-1.7920529999999999</v>
      </c>
      <c r="V3424">
        <v>-6.421839E-2</v>
      </c>
      <c r="W3424">
        <v>-2.7261810000000001E-2</v>
      </c>
      <c r="X3424">
        <v>0.99756339999999999</v>
      </c>
      <c r="Y3424">
        <v>-0.29687409999999997</v>
      </c>
      <c r="Z3424">
        <v>1.071034E-2</v>
      </c>
      <c r="AA3424">
        <v>0.95485660000000006</v>
      </c>
      <c r="AB3424">
        <v>9</v>
      </c>
      <c r="AC3424">
        <v>-14.2233999999999</v>
      </c>
      <c r="AD3424">
        <v>-1.1110317090615001</v>
      </c>
      <c r="AE3424">
        <v>-10.179500000000001</v>
      </c>
      <c r="AF3424">
        <v>-5.1852364564349296</v>
      </c>
      <c r="AG3424">
        <v>-1.1110317090615001</v>
      </c>
      <c r="AH3424">
        <v>16.630896843020299</v>
      </c>
      <c r="AI3424">
        <v>93.649227712216202</v>
      </c>
      <c r="AJ3424">
        <v>107.31660824024399</v>
      </c>
      <c r="AK3424">
        <v>17.455881483639399</v>
      </c>
      <c r="AL3424">
        <v>91.562180242374893</v>
      </c>
      <c r="AM3424">
        <v>93.683347411103995</v>
      </c>
      <c r="AN3424">
        <v>0.99999997245911298</v>
      </c>
    </row>
    <row r="3425" spans="1:40" x14ac:dyDescent="0.25">
      <c r="A3425" t="str">
        <f>"20190312153952331"</f>
        <v>20190312153952331</v>
      </c>
      <c r="B3425" t="str">
        <f>"1552376392319458"</f>
        <v>1552376392319458</v>
      </c>
      <c r="C3425" t="s">
        <v>40</v>
      </c>
      <c r="D3425">
        <v>4.3499540000000003</v>
      </c>
      <c r="E3425">
        <v>0.40946700000000003</v>
      </c>
      <c r="F3425" t="s">
        <v>54</v>
      </c>
      <c r="G3425">
        <v>-495.07569999999998</v>
      </c>
      <c r="H3425" s="1">
        <v>1.9892459999999999E-7</v>
      </c>
      <c r="I3425">
        <v>270.17910000000001</v>
      </c>
      <c r="J3425">
        <v>-480.56009999999998</v>
      </c>
      <c r="K3425">
        <v>1.1110340000000001</v>
      </c>
      <c r="L3425">
        <v>280.5994</v>
      </c>
      <c r="M3425">
        <v>-0.9486232</v>
      </c>
      <c r="N3425">
        <v>0</v>
      </c>
      <c r="O3425">
        <v>-0.3162548</v>
      </c>
      <c r="P3425">
        <v>-0.92603310000000005</v>
      </c>
      <c r="Q3425">
        <v>-3.5935929999999998E-2</v>
      </c>
      <c r="R3425">
        <v>-0.37572820000000001</v>
      </c>
      <c r="S3425">
        <v>-2.5051269999999999</v>
      </c>
      <c r="T3425">
        <v>-0.19110440000000001</v>
      </c>
      <c r="U3425">
        <v>-1.795715</v>
      </c>
      <c r="V3425">
        <v>-6.3487479999999999E-2</v>
      </c>
      <c r="W3425">
        <v>-2.6296259999999998E-2</v>
      </c>
      <c r="X3425">
        <v>0.99763610000000003</v>
      </c>
      <c r="Y3425">
        <v>-0.29566389999999998</v>
      </c>
      <c r="Z3425">
        <v>1.070396E-2</v>
      </c>
      <c r="AA3425">
        <v>0.95523210000000003</v>
      </c>
      <c r="AB3425">
        <v>9</v>
      </c>
      <c r="AC3425">
        <v>-14.515599999999999</v>
      </c>
      <c r="AD3425">
        <v>-1.1110338010754</v>
      </c>
      <c r="AE3425">
        <v>-10.4202999999999</v>
      </c>
      <c r="AF3425">
        <v>-5.2741761408694803</v>
      </c>
      <c r="AG3425">
        <v>-1.1110338010754</v>
      </c>
      <c r="AH3425">
        <v>17.000406254099001</v>
      </c>
      <c r="AI3425">
        <v>93.571685240178297</v>
      </c>
      <c r="AJ3425">
        <v>107.235888806696</v>
      </c>
      <c r="AK3425">
        <v>17.834380922153098</v>
      </c>
      <c r="AL3425">
        <v>91.5068384545947</v>
      </c>
      <c r="AM3425">
        <v>93.641273709747196</v>
      </c>
      <c r="AN3425">
        <v>0.99999997071497304</v>
      </c>
    </row>
    <row r="3426" spans="1:40" x14ac:dyDescent="0.25">
      <c r="A3426" t="str">
        <f>"20190312153952346"</f>
        <v>20190312153952346</v>
      </c>
      <c r="B3426" t="str">
        <f>"1552376392338979"</f>
        <v>1552376392338979</v>
      </c>
      <c r="C3426" t="s">
        <v>40</v>
      </c>
      <c r="D3426">
        <v>4.3255150000000002</v>
      </c>
      <c r="E3426">
        <v>0.40979169999999998</v>
      </c>
      <c r="F3426" t="s">
        <v>54</v>
      </c>
      <c r="G3426">
        <v>-495.38720000000001</v>
      </c>
      <c r="H3426" s="1">
        <v>1.1094820000000001E-7</v>
      </c>
      <c r="I3426">
        <v>269.93020000000001</v>
      </c>
      <c r="J3426">
        <v>-480.6198</v>
      </c>
      <c r="K3426">
        <v>1.1110329999999999</v>
      </c>
      <c r="L3426">
        <v>280.5752</v>
      </c>
      <c r="M3426">
        <v>-0.94750979999999996</v>
      </c>
      <c r="N3426">
        <v>0</v>
      </c>
      <c r="O3426">
        <v>-0.3195808</v>
      </c>
      <c r="P3426">
        <v>-0.92490819999999996</v>
      </c>
      <c r="Q3426">
        <v>-3.5849359999999997E-2</v>
      </c>
      <c r="R3426">
        <v>-0.37849660000000002</v>
      </c>
      <c r="S3426">
        <v>-2.5018919999999998</v>
      </c>
      <c r="T3426">
        <v>-0.18747349999999999</v>
      </c>
      <c r="U3426">
        <v>-1.8002929999999999</v>
      </c>
      <c r="V3426">
        <v>-6.2969709999999998E-2</v>
      </c>
      <c r="W3426">
        <v>-2.640814E-2</v>
      </c>
      <c r="X3426">
        <v>0.99766600000000005</v>
      </c>
      <c r="Y3426">
        <v>-0.29405730000000002</v>
      </c>
      <c r="Z3426">
        <v>1.076264E-2</v>
      </c>
      <c r="AA3426">
        <v>0.9557272</v>
      </c>
      <c r="AB3426">
        <v>9</v>
      </c>
      <c r="AC3426">
        <v>-14.7674</v>
      </c>
      <c r="AD3426">
        <v>-1.1110328890518</v>
      </c>
      <c r="AE3426">
        <v>-10.6449999999999</v>
      </c>
      <c r="AF3426">
        <v>-5.3471970353446903</v>
      </c>
      <c r="AG3426">
        <v>-1.1110328890518</v>
      </c>
      <c r="AH3426">
        <v>17.3304514991198</v>
      </c>
      <c r="AI3426">
        <v>93.505506420494498</v>
      </c>
      <c r="AJ3426">
        <v>107.147266706507</v>
      </c>
      <c r="AK3426">
        <v>18.170620775821</v>
      </c>
      <c r="AL3426">
        <v>91.5132508727025</v>
      </c>
      <c r="AM3426">
        <v>93.611548393972996</v>
      </c>
      <c r="AN3426">
        <v>1.00000001089587</v>
      </c>
    </row>
    <row r="3427" spans="1:40" x14ac:dyDescent="0.25">
      <c r="A3427" t="str">
        <f>"20190312153952361"</f>
        <v>20190312153952361</v>
      </c>
      <c r="B3427" t="str">
        <f>"1552376392349714"</f>
        <v>1552376392349714</v>
      </c>
      <c r="C3427" t="s">
        <v>40</v>
      </c>
      <c r="D3427">
        <v>4.2682390000000003</v>
      </c>
      <c r="E3427">
        <v>0.40979169999999998</v>
      </c>
      <c r="F3427" t="s">
        <v>54</v>
      </c>
      <c r="G3427">
        <v>-495.48</v>
      </c>
      <c r="H3427" s="1">
        <v>7.6717999999999999E-8</v>
      </c>
      <c r="I3427">
        <v>269.83330000000001</v>
      </c>
      <c r="J3427">
        <v>-480.67430000000002</v>
      </c>
      <c r="K3427">
        <v>1.111029</v>
      </c>
      <c r="L3427">
        <v>280.55290000000002</v>
      </c>
      <c r="M3427">
        <v>-0.94647599999999998</v>
      </c>
      <c r="N3427">
        <v>0</v>
      </c>
      <c r="O3427">
        <v>-0.32263540000000002</v>
      </c>
      <c r="P3427">
        <v>-0.92388840000000005</v>
      </c>
      <c r="Q3427">
        <v>-3.6064880000000001E-2</v>
      </c>
      <c r="R3427">
        <v>-0.3809592</v>
      </c>
      <c r="S3427">
        <v>-2.4974980000000002</v>
      </c>
      <c r="T3427">
        <v>-0.186726</v>
      </c>
      <c r="U3427">
        <v>-1.805328</v>
      </c>
      <c r="V3427">
        <v>-6.2410550000000002E-2</v>
      </c>
      <c r="W3427">
        <v>-2.6798929999999999E-2</v>
      </c>
      <c r="X3427">
        <v>0.99769070000000004</v>
      </c>
      <c r="Y3427">
        <v>-0.29304479999999999</v>
      </c>
      <c r="Z3427">
        <v>1.094725E-2</v>
      </c>
      <c r="AA3427">
        <v>0.956036</v>
      </c>
      <c r="AB3427">
        <v>9</v>
      </c>
      <c r="AC3427">
        <v>-14.8057</v>
      </c>
      <c r="AD3427">
        <v>-1.1110289232819901</v>
      </c>
      <c r="AE3427">
        <v>-10.7196</v>
      </c>
      <c r="AF3427">
        <v>-5.3494782874303901</v>
      </c>
      <c r="AG3427">
        <v>-1.1110289232819901</v>
      </c>
      <c r="AH3427">
        <v>17.4082308755622</v>
      </c>
      <c r="AI3427">
        <v>93.491091977566896</v>
      </c>
      <c r="AJ3427">
        <v>107.081979435055</v>
      </c>
      <c r="AK3427">
        <v>18.2454872621406</v>
      </c>
      <c r="AL3427">
        <v>91.535649440618997</v>
      </c>
      <c r="AM3427">
        <v>93.579473842971794</v>
      </c>
      <c r="AN3427">
        <v>0.99999999613346802</v>
      </c>
    </row>
    <row r="3428" spans="1:40" x14ac:dyDescent="0.25">
      <c r="A3428" t="str">
        <f>"20190312153952375"</f>
        <v>20190312153952375</v>
      </c>
      <c r="B3428" t="str">
        <f>"1552376392369235"</f>
        <v>1552376392369235</v>
      </c>
      <c r="C3428" t="s">
        <v>40</v>
      </c>
      <c r="D3428">
        <v>4.301266</v>
      </c>
      <c r="E3428">
        <v>0.41877979999999998</v>
      </c>
      <c r="F3428" t="s">
        <v>54</v>
      </c>
      <c r="G3428">
        <v>-495.48250000000002</v>
      </c>
      <c r="H3428" s="1">
        <v>6.0511240000000002E-8</v>
      </c>
      <c r="I3428">
        <v>269.78750000000002</v>
      </c>
      <c r="J3428">
        <v>-480.72590000000002</v>
      </c>
      <c r="K3428">
        <v>1.1110230000000001</v>
      </c>
      <c r="L3428">
        <v>280.53160000000003</v>
      </c>
      <c r="M3428">
        <v>-0.94548460000000001</v>
      </c>
      <c r="N3428">
        <v>0</v>
      </c>
      <c r="O3428">
        <v>-0.32553359999999998</v>
      </c>
      <c r="P3428">
        <v>-0.92304260000000005</v>
      </c>
      <c r="Q3428">
        <v>-3.721613E-2</v>
      </c>
      <c r="R3428">
        <v>-0.3828937</v>
      </c>
      <c r="S3428">
        <v>-2.4926149999999998</v>
      </c>
      <c r="T3428">
        <v>-0.18701509999999999</v>
      </c>
      <c r="U3428">
        <v>-1.812103</v>
      </c>
      <c r="V3428">
        <v>-6.1454460000000002E-2</v>
      </c>
      <c r="W3428">
        <v>-2.8107409999999999E-2</v>
      </c>
      <c r="X3428">
        <v>0.99771399999999999</v>
      </c>
      <c r="Y3428">
        <v>-0.29271209999999998</v>
      </c>
      <c r="Z3428">
        <v>1.1158960000000001E-2</v>
      </c>
      <c r="AA3428">
        <v>0.95613550000000003</v>
      </c>
      <c r="AB3428">
        <v>9</v>
      </c>
      <c r="AC3428">
        <v>-14.756599999999899</v>
      </c>
      <c r="AD3428">
        <v>-1.1110229394887601</v>
      </c>
      <c r="AE3428">
        <v>-10.7441</v>
      </c>
      <c r="AF3428">
        <v>-5.3350794879873398</v>
      </c>
      <c r="AG3428">
        <v>-1.1110229394887601</v>
      </c>
      <c r="AH3428">
        <v>17.386050807357801</v>
      </c>
      <c r="AI3428">
        <v>93.495942671283004</v>
      </c>
      <c r="AJ3428">
        <v>107.05914317215</v>
      </c>
      <c r="AK3428">
        <v>18.220104494520299</v>
      </c>
      <c r="AL3428">
        <v>91.610648167492101</v>
      </c>
      <c r="AM3428">
        <v>93.524695787220296</v>
      </c>
      <c r="AN3428">
        <v>0.99999995147339804</v>
      </c>
    </row>
    <row r="3429" spans="1:40" x14ac:dyDescent="0.25">
      <c r="A3429" t="str">
        <f>"20190312153952387"</f>
        <v>20190312153952387</v>
      </c>
      <c r="B3429" t="str">
        <f>"1552376392378995"</f>
        <v>1552376392378995</v>
      </c>
      <c r="C3429" t="s">
        <v>40</v>
      </c>
      <c r="D3429">
        <v>4.2808989999999998</v>
      </c>
      <c r="E3429">
        <v>0.41870049999999998</v>
      </c>
      <c r="F3429" t="s">
        <v>42</v>
      </c>
      <c r="G3429">
        <v>-497.1841</v>
      </c>
      <c r="H3429" s="1">
        <v>-5.3927440000000004E-6</v>
      </c>
      <c r="I3429">
        <v>269.08890000000002</v>
      </c>
      <c r="J3429">
        <v>-480.76920000000001</v>
      </c>
      <c r="K3429">
        <v>1.1110180000000001</v>
      </c>
      <c r="L3429">
        <v>280.5136</v>
      </c>
      <c r="M3429">
        <v>-0.94464519999999996</v>
      </c>
      <c r="N3429">
        <v>0</v>
      </c>
      <c r="O3429">
        <v>-0.3279646</v>
      </c>
      <c r="P3429">
        <v>-0.92217680000000002</v>
      </c>
      <c r="Q3429">
        <v>-3.7564300000000002E-2</v>
      </c>
      <c r="R3429">
        <v>-0.38494080000000003</v>
      </c>
      <c r="S3429">
        <v>-2.5172729999999999</v>
      </c>
      <c r="T3429">
        <v>-0.16993069999999999</v>
      </c>
      <c r="U3429">
        <v>-1.7501529999999901</v>
      </c>
      <c r="V3429">
        <v>-6.1104440000000003E-2</v>
      </c>
      <c r="W3429">
        <v>-2.858113E-2</v>
      </c>
      <c r="X3429">
        <v>0.99772209999999995</v>
      </c>
      <c r="Y3429">
        <v>-0.27005079999999998</v>
      </c>
      <c r="Z3429">
        <v>1.0965539999999999E-2</v>
      </c>
      <c r="AA3429">
        <v>0.96278359999999996</v>
      </c>
      <c r="AB3429">
        <v>9</v>
      </c>
      <c r="AC3429">
        <v>-16.4148999999999</v>
      </c>
      <c r="AD3429">
        <v>-1.1110233927439901</v>
      </c>
      <c r="AE3429">
        <v>-11.4246999999999</v>
      </c>
      <c r="AF3429">
        <v>-5.3923692692358696</v>
      </c>
      <c r="AG3429">
        <v>-1.1110233927439901</v>
      </c>
      <c r="AH3429">
        <v>19.194731082121798</v>
      </c>
      <c r="AI3429">
        <v>93.189480579056806</v>
      </c>
      <c r="AJ3429">
        <v>105.69162767454399</v>
      </c>
      <c r="AK3429">
        <v>19.968718552525999</v>
      </c>
      <c r="AL3429">
        <v>91.637801137429094</v>
      </c>
      <c r="AM3429">
        <v>93.504642329505202</v>
      </c>
      <c r="AN3429">
        <v>1.0000000112041001</v>
      </c>
    </row>
    <row r="3430" spans="1:40" x14ac:dyDescent="0.25">
      <c r="A3430" t="str">
        <f>"20190312153952400"</f>
        <v>20190312153952400</v>
      </c>
      <c r="B3430" t="str">
        <f>"1552376392388756"</f>
        <v>1552376392388756</v>
      </c>
      <c r="C3430" t="s">
        <v>40</v>
      </c>
      <c r="D3430">
        <v>4.2769159999999999</v>
      </c>
      <c r="E3430">
        <v>0.41932629999999999</v>
      </c>
      <c r="F3430" t="s">
        <v>42</v>
      </c>
      <c r="G3430">
        <v>-497.5478</v>
      </c>
      <c r="H3430" s="1">
        <v>-5.3554539999999998E-6</v>
      </c>
      <c r="I3430">
        <v>268.78980000000001</v>
      </c>
      <c r="J3430">
        <v>-480.81619999999998</v>
      </c>
      <c r="K3430">
        <v>1.111016</v>
      </c>
      <c r="L3430">
        <v>280.4939</v>
      </c>
      <c r="M3430">
        <v>-0.94372540000000005</v>
      </c>
      <c r="N3430">
        <v>0</v>
      </c>
      <c r="O3430">
        <v>-0.33060640000000002</v>
      </c>
      <c r="P3430">
        <v>-0.92121909999999896</v>
      </c>
      <c r="Q3430">
        <v>-3.7811560000000001E-2</v>
      </c>
      <c r="R3430">
        <v>-0.38720290000000002</v>
      </c>
      <c r="S3430">
        <v>-2.5133359999999998</v>
      </c>
      <c r="T3430">
        <v>-0.16642509999999999</v>
      </c>
      <c r="U3430">
        <v>-1.756165</v>
      </c>
      <c r="V3430">
        <v>-6.0763600000000001E-2</v>
      </c>
      <c r="W3430">
        <v>-2.896193E-2</v>
      </c>
      <c r="X3430">
        <v>0.9977319</v>
      </c>
      <c r="Y3430">
        <v>-0.26961410000000002</v>
      </c>
      <c r="Z3430">
        <v>1.090091E-2</v>
      </c>
      <c r="AA3430">
        <v>0.9629067</v>
      </c>
      <c r="AB3430">
        <v>9</v>
      </c>
      <c r="AC3430">
        <v>-16.7316</v>
      </c>
      <c r="AD3430">
        <v>-1.1110213554539901</v>
      </c>
      <c r="AE3430">
        <v>-11.704099999999899</v>
      </c>
      <c r="AF3430">
        <v>-5.4978310245012798</v>
      </c>
      <c r="AG3430">
        <v>-1.1110213554539901</v>
      </c>
      <c r="AH3430">
        <v>19.602255808273799</v>
      </c>
      <c r="AI3430">
        <v>93.123672638580203</v>
      </c>
      <c r="AJ3430">
        <v>105.667177656726</v>
      </c>
      <c r="AK3430">
        <v>20.388941787136702</v>
      </c>
      <c r="AL3430">
        <v>91.659628464160505</v>
      </c>
      <c r="AM3430">
        <v>93.485107638201001</v>
      </c>
      <c r="AN3430">
        <v>0.99999997637594695</v>
      </c>
    </row>
    <row r="3431" spans="1:40" x14ac:dyDescent="0.25">
      <c r="A3431" t="str">
        <f>"20190312153952411"</f>
        <v>20190312153952411</v>
      </c>
      <c r="B3431" t="str">
        <f>"1552376392399491"</f>
        <v>1552376392399491</v>
      </c>
      <c r="C3431" t="s">
        <v>40</v>
      </c>
      <c r="D3431">
        <v>4.2590729999999999</v>
      </c>
      <c r="E3431">
        <v>0.41936760000000001</v>
      </c>
      <c r="F3431" t="s">
        <v>42</v>
      </c>
      <c r="G3431">
        <v>-497.01029999999997</v>
      </c>
      <c r="H3431" s="1">
        <v>-5.3842619999999996E-6</v>
      </c>
      <c r="I3431">
        <v>269.15460000000002</v>
      </c>
      <c r="J3431">
        <v>-480.85989999999998</v>
      </c>
      <c r="K3431">
        <v>1.111013</v>
      </c>
      <c r="L3431">
        <v>280.47539999999998</v>
      </c>
      <c r="M3431">
        <v>-0.94286099999999995</v>
      </c>
      <c r="N3431">
        <v>0</v>
      </c>
      <c r="O3431">
        <v>-0.3330669</v>
      </c>
      <c r="P3431">
        <v>-0.9202804</v>
      </c>
      <c r="Q3431">
        <v>-3.7725679999999998E-2</v>
      </c>
      <c r="R3431">
        <v>-0.38943680000000003</v>
      </c>
      <c r="S3431">
        <v>-2.5106199999999999</v>
      </c>
      <c r="T3431">
        <v>-0.17224439999999999</v>
      </c>
      <c r="U3431">
        <v>-1.757965</v>
      </c>
      <c r="V3431">
        <v>-6.0580380000000003E-2</v>
      </c>
      <c r="W3431">
        <v>-2.899564E-2</v>
      </c>
      <c r="X3431">
        <v>0.99774209999999997</v>
      </c>
      <c r="Y3431">
        <v>-0.26806550000000001</v>
      </c>
      <c r="Z3431">
        <v>1.147396E-2</v>
      </c>
      <c r="AA3431">
        <v>0.96333239999999998</v>
      </c>
      <c r="AB3431">
        <v>9</v>
      </c>
      <c r="AC3431">
        <v>-16.150399999999902</v>
      </c>
      <c r="AD3431">
        <v>-1.1110183842620001</v>
      </c>
      <c r="AE3431">
        <v>-11.320799999999901</v>
      </c>
      <c r="AF3431">
        <v>-5.2782389178987197</v>
      </c>
      <c r="AG3431">
        <v>-1.1110183842620001</v>
      </c>
      <c r="AH3431">
        <v>18.938825310356801</v>
      </c>
      <c r="AI3431">
        <v>93.234339610985202</v>
      </c>
      <c r="AJ3431">
        <v>105.57312086821</v>
      </c>
      <c r="AK3431">
        <v>19.6919595789957</v>
      </c>
      <c r="AL3431">
        <v>91.661560654151302</v>
      </c>
      <c r="AM3431">
        <v>93.474589371018496</v>
      </c>
      <c r="AN3431">
        <v>1.00000001384618</v>
      </c>
    </row>
    <row r="3432" spans="1:40" x14ac:dyDescent="0.25">
      <c r="A3432" t="str">
        <f>"20190312153952423"</f>
        <v>20190312153952423</v>
      </c>
      <c r="B3432" t="str">
        <f>"1552376392419011"</f>
        <v>1552376392419011</v>
      </c>
      <c r="C3432" t="s">
        <v>40</v>
      </c>
      <c r="D3432">
        <v>4.3628090000000004</v>
      </c>
      <c r="E3432">
        <v>0.41887590000000002</v>
      </c>
      <c r="F3432" t="s">
        <v>42</v>
      </c>
      <c r="G3432">
        <v>-497.04059999999998</v>
      </c>
      <c r="H3432" s="1">
        <v>-5.3666399999999998E-6</v>
      </c>
      <c r="I3432">
        <v>269.08699999999999</v>
      </c>
      <c r="J3432">
        <v>-480.90410000000003</v>
      </c>
      <c r="K3432">
        <v>1.1110089999999999</v>
      </c>
      <c r="L3432">
        <v>280.45659999999998</v>
      </c>
      <c r="M3432">
        <v>-0.94197850000000005</v>
      </c>
      <c r="N3432">
        <v>0</v>
      </c>
      <c r="O3432">
        <v>-0.33555760000000001</v>
      </c>
      <c r="P3432">
        <v>-0.91934839999999995</v>
      </c>
      <c r="Q3432">
        <v>-3.736718E-2</v>
      </c>
      <c r="R3432">
        <v>-0.39166610000000002</v>
      </c>
      <c r="S3432">
        <v>-2.5063170000000001</v>
      </c>
      <c r="T3432">
        <v>-0.17209189999999999</v>
      </c>
      <c r="U3432">
        <v>-1.764008</v>
      </c>
      <c r="V3432">
        <v>-6.035766E-2</v>
      </c>
      <c r="W3432">
        <v>-2.8755260000000001E-2</v>
      </c>
      <c r="X3432">
        <v>0.99776260000000006</v>
      </c>
      <c r="Y3432">
        <v>-0.2678548</v>
      </c>
      <c r="Z3432">
        <v>1.1616359999999999E-2</v>
      </c>
      <c r="AA3432">
        <v>0.9633893</v>
      </c>
      <c r="AB3432">
        <v>9</v>
      </c>
      <c r="AC3432">
        <v>-16.136499999999899</v>
      </c>
      <c r="AD3432">
        <v>-1.1110143666400001</v>
      </c>
      <c r="AE3432">
        <v>-11.369599999999901</v>
      </c>
      <c r="AF3432">
        <v>-5.2786771442943001</v>
      </c>
      <c r="AG3432">
        <v>-1.1110143666400001</v>
      </c>
      <c r="AH3432">
        <v>18.9560802757746</v>
      </c>
      <c r="AI3432">
        <v>93.231582313821406</v>
      </c>
      <c r="AJ3432">
        <v>105.56086155876901</v>
      </c>
      <c r="AK3432">
        <v>19.708672323070999</v>
      </c>
      <c r="AL3432">
        <v>91.647782074959594</v>
      </c>
      <c r="AM3432">
        <v>93.461775428859795</v>
      </c>
      <c r="AN3432">
        <v>1.00000005902855</v>
      </c>
    </row>
    <row r="3433" spans="1:40" x14ac:dyDescent="0.25">
      <c r="A3433" t="str">
        <f>"20190312153952436"</f>
        <v>20190312153952436</v>
      </c>
      <c r="B3433" t="str">
        <f>"1552376392429747"</f>
        <v>1552376392429747</v>
      </c>
      <c r="C3433" t="s">
        <v>40</v>
      </c>
      <c r="D3433">
        <v>4.4251209999999999</v>
      </c>
      <c r="E3433">
        <v>0.39033859999999998</v>
      </c>
      <c r="F3433" t="s">
        <v>42</v>
      </c>
      <c r="G3433">
        <v>-496.98360000000002</v>
      </c>
      <c r="H3433" s="1">
        <v>-5.34443599999999E-6</v>
      </c>
      <c r="I3433">
        <v>269.05149999999998</v>
      </c>
      <c r="J3433">
        <v>-480.95170000000002</v>
      </c>
      <c r="K3433">
        <v>1.1110059999999999</v>
      </c>
      <c r="L3433">
        <v>280.43619999999999</v>
      </c>
      <c r="M3433">
        <v>-0.94101990000000002</v>
      </c>
      <c r="N3433">
        <v>0</v>
      </c>
      <c r="O3433">
        <v>-0.33823969999999998</v>
      </c>
      <c r="P3433">
        <v>-0.91817919999999997</v>
      </c>
      <c r="Q3433">
        <v>-3.6797219999999999E-2</v>
      </c>
      <c r="R3433">
        <v>-0.3944531</v>
      </c>
      <c r="S3433">
        <v>-2.5005799999999998</v>
      </c>
      <c r="T3433">
        <v>-0.17277790000000001</v>
      </c>
      <c r="U3433">
        <v>-1.7736510000000001</v>
      </c>
      <c r="V3433">
        <v>-6.0534459999999998E-2</v>
      </c>
      <c r="W3433">
        <v>-2.8311329999999999E-2</v>
      </c>
      <c r="X3433">
        <v>0.99776450000000005</v>
      </c>
      <c r="Y3433">
        <v>-0.26862950000000002</v>
      </c>
      <c r="Z3433">
        <v>1.17959E-2</v>
      </c>
      <c r="AA3433">
        <v>0.96317140000000001</v>
      </c>
      <c r="AB3433">
        <v>9</v>
      </c>
      <c r="AC3433">
        <v>-16.0319</v>
      </c>
      <c r="AD3433">
        <v>-1.1110113444359999</v>
      </c>
      <c r="AE3433">
        <v>-11.3847</v>
      </c>
      <c r="AF3433">
        <v>-5.2739664105632196</v>
      </c>
      <c r="AG3433">
        <v>-1.1110113444359999</v>
      </c>
      <c r="AH3433">
        <v>18.877541407740299</v>
      </c>
      <c r="AI3433">
        <v>93.244227995089204</v>
      </c>
      <c r="AJ3433">
        <v>105.609184599895</v>
      </c>
      <c r="AK3433">
        <v>19.631878094267101</v>
      </c>
      <c r="AL3433">
        <v>91.622336537050998</v>
      </c>
      <c r="AM3433">
        <v>93.471884317748504</v>
      </c>
      <c r="AN3433">
        <v>0.99999997485705405</v>
      </c>
    </row>
    <row r="3434" spans="1:40" x14ac:dyDescent="0.25">
      <c r="A3434" t="str">
        <f>"20190312153952448"</f>
        <v>20190312153952448</v>
      </c>
      <c r="B3434" t="str">
        <f>"1552376392439506"</f>
        <v>1552376392439506</v>
      </c>
      <c r="C3434" t="s">
        <v>40</v>
      </c>
      <c r="D3434">
        <v>4.284122</v>
      </c>
      <c r="E3434">
        <v>0.37937530000000003</v>
      </c>
      <c r="F3434" t="s">
        <v>54</v>
      </c>
      <c r="G3434">
        <v>-490.95659999999998</v>
      </c>
      <c r="H3434" s="1">
        <v>8.8597569999999896E-7</v>
      </c>
      <c r="I3434">
        <v>272.12270000000001</v>
      </c>
      <c r="J3434">
        <v>-480.99579999999997</v>
      </c>
      <c r="K3434">
        <v>1.1110040000000001</v>
      </c>
      <c r="L3434">
        <v>280.4171</v>
      </c>
      <c r="M3434">
        <v>-0.94012280000000004</v>
      </c>
      <c r="N3434">
        <v>0</v>
      </c>
      <c r="O3434">
        <v>-0.34072819999999998</v>
      </c>
      <c r="P3434">
        <v>-0.91715619999999998</v>
      </c>
      <c r="Q3434">
        <v>-3.6545679999999997E-2</v>
      </c>
      <c r="R3434">
        <v>-0.39684900000000001</v>
      </c>
      <c r="S3434">
        <v>-2.3999630000000001</v>
      </c>
      <c r="T3434">
        <v>-0.26650629999999997</v>
      </c>
      <c r="U3434">
        <v>-1.994232</v>
      </c>
      <c r="V3434">
        <v>-6.0496639999999997E-2</v>
      </c>
      <c r="W3434">
        <v>-2.817246E-2</v>
      </c>
      <c r="X3434">
        <v>0.99777070000000001</v>
      </c>
      <c r="Y3434">
        <v>-0.33874969999999999</v>
      </c>
      <c r="Z3434">
        <v>1.505748E-2</v>
      </c>
      <c r="AA3434">
        <v>0.94075600000000004</v>
      </c>
      <c r="AB3434">
        <v>9</v>
      </c>
      <c r="AC3434">
        <v>-9.9608000000000008</v>
      </c>
      <c r="AD3434">
        <v>-1.1110031140243</v>
      </c>
      <c r="AE3434">
        <v>-8.2943999999999907</v>
      </c>
      <c r="AF3434">
        <v>-4.3718725737499797</v>
      </c>
      <c r="AG3434">
        <v>-1.1110031140243</v>
      </c>
      <c r="AH3434">
        <v>12.102050341571999</v>
      </c>
      <c r="AI3434">
        <v>94.934777267429297</v>
      </c>
      <c r="AJ3434">
        <v>109.862282656834</v>
      </c>
      <c r="AK3434">
        <v>12.915386954730399</v>
      </c>
      <c r="AL3434">
        <v>91.614376736455498</v>
      </c>
      <c r="AM3434">
        <v>93.469698988439802</v>
      </c>
      <c r="AN3434">
        <v>0.999999950366114</v>
      </c>
    </row>
    <row r="3435" spans="1:40" x14ac:dyDescent="0.25">
      <c r="A3435" t="str">
        <f>"20190312153952459"</f>
        <v>20190312153952459</v>
      </c>
      <c r="B3435" t="str">
        <f>"1552376392449266"</f>
        <v>1552376392449266</v>
      </c>
      <c r="C3435" t="s">
        <v>40</v>
      </c>
      <c r="D3435">
        <v>4.2715899999999998</v>
      </c>
      <c r="E3435">
        <v>0.37062400000000001</v>
      </c>
      <c r="F3435" t="s">
        <v>54</v>
      </c>
      <c r="G3435">
        <v>-490.59559999999999</v>
      </c>
      <c r="H3435" s="1">
        <v>8.2494699999999996E-7</v>
      </c>
      <c r="I3435">
        <v>271.95</v>
      </c>
      <c r="J3435">
        <v>-481.03960000000001</v>
      </c>
      <c r="K3435">
        <v>1.111003</v>
      </c>
      <c r="L3435">
        <v>280.3981</v>
      </c>
      <c r="M3435">
        <v>-0.93922729999999999</v>
      </c>
      <c r="N3435">
        <v>0</v>
      </c>
      <c r="O3435">
        <v>-0.34319129999999998</v>
      </c>
      <c r="P3435">
        <v>-0.91608889999999998</v>
      </c>
      <c r="Q3435">
        <v>-3.6088439999999999E-2</v>
      </c>
      <c r="R3435">
        <v>-0.39934839999999999</v>
      </c>
      <c r="S3435">
        <v>-2.3595890000000002</v>
      </c>
      <c r="T3435">
        <v>-0.27308130000000003</v>
      </c>
      <c r="U3435">
        <v>-2.0811769999999998</v>
      </c>
      <c r="V3435">
        <v>-6.0596669999999998E-2</v>
      </c>
      <c r="W3435">
        <v>-2.7826340000000001E-2</v>
      </c>
      <c r="X3435">
        <v>0.99777439999999995</v>
      </c>
      <c r="Y3435">
        <v>-0.36379499999999998</v>
      </c>
      <c r="Z3435">
        <v>1.440409E-2</v>
      </c>
      <c r="AA3435">
        <v>0.93136759999999996</v>
      </c>
      <c r="AB3435">
        <v>9</v>
      </c>
      <c r="AC3435">
        <v>-9.5559999999999796</v>
      </c>
      <c r="AD3435">
        <v>-1.1110021750529999</v>
      </c>
      <c r="AE3435">
        <v>-8.4481000000000002</v>
      </c>
      <c r="AF3435">
        <v>-4.6202628678773001</v>
      </c>
      <c r="AG3435">
        <v>-1.1110021750529999</v>
      </c>
      <c r="AH3435">
        <v>11.785578572135</v>
      </c>
      <c r="AI3435">
        <v>95.015700966908497</v>
      </c>
      <c r="AJ3435">
        <v>111.406511320264</v>
      </c>
      <c r="AK3435">
        <v>12.7075181322407</v>
      </c>
      <c r="AL3435">
        <v>91.594537651036404</v>
      </c>
      <c r="AM3435">
        <v>93.475409160541105</v>
      </c>
      <c r="AN3435">
        <v>1.00000000745412</v>
      </c>
    </row>
    <row r="3436" spans="1:40" x14ac:dyDescent="0.25">
      <c r="A3436" t="str">
        <f>"20190312153952470"</f>
        <v>20190312153952470</v>
      </c>
      <c r="B3436" t="str">
        <f>"1552376392459028"</f>
        <v>1552376392459028</v>
      </c>
      <c r="C3436" t="s">
        <v>40</v>
      </c>
      <c r="D3436">
        <v>4.3108399999999998</v>
      </c>
      <c r="E3436">
        <v>0.3651182</v>
      </c>
      <c r="F3436" t="s">
        <v>54</v>
      </c>
      <c r="G3436">
        <v>-490.6026</v>
      </c>
      <c r="H3436" s="1">
        <v>6.8389040000000004E-7</v>
      </c>
      <c r="I3436">
        <v>271.55099999999999</v>
      </c>
      <c r="J3436">
        <v>-481.08390000000003</v>
      </c>
      <c r="K3436">
        <v>1.111002</v>
      </c>
      <c r="L3436">
        <v>280.37860000000001</v>
      </c>
      <c r="M3436">
        <v>-0.93831200000000003</v>
      </c>
      <c r="N3436">
        <v>0</v>
      </c>
      <c r="O3436">
        <v>-0.34568870000000002</v>
      </c>
      <c r="P3436">
        <v>-0.9150336</v>
      </c>
      <c r="Q3436">
        <v>-3.5838799999999997E-2</v>
      </c>
      <c r="R3436">
        <v>-0.401783</v>
      </c>
      <c r="S3436">
        <v>-2.326111</v>
      </c>
      <c r="T3436">
        <v>-0.27024140000000002</v>
      </c>
      <c r="U3436">
        <v>-2.1519780000000002</v>
      </c>
      <c r="V3436">
        <v>-6.0592149999999997E-2</v>
      </c>
      <c r="W3436">
        <v>-2.7686590000000001E-2</v>
      </c>
      <c r="X3436">
        <v>0.99777850000000001</v>
      </c>
      <c r="Y3436">
        <v>-0.38329920000000001</v>
      </c>
      <c r="Z3436">
        <v>1.3509709999999999E-2</v>
      </c>
      <c r="AA3436">
        <v>0.9235255</v>
      </c>
      <c r="AB3436">
        <v>9</v>
      </c>
      <c r="AC3436">
        <v>-9.51869999999996</v>
      </c>
      <c r="AD3436">
        <v>-1.1110013161096</v>
      </c>
      <c r="AE3436">
        <v>-8.8276000000000092</v>
      </c>
      <c r="AF3436">
        <v>-4.9564099353610001</v>
      </c>
      <c r="AG3436">
        <v>-1.1110013161096</v>
      </c>
      <c r="AH3436">
        <v>11.896402067786999</v>
      </c>
      <c r="AI3436">
        <v>94.927113573507199</v>
      </c>
      <c r="AJ3436">
        <v>112.61812386328801</v>
      </c>
      <c r="AK3436">
        <v>12.935405116585599</v>
      </c>
      <c r="AL3436">
        <v>91.586527578045704</v>
      </c>
      <c r="AM3436">
        <v>93.475136314849394</v>
      </c>
      <c r="AN3436">
        <v>0.99999994548484805</v>
      </c>
    </row>
    <row r="3437" spans="1:40" x14ac:dyDescent="0.25">
      <c r="A3437" t="str">
        <f>"20190312153952483"</f>
        <v>20190312153952483</v>
      </c>
      <c r="B3437" t="str">
        <f>"1552376392479522"</f>
        <v>1552376392479522</v>
      </c>
      <c r="C3437" t="s">
        <v>40</v>
      </c>
      <c r="D3437">
        <v>4.284027</v>
      </c>
      <c r="E3437">
        <v>0.35865989999999998</v>
      </c>
      <c r="F3437" t="s">
        <v>54</v>
      </c>
      <c r="G3437">
        <v>-490.68849999999998</v>
      </c>
      <c r="H3437" s="1">
        <v>5.6311919999999898E-7</v>
      </c>
      <c r="I3437">
        <v>271.20929999999998</v>
      </c>
      <c r="J3437">
        <v>-481.12860000000001</v>
      </c>
      <c r="K3437">
        <v>1.111003</v>
      </c>
      <c r="L3437">
        <v>280.35890000000001</v>
      </c>
      <c r="M3437">
        <v>-0.93738200000000005</v>
      </c>
      <c r="N3437">
        <v>0</v>
      </c>
      <c r="O3437">
        <v>-0.34820509999999999</v>
      </c>
      <c r="P3437">
        <v>-0.91383990000000004</v>
      </c>
      <c r="Q3437">
        <v>-3.549708E-2</v>
      </c>
      <c r="R3437">
        <v>-0.4045202</v>
      </c>
      <c r="S3437">
        <v>-2.3027950000000001</v>
      </c>
      <c r="T3437">
        <v>-0.26637290000000002</v>
      </c>
      <c r="U3437">
        <v>-2.1984249999999999</v>
      </c>
      <c r="V3437">
        <v>-6.0897020000000003E-2</v>
      </c>
      <c r="W3437">
        <v>-2.745533E-2</v>
      </c>
      <c r="X3437">
        <v>0.99776640000000005</v>
      </c>
      <c r="Y3437">
        <v>-0.39524799999999999</v>
      </c>
      <c r="Z3437">
        <v>1.2952379999999999E-2</v>
      </c>
      <c r="AA3437">
        <v>0.9184831</v>
      </c>
      <c r="AB3437">
        <v>9</v>
      </c>
      <c r="AC3437">
        <v>-9.5598999999999705</v>
      </c>
      <c r="AD3437">
        <v>-1.1110024368808</v>
      </c>
      <c r="AE3437">
        <v>-9.1496000000000102</v>
      </c>
      <c r="AF3437">
        <v>-5.2113088984607296</v>
      </c>
      <c r="AG3437">
        <v>-1.1110024368808</v>
      </c>
      <c r="AH3437">
        <v>12.062600631011099</v>
      </c>
      <c r="AI3437">
        <v>94.832868303712104</v>
      </c>
      <c r="AJ3437">
        <v>113.365406925606</v>
      </c>
      <c r="AK3437">
        <v>13.187054289461299</v>
      </c>
      <c r="AL3437">
        <v>91.573272206013797</v>
      </c>
      <c r="AM3437">
        <v>93.492620573754607</v>
      </c>
      <c r="AN3437">
        <v>1.00000001557962</v>
      </c>
    </row>
    <row r="3438" spans="1:40" x14ac:dyDescent="0.25">
      <c r="A3438" t="str">
        <f>"20190312153952495"</f>
        <v>20190312153952495</v>
      </c>
      <c r="B3438" t="str">
        <f>"1552376392489283"</f>
        <v>1552376392489283</v>
      </c>
      <c r="C3438" t="s">
        <v>40</v>
      </c>
      <c r="D3438">
        <v>4.2354919999999998</v>
      </c>
      <c r="E3438">
        <v>0.35695539999999998</v>
      </c>
      <c r="F3438" t="s">
        <v>54</v>
      </c>
      <c r="G3438">
        <v>-490.60660000000001</v>
      </c>
      <c r="H3438" s="1">
        <v>4.8063439999999996E-7</v>
      </c>
      <c r="I3438">
        <v>270.976</v>
      </c>
      <c r="J3438">
        <v>-481.17559999999997</v>
      </c>
      <c r="K3438">
        <v>1.111002</v>
      </c>
      <c r="L3438">
        <v>280.33800000000002</v>
      </c>
      <c r="M3438">
        <v>-0.93639349999999999</v>
      </c>
      <c r="N3438">
        <v>0</v>
      </c>
      <c r="O3438">
        <v>-0.35085739999999999</v>
      </c>
      <c r="P3438">
        <v>-0.91283429999999999</v>
      </c>
      <c r="Q3438">
        <v>-3.5181209999999997E-2</v>
      </c>
      <c r="R3438">
        <v>-0.4068117</v>
      </c>
      <c r="S3438">
        <v>-2.2753909999999999</v>
      </c>
      <c r="T3438">
        <v>-0.2667196</v>
      </c>
      <c r="U3438">
        <v>-2.2525629999999999</v>
      </c>
      <c r="V3438">
        <v>-6.0571930000000003E-2</v>
      </c>
      <c r="W3438">
        <v>-2.7251910000000001E-2</v>
      </c>
      <c r="X3438">
        <v>0.99779180000000001</v>
      </c>
      <c r="Y3438">
        <v>-0.4092288</v>
      </c>
      <c r="Z3438">
        <v>1.251299E-2</v>
      </c>
      <c r="AA3438">
        <v>0.91234599999999999</v>
      </c>
      <c r="AB3438">
        <v>9</v>
      </c>
      <c r="AC3438">
        <v>-9.43100000000004</v>
      </c>
      <c r="AD3438">
        <v>-1.1110015193656</v>
      </c>
      <c r="AE3438">
        <v>-9.3619999999999592</v>
      </c>
      <c r="AF3438">
        <v>-5.4198771803790997</v>
      </c>
      <c r="AG3438">
        <v>-1.1110015193656</v>
      </c>
      <c r="AH3438">
        <v>12.0321540590057</v>
      </c>
      <c r="AI3438">
        <v>94.812329581116401</v>
      </c>
      <c r="AJ3438">
        <v>114.24915676642399</v>
      </c>
      <c r="AK3438">
        <v>13.2431916215871</v>
      </c>
      <c r="AL3438">
        <v>91.561612681066194</v>
      </c>
      <c r="AM3438">
        <v>93.473933286752796</v>
      </c>
      <c r="AN3438">
        <v>1.0000000507249001</v>
      </c>
    </row>
    <row r="3439" spans="1:40" x14ac:dyDescent="0.25">
      <c r="A3439" t="str">
        <f>"20190312153952508"</f>
        <v>20190312153952508</v>
      </c>
      <c r="B3439" t="str">
        <f>"1552376392499043"</f>
        <v>1552376392499043</v>
      </c>
      <c r="C3439" t="s">
        <v>40</v>
      </c>
      <c r="D3439">
        <v>4.2558850000000001</v>
      </c>
      <c r="E3439">
        <v>0.35558020000000001</v>
      </c>
      <c r="F3439" t="s">
        <v>54</v>
      </c>
      <c r="G3439">
        <v>-490.61329999999998</v>
      </c>
      <c r="H3439" s="1">
        <v>4.4378270000000002E-7</v>
      </c>
      <c r="I3439">
        <v>270.87169999999998</v>
      </c>
      <c r="J3439">
        <v>-481.22500000000002</v>
      </c>
      <c r="K3439">
        <v>1.1110070000000001</v>
      </c>
      <c r="L3439">
        <v>280.31580000000002</v>
      </c>
      <c r="M3439">
        <v>-0.9353456</v>
      </c>
      <c r="N3439">
        <v>0</v>
      </c>
      <c r="O3439">
        <v>-0.35364410000000002</v>
      </c>
      <c r="P3439">
        <v>-0.91157509999999997</v>
      </c>
      <c r="Q3439">
        <v>-3.4590170000000003E-2</v>
      </c>
      <c r="R3439">
        <v>-0.40967609999999899</v>
      </c>
      <c r="S3439">
        <v>-2.2641300000000002</v>
      </c>
      <c r="T3439">
        <v>-0.26653080000000001</v>
      </c>
      <c r="U3439">
        <v>-2.270966</v>
      </c>
      <c r="V3439">
        <v>-6.0726860000000001E-2</v>
      </c>
      <c r="W3439">
        <v>-2.6776520000000002E-2</v>
      </c>
      <c r="X3439">
        <v>0.99779519999999999</v>
      </c>
      <c r="Y3439">
        <v>-0.4124833</v>
      </c>
      <c r="Z3439">
        <v>1.258955E-2</v>
      </c>
      <c r="AA3439">
        <v>0.91087819999999997</v>
      </c>
      <c r="AB3439">
        <v>9</v>
      </c>
      <c r="AC3439">
        <v>-9.3882999999999495</v>
      </c>
      <c r="AD3439">
        <v>-1.1110065562172999</v>
      </c>
      <c r="AE3439">
        <v>-9.4441000000000397</v>
      </c>
      <c r="AF3439">
        <v>-5.4754456684865298</v>
      </c>
      <c r="AG3439">
        <v>-1.1110065562172999</v>
      </c>
      <c r="AH3439">
        <v>12.0377557449969</v>
      </c>
      <c r="AI3439">
        <v>94.8022033328443</v>
      </c>
      <c r="AJ3439">
        <v>114.458700213895</v>
      </c>
      <c r="AK3439">
        <v>13.271111641935301</v>
      </c>
      <c r="AL3439">
        <v>91.534364979399101</v>
      </c>
      <c r="AM3439">
        <v>93.482785180228603</v>
      </c>
      <c r="AN3439">
        <v>0.99999999734590495</v>
      </c>
    </row>
    <row r="3440" spans="1:40" x14ac:dyDescent="0.25">
      <c r="A3440" t="str">
        <f>"20190312153952522"</f>
        <v>20190312153952522</v>
      </c>
      <c r="B3440" t="str">
        <f>"1552376392519538"</f>
        <v>1552376392519538</v>
      </c>
      <c r="C3440" t="s">
        <v>40</v>
      </c>
      <c r="D3440">
        <v>4.2536040000000002</v>
      </c>
      <c r="E3440">
        <v>0.3539292</v>
      </c>
      <c r="F3440" t="s">
        <v>54</v>
      </c>
      <c r="G3440">
        <v>-490.68639999999999</v>
      </c>
      <c r="H3440" s="1">
        <v>3.8469819999999998E-7</v>
      </c>
      <c r="I3440">
        <v>270.70460000000003</v>
      </c>
      <c r="J3440">
        <v>-481.2783</v>
      </c>
      <c r="K3440">
        <v>1.1110100000000001</v>
      </c>
      <c r="L3440">
        <v>280.29169999999999</v>
      </c>
      <c r="M3440">
        <v>-0.93420919999999996</v>
      </c>
      <c r="N3440">
        <v>0</v>
      </c>
      <c r="O3440">
        <v>-0.3566376</v>
      </c>
      <c r="P3440">
        <v>-0.91026309999999999</v>
      </c>
      <c r="Q3440">
        <v>-3.4111179999999998E-2</v>
      </c>
      <c r="R3440">
        <v>-0.41262290000000001</v>
      </c>
      <c r="S3440">
        <v>-2.2525940000000002</v>
      </c>
      <c r="T3440">
        <v>-0.2645132</v>
      </c>
      <c r="U3440">
        <v>-2.2882690000000001</v>
      </c>
      <c r="V3440">
        <v>-6.0753620000000001E-2</v>
      </c>
      <c r="W3440">
        <v>-2.6419100000000001E-2</v>
      </c>
      <c r="X3440">
        <v>0.99780310000000005</v>
      </c>
      <c r="Y3440">
        <v>-0.41535109999999997</v>
      </c>
      <c r="Z3440">
        <v>1.2618000000000001E-2</v>
      </c>
      <c r="AA3440">
        <v>0.90957370000000004</v>
      </c>
      <c r="AB3440">
        <v>10</v>
      </c>
      <c r="AC3440">
        <v>-9.4080999999999904</v>
      </c>
      <c r="AD3440">
        <v>-1.1110096153018001</v>
      </c>
      <c r="AE3440">
        <v>-9.5870999999999604</v>
      </c>
      <c r="AF3440">
        <v>-5.56319115874195</v>
      </c>
      <c r="AG3440">
        <v>-1.1110096153018001</v>
      </c>
      <c r="AH3440">
        <v>12.125681665538499</v>
      </c>
      <c r="AI3440">
        <v>94.760497566753699</v>
      </c>
      <c r="AJ3440">
        <v>114.645377708887</v>
      </c>
      <c r="AK3440">
        <v>13.387142865002</v>
      </c>
      <c r="AL3440">
        <v>91.513879071959906</v>
      </c>
      <c r="AM3440">
        <v>93.484288611255394</v>
      </c>
      <c r="AN3440">
        <v>0.999999998778762</v>
      </c>
    </row>
    <row r="3441" spans="1:40" x14ac:dyDescent="0.25">
      <c r="A3441" t="str">
        <f>"20190312153952536"</f>
        <v>20190312153952536</v>
      </c>
      <c r="B3441" t="str">
        <f>"1552376392529298"</f>
        <v>1552376392529298</v>
      </c>
      <c r="C3441" t="s">
        <v>40</v>
      </c>
      <c r="D3441">
        <v>4.3395130000000002</v>
      </c>
      <c r="E3441">
        <v>0.35359600000000002</v>
      </c>
      <c r="F3441" t="s">
        <v>54</v>
      </c>
      <c r="G3441">
        <v>-490.75189999999998</v>
      </c>
      <c r="H3441" s="1">
        <v>3.2440470000000002E-7</v>
      </c>
      <c r="I3441">
        <v>270.53399999999999</v>
      </c>
      <c r="J3441">
        <v>-481.33210000000003</v>
      </c>
      <c r="K3441">
        <v>1.111013</v>
      </c>
      <c r="L3441">
        <v>280.26729999999998</v>
      </c>
      <c r="M3441">
        <v>-0.93304810000000005</v>
      </c>
      <c r="N3441">
        <v>0</v>
      </c>
      <c r="O3441">
        <v>-0.35966720000000002</v>
      </c>
      <c r="P3441">
        <v>-0.90878179999999997</v>
      </c>
      <c r="Q3441">
        <v>-3.3551119999999997E-2</v>
      </c>
      <c r="R3441">
        <v>-0.41592050000000003</v>
      </c>
      <c r="S3441">
        <v>-2.2400820000000001</v>
      </c>
      <c r="T3441">
        <v>-0.26270260000000001</v>
      </c>
      <c r="U3441">
        <v>-2.3072509999999999</v>
      </c>
      <c r="V3441">
        <v>-6.1126850000000003E-2</v>
      </c>
      <c r="W3441">
        <v>-2.5980659999999999E-2</v>
      </c>
      <c r="X3441">
        <v>0.99779180000000001</v>
      </c>
      <c r="Y3441">
        <v>-0.4186878</v>
      </c>
      <c r="Z3441">
        <v>1.263448E-2</v>
      </c>
      <c r="AA3441">
        <v>0.90804240000000003</v>
      </c>
      <c r="AB3441">
        <v>10</v>
      </c>
      <c r="AC3441">
        <v>-9.4197999999999507</v>
      </c>
      <c r="AD3441">
        <v>-1.1110126755953</v>
      </c>
      <c r="AE3441">
        <v>-9.7332999999999803</v>
      </c>
      <c r="AF3441">
        <v>-5.6557660257514302</v>
      </c>
      <c r="AG3441">
        <v>-1.1110126755953</v>
      </c>
      <c r="AH3441">
        <v>12.2081147206154</v>
      </c>
      <c r="AI3441">
        <v>94.720492030601605</v>
      </c>
      <c r="AJ3441">
        <v>114.857309835843</v>
      </c>
      <c r="AK3441">
        <v>13.500374199816999</v>
      </c>
      <c r="AL3441">
        <v>91.488749709850893</v>
      </c>
      <c r="AM3441">
        <v>93.505680155719801</v>
      </c>
      <c r="AN3441">
        <v>0.99999998131609802</v>
      </c>
    </row>
    <row r="3442" spans="1:40" x14ac:dyDescent="0.25">
      <c r="A3442" t="str">
        <f>"20190312153952553"</f>
        <v>20190312153952553</v>
      </c>
      <c r="B3442" t="str">
        <f>"1552376392548819"</f>
        <v>1552376392548819</v>
      </c>
      <c r="C3442" t="s">
        <v>40</v>
      </c>
      <c r="D3442">
        <v>4.2402739999999897</v>
      </c>
      <c r="E3442">
        <v>0.35311949999999998</v>
      </c>
      <c r="F3442" t="s">
        <v>54</v>
      </c>
      <c r="G3442">
        <v>-490.8501</v>
      </c>
      <c r="H3442" s="1">
        <v>2.6900500000000002E-7</v>
      </c>
      <c r="I3442">
        <v>270.37729999999999</v>
      </c>
      <c r="J3442">
        <v>-481.39859999999999</v>
      </c>
      <c r="K3442">
        <v>1.11103</v>
      </c>
      <c r="L3442">
        <v>280.23669999999998</v>
      </c>
      <c r="M3442">
        <v>-0.93159780000000003</v>
      </c>
      <c r="N3442">
        <v>0</v>
      </c>
      <c r="O3442">
        <v>-0.36341000000000001</v>
      </c>
      <c r="P3442">
        <v>-0.90692850000000003</v>
      </c>
      <c r="Q3442">
        <v>-3.2761690000000003E-2</v>
      </c>
      <c r="R3442">
        <v>-0.4200083</v>
      </c>
      <c r="S3442">
        <v>-2.2306819999999998</v>
      </c>
      <c r="T3442">
        <v>-0.26038030000000001</v>
      </c>
      <c r="U3442">
        <v>-2.317841</v>
      </c>
      <c r="V3442">
        <v>-6.1604590000000001E-2</v>
      </c>
      <c r="W3442">
        <v>-2.534074E-2</v>
      </c>
      <c r="X3442">
        <v>0.99777890000000002</v>
      </c>
      <c r="Y3442">
        <v>-0.41904170000000002</v>
      </c>
      <c r="Z3442">
        <v>1.283165E-2</v>
      </c>
      <c r="AA3442">
        <v>0.90787629999999997</v>
      </c>
      <c r="AB3442">
        <v>10</v>
      </c>
      <c r="AC3442">
        <v>-9.45150000000001</v>
      </c>
      <c r="AD3442">
        <v>-1.1110297309949999</v>
      </c>
      <c r="AE3442">
        <v>-9.8593999999999902</v>
      </c>
      <c r="AF3442">
        <v>-5.7125924496797804</v>
      </c>
      <c r="AG3442">
        <v>-1.1110297309949999</v>
      </c>
      <c r="AH3442">
        <v>12.306925878555599</v>
      </c>
      <c r="AI3442">
        <v>94.681235252286498</v>
      </c>
      <c r="AJ3442">
        <v>114.89964629753101</v>
      </c>
      <c r="AK3442">
        <v>13.6135419395378</v>
      </c>
      <c r="AL3442">
        <v>91.452072880235093</v>
      </c>
      <c r="AM3442">
        <v>93.533055407326501</v>
      </c>
      <c r="AN3442">
        <v>1.00000000594901</v>
      </c>
    </row>
    <row r="3443" spans="1:40" x14ac:dyDescent="0.25">
      <c r="A3443" t="str">
        <f>"20190312153952566"</f>
        <v>20190312153952566</v>
      </c>
      <c r="B3443" t="str">
        <f>"1552376392559556"</f>
        <v>1552376392559556</v>
      </c>
      <c r="C3443" t="s">
        <v>40</v>
      </c>
      <c r="D3443">
        <v>4.2879529999999999</v>
      </c>
      <c r="E3443">
        <v>0.3530047</v>
      </c>
      <c r="F3443" t="s">
        <v>54</v>
      </c>
      <c r="G3443">
        <v>-490.7919</v>
      </c>
      <c r="H3443" s="1">
        <v>2.6409999999999999E-7</v>
      </c>
      <c r="I3443">
        <v>270.36340000000001</v>
      </c>
      <c r="J3443">
        <v>-481.45060000000001</v>
      </c>
      <c r="K3443">
        <v>1.1110340000000001</v>
      </c>
      <c r="L3443">
        <v>280.21249999999998</v>
      </c>
      <c r="M3443">
        <v>-0.93045100000000003</v>
      </c>
      <c r="N3443">
        <v>0</v>
      </c>
      <c r="O3443">
        <v>-0.36633909999999997</v>
      </c>
      <c r="P3443">
        <v>-0.90554400000000002</v>
      </c>
      <c r="Q3443">
        <v>-3.2630270000000003E-2</v>
      </c>
      <c r="R3443">
        <v>-0.42299579999999998</v>
      </c>
      <c r="S3443">
        <v>-2.2185060000000001</v>
      </c>
      <c r="T3443">
        <v>-0.2624011</v>
      </c>
      <c r="U3443">
        <v>-2.3318479999999999</v>
      </c>
      <c r="V3443">
        <v>-6.1752109999999999E-2</v>
      </c>
      <c r="W3443">
        <v>-2.5326950000000001E-2</v>
      </c>
      <c r="X3443">
        <v>0.99777009999999999</v>
      </c>
      <c r="Y3443">
        <v>-0.42139690000000002</v>
      </c>
      <c r="Z3443">
        <v>1.3079850000000001E-2</v>
      </c>
      <c r="AA3443">
        <v>0.90678199999999998</v>
      </c>
      <c r="AB3443">
        <v>10</v>
      </c>
      <c r="AC3443">
        <v>-9.3412999999999897</v>
      </c>
      <c r="AD3443">
        <v>-1.1110337359</v>
      </c>
      <c r="AE3443">
        <v>-9.8490999999999609</v>
      </c>
      <c r="AF3443">
        <v>-5.7039728846338198</v>
      </c>
      <c r="AG3443">
        <v>-1.1110337359</v>
      </c>
      <c r="AH3443">
        <v>12.2182300665788</v>
      </c>
      <c r="AI3443">
        <v>94.710300006521706</v>
      </c>
      <c r="AJ3443">
        <v>115.025103465949</v>
      </c>
      <c r="AK3443">
        <v>13.529776368839</v>
      </c>
      <c r="AL3443">
        <v>91.451282562739905</v>
      </c>
      <c r="AM3443">
        <v>93.541525404854895</v>
      </c>
      <c r="AN3443">
        <v>0.99999997496988202</v>
      </c>
    </row>
    <row r="3444" spans="1:40" x14ac:dyDescent="0.25">
      <c r="A3444" t="str">
        <f>"20190312153952579"</f>
        <v>20190312153952579</v>
      </c>
      <c r="B3444" t="str">
        <f>"1552376392569314"</f>
        <v>1552376392569314</v>
      </c>
      <c r="C3444" t="s">
        <v>40</v>
      </c>
      <c r="D3444">
        <v>4.2223309999999996</v>
      </c>
      <c r="E3444">
        <v>0.35292790000000002</v>
      </c>
      <c r="F3444" t="s">
        <v>54</v>
      </c>
      <c r="G3444">
        <v>-490.90589999999997</v>
      </c>
      <c r="H3444" s="1">
        <v>2.0801439999999999E-7</v>
      </c>
      <c r="I3444">
        <v>270.20479999999998</v>
      </c>
      <c r="J3444">
        <v>-481.50020000000001</v>
      </c>
      <c r="K3444">
        <v>1.1110420000000001</v>
      </c>
      <c r="L3444">
        <v>280.18939999999998</v>
      </c>
      <c r="M3444">
        <v>-0.92934640000000002</v>
      </c>
      <c r="N3444">
        <v>0</v>
      </c>
      <c r="O3444">
        <v>-0.36913479999999999</v>
      </c>
      <c r="P3444">
        <v>-0.90440920000000002</v>
      </c>
      <c r="Q3444">
        <v>-3.285925E-2</v>
      </c>
      <c r="R3444">
        <v>-0.42539939999999998</v>
      </c>
      <c r="S3444">
        <v>-2.2106020000000002</v>
      </c>
      <c r="T3444">
        <v>-0.25975330000000002</v>
      </c>
      <c r="U3444">
        <v>-2.3397519999999998</v>
      </c>
      <c r="V3444">
        <v>-6.1403779999999998E-2</v>
      </c>
      <c r="W3444">
        <v>-2.5667450000000001E-2</v>
      </c>
      <c r="X3444">
        <v>0.99778290000000003</v>
      </c>
      <c r="Y3444">
        <v>-0.42182940000000002</v>
      </c>
      <c r="Z3444">
        <v>1.3173219999999999E-2</v>
      </c>
      <c r="AA3444">
        <v>0.90657949999999998</v>
      </c>
      <c r="AB3444">
        <v>10</v>
      </c>
      <c r="AC3444">
        <v>-9.4056999999999604</v>
      </c>
      <c r="AD3444">
        <v>-1.1110417919855999</v>
      </c>
      <c r="AE3444">
        <v>-9.9846000000000004</v>
      </c>
      <c r="AF3444">
        <v>-5.7694893594625798</v>
      </c>
      <c r="AG3444">
        <v>-1.1110417919855999</v>
      </c>
      <c r="AH3444">
        <v>12.3461604827011</v>
      </c>
      <c r="AI3444">
        <v>94.660906989640594</v>
      </c>
      <c r="AJ3444">
        <v>115.04717393914</v>
      </c>
      <c r="AK3444">
        <v>13.6729331160911</v>
      </c>
      <c r="AL3444">
        <v>91.470798115158104</v>
      </c>
      <c r="AM3444">
        <v>93.521553796237896</v>
      </c>
      <c r="AN3444">
        <v>0.99999997886009995</v>
      </c>
    </row>
    <row r="3445" spans="1:40" x14ac:dyDescent="0.25">
      <c r="A3445" t="str">
        <f>"20190312153952590"</f>
        <v>20190312153952590</v>
      </c>
      <c r="B3445" t="str">
        <f>"1552376392579075"</f>
        <v>1552376392579075</v>
      </c>
      <c r="C3445" t="s">
        <v>40</v>
      </c>
      <c r="D3445">
        <v>4.2023999999999999</v>
      </c>
      <c r="E3445">
        <v>0.35289340000000002</v>
      </c>
      <c r="F3445" t="s">
        <v>54</v>
      </c>
      <c r="G3445">
        <v>-490.91680000000002</v>
      </c>
      <c r="H3445" s="1">
        <v>1.9369510000000001E-7</v>
      </c>
      <c r="I3445">
        <v>270.16430000000003</v>
      </c>
      <c r="J3445">
        <v>-481.54880000000003</v>
      </c>
      <c r="K3445">
        <v>1.1110439999999999</v>
      </c>
      <c r="L3445">
        <v>280.16640000000001</v>
      </c>
      <c r="M3445">
        <v>-0.92825440000000004</v>
      </c>
      <c r="N3445">
        <v>0</v>
      </c>
      <c r="O3445">
        <v>-0.37187439999999999</v>
      </c>
      <c r="P3445">
        <v>-0.90320789999999995</v>
      </c>
      <c r="Q3445">
        <v>-3.3163060000000001E-2</v>
      </c>
      <c r="R3445">
        <v>-0.42792049999999998</v>
      </c>
      <c r="S3445">
        <v>-2.2039490000000002</v>
      </c>
      <c r="T3445">
        <v>-0.26003939999999998</v>
      </c>
      <c r="U3445">
        <v>-2.3463750000000001</v>
      </c>
      <c r="V3445">
        <v>-6.1245149999999998E-2</v>
      </c>
      <c r="W3445">
        <v>-2.608394E-2</v>
      </c>
      <c r="X3445">
        <v>0.9977819</v>
      </c>
      <c r="Y3445">
        <v>-0.42180529999999999</v>
      </c>
      <c r="Z3445">
        <v>1.3428000000000001E-2</v>
      </c>
      <c r="AA3445">
        <v>0.90658700000000003</v>
      </c>
      <c r="AB3445">
        <v>10</v>
      </c>
      <c r="AC3445">
        <v>-9.3679999999999897</v>
      </c>
      <c r="AD3445">
        <v>-1.1110438063049</v>
      </c>
      <c r="AE3445">
        <v>-10.002099999999899</v>
      </c>
      <c r="AF3445">
        <v>-5.7630477612056801</v>
      </c>
      <c r="AG3445">
        <v>-1.1110438063049</v>
      </c>
      <c r="AH3445">
        <v>12.334666680932701</v>
      </c>
      <c r="AI3445">
        <v>94.665394008918099</v>
      </c>
      <c r="AJ3445">
        <v>115.043092780278</v>
      </c>
      <c r="AK3445">
        <v>13.659836747457</v>
      </c>
      <c r="AL3445">
        <v>91.494669151181199</v>
      </c>
      <c r="AM3445">
        <v>93.5124825617455</v>
      </c>
      <c r="AN3445">
        <v>1.0000000301460199</v>
      </c>
    </row>
    <row r="3446" spans="1:40" x14ac:dyDescent="0.25">
      <c r="A3446" t="str">
        <f>"20190312153952603"</f>
        <v>20190312153952603</v>
      </c>
      <c r="B3446" t="str">
        <f>"1552376392599572"</f>
        <v>1552376392599572</v>
      </c>
      <c r="C3446" t="s">
        <v>40</v>
      </c>
      <c r="D3446">
        <v>4.2085249999999998</v>
      </c>
      <c r="E3446">
        <v>0.3529175</v>
      </c>
      <c r="F3446" t="s">
        <v>54</v>
      </c>
      <c r="G3446">
        <v>-490.93079999999998</v>
      </c>
      <c r="H3446" s="1">
        <v>1.7801040000000001E-7</v>
      </c>
      <c r="I3446">
        <v>270.11989999999997</v>
      </c>
      <c r="J3446">
        <v>-481.5958</v>
      </c>
      <c r="K3446">
        <v>1.111048</v>
      </c>
      <c r="L3446">
        <v>280.14409999999998</v>
      </c>
      <c r="M3446">
        <v>-0.92718959999999995</v>
      </c>
      <c r="N3446">
        <v>0</v>
      </c>
      <c r="O3446">
        <v>-0.37452299999999999</v>
      </c>
      <c r="P3446">
        <v>-0.90212969999999904</v>
      </c>
      <c r="Q3446">
        <v>-3.3518569999999998E-2</v>
      </c>
      <c r="R3446">
        <v>-0.43016130000000002</v>
      </c>
      <c r="S3446">
        <v>-2.197235</v>
      </c>
      <c r="T3446">
        <v>-0.26020189999999999</v>
      </c>
      <c r="U3446">
        <v>-2.3528440000000002</v>
      </c>
      <c r="V3446">
        <v>-6.0876159999999999E-2</v>
      </c>
      <c r="W3446">
        <v>-2.6549070000000001E-2</v>
      </c>
      <c r="X3446">
        <v>0.99779220000000002</v>
      </c>
      <c r="Y3446">
        <v>-0.42184939999999999</v>
      </c>
      <c r="Z3446">
        <v>1.366654E-2</v>
      </c>
      <c r="AA3446">
        <v>0.90656289999999995</v>
      </c>
      <c r="AB3446">
        <v>10</v>
      </c>
      <c r="AC3446">
        <v>-9.3349999999999795</v>
      </c>
      <c r="AD3446">
        <v>-1.1110478219896001</v>
      </c>
      <c r="AE3446">
        <v>-10.0242</v>
      </c>
      <c r="AF3446">
        <v>-5.76041375127142</v>
      </c>
      <c r="AG3446">
        <v>-1.1110478219896001</v>
      </c>
      <c r="AH3446">
        <v>12.3288175440468</v>
      </c>
      <c r="AI3446">
        <v>94.667600132648502</v>
      </c>
      <c r="AJ3446">
        <v>115.043469832291</v>
      </c>
      <c r="AK3446">
        <v>13.653444103338201</v>
      </c>
      <c r="AL3446">
        <v>91.521328389409305</v>
      </c>
      <c r="AM3446">
        <v>93.491337097471998</v>
      </c>
      <c r="AN3446">
        <v>1.0000000171775201</v>
      </c>
    </row>
    <row r="3447" spans="1:40" x14ac:dyDescent="0.25">
      <c r="A3447" t="str">
        <f>"20190312153952614"</f>
        <v>20190312153952614</v>
      </c>
      <c r="B3447" t="str">
        <f>"1552376392609330"</f>
        <v>1552376392609330</v>
      </c>
      <c r="C3447" t="s">
        <v>40</v>
      </c>
      <c r="D3447">
        <v>4.2111999999999998</v>
      </c>
      <c r="E3447">
        <v>0.35295019999999999</v>
      </c>
      <c r="F3447" t="s">
        <v>54</v>
      </c>
      <c r="G3447">
        <v>-491.0197</v>
      </c>
      <c r="H3447" s="1">
        <v>1.359375E-7</v>
      </c>
      <c r="I3447">
        <v>270.0009</v>
      </c>
      <c r="J3447">
        <v>-481.64359999999999</v>
      </c>
      <c r="K3447">
        <v>1.1110450000000001</v>
      </c>
      <c r="L3447">
        <v>280.12130000000002</v>
      </c>
      <c r="M3447">
        <v>-0.92609520000000001</v>
      </c>
      <c r="N3447">
        <v>0</v>
      </c>
      <c r="O3447">
        <v>-0.37722319999999998</v>
      </c>
      <c r="P3447">
        <v>-0.90099739999999995</v>
      </c>
      <c r="Q3447">
        <v>-3.372986E-2</v>
      </c>
      <c r="R3447">
        <v>-0.4325118</v>
      </c>
      <c r="S3447">
        <v>-2.1912539999999998</v>
      </c>
      <c r="T3447">
        <v>-0.25834200000000002</v>
      </c>
      <c r="U3447">
        <v>-2.3585210000000001</v>
      </c>
      <c r="V3447">
        <v>-6.0570649999999997E-2</v>
      </c>
      <c r="W3447">
        <v>-2.687407E-2</v>
      </c>
      <c r="X3447">
        <v>0.99780210000000003</v>
      </c>
      <c r="Y3447">
        <v>-0.42154069999999999</v>
      </c>
      <c r="Z3447">
        <v>1.381774E-2</v>
      </c>
      <c r="AA3447">
        <v>0.90670419999999996</v>
      </c>
      <c r="AB3447">
        <v>10</v>
      </c>
      <c r="AC3447">
        <v>-9.3760999999999992</v>
      </c>
      <c r="AD3447">
        <v>-1.1110448640624999</v>
      </c>
      <c r="AE3447">
        <v>-10.1204</v>
      </c>
      <c r="AF3447">
        <v>-5.79811428684501</v>
      </c>
      <c r="AG3447">
        <v>-1.1110448640624999</v>
      </c>
      <c r="AH3447">
        <v>12.420571178889899</v>
      </c>
      <c r="AI3447">
        <v>94.633994090450599</v>
      </c>
      <c r="AJ3447">
        <v>115.023892354822</v>
      </c>
      <c r="AK3447">
        <v>13.7522048553367</v>
      </c>
      <c r="AL3447">
        <v>91.539956152148704</v>
      </c>
      <c r="AM3447">
        <v>93.4738242839572</v>
      </c>
      <c r="AN3447">
        <v>1.00000002502209</v>
      </c>
    </row>
    <row r="3448" spans="1:40" x14ac:dyDescent="0.25">
      <c r="A3448" t="str">
        <f>"20190312153952627"</f>
        <v>20190312153952627</v>
      </c>
      <c r="B3448" t="str">
        <f>"1552376392619091"</f>
        <v>1552376392619091</v>
      </c>
      <c r="C3448" t="s">
        <v>40</v>
      </c>
      <c r="D3448">
        <v>4.2238009999999999</v>
      </c>
      <c r="E3448">
        <v>0.35304079999999999</v>
      </c>
      <c r="F3448" t="s">
        <v>54</v>
      </c>
      <c r="G3448">
        <v>-491.03289999999998</v>
      </c>
      <c r="H3448" s="1">
        <v>1.2319489999999999E-7</v>
      </c>
      <c r="I3448">
        <v>269.96480000000003</v>
      </c>
      <c r="J3448">
        <v>-481.69400000000002</v>
      </c>
      <c r="K3448">
        <v>1.111048</v>
      </c>
      <c r="L3448">
        <v>280.09690000000001</v>
      </c>
      <c r="M3448">
        <v>-0.92492989999999997</v>
      </c>
      <c r="N3448">
        <v>0</v>
      </c>
      <c r="O3448">
        <v>-0.38007350000000001</v>
      </c>
      <c r="P3448">
        <v>-0.89990729999999997</v>
      </c>
      <c r="Q3448">
        <v>-3.370824E-2</v>
      </c>
      <c r="R3448">
        <v>-0.43477650000000001</v>
      </c>
      <c r="S3448">
        <v>-2.1852719999999999</v>
      </c>
      <c r="T3448">
        <v>-0.25858680000000001</v>
      </c>
      <c r="U3448">
        <v>-2.3638309999999998</v>
      </c>
      <c r="V3448">
        <v>-6.0005240000000001E-2</v>
      </c>
      <c r="W3448">
        <v>-2.6975160000000001E-2</v>
      </c>
      <c r="X3448">
        <v>0.99783350000000004</v>
      </c>
      <c r="Y3448">
        <v>-0.42100929999999998</v>
      </c>
      <c r="Z3448">
        <v>1.410343E-2</v>
      </c>
      <c r="AA3448">
        <v>0.90694669999999999</v>
      </c>
      <c r="AB3448">
        <v>10</v>
      </c>
      <c r="AC3448">
        <v>-9.3388999999999598</v>
      </c>
      <c r="AD3448">
        <v>-1.1110478768051</v>
      </c>
      <c r="AE3448">
        <v>-10.1320999999999</v>
      </c>
      <c r="AF3448">
        <v>-5.7845489610718399</v>
      </c>
      <c r="AG3448">
        <v>-1.1110478768051</v>
      </c>
      <c r="AH3448">
        <v>12.4084048622666</v>
      </c>
      <c r="AI3448">
        <v>94.639655002592306</v>
      </c>
      <c r="AJ3448">
        <v>114.993987188684</v>
      </c>
      <c r="AK3448">
        <v>13.7354994555535</v>
      </c>
      <c r="AL3448">
        <v>91.545750335673503</v>
      </c>
      <c r="AM3448">
        <v>93.441367377223699</v>
      </c>
      <c r="AN3448">
        <v>0.999999990903366</v>
      </c>
    </row>
    <row r="3449" spans="1:40" x14ac:dyDescent="0.25">
      <c r="A3449" t="str">
        <f>"20190312153952640"</f>
        <v>20190312153952640</v>
      </c>
      <c r="B3449" t="str">
        <f>"1552376392628851"</f>
        <v>1552376392628851</v>
      </c>
      <c r="C3449" t="s">
        <v>40</v>
      </c>
      <c r="D3449">
        <v>4.180161</v>
      </c>
      <c r="E3449">
        <v>0.35311310000000001</v>
      </c>
      <c r="F3449" t="s">
        <v>54</v>
      </c>
      <c r="G3449">
        <v>-491.0564</v>
      </c>
      <c r="H3449" s="1">
        <v>1.080884E-7</v>
      </c>
      <c r="I3449">
        <v>269.9221</v>
      </c>
      <c r="J3449">
        <v>-481.74439999999998</v>
      </c>
      <c r="K3449">
        <v>1.1110530000000001</v>
      </c>
      <c r="L3449">
        <v>280.07249999999999</v>
      </c>
      <c r="M3449">
        <v>-0.92375600000000002</v>
      </c>
      <c r="N3449">
        <v>0</v>
      </c>
      <c r="O3449">
        <v>-0.38291989999999998</v>
      </c>
      <c r="P3449">
        <v>-0.89872809999999903</v>
      </c>
      <c r="Q3449">
        <v>-3.3945589999999998E-2</v>
      </c>
      <c r="R3449">
        <v>-0.43719019999999997</v>
      </c>
      <c r="S3449">
        <v>-2.1795960000000001</v>
      </c>
      <c r="T3449">
        <v>-0.25865680000000002</v>
      </c>
      <c r="U3449">
        <v>-2.368744</v>
      </c>
      <c r="V3449">
        <v>-5.9611629999999999E-2</v>
      </c>
      <c r="W3449">
        <v>-2.733847E-2</v>
      </c>
      <c r="X3449">
        <v>0.99784720000000005</v>
      </c>
      <c r="Y3449">
        <v>-0.42033999999999999</v>
      </c>
      <c r="Z3449">
        <v>1.438596E-2</v>
      </c>
      <c r="AA3449">
        <v>0.90725270000000002</v>
      </c>
      <c r="AB3449">
        <v>10</v>
      </c>
      <c r="AC3449">
        <v>-9.31200000000001</v>
      </c>
      <c r="AD3449">
        <v>-1.1110528919116001</v>
      </c>
      <c r="AE3449">
        <v>-10.1503999999999</v>
      </c>
      <c r="AF3449">
        <v>-5.7733198073192602</v>
      </c>
      <c r="AG3449">
        <v>-1.1110528919116001</v>
      </c>
      <c r="AH3449">
        <v>12.408374239707101</v>
      </c>
      <c r="AI3449">
        <v>94.641285408643796</v>
      </c>
      <c r="AJ3449">
        <v>114.951432590491</v>
      </c>
      <c r="AK3449">
        <v>13.7307469352121</v>
      </c>
      <c r="AL3449">
        <v>91.566574152713699</v>
      </c>
      <c r="AM3449">
        <v>93.418800298636</v>
      </c>
      <c r="AN3449">
        <v>0.99999998646051802</v>
      </c>
    </row>
    <row r="3450" spans="1:40" x14ac:dyDescent="0.25">
      <c r="A3450" t="str">
        <f>"20190312153952652"</f>
        <v>20190312153952652</v>
      </c>
      <c r="B3450" t="str">
        <f>"1552376392649346"</f>
        <v>1552376392649346</v>
      </c>
      <c r="C3450" t="s">
        <v>40</v>
      </c>
      <c r="D3450">
        <v>4.216882</v>
      </c>
      <c r="E3450">
        <v>0.35331380000000001</v>
      </c>
      <c r="F3450" t="s">
        <v>54</v>
      </c>
      <c r="G3450">
        <v>-491.10390000000001</v>
      </c>
      <c r="H3450" s="1">
        <v>8.289435E-8</v>
      </c>
      <c r="I3450">
        <v>269.85079999999999</v>
      </c>
      <c r="J3450">
        <v>-481.79629999999997</v>
      </c>
      <c r="K3450">
        <v>1.1110530000000001</v>
      </c>
      <c r="L3450">
        <v>280.0471</v>
      </c>
      <c r="M3450">
        <v>-0.92253490000000005</v>
      </c>
      <c r="N3450">
        <v>0</v>
      </c>
      <c r="O3450">
        <v>-0.38585530000000001</v>
      </c>
      <c r="P3450">
        <v>-0.89761179999999996</v>
      </c>
      <c r="Q3450">
        <v>-3.3540630000000002E-2</v>
      </c>
      <c r="R3450">
        <v>-0.43950919999999999</v>
      </c>
      <c r="S3450">
        <v>-2.173584</v>
      </c>
      <c r="T3450">
        <v>-0.25802360000000002</v>
      </c>
      <c r="U3450">
        <v>-2.3738100000000002</v>
      </c>
      <c r="V3450">
        <v>-5.9009199999999998E-2</v>
      </c>
      <c r="W3450">
        <v>-2.706888E-2</v>
      </c>
      <c r="X3450">
        <v>0.99789039999999996</v>
      </c>
      <c r="Y3450">
        <v>-0.41967959999999899</v>
      </c>
      <c r="Z3450">
        <v>1.463687E-2</v>
      </c>
      <c r="AA3450">
        <v>0.90755430000000004</v>
      </c>
      <c r="AB3450">
        <v>10</v>
      </c>
      <c r="AC3450">
        <v>-9.3076000000000292</v>
      </c>
      <c r="AD3450">
        <v>-1.11105291710564</v>
      </c>
      <c r="AE3450">
        <v>-10.196300000000001</v>
      </c>
      <c r="AF3450">
        <v>-5.7777657559075104</v>
      </c>
      <c r="AG3450">
        <v>-1.11105291710564</v>
      </c>
      <c r="AH3450">
        <v>12.4405899001243</v>
      </c>
      <c r="AI3450">
        <v>94.630812334700806</v>
      </c>
      <c r="AJ3450">
        <v>114.911503414596</v>
      </c>
      <c r="AK3450">
        <v>13.761732913329601</v>
      </c>
      <c r="AL3450">
        <v>91.551121996787401</v>
      </c>
      <c r="AM3450">
        <v>93.384184741299507</v>
      </c>
      <c r="AN3450">
        <v>1.00000003018062</v>
      </c>
    </row>
    <row r="3451" spans="1:40" x14ac:dyDescent="0.25">
      <c r="A3451" t="str">
        <f>"20190312153952664"</f>
        <v>20190312153952664</v>
      </c>
      <c r="B3451" t="str">
        <f>"1552376392659107"</f>
        <v>1552376392659107</v>
      </c>
      <c r="C3451" t="s">
        <v>40</v>
      </c>
      <c r="D3451">
        <v>4.2248849999999996</v>
      </c>
      <c r="E3451">
        <v>0.35351310000000002</v>
      </c>
      <c r="F3451" t="s">
        <v>54</v>
      </c>
      <c r="G3451">
        <v>-491.11529999999999</v>
      </c>
      <c r="H3451" s="1">
        <v>7.4235160000000001E-8</v>
      </c>
      <c r="I3451">
        <v>269.8263</v>
      </c>
      <c r="J3451">
        <v>-481.84769999999997</v>
      </c>
      <c r="K3451">
        <v>1.111057</v>
      </c>
      <c r="L3451">
        <v>280.02170000000001</v>
      </c>
      <c r="M3451">
        <v>-0.92131189999999996</v>
      </c>
      <c r="N3451">
        <v>0</v>
      </c>
      <c r="O3451">
        <v>-0.38876880000000003</v>
      </c>
      <c r="P3451">
        <v>-0.89666239999999997</v>
      </c>
      <c r="Q3451">
        <v>-3.3393230000000003E-2</v>
      </c>
      <c r="R3451">
        <v>-0.44145440000000002</v>
      </c>
      <c r="S3451">
        <v>-2.1681520000000001</v>
      </c>
      <c r="T3451">
        <v>-0.25849680000000003</v>
      </c>
      <c r="U3451">
        <v>-2.3779599999999999</v>
      </c>
      <c r="V3451">
        <v>-5.8015650000000002E-2</v>
      </c>
      <c r="W3451">
        <v>-2.7059369999999999E-2</v>
      </c>
      <c r="X3451">
        <v>0.99794890000000003</v>
      </c>
      <c r="Y3451">
        <v>-0.41874149999999999</v>
      </c>
      <c r="Z3451">
        <v>1.4961439999999999E-2</v>
      </c>
      <c r="AA3451">
        <v>0.90798219999999996</v>
      </c>
      <c r="AB3451">
        <v>10</v>
      </c>
      <c r="AC3451">
        <v>-9.2676000000000105</v>
      </c>
      <c r="AD3451">
        <v>-1.1110569257648399</v>
      </c>
      <c r="AE3451">
        <v>-10.195399999999999</v>
      </c>
      <c r="AF3451">
        <v>-5.75290497421053</v>
      </c>
      <c r="AG3451">
        <v>-1.1110569257648399</v>
      </c>
      <c r="AH3451">
        <v>12.4214997122291</v>
      </c>
      <c r="AI3451">
        <v>94.640184977849799</v>
      </c>
      <c r="AJ3451">
        <v>114.850785701565</v>
      </c>
      <c r="AK3451">
        <v>13.734045952868099</v>
      </c>
      <c r="AL3451">
        <v>91.550576936145404</v>
      </c>
      <c r="AM3451">
        <v>93.327139033030903</v>
      </c>
      <c r="AN3451">
        <v>1.0000000160804601</v>
      </c>
    </row>
    <row r="3452" spans="1:40" x14ac:dyDescent="0.25">
      <c r="A3452" t="str">
        <f>"20190312153952675"</f>
        <v>20190312153952675</v>
      </c>
      <c r="B3452" t="str">
        <f>"1552376392668867"</f>
        <v>1552376392668867</v>
      </c>
      <c r="C3452" t="s">
        <v>40</v>
      </c>
      <c r="D3452">
        <v>4.2334990000000001</v>
      </c>
      <c r="E3452">
        <v>0.35372759999999998</v>
      </c>
      <c r="F3452" t="s">
        <v>54</v>
      </c>
      <c r="G3452">
        <v>-491.17110000000002</v>
      </c>
      <c r="H3452" s="1">
        <v>5.0862689999999997E-8</v>
      </c>
      <c r="I3452">
        <v>269.7602</v>
      </c>
      <c r="J3452">
        <v>-481.89319999999998</v>
      </c>
      <c r="K3452">
        <v>1.1110549999999999</v>
      </c>
      <c r="L3452">
        <v>279.9991</v>
      </c>
      <c r="M3452">
        <v>-0.9202207</v>
      </c>
      <c r="N3452">
        <v>0</v>
      </c>
      <c r="O3452">
        <v>-0.39134669999999999</v>
      </c>
      <c r="P3452">
        <v>-0.89562450000000005</v>
      </c>
      <c r="Q3452">
        <v>-3.3370879999999999E-2</v>
      </c>
      <c r="R3452">
        <v>-0.4435576</v>
      </c>
      <c r="S3452">
        <v>-2.1636959999999998</v>
      </c>
      <c r="T3452">
        <v>-0.25784499999999999</v>
      </c>
      <c r="U3452">
        <v>-2.3814090000000001</v>
      </c>
      <c r="V3452">
        <v>-5.7562460000000003E-2</v>
      </c>
      <c r="W3452">
        <v>-2.716389E-2</v>
      </c>
      <c r="X3452">
        <v>0.99797230000000003</v>
      </c>
      <c r="Y3452">
        <v>-0.417794</v>
      </c>
      <c r="Z3452">
        <v>1.519145E-2</v>
      </c>
      <c r="AA3452">
        <v>0.90841470000000002</v>
      </c>
      <c r="AB3452">
        <v>10</v>
      </c>
      <c r="AC3452">
        <v>-9.2779000000000398</v>
      </c>
      <c r="AD3452">
        <v>-1.1110549491373001</v>
      </c>
      <c r="AE3452">
        <v>-10.238899999999999</v>
      </c>
      <c r="AF3452">
        <v>-5.7540870823969801</v>
      </c>
      <c r="AG3452">
        <v>-1.1110549491373001</v>
      </c>
      <c r="AH3452">
        <v>12.464342662776801</v>
      </c>
      <c r="AI3452">
        <v>94.626923211082996</v>
      </c>
      <c r="AJ3452">
        <v>114.780118098743</v>
      </c>
      <c r="AK3452">
        <v>13.773300231496</v>
      </c>
      <c r="AL3452">
        <v>91.556567698405701</v>
      </c>
      <c r="AM3452">
        <v>93.301129516239598</v>
      </c>
      <c r="AN3452">
        <v>1.0000000126442301</v>
      </c>
    </row>
    <row r="3453" spans="1:40" x14ac:dyDescent="0.25">
      <c r="A3453" t="str">
        <f>"20190312153952687"</f>
        <v>20190312153952687</v>
      </c>
      <c r="B3453" t="str">
        <f>"1552376392679603"</f>
        <v>1552376392679603</v>
      </c>
      <c r="C3453" t="s">
        <v>40</v>
      </c>
      <c r="D3453">
        <v>4.2416119999999999</v>
      </c>
      <c r="E3453">
        <v>0.3539117</v>
      </c>
      <c r="F3453" t="s">
        <v>54</v>
      </c>
      <c r="G3453">
        <v>-491.21980000000002</v>
      </c>
      <c r="H3453" s="1">
        <v>2.7733749999999998E-8</v>
      </c>
      <c r="I3453">
        <v>269.69479999999999</v>
      </c>
      <c r="J3453">
        <v>-481.93819999999999</v>
      </c>
      <c r="K3453">
        <v>1.111056</v>
      </c>
      <c r="L3453">
        <v>279.97660000000002</v>
      </c>
      <c r="M3453">
        <v>-0.91912899999999997</v>
      </c>
      <c r="N3453">
        <v>0</v>
      </c>
      <c r="O3453">
        <v>-0.39390609999999998</v>
      </c>
      <c r="P3453">
        <v>-0.89453150000000003</v>
      </c>
      <c r="Q3453">
        <v>-3.3636529999999998E-2</v>
      </c>
      <c r="R3453">
        <v>-0.44573780000000002</v>
      </c>
      <c r="S3453">
        <v>-2.1587830000000001</v>
      </c>
      <c r="T3453">
        <v>-0.25717060000000003</v>
      </c>
      <c r="U3453">
        <v>-2.3851010000000001</v>
      </c>
      <c r="V3453">
        <v>-5.7216820000000002E-2</v>
      </c>
      <c r="W3453">
        <v>-2.756374E-2</v>
      </c>
      <c r="X3453">
        <v>0.99798120000000001</v>
      </c>
      <c r="Y3453">
        <v>-0.41700359999999997</v>
      </c>
      <c r="Z3453">
        <v>1.541116E-2</v>
      </c>
      <c r="AA3453">
        <v>0.90877419999999998</v>
      </c>
      <c r="AB3453">
        <v>10</v>
      </c>
      <c r="AC3453">
        <v>-9.2816000000000205</v>
      </c>
      <c r="AD3453">
        <v>-1.1110559722662401</v>
      </c>
      <c r="AE3453">
        <v>-10.2818</v>
      </c>
      <c r="AF3453">
        <v>-5.7572948915228404</v>
      </c>
      <c r="AG3453">
        <v>-1.1110559722662401</v>
      </c>
      <c r="AH3453">
        <v>12.500871929205401</v>
      </c>
      <c r="AI3453">
        <v>94.615373842283006</v>
      </c>
      <c r="AJ3453">
        <v>114.728503230485</v>
      </c>
      <c r="AK3453">
        <v>13.807703966694101</v>
      </c>
      <c r="AL3453">
        <v>91.579486017806204</v>
      </c>
      <c r="AM3453">
        <v>93.281321773484507</v>
      </c>
      <c r="AN3453">
        <v>0.99999999990357002</v>
      </c>
    </row>
    <row r="3454" spans="1:40" x14ac:dyDescent="0.25">
      <c r="A3454" t="str">
        <f>"20190312153952699"</f>
        <v>20190312153952699</v>
      </c>
      <c r="B3454" t="str">
        <f>"1552376392689363"</f>
        <v>1552376392689363</v>
      </c>
      <c r="C3454" t="s">
        <v>40</v>
      </c>
      <c r="D3454">
        <v>4.218674</v>
      </c>
      <c r="E3454">
        <v>0.35405409999999998</v>
      </c>
      <c r="F3454" t="s">
        <v>54</v>
      </c>
      <c r="G3454">
        <v>-491.23930000000001</v>
      </c>
      <c r="H3454" s="1">
        <v>1.484099E-8</v>
      </c>
      <c r="I3454">
        <v>269.6583</v>
      </c>
      <c r="J3454">
        <v>-481.98809999999997</v>
      </c>
      <c r="K3454">
        <v>1.111056</v>
      </c>
      <c r="L3454">
        <v>279.95150000000001</v>
      </c>
      <c r="M3454">
        <v>-0.91791069999999997</v>
      </c>
      <c r="N3454">
        <v>0</v>
      </c>
      <c r="O3454">
        <v>-0.39673920000000001</v>
      </c>
      <c r="P3454">
        <v>-0.89321049999999902</v>
      </c>
      <c r="Q3454">
        <v>-3.3694010000000003E-2</v>
      </c>
      <c r="R3454">
        <v>-0.44837480000000002</v>
      </c>
      <c r="S3454">
        <v>-2.1535950000000001</v>
      </c>
      <c r="T3454">
        <v>-0.25725769999999998</v>
      </c>
      <c r="U3454">
        <v>-2.3891300000000002</v>
      </c>
      <c r="V3454">
        <v>-5.7081350000000003E-2</v>
      </c>
      <c r="W3454">
        <v>-2.7773760000000002E-2</v>
      </c>
      <c r="X3454">
        <v>0.99798319999999996</v>
      </c>
      <c r="Y3454">
        <v>-0.41606080000000001</v>
      </c>
      <c r="Z3454">
        <v>1.5705839999999999E-2</v>
      </c>
      <c r="AA3454">
        <v>0.90920109999999998</v>
      </c>
      <c r="AB3454">
        <v>11</v>
      </c>
      <c r="AC3454">
        <v>-9.2512000000000398</v>
      </c>
      <c r="AD3454">
        <v>-1.1110559851590101</v>
      </c>
      <c r="AE3454">
        <v>-10.293200000000001</v>
      </c>
      <c r="AF3454">
        <v>-5.7410332875343499</v>
      </c>
      <c r="AG3454">
        <v>-1.1110559851590101</v>
      </c>
      <c r="AH3454">
        <v>12.495198209228199</v>
      </c>
      <c r="AI3454">
        <v>94.619367569066199</v>
      </c>
      <c r="AJ3454">
        <v>114.676849057379</v>
      </c>
      <c r="AK3454">
        <v>13.7957923621166</v>
      </c>
      <c r="AL3454">
        <v>91.591523782752901</v>
      </c>
      <c r="AM3454">
        <v>93.273563087966707</v>
      </c>
      <c r="AN3454">
        <v>1.00000006487229</v>
      </c>
    </row>
    <row r="3455" spans="1:40" x14ac:dyDescent="0.25">
      <c r="A3455" t="str">
        <f>"20190312153952710"</f>
        <v>20190312153952710</v>
      </c>
      <c r="B3455" t="str">
        <f>"1552376392699123"</f>
        <v>1552376392699123</v>
      </c>
      <c r="C3455" t="s">
        <v>40</v>
      </c>
      <c r="D3455">
        <v>4.2197579999999997</v>
      </c>
      <c r="E3455">
        <v>0.3542922</v>
      </c>
      <c r="F3455" t="s">
        <v>42</v>
      </c>
      <c r="G3455">
        <v>-491.33150000000001</v>
      </c>
      <c r="H3455" s="1">
        <v>-4.5047619999999998E-6</v>
      </c>
      <c r="I3455">
        <v>269.53019999999998</v>
      </c>
      <c r="J3455">
        <v>-482.03800000000001</v>
      </c>
      <c r="K3455">
        <v>1.1110580000000001</v>
      </c>
      <c r="L3455">
        <v>279.92610000000002</v>
      </c>
      <c r="M3455">
        <v>-0.91667650000000001</v>
      </c>
      <c r="N3455">
        <v>0</v>
      </c>
      <c r="O3455">
        <v>-0.39958480000000002</v>
      </c>
      <c r="P3455">
        <v>-0.89183469999999998</v>
      </c>
      <c r="Q3455">
        <v>-3.3915109999999998E-2</v>
      </c>
      <c r="R3455">
        <v>-0.4510885</v>
      </c>
      <c r="S3455">
        <v>-2.146973</v>
      </c>
      <c r="T3455">
        <v>-0.25530530000000001</v>
      </c>
      <c r="U3455">
        <v>-2.3946529999999999</v>
      </c>
      <c r="V3455">
        <v>-5.7019830000000001E-2</v>
      </c>
      <c r="W3455">
        <v>-2.8159259999999998E-2</v>
      </c>
      <c r="X3455">
        <v>0.99797579999999997</v>
      </c>
      <c r="Y3455">
        <v>-0.41568650000000001</v>
      </c>
      <c r="Z3455">
        <v>1.5850980000000001E-2</v>
      </c>
      <c r="AA3455">
        <v>0.90936980000000001</v>
      </c>
      <c r="AB3455">
        <v>11</v>
      </c>
      <c r="AC3455">
        <v>-9.2934999999999892</v>
      </c>
      <c r="AD3455">
        <v>-1.111062504762</v>
      </c>
      <c r="AE3455">
        <v>-10.395899999999999</v>
      </c>
      <c r="AF3455">
        <v>-5.7795486666890703</v>
      </c>
      <c r="AG3455">
        <v>-1.111062504762</v>
      </c>
      <c r="AH3455">
        <v>12.593454274667801</v>
      </c>
      <c r="AI3455">
        <v>94.584418694330395</v>
      </c>
      <c r="AJ3455">
        <v>114.651940463114</v>
      </c>
      <c r="AK3455">
        <v>13.9008177186906</v>
      </c>
      <c r="AL3455">
        <v>91.613620130672302</v>
      </c>
      <c r="AM3455">
        <v>93.270066827761198</v>
      </c>
      <c r="AN3455">
        <v>0.99999995116130702</v>
      </c>
    </row>
    <row r="3456" spans="1:40" x14ac:dyDescent="0.25">
      <c r="A3456" t="str">
        <f>"20190312153952725"</f>
        <v>20190312153952725</v>
      </c>
      <c r="B3456" t="str">
        <f>"1552376392719619"</f>
        <v>1552376392719619</v>
      </c>
      <c r="C3456" t="s">
        <v>40</v>
      </c>
      <c r="D3456">
        <v>4.2285079999999997</v>
      </c>
      <c r="E3456">
        <v>0.35463990000000001</v>
      </c>
      <c r="F3456" t="s">
        <v>42</v>
      </c>
      <c r="G3456">
        <v>-491.33909999999997</v>
      </c>
      <c r="H3456" s="1">
        <v>-4.4958899999999997E-6</v>
      </c>
      <c r="I3456">
        <v>269.50020000000001</v>
      </c>
      <c r="J3456">
        <v>-482.09980000000002</v>
      </c>
      <c r="K3456">
        <v>1.111057</v>
      </c>
      <c r="L3456">
        <v>279.89440000000002</v>
      </c>
      <c r="M3456">
        <v>-0.91513420000000001</v>
      </c>
      <c r="N3456">
        <v>0</v>
      </c>
      <c r="O3456">
        <v>-0.40310770000000001</v>
      </c>
      <c r="P3456">
        <v>-0.89010279999999997</v>
      </c>
      <c r="Q3456">
        <v>-3.3467469999999999E-2</v>
      </c>
      <c r="R3456">
        <v>-0.45452949999999998</v>
      </c>
      <c r="S3456">
        <v>-2.140533</v>
      </c>
      <c r="T3456">
        <v>-0.25569560000000002</v>
      </c>
      <c r="U3456">
        <v>-2.399384</v>
      </c>
      <c r="V3456">
        <v>-5.702782E-2</v>
      </c>
      <c r="W3456">
        <v>-2.7922550000000001E-2</v>
      </c>
      <c r="X3456">
        <v>0.99798200000000004</v>
      </c>
      <c r="Y3456">
        <v>-0.41444940000000002</v>
      </c>
      <c r="Z3456">
        <v>1.6236799999999999E-2</v>
      </c>
      <c r="AA3456">
        <v>0.9099275</v>
      </c>
      <c r="AB3456">
        <v>11</v>
      </c>
      <c r="AC3456">
        <v>-9.2392999999999503</v>
      </c>
      <c r="AD3456">
        <v>-1.11106149589</v>
      </c>
      <c r="AE3456">
        <v>-10.3942</v>
      </c>
      <c r="AF3456">
        <v>-5.7510443876202197</v>
      </c>
      <c r="AG3456">
        <v>-1.11106149589</v>
      </c>
      <c r="AH3456">
        <v>12.565192778730401</v>
      </c>
      <c r="AI3456">
        <v>94.596824408196596</v>
      </c>
      <c r="AJ3456">
        <v>114.59340259506899</v>
      </c>
      <c r="AK3456">
        <v>13.863370396937601</v>
      </c>
      <c r="AL3456">
        <v>91.600052301977996</v>
      </c>
      <c r="AM3456">
        <v>93.2705037826222</v>
      </c>
      <c r="AN3456">
        <v>0.99999995668822605</v>
      </c>
    </row>
    <row r="3457" spans="1:40" x14ac:dyDescent="0.25">
      <c r="A3457" t="str">
        <f>"20190312153952738"</f>
        <v>20190312153952738</v>
      </c>
      <c r="B3457" t="str">
        <f>"1552376392729380"</f>
        <v>1552376392729380</v>
      </c>
      <c r="C3457" t="s">
        <v>40</v>
      </c>
      <c r="D3457">
        <v>4.2278510000000002</v>
      </c>
      <c r="E3457">
        <v>0.35482720000000001</v>
      </c>
      <c r="F3457" t="s">
        <v>42</v>
      </c>
      <c r="G3457">
        <v>-491.35759999999999</v>
      </c>
      <c r="H3457" s="1">
        <v>-4.4822580000000004E-6</v>
      </c>
      <c r="I3457">
        <v>269.45049999999998</v>
      </c>
      <c r="J3457">
        <v>-482.15589999999997</v>
      </c>
      <c r="K3457">
        <v>1.111059</v>
      </c>
      <c r="L3457">
        <v>279.86540000000002</v>
      </c>
      <c r="M3457">
        <v>-0.91371610000000003</v>
      </c>
      <c r="N3457">
        <v>0</v>
      </c>
      <c r="O3457">
        <v>-0.40631479999999998</v>
      </c>
      <c r="P3457">
        <v>-0.88848479999999996</v>
      </c>
      <c r="Q3457">
        <v>-3.3676150000000002E-2</v>
      </c>
      <c r="R3457">
        <v>-0.4576694</v>
      </c>
      <c r="S3457">
        <v>-2.132355</v>
      </c>
      <c r="T3457">
        <v>-0.25591019999999998</v>
      </c>
      <c r="U3457">
        <v>-2.405548</v>
      </c>
      <c r="V3457">
        <v>-5.7050469999999999E-2</v>
      </c>
      <c r="W3457">
        <v>-2.832983E-2</v>
      </c>
      <c r="X3457">
        <v>0.99796929999999995</v>
      </c>
      <c r="Y3457">
        <v>-0.41415610000000003</v>
      </c>
      <c r="Z3457">
        <v>1.654599E-2</v>
      </c>
      <c r="AA3457">
        <v>0.91005550000000002</v>
      </c>
      <c r="AB3457">
        <v>11</v>
      </c>
      <c r="AC3457">
        <v>-9.2017000000000095</v>
      </c>
      <c r="AD3457">
        <v>-1.1110634822579999</v>
      </c>
      <c r="AE3457">
        <v>-10.414899999999999</v>
      </c>
      <c r="AF3457">
        <v>-5.7408722197774198</v>
      </c>
      <c r="AG3457">
        <v>-1.1110634822579999</v>
      </c>
      <c r="AH3457">
        <v>12.559393177305999</v>
      </c>
      <c r="AI3457">
        <v>94.599983111625207</v>
      </c>
      <c r="AJ3457">
        <v>114.565040580915</v>
      </c>
      <c r="AK3457">
        <v>13.8538959461799</v>
      </c>
      <c r="AL3457">
        <v>91.623396845490007</v>
      </c>
      <c r="AM3457">
        <v>93.271841468121806</v>
      </c>
      <c r="AN3457">
        <v>1.0000000295687601</v>
      </c>
    </row>
    <row r="3458" spans="1:40" x14ac:dyDescent="0.25">
      <c r="A3458" t="str">
        <f>"20190312153952751"</f>
        <v>20190312153952751</v>
      </c>
      <c r="B3458" t="str">
        <f>"1552376392739139"</f>
        <v>1552376392739139</v>
      </c>
      <c r="C3458" t="s">
        <v>40</v>
      </c>
      <c r="D3458">
        <v>4.2348369999999997</v>
      </c>
      <c r="E3458">
        <v>0.35504150000000001</v>
      </c>
      <c r="F3458" t="s">
        <v>42</v>
      </c>
      <c r="G3458">
        <v>-491.3372</v>
      </c>
      <c r="H3458" s="1">
        <v>-4.4763090000000003E-6</v>
      </c>
      <c r="I3458">
        <v>269.4436</v>
      </c>
      <c r="J3458">
        <v>-482.2133</v>
      </c>
      <c r="K3458">
        <v>1.111059</v>
      </c>
      <c r="L3458">
        <v>279.83550000000002</v>
      </c>
      <c r="M3458">
        <v>-0.91224970000000005</v>
      </c>
      <c r="N3458">
        <v>0</v>
      </c>
      <c r="O3458">
        <v>-0.40959869999999998</v>
      </c>
      <c r="P3458">
        <v>-0.88683889999999999</v>
      </c>
      <c r="Q3458">
        <v>-3.3635850000000002E-2</v>
      </c>
      <c r="R3458">
        <v>-0.46085300000000001</v>
      </c>
      <c r="S3458">
        <v>-2.1245120000000002</v>
      </c>
      <c r="T3458">
        <v>-0.25709480000000001</v>
      </c>
      <c r="U3458">
        <v>-2.4115600000000001</v>
      </c>
      <c r="V3458">
        <v>-5.7036879999999998E-2</v>
      </c>
      <c r="W3458">
        <v>-2.8502510000000002E-2</v>
      </c>
      <c r="X3458">
        <v>0.9979652</v>
      </c>
      <c r="Y3458">
        <v>-0.41368270000000001</v>
      </c>
      <c r="Z3458">
        <v>1.6933179999999999E-2</v>
      </c>
      <c r="AA3458">
        <v>0.91026370000000001</v>
      </c>
      <c r="AB3458">
        <v>11</v>
      </c>
      <c r="AC3458">
        <v>-9.1238999999999901</v>
      </c>
      <c r="AD3458">
        <v>-1.1110634763089999</v>
      </c>
      <c r="AE3458">
        <v>-10.3919</v>
      </c>
      <c r="AF3458">
        <v>-5.7061206766782497</v>
      </c>
      <c r="AG3458">
        <v>-1.1110634763089999</v>
      </c>
      <c r="AH3458">
        <v>12.499284031779601</v>
      </c>
      <c r="AI3458">
        <v>94.623021356717501</v>
      </c>
      <c r="AJ3458">
        <v>114.537446981638</v>
      </c>
      <c r="AK3458">
        <v>13.785005496274</v>
      </c>
      <c r="AL3458">
        <v>91.633294611993193</v>
      </c>
      <c r="AM3458">
        <v>93.271077184489101</v>
      </c>
      <c r="AN3458">
        <v>1.0000000695837299</v>
      </c>
    </row>
    <row r="3459" spans="1:40" x14ac:dyDescent="0.25">
      <c r="A3459" t="str">
        <f>"20190312153952764"</f>
        <v>20190312153952764</v>
      </c>
      <c r="B3459" t="str">
        <f>"1552376392759634"</f>
        <v>1552376392759634</v>
      </c>
      <c r="C3459" t="s">
        <v>40</v>
      </c>
      <c r="D3459">
        <v>4.2034729999999998</v>
      </c>
      <c r="E3459">
        <v>0.35541230000000001</v>
      </c>
      <c r="F3459" t="s">
        <v>42</v>
      </c>
      <c r="G3459">
        <v>-491.35210000000001</v>
      </c>
      <c r="H3459" s="1">
        <v>-4.46342E-6</v>
      </c>
      <c r="I3459">
        <v>269.39800000000002</v>
      </c>
      <c r="J3459">
        <v>-482.26760000000002</v>
      </c>
      <c r="K3459">
        <v>1.111059</v>
      </c>
      <c r="L3459">
        <v>279.80689999999998</v>
      </c>
      <c r="M3459">
        <v>-0.91084889999999996</v>
      </c>
      <c r="N3459">
        <v>0</v>
      </c>
      <c r="O3459">
        <v>-0.4127072</v>
      </c>
      <c r="P3459">
        <v>-0.88527259999999997</v>
      </c>
      <c r="Q3459">
        <v>-3.3802110000000003E-2</v>
      </c>
      <c r="R3459">
        <v>-0.4638429</v>
      </c>
      <c r="S3459">
        <v>-2.1167600000000002</v>
      </c>
      <c r="T3459">
        <v>-0.25734839999999998</v>
      </c>
      <c r="U3459">
        <v>-2.4175719999999998</v>
      </c>
      <c r="V3459">
        <v>-5.7000580000000002E-2</v>
      </c>
      <c r="W3459">
        <v>-2.8874319999999998E-2</v>
      </c>
      <c r="X3459">
        <v>0.99795650000000002</v>
      </c>
      <c r="Y3459">
        <v>-0.41336079999999997</v>
      </c>
      <c r="Z3459">
        <v>1.723908E-2</v>
      </c>
      <c r="AA3459">
        <v>0.91040410000000005</v>
      </c>
      <c r="AB3459">
        <v>11</v>
      </c>
      <c r="AC3459">
        <v>-9.0844999999999896</v>
      </c>
      <c r="AD3459">
        <v>-1.1110634634200001</v>
      </c>
      <c r="AE3459">
        <v>-10.408899999999999</v>
      </c>
      <c r="AF3459">
        <v>-5.6949423725498596</v>
      </c>
      <c r="AG3459">
        <v>-1.1110634634200001</v>
      </c>
      <c r="AH3459">
        <v>12.489827594545099</v>
      </c>
      <c r="AI3459">
        <v>94.627462063675495</v>
      </c>
      <c r="AJ3459">
        <v>114.51139450420401</v>
      </c>
      <c r="AK3459">
        <v>13.771805400450299</v>
      </c>
      <c r="AL3459">
        <v>91.654606667681804</v>
      </c>
      <c r="AM3459">
        <v>93.269028324881205</v>
      </c>
      <c r="AN3459">
        <v>0.99999998418402403</v>
      </c>
    </row>
    <row r="3460" spans="1:40" x14ac:dyDescent="0.25">
      <c r="A3460" t="str">
        <f>"20190312153952776"</f>
        <v>20190312153952776</v>
      </c>
      <c r="B3460" t="str">
        <f>"1552376392769395"</f>
        <v>1552376392769395</v>
      </c>
      <c r="C3460" t="s">
        <v>40</v>
      </c>
      <c r="D3460">
        <v>4.2099529999999996</v>
      </c>
      <c r="E3460">
        <v>0.35558879999999998</v>
      </c>
      <c r="F3460" t="s">
        <v>42</v>
      </c>
      <c r="G3460">
        <v>-491.32069999999999</v>
      </c>
      <c r="H3460" s="1">
        <v>-4.4632410000000004E-6</v>
      </c>
      <c r="I3460">
        <v>269.41379999999998</v>
      </c>
      <c r="J3460">
        <v>-482.32220000000001</v>
      </c>
      <c r="K3460">
        <v>1.1110679999999999</v>
      </c>
      <c r="L3460">
        <v>279.77809999999999</v>
      </c>
      <c r="M3460">
        <v>-0.90942500000000004</v>
      </c>
      <c r="N3460">
        <v>0</v>
      </c>
      <c r="O3460">
        <v>-0.41583819999999999</v>
      </c>
      <c r="P3460">
        <v>-0.88379249999999998</v>
      </c>
      <c r="Q3460">
        <v>-3.398209E-2</v>
      </c>
      <c r="R3460">
        <v>-0.46664430000000001</v>
      </c>
      <c r="S3460">
        <v>-2.1098330000000001</v>
      </c>
      <c r="T3460">
        <v>-0.25893329999999998</v>
      </c>
      <c r="U3460">
        <v>-2.4221189999999999</v>
      </c>
      <c r="V3460">
        <v>-5.6726310000000002E-2</v>
      </c>
      <c r="W3460">
        <v>-2.9263649999999999E-2</v>
      </c>
      <c r="X3460">
        <v>0.99796079999999998</v>
      </c>
      <c r="Y3460">
        <v>-0.4125644</v>
      </c>
      <c r="Z3460">
        <v>1.7661019999999999E-2</v>
      </c>
      <c r="AA3460">
        <v>0.91075720000000004</v>
      </c>
      <c r="AB3460">
        <v>11</v>
      </c>
      <c r="AC3460">
        <v>-8.9984999999999697</v>
      </c>
      <c r="AD3460">
        <v>-1.1110724632409901</v>
      </c>
      <c r="AE3460">
        <v>-10.3643</v>
      </c>
      <c r="AF3460">
        <v>-5.6467024761506597</v>
      </c>
      <c r="AG3460">
        <v>-1.1110724632409901</v>
      </c>
      <c r="AH3460">
        <v>12.412153772241</v>
      </c>
      <c r="AI3460">
        <v>94.6581377255239</v>
      </c>
      <c r="AJ3460">
        <v>114.462370407341</v>
      </c>
      <c r="AK3460">
        <v>13.681421422443499</v>
      </c>
      <c r="AL3460">
        <v>91.676923043425305</v>
      </c>
      <c r="AM3460">
        <v>93.253318604807802</v>
      </c>
      <c r="AN3460">
        <v>0.99999999689708896</v>
      </c>
    </row>
    <row r="3461" spans="1:40" x14ac:dyDescent="0.25">
      <c r="A3461" t="str">
        <f>"20190312153952787"</f>
        <v>20190312153952787</v>
      </c>
      <c r="B3461" t="str">
        <f>"1552376392779154"</f>
        <v>1552376392779154</v>
      </c>
      <c r="C3461" t="s">
        <v>40</v>
      </c>
      <c r="D3461">
        <v>4.2476029999999998</v>
      </c>
      <c r="E3461">
        <v>0.35579480000000002</v>
      </c>
      <c r="F3461" t="s">
        <v>42</v>
      </c>
      <c r="G3461">
        <v>-491.32089999999999</v>
      </c>
      <c r="H3461" s="1">
        <v>-4.4545599999999901E-6</v>
      </c>
      <c r="I3461">
        <v>269.38819999999998</v>
      </c>
      <c r="J3461">
        <v>-482.37049999999999</v>
      </c>
      <c r="K3461">
        <v>1.1110690000000001</v>
      </c>
      <c r="L3461">
        <v>279.75220000000002</v>
      </c>
      <c r="M3461">
        <v>-0.90815409999999996</v>
      </c>
      <c r="N3461">
        <v>0</v>
      </c>
      <c r="O3461">
        <v>-0.4186086</v>
      </c>
      <c r="P3461">
        <v>-0.88244789999999995</v>
      </c>
      <c r="Q3461">
        <v>-3.4032310000000003E-2</v>
      </c>
      <c r="R3461">
        <v>-0.46917789999999998</v>
      </c>
      <c r="S3461">
        <v>-2.1026609999999999</v>
      </c>
      <c r="T3461">
        <v>-0.25961790000000001</v>
      </c>
      <c r="U3461">
        <v>-2.4277340000000001</v>
      </c>
      <c r="V3461">
        <v>-5.6545560000000002E-2</v>
      </c>
      <c r="W3461">
        <v>-2.950361E-2</v>
      </c>
      <c r="X3461">
        <v>0.99796399999999996</v>
      </c>
      <c r="Y3461">
        <v>-0.41237479999999999</v>
      </c>
      <c r="Z3461">
        <v>1.7963630000000001E-2</v>
      </c>
      <c r="AA3461">
        <v>0.91083720000000001</v>
      </c>
      <c r="AB3461">
        <v>11</v>
      </c>
      <c r="AC3461">
        <v>-8.9504000000000001</v>
      </c>
      <c r="AD3461">
        <v>-1.1110734545600001</v>
      </c>
      <c r="AE3461">
        <v>-10.364000000000001</v>
      </c>
      <c r="AF3461">
        <v>-5.6284071682168602</v>
      </c>
      <c r="AG3461">
        <v>-1.1110734545600001</v>
      </c>
      <c r="AH3461">
        <v>12.3854103102798</v>
      </c>
      <c r="AI3461">
        <v>94.669022264887602</v>
      </c>
      <c r="AJ3461">
        <v>114.43887541314</v>
      </c>
      <c r="AK3461">
        <v>13.649609519200499</v>
      </c>
      <c r="AL3461">
        <v>91.690677665329403</v>
      </c>
      <c r="AM3461">
        <v>93.242964170290506</v>
      </c>
      <c r="AN3461">
        <v>1.00000000432737</v>
      </c>
    </row>
    <row r="3462" spans="1:40" x14ac:dyDescent="0.25">
      <c r="A3462" t="str">
        <f>"20190312153952799"</f>
        <v>20190312153952799</v>
      </c>
      <c r="B3462" t="str">
        <f>"1552376392788915"</f>
        <v>1552376392788915</v>
      </c>
      <c r="C3462" t="s">
        <v>40</v>
      </c>
      <c r="D3462">
        <v>4.4180210000000004</v>
      </c>
      <c r="E3462">
        <v>0.35608430000000002</v>
      </c>
      <c r="F3462" t="s">
        <v>42</v>
      </c>
      <c r="G3462">
        <v>-491.34640000000002</v>
      </c>
      <c r="H3462" s="1">
        <v>-4.4415889999999999E-6</v>
      </c>
      <c r="I3462">
        <v>269.33679999999998</v>
      </c>
      <c r="J3462">
        <v>-482.4228</v>
      </c>
      <c r="K3462">
        <v>1.1110739999999999</v>
      </c>
      <c r="L3462">
        <v>279.72410000000002</v>
      </c>
      <c r="M3462">
        <v>-0.90676469999999998</v>
      </c>
      <c r="N3462">
        <v>0</v>
      </c>
      <c r="O3462">
        <v>-0.42161179999999898</v>
      </c>
      <c r="P3462">
        <v>-0.88091839999999999</v>
      </c>
      <c r="Q3462">
        <v>-3.3789439999999997E-2</v>
      </c>
      <c r="R3462">
        <v>-0.4720606</v>
      </c>
      <c r="S3462">
        <v>-2.0963129999999999</v>
      </c>
      <c r="T3462">
        <v>-0.25948789999999999</v>
      </c>
      <c r="U3462">
        <v>-2.4324949999999999</v>
      </c>
      <c r="V3462">
        <v>-5.6499939999999998E-2</v>
      </c>
      <c r="W3462">
        <v>-2.9468640000000001E-2</v>
      </c>
      <c r="X3462">
        <v>0.99796759999999995</v>
      </c>
      <c r="Y3462">
        <v>-0.41161510000000001</v>
      </c>
      <c r="Z3462">
        <v>1.825591E-2</v>
      </c>
      <c r="AA3462">
        <v>0.91117499999999996</v>
      </c>
      <c r="AB3462">
        <v>11</v>
      </c>
      <c r="AC3462">
        <v>-8.92360000000002</v>
      </c>
      <c r="AD3462">
        <v>-1.1110784415889901</v>
      </c>
      <c r="AE3462">
        <v>-10.3873</v>
      </c>
      <c r="AF3462">
        <v>-5.6196079628133999</v>
      </c>
      <c r="AG3462">
        <v>-1.1110784415889901</v>
      </c>
      <c r="AH3462">
        <v>12.3895852204598</v>
      </c>
      <c r="AI3462">
        <v>94.668987124090407</v>
      </c>
      <c r="AJ3462">
        <v>114.397863122773</v>
      </c>
      <c r="AK3462">
        <v>13.6497732909421</v>
      </c>
      <c r="AL3462">
        <v>91.688673189099802</v>
      </c>
      <c r="AM3462">
        <v>93.240341715166096</v>
      </c>
      <c r="AN3462">
        <v>0.999999987306606</v>
      </c>
    </row>
    <row r="3463" spans="1:40" x14ac:dyDescent="0.25">
      <c r="A3463" t="str">
        <f>"20190312153952812"</f>
        <v>20190312153952812</v>
      </c>
      <c r="B3463" t="str">
        <f>"1552376392809412"</f>
        <v>1552376392809412</v>
      </c>
      <c r="C3463" t="s">
        <v>40</v>
      </c>
      <c r="D3463">
        <v>4.2691499999999998</v>
      </c>
      <c r="E3463">
        <v>0.3565044</v>
      </c>
      <c r="F3463" t="s">
        <v>42</v>
      </c>
      <c r="G3463">
        <v>-491.44310000000002</v>
      </c>
      <c r="H3463" s="1">
        <v>-4.4130090000000004E-6</v>
      </c>
      <c r="I3463">
        <v>269.20249999999999</v>
      </c>
      <c r="J3463">
        <v>-482.47989999999999</v>
      </c>
      <c r="K3463">
        <v>1.1110770000000001</v>
      </c>
      <c r="L3463">
        <v>279.69310000000002</v>
      </c>
      <c r="M3463">
        <v>-0.90523390000000004</v>
      </c>
      <c r="N3463">
        <v>0</v>
      </c>
      <c r="O3463">
        <v>-0.42489139999999997</v>
      </c>
      <c r="P3463">
        <v>-0.87924840000000004</v>
      </c>
      <c r="Q3463">
        <v>-3.3400930000000002E-2</v>
      </c>
      <c r="R3463">
        <v>-0.47519159999999999</v>
      </c>
      <c r="S3463">
        <v>-2.089569</v>
      </c>
      <c r="T3463">
        <v>-0.25738460000000002</v>
      </c>
      <c r="U3463">
        <v>-2.4373779999999998</v>
      </c>
      <c r="V3463">
        <v>-5.6429769999999997E-2</v>
      </c>
      <c r="W3463">
        <v>-2.9311380000000001E-2</v>
      </c>
      <c r="X3463">
        <v>0.99797619999999998</v>
      </c>
      <c r="Y3463">
        <v>-0.41068270000000001</v>
      </c>
      <c r="Z3463">
        <v>1.8439819999999999E-2</v>
      </c>
      <c r="AA3463">
        <v>0.91159190000000001</v>
      </c>
      <c r="AB3463">
        <v>12</v>
      </c>
      <c r="AC3463">
        <v>-8.96320000000002</v>
      </c>
      <c r="AD3463">
        <v>-1.1110814130089901</v>
      </c>
      <c r="AE3463">
        <v>-10.490600000000001</v>
      </c>
      <c r="AF3463">
        <v>-5.6514696603387504</v>
      </c>
      <c r="AG3463">
        <v>-1.1110814130089901</v>
      </c>
      <c r="AH3463">
        <v>12.4902897127755</v>
      </c>
      <c r="AI3463">
        <v>94.633437209989495</v>
      </c>
      <c r="AJ3463">
        <v>114.345280450179</v>
      </c>
      <c r="AK3463">
        <v>13.7543065378495</v>
      </c>
      <c r="AL3463">
        <v>91.679658963168706</v>
      </c>
      <c r="AM3463">
        <v>93.236298108586297</v>
      </c>
      <c r="AN3463">
        <v>0.99999998585309802</v>
      </c>
    </row>
    <row r="3464" spans="1:40" x14ac:dyDescent="0.25">
      <c r="A3464" t="str">
        <f>"20190312153952825"</f>
        <v>20190312153952825</v>
      </c>
      <c r="B3464" t="str">
        <f>"1552376392819171"</f>
        <v>1552376392819171</v>
      </c>
      <c r="C3464" t="s">
        <v>40</v>
      </c>
      <c r="D3464">
        <v>4.2550299999999996</v>
      </c>
      <c r="E3464">
        <v>0.35668240000000001</v>
      </c>
      <c r="F3464" t="s">
        <v>42</v>
      </c>
      <c r="G3464">
        <v>-491.50240000000002</v>
      </c>
      <c r="H3464" s="1">
        <v>-4.3936900000000001E-6</v>
      </c>
      <c r="I3464">
        <v>269.11470000000003</v>
      </c>
      <c r="J3464">
        <v>-482.5385</v>
      </c>
      <c r="K3464">
        <v>1.111084</v>
      </c>
      <c r="L3464">
        <v>279.66109999999998</v>
      </c>
      <c r="M3464">
        <v>-0.90364699999999998</v>
      </c>
      <c r="N3464">
        <v>0</v>
      </c>
      <c r="O3464">
        <v>-0.42825800000000003</v>
      </c>
      <c r="P3464">
        <v>-0.87740980000000002</v>
      </c>
      <c r="Q3464">
        <v>-3.3415130000000001E-2</v>
      </c>
      <c r="R3464">
        <v>-0.47857670000000002</v>
      </c>
      <c r="S3464">
        <v>-2.082611</v>
      </c>
      <c r="T3464">
        <v>-0.25646330000000001</v>
      </c>
      <c r="U3464">
        <v>-2.4417420000000001</v>
      </c>
      <c r="V3464">
        <v>-5.6557360000000001E-2</v>
      </c>
      <c r="W3464">
        <v>-2.9565250000000001E-2</v>
      </c>
      <c r="X3464">
        <v>0.99796149999999995</v>
      </c>
      <c r="Y3464">
        <v>-0.40960780000000002</v>
      </c>
      <c r="Z3464">
        <v>1.872097E-2</v>
      </c>
      <c r="AA3464">
        <v>0.91206960000000004</v>
      </c>
      <c r="AB3464">
        <v>12</v>
      </c>
      <c r="AC3464">
        <v>-8.9639000000000202</v>
      </c>
      <c r="AD3464">
        <v>-1.11108839369</v>
      </c>
      <c r="AE3464">
        <v>-10.546399999999901</v>
      </c>
      <c r="AF3464">
        <v>-5.6549694562595301</v>
      </c>
      <c r="AG3464">
        <v>-1.11108839369</v>
      </c>
      <c r="AH3464">
        <v>12.536108001982299</v>
      </c>
      <c r="AI3464">
        <v>94.618975899642706</v>
      </c>
      <c r="AJ3464">
        <v>114.279874155938</v>
      </c>
      <c r="AK3464">
        <v>13.7973620959655</v>
      </c>
      <c r="AL3464">
        <v>91.6942109305256</v>
      </c>
      <c r="AM3464">
        <v>93.243647579649604</v>
      </c>
      <c r="AN3464">
        <v>0.99999999722999</v>
      </c>
    </row>
    <row r="3465" spans="1:40" x14ac:dyDescent="0.25">
      <c r="A3465" t="str">
        <f>"20190312153952835"</f>
        <v>20190312153952835</v>
      </c>
      <c r="B3465" t="str">
        <f>"1552376392828932"</f>
        <v>1552376392828932</v>
      </c>
      <c r="C3465" t="s">
        <v>40</v>
      </c>
      <c r="D3465">
        <v>4.2388519999999996</v>
      </c>
      <c r="E3465">
        <v>0.3568635</v>
      </c>
      <c r="F3465" t="s">
        <v>42</v>
      </c>
      <c r="G3465">
        <v>-491.51330000000002</v>
      </c>
      <c r="H3465" s="1">
        <v>-4.377935E-6</v>
      </c>
      <c r="I3465">
        <v>269.06270000000001</v>
      </c>
      <c r="J3465">
        <v>-482.59219999999999</v>
      </c>
      <c r="K3465">
        <v>1.1110899999999999</v>
      </c>
      <c r="L3465">
        <v>279.63150000000002</v>
      </c>
      <c r="M3465">
        <v>-0.90217749999999997</v>
      </c>
      <c r="N3465">
        <v>0</v>
      </c>
      <c r="O3465">
        <v>-0.43134729999999999</v>
      </c>
      <c r="P3465">
        <v>-0.87581969999999998</v>
      </c>
      <c r="Q3465">
        <v>-3.3235859999999999E-2</v>
      </c>
      <c r="R3465">
        <v>-0.48149330000000001</v>
      </c>
      <c r="S3465">
        <v>-2.0737000000000001</v>
      </c>
      <c r="T3465">
        <v>-0.2567236</v>
      </c>
      <c r="U3465">
        <v>-2.4488219999999998</v>
      </c>
      <c r="V3465">
        <v>-5.6457819999999999E-2</v>
      </c>
      <c r="W3465">
        <v>-2.9605619999999999E-2</v>
      </c>
      <c r="X3465">
        <v>0.99796589999999996</v>
      </c>
      <c r="Y3465">
        <v>-0.40972740000000002</v>
      </c>
      <c r="Z3465">
        <v>1.9008850000000001E-2</v>
      </c>
      <c r="AA3465">
        <v>0.91200999999999999</v>
      </c>
      <c r="AB3465">
        <v>12</v>
      </c>
      <c r="AC3465">
        <v>-8.9211000000000205</v>
      </c>
      <c r="AD3465">
        <v>-1.111094377935</v>
      </c>
      <c r="AE3465">
        <v>-10.5688</v>
      </c>
      <c r="AF3465">
        <v>-5.6504175514466803</v>
      </c>
      <c r="AG3465">
        <v>-1.111094377935</v>
      </c>
      <c r="AH3465">
        <v>12.526491014967601</v>
      </c>
      <c r="AI3465">
        <v>94.622560896509398</v>
      </c>
      <c r="AJ3465">
        <v>114.279061830448</v>
      </c>
      <c r="AK3465">
        <v>13.786759095974601</v>
      </c>
      <c r="AL3465">
        <v>91.696525040908497</v>
      </c>
      <c r="AM3465">
        <v>93.237936726617207</v>
      </c>
      <c r="AN3465">
        <v>0.99999995786877205</v>
      </c>
    </row>
    <row r="3466" spans="1:40" x14ac:dyDescent="0.25">
      <c r="A3466" t="str">
        <f>"20190312153952846"</f>
        <v>20190312153952846</v>
      </c>
      <c r="B3466" t="str">
        <f>"1552376392839668"</f>
        <v>1552376392839668</v>
      </c>
      <c r="C3466" t="s">
        <v>40</v>
      </c>
      <c r="D3466">
        <v>4.2758440000000002</v>
      </c>
      <c r="E3466">
        <v>0.35706949999999998</v>
      </c>
      <c r="F3466" t="s">
        <v>42</v>
      </c>
      <c r="G3466">
        <v>-491.52249999999998</v>
      </c>
      <c r="H3466" s="1">
        <v>-4.3665399999999999E-6</v>
      </c>
      <c r="I3466">
        <v>269.02449999999999</v>
      </c>
      <c r="J3466">
        <v>-482.63549999999998</v>
      </c>
      <c r="K3466">
        <v>1.1110930000000001</v>
      </c>
      <c r="L3466">
        <v>279.60739999999998</v>
      </c>
      <c r="M3466">
        <v>-0.90098129999999998</v>
      </c>
      <c r="N3466">
        <v>0</v>
      </c>
      <c r="O3466">
        <v>-0.4338417</v>
      </c>
      <c r="P3466">
        <v>-0.87440699999999905</v>
      </c>
      <c r="Q3466">
        <v>-3.2999970000000003E-2</v>
      </c>
      <c r="R3466">
        <v>-0.4840701</v>
      </c>
      <c r="S3466">
        <v>-2.0663149999999999</v>
      </c>
      <c r="T3466">
        <v>-0.25708819999999999</v>
      </c>
      <c r="U3466">
        <v>-2.454285</v>
      </c>
      <c r="V3466">
        <v>-5.662971E-2</v>
      </c>
      <c r="W3466">
        <v>-2.9547420000000001E-2</v>
      </c>
      <c r="X3466">
        <v>0.99795789999999995</v>
      </c>
      <c r="Y3466">
        <v>-0.4098156</v>
      </c>
      <c r="Z3466">
        <v>1.9255520000000002E-2</v>
      </c>
      <c r="AA3466">
        <v>0.91196509999999997</v>
      </c>
      <c r="AB3466">
        <v>12</v>
      </c>
      <c r="AC3466">
        <v>-8.8870000000000005</v>
      </c>
      <c r="AD3466">
        <v>-1.1110973665399999</v>
      </c>
      <c r="AE3466">
        <v>-10.582899999999899</v>
      </c>
      <c r="AF3466">
        <v>-5.6430054774620002</v>
      </c>
      <c r="AG3466">
        <v>-1.1110973665399999</v>
      </c>
      <c r="AH3466">
        <v>12.517495459757599</v>
      </c>
      <c r="AI3466">
        <v>94.626343366909694</v>
      </c>
      <c r="AJ3466">
        <v>114.266302563124</v>
      </c>
      <c r="AK3466">
        <v>13.775548655558101</v>
      </c>
      <c r="AL3466">
        <v>91.693188942780495</v>
      </c>
      <c r="AM3466">
        <v>93.2477997721859</v>
      </c>
      <c r="AN3466">
        <v>0.99999997212787395</v>
      </c>
    </row>
    <row r="3467" spans="1:40" x14ac:dyDescent="0.25">
      <c r="A3467" t="str">
        <f>"20190312153952866"</f>
        <v>20190312153952866</v>
      </c>
      <c r="B3467" t="str">
        <f>"1552376392859187"</f>
        <v>1552376392859187</v>
      </c>
      <c r="C3467" t="s">
        <v>40</v>
      </c>
      <c r="D3467">
        <v>4.2521760000000004</v>
      </c>
      <c r="E3467">
        <v>0.35753190000000001</v>
      </c>
      <c r="F3467" t="s">
        <v>42</v>
      </c>
      <c r="G3467">
        <v>-491.54059999999998</v>
      </c>
      <c r="H3467" s="1">
        <v>-4.3540400000000004E-6</v>
      </c>
      <c r="I3467">
        <v>268.97829999999999</v>
      </c>
      <c r="J3467">
        <v>-482.72750000000002</v>
      </c>
      <c r="K3467">
        <v>1.1111070000000001</v>
      </c>
      <c r="L3467">
        <v>279.55579999999998</v>
      </c>
      <c r="M3467">
        <v>-0.89841369999999898</v>
      </c>
      <c r="N3467">
        <v>0</v>
      </c>
      <c r="O3467">
        <v>-0.4391369</v>
      </c>
      <c r="P3467">
        <v>-0.87147469999999905</v>
      </c>
      <c r="Q3467">
        <v>-3.3190989999999997E-2</v>
      </c>
      <c r="R3467">
        <v>-0.48931629999999998</v>
      </c>
      <c r="S3467">
        <v>-2.0599669999999999</v>
      </c>
      <c r="T3467">
        <v>-0.25702350000000002</v>
      </c>
      <c r="U3467">
        <v>-2.458771</v>
      </c>
      <c r="V3467">
        <v>-5.6750099999999998E-2</v>
      </c>
      <c r="W3467">
        <v>-3.011146E-2</v>
      </c>
      <c r="X3467">
        <v>0.99793419999999999</v>
      </c>
      <c r="Y3467">
        <v>-0.4066689</v>
      </c>
      <c r="Z3467">
        <v>1.9851299999999999E-2</v>
      </c>
      <c r="AA3467">
        <v>0.9133599</v>
      </c>
      <c r="AB3467">
        <v>12</v>
      </c>
      <c r="AC3467">
        <v>-8.8130999999999595</v>
      </c>
      <c r="AD3467">
        <v>-1.1111113540399999</v>
      </c>
      <c r="AE3467">
        <v>-10.577499999999899</v>
      </c>
      <c r="AF3467">
        <v>-5.5963968055757798</v>
      </c>
      <c r="AG3467">
        <v>-1.1111113540399999</v>
      </c>
      <c r="AH3467">
        <v>12.4815607298254</v>
      </c>
      <c r="AI3467">
        <v>94.643873756167494</v>
      </c>
      <c r="AJ3467">
        <v>114.150183667435</v>
      </c>
      <c r="AK3467">
        <v>13.723832697131501</v>
      </c>
      <c r="AL3467">
        <v>91.725520445463204</v>
      </c>
      <c r="AM3467">
        <v>93.254766623095804</v>
      </c>
      <c r="AN3467">
        <v>0.99999997070149005</v>
      </c>
    </row>
    <row r="3468" spans="1:40" x14ac:dyDescent="0.25">
      <c r="A3468" t="str">
        <f>"20190312153952877"</f>
        <v>20190312153952877</v>
      </c>
      <c r="B3468" t="str">
        <f>"1552376392868947"</f>
        <v>1552376392868947</v>
      </c>
      <c r="C3468" t="s">
        <v>40</v>
      </c>
      <c r="D3468">
        <v>4.2916280000000002</v>
      </c>
      <c r="E3468">
        <v>0.35773339999999998</v>
      </c>
      <c r="F3468" t="s">
        <v>42</v>
      </c>
      <c r="G3468">
        <v>-491.55970000000002</v>
      </c>
      <c r="H3468" s="1">
        <v>-4.3336140000000003E-6</v>
      </c>
      <c r="I3468">
        <v>268.9083</v>
      </c>
      <c r="J3468">
        <v>-482.7826</v>
      </c>
      <c r="K3468">
        <v>1.1111180000000001</v>
      </c>
      <c r="L3468">
        <v>279.5247</v>
      </c>
      <c r="M3468">
        <v>-0.89685789999999999</v>
      </c>
      <c r="N3468">
        <v>0</v>
      </c>
      <c r="O3468">
        <v>-0.44230740000000002</v>
      </c>
      <c r="P3468">
        <v>-0.86966259999999995</v>
      </c>
      <c r="Q3468">
        <v>-3.3286990000000002E-2</v>
      </c>
      <c r="R3468">
        <v>-0.4925233</v>
      </c>
      <c r="S3468">
        <v>-2.0470280000000001</v>
      </c>
      <c r="T3468">
        <v>-0.25752059999999999</v>
      </c>
      <c r="U3468">
        <v>-2.467743</v>
      </c>
      <c r="V3468">
        <v>-5.6898499999999998E-2</v>
      </c>
      <c r="W3468">
        <v>-3.0428699999999999E-2</v>
      </c>
      <c r="X3468">
        <v>0.99791620000000003</v>
      </c>
      <c r="Y3468">
        <v>-0.40791369999999999</v>
      </c>
      <c r="Z3468">
        <v>2.01275E-2</v>
      </c>
      <c r="AA3468">
        <v>0.91279860000000002</v>
      </c>
      <c r="AB3468">
        <v>12</v>
      </c>
      <c r="AC3468">
        <v>-8.7771000000000097</v>
      </c>
      <c r="AD3468">
        <v>-1.1111223336139999</v>
      </c>
      <c r="AE3468">
        <v>-10.616400000000001</v>
      </c>
      <c r="AF3468">
        <v>-5.6027992936221303</v>
      </c>
      <c r="AG3468">
        <v>-1.1111223336139999</v>
      </c>
      <c r="AH3468">
        <v>12.486343712044</v>
      </c>
      <c r="AI3468">
        <v>94.641559836456295</v>
      </c>
      <c r="AJ3468">
        <v>114.16644938989</v>
      </c>
      <c r="AK3468">
        <v>13.730795026515001</v>
      </c>
      <c r="AL3468">
        <v>91.743705165012699</v>
      </c>
      <c r="AM3468">
        <v>93.263318115319294</v>
      </c>
      <c r="AN3468">
        <v>1.00000004365418</v>
      </c>
    </row>
    <row r="3469" spans="1:40" x14ac:dyDescent="0.25">
      <c r="A3469" t="str">
        <f>"20190312153952888"</f>
        <v>20190312153952888</v>
      </c>
      <c r="B3469" t="str">
        <f>"1552376392878707"</f>
        <v>1552376392878707</v>
      </c>
      <c r="C3469" t="s">
        <v>40</v>
      </c>
      <c r="D3469">
        <v>4.2897669999999897</v>
      </c>
      <c r="E3469">
        <v>0.35795060000000001</v>
      </c>
      <c r="F3469" t="s">
        <v>42</v>
      </c>
      <c r="G3469">
        <v>-491.54109999999997</v>
      </c>
      <c r="H3469" s="1">
        <v>-4.3256079999999999E-6</v>
      </c>
      <c r="I3469">
        <v>268.89449999999999</v>
      </c>
      <c r="J3469">
        <v>-482.83580000000001</v>
      </c>
      <c r="K3469">
        <v>1.111132</v>
      </c>
      <c r="L3469">
        <v>279.49419999999998</v>
      </c>
      <c r="M3469">
        <v>-0.89534460000000005</v>
      </c>
      <c r="N3469">
        <v>0</v>
      </c>
      <c r="O3469">
        <v>-0.44536399999999998</v>
      </c>
      <c r="P3469">
        <v>-0.8679888</v>
      </c>
      <c r="Q3469">
        <v>-3.3713609999999998E-2</v>
      </c>
      <c r="R3469">
        <v>-0.49543799999999999</v>
      </c>
      <c r="S3469">
        <v>-2.0384829999999998</v>
      </c>
      <c r="T3469">
        <v>-0.25860480000000002</v>
      </c>
      <c r="U3469">
        <v>-2.474091</v>
      </c>
      <c r="V3469">
        <v>-5.6843619999999997E-2</v>
      </c>
      <c r="W3469">
        <v>-3.105929E-2</v>
      </c>
      <c r="X3469">
        <v>0.9978998</v>
      </c>
      <c r="Y3469">
        <v>-0.40783459999999999</v>
      </c>
      <c r="Z3469">
        <v>2.0490609999999999E-2</v>
      </c>
      <c r="AA3469">
        <v>0.91282589999999997</v>
      </c>
      <c r="AB3469">
        <v>12</v>
      </c>
      <c r="AC3469">
        <v>-8.7052999999999603</v>
      </c>
      <c r="AD3469">
        <v>-1.111136325608</v>
      </c>
      <c r="AE3469">
        <v>-10.599699999999901</v>
      </c>
      <c r="AF3469">
        <v>-5.5767849381346002</v>
      </c>
      <c r="AG3469">
        <v>-1.111136325608</v>
      </c>
      <c r="AH3469">
        <v>12.433430959598301</v>
      </c>
      <c r="AI3469">
        <v>94.661601091872797</v>
      </c>
      <c r="AJ3469">
        <v>114.157735021289</v>
      </c>
      <c r="AK3469">
        <v>13.6720649357509</v>
      </c>
      <c r="AL3469">
        <v>91.779852574634504</v>
      </c>
      <c r="AM3469">
        <v>93.260230821507506</v>
      </c>
      <c r="AN3469">
        <v>0.99999994373502199</v>
      </c>
    </row>
    <row r="3470" spans="1:40" x14ac:dyDescent="0.25">
      <c r="A3470" t="str">
        <f>"20190312153952900"</f>
        <v>20190312153952900</v>
      </c>
      <c r="B3470" t="str">
        <f>"1552376392889442"</f>
        <v>1552376392889442</v>
      </c>
      <c r="C3470" t="s">
        <v>40</v>
      </c>
      <c r="D3470">
        <v>4.2612880000000004</v>
      </c>
      <c r="E3470">
        <v>0.35795060000000001</v>
      </c>
      <c r="F3470" t="s">
        <v>42</v>
      </c>
      <c r="G3470">
        <v>-491.51179999999999</v>
      </c>
      <c r="H3470" s="1">
        <v>-4.3230239999999998E-6</v>
      </c>
      <c r="I3470">
        <v>268.90219999999999</v>
      </c>
      <c r="J3470">
        <v>-482.887</v>
      </c>
      <c r="K3470">
        <v>1.1111500000000001</v>
      </c>
      <c r="L3470">
        <v>279.46480000000003</v>
      </c>
      <c r="M3470">
        <v>-0.89387640000000002</v>
      </c>
      <c r="N3470">
        <v>0</v>
      </c>
      <c r="O3470">
        <v>-0.44830500000000001</v>
      </c>
      <c r="P3470">
        <v>-0.86637929999999996</v>
      </c>
      <c r="Q3470">
        <v>-3.4156289999999999E-2</v>
      </c>
      <c r="R3470">
        <v>-0.49821739999999998</v>
      </c>
      <c r="S3470">
        <v>-2.0309140000000001</v>
      </c>
      <c r="T3470">
        <v>-0.2601001</v>
      </c>
      <c r="U3470">
        <v>-2.4794309999999999</v>
      </c>
      <c r="V3470">
        <v>-5.6762550000000002E-2</v>
      </c>
      <c r="W3470">
        <v>-3.1696219999999997E-2</v>
      </c>
      <c r="X3470">
        <v>0.99788449999999995</v>
      </c>
      <c r="Y3470">
        <v>-0.40747280000000002</v>
      </c>
      <c r="Z3470">
        <v>2.0891400000000001E-2</v>
      </c>
      <c r="AA3470">
        <v>0.91297839999999997</v>
      </c>
      <c r="AB3470">
        <v>12</v>
      </c>
      <c r="AC3470">
        <v>-8.6248000000000502</v>
      </c>
      <c r="AD3470">
        <v>-1.111154323024</v>
      </c>
      <c r="AE3470">
        <v>-10.5626</v>
      </c>
      <c r="AF3470">
        <v>-5.5383667909773902</v>
      </c>
      <c r="AG3470">
        <v>-1.111154323024</v>
      </c>
      <c r="AH3470">
        <v>12.3627357887397</v>
      </c>
      <c r="AI3470">
        <v>94.689160665709295</v>
      </c>
      <c r="AJ3470">
        <v>114.131843679534</v>
      </c>
      <c r="AK3470">
        <v>13.592108255276701</v>
      </c>
      <c r="AL3470">
        <v>91.816363751772201</v>
      </c>
      <c r="AM3470">
        <v>93.255640919067403</v>
      </c>
      <c r="AN3470">
        <v>1.00000005639251</v>
      </c>
    </row>
    <row r="3471" spans="1:40" x14ac:dyDescent="0.25">
      <c r="A3471" t="str">
        <f>"20190312153952910"</f>
        <v>20190312153952910</v>
      </c>
      <c r="B3471" t="str">
        <f>"1552376392899203"</f>
        <v>1552376392899203</v>
      </c>
      <c r="C3471" t="s">
        <v>40</v>
      </c>
      <c r="D3471">
        <v>4.6079819999999998</v>
      </c>
      <c r="E3471">
        <v>0.36909160000000002</v>
      </c>
      <c r="F3471" t="s">
        <v>42</v>
      </c>
      <c r="G3471">
        <v>-491.49740000000003</v>
      </c>
      <c r="H3471" s="1">
        <v>-4.3138159999999997E-6</v>
      </c>
      <c r="I3471">
        <v>268.88260000000002</v>
      </c>
      <c r="J3471">
        <v>-482.94009999999997</v>
      </c>
      <c r="K3471">
        <v>1.111165</v>
      </c>
      <c r="L3471">
        <v>279.43400000000003</v>
      </c>
      <c r="M3471">
        <v>-0.892345099999999</v>
      </c>
      <c r="N3471">
        <v>0</v>
      </c>
      <c r="O3471">
        <v>-0.45134629999999998</v>
      </c>
      <c r="P3471">
        <v>-0.86462559999999999</v>
      </c>
      <c r="Q3471">
        <v>-3.447033E-2</v>
      </c>
      <c r="R3471">
        <v>-0.50123300000000004</v>
      </c>
      <c r="S3471">
        <v>-2.0227970000000002</v>
      </c>
      <c r="T3471">
        <v>-0.26103929999999997</v>
      </c>
      <c r="U3471">
        <v>-2.4860229999999999</v>
      </c>
      <c r="V3471">
        <v>-5.6841559999999999E-2</v>
      </c>
      <c r="W3471">
        <v>-3.220344E-2</v>
      </c>
      <c r="X3471">
        <v>0.99786370000000002</v>
      </c>
      <c r="Y3471">
        <v>-0.4073505</v>
      </c>
      <c r="Z3471">
        <v>2.1245380000000001E-2</v>
      </c>
      <c r="AA3471">
        <v>0.91302479999999997</v>
      </c>
      <c r="AB3471">
        <v>13</v>
      </c>
      <c r="AC3471">
        <v>-8.5573000000000494</v>
      </c>
      <c r="AD3471">
        <v>-1.1111693138159999</v>
      </c>
      <c r="AE3471">
        <v>-10.551399999999999</v>
      </c>
      <c r="AF3471">
        <v>-5.5162992263418502</v>
      </c>
      <c r="AG3471">
        <v>-1.1111693138159999</v>
      </c>
      <c r="AH3471">
        <v>12.3160478510478</v>
      </c>
      <c r="AI3471">
        <v>94.7070834408064</v>
      </c>
      <c r="AJ3471">
        <v>114.127380481073</v>
      </c>
      <c r="AK3471">
        <v>13.5406531994511</v>
      </c>
      <c r="AL3471">
        <v>91.845440274928905</v>
      </c>
      <c r="AM3471">
        <v>93.260230613951705</v>
      </c>
      <c r="AN3471">
        <v>0.99999999413437801</v>
      </c>
    </row>
    <row r="3472" spans="1:40" x14ac:dyDescent="0.25">
      <c r="A3472" t="str">
        <f>"20190312153952922"</f>
        <v>20190312153952922</v>
      </c>
      <c r="B3472" t="str">
        <f>"1552376392918722"</f>
        <v>1552376392918722</v>
      </c>
      <c r="C3472" t="s">
        <v>40</v>
      </c>
      <c r="D3472">
        <v>4.4483389999999998</v>
      </c>
      <c r="E3472">
        <v>0.37074069999999998</v>
      </c>
      <c r="F3472" t="s">
        <v>54</v>
      </c>
      <c r="G3472">
        <v>-491.29300000000001</v>
      </c>
      <c r="H3472" s="1">
        <v>3.0619099999999998E-9</v>
      </c>
      <c r="I3472">
        <v>269.625</v>
      </c>
      <c r="J3472">
        <v>-482.99709999999999</v>
      </c>
      <c r="K3472">
        <v>1.1111839999999999</v>
      </c>
      <c r="L3472">
        <v>279.4006</v>
      </c>
      <c r="M3472">
        <v>-0.89068619999999898</v>
      </c>
      <c r="N3472">
        <v>0</v>
      </c>
      <c r="O3472">
        <v>-0.45461230000000002</v>
      </c>
      <c r="P3472">
        <v>-0.86284910000000004</v>
      </c>
      <c r="Q3472">
        <v>-3.4759659999999998E-2</v>
      </c>
      <c r="R3472">
        <v>-0.50426510000000002</v>
      </c>
      <c r="S3472">
        <v>-2.0578609999999999</v>
      </c>
      <c r="T3472">
        <v>-0.27374979999999999</v>
      </c>
      <c r="U3472">
        <v>-2.4165649999999999</v>
      </c>
      <c r="V3472">
        <v>-5.6687439999999999E-2</v>
      </c>
      <c r="W3472">
        <v>-3.2693560000000003E-2</v>
      </c>
      <c r="X3472">
        <v>0.99785659999999998</v>
      </c>
      <c r="Y3472">
        <v>-0.38352180000000002</v>
      </c>
      <c r="Z3472">
        <v>2.3839329999999999E-2</v>
      </c>
      <c r="AA3472">
        <v>0.92322409999999999</v>
      </c>
      <c r="AB3472">
        <v>13</v>
      </c>
      <c r="AC3472">
        <v>-8.2959000000000103</v>
      </c>
      <c r="AD3472">
        <v>-1.1111839969380899</v>
      </c>
      <c r="AE3472">
        <v>-9.7755999999999901</v>
      </c>
      <c r="AF3472">
        <v>-4.8987920282509299</v>
      </c>
      <c r="AG3472">
        <v>-1.1111839969380899</v>
      </c>
      <c r="AH3472">
        <v>11.7449664147332</v>
      </c>
      <c r="AI3472">
        <v>94.990317710681893</v>
      </c>
      <c r="AJ3472">
        <v>112.64087800393099</v>
      </c>
      <c r="AK3472">
        <v>12.7740803698081</v>
      </c>
      <c r="AL3472">
        <v>91.873536746486096</v>
      </c>
      <c r="AM3472">
        <v>93.251432912806294</v>
      </c>
      <c r="AN3472">
        <v>1.00000006444139</v>
      </c>
    </row>
    <row r="3473" spans="1:40" x14ac:dyDescent="0.25">
      <c r="A3473" t="str">
        <f>"20190312153952935"</f>
        <v>20190312153952935</v>
      </c>
      <c r="B3473" t="str">
        <f>"1552376392929458"</f>
        <v>1552376392929458</v>
      </c>
      <c r="C3473" t="s">
        <v>40</v>
      </c>
      <c r="D3473">
        <v>4.3040219999999998</v>
      </c>
      <c r="E3473">
        <v>0.37083169999999999</v>
      </c>
      <c r="F3473" t="s">
        <v>42</v>
      </c>
      <c r="G3473">
        <v>-491.59829999999999</v>
      </c>
      <c r="H3473" s="1">
        <v>-4.4779010000000002E-6</v>
      </c>
      <c r="I3473">
        <v>269.31220000000002</v>
      </c>
      <c r="J3473">
        <v>-483.05930000000001</v>
      </c>
      <c r="K3473">
        <v>1.1112059999999999</v>
      </c>
      <c r="L3473">
        <v>279.36399999999998</v>
      </c>
      <c r="M3473">
        <v>-0.88886509999999996</v>
      </c>
      <c r="N3473">
        <v>0</v>
      </c>
      <c r="O3473">
        <v>-0.45816420000000002</v>
      </c>
      <c r="P3473">
        <v>-0.86093399999999998</v>
      </c>
      <c r="Q3473">
        <v>-3.483406E-2</v>
      </c>
      <c r="R3473">
        <v>-0.50752299999999995</v>
      </c>
      <c r="S3473">
        <v>-2.0565190000000002</v>
      </c>
      <c r="T3473">
        <v>-0.26568249999999999</v>
      </c>
      <c r="U3473">
        <v>-2.4121090000000001</v>
      </c>
      <c r="V3473">
        <v>-5.6472799999999997E-2</v>
      </c>
      <c r="W3473">
        <v>-3.2978529999999999E-2</v>
      </c>
      <c r="X3473">
        <v>0.9978593</v>
      </c>
      <c r="Y3473">
        <v>-0.37930180000000002</v>
      </c>
      <c r="Z3473">
        <v>2.3674339999999999E-2</v>
      </c>
      <c r="AA3473">
        <v>0.92497010000000002</v>
      </c>
      <c r="AB3473">
        <v>13</v>
      </c>
      <c r="AC3473">
        <v>-8.5389999999999802</v>
      </c>
      <c r="AD3473">
        <v>-1.1112104779009999</v>
      </c>
      <c r="AE3473">
        <v>-10.0518</v>
      </c>
      <c r="AF3473">
        <v>-4.9870411643937</v>
      </c>
      <c r="AG3473">
        <v>-1.1112104779009999</v>
      </c>
      <c r="AH3473">
        <v>12.1094630595046</v>
      </c>
      <c r="AI3473">
        <v>94.849931971088594</v>
      </c>
      <c r="AJ3473">
        <v>112.383337725689</v>
      </c>
      <c r="AK3473">
        <v>13.1432288228982</v>
      </c>
      <c r="AL3473">
        <v>91.889873308688706</v>
      </c>
      <c r="AM3473">
        <v>93.239139281717897</v>
      </c>
      <c r="AN3473">
        <v>0.99999997158864495</v>
      </c>
    </row>
    <row r="3474" spans="1:40" x14ac:dyDescent="0.25">
      <c r="A3474" t="str">
        <f>"20190312153952947"</f>
        <v>20190312153952947</v>
      </c>
      <c r="B3474" t="str">
        <f>"1552376392939218"</f>
        <v>1552376392939218</v>
      </c>
      <c r="C3474" t="s">
        <v>40</v>
      </c>
      <c r="D3474">
        <v>4.3113270000000004</v>
      </c>
      <c r="E3474">
        <v>0.37091980000000002</v>
      </c>
      <c r="F3474" t="s">
        <v>42</v>
      </c>
      <c r="G3474">
        <v>-491.51229999999998</v>
      </c>
      <c r="H3474" s="1">
        <v>-4.4842859999999996E-6</v>
      </c>
      <c r="I3474">
        <v>269.37580000000003</v>
      </c>
      <c r="J3474">
        <v>-483.11759999999998</v>
      </c>
      <c r="K3474">
        <v>1.111226</v>
      </c>
      <c r="L3474">
        <v>279.32920000000001</v>
      </c>
      <c r="M3474">
        <v>-0.88714139999999997</v>
      </c>
      <c r="N3474">
        <v>0</v>
      </c>
      <c r="O3474">
        <v>-0.4614935</v>
      </c>
      <c r="P3474">
        <v>-0.85903909999999895</v>
      </c>
      <c r="Q3474">
        <v>-3.5029900000000003E-2</v>
      </c>
      <c r="R3474">
        <v>-0.51071080000000002</v>
      </c>
      <c r="S3474">
        <v>-2.047485</v>
      </c>
      <c r="T3474">
        <v>-0.26915729999999999</v>
      </c>
      <c r="U3474">
        <v>-2.4193419999999999</v>
      </c>
      <c r="V3474">
        <v>-5.6427360000000003E-2</v>
      </c>
      <c r="W3474">
        <v>-3.3361960000000003E-2</v>
      </c>
      <c r="X3474">
        <v>0.99784919999999999</v>
      </c>
      <c r="Y3474">
        <v>-0.3792219</v>
      </c>
      <c r="Z3474">
        <v>2.4299250000000001E-2</v>
      </c>
      <c r="AA3474">
        <v>0.92498659999999999</v>
      </c>
      <c r="AB3474">
        <v>13</v>
      </c>
      <c r="AC3474">
        <v>-8.3947000000000003</v>
      </c>
      <c r="AD3474">
        <v>-1.1112304842859999</v>
      </c>
      <c r="AE3474">
        <v>-9.9533999999999807</v>
      </c>
      <c r="AF3474">
        <v>-4.9201480332278598</v>
      </c>
      <c r="AG3474">
        <v>-1.1112304842859999</v>
      </c>
      <c r="AH3474">
        <v>11.953675511589999</v>
      </c>
      <c r="AI3474">
        <v>94.913313683408404</v>
      </c>
      <c r="AJ3474">
        <v>112.37212798205</v>
      </c>
      <c r="AK3474">
        <v>12.9743226449194</v>
      </c>
      <c r="AL3474">
        <v>91.911854182456096</v>
      </c>
      <c r="AM3474">
        <v>93.236571189317601</v>
      </c>
      <c r="AN3474">
        <v>1.0000000466361201</v>
      </c>
    </row>
    <row r="3475" spans="1:40" x14ac:dyDescent="0.25">
      <c r="A3475" t="str">
        <f>"20190312153952967"</f>
        <v>20190312153952967</v>
      </c>
      <c r="B3475" t="str">
        <f>"1552376392958738"</f>
        <v>1552376392958738</v>
      </c>
      <c r="C3475" t="s">
        <v>40</v>
      </c>
      <c r="D3475">
        <v>4.3107309999999996</v>
      </c>
      <c r="E3475">
        <v>0.37163550000000001</v>
      </c>
      <c r="F3475" t="s">
        <v>42</v>
      </c>
      <c r="G3475">
        <v>-491.48160000000001</v>
      </c>
      <c r="H3475" s="1">
        <v>-4.479698E-6</v>
      </c>
      <c r="I3475">
        <v>269.37830000000002</v>
      </c>
      <c r="J3475">
        <v>-483.21440000000001</v>
      </c>
      <c r="K3475">
        <v>1.1112649999999999</v>
      </c>
      <c r="L3475">
        <v>279.27109999999999</v>
      </c>
      <c r="M3475">
        <v>-0.88425370000000003</v>
      </c>
      <c r="N3475">
        <v>0</v>
      </c>
      <c r="O3475">
        <v>-0.46700360000000002</v>
      </c>
      <c r="P3475">
        <v>-0.85597369999999995</v>
      </c>
      <c r="Q3475">
        <v>-3.53085E-2</v>
      </c>
      <c r="R3475">
        <v>-0.51581220000000005</v>
      </c>
      <c r="S3475">
        <v>-2.0390320000000002</v>
      </c>
      <c r="T3475">
        <v>-0.27090360000000002</v>
      </c>
      <c r="U3475">
        <v>-2.4259029999999999</v>
      </c>
      <c r="V3475">
        <v>-5.6152670000000002E-2</v>
      </c>
      <c r="W3475">
        <v>-3.3936139999999997E-2</v>
      </c>
      <c r="X3475">
        <v>0.99784530000000005</v>
      </c>
      <c r="Y3475">
        <v>-0.3766099</v>
      </c>
      <c r="Z3475">
        <v>2.5088240000000001E-2</v>
      </c>
      <c r="AA3475">
        <v>0.92603219999999997</v>
      </c>
      <c r="AB3475">
        <v>13</v>
      </c>
      <c r="AC3475">
        <v>-8.2672000000000008</v>
      </c>
      <c r="AD3475">
        <v>-1.1112694796980001</v>
      </c>
      <c r="AE3475">
        <v>-9.8927999999999603</v>
      </c>
      <c r="AF3475">
        <v>-4.8508995484978499</v>
      </c>
      <c r="AG3475">
        <v>-1.1112694796980001</v>
      </c>
      <c r="AH3475">
        <v>11.8423087532049</v>
      </c>
      <c r="AI3475">
        <v>94.962891748857004</v>
      </c>
      <c r="AJ3475">
        <v>112.27520725516599</v>
      </c>
      <c r="AK3475">
        <v>12.8454825869781</v>
      </c>
      <c r="AL3475">
        <v>91.944770977237397</v>
      </c>
      <c r="AM3475">
        <v>93.220861282841</v>
      </c>
      <c r="AN3475">
        <v>1.00000001333915</v>
      </c>
    </row>
    <row r="3476" spans="1:40" x14ac:dyDescent="0.25">
      <c r="A3476" t="str">
        <f>"20190312153952980"</f>
        <v>20190312153952980</v>
      </c>
      <c r="B3476" t="str">
        <f>"1552376392969475"</f>
        <v>1552376392969475</v>
      </c>
      <c r="C3476" t="s">
        <v>40</v>
      </c>
      <c r="D3476">
        <v>4.3104879999999897</v>
      </c>
      <c r="E3476">
        <v>0.37184699999999998</v>
      </c>
      <c r="F3476" t="s">
        <v>42</v>
      </c>
      <c r="G3476">
        <v>-491.50450000000001</v>
      </c>
      <c r="H3476" s="1">
        <v>-4.4647359999999999E-6</v>
      </c>
      <c r="I3476">
        <v>269.32240000000002</v>
      </c>
      <c r="J3476">
        <v>-483.28019999999998</v>
      </c>
      <c r="K3476">
        <v>1.1112899999999999</v>
      </c>
      <c r="L3476">
        <v>279.23110000000003</v>
      </c>
      <c r="M3476">
        <v>-0.88227040000000001</v>
      </c>
      <c r="N3476">
        <v>0</v>
      </c>
      <c r="O3476">
        <v>-0.47074060000000001</v>
      </c>
      <c r="P3476">
        <v>-0.85391249999999996</v>
      </c>
      <c r="Q3476">
        <v>-3.5169489999999998E-2</v>
      </c>
      <c r="R3476">
        <v>-0.51922729999999995</v>
      </c>
      <c r="S3476">
        <v>-2.0274049999999999</v>
      </c>
      <c r="T3476">
        <v>-0.27176939999999999</v>
      </c>
      <c r="U3476">
        <v>-2.433014</v>
      </c>
      <c r="V3476">
        <v>-5.5909439999999998E-2</v>
      </c>
      <c r="W3476">
        <v>-3.3987049999999998E-2</v>
      </c>
      <c r="X3476">
        <v>0.9978572</v>
      </c>
      <c r="Y3476">
        <v>-0.3766429</v>
      </c>
      <c r="Z3476">
        <v>2.5535510000000001E-2</v>
      </c>
      <c r="AA3476">
        <v>0.92600649999999995</v>
      </c>
      <c r="AB3476">
        <v>13</v>
      </c>
      <c r="AC3476">
        <v>-8.2243000000000208</v>
      </c>
      <c r="AD3476">
        <v>-1.1112944647359999</v>
      </c>
      <c r="AE3476">
        <v>-9.9087000000000103</v>
      </c>
      <c r="AF3476">
        <v>-4.83463965691449</v>
      </c>
      <c r="AG3476">
        <v>-1.1112944647359999</v>
      </c>
      <c r="AH3476">
        <v>11.832374073178901</v>
      </c>
      <c r="AI3476">
        <v>94.968933737221704</v>
      </c>
      <c r="AJ3476">
        <v>112.224641079704</v>
      </c>
      <c r="AK3476">
        <v>12.8301906535795</v>
      </c>
      <c r="AL3476">
        <v>91.947689637715797</v>
      </c>
      <c r="AM3476">
        <v>93.206900870478407</v>
      </c>
      <c r="AN3476">
        <v>0.99999998832032699</v>
      </c>
    </row>
    <row r="3477" spans="1:40" x14ac:dyDescent="0.25">
      <c r="A3477" t="str">
        <f>"20190312153952992"</f>
        <v>20190312153952992</v>
      </c>
      <c r="B3477" t="str">
        <f>"1552376392988995"</f>
        <v>1552376392988995</v>
      </c>
      <c r="C3477" t="s">
        <v>40</v>
      </c>
      <c r="D3477">
        <v>4.3093839999999997</v>
      </c>
      <c r="E3477">
        <v>0.37217250000000002</v>
      </c>
      <c r="F3477" t="s">
        <v>42</v>
      </c>
      <c r="G3477">
        <v>-491.5659</v>
      </c>
      <c r="H3477" s="1">
        <v>-4.4394950000000001E-6</v>
      </c>
      <c r="I3477">
        <v>269.21620000000001</v>
      </c>
      <c r="J3477">
        <v>-483.34800000000001</v>
      </c>
      <c r="K3477">
        <v>1.1113189999999999</v>
      </c>
      <c r="L3477">
        <v>279.18950000000001</v>
      </c>
      <c r="M3477">
        <v>-0.8802046</v>
      </c>
      <c r="N3477">
        <v>0</v>
      </c>
      <c r="O3477">
        <v>-0.47459279999999998</v>
      </c>
      <c r="P3477">
        <v>-0.85164549999999895</v>
      </c>
      <c r="Q3477">
        <v>-3.5352399999999999E-2</v>
      </c>
      <c r="R3477">
        <v>-0.52292519999999998</v>
      </c>
      <c r="S3477">
        <v>-2.0185849999999999</v>
      </c>
      <c r="T3477">
        <v>-0.27073609999999998</v>
      </c>
      <c r="U3477">
        <v>-2.4398499999999999</v>
      </c>
      <c r="V3477">
        <v>-5.5871619999999997E-2</v>
      </c>
      <c r="W3477">
        <v>-3.4354229999999999E-2</v>
      </c>
      <c r="X3477">
        <v>0.99784680000000003</v>
      </c>
      <c r="Y3477">
        <v>-0.37586599999999998</v>
      </c>
      <c r="Z3477">
        <v>2.5837369999999998E-2</v>
      </c>
      <c r="AA3477">
        <v>0.92631379999999996</v>
      </c>
      <c r="AB3477">
        <v>13</v>
      </c>
      <c r="AC3477">
        <v>-8.2178999999999807</v>
      </c>
      <c r="AD3477">
        <v>-1.111323439495</v>
      </c>
      <c r="AE3477">
        <v>-9.9732999999999894</v>
      </c>
      <c r="AF3477">
        <v>-4.8425791988813103</v>
      </c>
      <c r="AG3477">
        <v>-1.111323439495</v>
      </c>
      <c r="AH3477">
        <v>11.878849844789499</v>
      </c>
      <c r="AI3477">
        <v>94.951321185617701</v>
      </c>
      <c r="AJ3477">
        <v>112.178952527595</v>
      </c>
      <c r="AK3477">
        <v>12.876050897680701</v>
      </c>
      <c r="AL3477">
        <v>91.968739686434205</v>
      </c>
      <c r="AM3477">
        <v>93.204769413723696</v>
      </c>
      <c r="AN3477">
        <v>1.0000000436552701</v>
      </c>
    </row>
    <row r="3478" spans="1:40" x14ac:dyDescent="0.25">
      <c r="A3478" t="str">
        <f>"20190312153953005"</f>
        <v>20190312153953005</v>
      </c>
      <c r="B3478" t="str">
        <f>"1552376392999732"</f>
        <v>1552376392999732</v>
      </c>
      <c r="C3478" t="s">
        <v>40</v>
      </c>
      <c r="D3478">
        <v>4.31508</v>
      </c>
      <c r="E3478">
        <v>0.3725328</v>
      </c>
      <c r="F3478" t="s">
        <v>42</v>
      </c>
      <c r="G3478">
        <v>-491.65019999999998</v>
      </c>
      <c r="H3478" s="1">
        <v>-4.4090310000000003E-6</v>
      </c>
      <c r="I3478">
        <v>269.08280000000002</v>
      </c>
      <c r="J3478">
        <v>-483.40929999999997</v>
      </c>
      <c r="K3478">
        <v>1.1113489999999999</v>
      </c>
      <c r="L3478">
        <v>279.15140000000002</v>
      </c>
      <c r="M3478">
        <v>-0.87832060000000001</v>
      </c>
      <c r="N3478">
        <v>0</v>
      </c>
      <c r="O3478">
        <v>-0.47807060000000001</v>
      </c>
      <c r="P3478">
        <v>-0.84952209999999995</v>
      </c>
      <c r="Q3478">
        <v>-3.5454470000000002E-2</v>
      </c>
      <c r="R3478">
        <v>-0.5263603</v>
      </c>
      <c r="S3478">
        <v>-2.0093990000000002</v>
      </c>
      <c r="T3478">
        <v>-0.26897510000000002</v>
      </c>
      <c r="U3478">
        <v>-2.4461360000000001</v>
      </c>
      <c r="V3478">
        <v>-5.5951519999999998E-2</v>
      </c>
      <c r="W3478">
        <v>-3.4614260000000001E-2</v>
      </c>
      <c r="X3478">
        <v>0.99783330000000003</v>
      </c>
      <c r="Y3478">
        <v>-0.37545230000000002</v>
      </c>
      <c r="Z3478">
        <v>2.6021119999999998E-2</v>
      </c>
      <c r="AA3478">
        <v>0.92647639999999998</v>
      </c>
      <c r="AB3478">
        <v>13</v>
      </c>
      <c r="AC3478">
        <v>-8.2408999999999999</v>
      </c>
      <c r="AD3478">
        <v>-1.111353409031</v>
      </c>
      <c r="AE3478">
        <v>-10.0686</v>
      </c>
      <c r="AF3478">
        <v>-4.8682125815503801</v>
      </c>
      <c r="AG3478">
        <v>-1.111353409031</v>
      </c>
      <c r="AH3478">
        <v>11.964372321520999</v>
      </c>
      <c r="AI3478">
        <v>94.917553396621003</v>
      </c>
      <c r="AJ3478">
        <v>112.14103573063601</v>
      </c>
      <c r="AK3478">
        <v>12.9645981498428</v>
      </c>
      <c r="AL3478">
        <v>91.983647246292904</v>
      </c>
      <c r="AM3478">
        <v>93.209386195565997</v>
      </c>
      <c r="AN3478">
        <v>1.0000000070872701</v>
      </c>
    </row>
    <row r="3479" spans="1:40" x14ac:dyDescent="0.25">
      <c r="A3479" t="str">
        <f>"20190312153953018"</f>
        <v>20190312153953018</v>
      </c>
      <c r="B3479" t="str">
        <f>"1552376393009491"</f>
        <v>1552376393009491</v>
      </c>
      <c r="C3479" t="s">
        <v>40</v>
      </c>
      <c r="D3479">
        <v>4.3322059999999896</v>
      </c>
      <c r="E3479">
        <v>0.37296170000000001</v>
      </c>
      <c r="F3479" t="s">
        <v>42</v>
      </c>
      <c r="G3479">
        <v>-491.6318</v>
      </c>
      <c r="H3479" s="1">
        <v>-4.4029099999999997E-6</v>
      </c>
      <c r="I3479">
        <v>269.07429999999999</v>
      </c>
      <c r="J3479">
        <v>-483.4744</v>
      </c>
      <c r="K3479">
        <v>1.1113759999999999</v>
      </c>
      <c r="L3479">
        <v>279.11079999999998</v>
      </c>
      <c r="M3479">
        <v>-0.87630599999999903</v>
      </c>
      <c r="N3479">
        <v>0</v>
      </c>
      <c r="O3479">
        <v>-0.48175380000000001</v>
      </c>
      <c r="P3479">
        <v>-0.84732809999999903</v>
      </c>
      <c r="Q3479">
        <v>-3.5662079999999999E-2</v>
      </c>
      <c r="R3479">
        <v>-0.52987139999999999</v>
      </c>
      <c r="S3479">
        <v>-2.0007929999999998</v>
      </c>
      <c r="T3479">
        <v>-0.27042579999999999</v>
      </c>
      <c r="U3479">
        <v>-2.4520569999999999</v>
      </c>
      <c r="V3479">
        <v>-5.588895E-2</v>
      </c>
      <c r="W3479">
        <v>-3.4982720000000002E-2</v>
      </c>
      <c r="X3479">
        <v>0.99782400000000004</v>
      </c>
      <c r="Y3479">
        <v>-0.37462289999999998</v>
      </c>
      <c r="Z3479">
        <v>2.6549949999999999E-2</v>
      </c>
      <c r="AA3479">
        <v>0.92679699999999998</v>
      </c>
      <c r="AB3479">
        <v>14</v>
      </c>
      <c r="AC3479">
        <v>-8.1573999999999902</v>
      </c>
      <c r="AD3479">
        <v>-1.1113804029099901</v>
      </c>
      <c r="AE3479">
        <v>-10.036499999999901</v>
      </c>
      <c r="AF3479">
        <v>-4.8295277618004304</v>
      </c>
      <c r="AG3479">
        <v>-1.1113804029099901</v>
      </c>
      <c r="AH3479">
        <v>11.8956685623398</v>
      </c>
      <c r="AI3479">
        <v>94.947482586167695</v>
      </c>
      <c r="AJ3479">
        <v>112.096682414029</v>
      </c>
      <c r="AK3479">
        <v>12.8866766602958</v>
      </c>
      <c r="AL3479">
        <v>92.004771156476096</v>
      </c>
      <c r="AM3479">
        <v>93.205834479247201</v>
      </c>
      <c r="AN3479">
        <v>1.0000000502033399</v>
      </c>
    </row>
    <row r="3480" spans="1:40" x14ac:dyDescent="0.25">
      <c r="A3480" t="str">
        <f>"20190312153953030"</f>
        <v>20190312153953030</v>
      </c>
      <c r="B3480" t="str">
        <f>"1552376393019251"</f>
        <v>1552376393019251</v>
      </c>
      <c r="C3480" t="s">
        <v>40</v>
      </c>
      <c r="D3480">
        <v>4.2952890000000004</v>
      </c>
      <c r="E3480">
        <v>0.37332330000000002</v>
      </c>
      <c r="F3480" t="s">
        <v>42</v>
      </c>
      <c r="G3480">
        <v>-491.61770000000001</v>
      </c>
      <c r="H3480" s="1">
        <v>-4.3978249999999997E-6</v>
      </c>
      <c r="I3480">
        <v>269.0668</v>
      </c>
      <c r="J3480">
        <v>-483.54230000000001</v>
      </c>
      <c r="K3480">
        <v>1.1114090000000001</v>
      </c>
      <c r="L3480">
        <v>279.06790000000001</v>
      </c>
      <c r="M3480">
        <v>-0.8741814</v>
      </c>
      <c r="N3480">
        <v>0</v>
      </c>
      <c r="O3480">
        <v>-0.48559869999999999</v>
      </c>
      <c r="P3480">
        <v>-0.84500229999999998</v>
      </c>
      <c r="Q3480">
        <v>-3.5328699999999998E-2</v>
      </c>
      <c r="R3480">
        <v>-0.53359440000000002</v>
      </c>
      <c r="S3480">
        <v>-1.9923709999999999</v>
      </c>
      <c r="T3480">
        <v>-0.27191189999999998</v>
      </c>
      <c r="U3480">
        <v>-2.4573969999999998</v>
      </c>
      <c r="V3480">
        <v>-5.5886930000000001E-2</v>
      </c>
      <c r="W3480">
        <v>-3.4802630000000001E-2</v>
      </c>
      <c r="X3480">
        <v>0.99783029999999995</v>
      </c>
      <c r="Y3480">
        <v>-0.3734672</v>
      </c>
      <c r="Z3480">
        <v>2.7118389999999999E-2</v>
      </c>
      <c r="AA3480">
        <v>0.92724689999999999</v>
      </c>
      <c r="AB3480">
        <v>14</v>
      </c>
      <c r="AC3480">
        <v>-8.0754000000000001</v>
      </c>
      <c r="AD3480">
        <v>-1.111413397825</v>
      </c>
      <c r="AE3480">
        <v>-10.001099999999999</v>
      </c>
      <c r="AF3480">
        <v>-4.7855980691353501</v>
      </c>
      <c r="AG3480">
        <v>-1.111413397825</v>
      </c>
      <c r="AH3480">
        <v>11.8274717190472</v>
      </c>
      <c r="AI3480">
        <v>94.978381254411005</v>
      </c>
      <c r="AJ3480">
        <v>112.029100974256</v>
      </c>
      <c r="AK3480">
        <v>12.8072743347302</v>
      </c>
      <c r="AL3480">
        <v>91.994446693274099</v>
      </c>
      <c r="AM3480">
        <v>93.205698654382203</v>
      </c>
      <c r="AN3480">
        <v>0.99999993979891399</v>
      </c>
    </row>
    <row r="3481" spans="1:40" x14ac:dyDescent="0.25">
      <c r="A3481" t="str">
        <f>"20190312153953045"</f>
        <v>20190312153953045</v>
      </c>
      <c r="B3481" t="str">
        <f>"1552376393038771"</f>
        <v>1552376393038771</v>
      </c>
      <c r="C3481" t="s">
        <v>40</v>
      </c>
      <c r="D3481">
        <v>4.2943709999999999</v>
      </c>
      <c r="E3481">
        <v>0.37410549999999998</v>
      </c>
      <c r="F3481" t="s">
        <v>42</v>
      </c>
      <c r="G3481">
        <v>-491.7011</v>
      </c>
      <c r="H3481" s="1">
        <v>-4.3673630000000004E-6</v>
      </c>
      <c r="I3481">
        <v>268.93380000000002</v>
      </c>
      <c r="J3481">
        <v>-483.61369999999999</v>
      </c>
      <c r="K3481">
        <v>1.1114520000000001</v>
      </c>
      <c r="L3481">
        <v>279.0224</v>
      </c>
      <c r="M3481">
        <v>-0.8719268</v>
      </c>
      <c r="N3481">
        <v>0</v>
      </c>
      <c r="O3481">
        <v>-0.48963580000000001</v>
      </c>
      <c r="P3481">
        <v>-0.84276030000000002</v>
      </c>
      <c r="Q3481">
        <v>-3.484172E-2</v>
      </c>
      <c r="R3481">
        <v>-0.53716059999999999</v>
      </c>
      <c r="S3481">
        <v>-1.983368</v>
      </c>
      <c r="T3481">
        <v>-0.27017960000000002</v>
      </c>
      <c r="U3481">
        <v>-2.463562</v>
      </c>
      <c r="V3481">
        <v>-5.5476949999999997E-2</v>
      </c>
      <c r="W3481">
        <v>-3.4465990000000002E-2</v>
      </c>
      <c r="X3481">
        <v>0.99786490000000005</v>
      </c>
      <c r="Y3481">
        <v>-0.37237700000000001</v>
      </c>
      <c r="Z3481">
        <v>2.7380089999999999E-2</v>
      </c>
      <c r="AA3481">
        <v>0.92767759999999999</v>
      </c>
      <c r="AB3481">
        <v>14</v>
      </c>
      <c r="AC3481">
        <v>-8.0874000000000006</v>
      </c>
      <c r="AD3481">
        <v>-1.111456367363</v>
      </c>
      <c r="AE3481">
        <v>-10.0885999999999</v>
      </c>
      <c r="AF3481">
        <v>-4.8011654319632902</v>
      </c>
      <c r="AG3481">
        <v>-1.111456367363</v>
      </c>
      <c r="AH3481">
        <v>11.9034089670411</v>
      </c>
      <c r="AI3481">
        <v>94.949147777326502</v>
      </c>
      <c r="AJ3481">
        <v>111.966375635069</v>
      </c>
      <c r="AK3481">
        <v>12.8832321176895</v>
      </c>
      <c r="AL3481">
        <v>91.975146987442201</v>
      </c>
      <c r="AM3481">
        <v>93.182120418858304</v>
      </c>
      <c r="AN3481">
        <v>0.99999997754999603</v>
      </c>
    </row>
    <row r="3482" spans="1:40" x14ac:dyDescent="0.25">
      <c r="A3482" t="str">
        <f>"20190312153953057"</f>
        <v>20190312153953057</v>
      </c>
      <c r="B3482" t="str">
        <f>"1552376393049509"</f>
        <v>1552376393049509</v>
      </c>
      <c r="C3482" t="s">
        <v>40</v>
      </c>
      <c r="D3482">
        <v>4.3378629999999996</v>
      </c>
      <c r="E3482">
        <v>0.37441760000000002</v>
      </c>
      <c r="F3482" t="s">
        <v>42</v>
      </c>
      <c r="G3482">
        <v>-491.80369999999999</v>
      </c>
      <c r="H3482" s="1">
        <v>-4.3389400000000003E-6</v>
      </c>
      <c r="I3482">
        <v>268.79680000000002</v>
      </c>
      <c r="J3482">
        <v>-483.67849999999999</v>
      </c>
      <c r="K3482">
        <v>1.1114889999999999</v>
      </c>
      <c r="L3482">
        <v>278.98079999999999</v>
      </c>
      <c r="M3482">
        <v>-0.86986149999999995</v>
      </c>
      <c r="N3482">
        <v>0</v>
      </c>
      <c r="O3482">
        <v>-0.4932957</v>
      </c>
      <c r="P3482">
        <v>-0.84045499999999995</v>
      </c>
      <c r="Q3482">
        <v>-3.4498859999999999E-2</v>
      </c>
      <c r="R3482">
        <v>-0.54078210000000004</v>
      </c>
      <c r="S3482">
        <v>-1.9760740000000001</v>
      </c>
      <c r="T3482">
        <v>-0.26817099999999999</v>
      </c>
      <c r="U3482">
        <v>-2.4672239999999999</v>
      </c>
      <c r="V3482">
        <v>-5.5568230000000003E-2</v>
      </c>
      <c r="W3482">
        <v>-3.4256699999999897E-2</v>
      </c>
      <c r="X3482">
        <v>0.99786699999999995</v>
      </c>
      <c r="Y3482">
        <v>-0.37082799999999999</v>
      </c>
      <c r="Z3482">
        <v>2.7599120000000001E-2</v>
      </c>
      <c r="AA3482">
        <v>0.92829139999999999</v>
      </c>
      <c r="AB3482">
        <v>14</v>
      </c>
      <c r="AC3482">
        <v>-8.1251999999999995</v>
      </c>
      <c r="AD3482">
        <v>-1.1114933389399999</v>
      </c>
      <c r="AE3482">
        <v>-10.1839999999999</v>
      </c>
      <c r="AF3482">
        <v>-4.8154940012105802</v>
      </c>
      <c r="AG3482">
        <v>-1.1114933389399999</v>
      </c>
      <c r="AH3482">
        <v>12.004150556609201</v>
      </c>
      <c r="AI3482">
        <v>94.911686416897894</v>
      </c>
      <c r="AJ3482">
        <v>111.85830805465</v>
      </c>
      <c r="AK3482">
        <v>12.981680573174801</v>
      </c>
      <c r="AL3482">
        <v>91.963148522751496</v>
      </c>
      <c r="AM3482">
        <v>93.187338697754299</v>
      </c>
      <c r="AN3482">
        <v>0.99999994968461003</v>
      </c>
    </row>
    <row r="3483" spans="1:40" x14ac:dyDescent="0.25">
      <c r="A3483" t="str">
        <f>"20190312153953069"</f>
        <v>20190312153953069</v>
      </c>
      <c r="B3483" t="str">
        <f>"1552376393059268"</f>
        <v>1552376393059268</v>
      </c>
      <c r="C3483" t="s">
        <v>40</v>
      </c>
      <c r="D3483">
        <v>4.3532000000000002</v>
      </c>
      <c r="E3483">
        <v>0.37470880000000001</v>
      </c>
      <c r="F3483" t="s">
        <v>42</v>
      </c>
      <c r="G3483">
        <v>-491.84019999999998</v>
      </c>
      <c r="H3483" s="1">
        <v>-4.318446E-6</v>
      </c>
      <c r="I3483">
        <v>268.7176</v>
      </c>
      <c r="J3483">
        <v>-483.7439</v>
      </c>
      <c r="K3483">
        <v>1.111526</v>
      </c>
      <c r="L3483">
        <v>278.93830000000003</v>
      </c>
      <c r="M3483">
        <v>-0.86775769999999997</v>
      </c>
      <c r="N3483">
        <v>0</v>
      </c>
      <c r="O3483">
        <v>-0.49698720000000002</v>
      </c>
      <c r="P3483">
        <v>-0.83828789999999997</v>
      </c>
      <c r="Q3483">
        <v>-3.403693E-2</v>
      </c>
      <c r="R3483">
        <v>-0.54416430000000005</v>
      </c>
      <c r="S3483">
        <v>-1.96698</v>
      </c>
      <c r="T3483">
        <v>-0.26787349999999999</v>
      </c>
      <c r="U3483">
        <v>-2.4734799999999999</v>
      </c>
      <c r="V3483">
        <v>-5.5339060000000002E-2</v>
      </c>
      <c r="W3483">
        <v>-3.3914220000000002E-2</v>
      </c>
      <c r="X3483">
        <v>0.99789150000000004</v>
      </c>
      <c r="Y3483">
        <v>-0.37012699999999998</v>
      </c>
      <c r="Z3483">
        <v>2.7950349999999999E-2</v>
      </c>
      <c r="AA3483">
        <v>0.92856059999999996</v>
      </c>
      <c r="AB3483">
        <v>14</v>
      </c>
      <c r="AC3483">
        <v>-8.0962999999999798</v>
      </c>
      <c r="AD3483">
        <v>-1.1115303184459999</v>
      </c>
      <c r="AE3483">
        <v>-10.220700000000001</v>
      </c>
      <c r="AF3483">
        <v>-4.8103768937513403</v>
      </c>
      <c r="AG3483">
        <v>-1.1115303184459999</v>
      </c>
      <c r="AH3483">
        <v>12.0178506345957</v>
      </c>
      <c r="AI3483">
        <v>94.907765863588807</v>
      </c>
      <c r="AJ3483">
        <v>111.81471071895599</v>
      </c>
      <c r="AK3483">
        <v>12.992457788433001</v>
      </c>
      <c r="AL3483">
        <v>91.943514325575194</v>
      </c>
      <c r="AM3483">
        <v>93.174142895462197</v>
      </c>
      <c r="AN3483">
        <v>1.00000001582607</v>
      </c>
    </row>
    <row r="3484" spans="1:40" x14ac:dyDescent="0.25">
      <c r="A3484" t="str">
        <f>"20190312153953082"</f>
        <v>20190312153953082</v>
      </c>
      <c r="B3484" t="str">
        <f>"1552376393079404"</f>
        <v>1552376393079404</v>
      </c>
      <c r="C3484" t="s">
        <v>40</v>
      </c>
      <c r="D3484">
        <v>4.4619390000000001</v>
      </c>
      <c r="E3484">
        <v>0.37467499999999998</v>
      </c>
      <c r="F3484" t="s">
        <v>42</v>
      </c>
      <c r="G3484">
        <v>-491.87950000000001</v>
      </c>
      <c r="H3484" s="1">
        <v>-4.2987689999999996E-6</v>
      </c>
      <c r="I3484">
        <v>268.63929999999999</v>
      </c>
      <c r="J3484">
        <v>-483.8098</v>
      </c>
      <c r="K3484">
        <v>1.1115630000000001</v>
      </c>
      <c r="L3484">
        <v>278.89519999999999</v>
      </c>
      <c r="M3484">
        <v>-0.86561909999999898</v>
      </c>
      <c r="N3484">
        <v>0</v>
      </c>
      <c r="O3484">
        <v>-0.50070269999999995</v>
      </c>
      <c r="P3484">
        <v>-0.8359607</v>
      </c>
      <c r="Q3484">
        <v>-3.3221859999999999E-2</v>
      </c>
      <c r="R3484">
        <v>-0.54778249999999995</v>
      </c>
      <c r="S3484">
        <v>-1.958496</v>
      </c>
      <c r="T3484">
        <v>-0.26758100000000001</v>
      </c>
      <c r="U3484">
        <v>-2.4793090000000002</v>
      </c>
      <c r="V3484">
        <v>-5.5358919999999999E-2</v>
      </c>
      <c r="W3484">
        <v>-3.3216509999999998E-2</v>
      </c>
      <c r="X3484">
        <v>0.99791379999999996</v>
      </c>
      <c r="Y3484">
        <v>-0.3691738</v>
      </c>
      <c r="Z3484">
        <v>2.8313430000000001E-2</v>
      </c>
      <c r="AA3484">
        <v>0.928929</v>
      </c>
      <c r="AB3484">
        <v>14</v>
      </c>
      <c r="AC3484">
        <v>-8.0697000000000099</v>
      </c>
      <c r="AD3484">
        <v>-1.111567298769</v>
      </c>
      <c r="AE3484">
        <v>-10.255899999999899</v>
      </c>
      <c r="AF3484">
        <v>-4.8023414449475803</v>
      </c>
      <c r="AG3484">
        <v>-1.111567298769</v>
      </c>
      <c r="AH3484">
        <v>12.0331430265883</v>
      </c>
      <c r="AI3484">
        <v>94.903699559570896</v>
      </c>
      <c r="AJ3484">
        <v>111.75658910448399</v>
      </c>
      <c r="AK3484">
        <v>13.003637810700701</v>
      </c>
      <c r="AL3484">
        <v>91.903516075458697</v>
      </c>
      <c r="AM3484">
        <v>93.175208885051305</v>
      </c>
      <c r="AN3484">
        <v>0.99999994939529102</v>
      </c>
    </row>
    <row r="3485" spans="1:40" x14ac:dyDescent="0.25">
      <c r="A3485" t="str">
        <f>"20190312153953095"</f>
        <v>20190312153953095</v>
      </c>
      <c r="B3485" t="str">
        <f>"1552376393089164"</f>
        <v>1552376393089164</v>
      </c>
      <c r="C3485" t="s">
        <v>40</v>
      </c>
      <c r="D3485">
        <v>4.3340339999999999</v>
      </c>
      <c r="E3485">
        <v>0.37467499999999998</v>
      </c>
      <c r="F3485" t="s">
        <v>42</v>
      </c>
      <c r="G3485">
        <v>-492.00839999999999</v>
      </c>
      <c r="H3485" s="1">
        <v>-4.2476209999999997E-6</v>
      </c>
      <c r="I3485">
        <v>268.42180000000002</v>
      </c>
      <c r="J3485">
        <v>-483.88119999999998</v>
      </c>
      <c r="K3485">
        <v>1.111605</v>
      </c>
      <c r="L3485">
        <v>278.84809999999999</v>
      </c>
      <c r="M3485">
        <v>-0.86328269999999996</v>
      </c>
      <c r="N3485">
        <v>0</v>
      </c>
      <c r="O3485">
        <v>-0.50472059999999996</v>
      </c>
      <c r="P3485">
        <v>-0.83347000000000004</v>
      </c>
      <c r="Q3485">
        <v>-3.2940329999999997E-2</v>
      </c>
      <c r="R3485">
        <v>-0.55158189999999996</v>
      </c>
      <c r="S3485">
        <v>-1.947754</v>
      </c>
      <c r="T3485">
        <v>-0.26407700000000001</v>
      </c>
      <c r="U3485">
        <v>-2.4881899999999999</v>
      </c>
      <c r="V3485">
        <v>-5.5254530000000003E-2</v>
      </c>
      <c r="W3485">
        <v>-3.3051999999999998E-2</v>
      </c>
      <c r="X3485">
        <v>0.99792510000000001</v>
      </c>
      <c r="Y3485">
        <v>-0.36895410000000001</v>
      </c>
      <c r="Z3485">
        <v>2.8322190000000001E-2</v>
      </c>
      <c r="AA3485">
        <v>0.92901610000000001</v>
      </c>
      <c r="AB3485">
        <v>14</v>
      </c>
      <c r="AC3485">
        <v>-8.1272000000000109</v>
      </c>
      <c r="AD3485">
        <v>-1.111609247621</v>
      </c>
      <c r="AE3485">
        <v>-10.4262999999999</v>
      </c>
      <c r="AF3485">
        <v>-4.8644839195566103</v>
      </c>
      <c r="AG3485">
        <v>-1.111609247621</v>
      </c>
      <c r="AH3485">
        <v>12.1922321143554</v>
      </c>
      <c r="AI3485">
        <v>94.840385336097896</v>
      </c>
      <c r="AJ3485">
        <v>111.751121070406</v>
      </c>
      <c r="AK3485">
        <v>13.173815045511301</v>
      </c>
      <c r="AL3485">
        <v>91.894085069137802</v>
      </c>
      <c r="AM3485">
        <v>93.169197814931493</v>
      </c>
      <c r="AN3485">
        <v>1.0000000014997601</v>
      </c>
    </row>
    <row r="3486" spans="1:40" x14ac:dyDescent="0.25">
      <c r="A3486" t="str">
        <f>"20190312153953108"</f>
        <v>20190312153953108</v>
      </c>
      <c r="B3486" t="str">
        <f>"1552376393098924"</f>
        <v>1552376393098924</v>
      </c>
      <c r="C3486" t="s">
        <v>40</v>
      </c>
      <c r="D3486">
        <v>4.2264530000000002</v>
      </c>
      <c r="E3486">
        <v>0.34085140000000003</v>
      </c>
      <c r="F3486" t="s">
        <v>42</v>
      </c>
      <c r="G3486">
        <v>-492.06189999999998</v>
      </c>
      <c r="H3486" s="1">
        <v>-4.2153549999999997E-6</v>
      </c>
      <c r="I3486">
        <v>268.29910000000001</v>
      </c>
      <c r="J3486">
        <v>-483.95359999999999</v>
      </c>
      <c r="K3486">
        <v>1.1116410000000001</v>
      </c>
      <c r="L3486">
        <v>278.7996</v>
      </c>
      <c r="M3486">
        <v>-0.86088629999999999</v>
      </c>
      <c r="N3486">
        <v>0</v>
      </c>
      <c r="O3486">
        <v>-0.50879719999999995</v>
      </c>
      <c r="P3486">
        <v>-0.83073629999999998</v>
      </c>
      <c r="Q3486">
        <v>-3.2887619999999999E-2</v>
      </c>
      <c r="R3486">
        <v>-0.55569380000000002</v>
      </c>
      <c r="S3486">
        <v>-1.9364619999999999</v>
      </c>
      <c r="T3486">
        <v>-0.2631309</v>
      </c>
      <c r="U3486">
        <v>-2.4970699999999999</v>
      </c>
      <c r="V3486">
        <v>-5.5460469999999998E-2</v>
      </c>
      <c r="W3486">
        <v>-3.3108730000000003E-2</v>
      </c>
      <c r="X3486">
        <v>0.99791180000000002</v>
      </c>
      <c r="Y3486">
        <v>-0.36879089999999998</v>
      </c>
      <c r="Z3486">
        <v>2.8603630000000001E-2</v>
      </c>
      <c r="AA3486">
        <v>0.92907220000000001</v>
      </c>
      <c r="AB3486">
        <v>14</v>
      </c>
      <c r="AC3486">
        <v>-8.1082999999999803</v>
      </c>
      <c r="AD3486">
        <v>-1.1116452153549901</v>
      </c>
      <c r="AE3486">
        <v>-10.500499999999899</v>
      </c>
      <c r="AF3486">
        <v>-4.8799936232707104</v>
      </c>
      <c r="AG3486">
        <v>-1.1116452153549901</v>
      </c>
      <c r="AH3486">
        <v>12.2370326822001</v>
      </c>
      <c r="AI3486">
        <v>94.823222672887596</v>
      </c>
      <c r="AJ3486">
        <v>111.741568073604</v>
      </c>
      <c r="AK3486">
        <v>13.2210083470671</v>
      </c>
      <c r="AL3486">
        <v>91.897337229794303</v>
      </c>
      <c r="AM3486">
        <v>93.181027876584096</v>
      </c>
      <c r="AN3486">
        <v>1.00000000615703</v>
      </c>
    </row>
    <row r="3487" spans="1:40" x14ac:dyDescent="0.25">
      <c r="A3487" t="str">
        <f>"20190312153953121"</f>
        <v>20190312153953121</v>
      </c>
      <c r="B3487" t="str">
        <f>"1552376393119420"</f>
        <v>1552376393119420</v>
      </c>
      <c r="C3487" t="s">
        <v>40</v>
      </c>
      <c r="D3487">
        <v>4.1918670000000002</v>
      </c>
      <c r="E3487">
        <v>0.33579249999999999</v>
      </c>
      <c r="F3487" t="s">
        <v>42</v>
      </c>
      <c r="G3487">
        <v>-492.9622</v>
      </c>
      <c r="H3487" s="1">
        <v>-3.0922799999999999E-6</v>
      </c>
      <c r="I3487">
        <v>264.96010000000001</v>
      </c>
      <c r="J3487">
        <v>-484.02339999999998</v>
      </c>
      <c r="K3487">
        <v>1.1116809999999999</v>
      </c>
      <c r="L3487">
        <v>278.75259999999997</v>
      </c>
      <c r="M3487">
        <v>-0.85855609999999905</v>
      </c>
      <c r="N3487">
        <v>0</v>
      </c>
      <c r="O3487">
        <v>-0.51271959999999905</v>
      </c>
      <c r="P3487">
        <v>-0.82810379999999995</v>
      </c>
      <c r="Q3487">
        <v>-3.2938149999999999E-2</v>
      </c>
      <c r="R3487">
        <v>-0.55960639999999995</v>
      </c>
      <c r="S3487">
        <v>-1.7767329999999999</v>
      </c>
      <c r="T3487">
        <v>-0.219245</v>
      </c>
      <c r="U3487">
        <v>-2.7295229999999999</v>
      </c>
      <c r="V3487">
        <v>-5.5610560000000003E-2</v>
      </c>
      <c r="W3487">
        <v>-3.3258139999999999E-2</v>
      </c>
      <c r="X3487">
        <v>0.99789850000000002</v>
      </c>
      <c r="Y3487">
        <v>-0.43989080000000003</v>
      </c>
      <c r="Z3487">
        <v>2.109053E-2</v>
      </c>
      <c r="AA3487">
        <v>0.89780360000000003</v>
      </c>
      <c r="AB3487">
        <v>15</v>
      </c>
      <c r="AC3487">
        <v>-8.9388000000000094</v>
      </c>
      <c r="AD3487">
        <v>-1.11168409227999</v>
      </c>
      <c r="AE3487">
        <v>-13.792499999999899</v>
      </c>
      <c r="AF3487">
        <v>-7.2254813213907196</v>
      </c>
      <c r="AG3487">
        <v>-1.11168409227999</v>
      </c>
      <c r="AH3487">
        <v>14.678991688850299</v>
      </c>
      <c r="AI3487">
        <v>93.887127006011198</v>
      </c>
      <c r="AJ3487">
        <v>116.20792445721</v>
      </c>
      <c r="AK3487">
        <v>16.398665154461</v>
      </c>
      <c r="AL3487">
        <v>91.9059024689778</v>
      </c>
      <c r="AM3487">
        <v>93.189661211668493</v>
      </c>
      <c r="AN3487">
        <v>1.0000000272810099</v>
      </c>
    </row>
    <row r="3488" spans="1:40" x14ac:dyDescent="0.25">
      <c r="A3488" t="str">
        <f>"20190312153953135"</f>
        <v>20190312153953135</v>
      </c>
      <c r="B3488" t="str">
        <f>"1552376393129179"</f>
        <v>1552376393129179</v>
      </c>
      <c r="C3488" t="s">
        <v>40</v>
      </c>
      <c r="D3488">
        <v>4.176431</v>
      </c>
      <c r="E3488">
        <v>0.33478599999999997</v>
      </c>
      <c r="F3488" t="s">
        <v>41</v>
      </c>
      <c r="G3488">
        <v>-484.5378</v>
      </c>
      <c r="H3488">
        <v>1.0503020000000001</v>
      </c>
      <c r="I3488">
        <v>277.93439999999998</v>
      </c>
      <c r="J3488">
        <v>-484.09989999999999</v>
      </c>
      <c r="K3488">
        <v>1.1117269999999999</v>
      </c>
      <c r="L3488">
        <v>278.70060000000001</v>
      </c>
      <c r="M3488">
        <v>-0.85598090000000004</v>
      </c>
      <c r="N3488">
        <v>0</v>
      </c>
      <c r="O3488">
        <v>-0.51700769999999996</v>
      </c>
      <c r="P3488">
        <v>-0.82536980000000004</v>
      </c>
      <c r="Q3488">
        <v>-3.3558949999999997E-2</v>
      </c>
      <c r="R3488">
        <v>-0.56359479999999995</v>
      </c>
      <c r="S3488">
        <v>-1.7416990000000001</v>
      </c>
      <c r="T3488">
        <v>-0.20784929999999999</v>
      </c>
      <c r="U3488">
        <v>-2.771271</v>
      </c>
      <c r="V3488">
        <v>-5.5436020000000003E-2</v>
      </c>
      <c r="W3488">
        <v>-3.3974459999999998E-2</v>
      </c>
      <c r="X3488">
        <v>0.99788399999999999</v>
      </c>
      <c r="Y3488">
        <v>-0.4496597</v>
      </c>
      <c r="Z3488">
        <v>1.989527E-2</v>
      </c>
      <c r="AA3488">
        <v>0.89297839999999995</v>
      </c>
      <c r="AB3488">
        <v>15</v>
      </c>
      <c r="AC3488">
        <v>-0.437900000000013</v>
      </c>
      <c r="AD3488">
        <v>-6.1425E-2</v>
      </c>
      <c r="AE3488">
        <v>-0.76620000000002597</v>
      </c>
      <c r="AF3488">
        <v>-0.427384350350833</v>
      </c>
      <c r="AG3488">
        <v>-6.1425E-2</v>
      </c>
      <c r="AH3488">
        <v>0.767248258200255</v>
      </c>
      <c r="AI3488">
        <v>94.000753718815901</v>
      </c>
      <c r="AJ3488">
        <v>119.11934973309501</v>
      </c>
      <c r="AK3488">
        <v>0.88039780966397696</v>
      </c>
      <c r="AL3488">
        <v>91.946967947782397</v>
      </c>
      <c r="AM3488">
        <v>93.179716783451994</v>
      </c>
      <c r="AN3488">
        <v>0.99999994685086402</v>
      </c>
    </row>
    <row r="3489" spans="1:40" x14ac:dyDescent="0.25">
      <c r="A3489" t="str">
        <f>"20190312153953147"</f>
        <v>20190312153953147</v>
      </c>
      <c r="B3489" t="str">
        <f>"1552376393138940"</f>
        <v>1552376393138940</v>
      </c>
      <c r="C3489" t="s">
        <v>40</v>
      </c>
      <c r="D3489">
        <v>4.4543799999999996</v>
      </c>
      <c r="E3489">
        <v>0.335281</v>
      </c>
      <c r="F3489" t="s">
        <v>42</v>
      </c>
      <c r="G3489">
        <v>-493.3836</v>
      </c>
      <c r="H3489" s="1">
        <v>-2.6623919999999999E-6</v>
      </c>
      <c r="I3489">
        <v>263.69659999999999</v>
      </c>
      <c r="J3489">
        <v>-484.16539999999998</v>
      </c>
      <c r="K3489">
        <v>1.1117709999999901</v>
      </c>
      <c r="L3489">
        <v>278.65539999999999</v>
      </c>
      <c r="M3489">
        <v>-0.85374899999999998</v>
      </c>
      <c r="N3489">
        <v>0</v>
      </c>
      <c r="O3489">
        <v>-0.52068479999999995</v>
      </c>
      <c r="P3489">
        <v>-0.82285649999999999</v>
      </c>
      <c r="Q3489">
        <v>-3.3514759999999998E-2</v>
      </c>
      <c r="R3489">
        <v>-0.56726009999999905</v>
      </c>
      <c r="S3489">
        <v>-1.7239070000000001</v>
      </c>
      <c r="T3489">
        <v>-0.2064376</v>
      </c>
      <c r="U3489">
        <v>-2.7861020000000001</v>
      </c>
      <c r="V3489">
        <v>-5.5576800000000003E-2</v>
      </c>
      <c r="W3489">
        <v>-3.4004060000000003E-2</v>
      </c>
      <c r="X3489">
        <v>0.99787519999999996</v>
      </c>
      <c r="Y3489">
        <v>-0.45207389999999997</v>
      </c>
      <c r="Z3489">
        <v>1.9929309999999999E-2</v>
      </c>
      <c r="AA3489">
        <v>0.89175780000000004</v>
      </c>
      <c r="AB3489">
        <v>15</v>
      </c>
      <c r="AC3489">
        <v>-9.2182000000000208</v>
      </c>
      <c r="AD3489">
        <v>-1.11177366239199</v>
      </c>
      <c r="AE3489">
        <v>-14.958799999999901</v>
      </c>
      <c r="AF3489">
        <v>-7.9394981646882501</v>
      </c>
      <c r="AG3489">
        <v>-1.11177366239199</v>
      </c>
      <c r="AH3489">
        <v>15.5964086505211</v>
      </c>
      <c r="AI3489">
        <v>93.634912422453198</v>
      </c>
      <c r="AJ3489">
        <v>116.978796178217</v>
      </c>
      <c r="AK3489">
        <v>17.5362377543624</v>
      </c>
      <c r="AL3489">
        <v>91.948664807540197</v>
      </c>
      <c r="AM3489">
        <v>93.187803108885205</v>
      </c>
      <c r="AN3489">
        <v>0.99999998578488103</v>
      </c>
    </row>
    <row r="3490" spans="1:40" x14ac:dyDescent="0.25">
      <c r="A3490" t="str">
        <f>"20190312153953159"</f>
        <v>20190312153953159</v>
      </c>
      <c r="B3490" t="str">
        <f>"1552376393149676"</f>
        <v>1552376393149676</v>
      </c>
      <c r="C3490" t="s">
        <v>40</v>
      </c>
      <c r="D3490">
        <v>4.2300230000000001</v>
      </c>
      <c r="E3490">
        <v>0.33536650000000001</v>
      </c>
      <c r="F3490" t="s">
        <v>41</v>
      </c>
      <c r="G3490">
        <v>-484.67809999999997</v>
      </c>
      <c r="H3490">
        <v>1.0534300000000001</v>
      </c>
      <c r="I3490">
        <v>277.82139999999998</v>
      </c>
      <c r="J3490">
        <v>-484.23289999999997</v>
      </c>
      <c r="K3490">
        <v>1.111815</v>
      </c>
      <c r="L3490">
        <v>278.6087</v>
      </c>
      <c r="M3490">
        <v>-0.85143480000000005</v>
      </c>
      <c r="N3490">
        <v>0</v>
      </c>
      <c r="O3490">
        <v>-0.52446029999999999</v>
      </c>
      <c r="P3490">
        <v>-0.82032899999999997</v>
      </c>
      <c r="Q3490">
        <v>-3.3737530000000002E-2</v>
      </c>
      <c r="R3490">
        <v>-0.57089630000000002</v>
      </c>
      <c r="S3490">
        <v>-1.714386</v>
      </c>
      <c r="T3490">
        <v>-0.1951022</v>
      </c>
      <c r="U3490">
        <v>-2.7901609999999999</v>
      </c>
      <c r="V3490">
        <v>-5.5571969999999998E-2</v>
      </c>
      <c r="W3490">
        <v>-3.4297099999999997E-2</v>
      </c>
      <c r="X3490">
        <v>0.99786540000000001</v>
      </c>
      <c r="Y3490">
        <v>-0.45091249999999999</v>
      </c>
      <c r="Z3490">
        <v>1.9138720000000001E-2</v>
      </c>
      <c r="AA3490">
        <v>0.89236299999999902</v>
      </c>
      <c r="AB3490">
        <v>15</v>
      </c>
      <c r="AC3490">
        <v>-0.44519999999999899</v>
      </c>
      <c r="AD3490">
        <v>-5.8385000000000097E-2</v>
      </c>
      <c r="AE3490">
        <v>-0.78730000000001599</v>
      </c>
      <c r="AF3490">
        <v>-0.43503214247474797</v>
      </c>
      <c r="AG3490">
        <v>-5.8385000000000097E-2</v>
      </c>
      <c r="AH3490">
        <v>0.78867999008360501</v>
      </c>
      <c r="AI3490">
        <v>93.708807397364495</v>
      </c>
      <c r="AJ3490">
        <v>118.88092039682699</v>
      </c>
      <c r="AK3490">
        <v>0.90259509192629905</v>
      </c>
      <c r="AL3490">
        <v>91.965464641166506</v>
      </c>
      <c r="AM3490">
        <v>93.187557878557101</v>
      </c>
      <c r="AN3490">
        <v>0.99999994571762396</v>
      </c>
    </row>
    <row r="3491" spans="1:40" x14ac:dyDescent="0.25">
      <c r="A3491" t="str">
        <f>"20190312153953172"</f>
        <v>20190312153953172</v>
      </c>
      <c r="B3491" t="str">
        <f>"1552376393169196"</f>
        <v>1552376393169196</v>
      </c>
      <c r="C3491" t="s">
        <v>40</v>
      </c>
      <c r="D3491">
        <v>4.2298429999999998</v>
      </c>
      <c r="E3491">
        <v>0.3354008</v>
      </c>
      <c r="F3491" t="s">
        <v>41</v>
      </c>
      <c r="G3491">
        <v>-484.73059999999998</v>
      </c>
      <c r="H3491">
        <v>1.052881</v>
      </c>
      <c r="I3491">
        <v>277.79109999999997</v>
      </c>
      <c r="J3491">
        <v>-484.3064</v>
      </c>
      <c r="K3491">
        <v>1.1118650000000001</v>
      </c>
      <c r="L3491">
        <v>278.55709999999999</v>
      </c>
      <c r="M3491">
        <v>-0.84888859999999999</v>
      </c>
      <c r="N3491">
        <v>0</v>
      </c>
      <c r="O3491">
        <v>-0.52857169999999998</v>
      </c>
      <c r="P3491">
        <v>-0.81749890000000003</v>
      </c>
      <c r="Q3491">
        <v>-3.3831510000000002E-2</v>
      </c>
      <c r="R3491">
        <v>-0.57493590000000006</v>
      </c>
      <c r="S3491">
        <v>-1.7022710000000001</v>
      </c>
      <c r="T3491">
        <v>-0.20158580000000001</v>
      </c>
      <c r="U3491">
        <v>-2.7969970000000002</v>
      </c>
      <c r="V3491">
        <v>-5.5664930000000001E-2</v>
      </c>
      <c r="W3491">
        <v>-3.4454829999999999E-2</v>
      </c>
      <c r="X3491">
        <v>0.99785480000000004</v>
      </c>
      <c r="Y3491">
        <v>-0.45039319999999999</v>
      </c>
      <c r="Z3491">
        <v>2.0082240000000001E-2</v>
      </c>
      <c r="AA3491">
        <v>0.89260450000000002</v>
      </c>
      <c r="AB3491">
        <v>15</v>
      </c>
      <c r="AC3491">
        <v>-0.42419999999998398</v>
      </c>
      <c r="AD3491">
        <v>-5.8983999999999898E-2</v>
      </c>
      <c r="AE3491">
        <v>-0.766000000000019</v>
      </c>
      <c r="AF3491">
        <v>-0.42410408943871297</v>
      </c>
      <c r="AG3491">
        <v>-5.8983999999999898E-2</v>
      </c>
      <c r="AH3491">
        <v>0.76152886619927895</v>
      </c>
      <c r="AI3491">
        <v>93.871224461495899</v>
      </c>
      <c r="AJ3491">
        <v>119.113931346944</v>
      </c>
      <c r="AK3491">
        <v>0.87365302322455196</v>
      </c>
      <c r="AL3491">
        <v>91.974507219588602</v>
      </c>
      <c r="AM3491">
        <v>93.192912804192304</v>
      </c>
      <c r="AN3491">
        <v>0.99999996081263598</v>
      </c>
    </row>
    <row r="3492" spans="1:40" x14ac:dyDescent="0.25">
      <c r="A3492" t="str">
        <f>"20190312153953189"</f>
        <v>20190312153953189</v>
      </c>
      <c r="B3492" t="str">
        <f>"1552376393179614"</f>
        <v>1552376393179614</v>
      </c>
      <c r="C3492" t="s">
        <v>40</v>
      </c>
      <c r="D3492">
        <v>4.2241559999999998</v>
      </c>
      <c r="E3492">
        <v>0.3356403</v>
      </c>
      <c r="F3492" t="s">
        <v>42</v>
      </c>
      <c r="G3492">
        <v>-493.29750000000001</v>
      </c>
      <c r="H3492" s="1">
        <v>-2.6019539999999998E-6</v>
      </c>
      <c r="I3492">
        <v>263.60910000000001</v>
      </c>
      <c r="J3492">
        <v>-484.40219999999999</v>
      </c>
      <c r="K3492">
        <v>1.111934</v>
      </c>
      <c r="L3492">
        <v>278.48910000000001</v>
      </c>
      <c r="M3492">
        <v>-0.84553849999999997</v>
      </c>
      <c r="N3492">
        <v>0</v>
      </c>
      <c r="O3492">
        <v>-0.53391429999999995</v>
      </c>
      <c r="P3492">
        <v>-0.81355900000000003</v>
      </c>
      <c r="Q3492">
        <v>-3.4189379999999998E-2</v>
      </c>
      <c r="R3492">
        <v>-0.58047660000000001</v>
      </c>
      <c r="S3492">
        <v>-1.6877439999999999</v>
      </c>
      <c r="T3492">
        <v>-0.2087107</v>
      </c>
      <c r="U3492">
        <v>-2.8059080000000001</v>
      </c>
      <c r="V3492">
        <v>-5.6150369999999998E-2</v>
      </c>
      <c r="W3492">
        <v>-3.4882719999999999E-2</v>
      </c>
      <c r="X3492">
        <v>0.9978127</v>
      </c>
      <c r="Y3492">
        <v>-0.44942019999999999</v>
      </c>
      <c r="Z3492">
        <v>2.1211219999999999E-2</v>
      </c>
      <c r="AA3492">
        <v>0.89306859999999999</v>
      </c>
      <c r="AB3492">
        <v>15</v>
      </c>
      <c r="AC3492">
        <v>-8.8953000000000095</v>
      </c>
      <c r="AD3492">
        <v>-1.111936601954</v>
      </c>
      <c r="AE3492">
        <v>-14.8799999999999</v>
      </c>
      <c r="AF3492">
        <v>-7.8001962101350397</v>
      </c>
      <c r="AG3492">
        <v>-1.111936601954</v>
      </c>
      <c r="AH3492">
        <v>15.402599498295199</v>
      </c>
      <c r="AI3492">
        <v>93.684975225714496</v>
      </c>
      <c r="AJ3492">
        <v>116.858600833216</v>
      </c>
      <c r="AK3492">
        <v>17.300853598254999</v>
      </c>
      <c r="AL3492">
        <v>91.999038327621406</v>
      </c>
      <c r="AM3492">
        <v>93.2208346392799</v>
      </c>
      <c r="AN3492">
        <v>0.99999992624350997</v>
      </c>
    </row>
    <row r="3493" spans="1:40" x14ac:dyDescent="0.25">
      <c r="A3493" t="str">
        <f>"20190312153953201"</f>
        <v>20190312153953201</v>
      </c>
      <c r="B3493" t="str">
        <f>"1552376393189375"</f>
        <v>1552376393189375</v>
      </c>
      <c r="C3493" t="s">
        <v>40</v>
      </c>
      <c r="D3493">
        <v>4.2695369999999997</v>
      </c>
      <c r="E3493">
        <v>0.33597149999999998</v>
      </c>
      <c r="F3493" t="s">
        <v>41</v>
      </c>
      <c r="G3493">
        <v>-484.90519999999998</v>
      </c>
      <c r="H3493">
        <v>1.0475699999999999</v>
      </c>
      <c r="I3493">
        <v>277.64159999999998</v>
      </c>
      <c r="J3493">
        <v>-484.46710000000002</v>
      </c>
      <c r="K3493">
        <v>1.1119749999999999</v>
      </c>
      <c r="L3493">
        <v>278.44260000000003</v>
      </c>
      <c r="M3493">
        <v>-0.84324589999999999</v>
      </c>
      <c r="N3493">
        <v>0</v>
      </c>
      <c r="O3493">
        <v>-0.53752789999999995</v>
      </c>
      <c r="P3493">
        <v>-0.81102240000000003</v>
      </c>
      <c r="Q3493">
        <v>-3.3919589999999999E-2</v>
      </c>
      <c r="R3493">
        <v>-0.58403159999999998</v>
      </c>
      <c r="S3493">
        <v>-1.6699520000000001</v>
      </c>
      <c r="T3493">
        <v>-0.2137175</v>
      </c>
      <c r="U3493">
        <v>-2.8150629999999999</v>
      </c>
      <c r="V3493">
        <v>-5.6238370000000003E-2</v>
      </c>
      <c r="W3493">
        <v>-3.46488E-2</v>
      </c>
      <c r="X3493">
        <v>0.99781600000000004</v>
      </c>
      <c r="Y3493">
        <v>-0.45104939999999999</v>
      </c>
      <c r="Z3493">
        <v>2.1945059999999999E-2</v>
      </c>
      <c r="AA3493">
        <v>0.892229099999999</v>
      </c>
      <c r="AB3493">
        <v>16</v>
      </c>
      <c r="AC3493">
        <v>-0.43809999999996302</v>
      </c>
      <c r="AD3493">
        <v>-6.4404999999999796E-2</v>
      </c>
      <c r="AE3493">
        <v>-0.80100000000004401</v>
      </c>
      <c r="AF3493">
        <v>-0.437770489308968</v>
      </c>
      <c r="AG3493">
        <v>-6.4404999999999796E-2</v>
      </c>
      <c r="AH3493">
        <v>0.79602457176311503</v>
      </c>
      <c r="AI3493">
        <v>94.055185927052904</v>
      </c>
      <c r="AJ3493">
        <v>118.80841607701301</v>
      </c>
      <c r="AK3493">
        <v>0.91073932834014804</v>
      </c>
      <c r="AL3493">
        <v>91.985627381370904</v>
      </c>
      <c r="AM3493">
        <v>93.225861098313402</v>
      </c>
      <c r="AN3493">
        <v>1.00000003172884</v>
      </c>
    </row>
    <row r="3494" spans="1:40" x14ac:dyDescent="0.25">
      <c r="A3494" t="str">
        <f>"20190312153953211"</f>
        <v>20190312153953211</v>
      </c>
      <c r="B3494" t="str">
        <f>"1552376393199134"</f>
        <v>1552376393199134</v>
      </c>
      <c r="C3494" t="s">
        <v>40</v>
      </c>
      <c r="D3494">
        <v>4.2598839999999996</v>
      </c>
      <c r="E3494">
        <v>0.33610309999999999</v>
      </c>
      <c r="F3494" t="s">
        <v>41</v>
      </c>
      <c r="G3494">
        <v>-484.9545</v>
      </c>
      <c r="H3494">
        <v>1.048613</v>
      </c>
      <c r="I3494">
        <v>277.61380000000003</v>
      </c>
      <c r="J3494">
        <v>-484.52760000000001</v>
      </c>
      <c r="K3494">
        <v>1.11202</v>
      </c>
      <c r="L3494">
        <v>278.39879999999999</v>
      </c>
      <c r="M3494">
        <v>-0.84109159999999905</v>
      </c>
      <c r="N3494">
        <v>0</v>
      </c>
      <c r="O3494">
        <v>-0.54089279999999995</v>
      </c>
      <c r="P3494">
        <v>-0.80845459999999902</v>
      </c>
      <c r="Q3494">
        <v>-3.385374E-2</v>
      </c>
      <c r="R3494">
        <v>-0.58758449999999995</v>
      </c>
      <c r="S3494">
        <v>-1.659027</v>
      </c>
      <c r="T3494">
        <v>-0.21565029999999999</v>
      </c>
      <c r="U3494">
        <v>-2.8203429999999998</v>
      </c>
      <c r="V3494">
        <v>-5.6625269999999998E-2</v>
      </c>
      <c r="W3494">
        <v>-3.4608800000000002E-2</v>
      </c>
      <c r="X3494">
        <v>0.99779549999999995</v>
      </c>
      <c r="Y3494">
        <v>-0.45078669999999998</v>
      </c>
      <c r="Z3494">
        <v>2.2413539999999999E-2</v>
      </c>
      <c r="AA3494">
        <v>0.89235030000000004</v>
      </c>
      <c r="AB3494">
        <v>16</v>
      </c>
      <c r="AC3494">
        <v>-0.42689999999998901</v>
      </c>
      <c r="AD3494">
        <v>-6.3406999999999894E-2</v>
      </c>
      <c r="AE3494">
        <v>-0.78499999999996795</v>
      </c>
      <c r="AF3494">
        <v>-0.42719871788214903</v>
      </c>
      <c r="AG3494">
        <v>-6.3406999999999894E-2</v>
      </c>
      <c r="AH3494">
        <v>0.77973668389965001</v>
      </c>
      <c r="AI3494">
        <v>94.079223729075693</v>
      </c>
      <c r="AJ3494">
        <v>118.71726032501201</v>
      </c>
      <c r="AK3494">
        <v>0.89135205638848203</v>
      </c>
      <c r="AL3494">
        <v>91.983334188187996</v>
      </c>
      <c r="AM3494">
        <v>93.248073111528498</v>
      </c>
      <c r="AN3494">
        <v>1.00000002503013</v>
      </c>
    </row>
    <row r="3495" spans="1:40" x14ac:dyDescent="0.25">
      <c r="A3495" t="str">
        <f>"20190312153953223"</f>
        <v>20190312153953223</v>
      </c>
      <c r="B3495" t="str">
        <f>"1552376393219632"</f>
        <v>1552376393219632</v>
      </c>
      <c r="C3495" t="s">
        <v>40</v>
      </c>
      <c r="D3495">
        <v>4.2582469999999999</v>
      </c>
      <c r="E3495">
        <v>0.33662069999999999</v>
      </c>
      <c r="F3495" t="s">
        <v>42</v>
      </c>
      <c r="G3495">
        <v>-493.08249999999998</v>
      </c>
      <c r="H3495" s="1">
        <v>-2.592165E-6</v>
      </c>
      <c r="I3495">
        <v>263.71969999999999</v>
      </c>
      <c r="J3495">
        <v>-484.59190000000001</v>
      </c>
      <c r="K3495">
        <v>1.1120680000000001</v>
      </c>
      <c r="L3495">
        <v>278.3519</v>
      </c>
      <c r="M3495">
        <v>-0.83878649999999999</v>
      </c>
      <c r="N3495">
        <v>0</v>
      </c>
      <c r="O3495">
        <v>-0.54446059999999996</v>
      </c>
      <c r="P3495">
        <v>-0.80579999999999996</v>
      </c>
      <c r="Q3495">
        <v>-3.4269149999999998E-2</v>
      </c>
      <c r="R3495">
        <v>-0.59119560000000004</v>
      </c>
      <c r="S3495">
        <v>-1.6473690000000001</v>
      </c>
      <c r="T3495">
        <v>-0.21413670000000001</v>
      </c>
      <c r="U3495">
        <v>-2.8266909999999998</v>
      </c>
      <c r="V3495">
        <v>-5.6852310000000003E-2</v>
      </c>
      <c r="W3495">
        <v>-3.5040759999999997E-2</v>
      </c>
      <c r="X3495">
        <v>0.99776750000000003</v>
      </c>
      <c r="Y3495">
        <v>-0.45061790000000002</v>
      </c>
      <c r="Z3495">
        <v>2.2533890000000001E-2</v>
      </c>
      <c r="AA3495">
        <v>0.89243249999999996</v>
      </c>
      <c r="AB3495">
        <v>16</v>
      </c>
      <c r="AC3495">
        <v>-8.4905999999999704</v>
      </c>
      <c r="AD3495">
        <v>-1.112070592165</v>
      </c>
      <c r="AE3495">
        <v>-14.632199999999999</v>
      </c>
      <c r="AF3495">
        <v>-7.6175767895653097</v>
      </c>
      <c r="AG3495">
        <v>-1.112070592165</v>
      </c>
      <c r="AH3495">
        <v>15.0235357823114</v>
      </c>
      <c r="AI3495">
        <v>93.777195180045993</v>
      </c>
      <c r="AJ3495">
        <v>116.886962560234</v>
      </c>
      <c r="AK3495">
        <v>16.8810782993644</v>
      </c>
      <c r="AL3495">
        <v>92.008098720108293</v>
      </c>
      <c r="AM3495">
        <v>93.261159582166499</v>
      </c>
      <c r="AN3495">
        <v>1.0000000120349799</v>
      </c>
    </row>
    <row r="3496" spans="1:40" x14ac:dyDescent="0.25">
      <c r="A3496" t="str">
        <f>"20190312153953235"</f>
        <v>20190312153953235</v>
      </c>
      <c r="B3496" t="str">
        <f>"1552376393229391"</f>
        <v>1552376393229391</v>
      </c>
      <c r="C3496" t="s">
        <v>40</v>
      </c>
      <c r="D3496">
        <v>4.2222289999999996</v>
      </c>
      <c r="E3496">
        <v>0.33690039999999999</v>
      </c>
      <c r="F3496" t="s">
        <v>41</v>
      </c>
      <c r="G3496">
        <v>-485.07839999999999</v>
      </c>
      <c r="H3496">
        <v>1.048651</v>
      </c>
      <c r="I3496">
        <v>277.5111</v>
      </c>
      <c r="J3496">
        <v>-484.66129999999998</v>
      </c>
      <c r="K3496">
        <v>1.1121219999999901</v>
      </c>
      <c r="L3496">
        <v>278.30079999999998</v>
      </c>
      <c r="M3496">
        <v>-0.83628029999999998</v>
      </c>
      <c r="N3496">
        <v>0</v>
      </c>
      <c r="O3496">
        <v>-0.54830239999999997</v>
      </c>
      <c r="P3496">
        <v>-0.80293119999999996</v>
      </c>
      <c r="Q3496">
        <v>-3.4456569999999999E-2</v>
      </c>
      <c r="R3496">
        <v>-0.59507529999999997</v>
      </c>
      <c r="S3496">
        <v>-1.6369320000000001</v>
      </c>
      <c r="T3496">
        <v>-0.21342469999999999</v>
      </c>
      <c r="U3496">
        <v>-2.830994</v>
      </c>
      <c r="V3496">
        <v>-5.7086940000000003E-2</v>
      </c>
      <c r="W3496">
        <v>-3.523652E-2</v>
      </c>
      <c r="X3496">
        <v>0.99774719999999995</v>
      </c>
      <c r="Y3496">
        <v>-0.44958150000000002</v>
      </c>
      <c r="Z3496">
        <v>2.2792119999999999E-2</v>
      </c>
      <c r="AA3496">
        <v>0.89294850000000003</v>
      </c>
      <c r="AB3496">
        <v>16</v>
      </c>
      <c r="AC3496">
        <v>-0.41710000000000402</v>
      </c>
      <c r="AD3496">
        <v>-6.3470999999999805E-2</v>
      </c>
      <c r="AE3496">
        <v>-0.78969999999998197</v>
      </c>
      <c r="AF3496">
        <v>-0.42954399363073198</v>
      </c>
      <c r="AG3496">
        <v>-6.3470999999999805E-2</v>
      </c>
      <c r="AH3496">
        <v>0.77787785460034198</v>
      </c>
      <c r="AI3496">
        <v>94.085609812408904</v>
      </c>
      <c r="AJ3496">
        <v>118.90747091194601</v>
      </c>
      <c r="AK3496">
        <v>0.8908594541132</v>
      </c>
      <c r="AL3496">
        <v>92.019321890759002</v>
      </c>
      <c r="AM3496">
        <v>93.274655667885895</v>
      </c>
      <c r="AN3496">
        <v>1.0000000030840499</v>
      </c>
    </row>
    <row r="3497" spans="1:40" x14ac:dyDescent="0.25">
      <c r="A3497" t="str">
        <f>"20190312153953245"</f>
        <v>20190312153953245</v>
      </c>
      <c r="B3497" t="str">
        <f>"1552376393239151"</f>
        <v>1552376393239151</v>
      </c>
      <c r="C3497" t="s">
        <v>40</v>
      </c>
      <c r="D3497">
        <v>4.2573160000000003</v>
      </c>
      <c r="E3497">
        <v>0.33720209999999901</v>
      </c>
      <c r="F3497" t="s">
        <v>42</v>
      </c>
      <c r="G3497">
        <v>-493.13630000000001</v>
      </c>
      <c r="H3497" s="1">
        <v>-2.5144E-6</v>
      </c>
      <c r="I3497">
        <v>263.505</v>
      </c>
      <c r="J3497">
        <v>-484.72320000000002</v>
      </c>
      <c r="K3497">
        <v>1.1121700000000001</v>
      </c>
      <c r="L3497">
        <v>278.25479999999999</v>
      </c>
      <c r="M3497">
        <v>-0.83402809999999905</v>
      </c>
      <c r="N3497">
        <v>0</v>
      </c>
      <c r="O3497">
        <v>-0.55172209999999999</v>
      </c>
      <c r="P3497">
        <v>-0.80061079999999996</v>
      </c>
      <c r="Q3497">
        <v>-3.4674799999999999E-2</v>
      </c>
      <c r="R3497">
        <v>-0.59818070000000001</v>
      </c>
      <c r="S3497">
        <v>-1.6248469999999999</v>
      </c>
      <c r="T3497">
        <v>-0.2132204</v>
      </c>
      <c r="U3497">
        <v>-2.8367</v>
      </c>
      <c r="V3497">
        <v>-5.6864820000000003E-2</v>
      </c>
      <c r="W3497">
        <v>-3.5442649999999999E-2</v>
      </c>
      <c r="X3497">
        <v>0.99775259999999999</v>
      </c>
      <c r="Y3497">
        <v>-0.44956659999999998</v>
      </c>
      <c r="Z3497">
        <v>2.303581E-2</v>
      </c>
      <c r="AA3497">
        <v>0.89294979999999902</v>
      </c>
      <c r="AB3497">
        <v>16</v>
      </c>
      <c r="AC3497">
        <v>-8.4130999999999805</v>
      </c>
      <c r="AD3497">
        <v>-1.1121725143999901</v>
      </c>
      <c r="AE3497">
        <v>-14.749799999999899</v>
      </c>
      <c r="AF3497">
        <v>-7.6273336338515403</v>
      </c>
      <c r="AG3497">
        <v>-1.1121725143999901</v>
      </c>
      <c r="AH3497">
        <v>15.089817960987499</v>
      </c>
      <c r="AI3497">
        <v>93.763384621320299</v>
      </c>
      <c r="AJ3497">
        <v>116.81487574076399</v>
      </c>
      <c r="AK3497">
        <v>16.9444903186732</v>
      </c>
      <c r="AL3497">
        <v>92.031139617227296</v>
      </c>
      <c r="AM3497">
        <v>93.261924237091094</v>
      </c>
      <c r="AN3497">
        <v>1.0000000199996999</v>
      </c>
    </row>
    <row r="3498" spans="1:40" x14ac:dyDescent="0.25">
      <c r="A3498" t="str">
        <f>"20190312153953256"</f>
        <v>20190312153953256</v>
      </c>
      <c r="B3498" t="str">
        <f>"1552376393248910"</f>
        <v>1552376393248910</v>
      </c>
      <c r="C3498" t="s">
        <v>40</v>
      </c>
      <c r="D3498">
        <v>4.2238980000000002</v>
      </c>
      <c r="E3498">
        <v>0.33757409999999999</v>
      </c>
      <c r="F3498" t="s">
        <v>41</v>
      </c>
      <c r="G3498">
        <v>-485.20859999999999</v>
      </c>
      <c r="H3498">
        <v>1.047955</v>
      </c>
      <c r="I3498">
        <v>277.40030000000002</v>
      </c>
      <c r="J3498">
        <v>-484.78460000000001</v>
      </c>
      <c r="K3498">
        <v>1.1122190000000001</v>
      </c>
      <c r="L3498">
        <v>278.20890000000003</v>
      </c>
      <c r="M3498">
        <v>-0.83177800000000002</v>
      </c>
      <c r="N3498">
        <v>0</v>
      </c>
      <c r="O3498">
        <v>-0.5551085</v>
      </c>
      <c r="P3498">
        <v>-0.79811580000000004</v>
      </c>
      <c r="Q3498">
        <v>-3.5174329999999997E-2</v>
      </c>
      <c r="R3498">
        <v>-0.60147680000000003</v>
      </c>
      <c r="S3498">
        <v>-1.6148990000000001</v>
      </c>
      <c r="T3498">
        <v>-0.2135851</v>
      </c>
      <c r="U3498">
        <v>-2.841431</v>
      </c>
      <c r="V3498">
        <v>-5.6926629999999999E-2</v>
      </c>
      <c r="W3498">
        <v>-3.5929429999999998E-2</v>
      </c>
      <c r="X3498">
        <v>0.99773160000000005</v>
      </c>
      <c r="Y3498">
        <v>-0.4489418</v>
      </c>
      <c r="Z3498">
        <v>2.3356680000000001E-2</v>
      </c>
      <c r="AA3498">
        <v>0.89325569999999899</v>
      </c>
      <c r="AB3498">
        <v>16</v>
      </c>
      <c r="AC3498">
        <v>-0.42399999999997801</v>
      </c>
      <c r="AD3498">
        <v>-6.4264000000000099E-2</v>
      </c>
      <c r="AE3498">
        <v>-0.80860000000001198</v>
      </c>
      <c r="AF3498">
        <v>-0.435054325984569</v>
      </c>
      <c r="AG3498">
        <v>-6.4264000000000099E-2</v>
      </c>
      <c r="AH3498">
        <v>0.79758319155124802</v>
      </c>
      <c r="AI3498">
        <v>94.046061253968801</v>
      </c>
      <c r="AJ3498">
        <v>118.610955109183</v>
      </c>
      <c r="AK3498">
        <v>0.91079145565763997</v>
      </c>
      <c r="AL3498">
        <v>92.059047965712793</v>
      </c>
      <c r="AM3498">
        <v>93.265530743729201</v>
      </c>
      <c r="AN3498">
        <v>0.99999995539092001</v>
      </c>
    </row>
    <row r="3499" spans="1:40" x14ac:dyDescent="0.25">
      <c r="A3499" t="str">
        <f>"20190312153953267"</f>
        <v>20190312153953267</v>
      </c>
      <c r="B3499" t="str">
        <f>"1552376393259647"</f>
        <v>1552376393259647</v>
      </c>
      <c r="C3499" t="s">
        <v>40</v>
      </c>
      <c r="D3499">
        <v>4.3787719999999997</v>
      </c>
      <c r="E3499">
        <v>0.3375938</v>
      </c>
      <c r="F3499" t="s">
        <v>42</v>
      </c>
      <c r="G3499">
        <v>-493.0609</v>
      </c>
      <c r="H3499" s="1">
        <v>-2.508064E-6</v>
      </c>
      <c r="I3499">
        <v>263.53699999999998</v>
      </c>
      <c r="J3499">
        <v>-484.84859999999998</v>
      </c>
      <c r="K3499">
        <v>1.112269</v>
      </c>
      <c r="L3499">
        <v>278.16039999999998</v>
      </c>
      <c r="M3499">
        <v>-0.82941569999999998</v>
      </c>
      <c r="N3499">
        <v>0</v>
      </c>
      <c r="O3499">
        <v>-0.55863200000000002</v>
      </c>
      <c r="P3499">
        <v>-0.79569979999999996</v>
      </c>
      <c r="Q3499">
        <v>-3.5315369999999999E-2</v>
      </c>
      <c r="R3499">
        <v>-0.60466089999999995</v>
      </c>
      <c r="S3499">
        <v>-1.6050420000000001</v>
      </c>
      <c r="T3499">
        <v>-0.21569489999999999</v>
      </c>
      <c r="U3499">
        <v>-2.8453369999999998</v>
      </c>
      <c r="V3499">
        <v>-5.6679500000000001E-2</v>
      </c>
      <c r="W3499">
        <v>-3.6033250000000003E-2</v>
      </c>
      <c r="X3499">
        <v>0.99774200000000002</v>
      </c>
      <c r="Y3499">
        <v>-0.44803009999999899</v>
      </c>
      <c r="Z3499">
        <v>2.3895779999999998E-2</v>
      </c>
      <c r="AA3499">
        <v>0.89369909999999997</v>
      </c>
      <c r="AB3499">
        <v>16</v>
      </c>
      <c r="AC3499">
        <v>-8.2123000000000204</v>
      </c>
      <c r="AD3499">
        <v>-1.112271508064</v>
      </c>
      <c r="AE3499">
        <v>-14.623399999999901</v>
      </c>
      <c r="AF3499">
        <v>-7.5082010471077201</v>
      </c>
      <c r="AG3499">
        <v>-1.112271508064</v>
      </c>
      <c r="AH3499">
        <v>14.9149102747095</v>
      </c>
      <c r="AI3499">
        <v>93.810872821648204</v>
      </c>
      <c r="AJ3499">
        <v>116.7207915817</v>
      </c>
      <c r="AK3499">
        <v>16.735136072768402</v>
      </c>
      <c r="AL3499">
        <v>92.065000114648399</v>
      </c>
      <c r="AM3499">
        <v>93.251351077747103</v>
      </c>
      <c r="AN3499">
        <v>1.0000000296949001</v>
      </c>
    </row>
    <row r="3500" spans="1:40" x14ac:dyDescent="0.25">
      <c r="A3500" t="str">
        <f>"20190312153953278"</f>
        <v>20190312153953278</v>
      </c>
      <c r="B3500" t="str">
        <f>"1552376393269408"</f>
        <v>1552376393269408</v>
      </c>
      <c r="C3500" t="s">
        <v>40</v>
      </c>
      <c r="D3500">
        <v>4.3146459999999998</v>
      </c>
      <c r="E3500">
        <v>0.3379047</v>
      </c>
      <c r="F3500" t="s">
        <v>41</v>
      </c>
      <c r="G3500">
        <v>-485.33229999999998</v>
      </c>
      <c r="H3500">
        <v>1.0466599999999999</v>
      </c>
      <c r="I3500">
        <v>277.29450000000003</v>
      </c>
      <c r="J3500">
        <v>-484.91149999999999</v>
      </c>
      <c r="K3500">
        <v>1.11232</v>
      </c>
      <c r="L3500">
        <v>278.11250000000001</v>
      </c>
      <c r="M3500">
        <v>-0.82707359999999897</v>
      </c>
      <c r="N3500">
        <v>0</v>
      </c>
      <c r="O3500">
        <v>-0.56209370000000003</v>
      </c>
      <c r="P3500">
        <v>-0.79339300000000001</v>
      </c>
      <c r="Q3500">
        <v>-3.514573E-2</v>
      </c>
      <c r="R3500">
        <v>-0.60769459999999997</v>
      </c>
      <c r="S3500">
        <v>-1.5933839999999999</v>
      </c>
      <c r="T3500">
        <v>-0.2160929</v>
      </c>
      <c r="U3500">
        <v>-2.8520810000000001</v>
      </c>
      <c r="V3500">
        <v>-5.6312630000000002E-2</v>
      </c>
      <c r="W3500">
        <v>-3.5822020000000003E-2</v>
      </c>
      <c r="X3500">
        <v>0.99777039999999995</v>
      </c>
      <c r="Y3500">
        <v>-0.44798280000000001</v>
      </c>
      <c r="Z3500">
        <v>2.420512E-2</v>
      </c>
      <c r="AA3500">
        <v>0.89371449999999997</v>
      </c>
      <c r="AB3500">
        <v>16</v>
      </c>
      <c r="AC3500">
        <v>-0.42079999999998502</v>
      </c>
      <c r="AD3500">
        <v>-6.5659999999999802E-2</v>
      </c>
      <c r="AE3500">
        <v>-0.81799999999998296</v>
      </c>
      <c r="AF3500">
        <v>-0.43778670823965099</v>
      </c>
      <c r="AG3500">
        <v>-6.5659999999999802E-2</v>
      </c>
      <c r="AH3500">
        <v>0.80373031375061998</v>
      </c>
      <c r="AI3500">
        <v>94.103471996286899</v>
      </c>
      <c r="AJ3500">
        <v>118.576844431978</v>
      </c>
      <c r="AK3500">
        <v>0.917578800296182</v>
      </c>
      <c r="AL3500">
        <v>92.0528896666831</v>
      </c>
      <c r="AM3500">
        <v>93.230258985026595</v>
      </c>
      <c r="AN3500">
        <v>1.0000000502652699</v>
      </c>
    </row>
    <row r="3501" spans="1:40" x14ac:dyDescent="0.25">
      <c r="A3501" t="str">
        <f>"20190312153953290"</f>
        <v>20190312153953290</v>
      </c>
      <c r="B3501" t="str">
        <f>"1552376393279728"</f>
        <v>1552376393279728</v>
      </c>
      <c r="C3501" t="s">
        <v>40</v>
      </c>
      <c r="D3501">
        <v>4.4540579999999999</v>
      </c>
      <c r="E3501">
        <v>0.33840130000000002</v>
      </c>
      <c r="F3501" t="s">
        <v>41</v>
      </c>
      <c r="G3501">
        <v>-485.38130000000001</v>
      </c>
      <c r="H3501">
        <v>1.047795</v>
      </c>
      <c r="I3501">
        <v>277.26490000000001</v>
      </c>
      <c r="J3501">
        <v>-484.97949999999997</v>
      </c>
      <c r="K3501">
        <v>1.112376</v>
      </c>
      <c r="L3501">
        <v>278.06009999999998</v>
      </c>
      <c r="M3501">
        <v>-0.82452009999999898</v>
      </c>
      <c r="N3501">
        <v>0</v>
      </c>
      <c r="O3501">
        <v>-0.56583269999999997</v>
      </c>
      <c r="P3501">
        <v>-0.79069319999999998</v>
      </c>
      <c r="Q3501">
        <v>-3.4891079999999998E-2</v>
      </c>
      <c r="R3501">
        <v>-0.61121749999999997</v>
      </c>
      <c r="S3501">
        <v>-1.5839540000000001</v>
      </c>
      <c r="T3501">
        <v>-0.21751619999999999</v>
      </c>
      <c r="U3501">
        <v>-2.8561399999999999</v>
      </c>
      <c r="V3501">
        <v>-5.622622E-2</v>
      </c>
      <c r="W3501">
        <v>-3.550379E-2</v>
      </c>
      <c r="X3501">
        <v>0.99778659999999997</v>
      </c>
      <c r="Y3501">
        <v>-0.4467373</v>
      </c>
      <c r="Z3501">
        <v>2.4700779999999999E-2</v>
      </c>
      <c r="AA3501">
        <v>0.89432409999999996</v>
      </c>
      <c r="AB3501">
        <v>17</v>
      </c>
      <c r="AC3501">
        <v>-0.40180000000003702</v>
      </c>
      <c r="AD3501">
        <v>-6.4581E-2</v>
      </c>
      <c r="AE3501">
        <v>-0.79519999999996505</v>
      </c>
      <c r="AF3501">
        <v>-0.42606815226153999</v>
      </c>
      <c r="AG3501">
        <v>-6.4581E-2</v>
      </c>
      <c r="AH3501">
        <v>0.77715898117524995</v>
      </c>
      <c r="AI3501">
        <v>94.167586507473004</v>
      </c>
      <c r="AJ3501">
        <v>118.73323109902</v>
      </c>
      <c r="AK3501">
        <v>0.88863989216887795</v>
      </c>
      <c r="AL3501">
        <v>92.034644921780895</v>
      </c>
      <c r="AM3501">
        <v>93.225260469203803</v>
      </c>
      <c r="AN3501">
        <v>1.0000000030297</v>
      </c>
    </row>
    <row r="3502" spans="1:40" x14ac:dyDescent="0.25">
      <c r="A3502" t="str">
        <f>"20190312153953301"</f>
        <v>20190312153953301</v>
      </c>
      <c r="B3502" t="str">
        <f>"1552376393289487"</f>
        <v>1552376393289487</v>
      </c>
      <c r="C3502" t="s">
        <v>40</v>
      </c>
      <c r="D3502">
        <v>4.2641989999999996</v>
      </c>
      <c r="E3502">
        <v>0.33873219999999998</v>
      </c>
      <c r="F3502" t="s">
        <v>42</v>
      </c>
      <c r="G3502">
        <v>-493.0591</v>
      </c>
      <c r="H3502" s="1">
        <v>-2.4406960000000001E-6</v>
      </c>
      <c r="I3502">
        <v>263.3811</v>
      </c>
      <c r="J3502">
        <v>-485.0421</v>
      </c>
      <c r="K3502">
        <v>1.1124309999999999</v>
      </c>
      <c r="L3502">
        <v>278.01150000000001</v>
      </c>
      <c r="M3502">
        <v>-0.82215389999999999</v>
      </c>
      <c r="N3502">
        <v>0</v>
      </c>
      <c r="O3502">
        <v>-0.56926519999999903</v>
      </c>
      <c r="P3502">
        <v>-0.7883386</v>
      </c>
      <c r="Q3502">
        <v>-3.4488570000000003E-2</v>
      </c>
      <c r="R3502">
        <v>-0.6142744</v>
      </c>
      <c r="S3502">
        <v>-1.574036</v>
      </c>
      <c r="T3502">
        <v>-0.2167075</v>
      </c>
      <c r="U3502">
        <v>-2.85968</v>
      </c>
      <c r="V3502">
        <v>-5.5920270000000001E-2</v>
      </c>
      <c r="W3502">
        <v>-3.5033290000000002E-2</v>
      </c>
      <c r="X3502">
        <v>0.99782040000000005</v>
      </c>
      <c r="Y3502">
        <v>-0.44585940000000002</v>
      </c>
      <c r="Z3502">
        <v>2.4914599999999999E-2</v>
      </c>
      <c r="AA3502">
        <v>0.8947562</v>
      </c>
      <c r="AB3502">
        <v>17</v>
      </c>
      <c r="AC3502">
        <v>-8.0169999999999906</v>
      </c>
      <c r="AD3502">
        <v>-1.1124334406959999</v>
      </c>
      <c r="AE3502">
        <v>-14.6304</v>
      </c>
      <c r="AF3502">
        <v>-7.4315982896257697</v>
      </c>
      <c r="AG3502">
        <v>-1.1124334406959999</v>
      </c>
      <c r="AH3502">
        <v>14.8537413977641</v>
      </c>
      <c r="AI3502">
        <v>93.831795749710807</v>
      </c>
      <c r="AJ3502">
        <v>116.57963802107599</v>
      </c>
      <c r="AK3502">
        <v>16.646314751619901</v>
      </c>
      <c r="AL3502">
        <v>92.007670523380199</v>
      </c>
      <c r="AM3502">
        <v>93.207638817418299</v>
      </c>
      <c r="AN3502">
        <v>0.99999997933062801</v>
      </c>
    </row>
    <row r="3503" spans="1:40" x14ac:dyDescent="0.25">
      <c r="A3503" t="str">
        <f>"20190312153953312"</f>
        <v>20190312153953312</v>
      </c>
      <c r="B3503" t="str">
        <f>"1552376393309009"</f>
        <v>1552376393309009</v>
      </c>
      <c r="C3503" t="s">
        <v>40</v>
      </c>
      <c r="D3503">
        <v>4.2822559999999896</v>
      </c>
      <c r="E3503">
        <v>0.33940540000000002</v>
      </c>
      <c r="F3503" t="s">
        <v>41</v>
      </c>
      <c r="G3503">
        <v>-485.51409999999998</v>
      </c>
      <c r="H3503">
        <v>1.0470660000000001</v>
      </c>
      <c r="I3503">
        <v>277.14789999999999</v>
      </c>
      <c r="J3503">
        <v>-485.10840000000002</v>
      </c>
      <c r="K3503">
        <v>1.1124879999999999</v>
      </c>
      <c r="L3503">
        <v>277.95949999999999</v>
      </c>
      <c r="M3503">
        <v>-0.81962169999999901</v>
      </c>
      <c r="N3503">
        <v>0</v>
      </c>
      <c r="O3503">
        <v>-0.5729052</v>
      </c>
      <c r="P3503">
        <v>-0.78569419999999901</v>
      </c>
      <c r="Q3503">
        <v>-3.4355240000000002E-2</v>
      </c>
      <c r="R3503">
        <v>-0.6176604</v>
      </c>
      <c r="S3503">
        <v>-1.5644229999999999</v>
      </c>
      <c r="T3503">
        <v>-0.21665799999999999</v>
      </c>
      <c r="U3503">
        <v>-2.8639220000000001</v>
      </c>
      <c r="V3503">
        <v>-5.5784130000000001E-2</v>
      </c>
      <c r="W3503">
        <v>-3.4815609999999997E-2</v>
      </c>
      <c r="X3503">
        <v>0.99783560000000004</v>
      </c>
      <c r="Y3503">
        <v>-0.44476680000000002</v>
      </c>
      <c r="Z3503">
        <v>2.5231409999999999E-2</v>
      </c>
      <c r="AA3503">
        <v>0.89529099999999995</v>
      </c>
      <c r="AB3503">
        <v>17</v>
      </c>
      <c r="AC3503">
        <v>-0.40569999999996698</v>
      </c>
      <c r="AD3503">
        <v>-6.54219999999998E-2</v>
      </c>
      <c r="AE3503">
        <v>-0.81159999999999799</v>
      </c>
      <c r="AF3503">
        <v>-0.43053905897830802</v>
      </c>
      <c r="AG3503">
        <v>-6.54219999999998E-2</v>
      </c>
      <c r="AH3503">
        <v>0.79336585820169603</v>
      </c>
      <c r="AI3503">
        <v>94.145376889581996</v>
      </c>
      <c r="AJ3503">
        <v>118.487535102023</v>
      </c>
      <c r="AK3503">
        <v>0.90502668709272904</v>
      </c>
      <c r="AL3503">
        <v>91.995190842620403</v>
      </c>
      <c r="AM3503">
        <v>93.199797305508397</v>
      </c>
      <c r="AN3503">
        <v>0.99999994024344196</v>
      </c>
    </row>
    <row r="3504" spans="1:40" x14ac:dyDescent="0.25">
      <c r="A3504" t="str">
        <f>"20190312153953324"</f>
        <v>20190312153953324</v>
      </c>
      <c r="B3504" t="str">
        <f>"1552376393318768"</f>
        <v>1552376393318768</v>
      </c>
      <c r="C3504" t="s">
        <v>40</v>
      </c>
      <c r="D3504">
        <v>4.2588229999999996</v>
      </c>
      <c r="E3504">
        <v>0.33978799999999998</v>
      </c>
      <c r="F3504" t="s">
        <v>42</v>
      </c>
      <c r="G3504">
        <v>-493.06279999999998</v>
      </c>
      <c r="H3504" s="1">
        <v>-2.4076160000000001E-6</v>
      </c>
      <c r="I3504">
        <v>263.30169999999998</v>
      </c>
      <c r="J3504">
        <v>-485.17500000000001</v>
      </c>
      <c r="K3504">
        <v>1.112544</v>
      </c>
      <c r="L3504">
        <v>277.90679999999998</v>
      </c>
      <c r="M3504">
        <v>-0.81705169999999905</v>
      </c>
      <c r="N3504">
        <v>0</v>
      </c>
      <c r="O3504">
        <v>-0.57656459999999998</v>
      </c>
      <c r="P3504">
        <v>-0.78288690000000005</v>
      </c>
      <c r="Q3504">
        <v>-3.4017209999999999E-2</v>
      </c>
      <c r="R3504">
        <v>-0.62123409999999901</v>
      </c>
      <c r="S3504">
        <v>-1.55545</v>
      </c>
      <c r="T3504">
        <v>-0.21754219999999999</v>
      </c>
      <c r="U3504">
        <v>-2.8662719999999999</v>
      </c>
      <c r="V3504">
        <v>-5.586062E-2</v>
      </c>
      <c r="W3504">
        <v>-3.4383740000000003E-2</v>
      </c>
      <c r="X3504">
        <v>0.99784640000000002</v>
      </c>
      <c r="Y3504">
        <v>-0.44324029999999998</v>
      </c>
      <c r="Z3504">
        <v>2.568397E-2</v>
      </c>
      <c r="AA3504">
        <v>0.89603480000000002</v>
      </c>
      <c r="AB3504">
        <v>17</v>
      </c>
      <c r="AC3504">
        <v>-7.8877999999999702</v>
      </c>
      <c r="AD3504">
        <v>-1.1125464076160001</v>
      </c>
      <c r="AE3504">
        <v>-14.605099999999901</v>
      </c>
      <c r="AF3504">
        <v>-7.3522658064390098</v>
      </c>
      <c r="AG3504">
        <v>-1.1125464076160001</v>
      </c>
      <c r="AH3504">
        <v>14.7990400132555</v>
      </c>
      <c r="AI3504">
        <v>93.851686556895899</v>
      </c>
      <c r="AJ3504">
        <v>116.418505304768</v>
      </c>
      <c r="AK3504">
        <v>16.562160405924399</v>
      </c>
      <c r="AL3504">
        <v>91.970431483198396</v>
      </c>
      <c r="AM3504">
        <v>93.204141055515606</v>
      </c>
      <c r="AN3504">
        <v>1.0000000442180601</v>
      </c>
    </row>
    <row r="3505" spans="1:40" x14ac:dyDescent="0.25">
      <c r="A3505" t="str">
        <f>"20190312153953336"</f>
        <v>20190312153953336</v>
      </c>
      <c r="B3505" t="str">
        <f>"1552376393329503"</f>
        <v>1552376393329503</v>
      </c>
      <c r="C3505" t="s">
        <v>40</v>
      </c>
      <c r="D3505">
        <v>4.2565369999999998</v>
      </c>
      <c r="E3505">
        <v>0.34017190000000003</v>
      </c>
      <c r="F3505" t="s">
        <v>41</v>
      </c>
      <c r="G3505">
        <v>-485.64949999999999</v>
      </c>
      <c r="H3505">
        <v>1.04641299999999</v>
      </c>
      <c r="I3505">
        <v>277.02480000000003</v>
      </c>
      <c r="J3505">
        <v>-485.24709999999999</v>
      </c>
      <c r="K3505">
        <v>1.1126049999999901</v>
      </c>
      <c r="L3505">
        <v>277.84949999999998</v>
      </c>
      <c r="M3505">
        <v>-0.81424799999999997</v>
      </c>
      <c r="N3505">
        <v>0</v>
      </c>
      <c r="O3505">
        <v>-0.58051699999999995</v>
      </c>
      <c r="P3505">
        <v>-0.77991009999999905</v>
      </c>
      <c r="Q3505">
        <v>-3.3929019999999997E-2</v>
      </c>
      <c r="R3505">
        <v>-0.62497100000000005</v>
      </c>
      <c r="S3505">
        <v>-1.5441279999999999</v>
      </c>
      <c r="T3505">
        <v>-0.2152174</v>
      </c>
      <c r="U3505">
        <v>-2.8713989999999998</v>
      </c>
      <c r="V3505">
        <v>-5.5793899999999903E-2</v>
      </c>
      <c r="W3505">
        <v>-3.4184399999999997E-2</v>
      </c>
      <c r="X3505">
        <v>0.99785690000000005</v>
      </c>
      <c r="Y3505">
        <v>-0.44230760000000002</v>
      </c>
      <c r="Z3505">
        <v>2.5750060000000002E-2</v>
      </c>
      <c r="AA3505">
        <v>0.89649369999999995</v>
      </c>
      <c r="AB3505">
        <v>17</v>
      </c>
      <c r="AC3505">
        <v>-0.40239999999999998</v>
      </c>
      <c r="AD3505">
        <v>-6.6192000000000001E-2</v>
      </c>
      <c r="AE3505">
        <v>-0.82469999999995003</v>
      </c>
      <c r="AF3505">
        <v>-0.43564359157246102</v>
      </c>
      <c r="AG3505">
        <v>-6.6192000000000001E-2</v>
      </c>
      <c r="AH3505">
        <v>0.80223168070457396</v>
      </c>
      <c r="AI3505">
        <v>94.147173239510195</v>
      </c>
      <c r="AJ3505">
        <v>118.503713649655</v>
      </c>
      <c r="AK3505">
        <v>0.91528268270968505</v>
      </c>
      <c r="AL3505">
        <v>91.959003584564201</v>
      </c>
      <c r="AM3505">
        <v>93.200288379326395</v>
      </c>
      <c r="AN3505">
        <v>0.99999996267908897</v>
      </c>
    </row>
    <row r="3506" spans="1:40" x14ac:dyDescent="0.25">
      <c r="A3506" t="str">
        <f>"20190312153953348"</f>
        <v>20190312153953348</v>
      </c>
      <c r="B3506" t="str">
        <f>"1552376393339263"</f>
        <v>1552376393339263</v>
      </c>
      <c r="C3506" t="s">
        <v>40</v>
      </c>
      <c r="D3506">
        <v>4.2571130000000004</v>
      </c>
      <c r="E3506">
        <v>0.34057959999999998</v>
      </c>
      <c r="F3506" t="s">
        <v>42</v>
      </c>
      <c r="G3506">
        <v>-493.18389999999999</v>
      </c>
      <c r="H3506" s="1">
        <v>-2.2911310000000002E-6</v>
      </c>
      <c r="I3506">
        <v>262.95499999999998</v>
      </c>
      <c r="J3506">
        <v>-485.31509999999997</v>
      </c>
      <c r="K3506">
        <v>1.1126640000000001</v>
      </c>
      <c r="L3506">
        <v>277.79450000000003</v>
      </c>
      <c r="M3506">
        <v>-0.81156099999999998</v>
      </c>
      <c r="N3506">
        <v>0</v>
      </c>
      <c r="O3506">
        <v>-0.58426769999999995</v>
      </c>
      <c r="P3506">
        <v>-0.77697490000000002</v>
      </c>
      <c r="Q3506">
        <v>-3.4010470000000001E-2</v>
      </c>
      <c r="R3506">
        <v>-0.62861210000000001</v>
      </c>
      <c r="S3506">
        <v>-1.532562</v>
      </c>
      <c r="T3506">
        <v>-0.21483869999999999</v>
      </c>
      <c r="U3506">
        <v>-2.8760379999999999</v>
      </c>
      <c r="V3506">
        <v>-5.5856780000000002E-2</v>
      </c>
      <c r="W3506">
        <v>-3.4147709999999998E-2</v>
      </c>
      <c r="X3506">
        <v>0.99785469999999998</v>
      </c>
      <c r="Y3506">
        <v>-0.44158190000000003</v>
      </c>
      <c r="Z3506">
        <v>2.602641E-2</v>
      </c>
      <c r="AA3506">
        <v>0.89684339999999996</v>
      </c>
      <c r="AB3506">
        <v>17</v>
      </c>
      <c r="AC3506">
        <v>-7.8688000000000198</v>
      </c>
      <c r="AD3506">
        <v>-1.1126662911309999</v>
      </c>
      <c r="AE3506">
        <v>-14.839499999999999</v>
      </c>
      <c r="AF3506">
        <v>-7.4131437116497496</v>
      </c>
      <c r="AG3506">
        <v>-1.1126662911309999</v>
      </c>
      <c r="AH3506">
        <v>14.9904711262039</v>
      </c>
      <c r="AI3506">
        <v>93.806500093460002</v>
      </c>
      <c r="AJ3506">
        <v>116.313488060854</v>
      </c>
      <c r="AK3506">
        <v>16.760278952050498</v>
      </c>
      <c r="AL3506">
        <v>91.956900053979098</v>
      </c>
      <c r="AM3506">
        <v>93.203894659462705</v>
      </c>
      <c r="AN3506">
        <v>1.00000002414115</v>
      </c>
    </row>
    <row r="3507" spans="1:40" x14ac:dyDescent="0.25">
      <c r="A3507" t="str">
        <f>"20190312153953360"</f>
        <v>20190312153953360</v>
      </c>
      <c r="B3507" t="str">
        <f>"1552376393349023"</f>
        <v>1552376393349023</v>
      </c>
      <c r="C3507" t="s">
        <v>40</v>
      </c>
      <c r="D3507">
        <v>4.280138</v>
      </c>
      <c r="E3507">
        <v>0.34095009999999998</v>
      </c>
      <c r="F3507" t="s">
        <v>42</v>
      </c>
      <c r="G3507">
        <v>-493.2097</v>
      </c>
      <c r="H3507" s="1">
        <v>-2.2497670000000002E-6</v>
      </c>
      <c r="I3507">
        <v>262.84269999999998</v>
      </c>
      <c r="J3507">
        <v>-485.38909999999998</v>
      </c>
      <c r="K3507">
        <v>1.112727</v>
      </c>
      <c r="L3507">
        <v>277.73430000000002</v>
      </c>
      <c r="M3507">
        <v>-0.80860650000000001</v>
      </c>
      <c r="N3507">
        <v>0</v>
      </c>
      <c r="O3507">
        <v>-0.58834969999999998</v>
      </c>
      <c r="P3507">
        <v>-0.77375169999999904</v>
      </c>
      <c r="Q3507">
        <v>-3.4212880000000001E-2</v>
      </c>
      <c r="R3507">
        <v>-0.63256440000000003</v>
      </c>
      <c r="S3507">
        <v>-1.5210570000000001</v>
      </c>
      <c r="T3507">
        <v>-0.21437680000000001</v>
      </c>
      <c r="U3507">
        <v>-2.8807680000000002</v>
      </c>
      <c r="V3507">
        <v>-5.5915649999999997E-2</v>
      </c>
      <c r="W3507">
        <v>-3.4216280000000002E-2</v>
      </c>
      <c r="X3507">
        <v>0.99784899999999999</v>
      </c>
      <c r="Y3507">
        <v>-0.4404747</v>
      </c>
      <c r="Z3507">
        <v>2.6328049999999999E-2</v>
      </c>
      <c r="AA3507">
        <v>0.89737889999999998</v>
      </c>
      <c r="AB3507">
        <v>17</v>
      </c>
      <c r="AC3507">
        <v>-7.8206000000000104</v>
      </c>
      <c r="AD3507">
        <v>-1.1127292497669901</v>
      </c>
      <c r="AE3507">
        <v>-14.8916</v>
      </c>
      <c r="AF3507">
        <v>-7.4077783796064702</v>
      </c>
      <c r="AG3507">
        <v>-1.1127292497669901</v>
      </c>
      <c r="AH3507">
        <v>15.019526732767901</v>
      </c>
      <c r="AI3507">
        <v>93.801348922593604</v>
      </c>
      <c r="AJ3507">
        <v>116.252968619443</v>
      </c>
      <c r="AK3507">
        <v>16.7839068807289</v>
      </c>
      <c r="AL3507">
        <v>91.960831228385402</v>
      </c>
      <c r="AM3507">
        <v>93.207282626494901</v>
      </c>
      <c r="AN3507">
        <v>0.99999997026648002</v>
      </c>
    </row>
    <row r="3508" spans="1:40" x14ac:dyDescent="0.25">
      <c r="A3508" t="str">
        <f>"20190312153953372"</f>
        <v>20190312153953372</v>
      </c>
      <c r="B3508" t="str">
        <f>"1552376393369522"</f>
        <v>1552376393369522</v>
      </c>
      <c r="C3508" t="s">
        <v>40</v>
      </c>
      <c r="D3508">
        <v>4.2789390000000003</v>
      </c>
      <c r="E3508">
        <v>0.34172550000000002</v>
      </c>
      <c r="F3508" t="s">
        <v>41</v>
      </c>
      <c r="G3508">
        <v>-485.85210000000001</v>
      </c>
      <c r="H3508">
        <v>1.046862</v>
      </c>
      <c r="I3508">
        <v>276.84840000000003</v>
      </c>
      <c r="J3508">
        <v>-485.46199999999999</v>
      </c>
      <c r="K3508">
        <v>1.1127899999999999</v>
      </c>
      <c r="L3508">
        <v>277.67430000000002</v>
      </c>
      <c r="M3508">
        <v>-0.80565909999999996</v>
      </c>
      <c r="N3508">
        <v>0</v>
      </c>
      <c r="O3508">
        <v>-0.59237930000000005</v>
      </c>
      <c r="P3508">
        <v>-0.77034809999999998</v>
      </c>
      <c r="Q3508">
        <v>-3.4449529999999999E-2</v>
      </c>
      <c r="R3508">
        <v>-0.63669229999999999</v>
      </c>
      <c r="S3508">
        <v>-1.5082089999999999</v>
      </c>
      <c r="T3508">
        <v>-0.21458669999999999</v>
      </c>
      <c r="U3508">
        <v>-2.8861080000000001</v>
      </c>
      <c r="V3508">
        <v>-5.6270899999999999E-2</v>
      </c>
      <c r="W3508">
        <v>-3.4313009999999998E-2</v>
      </c>
      <c r="X3508">
        <v>0.99782570000000004</v>
      </c>
      <c r="Y3508">
        <v>-0.43981730000000002</v>
      </c>
      <c r="Z3508">
        <v>2.6694229999999999E-2</v>
      </c>
      <c r="AA3508">
        <v>0.89769049999999995</v>
      </c>
      <c r="AB3508">
        <v>17</v>
      </c>
      <c r="AC3508">
        <v>-0.39010000000001799</v>
      </c>
      <c r="AD3508">
        <v>-6.5927999999999695E-2</v>
      </c>
      <c r="AE3508">
        <v>-0.82589999999998998</v>
      </c>
      <c r="AF3508">
        <v>-0.43205578843544101</v>
      </c>
      <c r="AG3508">
        <v>-6.5927999999999695E-2</v>
      </c>
      <c r="AH3508">
        <v>0.79936917506167604</v>
      </c>
      <c r="AI3508">
        <v>94.149833781381105</v>
      </c>
      <c r="AJ3508">
        <v>118.391041493835</v>
      </c>
      <c r="AK3508">
        <v>0.91104872731558995</v>
      </c>
      <c r="AL3508">
        <v>91.966376721484593</v>
      </c>
      <c r="AM3508">
        <v>93.227691780487604</v>
      </c>
      <c r="AN3508">
        <v>0.99999996221127896</v>
      </c>
    </row>
    <row r="3509" spans="1:40" x14ac:dyDescent="0.25">
      <c r="A3509" t="str">
        <f>"20190312153953386"</f>
        <v>20190312153953386</v>
      </c>
      <c r="B3509" t="str">
        <f>"1552376393379302"</f>
        <v>1552376393379302</v>
      </c>
      <c r="C3509" t="s">
        <v>40</v>
      </c>
      <c r="D3509">
        <v>4.2369139999999996</v>
      </c>
      <c r="E3509">
        <v>0.3421459</v>
      </c>
      <c r="F3509" t="s">
        <v>42</v>
      </c>
      <c r="G3509">
        <v>-493.19569999999999</v>
      </c>
      <c r="H3509" s="1">
        <v>-2.2033230000000001E-6</v>
      </c>
      <c r="I3509">
        <v>262.74299999999999</v>
      </c>
      <c r="J3509">
        <v>-485.5342</v>
      </c>
      <c r="K3509">
        <v>1.1128499999999999</v>
      </c>
      <c r="L3509">
        <v>277.61419999999998</v>
      </c>
      <c r="M3509">
        <v>-0.8026991</v>
      </c>
      <c r="N3509">
        <v>0</v>
      </c>
      <c r="O3509">
        <v>-0.59638380000000002</v>
      </c>
      <c r="P3509">
        <v>-0.76690499999999995</v>
      </c>
      <c r="Q3509">
        <v>-3.485717E-2</v>
      </c>
      <c r="R3509">
        <v>-0.64081350000000004</v>
      </c>
      <c r="S3509">
        <v>-1.496613</v>
      </c>
      <c r="T3509">
        <v>-0.2153455</v>
      </c>
      <c r="U3509">
        <v>-2.889465</v>
      </c>
      <c r="V3509">
        <v>-5.6656730000000002E-2</v>
      </c>
      <c r="W3509">
        <v>-3.457412E-2</v>
      </c>
      <c r="X3509">
        <v>0.99779490000000004</v>
      </c>
      <c r="Y3509">
        <v>-0.43861709999999898</v>
      </c>
      <c r="Z3509">
        <v>2.7154919999999999E-2</v>
      </c>
      <c r="AA3509">
        <v>0.898263699999999</v>
      </c>
      <c r="AB3509">
        <v>17</v>
      </c>
      <c r="AC3509">
        <v>-7.6614999999999798</v>
      </c>
      <c r="AD3509">
        <v>-1.1128522033229999</v>
      </c>
      <c r="AE3509">
        <v>-14.8711999999999</v>
      </c>
      <c r="AF3509">
        <v>-7.3354443547978097</v>
      </c>
      <c r="AG3509">
        <v>-1.1128522033229999</v>
      </c>
      <c r="AH3509">
        <v>14.9526550443621</v>
      </c>
      <c r="AI3509">
        <v>93.822690635613398</v>
      </c>
      <c r="AJ3509">
        <v>116.131555293728</v>
      </c>
      <c r="AK3509">
        <v>16.692186099623498</v>
      </c>
      <c r="AL3509">
        <v>91.981346013207897</v>
      </c>
      <c r="AM3509">
        <v>93.249875766659997</v>
      </c>
      <c r="AN3509">
        <v>1.00000000864703</v>
      </c>
    </row>
    <row r="3510" spans="1:40" x14ac:dyDescent="0.25">
      <c r="A3510" t="str">
        <f>"20190312153953395"</f>
        <v>20190312153953395</v>
      </c>
      <c r="B3510" t="str">
        <f>"1552376393389062"</f>
        <v>1552376393389062</v>
      </c>
      <c r="C3510" t="s">
        <v>40</v>
      </c>
      <c r="D3510">
        <v>4.2429129999999997</v>
      </c>
      <c r="E3510">
        <v>0.3421459</v>
      </c>
      <c r="F3510" t="s">
        <v>41</v>
      </c>
      <c r="G3510">
        <v>-486.00139999999999</v>
      </c>
      <c r="H3510">
        <v>1.044486</v>
      </c>
      <c r="I3510">
        <v>276.70299999999997</v>
      </c>
      <c r="J3510">
        <v>-485.59930000000003</v>
      </c>
      <c r="K3510">
        <v>1.1129039999999999</v>
      </c>
      <c r="L3510">
        <v>277.5598</v>
      </c>
      <c r="M3510">
        <v>-0.80000479999999996</v>
      </c>
      <c r="N3510">
        <v>0</v>
      </c>
      <c r="O3510">
        <v>-0.59999290000000005</v>
      </c>
      <c r="P3510">
        <v>-0.76378539999999995</v>
      </c>
      <c r="Q3510">
        <v>-3.5219199999999902E-2</v>
      </c>
      <c r="R3510">
        <v>-0.64450909999999995</v>
      </c>
      <c r="S3510">
        <v>-1.4831540000000001</v>
      </c>
      <c r="T3510">
        <v>-0.21707509999999999</v>
      </c>
      <c r="U3510">
        <v>-2.8947449999999999</v>
      </c>
      <c r="V3510">
        <v>-5.698553E-2</v>
      </c>
      <c r="W3510">
        <v>-3.4800049999999999E-2</v>
      </c>
      <c r="X3510">
        <v>0.99776830000000005</v>
      </c>
      <c r="Y3510">
        <v>-0.43854779999999999</v>
      </c>
      <c r="Z3510">
        <v>2.7668669999999999E-2</v>
      </c>
      <c r="AA3510">
        <v>0.89828180000000002</v>
      </c>
      <c r="AB3510">
        <v>17</v>
      </c>
      <c r="AC3510">
        <v>-0.40209999999996099</v>
      </c>
      <c r="AD3510">
        <v>-6.8418000000000007E-2</v>
      </c>
      <c r="AE3510">
        <v>-0.85680000000002099</v>
      </c>
      <c r="AF3510">
        <v>-0.44187808627269598</v>
      </c>
      <c r="AG3510">
        <v>-6.8418000000000007E-2</v>
      </c>
      <c r="AH3510">
        <v>0.83141159276265597</v>
      </c>
      <c r="AI3510">
        <v>94.156144242270003</v>
      </c>
      <c r="AJ3510">
        <v>117.98972147102</v>
      </c>
      <c r="AK3510">
        <v>0.94402463020419003</v>
      </c>
      <c r="AL3510">
        <v>91.994298685791904</v>
      </c>
      <c r="AM3510">
        <v>93.268782174840496</v>
      </c>
      <c r="AN3510">
        <v>0.99999998729713602</v>
      </c>
    </row>
    <row r="3511" spans="1:40" x14ac:dyDescent="0.25">
      <c r="A3511" t="str">
        <f>"20190312153953405"</f>
        <v>20190312153953405</v>
      </c>
      <c r="B3511" t="str">
        <f>"1552376393398822"</f>
        <v>1552376393398822</v>
      </c>
      <c r="C3511" t="s">
        <v>40</v>
      </c>
      <c r="D3511">
        <v>4.2596999999999996</v>
      </c>
      <c r="E3511">
        <v>0.35692099999999999</v>
      </c>
      <c r="F3511" t="s">
        <v>42</v>
      </c>
      <c r="G3511">
        <v>-493.09019999999998</v>
      </c>
      <c r="H3511" s="1">
        <v>-2.1836550000000002E-6</v>
      </c>
      <c r="I3511">
        <v>262.76260000000002</v>
      </c>
      <c r="J3511">
        <v>-485.65429999999998</v>
      </c>
      <c r="K3511">
        <v>1.112949</v>
      </c>
      <c r="L3511">
        <v>277.51310000000001</v>
      </c>
      <c r="M3511">
        <v>-0.79769709999999905</v>
      </c>
      <c r="N3511">
        <v>0</v>
      </c>
      <c r="O3511">
        <v>-0.60305759999999997</v>
      </c>
      <c r="P3511">
        <v>-0.76110829999999996</v>
      </c>
      <c r="Q3511">
        <v>-3.5439850000000002E-2</v>
      </c>
      <c r="R3511">
        <v>-0.64765649999999997</v>
      </c>
      <c r="S3511">
        <v>-1.469055</v>
      </c>
      <c r="T3511">
        <v>-0.21825369999999999</v>
      </c>
      <c r="U3511">
        <v>-2.9018860000000002</v>
      </c>
      <c r="V3511">
        <v>-5.7278410000000002E-2</v>
      </c>
      <c r="W3511">
        <v>-3.4899159999999999E-2</v>
      </c>
      <c r="X3511">
        <v>0.99774810000000003</v>
      </c>
      <c r="Y3511">
        <v>-0.4394691</v>
      </c>
      <c r="Z3511">
        <v>2.8030780000000002E-2</v>
      </c>
      <c r="AA3511">
        <v>0.89782019999999996</v>
      </c>
      <c r="AB3511">
        <v>17</v>
      </c>
      <c r="AC3511">
        <v>-7.4359000000000002</v>
      </c>
      <c r="AD3511">
        <v>-1.1129511836549999</v>
      </c>
      <c r="AE3511">
        <v>-14.750499999999899</v>
      </c>
      <c r="AF3511">
        <v>-7.2492511102256403</v>
      </c>
      <c r="AG3511">
        <v>-1.1129511836549999</v>
      </c>
      <c r="AH3511">
        <v>14.760002149801601</v>
      </c>
      <c r="AI3511">
        <v>93.871917742378301</v>
      </c>
      <c r="AJ3511">
        <v>116.157575161373</v>
      </c>
      <c r="AK3511">
        <v>16.481746432294599</v>
      </c>
      <c r="AL3511">
        <v>91.999980657918897</v>
      </c>
      <c r="AM3511">
        <v>93.2856119064691</v>
      </c>
      <c r="AN3511">
        <v>1.00000001933722</v>
      </c>
    </row>
    <row r="3512" spans="1:40" x14ac:dyDescent="0.25">
      <c r="A3512" t="str">
        <f>"20190312153953416"</f>
        <v>20190312153953416</v>
      </c>
      <c r="B3512" t="str">
        <f>"1552376393409558"</f>
        <v>1552376393409558</v>
      </c>
      <c r="C3512" t="s">
        <v>40</v>
      </c>
      <c r="D3512">
        <v>4.2374499999999999</v>
      </c>
      <c r="E3512">
        <v>0.35710760000000003</v>
      </c>
      <c r="F3512" t="s">
        <v>42</v>
      </c>
      <c r="G3512">
        <v>-493.27530000000002</v>
      </c>
      <c r="H3512" s="1">
        <v>-2.5515890000000002E-6</v>
      </c>
      <c r="I3512">
        <v>263.50549999999998</v>
      </c>
      <c r="J3512">
        <v>-485.7167</v>
      </c>
      <c r="K3512">
        <v>1.113003</v>
      </c>
      <c r="L3512">
        <v>277.45999999999998</v>
      </c>
      <c r="M3512">
        <v>-0.79506019999999999</v>
      </c>
      <c r="N3512">
        <v>0</v>
      </c>
      <c r="O3512">
        <v>-0.60652930000000005</v>
      </c>
      <c r="P3512">
        <v>-0.75814040000000005</v>
      </c>
      <c r="Q3512">
        <v>-3.5641529999999998E-2</v>
      </c>
      <c r="R3512">
        <v>-0.65111669999999999</v>
      </c>
      <c r="S3512">
        <v>-1.5332030000000001</v>
      </c>
      <c r="T3512">
        <v>-0.22390470000000001</v>
      </c>
      <c r="U3512">
        <v>-2.8180540000000001</v>
      </c>
      <c r="V3512">
        <v>-5.7476199999999901E-2</v>
      </c>
      <c r="W3512">
        <v>-3.4960909999999998E-2</v>
      </c>
      <c r="X3512">
        <v>0.99773449999999997</v>
      </c>
      <c r="Y3512">
        <v>-0.40875309999999998</v>
      </c>
      <c r="Z3512">
        <v>3.04211E-2</v>
      </c>
      <c r="AA3512">
        <v>0.91213789999999995</v>
      </c>
      <c r="AB3512">
        <v>17</v>
      </c>
      <c r="AC3512">
        <v>-7.55860000000001</v>
      </c>
      <c r="AD3512">
        <v>-1.1130055515889901</v>
      </c>
      <c r="AE3512">
        <v>-13.9544999999999</v>
      </c>
      <c r="AF3512">
        <v>-6.4782963915345197</v>
      </c>
      <c r="AG3512">
        <v>-1.1130055515889901</v>
      </c>
      <c r="AH3512">
        <v>14.4025267621934</v>
      </c>
      <c r="AI3512">
        <v>94.031375685332605</v>
      </c>
      <c r="AJ3512">
        <v>114.21834702761301</v>
      </c>
      <c r="AK3512">
        <v>15.831610234910899</v>
      </c>
      <c r="AL3512">
        <v>92.003520960257703</v>
      </c>
      <c r="AM3512">
        <v>93.296977419116402</v>
      </c>
      <c r="AN3512">
        <v>0.999999955642358</v>
      </c>
    </row>
    <row r="3513" spans="1:40" x14ac:dyDescent="0.25">
      <c r="A3513" t="str">
        <f>"20190312153953426"</f>
        <v>20190312153953426</v>
      </c>
      <c r="B3513" t="str">
        <f>"1552376393419317"</f>
        <v>1552376393419317</v>
      </c>
      <c r="C3513" t="s">
        <v>40</v>
      </c>
      <c r="D3513">
        <v>4.4579199999999997</v>
      </c>
      <c r="E3513">
        <v>0.35751860000000002</v>
      </c>
      <c r="F3513" t="s">
        <v>42</v>
      </c>
      <c r="G3513">
        <v>-493.24040000000002</v>
      </c>
      <c r="H3513" s="1">
        <v>-2.539309E-6</v>
      </c>
      <c r="I3513">
        <v>263.49849999999998</v>
      </c>
      <c r="J3513">
        <v>-485.77440000000001</v>
      </c>
      <c r="K3513">
        <v>1.113051</v>
      </c>
      <c r="L3513">
        <v>277.41019999999997</v>
      </c>
      <c r="M3513">
        <v>-0.79258949999999995</v>
      </c>
      <c r="N3513">
        <v>0</v>
      </c>
      <c r="O3513">
        <v>-0.60975380000000001</v>
      </c>
      <c r="P3513">
        <v>-0.75529029999999997</v>
      </c>
      <c r="Q3513">
        <v>-3.5741740000000001E-2</v>
      </c>
      <c r="R3513">
        <v>-0.65441519999999898</v>
      </c>
      <c r="S3513">
        <v>-1.5215449999999999</v>
      </c>
      <c r="T3513">
        <v>-0.22508739999999999</v>
      </c>
      <c r="U3513">
        <v>-2.8234859999999999</v>
      </c>
      <c r="V3513">
        <v>-5.7772660000000003E-2</v>
      </c>
      <c r="W3513">
        <v>-3.4926939999999997E-2</v>
      </c>
      <c r="X3513">
        <v>0.99771860000000001</v>
      </c>
      <c r="Y3513">
        <v>-0.40870380000000001</v>
      </c>
      <c r="Z3513">
        <v>3.0852899999999999E-2</v>
      </c>
      <c r="AA3513">
        <v>0.9121454</v>
      </c>
      <c r="AB3513">
        <v>17</v>
      </c>
      <c r="AC3513">
        <v>-7.4660000000000002</v>
      </c>
      <c r="AD3513">
        <v>-1.113053539309</v>
      </c>
      <c r="AE3513">
        <v>-13.9116999999999</v>
      </c>
      <c r="AF3513">
        <v>-6.44183704908869</v>
      </c>
      <c r="AG3513">
        <v>-1.113053539309</v>
      </c>
      <c r="AH3513">
        <v>14.3289867713221</v>
      </c>
      <c r="AI3513">
        <v>94.052527552113702</v>
      </c>
      <c r="AJ3513">
        <v>114.207102258695</v>
      </c>
      <c r="AK3513">
        <v>15.749794114244899</v>
      </c>
      <c r="AL3513">
        <v>92.001573368176807</v>
      </c>
      <c r="AM3513">
        <v>93.3139979899792</v>
      </c>
      <c r="AN3513">
        <v>0.99999998808359902</v>
      </c>
    </row>
    <row r="3514" spans="1:40" x14ac:dyDescent="0.25">
      <c r="A3514" t="str">
        <f>"20190312153953436"</f>
        <v>20190312153953436</v>
      </c>
      <c r="B3514" t="str">
        <f>"1552376393429078"</f>
        <v>1552376393429078</v>
      </c>
      <c r="C3514" t="s">
        <v>40</v>
      </c>
      <c r="D3514">
        <v>4.2454320000000001</v>
      </c>
      <c r="E3514">
        <v>0.35833320000000002</v>
      </c>
      <c r="F3514" t="s">
        <v>42</v>
      </c>
      <c r="G3514">
        <v>-493.1474</v>
      </c>
      <c r="H3514" s="1">
        <v>-2.5614140000000001E-6</v>
      </c>
      <c r="I3514">
        <v>263.60770000000002</v>
      </c>
      <c r="J3514">
        <v>-485.8374</v>
      </c>
      <c r="K3514">
        <v>1.113111</v>
      </c>
      <c r="L3514">
        <v>277.35570000000001</v>
      </c>
      <c r="M3514">
        <v>-0.78987430000000003</v>
      </c>
      <c r="N3514">
        <v>0</v>
      </c>
      <c r="O3514">
        <v>-0.6132668</v>
      </c>
      <c r="P3514">
        <v>-0.75215319999999997</v>
      </c>
      <c r="Q3514">
        <v>-3.5851760000000003E-2</v>
      </c>
      <c r="R3514">
        <v>-0.6580125</v>
      </c>
      <c r="S3514">
        <v>-1.5107729999999999</v>
      </c>
      <c r="T3514">
        <v>-0.22807189999999999</v>
      </c>
      <c r="U3514">
        <v>-2.828217</v>
      </c>
      <c r="V3514">
        <v>-5.8105280000000002E-2</v>
      </c>
      <c r="W3514">
        <v>-3.4890129999999998E-2</v>
      </c>
      <c r="X3514">
        <v>0.99770060000000005</v>
      </c>
      <c r="Y3514">
        <v>-0.40800029999999998</v>
      </c>
      <c r="Z3514">
        <v>3.1582560000000003E-2</v>
      </c>
      <c r="AA3514">
        <v>0.91243540000000001</v>
      </c>
      <c r="AB3514">
        <v>18</v>
      </c>
      <c r="AC3514">
        <v>-7.31</v>
      </c>
      <c r="AD3514">
        <v>-1.113113561414</v>
      </c>
      <c r="AE3514">
        <v>-13.7479999999999</v>
      </c>
      <c r="AF3514">
        <v>-6.3437989460779001</v>
      </c>
      <c r="AG3514">
        <v>-1.113113561414</v>
      </c>
      <c r="AH3514">
        <v>14.1329629937986</v>
      </c>
      <c r="AI3514">
        <v>94.109839216850503</v>
      </c>
      <c r="AJ3514">
        <v>114.173664734638</v>
      </c>
      <c r="AK3514">
        <v>15.531369864018499</v>
      </c>
      <c r="AL3514">
        <v>91.999462968460804</v>
      </c>
      <c r="AM3514">
        <v>93.333095088323105</v>
      </c>
      <c r="AN3514">
        <v>1.00000001598782</v>
      </c>
    </row>
    <row r="3515" spans="1:40" x14ac:dyDescent="0.25">
      <c r="A3515" t="str">
        <f>"20190312153953447"</f>
        <v>20190312153953447</v>
      </c>
      <c r="B3515" t="str">
        <f>"1552376393438838"</f>
        <v>1552376393438838</v>
      </c>
      <c r="C3515" t="s">
        <v>40</v>
      </c>
      <c r="D3515">
        <v>4.3703000000000003</v>
      </c>
      <c r="E3515">
        <v>0.35833320000000002</v>
      </c>
      <c r="F3515" t="s">
        <v>42</v>
      </c>
      <c r="G3515">
        <v>-493.06700000000001</v>
      </c>
      <c r="H3515" s="1">
        <v>-2.5916849999999999E-6</v>
      </c>
      <c r="I3515">
        <v>263.72809999999998</v>
      </c>
      <c r="J3515">
        <v>-485.90300000000002</v>
      </c>
      <c r="K3515">
        <v>1.113167</v>
      </c>
      <c r="L3515">
        <v>277.29820000000001</v>
      </c>
      <c r="M3515">
        <v>-0.78701100000000002</v>
      </c>
      <c r="N3515">
        <v>0</v>
      </c>
      <c r="O3515">
        <v>-0.61693640000000005</v>
      </c>
      <c r="P3515">
        <v>-0.74883149999999998</v>
      </c>
      <c r="Q3515">
        <v>-3.5570070000000002E-2</v>
      </c>
      <c r="R3515">
        <v>-0.66180530000000004</v>
      </c>
      <c r="S3515">
        <v>-1.501495</v>
      </c>
      <c r="T3515">
        <v>-0.23117799999999999</v>
      </c>
      <c r="U3515">
        <v>-2.8302610000000001</v>
      </c>
      <c r="V3515">
        <v>-5.8497229999999997E-2</v>
      </c>
      <c r="W3515">
        <v>-3.445028E-2</v>
      </c>
      <c r="X3515">
        <v>0.99769289999999999</v>
      </c>
      <c r="Y3515">
        <v>-0.40637030000000002</v>
      </c>
      <c r="Z3515">
        <v>3.2397500000000003E-2</v>
      </c>
      <c r="AA3515">
        <v>0.91313390000000005</v>
      </c>
      <c r="AB3515">
        <v>18</v>
      </c>
      <c r="AC3515">
        <v>-7.1639999999999198</v>
      </c>
      <c r="AD3515">
        <v>-1.113169591685</v>
      </c>
      <c r="AE3515">
        <v>-13.5701</v>
      </c>
      <c r="AF3515">
        <v>-6.2273246597810896</v>
      </c>
      <c r="AG3515">
        <v>-1.113169591685</v>
      </c>
      <c r="AH3515">
        <v>13.936716647154901</v>
      </c>
      <c r="AI3515">
        <v>94.170873998667702</v>
      </c>
      <c r="AJ3515">
        <v>114.0764614066</v>
      </c>
      <c r="AK3515">
        <v>15.305253668634601</v>
      </c>
      <c r="AL3515">
        <v>91.974246419489305</v>
      </c>
      <c r="AM3515">
        <v>93.355553163919197</v>
      </c>
      <c r="AN3515">
        <v>0.99999993521007802</v>
      </c>
    </row>
    <row r="3516" spans="1:40" x14ac:dyDescent="0.25">
      <c r="A3516" t="str">
        <f>"20190312153953458"</f>
        <v>20190312153953458</v>
      </c>
      <c r="B3516" t="str">
        <f>"1552376393449574"</f>
        <v>1552376393449574</v>
      </c>
      <c r="C3516" t="s">
        <v>40</v>
      </c>
      <c r="D3516">
        <v>4.2572219999999996</v>
      </c>
      <c r="E3516">
        <v>0.3589504</v>
      </c>
      <c r="F3516" t="s">
        <v>42</v>
      </c>
      <c r="G3516">
        <v>-493.09449999999998</v>
      </c>
      <c r="H3516" s="1">
        <v>-2.5323439999999998E-6</v>
      </c>
      <c r="I3516">
        <v>263.57279999999997</v>
      </c>
      <c r="J3516">
        <v>-485.96440000000001</v>
      </c>
      <c r="K3516">
        <v>1.1132230000000001</v>
      </c>
      <c r="L3516">
        <v>277.2441</v>
      </c>
      <c r="M3516">
        <v>-0.78431139999999999</v>
      </c>
      <c r="N3516">
        <v>0</v>
      </c>
      <c r="O3516">
        <v>-0.62036480000000005</v>
      </c>
      <c r="P3516">
        <v>-0.74552089999999904</v>
      </c>
      <c r="Q3516">
        <v>-3.5545399999999998E-2</v>
      </c>
      <c r="R3516">
        <v>-0.66553379999999995</v>
      </c>
      <c r="S3516">
        <v>-1.487061</v>
      </c>
      <c r="T3516">
        <v>-0.23017840000000001</v>
      </c>
      <c r="U3516">
        <v>-2.838104</v>
      </c>
      <c r="V3516">
        <v>-5.9120779999999998E-2</v>
      </c>
      <c r="W3516">
        <v>-3.4279940000000002E-2</v>
      </c>
      <c r="X3516">
        <v>0.9976621</v>
      </c>
      <c r="Y3516">
        <v>-0.4070666</v>
      </c>
      <c r="Z3516">
        <v>3.2520199999999999E-2</v>
      </c>
      <c r="AA3516">
        <v>0.91281939999999995</v>
      </c>
      <c r="AB3516">
        <v>18</v>
      </c>
      <c r="AC3516">
        <v>-7.1300999999999704</v>
      </c>
      <c r="AD3516">
        <v>-1.1132255323439999</v>
      </c>
      <c r="AE3516">
        <v>-13.6713</v>
      </c>
      <c r="AF3516">
        <v>-6.2666374605438202</v>
      </c>
      <c r="AG3516">
        <v>-1.1132255323439999</v>
      </c>
      <c r="AH3516">
        <v>14.0004545756347</v>
      </c>
      <c r="AI3516">
        <v>94.150967351870605</v>
      </c>
      <c r="AJ3516">
        <v>114.113405243785</v>
      </c>
      <c r="AK3516">
        <v>15.379295968026801</v>
      </c>
      <c r="AL3516">
        <v>91.964480714495707</v>
      </c>
      <c r="AM3516">
        <v>93.391343023108504</v>
      </c>
      <c r="AN3516">
        <v>1.0000000233453099</v>
      </c>
    </row>
    <row r="3517" spans="1:40" x14ac:dyDescent="0.25">
      <c r="A3517" t="str">
        <f>"20190312153953469"</f>
        <v>20190312153953469</v>
      </c>
      <c r="B3517" t="str">
        <f>"1552376393459333"</f>
        <v>1552376393459333</v>
      </c>
      <c r="C3517" t="s">
        <v>40</v>
      </c>
      <c r="D3517">
        <v>4.2509819999999996</v>
      </c>
      <c r="E3517">
        <v>0.35952060000000002</v>
      </c>
      <c r="F3517" t="s">
        <v>42</v>
      </c>
      <c r="G3517">
        <v>-493.01580000000001</v>
      </c>
      <c r="H3517" s="1">
        <v>-2.5548929999999999E-6</v>
      </c>
      <c r="I3517">
        <v>263.67410000000001</v>
      </c>
      <c r="J3517">
        <v>-486.02859999999998</v>
      </c>
      <c r="K3517">
        <v>1.113281</v>
      </c>
      <c r="L3517">
        <v>277.1866</v>
      </c>
      <c r="M3517">
        <v>-0.78144859999999905</v>
      </c>
      <c r="N3517">
        <v>0</v>
      </c>
      <c r="O3517">
        <v>-0.62396619999999903</v>
      </c>
      <c r="P3517">
        <v>-0.742332199999999</v>
      </c>
      <c r="Q3517">
        <v>-3.5321539999999998E-2</v>
      </c>
      <c r="R3517">
        <v>-0.66910059999999905</v>
      </c>
      <c r="S3517">
        <v>-1.47644</v>
      </c>
      <c r="T3517">
        <v>-0.2330874</v>
      </c>
      <c r="U3517">
        <v>-2.841278</v>
      </c>
      <c r="V3517">
        <v>-5.9308520000000003E-2</v>
      </c>
      <c r="W3517">
        <v>-3.3893069999999997E-2</v>
      </c>
      <c r="X3517">
        <v>0.9976642</v>
      </c>
      <c r="Y3517">
        <v>-0.40598000000000001</v>
      </c>
      <c r="Z3517">
        <v>3.3292170000000003E-2</v>
      </c>
      <c r="AA3517">
        <v>0.91327539999999996</v>
      </c>
      <c r="AB3517">
        <v>18</v>
      </c>
      <c r="AC3517">
        <v>-6.9872000000000298</v>
      </c>
      <c r="AD3517">
        <v>-1.113283554893</v>
      </c>
      <c r="AE3517">
        <v>-13.5124999999999</v>
      </c>
      <c r="AF3517">
        <v>-6.1665334950905102</v>
      </c>
      <c r="AG3517">
        <v>-1.113283554893</v>
      </c>
      <c r="AH3517">
        <v>13.8175054631488</v>
      </c>
      <c r="AI3517">
        <v>94.208008885873596</v>
      </c>
      <c r="AJ3517">
        <v>114.05044878826899</v>
      </c>
      <c r="AK3517">
        <v>15.1719805181728</v>
      </c>
      <c r="AL3517">
        <v>91.942301759601605</v>
      </c>
      <c r="AM3517">
        <v>93.402079945980404</v>
      </c>
      <c r="AN3517">
        <v>1.0000000483501199</v>
      </c>
    </row>
    <row r="3518" spans="1:40" x14ac:dyDescent="0.25">
      <c r="A3518" t="str">
        <f>"20190312153953480"</f>
        <v>20190312153953480</v>
      </c>
      <c r="B3518" t="str">
        <f>"1552376393469094"</f>
        <v>1552376393469094</v>
      </c>
      <c r="C3518" t="s">
        <v>40</v>
      </c>
      <c r="D3518">
        <v>4.2470059999999998</v>
      </c>
      <c r="E3518">
        <v>0.36011320000000002</v>
      </c>
      <c r="F3518" t="s">
        <v>42</v>
      </c>
      <c r="G3518">
        <v>-492.9796</v>
      </c>
      <c r="H3518" s="1">
        <v>-2.5537689999999998E-6</v>
      </c>
      <c r="I3518">
        <v>263.69400000000002</v>
      </c>
      <c r="J3518">
        <v>-486.09339999999997</v>
      </c>
      <c r="K3518">
        <v>1.113337</v>
      </c>
      <c r="L3518">
        <v>277.1284</v>
      </c>
      <c r="M3518">
        <v>-0.77853899999999998</v>
      </c>
      <c r="N3518">
        <v>0</v>
      </c>
      <c r="O3518">
        <v>-0.62759229999999999</v>
      </c>
      <c r="P3518">
        <v>-0.73883069999999995</v>
      </c>
      <c r="Q3518">
        <v>-3.5426560000000003E-2</v>
      </c>
      <c r="R3518">
        <v>-0.67295950000000004</v>
      </c>
      <c r="S3518">
        <v>-1.4657290000000001</v>
      </c>
      <c r="T3518">
        <v>-0.2347515</v>
      </c>
      <c r="U3518">
        <v>-2.8451230000000001</v>
      </c>
      <c r="V3518">
        <v>-5.9869499999999999E-2</v>
      </c>
      <c r="W3518">
        <v>-3.3837329999999999E-2</v>
      </c>
      <c r="X3518">
        <v>0.99763259999999998</v>
      </c>
      <c r="Y3518">
        <v>-0.4049606</v>
      </c>
      <c r="Z3518">
        <v>3.3888290000000001E-2</v>
      </c>
      <c r="AA3518">
        <v>0.91370589999999996</v>
      </c>
      <c r="AB3518">
        <v>18</v>
      </c>
      <c r="AC3518">
        <v>-6.8862000000000299</v>
      </c>
      <c r="AD3518">
        <v>-1.1133395537690001</v>
      </c>
      <c r="AE3518">
        <v>-13.434399999999901</v>
      </c>
      <c r="AF3518">
        <v>-6.1042931606787896</v>
      </c>
      <c r="AG3518">
        <v>-1.1133395537690001</v>
      </c>
      <c r="AH3518">
        <v>13.7179257873861</v>
      </c>
      <c r="AI3518">
        <v>94.240694567514694</v>
      </c>
      <c r="AJ3518">
        <v>113.988423167912</v>
      </c>
      <c r="AK3518">
        <v>15.0560090283491</v>
      </c>
      <c r="AL3518">
        <v>91.939106231180304</v>
      </c>
      <c r="AM3518">
        <v>93.434290975829697</v>
      </c>
      <c r="AN3518">
        <v>1.0000000632572601</v>
      </c>
    </row>
    <row r="3519" spans="1:40" x14ac:dyDescent="0.25">
      <c r="A3519" t="str">
        <f>"20190312153953491"</f>
        <v>20190312153953491</v>
      </c>
      <c r="B3519" t="str">
        <f>"1552376393489589"</f>
        <v>1552376393489589</v>
      </c>
      <c r="C3519" t="s">
        <v>40</v>
      </c>
      <c r="D3519">
        <v>4.273263</v>
      </c>
      <c r="E3519">
        <v>0.36139559999999998</v>
      </c>
      <c r="F3519" t="s">
        <v>42</v>
      </c>
      <c r="G3519">
        <v>-492.95299999999997</v>
      </c>
      <c r="H3519" s="1">
        <v>-2.5420750000000001E-6</v>
      </c>
      <c r="I3519">
        <v>263.6832</v>
      </c>
      <c r="J3519">
        <v>-486.16210000000001</v>
      </c>
      <c r="K3519">
        <v>1.1133930000000001</v>
      </c>
      <c r="L3519">
        <v>277.0659</v>
      </c>
      <c r="M3519">
        <v>-0.77541890000000002</v>
      </c>
      <c r="N3519">
        <v>0</v>
      </c>
      <c r="O3519">
        <v>-0.63144239999999996</v>
      </c>
      <c r="P3519">
        <v>-0.73543019999999903</v>
      </c>
      <c r="Q3519">
        <v>-3.5211689999999997E-2</v>
      </c>
      <c r="R3519">
        <v>-0.67668509999999904</v>
      </c>
      <c r="S3519">
        <v>-1.453735</v>
      </c>
      <c r="T3519">
        <v>-0.23594609999999999</v>
      </c>
      <c r="U3519">
        <v>-2.849396</v>
      </c>
      <c r="V3519">
        <v>-5.9963540000000003E-2</v>
      </c>
      <c r="W3519">
        <v>-3.3443830000000001E-2</v>
      </c>
      <c r="X3519">
        <v>0.99764010000000003</v>
      </c>
      <c r="Y3519">
        <v>-0.40404420000000002</v>
      </c>
      <c r="Z3519">
        <v>3.4439440000000002E-2</v>
      </c>
      <c r="AA3519">
        <v>0.91409090000000004</v>
      </c>
      <c r="AB3519">
        <v>18</v>
      </c>
      <c r="AC3519">
        <v>-6.7909000000000201</v>
      </c>
      <c r="AD3519">
        <v>-1.1133955420749999</v>
      </c>
      <c r="AE3519">
        <v>-13.3827</v>
      </c>
      <c r="AF3519">
        <v>-6.0558213411448403</v>
      </c>
      <c r="AG3519">
        <v>-1.1133955420749999</v>
      </c>
      <c r="AH3519">
        <v>13.641152146453701</v>
      </c>
      <c r="AI3519">
        <v>94.266341891395697</v>
      </c>
      <c r="AJ3519">
        <v>113.93823797170499</v>
      </c>
      <c r="AK3519">
        <v>14.966417528309099</v>
      </c>
      <c r="AL3519">
        <v>91.916547806424802</v>
      </c>
      <c r="AM3519">
        <v>93.439646649275602</v>
      </c>
      <c r="AN3519">
        <v>0.99999994251120305</v>
      </c>
    </row>
    <row r="3520" spans="1:40" x14ac:dyDescent="0.25">
      <c r="A3520" t="str">
        <f>"20190312153953503"</f>
        <v>20190312153953503</v>
      </c>
      <c r="B3520" t="str">
        <f>"1552376393499349"</f>
        <v>1552376393499349</v>
      </c>
      <c r="C3520" t="s">
        <v>40</v>
      </c>
      <c r="D3520">
        <v>4.410291</v>
      </c>
      <c r="E3520">
        <v>0.3623864</v>
      </c>
      <c r="F3520" t="s">
        <v>42</v>
      </c>
      <c r="G3520">
        <v>-493.173</v>
      </c>
      <c r="H3520" s="1">
        <v>-2.4195279999999998E-6</v>
      </c>
      <c r="I3520">
        <v>263.2611</v>
      </c>
      <c r="J3520">
        <v>-486.22629999999998</v>
      </c>
      <c r="K3520">
        <v>1.1134409999999999</v>
      </c>
      <c r="L3520">
        <v>277.00709999999998</v>
      </c>
      <c r="M3520">
        <v>-0.77248099999999997</v>
      </c>
      <c r="N3520">
        <v>0</v>
      </c>
      <c r="O3520">
        <v>-0.63503279999999995</v>
      </c>
      <c r="P3520">
        <v>-0.73218019999999995</v>
      </c>
      <c r="Q3520">
        <v>-3.5333070000000001E-2</v>
      </c>
      <c r="R3520">
        <v>-0.68019459999999998</v>
      </c>
      <c r="S3520">
        <v>-1.446869</v>
      </c>
      <c r="T3520">
        <v>-0.22977790000000001</v>
      </c>
      <c r="U3520">
        <v>-2.8489689999999999</v>
      </c>
      <c r="V3520">
        <v>-6.0106819999999998E-2</v>
      </c>
      <c r="W3520">
        <v>-3.3398169999999998E-2</v>
      </c>
      <c r="X3520">
        <v>0.99763299999999999</v>
      </c>
      <c r="Y3520">
        <v>-0.40148790000000001</v>
      </c>
      <c r="Z3520">
        <v>3.3961850000000002E-2</v>
      </c>
      <c r="AA3520">
        <v>0.9152344</v>
      </c>
      <c r="AB3520">
        <v>18</v>
      </c>
      <c r="AC3520">
        <v>-6.9467000000000203</v>
      </c>
      <c r="AD3520">
        <v>-1.1134434195280001</v>
      </c>
      <c r="AE3520">
        <v>-13.745999999999899</v>
      </c>
      <c r="AF3520">
        <v>-6.1748888812738398</v>
      </c>
      <c r="AG3520">
        <v>-1.1134434195280001</v>
      </c>
      <c r="AH3520">
        <v>14.022114519682001</v>
      </c>
      <c r="AI3520">
        <v>94.156484541495999</v>
      </c>
      <c r="AJ3520">
        <v>113.76715138319901</v>
      </c>
      <c r="AK3520">
        <v>15.361923855677899</v>
      </c>
      <c r="AL3520">
        <v>91.913930232831802</v>
      </c>
      <c r="AM3520">
        <v>93.447870194951506</v>
      </c>
      <c r="AN3520">
        <v>0.99999993512942797</v>
      </c>
    </row>
    <row r="3521" spans="1:40" x14ac:dyDescent="0.25">
      <c r="A3521" t="str">
        <f>"20190312153953513"</f>
        <v>20190312153953513</v>
      </c>
      <c r="B3521" t="str">
        <f>"1552376393509110"</f>
        <v>1552376393509110</v>
      </c>
      <c r="C3521" t="s">
        <v>40</v>
      </c>
      <c r="D3521">
        <v>4.2452509999999997</v>
      </c>
      <c r="E3521">
        <v>0.36296279999999997</v>
      </c>
      <c r="F3521" t="s">
        <v>42</v>
      </c>
      <c r="G3521">
        <v>-493.2559</v>
      </c>
      <c r="H3521" s="1">
        <v>-2.3643290000000001E-6</v>
      </c>
      <c r="I3521">
        <v>263.08109999999999</v>
      </c>
      <c r="J3521">
        <v>-486.29160000000002</v>
      </c>
      <c r="K3521">
        <v>1.113494</v>
      </c>
      <c r="L3521">
        <v>276.94670000000002</v>
      </c>
      <c r="M3521">
        <v>-0.76945699999999995</v>
      </c>
      <c r="N3521">
        <v>0</v>
      </c>
      <c r="O3521">
        <v>-0.63869259999999906</v>
      </c>
      <c r="P3521">
        <v>-0.728832699999999</v>
      </c>
      <c r="Q3521">
        <v>-3.5347759999999999E-2</v>
      </c>
      <c r="R3521">
        <v>-0.68377909999999997</v>
      </c>
      <c r="S3521">
        <v>-1.43866</v>
      </c>
      <c r="T3521">
        <v>-0.2278741</v>
      </c>
      <c r="U3521">
        <v>-2.8500670000000001</v>
      </c>
      <c r="V3521">
        <v>-6.0266010000000002E-2</v>
      </c>
      <c r="W3521">
        <v>-3.3241569999999998E-2</v>
      </c>
      <c r="X3521">
        <v>0.99762870000000003</v>
      </c>
      <c r="Y3521">
        <v>-0.39938380000000001</v>
      </c>
      <c r="Z3521">
        <v>3.4081529999999999E-2</v>
      </c>
      <c r="AA3521">
        <v>0.91615020000000003</v>
      </c>
      <c r="AB3521">
        <v>18</v>
      </c>
      <c r="AC3521">
        <v>-6.9642999999999802</v>
      </c>
      <c r="AD3521">
        <v>-1.1134963643289999</v>
      </c>
      <c r="AE3521">
        <v>-13.865600000000001</v>
      </c>
      <c r="AF3521">
        <v>-6.1890867606698396</v>
      </c>
      <c r="AG3521">
        <v>-1.1134963643289999</v>
      </c>
      <c r="AH3521">
        <v>14.141811045666</v>
      </c>
      <c r="AI3521">
        <v>94.125740219980798</v>
      </c>
      <c r="AJ3521">
        <v>113.636329678935</v>
      </c>
      <c r="AK3521">
        <v>15.476934087079201</v>
      </c>
      <c r="AL3521">
        <v>91.904952588489806</v>
      </c>
      <c r="AM3521">
        <v>93.456994460008005</v>
      </c>
      <c r="AN3521">
        <v>1.0000000085005301</v>
      </c>
    </row>
    <row r="3522" spans="1:40" x14ac:dyDescent="0.25">
      <c r="A3522" t="str">
        <f>"20190312153953525"</f>
        <v>20190312153953525</v>
      </c>
      <c r="B3522" t="str">
        <f>"1552376393518870"</f>
        <v>1552376393518870</v>
      </c>
      <c r="C3522" t="s">
        <v>40</v>
      </c>
      <c r="D3522">
        <v>4.2471319999999997</v>
      </c>
      <c r="E3522">
        <v>0.36352810000000002</v>
      </c>
      <c r="F3522" t="s">
        <v>42</v>
      </c>
      <c r="G3522">
        <v>-493.2466</v>
      </c>
      <c r="H3522" s="1">
        <v>-2.3469599999999999E-6</v>
      </c>
      <c r="I3522">
        <v>263.04629999999997</v>
      </c>
      <c r="J3522">
        <v>-486.3553</v>
      </c>
      <c r="K3522">
        <v>1.1135459999999999</v>
      </c>
      <c r="L3522">
        <v>276.887</v>
      </c>
      <c r="M3522">
        <v>-0.76647929999999997</v>
      </c>
      <c r="N3522">
        <v>0</v>
      </c>
      <c r="O3522">
        <v>-0.64226229999999995</v>
      </c>
      <c r="P3522">
        <v>-0.72570059999999903</v>
      </c>
      <c r="Q3522">
        <v>-3.5452709999999998E-2</v>
      </c>
      <c r="R3522">
        <v>-0.6870967</v>
      </c>
      <c r="S3522">
        <v>-1.427826</v>
      </c>
      <c r="T3522">
        <v>-0.22859450000000001</v>
      </c>
      <c r="U3522">
        <v>-2.8536679999999999</v>
      </c>
      <c r="V3522">
        <v>-6.0181480000000002E-2</v>
      </c>
      <c r="W3522">
        <v>-3.3173040000000001E-2</v>
      </c>
      <c r="X3522">
        <v>0.99763610000000003</v>
      </c>
      <c r="Y3522">
        <v>-0.39837309999999998</v>
      </c>
      <c r="Z3522">
        <v>3.4537379999999999E-2</v>
      </c>
      <c r="AA3522">
        <v>0.91657299999999997</v>
      </c>
      <c r="AB3522">
        <v>18</v>
      </c>
      <c r="AC3522">
        <v>-6.8913000000000002</v>
      </c>
      <c r="AD3522">
        <v>-1.1135483469599901</v>
      </c>
      <c r="AE3522">
        <v>-13.8407</v>
      </c>
      <c r="AF3522">
        <v>-6.15071047306418</v>
      </c>
      <c r="AG3522">
        <v>-1.1135483469599901</v>
      </c>
      <c r="AH3522">
        <v>14.098330968210499</v>
      </c>
      <c r="AI3522">
        <v>94.140689745554198</v>
      </c>
      <c r="AJ3522">
        <v>113.57030719711901</v>
      </c>
      <c r="AK3522">
        <v>15.421872951547799</v>
      </c>
      <c r="AL3522">
        <v>91.901023911485694</v>
      </c>
      <c r="AM3522">
        <v>93.452131818355795</v>
      </c>
      <c r="AN3522">
        <v>1.0000000245705201</v>
      </c>
    </row>
    <row r="3523" spans="1:40" x14ac:dyDescent="0.25">
      <c r="A3523" t="str">
        <f>"20190312153953536"</f>
        <v>20190312153953536</v>
      </c>
      <c r="B3523" t="str">
        <f>"1552376393529605"</f>
        <v>1552376393529605</v>
      </c>
      <c r="C3523" t="s">
        <v>40</v>
      </c>
      <c r="D3523">
        <v>4.3709379999999998</v>
      </c>
      <c r="E3523">
        <v>0.36434270000000002</v>
      </c>
      <c r="F3523" t="s">
        <v>42</v>
      </c>
      <c r="G3523">
        <v>-493.2045</v>
      </c>
      <c r="H3523" s="1">
        <v>-2.3526600000000001E-6</v>
      </c>
      <c r="I3523">
        <v>263.08569999999997</v>
      </c>
      <c r="J3523">
        <v>-486.42340000000002</v>
      </c>
      <c r="K3523">
        <v>1.1136029999999999</v>
      </c>
      <c r="L3523">
        <v>276.82279999999997</v>
      </c>
      <c r="M3523">
        <v>-0.7632681</v>
      </c>
      <c r="N3523">
        <v>0</v>
      </c>
      <c r="O3523">
        <v>-0.64607419999999904</v>
      </c>
      <c r="P3523">
        <v>-0.7223752</v>
      </c>
      <c r="Q3523">
        <v>-3.5212729999999998E-2</v>
      </c>
      <c r="R3523">
        <v>-0.69060429999999995</v>
      </c>
      <c r="S3523">
        <v>-1.417786</v>
      </c>
      <c r="T3523">
        <v>-0.2305055</v>
      </c>
      <c r="U3523">
        <v>-2.8568730000000002</v>
      </c>
      <c r="V3523">
        <v>-6.0036760000000002E-2</v>
      </c>
      <c r="W3523">
        <v>-3.2745219999999998E-2</v>
      </c>
      <c r="X3523">
        <v>0.99765890000000002</v>
      </c>
      <c r="Y3523">
        <v>-0.39680650000000001</v>
      </c>
      <c r="Z3523">
        <v>3.5214429999999998E-2</v>
      </c>
      <c r="AA3523">
        <v>0.9172266</v>
      </c>
      <c r="AB3523">
        <v>18</v>
      </c>
      <c r="AC3523">
        <v>-6.7810999999999799</v>
      </c>
      <c r="AD3523">
        <v>-1.11360535266</v>
      </c>
      <c r="AE3523">
        <v>-13.7370999999999</v>
      </c>
      <c r="AF3523">
        <v>-6.0719424214423503</v>
      </c>
      <c r="AG3523">
        <v>-1.11360535266</v>
      </c>
      <c r="AH3523">
        <v>13.977196999449101</v>
      </c>
      <c r="AI3523">
        <v>94.179487486853006</v>
      </c>
      <c r="AJ3523">
        <v>113.48098180122</v>
      </c>
      <c r="AK3523">
        <v>15.279745993052201</v>
      </c>
      <c r="AL3523">
        <v>91.876498406628301</v>
      </c>
      <c r="AM3523">
        <v>93.4437718746466</v>
      </c>
      <c r="AN3523">
        <v>0.99999997136667695</v>
      </c>
    </row>
    <row r="3524" spans="1:40" x14ac:dyDescent="0.25">
      <c r="A3524" t="str">
        <f>"20190312153953548"</f>
        <v>20190312153953548</v>
      </c>
      <c r="B3524" t="str">
        <f>"1552376393539366"</f>
        <v>1552376393539366</v>
      </c>
      <c r="C3524" t="s">
        <v>40</v>
      </c>
      <c r="D3524">
        <v>4.2518120000000001</v>
      </c>
      <c r="E3524">
        <v>0.36487819999999999</v>
      </c>
      <c r="F3524" t="s">
        <v>42</v>
      </c>
      <c r="G3524">
        <v>-493.2808</v>
      </c>
      <c r="H3524" s="1">
        <v>-2.2937190000000001E-6</v>
      </c>
      <c r="I3524">
        <v>262.90100000000001</v>
      </c>
      <c r="J3524">
        <v>-486.49009999999998</v>
      </c>
      <c r="K3524">
        <v>1.113656</v>
      </c>
      <c r="L3524">
        <v>276.75900000000001</v>
      </c>
      <c r="M3524">
        <v>-0.76008529999999996</v>
      </c>
      <c r="N3524">
        <v>0</v>
      </c>
      <c r="O3524">
        <v>-0.64981499999999903</v>
      </c>
      <c r="P3524">
        <v>-0.71920269999999897</v>
      </c>
      <c r="Q3524">
        <v>-3.5281800000000002E-2</v>
      </c>
      <c r="R3524">
        <v>-0.69390439999999998</v>
      </c>
      <c r="S3524">
        <v>-1.4083559999999999</v>
      </c>
      <c r="T3524">
        <v>-0.22870869999999999</v>
      </c>
      <c r="U3524">
        <v>-2.8592219999999999</v>
      </c>
      <c r="V3524">
        <v>-5.9705899999999999E-2</v>
      </c>
      <c r="W3524">
        <v>-3.2618649999999999E-2</v>
      </c>
      <c r="X3524">
        <v>0.99768290000000004</v>
      </c>
      <c r="Y3524">
        <v>-0.39503250000000001</v>
      </c>
      <c r="Z3524">
        <v>3.533327E-2</v>
      </c>
      <c r="AA3524">
        <v>0.91798740000000001</v>
      </c>
      <c r="AB3524">
        <v>18</v>
      </c>
      <c r="AC3524">
        <v>-6.79070000000001</v>
      </c>
      <c r="AD3524">
        <v>-1.113658293719</v>
      </c>
      <c r="AE3524">
        <v>-13.858000000000001</v>
      </c>
      <c r="AF3524">
        <v>-6.0888878214122704</v>
      </c>
      <c r="AG3524">
        <v>-1.113658293719</v>
      </c>
      <c r="AH3524">
        <v>14.093331342867099</v>
      </c>
      <c r="AI3524">
        <v>94.148947703248894</v>
      </c>
      <c r="AJ3524">
        <v>113.36629278760699</v>
      </c>
      <c r="AK3524">
        <v>15.3927508274756</v>
      </c>
      <c r="AL3524">
        <v>91.869242606339299</v>
      </c>
      <c r="AM3524">
        <v>93.424756504493601</v>
      </c>
      <c r="AN3524">
        <v>0.99999996988752005</v>
      </c>
    </row>
    <row r="3525" spans="1:40" x14ac:dyDescent="0.25">
      <c r="A3525" t="str">
        <f>"20190312153953560"</f>
        <v>20190312153953560</v>
      </c>
      <c r="B3525" t="str">
        <f>"1552376393549128"</f>
        <v>1552376393549128</v>
      </c>
      <c r="C3525" t="s">
        <v>40</v>
      </c>
      <c r="D3525">
        <v>4.4356650000000002</v>
      </c>
      <c r="E3525">
        <v>0.36544290000000001</v>
      </c>
      <c r="F3525" t="s">
        <v>42</v>
      </c>
      <c r="G3525">
        <v>-493.29500000000002</v>
      </c>
      <c r="H3525" s="1">
        <v>-2.269208E-6</v>
      </c>
      <c r="I3525">
        <v>262.83499999999998</v>
      </c>
      <c r="J3525">
        <v>-486.55959999999999</v>
      </c>
      <c r="K3525">
        <v>1.113707</v>
      </c>
      <c r="L3525">
        <v>276.69220000000001</v>
      </c>
      <c r="M3525">
        <v>-0.75674580000000002</v>
      </c>
      <c r="N3525">
        <v>0</v>
      </c>
      <c r="O3525">
        <v>-0.65369960000000005</v>
      </c>
      <c r="P3525">
        <v>-0.71562000000000003</v>
      </c>
      <c r="Q3525">
        <v>-3.5321369999999998E-2</v>
      </c>
      <c r="R3525">
        <v>-0.69759649999999995</v>
      </c>
      <c r="S3525">
        <v>-1.398712</v>
      </c>
      <c r="T3525">
        <v>-0.2289062</v>
      </c>
      <c r="U3525">
        <v>-2.8620000000000001</v>
      </c>
      <c r="V3525">
        <v>-5.9730480000000002E-2</v>
      </c>
      <c r="W3525">
        <v>-3.2455890000000001E-2</v>
      </c>
      <c r="X3525">
        <v>0.99768670000000004</v>
      </c>
      <c r="Y3525">
        <v>-0.39318110000000001</v>
      </c>
      <c r="Z3525">
        <v>3.5767729999999998E-2</v>
      </c>
      <c r="AA3525">
        <v>0.9187651</v>
      </c>
      <c r="AB3525">
        <v>18</v>
      </c>
      <c r="AC3525">
        <v>-6.7354000000000198</v>
      </c>
      <c r="AD3525">
        <v>-1.113709269208</v>
      </c>
      <c r="AE3525">
        <v>-13.857200000000001</v>
      </c>
      <c r="AF3525">
        <v>-6.0518670655906002</v>
      </c>
      <c r="AG3525">
        <v>-1.113709269208</v>
      </c>
      <c r="AH3525">
        <v>14.0819430906599</v>
      </c>
      <c r="AI3525">
        <v>94.155910131957199</v>
      </c>
      <c r="AJ3525">
        <v>113.25613708718301</v>
      </c>
      <c r="AK3525">
        <v>15.3677117530387</v>
      </c>
      <c r="AL3525">
        <v>91.859912273005506</v>
      </c>
      <c r="AM3525">
        <v>93.426150047559005</v>
      </c>
      <c r="AN3525">
        <v>0.99999993319680403</v>
      </c>
    </row>
    <row r="3526" spans="1:40" x14ac:dyDescent="0.25">
      <c r="A3526" t="str">
        <f>"20190312153953572"</f>
        <v>20190312153953572</v>
      </c>
      <c r="B3526" t="str">
        <f>"1552376393569267"</f>
        <v>1552376393569267</v>
      </c>
      <c r="C3526" t="s">
        <v>40</v>
      </c>
      <c r="D3526">
        <v>4.2585189999999997</v>
      </c>
      <c r="E3526">
        <v>0.36666749999999998</v>
      </c>
      <c r="F3526" t="s">
        <v>42</v>
      </c>
      <c r="G3526">
        <v>-493.31099999999998</v>
      </c>
      <c r="H3526" s="1">
        <v>-2.233881E-6</v>
      </c>
      <c r="I3526">
        <v>262.74279999999999</v>
      </c>
      <c r="J3526">
        <v>-486.63260000000002</v>
      </c>
      <c r="K3526">
        <v>1.1137649999999999</v>
      </c>
      <c r="L3526">
        <v>276.62110000000001</v>
      </c>
      <c r="M3526">
        <v>-0.75319720000000001</v>
      </c>
      <c r="N3526">
        <v>0</v>
      </c>
      <c r="O3526">
        <v>-0.65778369999999997</v>
      </c>
      <c r="P3526">
        <v>-0.7120765</v>
      </c>
      <c r="Q3526">
        <v>-3.5233100000000003E-2</v>
      </c>
      <c r="R3526">
        <v>-0.70121730000000004</v>
      </c>
      <c r="S3526">
        <v>-1.3871150000000001</v>
      </c>
      <c r="T3526">
        <v>-0.22881779999999999</v>
      </c>
      <c r="U3526">
        <v>-2.8659970000000001</v>
      </c>
      <c r="V3526">
        <v>-5.9391409999999999E-2</v>
      </c>
      <c r="W3526">
        <v>-3.2141059999999999E-2</v>
      </c>
      <c r="X3526">
        <v>0.99771719999999997</v>
      </c>
      <c r="Y3526">
        <v>-0.39172679999999999</v>
      </c>
      <c r="Z3526">
        <v>3.6159829999999997E-2</v>
      </c>
      <c r="AA3526">
        <v>0.91937080000000004</v>
      </c>
      <c r="AB3526">
        <v>18</v>
      </c>
      <c r="AC3526">
        <v>-6.6783999999999502</v>
      </c>
      <c r="AD3526">
        <v>-1.1137672338810001</v>
      </c>
      <c r="AE3526">
        <v>-13.878299999999999</v>
      </c>
      <c r="AF3526">
        <v>-6.02867136354614</v>
      </c>
      <c r="AG3526">
        <v>-1.1137672338810001</v>
      </c>
      <c r="AH3526">
        <v>14.085514918039699</v>
      </c>
      <c r="AI3526">
        <v>94.157709746319398</v>
      </c>
      <c r="AJ3526">
        <v>113.171168779789</v>
      </c>
      <c r="AK3526">
        <v>15.361871187040601</v>
      </c>
      <c r="AL3526">
        <v>91.841864303624504</v>
      </c>
      <c r="AM3526">
        <v>93.406642976652705</v>
      </c>
      <c r="AN3526">
        <v>0.99999999924777505</v>
      </c>
    </row>
    <row r="3527" spans="1:40" x14ac:dyDescent="0.25">
      <c r="A3527" t="str">
        <f>"20190312153953585"</f>
        <v>20190312153953585</v>
      </c>
      <c r="B3527" t="str">
        <f>"1552376393578809"</f>
        <v>1552376393578809</v>
      </c>
      <c r="C3527" t="s">
        <v>40</v>
      </c>
      <c r="D3527">
        <v>4.2565359999999997</v>
      </c>
      <c r="E3527">
        <v>0.36719069999999998</v>
      </c>
      <c r="F3527" t="s">
        <v>42</v>
      </c>
      <c r="G3527">
        <v>-493.38139999999999</v>
      </c>
      <c r="H3527" s="1">
        <v>-2.1893060000000001E-6</v>
      </c>
      <c r="I3527">
        <v>262.59519999999998</v>
      </c>
      <c r="J3527">
        <v>-486.70460000000003</v>
      </c>
      <c r="K3527">
        <v>1.113818</v>
      </c>
      <c r="L3527">
        <v>276.55020000000002</v>
      </c>
      <c r="M3527">
        <v>-0.74965360000000003</v>
      </c>
      <c r="N3527">
        <v>0</v>
      </c>
      <c r="O3527">
        <v>-0.66181809999999996</v>
      </c>
      <c r="P3527">
        <v>-0.70829540000000002</v>
      </c>
      <c r="Q3527">
        <v>-3.5095109999999999E-2</v>
      </c>
      <c r="R3527">
        <v>-0.70504350000000005</v>
      </c>
      <c r="S3527">
        <v>-1.379181</v>
      </c>
      <c r="T3527">
        <v>-0.22760630000000001</v>
      </c>
      <c r="U3527">
        <v>-2.8663020000000001</v>
      </c>
      <c r="V3527">
        <v>-5.940732E-2</v>
      </c>
      <c r="W3527">
        <v>-3.1777109999999997E-2</v>
      </c>
      <c r="X3527">
        <v>0.9977279</v>
      </c>
      <c r="Y3527">
        <v>-0.38889380000000001</v>
      </c>
      <c r="Z3527">
        <v>3.6430129999999998E-2</v>
      </c>
      <c r="AA3527">
        <v>0.92056199999999999</v>
      </c>
      <c r="AB3527">
        <v>18</v>
      </c>
      <c r="AC3527">
        <v>-6.6767999999999503</v>
      </c>
      <c r="AD3527">
        <v>-1.113820189306</v>
      </c>
      <c r="AE3527">
        <v>-13.955</v>
      </c>
      <c r="AF3527">
        <v>-6.0114758127141901</v>
      </c>
      <c r="AG3527">
        <v>-1.113820189306</v>
      </c>
      <c r="AH3527">
        <v>14.1676325286238</v>
      </c>
      <c r="AI3527">
        <v>94.139383433704296</v>
      </c>
      <c r="AJ3527">
        <v>112.992024197549</v>
      </c>
      <c r="AK3527">
        <v>15.4304973454219</v>
      </c>
      <c r="AL3527">
        <v>91.821000866761295</v>
      </c>
      <c r="AM3527">
        <v>93.407516953479103</v>
      </c>
      <c r="AN3527">
        <v>0.99999998841397197</v>
      </c>
    </row>
    <row r="3528" spans="1:40" x14ac:dyDescent="0.25">
      <c r="A3528" t="str">
        <f>"20190312153953594"</f>
        <v>20190312153953594</v>
      </c>
      <c r="B3528" t="str">
        <f>"1552376393589009"</f>
        <v>1552376393589009</v>
      </c>
      <c r="C3528" t="s">
        <v>40</v>
      </c>
      <c r="D3528">
        <v>4.2775589999999903</v>
      </c>
      <c r="E3528">
        <v>0.36770789999999998</v>
      </c>
      <c r="F3528" t="s">
        <v>42</v>
      </c>
      <c r="G3528">
        <v>-493.3732</v>
      </c>
      <c r="H3528" s="1">
        <v>-2.165566E-6</v>
      </c>
      <c r="I3528">
        <v>262.54489999999998</v>
      </c>
      <c r="J3528">
        <v>-486.76440000000002</v>
      </c>
      <c r="K3528">
        <v>1.1138629999999901</v>
      </c>
      <c r="L3528">
        <v>276.49090000000001</v>
      </c>
      <c r="M3528">
        <v>-0.74668999999999996</v>
      </c>
      <c r="N3528">
        <v>0</v>
      </c>
      <c r="O3528">
        <v>-0.6651589</v>
      </c>
      <c r="P3528">
        <v>-0.70543599999999995</v>
      </c>
      <c r="Q3528">
        <v>-3.5196819999999997E-2</v>
      </c>
      <c r="R3528">
        <v>-0.70789950000000001</v>
      </c>
      <c r="S3528">
        <v>-1.3668209999999901</v>
      </c>
      <c r="T3528">
        <v>-0.22829099999999999</v>
      </c>
      <c r="U3528">
        <v>-2.8705440000000002</v>
      </c>
      <c r="V3528">
        <v>-5.8985490000000002E-2</v>
      </c>
      <c r="W3528">
        <v>-3.1683000000000003E-2</v>
      </c>
      <c r="X3528">
        <v>0.99775590000000003</v>
      </c>
      <c r="Y3528">
        <v>-0.3885441</v>
      </c>
      <c r="Z3528">
        <v>3.6849380000000001E-2</v>
      </c>
      <c r="AA3528">
        <v>0.92069299999999998</v>
      </c>
      <c r="AB3528">
        <v>18</v>
      </c>
      <c r="AC3528">
        <v>-6.6087999999999703</v>
      </c>
      <c r="AD3528">
        <v>-1.1138651655659999</v>
      </c>
      <c r="AE3528">
        <v>-13.946</v>
      </c>
      <c r="AF3528">
        <v>-5.9863050546593399</v>
      </c>
      <c r="AG3528">
        <v>-1.1138651655659999</v>
      </c>
      <c r="AH3528">
        <v>14.137509323049001</v>
      </c>
      <c r="AI3528">
        <v>94.1496413727332</v>
      </c>
      <c r="AJ3528">
        <v>112.94946121878699</v>
      </c>
      <c r="AK3528">
        <v>15.393041079455299</v>
      </c>
      <c r="AL3528">
        <v>91.815606081077206</v>
      </c>
      <c r="AM3528">
        <v>93.383283082887701</v>
      </c>
      <c r="AN3528">
        <v>0.99999996825217397</v>
      </c>
    </row>
    <row r="3529" spans="1:40" x14ac:dyDescent="0.25">
      <c r="A3529" t="str">
        <f>"20190312153953605"</f>
        <v>20190312153953605</v>
      </c>
      <c r="B3529" t="str">
        <f>"1552376393599582"</f>
        <v>1552376393599582</v>
      </c>
      <c r="C3529" t="s">
        <v>40</v>
      </c>
      <c r="D3529">
        <v>4.2733489999999996</v>
      </c>
      <c r="E3529">
        <v>0.36821399999999999</v>
      </c>
      <c r="F3529" t="s">
        <v>42</v>
      </c>
      <c r="G3529">
        <v>-493.34570000000002</v>
      </c>
      <c r="H3529" s="1">
        <v>-2.1672370000000002E-6</v>
      </c>
      <c r="I3529">
        <v>262.5659</v>
      </c>
      <c r="J3529">
        <v>-486.82380000000001</v>
      </c>
      <c r="K3529">
        <v>1.1139030000000001</v>
      </c>
      <c r="L3529">
        <v>276.43119999999999</v>
      </c>
      <c r="M3529">
        <v>-0.7437068</v>
      </c>
      <c r="N3529">
        <v>0</v>
      </c>
      <c r="O3529">
        <v>-0.66849139999999996</v>
      </c>
      <c r="P3529">
        <v>-0.70212240000000004</v>
      </c>
      <c r="Q3529">
        <v>-3.5386380000000002E-2</v>
      </c>
      <c r="R3529">
        <v>-0.71117659999999905</v>
      </c>
      <c r="S3529">
        <v>-1.35797099999999</v>
      </c>
      <c r="T3529">
        <v>-0.22983020000000001</v>
      </c>
      <c r="U3529">
        <v>-2.87323</v>
      </c>
      <c r="V3529">
        <v>-5.9173900000000001E-2</v>
      </c>
      <c r="W3529">
        <v>-3.1678369999999997E-2</v>
      </c>
      <c r="X3529">
        <v>0.99774490000000005</v>
      </c>
      <c r="Y3529">
        <v>-0.38708310000000001</v>
      </c>
      <c r="Z3529">
        <v>3.7440899999999999E-2</v>
      </c>
      <c r="AA3529">
        <v>0.92128429999999994</v>
      </c>
      <c r="AB3529">
        <v>18</v>
      </c>
      <c r="AC3529">
        <v>-6.5219000000000102</v>
      </c>
      <c r="AD3529">
        <v>-1.1139051672369999</v>
      </c>
      <c r="AE3529">
        <v>-13.8652999999999</v>
      </c>
      <c r="AF3529">
        <v>-5.92065197621974</v>
      </c>
      <c r="AG3529">
        <v>-1.1139051672369999</v>
      </c>
      <c r="AH3529">
        <v>14.045126157673799</v>
      </c>
      <c r="AI3529">
        <v>94.179809211983098</v>
      </c>
      <c r="AJ3529">
        <v>112.857609872406</v>
      </c>
      <c r="AK3529">
        <v>15.282685409642101</v>
      </c>
      <c r="AL3529">
        <v>91.815340651550699</v>
      </c>
      <c r="AM3529">
        <v>93.394101990461195</v>
      </c>
      <c r="AN3529">
        <v>0.99999997752153802</v>
      </c>
    </row>
    <row r="3530" spans="1:40" x14ac:dyDescent="0.25">
      <c r="A3530" t="str">
        <f>"20190312153953615"</f>
        <v>20190312153953615</v>
      </c>
      <c r="B3530" t="str">
        <f>"1552376393608786"</f>
        <v>1552376393608786</v>
      </c>
      <c r="C3530" t="s">
        <v>40</v>
      </c>
      <c r="D3530">
        <v>4.250337</v>
      </c>
      <c r="E3530">
        <v>0.36875160000000001</v>
      </c>
      <c r="F3530" t="s">
        <v>42</v>
      </c>
      <c r="G3530">
        <v>-493.31270000000001</v>
      </c>
      <c r="H3530" s="1">
        <v>-2.1628560000000001E-6</v>
      </c>
      <c r="I3530">
        <v>262.57619999999997</v>
      </c>
      <c r="J3530">
        <v>-486.88170000000002</v>
      </c>
      <c r="K3530">
        <v>1.1139429999999999</v>
      </c>
      <c r="L3530">
        <v>276.37279999999998</v>
      </c>
      <c r="M3530">
        <v>-0.74078669999999902</v>
      </c>
      <c r="N3530">
        <v>0</v>
      </c>
      <c r="O3530">
        <v>-0.67172460000000001</v>
      </c>
      <c r="P3530">
        <v>-0.69895959999999902</v>
      </c>
      <c r="Q3530">
        <v>-3.5663649999999998E-2</v>
      </c>
      <c r="R3530">
        <v>-0.71427169999999995</v>
      </c>
      <c r="S3530">
        <v>-1.347321</v>
      </c>
      <c r="T3530">
        <v>-0.23128480000000001</v>
      </c>
      <c r="U3530">
        <v>-2.87677</v>
      </c>
      <c r="V3530">
        <v>-5.9241780000000001E-2</v>
      </c>
      <c r="W3530">
        <v>-3.1763939999999997E-2</v>
      </c>
      <c r="X3530">
        <v>0.99773820000000002</v>
      </c>
      <c r="Y3530">
        <v>-0.38630740000000002</v>
      </c>
      <c r="Z3530">
        <v>3.799367E-2</v>
      </c>
      <c r="AA3530">
        <v>0.92158720000000005</v>
      </c>
      <c r="AB3530">
        <v>19</v>
      </c>
      <c r="AC3530">
        <v>-6.4309999999999796</v>
      </c>
      <c r="AD3530">
        <v>-1.113945162856</v>
      </c>
      <c r="AE3530">
        <v>-13.7966</v>
      </c>
      <c r="AF3530">
        <v>-5.8691076270800702</v>
      </c>
      <c r="AG3530">
        <v>-1.113945162856</v>
      </c>
      <c r="AH3530">
        <v>13.956917832878</v>
      </c>
      <c r="AI3530">
        <v>94.207824300357998</v>
      </c>
      <c r="AJ3530">
        <v>112.807533819268</v>
      </c>
      <c r="AK3530">
        <v>15.181661752186701</v>
      </c>
      <c r="AL3530">
        <v>91.820245831672196</v>
      </c>
      <c r="AM3530">
        <v>93.398009104591907</v>
      </c>
      <c r="AN3530">
        <v>1.0000000260605599</v>
      </c>
    </row>
    <row r="3531" spans="1:40" x14ac:dyDescent="0.25">
      <c r="A3531" t="str">
        <f>"20190312153953625"</f>
        <v>20190312153953625</v>
      </c>
      <c r="B3531" t="str">
        <f>"1552376393619522"</f>
        <v>1552376393619522</v>
      </c>
      <c r="C3531" t="s">
        <v>40</v>
      </c>
      <c r="D3531">
        <v>4.2691660000000002</v>
      </c>
      <c r="E3531">
        <v>0.36931540000000002</v>
      </c>
      <c r="F3531" t="s">
        <v>42</v>
      </c>
      <c r="G3531">
        <v>-493.28699999999998</v>
      </c>
      <c r="H3531" s="1">
        <v>-2.159952E-6</v>
      </c>
      <c r="I3531">
        <v>262.58530000000002</v>
      </c>
      <c r="J3531">
        <v>-486.93790000000001</v>
      </c>
      <c r="K3531">
        <v>1.1139810000000001</v>
      </c>
      <c r="L3531">
        <v>276.3152</v>
      </c>
      <c r="M3531">
        <v>-0.73791260000000003</v>
      </c>
      <c r="N3531">
        <v>0</v>
      </c>
      <c r="O3531">
        <v>-0.67487909999999995</v>
      </c>
      <c r="P3531">
        <v>-0.6956213</v>
      </c>
      <c r="Q3531">
        <v>-3.5831399999999999E-2</v>
      </c>
      <c r="R3531">
        <v>-0.7175146</v>
      </c>
      <c r="S3531">
        <v>-1.3377380000000001</v>
      </c>
      <c r="T3531">
        <v>-0.2326424</v>
      </c>
      <c r="U3531">
        <v>-2.8794559999999998</v>
      </c>
      <c r="V3531">
        <v>-5.9630030000000001E-2</v>
      </c>
      <c r="W3531">
        <v>-3.1741569999999997E-2</v>
      </c>
      <c r="X3531">
        <v>0.99771580000000004</v>
      </c>
      <c r="Y3531">
        <v>-0.38523069999999998</v>
      </c>
      <c r="Z3531">
        <v>3.8540640000000001E-2</v>
      </c>
      <c r="AA3531">
        <v>0.92201509999999998</v>
      </c>
      <c r="AB3531">
        <v>19</v>
      </c>
      <c r="AC3531">
        <v>-6.34909999999996</v>
      </c>
      <c r="AD3531">
        <v>-1.11398315995199</v>
      </c>
      <c r="AE3531">
        <v>-13.729899999999899</v>
      </c>
      <c r="AF3531">
        <v>-5.8151221632143599</v>
      </c>
      <c r="AG3531">
        <v>-1.11398315995199</v>
      </c>
      <c r="AH3531">
        <v>13.876011934959299</v>
      </c>
      <c r="AI3531">
        <v>94.234579378747</v>
      </c>
      <c r="AJ3531">
        <v>112.737453361249</v>
      </c>
      <c r="AK3531">
        <v>15.086428055470799</v>
      </c>
      <c r="AL3531">
        <v>91.818963448298604</v>
      </c>
      <c r="AM3531">
        <v>93.420302385413606</v>
      </c>
      <c r="AN3531">
        <v>1.0000000426567499</v>
      </c>
    </row>
    <row r="3532" spans="1:40" x14ac:dyDescent="0.25">
      <c r="A3532" t="str">
        <f>"20190312153953636"</f>
        <v>20190312153953636</v>
      </c>
      <c r="B3532" t="str">
        <f>"1552376393629282"</f>
        <v>1552376393629282</v>
      </c>
      <c r="C3532" t="s">
        <v>40</v>
      </c>
      <c r="D3532">
        <v>4.2521680000000002</v>
      </c>
      <c r="E3532">
        <v>0.36982779999999998</v>
      </c>
      <c r="F3532" t="s">
        <v>42</v>
      </c>
      <c r="G3532">
        <v>-493.26929999999999</v>
      </c>
      <c r="H3532" s="1">
        <v>-2.1471990000000001E-6</v>
      </c>
      <c r="I3532">
        <v>262.56659999999999</v>
      </c>
      <c r="J3532">
        <v>-487.00130000000001</v>
      </c>
      <c r="K3532">
        <v>1.1140289999999999</v>
      </c>
      <c r="L3532">
        <v>276.25020000000001</v>
      </c>
      <c r="M3532">
        <v>-0.73465349999999996</v>
      </c>
      <c r="N3532">
        <v>0</v>
      </c>
      <c r="O3532">
        <v>-0.67842389999999997</v>
      </c>
      <c r="P3532">
        <v>-0.69207540000000001</v>
      </c>
      <c r="Q3532">
        <v>-3.6105970000000001E-2</v>
      </c>
      <c r="R3532">
        <v>-0.72092179999999995</v>
      </c>
      <c r="S3532">
        <v>-1.327423</v>
      </c>
      <c r="T3532">
        <v>-0.23355480000000001</v>
      </c>
      <c r="U3532">
        <v>-2.8825069999999999</v>
      </c>
      <c r="V3532">
        <v>-5.9732220000000003E-2</v>
      </c>
      <c r="W3532">
        <v>-3.1796270000000001E-2</v>
      </c>
      <c r="X3532">
        <v>0.99770789999999998</v>
      </c>
      <c r="Y3532">
        <v>-0.38388810000000001</v>
      </c>
      <c r="Z3532">
        <v>3.905902E-2</v>
      </c>
      <c r="AA3532">
        <v>0.92255319999999996</v>
      </c>
      <c r="AB3532">
        <v>19</v>
      </c>
      <c r="AC3532">
        <v>-6.2679999999999696</v>
      </c>
      <c r="AD3532">
        <v>-1.1140311471989901</v>
      </c>
      <c r="AE3532">
        <v>-13.6836</v>
      </c>
      <c r="AF3532">
        <v>-5.7688117077753898</v>
      </c>
      <c r="AG3532">
        <v>-1.1140311471989901</v>
      </c>
      <c r="AH3532">
        <v>13.812590765039801</v>
      </c>
      <c r="AI3532">
        <v>94.256290398996896</v>
      </c>
      <c r="AJ3532">
        <v>112.667795160983</v>
      </c>
      <c r="AK3532">
        <v>15.0102604094385</v>
      </c>
      <c r="AL3532">
        <v>91.822099192718895</v>
      </c>
      <c r="AM3532">
        <v>93.426176986546295</v>
      </c>
      <c r="AN3532">
        <v>0.999999997307225</v>
      </c>
    </row>
    <row r="3533" spans="1:40" x14ac:dyDescent="0.25">
      <c r="A3533" t="str">
        <f>"20190312153953647"</f>
        <v>20190312153953647</v>
      </c>
      <c r="B3533" t="str">
        <f>"1552376393639042"</f>
        <v>1552376393639042</v>
      </c>
      <c r="C3533" t="s">
        <v>40</v>
      </c>
      <c r="D3533">
        <v>4.2746360000000001</v>
      </c>
      <c r="E3533">
        <v>0.37035829999999997</v>
      </c>
      <c r="F3533" t="s">
        <v>42</v>
      </c>
      <c r="G3533">
        <v>-493.23910000000001</v>
      </c>
      <c r="H3533" s="1">
        <v>-2.1396900000000002E-6</v>
      </c>
      <c r="I3533">
        <v>262.56779999999998</v>
      </c>
      <c r="J3533">
        <v>-487.065</v>
      </c>
      <c r="K3533">
        <v>1.1140730000000001</v>
      </c>
      <c r="L3533">
        <v>276.18369999999999</v>
      </c>
      <c r="M3533">
        <v>-0.7313366</v>
      </c>
      <c r="N3533">
        <v>0</v>
      </c>
      <c r="O3533">
        <v>-0.68199659999999995</v>
      </c>
      <c r="P3533">
        <v>-0.68817600000000001</v>
      </c>
      <c r="Q3533">
        <v>-3.6082629999999997E-2</v>
      </c>
      <c r="R3533">
        <v>-0.72464640000000002</v>
      </c>
      <c r="S3533">
        <v>-1.315887</v>
      </c>
      <c r="T3533">
        <v>-0.2350101</v>
      </c>
      <c r="U3533">
        <v>-2.8863530000000002</v>
      </c>
      <c r="V3533">
        <v>-6.0254120000000001E-2</v>
      </c>
      <c r="W3533">
        <v>-3.1542840000000003E-2</v>
      </c>
      <c r="X3533">
        <v>0.99768449999999997</v>
      </c>
      <c r="Y3533">
        <v>-0.38291259999999999</v>
      </c>
      <c r="Z3533">
        <v>3.9660090000000002E-2</v>
      </c>
      <c r="AA3533">
        <v>0.9229328</v>
      </c>
      <c r="AB3533">
        <v>19</v>
      </c>
      <c r="AC3533">
        <v>-6.1741000000000099</v>
      </c>
      <c r="AD3533">
        <v>-1.1140751396899999</v>
      </c>
      <c r="AE3533">
        <v>-13.6159</v>
      </c>
      <c r="AF3533">
        <v>-5.7154317930951004</v>
      </c>
      <c r="AG3533">
        <v>-1.1140751396899999</v>
      </c>
      <c r="AH3533">
        <v>13.7253153228401</v>
      </c>
      <c r="AI3533">
        <v>94.285293396708596</v>
      </c>
      <c r="AJ3533">
        <v>112.60759387628801</v>
      </c>
      <c r="AK3533">
        <v>14.909446827759499</v>
      </c>
      <c r="AL3533">
        <v>91.807571547538203</v>
      </c>
      <c r="AM3533">
        <v>93.456121234982803</v>
      </c>
      <c r="AN3533">
        <v>0.99999993563624201</v>
      </c>
    </row>
    <row r="3534" spans="1:40" x14ac:dyDescent="0.25">
      <c r="A3534" t="str">
        <f>"20190312153953658"</f>
        <v>20190312153953658</v>
      </c>
      <c r="B3534" t="str">
        <f>"1552376393648802"</f>
        <v>1552376393648802</v>
      </c>
      <c r="C3534" t="s">
        <v>40</v>
      </c>
      <c r="D3534">
        <v>4.2496090000000004</v>
      </c>
      <c r="E3534">
        <v>0.37035829999999997</v>
      </c>
      <c r="F3534" t="s">
        <v>42</v>
      </c>
      <c r="G3534">
        <v>-493.22059999999999</v>
      </c>
      <c r="H3534" s="1">
        <v>-2.1194430000000001E-6</v>
      </c>
      <c r="I3534">
        <v>262.53210000000001</v>
      </c>
      <c r="J3534">
        <v>-487.12799999999999</v>
      </c>
      <c r="K3534">
        <v>1.1141179999999999</v>
      </c>
      <c r="L3534">
        <v>276.11759999999998</v>
      </c>
      <c r="M3534">
        <v>-0.72802869999999997</v>
      </c>
      <c r="N3534">
        <v>0</v>
      </c>
      <c r="O3534">
        <v>-0.68552460000000004</v>
      </c>
      <c r="P3534">
        <v>-0.68427469999999901</v>
      </c>
      <c r="Q3534">
        <v>-3.6230310000000002E-2</v>
      </c>
      <c r="R3534">
        <v>-0.72832379999999997</v>
      </c>
      <c r="S3534">
        <v>-1.3033140000000001</v>
      </c>
      <c r="T3534">
        <v>-0.23588190000000001</v>
      </c>
      <c r="U3534">
        <v>-2.8904420000000002</v>
      </c>
      <c r="V3534">
        <v>-6.0780899999999999E-2</v>
      </c>
      <c r="W3534">
        <v>-3.1458630000000001E-2</v>
      </c>
      <c r="X3534">
        <v>0.99765530000000002</v>
      </c>
      <c r="Y3534">
        <v>-0.3822777</v>
      </c>
      <c r="Z3534">
        <v>4.0154799999999997E-2</v>
      </c>
      <c r="AA3534">
        <v>0.92317459999999996</v>
      </c>
      <c r="AB3534">
        <v>19</v>
      </c>
      <c r="AC3534">
        <v>-6.0925999999999396</v>
      </c>
      <c r="AD3534">
        <v>-1.1141201194429999</v>
      </c>
      <c r="AE3534">
        <v>-13.5854999999999</v>
      </c>
      <c r="AF3534">
        <v>-5.6822768601892903</v>
      </c>
      <c r="AG3534">
        <v>-1.1141201194429999</v>
      </c>
      <c r="AH3534">
        <v>13.6724351566975</v>
      </c>
      <c r="AI3534">
        <v>94.303216318350295</v>
      </c>
      <c r="AJ3534">
        <v>112.567816262181</v>
      </c>
      <c r="AK3534">
        <v>14.848064421684301</v>
      </c>
      <c r="AL3534">
        <v>91.802744103082603</v>
      </c>
      <c r="AM3534">
        <v>93.486364438727506</v>
      </c>
      <c r="AN3534">
        <v>1.0000000304121801</v>
      </c>
    </row>
    <row r="3535" spans="1:40" x14ac:dyDescent="0.25">
      <c r="A3535" t="str">
        <f>"20190312153953670"</f>
        <v>20190312153953670</v>
      </c>
      <c r="B3535" t="str">
        <f>"1552376393659538"</f>
        <v>1552376393659538</v>
      </c>
      <c r="C3535" t="s">
        <v>40</v>
      </c>
      <c r="D3535">
        <v>4.2602379999999904</v>
      </c>
      <c r="E3535">
        <v>0.38478620000000002</v>
      </c>
      <c r="F3535" t="s">
        <v>42</v>
      </c>
      <c r="G3535">
        <v>-493.19580000000002</v>
      </c>
      <c r="H3535" s="1">
        <v>-2.0861409999999999E-6</v>
      </c>
      <c r="I3535">
        <v>262.4699</v>
      </c>
      <c r="J3535">
        <v>-487.19110000000001</v>
      </c>
      <c r="K3535">
        <v>1.114168</v>
      </c>
      <c r="L3535">
        <v>276.0505</v>
      </c>
      <c r="M3535">
        <v>-0.72467859999999995</v>
      </c>
      <c r="N3535">
        <v>0</v>
      </c>
      <c r="O3535">
        <v>-0.68906279999999998</v>
      </c>
      <c r="P3535">
        <v>-0.68027910000000003</v>
      </c>
      <c r="Q3535">
        <v>-3.5926710000000001E-2</v>
      </c>
      <c r="R3535">
        <v>-0.73207230000000001</v>
      </c>
      <c r="S3535">
        <v>-1.2880549999999999</v>
      </c>
      <c r="T3535">
        <v>-0.2365034</v>
      </c>
      <c r="U3535">
        <v>-2.897125</v>
      </c>
      <c r="V3535">
        <v>-6.139563E-2</v>
      </c>
      <c r="W3535">
        <v>-3.0902860000000001E-2</v>
      </c>
      <c r="X3535">
        <v>0.99763500000000005</v>
      </c>
      <c r="Y3535">
        <v>-0.38263190000000002</v>
      </c>
      <c r="Z3535">
        <v>4.0563790000000002E-2</v>
      </c>
      <c r="AA3535">
        <v>0.92301</v>
      </c>
      <c r="AB3535">
        <v>19</v>
      </c>
      <c r="AC3535">
        <v>-6.0047000000000104</v>
      </c>
      <c r="AD3535">
        <v>-1.114170086141</v>
      </c>
      <c r="AE3535">
        <v>-13.5806</v>
      </c>
      <c r="AF3535">
        <v>-5.6721154572900403</v>
      </c>
      <c r="AG3535">
        <v>-1.114170086141</v>
      </c>
      <c r="AH3535">
        <v>13.6328385017072</v>
      </c>
      <c r="AI3535">
        <v>94.315156902451903</v>
      </c>
      <c r="AJ3535">
        <v>112.590372434532</v>
      </c>
      <c r="AK3535">
        <v>14.807719417766901</v>
      </c>
      <c r="AL3535">
        <v>91.770885388223206</v>
      </c>
      <c r="AM3535">
        <v>93.521608253319798</v>
      </c>
      <c r="AN3535">
        <v>1.00000000168213</v>
      </c>
    </row>
    <row r="3536" spans="1:40" x14ac:dyDescent="0.25">
      <c r="A3536" t="str">
        <f>"20190312153953681"</f>
        <v>20190312153953681</v>
      </c>
      <c r="B3536" t="str">
        <f>"1552376393669299"</f>
        <v>1552376393669299</v>
      </c>
      <c r="C3536" t="s">
        <v>40</v>
      </c>
      <c r="D3536">
        <v>4.2657730000000003</v>
      </c>
      <c r="E3536">
        <v>0.38497199999999998</v>
      </c>
      <c r="F3536" t="s">
        <v>42</v>
      </c>
      <c r="G3536">
        <v>-493.07190000000003</v>
      </c>
      <c r="H3536" s="1">
        <v>-2.6163759999999998E-6</v>
      </c>
      <c r="I3536">
        <v>263.78269999999998</v>
      </c>
      <c r="J3536">
        <v>-487.2527</v>
      </c>
      <c r="K3536">
        <v>1.114217</v>
      </c>
      <c r="L3536">
        <v>275.98469999999998</v>
      </c>
      <c r="M3536">
        <v>-0.72138729999999995</v>
      </c>
      <c r="N3536">
        <v>0</v>
      </c>
      <c r="O3536">
        <v>-0.6925057</v>
      </c>
      <c r="P3536">
        <v>-0.67644459999999995</v>
      </c>
      <c r="Q3536">
        <v>-3.5675220000000001E-2</v>
      </c>
      <c r="R3536">
        <v>-0.73562950000000005</v>
      </c>
      <c r="S3536">
        <v>-1.354889</v>
      </c>
      <c r="T3536">
        <v>-0.25669560000000002</v>
      </c>
      <c r="U3536">
        <v>-2.826416</v>
      </c>
      <c r="V3536">
        <v>-6.1871349999999999E-2</v>
      </c>
      <c r="W3536">
        <v>-3.0395309999999998E-2</v>
      </c>
      <c r="X3536">
        <v>0.99762119999999999</v>
      </c>
      <c r="Y3536">
        <v>-0.35171720000000001</v>
      </c>
      <c r="Z3536">
        <v>4.5865179999999998E-2</v>
      </c>
      <c r="AA3536">
        <v>0.93498199999999998</v>
      </c>
      <c r="AB3536">
        <v>19</v>
      </c>
      <c r="AC3536">
        <v>-5.8192000000000199</v>
      </c>
      <c r="AD3536">
        <v>-1.1142196163760001</v>
      </c>
      <c r="AE3536">
        <v>-12.2019999999999</v>
      </c>
      <c r="AF3536">
        <v>-4.7404220661159204</v>
      </c>
      <c r="AG3536">
        <v>-1.1142196163760001</v>
      </c>
      <c r="AH3536">
        <v>12.5627383404747</v>
      </c>
      <c r="AI3536">
        <v>94.743609466200795</v>
      </c>
      <c r="AJ3536">
        <v>110.673490916643</v>
      </c>
      <c r="AK3536">
        <v>13.473510356609699</v>
      </c>
      <c r="AL3536">
        <v>91.7417912519266</v>
      </c>
      <c r="AM3536">
        <v>93.548874699704299</v>
      </c>
      <c r="AN3536">
        <v>0.99999999875512902</v>
      </c>
    </row>
    <row r="3537" spans="1:40" x14ac:dyDescent="0.25">
      <c r="A3537" t="str">
        <f>"20190312153953691"</f>
        <v>20190312153953691</v>
      </c>
      <c r="B3537" t="str">
        <f>"1552376393679059"</f>
        <v>1552376393679059</v>
      </c>
      <c r="C3537" t="s">
        <v>40</v>
      </c>
      <c r="D3537">
        <v>4.2718730000000003</v>
      </c>
      <c r="E3537">
        <v>0.38512069999999998</v>
      </c>
      <c r="F3537" t="s">
        <v>42</v>
      </c>
      <c r="G3537">
        <v>-493.065</v>
      </c>
      <c r="H3537" s="1">
        <v>-2.583525E-6</v>
      </c>
      <c r="I3537">
        <v>263.71039999999999</v>
      </c>
      <c r="J3537">
        <v>-487.31529999999998</v>
      </c>
      <c r="K3537">
        <v>1.1142639999999999</v>
      </c>
      <c r="L3537">
        <v>275.9169</v>
      </c>
      <c r="M3537">
        <v>-0.71800229999999998</v>
      </c>
      <c r="N3537">
        <v>0</v>
      </c>
      <c r="O3537">
        <v>-0.69601230000000003</v>
      </c>
      <c r="P3537">
        <v>-0.67249910000000002</v>
      </c>
      <c r="Q3537">
        <v>-3.4836970000000002E-2</v>
      </c>
      <c r="R3537">
        <v>-0.739278199999999</v>
      </c>
      <c r="S3537">
        <v>-1.3412170000000001</v>
      </c>
      <c r="T3537">
        <v>-0.25711010000000001</v>
      </c>
      <c r="U3537">
        <v>-2.8323360000000002</v>
      </c>
      <c r="V3537">
        <v>-6.238813E-2</v>
      </c>
      <c r="W3537">
        <v>-2.9278709999999999E-2</v>
      </c>
      <c r="X3537">
        <v>0.99762240000000002</v>
      </c>
      <c r="Y3537">
        <v>-0.35160459999999999</v>
      </c>
      <c r="Z3537">
        <v>4.628728E-2</v>
      </c>
      <c r="AA3537">
        <v>0.93500360000000005</v>
      </c>
      <c r="AB3537">
        <v>19</v>
      </c>
      <c r="AC3537">
        <v>-5.7497000000000096</v>
      </c>
      <c r="AD3537">
        <v>-1.1142665835250001</v>
      </c>
      <c r="AE3537">
        <v>-12.2065</v>
      </c>
      <c r="AF3537">
        <v>-4.7302680944711701</v>
      </c>
      <c r="AG3537">
        <v>-1.1142665835250001</v>
      </c>
      <c r="AH3537">
        <v>12.5389094051672</v>
      </c>
      <c r="AI3537">
        <v>94.752927231223296</v>
      </c>
      <c r="AJ3537">
        <v>110.668841421697</v>
      </c>
      <c r="AK3537">
        <v>13.447723797569701</v>
      </c>
      <c r="AL3537">
        <v>91.677786303863002</v>
      </c>
      <c r="AM3537">
        <v>93.578435651553306</v>
      </c>
      <c r="AN3537">
        <v>0.99999998730296003</v>
      </c>
    </row>
    <row r="3538" spans="1:40" x14ac:dyDescent="0.25">
      <c r="A3538" t="str">
        <f>"20190312153953703"</f>
        <v>20190312153953703</v>
      </c>
      <c r="B3538" t="str">
        <f>"1552376393699554"</f>
        <v>1552376393699554</v>
      </c>
      <c r="C3538" t="s">
        <v>40</v>
      </c>
      <c r="D3538">
        <v>4.2364379999999997</v>
      </c>
      <c r="E3538">
        <v>0.38540089999999999</v>
      </c>
      <c r="F3538" t="s">
        <v>42</v>
      </c>
      <c r="G3538">
        <v>-493.24040000000002</v>
      </c>
      <c r="H3538" s="1">
        <v>-2.430046E-6</v>
      </c>
      <c r="I3538">
        <v>263.24380000000002</v>
      </c>
      <c r="J3538">
        <v>-487.37740000000002</v>
      </c>
      <c r="K3538">
        <v>1.1143099999999999</v>
      </c>
      <c r="L3538">
        <v>275.84910000000002</v>
      </c>
      <c r="M3538">
        <v>-0.71461580000000002</v>
      </c>
      <c r="N3538">
        <v>0</v>
      </c>
      <c r="O3538">
        <v>-0.69948580000000005</v>
      </c>
      <c r="P3538">
        <v>-0.66831819999999997</v>
      </c>
      <c r="Q3538">
        <v>-3.4412930000000001E-2</v>
      </c>
      <c r="R3538">
        <v>-0.74307919999999905</v>
      </c>
      <c r="S3538">
        <v>-1.3272710000000001</v>
      </c>
      <c r="T3538">
        <v>-0.24960389999999999</v>
      </c>
      <c r="U3538">
        <v>-2.838867</v>
      </c>
      <c r="V3538">
        <v>-6.3198569999999996E-2</v>
      </c>
      <c r="W3538">
        <v>-2.8570580000000002E-2</v>
      </c>
      <c r="X3538">
        <v>0.99759189999999998</v>
      </c>
      <c r="Y3538">
        <v>-0.35163220000000001</v>
      </c>
      <c r="Z3538">
        <v>4.5266670000000002E-2</v>
      </c>
      <c r="AA3538">
        <v>0.93504319999999996</v>
      </c>
      <c r="AB3538">
        <v>19</v>
      </c>
      <c r="AC3538">
        <v>-5.8630000000000004</v>
      </c>
      <c r="AD3538">
        <v>-1.1143124300459999</v>
      </c>
      <c r="AE3538">
        <v>-12.6053</v>
      </c>
      <c r="AF3538">
        <v>-4.8756443666371299</v>
      </c>
      <c r="AG3538">
        <v>-1.1143124300459999</v>
      </c>
      <c r="AH3538">
        <v>12.9242715019543</v>
      </c>
      <c r="AI3538">
        <v>94.612019177144205</v>
      </c>
      <c r="AJ3538">
        <v>110.668839525997</v>
      </c>
      <c r="AK3538">
        <v>13.858224779455099</v>
      </c>
      <c r="AL3538">
        <v>91.637196490570304</v>
      </c>
      <c r="AM3538">
        <v>93.624907957686503</v>
      </c>
      <c r="AN3538">
        <v>0.99999996811859504</v>
      </c>
    </row>
    <row r="3539" spans="1:40" x14ac:dyDescent="0.25">
      <c r="A3539" t="str">
        <f>"20190312153953714"</f>
        <v>20190312153953714</v>
      </c>
      <c r="B3539" t="str">
        <f>"1552376393709314"</f>
        <v>1552376393709314</v>
      </c>
      <c r="C3539" t="s">
        <v>40</v>
      </c>
      <c r="D3539">
        <v>4.2905449999999998</v>
      </c>
      <c r="E3539">
        <v>0.38540089999999999</v>
      </c>
      <c r="F3539" t="s">
        <v>42</v>
      </c>
      <c r="G3539">
        <v>-493.30040000000002</v>
      </c>
      <c r="H3539" s="1">
        <v>-2.3482429999999999E-6</v>
      </c>
      <c r="I3539">
        <v>263.01589999999999</v>
      </c>
      <c r="J3539">
        <v>-487.44099999999997</v>
      </c>
      <c r="K3539">
        <v>1.114357</v>
      </c>
      <c r="L3539">
        <v>275.77910000000003</v>
      </c>
      <c r="M3539">
        <v>-0.71111179999999996</v>
      </c>
      <c r="N3539">
        <v>0</v>
      </c>
      <c r="O3539">
        <v>-0.70304469999999997</v>
      </c>
      <c r="P3539">
        <v>-0.66416469999999905</v>
      </c>
      <c r="Q3539">
        <v>-3.4355910000000003E-2</v>
      </c>
      <c r="R3539">
        <v>-0.74679680000000004</v>
      </c>
      <c r="S3539">
        <v>-1.3130189999999999</v>
      </c>
      <c r="T3539">
        <v>-0.24701909999999999</v>
      </c>
      <c r="U3539">
        <v>-2.844849</v>
      </c>
      <c r="V3539">
        <v>-6.3784320000000005E-2</v>
      </c>
      <c r="W3539">
        <v>-2.8208629999999998E-2</v>
      </c>
      <c r="X3539">
        <v>0.99756500000000004</v>
      </c>
      <c r="Y3539">
        <v>-0.3515607</v>
      </c>
      <c r="Z3539">
        <v>4.5140279999999998E-2</v>
      </c>
      <c r="AA3539">
        <v>0.93507620000000002</v>
      </c>
      <c r="AB3539">
        <v>19</v>
      </c>
      <c r="AC3539">
        <v>-5.8594000000000497</v>
      </c>
      <c r="AD3539">
        <v>-1.1143593482430001</v>
      </c>
      <c r="AE3539">
        <v>-12.763199999999999</v>
      </c>
      <c r="AF3539">
        <v>-4.9257482280348803</v>
      </c>
      <c r="AG3539">
        <v>-1.1143593482430001</v>
      </c>
      <c r="AH3539">
        <v>13.057890857389101</v>
      </c>
      <c r="AI3539">
        <v>94.565251913352398</v>
      </c>
      <c r="AJ3539">
        <v>110.667673117562</v>
      </c>
      <c r="AK3539">
        <v>14.000475206452499</v>
      </c>
      <c r="AL3539">
        <v>91.616449791399802</v>
      </c>
      <c r="AM3539">
        <v>93.6585126343344</v>
      </c>
      <c r="AN3539">
        <v>1.00000004775466</v>
      </c>
    </row>
    <row r="3540" spans="1:40" x14ac:dyDescent="0.25">
      <c r="A3540" t="str">
        <f>"20190312153953726"</f>
        <v>20190312153953726</v>
      </c>
      <c r="B3540" t="str">
        <f>"1552376393719074"</f>
        <v>1552376393719074</v>
      </c>
      <c r="C3540" t="s">
        <v>40</v>
      </c>
      <c r="D3540">
        <v>4.2526320000000002</v>
      </c>
      <c r="E3540">
        <v>0.3576665</v>
      </c>
      <c r="F3540" t="s">
        <v>42</v>
      </c>
      <c r="G3540">
        <v>-493.30369999999999</v>
      </c>
      <c r="H3540" s="1">
        <v>-2.2924490000000001E-6</v>
      </c>
      <c r="I3540">
        <v>262.88389999999998</v>
      </c>
      <c r="J3540">
        <v>-487.50369999999998</v>
      </c>
      <c r="K3540">
        <v>1.1144019999999999</v>
      </c>
      <c r="L3540">
        <v>275.709</v>
      </c>
      <c r="M3540">
        <v>-0.70761219999999903</v>
      </c>
      <c r="N3540">
        <v>0</v>
      </c>
      <c r="O3540">
        <v>-0.70656390000000002</v>
      </c>
      <c r="P3540">
        <v>-0.65993259999999998</v>
      </c>
      <c r="Q3540">
        <v>-3.4380029999999999E-2</v>
      </c>
      <c r="R3540">
        <v>-0.75053819999999904</v>
      </c>
      <c r="S3540">
        <v>-1.2968139999999999</v>
      </c>
      <c r="T3540">
        <v>-0.2464935</v>
      </c>
      <c r="U3540">
        <v>-2.8523860000000001</v>
      </c>
      <c r="V3540">
        <v>-6.4475019999999994E-2</v>
      </c>
      <c r="W3540">
        <v>-2.792331E-2</v>
      </c>
      <c r="X3540">
        <v>0.99752859999999999</v>
      </c>
      <c r="Y3540">
        <v>-0.35225009999999901</v>
      </c>
      <c r="Z3540">
        <v>4.5347850000000002E-2</v>
      </c>
      <c r="AA3540">
        <v>0.93480660000000004</v>
      </c>
      <c r="AB3540">
        <v>19</v>
      </c>
      <c r="AC3540">
        <v>-5.8000000000000096</v>
      </c>
      <c r="AD3540">
        <v>-1.1144042924490001</v>
      </c>
      <c r="AE3540">
        <v>-12.825100000000001</v>
      </c>
      <c r="AF3540">
        <v>-4.9462524581840297</v>
      </c>
      <c r="AG3540">
        <v>-1.1144042924490001</v>
      </c>
      <c r="AH3540">
        <v>13.084232605758499</v>
      </c>
      <c r="AI3540">
        <v>94.555071751729002</v>
      </c>
      <c r="AJ3540">
        <v>110.70817275386101</v>
      </c>
      <c r="AK3540">
        <v>14.03226472059</v>
      </c>
      <c r="AL3540">
        <v>91.600095756614195</v>
      </c>
      <c r="AM3540">
        <v>93.698154719669006</v>
      </c>
      <c r="AN3540">
        <v>1.00000002363165</v>
      </c>
    </row>
    <row r="3541" spans="1:40" x14ac:dyDescent="0.25">
      <c r="A3541" t="str">
        <f>"20190312153953738"</f>
        <v>20190312153953738</v>
      </c>
      <c r="B3541" t="str">
        <f>"1552376393729810"</f>
        <v>1552376393729810</v>
      </c>
      <c r="C3541" t="s">
        <v>40</v>
      </c>
      <c r="D3541">
        <v>4.2526140000000003</v>
      </c>
      <c r="E3541">
        <v>0.35069850000000002</v>
      </c>
      <c r="F3541" t="s">
        <v>42</v>
      </c>
      <c r="G3541">
        <v>-492.76949999999999</v>
      </c>
      <c r="H3541" s="1">
        <v>-1.5629389999999999E-6</v>
      </c>
      <c r="I3541">
        <v>261.51459999999997</v>
      </c>
      <c r="J3541">
        <v>-487.56689999999998</v>
      </c>
      <c r="K3541">
        <v>1.1144449999999999</v>
      </c>
      <c r="L3541">
        <v>275.63810000000001</v>
      </c>
      <c r="M3541">
        <v>-0.70406190000000002</v>
      </c>
      <c r="N3541">
        <v>0</v>
      </c>
      <c r="O3541">
        <v>-0.71009849999999997</v>
      </c>
      <c r="P3541">
        <v>-0.65563059999999995</v>
      </c>
      <c r="Q3541">
        <v>-3.4592400000000002E-2</v>
      </c>
      <c r="R3541">
        <v>-0.75428930000000005</v>
      </c>
      <c r="S3541">
        <v>-1.1151120000000001</v>
      </c>
      <c r="T3541">
        <v>-0.23598930000000001</v>
      </c>
      <c r="U3541">
        <v>-3.0058289999999999</v>
      </c>
      <c r="V3541">
        <v>-6.5175360000000002E-2</v>
      </c>
      <c r="W3541">
        <v>-2.7821499999999999E-2</v>
      </c>
      <c r="X3541">
        <v>0.99748590000000004</v>
      </c>
      <c r="Y3541">
        <v>-0.41342420000000002</v>
      </c>
      <c r="Z3541">
        <v>4.0969829999999999E-2</v>
      </c>
      <c r="AA3541">
        <v>0.90961639999999999</v>
      </c>
      <c r="AB3541">
        <v>19</v>
      </c>
      <c r="AC3541">
        <v>-5.2026000000000101</v>
      </c>
      <c r="AD3541">
        <v>-1.1144465629389999</v>
      </c>
      <c r="AE3541">
        <v>-14.1235</v>
      </c>
      <c r="AF3541">
        <v>-6.2155614095955496</v>
      </c>
      <c r="AG3541">
        <v>-1.1144465629389999</v>
      </c>
      <c r="AH3541">
        <v>13.617760174491901</v>
      </c>
      <c r="AI3541">
        <v>94.257779474848604</v>
      </c>
      <c r="AJ3541">
        <v>114.533403434774</v>
      </c>
      <c r="AK3541">
        <v>15.010615808422999</v>
      </c>
      <c r="AL3541">
        <v>91.594260256614803</v>
      </c>
      <c r="AM3541">
        <v>93.738371062935499</v>
      </c>
      <c r="AN3541">
        <v>0.99999999205609402</v>
      </c>
    </row>
    <row r="3542" spans="1:40" x14ac:dyDescent="0.25">
      <c r="A3542" t="str">
        <f>"20190312153953750"</f>
        <v>20190312153953750</v>
      </c>
      <c r="B3542" t="str">
        <f>"1552376393739570"</f>
        <v>1552376393739570</v>
      </c>
      <c r="C3542" t="s">
        <v>40</v>
      </c>
      <c r="D3542">
        <v>4.2000890000000002</v>
      </c>
      <c r="E3542">
        <v>0.3461804</v>
      </c>
      <c r="F3542" t="s">
        <v>41</v>
      </c>
      <c r="G3542">
        <v>-487.90730000000002</v>
      </c>
      <c r="H3542">
        <v>1.0371360000000001</v>
      </c>
      <c r="I3542">
        <v>274.65559999999999</v>
      </c>
      <c r="J3542">
        <v>-487.63319999999999</v>
      </c>
      <c r="K3542">
        <v>1.1144860000000001</v>
      </c>
      <c r="L3542">
        <v>275.56240000000003</v>
      </c>
      <c r="M3542">
        <v>-0.70027510000000004</v>
      </c>
      <c r="N3542">
        <v>0</v>
      </c>
      <c r="O3542">
        <v>-0.7138293</v>
      </c>
      <c r="P3542">
        <v>-0.65093619999999996</v>
      </c>
      <c r="Q3542">
        <v>-3.4865720000000003E-2</v>
      </c>
      <c r="R3542">
        <v>-0.75833169999999905</v>
      </c>
      <c r="S3542">
        <v>-1.055725</v>
      </c>
      <c r="T3542">
        <v>-0.23980580000000001</v>
      </c>
      <c r="U3542">
        <v>-3.048645</v>
      </c>
      <c r="V3542">
        <v>-6.6055849999999999E-2</v>
      </c>
      <c r="W3542">
        <v>-2.776679E-2</v>
      </c>
      <c r="X3542">
        <v>0.99742949999999997</v>
      </c>
      <c r="Y3542">
        <v>-0.42841699999999999</v>
      </c>
      <c r="Z3542">
        <v>4.1256380000000002E-2</v>
      </c>
      <c r="AA3542">
        <v>0.90263879999999996</v>
      </c>
      <c r="AB3542">
        <v>19</v>
      </c>
      <c r="AC3542">
        <v>-0.27410000000003198</v>
      </c>
      <c r="AD3542">
        <v>-7.7350000000000002E-2</v>
      </c>
      <c r="AE3542">
        <v>-0.90680000000003202</v>
      </c>
      <c r="AF3542">
        <v>-0.43645278011567101</v>
      </c>
      <c r="AG3542">
        <v>-7.7350000000000002E-2</v>
      </c>
      <c r="AH3542">
        <v>0.83371373149468597</v>
      </c>
      <c r="AI3542">
        <v>94.698902120556596</v>
      </c>
      <c r="AJ3542">
        <v>117.632253882741</v>
      </c>
      <c r="AK3542">
        <v>0.94422065104163599</v>
      </c>
      <c r="AL3542">
        <v>91.591124398336603</v>
      </c>
      <c r="AM3542">
        <v>93.788942279184596</v>
      </c>
      <c r="AN3542">
        <v>0.99999998870818796</v>
      </c>
    </row>
    <row r="3543" spans="1:40" x14ac:dyDescent="0.25">
      <c r="A3543" t="str">
        <f>"20190312153953762"</f>
        <v>20190312153953762</v>
      </c>
      <c r="B3543" t="str">
        <f>"1552376393749330"</f>
        <v>1552376393749330</v>
      </c>
      <c r="C3543" t="s">
        <v>40</v>
      </c>
      <c r="D3543">
        <v>4.2102000000000004</v>
      </c>
      <c r="E3543">
        <v>0.343781</v>
      </c>
      <c r="F3543" t="s">
        <v>42</v>
      </c>
      <c r="G3543">
        <v>-492.416</v>
      </c>
      <c r="H3543" s="1">
        <v>-1.2395510000000001E-6</v>
      </c>
      <c r="I3543">
        <v>260.98009999999999</v>
      </c>
      <c r="J3543">
        <v>-487.69549999999998</v>
      </c>
      <c r="K3543">
        <v>1.1145240000000001</v>
      </c>
      <c r="L3543">
        <v>275.49090000000001</v>
      </c>
      <c r="M3543">
        <v>-0.69669479999999995</v>
      </c>
      <c r="N3543">
        <v>0</v>
      </c>
      <c r="O3543">
        <v>-0.71732039999999997</v>
      </c>
      <c r="P3543">
        <v>-0.64673570000000002</v>
      </c>
      <c r="Q3543">
        <v>-3.5057699999999997E-2</v>
      </c>
      <c r="R3543">
        <v>-0.76190839999999904</v>
      </c>
      <c r="S3543">
        <v>-1.0097050000000001</v>
      </c>
      <c r="T3543">
        <v>-0.2352834</v>
      </c>
      <c r="U3543">
        <v>-3.078522</v>
      </c>
      <c r="V3543">
        <v>-6.6574469999999997E-2</v>
      </c>
      <c r="W3543">
        <v>-2.7651709999999999E-2</v>
      </c>
      <c r="X3543">
        <v>0.99739820000000001</v>
      </c>
      <c r="Y3543">
        <v>-0.438691</v>
      </c>
      <c r="Z3543">
        <v>4.0320630000000003E-2</v>
      </c>
      <c r="AA3543">
        <v>0.897733</v>
      </c>
      <c r="AB3543">
        <v>19</v>
      </c>
      <c r="AC3543">
        <v>-4.7205000000000101</v>
      </c>
      <c r="AD3543">
        <v>-1.1145252395509999</v>
      </c>
      <c r="AE3543">
        <v>-14.5108</v>
      </c>
      <c r="AF3543">
        <v>-6.6880372014992204</v>
      </c>
      <c r="AG3543">
        <v>-1.1145252395509999</v>
      </c>
      <c r="AH3543">
        <v>13.6254174821389</v>
      </c>
      <c r="AI3543">
        <v>94.199617093634203</v>
      </c>
      <c r="AJ3543">
        <v>116.144116474669</v>
      </c>
      <c r="AK3543">
        <v>15.2191987200644</v>
      </c>
      <c r="AL3543">
        <v>91.584528291714804</v>
      </c>
      <c r="AM3543">
        <v>93.818721963893196</v>
      </c>
      <c r="AN3543">
        <v>0.99999997324247203</v>
      </c>
    </row>
    <row r="3544" spans="1:40" x14ac:dyDescent="0.25">
      <c r="A3544" t="str">
        <f>"20190312153953774"</f>
        <v>20190312153953774</v>
      </c>
      <c r="B3544" t="str">
        <f>"1552376393769826"</f>
        <v>1552376393769826</v>
      </c>
      <c r="C3544" t="s">
        <v>40</v>
      </c>
      <c r="D3544">
        <v>4.1950089999999998</v>
      </c>
      <c r="E3544">
        <v>0.34193869999999998</v>
      </c>
      <c r="F3544" t="s">
        <v>41</v>
      </c>
      <c r="G3544">
        <v>-487.99130000000002</v>
      </c>
      <c r="H3544">
        <v>1.0464089999999999</v>
      </c>
      <c r="I3544">
        <v>274.55470000000003</v>
      </c>
      <c r="J3544">
        <v>-487.7636</v>
      </c>
      <c r="K3544">
        <v>1.114565</v>
      </c>
      <c r="L3544">
        <v>275.4117</v>
      </c>
      <c r="M3544">
        <v>-0.69272549999999999</v>
      </c>
      <c r="N3544">
        <v>0</v>
      </c>
      <c r="O3544">
        <v>-0.72115050000000003</v>
      </c>
      <c r="P3544">
        <v>-0.64216700000000004</v>
      </c>
      <c r="Q3544">
        <v>-3.5327450000000003E-2</v>
      </c>
      <c r="R3544">
        <v>-0.76575029999999999</v>
      </c>
      <c r="S3544">
        <v>-0.97882080000000005</v>
      </c>
      <c r="T3544">
        <v>-0.22532679999999999</v>
      </c>
      <c r="U3544">
        <v>-3.0962830000000001</v>
      </c>
      <c r="V3544">
        <v>-6.7030670000000001E-2</v>
      </c>
      <c r="W3544">
        <v>-2.7591330000000001E-2</v>
      </c>
      <c r="X3544">
        <v>0.99736930000000001</v>
      </c>
      <c r="Y3544">
        <v>-0.44335140000000001</v>
      </c>
      <c r="Z3544">
        <v>3.8730090000000002E-2</v>
      </c>
      <c r="AA3544">
        <v>0.89551069999999999</v>
      </c>
      <c r="AB3544">
        <v>19</v>
      </c>
      <c r="AC3544">
        <v>-0.22770000000002699</v>
      </c>
      <c r="AD3544">
        <v>-6.8156000000000105E-2</v>
      </c>
      <c r="AE3544">
        <v>-0.85699999999997001</v>
      </c>
      <c r="AF3544">
        <v>-0.426953201454221</v>
      </c>
      <c r="AG3544">
        <v>-6.8156000000000105E-2</v>
      </c>
      <c r="AH3544">
        <v>0.77123177973680102</v>
      </c>
      <c r="AI3544">
        <v>94.421082622032301</v>
      </c>
      <c r="AJ3544">
        <v>118.968873193894</v>
      </c>
      <c r="AK3544">
        <v>0.88415651026501096</v>
      </c>
      <c r="AL3544">
        <v>91.581067478622103</v>
      </c>
      <c r="AM3544">
        <v>93.844922521445397</v>
      </c>
      <c r="AN3544">
        <v>0.999999956397152</v>
      </c>
    </row>
    <row r="3545" spans="1:40" x14ac:dyDescent="0.25">
      <c r="A3545" t="str">
        <f>"20190312153953787"</f>
        <v>20190312153953787</v>
      </c>
      <c r="B3545" t="str">
        <f>"1552376393779587"</f>
        <v>1552376393779587</v>
      </c>
      <c r="C3545" t="s">
        <v>40</v>
      </c>
      <c r="D3545">
        <v>4.2521769999999997</v>
      </c>
      <c r="E3545">
        <v>0.3415068</v>
      </c>
      <c r="F3545" t="s">
        <v>42</v>
      </c>
      <c r="G3545">
        <v>-492.65010000000001</v>
      </c>
      <c r="H3545" s="1">
        <v>-4.6970199999999998E-6</v>
      </c>
      <c r="I3545">
        <v>259.40780000000001</v>
      </c>
      <c r="J3545">
        <v>-487.83170000000001</v>
      </c>
      <c r="K3545">
        <v>1.1146</v>
      </c>
      <c r="L3545">
        <v>275.33150000000001</v>
      </c>
      <c r="M3545">
        <v>-0.68871380000000004</v>
      </c>
      <c r="N3545">
        <v>0</v>
      </c>
      <c r="O3545">
        <v>-0.72497880000000003</v>
      </c>
      <c r="P3545">
        <v>-0.63753439999999995</v>
      </c>
      <c r="Q3545">
        <v>-3.5049139999999999E-2</v>
      </c>
      <c r="R3545">
        <v>-0.76962449999999905</v>
      </c>
      <c r="S3545">
        <v>-0.94992069999999995</v>
      </c>
      <c r="T3545">
        <v>-0.21667040000000001</v>
      </c>
      <c r="U3545">
        <v>-3.1111149999999999</v>
      </c>
      <c r="V3545">
        <v>-6.7533969999999999E-2</v>
      </c>
      <c r="W3545">
        <v>-2.6997449999999999E-2</v>
      </c>
      <c r="X3545">
        <v>0.9973516</v>
      </c>
      <c r="Y3545">
        <v>-0.44717849999999998</v>
      </c>
      <c r="Z3545">
        <v>3.739721E-2</v>
      </c>
      <c r="AA3545">
        <v>0.89366259999999997</v>
      </c>
      <c r="AB3545">
        <v>19</v>
      </c>
      <c r="AC3545">
        <v>-4.8183999999999898</v>
      </c>
      <c r="AD3545">
        <v>-1.1146046970200001</v>
      </c>
      <c r="AE3545">
        <v>-15.923699999999901</v>
      </c>
      <c r="AF3545">
        <v>-7.4405323364715903</v>
      </c>
      <c r="AG3545">
        <v>-1.1146046970200001</v>
      </c>
      <c r="AH3545">
        <v>14.797013918645399</v>
      </c>
      <c r="AI3545">
        <v>93.850045373581196</v>
      </c>
      <c r="AJ3545">
        <v>116.695084994014</v>
      </c>
      <c r="AK3545">
        <v>16.599864035264901</v>
      </c>
      <c r="AL3545">
        <v>91.547027976804699</v>
      </c>
      <c r="AM3545">
        <v>93.873773103523504</v>
      </c>
      <c r="AN3545">
        <v>0.99999995671650999</v>
      </c>
    </row>
    <row r="3546" spans="1:40" x14ac:dyDescent="0.25">
      <c r="A3546" t="str">
        <f>"20190312153953797"</f>
        <v>20190312153953797</v>
      </c>
      <c r="B3546" t="str">
        <f>"1552376393789347"</f>
        <v>1552376393789347</v>
      </c>
      <c r="C3546" t="s">
        <v>40</v>
      </c>
      <c r="D3546">
        <v>4.2361019999999998</v>
      </c>
      <c r="E3546">
        <v>0.3414219</v>
      </c>
      <c r="F3546" t="s">
        <v>41</v>
      </c>
      <c r="G3546">
        <v>-488.11149999999998</v>
      </c>
      <c r="H3546">
        <v>1.049215</v>
      </c>
      <c r="I3546">
        <v>274.39240000000001</v>
      </c>
      <c r="J3546">
        <v>-487.88549999999998</v>
      </c>
      <c r="K3546">
        <v>1.114628</v>
      </c>
      <c r="L3546">
        <v>275.2679</v>
      </c>
      <c r="M3546">
        <v>-0.68551609999999996</v>
      </c>
      <c r="N3546">
        <v>0</v>
      </c>
      <c r="O3546">
        <v>-0.72800039999999999</v>
      </c>
      <c r="P3546">
        <v>-0.63385619999999998</v>
      </c>
      <c r="Q3546">
        <v>-3.5072590000000001E-2</v>
      </c>
      <c r="R3546">
        <v>-0.77265609999999996</v>
      </c>
      <c r="S3546">
        <v>-0.92846680000000004</v>
      </c>
      <c r="T3546">
        <v>-0.21709020000000001</v>
      </c>
      <c r="U3546">
        <v>-3.1190190000000002</v>
      </c>
      <c r="V3546">
        <v>-6.7905320000000005E-2</v>
      </c>
      <c r="W3546">
        <v>-2.6774240000000001E-2</v>
      </c>
      <c r="X3546">
        <v>0.99733249999999996</v>
      </c>
      <c r="Y3546">
        <v>-0.44951160000000001</v>
      </c>
      <c r="Z3546">
        <v>3.7642090000000003E-2</v>
      </c>
      <c r="AA3546">
        <v>0.89248099999999997</v>
      </c>
      <c r="AB3546">
        <v>19</v>
      </c>
      <c r="AC3546">
        <v>-0.22599999999999901</v>
      </c>
      <c r="AD3546">
        <v>-6.5413000000000096E-2</v>
      </c>
      <c r="AE3546">
        <v>-0.87549999999998795</v>
      </c>
      <c r="AF3546">
        <v>-0.43339116336698802</v>
      </c>
      <c r="AG3546">
        <v>-6.5413000000000096E-2</v>
      </c>
      <c r="AH3546">
        <v>0.78819879729477305</v>
      </c>
      <c r="AI3546">
        <v>94.159352396239996</v>
      </c>
      <c r="AJ3546">
        <v>118.80419801446</v>
      </c>
      <c r="AK3546">
        <v>0.90186701076739595</v>
      </c>
      <c r="AL3546">
        <v>91.534234211251999</v>
      </c>
      <c r="AM3546">
        <v>93.895082851811594</v>
      </c>
      <c r="AN3546">
        <v>1.0000000539840599</v>
      </c>
    </row>
    <row r="3547" spans="1:40" x14ac:dyDescent="0.25">
      <c r="A3547" t="str">
        <f>"20190312153953805"</f>
        <v>20190312153953805</v>
      </c>
      <c r="B3547" t="str">
        <f>"1552376393799106"</f>
        <v>1552376393799106</v>
      </c>
      <c r="C3547" t="s">
        <v>40</v>
      </c>
      <c r="D3547">
        <v>4.2563199999999997</v>
      </c>
      <c r="E3547">
        <v>0.34155029999999997</v>
      </c>
      <c r="F3547" t="s">
        <v>42</v>
      </c>
      <c r="G3547">
        <v>-492.58240000000001</v>
      </c>
      <c r="H3547" s="1">
        <v>-4.6097869999999997E-6</v>
      </c>
      <c r="I3547">
        <v>259.18680000000001</v>
      </c>
      <c r="J3547">
        <v>-487.93200000000002</v>
      </c>
      <c r="K3547">
        <v>1.1146529999999999</v>
      </c>
      <c r="L3547">
        <v>275.21190000000001</v>
      </c>
      <c r="M3547">
        <v>-0.68271649999999995</v>
      </c>
      <c r="N3547">
        <v>0</v>
      </c>
      <c r="O3547">
        <v>-0.73062360000000004</v>
      </c>
      <c r="P3547">
        <v>-0.63076730000000003</v>
      </c>
      <c r="Q3547">
        <v>-3.5072119999999998E-2</v>
      </c>
      <c r="R3547">
        <v>-0.77517899999999995</v>
      </c>
      <c r="S3547">
        <v>-0.91253660000000003</v>
      </c>
      <c r="T3547">
        <v>-0.21655540000000001</v>
      </c>
      <c r="U3547">
        <v>-3.124298</v>
      </c>
      <c r="V3547">
        <v>-6.8061679999999999E-2</v>
      </c>
      <c r="W3547">
        <v>-2.6568020000000001E-2</v>
      </c>
      <c r="X3547">
        <v>0.99732730000000003</v>
      </c>
      <c r="Y3547">
        <v>-0.45068409999999898</v>
      </c>
      <c r="Z3547">
        <v>3.7730069999999997E-2</v>
      </c>
      <c r="AA3547">
        <v>0.89188579999999995</v>
      </c>
      <c r="AB3547">
        <v>19</v>
      </c>
      <c r="AC3547">
        <v>-4.6504000000000403</v>
      </c>
      <c r="AD3547">
        <v>-1.114657609787</v>
      </c>
      <c r="AE3547">
        <v>-16.025099999999998</v>
      </c>
      <c r="AF3547">
        <v>-7.5097263222474604</v>
      </c>
      <c r="AG3547">
        <v>-1.114657609787</v>
      </c>
      <c r="AH3547">
        <v>14.817748552505901</v>
      </c>
      <c r="AI3547">
        <v>93.838744753124004</v>
      </c>
      <c r="AJ3547">
        <v>116.87617272992701</v>
      </c>
      <c r="AK3547">
        <v>16.649448134619998</v>
      </c>
      <c r="AL3547">
        <v>91.522414557275894</v>
      </c>
      <c r="AM3547">
        <v>93.904044328369494</v>
      </c>
      <c r="AN3547">
        <v>0.99999999764821601</v>
      </c>
    </row>
    <row r="3548" spans="1:40" x14ac:dyDescent="0.25">
      <c r="A3548" t="str">
        <f>"20190312153953816"</f>
        <v>20190312153953816</v>
      </c>
      <c r="B3548" t="str">
        <f>"1552376393809842"</f>
        <v>1552376393809842</v>
      </c>
      <c r="C3548" t="s">
        <v>40</v>
      </c>
      <c r="D3548">
        <v>4.2438140000000004</v>
      </c>
      <c r="E3548">
        <v>0.34183249999999998</v>
      </c>
      <c r="F3548" t="s">
        <v>41</v>
      </c>
      <c r="G3548">
        <v>-488.202</v>
      </c>
      <c r="H3548">
        <v>1.04948</v>
      </c>
      <c r="I3548">
        <v>274.27550000000002</v>
      </c>
      <c r="J3548">
        <v>-487.98590000000002</v>
      </c>
      <c r="K3548">
        <v>1.1146780000000001</v>
      </c>
      <c r="L3548">
        <v>275.14699999999999</v>
      </c>
      <c r="M3548">
        <v>-0.67946019999999996</v>
      </c>
      <c r="N3548">
        <v>0</v>
      </c>
      <c r="O3548">
        <v>-0.73364989999999997</v>
      </c>
      <c r="P3548">
        <v>-0.62742769999999903</v>
      </c>
      <c r="Q3548">
        <v>-3.53751E-2</v>
      </c>
      <c r="R3548">
        <v>-0.77787099999999998</v>
      </c>
      <c r="S3548">
        <v>-0.90084839999999999</v>
      </c>
      <c r="T3548">
        <v>-0.2176157</v>
      </c>
      <c r="U3548">
        <v>-3.1271969999999998</v>
      </c>
      <c r="V3548">
        <v>-6.7907010000000004E-2</v>
      </c>
      <c r="W3548">
        <v>-2.6628559999999999E-2</v>
      </c>
      <c r="X3548">
        <v>0.99733620000000001</v>
      </c>
      <c r="Y3548">
        <v>-0.45001799999999997</v>
      </c>
      <c r="Z3548">
        <v>3.819115E-2</v>
      </c>
      <c r="AA3548">
        <v>0.89220250000000001</v>
      </c>
      <c r="AB3548">
        <v>19</v>
      </c>
      <c r="AC3548">
        <v>-0.216099999999983</v>
      </c>
      <c r="AD3548">
        <v>-6.5198000000000006E-2</v>
      </c>
      <c r="AE3548">
        <v>-0.87149999999996897</v>
      </c>
      <c r="AF3548">
        <v>-0.431353368404648</v>
      </c>
      <c r="AG3548">
        <v>-6.5198000000000006E-2</v>
      </c>
      <c r="AH3548">
        <v>0.78211951819162295</v>
      </c>
      <c r="AI3548">
        <v>94.174905674381705</v>
      </c>
      <c r="AJ3548">
        <v>118.877547482776</v>
      </c>
      <c r="AK3548">
        <v>0.89555985192187604</v>
      </c>
      <c r="AL3548">
        <v>91.5258845151115</v>
      </c>
      <c r="AM3548">
        <v>93.895165086467799</v>
      </c>
      <c r="AN3548">
        <v>0.999999969022626</v>
      </c>
    </row>
    <row r="3549" spans="1:40" x14ac:dyDescent="0.25">
      <c r="A3549" t="str">
        <f>"20190312153953827"</f>
        <v>20190312153953827</v>
      </c>
      <c r="B3549" t="str">
        <f>"1552376393819602"</f>
        <v>1552376393819602</v>
      </c>
      <c r="C3549" t="s">
        <v>40</v>
      </c>
      <c r="D3549">
        <v>4.2403380000000004</v>
      </c>
      <c r="E3549">
        <v>0.34220489999999998</v>
      </c>
      <c r="F3549" t="s">
        <v>42</v>
      </c>
      <c r="G3549">
        <v>-492.5059</v>
      </c>
      <c r="H3549" s="1">
        <v>-4.6123309999999997E-6</v>
      </c>
      <c r="I3549">
        <v>259.23410000000001</v>
      </c>
      <c r="J3549">
        <v>-488.0401</v>
      </c>
      <c r="K3549">
        <v>1.1147</v>
      </c>
      <c r="L3549">
        <v>275.0806</v>
      </c>
      <c r="M3549">
        <v>-0.67613389999999995</v>
      </c>
      <c r="N3549">
        <v>0</v>
      </c>
      <c r="O3549">
        <v>-0.73671319999999996</v>
      </c>
      <c r="P3549">
        <v>-0.62398609999999999</v>
      </c>
      <c r="Q3549">
        <v>-3.577114E-2</v>
      </c>
      <c r="R3549">
        <v>-0.78061619999999998</v>
      </c>
      <c r="S3549">
        <v>-0.88897709999999996</v>
      </c>
      <c r="T3549">
        <v>-0.21923019999999999</v>
      </c>
      <c r="U3549">
        <v>-3.1296689999999998</v>
      </c>
      <c r="V3549">
        <v>-6.7787829999999993E-2</v>
      </c>
      <c r="W3549">
        <v>-2.6788429999999998E-2</v>
      </c>
      <c r="X3549">
        <v>0.99734009999999995</v>
      </c>
      <c r="Y3549">
        <v>-0.44930150000000002</v>
      </c>
      <c r="Z3549">
        <v>3.8762320000000003E-2</v>
      </c>
      <c r="AA3549">
        <v>0.89253879999999997</v>
      </c>
      <c r="AB3549">
        <v>19</v>
      </c>
      <c r="AC3549">
        <v>-4.4657999999999998</v>
      </c>
      <c r="AD3549">
        <v>-1.114704612331</v>
      </c>
      <c r="AE3549">
        <v>-15.846499999999899</v>
      </c>
      <c r="AF3549">
        <v>-7.3908198007089396</v>
      </c>
      <c r="AG3549">
        <v>-1.114704612331</v>
      </c>
      <c r="AH3549">
        <v>14.62745932937</v>
      </c>
      <c r="AI3549">
        <v>93.891094001694398</v>
      </c>
      <c r="AJ3549">
        <v>116.806111314492</v>
      </c>
      <c r="AK3549">
        <v>16.426483194271299</v>
      </c>
      <c r="AL3549">
        <v>91.535047547718307</v>
      </c>
      <c r="AM3549">
        <v>93.8883347188101</v>
      </c>
      <c r="AN3549">
        <v>1.00000004247299</v>
      </c>
    </row>
    <row r="3550" spans="1:40" x14ac:dyDescent="0.25">
      <c r="A3550" t="str">
        <f>"20190312153953838"</f>
        <v>20190312153953838</v>
      </c>
      <c r="B3550" t="str">
        <f>"1552376393829363"</f>
        <v>1552376393829363</v>
      </c>
      <c r="C3550" t="s">
        <v>40</v>
      </c>
      <c r="D3550">
        <v>4.2041320000000004</v>
      </c>
      <c r="E3550">
        <v>0.34256409999999998</v>
      </c>
      <c r="F3550" t="s">
        <v>41</v>
      </c>
      <c r="G3550">
        <v>-488.30549999999999</v>
      </c>
      <c r="H3550">
        <v>1.047782</v>
      </c>
      <c r="I3550">
        <v>274.13389999999998</v>
      </c>
      <c r="J3550">
        <v>-488.09690000000001</v>
      </c>
      <c r="K3550">
        <v>1.114719</v>
      </c>
      <c r="L3550">
        <v>275.01089999999999</v>
      </c>
      <c r="M3550">
        <v>-0.67263289999999998</v>
      </c>
      <c r="N3550">
        <v>0</v>
      </c>
      <c r="O3550">
        <v>-0.73990789999999995</v>
      </c>
      <c r="P3550">
        <v>-0.62030419999999997</v>
      </c>
      <c r="Q3550">
        <v>-3.6204260000000002E-2</v>
      </c>
      <c r="R3550">
        <v>-0.78352529999999998</v>
      </c>
      <c r="S3550">
        <v>-0.87759399999999999</v>
      </c>
      <c r="T3550">
        <v>-0.22132160000000001</v>
      </c>
      <c r="U3550">
        <v>-3.1314700000000002</v>
      </c>
      <c r="V3550">
        <v>-6.7740869999999995E-2</v>
      </c>
      <c r="W3550">
        <v>-2.6976630000000001E-2</v>
      </c>
      <c r="X3550">
        <v>0.99733819999999995</v>
      </c>
      <c r="Y3550">
        <v>-0.44821440000000001</v>
      </c>
      <c r="Z3550">
        <v>3.9449690000000003E-2</v>
      </c>
      <c r="AA3550">
        <v>0.89305519999999905</v>
      </c>
      <c r="AB3550">
        <v>19</v>
      </c>
      <c r="AC3550">
        <v>-0.20859999999998899</v>
      </c>
      <c r="AD3550">
        <v>-6.6936999999999997E-2</v>
      </c>
      <c r="AE3550">
        <v>-0.87700000000000899</v>
      </c>
      <c r="AF3550">
        <v>-0.43318791291771203</v>
      </c>
      <c r="AG3550">
        <v>-6.6936999999999997E-2</v>
      </c>
      <c r="AH3550">
        <v>0.78492269601106701</v>
      </c>
      <c r="AI3550">
        <v>94.269940950781205</v>
      </c>
      <c r="AJ3550">
        <v>118.893694763011</v>
      </c>
      <c r="AK3550">
        <v>0.899019448388235</v>
      </c>
      <c r="AL3550">
        <v>91.545834539019296</v>
      </c>
      <c r="AM3550">
        <v>93.885656710111903</v>
      </c>
      <c r="AN3550">
        <v>1.0000000246068701</v>
      </c>
    </row>
    <row r="3551" spans="1:40" x14ac:dyDescent="0.25">
      <c r="A3551" t="str">
        <f>"20190312153953848"</f>
        <v>20190312153953848</v>
      </c>
      <c r="B3551" t="str">
        <f>"1552376393839123"</f>
        <v>1552376393839123</v>
      </c>
      <c r="C3551" t="s">
        <v>40</v>
      </c>
      <c r="D3551">
        <v>4.2313049999999999</v>
      </c>
      <c r="E3551">
        <v>0.34324660000000001</v>
      </c>
      <c r="F3551" t="s">
        <v>41</v>
      </c>
      <c r="G3551">
        <v>-488.36040000000003</v>
      </c>
      <c r="H3551">
        <v>1.046932</v>
      </c>
      <c r="I3551">
        <v>274.0557</v>
      </c>
      <c r="J3551">
        <v>-488.154</v>
      </c>
      <c r="K3551">
        <v>1.1147320000000001</v>
      </c>
      <c r="L3551">
        <v>274.93970000000002</v>
      </c>
      <c r="M3551">
        <v>-0.66905839999999905</v>
      </c>
      <c r="N3551">
        <v>0</v>
      </c>
      <c r="O3551">
        <v>-0.74313830000000003</v>
      </c>
      <c r="P3551">
        <v>-0.61666730000000003</v>
      </c>
      <c r="Q3551">
        <v>-3.6499209999999997E-2</v>
      </c>
      <c r="R3551">
        <v>-0.78637749999999995</v>
      </c>
      <c r="S3551">
        <v>-0.86474609999999996</v>
      </c>
      <c r="T3551">
        <v>-0.22242729999999999</v>
      </c>
      <c r="U3551">
        <v>-3.133972</v>
      </c>
      <c r="V3551">
        <v>-6.7547220000000005E-2</v>
      </c>
      <c r="W3551">
        <v>-2.7032919999999998E-2</v>
      </c>
      <c r="X3551">
        <v>0.99734979999999995</v>
      </c>
      <c r="Y3551">
        <v>-0.44749670000000003</v>
      </c>
      <c r="Z3551">
        <v>3.9956159999999998E-2</v>
      </c>
      <c r="AA3551">
        <v>0.89339259999999998</v>
      </c>
      <c r="AB3551">
        <v>19</v>
      </c>
      <c r="AC3551">
        <v>-0.20640000000003</v>
      </c>
      <c r="AD3551">
        <v>-6.7799999999999999E-2</v>
      </c>
      <c r="AE3551">
        <v>-0.884000000000014</v>
      </c>
      <c r="AF3551">
        <v>-0.435656944041872</v>
      </c>
      <c r="AG3551">
        <v>-6.7799999999999999E-2</v>
      </c>
      <c r="AH3551">
        <v>0.79065964018155099</v>
      </c>
      <c r="AI3551">
        <v>94.295117183930998</v>
      </c>
      <c r="AJ3551">
        <v>118.854957826397</v>
      </c>
      <c r="AK3551">
        <v>0.90528254125655305</v>
      </c>
      <c r="AL3551">
        <v>91.549060910470004</v>
      </c>
      <c r="AM3551">
        <v>93.874537785061506</v>
      </c>
      <c r="AN3551">
        <v>1.00000001462674</v>
      </c>
    </row>
    <row r="3552" spans="1:40" x14ac:dyDescent="0.25">
      <c r="A3552" t="str">
        <f>"20190312153953859"</f>
        <v>20190312153953859</v>
      </c>
      <c r="B3552" t="str">
        <f>"1552376393849858"</f>
        <v>1552376393849858</v>
      </c>
      <c r="C3552" t="s">
        <v>40</v>
      </c>
      <c r="D3552">
        <v>4.2086519999999998</v>
      </c>
      <c r="E3552">
        <v>0.34378419999999998</v>
      </c>
      <c r="F3552" t="s">
        <v>41</v>
      </c>
      <c r="G3552">
        <v>-488.41669999999999</v>
      </c>
      <c r="H3552">
        <v>1.0457540000000001</v>
      </c>
      <c r="I3552">
        <v>273.97570000000002</v>
      </c>
      <c r="J3552">
        <v>-488.20940000000002</v>
      </c>
      <c r="K3552">
        <v>1.114744</v>
      </c>
      <c r="L3552">
        <v>274.87029999999999</v>
      </c>
      <c r="M3552">
        <v>-0.66557010000000005</v>
      </c>
      <c r="N3552">
        <v>0</v>
      </c>
      <c r="O3552">
        <v>-0.74626099999999995</v>
      </c>
      <c r="P3552">
        <v>-0.61316409999999999</v>
      </c>
      <c r="Q3552">
        <v>-3.6591699999999998E-2</v>
      </c>
      <c r="R3552">
        <v>-0.78910789999999997</v>
      </c>
      <c r="S3552">
        <v>-0.85461430000000005</v>
      </c>
      <c r="T3552">
        <v>-0.22433169999999999</v>
      </c>
      <c r="U3552">
        <v>-3.1343990000000002</v>
      </c>
      <c r="V3552">
        <v>-6.7312070000000002E-2</v>
      </c>
      <c r="W3552">
        <v>-2.6896639999999999E-2</v>
      </c>
      <c r="X3552">
        <v>0.99736930000000001</v>
      </c>
      <c r="Y3552">
        <v>-0.44603359999999898</v>
      </c>
      <c r="Z3552">
        <v>4.0636449999999998E-2</v>
      </c>
      <c r="AA3552">
        <v>0.89409319999999903</v>
      </c>
      <c r="AB3552">
        <v>19</v>
      </c>
      <c r="AC3552">
        <v>-0.207299999999975</v>
      </c>
      <c r="AD3552">
        <v>-6.8989999999999801E-2</v>
      </c>
      <c r="AE3552">
        <v>-0.89459999999996798</v>
      </c>
      <c r="AF3552">
        <v>-0.43826989479831002</v>
      </c>
      <c r="AG3552">
        <v>-6.8989999999999801E-2</v>
      </c>
      <c r="AH3552">
        <v>0.80110092935869703</v>
      </c>
      <c r="AI3552">
        <v>94.320582411753705</v>
      </c>
      <c r="AJ3552">
        <v>118.68238534109901</v>
      </c>
      <c r="AK3552">
        <v>0.91575259748792903</v>
      </c>
      <c r="AL3552">
        <v>91.541249928425401</v>
      </c>
      <c r="AM3552">
        <v>93.861015087347297</v>
      </c>
      <c r="AN3552">
        <v>0.99999993229672901</v>
      </c>
    </row>
    <row r="3553" spans="1:40" x14ac:dyDescent="0.25">
      <c r="A3553" t="str">
        <f>"20190312153953870"</f>
        <v>20190312153953870</v>
      </c>
      <c r="B3553" t="str">
        <f>"1552376393859619"</f>
        <v>1552376393859619</v>
      </c>
      <c r="C3553" t="s">
        <v>40</v>
      </c>
      <c r="D3553">
        <v>4.2218559999999998</v>
      </c>
      <c r="E3553">
        <v>0.34438879999999999</v>
      </c>
      <c r="F3553" t="s">
        <v>41</v>
      </c>
      <c r="G3553">
        <v>-488.4633</v>
      </c>
      <c r="H3553">
        <v>1.047693</v>
      </c>
      <c r="I3553">
        <v>273.92860000000002</v>
      </c>
      <c r="J3553">
        <v>-488.26620000000003</v>
      </c>
      <c r="K3553">
        <v>1.114754</v>
      </c>
      <c r="L3553">
        <v>274.798</v>
      </c>
      <c r="M3553">
        <v>-0.66193400000000002</v>
      </c>
      <c r="N3553">
        <v>0</v>
      </c>
      <c r="O3553">
        <v>-0.74948530000000002</v>
      </c>
      <c r="P3553">
        <v>-0.6093925</v>
      </c>
      <c r="Q3553">
        <v>-3.6758329999999999E-2</v>
      </c>
      <c r="R3553">
        <v>-0.79201639999999995</v>
      </c>
      <c r="S3553">
        <v>-0.84414669999999903</v>
      </c>
      <c r="T3553">
        <v>-0.22314609999999999</v>
      </c>
      <c r="U3553">
        <v>-3.1354679999999999</v>
      </c>
      <c r="V3553">
        <v>-6.7219890000000004E-2</v>
      </c>
      <c r="W3553">
        <v>-2.684079E-2</v>
      </c>
      <c r="X3553">
        <v>0.99737710000000002</v>
      </c>
      <c r="Y3553">
        <v>-0.44454379999999999</v>
      </c>
      <c r="Z3553">
        <v>4.0763199999999902E-2</v>
      </c>
      <c r="AA3553">
        <v>0.89482919999999999</v>
      </c>
      <c r="AB3553">
        <v>19</v>
      </c>
      <c r="AC3553">
        <v>-0.19709999999997699</v>
      </c>
      <c r="AD3553">
        <v>-6.7060999999999996E-2</v>
      </c>
      <c r="AE3553">
        <v>-0.86939999999998396</v>
      </c>
      <c r="AF3553">
        <v>-0.42537930940666102</v>
      </c>
      <c r="AG3553">
        <v>-6.7060999999999996E-2</v>
      </c>
      <c r="AH3553">
        <v>0.77771372194320898</v>
      </c>
      <c r="AI3553">
        <v>94.326273759152997</v>
      </c>
      <c r="AJ3553">
        <v>118.67695268386601</v>
      </c>
      <c r="AK3553">
        <v>0.88897883433243097</v>
      </c>
      <c r="AL3553">
        <v>91.538048682741504</v>
      </c>
      <c r="AM3553">
        <v>93.855713546614595</v>
      </c>
      <c r="AN3553">
        <v>1.00000001061192</v>
      </c>
    </row>
    <row r="3554" spans="1:40" x14ac:dyDescent="0.25">
      <c r="A3554" t="str">
        <f>"20190312153953883"</f>
        <v>20190312153953883</v>
      </c>
      <c r="B3554" t="str">
        <f>"1552376393879139"</f>
        <v>1552376393879139</v>
      </c>
      <c r="C3554" t="s">
        <v>40</v>
      </c>
      <c r="D3554">
        <v>4.2161600000000004</v>
      </c>
      <c r="E3554">
        <v>0.34549780000000002</v>
      </c>
      <c r="F3554" t="s">
        <v>42</v>
      </c>
      <c r="G3554">
        <v>-492.43579999999997</v>
      </c>
      <c r="H3554" s="1">
        <v>-4.5563779999999999E-6</v>
      </c>
      <c r="I3554">
        <v>259.10629999999998</v>
      </c>
      <c r="J3554">
        <v>-488.32229999999998</v>
      </c>
      <c r="K3554">
        <v>1.1147579999999999</v>
      </c>
      <c r="L3554">
        <v>274.72620000000001</v>
      </c>
      <c r="M3554">
        <v>-0.65831439999999997</v>
      </c>
      <c r="N3554">
        <v>0</v>
      </c>
      <c r="O3554">
        <v>-0.75266319999999998</v>
      </c>
      <c r="P3554">
        <v>-0.60564229999999997</v>
      </c>
      <c r="Q3554">
        <v>-3.6742539999999997E-2</v>
      </c>
      <c r="R3554">
        <v>-0.79488809999999999</v>
      </c>
      <c r="S3554">
        <v>-0.83337399999999995</v>
      </c>
      <c r="T3554">
        <v>-0.22280749999999999</v>
      </c>
      <c r="U3554">
        <v>-3.1363219999999998</v>
      </c>
      <c r="V3554">
        <v>-6.7133269999999995E-2</v>
      </c>
      <c r="W3554">
        <v>-2.661349E-2</v>
      </c>
      <c r="X3554">
        <v>0.99738899999999997</v>
      </c>
      <c r="Y3554">
        <v>-0.443162</v>
      </c>
      <c r="Z3554">
        <v>4.1038539999999998E-2</v>
      </c>
      <c r="AA3554">
        <v>0.89550169999999996</v>
      </c>
      <c r="AB3554">
        <v>19</v>
      </c>
      <c r="AC3554">
        <v>-4.1134999999999797</v>
      </c>
      <c r="AD3554">
        <v>-1.1147625563779999</v>
      </c>
      <c r="AE3554">
        <v>-15.619899999999999</v>
      </c>
      <c r="AF3554">
        <v>-7.1530865328684401</v>
      </c>
      <c r="AG3554">
        <v>-1.1147625563779999</v>
      </c>
      <c r="AH3554">
        <v>14.3967970478711</v>
      </c>
      <c r="AI3554">
        <v>93.966753110851201</v>
      </c>
      <c r="AJ3554">
        <v>116.420604997133</v>
      </c>
      <c r="AK3554">
        <v>16.114499922163201</v>
      </c>
      <c r="AL3554">
        <v>91.525020736351706</v>
      </c>
      <c r="AM3554">
        <v>93.850714200368401</v>
      </c>
      <c r="AN3554">
        <v>0.99999998555593606</v>
      </c>
    </row>
    <row r="3555" spans="1:40" x14ac:dyDescent="0.25">
      <c r="A3555" t="str">
        <f>"20190312153953893"</f>
        <v>20190312153953893</v>
      </c>
      <c r="B3555" t="str">
        <f>"1552376393889874"</f>
        <v>1552376393889874</v>
      </c>
      <c r="C3555" t="s">
        <v>40</v>
      </c>
      <c r="D3555">
        <v>4.2463620000000004</v>
      </c>
      <c r="E3555">
        <v>0.34617680000000001</v>
      </c>
      <c r="F3555" t="s">
        <v>41</v>
      </c>
      <c r="G3555">
        <v>-488.57639999999998</v>
      </c>
      <c r="H3555">
        <v>1.0469280000000001</v>
      </c>
      <c r="I3555">
        <v>273.76069999999999</v>
      </c>
      <c r="J3555">
        <v>-488.38080000000002</v>
      </c>
      <c r="K3555">
        <v>1.1147590000000001</v>
      </c>
      <c r="L3555">
        <v>274.6506</v>
      </c>
      <c r="M3555">
        <v>-0.65450249999999999</v>
      </c>
      <c r="N3555">
        <v>0</v>
      </c>
      <c r="O3555">
        <v>-0.75597729999999996</v>
      </c>
      <c r="P3555">
        <v>-0.60161849999999994</v>
      </c>
      <c r="Q3555">
        <v>-3.6743680000000001E-2</v>
      </c>
      <c r="R3555">
        <v>-0.79793789999999998</v>
      </c>
      <c r="S3555">
        <v>-0.8254089</v>
      </c>
      <c r="T3555">
        <v>-0.22028210000000001</v>
      </c>
      <c r="U3555">
        <v>-3.134979</v>
      </c>
      <c r="V3555">
        <v>-6.7137909999999995E-2</v>
      </c>
      <c r="W3555">
        <v>-2.640584E-2</v>
      </c>
      <c r="X3555">
        <v>0.99739420000000001</v>
      </c>
      <c r="Y3555">
        <v>-0.44066440000000001</v>
      </c>
      <c r="Z3555">
        <v>4.0966910000000002E-2</v>
      </c>
      <c r="AA3555">
        <v>0.89673659999999999</v>
      </c>
      <c r="AB3555">
        <v>19</v>
      </c>
      <c r="AC3555">
        <v>-0.195599999999956</v>
      </c>
      <c r="AD3555">
        <v>-6.7830999999999905E-2</v>
      </c>
      <c r="AE3555">
        <v>-0.88990000000001102</v>
      </c>
      <c r="AF3555">
        <v>-0.432204364613265</v>
      </c>
      <c r="AG3555">
        <v>-6.7830999999999905E-2</v>
      </c>
      <c r="AH3555">
        <v>0.79640103379003502</v>
      </c>
      <c r="AI3555">
        <v>94.281100236092001</v>
      </c>
      <c r="AJ3555">
        <v>118.488546283952</v>
      </c>
      <c r="AK3555">
        <v>0.90865629584215801</v>
      </c>
      <c r="AL3555">
        <v>91.513119095062294</v>
      </c>
      <c r="AM3555">
        <v>93.850959529508401</v>
      </c>
      <c r="AN3555">
        <v>0.99999997876945601</v>
      </c>
    </row>
    <row r="3556" spans="1:40" x14ac:dyDescent="0.25">
      <c r="A3556" t="str">
        <f>"20190312153953904"</f>
        <v>20190312153953904</v>
      </c>
      <c r="B3556" t="str">
        <f>"1552376393899634"</f>
        <v>1552376393899634</v>
      </c>
      <c r="C3556" t="s">
        <v>40</v>
      </c>
      <c r="D3556">
        <v>4.2478669999999896</v>
      </c>
      <c r="E3556">
        <v>0.34667819999999999</v>
      </c>
      <c r="F3556" t="s">
        <v>42</v>
      </c>
      <c r="G3556">
        <v>-492.49</v>
      </c>
      <c r="H3556" s="1">
        <v>-4.4696499999999996E-6</v>
      </c>
      <c r="I3556">
        <v>258.82310000000001</v>
      </c>
      <c r="J3556">
        <v>-488.43329999999997</v>
      </c>
      <c r="K3556">
        <v>1.1147560000000001</v>
      </c>
      <c r="L3556">
        <v>274.58190000000002</v>
      </c>
      <c r="M3556">
        <v>-0.65103880000000003</v>
      </c>
      <c r="N3556">
        <v>0</v>
      </c>
      <c r="O3556">
        <v>-0.75895990000000002</v>
      </c>
      <c r="P3556">
        <v>-0.59773299999999996</v>
      </c>
      <c r="Q3556">
        <v>-3.6761380000000003E-2</v>
      </c>
      <c r="R3556">
        <v>-0.80085220000000001</v>
      </c>
      <c r="S3556">
        <v>-0.81411739999999999</v>
      </c>
      <c r="T3556">
        <v>-0.22085450000000001</v>
      </c>
      <c r="U3556">
        <v>-3.1357119999999998</v>
      </c>
      <c r="V3556">
        <v>-6.7428779999999994E-2</v>
      </c>
      <c r="W3556">
        <v>-2.6251759999999999E-2</v>
      </c>
      <c r="X3556">
        <v>0.9973786</v>
      </c>
      <c r="Y3556">
        <v>-0.43963950000000002</v>
      </c>
      <c r="Z3556">
        <v>4.1384249999999997E-2</v>
      </c>
      <c r="AA3556">
        <v>0.89722039999999903</v>
      </c>
      <c r="AB3556">
        <v>19</v>
      </c>
      <c r="AC3556">
        <v>-4.0567000000000304</v>
      </c>
      <c r="AD3556">
        <v>-1.11476046964999</v>
      </c>
      <c r="AE3556">
        <v>-15.758800000000001</v>
      </c>
      <c r="AF3556">
        <v>-7.1476346232301404</v>
      </c>
      <c r="AG3556">
        <v>-1.11476046964999</v>
      </c>
      <c r="AH3556">
        <v>14.5340949779082</v>
      </c>
      <c r="AI3556">
        <v>93.937286375124202</v>
      </c>
      <c r="AJ3556">
        <v>116.18721888254601</v>
      </c>
      <c r="AK3556">
        <v>16.2348787626748</v>
      </c>
      <c r="AL3556">
        <v>91.504287967814406</v>
      </c>
      <c r="AM3556">
        <v>93.867653308451196</v>
      </c>
      <c r="AN3556">
        <v>0.99999993350667005</v>
      </c>
    </row>
    <row r="3557" spans="1:40" x14ac:dyDescent="0.25">
      <c r="A3557" t="str">
        <f>"20190312153953916"</f>
        <v>20190312153953916</v>
      </c>
      <c r="B3557" t="str">
        <f>"1552376393909394"</f>
        <v>1552376393909394</v>
      </c>
      <c r="C3557" t="s">
        <v>40</v>
      </c>
      <c r="D3557">
        <v>4.289066</v>
      </c>
      <c r="E3557">
        <v>0.34635090000000002</v>
      </c>
      <c r="F3557" t="s">
        <v>41</v>
      </c>
      <c r="G3557">
        <v>-488.68560000000002</v>
      </c>
      <c r="H3557">
        <v>1.045577</v>
      </c>
      <c r="I3557">
        <v>273.5958</v>
      </c>
      <c r="J3557">
        <v>-488.4905</v>
      </c>
      <c r="K3557">
        <v>1.1147560000000001</v>
      </c>
      <c r="L3557">
        <v>274.50659999999999</v>
      </c>
      <c r="M3557">
        <v>-0.64723399999999998</v>
      </c>
      <c r="N3557">
        <v>0</v>
      </c>
      <c r="O3557">
        <v>-0.76220429999999995</v>
      </c>
      <c r="P3557">
        <v>-0.59367099999999995</v>
      </c>
      <c r="Q3557">
        <v>-3.6879229999999999E-2</v>
      </c>
      <c r="R3557">
        <v>-0.80386230000000003</v>
      </c>
      <c r="S3557">
        <v>-0.80230709999999905</v>
      </c>
      <c r="T3557">
        <v>-0.2200241</v>
      </c>
      <c r="U3557">
        <v>-3.137054</v>
      </c>
      <c r="V3557">
        <v>-6.7488339999999994E-2</v>
      </c>
      <c r="W3557">
        <v>-2.6185179999999999E-2</v>
      </c>
      <c r="X3557">
        <v>0.99737640000000005</v>
      </c>
      <c r="Y3557">
        <v>-0.4384113</v>
      </c>
      <c r="Z3557">
        <v>4.1561389999999997E-2</v>
      </c>
      <c r="AA3557">
        <v>0.89781299999999997</v>
      </c>
      <c r="AB3557">
        <v>19</v>
      </c>
      <c r="AC3557">
        <v>-0.195100000000024</v>
      </c>
      <c r="AD3557">
        <v>-6.9178999999999796E-2</v>
      </c>
      <c r="AE3557">
        <v>-0.91079999999999395</v>
      </c>
      <c r="AF3557">
        <v>-0.43840571501223402</v>
      </c>
      <c r="AG3557">
        <v>-6.9178999999999796E-2</v>
      </c>
      <c r="AH3557">
        <v>0.81604425482256704</v>
      </c>
      <c r="AI3557">
        <v>94.270861873063495</v>
      </c>
      <c r="AJ3557">
        <v>118.246149085056</v>
      </c>
      <c r="AK3557">
        <v>0.92893139188279505</v>
      </c>
      <c r="AL3557">
        <v>91.500471785710204</v>
      </c>
      <c r="AM3557">
        <v>93.871067746207402</v>
      </c>
      <c r="AN3557">
        <v>1.00000001148227</v>
      </c>
    </row>
    <row r="3558" spans="1:40" x14ac:dyDescent="0.25">
      <c r="A3558" t="str">
        <f>"20190312153953926"</f>
        <v>20190312153953926</v>
      </c>
      <c r="B3558" t="str">
        <f>"1552376393919155"</f>
        <v>1552376393919155</v>
      </c>
      <c r="C3558" t="s">
        <v>40</v>
      </c>
      <c r="D3558">
        <v>4.0799310000000002</v>
      </c>
      <c r="E3558">
        <v>0.34635090000000002</v>
      </c>
      <c r="F3558" t="s">
        <v>42</v>
      </c>
      <c r="G3558">
        <v>-492.47160000000002</v>
      </c>
      <c r="H3558" s="1">
        <v>-4.3741579999999997E-6</v>
      </c>
      <c r="I3558">
        <v>258.5521</v>
      </c>
      <c r="J3558">
        <v>-488.54430000000002</v>
      </c>
      <c r="K3558">
        <v>1.1147579999999999</v>
      </c>
      <c r="L3558">
        <v>274.43459999999999</v>
      </c>
      <c r="M3558">
        <v>-0.64360419999999996</v>
      </c>
      <c r="N3558">
        <v>0</v>
      </c>
      <c r="O3558">
        <v>-0.76526959999999999</v>
      </c>
      <c r="P3558">
        <v>-0.58973959999999903</v>
      </c>
      <c r="Q3558">
        <v>-3.7046719999999998E-2</v>
      </c>
      <c r="R3558">
        <v>-0.80674360000000001</v>
      </c>
      <c r="S3558">
        <v>-0.78421019999999997</v>
      </c>
      <c r="T3558">
        <v>-0.21958929999999999</v>
      </c>
      <c r="U3558">
        <v>-3.1427610000000001</v>
      </c>
      <c r="V3558">
        <v>-6.7614359999999998E-2</v>
      </c>
      <c r="W3558">
        <v>-2.6195570000000001E-2</v>
      </c>
      <c r="X3558">
        <v>0.99736760000000002</v>
      </c>
      <c r="Y3558">
        <v>-0.43939329999999999</v>
      </c>
      <c r="Z3558">
        <v>4.1704409999999997E-2</v>
      </c>
      <c r="AA3558">
        <v>0.89732619999999896</v>
      </c>
      <c r="AB3558">
        <v>19</v>
      </c>
      <c r="AC3558">
        <v>-3.9272999999999998</v>
      </c>
      <c r="AD3558">
        <v>-1.1147623741579999</v>
      </c>
      <c r="AE3558">
        <v>-15.882499999999901</v>
      </c>
      <c r="AF3558">
        <v>-7.1837408676871899</v>
      </c>
      <c r="AG3558">
        <v>-1.1147623741579999</v>
      </c>
      <c r="AH3558">
        <v>14.615169158717199</v>
      </c>
      <c r="AI3558">
        <v>93.915918138177901</v>
      </c>
      <c r="AJ3558">
        <v>116.175333093975</v>
      </c>
      <c r="AK3558">
        <v>16.3233574225046</v>
      </c>
      <c r="AL3558">
        <v>91.501067281017797</v>
      </c>
      <c r="AM3558">
        <v>93.8783082109655</v>
      </c>
      <c r="AN3558">
        <v>1.0000000195477901</v>
      </c>
    </row>
    <row r="3559" spans="1:40" x14ac:dyDescent="0.25">
      <c r="A3559" t="str">
        <f>"20190312153953938"</f>
        <v>20190312153953938</v>
      </c>
      <c r="B3559" t="str">
        <f>"1552376393929890"</f>
        <v>1552376393929890</v>
      </c>
      <c r="C3559" t="s">
        <v>40</v>
      </c>
      <c r="D3559">
        <v>4.2170639999999997</v>
      </c>
      <c r="E3559">
        <v>0.34580689999999997</v>
      </c>
      <c r="F3559" t="s">
        <v>42</v>
      </c>
      <c r="G3559">
        <v>-492.43939999999998</v>
      </c>
      <c r="H3559" s="1">
        <v>-4.3520239999999998E-6</v>
      </c>
      <c r="I3559">
        <v>258.50389999999999</v>
      </c>
      <c r="J3559">
        <v>-488.5994</v>
      </c>
      <c r="K3559">
        <v>1.11476</v>
      </c>
      <c r="L3559">
        <v>274.3605</v>
      </c>
      <c r="M3559">
        <v>-0.63985999999999998</v>
      </c>
      <c r="N3559">
        <v>0</v>
      </c>
      <c r="O3559">
        <v>-0.76840050000000004</v>
      </c>
      <c r="P3559">
        <v>-0.58568509999999996</v>
      </c>
      <c r="Q3559">
        <v>-3.6977919999999997E-2</v>
      </c>
      <c r="R3559">
        <v>-0.80969499999999905</v>
      </c>
      <c r="S3559">
        <v>-0.76925659999999996</v>
      </c>
      <c r="T3559">
        <v>-0.22015589999999999</v>
      </c>
      <c r="U3559">
        <v>-3.1461790000000001</v>
      </c>
      <c r="V3559">
        <v>-6.7755049999999997E-2</v>
      </c>
      <c r="W3559">
        <v>-2.5969389999999998E-2</v>
      </c>
      <c r="X3559">
        <v>0.99736389999999997</v>
      </c>
      <c r="Y3559">
        <v>-0.43926140000000002</v>
      </c>
      <c r="Z3559">
        <v>4.208945E-2</v>
      </c>
      <c r="AA3559">
        <v>0.89737279999999997</v>
      </c>
      <c r="AB3559">
        <v>19</v>
      </c>
      <c r="AC3559">
        <v>-3.8399999999999701</v>
      </c>
      <c r="AD3559">
        <v>-1.114764352024</v>
      </c>
      <c r="AE3559">
        <v>-15.8566</v>
      </c>
      <c r="AF3559">
        <v>-7.1624102782527004</v>
      </c>
      <c r="AG3559">
        <v>-1.114764352024</v>
      </c>
      <c r="AH3559">
        <v>14.5742629681019</v>
      </c>
      <c r="AI3559">
        <v>93.927011874623204</v>
      </c>
      <c r="AJ3559">
        <v>116.17145701258799</v>
      </c>
      <c r="AK3559">
        <v>16.277345042050001</v>
      </c>
      <c r="AL3559">
        <v>91.488103811318695</v>
      </c>
      <c r="AM3559">
        <v>93.886367751649203</v>
      </c>
      <c r="AN3559">
        <v>0.99999995252034102</v>
      </c>
    </row>
    <row r="3560" spans="1:40" x14ac:dyDescent="0.25">
      <c r="A3560" t="str">
        <f>"20190312153953950"</f>
        <v>20190312153953950</v>
      </c>
      <c r="B3560" t="str">
        <f>"1552376393939651"</f>
        <v>1552376393939651</v>
      </c>
      <c r="C3560" t="s">
        <v>40</v>
      </c>
      <c r="D3560">
        <v>4.279738</v>
      </c>
      <c r="E3560">
        <v>0.34519290000000002</v>
      </c>
      <c r="F3560" t="s">
        <v>41</v>
      </c>
      <c r="G3560">
        <v>-488.82819999999998</v>
      </c>
      <c r="H3560">
        <v>1.045677</v>
      </c>
      <c r="I3560">
        <v>273.39949999999999</v>
      </c>
      <c r="J3560">
        <v>-488.65499999999997</v>
      </c>
      <c r="K3560">
        <v>1.114762</v>
      </c>
      <c r="L3560">
        <v>274.28469999999999</v>
      </c>
      <c r="M3560">
        <v>-0.63603120000000002</v>
      </c>
      <c r="N3560">
        <v>0</v>
      </c>
      <c r="O3560">
        <v>-0.77157039999999999</v>
      </c>
      <c r="P3560">
        <v>-0.58149649999999997</v>
      </c>
      <c r="Q3560">
        <v>-3.7434040000000002E-2</v>
      </c>
      <c r="R3560">
        <v>-0.81268759999999995</v>
      </c>
      <c r="S3560">
        <v>-0.74926759999999903</v>
      </c>
      <c r="T3560">
        <v>-0.22654920000000001</v>
      </c>
      <c r="U3560">
        <v>-3.1527400000000001</v>
      </c>
      <c r="V3560">
        <v>-6.7929509999999999E-2</v>
      </c>
      <c r="W3560">
        <v>-2.6281889999999999E-2</v>
      </c>
      <c r="X3560">
        <v>0.99734389999999995</v>
      </c>
      <c r="Y3560">
        <v>-0.44061539999999999</v>
      </c>
      <c r="Z3560">
        <v>4.3531859999999999E-2</v>
      </c>
      <c r="AA3560">
        <v>0.89663989999999905</v>
      </c>
      <c r="AB3560">
        <v>19</v>
      </c>
      <c r="AC3560">
        <v>-0.17320000000000799</v>
      </c>
      <c r="AD3560">
        <v>-6.9084999999999994E-2</v>
      </c>
      <c r="AE3560">
        <v>-0.88519999999999699</v>
      </c>
      <c r="AF3560">
        <v>-0.42690524143747799</v>
      </c>
      <c r="AG3560">
        <v>-6.9084999999999994E-2</v>
      </c>
      <c r="AH3560">
        <v>0.78858548297085795</v>
      </c>
      <c r="AI3560">
        <v>94.405449614056394</v>
      </c>
      <c r="AJ3560">
        <v>118.429151214749</v>
      </c>
      <c r="AK3560">
        <v>0.89938194686360795</v>
      </c>
      <c r="AL3560">
        <v>91.506014777207596</v>
      </c>
      <c r="AM3560">
        <v>93.896421727977497</v>
      </c>
      <c r="AN3560">
        <v>1.0000000054690099</v>
      </c>
    </row>
    <row r="3561" spans="1:40" x14ac:dyDescent="0.25">
      <c r="A3561" t="str">
        <f>"20190312153953961"</f>
        <v>20190312153953961</v>
      </c>
      <c r="B3561" t="str">
        <f>"1552376393949410"</f>
        <v>1552376393949410</v>
      </c>
      <c r="C3561" t="s">
        <v>40</v>
      </c>
      <c r="D3561">
        <v>4.1803699999999999</v>
      </c>
      <c r="E3561">
        <v>0.34417819999999999</v>
      </c>
      <c r="F3561" t="s">
        <v>42</v>
      </c>
      <c r="G3561">
        <v>-492.13600000000002</v>
      </c>
      <c r="H3561" s="1">
        <v>-4.5303880000000004E-6</v>
      </c>
      <c r="I3561">
        <v>259.18619999999999</v>
      </c>
      <c r="J3561">
        <v>-488.70600000000002</v>
      </c>
      <c r="K3561">
        <v>1.1147629999999999</v>
      </c>
      <c r="L3561">
        <v>274.21460000000002</v>
      </c>
      <c r="M3561">
        <v>-0.63248959999999999</v>
      </c>
      <c r="N3561">
        <v>0</v>
      </c>
      <c r="O3561">
        <v>-0.77447409999999905</v>
      </c>
      <c r="P3561">
        <v>-0.57764040000000005</v>
      </c>
      <c r="Q3561">
        <v>-3.7455389999999998E-2</v>
      </c>
      <c r="R3561">
        <v>-0.81543140000000003</v>
      </c>
      <c r="S3561">
        <v>-0.72842410000000002</v>
      </c>
      <c r="T3561">
        <v>-0.23327619999999999</v>
      </c>
      <c r="U3561">
        <v>-3.1595149999999999</v>
      </c>
      <c r="V3561">
        <v>-6.8087120000000001E-2</v>
      </c>
      <c r="W3561">
        <v>-2.6176339999999999E-2</v>
      </c>
      <c r="X3561">
        <v>0.99733590000000005</v>
      </c>
      <c r="Y3561">
        <v>-0.44255539999999999</v>
      </c>
      <c r="Z3561">
        <v>4.5009159999999999E-2</v>
      </c>
      <c r="AA3561">
        <v>0.89561089999999999</v>
      </c>
      <c r="AB3561">
        <v>19</v>
      </c>
      <c r="AC3561">
        <v>-3.43</v>
      </c>
      <c r="AD3561">
        <v>-1.114767530388</v>
      </c>
      <c r="AE3561">
        <v>-15.0284</v>
      </c>
      <c r="AF3561">
        <v>-6.8137283896910601</v>
      </c>
      <c r="AG3561">
        <v>-1.114767530388</v>
      </c>
      <c r="AH3561">
        <v>13.737713097767401</v>
      </c>
      <c r="AI3561">
        <v>94.157857775919794</v>
      </c>
      <c r="AJ3561">
        <v>116.38081799860799</v>
      </c>
      <c r="AK3561">
        <v>15.3751215400679</v>
      </c>
      <c r="AL3561">
        <v>91.499965169000106</v>
      </c>
      <c r="AM3561">
        <v>93.905465488792302</v>
      </c>
      <c r="AN3561">
        <v>0.99999997705724897</v>
      </c>
    </row>
    <row r="3562" spans="1:40" x14ac:dyDescent="0.25">
      <c r="A3562" t="str">
        <f>"20190312153953972"</f>
        <v>20190312153953972</v>
      </c>
      <c r="B3562" t="str">
        <f>"1552376393968932"</f>
        <v>1552376393968932</v>
      </c>
      <c r="C3562" t="s">
        <v>40</v>
      </c>
      <c r="D3562">
        <v>4.0782220000000002</v>
      </c>
      <c r="E3562">
        <v>0.34215659999999998</v>
      </c>
      <c r="F3562" t="s">
        <v>41</v>
      </c>
      <c r="G3562">
        <v>-488.91890000000001</v>
      </c>
      <c r="H3562">
        <v>1.0447059999999999</v>
      </c>
      <c r="I3562">
        <v>273.2604</v>
      </c>
      <c r="J3562">
        <v>-488.76139999999998</v>
      </c>
      <c r="K3562">
        <v>1.1147670000000001</v>
      </c>
      <c r="L3562">
        <v>274.13780000000003</v>
      </c>
      <c r="M3562">
        <v>-0.62860660000000002</v>
      </c>
      <c r="N3562">
        <v>0</v>
      </c>
      <c r="O3562">
        <v>-0.77762719999999996</v>
      </c>
      <c r="P3562">
        <v>-0.57337469999999902</v>
      </c>
      <c r="Q3562">
        <v>-3.7677820000000001E-2</v>
      </c>
      <c r="R3562">
        <v>-0.81842649999999995</v>
      </c>
      <c r="S3562">
        <v>-0.70690920000000002</v>
      </c>
      <c r="T3562">
        <v>-0.23258190000000001</v>
      </c>
      <c r="U3562">
        <v>-3.1676030000000002</v>
      </c>
      <c r="V3562">
        <v>-6.8298570000000003E-2</v>
      </c>
      <c r="W3562">
        <v>-2.6273290000000001E-2</v>
      </c>
      <c r="X3562">
        <v>0.99731890000000001</v>
      </c>
      <c r="Y3562">
        <v>-0.44435530000000001</v>
      </c>
      <c r="Z3562">
        <v>4.507514E-2</v>
      </c>
      <c r="AA3562">
        <v>0.89471599999999996</v>
      </c>
      <c r="AB3562">
        <v>19</v>
      </c>
      <c r="AC3562">
        <v>-0.15750000000002701</v>
      </c>
      <c r="AD3562">
        <v>-7.0061000000000095E-2</v>
      </c>
      <c r="AE3562">
        <v>-0.87740000000002205</v>
      </c>
      <c r="AF3562">
        <v>-0.42646097409355499</v>
      </c>
      <c r="AG3562">
        <v>-7.0061000000000095E-2</v>
      </c>
      <c r="AH3562">
        <v>0.77655726011863901</v>
      </c>
      <c r="AI3562">
        <v>94.521537440748105</v>
      </c>
      <c r="AJ3562">
        <v>118.774214658069</v>
      </c>
      <c r="AK3562">
        <v>0.88871743787820001</v>
      </c>
      <c r="AL3562">
        <v>91.505521895076498</v>
      </c>
      <c r="AM3562">
        <v>93.917623085930103</v>
      </c>
      <c r="AN3562">
        <v>0.99999998436433901</v>
      </c>
    </row>
    <row r="3563" spans="1:40" x14ac:dyDescent="0.25">
      <c r="A3563" t="str">
        <f>"20190312153953986"</f>
        <v>20190312153953986</v>
      </c>
      <c r="B3563" t="str">
        <f>"1552376393979666"</f>
        <v>1552376393979666</v>
      </c>
      <c r="C3563" t="s">
        <v>40</v>
      </c>
      <c r="D3563">
        <v>4.065696</v>
      </c>
      <c r="E3563">
        <v>0.34121859999999998</v>
      </c>
      <c r="F3563" t="s">
        <v>42</v>
      </c>
      <c r="G3563">
        <v>-492.20760000000001</v>
      </c>
      <c r="H3563" s="1">
        <v>-4.132858E-6</v>
      </c>
      <c r="I3563">
        <v>257.98070000000001</v>
      </c>
      <c r="J3563">
        <v>-488.82530000000003</v>
      </c>
      <c r="K3563">
        <v>1.114768</v>
      </c>
      <c r="L3563">
        <v>274.04790000000003</v>
      </c>
      <c r="M3563">
        <v>-0.62405659999999996</v>
      </c>
      <c r="N3563">
        <v>0</v>
      </c>
      <c r="O3563">
        <v>-0.78128109999999995</v>
      </c>
      <c r="P3563">
        <v>-0.56832419999999995</v>
      </c>
      <c r="Q3563">
        <v>-3.7775999999999997E-2</v>
      </c>
      <c r="R3563">
        <v>-0.82193689999999997</v>
      </c>
      <c r="S3563">
        <v>-0.67831419999999998</v>
      </c>
      <c r="T3563">
        <v>-0.2194161</v>
      </c>
      <c r="U3563">
        <v>-3.180145</v>
      </c>
      <c r="V3563">
        <v>-6.8617719999999993E-2</v>
      </c>
      <c r="W3563">
        <v>-2.6240989999999999E-2</v>
      </c>
      <c r="X3563">
        <v>0.99729789999999996</v>
      </c>
      <c r="Y3563">
        <v>-0.4475362</v>
      </c>
      <c r="Z3563">
        <v>4.2692180000000003E-2</v>
      </c>
      <c r="AA3563">
        <v>0.89324609999999904</v>
      </c>
      <c r="AB3563">
        <v>19</v>
      </c>
      <c r="AC3563">
        <v>-3.3822999999999799</v>
      </c>
      <c r="AD3563">
        <v>-1.114772132858</v>
      </c>
      <c r="AE3563">
        <v>-16.0672</v>
      </c>
      <c r="AF3563">
        <v>-7.3509959092927897</v>
      </c>
      <c r="AG3563">
        <v>-1.114772132858</v>
      </c>
      <c r="AH3563">
        <v>14.5975811221287</v>
      </c>
      <c r="AI3563">
        <v>93.901917838481396</v>
      </c>
      <c r="AJ3563">
        <v>116.728742144039</v>
      </c>
      <c r="AK3563">
        <v>16.3819788909571</v>
      </c>
      <c r="AL3563">
        <v>91.503670517603496</v>
      </c>
      <c r="AM3563">
        <v>93.9359548235566</v>
      </c>
      <c r="AN3563">
        <v>1.00000004119929</v>
      </c>
    </row>
    <row r="3564" spans="1:40" x14ac:dyDescent="0.25">
      <c r="A3564" t="str">
        <f>"20190312153954001"</f>
        <v>20190312153954001</v>
      </c>
      <c r="B3564" t="str">
        <f>"1552376393989427"</f>
        <v>1552376393989427</v>
      </c>
      <c r="C3564" t="s">
        <v>40</v>
      </c>
      <c r="D3564">
        <v>4.1446509999999996</v>
      </c>
      <c r="E3564">
        <v>0.34051589999999998</v>
      </c>
      <c r="F3564" t="s">
        <v>41</v>
      </c>
      <c r="G3564">
        <v>-489.0206</v>
      </c>
      <c r="H3564">
        <v>1.0513410000000001</v>
      </c>
      <c r="I3564">
        <v>273.09589999999997</v>
      </c>
      <c r="J3564">
        <v>-488.8913</v>
      </c>
      <c r="K3564">
        <v>1.1147670000000001</v>
      </c>
      <c r="L3564">
        <v>273.95400000000001</v>
      </c>
      <c r="M3564">
        <v>-0.61930169999999996</v>
      </c>
      <c r="N3564">
        <v>0</v>
      </c>
      <c r="O3564">
        <v>-0.78505380000000002</v>
      </c>
      <c r="P3564">
        <v>-0.56297949999999997</v>
      </c>
      <c r="Q3564">
        <v>-3.7671950000000003E-2</v>
      </c>
      <c r="R3564">
        <v>-0.82561209999999996</v>
      </c>
      <c r="S3564">
        <v>-0.65328980000000003</v>
      </c>
      <c r="T3564">
        <v>-0.21236459999999999</v>
      </c>
      <c r="U3564">
        <v>-3.188507</v>
      </c>
      <c r="V3564">
        <v>-6.9040400000000002E-2</v>
      </c>
      <c r="W3564">
        <v>-2.6016029999999999E-2</v>
      </c>
      <c r="X3564">
        <v>0.99727460000000001</v>
      </c>
      <c r="Y3564">
        <v>-0.44929459999999999</v>
      </c>
      <c r="Z3564">
        <v>4.1563129999999997E-2</v>
      </c>
      <c r="AA3564">
        <v>0.89241630000000005</v>
      </c>
      <c r="AB3564">
        <v>19</v>
      </c>
      <c r="AC3564">
        <v>-0.1293</v>
      </c>
      <c r="AD3564">
        <v>-6.3425999999999899E-2</v>
      </c>
      <c r="AE3564">
        <v>-0.85810000000003495</v>
      </c>
      <c r="AF3564">
        <v>-0.42766424933702701</v>
      </c>
      <c r="AG3564">
        <v>-6.3425999999999899E-2</v>
      </c>
      <c r="AH3564">
        <v>0.74978376197293095</v>
      </c>
      <c r="AI3564">
        <v>94.202530886740206</v>
      </c>
      <c r="AJ3564">
        <v>119.699719902152</v>
      </c>
      <c r="AK3564">
        <v>0.86550289274807402</v>
      </c>
      <c r="AL3564">
        <v>91.490776890315303</v>
      </c>
      <c r="AM3564">
        <v>93.960215331052694</v>
      </c>
      <c r="AN3564">
        <v>1.0000000192271401</v>
      </c>
    </row>
    <row r="3565" spans="1:40" x14ac:dyDescent="0.25">
      <c r="A3565" t="str">
        <f>"20190312153954012"</f>
        <v>20190312153954012</v>
      </c>
      <c r="B3565" t="str">
        <f>"1552376394008946"</f>
        <v>1552376394008946</v>
      </c>
      <c r="C3565" t="s">
        <v>40</v>
      </c>
      <c r="D3565">
        <v>4.0960830000000001</v>
      </c>
      <c r="E3565">
        <v>0.33931899999999998</v>
      </c>
      <c r="F3565" t="s">
        <v>41</v>
      </c>
      <c r="G3565">
        <v>-489.07850000000002</v>
      </c>
      <c r="H3565">
        <v>1.0535219999999901</v>
      </c>
      <c r="I3565">
        <v>273.00130000000001</v>
      </c>
      <c r="J3565">
        <v>-488.94979999999998</v>
      </c>
      <c r="K3565">
        <v>1.114768</v>
      </c>
      <c r="L3565">
        <v>273.86970000000002</v>
      </c>
      <c r="M3565">
        <v>-0.61502619999999997</v>
      </c>
      <c r="N3565">
        <v>0</v>
      </c>
      <c r="O3565">
        <v>-0.78840639999999995</v>
      </c>
      <c r="P3565">
        <v>-0.55841569999999996</v>
      </c>
      <c r="Q3565">
        <v>-3.7708970000000001E-2</v>
      </c>
      <c r="R3565">
        <v>-0.828704</v>
      </c>
      <c r="S3565">
        <v>-0.62808229999999998</v>
      </c>
      <c r="T3565">
        <v>-0.20547190000000001</v>
      </c>
      <c r="U3565">
        <v>-3.1960449999999998</v>
      </c>
      <c r="V3565">
        <v>-6.9123729999999994E-2</v>
      </c>
      <c r="W3565">
        <v>-2.59589E-2</v>
      </c>
      <c r="X3565">
        <v>0.99727030000000005</v>
      </c>
      <c r="Y3565">
        <v>-0.4516116</v>
      </c>
      <c r="Z3565">
        <v>4.041053E-2</v>
      </c>
      <c r="AA3565">
        <v>0.89129899999999995</v>
      </c>
      <c r="AB3565">
        <v>18</v>
      </c>
      <c r="AC3565">
        <v>-0.12870000000003701</v>
      </c>
      <c r="AD3565">
        <v>-6.1246000000000099E-2</v>
      </c>
      <c r="AE3565">
        <v>-0.86840000000000805</v>
      </c>
      <c r="AF3565">
        <v>-0.43055943257380402</v>
      </c>
      <c r="AG3565">
        <v>-6.1246000000000099E-2</v>
      </c>
      <c r="AH3565">
        <v>0.76016649391263202</v>
      </c>
      <c r="AI3565">
        <v>94.010157162093094</v>
      </c>
      <c r="AJ3565">
        <v>119.527280274836</v>
      </c>
      <c r="AK3565">
        <v>0.87577713829586801</v>
      </c>
      <c r="AL3565">
        <v>91.487502500914403</v>
      </c>
      <c r="AM3565">
        <v>93.964997014870605</v>
      </c>
      <c r="AN3565">
        <v>1.0000000029002001</v>
      </c>
    </row>
    <row r="3566" spans="1:40" x14ac:dyDescent="0.25">
      <c r="A3566" t="str">
        <f>"20190312153954025"</f>
        <v>20190312153954025</v>
      </c>
      <c r="B3566" t="str">
        <f>"1552376394019683"</f>
        <v>1552376394019683</v>
      </c>
      <c r="C3566" t="s">
        <v>40</v>
      </c>
      <c r="D3566">
        <v>4.1330989999999996</v>
      </c>
      <c r="E3566">
        <v>0.33904109999999998</v>
      </c>
      <c r="F3566" t="s">
        <v>42</v>
      </c>
      <c r="G3566">
        <v>-492.35550000000001</v>
      </c>
      <c r="H3566" s="1">
        <v>-3.2789129999999998E-6</v>
      </c>
      <c r="I3566">
        <v>255.7714</v>
      </c>
      <c r="J3566">
        <v>-489.0043</v>
      </c>
      <c r="K3566">
        <v>1.11477</v>
      </c>
      <c r="L3566">
        <v>273.79039999999998</v>
      </c>
      <c r="M3566">
        <v>-0.6110004</v>
      </c>
      <c r="N3566">
        <v>0</v>
      </c>
      <c r="O3566">
        <v>-0.79152900000000004</v>
      </c>
      <c r="P3566">
        <v>-0.55379269999999903</v>
      </c>
      <c r="Q3566">
        <v>-3.7531380000000003E-2</v>
      </c>
      <c r="R3566">
        <v>-0.83180829999999994</v>
      </c>
      <c r="S3566">
        <v>-0.60305790000000004</v>
      </c>
      <c r="T3566">
        <v>-0.19739889999999999</v>
      </c>
      <c r="U3566">
        <v>-3.2047729999999999</v>
      </c>
      <c r="V3566">
        <v>-6.9603499999999999E-2</v>
      </c>
      <c r="W3566">
        <v>-2.571025E-2</v>
      </c>
      <c r="X3566">
        <v>0.99724330000000005</v>
      </c>
      <c r="Y3566">
        <v>-0.45422630000000003</v>
      </c>
      <c r="Z3566">
        <v>3.897159E-2</v>
      </c>
      <c r="AA3566">
        <v>0.89003349999999903</v>
      </c>
      <c r="AB3566">
        <v>18</v>
      </c>
      <c r="AC3566">
        <v>-3.3512</v>
      </c>
      <c r="AD3566">
        <v>-1.1147732789129901</v>
      </c>
      <c r="AE3566">
        <v>-18.018999999999899</v>
      </c>
      <c r="AF3566">
        <v>-8.3269088874565291</v>
      </c>
      <c r="AG3566">
        <v>-1.1147732789129901</v>
      </c>
      <c r="AH3566">
        <v>16.2513315306953</v>
      </c>
      <c r="AI3566">
        <v>93.493490757851006</v>
      </c>
      <c r="AJ3566">
        <v>117.129838292781</v>
      </c>
      <c r="AK3566">
        <v>18.2944228551751</v>
      </c>
      <c r="AL3566">
        <v>91.473251253492293</v>
      </c>
      <c r="AM3566">
        <v>93.992536091847001</v>
      </c>
      <c r="AN3566">
        <v>0.99999993178109903</v>
      </c>
    </row>
    <row r="3567" spans="1:40" x14ac:dyDescent="0.25">
      <c r="A3567" t="str">
        <f>"20190312153954036"</f>
        <v>20190312153954036</v>
      </c>
      <c r="B3567" t="str">
        <f>"1552376394029443"</f>
        <v>1552376394029443</v>
      </c>
      <c r="C3567" t="s">
        <v>40</v>
      </c>
      <c r="D3567">
        <v>4.120609</v>
      </c>
      <c r="E3567">
        <v>0.3387365</v>
      </c>
      <c r="F3567" t="s">
        <v>41</v>
      </c>
      <c r="G3567">
        <v>-489.17410000000001</v>
      </c>
      <c r="H3567">
        <v>1.057995</v>
      </c>
      <c r="I3567">
        <v>272.85849999999999</v>
      </c>
      <c r="J3567">
        <v>-489.05919999999998</v>
      </c>
      <c r="K3567">
        <v>1.114768</v>
      </c>
      <c r="L3567">
        <v>273.7097</v>
      </c>
      <c r="M3567">
        <v>-0.60689850000000001</v>
      </c>
      <c r="N3567">
        <v>0</v>
      </c>
      <c r="O3567">
        <v>-0.79467719999999997</v>
      </c>
      <c r="P3567">
        <v>-0.54921350000000002</v>
      </c>
      <c r="Q3567">
        <v>-3.7174869999999999E-2</v>
      </c>
      <c r="R3567">
        <v>-0.83485480000000001</v>
      </c>
      <c r="S3567">
        <v>-0.58413700000000002</v>
      </c>
      <c r="T3567">
        <v>-0.19544710000000001</v>
      </c>
      <c r="U3567">
        <v>-3.2088320000000001</v>
      </c>
      <c r="V3567">
        <v>-6.9941409999999996E-2</v>
      </c>
      <c r="W3567">
        <v>-2.5286940000000001E-2</v>
      </c>
      <c r="X3567">
        <v>0.99723050000000002</v>
      </c>
      <c r="Y3567">
        <v>-0.45489770000000002</v>
      </c>
      <c r="Z3567">
        <v>3.8813689999999998E-2</v>
      </c>
      <c r="AA3567">
        <v>0.88969739999999997</v>
      </c>
      <c r="AB3567">
        <v>18</v>
      </c>
      <c r="AC3567">
        <v>-0.114900000000034</v>
      </c>
      <c r="AD3567">
        <v>-5.67729999999999E-2</v>
      </c>
      <c r="AE3567">
        <v>-0.85120000000000495</v>
      </c>
      <c r="AF3567">
        <v>-0.42346800545619301</v>
      </c>
      <c r="AG3567">
        <v>-5.67729999999999E-2</v>
      </c>
      <c r="AH3567">
        <v>0.74297641437259798</v>
      </c>
      <c r="AI3567">
        <v>93.798116511541707</v>
      </c>
      <c r="AJ3567">
        <v>119.681478339935</v>
      </c>
      <c r="AK3567">
        <v>0.85706608700146902</v>
      </c>
      <c r="AL3567">
        <v>91.448989460088995</v>
      </c>
      <c r="AM3567">
        <v>94.011907181157099</v>
      </c>
      <c r="AN3567">
        <v>0.99999995014879905</v>
      </c>
    </row>
    <row r="3568" spans="1:40" x14ac:dyDescent="0.25">
      <c r="A3568" t="str">
        <f>"20190312153954050"</f>
        <v>20190312153954050</v>
      </c>
      <c r="B3568" t="str">
        <f>"1552376394039203"</f>
        <v>1552376394039203</v>
      </c>
      <c r="C3568" t="s">
        <v>40</v>
      </c>
      <c r="D3568">
        <v>4.108282</v>
      </c>
      <c r="E3568">
        <v>0.33842729999999999</v>
      </c>
      <c r="F3568" t="s">
        <v>42</v>
      </c>
      <c r="G3568">
        <v>-492.34289999999999</v>
      </c>
      <c r="H3568" s="1">
        <v>-2.9501369999999999E-6</v>
      </c>
      <c r="I3568">
        <v>255.0128</v>
      </c>
      <c r="J3568">
        <v>-489.12</v>
      </c>
      <c r="K3568">
        <v>1.1147590000000001</v>
      </c>
      <c r="L3568">
        <v>273.6189</v>
      </c>
      <c r="M3568">
        <v>-0.60228530000000002</v>
      </c>
      <c r="N3568">
        <v>0</v>
      </c>
      <c r="O3568">
        <v>-0.79817839999999995</v>
      </c>
      <c r="P3568">
        <v>-0.54370090000000004</v>
      </c>
      <c r="Q3568">
        <v>-3.682303E-2</v>
      </c>
      <c r="R3568">
        <v>-0.83847119999999997</v>
      </c>
      <c r="S3568">
        <v>-0.56439209999999995</v>
      </c>
      <c r="T3568">
        <v>-0.191607</v>
      </c>
      <c r="U3568">
        <v>-3.2136230000000001</v>
      </c>
      <c r="V3568">
        <v>-7.0749989999999999E-2</v>
      </c>
      <c r="W3568">
        <v>-2.4887050000000001E-2</v>
      </c>
      <c r="X3568">
        <v>0.99718359999999995</v>
      </c>
      <c r="Y3568">
        <v>-0.45526860000000002</v>
      </c>
      <c r="Z3568">
        <v>3.830136E-2</v>
      </c>
      <c r="AA3568">
        <v>0.88952989999999998</v>
      </c>
      <c r="AB3568">
        <v>18</v>
      </c>
      <c r="AC3568">
        <v>-3.2228999999999801</v>
      </c>
      <c r="AD3568">
        <v>-1.1147619501369901</v>
      </c>
      <c r="AE3568">
        <v>-18.606100000000001</v>
      </c>
      <c r="AF3568">
        <v>-8.6044506135000098</v>
      </c>
      <c r="AG3568">
        <v>-1.1147619501369901</v>
      </c>
      <c r="AH3568">
        <v>16.7351431262564</v>
      </c>
      <c r="AI3568">
        <v>93.390264345630797</v>
      </c>
      <c r="AJ3568">
        <v>117.210169711853</v>
      </c>
      <c r="AK3568">
        <v>18.850577710561598</v>
      </c>
      <c r="AL3568">
        <v>91.426070123405097</v>
      </c>
      <c r="AM3568">
        <v>94.058324261968394</v>
      </c>
      <c r="AN3568">
        <v>1.00000002922583</v>
      </c>
    </row>
    <row r="3569" spans="1:40" x14ac:dyDescent="0.25">
      <c r="A3569" t="str">
        <f>"20190312153954062"</f>
        <v>20190312153954062</v>
      </c>
      <c r="B3569" t="str">
        <f>"1552376394048963"</f>
        <v>1552376394048963</v>
      </c>
      <c r="C3569" t="s">
        <v>40</v>
      </c>
      <c r="D3569">
        <v>4.1568459999999998</v>
      </c>
      <c r="E3569">
        <v>0.33831020000000001</v>
      </c>
      <c r="F3569" t="s">
        <v>41</v>
      </c>
      <c r="G3569">
        <v>-489.27800000000002</v>
      </c>
      <c r="H3569">
        <v>1.0593520000000001</v>
      </c>
      <c r="I3569">
        <v>272.67739999999998</v>
      </c>
      <c r="J3569">
        <v>-489.17189999999999</v>
      </c>
      <c r="K3569">
        <v>1.1147530000000001</v>
      </c>
      <c r="L3569">
        <v>273.54070000000002</v>
      </c>
      <c r="M3569">
        <v>-0.59830430000000001</v>
      </c>
      <c r="N3569">
        <v>0</v>
      </c>
      <c r="O3569">
        <v>-0.80116619999999905</v>
      </c>
      <c r="P3569">
        <v>-0.53917289999999995</v>
      </c>
      <c r="Q3569">
        <v>-3.7128660000000001E-2</v>
      </c>
      <c r="R3569">
        <v>-0.84137649999999997</v>
      </c>
      <c r="S3569">
        <v>-0.54095459999999995</v>
      </c>
      <c r="T3569">
        <v>-0.18948229999999999</v>
      </c>
      <c r="U3569">
        <v>-3.2188110000000001</v>
      </c>
      <c r="V3569">
        <v>-7.1150359999999996E-2</v>
      </c>
      <c r="W3569">
        <v>-2.5158429999999999E-2</v>
      </c>
      <c r="X3569">
        <v>0.99714829999999999</v>
      </c>
      <c r="Y3569">
        <v>-0.45736969999999999</v>
      </c>
      <c r="Z3569">
        <v>3.8049930000000003E-2</v>
      </c>
      <c r="AA3569">
        <v>0.88846219999999998</v>
      </c>
      <c r="AB3569">
        <v>18</v>
      </c>
      <c r="AC3569">
        <v>-0.10610000000002601</v>
      </c>
      <c r="AD3569">
        <v>-5.5400999999999999E-2</v>
      </c>
      <c r="AE3569">
        <v>-0.86330000000003704</v>
      </c>
      <c r="AF3569">
        <v>-0.42980420507095901</v>
      </c>
      <c r="AG3569">
        <v>-5.5400999999999999E-2</v>
      </c>
      <c r="AH3569">
        <v>0.75213765920875697</v>
      </c>
      <c r="AI3569">
        <v>93.659236086133404</v>
      </c>
      <c r="AJ3569">
        <v>119.74552773366899</v>
      </c>
      <c r="AK3569">
        <v>0.868050680489168</v>
      </c>
      <c r="AL3569">
        <v>91.441623926089093</v>
      </c>
      <c r="AM3569">
        <v>94.081356682358404</v>
      </c>
      <c r="AN3569">
        <v>1.00000002626054</v>
      </c>
    </row>
    <row r="3570" spans="1:40" x14ac:dyDescent="0.25">
      <c r="A3570" t="str">
        <f>"20190312153954073"</f>
        <v>20190312153954073</v>
      </c>
      <c r="B3570" t="str">
        <f>"1552376394069459"</f>
        <v>1552376394069459</v>
      </c>
      <c r="C3570" t="s">
        <v>40</v>
      </c>
      <c r="D3570">
        <v>4.2556129999999897</v>
      </c>
      <c r="E3570">
        <v>0.338227</v>
      </c>
      <c r="F3570" t="s">
        <v>41</v>
      </c>
      <c r="G3570">
        <v>-489.32569999999998</v>
      </c>
      <c r="H3570">
        <v>1.058664</v>
      </c>
      <c r="I3570">
        <v>272.59480000000002</v>
      </c>
      <c r="J3570">
        <v>-489.22250000000003</v>
      </c>
      <c r="K3570">
        <v>1.1147480000000001</v>
      </c>
      <c r="L3570">
        <v>273.46370000000002</v>
      </c>
      <c r="M3570">
        <v>-0.59437759999999995</v>
      </c>
      <c r="N3570">
        <v>0</v>
      </c>
      <c r="O3570">
        <v>-0.80408349999999995</v>
      </c>
      <c r="P3570">
        <v>-0.53484339999999997</v>
      </c>
      <c r="Q3570">
        <v>-3.7137209999999997E-2</v>
      </c>
      <c r="R3570">
        <v>-0.84413490000000002</v>
      </c>
      <c r="S3570">
        <v>-0.5229492</v>
      </c>
      <c r="T3570">
        <v>-0.19100549999999999</v>
      </c>
      <c r="U3570">
        <v>-3.2220460000000002</v>
      </c>
      <c r="V3570">
        <v>-7.1394760000000002E-2</v>
      </c>
      <c r="W3570">
        <v>-2.514564E-2</v>
      </c>
      <c r="X3570">
        <v>0.99713110000000005</v>
      </c>
      <c r="Y3570">
        <v>-0.45800049999999998</v>
      </c>
      <c r="Z3570">
        <v>3.85647E-2</v>
      </c>
      <c r="AA3570">
        <v>0.88811499999999999</v>
      </c>
      <c r="AB3570">
        <v>18</v>
      </c>
      <c r="AC3570">
        <v>-0.10319999999995801</v>
      </c>
      <c r="AD3570">
        <v>-5.6083999999999801E-2</v>
      </c>
      <c r="AE3570">
        <v>-0.86889999999999601</v>
      </c>
      <c r="AF3570">
        <v>-0.43173537563444903</v>
      </c>
      <c r="AG3570">
        <v>-5.6083999999999801E-2</v>
      </c>
      <c r="AH3570">
        <v>0.75696085785234601</v>
      </c>
      <c r="AI3570">
        <v>93.682408849185194</v>
      </c>
      <c r="AJ3570">
        <v>119.698430857624</v>
      </c>
      <c r="AK3570">
        <v>0.87322997540784097</v>
      </c>
      <c r="AL3570">
        <v>91.440890958260894</v>
      </c>
      <c r="AM3570">
        <v>94.095398839620103</v>
      </c>
      <c r="AN3570">
        <v>0.99999997277683805</v>
      </c>
    </row>
    <row r="3571" spans="1:40" x14ac:dyDescent="0.25">
      <c r="A3571" t="str">
        <f>"20190312153954084"</f>
        <v>20190312153954084</v>
      </c>
      <c r="B3571" t="str">
        <f>"1552376394079219"</f>
        <v>1552376394079219</v>
      </c>
      <c r="C3571" t="s">
        <v>40</v>
      </c>
      <c r="D3571">
        <v>4.1821699999999904</v>
      </c>
      <c r="E3571">
        <v>0.33822200000000002</v>
      </c>
      <c r="F3571" t="s">
        <v>41</v>
      </c>
      <c r="G3571">
        <v>-489.37189999999998</v>
      </c>
      <c r="H3571">
        <v>1.0592790000000001</v>
      </c>
      <c r="I3571">
        <v>272.5127</v>
      </c>
      <c r="J3571">
        <v>-489.26900000000001</v>
      </c>
      <c r="K3571">
        <v>1.1147419999999999</v>
      </c>
      <c r="L3571">
        <v>273.39190000000002</v>
      </c>
      <c r="M3571">
        <v>-0.59071830000000003</v>
      </c>
      <c r="N3571">
        <v>0</v>
      </c>
      <c r="O3571">
        <v>-0.80677529999999997</v>
      </c>
      <c r="P3571">
        <v>-0.53087169999999995</v>
      </c>
      <c r="Q3571">
        <v>-3.7251430000000002E-2</v>
      </c>
      <c r="R3571">
        <v>-0.84663330000000003</v>
      </c>
      <c r="S3571">
        <v>-0.50604249999999995</v>
      </c>
      <c r="T3571">
        <v>-0.18805730000000001</v>
      </c>
      <c r="U3571">
        <v>-3.2250369999999999</v>
      </c>
      <c r="V3571">
        <v>-7.1545280000000003E-2</v>
      </c>
      <c r="W3571">
        <v>-2.5255059999999999E-2</v>
      </c>
      <c r="X3571">
        <v>0.99711760000000005</v>
      </c>
      <c r="Y3571">
        <v>-0.45863090000000001</v>
      </c>
      <c r="Z3571">
        <v>3.8160810000000003E-2</v>
      </c>
      <c r="AA3571">
        <v>0.88780709999999996</v>
      </c>
      <c r="AB3571">
        <v>18</v>
      </c>
      <c r="AC3571">
        <v>-0.102899999999976</v>
      </c>
      <c r="AD3571">
        <v>-5.5462999999999797E-2</v>
      </c>
      <c r="AE3571">
        <v>-0.87920000000002496</v>
      </c>
      <c r="AF3571">
        <v>-0.43467204958287198</v>
      </c>
      <c r="AG3571">
        <v>-5.5462999999999797E-2</v>
      </c>
      <c r="AH3571">
        <v>0.76715383750663102</v>
      </c>
      <c r="AI3571">
        <v>93.599264968709704</v>
      </c>
      <c r="AJ3571">
        <v>119.536042697751</v>
      </c>
      <c r="AK3571">
        <v>0.88348228361338799</v>
      </c>
      <c r="AL3571">
        <v>91.447162176228005</v>
      </c>
      <c r="AM3571">
        <v>94.104058981599294</v>
      </c>
      <c r="AN3571">
        <v>1.00000002668782</v>
      </c>
    </row>
    <row r="3572" spans="1:40" x14ac:dyDescent="0.25">
      <c r="A3572" t="str">
        <f>"20190312153954095"</f>
        <v>20190312153954095</v>
      </c>
      <c r="B3572" t="str">
        <f>"1552376394088979"</f>
        <v>1552376394088979</v>
      </c>
      <c r="C3572" t="s">
        <v>40</v>
      </c>
      <c r="D3572">
        <v>4.1638849999999996</v>
      </c>
      <c r="E3572">
        <v>0.33826889999999998</v>
      </c>
      <c r="F3572" t="s">
        <v>41</v>
      </c>
      <c r="G3572">
        <v>-489.411</v>
      </c>
      <c r="H3572">
        <v>1.060562</v>
      </c>
      <c r="I3572">
        <v>272.45920000000001</v>
      </c>
      <c r="J3572">
        <v>-489.31959999999998</v>
      </c>
      <c r="K3572">
        <v>1.114735</v>
      </c>
      <c r="L3572">
        <v>273.3134</v>
      </c>
      <c r="M3572">
        <v>-0.58670659999999997</v>
      </c>
      <c r="N3572">
        <v>0</v>
      </c>
      <c r="O3572">
        <v>-0.80969740000000001</v>
      </c>
      <c r="P3572">
        <v>-0.52650520000000001</v>
      </c>
      <c r="Q3572">
        <v>-3.7402690000000002E-2</v>
      </c>
      <c r="R3572">
        <v>-0.84934849999999995</v>
      </c>
      <c r="S3572">
        <v>-0.49127199999999999</v>
      </c>
      <c r="T3572">
        <v>-0.1874422</v>
      </c>
      <c r="U3572">
        <v>-3.2271730000000001</v>
      </c>
      <c r="V3572">
        <v>-7.172473E-2</v>
      </c>
      <c r="W3572">
        <v>-2.5411630000000001E-2</v>
      </c>
      <c r="X3572">
        <v>0.99710069999999995</v>
      </c>
      <c r="Y3572">
        <v>-0.45827980000000001</v>
      </c>
      <c r="Z3572">
        <v>3.8268360000000001E-2</v>
      </c>
      <c r="AA3572">
        <v>0.88798369999999904</v>
      </c>
      <c r="AB3572">
        <v>18</v>
      </c>
      <c r="AC3572">
        <v>-9.1400000000021395E-2</v>
      </c>
      <c r="AD3572">
        <v>-5.4172999999999999E-2</v>
      </c>
      <c r="AE3572">
        <v>-0.85419999999999097</v>
      </c>
      <c r="AF3572">
        <v>-0.42550177009055301</v>
      </c>
      <c r="AG3572">
        <v>-5.4172999999999999E-2</v>
      </c>
      <c r="AH3572">
        <v>0.74237809833407298</v>
      </c>
      <c r="AI3572">
        <v>93.622582104385103</v>
      </c>
      <c r="AJ3572">
        <v>119.819629441365</v>
      </c>
      <c r="AK3572">
        <v>0.85738655877340897</v>
      </c>
      <c r="AL3572">
        <v>91.4561358996189</v>
      </c>
      <c r="AM3572">
        <v>94.114386978541802</v>
      </c>
      <c r="AN3572">
        <v>0.99999999688665897</v>
      </c>
    </row>
    <row r="3573" spans="1:40" x14ac:dyDescent="0.25">
      <c r="A3573" t="str">
        <f>"20190312153954106"</f>
        <v>20190312153954106</v>
      </c>
      <c r="B3573" t="str">
        <f>"1552376394099715"</f>
        <v>1552376394099715</v>
      </c>
      <c r="C3573" t="s">
        <v>40</v>
      </c>
      <c r="D3573">
        <v>4.1865030000000001</v>
      </c>
      <c r="E3573">
        <v>0.33835799999999999</v>
      </c>
      <c r="F3573" t="s">
        <v>42</v>
      </c>
      <c r="G3573">
        <v>-492.15370000000001</v>
      </c>
      <c r="H3573" s="1">
        <v>-2.4808360000000002E-6</v>
      </c>
      <c r="I3573">
        <v>254.03620000000001</v>
      </c>
      <c r="J3573">
        <v>-489.36700000000002</v>
      </c>
      <c r="K3573">
        <v>1.1147279999999999</v>
      </c>
      <c r="L3573">
        <v>273.23860000000002</v>
      </c>
      <c r="M3573">
        <v>-0.5828856</v>
      </c>
      <c r="N3573">
        <v>0</v>
      </c>
      <c r="O3573">
        <v>-0.81245279999999998</v>
      </c>
      <c r="P3573">
        <v>-0.52230559999999904</v>
      </c>
      <c r="Q3573">
        <v>-3.7495319999999999E-2</v>
      </c>
      <c r="R3573">
        <v>-0.85193379999999996</v>
      </c>
      <c r="S3573">
        <v>-0.47479250000000001</v>
      </c>
      <c r="T3573">
        <v>-0.1867547</v>
      </c>
      <c r="U3573">
        <v>-3.2295530000000001</v>
      </c>
      <c r="V3573">
        <v>-7.1946060000000006E-2</v>
      </c>
      <c r="W3573">
        <v>-2.5531149999999999E-2</v>
      </c>
      <c r="X3573">
        <v>0.99708169999999996</v>
      </c>
      <c r="Y3573">
        <v>-0.45862239999999999</v>
      </c>
      <c r="Z3573">
        <v>3.8332810000000002E-2</v>
      </c>
      <c r="AA3573">
        <v>0.88780409999999899</v>
      </c>
      <c r="AB3573">
        <v>18</v>
      </c>
      <c r="AC3573">
        <v>-2.7867000000000499</v>
      </c>
      <c r="AD3573">
        <v>-1.1147304808359999</v>
      </c>
      <c r="AE3573">
        <v>-19.202400000000001</v>
      </c>
      <c r="AF3573">
        <v>-8.9001015427353298</v>
      </c>
      <c r="AG3573">
        <v>-1.1147304808359999</v>
      </c>
      <c r="AH3573">
        <v>17.170121051943099</v>
      </c>
      <c r="AI3573">
        <v>93.298845759293698</v>
      </c>
      <c r="AJ3573">
        <v>117.399884654592</v>
      </c>
      <c r="AK3573">
        <v>19.371822022057799</v>
      </c>
      <c r="AL3573">
        <v>91.462986115310798</v>
      </c>
      <c r="AM3573">
        <v>94.127117827475402</v>
      </c>
      <c r="AN3573">
        <v>0.99999999582236798</v>
      </c>
    </row>
    <row r="3574" spans="1:40" x14ac:dyDescent="0.25">
      <c r="A3574" t="str">
        <f>"20190312153954118"</f>
        <v>20190312153954118</v>
      </c>
      <c r="B3574" t="str">
        <f>"1552376394109475"</f>
        <v>1552376394109475</v>
      </c>
      <c r="C3574" t="s">
        <v>40</v>
      </c>
      <c r="D3574">
        <v>4.1489979999999997</v>
      </c>
      <c r="E3574">
        <v>0.33852399999999999</v>
      </c>
      <c r="F3574" t="s">
        <v>41</v>
      </c>
      <c r="G3574">
        <v>-489.49919999999997</v>
      </c>
      <c r="H3574">
        <v>1.0610839999999999</v>
      </c>
      <c r="I3574">
        <v>272.30930000000001</v>
      </c>
      <c r="J3574">
        <v>-489.41520000000003</v>
      </c>
      <c r="K3574">
        <v>1.1147210000000001</v>
      </c>
      <c r="L3574">
        <v>273.16239999999999</v>
      </c>
      <c r="M3574">
        <v>-0.57898400000000005</v>
      </c>
      <c r="N3574">
        <v>0</v>
      </c>
      <c r="O3574">
        <v>-0.81523819999999902</v>
      </c>
      <c r="P3574">
        <v>-0.51815199999999995</v>
      </c>
      <c r="Q3574">
        <v>-3.7510969999999998E-2</v>
      </c>
      <c r="R3574">
        <v>-0.85446580000000005</v>
      </c>
      <c r="S3574">
        <v>-0.45953369999999999</v>
      </c>
      <c r="T3574">
        <v>-0.18652179999999999</v>
      </c>
      <c r="U3574">
        <v>-3.2314759999999998</v>
      </c>
      <c r="V3574">
        <v>-7.2018250000000006E-2</v>
      </c>
      <c r="W3574">
        <v>-2.5576979999999999E-2</v>
      </c>
      <c r="X3574">
        <v>0.9970753</v>
      </c>
      <c r="Y3574">
        <v>-0.45854549999999999</v>
      </c>
      <c r="Z3574">
        <v>3.8502790000000002E-2</v>
      </c>
      <c r="AA3574">
        <v>0.88783650000000003</v>
      </c>
      <c r="AB3574">
        <v>18</v>
      </c>
      <c r="AC3574">
        <v>-8.3999999999946298E-2</v>
      </c>
      <c r="AD3574">
        <v>-5.36369999999999E-2</v>
      </c>
      <c r="AE3574">
        <v>-0.85309999999998298</v>
      </c>
      <c r="AF3574">
        <v>-0.42382686759102101</v>
      </c>
      <c r="AG3574">
        <v>-5.36369999999999E-2</v>
      </c>
      <c r="AH3574">
        <v>0.74127333373274595</v>
      </c>
      <c r="AI3574">
        <v>93.594336635460607</v>
      </c>
      <c r="AJ3574">
        <v>119.758986211261</v>
      </c>
      <c r="AK3574">
        <v>0.85556548362137497</v>
      </c>
      <c r="AL3574">
        <v>91.465612858858407</v>
      </c>
      <c r="AM3574">
        <v>94.131271033477105</v>
      </c>
      <c r="AN3574">
        <v>0.999999982054536</v>
      </c>
    </row>
    <row r="3575" spans="1:40" x14ac:dyDescent="0.25">
      <c r="A3575" t="str">
        <f>"20190312153954128"</f>
        <v>20190312153954128</v>
      </c>
      <c r="B3575" t="str">
        <f>"1552376394119234"</f>
        <v>1552376394119234</v>
      </c>
      <c r="C3575" t="s">
        <v>40</v>
      </c>
      <c r="D3575">
        <v>4.2434289999999999</v>
      </c>
      <c r="E3575">
        <v>0.33869369999999999</v>
      </c>
      <c r="F3575" t="s">
        <v>41</v>
      </c>
      <c r="G3575">
        <v>-489.55090000000001</v>
      </c>
      <c r="H3575">
        <v>1.0581910000000001</v>
      </c>
      <c r="I3575">
        <v>272.17689999999999</v>
      </c>
      <c r="J3575">
        <v>-489.4622</v>
      </c>
      <c r="K3575">
        <v>1.114714</v>
      </c>
      <c r="L3575">
        <v>273.08659999999998</v>
      </c>
      <c r="M3575">
        <v>-0.57510600000000001</v>
      </c>
      <c r="N3575">
        <v>0</v>
      </c>
      <c r="O3575">
        <v>-0.81797929999999996</v>
      </c>
      <c r="P3575">
        <v>-0.51418900000000001</v>
      </c>
      <c r="Q3575">
        <v>-3.7259149999999998E-2</v>
      </c>
      <c r="R3575">
        <v>-0.85686739999999995</v>
      </c>
      <c r="S3575">
        <v>-0.4454651</v>
      </c>
      <c r="T3575">
        <v>-0.1854459</v>
      </c>
      <c r="U3575">
        <v>-3.2326969999999999</v>
      </c>
      <c r="V3575">
        <v>-7.1909760000000003E-2</v>
      </c>
      <c r="W3575">
        <v>-2.5371020000000001E-2</v>
      </c>
      <c r="X3575">
        <v>0.99708839999999999</v>
      </c>
      <c r="Y3575">
        <v>-0.45816190000000001</v>
      </c>
      <c r="Z3575">
        <v>3.8506289999999999E-2</v>
      </c>
      <c r="AA3575">
        <v>0.88803430000000005</v>
      </c>
      <c r="AB3575">
        <v>18</v>
      </c>
      <c r="AC3575">
        <v>-8.8700000000017099E-2</v>
      </c>
      <c r="AD3575">
        <v>-5.6523000000000101E-2</v>
      </c>
      <c r="AE3575">
        <v>-0.90969999999998596</v>
      </c>
      <c r="AF3575">
        <v>-0.44893903522834999</v>
      </c>
      <c r="AG3575">
        <v>-5.6523000000000101E-2</v>
      </c>
      <c r="AH3575">
        <v>0.79216304581413599</v>
      </c>
      <c r="AI3575">
        <v>93.552185922681602</v>
      </c>
      <c r="AJ3575">
        <v>119.54133578679399</v>
      </c>
      <c r="AK3575">
        <v>0.912284713252552</v>
      </c>
      <c r="AL3575">
        <v>91.453808377847807</v>
      </c>
      <c r="AM3575">
        <v>94.125015079373895</v>
      </c>
      <c r="AN3575">
        <v>0.99999998982682803</v>
      </c>
    </row>
    <row r="3576" spans="1:40" x14ac:dyDescent="0.25">
      <c r="A3576" t="str">
        <f>"20190312153954139"</f>
        <v>20190312153954139</v>
      </c>
      <c r="B3576" t="str">
        <f>"1552376394129971"</f>
        <v>1552376394129971</v>
      </c>
      <c r="C3576" t="s">
        <v>40</v>
      </c>
      <c r="D3576">
        <v>4.2309070000000002</v>
      </c>
      <c r="E3576">
        <v>0.33888800000000002</v>
      </c>
      <c r="F3576" t="s">
        <v>41</v>
      </c>
      <c r="G3576">
        <v>-489.58760000000001</v>
      </c>
      <c r="H3576">
        <v>1.061026</v>
      </c>
      <c r="I3576">
        <v>272.1465</v>
      </c>
      <c r="J3576">
        <v>-489.5093</v>
      </c>
      <c r="K3576">
        <v>1.1147049999999901</v>
      </c>
      <c r="L3576">
        <v>273.0104</v>
      </c>
      <c r="M3576">
        <v>-0.57120130000000002</v>
      </c>
      <c r="N3576">
        <v>0</v>
      </c>
      <c r="O3576">
        <v>-0.82071170000000004</v>
      </c>
      <c r="P3576">
        <v>-0.50996379999999997</v>
      </c>
      <c r="Q3576">
        <v>-3.6922339999999998E-2</v>
      </c>
      <c r="R3576">
        <v>-0.85940339999999904</v>
      </c>
      <c r="S3576">
        <v>-0.43145749999999999</v>
      </c>
      <c r="T3576">
        <v>-0.18471319999999999</v>
      </c>
      <c r="U3576">
        <v>-3.2341920000000002</v>
      </c>
      <c r="V3576">
        <v>-7.2078110000000001E-2</v>
      </c>
      <c r="W3576">
        <v>-2.508546E-2</v>
      </c>
      <c r="X3576">
        <v>0.99708350000000001</v>
      </c>
      <c r="Y3576">
        <v>-0.45775840000000001</v>
      </c>
      <c r="Z3576">
        <v>3.8574879999999999E-2</v>
      </c>
      <c r="AA3576">
        <v>0.88823940000000001</v>
      </c>
      <c r="AB3576">
        <v>18</v>
      </c>
      <c r="AC3576">
        <v>-7.8300000000012901E-2</v>
      </c>
      <c r="AD3576">
        <v>-5.3678999999999803E-2</v>
      </c>
      <c r="AE3576">
        <v>-0.863900000000001</v>
      </c>
      <c r="AF3576">
        <v>-0.42759628330712102</v>
      </c>
      <c r="AG3576">
        <v>-5.3678999999999803E-2</v>
      </c>
      <c r="AH3576">
        <v>0.75092315356902894</v>
      </c>
      <c r="AI3576">
        <v>93.554587950961206</v>
      </c>
      <c r="AJ3576">
        <v>119.658375493981</v>
      </c>
      <c r="AK3576">
        <v>0.86579766637772704</v>
      </c>
      <c r="AL3576">
        <v>91.437441742087501</v>
      </c>
      <c r="AM3576">
        <v>94.134659066119298</v>
      </c>
      <c r="AN3576">
        <v>1.00000002010841</v>
      </c>
    </row>
    <row r="3577" spans="1:40" x14ac:dyDescent="0.25">
      <c r="A3577" t="str">
        <f>"20190312153954151"</f>
        <v>20190312153954151</v>
      </c>
      <c r="B3577" t="str">
        <f>"1552376394139731"</f>
        <v>1552376394139731</v>
      </c>
      <c r="C3577" t="s">
        <v>40</v>
      </c>
      <c r="D3577">
        <v>4.2463150000000001</v>
      </c>
      <c r="E3577">
        <v>0.3390203</v>
      </c>
      <c r="F3577" t="s">
        <v>41</v>
      </c>
      <c r="G3577">
        <v>-489.63440000000003</v>
      </c>
      <c r="H3577">
        <v>1.0595319999999999</v>
      </c>
      <c r="I3577">
        <v>272.04050000000001</v>
      </c>
      <c r="J3577">
        <v>-489.5591</v>
      </c>
      <c r="K3577">
        <v>1.1146990000000001</v>
      </c>
      <c r="L3577">
        <v>272.92840000000001</v>
      </c>
      <c r="M3577">
        <v>-0.56700410000000001</v>
      </c>
      <c r="N3577">
        <v>0</v>
      </c>
      <c r="O3577">
        <v>-0.82361810000000002</v>
      </c>
      <c r="P3577">
        <v>-0.5056252</v>
      </c>
      <c r="Q3577">
        <v>-3.6517269999999998E-2</v>
      </c>
      <c r="R3577">
        <v>-0.86198050000000004</v>
      </c>
      <c r="S3577">
        <v>-0.41665649999999999</v>
      </c>
      <c r="T3577">
        <v>-0.18401010000000001</v>
      </c>
      <c r="U3577">
        <v>-3.2355649999999998</v>
      </c>
      <c r="V3577">
        <v>-7.2026899999999894E-2</v>
      </c>
      <c r="W3577">
        <v>-2.4739460000000001E-2</v>
      </c>
      <c r="X3577">
        <v>0.99709579999999998</v>
      </c>
      <c r="Y3577">
        <v>-0.45726410000000001</v>
      </c>
      <c r="Z3577">
        <v>3.8665289999999998E-2</v>
      </c>
      <c r="AA3577">
        <v>0.88849</v>
      </c>
      <c r="AB3577">
        <v>18</v>
      </c>
      <c r="AC3577">
        <v>-7.5300000000026998E-2</v>
      </c>
      <c r="AD3577">
        <v>-5.5166999999999897E-2</v>
      </c>
      <c r="AE3577">
        <v>-0.88790000000000102</v>
      </c>
      <c r="AF3577">
        <v>-0.43977414749446597</v>
      </c>
      <c r="AG3577">
        <v>-5.5166999999999897E-2</v>
      </c>
      <c r="AH3577">
        <v>0.77109222523031995</v>
      </c>
      <c r="AI3577">
        <v>93.556190124442594</v>
      </c>
      <c r="AJ3577">
        <v>119.69724757409099</v>
      </c>
      <c r="AK3577">
        <v>0.88939750309079002</v>
      </c>
      <c r="AL3577">
        <v>91.417611312269699</v>
      </c>
      <c r="AM3577">
        <v>94.131680861942201</v>
      </c>
      <c r="AN3577">
        <v>0.99999997479116998</v>
      </c>
    </row>
    <row r="3578" spans="1:40" x14ac:dyDescent="0.25">
      <c r="A3578" t="str">
        <f>"20190312153954163"</f>
        <v>20190312153954163</v>
      </c>
      <c r="B3578" t="str">
        <f>"1552376394159251"</f>
        <v>1552376394159251</v>
      </c>
      <c r="C3578" t="s">
        <v>40</v>
      </c>
      <c r="D3578">
        <v>4.0955560000000002</v>
      </c>
      <c r="E3578">
        <v>0.33887840000000002</v>
      </c>
      <c r="F3578" t="s">
        <v>41</v>
      </c>
      <c r="G3578">
        <v>-489.67739999999998</v>
      </c>
      <c r="H3578">
        <v>1.061035</v>
      </c>
      <c r="I3578">
        <v>271.9753</v>
      </c>
      <c r="J3578">
        <v>-489.6062</v>
      </c>
      <c r="K3578">
        <v>1.1146940000000001</v>
      </c>
      <c r="L3578">
        <v>272.85039999999998</v>
      </c>
      <c r="M3578">
        <v>-0.56300430000000001</v>
      </c>
      <c r="N3578">
        <v>0</v>
      </c>
      <c r="O3578">
        <v>-0.82635820000000004</v>
      </c>
      <c r="P3578">
        <v>-0.50124899999999994</v>
      </c>
      <c r="Q3578">
        <v>-3.623287E-2</v>
      </c>
      <c r="R3578">
        <v>-0.86454449999999905</v>
      </c>
      <c r="S3578">
        <v>-0.40127560000000001</v>
      </c>
      <c r="T3578">
        <v>-0.1822164</v>
      </c>
      <c r="U3578">
        <v>-3.237244</v>
      </c>
      <c r="V3578">
        <v>-7.2256459999999995E-2</v>
      </c>
      <c r="W3578">
        <v>-2.4516110000000001E-2</v>
      </c>
      <c r="X3578">
        <v>0.99708470000000005</v>
      </c>
      <c r="Y3578">
        <v>-0.4571654</v>
      </c>
      <c r="Z3578">
        <v>3.8501019999999997E-2</v>
      </c>
      <c r="AA3578">
        <v>0.888548</v>
      </c>
      <c r="AB3578">
        <v>18</v>
      </c>
      <c r="AC3578">
        <v>-7.1199999999976102E-2</v>
      </c>
      <c r="AD3578">
        <v>-5.3659000000000102E-2</v>
      </c>
      <c r="AE3578">
        <v>-0.87509999999997401</v>
      </c>
      <c r="AF3578">
        <v>-0.43226812626353101</v>
      </c>
      <c r="AG3578">
        <v>-5.3659000000000102E-2</v>
      </c>
      <c r="AH3578">
        <v>0.76045199977906097</v>
      </c>
      <c r="AI3578">
        <v>93.5103468865548</v>
      </c>
      <c r="AJ3578">
        <v>119.615449433043</v>
      </c>
      <c r="AK3578">
        <v>0.87636879521829003</v>
      </c>
      <c r="AL3578">
        <v>91.4048104274287</v>
      </c>
      <c r="AM3578">
        <v>94.144849278618196</v>
      </c>
      <c r="AN3578">
        <v>0.99999996731767604</v>
      </c>
    </row>
    <row r="3579" spans="1:40" x14ac:dyDescent="0.25">
      <c r="A3579" t="str">
        <f>"20190312153954173"</f>
        <v>20190312153954173</v>
      </c>
      <c r="B3579" t="str">
        <f>"1552376394169012"</f>
        <v>1552376394169012</v>
      </c>
      <c r="C3579" t="s">
        <v>40</v>
      </c>
      <c r="D3579">
        <v>4.205616</v>
      </c>
      <c r="E3579">
        <v>0.33876230000000002</v>
      </c>
      <c r="F3579" t="s">
        <v>41</v>
      </c>
      <c r="G3579">
        <v>-489.71850000000001</v>
      </c>
      <c r="H3579">
        <v>1.061734</v>
      </c>
      <c r="I3579">
        <v>271.90390000000002</v>
      </c>
      <c r="J3579">
        <v>-489.65269999999998</v>
      </c>
      <c r="K3579">
        <v>1.1146929999999999</v>
      </c>
      <c r="L3579">
        <v>272.77249999999998</v>
      </c>
      <c r="M3579">
        <v>-0.559006</v>
      </c>
      <c r="N3579">
        <v>0</v>
      </c>
      <c r="O3579">
        <v>-0.82906880000000005</v>
      </c>
      <c r="P3579">
        <v>-0.49710650000000001</v>
      </c>
      <c r="Q3579">
        <v>-3.5952860000000003E-2</v>
      </c>
      <c r="R3579">
        <v>-0.86694439999999995</v>
      </c>
      <c r="S3579">
        <v>-0.38427729999999999</v>
      </c>
      <c r="T3579">
        <v>-0.18128079999999999</v>
      </c>
      <c r="U3579">
        <v>-3.2396850000000001</v>
      </c>
      <c r="V3579">
        <v>-7.2218809999999994E-2</v>
      </c>
      <c r="W3579">
        <v>-2.42951E-2</v>
      </c>
      <c r="X3579">
        <v>0.9970928</v>
      </c>
      <c r="Y3579">
        <v>-0.4575457</v>
      </c>
      <c r="Z3579">
        <v>3.8496389999999998E-2</v>
      </c>
      <c r="AA3579">
        <v>0.88835239999999904</v>
      </c>
      <c r="AB3579">
        <v>19</v>
      </c>
      <c r="AC3579">
        <v>-6.58000000000242E-2</v>
      </c>
      <c r="AD3579">
        <v>-5.2958999999999902E-2</v>
      </c>
      <c r="AE3579">
        <v>-0.86859999999995796</v>
      </c>
      <c r="AF3579">
        <v>-0.42944645141189097</v>
      </c>
      <c r="AG3579">
        <v>-5.2958999999999902E-2</v>
      </c>
      <c r="AH3579">
        <v>0.75418365210294502</v>
      </c>
      <c r="AI3579">
        <v>93.491918587430902</v>
      </c>
      <c r="AJ3579">
        <v>119.658005499109</v>
      </c>
      <c r="AK3579">
        <v>0.86949519343731896</v>
      </c>
      <c r="AL3579">
        <v>91.392143765649905</v>
      </c>
      <c r="AM3579">
        <v>94.142663545295903</v>
      </c>
      <c r="AN3579">
        <v>0.99999993010682997</v>
      </c>
    </row>
    <row r="3580" spans="1:40" x14ac:dyDescent="0.25">
      <c r="A3580" t="str">
        <f>"20190312153954185"</f>
        <v>20190312153954185</v>
      </c>
      <c r="B3580" t="str">
        <f>"1552376394179747"</f>
        <v>1552376394179747</v>
      </c>
      <c r="C3580" t="s">
        <v>40</v>
      </c>
      <c r="D3580">
        <v>4.299658</v>
      </c>
      <c r="E3580">
        <v>0.33850770000000002</v>
      </c>
      <c r="F3580" t="s">
        <v>41</v>
      </c>
      <c r="G3580">
        <v>-489.76150000000001</v>
      </c>
      <c r="H3580">
        <v>1.060649</v>
      </c>
      <c r="I3580">
        <v>271.8134</v>
      </c>
      <c r="J3580">
        <v>-489.6986</v>
      </c>
      <c r="K3580">
        <v>1.11469</v>
      </c>
      <c r="L3580">
        <v>272.69450000000001</v>
      </c>
      <c r="M3580">
        <v>-0.55501029999999996</v>
      </c>
      <c r="N3580">
        <v>0</v>
      </c>
      <c r="O3580">
        <v>-0.8317502</v>
      </c>
      <c r="P3580">
        <v>-0.49282209999999899</v>
      </c>
      <c r="Q3580">
        <v>-3.5967890000000002E-2</v>
      </c>
      <c r="R3580">
        <v>-0.86938669999999996</v>
      </c>
      <c r="S3580">
        <v>-0.36758420000000003</v>
      </c>
      <c r="T3580">
        <v>-0.18270639999999999</v>
      </c>
      <c r="U3580">
        <v>-3.2420960000000001</v>
      </c>
      <c r="V3580">
        <v>-7.2339920000000002E-2</v>
      </c>
      <c r="W3580">
        <v>-2.4371009999999999E-2</v>
      </c>
      <c r="X3580">
        <v>0.99708220000000003</v>
      </c>
      <c r="Y3580">
        <v>-0.45785880000000001</v>
      </c>
      <c r="Z3580">
        <v>3.8990810000000001E-2</v>
      </c>
      <c r="AA3580">
        <v>0.88816949999999995</v>
      </c>
      <c r="AB3580">
        <v>19</v>
      </c>
      <c r="AC3580">
        <v>-6.2900000000013195E-2</v>
      </c>
      <c r="AD3580">
        <v>-5.4040999999999999E-2</v>
      </c>
      <c r="AE3580">
        <v>-0.88110000000000299</v>
      </c>
      <c r="AF3580">
        <v>-0.43510788155691299</v>
      </c>
      <c r="AG3580">
        <v>-5.4040999999999999E-2</v>
      </c>
      <c r="AH3580">
        <v>0.76496177703438595</v>
      </c>
      <c r="AI3580">
        <v>93.513940515408706</v>
      </c>
      <c r="AJ3580">
        <v>119.631084424702</v>
      </c>
      <c r="AK3580">
        <v>0.88170619743628398</v>
      </c>
      <c r="AL3580">
        <v>91.396494332416196</v>
      </c>
      <c r="AM3580">
        <v>94.149630450722498</v>
      </c>
      <c r="AN3580">
        <v>0.99999996185543205</v>
      </c>
    </row>
    <row r="3581" spans="1:40" x14ac:dyDescent="0.25">
      <c r="A3581" t="str">
        <f>"20190312153954196"</f>
        <v>20190312153954196</v>
      </c>
      <c r="B3581" t="str">
        <f>"1552376394189507"</f>
        <v>1552376394189507</v>
      </c>
      <c r="C3581" t="s">
        <v>40</v>
      </c>
      <c r="D3581">
        <v>4.2317650000000002</v>
      </c>
      <c r="E3581">
        <v>0.338362099999999</v>
      </c>
      <c r="F3581" t="s">
        <v>41</v>
      </c>
      <c r="G3581">
        <v>-489.79910000000001</v>
      </c>
      <c r="H3581">
        <v>1.0616019999999999</v>
      </c>
      <c r="I3581">
        <v>271.76440000000002</v>
      </c>
      <c r="J3581">
        <v>-489.7473</v>
      </c>
      <c r="K3581">
        <v>1.114687</v>
      </c>
      <c r="L3581">
        <v>272.61149999999998</v>
      </c>
      <c r="M3581">
        <v>-0.55074250000000002</v>
      </c>
      <c r="N3581">
        <v>0</v>
      </c>
      <c r="O3581">
        <v>-0.83458290000000002</v>
      </c>
      <c r="P3581">
        <v>-0.48821639999999999</v>
      </c>
      <c r="Q3581">
        <v>-3.6047469999999998E-2</v>
      </c>
      <c r="R3581">
        <v>-0.87197789999999997</v>
      </c>
      <c r="S3581">
        <v>-0.34954829999999998</v>
      </c>
      <c r="T3581">
        <v>-0.18512980000000001</v>
      </c>
      <c r="U3581">
        <v>-3.244904</v>
      </c>
      <c r="V3581">
        <v>-7.2503219999999993E-2</v>
      </c>
      <c r="W3581">
        <v>-2.4515840000000001E-2</v>
      </c>
      <c r="X3581">
        <v>0.99706689999999998</v>
      </c>
      <c r="Y3581">
        <v>-0.4582697</v>
      </c>
      <c r="Z3581">
        <v>3.9708E-2</v>
      </c>
      <c r="AA3581">
        <v>0.88792569999999904</v>
      </c>
      <c r="AB3581">
        <v>19</v>
      </c>
      <c r="AC3581">
        <v>-5.1800000000014203E-2</v>
      </c>
      <c r="AD3581">
        <v>-5.3085E-2</v>
      </c>
      <c r="AE3581">
        <v>-0.847099999999954</v>
      </c>
      <c r="AF3581">
        <v>-0.42168535274551999</v>
      </c>
      <c r="AG3581">
        <v>-5.3085E-2</v>
      </c>
      <c r="AH3581">
        <v>0.732693649162242</v>
      </c>
      <c r="AI3581">
        <v>93.593149667425195</v>
      </c>
      <c r="AJ3581">
        <v>119.92161094503901</v>
      </c>
      <c r="AK3581">
        <v>0.84703986769679096</v>
      </c>
      <c r="AL3581">
        <v>91.404794804146107</v>
      </c>
      <c r="AM3581">
        <v>94.1590285813907</v>
      </c>
      <c r="AN3581">
        <v>1.00000007319843</v>
      </c>
    </row>
    <row r="3582" spans="1:40" x14ac:dyDescent="0.25">
      <c r="A3582" t="str">
        <f>"20190312153954207"</f>
        <v>20190312153954207</v>
      </c>
      <c r="B3582" t="str">
        <f>"1552376394199267"</f>
        <v>1552376394199267</v>
      </c>
      <c r="C3582" t="s">
        <v>40</v>
      </c>
      <c r="D3582">
        <v>4.1827449999999997</v>
      </c>
      <c r="E3582">
        <v>0.3383487</v>
      </c>
      <c r="F3582" t="s">
        <v>42</v>
      </c>
      <c r="G3582">
        <v>-491.73009999999999</v>
      </c>
      <c r="H3582" s="1">
        <v>-2.0154729999999999E-6</v>
      </c>
      <c r="I3582">
        <v>253.21420000000001</v>
      </c>
      <c r="J3582">
        <v>-489.78890000000001</v>
      </c>
      <c r="K3582">
        <v>1.114682</v>
      </c>
      <c r="L3582">
        <v>272.53899999999999</v>
      </c>
      <c r="M3582">
        <v>-0.54702810000000002</v>
      </c>
      <c r="N3582">
        <v>0</v>
      </c>
      <c r="O3582">
        <v>-0.83702310000000002</v>
      </c>
      <c r="P3582">
        <v>-0.48429129999999998</v>
      </c>
      <c r="Q3582">
        <v>-3.6049629999999999E-2</v>
      </c>
      <c r="R3582">
        <v>-0.8741641</v>
      </c>
      <c r="S3582">
        <v>-0.33190920000000002</v>
      </c>
      <c r="T3582">
        <v>-0.18658820000000001</v>
      </c>
      <c r="U3582">
        <v>-3.246918</v>
      </c>
      <c r="V3582">
        <v>-7.2553019999999996E-2</v>
      </c>
      <c r="W3582">
        <v>-2.457204E-2</v>
      </c>
      <c r="X3582">
        <v>0.9970618</v>
      </c>
      <c r="Y3582">
        <v>-0.45915010000000001</v>
      </c>
      <c r="Z3582">
        <v>4.019213E-2</v>
      </c>
      <c r="AA3582">
        <v>0.88744899999999904</v>
      </c>
      <c r="AB3582">
        <v>19</v>
      </c>
      <c r="AC3582">
        <v>-1.9411999999999801</v>
      </c>
      <c r="AD3582">
        <v>-1.114684015473</v>
      </c>
      <c r="AE3582">
        <v>-19.3247999999999</v>
      </c>
      <c r="AF3582">
        <v>-8.9176878526437999</v>
      </c>
      <c r="AG3582">
        <v>-1.114684015473</v>
      </c>
      <c r="AH3582">
        <v>17.181914314923599</v>
      </c>
      <c r="AI3582">
        <v>93.295551813507402</v>
      </c>
      <c r="AJ3582">
        <v>117.430033237429</v>
      </c>
      <c r="AK3582">
        <v>19.390354731590602</v>
      </c>
      <c r="AL3582">
        <v>91.408015929076399</v>
      </c>
      <c r="AM3582">
        <v>94.161896455638498</v>
      </c>
      <c r="AN3582">
        <v>0.99999997944006003</v>
      </c>
    </row>
    <row r="3583" spans="1:40" x14ac:dyDescent="0.25">
      <c r="A3583" t="str">
        <f>"20190312153954217"</f>
        <v>20190312153954217</v>
      </c>
      <c r="B3583" t="str">
        <f>"1552376394209027"</f>
        <v>1552376394209027</v>
      </c>
      <c r="C3583" t="s">
        <v>40</v>
      </c>
      <c r="D3583">
        <v>4.2141080000000004</v>
      </c>
      <c r="E3583">
        <v>0.33834649999999999</v>
      </c>
      <c r="F3583" t="s">
        <v>41</v>
      </c>
      <c r="G3583">
        <v>-489.87939999999998</v>
      </c>
      <c r="H3583">
        <v>1.0602370000000001</v>
      </c>
      <c r="I3583">
        <v>271.60649999999998</v>
      </c>
      <c r="J3583">
        <v>-489.83300000000003</v>
      </c>
      <c r="K3583">
        <v>1.114679</v>
      </c>
      <c r="L3583">
        <v>272.46190000000001</v>
      </c>
      <c r="M3583">
        <v>-0.54306790000000005</v>
      </c>
      <c r="N3583">
        <v>0</v>
      </c>
      <c r="O3583">
        <v>-0.83959859999999897</v>
      </c>
      <c r="P3583">
        <v>-0.48014269999999998</v>
      </c>
      <c r="Q3583">
        <v>-3.6178719999999998E-2</v>
      </c>
      <c r="R3583">
        <v>-0.876444</v>
      </c>
      <c r="S3583">
        <v>-0.31625370000000003</v>
      </c>
      <c r="T3583">
        <v>-0.18974469999999999</v>
      </c>
      <c r="U3583">
        <v>-3.2488709999999998</v>
      </c>
      <c r="V3583">
        <v>-7.2562689999999999E-2</v>
      </c>
      <c r="W3583">
        <v>-2.4757939999999999E-2</v>
      </c>
      <c r="X3583">
        <v>0.99705650000000001</v>
      </c>
      <c r="Y3583">
        <v>-0.45924369999999998</v>
      </c>
      <c r="Z3583">
        <v>4.1068649999999998E-2</v>
      </c>
      <c r="AA3583">
        <v>0.8873605</v>
      </c>
      <c r="AB3583">
        <v>19</v>
      </c>
      <c r="AC3583">
        <v>-4.6399999999948698E-2</v>
      </c>
      <c r="AD3583">
        <v>-5.4442000000000101E-2</v>
      </c>
      <c r="AE3583">
        <v>-0.85540000000003102</v>
      </c>
      <c r="AF3583">
        <v>-0.42390307193492699</v>
      </c>
      <c r="AG3583">
        <v>-5.4442000000000101E-2</v>
      </c>
      <c r="AH3583">
        <v>0.740456725774431</v>
      </c>
      <c r="AI3583">
        <v>93.650998010993703</v>
      </c>
      <c r="AJ3583">
        <v>119.790647552685</v>
      </c>
      <c r="AK3583">
        <v>0.85494672846000097</v>
      </c>
      <c r="AL3583">
        <v>91.418670452652805</v>
      </c>
      <c r="AM3583">
        <v>94.162471259635794</v>
      </c>
      <c r="AN3583">
        <v>0.99999998188266404</v>
      </c>
    </row>
    <row r="3584" spans="1:40" x14ac:dyDescent="0.25">
      <c r="A3584" t="str">
        <f>"20190312153954228"</f>
        <v>20190312153954228</v>
      </c>
      <c r="B3584" t="str">
        <f>"1552376394219763"</f>
        <v>1552376394219763</v>
      </c>
      <c r="C3584" t="s">
        <v>40</v>
      </c>
      <c r="D3584">
        <v>4.1032190000000002</v>
      </c>
      <c r="E3584">
        <v>0.33790520000000002</v>
      </c>
      <c r="F3584" t="s">
        <v>41</v>
      </c>
      <c r="G3584">
        <v>-489.9246</v>
      </c>
      <c r="H3584">
        <v>1.0562370000000001</v>
      </c>
      <c r="I3584">
        <v>271.47390000000001</v>
      </c>
      <c r="J3584">
        <v>-489.87900000000002</v>
      </c>
      <c r="K3584">
        <v>1.114681</v>
      </c>
      <c r="L3584">
        <v>272.3802</v>
      </c>
      <c r="M3584">
        <v>-0.53887430000000003</v>
      </c>
      <c r="N3584">
        <v>0</v>
      </c>
      <c r="O3584">
        <v>-0.84229739999999997</v>
      </c>
      <c r="P3584">
        <v>-0.47552139999999998</v>
      </c>
      <c r="Q3584">
        <v>-3.6278829999999998E-2</v>
      </c>
      <c r="R3584">
        <v>-0.87895639999999997</v>
      </c>
      <c r="S3584">
        <v>-0.300537099999999</v>
      </c>
      <c r="T3584">
        <v>-0.19219559999999999</v>
      </c>
      <c r="U3584">
        <v>-3.250305</v>
      </c>
      <c r="V3584">
        <v>-7.2836239999999997E-2</v>
      </c>
      <c r="W3584">
        <v>-2.4919980000000001E-2</v>
      </c>
      <c r="X3584">
        <v>0.99703249999999999</v>
      </c>
      <c r="Y3584">
        <v>-0.4591056</v>
      </c>
      <c r="Z3584">
        <v>4.1819259999999997E-2</v>
      </c>
      <c r="AA3584">
        <v>0.88739690000000004</v>
      </c>
      <c r="AB3584">
        <v>19</v>
      </c>
      <c r="AC3584">
        <v>-4.55999999999789E-2</v>
      </c>
      <c r="AD3584">
        <v>-5.8443999999999899E-2</v>
      </c>
      <c r="AE3584">
        <v>-0.906299999999987</v>
      </c>
      <c r="AF3584">
        <v>-0.44814776052789701</v>
      </c>
      <c r="AG3584">
        <v>-5.8443999999999899E-2</v>
      </c>
      <c r="AH3584">
        <v>0.78475059954899096</v>
      </c>
      <c r="AI3584">
        <v>93.700282692077494</v>
      </c>
      <c r="AJ3584">
        <v>119.729404388468</v>
      </c>
      <c r="AK3584">
        <v>0.90558578825789404</v>
      </c>
      <c r="AL3584">
        <v>91.427957550927403</v>
      </c>
      <c r="AM3584">
        <v>94.1782078769658</v>
      </c>
      <c r="AN3584">
        <v>0.99999996465839303</v>
      </c>
    </row>
    <row r="3585" spans="1:40" x14ac:dyDescent="0.25">
      <c r="A3585" t="str">
        <f>"20190312153954240"</f>
        <v>20190312153954240</v>
      </c>
      <c r="B3585" t="str">
        <f>"1552376394229523"</f>
        <v>1552376394229523</v>
      </c>
      <c r="C3585" t="s">
        <v>40</v>
      </c>
      <c r="D3585">
        <v>4.1341279999999996</v>
      </c>
      <c r="E3585">
        <v>0.33761930000000001</v>
      </c>
      <c r="F3585" t="s">
        <v>41</v>
      </c>
      <c r="G3585">
        <v>-489.96030000000002</v>
      </c>
      <c r="H3585">
        <v>1.060319</v>
      </c>
      <c r="I3585">
        <v>271.44130000000001</v>
      </c>
      <c r="J3585">
        <v>-489.9203</v>
      </c>
      <c r="K3585">
        <v>1.1146849999999999</v>
      </c>
      <c r="L3585">
        <v>272.30650000000003</v>
      </c>
      <c r="M3585">
        <v>-0.53508690000000003</v>
      </c>
      <c r="N3585">
        <v>0</v>
      </c>
      <c r="O3585">
        <v>-0.84470919999999905</v>
      </c>
      <c r="P3585">
        <v>-0.47169470000000002</v>
      </c>
      <c r="Q3585">
        <v>-3.6014089999999999E-2</v>
      </c>
      <c r="R3585">
        <v>-0.88102619999999898</v>
      </c>
      <c r="S3585">
        <v>-0.28085329999999997</v>
      </c>
      <c r="T3585">
        <v>-0.18831210000000001</v>
      </c>
      <c r="U3585">
        <v>-3.253387</v>
      </c>
      <c r="V3585">
        <v>-7.2702089999999997E-2</v>
      </c>
      <c r="W3585">
        <v>-2.4705669999999999E-2</v>
      </c>
      <c r="X3585">
        <v>0.99704769999999998</v>
      </c>
      <c r="Y3585">
        <v>-0.46051839999999999</v>
      </c>
      <c r="Z3585">
        <v>4.1126070000000001E-2</v>
      </c>
      <c r="AA3585">
        <v>0.88669690000000001</v>
      </c>
      <c r="AB3585">
        <v>19</v>
      </c>
      <c r="AC3585">
        <v>-4.0000000000020401E-2</v>
      </c>
      <c r="AD3585">
        <v>-5.4365999999999901E-2</v>
      </c>
      <c r="AE3585">
        <v>-0.86520000000001496</v>
      </c>
      <c r="AF3585">
        <v>-0.427516253555907</v>
      </c>
      <c r="AG3585">
        <v>-5.4365999999999901E-2</v>
      </c>
      <c r="AH3585">
        <v>0.74934926582186501</v>
      </c>
      <c r="AI3585">
        <v>93.605817396340797</v>
      </c>
      <c r="AJ3585">
        <v>119.70547912527999</v>
      </c>
      <c r="AK3585">
        <v>0.864436308352585</v>
      </c>
      <c r="AL3585">
        <v>91.415674603504399</v>
      </c>
      <c r="AM3585">
        <v>94.170476264002403</v>
      </c>
      <c r="AN3585">
        <v>1.0000000400479001</v>
      </c>
    </row>
    <row r="3586" spans="1:40" x14ac:dyDescent="0.25">
      <c r="A3586" t="str">
        <f>"20190312153954251"</f>
        <v>20190312153954251</v>
      </c>
      <c r="B3586" t="str">
        <f>"1552376394239283"</f>
        <v>1552376394239283</v>
      </c>
      <c r="C3586" t="s">
        <v>40</v>
      </c>
      <c r="D3586">
        <v>4.1287229999999999</v>
      </c>
      <c r="E3586">
        <v>0.33738580000000001</v>
      </c>
      <c r="F3586" t="s">
        <v>41</v>
      </c>
      <c r="G3586">
        <v>-489.99979999999999</v>
      </c>
      <c r="H3586">
        <v>1.0597749999999999</v>
      </c>
      <c r="I3586">
        <v>271.3322</v>
      </c>
      <c r="J3586">
        <v>-489.96629999999999</v>
      </c>
      <c r="K3586">
        <v>1.11469</v>
      </c>
      <c r="L3586">
        <v>272.22309999999999</v>
      </c>
      <c r="M3586">
        <v>-0.53080919999999998</v>
      </c>
      <c r="N3586">
        <v>0</v>
      </c>
      <c r="O3586">
        <v>-0.84740479999999996</v>
      </c>
      <c r="P3586">
        <v>-0.4672404</v>
      </c>
      <c r="Q3586">
        <v>-3.591213E-2</v>
      </c>
      <c r="R3586">
        <v>-0.883401199999999</v>
      </c>
      <c r="S3586">
        <v>-0.26528930000000001</v>
      </c>
      <c r="T3586">
        <v>-0.18347260000000001</v>
      </c>
      <c r="U3586">
        <v>-3.2555239999999999</v>
      </c>
      <c r="V3586">
        <v>-7.2697410000000004E-2</v>
      </c>
      <c r="W3586">
        <v>-2.4660939999999999E-2</v>
      </c>
      <c r="X3586">
        <v>0.99704910000000002</v>
      </c>
      <c r="Y3586">
        <v>-0.460289</v>
      </c>
      <c r="Z3586">
        <v>4.0275699999999998E-2</v>
      </c>
      <c r="AA3586">
        <v>0.88685509999999901</v>
      </c>
      <c r="AB3586">
        <v>19</v>
      </c>
      <c r="AC3586">
        <v>-3.3500000000003603E-2</v>
      </c>
      <c r="AD3586">
        <v>-5.4914999999999999E-2</v>
      </c>
      <c r="AE3586">
        <v>-0.89089999999998704</v>
      </c>
      <c r="AF3586">
        <v>-0.44286219361367901</v>
      </c>
      <c r="AG3586">
        <v>-5.4914999999999999E-2</v>
      </c>
      <c r="AH3586">
        <v>0.76987075242405301</v>
      </c>
      <c r="AI3586">
        <v>93.538098945650205</v>
      </c>
      <c r="AJ3586">
        <v>119.90933240868701</v>
      </c>
      <c r="AK3586">
        <v>0.88985591822232502</v>
      </c>
      <c r="AL3586">
        <v>91.413111050788203</v>
      </c>
      <c r="AM3586">
        <v>94.1702029131297</v>
      </c>
      <c r="AN3586">
        <v>0.99999999159660002</v>
      </c>
    </row>
    <row r="3587" spans="1:40" x14ac:dyDescent="0.25">
      <c r="A3587" t="str">
        <f>"20190312153954262"</f>
        <v>20190312153954262</v>
      </c>
      <c r="B3587" t="str">
        <f>"1552376394259779"</f>
        <v>1552376394259779</v>
      </c>
      <c r="C3587" t="s">
        <v>40</v>
      </c>
      <c r="D3587">
        <v>4.1160439999999996</v>
      </c>
      <c r="E3587">
        <v>0.33705269999999998</v>
      </c>
      <c r="F3587" t="s">
        <v>41</v>
      </c>
      <c r="G3587">
        <v>-490.03809999999999</v>
      </c>
      <c r="H3587">
        <v>1.0627219999999999</v>
      </c>
      <c r="I3587">
        <v>271.27960000000002</v>
      </c>
      <c r="J3587">
        <v>-490.00760000000002</v>
      </c>
      <c r="K3587">
        <v>1.1146959999999999</v>
      </c>
      <c r="L3587">
        <v>272.14760000000001</v>
      </c>
      <c r="M3587">
        <v>-0.52692749999999999</v>
      </c>
      <c r="N3587">
        <v>0</v>
      </c>
      <c r="O3587">
        <v>-0.84982440000000004</v>
      </c>
      <c r="P3587">
        <v>-0.46320129999999998</v>
      </c>
      <c r="Q3587">
        <v>-3.6002300000000001E-2</v>
      </c>
      <c r="R3587">
        <v>-0.88552180000000003</v>
      </c>
      <c r="S3587">
        <v>-0.24765010000000001</v>
      </c>
      <c r="T3587">
        <v>-0.1793997</v>
      </c>
      <c r="U3587">
        <v>-3.2576900000000002</v>
      </c>
      <c r="V3587">
        <v>-7.2685269999999996E-2</v>
      </c>
      <c r="W3587">
        <v>-2.4802330000000001E-2</v>
      </c>
      <c r="X3587">
        <v>0.99704649999999995</v>
      </c>
      <c r="Y3587">
        <v>-0.4610477</v>
      </c>
      <c r="Z3587">
        <v>3.9546110000000002E-2</v>
      </c>
      <c r="AA3587">
        <v>0.88649369999999905</v>
      </c>
      <c r="AB3587">
        <v>19</v>
      </c>
      <c r="AC3587">
        <v>-3.0499999999960802E-2</v>
      </c>
      <c r="AD3587">
        <v>-5.1973999999999902E-2</v>
      </c>
      <c r="AE3587">
        <v>-0.867999999999994</v>
      </c>
      <c r="AF3587">
        <v>-0.42994529558983702</v>
      </c>
      <c r="AG3587">
        <v>-5.1973999999999902E-2</v>
      </c>
      <c r="AH3587">
        <v>0.75108427026972702</v>
      </c>
      <c r="AI3587">
        <v>93.4367837706031</v>
      </c>
      <c r="AJ3587">
        <v>119.788238740623</v>
      </c>
      <c r="AK3587">
        <v>0.86699586788083405</v>
      </c>
      <c r="AL3587">
        <v>91.421214548498995</v>
      </c>
      <c r="AM3587">
        <v>94.1695198067641</v>
      </c>
      <c r="AN3587">
        <v>1.00000001360532</v>
      </c>
    </row>
    <row r="3588" spans="1:40" x14ac:dyDescent="0.25">
      <c r="A3588" t="str">
        <f>"20190312153954273"</f>
        <v>20190312153954273</v>
      </c>
      <c r="B3588" t="str">
        <f>"1552376394269539"</f>
        <v>1552376394269539</v>
      </c>
      <c r="C3588" t="s">
        <v>40</v>
      </c>
      <c r="D3588">
        <v>4.1292309999999999</v>
      </c>
      <c r="E3588">
        <v>0.33691349999999998</v>
      </c>
      <c r="F3588" t="s">
        <v>41</v>
      </c>
      <c r="G3588">
        <v>-490.07530000000003</v>
      </c>
      <c r="H3588">
        <v>1.0632109999999999</v>
      </c>
      <c r="I3588">
        <v>271.1902</v>
      </c>
      <c r="J3588">
        <v>-490.05380000000002</v>
      </c>
      <c r="K3588">
        <v>1.114698</v>
      </c>
      <c r="L3588">
        <v>272.06200000000001</v>
      </c>
      <c r="M3588">
        <v>-0.52253139999999998</v>
      </c>
      <c r="N3588">
        <v>0</v>
      </c>
      <c r="O3588">
        <v>-0.85253519999999905</v>
      </c>
      <c r="P3588">
        <v>-0.45870680000000003</v>
      </c>
      <c r="Q3588">
        <v>-3.5926689999999997E-2</v>
      </c>
      <c r="R3588">
        <v>-0.88786129999999996</v>
      </c>
      <c r="S3588">
        <v>-0.23019410000000001</v>
      </c>
      <c r="T3588">
        <v>-0.175310299999999</v>
      </c>
      <c r="U3588">
        <v>-3.2602540000000002</v>
      </c>
      <c r="V3588">
        <v>-7.2590699999999994E-2</v>
      </c>
      <c r="W3588">
        <v>-2.478267E-2</v>
      </c>
      <c r="X3588">
        <v>0.99705390000000005</v>
      </c>
      <c r="Y3588">
        <v>-0.46123809999999899</v>
      </c>
      <c r="Z3588">
        <v>3.8831320000000003E-2</v>
      </c>
      <c r="AA3588">
        <v>0.8864263</v>
      </c>
      <c r="AB3588">
        <v>19</v>
      </c>
      <c r="AC3588">
        <v>-2.15000000000031E-2</v>
      </c>
      <c r="AD3588">
        <v>-5.1486999999999797E-2</v>
      </c>
      <c r="AE3588">
        <v>-0.87180000000000701</v>
      </c>
      <c r="AF3588">
        <v>-0.43572616021461902</v>
      </c>
      <c r="AG3588">
        <v>-5.1486999999999797E-2</v>
      </c>
      <c r="AH3588">
        <v>0.75190822179331296</v>
      </c>
      <c r="AI3588">
        <v>93.3905891887255</v>
      </c>
      <c r="AJ3588">
        <v>120.092026384786</v>
      </c>
      <c r="AK3588">
        <v>0.87055968885812596</v>
      </c>
      <c r="AL3588">
        <v>91.420087736774605</v>
      </c>
      <c r="AM3588">
        <v>94.164083189124895</v>
      </c>
      <c r="AN3588">
        <v>1.00000003498201</v>
      </c>
    </row>
    <row r="3589" spans="1:40" x14ac:dyDescent="0.25">
      <c r="A3589" t="str">
        <f>"20190312153954286"</f>
        <v>20190312153954286</v>
      </c>
      <c r="B3589" t="str">
        <f>"1552376394279299"</f>
        <v>1552376394279299</v>
      </c>
      <c r="C3589" t="s">
        <v>40</v>
      </c>
      <c r="D3589">
        <v>4.1510309999999997</v>
      </c>
      <c r="E3589">
        <v>0.33679490000000001</v>
      </c>
      <c r="F3589" t="s">
        <v>41</v>
      </c>
      <c r="G3589">
        <v>-490.11590000000001</v>
      </c>
      <c r="H3589">
        <v>1.0642149999999999</v>
      </c>
      <c r="I3589">
        <v>271.11279999999999</v>
      </c>
      <c r="J3589">
        <v>-490.09780000000001</v>
      </c>
      <c r="K3589">
        <v>1.114708</v>
      </c>
      <c r="L3589">
        <v>271.97919999999999</v>
      </c>
      <c r="M3589">
        <v>-0.51828289999999999</v>
      </c>
      <c r="N3589">
        <v>0</v>
      </c>
      <c r="O3589">
        <v>-0.85512529999999998</v>
      </c>
      <c r="P3589">
        <v>-0.45420509999999997</v>
      </c>
      <c r="Q3589">
        <v>-3.5947510000000002E-2</v>
      </c>
      <c r="R3589">
        <v>-0.89017179999999996</v>
      </c>
      <c r="S3589">
        <v>-0.2130737</v>
      </c>
      <c r="T3589">
        <v>-0.17344419999999999</v>
      </c>
      <c r="U3589">
        <v>-3.2617799999999999</v>
      </c>
      <c r="V3589">
        <v>-7.267614E-2</v>
      </c>
      <c r="W3589">
        <v>-2.4858229999999999E-2</v>
      </c>
      <c r="X3589">
        <v>0.99704579999999998</v>
      </c>
      <c r="Y3589">
        <v>-0.4614837</v>
      </c>
      <c r="Z3589">
        <v>3.8602919999999999E-2</v>
      </c>
      <c r="AA3589">
        <v>0.8863084</v>
      </c>
      <c r="AB3589">
        <v>19</v>
      </c>
      <c r="AC3589">
        <v>-1.8100000000003998E-2</v>
      </c>
      <c r="AD3589">
        <v>-5.04930000000001E-2</v>
      </c>
      <c r="AE3589">
        <v>-0.86639999999999795</v>
      </c>
      <c r="AF3589">
        <v>-0.43212660349494397</v>
      </c>
      <c r="AG3589">
        <v>-5.04930000000001E-2</v>
      </c>
      <c r="AH3589">
        <v>0.74777665935501003</v>
      </c>
      <c r="AI3589">
        <v>93.345942315504104</v>
      </c>
      <c r="AJ3589">
        <v>120.022840283485</v>
      </c>
      <c r="AK3589">
        <v>0.86513171065059002</v>
      </c>
      <c r="AL3589">
        <v>91.424418332566802</v>
      </c>
      <c r="AM3589">
        <v>94.169000836555497</v>
      </c>
      <c r="AN3589">
        <v>1.00000004011083</v>
      </c>
    </row>
    <row r="3590" spans="1:40" x14ac:dyDescent="0.25">
      <c r="A3590" t="str">
        <f>"20190312153954296"</f>
        <v>20190312153954296</v>
      </c>
      <c r="B3590" t="str">
        <f>"1552376394289059"</f>
        <v>1552376394289059</v>
      </c>
      <c r="C3590" t="s">
        <v>40</v>
      </c>
      <c r="D3590">
        <v>4.1535859999999998</v>
      </c>
      <c r="E3590">
        <v>0.3367213</v>
      </c>
      <c r="F3590" t="s">
        <v>41</v>
      </c>
      <c r="G3590">
        <v>-490.15370000000001</v>
      </c>
      <c r="H3590">
        <v>1.065644</v>
      </c>
      <c r="I3590">
        <v>271.04770000000002</v>
      </c>
      <c r="J3590">
        <v>-490.14299999999997</v>
      </c>
      <c r="K3590">
        <v>1.114717</v>
      </c>
      <c r="L3590">
        <v>271.8938</v>
      </c>
      <c r="M3590">
        <v>-0.51389070000000003</v>
      </c>
      <c r="N3590">
        <v>0</v>
      </c>
      <c r="O3590">
        <v>-0.8577726</v>
      </c>
      <c r="P3590">
        <v>-0.44972849999999998</v>
      </c>
      <c r="Q3590">
        <v>-3.5919479999999997E-2</v>
      </c>
      <c r="R3590">
        <v>-0.89244279999999998</v>
      </c>
      <c r="S3590">
        <v>-0.1955566</v>
      </c>
      <c r="T3590">
        <v>-0.17186889999999999</v>
      </c>
      <c r="U3590">
        <v>-3.2633969999999999</v>
      </c>
      <c r="V3590">
        <v>-7.2570079999999995E-2</v>
      </c>
      <c r="W3590">
        <v>-2.4883619999999999E-2</v>
      </c>
      <c r="X3590">
        <v>0.99705279999999996</v>
      </c>
      <c r="Y3590">
        <v>-0.4617018</v>
      </c>
      <c r="Z3590">
        <v>3.8438859999999998E-2</v>
      </c>
      <c r="AA3590">
        <v>0.88620200000000005</v>
      </c>
      <c r="AB3590">
        <v>19</v>
      </c>
      <c r="AC3590">
        <v>-1.06999999999857E-2</v>
      </c>
      <c r="AD3590">
        <v>-4.9072999999999901E-2</v>
      </c>
      <c r="AE3590">
        <v>-0.84609999999997798</v>
      </c>
      <c r="AF3590">
        <v>-0.42422825753870302</v>
      </c>
      <c r="AG3590">
        <v>-4.9072999999999901E-2</v>
      </c>
      <c r="AH3590">
        <v>0.72886072524436796</v>
      </c>
      <c r="AI3590">
        <v>93.330255830491495</v>
      </c>
      <c r="AJ3590">
        <v>120.201243988732</v>
      </c>
      <c r="AK3590">
        <v>0.84475779406115603</v>
      </c>
      <c r="AL3590">
        <v>91.425873653104702</v>
      </c>
      <c r="AM3590">
        <v>94.1629090817665</v>
      </c>
      <c r="AN3590">
        <v>0.99999994852167395</v>
      </c>
    </row>
    <row r="3591" spans="1:40" x14ac:dyDescent="0.25">
      <c r="A3591" t="str">
        <f>"20190312153954307"</f>
        <v>20190312153954307</v>
      </c>
      <c r="B3591" t="str">
        <f>"1552376394299795"</f>
        <v>1552376394299795</v>
      </c>
      <c r="C3591" t="s">
        <v>40</v>
      </c>
      <c r="D3591">
        <v>4.2261649999999999</v>
      </c>
      <c r="E3591">
        <v>0.33664759999999999</v>
      </c>
      <c r="F3591" t="s">
        <v>42</v>
      </c>
      <c r="G3591">
        <v>-491.31619999999998</v>
      </c>
      <c r="H3591" s="1">
        <v>-7.343934E-7</v>
      </c>
      <c r="I3591">
        <v>250.4846</v>
      </c>
      <c r="J3591">
        <v>-490.18090000000001</v>
      </c>
      <c r="K3591">
        <v>1.114725</v>
      </c>
      <c r="L3591">
        <v>271.82060000000001</v>
      </c>
      <c r="M3591">
        <v>-0.51013399999999998</v>
      </c>
      <c r="N3591">
        <v>0</v>
      </c>
      <c r="O3591">
        <v>-0.86001280000000002</v>
      </c>
      <c r="P3591">
        <v>-0.44625599999999999</v>
      </c>
      <c r="Q3591">
        <v>-3.5751030000000003E-2</v>
      </c>
      <c r="R3591">
        <v>-0.89419079999999995</v>
      </c>
      <c r="S3591">
        <v>-0.178894</v>
      </c>
      <c r="T3591">
        <v>-0.16997499999999999</v>
      </c>
      <c r="U3591">
        <v>-3.264526</v>
      </c>
      <c r="V3591">
        <v>-7.2088680000000002E-2</v>
      </c>
      <c r="W3591">
        <v>-2.475283E-2</v>
      </c>
      <c r="X3591">
        <v>0.99709110000000001</v>
      </c>
      <c r="Y3591">
        <v>-0.4623486</v>
      </c>
      <c r="Z3591">
        <v>3.8168029999999999E-2</v>
      </c>
      <c r="AA3591">
        <v>0.88587640000000001</v>
      </c>
      <c r="AB3591">
        <v>19</v>
      </c>
      <c r="AC3591">
        <v>-1.13529999999997</v>
      </c>
      <c r="AD3591">
        <v>-1.1147257343934001</v>
      </c>
      <c r="AE3591">
        <v>-21.335999999999999</v>
      </c>
      <c r="AF3591">
        <v>-9.8816490074258194</v>
      </c>
      <c r="AG3591">
        <v>-1.1147257343934001</v>
      </c>
      <c r="AH3591">
        <v>18.878339397268299</v>
      </c>
      <c r="AI3591">
        <v>92.994666797099896</v>
      </c>
      <c r="AJ3591">
        <v>117.629290096541</v>
      </c>
      <c r="AK3591">
        <v>21.3373217383844</v>
      </c>
      <c r="AL3591">
        <v>91.418377454978398</v>
      </c>
      <c r="AM3591">
        <v>94.135231885628997</v>
      </c>
      <c r="AN3591">
        <v>1.00000007103817</v>
      </c>
    </row>
    <row r="3592" spans="1:40" x14ac:dyDescent="0.25">
      <c r="A3592" t="str">
        <f>"20190312153954318"</f>
        <v>20190312153954318</v>
      </c>
      <c r="B3592" t="str">
        <f>"1552376394309555"</f>
        <v>1552376394309555</v>
      </c>
      <c r="C3592" t="s">
        <v>40</v>
      </c>
      <c r="D3592">
        <v>4.2126150000000004</v>
      </c>
      <c r="E3592">
        <v>0.33663280000000001</v>
      </c>
      <c r="F3592" t="s">
        <v>41</v>
      </c>
      <c r="G3592">
        <v>-490.22829999999999</v>
      </c>
      <c r="H3592">
        <v>1.0670729999999999</v>
      </c>
      <c r="I3592">
        <v>270.8922</v>
      </c>
      <c r="J3592">
        <v>-490.22129999999999</v>
      </c>
      <c r="K3592">
        <v>1.114733</v>
      </c>
      <c r="L3592">
        <v>271.74270000000001</v>
      </c>
      <c r="M3592">
        <v>-0.50611779999999995</v>
      </c>
      <c r="N3592">
        <v>0</v>
      </c>
      <c r="O3592">
        <v>-0.86238309999999996</v>
      </c>
      <c r="P3592">
        <v>-0.44244099999999997</v>
      </c>
      <c r="Q3592">
        <v>-3.5440949999999999E-2</v>
      </c>
      <c r="R3592">
        <v>-0.89609719999999904</v>
      </c>
      <c r="S3592">
        <v>-0.165802</v>
      </c>
      <c r="T3592">
        <v>-0.1675239</v>
      </c>
      <c r="U3592">
        <v>-3.2655940000000001</v>
      </c>
      <c r="V3592">
        <v>-7.1696910000000003E-2</v>
      </c>
      <c r="W3592">
        <v>-2.448413E-2</v>
      </c>
      <c r="X3592">
        <v>0.99712590000000001</v>
      </c>
      <c r="Y3592">
        <v>-0.4617713</v>
      </c>
      <c r="Z3592">
        <v>3.7795099999999998E-2</v>
      </c>
      <c r="AA3592">
        <v>0.88619340000000002</v>
      </c>
      <c r="AB3592">
        <v>19</v>
      </c>
      <c r="AC3592">
        <v>-7.0000000000049996E-3</v>
      </c>
      <c r="AD3592">
        <v>-4.7660000000000001E-2</v>
      </c>
      <c r="AE3592">
        <v>-0.85050000000001003</v>
      </c>
      <c r="AF3592">
        <v>-0.42311766311825599</v>
      </c>
      <c r="AG3592">
        <v>-4.7660000000000001E-2</v>
      </c>
      <c r="AH3592">
        <v>0.73474420721956701</v>
      </c>
      <c r="AI3592">
        <v>93.217306205950393</v>
      </c>
      <c r="AJ3592">
        <v>119.93637959167</v>
      </c>
      <c r="AK3592">
        <v>0.84920497083175595</v>
      </c>
      <c r="AL3592">
        <v>91.402977526349503</v>
      </c>
      <c r="AM3592">
        <v>94.112693016632505</v>
      </c>
      <c r="AN3592">
        <v>0.99999998998810702</v>
      </c>
    </row>
    <row r="3593" spans="1:40" x14ac:dyDescent="0.25">
      <c r="A3593" t="str">
        <f>"20190312153954329"</f>
        <v>20190312153954329</v>
      </c>
      <c r="B3593" t="str">
        <f>"1552376394319314"</f>
        <v>1552376394319314</v>
      </c>
      <c r="C3593" t="s">
        <v>40</v>
      </c>
      <c r="D3593">
        <v>4.1820329999999997</v>
      </c>
      <c r="E3593">
        <v>0.33664929999999998</v>
      </c>
      <c r="F3593" t="s">
        <v>41</v>
      </c>
      <c r="G3593">
        <v>-490.2672</v>
      </c>
      <c r="H3593">
        <v>1.0645560000000001</v>
      </c>
      <c r="I3593">
        <v>270.75020000000001</v>
      </c>
      <c r="J3593">
        <v>-490.26310000000001</v>
      </c>
      <c r="K3593">
        <v>1.114744</v>
      </c>
      <c r="L3593">
        <v>271.6601</v>
      </c>
      <c r="M3593">
        <v>-0.50187349999999997</v>
      </c>
      <c r="N3593">
        <v>0</v>
      </c>
      <c r="O3593">
        <v>-0.86486049999999903</v>
      </c>
      <c r="P3593">
        <v>-0.43826769999999998</v>
      </c>
      <c r="Q3593">
        <v>-3.5520900000000001E-2</v>
      </c>
      <c r="R3593">
        <v>-0.89814259999999901</v>
      </c>
      <c r="S3593">
        <v>-0.15161129999999901</v>
      </c>
      <c r="T3593">
        <v>-0.16515589999999999</v>
      </c>
      <c r="U3593">
        <v>-3.2664490000000002</v>
      </c>
      <c r="V3593">
        <v>-7.1431380000000003E-2</v>
      </c>
      <c r="W3593">
        <v>-2.4605510000000001E-2</v>
      </c>
      <c r="X3593">
        <v>0.99714199999999997</v>
      </c>
      <c r="Y3593">
        <v>-0.46126529999999999</v>
      </c>
      <c r="Z3593">
        <v>3.744517E-2</v>
      </c>
      <c r="AA3593">
        <v>0.88647180000000003</v>
      </c>
      <c r="AB3593">
        <v>19</v>
      </c>
      <c r="AC3593">
        <v>-4.0999999999939904E-3</v>
      </c>
      <c r="AD3593">
        <v>-5.0187999999999899E-2</v>
      </c>
      <c r="AE3593">
        <v>-0.90989999999999305</v>
      </c>
      <c r="AF3593">
        <v>-0.45176592067520199</v>
      </c>
      <c r="AG3593">
        <v>-5.0187999999999899E-2</v>
      </c>
      <c r="AH3593">
        <v>0.78665595947056499</v>
      </c>
      <c r="AI3593">
        <v>93.166658161202903</v>
      </c>
      <c r="AJ3593">
        <v>119.868170816465</v>
      </c>
      <c r="AK3593">
        <v>0.90853667014494699</v>
      </c>
      <c r="AL3593">
        <v>91.409934140704706</v>
      </c>
      <c r="AM3593">
        <v>94.097447671850006</v>
      </c>
      <c r="AN3593">
        <v>1.0000000206675299</v>
      </c>
    </row>
    <row r="3594" spans="1:40" x14ac:dyDescent="0.25">
      <c r="A3594" t="str">
        <f>"20190312153954340"</f>
        <v>20190312153954340</v>
      </c>
      <c r="B3594" t="str">
        <f>"1552376394329075"</f>
        <v>1552376394329075</v>
      </c>
      <c r="C3594" t="s">
        <v>40</v>
      </c>
      <c r="D3594">
        <v>4.2531470000000002</v>
      </c>
      <c r="E3594">
        <v>0.3366632</v>
      </c>
      <c r="F3594" t="s">
        <v>41</v>
      </c>
      <c r="G3594">
        <v>-490.30239999999998</v>
      </c>
      <c r="H3594">
        <v>1.067879</v>
      </c>
      <c r="I3594">
        <v>270.72309999999999</v>
      </c>
      <c r="J3594">
        <v>-490.30399999999997</v>
      </c>
      <c r="K3594">
        <v>1.114762</v>
      </c>
      <c r="L3594">
        <v>271.57889999999998</v>
      </c>
      <c r="M3594">
        <v>-0.49769029999999997</v>
      </c>
      <c r="N3594">
        <v>0</v>
      </c>
      <c r="O3594">
        <v>-0.86727520000000002</v>
      </c>
      <c r="P3594">
        <v>-0.43444729999999998</v>
      </c>
      <c r="Q3594">
        <v>-3.5210999999999999E-2</v>
      </c>
      <c r="R3594">
        <v>-0.9000089</v>
      </c>
      <c r="S3594">
        <v>-0.13714599999999999</v>
      </c>
      <c r="T3594">
        <v>-0.16342229999999999</v>
      </c>
      <c r="U3594">
        <v>-3.2668759999999999</v>
      </c>
      <c r="V3594">
        <v>-7.0861270000000004E-2</v>
      </c>
      <c r="W3594">
        <v>-2.433095E-2</v>
      </c>
      <c r="X3594">
        <v>0.9971894</v>
      </c>
      <c r="Y3594">
        <v>-0.46090300000000001</v>
      </c>
      <c r="Z3594">
        <v>3.7232269999999998E-2</v>
      </c>
      <c r="AA3594">
        <v>0.88666919999999905</v>
      </c>
      <c r="AB3594">
        <v>19</v>
      </c>
      <c r="AC3594">
        <v>1.6000000000531099E-3</v>
      </c>
      <c r="AD3594">
        <v>-4.6883000000000001E-2</v>
      </c>
      <c r="AE3594">
        <v>-0.85579999999998702</v>
      </c>
      <c r="AF3594">
        <v>-0.42606183972450301</v>
      </c>
      <c r="AG3594">
        <v>-4.6883000000000001E-2</v>
      </c>
      <c r="AH3594">
        <v>0.73925042309640099</v>
      </c>
      <c r="AI3594">
        <v>93.145067048277895</v>
      </c>
      <c r="AJ3594">
        <v>119.956698843353</v>
      </c>
      <c r="AK3594">
        <v>0.85452787842564604</v>
      </c>
      <c r="AL3594">
        <v>91.394198319502493</v>
      </c>
      <c r="AM3594">
        <v>94.064662506712907</v>
      </c>
      <c r="AN3594">
        <v>1.0000000070931301</v>
      </c>
    </row>
    <row r="3595" spans="1:40" x14ac:dyDescent="0.25">
      <c r="A3595" t="str">
        <f>"20190312153954352"</f>
        <v>20190312153954352</v>
      </c>
      <c r="B3595" t="str">
        <f>"1552376394349571"</f>
        <v>1552376394349571</v>
      </c>
      <c r="C3595" t="s">
        <v>40</v>
      </c>
      <c r="D3595">
        <v>4.2116680000000004</v>
      </c>
      <c r="E3595">
        <v>0.33684550000000002</v>
      </c>
      <c r="F3595" t="s">
        <v>41</v>
      </c>
      <c r="G3595">
        <v>-490.34089999999998</v>
      </c>
      <c r="H3595">
        <v>1.0669230000000001</v>
      </c>
      <c r="I3595">
        <v>270.60590000000002</v>
      </c>
      <c r="J3595">
        <v>-490.34719999999999</v>
      </c>
      <c r="K3595">
        <v>1.114771</v>
      </c>
      <c r="L3595">
        <v>271.49189999999999</v>
      </c>
      <c r="M3595">
        <v>-0.4932124</v>
      </c>
      <c r="N3595">
        <v>0</v>
      </c>
      <c r="O3595">
        <v>-0.86983009999999905</v>
      </c>
      <c r="P3595">
        <v>-0.4304616</v>
      </c>
      <c r="Q3595">
        <v>-3.4873080000000001E-2</v>
      </c>
      <c r="R3595">
        <v>-0.9019353</v>
      </c>
      <c r="S3595">
        <v>-0.123291</v>
      </c>
      <c r="T3595">
        <v>-0.16061829999999999</v>
      </c>
      <c r="U3595">
        <v>-3.2675169999999998</v>
      </c>
      <c r="V3595">
        <v>-7.0140919999999995E-2</v>
      </c>
      <c r="W3595">
        <v>-2.402582E-2</v>
      </c>
      <c r="X3595">
        <v>0.99724769999999896</v>
      </c>
      <c r="Y3595">
        <v>-0.46008919999999998</v>
      </c>
      <c r="Z3595">
        <v>3.6784530000000003E-2</v>
      </c>
      <c r="AA3595">
        <v>0.88711039999999997</v>
      </c>
      <c r="AB3595">
        <v>19</v>
      </c>
      <c r="AC3595">
        <v>6.3000000000101803E-3</v>
      </c>
      <c r="AD3595">
        <v>-4.78479999999998E-2</v>
      </c>
      <c r="AE3595">
        <v>-0.88599999999996704</v>
      </c>
      <c r="AF3595">
        <v>-0.44120973819536702</v>
      </c>
      <c r="AG3595">
        <v>-4.78479999999998E-2</v>
      </c>
      <c r="AH3595">
        <v>0.76538274568297604</v>
      </c>
      <c r="AI3595">
        <v>93.100147215723993</v>
      </c>
      <c r="AJ3595">
        <v>119.961571461253</v>
      </c>
      <c r="AK3595">
        <v>0.88474075952882203</v>
      </c>
      <c r="AL3595">
        <v>91.376710580644698</v>
      </c>
      <c r="AM3595">
        <v>94.023244575149704</v>
      </c>
      <c r="AN3595">
        <v>0.99999998192020401</v>
      </c>
    </row>
    <row r="3596" spans="1:40" x14ac:dyDescent="0.25">
      <c r="A3596" t="str">
        <f>"20190312153954366"</f>
        <v>20190312153954366</v>
      </c>
      <c r="B3596" t="str">
        <f>"1552376394359330"</f>
        <v>1552376394359330</v>
      </c>
      <c r="C3596" t="s">
        <v>40</v>
      </c>
      <c r="D3596">
        <v>4.2413530000000002</v>
      </c>
      <c r="E3596">
        <v>0.33695439999999999</v>
      </c>
      <c r="F3596" t="s">
        <v>41</v>
      </c>
      <c r="G3596">
        <v>-490.37950000000001</v>
      </c>
      <c r="H3596">
        <v>1.069062</v>
      </c>
      <c r="I3596">
        <v>270.5385</v>
      </c>
      <c r="J3596">
        <v>-490.39429999999999</v>
      </c>
      <c r="K3596">
        <v>1.1147800000000001</v>
      </c>
      <c r="L3596">
        <v>271.3954</v>
      </c>
      <c r="M3596">
        <v>-0.48824790000000001</v>
      </c>
      <c r="N3596">
        <v>0</v>
      </c>
      <c r="O3596">
        <v>-0.87262700000000004</v>
      </c>
      <c r="P3596">
        <v>-0.4254946</v>
      </c>
      <c r="Q3596">
        <v>-3.4783429999999997E-2</v>
      </c>
      <c r="R3596">
        <v>-0.90429250000000005</v>
      </c>
      <c r="S3596">
        <v>-0.1099854</v>
      </c>
      <c r="T3596">
        <v>-0.15661829999999999</v>
      </c>
      <c r="U3596">
        <v>-3.2676699999999999</v>
      </c>
      <c r="V3596">
        <v>-6.9944619999999999E-2</v>
      </c>
      <c r="W3596">
        <v>-2.3976910000000001E-2</v>
      </c>
      <c r="X3596">
        <v>0.99726269999999995</v>
      </c>
      <c r="Y3596">
        <v>-0.45863949999999998</v>
      </c>
      <c r="Z3596">
        <v>3.6085760000000001E-2</v>
      </c>
      <c r="AA3596">
        <v>0.88788940000000005</v>
      </c>
      <c r="AB3596">
        <v>19</v>
      </c>
      <c r="AC3596">
        <v>1.4799999999979699E-2</v>
      </c>
      <c r="AD3596">
        <v>-4.5717999999999703E-2</v>
      </c>
      <c r="AE3596">
        <v>-0.856899999999996</v>
      </c>
      <c r="AF3596">
        <v>-0.43009993646564798</v>
      </c>
      <c r="AG3596">
        <v>-4.5717999999999703E-2</v>
      </c>
      <c r="AH3596">
        <v>0.73847694591878899</v>
      </c>
      <c r="AI3596">
        <v>93.062212055858694</v>
      </c>
      <c r="AJ3596">
        <v>120.21715686895899</v>
      </c>
      <c r="AK3596">
        <v>0.85581790734086405</v>
      </c>
      <c r="AL3596">
        <v>91.373907387686003</v>
      </c>
      <c r="AM3596">
        <v>94.011961587686798</v>
      </c>
      <c r="AN3596">
        <v>1.00000001744569</v>
      </c>
    </row>
    <row r="3597" spans="1:40" x14ac:dyDescent="0.25">
      <c r="A3597" t="str">
        <f>"20190312153954376"</f>
        <v>20190312153954376</v>
      </c>
      <c r="B3597" t="str">
        <f>"1552376394369092"</f>
        <v>1552376394369092</v>
      </c>
      <c r="C3597" t="s">
        <v>40</v>
      </c>
      <c r="D3597">
        <v>4.1962029999999997</v>
      </c>
      <c r="E3597">
        <v>0.33711740000000001</v>
      </c>
      <c r="F3597" t="s">
        <v>41</v>
      </c>
      <c r="G3597">
        <v>-490.42090000000002</v>
      </c>
      <c r="H3597">
        <v>1.070486</v>
      </c>
      <c r="I3597">
        <v>270.46190000000001</v>
      </c>
      <c r="J3597">
        <v>-490.43459999999999</v>
      </c>
      <c r="K3597">
        <v>1.114789</v>
      </c>
      <c r="L3597">
        <v>271.3125</v>
      </c>
      <c r="M3597">
        <v>-0.48397119999999999</v>
      </c>
      <c r="N3597">
        <v>0</v>
      </c>
      <c r="O3597">
        <v>-0.87500650000000002</v>
      </c>
      <c r="P3597">
        <v>-0.42143819999999999</v>
      </c>
      <c r="Q3597">
        <v>-3.4763580000000002E-2</v>
      </c>
      <c r="R3597">
        <v>-0.90619050000000001</v>
      </c>
      <c r="S3597">
        <v>-9.3139650000000004E-2</v>
      </c>
      <c r="T3597">
        <v>-0.1550511</v>
      </c>
      <c r="U3597">
        <v>-3.2677309999999999</v>
      </c>
      <c r="V3597">
        <v>-6.9531830000000003E-2</v>
      </c>
      <c r="W3597">
        <v>-2.398724E-2</v>
      </c>
      <c r="X3597">
        <v>0.99729129999999999</v>
      </c>
      <c r="Y3597">
        <v>-0.4588642</v>
      </c>
      <c r="Z3597">
        <v>3.5889249999999998E-2</v>
      </c>
      <c r="AA3597">
        <v>0.8877813</v>
      </c>
      <c r="AB3597">
        <v>19</v>
      </c>
      <c r="AC3597">
        <v>1.3699999999971599E-2</v>
      </c>
      <c r="AD3597">
        <v>-4.4302999999999898E-2</v>
      </c>
      <c r="AE3597">
        <v>-0.85059999999998503</v>
      </c>
      <c r="AF3597">
        <v>-0.42253624466718698</v>
      </c>
      <c r="AG3597">
        <v>-4.4302999999999898E-2</v>
      </c>
      <c r="AH3597">
        <v>0.73570481324938797</v>
      </c>
      <c r="AI3597">
        <v>92.989207295234706</v>
      </c>
      <c r="AJ3597">
        <v>119.869979295072</v>
      </c>
      <c r="AK3597">
        <v>0.84956530420254694</v>
      </c>
      <c r="AL3597">
        <v>91.374499447254195</v>
      </c>
      <c r="AM3597">
        <v>93.988246948185804</v>
      </c>
      <c r="AN3597">
        <v>1.00000000006082</v>
      </c>
    </row>
    <row r="3598" spans="1:40" x14ac:dyDescent="0.25">
      <c r="A3598" t="str">
        <f>"20190312153954388"</f>
        <v>20190312153954388</v>
      </c>
      <c r="B3598" t="str">
        <f>"1552376394379826"</f>
        <v>1552376394379826</v>
      </c>
      <c r="C3598" t="s">
        <v>40</v>
      </c>
      <c r="D3598">
        <v>4.1980919999999999</v>
      </c>
      <c r="E3598">
        <v>0.33729789999999998</v>
      </c>
      <c r="F3598" t="s">
        <v>42</v>
      </c>
      <c r="G3598">
        <v>-491.00909999999999</v>
      </c>
      <c r="H3598" s="1">
        <v>-3.7706200000000001E-6</v>
      </c>
      <c r="I3598">
        <v>247.7527</v>
      </c>
      <c r="J3598">
        <v>-490.47489999999999</v>
      </c>
      <c r="K3598">
        <v>1.114792</v>
      </c>
      <c r="L3598">
        <v>271.2278</v>
      </c>
      <c r="M3598">
        <v>-0.47960530000000001</v>
      </c>
      <c r="N3598">
        <v>0</v>
      </c>
      <c r="O3598">
        <v>-0.87740759999999995</v>
      </c>
      <c r="P3598">
        <v>-0.4169542</v>
      </c>
      <c r="Q3598">
        <v>-3.4653780000000002E-2</v>
      </c>
      <c r="R3598">
        <v>-0.90826660000000004</v>
      </c>
      <c r="S3598">
        <v>-7.9681399999999999E-2</v>
      </c>
      <c r="T3598">
        <v>-0.1546148</v>
      </c>
      <c r="U3598">
        <v>-3.2676090000000002</v>
      </c>
      <c r="V3598">
        <v>-6.9494399999999998E-2</v>
      </c>
      <c r="W3598">
        <v>-2.3909119999999999E-2</v>
      </c>
      <c r="X3598">
        <v>0.99729579999999995</v>
      </c>
      <c r="Y3598">
        <v>-0.45809030000000001</v>
      </c>
      <c r="Z3598">
        <v>3.5967649999999997E-2</v>
      </c>
      <c r="AA3598">
        <v>0.88817769999999996</v>
      </c>
      <c r="AB3598">
        <v>19</v>
      </c>
      <c r="AC3598">
        <v>-0.53419999999999801</v>
      </c>
      <c r="AD3598">
        <v>-1.11479577062</v>
      </c>
      <c r="AE3598">
        <v>-23.475100000000001</v>
      </c>
      <c r="AF3598">
        <v>-10.7665302151162</v>
      </c>
      <c r="AG3598">
        <v>-1.11479577062</v>
      </c>
      <c r="AH3598">
        <v>20.807939732752502</v>
      </c>
      <c r="AI3598">
        <v>92.724259151067898</v>
      </c>
      <c r="AJ3598">
        <v>117.35813615356901</v>
      </c>
      <c r="AK3598">
        <v>23.454877923473902</v>
      </c>
      <c r="AL3598">
        <v>91.370022196184095</v>
      </c>
      <c r="AM3598">
        <v>93.986089011142596</v>
      </c>
      <c r="AN3598">
        <v>1.00000001517408</v>
      </c>
    </row>
    <row r="3599" spans="1:40" x14ac:dyDescent="0.25">
      <c r="A3599" t="str">
        <f>"20190312153954401"</f>
        <v>20190312153954401</v>
      </c>
      <c r="B3599" t="str">
        <f>"1552376394389587"</f>
        <v>1552376394389587</v>
      </c>
      <c r="C3599" t="s">
        <v>40</v>
      </c>
      <c r="D3599">
        <v>4.1816559999999896</v>
      </c>
      <c r="E3599">
        <v>0.3374914</v>
      </c>
      <c r="F3599" t="s">
        <v>41</v>
      </c>
      <c r="G3599">
        <v>-490.49369999999999</v>
      </c>
      <c r="H3599">
        <v>1.070163</v>
      </c>
      <c r="I3599">
        <v>270.28289999999998</v>
      </c>
      <c r="J3599">
        <v>-490.52080000000001</v>
      </c>
      <c r="K3599">
        <v>1.1148</v>
      </c>
      <c r="L3599">
        <v>271.13029999999998</v>
      </c>
      <c r="M3599">
        <v>-0.4745779</v>
      </c>
      <c r="N3599">
        <v>0</v>
      </c>
      <c r="O3599">
        <v>-0.88013750000000002</v>
      </c>
      <c r="P3599">
        <v>-0.41178480000000001</v>
      </c>
      <c r="Q3599">
        <v>-3.4700199999999903E-2</v>
      </c>
      <c r="R3599">
        <v>-0.91062030000000005</v>
      </c>
      <c r="S3599">
        <v>-6.4758300000000005E-2</v>
      </c>
      <c r="T3599">
        <v>-0.15430820000000001</v>
      </c>
      <c r="U3599">
        <v>-3.2673649999999999</v>
      </c>
      <c r="V3599">
        <v>-6.945527E-2</v>
      </c>
      <c r="W3599">
        <v>-2.3990529999999999E-2</v>
      </c>
      <c r="X3599">
        <v>0.99729659999999998</v>
      </c>
      <c r="Y3599">
        <v>-0.45705800000000002</v>
      </c>
      <c r="Z3599">
        <v>3.6102700000000001E-2</v>
      </c>
      <c r="AA3599">
        <v>0.88870380000000004</v>
      </c>
      <c r="AB3599">
        <v>19</v>
      </c>
      <c r="AC3599">
        <v>2.7100000000018502E-2</v>
      </c>
      <c r="AD3599">
        <v>-4.4637000000000003E-2</v>
      </c>
      <c r="AE3599">
        <v>-0.84739999999999305</v>
      </c>
      <c r="AF3599">
        <v>-0.42485989482408398</v>
      </c>
      <c r="AG3599">
        <v>-4.4637000000000003E-2</v>
      </c>
      <c r="AH3599">
        <v>0.73099030335785997</v>
      </c>
      <c r="AI3599">
        <v>93.0220825745795</v>
      </c>
      <c r="AJ3599">
        <v>120.16564230899399</v>
      </c>
      <c r="AK3599">
        <v>0.84666712207463701</v>
      </c>
      <c r="AL3599">
        <v>91.374687943919596</v>
      </c>
      <c r="AM3599">
        <v>93.983848619727695</v>
      </c>
      <c r="AN3599">
        <v>1.000000044216</v>
      </c>
    </row>
    <row r="3600" spans="1:40" x14ac:dyDescent="0.25">
      <c r="A3600" t="str">
        <f>"20190312153954412"</f>
        <v>20190312153954412</v>
      </c>
      <c r="B3600" t="str">
        <f>"1552376394399348"</f>
        <v>1552376394399348</v>
      </c>
      <c r="C3600" t="s">
        <v>40</v>
      </c>
      <c r="D3600">
        <v>4.2031929999999997</v>
      </c>
      <c r="E3600">
        <v>0.337727099999999</v>
      </c>
      <c r="F3600" t="s">
        <v>41</v>
      </c>
      <c r="G3600">
        <v>-490.53489999999999</v>
      </c>
      <c r="H3600">
        <v>1.069197</v>
      </c>
      <c r="I3600">
        <v>270.16199999999998</v>
      </c>
      <c r="J3600">
        <v>-490.55829999999997</v>
      </c>
      <c r="K3600">
        <v>1.1148070000000001</v>
      </c>
      <c r="L3600">
        <v>271.04939999999999</v>
      </c>
      <c r="M3600">
        <v>-0.47040389999999999</v>
      </c>
      <c r="N3600">
        <v>0</v>
      </c>
      <c r="O3600">
        <v>-0.88237559999999904</v>
      </c>
      <c r="P3600">
        <v>-0.40759230000000002</v>
      </c>
      <c r="Q3600">
        <v>-3.4636939999999998E-2</v>
      </c>
      <c r="R3600">
        <v>-0.91250710000000002</v>
      </c>
      <c r="S3600">
        <v>-4.8095699999999998E-2</v>
      </c>
      <c r="T3600">
        <v>-0.1538881</v>
      </c>
      <c r="U3600">
        <v>-3.2668460000000001</v>
      </c>
      <c r="V3600">
        <v>-6.9319320000000004E-2</v>
      </c>
      <c r="W3600">
        <v>-2.3952379999999999E-2</v>
      </c>
      <c r="X3600">
        <v>0.9973069</v>
      </c>
      <c r="Y3600">
        <v>-0.45737430000000001</v>
      </c>
      <c r="Z3600">
        <v>3.6162060000000003E-2</v>
      </c>
      <c r="AA3600">
        <v>0.88853869999999902</v>
      </c>
      <c r="AB3600">
        <v>19</v>
      </c>
      <c r="AC3600">
        <v>2.3399999999980901E-2</v>
      </c>
      <c r="AD3600">
        <v>-4.5609999999999901E-2</v>
      </c>
      <c r="AE3600">
        <v>-0.887399999999956</v>
      </c>
      <c r="AF3600">
        <v>-0.436959740043672</v>
      </c>
      <c r="AG3600">
        <v>-4.5609999999999901E-2</v>
      </c>
      <c r="AH3600">
        <v>0.77003141391044405</v>
      </c>
      <c r="AI3600">
        <v>92.948991823340094</v>
      </c>
      <c r="AJ3600">
        <v>119.573048263072</v>
      </c>
      <c r="AK3600">
        <v>0.88654524133173895</v>
      </c>
      <c r="AL3600">
        <v>91.372501585384995</v>
      </c>
      <c r="AM3600">
        <v>93.976034837510696</v>
      </c>
      <c r="AN3600">
        <v>0.99999996871026797</v>
      </c>
    </row>
    <row r="3601" spans="1:40" x14ac:dyDescent="0.25">
      <c r="A3601" t="str">
        <f>"20190312153954421"</f>
        <v>20190312153954421</v>
      </c>
      <c r="B3601" t="str">
        <f>"1552376394409108"</f>
        <v>1552376394409108</v>
      </c>
      <c r="C3601" t="s">
        <v>40</v>
      </c>
      <c r="D3601">
        <v>4.1829289999999997</v>
      </c>
      <c r="E3601">
        <v>0.3379915</v>
      </c>
      <c r="F3601" t="s">
        <v>41</v>
      </c>
      <c r="G3601">
        <v>-490.5684</v>
      </c>
      <c r="H3601">
        <v>1.0696540000000001</v>
      </c>
      <c r="I3601">
        <v>270.08760000000001</v>
      </c>
      <c r="J3601">
        <v>-490.59019999999998</v>
      </c>
      <c r="K3601">
        <v>1.1148149999999999</v>
      </c>
      <c r="L3601">
        <v>270.98</v>
      </c>
      <c r="M3601">
        <v>-0.46682469999999998</v>
      </c>
      <c r="N3601">
        <v>0</v>
      </c>
      <c r="O3601">
        <v>-0.88427500000000003</v>
      </c>
      <c r="P3601">
        <v>-0.40404649999999998</v>
      </c>
      <c r="Q3601">
        <v>-3.4764259999999998E-2</v>
      </c>
      <c r="R3601">
        <v>-0.91407780000000005</v>
      </c>
      <c r="S3601">
        <v>-3.4759520000000002E-2</v>
      </c>
      <c r="T3601">
        <v>-0.15337909999999999</v>
      </c>
      <c r="U3601">
        <v>-3.2662659999999999</v>
      </c>
      <c r="V3601">
        <v>-6.9145970000000001E-2</v>
      </c>
      <c r="W3601">
        <v>-2.4099389999999998E-2</v>
      </c>
      <c r="X3601">
        <v>0.99731539999999996</v>
      </c>
      <c r="Y3601">
        <v>-0.45739619999999998</v>
      </c>
      <c r="Z3601">
        <v>3.6180320000000002E-2</v>
      </c>
      <c r="AA3601">
        <v>0.8885267</v>
      </c>
      <c r="AB3601">
        <v>19</v>
      </c>
      <c r="AC3601">
        <v>2.17999999999847E-2</v>
      </c>
      <c r="AD3601">
        <v>-4.5160999999999701E-2</v>
      </c>
      <c r="AE3601">
        <v>-0.89240000000000896</v>
      </c>
      <c r="AF3601">
        <v>-0.43478759719007098</v>
      </c>
      <c r="AG3601">
        <v>-4.5160999999999701E-2</v>
      </c>
      <c r="AH3601">
        <v>0.77701307608923897</v>
      </c>
      <c r="AI3601">
        <v>92.903589466228794</v>
      </c>
      <c r="AJ3601">
        <v>119.229752408091</v>
      </c>
      <c r="AK3601">
        <v>0.891531878849532</v>
      </c>
      <c r="AL3601">
        <v>91.380927059679706</v>
      </c>
      <c r="AM3601">
        <v>93.966089861796405</v>
      </c>
      <c r="AN3601">
        <v>0.99999997642138605</v>
      </c>
    </row>
    <row r="3602" spans="1:40" x14ac:dyDescent="0.25">
      <c r="A3602" t="str">
        <f>"20190312153954431"</f>
        <v>20190312153954431</v>
      </c>
      <c r="B3602" t="str">
        <f>"1552376394429603"</f>
        <v>1552376394429603</v>
      </c>
      <c r="C3602" t="s">
        <v>40</v>
      </c>
      <c r="D3602">
        <v>4.1643869999999996</v>
      </c>
      <c r="E3602">
        <v>0.33854099999999998</v>
      </c>
      <c r="F3602" t="s">
        <v>41</v>
      </c>
      <c r="G3602">
        <v>-490.59750000000003</v>
      </c>
      <c r="H3602">
        <v>1.069753</v>
      </c>
      <c r="I3602">
        <v>270.01260000000002</v>
      </c>
      <c r="J3602">
        <v>-490.62720000000002</v>
      </c>
      <c r="K3602">
        <v>1.1148229999999999</v>
      </c>
      <c r="L3602">
        <v>270.89850000000001</v>
      </c>
      <c r="M3602">
        <v>-0.46261760000000002</v>
      </c>
      <c r="N3602">
        <v>0</v>
      </c>
      <c r="O3602">
        <v>-0.88648329999999997</v>
      </c>
      <c r="P3602">
        <v>-0.40009620000000001</v>
      </c>
      <c r="Q3602">
        <v>-3.498735E-2</v>
      </c>
      <c r="R3602">
        <v>-0.91580519999999999</v>
      </c>
      <c r="S3602">
        <v>-2.3590090000000001E-2</v>
      </c>
      <c r="T3602">
        <v>-0.15207679999999901</v>
      </c>
      <c r="U3602">
        <v>-3.2657470000000002</v>
      </c>
      <c r="V3602">
        <v>-6.8705660000000002E-2</v>
      </c>
      <c r="W3602">
        <v>-2.4340710000000002E-2</v>
      </c>
      <c r="X3602">
        <v>0.99734</v>
      </c>
      <c r="Y3602">
        <v>-0.45620840000000001</v>
      </c>
      <c r="Z3602">
        <v>3.6045790000000001E-2</v>
      </c>
      <c r="AA3602">
        <v>0.88914259999999901</v>
      </c>
      <c r="AB3602">
        <v>19</v>
      </c>
      <c r="AC3602">
        <v>2.9699999999991102E-2</v>
      </c>
      <c r="AD3602">
        <v>-4.5069999999999701E-2</v>
      </c>
      <c r="AE3602">
        <v>-0.88589999999999203</v>
      </c>
      <c r="AF3602">
        <v>-0.435065551175494</v>
      </c>
      <c r="AG3602">
        <v>-4.5069999999999701E-2</v>
      </c>
      <c r="AH3602">
        <v>0.76965703861857804</v>
      </c>
      <c r="AI3602">
        <v>92.918281180516999</v>
      </c>
      <c r="AJ3602">
        <v>119.47825897647201</v>
      </c>
      <c r="AK3602">
        <v>0.88526001593585801</v>
      </c>
      <c r="AL3602">
        <v>91.3947576924635</v>
      </c>
      <c r="AM3602">
        <v>93.9408173976406</v>
      </c>
      <c r="AN3602">
        <v>1.0000000067396599</v>
      </c>
    </row>
    <row r="3603" spans="1:40" x14ac:dyDescent="0.25">
      <c r="A3603" t="str">
        <f>"20190312153954442"</f>
        <v>20190312153954442</v>
      </c>
      <c r="B3603" t="str">
        <f>"1552376394439363"</f>
        <v>1552376394439363</v>
      </c>
      <c r="C3603" t="s">
        <v>40</v>
      </c>
      <c r="D3603">
        <v>4.156377</v>
      </c>
      <c r="E3603">
        <v>0.33854099999999998</v>
      </c>
      <c r="F3603" t="s">
        <v>41</v>
      </c>
      <c r="G3603">
        <v>-490.63150000000002</v>
      </c>
      <c r="H3603">
        <v>1.0698160000000001</v>
      </c>
      <c r="I3603">
        <v>269.92649999999998</v>
      </c>
      <c r="J3603">
        <v>-490.66129999999998</v>
      </c>
      <c r="K3603">
        <v>1.1148260000000001</v>
      </c>
      <c r="L3603">
        <v>270.82240000000002</v>
      </c>
      <c r="M3603">
        <v>-0.45869280000000001</v>
      </c>
      <c r="N3603">
        <v>0</v>
      </c>
      <c r="O3603">
        <v>-0.88852089999999995</v>
      </c>
      <c r="P3603">
        <v>-0.3964819</v>
      </c>
      <c r="Q3603">
        <v>-3.4871760000000002E-2</v>
      </c>
      <c r="R3603">
        <v>-0.91738039999999998</v>
      </c>
      <c r="S3603">
        <v>-1.339722E-2</v>
      </c>
      <c r="T3603">
        <v>-0.15110029999999999</v>
      </c>
      <c r="U3603">
        <v>-3.2641909999999998</v>
      </c>
      <c r="V3603">
        <v>-6.8231230000000004E-2</v>
      </c>
      <c r="W3603">
        <v>-2.4239790000000001E-2</v>
      </c>
      <c r="X3603">
        <v>0.99737500000000001</v>
      </c>
      <c r="Y3603">
        <v>-0.45504670000000003</v>
      </c>
      <c r="Z3603">
        <v>3.5985070000000001E-2</v>
      </c>
      <c r="AA3603">
        <v>0.88974019999999998</v>
      </c>
      <c r="AB3603">
        <v>19</v>
      </c>
      <c r="AC3603">
        <v>2.9799999999966E-2</v>
      </c>
      <c r="AD3603">
        <v>-4.5010000000000203E-2</v>
      </c>
      <c r="AE3603">
        <v>-0.89590000000004</v>
      </c>
      <c r="AF3603">
        <v>-0.43634941810184402</v>
      </c>
      <c r="AG3603">
        <v>-4.5010000000000203E-2</v>
      </c>
      <c r="AH3603">
        <v>0.78044058535677696</v>
      </c>
      <c r="AI3603">
        <v>92.881768911228306</v>
      </c>
      <c r="AJ3603">
        <v>119.209840151566</v>
      </c>
      <c r="AK3603">
        <v>0.89527326669003504</v>
      </c>
      <c r="AL3603">
        <v>91.388973733841297</v>
      </c>
      <c r="AM3603">
        <v>93.913553000346496</v>
      </c>
      <c r="AN3603">
        <v>0.999999979395778</v>
      </c>
    </row>
    <row r="3604" spans="1:40" x14ac:dyDescent="0.25">
      <c r="A3604" t="str">
        <f>"20190312153954453"</f>
        <v>20190312153954453</v>
      </c>
      <c r="B3604" t="str">
        <f>"1552376394449124"</f>
        <v>1552376394449124</v>
      </c>
      <c r="C3604" t="s">
        <v>40</v>
      </c>
      <c r="D3604">
        <v>4.1658210000000002</v>
      </c>
      <c r="E3604">
        <v>0.3597823</v>
      </c>
      <c r="F3604" t="s">
        <v>41</v>
      </c>
      <c r="G3604">
        <v>-490.6617</v>
      </c>
      <c r="H3604">
        <v>1.070686</v>
      </c>
      <c r="I3604">
        <v>269.86219999999997</v>
      </c>
      <c r="J3604">
        <v>-490.69740000000002</v>
      </c>
      <c r="K3604">
        <v>1.1148340000000001</v>
      </c>
      <c r="L3604">
        <v>270.74079999999998</v>
      </c>
      <c r="M3604">
        <v>-0.45447890000000002</v>
      </c>
      <c r="N3604">
        <v>0</v>
      </c>
      <c r="O3604">
        <v>-0.89068380000000003</v>
      </c>
      <c r="P3604">
        <v>-0.39274110000000001</v>
      </c>
      <c r="Q3604">
        <v>-3.4931450000000003E-2</v>
      </c>
      <c r="R3604">
        <v>-0.91898570000000002</v>
      </c>
      <c r="S3604">
        <v>-1.190186E-3</v>
      </c>
      <c r="T3604">
        <v>-0.1500398</v>
      </c>
      <c r="U3604">
        <v>-3.264008</v>
      </c>
      <c r="V3604">
        <v>-6.7568110000000001E-2</v>
      </c>
      <c r="W3604">
        <v>-2.431171E-2</v>
      </c>
      <c r="X3604">
        <v>0.99741840000000004</v>
      </c>
      <c r="Y3604">
        <v>-0.45415650000000002</v>
      </c>
      <c r="Z3604">
        <v>3.5892180000000003E-2</v>
      </c>
      <c r="AA3604">
        <v>0.89019859999999995</v>
      </c>
      <c r="AB3604">
        <v>19</v>
      </c>
      <c r="AC3604">
        <v>3.5700000000019799E-2</v>
      </c>
      <c r="AD3604">
        <v>-4.4148E-2</v>
      </c>
      <c r="AE3604">
        <v>-0.87860000000000504</v>
      </c>
      <c r="AF3604">
        <v>-0.43004685314776198</v>
      </c>
      <c r="AG3604">
        <v>-4.4148E-2</v>
      </c>
      <c r="AH3604">
        <v>0.76445323719550295</v>
      </c>
      <c r="AI3604">
        <v>92.881451079255299</v>
      </c>
      <c r="AJ3604">
        <v>119.36013948822</v>
      </c>
      <c r="AK3604">
        <v>0.87822439824055099</v>
      </c>
      <c r="AL3604">
        <v>91.393095650948396</v>
      </c>
      <c r="AM3604">
        <v>93.875466642043193</v>
      </c>
      <c r="AN3604">
        <v>0.99999998669532797</v>
      </c>
    </row>
    <row r="3605" spans="1:40" x14ac:dyDescent="0.25">
      <c r="A3605" t="str">
        <f>"20190312153954463"</f>
        <v>20190312153954463</v>
      </c>
      <c r="B3605" t="str">
        <f>"1552376394458883"</f>
        <v>1552376394458883</v>
      </c>
      <c r="C3605" t="s">
        <v>40</v>
      </c>
      <c r="D3605">
        <v>4.1352979999999997</v>
      </c>
      <c r="E3605">
        <v>0.36014679999999999</v>
      </c>
      <c r="F3605" t="s">
        <v>42</v>
      </c>
      <c r="G3605">
        <v>-492.04070000000002</v>
      </c>
      <c r="H3605" s="1">
        <v>-1.3078899999999999E-6</v>
      </c>
      <c r="I3605">
        <v>241.37209999999999</v>
      </c>
      <c r="J3605">
        <v>-490.73390000000001</v>
      </c>
      <c r="K3605">
        <v>1.1148420000000001</v>
      </c>
      <c r="L3605">
        <v>270.65719999999999</v>
      </c>
      <c r="M3605">
        <v>-0.45016339999999999</v>
      </c>
      <c r="N3605">
        <v>0</v>
      </c>
      <c r="O3605">
        <v>-0.89287299999999903</v>
      </c>
      <c r="P3605">
        <v>-0.38898369999999999</v>
      </c>
      <c r="Q3605">
        <v>-3.4745640000000001E-2</v>
      </c>
      <c r="R3605">
        <v>-0.92058930000000005</v>
      </c>
      <c r="S3605">
        <v>-0.14624019999999999</v>
      </c>
      <c r="T3605">
        <v>-0.1213706</v>
      </c>
      <c r="U3605">
        <v>-3.197327</v>
      </c>
      <c r="V3605">
        <v>-6.6820729999999995E-2</v>
      </c>
      <c r="W3605">
        <v>-2.41357E-2</v>
      </c>
      <c r="X3605">
        <v>0.9974731</v>
      </c>
      <c r="Y3605">
        <v>-0.40893239999999997</v>
      </c>
      <c r="Z3605">
        <v>3.0189939999999998E-2</v>
      </c>
      <c r="AA3605">
        <v>0.91206509999999996</v>
      </c>
      <c r="AB3605">
        <v>19</v>
      </c>
      <c r="AC3605">
        <v>-1.3068</v>
      </c>
      <c r="AD3605">
        <v>-1.11484330789</v>
      </c>
      <c r="AE3605">
        <v>-29.2851</v>
      </c>
      <c r="AF3605">
        <v>-11.999703556757799</v>
      </c>
      <c r="AG3605">
        <v>-1.11484330789</v>
      </c>
      <c r="AH3605">
        <v>26.6992800291987</v>
      </c>
      <c r="AI3605">
        <v>92.181100206799002</v>
      </c>
      <c r="AJ3605">
        <v>114.201020043687</v>
      </c>
      <c r="AK3605">
        <v>29.293127438509899</v>
      </c>
      <c r="AL3605">
        <v>91.383007954199201</v>
      </c>
      <c r="AM3605">
        <v>93.832518503458303</v>
      </c>
      <c r="AN3605">
        <v>1.00000006359791</v>
      </c>
    </row>
    <row r="3606" spans="1:40" x14ac:dyDescent="0.25">
      <c r="A3606" t="str">
        <f>"20190312153954475"</f>
        <v>20190312153954475</v>
      </c>
      <c r="B3606" t="str">
        <f>"1552376394469618"</f>
        <v>1552376394469618</v>
      </c>
      <c r="C3606" t="s">
        <v>40</v>
      </c>
      <c r="D3606">
        <v>4.1649370000000001</v>
      </c>
      <c r="E3606">
        <v>0.36127169999999997</v>
      </c>
      <c r="F3606" t="s">
        <v>42</v>
      </c>
      <c r="G3606">
        <v>-492.07459999999998</v>
      </c>
      <c r="H3606" s="1">
        <v>-4.5303130000000002E-6</v>
      </c>
      <c r="I3606">
        <v>239.21789999999999</v>
      </c>
      <c r="J3606">
        <v>-490.77199999999999</v>
      </c>
      <c r="K3606">
        <v>1.114851</v>
      </c>
      <c r="L3606">
        <v>270.56920000000002</v>
      </c>
      <c r="M3606">
        <v>-0.4456155</v>
      </c>
      <c r="N3606">
        <v>0</v>
      </c>
      <c r="O3606">
        <v>-0.89515169999999999</v>
      </c>
      <c r="P3606">
        <v>-0.38479229999999998</v>
      </c>
      <c r="Q3606">
        <v>-3.4588019999999997E-2</v>
      </c>
      <c r="R3606">
        <v>-0.92235520000000004</v>
      </c>
      <c r="S3606">
        <v>-0.136322</v>
      </c>
      <c r="T3606">
        <v>-0.113362</v>
      </c>
      <c r="U3606">
        <v>-3.196869</v>
      </c>
      <c r="V3606">
        <v>-6.6287769999999996E-2</v>
      </c>
      <c r="W3606">
        <v>-2.399049E-2</v>
      </c>
      <c r="X3606">
        <v>0.99751210000000001</v>
      </c>
      <c r="Y3606">
        <v>-0.40710689999999999</v>
      </c>
      <c r="Z3606">
        <v>2.8339710000000001E-2</v>
      </c>
      <c r="AA3606">
        <v>0.91294070000000005</v>
      </c>
      <c r="AB3606">
        <v>19</v>
      </c>
      <c r="AC3606">
        <v>-1.30259999999998</v>
      </c>
      <c r="AD3606">
        <v>-1.1148555303129899</v>
      </c>
      <c r="AE3606">
        <v>-31.351299999999998</v>
      </c>
      <c r="AF3606">
        <v>-12.7892902094208</v>
      </c>
      <c r="AG3606">
        <v>-1.1148555303129899</v>
      </c>
      <c r="AH3606">
        <v>28.610377971597</v>
      </c>
      <c r="AI3606">
        <v>92.037398189853803</v>
      </c>
      <c r="AJ3606">
        <v>114.085396501517</v>
      </c>
      <c r="AK3606">
        <v>31.3586124468526</v>
      </c>
      <c r="AL3606">
        <v>91.374685711048997</v>
      </c>
      <c r="AM3606">
        <v>93.801892260610501</v>
      </c>
      <c r="AN3606">
        <v>1.00000000085421</v>
      </c>
    </row>
    <row r="3607" spans="1:40" x14ac:dyDescent="0.25">
      <c r="A3607" t="str">
        <f>"20190312153954486"</f>
        <v>20190312153954486</v>
      </c>
      <c r="B3607" t="str">
        <f>"1552376394479378"</f>
        <v>1552376394479378</v>
      </c>
      <c r="C3607" t="s">
        <v>40</v>
      </c>
      <c r="D3607">
        <v>4.1709129999999996</v>
      </c>
      <c r="E3607">
        <v>0.36189909999999997</v>
      </c>
      <c r="F3607" t="s">
        <v>42</v>
      </c>
      <c r="G3607">
        <v>-492.12020000000001</v>
      </c>
      <c r="H3607" s="1">
        <v>-3.955721E-6</v>
      </c>
      <c r="I3607">
        <v>237.50569999999999</v>
      </c>
      <c r="J3607">
        <v>-490.80779999999999</v>
      </c>
      <c r="K3607">
        <v>1.114859</v>
      </c>
      <c r="L3607">
        <v>270.48480000000001</v>
      </c>
      <c r="M3607">
        <v>-0.44125330000000001</v>
      </c>
      <c r="N3607">
        <v>0</v>
      </c>
      <c r="O3607">
        <v>-0.8973101</v>
      </c>
      <c r="P3607">
        <v>-0.38093860000000002</v>
      </c>
      <c r="Q3607">
        <v>-3.4646589999999998E-2</v>
      </c>
      <c r="R3607">
        <v>-0.92395099999999997</v>
      </c>
      <c r="S3607">
        <v>-0.130249</v>
      </c>
      <c r="T3607">
        <v>-0.1077033</v>
      </c>
      <c r="U3607">
        <v>-3.1941830000000002</v>
      </c>
      <c r="V3607">
        <v>-6.5594620000000006E-2</v>
      </c>
      <c r="W3607">
        <v>-2.4056589999999999E-2</v>
      </c>
      <c r="X3607">
        <v>0.99755629999999995</v>
      </c>
      <c r="Y3607">
        <v>-0.40435929999999998</v>
      </c>
      <c r="Z3607">
        <v>2.7078600000000001E-2</v>
      </c>
      <c r="AA3607">
        <v>0.91419930000000005</v>
      </c>
      <c r="AB3607">
        <v>19</v>
      </c>
      <c r="AC3607">
        <v>-1.31240000000002</v>
      </c>
      <c r="AD3607">
        <v>-1.1148629557209999</v>
      </c>
      <c r="AE3607">
        <v>-32.979100000000003</v>
      </c>
      <c r="AF3607">
        <v>-13.360133442834501</v>
      </c>
      <c r="AG3607">
        <v>-1.1148629557209999</v>
      </c>
      <c r="AH3607">
        <v>30.139155165933602</v>
      </c>
      <c r="AI3607">
        <v>91.936829887698593</v>
      </c>
      <c r="AJ3607">
        <v>113.90682958391</v>
      </c>
      <c r="AK3607">
        <v>32.986432955635102</v>
      </c>
      <c r="AL3607">
        <v>91.378474094256006</v>
      </c>
      <c r="AM3607">
        <v>93.762085646993498</v>
      </c>
      <c r="AN3607">
        <v>0.99999997268253005</v>
      </c>
    </row>
    <row r="3608" spans="1:40" x14ac:dyDescent="0.25">
      <c r="A3608" t="str">
        <f>"20190312153954497"</f>
        <v>20190312153954497</v>
      </c>
      <c r="B3608" t="str">
        <f>"1552376394489139"</f>
        <v>1552376394489139</v>
      </c>
      <c r="C3608" t="s">
        <v>40</v>
      </c>
      <c r="D3608">
        <v>4.3441589999999897</v>
      </c>
      <c r="E3608">
        <v>0.36189909999999997</v>
      </c>
      <c r="F3608" t="s">
        <v>42</v>
      </c>
      <c r="G3608">
        <v>-492.09010000000001</v>
      </c>
      <c r="H3608" s="1">
        <v>-3.6684060000000001E-6</v>
      </c>
      <c r="I3608">
        <v>236.84389999999999</v>
      </c>
      <c r="J3608">
        <v>-490.84410000000003</v>
      </c>
      <c r="K3608">
        <v>1.1148670000000001</v>
      </c>
      <c r="L3608">
        <v>270.39859999999999</v>
      </c>
      <c r="M3608">
        <v>-0.43679509999999999</v>
      </c>
      <c r="N3608">
        <v>0</v>
      </c>
      <c r="O3608">
        <v>-0.89948899999999998</v>
      </c>
      <c r="P3608">
        <v>-0.37708249999999999</v>
      </c>
      <c r="Q3608">
        <v>-3.4429410000000001E-2</v>
      </c>
      <c r="R3608">
        <v>-0.92553969999999997</v>
      </c>
      <c r="S3608">
        <v>-0.1217041</v>
      </c>
      <c r="T3608">
        <v>-0.1058081</v>
      </c>
      <c r="U3608">
        <v>-3.1927490000000001</v>
      </c>
      <c r="V3608">
        <v>-6.4809599999999995E-2</v>
      </c>
      <c r="W3608">
        <v>-2.3845499999999999E-2</v>
      </c>
      <c r="X3608">
        <v>0.99761270000000002</v>
      </c>
      <c r="Y3608">
        <v>-0.40224579999999999</v>
      </c>
      <c r="Z3608">
        <v>2.6738020000000001E-2</v>
      </c>
      <c r="AA3608">
        <v>0.91514119999999999</v>
      </c>
      <c r="AB3608">
        <v>19</v>
      </c>
      <c r="AC3608">
        <v>-1.24599999999998</v>
      </c>
      <c r="AD3608">
        <v>-1.1148706684059999</v>
      </c>
      <c r="AE3608">
        <v>-33.554699999999997</v>
      </c>
      <c r="AF3608">
        <v>-13.521735791823801</v>
      </c>
      <c r="AG3608">
        <v>-1.1148706684059999</v>
      </c>
      <c r="AH3608">
        <v>30.694483229097699</v>
      </c>
      <c r="AI3608">
        <v>91.903764339692898</v>
      </c>
      <c r="AJ3608">
        <v>113.77476684948</v>
      </c>
      <c r="AK3608">
        <v>33.559373893630998</v>
      </c>
      <c r="AL3608">
        <v>91.366376025868405</v>
      </c>
      <c r="AM3608">
        <v>93.716979377966595</v>
      </c>
      <c r="AN3608">
        <v>0.99999999566185005</v>
      </c>
    </row>
    <row r="3609" spans="1:40" x14ac:dyDescent="0.25">
      <c r="A3609" t="str">
        <f>"20190312153954507"</f>
        <v>20190312153954507</v>
      </c>
      <c r="B3609" t="str">
        <f>"1552376394499875"</f>
        <v>1552376394499875</v>
      </c>
      <c r="C3609" t="s">
        <v>40</v>
      </c>
      <c r="D3609">
        <v>4.2479120000000004</v>
      </c>
      <c r="E3609">
        <v>0.37264560000000002</v>
      </c>
      <c r="F3609" t="s">
        <v>42</v>
      </c>
      <c r="G3609">
        <v>-491.99959999999999</v>
      </c>
      <c r="H3609" s="1">
        <v>-3.4744920000000001E-6</v>
      </c>
      <c r="I3609">
        <v>236.44800000000001</v>
      </c>
      <c r="J3609">
        <v>-490.87779999999998</v>
      </c>
      <c r="K3609">
        <v>1.1148750000000001</v>
      </c>
      <c r="L3609">
        <v>270.31670000000003</v>
      </c>
      <c r="M3609">
        <v>-0.43256800000000001</v>
      </c>
      <c r="N3609">
        <v>0</v>
      </c>
      <c r="O3609">
        <v>-0.90152940000000004</v>
      </c>
      <c r="P3609">
        <v>-0.37313849999999998</v>
      </c>
      <c r="Q3609">
        <v>-3.422145E-2</v>
      </c>
      <c r="R3609">
        <v>-0.92714450000000004</v>
      </c>
      <c r="S3609">
        <v>-0.10867309999999999</v>
      </c>
      <c r="T3609">
        <v>-0.1048567</v>
      </c>
      <c r="U3609">
        <v>-3.193146</v>
      </c>
      <c r="V3609">
        <v>-6.4379389999999995E-2</v>
      </c>
      <c r="W3609">
        <v>-2.3645349999999999E-2</v>
      </c>
      <c r="X3609">
        <v>0.99764529999999996</v>
      </c>
      <c r="Y3609">
        <v>-0.4016825</v>
      </c>
      <c r="Z3609">
        <v>2.6599029999999999E-2</v>
      </c>
      <c r="AA3609">
        <v>0.9153926</v>
      </c>
      <c r="AB3609">
        <v>19</v>
      </c>
      <c r="AC3609">
        <v>-1.1217999999999999</v>
      </c>
      <c r="AD3609">
        <v>-1.1148784744919999</v>
      </c>
      <c r="AE3609">
        <v>-33.868699999999997</v>
      </c>
      <c r="AF3609">
        <v>-13.625316657652601</v>
      </c>
      <c r="AG3609">
        <v>-1.1148784744919999</v>
      </c>
      <c r="AH3609">
        <v>30.987354568127301</v>
      </c>
      <c r="AI3609">
        <v>91.886367926048706</v>
      </c>
      <c r="AJ3609">
        <v>113.73536617607699</v>
      </c>
      <c r="AK3609">
        <v>33.868988044596698</v>
      </c>
      <c r="AL3609">
        <v>91.354905067080495</v>
      </c>
      <c r="AM3609">
        <v>93.692254008635402</v>
      </c>
      <c r="AN3609">
        <v>0.99999997652274197</v>
      </c>
    </row>
    <row r="3610" spans="1:40" x14ac:dyDescent="0.25">
      <c r="A3610" t="str">
        <f>"20190312153954520"</f>
        <v>20190312153954520</v>
      </c>
      <c r="B3610" t="str">
        <f>"1552376394509635"</f>
        <v>1552376394509635</v>
      </c>
      <c r="C3610" t="s">
        <v>40</v>
      </c>
      <c r="D3610">
        <v>4.124288</v>
      </c>
      <c r="E3610">
        <v>0.37121999999999999</v>
      </c>
      <c r="F3610" t="s">
        <v>42</v>
      </c>
      <c r="G3610">
        <v>-492.66</v>
      </c>
      <c r="H3610" s="1">
        <v>-4.2211519999999999E-6</v>
      </c>
      <c r="I3610">
        <v>238.0043</v>
      </c>
      <c r="J3610">
        <v>-490.91239999999999</v>
      </c>
      <c r="K3610">
        <v>1.114881</v>
      </c>
      <c r="L3610">
        <v>270.23219999999998</v>
      </c>
      <c r="M3610">
        <v>-0.42819499999999999</v>
      </c>
      <c r="N3610">
        <v>0</v>
      </c>
      <c r="O3610">
        <v>-0.90361480000000005</v>
      </c>
      <c r="P3610">
        <v>-0.36915569999999998</v>
      </c>
      <c r="Q3610">
        <v>-3.4167650000000001E-2</v>
      </c>
      <c r="R3610">
        <v>-0.92873919999999999</v>
      </c>
      <c r="S3610">
        <v>-0.17437739999999999</v>
      </c>
      <c r="T3610">
        <v>-0.1090825</v>
      </c>
      <c r="U3610">
        <v>-3.16153</v>
      </c>
      <c r="V3610">
        <v>-6.3829049999999998E-2</v>
      </c>
      <c r="W3610">
        <v>-2.3597969999999999E-2</v>
      </c>
      <c r="X3610">
        <v>0.99768179999999995</v>
      </c>
      <c r="Y3610">
        <v>-0.37781969999999998</v>
      </c>
      <c r="Z3610">
        <v>2.8222279999999999E-2</v>
      </c>
      <c r="AA3610">
        <v>0.92544899999999997</v>
      </c>
      <c r="AB3610">
        <v>19</v>
      </c>
      <c r="AC3610">
        <v>-1.74760000000003</v>
      </c>
      <c r="AD3610">
        <v>-1.1148852211519999</v>
      </c>
      <c r="AE3610">
        <v>-32.227899999999899</v>
      </c>
      <c r="AF3610">
        <v>-12.206893244263201</v>
      </c>
      <c r="AG3610">
        <v>-1.1148852211519999</v>
      </c>
      <c r="AH3610">
        <v>29.836251536093599</v>
      </c>
      <c r="AI3610">
        <v>91.980742599628101</v>
      </c>
      <c r="AJ3610">
        <v>112.250921968773</v>
      </c>
      <c r="AK3610">
        <v>32.256055516107899</v>
      </c>
      <c r="AL3610">
        <v>91.352189613103306</v>
      </c>
      <c r="AM3610">
        <v>93.660643821228504</v>
      </c>
      <c r="AN3610">
        <v>0.999999992931631</v>
      </c>
    </row>
    <row r="3611" spans="1:40" x14ac:dyDescent="0.25">
      <c r="A3611" t="str">
        <f>"20190312153954537"</f>
        <v>20190312153954537</v>
      </c>
      <c r="B3611" t="str">
        <f>"1552376394529155"</f>
        <v>1552376394529155</v>
      </c>
      <c r="C3611" t="s">
        <v>40</v>
      </c>
      <c r="D3611">
        <v>4.1658049999999998</v>
      </c>
      <c r="E3611">
        <v>0.37099339999999997</v>
      </c>
      <c r="F3611" t="s">
        <v>42</v>
      </c>
      <c r="G3611">
        <v>-492.4966</v>
      </c>
      <c r="H3611" s="1">
        <v>-3.8058679999999998E-6</v>
      </c>
      <c r="I3611">
        <v>236.91220000000001</v>
      </c>
      <c r="J3611">
        <v>-490.97050000000002</v>
      </c>
      <c r="K3611">
        <v>1.114892</v>
      </c>
      <c r="L3611">
        <v>270.08760000000001</v>
      </c>
      <c r="M3611">
        <v>-0.42070790000000002</v>
      </c>
      <c r="N3611">
        <v>0</v>
      </c>
      <c r="O3611">
        <v>-0.90712519999999996</v>
      </c>
      <c r="P3611">
        <v>-0.3616974</v>
      </c>
      <c r="Q3611">
        <v>-3.4095260000000002E-2</v>
      </c>
      <c r="R3611">
        <v>-0.93167199999999994</v>
      </c>
      <c r="S3611">
        <v>-0.15054319999999999</v>
      </c>
      <c r="T3611">
        <v>-0.1059489</v>
      </c>
      <c r="U3611">
        <v>-3.1664430000000001</v>
      </c>
      <c r="V3611">
        <v>-6.3578899999999994E-2</v>
      </c>
      <c r="W3611">
        <v>-2.3542779999999999E-2</v>
      </c>
      <c r="X3611">
        <v>0.99769909999999995</v>
      </c>
      <c r="Y3611">
        <v>-0.3771891</v>
      </c>
      <c r="Z3611">
        <v>2.7551849999999999E-2</v>
      </c>
      <c r="AA3611">
        <v>0.92572639999999995</v>
      </c>
      <c r="AB3611">
        <v>19</v>
      </c>
      <c r="AC3611">
        <v>-1.52609999999998</v>
      </c>
      <c r="AD3611">
        <v>-1.1148958058679901</v>
      </c>
      <c r="AE3611">
        <v>-33.175400000000003</v>
      </c>
      <c r="AF3611">
        <v>-12.559444144292801</v>
      </c>
      <c r="AG3611">
        <v>-1.1148958058679901</v>
      </c>
      <c r="AH3611">
        <v>30.703659717325301</v>
      </c>
      <c r="AI3611">
        <v>91.924896847124003</v>
      </c>
      <c r="AJ3611">
        <v>112.247195003629</v>
      </c>
      <c r="AK3611">
        <v>33.191826552765399</v>
      </c>
      <c r="AL3611">
        <v>91.349026548350196</v>
      </c>
      <c r="AM3611">
        <v>93.646273255463797</v>
      </c>
      <c r="AN3611">
        <v>1.00000001657807</v>
      </c>
    </row>
    <row r="3612" spans="1:40" x14ac:dyDescent="0.25">
      <c r="A3612" t="str">
        <f>"20190312153954553"</f>
        <v>20190312153954553</v>
      </c>
      <c r="B3612" t="str">
        <f>"1552376394549652"</f>
        <v>1552376394549652</v>
      </c>
      <c r="C3612" t="s">
        <v>40</v>
      </c>
      <c r="D3612">
        <v>4.1644350000000001</v>
      </c>
      <c r="E3612">
        <v>0.37240600000000001</v>
      </c>
      <c r="F3612" t="s">
        <v>42</v>
      </c>
      <c r="G3612">
        <v>-492.23770000000002</v>
      </c>
      <c r="H3612" s="1">
        <v>-3.9377579999999999E-6</v>
      </c>
      <c r="I3612">
        <v>237.39169999999999</v>
      </c>
      <c r="J3612">
        <v>-491.01569999999998</v>
      </c>
      <c r="K3612">
        <v>1.1148929999999999</v>
      </c>
      <c r="L3612">
        <v>269.97199999999998</v>
      </c>
      <c r="M3612">
        <v>-0.41472690000000001</v>
      </c>
      <c r="N3612">
        <v>0</v>
      </c>
      <c r="O3612">
        <v>-0.9098754</v>
      </c>
      <c r="P3612">
        <v>-0.35637000000000002</v>
      </c>
      <c r="Q3612">
        <v>-3.4251599999999903E-2</v>
      </c>
      <c r="R3612">
        <v>-0.93371700000000002</v>
      </c>
      <c r="S3612">
        <v>-0.1228027</v>
      </c>
      <c r="T3612">
        <v>-0.1080401</v>
      </c>
      <c r="U3612">
        <v>-3.1684269999999999</v>
      </c>
      <c r="V3612">
        <v>-6.2705179999999999E-2</v>
      </c>
      <c r="W3612">
        <v>-2.3702029999999999E-2</v>
      </c>
      <c r="X3612">
        <v>0.99775060000000004</v>
      </c>
      <c r="Y3612">
        <v>-0.37920880000000001</v>
      </c>
      <c r="Z3612">
        <v>2.8205609999999999E-2</v>
      </c>
      <c r="AA3612">
        <v>0.92488119999999996</v>
      </c>
      <c r="AB3612">
        <v>19</v>
      </c>
      <c r="AC3612">
        <v>-1.22200000000003</v>
      </c>
      <c r="AD3612">
        <v>-1.114896937758</v>
      </c>
      <c r="AE3612">
        <v>-32.580299999999902</v>
      </c>
      <c r="AF3612">
        <v>-12.3863708181718</v>
      </c>
      <c r="AG3612">
        <v>-1.114896937758</v>
      </c>
      <c r="AH3612">
        <v>30.117526681718601</v>
      </c>
      <c r="AI3612">
        <v>91.960807530351204</v>
      </c>
      <c r="AJ3612">
        <v>112.355790636563</v>
      </c>
      <c r="AK3612">
        <v>32.584207687944698</v>
      </c>
      <c r="AL3612">
        <v>91.358153480221603</v>
      </c>
      <c r="AM3612">
        <v>93.596112369854396</v>
      </c>
      <c r="AN3612">
        <v>0.99999999281265595</v>
      </c>
    </row>
    <row r="3613" spans="1:40" x14ac:dyDescent="0.25">
      <c r="A3613" t="str">
        <f>"20190312153954565"</f>
        <v>20190312153954565</v>
      </c>
      <c r="B3613" t="str">
        <f>"1552376394559411"</f>
        <v>1552376394559411</v>
      </c>
      <c r="C3613" t="s">
        <v>40</v>
      </c>
      <c r="D3613">
        <v>4.1654799999999996</v>
      </c>
      <c r="E3613">
        <v>0.37307750000000001</v>
      </c>
      <c r="F3613" t="s">
        <v>42</v>
      </c>
      <c r="G3613">
        <v>-492.19290000000001</v>
      </c>
      <c r="H3613" s="1">
        <v>-4.0437669999999999E-6</v>
      </c>
      <c r="I3613">
        <v>237.72649999999999</v>
      </c>
      <c r="J3613">
        <v>-491.05110000000002</v>
      </c>
      <c r="K3613">
        <v>1.1148979999999999</v>
      </c>
      <c r="L3613">
        <v>269.87990000000002</v>
      </c>
      <c r="M3613">
        <v>-0.4099603</v>
      </c>
      <c r="N3613">
        <v>0</v>
      </c>
      <c r="O3613">
        <v>-0.91203299999999998</v>
      </c>
      <c r="P3613">
        <v>-0.35185480000000002</v>
      </c>
      <c r="Q3613">
        <v>-3.4052970000000002E-2</v>
      </c>
      <c r="R3613">
        <v>-0.93543500000000002</v>
      </c>
      <c r="S3613">
        <v>-0.11553960000000001</v>
      </c>
      <c r="T3613">
        <v>-0.109426</v>
      </c>
      <c r="U3613">
        <v>-3.1648559999999999</v>
      </c>
      <c r="V3613">
        <v>-6.2309150000000001E-2</v>
      </c>
      <c r="W3613">
        <v>-2.3508299999999999E-2</v>
      </c>
      <c r="X3613">
        <v>0.99778</v>
      </c>
      <c r="Y3613">
        <v>-0.37644519999999998</v>
      </c>
      <c r="Z3613">
        <v>2.8730490000000001E-2</v>
      </c>
      <c r="AA3613">
        <v>0.92599330000000002</v>
      </c>
      <c r="AB3613">
        <v>19</v>
      </c>
      <c r="AC3613">
        <v>-1.1417999999999799</v>
      </c>
      <c r="AD3613">
        <v>-1.1149020437670001</v>
      </c>
      <c r="AE3613">
        <v>-32.153399999999998</v>
      </c>
      <c r="AF3613">
        <v>-12.126475936656099</v>
      </c>
      <c r="AG3613">
        <v>-1.1149020437670001</v>
      </c>
      <c r="AH3613">
        <v>29.7592318060853</v>
      </c>
      <c r="AI3613">
        <v>91.987036350925393</v>
      </c>
      <c r="AJ3613">
        <v>112.170216975738</v>
      </c>
      <c r="AK3613">
        <v>32.154413427985602</v>
      </c>
      <c r="AL3613">
        <v>91.347050466173499</v>
      </c>
      <c r="AM3613">
        <v>93.573354254568201</v>
      </c>
      <c r="AN3613">
        <v>0.99999999937130601</v>
      </c>
    </row>
    <row r="3614" spans="1:40" x14ac:dyDescent="0.25">
      <c r="A3614" t="str">
        <f>"20190312153954576"</f>
        <v>20190312153954576</v>
      </c>
      <c r="B3614" t="str">
        <f>"1552376394569171"</f>
        <v>1552376394569171</v>
      </c>
      <c r="C3614" t="s">
        <v>40</v>
      </c>
      <c r="D3614">
        <v>4.1831899999999997</v>
      </c>
      <c r="E3614">
        <v>0.37374279999999999</v>
      </c>
      <c r="F3614" t="s">
        <v>42</v>
      </c>
      <c r="G3614">
        <v>-492.12889999999999</v>
      </c>
      <c r="H3614" s="1">
        <v>-3.913667E-6</v>
      </c>
      <c r="I3614">
        <v>237.39160000000001</v>
      </c>
      <c r="J3614">
        <v>-491.08640000000003</v>
      </c>
      <c r="K3614">
        <v>1.1149100000000001</v>
      </c>
      <c r="L3614">
        <v>269.78739999999999</v>
      </c>
      <c r="M3614">
        <v>-0.40516960000000002</v>
      </c>
      <c r="N3614">
        <v>0</v>
      </c>
      <c r="O3614">
        <v>-0.91417159999999997</v>
      </c>
      <c r="P3614">
        <v>-0.34746199999999999</v>
      </c>
      <c r="Q3614">
        <v>-3.3950719999999997E-2</v>
      </c>
      <c r="R3614">
        <v>-0.93707949999999995</v>
      </c>
      <c r="S3614">
        <v>-0.10495</v>
      </c>
      <c r="T3614">
        <v>-0.1085665</v>
      </c>
      <c r="U3614">
        <v>-3.1636350000000002</v>
      </c>
      <c r="V3614">
        <v>-6.175833E-2</v>
      </c>
      <c r="W3614">
        <v>-2.3408410000000001E-2</v>
      </c>
      <c r="X3614">
        <v>0.99781660000000005</v>
      </c>
      <c r="Y3614">
        <v>-0.37466660000000002</v>
      </c>
      <c r="Z3614">
        <v>2.8638569999999999E-2</v>
      </c>
      <c r="AA3614">
        <v>0.92671720000000002</v>
      </c>
      <c r="AB3614">
        <v>19</v>
      </c>
      <c r="AC3614">
        <v>-1.04249999999996</v>
      </c>
      <c r="AD3614">
        <v>-1.1149139136669901</v>
      </c>
      <c r="AE3614">
        <v>-32.395799999999902</v>
      </c>
      <c r="AF3614">
        <v>-12.1591612026475</v>
      </c>
      <c r="AG3614">
        <v>-1.1149139136669901</v>
      </c>
      <c r="AH3614">
        <v>30.004129748475499</v>
      </c>
      <c r="AI3614">
        <v>91.972388468024604</v>
      </c>
      <c r="AJ3614">
        <v>112.060231620777</v>
      </c>
      <c r="AK3614">
        <v>32.393456687272597</v>
      </c>
      <c r="AL3614">
        <v>91.341325606318904</v>
      </c>
      <c r="AM3614">
        <v>93.541716580318493</v>
      </c>
      <c r="AN3614">
        <v>1.0000000061093299</v>
      </c>
    </row>
    <row r="3615" spans="1:40" x14ac:dyDescent="0.25">
      <c r="A3615" t="str">
        <f>"20190312153954588"</f>
        <v>20190312153954588</v>
      </c>
      <c r="B3615" t="str">
        <f>"1552376394578932"</f>
        <v>1552376394578932</v>
      </c>
      <c r="C3615" t="s">
        <v>40</v>
      </c>
      <c r="D3615">
        <v>4.1150129999999896</v>
      </c>
      <c r="E3615">
        <v>0.374469</v>
      </c>
      <c r="F3615" t="s">
        <v>42</v>
      </c>
      <c r="G3615">
        <v>-492.05669999999998</v>
      </c>
      <c r="H3615" s="1">
        <v>-3.9670500000000004E-6</v>
      </c>
      <c r="I3615">
        <v>237.57210000000001</v>
      </c>
      <c r="J3615">
        <v>-491.11989999999997</v>
      </c>
      <c r="K3615">
        <v>1.1149169999999999</v>
      </c>
      <c r="L3615">
        <v>269.69720000000001</v>
      </c>
      <c r="M3615">
        <v>-0.40049899999999999</v>
      </c>
      <c r="N3615">
        <v>0</v>
      </c>
      <c r="O3615">
        <v>-0.91622740000000003</v>
      </c>
      <c r="P3615">
        <v>-0.3434179</v>
      </c>
      <c r="Q3615">
        <v>-3.3839380000000002E-2</v>
      </c>
      <c r="R3615">
        <v>-0.93857279999999998</v>
      </c>
      <c r="S3615">
        <v>-9.5245360000000001E-2</v>
      </c>
      <c r="T3615">
        <v>-0.1094358</v>
      </c>
      <c r="U3615">
        <v>-3.16214</v>
      </c>
      <c r="V3615">
        <v>-6.0971980000000002E-2</v>
      </c>
      <c r="W3615">
        <v>-2.3294809999999999E-2</v>
      </c>
      <c r="X3615">
        <v>0.99786759999999997</v>
      </c>
      <c r="Y3615">
        <v>-0.37276130000000002</v>
      </c>
      <c r="Z3615">
        <v>2.9001249999999999E-2</v>
      </c>
      <c r="AA3615">
        <v>0.92747400000000002</v>
      </c>
      <c r="AB3615">
        <v>19</v>
      </c>
      <c r="AC3615">
        <v>-0.93680000000000496</v>
      </c>
      <c r="AD3615">
        <v>-1.11492096705</v>
      </c>
      <c r="AE3615">
        <v>-32.125100000000003</v>
      </c>
      <c r="AF3615">
        <v>-11.994082236420599</v>
      </c>
      <c r="AG3615">
        <v>-1.11492096705</v>
      </c>
      <c r="AH3615">
        <v>29.775157744361898</v>
      </c>
      <c r="AI3615">
        <v>91.9892320358245</v>
      </c>
      <c r="AJ3615">
        <v>111.94064998382299</v>
      </c>
      <c r="AK3615">
        <v>32.119481256060503</v>
      </c>
      <c r="AL3615">
        <v>91.334815053536403</v>
      </c>
      <c r="AM3615">
        <v>93.496555321719697</v>
      </c>
      <c r="AN3615">
        <v>0.99999998882390795</v>
      </c>
    </row>
    <row r="3616" spans="1:40" x14ac:dyDescent="0.25">
      <c r="A3616" t="str">
        <f>"20190312153954601"</f>
        <v>20190312153954601</v>
      </c>
      <c r="B3616" t="str">
        <f>"1552376394589667"</f>
        <v>1552376394589667</v>
      </c>
      <c r="C3616" t="s">
        <v>40</v>
      </c>
      <c r="D3616">
        <v>4.1629120000000004</v>
      </c>
      <c r="E3616">
        <v>0.37520969999999998</v>
      </c>
      <c r="F3616" t="s">
        <v>42</v>
      </c>
      <c r="G3616">
        <v>-492.0188</v>
      </c>
      <c r="H3616" s="1">
        <v>-3.7990099999999998E-6</v>
      </c>
      <c r="I3616">
        <v>237.1926</v>
      </c>
      <c r="J3616">
        <v>-491.15559999999999</v>
      </c>
      <c r="K3616">
        <v>1.1149230000000001</v>
      </c>
      <c r="L3616">
        <v>269.60000000000002</v>
      </c>
      <c r="M3616">
        <v>-0.39546239999999999</v>
      </c>
      <c r="N3616">
        <v>0</v>
      </c>
      <c r="O3616">
        <v>-0.91841260000000002</v>
      </c>
      <c r="P3616">
        <v>-0.33893250000000003</v>
      </c>
      <c r="Q3616">
        <v>-3.3547090000000002E-2</v>
      </c>
      <c r="R3616">
        <v>-0.9402123</v>
      </c>
      <c r="S3616">
        <v>-8.7402339999999995E-2</v>
      </c>
      <c r="T3616">
        <v>-0.108405</v>
      </c>
      <c r="U3616">
        <v>-3.1604610000000002</v>
      </c>
      <c r="V3616">
        <v>-6.0264829999999998E-2</v>
      </c>
      <c r="W3616">
        <v>-2.3001420000000002E-2</v>
      </c>
      <c r="X3616">
        <v>0.99791739999999995</v>
      </c>
      <c r="Y3616">
        <v>-0.3699498</v>
      </c>
      <c r="Z3616">
        <v>2.8875169999999999E-2</v>
      </c>
      <c r="AA3616">
        <v>0.92860290000000001</v>
      </c>
      <c r="AB3616">
        <v>19</v>
      </c>
      <c r="AC3616">
        <v>-0.86320000000000596</v>
      </c>
      <c r="AD3616">
        <v>-1.11492679900999</v>
      </c>
      <c r="AE3616">
        <v>-32.407400000000003</v>
      </c>
      <c r="AF3616">
        <v>-12.009698114843101</v>
      </c>
      <c r="AG3616">
        <v>-1.11492679900999</v>
      </c>
      <c r="AH3616">
        <v>30.0710844573088</v>
      </c>
      <c r="AI3616">
        <v>91.972025904450206</v>
      </c>
      <c r="AJ3616">
        <v>111.770628820507</v>
      </c>
      <c r="AK3616">
        <v>32.399784428533103</v>
      </c>
      <c r="AL3616">
        <v>91.318000489837303</v>
      </c>
      <c r="AM3616">
        <v>93.455929263358897</v>
      </c>
      <c r="AN3616">
        <v>1.0000000261398501</v>
      </c>
    </row>
    <row r="3617" spans="1:40" x14ac:dyDescent="0.25">
      <c r="A3617" t="str">
        <f>"20190312153954613"</f>
        <v>20190312153954613</v>
      </c>
      <c r="B3617" t="str">
        <f>"1552376394609187"</f>
        <v>1552376394609187</v>
      </c>
      <c r="C3617" t="s">
        <v>40</v>
      </c>
      <c r="D3617">
        <v>4.1667540000000001</v>
      </c>
      <c r="E3617">
        <v>0.3759671</v>
      </c>
      <c r="F3617" t="s">
        <v>42</v>
      </c>
      <c r="G3617">
        <v>-491.9665</v>
      </c>
      <c r="H3617" s="1">
        <v>-3.5621339999999998E-6</v>
      </c>
      <c r="I3617">
        <v>236.6729</v>
      </c>
      <c r="J3617">
        <v>-491.18920000000003</v>
      </c>
      <c r="K3617">
        <v>1.114933</v>
      </c>
      <c r="L3617">
        <v>269.50709999999998</v>
      </c>
      <c r="M3617">
        <v>-0.39064500000000002</v>
      </c>
      <c r="N3617">
        <v>0</v>
      </c>
      <c r="O3617">
        <v>-0.92047210000000002</v>
      </c>
      <c r="P3617">
        <v>-0.33487209999999901</v>
      </c>
      <c r="Q3617">
        <v>-3.3378100000000001E-2</v>
      </c>
      <c r="R3617">
        <v>-0.94167210000000001</v>
      </c>
      <c r="S3617">
        <v>-7.778931E-2</v>
      </c>
      <c r="T3617">
        <v>-0.10696170000000001</v>
      </c>
      <c r="U3617">
        <v>-3.1589049999999999</v>
      </c>
      <c r="V3617">
        <v>-5.9347129999999998E-2</v>
      </c>
      <c r="W3617">
        <v>-2.2827400000000001E-2</v>
      </c>
      <c r="X3617">
        <v>0.99797639999999999</v>
      </c>
      <c r="Y3617">
        <v>-0.36789270000000002</v>
      </c>
      <c r="Z3617">
        <v>2.8623510000000001E-2</v>
      </c>
      <c r="AA3617">
        <v>0.92942760000000002</v>
      </c>
      <c r="AB3617">
        <v>19</v>
      </c>
      <c r="AC3617">
        <v>-0.77729999999996802</v>
      </c>
      <c r="AD3617">
        <v>-1.1149365621339999</v>
      </c>
      <c r="AE3617">
        <v>-32.834199999999903</v>
      </c>
      <c r="AF3617">
        <v>-12.097864229548399</v>
      </c>
      <c r="AG3617">
        <v>-1.1149365621339999</v>
      </c>
      <c r="AH3617">
        <v>30.4934204368952</v>
      </c>
      <c r="AI3617">
        <v>91.946514994179395</v>
      </c>
      <c r="AJ3617">
        <v>111.640052934645</v>
      </c>
      <c r="AK3617">
        <v>32.824534915142799</v>
      </c>
      <c r="AL3617">
        <v>91.308027250247605</v>
      </c>
      <c r="AM3617">
        <v>93.403227030949594</v>
      </c>
      <c r="AN3617">
        <v>1.00000003349347</v>
      </c>
    </row>
    <row r="3618" spans="1:40" x14ac:dyDescent="0.25">
      <c r="A3618" t="str">
        <f>"20190312153954624"</f>
        <v>20190312153954624</v>
      </c>
      <c r="B3618" t="str">
        <f>"1552376394618948"</f>
        <v>1552376394618948</v>
      </c>
      <c r="C3618" t="s">
        <v>40</v>
      </c>
      <c r="D3618">
        <v>4.1393329999999997</v>
      </c>
      <c r="E3618">
        <v>0.38627699999999998</v>
      </c>
      <c r="F3618" t="s">
        <v>42</v>
      </c>
      <c r="G3618">
        <v>-491.92410000000001</v>
      </c>
      <c r="H3618" s="1">
        <v>-3.3303999999999999E-6</v>
      </c>
      <c r="I3618">
        <v>236.15899999999999</v>
      </c>
      <c r="J3618">
        <v>-491.22109999999998</v>
      </c>
      <c r="K3618">
        <v>1.11494</v>
      </c>
      <c r="L3618">
        <v>269.4171</v>
      </c>
      <c r="M3618">
        <v>-0.3859766</v>
      </c>
      <c r="N3618">
        <v>0</v>
      </c>
      <c r="O3618">
        <v>-0.92243949999999997</v>
      </c>
      <c r="P3618">
        <v>-0.3309995</v>
      </c>
      <c r="Q3618">
        <v>-3.3257179999999997E-2</v>
      </c>
      <c r="R3618">
        <v>-0.94304469999999996</v>
      </c>
      <c r="S3618">
        <v>-6.9580080000000002E-2</v>
      </c>
      <c r="T3618">
        <v>-0.1055603</v>
      </c>
      <c r="U3618">
        <v>-3.157349</v>
      </c>
      <c r="V3618">
        <v>-5.8395530000000001E-2</v>
      </c>
      <c r="W3618">
        <v>-2.2700069999999999E-2</v>
      </c>
      <c r="X3618">
        <v>0.99803540000000002</v>
      </c>
      <c r="Y3618">
        <v>-0.36558469999999998</v>
      </c>
      <c r="Z3618">
        <v>2.8376499999999999E-2</v>
      </c>
      <c r="AA3618">
        <v>0.93034539999999999</v>
      </c>
      <c r="AB3618">
        <v>19</v>
      </c>
      <c r="AC3618">
        <v>-0.70300000000003104</v>
      </c>
      <c r="AD3618">
        <v>-1.1149433304</v>
      </c>
      <c r="AE3618">
        <v>-33.258099999999899</v>
      </c>
      <c r="AF3618">
        <v>-12.175472698720499</v>
      </c>
      <c r="AG3618">
        <v>-1.1149433304</v>
      </c>
      <c r="AH3618">
        <v>30.917167964853299</v>
      </c>
      <c r="AI3618">
        <v>91.921788877944294</v>
      </c>
      <c r="AJ3618">
        <v>111.49498865241</v>
      </c>
      <c r="AK3618">
        <v>33.246902247190597</v>
      </c>
      <c r="AL3618">
        <v>91.300729937522306</v>
      </c>
      <c r="AM3618">
        <v>93.348585757808493</v>
      </c>
      <c r="AN3618">
        <v>0.999999995377572</v>
      </c>
    </row>
    <row r="3619" spans="1:40" x14ac:dyDescent="0.25">
      <c r="A3619" t="str">
        <f>"20190312153954634"</f>
        <v>20190312153954634</v>
      </c>
      <c r="B3619" t="str">
        <f>"1552376394629683"</f>
        <v>1552376394629683</v>
      </c>
      <c r="C3619" t="s">
        <v>40</v>
      </c>
      <c r="D3619">
        <v>4.130852</v>
      </c>
      <c r="E3619">
        <v>0.38778279999999998</v>
      </c>
      <c r="F3619" t="s">
        <v>42</v>
      </c>
      <c r="G3619">
        <v>-492.74450000000002</v>
      </c>
      <c r="H3619" s="1">
        <v>-2.6675409999999999E-6</v>
      </c>
      <c r="I3619">
        <v>234.10499999999999</v>
      </c>
      <c r="J3619">
        <v>-491.24950000000001</v>
      </c>
      <c r="K3619">
        <v>1.1149469999999999</v>
      </c>
      <c r="L3619">
        <v>269.33640000000003</v>
      </c>
      <c r="M3619">
        <v>-0.38179089999999999</v>
      </c>
      <c r="N3619">
        <v>0</v>
      </c>
      <c r="O3619">
        <v>-0.92417990000000005</v>
      </c>
      <c r="P3619">
        <v>-0.32748070000000001</v>
      </c>
      <c r="Q3619">
        <v>-3.3086909999999997E-2</v>
      </c>
      <c r="R3619">
        <v>-0.94427839999999996</v>
      </c>
      <c r="S3619">
        <v>-0.135040299999999</v>
      </c>
      <c r="T3619">
        <v>-9.8836300000000002E-2</v>
      </c>
      <c r="U3619">
        <v>-3.1303100000000001</v>
      </c>
      <c r="V3619">
        <v>-5.7596710000000002E-2</v>
      </c>
      <c r="W3619">
        <v>-2.2524349999999999E-2</v>
      </c>
      <c r="X3619">
        <v>0.99808580000000002</v>
      </c>
      <c r="Y3619">
        <v>-0.34163719999999997</v>
      </c>
      <c r="Z3619">
        <v>2.702075E-2</v>
      </c>
      <c r="AA3619">
        <v>0.93944340000000004</v>
      </c>
      <c r="AB3619">
        <v>19</v>
      </c>
      <c r="AC3619">
        <v>-1.4950000000000001</v>
      </c>
      <c r="AD3619">
        <v>-1.114949667541</v>
      </c>
      <c r="AE3619">
        <v>-35.231400000000001</v>
      </c>
      <c r="AF3619">
        <v>-12.058092309460999</v>
      </c>
      <c r="AG3619">
        <v>-1.114949667541</v>
      </c>
      <c r="AH3619">
        <v>33.099946805820501</v>
      </c>
      <c r="AI3619">
        <v>91.812785188874997</v>
      </c>
      <c r="AJ3619">
        <v>110.01634859561401</v>
      </c>
      <c r="AK3619">
        <v>35.2455271127101</v>
      </c>
      <c r="AL3619">
        <v>91.290659347665198</v>
      </c>
      <c r="AM3619">
        <v>93.302714571677598</v>
      </c>
      <c r="AN3619">
        <v>0.99999999575369303</v>
      </c>
    </row>
    <row r="3620" spans="1:40" x14ac:dyDescent="0.25">
      <c r="A3620" t="str">
        <f>"20190312153954645"</f>
        <v>20190312153954645</v>
      </c>
      <c r="B3620" t="str">
        <f>"1552376394639443"</f>
        <v>1552376394639443</v>
      </c>
      <c r="C3620" t="s">
        <v>40</v>
      </c>
      <c r="D3620">
        <v>4.1447039999999999</v>
      </c>
      <c r="E3620">
        <v>0.38779950000000002</v>
      </c>
      <c r="F3620" t="s">
        <v>42</v>
      </c>
      <c r="G3620">
        <v>-492.87610000000001</v>
      </c>
      <c r="H3620" s="1">
        <v>-1.6177359999999999E-6</v>
      </c>
      <c r="I3620">
        <v>231.5762</v>
      </c>
      <c r="J3620">
        <v>-491.2765</v>
      </c>
      <c r="K3620">
        <v>1.114951</v>
      </c>
      <c r="L3620">
        <v>269.25790000000001</v>
      </c>
      <c r="M3620">
        <v>-0.3777218</v>
      </c>
      <c r="N3620">
        <v>0</v>
      </c>
      <c r="O3620">
        <v>-0.92585030000000001</v>
      </c>
      <c r="P3620">
        <v>-0.32415290000000002</v>
      </c>
      <c r="Q3620">
        <v>-3.2650499999999999E-2</v>
      </c>
      <c r="R3620">
        <v>-0.94544130000000004</v>
      </c>
      <c r="S3620">
        <v>-0.13470460000000001</v>
      </c>
      <c r="T3620">
        <v>-9.2332600000000001E-2</v>
      </c>
      <c r="U3620">
        <v>-3.1270449999999999</v>
      </c>
      <c r="V3620">
        <v>-5.6732489999999997E-2</v>
      </c>
      <c r="W3620">
        <v>-2.2079580000000001E-2</v>
      </c>
      <c r="X3620">
        <v>0.99814519999999995</v>
      </c>
      <c r="Y3620">
        <v>-0.3375571</v>
      </c>
      <c r="Z3620">
        <v>2.536592E-2</v>
      </c>
      <c r="AA3620">
        <v>0.9409632</v>
      </c>
      <c r="AB3620">
        <v>19</v>
      </c>
      <c r="AC3620">
        <v>-1.5995999999999999</v>
      </c>
      <c r="AD3620">
        <v>-1.1149526177360001</v>
      </c>
      <c r="AE3620">
        <v>-37.681699999999999</v>
      </c>
      <c r="AF3620">
        <v>-12.7418868661695</v>
      </c>
      <c r="AG3620">
        <v>-1.1149526177360001</v>
      </c>
      <c r="AH3620">
        <v>35.463087440522898</v>
      </c>
      <c r="AI3620">
        <v>91.694768130280394</v>
      </c>
      <c r="AJ3620">
        <v>109.763362261719</v>
      </c>
      <c r="AK3620">
        <v>37.699195894133297</v>
      </c>
      <c r="AL3620">
        <v>91.265169606670597</v>
      </c>
      <c r="AM3620">
        <v>93.253072472418907</v>
      </c>
      <c r="AN3620">
        <v>0.99999996177880701</v>
      </c>
    </row>
    <row r="3621" spans="1:40" x14ac:dyDescent="0.25">
      <c r="A3621" t="str">
        <f>"20190312153954655"</f>
        <v>20190312153954655</v>
      </c>
      <c r="B3621" t="str">
        <f>"1552376394649203"</f>
        <v>1552376394649203</v>
      </c>
      <c r="C3621" t="s">
        <v>40</v>
      </c>
      <c r="D3621">
        <v>4.1574900000000001</v>
      </c>
      <c r="E3621">
        <v>0.38850810000000002</v>
      </c>
      <c r="F3621" t="s">
        <v>42</v>
      </c>
      <c r="G3621">
        <v>-492.72789999999998</v>
      </c>
      <c r="H3621" s="1">
        <v>-2.0355560000000001E-6</v>
      </c>
      <c r="I3621">
        <v>232.6421</v>
      </c>
      <c r="J3621">
        <v>-491.30619999999999</v>
      </c>
      <c r="K3621">
        <v>1.114957</v>
      </c>
      <c r="L3621">
        <v>269.17090000000002</v>
      </c>
      <c r="M3621">
        <v>-0.37320409999999998</v>
      </c>
      <c r="N3621">
        <v>0</v>
      </c>
      <c r="O3621">
        <v>-0.92768070000000002</v>
      </c>
      <c r="P3621">
        <v>-0.32013029999999998</v>
      </c>
      <c r="Q3621">
        <v>-3.2078299999999997E-2</v>
      </c>
      <c r="R3621">
        <v>-0.94683070000000003</v>
      </c>
      <c r="S3621">
        <v>-0.1239624</v>
      </c>
      <c r="T3621">
        <v>-9.5226050000000007E-2</v>
      </c>
      <c r="U3621">
        <v>-3.1272890000000002</v>
      </c>
      <c r="V3621">
        <v>-5.6124449999999999E-2</v>
      </c>
      <c r="W3621">
        <v>-2.1501909999999999E-2</v>
      </c>
      <c r="X3621">
        <v>0.99819230000000003</v>
      </c>
      <c r="Y3621">
        <v>-0.33619860000000001</v>
      </c>
      <c r="Z3621">
        <v>2.624978E-2</v>
      </c>
      <c r="AA3621">
        <v>0.94142519999999996</v>
      </c>
      <c r="AB3621">
        <v>19</v>
      </c>
      <c r="AC3621">
        <v>-1.42169999999998</v>
      </c>
      <c r="AD3621">
        <v>-1.114959035556</v>
      </c>
      <c r="AE3621">
        <v>-36.528799999999997</v>
      </c>
      <c r="AF3621">
        <v>-12.303152880852499</v>
      </c>
      <c r="AG3621">
        <v>-1.114959035556</v>
      </c>
      <c r="AH3621">
        <v>34.387847957029003</v>
      </c>
      <c r="AI3621">
        <v>91.748583616645604</v>
      </c>
      <c r="AJ3621">
        <v>109.685999494255</v>
      </c>
      <c r="AK3621">
        <v>36.539496323517398</v>
      </c>
      <c r="AL3621">
        <v>91.232063549250697</v>
      </c>
      <c r="AM3621">
        <v>93.218129268288394</v>
      </c>
      <c r="AN3621">
        <v>1.0000000769003601</v>
      </c>
    </row>
    <row r="3622" spans="1:40" x14ac:dyDescent="0.25">
      <c r="A3622" t="str">
        <f>"20190312153954665"</f>
        <v>20190312153954665</v>
      </c>
      <c r="B3622" t="str">
        <f>"1552376394658964"</f>
        <v>1552376394658964</v>
      </c>
      <c r="C3622" t="s">
        <v>40</v>
      </c>
      <c r="D3622">
        <v>4.2025899999999998</v>
      </c>
      <c r="E3622">
        <v>0.38895760000000001</v>
      </c>
      <c r="F3622" t="s">
        <v>42</v>
      </c>
      <c r="G3622">
        <v>-492.61169999999998</v>
      </c>
      <c r="H3622" s="1">
        <v>-2.534268E-6</v>
      </c>
      <c r="I3622">
        <v>233.8767</v>
      </c>
      <c r="J3622">
        <v>-491.3331</v>
      </c>
      <c r="K3622">
        <v>1.1149639999999901</v>
      </c>
      <c r="L3622">
        <v>269.09019999999998</v>
      </c>
      <c r="M3622">
        <v>-0.36902279999999998</v>
      </c>
      <c r="N3622">
        <v>0</v>
      </c>
      <c r="O3622">
        <v>-0.92935190000000001</v>
      </c>
      <c r="P3622">
        <v>-0.31677909999999998</v>
      </c>
      <c r="Q3622">
        <v>-3.1725580000000003E-2</v>
      </c>
      <c r="R3622">
        <v>-0.94796849999999999</v>
      </c>
      <c r="S3622">
        <v>-0.1156311</v>
      </c>
      <c r="T3622">
        <v>-9.8753930000000004E-2</v>
      </c>
      <c r="U3622">
        <v>-3.1260680000000001</v>
      </c>
      <c r="V3622">
        <v>-5.5169570000000001E-2</v>
      </c>
      <c r="W3622">
        <v>-2.1136439999999999E-2</v>
      </c>
      <c r="X3622">
        <v>0.99825330000000001</v>
      </c>
      <c r="Y3622">
        <v>-0.33444859999999998</v>
      </c>
      <c r="Z3622">
        <v>2.7321439999999999E-2</v>
      </c>
      <c r="AA3622">
        <v>0.94201789999999996</v>
      </c>
      <c r="AB3622">
        <v>19</v>
      </c>
      <c r="AC3622">
        <v>-1.27859999999998</v>
      </c>
      <c r="AD3622">
        <v>-1.11496653426799</v>
      </c>
      <c r="AE3622">
        <v>-35.213499999999897</v>
      </c>
      <c r="AF3622">
        <v>-11.795256350832901</v>
      </c>
      <c r="AG3622">
        <v>-1.11496653426799</v>
      </c>
      <c r="AH3622">
        <v>33.166470359930003</v>
      </c>
      <c r="AI3622">
        <v>91.814172631167494</v>
      </c>
      <c r="AJ3622">
        <v>109.57731800948299</v>
      </c>
      <c r="AK3622">
        <v>35.2191138288646</v>
      </c>
      <c r="AL3622">
        <v>91.211118945701102</v>
      </c>
      <c r="AM3622">
        <v>93.163296491706404</v>
      </c>
      <c r="AN3622">
        <v>1.00000004075537</v>
      </c>
    </row>
    <row r="3623" spans="1:40" x14ac:dyDescent="0.25">
      <c r="A3623" t="str">
        <f>"20190312153954676"</f>
        <v>20190312153954676</v>
      </c>
      <c r="B3623" t="str">
        <f>"1552376394669699"</f>
        <v>1552376394669699</v>
      </c>
      <c r="C3623" t="s">
        <v>40</v>
      </c>
      <c r="D3623">
        <v>4.172275</v>
      </c>
      <c r="E3623">
        <v>0.38944459999999997</v>
      </c>
      <c r="F3623" t="s">
        <v>42</v>
      </c>
      <c r="G3623">
        <v>-492.5478</v>
      </c>
      <c r="H3623" s="1">
        <v>-2.4534160000000001E-6</v>
      </c>
      <c r="I3623">
        <v>233.72790000000001</v>
      </c>
      <c r="J3623">
        <v>-491.36200000000002</v>
      </c>
      <c r="K3623">
        <v>1.1149720000000001</v>
      </c>
      <c r="L3623">
        <v>269.00299999999999</v>
      </c>
      <c r="M3623">
        <v>-0.36449140000000002</v>
      </c>
      <c r="N3623">
        <v>0</v>
      </c>
      <c r="O3623">
        <v>-0.93113829999999997</v>
      </c>
      <c r="P3623">
        <v>-0.31270619999999999</v>
      </c>
      <c r="Q3623">
        <v>-3.1707819999999998E-2</v>
      </c>
      <c r="R3623">
        <v>-0.94932090000000002</v>
      </c>
      <c r="S3623">
        <v>-0.10736080000000001</v>
      </c>
      <c r="T3623">
        <v>-9.854686E-2</v>
      </c>
      <c r="U3623">
        <v>-3.1255190000000002</v>
      </c>
      <c r="V3623">
        <v>-5.459315E-2</v>
      </c>
      <c r="W3623">
        <v>-2.1110380000000002E-2</v>
      </c>
      <c r="X3623">
        <v>0.99828550000000005</v>
      </c>
      <c r="Y3623">
        <v>-0.33234069999999999</v>
      </c>
      <c r="Z3623">
        <v>2.73656E-2</v>
      </c>
      <c r="AA3623">
        <v>0.94276230000000005</v>
      </c>
      <c r="AB3623">
        <v>19</v>
      </c>
      <c r="AC3623">
        <v>-1.1858000000000199</v>
      </c>
      <c r="AD3623">
        <v>-1.11497445341599</v>
      </c>
      <c r="AE3623">
        <v>-35.275099999999902</v>
      </c>
      <c r="AF3623">
        <v>-11.742357923797099</v>
      </c>
      <c r="AG3623">
        <v>-1.11497445341599</v>
      </c>
      <c r="AH3623">
        <v>33.247153454658303</v>
      </c>
      <c r="AI3623">
        <v>91.811183877436903</v>
      </c>
      <c r="AJ3623">
        <v>109.452398307561</v>
      </c>
      <c r="AK3623">
        <v>35.277462358847799</v>
      </c>
      <c r="AL3623">
        <v>91.209625534019693</v>
      </c>
      <c r="AM3623">
        <v>93.130211198974393</v>
      </c>
      <c r="AN3623">
        <v>0.99999999984045795</v>
      </c>
    </row>
    <row r="3624" spans="1:40" x14ac:dyDescent="0.25">
      <c r="A3624" t="str">
        <f>"20190312153954688"</f>
        <v>20190312153954688</v>
      </c>
      <c r="B3624" t="str">
        <f>"1552376394679459"</f>
        <v>1552376394679459</v>
      </c>
      <c r="C3624" t="s">
        <v>40</v>
      </c>
      <c r="D3624">
        <v>4.1650099999999997</v>
      </c>
      <c r="E3624">
        <v>0.38975530000000003</v>
      </c>
      <c r="F3624" t="s">
        <v>42</v>
      </c>
      <c r="G3624">
        <v>-492.42700000000002</v>
      </c>
      <c r="H3624" s="1">
        <v>-2.9220589999999999E-6</v>
      </c>
      <c r="I3624">
        <v>234.89519999999999</v>
      </c>
      <c r="J3624">
        <v>-491.39249999999998</v>
      </c>
      <c r="K3624">
        <v>1.1149770000000001</v>
      </c>
      <c r="L3624">
        <v>268.90839999999997</v>
      </c>
      <c r="M3624">
        <v>-0.35958509999999999</v>
      </c>
      <c r="N3624">
        <v>0</v>
      </c>
      <c r="O3624">
        <v>-0.93304399999999998</v>
      </c>
      <c r="P3624">
        <v>-0.30835240000000003</v>
      </c>
      <c r="Q3624">
        <v>-3.1272139999999997E-2</v>
      </c>
      <c r="R3624">
        <v>-0.9507582</v>
      </c>
      <c r="S3624">
        <v>-9.7564700000000004E-2</v>
      </c>
      <c r="T3624">
        <v>-0.1021425</v>
      </c>
      <c r="U3624">
        <v>-3.124603</v>
      </c>
      <c r="V3624">
        <v>-5.3923890000000002E-2</v>
      </c>
      <c r="W3624">
        <v>-2.0662670000000001E-2</v>
      </c>
      <c r="X3624">
        <v>0.99833119999999997</v>
      </c>
      <c r="Y3624">
        <v>-0.33031929999999998</v>
      </c>
      <c r="Z3624">
        <v>2.8476830000000002E-2</v>
      </c>
      <c r="AA3624">
        <v>0.94343960000000004</v>
      </c>
      <c r="AB3624">
        <v>19</v>
      </c>
      <c r="AC3624">
        <v>-1.03449999999998</v>
      </c>
      <c r="AD3624">
        <v>-1.114979922059</v>
      </c>
      <c r="AE3624">
        <v>-34.013199999999898</v>
      </c>
      <c r="AF3624">
        <v>-11.254041660186999</v>
      </c>
      <c r="AG3624">
        <v>-1.114979922059</v>
      </c>
      <c r="AH3624">
        <v>32.075413459735103</v>
      </c>
      <c r="AI3624">
        <v>91.878675324061405</v>
      </c>
      <c r="AJ3624">
        <v>109.334030191267</v>
      </c>
      <c r="AK3624">
        <v>34.0107157015076</v>
      </c>
      <c r="AL3624">
        <v>91.183968092351904</v>
      </c>
      <c r="AM3624">
        <v>93.091771446126302</v>
      </c>
      <c r="AN3624">
        <v>0.99999995836884903</v>
      </c>
    </row>
    <row r="3625" spans="1:40" x14ac:dyDescent="0.25">
      <c r="A3625" t="str">
        <f>"20190312153954698"</f>
        <v>20190312153954698</v>
      </c>
      <c r="B3625" t="str">
        <f>"1552376394689220"</f>
        <v>1552376394689220</v>
      </c>
      <c r="C3625" t="s">
        <v>40</v>
      </c>
      <c r="D3625">
        <v>4.1529999999999996</v>
      </c>
      <c r="E3625">
        <v>0.39043280000000002</v>
      </c>
      <c r="F3625" t="s">
        <v>42</v>
      </c>
      <c r="G3625">
        <v>-492.35359999999997</v>
      </c>
      <c r="H3625" s="1">
        <v>-2.5251889999999999E-6</v>
      </c>
      <c r="I3625">
        <v>234.01560000000001</v>
      </c>
      <c r="J3625">
        <v>-491.4196</v>
      </c>
      <c r="K3625">
        <v>1.1149830000000001</v>
      </c>
      <c r="L3625">
        <v>268.82350000000002</v>
      </c>
      <c r="M3625">
        <v>-0.35517120000000002</v>
      </c>
      <c r="N3625">
        <v>0</v>
      </c>
      <c r="O3625">
        <v>-0.93473300000000004</v>
      </c>
      <c r="P3625">
        <v>-0.30465710000000001</v>
      </c>
      <c r="Q3625">
        <v>-3.140105E-2</v>
      </c>
      <c r="R3625">
        <v>-0.95194460000000003</v>
      </c>
      <c r="S3625">
        <v>-8.6059570000000002E-2</v>
      </c>
      <c r="T3625">
        <v>-9.9831100000000006E-2</v>
      </c>
      <c r="U3625">
        <v>-3.1241759999999998</v>
      </c>
      <c r="V3625">
        <v>-5.3080200000000001E-2</v>
      </c>
      <c r="W3625">
        <v>-2.077727E-2</v>
      </c>
      <c r="X3625">
        <v>0.99837410000000004</v>
      </c>
      <c r="Y3625">
        <v>-0.32932509999999998</v>
      </c>
      <c r="Z3625">
        <v>2.7923880000000002E-2</v>
      </c>
      <c r="AA3625">
        <v>0.94380359999999996</v>
      </c>
      <c r="AB3625">
        <v>19</v>
      </c>
      <c r="AC3625">
        <v>-0.93399999999996897</v>
      </c>
      <c r="AD3625">
        <v>-1.114985525189</v>
      </c>
      <c r="AE3625">
        <v>-34.807899999999997</v>
      </c>
      <c r="AF3625">
        <v>-11.478686700113</v>
      </c>
      <c r="AG3625">
        <v>-1.114985525189</v>
      </c>
      <c r="AH3625">
        <v>32.836251970843499</v>
      </c>
      <c r="AI3625">
        <v>91.835921673603593</v>
      </c>
      <c r="AJ3625">
        <v>109.268278412494</v>
      </c>
      <c r="AK3625">
        <v>34.802627552721603</v>
      </c>
      <c r="AL3625">
        <v>91.1905355218491</v>
      </c>
      <c r="AM3625">
        <v>93.043358904018007</v>
      </c>
      <c r="AN3625">
        <v>1.00000002306575</v>
      </c>
    </row>
    <row r="3626" spans="1:40" x14ac:dyDescent="0.25">
      <c r="A3626" t="str">
        <f>"20190312153954709"</f>
        <v>20190312153954709</v>
      </c>
      <c r="B3626" t="str">
        <f>"1552376394698980"</f>
        <v>1552376394698980</v>
      </c>
      <c r="C3626" t="s">
        <v>40</v>
      </c>
      <c r="D3626">
        <v>4.1689109999999996</v>
      </c>
      <c r="E3626">
        <v>0.39100360000000001</v>
      </c>
      <c r="F3626" t="s">
        <v>42</v>
      </c>
      <c r="G3626">
        <v>-492.30509999999998</v>
      </c>
      <c r="H3626" s="1">
        <v>-2.4413269999999999E-6</v>
      </c>
      <c r="I3626">
        <v>233.8502</v>
      </c>
      <c r="J3626">
        <v>-491.44670000000002</v>
      </c>
      <c r="K3626">
        <v>1.114992</v>
      </c>
      <c r="L3626">
        <v>268.73680000000002</v>
      </c>
      <c r="M3626">
        <v>-0.35066819999999999</v>
      </c>
      <c r="N3626">
        <v>0</v>
      </c>
      <c r="O3626">
        <v>-0.93643149999999997</v>
      </c>
      <c r="P3626">
        <v>-0.30068529999999999</v>
      </c>
      <c r="Q3626">
        <v>-3.1496000000000003E-2</v>
      </c>
      <c r="R3626">
        <v>-0.95320340000000003</v>
      </c>
      <c r="S3626">
        <v>-7.9071039999999995E-2</v>
      </c>
      <c r="T3626">
        <v>-9.9559190000000006E-2</v>
      </c>
      <c r="U3626">
        <v>-3.122833</v>
      </c>
      <c r="V3626">
        <v>-5.2435990000000002E-2</v>
      </c>
      <c r="W3626">
        <v>-2.085822E-2</v>
      </c>
      <c r="X3626">
        <v>0.99840640000000003</v>
      </c>
      <c r="Y3626">
        <v>-0.32687919999999998</v>
      </c>
      <c r="Z3626">
        <v>2.795477E-2</v>
      </c>
      <c r="AA3626">
        <v>0.94465259999999995</v>
      </c>
      <c r="AB3626">
        <v>19</v>
      </c>
      <c r="AC3626">
        <v>-0.85839999999995997</v>
      </c>
      <c r="AD3626">
        <v>-1.1149944413270001</v>
      </c>
      <c r="AE3626">
        <v>-34.886600000000001</v>
      </c>
      <c r="AF3626">
        <v>-11.418862164361499</v>
      </c>
      <c r="AG3626">
        <v>-1.1149944413270001</v>
      </c>
      <c r="AH3626">
        <v>32.938407278388397</v>
      </c>
      <c r="AI3626">
        <v>91.831894117045493</v>
      </c>
      <c r="AJ3626">
        <v>109.120059119953</v>
      </c>
      <c r="AK3626">
        <v>34.879396493773598</v>
      </c>
      <c r="AL3626">
        <v>91.195174685104107</v>
      </c>
      <c r="AM3626">
        <v>93.006394146986196</v>
      </c>
      <c r="AN3626">
        <v>0.99999996897490295</v>
      </c>
    </row>
    <row r="3627" spans="1:40" x14ac:dyDescent="0.25">
      <c r="A3627" t="str">
        <f>"20190312153954721"</f>
        <v>20190312153954721</v>
      </c>
      <c r="B3627" t="str">
        <f>"1552376394709715"</f>
        <v>1552376394709715</v>
      </c>
      <c r="C3627" t="s">
        <v>40</v>
      </c>
      <c r="D3627">
        <v>4.1836209999999996</v>
      </c>
      <c r="E3627">
        <v>0.39160889999999998</v>
      </c>
      <c r="F3627" t="s">
        <v>42</v>
      </c>
      <c r="G3627">
        <v>-492.2389</v>
      </c>
      <c r="H3627" s="1">
        <v>-2.234286E-6</v>
      </c>
      <c r="I3627">
        <v>233.40870000000001</v>
      </c>
      <c r="J3627">
        <v>-491.47359999999998</v>
      </c>
      <c r="K3627">
        <v>1.115002</v>
      </c>
      <c r="L3627">
        <v>268.64949999999999</v>
      </c>
      <c r="M3627">
        <v>-0.34613549999999998</v>
      </c>
      <c r="N3627">
        <v>0</v>
      </c>
      <c r="O3627">
        <v>-0.93811650000000002</v>
      </c>
      <c r="P3627">
        <v>-0.2963884</v>
      </c>
      <c r="Q3627">
        <v>-3.1603949999999999E-2</v>
      </c>
      <c r="R3627">
        <v>-0.95454479999999997</v>
      </c>
      <c r="S3627">
        <v>-7.0007319999999998E-2</v>
      </c>
      <c r="T3627">
        <v>-9.85322E-2</v>
      </c>
      <c r="U3627">
        <v>-3.1219480000000002</v>
      </c>
      <c r="V3627">
        <v>-5.2102139999999998E-2</v>
      </c>
      <c r="W3627">
        <v>-2.0955350000000001E-2</v>
      </c>
      <c r="X3627">
        <v>0.99842180000000003</v>
      </c>
      <c r="Y3627">
        <v>-0.32504229999999901</v>
      </c>
      <c r="Z3627">
        <v>2.7764480000000001E-2</v>
      </c>
      <c r="AA3627">
        <v>0.94529180000000002</v>
      </c>
      <c r="AB3627">
        <v>19</v>
      </c>
      <c r="AC3627">
        <v>-0.76530000000002396</v>
      </c>
      <c r="AD3627">
        <v>-1.115004234286</v>
      </c>
      <c r="AE3627">
        <v>-35.240799999999901</v>
      </c>
      <c r="AF3627">
        <v>-11.469407960079099</v>
      </c>
      <c r="AG3627">
        <v>-1.115004234286</v>
      </c>
      <c r="AH3627">
        <v>33.293687206836502</v>
      </c>
      <c r="AI3627">
        <v>91.813594812373495</v>
      </c>
      <c r="AJ3627">
        <v>109.008418475196</v>
      </c>
      <c r="AK3627">
        <v>35.231522266627501</v>
      </c>
      <c r="AL3627">
        <v>91.200741093554697</v>
      </c>
      <c r="AM3627">
        <v>92.987241792729606</v>
      </c>
      <c r="AN3627">
        <v>0.99999992520071801</v>
      </c>
    </row>
    <row r="3628" spans="1:40" x14ac:dyDescent="0.25">
      <c r="A3628" t="str">
        <f>"20190312153954732"</f>
        <v>20190312153954732</v>
      </c>
      <c r="B3628" t="str">
        <f>"1552376394729235"</f>
        <v>1552376394729235</v>
      </c>
      <c r="C3628" t="s">
        <v>40</v>
      </c>
      <c r="D3628">
        <v>4.1319269999999904</v>
      </c>
      <c r="E3628">
        <v>0.39277319999999999</v>
      </c>
      <c r="F3628" t="s">
        <v>42</v>
      </c>
      <c r="G3628">
        <v>-492.16379999999998</v>
      </c>
      <c r="H3628" s="1">
        <v>-2.2167630000000001E-6</v>
      </c>
      <c r="I3628">
        <v>233.4144</v>
      </c>
      <c r="J3628">
        <v>-491.50139999999999</v>
      </c>
      <c r="K3628">
        <v>1.1150100000000001</v>
      </c>
      <c r="L3628">
        <v>268.5575</v>
      </c>
      <c r="M3628">
        <v>-0.34135579999999999</v>
      </c>
      <c r="N3628">
        <v>0</v>
      </c>
      <c r="O3628">
        <v>-0.93986599999999998</v>
      </c>
      <c r="P3628">
        <v>-0.29181099999999999</v>
      </c>
      <c r="Q3628">
        <v>-3.142023E-2</v>
      </c>
      <c r="R3628">
        <v>-0.95596000000000003</v>
      </c>
      <c r="S3628">
        <v>-6.1126710000000001E-2</v>
      </c>
      <c r="T3628">
        <v>-9.8751539999999999E-2</v>
      </c>
      <c r="U3628">
        <v>-3.1206360000000002</v>
      </c>
      <c r="V3628">
        <v>-5.1808130000000001E-2</v>
      </c>
      <c r="W3628">
        <v>-2.075902E-2</v>
      </c>
      <c r="X3628">
        <v>0.99844129999999998</v>
      </c>
      <c r="Y3628">
        <v>-0.32290799999999997</v>
      </c>
      <c r="Z3628">
        <v>2.7932660000000002E-2</v>
      </c>
      <c r="AA3628">
        <v>0.94601809999999997</v>
      </c>
      <c r="AB3628">
        <v>19</v>
      </c>
      <c r="AC3628">
        <v>-0.662399999999991</v>
      </c>
      <c r="AD3628">
        <v>-1.1150122167630001</v>
      </c>
      <c r="AE3628">
        <v>-35.143099999999997</v>
      </c>
      <c r="AF3628">
        <v>-11.3630279012116</v>
      </c>
      <c r="AG3628">
        <v>-1.1150122167630001</v>
      </c>
      <c r="AH3628">
        <v>33.224615754005001</v>
      </c>
      <c r="AI3628">
        <v>91.818762369349599</v>
      </c>
      <c r="AJ3628">
        <v>108.881011126812</v>
      </c>
      <c r="AK3628">
        <v>35.131705727569198</v>
      </c>
      <c r="AL3628">
        <v>91.189489646739801</v>
      </c>
      <c r="AM3628">
        <v>92.9703572877836</v>
      </c>
      <c r="AN3628">
        <v>1.00000002439557</v>
      </c>
    </row>
    <row r="3629" spans="1:40" x14ac:dyDescent="0.25">
      <c r="A3629" t="str">
        <f>"20190312153954744"</f>
        <v>20190312153954744</v>
      </c>
      <c r="B3629" t="str">
        <f>"1552376394738996"</f>
        <v>1552376394738996</v>
      </c>
      <c r="C3629" t="s">
        <v>40</v>
      </c>
      <c r="D3629">
        <v>4.1380520000000001</v>
      </c>
      <c r="E3629">
        <v>0.39277319999999999</v>
      </c>
      <c r="F3629" t="s">
        <v>42</v>
      </c>
      <c r="G3629">
        <v>-492.15499999999997</v>
      </c>
      <c r="H3629" s="1">
        <v>-1.5509710000000001E-6</v>
      </c>
      <c r="I3629">
        <v>231.86789999999999</v>
      </c>
      <c r="J3629">
        <v>-491.53089999999997</v>
      </c>
      <c r="K3629">
        <v>1.115019</v>
      </c>
      <c r="L3629">
        <v>268.4579</v>
      </c>
      <c r="M3629">
        <v>-0.33618049999999999</v>
      </c>
      <c r="N3629">
        <v>0</v>
      </c>
      <c r="O3629">
        <v>-0.9417295</v>
      </c>
      <c r="P3629">
        <v>-0.28704570000000001</v>
      </c>
      <c r="Q3629">
        <v>-3.112146E-2</v>
      </c>
      <c r="R3629">
        <v>-0.95741129999999997</v>
      </c>
      <c r="S3629">
        <v>-5.5541989999999999E-2</v>
      </c>
      <c r="T3629">
        <v>-9.4762209999999999E-2</v>
      </c>
      <c r="U3629">
        <v>-3.1181640000000002</v>
      </c>
      <c r="V3629">
        <v>-5.1296660000000001E-2</v>
      </c>
      <c r="W3629">
        <v>-2.0443010000000001E-2</v>
      </c>
      <c r="X3629">
        <v>0.99847419999999998</v>
      </c>
      <c r="Y3629">
        <v>-0.31937850000000001</v>
      </c>
      <c r="Z3629">
        <v>2.6929600000000001E-2</v>
      </c>
      <c r="AA3629">
        <v>0.94724450000000004</v>
      </c>
      <c r="AB3629">
        <v>19</v>
      </c>
      <c r="AC3629">
        <v>-0.62409999999999799</v>
      </c>
      <c r="AD3629">
        <v>-1.1150205509710001</v>
      </c>
      <c r="AE3629">
        <v>-36.590000000000003</v>
      </c>
      <c r="AF3629">
        <v>-11.7029975661056</v>
      </c>
      <c r="AG3629">
        <v>-1.1150205509710001</v>
      </c>
      <c r="AH3629">
        <v>34.637759243817499</v>
      </c>
      <c r="AI3629">
        <v>91.746820718507095</v>
      </c>
      <c r="AJ3629">
        <v>108.668475967172</v>
      </c>
      <c r="AK3629">
        <v>36.578378699636602</v>
      </c>
      <c r="AL3629">
        <v>91.171379797718004</v>
      </c>
      <c r="AM3629">
        <v>92.940987767416004</v>
      </c>
      <c r="AN3629">
        <v>0.99999999602532696</v>
      </c>
    </row>
    <row r="3630" spans="1:40" x14ac:dyDescent="0.25">
      <c r="A3630" t="str">
        <f>"20190312153954755"</f>
        <v>20190312153954755</v>
      </c>
      <c r="B3630" t="str">
        <f>"1552376394749731"</f>
        <v>1552376394749731</v>
      </c>
      <c r="C3630" t="s">
        <v>40</v>
      </c>
      <c r="D3630">
        <v>4.1720839999999999</v>
      </c>
      <c r="E3630">
        <v>0.40281139999999999</v>
      </c>
      <c r="F3630" t="s">
        <v>42</v>
      </c>
      <c r="G3630">
        <v>-492.00170000000003</v>
      </c>
      <c r="H3630" s="1">
        <v>-1.244825E-6</v>
      </c>
      <c r="I3630">
        <v>231.24930000000001</v>
      </c>
      <c r="J3630">
        <v>-491.55759999999998</v>
      </c>
      <c r="K3630">
        <v>1.115027</v>
      </c>
      <c r="L3630">
        <v>268.36660000000001</v>
      </c>
      <c r="M3630">
        <v>-0.33143149999999999</v>
      </c>
      <c r="N3630">
        <v>0</v>
      </c>
      <c r="O3630">
        <v>-0.94341090000000005</v>
      </c>
      <c r="P3630">
        <v>-0.28217100000000001</v>
      </c>
      <c r="Q3630">
        <v>-3.1072579999999999E-2</v>
      </c>
      <c r="R3630">
        <v>-0.95886059999999995</v>
      </c>
      <c r="S3630">
        <v>-3.9459229999999998E-2</v>
      </c>
      <c r="T3630">
        <v>-9.3454960000000004E-2</v>
      </c>
      <c r="U3630">
        <v>-3.1186219999999998</v>
      </c>
      <c r="V3630">
        <v>-5.1346709999999997E-2</v>
      </c>
      <c r="W3630">
        <v>-2.0384610000000001E-2</v>
      </c>
      <c r="X3630">
        <v>0.99847280000000005</v>
      </c>
      <c r="Y3630">
        <v>-0.31949050000000001</v>
      </c>
      <c r="Z3630">
        <v>2.6629699999999999E-2</v>
      </c>
      <c r="AA3630">
        <v>0.94721520000000003</v>
      </c>
      <c r="AB3630">
        <v>19</v>
      </c>
      <c r="AC3630">
        <v>-0.44410000000004801</v>
      </c>
      <c r="AD3630">
        <v>-1.115028244825</v>
      </c>
      <c r="AE3630">
        <v>-37.1173</v>
      </c>
      <c r="AF3630">
        <v>-11.872927272407599</v>
      </c>
      <c r="AG3630">
        <v>-1.115028244825</v>
      </c>
      <c r="AH3630">
        <v>35.134620640727498</v>
      </c>
      <c r="AI3630">
        <v>91.722114110217504</v>
      </c>
      <c r="AJ3630">
        <v>108.67148526472501</v>
      </c>
      <c r="AK3630">
        <v>37.103251307270597</v>
      </c>
      <c r="AL3630">
        <v>91.168033051743606</v>
      </c>
      <c r="AM3630">
        <v>92.943856355925902</v>
      </c>
      <c r="AN3630">
        <v>0.99999997464625701</v>
      </c>
    </row>
    <row r="3631" spans="1:40" x14ac:dyDescent="0.25">
      <c r="A3631" t="str">
        <f>"20190312153954768"</f>
        <v>20190312153954768</v>
      </c>
      <c r="B3631" t="str">
        <f>"1552376394759492"</f>
        <v>1552376394759492</v>
      </c>
      <c r="C3631" t="s">
        <v>40</v>
      </c>
      <c r="D3631">
        <v>4.194464</v>
      </c>
      <c r="E3631">
        <v>0.40325119999999998</v>
      </c>
      <c r="F3631" t="s">
        <v>42</v>
      </c>
      <c r="G3631">
        <v>-492.75080000000003</v>
      </c>
      <c r="H3631" s="1">
        <v>-1.592692E-6</v>
      </c>
      <c r="I3631">
        <v>231.59559999999999</v>
      </c>
      <c r="J3631">
        <v>-491.58479999999997</v>
      </c>
      <c r="K3631">
        <v>1.115035</v>
      </c>
      <c r="L3631">
        <v>268.27089999999998</v>
      </c>
      <c r="M3631">
        <v>-0.32645930000000001</v>
      </c>
      <c r="N3631">
        <v>0</v>
      </c>
      <c r="O3631">
        <v>-0.94514299999999996</v>
      </c>
      <c r="P3631">
        <v>-0.27739940000000002</v>
      </c>
      <c r="Q3631">
        <v>-3.0888829999999999E-2</v>
      </c>
      <c r="R3631">
        <v>-0.96025819999999995</v>
      </c>
      <c r="S3631">
        <v>-0.10046389999999999</v>
      </c>
      <c r="T3631">
        <v>-9.3884830000000002E-2</v>
      </c>
      <c r="U3631">
        <v>-3.0960999999999999</v>
      </c>
      <c r="V3631">
        <v>-5.1058390000000002E-2</v>
      </c>
      <c r="W3631">
        <v>-2.018611E-2</v>
      </c>
      <c r="X3631">
        <v>0.99849160000000003</v>
      </c>
      <c r="Y3631">
        <v>-0.29566350000000002</v>
      </c>
      <c r="Z3631">
        <v>2.7138610000000001E-2</v>
      </c>
      <c r="AA3631">
        <v>0.95490660000000005</v>
      </c>
      <c r="AB3631">
        <v>19</v>
      </c>
      <c r="AC3631">
        <v>-1.1660000000000501</v>
      </c>
      <c r="AD3631">
        <v>-1.1150365926920001</v>
      </c>
      <c r="AE3631">
        <v>-36.675299999999901</v>
      </c>
      <c r="AF3631">
        <v>-10.8616277824754</v>
      </c>
      <c r="AG3631">
        <v>-1.1150365926920001</v>
      </c>
      <c r="AH3631">
        <v>35.013983703503101</v>
      </c>
      <c r="AI3631">
        <v>91.742150534160402</v>
      </c>
      <c r="AJ3631">
        <v>107.234323027448</v>
      </c>
      <c r="AK3631">
        <v>36.6769317075088</v>
      </c>
      <c r="AL3631">
        <v>91.156657519170395</v>
      </c>
      <c r="AM3631">
        <v>92.927299942306007</v>
      </c>
      <c r="AN3631">
        <v>0.999999956748441</v>
      </c>
    </row>
    <row r="3632" spans="1:40" x14ac:dyDescent="0.25">
      <c r="A3632" t="str">
        <f>"20190312153954780"</f>
        <v>20190312153954780</v>
      </c>
      <c r="B3632" t="str">
        <f>"1552376394769251"</f>
        <v>1552376394769251</v>
      </c>
      <c r="C3632" t="s">
        <v>40</v>
      </c>
      <c r="D3632">
        <v>4.1757439999999999</v>
      </c>
      <c r="E3632">
        <v>0.4040011</v>
      </c>
      <c r="F3632" t="s">
        <v>42</v>
      </c>
      <c r="G3632">
        <v>-492.47500000000002</v>
      </c>
      <c r="H3632" s="1">
        <v>-3.7082610000000001E-6</v>
      </c>
      <c r="I3632">
        <v>236.69810000000001</v>
      </c>
      <c r="J3632">
        <v>-491.61380000000003</v>
      </c>
      <c r="K3632">
        <v>1.115038</v>
      </c>
      <c r="L3632">
        <v>268.16750000000002</v>
      </c>
      <c r="M3632">
        <v>-0.32107839999999999</v>
      </c>
      <c r="N3632">
        <v>0</v>
      </c>
      <c r="O3632">
        <v>-0.94698459999999995</v>
      </c>
      <c r="P3632">
        <v>-0.27174160000000003</v>
      </c>
      <c r="Q3632">
        <v>-3.080782E-2</v>
      </c>
      <c r="R3632">
        <v>-0.96187699999999998</v>
      </c>
      <c r="S3632">
        <v>-8.7280269999999993E-2</v>
      </c>
      <c r="T3632">
        <v>-0.1093204</v>
      </c>
      <c r="U3632">
        <v>-3.095459</v>
      </c>
      <c r="V3632">
        <v>-5.1258930000000001E-2</v>
      </c>
      <c r="W3632">
        <v>-2.0096079999999999E-2</v>
      </c>
      <c r="X3632">
        <v>0.99848320000000002</v>
      </c>
      <c r="Y3632">
        <v>-0.29428939999999998</v>
      </c>
      <c r="Z3632">
        <v>3.1708050000000002E-2</v>
      </c>
      <c r="AA3632">
        <v>0.95519019999999999</v>
      </c>
      <c r="AB3632">
        <v>19</v>
      </c>
      <c r="AC3632">
        <v>-0.86119999999999597</v>
      </c>
      <c r="AD3632">
        <v>-1.115041708261</v>
      </c>
      <c r="AE3632">
        <v>-31.4694</v>
      </c>
      <c r="AF3632">
        <v>-9.2775608842484196</v>
      </c>
      <c r="AG3632">
        <v>-1.115041708261</v>
      </c>
      <c r="AH3632">
        <v>30.041799235925101</v>
      </c>
      <c r="AI3632">
        <v>92.031071646229506</v>
      </c>
      <c r="AJ3632">
        <v>107.161825502369</v>
      </c>
      <c r="AK3632">
        <v>31.461502750245899</v>
      </c>
      <c r="AL3632">
        <v>91.151498065649903</v>
      </c>
      <c r="AM3632">
        <v>92.938801946248702</v>
      </c>
      <c r="AN3632">
        <v>1.0000000155091699</v>
      </c>
    </row>
    <row r="3633" spans="1:40" x14ac:dyDescent="0.25">
      <c r="A3633" t="str">
        <f>"20190312153954800"</f>
        <v>20190312153954800</v>
      </c>
      <c r="B3633" t="str">
        <f>"1552376394789747"</f>
        <v>1552376394789747</v>
      </c>
      <c r="C3633" t="s">
        <v>40</v>
      </c>
      <c r="D3633">
        <v>4.2085990000000004</v>
      </c>
      <c r="E3633">
        <v>0.40573179999999998</v>
      </c>
      <c r="F3633" t="s">
        <v>42</v>
      </c>
      <c r="G3633">
        <v>-492.327</v>
      </c>
      <c r="H3633" s="1">
        <v>-4.2877350000000004E-6</v>
      </c>
      <c r="I3633">
        <v>238.37350000000001</v>
      </c>
      <c r="J3633">
        <v>-491.65750000000003</v>
      </c>
      <c r="K3633">
        <v>1.1150519999999999</v>
      </c>
      <c r="L3633">
        <v>268.00659999999999</v>
      </c>
      <c r="M3633">
        <v>-0.31270530000000002</v>
      </c>
      <c r="N3633">
        <v>0</v>
      </c>
      <c r="O3633">
        <v>-0.94978209999999996</v>
      </c>
      <c r="P3633">
        <v>-0.2632912</v>
      </c>
      <c r="Q3633">
        <v>-3.0626509999999999E-2</v>
      </c>
      <c r="R3633">
        <v>-0.96423040000000004</v>
      </c>
      <c r="S3633">
        <v>-7.4066160000000006E-2</v>
      </c>
      <c r="T3633">
        <v>-0.1158035</v>
      </c>
      <c r="U3633">
        <v>-3.0942690000000002</v>
      </c>
      <c r="V3633">
        <v>-5.1209150000000002E-2</v>
      </c>
      <c r="W3633">
        <v>-1.9896859999999999E-2</v>
      </c>
      <c r="X3633">
        <v>0.99848970000000004</v>
      </c>
      <c r="Y3633">
        <v>-0.28991609999999901</v>
      </c>
      <c r="Z3633">
        <v>3.3781609999999997E-2</v>
      </c>
      <c r="AA3633">
        <v>0.95645570000000002</v>
      </c>
      <c r="AB3633">
        <v>19</v>
      </c>
      <c r="AC3633">
        <v>-0.66949999999997001</v>
      </c>
      <c r="AD3633">
        <v>-1.1150562877349901</v>
      </c>
      <c r="AE3633">
        <v>-29.633099999999899</v>
      </c>
      <c r="AF3633">
        <v>-8.6189090992036999</v>
      </c>
      <c r="AG3633">
        <v>-1.1150562877349901</v>
      </c>
      <c r="AH3633">
        <v>28.3161053037926</v>
      </c>
      <c r="AI3633">
        <v>92.157448202538802</v>
      </c>
      <c r="AJ3633">
        <v>106.929298288906</v>
      </c>
      <c r="AK3633">
        <v>29.619769819507798</v>
      </c>
      <c r="AL3633">
        <v>91.1400813679724</v>
      </c>
      <c r="AM3633">
        <v>92.935933851655093</v>
      </c>
      <c r="AN3633">
        <v>0.99999997154383502</v>
      </c>
    </row>
    <row r="3634" spans="1:40" x14ac:dyDescent="0.25">
      <c r="A3634" t="str">
        <f>"20190312153954813"</f>
        <v>20190312153954813</v>
      </c>
      <c r="B3634" t="str">
        <f>"1552376394799507"</f>
        <v>1552376394799507</v>
      </c>
      <c r="C3634" t="s">
        <v>40</v>
      </c>
      <c r="D3634">
        <v>4.1610250000000004</v>
      </c>
      <c r="E3634">
        <v>0.40649550000000001</v>
      </c>
      <c r="F3634" t="s">
        <v>42</v>
      </c>
      <c r="G3634">
        <v>-492.18340000000001</v>
      </c>
      <c r="H3634" s="1">
        <v>-1.0787210000000001E-6</v>
      </c>
      <c r="I3634">
        <v>240.74950000000001</v>
      </c>
      <c r="J3634">
        <v>-491.6841</v>
      </c>
      <c r="K3634">
        <v>1.115059</v>
      </c>
      <c r="L3634">
        <v>267.90559999999999</v>
      </c>
      <c r="M3634">
        <v>-0.30744709999999997</v>
      </c>
      <c r="N3634">
        <v>0</v>
      </c>
      <c r="O3634">
        <v>-0.95149700000000004</v>
      </c>
      <c r="P3634">
        <v>-0.25782189999999999</v>
      </c>
      <c r="Q3634">
        <v>-3.065975E-2</v>
      </c>
      <c r="R3634">
        <v>-0.96570619999999996</v>
      </c>
      <c r="S3634">
        <v>-5.963135E-2</v>
      </c>
      <c r="T3634">
        <v>-0.12645010000000001</v>
      </c>
      <c r="U3634">
        <v>-3.0910340000000001</v>
      </c>
      <c r="V3634">
        <v>-5.1344809999999998E-2</v>
      </c>
      <c r="W3634">
        <v>-1.9921680000000001E-2</v>
      </c>
      <c r="X3634">
        <v>0.99848230000000004</v>
      </c>
      <c r="Y3634">
        <v>-0.2890644</v>
      </c>
      <c r="Z3634">
        <v>3.70324E-2</v>
      </c>
      <c r="AA3634">
        <v>0.95659309999999997</v>
      </c>
      <c r="AB3634">
        <v>19</v>
      </c>
      <c r="AC3634">
        <v>-0.49930000000000502</v>
      </c>
      <c r="AD3634">
        <v>-1.1150600787209899</v>
      </c>
      <c r="AE3634">
        <v>-27.156099999999899</v>
      </c>
      <c r="AF3634">
        <v>-7.8612428704128696</v>
      </c>
      <c r="AG3634">
        <v>-1.1150600787209899</v>
      </c>
      <c r="AH3634">
        <v>25.950404293966699</v>
      </c>
      <c r="AI3634">
        <v>92.354869429561205</v>
      </c>
      <c r="AJ3634">
        <v>106.85331075744099</v>
      </c>
      <c r="AK3634">
        <v>27.1379067259636</v>
      </c>
      <c r="AL3634">
        <v>91.141503660875003</v>
      </c>
      <c r="AM3634">
        <v>92.943719656149199</v>
      </c>
      <c r="AN3634">
        <v>1.00000003313062</v>
      </c>
    </row>
    <row r="3635" spans="1:40" x14ac:dyDescent="0.25">
      <c r="A3635" t="str">
        <f>"20190312153954825"</f>
        <v>20190312153954825</v>
      </c>
      <c r="B3635" t="str">
        <f>"1552376394819027"</f>
        <v>1552376394819027</v>
      </c>
      <c r="C3635" t="s">
        <v>40</v>
      </c>
      <c r="D3635">
        <v>4.1696280000000003</v>
      </c>
      <c r="E3635">
        <v>0.4079198</v>
      </c>
      <c r="F3635" t="s">
        <v>42</v>
      </c>
      <c r="G3635">
        <v>-492.13119999999998</v>
      </c>
      <c r="H3635" s="1">
        <v>-4.6028920000000002E-6</v>
      </c>
      <c r="I3635">
        <v>239.40170000000001</v>
      </c>
      <c r="J3635">
        <v>-491.71089999999998</v>
      </c>
      <c r="K3635">
        <v>1.1150639999999901</v>
      </c>
      <c r="L3635">
        <v>267.80160000000001</v>
      </c>
      <c r="M3635">
        <v>-0.30203020000000003</v>
      </c>
      <c r="N3635">
        <v>0</v>
      </c>
      <c r="O3635">
        <v>-0.95323009999999997</v>
      </c>
      <c r="P3635">
        <v>-0.25237340000000003</v>
      </c>
      <c r="Q3635">
        <v>-3.0290040000000001E-2</v>
      </c>
      <c r="R3635">
        <v>-0.9671556</v>
      </c>
      <c r="S3635">
        <v>-4.8461909999999997E-2</v>
      </c>
      <c r="T3635">
        <v>-0.12087009999999999</v>
      </c>
      <c r="U3635">
        <v>-3.0897519999999998</v>
      </c>
      <c r="V3635">
        <v>-5.1302809999999997E-2</v>
      </c>
      <c r="W3635">
        <v>-1.954125E-2</v>
      </c>
      <c r="X3635">
        <v>0.99849189999999999</v>
      </c>
      <c r="Y3635">
        <v>-0.28706779999999998</v>
      </c>
      <c r="Z3635">
        <v>3.5529190000000002E-2</v>
      </c>
      <c r="AA3635">
        <v>0.95725110000000002</v>
      </c>
      <c r="AB3635">
        <v>19</v>
      </c>
      <c r="AC3635">
        <v>-0.42029999999999701</v>
      </c>
      <c r="AD3635">
        <v>-1.1150686028919901</v>
      </c>
      <c r="AE3635">
        <v>-28.399899999999999</v>
      </c>
      <c r="AF3635">
        <v>-8.1649327309674895</v>
      </c>
      <c r="AG3635">
        <v>-1.1150686028919901</v>
      </c>
      <c r="AH3635">
        <v>27.158494562764002</v>
      </c>
      <c r="AI3635">
        <v>92.251671545861896</v>
      </c>
      <c r="AJ3635">
        <v>106.73288552443501</v>
      </c>
      <c r="AK3635">
        <v>28.381214410346502</v>
      </c>
      <c r="AL3635">
        <v>91.119702469440099</v>
      </c>
      <c r="AM3635">
        <v>92.941287697014502</v>
      </c>
      <c r="AN3635">
        <v>0.99999995656553298</v>
      </c>
    </row>
    <row r="3636" spans="1:40" x14ac:dyDescent="0.25">
      <c r="A3636" t="str">
        <f>"20190312153954839"</f>
        <v>20190312153954839</v>
      </c>
      <c r="B3636" t="str">
        <f>"1552376394829765"</f>
        <v>1552376394829765</v>
      </c>
      <c r="C3636" t="s">
        <v>40</v>
      </c>
      <c r="D3636">
        <v>4.1388639999999999</v>
      </c>
      <c r="E3636">
        <v>0.40861530000000001</v>
      </c>
      <c r="F3636" t="s">
        <v>42</v>
      </c>
      <c r="G3636">
        <v>-492.1302</v>
      </c>
      <c r="H3636" s="1">
        <v>-3.95607899999999E-6</v>
      </c>
      <c r="I3636">
        <v>237.50149999999999</v>
      </c>
      <c r="J3636">
        <v>-491.73829999999998</v>
      </c>
      <c r="K3636">
        <v>1.1150709999999999</v>
      </c>
      <c r="L3636">
        <v>267.69330000000002</v>
      </c>
      <c r="M3636">
        <v>-0.2963865</v>
      </c>
      <c r="N3636">
        <v>0</v>
      </c>
      <c r="O3636">
        <v>-0.95499990000000001</v>
      </c>
      <c r="P3636">
        <v>-0.24640670000000001</v>
      </c>
      <c r="Q3636">
        <v>-3.0280310000000001E-2</v>
      </c>
      <c r="R3636">
        <v>-0.96869360000000004</v>
      </c>
      <c r="S3636">
        <v>-4.2724610000000003E-2</v>
      </c>
      <c r="T3636">
        <v>-0.1136088</v>
      </c>
      <c r="U3636">
        <v>-3.0871279999999999</v>
      </c>
      <c r="V3636">
        <v>-5.1551850000000003E-2</v>
      </c>
      <c r="W3636">
        <v>-1.9524710000000001E-2</v>
      </c>
      <c r="X3636">
        <v>0.99847940000000002</v>
      </c>
      <c r="Y3636">
        <v>-0.2831649</v>
      </c>
      <c r="Z3636">
        <v>3.3545079999999998E-2</v>
      </c>
      <c r="AA3636">
        <v>0.95848440000000001</v>
      </c>
      <c r="AB3636">
        <v>19</v>
      </c>
      <c r="AC3636">
        <v>-0.39190000000002101</v>
      </c>
      <c r="AD3636">
        <v>-1.1150749560790001</v>
      </c>
      <c r="AE3636">
        <v>-30.191800000000001</v>
      </c>
      <c r="AF3636">
        <v>-8.5630573815667699</v>
      </c>
      <c r="AG3636">
        <v>-1.1150749560790001</v>
      </c>
      <c r="AH3636">
        <v>28.911774675164999</v>
      </c>
      <c r="AI3636">
        <v>92.117849747588494</v>
      </c>
      <c r="AJ3636">
        <v>106.498177291679</v>
      </c>
      <c r="AK3636">
        <v>30.173830693917399</v>
      </c>
      <c r="AL3636">
        <v>91.118754612657398</v>
      </c>
      <c r="AM3636">
        <v>92.955577315251205</v>
      </c>
      <c r="AN3636">
        <v>0.999999959881682</v>
      </c>
    </row>
    <row r="3637" spans="1:40" x14ac:dyDescent="0.25">
      <c r="A3637" t="str">
        <f>"20190312153954856"</f>
        <v>20190312153954856</v>
      </c>
      <c r="B3637" t="str">
        <f>"1552376394849284"</f>
        <v>1552376394849284</v>
      </c>
      <c r="C3637" t="s">
        <v>40</v>
      </c>
      <c r="D3637">
        <v>4.0888390000000001</v>
      </c>
      <c r="E3637">
        <v>0.40915370000000001</v>
      </c>
      <c r="F3637" t="s">
        <v>42</v>
      </c>
      <c r="G3637">
        <v>-492.03250000000003</v>
      </c>
      <c r="H3637" s="1">
        <v>-3.5638390000000001E-6</v>
      </c>
      <c r="I3637">
        <v>236.63589999999999</v>
      </c>
      <c r="J3637">
        <v>-491.7731</v>
      </c>
      <c r="K3637">
        <v>1.1150770000000001</v>
      </c>
      <c r="L3637">
        <v>267.55130000000003</v>
      </c>
      <c r="M3637">
        <v>-0.28898370000000001</v>
      </c>
      <c r="N3637">
        <v>0</v>
      </c>
      <c r="O3637">
        <v>-0.9572659</v>
      </c>
      <c r="P3637">
        <v>-0.23943790000000001</v>
      </c>
      <c r="Q3637">
        <v>-2.990719E-2</v>
      </c>
      <c r="R3637">
        <v>-0.97045110000000001</v>
      </c>
      <c r="S3637">
        <v>-2.9235839999999999E-2</v>
      </c>
      <c r="T3637">
        <v>-0.11080089999999999</v>
      </c>
      <c r="U3637">
        <v>-3.0860599999999998</v>
      </c>
      <c r="V3637">
        <v>-5.1006120000000002E-2</v>
      </c>
      <c r="W3637">
        <v>-1.9131889999999999E-2</v>
      </c>
      <c r="X3637">
        <v>0.99851509999999999</v>
      </c>
      <c r="Y3637">
        <v>-0.27992230000000001</v>
      </c>
      <c r="Z3637">
        <v>3.2867550000000002E-2</v>
      </c>
      <c r="AA3637">
        <v>0.95945979999999997</v>
      </c>
      <c r="AB3637">
        <v>19</v>
      </c>
      <c r="AC3637">
        <v>-0.259400000000027</v>
      </c>
      <c r="AD3637">
        <v>-1.115080563839</v>
      </c>
      <c r="AE3637">
        <v>-30.915400000000002</v>
      </c>
      <c r="AF3637">
        <v>-8.6750133272141206</v>
      </c>
      <c r="AG3637">
        <v>-1.115080563839</v>
      </c>
      <c r="AH3637">
        <v>29.6326074462958</v>
      </c>
      <c r="AI3637">
        <v>92.068305130887595</v>
      </c>
      <c r="AJ3637">
        <v>106.317512349143</v>
      </c>
      <c r="AK3637">
        <v>30.896451009095799</v>
      </c>
      <c r="AL3637">
        <v>91.096243402207307</v>
      </c>
      <c r="AM3637">
        <v>92.924239678117303</v>
      </c>
      <c r="AN3637">
        <v>1.00000002921021</v>
      </c>
    </row>
    <row r="3638" spans="1:40" x14ac:dyDescent="0.25">
      <c r="A3638" t="str">
        <f>"20190312153954869"</f>
        <v>20190312153954869</v>
      </c>
      <c r="B3638" t="str">
        <f>"1552376394860021"</f>
        <v>1552376394860021</v>
      </c>
      <c r="C3638" t="s">
        <v>40</v>
      </c>
      <c r="D3638">
        <v>4.0646740000000001</v>
      </c>
      <c r="E3638">
        <v>0.40913060000000001</v>
      </c>
      <c r="F3638" t="s">
        <v>42</v>
      </c>
      <c r="G3638">
        <v>-491.91289999999998</v>
      </c>
      <c r="H3638" s="1">
        <v>-1.6282539999999999E-6</v>
      </c>
      <c r="I3638">
        <v>232.19820000000001</v>
      </c>
      <c r="J3638">
        <v>-491.79809999999998</v>
      </c>
      <c r="K3638">
        <v>1.1150850000000001</v>
      </c>
      <c r="L3638">
        <v>267.4452</v>
      </c>
      <c r="M3638">
        <v>-0.28345510000000002</v>
      </c>
      <c r="N3638">
        <v>0</v>
      </c>
      <c r="O3638">
        <v>-0.95891729999999997</v>
      </c>
      <c r="P3638">
        <v>-0.23390639999999999</v>
      </c>
      <c r="Q3638">
        <v>-2.9881850000000001E-2</v>
      </c>
      <c r="R3638">
        <v>-0.97179970000000004</v>
      </c>
      <c r="S3638">
        <v>-1.2207030000000001E-2</v>
      </c>
      <c r="T3638">
        <v>-9.7314830000000005E-2</v>
      </c>
      <c r="U3638">
        <v>-3.0853269999999999</v>
      </c>
      <c r="V3638">
        <v>-5.0931400000000002E-2</v>
      </c>
      <c r="W3638">
        <v>-1.909694E-2</v>
      </c>
      <c r="X3638">
        <v>0.9985195</v>
      </c>
      <c r="Y3638">
        <v>-0.27967619999999999</v>
      </c>
      <c r="Z3638">
        <v>2.895729E-2</v>
      </c>
      <c r="AA3638">
        <v>0.9596576</v>
      </c>
      <c r="AB3638">
        <v>19</v>
      </c>
      <c r="AC3638">
        <v>-0.114800000000002</v>
      </c>
      <c r="AD3638">
        <v>-1.115086628254</v>
      </c>
      <c r="AE3638">
        <v>-35.2469999999999</v>
      </c>
      <c r="AF3638">
        <v>-9.8716245648706398</v>
      </c>
      <c r="AG3638">
        <v>-1.115086628254</v>
      </c>
      <c r="AH3638">
        <v>33.799883262469699</v>
      </c>
      <c r="AI3638">
        <v>91.813828030491806</v>
      </c>
      <c r="AJ3638">
        <v>106.28101988978101</v>
      </c>
      <c r="AK3638">
        <v>35.229596907924503</v>
      </c>
      <c r="AL3638">
        <v>91.094240639643701</v>
      </c>
      <c r="AM3638">
        <v>92.919950468602195</v>
      </c>
      <c r="AN3638">
        <v>0.99999994625178501</v>
      </c>
    </row>
    <row r="3639" spans="1:40" x14ac:dyDescent="0.25">
      <c r="A3639" t="str">
        <f>"20190312153954881"</f>
        <v>20190312153954881</v>
      </c>
      <c r="B3639" t="str">
        <f>"1552376394869780"</f>
        <v>1552376394869780</v>
      </c>
      <c r="C3639" t="s">
        <v>40</v>
      </c>
      <c r="D3639">
        <v>4.0700940000000001</v>
      </c>
      <c r="E3639">
        <v>0.40926859999999998</v>
      </c>
      <c r="F3639" t="s">
        <v>54</v>
      </c>
      <c r="G3639">
        <v>-491.73660000000001</v>
      </c>
      <c r="H3639" s="1">
        <v>5.8434569999999999E-6</v>
      </c>
      <c r="I3639">
        <v>228.34139999999999</v>
      </c>
      <c r="J3639">
        <v>-491.82150000000001</v>
      </c>
      <c r="K3639">
        <v>1.115097</v>
      </c>
      <c r="L3639">
        <v>267.34449999999998</v>
      </c>
      <c r="M3639">
        <v>-0.27820159999999899</v>
      </c>
      <c r="N3639">
        <v>0</v>
      </c>
      <c r="O3639">
        <v>-0.96045460000000005</v>
      </c>
      <c r="P3639">
        <v>-0.22877110000000001</v>
      </c>
      <c r="Q3639">
        <v>-2.935391E-2</v>
      </c>
      <c r="R3639">
        <v>-0.97303799999999996</v>
      </c>
      <c r="S3639">
        <v>4.8522950000000004E-3</v>
      </c>
      <c r="T3639">
        <v>-8.7985869999999994E-2</v>
      </c>
      <c r="U3639">
        <v>-3.0855100000000002</v>
      </c>
      <c r="V3639">
        <v>-5.0750040000000003E-2</v>
      </c>
      <c r="W3639">
        <v>-1.8558560000000002E-2</v>
      </c>
      <c r="X3639">
        <v>0.99853890000000001</v>
      </c>
      <c r="Y3639">
        <v>-0.27972709999999901</v>
      </c>
      <c r="Z3639">
        <v>2.6247240000000002E-2</v>
      </c>
      <c r="AA3639">
        <v>0.95972069999999998</v>
      </c>
      <c r="AB3639">
        <v>19</v>
      </c>
      <c r="AC3639">
        <v>8.4900000000004597E-2</v>
      </c>
      <c r="AD3639">
        <v>-1.115091156543</v>
      </c>
      <c r="AE3639">
        <v>-39.003099999999897</v>
      </c>
      <c r="AF3639">
        <v>-10.924053601507</v>
      </c>
      <c r="AG3639">
        <v>-1.115091156543</v>
      </c>
      <c r="AH3639">
        <v>37.408959617613</v>
      </c>
      <c r="AI3639">
        <v>91.638963213333</v>
      </c>
      <c r="AJ3639">
        <v>106.27870392711699</v>
      </c>
      <c r="AK3639">
        <v>38.987288121235103</v>
      </c>
      <c r="AL3639">
        <v>91.063388251583305</v>
      </c>
      <c r="AM3639">
        <v>92.909514376738898</v>
      </c>
      <c r="AN3639">
        <v>0.99999996076124098</v>
      </c>
    </row>
    <row r="3640" spans="1:40" x14ac:dyDescent="0.25">
      <c r="A3640" t="str">
        <f>"20190312153954893"</f>
        <v>20190312153954893</v>
      </c>
      <c r="B3640" t="str">
        <f>"1552376394879540"</f>
        <v>1552376394879540</v>
      </c>
      <c r="C3640" t="s">
        <v>40</v>
      </c>
      <c r="D3640">
        <v>4.0905579999999997</v>
      </c>
      <c r="E3640">
        <v>0.4095047</v>
      </c>
      <c r="F3640" t="s">
        <v>54</v>
      </c>
      <c r="G3640">
        <v>-491.54259999999999</v>
      </c>
      <c r="H3640" s="1">
        <v>4.1730079999999999E-6</v>
      </c>
      <c r="I3640">
        <v>222.58330000000001</v>
      </c>
      <c r="J3640">
        <v>-491.84410000000003</v>
      </c>
      <c r="K3640">
        <v>1.1151009999999999</v>
      </c>
      <c r="L3640">
        <v>267.24439999999998</v>
      </c>
      <c r="M3640">
        <v>-0.27297559999999998</v>
      </c>
      <c r="N3640">
        <v>0</v>
      </c>
      <c r="O3640">
        <v>-0.9619529</v>
      </c>
      <c r="P3640">
        <v>-0.22362689999999999</v>
      </c>
      <c r="Q3640">
        <v>-2.8529450000000001E-2</v>
      </c>
      <c r="R3640">
        <v>-0.9742575</v>
      </c>
      <c r="S3640">
        <v>1.9226070000000001E-2</v>
      </c>
      <c r="T3640">
        <v>-7.6861860000000004E-2</v>
      </c>
      <c r="U3640">
        <v>-3.0853269999999999</v>
      </c>
      <c r="V3640">
        <v>-5.0613669999999999E-2</v>
      </c>
      <c r="W3640">
        <v>-1.7724690000000001E-2</v>
      </c>
      <c r="X3640">
        <v>0.99856100000000003</v>
      </c>
      <c r="Y3640">
        <v>-0.27897929999999999</v>
      </c>
      <c r="Z3640">
        <v>2.2990500000000001E-2</v>
      </c>
      <c r="AA3640">
        <v>0.96002189999999998</v>
      </c>
      <c r="AB3640">
        <v>19</v>
      </c>
      <c r="AC3640">
        <v>0.30150000000003202</v>
      </c>
      <c r="AD3640">
        <v>-1.1150968269920001</v>
      </c>
      <c r="AE3640">
        <v>-44.661099999999898</v>
      </c>
      <c r="AF3640">
        <v>-12.4744603913883</v>
      </c>
      <c r="AG3640">
        <v>-1.1150968269920001</v>
      </c>
      <c r="AH3640">
        <v>42.855665144529397</v>
      </c>
      <c r="AI3640">
        <v>91.431120533058007</v>
      </c>
      <c r="AJ3640">
        <v>106.22926274458101</v>
      </c>
      <c r="AK3640">
        <v>44.648220994457503</v>
      </c>
      <c r="AL3640">
        <v>91.015603123367299</v>
      </c>
      <c r="AM3640">
        <v>92.901645514344395</v>
      </c>
      <c r="AN3640">
        <v>0.99999998947373203</v>
      </c>
    </row>
    <row r="3641" spans="1:40" x14ac:dyDescent="0.25">
      <c r="A3641" t="str">
        <f>"20190312153954907"</f>
        <v>20190312153954907</v>
      </c>
      <c r="B3641" t="str">
        <f>"1552376394899678"</f>
        <v>1552376394899678</v>
      </c>
      <c r="C3641" t="s">
        <v>40</v>
      </c>
      <c r="D3641">
        <v>4.0690580000000001</v>
      </c>
      <c r="E3641">
        <v>0.41029919999999998</v>
      </c>
      <c r="F3641" t="s">
        <v>54</v>
      </c>
      <c r="G3641">
        <v>-491.29930000000002</v>
      </c>
      <c r="H3641" s="1">
        <v>3.176224E-6</v>
      </c>
      <c r="I3641">
        <v>216.85290000000001</v>
      </c>
      <c r="J3641">
        <v>-491.86989999999997</v>
      </c>
      <c r="K3641">
        <v>1.11511</v>
      </c>
      <c r="L3641">
        <v>267.12700000000001</v>
      </c>
      <c r="M3641">
        <v>-0.26685209999999998</v>
      </c>
      <c r="N3641">
        <v>0</v>
      </c>
      <c r="O3641">
        <v>-0.96366940000000001</v>
      </c>
      <c r="P3641">
        <v>-0.2175803</v>
      </c>
      <c r="Q3641">
        <v>-2.784673E-2</v>
      </c>
      <c r="R3641">
        <v>-0.97564530000000005</v>
      </c>
      <c r="S3641">
        <v>3.3355709999999997E-2</v>
      </c>
      <c r="T3641">
        <v>-6.8265560000000003E-2</v>
      </c>
      <c r="U3641">
        <v>-3.0849299999999999</v>
      </c>
      <c r="V3641">
        <v>-5.046954E-2</v>
      </c>
      <c r="W3641">
        <v>-1.7031749999999998E-2</v>
      </c>
      <c r="X3641">
        <v>0.99858029999999998</v>
      </c>
      <c r="Y3641">
        <v>-0.27727010000000002</v>
      </c>
      <c r="Z3641">
        <v>2.0484970000000002E-2</v>
      </c>
      <c r="AA3641">
        <v>0.96057360000000003</v>
      </c>
      <c r="AB3641">
        <v>19</v>
      </c>
      <c r="AC3641">
        <v>0.57059999999995603</v>
      </c>
      <c r="AD3641">
        <v>-1.115106823776</v>
      </c>
      <c r="AE3641">
        <v>-50.274099999999997</v>
      </c>
      <c r="AF3641">
        <v>-13.959668519969201</v>
      </c>
      <c r="AG3641">
        <v>-1.115106823776</v>
      </c>
      <c r="AH3641">
        <v>48.274768537513197</v>
      </c>
      <c r="AI3641">
        <v>91.271186133073698</v>
      </c>
      <c r="AJ3641">
        <v>106.12834176344801</v>
      </c>
      <c r="AK3641">
        <v>50.264988667723003</v>
      </c>
      <c r="AL3641">
        <v>90.975894641116398</v>
      </c>
      <c r="AM3641">
        <v>92.893340878262194</v>
      </c>
      <c r="AN3641">
        <v>0.99999993526197895</v>
      </c>
    </row>
    <row r="3642" spans="1:40" x14ac:dyDescent="0.25">
      <c r="A3642" t="str">
        <f>"20190312153954920"</f>
        <v>20190312153954920</v>
      </c>
      <c r="B3642" t="str">
        <f>"1552376394909438"</f>
        <v>1552376394909438</v>
      </c>
      <c r="C3642" t="s">
        <v>40</v>
      </c>
      <c r="D3642">
        <v>4.0997339999999998</v>
      </c>
      <c r="E3642">
        <v>0.4105953</v>
      </c>
      <c r="F3642" t="s">
        <v>54</v>
      </c>
      <c r="G3642">
        <v>-490.99900000000002</v>
      </c>
      <c r="H3642" s="1">
        <v>2.4174080000000001E-6</v>
      </c>
      <c r="I3642">
        <v>207.71789999999999</v>
      </c>
      <c r="J3642">
        <v>-491.89210000000003</v>
      </c>
      <c r="K3642">
        <v>1.115124</v>
      </c>
      <c r="L3642">
        <v>267.02350000000001</v>
      </c>
      <c r="M3642">
        <v>-0.26144430000000002</v>
      </c>
      <c r="N3642">
        <v>0</v>
      </c>
      <c r="O3642">
        <v>-0.96515050000000002</v>
      </c>
      <c r="P3642">
        <v>-0.21235119999999999</v>
      </c>
      <c r="Q3642">
        <v>-2.674346E-2</v>
      </c>
      <c r="R3642">
        <v>-0.97682800000000003</v>
      </c>
      <c r="S3642">
        <v>4.5196529999999999E-2</v>
      </c>
      <c r="T3642">
        <v>-5.7873729999999998E-2</v>
      </c>
      <c r="U3642">
        <v>-3.083313</v>
      </c>
      <c r="V3642">
        <v>-5.0241420000000002E-2</v>
      </c>
      <c r="W3642">
        <v>-1.5918290000000002E-2</v>
      </c>
      <c r="X3642">
        <v>0.99861029999999995</v>
      </c>
      <c r="Y3642">
        <v>-0.27557710000000002</v>
      </c>
      <c r="Z3642">
        <v>1.7422590000000002E-2</v>
      </c>
      <c r="AA3642">
        <v>0.96112109999999995</v>
      </c>
      <c r="AB3642">
        <v>19</v>
      </c>
      <c r="AC3642">
        <v>0.893100000000004</v>
      </c>
      <c r="AD3642">
        <v>-1.115121582592</v>
      </c>
      <c r="AE3642">
        <v>-59.305599999999998</v>
      </c>
      <c r="AF3642">
        <v>-16.362378697643098</v>
      </c>
      <c r="AG3642">
        <v>-1.115121582592</v>
      </c>
      <c r="AH3642">
        <v>56.988934961425699</v>
      </c>
      <c r="AI3642">
        <v>91.0774625779258</v>
      </c>
      <c r="AJ3642">
        <v>106.019567041749</v>
      </c>
      <c r="AK3642">
        <v>59.3018519173445</v>
      </c>
      <c r="AL3642">
        <v>90.912089299853093</v>
      </c>
      <c r="AM3642">
        <v>92.880198798878496</v>
      </c>
      <c r="AN3642">
        <v>1.00000006175311</v>
      </c>
    </row>
    <row r="3643" spans="1:40" x14ac:dyDescent="0.25">
      <c r="A3643" t="str">
        <f>"20190312153954935"</f>
        <v>20190312153954935</v>
      </c>
      <c r="B3643" t="str">
        <f>"1552376394928958"</f>
        <v>1552376394928958</v>
      </c>
      <c r="C3643" t="s">
        <v>40</v>
      </c>
      <c r="D3643">
        <v>4.1112070000000003</v>
      </c>
      <c r="E3643">
        <v>0.41143039999999997</v>
      </c>
      <c r="F3643" t="s">
        <v>54</v>
      </c>
      <c r="G3643">
        <v>-490.61340000000001</v>
      </c>
      <c r="H3643" s="1">
        <v>3.837978E-7</v>
      </c>
      <c r="I3643">
        <v>200.8552</v>
      </c>
      <c r="J3643">
        <v>-491.91669999999999</v>
      </c>
      <c r="K3643">
        <v>1.115135</v>
      </c>
      <c r="L3643">
        <v>266.90460000000002</v>
      </c>
      <c r="M3643">
        <v>-0.25523980000000002</v>
      </c>
      <c r="N3643">
        <v>0</v>
      </c>
      <c r="O3643">
        <v>-0.96680969999999999</v>
      </c>
      <c r="P3643">
        <v>-0.2068835</v>
      </c>
      <c r="Q3643">
        <v>-2.560658E-2</v>
      </c>
      <c r="R3643">
        <v>-0.97803079999999998</v>
      </c>
      <c r="S3643">
        <v>5.9570310000000001E-2</v>
      </c>
      <c r="T3643">
        <v>-5.195284E-2</v>
      </c>
      <c r="U3643">
        <v>-3.0827330000000002</v>
      </c>
      <c r="V3643">
        <v>-4.9435640000000003E-2</v>
      </c>
      <c r="W3643">
        <v>-1.4763220000000001E-2</v>
      </c>
      <c r="X3643">
        <v>0.99866820000000001</v>
      </c>
      <c r="Y3643">
        <v>-0.27388600000000002</v>
      </c>
      <c r="Z3643">
        <v>1.5688870000000001E-2</v>
      </c>
      <c r="AA3643">
        <v>0.96163419999999999</v>
      </c>
      <c r="AB3643">
        <v>19</v>
      </c>
      <c r="AC3643">
        <v>1.3032999999999699</v>
      </c>
      <c r="AD3643">
        <v>-1.1151346162022</v>
      </c>
      <c r="AE3643">
        <v>-66.049400000000006</v>
      </c>
      <c r="AF3643">
        <v>-18.114509999589099</v>
      </c>
      <c r="AG3643">
        <v>-1.1151346162022</v>
      </c>
      <c r="AH3643">
        <v>63.510631951453497</v>
      </c>
      <c r="AI3643">
        <v>90.967339635109894</v>
      </c>
      <c r="AJ3643">
        <v>105.919215695942</v>
      </c>
      <c r="AK3643">
        <v>66.052852842329699</v>
      </c>
      <c r="AL3643">
        <v>90.845900923900899</v>
      </c>
      <c r="AM3643">
        <v>92.833917583693193</v>
      </c>
      <c r="AN3643">
        <v>1.0000000044291</v>
      </c>
    </row>
    <row r="3644" spans="1:40" x14ac:dyDescent="0.25">
      <c r="A3644" t="str">
        <f>"20190312153954948"</f>
        <v>20190312153954948</v>
      </c>
      <c r="B3644" t="str">
        <f>"1552376394939694"</f>
        <v>1552376394939694</v>
      </c>
      <c r="C3644" t="s">
        <v>40</v>
      </c>
      <c r="D3644">
        <v>4.0967379999999904</v>
      </c>
      <c r="E3644">
        <v>0.41187430000000003</v>
      </c>
      <c r="F3644" t="s">
        <v>42</v>
      </c>
      <c r="G3644">
        <v>-490.11430000000001</v>
      </c>
      <c r="H3644" s="1">
        <v>-3.4136939999999999E-6</v>
      </c>
      <c r="I3644">
        <v>187.47559999999999</v>
      </c>
      <c r="J3644">
        <v>-491.93979999999999</v>
      </c>
      <c r="K3644">
        <v>1.115148</v>
      </c>
      <c r="L3644">
        <v>266.78910000000002</v>
      </c>
      <c r="M3644">
        <v>-0.2492016</v>
      </c>
      <c r="N3644">
        <v>0</v>
      </c>
      <c r="O3644">
        <v>-0.96838340000000001</v>
      </c>
      <c r="P3644">
        <v>-0.2014619</v>
      </c>
      <c r="Q3644">
        <v>-2.5736789999999999E-2</v>
      </c>
      <c r="R3644">
        <v>-0.97915819999999998</v>
      </c>
      <c r="S3644">
        <v>6.9915770000000002E-2</v>
      </c>
      <c r="T3644">
        <v>-4.3256280000000001E-2</v>
      </c>
      <c r="U3644">
        <v>-3.0810550000000001</v>
      </c>
      <c r="V3644">
        <v>-4.8734100000000002E-2</v>
      </c>
      <c r="W3644">
        <v>-1.487759E-2</v>
      </c>
      <c r="X3644">
        <v>0.99870099999999995</v>
      </c>
      <c r="Y3644">
        <v>-0.27112199999999997</v>
      </c>
      <c r="Z3644">
        <v>1.3108450000000001E-2</v>
      </c>
      <c r="AA3644">
        <v>0.96245570000000003</v>
      </c>
      <c r="AB3644">
        <v>19</v>
      </c>
      <c r="AC3644">
        <v>1.8254999999999699</v>
      </c>
      <c r="AD3644">
        <v>-1.1151514136939999</v>
      </c>
      <c r="AE3644">
        <v>-79.313500000000005</v>
      </c>
      <c r="AF3644">
        <v>-21.530004052732099</v>
      </c>
      <c r="AG3644">
        <v>-1.1151514136939999</v>
      </c>
      <c r="AH3644">
        <v>76.340921330269495</v>
      </c>
      <c r="AI3644">
        <v>90.805474028428193</v>
      </c>
      <c r="AJ3644">
        <v>105.749747981846</v>
      </c>
      <c r="AK3644">
        <v>79.326672101762398</v>
      </c>
      <c r="AL3644">
        <v>90.852454547575206</v>
      </c>
      <c r="AM3644">
        <v>92.793674088470098</v>
      </c>
      <c r="AN3644">
        <v>1.0000000212939999</v>
      </c>
    </row>
    <row r="3645" spans="1:40" x14ac:dyDescent="0.25">
      <c r="A3645" t="str">
        <f>"20190312153954961"</f>
        <v>20190312153954961</v>
      </c>
      <c r="B3645" t="str">
        <f>"1552376394949454"</f>
        <v>1552376394949454</v>
      </c>
      <c r="C3645" t="s">
        <v>40</v>
      </c>
      <c r="D3645">
        <v>4.1210610000000001</v>
      </c>
      <c r="E3645">
        <v>0.41239910000000002</v>
      </c>
      <c r="F3645" t="s">
        <v>42</v>
      </c>
      <c r="G3645">
        <v>-489.7122</v>
      </c>
      <c r="H3645" s="1">
        <v>-1.9598120000000002E-6</v>
      </c>
      <c r="I3645">
        <v>184.0822</v>
      </c>
      <c r="J3645">
        <v>-491.96010000000001</v>
      </c>
      <c r="K3645">
        <v>1.1151530000000001</v>
      </c>
      <c r="L3645">
        <v>266.6848</v>
      </c>
      <c r="M3645">
        <v>-0.24375740000000001</v>
      </c>
      <c r="N3645">
        <v>0</v>
      </c>
      <c r="O3645">
        <v>-0.96976819999999997</v>
      </c>
      <c r="P3645">
        <v>-0.19669919999999999</v>
      </c>
      <c r="Q3645">
        <v>-2.543467E-2</v>
      </c>
      <c r="R3645">
        <v>-0.98013399999999995</v>
      </c>
      <c r="S3645">
        <v>8.2946779999999998E-2</v>
      </c>
      <c r="T3645">
        <v>-4.1525479999999997E-2</v>
      </c>
      <c r="U3645">
        <v>-3.0798030000000001</v>
      </c>
      <c r="V3645">
        <v>-4.7984739999999998E-2</v>
      </c>
      <c r="W3645">
        <v>-1.4559799999999901E-2</v>
      </c>
      <c r="X3645">
        <v>0.99874189999999996</v>
      </c>
      <c r="Y3645">
        <v>-0.26979309999999901</v>
      </c>
      <c r="Z3645">
        <v>1.261894E-2</v>
      </c>
      <c r="AA3645">
        <v>0.96283569999999996</v>
      </c>
      <c r="AB3645">
        <v>19</v>
      </c>
      <c r="AC3645">
        <v>2.2479000000000098</v>
      </c>
      <c r="AD3645">
        <v>-1.1151549598119901</v>
      </c>
      <c r="AE3645">
        <v>-82.602599999999995</v>
      </c>
      <c r="AF3645">
        <v>-22.312345962419101</v>
      </c>
      <c r="AG3645">
        <v>-1.1151549598119901</v>
      </c>
      <c r="AH3645">
        <v>79.548195057668195</v>
      </c>
      <c r="AI3645">
        <v>90.773314399161805</v>
      </c>
      <c r="AJ3645">
        <v>105.66819203798801</v>
      </c>
      <c r="AK3645">
        <v>82.625659996540406</v>
      </c>
      <c r="AL3645">
        <v>90.834244606535606</v>
      </c>
      <c r="AM3645">
        <v>92.750671170169099</v>
      </c>
      <c r="AN3645">
        <v>0.99999995293225696</v>
      </c>
    </row>
    <row r="3646" spans="1:40" x14ac:dyDescent="0.25">
      <c r="A3646" t="str">
        <f>"20190312153954974"</f>
        <v>20190312153954974</v>
      </c>
      <c r="B3646" t="str">
        <f>"1552376394968976"</f>
        <v>1552376394968976</v>
      </c>
      <c r="C3646" t="s">
        <v>40</v>
      </c>
      <c r="D3646">
        <v>4.1090109999999997</v>
      </c>
      <c r="E3646">
        <v>0.41359639999999998</v>
      </c>
      <c r="F3646" t="s">
        <v>42</v>
      </c>
      <c r="G3646">
        <v>-489.26319999999998</v>
      </c>
      <c r="H3646" s="1">
        <v>-3.7607159999999999E-6</v>
      </c>
      <c r="I3646">
        <v>178.09440000000001</v>
      </c>
      <c r="J3646">
        <v>-491.98140000000001</v>
      </c>
      <c r="K3646">
        <v>1.1151599999999999</v>
      </c>
      <c r="L3646">
        <v>266.572</v>
      </c>
      <c r="M3646">
        <v>-0.23786299999999999</v>
      </c>
      <c r="N3646">
        <v>0</v>
      </c>
      <c r="O3646">
        <v>-0.9712307</v>
      </c>
      <c r="P3646">
        <v>-0.1915897</v>
      </c>
      <c r="Q3646">
        <v>-2.5558870000000001E-2</v>
      </c>
      <c r="R3646">
        <v>-0.98114239999999997</v>
      </c>
      <c r="S3646">
        <v>9.3719479999999994E-2</v>
      </c>
      <c r="T3646">
        <v>-3.8752559999999998E-2</v>
      </c>
      <c r="U3646">
        <v>-3.0785830000000001</v>
      </c>
      <c r="V3646">
        <v>-4.712028E-2</v>
      </c>
      <c r="W3646">
        <v>-1.466691E-2</v>
      </c>
      <c r="X3646">
        <v>0.99878160000000005</v>
      </c>
      <c r="Y3646">
        <v>-0.26732089999999997</v>
      </c>
      <c r="Z3646">
        <v>1.1812420000000001E-2</v>
      </c>
      <c r="AA3646">
        <v>0.96353509999999998</v>
      </c>
      <c r="AB3646">
        <v>19</v>
      </c>
      <c r="AC3646">
        <v>2.7182000000000199</v>
      </c>
      <c r="AD3646">
        <v>-1.1151637607160001</v>
      </c>
      <c r="AE3646">
        <v>-88.477599999999995</v>
      </c>
      <c r="AF3646">
        <v>-23.683352731296299</v>
      </c>
      <c r="AG3646">
        <v>-1.1151637607160001</v>
      </c>
      <c r="AH3646">
        <v>85.277702407835207</v>
      </c>
      <c r="AI3646">
        <v>90.721886685441405</v>
      </c>
      <c r="AJ3646">
        <v>105.52105588993101</v>
      </c>
      <c r="AK3646">
        <v>88.512322954306896</v>
      </c>
      <c r="AL3646">
        <v>90.840382121679795</v>
      </c>
      <c r="AM3646">
        <v>92.701083831078193</v>
      </c>
      <c r="AN3646">
        <v>1.0000000617673901</v>
      </c>
    </row>
    <row r="3647" spans="1:40" x14ac:dyDescent="0.25">
      <c r="A3647" t="str">
        <f>"20190312153954989"</f>
        <v>20190312153954989</v>
      </c>
      <c r="B3647" t="str">
        <f>"1552376394979710"</f>
        <v>1552376394979710</v>
      </c>
      <c r="C3647" t="s">
        <v>40</v>
      </c>
      <c r="D3647">
        <v>4.0926689999999999</v>
      </c>
      <c r="E3647">
        <v>0.41423300000000002</v>
      </c>
      <c r="F3647" t="s">
        <v>42</v>
      </c>
      <c r="G3647">
        <v>-488.9796</v>
      </c>
      <c r="H3647" s="1">
        <v>-2.312391E-6</v>
      </c>
      <c r="I3647">
        <v>174.6011</v>
      </c>
      <c r="J3647">
        <v>-492.00369999999998</v>
      </c>
      <c r="K3647">
        <v>1.115165</v>
      </c>
      <c r="L3647">
        <v>266.44850000000002</v>
      </c>
      <c r="M3647">
        <v>-0.23141809999999999</v>
      </c>
      <c r="N3647">
        <v>0</v>
      </c>
      <c r="O3647">
        <v>-0.97278640000000005</v>
      </c>
      <c r="P3647">
        <v>-0.1861884</v>
      </c>
      <c r="Q3647">
        <v>-2.5565290000000001E-2</v>
      </c>
      <c r="R3647">
        <v>-0.98218150000000004</v>
      </c>
      <c r="S3647">
        <v>0.1004028</v>
      </c>
      <c r="T3647">
        <v>-3.7300590000000002E-2</v>
      </c>
      <c r="U3647">
        <v>-3.0762939999999999</v>
      </c>
      <c r="V3647">
        <v>-4.5993909999999999E-2</v>
      </c>
      <c r="W3647">
        <v>-1.465268E-2</v>
      </c>
      <c r="X3647">
        <v>0.99883429999999995</v>
      </c>
      <c r="Y3647">
        <v>-0.26304240000000001</v>
      </c>
      <c r="Z3647">
        <v>1.1413390000000001E-2</v>
      </c>
      <c r="AA3647">
        <v>0.96471669999999998</v>
      </c>
      <c r="AB3647">
        <v>19</v>
      </c>
      <c r="AC3647">
        <v>3.02409999999997</v>
      </c>
      <c r="AD3647">
        <v>-1.115167312391</v>
      </c>
      <c r="AE3647">
        <v>-91.847399999999993</v>
      </c>
      <c r="AF3647">
        <v>-24.194991850926499</v>
      </c>
      <c r="AG3647">
        <v>-1.115167312391</v>
      </c>
      <c r="AH3647">
        <v>88.640881030774196</v>
      </c>
      <c r="AI3647">
        <v>90.695349499103898</v>
      </c>
      <c r="AJ3647">
        <v>105.267274635449</v>
      </c>
      <c r="AK3647">
        <v>91.890407653426493</v>
      </c>
      <c r="AL3647">
        <v>90.839566725192995</v>
      </c>
      <c r="AM3647">
        <v>92.636470043163101</v>
      </c>
      <c r="AN3647">
        <v>1.00000004982237</v>
      </c>
    </row>
    <row r="3648" spans="1:40" x14ac:dyDescent="0.25">
      <c r="A3648" t="str">
        <f>"20190312153955004"</f>
        <v>20190312153955004</v>
      </c>
      <c r="B3648" t="str">
        <f>"1552376394999738"</f>
        <v>1552376394999738</v>
      </c>
      <c r="C3648" t="s">
        <v>40</v>
      </c>
      <c r="D3648">
        <v>4.1188859999999998</v>
      </c>
      <c r="E3648">
        <v>0.43053180000000002</v>
      </c>
      <c r="F3648" t="s">
        <v>42</v>
      </c>
      <c r="G3648">
        <v>-488.54109999999997</v>
      </c>
      <c r="H3648" s="1">
        <v>-9.900710000000001E-7</v>
      </c>
      <c r="I3648">
        <v>171.3374</v>
      </c>
      <c r="J3648">
        <v>-492.0249</v>
      </c>
      <c r="K3648">
        <v>1.1151660000000001</v>
      </c>
      <c r="L3648">
        <v>266.3272</v>
      </c>
      <c r="M3648">
        <v>-0.22509399999999999</v>
      </c>
      <c r="N3648">
        <v>0</v>
      </c>
      <c r="O3648">
        <v>-0.97426919999999995</v>
      </c>
      <c r="P3648">
        <v>-0.1818459</v>
      </c>
      <c r="Q3648">
        <v>-2.4052750000000001E-2</v>
      </c>
      <c r="R3648">
        <v>-0.98303320000000005</v>
      </c>
      <c r="S3648">
        <v>0.1119385</v>
      </c>
      <c r="T3648">
        <v>-3.6050560000000002E-2</v>
      </c>
      <c r="U3648">
        <v>-3.0747070000000001</v>
      </c>
      <c r="V3648">
        <v>-4.3948189999999998E-2</v>
      </c>
      <c r="W3648">
        <v>-1.310746E-2</v>
      </c>
      <c r="X3648">
        <v>0.99894780000000005</v>
      </c>
      <c r="Y3648">
        <v>-0.26040560000000001</v>
      </c>
      <c r="Z3648">
        <v>1.106617E-2</v>
      </c>
      <c r="AA3648">
        <v>0.96543590000000001</v>
      </c>
      <c r="AB3648">
        <v>19</v>
      </c>
      <c r="AC3648">
        <v>3.48380000000002</v>
      </c>
      <c r="AD3648">
        <v>-1.115166990071</v>
      </c>
      <c r="AE3648">
        <v>-94.989800000000002</v>
      </c>
      <c r="AF3648">
        <v>-24.774021258216099</v>
      </c>
      <c r="AG3648">
        <v>-1.115166990071</v>
      </c>
      <c r="AH3648">
        <v>91.754891726571898</v>
      </c>
      <c r="AI3648">
        <v>90.672254193023605</v>
      </c>
      <c r="AJ3648">
        <v>105.109691811647</v>
      </c>
      <c r="AK3648">
        <v>95.047124535533598</v>
      </c>
      <c r="AL3648">
        <v>90.751023660692795</v>
      </c>
      <c r="AM3648">
        <v>92.519073686326706</v>
      </c>
      <c r="AN3648">
        <v>0.99999997801838303</v>
      </c>
    </row>
    <row r="3649" spans="1:40" x14ac:dyDescent="0.25">
      <c r="A3649" t="str">
        <f>"20190312153955019"</f>
        <v>20190312153955019</v>
      </c>
      <c r="B3649" t="str">
        <f>"1552376395009498"</f>
        <v>1552376395009498</v>
      </c>
      <c r="C3649" t="s">
        <v>40</v>
      </c>
      <c r="D3649">
        <v>4.1104599999999998</v>
      </c>
      <c r="E3649">
        <v>0.43122569999999999</v>
      </c>
      <c r="F3649" t="s">
        <v>43</v>
      </c>
      <c r="G3649">
        <v>-492.22840000000002</v>
      </c>
      <c r="H3649">
        <v>-0.05</v>
      </c>
      <c r="I3649">
        <v>98.202759999999998</v>
      </c>
      <c r="J3649">
        <v>-492.04610000000002</v>
      </c>
      <c r="K3649">
        <v>1.115164</v>
      </c>
      <c r="L3649">
        <v>266.20240000000001</v>
      </c>
      <c r="M3649">
        <v>-0.2185994</v>
      </c>
      <c r="N3649">
        <v>0</v>
      </c>
      <c r="O3649">
        <v>-0.97574689999999997</v>
      </c>
      <c r="P3649">
        <v>-0.17625209999999999</v>
      </c>
      <c r="Q3649">
        <v>-2.3497799999999999E-2</v>
      </c>
      <c r="R3649">
        <v>-0.98406470000000001</v>
      </c>
      <c r="S3649">
        <v>-3.692627E-3</v>
      </c>
      <c r="T3649">
        <v>-2.1142009999999999E-2</v>
      </c>
      <c r="U3649">
        <v>-3.0506289999999998</v>
      </c>
      <c r="V3649">
        <v>-4.2985809999999999E-2</v>
      </c>
      <c r="W3649">
        <v>-1.253486E-2</v>
      </c>
      <c r="X3649">
        <v>0.99899700000000002</v>
      </c>
      <c r="Y3649">
        <v>-0.2174325</v>
      </c>
      <c r="Z3649">
        <v>6.5958719999999896E-3</v>
      </c>
      <c r="AA3649">
        <v>0.97605310000000001</v>
      </c>
      <c r="AB3649">
        <v>19</v>
      </c>
      <c r="AC3649">
        <v>-0.18229999999999699</v>
      </c>
      <c r="AD3649">
        <v>-1.1651639999999901</v>
      </c>
      <c r="AE3649">
        <v>-167.99964</v>
      </c>
      <c r="AF3649">
        <v>-36.547401480709901</v>
      </c>
      <c r="AG3649">
        <v>-1.1651639999999901</v>
      </c>
      <c r="AH3649">
        <v>163.96793802456901</v>
      </c>
      <c r="AI3649">
        <v>90.397388238498905</v>
      </c>
      <c r="AJ3649">
        <v>102.56545855364899</v>
      </c>
      <c r="AK3649">
        <v>167.99569893949101</v>
      </c>
      <c r="AL3649">
        <v>90.718213416393397</v>
      </c>
      <c r="AM3649">
        <v>92.463858411607006</v>
      </c>
      <c r="AN3649">
        <v>0.99999995429278599</v>
      </c>
    </row>
    <row r="3650" spans="1:40" x14ac:dyDescent="0.25">
      <c r="A3650" t="str">
        <f>"20190312153955035"</f>
        <v>20190312153955035</v>
      </c>
      <c r="B3650" t="str">
        <f>"1552376395029020"</f>
        <v>1552376395029020</v>
      </c>
      <c r="C3650" t="s">
        <v>40</v>
      </c>
      <c r="D3650">
        <v>4.0997690000000002</v>
      </c>
      <c r="E3650">
        <v>0.4327512</v>
      </c>
      <c r="F3650" t="s">
        <v>43</v>
      </c>
      <c r="G3650">
        <v>-491.57690000000002</v>
      </c>
      <c r="H3650">
        <v>-0.05</v>
      </c>
      <c r="I3650">
        <v>101.7047</v>
      </c>
      <c r="J3650">
        <v>-492.06959999999998</v>
      </c>
      <c r="K3650">
        <v>1.1151470000000001</v>
      </c>
      <c r="L3650">
        <v>266.05630000000002</v>
      </c>
      <c r="M3650">
        <v>-0.21102950000000001</v>
      </c>
      <c r="N3650">
        <v>0</v>
      </c>
      <c r="O3650">
        <v>-0.9774119</v>
      </c>
      <c r="P3650">
        <v>-0.1708934</v>
      </c>
      <c r="Q3650">
        <v>-2.1653619999999998E-2</v>
      </c>
      <c r="R3650">
        <v>-0.98505180000000003</v>
      </c>
      <c r="S3650">
        <v>8.6975100000000003E-3</v>
      </c>
      <c r="T3650">
        <v>-2.1600959999999999E-2</v>
      </c>
      <c r="U3650">
        <v>-3.0496219999999998</v>
      </c>
      <c r="V3650">
        <v>-4.071292E-2</v>
      </c>
      <c r="W3650">
        <v>-1.06558E-2</v>
      </c>
      <c r="X3650">
        <v>0.99911399999999995</v>
      </c>
      <c r="Y3650">
        <v>-0.2138302</v>
      </c>
      <c r="Z3650">
        <v>6.7617379999999998E-3</v>
      </c>
      <c r="AA3650">
        <v>0.97684740000000003</v>
      </c>
      <c r="AB3650">
        <v>19</v>
      </c>
      <c r="AC3650">
        <v>0.49269999999995601</v>
      </c>
      <c r="AD3650">
        <v>-1.1651469999999999</v>
      </c>
      <c r="AE3650">
        <v>-164.35159999999999</v>
      </c>
      <c r="AF3650">
        <v>-35.165169842874803</v>
      </c>
      <c r="AG3650">
        <v>-1.1651469999999999</v>
      </c>
      <c r="AH3650">
        <v>160.537805751115</v>
      </c>
      <c r="AI3650">
        <v>90.406201961299899</v>
      </c>
      <c r="AJ3650">
        <v>102.35527326990599</v>
      </c>
      <c r="AK3650">
        <v>164.34820903494099</v>
      </c>
      <c r="AL3650">
        <v>90.610543960645401</v>
      </c>
      <c r="AM3650">
        <v>92.333456090292103</v>
      </c>
      <c r="AN3650">
        <v>0.99999993646228102</v>
      </c>
    </row>
    <row r="3651" spans="1:40" x14ac:dyDescent="0.25">
      <c r="A3651" t="str">
        <f>"20190312153955049"</f>
        <v>20190312153955049</v>
      </c>
      <c r="B3651" t="str">
        <f>"1552376395039754"</f>
        <v>1552376395039754</v>
      </c>
      <c r="C3651" t="s">
        <v>40</v>
      </c>
      <c r="D3651">
        <v>4.1139109999999999</v>
      </c>
      <c r="E3651">
        <v>0.43327359999999998</v>
      </c>
      <c r="F3651" t="s">
        <v>43</v>
      </c>
      <c r="G3651">
        <v>-490.68119999999999</v>
      </c>
      <c r="H3651">
        <v>-0.05</v>
      </c>
      <c r="I3651">
        <v>-65.639629999999997</v>
      </c>
      <c r="J3651">
        <v>-492.08670000000001</v>
      </c>
      <c r="K3651">
        <v>1.1151279999999999</v>
      </c>
      <c r="L3651">
        <v>265.94470000000001</v>
      </c>
      <c r="M3651">
        <v>-0.20527429999999999</v>
      </c>
      <c r="N3651">
        <v>0</v>
      </c>
      <c r="O3651">
        <v>-0.97863679999999997</v>
      </c>
      <c r="P3651">
        <v>-0.16635159999999999</v>
      </c>
      <c r="Q3651">
        <v>-2.1219849999999998E-2</v>
      </c>
      <c r="R3651">
        <v>-0.98583829999999995</v>
      </c>
      <c r="S3651">
        <v>1.275635E-2</v>
      </c>
      <c r="T3651">
        <v>-1.0704989999999999E-2</v>
      </c>
      <c r="U3651">
        <v>-3.0475159999999999</v>
      </c>
      <c r="V3651">
        <v>-3.9446759999999997E-2</v>
      </c>
      <c r="W3651">
        <v>-1.020302E-2</v>
      </c>
      <c r="X3651">
        <v>0.99916959999999999</v>
      </c>
      <c r="Y3651">
        <v>-0.2093827</v>
      </c>
      <c r="Z3651">
        <v>3.36149E-3</v>
      </c>
      <c r="AA3651">
        <v>0.97782800000000003</v>
      </c>
      <c r="AB3651">
        <v>19</v>
      </c>
      <c r="AC3651">
        <v>1.40550000000001</v>
      </c>
      <c r="AD3651">
        <v>-1.1651279999999999</v>
      </c>
      <c r="AE3651">
        <v>-331.584329999999</v>
      </c>
      <c r="AF3651">
        <v>-69.444957921915602</v>
      </c>
      <c r="AG3651">
        <v>-1.1651279999999999</v>
      </c>
      <c r="AH3651">
        <v>324.22958864790701</v>
      </c>
      <c r="AI3651">
        <v>90.201326964893497</v>
      </c>
      <c r="AJ3651">
        <v>102.089213352409</v>
      </c>
      <c r="AK3651">
        <v>331.5852618239</v>
      </c>
      <c r="AL3651">
        <v>90.584600116432398</v>
      </c>
      <c r="AM3651">
        <v>92.260837119253694</v>
      </c>
      <c r="AN3651">
        <v>1.0000000190278799</v>
      </c>
    </row>
    <row r="3652" spans="1:40" x14ac:dyDescent="0.25">
      <c r="A3652" t="str">
        <f>"20190312153955064"</f>
        <v>20190312153955064</v>
      </c>
      <c r="B3652" t="str">
        <f>"1552376395059275"</f>
        <v>1552376395059275</v>
      </c>
      <c r="C3652" t="s">
        <v>40</v>
      </c>
      <c r="D3652">
        <v>4.0803229999999999</v>
      </c>
      <c r="E3652">
        <v>0.43284400000000001</v>
      </c>
      <c r="F3652" t="s">
        <v>50</v>
      </c>
      <c r="G3652">
        <v>0</v>
      </c>
      <c r="H3652">
        <v>0</v>
      </c>
      <c r="I3652">
        <v>0</v>
      </c>
      <c r="J3652">
        <v>-492.10520000000002</v>
      </c>
      <c r="K3652">
        <v>1.1151</v>
      </c>
      <c r="L3652">
        <v>265.82060000000001</v>
      </c>
      <c r="M3652">
        <v>-0.19891130000000001</v>
      </c>
      <c r="N3652">
        <v>0</v>
      </c>
      <c r="O3652">
        <v>-0.97994979999999998</v>
      </c>
      <c r="P3652">
        <v>-0.16091050000000001</v>
      </c>
      <c r="Q3652">
        <v>-2.0975420000000002E-2</v>
      </c>
      <c r="R3652">
        <v>-0.98674629999999997</v>
      </c>
      <c r="S3652">
        <v>2.2705079999999999E-2</v>
      </c>
      <c r="T3652">
        <v>-9.3442200000000003E-3</v>
      </c>
      <c r="U3652">
        <v>-3.0467219999999999</v>
      </c>
      <c r="V3652">
        <v>-3.8472060000000002E-2</v>
      </c>
      <c r="W3652">
        <v>-9.9440550000000003E-3</v>
      </c>
      <c r="X3652">
        <v>0.99921020000000005</v>
      </c>
      <c r="Y3652">
        <v>-0.20622209999999999</v>
      </c>
      <c r="Z3652">
        <v>2.9419939999999999E-3</v>
      </c>
      <c r="AA3652">
        <v>0.97850079999999995</v>
      </c>
      <c r="AB3652">
        <v>19</v>
      </c>
      <c r="AC3652">
        <v>2.2705079999999999E-2</v>
      </c>
      <c r="AD3652">
        <v>-9.3442200000000003E-3</v>
      </c>
      <c r="AE3652">
        <v>-3.0467219999999999</v>
      </c>
      <c r="AF3652">
        <v>-0.62831304795440801</v>
      </c>
      <c r="AG3652">
        <v>-9.3442200000000003E-3</v>
      </c>
      <c r="AH3652">
        <v>2.9812880694895898</v>
      </c>
      <c r="AI3652">
        <v>90.175720941959099</v>
      </c>
      <c r="AJ3652">
        <v>101.901050939445</v>
      </c>
      <c r="AK3652">
        <v>3.0467922728597898</v>
      </c>
      <c r="AL3652">
        <v>90.569761770972406</v>
      </c>
      <c r="AM3652">
        <v>92.204939855477306</v>
      </c>
      <c r="AN3652">
        <v>1.0000000037072601</v>
      </c>
    </row>
    <row r="3653" spans="1:40" x14ac:dyDescent="0.25">
      <c r="A3653" t="str">
        <f>"20190312153955080"</f>
        <v>20190312153955080</v>
      </c>
      <c r="B3653" t="str">
        <f>"1552376395069035"</f>
        <v>1552376395069035</v>
      </c>
      <c r="C3653" t="s">
        <v>40</v>
      </c>
      <c r="D3653">
        <v>4.0253560000000004</v>
      </c>
      <c r="E3653">
        <v>0.41124480000000002</v>
      </c>
      <c r="F3653" t="s">
        <v>50</v>
      </c>
      <c r="G3653">
        <v>0</v>
      </c>
      <c r="H3653">
        <v>0</v>
      </c>
      <c r="I3653">
        <v>0</v>
      </c>
      <c r="J3653">
        <v>-492.12490000000003</v>
      </c>
      <c r="K3653">
        <v>1.1150530000000001</v>
      </c>
      <c r="L3653">
        <v>265.68239999999997</v>
      </c>
      <c r="M3653">
        <v>-0.19187660000000001</v>
      </c>
      <c r="N3653">
        <v>0</v>
      </c>
      <c r="O3653">
        <v>-0.98135139999999998</v>
      </c>
      <c r="P3653">
        <v>-0.15578310000000001</v>
      </c>
      <c r="Q3653">
        <v>-2.037334E-2</v>
      </c>
      <c r="R3653">
        <v>-0.98758100000000004</v>
      </c>
      <c r="S3653">
        <v>4.3212889999999997E-2</v>
      </c>
      <c r="T3653">
        <v>-8.2280640000000002E-3</v>
      </c>
      <c r="U3653">
        <v>-3.0471189999999999</v>
      </c>
      <c r="V3653">
        <v>-3.6505370000000002E-2</v>
      </c>
      <c r="W3653">
        <v>-9.3157789999999997E-3</v>
      </c>
      <c r="X3653">
        <v>0.99929000000000001</v>
      </c>
      <c r="Y3653">
        <v>-0.20578669999999999</v>
      </c>
      <c r="Z3653">
        <v>2.5959350000000002E-3</v>
      </c>
      <c r="AA3653">
        <v>0.97859339999999995</v>
      </c>
      <c r="AB3653">
        <v>19</v>
      </c>
      <c r="AC3653">
        <v>4.3212889999999997E-2</v>
      </c>
      <c r="AD3653">
        <v>-8.2280640000000002E-3</v>
      </c>
      <c r="AE3653">
        <v>-3.0471189999999999</v>
      </c>
      <c r="AF3653">
        <v>-0.62711493407605301</v>
      </c>
      <c r="AG3653">
        <v>-8.2280640000000002E-3</v>
      </c>
      <c r="AH3653">
        <v>2.9821792388936199</v>
      </c>
      <c r="AI3653">
        <v>90.154699646556494</v>
      </c>
      <c r="AJ3653">
        <v>101.875553468712</v>
      </c>
      <c r="AK3653">
        <v>3.0474142899294998</v>
      </c>
      <c r="AL3653">
        <v>90.533762558799495</v>
      </c>
      <c r="AM3653">
        <v>92.092159367630401</v>
      </c>
      <c r="AN3653">
        <v>0.99999996493860599</v>
      </c>
    </row>
    <row r="3654" spans="1:40" x14ac:dyDescent="0.25">
      <c r="A3654" t="str">
        <f>"20190312153955103"</f>
        <v>20190312153955103</v>
      </c>
      <c r="B3654" t="str">
        <f>"1552376395099799"</f>
        <v>1552376395099799</v>
      </c>
      <c r="C3654" t="s">
        <v>40</v>
      </c>
      <c r="D3654">
        <v>4.0951170000000001</v>
      </c>
      <c r="E3654">
        <v>0.40976170000000001</v>
      </c>
      <c r="F3654" t="s">
        <v>68</v>
      </c>
      <c r="G3654">
        <v>-477.11489999999998</v>
      </c>
      <c r="H3654">
        <v>0.92937389999999998</v>
      </c>
      <c r="I3654">
        <v>64.450009999999907</v>
      </c>
      <c r="J3654">
        <v>-492.15030000000002</v>
      </c>
      <c r="K3654">
        <v>1.114967</v>
      </c>
      <c r="L3654">
        <v>265.49250000000001</v>
      </c>
      <c r="M3654">
        <v>-0.18234539999999999</v>
      </c>
      <c r="N3654">
        <v>0</v>
      </c>
      <c r="O3654">
        <v>-0.98316709999999996</v>
      </c>
      <c r="P3654">
        <v>-0.1479586</v>
      </c>
      <c r="Q3654">
        <v>-1.8810090000000002E-2</v>
      </c>
      <c r="R3654">
        <v>-0.98881470000000005</v>
      </c>
      <c r="S3654">
        <v>0.2292786</v>
      </c>
      <c r="T3654">
        <v>-2.8359890000000001E-3</v>
      </c>
      <c r="U3654">
        <v>-3.0738530000000002</v>
      </c>
      <c r="V3654">
        <v>-3.474845E-2</v>
      </c>
      <c r="W3654">
        <v>-7.7319369999999899E-3</v>
      </c>
      <c r="X3654">
        <v>0.99936619999999998</v>
      </c>
      <c r="Y3654">
        <v>-0.25498850000000001</v>
      </c>
      <c r="Z3654">
        <v>8.8288310000000003E-4</v>
      </c>
      <c r="AA3654">
        <v>0.96694369999999996</v>
      </c>
      <c r="AB3654">
        <v>19</v>
      </c>
      <c r="AC3654">
        <v>15.035399999999999</v>
      </c>
      <c r="AD3654">
        <v>-0.18559310000000001</v>
      </c>
      <c r="AE3654">
        <v>-201.04248999999999</v>
      </c>
      <c r="AF3654">
        <v>-51.444851403521099</v>
      </c>
      <c r="AG3654">
        <v>-0.18559310000000001</v>
      </c>
      <c r="AH3654">
        <v>194.92948574579401</v>
      </c>
      <c r="AI3654">
        <v>90.052745535046299</v>
      </c>
      <c r="AJ3654">
        <v>104.784134631266</v>
      </c>
      <c r="AK3654">
        <v>201.603848162302</v>
      </c>
      <c r="AL3654">
        <v>90.443011763008201</v>
      </c>
      <c r="AM3654">
        <v>91.991399920527201</v>
      </c>
      <c r="AN3654">
        <v>1.0000000196648</v>
      </c>
    </row>
    <row r="3655" spans="1:40" x14ac:dyDescent="0.25">
      <c r="A3655" t="str">
        <f>"20190312153955116"</f>
        <v>20190312153955116</v>
      </c>
      <c r="B3655" t="str">
        <f>"1552376395109559"</f>
        <v>1552376395109559</v>
      </c>
      <c r="C3655" t="s">
        <v>40</v>
      </c>
      <c r="D3655">
        <v>4.0976319999999999</v>
      </c>
      <c r="E3655">
        <v>0.410134</v>
      </c>
      <c r="F3655" t="s">
        <v>68</v>
      </c>
      <c r="G3655">
        <v>-474.70330000000001</v>
      </c>
      <c r="H3655">
        <v>2.5492190000000001E-2</v>
      </c>
      <c r="I3655">
        <v>64.450009999999907</v>
      </c>
      <c r="J3655">
        <v>-492.16550000000001</v>
      </c>
      <c r="K3655">
        <v>1.114908</v>
      </c>
      <c r="L3655">
        <v>265.37369999999999</v>
      </c>
      <c r="M3655">
        <v>-0.1764453</v>
      </c>
      <c r="N3655">
        <v>0</v>
      </c>
      <c r="O3655">
        <v>-0.98424350000000005</v>
      </c>
      <c r="P3655">
        <v>-0.14281920000000001</v>
      </c>
      <c r="Q3655">
        <v>-1.821776E-2</v>
      </c>
      <c r="R3655">
        <v>-0.9895813</v>
      </c>
      <c r="S3655">
        <v>0.26672360000000001</v>
      </c>
      <c r="T3655">
        <v>-1.6655329999999999E-2</v>
      </c>
      <c r="U3655">
        <v>-3.0734859999999999</v>
      </c>
      <c r="V3655">
        <v>-3.3957069999999999E-2</v>
      </c>
      <c r="W3655">
        <v>-7.1321819999999999E-3</v>
      </c>
      <c r="X3655">
        <v>0.9993978</v>
      </c>
      <c r="Y3655">
        <v>-0.2608955</v>
      </c>
      <c r="Z3655">
        <v>5.1874920000000001E-3</v>
      </c>
      <c r="AA3655">
        <v>0.96535309999999996</v>
      </c>
      <c r="AB3655">
        <v>19</v>
      </c>
      <c r="AC3655">
        <v>17.4621999999999</v>
      </c>
      <c r="AD3655">
        <v>-1.08941581</v>
      </c>
      <c r="AE3655">
        <v>-200.92368999999999</v>
      </c>
      <c r="AF3655">
        <v>-52.641030604555503</v>
      </c>
      <c r="AG3655">
        <v>-1.08941581</v>
      </c>
      <c r="AH3655">
        <v>194.68386163012099</v>
      </c>
      <c r="AI3655">
        <v>90.309499247464601</v>
      </c>
      <c r="AJ3655">
        <v>105.13052663926599</v>
      </c>
      <c r="AK3655">
        <v>201.67813691407599</v>
      </c>
      <c r="AL3655">
        <v>90.408647409604697</v>
      </c>
      <c r="AM3655">
        <v>91.946020494615297</v>
      </c>
      <c r="AN3655">
        <v>0.99999995663395203</v>
      </c>
    </row>
    <row r="3656" spans="1:40" x14ac:dyDescent="0.25">
      <c r="A3656" t="str">
        <f>"20190312153955128"</f>
        <v>20190312153955128</v>
      </c>
      <c r="B3656" t="str">
        <f>"1552376395119318"</f>
        <v>1552376395119318</v>
      </c>
      <c r="C3656" t="s">
        <v>40</v>
      </c>
      <c r="D3656">
        <v>4.0642889999999996</v>
      </c>
      <c r="E3656">
        <v>0.41059560000000001</v>
      </c>
      <c r="F3656" t="s">
        <v>43</v>
      </c>
      <c r="G3656">
        <v>-475.8082</v>
      </c>
      <c r="H3656">
        <v>-0.05</v>
      </c>
      <c r="I3656">
        <v>86.047979999999995</v>
      </c>
      <c r="J3656">
        <v>-492.17750000000001</v>
      </c>
      <c r="K3656">
        <v>1.114849</v>
      </c>
      <c r="L3656">
        <v>265.274</v>
      </c>
      <c r="M3656">
        <v>-0.1715757</v>
      </c>
      <c r="N3656">
        <v>0</v>
      </c>
      <c r="O3656">
        <v>-0.98510410000000004</v>
      </c>
      <c r="P3656">
        <v>-0.13885400000000001</v>
      </c>
      <c r="Q3656">
        <v>-1.7765759999999998E-2</v>
      </c>
      <c r="R3656">
        <v>-0.99015370000000003</v>
      </c>
      <c r="S3656">
        <v>0.28018189999999998</v>
      </c>
      <c r="T3656">
        <v>-1.995361E-2</v>
      </c>
      <c r="U3656">
        <v>-3.0716549999999998</v>
      </c>
      <c r="V3656">
        <v>-3.3025980000000003E-2</v>
      </c>
      <c r="W3656">
        <v>-6.6725580000000003E-3</v>
      </c>
      <c r="X3656">
        <v>0.99943219999999999</v>
      </c>
      <c r="Y3656">
        <v>-0.2603666</v>
      </c>
      <c r="Z3656">
        <v>6.2260700000000002E-3</v>
      </c>
      <c r="AA3656">
        <v>0.96548970000000001</v>
      </c>
      <c r="AB3656">
        <v>19</v>
      </c>
      <c r="AC3656">
        <v>16.369299999999999</v>
      </c>
      <c r="AD3656">
        <v>-1.164849</v>
      </c>
      <c r="AE3656">
        <v>-179.22602000000001</v>
      </c>
      <c r="AF3656">
        <v>-46.877417508538102</v>
      </c>
      <c r="AG3656">
        <v>-1.164849</v>
      </c>
      <c r="AH3656">
        <v>173.75187590178999</v>
      </c>
      <c r="AI3656">
        <v>90.370850998394502</v>
      </c>
      <c r="AJ3656">
        <v>105.098636267289</v>
      </c>
      <c r="AK3656">
        <v>179.96822920963999</v>
      </c>
      <c r="AL3656">
        <v>90.382312256438794</v>
      </c>
      <c r="AM3656">
        <v>91.892635607313295</v>
      </c>
      <c r="AN3656">
        <v>0.999999980391031</v>
      </c>
    </row>
    <row r="3657" spans="1:40" x14ac:dyDescent="0.25">
      <c r="A3657" t="str">
        <f>"20190312153955141"</f>
        <v>20190312153955141</v>
      </c>
      <c r="B3657" t="str">
        <f>"1552376395129079"</f>
        <v>1552376395129079</v>
      </c>
      <c r="C3657" t="s">
        <v>40</v>
      </c>
      <c r="D3657">
        <v>4.0579789999999996</v>
      </c>
      <c r="E3657">
        <v>0.41085870000000002</v>
      </c>
      <c r="F3657" t="s">
        <v>69</v>
      </c>
      <c r="G3657">
        <v>-479.37729999999999</v>
      </c>
      <c r="H3657">
        <v>6.5308169999999999E-2</v>
      </c>
      <c r="I3657">
        <v>129.601</v>
      </c>
      <c r="J3657">
        <v>-492.1902</v>
      </c>
      <c r="K3657">
        <v>1.1147800000000001</v>
      </c>
      <c r="L3657">
        <v>265.16640000000001</v>
      </c>
      <c r="M3657">
        <v>-0.16636609999999999</v>
      </c>
      <c r="N3657">
        <v>0</v>
      </c>
      <c r="O3657">
        <v>-0.98599749999999997</v>
      </c>
      <c r="P3657">
        <v>-0.13445070000000001</v>
      </c>
      <c r="Q3657">
        <v>-1.7497370000000002E-2</v>
      </c>
      <c r="R3657">
        <v>-0.99076620000000004</v>
      </c>
      <c r="S3657">
        <v>0.28964230000000002</v>
      </c>
      <c r="T3657">
        <v>-2.3748990000000001E-2</v>
      </c>
      <c r="U3657">
        <v>-3.0700069999999999</v>
      </c>
      <c r="V3657">
        <v>-3.2191079999999997E-2</v>
      </c>
      <c r="W3657">
        <v>-6.3985650000000002E-3</v>
      </c>
      <c r="X3657">
        <v>0.99946120000000005</v>
      </c>
      <c r="Y3657">
        <v>-0.2582583</v>
      </c>
      <c r="Z3657">
        <v>7.4257300000000002E-3</v>
      </c>
      <c r="AA3657">
        <v>0.9660474</v>
      </c>
      <c r="AB3657">
        <v>19</v>
      </c>
      <c r="AC3657">
        <v>12.812900000000001</v>
      </c>
      <c r="AD3657">
        <v>-1.0494718300000001</v>
      </c>
      <c r="AE3657">
        <v>-135.56540000000001</v>
      </c>
      <c r="AF3657">
        <v>-35.187193551035897</v>
      </c>
      <c r="AG3657">
        <v>-1.0494718300000001</v>
      </c>
      <c r="AH3657">
        <v>131.53633303227701</v>
      </c>
      <c r="AI3657">
        <v>90.441601552805096</v>
      </c>
      <c r="AJ3657">
        <v>104.976482260162</v>
      </c>
      <c r="AK3657">
        <v>136.16551284630799</v>
      </c>
      <c r="AL3657">
        <v>90.366613289869704</v>
      </c>
      <c r="AM3657">
        <v>91.844769592805505</v>
      </c>
      <c r="AN3657">
        <v>0.999999948785531</v>
      </c>
    </row>
    <row r="3658" spans="1:40" x14ac:dyDescent="0.25">
      <c r="A3658" t="str">
        <f>"20190312153955155"</f>
        <v>20190312153955155</v>
      </c>
      <c r="B3658" t="str">
        <f>"1552376395149574"</f>
        <v>1552376395149574</v>
      </c>
      <c r="C3658" t="s">
        <v>40</v>
      </c>
      <c r="D3658">
        <v>4.0561160000000003</v>
      </c>
      <c r="E3658">
        <v>0.4115335</v>
      </c>
      <c r="F3658" t="s">
        <v>69</v>
      </c>
      <c r="G3658">
        <v>-479.64409999999998</v>
      </c>
      <c r="H3658" s="1">
        <v>-3.2092370000000001E-6</v>
      </c>
      <c r="I3658">
        <v>137.3211</v>
      </c>
      <c r="J3658">
        <v>-492.20420000000001</v>
      </c>
      <c r="K3658">
        <v>1.1146879999999999</v>
      </c>
      <c r="L3658">
        <v>265.04250000000002</v>
      </c>
      <c r="M3658">
        <v>-0.16046740000000001</v>
      </c>
      <c r="N3658">
        <v>0</v>
      </c>
      <c r="O3658">
        <v>-0.98697460000000004</v>
      </c>
      <c r="P3658">
        <v>-0.12962760000000001</v>
      </c>
      <c r="Q3658">
        <v>-1.7211290000000001E-2</v>
      </c>
      <c r="R3658">
        <v>-0.99141360000000001</v>
      </c>
      <c r="S3658">
        <v>0.30111690000000002</v>
      </c>
      <c r="T3658">
        <v>-2.6755689999999999E-2</v>
      </c>
      <c r="U3658">
        <v>-3.06839</v>
      </c>
      <c r="V3658">
        <v>-3.1084980000000002E-2</v>
      </c>
      <c r="W3658">
        <v>-6.1057610000000003E-3</v>
      </c>
      <c r="X3658">
        <v>0.99949809999999994</v>
      </c>
      <c r="Y3658">
        <v>-0.25610739999999999</v>
      </c>
      <c r="Z3658">
        <v>8.3839489999999999E-3</v>
      </c>
      <c r="AA3658">
        <v>0.96661200000000003</v>
      </c>
      <c r="AB3658">
        <v>20</v>
      </c>
      <c r="AC3658">
        <v>12.5601</v>
      </c>
      <c r="AD3658">
        <v>-1.1146912092369901</v>
      </c>
      <c r="AE3658">
        <v>-127.7214</v>
      </c>
      <c r="AF3658">
        <v>-32.891299745061403</v>
      </c>
      <c r="AG3658">
        <v>-1.1146912092369901</v>
      </c>
      <c r="AH3658">
        <v>124.04108085327699</v>
      </c>
      <c r="AI3658">
        <v>90.497674623512793</v>
      </c>
      <c r="AJ3658">
        <v>104.85103709871299</v>
      </c>
      <c r="AK3658">
        <v>128.332653189517</v>
      </c>
      <c r="AL3658">
        <v>90.349836508273</v>
      </c>
      <c r="AM3658">
        <v>91.781358322612306</v>
      </c>
      <c r="AN3658">
        <v>1.00000000410129</v>
      </c>
    </row>
    <row r="3659" spans="1:40" x14ac:dyDescent="0.25">
      <c r="A3659" t="str">
        <f>"20190312153955171"</f>
        <v>20190312153955171</v>
      </c>
      <c r="B3659" t="str">
        <f>"1552376395159334"</f>
        <v>1552376395159334</v>
      </c>
      <c r="C3659" t="s">
        <v>40</v>
      </c>
      <c r="D3659">
        <v>4.0640239999999999</v>
      </c>
      <c r="E3659">
        <v>0.41176740000000001</v>
      </c>
      <c r="F3659" t="s">
        <v>69</v>
      </c>
      <c r="G3659">
        <v>-480.28190000000001</v>
      </c>
      <c r="H3659" s="1">
        <v>-1.0469070000000001E-5</v>
      </c>
      <c r="I3659">
        <v>147.51349999999999</v>
      </c>
      <c r="J3659">
        <v>-492.21710000000002</v>
      </c>
      <c r="K3659">
        <v>1.114576</v>
      </c>
      <c r="L3659">
        <v>264.9221</v>
      </c>
      <c r="M3659">
        <v>-0.154883299999999</v>
      </c>
      <c r="N3659">
        <v>0</v>
      </c>
      <c r="O3659">
        <v>-0.98786640000000003</v>
      </c>
      <c r="P3659">
        <v>-0.125612</v>
      </c>
      <c r="Q3659">
        <v>-1.6433159999999999E-2</v>
      </c>
      <c r="R3659">
        <v>-0.99194329999999997</v>
      </c>
      <c r="S3659">
        <v>0.31103520000000001</v>
      </c>
      <c r="T3659">
        <v>-2.9080870000000002E-2</v>
      </c>
      <c r="U3659">
        <v>-3.0661619999999998</v>
      </c>
      <c r="V3659">
        <v>-2.9491320000000001E-2</v>
      </c>
      <c r="W3659">
        <v>-5.3157489999999998E-3</v>
      </c>
      <c r="X3659">
        <v>0.99955090000000002</v>
      </c>
      <c r="Y3659">
        <v>-0.25380340000000001</v>
      </c>
      <c r="Z3659">
        <v>9.1331750000000003E-3</v>
      </c>
      <c r="AA3659">
        <v>0.96721270000000004</v>
      </c>
      <c r="AB3659">
        <v>20</v>
      </c>
      <c r="AC3659">
        <v>11.9352</v>
      </c>
      <c r="AD3659">
        <v>-1.11458646907</v>
      </c>
      <c r="AE3659">
        <v>-117.40860000000001</v>
      </c>
      <c r="AF3659">
        <v>-29.974306419973601</v>
      </c>
      <c r="AG3659">
        <v>-1.11458646907</v>
      </c>
      <c r="AH3659">
        <v>114.13275180265499</v>
      </c>
      <c r="AI3659">
        <v>90.541165214770004</v>
      </c>
      <c r="AJ3659">
        <v>104.71509436644401</v>
      </c>
      <c r="AK3659">
        <v>118.00841657442101</v>
      </c>
      <c r="AL3659">
        <v>90.304571417533097</v>
      </c>
      <c r="AM3659">
        <v>91.689997088024498</v>
      </c>
      <c r="AN3659">
        <v>0.99999999841679099</v>
      </c>
    </row>
    <row r="3660" spans="1:40" x14ac:dyDescent="0.25">
      <c r="A3660" t="str">
        <f>"20190312153955189"</f>
        <v>20190312153955189</v>
      </c>
      <c r="B3660" t="str">
        <f>"1552376395178855"</f>
        <v>1552376395178855</v>
      </c>
      <c r="C3660" t="s">
        <v>40</v>
      </c>
      <c r="D3660">
        <v>3.9709530000000002</v>
      </c>
      <c r="E3660">
        <v>0.41115800000000002</v>
      </c>
      <c r="F3660" t="s">
        <v>69</v>
      </c>
      <c r="G3660">
        <v>-478.70519999999999</v>
      </c>
      <c r="H3660" s="1">
        <v>-3.4693520000000001E-6</v>
      </c>
      <c r="I3660">
        <v>135.99180000000001</v>
      </c>
      <c r="J3660">
        <v>-492.23419999999999</v>
      </c>
      <c r="K3660">
        <v>1.114411</v>
      </c>
      <c r="L3660">
        <v>264.75529999999998</v>
      </c>
      <c r="M3660">
        <v>-0.147339</v>
      </c>
      <c r="N3660">
        <v>0</v>
      </c>
      <c r="O3660">
        <v>-0.98902000000000001</v>
      </c>
      <c r="P3660">
        <v>-0.1188114</v>
      </c>
      <c r="Q3660">
        <v>-1.6051079999999999E-2</v>
      </c>
      <c r="R3660">
        <v>-0.99278710000000003</v>
      </c>
      <c r="S3660">
        <v>0.32116699999999998</v>
      </c>
      <c r="T3660">
        <v>-2.6492709999999999E-2</v>
      </c>
      <c r="U3660">
        <v>-3.064575</v>
      </c>
      <c r="V3660">
        <v>-2.8719720000000001E-2</v>
      </c>
      <c r="W3660">
        <v>-4.9336450000000004E-3</v>
      </c>
      <c r="X3660">
        <v>0.99957530000000006</v>
      </c>
      <c r="Y3660">
        <v>-0.24963360000000001</v>
      </c>
      <c r="Z3660">
        <v>8.3429139999999999E-3</v>
      </c>
      <c r="AA3660">
        <v>0.96830450000000001</v>
      </c>
      <c r="AB3660">
        <v>20</v>
      </c>
      <c r="AC3660">
        <v>13.5289999999999</v>
      </c>
      <c r="AD3660">
        <v>-1.1144144693519999</v>
      </c>
      <c r="AE3660">
        <v>-128.763499999999</v>
      </c>
      <c r="AF3660">
        <v>-32.352053815723202</v>
      </c>
      <c r="AG3660">
        <v>-1.1144144693519999</v>
      </c>
      <c r="AH3660">
        <v>125.35523054079999</v>
      </c>
      <c r="AI3660">
        <v>90.493189710540605</v>
      </c>
      <c r="AJ3660">
        <v>104.47128695411401</v>
      </c>
      <c r="AK3660">
        <v>129.467490628505</v>
      </c>
      <c r="AL3660">
        <v>90.282678190875103</v>
      </c>
      <c r="AM3660">
        <v>91.645765120667306</v>
      </c>
      <c r="AN3660">
        <v>0.99999997176997601</v>
      </c>
    </row>
    <row r="3661" spans="1:40" x14ac:dyDescent="0.25">
      <c r="A3661" t="str">
        <f>"20190312153955204"</f>
        <v>20190312153955204</v>
      </c>
      <c r="B3661" t="str">
        <f>"1552376395199350"</f>
        <v>1552376395199350</v>
      </c>
      <c r="C3661" t="s">
        <v>40</v>
      </c>
      <c r="D3661">
        <v>3.980693</v>
      </c>
      <c r="E3661">
        <v>0.41097329999999999</v>
      </c>
      <c r="F3661" t="s">
        <v>70</v>
      </c>
      <c r="G3661">
        <v>-473.50459999999998</v>
      </c>
      <c r="H3661">
        <v>0.42627389999999998</v>
      </c>
      <c r="I3661">
        <v>99.129630000000006</v>
      </c>
      <c r="J3661">
        <v>-492.24579999999997</v>
      </c>
      <c r="K3661">
        <v>1.114279</v>
      </c>
      <c r="L3661">
        <v>264.63569999999999</v>
      </c>
      <c r="M3661">
        <v>-0.14208850000000001</v>
      </c>
      <c r="N3661">
        <v>0</v>
      </c>
      <c r="O3661">
        <v>-0.98978809999999995</v>
      </c>
      <c r="P3661">
        <v>-0.1148315</v>
      </c>
      <c r="Q3661">
        <v>-1.5148760000000001E-2</v>
      </c>
      <c r="R3661">
        <v>-0.99326959999999997</v>
      </c>
      <c r="S3661">
        <v>0.34637449999999997</v>
      </c>
      <c r="T3661">
        <v>-1.2725709999999999E-2</v>
      </c>
      <c r="U3661">
        <v>-3.0630190000000002</v>
      </c>
      <c r="V3661">
        <v>-2.7434320000000002E-2</v>
      </c>
      <c r="W3661">
        <v>-4.0220530000000003E-3</v>
      </c>
      <c r="X3661">
        <v>0.99961549999999999</v>
      </c>
      <c r="Y3661">
        <v>-0.25242330000000002</v>
      </c>
      <c r="Z3661">
        <v>4.0111359999999898E-3</v>
      </c>
      <c r="AA3661">
        <v>0.96760860000000004</v>
      </c>
      <c r="AB3661">
        <v>20</v>
      </c>
      <c r="AC3661">
        <v>18.7411999999999</v>
      </c>
      <c r="AD3661">
        <v>-0.68800509999999904</v>
      </c>
      <c r="AE3661">
        <v>-165.506069999999</v>
      </c>
      <c r="AF3661">
        <v>-42.068350681899801</v>
      </c>
      <c r="AG3661">
        <v>-0.68800509999999904</v>
      </c>
      <c r="AH3661">
        <v>161.16078610314</v>
      </c>
      <c r="AI3661">
        <v>90.236667525259406</v>
      </c>
      <c r="AJ3661">
        <v>104.62966347763</v>
      </c>
      <c r="AK3661">
        <v>166.562356063713</v>
      </c>
      <c r="AL3661">
        <v>90.230447287042693</v>
      </c>
      <c r="AM3661">
        <v>91.572080737748607</v>
      </c>
      <c r="AN3661">
        <v>0.99999998333222295</v>
      </c>
    </row>
    <row r="3662" spans="1:40" x14ac:dyDescent="0.25">
      <c r="A3662" t="str">
        <f>"20190312153955216"</f>
        <v>20190312153955216</v>
      </c>
      <c r="B3662" t="str">
        <f>"1552376395209110"</f>
        <v>1552376395209110</v>
      </c>
      <c r="C3662" t="s">
        <v>40</v>
      </c>
      <c r="D3662">
        <v>3.9833080000000001</v>
      </c>
      <c r="E3662">
        <v>0.41102549999999999</v>
      </c>
      <c r="F3662" t="s">
        <v>70</v>
      </c>
      <c r="G3662">
        <v>-473.15</v>
      </c>
      <c r="H3662">
        <v>1.0905819999999999</v>
      </c>
      <c r="I3662">
        <v>101.9799</v>
      </c>
      <c r="J3662">
        <v>-492.25700000000001</v>
      </c>
      <c r="K3662">
        <v>1.114144</v>
      </c>
      <c r="L3662">
        <v>264.5163</v>
      </c>
      <c r="M3662">
        <v>-0.1369542</v>
      </c>
      <c r="N3662">
        <v>0</v>
      </c>
      <c r="O3662">
        <v>-0.9905119</v>
      </c>
      <c r="P3662">
        <v>-0.1101446</v>
      </c>
      <c r="Q3662">
        <v>-1.4541790000000001E-2</v>
      </c>
      <c r="R3662">
        <v>-0.99380930000000001</v>
      </c>
      <c r="S3662">
        <v>0.35946660000000002</v>
      </c>
      <c r="T3662">
        <v>-4.4536590000000001E-4</v>
      </c>
      <c r="U3662">
        <v>-3.0619200000000002</v>
      </c>
      <c r="V3662">
        <v>-2.6975369999999999E-2</v>
      </c>
      <c r="W3662">
        <v>-3.413517E-3</v>
      </c>
      <c r="X3662">
        <v>0.99963029999999997</v>
      </c>
      <c r="Y3662">
        <v>-0.25152839999999999</v>
      </c>
      <c r="Z3662">
        <v>1.4057060000000001E-4</v>
      </c>
      <c r="AA3662">
        <v>0.96784990000000004</v>
      </c>
      <c r="AB3662">
        <v>20</v>
      </c>
      <c r="AC3662">
        <v>19.1069999999999</v>
      </c>
      <c r="AD3662">
        <v>-2.3562E-2</v>
      </c>
      <c r="AE3662">
        <v>-162.53639999999999</v>
      </c>
      <c r="AF3662">
        <v>-41.188424283350201</v>
      </c>
      <c r="AG3662">
        <v>-2.3562E-2</v>
      </c>
      <c r="AH3662">
        <v>158.38772480428801</v>
      </c>
      <c r="AI3662">
        <v>90.008249049166594</v>
      </c>
      <c r="AJ3662">
        <v>104.576796704458</v>
      </c>
      <c r="AK3662">
        <v>163.655608577256</v>
      </c>
      <c r="AL3662">
        <v>90.195580491412798</v>
      </c>
      <c r="AM3662">
        <v>91.545771320162004</v>
      </c>
      <c r="AN3662">
        <v>1.0000000296815099</v>
      </c>
    </row>
    <row r="3663" spans="1:40" x14ac:dyDescent="0.25">
      <c r="A3663" t="str">
        <f>"20190312153955231"</f>
        <v>20190312153955231</v>
      </c>
      <c r="B3663" t="str">
        <f>"1552376395218870"</f>
        <v>1552376395218870</v>
      </c>
      <c r="C3663" t="s">
        <v>40</v>
      </c>
      <c r="D3663">
        <v>4.0017329999999998</v>
      </c>
      <c r="E3663">
        <v>0.41118389999999999</v>
      </c>
      <c r="F3663" t="s">
        <v>70</v>
      </c>
      <c r="G3663">
        <v>-473.37459999999999</v>
      </c>
      <c r="H3663">
        <v>1.3510960000000001</v>
      </c>
      <c r="I3663">
        <v>109.7255</v>
      </c>
      <c r="J3663">
        <v>-492.26760000000002</v>
      </c>
      <c r="K3663">
        <v>1.1140049999999999</v>
      </c>
      <c r="L3663">
        <v>264.39710000000002</v>
      </c>
      <c r="M3663">
        <v>-0.13203380000000001</v>
      </c>
      <c r="N3663">
        <v>0</v>
      </c>
      <c r="O3663">
        <v>-0.99117960000000005</v>
      </c>
      <c r="P3663">
        <v>-0.1060792</v>
      </c>
      <c r="Q3663">
        <v>-1.4046350000000001E-2</v>
      </c>
      <c r="R3663">
        <v>-0.99425850000000005</v>
      </c>
      <c r="S3663">
        <v>0.37329099999999998</v>
      </c>
      <c r="T3663">
        <v>4.6849250000000004E-3</v>
      </c>
      <c r="U3663">
        <v>-3.06012</v>
      </c>
      <c r="V3663">
        <v>-2.610645E-2</v>
      </c>
      <c r="W3663">
        <v>-2.9060639999999999E-3</v>
      </c>
      <c r="X3663">
        <v>0.99965490000000001</v>
      </c>
      <c r="Y3663">
        <v>-0.2510985</v>
      </c>
      <c r="Z3663">
        <v>-1.4807850000000001E-3</v>
      </c>
      <c r="AA3663">
        <v>0.96796040000000005</v>
      </c>
      <c r="AB3663">
        <v>20</v>
      </c>
      <c r="AC3663">
        <v>18.893000000000001</v>
      </c>
      <c r="AD3663">
        <v>0.237090999999999</v>
      </c>
      <c r="AE3663">
        <v>-154.67160000000001</v>
      </c>
      <c r="AF3663">
        <v>-39.150691018892502</v>
      </c>
      <c r="AG3663">
        <v>0.237090999999999</v>
      </c>
      <c r="AH3663">
        <v>150.822280397854</v>
      </c>
      <c r="AI3663">
        <v>89.912821016599096</v>
      </c>
      <c r="AJ3663">
        <v>104.551760057097</v>
      </c>
      <c r="AK3663">
        <v>155.82102901665101</v>
      </c>
      <c r="AL3663">
        <v>90.166505443964297</v>
      </c>
      <c r="AM3663">
        <v>91.4959657484779</v>
      </c>
      <c r="AN3663">
        <v>0.99999995551679099</v>
      </c>
    </row>
    <row r="3664" spans="1:40" x14ac:dyDescent="0.25">
      <c r="A3664" t="str">
        <f>"20190312153955249"</f>
        <v>20190312153955249</v>
      </c>
      <c r="B3664" t="str">
        <f>"1552376395239366"</f>
        <v>1552376395239366</v>
      </c>
      <c r="C3664" t="s">
        <v>40</v>
      </c>
      <c r="D3664">
        <v>4.0654859999999999</v>
      </c>
      <c r="E3664">
        <v>0.41186299999999998</v>
      </c>
      <c r="F3664" t="s">
        <v>70</v>
      </c>
      <c r="G3664">
        <v>-473.15</v>
      </c>
      <c r="H3664">
        <v>1.5340819999999999</v>
      </c>
      <c r="I3664">
        <v>112.1833</v>
      </c>
      <c r="J3664">
        <v>-492.28019999999998</v>
      </c>
      <c r="K3664">
        <v>1.1138349999999999</v>
      </c>
      <c r="L3664">
        <v>264.24939999999998</v>
      </c>
      <c r="M3664">
        <v>-0.12613179999999999</v>
      </c>
      <c r="N3664">
        <v>0</v>
      </c>
      <c r="O3664">
        <v>-0.9919481</v>
      </c>
      <c r="P3664">
        <v>-0.10208</v>
      </c>
      <c r="Q3664">
        <v>-1.3419449999999999E-2</v>
      </c>
      <c r="R3664">
        <v>-0.99468590000000001</v>
      </c>
      <c r="S3664">
        <v>0.38412479999999999</v>
      </c>
      <c r="T3664">
        <v>8.44085199999999E-3</v>
      </c>
      <c r="U3664">
        <v>-3.058411</v>
      </c>
      <c r="V3664">
        <v>-2.418497E-2</v>
      </c>
      <c r="W3664">
        <v>-2.2432300000000001E-3</v>
      </c>
      <c r="X3664">
        <v>0.99970499999999995</v>
      </c>
      <c r="Y3664">
        <v>-0.248778</v>
      </c>
      <c r="Z3664">
        <v>-2.6728329999999999E-3</v>
      </c>
      <c r="AA3664">
        <v>0.9685568</v>
      </c>
      <c r="AB3664">
        <v>20</v>
      </c>
      <c r="AC3664">
        <v>19.130199999999999</v>
      </c>
      <c r="AD3664">
        <v>0.42024699999999898</v>
      </c>
      <c r="AE3664">
        <v>-152.06609999999901</v>
      </c>
      <c r="AF3664">
        <v>-38.158724940119001</v>
      </c>
      <c r="AG3664">
        <v>0.42024699999999898</v>
      </c>
      <c r="AH3664">
        <v>148.437265607716</v>
      </c>
      <c r="AI3664">
        <v>89.8428959657804</v>
      </c>
      <c r="AJ3664">
        <v>104.41684201126</v>
      </c>
      <c r="AK3664">
        <v>153.26410772810499</v>
      </c>
      <c r="AL3664">
        <v>90.128527717222198</v>
      </c>
      <c r="AM3664">
        <v>91.385835294910805</v>
      </c>
      <c r="AN3664">
        <v>1.0000000159398601</v>
      </c>
    </row>
    <row r="3665" spans="1:40" x14ac:dyDescent="0.25">
      <c r="A3665" t="str">
        <f>"20190312153955261"</f>
        <v>20190312153955261</v>
      </c>
      <c r="B3665" t="str">
        <f>"1552376395249127"</f>
        <v>1552376395249127</v>
      </c>
      <c r="C3665" t="s">
        <v>40</v>
      </c>
      <c r="D3665">
        <v>3.9496829999999998</v>
      </c>
      <c r="E3665">
        <v>0.41202509999999998</v>
      </c>
      <c r="F3665" t="s">
        <v>70</v>
      </c>
      <c r="G3665">
        <v>-473.57749999999999</v>
      </c>
      <c r="H3665">
        <v>1.8055410000000001</v>
      </c>
      <c r="I3665">
        <v>118.042</v>
      </c>
      <c r="J3665">
        <v>-492.28960000000001</v>
      </c>
      <c r="K3665">
        <v>1.1136969999999999</v>
      </c>
      <c r="L3665">
        <v>264.13499999999999</v>
      </c>
      <c r="M3665">
        <v>-0.12171709999999999</v>
      </c>
      <c r="N3665">
        <v>0</v>
      </c>
      <c r="O3665">
        <v>-0.99249920000000003</v>
      </c>
      <c r="P3665">
        <v>-9.8580639999999997E-2</v>
      </c>
      <c r="Q3665">
        <v>-1.297181E-2</v>
      </c>
      <c r="R3665">
        <v>-0.99504440000000005</v>
      </c>
      <c r="S3665">
        <v>0.39096069999999999</v>
      </c>
      <c r="T3665">
        <v>1.446009E-2</v>
      </c>
      <c r="U3665">
        <v>-3.0563349999999998</v>
      </c>
      <c r="V3665">
        <v>-2.3259720000000001E-2</v>
      </c>
      <c r="W3665">
        <v>-1.761032E-3</v>
      </c>
      <c r="X3665">
        <v>0.9997279</v>
      </c>
      <c r="Y3665">
        <v>-0.2466805</v>
      </c>
      <c r="Z3665">
        <v>-4.5864340000000003E-3</v>
      </c>
      <c r="AA3665">
        <v>0.969086</v>
      </c>
      <c r="AB3665">
        <v>20</v>
      </c>
      <c r="AC3665">
        <v>18.7121</v>
      </c>
      <c r="AD3665">
        <v>0.69184400000000001</v>
      </c>
      <c r="AE3665">
        <v>-146.09299999999999</v>
      </c>
      <c r="AF3665">
        <v>-36.355326831562699</v>
      </c>
      <c r="AG3665">
        <v>0.69184400000000001</v>
      </c>
      <c r="AH3665">
        <v>142.72575199248999</v>
      </c>
      <c r="AI3665">
        <v>89.730862437498899</v>
      </c>
      <c r="AJ3665">
        <v>104.290571685182</v>
      </c>
      <c r="AK3665">
        <v>147.28485570136399</v>
      </c>
      <c r="AL3665">
        <v>90.100899753852005</v>
      </c>
      <c r="AM3665">
        <v>91.332806058626502</v>
      </c>
      <c r="AN3665">
        <v>0.99999999492329605</v>
      </c>
    </row>
    <row r="3666" spans="1:40" x14ac:dyDescent="0.25">
      <c r="A3666" t="str">
        <f>"20190312153955275"</f>
        <v>20190312153955275</v>
      </c>
      <c r="B3666" t="str">
        <f>"1552376395269623"</f>
        <v>1552376395269623</v>
      </c>
      <c r="C3666" t="s">
        <v>40</v>
      </c>
      <c r="D3666">
        <v>3.9996710000000002</v>
      </c>
      <c r="E3666">
        <v>0.41295310000000002</v>
      </c>
      <c r="F3666" t="s">
        <v>70</v>
      </c>
      <c r="G3666">
        <v>-473.38119999999998</v>
      </c>
      <c r="H3666">
        <v>1.9229639999999999</v>
      </c>
      <c r="I3666">
        <v>119.8177</v>
      </c>
      <c r="J3666">
        <v>-492.29880000000003</v>
      </c>
      <c r="K3666">
        <v>1.113559</v>
      </c>
      <c r="L3666">
        <v>264.01900000000001</v>
      </c>
      <c r="M3666">
        <v>-0.11740399999999999</v>
      </c>
      <c r="N3666">
        <v>0</v>
      </c>
      <c r="O3666">
        <v>-0.99301810000000001</v>
      </c>
      <c r="P3666">
        <v>-9.5062530000000006E-2</v>
      </c>
      <c r="Q3666">
        <v>-1.251389E-2</v>
      </c>
      <c r="R3666">
        <v>-0.99539270000000002</v>
      </c>
      <c r="S3666">
        <v>0.40023799999999998</v>
      </c>
      <c r="T3666">
        <v>1.7130610000000001E-2</v>
      </c>
      <c r="U3666">
        <v>-3.0548099999999998</v>
      </c>
      <c r="V3666">
        <v>-2.245552E-2</v>
      </c>
      <c r="W3666">
        <v>-1.254743E-3</v>
      </c>
      <c r="X3666">
        <v>0.99974700000000005</v>
      </c>
      <c r="Y3666">
        <v>-0.245425</v>
      </c>
      <c r="Z3666">
        <v>-5.4403330000000003E-3</v>
      </c>
      <c r="AA3666">
        <v>0.96940029999999999</v>
      </c>
      <c r="AB3666">
        <v>20</v>
      </c>
      <c r="AC3666">
        <v>18.9176</v>
      </c>
      <c r="AD3666">
        <v>0.80940499999999904</v>
      </c>
      <c r="AE3666">
        <v>-144.2013</v>
      </c>
      <c r="AF3666">
        <v>-35.716568290448997</v>
      </c>
      <c r="AG3666">
        <v>0.80940499999999904</v>
      </c>
      <c r="AH3666">
        <v>140.97839213499199</v>
      </c>
      <c r="AI3666">
        <v>89.681123226129202</v>
      </c>
      <c r="AJ3666">
        <v>104.216633430027</v>
      </c>
      <c r="AK3666">
        <v>145.43464317647201</v>
      </c>
      <c r="AL3666">
        <v>90.071891501135994</v>
      </c>
      <c r="AM3666">
        <v>91.286715760587299</v>
      </c>
      <c r="AN3666">
        <v>0.99999994438373097</v>
      </c>
    </row>
    <row r="3667" spans="1:40" x14ac:dyDescent="0.25">
      <c r="A3667" t="str">
        <f>"20190312153955288"</f>
        <v>20190312153955288</v>
      </c>
      <c r="B3667" t="str">
        <f>"1552376395279382"</f>
        <v>1552376395279382</v>
      </c>
      <c r="C3667" t="s">
        <v>40</v>
      </c>
      <c r="D3667">
        <v>4.0125390000000003</v>
      </c>
      <c r="E3667">
        <v>0.41339789999999998</v>
      </c>
      <c r="F3667" t="s">
        <v>70</v>
      </c>
      <c r="G3667">
        <v>-473.23379999999997</v>
      </c>
      <c r="H3667">
        <v>2.0212310000000002</v>
      </c>
      <c r="I3667">
        <v>119.8177</v>
      </c>
      <c r="J3667">
        <v>-492.3075</v>
      </c>
      <c r="K3667">
        <v>1.113432</v>
      </c>
      <c r="L3667">
        <v>263.90440000000001</v>
      </c>
      <c r="M3667">
        <v>-0.1133266</v>
      </c>
      <c r="N3667">
        <v>0</v>
      </c>
      <c r="O3667">
        <v>-0.99349109999999996</v>
      </c>
      <c r="P3667">
        <v>-9.1858670000000003E-2</v>
      </c>
      <c r="Q3667">
        <v>-1.2202299999999999E-2</v>
      </c>
      <c r="R3667">
        <v>-0.99569730000000001</v>
      </c>
      <c r="S3667">
        <v>0.40359499999999998</v>
      </c>
      <c r="T3667">
        <v>1.9215579999999999E-2</v>
      </c>
      <c r="U3667">
        <v>-3.052673</v>
      </c>
      <c r="V3667">
        <v>-2.1573120000000001E-2</v>
      </c>
      <c r="W3667">
        <v>-8.7270399999999997E-4</v>
      </c>
      <c r="X3667">
        <v>0.99976690000000001</v>
      </c>
      <c r="Y3667">
        <v>-0.24257919999999999</v>
      </c>
      <c r="Z3667">
        <v>-6.1129620000000004E-3</v>
      </c>
      <c r="AA3667">
        <v>0.97011230000000004</v>
      </c>
      <c r="AB3667">
        <v>20</v>
      </c>
      <c r="AC3667">
        <v>19.073699999999999</v>
      </c>
      <c r="AD3667">
        <v>0.90779900000000002</v>
      </c>
      <c r="AE3667">
        <v>-144.08670000000001</v>
      </c>
      <c r="AF3667">
        <v>-35.2793684348729</v>
      </c>
      <c r="AG3667">
        <v>0.90779900000000002</v>
      </c>
      <c r="AH3667">
        <v>140.99113876343199</v>
      </c>
      <c r="AI3667">
        <v>89.642128184231296</v>
      </c>
      <c r="AJ3667">
        <v>104.04832279079</v>
      </c>
      <c r="AK3667">
        <v>145.34083784675701</v>
      </c>
      <c r="AL3667">
        <v>90.050002261924803</v>
      </c>
      <c r="AM3667">
        <v>91.236145084343406</v>
      </c>
      <c r="AN3667">
        <v>1.0000000077272</v>
      </c>
    </row>
    <row r="3668" spans="1:40" x14ac:dyDescent="0.25">
      <c r="A3668" t="str">
        <f>"20190312153955304"</f>
        <v>20190312153955304</v>
      </c>
      <c r="B3668" t="str">
        <f>"1552376395298903"</f>
        <v>1552376395298903</v>
      </c>
      <c r="C3668" t="s">
        <v>40</v>
      </c>
      <c r="D3668">
        <v>3.8640400000000001</v>
      </c>
      <c r="E3668">
        <v>0.41403450000000003</v>
      </c>
      <c r="F3668" t="s">
        <v>70</v>
      </c>
      <c r="G3668">
        <v>-472.9529</v>
      </c>
      <c r="H3668">
        <v>2.018351</v>
      </c>
      <c r="I3668">
        <v>119.8177</v>
      </c>
      <c r="J3668">
        <v>-492.31740000000002</v>
      </c>
      <c r="K3668">
        <v>1.1132850000000001</v>
      </c>
      <c r="L3668">
        <v>263.76920000000001</v>
      </c>
      <c r="M3668">
        <v>-0.1086878</v>
      </c>
      <c r="N3668">
        <v>0</v>
      </c>
      <c r="O3668">
        <v>-0.99400820000000001</v>
      </c>
      <c r="P3668">
        <v>-8.8648389999999994E-2</v>
      </c>
      <c r="Q3668">
        <v>-1.1772660000000001E-2</v>
      </c>
      <c r="R3668">
        <v>-0.99599329999999997</v>
      </c>
      <c r="S3668">
        <v>0.40982059999999998</v>
      </c>
      <c r="T3668">
        <v>1.916182E-2</v>
      </c>
      <c r="U3668">
        <v>-3.050964</v>
      </c>
      <c r="V3668">
        <v>-2.0134340000000001E-2</v>
      </c>
      <c r="W3668">
        <v>-3.3184059999999898E-4</v>
      </c>
      <c r="X3668">
        <v>0.99979720000000005</v>
      </c>
      <c r="Y3668">
        <v>-0.24006549999999999</v>
      </c>
      <c r="Z3668">
        <v>-6.1052559999999999E-3</v>
      </c>
      <c r="AA3668">
        <v>0.97073750000000003</v>
      </c>
      <c r="AB3668">
        <v>20</v>
      </c>
      <c r="AC3668">
        <v>19.3645</v>
      </c>
      <c r="AD3668">
        <v>0.90506600000000004</v>
      </c>
      <c r="AE3668">
        <v>-143.95150000000001</v>
      </c>
      <c r="AF3668">
        <v>-34.895238410574201</v>
      </c>
      <c r="AG3668">
        <v>0.90506600000000004</v>
      </c>
      <c r="AH3668">
        <v>140.988305739346</v>
      </c>
      <c r="AI3668">
        <v>89.642970924853898</v>
      </c>
      <c r="AJ3668">
        <v>103.901593064354</v>
      </c>
      <c r="AK3668">
        <v>145.24530685515001</v>
      </c>
      <c r="AL3668">
        <v>90.0190130667429</v>
      </c>
      <c r="AM3668">
        <v>91.153690760139</v>
      </c>
      <c r="AN3668">
        <v>0.999999971446629</v>
      </c>
    </row>
    <row r="3669" spans="1:40" x14ac:dyDescent="0.25">
      <c r="A3669" t="str">
        <f>"20190312153955418"</f>
        <v>20190312153955418</v>
      </c>
      <c r="B3669" t="str">
        <f>"1552376395409191"</f>
        <v>1552376395409191</v>
      </c>
      <c r="C3669" t="s">
        <v>40</v>
      </c>
      <c r="D3669">
        <v>3.7112560000000001</v>
      </c>
      <c r="E3669">
        <v>0.41403450000000003</v>
      </c>
      <c r="F3669" t="s">
        <v>70</v>
      </c>
      <c r="G3669">
        <v>-472.74650000000003</v>
      </c>
      <c r="H3669">
        <v>2.1604109999999999</v>
      </c>
      <c r="I3669">
        <v>119.8177</v>
      </c>
      <c r="J3669">
        <v>-492.38</v>
      </c>
      <c r="K3669">
        <v>1.112177</v>
      </c>
      <c r="L3669">
        <v>262.7842</v>
      </c>
      <c r="M3669">
        <v>-8.1745349999999994E-2</v>
      </c>
      <c r="N3669">
        <v>0</v>
      </c>
      <c r="O3669">
        <v>-0.99657189999999995</v>
      </c>
      <c r="P3669">
        <v>-6.8535750000000006E-2</v>
      </c>
      <c r="Q3669">
        <v>-1.1597329999999999E-2</v>
      </c>
      <c r="R3669">
        <v>-0.99758159999999896</v>
      </c>
      <c r="S3669">
        <v>0.4145508</v>
      </c>
      <c r="T3669">
        <v>2.2180910000000002E-2</v>
      </c>
      <c r="U3669">
        <v>-3.049194</v>
      </c>
      <c r="V3669">
        <v>-1.325312E-2</v>
      </c>
      <c r="W3669">
        <v>1.076523E-3</v>
      </c>
      <c r="X3669">
        <v>0.99991160000000001</v>
      </c>
      <c r="Y3669">
        <v>-0.21526729999999999</v>
      </c>
      <c r="Z3669">
        <v>-7.1195520000000003E-3</v>
      </c>
      <c r="AA3669">
        <v>0.97652919999999999</v>
      </c>
      <c r="AB3669">
        <v>19</v>
      </c>
      <c r="AC3669">
        <v>19.633499999999898</v>
      </c>
      <c r="AD3669">
        <v>1.0482340000000001</v>
      </c>
      <c r="AE3669">
        <v>-142.9665</v>
      </c>
      <c r="AF3669">
        <v>-31.253925996747</v>
      </c>
      <c r="AG3669">
        <v>1.0482340000000001</v>
      </c>
      <c r="AH3669">
        <v>140.87543838146101</v>
      </c>
      <c r="AI3669">
        <v>89.583797441551098</v>
      </c>
      <c r="AJ3669">
        <v>102.508758174581</v>
      </c>
      <c r="AK3669">
        <v>144.30452461339399</v>
      </c>
      <c r="AL3669">
        <v>89.938319764004802</v>
      </c>
      <c r="AM3669">
        <v>90.759370507959801</v>
      </c>
      <c r="AN3669">
        <v>1.0000000059530301</v>
      </c>
    </row>
    <row r="3670" spans="1:40" x14ac:dyDescent="0.25">
      <c r="A3670" t="str">
        <f>"20190312153955438"</f>
        <v>20190312153955438</v>
      </c>
      <c r="B3670" t="str">
        <f>"1552376395429686"</f>
        <v>1552376395429686</v>
      </c>
      <c r="C3670" t="s">
        <v>40</v>
      </c>
      <c r="D3670">
        <v>4.039536</v>
      </c>
      <c r="E3670">
        <v>0.42773349999999999</v>
      </c>
      <c r="F3670" t="s">
        <v>70</v>
      </c>
      <c r="G3670">
        <v>-469.90609999999998</v>
      </c>
      <c r="H3670">
        <v>1.921116</v>
      </c>
      <c r="I3670">
        <v>119.395</v>
      </c>
      <c r="J3670">
        <v>-492.3895</v>
      </c>
      <c r="K3670">
        <v>1.1119840000000001</v>
      </c>
      <c r="L3670">
        <v>262.61579999999998</v>
      </c>
      <c r="M3670">
        <v>-7.8291250000000007E-2</v>
      </c>
      <c r="N3670">
        <v>0</v>
      </c>
      <c r="O3670">
        <v>-0.99684729999999999</v>
      </c>
      <c r="P3670">
        <v>-6.6326259999999998E-2</v>
      </c>
      <c r="Q3670">
        <v>-1.267832E-2</v>
      </c>
      <c r="R3670">
        <v>-0.99771759999999998</v>
      </c>
      <c r="S3670">
        <v>0.47650150000000002</v>
      </c>
      <c r="T3670">
        <v>1.7152190000000001E-2</v>
      </c>
      <c r="U3670">
        <v>-3.040222</v>
      </c>
      <c r="V3670">
        <v>-1.1997239999999999E-2</v>
      </c>
      <c r="W3670">
        <v>1.6910229999999999E-4</v>
      </c>
      <c r="X3670">
        <v>0.99992800000000004</v>
      </c>
      <c r="Y3670">
        <v>-0.2317178</v>
      </c>
      <c r="Z3670">
        <v>-5.505256E-3</v>
      </c>
      <c r="AA3670">
        <v>0.97276750000000001</v>
      </c>
      <c r="AB3670">
        <v>19</v>
      </c>
      <c r="AC3670">
        <v>22.4834</v>
      </c>
      <c r="AD3670">
        <v>0.80913199999999996</v>
      </c>
      <c r="AE3670">
        <v>-143.2208</v>
      </c>
      <c r="AF3670">
        <v>-33.627194828616403</v>
      </c>
      <c r="AG3670">
        <v>0.80913199999999996</v>
      </c>
      <c r="AH3670">
        <v>141.01632270113001</v>
      </c>
      <c r="AI3670">
        <v>89.680214752313404</v>
      </c>
      <c r="AJ3670">
        <v>103.412444360748</v>
      </c>
      <c r="AK3670">
        <v>144.97257049105701</v>
      </c>
      <c r="AL3670">
        <v>89.990311151700595</v>
      </c>
      <c r="AM3670">
        <v>90.687407729658503</v>
      </c>
      <c r="AN3670">
        <v>0.999999983773602</v>
      </c>
    </row>
    <row r="3671" spans="1:40" x14ac:dyDescent="0.25">
      <c r="A3671" t="str">
        <f>"20190312153955452"</f>
        <v>20190312153955452</v>
      </c>
      <c r="B3671" t="str">
        <f>"1552376395449207"</f>
        <v>1552376395449207</v>
      </c>
      <c r="C3671" t="s">
        <v>40</v>
      </c>
      <c r="D3671">
        <v>3.9470420000000002</v>
      </c>
      <c r="E3671">
        <v>0.42850919999999998</v>
      </c>
      <c r="F3671" t="s">
        <v>42</v>
      </c>
      <c r="G3671">
        <v>-491.40530000000001</v>
      </c>
      <c r="H3671" s="1">
        <v>-2.7562360000000001E-6</v>
      </c>
      <c r="I3671">
        <v>255.14230000000001</v>
      </c>
      <c r="J3671">
        <v>-492.39620000000002</v>
      </c>
      <c r="K3671">
        <v>1.11185</v>
      </c>
      <c r="L3671">
        <v>262.49419999999998</v>
      </c>
      <c r="M3671">
        <v>-7.6016329999999993E-2</v>
      </c>
      <c r="N3671">
        <v>0</v>
      </c>
      <c r="O3671">
        <v>-0.99702190000000002</v>
      </c>
      <c r="P3671">
        <v>-6.4840729999999999E-2</v>
      </c>
      <c r="Q3671">
        <v>-1.299139E-2</v>
      </c>
      <c r="R3671">
        <v>-0.99781120000000001</v>
      </c>
      <c r="S3671">
        <v>0.39871220000000002</v>
      </c>
      <c r="T3671">
        <v>-0.4504938</v>
      </c>
      <c r="U3671">
        <v>-3.027679</v>
      </c>
      <c r="V3671">
        <v>-1.1203360000000001E-2</v>
      </c>
      <c r="W3671" s="1">
        <v>-3.06506099999999E-5</v>
      </c>
      <c r="X3671">
        <v>0.99993719999999997</v>
      </c>
      <c r="Y3671">
        <v>-0.20417550000000001</v>
      </c>
      <c r="Z3671">
        <v>0.1443701</v>
      </c>
      <c r="AA3671">
        <v>0.96823009999999998</v>
      </c>
      <c r="AB3671">
        <v>19</v>
      </c>
      <c r="AC3671">
        <v>0.99090000000001</v>
      </c>
      <c r="AD3671">
        <v>-1.1118527562360001</v>
      </c>
      <c r="AE3671">
        <v>-7.3518999999999703</v>
      </c>
      <c r="AF3671">
        <v>-1.5129577870042501</v>
      </c>
      <c r="AG3671">
        <v>-1.1118527562360001</v>
      </c>
      <c r="AH3671">
        <v>7.0958948825326003</v>
      </c>
      <c r="AI3671">
        <v>98.712509377630994</v>
      </c>
      <c r="AJ3671">
        <v>102.036140781768</v>
      </c>
      <c r="AK3671">
        <v>7.3400941411373397</v>
      </c>
      <c r="AL3671">
        <v>90.0017561506628</v>
      </c>
      <c r="AM3671">
        <v>90.641918699204894</v>
      </c>
      <c r="AN3671">
        <v>0.99999996007929304</v>
      </c>
    </row>
    <row r="3672" spans="1:40" x14ac:dyDescent="0.25">
      <c r="A3672" t="str">
        <f>"20190312153955466"</f>
        <v>20190312153955466</v>
      </c>
      <c r="B3672" t="str">
        <f>"1552376395458968"</f>
        <v>1552376395458968</v>
      </c>
      <c r="C3672" t="s">
        <v>40</v>
      </c>
      <c r="D3672">
        <v>3.873888</v>
      </c>
      <c r="E3672">
        <v>0.42993609999999999</v>
      </c>
      <c r="F3672" t="s">
        <v>42</v>
      </c>
      <c r="G3672">
        <v>-490.98930000000001</v>
      </c>
      <c r="H3672" s="1">
        <v>-1.107614E-6</v>
      </c>
      <c r="I3672">
        <v>251.5574</v>
      </c>
      <c r="J3672">
        <v>-492.40249999999997</v>
      </c>
      <c r="K3672">
        <v>1.111728</v>
      </c>
      <c r="L3672">
        <v>262.37860000000001</v>
      </c>
      <c r="M3672">
        <v>-7.3981279999999996E-2</v>
      </c>
      <c r="N3672">
        <v>0</v>
      </c>
      <c r="O3672">
        <v>-0.99717350000000005</v>
      </c>
      <c r="P3672">
        <v>-6.3528599999999893E-2</v>
      </c>
      <c r="Q3672">
        <v>-1.3226740000000001E-2</v>
      </c>
      <c r="R3672">
        <v>-0.99789260000000002</v>
      </c>
      <c r="S3672">
        <v>0.3894958</v>
      </c>
      <c r="T3672">
        <v>-0.30782320000000002</v>
      </c>
      <c r="U3672">
        <v>-3.0279240000000001</v>
      </c>
      <c r="V3672">
        <v>-1.04767E-2</v>
      </c>
      <c r="W3672">
        <v>-1.654623E-4</v>
      </c>
      <c r="X3672">
        <v>0.99994510000000003</v>
      </c>
      <c r="Y3672">
        <v>-0.19998070000000001</v>
      </c>
      <c r="Z3672">
        <v>9.9296759999999998E-2</v>
      </c>
      <c r="AA3672">
        <v>0.97475529999999999</v>
      </c>
      <c r="AB3672">
        <v>19</v>
      </c>
      <c r="AC3672">
        <v>1.41319999999996</v>
      </c>
      <c r="AD3672">
        <v>-1.1117291076139999</v>
      </c>
      <c r="AE3672">
        <v>-10.821199999999999</v>
      </c>
      <c r="AF3672">
        <v>-2.1872628059569301</v>
      </c>
      <c r="AG3672">
        <v>-1.1117291076139999</v>
      </c>
      <c r="AH3672">
        <v>10.5772139571707</v>
      </c>
      <c r="AI3672">
        <v>95.876666088554003</v>
      </c>
      <c r="AJ3672">
        <v>101.683518491749</v>
      </c>
      <c r="AK3672">
        <v>10.8580622252226</v>
      </c>
      <c r="AL3672">
        <v>90.009480291541394</v>
      </c>
      <c r="AM3672">
        <v>90.600281685571701</v>
      </c>
      <c r="AN3672">
        <v>0.99999999581733601</v>
      </c>
    </row>
    <row r="3673" spans="1:40" x14ac:dyDescent="0.25">
      <c r="A3673" t="str">
        <f>"20190312153955482"</f>
        <v>20190312153955482</v>
      </c>
      <c r="B3673" t="str">
        <f>"1552376395479463"</f>
        <v>1552376395479463</v>
      </c>
      <c r="C3673" t="s">
        <v>40</v>
      </c>
      <c r="D3673">
        <v>3.9104480000000001</v>
      </c>
      <c r="E3673">
        <v>0.43286619999999998</v>
      </c>
      <c r="F3673" t="s">
        <v>42</v>
      </c>
      <c r="G3673">
        <v>-490.86340000000001</v>
      </c>
      <c r="H3673" s="1">
        <v>-4.6005749999999999E-7</v>
      </c>
      <c r="I3673">
        <v>250.126</v>
      </c>
      <c r="J3673">
        <v>-492.40989999999999</v>
      </c>
      <c r="K3673">
        <v>1.1115950000000001</v>
      </c>
      <c r="L3673">
        <v>262.24009999999998</v>
      </c>
      <c r="M3673">
        <v>-7.1702399999999902E-2</v>
      </c>
      <c r="N3673">
        <v>0</v>
      </c>
      <c r="O3673">
        <v>-0.99733870000000002</v>
      </c>
      <c r="P3673">
        <v>-6.3362479999999999E-2</v>
      </c>
      <c r="Q3673">
        <v>-1.297778E-2</v>
      </c>
      <c r="R3673">
        <v>-0.99790610000000002</v>
      </c>
      <c r="S3673">
        <v>0.38021850000000001</v>
      </c>
      <c r="T3673">
        <v>-0.27463919999999997</v>
      </c>
      <c r="U3673">
        <v>-3.0268549999999999</v>
      </c>
      <c r="V3673">
        <v>-8.3596360000000002E-3</v>
      </c>
      <c r="W3673">
        <v>1.9914309999999999E-4</v>
      </c>
      <c r="X3673">
        <v>0.99996499999999999</v>
      </c>
      <c r="Y3673">
        <v>-0.1949678</v>
      </c>
      <c r="Z3673">
        <v>8.8800030000000002E-2</v>
      </c>
      <c r="AA3673">
        <v>0.97678149999999997</v>
      </c>
      <c r="AB3673">
        <v>19</v>
      </c>
      <c r="AC3673">
        <v>1.54649999999998</v>
      </c>
      <c r="AD3673">
        <v>-1.1115954600575</v>
      </c>
      <c r="AE3673">
        <v>-12.114100000000001</v>
      </c>
      <c r="AF3673">
        <v>-2.3913918827133802</v>
      </c>
      <c r="AG3673">
        <v>-1.1115954600575</v>
      </c>
      <c r="AH3673">
        <v>11.8736436278962</v>
      </c>
      <c r="AI3673">
        <v>95.243680614442198</v>
      </c>
      <c r="AJ3673">
        <v>101.387226355704</v>
      </c>
      <c r="AK3673">
        <v>12.1629689058966</v>
      </c>
      <c r="AL3673">
        <v>89.988589940344099</v>
      </c>
      <c r="AM3673">
        <v>90.478977467551502</v>
      </c>
      <c r="AN3673">
        <v>0.99999996219851195</v>
      </c>
    </row>
    <row r="3674" spans="1:40" x14ac:dyDescent="0.25">
      <c r="A3674" t="str">
        <f>"20190312153955496"</f>
        <v>20190312153955496</v>
      </c>
      <c r="B3674" t="str">
        <f>"1552376395489223"</f>
        <v>1552376395489223</v>
      </c>
      <c r="C3674" t="s">
        <v>40</v>
      </c>
      <c r="D3674">
        <v>4.0479620000000001</v>
      </c>
      <c r="E3674">
        <v>0.43399579999999999</v>
      </c>
      <c r="F3674" t="s">
        <v>42</v>
      </c>
      <c r="G3674">
        <v>-490.50689999999997</v>
      </c>
      <c r="H3674" s="1">
        <v>-2.8680319999999999E-6</v>
      </c>
      <c r="I3674">
        <v>245.96019999999999</v>
      </c>
      <c r="J3674">
        <v>-492.41640000000001</v>
      </c>
      <c r="K3674">
        <v>1.111475</v>
      </c>
      <c r="L3674">
        <v>262.11959999999999</v>
      </c>
      <c r="M3674">
        <v>-6.987082E-2</v>
      </c>
      <c r="N3674">
        <v>0</v>
      </c>
      <c r="O3674">
        <v>-0.99746769999999996</v>
      </c>
      <c r="P3674">
        <v>-6.3003569999999995E-2</v>
      </c>
      <c r="Q3674">
        <v>-1.2644549999999999E-2</v>
      </c>
      <c r="R3674">
        <v>-0.99793310000000002</v>
      </c>
      <c r="S3674">
        <v>0.35372920000000002</v>
      </c>
      <c r="T3674">
        <v>-0.20661869999999999</v>
      </c>
      <c r="U3674">
        <v>-3.0260310000000001</v>
      </c>
      <c r="V3674">
        <v>-6.8848210000000002E-3</v>
      </c>
      <c r="W3674">
        <v>6.2257449999999896E-4</v>
      </c>
      <c r="X3674">
        <v>0.99997610000000003</v>
      </c>
      <c r="Y3674">
        <v>-0.18496209999999999</v>
      </c>
      <c r="Z3674">
        <v>6.7056630000000006E-2</v>
      </c>
      <c r="AA3674">
        <v>0.98045519999999997</v>
      </c>
      <c r="AB3674">
        <v>19</v>
      </c>
      <c r="AC3674">
        <v>1.90950000000003</v>
      </c>
      <c r="AD3674">
        <v>-1.1114778680320001</v>
      </c>
      <c r="AE3674">
        <v>-16.159400000000002</v>
      </c>
      <c r="AF3674">
        <v>-3.0199120971297102</v>
      </c>
      <c r="AG3674">
        <v>-1.1114778680320001</v>
      </c>
      <c r="AH3674">
        <v>15.912226391768099</v>
      </c>
      <c r="AI3674">
        <v>93.925801621084503</v>
      </c>
      <c r="AJ3674">
        <v>100.74611272418601</v>
      </c>
      <c r="AK3674">
        <v>16.234352493043801</v>
      </c>
      <c r="AL3674">
        <v>89.9643291062157</v>
      </c>
      <c r="AM3674">
        <v>90.394474381075298</v>
      </c>
      <c r="AN3674">
        <v>0.99999999446521004</v>
      </c>
    </row>
    <row r="3675" spans="1:40" x14ac:dyDescent="0.25">
      <c r="A3675" t="str">
        <f>"20190312153955508"</f>
        <v>20190312153955508</v>
      </c>
      <c r="B3675" t="str">
        <f>"1552376395498983"</f>
        <v>1552376395498983</v>
      </c>
      <c r="C3675" t="s">
        <v>40</v>
      </c>
      <c r="D3675">
        <v>4.0731029999999997</v>
      </c>
      <c r="E3675">
        <v>0.43530629999999998</v>
      </c>
      <c r="F3675" t="s">
        <v>42</v>
      </c>
      <c r="G3675">
        <v>-490.29719999999998</v>
      </c>
      <c r="H3675" s="1">
        <v>-1.7616640000000001E-6</v>
      </c>
      <c r="I3675">
        <v>243.51130000000001</v>
      </c>
      <c r="J3675">
        <v>-492.42200000000003</v>
      </c>
      <c r="K3675">
        <v>1.1113710000000001</v>
      </c>
      <c r="L3675">
        <v>262.01369999999997</v>
      </c>
      <c r="M3675">
        <v>-6.8427559999999998E-2</v>
      </c>
      <c r="N3675">
        <v>0</v>
      </c>
      <c r="O3675">
        <v>-0.99756679999999998</v>
      </c>
      <c r="P3675">
        <v>-6.2998799999999994E-2</v>
      </c>
      <c r="Q3675">
        <v>-1.254708E-2</v>
      </c>
      <c r="R3675">
        <v>-0.9979346</v>
      </c>
      <c r="S3675">
        <v>0.34457399999999999</v>
      </c>
      <c r="T3675">
        <v>-0.18072170000000001</v>
      </c>
      <c r="U3675">
        <v>-3.0256349999999999</v>
      </c>
      <c r="V3675">
        <v>-5.4428929999999999E-3</v>
      </c>
      <c r="W3675">
        <v>7.9089799999999995E-4</v>
      </c>
      <c r="X3675">
        <v>0.99998489999999995</v>
      </c>
      <c r="Y3675">
        <v>-0.1806855</v>
      </c>
      <c r="Z3675">
        <v>5.8734059999999998E-2</v>
      </c>
      <c r="AA3675">
        <v>0.98178569999999998</v>
      </c>
      <c r="AB3675">
        <v>19</v>
      </c>
      <c r="AC3675">
        <v>2.1247999999999898</v>
      </c>
      <c r="AD3675">
        <v>-1.1113727616639999</v>
      </c>
      <c r="AE3675">
        <v>-18.502399999999898</v>
      </c>
      <c r="AF3675">
        <v>-3.3739908238244101</v>
      </c>
      <c r="AG3675">
        <v>-1.1113727616639999</v>
      </c>
      <c r="AH3675">
        <v>18.248632843556301</v>
      </c>
      <c r="AI3675">
        <v>93.427162428772903</v>
      </c>
      <c r="AJ3675">
        <v>100.475127386194</v>
      </c>
      <c r="AK3675">
        <v>18.591168982975201</v>
      </c>
      <c r="AL3675">
        <v>89.954684879002102</v>
      </c>
      <c r="AM3675">
        <v>90.311856426660199</v>
      </c>
      <c r="AN3675">
        <v>1.00000002541593</v>
      </c>
    </row>
    <row r="3676" spans="1:40" x14ac:dyDescent="0.25">
      <c r="A3676" t="str">
        <f>"20190312153955521"</f>
        <v>20190312153955521</v>
      </c>
      <c r="B3676" t="str">
        <f>"1552376395509718"</f>
        <v>1552376395509718</v>
      </c>
      <c r="C3676" t="s">
        <v>40</v>
      </c>
      <c r="D3676">
        <v>4.0452949999999896</v>
      </c>
      <c r="E3676">
        <v>0.43653750000000002</v>
      </c>
      <c r="F3676" t="s">
        <v>42</v>
      </c>
      <c r="G3676">
        <v>-490.13459999999998</v>
      </c>
      <c r="H3676" s="1">
        <v>-7.5318820000000002E-7</v>
      </c>
      <c r="I3676">
        <v>241.26130000000001</v>
      </c>
      <c r="J3676">
        <v>-492.42759999999998</v>
      </c>
      <c r="K3676">
        <v>1.1112660000000001</v>
      </c>
      <c r="L3676">
        <v>261.90769999999998</v>
      </c>
      <c r="M3676">
        <v>-6.7052269999999997E-2</v>
      </c>
      <c r="N3676">
        <v>0</v>
      </c>
      <c r="O3676">
        <v>-0.99765950000000003</v>
      </c>
      <c r="P3676">
        <v>-6.3191150000000001E-2</v>
      </c>
      <c r="Q3676">
        <v>-1.200352E-2</v>
      </c>
      <c r="R3676">
        <v>-0.99792959999999997</v>
      </c>
      <c r="S3676">
        <v>0.33343509999999998</v>
      </c>
      <c r="T3676">
        <v>-0.16201009999999999</v>
      </c>
      <c r="U3676">
        <v>-3.0251769999999998</v>
      </c>
      <c r="V3676">
        <v>-3.8736370000000001E-3</v>
      </c>
      <c r="W3676">
        <v>1.4017260000000001E-3</v>
      </c>
      <c r="X3676">
        <v>0.99999150000000003</v>
      </c>
      <c r="Y3676">
        <v>-0.1758111</v>
      </c>
      <c r="Z3676">
        <v>5.2720799999999998E-2</v>
      </c>
      <c r="AA3676">
        <v>0.98301119999999997</v>
      </c>
      <c r="AB3676">
        <v>19</v>
      </c>
      <c r="AC3676">
        <v>2.2930000000000001</v>
      </c>
      <c r="AD3676">
        <v>-1.1112667531881999</v>
      </c>
      <c r="AE3676">
        <v>-20.6463999999999</v>
      </c>
      <c r="AF3676">
        <v>-3.66187168227522</v>
      </c>
      <c r="AG3676">
        <v>-1.1112667531881999</v>
      </c>
      <c r="AH3676">
        <v>20.387817727645601</v>
      </c>
      <c r="AI3676">
        <v>93.0708565307892</v>
      </c>
      <c r="AJ3676">
        <v>100.18237101752599</v>
      </c>
      <c r="AK3676">
        <v>20.743850407045699</v>
      </c>
      <c r="AL3676">
        <v>89.919686988660004</v>
      </c>
      <c r="AM3676">
        <v>90.221943827889504</v>
      </c>
      <c r="AN3676">
        <v>0.99999998498581799</v>
      </c>
    </row>
    <row r="3677" spans="1:40" x14ac:dyDescent="0.25">
      <c r="A3677" t="str">
        <f>"20190312153955538"</f>
        <v>20190312153955538</v>
      </c>
      <c r="B3677" t="str">
        <f>"1552376395529238"</f>
        <v>1552376395529238</v>
      </c>
      <c r="C3677" t="s">
        <v>40</v>
      </c>
      <c r="D3677">
        <v>4.1005760000000002</v>
      </c>
      <c r="E3677">
        <v>0.43868370000000001</v>
      </c>
      <c r="F3677" t="s">
        <v>42</v>
      </c>
      <c r="G3677">
        <v>-490.03160000000003</v>
      </c>
      <c r="H3677" s="1">
        <v>-4.2324980000000001E-6</v>
      </c>
      <c r="I3677">
        <v>239.43549999999999</v>
      </c>
      <c r="J3677">
        <v>-492.43529999999998</v>
      </c>
      <c r="K3677">
        <v>1.1111260000000001</v>
      </c>
      <c r="L3677">
        <v>261.75970000000001</v>
      </c>
      <c r="M3677">
        <v>-6.5319680000000005E-2</v>
      </c>
      <c r="N3677">
        <v>0</v>
      </c>
      <c r="O3677">
        <v>-0.99777329999999997</v>
      </c>
      <c r="P3677">
        <v>-6.5248440000000005E-2</v>
      </c>
      <c r="Q3677">
        <v>-1.1777849999999999E-2</v>
      </c>
      <c r="R3677">
        <v>-0.99780000000000002</v>
      </c>
      <c r="S3677">
        <v>0.32250980000000001</v>
      </c>
      <c r="T3677">
        <v>-0.1495832</v>
      </c>
      <c r="U3677">
        <v>-3.0248719999999998</v>
      </c>
      <c r="V3677" s="1">
        <v>-7.6035020000000001E-5</v>
      </c>
      <c r="W3677">
        <v>1.7150080000000001E-3</v>
      </c>
      <c r="X3677">
        <v>0.99999850000000001</v>
      </c>
      <c r="Y3677">
        <v>-0.17062260000000001</v>
      </c>
      <c r="Z3677">
        <v>4.873239E-2</v>
      </c>
      <c r="AA3677">
        <v>0.98413059999999997</v>
      </c>
      <c r="AB3677">
        <v>19</v>
      </c>
      <c r="AC3677">
        <v>2.40369999999995</v>
      </c>
      <c r="AD3677">
        <v>-1.1111302324979999</v>
      </c>
      <c r="AE3677">
        <v>-22.324200000000001</v>
      </c>
      <c r="AF3677">
        <v>-3.8474857223288299</v>
      </c>
      <c r="AG3677">
        <v>-1.1111302324979999</v>
      </c>
      <c r="AH3677">
        <v>22.065456101527801</v>
      </c>
      <c r="AI3677">
        <v>92.839978696421198</v>
      </c>
      <c r="AJ3677">
        <v>99.891047021917103</v>
      </c>
      <c r="AK3677">
        <v>22.425924947380601</v>
      </c>
      <c r="AL3677">
        <v>89.901737228997305</v>
      </c>
      <c r="AM3677">
        <v>90.004356492267505</v>
      </c>
      <c r="AN3677">
        <v>0.99999997351800596</v>
      </c>
    </row>
    <row r="3678" spans="1:40" x14ac:dyDescent="0.25">
      <c r="A3678" t="str">
        <f>"20190312153955552"</f>
        <v>20190312153955552</v>
      </c>
      <c r="B3678" t="str">
        <f>"1552376395549735"</f>
        <v>1552376395549735</v>
      </c>
      <c r="C3678" t="s">
        <v>40</v>
      </c>
      <c r="D3678">
        <v>4.119129</v>
      </c>
      <c r="E3678">
        <v>0.44021169999999998</v>
      </c>
      <c r="F3678" t="s">
        <v>42</v>
      </c>
      <c r="G3678">
        <v>-489.90940000000001</v>
      </c>
      <c r="H3678" s="1">
        <v>-2.8047149999999998E-6</v>
      </c>
      <c r="I3678">
        <v>236.13310000000001</v>
      </c>
      <c r="J3678">
        <v>-492.44150000000002</v>
      </c>
      <c r="K3678">
        <v>1.1110199999999999</v>
      </c>
      <c r="L3678">
        <v>261.642</v>
      </c>
      <c r="M3678">
        <v>-6.4102129999999993E-2</v>
      </c>
      <c r="N3678">
        <v>0</v>
      </c>
      <c r="O3678">
        <v>-0.99785170000000001</v>
      </c>
      <c r="P3678">
        <v>-6.5674969999999999E-2</v>
      </c>
      <c r="Q3678">
        <v>-1.1842429999999999E-2</v>
      </c>
      <c r="R3678">
        <v>-0.99777110000000002</v>
      </c>
      <c r="S3678">
        <v>0.29812620000000001</v>
      </c>
      <c r="T3678">
        <v>-0.1311418</v>
      </c>
      <c r="U3678">
        <v>-3.024597</v>
      </c>
      <c r="V3678">
        <v>1.5720199999999999E-3</v>
      </c>
      <c r="W3678">
        <v>1.7097620000000001E-3</v>
      </c>
      <c r="X3678">
        <v>0.99999729999999998</v>
      </c>
      <c r="Y3678">
        <v>-0.16159849999999901</v>
      </c>
      <c r="Z3678">
        <v>4.2795760000000002E-2</v>
      </c>
      <c r="AA3678">
        <v>0.98592820000000003</v>
      </c>
      <c r="AB3678">
        <v>19</v>
      </c>
      <c r="AC3678">
        <v>2.53210000000001</v>
      </c>
      <c r="AD3678">
        <v>-1.1110228047149999</v>
      </c>
      <c r="AE3678">
        <v>-25.508899999999901</v>
      </c>
      <c r="AF3678">
        <v>-4.1544118318102097</v>
      </c>
      <c r="AG3678">
        <v>-1.1110228047149999</v>
      </c>
      <c r="AH3678">
        <v>25.246674383264601</v>
      </c>
      <c r="AI3678">
        <v>92.486377427635702</v>
      </c>
      <c r="AJ3678">
        <v>99.344441647996206</v>
      </c>
      <c r="AK3678">
        <v>25.610311922260401</v>
      </c>
      <c r="AL3678">
        <v>89.902037805432101</v>
      </c>
      <c r="AM3678">
        <v>89.909929719695498</v>
      </c>
      <c r="AN3678">
        <v>0.999999997270133</v>
      </c>
    </row>
    <row r="3679" spans="1:40" x14ac:dyDescent="0.25">
      <c r="A3679" t="str">
        <f>"20190312153955566"</f>
        <v>20190312153955566</v>
      </c>
      <c r="B3679" t="str">
        <f>"1552376395559495"</f>
        <v>1552376395559495</v>
      </c>
      <c r="C3679" t="s">
        <v>40</v>
      </c>
      <c r="D3679">
        <v>4.1479339999999896</v>
      </c>
      <c r="E3679">
        <v>0.44101669999999998</v>
      </c>
      <c r="F3679" t="s">
        <v>42</v>
      </c>
      <c r="G3679">
        <v>-489.72699999999998</v>
      </c>
      <c r="H3679" s="1">
        <v>-1.37106E-6</v>
      </c>
      <c r="I3679">
        <v>232.7159</v>
      </c>
      <c r="J3679">
        <v>-492.44740000000002</v>
      </c>
      <c r="K3679">
        <v>1.1109279999999999</v>
      </c>
      <c r="L3679">
        <v>261.5283</v>
      </c>
      <c r="M3679">
        <v>-6.3019389999999995E-2</v>
      </c>
      <c r="N3679">
        <v>0</v>
      </c>
      <c r="O3679">
        <v>-0.99791989999999997</v>
      </c>
      <c r="P3679">
        <v>-6.6787970000000002E-2</v>
      </c>
      <c r="Q3679">
        <v>-1.186356E-2</v>
      </c>
      <c r="R3679">
        <v>-0.9976971</v>
      </c>
      <c r="S3679">
        <v>0.28378300000000001</v>
      </c>
      <c r="T3679">
        <v>-0.1161481</v>
      </c>
      <c r="U3679">
        <v>-3.023987</v>
      </c>
      <c r="V3679">
        <v>3.7727310000000001E-3</v>
      </c>
      <c r="W3679">
        <v>1.74171E-3</v>
      </c>
      <c r="X3679">
        <v>0.99999139999999997</v>
      </c>
      <c r="Y3679">
        <v>-0.1559295</v>
      </c>
      <c r="Z3679">
        <v>3.7948080000000002E-2</v>
      </c>
      <c r="AA3679">
        <v>0.987039</v>
      </c>
      <c r="AB3679">
        <v>19</v>
      </c>
      <c r="AC3679">
        <v>2.7204000000000401</v>
      </c>
      <c r="AD3679">
        <v>-1.1109293710599999</v>
      </c>
      <c r="AE3679">
        <v>-28.8124</v>
      </c>
      <c r="AF3679">
        <v>-4.5242324024465503</v>
      </c>
      <c r="AG3679">
        <v>-1.1109293710599999</v>
      </c>
      <c r="AH3679">
        <v>28.541608363847701</v>
      </c>
      <c r="AI3679">
        <v>92.201547647853602</v>
      </c>
      <c r="AJ3679">
        <v>99.007217712427604</v>
      </c>
      <c r="AK3679">
        <v>28.919305850834199</v>
      </c>
      <c r="AL3679">
        <v>89.900207320759193</v>
      </c>
      <c r="AM3679">
        <v>89.783837603052504</v>
      </c>
      <c r="AN3679">
        <v>1.00000003356344</v>
      </c>
    </row>
    <row r="3680" spans="1:40" x14ac:dyDescent="0.25">
      <c r="A3680" t="str">
        <f>"20190312153955579"</f>
        <v>20190312153955579</v>
      </c>
      <c r="B3680" t="str">
        <f>"1552376395569255"</f>
        <v>1552376395569255</v>
      </c>
      <c r="C3680" t="s">
        <v>40</v>
      </c>
      <c r="D3680">
        <v>4.1160589999999999</v>
      </c>
      <c r="E3680">
        <v>0.44185859999999899</v>
      </c>
      <c r="F3680" t="s">
        <v>42</v>
      </c>
      <c r="G3680">
        <v>-489.6121</v>
      </c>
      <c r="H3680" s="1">
        <v>-2.80495299999999E-7</v>
      </c>
      <c r="I3680">
        <v>230.12620000000001</v>
      </c>
      <c r="J3680">
        <v>-492.45299999999997</v>
      </c>
      <c r="K3680">
        <v>1.1108480000000001</v>
      </c>
      <c r="L3680">
        <v>261.42219999999998</v>
      </c>
      <c r="M3680">
        <v>-6.2067890000000001E-2</v>
      </c>
      <c r="N3680">
        <v>0</v>
      </c>
      <c r="O3680">
        <v>-0.99797880000000005</v>
      </c>
      <c r="P3680">
        <v>-6.7431379999999999E-2</v>
      </c>
      <c r="Q3680">
        <v>-1.175268E-2</v>
      </c>
      <c r="R3680">
        <v>-0.99765499999999996</v>
      </c>
      <c r="S3680">
        <v>0.27304079999999997</v>
      </c>
      <c r="T3680">
        <v>-0.10698000000000001</v>
      </c>
      <c r="U3680">
        <v>-3.0239560000000001</v>
      </c>
      <c r="V3680">
        <v>5.3710069999999997E-3</v>
      </c>
      <c r="W3680">
        <v>1.8981130000000001E-3</v>
      </c>
      <c r="X3680">
        <v>0.99998379999999998</v>
      </c>
      <c r="Y3680">
        <v>-0.15152009999999999</v>
      </c>
      <c r="Z3680">
        <v>3.4977830000000001E-2</v>
      </c>
      <c r="AA3680">
        <v>0.98783509999999997</v>
      </c>
      <c r="AB3680">
        <v>19</v>
      </c>
      <c r="AC3680">
        <v>2.8409000000000302</v>
      </c>
      <c r="AD3680">
        <v>-1.1108482804952999</v>
      </c>
      <c r="AE3680">
        <v>-31.2959999999999</v>
      </c>
      <c r="AF3680">
        <v>-4.7721155896628096</v>
      </c>
      <c r="AG3680">
        <v>-1.1108482804952999</v>
      </c>
      <c r="AH3680">
        <v>31.020539841113301</v>
      </c>
      <c r="AI3680">
        <v>92.027064915554405</v>
      </c>
      <c r="AJ3680">
        <v>98.745665793635197</v>
      </c>
      <c r="AK3680">
        <v>31.4051104621124</v>
      </c>
      <c r="AL3680">
        <v>89.891246073520307</v>
      </c>
      <c r="AM3680">
        <v>89.692261941013399</v>
      </c>
      <c r="AN3680">
        <v>1.0000000254057899</v>
      </c>
    </row>
    <row r="3681" spans="1:40" x14ac:dyDescent="0.25">
      <c r="A3681" t="str">
        <f>"20190312153955594"</f>
        <v>20190312153955594</v>
      </c>
      <c r="B3681" t="str">
        <f>"1552376395589751"</f>
        <v>1552376395589751</v>
      </c>
      <c r="C3681" t="s">
        <v>40</v>
      </c>
      <c r="D3681">
        <v>4.113378</v>
      </c>
      <c r="E3681">
        <v>0.44330029999999998</v>
      </c>
      <c r="F3681" t="s">
        <v>54</v>
      </c>
      <c r="G3681">
        <v>-489.55</v>
      </c>
      <c r="H3681" s="1">
        <v>6.0903639999999899E-6</v>
      </c>
      <c r="I3681">
        <v>228.21549999999999</v>
      </c>
      <c r="J3681">
        <v>-492.46019999999999</v>
      </c>
      <c r="K3681">
        <v>1.1107610000000001</v>
      </c>
      <c r="L3681">
        <v>261.28519999999997</v>
      </c>
      <c r="M3681">
        <v>-6.0998219999999999E-2</v>
      </c>
      <c r="N3681">
        <v>0</v>
      </c>
      <c r="O3681">
        <v>-0.99804400000000004</v>
      </c>
      <c r="P3681">
        <v>-7.0226140000000006E-2</v>
      </c>
      <c r="Q3681">
        <v>-1.1795170000000001E-2</v>
      </c>
      <c r="R3681">
        <v>-0.99746159999999995</v>
      </c>
      <c r="S3681">
        <v>0.2643433</v>
      </c>
      <c r="T3681">
        <v>-0.1011502</v>
      </c>
      <c r="U3681">
        <v>-3.0237120000000002</v>
      </c>
      <c r="V3681">
        <v>9.2444169999999996E-3</v>
      </c>
      <c r="W3681">
        <v>1.9095570000000001E-3</v>
      </c>
      <c r="X3681">
        <v>0.9999555</v>
      </c>
      <c r="Y3681">
        <v>-0.14765320000000001</v>
      </c>
      <c r="Z3681">
        <v>3.3093839999999999E-2</v>
      </c>
      <c r="AA3681">
        <v>0.98848539999999996</v>
      </c>
      <c r="AB3681">
        <v>19</v>
      </c>
      <c r="AC3681">
        <v>2.9101999999999699</v>
      </c>
      <c r="AD3681">
        <v>-1.1107549096359901</v>
      </c>
      <c r="AE3681">
        <v>-33.069699999999898</v>
      </c>
      <c r="AF3681">
        <v>-4.9166574742130802</v>
      </c>
      <c r="AG3681">
        <v>-1.1107549096359901</v>
      </c>
      <c r="AH3681">
        <v>32.793862016371698</v>
      </c>
      <c r="AI3681">
        <v>91.918487640172003</v>
      </c>
      <c r="AJ3681">
        <v>98.526627378330502</v>
      </c>
      <c r="AK3681">
        <v>33.178979537304102</v>
      </c>
      <c r="AL3681">
        <v>89.890590382556297</v>
      </c>
      <c r="AM3681">
        <v>89.470325440180105</v>
      </c>
      <c r="AN3681">
        <v>1.00000005381692</v>
      </c>
    </row>
    <row r="3682" spans="1:40" x14ac:dyDescent="0.25">
      <c r="A3682" t="str">
        <f>"20190312153955618"</f>
        <v>20190312153955618</v>
      </c>
      <c r="B3682" t="str">
        <f>"1552376395609270"</f>
        <v>1552376395609270</v>
      </c>
      <c r="C3682" t="s">
        <v>40</v>
      </c>
      <c r="D3682">
        <v>4.1305239999999896</v>
      </c>
      <c r="E3682">
        <v>0.44468010000000002</v>
      </c>
      <c r="F3682" t="s">
        <v>54</v>
      </c>
      <c r="G3682">
        <v>-489.529</v>
      </c>
      <c r="H3682" s="1">
        <v>5.0659369999999996E-6</v>
      </c>
      <c r="I3682">
        <v>224.92660000000001</v>
      </c>
      <c r="J3682">
        <v>-492.47039999999998</v>
      </c>
      <c r="K3682">
        <v>1.1106560000000001</v>
      </c>
      <c r="L3682">
        <v>261.09030000000001</v>
      </c>
      <c r="M3682">
        <v>-5.9678540000000002E-2</v>
      </c>
      <c r="N3682">
        <v>0</v>
      </c>
      <c r="O3682">
        <v>-0.99812310000000004</v>
      </c>
      <c r="P3682">
        <v>-7.3108909999999999E-2</v>
      </c>
      <c r="Q3682">
        <v>-1.1181959999999999E-2</v>
      </c>
      <c r="R3682">
        <v>-0.99726179999999998</v>
      </c>
      <c r="S3682">
        <v>0.2437744</v>
      </c>
      <c r="T3682">
        <v>-9.2375520000000003E-2</v>
      </c>
      <c r="U3682">
        <v>-3.0237430000000001</v>
      </c>
      <c r="V3682">
        <v>1.3455979999999999E-2</v>
      </c>
      <c r="W3682">
        <v>2.5876179999999999E-3</v>
      </c>
      <c r="X3682">
        <v>0.99990610000000002</v>
      </c>
      <c r="Y3682">
        <v>-0.1396703</v>
      </c>
      <c r="Z3682">
        <v>3.0255399999999998E-2</v>
      </c>
      <c r="AA3682">
        <v>0.9897357</v>
      </c>
      <c r="AB3682">
        <v>19</v>
      </c>
      <c r="AC3682">
        <v>2.9413999999999798</v>
      </c>
      <c r="AD3682">
        <v>-1.110650934063</v>
      </c>
      <c r="AE3682">
        <v>-36.163699999999999</v>
      </c>
      <c r="AF3682">
        <v>-5.0897877227984498</v>
      </c>
      <c r="AG3682">
        <v>-1.110650934063</v>
      </c>
      <c r="AH3682">
        <v>35.890046876695301</v>
      </c>
      <c r="AI3682">
        <v>91.75495691303</v>
      </c>
      <c r="AJ3682">
        <v>98.071641388757399</v>
      </c>
      <c r="AK3682">
        <v>36.266168109849602</v>
      </c>
      <c r="AL3682">
        <v>89.851740241781897</v>
      </c>
      <c r="AM3682">
        <v>89.229003275413305</v>
      </c>
      <c r="AN3682">
        <v>0.99999998399094203</v>
      </c>
    </row>
    <row r="3683" spans="1:40" x14ac:dyDescent="0.25">
      <c r="A3683" t="str">
        <f>"20190312153955631"</f>
        <v>20190312153955631</v>
      </c>
      <c r="B3683" t="str">
        <f>"1552376395619032"</f>
        <v>1552376395619032</v>
      </c>
      <c r="C3683" t="s">
        <v>40</v>
      </c>
      <c r="D3683">
        <v>4.1208130000000001</v>
      </c>
      <c r="E3683">
        <v>0.44530969999999997</v>
      </c>
      <c r="F3683" t="s">
        <v>54</v>
      </c>
      <c r="G3683">
        <v>-489.49560000000002</v>
      </c>
      <c r="H3683" s="1">
        <v>3.8490699999999997E-6</v>
      </c>
      <c r="I3683">
        <v>220.96100000000001</v>
      </c>
      <c r="J3683">
        <v>-492.47669999999999</v>
      </c>
      <c r="K3683">
        <v>1.110603</v>
      </c>
      <c r="L3683">
        <v>260.96980000000002</v>
      </c>
      <c r="M3683">
        <v>-5.9011189999999998E-2</v>
      </c>
      <c r="N3683">
        <v>0</v>
      </c>
      <c r="O3683">
        <v>-0.99816199999999999</v>
      </c>
      <c r="P3683">
        <v>-7.4658530000000001E-2</v>
      </c>
      <c r="Q3683">
        <v>-1.065925E-2</v>
      </c>
      <c r="R3683">
        <v>-0.99715229999999999</v>
      </c>
      <c r="S3683">
        <v>0.22415160000000001</v>
      </c>
      <c r="T3683">
        <v>-8.3688499999999999E-2</v>
      </c>
      <c r="U3683">
        <v>-3.0237729999999998</v>
      </c>
      <c r="V3683">
        <v>1.5677819999999999E-2</v>
      </c>
      <c r="W3683">
        <v>3.143608E-3</v>
      </c>
      <c r="X3683">
        <v>0.99987210000000004</v>
      </c>
      <c r="Y3683">
        <v>-0.1326254</v>
      </c>
      <c r="Z3683">
        <v>2.7434050000000001E-2</v>
      </c>
      <c r="AA3683">
        <v>0.99078650000000001</v>
      </c>
      <c r="AB3683">
        <v>19</v>
      </c>
      <c r="AC3683">
        <v>2.9810999999999601</v>
      </c>
      <c r="AD3683">
        <v>-1.1105991509299999</v>
      </c>
      <c r="AE3683">
        <v>-40.008800000000001</v>
      </c>
      <c r="AF3683">
        <v>-5.3330088011934498</v>
      </c>
      <c r="AG3683">
        <v>-1.1105991509299999</v>
      </c>
      <c r="AH3683">
        <v>39.732682057334301</v>
      </c>
      <c r="AI3683">
        <v>91.586878965400203</v>
      </c>
      <c r="AJ3683">
        <v>97.644677399128497</v>
      </c>
      <c r="AK3683">
        <v>40.104369298330397</v>
      </c>
      <c r="AL3683">
        <v>89.819884222830794</v>
      </c>
      <c r="AM3683">
        <v>89.101685792328993</v>
      </c>
      <c r="AN3683">
        <v>0.99999994633480804</v>
      </c>
    </row>
    <row r="3684" spans="1:40" x14ac:dyDescent="0.25">
      <c r="A3684" t="str">
        <f>"20190312153955645"</f>
        <v>20190312153955645</v>
      </c>
      <c r="B3684" t="str">
        <f>"1552376395639527"</f>
        <v>1552376395639527</v>
      </c>
      <c r="C3684" t="s">
        <v>40</v>
      </c>
      <c r="D3684">
        <v>4.166919</v>
      </c>
      <c r="E3684">
        <v>0.44650030000000002</v>
      </c>
      <c r="F3684" t="s">
        <v>54</v>
      </c>
      <c r="G3684">
        <v>-489.48520000000002</v>
      </c>
      <c r="H3684" s="1">
        <v>3.4097379999999999E-6</v>
      </c>
      <c r="I3684">
        <v>218.6687</v>
      </c>
      <c r="J3684">
        <v>-492.48250000000002</v>
      </c>
      <c r="K3684">
        <v>1.1105640000000001</v>
      </c>
      <c r="L3684">
        <v>260.86070000000001</v>
      </c>
      <c r="M3684">
        <v>-5.8458179999999998E-2</v>
      </c>
      <c r="N3684">
        <v>0</v>
      </c>
      <c r="O3684">
        <v>-0.99819420000000003</v>
      </c>
      <c r="P3684">
        <v>-7.6094899999999993E-2</v>
      </c>
      <c r="Q3684">
        <v>-1.017056E-2</v>
      </c>
      <c r="R3684">
        <v>-0.99704899999999996</v>
      </c>
      <c r="S3684">
        <v>0.21383669999999999</v>
      </c>
      <c r="T3684">
        <v>-7.9386590000000007E-2</v>
      </c>
      <c r="U3684">
        <v>-3.0237120000000002</v>
      </c>
      <c r="V3684">
        <v>1.767179E-2</v>
      </c>
      <c r="W3684">
        <v>3.6604960000000001E-3</v>
      </c>
      <c r="X3684">
        <v>0.99983719999999998</v>
      </c>
      <c r="Y3684">
        <v>-0.1287171</v>
      </c>
      <c r="Z3684">
        <v>2.6036589999999998E-2</v>
      </c>
      <c r="AA3684">
        <v>0.99133950000000004</v>
      </c>
      <c r="AB3684">
        <v>19</v>
      </c>
      <c r="AC3684">
        <v>2.9972999999999899</v>
      </c>
      <c r="AD3684">
        <v>-1.1105605902619999</v>
      </c>
      <c r="AE3684">
        <v>-42.192</v>
      </c>
      <c r="AF3684">
        <v>-5.4551158305392802</v>
      </c>
      <c r="AG3684">
        <v>-1.1105605902619999</v>
      </c>
      <c r="AH3684">
        <v>41.915703992448996</v>
      </c>
      <c r="AI3684">
        <v>91.505015770508393</v>
      </c>
      <c r="AJ3684">
        <v>97.415077136834</v>
      </c>
      <c r="AK3684">
        <v>42.283777914607498</v>
      </c>
      <c r="AL3684">
        <v>89.790268572263699</v>
      </c>
      <c r="AM3684">
        <v>88.987421583941995</v>
      </c>
      <c r="AN3684">
        <v>1.0000000589483</v>
      </c>
    </row>
    <row r="3685" spans="1:40" x14ac:dyDescent="0.25">
      <c r="A3685" t="str">
        <f>"20190312153955661"</f>
        <v>20190312153955661</v>
      </c>
      <c r="B3685" t="str">
        <f>"1552376395649287"</f>
        <v>1552376395649287</v>
      </c>
      <c r="C3685" t="s">
        <v>40</v>
      </c>
      <c r="D3685">
        <v>4.1796069999999999</v>
      </c>
      <c r="E3685">
        <v>0.44706699999999999</v>
      </c>
      <c r="F3685" t="s">
        <v>54</v>
      </c>
      <c r="G3685">
        <v>-489.45089999999999</v>
      </c>
      <c r="H3685" s="1">
        <v>3.2435910000000001E-6</v>
      </c>
      <c r="I3685">
        <v>215.00720000000001</v>
      </c>
      <c r="J3685">
        <v>-492.48970000000003</v>
      </c>
      <c r="K3685">
        <v>1.1105179999999999</v>
      </c>
      <c r="L3685">
        <v>260.72390000000001</v>
      </c>
      <c r="M3685">
        <v>-5.7837270000000003E-2</v>
      </c>
      <c r="N3685">
        <v>0</v>
      </c>
      <c r="O3685">
        <v>-0.99823019999999996</v>
      </c>
      <c r="P3685">
        <v>-7.9255980000000004E-2</v>
      </c>
      <c r="Q3685">
        <v>-9.3040329999999997E-3</v>
      </c>
      <c r="R3685">
        <v>-0.99681120000000001</v>
      </c>
      <c r="S3685">
        <v>0.19989009999999999</v>
      </c>
      <c r="T3685">
        <v>-7.3224780000000003E-2</v>
      </c>
      <c r="U3685">
        <v>-3.0233460000000001</v>
      </c>
      <c r="V3685">
        <v>2.1463340000000001E-2</v>
      </c>
      <c r="W3685">
        <v>4.5583730000000001E-3</v>
      </c>
      <c r="X3685">
        <v>0.99975930000000002</v>
      </c>
      <c r="Y3685">
        <v>-0.12355869999999999</v>
      </c>
      <c r="Z3685">
        <v>2.4032850000000001E-2</v>
      </c>
      <c r="AA3685">
        <v>0.99204619999999999</v>
      </c>
      <c r="AB3685">
        <v>19</v>
      </c>
      <c r="AC3685">
        <v>3.0388000000000299</v>
      </c>
      <c r="AD3685">
        <v>-1.1105147564090001</v>
      </c>
      <c r="AE3685">
        <v>-45.716700000000003</v>
      </c>
      <c r="AF3685">
        <v>-5.67476049908697</v>
      </c>
      <c r="AG3685">
        <v>-1.1105147564090001</v>
      </c>
      <c r="AH3685">
        <v>45.437690779035798</v>
      </c>
      <c r="AI3685">
        <v>91.3892638074269</v>
      </c>
      <c r="AJ3685">
        <v>97.118869416473501</v>
      </c>
      <c r="AK3685">
        <v>45.804147116581902</v>
      </c>
      <c r="AL3685">
        <v>89.738823575743197</v>
      </c>
      <c r="AM3685">
        <v>88.770134053419596</v>
      </c>
      <c r="AN3685">
        <v>1.00000005583242</v>
      </c>
    </row>
    <row r="3686" spans="1:40" x14ac:dyDescent="0.25">
      <c r="A3686" t="str">
        <f>"20190312153955674"</f>
        <v>20190312153955674</v>
      </c>
      <c r="B3686" t="str">
        <f>"1552376395669784"</f>
        <v>1552376395669784</v>
      </c>
      <c r="C3686" t="s">
        <v>40</v>
      </c>
      <c r="D3686">
        <v>4.1883650000000001</v>
      </c>
      <c r="E3686">
        <v>0.44798290000000002</v>
      </c>
      <c r="F3686" t="s">
        <v>54</v>
      </c>
      <c r="G3686">
        <v>-489.49009999999998</v>
      </c>
      <c r="H3686" s="1">
        <v>3.1135520000000001E-6</v>
      </c>
      <c r="I3686">
        <v>211.87299999999999</v>
      </c>
      <c r="J3686">
        <v>-492.49560000000002</v>
      </c>
      <c r="K3686">
        <v>1.110476</v>
      </c>
      <c r="L3686">
        <v>260.61180000000002</v>
      </c>
      <c r="M3686">
        <v>-5.7396589999999997E-2</v>
      </c>
      <c r="N3686">
        <v>0</v>
      </c>
      <c r="O3686">
        <v>-0.99825489999999995</v>
      </c>
      <c r="P3686">
        <v>-8.0691170000000007E-2</v>
      </c>
      <c r="Q3686">
        <v>-8.7435510000000004E-3</v>
      </c>
      <c r="R3686">
        <v>-0.99670069999999999</v>
      </c>
      <c r="S3686">
        <v>0.1856689</v>
      </c>
      <c r="T3686">
        <v>-6.8737980000000004E-2</v>
      </c>
      <c r="U3686">
        <v>-3.0237430000000001</v>
      </c>
      <c r="V3686">
        <v>2.33441E-2</v>
      </c>
      <c r="W3686">
        <v>5.1415380000000002E-3</v>
      </c>
      <c r="X3686">
        <v>0.99971429999999994</v>
      </c>
      <c r="Y3686">
        <v>-0.11846569999999999</v>
      </c>
      <c r="Z3686">
        <v>2.2569369999999998E-2</v>
      </c>
      <c r="AA3686">
        <v>0.99270159999999996</v>
      </c>
      <c r="AB3686">
        <v>19</v>
      </c>
      <c r="AC3686">
        <v>3.00550000000004</v>
      </c>
      <c r="AD3686">
        <v>-1.110472886448</v>
      </c>
      <c r="AE3686">
        <v>-48.738799999999998</v>
      </c>
      <c r="AF3686">
        <v>-5.7952579337321302</v>
      </c>
      <c r="AG3686">
        <v>-1.110472886448</v>
      </c>
      <c r="AH3686">
        <v>48.460852788274998</v>
      </c>
      <c r="AI3686">
        <v>91.303410476232102</v>
      </c>
      <c r="AJ3686">
        <v>96.819409980305394</v>
      </c>
      <c r="AK3686">
        <v>48.818771159430902</v>
      </c>
      <c r="AL3686">
        <v>89.705410283883793</v>
      </c>
      <c r="AM3686">
        <v>88.662342442974193</v>
      </c>
      <c r="AN3686">
        <v>1.00000003202115</v>
      </c>
    </row>
    <row r="3687" spans="1:40" x14ac:dyDescent="0.25">
      <c r="A3687" t="str">
        <f>"20190312153955689"</f>
        <v>20190312153955689</v>
      </c>
      <c r="B3687" t="str">
        <f>"1552376395679542"</f>
        <v>1552376395679542</v>
      </c>
      <c r="C3687" t="s">
        <v>40</v>
      </c>
      <c r="D3687">
        <v>4.2032769999999999</v>
      </c>
      <c r="E3687">
        <v>0.44838329999999998</v>
      </c>
      <c r="F3687" t="s">
        <v>54</v>
      </c>
      <c r="G3687">
        <v>-489.50310000000002</v>
      </c>
      <c r="H3687" s="1">
        <v>2.6735490000000002E-6</v>
      </c>
      <c r="I3687">
        <v>208.50700000000001</v>
      </c>
      <c r="J3687">
        <v>-492.50209999999998</v>
      </c>
      <c r="K3687">
        <v>1.110436</v>
      </c>
      <c r="L3687">
        <v>260.49</v>
      </c>
      <c r="M3687">
        <v>-5.6987709999999997E-2</v>
      </c>
      <c r="N3687">
        <v>0</v>
      </c>
      <c r="O3687">
        <v>-0.99827809999999995</v>
      </c>
      <c r="P3687">
        <v>-8.1914340000000002E-2</v>
      </c>
      <c r="Q3687">
        <v>-8.2730700000000004E-3</v>
      </c>
      <c r="R3687">
        <v>-0.99660539999999997</v>
      </c>
      <c r="S3687">
        <v>0.17364499999999999</v>
      </c>
      <c r="T3687">
        <v>-6.4436439999999998E-2</v>
      </c>
      <c r="U3687">
        <v>-3.0234380000000001</v>
      </c>
      <c r="V3687">
        <v>2.498063E-2</v>
      </c>
      <c r="W3687">
        <v>5.6336279999999999E-3</v>
      </c>
      <c r="X3687">
        <v>0.99967209999999995</v>
      </c>
      <c r="Y3687">
        <v>-0.11413189999999999</v>
      </c>
      <c r="Z3687">
        <v>2.116844E-2</v>
      </c>
      <c r="AA3687">
        <v>0.99324009999999996</v>
      </c>
      <c r="AB3687">
        <v>19</v>
      </c>
      <c r="AC3687">
        <v>2.9989999999999601</v>
      </c>
      <c r="AD3687">
        <v>-1.110433326451</v>
      </c>
      <c r="AE3687">
        <v>-51.982999999999997</v>
      </c>
      <c r="AF3687">
        <v>-5.9540957980204201</v>
      </c>
      <c r="AG3687">
        <v>-1.110433326451</v>
      </c>
      <c r="AH3687">
        <v>51.7040674439505</v>
      </c>
      <c r="AI3687">
        <v>91.222260627638406</v>
      </c>
      <c r="AJ3687">
        <v>96.569085754769205</v>
      </c>
      <c r="AK3687">
        <v>52.057611443410302</v>
      </c>
      <c r="AL3687">
        <v>89.677215197279295</v>
      </c>
      <c r="AM3687">
        <v>88.568543763113496</v>
      </c>
      <c r="AN3687">
        <v>1.00000003857902</v>
      </c>
    </row>
    <row r="3688" spans="1:40" x14ac:dyDescent="0.25">
      <c r="A3688" t="str">
        <f>"20190312153955701"</f>
        <v>20190312153955701</v>
      </c>
      <c r="B3688" t="str">
        <f>"1552376395689303"</f>
        <v>1552376395689303</v>
      </c>
      <c r="C3688" t="s">
        <v>40</v>
      </c>
      <c r="D3688">
        <v>4.1732389999999997</v>
      </c>
      <c r="E3688">
        <v>0.44874419999999998</v>
      </c>
      <c r="F3688" t="s">
        <v>54</v>
      </c>
      <c r="G3688">
        <v>-489.51549999999997</v>
      </c>
      <c r="H3688" s="1">
        <v>1.9919360000000001E-6</v>
      </c>
      <c r="I3688">
        <v>206.2996</v>
      </c>
      <c r="J3688">
        <v>-492.50790000000001</v>
      </c>
      <c r="K3688">
        <v>1.1104000000000001</v>
      </c>
      <c r="L3688">
        <v>260.38119999999998</v>
      </c>
      <c r="M3688">
        <v>-5.666649E-2</v>
      </c>
      <c r="N3688">
        <v>0</v>
      </c>
      <c r="O3688">
        <v>-0.99829599999999996</v>
      </c>
      <c r="P3688">
        <v>-8.3022009999999993E-2</v>
      </c>
      <c r="Q3688">
        <v>-8.0683119999999994E-3</v>
      </c>
      <c r="R3688">
        <v>-0.99651520000000005</v>
      </c>
      <c r="S3688">
        <v>0.166626</v>
      </c>
      <c r="T3688">
        <v>-6.1953660000000001E-2</v>
      </c>
      <c r="U3688">
        <v>-3.0234070000000002</v>
      </c>
      <c r="V3688">
        <v>2.6413780000000001E-2</v>
      </c>
      <c r="W3688">
        <v>5.8558289999999999E-3</v>
      </c>
      <c r="X3688">
        <v>0.99963400000000002</v>
      </c>
      <c r="Y3688">
        <v>-0.11151469999999999</v>
      </c>
      <c r="Z3688">
        <v>2.0358299999999999E-2</v>
      </c>
      <c r="AA3688">
        <v>0.99355420000000005</v>
      </c>
      <c r="AB3688">
        <v>19</v>
      </c>
      <c r="AC3688">
        <v>2.9924000000000301</v>
      </c>
      <c r="AD3688">
        <v>-1.1103980080639999</v>
      </c>
      <c r="AE3688">
        <v>-54.081599999999902</v>
      </c>
      <c r="AF3688">
        <v>-6.0499599030302003</v>
      </c>
      <c r="AG3688">
        <v>-1.1103980080639999</v>
      </c>
      <c r="AH3688">
        <v>53.802485887874603</v>
      </c>
      <c r="AI3688">
        <v>91.174923493148995</v>
      </c>
      <c r="AJ3688">
        <v>96.415821401700697</v>
      </c>
      <c r="AK3688">
        <v>54.152954548016403</v>
      </c>
      <c r="AL3688">
        <v>89.664483814081706</v>
      </c>
      <c r="AM3688">
        <v>88.486399977490805</v>
      </c>
      <c r="AN3688">
        <v>1.0000000562315801</v>
      </c>
    </row>
    <row r="3689" spans="1:40" x14ac:dyDescent="0.25">
      <c r="A3689" t="str">
        <f>"20190312153955717"</f>
        <v>20190312153955717</v>
      </c>
      <c r="B3689" t="str">
        <f>"1552376395708825"</f>
        <v>1552376395708825</v>
      </c>
      <c r="C3689" t="s">
        <v>40</v>
      </c>
      <c r="D3689">
        <v>4.1687810000000001</v>
      </c>
      <c r="E3689">
        <v>0.44937909999999998</v>
      </c>
      <c r="F3689" t="s">
        <v>54</v>
      </c>
      <c r="G3689">
        <v>-489.56099999999998</v>
      </c>
      <c r="H3689" s="1">
        <v>1.6183799999999999E-6</v>
      </c>
      <c r="I3689">
        <v>205.0677</v>
      </c>
      <c r="J3689">
        <v>-492.51499999999999</v>
      </c>
      <c r="K3689">
        <v>1.1103639999999999</v>
      </c>
      <c r="L3689">
        <v>260.2482</v>
      </c>
      <c r="M3689">
        <v>-5.6341299999999997E-2</v>
      </c>
      <c r="N3689">
        <v>0</v>
      </c>
      <c r="O3689">
        <v>-0.99831429999999999</v>
      </c>
      <c r="P3689">
        <v>-8.5753910000000003E-2</v>
      </c>
      <c r="Q3689">
        <v>-7.4012469999999997E-3</v>
      </c>
      <c r="R3689">
        <v>-0.99628919999999999</v>
      </c>
      <c r="S3689">
        <v>0.16107179999999999</v>
      </c>
      <c r="T3689">
        <v>-6.069314E-2</v>
      </c>
      <c r="U3689">
        <v>-3.0233759999999998</v>
      </c>
      <c r="V3689">
        <v>2.94804E-2</v>
      </c>
      <c r="W3689">
        <v>6.5410299999999998E-3</v>
      </c>
      <c r="X3689">
        <v>0.99954399999999999</v>
      </c>
      <c r="Y3689">
        <v>-0.10937189999999999</v>
      </c>
      <c r="Z3689">
        <v>1.994839E-2</v>
      </c>
      <c r="AA3689">
        <v>0.99380069999999998</v>
      </c>
      <c r="AB3689">
        <v>19</v>
      </c>
      <c r="AC3689">
        <v>2.9540000000000002</v>
      </c>
      <c r="AD3689">
        <v>-1.1103623816199999</v>
      </c>
      <c r="AE3689">
        <v>-55.180500000000002</v>
      </c>
      <c r="AF3689">
        <v>-6.0561047417512404</v>
      </c>
      <c r="AG3689">
        <v>-1.1103623816199999</v>
      </c>
      <c r="AH3689">
        <v>54.904216367524</v>
      </c>
      <c r="AI3689">
        <v>91.151588053056201</v>
      </c>
      <c r="AJ3689">
        <v>96.2944561109977</v>
      </c>
      <c r="AK3689">
        <v>55.248369063651701</v>
      </c>
      <c r="AL3689">
        <v>89.625223931130506</v>
      </c>
      <c r="AM3689">
        <v>88.310616663550505</v>
      </c>
      <c r="AN3689">
        <v>1.0000000434967999</v>
      </c>
    </row>
    <row r="3690" spans="1:40" x14ac:dyDescent="0.25">
      <c r="A3690" t="str">
        <f>"20190312153955730"</f>
        <v>20190312153955730</v>
      </c>
      <c r="B3690" t="str">
        <f>"1552376395719558"</f>
        <v>1552376395719558</v>
      </c>
      <c r="C3690" t="s">
        <v>40</v>
      </c>
      <c r="D3690">
        <v>4.2569339999999896</v>
      </c>
      <c r="E3690">
        <v>0.4495632</v>
      </c>
      <c r="F3690" t="s">
        <v>54</v>
      </c>
      <c r="G3690">
        <v>-489.6053</v>
      </c>
      <c r="H3690" s="1">
        <v>2.8877400000000002E-7</v>
      </c>
      <c r="I3690">
        <v>200.64940000000001</v>
      </c>
      <c r="J3690">
        <v>-492.5206</v>
      </c>
      <c r="K3690">
        <v>1.1103320000000001</v>
      </c>
      <c r="L3690">
        <v>260.14400000000001</v>
      </c>
      <c r="M3690">
        <v>-5.6158739999999999E-2</v>
      </c>
      <c r="N3690">
        <v>0</v>
      </c>
      <c r="O3690">
        <v>-0.99832399999999999</v>
      </c>
      <c r="P3690">
        <v>-8.6959410000000001E-2</v>
      </c>
      <c r="Q3690">
        <v>-6.9828299999999998E-3</v>
      </c>
      <c r="R3690">
        <v>-0.99618720000000005</v>
      </c>
      <c r="S3690">
        <v>0.14761350000000001</v>
      </c>
      <c r="T3690">
        <v>-5.6330320000000003E-2</v>
      </c>
      <c r="U3690">
        <v>-3.0235289999999999</v>
      </c>
      <c r="V3690">
        <v>3.087314E-2</v>
      </c>
      <c r="W3690">
        <v>6.9716040000000002E-3</v>
      </c>
      <c r="X3690">
        <v>0.99949900000000003</v>
      </c>
      <c r="Y3690">
        <v>-0.1047756</v>
      </c>
      <c r="Z3690">
        <v>1.8521010000000001E-2</v>
      </c>
      <c r="AA3690">
        <v>0.99432339999999997</v>
      </c>
      <c r="AB3690">
        <v>19</v>
      </c>
      <c r="AC3690">
        <v>2.9152999999999998</v>
      </c>
      <c r="AD3690">
        <v>-1.1103317112259901</v>
      </c>
      <c r="AE3690">
        <v>-59.494599999999899</v>
      </c>
      <c r="AF3690">
        <v>-6.24999491229004</v>
      </c>
      <c r="AG3690">
        <v>-1.1103317112259901</v>
      </c>
      <c r="AH3690">
        <v>59.216379307834998</v>
      </c>
      <c r="AI3690">
        <v>91.068261570888197</v>
      </c>
      <c r="AJ3690">
        <v>96.024978948450894</v>
      </c>
      <c r="AK3690">
        <v>59.555644998958698</v>
      </c>
      <c r="AL3690">
        <v>89.600553279589207</v>
      </c>
      <c r="AM3690">
        <v>88.230775247471499</v>
      </c>
      <c r="AN3690">
        <v>1.0000000025183899</v>
      </c>
    </row>
    <row r="3691" spans="1:40" x14ac:dyDescent="0.25">
      <c r="A3691" t="str">
        <f>"20190312153955742"</f>
        <v>20190312153955742</v>
      </c>
      <c r="B3691" t="str">
        <f>"1552376395739078"</f>
        <v>1552376395739078</v>
      </c>
      <c r="C3691" t="s">
        <v>40</v>
      </c>
      <c r="D3691">
        <v>4.2253119999999997</v>
      </c>
      <c r="E3691">
        <v>0.44995499999999999</v>
      </c>
      <c r="F3691" t="s">
        <v>42</v>
      </c>
      <c r="G3691">
        <v>-489.54689999999999</v>
      </c>
      <c r="H3691" s="1">
        <v>-3.1955869999999998E-6</v>
      </c>
      <c r="I3691">
        <v>196.89439999999999</v>
      </c>
      <c r="J3691">
        <v>-492.52589999999998</v>
      </c>
      <c r="K3691">
        <v>1.110301</v>
      </c>
      <c r="L3691">
        <v>260.04520000000002</v>
      </c>
      <c r="M3691">
        <v>-5.6009459999999997E-2</v>
      </c>
      <c r="N3691">
        <v>0</v>
      </c>
      <c r="O3691">
        <v>-0.99833240000000001</v>
      </c>
      <c r="P3691">
        <v>-8.7823020000000002E-2</v>
      </c>
      <c r="Q3691">
        <v>-6.6345309999999999E-3</v>
      </c>
      <c r="R3691">
        <v>-0.9961139</v>
      </c>
      <c r="S3691">
        <v>0.1421509</v>
      </c>
      <c r="T3691">
        <v>-5.3076980000000003E-2</v>
      </c>
      <c r="U3691">
        <v>-3.0234990000000002</v>
      </c>
      <c r="V3691">
        <v>3.1889609999999999E-2</v>
      </c>
      <c r="W3691">
        <v>7.3301779999999997E-3</v>
      </c>
      <c r="X3691">
        <v>0.99946449999999998</v>
      </c>
      <c r="Y3691">
        <v>-0.1028357</v>
      </c>
      <c r="Z3691">
        <v>1.7454600000000001E-2</v>
      </c>
      <c r="AA3691">
        <v>0.99454520000000002</v>
      </c>
      <c r="AB3691">
        <v>19</v>
      </c>
      <c r="AC3691">
        <v>2.9789999999999801</v>
      </c>
      <c r="AD3691">
        <v>-1.1103041955870001</v>
      </c>
      <c r="AE3691">
        <v>-63.150799999999997</v>
      </c>
      <c r="AF3691">
        <v>-6.5097027120782496</v>
      </c>
      <c r="AG3691">
        <v>-1.1103041955870001</v>
      </c>
      <c r="AH3691">
        <v>62.865390650531801</v>
      </c>
      <c r="AI3691">
        <v>91.006450314621603</v>
      </c>
      <c r="AJ3691">
        <v>95.911900049863902</v>
      </c>
      <c r="AK3691">
        <v>63.211283379238203</v>
      </c>
      <c r="AL3691">
        <v>89.580007969082899</v>
      </c>
      <c r="AM3691">
        <v>88.172500964710295</v>
      </c>
      <c r="AN3691">
        <v>0.99999998274785595</v>
      </c>
    </row>
    <row r="3692" spans="1:40" x14ac:dyDescent="0.25">
      <c r="A3692" t="str">
        <f>"20190312153955753"</f>
        <v>20190312153955753</v>
      </c>
      <c r="B3692" t="str">
        <f>"1552376395748839"</f>
        <v>1552376395748839</v>
      </c>
      <c r="C3692" t="s">
        <v>40</v>
      </c>
      <c r="D3692">
        <v>4.2327820000000003</v>
      </c>
      <c r="E3692">
        <v>0.45017020000000002</v>
      </c>
      <c r="F3692" t="s">
        <v>42</v>
      </c>
      <c r="G3692">
        <v>-489.46260000000001</v>
      </c>
      <c r="H3692" s="1">
        <v>-1.142873E-6</v>
      </c>
      <c r="I3692">
        <v>192.0746</v>
      </c>
      <c r="J3692">
        <v>-492.53160000000003</v>
      </c>
      <c r="K3692">
        <v>1.1102719999999999</v>
      </c>
      <c r="L3692">
        <v>259.94170000000003</v>
      </c>
      <c r="M3692">
        <v>-5.5893409999999998E-2</v>
      </c>
      <c r="N3692">
        <v>0</v>
      </c>
      <c r="O3692">
        <v>-0.99833879999999997</v>
      </c>
      <c r="P3692">
        <v>-8.8847209999999996E-2</v>
      </c>
      <c r="Q3692">
        <v>-6.263144E-3</v>
      </c>
      <c r="R3692">
        <v>-0.99602599999999997</v>
      </c>
      <c r="S3692">
        <v>0.13626099999999999</v>
      </c>
      <c r="T3692">
        <v>-4.9387449999999999E-2</v>
      </c>
      <c r="U3692">
        <v>-3.0234070000000002</v>
      </c>
      <c r="V3692">
        <v>3.3033989999999999E-2</v>
      </c>
      <c r="W3692">
        <v>7.7116369999999899E-3</v>
      </c>
      <c r="X3692">
        <v>0.99942450000000005</v>
      </c>
      <c r="Y3692">
        <v>-0.1007888</v>
      </c>
      <c r="Z3692">
        <v>1.6244709999999999E-2</v>
      </c>
      <c r="AA3692">
        <v>0.99477519999999997</v>
      </c>
      <c r="AB3692">
        <v>19</v>
      </c>
      <c r="AC3692">
        <v>3.0690000000000102</v>
      </c>
      <c r="AD3692">
        <v>-1.1102731428729999</v>
      </c>
      <c r="AE3692">
        <v>-67.867099999999994</v>
      </c>
      <c r="AF3692">
        <v>-6.85606487470048</v>
      </c>
      <c r="AG3692">
        <v>-1.1102731428729999</v>
      </c>
      <c r="AH3692">
        <v>67.571384271087098</v>
      </c>
      <c r="AI3692">
        <v>90.9365411816283</v>
      </c>
      <c r="AJ3692">
        <v>95.793633188014297</v>
      </c>
      <c r="AK3692">
        <v>67.927389941972606</v>
      </c>
      <c r="AL3692">
        <v>89.558151377231894</v>
      </c>
      <c r="AM3692">
        <v>88.106891119151996</v>
      </c>
      <c r="AN3692">
        <v>1.00000002252039</v>
      </c>
    </row>
    <row r="3693" spans="1:40" x14ac:dyDescent="0.25">
      <c r="A3693" t="str">
        <f>"20190312153955766"</f>
        <v>20190312153955766</v>
      </c>
      <c r="B3693" t="str">
        <f>"1552376395759575"</f>
        <v>1552376395759575</v>
      </c>
      <c r="C3693" t="s">
        <v>40</v>
      </c>
      <c r="D3693">
        <v>4.2136469999999999</v>
      </c>
      <c r="E3693">
        <v>0.45044600000000001</v>
      </c>
      <c r="F3693" t="s">
        <v>42</v>
      </c>
      <c r="G3693">
        <v>-489.5</v>
      </c>
      <c r="H3693" s="1">
        <v>-2.5747230000000002E-7</v>
      </c>
      <c r="I3693">
        <v>190.0137</v>
      </c>
      <c r="J3693">
        <v>-492.53710000000001</v>
      </c>
      <c r="K3693">
        <v>1.1102459999999901</v>
      </c>
      <c r="L3693">
        <v>259.84190000000001</v>
      </c>
      <c r="M3693">
        <v>-5.5827189999999999E-2</v>
      </c>
      <c r="N3693">
        <v>0</v>
      </c>
      <c r="O3693">
        <v>-0.99834239999999996</v>
      </c>
      <c r="P3693">
        <v>-8.9537050000000007E-2</v>
      </c>
      <c r="Q3693">
        <v>-6.0357609999999997E-3</v>
      </c>
      <c r="R3693">
        <v>-0.99596569999999995</v>
      </c>
      <c r="S3693">
        <v>0.131073</v>
      </c>
      <c r="T3693">
        <v>-4.8003320000000002E-2</v>
      </c>
      <c r="U3693">
        <v>-3.0233759999999998</v>
      </c>
      <c r="V3693">
        <v>3.3793040000000003E-2</v>
      </c>
      <c r="W3693">
        <v>7.9471869999999997E-3</v>
      </c>
      <c r="X3693">
        <v>0.99939730000000004</v>
      </c>
      <c r="Y3693">
        <v>-9.9019780000000002E-2</v>
      </c>
      <c r="Z3693">
        <v>1.5791800000000002E-2</v>
      </c>
      <c r="AA3693">
        <v>0.99496010000000001</v>
      </c>
      <c r="AB3693">
        <v>19</v>
      </c>
      <c r="AC3693">
        <v>3.0371000000000001</v>
      </c>
      <c r="AD3693">
        <v>-1.11024625747229</v>
      </c>
      <c r="AE3693">
        <v>-69.828199999999995</v>
      </c>
      <c r="AF3693">
        <v>-6.9293079754621703</v>
      </c>
      <c r="AG3693">
        <v>-1.11024625747229</v>
      </c>
      <c r="AH3693">
        <v>69.532163937898702</v>
      </c>
      <c r="AI3693">
        <v>90.910277349727806</v>
      </c>
      <c r="AJ3693">
        <v>95.691086557732802</v>
      </c>
      <c r="AK3693">
        <v>69.885404611105002</v>
      </c>
      <c r="AL3693">
        <v>89.544654953338807</v>
      </c>
      <c r="AM3693">
        <v>88.063371635184396</v>
      </c>
      <c r="AN3693">
        <v>1.00000004529047</v>
      </c>
    </row>
    <row r="3694" spans="1:40" x14ac:dyDescent="0.25">
      <c r="A3694" t="str">
        <f>"20190312153955779"</f>
        <v>20190312153955779</v>
      </c>
      <c r="B3694" t="str">
        <f>"1552376395769334"</f>
        <v>1552376395769334</v>
      </c>
      <c r="C3694" t="s">
        <v>40</v>
      </c>
      <c r="D3694">
        <v>4.2143579999999998</v>
      </c>
      <c r="E3694">
        <v>0.45065820000000001</v>
      </c>
      <c r="F3694" t="s">
        <v>42</v>
      </c>
      <c r="G3694">
        <v>-489.58850000000001</v>
      </c>
      <c r="H3694" s="1">
        <v>-1.183853E-7</v>
      </c>
      <c r="I3694">
        <v>189.67420000000001</v>
      </c>
      <c r="J3694">
        <v>-492.54309999999998</v>
      </c>
      <c r="K3694">
        <v>1.110222</v>
      </c>
      <c r="L3694">
        <v>259.7346</v>
      </c>
      <c r="M3694">
        <v>-5.5780730000000001E-2</v>
      </c>
      <c r="N3694">
        <v>0</v>
      </c>
      <c r="O3694">
        <v>-0.99834480000000003</v>
      </c>
      <c r="P3694">
        <v>-9.0023469999999994E-2</v>
      </c>
      <c r="Q3694">
        <v>-5.7448009999999999E-3</v>
      </c>
      <c r="R3694">
        <v>-0.99592349999999996</v>
      </c>
      <c r="S3694">
        <v>0.12704469999999901</v>
      </c>
      <c r="T3694">
        <v>-4.7836179999999999E-2</v>
      </c>
      <c r="U3694">
        <v>-3.0232540000000001</v>
      </c>
      <c r="V3694">
        <v>3.4328259999999999E-2</v>
      </c>
      <c r="W3694">
        <v>8.247107E-3</v>
      </c>
      <c r="X3694">
        <v>0.99937659999999995</v>
      </c>
      <c r="Y3694">
        <v>-9.7651849999999998E-2</v>
      </c>
      <c r="Z3694">
        <v>1.5739050000000001E-2</v>
      </c>
      <c r="AA3694">
        <v>0.99509610000000004</v>
      </c>
      <c r="AB3694">
        <v>19</v>
      </c>
      <c r="AC3694">
        <v>2.9545999999999699</v>
      </c>
      <c r="AD3694">
        <v>-1.1102221183853</v>
      </c>
      <c r="AE3694">
        <v>-70.060399999999902</v>
      </c>
      <c r="AF3694">
        <v>-6.8566837764580404</v>
      </c>
      <c r="AG3694">
        <v>-1.1102221183853</v>
      </c>
      <c r="AH3694">
        <v>69.768982629955303</v>
      </c>
      <c r="AI3694">
        <v>90.907290977188794</v>
      </c>
      <c r="AJ3694">
        <v>95.612831301592493</v>
      </c>
      <c r="AK3694">
        <v>70.113890512376301</v>
      </c>
      <c r="AL3694">
        <v>89.527470226861098</v>
      </c>
      <c r="AM3694">
        <v>88.032682178688205</v>
      </c>
      <c r="AN3694">
        <v>1.0000000164180201</v>
      </c>
    </row>
    <row r="3695" spans="1:40" x14ac:dyDescent="0.25">
      <c r="A3695" t="str">
        <f>"20190312153955795"</f>
        <v>20190312153955795</v>
      </c>
      <c r="B3695" t="str">
        <f>"1552376395788855"</f>
        <v>1552376395788855</v>
      </c>
      <c r="C3695" t="s">
        <v>40</v>
      </c>
      <c r="D3695">
        <v>4.2030760000000003</v>
      </c>
      <c r="E3695">
        <v>0.45108920000000002</v>
      </c>
      <c r="F3695" t="s">
        <v>42</v>
      </c>
      <c r="G3695">
        <v>-489.62479999999999</v>
      </c>
      <c r="H3695" s="1">
        <v>-3.8680040000000002E-6</v>
      </c>
      <c r="I3695">
        <v>188.4941</v>
      </c>
      <c r="J3695">
        <v>-492.55070000000001</v>
      </c>
      <c r="K3695">
        <v>1.1101989999999999</v>
      </c>
      <c r="L3695">
        <v>259.59840000000003</v>
      </c>
      <c r="M3695">
        <v>-5.5784109999999998E-2</v>
      </c>
      <c r="N3695">
        <v>0</v>
      </c>
      <c r="O3695">
        <v>-0.99834429999999996</v>
      </c>
      <c r="P3695">
        <v>-9.0764709999999998E-2</v>
      </c>
      <c r="Q3695">
        <v>-4.6129719999999999E-3</v>
      </c>
      <c r="R3695">
        <v>-0.99586180000000002</v>
      </c>
      <c r="S3695">
        <v>0.1238403</v>
      </c>
      <c r="T3695">
        <v>-4.7114009999999998E-2</v>
      </c>
      <c r="U3695">
        <v>-3.023193</v>
      </c>
      <c r="V3695">
        <v>3.5069589999999998E-2</v>
      </c>
      <c r="W3695">
        <v>9.3886119999999993E-3</v>
      </c>
      <c r="X3695">
        <v>0.99934080000000003</v>
      </c>
      <c r="Y3695">
        <v>-9.6603259999999996E-2</v>
      </c>
      <c r="Z3695">
        <v>1.550294E-2</v>
      </c>
      <c r="AA3695">
        <v>0.99520220000000004</v>
      </c>
      <c r="AB3695">
        <v>19</v>
      </c>
      <c r="AC3695">
        <v>2.9259000000000102</v>
      </c>
      <c r="AD3695">
        <v>-1.1102028680039999</v>
      </c>
      <c r="AE3695">
        <v>-71.104299999999995</v>
      </c>
      <c r="AF3695">
        <v>-6.8865474639737396</v>
      </c>
      <c r="AG3695">
        <v>-1.1102028680039999</v>
      </c>
      <c r="AH3695">
        <v>70.813089412471996</v>
      </c>
      <c r="AI3695">
        <v>90.893988992752497</v>
      </c>
      <c r="AJ3695">
        <v>95.554527251374495</v>
      </c>
      <c r="AK3695">
        <v>71.155819990500007</v>
      </c>
      <c r="AL3695">
        <v>89.4620642691565</v>
      </c>
      <c r="AM3695">
        <v>87.990159841518206</v>
      </c>
      <c r="AN3695">
        <v>1.0000000283613399</v>
      </c>
    </row>
    <row r="3696" spans="1:40" x14ac:dyDescent="0.25">
      <c r="A3696" t="str">
        <f>"20190312153955809"</f>
        <v>20190312153955809</v>
      </c>
      <c r="B3696" t="str">
        <f>"1552376395799591"</f>
        <v>1552376395799591</v>
      </c>
      <c r="C3696" t="s">
        <v>40</v>
      </c>
      <c r="D3696">
        <v>4.1897849999999996</v>
      </c>
      <c r="E3696">
        <v>0.45121420000000001</v>
      </c>
      <c r="F3696" t="s">
        <v>42</v>
      </c>
      <c r="G3696">
        <v>-489.5351</v>
      </c>
      <c r="H3696" s="1">
        <v>-1.3505609999999901E-6</v>
      </c>
      <c r="I3696">
        <v>182.58869999999999</v>
      </c>
      <c r="J3696">
        <v>-492.55689999999998</v>
      </c>
      <c r="K3696">
        <v>1.1101840000000001</v>
      </c>
      <c r="L3696">
        <v>259.48660000000001</v>
      </c>
      <c r="M3696">
        <v>-5.582674E-2</v>
      </c>
      <c r="N3696">
        <v>0</v>
      </c>
      <c r="O3696">
        <v>-0.9983419</v>
      </c>
      <c r="P3696">
        <v>-9.0732309999999997E-2</v>
      </c>
      <c r="Q3696">
        <v>-3.9481500000000001E-3</v>
      </c>
      <c r="R3696">
        <v>-0.99586770000000002</v>
      </c>
      <c r="S3696">
        <v>0.1183777</v>
      </c>
      <c r="T3696">
        <v>-4.3581719999999997E-2</v>
      </c>
      <c r="U3696">
        <v>-3.0230709999999998</v>
      </c>
      <c r="V3696">
        <v>3.4994999999999998E-2</v>
      </c>
      <c r="W3696">
        <v>1.00614E-2</v>
      </c>
      <c r="X3696">
        <v>0.99933680000000003</v>
      </c>
      <c r="Y3696">
        <v>-9.4852510000000001E-2</v>
      </c>
      <c r="Z3696">
        <v>1.4343150000000001E-2</v>
      </c>
      <c r="AA3696">
        <v>0.99538800000000005</v>
      </c>
      <c r="AB3696">
        <v>19</v>
      </c>
      <c r="AC3696">
        <v>3.0217999999999798</v>
      </c>
      <c r="AD3696">
        <v>-1.110185350561</v>
      </c>
      <c r="AE3696">
        <v>-76.897900000000007</v>
      </c>
      <c r="AF3696">
        <v>-7.3089470417405504</v>
      </c>
      <c r="AG3696">
        <v>-1.110185350561</v>
      </c>
      <c r="AH3696">
        <v>76.593298264563799</v>
      </c>
      <c r="AI3696">
        <v>90.826663609897494</v>
      </c>
      <c r="AJ3696">
        <v>95.450967830007201</v>
      </c>
      <c r="AK3696">
        <v>76.949246633193198</v>
      </c>
      <c r="AL3696">
        <v>89.423514494696505</v>
      </c>
      <c r="AM3696">
        <v>87.994423082867996</v>
      </c>
      <c r="AN3696">
        <v>0.99999996081459896</v>
      </c>
    </row>
    <row r="3697" spans="1:40" x14ac:dyDescent="0.25">
      <c r="A3697" t="str">
        <f>"20190312153955824"</f>
        <v>20190312153955824</v>
      </c>
      <c r="B3697" t="str">
        <f>"1552376395819111"</f>
        <v>1552376395819111</v>
      </c>
      <c r="C3697" t="s">
        <v>40</v>
      </c>
      <c r="D3697">
        <v>4.284586</v>
      </c>
      <c r="E3697">
        <v>0.47362959999999898</v>
      </c>
      <c r="F3697" t="s">
        <v>42</v>
      </c>
      <c r="G3697">
        <v>-489.34829999999999</v>
      </c>
      <c r="H3697" s="1">
        <v>-3.22862E-6</v>
      </c>
      <c r="I3697">
        <v>176.88929999999999</v>
      </c>
      <c r="J3697">
        <v>-492.56389999999999</v>
      </c>
      <c r="K3697">
        <v>1.110174</v>
      </c>
      <c r="L3697">
        <v>259.36219999999997</v>
      </c>
      <c r="M3697">
        <v>-5.5900909999999998E-2</v>
      </c>
      <c r="N3697">
        <v>0</v>
      </c>
      <c r="O3697">
        <v>-0.99833760000000005</v>
      </c>
      <c r="P3697">
        <v>-9.0528659999999997E-2</v>
      </c>
      <c r="Q3697">
        <v>-3.2795179999999999E-3</v>
      </c>
      <c r="R3697">
        <v>-0.99588869999999896</v>
      </c>
      <c r="S3697">
        <v>0.1174316</v>
      </c>
      <c r="T3697">
        <v>-4.0630939999999997E-2</v>
      </c>
      <c r="U3697">
        <v>-3.0229189999999999</v>
      </c>
      <c r="V3697">
        <v>3.471697E-2</v>
      </c>
      <c r="W3697">
        <v>1.0738950000000001E-2</v>
      </c>
      <c r="X3697">
        <v>0.99933950000000005</v>
      </c>
      <c r="Y3697">
        <v>-9.461791E-2</v>
      </c>
      <c r="Z3697">
        <v>1.3373019999999999E-2</v>
      </c>
      <c r="AA3697">
        <v>0.99542390000000003</v>
      </c>
      <c r="AB3697">
        <v>19</v>
      </c>
      <c r="AC3697">
        <v>3.21559999999999</v>
      </c>
      <c r="AD3697">
        <v>-1.11017722862</v>
      </c>
      <c r="AE3697">
        <v>-82.472899999999896</v>
      </c>
      <c r="AF3697">
        <v>-7.8199206425181602</v>
      </c>
      <c r="AG3697">
        <v>-1.11017722862</v>
      </c>
      <c r="AH3697">
        <v>82.149277786040102</v>
      </c>
      <c r="AI3697">
        <v>90.770772468305097</v>
      </c>
      <c r="AJ3697">
        <v>95.437691605093306</v>
      </c>
      <c r="AK3697">
        <v>82.528101232866206</v>
      </c>
      <c r="AL3697">
        <v>89.384691670486305</v>
      </c>
      <c r="AM3697">
        <v>88.010349602478101</v>
      </c>
      <c r="AN3697">
        <v>1.0000000146566601</v>
      </c>
    </row>
    <row r="3698" spans="1:40" x14ac:dyDescent="0.25">
      <c r="A3698" t="str">
        <f>"20190312153955841"</f>
        <v>20190312153955841</v>
      </c>
      <c r="B3698" t="str">
        <f>"1552376395829848"</f>
        <v>1552376395829848</v>
      </c>
      <c r="C3698" t="s">
        <v>40</v>
      </c>
      <c r="D3698">
        <v>4.1740570000000004</v>
      </c>
      <c r="E3698">
        <v>0.47640300000000002</v>
      </c>
      <c r="F3698" t="s">
        <v>42</v>
      </c>
      <c r="G3698">
        <v>-493.79239999999999</v>
      </c>
      <c r="H3698" s="1">
        <v>-4.2766099999999997E-6</v>
      </c>
      <c r="I3698">
        <v>197.577</v>
      </c>
      <c r="J3698">
        <v>-492.572</v>
      </c>
      <c r="K3698">
        <v>1.1101620000000001</v>
      </c>
      <c r="L3698">
        <v>259.22050000000002</v>
      </c>
      <c r="M3698">
        <v>-5.602211E-2</v>
      </c>
      <c r="N3698">
        <v>0</v>
      </c>
      <c r="O3698">
        <v>-0.99833070000000002</v>
      </c>
      <c r="P3698">
        <v>-9.0031009999999995E-2</v>
      </c>
      <c r="Q3698">
        <v>-2.839626E-3</v>
      </c>
      <c r="R3698">
        <v>-0.99593500000000001</v>
      </c>
      <c r="S3698">
        <v>-5.9783940000000001E-2</v>
      </c>
      <c r="T3698">
        <v>-5.402684E-2</v>
      </c>
      <c r="U3698">
        <v>-3.0067750000000002</v>
      </c>
      <c r="V3698">
        <v>3.4096670000000003E-2</v>
      </c>
      <c r="W3698">
        <v>1.1187620000000001E-2</v>
      </c>
      <c r="X3698">
        <v>0.99935589999999996</v>
      </c>
      <c r="Y3698">
        <v>-3.6171830000000002E-2</v>
      </c>
      <c r="Z3698">
        <v>1.7915500000000001E-2</v>
      </c>
      <c r="AA3698">
        <v>0.99918499999999999</v>
      </c>
      <c r="AB3698">
        <v>19</v>
      </c>
      <c r="AC3698">
        <v>-1.2204000000000399</v>
      </c>
      <c r="AD3698">
        <v>-1.11016627661</v>
      </c>
      <c r="AE3698">
        <v>-61.643500000000003</v>
      </c>
      <c r="AF3698">
        <v>-2.2345322455438801</v>
      </c>
      <c r="AG3698">
        <v>-1.11016627661</v>
      </c>
      <c r="AH3698">
        <v>61.595077676403299</v>
      </c>
      <c r="AI3698">
        <v>91.031886908762303</v>
      </c>
      <c r="AJ3698">
        <v>92.077652152452899</v>
      </c>
      <c r="AK3698">
        <v>61.645593496050097</v>
      </c>
      <c r="AL3698">
        <v>89.358983206190999</v>
      </c>
      <c r="AM3698">
        <v>88.045903599404198</v>
      </c>
      <c r="AN3698">
        <v>0.99999998030558102</v>
      </c>
    </row>
    <row r="3699" spans="1:40" x14ac:dyDescent="0.25">
      <c r="A3699" t="str">
        <f>"20190312153955854"</f>
        <v>20190312153955854</v>
      </c>
      <c r="B3699" t="str">
        <f>"1552376395839607"</f>
        <v>1552376395839607</v>
      </c>
      <c r="C3699" t="s">
        <v>40</v>
      </c>
      <c r="D3699">
        <v>4.1416389999999996</v>
      </c>
      <c r="E3699">
        <v>0.47796559999999999</v>
      </c>
      <c r="F3699" t="s">
        <v>42</v>
      </c>
      <c r="G3699">
        <v>-494.69740000000002</v>
      </c>
      <c r="H3699" s="1">
        <v>-1.533631E-6</v>
      </c>
      <c r="I3699">
        <v>180.25059999999999</v>
      </c>
      <c r="J3699">
        <v>-492.57830000000001</v>
      </c>
      <c r="K3699">
        <v>1.11016</v>
      </c>
      <c r="L3699">
        <v>259.1103</v>
      </c>
      <c r="M3699">
        <v>-5.614065E-2</v>
      </c>
      <c r="N3699">
        <v>0</v>
      </c>
      <c r="O3699">
        <v>-0.99832379999999998</v>
      </c>
      <c r="P3699">
        <v>-8.9333170000000003E-2</v>
      </c>
      <c r="Q3699">
        <v>-2.6707699999999998E-3</v>
      </c>
      <c r="R3699">
        <v>-0.99599819999999994</v>
      </c>
      <c r="S3699">
        <v>-8.0871579999999998E-2</v>
      </c>
      <c r="T3699">
        <v>-4.2241929999999997E-2</v>
      </c>
      <c r="U3699">
        <v>-3.0048219999999999</v>
      </c>
      <c r="V3699">
        <v>3.3277870000000001E-2</v>
      </c>
      <c r="W3699">
        <v>1.1364040000000001E-2</v>
      </c>
      <c r="X3699">
        <v>0.99938150000000003</v>
      </c>
      <c r="Y3699">
        <v>-2.9266770000000001E-2</v>
      </c>
      <c r="Z3699">
        <v>1.401786E-2</v>
      </c>
      <c r="AA3699">
        <v>0.99947330000000001</v>
      </c>
      <c r="AB3699">
        <v>19</v>
      </c>
      <c r="AC3699">
        <v>-2.1191</v>
      </c>
      <c r="AD3699">
        <v>-1.110161533631</v>
      </c>
      <c r="AE3699">
        <v>-78.859700000000004</v>
      </c>
      <c r="AF3699">
        <v>-2.3114577759536599</v>
      </c>
      <c r="AG3699">
        <v>-1.110161533631</v>
      </c>
      <c r="AH3699">
        <v>78.838669741544095</v>
      </c>
      <c r="AI3699">
        <v>90.806406953183696</v>
      </c>
      <c r="AJ3699">
        <v>91.679364299202405</v>
      </c>
      <c r="AK3699">
        <v>78.880359673983605</v>
      </c>
      <c r="AL3699">
        <v>89.348874435378605</v>
      </c>
      <c r="AM3699">
        <v>88.0928431545737</v>
      </c>
      <c r="AN3699">
        <v>0.99999997028955301</v>
      </c>
    </row>
    <row r="3700" spans="1:40" x14ac:dyDescent="0.25">
      <c r="A3700" t="str">
        <f>"20190312153955868"</f>
        <v>20190312153955868</v>
      </c>
      <c r="B3700" t="str">
        <f>"1552376395859127"</f>
        <v>1552376395859127</v>
      </c>
      <c r="C3700" t="s">
        <v>40</v>
      </c>
      <c r="D3700">
        <v>4.0944469999999997</v>
      </c>
      <c r="E3700">
        <v>0.47930810000000001</v>
      </c>
      <c r="F3700" t="s">
        <v>69</v>
      </c>
      <c r="G3700">
        <v>-495.63440000000003</v>
      </c>
      <c r="H3700" s="1">
        <v>-1.9324189999999998E-6</v>
      </c>
      <c r="I3700">
        <v>158.50729999999999</v>
      </c>
      <c r="J3700">
        <v>-492.58510000000001</v>
      </c>
      <c r="K3700">
        <v>1.1101620000000001</v>
      </c>
      <c r="L3700">
        <v>258.99169999999998</v>
      </c>
      <c r="M3700">
        <v>-5.6283260000000002E-2</v>
      </c>
      <c r="N3700">
        <v>0</v>
      </c>
      <c r="O3700">
        <v>-0.99831590000000003</v>
      </c>
      <c r="P3700">
        <v>-8.8706999999999994E-2</v>
      </c>
      <c r="Q3700">
        <v>-2.8847080000000002E-3</v>
      </c>
      <c r="R3700">
        <v>-0.99605399999999999</v>
      </c>
      <c r="S3700">
        <v>-9.1247560000000005E-2</v>
      </c>
      <c r="T3700">
        <v>-3.3146979999999999E-2</v>
      </c>
      <c r="U3700">
        <v>-3.003784</v>
      </c>
      <c r="V3700">
        <v>3.2506609999999998E-2</v>
      </c>
      <c r="W3700">
        <v>1.1156630000000001E-2</v>
      </c>
      <c r="X3700">
        <v>0.99940929999999994</v>
      </c>
      <c r="Y3700">
        <v>-2.5949320000000001E-2</v>
      </c>
      <c r="Z3700">
        <v>1.100377E-2</v>
      </c>
      <c r="AA3700">
        <v>0.99960269999999996</v>
      </c>
      <c r="AB3700">
        <v>19</v>
      </c>
      <c r="AC3700">
        <v>-3.0493000000000099</v>
      </c>
      <c r="AD3700">
        <v>-1.110163932419</v>
      </c>
      <c r="AE3700">
        <v>-100.48439999999999</v>
      </c>
      <c r="AF3700">
        <v>-2.61136447751886</v>
      </c>
      <c r="AG3700">
        <v>-1.110163932419</v>
      </c>
      <c r="AH3700">
        <v>100.48447229458201</v>
      </c>
      <c r="AI3700">
        <v>90.632770944462294</v>
      </c>
      <c r="AJ3700">
        <v>91.488652832947096</v>
      </c>
      <c r="AK3700">
        <v>100.52452865202601</v>
      </c>
      <c r="AL3700">
        <v>89.360758957493204</v>
      </c>
      <c r="AM3700">
        <v>88.137064382774099</v>
      </c>
      <c r="AN3700">
        <v>1.00000004950656</v>
      </c>
    </row>
    <row r="3701" spans="1:40" x14ac:dyDescent="0.25">
      <c r="A3701" t="str">
        <f>"20190312153955884"</f>
        <v>20190312153955884</v>
      </c>
      <c r="B3701" t="str">
        <f>"1552376395879623"</f>
        <v>1552376395879623</v>
      </c>
      <c r="C3701" t="s">
        <v>40</v>
      </c>
      <c r="D3701">
        <v>4.0722959999999997</v>
      </c>
      <c r="E3701">
        <v>0.4798733</v>
      </c>
      <c r="F3701" t="s">
        <v>69</v>
      </c>
      <c r="G3701">
        <v>-496.73950000000002</v>
      </c>
      <c r="H3701" s="1">
        <v>-8.3055239999999993E-6</v>
      </c>
      <c r="I3701">
        <v>134.74289999999999</v>
      </c>
      <c r="J3701">
        <v>-492.5926</v>
      </c>
      <c r="K3701">
        <v>1.110168</v>
      </c>
      <c r="L3701">
        <v>258.86250000000001</v>
      </c>
      <c r="M3701">
        <v>-5.6446919999999998E-2</v>
      </c>
      <c r="N3701">
        <v>0</v>
      </c>
      <c r="O3701">
        <v>-0.99830660000000004</v>
      </c>
      <c r="P3701">
        <v>-8.7738800000000006E-2</v>
      </c>
      <c r="Q3701">
        <v>-3.046488E-3</v>
      </c>
      <c r="R3701">
        <v>-0.9961392</v>
      </c>
      <c r="S3701">
        <v>-0.1004028</v>
      </c>
      <c r="T3701">
        <v>-2.6830670000000001E-2</v>
      </c>
      <c r="U3701">
        <v>-3.002853</v>
      </c>
      <c r="V3701">
        <v>3.1371059999999999E-2</v>
      </c>
      <c r="W3701">
        <v>1.1002619999999999E-2</v>
      </c>
      <c r="X3701">
        <v>0.99944719999999998</v>
      </c>
      <c r="Y3701">
        <v>-2.3058459999999999E-2</v>
      </c>
      <c r="Z3701">
        <v>8.9096609999999993E-3</v>
      </c>
      <c r="AA3701">
        <v>0.99969439999999998</v>
      </c>
      <c r="AB3701">
        <v>19</v>
      </c>
      <c r="AC3701">
        <v>-4.1469000000000102</v>
      </c>
      <c r="AD3701">
        <v>-1.1101763055239999</v>
      </c>
      <c r="AE3701">
        <v>-124.11960000000001</v>
      </c>
      <c r="AF3701">
        <v>-2.8663457760046498</v>
      </c>
      <c r="AG3701">
        <v>-1.1101763055239999</v>
      </c>
      <c r="AH3701">
        <v>124.145846721705</v>
      </c>
      <c r="AI3701">
        <v>90.512218305740504</v>
      </c>
      <c r="AJ3701">
        <v>91.322640641963005</v>
      </c>
      <c r="AK3701">
        <v>124.183894639306</v>
      </c>
      <c r="AL3701">
        <v>89.369583561094004</v>
      </c>
      <c r="AM3701">
        <v>88.202166767428807</v>
      </c>
      <c r="AN3701">
        <v>0.99999995332011204</v>
      </c>
    </row>
    <row r="3702" spans="1:40" x14ac:dyDescent="0.25">
      <c r="A3702" t="str">
        <f>"20190312153955896"</f>
        <v>20190312153955896</v>
      </c>
      <c r="B3702" t="str">
        <f>"1552376395889383"</f>
        <v>1552376395889383</v>
      </c>
      <c r="C3702" t="s">
        <v>40</v>
      </c>
      <c r="D3702">
        <v>4.0788120000000001</v>
      </c>
      <c r="E3702">
        <v>0.48004740000000001</v>
      </c>
      <c r="F3702" t="s">
        <v>43</v>
      </c>
      <c r="G3702">
        <v>-498.02269999999999</v>
      </c>
      <c r="H3702">
        <v>-0.05</v>
      </c>
      <c r="I3702">
        <v>99.762569999999997</v>
      </c>
      <c r="J3702">
        <v>-492.59859999999998</v>
      </c>
      <c r="K3702">
        <v>1.1101760000000001</v>
      </c>
      <c r="L3702">
        <v>258.75920000000002</v>
      </c>
      <c r="M3702">
        <v>-5.6581449999999998E-2</v>
      </c>
      <c r="N3702">
        <v>0</v>
      </c>
      <c r="O3702">
        <v>-0.99829880000000004</v>
      </c>
      <c r="P3702">
        <v>-8.7499919999999995E-2</v>
      </c>
      <c r="Q3702">
        <v>-2.9927880000000001E-3</v>
      </c>
      <c r="R3702">
        <v>-0.99616020000000005</v>
      </c>
      <c r="S3702">
        <v>-0.102478</v>
      </c>
      <c r="T3702">
        <v>-2.1894690000000001E-2</v>
      </c>
      <c r="U3702">
        <v>-3.0025330000000001</v>
      </c>
      <c r="V3702">
        <v>3.0996530000000001E-2</v>
      </c>
      <c r="W3702">
        <v>1.106174E-2</v>
      </c>
      <c r="X3702">
        <v>0.99945830000000002</v>
      </c>
      <c r="Y3702">
        <v>-2.2499020000000002E-2</v>
      </c>
      <c r="Z3702">
        <v>7.2713209999999999E-3</v>
      </c>
      <c r="AA3702">
        <v>0.99972039999999995</v>
      </c>
      <c r="AB3702">
        <v>19</v>
      </c>
      <c r="AC3702">
        <v>-5.4241000000000099</v>
      </c>
      <c r="AD3702">
        <v>-1.1601760000000001</v>
      </c>
      <c r="AE3702">
        <v>-158.99663000000001</v>
      </c>
      <c r="AF3702">
        <v>-3.5815515658238799</v>
      </c>
      <c r="AG3702">
        <v>-1.1601760000000001</v>
      </c>
      <c r="AH3702">
        <v>159.04034047556101</v>
      </c>
      <c r="AI3702">
        <v>90.417850972339807</v>
      </c>
      <c r="AJ3702">
        <v>91.290069607994695</v>
      </c>
      <c r="AK3702">
        <v>159.08489374718101</v>
      </c>
      <c r="AL3702">
        <v>89.366196070689</v>
      </c>
      <c r="AM3702">
        <v>88.223636458811001</v>
      </c>
      <c r="AN3702">
        <v>1.0000000202013699</v>
      </c>
    </row>
    <row r="3703" spans="1:40" x14ac:dyDescent="0.25">
      <c r="A3703" t="str">
        <f>"20190312153955909"</f>
        <v>20190312153955909</v>
      </c>
      <c r="B3703" t="str">
        <f>"1552376395899143"</f>
        <v>1552376395899143</v>
      </c>
      <c r="C3703" t="s">
        <v>40</v>
      </c>
      <c r="D3703">
        <v>4.056222</v>
      </c>
      <c r="E3703">
        <v>0.48034189999999999</v>
      </c>
      <c r="F3703" t="s">
        <v>43</v>
      </c>
      <c r="G3703">
        <v>-499.10059999999999</v>
      </c>
      <c r="H3703">
        <v>-0.05</v>
      </c>
      <c r="I3703">
        <v>69.163600000000002</v>
      </c>
      <c r="J3703">
        <v>-492.6046</v>
      </c>
      <c r="K3703">
        <v>1.1101840000000001</v>
      </c>
      <c r="L3703">
        <v>258.65559999999999</v>
      </c>
      <c r="M3703">
        <v>-5.6714849999999997E-2</v>
      </c>
      <c r="N3703">
        <v>0</v>
      </c>
      <c r="O3703">
        <v>-0.99829140000000005</v>
      </c>
      <c r="P3703">
        <v>-8.7429779999999999E-2</v>
      </c>
      <c r="Q3703">
        <v>-2.959967E-3</v>
      </c>
      <c r="R3703">
        <v>-0.99616680000000002</v>
      </c>
      <c r="S3703">
        <v>-0.1029663</v>
      </c>
      <c r="T3703">
        <v>-1.837277E-2</v>
      </c>
      <c r="U3703">
        <v>-3.002472</v>
      </c>
      <c r="V3703">
        <v>3.0792320000000001E-2</v>
      </c>
      <c r="W3703">
        <v>1.109894E-2</v>
      </c>
      <c r="X3703">
        <v>0.99946420000000002</v>
      </c>
      <c r="Y3703">
        <v>-2.246925E-2</v>
      </c>
      <c r="Z3703">
        <v>6.101764E-3</v>
      </c>
      <c r="AA3703">
        <v>0.99972890000000003</v>
      </c>
      <c r="AB3703">
        <v>19</v>
      </c>
      <c r="AC3703">
        <v>-6.49599999999998</v>
      </c>
      <c r="AD3703">
        <v>-1.1601840000000001</v>
      </c>
      <c r="AE3703">
        <v>-189.49199999999999</v>
      </c>
      <c r="AF3703">
        <v>-4.2623712148445598</v>
      </c>
      <c r="AG3703">
        <v>-1.1601840000000001</v>
      </c>
      <c r="AH3703">
        <v>189.54829561087101</v>
      </c>
      <c r="AI3703">
        <v>90.350602028086797</v>
      </c>
      <c r="AJ3703">
        <v>91.288192696378005</v>
      </c>
      <c r="AK3703">
        <v>189.599763196775</v>
      </c>
      <c r="AL3703">
        <v>89.3640645369195</v>
      </c>
      <c r="AM3703">
        <v>88.235342406876498</v>
      </c>
      <c r="AN3703">
        <v>1.0000000202608701</v>
      </c>
    </row>
    <row r="3704" spans="1:40" x14ac:dyDescent="0.25">
      <c r="A3704" t="str">
        <f>"20190312153955922"</f>
        <v>20190312153955922</v>
      </c>
      <c r="B3704" t="str">
        <f>"1552376395909880"</f>
        <v>1552376395909880</v>
      </c>
      <c r="C3704" t="s">
        <v>40</v>
      </c>
      <c r="D3704">
        <v>4.0351999999999997</v>
      </c>
      <c r="E3704">
        <v>0.48057870000000003</v>
      </c>
      <c r="F3704" t="s">
        <v>43</v>
      </c>
      <c r="G3704">
        <v>-500.2842</v>
      </c>
      <c r="H3704">
        <v>-0.05</v>
      </c>
      <c r="I3704">
        <v>40.050640000000001</v>
      </c>
      <c r="J3704">
        <v>-492.61079999999998</v>
      </c>
      <c r="K3704">
        <v>1.110198</v>
      </c>
      <c r="L3704">
        <v>258.54930000000002</v>
      </c>
      <c r="M3704">
        <v>-5.6849469999999999E-2</v>
      </c>
      <c r="N3704">
        <v>0</v>
      </c>
      <c r="O3704">
        <v>-0.9982837</v>
      </c>
      <c r="P3704">
        <v>-8.7649359999999996E-2</v>
      </c>
      <c r="Q3704">
        <v>-2.9340600000000001E-3</v>
      </c>
      <c r="R3704">
        <v>-0.99614760000000002</v>
      </c>
      <c r="S3704">
        <v>-0.1054688</v>
      </c>
      <c r="T3704">
        <v>-1.5933389999999999E-2</v>
      </c>
      <c r="U3704">
        <v>-3.0022129999999998</v>
      </c>
      <c r="V3704">
        <v>3.0877539999999998E-2</v>
      </c>
      <c r="W3704">
        <v>1.11285E-2</v>
      </c>
      <c r="X3704">
        <v>0.99946120000000005</v>
      </c>
      <c r="Y3704">
        <v>-2.1768639999999999E-2</v>
      </c>
      <c r="Z3704">
        <v>5.2920099999999998E-3</v>
      </c>
      <c r="AA3704">
        <v>0.999749</v>
      </c>
      <c r="AB3704">
        <v>18</v>
      </c>
      <c r="AC3704">
        <v>-7.6734000000000098</v>
      </c>
      <c r="AD3704">
        <v>-1.1601980000000001</v>
      </c>
      <c r="AE3704">
        <v>-218.49866</v>
      </c>
      <c r="AF3704">
        <v>-4.7616397296004802</v>
      </c>
      <c r="AG3704">
        <v>-1.1601980000000001</v>
      </c>
      <c r="AH3704">
        <v>218.57534232239701</v>
      </c>
      <c r="AI3704">
        <v>90.304051024640799</v>
      </c>
      <c r="AJ3704">
        <v>91.247984840038299</v>
      </c>
      <c r="AK3704">
        <v>218.63028048206601</v>
      </c>
      <c r="AL3704">
        <v>89.362370742251301</v>
      </c>
      <c r="AM3704">
        <v>88.230456380400696</v>
      </c>
      <c r="AN3704">
        <v>0.99999997814706998</v>
      </c>
    </row>
    <row r="3705" spans="1:40" x14ac:dyDescent="0.25">
      <c r="A3705" t="str">
        <f>"20190312153955934"</f>
        <v>20190312153955934</v>
      </c>
      <c r="B3705" t="str">
        <f>"1552376395929400"</f>
        <v>1552376395929400</v>
      </c>
      <c r="C3705" t="s">
        <v>40</v>
      </c>
      <c r="D3705">
        <v>3.9930850000000002</v>
      </c>
      <c r="E3705">
        <v>0.48111559999999998</v>
      </c>
      <c r="F3705" t="s">
        <v>43</v>
      </c>
      <c r="G3705">
        <v>-501.94200000000001</v>
      </c>
      <c r="H3705">
        <v>-0.05</v>
      </c>
      <c r="I3705">
        <v>0.56550599999999995</v>
      </c>
      <c r="J3705">
        <v>-492.61680000000001</v>
      </c>
      <c r="K3705">
        <v>1.110214</v>
      </c>
      <c r="L3705">
        <v>258.44659999999999</v>
      </c>
      <c r="M3705">
        <v>-5.6975520000000002E-2</v>
      </c>
      <c r="N3705">
        <v>0</v>
      </c>
      <c r="O3705">
        <v>-0.99827639999999995</v>
      </c>
      <c r="P3705">
        <v>-8.8139350000000005E-2</v>
      </c>
      <c r="Q3705">
        <v>-3.1082739999999998E-3</v>
      </c>
      <c r="R3705">
        <v>-0.99610350000000003</v>
      </c>
      <c r="S3705">
        <v>-0.1085815</v>
      </c>
      <c r="T3705">
        <v>-1.350057E-2</v>
      </c>
      <c r="U3705">
        <v>-3.002014</v>
      </c>
      <c r="V3705">
        <v>3.1242579999999999E-2</v>
      </c>
      <c r="W3705">
        <v>1.09577999999999E-2</v>
      </c>
      <c r="X3705">
        <v>0.9994518</v>
      </c>
      <c r="Y3705">
        <v>-2.08571E-2</v>
      </c>
      <c r="Z3705">
        <v>4.4842149999999997E-3</v>
      </c>
      <c r="AA3705">
        <v>0.99977240000000001</v>
      </c>
      <c r="AB3705">
        <v>18</v>
      </c>
      <c r="AC3705">
        <v>-9.3251999999999295</v>
      </c>
      <c r="AD3705">
        <v>-1.1602139999999901</v>
      </c>
      <c r="AE3705">
        <v>-257.88109400000002</v>
      </c>
      <c r="AF3705">
        <v>-5.3842066284685899</v>
      </c>
      <c r="AG3705">
        <v>-1.1602139999999901</v>
      </c>
      <c r="AH3705">
        <v>257.98824819211802</v>
      </c>
      <c r="AI3705">
        <v>90.257610360249004</v>
      </c>
      <c r="AJ3705">
        <v>91.195587555568395</v>
      </c>
      <c r="AK3705">
        <v>258.04703443903799</v>
      </c>
      <c r="AL3705">
        <v>89.372151765006294</v>
      </c>
      <c r="AM3705">
        <v>88.209533216230895</v>
      </c>
      <c r="AN3705">
        <v>1.00000003635456</v>
      </c>
    </row>
    <row r="3706" spans="1:40" x14ac:dyDescent="0.25">
      <c r="A3706" t="str">
        <f>"20190312153955950"</f>
        <v>20190312153955950</v>
      </c>
      <c r="B3706" t="str">
        <f>"1552376395939159"</f>
        <v>1552376395939159</v>
      </c>
      <c r="C3706" t="s">
        <v>40</v>
      </c>
      <c r="D3706">
        <v>3.9651719999999999</v>
      </c>
      <c r="E3706">
        <v>0.4813134</v>
      </c>
      <c r="F3706" t="s">
        <v>43</v>
      </c>
      <c r="G3706">
        <v>-503.85610000000003</v>
      </c>
      <c r="H3706">
        <v>-0.05</v>
      </c>
      <c r="I3706">
        <v>-37.445909999999998</v>
      </c>
      <c r="J3706">
        <v>-492.62450000000001</v>
      </c>
      <c r="K3706">
        <v>1.110239</v>
      </c>
      <c r="L3706">
        <v>258.3143</v>
      </c>
      <c r="M3706">
        <v>-5.7128209999999999E-2</v>
      </c>
      <c r="N3706">
        <v>0</v>
      </c>
      <c r="O3706">
        <v>-0.99826749999999997</v>
      </c>
      <c r="P3706">
        <v>-8.9265499999999998E-2</v>
      </c>
      <c r="Q3706">
        <v>-3.187755E-3</v>
      </c>
      <c r="R3706">
        <v>-0.99600310000000003</v>
      </c>
      <c r="S3706">
        <v>-0.1140137</v>
      </c>
      <c r="T3706">
        <v>-1.1769409999999999E-2</v>
      </c>
      <c r="U3706">
        <v>-3.0015869999999998</v>
      </c>
      <c r="V3706">
        <v>3.2219200000000003E-2</v>
      </c>
      <c r="W3706">
        <v>1.088151E-2</v>
      </c>
      <c r="X3706">
        <v>0.99942160000000002</v>
      </c>
      <c r="Y3706">
        <v>-1.91979E-2</v>
      </c>
      <c r="Z3706">
        <v>3.9096599999999997E-3</v>
      </c>
      <c r="AA3706">
        <v>0.99980809999999998</v>
      </c>
      <c r="AB3706">
        <v>18</v>
      </c>
      <c r="AC3706">
        <v>-11.2316</v>
      </c>
      <c r="AD3706">
        <v>-1.160239</v>
      </c>
      <c r="AE3706">
        <v>-295.76020999999997</v>
      </c>
      <c r="AF3706">
        <v>-5.6845866295558496</v>
      </c>
      <c r="AG3706">
        <v>-1.160239</v>
      </c>
      <c r="AH3706">
        <v>295.91425089988201</v>
      </c>
      <c r="AI3706">
        <v>90.224606265389397</v>
      </c>
      <c r="AJ3706">
        <v>91.100530862990595</v>
      </c>
      <c r="AK3706">
        <v>295.97112116779999</v>
      </c>
      <c r="AL3706">
        <v>89.376523103641503</v>
      </c>
      <c r="AM3706">
        <v>88.153546945009396</v>
      </c>
      <c r="AN3706">
        <v>1.0000000093275301</v>
      </c>
    </row>
    <row r="3707" spans="1:40" x14ac:dyDescent="0.25">
      <c r="A3707" t="str">
        <f>"20190312153955963"</f>
        <v>20190312153955963</v>
      </c>
      <c r="B3707" t="str">
        <f>"1552376395949896"</f>
        <v>1552376395949896</v>
      </c>
      <c r="C3707" t="s">
        <v>40</v>
      </c>
      <c r="D3707">
        <v>3.9423539999999999</v>
      </c>
      <c r="E3707">
        <v>0.4813712</v>
      </c>
      <c r="F3707" t="s">
        <v>43</v>
      </c>
      <c r="G3707">
        <v>-504.79399999999998</v>
      </c>
      <c r="H3707">
        <v>-0.05</v>
      </c>
      <c r="I3707">
        <v>-47.149140000000003</v>
      </c>
      <c r="J3707">
        <v>-492.63060000000002</v>
      </c>
      <c r="K3707">
        <v>1.110258</v>
      </c>
      <c r="L3707">
        <v>258.21120000000002</v>
      </c>
      <c r="M3707">
        <v>-5.7238770000000001E-2</v>
      </c>
      <c r="N3707">
        <v>0</v>
      </c>
      <c r="O3707">
        <v>-0.99826110000000001</v>
      </c>
      <c r="P3707">
        <v>-8.9911389999999994E-2</v>
      </c>
      <c r="Q3707">
        <v>-3.3157769999999998E-3</v>
      </c>
      <c r="R3707">
        <v>-0.99594470000000002</v>
      </c>
      <c r="S3707">
        <v>-0.1195679</v>
      </c>
      <c r="T3707">
        <v>-1.1399629999999999E-2</v>
      </c>
      <c r="U3707">
        <v>-3.0012509999999999</v>
      </c>
      <c r="V3707">
        <v>3.2756189999999998E-2</v>
      </c>
      <c r="W3707">
        <v>1.075563E-2</v>
      </c>
      <c r="X3707">
        <v>0.99940549999999995</v>
      </c>
      <c r="Y3707">
        <v>-1.7456869999999999E-2</v>
      </c>
      <c r="Z3707">
        <v>3.7871340000000002E-3</v>
      </c>
      <c r="AA3707">
        <v>0.99984039999999996</v>
      </c>
      <c r="AB3707">
        <v>18</v>
      </c>
      <c r="AC3707">
        <v>-12.163399999999999</v>
      </c>
      <c r="AD3707">
        <v>-1.160258</v>
      </c>
      <c r="AE3707">
        <v>-305.36034000000001</v>
      </c>
      <c r="AF3707">
        <v>-5.3366539755162297</v>
      </c>
      <c r="AG3707">
        <v>-1.160258</v>
      </c>
      <c r="AH3707">
        <v>305.55149047219601</v>
      </c>
      <c r="AI3707">
        <v>90.217532664933998</v>
      </c>
      <c r="AJ3707">
        <v>91.000606030025395</v>
      </c>
      <c r="AK3707">
        <v>305.60029352744601</v>
      </c>
      <c r="AL3707">
        <v>89.383735914204905</v>
      </c>
      <c r="AM3707">
        <v>88.122764155061603</v>
      </c>
      <c r="AN3707">
        <v>1.0000000024951301</v>
      </c>
    </row>
    <row r="3708" spans="1:40" x14ac:dyDescent="0.25">
      <c r="A3708" t="str">
        <f>"20190312153955975"</f>
        <v>20190312153955975</v>
      </c>
      <c r="B3708" t="str">
        <f>"1552376395969415"</f>
        <v>1552376395969415</v>
      </c>
      <c r="C3708" t="s">
        <v>40</v>
      </c>
      <c r="D3708">
        <v>3.958974</v>
      </c>
      <c r="E3708">
        <v>0.48167569999999998</v>
      </c>
      <c r="F3708" t="s">
        <v>43</v>
      </c>
      <c r="G3708">
        <v>-502.76769999999999</v>
      </c>
      <c r="H3708">
        <v>-0.05</v>
      </c>
      <c r="I3708">
        <v>8.3611149999999999</v>
      </c>
      <c r="J3708">
        <v>-492.63630000000001</v>
      </c>
      <c r="K3708">
        <v>1.1102749999999999</v>
      </c>
      <c r="L3708">
        <v>258.11349999999999</v>
      </c>
      <c r="M3708">
        <v>-5.7336400000000003E-2</v>
      </c>
      <c r="N3708">
        <v>0</v>
      </c>
      <c r="O3708">
        <v>-0.99825540000000001</v>
      </c>
      <c r="P3708">
        <v>-9.0561569999999994E-2</v>
      </c>
      <c r="Q3708">
        <v>-3.4317599999999998E-3</v>
      </c>
      <c r="R3708">
        <v>-0.99588509999999997</v>
      </c>
      <c r="S3708">
        <v>-0.1217651</v>
      </c>
      <c r="T3708">
        <v>-1.3936759999999999E-2</v>
      </c>
      <c r="U3708">
        <v>-3.001144</v>
      </c>
      <c r="V3708">
        <v>3.3310470000000002E-2</v>
      </c>
      <c r="W3708">
        <v>1.0641680000000001E-2</v>
      </c>
      <c r="X3708">
        <v>0.99938839999999995</v>
      </c>
      <c r="Y3708">
        <v>-1.682256E-2</v>
      </c>
      <c r="Z3708">
        <v>4.6300760000000003E-3</v>
      </c>
      <c r="AA3708">
        <v>0.99984779999999995</v>
      </c>
      <c r="AB3708">
        <v>18</v>
      </c>
      <c r="AC3708">
        <v>-10.1313999999999</v>
      </c>
      <c r="AD3708">
        <v>-1.1602749999999999</v>
      </c>
      <c r="AE3708">
        <v>-249.752385</v>
      </c>
      <c r="AF3708">
        <v>-4.2065051824414201</v>
      </c>
      <c r="AG3708">
        <v>-1.1602749999999999</v>
      </c>
      <c r="AH3708">
        <v>249.91701023373099</v>
      </c>
      <c r="AI3708">
        <v>90.265964162500893</v>
      </c>
      <c r="AJ3708">
        <v>90.964289053408507</v>
      </c>
      <c r="AK3708">
        <v>249.955101824492</v>
      </c>
      <c r="AL3708">
        <v>89.390265142507701</v>
      </c>
      <c r="AM3708">
        <v>88.090989398812397</v>
      </c>
      <c r="AN3708">
        <v>1.0000000034097001</v>
      </c>
    </row>
    <row r="3709" spans="1:40" x14ac:dyDescent="0.25">
      <c r="A3709" t="str">
        <f>"20190312153955989"</f>
        <v>20190312153955989</v>
      </c>
      <c r="B3709" t="str">
        <f>"1552376395979175"</f>
        <v>1552376395979175</v>
      </c>
      <c r="C3709" t="s">
        <v>40</v>
      </c>
      <c r="D3709">
        <v>3.9081999999999999</v>
      </c>
      <c r="E3709">
        <v>0.48172910000000002</v>
      </c>
      <c r="F3709" t="s">
        <v>43</v>
      </c>
      <c r="G3709">
        <v>-506.39670000000001</v>
      </c>
      <c r="H3709">
        <v>-0.05</v>
      </c>
      <c r="I3709">
        <v>-69.676299999999998</v>
      </c>
      <c r="J3709">
        <v>-492.64350000000002</v>
      </c>
      <c r="K3709">
        <v>1.1102989999999999</v>
      </c>
      <c r="L3709">
        <v>257.99160000000001</v>
      </c>
      <c r="M3709">
        <v>-5.7440049999999999E-2</v>
      </c>
      <c r="N3709">
        <v>0</v>
      </c>
      <c r="O3709">
        <v>-0.99824939999999995</v>
      </c>
      <c r="P3709">
        <v>-9.1070310000000002E-2</v>
      </c>
      <c r="Q3709">
        <v>-3.9063379999999997E-3</v>
      </c>
      <c r="R3709">
        <v>-0.99583710000000003</v>
      </c>
      <c r="S3709">
        <v>-0.12597659999999999</v>
      </c>
      <c r="T3709">
        <v>-1.062226E-2</v>
      </c>
      <c r="U3709">
        <v>-3.0009000000000001</v>
      </c>
      <c r="V3709">
        <v>3.3716639999999999E-2</v>
      </c>
      <c r="W3709">
        <v>1.017011E-2</v>
      </c>
      <c r="X3709">
        <v>0.99937969999999998</v>
      </c>
      <c r="Y3709">
        <v>-1.5522090000000001E-2</v>
      </c>
      <c r="Z3709">
        <v>3.5291390000000001E-3</v>
      </c>
      <c r="AA3709">
        <v>0.99987329999999996</v>
      </c>
      <c r="AB3709">
        <v>18</v>
      </c>
      <c r="AC3709">
        <v>-13.7531999999999</v>
      </c>
      <c r="AD3709">
        <v>-1.160299</v>
      </c>
      <c r="AE3709">
        <v>-327.66789999999997</v>
      </c>
      <c r="AF3709">
        <v>-5.0925793393280001</v>
      </c>
      <c r="AG3709">
        <v>-1.160299</v>
      </c>
      <c r="AH3709">
        <v>327.91275714637601</v>
      </c>
      <c r="AI3709">
        <v>90.202712279844306</v>
      </c>
      <c r="AJ3709">
        <v>90.889748390774102</v>
      </c>
      <c r="AK3709">
        <v>327.95435194160001</v>
      </c>
      <c r="AL3709">
        <v>89.417285582463194</v>
      </c>
      <c r="AM3709">
        <v>88.06771267872</v>
      </c>
      <c r="AN3709">
        <v>1.00000001386119</v>
      </c>
    </row>
    <row r="3710" spans="1:40" x14ac:dyDescent="0.25">
      <c r="A3710" t="str">
        <f>"20190312153956009"</f>
        <v>20190312153956009</v>
      </c>
      <c r="B3710" t="str">
        <f>"1552376395999671"</f>
        <v>1552376395999671</v>
      </c>
      <c r="C3710" t="s">
        <v>40</v>
      </c>
      <c r="D3710">
        <v>3.903632</v>
      </c>
      <c r="E3710">
        <v>0.4817652</v>
      </c>
      <c r="F3710" t="s">
        <v>43</v>
      </c>
      <c r="G3710">
        <v>-506.68299999999999</v>
      </c>
      <c r="H3710">
        <v>-0.05</v>
      </c>
      <c r="I3710">
        <v>-71.018769999999904</v>
      </c>
      <c r="J3710">
        <v>-492.65230000000003</v>
      </c>
      <c r="K3710">
        <v>1.1103289999999999</v>
      </c>
      <c r="L3710">
        <v>257.84050000000002</v>
      </c>
      <c r="M3710">
        <v>-5.7544680000000001E-2</v>
      </c>
      <c r="N3710">
        <v>0</v>
      </c>
      <c r="O3710">
        <v>-0.99824369999999996</v>
      </c>
      <c r="P3710">
        <v>-9.1539700000000002E-2</v>
      </c>
      <c r="Q3710">
        <v>-4.5173449999999999E-3</v>
      </c>
      <c r="R3710">
        <v>-0.99579169999999995</v>
      </c>
      <c r="S3710">
        <v>-0.12805179999999999</v>
      </c>
      <c r="T3710">
        <v>-1.0582799999999899E-2</v>
      </c>
      <c r="U3710">
        <v>-3.0008240000000002</v>
      </c>
      <c r="V3710">
        <v>3.4082220000000003E-2</v>
      </c>
      <c r="W3710">
        <v>9.5616969999999992E-3</v>
      </c>
      <c r="X3710">
        <v>0.99937330000000002</v>
      </c>
      <c r="Y3710">
        <v>-1.493558E-2</v>
      </c>
      <c r="Z3710">
        <v>3.5160510000000001E-3</v>
      </c>
      <c r="AA3710">
        <v>0.9998823</v>
      </c>
      <c r="AB3710">
        <v>18</v>
      </c>
      <c r="AC3710">
        <v>-14.0307</v>
      </c>
      <c r="AD3710">
        <v>-1.1603289999999999</v>
      </c>
      <c r="AE3710">
        <v>-328.85926999999998</v>
      </c>
      <c r="AF3710">
        <v>-4.9184697223648302</v>
      </c>
      <c r="AG3710">
        <v>-1.1603289999999999</v>
      </c>
      <c r="AH3710">
        <v>329.117602061068</v>
      </c>
      <c r="AI3710">
        <v>90.201977214610693</v>
      </c>
      <c r="AJ3710">
        <v>90.856188118134199</v>
      </c>
      <c r="AK3710">
        <v>329.15639701246198</v>
      </c>
      <c r="AL3710">
        <v>89.452146773217507</v>
      </c>
      <c r="AM3710">
        <v>88.046765076013401</v>
      </c>
      <c r="AN3710">
        <v>1.0000000082612599</v>
      </c>
    </row>
    <row r="3711" spans="1:40" x14ac:dyDescent="0.25">
      <c r="A3711" t="str">
        <f>"20190312153956030"</f>
        <v>20190312153956030</v>
      </c>
      <c r="B3711" t="str">
        <f>"1552376396019191"</f>
        <v>1552376396019191</v>
      </c>
      <c r="C3711" t="s">
        <v>40</v>
      </c>
      <c r="D3711">
        <v>3.8795320000000002</v>
      </c>
      <c r="E3711">
        <v>0.48180469999999997</v>
      </c>
      <c r="F3711" t="s">
        <v>43</v>
      </c>
      <c r="G3711">
        <v>-507.54610000000002</v>
      </c>
      <c r="H3711">
        <v>-0.05</v>
      </c>
      <c r="I3711">
        <v>-86.580690000000004</v>
      </c>
      <c r="J3711">
        <v>-492.66239999999999</v>
      </c>
      <c r="K3711">
        <v>1.110366</v>
      </c>
      <c r="L3711">
        <v>257.6671</v>
      </c>
      <c r="M3711">
        <v>-5.762511E-2</v>
      </c>
      <c r="N3711">
        <v>0</v>
      </c>
      <c r="O3711">
        <v>-0.99823890000000004</v>
      </c>
      <c r="P3711">
        <v>-9.1188459999999999E-2</v>
      </c>
      <c r="Q3711">
        <v>-5.0169500000000001E-3</v>
      </c>
      <c r="R3711">
        <v>-0.99582139999999997</v>
      </c>
      <c r="S3711">
        <v>-0.12976070000000001</v>
      </c>
      <c r="T3711">
        <v>-1.0109190000000001E-2</v>
      </c>
      <c r="U3711">
        <v>-3.0007169999999999</v>
      </c>
      <c r="V3711">
        <v>3.3648419999999998E-2</v>
      </c>
      <c r="W3711">
        <v>9.0658070000000004E-3</v>
      </c>
      <c r="X3711">
        <v>0.99939259999999996</v>
      </c>
      <c r="Y3711">
        <v>-1.4446209999999999E-2</v>
      </c>
      <c r="Z3711">
        <v>3.3587640000000002E-3</v>
      </c>
      <c r="AA3711">
        <v>0.99988999999999995</v>
      </c>
      <c r="AB3711">
        <v>18</v>
      </c>
      <c r="AC3711">
        <v>-14.883699999999999</v>
      </c>
      <c r="AD3711">
        <v>-1.160366</v>
      </c>
      <c r="AE3711">
        <v>-344.24779000000001</v>
      </c>
      <c r="AF3711">
        <v>-4.9802661559364196</v>
      </c>
      <c r="AG3711">
        <v>-1.160366</v>
      </c>
      <c r="AH3711">
        <v>344.52949009031101</v>
      </c>
      <c r="AI3711">
        <v>90.192949747720505</v>
      </c>
      <c r="AJ3711">
        <v>90.828168175226295</v>
      </c>
      <c r="AK3711">
        <v>344.56743758243903</v>
      </c>
      <c r="AL3711">
        <v>89.480560398733004</v>
      </c>
      <c r="AM3711">
        <v>88.071644257603495</v>
      </c>
      <c r="AN3711">
        <v>0.999999986979908</v>
      </c>
    </row>
    <row r="3712" spans="1:40" x14ac:dyDescent="0.25">
      <c r="A3712" t="str">
        <f>"20190312153956044"</f>
        <v>20190312153956044</v>
      </c>
      <c r="B3712" t="str">
        <f>"1552376396039688"</f>
        <v>1552376396039688</v>
      </c>
      <c r="C3712" t="s">
        <v>40</v>
      </c>
      <c r="D3712">
        <v>3.8686289999999999</v>
      </c>
      <c r="E3712">
        <v>0.48178840000000001</v>
      </c>
      <c r="F3712" t="s">
        <v>50</v>
      </c>
      <c r="G3712">
        <v>0</v>
      </c>
      <c r="H3712">
        <v>0</v>
      </c>
      <c r="I3712">
        <v>0</v>
      </c>
      <c r="J3712">
        <v>-492.66890000000001</v>
      </c>
      <c r="K3712">
        <v>1.11039</v>
      </c>
      <c r="L3712">
        <v>257.55470000000003</v>
      </c>
      <c r="M3712">
        <v>-5.7655119999999997E-2</v>
      </c>
      <c r="N3712">
        <v>0</v>
      </c>
      <c r="O3712">
        <v>-0.99823729999999999</v>
      </c>
      <c r="P3712">
        <v>-9.0966630000000007E-2</v>
      </c>
      <c r="Q3712">
        <v>-5.0056529999999997E-3</v>
      </c>
      <c r="R3712">
        <v>-0.9958418</v>
      </c>
      <c r="S3712">
        <v>-0.12853999999999999</v>
      </c>
      <c r="T3712">
        <v>-9.1764930000000008E-3</v>
      </c>
      <c r="U3712">
        <v>-3.0007169999999999</v>
      </c>
      <c r="V3712">
        <v>3.3395229999999998E-2</v>
      </c>
      <c r="W3712">
        <v>9.0791559999999997E-3</v>
      </c>
      <c r="X3712">
        <v>0.99940099999999998</v>
      </c>
      <c r="Y3712">
        <v>-1.488221E-2</v>
      </c>
      <c r="Z3712">
        <v>3.0488889999999999E-3</v>
      </c>
      <c r="AA3712">
        <v>0.99988460000000001</v>
      </c>
      <c r="AB3712">
        <v>18</v>
      </c>
      <c r="AC3712">
        <v>-0.12853999999999999</v>
      </c>
      <c r="AD3712">
        <v>-9.1764930000000008E-3</v>
      </c>
      <c r="AE3712">
        <v>-3.0007169999999999</v>
      </c>
      <c r="AF3712">
        <v>-4.4697288252373103E-2</v>
      </c>
      <c r="AG3712">
        <v>-9.1764930000000008E-3</v>
      </c>
      <c r="AH3712">
        <v>3.0031081872657301</v>
      </c>
      <c r="AI3712">
        <v>90.175056782810302</v>
      </c>
      <c r="AJ3712">
        <v>90.852708837982405</v>
      </c>
      <c r="AK3712">
        <v>3.0034548173767099</v>
      </c>
      <c r="AL3712">
        <v>89.479795540788103</v>
      </c>
      <c r="AM3712">
        <v>88.086159553973104</v>
      </c>
      <c r="AN3712">
        <v>1.0000000156307101</v>
      </c>
    </row>
    <row r="3713" spans="1:40" x14ac:dyDescent="0.25">
      <c r="A3713" t="str">
        <f>"20190312153956059"</f>
        <v>20190312153956059</v>
      </c>
      <c r="B3713" t="str">
        <f>"1552376396049447"</f>
        <v>1552376396049447</v>
      </c>
      <c r="C3713" t="s">
        <v>40</v>
      </c>
      <c r="D3713">
        <v>3.8580199999999998</v>
      </c>
      <c r="E3713">
        <v>0.48177500000000001</v>
      </c>
      <c r="F3713" t="s">
        <v>50</v>
      </c>
      <c r="G3713">
        <v>0</v>
      </c>
      <c r="H3713">
        <v>0</v>
      </c>
      <c r="I3713">
        <v>0</v>
      </c>
      <c r="J3713">
        <v>-492.67579999999998</v>
      </c>
      <c r="K3713">
        <v>1.1104149999999999</v>
      </c>
      <c r="L3713">
        <v>257.4359</v>
      </c>
      <c r="M3713">
        <v>-5.7671899999999998E-2</v>
      </c>
      <c r="N3713">
        <v>0</v>
      </c>
      <c r="O3713">
        <v>-0.99823609999999896</v>
      </c>
      <c r="P3713">
        <v>-9.0592859999999997E-2</v>
      </c>
      <c r="Q3713">
        <v>-4.992369E-3</v>
      </c>
      <c r="R3713">
        <v>-0.99587579999999998</v>
      </c>
      <c r="S3713">
        <v>-0.12838749999999999</v>
      </c>
      <c r="T3713">
        <v>-6.6556929999999999E-3</v>
      </c>
      <c r="U3713">
        <v>-3.0007779999999999</v>
      </c>
      <c r="V3713">
        <v>3.300281E-2</v>
      </c>
      <c r="W3713">
        <v>9.0939379999999993E-3</v>
      </c>
      <c r="X3713">
        <v>0.99941389999999997</v>
      </c>
      <c r="Y3713">
        <v>-1.495057E-2</v>
      </c>
      <c r="Z3713">
        <v>2.211312E-3</v>
      </c>
      <c r="AA3713">
        <v>0.99988580000000005</v>
      </c>
      <c r="AB3713">
        <v>18</v>
      </c>
      <c r="AC3713">
        <v>-0.12838749999999999</v>
      </c>
      <c r="AD3713">
        <v>-6.6556929999999999E-3</v>
      </c>
      <c r="AE3713">
        <v>-3.0007779999999999</v>
      </c>
      <c r="AF3713">
        <v>-4.4903771049639801E-2</v>
      </c>
      <c r="AG3713">
        <v>-6.6556929999999999E-3</v>
      </c>
      <c r="AH3713">
        <v>3.0031728240212399</v>
      </c>
      <c r="AI3713">
        <v>90.126965678099296</v>
      </c>
      <c r="AJ3713">
        <v>90.856628976161701</v>
      </c>
      <c r="AK3713">
        <v>3.0035158827353499</v>
      </c>
      <c r="AL3713">
        <v>89.478948558952098</v>
      </c>
      <c r="AM3713">
        <v>88.108656636165804</v>
      </c>
      <c r="AN3713">
        <v>1.0000000143447201</v>
      </c>
    </row>
    <row r="3714" spans="1:40" x14ac:dyDescent="0.25">
      <c r="A3714" t="str">
        <f>"20190312153956073"</f>
        <v>20190312153956073</v>
      </c>
      <c r="B3714" t="str">
        <f>"1552376396069944"</f>
        <v>1552376396069944</v>
      </c>
      <c r="C3714" t="s">
        <v>40</v>
      </c>
      <c r="D3714">
        <v>3.8365049999999998</v>
      </c>
      <c r="E3714">
        <v>0.48175790000000002</v>
      </c>
      <c r="F3714" t="s">
        <v>50</v>
      </c>
      <c r="G3714">
        <v>0</v>
      </c>
      <c r="H3714">
        <v>0</v>
      </c>
      <c r="I3714">
        <v>0</v>
      </c>
      <c r="J3714">
        <v>-492.68299999999999</v>
      </c>
      <c r="K3714">
        <v>1.1104400000000001</v>
      </c>
      <c r="L3714">
        <v>257.31150000000002</v>
      </c>
      <c r="M3714">
        <v>-5.7668320000000002E-2</v>
      </c>
      <c r="N3714">
        <v>0</v>
      </c>
      <c r="O3714">
        <v>-0.99823640000000002</v>
      </c>
      <c r="P3714">
        <v>-8.98978E-2</v>
      </c>
      <c r="Q3714">
        <v>-4.996754E-3</v>
      </c>
      <c r="R3714">
        <v>-0.99593860000000001</v>
      </c>
      <c r="S3714">
        <v>-0.12744140000000001</v>
      </c>
      <c r="T3714">
        <v>-5.7437419999999996E-3</v>
      </c>
      <c r="U3714">
        <v>-3.0007779999999999</v>
      </c>
      <c r="V3714">
        <v>3.2308410000000003E-2</v>
      </c>
      <c r="W3714">
        <v>9.091554E-3</v>
      </c>
      <c r="X3714">
        <v>0.99943660000000001</v>
      </c>
      <c r="Y3714">
        <v>-1.526161E-2</v>
      </c>
      <c r="Z3714">
        <v>1.908332E-3</v>
      </c>
      <c r="AA3714">
        <v>0.99988169999999998</v>
      </c>
      <c r="AB3714">
        <v>18</v>
      </c>
      <c r="AC3714">
        <v>-0.12744140000000001</v>
      </c>
      <c r="AD3714">
        <v>-5.7437419999999996E-3</v>
      </c>
      <c r="AE3714">
        <v>-3.0007779999999999</v>
      </c>
      <c r="AF3714">
        <v>-4.5837562551928099E-2</v>
      </c>
      <c r="AG3714">
        <v>-5.7437419999999996E-3</v>
      </c>
      <c r="AH3714">
        <v>3.0031221841268501</v>
      </c>
      <c r="AI3714">
        <v>90.109570449206501</v>
      </c>
      <c r="AJ3714">
        <v>90.874454916138802</v>
      </c>
      <c r="AK3714">
        <v>3.0034774721158999</v>
      </c>
      <c r="AL3714">
        <v>89.479085152120106</v>
      </c>
      <c r="AM3714">
        <v>88.148465724524101</v>
      </c>
      <c r="AN3714">
        <v>1.0000000035652099</v>
      </c>
    </row>
    <row r="3715" spans="1:40" x14ac:dyDescent="0.25">
      <c r="A3715" t="str">
        <f>"20190312153956086"</f>
        <v>20190312153956086</v>
      </c>
      <c r="B3715" t="str">
        <f>"1552376396079704"</f>
        <v>1552376396079704</v>
      </c>
      <c r="C3715" t="s">
        <v>40</v>
      </c>
      <c r="D3715">
        <v>3.7961049999999998</v>
      </c>
      <c r="E3715">
        <v>0.4817979</v>
      </c>
      <c r="F3715" t="s">
        <v>50</v>
      </c>
      <c r="G3715">
        <v>0</v>
      </c>
      <c r="H3715">
        <v>0</v>
      </c>
      <c r="I3715">
        <v>0</v>
      </c>
      <c r="J3715">
        <v>-492.68860000000001</v>
      </c>
      <c r="K3715">
        <v>1.110457</v>
      </c>
      <c r="L3715">
        <v>257.21350000000001</v>
      </c>
      <c r="M3715">
        <v>-5.7652090000000003E-2</v>
      </c>
      <c r="N3715">
        <v>0</v>
      </c>
      <c r="O3715">
        <v>-0.99823740000000005</v>
      </c>
      <c r="P3715">
        <v>-8.9074150000000005E-2</v>
      </c>
      <c r="Q3715">
        <v>-4.8292539999999998E-3</v>
      </c>
      <c r="R3715">
        <v>-0.9960135</v>
      </c>
      <c r="S3715">
        <v>-0.12536620000000001</v>
      </c>
      <c r="T3715">
        <v>-3.7704710000000001E-3</v>
      </c>
      <c r="U3715">
        <v>-3.0009000000000001</v>
      </c>
      <c r="V3715">
        <v>3.1497740000000003E-2</v>
      </c>
      <c r="W3715">
        <v>9.2598699999999999E-3</v>
      </c>
      <c r="X3715">
        <v>0.99946089999999999</v>
      </c>
      <c r="Y3715">
        <v>-1.5937239999999998E-2</v>
      </c>
      <c r="Z3715">
        <v>1.2526849999999999E-3</v>
      </c>
      <c r="AA3715">
        <v>0.99987219999999999</v>
      </c>
      <c r="AB3715">
        <v>18</v>
      </c>
      <c r="AC3715">
        <v>-0.12536620000000001</v>
      </c>
      <c r="AD3715">
        <v>-3.7704710000000001E-3</v>
      </c>
      <c r="AE3715">
        <v>-3.0009000000000001</v>
      </c>
      <c r="AF3715">
        <v>-4.7867598937748897E-2</v>
      </c>
      <c r="AG3715">
        <v>-3.7704710000000001E-3</v>
      </c>
      <c r="AH3715">
        <v>3.0031313248405298</v>
      </c>
      <c r="AI3715">
        <v>90.071926433119799</v>
      </c>
      <c r="AJ3715">
        <v>90.913173242055905</v>
      </c>
      <c r="AK3715">
        <v>3.0035151535689102</v>
      </c>
      <c r="AL3715">
        <v>89.469440932824995</v>
      </c>
      <c r="AM3715">
        <v>88.194936427021503</v>
      </c>
      <c r="AN3715">
        <v>0.99999997172316601</v>
      </c>
    </row>
    <row r="3716" spans="1:40" x14ac:dyDescent="0.25">
      <c r="A3716" t="str">
        <f>"20190312153956099"</f>
        <v>20190312153956099</v>
      </c>
      <c r="B3716" t="str">
        <f>"1552376396089464"</f>
        <v>1552376396089464</v>
      </c>
      <c r="C3716" t="s">
        <v>40</v>
      </c>
      <c r="D3716">
        <v>3.8440910000000001</v>
      </c>
      <c r="E3716">
        <v>0.4817979</v>
      </c>
      <c r="F3716" t="s">
        <v>50</v>
      </c>
      <c r="G3716">
        <v>0</v>
      </c>
      <c r="H3716">
        <v>0</v>
      </c>
      <c r="I3716">
        <v>0</v>
      </c>
      <c r="J3716">
        <v>-492.69470000000001</v>
      </c>
      <c r="K3716">
        <v>1.110473</v>
      </c>
      <c r="L3716">
        <v>257.10820000000001</v>
      </c>
      <c r="M3716">
        <v>-5.7625290000000003E-2</v>
      </c>
      <c r="N3716">
        <v>0</v>
      </c>
      <c r="O3716">
        <v>-0.99823879999999998</v>
      </c>
      <c r="P3716">
        <v>-8.8218320000000003E-2</v>
      </c>
      <c r="Q3716">
        <v>-4.3410710000000002E-3</v>
      </c>
      <c r="R3716">
        <v>-0.99609179999999997</v>
      </c>
      <c r="S3716">
        <v>-0.1230774</v>
      </c>
      <c r="T3716">
        <v>-2.484202E-3</v>
      </c>
      <c r="U3716">
        <v>-3.0010219999999999</v>
      </c>
      <c r="V3716">
        <v>3.066528E-2</v>
      </c>
      <c r="W3716">
        <v>9.7481310000000002E-3</v>
      </c>
      <c r="X3716">
        <v>0.99948219999999999</v>
      </c>
      <c r="Y3716">
        <v>-1.667335E-2</v>
      </c>
      <c r="Z3716">
        <v>8.2531789999999998E-4</v>
      </c>
      <c r="AA3716">
        <v>0.99986059999999999</v>
      </c>
      <c r="AB3716">
        <v>18</v>
      </c>
      <c r="AC3716">
        <v>-0.1230774</v>
      </c>
      <c r="AD3716">
        <v>-2.484202E-3</v>
      </c>
      <c r="AE3716">
        <v>-3.0010219999999999</v>
      </c>
      <c r="AF3716">
        <v>-5.0079066411086101E-2</v>
      </c>
      <c r="AG3716">
        <v>-2.484202E-3</v>
      </c>
      <c r="AH3716">
        <v>3.00312517812289</v>
      </c>
      <c r="AI3716">
        <v>90.047388791116703</v>
      </c>
      <c r="AJ3716">
        <v>90.955355856751893</v>
      </c>
      <c r="AK3716">
        <v>3.00354372693787</v>
      </c>
      <c r="AL3716">
        <v>89.441464404376404</v>
      </c>
      <c r="AM3716">
        <v>88.242649916526304</v>
      </c>
      <c r="AN3716">
        <v>1.00000002678615</v>
      </c>
    </row>
    <row r="3717" spans="1:40" x14ac:dyDescent="0.25">
      <c r="A3717" t="str">
        <f>"20190312153956112"</f>
        <v>20190312153956112</v>
      </c>
      <c r="B3717" t="str">
        <f>"1552376396099224"</f>
        <v>1552376396099224</v>
      </c>
      <c r="C3717" t="s">
        <v>40</v>
      </c>
      <c r="D3717">
        <v>3.8627449999999999</v>
      </c>
      <c r="E3717">
        <v>0.4649471</v>
      </c>
      <c r="F3717" t="s">
        <v>50</v>
      </c>
      <c r="G3717">
        <v>0</v>
      </c>
      <c r="H3717">
        <v>0</v>
      </c>
      <c r="I3717">
        <v>0</v>
      </c>
      <c r="J3717">
        <v>-492.70100000000002</v>
      </c>
      <c r="K3717">
        <v>1.110487</v>
      </c>
      <c r="L3717">
        <v>256.9966</v>
      </c>
      <c r="M3717">
        <v>-5.7571110000000002E-2</v>
      </c>
      <c r="N3717">
        <v>0</v>
      </c>
      <c r="O3717">
        <v>-0.99824210000000002</v>
      </c>
      <c r="P3717">
        <v>-8.7485129999999994E-2</v>
      </c>
      <c r="Q3717">
        <v>-4.3091090000000002E-3</v>
      </c>
      <c r="R3717">
        <v>-0.99615690000000001</v>
      </c>
      <c r="S3717">
        <v>-0.1203613</v>
      </c>
      <c r="T3717">
        <v>-1.089811E-3</v>
      </c>
      <c r="U3717">
        <v>-3.0011290000000002</v>
      </c>
      <c r="V3717">
        <v>2.9983409999999999E-2</v>
      </c>
      <c r="W3717">
        <v>9.7805519999999996E-3</v>
      </c>
      <c r="X3717">
        <v>0.99950249999999996</v>
      </c>
      <c r="Y3717">
        <v>-1.7523919999999998E-2</v>
      </c>
      <c r="Z3717">
        <v>3.6205710000000003E-4</v>
      </c>
      <c r="AA3717">
        <v>0.99984640000000002</v>
      </c>
      <c r="AB3717">
        <v>18</v>
      </c>
      <c r="AC3717">
        <v>-0.1203613</v>
      </c>
      <c r="AD3717">
        <v>-1.089811E-3</v>
      </c>
      <c r="AE3717">
        <v>-3.0011290000000002</v>
      </c>
      <c r="AF3717">
        <v>-5.26338222826786E-2</v>
      </c>
      <c r="AG3717">
        <v>-1.089811E-3</v>
      </c>
      <c r="AH3717">
        <v>3.0030799893700801</v>
      </c>
      <c r="AI3717">
        <v>90.020789316297893</v>
      </c>
      <c r="AJ3717">
        <v>91.004098177426997</v>
      </c>
      <c r="AK3717">
        <v>3.0035413979985499</v>
      </c>
      <c r="AL3717">
        <v>89.439606689611495</v>
      </c>
      <c r="AM3717">
        <v>88.281737357482797</v>
      </c>
      <c r="AN3717">
        <v>0.99999995578945</v>
      </c>
    </row>
    <row r="3718" spans="1:40" x14ac:dyDescent="0.25">
      <c r="A3718" t="str">
        <f>"20190312153956125"</f>
        <v>20190312153956125</v>
      </c>
      <c r="B3718" t="str">
        <f>"1552376396119720"</f>
        <v>1552376396119720</v>
      </c>
      <c r="C3718" t="s">
        <v>40</v>
      </c>
      <c r="D3718">
        <v>3.7025250000000001</v>
      </c>
      <c r="E3718">
        <v>0.44492900000000002</v>
      </c>
      <c r="F3718" t="s">
        <v>50</v>
      </c>
      <c r="G3718">
        <v>0</v>
      </c>
      <c r="H3718">
        <v>0</v>
      </c>
      <c r="I3718">
        <v>0</v>
      </c>
      <c r="J3718">
        <v>-492.70650000000001</v>
      </c>
      <c r="K3718">
        <v>1.1105039999999999</v>
      </c>
      <c r="L3718">
        <v>256.90100000000001</v>
      </c>
      <c r="M3718">
        <v>-5.7508539999999997E-2</v>
      </c>
      <c r="N3718">
        <v>0</v>
      </c>
      <c r="O3718">
        <v>-0.99824550000000001</v>
      </c>
      <c r="P3718">
        <v>-8.6693549999999994E-2</v>
      </c>
      <c r="Q3718">
        <v>-3.9745830000000003E-3</v>
      </c>
      <c r="R3718">
        <v>-0.99622730000000004</v>
      </c>
      <c r="S3718">
        <v>1.287842E-2</v>
      </c>
      <c r="T3718">
        <v>5.6353809999999997E-2</v>
      </c>
      <c r="U3718">
        <v>-3.012985</v>
      </c>
      <c r="V3718">
        <v>2.9251320000000001E-2</v>
      </c>
      <c r="W3718">
        <v>1.011575E-2</v>
      </c>
      <c r="X3718">
        <v>0.99952090000000005</v>
      </c>
      <c r="Y3718">
        <v>-6.1780170000000002E-2</v>
      </c>
      <c r="Z3718">
        <v>-1.8636E-2</v>
      </c>
      <c r="AA3718">
        <v>0.99791580000000002</v>
      </c>
      <c r="AB3718">
        <v>18</v>
      </c>
      <c r="AC3718">
        <v>1.287842E-2</v>
      </c>
      <c r="AD3718">
        <v>5.6353809999999997E-2</v>
      </c>
      <c r="AE3718">
        <v>-3.012985</v>
      </c>
      <c r="AF3718">
        <v>-0.18608159175293101</v>
      </c>
      <c r="AG3718">
        <v>5.6353809999999997E-2</v>
      </c>
      <c r="AH3718">
        <v>3.00620523793794</v>
      </c>
      <c r="AI3718">
        <v>88.928119900178999</v>
      </c>
      <c r="AJ3718">
        <v>93.542041693720904</v>
      </c>
      <c r="AK3718">
        <v>3.0124860237512099</v>
      </c>
      <c r="AL3718">
        <v>89.420400332507199</v>
      </c>
      <c r="AM3718">
        <v>88.323697926008506</v>
      </c>
      <c r="AN3718">
        <v>0.99999999882830704</v>
      </c>
    </row>
    <row r="3719" spans="1:40" x14ac:dyDescent="0.25">
      <c r="A3719" t="str">
        <f>"20190312153956141"</f>
        <v>20190312153956141</v>
      </c>
      <c r="B3719" t="str">
        <f>"1552376396129481"</f>
        <v>1552376396129481</v>
      </c>
      <c r="C3719" t="s">
        <v>40</v>
      </c>
      <c r="D3719">
        <v>3.6900840000000001</v>
      </c>
      <c r="E3719">
        <v>0.43863410000000003</v>
      </c>
      <c r="F3719" t="s">
        <v>68</v>
      </c>
      <c r="G3719">
        <v>-481.75529999999998</v>
      </c>
      <c r="H3719">
        <v>5.5924569999999996</v>
      </c>
      <c r="I3719">
        <v>66.713750000000005</v>
      </c>
      <c r="J3719">
        <v>-492.71390000000002</v>
      </c>
      <c r="K3719">
        <v>1.110525</v>
      </c>
      <c r="L3719">
        <v>256.77100000000002</v>
      </c>
      <c r="M3719">
        <v>-5.740203E-2</v>
      </c>
      <c r="N3719">
        <v>0</v>
      </c>
      <c r="O3719">
        <v>-0.99825200000000003</v>
      </c>
      <c r="P3719">
        <v>-8.5220809999999994E-2</v>
      </c>
      <c r="Q3719">
        <v>-3.5227890000000001E-3</v>
      </c>
      <c r="R3719">
        <v>-0.99635620000000003</v>
      </c>
      <c r="S3719">
        <v>0.17428589999999999</v>
      </c>
      <c r="T3719">
        <v>7.1330069999999995E-2</v>
      </c>
      <c r="U3719">
        <v>-3.0268099999999998</v>
      </c>
      <c r="V3719">
        <v>2.7879609999999999E-2</v>
      </c>
      <c r="W3719">
        <v>1.0567770000000001E-2</v>
      </c>
      <c r="X3719">
        <v>0.99955539999999998</v>
      </c>
      <c r="Y3719">
        <v>-0.1146876</v>
      </c>
      <c r="Z3719">
        <v>-2.340414E-2</v>
      </c>
      <c r="AA3719">
        <v>0.99312590000000001</v>
      </c>
      <c r="AB3719">
        <v>18</v>
      </c>
      <c r="AC3719">
        <v>10.958600000000001</v>
      </c>
      <c r="AD3719">
        <v>4.4819319999999996</v>
      </c>
      <c r="AE3719">
        <v>-190.05724999999899</v>
      </c>
      <c r="AF3719">
        <v>-21.839174420750901</v>
      </c>
      <c r="AG3719">
        <v>4.4819319999999996</v>
      </c>
      <c r="AH3719">
        <v>189.00994048073201</v>
      </c>
      <c r="AI3719">
        <v>88.650592679352499</v>
      </c>
      <c r="AJ3719">
        <v>96.591019351406004</v>
      </c>
      <c r="AK3719">
        <v>190.32024289171801</v>
      </c>
      <c r="AL3719">
        <v>89.394500093915198</v>
      </c>
      <c r="AM3719">
        <v>88.402319726517604</v>
      </c>
      <c r="AN3719">
        <v>0.99999997404284202</v>
      </c>
    </row>
    <row r="3720" spans="1:40" x14ac:dyDescent="0.25">
      <c r="A3720" t="str">
        <f>"20190312153956152"</f>
        <v>20190312153956152</v>
      </c>
      <c r="B3720" t="str">
        <f>"1552376396139239"</f>
        <v>1552376396139239</v>
      </c>
      <c r="C3720" t="s">
        <v>40</v>
      </c>
      <c r="D3720">
        <v>3.6422409999999998</v>
      </c>
      <c r="E3720">
        <v>0.43413049999999997</v>
      </c>
      <c r="F3720" t="s">
        <v>68</v>
      </c>
      <c r="G3720">
        <v>-478.3877</v>
      </c>
      <c r="H3720">
        <v>5.8550839999999997</v>
      </c>
      <c r="I3720">
        <v>66.713750000000005</v>
      </c>
      <c r="J3720">
        <v>-492.71929999999998</v>
      </c>
      <c r="K3720">
        <v>1.1105430000000001</v>
      </c>
      <c r="L3720">
        <v>256.67559999999997</v>
      </c>
      <c r="M3720">
        <v>-5.730271E-2</v>
      </c>
      <c r="N3720">
        <v>0</v>
      </c>
      <c r="O3720">
        <v>-0.99825750000000002</v>
      </c>
      <c r="P3720">
        <v>-8.4460599999999997E-2</v>
      </c>
      <c r="Q3720">
        <v>-3.4600859999999998E-3</v>
      </c>
      <c r="R3720">
        <v>-0.99642090000000005</v>
      </c>
      <c r="S3720">
        <v>0.22845460000000001</v>
      </c>
      <c r="T3720">
        <v>7.5660469999999994E-2</v>
      </c>
      <c r="U3720">
        <v>-3.0307919999999999</v>
      </c>
      <c r="V3720">
        <v>2.721589E-2</v>
      </c>
      <c r="W3720">
        <v>1.063071E-2</v>
      </c>
      <c r="X3720">
        <v>0.99957309999999999</v>
      </c>
      <c r="Y3720">
        <v>-0.13216420000000001</v>
      </c>
      <c r="Z3720">
        <v>-2.4750040000000001E-2</v>
      </c>
      <c r="AA3720">
        <v>0.99091879999999999</v>
      </c>
      <c r="AB3720">
        <v>18</v>
      </c>
      <c r="AC3720">
        <v>14.3315999999999</v>
      </c>
      <c r="AD3720">
        <v>4.7445409999999999</v>
      </c>
      <c r="AE3720">
        <v>-189.96185</v>
      </c>
      <c r="AF3720">
        <v>-25.178836904634299</v>
      </c>
      <c r="AG3720">
        <v>4.7445409999999999</v>
      </c>
      <c r="AH3720">
        <v>188.711276562709</v>
      </c>
      <c r="AI3720">
        <v>88.572430069605204</v>
      </c>
      <c r="AJ3720">
        <v>97.599814069524399</v>
      </c>
      <c r="AK3720">
        <v>190.44272209537999</v>
      </c>
      <c r="AL3720">
        <v>89.390893740809204</v>
      </c>
      <c r="AM3720">
        <v>88.440363723535597</v>
      </c>
      <c r="AN3720">
        <v>1.0000000494536001</v>
      </c>
    </row>
    <row r="3721" spans="1:40" x14ac:dyDescent="0.25">
      <c r="A3721" t="str">
        <f>"20190312153956164"</f>
        <v>20190312153956164</v>
      </c>
      <c r="B3721" t="str">
        <f>"1552376396159735"</f>
        <v>1552376396159735</v>
      </c>
      <c r="C3721" t="s">
        <v>40</v>
      </c>
      <c r="D3721">
        <v>3.6818749999999998</v>
      </c>
      <c r="E3721">
        <v>0.43004199999999998</v>
      </c>
      <c r="F3721" t="s">
        <v>68</v>
      </c>
      <c r="G3721">
        <v>-475.99639999999999</v>
      </c>
      <c r="H3721">
        <v>5.8319559999999999</v>
      </c>
      <c r="I3721">
        <v>66.713750000000005</v>
      </c>
      <c r="J3721">
        <v>-492.72449999999998</v>
      </c>
      <c r="K3721">
        <v>1.110563</v>
      </c>
      <c r="L3721">
        <v>256.58240000000001</v>
      </c>
      <c r="M3721">
        <v>-5.7190869999999998E-2</v>
      </c>
      <c r="N3721">
        <v>0</v>
      </c>
      <c r="O3721">
        <v>-0.99826400000000004</v>
      </c>
      <c r="P3721">
        <v>-8.3708469999999993E-2</v>
      </c>
      <c r="Q3721">
        <v>-3.8035320000000001E-3</v>
      </c>
      <c r="R3721">
        <v>-0.99648300000000001</v>
      </c>
      <c r="S3721">
        <v>0.2670593</v>
      </c>
      <c r="T3721">
        <v>7.5400110000000006E-2</v>
      </c>
      <c r="U3721">
        <v>-3.0336460000000001</v>
      </c>
      <c r="V3721">
        <v>2.6573010000000001E-2</v>
      </c>
      <c r="W3721">
        <v>1.028693E-2</v>
      </c>
      <c r="X3721">
        <v>0.99959399999999998</v>
      </c>
      <c r="Y3721">
        <v>-0.1444993</v>
      </c>
      <c r="Z3721">
        <v>-2.4607939999999998E-2</v>
      </c>
      <c r="AA3721">
        <v>0.98919889999999999</v>
      </c>
      <c r="AB3721">
        <v>18</v>
      </c>
      <c r="AC3721">
        <v>16.728099999999898</v>
      </c>
      <c r="AD3721">
        <v>4.721393</v>
      </c>
      <c r="AE3721">
        <v>-189.86865</v>
      </c>
      <c r="AF3721">
        <v>-27.543644150194599</v>
      </c>
      <c r="AG3721">
        <v>4.721393</v>
      </c>
      <c r="AH3721">
        <v>188.48538178190699</v>
      </c>
      <c r="AI3721">
        <v>88.580164709144299</v>
      </c>
      <c r="AJ3721">
        <v>98.313869982093706</v>
      </c>
      <c r="AK3721">
        <v>190.545750491593</v>
      </c>
      <c r="AL3721">
        <v>89.410591963859702</v>
      </c>
      <c r="AM3721">
        <v>88.477218931481303</v>
      </c>
      <c r="AN3721">
        <v>1.00000005531264</v>
      </c>
    </row>
    <row r="3722" spans="1:40" x14ac:dyDescent="0.25">
      <c r="A3722" t="str">
        <f>"20190312153956176"</f>
        <v>20190312153956176</v>
      </c>
      <c r="B3722" t="str">
        <f>"1552376396169496"</f>
        <v>1552376396169496</v>
      </c>
      <c r="C3722" t="s">
        <v>40</v>
      </c>
      <c r="D3722">
        <v>3.653632</v>
      </c>
      <c r="E3722">
        <v>0.42859120000000001</v>
      </c>
      <c r="F3722" t="s">
        <v>68</v>
      </c>
      <c r="G3722">
        <v>-473.85579999999999</v>
      </c>
      <c r="H3722">
        <v>5.716723</v>
      </c>
      <c r="I3722">
        <v>66.713750000000005</v>
      </c>
      <c r="J3722">
        <v>-492.72989999999999</v>
      </c>
      <c r="K3722">
        <v>1.1105830000000001</v>
      </c>
      <c r="L3722">
        <v>256.48570000000001</v>
      </c>
      <c r="M3722">
        <v>-5.7064910000000003E-2</v>
      </c>
      <c r="N3722">
        <v>0</v>
      </c>
      <c r="O3722">
        <v>-0.99827120000000003</v>
      </c>
      <c r="P3722">
        <v>-8.2800109999999996E-2</v>
      </c>
      <c r="Q3722">
        <v>-4.2501190000000001E-3</v>
      </c>
      <c r="R3722">
        <v>-0.99655709999999997</v>
      </c>
      <c r="S3722">
        <v>0.30172729999999998</v>
      </c>
      <c r="T3722">
        <v>7.3657159999999999E-2</v>
      </c>
      <c r="U3722">
        <v>-3.0361790000000002</v>
      </c>
      <c r="V3722">
        <v>2.5787689999999999E-2</v>
      </c>
      <c r="W3722">
        <v>9.8401559999999992E-3</v>
      </c>
      <c r="X3722">
        <v>0.99961900000000004</v>
      </c>
      <c r="Y3722">
        <v>-0.155491299999999</v>
      </c>
      <c r="Z3722">
        <v>-2.3986810000000001E-2</v>
      </c>
      <c r="AA3722">
        <v>0.98754600000000003</v>
      </c>
      <c r="AB3722">
        <v>18</v>
      </c>
      <c r="AC3722">
        <v>18.874099999999999</v>
      </c>
      <c r="AD3722">
        <v>4.6061399999999999</v>
      </c>
      <c r="AE3722">
        <v>-189.77195</v>
      </c>
      <c r="AF3722">
        <v>-29.656430296460201</v>
      </c>
      <c r="AG3722">
        <v>4.6061399999999999</v>
      </c>
      <c r="AH3722">
        <v>188.27566186297099</v>
      </c>
      <c r="AI3722">
        <v>88.615607922555995</v>
      </c>
      <c r="AJ3722">
        <v>98.951453535517999</v>
      </c>
      <c r="AK3722">
        <v>190.65268220921499</v>
      </c>
      <c r="AL3722">
        <v>89.436191486414998</v>
      </c>
      <c r="AM3722">
        <v>88.522238812149993</v>
      </c>
      <c r="AN3722">
        <v>0.99999998939332002</v>
      </c>
    </row>
    <row r="3723" spans="1:40" x14ac:dyDescent="0.25">
      <c r="A3723" t="str">
        <f>"20190312153956188"</f>
        <v>20190312153956188</v>
      </c>
      <c r="B3723" t="str">
        <f>"1552376396179255"</f>
        <v>1552376396179255</v>
      </c>
      <c r="C3723" t="s">
        <v>40</v>
      </c>
      <c r="D3723">
        <v>3.660234</v>
      </c>
      <c r="E3723">
        <v>0.42754409999999998</v>
      </c>
      <c r="F3723" t="s">
        <v>68</v>
      </c>
      <c r="G3723">
        <v>-472.7473</v>
      </c>
      <c r="H3723">
        <v>5.4769160000000001</v>
      </c>
      <c r="I3723">
        <v>64.450009999999907</v>
      </c>
      <c r="J3723">
        <v>-492.73489999999998</v>
      </c>
      <c r="K3723">
        <v>1.1106</v>
      </c>
      <c r="L3723">
        <v>256.3965</v>
      </c>
      <c r="M3723">
        <v>-5.6925879999999998E-2</v>
      </c>
      <c r="N3723">
        <v>0</v>
      </c>
      <c r="O3723">
        <v>-0.99827929999999998</v>
      </c>
      <c r="P3723">
        <v>-8.2137689999999999E-2</v>
      </c>
      <c r="Q3723">
        <v>-4.4929050000000002E-3</v>
      </c>
      <c r="R3723">
        <v>-0.99661120000000003</v>
      </c>
      <c r="S3723">
        <v>0.3160095</v>
      </c>
      <c r="T3723">
        <v>6.9050790000000001E-2</v>
      </c>
      <c r="U3723">
        <v>-3.0369109999999999</v>
      </c>
      <c r="V3723">
        <v>2.5262139999999999E-2</v>
      </c>
      <c r="W3723">
        <v>9.5974579999999997E-3</v>
      </c>
      <c r="X3723">
        <v>0.99963480000000005</v>
      </c>
      <c r="Y3723">
        <v>-0.15992909999999999</v>
      </c>
      <c r="Z3723">
        <v>-2.2469019999999999E-2</v>
      </c>
      <c r="AA3723">
        <v>0.98687270000000005</v>
      </c>
      <c r="AB3723">
        <v>18</v>
      </c>
      <c r="AC3723">
        <v>19.987599999999901</v>
      </c>
      <c r="AD3723">
        <v>4.3663160000000003</v>
      </c>
      <c r="AE3723">
        <v>-191.94648999999899</v>
      </c>
      <c r="AF3723">
        <v>-30.8671850098292</v>
      </c>
      <c r="AG3723">
        <v>4.3663160000000003</v>
      </c>
      <c r="AH3723">
        <v>190.399779132243</v>
      </c>
      <c r="AI3723">
        <v>88.703227477660704</v>
      </c>
      <c r="AJ3723">
        <v>99.208547451111002</v>
      </c>
      <c r="AK3723">
        <v>192.93502460530499</v>
      </c>
      <c r="AL3723">
        <v>89.450097725877598</v>
      </c>
      <c r="AM3723">
        <v>88.552365328838206</v>
      </c>
      <c r="AN3723">
        <v>1.0000000101442399</v>
      </c>
    </row>
    <row r="3724" spans="1:40" x14ac:dyDescent="0.25">
      <c r="A3724" t="str">
        <f>"20190312153956199"</f>
        <v>20190312153956199</v>
      </c>
      <c r="B3724" t="str">
        <f>"1552376396189992"</f>
        <v>1552376396189992</v>
      </c>
      <c r="C3724" t="s">
        <v>40</v>
      </c>
      <c r="D3724">
        <v>3.6548660000000002</v>
      </c>
      <c r="E3724">
        <v>0.42672379999999999</v>
      </c>
      <c r="F3724" t="s">
        <v>68</v>
      </c>
      <c r="G3724">
        <v>-472.10719999999998</v>
      </c>
      <c r="H3724">
        <v>5.3774680000000004</v>
      </c>
      <c r="I3724">
        <v>64.450009999999907</v>
      </c>
      <c r="J3724">
        <v>-492.74009999999998</v>
      </c>
      <c r="K3724">
        <v>1.110617</v>
      </c>
      <c r="L3724">
        <v>256.30239999999998</v>
      </c>
      <c r="M3724">
        <v>-5.6772499999999997E-2</v>
      </c>
      <c r="N3724">
        <v>0</v>
      </c>
      <c r="O3724">
        <v>-0.99828790000000001</v>
      </c>
      <c r="P3724">
        <v>-8.1322039999999998E-2</v>
      </c>
      <c r="Q3724">
        <v>-4.9898779999999997E-3</v>
      </c>
      <c r="R3724">
        <v>-0.99667559999999999</v>
      </c>
      <c r="S3724">
        <v>0.32641599999999998</v>
      </c>
      <c r="T3724">
        <v>6.7520380000000005E-2</v>
      </c>
      <c r="U3724">
        <v>-3.0374150000000002</v>
      </c>
      <c r="V3724">
        <v>2.459751E-2</v>
      </c>
      <c r="W3724">
        <v>9.1006149999999994E-3</v>
      </c>
      <c r="X3724">
        <v>0.99965599999999999</v>
      </c>
      <c r="Y3724">
        <v>-0.16310469999999999</v>
      </c>
      <c r="Z3724">
        <v>-2.195824E-2</v>
      </c>
      <c r="AA3724">
        <v>0.98636440000000003</v>
      </c>
      <c r="AB3724">
        <v>18</v>
      </c>
      <c r="AC3724">
        <v>20.632899999999999</v>
      </c>
      <c r="AD3724">
        <v>4.2668509999999999</v>
      </c>
      <c r="AE3724">
        <v>-191.85239000000001</v>
      </c>
      <c r="AF3724">
        <v>-31.477242970131901</v>
      </c>
      <c r="AG3724">
        <v>4.2668509999999999</v>
      </c>
      <c r="AH3724">
        <v>190.27835909699701</v>
      </c>
      <c r="AI3724">
        <v>88.7326188779559</v>
      </c>
      <c r="AJ3724">
        <v>99.393219354951796</v>
      </c>
      <c r="AK3724">
        <v>192.91157762846399</v>
      </c>
      <c r="AL3724">
        <v>89.478565965736706</v>
      </c>
      <c r="AM3724">
        <v>88.590465936331</v>
      </c>
      <c r="AN3724">
        <v>0.99999998851378902</v>
      </c>
    </row>
    <row r="3725" spans="1:40" x14ac:dyDescent="0.25">
      <c r="A3725" t="str">
        <f>"20190312153956211"</f>
        <v>20190312153956211</v>
      </c>
      <c r="B3725" t="str">
        <f>"1552376396199752"</f>
        <v>1552376396199752</v>
      </c>
      <c r="C3725" t="s">
        <v>40</v>
      </c>
      <c r="D3725">
        <v>3.6752639999999999</v>
      </c>
      <c r="E3725">
        <v>0.4260275</v>
      </c>
      <c r="F3725" t="s">
        <v>68</v>
      </c>
      <c r="G3725">
        <v>-471.54059999999998</v>
      </c>
      <c r="H3725">
        <v>5.1447339999999997</v>
      </c>
      <c r="I3725">
        <v>64.450009999999907</v>
      </c>
      <c r="J3725">
        <v>-492.74529999999999</v>
      </c>
      <c r="K3725">
        <v>1.110633</v>
      </c>
      <c r="L3725">
        <v>256.2056</v>
      </c>
      <c r="M3725">
        <v>-5.6591469999999998E-2</v>
      </c>
      <c r="N3725">
        <v>0</v>
      </c>
      <c r="O3725">
        <v>-0.99829820000000002</v>
      </c>
      <c r="P3725">
        <v>-8.0581310000000003E-2</v>
      </c>
      <c r="Q3725">
        <v>-5.4875069999999896E-3</v>
      </c>
      <c r="R3725">
        <v>-0.99673330000000004</v>
      </c>
      <c r="S3725">
        <v>0.33566279999999998</v>
      </c>
      <c r="T3725">
        <v>6.3874959999999995E-2</v>
      </c>
      <c r="U3725">
        <v>-3.0377200000000002</v>
      </c>
      <c r="V3725">
        <v>2.4035830000000001E-2</v>
      </c>
      <c r="W3725">
        <v>8.601862E-3</v>
      </c>
      <c r="X3725">
        <v>0.99967410000000001</v>
      </c>
      <c r="Y3725">
        <v>-0.1658847</v>
      </c>
      <c r="Z3725">
        <v>-2.0763230000000001E-2</v>
      </c>
      <c r="AA3725">
        <v>0.98592659999999999</v>
      </c>
      <c r="AB3725">
        <v>18</v>
      </c>
      <c r="AC3725">
        <v>21.204699999999999</v>
      </c>
      <c r="AD3725">
        <v>4.0341009999999997</v>
      </c>
      <c r="AE3725">
        <v>-191.75558999999899</v>
      </c>
      <c r="AF3725">
        <v>-32.009520983965899</v>
      </c>
      <c r="AG3725">
        <v>4.0341009999999997</v>
      </c>
      <c r="AH3725">
        <v>190.164953546568</v>
      </c>
      <c r="AI3725">
        <v>88.801581168103098</v>
      </c>
      <c r="AJ3725">
        <v>99.554746305364901</v>
      </c>
      <c r="AK3725">
        <v>192.88232931471299</v>
      </c>
      <c r="AL3725">
        <v>89.507143538182206</v>
      </c>
      <c r="AM3725">
        <v>88.622664794489594</v>
      </c>
      <c r="AN3725">
        <v>1.0000000096822299</v>
      </c>
    </row>
    <row r="3726" spans="1:40" x14ac:dyDescent="0.25">
      <c r="A3726" t="str">
        <f>"20190312153956225"</f>
        <v>20190312153956225</v>
      </c>
      <c r="B3726" t="str">
        <f>"1552376396219271"</f>
        <v>1552376396219271</v>
      </c>
      <c r="C3726" t="s">
        <v>40</v>
      </c>
      <c r="D3726">
        <v>3.6708349999999998</v>
      </c>
      <c r="E3726">
        <v>0.42474030000000002</v>
      </c>
      <c r="F3726" t="s">
        <v>70</v>
      </c>
      <c r="G3726">
        <v>-473.57749999999999</v>
      </c>
      <c r="H3726">
        <v>4.4762729999999999</v>
      </c>
      <c r="I3726">
        <v>86.822289999999995</v>
      </c>
      <c r="J3726">
        <v>-492.75099999999998</v>
      </c>
      <c r="K3726">
        <v>1.1106499999999999</v>
      </c>
      <c r="L3726">
        <v>256.10180000000003</v>
      </c>
      <c r="M3726">
        <v>-5.6382599999999998E-2</v>
      </c>
      <c r="N3726">
        <v>0</v>
      </c>
      <c r="O3726">
        <v>-0.99831009999999998</v>
      </c>
      <c r="P3726">
        <v>-7.9568360000000005E-2</v>
      </c>
      <c r="Q3726">
        <v>-5.8286980000000002E-3</v>
      </c>
      <c r="R3726">
        <v>-0.99681280000000005</v>
      </c>
      <c r="S3726">
        <v>0.34378049999999999</v>
      </c>
      <c r="T3726">
        <v>6.0364599999999997E-2</v>
      </c>
      <c r="U3726">
        <v>-3.0379640000000001</v>
      </c>
      <c r="V3726">
        <v>2.3228970000000002E-2</v>
      </c>
      <c r="W3726">
        <v>8.2599819999999904E-3</v>
      </c>
      <c r="X3726">
        <v>0.99969609999999998</v>
      </c>
      <c r="Y3726">
        <v>-0.168273799999999</v>
      </c>
      <c r="Z3726">
        <v>-1.9614489999999998E-2</v>
      </c>
      <c r="AA3726">
        <v>0.98554520000000001</v>
      </c>
      <c r="AB3726">
        <v>18</v>
      </c>
      <c r="AC3726">
        <v>19.173499999999901</v>
      </c>
      <c r="AD3726">
        <v>3.3656229999999998</v>
      </c>
      <c r="AE3726">
        <v>-169.27950999999999</v>
      </c>
      <c r="AF3726">
        <v>-28.677164751527499</v>
      </c>
      <c r="AG3726">
        <v>3.3656229999999998</v>
      </c>
      <c r="AH3726">
        <v>167.86349886005499</v>
      </c>
      <c r="AI3726">
        <v>88.867785879129698</v>
      </c>
      <c r="AJ3726">
        <v>99.694604700518099</v>
      </c>
      <c r="AK3726">
        <v>170.328686503196</v>
      </c>
      <c r="AL3726">
        <v>89.526732535591805</v>
      </c>
      <c r="AM3726">
        <v>88.668912989079402</v>
      </c>
      <c r="AN3726">
        <v>1.0000000523525501</v>
      </c>
    </row>
    <row r="3727" spans="1:40" x14ac:dyDescent="0.25">
      <c r="A3727" t="str">
        <f>"20190312153956239"</f>
        <v>20190312153956239</v>
      </c>
      <c r="B3727" t="str">
        <f>"1552376396230008"</f>
        <v>1552376396230008</v>
      </c>
      <c r="C3727" t="s">
        <v>40</v>
      </c>
      <c r="D3727">
        <v>3.6662249999999998</v>
      </c>
      <c r="E3727">
        <v>0.42425410000000002</v>
      </c>
      <c r="F3727" t="s">
        <v>70</v>
      </c>
      <c r="G3727">
        <v>-473.15</v>
      </c>
      <c r="H3727">
        <v>4.3458360000000003</v>
      </c>
      <c r="I3727">
        <v>89.304659999999998</v>
      </c>
      <c r="J3727">
        <v>-492.75729999999999</v>
      </c>
      <c r="K3727">
        <v>1.1106670000000001</v>
      </c>
      <c r="L3727">
        <v>255.98509999999999</v>
      </c>
      <c r="M3727">
        <v>-5.613042E-2</v>
      </c>
      <c r="N3727">
        <v>0</v>
      </c>
      <c r="O3727">
        <v>-0.99832430000000005</v>
      </c>
      <c r="P3727">
        <v>-7.8733200000000003E-2</v>
      </c>
      <c r="Q3727">
        <v>-6.2641889999999999E-3</v>
      </c>
      <c r="R3727">
        <v>-0.99687619999999999</v>
      </c>
      <c r="S3727">
        <v>0.35705569999999998</v>
      </c>
      <c r="T3727">
        <v>5.89335E-2</v>
      </c>
      <c r="U3727">
        <v>-3.0384370000000001</v>
      </c>
      <c r="V3727">
        <v>2.2643989999999999E-2</v>
      </c>
      <c r="W3727">
        <v>7.8232130000000007E-3</v>
      </c>
      <c r="X3727">
        <v>0.99971299999999996</v>
      </c>
      <c r="Y3727">
        <v>-0.17225670000000001</v>
      </c>
      <c r="Z3727">
        <v>-1.9135679999999999E-2</v>
      </c>
      <c r="AA3727">
        <v>0.98486620000000002</v>
      </c>
      <c r="AB3727">
        <v>18</v>
      </c>
      <c r="AC3727">
        <v>19.607299999999999</v>
      </c>
      <c r="AD3727">
        <v>3.235169</v>
      </c>
      <c r="AE3727">
        <v>-166.68043999999901</v>
      </c>
      <c r="AF3727">
        <v>-28.9224041282225</v>
      </c>
      <c r="AG3727">
        <v>3.235169</v>
      </c>
      <c r="AH3727">
        <v>165.25552594682</v>
      </c>
      <c r="AI3727">
        <v>88.895264639880395</v>
      </c>
      <c r="AJ3727">
        <v>99.927149461176398</v>
      </c>
      <c r="AK3727">
        <v>167.79857161184299</v>
      </c>
      <c r="AL3727">
        <v>89.551758348439705</v>
      </c>
      <c r="AM3727">
        <v>88.702444350526505</v>
      </c>
      <c r="AN3727">
        <v>1.00000001765688</v>
      </c>
    </row>
    <row r="3728" spans="1:40" x14ac:dyDescent="0.25">
      <c r="A3728" t="str">
        <f>"20190312153956253"</f>
        <v>20190312153956253</v>
      </c>
      <c r="B3728" t="str">
        <f>"1552376396249527"</f>
        <v>1552376396249527</v>
      </c>
      <c r="C3728" t="s">
        <v>40</v>
      </c>
      <c r="D3728">
        <v>3.6145700000000001</v>
      </c>
      <c r="E3728">
        <v>0.4236743</v>
      </c>
      <c r="F3728" t="s">
        <v>70</v>
      </c>
      <c r="G3728">
        <v>-473.15</v>
      </c>
      <c r="H3728">
        <v>4.1060689999999997</v>
      </c>
      <c r="I3728">
        <v>92.253150000000005</v>
      </c>
      <c r="J3728">
        <v>-492.76330000000002</v>
      </c>
      <c r="K3728">
        <v>1.1106819999999999</v>
      </c>
      <c r="L3728">
        <v>255.8732</v>
      </c>
      <c r="M3728">
        <v>-5.5865560000000002E-2</v>
      </c>
      <c r="N3728">
        <v>0</v>
      </c>
      <c r="O3728">
        <v>-0.99833930000000004</v>
      </c>
      <c r="P3728">
        <v>-7.7093300000000003E-2</v>
      </c>
      <c r="Q3728">
        <v>-6.3975319999999896E-3</v>
      </c>
      <c r="R3728">
        <v>-0.997004</v>
      </c>
      <c r="S3728">
        <v>0.36386109999999999</v>
      </c>
      <c r="T3728">
        <v>5.5587770000000002E-2</v>
      </c>
      <c r="U3728">
        <v>-3.0384669999999998</v>
      </c>
      <c r="V3728">
        <v>2.1264600000000002E-2</v>
      </c>
      <c r="W3728">
        <v>7.6887500000000003E-3</v>
      </c>
      <c r="X3728">
        <v>0.99974430000000003</v>
      </c>
      <c r="Y3728">
        <v>-0.17417160000000001</v>
      </c>
      <c r="Z3728">
        <v>-1.8044480000000002E-2</v>
      </c>
      <c r="AA3728">
        <v>0.98455000000000004</v>
      </c>
      <c r="AB3728">
        <v>18</v>
      </c>
      <c r="AC3728">
        <v>19.613299999999999</v>
      </c>
      <c r="AD3728">
        <v>2.995387</v>
      </c>
      <c r="AE3728">
        <v>-163.62004999999999</v>
      </c>
      <c r="AF3728">
        <v>-28.7148058789172</v>
      </c>
      <c r="AG3728">
        <v>2.995387</v>
      </c>
      <c r="AH3728">
        <v>162.21506226326201</v>
      </c>
      <c r="AI3728">
        <v>88.958314385115003</v>
      </c>
      <c r="AJ3728">
        <v>100.038332436244</v>
      </c>
      <c r="AK3728">
        <v>164.76419163464399</v>
      </c>
      <c r="AL3728">
        <v>89.559462727059298</v>
      </c>
      <c r="AM3728">
        <v>88.781500283110404</v>
      </c>
      <c r="AN3728">
        <v>0.99999998273610602</v>
      </c>
    </row>
    <row r="3729" spans="1:40" x14ac:dyDescent="0.25">
      <c r="A3729" t="str">
        <f>"20190312153956274"</f>
        <v>20190312153956274</v>
      </c>
      <c r="B3729" t="str">
        <f>"1552376396269047"</f>
        <v>1552376396269047</v>
      </c>
      <c r="C3729" t="s">
        <v>40</v>
      </c>
      <c r="D3729">
        <v>3.6170279999999999</v>
      </c>
      <c r="E3729">
        <v>0.42326629999999899</v>
      </c>
      <c r="F3729" t="s">
        <v>70</v>
      </c>
      <c r="G3729">
        <v>-473.50029999999998</v>
      </c>
      <c r="H3729">
        <v>3.9068290000000001</v>
      </c>
      <c r="I3729">
        <v>99.129630000000006</v>
      </c>
      <c r="J3729">
        <v>-492.7724</v>
      </c>
      <c r="K3729">
        <v>1.110689</v>
      </c>
      <c r="L3729">
        <v>255.70150000000001</v>
      </c>
      <c r="M3729">
        <v>-5.5434160000000003E-2</v>
      </c>
      <c r="N3729">
        <v>0</v>
      </c>
      <c r="O3729">
        <v>-0.99836320000000001</v>
      </c>
      <c r="P3729">
        <v>-7.5646210000000005E-2</v>
      </c>
      <c r="Q3729">
        <v>-6.4884819999999899E-3</v>
      </c>
      <c r="R3729">
        <v>-0.99711360000000004</v>
      </c>
      <c r="S3729">
        <v>0.37338260000000001</v>
      </c>
      <c r="T3729">
        <v>5.4199810000000001E-2</v>
      </c>
      <c r="U3729">
        <v>-3.0382539999999998</v>
      </c>
      <c r="V3729">
        <v>2.0245470000000002E-2</v>
      </c>
      <c r="W3729">
        <v>7.594338E-3</v>
      </c>
      <c r="X3729">
        <v>0.99976620000000005</v>
      </c>
      <c r="Y3729">
        <v>-0.17679529999999999</v>
      </c>
      <c r="Z3729">
        <v>-1.758848E-2</v>
      </c>
      <c r="AA3729">
        <v>0.98409049999999998</v>
      </c>
      <c r="AB3729">
        <v>18</v>
      </c>
      <c r="AC3729">
        <v>19.272099999999998</v>
      </c>
      <c r="AD3729">
        <v>2.7961399999999998</v>
      </c>
      <c r="AE3729">
        <v>-156.57186999999999</v>
      </c>
      <c r="AF3729">
        <v>-27.9139800197418</v>
      </c>
      <c r="AG3729">
        <v>2.7961399999999998</v>
      </c>
      <c r="AH3729">
        <v>155.213867296438</v>
      </c>
      <c r="AI3729">
        <v>88.984234450508794</v>
      </c>
      <c r="AJ3729">
        <v>100.19520760308301</v>
      </c>
      <c r="AK3729">
        <v>157.728733211671</v>
      </c>
      <c r="AL3729">
        <v>89.564872303418099</v>
      </c>
      <c r="AM3729">
        <v>88.839907304034995</v>
      </c>
      <c r="AN3729">
        <v>1.0000000038437999</v>
      </c>
    </row>
    <row r="3730" spans="1:40" x14ac:dyDescent="0.25">
      <c r="A3730" t="str">
        <f>"20190312153956286"</f>
        <v>20190312153956286</v>
      </c>
      <c r="B3730" t="str">
        <f>"1552376396279784"</f>
        <v>1552376396279784</v>
      </c>
      <c r="C3730" t="s">
        <v>40</v>
      </c>
      <c r="D3730">
        <v>3.6315170000000001</v>
      </c>
      <c r="E3730">
        <v>0.42307929999999999</v>
      </c>
      <c r="F3730" t="s">
        <v>70</v>
      </c>
      <c r="G3730">
        <v>-473.15</v>
      </c>
      <c r="H3730">
        <v>3.8083969999999998</v>
      </c>
      <c r="I3730">
        <v>99.295779999999993</v>
      </c>
      <c r="J3730">
        <v>-492.77719999999999</v>
      </c>
      <c r="K3730">
        <v>1.1106879999999999</v>
      </c>
      <c r="L3730">
        <v>255.6086</v>
      </c>
      <c r="M3730">
        <v>-5.5188479999999998E-2</v>
      </c>
      <c r="N3730">
        <v>0</v>
      </c>
      <c r="O3730">
        <v>-0.99837699999999996</v>
      </c>
      <c r="P3730">
        <v>-7.4004600000000004E-2</v>
      </c>
      <c r="Q3730">
        <v>-6.6703589999999998E-3</v>
      </c>
      <c r="R3730">
        <v>-0.99723580000000001</v>
      </c>
      <c r="S3730">
        <v>0.38113399999999997</v>
      </c>
      <c r="T3730">
        <v>5.2399639999999997E-2</v>
      </c>
      <c r="U3730">
        <v>-3.0379640000000001</v>
      </c>
      <c r="V3730">
        <v>1.8845730000000002E-2</v>
      </c>
      <c r="W3730">
        <v>7.4102839999999996E-3</v>
      </c>
      <c r="X3730">
        <v>0.99979499999999999</v>
      </c>
      <c r="Y3730">
        <v>-0.17903810000000001</v>
      </c>
      <c r="Z3730">
        <v>-1.7000290000000001E-2</v>
      </c>
      <c r="AA3730">
        <v>0.98369530000000005</v>
      </c>
      <c r="AB3730">
        <v>18</v>
      </c>
      <c r="AC3730">
        <v>19.627199999999998</v>
      </c>
      <c r="AD3730">
        <v>2.6977090000000001</v>
      </c>
      <c r="AE3730">
        <v>-156.31281999999999</v>
      </c>
      <c r="AF3730">
        <v>-28.216526798104901</v>
      </c>
      <c r="AG3730">
        <v>2.6977090000000001</v>
      </c>
      <c r="AH3730">
        <v>154.945808021673</v>
      </c>
      <c r="AI3730">
        <v>89.018678953926099</v>
      </c>
      <c r="AJ3730">
        <v>100.320796368144</v>
      </c>
      <c r="AK3730">
        <v>157.51715284973301</v>
      </c>
      <c r="AL3730">
        <v>89.575418140550198</v>
      </c>
      <c r="AM3730">
        <v>88.920125692297603</v>
      </c>
      <c r="AN3730">
        <v>1.00000005793659</v>
      </c>
    </row>
    <row r="3731" spans="1:40" x14ac:dyDescent="0.25">
      <c r="A3731" t="str">
        <f>"20190312153956297"</f>
        <v>20190312153956297</v>
      </c>
      <c r="B3731" t="str">
        <f>"1552376396289542"</f>
        <v>1552376396289542</v>
      </c>
      <c r="C3731" t="s">
        <v>40</v>
      </c>
      <c r="D3731">
        <v>3.6329150000000001</v>
      </c>
      <c r="E3731">
        <v>0.42286629999999997</v>
      </c>
      <c r="F3731" t="s">
        <v>70</v>
      </c>
      <c r="G3731">
        <v>-473.15</v>
      </c>
      <c r="H3731">
        <v>3.6885940000000002</v>
      </c>
      <c r="I3731">
        <v>101.8524</v>
      </c>
      <c r="J3731">
        <v>-492.78160000000003</v>
      </c>
      <c r="K3731">
        <v>1.110689</v>
      </c>
      <c r="L3731">
        <v>255.5248</v>
      </c>
      <c r="M3731">
        <v>-5.4965020000000003E-2</v>
      </c>
      <c r="N3731">
        <v>0</v>
      </c>
      <c r="O3731">
        <v>-0.99838939999999998</v>
      </c>
      <c r="P3731">
        <v>-7.3097759999999998E-2</v>
      </c>
      <c r="Q3731">
        <v>-6.821405E-3</v>
      </c>
      <c r="R3731">
        <v>-0.99730180000000002</v>
      </c>
      <c r="S3731">
        <v>0.38772580000000001</v>
      </c>
      <c r="T3731">
        <v>5.0925970000000001E-2</v>
      </c>
      <c r="U3731">
        <v>-3.0373990000000002</v>
      </c>
      <c r="V3731">
        <v>1.816048E-2</v>
      </c>
      <c r="W3731">
        <v>7.2576999999999997E-3</v>
      </c>
      <c r="X3731">
        <v>0.99980869999999999</v>
      </c>
      <c r="Y3731">
        <v>-0.1809423</v>
      </c>
      <c r="Z3731">
        <v>-1.652052E-2</v>
      </c>
      <c r="AA3731">
        <v>0.98335490000000003</v>
      </c>
      <c r="AB3731">
        <v>18</v>
      </c>
      <c r="AC3731">
        <v>19.631599999999999</v>
      </c>
      <c r="AD3731">
        <v>2.5779049999999999</v>
      </c>
      <c r="AE3731">
        <v>-153.67239999999899</v>
      </c>
      <c r="AF3731">
        <v>-28.041592715568498</v>
      </c>
      <c r="AG3731">
        <v>2.5779049999999999</v>
      </c>
      <c r="AH3731">
        <v>152.31871076210399</v>
      </c>
      <c r="AI3731">
        <v>89.0464168465504</v>
      </c>
      <c r="AJ3731">
        <v>100.431247801323</v>
      </c>
      <c r="AK3731">
        <v>154.89985850362899</v>
      </c>
      <c r="AL3731">
        <v>89.584160752391398</v>
      </c>
      <c r="AM3731">
        <v>88.959396484504694</v>
      </c>
      <c r="AN3731">
        <v>0.99999995691940402</v>
      </c>
    </row>
    <row r="3732" spans="1:40" x14ac:dyDescent="0.25">
      <c r="A3732" t="str">
        <f>"20190312153956308"</f>
        <v>20190312153956308</v>
      </c>
      <c r="B3732" t="str">
        <f>"1552376396299303"</f>
        <v>1552376396299303</v>
      </c>
      <c r="C3732" t="s">
        <v>40</v>
      </c>
      <c r="D3732">
        <v>3.6227100000000001</v>
      </c>
      <c r="E3732">
        <v>0.42267130000000003</v>
      </c>
      <c r="F3732" t="s">
        <v>70</v>
      </c>
      <c r="G3732">
        <v>-473.15</v>
      </c>
      <c r="H3732">
        <v>3.635208</v>
      </c>
      <c r="I3732">
        <v>103.5608</v>
      </c>
      <c r="J3732">
        <v>-492.78620000000001</v>
      </c>
      <c r="K3732">
        <v>1.1106849999999999</v>
      </c>
      <c r="L3732">
        <v>255.4367</v>
      </c>
      <c r="M3732">
        <v>-5.4724780000000001E-2</v>
      </c>
      <c r="N3732">
        <v>0</v>
      </c>
      <c r="O3732">
        <v>-0.99840249999999997</v>
      </c>
      <c r="P3732">
        <v>-7.1929629999999994E-2</v>
      </c>
      <c r="Q3732">
        <v>-7.1173060000000003E-3</v>
      </c>
      <c r="R3732">
        <v>-0.99738459999999995</v>
      </c>
      <c r="S3732">
        <v>0.3923645</v>
      </c>
      <c r="T3732">
        <v>5.0457000000000002E-2</v>
      </c>
      <c r="U3732">
        <v>-3.0372309999999998</v>
      </c>
      <c r="V3732">
        <v>1.723036E-2</v>
      </c>
      <c r="W3732">
        <v>6.9592069999999898E-3</v>
      </c>
      <c r="X3732">
        <v>0.99982729999999997</v>
      </c>
      <c r="Y3732">
        <v>-0.18219009999999999</v>
      </c>
      <c r="Z3732">
        <v>-1.6366160000000001E-2</v>
      </c>
      <c r="AA3732">
        <v>0.98312710000000003</v>
      </c>
      <c r="AB3732">
        <v>18</v>
      </c>
      <c r="AC3732">
        <v>19.636199999999999</v>
      </c>
      <c r="AD3732">
        <v>2.5245229999999999</v>
      </c>
      <c r="AE3732">
        <v>-151.8759</v>
      </c>
      <c r="AF3732">
        <v>-27.911380442816998</v>
      </c>
      <c r="AG3732">
        <v>2.5245229999999999</v>
      </c>
      <c r="AH3732">
        <v>150.532664077578</v>
      </c>
      <c r="AI3732">
        <v>89.055304427142005</v>
      </c>
      <c r="AJ3732">
        <v>100.504342194763</v>
      </c>
      <c r="AK3732">
        <v>153.119238924749</v>
      </c>
      <c r="AL3732">
        <v>89.601263580765902</v>
      </c>
      <c r="AM3732">
        <v>89.012700299913703</v>
      </c>
      <c r="AN3732">
        <v>0.99999997284654296</v>
      </c>
    </row>
    <row r="3733" spans="1:40" x14ac:dyDescent="0.25">
      <c r="A3733" t="str">
        <f>"20190312153956319"</f>
        <v>20190312153956319</v>
      </c>
      <c r="B3733" t="str">
        <f>"1552376396310039"</f>
        <v>1552376396310039</v>
      </c>
      <c r="C3733" t="s">
        <v>40</v>
      </c>
      <c r="D3733">
        <v>3.6225649999999998</v>
      </c>
      <c r="E3733">
        <v>0.42254000000000003</v>
      </c>
      <c r="F3733" t="s">
        <v>70</v>
      </c>
      <c r="G3733">
        <v>-473.57749999999999</v>
      </c>
      <c r="H3733">
        <v>3.4839669999999998</v>
      </c>
      <c r="I3733">
        <v>108.7136</v>
      </c>
      <c r="J3733">
        <v>-492.79059999999998</v>
      </c>
      <c r="K3733">
        <v>1.110684</v>
      </c>
      <c r="L3733">
        <v>255.34960000000001</v>
      </c>
      <c r="M3733">
        <v>-5.4486960000000001E-2</v>
      </c>
      <c r="N3733">
        <v>0</v>
      </c>
      <c r="O3733">
        <v>-0.99841559999999996</v>
      </c>
      <c r="P3733">
        <v>-7.0846619999999999E-2</v>
      </c>
      <c r="Q3733">
        <v>-7.255966E-3</v>
      </c>
      <c r="R3733">
        <v>-0.99746100000000004</v>
      </c>
      <c r="S3733">
        <v>0.39758300000000002</v>
      </c>
      <c r="T3733">
        <v>4.912329E-2</v>
      </c>
      <c r="U3733">
        <v>-3.0369109999999999</v>
      </c>
      <c r="V3733">
        <v>1.6383060000000001E-2</v>
      </c>
      <c r="W3733">
        <v>6.8180669999999997E-3</v>
      </c>
      <c r="X3733">
        <v>0.99984249999999997</v>
      </c>
      <c r="Y3733">
        <v>-0.18363109999999999</v>
      </c>
      <c r="Z3733">
        <v>-1.593174E-2</v>
      </c>
      <c r="AA3733">
        <v>0.98286609999999996</v>
      </c>
      <c r="AB3733">
        <v>18</v>
      </c>
      <c r="AC3733">
        <v>19.213100000000001</v>
      </c>
      <c r="AD3733">
        <v>2.3732829999999998</v>
      </c>
      <c r="AE3733">
        <v>-146.636</v>
      </c>
      <c r="AF3733">
        <v>-27.168095213788099</v>
      </c>
      <c r="AG3733">
        <v>2.3732829999999998</v>
      </c>
      <c r="AH3733">
        <v>145.33373220192399</v>
      </c>
      <c r="AI3733">
        <v>89.080377063272493</v>
      </c>
      <c r="AJ3733">
        <v>100.588430431444</v>
      </c>
      <c r="AK3733">
        <v>147.87032016427099</v>
      </c>
      <c r="AL3733">
        <v>89.609350493292794</v>
      </c>
      <c r="AM3733">
        <v>89.061255949276799</v>
      </c>
      <c r="AN3733">
        <v>0.99999995774941397</v>
      </c>
    </row>
    <row r="3734" spans="1:40" x14ac:dyDescent="0.25">
      <c r="A3734" t="str">
        <f>"20190312153956329"</f>
        <v>20190312153956329</v>
      </c>
      <c r="B3734" t="str">
        <f>"1552376396319799"</f>
        <v>1552376396319799</v>
      </c>
      <c r="C3734" t="s">
        <v>40</v>
      </c>
      <c r="D3734">
        <v>3.601426</v>
      </c>
      <c r="E3734">
        <v>0.422433</v>
      </c>
      <c r="F3734" t="s">
        <v>70</v>
      </c>
      <c r="G3734">
        <v>-473.52460000000002</v>
      </c>
      <c r="H3734">
        <v>3.4275389999999999</v>
      </c>
      <c r="I3734">
        <v>109.7255</v>
      </c>
      <c r="J3734">
        <v>-492.79509999999999</v>
      </c>
      <c r="K3734">
        <v>1.110681</v>
      </c>
      <c r="L3734">
        <v>255.2638</v>
      </c>
      <c r="M3734">
        <v>-5.4251889999999997E-2</v>
      </c>
      <c r="N3734">
        <v>0</v>
      </c>
      <c r="O3734">
        <v>-0.99842850000000005</v>
      </c>
      <c r="P3734">
        <v>-6.9855520000000004E-2</v>
      </c>
      <c r="Q3734">
        <v>-7.5370019999999897E-3</v>
      </c>
      <c r="R3734">
        <v>-0.99752879999999999</v>
      </c>
      <c r="S3734">
        <v>0.40173340000000002</v>
      </c>
      <c r="T3734">
        <v>4.8311710000000001E-2</v>
      </c>
      <c r="U3734">
        <v>-3.0365600000000001</v>
      </c>
      <c r="V3734">
        <v>1.5625380000000001E-2</v>
      </c>
      <c r="W3734">
        <v>6.5348330000000003E-3</v>
      </c>
      <c r="X3734">
        <v>0.99985659999999998</v>
      </c>
      <c r="Y3734">
        <v>-0.18473519999999999</v>
      </c>
      <c r="Z3734">
        <v>-1.566766E-2</v>
      </c>
      <c r="AA3734">
        <v>0.98266350000000002</v>
      </c>
      <c r="AB3734">
        <v>18</v>
      </c>
      <c r="AC3734">
        <v>19.270499999999899</v>
      </c>
      <c r="AD3734">
        <v>2.3168579999999999</v>
      </c>
      <c r="AE3734">
        <v>-145.53829999999999</v>
      </c>
      <c r="AF3734">
        <v>-27.131863763797998</v>
      </c>
      <c r="AG3734">
        <v>2.3168579999999999</v>
      </c>
      <c r="AH3734">
        <v>144.24243222155701</v>
      </c>
      <c r="AI3734">
        <v>89.095636979695399</v>
      </c>
      <c r="AJ3734">
        <v>100.65280875256499</v>
      </c>
      <c r="AK3734">
        <v>146.790275956822</v>
      </c>
      <c r="AL3734">
        <v>89.625578998798403</v>
      </c>
      <c r="AM3734">
        <v>89.104676154162306</v>
      </c>
      <c r="AN3734">
        <v>1.0000000385530201</v>
      </c>
    </row>
    <row r="3735" spans="1:40" x14ac:dyDescent="0.25">
      <c r="A3735" t="str">
        <f>"20190312153956341"</f>
        <v>20190312153956341</v>
      </c>
      <c r="B3735" t="str">
        <f>"1552376396329559"</f>
        <v>1552376396329559</v>
      </c>
      <c r="C3735" t="s">
        <v>40</v>
      </c>
      <c r="D3735">
        <v>3.6320890000000001</v>
      </c>
      <c r="E3735">
        <v>0.4222841</v>
      </c>
      <c r="F3735" t="s">
        <v>70</v>
      </c>
      <c r="G3735">
        <v>-473.34789999999998</v>
      </c>
      <c r="H3735">
        <v>3.3914439999999999</v>
      </c>
      <c r="I3735">
        <v>109.7255</v>
      </c>
      <c r="J3735">
        <v>-492.79930000000002</v>
      </c>
      <c r="K3735">
        <v>1.1106799999999999</v>
      </c>
      <c r="L3735">
        <v>255.18109999999999</v>
      </c>
      <c r="M3735">
        <v>-5.402593E-2</v>
      </c>
      <c r="N3735">
        <v>0</v>
      </c>
      <c r="O3735">
        <v>-0.99844060000000001</v>
      </c>
      <c r="P3735">
        <v>-6.852511E-2</v>
      </c>
      <c r="Q3735">
        <v>-7.2101980000000001E-3</v>
      </c>
      <c r="R3735">
        <v>-0.99762360000000005</v>
      </c>
      <c r="S3735">
        <v>0.40570070000000003</v>
      </c>
      <c r="T3735">
        <v>4.7581430000000001E-2</v>
      </c>
      <c r="U3735">
        <v>-3.0361940000000001</v>
      </c>
      <c r="V3735">
        <v>1.451791E-2</v>
      </c>
      <c r="W3735">
        <v>6.8590750000000001E-3</v>
      </c>
      <c r="X3735">
        <v>0.99987110000000001</v>
      </c>
      <c r="Y3735">
        <v>-0.18579029999999999</v>
      </c>
      <c r="Z3735">
        <v>-1.543015E-2</v>
      </c>
      <c r="AA3735">
        <v>0.98246820000000001</v>
      </c>
      <c r="AB3735">
        <v>18</v>
      </c>
      <c r="AC3735">
        <v>19.4514</v>
      </c>
      <c r="AD3735">
        <v>2.280764</v>
      </c>
      <c r="AE3735">
        <v>-145.4556</v>
      </c>
      <c r="AF3735">
        <v>-27.275548379524199</v>
      </c>
      <c r="AG3735">
        <v>2.280764</v>
      </c>
      <c r="AH3735">
        <v>144.157320290564</v>
      </c>
      <c r="AI3735">
        <v>89.109377812534802</v>
      </c>
      <c r="AJ3735">
        <v>100.714098370862</v>
      </c>
      <c r="AK3735">
        <v>146.73271760988999</v>
      </c>
      <c r="AL3735">
        <v>89.607000876060297</v>
      </c>
      <c r="AM3735">
        <v>89.168136250554497</v>
      </c>
      <c r="AN3735">
        <v>1.0000000166179099</v>
      </c>
    </row>
    <row r="3736" spans="1:40" x14ac:dyDescent="0.25">
      <c r="A3736" t="str">
        <f>"20190312153956352"</f>
        <v>20190312153956352</v>
      </c>
      <c r="B3736" t="str">
        <f>"1552376396339319"</f>
        <v>1552376396339319</v>
      </c>
      <c r="C3736" t="s">
        <v>40</v>
      </c>
      <c r="D3736">
        <v>3.6248200000000002</v>
      </c>
      <c r="E3736">
        <v>0.42212929999999999</v>
      </c>
      <c r="F3736" t="s">
        <v>70</v>
      </c>
      <c r="G3736">
        <v>-473.15</v>
      </c>
      <c r="H3736">
        <v>3.398428</v>
      </c>
      <c r="I3736">
        <v>110.0217</v>
      </c>
      <c r="J3736">
        <v>-492.80380000000002</v>
      </c>
      <c r="K3736">
        <v>1.110676</v>
      </c>
      <c r="L3736">
        <v>255.09209999999999</v>
      </c>
      <c r="M3736">
        <v>-5.3784360000000003E-2</v>
      </c>
      <c r="N3736">
        <v>0</v>
      </c>
      <c r="O3736">
        <v>-0.9984537</v>
      </c>
      <c r="P3736">
        <v>-6.7491369999999995E-2</v>
      </c>
      <c r="Q3736">
        <v>-7.5285859999999899E-3</v>
      </c>
      <c r="R3736">
        <v>-0.99769160000000001</v>
      </c>
      <c r="S3736">
        <v>0.41091919999999998</v>
      </c>
      <c r="T3736">
        <v>4.7843579999999997E-2</v>
      </c>
      <c r="U3736">
        <v>-3.0356900000000002</v>
      </c>
      <c r="V3736">
        <v>1.3724210000000001E-2</v>
      </c>
      <c r="W3736">
        <v>6.5381700000000003E-3</v>
      </c>
      <c r="X3736">
        <v>0.99988440000000001</v>
      </c>
      <c r="Y3736">
        <v>-0.1872325</v>
      </c>
      <c r="Z3736">
        <v>-1.551408E-2</v>
      </c>
      <c r="AA3736">
        <v>0.98219310000000004</v>
      </c>
      <c r="AB3736">
        <v>18</v>
      </c>
      <c r="AC3736">
        <v>19.6538</v>
      </c>
      <c r="AD3736">
        <v>2.2877519999999998</v>
      </c>
      <c r="AE3736">
        <v>-145.07040000000001</v>
      </c>
      <c r="AF3736">
        <v>-27.421939314918099</v>
      </c>
      <c r="AG3736">
        <v>2.2877519999999998</v>
      </c>
      <c r="AH3736">
        <v>143.768098928661</v>
      </c>
      <c r="AI3736">
        <v>89.104482623056398</v>
      </c>
      <c r="AJ3736">
        <v>100.798733982889</v>
      </c>
      <c r="AK3736">
        <v>146.37780854544101</v>
      </c>
      <c r="AL3736">
        <v>89.625387768335401</v>
      </c>
      <c r="AM3736">
        <v>89.213619160094495</v>
      </c>
      <c r="AN3736">
        <v>0.99999995748521497</v>
      </c>
    </row>
    <row r="3737" spans="1:40" x14ac:dyDescent="0.25">
      <c r="A3737" t="str">
        <f>"20190312153956364"</f>
        <v>20190312153956364</v>
      </c>
      <c r="B3737" t="str">
        <f>"1552376396359816"</f>
        <v>1552376396359816</v>
      </c>
      <c r="C3737" t="s">
        <v>40</v>
      </c>
      <c r="D3737">
        <v>3.6200220000000001</v>
      </c>
      <c r="E3737">
        <v>0.40580460000000002</v>
      </c>
      <c r="F3737" t="s">
        <v>70</v>
      </c>
      <c r="G3737">
        <v>-473.15</v>
      </c>
      <c r="H3737">
        <v>3.3075519999999998</v>
      </c>
      <c r="I3737">
        <v>111.345</v>
      </c>
      <c r="J3737">
        <v>-492.80869999999999</v>
      </c>
      <c r="K3737">
        <v>1.110668</v>
      </c>
      <c r="L3737">
        <v>254.9949</v>
      </c>
      <c r="M3737">
        <v>-5.3522519999999997E-2</v>
      </c>
      <c r="N3737">
        <v>0</v>
      </c>
      <c r="O3737">
        <v>-0.99846789999999996</v>
      </c>
      <c r="P3737">
        <v>-6.6216159999999996E-2</v>
      </c>
      <c r="Q3737">
        <v>-7.2120750000000001E-3</v>
      </c>
      <c r="R3737">
        <v>-0.99777950000000004</v>
      </c>
      <c r="S3737">
        <v>0.4150085</v>
      </c>
      <c r="T3737">
        <v>4.6390180000000003E-2</v>
      </c>
      <c r="U3737">
        <v>-3.0353850000000002</v>
      </c>
      <c r="V3737">
        <v>1.2708270000000001E-2</v>
      </c>
      <c r="W3737">
        <v>6.8519219999999999E-3</v>
      </c>
      <c r="X3737">
        <v>0.9998958</v>
      </c>
      <c r="Y3737">
        <v>-0.18828800000000001</v>
      </c>
      <c r="Z3737">
        <v>-1.5041819999999999E-2</v>
      </c>
      <c r="AA3737">
        <v>0.9819987</v>
      </c>
      <c r="AB3737">
        <v>18</v>
      </c>
      <c r="AC3737">
        <v>19.6587</v>
      </c>
      <c r="AD3737">
        <v>2.1968839999999998</v>
      </c>
      <c r="AE3737">
        <v>-143.6499</v>
      </c>
      <c r="AF3737">
        <v>-27.3135085159177</v>
      </c>
      <c r="AG3737">
        <v>2.1968839999999998</v>
      </c>
      <c r="AH3737">
        <v>142.35898718649699</v>
      </c>
      <c r="AI3737">
        <v>89.131716220369796</v>
      </c>
      <c r="AJ3737">
        <v>100.860988148172</v>
      </c>
      <c r="AK3737">
        <v>144.97218795177201</v>
      </c>
      <c r="AL3737">
        <v>89.607410727613697</v>
      </c>
      <c r="AM3737">
        <v>89.2718330911744</v>
      </c>
      <c r="AN3737">
        <v>1.0000000299095599</v>
      </c>
    </row>
    <row r="3738" spans="1:40" x14ac:dyDescent="0.25">
      <c r="A3738" t="str">
        <f>"20190312153956375"</f>
        <v>20190312153956375</v>
      </c>
      <c r="B3738" t="str">
        <f>"1552376396369576"</f>
        <v>1552376396369576</v>
      </c>
      <c r="C3738" t="s">
        <v>40</v>
      </c>
      <c r="D3738">
        <v>3.4919389999999999</v>
      </c>
      <c r="E3738">
        <v>0.39953179999999999</v>
      </c>
      <c r="F3738" t="s">
        <v>70</v>
      </c>
      <c r="G3738">
        <v>-468.32709999999997</v>
      </c>
      <c r="H3738">
        <v>2.819842</v>
      </c>
      <c r="I3738">
        <v>119.395</v>
      </c>
      <c r="J3738">
        <v>-492.81330000000003</v>
      </c>
      <c r="K3738">
        <v>1.1106609999999999</v>
      </c>
      <c r="L3738">
        <v>254.90469999999999</v>
      </c>
      <c r="M3738">
        <v>-5.3281229999999999E-2</v>
      </c>
      <c r="N3738">
        <v>0</v>
      </c>
      <c r="O3738">
        <v>-0.99848079999999995</v>
      </c>
      <c r="P3738">
        <v>-6.5129210000000007E-2</v>
      </c>
      <c r="Q3738">
        <v>-7.3517039999999997E-3</v>
      </c>
      <c r="R3738">
        <v>-0.99785020000000002</v>
      </c>
      <c r="S3738">
        <v>0.54946899999999999</v>
      </c>
      <c r="T3738">
        <v>3.836179E-2</v>
      </c>
      <c r="U3738">
        <v>-3.0434420000000002</v>
      </c>
      <c r="V3738">
        <v>1.1860910000000001E-2</v>
      </c>
      <c r="W3738">
        <v>6.7093509999999997E-3</v>
      </c>
      <c r="X3738">
        <v>0.99990710000000005</v>
      </c>
      <c r="Y3738">
        <v>-0.2298424</v>
      </c>
      <c r="Z3738">
        <v>-1.2308639999999999E-2</v>
      </c>
      <c r="AA3738">
        <v>0.97314999999999996</v>
      </c>
      <c r="AB3738">
        <v>18</v>
      </c>
      <c r="AC3738">
        <v>24.4862</v>
      </c>
      <c r="AD3738">
        <v>1.7091809999999901</v>
      </c>
      <c r="AE3738">
        <v>-135.50970000000001</v>
      </c>
      <c r="AF3738">
        <v>-31.6673685543551</v>
      </c>
      <c r="AG3738">
        <v>1.7091809999999901</v>
      </c>
      <c r="AH3738">
        <v>133.99175087987399</v>
      </c>
      <c r="AI3738">
        <v>89.2887733424255</v>
      </c>
      <c r="AJ3738">
        <v>103.297189770996</v>
      </c>
      <c r="AK3738">
        <v>137.69361944078</v>
      </c>
      <c r="AL3738">
        <v>89.615579602032</v>
      </c>
      <c r="AM3738">
        <v>89.320388651196495</v>
      </c>
      <c r="AN3738">
        <v>0.99999995260363805</v>
      </c>
    </row>
    <row r="3739" spans="1:40" x14ac:dyDescent="0.25">
      <c r="A3739" t="str">
        <f>"20190312153956387"</f>
        <v>20190312153956387</v>
      </c>
      <c r="B3739" t="str">
        <f>"1552376396379335"</f>
        <v>1552376396379335</v>
      </c>
      <c r="C3739" t="s">
        <v>40</v>
      </c>
      <c r="D3739">
        <v>3.5808469999999999</v>
      </c>
      <c r="E3739">
        <v>0.39332109999999998</v>
      </c>
      <c r="F3739" t="s">
        <v>70</v>
      </c>
      <c r="G3739">
        <v>-465.98360000000002</v>
      </c>
      <c r="H3739">
        <v>2.3899300000000001</v>
      </c>
      <c r="I3739">
        <v>119.395</v>
      </c>
      <c r="J3739">
        <v>-492.81779999999998</v>
      </c>
      <c r="K3739">
        <v>1.1106549999999999</v>
      </c>
      <c r="L3739">
        <v>254.8152</v>
      </c>
      <c r="M3739">
        <v>-5.3045729999999999E-2</v>
      </c>
      <c r="N3739">
        <v>0</v>
      </c>
      <c r="O3739">
        <v>-0.99849339999999998</v>
      </c>
      <c r="P3739">
        <v>-6.4159419999999995E-2</v>
      </c>
      <c r="Q3739">
        <v>-7.4063469999999998E-3</v>
      </c>
      <c r="R3739">
        <v>-0.99791280000000004</v>
      </c>
      <c r="S3739">
        <v>0.60308839999999997</v>
      </c>
      <c r="T3739">
        <v>2.875662E-2</v>
      </c>
      <c r="U3739">
        <v>-3.0460509999999998</v>
      </c>
      <c r="V3739">
        <v>1.112513E-2</v>
      </c>
      <c r="W3739">
        <v>6.6526090000000003E-3</v>
      </c>
      <c r="X3739">
        <v>0.99991600000000003</v>
      </c>
      <c r="Y3739">
        <v>-0.24597920000000001</v>
      </c>
      <c r="Z3739">
        <v>-9.1860520000000001E-3</v>
      </c>
      <c r="AA3739">
        <v>0.96923159999999997</v>
      </c>
      <c r="AB3739">
        <v>18</v>
      </c>
      <c r="AC3739">
        <v>26.8341999999999</v>
      </c>
      <c r="AD3739">
        <v>1.2792749999999999</v>
      </c>
      <c r="AE3739">
        <v>-135.42019999999999</v>
      </c>
      <c r="AF3739">
        <v>-33.977665968366303</v>
      </c>
      <c r="AG3739">
        <v>1.2792749999999999</v>
      </c>
      <c r="AH3739">
        <v>133.79443338758901</v>
      </c>
      <c r="AI3739">
        <v>89.469036446509406</v>
      </c>
      <c r="AJ3739">
        <v>104.249279339431</v>
      </c>
      <c r="AK3739">
        <v>138.04734236735399</v>
      </c>
      <c r="AL3739">
        <v>89.618830776180502</v>
      </c>
      <c r="AM3739">
        <v>89.362549758743597</v>
      </c>
      <c r="AN3739">
        <v>1.00000001639001</v>
      </c>
    </row>
    <row r="3740" spans="1:40" x14ac:dyDescent="0.25">
      <c r="A3740" t="str">
        <f>"20190312153956399"</f>
        <v>20190312153956399</v>
      </c>
      <c r="B3740" t="str">
        <f>"1552376396389664"</f>
        <v>1552376396389664</v>
      </c>
      <c r="C3740" t="s">
        <v>40</v>
      </c>
      <c r="D3740">
        <v>3.5982799999999999</v>
      </c>
      <c r="E3740">
        <v>0.38795649999999998</v>
      </c>
      <c r="F3740" t="s">
        <v>68</v>
      </c>
      <c r="G3740">
        <v>-473.52499999999998</v>
      </c>
      <c r="H3740">
        <v>1.988888</v>
      </c>
      <c r="I3740">
        <v>165.09739999999999</v>
      </c>
      <c r="J3740">
        <v>-492.82249999999999</v>
      </c>
      <c r="K3740">
        <v>1.110649</v>
      </c>
      <c r="L3740">
        <v>254.72120000000001</v>
      </c>
      <c r="M3740">
        <v>-5.2799859999999997E-2</v>
      </c>
      <c r="N3740">
        <v>0</v>
      </c>
      <c r="O3740">
        <v>-0.99850620000000001</v>
      </c>
      <c r="P3740">
        <v>-6.3387680000000002E-2</v>
      </c>
      <c r="Q3740">
        <v>-7.2958529999999997E-3</v>
      </c>
      <c r="R3740">
        <v>-0.99796260000000003</v>
      </c>
      <c r="S3740">
        <v>0.65557860000000001</v>
      </c>
      <c r="T3740">
        <v>2.9842850000000001E-2</v>
      </c>
      <c r="U3740">
        <v>-3.0486599999999999</v>
      </c>
      <c r="V3740">
        <v>1.0598079999999999E-2</v>
      </c>
      <c r="W3740">
        <v>6.7603719999999997E-3</v>
      </c>
      <c r="X3740">
        <v>0.99992099999999995</v>
      </c>
      <c r="Y3740">
        <v>-0.26155460000000003</v>
      </c>
      <c r="Z3740">
        <v>-9.4890289999999995E-3</v>
      </c>
      <c r="AA3740">
        <v>0.96514200000000006</v>
      </c>
      <c r="AB3740">
        <v>18</v>
      </c>
      <c r="AC3740">
        <v>19.297499999999999</v>
      </c>
      <c r="AD3740">
        <v>0.87823899999999999</v>
      </c>
      <c r="AE3740">
        <v>-89.623800000000003</v>
      </c>
      <c r="AF3740">
        <v>-24.000965887289802</v>
      </c>
      <c r="AG3740">
        <v>0.87823899999999999</v>
      </c>
      <c r="AH3740">
        <v>88.471635420652007</v>
      </c>
      <c r="AI3740">
        <v>89.451094308332401</v>
      </c>
      <c r="AJ3740">
        <v>105.178138166905</v>
      </c>
      <c r="AK3740">
        <v>91.673594569367395</v>
      </c>
      <c r="AL3740">
        <v>89.612656271441395</v>
      </c>
      <c r="AM3740">
        <v>89.392749508700902</v>
      </c>
      <c r="AN3740">
        <v>1.00000001408513</v>
      </c>
    </row>
    <row r="3741" spans="1:40" x14ac:dyDescent="0.25">
      <c r="A3741" t="str">
        <f>"20190312153956412"</f>
        <v>20190312153956412</v>
      </c>
      <c r="B3741" t="str">
        <f>"1552376396399409"</f>
        <v>1552376396399409</v>
      </c>
      <c r="C3741" t="s">
        <v>40</v>
      </c>
      <c r="D3741">
        <v>3.5909909999999998</v>
      </c>
      <c r="E3741">
        <v>0.38425880000000001</v>
      </c>
      <c r="F3741" t="s">
        <v>68</v>
      </c>
      <c r="G3741">
        <v>-473.76369999999997</v>
      </c>
      <c r="H3741">
        <v>1.8882540000000001</v>
      </c>
      <c r="I3741">
        <v>171.72989999999999</v>
      </c>
      <c r="J3741">
        <v>-492.82740000000001</v>
      </c>
      <c r="K3741">
        <v>1.1106510000000001</v>
      </c>
      <c r="L3741">
        <v>254.62260000000001</v>
      </c>
      <c r="M3741">
        <v>-5.2546280000000001E-2</v>
      </c>
      <c r="N3741">
        <v>0</v>
      </c>
      <c r="O3741">
        <v>-0.99851979999999996</v>
      </c>
      <c r="P3741">
        <v>-6.2639559999999997E-2</v>
      </c>
      <c r="Q3741">
        <v>-6.9151869999999997E-3</v>
      </c>
      <c r="R3741">
        <v>-0.99801260000000003</v>
      </c>
      <c r="S3741">
        <v>0.70062259999999998</v>
      </c>
      <c r="T3741">
        <v>2.8585670000000001E-2</v>
      </c>
      <c r="U3741">
        <v>-3.0508579999999998</v>
      </c>
      <c r="V3741">
        <v>1.010222E-2</v>
      </c>
      <c r="W3741">
        <v>7.1384939999999996E-3</v>
      </c>
      <c r="X3741">
        <v>0.99992349999999997</v>
      </c>
      <c r="Y3741">
        <v>-0.2747214</v>
      </c>
      <c r="Z3741">
        <v>-9.0518000000000005E-3</v>
      </c>
      <c r="AA3741">
        <v>0.96148129999999998</v>
      </c>
      <c r="AB3741">
        <v>18</v>
      </c>
      <c r="AC3741">
        <v>19.063700000000001</v>
      </c>
      <c r="AD3741">
        <v>0.77760299999999904</v>
      </c>
      <c r="AE3741">
        <v>-82.892700000000005</v>
      </c>
      <c r="AF3741">
        <v>-23.391535394591099</v>
      </c>
      <c r="AG3741">
        <v>0.77760299999999904</v>
      </c>
      <c r="AH3741">
        <v>81.769500803225299</v>
      </c>
      <c r="AI3741">
        <v>89.47616228663</v>
      </c>
      <c r="AJ3741">
        <v>105.96406478144399</v>
      </c>
      <c r="AK3741">
        <v>85.053041427985903</v>
      </c>
      <c r="AL3741">
        <v>89.590990951794197</v>
      </c>
      <c r="AM3741">
        <v>89.421160841176501</v>
      </c>
      <c r="AN3741">
        <v>1.0000000093988799</v>
      </c>
    </row>
    <row r="3742" spans="1:40" x14ac:dyDescent="0.25">
      <c r="A3742" t="str">
        <f>"20190312153956426"</f>
        <v>20190312153956426</v>
      </c>
      <c r="B3742" t="str">
        <f>"1552376396419905"</f>
        <v>1552376396419905</v>
      </c>
      <c r="C3742" t="s">
        <v>40</v>
      </c>
      <c r="D3742">
        <v>3.559552</v>
      </c>
      <c r="E3742">
        <v>0.3798513</v>
      </c>
      <c r="F3742" t="s">
        <v>68</v>
      </c>
      <c r="G3742">
        <v>-473.52499999999998</v>
      </c>
      <c r="H3742">
        <v>1.8123100000000001</v>
      </c>
      <c r="I3742">
        <v>174.20570000000001</v>
      </c>
      <c r="J3742">
        <v>-492.83280000000002</v>
      </c>
      <c r="K3742">
        <v>1.110646</v>
      </c>
      <c r="L3742">
        <v>254.51339999999999</v>
      </c>
      <c r="M3742">
        <v>-5.2268519999999999E-2</v>
      </c>
      <c r="N3742">
        <v>0</v>
      </c>
      <c r="O3742">
        <v>-0.99853440000000004</v>
      </c>
      <c r="P3742">
        <v>-6.1701039999999999E-2</v>
      </c>
      <c r="Q3742">
        <v>-6.8033089999999996E-3</v>
      </c>
      <c r="R3742">
        <v>-0.99807179999999995</v>
      </c>
      <c r="S3742">
        <v>0.73260499999999995</v>
      </c>
      <c r="T3742">
        <v>2.6630879999999999E-2</v>
      </c>
      <c r="U3742">
        <v>-3.052155</v>
      </c>
      <c r="V3742">
        <v>9.4400850000000008E-3</v>
      </c>
      <c r="W3742">
        <v>7.2472099999999996E-3</v>
      </c>
      <c r="X3742">
        <v>0.99992919999999996</v>
      </c>
      <c r="Y3742">
        <v>-0.28390199999999999</v>
      </c>
      <c r="Z3742">
        <v>-8.4081069999999997E-3</v>
      </c>
      <c r="AA3742">
        <v>0.95881649999999996</v>
      </c>
      <c r="AB3742">
        <v>18</v>
      </c>
      <c r="AC3742">
        <v>19.3078</v>
      </c>
      <c r="AD3742">
        <v>0.70166399999999896</v>
      </c>
      <c r="AE3742">
        <v>-80.307699999999897</v>
      </c>
      <c r="AF3742">
        <v>-23.477686260653801</v>
      </c>
      <c r="AG3742">
        <v>0.70166399999999896</v>
      </c>
      <c r="AH3742">
        <v>79.182899099608804</v>
      </c>
      <c r="AI3742">
        <v>89.5132419845729</v>
      </c>
      <c r="AJ3742">
        <v>106.515061383347</v>
      </c>
      <c r="AK3742">
        <v>82.593132852201606</v>
      </c>
      <c r="AL3742">
        <v>89.584761827616802</v>
      </c>
      <c r="AM3742">
        <v>89.459100743793002</v>
      </c>
      <c r="AN3742">
        <v>1.0000000211351101</v>
      </c>
    </row>
    <row r="3743" spans="1:40" x14ac:dyDescent="0.25">
      <c r="A3743" t="str">
        <f>"20190312153956439"</f>
        <v>20190312153956439</v>
      </c>
      <c r="B3743" t="str">
        <f>"1552376396429665"</f>
        <v>1552376396429665</v>
      </c>
      <c r="C3743" t="s">
        <v>40</v>
      </c>
      <c r="D3743">
        <v>3.463085</v>
      </c>
      <c r="E3743">
        <v>0.37878840000000003</v>
      </c>
      <c r="F3743" t="s">
        <v>68</v>
      </c>
      <c r="G3743">
        <v>-473.52499999999998</v>
      </c>
      <c r="H3743">
        <v>1.5869409999999999</v>
      </c>
      <c r="I3743">
        <v>177.9872</v>
      </c>
      <c r="J3743">
        <v>-492.83789999999999</v>
      </c>
      <c r="K3743">
        <v>1.1106419999999999</v>
      </c>
      <c r="L3743">
        <v>254.41059999999999</v>
      </c>
      <c r="M3743">
        <v>-5.2008850000000002E-2</v>
      </c>
      <c r="N3743">
        <v>0</v>
      </c>
      <c r="O3743">
        <v>-0.99854790000000004</v>
      </c>
      <c r="P3743">
        <v>-6.1063239999999998E-2</v>
      </c>
      <c r="Q3743">
        <v>-6.5380409999999996E-3</v>
      </c>
      <c r="R3743">
        <v>-0.99811269999999996</v>
      </c>
      <c r="S3743">
        <v>0.77041630000000005</v>
      </c>
      <c r="T3743">
        <v>1.9005060000000001E-2</v>
      </c>
      <c r="U3743">
        <v>-3.0535429999999999</v>
      </c>
      <c r="V3743">
        <v>9.0610159999999999E-3</v>
      </c>
      <c r="W3743">
        <v>7.5094640000000004E-3</v>
      </c>
      <c r="X3743">
        <v>0.99993069999999895</v>
      </c>
      <c r="Y3743">
        <v>-0.2947342</v>
      </c>
      <c r="Z3743">
        <v>-5.9792369999999897E-3</v>
      </c>
      <c r="AA3743">
        <v>0.95556059999999998</v>
      </c>
      <c r="AB3743">
        <v>18</v>
      </c>
      <c r="AC3743">
        <v>19.312899999999999</v>
      </c>
      <c r="AD3743">
        <v>0.47629899999999997</v>
      </c>
      <c r="AE3743">
        <v>-76.423399999999901</v>
      </c>
      <c r="AF3743">
        <v>-23.260993000099599</v>
      </c>
      <c r="AG3743">
        <v>0.47629899999999997</v>
      </c>
      <c r="AH3743">
        <v>75.312659506831196</v>
      </c>
      <c r="AI3743">
        <v>89.653786597348599</v>
      </c>
      <c r="AJ3743">
        <v>107.163774356082</v>
      </c>
      <c r="AK3743">
        <v>78.824471695533603</v>
      </c>
      <c r="AL3743">
        <v>89.569735340654205</v>
      </c>
      <c r="AM3743">
        <v>89.480820255183701</v>
      </c>
      <c r="AN3743">
        <v>0.99999994943150305</v>
      </c>
    </row>
    <row r="3744" spans="1:40" x14ac:dyDescent="0.25">
      <c r="A3744" t="str">
        <f>"20190312153956454"</f>
        <v>20190312153956454</v>
      </c>
      <c r="B3744" t="str">
        <f>"1552376396449185"</f>
        <v>1552376396449185</v>
      </c>
      <c r="C3744" t="s">
        <v>40</v>
      </c>
      <c r="D3744">
        <v>3.4539589999999998</v>
      </c>
      <c r="E3744">
        <v>0.37723299999999998</v>
      </c>
      <c r="F3744" t="s">
        <v>68</v>
      </c>
      <c r="G3744">
        <v>-473.87380000000002</v>
      </c>
      <c r="H3744">
        <v>1.578775</v>
      </c>
      <c r="I3744">
        <v>180.27369999999999</v>
      </c>
      <c r="J3744">
        <v>-492.84359999999998</v>
      </c>
      <c r="K3744">
        <v>1.1106400000000001</v>
      </c>
      <c r="L3744">
        <v>254.2953</v>
      </c>
      <c r="M3744">
        <v>-5.1721099999999999E-2</v>
      </c>
      <c r="N3744">
        <v>0</v>
      </c>
      <c r="O3744">
        <v>-0.99856290000000003</v>
      </c>
      <c r="P3744">
        <v>-6.0177710000000002E-2</v>
      </c>
      <c r="Q3744">
        <v>-5.951853E-3</v>
      </c>
      <c r="R3744">
        <v>-0.99817009999999995</v>
      </c>
      <c r="S3744">
        <v>0.78109740000000005</v>
      </c>
      <c r="T3744">
        <v>1.9281630000000001E-2</v>
      </c>
      <c r="U3744">
        <v>-3.0535739999999998</v>
      </c>
      <c r="V3744">
        <v>8.4616499999999994E-3</v>
      </c>
      <c r="W3744">
        <v>8.0926179999999993E-3</v>
      </c>
      <c r="X3744">
        <v>0.99993149999999997</v>
      </c>
      <c r="Y3744">
        <v>-0.2975949</v>
      </c>
      <c r="Z3744">
        <v>-6.0609979999999997E-3</v>
      </c>
      <c r="AA3744">
        <v>0.95467299999999999</v>
      </c>
      <c r="AB3744">
        <v>17</v>
      </c>
      <c r="AC3744">
        <v>18.9697999999999</v>
      </c>
      <c r="AD3744">
        <v>0.46813500000000002</v>
      </c>
      <c r="AE3744">
        <v>-74.021600000000007</v>
      </c>
      <c r="AF3744">
        <v>-22.772406374710499</v>
      </c>
      <c r="AG3744">
        <v>0.46813500000000002</v>
      </c>
      <c r="AH3744">
        <v>72.9385344685695</v>
      </c>
      <c r="AI3744">
        <v>89.648978682419198</v>
      </c>
      <c r="AJ3744">
        <v>107.339076654178</v>
      </c>
      <c r="AK3744">
        <v>76.412246746813395</v>
      </c>
      <c r="AL3744">
        <v>89.536322104164697</v>
      </c>
      <c r="AM3744">
        <v>89.515161527820197</v>
      </c>
      <c r="AN3744">
        <v>1.0000000473395301</v>
      </c>
    </row>
    <row r="3745" spans="1:40" x14ac:dyDescent="0.25">
      <c r="A3745" t="str">
        <f>"20190312153956466"</f>
        <v>20190312153956466</v>
      </c>
      <c r="B3745" t="str">
        <f>"1552376396459921"</f>
        <v>1552376396459921</v>
      </c>
      <c r="C3745" t="s">
        <v>40</v>
      </c>
      <c r="D3745">
        <v>3.5872589999999902</v>
      </c>
      <c r="E3745">
        <v>0.3766658</v>
      </c>
      <c r="F3745" t="s">
        <v>68</v>
      </c>
      <c r="G3745">
        <v>-473.73669999999998</v>
      </c>
      <c r="H3745">
        <v>1.5961730000000001</v>
      </c>
      <c r="I3745">
        <v>180.999</v>
      </c>
      <c r="J3745">
        <v>-492.84820000000002</v>
      </c>
      <c r="K3745">
        <v>1.1106389999999999</v>
      </c>
      <c r="L3745">
        <v>254.20009999999999</v>
      </c>
      <c r="M3745">
        <v>-5.1483929999999997E-2</v>
      </c>
      <c r="N3745">
        <v>0</v>
      </c>
      <c r="O3745">
        <v>-0.99857530000000005</v>
      </c>
      <c r="P3745">
        <v>-5.9835659999999999E-2</v>
      </c>
      <c r="Q3745">
        <v>-5.652125E-3</v>
      </c>
      <c r="R3745">
        <v>-0.99819250000000004</v>
      </c>
      <c r="S3745">
        <v>0.79602050000000002</v>
      </c>
      <c r="T3745">
        <v>2.0228030000000001E-2</v>
      </c>
      <c r="U3745">
        <v>-3.0536349999999999</v>
      </c>
      <c r="V3745">
        <v>8.3563109999999999E-3</v>
      </c>
      <c r="W3745">
        <v>8.3901549999999998E-3</v>
      </c>
      <c r="X3745">
        <v>0.99992990000000004</v>
      </c>
      <c r="Y3745">
        <v>-0.30173410000000001</v>
      </c>
      <c r="Z3745">
        <v>-6.350418E-3</v>
      </c>
      <c r="AA3745">
        <v>0.95337099999999997</v>
      </c>
      <c r="AB3745">
        <v>17</v>
      </c>
      <c r="AC3745">
        <v>19.111499999999999</v>
      </c>
      <c r="AD3745">
        <v>0.48553400000000002</v>
      </c>
      <c r="AE3745">
        <v>-73.201099999999897</v>
      </c>
      <c r="AF3745">
        <v>-22.854259621601798</v>
      </c>
      <c r="AG3745">
        <v>0.48553400000000002</v>
      </c>
      <c r="AH3745">
        <v>72.117000999802897</v>
      </c>
      <c r="AI3745">
        <v>89.6322796612818</v>
      </c>
      <c r="AJ3745">
        <v>107.58368434291501</v>
      </c>
      <c r="AK3745">
        <v>75.653253461581599</v>
      </c>
      <c r="AL3745">
        <v>89.519273895453495</v>
      </c>
      <c r="AM3745">
        <v>89.521196228456503</v>
      </c>
      <c r="AN3745">
        <v>1.00000001377423</v>
      </c>
    </row>
    <row r="3746" spans="1:40" x14ac:dyDescent="0.25">
      <c r="A3746" t="str">
        <f>"20190312153956478"</f>
        <v>20190312153956478</v>
      </c>
      <c r="B3746" t="str">
        <f>"1552376396469681"</f>
        <v>1552376396469681</v>
      </c>
      <c r="C3746" t="s">
        <v>40</v>
      </c>
      <c r="D3746">
        <v>3.4427639999999999</v>
      </c>
      <c r="E3746">
        <v>0.37625910000000001</v>
      </c>
      <c r="F3746" t="s">
        <v>68</v>
      </c>
      <c r="G3746">
        <v>-473.6379</v>
      </c>
      <c r="H3746">
        <v>1.5850690000000001</v>
      </c>
      <c r="I3746">
        <v>180.999</v>
      </c>
      <c r="J3746">
        <v>-492.85289999999998</v>
      </c>
      <c r="K3746">
        <v>1.110641</v>
      </c>
      <c r="L3746">
        <v>254.10329999999999</v>
      </c>
      <c r="M3746">
        <v>-5.1242559999999999E-2</v>
      </c>
      <c r="N3746">
        <v>0</v>
      </c>
      <c r="O3746">
        <v>-0.99858769999999997</v>
      </c>
      <c r="P3746">
        <v>-5.9476729999999998E-2</v>
      </c>
      <c r="Q3746">
        <v>-5.3741839999999997E-3</v>
      </c>
      <c r="R3746">
        <v>-0.99821559999999998</v>
      </c>
      <c r="S3746">
        <v>0.80136109999999905</v>
      </c>
      <c r="T3746">
        <v>1.9791010000000001E-2</v>
      </c>
      <c r="U3746">
        <v>-3.053604</v>
      </c>
      <c r="V3746">
        <v>8.2382879999999999E-3</v>
      </c>
      <c r="W3746">
        <v>8.6652789999999997E-3</v>
      </c>
      <c r="X3746">
        <v>0.9999285</v>
      </c>
      <c r="Y3746">
        <v>-0.30306660000000002</v>
      </c>
      <c r="Z3746">
        <v>-6.2107059999999999E-3</v>
      </c>
      <c r="AA3746">
        <v>0.95294909999999999</v>
      </c>
      <c r="AB3746">
        <v>17</v>
      </c>
      <c r="AC3746">
        <v>19.2149999999999</v>
      </c>
      <c r="AD3746">
        <v>0.47442800000000002</v>
      </c>
      <c r="AE3746">
        <v>-73.104299999999895</v>
      </c>
      <c r="AF3746">
        <v>-22.935267690992699</v>
      </c>
      <c r="AG3746">
        <v>0.47442800000000002</v>
      </c>
      <c r="AH3746">
        <v>72.020679406529297</v>
      </c>
      <c r="AI3746">
        <v>89.640370798824307</v>
      </c>
      <c r="AJ3746">
        <v>107.664280148546</v>
      </c>
      <c r="AK3746">
        <v>75.585910381252603</v>
      </c>
      <c r="AL3746">
        <v>89.503509861991304</v>
      </c>
      <c r="AM3746">
        <v>89.527957795811403</v>
      </c>
      <c r="AN3746">
        <v>0.999999980780784</v>
      </c>
    </row>
    <row r="3747" spans="1:40" x14ac:dyDescent="0.25">
      <c r="A3747" t="str">
        <f>"20190312153956491"</f>
        <v>20190312153956491</v>
      </c>
      <c r="B3747" t="str">
        <f>"1552376396479441"</f>
        <v>1552376396479441</v>
      </c>
      <c r="C3747" t="s">
        <v>40</v>
      </c>
      <c r="D3747">
        <v>3.5328680000000001</v>
      </c>
      <c r="E3747">
        <v>0.37599399999999999</v>
      </c>
      <c r="F3747" t="s">
        <v>68</v>
      </c>
      <c r="G3747">
        <v>-473.5514</v>
      </c>
      <c r="H3747">
        <v>1.5847789999999999</v>
      </c>
      <c r="I3747">
        <v>180.999</v>
      </c>
      <c r="J3747">
        <v>-492.85770000000002</v>
      </c>
      <c r="K3747">
        <v>1.110644</v>
      </c>
      <c r="L3747">
        <v>254.0034</v>
      </c>
      <c r="M3747">
        <v>-5.0991429999999997E-2</v>
      </c>
      <c r="N3747">
        <v>0</v>
      </c>
      <c r="O3747">
        <v>-0.99860059999999995</v>
      </c>
      <c r="P3747">
        <v>-5.9182819999999997E-2</v>
      </c>
      <c r="Q3747">
        <v>-5.0831770000000004E-3</v>
      </c>
      <c r="R3747">
        <v>-0.99823459999999997</v>
      </c>
      <c r="S3747">
        <v>0.80621339999999997</v>
      </c>
      <c r="T3747">
        <v>1.9804479999999999E-2</v>
      </c>
      <c r="U3747">
        <v>-3.053528</v>
      </c>
      <c r="V3747">
        <v>8.1951390000000006E-3</v>
      </c>
      <c r="W3747">
        <v>8.9542319999999995E-3</v>
      </c>
      <c r="X3747">
        <v>0.99992630000000005</v>
      </c>
      <c r="Y3747">
        <v>-0.30424869999999998</v>
      </c>
      <c r="Z3747">
        <v>-6.2127700000000003E-3</v>
      </c>
      <c r="AA3747">
        <v>0.95257230000000004</v>
      </c>
      <c r="AB3747">
        <v>17</v>
      </c>
      <c r="AC3747">
        <v>19.3063</v>
      </c>
      <c r="AD3747">
        <v>0.47413499999999997</v>
      </c>
      <c r="AE3747">
        <v>-73.004399999999904</v>
      </c>
      <c r="AF3747">
        <v>-23.003237412483099</v>
      </c>
      <c r="AG3747">
        <v>0.47413499999999997</v>
      </c>
      <c r="AH3747">
        <v>71.922021149188595</v>
      </c>
      <c r="AI3747">
        <v>89.640243913705305</v>
      </c>
      <c r="AJ3747">
        <v>107.736137314769</v>
      </c>
      <c r="AK3747">
        <v>75.512587438371</v>
      </c>
      <c r="AL3747">
        <v>89.486953427234695</v>
      </c>
      <c r="AM3747">
        <v>89.530429028159105</v>
      </c>
      <c r="AN3747">
        <v>0.99999997200281399</v>
      </c>
    </row>
    <row r="3748" spans="1:40" x14ac:dyDescent="0.25">
      <c r="A3748" t="str">
        <f>"20190312153956505"</f>
        <v>20190312153956505</v>
      </c>
      <c r="B3748" t="str">
        <f>"1552376396499556"</f>
        <v>1552376396499556</v>
      </c>
      <c r="C3748" t="s">
        <v>40</v>
      </c>
      <c r="D3748">
        <v>3.6581160000000001</v>
      </c>
      <c r="E3748">
        <v>0.37553520000000001</v>
      </c>
      <c r="F3748" t="s">
        <v>68</v>
      </c>
      <c r="G3748">
        <v>-473.50659999999999</v>
      </c>
      <c r="H3748">
        <v>1.6091200000000001</v>
      </c>
      <c r="I3748">
        <v>180.999</v>
      </c>
      <c r="J3748">
        <v>-492.86259999999999</v>
      </c>
      <c r="K3748">
        <v>1.1106469999999999</v>
      </c>
      <c r="L3748">
        <v>253.90170000000001</v>
      </c>
      <c r="M3748">
        <v>-5.0732899999999997E-2</v>
      </c>
      <c r="N3748">
        <v>0</v>
      </c>
      <c r="O3748">
        <v>-0.998614</v>
      </c>
      <c r="P3748">
        <v>-5.8644969999999998E-2</v>
      </c>
      <c r="Q3748">
        <v>-4.9430819999999997E-3</v>
      </c>
      <c r="R3748">
        <v>-0.99826720000000002</v>
      </c>
      <c r="S3748">
        <v>0.80935669999999904</v>
      </c>
      <c r="T3748">
        <v>2.084863E-2</v>
      </c>
      <c r="U3748">
        <v>-3.053391</v>
      </c>
      <c r="V3748">
        <v>7.9151329999999995E-3</v>
      </c>
      <c r="W3748">
        <v>9.0915549999999994E-3</v>
      </c>
      <c r="X3748">
        <v>0.99992729999999996</v>
      </c>
      <c r="Y3748">
        <v>-0.30492849999999999</v>
      </c>
      <c r="Z3748">
        <v>-6.5391520000000003E-3</v>
      </c>
      <c r="AA3748">
        <v>0.9523528</v>
      </c>
      <c r="AB3748">
        <v>17</v>
      </c>
      <c r="AC3748">
        <v>19.355999999999899</v>
      </c>
      <c r="AD3748">
        <v>0.498473</v>
      </c>
      <c r="AE3748">
        <v>-72.902699999999896</v>
      </c>
      <c r="AF3748">
        <v>-23.028992180081101</v>
      </c>
      <c r="AG3748">
        <v>0.498473</v>
      </c>
      <c r="AH3748">
        <v>71.823582508458401</v>
      </c>
      <c r="AI3748">
        <v>89.621346956039304</v>
      </c>
      <c r="AJ3748">
        <v>107.777551495214</v>
      </c>
      <c r="AK3748">
        <v>75.426851720798396</v>
      </c>
      <c r="AL3748">
        <v>89.479085069780297</v>
      </c>
      <c r="AM3748">
        <v>89.546472784975805</v>
      </c>
      <c r="AN3748">
        <v>0.999999955494006</v>
      </c>
    </row>
    <row r="3749" spans="1:40" x14ac:dyDescent="0.25">
      <c r="A3749" t="str">
        <f>"20190312153956521"</f>
        <v>20190312153956521</v>
      </c>
      <c r="B3749" t="str">
        <f>"1552376396509316"</f>
        <v>1552376396509316</v>
      </c>
      <c r="C3749" t="s">
        <v>40</v>
      </c>
      <c r="D3749">
        <v>3.6166429999999998</v>
      </c>
      <c r="E3749">
        <v>0.37529620000000002</v>
      </c>
      <c r="F3749" t="s">
        <v>68</v>
      </c>
      <c r="G3749">
        <v>-473.41160000000002</v>
      </c>
      <c r="H3749">
        <v>1.577701</v>
      </c>
      <c r="I3749">
        <v>180.999</v>
      </c>
      <c r="J3749">
        <v>-492.86849999999998</v>
      </c>
      <c r="K3749">
        <v>1.1106529999999999</v>
      </c>
      <c r="L3749">
        <v>253.77799999999999</v>
      </c>
      <c r="M3749">
        <v>-5.041383E-2</v>
      </c>
      <c r="N3749">
        <v>0</v>
      </c>
      <c r="O3749">
        <v>-0.99863020000000002</v>
      </c>
      <c r="P3749">
        <v>-5.8573020000000003E-2</v>
      </c>
      <c r="Q3749">
        <v>-4.2948769999999999E-3</v>
      </c>
      <c r="R3749">
        <v>-0.99827449999999995</v>
      </c>
      <c r="S3749">
        <v>0.81460569999999999</v>
      </c>
      <c r="T3749">
        <v>1.956022E-2</v>
      </c>
      <c r="U3749">
        <v>-3.0531619999999999</v>
      </c>
      <c r="V3749">
        <v>8.1620159999999994E-3</v>
      </c>
      <c r="W3749">
        <v>9.7371639999999995E-3</v>
      </c>
      <c r="X3749">
        <v>0.99991929999999996</v>
      </c>
      <c r="Y3749">
        <v>-0.30617139999999998</v>
      </c>
      <c r="Z3749">
        <v>-6.1330680000000002E-3</v>
      </c>
      <c r="AA3749">
        <v>0.95195660000000004</v>
      </c>
      <c r="AB3749">
        <v>17</v>
      </c>
      <c r="AC3749">
        <v>19.456899999999901</v>
      </c>
      <c r="AD3749">
        <v>0.46704799999999902</v>
      </c>
      <c r="AE3749">
        <v>-72.778999999999897</v>
      </c>
      <c r="AF3749">
        <v>-23.1006942130117</v>
      </c>
      <c r="AG3749">
        <v>0.46704799999999902</v>
      </c>
      <c r="AH3749">
        <v>71.702688115363699</v>
      </c>
      <c r="AI3749">
        <v>89.644778857809499</v>
      </c>
      <c r="AJ3749">
        <v>107.85755651037</v>
      </c>
      <c r="AK3749">
        <v>75.333496466887198</v>
      </c>
      <c r="AL3749">
        <v>89.442092792480494</v>
      </c>
      <c r="AM3749">
        <v>89.532323575349295</v>
      </c>
      <c r="AN3749">
        <v>1.00000001869021</v>
      </c>
    </row>
    <row r="3750" spans="1:40" x14ac:dyDescent="0.25">
      <c r="A3750" t="str">
        <f>"20190312153956531"</f>
        <v>20190312153956531</v>
      </c>
      <c r="B3750" t="str">
        <f>"1552376396520053"</f>
        <v>1552376396520053</v>
      </c>
      <c r="C3750" t="s">
        <v>40</v>
      </c>
      <c r="D3750">
        <v>3.3898220000000001</v>
      </c>
      <c r="E3750">
        <v>0.37511860000000002</v>
      </c>
      <c r="F3750" t="s">
        <v>68</v>
      </c>
      <c r="G3750">
        <v>-473.40410000000003</v>
      </c>
      <c r="H3750">
        <v>1.6236200000000001</v>
      </c>
      <c r="I3750">
        <v>180.999</v>
      </c>
      <c r="J3750">
        <v>-492.87259999999998</v>
      </c>
      <c r="K3750">
        <v>1.1106579999999999</v>
      </c>
      <c r="L3750">
        <v>253.69159999999999</v>
      </c>
      <c r="M3750">
        <v>-5.018512E-2</v>
      </c>
      <c r="N3750">
        <v>0</v>
      </c>
      <c r="O3750">
        <v>-0.99864160000000002</v>
      </c>
      <c r="P3750">
        <v>-5.8613779999999997E-2</v>
      </c>
      <c r="Q3750">
        <v>-3.9546219999999997E-3</v>
      </c>
      <c r="R3750">
        <v>-0.99827330000000003</v>
      </c>
      <c r="S3750">
        <v>0.81655880000000003</v>
      </c>
      <c r="T3750">
        <v>2.1519779999999999E-2</v>
      </c>
      <c r="U3750">
        <v>-3.0531920000000001</v>
      </c>
      <c r="V3750">
        <v>8.4315369999999994E-3</v>
      </c>
      <c r="W3750">
        <v>1.0075219999999999E-2</v>
      </c>
      <c r="X3750">
        <v>0.99991370000000002</v>
      </c>
      <c r="Y3750">
        <v>-0.30651840000000002</v>
      </c>
      <c r="Z3750">
        <v>-6.7465779999999996E-3</v>
      </c>
      <c r="AA3750">
        <v>0.95184080000000004</v>
      </c>
      <c r="AB3750">
        <v>17</v>
      </c>
      <c r="AC3750">
        <v>19.468499999999899</v>
      </c>
      <c r="AD3750">
        <v>0.51296200000000003</v>
      </c>
      <c r="AE3750">
        <v>-72.692599999999899</v>
      </c>
      <c r="AF3750">
        <v>-23.091335838653102</v>
      </c>
      <c r="AG3750">
        <v>0.51296200000000003</v>
      </c>
      <c r="AH3750">
        <v>71.620531782755293</v>
      </c>
      <c r="AI3750">
        <v>89.609438953960506</v>
      </c>
      <c r="AJ3750">
        <v>107.8699565006</v>
      </c>
      <c r="AK3750">
        <v>75.252730805410394</v>
      </c>
      <c r="AL3750">
        <v>89.422722651879099</v>
      </c>
      <c r="AM3750">
        <v>89.516878270963403</v>
      </c>
      <c r="AN3750">
        <v>1.00000000416096</v>
      </c>
    </row>
    <row r="3751" spans="1:40" x14ac:dyDescent="0.25">
      <c r="A3751" t="str">
        <f>"20190312153956543"</f>
        <v>20190312153956543</v>
      </c>
      <c r="B3751" t="str">
        <f>"1552376396539572"</f>
        <v>1552376396539572</v>
      </c>
      <c r="C3751" t="s">
        <v>40</v>
      </c>
      <c r="D3751">
        <v>3.6037140000000001</v>
      </c>
      <c r="E3751">
        <v>0.37481959999999998</v>
      </c>
      <c r="F3751" t="s">
        <v>68</v>
      </c>
      <c r="G3751">
        <v>-473.4024</v>
      </c>
      <c r="H3751">
        <v>1.623907</v>
      </c>
      <c r="I3751">
        <v>180.999</v>
      </c>
      <c r="J3751">
        <v>-492.87650000000002</v>
      </c>
      <c r="K3751">
        <v>1.1106609999999999</v>
      </c>
      <c r="L3751">
        <v>253.60769999999999</v>
      </c>
      <c r="M3751">
        <v>-4.9958309999999999E-2</v>
      </c>
      <c r="N3751">
        <v>0</v>
      </c>
      <c r="O3751">
        <v>-0.99865280000000001</v>
      </c>
      <c r="P3751">
        <v>-5.8452049999999998E-2</v>
      </c>
      <c r="Q3751">
        <v>-3.594884E-3</v>
      </c>
      <c r="R3751">
        <v>-0.99828399999999995</v>
      </c>
      <c r="S3751">
        <v>0.81781009999999998</v>
      </c>
      <c r="T3751">
        <v>2.1558049999999999E-2</v>
      </c>
      <c r="U3751">
        <v>-3.0533139999999999</v>
      </c>
      <c r="V3751">
        <v>8.4963019999999903E-3</v>
      </c>
      <c r="W3751">
        <v>1.0432830000000001E-2</v>
      </c>
      <c r="X3751">
        <v>0.99990950000000001</v>
      </c>
      <c r="Y3751">
        <v>-0.3066567</v>
      </c>
      <c r="Z3751">
        <v>-6.757926E-3</v>
      </c>
      <c r="AA3751">
        <v>0.95179619999999998</v>
      </c>
      <c r="AB3751">
        <v>17</v>
      </c>
      <c r="AC3751">
        <v>19.4741</v>
      </c>
      <c r="AD3751">
        <v>0.51324599999999898</v>
      </c>
      <c r="AE3751">
        <v>-72.608699999999899</v>
      </c>
      <c r="AF3751">
        <v>-23.076467167775899</v>
      </c>
      <c r="AG3751">
        <v>0.51324599999999898</v>
      </c>
      <c r="AH3751">
        <v>71.5416923442247</v>
      </c>
      <c r="AI3751">
        <v>89.608808952761294</v>
      </c>
      <c r="AJ3751">
        <v>107.877609879473</v>
      </c>
      <c r="AK3751">
        <v>75.1731368367561</v>
      </c>
      <c r="AL3751">
        <v>89.402232040124801</v>
      </c>
      <c r="AM3751">
        <v>89.513165410635906</v>
      </c>
      <c r="AN3751">
        <v>1.00000001963986</v>
      </c>
    </row>
    <row r="3752" spans="1:40" x14ac:dyDescent="0.25">
      <c r="A3752" t="str">
        <f>"20190312153956554"</f>
        <v>20190312153956554</v>
      </c>
      <c r="B3752" t="str">
        <f>"1552376396549332"</f>
        <v>1552376396549332</v>
      </c>
      <c r="C3752" t="s">
        <v>40</v>
      </c>
      <c r="D3752">
        <v>3.6265619999999998</v>
      </c>
      <c r="E3752">
        <v>0.37475849999999999</v>
      </c>
      <c r="F3752" t="s">
        <v>68</v>
      </c>
      <c r="G3752">
        <v>-473.35309999999998</v>
      </c>
      <c r="H3752">
        <v>1.6365209999999999</v>
      </c>
      <c r="I3752">
        <v>180.999</v>
      </c>
      <c r="J3752">
        <v>-492.88099999999997</v>
      </c>
      <c r="K3752">
        <v>1.11067</v>
      </c>
      <c r="L3752">
        <v>253.51390000000001</v>
      </c>
      <c r="M3752">
        <v>-4.9700250000000001E-2</v>
      </c>
      <c r="N3752">
        <v>0</v>
      </c>
      <c r="O3752">
        <v>-0.99866569999999999</v>
      </c>
      <c r="P3752">
        <v>-5.8216780000000003E-2</v>
      </c>
      <c r="Q3752">
        <v>-3.0832379999999999E-3</v>
      </c>
      <c r="R3752">
        <v>-0.9982993</v>
      </c>
      <c r="S3752">
        <v>0.82098389999999999</v>
      </c>
      <c r="T3752">
        <v>2.211308E-2</v>
      </c>
      <c r="U3752">
        <v>-3.0532840000000001</v>
      </c>
      <c r="V3752">
        <v>8.5185279999999992E-3</v>
      </c>
      <c r="W3752">
        <v>1.094207E-2</v>
      </c>
      <c r="X3752">
        <v>0.99990389999999996</v>
      </c>
      <c r="Y3752">
        <v>-0.30733559999999999</v>
      </c>
      <c r="Z3752">
        <v>-6.930416E-3</v>
      </c>
      <c r="AA3752">
        <v>0.95157590000000003</v>
      </c>
      <c r="AB3752">
        <v>17</v>
      </c>
      <c r="AC3752">
        <v>19.527899999999899</v>
      </c>
      <c r="AD3752">
        <v>0.52585099999999896</v>
      </c>
      <c r="AE3752">
        <v>-72.514899999999898</v>
      </c>
      <c r="AF3752">
        <v>-23.1069924875755</v>
      </c>
      <c r="AG3752">
        <v>0.52585099999999896</v>
      </c>
      <c r="AH3752">
        <v>71.451126658168405</v>
      </c>
      <c r="AI3752">
        <v>89.598791966740606</v>
      </c>
      <c r="AJ3752">
        <v>107.92098818289099</v>
      </c>
      <c r="AK3752">
        <v>75.096425492940099</v>
      </c>
      <c r="AL3752">
        <v>89.3730530912582</v>
      </c>
      <c r="AM3752">
        <v>89.511889198032804</v>
      </c>
      <c r="AN3752">
        <v>1.0000000517251799</v>
      </c>
    </row>
    <row r="3753" spans="1:40" x14ac:dyDescent="0.25">
      <c r="A3753" t="str">
        <f>"20190312153956565"</f>
        <v>20190312153956565</v>
      </c>
      <c r="B3753" t="str">
        <f>"1552376396559092"</f>
        <v>1552376396559092</v>
      </c>
      <c r="C3753" t="s">
        <v>40</v>
      </c>
      <c r="D3753">
        <v>3.6636199999999999</v>
      </c>
      <c r="E3753">
        <v>0.37464409999999998</v>
      </c>
      <c r="F3753" t="s">
        <v>68</v>
      </c>
      <c r="G3753">
        <v>-473.35129999999998</v>
      </c>
      <c r="H3753">
        <v>1.6504110000000001</v>
      </c>
      <c r="I3753">
        <v>180.999</v>
      </c>
      <c r="J3753">
        <v>-492.88459999999998</v>
      </c>
      <c r="K3753">
        <v>1.1106780000000001</v>
      </c>
      <c r="L3753">
        <v>253.4349</v>
      </c>
      <c r="M3753">
        <v>-4.9473469999999999E-2</v>
      </c>
      <c r="N3753">
        <v>0</v>
      </c>
      <c r="O3753">
        <v>-0.99867720000000004</v>
      </c>
      <c r="P3753">
        <v>-5.8106430000000001E-2</v>
      </c>
      <c r="Q3753">
        <v>-2.64182E-3</v>
      </c>
      <c r="R3753">
        <v>-0.9983071</v>
      </c>
      <c r="S3753">
        <v>0.82226559999999904</v>
      </c>
      <c r="T3753">
        <v>2.272499E-2</v>
      </c>
      <c r="U3753">
        <v>-3.053131</v>
      </c>
      <c r="V3753">
        <v>8.6345769999999992E-3</v>
      </c>
      <c r="W3753">
        <v>1.1382160000000001E-2</v>
      </c>
      <c r="X3753">
        <v>0.99989799999999995</v>
      </c>
      <c r="Y3753">
        <v>-0.30750359999999999</v>
      </c>
      <c r="Z3753">
        <v>-7.1220679999999996E-3</v>
      </c>
      <c r="AA3753">
        <v>0.95152029999999999</v>
      </c>
      <c r="AB3753">
        <v>17</v>
      </c>
      <c r="AC3753">
        <v>19.533300000000001</v>
      </c>
      <c r="AD3753">
        <v>0.53973300000000002</v>
      </c>
      <c r="AE3753">
        <v>-72.435899999999904</v>
      </c>
      <c r="AF3753">
        <v>-23.092187378321</v>
      </c>
      <c r="AG3753">
        <v>0.53973300000000002</v>
      </c>
      <c r="AH3753">
        <v>71.377011156188004</v>
      </c>
      <c r="AI3753">
        <v>89.587788702893107</v>
      </c>
      <c r="AJ3753">
        <v>107.927647224466</v>
      </c>
      <c r="AK3753">
        <v>75.021451273734797</v>
      </c>
      <c r="AL3753">
        <v>89.347836227144896</v>
      </c>
      <c r="AM3753">
        <v>89.505237011040705</v>
      </c>
      <c r="AN3753">
        <v>1.00000005994511</v>
      </c>
    </row>
    <row r="3754" spans="1:40" x14ac:dyDescent="0.25">
      <c r="A3754" t="str">
        <f>"20190312153956576"</f>
        <v>20190312153956576</v>
      </c>
      <c r="B3754" t="str">
        <f>"1552376396569828"</f>
        <v>1552376396569828</v>
      </c>
      <c r="C3754" t="s">
        <v>40</v>
      </c>
      <c r="D3754">
        <v>3.9966759999999999</v>
      </c>
      <c r="E3754">
        <v>0.37456129999999999</v>
      </c>
      <c r="F3754" t="s">
        <v>68</v>
      </c>
      <c r="G3754">
        <v>-473.3528</v>
      </c>
      <c r="H3754">
        <v>1.671298</v>
      </c>
      <c r="I3754">
        <v>180.999</v>
      </c>
      <c r="J3754">
        <v>-492.8888</v>
      </c>
      <c r="K3754">
        <v>1.1106879999999999</v>
      </c>
      <c r="L3754">
        <v>253.34399999999999</v>
      </c>
      <c r="M3754">
        <v>-4.9209469999999998E-2</v>
      </c>
      <c r="N3754">
        <v>0</v>
      </c>
      <c r="O3754">
        <v>-0.99869030000000003</v>
      </c>
      <c r="P3754">
        <v>-5.7978830000000002E-2</v>
      </c>
      <c r="Q3754">
        <v>-2.1963550000000001E-3</v>
      </c>
      <c r="R3754">
        <v>-0.99831550000000002</v>
      </c>
      <c r="S3754">
        <v>0.82324219999999904</v>
      </c>
      <c r="T3754">
        <v>2.362943E-2</v>
      </c>
      <c r="U3754">
        <v>-3.0530849999999998</v>
      </c>
      <c r="V3754">
        <v>8.7705760000000004E-3</v>
      </c>
      <c r="W3754">
        <v>1.182559E-2</v>
      </c>
      <c r="X3754">
        <v>0.99989159999999999</v>
      </c>
      <c r="Y3754">
        <v>-0.3075389</v>
      </c>
      <c r="Z3754">
        <v>-7.4054159999999997E-3</v>
      </c>
      <c r="AA3754">
        <v>0.95150670000000004</v>
      </c>
      <c r="AB3754">
        <v>17</v>
      </c>
      <c r="AC3754">
        <v>19.535999999999898</v>
      </c>
      <c r="AD3754">
        <v>0.56061000000000005</v>
      </c>
      <c r="AE3754">
        <v>-72.344999999999999</v>
      </c>
      <c r="AF3754">
        <v>-23.071444094007202</v>
      </c>
      <c r="AG3754">
        <v>0.56061000000000005</v>
      </c>
      <c r="AH3754">
        <v>71.291894869178904</v>
      </c>
      <c r="AI3754">
        <v>89.571345658997501</v>
      </c>
      <c r="AJ3754">
        <v>107.932589844009</v>
      </c>
      <c r="AK3754">
        <v>74.9342384373996</v>
      </c>
      <c r="AL3754">
        <v>89.322427802653706</v>
      </c>
      <c r="AM3754">
        <v>89.497441421188995</v>
      </c>
      <c r="AN3754">
        <v>0.99999998966638903</v>
      </c>
    </row>
    <row r="3755" spans="1:40" x14ac:dyDescent="0.25">
      <c r="A3755" t="str">
        <f>"20190312153956588"</f>
        <v>20190312153956588</v>
      </c>
      <c r="B3755" t="str">
        <f>"1552376396579588"</f>
        <v>1552376396579588</v>
      </c>
      <c r="C3755" t="s">
        <v>40</v>
      </c>
      <c r="D3755">
        <v>3.6702750000000002</v>
      </c>
      <c r="E3755">
        <v>0.37453160000000002</v>
      </c>
      <c r="F3755" t="s">
        <v>68</v>
      </c>
      <c r="G3755">
        <v>-473.35270000000003</v>
      </c>
      <c r="H3755">
        <v>1.675991</v>
      </c>
      <c r="I3755">
        <v>180.999</v>
      </c>
      <c r="J3755">
        <v>-492.89280000000002</v>
      </c>
      <c r="K3755">
        <v>1.1107039999999999</v>
      </c>
      <c r="L3755">
        <v>253.2585</v>
      </c>
      <c r="M3755">
        <v>-4.8944790000000002E-2</v>
      </c>
      <c r="N3755">
        <v>0</v>
      </c>
      <c r="O3755">
        <v>-0.99870320000000001</v>
      </c>
      <c r="P3755">
        <v>-5.7689289999999997E-2</v>
      </c>
      <c r="Q3755">
        <v>-2.0900820000000001E-3</v>
      </c>
      <c r="R3755">
        <v>-0.99833260000000001</v>
      </c>
      <c r="S3755">
        <v>0.82443239999999995</v>
      </c>
      <c r="T3755">
        <v>2.3856039999999998E-2</v>
      </c>
      <c r="U3755">
        <v>-3.052994</v>
      </c>
      <c r="V3755">
        <v>8.7452109999999993E-3</v>
      </c>
      <c r="W3755">
        <v>1.193001E-2</v>
      </c>
      <c r="X3755">
        <v>0.99989059999999996</v>
      </c>
      <c r="Y3755">
        <v>-0.30763940000000001</v>
      </c>
      <c r="Z3755">
        <v>-7.4763019999999998E-3</v>
      </c>
      <c r="AA3755">
        <v>0.95147369999999998</v>
      </c>
      <c r="AB3755">
        <v>17</v>
      </c>
      <c r="AC3755">
        <v>19.540099999999899</v>
      </c>
      <c r="AD3755">
        <v>0.56528699999999898</v>
      </c>
      <c r="AE3755">
        <v>-72.259499999999903</v>
      </c>
      <c r="AF3755">
        <v>-23.052434921910599</v>
      </c>
      <c r="AG3755">
        <v>0.56528699999999898</v>
      </c>
      <c r="AH3755">
        <v>71.212337753462293</v>
      </c>
      <c r="AI3755">
        <v>89.5672987917565</v>
      </c>
      <c r="AJ3755">
        <v>107.937496320067</v>
      </c>
      <c r="AK3755">
        <v>74.8527311027092</v>
      </c>
      <c r="AL3755">
        <v>89.316444567684798</v>
      </c>
      <c r="AM3755">
        <v>89.498894273559898</v>
      </c>
      <c r="AN3755">
        <v>1.0000000079111899</v>
      </c>
    </row>
    <row r="3756" spans="1:40" x14ac:dyDescent="0.25">
      <c r="A3756" t="str">
        <f>"20190312153956598"</f>
        <v>20190312153956598</v>
      </c>
      <c r="B3756" t="str">
        <f>"1552376396589348"</f>
        <v>1552376396589348</v>
      </c>
      <c r="C3756" t="s">
        <v>40</v>
      </c>
      <c r="D3756">
        <v>3.6913179999999999</v>
      </c>
      <c r="E3756">
        <v>0.3744574</v>
      </c>
      <c r="F3756" t="s">
        <v>68</v>
      </c>
      <c r="G3756">
        <v>-473.35289999999998</v>
      </c>
      <c r="H3756">
        <v>1.649864</v>
      </c>
      <c r="I3756">
        <v>180.999</v>
      </c>
      <c r="J3756">
        <v>-492.8965</v>
      </c>
      <c r="K3756">
        <v>1.110716</v>
      </c>
      <c r="L3756">
        <v>253.1756</v>
      </c>
      <c r="M3756">
        <v>-4.8684760000000001E-2</v>
      </c>
      <c r="N3756">
        <v>0</v>
      </c>
      <c r="O3756">
        <v>-0.9987161</v>
      </c>
      <c r="P3756">
        <v>-5.7424950000000002E-2</v>
      </c>
      <c r="Q3756">
        <v>-1.492424E-3</v>
      </c>
      <c r="R3756">
        <v>-0.99834889999999998</v>
      </c>
      <c r="S3756">
        <v>0.82550049999999997</v>
      </c>
      <c r="T3756">
        <v>2.277792E-2</v>
      </c>
      <c r="U3756">
        <v>-3.0527500000000001</v>
      </c>
      <c r="V3756">
        <v>8.7400769999999902E-3</v>
      </c>
      <c r="W3756">
        <v>1.2526010000000001E-2</v>
      </c>
      <c r="X3756">
        <v>0.99988339999999998</v>
      </c>
      <c r="Y3756">
        <v>-0.30772179999999999</v>
      </c>
      <c r="Z3756">
        <v>-7.1387169999999897E-3</v>
      </c>
      <c r="AA3756">
        <v>0.95144960000000001</v>
      </c>
      <c r="AB3756">
        <v>17</v>
      </c>
      <c r="AC3756">
        <v>19.543600000000001</v>
      </c>
      <c r="AD3756">
        <v>0.53914799999999996</v>
      </c>
      <c r="AE3756">
        <v>-72.176599999999894</v>
      </c>
      <c r="AF3756">
        <v>-23.033467863669401</v>
      </c>
      <c r="AG3756">
        <v>0.53914799999999996</v>
      </c>
      <c r="AH3756">
        <v>71.135728933449101</v>
      </c>
      <c r="AI3756">
        <v>89.586871780728799</v>
      </c>
      <c r="AJ3756">
        <v>107.941748227139</v>
      </c>
      <c r="AK3756">
        <v>74.773813954390107</v>
      </c>
      <c r="AL3756">
        <v>89.282293761028697</v>
      </c>
      <c r="AM3756">
        <v>89.499184833707005</v>
      </c>
      <c r="AN3756">
        <v>1.00000005173402</v>
      </c>
    </row>
    <row r="3757" spans="1:40" x14ac:dyDescent="0.25">
      <c r="A3757" t="str">
        <f>"20190312153956609"</f>
        <v>20190312153956609</v>
      </c>
      <c r="B3757" t="str">
        <f>"1552376396599868"</f>
        <v>1552376396599868</v>
      </c>
      <c r="C3757" t="s">
        <v>40</v>
      </c>
      <c r="D3757">
        <v>3.6779649999999999</v>
      </c>
      <c r="E3757">
        <v>0.37442930000000002</v>
      </c>
      <c r="F3757" t="s">
        <v>68</v>
      </c>
      <c r="G3757">
        <v>-473.3417</v>
      </c>
      <c r="H3757">
        <v>1.6565559999999999</v>
      </c>
      <c r="I3757">
        <v>180.999</v>
      </c>
      <c r="J3757">
        <v>-492.90050000000002</v>
      </c>
      <c r="K3757">
        <v>1.1107279999999999</v>
      </c>
      <c r="L3757">
        <v>253.08799999999999</v>
      </c>
      <c r="M3757">
        <v>-4.8394090000000001E-2</v>
      </c>
      <c r="N3757">
        <v>0</v>
      </c>
      <c r="O3757">
        <v>-0.99873020000000001</v>
      </c>
      <c r="P3757">
        <v>-5.6987919999999997E-2</v>
      </c>
      <c r="Q3757">
        <v>-1.022324E-3</v>
      </c>
      <c r="R3757">
        <v>-0.99837450000000005</v>
      </c>
      <c r="S3757">
        <v>0.82702640000000005</v>
      </c>
      <c r="T3757">
        <v>2.3085120000000001E-2</v>
      </c>
      <c r="U3757">
        <v>-3.0525509999999998</v>
      </c>
      <c r="V3757">
        <v>8.592667E-3</v>
      </c>
      <c r="W3757">
        <v>1.2994230000000001E-2</v>
      </c>
      <c r="X3757">
        <v>0.99987859999999995</v>
      </c>
      <c r="Y3757">
        <v>-0.30790339999999999</v>
      </c>
      <c r="Z3757">
        <v>-7.2349210000000001E-3</v>
      </c>
      <c r="AA3757">
        <v>0.95139010000000002</v>
      </c>
      <c r="AB3757">
        <v>17</v>
      </c>
      <c r="AC3757">
        <v>19.558800000000002</v>
      </c>
      <c r="AD3757">
        <v>0.54582799999999998</v>
      </c>
      <c r="AE3757">
        <v>-72.088999999999899</v>
      </c>
      <c r="AF3757">
        <v>-23.0236729147612</v>
      </c>
      <c r="AG3757">
        <v>0.54582799999999998</v>
      </c>
      <c r="AH3757">
        <v>71.054100903930802</v>
      </c>
      <c r="AI3757">
        <v>89.581301603215806</v>
      </c>
      <c r="AJ3757">
        <v>107.95388906498199</v>
      </c>
      <c r="AK3757">
        <v>74.693190439005093</v>
      </c>
      <c r="AL3757">
        <v>89.255464471782702</v>
      </c>
      <c r="AM3757">
        <v>89.507628791406404</v>
      </c>
      <c r="AN3757">
        <v>0.99999994933871095</v>
      </c>
    </row>
    <row r="3758" spans="1:40" x14ac:dyDescent="0.25">
      <c r="A3758" t="str">
        <f>"20190312153956622"</f>
        <v>20190312153956622</v>
      </c>
      <c r="B3758" t="str">
        <f>"1552376396619388"</f>
        <v>1552376396619388</v>
      </c>
      <c r="C3758" t="s">
        <v>40</v>
      </c>
      <c r="D3758">
        <v>3.6969639999999999</v>
      </c>
      <c r="E3758">
        <v>0.37433899999999998</v>
      </c>
      <c r="F3758" t="s">
        <v>68</v>
      </c>
      <c r="G3758">
        <v>-473.33</v>
      </c>
      <c r="H3758">
        <v>1.6622520000000001</v>
      </c>
      <c r="I3758">
        <v>180.999</v>
      </c>
      <c r="J3758">
        <v>-492.90440000000001</v>
      </c>
      <c r="K3758">
        <v>1.110743</v>
      </c>
      <c r="L3758">
        <v>252.99860000000001</v>
      </c>
      <c r="M3758">
        <v>-4.8089649999999998E-2</v>
      </c>
      <c r="N3758">
        <v>0</v>
      </c>
      <c r="O3758">
        <v>-0.99874499999999999</v>
      </c>
      <c r="P3758">
        <v>-5.6489930000000001E-2</v>
      </c>
      <c r="Q3758">
        <v>-5.2522180000000003E-4</v>
      </c>
      <c r="R3758">
        <v>-0.9984035</v>
      </c>
      <c r="S3758">
        <v>0.8286133</v>
      </c>
      <c r="T3758">
        <v>2.3351549999999999E-2</v>
      </c>
      <c r="U3758">
        <v>-3.0522459999999998</v>
      </c>
      <c r="V3758">
        <v>8.3979280000000007E-3</v>
      </c>
      <c r="W3758">
        <v>1.3489620000000001E-2</v>
      </c>
      <c r="X3758">
        <v>0.99987380000000003</v>
      </c>
      <c r="Y3758">
        <v>-0.30809799999999998</v>
      </c>
      <c r="Z3758">
        <v>-7.3185619999999998E-3</v>
      </c>
      <c r="AA3758">
        <v>0.95132649999999996</v>
      </c>
      <c r="AB3758">
        <v>17</v>
      </c>
      <c r="AC3758">
        <v>19.574400000000001</v>
      </c>
      <c r="AD3758">
        <v>0.55150900000000003</v>
      </c>
      <c r="AE3758">
        <v>-71.999599999999901</v>
      </c>
      <c r="AF3758">
        <v>-23.0132657004796</v>
      </c>
      <c r="AG3758">
        <v>0.55150900000000003</v>
      </c>
      <c r="AH3758">
        <v>70.970986063430402</v>
      </c>
      <c r="AI3758">
        <v>89.576477428724402</v>
      </c>
      <c r="AJ3758">
        <v>107.96596108619801</v>
      </c>
      <c r="AK3758">
        <v>74.610960476283793</v>
      </c>
      <c r="AL3758">
        <v>89.227078307035299</v>
      </c>
      <c r="AM3758">
        <v>89.518784753395707</v>
      </c>
      <c r="AN3758">
        <v>1.0000000554844299</v>
      </c>
    </row>
    <row r="3759" spans="1:40" x14ac:dyDescent="0.25">
      <c r="A3759" t="str">
        <f>"20190312153956635"</f>
        <v>20190312153956635</v>
      </c>
      <c r="B3759" t="str">
        <f>"1552376396629151"</f>
        <v>1552376396629151</v>
      </c>
      <c r="C3759" t="s">
        <v>40</v>
      </c>
      <c r="D3759">
        <v>3.7228089999999998</v>
      </c>
      <c r="E3759">
        <v>0.37431110000000001</v>
      </c>
      <c r="F3759" t="s">
        <v>68</v>
      </c>
      <c r="G3759">
        <v>-473.30309999999997</v>
      </c>
      <c r="H3759">
        <v>1.641024</v>
      </c>
      <c r="I3759">
        <v>180.999</v>
      </c>
      <c r="J3759">
        <v>-492.9092</v>
      </c>
      <c r="K3759">
        <v>1.1107610000000001</v>
      </c>
      <c r="L3759">
        <v>252.8905</v>
      </c>
      <c r="M3759">
        <v>-4.7707149999999997E-2</v>
      </c>
      <c r="N3759">
        <v>0</v>
      </c>
      <c r="O3759">
        <v>-0.99876310000000001</v>
      </c>
      <c r="P3759">
        <v>-5.5930390000000003E-2</v>
      </c>
      <c r="Q3759">
        <v>-2.243782E-4</v>
      </c>
      <c r="R3759">
        <v>-0.99843470000000001</v>
      </c>
      <c r="S3759">
        <v>0.8308411</v>
      </c>
      <c r="T3759">
        <v>2.2477029999999999E-2</v>
      </c>
      <c r="U3759">
        <v>-3.0518489999999998</v>
      </c>
      <c r="V3759">
        <v>8.2197509999999904E-3</v>
      </c>
      <c r="W3759">
        <v>1.3788089999999999E-2</v>
      </c>
      <c r="X3759">
        <v>0.99987110000000001</v>
      </c>
      <c r="Y3759">
        <v>-0.30841200000000002</v>
      </c>
      <c r="Z3759">
        <v>-7.0445489999999998E-3</v>
      </c>
      <c r="AA3759">
        <v>0.95122680000000004</v>
      </c>
      <c r="AB3759">
        <v>17</v>
      </c>
      <c r="AC3759">
        <v>19.606100000000001</v>
      </c>
      <c r="AD3759">
        <v>0.53026300000000004</v>
      </c>
      <c r="AE3759">
        <v>-71.891499999999894</v>
      </c>
      <c r="AF3759">
        <v>-23.0126813820808</v>
      </c>
      <c r="AG3759">
        <v>0.53026300000000004</v>
      </c>
      <c r="AH3759">
        <v>70.870594114062001</v>
      </c>
      <c r="AI3759">
        <v>89.592269582128495</v>
      </c>
      <c r="AJ3759">
        <v>107.989344575023</v>
      </c>
      <c r="AK3759">
        <v>74.515138014516594</v>
      </c>
      <c r="AL3759">
        <v>89.209975559467395</v>
      </c>
      <c r="AM3759">
        <v>89.528992855163906</v>
      </c>
      <c r="AN3759">
        <v>0.99999994617377796</v>
      </c>
    </row>
    <row r="3760" spans="1:40" x14ac:dyDescent="0.25">
      <c r="A3760" t="str">
        <f>"20190312153956648"</f>
        <v>20190312153956648</v>
      </c>
      <c r="B3760" t="str">
        <f>"1552376396639886"</f>
        <v>1552376396639886</v>
      </c>
      <c r="C3760" t="s">
        <v>40</v>
      </c>
      <c r="D3760">
        <v>3.7107730000000001</v>
      </c>
      <c r="E3760">
        <v>0.37431110000000001</v>
      </c>
      <c r="F3760" t="s">
        <v>68</v>
      </c>
      <c r="G3760">
        <v>-473.28829999999999</v>
      </c>
      <c r="H3760">
        <v>1.635516</v>
      </c>
      <c r="I3760">
        <v>180.999</v>
      </c>
      <c r="J3760">
        <v>-492.91329999999999</v>
      </c>
      <c r="K3760">
        <v>1.1107819999999999</v>
      </c>
      <c r="L3760">
        <v>252.79570000000001</v>
      </c>
      <c r="M3760">
        <v>-4.7352690000000003E-2</v>
      </c>
      <c r="N3760">
        <v>0</v>
      </c>
      <c r="O3760">
        <v>-0.99878040000000001</v>
      </c>
      <c r="P3760">
        <v>-5.5527840000000002E-2</v>
      </c>
      <c r="Q3760" s="1">
        <v>-8.7369699999999896E-7</v>
      </c>
      <c r="R3760">
        <v>-0.9984577</v>
      </c>
      <c r="S3760">
        <v>0.83279419999999904</v>
      </c>
      <c r="T3760">
        <v>2.227283E-2</v>
      </c>
      <c r="U3760">
        <v>-3.0513759999999999</v>
      </c>
      <c r="V3760">
        <v>8.1708430000000005E-3</v>
      </c>
      <c r="W3760">
        <v>1.400932E-2</v>
      </c>
      <c r="X3760">
        <v>0.99986850000000005</v>
      </c>
      <c r="Y3760">
        <v>-0.30867860000000003</v>
      </c>
      <c r="Z3760">
        <v>-6.9808910000000004E-3</v>
      </c>
      <c r="AA3760">
        <v>0.95114080000000001</v>
      </c>
      <c r="AB3760">
        <v>17</v>
      </c>
      <c r="AC3760">
        <v>19.625</v>
      </c>
      <c r="AD3760">
        <v>0.52473400000000003</v>
      </c>
      <c r="AE3760">
        <v>-71.796699999999902</v>
      </c>
      <c r="AF3760">
        <v>-23.001936897418101</v>
      </c>
      <c r="AG3760">
        <v>0.52473400000000003</v>
      </c>
      <c r="AH3760">
        <v>70.783239572435903</v>
      </c>
      <c r="AI3760">
        <v>89.596052430690804</v>
      </c>
      <c r="AJ3760">
        <v>108.002246376665</v>
      </c>
      <c r="AK3760">
        <v>74.428700453336006</v>
      </c>
      <c r="AL3760">
        <v>89.197298848658505</v>
      </c>
      <c r="AM3760">
        <v>89.531794032696993</v>
      </c>
      <c r="AN3760">
        <v>1.0000000205072199</v>
      </c>
    </row>
    <row r="3761" spans="1:40" x14ac:dyDescent="0.25">
      <c r="A3761" t="str">
        <f>"20190312153956662"</f>
        <v>20190312153956662</v>
      </c>
      <c r="B3761" t="str">
        <f>"1552376396649645"</f>
        <v>1552376396649645</v>
      </c>
      <c r="C3761" t="s">
        <v>40</v>
      </c>
      <c r="D3761">
        <v>3.7577769999999999</v>
      </c>
      <c r="E3761">
        <v>0.35730190000000001</v>
      </c>
      <c r="F3761" t="s">
        <v>68</v>
      </c>
      <c r="G3761">
        <v>-473.28429999999997</v>
      </c>
      <c r="H3761">
        <v>1.6455679999999999</v>
      </c>
      <c r="I3761">
        <v>180.999</v>
      </c>
      <c r="J3761">
        <v>-492.91750000000002</v>
      </c>
      <c r="K3761">
        <v>1.1107959999999999</v>
      </c>
      <c r="L3761">
        <v>252.69669999999999</v>
      </c>
      <c r="M3761">
        <v>-4.6972939999999998E-2</v>
      </c>
      <c r="N3761">
        <v>0</v>
      </c>
      <c r="O3761">
        <v>-0.99879830000000003</v>
      </c>
      <c r="P3761">
        <v>-5.468025E-2</v>
      </c>
      <c r="Q3761">
        <v>4.6749060000000003E-4</v>
      </c>
      <c r="R3761">
        <v>-0.99850430000000001</v>
      </c>
      <c r="S3761">
        <v>0.83413700000000002</v>
      </c>
      <c r="T3761">
        <v>2.2725820000000001E-2</v>
      </c>
      <c r="U3761">
        <v>-3.0510100000000002</v>
      </c>
      <c r="V3761">
        <v>7.7013350000000001E-3</v>
      </c>
      <c r="W3761">
        <v>1.44761E-2</v>
      </c>
      <c r="X3761">
        <v>0.99986549999999996</v>
      </c>
      <c r="Y3761">
        <v>-0.30873529999999999</v>
      </c>
      <c r="Z3761">
        <v>-7.1234130000000003E-3</v>
      </c>
      <c r="AA3761">
        <v>0.95112129999999995</v>
      </c>
      <c r="AB3761">
        <v>17</v>
      </c>
      <c r="AC3761">
        <v>19.633199999999999</v>
      </c>
      <c r="AD3761">
        <v>0.53477200000000003</v>
      </c>
      <c r="AE3761">
        <v>-71.697699999999898</v>
      </c>
      <c r="AF3761">
        <v>-22.978515728903901</v>
      </c>
      <c r="AG3761">
        <v>0.53477200000000003</v>
      </c>
      <c r="AH3761">
        <v>70.692564139656895</v>
      </c>
      <c r="AI3761">
        <v>89.587807636485095</v>
      </c>
      <c r="AJ3761">
        <v>108.006677721896</v>
      </c>
      <c r="AK3761">
        <v>74.335299762864807</v>
      </c>
      <c r="AL3761">
        <v>89.170551547720905</v>
      </c>
      <c r="AM3761">
        <v>89.558695378122394</v>
      </c>
      <c r="AN3761">
        <v>0.99999994306111895</v>
      </c>
    </row>
    <row r="3762" spans="1:40" x14ac:dyDescent="0.25">
      <c r="A3762" t="str">
        <f>"20190312153956677"</f>
        <v>20190312153956677</v>
      </c>
      <c r="B3762" t="str">
        <f>"1552376396669164"</f>
        <v>1552376396669164</v>
      </c>
      <c r="C3762" t="s">
        <v>40</v>
      </c>
      <c r="D3762">
        <v>3.7151200000000002</v>
      </c>
      <c r="E3762">
        <v>0.34671859999999999</v>
      </c>
      <c r="F3762" t="s">
        <v>68</v>
      </c>
      <c r="G3762">
        <v>-469.95870000000002</v>
      </c>
      <c r="H3762">
        <v>0.38957079999999999</v>
      </c>
      <c r="I3762">
        <v>180.59010000000001</v>
      </c>
      <c r="J3762">
        <v>-492.92270000000002</v>
      </c>
      <c r="K3762">
        <v>1.1108169999999999</v>
      </c>
      <c r="L3762">
        <v>252.5753</v>
      </c>
      <c r="M3762">
        <v>-4.6486399999999997E-2</v>
      </c>
      <c r="N3762">
        <v>0</v>
      </c>
      <c r="O3762">
        <v>-0.99882079999999995</v>
      </c>
      <c r="P3762">
        <v>-5.3813510000000002E-2</v>
      </c>
      <c r="Q3762">
        <v>1.182963E-3</v>
      </c>
      <c r="R3762">
        <v>-0.99855059999999995</v>
      </c>
      <c r="S3762">
        <v>0.97360230000000003</v>
      </c>
      <c r="T3762">
        <v>-3.0584569999999998E-2</v>
      </c>
      <c r="U3762">
        <v>-3.057785</v>
      </c>
      <c r="V3762">
        <v>7.3192889999999997E-3</v>
      </c>
      <c r="W3762">
        <v>1.5188409999999999E-2</v>
      </c>
      <c r="X3762">
        <v>0.99985780000000002</v>
      </c>
      <c r="Y3762">
        <v>-0.34735139999999998</v>
      </c>
      <c r="Z3762">
        <v>9.4405860000000008E-3</v>
      </c>
      <c r="AA3762">
        <v>0.93768750000000001</v>
      </c>
      <c r="AB3762">
        <v>17</v>
      </c>
      <c r="AC3762">
        <v>22.963999999999999</v>
      </c>
      <c r="AD3762">
        <v>-0.72124619999999995</v>
      </c>
      <c r="AE3762">
        <v>-71.985199999999907</v>
      </c>
      <c r="AF3762">
        <v>-26.2834352869782</v>
      </c>
      <c r="AG3762">
        <v>-0.72124619999999995</v>
      </c>
      <c r="AH3762">
        <v>70.833290863612902</v>
      </c>
      <c r="AI3762">
        <v>90.546945903939999</v>
      </c>
      <c r="AJ3762">
        <v>110.35790000422099</v>
      </c>
      <c r="AK3762">
        <v>75.555901563908193</v>
      </c>
      <c r="AL3762">
        <v>89.1297346951539</v>
      </c>
      <c r="AM3762">
        <v>89.580583480851899</v>
      </c>
      <c r="AN3762">
        <v>0.999999940005315</v>
      </c>
    </row>
    <row r="3763" spans="1:40" x14ac:dyDescent="0.25">
      <c r="A3763" t="str">
        <f>"20190312153956689"</f>
        <v>20190312153956689</v>
      </c>
      <c r="B3763" t="str">
        <f>"1552376396679900"</f>
        <v>1552376396679900</v>
      </c>
      <c r="C3763" t="s">
        <v>40</v>
      </c>
      <c r="D3763">
        <v>3.7572570000000001</v>
      </c>
      <c r="E3763">
        <v>0.34406619999999999</v>
      </c>
      <c r="F3763" t="s">
        <v>48</v>
      </c>
      <c r="G3763">
        <v>-476.64760000000001</v>
      </c>
      <c r="H3763">
        <v>0.85905710000000002</v>
      </c>
      <c r="I3763">
        <v>205.55889999999999</v>
      </c>
      <c r="J3763">
        <v>-492.92660000000001</v>
      </c>
      <c r="K3763">
        <v>1.110833</v>
      </c>
      <c r="L3763">
        <v>252.47970000000001</v>
      </c>
      <c r="M3763">
        <v>-4.6081450000000003E-2</v>
      </c>
      <c r="N3763">
        <v>0</v>
      </c>
      <c r="O3763">
        <v>-0.9988397</v>
      </c>
      <c r="P3763">
        <v>-5.3186190000000001E-2</v>
      </c>
      <c r="Q3763">
        <v>1.3665319999999999E-3</v>
      </c>
      <c r="R3763">
        <v>-0.99858400000000003</v>
      </c>
      <c r="S3763">
        <v>1.0597529999999999</v>
      </c>
      <c r="T3763">
        <v>-1.63933E-2</v>
      </c>
      <c r="U3763">
        <v>-3.0614620000000001</v>
      </c>
      <c r="V3763">
        <v>7.0958920000000003E-3</v>
      </c>
      <c r="W3763">
        <v>1.537007E-2</v>
      </c>
      <c r="X3763">
        <v>0.99985670000000004</v>
      </c>
      <c r="Y3763">
        <v>-0.37031399999999998</v>
      </c>
      <c r="Z3763">
        <v>5.0099250000000001E-3</v>
      </c>
      <c r="AA3763">
        <v>0.92889310000000003</v>
      </c>
      <c r="AB3763">
        <v>17</v>
      </c>
      <c r="AC3763">
        <v>16.2789999999999</v>
      </c>
      <c r="AD3763">
        <v>-0.251775899999999</v>
      </c>
      <c r="AE3763">
        <v>-46.9208</v>
      </c>
      <c r="AF3763">
        <v>-18.423619866212899</v>
      </c>
      <c r="AG3763">
        <v>-0.251775899999999</v>
      </c>
      <c r="AH3763">
        <v>46.119526963586203</v>
      </c>
      <c r="AI3763">
        <v>90.290467631944097</v>
      </c>
      <c r="AJ3763">
        <v>111.77549690377199</v>
      </c>
      <c r="AK3763">
        <v>49.663909707386999</v>
      </c>
      <c r="AL3763">
        <v>89.119325185856994</v>
      </c>
      <c r="AM3763">
        <v>89.593383893919594</v>
      </c>
      <c r="AN3763">
        <v>1.00000000563498</v>
      </c>
    </row>
    <row r="3764" spans="1:40" x14ac:dyDescent="0.25">
      <c r="A3764" t="str">
        <f>"20190312153956700"</f>
        <v>20190312153956700</v>
      </c>
      <c r="B3764" t="str">
        <f>"1552376396689660"</f>
        <v>1552376396689660</v>
      </c>
      <c r="C3764" t="s">
        <v>40</v>
      </c>
      <c r="D3764">
        <v>3.7493479999999999</v>
      </c>
      <c r="E3764">
        <v>0.34241359999999998</v>
      </c>
      <c r="F3764" t="s">
        <v>48</v>
      </c>
      <c r="G3764">
        <v>-476.4477</v>
      </c>
      <c r="H3764">
        <v>0.92198170000000002</v>
      </c>
      <c r="I3764">
        <v>205.8973</v>
      </c>
      <c r="J3764">
        <v>-492.92989999999998</v>
      </c>
      <c r="K3764">
        <v>1.110846</v>
      </c>
      <c r="L3764">
        <v>252.4007</v>
      </c>
      <c r="M3764">
        <v>-4.574135E-2</v>
      </c>
      <c r="N3764">
        <v>0</v>
      </c>
      <c r="O3764">
        <v>-0.99885550000000001</v>
      </c>
      <c r="P3764">
        <v>-5.2491389999999999E-2</v>
      </c>
      <c r="Q3764">
        <v>1.6504530000000001E-3</v>
      </c>
      <c r="R3764">
        <v>-0.99862030000000002</v>
      </c>
      <c r="S3764">
        <v>1.083191</v>
      </c>
      <c r="T3764">
        <v>-1.241362E-2</v>
      </c>
      <c r="U3764">
        <v>-3.0619510000000001</v>
      </c>
      <c r="V3764">
        <v>6.7400139999999999E-3</v>
      </c>
      <c r="W3764">
        <v>1.5652320000000001E-2</v>
      </c>
      <c r="X3764">
        <v>0.99985480000000004</v>
      </c>
      <c r="Y3764">
        <v>-0.37628050000000002</v>
      </c>
      <c r="Z3764">
        <v>3.7838680000000001E-3</v>
      </c>
      <c r="AA3764">
        <v>0.92649809999999999</v>
      </c>
      <c r="AB3764">
        <v>17</v>
      </c>
      <c r="AC3764">
        <v>16.482199999999899</v>
      </c>
      <c r="AD3764">
        <v>-0.18886430000000001</v>
      </c>
      <c r="AE3764">
        <v>-46.503399999999999</v>
      </c>
      <c r="AF3764">
        <v>-18.592008713060899</v>
      </c>
      <c r="AG3764">
        <v>-0.18886430000000001</v>
      </c>
      <c r="AH3764">
        <v>45.700054732284997</v>
      </c>
      <c r="AI3764">
        <v>90.219328980929703</v>
      </c>
      <c r="AJ3764">
        <v>112.137811058697</v>
      </c>
      <c r="AK3764">
        <v>49.337546151427098</v>
      </c>
      <c r="AL3764">
        <v>89.103151521014098</v>
      </c>
      <c r="AM3764">
        <v>89.6137754133523</v>
      </c>
      <c r="AN3764">
        <v>1.0000000219965699</v>
      </c>
    </row>
    <row r="3765" spans="1:40" x14ac:dyDescent="0.25">
      <c r="A3765" t="str">
        <f>"20190312153956712"</f>
        <v>20190312153956712</v>
      </c>
      <c r="B3765" t="str">
        <f>"1552376396699421"</f>
        <v>1552376396699421</v>
      </c>
      <c r="C3765" t="s">
        <v>40</v>
      </c>
      <c r="D3765">
        <v>3.74857</v>
      </c>
      <c r="E3765">
        <v>0.34168399999999999</v>
      </c>
      <c r="F3765" t="s">
        <v>71</v>
      </c>
      <c r="G3765">
        <v>-472.92360000000002</v>
      </c>
      <c r="H3765">
        <v>0.93173410000000001</v>
      </c>
      <c r="I3765">
        <v>196.6301</v>
      </c>
      <c r="J3765">
        <v>-492.93349999999998</v>
      </c>
      <c r="K3765">
        <v>1.110857</v>
      </c>
      <c r="L3765">
        <v>252.3143</v>
      </c>
      <c r="M3765">
        <v>-4.535641E-2</v>
      </c>
      <c r="N3765">
        <v>0</v>
      </c>
      <c r="O3765">
        <v>-0.99887309999999996</v>
      </c>
      <c r="P3765">
        <v>-5.2117400000000001E-2</v>
      </c>
      <c r="Q3765">
        <v>1.71684299999999E-3</v>
      </c>
      <c r="R3765">
        <v>-0.99863999999999997</v>
      </c>
      <c r="S3765">
        <v>1.0983889999999901</v>
      </c>
      <c r="T3765">
        <v>-9.8315480000000007E-3</v>
      </c>
      <c r="U3765">
        <v>-3.0619049999999999</v>
      </c>
      <c r="V3765">
        <v>6.7504679999999999E-3</v>
      </c>
      <c r="W3765">
        <v>1.5716689999999998E-2</v>
      </c>
      <c r="X3765">
        <v>0.99985369999999996</v>
      </c>
      <c r="Y3765">
        <v>-0.38000630000000002</v>
      </c>
      <c r="Z3765">
        <v>2.9921549999999998E-3</v>
      </c>
      <c r="AA3765">
        <v>0.924979</v>
      </c>
      <c r="AB3765">
        <v>17</v>
      </c>
      <c r="AC3765">
        <v>20.009899999999899</v>
      </c>
      <c r="AD3765">
        <v>-0.179122899999999</v>
      </c>
      <c r="AE3765">
        <v>-55.684199999999997</v>
      </c>
      <c r="AF3765">
        <v>-22.514978927510299</v>
      </c>
      <c r="AG3765">
        <v>-0.179122899999999</v>
      </c>
      <c r="AH3765">
        <v>54.7187151018666</v>
      </c>
      <c r="AI3765">
        <v>90.173449284677005</v>
      </c>
      <c r="AJ3765">
        <v>112.36557892729</v>
      </c>
      <c r="AK3765">
        <v>59.170044308913397</v>
      </c>
      <c r="AL3765">
        <v>89.099462920282903</v>
      </c>
      <c r="AM3765">
        <v>89.613175957997598</v>
      </c>
      <c r="AN3765">
        <v>1.00000000228323</v>
      </c>
    </row>
    <row r="3766" spans="1:40" x14ac:dyDescent="0.25">
      <c r="A3766" t="str">
        <f>"20190312153956723"</f>
        <v>20190312153956723</v>
      </c>
      <c r="B3766" t="str">
        <f>"1552376396719917"</f>
        <v>1552376396719917</v>
      </c>
      <c r="C3766" t="s">
        <v>40</v>
      </c>
      <c r="D3766">
        <v>3.755147</v>
      </c>
      <c r="E3766">
        <v>0.33999829999999998</v>
      </c>
      <c r="F3766" t="s">
        <v>71</v>
      </c>
      <c r="G3766">
        <v>-470.15</v>
      </c>
      <c r="H3766">
        <v>0.807952</v>
      </c>
      <c r="I3766">
        <v>189.20060000000001</v>
      </c>
      <c r="J3766">
        <v>-492.93700000000001</v>
      </c>
      <c r="K3766">
        <v>1.1108709999999999</v>
      </c>
      <c r="L3766">
        <v>252.22730000000001</v>
      </c>
      <c r="M3766">
        <v>-4.4957619999999997E-2</v>
      </c>
      <c r="N3766">
        <v>0</v>
      </c>
      <c r="O3766">
        <v>-0.99889110000000003</v>
      </c>
      <c r="P3766">
        <v>-5.1438110000000002E-2</v>
      </c>
      <c r="Q3766">
        <v>1.873387E-3</v>
      </c>
      <c r="R3766">
        <v>-0.99867459999999997</v>
      </c>
      <c r="S3766">
        <v>1.105286</v>
      </c>
      <c r="T3766">
        <v>-1.46929E-2</v>
      </c>
      <c r="U3766">
        <v>-3.061798</v>
      </c>
      <c r="V3766">
        <v>6.4690019999999997E-3</v>
      </c>
      <c r="W3766">
        <v>1.5871639999999999E-2</v>
      </c>
      <c r="X3766">
        <v>0.99985310000000005</v>
      </c>
      <c r="Y3766">
        <v>-0.38148969999999999</v>
      </c>
      <c r="Z3766">
        <v>4.4688419999999998E-3</v>
      </c>
      <c r="AA3766">
        <v>0.92436229999999997</v>
      </c>
      <c r="AB3766">
        <v>17</v>
      </c>
      <c r="AC3766">
        <v>22.7869999999999</v>
      </c>
      <c r="AD3766">
        <v>-0.30291899999999899</v>
      </c>
      <c r="AE3766">
        <v>-63.026699999999998</v>
      </c>
      <c r="AF3766">
        <v>-25.597239796465001</v>
      </c>
      <c r="AG3766">
        <v>-0.30291899999999899</v>
      </c>
      <c r="AH3766">
        <v>61.937146224819898</v>
      </c>
      <c r="AI3766">
        <v>90.258972668096703</v>
      </c>
      <c r="AJ3766">
        <v>112.454215288546</v>
      </c>
      <c r="AK3766">
        <v>67.018807267758902</v>
      </c>
      <c r="AL3766">
        <v>89.090583819876997</v>
      </c>
      <c r="AM3766">
        <v>89.629304204185502</v>
      </c>
      <c r="AN3766">
        <v>0.999999989261387</v>
      </c>
    </row>
    <row r="3767" spans="1:40" x14ac:dyDescent="0.25">
      <c r="A3767" t="str">
        <f>"20190312153956735"</f>
        <v>20190312153956735</v>
      </c>
      <c r="B3767" t="str">
        <f>"1552376396729677"</f>
        <v>1552376396729677</v>
      </c>
      <c r="C3767" t="s">
        <v>40</v>
      </c>
      <c r="D3767">
        <v>3.7922060000000002</v>
      </c>
      <c r="E3767">
        <v>0.33967330000000001</v>
      </c>
      <c r="F3767" t="s">
        <v>71</v>
      </c>
      <c r="G3767">
        <v>-470.15</v>
      </c>
      <c r="H3767">
        <v>0.80970589999999998</v>
      </c>
      <c r="I3767">
        <v>189.98689999999999</v>
      </c>
      <c r="J3767">
        <v>-492.94049999999999</v>
      </c>
      <c r="K3767">
        <v>1.1108830000000001</v>
      </c>
      <c r="L3767">
        <v>252.13849999999999</v>
      </c>
      <c r="M3767">
        <v>-4.4541690000000002E-2</v>
      </c>
      <c r="N3767">
        <v>0</v>
      </c>
      <c r="O3767">
        <v>-0.99890970000000001</v>
      </c>
      <c r="P3767">
        <v>-5.045094E-2</v>
      </c>
      <c r="Q3767">
        <v>1.9999010000000001E-3</v>
      </c>
      <c r="R3767">
        <v>-0.99872470000000002</v>
      </c>
      <c r="S3767">
        <v>1.120941</v>
      </c>
      <c r="T3767">
        <v>-1.4813299999999901E-2</v>
      </c>
      <c r="U3767">
        <v>-3.0617220000000001</v>
      </c>
      <c r="V3767">
        <v>5.8964489999999998E-3</v>
      </c>
      <c r="W3767">
        <v>1.5996079999999999E-2</v>
      </c>
      <c r="X3767">
        <v>0.99985469999999999</v>
      </c>
      <c r="Y3767">
        <v>-0.3852836</v>
      </c>
      <c r="Z3767">
        <v>4.4981980000000001E-3</v>
      </c>
      <c r="AA3767">
        <v>0.92278720000000003</v>
      </c>
      <c r="AB3767">
        <v>17</v>
      </c>
      <c r="AC3767">
        <v>22.790500000000002</v>
      </c>
      <c r="AD3767">
        <v>-0.30117709999999998</v>
      </c>
      <c r="AE3767">
        <v>-62.151600000000002</v>
      </c>
      <c r="AF3767">
        <v>-25.5359559132473</v>
      </c>
      <c r="AG3767">
        <v>-0.30117709999999998</v>
      </c>
      <c r="AH3767">
        <v>61.073413354323499</v>
      </c>
      <c r="AI3767">
        <v>90.260677216012496</v>
      </c>
      <c r="AJ3767">
        <v>112.69073250416901</v>
      </c>
      <c r="AK3767">
        <v>66.197715752108394</v>
      </c>
      <c r="AL3767">
        <v>89.083453066807607</v>
      </c>
      <c r="AM3767">
        <v>89.662113179659002</v>
      </c>
      <c r="AN3767">
        <v>1.00000003189913</v>
      </c>
    </row>
    <row r="3768" spans="1:40" x14ac:dyDescent="0.25">
      <c r="A3768" t="str">
        <f>"20190312153956746"</f>
        <v>20190312153956746</v>
      </c>
      <c r="B3768" t="str">
        <f>"1552376396739437"</f>
        <v>1552376396739437</v>
      </c>
      <c r="C3768" t="s">
        <v>40</v>
      </c>
      <c r="D3768">
        <v>3.7992360000000001</v>
      </c>
      <c r="E3768">
        <v>0.33938960000000001</v>
      </c>
      <c r="F3768" t="s">
        <v>71</v>
      </c>
      <c r="G3768">
        <v>-470.15</v>
      </c>
      <c r="H3768">
        <v>0.74905259999999996</v>
      </c>
      <c r="I3768">
        <v>190.22</v>
      </c>
      <c r="J3768">
        <v>-492.9434</v>
      </c>
      <c r="K3768">
        <v>1.110897</v>
      </c>
      <c r="L3768">
        <v>252.06200000000001</v>
      </c>
      <c r="M3768">
        <v>-4.4168140000000002E-2</v>
      </c>
      <c r="N3768">
        <v>0</v>
      </c>
      <c r="O3768">
        <v>-0.99892619999999999</v>
      </c>
      <c r="P3768">
        <v>-4.9719239999999998E-2</v>
      </c>
      <c r="Q3768">
        <v>1.823447E-3</v>
      </c>
      <c r="R3768">
        <v>-0.99876160000000003</v>
      </c>
      <c r="S3768">
        <v>1.126587</v>
      </c>
      <c r="T3768">
        <v>-1.7884250000000001E-2</v>
      </c>
      <c r="U3768">
        <v>-3.0607600000000001</v>
      </c>
      <c r="V3768">
        <v>5.5375629999999997E-3</v>
      </c>
      <c r="W3768">
        <v>1.5817290000000001E-2</v>
      </c>
      <c r="X3768">
        <v>0.99985959999999996</v>
      </c>
      <c r="Y3768">
        <v>-0.38653009999999999</v>
      </c>
      <c r="Z3768">
        <v>5.429288E-3</v>
      </c>
      <c r="AA3768">
        <v>0.92226079999999999</v>
      </c>
      <c r="AB3768">
        <v>17</v>
      </c>
      <c r="AC3768">
        <v>22.793399999999998</v>
      </c>
      <c r="AD3768">
        <v>-0.36184440000000001</v>
      </c>
      <c r="AE3768">
        <v>-61.841999999999999</v>
      </c>
      <c r="AF3768">
        <v>-25.502096491352599</v>
      </c>
      <c r="AG3768">
        <v>-0.36184440000000001</v>
      </c>
      <c r="AH3768">
        <v>60.772964969670703</v>
      </c>
      <c r="AI3768">
        <v>90.314564495987995</v>
      </c>
      <c r="AJ3768">
        <v>112.76433240514601</v>
      </c>
      <c r="AK3768">
        <v>65.907822965327</v>
      </c>
      <c r="AL3768">
        <v>89.093698278384593</v>
      </c>
      <c r="AM3768">
        <v>89.682679703471806</v>
      </c>
      <c r="AN3768">
        <v>1.00000003548954</v>
      </c>
    </row>
    <row r="3769" spans="1:40" x14ac:dyDescent="0.25">
      <c r="A3769" t="str">
        <f>"20190312153956756"</f>
        <v>20190312153956756</v>
      </c>
      <c r="B3769" t="str">
        <f>"1552376396749197"</f>
        <v>1552376396749197</v>
      </c>
      <c r="C3769" t="s">
        <v>40</v>
      </c>
      <c r="D3769">
        <v>3.7873299999999999</v>
      </c>
      <c r="E3769">
        <v>0.33919100000000002</v>
      </c>
      <c r="F3769" t="s">
        <v>71</v>
      </c>
      <c r="G3769">
        <v>-470.15</v>
      </c>
      <c r="H3769">
        <v>0.67677369999999903</v>
      </c>
      <c r="I3769">
        <v>190.405</v>
      </c>
      <c r="J3769">
        <v>-492.94650000000001</v>
      </c>
      <c r="K3769">
        <v>1.1109089999999999</v>
      </c>
      <c r="L3769">
        <v>251.9828</v>
      </c>
      <c r="M3769">
        <v>-4.3776629999999997E-2</v>
      </c>
      <c r="N3769">
        <v>0</v>
      </c>
      <c r="O3769">
        <v>-0.99894360000000004</v>
      </c>
      <c r="P3769">
        <v>-4.8816379999999999E-2</v>
      </c>
      <c r="Q3769">
        <v>1.9113089999999999E-3</v>
      </c>
      <c r="R3769">
        <v>-0.99880610000000003</v>
      </c>
      <c r="S3769">
        <v>1.131256</v>
      </c>
      <c r="T3769">
        <v>-2.1544339999999999E-2</v>
      </c>
      <c r="U3769">
        <v>-3.0600740000000002</v>
      </c>
      <c r="V3769">
        <v>5.025079E-3</v>
      </c>
      <c r="W3769">
        <v>1.590358E-2</v>
      </c>
      <c r="X3769">
        <v>0.99986090000000005</v>
      </c>
      <c r="Y3769">
        <v>-0.38747179999999998</v>
      </c>
      <c r="Z3769">
        <v>6.5388999999999899E-3</v>
      </c>
      <c r="AA3769">
        <v>0.92185839999999997</v>
      </c>
      <c r="AB3769">
        <v>17</v>
      </c>
      <c r="AC3769">
        <v>22.796500000000002</v>
      </c>
      <c r="AD3769">
        <v>-0.4341353</v>
      </c>
      <c r="AE3769">
        <v>-61.577800000000003</v>
      </c>
      <c r="AF3769">
        <v>-25.469460174825201</v>
      </c>
      <c r="AG3769">
        <v>-0.4341353</v>
      </c>
      <c r="AH3769">
        <v>60.518059629262403</v>
      </c>
      <c r="AI3769">
        <v>90.378831337826</v>
      </c>
      <c r="AJ3769">
        <v>112.82414154169</v>
      </c>
      <c r="AK3769">
        <v>65.660623027402593</v>
      </c>
      <c r="AL3769">
        <v>89.088753568988594</v>
      </c>
      <c r="AM3769">
        <v>89.712046551320697</v>
      </c>
      <c r="AN3769">
        <v>0.99999999731229094</v>
      </c>
    </row>
    <row r="3770" spans="1:40" x14ac:dyDescent="0.25">
      <c r="A3770" t="str">
        <f>"20190312153956766"</f>
        <v>20190312153956766</v>
      </c>
      <c r="B3770" t="str">
        <f>"1552376396759933"</f>
        <v>1552376396759933</v>
      </c>
      <c r="C3770" t="s">
        <v>40</v>
      </c>
      <c r="D3770">
        <v>3.860325</v>
      </c>
      <c r="E3770">
        <v>0.33895750000000002</v>
      </c>
      <c r="F3770" t="s">
        <v>71</v>
      </c>
      <c r="G3770">
        <v>-470.34609999999998</v>
      </c>
      <c r="H3770">
        <v>0.61851099999999903</v>
      </c>
      <c r="I3770">
        <v>191.10599999999999</v>
      </c>
      <c r="J3770">
        <v>-492.94959999999998</v>
      </c>
      <c r="K3770">
        <v>1.1109230000000001</v>
      </c>
      <c r="L3770">
        <v>251.8991</v>
      </c>
      <c r="M3770">
        <v>-4.3342690000000003E-2</v>
      </c>
      <c r="N3770">
        <v>0</v>
      </c>
      <c r="O3770">
        <v>-0.99896249999999998</v>
      </c>
      <c r="P3770">
        <v>-4.7843919999999998E-2</v>
      </c>
      <c r="Q3770">
        <v>2.3084080000000001E-3</v>
      </c>
      <c r="R3770">
        <v>-0.99885230000000003</v>
      </c>
      <c r="S3770">
        <v>1.1357120000000001</v>
      </c>
      <c r="T3770">
        <v>-2.4741889999999999E-2</v>
      </c>
      <c r="U3770">
        <v>-3.0591430000000002</v>
      </c>
      <c r="V3770">
        <v>4.4850089999999999E-3</v>
      </c>
      <c r="W3770">
        <v>1.629835E-2</v>
      </c>
      <c r="X3770">
        <v>0.99985710000000005</v>
      </c>
      <c r="Y3770">
        <v>-0.38834059999999998</v>
      </c>
      <c r="Z3770">
        <v>7.5084259999999899E-3</v>
      </c>
      <c r="AA3770">
        <v>0.92148529999999995</v>
      </c>
      <c r="AB3770">
        <v>17</v>
      </c>
      <c r="AC3770">
        <v>22.6035</v>
      </c>
      <c r="AD3770">
        <v>-0.49241200000000002</v>
      </c>
      <c r="AE3770">
        <v>-60.793100000000003</v>
      </c>
      <c r="AF3770">
        <v>-25.215994983637099</v>
      </c>
      <c r="AG3770">
        <v>-0.49241200000000002</v>
      </c>
      <c r="AH3770">
        <v>59.7527231146274</v>
      </c>
      <c r="AI3770">
        <v>90.435006938596104</v>
      </c>
      <c r="AJ3770">
        <v>112.88002628346899</v>
      </c>
      <c r="AK3770">
        <v>64.8573572712139</v>
      </c>
      <c r="AL3770">
        <v>89.066131970896393</v>
      </c>
      <c r="AM3770">
        <v>89.742992910404396</v>
      </c>
      <c r="AN3770">
        <v>0.99999998596943096</v>
      </c>
    </row>
    <row r="3771" spans="1:40" x14ac:dyDescent="0.25">
      <c r="A3771" t="str">
        <f>"20190312153956778"</f>
        <v>20190312153956778</v>
      </c>
      <c r="B3771" t="str">
        <f>"1552376396769693"</f>
        <v>1552376396769693</v>
      </c>
      <c r="C3771" t="s">
        <v>40</v>
      </c>
      <c r="D3771">
        <v>3.7993399999999999</v>
      </c>
      <c r="E3771">
        <v>0.33883970000000002</v>
      </c>
      <c r="F3771" t="s">
        <v>71</v>
      </c>
      <c r="G3771">
        <v>-470.34609999999998</v>
      </c>
      <c r="H3771">
        <v>0.5841672</v>
      </c>
      <c r="I3771">
        <v>191.27500000000001</v>
      </c>
      <c r="J3771">
        <v>-492.95280000000002</v>
      </c>
      <c r="K3771">
        <v>1.1109389999999999</v>
      </c>
      <c r="L3771">
        <v>251.81639999999999</v>
      </c>
      <c r="M3771">
        <v>-4.2909129999999997E-2</v>
      </c>
      <c r="N3771">
        <v>0</v>
      </c>
      <c r="O3771">
        <v>-0.99898140000000002</v>
      </c>
      <c r="P3771">
        <v>-4.6684730000000001E-2</v>
      </c>
      <c r="Q3771">
        <v>2.2847660000000001E-3</v>
      </c>
      <c r="R3771">
        <v>-0.99890749999999995</v>
      </c>
      <c r="S3771">
        <v>1.140228</v>
      </c>
      <c r="T3771">
        <v>-2.656996E-2</v>
      </c>
      <c r="U3771">
        <v>-3.0581360000000002</v>
      </c>
      <c r="V3771">
        <v>3.7580349999999998E-3</v>
      </c>
      <c r="W3771">
        <v>1.627261E-2</v>
      </c>
      <c r="X3771">
        <v>0.99986050000000004</v>
      </c>
      <c r="Y3771">
        <v>-0.38923340000000001</v>
      </c>
      <c r="Z3771">
        <v>8.0622869999999996E-3</v>
      </c>
      <c r="AA3771">
        <v>0.92110389999999998</v>
      </c>
      <c r="AB3771">
        <v>17</v>
      </c>
      <c r="AC3771">
        <v>22.6067</v>
      </c>
      <c r="AD3771">
        <v>-0.52677179999999901</v>
      </c>
      <c r="AE3771">
        <v>-60.541399999999904</v>
      </c>
      <c r="AF3771">
        <v>-25.1822335894283</v>
      </c>
      <c r="AG3771">
        <v>-0.52677179999999901</v>
      </c>
      <c r="AH3771">
        <v>59.5115466825198</v>
      </c>
      <c r="AI3771">
        <v>90.467054212413004</v>
      </c>
      <c r="AJ3771">
        <v>112.935588483481</v>
      </c>
      <c r="AK3771">
        <v>64.622337977107705</v>
      </c>
      <c r="AL3771">
        <v>89.067606945057193</v>
      </c>
      <c r="AM3771">
        <v>89.784651428026194</v>
      </c>
      <c r="AN3771">
        <v>0.999999970061761</v>
      </c>
    </row>
    <row r="3772" spans="1:40" x14ac:dyDescent="0.25">
      <c r="A3772" t="str">
        <f>"20190312153956789"</f>
        <v>20190312153956789</v>
      </c>
      <c r="B3772" t="str">
        <f>"1552376396779452"</f>
        <v>1552376396779452</v>
      </c>
      <c r="C3772" t="s">
        <v>40</v>
      </c>
      <c r="D3772">
        <v>3.8254709999999998</v>
      </c>
      <c r="E3772">
        <v>0.33851560000000003</v>
      </c>
      <c r="F3772" t="s">
        <v>71</v>
      </c>
      <c r="G3772">
        <v>-470.34609999999998</v>
      </c>
      <c r="H3772">
        <v>0.51789849999999904</v>
      </c>
      <c r="I3772">
        <v>191.43340000000001</v>
      </c>
      <c r="J3772">
        <v>-492.95600000000002</v>
      </c>
      <c r="K3772">
        <v>1.1109560000000001</v>
      </c>
      <c r="L3772">
        <v>251.7294</v>
      </c>
      <c r="M3772">
        <v>-4.2426470000000001E-2</v>
      </c>
      <c r="N3772">
        <v>0</v>
      </c>
      <c r="O3772">
        <v>-0.9990019</v>
      </c>
      <c r="P3772">
        <v>-4.5546259999999998E-2</v>
      </c>
      <c r="Q3772">
        <v>2.8152379999999999E-3</v>
      </c>
      <c r="R3772">
        <v>-0.99895849999999997</v>
      </c>
      <c r="S3772">
        <v>1.1444399999999999</v>
      </c>
      <c r="T3772">
        <v>-3.0020000000000002E-2</v>
      </c>
      <c r="U3772">
        <v>-3.0568080000000002</v>
      </c>
      <c r="V3772">
        <v>3.1003430000000002E-3</v>
      </c>
      <c r="W3772">
        <v>1.6800389999999998E-2</v>
      </c>
      <c r="X3772">
        <v>0.99985400000000002</v>
      </c>
      <c r="Y3772">
        <v>-0.39002949999999997</v>
      </c>
      <c r="Z3772">
        <v>9.109341E-3</v>
      </c>
      <c r="AA3772">
        <v>0.9207573</v>
      </c>
      <c r="AB3772">
        <v>17</v>
      </c>
      <c r="AC3772">
        <v>22.6098999999999</v>
      </c>
      <c r="AD3772">
        <v>-0.59305750000000002</v>
      </c>
      <c r="AE3772">
        <v>-60.2959999999999</v>
      </c>
      <c r="AF3772">
        <v>-25.1458012605957</v>
      </c>
      <c r="AG3772">
        <v>-0.59305750000000002</v>
      </c>
      <c r="AH3772">
        <v>59.277318833259102</v>
      </c>
      <c r="AI3772">
        <v>90.527699457825605</v>
      </c>
      <c r="AJ3772">
        <v>112.986953836379</v>
      </c>
      <c r="AK3772">
        <v>64.393039734862199</v>
      </c>
      <c r="AL3772">
        <v>89.037363216057798</v>
      </c>
      <c r="AM3772">
        <v>89.822338061732097</v>
      </c>
      <c r="AN3772">
        <v>0.999999943273433</v>
      </c>
    </row>
    <row r="3773" spans="1:40" x14ac:dyDescent="0.25">
      <c r="A3773" t="str">
        <f>"20190312153956799"</f>
        <v>20190312153956799</v>
      </c>
      <c r="B3773" t="str">
        <f>"1552376396789212"</f>
        <v>1552376396789212</v>
      </c>
      <c r="C3773" t="s">
        <v>40</v>
      </c>
      <c r="D3773">
        <v>3.8015810000000001</v>
      </c>
      <c r="E3773">
        <v>0.33826200000000001</v>
      </c>
      <c r="F3773" t="s">
        <v>71</v>
      </c>
      <c r="G3773">
        <v>-470.34609999999998</v>
      </c>
      <c r="H3773">
        <v>0.49939860000000003</v>
      </c>
      <c r="I3773">
        <v>191.71510000000001</v>
      </c>
      <c r="J3773">
        <v>-492.95890000000003</v>
      </c>
      <c r="K3773">
        <v>1.1109709999999999</v>
      </c>
      <c r="L3773">
        <v>251.6497</v>
      </c>
      <c r="M3773">
        <v>-4.1978179999999997E-2</v>
      </c>
      <c r="N3773">
        <v>0</v>
      </c>
      <c r="O3773">
        <v>-0.99902080000000004</v>
      </c>
      <c r="P3773">
        <v>-4.4572550000000002E-2</v>
      </c>
      <c r="Q3773">
        <v>3.2053720000000002E-3</v>
      </c>
      <c r="R3773">
        <v>-0.99900100000000003</v>
      </c>
      <c r="S3773">
        <v>1.1512150000000001</v>
      </c>
      <c r="T3773">
        <v>-3.1136270000000001E-2</v>
      </c>
      <c r="U3773">
        <v>-3.0556950000000001</v>
      </c>
      <c r="V3773">
        <v>2.5733679999999999E-3</v>
      </c>
      <c r="W3773">
        <v>1.718896E-2</v>
      </c>
      <c r="X3773">
        <v>0.99984899999999999</v>
      </c>
      <c r="Y3773">
        <v>-0.39151390000000003</v>
      </c>
      <c r="Z3773">
        <v>9.4448740000000007E-3</v>
      </c>
      <c r="AA3773">
        <v>0.92012369999999999</v>
      </c>
      <c r="AB3773">
        <v>17</v>
      </c>
      <c r="AC3773">
        <v>22.6128</v>
      </c>
      <c r="AD3773">
        <v>-0.61157240000000002</v>
      </c>
      <c r="AE3773">
        <v>-59.934599999999897</v>
      </c>
      <c r="AF3773">
        <v>-25.106766256729099</v>
      </c>
      <c r="AG3773">
        <v>-0.61157240000000002</v>
      </c>
      <c r="AH3773">
        <v>58.927051086823802</v>
      </c>
      <c r="AI3773">
        <v>90.547041081133699</v>
      </c>
      <c r="AJ3773">
        <v>113.077166749875</v>
      </c>
      <c r="AK3773">
        <v>64.055609297388003</v>
      </c>
      <c r="AL3773">
        <v>89.015096685633097</v>
      </c>
      <c r="AM3773">
        <v>89.8525349328049</v>
      </c>
      <c r="AN3773">
        <v>1.00000005268487</v>
      </c>
    </row>
    <row r="3774" spans="1:40" x14ac:dyDescent="0.25">
      <c r="A3774" t="str">
        <f>"20190312153956811"</f>
        <v>20190312153956811</v>
      </c>
      <c r="B3774" t="str">
        <f>"1552376396799949"</f>
        <v>1552376396799949</v>
      </c>
      <c r="C3774" t="s">
        <v>40</v>
      </c>
      <c r="D3774">
        <v>3.8688090000000002</v>
      </c>
      <c r="E3774">
        <v>0.33820119999999998</v>
      </c>
      <c r="F3774" t="s">
        <v>71</v>
      </c>
      <c r="G3774">
        <v>-470.34609999999998</v>
      </c>
      <c r="H3774">
        <v>0.5104725</v>
      </c>
      <c r="I3774">
        <v>191.89019999999999</v>
      </c>
      <c r="J3774">
        <v>-492.96190000000001</v>
      </c>
      <c r="K3774">
        <v>1.110986</v>
      </c>
      <c r="L3774">
        <v>251.5625</v>
      </c>
      <c r="M3774">
        <v>-4.1467039999999997E-2</v>
      </c>
      <c r="N3774">
        <v>0</v>
      </c>
      <c r="O3774">
        <v>-0.99904230000000005</v>
      </c>
      <c r="P3774">
        <v>-4.3492240000000001E-2</v>
      </c>
      <c r="Q3774">
        <v>3.3976470000000002E-3</v>
      </c>
      <c r="R3774">
        <v>-0.99904820000000005</v>
      </c>
      <c r="S3774">
        <v>1.1558839999999999</v>
      </c>
      <c r="T3774">
        <v>-3.0693290000000002E-2</v>
      </c>
      <c r="U3774">
        <v>-3.0546720000000001</v>
      </c>
      <c r="V3774">
        <v>2.0027080000000002E-3</v>
      </c>
      <c r="W3774">
        <v>1.7379189999999999E-2</v>
      </c>
      <c r="X3774">
        <v>0.99984689999999998</v>
      </c>
      <c r="Y3774">
        <v>-0.3923759</v>
      </c>
      <c r="Z3774">
        <v>9.3095260000000003E-3</v>
      </c>
      <c r="AA3774">
        <v>0.91975779999999996</v>
      </c>
      <c r="AB3774">
        <v>17</v>
      </c>
      <c r="AC3774">
        <v>22.6158</v>
      </c>
      <c r="AD3774">
        <v>-0.60051350000000003</v>
      </c>
      <c r="AE3774">
        <v>-59.6723</v>
      </c>
      <c r="AF3774">
        <v>-25.0687986810319</v>
      </c>
      <c r="AG3774">
        <v>-0.60051350000000003</v>
      </c>
      <c r="AH3774">
        <v>58.677866291164399</v>
      </c>
      <c r="AI3774">
        <v>90.539204380102902</v>
      </c>
      <c r="AJ3774">
        <v>113.13350639776201</v>
      </c>
      <c r="AK3774">
        <v>63.811419638318299</v>
      </c>
      <c r="AL3774">
        <v>89.004195564711793</v>
      </c>
      <c r="AM3774">
        <v>89.885235867071003</v>
      </c>
      <c r="AN3774">
        <v>0.99999993526199704</v>
      </c>
    </row>
    <row r="3775" spans="1:40" x14ac:dyDescent="0.25">
      <c r="A3775" t="str">
        <f>"20190312153956822"</f>
        <v>20190312153956822</v>
      </c>
      <c r="B3775" t="str">
        <f>"1552376396819470"</f>
        <v>1552376396819470</v>
      </c>
      <c r="C3775" t="s">
        <v>40</v>
      </c>
      <c r="D3775">
        <v>3.9937339999999999</v>
      </c>
      <c r="E3775">
        <v>0.37152879999999999</v>
      </c>
      <c r="F3775" t="s">
        <v>71</v>
      </c>
      <c r="G3775">
        <v>-470.32659999999998</v>
      </c>
      <c r="H3775">
        <v>0.4799213</v>
      </c>
      <c r="I3775">
        <v>191.96879999999999</v>
      </c>
      <c r="J3775">
        <v>-492.96440000000001</v>
      </c>
      <c r="K3775">
        <v>1.1110009999999999</v>
      </c>
      <c r="L3775">
        <v>251.488</v>
      </c>
      <c r="M3775">
        <v>-4.1019340000000001E-2</v>
      </c>
      <c r="N3775">
        <v>0</v>
      </c>
      <c r="O3775">
        <v>-0.99906070000000002</v>
      </c>
      <c r="P3775">
        <v>-4.2872540000000001E-2</v>
      </c>
      <c r="Q3775">
        <v>3.3855619999999999E-3</v>
      </c>
      <c r="R3775">
        <v>-0.99907480000000004</v>
      </c>
      <c r="S3775">
        <v>1.1597900000000001</v>
      </c>
      <c r="T3775">
        <v>-3.233254E-2</v>
      </c>
      <c r="U3775">
        <v>-3.0534520000000001</v>
      </c>
      <c r="V3775">
        <v>1.8299220000000001E-3</v>
      </c>
      <c r="W3775">
        <v>1.7364879999999999E-2</v>
      </c>
      <c r="X3775">
        <v>0.9998475</v>
      </c>
      <c r="Y3775">
        <v>-0.39311230000000003</v>
      </c>
      <c r="Z3775">
        <v>9.8068619999999995E-3</v>
      </c>
      <c r="AA3775">
        <v>0.91943819999999998</v>
      </c>
      <c r="AB3775">
        <v>17</v>
      </c>
      <c r="AC3775">
        <v>22.637799999999999</v>
      </c>
      <c r="AD3775">
        <v>-0.63107970000000002</v>
      </c>
      <c r="AE3775">
        <v>-59.519199999999998</v>
      </c>
      <c r="AF3775">
        <v>-25.057958710424899</v>
      </c>
      <c r="AG3775">
        <v>-0.63107970000000002</v>
      </c>
      <c r="AH3775">
        <v>58.534668845918503</v>
      </c>
      <c r="AI3775">
        <v>90.567857765507398</v>
      </c>
      <c r="AJ3775">
        <v>113.17516071292</v>
      </c>
      <c r="AK3775">
        <v>63.675796133401001</v>
      </c>
      <c r="AL3775">
        <v>89.005015611218795</v>
      </c>
      <c r="AM3775">
        <v>89.895137318068805</v>
      </c>
      <c r="AN3775">
        <v>0.99999995546409404</v>
      </c>
    </row>
    <row r="3776" spans="1:40" x14ac:dyDescent="0.25">
      <c r="A3776" t="str">
        <f>"20190312153956834"</f>
        <v>20190312153956834</v>
      </c>
      <c r="B3776" t="str">
        <f>"1552376396829229"</f>
        <v>1552376396829229</v>
      </c>
      <c r="C3776" t="s">
        <v>40</v>
      </c>
      <c r="D3776">
        <v>3.9297849999999999</v>
      </c>
      <c r="E3776">
        <v>0.37152879999999999</v>
      </c>
      <c r="F3776" t="s">
        <v>42</v>
      </c>
      <c r="G3776">
        <v>-477.22109999999998</v>
      </c>
      <c r="H3776">
        <v>7.9986489999999993E-2</v>
      </c>
      <c r="I3776">
        <v>198.08199999999999</v>
      </c>
      <c r="J3776">
        <v>-492.96769999999998</v>
      </c>
      <c r="K3776">
        <v>1.11102099999999</v>
      </c>
      <c r="L3776">
        <v>251.3929</v>
      </c>
      <c r="M3776">
        <v>-4.0428159999999998E-2</v>
      </c>
      <c r="N3776">
        <v>0</v>
      </c>
      <c r="O3776">
        <v>-0.9990848</v>
      </c>
      <c r="P3776">
        <v>-4.1683289999999998E-2</v>
      </c>
      <c r="Q3776">
        <v>3.4040160000000002E-3</v>
      </c>
      <c r="R3776">
        <v>-0.99912509999999999</v>
      </c>
      <c r="S3776">
        <v>0.89657589999999998</v>
      </c>
      <c r="T3776">
        <v>-5.871606E-2</v>
      </c>
      <c r="U3776">
        <v>-3.041458</v>
      </c>
      <c r="V3776">
        <v>1.230454E-3</v>
      </c>
      <c r="W3776">
        <v>1.7381569999999999E-2</v>
      </c>
      <c r="X3776">
        <v>0.99984819999999996</v>
      </c>
      <c r="Y3776">
        <v>-0.3212584</v>
      </c>
      <c r="Z3776">
        <v>1.8375590000000001E-2</v>
      </c>
      <c r="AA3776">
        <v>0.94681329999999997</v>
      </c>
      <c r="AB3776">
        <v>17</v>
      </c>
      <c r="AC3776">
        <v>15.746600000000001</v>
      </c>
      <c r="AD3776">
        <v>-1.03103450999999</v>
      </c>
      <c r="AE3776">
        <v>-53.310899999999997</v>
      </c>
      <c r="AF3776">
        <v>-17.8830435482196</v>
      </c>
      <c r="AG3776">
        <v>-1.03103450999999</v>
      </c>
      <c r="AH3776">
        <v>52.612538962863603</v>
      </c>
      <c r="AI3776">
        <v>91.062956817731305</v>
      </c>
      <c r="AJ3776">
        <v>108.772937761593</v>
      </c>
      <c r="AK3776">
        <v>55.5782829424152</v>
      </c>
      <c r="AL3776">
        <v>89.004059272535599</v>
      </c>
      <c r="AM3776">
        <v>89.929489511012804</v>
      </c>
      <c r="AN3776">
        <v>1.0000000280179699</v>
      </c>
    </row>
    <row r="3777" spans="1:40" x14ac:dyDescent="0.25">
      <c r="A3777" t="str">
        <f>"20190312153956848"</f>
        <v>20190312153956848</v>
      </c>
      <c r="B3777" t="str">
        <f>"1552376396839966"</f>
        <v>1552376396839966</v>
      </c>
      <c r="C3777" t="s">
        <v>40</v>
      </c>
      <c r="D3777">
        <v>3.9024640000000002</v>
      </c>
      <c r="E3777">
        <v>0.41708719999999999</v>
      </c>
      <c r="F3777" t="s">
        <v>42</v>
      </c>
      <c r="G3777">
        <v>-477.07819999999998</v>
      </c>
      <c r="H3777">
        <v>7.9986399999999902E-2</v>
      </c>
      <c r="I3777">
        <v>197.74209999999999</v>
      </c>
      <c r="J3777">
        <v>-492.97129999999999</v>
      </c>
      <c r="K3777">
        <v>1.111048</v>
      </c>
      <c r="L3777">
        <v>251.28370000000001</v>
      </c>
      <c r="M3777">
        <v>-3.971309E-2</v>
      </c>
      <c r="N3777">
        <v>0</v>
      </c>
      <c r="O3777">
        <v>-0.99911360000000005</v>
      </c>
      <c r="P3777">
        <v>-4.0585990000000002E-2</v>
      </c>
      <c r="Q3777">
        <v>3.2305580000000001E-3</v>
      </c>
      <c r="R3777">
        <v>-0.99917100000000003</v>
      </c>
      <c r="S3777">
        <v>0.90045169999999997</v>
      </c>
      <c r="T3777">
        <v>-5.842841E-2</v>
      </c>
      <c r="U3777">
        <v>-3.040375</v>
      </c>
      <c r="V3777">
        <v>8.4707179999999997E-4</v>
      </c>
      <c r="W3777">
        <v>1.7205649999999999E-2</v>
      </c>
      <c r="X3777">
        <v>0.99985159999999995</v>
      </c>
      <c r="Y3777">
        <v>-0.32178250000000003</v>
      </c>
      <c r="Z3777">
        <v>1.8287749999999998E-2</v>
      </c>
      <c r="AA3777">
        <v>0.94663699999999995</v>
      </c>
      <c r="AB3777">
        <v>17</v>
      </c>
      <c r="AC3777">
        <v>15.8931</v>
      </c>
      <c r="AD3777">
        <v>-1.0310615999999999</v>
      </c>
      <c r="AE3777">
        <v>-53.541600000000003</v>
      </c>
      <c r="AF3777">
        <v>-18.000934565408102</v>
      </c>
      <c r="AG3777">
        <v>-1.0310615999999999</v>
      </c>
      <c r="AH3777">
        <v>52.850116587732401</v>
      </c>
      <c r="AI3777">
        <v>91.057980697191496</v>
      </c>
      <c r="AJ3777">
        <v>108.809022386181</v>
      </c>
      <c r="AK3777">
        <v>55.841127823388398</v>
      </c>
      <c r="AL3777">
        <v>89.014140212895896</v>
      </c>
      <c r="AM3777">
        <v>89.951459169067704</v>
      </c>
      <c r="AN3777">
        <v>0.99999998697255799</v>
      </c>
    </row>
    <row r="3778" spans="1:40" x14ac:dyDescent="0.25">
      <c r="A3778" t="str">
        <f>"20190312153956862"</f>
        <v>20190312153956862</v>
      </c>
      <c r="B3778" t="str">
        <f>"1552376396849725"</f>
        <v>1552376396849725</v>
      </c>
      <c r="C3778" t="s">
        <v>40</v>
      </c>
      <c r="D3778">
        <v>3.9463900000000001</v>
      </c>
      <c r="E3778">
        <v>0.4192343</v>
      </c>
      <c r="F3778" t="s">
        <v>70</v>
      </c>
      <c r="G3778">
        <v>-469.47430000000003</v>
      </c>
      <c r="H3778">
        <v>2.7044419999999998</v>
      </c>
      <c r="I3778">
        <v>119.395</v>
      </c>
      <c r="J3778">
        <v>-492.9742</v>
      </c>
      <c r="K3778">
        <v>1.11107</v>
      </c>
      <c r="L3778">
        <v>251.19030000000001</v>
      </c>
      <c r="M3778">
        <v>-3.9077170000000001E-2</v>
      </c>
      <c r="N3778">
        <v>0</v>
      </c>
      <c r="O3778">
        <v>-0.99913870000000005</v>
      </c>
      <c r="P3778">
        <v>-3.9494639999999998E-2</v>
      </c>
      <c r="Q3778">
        <v>3.0843210000000001E-3</v>
      </c>
      <c r="R3778">
        <v>-0.99921490000000002</v>
      </c>
      <c r="S3778">
        <v>0.53878780000000004</v>
      </c>
      <c r="T3778">
        <v>3.6537649999999998E-2</v>
      </c>
      <c r="U3778">
        <v>-3.0242460000000002</v>
      </c>
      <c r="V3778">
        <v>3.9053889999999999E-4</v>
      </c>
      <c r="W3778">
        <v>1.7057369999999999E-2</v>
      </c>
      <c r="X3778">
        <v>0.99985440000000003</v>
      </c>
      <c r="Y3778">
        <v>-0.2137232</v>
      </c>
      <c r="Z3778">
        <v>-1.183411E-2</v>
      </c>
      <c r="AA3778">
        <v>0.97682259999999999</v>
      </c>
      <c r="AB3778">
        <v>17</v>
      </c>
      <c r="AC3778">
        <v>23.499899999999901</v>
      </c>
      <c r="AD3778">
        <v>1.59337199999999</v>
      </c>
      <c r="AE3778">
        <v>-131.7953</v>
      </c>
      <c r="AF3778">
        <v>-28.628580830672799</v>
      </c>
      <c r="AG3778">
        <v>1.59337199999999</v>
      </c>
      <c r="AH3778">
        <v>130.757692591287</v>
      </c>
      <c r="AI3778">
        <v>89.317999650905705</v>
      </c>
      <c r="AJ3778">
        <v>102.34968149461901</v>
      </c>
      <c r="AK3778">
        <v>133.86451600968201</v>
      </c>
      <c r="AL3778">
        <v>89.022637255533695</v>
      </c>
      <c r="AM3778">
        <v>89.977620511978799</v>
      </c>
      <c r="AN3778">
        <v>0.99999996379565403</v>
      </c>
    </row>
    <row r="3779" spans="1:40" x14ac:dyDescent="0.25">
      <c r="A3779" t="str">
        <f>"20190312153956879"</f>
        <v>20190312153956879</v>
      </c>
      <c r="B3779" t="str">
        <f>"1552376396869244"</f>
        <v>1552376396869244</v>
      </c>
      <c r="C3779" t="s">
        <v>40</v>
      </c>
      <c r="D3779">
        <v>3.9272749999999998</v>
      </c>
      <c r="E3779">
        <v>0.42109010000000002</v>
      </c>
      <c r="F3779" t="s">
        <v>70</v>
      </c>
      <c r="G3779">
        <v>-470.07409999999999</v>
      </c>
      <c r="H3779">
        <v>2.4383159999999999</v>
      </c>
      <c r="I3779">
        <v>119.395</v>
      </c>
      <c r="J3779">
        <v>-492.97840000000002</v>
      </c>
      <c r="K3779">
        <v>1.1111040000000001</v>
      </c>
      <c r="L3779">
        <v>251.05600000000001</v>
      </c>
      <c r="M3779">
        <v>-3.811076E-2</v>
      </c>
      <c r="N3779">
        <v>0</v>
      </c>
      <c r="O3779">
        <v>-0.99917599999999995</v>
      </c>
      <c r="P3779">
        <v>-3.7781990000000001E-2</v>
      </c>
      <c r="Q3779">
        <v>3.244158E-3</v>
      </c>
      <c r="R3779">
        <v>-0.99928079999999997</v>
      </c>
      <c r="S3779">
        <v>0.52526859999999997</v>
      </c>
      <c r="T3779">
        <v>3.044438E-2</v>
      </c>
      <c r="U3779">
        <v>-3.023056</v>
      </c>
      <c r="V3779">
        <v>-3.5787690000000001E-4</v>
      </c>
      <c r="W3779">
        <v>1.721375E-2</v>
      </c>
      <c r="X3779">
        <v>0.99985179999999996</v>
      </c>
      <c r="Y3779">
        <v>-0.2086083</v>
      </c>
      <c r="Z3779">
        <v>-9.8744890000000002E-3</v>
      </c>
      <c r="AA3779">
        <v>0.97794939999999997</v>
      </c>
      <c r="AB3779">
        <v>17</v>
      </c>
      <c r="AC3779">
        <v>22.904299999999999</v>
      </c>
      <c r="AD3779">
        <v>1.3272119999999901</v>
      </c>
      <c r="AE3779">
        <v>-131.661</v>
      </c>
      <c r="AF3779">
        <v>-27.903094921951499</v>
      </c>
      <c r="AG3779">
        <v>1.3272119999999901</v>
      </c>
      <c r="AH3779">
        <v>130.67945787701501</v>
      </c>
      <c r="AI3779">
        <v>89.430937235130301</v>
      </c>
      <c r="AJ3779">
        <v>102.052979294049</v>
      </c>
      <c r="AK3779">
        <v>133.63182595829099</v>
      </c>
      <c r="AL3779">
        <v>89.013676092369394</v>
      </c>
      <c r="AM3779">
        <v>90.020507874346507</v>
      </c>
      <c r="AN3779">
        <v>1.00000003161408</v>
      </c>
    </row>
    <row r="3780" spans="1:40" x14ac:dyDescent="0.25">
      <c r="A3780" t="str">
        <f>"20190312153956891"</f>
        <v>20190312153956891</v>
      </c>
      <c r="B3780" t="str">
        <f>"1552376396889741"</f>
        <v>1552376396889741</v>
      </c>
      <c r="C3780" t="s">
        <v>40</v>
      </c>
      <c r="D3780">
        <v>3.9208599999999998</v>
      </c>
      <c r="E3780">
        <v>0.4214215</v>
      </c>
      <c r="F3780" t="s">
        <v>70</v>
      </c>
      <c r="G3780">
        <v>-470.51799999999997</v>
      </c>
      <c r="H3780">
        <v>2.4419040000000001</v>
      </c>
      <c r="I3780">
        <v>119.395</v>
      </c>
      <c r="J3780">
        <v>-492.9812</v>
      </c>
      <c r="K3780">
        <v>1.1111329999999999</v>
      </c>
      <c r="L3780">
        <v>250.96100000000001</v>
      </c>
      <c r="M3780">
        <v>-3.7385090000000003E-2</v>
      </c>
      <c r="N3780">
        <v>0</v>
      </c>
      <c r="O3780">
        <v>-0.99920330000000002</v>
      </c>
      <c r="P3780">
        <v>-3.6895079999999997E-2</v>
      </c>
      <c r="Q3780">
        <v>3.5150089999999999E-3</v>
      </c>
      <c r="R3780">
        <v>-0.99931289999999995</v>
      </c>
      <c r="S3780">
        <v>0.51544190000000001</v>
      </c>
      <c r="T3780">
        <v>3.05413E-2</v>
      </c>
      <c r="U3780">
        <v>-3.0215000000000001</v>
      </c>
      <c r="V3780">
        <v>-5.2092849999999999E-4</v>
      </c>
      <c r="W3780">
        <v>1.7483120000000001E-2</v>
      </c>
      <c r="X3780">
        <v>0.99984700000000004</v>
      </c>
      <c r="Y3780">
        <v>-0.20489250000000001</v>
      </c>
      <c r="Z3780">
        <v>-9.9180150000000005E-3</v>
      </c>
      <c r="AA3780">
        <v>0.97873429999999995</v>
      </c>
      <c r="AB3780">
        <v>17</v>
      </c>
      <c r="AC3780">
        <v>22.463199999999901</v>
      </c>
      <c r="AD3780">
        <v>1.3307709999999999</v>
      </c>
      <c r="AE3780">
        <v>-131.56599999999901</v>
      </c>
      <c r="AF3780">
        <v>-27.363860033229098</v>
      </c>
      <c r="AG3780">
        <v>1.3307709999999999</v>
      </c>
      <c r="AH3780">
        <v>130.62115257302699</v>
      </c>
      <c r="AI3780">
        <v>89.428690450841799</v>
      </c>
      <c r="AJ3780">
        <v>101.83180423009701</v>
      </c>
      <c r="AK3780">
        <v>133.46324320530499</v>
      </c>
      <c r="AL3780">
        <v>88.998239951037604</v>
      </c>
      <c r="AM3780">
        <v>90.029851569067404</v>
      </c>
      <c r="AN3780">
        <v>0.99999997713021804</v>
      </c>
    </row>
    <row r="3781" spans="1:40" x14ac:dyDescent="0.25">
      <c r="A3781" t="str">
        <f>"20190312153956903"</f>
        <v>20190312153956903</v>
      </c>
      <c r="B3781" t="str">
        <f>"1552376396899501"</f>
        <v>1552376396899501</v>
      </c>
      <c r="C3781" t="s">
        <v>40</v>
      </c>
      <c r="D3781">
        <v>3.9152260000000001</v>
      </c>
      <c r="E3781">
        <v>0.42157790000000001</v>
      </c>
      <c r="F3781" t="s">
        <v>70</v>
      </c>
      <c r="G3781">
        <v>-470.54360000000003</v>
      </c>
      <c r="H3781">
        <v>2.461954</v>
      </c>
      <c r="I3781">
        <v>119.395</v>
      </c>
      <c r="J3781">
        <v>-492.98349999999999</v>
      </c>
      <c r="K3781">
        <v>1.111157</v>
      </c>
      <c r="L3781">
        <v>250.87860000000001</v>
      </c>
      <c r="M3781">
        <v>-3.6733099999999998E-2</v>
      </c>
      <c r="N3781">
        <v>0</v>
      </c>
      <c r="O3781">
        <v>-0.99922770000000005</v>
      </c>
      <c r="P3781">
        <v>-3.5721250000000003E-2</v>
      </c>
      <c r="Q3781">
        <v>3.8281840000000001E-3</v>
      </c>
      <c r="R3781">
        <v>-0.99935479999999999</v>
      </c>
      <c r="S3781">
        <v>0.51519780000000004</v>
      </c>
      <c r="T3781">
        <v>3.1017659999999999E-2</v>
      </c>
      <c r="U3781">
        <v>-3.020966</v>
      </c>
      <c r="V3781">
        <v>-1.04441E-3</v>
      </c>
      <c r="W3781">
        <v>1.779445E-2</v>
      </c>
      <c r="X3781">
        <v>0.99984110000000004</v>
      </c>
      <c r="Y3781">
        <v>-0.20420540000000001</v>
      </c>
      <c r="Z3781">
        <v>-1.007562E-2</v>
      </c>
      <c r="AA3781">
        <v>0.97887619999999997</v>
      </c>
      <c r="AB3781">
        <v>17</v>
      </c>
      <c r="AC3781">
        <v>22.439899999999898</v>
      </c>
      <c r="AD3781">
        <v>1.350797</v>
      </c>
      <c r="AE3781">
        <v>-131.4836</v>
      </c>
      <c r="AF3781">
        <v>-27.252228141482</v>
      </c>
      <c r="AG3781">
        <v>1.350797</v>
      </c>
      <c r="AH3781">
        <v>130.55708903978899</v>
      </c>
      <c r="AI3781">
        <v>89.419721747068195</v>
      </c>
      <c r="AJ3781">
        <v>101.79050941156299</v>
      </c>
      <c r="AK3781">
        <v>133.377892057694</v>
      </c>
      <c r="AL3781">
        <v>88.980399282108394</v>
      </c>
      <c r="AM3781">
        <v>90.059849773445507</v>
      </c>
      <c r="AN3781">
        <v>0.99999997924613004</v>
      </c>
    </row>
    <row r="3782" spans="1:40" x14ac:dyDescent="0.25">
      <c r="A3782" t="str">
        <f>"20190312153956914"</f>
        <v>20190312153956914</v>
      </c>
      <c r="B3782" t="str">
        <f>"1552376396909261"</f>
        <v>1552376396909261</v>
      </c>
      <c r="C3782" t="s">
        <v>40</v>
      </c>
      <c r="D3782">
        <v>3.9487369999999999</v>
      </c>
      <c r="E3782">
        <v>0.42169060000000003</v>
      </c>
      <c r="F3782" t="s">
        <v>70</v>
      </c>
      <c r="G3782">
        <v>-470.44229999999999</v>
      </c>
      <c r="H3782">
        <v>2.4645549999999998</v>
      </c>
      <c r="I3782">
        <v>119.395</v>
      </c>
      <c r="J3782">
        <v>-492.98579999999998</v>
      </c>
      <c r="K3782">
        <v>1.1111819999999999</v>
      </c>
      <c r="L3782">
        <v>250.79490000000001</v>
      </c>
      <c r="M3782">
        <v>-3.6052260000000003E-2</v>
      </c>
      <c r="N3782">
        <v>0</v>
      </c>
      <c r="O3782">
        <v>-0.99925240000000004</v>
      </c>
      <c r="P3782">
        <v>-3.4521540000000003E-2</v>
      </c>
      <c r="Q3782">
        <v>3.9819390000000003E-3</v>
      </c>
      <c r="R3782">
        <v>-0.99939610000000001</v>
      </c>
      <c r="S3782">
        <v>0.51779169999999997</v>
      </c>
      <c r="T3782">
        <v>3.1089539999999999E-2</v>
      </c>
      <c r="U3782">
        <v>-3.0203090000000001</v>
      </c>
      <c r="V3782">
        <v>-1.5645520000000001E-3</v>
      </c>
      <c r="W3782">
        <v>1.794606E-2</v>
      </c>
      <c r="X3782">
        <v>0.9998378</v>
      </c>
      <c r="Y3782">
        <v>-0.2043904</v>
      </c>
      <c r="Z3782">
        <v>-1.010059E-2</v>
      </c>
      <c r="AA3782">
        <v>0.97883739999999997</v>
      </c>
      <c r="AB3782">
        <v>17</v>
      </c>
      <c r="AC3782">
        <v>22.543499999999899</v>
      </c>
      <c r="AD3782">
        <v>1.3533729999999999</v>
      </c>
      <c r="AE3782">
        <v>-131.3999</v>
      </c>
      <c r="AF3782">
        <v>-27.263757242997901</v>
      </c>
      <c r="AG3782">
        <v>1.3533729999999999</v>
      </c>
      <c r="AH3782">
        <v>130.48819096939499</v>
      </c>
      <c r="AI3782">
        <v>89.418331379640506</v>
      </c>
      <c r="AJ3782">
        <v>101.801411052842</v>
      </c>
      <c r="AK3782">
        <v>133.31283531583799</v>
      </c>
      <c r="AL3782">
        <v>88.971711372301499</v>
      </c>
      <c r="AM3782">
        <v>90.089656695578398</v>
      </c>
      <c r="AN3782">
        <v>1.00000006760066</v>
      </c>
    </row>
    <row r="3783" spans="1:40" x14ac:dyDescent="0.25">
      <c r="A3783" t="str">
        <f>"20190312153956926"</f>
        <v>20190312153956926</v>
      </c>
      <c r="B3783" t="str">
        <f>"1552376396919996"</f>
        <v>1552376396919996</v>
      </c>
      <c r="C3783" t="s">
        <v>40</v>
      </c>
      <c r="D3783">
        <v>3.9188879999999999</v>
      </c>
      <c r="E3783">
        <v>0.42197869999999998</v>
      </c>
      <c r="F3783" t="s">
        <v>70</v>
      </c>
      <c r="G3783">
        <v>-470.35180000000003</v>
      </c>
      <c r="H3783">
        <v>2.4254229999999999</v>
      </c>
      <c r="I3783">
        <v>119.395</v>
      </c>
      <c r="J3783">
        <v>-492.98820000000001</v>
      </c>
      <c r="K3783">
        <v>1.1112089999999999</v>
      </c>
      <c r="L3783">
        <v>250.70509999999999</v>
      </c>
      <c r="M3783">
        <v>-3.5280779999999998E-2</v>
      </c>
      <c r="N3783">
        <v>0</v>
      </c>
      <c r="O3783">
        <v>-0.9992799</v>
      </c>
      <c r="P3783">
        <v>-3.2993010000000003E-2</v>
      </c>
      <c r="Q3783">
        <v>4.0849140000000003E-3</v>
      </c>
      <c r="R3783">
        <v>-0.99944750000000004</v>
      </c>
      <c r="S3783">
        <v>0.52014159999999998</v>
      </c>
      <c r="T3783">
        <v>3.020275E-2</v>
      </c>
      <c r="U3783">
        <v>-3.0196529999999999</v>
      </c>
      <c r="V3783">
        <v>-2.3235489999999998E-3</v>
      </c>
      <c r="W3783">
        <v>1.8046179999999998E-2</v>
      </c>
      <c r="X3783">
        <v>0.99983449999999996</v>
      </c>
      <c r="Y3783">
        <v>-0.20441039999999999</v>
      </c>
      <c r="Z3783">
        <v>-9.8143559999999998E-3</v>
      </c>
      <c r="AA3783">
        <v>0.97883609999999999</v>
      </c>
      <c r="AB3783">
        <v>17</v>
      </c>
      <c r="AC3783">
        <v>22.636399999999899</v>
      </c>
      <c r="AD3783">
        <v>1.31421399999999</v>
      </c>
      <c r="AE3783">
        <v>-131.31009999999901</v>
      </c>
      <c r="AF3783">
        <v>-27.252827989582801</v>
      </c>
      <c r="AG3783">
        <v>1.31421399999999</v>
      </c>
      <c r="AH3783">
        <v>130.41694107993101</v>
      </c>
      <c r="AI3783">
        <v>89.434855358060503</v>
      </c>
      <c r="AJ3783">
        <v>101.803076938747</v>
      </c>
      <c r="AK3783">
        <v>133.24046799870399</v>
      </c>
      <c r="AL3783">
        <v>88.965973967195893</v>
      </c>
      <c r="AM3783">
        <v>90.133151348077902</v>
      </c>
      <c r="AN3783">
        <v>1.00000004544139</v>
      </c>
    </row>
    <row r="3784" spans="1:40" x14ac:dyDescent="0.25">
      <c r="A3784" t="str">
        <f>"20190312153956938"</f>
        <v>20190312153956938</v>
      </c>
      <c r="B3784" t="str">
        <f>"1552376396929758"</f>
        <v>1552376396929758</v>
      </c>
      <c r="C3784" t="s">
        <v>40</v>
      </c>
      <c r="D3784">
        <v>3.9564699999999999</v>
      </c>
      <c r="E3784">
        <v>0.4221683</v>
      </c>
      <c r="F3784" t="s">
        <v>70</v>
      </c>
      <c r="G3784">
        <v>-470.24349999999998</v>
      </c>
      <c r="H3784">
        <v>2.3692730000000002</v>
      </c>
      <c r="I3784">
        <v>119.395</v>
      </c>
      <c r="J3784">
        <v>-492.99040000000002</v>
      </c>
      <c r="K3784">
        <v>1.111237</v>
      </c>
      <c r="L3784">
        <v>250.61709999999999</v>
      </c>
      <c r="M3784">
        <v>-3.450744E-2</v>
      </c>
      <c r="N3784">
        <v>0</v>
      </c>
      <c r="O3784">
        <v>-0.99930719999999995</v>
      </c>
      <c r="P3784">
        <v>-3.1316299999999998E-2</v>
      </c>
      <c r="Q3784">
        <v>3.9619700000000004E-3</v>
      </c>
      <c r="R3784">
        <v>-0.99950220000000001</v>
      </c>
      <c r="S3784">
        <v>0.52288820000000003</v>
      </c>
      <c r="T3784">
        <v>2.8923029999999999E-2</v>
      </c>
      <c r="U3784">
        <v>-3.0187680000000001</v>
      </c>
      <c r="V3784">
        <v>-3.2284430000000001E-3</v>
      </c>
      <c r="W3784">
        <v>1.7920789999999999E-2</v>
      </c>
      <c r="X3784">
        <v>0.99983420000000001</v>
      </c>
      <c r="Y3784">
        <v>-0.20456630000000001</v>
      </c>
      <c r="Z3784">
        <v>-9.4007770000000008E-3</v>
      </c>
      <c r="AA3784">
        <v>0.9788076</v>
      </c>
      <c r="AB3784">
        <v>17</v>
      </c>
      <c r="AC3784">
        <v>22.7469</v>
      </c>
      <c r="AD3784">
        <v>1.2580359999999899</v>
      </c>
      <c r="AE3784">
        <v>-131.22210000000001</v>
      </c>
      <c r="AF3784">
        <v>-27.259496703118799</v>
      </c>
      <c r="AG3784">
        <v>1.2580359999999899</v>
      </c>
      <c r="AH3784">
        <v>130.34728973772999</v>
      </c>
      <c r="AI3784">
        <v>89.458740414897704</v>
      </c>
      <c r="AJ3784">
        <v>101.812015390075</v>
      </c>
      <c r="AK3784">
        <v>133.17311574434299</v>
      </c>
      <c r="AL3784">
        <v>88.973159402599805</v>
      </c>
      <c r="AM3784">
        <v>90.185006189456402</v>
      </c>
      <c r="AN3784">
        <v>1.0000000025240301</v>
      </c>
    </row>
    <row r="3785" spans="1:40" x14ac:dyDescent="0.25">
      <c r="A3785" t="str">
        <f>"20190312153956950"</f>
        <v>20190312153956950</v>
      </c>
      <c r="B3785" t="str">
        <f>"1552376396939517"</f>
        <v>1552376396939517</v>
      </c>
      <c r="C3785" t="s">
        <v>40</v>
      </c>
      <c r="D3785">
        <v>3.9176069999999998</v>
      </c>
      <c r="E3785">
        <v>0.42235129999999999</v>
      </c>
      <c r="F3785" t="s">
        <v>70</v>
      </c>
      <c r="G3785">
        <v>-470.09879999999998</v>
      </c>
      <c r="H3785">
        <v>2.2774640000000002</v>
      </c>
      <c r="I3785">
        <v>119.395</v>
      </c>
      <c r="J3785">
        <v>-492.99239999999998</v>
      </c>
      <c r="K3785">
        <v>1.1112679999999999</v>
      </c>
      <c r="L3785">
        <v>250.53270000000001</v>
      </c>
      <c r="M3785">
        <v>-3.3716080000000002E-2</v>
      </c>
      <c r="N3785">
        <v>0</v>
      </c>
      <c r="O3785">
        <v>-0.99933419999999895</v>
      </c>
      <c r="P3785">
        <v>-2.9680649999999999E-2</v>
      </c>
      <c r="Q3785">
        <v>3.4483090000000001E-3</v>
      </c>
      <c r="R3785">
        <v>-0.99955369999999999</v>
      </c>
      <c r="S3785">
        <v>0.52645869999999995</v>
      </c>
      <c r="T3785">
        <v>2.6821609999999999E-2</v>
      </c>
      <c r="U3785">
        <v>-3.0178530000000001</v>
      </c>
      <c r="V3785">
        <v>-4.0728170000000003E-3</v>
      </c>
      <c r="W3785">
        <v>1.740446E-2</v>
      </c>
      <c r="X3785">
        <v>0.99984030000000002</v>
      </c>
      <c r="Y3785">
        <v>-0.20496619999999999</v>
      </c>
      <c r="Z3785">
        <v>-8.7195290000000002E-3</v>
      </c>
      <c r="AA3785">
        <v>0.97873019999999999</v>
      </c>
      <c r="AB3785">
        <v>17</v>
      </c>
      <c r="AC3785">
        <v>22.8935999999999</v>
      </c>
      <c r="AD3785">
        <v>1.166196</v>
      </c>
      <c r="AE3785">
        <v>-131.1377</v>
      </c>
      <c r="AF3785">
        <v>-27.300365152365401</v>
      </c>
      <c r="AG3785">
        <v>1.166196</v>
      </c>
      <c r="AH3785">
        <v>130.28117143957101</v>
      </c>
      <c r="AI3785">
        <v>89.498039352389</v>
      </c>
      <c r="AJ3785">
        <v>101.835059910439</v>
      </c>
      <c r="AK3785">
        <v>133.11594037616101</v>
      </c>
      <c r="AL3785">
        <v>89.002747609929898</v>
      </c>
      <c r="AM3785">
        <v>90.233391206719205</v>
      </c>
      <c r="AN3785">
        <v>1.0000000642851401</v>
      </c>
    </row>
    <row r="3786" spans="1:40" x14ac:dyDescent="0.25">
      <c r="A3786" t="str">
        <f>"20190312153956960"</f>
        <v>20190312153956960</v>
      </c>
      <c r="B3786" t="str">
        <f>"1552376396949277"</f>
        <v>1552376396949277</v>
      </c>
      <c r="C3786" t="s">
        <v>40</v>
      </c>
      <c r="D3786">
        <v>3.955473</v>
      </c>
      <c r="E3786">
        <v>0.42258010000000001</v>
      </c>
      <c r="F3786" t="s">
        <v>70</v>
      </c>
      <c r="G3786">
        <v>-469.95909999999998</v>
      </c>
      <c r="H3786">
        <v>2.1811069999999999</v>
      </c>
      <c r="I3786">
        <v>119.395</v>
      </c>
      <c r="J3786">
        <v>-492.99430000000001</v>
      </c>
      <c r="K3786">
        <v>1.111299</v>
      </c>
      <c r="L3786">
        <v>250.45189999999999</v>
      </c>
      <c r="M3786">
        <v>-3.2939740000000002E-2</v>
      </c>
      <c r="N3786">
        <v>0</v>
      </c>
      <c r="O3786">
        <v>-0.99936009999999997</v>
      </c>
      <c r="P3786">
        <v>-2.8012059999999998E-2</v>
      </c>
      <c r="Q3786">
        <v>2.8264470000000002E-3</v>
      </c>
      <c r="R3786">
        <v>-0.99960389999999999</v>
      </c>
      <c r="S3786">
        <v>0.52990719999999902</v>
      </c>
      <c r="T3786">
        <v>2.4613739999999999E-2</v>
      </c>
      <c r="U3786">
        <v>-3.0169980000000001</v>
      </c>
      <c r="V3786">
        <v>-4.9653650000000002E-3</v>
      </c>
      <c r="W3786">
        <v>1.6779889999999999E-2</v>
      </c>
      <c r="X3786">
        <v>0.99984689999999998</v>
      </c>
      <c r="Y3786">
        <v>-0.2053393</v>
      </c>
      <c r="Z3786">
        <v>-8.0032599999999999E-3</v>
      </c>
      <c r="AA3786">
        <v>0.97865809999999998</v>
      </c>
      <c r="AB3786">
        <v>17</v>
      </c>
      <c r="AC3786">
        <v>23.0352</v>
      </c>
      <c r="AD3786">
        <v>1.0698080000000001</v>
      </c>
      <c r="AE3786">
        <v>-131.05689999999899</v>
      </c>
      <c r="AF3786">
        <v>-27.338330026520701</v>
      </c>
      <c r="AG3786">
        <v>1.0698080000000001</v>
      </c>
      <c r="AH3786">
        <v>130.21850264691901</v>
      </c>
      <c r="AI3786">
        <v>89.539340069147002</v>
      </c>
      <c r="AJ3786">
        <v>101.856595086166</v>
      </c>
      <c r="AK3786">
        <v>133.06159178892099</v>
      </c>
      <c r="AL3786">
        <v>89.038538020417107</v>
      </c>
      <c r="AM3786">
        <v>90.284535681917305</v>
      </c>
      <c r="AN3786">
        <v>1.0000000214988001</v>
      </c>
    </row>
    <row r="3787" spans="1:40" x14ac:dyDescent="0.25">
      <c r="A3787" t="str">
        <f>"20190312153956971"</f>
        <v>20190312153956971</v>
      </c>
      <c r="B3787" t="str">
        <f>"1552376396969773"</f>
        <v>1552376396969773</v>
      </c>
      <c r="C3787" t="s">
        <v>40</v>
      </c>
      <c r="D3787">
        <v>3.9895679999999998</v>
      </c>
      <c r="E3787">
        <v>0.42306880000000002</v>
      </c>
      <c r="F3787" t="s">
        <v>70</v>
      </c>
      <c r="G3787">
        <v>-469.83150000000001</v>
      </c>
      <c r="H3787">
        <v>2.046249</v>
      </c>
      <c r="I3787">
        <v>119.395</v>
      </c>
      <c r="J3787">
        <v>-492.99610000000001</v>
      </c>
      <c r="K3787">
        <v>1.1113280000000001</v>
      </c>
      <c r="L3787">
        <v>250.369</v>
      </c>
      <c r="M3787">
        <v>-3.210764E-2</v>
      </c>
      <c r="N3787">
        <v>0</v>
      </c>
      <c r="O3787">
        <v>-0.99938709999999997</v>
      </c>
      <c r="P3787">
        <v>-2.639797E-2</v>
      </c>
      <c r="Q3787">
        <v>2.873567E-3</v>
      </c>
      <c r="R3787">
        <v>-0.99964770000000003</v>
      </c>
      <c r="S3787">
        <v>0.53305049999999998</v>
      </c>
      <c r="T3787">
        <v>2.1517040000000001E-2</v>
      </c>
      <c r="U3787">
        <v>-3.0160680000000002</v>
      </c>
      <c r="V3787">
        <v>-5.7491590000000002E-3</v>
      </c>
      <c r="W3787">
        <v>1.682471E-2</v>
      </c>
      <c r="X3787">
        <v>0.99984189999999995</v>
      </c>
      <c r="Y3787">
        <v>-0.20556640000000001</v>
      </c>
      <c r="Z3787">
        <v>-6.9980279999999999E-3</v>
      </c>
      <c r="AA3787">
        <v>0.97861810000000005</v>
      </c>
      <c r="AB3787">
        <v>17</v>
      </c>
      <c r="AC3787">
        <v>23.1646</v>
      </c>
      <c r="AD3787">
        <v>0.934921</v>
      </c>
      <c r="AE3787">
        <v>-130.97399999999999</v>
      </c>
      <c r="AF3787">
        <v>-27.356977840298001</v>
      </c>
      <c r="AG3787">
        <v>0.934921</v>
      </c>
      <c r="AH3787">
        <v>130.156195041209</v>
      </c>
      <c r="AI3787">
        <v>89.597247476528594</v>
      </c>
      <c r="AJ3787">
        <v>101.869972067508</v>
      </c>
      <c r="AK3787">
        <v>133.00343387084399</v>
      </c>
      <c r="AL3787">
        <v>89.035969615601402</v>
      </c>
      <c r="AM3787">
        <v>90.329451002348605</v>
      </c>
      <c r="AN3787">
        <v>0.99999997434569998</v>
      </c>
    </row>
    <row r="3788" spans="1:40" x14ac:dyDescent="0.25">
      <c r="A3788" t="str">
        <f>"20190312153956984"</f>
        <v>20190312153956984</v>
      </c>
      <c r="B3788" t="str">
        <f>"1552376396979532"</f>
        <v>1552376396979532</v>
      </c>
      <c r="C3788" t="s">
        <v>40</v>
      </c>
      <c r="D3788">
        <v>3.9924689999999998</v>
      </c>
      <c r="E3788">
        <v>0.4233132</v>
      </c>
      <c r="F3788" t="s">
        <v>70</v>
      </c>
      <c r="G3788">
        <v>-469.80360000000002</v>
      </c>
      <c r="H3788">
        <v>1.9484440000000001</v>
      </c>
      <c r="I3788">
        <v>119.395</v>
      </c>
      <c r="J3788">
        <v>-492.99770000000001</v>
      </c>
      <c r="K3788">
        <v>1.111364</v>
      </c>
      <c r="L3788">
        <v>250.28659999999999</v>
      </c>
      <c r="M3788">
        <v>-3.1246659999999999E-2</v>
      </c>
      <c r="N3788">
        <v>0</v>
      </c>
      <c r="O3788">
        <v>-0.99941429999999998</v>
      </c>
      <c r="P3788">
        <v>-2.482709E-2</v>
      </c>
      <c r="Q3788">
        <v>2.510712E-3</v>
      </c>
      <c r="R3788">
        <v>-0.99968869999999999</v>
      </c>
      <c r="S3788">
        <v>0.53390499999999996</v>
      </c>
      <c r="T3788">
        <v>1.9271730000000001E-2</v>
      </c>
      <c r="U3788">
        <v>-3.0151210000000002</v>
      </c>
      <c r="V3788">
        <v>-6.4595719999999898E-3</v>
      </c>
      <c r="W3788">
        <v>1.6459029999999999E-2</v>
      </c>
      <c r="X3788">
        <v>0.9998437</v>
      </c>
      <c r="Y3788">
        <v>-0.2050457</v>
      </c>
      <c r="Z3788">
        <v>-6.2702039999999997E-3</v>
      </c>
      <c r="AA3788">
        <v>0.9787323</v>
      </c>
      <c r="AB3788">
        <v>17</v>
      </c>
      <c r="AC3788">
        <v>23.194099999999899</v>
      </c>
      <c r="AD3788">
        <v>0.83707999999999905</v>
      </c>
      <c r="AE3788">
        <v>-130.89159999999899</v>
      </c>
      <c r="AF3788">
        <v>-27.272014311392699</v>
      </c>
      <c r="AG3788">
        <v>0.83707999999999905</v>
      </c>
      <c r="AH3788">
        <v>130.09770612223801</v>
      </c>
      <c r="AI3788">
        <v>89.639192372423196</v>
      </c>
      <c r="AJ3788">
        <v>101.839318407576</v>
      </c>
      <c r="AK3788">
        <v>132.92808809952601</v>
      </c>
      <c r="AL3788">
        <v>89.056924486702201</v>
      </c>
      <c r="AM3788">
        <v>90.370158919726805</v>
      </c>
      <c r="AN3788">
        <v>1.00000002508432</v>
      </c>
    </row>
    <row r="3789" spans="1:40" x14ac:dyDescent="0.25">
      <c r="A3789" t="str">
        <f>"20190312153956997"</f>
        <v>20190312153956997</v>
      </c>
      <c r="B3789" t="str">
        <f>"1552376396989293"</f>
        <v>1552376396989293</v>
      </c>
      <c r="C3789" t="s">
        <v>40</v>
      </c>
      <c r="D3789">
        <v>4.0067709999999996</v>
      </c>
      <c r="E3789">
        <v>0.42355019999999999</v>
      </c>
      <c r="F3789" t="s">
        <v>70</v>
      </c>
      <c r="G3789">
        <v>-469.68560000000002</v>
      </c>
      <c r="H3789">
        <v>1.8846400000000001</v>
      </c>
      <c r="I3789">
        <v>119.395</v>
      </c>
      <c r="J3789">
        <v>-492.99959999999999</v>
      </c>
      <c r="K3789">
        <v>1.1114029999999999</v>
      </c>
      <c r="L3789">
        <v>250.19</v>
      </c>
      <c r="M3789">
        <v>-3.0207589999999999E-2</v>
      </c>
      <c r="N3789">
        <v>0</v>
      </c>
      <c r="O3789">
        <v>-0.99944619999999995</v>
      </c>
      <c r="P3789">
        <v>-2.2853269999999998E-2</v>
      </c>
      <c r="Q3789">
        <v>2.6182699999999998E-3</v>
      </c>
      <c r="R3789">
        <v>-0.99973540000000005</v>
      </c>
      <c r="S3789">
        <v>0.5368347</v>
      </c>
      <c r="T3789">
        <v>1.7807960000000001E-2</v>
      </c>
      <c r="U3789">
        <v>-3.014221</v>
      </c>
      <c r="V3789">
        <v>-7.3963950000000001E-3</v>
      </c>
      <c r="W3789">
        <v>1.6564389999999998E-2</v>
      </c>
      <c r="X3789">
        <v>0.99983540000000004</v>
      </c>
      <c r="Y3789">
        <v>-0.20500099999999999</v>
      </c>
      <c r="Z3789">
        <v>-5.7954959999999998E-3</v>
      </c>
      <c r="AA3789">
        <v>0.97874459999999996</v>
      </c>
      <c r="AB3789">
        <v>17</v>
      </c>
      <c r="AC3789">
        <v>23.313999999999901</v>
      </c>
      <c r="AD3789">
        <v>0.77323699999999995</v>
      </c>
      <c r="AE3789">
        <v>-130.79499999999999</v>
      </c>
      <c r="AF3789">
        <v>-27.253821931501001</v>
      </c>
      <c r="AG3789">
        <v>0.77323699999999995</v>
      </c>
      <c r="AH3789">
        <v>130.026566827572</v>
      </c>
      <c r="AI3789">
        <v>89.666526021091698</v>
      </c>
      <c r="AJ3789">
        <v>101.83793406585001</v>
      </c>
      <c r="AK3789">
        <v>132.85434425075201</v>
      </c>
      <c r="AL3789">
        <v>89.050886915232596</v>
      </c>
      <c r="AM3789">
        <v>90.423844251681501</v>
      </c>
      <c r="AN3789">
        <v>0.99999995638411299</v>
      </c>
    </row>
    <row r="3790" spans="1:40" x14ac:dyDescent="0.25">
      <c r="A3790" t="str">
        <f>"20190312153957011"</f>
        <v>20190312153957011</v>
      </c>
      <c r="B3790" t="str">
        <f>"1552376397000028"</f>
        <v>1552376397000028</v>
      </c>
      <c r="C3790" t="s">
        <v>40</v>
      </c>
      <c r="D3790">
        <v>4.0119170000000004</v>
      </c>
      <c r="E3790">
        <v>0.42372759999999998</v>
      </c>
      <c r="F3790" t="s">
        <v>70</v>
      </c>
      <c r="G3790">
        <v>-469.52519999999998</v>
      </c>
      <c r="H3790">
        <v>1.8937600000000001</v>
      </c>
      <c r="I3790">
        <v>119.395</v>
      </c>
      <c r="J3790">
        <v>-493.00139999999999</v>
      </c>
      <c r="K3790">
        <v>1.111451</v>
      </c>
      <c r="L3790">
        <v>250.08199999999999</v>
      </c>
      <c r="M3790">
        <v>-2.896203E-2</v>
      </c>
      <c r="N3790">
        <v>0</v>
      </c>
      <c r="O3790">
        <v>-0.99948289999999995</v>
      </c>
      <c r="P3790">
        <v>-1.9858359999999999E-2</v>
      </c>
      <c r="Q3790">
        <v>2.922624E-3</v>
      </c>
      <c r="R3790">
        <v>-0.99979839999999998</v>
      </c>
      <c r="S3790">
        <v>0.54077149999999996</v>
      </c>
      <c r="T3790">
        <v>1.8023730000000002E-2</v>
      </c>
      <c r="U3790">
        <v>-3.0131070000000002</v>
      </c>
      <c r="V3790">
        <v>-9.1479490000000007E-3</v>
      </c>
      <c r="W3790">
        <v>1.6863320000000001E-2</v>
      </c>
      <c r="X3790">
        <v>0.99981589999999998</v>
      </c>
      <c r="Y3790">
        <v>-0.20508280000000001</v>
      </c>
      <c r="Z3790">
        <v>-5.8674570000000004E-3</v>
      </c>
      <c r="AA3790">
        <v>0.97872700000000001</v>
      </c>
      <c r="AB3790">
        <v>17</v>
      </c>
      <c r="AC3790">
        <v>23.476199999999999</v>
      </c>
      <c r="AD3790">
        <v>0.78230899999999903</v>
      </c>
      <c r="AE3790">
        <v>-130.68700000000001</v>
      </c>
      <c r="AF3790">
        <v>-27.250734288894101</v>
      </c>
      <c r="AG3790">
        <v>0.78230899999999903</v>
      </c>
      <c r="AH3790">
        <v>129.94767202664599</v>
      </c>
      <c r="AI3790">
        <v>89.662415813497802</v>
      </c>
      <c r="AJ3790">
        <v>101.84361419233799</v>
      </c>
      <c r="AK3790">
        <v>132.77654910337199</v>
      </c>
      <c r="AL3790">
        <v>89.033757083456095</v>
      </c>
      <c r="AM3790">
        <v>90.524220752442503</v>
      </c>
      <c r="AN3790">
        <v>0.99999994521256697</v>
      </c>
    </row>
    <row r="3791" spans="1:40" x14ac:dyDescent="0.25">
      <c r="A3791" t="str">
        <f>"20190312153957023"</f>
        <v>20190312153957023</v>
      </c>
      <c r="B3791" t="str">
        <f>"1552376397019549"</f>
        <v>1552376397019549</v>
      </c>
      <c r="C3791" t="s">
        <v>40</v>
      </c>
      <c r="D3791">
        <v>4.013763</v>
      </c>
      <c r="E3791">
        <v>0.4241355</v>
      </c>
      <c r="F3791" t="s">
        <v>70</v>
      </c>
      <c r="G3791">
        <v>-469.17590000000001</v>
      </c>
      <c r="H3791">
        <v>1.933179</v>
      </c>
      <c r="I3791">
        <v>119.395</v>
      </c>
      <c r="J3791">
        <v>-493.0027</v>
      </c>
      <c r="K3791">
        <v>1.111494</v>
      </c>
      <c r="L3791">
        <v>249.99639999999999</v>
      </c>
      <c r="M3791">
        <v>-2.7933360000000001E-2</v>
      </c>
      <c r="N3791">
        <v>0</v>
      </c>
      <c r="O3791">
        <v>-0.99951250000000003</v>
      </c>
      <c r="P3791">
        <v>-1.7878120000000001E-2</v>
      </c>
      <c r="Q3791">
        <v>3.4748470000000001E-3</v>
      </c>
      <c r="R3791">
        <v>-0.99983440000000001</v>
      </c>
      <c r="S3791">
        <v>0.54901119999999903</v>
      </c>
      <c r="T3791">
        <v>1.8935919999999998E-2</v>
      </c>
      <c r="U3791">
        <v>-3.011444</v>
      </c>
      <c r="V3791">
        <v>-1.01023E-2</v>
      </c>
      <c r="W3791">
        <v>1.7412560000000001E-2</v>
      </c>
      <c r="X3791">
        <v>0.9997973</v>
      </c>
      <c r="Y3791">
        <v>-0.2067618</v>
      </c>
      <c r="Z3791">
        <v>-6.165434E-3</v>
      </c>
      <c r="AA3791">
        <v>0.97837189999999996</v>
      </c>
      <c r="AB3791">
        <v>17</v>
      </c>
      <c r="AC3791">
        <v>23.826799999999899</v>
      </c>
      <c r="AD3791">
        <v>0.821685</v>
      </c>
      <c r="AE3791">
        <v>-130.60140000000001</v>
      </c>
      <c r="AF3791">
        <v>-27.464939273294</v>
      </c>
      <c r="AG3791">
        <v>0.821685</v>
      </c>
      <c r="AH3791">
        <v>129.87982497688199</v>
      </c>
      <c r="AI3791">
        <v>89.645365164949794</v>
      </c>
      <c r="AJ3791">
        <v>101.94010702726899</v>
      </c>
      <c r="AK3791">
        <v>132.75453661382201</v>
      </c>
      <c r="AL3791">
        <v>89.002283327175206</v>
      </c>
      <c r="AM3791">
        <v>90.578916802286798</v>
      </c>
      <c r="AN3791">
        <v>0.99999994739916498</v>
      </c>
    </row>
    <row r="3792" spans="1:40" x14ac:dyDescent="0.25">
      <c r="A3792" t="str">
        <f>"20190312153957036"</f>
        <v>20190312153957036</v>
      </c>
      <c r="B3792" t="str">
        <f>"1552376397029310"</f>
        <v>1552376397029310</v>
      </c>
      <c r="C3792" t="s">
        <v>40</v>
      </c>
      <c r="D3792">
        <v>4.0273130000000004</v>
      </c>
      <c r="E3792">
        <v>0.42436269999999998</v>
      </c>
      <c r="F3792" t="s">
        <v>70</v>
      </c>
      <c r="G3792">
        <v>-469.0831</v>
      </c>
      <c r="H3792">
        <v>1.969984</v>
      </c>
      <c r="I3792">
        <v>119.395</v>
      </c>
      <c r="J3792">
        <v>-493.00400000000002</v>
      </c>
      <c r="K3792">
        <v>1.1115429999999999</v>
      </c>
      <c r="L3792">
        <v>249.90299999999999</v>
      </c>
      <c r="M3792">
        <v>-2.677117E-2</v>
      </c>
      <c r="N3792">
        <v>0</v>
      </c>
      <c r="O3792">
        <v>-0.99954399999999999</v>
      </c>
      <c r="P3792">
        <v>-1.6164419999999999E-2</v>
      </c>
      <c r="Q3792">
        <v>3.8031079999999999E-3</v>
      </c>
      <c r="R3792">
        <v>-0.99986209999999998</v>
      </c>
      <c r="S3792">
        <v>0.5513306</v>
      </c>
      <c r="T3792">
        <v>1.9788380000000001E-2</v>
      </c>
      <c r="U3792">
        <v>-3.0103</v>
      </c>
      <c r="V3792">
        <v>-1.0656209999999999E-2</v>
      </c>
      <c r="W3792">
        <v>1.7738670000000002E-2</v>
      </c>
      <c r="X3792">
        <v>0.99978579999999995</v>
      </c>
      <c r="Y3792">
        <v>-0.20641899999999999</v>
      </c>
      <c r="Z3792">
        <v>-6.4454940000000004E-3</v>
      </c>
      <c r="AA3792">
        <v>0.97844249999999999</v>
      </c>
      <c r="AB3792">
        <v>16</v>
      </c>
      <c r="AC3792">
        <v>23.9209</v>
      </c>
      <c r="AD3792">
        <v>0.85844100000000001</v>
      </c>
      <c r="AE3792">
        <v>-130.50799999999899</v>
      </c>
      <c r="AF3792">
        <v>-27.405370332093501</v>
      </c>
      <c r="AG3792">
        <v>0.85844100000000001</v>
      </c>
      <c r="AH3792">
        <v>129.81532824904099</v>
      </c>
      <c r="AI3792">
        <v>89.629291307630496</v>
      </c>
      <c r="AJ3792">
        <v>101.920701418836</v>
      </c>
      <c r="AK3792">
        <v>132.679352924244</v>
      </c>
      <c r="AL3792">
        <v>88.983595695782199</v>
      </c>
      <c r="AM3792">
        <v>90.6106635438898</v>
      </c>
      <c r="AN3792">
        <v>0.99999993055328396</v>
      </c>
    </row>
    <row r="3793" spans="1:40" x14ac:dyDescent="0.25">
      <c r="A3793" t="str">
        <f>"20190312153957049"</f>
        <v>20190312153957049</v>
      </c>
      <c r="B3793" t="str">
        <f>"1552376397040045"</f>
        <v>1552376397040045</v>
      </c>
      <c r="C3793" t="s">
        <v>40</v>
      </c>
      <c r="D3793">
        <v>4.0280389999999997</v>
      </c>
      <c r="E3793">
        <v>0.42450959999999899</v>
      </c>
      <c r="F3793" t="s">
        <v>70</v>
      </c>
      <c r="G3793">
        <v>-468.95089999999999</v>
      </c>
      <c r="H3793">
        <v>2.0153089999999998</v>
      </c>
      <c r="I3793">
        <v>119.395</v>
      </c>
      <c r="J3793">
        <v>-493.0052</v>
      </c>
      <c r="K3793">
        <v>1.1115999999999999</v>
      </c>
      <c r="L3793">
        <v>249.8074</v>
      </c>
      <c r="M3793">
        <v>-2.5501059999999999E-2</v>
      </c>
      <c r="N3793">
        <v>0</v>
      </c>
      <c r="O3793">
        <v>-0.99957750000000001</v>
      </c>
      <c r="P3793">
        <v>-1.419233E-2</v>
      </c>
      <c r="Q3793">
        <v>4.3804830000000001E-3</v>
      </c>
      <c r="R3793">
        <v>-0.99988999999999995</v>
      </c>
      <c r="S3793">
        <v>0.55462650000000002</v>
      </c>
      <c r="T3793">
        <v>2.0840170000000002E-2</v>
      </c>
      <c r="U3793">
        <v>-3.0093230000000002</v>
      </c>
      <c r="V3793">
        <v>-1.1361660000000001E-2</v>
      </c>
      <c r="W3793">
        <v>1.8313159999999998E-2</v>
      </c>
      <c r="X3793">
        <v>0.99976770000000004</v>
      </c>
      <c r="Y3793">
        <v>-0.20626810000000001</v>
      </c>
      <c r="Z3793">
        <v>-6.7900180000000001E-3</v>
      </c>
      <c r="AA3793">
        <v>0.97847189999999995</v>
      </c>
      <c r="AB3793">
        <v>16</v>
      </c>
      <c r="AC3793">
        <v>24.054300000000001</v>
      </c>
      <c r="AD3793">
        <v>0.90370899999999998</v>
      </c>
      <c r="AE3793">
        <v>-130.41239999999999</v>
      </c>
      <c r="AF3793">
        <v>-27.371182723156199</v>
      </c>
      <c r="AG3793">
        <v>0.90370899999999998</v>
      </c>
      <c r="AH3793">
        <v>129.750485596185</v>
      </c>
      <c r="AI3793">
        <v>89.609535902071798</v>
      </c>
      <c r="AJ3793">
        <v>101.91203546898301</v>
      </c>
      <c r="AK3793">
        <v>132.60915068752499</v>
      </c>
      <c r="AL3793">
        <v>88.950674518919996</v>
      </c>
      <c r="AM3793">
        <v>90.651098394693193</v>
      </c>
      <c r="AN3793">
        <v>0.99999995655521401</v>
      </c>
    </row>
    <row r="3794" spans="1:40" x14ac:dyDescent="0.25">
      <c r="A3794" t="str">
        <f>"20190312153957064"</f>
        <v>20190312153957064</v>
      </c>
      <c r="B3794" t="str">
        <f>"1552376397049805"</f>
        <v>1552376397049805</v>
      </c>
      <c r="C3794" t="s">
        <v>40</v>
      </c>
      <c r="D3794">
        <v>4.0450480000000004</v>
      </c>
      <c r="E3794">
        <v>0.42479319999999998</v>
      </c>
      <c r="F3794" t="s">
        <v>70</v>
      </c>
      <c r="G3794">
        <v>-468.75799999999998</v>
      </c>
      <c r="H3794">
        <v>2.0784639999999999</v>
      </c>
      <c r="I3794">
        <v>119.395</v>
      </c>
      <c r="J3794">
        <v>-493.00619999999998</v>
      </c>
      <c r="K3794">
        <v>1.1116569999999999</v>
      </c>
      <c r="L3794">
        <v>249.7013</v>
      </c>
      <c r="M3794">
        <v>-2.4040800000000001E-2</v>
      </c>
      <c r="N3794">
        <v>0</v>
      </c>
      <c r="O3794">
        <v>-0.99961359999999999</v>
      </c>
      <c r="P3794">
        <v>-1.2320040000000001E-2</v>
      </c>
      <c r="Q3794">
        <v>5.0161989999999998E-3</v>
      </c>
      <c r="R3794">
        <v>-0.99991169999999996</v>
      </c>
      <c r="S3794">
        <v>0.55929569999999995</v>
      </c>
      <c r="T3794">
        <v>2.2302869999999999E-2</v>
      </c>
      <c r="U3794">
        <v>-3.0081630000000001</v>
      </c>
      <c r="V3794">
        <v>-1.177722E-2</v>
      </c>
      <c r="W3794">
        <v>1.8947249999999999E-2</v>
      </c>
      <c r="X3794">
        <v>0.9997511</v>
      </c>
      <c r="Y3794">
        <v>-0.20637369999999999</v>
      </c>
      <c r="Z3794">
        <v>-7.2686139999999996E-3</v>
      </c>
      <c r="AA3794">
        <v>0.97844620000000004</v>
      </c>
      <c r="AB3794">
        <v>16</v>
      </c>
      <c r="AC3794">
        <v>24.248199999999901</v>
      </c>
      <c r="AD3794">
        <v>0.96680699999999997</v>
      </c>
      <c r="AE3794">
        <v>-130.30629999999999</v>
      </c>
      <c r="AF3794">
        <v>-27.372706663555601</v>
      </c>
      <c r="AG3794">
        <v>0.96680699999999997</v>
      </c>
      <c r="AH3794">
        <v>129.67872867389801</v>
      </c>
      <c r="AI3794">
        <v>89.582053895084698</v>
      </c>
      <c r="AJ3794">
        <v>101.919083066196</v>
      </c>
      <c r="AK3794">
        <v>132.539701434487</v>
      </c>
      <c r="AL3794">
        <v>88.914337556512606</v>
      </c>
      <c r="AM3794">
        <v>90.674921777275202</v>
      </c>
      <c r="AN3794">
        <v>0.99999998157235004</v>
      </c>
    </row>
    <row r="3795" spans="1:40" x14ac:dyDescent="0.25">
      <c r="A3795" t="str">
        <f>"20190312153957081"</f>
        <v>20190312153957081</v>
      </c>
      <c r="B3795" t="str">
        <f>"1552376397069324"</f>
        <v>1552376397069324</v>
      </c>
      <c r="C3795" t="s">
        <v>40</v>
      </c>
      <c r="D3795">
        <v>4.0519420000000004</v>
      </c>
      <c r="E3795">
        <v>0.42512559999999999</v>
      </c>
      <c r="F3795" t="s">
        <v>70</v>
      </c>
      <c r="G3795">
        <v>-468.62209999999999</v>
      </c>
      <c r="H3795">
        <v>2.1497869999999999</v>
      </c>
      <c r="I3795">
        <v>119.395</v>
      </c>
      <c r="J3795">
        <v>-493.00709999999998</v>
      </c>
      <c r="K3795">
        <v>1.1117269999999999</v>
      </c>
      <c r="L3795">
        <v>249.57679999999999</v>
      </c>
      <c r="M3795">
        <v>-2.2237409999999999E-2</v>
      </c>
      <c r="N3795">
        <v>0</v>
      </c>
      <c r="O3795">
        <v>-0.99965519999999997</v>
      </c>
      <c r="P3795">
        <v>-9.6910060000000003E-3</v>
      </c>
      <c r="Q3795">
        <v>6.2509039999999998E-3</v>
      </c>
      <c r="R3795">
        <v>-0.99993379999999998</v>
      </c>
      <c r="S3795">
        <v>0.56271359999999904</v>
      </c>
      <c r="T3795">
        <v>2.3957849999999999E-2</v>
      </c>
      <c r="U3795">
        <v>-3.0071110000000001</v>
      </c>
      <c r="V3795">
        <v>-1.260879E-2</v>
      </c>
      <c r="W3795">
        <v>2.0179160000000002E-2</v>
      </c>
      <c r="X3795">
        <v>0.99971690000000002</v>
      </c>
      <c r="Y3795">
        <v>-0.20574400000000001</v>
      </c>
      <c r="Z3795">
        <v>-7.8108489999999999E-3</v>
      </c>
      <c r="AA3795">
        <v>0.97857470000000002</v>
      </c>
      <c r="AB3795">
        <v>16</v>
      </c>
      <c r="AC3795">
        <v>24.384999999999899</v>
      </c>
      <c r="AD3795">
        <v>1.03805999999999</v>
      </c>
      <c r="AE3795">
        <v>-130.18180000000001</v>
      </c>
      <c r="AF3795">
        <v>-27.272481884168599</v>
      </c>
      <c r="AG3795">
        <v>1.03805999999999</v>
      </c>
      <c r="AH3795">
        <v>129.59932897030501</v>
      </c>
      <c r="AI3795">
        <v>89.550919502950194</v>
      </c>
      <c r="AJ3795">
        <v>101.883752593219</v>
      </c>
      <c r="AK3795">
        <v>132.44188123942999</v>
      </c>
      <c r="AL3795">
        <v>88.843740852483293</v>
      </c>
      <c r="AM3795">
        <v>90.722596716487502</v>
      </c>
      <c r="AN3795">
        <v>1.0000000301145799</v>
      </c>
    </row>
    <row r="3796" spans="1:40" x14ac:dyDescent="0.25">
      <c r="A3796" t="str">
        <f>"20190312153957093"</f>
        <v>20190312153957093</v>
      </c>
      <c r="B3796" t="str">
        <f>"1552376397079085"</f>
        <v>1552376397079085</v>
      </c>
      <c r="C3796" t="s">
        <v>40</v>
      </c>
      <c r="D3796">
        <v>4.0675999999999997</v>
      </c>
      <c r="E3796">
        <v>0.42522900000000002</v>
      </c>
      <c r="F3796" t="s">
        <v>70</v>
      </c>
      <c r="G3796">
        <v>-468.41649999999998</v>
      </c>
      <c r="H3796">
        <v>2.322003</v>
      </c>
      <c r="I3796">
        <v>119.395</v>
      </c>
      <c r="J3796">
        <v>-493.00760000000002</v>
      </c>
      <c r="K3796">
        <v>1.111777</v>
      </c>
      <c r="L3796">
        <v>249.48009999999999</v>
      </c>
      <c r="M3796">
        <v>-2.0768740000000001E-2</v>
      </c>
      <c r="N3796">
        <v>0</v>
      </c>
      <c r="O3796">
        <v>-0.99968679999999999</v>
      </c>
      <c r="P3796">
        <v>-7.8773019999999992E-3</v>
      </c>
      <c r="Q3796">
        <v>6.6742080000000001E-3</v>
      </c>
      <c r="R3796">
        <v>-0.99994700000000003</v>
      </c>
      <c r="S3796">
        <v>0.56771850000000001</v>
      </c>
      <c r="T3796">
        <v>2.79423E-2</v>
      </c>
      <c r="U3796">
        <v>-3.0055079999999998</v>
      </c>
      <c r="V3796">
        <v>-1.2957150000000001E-2</v>
      </c>
      <c r="W3796">
        <v>2.060155E-2</v>
      </c>
      <c r="X3796">
        <v>0.99970380000000003</v>
      </c>
      <c r="Y3796">
        <v>-0.2059725</v>
      </c>
      <c r="Z3796">
        <v>-9.1133740000000005E-3</v>
      </c>
      <c r="AA3796">
        <v>0.97851529999999998</v>
      </c>
      <c r="AB3796">
        <v>16</v>
      </c>
      <c r="AC3796">
        <v>24.591100000000001</v>
      </c>
      <c r="AD3796">
        <v>1.210226</v>
      </c>
      <c r="AE3796">
        <v>-130.08510000000001</v>
      </c>
      <c r="AF3796">
        <v>-27.285481711195398</v>
      </c>
      <c r="AG3796">
        <v>1.210226</v>
      </c>
      <c r="AH3796">
        <v>129.535435314853</v>
      </c>
      <c r="AI3796">
        <v>89.476205057636804</v>
      </c>
      <c r="AJ3796">
        <v>101.894953365917</v>
      </c>
      <c r="AK3796">
        <v>132.38350033667899</v>
      </c>
      <c r="AL3796">
        <v>88.819534620188804</v>
      </c>
      <c r="AM3796">
        <v>90.742568391782896</v>
      </c>
      <c r="AN3796">
        <v>0.99999999966648201</v>
      </c>
    </row>
    <row r="3797" spans="1:40" x14ac:dyDescent="0.25">
      <c r="A3797" t="str">
        <f>"20190312153957108"</f>
        <v>20190312153957108</v>
      </c>
      <c r="B3797" t="str">
        <f>"1552376397099581"</f>
        <v>1552376397099581</v>
      </c>
      <c r="C3797" t="s">
        <v>40</v>
      </c>
      <c r="D3797">
        <v>4.0619059999999996</v>
      </c>
      <c r="E3797">
        <v>0.42553920000000001</v>
      </c>
      <c r="F3797" t="s">
        <v>70</v>
      </c>
      <c r="G3797">
        <v>-468.22190000000001</v>
      </c>
      <c r="H3797">
        <v>2.394822</v>
      </c>
      <c r="I3797">
        <v>119.395</v>
      </c>
      <c r="J3797">
        <v>-493.00779999999997</v>
      </c>
      <c r="K3797">
        <v>1.1118220000000001</v>
      </c>
      <c r="L3797">
        <v>249.38040000000001</v>
      </c>
      <c r="M3797">
        <v>-1.9191509999999998E-2</v>
      </c>
      <c r="N3797">
        <v>0</v>
      </c>
      <c r="O3797">
        <v>-0.99971840000000001</v>
      </c>
      <c r="P3797">
        <v>-6.0318580000000002E-3</v>
      </c>
      <c r="Q3797">
        <v>6.930154E-3</v>
      </c>
      <c r="R3797">
        <v>-0.99995809999999996</v>
      </c>
      <c r="S3797">
        <v>0.57244869999999903</v>
      </c>
      <c r="T3797">
        <v>2.9634000000000001E-2</v>
      </c>
      <c r="U3797">
        <v>-3.0044559999999998</v>
      </c>
      <c r="V3797">
        <v>-1.3227839999999999E-2</v>
      </c>
      <c r="W3797">
        <v>2.0856599999999999E-2</v>
      </c>
      <c r="X3797">
        <v>0.99969490000000005</v>
      </c>
      <c r="Y3797">
        <v>-0.2059772</v>
      </c>
      <c r="Z3797">
        <v>-9.6674489999999998E-3</v>
      </c>
      <c r="AA3797">
        <v>0.97850910000000002</v>
      </c>
      <c r="AB3797">
        <v>16</v>
      </c>
      <c r="AC3797">
        <v>24.785899999999899</v>
      </c>
      <c r="AD3797">
        <v>1.2829999999999999</v>
      </c>
      <c r="AE3797">
        <v>-129.9854</v>
      </c>
      <c r="AF3797">
        <v>-27.273629442333601</v>
      </c>
      <c r="AG3797">
        <v>1.2829999999999999</v>
      </c>
      <c r="AH3797">
        <v>129.47355898089199</v>
      </c>
      <c r="AI3797">
        <v>89.444445499712998</v>
      </c>
      <c r="AJ3797">
        <v>101.895453969218</v>
      </c>
      <c r="AK3797">
        <v>132.32119795080601</v>
      </c>
      <c r="AL3797">
        <v>88.804918111617496</v>
      </c>
      <c r="AM3797">
        <v>90.758086469243494</v>
      </c>
      <c r="AN3797">
        <v>0.999999933300315</v>
      </c>
    </row>
    <row r="3798" spans="1:40" x14ac:dyDescent="0.25">
      <c r="A3798" t="str">
        <f>"20190312153957121"</f>
        <v>20190312153957121</v>
      </c>
      <c r="B3798" t="str">
        <f>"1552376397109341"</f>
        <v>1552376397109341</v>
      </c>
      <c r="C3798" t="s">
        <v>40</v>
      </c>
      <c r="D3798">
        <v>4.0384370000000001</v>
      </c>
      <c r="E3798">
        <v>0.42564869999999999</v>
      </c>
      <c r="F3798" t="s">
        <v>70</v>
      </c>
      <c r="G3798">
        <v>-468.07769999999999</v>
      </c>
      <c r="H3798">
        <v>2.4310659999999999</v>
      </c>
      <c r="I3798">
        <v>119.395</v>
      </c>
      <c r="J3798">
        <v>-493.00790000000001</v>
      </c>
      <c r="K3798">
        <v>1.1118589999999999</v>
      </c>
      <c r="L3798">
        <v>249.28870000000001</v>
      </c>
      <c r="M3798">
        <v>-1.7702969999999998E-2</v>
      </c>
      <c r="N3798">
        <v>0</v>
      </c>
      <c r="O3798">
        <v>-0.99974580000000002</v>
      </c>
      <c r="P3798">
        <v>-4.1478679999999999E-3</v>
      </c>
      <c r="Q3798">
        <v>7.1265620000000003E-3</v>
      </c>
      <c r="R3798">
        <v>-0.99996640000000003</v>
      </c>
      <c r="S3798">
        <v>0.57601930000000001</v>
      </c>
      <c r="T3798">
        <v>3.0482530000000001E-2</v>
      </c>
      <c r="U3798">
        <v>-3.003387</v>
      </c>
      <c r="V3798">
        <v>-1.362582E-2</v>
      </c>
      <c r="W3798">
        <v>2.1052060000000001E-2</v>
      </c>
      <c r="X3798">
        <v>0.9996855</v>
      </c>
      <c r="Y3798">
        <v>-0.2057059</v>
      </c>
      <c r="Z3798">
        <v>-9.9473129999999993E-3</v>
      </c>
      <c r="AA3798">
        <v>0.97856330000000002</v>
      </c>
      <c r="AB3798">
        <v>16</v>
      </c>
      <c r="AC3798">
        <v>24.930199999999999</v>
      </c>
      <c r="AD3798">
        <v>1.319207</v>
      </c>
      <c r="AE3798">
        <v>-129.8937</v>
      </c>
      <c r="AF3798">
        <v>-27.223312671587902</v>
      </c>
      <c r="AG3798">
        <v>1.319207</v>
      </c>
      <c r="AH3798">
        <v>129.41908407962899</v>
      </c>
      <c r="AI3798">
        <v>89.428493459743294</v>
      </c>
      <c r="AJ3798">
        <v>101.87898781762701</v>
      </c>
      <c r="AK3798">
        <v>132.25788590452299</v>
      </c>
      <c r="AL3798">
        <v>88.793716669300096</v>
      </c>
      <c r="AM3798">
        <v>90.780899230380001</v>
      </c>
      <c r="AN3798">
        <v>0.99999997555558195</v>
      </c>
    </row>
    <row r="3799" spans="1:40" x14ac:dyDescent="0.25">
      <c r="A3799" t="str">
        <f>"20190312153957134"</f>
        <v>20190312153957134</v>
      </c>
      <c r="B3799" t="str">
        <f>"1552376397129836"</f>
        <v>1552376397129836</v>
      </c>
      <c r="C3799" t="s">
        <v>40</v>
      </c>
      <c r="D3799">
        <v>4.0739519999999896</v>
      </c>
      <c r="E3799">
        <v>0.42595230000000001</v>
      </c>
      <c r="F3799" t="s">
        <v>70</v>
      </c>
      <c r="G3799">
        <v>-467.89370000000002</v>
      </c>
      <c r="H3799">
        <v>2.466148</v>
      </c>
      <c r="I3799">
        <v>119.395</v>
      </c>
      <c r="J3799">
        <v>-493.0077</v>
      </c>
      <c r="K3799">
        <v>1.1118980000000001</v>
      </c>
      <c r="L3799">
        <v>249.18520000000001</v>
      </c>
      <c r="M3799">
        <v>-1.5956120000000001E-2</v>
      </c>
      <c r="N3799">
        <v>0</v>
      </c>
      <c r="O3799">
        <v>-0.99977519999999998</v>
      </c>
      <c r="P3799">
        <v>-1.5588119999999999E-3</v>
      </c>
      <c r="Q3799">
        <v>7.1733430000000004E-3</v>
      </c>
      <c r="R3799">
        <v>-0.99997349999999996</v>
      </c>
      <c r="S3799">
        <v>0.58047490000000002</v>
      </c>
      <c r="T3799">
        <v>3.1303049999999999E-2</v>
      </c>
      <c r="U3799">
        <v>-3.0023040000000001</v>
      </c>
      <c r="V3799">
        <v>-1.4469539999999999E-2</v>
      </c>
      <c r="W3799">
        <v>2.1095920000000001E-2</v>
      </c>
      <c r="X3799">
        <v>0.99967280000000003</v>
      </c>
      <c r="Y3799">
        <v>-0.20546110000000001</v>
      </c>
      <c r="Z3799">
        <v>-1.021796E-2</v>
      </c>
      <c r="AA3799">
        <v>0.97861189999999998</v>
      </c>
      <c r="AB3799">
        <v>16</v>
      </c>
      <c r="AC3799">
        <v>25.113999999999901</v>
      </c>
      <c r="AD3799">
        <v>1.35425</v>
      </c>
      <c r="AE3799">
        <v>-129.7902</v>
      </c>
      <c r="AF3799">
        <v>-27.179099855386799</v>
      </c>
      <c r="AG3799">
        <v>1.35425</v>
      </c>
      <c r="AH3799">
        <v>129.35933725199399</v>
      </c>
      <c r="AI3799">
        <v>89.413013327663606</v>
      </c>
      <c r="AJ3799">
        <v>101.86556483688101</v>
      </c>
      <c r="AK3799">
        <v>132.19067893118199</v>
      </c>
      <c r="AL3799">
        <v>88.791203215687204</v>
      </c>
      <c r="AM3799">
        <v>90.829257017502997</v>
      </c>
      <c r="AN3799">
        <v>1.00000005624414</v>
      </c>
    </row>
    <row r="3800" spans="1:40" x14ac:dyDescent="0.25">
      <c r="A3800" t="str">
        <f>"20190312153957146"</f>
        <v>20190312153957146</v>
      </c>
      <c r="B3800" t="str">
        <f>"1552376397139597"</f>
        <v>1552376397139597</v>
      </c>
      <c r="C3800" t="s">
        <v>40</v>
      </c>
      <c r="D3800">
        <v>4.0739219999999996</v>
      </c>
      <c r="E3800">
        <v>0.42609839999999999</v>
      </c>
      <c r="F3800" t="s">
        <v>70</v>
      </c>
      <c r="G3800">
        <v>-467.66460000000001</v>
      </c>
      <c r="H3800">
        <v>2.4228209999999999</v>
      </c>
      <c r="I3800">
        <v>119.395</v>
      </c>
      <c r="J3800">
        <v>-493.00729999999999</v>
      </c>
      <c r="K3800">
        <v>1.1119270000000001</v>
      </c>
      <c r="L3800">
        <v>249.10390000000001</v>
      </c>
      <c r="M3800">
        <v>-1.453287E-2</v>
      </c>
      <c r="N3800">
        <v>0</v>
      </c>
      <c r="O3800">
        <v>-0.99979689999999999</v>
      </c>
      <c r="P3800">
        <v>4.3495669999999998E-4</v>
      </c>
      <c r="Q3800">
        <v>7.0162439999999996E-3</v>
      </c>
      <c r="R3800">
        <v>-0.99997570000000002</v>
      </c>
      <c r="S3800">
        <v>0.5859375</v>
      </c>
      <c r="T3800">
        <v>3.0309679999999999E-2</v>
      </c>
      <c r="U3800">
        <v>-3.0007929999999998</v>
      </c>
      <c r="V3800">
        <v>-1.504017E-2</v>
      </c>
      <c r="W3800">
        <v>2.0937170000000001E-2</v>
      </c>
      <c r="X3800">
        <v>0.99966759999999999</v>
      </c>
      <c r="Y3800">
        <v>-0.2058769</v>
      </c>
      <c r="Z3800">
        <v>-9.8968140000000003E-3</v>
      </c>
      <c r="AA3800">
        <v>0.97852779999999995</v>
      </c>
      <c r="AB3800">
        <v>16</v>
      </c>
      <c r="AC3800">
        <v>25.342699999999901</v>
      </c>
      <c r="AD3800">
        <v>1.31089399999999</v>
      </c>
      <c r="AE3800">
        <v>-129.7089</v>
      </c>
      <c r="AF3800">
        <v>-27.2225711783747</v>
      </c>
      <c r="AG3800">
        <v>1.31089399999999</v>
      </c>
      <c r="AH3800">
        <v>129.31413852288699</v>
      </c>
      <c r="AI3800">
        <v>89.431652616042797</v>
      </c>
      <c r="AJ3800">
        <v>101.888039458994</v>
      </c>
      <c r="AK3800">
        <v>132.154959220444</v>
      </c>
      <c r="AL3800">
        <v>88.800300791508704</v>
      </c>
      <c r="AM3800">
        <v>90.861959768203604</v>
      </c>
      <c r="AN3800">
        <v>0.99999994114549695</v>
      </c>
    </row>
    <row r="3801" spans="1:40" x14ac:dyDescent="0.25">
      <c r="A3801" t="str">
        <f>"20190312153957159"</f>
        <v>20190312153957159</v>
      </c>
      <c r="B3801" t="str">
        <f>"1552376397149357"</f>
        <v>1552376397149357</v>
      </c>
      <c r="C3801" t="s">
        <v>40</v>
      </c>
      <c r="D3801">
        <v>4.0801860000000003</v>
      </c>
      <c r="E3801">
        <v>0.42630679999999999</v>
      </c>
      <c r="F3801" t="s">
        <v>70</v>
      </c>
      <c r="G3801">
        <v>-467.4563</v>
      </c>
      <c r="H3801">
        <v>2.3620480000000001</v>
      </c>
      <c r="I3801">
        <v>119.395</v>
      </c>
      <c r="J3801">
        <v>-493.0068</v>
      </c>
      <c r="K3801">
        <v>1.1119540000000001</v>
      </c>
      <c r="L3801">
        <v>249.01490000000001</v>
      </c>
      <c r="M3801">
        <v>-1.2953549999999999E-2</v>
      </c>
      <c r="N3801">
        <v>0</v>
      </c>
      <c r="O3801">
        <v>-0.99981850000000005</v>
      </c>
      <c r="P3801">
        <v>2.4565519999999999E-3</v>
      </c>
      <c r="Q3801">
        <v>6.7827819999999898E-3</v>
      </c>
      <c r="R3801">
        <v>-0.99997429999999998</v>
      </c>
      <c r="S3801">
        <v>0.59088130000000005</v>
      </c>
      <c r="T3801">
        <v>2.8910519999999999E-2</v>
      </c>
      <c r="U3801">
        <v>-2.999603</v>
      </c>
      <c r="V3801">
        <v>-1.548308E-2</v>
      </c>
      <c r="W3801">
        <v>2.0702620000000001E-2</v>
      </c>
      <c r="X3801">
        <v>0.99966580000000005</v>
      </c>
      <c r="Y3801">
        <v>-0.20595810000000001</v>
      </c>
      <c r="Z3801">
        <v>-9.4424220000000007E-3</v>
      </c>
      <c r="AA3801">
        <v>0.97851529999999998</v>
      </c>
      <c r="AB3801">
        <v>16</v>
      </c>
      <c r="AC3801">
        <v>25.5505</v>
      </c>
      <c r="AD3801">
        <v>1.250094</v>
      </c>
      <c r="AE3801">
        <v>-129.6199</v>
      </c>
      <c r="AF3801">
        <v>-27.2251200393533</v>
      </c>
      <c r="AG3801">
        <v>1.250094</v>
      </c>
      <c r="AH3801">
        <v>129.266446979823</v>
      </c>
      <c r="AI3801">
        <v>89.457821972172397</v>
      </c>
      <c r="AJ3801">
        <v>101.893382336456</v>
      </c>
      <c r="AK3801">
        <v>132.10822915682999</v>
      </c>
      <c r="AL3801">
        <v>88.813742522133097</v>
      </c>
      <c r="AM3801">
        <v>90.887340761830004</v>
      </c>
      <c r="AN3801">
        <v>1.0000000179653901</v>
      </c>
    </row>
    <row r="3802" spans="1:40" x14ac:dyDescent="0.25">
      <c r="A3802" t="str">
        <f>"20190312153957169"</f>
        <v>20190312153957169</v>
      </c>
      <c r="B3802" t="str">
        <f>"1552376397159117"</f>
        <v>1552376397159117</v>
      </c>
      <c r="C3802" t="s">
        <v>40</v>
      </c>
      <c r="D3802">
        <v>4.0983080000000003</v>
      </c>
      <c r="E3802">
        <v>0.42650589999999999</v>
      </c>
      <c r="F3802" t="s">
        <v>70</v>
      </c>
      <c r="G3802">
        <v>-467.28930000000003</v>
      </c>
      <c r="H3802">
        <v>2.2991039999999998</v>
      </c>
      <c r="I3802">
        <v>119.395</v>
      </c>
      <c r="J3802">
        <v>-493.0061</v>
      </c>
      <c r="K3802">
        <v>1.111977</v>
      </c>
      <c r="L3802">
        <v>248.92959999999999</v>
      </c>
      <c r="M3802">
        <v>-1.1381779999999999E-2</v>
      </c>
      <c r="N3802">
        <v>0</v>
      </c>
      <c r="O3802">
        <v>-0.99983750000000005</v>
      </c>
      <c r="P3802">
        <v>4.6242569999999997E-3</v>
      </c>
      <c r="Q3802">
        <v>6.524485E-3</v>
      </c>
      <c r="R3802">
        <v>-0.99996810000000003</v>
      </c>
      <c r="S3802">
        <v>0.59490969999999999</v>
      </c>
      <c r="T3802">
        <v>2.7462480000000001E-2</v>
      </c>
      <c r="U3802">
        <v>-2.9984440000000001</v>
      </c>
      <c r="V3802">
        <v>-1.6079010000000001E-2</v>
      </c>
      <c r="W3802">
        <v>2.0442800000000001E-2</v>
      </c>
      <c r="X3802">
        <v>0.99966169999999999</v>
      </c>
      <c r="Y3802">
        <v>-0.20575750000000001</v>
      </c>
      <c r="Z3802">
        <v>-8.972219E-3</v>
      </c>
      <c r="AA3802">
        <v>0.97856189999999998</v>
      </c>
      <c r="AB3802">
        <v>16</v>
      </c>
      <c r="AC3802">
        <v>25.7167999999999</v>
      </c>
      <c r="AD3802">
        <v>1.187127</v>
      </c>
      <c r="AE3802">
        <v>-129.53460000000001</v>
      </c>
      <c r="AF3802">
        <v>-27.1874154278219</v>
      </c>
      <c r="AG3802">
        <v>1.187127</v>
      </c>
      <c r="AH3802">
        <v>129.223034488108</v>
      </c>
      <c r="AI3802">
        <v>89.484933961708194</v>
      </c>
      <c r="AJ3802">
        <v>101.88125592411799</v>
      </c>
      <c r="AK3802">
        <v>132.05740217978601</v>
      </c>
      <c r="AL3802">
        <v>88.828632216426797</v>
      </c>
      <c r="AM3802">
        <v>90.921491718516194</v>
      </c>
      <c r="AN3802">
        <v>0.99999997854065403</v>
      </c>
    </row>
    <row r="3803" spans="1:40" x14ac:dyDescent="0.25">
      <c r="A3803" t="str">
        <f>"20190312153957181"</f>
        <v>20190312153957181</v>
      </c>
      <c r="B3803" t="str">
        <f>"1552376397169852"</f>
        <v>1552376397169852</v>
      </c>
      <c r="C3803" t="s">
        <v>40</v>
      </c>
      <c r="D3803">
        <v>4.12073</v>
      </c>
      <c r="E3803">
        <v>0.42650589999999999</v>
      </c>
      <c r="F3803" t="s">
        <v>70</v>
      </c>
      <c r="G3803">
        <v>-467.07</v>
      </c>
      <c r="H3803">
        <v>2.2600989999999999</v>
      </c>
      <c r="I3803">
        <v>119.395</v>
      </c>
      <c r="J3803">
        <v>-493.00529999999998</v>
      </c>
      <c r="K3803">
        <v>1.111996</v>
      </c>
      <c r="L3803">
        <v>248.85040000000001</v>
      </c>
      <c r="M3803">
        <v>-9.9038630000000006E-3</v>
      </c>
      <c r="N3803">
        <v>0</v>
      </c>
      <c r="O3803">
        <v>-0.9998534</v>
      </c>
      <c r="P3803">
        <v>6.6007829999999998E-3</v>
      </c>
      <c r="Q3803">
        <v>6.1452010000000003E-3</v>
      </c>
      <c r="R3803">
        <v>-0.9999595</v>
      </c>
      <c r="S3803">
        <v>0.60009769999999996</v>
      </c>
      <c r="T3803">
        <v>2.656555E-2</v>
      </c>
      <c r="U3803">
        <v>-2.997131</v>
      </c>
      <c r="V3803">
        <v>-1.657726E-2</v>
      </c>
      <c r="W3803">
        <v>2.0061880000000001E-2</v>
      </c>
      <c r="X3803">
        <v>0.99966129999999997</v>
      </c>
      <c r="Y3803">
        <v>-0.20602239999999999</v>
      </c>
      <c r="Z3803">
        <v>-8.6814400000000003E-3</v>
      </c>
      <c r="AA3803">
        <v>0.97850879999999996</v>
      </c>
      <c r="AB3803">
        <v>16</v>
      </c>
      <c r="AC3803">
        <v>25.935299999999899</v>
      </c>
      <c r="AD3803">
        <v>1.1481030000000001</v>
      </c>
      <c r="AE3803">
        <v>-129.4554</v>
      </c>
      <c r="AF3803">
        <v>-27.214203487436901</v>
      </c>
      <c r="AG3803">
        <v>1.1481030000000001</v>
      </c>
      <c r="AH3803">
        <v>129.18239633091</v>
      </c>
      <c r="AI3803">
        <v>89.501735456437103</v>
      </c>
      <c r="AJ3803">
        <v>101.896264051999</v>
      </c>
      <c r="AK3803">
        <v>132.02281065691099</v>
      </c>
      <c r="AL3803">
        <v>88.850461826867502</v>
      </c>
      <c r="AM3803">
        <v>90.950041764351099</v>
      </c>
      <c r="AN3803">
        <v>0.99999999964796504</v>
      </c>
    </row>
    <row r="3804" spans="1:40" x14ac:dyDescent="0.25">
      <c r="A3804" t="str">
        <f>"20190312153957194"</f>
        <v>20190312153957194</v>
      </c>
      <c r="B3804" t="str">
        <f>"1552376397189373"</f>
        <v>1552376397189373</v>
      </c>
      <c r="C3804" t="s">
        <v>40</v>
      </c>
      <c r="D3804">
        <v>4.1240259999999997</v>
      </c>
      <c r="E3804">
        <v>0.43377189999999999</v>
      </c>
      <c r="F3804" t="s">
        <v>70</v>
      </c>
      <c r="G3804">
        <v>-466.81779999999998</v>
      </c>
      <c r="H3804">
        <v>2.1974670000000001</v>
      </c>
      <c r="I3804">
        <v>119.395</v>
      </c>
      <c r="J3804">
        <v>-493.00420000000003</v>
      </c>
      <c r="K3804">
        <v>1.1120159999999999</v>
      </c>
      <c r="L3804">
        <v>248.75989999999999</v>
      </c>
      <c r="M3804">
        <v>-8.1794709999999902E-3</v>
      </c>
      <c r="N3804">
        <v>0</v>
      </c>
      <c r="O3804">
        <v>-0.99986900000000001</v>
      </c>
      <c r="P3804">
        <v>9.2916270000000002E-3</v>
      </c>
      <c r="Q3804">
        <v>5.5072760000000002E-3</v>
      </c>
      <c r="R3804">
        <v>-0.999942</v>
      </c>
      <c r="S3804">
        <v>0.60604859999999905</v>
      </c>
      <c r="T3804">
        <v>2.512145E-2</v>
      </c>
      <c r="U3804">
        <v>-2.9959560000000001</v>
      </c>
      <c r="V3804">
        <v>-1.7542269999999999E-2</v>
      </c>
      <c r="W3804">
        <v>1.9420659999999999E-2</v>
      </c>
      <c r="X3804">
        <v>0.99965749999999998</v>
      </c>
      <c r="Y3804">
        <v>-0.2062774</v>
      </c>
      <c r="Z3804">
        <v>-8.2110869999999902E-3</v>
      </c>
      <c r="AA3804">
        <v>0.97845910000000003</v>
      </c>
      <c r="AB3804">
        <v>16</v>
      </c>
      <c r="AC3804">
        <v>26.186399999999999</v>
      </c>
      <c r="AD3804">
        <v>1.08545099999999</v>
      </c>
      <c r="AE3804">
        <v>-129.36489999999901</v>
      </c>
      <c r="AF3804">
        <v>-27.241921099067198</v>
      </c>
      <c r="AG3804">
        <v>1.08545099999999</v>
      </c>
      <c r="AH3804">
        <v>129.13762605485601</v>
      </c>
      <c r="AI3804">
        <v>89.528788551701894</v>
      </c>
      <c r="AJ3804">
        <v>101.912045067745</v>
      </c>
      <c r="AK3804">
        <v>131.98419197814999</v>
      </c>
      <c r="AL3804">
        <v>88.887208194580396</v>
      </c>
      <c r="AM3804">
        <v>91.0053392111367</v>
      </c>
      <c r="AN3804">
        <v>1.00000000528891</v>
      </c>
    </row>
    <row r="3805" spans="1:40" x14ac:dyDescent="0.25">
      <c r="A3805" t="str">
        <f>"20190312153957204"</f>
        <v>20190312153957204</v>
      </c>
      <c r="B3805" t="str">
        <f>"1552376397189373"</f>
        <v>1552376397189373</v>
      </c>
      <c r="C3805" t="s">
        <v>40</v>
      </c>
      <c r="D3805">
        <v>4.1240259999999997</v>
      </c>
      <c r="E3805">
        <v>0.43377189999999999</v>
      </c>
      <c r="F3805" t="s">
        <v>70</v>
      </c>
      <c r="G3805">
        <v>-468.98129999999998</v>
      </c>
      <c r="H3805">
        <v>1.854687</v>
      </c>
      <c r="I3805">
        <v>119.395</v>
      </c>
      <c r="J3805">
        <v>-493.00310000000002</v>
      </c>
      <c r="K3805">
        <v>1.112033</v>
      </c>
      <c r="L3805">
        <v>248.68219999999999</v>
      </c>
      <c r="M3805">
        <v>-6.6667829999999999E-3</v>
      </c>
      <c r="N3805">
        <v>0</v>
      </c>
      <c r="O3805">
        <v>-0.99987990000000004</v>
      </c>
      <c r="P3805">
        <v>1.164602E-2</v>
      </c>
      <c r="Q3805">
        <v>4.9103760000000002E-3</v>
      </c>
      <c r="R3805">
        <v>-0.99992009999999998</v>
      </c>
      <c r="S3805">
        <v>0.55615230000000004</v>
      </c>
      <c r="T3805">
        <v>1.7194270000000001E-2</v>
      </c>
      <c r="U3805">
        <v>-2.9949340000000002</v>
      </c>
      <c r="V3805">
        <v>-1.838238E-2</v>
      </c>
      <c r="W3805">
        <v>1.882091E-2</v>
      </c>
      <c r="X3805">
        <v>0.99965389999999998</v>
      </c>
      <c r="Y3805">
        <v>-0.18912480000000001</v>
      </c>
      <c r="Z3805">
        <v>-5.6408129999999997E-3</v>
      </c>
      <c r="AA3805">
        <v>0.9819369</v>
      </c>
      <c r="AB3805">
        <v>16</v>
      </c>
      <c r="AC3805">
        <v>24.021799999999999</v>
      </c>
      <c r="AD3805">
        <v>0.74265399999999904</v>
      </c>
      <c r="AE3805">
        <v>-129.28719999999899</v>
      </c>
      <c r="AF3805">
        <v>-24.8824865034656</v>
      </c>
      <c r="AG3805">
        <v>0.74265399999999904</v>
      </c>
      <c r="AH3805">
        <v>129.12004417335299</v>
      </c>
      <c r="AI3805">
        <v>89.676411612725005</v>
      </c>
      <c r="AJ3805">
        <v>100.90765237886799</v>
      </c>
      <c r="AK3805">
        <v>131.497815483328</v>
      </c>
      <c r="AL3805">
        <v>88.9215776478121</v>
      </c>
      <c r="AM3805">
        <v>91.053478709010307</v>
      </c>
      <c r="AN3805">
        <v>1.0000000291664499</v>
      </c>
    </row>
    <row r="3806" spans="1:40" x14ac:dyDescent="0.25">
      <c r="A3806" t="str">
        <f>"20190312153957216"</f>
        <v>20190312153957216</v>
      </c>
      <c r="B3806" t="str">
        <f>"1552376397209869"</f>
        <v>1552376397209869</v>
      </c>
      <c r="C3806" t="s">
        <v>40</v>
      </c>
      <c r="D3806">
        <v>4.0671839999999904</v>
      </c>
      <c r="E3806">
        <v>0.43392330000000001</v>
      </c>
      <c r="F3806" t="s">
        <v>70</v>
      </c>
      <c r="G3806">
        <v>-468.6773</v>
      </c>
      <c r="H3806">
        <v>1.763363</v>
      </c>
      <c r="I3806">
        <v>119.395</v>
      </c>
      <c r="J3806">
        <v>-493.00189999999998</v>
      </c>
      <c r="K3806">
        <v>1.1120509999999999</v>
      </c>
      <c r="L3806">
        <v>248.59889999999999</v>
      </c>
      <c r="M3806">
        <v>-5.0314849999999996E-3</v>
      </c>
      <c r="N3806">
        <v>0</v>
      </c>
      <c r="O3806">
        <v>-0.99988960000000005</v>
      </c>
      <c r="P3806">
        <v>1.445396E-2</v>
      </c>
      <c r="Q3806">
        <v>4.9254700000000004E-3</v>
      </c>
      <c r="R3806">
        <v>-0.99988339999999998</v>
      </c>
      <c r="S3806">
        <v>0.56326290000000001</v>
      </c>
      <c r="T3806">
        <v>1.508224E-2</v>
      </c>
      <c r="U3806">
        <v>-2.993652</v>
      </c>
      <c r="V3806">
        <v>-1.9555920000000001E-2</v>
      </c>
      <c r="W3806">
        <v>1.8831879999999999E-2</v>
      </c>
      <c r="X3806">
        <v>0.99963139999999995</v>
      </c>
      <c r="Y3806">
        <v>-0.1898485</v>
      </c>
      <c r="Z3806">
        <v>-4.9486870000000002E-3</v>
      </c>
      <c r="AA3806">
        <v>0.98180089999999998</v>
      </c>
      <c r="AB3806">
        <v>16</v>
      </c>
      <c r="AC3806">
        <v>24.324599999999901</v>
      </c>
      <c r="AD3806">
        <v>0.651311999999999</v>
      </c>
      <c r="AE3806">
        <v>-129.20389999999901</v>
      </c>
      <c r="AF3806">
        <v>-24.973830175805301</v>
      </c>
      <c r="AG3806">
        <v>0.651311999999999</v>
      </c>
      <c r="AH3806">
        <v>129.07669566311401</v>
      </c>
      <c r="AI3806">
        <v>89.716155861459796</v>
      </c>
      <c r="AJ3806">
        <v>100.950316207405</v>
      </c>
      <c r="AK3806">
        <v>131.47208739606901</v>
      </c>
      <c r="AL3806">
        <v>88.920948975404798</v>
      </c>
      <c r="AM3806">
        <v>91.120741877917993</v>
      </c>
      <c r="AN3806">
        <v>1.0000000047886699</v>
      </c>
    </row>
    <row r="3807" spans="1:40" x14ac:dyDescent="0.25">
      <c r="A3807" t="str">
        <f>"20190312153957227"</f>
        <v>20190312153957227</v>
      </c>
      <c r="B3807" t="str">
        <f>"1552376397219630"</f>
        <v>1552376397219630</v>
      </c>
      <c r="C3807" t="s">
        <v>40</v>
      </c>
      <c r="D3807">
        <v>4.0884720000000003</v>
      </c>
      <c r="E3807">
        <v>0.43392330000000001</v>
      </c>
      <c r="F3807" t="s">
        <v>70</v>
      </c>
      <c r="G3807">
        <v>-468.36399999999998</v>
      </c>
      <c r="H3807">
        <v>1.3619330000000001</v>
      </c>
      <c r="I3807">
        <v>119.395</v>
      </c>
      <c r="J3807">
        <v>-493.00040000000001</v>
      </c>
      <c r="K3807">
        <v>1.112066</v>
      </c>
      <c r="L3807">
        <v>248.5188</v>
      </c>
      <c r="M3807">
        <v>-3.4158370000000001E-3</v>
      </c>
      <c r="N3807">
        <v>0</v>
      </c>
      <c r="O3807">
        <v>-0.99989660000000002</v>
      </c>
      <c r="P3807">
        <v>1.6983270000000002E-2</v>
      </c>
      <c r="Q3807">
        <v>4.8908859999999997E-3</v>
      </c>
      <c r="R3807">
        <v>-0.99984399999999996</v>
      </c>
      <c r="S3807">
        <v>0.57055659999999997</v>
      </c>
      <c r="T3807">
        <v>5.7873730000000002E-3</v>
      </c>
      <c r="U3807">
        <v>-2.9920810000000002</v>
      </c>
      <c r="V3807">
        <v>-2.0469689999999999E-2</v>
      </c>
      <c r="W3807">
        <v>1.8793730000000002E-2</v>
      </c>
      <c r="X3807">
        <v>0.9996138</v>
      </c>
      <c r="Y3807">
        <v>-0.190668</v>
      </c>
      <c r="Z3807">
        <v>-1.899356E-3</v>
      </c>
      <c r="AA3807">
        <v>0.98165270000000004</v>
      </c>
      <c r="AB3807">
        <v>16</v>
      </c>
      <c r="AC3807">
        <v>24.636399999999899</v>
      </c>
      <c r="AD3807">
        <v>0.24986700000000001</v>
      </c>
      <c r="AE3807">
        <v>-129.12379999999999</v>
      </c>
      <c r="AF3807">
        <v>-25.077274528137799</v>
      </c>
      <c r="AG3807">
        <v>0.24986700000000001</v>
      </c>
      <c r="AH3807">
        <v>129.03841818343</v>
      </c>
      <c r="AI3807">
        <v>89.891091476830994</v>
      </c>
      <c r="AJ3807">
        <v>100.99775242172799</v>
      </c>
      <c r="AK3807">
        <v>131.45282613378399</v>
      </c>
      <c r="AL3807">
        <v>88.923135170481999</v>
      </c>
      <c r="AM3807">
        <v>91.1731160089534</v>
      </c>
      <c r="AN3807">
        <v>0.99999998082322406</v>
      </c>
    </row>
    <row r="3808" spans="1:40" x14ac:dyDescent="0.25">
      <c r="A3808" t="str">
        <f>"20190312153957240"</f>
        <v>20190312153957240</v>
      </c>
      <c r="B3808" t="str">
        <f>"1552376397229388"</f>
        <v>1552376397229388</v>
      </c>
      <c r="C3808" t="s">
        <v>40</v>
      </c>
      <c r="D3808">
        <v>4.0826580000000003</v>
      </c>
      <c r="E3808">
        <v>0.42740630000000002</v>
      </c>
      <c r="F3808" t="s">
        <v>70</v>
      </c>
      <c r="G3808">
        <v>-468.0401</v>
      </c>
      <c r="H3808">
        <v>1.3439110000000001</v>
      </c>
      <c r="I3808">
        <v>119.395</v>
      </c>
      <c r="J3808">
        <v>-492.99869999999999</v>
      </c>
      <c r="K3808">
        <v>1.112087</v>
      </c>
      <c r="L3808">
        <v>248.4357</v>
      </c>
      <c r="M3808">
        <v>-1.729405E-3</v>
      </c>
      <c r="N3808">
        <v>0</v>
      </c>
      <c r="O3808">
        <v>-0.99990080000000003</v>
      </c>
      <c r="P3808">
        <v>1.9631550000000001E-2</v>
      </c>
      <c r="Q3808">
        <v>5.0995440000000001E-3</v>
      </c>
      <c r="R3808">
        <v>-0.99979430000000002</v>
      </c>
      <c r="S3808">
        <v>0.57809449999999996</v>
      </c>
      <c r="T3808">
        <v>5.3703780000000003E-3</v>
      </c>
      <c r="U3808">
        <v>-2.9906009999999998</v>
      </c>
      <c r="V3808">
        <v>-2.143339E-2</v>
      </c>
      <c r="W3808">
        <v>1.8998259999999999E-2</v>
      </c>
      <c r="X3808">
        <v>0.99958970000000003</v>
      </c>
      <c r="Y3808">
        <v>-0.19148799999999999</v>
      </c>
      <c r="Z3808">
        <v>-1.7628139999999999E-3</v>
      </c>
      <c r="AA3808">
        <v>0.98149339999999996</v>
      </c>
      <c r="AB3808">
        <v>16</v>
      </c>
      <c r="AC3808">
        <v>24.958599999999901</v>
      </c>
      <c r="AD3808">
        <v>0.231824</v>
      </c>
      <c r="AE3808">
        <v>-129.04069999999999</v>
      </c>
      <c r="AF3808">
        <v>-25.181669764546001</v>
      </c>
      <c r="AG3808">
        <v>0.231824</v>
      </c>
      <c r="AH3808">
        <v>128.99693792523499</v>
      </c>
      <c r="AI3808">
        <v>89.898939832122196</v>
      </c>
      <c r="AJ3808">
        <v>101.045875848587</v>
      </c>
      <c r="AK3808">
        <v>131.43203653822201</v>
      </c>
      <c r="AL3808">
        <v>88.911414334084697</v>
      </c>
      <c r="AM3808">
        <v>91.228358630419294</v>
      </c>
      <c r="AN3808">
        <v>0.99999994621800303</v>
      </c>
    </row>
    <row r="3809" spans="1:40" x14ac:dyDescent="0.25">
      <c r="A3809" t="str">
        <f>"20190312153957251"</f>
        <v>20190312153957251</v>
      </c>
      <c r="B3809" t="str">
        <f>"1552376397239150"</f>
        <v>1552376397239150</v>
      </c>
      <c r="C3809" t="s">
        <v>40</v>
      </c>
      <c r="D3809">
        <v>4.0817649999999999</v>
      </c>
      <c r="E3809">
        <v>0.42712090000000003</v>
      </c>
      <c r="F3809" t="s">
        <v>42</v>
      </c>
      <c r="G3809">
        <v>-480.83280000000002</v>
      </c>
      <c r="H3809" s="1">
        <v>-3.0858550000000002E-6</v>
      </c>
      <c r="I3809">
        <v>191.54839999999999</v>
      </c>
      <c r="J3809">
        <v>-492.99669999999998</v>
      </c>
      <c r="K3809">
        <v>1.112106</v>
      </c>
      <c r="L3809">
        <v>248.34549999999999</v>
      </c>
      <c r="M3809">
        <v>1.439314E-4</v>
      </c>
      <c r="N3809">
        <v>0</v>
      </c>
      <c r="O3809">
        <v>-0.99990230000000002</v>
      </c>
      <c r="P3809">
        <v>2.2607459999999999E-2</v>
      </c>
      <c r="Q3809">
        <v>5.4709969999999896E-3</v>
      </c>
      <c r="R3809">
        <v>-0.9997298</v>
      </c>
      <c r="S3809">
        <v>0.63909910000000003</v>
      </c>
      <c r="T3809">
        <v>-5.8419939999999997E-2</v>
      </c>
      <c r="U3809">
        <v>-2.988388</v>
      </c>
      <c r="V3809">
        <v>-2.2538550000000001E-2</v>
      </c>
      <c r="W3809">
        <v>1.9365360000000002E-2</v>
      </c>
      <c r="X3809">
        <v>0.99955839999999996</v>
      </c>
      <c r="Y3809">
        <v>-0.20895279999999999</v>
      </c>
      <c r="Z3809">
        <v>1.9113499999999999E-2</v>
      </c>
      <c r="AA3809">
        <v>0.97773889999999997</v>
      </c>
      <c r="AB3809">
        <v>16</v>
      </c>
      <c r="AC3809">
        <v>12.1638999999999</v>
      </c>
      <c r="AD3809">
        <v>-1.112109085855</v>
      </c>
      <c r="AE3809">
        <v>-56.7971</v>
      </c>
      <c r="AF3809">
        <v>-12.151269801994699</v>
      </c>
      <c r="AG3809">
        <v>-1.112109085855</v>
      </c>
      <c r="AH3809">
        <v>56.778036775261498</v>
      </c>
      <c r="AI3809">
        <v>91.097265837931801</v>
      </c>
      <c r="AJ3809">
        <v>102.079847558758</v>
      </c>
      <c r="AK3809">
        <v>58.074397151177202</v>
      </c>
      <c r="AL3809">
        <v>88.890377240400696</v>
      </c>
      <c r="AM3809">
        <v>91.291715421351995</v>
      </c>
      <c r="AN3809">
        <v>0.99999999920729599</v>
      </c>
    </row>
    <row r="3810" spans="1:40" x14ac:dyDescent="0.25">
      <c r="A3810" t="str">
        <f>"20190312153957270"</f>
        <v>20190312153957270</v>
      </c>
      <c r="B3810" t="str">
        <f>"1552376397259645"</f>
        <v>1552376397259645</v>
      </c>
      <c r="C3810" t="s">
        <v>40</v>
      </c>
      <c r="D3810">
        <v>4.0860289999999999</v>
      </c>
      <c r="E3810">
        <v>0.42780679999999999</v>
      </c>
      <c r="F3810" t="s">
        <v>42</v>
      </c>
      <c r="G3810">
        <v>-479.7928</v>
      </c>
      <c r="H3810">
        <v>7.998624E-2</v>
      </c>
      <c r="I3810">
        <v>187.67140000000001</v>
      </c>
      <c r="J3810">
        <v>-492.99349999999998</v>
      </c>
      <c r="K3810">
        <v>1.1121270000000001</v>
      </c>
      <c r="L3810">
        <v>248.21860000000001</v>
      </c>
      <c r="M3810">
        <v>2.8282229999999999E-3</v>
      </c>
      <c r="N3810">
        <v>0</v>
      </c>
      <c r="O3810">
        <v>-0.99989839999999997</v>
      </c>
      <c r="P3810">
        <v>2.7472429999999999E-2</v>
      </c>
      <c r="Q3810">
        <v>6.1992549999999999E-3</v>
      </c>
      <c r="R3810">
        <v>-0.99960369999999998</v>
      </c>
      <c r="S3810">
        <v>0.64990230000000004</v>
      </c>
      <c r="T3810">
        <v>-5.0801279999999997E-2</v>
      </c>
      <c r="U3810">
        <v>-2.9864039999999998</v>
      </c>
      <c r="V3810">
        <v>-2.4723950000000001E-2</v>
      </c>
      <c r="W3810">
        <v>2.0084290000000001E-2</v>
      </c>
      <c r="X3810">
        <v>0.99949250000000001</v>
      </c>
      <c r="Y3810">
        <v>-0.20984929999999999</v>
      </c>
      <c r="Z3810">
        <v>1.6624440000000001E-2</v>
      </c>
      <c r="AA3810">
        <v>0.97759240000000003</v>
      </c>
      <c r="AB3810">
        <v>16</v>
      </c>
      <c r="AC3810">
        <v>13.2006999999999</v>
      </c>
      <c r="AD3810">
        <v>-1.0321407600000001</v>
      </c>
      <c r="AE3810">
        <v>-60.547199999999997</v>
      </c>
      <c r="AF3810">
        <v>-13.0257760202614</v>
      </c>
      <c r="AG3810">
        <v>-1.0321407600000001</v>
      </c>
      <c r="AH3810">
        <v>60.5674939597207</v>
      </c>
      <c r="AI3810">
        <v>90.954473082328207</v>
      </c>
      <c r="AJ3810">
        <v>102.13728422493</v>
      </c>
      <c r="AK3810">
        <v>61.960935112692397</v>
      </c>
      <c r="AL3810">
        <v>88.849177518280896</v>
      </c>
      <c r="AM3810">
        <v>91.417008293483207</v>
      </c>
      <c r="AN3810">
        <v>0.99999995498232697</v>
      </c>
    </row>
    <row r="3811" spans="1:40" x14ac:dyDescent="0.25">
      <c r="A3811" t="str">
        <f>"20190312153957284"</f>
        <v>20190312153957284</v>
      </c>
      <c r="B3811" t="str">
        <f>"1552376397279165"</f>
        <v>1552376397279165</v>
      </c>
      <c r="C3811" t="s">
        <v>40</v>
      </c>
      <c r="D3811">
        <v>4.0420660000000002</v>
      </c>
      <c r="E3811">
        <v>0.42832619999999999</v>
      </c>
      <c r="F3811" t="s">
        <v>42</v>
      </c>
      <c r="G3811">
        <v>-478.99029999999999</v>
      </c>
      <c r="H3811">
        <v>7.9985459999999994E-2</v>
      </c>
      <c r="I3811">
        <v>184.82990000000001</v>
      </c>
      <c r="J3811">
        <v>-492.99079999999998</v>
      </c>
      <c r="K3811">
        <v>1.112141</v>
      </c>
      <c r="L3811">
        <v>248.1216</v>
      </c>
      <c r="M3811">
        <v>4.9140490000000002E-3</v>
      </c>
      <c r="N3811">
        <v>0</v>
      </c>
      <c r="O3811">
        <v>-0.9998901</v>
      </c>
      <c r="P3811">
        <v>3.045223E-2</v>
      </c>
      <c r="Q3811">
        <v>5.9055139999999997E-3</v>
      </c>
      <c r="R3811">
        <v>-0.99951889999999999</v>
      </c>
      <c r="S3811">
        <v>0.65905760000000002</v>
      </c>
      <c r="T3811">
        <v>-4.8577429999999998E-2</v>
      </c>
      <c r="U3811">
        <v>-2.983368</v>
      </c>
      <c r="V3811">
        <v>-2.5618189999999999E-2</v>
      </c>
      <c r="W3811">
        <v>1.97868E-2</v>
      </c>
      <c r="X3811">
        <v>0.99947600000000003</v>
      </c>
      <c r="Y3811">
        <v>-0.21088109999999999</v>
      </c>
      <c r="Z3811">
        <v>1.5905539999999999E-2</v>
      </c>
      <c r="AA3811">
        <v>0.97738230000000004</v>
      </c>
      <c r="AB3811">
        <v>16</v>
      </c>
      <c r="AC3811">
        <v>14.000499999999899</v>
      </c>
      <c r="AD3811">
        <v>-1.03215554</v>
      </c>
      <c r="AE3811">
        <v>-63.291699999999899</v>
      </c>
      <c r="AF3811">
        <v>-13.685812057163901</v>
      </c>
      <c r="AG3811">
        <v>-1.03215554</v>
      </c>
      <c r="AH3811">
        <v>63.343681274558399</v>
      </c>
      <c r="AI3811">
        <v>90.912474459749205</v>
      </c>
      <c r="AJ3811">
        <v>102.19172433235001</v>
      </c>
      <c r="AK3811">
        <v>64.813492068670399</v>
      </c>
      <c r="AL3811">
        <v>88.866225927110904</v>
      </c>
      <c r="AM3811">
        <v>91.468262220302904</v>
      </c>
      <c r="AN3811">
        <v>1.00000004184455</v>
      </c>
    </row>
    <row r="3812" spans="1:40" x14ac:dyDescent="0.25">
      <c r="A3812" t="str">
        <f>"20190312153957297"</f>
        <v>20190312153957297</v>
      </c>
      <c r="B3812" t="str">
        <f>"1552376397288925"</f>
        <v>1552376397288925</v>
      </c>
      <c r="C3812" t="s">
        <v>40</v>
      </c>
      <c r="D3812">
        <v>4.0648770000000001</v>
      </c>
      <c r="E3812">
        <v>0.42858410000000002</v>
      </c>
      <c r="F3812" t="s">
        <v>42</v>
      </c>
      <c r="G3812">
        <v>-479.93740000000003</v>
      </c>
      <c r="H3812">
        <v>7.0319720000000002E-2</v>
      </c>
      <c r="I3812">
        <v>189.50659999999999</v>
      </c>
      <c r="J3812">
        <v>-492.98790000000002</v>
      </c>
      <c r="K3812">
        <v>1.1121540000000001</v>
      </c>
      <c r="L3812">
        <v>248.0248</v>
      </c>
      <c r="M3812">
        <v>7.0235549999999999E-3</v>
      </c>
      <c r="N3812">
        <v>0</v>
      </c>
      <c r="O3812">
        <v>-0.99987780000000004</v>
      </c>
      <c r="P3812">
        <v>3.3503909999999998E-2</v>
      </c>
      <c r="Q3812">
        <v>5.5623160000000003E-3</v>
      </c>
      <c r="R3812">
        <v>-0.99942359999999997</v>
      </c>
      <c r="S3812">
        <v>0.66397090000000003</v>
      </c>
      <c r="T3812">
        <v>-5.2993180000000001E-2</v>
      </c>
      <c r="U3812">
        <v>-2.981506</v>
      </c>
      <c r="V3812">
        <v>-2.6560569999999999E-2</v>
      </c>
      <c r="W3812">
        <v>1.9438779999999999E-2</v>
      </c>
      <c r="X3812">
        <v>0.99945819999999996</v>
      </c>
      <c r="Y3812">
        <v>-0.2104772</v>
      </c>
      <c r="Z3812">
        <v>1.73589E-2</v>
      </c>
      <c r="AA3812">
        <v>0.9774446</v>
      </c>
      <c r="AB3812">
        <v>16</v>
      </c>
      <c r="AC3812">
        <v>13.0505</v>
      </c>
      <c r="AD3812">
        <v>-1.04183428</v>
      </c>
      <c r="AE3812">
        <v>-58.5182</v>
      </c>
      <c r="AF3812">
        <v>-12.635316918703101</v>
      </c>
      <c r="AG3812">
        <v>-1.04183428</v>
      </c>
      <c r="AH3812">
        <v>58.590734705678102</v>
      </c>
      <c r="AI3812">
        <v>90.9958126016096</v>
      </c>
      <c r="AJ3812">
        <v>102.16968243676</v>
      </c>
      <c r="AK3812">
        <v>59.946733402698499</v>
      </c>
      <c r="AL3812">
        <v>88.886169806287896</v>
      </c>
      <c r="AM3812">
        <v>91.522275234494003</v>
      </c>
      <c r="AN3812">
        <v>1.0000000117969201</v>
      </c>
    </row>
    <row r="3813" spans="1:40" x14ac:dyDescent="0.25">
      <c r="A3813" t="str">
        <f>"20190312153957313"</f>
        <v>20190312153957313</v>
      </c>
      <c r="B3813" t="str">
        <f>"1552376397309421"</f>
        <v>1552376397309421</v>
      </c>
      <c r="C3813" t="s">
        <v>40</v>
      </c>
      <c r="D3813">
        <v>4.0333839999999999</v>
      </c>
      <c r="E3813">
        <v>0.42938880000000001</v>
      </c>
      <c r="F3813" t="s">
        <v>42</v>
      </c>
      <c r="G3813">
        <v>-479.93259999999998</v>
      </c>
      <c r="H3813">
        <v>7.5184059999999997E-2</v>
      </c>
      <c r="I3813">
        <v>190.04140000000001</v>
      </c>
      <c r="J3813">
        <v>-492.98419999999999</v>
      </c>
      <c r="K3813">
        <v>1.1121639999999999</v>
      </c>
      <c r="L3813">
        <v>247.91130000000001</v>
      </c>
      <c r="M3813">
        <v>9.5509480000000001E-3</v>
      </c>
      <c r="N3813">
        <v>0</v>
      </c>
      <c r="O3813">
        <v>-0.99985670000000004</v>
      </c>
      <c r="P3813">
        <v>3.7733030000000001E-2</v>
      </c>
      <c r="Q3813">
        <v>4.7203490000000004E-3</v>
      </c>
      <c r="R3813">
        <v>-0.99927690000000002</v>
      </c>
      <c r="S3813">
        <v>0.67086789999999996</v>
      </c>
      <c r="T3813">
        <v>-5.328608E-2</v>
      </c>
      <c r="U3813">
        <v>-2.9795530000000001</v>
      </c>
      <c r="V3813">
        <v>-2.8261419999999999E-2</v>
      </c>
      <c r="W3813">
        <v>1.85892E-2</v>
      </c>
      <c r="X3813">
        <v>0.99942770000000003</v>
      </c>
      <c r="Y3813">
        <v>-0.21029610000000001</v>
      </c>
      <c r="Z3813">
        <v>1.7461399999999998E-2</v>
      </c>
      <c r="AA3813">
        <v>0.97748179999999996</v>
      </c>
      <c r="AB3813">
        <v>16</v>
      </c>
      <c r="AC3813">
        <v>13.051600000000001</v>
      </c>
      <c r="AD3813">
        <v>-1.0369799399999999</v>
      </c>
      <c r="AE3813">
        <v>-57.869900000000001</v>
      </c>
      <c r="AF3813">
        <v>-12.494420458540301</v>
      </c>
      <c r="AG3813">
        <v>-1.0369799399999999</v>
      </c>
      <c r="AH3813">
        <v>57.974213030398801</v>
      </c>
      <c r="AI3813">
        <v>91.001740297832299</v>
      </c>
      <c r="AJ3813">
        <v>102.16218273756201</v>
      </c>
      <c r="AK3813">
        <v>59.314376389580403</v>
      </c>
      <c r="AL3813">
        <v>88.934855941231305</v>
      </c>
      <c r="AM3813">
        <v>91.619755683055004</v>
      </c>
      <c r="AN3813">
        <v>0.999999996872173</v>
      </c>
    </row>
    <row r="3814" spans="1:40" x14ac:dyDescent="0.25">
      <c r="A3814" t="str">
        <f>"20190312153957325"</f>
        <v>20190312153957325</v>
      </c>
      <c r="B3814" t="str">
        <f>"1552376397319182"</f>
        <v>1552376397319182</v>
      </c>
      <c r="C3814" t="s">
        <v>40</v>
      </c>
      <c r="D3814">
        <v>4.0315310000000002</v>
      </c>
      <c r="E3814">
        <v>0.42977270000000001</v>
      </c>
      <c r="F3814" t="s">
        <v>42</v>
      </c>
      <c r="G3814">
        <v>-480.00540000000001</v>
      </c>
      <c r="H3814" s="1">
        <v>-3.0760549999999999E-6</v>
      </c>
      <c r="I3814">
        <v>190.87270000000001</v>
      </c>
      <c r="J3814">
        <v>-492.98129999999998</v>
      </c>
      <c r="K3814">
        <v>1.1121760000000001</v>
      </c>
      <c r="L3814">
        <v>247.83109999999999</v>
      </c>
      <c r="M3814">
        <v>1.1363089999999999E-2</v>
      </c>
      <c r="N3814">
        <v>0</v>
      </c>
      <c r="O3814">
        <v>-0.99983759999999999</v>
      </c>
      <c r="P3814">
        <v>4.0634820000000002E-2</v>
      </c>
      <c r="Q3814">
        <v>4.5052870000000002E-3</v>
      </c>
      <c r="R3814">
        <v>-0.99916400000000005</v>
      </c>
      <c r="S3814">
        <v>0.67736819999999998</v>
      </c>
      <c r="T3814">
        <v>-5.804467E-2</v>
      </c>
      <c r="U3814">
        <v>-2.9768829999999999</v>
      </c>
      <c r="V3814">
        <v>-2.9352380000000001E-2</v>
      </c>
      <c r="W3814">
        <v>1.8369420000000001E-2</v>
      </c>
      <c r="X3814">
        <v>0.99940030000000002</v>
      </c>
      <c r="Y3814">
        <v>-0.21073610000000001</v>
      </c>
      <c r="Z3814">
        <v>1.9030849999999998E-2</v>
      </c>
      <c r="AA3814">
        <v>0.9773577</v>
      </c>
      <c r="AB3814">
        <v>16</v>
      </c>
      <c r="AC3814">
        <v>12.9758999999999</v>
      </c>
      <c r="AD3814">
        <v>-1.1121790760549899</v>
      </c>
      <c r="AE3814">
        <v>-56.958399999999898</v>
      </c>
      <c r="AF3814">
        <v>-12.323308631841</v>
      </c>
      <c r="AG3814">
        <v>-1.1121790760549899</v>
      </c>
      <c r="AH3814">
        <v>57.0814929334868</v>
      </c>
      <c r="AI3814">
        <v>91.091082083468706</v>
      </c>
      <c r="AJ3814">
        <v>102.18259720452799</v>
      </c>
      <c r="AK3814">
        <v>58.407171763821303</v>
      </c>
      <c r="AL3814">
        <v>88.947450539230104</v>
      </c>
      <c r="AM3814">
        <v>91.682293051673796</v>
      </c>
      <c r="AN3814">
        <v>0.99999997872144497</v>
      </c>
    </row>
    <row r="3815" spans="1:40" x14ac:dyDescent="0.25">
      <c r="A3815" t="str">
        <f>"20190312153957336"</f>
        <v>20190312153957336</v>
      </c>
      <c r="B3815" t="str">
        <f>"1552376397328941"</f>
        <v>1552376397328941</v>
      </c>
      <c r="C3815" t="s">
        <v>40</v>
      </c>
      <c r="D3815">
        <v>4.083475</v>
      </c>
      <c r="E3815">
        <v>0.4300601</v>
      </c>
      <c r="F3815" t="s">
        <v>42</v>
      </c>
      <c r="G3815">
        <v>-480.36950000000002</v>
      </c>
      <c r="H3815" s="1">
        <v>-3.6667579999999999E-6</v>
      </c>
      <c r="I3815">
        <v>192.89320000000001</v>
      </c>
      <c r="J3815">
        <v>-492.97809999999998</v>
      </c>
      <c r="K3815">
        <v>1.112185</v>
      </c>
      <c r="L3815">
        <v>247.74520000000001</v>
      </c>
      <c r="M3815">
        <v>1.3314940000000001E-2</v>
      </c>
      <c r="N3815">
        <v>0</v>
      </c>
      <c r="O3815">
        <v>-0.99981359999999997</v>
      </c>
      <c r="P3815">
        <v>4.3643500000000002E-2</v>
      </c>
      <c r="Q3815">
        <v>5.0703199999999997E-3</v>
      </c>
      <c r="R3815">
        <v>-0.99903450000000005</v>
      </c>
      <c r="S3815">
        <v>0.68295289999999997</v>
      </c>
      <c r="T3815">
        <v>-6.0226920000000003E-2</v>
      </c>
      <c r="U3815">
        <v>-2.975006</v>
      </c>
      <c r="V3815">
        <v>-3.0413800000000001E-2</v>
      </c>
      <c r="W3815">
        <v>1.8929129999999999E-2</v>
      </c>
      <c r="X3815">
        <v>0.99935810000000003</v>
      </c>
      <c r="Y3815">
        <v>-0.21070150000000001</v>
      </c>
      <c r="Z3815">
        <v>1.9753469999999999E-2</v>
      </c>
      <c r="AA3815">
        <v>0.97735079999999996</v>
      </c>
      <c r="AB3815">
        <v>16</v>
      </c>
      <c r="AC3815">
        <v>12.6085999999999</v>
      </c>
      <c r="AD3815">
        <v>-1.1121886667580001</v>
      </c>
      <c r="AE3815">
        <v>-54.851999999999997</v>
      </c>
      <c r="AF3815">
        <v>-11.872423507542701</v>
      </c>
      <c r="AG3815">
        <v>-1.1121886667580001</v>
      </c>
      <c r="AH3815">
        <v>54.993561251019699</v>
      </c>
      <c r="AI3815">
        <v>91.132506711716999</v>
      </c>
      <c r="AJ3815">
        <v>102.182475660457</v>
      </c>
      <c r="AK3815">
        <v>56.271513065160903</v>
      </c>
      <c r="AL3815">
        <v>88.915375920634801</v>
      </c>
      <c r="AM3815">
        <v>91.743163628224494</v>
      </c>
      <c r="AN3815">
        <v>0.99999996161430205</v>
      </c>
    </row>
    <row r="3816" spans="1:40" x14ac:dyDescent="0.25">
      <c r="A3816" t="str">
        <f>"20190312153957348"</f>
        <v>20190312153957348</v>
      </c>
      <c r="B3816" t="str">
        <f>"1552376397339679"</f>
        <v>1552376397339679</v>
      </c>
      <c r="C3816" t="s">
        <v>40</v>
      </c>
      <c r="D3816">
        <v>4.0511140000000001</v>
      </c>
      <c r="E3816">
        <v>0.43035119999999999</v>
      </c>
      <c r="F3816" t="s">
        <v>42</v>
      </c>
      <c r="G3816">
        <v>-479.95780000000002</v>
      </c>
      <c r="H3816">
        <v>3.723568E-2</v>
      </c>
      <c r="I3816">
        <v>191.60839999999999</v>
      </c>
      <c r="J3816">
        <v>-492.97489999999999</v>
      </c>
      <c r="K3816">
        <v>1.112201</v>
      </c>
      <c r="L3816">
        <v>247.66679999999999</v>
      </c>
      <c r="M3816">
        <v>1.5137060000000001E-2</v>
      </c>
      <c r="N3816">
        <v>0</v>
      </c>
      <c r="O3816">
        <v>-0.99978739999999999</v>
      </c>
      <c r="P3816">
        <v>4.6350769999999999E-2</v>
      </c>
      <c r="Q3816">
        <v>4.8882329999999996E-3</v>
      </c>
      <c r="R3816">
        <v>-0.99891319999999995</v>
      </c>
      <c r="S3816">
        <v>0.68957519999999894</v>
      </c>
      <c r="T3816">
        <v>-5.6931019999999999E-2</v>
      </c>
      <c r="U3816">
        <v>-2.9730989999999999</v>
      </c>
      <c r="V3816">
        <v>-3.1300719999999997E-2</v>
      </c>
      <c r="W3816">
        <v>1.8742720000000001E-2</v>
      </c>
      <c r="X3816">
        <v>0.99933430000000001</v>
      </c>
      <c r="Y3816">
        <v>-0.21112819999999999</v>
      </c>
      <c r="Z3816">
        <v>1.8678320000000002E-2</v>
      </c>
      <c r="AA3816">
        <v>0.97727989999999998</v>
      </c>
      <c r="AB3816">
        <v>16</v>
      </c>
      <c r="AC3816">
        <v>13.0170999999999</v>
      </c>
      <c r="AD3816">
        <v>-1.07496532</v>
      </c>
      <c r="AE3816">
        <v>-56.058399999999999</v>
      </c>
      <c r="AF3816">
        <v>-12.1627222042633</v>
      </c>
      <c r="AG3816">
        <v>-1.07496532</v>
      </c>
      <c r="AH3816">
        <v>56.229417564323498</v>
      </c>
      <c r="AI3816">
        <v>91.070467777354196</v>
      </c>
      <c r="AJ3816">
        <v>102.205345942465</v>
      </c>
      <c r="AK3816">
        <v>57.539853679691802</v>
      </c>
      <c r="AL3816">
        <v>88.9260584001334</v>
      </c>
      <c r="AM3816">
        <v>91.794007301437603</v>
      </c>
      <c r="AN3816">
        <v>1.000000033891</v>
      </c>
    </row>
    <row r="3817" spans="1:40" x14ac:dyDescent="0.25">
      <c r="A3817" t="str">
        <f>"20190312153957360"</f>
        <v>20190312153957360</v>
      </c>
      <c r="B3817" t="str">
        <f>"1552376397349437"</f>
        <v>1552376397349437</v>
      </c>
      <c r="C3817" t="s">
        <v>40</v>
      </c>
      <c r="D3817">
        <v>4.1341749999999999</v>
      </c>
      <c r="E3817">
        <v>0.43066919999999997</v>
      </c>
      <c r="F3817" t="s">
        <v>42</v>
      </c>
      <c r="G3817">
        <v>-479.93619999999999</v>
      </c>
      <c r="H3817">
        <v>7.1500140000000004E-2</v>
      </c>
      <c r="I3817">
        <v>191.9348</v>
      </c>
      <c r="J3817">
        <v>-492.97149999999999</v>
      </c>
      <c r="K3817">
        <v>1.112214</v>
      </c>
      <c r="L3817">
        <v>247.5866</v>
      </c>
      <c r="M3817">
        <v>1.7008639999999998E-2</v>
      </c>
      <c r="N3817">
        <v>0</v>
      </c>
      <c r="O3817">
        <v>-0.99975769999999997</v>
      </c>
      <c r="P3817">
        <v>4.9346330000000001E-2</v>
      </c>
      <c r="Q3817">
        <v>4.8298990000000003E-3</v>
      </c>
      <c r="R3817">
        <v>-0.99877039999999995</v>
      </c>
      <c r="S3817">
        <v>0.69512940000000001</v>
      </c>
      <c r="T3817">
        <v>-5.54831E-2</v>
      </c>
      <c r="U3817">
        <v>-2.9712519999999998</v>
      </c>
      <c r="V3817">
        <v>-3.242772E-2</v>
      </c>
      <c r="W3817">
        <v>1.867883E-2</v>
      </c>
      <c r="X3817">
        <v>0.99929950000000001</v>
      </c>
      <c r="Y3817">
        <v>-0.21116679999999999</v>
      </c>
      <c r="Z3817">
        <v>1.820973E-2</v>
      </c>
      <c r="AA3817">
        <v>0.97728040000000005</v>
      </c>
      <c r="AB3817">
        <v>16</v>
      </c>
      <c r="AC3817">
        <v>13.035299999999999</v>
      </c>
      <c r="AD3817">
        <v>-1.0407138600000001</v>
      </c>
      <c r="AE3817">
        <v>-55.651800000000001</v>
      </c>
      <c r="AF3817">
        <v>-12.082754468912499</v>
      </c>
      <c r="AG3817">
        <v>-1.0407138600000001</v>
      </c>
      <c r="AH3817">
        <v>55.846968044919102</v>
      </c>
      <c r="AI3817">
        <v>91.043452190438998</v>
      </c>
      <c r="AJ3817">
        <v>102.20804912080899</v>
      </c>
      <c r="AK3817">
        <v>57.148577241298298</v>
      </c>
      <c r="AL3817">
        <v>88.929719603355494</v>
      </c>
      <c r="AM3817">
        <v>91.858621703785204</v>
      </c>
      <c r="AN3817">
        <v>0.99999997320740797</v>
      </c>
    </row>
    <row r="3818" spans="1:40" x14ac:dyDescent="0.25">
      <c r="A3818" t="str">
        <f>"20190312153957370"</f>
        <v>20190312153957370</v>
      </c>
      <c r="B3818" t="str">
        <f>"1552376397359197"</f>
        <v>1552376397359197</v>
      </c>
      <c r="C3818" t="s">
        <v>40</v>
      </c>
      <c r="D3818">
        <v>4.134836</v>
      </c>
      <c r="E3818">
        <v>0.43095050000000001</v>
      </c>
      <c r="F3818" t="s">
        <v>42</v>
      </c>
      <c r="G3818">
        <v>-479.95780000000002</v>
      </c>
      <c r="H3818">
        <v>2.8879930000000002E-2</v>
      </c>
      <c r="I3818">
        <v>192.5264</v>
      </c>
      <c r="J3818">
        <v>-492.96780000000001</v>
      </c>
      <c r="K3818">
        <v>1.1122270000000001</v>
      </c>
      <c r="L3818">
        <v>247.50489999999999</v>
      </c>
      <c r="M3818">
        <v>1.8955260000000002E-2</v>
      </c>
      <c r="N3818">
        <v>0</v>
      </c>
      <c r="O3818">
        <v>-0.99972249999999996</v>
      </c>
      <c r="P3818">
        <v>5.237497E-2</v>
      </c>
      <c r="Q3818">
        <v>4.4699639999999999E-3</v>
      </c>
      <c r="R3818">
        <v>-0.99861759999999999</v>
      </c>
      <c r="S3818">
        <v>0.70181269999999996</v>
      </c>
      <c r="T3818">
        <v>-5.842257E-2</v>
      </c>
      <c r="U3818">
        <v>-2.9693149999999999</v>
      </c>
      <c r="V3818">
        <v>-3.3511489999999998E-2</v>
      </c>
      <c r="W3818">
        <v>1.8313639999999999E-2</v>
      </c>
      <c r="X3818">
        <v>0.99927060000000001</v>
      </c>
      <c r="Y3818">
        <v>-0.21148520000000001</v>
      </c>
      <c r="Z3818">
        <v>1.9179740000000001E-2</v>
      </c>
      <c r="AA3818">
        <v>0.97719299999999998</v>
      </c>
      <c r="AB3818">
        <v>16</v>
      </c>
      <c r="AC3818">
        <v>13.0099999999999</v>
      </c>
      <c r="AD3818">
        <v>-1.0833470700000001</v>
      </c>
      <c r="AE3818">
        <v>-54.978499999999997</v>
      </c>
      <c r="AF3818">
        <v>-11.9610303663318</v>
      </c>
      <c r="AG3818">
        <v>-1.0833470700000001</v>
      </c>
      <c r="AH3818">
        <v>55.1949574423721</v>
      </c>
      <c r="AI3818">
        <v>91.098935763845802</v>
      </c>
      <c r="AJ3818">
        <v>102.227227567958</v>
      </c>
      <c r="AK3818">
        <v>56.486487015601</v>
      </c>
      <c r="AL3818">
        <v>88.950647132121304</v>
      </c>
      <c r="AM3818">
        <v>91.920748614060201</v>
      </c>
      <c r="AN3818">
        <v>1.00000007069821</v>
      </c>
    </row>
    <row r="3819" spans="1:40" x14ac:dyDescent="0.25">
      <c r="A3819" t="str">
        <f>"20190312153957382"</f>
        <v>20190312153957382</v>
      </c>
      <c r="B3819" t="str">
        <f>"1552376397379693"</f>
        <v>1552376397379693</v>
      </c>
      <c r="C3819" t="s">
        <v>40</v>
      </c>
      <c r="D3819">
        <v>4.1546919999999998</v>
      </c>
      <c r="E3819">
        <v>0.43153359999999902</v>
      </c>
      <c r="F3819" t="s">
        <v>42</v>
      </c>
      <c r="G3819">
        <v>-480.13060000000002</v>
      </c>
      <c r="H3819" s="1">
        <v>-4.0196259999999999E-6</v>
      </c>
      <c r="I3819">
        <v>193.7433</v>
      </c>
      <c r="J3819">
        <v>-492.96420000000001</v>
      </c>
      <c r="K3819">
        <v>1.1122449999999999</v>
      </c>
      <c r="L3819">
        <v>247.4272</v>
      </c>
      <c r="M3819">
        <v>2.0819540000000001E-2</v>
      </c>
      <c r="N3819">
        <v>0</v>
      </c>
      <c r="O3819">
        <v>-0.99968539999999995</v>
      </c>
      <c r="P3819">
        <v>5.5176740000000002E-2</v>
      </c>
      <c r="Q3819">
        <v>3.7519480000000002E-3</v>
      </c>
      <c r="R3819">
        <v>-0.99846979999999996</v>
      </c>
      <c r="S3819">
        <v>0.70852660000000001</v>
      </c>
      <c r="T3819">
        <v>-6.138718E-2</v>
      </c>
      <c r="U3819">
        <v>-2.9672550000000002</v>
      </c>
      <c r="V3819">
        <v>-3.4449170000000001E-2</v>
      </c>
      <c r="W3819">
        <v>1.7590390000000001E-2</v>
      </c>
      <c r="X3819">
        <v>0.99925169999999996</v>
      </c>
      <c r="Y3819">
        <v>-0.2119028</v>
      </c>
      <c r="Z3819">
        <v>2.0158969999999998E-2</v>
      </c>
      <c r="AA3819">
        <v>0.97708280000000003</v>
      </c>
      <c r="AB3819">
        <v>16</v>
      </c>
      <c r="AC3819">
        <v>12.833599999999899</v>
      </c>
      <c r="AD3819">
        <v>-1.112249019626</v>
      </c>
      <c r="AE3819">
        <v>-53.683900000000001</v>
      </c>
      <c r="AF3819">
        <v>-11.708280167160799</v>
      </c>
      <c r="AG3819">
        <v>-1.112249019626</v>
      </c>
      <c r="AH3819">
        <v>53.917584275354997</v>
      </c>
      <c r="AI3819">
        <v>91.154861723537095</v>
      </c>
      <c r="AJ3819">
        <v>102.25164912819299</v>
      </c>
      <c r="AK3819">
        <v>55.185385895582897</v>
      </c>
      <c r="AL3819">
        <v>88.992092974431301</v>
      </c>
      <c r="AM3819">
        <v>91.974488149361605</v>
      </c>
      <c r="AN3819">
        <v>1.00000006354346</v>
      </c>
    </row>
    <row r="3820" spans="1:40" x14ac:dyDescent="0.25">
      <c r="A3820" t="str">
        <f>"20190312153957394"</f>
        <v>20190312153957394</v>
      </c>
      <c r="B3820" t="str">
        <f>"1552376397389453"</f>
        <v>1552376397389453</v>
      </c>
      <c r="C3820" t="s">
        <v>40</v>
      </c>
      <c r="D3820">
        <v>4.1627169999999998</v>
      </c>
      <c r="E3820">
        <v>0.43177450000000001</v>
      </c>
      <c r="F3820" t="s">
        <v>42</v>
      </c>
      <c r="G3820">
        <v>-481.17989999999998</v>
      </c>
      <c r="H3820" s="1">
        <v>-5.3110230000000001E-6</v>
      </c>
      <c r="I3820">
        <v>198.3586</v>
      </c>
      <c r="J3820">
        <v>-492.9599</v>
      </c>
      <c r="K3820">
        <v>1.112258</v>
      </c>
      <c r="L3820">
        <v>247.33920000000001</v>
      </c>
      <c r="M3820">
        <v>2.296076E-2</v>
      </c>
      <c r="N3820">
        <v>0</v>
      </c>
      <c r="O3820">
        <v>-0.99963860000000004</v>
      </c>
      <c r="P3820">
        <v>5.8124639999999998E-2</v>
      </c>
      <c r="Q3820">
        <v>3.3253380000000002E-3</v>
      </c>
      <c r="R3820">
        <v>-0.99830379999999996</v>
      </c>
      <c r="S3820">
        <v>0.71218870000000001</v>
      </c>
      <c r="T3820">
        <v>-6.7219260000000003E-2</v>
      </c>
      <c r="U3820">
        <v>-2.9654850000000001</v>
      </c>
      <c r="V3820">
        <v>-3.5258490000000003E-2</v>
      </c>
      <c r="W3820">
        <v>1.7159399999999998E-2</v>
      </c>
      <c r="X3820">
        <v>0.99923090000000003</v>
      </c>
      <c r="Y3820">
        <v>-0.21107290000000001</v>
      </c>
      <c r="Z3820">
        <v>2.2083370000000001E-2</v>
      </c>
      <c r="AA3820">
        <v>0.9772208</v>
      </c>
      <c r="AB3820">
        <v>16</v>
      </c>
      <c r="AC3820">
        <v>11.78</v>
      </c>
      <c r="AD3820">
        <v>-1.112263311023</v>
      </c>
      <c r="AE3820">
        <v>-48.980600000000003</v>
      </c>
      <c r="AF3820">
        <v>-10.646962005974601</v>
      </c>
      <c r="AG3820">
        <v>-1.112263311023</v>
      </c>
      <c r="AH3820">
        <v>49.214198409260703</v>
      </c>
      <c r="AI3820">
        <v>91.265426126048197</v>
      </c>
      <c r="AJ3820">
        <v>102.207202186066</v>
      </c>
      <c r="AK3820">
        <v>50.364990367276</v>
      </c>
      <c r="AL3820">
        <v>89.016790545651105</v>
      </c>
      <c r="AM3820">
        <v>92.020879134540607</v>
      </c>
      <c r="AN3820">
        <v>0.99999999882012502</v>
      </c>
    </row>
    <row r="3821" spans="1:40" x14ac:dyDescent="0.25">
      <c r="A3821" t="str">
        <f>"20190312153957407"</f>
        <v>20190312153957407</v>
      </c>
      <c r="B3821" t="str">
        <f>"1552376397399213"</f>
        <v>1552376397399213</v>
      </c>
      <c r="C3821" t="s">
        <v>40</v>
      </c>
      <c r="D3821">
        <v>4.1217649999999999</v>
      </c>
      <c r="E3821">
        <v>0.43203449999999999</v>
      </c>
      <c r="F3821" t="s">
        <v>54</v>
      </c>
      <c r="G3821">
        <v>-481.39240000000001</v>
      </c>
      <c r="H3821" s="1">
        <v>3.8770159999999999E-9</v>
      </c>
      <c r="I3821">
        <v>199.6456</v>
      </c>
      <c r="J3821">
        <v>-492.95589999999999</v>
      </c>
      <c r="K3821">
        <v>1.112274</v>
      </c>
      <c r="L3821">
        <v>247.2612</v>
      </c>
      <c r="M3821">
        <v>2.4887759999999998E-2</v>
      </c>
      <c r="N3821">
        <v>0</v>
      </c>
      <c r="O3821">
        <v>-0.99959240000000005</v>
      </c>
      <c r="P3821">
        <v>6.0926719999999997E-2</v>
      </c>
      <c r="Q3821">
        <v>2.6108749999999999E-3</v>
      </c>
      <c r="R3821">
        <v>-0.99813879999999999</v>
      </c>
      <c r="S3821">
        <v>0.71875</v>
      </c>
      <c r="T3821">
        <v>-6.911051E-2</v>
      </c>
      <c r="U3821">
        <v>-2.9634550000000002</v>
      </c>
      <c r="V3821">
        <v>-3.6135140000000003E-2</v>
      </c>
      <c r="W3821">
        <v>1.6440429999999999E-2</v>
      </c>
      <c r="X3821">
        <v>0.99921170000000004</v>
      </c>
      <c r="Y3821">
        <v>-0.2113816</v>
      </c>
      <c r="Z3821">
        <v>2.2711309999999998E-2</v>
      </c>
      <c r="AA3821">
        <v>0.97713970000000006</v>
      </c>
      <c r="AB3821">
        <v>16</v>
      </c>
      <c r="AC3821">
        <v>11.5634999999999</v>
      </c>
      <c r="AD3821">
        <v>-1.1122739961229799</v>
      </c>
      <c r="AE3821">
        <v>-47.615600000000001</v>
      </c>
      <c r="AF3821">
        <v>-10.369412871496699</v>
      </c>
      <c r="AG3821">
        <v>-1.1122739961229799</v>
      </c>
      <c r="AH3821">
        <v>47.864002930525899</v>
      </c>
      <c r="AI3821">
        <v>91.301041149902403</v>
      </c>
      <c r="AJ3821">
        <v>102.223840831687</v>
      </c>
      <c r="AK3821">
        <v>48.986984529315599</v>
      </c>
      <c r="AL3821">
        <v>89.057990335842305</v>
      </c>
      <c r="AM3821">
        <v>92.071121828056704</v>
      </c>
      <c r="AN3821">
        <v>1.00000002874914</v>
      </c>
    </row>
    <row r="3822" spans="1:40" x14ac:dyDescent="0.25">
      <c r="A3822" t="str">
        <f>"20190312153957418"</f>
        <v>20190312153957418</v>
      </c>
      <c r="B3822" t="str">
        <f>"1552376397408973"</f>
        <v>1552376397408973</v>
      </c>
      <c r="C3822" t="s">
        <v>40</v>
      </c>
      <c r="D3822">
        <v>4.3248379999999997</v>
      </c>
      <c r="E3822">
        <v>0.43235119999999999</v>
      </c>
      <c r="F3822" t="s">
        <v>54</v>
      </c>
      <c r="G3822">
        <v>-481.83980000000003</v>
      </c>
      <c r="H3822" s="1">
        <v>2.9801450000000002E-7</v>
      </c>
      <c r="I3822">
        <v>201.86709999999999</v>
      </c>
      <c r="J3822">
        <v>-492.95100000000002</v>
      </c>
      <c r="K3822">
        <v>1.1122909999999999</v>
      </c>
      <c r="L3822">
        <v>247.1705</v>
      </c>
      <c r="M3822">
        <v>2.7147629999999999E-2</v>
      </c>
      <c r="N3822">
        <v>0</v>
      </c>
      <c r="O3822">
        <v>-0.99953360000000002</v>
      </c>
      <c r="P3822">
        <v>6.3485730000000004E-2</v>
      </c>
      <c r="Q3822">
        <v>2.3130379999999999E-3</v>
      </c>
      <c r="R3822">
        <v>-0.99798030000000004</v>
      </c>
      <c r="S3822">
        <v>0.72521969999999902</v>
      </c>
      <c r="T3822">
        <v>-7.2565320000000003E-2</v>
      </c>
      <c r="U3822">
        <v>-2.9615330000000002</v>
      </c>
      <c r="V3822">
        <v>-3.6436919999999998E-2</v>
      </c>
      <c r="W3822">
        <v>1.6140539999999998E-2</v>
      </c>
      <c r="X3822">
        <v>0.99920560000000003</v>
      </c>
      <c r="Y3822">
        <v>-0.21132580000000001</v>
      </c>
      <c r="Z3822">
        <v>2.3852970000000001E-2</v>
      </c>
      <c r="AA3822">
        <v>0.97712460000000001</v>
      </c>
      <c r="AB3822">
        <v>16</v>
      </c>
      <c r="AC3822">
        <v>11.111199999999901</v>
      </c>
      <c r="AD3822">
        <v>-1.1122907019855</v>
      </c>
      <c r="AE3822">
        <v>-45.303400000000003</v>
      </c>
      <c r="AF3822">
        <v>-9.8714908448168792</v>
      </c>
      <c r="AG3822">
        <v>-1.1122907019855</v>
      </c>
      <c r="AH3822">
        <v>45.562464958422296</v>
      </c>
      <c r="AI3822">
        <v>91.366753722954002</v>
      </c>
      <c r="AJ3822">
        <v>102.224670372193</v>
      </c>
      <c r="AK3822">
        <v>46.6328396646879</v>
      </c>
      <c r="AL3822">
        <v>89.075175019254999</v>
      </c>
      <c r="AM3822">
        <v>92.088416137248799</v>
      </c>
      <c r="AN3822">
        <v>0.999999998620968</v>
      </c>
    </row>
    <row r="3823" spans="1:40" x14ac:dyDescent="0.25">
      <c r="A3823" t="str">
        <f>"20190312153957430"</f>
        <v>20190312153957430</v>
      </c>
      <c r="B3823" t="str">
        <f>"1552376397419710"</f>
        <v>1552376397419710</v>
      </c>
      <c r="C3823" t="s">
        <v>40</v>
      </c>
      <c r="D3823">
        <v>4.1595120000000003</v>
      </c>
      <c r="E3823">
        <v>0.4327088</v>
      </c>
      <c r="F3823" t="s">
        <v>54</v>
      </c>
      <c r="G3823">
        <v>-481.93689999999998</v>
      </c>
      <c r="H3823" s="1">
        <v>3.8568359999999998E-7</v>
      </c>
      <c r="I3823">
        <v>202.52930000000001</v>
      </c>
      <c r="J3823">
        <v>-492.94639999999998</v>
      </c>
      <c r="K3823">
        <v>1.112309</v>
      </c>
      <c r="L3823">
        <v>247.0891</v>
      </c>
      <c r="M3823">
        <v>2.9215709999999999E-2</v>
      </c>
      <c r="N3823">
        <v>0</v>
      </c>
      <c r="O3823">
        <v>-0.99947529999999996</v>
      </c>
      <c r="P3823">
        <v>6.6153970000000006E-2</v>
      </c>
      <c r="Q3823">
        <v>2.148896E-3</v>
      </c>
      <c r="R3823">
        <v>-0.99780729999999995</v>
      </c>
      <c r="S3823">
        <v>0.73025509999999905</v>
      </c>
      <c r="T3823">
        <v>-7.3746800000000001E-2</v>
      </c>
      <c r="U3823">
        <v>-2.9597929999999999</v>
      </c>
      <c r="V3823">
        <v>-3.7041629999999999E-2</v>
      </c>
      <c r="W3823">
        <v>1.5973190000000002E-2</v>
      </c>
      <c r="X3823">
        <v>0.99918600000000002</v>
      </c>
      <c r="Y3823">
        <v>-0.21100140000000001</v>
      </c>
      <c r="Z3823">
        <v>2.4248800000000001E-2</v>
      </c>
      <c r="AA3823">
        <v>0.97718499999999997</v>
      </c>
      <c r="AB3823">
        <v>16</v>
      </c>
      <c r="AC3823">
        <v>11.009499999999999</v>
      </c>
      <c r="AD3823">
        <v>-1.1123086143163901</v>
      </c>
      <c r="AE3823">
        <v>-44.559800000000003</v>
      </c>
      <c r="AF3823">
        <v>-9.6971312063156301</v>
      </c>
      <c r="AG3823">
        <v>-1.1123086143163901</v>
      </c>
      <c r="AH3823">
        <v>44.836126391257899</v>
      </c>
      <c r="AI3823">
        <v>91.389017489723102</v>
      </c>
      <c r="AJ3823">
        <v>102.20392800914099</v>
      </c>
      <c r="AK3823">
        <v>45.886270428733198</v>
      </c>
      <c r="AL3823">
        <v>89.084764654170101</v>
      </c>
      <c r="AM3823">
        <v>92.123085805787198</v>
      </c>
      <c r="AN3823">
        <v>0.999999943873914</v>
      </c>
    </row>
    <row r="3824" spans="1:40" x14ac:dyDescent="0.25">
      <c r="A3824" t="str">
        <f>"20190312153957443"</f>
        <v>20190312153957443</v>
      </c>
      <c r="B3824" t="str">
        <f>"1552376397439229"</f>
        <v>1552376397439229</v>
      </c>
      <c r="C3824" t="s">
        <v>40</v>
      </c>
      <c r="D3824">
        <v>4.1575280000000001</v>
      </c>
      <c r="E3824">
        <v>0.43936940000000002</v>
      </c>
      <c r="F3824" t="s">
        <v>54</v>
      </c>
      <c r="G3824">
        <v>-482.02370000000002</v>
      </c>
      <c r="H3824" s="1">
        <v>4.6666210000000002E-7</v>
      </c>
      <c r="I3824">
        <v>203.14089999999999</v>
      </c>
      <c r="J3824">
        <v>-492.94139999999999</v>
      </c>
      <c r="K3824">
        <v>1.112325</v>
      </c>
      <c r="L3824">
        <v>247.00489999999999</v>
      </c>
      <c r="M3824">
        <v>3.1372990000000003E-2</v>
      </c>
      <c r="N3824">
        <v>0</v>
      </c>
      <c r="O3824">
        <v>-0.99940989999999996</v>
      </c>
      <c r="P3824">
        <v>6.8828260000000002E-2</v>
      </c>
      <c r="Q3824">
        <v>2.33008E-3</v>
      </c>
      <c r="R3824">
        <v>-0.99762629999999997</v>
      </c>
      <c r="S3824">
        <v>0.7351685</v>
      </c>
      <c r="T3824">
        <v>-7.486582E-2</v>
      </c>
      <c r="U3824">
        <v>-2.958008</v>
      </c>
      <c r="V3824">
        <v>-3.7564670000000001E-2</v>
      </c>
      <c r="W3824">
        <v>1.615103E-2</v>
      </c>
      <c r="X3824">
        <v>0.99916369999999999</v>
      </c>
      <c r="Y3824">
        <v>-0.21055570000000001</v>
      </c>
      <c r="Z3824">
        <v>2.462485E-2</v>
      </c>
      <c r="AA3824">
        <v>0.97727169999999997</v>
      </c>
      <c r="AB3824">
        <v>16</v>
      </c>
      <c r="AC3824">
        <v>10.9176999999999</v>
      </c>
      <c r="AD3824">
        <v>-1.1123245333378999</v>
      </c>
      <c r="AE3824">
        <v>-43.863999999999997</v>
      </c>
      <c r="AF3824">
        <v>-9.5302742877848292</v>
      </c>
      <c r="AG3824">
        <v>-1.1123245333378999</v>
      </c>
      <c r="AH3824">
        <v>44.158218435305002</v>
      </c>
      <c r="AI3824">
        <v>91.410486414505002</v>
      </c>
      <c r="AJ3824">
        <v>102.17883831555901</v>
      </c>
      <c r="AK3824">
        <v>45.188623006770001</v>
      </c>
      <c r="AL3824">
        <v>89.074573937027594</v>
      </c>
      <c r="AM3824">
        <v>92.153084466095507</v>
      </c>
      <c r="AN3824">
        <v>1.00000002979997</v>
      </c>
    </row>
    <row r="3825" spans="1:40" x14ac:dyDescent="0.25">
      <c r="A3825" t="str">
        <f>"20190312153957460"</f>
        <v>20190312153957460</v>
      </c>
      <c r="B3825" t="str">
        <f>"1552376397448989"</f>
        <v>1552376397448989</v>
      </c>
      <c r="C3825" t="s">
        <v>40</v>
      </c>
      <c r="D3825">
        <v>4.20343</v>
      </c>
      <c r="E3825">
        <v>0.43956109999999998</v>
      </c>
      <c r="F3825" t="s">
        <v>54</v>
      </c>
      <c r="G3825">
        <v>-484.27719999999999</v>
      </c>
      <c r="H3825" s="1">
        <v>2.1016820000000001E-6</v>
      </c>
      <c r="I3825">
        <v>209.8784</v>
      </c>
      <c r="J3825">
        <v>-492.93389999999999</v>
      </c>
      <c r="K3825">
        <v>1.112349</v>
      </c>
      <c r="L3825">
        <v>246.8836</v>
      </c>
      <c r="M3825">
        <v>3.4527160000000001E-2</v>
      </c>
      <c r="N3825">
        <v>0</v>
      </c>
      <c r="O3825">
        <v>-0.99930589999999997</v>
      </c>
      <c r="P3825">
        <v>7.3010649999999996E-2</v>
      </c>
      <c r="Q3825">
        <v>2.8276909999999998E-3</v>
      </c>
      <c r="R3825">
        <v>-0.99732739999999998</v>
      </c>
      <c r="S3825">
        <v>0.69070430000000005</v>
      </c>
      <c r="T3825">
        <v>-8.8673589999999997E-2</v>
      </c>
      <c r="U3825">
        <v>-2.9597020000000001</v>
      </c>
      <c r="V3825">
        <v>-3.8603449999999997E-2</v>
      </c>
      <c r="W3825">
        <v>1.6642580000000001E-2</v>
      </c>
      <c r="X3825">
        <v>0.999116</v>
      </c>
      <c r="Y3825">
        <v>-0.19340350000000001</v>
      </c>
      <c r="Z3825">
        <v>2.9244900000000001E-2</v>
      </c>
      <c r="AA3825">
        <v>0.98068330000000004</v>
      </c>
      <c r="AB3825">
        <v>16</v>
      </c>
      <c r="AC3825">
        <v>8.6567000000000007</v>
      </c>
      <c r="AD3825">
        <v>-1.112346898318</v>
      </c>
      <c r="AE3825">
        <v>-37.005200000000002</v>
      </c>
      <c r="AF3825">
        <v>-7.36741660352246</v>
      </c>
      <c r="AG3825">
        <v>-1.112346898318</v>
      </c>
      <c r="AH3825">
        <v>37.250140933685401</v>
      </c>
      <c r="AI3825">
        <v>91.677947551459397</v>
      </c>
      <c r="AJ3825">
        <v>101.18769991011401</v>
      </c>
      <c r="AK3825">
        <v>37.988013143773102</v>
      </c>
      <c r="AL3825">
        <v>89.046406374021899</v>
      </c>
      <c r="AM3825">
        <v>92.212671099085696</v>
      </c>
      <c r="AN3825">
        <v>0.99999999163847897</v>
      </c>
    </row>
    <row r="3826" spans="1:40" x14ac:dyDescent="0.25">
      <c r="A3826" t="str">
        <f>"20190312153957474"</f>
        <v>20190312153957474</v>
      </c>
      <c r="B3826" t="str">
        <f>"1552376397469487"</f>
        <v>1552376397469487</v>
      </c>
      <c r="C3826" t="s">
        <v>40</v>
      </c>
      <c r="D3826">
        <v>4.1305880000000004</v>
      </c>
      <c r="E3826">
        <v>0.4413724</v>
      </c>
      <c r="F3826" t="s">
        <v>54</v>
      </c>
      <c r="G3826">
        <v>-484.22109999999998</v>
      </c>
      <c r="H3826" s="1">
        <v>2.103582E-6</v>
      </c>
      <c r="I3826">
        <v>210.14959999999999</v>
      </c>
      <c r="J3826">
        <v>-492.92739999999998</v>
      </c>
      <c r="K3826">
        <v>1.112358</v>
      </c>
      <c r="L3826">
        <v>246.78460000000001</v>
      </c>
      <c r="M3826">
        <v>3.7140050000000001E-2</v>
      </c>
      <c r="N3826">
        <v>0</v>
      </c>
      <c r="O3826">
        <v>-0.99921210000000005</v>
      </c>
      <c r="P3826">
        <v>7.6022980000000004E-2</v>
      </c>
      <c r="Q3826">
        <v>3.0704740000000001E-3</v>
      </c>
      <c r="R3826">
        <v>-0.99710120000000002</v>
      </c>
      <c r="S3826">
        <v>0.70135499999999995</v>
      </c>
      <c r="T3826">
        <v>-8.9539999999999995E-2</v>
      </c>
      <c r="U3826">
        <v>-2.9569549999999998</v>
      </c>
      <c r="V3826">
        <v>-3.90111E-2</v>
      </c>
      <c r="W3826">
        <v>1.6882399999999999E-2</v>
      </c>
      <c r="X3826">
        <v>0.99909619999999999</v>
      </c>
      <c r="Y3826">
        <v>-0.19438440000000001</v>
      </c>
      <c r="Z3826">
        <v>2.9537979999999998E-2</v>
      </c>
      <c r="AA3826">
        <v>0.98048060000000004</v>
      </c>
      <c r="AB3826">
        <v>16</v>
      </c>
      <c r="AC3826">
        <v>8.7062999999999899</v>
      </c>
      <c r="AD3826">
        <v>-1.112355896418</v>
      </c>
      <c r="AE3826">
        <v>-36.634999999999998</v>
      </c>
      <c r="AF3826">
        <v>-7.3331339519186702</v>
      </c>
      <c r="AG3826">
        <v>-1.112355896418</v>
      </c>
      <c r="AH3826">
        <v>36.900902364738897</v>
      </c>
      <c r="AI3826">
        <v>91.693528091199795</v>
      </c>
      <c r="AJ3826">
        <v>101.239676040934</v>
      </c>
      <c r="AK3826">
        <v>37.638926452930001</v>
      </c>
      <c r="AL3826">
        <v>89.0326638247831</v>
      </c>
      <c r="AM3826">
        <v>92.236057441432706</v>
      </c>
      <c r="AN3826">
        <v>1.0000000491037</v>
      </c>
    </row>
    <row r="3827" spans="1:40" x14ac:dyDescent="0.25">
      <c r="A3827" t="str">
        <f>"20190312153957489"</f>
        <v>20190312153957489</v>
      </c>
      <c r="B3827" t="str">
        <f>"1552376397479245"</f>
        <v>1552376397479245</v>
      </c>
      <c r="C3827" t="s">
        <v>40</v>
      </c>
      <c r="D3827">
        <v>4.2258290000000001</v>
      </c>
      <c r="E3827">
        <v>0.4420733</v>
      </c>
      <c r="F3827" t="s">
        <v>54</v>
      </c>
      <c r="G3827">
        <v>-484.14580000000001</v>
      </c>
      <c r="H3827" s="1">
        <v>2.0260370000000001E-6</v>
      </c>
      <c r="I3827">
        <v>209.48429999999999</v>
      </c>
      <c r="J3827">
        <v>-492.92059999999998</v>
      </c>
      <c r="K3827">
        <v>1.1123700000000001</v>
      </c>
      <c r="L3827">
        <v>246.685</v>
      </c>
      <c r="M3827">
        <v>3.9808200000000002E-2</v>
      </c>
      <c r="N3827">
        <v>0</v>
      </c>
      <c r="O3827">
        <v>-0.99910940000000004</v>
      </c>
      <c r="P3827">
        <v>7.8835520000000006E-2</v>
      </c>
      <c r="Q3827">
        <v>2.9322760000000002E-3</v>
      </c>
      <c r="R3827">
        <v>-0.99688350000000003</v>
      </c>
      <c r="S3827">
        <v>0.69592290000000001</v>
      </c>
      <c r="T3827">
        <v>-8.8151690000000005E-2</v>
      </c>
      <c r="U3827">
        <v>-2.9559630000000001</v>
      </c>
      <c r="V3827">
        <v>-3.9161260000000003E-2</v>
      </c>
      <c r="W3827">
        <v>1.674366E-2</v>
      </c>
      <c r="X3827">
        <v>0.9990926</v>
      </c>
      <c r="Y3827">
        <v>-0.19013360000000001</v>
      </c>
      <c r="Z3827">
        <v>2.9103670000000002E-2</v>
      </c>
      <c r="AA3827">
        <v>0.98132680000000005</v>
      </c>
      <c r="AB3827">
        <v>16</v>
      </c>
      <c r="AC3827">
        <v>8.7747999999999706</v>
      </c>
      <c r="AD3827">
        <v>-1.1123679739629999</v>
      </c>
      <c r="AE3827">
        <v>-37.200699999999998</v>
      </c>
      <c r="AF3827">
        <v>-7.2806387093815603</v>
      </c>
      <c r="AG3827">
        <v>-1.1123679739629999</v>
      </c>
      <c r="AH3827">
        <v>37.4887971407272</v>
      </c>
      <c r="AI3827">
        <v>91.668427661838393</v>
      </c>
      <c r="AJ3827">
        <v>100.990507748344</v>
      </c>
      <c r="AK3827">
        <v>38.205431205322597</v>
      </c>
      <c r="AL3827">
        <v>89.040614106861796</v>
      </c>
      <c r="AM3827">
        <v>92.244663678967598</v>
      </c>
      <c r="AN3827">
        <v>0.99999998890487096</v>
      </c>
    </row>
    <row r="3828" spans="1:40" x14ac:dyDescent="0.25">
      <c r="A3828" t="str">
        <f>"20190312153957503"</f>
        <v>20190312153957503</v>
      </c>
      <c r="B3828" t="str">
        <f>"1552376397499741"</f>
        <v>1552376397499741</v>
      </c>
      <c r="C3828" t="s">
        <v>40</v>
      </c>
      <c r="D3828">
        <v>4.2460180000000003</v>
      </c>
      <c r="E3828">
        <v>0.44327359999999999</v>
      </c>
      <c r="F3828" t="s">
        <v>54</v>
      </c>
      <c r="G3828">
        <v>-484.31420000000003</v>
      </c>
      <c r="H3828" s="1">
        <v>2.1254649999999999E-6</v>
      </c>
      <c r="I3828">
        <v>210.2724</v>
      </c>
      <c r="J3828">
        <v>-492.9135</v>
      </c>
      <c r="K3828">
        <v>1.1123689999999999</v>
      </c>
      <c r="L3828">
        <v>246.5849</v>
      </c>
      <c r="M3828">
        <v>4.251332E-2</v>
      </c>
      <c r="N3828">
        <v>0</v>
      </c>
      <c r="O3828">
        <v>-0.99899789999999999</v>
      </c>
      <c r="P3828">
        <v>8.1857159999999998E-2</v>
      </c>
      <c r="Q3828">
        <v>2.1572850000000001E-3</v>
      </c>
      <c r="R3828">
        <v>-0.99664180000000002</v>
      </c>
      <c r="S3828">
        <v>0.69830319999999901</v>
      </c>
      <c r="T3828">
        <v>-9.025466E-2</v>
      </c>
      <c r="U3828">
        <v>-2.9544220000000001</v>
      </c>
      <c r="V3828">
        <v>-3.9481420000000003E-2</v>
      </c>
      <c r="W3828">
        <v>1.5966520000000001E-2</v>
      </c>
      <c r="X3828">
        <v>0.9990928</v>
      </c>
      <c r="Y3828">
        <v>-0.18833330000000001</v>
      </c>
      <c r="Z3828">
        <v>2.9809950000000002E-2</v>
      </c>
      <c r="AA3828">
        <v>0.98165270000000004</v>
      </c>
      <c r="AB3828">
        <v>16</v>
      </c>
      <c r="AC3828">
        <v>8.5992999999999693</v>
      </c>
      <c r="AD3828">
        <v>-1.1123668745349999</v>
      </c>
      <c r="AE3828">
        <v>-36.3125</v>
      </c>
      <c r="AF3828">
        <v>-7.0413510892728599</v>
      </c>
      <c r="AG3828">
        <v>-1.1123668745349999</v>
      </c>
      <c r="AH3828">
        <v>36.612751411936898</v>
      </c>
      <c r="AI3828">
        <v>91.708924509766703</v>
      </c>
      <c r="AJ3828">
        <v>100.88618706885499</v>
      </c>
      <c r="AK3828">
        <v>37.300288888670202</v>
      </c>
      <c r="AL3828">
        <v>89.085146979028593</v>
      </c>
      <c r="AM3828">
        <v>92.262995307355894</v>
      </c>
      <c r="AN3828">
        <v>1.00000006764898</v>
      </c>
    </row>
    <row r="3829" spans="1:40" x14ac:dyDescent="0.25">
      <c r="A3829" t="str">
        <f>"20190312153957515"</f>
        <v>20190312153957515</v>
      </c>
      <c r="B3829" t="str">
        <f>"1552376397509502"</f>
        <v>1552376397509502</v>
      </c>
      <c r="C3829" t="s">
        <v>40</v>
      </c>
      <c r="D3829">
        <v>4.2294980000000004</v>
      </c>
      <c r="E3829">
        <v>0.4436544</v>
      </c>
      <c r="F3829" t="s">
        <v>54</v>
      </c>
      <c r="G3829">
        <v>-485.36720000000003</v>
      </c>
      <c r="H3829" s="1">
        <v>2.5037779999999999E-6</v>
      </c>
      <c r="I3829">
        <v>214.65389999999999</v>
      </c>
      <c r="J3829">
        <v>-492.90719999999999</v>
      </c>
      <c r="K3829">
        <v>1.1123700000000001</v>
      </c>
      <c r="L3829">
        <v>246.50059999999999</v>
      </c>
      <c r="M3829">
        <v>4.4811240000000002E-2</v>
      </c>
      <c r="N3829">
        <v>0</v>
      </c>
      <c r="O3829">
        <v>-0.99889749999999999</v>
      </c>
      <c r="P3829">
        <v>8.4599899999999895E-2</v>
      </c>
      <c r="Q3829">
        <v>1.163812E-3</v>
      </c>
      <c r="R3829">
        <v>-0.99641469999999999</v>
      </c>
      <c r="S3829">
        <v>0.69787600000000005</v>
      </c>
      <c r="T3829">
        <v>-0.1028718</v>
      </c>
      <c r="U3829">
        <v>-2.9529879999999999</v>
      </c>
      <c r="V3829">
        <v>-3.992938E-2</v>
      </c>
      <c r="W3829">
        <v>1.4970519999999999E-2</v>
      </c>
      <c r="X3829">
        <v>0.99909040000000005</v>
      </c>
      <c r="Y3829">
        <v>-0.18601519999999999</v>
      </c>
      <c r="Z3829">
        <v>3.3991639999999997E-2</v>
      </c>
      <c r="AA3829">
        <v>0.98195869999999996</v>
      </c>
      <c r="AB3829">
        <v>16</v>
      </c>
      <c r="AC3829">
        <v>7.5399999999999601</v>
      </c>
      <c r="AD3829">
        <v>-1.112367496222</v>
      </c>
      <c r="AE3829">
        <v>-31.846699999999998</v>
      </c>
      <c r="AF3829">
        <v>-6.0981495973575601</v>
      </c>
      <c r="AG3829">
        <v>-1.112367496222</v>
      </c>
      <c r="AH3829">
        <v>32.115510759222801</v>
      </c>
      <c r="AI3829">
        <v>91.948933956652496</v>
      </c>
      <c r="AJ3829">
        <v>100.751428149934</v>
      </c>
      <c r="AK3829">
        <v>32.708268393239003</v>
      </c>
      <c r="AL3829">
        <v>89.142220386985599</v>
      </c>
      <c r="AM3829">
        <v>92.288649812137706</v>
      </c>
      <c r="AN3829">
        <v>1.0000000496142001</v>
      </c>
    </row>
    <row r="3830" spans="1:40" x14ac:dyDescent="0.25">
      <c r="A3830" t="str">
        <f>"20190312153957527"</f>
        <v>20190312153957527</v>
      </c>
      <c r="B3830" t="str">
        <f>"1552376397519261"</f>
        <v>1552376397519261</v>
      </c>
      <c r="C3830" t="s">
        <v>40</v>
      </c>
      <c r="D3830">
        <v>4.2668730000000004</v>
      </c>
      <c r="E3830">
        <v>0.4436544</v>
      </c>
      <c r="F3830" t="s">
        <v>54</v>
      </c>
      <c r="G3830">
        <v>-485.62630000000001</v>
      </c>
      <c r="H3830" s="1">
        <v>2.6058530000000001E-6</v>
      </c>
      <c r="I3830">
        <v>215.93770000000001</v>
      </c>
      <c r="J3830">
        <v>-492.9015</v>
      </c>
      <c r="K3830">
        <v>1.1123689999999999</v>
      </c>
      <c r="L3830">
        <v>246.42619999999999</v>
      </c>
      <c r="M3830">
        <v>4.686042E-2</v>
      </c>
      <c r="N3830">
        <v>0</v>
      </c>
      <c r="O3830">
        <v>-0.99880340000000001</v>
      </c>
      <c r="P3830">
        <v>8.7146269999999998E-2</v>
      </c>
      <c r="Q3830" s="1">
        <v>-5.0461560000000002E-5</v>
      </c>
      <c r="R3830">
        <v>-0.99619559999999996</v>
      </c>
      <c r="S3830">
        <v>0.70306400000000002</v>
      </c>
      <c r="T3830">
        <v>-0.1074131</v>
      </c>
      <c r="U3830">
        <v>-2.9512330000000002</v>
      </c>
      <c r="V3830">
        <v>-4.0427449999999997E-2</v>
      </c>
      <c r="W3830">
        <v>1.375376E-2</v>
      </c>
      <c r="X3830">
        <v>0.99908779999999997</v>
      </c>
      <c r="Y3830">
        <v>-0.18575220000000001</v>
      </c>
      <c r="Z3830">
        <v>3.5499580000000003E-2</v>
      </c>
      <c r="AA3830">
        <v>0.98195520000000003</v>
      </c>
      <c r="AB3830">
        <v>16</v>
      </c>
      <c r="AC3830">
        <v>7.2751999999999803</v>
      </c>
      <c r="AD3830">
        <v>-1.1123663941469999</v>
      </c>
      <c r="AE3830">
        <v>-30.488499999999899</v>
      </c>
      <c r="AF3830">
        <v>-5.8310186395489101</v>
      </c>
      <c r="AG3830">
        <v>-1.1123663941469999</v>
      </c>
      <c r="AH3830">
        <v>30.757216034290899</v>
      </c>
      <c r="AI3830">
        <v>92.035041158025095</v>
      </c>
      <c r="AJ3830">
        <v>100.7348575292</v>
      </c>
      <c r="AK3830">
        <v>31.324822035402399</v>
      </c>
      <c r="AL3830">
        <v>89.211942743470303</v>
      </c>
      <c r="AM3830">
        <v>92.317173005910107</v>
      </c>
      <c r="AN3830">
        <v>0.999999988368239</v>
      </c>
    </row>
    <row r="3831" spans="1:40" x14ac:dyDescent="0.25">
      <c r="A3831" t="str">
        <f>"20190312153957538"</f>
        <v>20190312153957538</v>
      </c>
      <c r="B3831" t="str">
        <f>"1552376397529022"</f>
        <v>1552376397529022</v>
      </c>
      <c r="C3831" t="s">
        <v>40</v>
      </c>
      <c r="D3831">
        <v>4.2099440000000001</v>
      </c>
      <c r="E3831">
        <v>0.44110270000000001</v>
      </c>
      <c r="F3831" t="s">
        <v>54</v>
      </c>
      <c r="G3831">
        <v>-485.80380000000002</v>
      </c>
      <c r="H3831" s="1">
        <v>2.6820750000000001E-6</v>
      </c>
      <c r="I3831">
        <v>216.96129999999999</v>
      </c>
      <c r="J3831">
        <v>-492.89510000000001</v>
      </c>
      <c r="K3831">
        <v>1.1123700000000001</v>
      </c>
      <c r="L3831">
        <v>246.34520000000001</v>
      </c>
      <c r="M3831">
        <v>4.9097399999999999E-2</v>
      </c>
      <c r="N3831">
        <v>0</v>
      </c>
      <c r="O3831">
        <v>-0.99869600000000003</v>
      </c>
      <c r="P3831">
        <v>8.9920899999999998E-2</v>
      </c>
      <c r="Q3831">
        <v>-1.1201539999999999E-3</v>
      </c>
      <c r="R3831">
        <v>-0.99594850000000001</v>
      </c>
      <c r="S3831">
        <v>0.710449199999999</v>
      </c>
      <c r="T3831">
        <v>-0.111342899999999</v>
      </c>
      <c r="U3831">
        <v>-2.9493100000000001</v>
      </c>
      <c r="V3831">
        <v>-4.0967780000000002E-2</v>
      </c>
      <c r="W3831">
        <v>1.268097E-2</v>
      </c>
      <c r="X3831">
        <v>0.99907999999999997</v>
      </c>
      <c r="Y3831">
        <v>-0.18601010000000001</v>
      </c>
      <c r="Z3831">
        <v>3.6802479999999999E-2</v>
      </c>
      <c r="AA3831">
        <v>0.98185840000000002</v>
      </c>
      <c r="AB3831">
        <v>16</v>
      </c>
      <c r="AC3831">
        <v>7.0912999999999897</v>
      </c>
      <c r="AD3831">
        <v>-1.112367317925</v>
      </c>
      <c r="AE3831">
        <v>-29.383900000000001</v>
      </c>
      <c r="AF3831">
        <v>-5.6323044324508196</v>
      </c>
      <c r="AG3831">
        <v>-1.112367317925</v>
      </c>
      <c r="AH3831">
        <v>29.656492670859802</v>
      </c>
      <c r="AI3831">
        <v>92.110378188175801</v>
      </c>
      <c r="AJ3831">
        <v>100.753437419067</v>
      </c>
      <c r="AK3831">
        <v>30.207081484422702</v>
      </c>
      <c r="AL3831">
        <v>89.273414469144996</v>
      </c>
      <c r="AM3831">
        <v>92.348126879492497</v>
      </c>
      <c r="AN3831">
        <v>1.0000000061991301</v>
      </c>
    </row>
    <row r="3832" spans="1:40" x14ac:dyDescent="0.25">
      <c r="A3832" t="str">
        <f>"20190312153957550"</f>
        <v>20190312153957550</v>
      </c>
      <c r="B3832" t="str">
        <f>"1552376397539758"</f>
        <v>1552376397539758</v>
      </c>
      <c r="C3832" t="s">
        <v>40</v>
      </c>
      <c r="D3832">
        <v>4.0995179999999998</v>
      </c>
      <c r="E3832">
        <v>0.44110270000000001</v>
      </c>
      <c r="F3832" t="s">
        <v>54</v>
      </c>
      <c r="G3832">
        <v>-485.30029999999999</v>
      </c>
      <c r="H3832" s="1">
        <v>2.5536859999999998E-6</v>
      </c>
      <c r="I3832">
        <v>216.06720000000001</v>
      </c>
      <c r="J3832">
        <v>-492.88850000000002</v>
      </c>
      <c r="K3832">
        <v>1.1123639999999999</v>
      </c>
      <c r="L3832">
        <v>246.2645</v>
      </c>
      <c r="M3832">
        <v>5.1342930000000002E-2</v>
      </c>
      <c r="N3832">
        <v>0</v>
      </c>
      <c r="O3832">
        <v>-0.998583</v>
      </c>
      <c r="P3832">
        <v>9.2963400000000002E-2</v>
      </c>
      <c r="Q3832">
        <v>-2.153061E-3</v>
      </c>
      <c r="R3832">
        <v>-0.99566730000000003</v>
      </c>
      <c r="S3832">
        <v>0.73880000000000001</v>
      </c>
      <c r="T3832">
        <v>-0.1082081</v>
      </c>
      <c r="U3832">
        <v>-2.9453580000000001</v>
      </c>
      <c r="V3832">
        <v>-4.176912E-2</v>
      </c>
      <c r="W3832">
        <v>1.1644399999999999E-2</v>
      </c>
      <c r="X3832">
        <v>0.99905940000000004</v>
      </c>
      <c r="Y3832">
        <v>-0.19301679999999999</v>
      </c>
      <c r="Z3832">
        <v>3.5743230000000001E-2</v>
      </c>
      <c r="AA3832">
        <v>0.98054419999999998</v>
      </c>
      <c r="AB3832">
        <v>16</v>
      </c>
      <c r="AC3832">
        <v>7.58820000000002</v>
      </c>
      <c r="AD3832">
        <v>-1.1123614463139999</v>
      </c>
      <c r="AE3832">
        <v>-30.197299999999899</v>
      </c>
      <c r="AF3832">
        <v>-6.0199366557499498</v>
      </c>
      <c r="AG3832">
        <v>-1.1123614463139999</v>
      </c>
      <c r="AH3832">
        <v>30.508164529510001</v>
      </c>
      <c r="AI3832">
        <v>92.048674394840106</v>
      </c>
      <c r="AJ3832">
        <v>101.16232848923801</v>
      </c>
      <c r="AK3832">
        <v>31.116315467711502</v>
      </c>
      <c r="AL3832">
        <v>89.332809925551302</v>
      </c>
      <c r="AM3832">
        <v>92.394053205467699</v>
      </c>
      <c r="AN3832">
        <v>0.99999996808264602</v>
      </c>
    </row>
    <row r="3833" spans="1:40" x14ac:dyDescent="0.25">
      <c r="A3833" t="str">
        <f>"20190312153957562"</f>
        <v>20190312153957562</v>
      </c>
      <c r="B3833" t="str">
        <f>"1552376397549518"</f>
        <v>1552376397549518</v>
      </c>
      <c r="C3833" t="s">
        <v>40</v>
      </c>
      <c r="D3833">
        <v>4.2043999999999997</v>
      </c>
      <c r="E3833">
        <v>0.39840249999999999</v>
      </c>
      <c r="F3833" t="s">
        <v>54</v>
      </c>
      <c r="G3833">
        <v>-485.44</v>
      </c>
      <c r="H3833" s="1">
        <v>2.6174180000000002E-6</v>
      </c>
      <c r="I3833">
        <v>216.95830000000001</v>
      </c>
      <c r="J3833">
        <v>-492.88200000000001</v>
      </c>
      <c r="K3833">
        <v>1.1123590000000001</v>
      </c>
      <c r="L3833">
        <v>246.18709999999999</v>
      </c>
      <c r="M3833">
        <v>5.3503450000000001E-2</v>
      </c>
      <c r="N3833">
        <v>0</v>
      </c>
      <c r="O3833">
        <v>-0.99846959999999996</v>
      </c>
      <c r="P3833">
        <v>9.5872100000000002E-2</v>
      </c>
      <c r="Q3833">
        <v>-3.2088640000000001E-3</v>
      </c>
      <c r="R3833">
        <v>-0.99538859999999996</v>
      </c>
      <c r="S3833">
        <v>0.74798580000000003</v>
      </c>
      <c r="T3833">
        <v>-0.1117049</v>
      </c>
      <c r="U3833">
        <v>-2.9429780000000001</v>
      </c>
      <c r="V3833">
        <v>-4.2521829999999997E-2</v>
      </c>
      <c r="W3833">
        <v>1.058446E-2</v>
      </c>
      <c r="X3833">
        <v>0.99903949999999997</v>
      </c>
      <c r="Y3833">
        <v>-0.19394749999999999</v>
      </c>
      <c r="Z3833">
        <v>3.6902020000000001E-2</v>
      </c>
      <c r="AA3833">
        <v>0.98031760000000001</v>
      </c>
      <c r="AB3833">
        <v>16</v>
      </c>
      <c r="AC3833">
        <v>7.4419999999999398</v>
      </c>
      <c r="AD3833">
        <v>-1.112356382582</v>
      </c>
      <c r="AE3833">
        <v>-29.2287999999999</v>
      </c>
      <c r="AF3833">
        <v>-5.8593740511869798</v>
      </c>
      <c r="AG3833">
        <v>-1.112356382582</v>
      </c>
      <c r="AH3833">
        <v>29.544952453408499</v>
      </c>
      <c r="AI3833">
        <v>92.114993367707399</v>
      </c>
      <c r="AJ3833">
        <v>101.21738352419899</v>
      </c>
      <c r="AK3833">
        <v>30.140899397127601</v>
      </c>
      <c r="AL3833">
        <v>89.393543807593502</v>
      </c>
      <c r="AM3833">
        <v>92.437192716214</v>
      </c>
      <c r="AN3833">
        <v>1.0000000296901399</v>
      </c>
    </row>
    <row r="3834" spans="1:40" x14ac:dyDescent="0.25">
      <c r="A3834" t="str">
        <f>"20190312153957573"</f>
        <v>20190312153957573</v>
      </c>
      <c r="B3834" t="str">
        <f>"1552376397569037"</f>
        <v>1552376397569037</v>
      </c>
      <c r="C3834" t="s">
        <v>40</v>
      </c>
      <c r="D3834">
        <v>4.2345110000000004</v>
      </c>
      <c r="E3834">
        <v>0.39818290000000001</v>
      </c>
      <c r="F3834" t="s">
        <v>54</v>
      </c>
      <c r="G3834">
        <v>-478.81779999999998</v>
      </c>
      <c r="H3834">
        <v>4.6779759999999997E-2</v>
      </c>
      <c r="I3834">
        <v>208.82919999999999</v>
      </c>
      <c r="J3834">
        <v>-492.87490000000003</v>
      </c>
      <c r="K3834">
        <v>1.112352</v>
      </c>
      <c r="L3834">
        <v>246.10409999999999</v>
      </c>
      <c r="M3834">
        <v>5.5824720000000001E-2</v>
      </c>
      <c r="N3834">
        <v>0</v>
      </c>
      <c r="O3834">
        <v>-0.99834250000000002</v>
      </c>
      <c r="P3834">
        <v>9.8746639999999997E-2</v>
      </c>
      <c r="Q3834">
        <v>-3.4940010000000001E-3</v>
      </c>
      <c r="R3834">
        <v>-0.99510679999999996</v>
      </c>
      <c r="S3834">
        <v>1.094849</v>
      </c>
      <c r="T3834">
        <v>-8.2951549999999999E-2</v>
      </c>
      <c r="U3834">
        <v>-2.9081730000000001</v>
      </c>
      <c r="V3834">
        <v>-4.3083129999999997E-2</v>
      </c>
      <c r="W3834">
        <v>1.029599E-2</v>
      </c>
      <c r="X3834">
        <v>0.99901839999999997</v>
      </c>
      <c r="Y3834">
        <v>-0.29940509999999998</v>
      </c>
      <c r="Z3834">
        <v>2.687173E-2</v>
      </c>
      <c r="AA3834">
        <v>0.95374760000000003</v>
      </c>
      <c r="AB3834">
        <v>16</v>
      </c>
      <c r="AC3834">
        <v>14.0571</v>
      </c>
      <c r="AD3834">
        <v>-1.0655722400000001</v>
      </c>
      <c r="AE3834">
        <v>-37.274900000000002</v>
      </c>
      <c r="AF3834">
        <v>-11.945563651581301</v>
      </c>
      <c r="AG3834">
        <v>-1.0655722400000001</v>
      </c>
      <c r="AH3834">
        <v>37.974403034534902</v>
      </c>
      <c r="AI3834">
        <v>91.533279105883295</v>
      </c>
      <c r="AJ3834">
        <v>107.461950493548</v>
      </c>
      <c r="AK3834">
        <v>39.823199532206502</v>
      </c>
      <c r="AL3834">
        <v>89.410072782480796</v>
      </c>
      <c r="AM3834">
        <v>92.469376864437805</v>
      </c>
      <c r="AN3834">
        <v>0.99999996351961695</v>
      </c>
    </row>
    <row r="3835" spans="1:40" x14ac:dyDescent="0.25">
      <c r="A3835" t="str">
        <f>"20190312153957585"</f>
        <v>20190312153957585</v>
      </c>
      <c r="B3835" t="str">
        <f>"1552376397579774"</f>
        <v>1552376397579774</v>
      </c>
      <c r="C3835" t="s">
        <v>40</v>
      </c>
      <c r="D3835">
        <v>4.2343650000000004</v>
      </c>
      <c r="E3835">
        <v>0.39822150000000001</v>
      </c>
      <c r="F3835" t="s">
        <v>54</v>
      </c>
      <c r="G3835">
        <v>-481.28949999999998</v>
      </c>
      <c r="H3835" s="1">
        <v>1.824169E-6</v>
      </c>
      <c r="I3835">
        <v>215.65369999999999</v>
      </c>
      <c r="J3835">
        <v>-492.86759999999998</v>
      </c>
      <c r="K3835">
        <v>1.112344</v>
      </c>
      <c r="L3835">
        <v>246.0224</v>
      </c>
      <c r="M3835">
        <v>5.8117349999999998E-2</v>
      </c>
      <c r="N3835">
        <v>0</v>
      </c>
      <c r="O3835">
        <v>-0.99821170000000004</v>
      </c>
      <c r="P3835">
        <v>0.10163519999999999</v>
      </c>
      <c r="Q3835">
        <v>-3.8602129999999999E-3</v>
      </c>
      <c r="R3835">
        <v>-0.99481450000000005</v>
      </c>
      <c r="S3835">
        <v>1.1051329999999999</v>
      </c>
      <c r="T3835">
        <v>-0.1061077</v>
      </c>
      <c r="U3835">
        <v>-2.9046780000000001</v>
      </c>
      <c r="V3835">
        <v>-4.368731E-2</v>
      </c>
      <c r="W3835">
        <v>9.9264580000000009E-3</v>
      </c>
      <c r="X3835">
        <v>0.998996</v>
      </c>
      <c r="Y3835">
        <v>-0.30046390000000001</v>
      </c>
      <c r="Z3835">
        <v>3.4369860000000002E-2</v>
      </c>
      <c r="AA3835">
        <v>0.95317379999999996</v>
      </c>
      <c r="AB3835">
        <v>16</v>
      </c>
      <c r="AC3835">
        <v>11.578099999999999</v>
      </c>
      <c r="AD3835">
        <v>-1.1123421758309999</v>
      </c>
      <c r="AE3835">
        <v>-30.3687</v>
      </c>
      <c r="AF3835">
        <v>-9.7819471719207893</v>
      </c>
      <c r="AG3835">
        <v>-1.1123421758309999</v>
      </c>
      <c r="AH3835">
        <v>30.954055949920601</v>
      </c>
      <c r="AI3835">
        <v>91.962473504775204</v>
      </c>
      <c r="AJ3835">
        <v>107.537319564508</v>
      </c>
      <c r="AK3835">
        <v>32.481954610848099</v>
      </c>
      <c r="AL3835">
        <v>89.431246545673403</v>
      </c>
      <c r="AM3835">
        <v>92.504018686564294</v>
      </c>
      <c r="AN3835">
        <v>1.00000006181972</v>
      </c>
    </row>
    <row r="3836" spans="1:40" x14ac:dyDescent="0.25">
      <c r="A3836" t="str">
        <f>"20190312153957598"</f>
        <v>20190312153957598</v>
      </c>
      <c r="B3836" t="str">
        <f>"1552376397589534"</f>
        <v>1552376397589534</v>
      </c>
      <c r="C3836" t="s">
        <v>40</v>
      </c>
      <c r="D3836">
        <v>4.2434349999999998</v>
      </c>
      <c r="E3836">
        <v>0.39875260000000001</v>
      </c>
      <c r="F3836" t="s">
        <v>54</v>
      </c>
      <c r="G3836">
        <v>-481.6499</v>
      </c>
      <c r="H3836" s="1">
        <v>1.9376299999999999E-6</v>
      </c>
      <c r="I3836">
        <v>216.78710000000001</v>
      </c>
      <c r="J3836">
        <v>-492.85969999999998</v>
      </c>
      <c r="K3836">
        <v>1.1123369999999999</v>
      </c>
      <c r="L3836">
        <v>245.9357</v>
      </c>
      <c r="M3836">
        <v>6.0551859999999999E-2</v>
      </c>
      <c r="N3836">
        <v>0</v>
      </c>
      <c r="O3836">
        <v>-0.99806700000000004</v>
      </c>
      <c r="P3836">
        <v>0.1045609</v>
      </c>
      <c r="Q3836">
        <v>-4.0799290000000004E-3</v>
      </c>
      <c r="R3836">
        <v>-0.99451020000000001</v>
      </c>
      <c r="S3836">
        <v>1.1133120000000001</v>
      </c>
      <c r="T3836">
        <v>-0.1103957</v>
      </c>
      <c r="U3836">
        <v>-2.9014890000000002</v>
      </c>
      <c r="V3836">
        <v>-4.4187589999999999E-2</v>
      </c>
      <c r="W3836">
        <v>9.7037860000000007E-3</v>
      </c>
      <c r="X3836">
        <v>0.99897610000000003</v>
      </c>
      <c r="Y3836">
        <v>-0.30081249999999998</v>
      </c>
      <c r="Z3836">
        <v>3.5766340000000001E-2</v>
      </c>
      <c r="AA3836">
        <v>0.95301239999999998</v>
      </c>
      <c r="AB3836">
        <v>16</v>
      </c>
      <c r="AC3836">
        <v>11.2097999999999</v>
      </c>
      <c r="AD3836">
        <v>-1.1123350623699999</v>
      </c>
      <c r="AE3836">
        <v>-29.148599999999899</v>
      </c>
      <c r="AF3836">
        <v>-9.4121114400271093</v>
      </c>
      <c r="AG3836">
        <v>-1.1123350623699999</v>
      </c>
      <c r="AH3836">
        <v>29.736219979502799</v>
      </c>
      <c r="AI3836">
        <v>92.042469719048199</v>
      </c>
      <c r="AJ3836">
        <v>107.56362636271101</v>
      </c>
      <c r="AK3836">
        <v>31.210061033580899</v>
      </c>
      <c r="AL3836">
        <v>89.444005278412007</v>
      </c>
      <c r="AM3836">
        <v>92.532706416316501</v>
      </c>
      <c r="AN3836">
        <v>0.999999977471975</v>
      </c>
    </row>
    <row r="3837" spans="1:40" x14ac:dyDescent="0.25">
      <c r="A3837" t="str">
        <f>"20190312153957610"</f>
        <v>20190312153957610</v>
      </c>
      <c r="B3837" t="str">
        <f>"1552376397599294"</f>
        <v>1552376397599294</v>
      </c>
      <c r="C3837" t="s">
        <v>40</v>
      </c>
      <c r="D3837">
        <v>4.2325100000000004</v>
      </c>
      <c r="E3837">
        <v>0.39935920000000003</v>
      </c>
      <c r="F3837" t="s">
        <v>54</v>
      </c>
      <c r="G3837">
        <v>-481.97399999999999</v>
      </c>
      <c r="H3837" s="1">
        <v>2.035345E-6</v>
      </c>
      <c r="I3837">
        <v>217.7071</v>
      </c>
      <c r="J3837">
        <v>-492.85210000000001</v>
      </c>
      <c r="K3837">
        <v>1.112322</v>
      </c>
      <c r="L3837">
        <v>245.85489999999999</v>
      </c>
      <c r="M3837">
        <v>6.2822359999999994E-2</v>
      </c>
      <c r="N3837">
        <v>0</v>
      </c>
      <c r="O3837">
        <v>-0.99792670000000006</v>
      </c>
      <c r="P3837">
        <v>0.1071073</v>
      </c>
      <c r="Q3837">
        <v>-4.3286949999999996E-3</v>
      </c>
      <c r="R3837">
        <v>-0.99423810000000001</v>
      </c>
      <c r="S3837">
        <v>1.117767</v>
      </c>
      <c r="T3837">
        <v>-0.11421770000000001</v>
      </c>
      <c r="U3837">
        <v>-2.89859</v>
      </c>
      <c r="V3837">
        <v>-4.4472079999999997E-2</v>
      </c>
      <c r="W3837">
        <v>9.4529809999999992E-3</v>
      </c>
      <c r="X3837">
        <v>0.99896589999999996</v>
      </c>
      <c r="Y3837">
        <v>-0.30022130000000002</v>
      </c>
      <c r="Z3837">
        <v>3.7023109999999998E-2</v>
      </c>
      <c r="AA3837">
        <v>0.95315079999999996</v>
      </c>
      <c r="AB3837">
        <v>15</v>
      </c>
      <c r="AC3837">
        <v>10.8781</v>
      </c>
      <c r="AD3837">
        <v>-1.1123199646549999</v>
      </c>
      <c r="AE3837">
        <v>-28.147799999999901</v>
      </c>
      <c r="AF3837">
        <v>-9.0757932261419008</v>
      </c>
      <c r="AG3837">
        <v>-1.1123199646549999</v>
      </c>
      <c r="AH3837">
        <v>28.736600431095599</v>
      </c>
      <c r="AI3837">
        <v>92.113846952339998</v>
      </c>
      <c r="AJ3837">
        <v>107.527521526149</v>
      </c>
      <c r="AK3837">
        <v>30.156251138427301</v>
      </c>
      <c r="AL3837">
        <v>89.458376016601093</v>
      </c>
      <c r="AM3837">
        <v>92.549017124283907</v>
      </c>
      <c r="AN3837">
        <v>0.99999999705606102</v>
      </c>
    </row>
    <row r="3838" spans="1:40" x14ac:dyDescent="0.25">
      <c r="A3838" t="str">
        <f>"20190312153957627"</f>
        <v>20190312153957627</v>
      </c>
      <c r="B3838" t="str">
        <f>"1552376397619790"</f>
        <v>1552376397619790</v>
      </c>
      <c r="C3838" t="s">
        <v>40</v>
      </c>
      <c r="D3838">
        <v>4.2293329999999996</v>
      </c>
      <c r="E3838">
        <v>0.40010960000000001</v>
      </c>
      <c r="F3838" t="s">
        <v>54</v>
      </c>
      <c r="G3838">
        <v>-482.23869999999999</v>
      </c>
      <c r="H3838" s="1">
        <v>2.113455E-6</v>
      </c>
      <c r="I3838">
        <v>218.42009999999999</v>
      </c>
      <c r="J3838">
        <v>-492.84070000000003</v>
      </c>
      <c r="K3838">
        <v>1.112301</v>
      </c>
      <c r="L3838">
        <v>245.7362</v>
      </c>
      <c r="M3838">
        <v>6.6155069999999996E-2</v>
      </c>
      <c r="N3838">
        <v>0</v>
      </c>
      <c r="O3838">
        <v>-0.99771120000000002</v>
      </c>
      <c r="P3838">
        <v>0.1107943</v>
      </c>
      <c r="Q3838">
        <v>-4.1665410000000002E-3</v>
      </c>
      <c r="R3838">
        <v>-0.99383460000000001</v>
      </c>
      <c r="S3838">
        <v>1.120422</v>
      </c>
      <c r="T3838">
        <v>-0.11742329999999999</v>
      </c>
      <c r="U3838">
        <v>-2.8961790000000001</v>
      </c>
      <c r="V3838">
        <v>-4.484117E-2</v>
      </c>
      <c r="W3838">
        <v>9.6122380000000004E-3</v>
      </c>
      <c r="X3838">
        <v>0.9989479</v>
      </c>
      <c r="Y3838">
        <v>-0.29804700000000001</v>
      </c>
      <c r="Z3838">
        <v>3.8084859999999998E-2</v>
      </c>
      <c r="AA3838">
        <v>0.9537911</v>
      </c>
      <c r="AB3838">
        <v>15</v>
      </c>
      <c r="AC3838">
        <v>10.602</v>
      </c>
      <c r="AD3838">
        <v>-1.1122988865449901</v>
      </c>
      <c r="AE3838">
        <v>-27.316099999999999</v>
      </c>
      <c r="AF3838">
        <v>-8.7588730977405103</v>
      </c>
      <c r="AG3838">
        <v>-1.1122988865449901</v>
      </c>
      <c r="AH3838">
        <v>27.917463815104099</v>
      </c>
      <c r="AI3838">
        <v>92.177068719022301</v>
      </c>
      <c r="AJ3838">
        <v>107.418817331431</v>
      </c>
      <c r="AK3838">
        <v>29.280366333483201</v>
      </c>
      <c r="AL3838">
        <v>89.449250858580399</v>
      </c>
      <c r="AM3838">
        <v>92.570190344604995</v>
      </c>
      <c r="AN3838">
        <v>1.0000000162803699</v>
      </c>
    </row>
    <row r="3839" spans="1:40" x14ac:dyDescent="0.25">
      <c r="A3839" t="str">
        <f>"20190312153957639"</f>
        <v>20190312153957639</v>
      </c>
      <c r="B3839" t="str">
        <f>"1552376397629550"</f>
        <v>1552376397629550</v>
      </c>
      <c r="C3839" t="s">
        <v>40</v>
      </c>
      <c r="D3839">
        <v>4.2207809999999997</v>
      </c>
      <c r="E3839">
        <v>0.40038620000000003</v>
      </c>
      <c r="F3839" t="s">
        <v>54</v>
      </c>
      <c r="G3839">
        <v>-482.44670000000002</v>
      </c>
      <c r="H3839" s="1">
        <v>2.1764390000000001E-6</v>
      </c>
      <c r="I3839">
        <v>219.01669999999999</v>
      </c>
      <c r="J3839">
        <v>-492.83319999999998</v>
      </c>
      <c r="K3839">
        <v>1.11229</v>
      </c>
      <c r="L3839">
        <v>245.65969999999999</v>
      </c>
      <c r="M3839">
        <v>6.8303000000000003E-2</v>
      </c>
      <c r="N3839">
        <v>0</v>
      </c>
      <c r="O3839">
        <v>-0.99756659999999997</v>
      </c>
      <c r="P3839">
        <v>0.11269899999999999</v>
      </c>
      <c r="Q3839">
        <v>-4.1045040000000001E-3</v>
      </c>
      <c r="R3839">
        <v>-0.99362079999999997</v>
      </c>
      <c r="S3839">
        <v>1.1252439999999999</v>
      </c>
      <c r="T3839">
        <v>-0.1204168</v>
      </c>
      <c r="U3839">
        <v>-2.892639</v>
      </c>
      <c r="V3839">
        <v>-4.460488E-2</v>
      </c>
      <c r="W3839">
        <v>9.6747010000000008E-3</v>
      </c>
      <c r="X3839">
        <v>0.99895789999999995</v>
      </c>
      <c r="Y3839">
        <v>-0.29775259999999998</v>
      </c>
      <c r="Z3839">
        <v>3.908056E-2</v>
      </c>
      <c r="AA3839">
        <v>0.95384279999999999</v>
      </c>
      <c r="AB3839">
        <v>15</v>
      </c>
      <c r="AC3839">
        <v>10.3864999999999</v>
      </c>
      <c r="AD3839">
        <v>-1.1122878235609901</v>
      </c>
      <c r="AE3839">
        <v>-26.643000000000001</v>
      </c>
      <c r="AF3839">
        <v>-8.5293595366614294</v>
      </c>
      <c r="AG3839">
        <v>-1.1122878235609901</v>
      </c>
      <c r="AH3839">
        <v>27.249038383635</v>
      </c>
      <c r="AI3839">
        <v>92.230859345607698</v>
      </c>
      <c r="AJ3839">
        <v>107.380906235091</v>
      </c>
      <c r="AK3839">
        <v>28.5744160244945</v>
      </c>
      <c r="AL3839">
        <v>89.445671839402294</v>
      </c>
      <c r="AM3839">
        <v>92.556639216960605</v>
      </c>
      <c r="AN3839">
        <v>1.00000004056583</v>
      </c>
    </row>
    <row r="3840" spans="1:40" x14ac:dyDescent="0.25">
      <c r="A3840" t="str">
        <f>"20190312153957652"</f>
        <v>20190312153957652</v>
      </c>
      <c r="B3840" t="str">
        <f>"1552376397649070"</f>
        <v>1552376397649070</v>
      </c>
      <c r="C3840" t="s">
        <v>40</v>
      </c>
      <c r="D3840">
        <v>4.2171820000000002</v>
      </c>
      <c r="E3840">
        <v>0.4010609</v>
      </c>
      <c r="F3840" t="s">
        <v>54</v>
      </c>
      <c r="G3840">
        <v>-482.49220000000003</v>
      </c>
      <c r="H3840" s="1">
        <v>2.1914150000000001E-6</v>
      </c>
      <c r="I3840">
        <v>219.1748</v>
      </c>
      <c r="J3840">
        <v>-492.82380000000001</v>
      </c>
      <c r="K3840">
        <v>1.1122730000000001</v>
      </c>
      <c r="L3840">
        <v>245.5675</v>
      </c>
      <c r="M3840">
        <v>7.08844E-2</v>
      </c>
      <c r="N3840">
        <v>0</v>
      </c>
      <c r="O3840">
        <v>-0.99738649999999995</v>
      </c>
      <c r="P3840">
        <v>0.11524479999999999</v>
      </c>
      <c r="Q3840">
        <v>-4.1444719999999997E-3</v>
      </c>
      <c r="R3840">
        <v>-0.99332889999999996</v>
      </c>
      <c r="S3840">
        <v>1.1286929999999999</v>
      </c>
      <c r="T3840">
        <v>-0.1214036</v>
      </c>
      <c r="U3840">
        <v>-2.8907620000000001</v>
      </c>
      <c r="V3840">
        <v>-4.4578699999999999E-2</v>
      </c>
      <c r="W3840">
        <v>9.6336939999999999E-3</v>
      </c>
      <c r="X3840">
        <v>0.99895940000000005</v>
      </c>
      <c r="Y3840">
        <v>-0.29647420000000002</v>
      </c>
      <c r="Z3840">
        <v>3.9413080000000003E-2</v>
      </c>
      <c r="AA3840">
        <v>0.9542273</v>
      </c>
      <c r="AB3840">
        <v>15</v>
      </c>
      <c r="AC3840">
        <v>10.3315999999999</v>
      </c>
      <c r="AD3840">
        <v>-1.1122708085849999</v>
      </c>
      <c r="AE3840">
        <v>-26.392699999999898</v>
      </c>
      <c r="AF3840">
        <v>-8.4216227764465099</v>
      </c>
      <c r="AG3840">
        <v>-1.1122708085849999</v>
      </c>
      <c r="AH3840">
        <v>27.0171103754505</v>
      </c>
      <c r="AI3840">
        <v>92.250788285579304</v>
      </c>
      <c r="AJ3840">
        <v>107.31300931633101</v>
      </c>
      <c r="AK3840">
        <v>28.321107492110301</v>
      </c>
      <c r="AL3840">
        <v>89.448021441032395</v>
      </c>
      <c r="AM3840">
        <v>92.555136803092907</v>
      </c>
      <c r="AN3840">
        <v>0.99999997570106702</v>
      </c>
    </row>
    <row r="3841" spans="1:40" x14ac:dyDescent="0.25">
      <c r="A3841" t="str">
        <f>"20190312153957666"</f>
        <v>20190312153957666</v>
      </c>
      <c r="B3841" t="str">
        <f>"1552376397659805"</f>
        <v>1552376397659805</v>
      </c>
      <c r="C3841" t="s">
        <v>40</v>
      </c>
      <c r="D3841">
        <v>4.2421530000000001</v>
      </c>
      <c r="E3841">
        <v>0.4013661</v>
      </c>
      <c r="F3841" t="s">
        <v>54</v>
      </c>
      <c r="G3841">
        <v>-482.53039999999999</v>
      </c>
      <c r="H3841" s="1">
        <v>2.2028299999999999E-6</v>
      </c>
      <c r="I3841">
        <v>219.28110000000001</v>
      </c>
      <c r="J3841">
        <v>-492.8141</v>
      </c>
      <c r="K3841">
        <v>1.1122559999999999</v>
      </c>
      <c r="L3841">
        <v>245.47389999999999</v>
      </c>
      <c r="M3841">
        <v>7.3503239999999997E-2</v>
      </c>
      <c r="N3841">
        <v>0</v>
      </c>
      <c r="O3841">
        <v>-0.997197</v>
      </c>
      <c r="P3841">
        <v>0.11767900000000001</v>
      </c>
      <c r="Q3841">
        <v>-4.0923419999999997E-3</v>
      </c>
      <c r="R3841">
        <v>-0.99304349999999997</v>
      </c>
      <c r="S3841">
        <v>1.131073</v>
      </c>
      <c r="T3841">
        <v>-0.1222197</v>
      </c>
      <c r="U3841">
        <v>-2.8884280000000002</v>
      </c>
      <c r="V3841">
        <v>-4.4403850000000002E-2</v>
      </c>
      <c r="W3841">
        <v>9.6851899999999998E-3</v>
      </c>
      <c r="X3841">
        <v>0.99896669999999999</v>
      </c>
      <c r="Y3841">
        <v>-0.29490519999999998</v>
      </c>
      <c r="Z3841">
        <v>3.9700069999999997E-2</v>
      </c>
      <c r="AA3841">
        <v>0.95470140000000003</v>
      </c>
      <c r="AB3841">
        <v>15</v>
      </c>
      <c r="AC3841">
        <v>10.2837</v>
      </c>
      <c r="AD3841">
        <v>-1.1122537971699999</v>
      </c>
      <c r="AE3841">
        <v>-26.192799999999899</v>
      </c>
      <c r="AF3841">
        <v>-8.3174382334497707</v>
      </c>
      <c r="AG3841">
        <v>-1.1122537971699999</v>
      </c>
      <c r="AH3841">
        <v>26.835965571189998</v>
      </c>
      <c r="AI3841">
        <v>92.267072017806001</v>
      </c>
      <c r="AJ3841">
        <v>107.220103179481</v>
      </c>
      <c r="AK3841">
        <v>28.117360036366598</v>
      </c>
      <c r="AL3841">
        <v>89.445070805697398</v>
      </c>
      <c r="AM3841">
        <v>92.5451094794618</v>
      </c>
      <c r="AN3841">
        <v>0.99999998625452402</v>
      </c>
    </row>
    <row r="3842" spans="1:40" x14ac:dyDescent="0.25">
      <c r="A3842" t="str">
        <f>"20190312153957684"</f>
        <v>20190312153957684</v>
      </c>
      <c r="B3842" t="str">
        <f>"1552376397679325"</f>
        <v>1552376397679325</v>
      </c>
      <c r="C3842" t="s">
        <v>40</v>
      </c>
      <c r="D3842">
        <v>4.2017419999999897</v>
      </c>
      <c r="E3842">
        <v>0.40194740000000001</v>
      </c>
      <c r="F3842" t="s">
        <v>54</v>
      </c>
      <c r="G3842">
        <v>-482.51369999999997</v>
      </c>
      <c r="H3842" s="1">
        <v>2.2003069999999999E-6</v>
      </c>
      <c r="I3842">
        <v>219.29089999999999</v>
      </c>
      <c r="J3842">
        <v>-492.80160000000001</v>
      </c>
      <c r="K3842">
        <v>1.1122270000000001</v>
      </c>
      <c r="L3842">
        <v>245.357</v>
      </c>
      <c r="M3842">
        <v>7.6768149999999993E-2</v>
      </c>
      <c r="N3842">
        <v>0</v>
      </c>
      <c r="O3842">
        <v>-0.99695100000000003</v>
      </c>
      <c r="P3842">
        <v>0.12046419999999999</v>
      </c>
      <c r="Q3842">
        <v>-3.8169670000000001E-3</v>
      </c>
      <c r="R3842">
        <v>-0.99271019999999999</v>
      </c>
      <c r="S3842">
        <v>1.1353150000000001</v>
      </c>
      <c r="T3842">
        <v>-0.1225938</v>
      </c>
      <c r="U3842">
        <v>-2.8859249999999999</v>
      </c>
      <c r="V3842">
        <v>-4.3935960000000003E-2</v>
      </c>
      <c r="W3842">
        <v>9.9612659999999999E-3</v>
      </c>
      <c r="X3842">
        <v>0.99898469999999995</v>
      </c>
      <c r="Y3842">
        <v>-0.293271</v>
      </c>
      <c r="Z3842">
        <v>3.9838480000000003E-2</v>
      </c>
      <c r="AA3842">
        <v>0.95519889999999996</v>
      </c>
      <c r="AB3842">
        <v>15</v>
      </c>
      <c r="AC3842">
        <v>10.2879</v>
      </c>
      <c r="AD3842">
        <v>-1.1122247996929999</v>
      </c>
      <c r="AE3842">
        <v>-26.066099999999999</v>
      </c>
      <c r="AF3842">
        <v>-8.2433068494076505</v>
      </c>
      <c r="AG3842">
        <v>-1.1122247996929999</v>
      </c>
      <c r="AH3842">
        <v>26.736905087045599</v>
      </c>
      <c r="AI3842">
        <v>92.276445463905006</v>
      </c>
      <c r="AJ3842">
        <v>107.13515471817099</v>
      </c>
      <c r="AK3842">
        <v>28.000915082408</v>
      </c>
      <c r="AL3842">
        <v>89.429252067897394</v>
      </c>
      <c r="AM3842">
        <v>92.518280672884799</v>
      </c>
      <c r="AN3842">
        <v>1.00000001311776</v>
      </c>
    </row>
    <row r="3843" spans="1:40" x14ac:dyDescent="0.25">
      <c r="A3843" t="str">
        <f>"20190312153957697"</f>
        <v>20190312153957697</v>
      </c>
      <c r="B3843" t="str">
        <f>"1552376397689085"</f>
        <v>1552376397689085</v>
      </c>
      <c r="C3843" t="s">
        <v>40</v>
      </c>
      <c r="D3843">
        <v>4.2568400000000004</v>
      </c>
      <c r="E3843">
        <v>0.40228989999999998</v>
      </c>
      <c r="F3843" t="s">
        <v>54</v>
      </c>
      <c r="G3843">
        <v>-482.49419999999998</v>
      </c>
      <c r="H3843" s="1">
        <v>2.1955570000000001E-6</v>
      </c>
      <c r="I3843">
        <v>219.26140000000001</v>
      </c>
      <c r="J3843">
        <v>-492.79129999999998</v>
      </c>
      <c r="K3843">
        <v>1.1122099999999999</v>
      </c>
      <c r="L3843">
        <v>245.26329999999999</v>
      </c>
      <c r="M3843">
        <v>7.9380419999999993E-2</v>
      </c>
      <c r="N3843">
        <v>0</v>
      </c>
      <c r="O3843">
        <v>-0.99674649999999998</v>
      </c>
      <c r="P3843">
        <v>0.1228051</v>
      </c>
      <c r="Q3843">
        <v>-3.9461030000000003E-3</v>
      </c>
      <c r="R3843">
        <v>-0.99242350000000001</v>
      </c>
      <c r="S3843">
        <v>1.1388849999999999</v>
      </c>
      <c r="T3843">
        <v>-0.1228925</v>
      </c>
      <c r="U3843">
        <v>-2.883362</v>
      </c>
      <c r="V3843">
        <v>-4.3673070000000001E-2</v>
      </c>
      <c r="W3843">
        <v>9.8310949999999998E-3</v>
      </c>
      <c r="X3843">
        <v>0.99899749999999998</v>
      </c>
      <c r="Y3843">
        <v>-0.29207699999999998</v>
      </c>
      <c r="Z3843">
        <v>3.9954660000000003E-2</v>
      </c>
      <c r="AA3843">
        <v>0.95555979999999996</v>
      </c>
      <c r="AB3843">
        <v>15</v>
      </c>
      <c r="AC3843">
        <v>10.2971</v>
      </c>
      <c r="AD3843">
        <v>-1.1122078044429999</v>
      </c>
      <c r="AE3843">
        <v>-26.0018999999999</v>
      </c>
      <c r="AF3843">
        <v>-8.1874077787596509</v>
      </c>
      <c r="AG3843">
        <v>-1.1122078044429999</v>
      </c>
      <c r="AH3843">
        <v>26.695079517295898</v>
      </c>
      <c r="AI3843">
        <v>92.281004610850999</v>
      </c>
      <c r="AJ3843">
        <v>107.05082939652701</v>
      </c>
      <c r="AK3843">
        <v>27.944550860064101</v>
      </c>
      <c r="AL3843">
        <v>89.436710672448299</v>
      </c>
      <c r="AM3843">
        <v>92.503199779300104</v>
      </c>
      <c r="AN3843">
        <v>0.99999999623918601</v>
      </c>
    </row>
    <row r="3844" spans="1:40" x14ac:dyDescent="0.25">
      <c r="A3844" t="str">
        <f>"20190312153957709"</f>
        <v>20190312153957709</v>
      </c>
      <c r="B3844" t="str">
        <f>"1552376397699825"</f>
        <v>1552376397699825</v>
      </c>
      <c r="C3844" t="s">
        <v>40</v>
      </c>
      <c r="D3844">
        <v>4.24376</v>
      </c>
      <c r="E3844">
        <v>0.40270470000000003</v>
      </c>
      <c r="F3844" t="s">
        <v>54</v>
      </c>
      <c r="G3844">
        <v>-482.55939999999998</v>
      </c>
      <c r="H3844" s="1">
        <v>2.216803E-6</v>
      </c>
      <c r="I3844">
        <v>219.4828</v>
      </c>
      <c r="J3844">
        <v>-492.78210000000001</v>
      </c>
      <c r="K3844">
        <v>1.112201</v>
      </c>
      <c r="L3844">
        <v>245.18109999999999</v>
      </c>
      <c r="M3844">
        <v>8.1667100000000006E-2</v>
      </c>
      <c r="N3844">
        <v>0</v>
      </c>
      <c r="O3844">
        <v>-0.99656180000000005</v>
      </c>
      <c r="P3844">
        <v>0.124806399999999</v>
      </c>
      <c r="Q3844">
        <v>-4.1623040000000004E-3</v>
      </c>
      <c r="R3844">
        <v>-0.99217279999999997</v>
      </c>
      <c r="S3844">
        <v>1.143402</v>
      </c>
      <c r="T3844">
        <v>-0.124288</v>
      </c>
      <c r="U3844">
        <v>-2.8809360000000002</v>
      </c>
      <c r="V3844">
        <v>-4.3394490000000001E-2</v>
      </c>
      <c r="W3844">
        <v>9.6146219999999998E-3</v>
      </c>
      <c r="X3844">
        <v>0.99901180000000001</v>
      </c>
      <c r="Y3844">
        <v>-0.29144569999999997</v>
      </c>
      <c r="Z3844">
        <v>4.0420530000000003E-2</v>
      </c>
      <c r="AA3844">
        <v>0.95573300000000005</v>
      </c>
      <c r="AB3844">
        <v>15</v>
      </c>
      <c r="AC3844">
        <v>10.2227</v>
      </c>
      <c r="AD3844">
        <v>-1.1121987831969999</v>
      </c>
      <c r="AE3844">
        <v>-25.6982999999999</v>
      </c>
      <c r="AF3844">
        <v>-8.0765744890285198</v>
      </c>
      <c r="AG3844">
        <v>-1.1121987831969999</v>
      </c>
      <c r="AH3844">
        <v>26.404681001413099</v>
      </c>
      <c r="AI3844">
        <v>92.306577290553093</v>
      </c>
      <c r="AJ3844">
        <v>107.007646411031</v>
      </c>
      <c r="AK3844">
        <v>27.634674240825699</v>
      </c>
      <c r="AL3844">
        <v>89.449114277503796</v>
      </c>
      <c r="AM3844">
        <v>92.487217029189907</v>
      </c>
      <c r="AN3844">
        <v>1.0000000496289001</v>
      </c>
    </row>
    <row r="3845" spans="1:40" x14ac:dyDescent="0.25">
      <c r="A3845" t="str">
        <f>"20190312153957729"</f>
        <v>20190312153957729</v>
      </c>
      <c r="B3845" t="str">
        <f>"1552376397719345"</f>
        <v>1552376397719345</v>
      </c>
      <c r="C3845" t="s">
        <v>40</v>
      </c>
      <c r="D3845">
        <v>4.2538280000000004</v>
      </c>
      <c r="E3845">
        <v>0.40330650000000001</v>
      </c>
      <c r="F3845" t="s">
        <v>54</v>
      </c>
      <c r="G3845">
        <v>-482.60719999999998</v>
      </c>
      <c r="H3845" s="1">
        <v>2.2308529999999999E-6</v>
      </c>
      <c r="I3845">
        <v>219.61019999999999</v>
      </c>
      <c r="J3845">
        <v>-492.76780000000002</v>
      </c>
      <c r="K3845">
        <v>1.1121829999999999</v>
      </c>
      <c r="L3845">
        <v>245.05690000000001</v>
      </c>
      <c r="M3845">
        <v>8.5115979999999994E-2</v>
      </c>
      <c r="N3845">
        <v>0</v>
      </c>
      <c r="O3845">
        <v>-0.99627319999999997</v>
      </c>
      <c r="P3845">
        <v>0.1270202</v>
      </c>
      <c r="Q3845">
        <v>-4.707737E-3</v>
      </c>
      <c r="R3845">
        <v>-0.99188900000000002</v>
      </c>
      <c r="S3845">
        <v>1.145599</v>
      </c>
      <c r="T3845">
        <v>-0.12522420000000001</v>
      </c>
      <c r="U3845">
        <v>-2.8790589999999998</v>
      </c>
      <c r="V3845">
        <v>-4.2163739999999998E-2</v>
      </c>
      <c r="W3845">
        <v>9.0724829999999992E-3</v>
      </c>
      <c r="X3845">
        <v>0.99906950000000005</v>
      </c>
      <c r="Y3845">
        <v>-0.28897270000000003</v>
      </c>
      <c r="Z3845">
        <v>4.0741340000000001E-2</v>
      </c>
      <c r="AA3845">
        <v>0.95647000000000004</v>
      </c>
      <c r="AB3845">
        <v>15</v>
      </c>
      <c r="AC3845">
        <v>10.160600000000001</v>
      </c>
      <c r="AD3845">
        <v>-1.11218076914699</v>
      </c>
      <c r="AE3845">
        <v>-25.4467</v>
      </c>
      <c r="AF3845">
        <v>-7.94449941686704</v>
      </c>
      <c r="AG3845">
        <v>-1.11218076914699</v>
      </c>
      <c r="AH3845">
        <v>26.176124055753998</v>
      </c>
      <c r="AI3845">
        <v>92.328196856382803</v>
      </c>
      <c r="AJ3845">
        <v>106.88313554788201</v>
      </c>
      <c r="AK3845">
        <v>27.377755343162899</v>
      </c>
      <c r="AL3845">
        <v>89.480177871899102</v>
      </c>
      <c r="AM3845">
        <v>92.416620288199795</v>
      </c>
      <c r="AN3845">
        <v>0.99999997837441101</v>
      </c>
    </row>
    <row r="3846" spans="1:40" x14ac:dyDescent="0.25">
      <c r="A3846" t="str">
        <f>"20190312153957749"</f>
        <v>20190312153957749</v>
      </c>
      <c r="B3846" t="str">
        <f>"1552376397739845"</f>
        <v>1552376397739845</v>
      </c>
      <c r="C3846" t="s">
        <v>40</v>
      </c>
      <c r="D3846">
        <v>4.2343739999999999</v>
      </c>
      <c r="E3846">
        <v>0.40380260000000001</v>
      </c>
      <c r="F3846" t="s">
        <v>54</v>
      </c>
      <c r="G3846">
        <v>-482.8066</v>
      </c>
      <c r="H3846" s="1">
        <v>2.3700039999999999E-6</v>
      </c>
      <c r="I3846">
        <v>220.08449999999999</v>
      </c>
      <c r="J3846">
        <v>-492.75099999999998</v>
      </c>
      <c r="K3846">
        <v>1.1121650000000001</v>
      </c>
      <c r="L3846">
        <v>244.9152</v>
      </c>
      <c r="M3846">
        <v>8.9036340000000005E-2</v>
      </c>
      <c r="N3846">
        <v>0</v>
      </c>
      <c r="O3846">
        <v>-0.99593050000000005</v>
      </c>
      <c r="P3846">
        <v>0.130185</v>
      </c>
      <c r="Q3846">
        <v>-5.2789880000000001E-3</v>
      </c>
      <c r="R3846">
        <v>-0.99147580000000002</v>
      </c>
      <c r="S3846">
        <v>1.147583</v>
      </c>
      <c r="T3846">
        <v>-0.1281301</v>
      </c>
      <c r="U3846">
        <v>-2.8769680000000002</v>
      </c>
      <c r="V3846">
        <v>-4.1417429999999998E-2</v>
      </c>
      <c r="W3846">
        <v>8.5007759999999998E-3</v>
      </c>
      <c r="X3846">
        <v>0.99910580000000004</v>
      </c>
      <c r="Y3846">
        <v>-0.2859969</v>
      </c>
      <c r="Z3846">
        <v>4.1705350000000002E-2</v>
      </c>
      <c r="AA3846">
        <v>0.95732249999999997</v>
      </c>
      <c r="AB3846">
        <v>15</v>
      </c>
      <c r="AC3846">
        <v>9.9443999999999697</v>
      </c>
      <c r="AD3846">
        <v>-1.1121626299959999</v>
      </c>
      <c r="AE3846">
        <v>-24.8307</v>
      </c>
      <c r="AF3846">
        <v>-7.6805682232259196</v>
      </c>
      <c r="AG3846">
        <v>-1.1121626299959999</v>
      </c>
      <c r="AH3846">
        <v>25.573349695765401</v>
      </c>
      <c r="AI3846">
        <v>92.385058676746198</v>
      </c>
      <c r="AJ3846">
        <v>106.71684414105</v>
      </c>
      <c r="AK3846">
        <v>26.724974248988399</v>
      </c>
      <c r="AL3846">
        <v>89.512935562500104</v>
      </c>
      <c r="AM3846">
        <v>92.373808657603206</v>
      </c>
      <c r="AN3846">
        <v>1.00000003314702</v>
      </c>
    </row>
    <row r="3847" spans="1:40" x14ac:dyDescent="0.25">
      <c r="A3847" t="str">
        <f>"20190312153957762"</f>
        <v>20190312153957762</v>
      </c>
      <c r="B3847" t="str">
        <f>"1552376397749602"</f>
        <v>1552376397749602</v>
      </c>
      <c r="C3847" t="s">
        <v>40</v>
      </c>
      <c r="D3847">
        <v>4.2429750000000004</v>
      </c>
      <c r="E3847">
        <v>0.4040164</v>
      </c>
      <c r="F3847" t="s">
        <v>54</v>
      </c>
      <c r="G3847">
        <v>-483.03359999999998</v>
      </c>
      <c r="H3847" s="1">
        <v>2.5425400000000001E-6</v>
      </c>
      <c r="I3847">
        <v>220.68279999999999</v>
      </c>
      <c r="J3847">
        <v>-492.7414</v>
      </c>
      <c r="K3847">
        <v>1.1121540000000001</v>
      </c>
      <c r="L3847">
        <v>244.8364</v>
      </c>
      <c r="M3847">
        <v>9.1210559999999996E-2</v>
      </c>
      <c r="N3847">
        <v>0</v>
      </c>
      <c r="O3847">
        <v>-0.99573389999999995</v>
      </c>
      <c r="P3847">
        <v>0.1322035</v>
      </c>
      <c r="Q3847">
        <v>-5.3021869999999999E-3</v>
      </c>
      <c r="R3847">
        <v>-0.9912086</v>
      </c>
      <c r="S3847">
        <v>1.1524049999999999</v>
      </c>
      <c r="T3847">
        <v>-0.13189400000000001</v>
      </c>
      <c r="U3847">
        <v>-2.8737789999999999</v>
      </c>
      <c r="V3847">
        <v>-4.1270220000000003E-2</v>
      </c>
      <c r="W3847">
        <v>8.4764569999999997E-3</v>
      </c>
      <c r="X3847">
        <v>0.99911209999999995</v>
      </c>
      <c r="Y3847">
        <v>-0.28563539999999998</v>
      </c>
      <c r="Z3847">
        <v>4.2948920000000002E-2</v>
      </c>
      <c r="AA3847">
        <v>0.95737550000000005</v>
      </c>
      <c r="AB3847">
        <v>15</v>
      </c>
      <c r="AC3847">
        <v>9.7078000000000095</v>
      </c>
      <c r="AD3847">
        <v>-1.11215145746</v>
      </c>
      <c r="AE3847">
        <v>-24.153600000000001</v>
      </c>
      <c r="AF3847">
        <v>-7.4504494067173797</v>
      </c>
      <c r="AG3847">
        <v>-1.11215145746</v>
      </c>
      <c r="AH3847">
        <v>24.893002475335201</v>
      </c>
      <c r="AI3847">
        <v>92.450838872749401</v>
      </c>
      <c r="AJ3847">
        <v>106.662386275627</v>
      </c>
      <c r="AK3847">
        <v>26.007838231260799</v>
      </c>
      <c r="AL3847">
        <v>89.514328989558507</v>
      </c>
      <c r="AM3847">
        <v>92.365366130067201</v>
      </c>
      <c r="AN3847">
        <v>1.0000000348742599</v>
      </c>
    </row>
    <row r="3848" spans="1:40" x14ac:dyDescent="0.25">
      <c r="A3848" t="str">
        <f>"20190312153957774"</f>
        <v>20190312153957774</v>
      </c>
      <c r="B3848" t="str">
        <f>"1552376397769122"</f>
        <v>1552376397769122</v>
      </c>
      <c r="C3848" t="s">
        <v>40</v>
      </c>
      <c r="D3848">
        <v>4.2500749999999998</v>
      </c>
      <c r="E3848">
        <v>0.40451280000000001</v>
      </c>
      <c r="F3848" t="s">
        <v>54</v>
      </c>
      <c r="G3848">
        <v>-483.14400000000001</v>
      </c>
      <c r="H3848" s="1">
        <v>2.6342589999999998E-6</v>
      </c>
      <c r="I3848">
        <v>221.00909999999999</v>
      </c>
      <c r="J3848">
        <v>-492.73110000000003</v>
      </c>
      <c r="K3848">
        <v>1.1121430000000001</v>
      </c>
      <c r="L3848">
        <v>244.7527</v>
      </c>
      <c r="M3848">
        <v>9.3512189999999995E-2</v>
      </c>
      <c r="N3848">
        <v>0</v>
      </c>
      <c r="O3848">
        <v>-0.99552039999999997</v>
      </c>
      <c r="P3848">
        <v>0.1344997</v>
      </c>
      <c r="Q3848">
        <v>-5.2093879999999997E-3</v>
      </c>
      <c r="R3848">
        <v>-0.99089989999999994</v>
      </c>
      <c r="S3848">
        <v>1.156677</v>
      </c>
      <c r="T3848">
        <v>-0.1340355</v>
      </c>
      <c r="U3848">
        <v>-2.8716430000000002</v>
      </c>
      <c r="V3848">
        <v>-4.1275430000000002E-2</v>
      </c>
      <c r="W3848">
        <v>8.5665759999999994E-3</v>
      </c>
      <c r="X3848">
        <v>0.99911110000000003</v>
      </c>
      <c r="Y3848">
        <v>-0.28488079999999999</v>
      </c>
      <c r="Z3848">
        <v>4.3654129999999999E-2</v>
      </c>
      <c r="AA3848">
        <v>0.95756839999999999</v>
      </c>
      <c r="AB3848">
        <v>15</v>
      </c>
      <c r="AC3848">
        <v>9.5871000000000102</v>
      </c>
      <c r="AD3848">
        <v>-1.1121403657410001</v>
      </c>
      <c r="AE3848">
        <v>-23.743600000000001</v>
      </c>
      <c r="AF3848">
        <v>-7.3107593204406802</v>
      </c>
      <c r="AG3848">
        <v>-1.1121403657410001</v>
      </c>
      <c r="AH3848">
        <v>24.4899386521429</v>
      </c>
      <c r="AI3848">
        <v>92.491631594924399</v>
      </c>
      <c r="AJ3848">
        <v>106.621465525734</v>
      </c>
      <c r="AK3848">
        <v>25.582047479047599</v>
      </c>
      <c r="AL3848">
        <v>89.509165355980798</v>
      </c>
      <c r="AM3848">
        <v>92.365666762455206</v>
      </c>
      <c r="AN3848">
        <v>1.0000000187446201</v>
      </c>
    </row>
    <row r="3849" spans="1:40" x14ac:dyDescent="0.25">
      <c r="A3849" t="str">
        <f>"20190312153957786"</f>
        <v>20190312153957786</v>
      </c>
      <c r="B3849" t="str">
        <f>"1552376397779858"</f>
        <v>1552376397779858</v>
      </c>
      <c r="C3849" t="s">
        <v>40</v>
      </c>
      <c r="D3849">
        <v>4.2510510000000004</v>
      </c>
      <c r="E3849">
        <v>0.4047405</v>
      </c>
      <c r="F3849" t="s">
        <v>54</v>
      </c>
      <c r="G3849">
        <v>-483.3227</v>
      </c>
      <c r="H3849" s="1">
        <v>2.7691509999999998E-6</v>
      </c>
      <c r="I3849">
        <v>221.47579999999999</v>
      </c>
      <c r="J3849">
        <v>-492.72059999999999</v>
      </c>
      <c r="K3849">
        <v>1.1121289999999999</v>
      </c>
      <c r="L3849">
        <v>244.66970000000001</v>
      </c>
      <c r="M3849">
        <v>9.5783610000000005E-2</v>
      </c>
      <c r="N3849">
        <v>0</v>
      </c>
      <c r="O3849">
        <v>-0.99530439999999998</v>
      </c>
      <c r="P3849">
        <v>0.1369784</v>
      </c>
      <c r="Q3849">
        <v>-5.5060860000000003E-3</v>
      </c>
      <c r="R3849">
        <v>-0.99055899999999997</v>
      </c>
      <c r="S3849">
        <v>1.1597900000000001</v>
      </c>
      <c r="T3849">
        <v>-0.1370961</v>
      </c>
      <c r="U3849">
        <v>-2.8694000000000002</v>
      </c>
      <c r="V3849">
        <v>-4.149373E-2</v>
      </c>
      <c r="W3849">
        <v>8.2671329999999994E-3</v>
      </c>
      <c r="X3849">
        <v>0.99910460000000001</v>
      </c>
      <c r="Y3849">
        <v>-0.28382950000000001</v>
      </c>
      <c r="Z3849">
        <v>4.4664910000000002E-2</v>
      </c>
      <c r="AA3849">
        <v>0.95783390000000002</v>
      </c>
      <c r="AB3849">
        <v>15</v>
      </c>
      <c r="AC3849">
        <v>9.3978999999999893</v>
      </c>
      <c r="AD3849">
        <v>-1.1121262308490001</v>
      </c>
      <c r="AE3849">
        <v>-23.193899999999999</v>
      </c>
      <c r="AF3849">
        <v>-7.1188111758258401</v>
      </c>
      <c r="AG3849">
        <v>-1.1121262308490001</v>
      </c>
      <c r="AH3849">
        <v>23.9402111114455</v>
      </c>
      <c r="AI3849">
        <v>92.549548992479302</v>
      </c>
      <c r="AJ3849">
        <v>106.560262227748</v>
      </c>
      <c r="AK3849">
        <v>25.0009600889843</v>
      </c>
      <c r="AL3849">
        <v>89.5263227929088</v>
      </c>
      <c r="AM3849">
        <v>92.378179571072806</v>
      </c>
      <c r="AN3849">
        <v>1.00000003842925</v>
      </c>
    </row>
    <row r="3850" spans="1:40" x14ac:dyDescent="0.25">
      <c r="A3850" t="str">
        <f>"20190312153957799"</f>
        <v>20190312153957799</v>
      </c>
      <c r="B3850" t="str">
        <f>"1552376397789618"</f>
        <v>1552376397789618</v>
      </c>
      <c r="C3850" t="s">
        <v>40</v>
      </c>
      <c r="D3850">
        <v>4.2658329999999998</v>
      </c>
      <c r="E3850">
        <v>0.40496860000000001</v>
      </c>
      <c r="F3850" t="s">
        <v>54</v>
      </c>
      <c r="G3850">
        <v>-483.44279999999998</v>
      </c>
      <c r="H3850" s="1">
        <v>2.8697409999999999E-6</v>
      </c>
      <c r="I3850">
        <v>221.83439999999999</v>
      </c>
      <c r="J3850">
        <v>-492.71010000000001</v>
      </c>
      <c r="K3850">
        <v>1.112114</v>
      </c>
      <c r="L3850">
        <v>244.58840000000001</v>
      </c>
      <c r="M3850">
        <v>9.8004569999999999E-2</v>
      </c>
      <c r="N3850">
        <v>0</v>
      </c>
      <c r="O3850">
        <v>-0.99508819999999998</v>
      </c>
      <c r="P3850">
        <v>0.1395082</v>
      </c>
      <c r="Q3850">
        <v>-5.6568369999999996E-3</v>
      </c>
      <c r="R3850">
        <v>-0.990205</v>
      </c>
      <c r="S3850">
        <v>1.1647339999999999</v>
      </c>
      <c r="T3850">
        <v>-0.13961699999999999</v>
      </c>
      <c r="U3850">
        <v>-2.8667600000000002</v>
      </c>
      <c r="V3850">
        <v>-4.1815360000000003E-2</v>
      </c>
      <c r="W3850">
        <v>8.1126440000000005E-3</v>
      </c>
      <c r="X3850">
        <v>0.99909239999999999</v>
      </c>
      <c r="Y3850">
        <v>-0.28340070000000001</v>
      </c>
      <c r="Z3850">
        <v>4.5496990000000001E-2</v>
      </c>
      <c r="AA3850">
        <v>0.95792169999999999</v>
      </c>
      <c r="AB3850">
        <v>15</v>
      </c>
      <c r="AC3850">
        <v>9.2673000000000307</v>
      </c>
      <c r="AD3850">
        <v>-1.1121111302590001</v>
      </c>
      <c r="AE3850">
        <v>-22.754000000000001</v>
      </c>
      <c r="AF3850">
        <v>-6.9781674272502698</v>
      </c>
      <c r="AG3850">
        <v>-1.1121111302590001</v>
      </c>
      <c r="AH3850">
        <v>23.504606865481499</v>
      </c>
      <c r="AI3850">
        <v>92.597034530791106</v>
      </c>
      <c r="AJ3850">
        <v>106.535369375027</v>
      </c>
      <c r="AK3850">
        <v>24.543800759247201</v>
      </c>
      <c r="AL3850">
        <v>89.535174630681496</v>
      </c>
      <c r="AM3850">
        <v>92.396621353669104</v>
      </c>
      <c r="AN3850">
        <v>0.99999998153117997</v>
      </c>
    </row>
    <row r="3851" spans="1:40" x14ac:dyDescent="0.25">
      <c r="A3851" t="str">
        <f>"20190312153957811"</f>
        <v>20190312153957811</v>
      </c>
      <c r="B3851" t="str">
        <f>"1552376397799378"</f>
        <v>1552376397799378</v>
      </c>
      <c r="C3851" t="s">
        <v>40</v>
      </c>
      <c r="D3851">
        <v>4.2740010000000002</v>
      </c>
      <c r="E3851">
        <v>0.40521869999999999</v>
      </c>
      <c r="F3851" t="s">
        <v>54</v>
      </c>
      <c r="G3851">
        <v>-483.49110000000002</v>
      </c>
      <c r="H3851" s="1">
        <v>2.9219930000000002E-6</v>
      </c>
      <c r="I3851">
        <v>222.03200000000001</v>
      </c>
      <c r="J3851">
        <v>-492.6995</v>
      </c>
      <c r="K3851">
        <v>1.1120890000000001</v>
      </c>
      <c r="L3851">
        <v>244.50729999999999</v>
      </c>
      <c r="M3851">
        <v>0.100201899999999</v>
      </c>
      <c r="N3851">
        <v>0</v>
      </c>
      <c r="O3851">
        <v>-0.99486949999999996</v>
      </c>
      <c r="P3851">
        <v>0.1424185</v>
      </c>
      <c r="Q3851">
        <v>-6.1217490000000001E-3</v>
      </c>
      <c r="R3851">
        <v>-0.98978759999999999</v>
      </c>
      <c r="S3851">
        <v>1.1705319999999999</v>
      </c>
      <c r="T3851">
        <v>-0.1412033</v>
      </c>
      <c r="U3851">
        <v>-2.863953</v>
      </c>
      <c r="V3851">
        <v>-4.2543930000000001E-2</v>
      </c>
      <c r="W3851">
        <v>7.6420209999999997E-3</v>
      </c>
      <c r="X3851">
        <v>0.99906539999999999</v>
      </c>
      <c r="Y3851">
        <v>-0.28326430000000002</v>
      </c>
      <c r="Z3851">
        <v>4.6023170000000002E-2</v>
      </c>
      <c r="AA3851">
        <v>0.95793689999999998</v>
      </c>
      <c r="AB3851">
        <v>15</v>
      </c>
      <c r="AC3851">
        <v>9.2083999999999797</v>
      </c>
      <c r="AD3851">
        <v>-1.1120860780070001</v>
      </c>
      <c r="AE3851">
        <v>-22.475299999999901</v>
      </c>
      <c r="AF3851">
        <v>-6.8953044117396196</v>
      </c>
      <c r="AG3851">
        <v>-1.1120860780070001</v>
      </c>
      <c r="AH3851">
        <v>23.236239007452198</v>
      </c>
      <c r="AI3851">
        <v>92.627026407383497</v>
      </c>
      <c r="AJ3851">
        <v>106.52814354343001</v>
      </c>
      <c r="AK3851">
        <v>24.263238893167099</v>
      </c>
      <c r="AL3851">
        <v>89.562140200931594</v>
      </c>
      <c r="AM3851">
        <v>92.438394738356607</v>
      </c>
      <c r="AN3851">
        <v>1.0000000299709799</v>
      </c>
    </row>
    <row r="3852" spans="1:40" x14ac:dyDescent="0.25">
      <c r="A3852" t="str">
        <f>"20190312153957829"</f>
        <v>20190312153957829</v>
      </c>
      <c r="B3852" t="str">
        <f>"1552376397819877"</f>
        <v>1552376397819877</v>
      </c>
      <c r="C3852" t="s">
        <v>40</v>
      </c>
      <c r="D3852">
        <v>4.2132480000000001</v>
      </c>
      <c r="E3852">
        <v>0.40562920000000002</v>
      </c>
      <c r="F3852" t="s">
        <v>54</v>
      </c>
      <c r="G3852">
        <v>-483.6164</v>
      </c>
      <c r="H3852" s="1">
        <v>3.0327359999999999E-6</v>
      </c>
      <c r="I3852">
        <v>222.4324</v>
      </c>
      <c r="J3852">
        <v>-492.68329999999997</v>
      </c>
      <c r="K3852">
        <v>1.112055</v>
      </c>
      <c r="L3852">
        <v>244.3853</v>
      </c>
      <c r="M3852">
        <v>0.10348540000000001</v>
      </c>
      <c r="N3852">
        <v>0</v>
      </c>
      <c r="O3852">
        <v>-0.99453340000000001</v>
      </c>
      <c r="P3852">
        <v>0.14693210000000001</v>
      </c>
      <c r="Q3852">
        <v>-6.9618650000000002E-3</v>
      </c>
      <c r="R3852">
        <v>-0.98912230000000001</v>
      </c>
      <c r="S3852">
        <v>1.1770940000000001</v>
      </c>
      <c r="T3852">
        <v>-0.1441162</v>
      </c>
      <c r="U3852">
        <v>-2.860703</v>
      </c>
      <c r="V3852">
        <v>-4.3800409999999998E-2</v>
      </c>
      <c r="W3852">
        <v>6.793749E-3</v>
      </c>
      <c r="X3852">
        <v>0.99901719999999905</v>
      </c>
      <c r="Y3852">
        <v>-0.28234330000000002</v>
      </c>
      <c r="Z3852">
        <v>4.6982530000000002E-2</v>
      </c>
      <c r="AA3852">
        <v>0.95816219999999996</v>
      </c>
      <c r="AB3852">
        <v>15</v>
      </c>
      <c r="AC3852">
        <v>9.0668999999999702</v>
      </c>
      <c r="AD3852">
        <v>-1.1120519672639999</v>
      </c>
      <c r="AE3852">
        <v>-21.9529</v>
      </c>
      <c r="AF3852">
        <v>-6.7314288528323196</v>
      </c>
      <c r="AG3852">
        <v>-1.1120519672639999</v>
      </c>
      <c r="AH3852">
        <v>22.723581352385001</v>
      </c>
      <c r="AI3852">
        <v>92.686503436967598</v>
      </c>
      <c r="AJ3852">
        <v>106.500921187815</v>
      </c>
      <c r="AK3852">
        <v>23.725723244131</v>
      </c>
      <c r="AL3852">
        <v>89.6107438602196</v>
      </c>
      <c r="AM3852">
        <v>92.510439731624203</v>
      </c>
      <c r="AN3852">
        <v>0.99999999841874099</v>
      </c>
    </row>
    <row r="3853" spans="1:40" x14ac:dyDescent="0.25">
      <c r="A3853" t="str">
        <f>"20190312153957841"</f>
        <v>20190312153957841</v>
      </c>
      <c r="B3853" t="str">
        <f>"1552376397829634"</f>
        <v>1552376397829634</v>
      </c>
      <c r="C3853" t="s">
        <v>40</v>
      </c>
      <c r="D3853">
        <v>4.0873900000000001</v>
      </c>
      <c r="E3853">
        <v>0.40566839999999998</v>
      </c>
      <c r="F3853" t="s">
        <v>54</v>
      </c>
      <c r="G3853">
        <v>-483.72710000000001</v>
      </c>
      <c r="H3853" s="1">
        <v>3.148723E-6</v>
      </c>
      <c r="I3853">
        <v>222.82910000000001</v>
      </c>
      <c r="J3853">
        <v>-492.673</v>
      </c>
      <c r="K3853">
        <v>1.112028</v>
      </c>
      <c r="L3853">
        <v>244.3091</v>
      </c>
      <c r="M3853">
        <v>0.1055203</v>
      </c>
      <c r="N3853">
        <v>0</v>
      </c>
      <c r="O3853">
        <v>-0.99431970000000003</v>
      </c>
      <c r="P3853">
        <v>0.14935129999999999</v>
      </c>
      <c r="Q3853">
        <v>-7.2788059999999996E-3</v>
      </c>
      <c r="R3853">
        <v>-0.98875740000000001</v>
      </c>
      <c r="S3853">
        <v>1.186493</v>
      </c>
      <c r="T3853">
        <v>-0.14732190000000001</v>
      </c>
      <c r="U3853">
        <v>-2.8557130000000002</v>
      </c>
      <c r="V3853">
        <v>-4.4198750000000002E-2</v>
      </c>
      <c r="W3853">
        <v>6.4728440000000002E-3</v>
      </c>
      <c r="X3853">
        <v>0.99900180000000005</v>
      </c>
      <c r="Y3853">
        <v>-0.28364240000000002</v>
      </c>
      <c r="Z3853">
        <v>4.8048399999999998E-2</v>
      </c>
      <c r="AA3853">
        <v>0.95772559999999995</v>
      </c>
      <c r="AB3853">
        <v>15</v>
      </c>
      <c r="AC3853">
        <v>8.9458999999999893</v>
      </c>
      <c r="AD3853">
        <v>-1.1120248512769999</v>
      </c>
      <c r="AE3853">
        <v>-21.479999999999901</v>
      </c>
      <c r="AF3853">
        <v>-6.6140445157854799</v>
      </c>
      <c r="AG3853">
        <v>-1.1120248512769999</v>
      </c>
      <c r="AH3853">
        <v>22.253296179252899</v>
      </c>
      <c r="AI3853">
        <v>92.742389507363399</v>
      </c>
      <c r="AJ3853">
        <v>106.552812464702</v>
      </c>
      <c r="AK3853">
        <v>23.242017446172799</v>
      </c>
      <c r="AL3853">
        <v>89.6291307719397</v>
      </c>
      <c r="AM3853">
        <v>92.533280155257003</v>
      </c>
      <c r="AN3853">
        <v>1.0000000118071199</v>
      </c>
    </row>
    <row r="3854" spans="1:40" x14ac:dyDescent="0.25">
      <c r="A3854" t="str">
        <f>"20190312153957854"</f>
        <v>20190312153957854</v>
      </c>
      <c r="B3854" t="str">
        <f>"1552376397849153"</f>
        <v>1552376397849153</v>
      </c>
      <c r="C3854" t="s">
        <v>40</v>
      </c>
      <c r="D3854">
        <v>4.2250199999999998</v>
      </c>
      <c r="E3854">
        <v>0.3955012</v>
      </c>
      <c r="F3854" t="s">
        <v>54</v>
      </c>
      <c r="G3854">
        <v>-483.71809999999999</v>
      </c>
      <c r="H3854" s="1">
        <v>3.1677109999999998E-6</v>
      </c>
      <c r="I3854">
        <v>222.89680000000001</v>
      </c>
      <c r="J3854">
        <v>-492.661</v>
      </c>
      <c r="K3854">
        <v>1.1120000000000001</v>
      </c>
      <c r="L3854">
        <v>244.2218</v>
      </c>
      <c r="M3854">
        <v>0.1078305</v>
      </c>
      <c r="N3854">
        <v>0</v>
      </c>
      <c r="O3854">
        <v>-0.99407179999999995</v>
      </c>
      <c r="P3854">
        <v>0.152169</v>
      </c>
      <c r="Q3854">
        <v>-7.5028200000000003E-3</v>
      </c>
      <c r="R3854">
        <v>-0.98832609999999999</v>
      </c>
      <c r="S3854">
        <v>1.193085</v>
      </c>
      <c r="T3854">
        <v>-0.14815819999999999</v>
      </c>
      <c r="U3854">
        <v>-2.852814</v>
      </c>
      <c r="V3854">
        <v>-4.4723279999999997E-2</v>
      </c>
      <c r="W3854">
        <v>6.244444E-3</v>
      </c>
      <c r="X3854">
        <v>0.99897990000000003</v>
      </c>
      <c r="Y3854">
        <v>-0.28363909999999998</v>
      </c>
      <c r="Z3854">
        <v>4.8326859999999999E-2</v>
      </c>
      <c r="AA3854">
        <v>0.95771260000000002</v>
      </c>
      <c r="AB3854">
        <v>15</v>
      </c>
      <c r="AC3854">
        <v>8.9428999999999998</v>
      </c>
      <c r="AD3854">
        <v>-1.1119968322889999</v>
      </c>
      <c r="AE3854">
        <v>-21.3249999999999</v>
      </c>
      <c r="AF3854">
        <v>-6.5758318626616896</v>
      </c>
      <c r="AG3854">
        <v>-1.1119968322889999</v>
      </c>
      <c r="AH3854">
        <v>22.113909620808599</v>
      </c>
      <c r="AI3854">
        <v>92.759469620319294</v>
      </c>
      <c r="AJ3854">
        <v>106.560466669953</v>
      </c>
      <c r="AK3854">
        <v>23.0976860390453</v>
      </c>
      <c r="AL3854">
        <v>89.642217389170696</v>
      </c>
      <c r="AM3854">
        <v>92.563360188369302</v>
      </c>
      <c r="AN3854">
        <v>1.00000000272941</v>
      </c>
    </row>
    <row r="3855" spans="1:40" x14ac:dyDescent="0.25">
      <c r="A3855" t="str">
        <f>"20190312153957868"</f>
        <v>20190312153957868</v>
      </c>
      <c r="B3855" t="str">
        <f>"1552376397859889"</f>
        <v>1552376397859889</v>
      </c>
      <c r="C3855" t="s">
        <v>40</v>
      </c>
      <c r="D3855">
        <v>4.1861889999999997</v>
      </c>
      <c r="E3855">
        <v>0.3955012</v>
      </c>
      <c r="F3855" t="s">
        <v>54</v>
      </c>
      <c r="G3855">
        <v>-481.5403</v>
      </c>
      <c r="H3855" s="1">
        <v>2.0409109999999999E-6</v>
      </c>
      <c r="I3855">
        <v>219.59469999999999</v>
      </c>
      <c r="J3855">
        <v>-492.64839999999998</v>
      </c>
      <c r="K3855">
        <v>1.1119699999999999</v>
      </c>
      <c r="L3855">
        <v>244.1319</v>
      </c>
      <c r="M3855">
        <v>0.110185199999999</v>
      </c>
      <c r="N3855">
        <v>0</v>
      </c>
      <c r="O3855">
        <v>-0.99381350000000002</v>
      </c>
      <c r="P3855">
        <v>0.15494349999999901</v>
      </c>
      <c r="Q3855">
        <v>-7.4902110000000001E-3</v>
      </c>
      <c r="R3855">
        <v>-0.98789490000000002</v>
      </c>
      <c r="S3855">
        <v>1.2811889999999999</v>
      </c>
      <c r="T3855">
        <v>-0.1281101</v>
      </c>
      <c r="U3855">
        <v>-2.8372190000000002</v>
      </c>
      <c r="V3855">
        <v>-4.5161029999999998E-2</v>
      </c>
      <c r="W3855">
        <v>6.253504E-3</v>
      </c>
      <c r="X3855">
        <v>0.99896010000000002</v>
      </c>
      <c r="Y3855">
        <v>-0.30825710000000001</v>
      </c>
      <c r="Z3855">
        <v>4.1583330000000002E-2</v>
      </c>
      <c r="AA3855">
        <v>0.95039379999999996</v>
      </c>
      <c r="AB3855">
        <v>15</v>
      </c>
      <c r="AC3855">
        <v>11.108099999999901</v>
      </c>
      <c r="AD3855">
        <v>-1.1119679590889999</v>
      </c>
      <c r="AE3855">
        <v>-24.537199999999999</v>
      </c>
      <c r="AF3855">
        <v>-8.3223673730516197</v>
      </c>
      <c r="AG3855">
        <v>-1.1119679590889999</v>
      </c>
      <c r="AH3855">
        <v>25.568254403210901</v>
      </c>
      <c r="AI3855">
        <v>92.368095074195594</v>
      </c>
      <c r="AJ3855">
        <v>108.029867355424</v>
      </c>
      <c r="AK3855">
        <v>26.911594242284998</v>
      </c>
      <c r="AL3855">
        <v>89.6416982615157</v>
      </c>
      <c r="AM3855">
        <v>92.588467549449405</v>
      </c>
      <c r="AN3855">
        <v>0.99999995316747303</v>
      </c>
    </row>
    <row r="3856" spans="1:40" x14ac:dyDescent="0.25">
      <c r="A3856" t="str">
        <f>"20190312153957885"</f>
        <v>20190312153957885</v>
      </c>
      <c r="B3856" t="str">
        <f>"1552376397879409"</f>
        <v>1552376397879409</v>
      </c>
      <c r="C3856" t="s">
        <v>40</v>
      </c>
      <c r="D3856">
        <v>4.1858630000000003</v>
      </c>
      <c r="E3856">
        <v>0.3907564</v>
      </c>
      <c r="F3856" t="s">
        <v>54</v>
      </c>
      <c r="G3856">
        <v>-481.4708</v>
      </c>
      <c r="H3856" s="1">
        <v>2.0272139999999998E-6</v>
      </c>
      <c r="I3856">
        <v>219.56309999999999</v>
      </c>
      <c r="J3856">
        <v>-492.63279999999997</v>
      </c>
      <c r="K3856">
        <v>1.1119319999999999</v>
      </c>
      <c r="L3856">
        <v>244.02119999999999</v>
      </c>
      <c r="M3856">
        <v>0.1130535</v>
      </c>
      <c r="N3856">
        <v>0</v>
      </c>
      <c r="O3856">
        <v>-0.99349140000000002</v>
      </c>
      <c r="P3856">
        <v>0.1576622</v>
      </c>
      <c r="Q3856">
        <v>-7.3961790000000001E-3</v>
      </c>
      <c r="R3856">
        <v>-0.98746540000000005</v>
      </c>
      <c r="S3856">
        <v>1.2891539999999999</v>
      </c>
      <c r="T3856">
        <v>-0.12824769999999999</v>
      </c>
      <c r="U3856">
        <v>-2.833618</v>
      </c>
      <c r="V3856">
        <v>-4.5027159999999997E-2</v>
      </c>
      <c r="W3856">
        <v>6.3450549999999996E-3</v>
      </c>
      <c r="X3856">
        <v>0.99896560000000001</v>
      </c>
      <c r="Y3856">
        <v>-0.30817909999999998</v>
      </c>
      <c r="Z3856">
        <v>4.163306E-2</v>
      </c>
      <c r="AA3856">
        <v>0.95041690000000001</v>
      </c>
      <c r="AB3856">
        <v>15</v>
      </c>
      <c r="AC3856">
        <v>11.1619999999999</v>
      </c>
      <c r="AD3856">
        <v>-1.1119299727859999</v>
      </c>
      <c r="AE3856">
        <v>-24.458100000000002</v>
      </c>
      <c r="AF3856">
        <v>-8.3108673024050592</v>
      </c>
      <c r="AG3856">
        <v>-1.1119299727859999</v>
      </c>
      <c r="AH3856">
        <v>25.5196382839978</v>
      </c>
      <c r="AI3856">
        <v>92.3724020907203</v>
      </c>
      <c r="AJ3856">
        <v>108.03864557375501</v>
      </c>
      <c r="AK3856">
        <v>26.8618473253172</v>
      </c>
      <c r="AL3856">
        <v>89.6364526837353</v>
      </c>
      <c r="AM3856">
        <v>92.580790803106595</v>
      </c>
      <c r="AN3856">
        <v>0.99999998742198903</v>
      </c>
    </row>
    <row r="3857" spans="1:40" x14ac:dyDescent="0.25">
      <c r="A3857" t="str">
        <f>"20190312153957898"</f>
        <v>20190312153957898</v>
      </c>
      <c r="B3857" t="str">
        <f>"1552376397889170"</f>
        <v>1552376397889170</v>
      </c>
      <c r="C3857" t="s">
        <v>40</v>
      </c>
      <c r="D3857">
        <v>4.1967970000000001</v>
      </c>
      <c r="E3857">
        <v>0.39104630000000001</v>
      </c>
      <c r="F3857" t="s">
        <v>54</v>
      </c>
      <c r="G3857">
        <v>-483.10079999999999</v>
      </c>
      <c r="H3857" s="1">
        <v>3.3245690000000001E-6</v>
      </c>
      <c r="I3857">
        <v>223.845</v>
      </c>
      <c r="J3857">
        <v>-492.61939999999998</v>
      </c>
      <c r="K3857">
        <v>1.1119019999999999</v>
      </c>
      <c r="L3857">
        <v>243.9289</v>
      </c>
      <c r="M3857">
        <v>0.115417699999999</v>
      </c>
      <c r="N3857">
        <v>0</v>
      </c>
      <c r="O3857">
        <v>-0.99321999999999999</v>
      </c>
      <c r="P3857">
        <v>0.1597671</v>
      </c>
      <c r="Q3857">
        <v>-7.217841E-3</v>
      </c>
      <c r="R3857">
        <v>-0.98712889999999998</v>
      </c>
      <c r="S3857">
        <v>1.334106</v>
      </c>
      <c r="T3857">
        <v>-0.1556274</v>
      </c>
      <c r="U3857">
        <v>-2.8238979999999998</v>
      </c>
      <c r="V3857">
        <v>-4.477942E-2</v>
      </c>
      <c r="W3857">
        <v>6.5224360000000004E-3</v>
      </c>
      <c r="X3857">
        <v>0.99897559999999996</v>
      </c>
      <c r="Y3857">
        <v>-0.31939770000000001</v>
      </c>
      <c r="Z3857">
        <v>5.0378579999999999E-2</v>
      </c>
      <c r="AA3857">
        <v>0.94628069999999997</v>
      </c>
      <c r="AB3857">
        <v>15</v>
      </c>
      <c r="AC3857">
        <v>9.5185999999999904</v>
      </c>
      <c r="AD3857">
        <v>-1.1118986754309901</v>
      </c>
      <c r="AE3857">
        <v>-20.0839</v>
      </c>
      <c r="AF3857">
        <v>-7.1188968668271198</v>
      </c>
      <c r="AG3857">
        <v>-1.1118986754309901</v>
      </c>
      <c r="AH3857">
        <v>20.9958259488347</v>
      </c>
      <c r="AI3857">
        <v>92.871182773251604</v>
      </c>
      <c r="AJ3857">
        <v>108.729869776892</v>
      </c>
      <c r="AK3857">
        <v>22.197741293625</v>
      </c>
      <c r="AL3857">
        <v>89.626289293041495</v>
      </c>
      <c r="AM3857">
        <v>92.566584642215602</v>
      </c>
      <c r="AN3857">
        <v>0.99999999401113504</v>
      </c>
    </row>
    <row r="3858" spans="1:40" x14ac:dyDescent="0.25">
      <c r="A3858" t="str">
        <f>"20190312153957910"</f>
        <v>20190312153957910</v>
      </c>
      <c r="B3858" t="str">
        <f>"1552376397898931"</f>
        <v>1552376397898931</v>
      </c>
      <c r="C3858" t="s">
        <v>40</v>
      </c>
      <c r="D3858">
        <v>4.2050470000000004</v>
      </c>
      <c r="E3858">
        <v>0.3911039</v>
      </c>
      <c r="F3858" t="s">
        <v>54</v>
      </c>
      <c r="G3858">
        <v>-483.1139</v>
      </c>
      <c r="H3858" s="1">
        <v>3.3416669999999998E-6</v>
      </c>
      <c r="I3858">
        <v>223.89080000000001</v>
      </c>
      <c r="J3858">
        <v>-492.608</v>
      </c>
      <c r="K3858">
        <v>1.1118760000000001</v>
      </c>
      <c r="L3858">
        <v>243.85069999999999</v>
      </c>
      <c r="M3858">
        <v>0.1173897</v>
      </c>
      <c r="N3858">
        <v>0</v>
      </c>
      <c r="O3858">
        <v>-0.9929888</v>
      </c>
      <c r="P3858">
        <v>0.16153000000000001</v>
      </c>
      <c r="Q3858">
        <v>-7.1121119999999899E-3</v>
      </c>
      <c r="R3858">
        <v>-0.98684249999999996</v>
      </c>
      <c r="S3858">
        <v>1.338379</v>
      </c>
      <c r="T3858">
        <v>-0.15655620000000001</v>
      </c>
      <c r="U3858">
        <v>-2.8213810000000001</v>
      </c>
      <c r="V3858">
        <v>-4.4579779999999999E-2</v>
      </c>
      <c r="W3858">
        <v>6.6263819999999897E-3</v>
      </c>
      <c r="X3858">
        <v>0.99898390000000004</v>
      </c>
      <c r="Y3858">
        <v>-0.31900600000000001</v>
      </c>
      <c r="Z3858">
        <v>5.0689150000000002E-2</v>
      </c>
      <c r="AA3858">
        <v>0.94639620000000002</v>
      </c>
      <c r="AB3858">
        <v>15</v>
      </c>
      <c r="AC3858">
        <v>9.4940999999999995</v>
      </c>
      <c r="AD3858">
        <v>-1.1118726583329901</v>
      </c>
      <c r="AE3858">
        <v>-19.959899999999902</v>
      </c>
      <c r="AF3858">
        <v>-7.0672477089035199</v>
      </c>
      <c r="AG3858">
        <v>-1.1118726583329901</v>
      </c>
      <c r="AH3858">
        <v>20.883639163130798</v>
      </c>
      <c r="AI3858">
        <v>92.887084056954905</v>
      </c>
      <c r="AJ3858">
        <v>108.696371194419</v>
      </c>
      <c r="AK3858">
        <v>22.075068192039701</v>
      </c>
      <c r="AL3858">
        <v>89.620333518103706</v>
      </c>
      <c r="AM3858">
        <v>92.555136040892506</v>
      </c>
      <c r="AN3858">
        <v>1.00000004909123</v>
      </c>
    </row>
    <row r="3859" spans="1:40" x14ac:dyDescent="0.25">
      <c r="A3859" t="str">
        <f>"20190312153957928"</f>
        <v>20190312153957928</v>
      </c>
      <c r="B3859" t="str">
        <f>"1552376397919425"</f>
        <v>1552376397919425</v>
      </c>
      <c r="C3859" t="s">
        <v>40</v>
      </c>
      <c r="D3859">
        <v>4.1801190000000004</v>
      </c>
      <c r="E3859">
        <v>0.39155780000000001</v>
      </c>
      <c r="F3859" t="s">
        <v>54</v>
      </c>
      <c r="G3859">
        <v>-483.1465</v>
      </c>
      <c r="H3859" s="1">
        <v>3.3802069999999998E-6</v>
      </c>
      <c r="I3859">
        <v>223.99189999999999</v>
      </c>
      <c r="J3859">
        <v>-492.5908</v>
      </c>
      <c r="K3859">
        <v>1.111845</v>
      </c>
      <c r="L3859">
        <v>243.73429999999999</v>
      </c>
      <c r="M3859">
        <v>0.1202951</v>
      </c>
      <c r="N3859">
        <v>0</v>
      </c>
      <c r="O3859">
        <v>-0.992641</v>
      </c>
      <c r="P3859">
        <v>0.16385269999999999</v>
      </c>
      <c r="Q3859">
        <v>-5.8294269999999999E-3</v>
      </c>
      <c r="R3859">
        <v>-0.98646769999999995</v>
      </c>
      <c r="S3859">
        <v>1.3430789999999999</v>
      </c>
      <c r="T3859">
        <v>-0.15783329999999901</v>
      </c>
      <c r="U3859">
        <v>-2.819016</v>
      </c>
      <c r="V3859">
        <v>-4.4010609999999999E-2</v>
      </c>
      <c r="W3859">
        <v>7.9080880000000006E-3</v>
      </c>
      <c r="X3859">
        <v>0.99899979999999999</v>
      </c>
      <c r="Y3859">
        <v>-0.31781759999999998</v>
      </c>
      <c r="Z3859">
        <v>5.1106159999999998E-2</v>
      </c>
      <c r="AA3859">
        <v>0.94677350000000005</v>
      </c>
      <c r="AB3859">
        <v>15</v>
      </c>
      <c r="AC3859">
        <v>9.4442999999999895</v>
      </c>
      <c r="AD3859">
        <v>-1.1118416197929999</v>
      </c>
      <c r="AE3859">
        <v>-19.7424</v>
      </c>
      <c r="AF3859">
        <v>-6.9825387883030103</v>
      </c>
      <c r="AG3859">
        <v>-1.1118416197929999</v>
      </c>
      <c r="AH3859">
        <v>20.681839080936101</v>
      </c>
      <c r="AI3859">
        <v>92.915825627411706</v>
      </c>
      <c r="AJ3859">
        <v>108.65555247727301</v>
      </c>
      <c r="AK3859">
        <v>21.857047089838002</v>
      </c>
      <c r="AL3859">
        <v>89.546895227120999</v>
      </c>
      <c r="AM3859">
        <v>92.522515790687393</v>
      </c>
      <c r="AN3859">
        <v>1.0000000360242101</v>
      </c>
    </row>
    <row r="3860" spans="1:40" x14ac:dyDescent="0.25">
      <c r="A3860" t="str">
        <f>"20190312153957940"</f>
        <v>20190312153957940</v>
      </c>
      <c r="B3860" t="str">
        <f>"1552376397929186"</f>
        <v>1552376397929186</v>
      </c>
      <c r="C3860" t="s">
        <v>40</v>
      </c>
      <c r="D3860">
        <v>4.2089720000000002</v>
      </c>
      <c r="E3860">
        <v>0.3918353</v>
      </c>
      <c r="F3860" t="s">
        <v>54</v>
      </c>
      <c r="G3860">
        <v>-482.86270000000002</v>
      </c>
      <c r="H3860" s="1">
        <v>3.1258359999999999E-6</v>
      </c>
      <c r="I3860">
        <v>223.37379999999999</v>
      </c>
      <c r="J3860">
        <v>-492.57859999999999</v>
      </c>
      <c r="K3860">
        <v>1.111826</v>
      </c>
      <c r="L3860">
        <v>243.65350000000001</v>
      </c>
      <c r="M3860">
        <v>0.1222911</v>
      </c>
      <c r="N3860">
        <v>0</v>
      </c>
      <c r="O3860">
        <v>-0.99239710000000003</v>
      </c>
      <c r="P3860">
        <v>0.1655239</v>
      </c>
      <c r="Q3860">
        <v>-5.278563E-3</v>
      </c>
      <c r="R3860">
        <v>-0.9861915</v>
      </c>
      <c r="S3860">
        <v>1.3457950000000001</v>
      </c>
      <c r="T3860">
        <v>-0.1538146</v>
      </c>
      <c r="U3860">
        <v>-2.8167110000000002</v>
      </c>
      <c r="V3860">
        <v>-4.3695530000000003E-2</v>
      </c>
      <c r="W3860">
        <v>8.4573849999999996E-3</v>
      </c>
      <c r="X3860">
        <v>0.99900909999999998</v>
      </c>
      <c r="Y3860">
        <v>-0.31698320000000002</v>
      </c>
      <c r="Z3860">
        <v>4.9823819999999998E-2</v>
      </c>
      <c r="AA3860">
        <v>0.94712160000000001</v>
      </c>
      <c r="AB3860">
        <v>15</v>
      </c>
      <c r="AC3860">
        <v>9.7158999999999693</v>
      </c>
      <c r="AD3860">
        <v>-1.1118228741639999</v>
      </c>
      <c r="AE3860">
        <v>-20.279699999999998</v>
      </c>
      <c r="AF3860">
        <v>-7.1452277307400998</v>
      </c>
      <c r="AG3860">
        <v>-1.1118228741639999</v>
      </c>
      <c r="AH3860">
        <v>21.2637579368917</v>
      </c>
      <c r="AI3860">
        <v>92.837474378531994</v>
      </c>
      <c r="AJ3860">
        <v>108.57381346975799</v>
      </c>
      <c r="AK3860">
        <v>22.459693475788502</v>
      </c>
      <c r="AL3860">
        <v>89.515421758978803</v>
      </c>
      <c r="AM3860">
        <v>92.504456431619602</v>
      </c>
      <c r="AN3860">
        <v>1.00000000429291</v>
      </c>
    </row>
    <row r="3861" spans="1:40" x14ac:dyDescent="0.25">
      <c r="A3861" t="str">
        <f>"20190312153957953"</f>
        <v>20190312153957953</v>
      </c>
      <c r="B3861" t="str">
        <f>"1552376397949682"</f>
        <v>1552376397949682</v>
      </c>
      <c r="C3861" t="s">
        <v>40</v>
      </c>
      <c r="D3861">
        <v>4.2056009999999997</v>
      </c>
      <c r="E3861">
        <v>0.39218059999999899</v>
      </c>
      <c r="F3861" t="s">
        <v>54</v>
      </c>
      <c r="G3861">
        <v>-482.82960000000003</v>
      </c>
      <c r="H3861" s="1">
        <v>3.097714E-6</v>
      </c>
      <c r="I3861">
        <v>223.30680000000001</v>
      </c>
      <c r="J3861">
        <v>-492.56630000000001</v>
      </c>
      <c r="K3861">
        <v>1.1118079999999999</v>
      </c>
      <c r="L3861">
        <v>243.57259999999999</v>
      </c>
      <c r="M3861">
        <v>0.12426810000000001</v>
      </c>
      <c r="N3861">
        <v>0</v>
      </c>
      <c r="O3861">
        <v>-0.99215169999999997</v>
      </c>
      <c r="P3861">
        <v>0.16719120000000001</v>
      </c>
      <c r="Q3861">
        <v>-4.6378560000000001E-3</v>
      </c>
      <c r="R3861">
        <v>-0.98591379999999995</v>
      </c>
      <c r="S3861">
        <v>1.3486940000000001</v>
      </c>
      <c r="T3861">
        <v>-0.15381159999999999</v>
      </c>
      <c r="U3861">
        <v>-2.8148040000000001</v>
      </c>
      <c r="V3861">
        <v>-4.3395650000000001E-2</v>
      </c>
      <c r="W3861">
        <v>9.0963229999999999E-3</v>
      </c>
      <c r="X3861">
        <v>0.99901660000000003</v>
      </c>
      <c r="Y3861">
        <v>-0.3161369</v>
      </c>
      <c r="Z3861">
        <v>4.9831300000000002E-2</v>
      </c>
      <c r="AA3861">
        <v>0.94740400000000002</v>
      </c>
      <c r="AB3861">
        <v>15</v>
      </c>
      <c r="AC3861">
        <v>9.7366999999999795</v>
      </c>
      <c r="AD3861">
        <v>-1.1118049022859999</v>
      </c>
      <c r="AE3861">
        <v>-20.265799999999899</v>
      </c>
      <c r="AF3861">
        <v>-7.12515520993695</v>
      </c>
      <c r="AG3861">
        <v>-1.1118049022859999</v>
      </c>
      <c r="AH3861">
        <v>21.266757109668699</v>
      </c>
      <c r="AI3861">
        <v>92.837875921098998</v>
      </c>
      <c r="AJ3861">
        <v>108.52276689928399</v>
      </c>
      <c r="AK3861">
        <v>22.4561551666371</v>
      </c>
      <c r="AL3861">
        <v>89.478811919524503</v>
      </c>
      <c r="AM3861">
        <v>92.4872714970396</v>
      </c>
      <c r="AN3861">
        <v>1.0000000463033001</v>
      </c>
    </row>
    <row r="3862" spans="1:40" x14ac:dyDescent="0.25">
      <c r="A3862" t="str">
        <f>"20190312153957966"</f>
        <v>20190312153957966</v>
      </c>
      <c r="B3862" t="str">
        <f>"1552376397959442"</f>
        <v>1552376397959442</v>
      </c>
      <c r="C3862" t="s">
        <v>40</v>
      </c>
      <c r="D3862">
        <v>4.1691039999999999</v>
      </c>
      <c r="E3862">
        <v>0.39237480000000002</v>
      </c>
      <c r="F3862" t="s">
        <v>54</v>
      </c>
      <c r="G3862">
        <v>-482.68419999999998</v>
      </c>
      <c r="H3862" s="1">
        <v>2.9921570000000002E-6</v>
      </c>
      <c r="I3862">
        <v>222.9967</v>
      </c>
      <c r="J3862">
        <v>-492.55399999999997</v>
      </c>
      <c r="K3862">
        <v>1.1117950000000001</v>
      </c>
      <c r="L3862">
        <v>243.49279999999999</v>
      </c>
      <c r="M3862">
        <v>0.12619810000000001</v>
      </c>
      <c r="N3862">
        <v>0</v>
      </c>
      <c r="O3862">
        <v>-0.99190809999999996</v>
      </c>
      <c r="P3862">
        <v>0.16872509999999999</v>
      </c>
      <c r="Q3862">
        <v>-3.9727169999999997E-3</v>
      </c>
      <c r="R3862">
        <v>-0.98565539999999996</v>
      </c>
      <c r="S3862">
        <v>1.3510439999999999</v>
      </c>
      <c r="T3862">
        <v>-0.15200150000000001</v>
      </c>
      <c r="U3862">
        <v>-2.8130489999999999</v>
      </c>
      <c r="V3862">
        <v>-4.3008089999999999E-2</v>
      </c>
      <c r="W3862">
        <v>9.7600489999999998E-3</v>
      </c>
      <c r="X3862">
        <v>0.99902709999999995</v>
      </c>
      <c r="Y3862">
        <v>-0.31517719999999999</v>
      </c>
      <c r="Z3862">
        <v>4.925537E-2</v>
      </c>
      <c r="AA3862">
        <v>0.94775379999999998</v>
      </c>
      <c r="AB3862">
        <v>15</v>
      </c>
      <c r="AC3862">
        <v>9.8698000000000494</v>
      </c>
      <c r="AD3862">
        <v>-1.1117920078429999</v>
      </c>
      <c r="AE3862">
        <v>-20.496099999999899</v>
      </c>
      <c r="AF3862">
        <v>-7.1868923651548497</v>
      </c>
      <c r="AG3862">
        <v>-1.1117920078429999</v>
      </c>
      <c r="AH3862">
        <v>21.526456086494299</v>
      </c>
      <c r="AI3862">
        <v>92.804650450828106</v>
      </c>
      <c r="AJ3862">
        <v>108.46226972858101</v>
      </c>
      <c r="AK3862">
        <v>22.7217036108825</v>
      </c>
      <c r="AL3862">
        <v>89.440781534040795</v>
      </c>
      <c r="AM3862">
        <v>92.465059699325806</v>
      </c>
      <c r="AN3862">
        <v>1.0000000504481601</v>
      </c>
    </row>
    <row r="3863" spans="1:40" x14ac:dyDescent="0.25">
      <c r="A3863" t="str">
        <f>"20190312153957977"</f>
        <v>20190312153957977</v>
      </c>
      <c r="B3863" t="str">
        <f>"1552376397969202"</f>
        <v>1552376397969202</v>
      </c>
      <c r="C3863" t="s">
        <v>40</v>
      </c>
      <c r="D3863">
        <v>4.1971920000000003</v>
      </c>
      <c r="E3863">
        <v>0.39246769999999997</v>
      </c>
      <c r="F3863" t="s">
        <v>54</v>
      </c>
      <c r="G3863">
        <v>-482.63819999999998</v>
      </c>
      <c r="H3863" s="1">
        <v>2.9614639999999998E-6</v>
      </c>
      <c r="I3863">
        <v>222.8948</v>
      </c>
      <c r="J3863">
        <v>-492.54180000000002</v>
      </c>
      <c r="K3863">
        <v>1.1117790000000001</v>
      </c>
      <c r="L3863">
        <v>243.41380000000001</v>
      </c>
      <c r="M3863">
        <v>0.12809889999999999</v>
      </c>
      <c r="N3863">
        <v>0</v>
      </c>
      <c r="O3863">
        <v>-0.99166460000000001</v>
      </c>
      <c r="P3863">
        <v>0.1702969</v>
      </c>
      <c r="Q3863">
        <v>-3.2013110000000001E-3</v>
      </c>
      <c r="R3863">
        <v>-0.98538809999999999</v>
      </c>
      <c r="S3863">
        <v>1.353394</v>
      </c>
      <c r="T3863">
        <v>-0.1517454</v>
      </c>
      <c r="U3863">
        <v>-2.811356</v>
      </c>
      <c r="V3863">
        <v>-4.2688589999999998E-2</v>
      </c>
      <c r="W3863">
        <v>1.052963E-2</v>
      </c>
      <c r="X3863">
        <v>0.9990329</v>
      </c>
      <c r="Y3863">
        <v>-0.31422610000000001</v>
      </c>
      <c r="Z3863">
        <v>4.918049E-2</v>
      </c>
      <c r="AA3863">
        <v>0.94807339999999996</v>
      </c>
      <c r="AB3863">
        <v>15</v>
      </c>
      <c r="AC3863">
        <v>9.9036000000000399</v>
      </c>
      <c r="AD3863">
        <v>-1.111776038536</v>
      </c>
      <c r="AE3863">
        <v>-20.518999999999998</v>
      </c>
      <c r="AF3863">
        <v>-7.1761916523559703</v>
      </c>
      <c r="AG3863">
        <v>-1.111776038536</v>
      </c>
      <c r="AH3863">
        <v>21.567327995088998</v>
      </c>
      <c r="AI3863">
        <v>92.800250292525405</v>
      </c>
      <c r="AJ3863">
        <v>108.404057870458</v>
      </c>
      <c r="AK3863">
        <v>22.757051861762601</v>
      </c>
      <c r="AL3863">
        <v>89.3966854693616</v>
      </c>
      <c r="AM3863">
        <v>92.446755328786196</v>
      </c>
      <c r="AN3863">
        <v>0.99999996205326602</v>
      </c>
    </row>
    <row r="3864" spans="1:40" x14ac:dyDescent="0.25">
      <c r="A3864" t="str">
        <f>"20190312153957992"</f>
        <v>20190312153957992</v>
      </c>
      <c r="B3864" t="str">
        <f>"1552376397979939"</f>
        <v>1552376397979939</v>
      </c>
      <c r="C3864" t="s">
        <v>40</v>
      </c>
      <c r="D3864">
        <v>4.1531039999999999</v>
      </c>
      <c r="E3864">
        <v>0.3927139</v>
      </c>
      <c r="F3864" t="s">
        <v>54</v>
      </c>
      <c r="G3864">
        <v>-482.48070000000001</v>
      </c>
      <c r="H3864" s="1">
        <v>2.8667149999999998E-6</v>
      </c>
      <c r="I3864">
        <v>222.5926</v>
      </c>
      <c r="J3864">
        <v>-492.52670000000001</v>
      </c>
      <c r="K3864">
        <v>1.111766</v>
      </c>
      <c r="L3864">
        <v>243.3184</v>
      </c>
      <c r="M3864">
        <v>0.13036710000000001</v>
      </c>
      <c r="N3864">
        <v>0</v>
      </c>
      <c r="O3864">
        <v>-0.9913689</v>
      </c>
      <c r="P3864">
        <v>0.17226610000000001</v>
      </c>
      <c r="Q3864">
        <v>-2.6241279999999999E-3</v>
      </c>
      <c r="R3864">
        <v>-0.98504720000000001</v>
      </c>
      <c r="S3864">
        <v>1.3575440000000001</v>
      </c>
      <c r="T3864">
        <v>-0.15001139999999999</v>
      </c>
      <c r="U3864">
        <v>-2.8093870000000001</v>
      </c>
      <c r="V3864">
        <v>-4.2401059999999997E-2</v>
      </c>
      <c r="W3864">
        <v>1.110418E-2</v>
      </c>
      <c r="X3864">
        <v>0.99903889999999995</v>
      </c>
      <c r="Y3864">
        <v>-0.31346230000000003</v>
      </c>
      <c r="Z3864">
        <v>4.8620110000000001E-2</v>
      </c>
      <c r="AA3864">
        <v>0.94835510000000001</v>
      </c>
      <c r="AB3864">
        <v>15</v>
      </c>
      <c r="AC3864">
        <v>10.0459999999999</v>
      </c>
      <c r="AD3864">
        <v>-1.111763133285</v>
      </c>
      <c r="AE3864">
        <v>-20.7257999999999</v>
      </c>
      <c r="AF3864">
        <v>-7.2411549331040099</v>
      </c>
      <c r="AG3864">
        <v>-1.111763133285</v>
      </c>
      <c r="AH3864">
        <v>21.807869114634201</v>
      </c>
      <c r="AI3864">
        <v>92.769951846535307</v>
      </c>
      <c r="AJ3864">
        <v>108.368396498051</v>
      </c>
      <c r="AK3864">
        <v>23.005510151934502</v>
      </c>
      <c r="AL3864">
        <v>89.363764236331093</v>
      </c>
      <c r="AM3864">
        <v>92.430280399412695</v>
      </c>
      <c r="AN3864">
        <v>0.99999993820790101</v>
      </c>
    </row>
    <row r="3865" spans="1:40" x14ac:dyDescent="0.25">
      <c r="A3865" t="str">
        <f>"20190312153958008"</f>
        <v>20190312153958008</v>
      </c>
      <c r="B3865" t="str">
        <f>"1552376397999458"</f>
        <v>1552376397999458</v>
      </c>
      <c r="C3865" t="s">
        <v>40</v>
      </c>
      <c r="D3865">
        <v>4.15327</v>
      </c>
      <c r="E3865">
        <v>0.39311210000000002</v>
      </c>
      <c r="F3865" t="s">
        <v>54</v>
      </c>
      <c r="G3865">
        <v>-482.3759</v>
      </c>
      <c r="H3865" s="1">
        <v>2.801269E-6</v>
      </c>
      <c r="I3865">
        <v>222.38069999999999</v>
      </c>
      <c r="J3865">
        <v>-492.51119999999997</v>
      </c>
      <c r="K3865">
        <v>1.1117619999999999</v>
      </c>
      <c r="L3865">
        <v>243.221</v>
      </c>
      <c r="M3865">
        <v>0.13266520000000001</v>
      </c>
      <c r="N3865">
        <v>0</v>
      </c>
      <c r="O3865">
        <v>-0.9910639</v>
      </c>
      <c r="P3865">
        <v>0.17411599999999999</v>
      </c>
      <c r="Q3865">
        <v>-1.466597E-3</v>
      </c>
      <c r="R3865">
        <v>-0.98472420000000005</v>
      </c>
      <c r="S3865">
        <v>1.3609309999999999</v>
      </c>
      <c r="T3865">
        <v>-0.14905489999999999</v>
      </c>
      <c r="U3865">
        <v>-2.8071290000000002</v>
      </c>
      <c r="V3865">
        <v>-4.1964130000000002E-2</v>
      </c>
      <c r="W3865">
        <v>1.225948E-2</v>
      </c>
      <c r="X3865">
        <v>0.99904389999999998</v>
      </c>
      <c r="Y3865">
        <v>-0.31249300000000002</v>
      </c>
      <c r="Z3865">
        <v>4.8319189999999998E-2</v>
      </c>
      <c r="AA3865">
        <v>0.94869040000000004</v>
      </c>
      <c r="AB3865">
        <v>15</v>
      </c>
      <c r="AC3865">
        <v>10.1352999999999</v>
      </c>
      <c r="AD3865">
        <v>-1.111759198731</v>
      </c>
      <c r="AE3865">
        <v>-20.8402999999999</v>
      </c>
      <c r="AF3865">
        <v>-7.2639294059277102</v>
      </c>
      <c r="AG3865">
        <v>-1.111759198731</v>
      </c>
      <c r="AH3865">
        <v>21.950267212012498</v>
      </c>
      <c r="AI3865">
        <v>92.752916753165707</v>
      </c>
      <c r="AJ3865">
        <v>108.310758209604</v>
      </c>
      <c r="AK3865">
        <v>23.1476761168161</v>
      </c>
      <c r="AL3865">
        <v>89.297565939866203</v>
      </c>
      <c r="AM3865">
        <v>92.405254642000003</v>
      </c>
      <c r="AN3865">
        <v>0.99999999859186794</v>
      </c>
    </row>
    <row r="3866" spans="1:40" x14ac:dyDescent="0.25">
      <c r="A3866" t="str">
        <f>"20190312153958020"</f>
        <v>20190312153958020</v>
      </c>
      <c r="B3866" t="str">
        <f>"1552376398009218"</f>
        <v>1552376398009218</v>
      </c>
      <c r="C3866" t="s">
        <v>40</v>
      </c>
      <c r="D3866">
        <v>4.1764279999999996</v>
      </c>
      <c r="E3866">
        <v>0.39333899999999999</v>
      </c>
      <c r="F3866" t="s">
        <v>54</v>
      </c>
      <c r="G3866">
        <v>-482.2346</v>
      </c>
      <c r="H3866" s="1">
        <v>2.7087259999999999E-6</v>
      </c>
      <c r="I3866">
        <v>222.07550000000001</v>
      </c>
      <c r="J3866">
        <v>-492.49740000000003</v>
      </c>
      <c r="K3866">
        <v>1.1117520000000001</v>
      </c>
      <c r="L3866">
        <v>243.13570000000001</v>
      </c>
      <c r="M3866">
        <v>0.13466879999999901</v>
      </c>
      <c r="N3866">
        <v>0</v>
      </c>
      <c r="O3866">
        <v>-0.99079379999999995</v>
      </c>
      <c r="P3866">
        <v>0.17569309999999999</v>
      </c>
      <c r="Q3866">
        <v>-1.129042E-3</v>
      </c>
      <c r="R3866">
        <v>-0.98444449999999994</v>
      </c>
      <c r="S3866">
        <v>1.3633120000000001</v>
      </c>
      <c r="T3866">
        <v>-0.1474887</v>
      </c>
      <c r="U3866">
        <v>-2.8052220000000001</v>
      </c>
      <c r="V3866">
        <v>-4.1545220000000001E-2</v>
      </c>
      <c r="W3866">
        <v>1.2594670000000001E-2</v>
      </c>
      <c r="X3866">
        <v>0.99905719999999998</v>
      </c>
      <c r="Y3866">
        <v>-0.31148740000000003</v>
      </c>
      <c r="Z3866">
        <v>4.7821900000000001E-2</v>
      </c>
      <c r="AA3866">
        <v>0.94904619999999995</v>
      </c>
      <c r="AB3866">
        <v>15</v>
      </c>
      <c r="AC3866">
        <v>10.2628</v>
      </c>
      <c r="AD3866">
        <v>-1.1117492912739999</v>
      </c>
      <c r="AE3866">
        <v>-21.060199999999998</v>
      </c>
      <c r="AF3866">
        <v>-7.3163946005084997</v>
      </c>
      <c r="AG3866">
        <v>-1.1117492912739999</v>
      </c>
      <c r="AH3866">
        <v>22.200536255049599</v>
      </c>
      <c r="AI3866">
        <v>92.723012319095204</v>
      </c>
      <c r="AJ3866">
        <v>108.24011970694799</v>
      </c>
      <c r="AK3866">
        <v>23.401483424107301</v>
      </c>
      <c r="AL3866">
        <v>89.2783594564184</v>
      </c>
      <c r="AM3866">
        <v>92.381240126025205</v>
      </c>
      <c r="AN3866">
        <v>0.99999995994454705</v>
      </c>
    </row>
    <row r="3867" spans="1:40" x14ac:dyDescent="0.25">
      <c r="A3867" t="str">
        <f>"20190312153958041"</f>
        <v>20190312153958041</v>
      </c>
      <c r="B3867" t="str">
        <f>"1552376398029714"</f>
        <v>1552376398029714</v>
      </c>
      <c r="C3867" t="s">
        <v>40</v>
      </c>
      <c r="D3867">
        <v>4.1938120000000003</v>
      </c>
      <c r="E3867">
        <v>0.39387519999999998</v>
      </c>
      <c r="F3867" t="s">
        <v>54</v>
      </c>
      <c r="G3867">
        <v>-482.12740000000002</v>
      </c>
      <c r="H3867" s="1">
        <v>2.641008E-6</v>
      </c>
      <c r="I3867">
        <v>221.8552</v>
      </c>
      <c r="J3867">
        <v>-492.476</v>
      </c>
      <c r="K3867">
        <v>1.111739</v>
      </c>
      <c r="L3867">
        <v>243.0051</v>
      </c>
      <c r="M3867">
        <v>0.1377118</v>
      </c>
      <c r="N3867">
        <v>0</v>
      </c>
      <c r="O3867">
        <v>-0.99037549999999996</v>
      </c>
      <c r="P3867">
        <v>0.17821219999999999</v>
      </c>
      <c r="Q3867">
        <v>-5.0064580000000003E-4</v>
      </c>
      <c r="R3867">
        <v>-0.98399230000000004</v>
      </c>
      <c r="S3867">
        <v>1.3661190000000001</v>
      </c>
      <c r="T3867">
        <v>-0.14645939999999999</v>
      </c>
      <c r="U3867">
        <v>-2.803436</v>
      </c>
      <c r="V3867">
        <v>-4.1034189999999998E-2</v>
      </c>
      <c r="W3867">
        <v>1.3219750000000001E-2</v>
      </c>
      <c r="X3867">
        <v>0.99907029999999997</v>
      </c>
      <c r="Y3867">
        <v>-0.30958089999999999</v>
      </c>
      <c r="Z3867">
        <v>4.7491169999999999E-2</v>
      </c>
      <c r="AA3867">
        <v>0.94968640000000004</v>
      </c>
      <c r="AB3867">
        <v>15</v>
      </c>
      <c r="AC3867">
        <v>10.3485999999999</v>
      </c>
      <c r="AD3867">
        <v>-1.111736358992</v>
      </c>
      <c r="AE3867">
        <v>-21.149899999999999</v>
      </c>
      <c r="AF3867">
        <v>-7.3207925281250201</v>
      </c>
      <c r="AG3867">
        <v>-1.111736358992</v>
      </c>
      <c r="AH3867">
        <v>22.323846325770401</v>
      </c>
      <c r="AI3867">
        <v>92.709264839075999</v>
      </c>
      <c r="AJ3867">
        <v>108.1561788683</v>
      </c>
      <c r="AK3867">
        <v>23.519865555490899</v>
      </c>
      <c r="AL3867">
        <v>89.242542066934504</v>
      </c>
      <c r="AM3867">
        <v>92.3519518019054</v>
      </c>
      <c r="AN3867">
        <v>1.0000000154405499</v>
      </c>
    </row>
    <row r="3868" spans="1:40" x14ac:dyDescent="0.25">
      <c r="A3868" t="str">
        <f>"20190312153958056"</f>
        <v>20190312153958056</v>
      </c>
      <c r="B3868" t="str">
        <f>"1552376398049235"</f>
        <v>1552376398049235</v>
      </c>
      <c r="C3868" t="s">
        <v>40</v>
      </c>
      <c r="D3868">
        <v>4.2001039999999996</v>
      </c>
      <c r="E3868">
        <v>0.394262</v>
      </c>
      <c r="F3868" t="s">
        <v>54</v>
      </c>
      <c r="G3868">
        <v>-481.86160000000001</v>
      </c>
      <c r="H3868" s="1">
        <v>2.4701179999999999E-6</v>
      </c>
      <c r="I3868">
        <v>221.2955</v>
      </c>
      <c r="J3868">
        <v>-492.4597</v>
      </c>
      <c r="K3868">
        <v>1.111731</v>
      </c>
      <c r="L3868">
        <v>242.90719999999999</v>
      </c>
      <c r="M3868">
        <v>0.13997789999999999</v>
      </c>
      <c r="N3868">
        <v>0</v>
      </c>
      <c r="O3868">
        <v>-0.99005790000000005</v>
      </c>
      <c r="P3868">
        <v>0.18012979999999901</v>
      </c>
      <c r="Q3868">
        <v>-5.8893839999999895E-4</v>
      </c>
      <c r="R3868">
        <v>-0.98364300000000005</v>
      </c>
      <c r="S3868">
        <v>1.369354</v>
      </c>
      <c r="T3868">
        <v>-0.143424</v>
      </c>
      <c r="U3868">
        <v>-2.8007200000000001</v>
      </c>
      <c r="V3868">
        <v>-4.0695050000000003E-2</v>
      </c>
      <c r="W3868">
        <v>1.3129160000000001E-2</v>
      </c>
      <c r="X3868">
        <v>0.99908540000000001</v>
      </c>
      <c r="Y3868">
        <v>-0.30867349999999999</v>
      </c>
      <c r="Z3868">
        <v>4.652299E-2</v>
      </c>
      <c r="AA3868">
        <v>0.95002960000000003</v>
      </c>
      <c r="AB3868">
        <v>15</v>
      </c>
      <c r="AC3868">
        <v>10.598099999999899</v>
      </c>
      <c r="AD3868">
        <v>-1.1117285298819899</v>
      </c>
      <c r="AE3868">
        <v>-21.6116999999999</v>
      </c>
      <c r="AF3868">
        <v>-7.4523901466924602</v>
      </c>
      <c r="AG3868">
        <v>-1.1117285298819899</v>
      </c>
      <c r="AH3868">
        <v>22.833816763999799</v>
      </c>
      <c r="AI3868">
        <v>92.650045016603599</v>
      </c>
      <c r="AJ3868">
        <v>108.075395388484</v>
      </c>
      <c r="AK3868">
        <v>24.044900649297599</v>
      </c>
      <c r="AL3868">
        <v>89.247732967431105</v>
      </c>
      <c r="AM3868">
        <v>92.332499699730505</v>
      </c>
      <c r="AN3868">
        <v>1.0000000492149801</v>
      </c>
    </row>
    <row r="3869" spans="1:40" x14ac:dyDescent="0.25">
      <c r="A3869" t="str">
        <f>"20190312153958071"</f>
        <v>20190312153958071</v>
      </c>
      <c r="B3869" t="str">
        <f>"1552376398059970"</f>
        <v>1552376398059970</v>
      </c>
      <c r="C3869" t="s">
        <v>40</v>
      </c>
      <c r="D3869">
        <v>4.1912699999999896</v>
      </c>
      <c r="E3869">
        <v>0.39441359999999998</v>
      </c>
      <c r="F3869" t="s">
        <v>54</v>
      </c>
      <c r="G3869">
        <v>-481.7516</v>
      </c>
      <c r="H3869" s="1">
        <v>2.3994109999999999E-6</v>
      </c>
      <c r="I3869">
        <v>221.06399999999999</v>
      </c>
      <c r="J3869">
        <v>-492.4434</v>
      </c>
      <c r="K3869">
        <v>1.1117269999999999</v>
      </c>
      <c r="L3869">
        <v>242.81129999999999</v>
      </c>
      <c r="M3869">
        <v>0.14218979999999901</v>
      </c>
      <c r="N3869">
        <v>0</v>
      </c>
      <c r="O3869">
        <v>-0.98974260000000003</v>
      </c>
      <c r="P3869">
        <v>0.18196100000000001</v>
      </c>
      <c r="Q3869">
        <v>-7.6260019999999996E-4</v>
      </c>
      <c r="R3869">
        <v>-0.9833054</v>
      </c>
      <c r="S3869">
        <v>1.371918</v>
      </c>
      <c r="T3869">
        <v>-0.14243439999999999</v>
      </c>
      <c r="U3869">
        <v>-2.7985530000000001</v>
      </c>
      <c r="V3869">
        <v>-4.0322120000000003E-2</v>
      </c>
      <c r="W3869">
        <v>1.2952740000000001E-2</v>
      </c>
      <c r="X3869">
        <v>0.99910279999999996</v>
      </c>
      <c r="Y3869">
        <v>-0.3075465</v>
      </c>
      <c r="Z3869">
        <v>4.6212400000000001E-2</v>
      </c>
      <c r="AA3869">
        <v>0.95041019999999998</v>
      </c>
      <c r="AB3869">
        <v>15</v>
      </c>
      <c r="AC3869">
        <v>10.691800000000001</v>
      </c>
      <c r="AD3869">
        <v>-1.111724600589</v>
      </c>
      <c r="AE3869">
        <v>-21.7472999999999</v>
      </c>
      <c r="AF3869">
        <v>-7.4748720775038198</v>
      </c>
      <c r="AG3869">
        <v>-1.111724600589</v>
      </c>
      <c r="AH3869">
        <v>22.998301030079499</v>
      </c>
      <c r="AI3869">
        <v>92.632159131734795</v>
      </c>
      <c r="AJ3869">
        <v>108.005117546893</v>
      </c>
      <c r="AK3869">
        <v>24.2080873765929</v>
      </c>
      <c r="AL3869">
        <v>89.257841930700295</v>
      </c>
      <c r="AM3869">
        <v>92.311107719319693</v>
      </c>
      <c r="AN3869">
        <v>1.00000002590132</v>
      </c>
    </row>
    <row r="3870" spans="1:40" x14ac:dyDescent="0.25">
      <c r="A3870" t="str">
        <f>"20190312153958086"</f>
        <v>20190312153958086</v>
      </c>
      <c r="B3870" t="str">
        <f>"1552376398079490"</f>
        <v>1552376398079490</v>
      </c>
      <c r="C3870" t="s">
        <v>40</v>
      </c>
      <c r="D3870">
        <v>4.1521309999999998</v>
      </c>
      <c r="E3870">
        <v>0.39472479999999999</v>
      </c>
      <c r="F3870" t="s">
        <v>54</v>
      </c>
      <c r="G3870">
        <v>-481.70580000000001</v>
      </c>
      <c r="H3870" s="1">
        <v>2.3742949999999999E-6</v>
      </c>
      <c r="I3870">
        <v>220.9871</v>
      </c>
      <c r="J3870">
        <v>-492.4271</v>
      </c>
      <c r="K3870">
        <v>1.1117170000000001</v>
      </c>
      <c r="L3870">
        <v>242.71539999999999</v>
      </c>
      <c r="M3870">
        <v>0.1443953</v>
      </c>
      <c r="N3870">
        <v>0</v>
      </c>
      <c r="O3870">
        <v>-0.98942339999999995</v>
      </c>
      <c r="P3870">
        <v>0.183639</v>
      </c>
      <c r="Q3870">
        <v>-1.2324E-3</v>
      </c>
      <c r="R3870">
        <v>-0.98299320000000001</v>
      </c>
      <c r="S3870">
        <v>1.3757629999999901</v>
      </c>
      <c r="T3870">
        <v>-0.14244029999999999</v>
      </c>
      <c r="U3870">
        <v>-2.7962340000000001</v>
      </c>
      <c r="V3870">
        <v>-3.9799250000000001E-2</v>
      </c>
      <c r="W3870">
        <v>1.248119E-2</v>
      </c>
      <c r="X3870">
        <v>0.99912970000000001</v>
      </c>
      <c r="Y3870">
        <v>-0.30679010000000001</v>
      </c>
      <c r="Z3870">
        <v>4.621865E-2</v>
      </c>
      <c r="AA3870">
        <v>0.95065429999999995</v>
      </c>
      <c r="AB3870">
        <v>15</v>
      </c>
      <c r="AC3870">
        <v>10.7212999999999</v>
      </c>
      <c r="AD3870">
        <v>-1.1117146257049999</v>
      </c>
      <c r="AE3870">
        <v>-21.728299999999901</v>
      </c>
      <c r="AF3870">
        <v>-7.4554599917708</v>
      </c>
      <c r="AG3870">
        <v>-1.1117146257049999</v>
      </c>
      <c r="AH3870">
        <v>23.000377732839599</v>
      </c>
      <c r="AI3870">
        <v>92.632572316497999</v>
      </c>
      <c r="AJ3870">
        <v>107.95984835546599</v>
      </c>
      <c r="AK3870">
        <v>24.204073395839899</v>
      </c>
      <c r="AL3870">
        <v>89.284861892114606</v>
      </c>
      <c r="AM3870">
        <v>92.281109352028196</v>
      </c>
      <c r="AN3870">
        <v>0.99999995891323301</v>
      </c>
    </row>
    <row r="3871" spans="1:40" x14ac:dyDescent="0.25">
      <c r="A3871" t="str">
        <f>"20190312153958109"</f>
        <v>20190312153958109</v>
      </c>
      <c r="B3871" t="str">
        <f>"1552376398099601"</f>
        <v>1552376398099601</v>
      </c>
      <c r="C3871" t="s">
        <v>40</v>
      </c>
      <c r="D3871">
        <v>4.2427060000000001</v>
      </c>
      <c r="E3871">
        <v>0.39484469999999999</v>
      </c>
      <c r="F3871" t="s">
        <v>54</v>
      </c>
      <c r="G3871">
        <v>-481.62560000000002</v>
      </c>
      <c r="H3871" s="1">
        <v>2.3232020000000001E-6</v>
      </c>
      <c r="I3871">
        <v>220.82040000000001</v>
      </c>
      <c r="J3871">
        <v>-492.40140000000002</v>
      </c>
      <c r="K3871">
        <v>1.111713</v>
      </c>
      <c r="L3871">
        <v>242.56819999999999</v>
      </c>
      <c r="M3871">
        <v>0.14776449999999999</v>
      </c>
      <c r="N3871">
        <v>0</v>
      </c>
      <c r="O3871">
        <v>-0.98892590000000002</v>
      </c>
      <c r="P3871">
        <v>0.18683749999999999</v>
      </c>
      <c r="Q3871">
        <v>-1.9349219999999999E-3</v>
      </c>
      <c r="R3871">
        <v>-0.98238919999999996</v>
      </c>
      <c r="S3871">
        <v>1.378479</v>
      </c>
      <c r="T3871">
        <v>-0.14187620000000001</v>
      </c>
      <c r="U3871">
        <v>-2.7942200000000001</v>
      </c>
      <c r="V3871">
        <v>-3.9645699999999999E-2</v>
      </c>
      <c r="W3871">
        <v>1.1774089999999999E-2</v>
      </c>
      <c r="X3871">
        <v>0.99914440000000004</v>
      </c>
      <c r="Y3871">
        <v>-0.30456640000000001</v>
      </c>
      <c r="Z3871">
        <v>4.60384E-2</v>
      </c>
      <c r="AA3871">
        <v>0.95137780000000005</v>
      </c>
      <c r="AB3871">
        <v>15</v>
      </c>
      <c r="AC3871">
        <v>10.7758</v>
      </c>
      <c r="AD3871">
        <v>-1.1117106767979901</v>
      </c>
      <c r="AE3871">
        <v>-21.747799999999899</v>
      </c>
      <c r="AF3871">
        <v>-7.4280425817355704</v>
      </c>
      <c r="AG3871">
        <v>-1.1117106767979901</v>
      </c>
      <c r="AH3871">
        <v>23.053086771363301</v>
      </c>
      <c r="AI3871">
        <v>92.628034304592404</v>
      </c>
      <c r="AJ3871">
        <v>107.85970168954</v>
      </c>
      <c r="AK3871">
        <v>24.245752760287498</v>
      </c>
      <c r="AL3871">
        <v>89.325378728443496</v>
      </c>
      <c r="AM3871">
        <v>92.272284421222295</v>
      </c>
      <c r="AN3871">
        <v>0.999999971387588</v>
      </c>
    </row>
    <row r="3872" spans="1:40" x14ac:dyDescent="0.25">
      <c r="A3872" t="str">
        <f>"20190312153958130"</f>
        <v>20190312153958130</v>
      </c>
      <c r="B3872" t="str">
        <f>"1552376398119106"</f>
        <v>1552376398119106</v>
      </c>
      <c r="C3872" t="s">
        <v>40</v>
      </c>
      <c r="D3872">
        <v>4.2424140000000001</v>
      </c>
      <c r="E3872">
        <v>0.36986930000000001</v>
      </c>
      <c r="F3872" t="s">
        <v>54</v>
      </c>
      <c r="G3872">
        <v>-481.5505</v>
      </c>
      <c r="H3872" s="1">
        <v>2.291132E-6</v>
      </c>
      <c r="I3872">
        <v>220.73560000000001</v>
      </c>
      <c r="J3872">
        <v>-492.37700000000001</v>
      </c>
      <c r="K3872">
        <v>1.1117090000000001</v>
      </c>
      <c r="L3872">
        <v>242.4299</v>
      </c>
      <c r="M3872">
        <v>0.1509191</v>
      </c>
      <c r="N3872">
        <v>0</v>
      </c>
      <c r="O3872">
        <v>-0.98844929999999998</v>
      </c>
      <c r="P3872">
        <v>0.1898464</v>
      </c>
      <c r="Q3872">
        <v>-2.5724789999999999E-3</v>
      </c>
      <c r="R3872">
        <v>-0.98181070000000004</v>
      </c>
      <c r="S3872">
        <v>1.386536</v>
      </c>
      <c r="T3872">
        <v>-0.1420553</v>
      </c>
      <c r="U3872">
        <v>-2.7897949999999998</v>
      </c>
      <c r="V3872">
        <v>-3.9517360000000001E-2</v>
      </c>
      <c r="W3872">
        <v>1.1132309999999999E-2</v>
      </c>
      <c r="X3872">
        <v>0.99915690000000001</v>
      </c>
      <c r="Y3872">
        <v>-0.30433059999999901</v>
      </c>
      <c r="Z3872">
        <v>4.610202E-2</v>
      </c>
      <c r="AA3872">
        <v>0.95145020000000002</v>
      </c>
      <c r="AB3872">
        <v>15</v>
      </c>
      <c r="AC3872">
        <v>10.8264999999999</v>
      </c>
      <c r="AD3872">
        <v>-1.1117067088679999</v>
      </c>
      <c r="AE3872">
        <v>-21.694299999999998</v>
      </c>
      <c r="AF3872">
        <v>-7.4124892264537303</v>
      </c>
      <c r="AG3872">
        <v>-1.1117067088679999</v>
      </c>
      <c r="AH3872">
        <v>23.031429563023899</v>
      </c>
      <c r="AI3872">
        <v>92.630778057409401</v>
      </c>
      <c r="AJ3872">
        <v>107.84037363208</v>
      </c>
      <c r="AK3872">
        <v>24.220397107714099</v>
      </c>
      <c r="AL3872">
        <v>89.362152465161202</v>
      </c>
      <c r="AM3872">
        <v>92.2649080098833</v>
      </c>
      <c r="AN3872">
        <v>1.0000000304424499</v>
      </c>
    </row>
    <row r="3873" spans="1:40" x14ac:dyDescent="0.25">
      <c r="A3873" t="str">
        <f>"20190312153958144"</f>
        <v>20190312153958144</v>
      </c>
      <c r="B3873" t="str">
        <f>"1552376398139601"</f>
        <v>1552376398139601</v>
      </c>
      <c r="C3873" t="s">
        <v>40</v>
      </c>
      <c r="D3873">
        <v>4.214162</v>
      </c>
      <c r="E3873">
        <v>0.36827520000000002</v>
      </c>
      <c r="F3873" t="s">
        <v>54</v>
      </c>
      <c r="G3873">
        <v>-483.03339999999997</v>
      </c>
      <c r="H3873" s="1">
        <v>3.9209099999999999E-6</v>
      </c>
      <c r="I3873">
        <v>226.3004</v>
      </c>
      <c r="J3873">
        <v>-492.36219999999997</v>
      </c>
      <c r="K3873">
        <v>1.111699</v>
      </c>
      <c r="L3873">
        <v>242.34809999999999</v>
      </c>
      <c r="M3873">
        <v>0.15278039999999901</v>
      </c>
      <c r="N3873">
        <v>0</v>
      </c>
      <c r="O3873">
        <v>-0.98816380000000004</v>
      </c>
      <c r="P3873">
        <v>0.19188079999999999</v>
      </c>
      <c r="Q3873">
        <v>-2.6128549999999999E-3</v>
      </c>
      <c r="R3873">
        <v>-0.98141520000000004</v>
      </c>
      <c r="S3873">
        <v>1.5914919999999999</v>
      </c>
      <c r="T3873">
        <v>-0.18935689999999999</v>
      </c>
      <c r="U3873">
        <v>-2.7473450000000001</v>
      </c>
      <c r="V3873">
        <v>-3.9705570000000003E-2</v>
      </c>
      <c r="W3873">
        <v>1.108892E-2</v>
      </c>
      <c r="X3873">
        <v>0.99914990000000004</v>
      </c>
      <c r="Y3873">
        <v>-0.36223349999999999</v>
      </c>
      <c r="Z3873">
        <v>6.0543279999999998E-2</v>
      </c>
      <c r="AA3873">
        <v>0.93011900000000003</v>
      </c>
      <c r="AB3873">
        <v>15</v>
      </c>
      <c r="AC3873">
        <v>9.3287999999999993</v>
      </c>
      <c r="AD3873">
        <v>-1.11169507909</v>
      </c>
      <c r="AE3873">
        <v>-16.047699999999899</v>
      </c>
      <c r="AF3873">
        <v>-6.7430665546334296</v>
      </c>
      <c r="AG3873">
        <v>-1.11169507909</v>
      </c>
      <c r="AH3873">
        <v>17.222884239692799</v>
      </c>
      <c r="AI3873">
        <v>93.439629912846399</v>
      </c>
      <c r="AJ3873">
        <v>111.381229767411</v>
      </c>
      <c r="AK3873">
        <v>18.5292351175904</v>
      </c>
      <c r="AL3873">
        <v>89.364638669147098</v>
      </c>
      <c r="AM3873">
        <v>92.275699737935696</v>
      </c>
      <c r="AN3873">
        <v>1.0000000095529</v>
      </c>
    </row>
    <row r="3874" spans="1:40" x14ac:dyDescent="0.25">
      <c r="A3874" t="str">
        <f>"20190312153958157"</f>
        <v>20190312153958157</v>
      </c>
      <c r="B3874" t="str">
        <f>"1552376398149362"</f>
        <v>1552376398149362</v>
      </c>
      <c r="C3874" t="s">
        <v>40</v>
      </c>
      <c r="D3874">
        <v>4.2407009999999996</v>
      </c>
      <c r="E3874">
        <v>0.36783640000000001</v>
      </c>
      <c r="F3874" t="s">
        <v>54</v>
      </c>
      <c r="G3874">
        <v>-483.08920000000001</v>
      </c>
      <c r="H3874" s="1">
        <v>3.9903370000000001E-6</v>
      </c>
      <c r="I3874">
        <v>226.55840000000001</v>
      </c>
      <c r="J3874">
        <v>-492.34629999999999</v>
      </c>
      <c r="K3874">
        <v>1.1116950000000001</v>
      </c>
      <c r="L3874">
        <v>242.26</v>
      </c>
      <c r="M3874">
        <v>0.1547838</v>
      </c>
      <c r="N3874">
        <v>0</v>
      </c>
      <c r="O3874">
        <v>-0.9878519</v>
      </c>
      <c r="P3874">
        <v>0.19369620000000001</v>
      </c>
      <c r="Q3874">
        <v>-2.6570449999999998E-3</v>
      </c>
      <c r="R3874">
        <v>-0.98105830000000005</v>
      </c>
      <c r="S3874">
        <v>1.6100460000000001</v>
      </c>
      <c r="T3874">
        <v>-0.19302050000000001</v>
      </c>
      <c r="U3874">
        <v>-2.7415310000000002</v>
      </c>
      <c r="V3874">
        <v>-3.9528359999999998E-2</v>
      </c>
      <c r="W3874">
        <v>1.10422E-2</v>
      </c>
      <c r="X3874">
        <v>0.99915739999999997</v>
      </c>
      <c r="Y3874">
        <v>-0.36585659999999998</v>
      </c>
      <c r="Z3874">
        <v>6.1649669999999997E-2</v>
      </c>
      <c r="AA3874">
        <v>0.92862710000000004</v>
      </c>
      <c r="AB3874">
        <v>15</v>
      </c>
      <c r="AC3874">
        <v>9.2570999999999799</v>
      </c>
      <c r="AD3874">
        <v>-1.1116910096629999</v>
      </c>
      <c r="AE3874">
        <v>-15.7015999999999</v>
      </c>
      <c r="AF3874">
        <v>-6.6900445928864301</v>
      </c>
      <c r="AG3874">
        <v>-1.1116910096629999</v>
      </c>
      <c r="AH3874">
        <v>16.882519242871599</v>
      </c>
      <c r="AI3874">
        <v>93.5031236435631</v>
      </c>
      <c r="AJ3874">
        <v>111.61696278348199</v>
      </c>
      <c r="AK3874">
        <v>18.193735447722201</v>
      </c>
      <c r="AL3874">
        <v>89.367315664095599</v>
      </c>
      <c r="AM3874">
        <v>92.265536677286207</v>
      </c>
      <c r="AN3874">
        <v>0.99999996569994398</v>
      </c>
    </row>
    <row r="3875" spans="1:40" x14ac:dyDescent="0.25">
      <c r="A3875" t="str">
        <f>"20190312153958173"</f>
        <v>20190312153958173</v>
      </c>
      <c r="B3875" t="str">
        <f>"1552376398169858"</f>
        <v>1552376398169858</v>
      </c>
      <c r="C3875" t="s">
        <v>40</v>
      </c>
      <c r="D3875">
        <v>4.205978</v>
      </c>
      <c r="E3875">
        <v>0.36762790000000001</v>
      </c>
      <c r="F3875" t="s">
        <v>54</v>
      </c>
      <c r="G3875">
        <v>-483.06849999999997</v>
      </c>
      <c r="H3875" s="1">
        <v>3.9887340000000001E-6</v>
      </c>
      <c r="I3875">
        <v>226.5719</v>
      </c>
      <c r="J3875">
        <v>-492.32690000000002</v>
      </c>
      <c r="K3875">
        <v>1.1116919999999999</v>
      </c>
      <c r="L3875">
        <v>242.15469999999999</v>
      </c>
      <c r="M3875">
        <v>0.15716939999999999</v>
      </c>
      <c r="N3875">
        <v>0</v>
      </c>
      <c r="O3875">
        <v>-0.98747490000000004</v>
      </c>
      <c r="P3875">
        <v>0.19584660000000001</v>
      </c>
      <c r="Q3875">
        <v>-3.0301529999999998E-3</v>
      </c>
      <c r="R3875">
        <v>-0.98063</v>
      </c>
      <c r="S3875">
        <v>1.6190800000000001</v>
      </c>
      <c r="T3875">
        <v>-0.19400319999999999</v>
      </c>
      <c r="U3875">
        <v>-2.7377470000000002</v>
      </c>
      <c r="V3875">
        <v>-3.9304600000000002E-2</v>
      </c>
      <c r="W3875">
        <v>1.0666470000000001E-2</v>
      </c>
      <c r="X3875">
        <v>0.99917040000000001</v>
      </c>
      <c r="Y3875">
        <v>-0.36643369999999997</v>
      </c>
      <c r="Z3875">
        <v>6.194442E-2</v>
      </c>
      <c r="AA3875">
        <v>0.92837999999999998</v>
      </c>
      <c r="AB3875">
        <v>15</v>
      </c>
      <c r="AC3875">
        <v>9.2584000000000497</v>
      </c>
      <c r="AD3875">
        <v>-1.1116880112659999</v>
      </c>
      <c r="AE3875">
        <v>-15.582799999999899</v>
      </c>
      <c r="AF3875">
        <v>-6.6688522115049196</v>
      </c>
      <c r="AG3875">
        <v>-1.1116880112659999</v>
      </c>
      <c r="AH3875">
        <v>16.7812458686806</v>
      </c>
      <c r="AI3875">
        <v>93.522842155437601</v>
      </c>
      <c r="AJ3875">
        <v>111.672828962712</v>
      </c>
      <c r="AK3875">
        <v>18.091977585614998</v>
      </c>
      <c r="AL3875">
        <v>89.388844732089098</v>
      </c>
      <c r="AM3875">
        <v>92.252696020596602</v>
      </c>
      <c r="AN3875">
        <v>1.00000005669978</v>
      </c>
    </row>
    <row r="3876" spans="1:40" x14ac:dyDescent="0.25">
      <c r="A3876" t="str">
        <f>"20190312153958185"</f>
        <v>20190312153958185</v>
      </c>
      <c r="B3876" t="str">
        <f>"1552376398179617"</f>
        <v>1552376398179617</v>
      </c>
      <c r="C3876" t="s">
        <v>40</v>
      </c>
      <c r="D3876">
        <v>4.2041519999999997</v>
      </c>
      <c r="E3876">
        <v>0.36766480000000001</v>
      </c>
      <c r="F3876" t="s">
        <v>54</v>
      </c>
      <c r="G3876">
        <v>-482.98790000000002</v>
      </c>
      <c r="H3876" s="1">
        <v>3.9462849999999996E-6</v>
      </c>
      <c r="I3876">
        <v>226.4607</v>
      </c>
      <c r="J3876">
        <v>-492.3134</v>
      </c>
      <c r="K3876">
        <v>1.111691</v>
      </c>
      <c r="L3876">
        <v>242.0823</v>
      </c>
      <c r="M3876">
        <v>0.15880759999999999</v>
      </c>
      <c r="N3876">
        <v>0</v>
      </c>
      <c r="O3876">
        <v>-0.98721300000000001</v>
      </c>
      <c r="P3876">
        <v>0.19733129999999999</v>
      </c>
      <c r="Q3876">
        <v>-3.0310699999999999E-3</v>
      </c>
      <c r="R3876">
        <v>-0.98033239999999999</v>
      </c>
      <c r="S3876">
        <v>1.62677</v>
      </c>
      <c r="T3876">
        <v>-0.19364709999999999</v>
      </c>
      <c r="U3876">
        <v>-2.733765</v>
      </c>
      <c r="V3876">
        <v>-3.9159279999999998E-2</v>
      </c>
      <c r="W3876">
        <v>1.066361E-2</v>
      </c>
      <c r="X3876">
        <v>0.99917610000000001</v>
      </c>
      <c r="Y3876">
        <v>-0.3674173</v>
      </c>
      <c r="Z3876">
        <v>6.1829769999999999E-2</v>
      </c>
      <c r="AA3876">
        <v>0.92799869999999995</v>
      </c>
      <c r="AB3876">
        <v>15</v>
      </c>
      <c r="AC3876">
        <v>9.3254999999999697</v>
      </c>
      <c r="AD3876">
        <v>-1.1116870537150001</v>
      </c>
      <c r="AE3876">
        <v>-15.621600000000001</v>
      </c>
      <c r="AF3876">
        <v>-6.7010475647166503</v>
      </c>
      <c r="AG3876">
        <v>-1.1116870537150001</v>
      </c>
      <c r="AH3876">
        <v>16.841537232506401</v>
      </c>
      <c r="AI3876">
        <v>93.5096713800515</v>
      </c>
      <c r="AJ3876">
        <v>111.697021610589</v>
      </c>
      <c r="AK3876">
        <v>18.159770453502201</v>
      </c>
      <c r="AL3876">
        <v>89.389008585088405</v>
      </c>
      <c r="AM3876">
        <v>92.244362921802207</v>
      </c>
      <c r="AN3876">
        <v>1.0000000202997801</v>
      </c>
    </row>
    <row r="3877" spans="1:40" x14ac:dyDescent="0.25">
      <c r="A3877" t="str">
        <f>"20190312153958196"</f>
        <v>20190312153958196</v>
      </c>
      <c r="B3877" t="str">
        <f>"1552376398189378"</f>
        <v>1552376398189378</v>
      </c>
      <c r="C3877" t="s">
        <v>40</v>
      </c>
      <c r="D3877">
        <v>4.1974299999999998</v>
      </c>
      <c r="E3877">
        <v>0.36774020000000002</v>
      </c>
      <c r="F3877" t="s">
        <v>54</v>
      </c>
      <c r="G3877">
        <v>-482.92630000000003</v>
      </c>
      <c r="H3877" s="1">
        <v>3.9091990000000004E-6</v>
      </c>
      <c r="I3877">
        <v>226.35480000000001</v>
      </c>
      <c r="J3877">
        <v>-492.2998</v>
      </c>
      <c r="K3877">
        <v>1.111688</v>
      </c>
      <c r="L3877">
        <v>242.00989999999999</v>
      </c>
      <c r="M3877">
        <v>0.16044459999999999</v>
      </c>
      <c r="N3877">
        <v>0</v>
      </c>
      <c r="O3877">
        <v>-0.98694809999999999</v>
      </c>
      <c r="P3877">
        <v>0.1988605</v>
      </c>
      <c r="Q3877">
        <v>-2.6509279999999999E-3</v>
      </c>
      <c r="R3877">
        <v>-0.98002400000000001</v>
      </c>
      <c r="S3877">
        <v>1.63028</v>
      </c>
      <c r="T3877">
        <v>-0.19307070000000001</v>
      </c>
      <c r="U3877">
        <v>-2.7314609999999999</v>
      </c>
      <c r="V3877">
        <v>-3.9061930000000002E-2</v>
      </c>
      <c r="W3877">
        <v>1.10422E-2</v>
      </c>
      <c r="X3877">
        <v>0.99917579999999995</v>
      </c>
      <c r="Y3877">
        <v>-0.3671045</v>
      </c>
      <c r="Z3877">
        <v>6.1651110000000002E-2</v>
      </c>
      <c r="AA3877">
        <v>0.92813440000000003</v>
      </c>
      <c r="AB3877">
        <v>15</v>
      </c>
      <c r="AC3877">
        <v>9.3734999999999804</v>
      </c>
      <c r="AD3877">
        <v>-1.1116840908009999</v>
      </c>
      <c r="AE3877">
        <v>-15.6550999999999</v>
      </c>
      <c r="AF3877">
        <v>-6.7150999261347</v>
      </c>
      <c r="AG3877">
        <v>-1.1116840908009999</v>
      </c>
      <c r="AH3877">
        <v>16.893611283473302</v>
      </c>
      <c r="AI3877">
        <v>93.499343559901803</v>
      </c>
      <c r="AJ3877">
        <v>111.677497046803</v>
      </c>
      <c r="AK3877">
        <v>18.213250965514401</v>
      </c>
      <c r="AL3877">
        <v>89.367315699673497</v>
      </c>
      <c r="AM3877">
        <v>92.238789789860903</v>
      </c>
      <c r="AN3877">
        <v>1.0000000219309</v>
      </c>
    </row>
    <row r="3878" spans="1:40" x14ac:dyDescent="0.25">
      <c r="A3878" t="str">
        <f>"20190312153958208"</f>
        <v>20190312153958208</v>
      </c>
      <c r="B3878" t="str">
        <f>"1552376398199803"</f>
        <v>1552376398199803</v>
      </c>
      <c r="C3878" t="s">
        <v>40</v>
      </c>
      <c r="D3878">
        <v>4.2237790000000004</v>
      </c>
      <c r="E3878">
        <v>0.36795549999999999</v>
      </c>
      <c r="F3878" t="s">
        <v>54</v>
      </c>
      <c r="G3878">
        <v>-482.85340000000002</v>
      </c>
      <c r="H3878" s="1">
        <v>3.8663800000000002E-6</v>
      </c>
      <c r="I3878">
        <v>226.23429999999999</v>
      </c>
      <c r="J3878">
        <v>-492.28579999999999</v>
      </c>
      <c r="K3878">
        <v>1.1116919999999999</v>
      </c>
      <c r="L3878">
        <v>241.93600000000001</v>
      </c>
      <c r="M3878">
        <v>0.16211429999999999</v>
      </c>
      <c r="N3878">
        <v>0</v>
      </c>
      <c r="O3878">
        <v>-0.98667539999999998</v>
      </c>
      <c r="P3878">
        <v>0.20055919999999999</v>
      </c>
      <c r="Q3878">
        <v>-2.5788690000000001E-3</v>
      </c>
      <c r="R3878">
        <v>-0.97967839999999995</v>
      </c>
      <c r="S3878">
        <v>1.634155</v>
      </c>
      <c r="T3878">
        <v>-0.19231139999999999</v>
      </c>
      <c r="U3878">
        <v>-2.72905</v>
      </c>
      <c r="V3878">
        <v>-3.9103829999999999E-2</v>
      </c>
      <c r="W3878">
        <v>1.111181E-2</v>
      </c>
      <c r="X3878">
        <v>0.99917330000000004</v>
      </c>
      <c r="Y3878">
        <v>-0.36687029999999998</v>
      </c>
      <c r="Z3878">
        <v>6.1412540000000002E-2</v>
      </c>
      <c r="AA3878">
        <v>0.92824280000000003</v>
      </c>
      <c r="AB3878">
        <v>15</v>
      </c>
      <c r="AC3878">
        <v>9.4323999999999693</v>
      </c>
      <c r="AD3878">
        <v>-1.11168813362</v>
      </c>
      <c r="AE3878">
        <v>-15.701699999999899</v>
      </c>
      <c r="AF3878">
        <v>-6.7370756634454496</v>
      </c>
      <c r="AG3878">
        <v>-1.11168813362</v>
      </c>
      <c r="AH3878">
        <v>16.960756262418801</v>
      </c>
      <c r="AI3878">
        <v>93.485868713377798</v>
      </c>
      <c r="AJ3878">
        <v>111.66374412144199</v>
      </c>
      <c r="AK3878">
        <v>18.283634540063399</v>
      </c>
      <c r="AL3878">
        <v>89.363327038986796</v>
      </c>
      <c r="AM3878">
        <v>92.2411943947385</v>
      </c>
      <c r="AN3878">
        <v>0.99999993263751497</v>
      </c>
    </row>
    <row r="3879" spans="1:40" x14ac:dyDescent="0.25">
      <c r="A3879" t="str">
        <f>"20190312153958221"</f>
        <v>20190312153958221</v>
      </c>
      <c r="B3879" t="str">
        <f>"1552376398209427"</f>
        <v>1552376398209427</v>
      </c>
      <c r="C3879" t="s">
        <v>40</v>
      </c>
      <c r="D3879">
        <v>4.2179799999999998</v>
      </c>
      <c r="E3879">
        <v>0.36802810000000002</v>
      </c>
      <c r="F3879" t="s">
        <v>54</v>
      </c>
      <c r="G3879">
        <v>-482.72710000000001</v>
      </c>
      <c r="H3879" s="1">
        <v>3.7909239999999998E-6</v>
      </c>
      <c r="I3879">
        <v>226.0196</v>
      </c>
      <c r="J3879">
        <v>-492.27100000000002</v>
      </c>
      <c r="K3879">
        <v>1.111691</v>
      </c>
      <c r="L3879">
        <v>241.8586</v>
      </c>
      <c r="M3879">
        <v>0.163859</v>
      </c>
      <c r="N3879">
        <v>0</v>
      </c>
      <c r="O3879">
        <v>-0.98638709999999996</v>
      </c>
      <c r="P3879">
        <v>0.20209769999999999</v>
      </c>
      <c r="Q3879">
        <v>-2.4846199999999999E-3</v>
      </c>
      <c r="R3879">
        <v>-0.97936219999999996</v>
      </c>
      <c r="S3879">
        <v>1.637421</v>
      </c>
      <c r="T3879">
        <v>-0.1904351</v>
      </c>
      <c r="U3879">
        <v>-2.7265169999999999</v>
      </c>
      <c r="V3879">
        <v>-3.8906059999999999E-2</v>
      </c>
      <c r="W3879">
        <v>1.120431E-2</v>
      </c>
      <c r="X3879">
        <v>0.99918010000000002</v>
      </c>
      <c r="Y3879">
        <v>-0.36644159999999998</v>
      </c>
      <c r="Z3879">
        <v>6.0825120000000003E-2</v>
      </c>
      <c r="AA3879">
        <v>0.92845080000000002</v>
      </c>
      <c r="AB3879">
        <v>15</v>
      </c>
      <c r="AC3879">
        <v>9.5438999999999492</v>
      </c>
      <c r="AD3879">
        <v>-1.1116872090759999</v>
      </c>
      <c r="AE3879">
        <v>-15.839</v>
      </c>
      <c r="AF3879">
        <v>-6.7947112592854397</v>
      </c>
      <c r="AG3879">
        <v>-1.1116872090759999</v>
      </c>
      <c r="AH3879">
        <v>17.126981201040099</v>
      </c>
      <c r="AI3879">
        <v>93.452694842421195</v>
      </c>
      <c r="AJ3879">
        <v>111.639493110861</v>
      </c>
      <c r="AK3879">
        <v>18.459074587006398</v>
      </c>
      <c r="AL3879">
        <v>89.358026921303804</v>
      </c>
      <c r="AM3879">
        <v>92.229855728746998</v>
      </c>
      <c r="AN3879">
        <v>1.00000004515165</v>
      </c>
    </row>
    <row r="3880" spans="1:40" x14ac:dyDescent="0.25">
      <c r="A3880" t="str">
        <f>"20190312153958241"</f>
        <v>20190312153958241</v>
      </c>
      <c r="B3880" t="str">
        <f>"1552376398229927"</f>
        <v>1552376398229927</v>
      </c>
      <c r="C3880" t="s">
        <v>40</v>
      </c>
      <c r="D3880">
        <v>4.2023489999999999</v>
      </c>
      <c r="E3880">
        <v>0.36820360000000002</v>
      </c>
      <c r="F3880" t="s">
        <v>54</v>
      </c>
      <c r="G3880">
        <v>-482.7022</v>
      </c>
      <c r="H3880" s="1">
        <v>3.775397E-6</v>
      </c>
      <c r="I3880">
        <v>225.9743</v>
      </c>
      <c r="J3880">
        <v>-492.24630000000002</v>
      </c>
      <c r="K3880">
        <v>1.111683</v>
      </c>
      <c r="L3880">
        <v>241.73079999999999</v>
      </c>
      <c r="M3880">
        <v>0.16673499999999999</v>
      </c>
      <c r="N3880">
        <v>0</v>
      </c>
      <c r="O3880">
        <v>-0.98590520000000004</v>
      </c>
      <c r="P3880">
        <v>0.2049638</v>
      </c>
      <c r="Q3880">
        <v>-2.1428509999999999E-3</v>
      </c>
      <c r="R3880">
        <v>-0.97876750000000001</v>
      </c>
      <c r="S3880">
        <v>1.641022</v>
      </c>
      <c r="T3880">
        <v>-0.19065209999999999</v>
      </c>
      <c r="U3880">
        <v>-2.7241209999999998</v>
      </c>
      <c r="V3880">
        <v>-3.8918290000000001E-2</v>
      </c>
      <c r="W3880">
        <v>1.154237E-2</v>
      </c>
      <c r="X3880">
        <v>0.9991757</v>
      </c>
      <c r="Y3880">
        <v>-0.36498760000000002</v>
      </c>
      <c r="Z3880">
        <v>6.0893799999999998E-2</v>
      </c>
      <c r="AA3880">
        <v>0.92901889999999998</v>
      </c>
      <c r="AB3880">
        <v>14</v>
      </c>
      <c r="AC3880">
        <v>9.5441000000000091</v>
      </c>
      <c r="AD3880">
        <v>-1.1116792246030001</v>
      </c>
      <c r="AE3880">
        <v>-15.7564999999999</v>
      </c>
      <c r="AF3880">
        <v>-6.7584513610239503</v>
      </c>
      <c r="AG3880">
        <v>-1.1116792246030001</v>
      </c>
      <c r="AH3880">
        <v>17.065235044081501</v>
      </c>
      <c r="AI3880">
        <v>93.465948663990801</v>
      </c>
      <c r="AJ3880">
        <v>111.605360167877</v>
      </c>
      <c r="AK3880">
        <v>18.388440461536899</v>
      </c>
      <c r="AL3880">
        <v>89.338656207987995</v>
      </c>
      <c r="AM3880">
        <v>92.230565781734697</v>
      </c>
      <c r="AN3880">
        <v>0.99999996953611503</v>
      </c>
    </row>
    <row r="3881" spans="1:40" x14ac:dyDescent="0.25">
      <c r="A3881" t="str">
        <f>"20190312153958254"</f>
        <v>20190312153958254</v>
      </c>
      <c r="B3881" t="str">
        <f>"1552376398249442"</f>
        <v>1552376398249442</v>
      </c>
      <c r="C3881" t="s">
        <v>40</v>
      </c>
      <c r="D3881">
        <v>4.1948569999999998</v>
      </c>
      <c r="E3881">
        <v>0.36839539999999998</v>
      </c>
      <c r="F3881" t="s">
        <v>54</v>
      </c>
      <c r="G3881">
        <v>-482.5718</v>
      </c>
      <c r="H3881" s="1">
        <v>3.7002019999999998E-6</v>
      </c>
      <c r="I3881">
        <v>225.76499999999999</v>
      </c>
      <c r="J3881">
        <v>-492.23079999999999</v>
      </c>
      <c r="K3881">
        <v>1.1116790000000001</v>
      </c>
      <c r="L3881">
        <v>241.6515</v>
      </c>
      <c r="M3881">
        <v>0.16851540000000001</v>
      </c>
      <c r="N3881">
        <v>0</v>
      </c>
      <c r="O3881">
        <v>-0.98560230000000004</v>
      </c>
      <c r="P3881">
        <v>0.2066316</v>
      </c>
      <c r="Q3881">
        <v>-2.2091939999999998E-3</v>
      </c>
      <c r="R3881">
        <v>-0.97841630000000002</v>
      </c>
      <c r="S3881">
        <v>1.6479189999999999</v>
      </c>
      <c r="T3881">
        <v>-0.18936</v>
      </c>
      <c r="U3881">
        <v>-2.7195589999999998</v>
      </c>
      <c r="V3881">
        <v>-3.88159E-2</v>
      </c>
      <c r="W3881">
        <v>1.147418E-2</v>
      </c>
      <c r="X3881">
        <v>0.99918050000000003</v>
      </c>
      <c r="Y3881">
        <v>-0.36573280000000002</v>
      </c>
      <c r="Z3881">
        <v>6.0495149999999998E-2</v>
      </c>
      <c r="AA3881">
        <v>0.92875180000000002</v>
      </c>
      <c r="AB3881">
        <v>14</v>
      </c>
      <c r="AC3881">
        <v>9.65899999999999</v>
      </c>
      <c r="AD3881">
        <v>-1.1116752997979999</v>
      </c>
      <c r="AE3881">
        <v>-15.8865</v>
      </c>
      <c r="AF3881">
        <v>-6.8190864044090302</v>
      </c>
      <c r="AG3881">
        <v>-1.1116752997979999</v>
      </c>
      <c r="AH3881">
        <v>17.2255267404433</v>
      </c>
      <c r="AI3881">
        <v>93.433955555410904</v>
      </c>
      <c r="AJ3881">
        <v>111.597175960749</v>
      </c>
      <c r="AK3881">
        <v>18.559486330410799</v>
      </c>
      <c r="AL3881">
        <v>89.342563486904893</v>
      </c>
      <c r="AM3881">
        <v>92.224692621308094</v>
      </c>
      <c r="AN3881">
        <v>1.00000000123986</v>
      </c>
    </row>
    <row r="3882" spans="1:40" x14ac:dyDescent="0.25">
      <c r="A3882" t="str">
        <f>"20190312153958275"</f>
        <v>20190312153958275</v>
      </c>
      <c r="B3882" t="str">
        <f>"1552376398269938"</f>
        <v>1552376398269938</v>
      </c>
      <c r="C3882" t="s">
        <v>40</v>
      </c>
      <c r="D3882">
        <v>4.1983119999999996</v>
      </c>
      <c r="E3882">
        <v>0.36841249999999998</v>
      </c>
      <c r="F3882" t="s">
        <v>54</v>
      </c>
      <c r="G3882">
        <v>-482.60199999999998</v>
      </c>
      <c r="H3882" s="1">
        <v>3.7155409999999999E-6</v>
      </c>
      <c r="I3882">
        <v>225.80410000000001</v>
      </c>
      <c r="J3882">
        <v>-492.20370000000003</v>
      </c>
      <c r="K3882">
        <v>1.11168</v>
      </c>
      <c r="L3882">
        <v>241.5153</v>
      </c>
      <c r="M3882">
        <v>0.17157159999999999</v>
      </c>
      <c r="N3882">
        <v>0</v>
      </c>
      <c r="O3882">
        <v>-0.98507509999999998</v>
      </c>
      <c r="P3882">
        <v>0.2095841</v>
      </c>
      <c r="Q3882">
        <v>-2.266896E-3</v>
      </c>
      <c r="R3882">
        <v>-0.9777882</v>
      </c>
      <c r="S3882">
        <v>1.650879</v>
      </c>
      <c r="T3882">
        <v>-0.1905994</v>
      </c>
      <c r="U3882">
        <v>-2.7170719999999999</v>
      </c>
      <c r="V3882">
        <v>-3.8732540000000003E-2</v>
      </c>
      <c r="W3882">
        <v>1.141315E-2</v>
      </c>
      <c r="X3882">
        <v>0.99918439999999997</v>
      </c>
      <c r="Y3882">
        <v>-0.36394969999999999</v>
      </c>
      <c r="Z3882">
        <v>6.0894009999999998E-2</v>
      </c>
      <c r="AA3882">
        <v>0.92942599999999997</v>
      </c>
      <c r="AB3882">
        <v>14</v>
      </c>
      <c r="AC3882">
        <v>9.6017000000000507</v>
      </c>
      <c r="AD3882">
        <v>-1.111676284459</v>
      </c>
      <c r="AE3882">
        <v>-15.7111999999999</v>
      </c>
      <c r="AF3882">
        <v>-6.7388791318556303</v>
      </c>
      <c r="AG3882">
        <v>-1.111676284459</v>
      </c>
      <c r="AH3882">
        <v>17.063521233435701</v>
      </c>
      <c r="AI3882">
        <v>93.467596403212795</v>
      </c>
      <c r="AJ3882">
        <v>111.550500167111</v>
      </c>
      <c r="AK3882">
        <v>18.3796646595932</v>
      </c>
      <c r="AL3882">
        <v>89.346060455197303</v>
      </c>
      <c r="AM3882">
        <v>92.219911059312906</v>
      </c>
      <c r="AN3882">
        <v>0.99999996742556596</v>
      </c>
    </row>
    <row r="3883" spans="1:40" x14ac:dyDescent="0.25">
      <c r="A3883" t="str">
        <f>"20190312153958290"</f>
        <v>20190312153958290</v>
      </c>
      <c r="B3883" t="str">
        <f>"1552376398279699"</f>
        <v>1552376398279699</v>
      </c>
      <c r="C3883" t="s">
        <v>40</v>
      </c>
      <c r="D3883">
        <v>4.1976430000000002</v>
      </c>
      <c r="E3883">
        <v>0.36850860000000002</v>
      </c>
      <c r="F3883" t="s">
        <v>54</v>
      </c>
      <c r="G3883">
        <v>-482.63569999999999</v>
      </c>
      <c r="H3883" s="1">
        <v>3.7390269999999998E-6</v>
      </c>
      <c r="I3883">
        <v>225.87649999999999</v>
      </c>
      <c r="J3883">
        <v>-492.18630000000002</v>
      </c>
      <c r="K3883">
        <v>1.1116740000000001</v>
      </c>
      <c r="L3883">
        <v>241.4288</v>
      </c>
      <c r="M3883">
        <v>0.17350570000000001</v>
      </c>
      <c r="N3883">
        <v>0</v>
      </c>
      <c r="O3883">
        <v>-0.98473630000000001</v>
      </c>
      <c r="P3883">
        <v>0.2115774</v>
      </c>
      <c r="Q3883">
        <v>-2.2688780000000002E-3</v>
      </c>
      <c r="R3883">
        <v>-0.97735890000000003</v>
      </c>
      <c r="S3883">
        <v>1.659241</v>
      </c>
      <c r="T3883">
        <v>-0.19278210000000001</v>
      </c>
      <c r="U3883">
        <v>-2.7120060000000001</v>
      </c>
      <c r="V3883">
        <v>-3.880782E-2</v>
      </c>
      <c r="W3883">
        <v>1.1408379999999999E-2</v>
      </c>
      <c r="X3883">
        <v>0.9991816</v>
      </c>
      <c r="Y3883">
        <v>-0.36495640000000001</v>
      </c>
      <c r="Z3883">
        <v>6.1595850000000001E-2</v>
      </c>
      <c r="AA3883">
        <v>0.92898480000000005</v>
      </c>
      <c r="AB3883">
        <v>14</v>
      </c>
      <c r="AC3883">
        <v>9.5506000000000295</v>
      </c>
      <c r="AD3883">
        <v>-1.111670260973</v>
      </c>
      <c r="AE3883">
        <v>-15.552300000000001</v>
      </c>
      <c r="AF3883">
        <v>-6.682255393868</v>
      </c>
      <c r="AG3883">
        <v>-1.111670260973</v>
      </c>
      <c r="AH3883">
        <v>16.9108700074853</v>
      </c>
      <c r="AI3883">
        <v>93.498543124477905</v>
      </c>
      <c r="AJ3883">
        <v>111.56123448621101</v>
      </c>
      <c r="AK3883">
        <v>18.217186180309898</v>
      </c>
      <c r="AL3883">
        <v>89.346333817324805</v>
      </c>
      <c r="AM3883">
        <v>92.224227543546903</v>
      </c>
      <c r="AN3883">
        <v>1.00000003390296</v>
      </c>
    </row>
    <row r="3884" spans="1:40" x14ac:dyDescent="0.25">
      <c r="A3884" t="str">
        <f>"20190312153958303"</f>
        <v>20190312153958303</v>
      </c>
      <c r="B3884" t="str">
        <f>"1552376398299895"</f>
        <v>1552376398299895</v>
      </c>
      <c r="C3884" t="s">
        <v>40</v>
      </c>
      <c r="D3884">
        <v>4.2019729999999997</v>
      </c>
      <c r="E3884">
        <v>0.36865059999999999</v>
      </c>
      <c r="F3884" t="s">
        <v>54</v>
      </c>
      <c r="G3884">
        <v>-482.60329999999999</v>
      </c>
      <c r="H3884" s="1">
        <v>3.721681E-6</v>
      </c>
      <c r="I3884">
        <v>225.8306</v>
      </c>
      <c r="J3884">
        <v>-492.16890000000001</v>
      </c>
      <c r="K3884">
        <v>1.1116699999999999</v>
      </c>
      <c r="L3884">
        <v>241.34289999999999</v>
      </c>
      <c r="M3884">
        <v>0.17542929999999901</v>
      </c>
      <c r="N3884">
        <v>0</v>
      </c>
      <c r="O3884">
        <v>-0.98439549999999998</v>
      </c>
      <c r="P3884">
        <v>0.21323719999999999</v>
      </c>
      <c r="Q3884">
        <v>-2.4994980000000002E-3</v>
      </c>
      <c r="R3884">
        <v>-0.97699789999999997</v>
      </c>
      <c r="S3884">
        <v>1.66418499999999</v>
      </c>
      <c r="T3884">
        <v>-0.1930529</v>
      </c>
      <c r="U3884">
        <v>-2.7088009999999998</v>
      </c>
      <c r="V3884">
        <v>-3.8551589999999997E-2</v>
      </c>
      <c r="W3884">
        <v>1.117666E-2</v>
      </c>
      <c r="X3884">
        <v>0.99919409999999997</v>
      </c>
      <c r="Y3884">
        <v>-0.36485600000000001</v>
      </c>
      <c r="Z3884">
        <v>6.1685789999999997E-2</v>
      </c>
      <c r="AA3884">
        <v>0.92901829999999996</v>
      </c>
      <c r="AB3884">
        <v>14</v>
      </c>
      <c r="AC3884">
        <v>9.5656000000000105</v>
      </c>
      <c r="AD3884">
        <v>-1.1116662783189999</v>
      </c>
      <c r="AE3884">
        <v>-15.5122999999999</v>
      </c>
      <c r="AF3884">
        <v>-6.6708370412464602</v>
      </c>
      <c r="AG3884">
        <v>-1.1116662783189999</v>
      </c>
      <c r="AH3884">
        <v>16.8871018957622</v>
      </c>
      <c r="AI3884">
        <v>93.503585767791904</v>
      </c>
      <c r="AJ3884">
        <v>111.555287197331</v>
      </c>
      <c r="AK3884">
        <v>18.1909339832531</v>
      </c>
      <c r="AL3884">
        <v>89.359611217356203</v>
      </c>
      <c r="AM3884">
        <v>92.2095289924642</v>
      </c>
      <c r="AN3884">
        <v>0.99999999614754598</v>
      </c>
    </row>
    <row r="3885" spans="1:40" x14ac:dyDescent="0.25">
      <c r="A3885" t="str">
        <f>"20190312153958320"</f>
        <v>20190312153958320</v>
      </c>
      <c r="B3885" t="str">
        <f>"1552376398309642"</f>
        <v>1552376398309642</v>
      </c>
      <c r="C3885" t="s">
        <v>40</v>
      </c>
      <c r="D3885">
        <v>4.2387290000000002</v>
      </c>
      <c r="E3885">
        <v>0.368757</v>
      </c>
      <c r="F3885" t="s">
        <v>54</v>
      </c>
      <c r="G3885">
        <v>-482.67070000000001</v>
      </c>
      <c r="H3885" s="1">
        <v>3.758804E-6</v>
      </c>
      <c r="I3885">
        <v>225.93090000000001</v>
      </c>
      <c r="J3885">
        <v>-492.14760000000001</v>
      </c>
      <c r="K3885">
        <v>1.111661</v>
      </c>
      <c r="L3885">
        <v>241.23929999999999</v>
      </c>
      <c r="M3885">
        <v>0.17774319999999999</v>
      </c>
      <c r="N3885">
        <v>0</v>
      </c>
      <c r="O3885">
        <v>-0.98398039999999998</v>
      </c>
      <c r="P3885">
        <v>0.21513779999999999</v>
      </c>
      <c r="Q3885">
        <v>-2.8103540000000002E-3</v>
      </c>
      <c r="R3885">
        <v>-0.97658009999999995</v>
      </c>
      <c r="S3885">
        <v>1.6677249999999999</v>
      </c>
      <c r="T3885">
        <v>-0.1951919</v>
      </c>
      <c r="U3885">
        <v>-2.7061160000000002</v>
      </c>
      <c r="V3885">
        <v>-3.8146260000000001E-2</v>
      </c>
      <c r="W3885">
        <v>1.086435E-2</v>
      </c>
      <c r="X3885">
        <v>0.99921309999999997</v>
      </c>
      <c r="Y3885">
        <v>-0.36393740000000002</v>
      </c>
      <c r="Z3885">
        <v>6.2371070000000001E-2</v>
      </c>
      <c r="AA3885">
        <v>0.92933279999999996</v>
      </c>
      <c r="AB3885">
        <v>14</v>
      </c>
      <c r="AC3885">
        <v>9.4769000000000005</v>
      </c>
      <c r="AD3885">
        <v>-1.111657241196</v>
      </c>
      <c r="AE3885">
        <v>-15.308399999999899</v>
      </c>
      <c r="AF3885">
        <v>-6.5796636125817596</v>
      </c>
      <c r="AG3885">
        <v>-1.111657241196</v>
      </c>
      <c r="AH3885">
        <v>16.685600654063599</v>
      </c>
      <c r="AI3885">
        <v>93.546598198131605</v>
      </c>
      <c r="AJ3885">
        <v>111.520896529475</v>
      </c>
      <c r="AK3885">
        <v>17.9704486383485</v>
      </c>
      <c r="AL3885">
        <v>89.377506348556395</v>
      </c>
      <c r="AM3885">
        <v>92.186279216981802</v>
      </c>
      <c r="AN3885">
        <v>0.99999999523225902</v>
      </c>
    </row>
    <row r="3886" spans="1:40" x14ac:dyDescent="0.25">
      <c r="A3886" t="str">
        <f>"20190312153958332"</f>
        <v>20190312153958332</v>
      </c>
      <c r="B3886" t="str">
        <f>"1552376398319402"</f>
        <v>1552376398319402</v>
      </c>
      <c r="C3886" t="s">
        <v>40</v>
      </c>
      <c r="D3886">
        <v>4.2281449999999996</v>
      </c>
      <c r="E3886">
        <v>0.36878539999999999</v>
      </c>
      <c r="F3886" t="s">
        <v>54</v>
      </c>
      <c r="G3886">
        <v>-482.67059999999998</v>
      </c>
      <c r="H3886" s="1">
        <v>3.7567340000000001E-6</v>
      </c>
      <c r="I3886">
        <v>225.92169999999999</v>
      </c>
      <c r="J3886">
        <v>-492.13220000000001</v>
      </c>
      <c r="K3886">
        <v>1.111658</v>
      </c>
      <c r="L3886">
        <v>241.1652</v>
      </c>
      <c r="M3886">
        <v>0.17939769999999999</v>
      </c>
      <c r="N3886">
        <v>0</v>
      </c>
      <c r="O3886">
        <v>-0.98367990000000005</v>
      </c>
      <c r="P3886">
        <v>0.21644730000000001</v>
      </c>
      <c r="Q3886">
        <v>-2.9569639999999999E-3</v>
      </c>
      <c r="R3886">
        <v>-0.97628990000000004</v>
      </c>
      <c r="S3886">
        <v>1.6723330000000001</v>
      </c>
      <c r="T3886">
        <v>-0.1961656</v>
      </c>
      <c r="U3886">
        <v>-2.7029879999999999</v>
      </c>
      <c r="V3886">
        <v>-3.7805159999999997E-2</v>
      </c>
      <c r="W3886">
        <v>1.0717010000000001E-2</v>
      </c>
      <c r="X3886">
        <v>0.99922759999999999</v>
      </c>
      <c r="Y3886">
        <v>-0.36398779999999997</v>
      </c>
      <c r="Z3886">
        <v>6.2686870000000006E-2</v>
      </c>
      <c r="AA3886">
        <v>0.9292918</v>
      </c>
      <c r="AB3886">
        <v>14</v>
      </c>
      <c r="AC3886">
        <v>9.4616000000000309</v>
      </c>
      <c r="AD3886">
        <v>-1.1116542432659999</v>
      </c>
      <c r="AE3886">
        <v>-15.243499999999999</v>
      </c>
      <c r="AF3886">
        <v>-6.5480234684813396</v>
      </c>
      <c r="AG3886">
        <v>-1.1116542432659999</v>
      </c>
      <c r="AH3886">
        <v>16.629857656937101</v>
      </c>
      <c r="AI3886">
        <v>93.559149474886695</v>
      </c>
      <c r="AJ3886">
        <v>111.492090790391</v>
      </c>
      <c r="AK3886">
        <v>17.907108984711702</v>
      </c>
      <c r="AL3886">
        <v>89.385948766685303</v>
      </c>
      <c r="AM3886">
        <v>92.166717034415697</v>
      </c>
      <c r="AN3886">
        <v>0.99999994051386099</v>
      </c>
    </row>
    <row r="3887" spans="1:40" x14ac:dyDescent="0.25">
      <c r="A3887" t="str">
        <f>"20190312153958343"</f>
        <v>20190312153958343</v>
      </c>
      <c r="B3887" t="str">
        <f>"1552376398339898"</f>
        <v>1552376398339898</v>
      </c>
      <c r="C3887" t="s">
        <v>40</v>
      </c>
      <c r="D3887">
        <v>4.2215290000000003</v>
      </c>
      <c r="E3887">
        <v>0.36890869999999998</v>
      </c>
      <c r="F3887" t="s">
        <v>54</v>
      </c>
      <c r="G3887">
        <v>-482.6678</v>
      </c>
      <c r="H3887" s="1">
        <v>3.7541990000000002E-6</v>
      </c>
      <c r="I3887">
        <v>225.91300000000001</v>
      </c>
      <c r="J3887">
        <v>-492.1173</v>
      </c>
      <c r="K3887">
        <v>1.1116569999999999</v>
      </c>
      <c r="L3887">
        <v>241.09379999999999</v>
      </c>
      <c r="M3887">
        <v>0.1809925</v>
      </c>
      <c r="N3887">
        <v>0</v>
      </c>
      <c r="O3887">
        <v>-0.98338789999999998</v>
      </c>
      <c r="P3887">
        <v>0.21751980000000001</v>
      </c>
      <c r="Q3887">
        <v>-3.2928469999999998E-3</v>
      </c>
      <c r="R3887">
        <v>-0.97605030000000004</v>
      </c>
      <c r="S3887">
        <v>1.6758729999999999</v>
      </c>
      <c r="T3887">
        <v>-0.19684260000000001</v>
      </c>
      <c r="U3887">
        <v>-2.700745</v>
      </c>
      <c r="V3887">
        <v>-3.7282129999999997E-2</v>
      </c>
      <c r="W3887">
        <v>1.038086E-2</v>
      </c>
      <c r="X3887">
        <v>0.99925090000000005</v>
      </c>
      <c r="Y3887">
        <v>-0.36369600000000002</v>
      </c>
      <c r="Z3887">
        <v>6.2902E-2</v>
      </c>
      <c r="AA3887">
        <v>0.92939150000000004</v>
      </c>
      <c r="AB3887">
        <v>14</v>
      </c>
      <c r="AC3887">
        <v>9.4495000000000005</v>
      </c>
      <c r="AD3887">
        <v>-1.111653245801</v>
      </c>
      <c r="AE3887">
        <v>-15.1808</v>
      </c>
      <c r="AF3887">
        <v>-6.5203348441139797</v>
      </c>
      <c r="AG3887">
        <v>-1.111653245801</v>
      </c>
      <c r="AH3887">
        <v>16.576419430862099</v>
      </c>
      <c r="AI3887">
        <v>93.571077148490005</v>
      </c>
      <c r="AJ3887">
        <v>111.472196086201</v>
      </c>
      <c r="AK3887">
        <v>17.847358924113401</v>
      </c>
      <c r="AL3887">
        <v>89.405209875280605</v>
      </c>
      <c r="AM3887">
        <v>92.136718959132395</v>
      </c>
      <c r="AN3887">
        <v>1.0000000403112399</v>
      </c>
    </row>
    <row r="3888" spans="1:40" x14ac:dyDescent="0.25">
      <c r="A3888" t="str">
        <f>"20190312153958356"</f>
        <v>20190312153958356</v>
      </c>
      <c r="B3888" t="str">
        <f>"1552376398349657"</f>
        <v>1552376398349657</v>
      </c>
      <c r="C3888" t="s">
        <v>40</v>
      </c>
      <c r="D3888">
        <v>4.2185119999999996</v>
      </c>
      <c r="E3888">
        <v>0.36898399999999998</v>
      </c>
      <c r="F3888" t="s">
        <v>54</v>
      </c>
      <c r="G3888">
        <v>-482.71749999999997</v>
      </c>
      <c r="H3888" s="1">
        <v>3.778817E-6</v>
      </c>
      <c r="I3888">
        <v>225.97450000000001</v>
      </c>
      <c r="J3888">
        <v>-492.09960000000001</v>
      </c>
      <c r="K3888">
        <v>1.1116539999999999</v>
      </c>
      <c r="L3888">
        <v>241.00980000000001</v>
      </c>
      <c r="M3888">
        <v>0.18286740000000001</v>
      </c>
      <c r="N3888">
        <v>0</v>
      </c>
      <c r="O3888">
        <v>-0.98304100000000005</v>
      </c>
      <c r="P3888">
        <v>0.2192115</v>
      </c>
      <c r="Q3888">
        <v>-3.4132070000000001E-3</v>
      </c>
      <c r="R3888">
        <v>-0.97567179999999998</v>
      </c>
      <c r="S3888">
        <v>1.6779790000000001</v>
      </c>
      <c r="T3888">
        <v>-0.19844339999999999</v>
      </c>
      <c r="U3888">
        <v>-2.6989749999999999</v>
      </c>
      <c r="V3888">
        <v>-3.7108740000000001E-2</v>
      </c>
      <c r="W3888">
        <v>1.02588E-2</v>
      </c>
      <c r="X3888">
        <v>0.9992586</v>
      </c>
      <c r="Y3888">
        <v>-0.36269899999999999</v>
      </c>
      <c r="Z3888">
        <v>6.3413590000000006E-2</v>
      </c>
      <c r="AA3888">
        <v>0.92974630000000003</v>
      </c>
      <c r="AB3888">
        <v>14</v>
      </c>
      <c r="AC3888">
        <v>9.3821000000000296</v>
      </c>
      <c r="AD3888">
        <v>-1.1116502211829999</v>
      </c>
      <c r="AE3888">
        <v>-15.035299999999999</v>
      </c>
      <c r="AF3888">
        <v>-6.4487647988218804</v>
      </c>
      <c r="AG3888">
        <v>-1.1116502211829999</v>
      </c>
      <c r="AH3888">
        <v>16.432907743048698</v>
      </c>
      <c r="AI3888">
        <v>93.603297743047406</v>
      </c>
      <c r="AJ3888">
        <v>111.426528322162</v>
      </c>
      <c r="AK3888">
        <v>17.6879278191746</v>
      </c>
      <c r="AL3888">
        <v>89.412203761644307</v>
      </c>
      <c r="AM3888">
        <v>92.126774379312906</v>
      </c>
      <c r="AN3888">
        <v>1.00000002561789</v>
      </c>
    </row>
    <row r="3889" spans="1:40" x14ac:dyDescent="0.25">
      <c r="A3889" t="str">
        <f>"20190312153958368"</f>
        <v>20190312153958368</v>
      </c>
      <c r="B3889" t="str">
        <f>"1552376398359418"</f>
        <v>1552376398359418</v>
      </c>
      <c r="C3889" t="s">
        <v>40</v>
      </c>
      <c r="D3889">
        <v>4.2386150000000002</v>
      </c>
      <c r="E3889">
        <v>0.36906080000000002</v>
      </c>
      <c r="F3889" t="s">
        <v>54</v>
      </c>
      <c r="G3889">
        <v>-482.7011</v>
      </c>
      <c r="H3889" s="1">
        <v>3.768647E-6</v>
      </c>
      <c r="I3889">
        <v>225.94489999999999</v>
      </c>
      <c r="J3889">
        <v>-492.08449999999999</v>
      </c>
      <c r="K3889">
        <v>1.11165</v>
      </c>
      <c r="L3889">
        <v>240.9391</v>
      </c>
      <c r="M3889">
        <v>0.1844432</v>
      </c>
      <c r="N3889">
        <v>0</v>
      </c>
      <c r="O3889">
        <v>-0.98274669999999997</v>
      </c>
      <c r="P3889">
        <v>0.22049070000000001</v>
      </c>
      <c r="Q3889">
        <v>-3.7063030000000002E-3</v>
      </c>
      <c r="R3889">
        <v>-0.97538199999999997</v>
      </c>
      <c r="S3889">
        <v>1.6820679999999999</v>
      </c>
      <c r="T3889">
        <v>-0.1989542</v>
      </c>
      <c r="U3889">
        <v>-2.6961819999999999</v>
      </c>
      <c r="V3889">
        <v>-3.681628E-2</v>
      </c>
      <c r="W3889">
        <v>9.9650799999999994E-3</v>
      </c>
      <c r="X3889">
        <v>0.9992723</v>
      </c>
      <c r="Y3889">
        <v>-0.36264730000000001</v>
      </c>
      <c r="Z3889">
        <v>6.358018E-2</v>
      </c>
      <c r="AA3889">
        <v>0.92975509999999995</v>
      </c>
      <c r="AB3889">
        <v>14</v>
      </c>
      <c r="AC3889">
        <v>9.3833999999999893</v>
      </c>
      <c r="AD3889">
        <v>-1.111646231353</v>
      </c>
      <c r="AE3889">
        <v>-14.994199999999999</v>
      </c>
      <c r="AF3889">
        <v>-6.4311383339140997</v>
      </c>
      <c r="AG3889">
        <v>-1.111646231353</v>
      </c>
      <c r="AH3889">
        <v>16.402979610382001</v>
      </c>
      <c r="AI3889">
        <v>93.610280760865507</v>
      </c>
      <c r="AJ3889">
        <v>111.408722805064</v>
      </c>
      <c r="AK3889">
        <v>17.653697564879401</v>
      </c>
      <c r="AL3889">
        <v>89.429033486585993</v>
      </c>
      <c r="AM3889">
        <v>92.109999233948997</v>
      </c>
      <c r="AN3889">
        <v>0.99999993541986498</v>
      </c>
    </row>
    <row r="3890" spans="1:40" x14ac:dyDescent="0.25">
      <c r="A3890" t="str">
        <f>"20190312153958380"</f>
        <v>20190312153958380</v>
      </c>
      <c r="B3890" t="str">
        <f>"1552376398369179"</f>
        <v>1552376398369179</v>
      </c>
      <c r="C3890" t="s">
        <v>40</v>
      </c>
      <c r="D3890">
        <v>4.2334839999999998</v>
      </c>
      <c r="E3890">
        <v>0.36915110000000001</v>
      </c>
      <c r="F3890" t="s">
        <v>54</v>
      </c>
      <c r="G3890">
        <v>-482.73090000000002</v>
      </c>
      <c r="H3890" s="1">
        <v>3.7834949999999999E-6</v>
      </c>
      <c r="I3890">
        <v>225.98220000000001</v>
      </c>
      <c r="J3890">
        <v>-492.06810000000002</v>
      </c>
      <c r="K3890">
        <v>1.11165</v>
      </c>
      <c r="L3890">
        <v>240.86269999999999</v>
      </c>
      <c r="M3890">
        <v>0.18615010000000001</v>
      </c>
      <c r="N3890">
        <v>0</v>
      </c>
      <c r="O3890">
        <v>-0.98242459999999998</v>
      </c>
      <c r="P3890">
        <v>0.2219602</v>
      </c>
      <c r="Q3890">
        <v>-4.022907E-3</v>
      </c>
      <c r="R3890">
        <v>-0.97504729999999995</v>
      </c>
      <c r="S3890">
        <v>1.6847840000000001</v>
      </c>
      <c r="T3890">
        <v>-0.20023089999999999</v>
      </c>
      <c r="U3890">
        <v>-2.694061</v>
      </c>
      <c r="V3890">
        <v>-3.6585300000000001E-2</v>
      </c>
      <c r="W3890">
        <v>9.6470459999999994E-3</v>
      </c>
      <c r="X3890">
        <v>0.99928399999999995</v>
      </c>
      <c r="Y3890">
        <v>-0.36201739999999999</v>
      </c>
      <c r="Z3890">
        <v>6.3989710000000005E-2</v>
      </c>
      <c r="AA3890">
        <v>0.92997240000000003</v>
      </c>
      <c r="AB3890">
        <v>14</v>
      </c>
      <c r="AC3890">
        <v>9.3371999999999904</v>
      </c>
      <c r="AD3890">
        <v>-1.1116462165050001</v>
      </c>
      <c r="AE3890">
        <v>-14.8804999999999</v>
      </c>
      <c r="AF3890">
        <v>-6.3781572974617999</v>
      </c>
      <c r="AG3890">
        <v>-1.1116462165050001</v>
      </c>
      <c r="AH3890">
        <v>16.293401881875202</v>
      </c>
      <c r="AI3890">
        <v>93.635253082354495</v>
      </c>
      <c r="AJ3890">
        <v>111.37817959599801</v>
      </c>
      <c r="AK3890">
        <v>17.532586594856099</v>
      </c>
      <c r="AL3890">
        <v>89.447256422872201</v>
      </c>
      <c r="AM3890">
        <v>92.096748730075504</v>
      </c>
      <c r="AN3890">
        <v>1.0000000311643</v>
      </c>
    </row>
    <row r="3891" spans="1:40" x14ac:dyDescent="0.25">
      <c r="A3891" t="str">
        <f>"20190312153958398"</f>
        <v>20190312153958398</v>
      </c>
      <c r="B3891" t="str">
        <f>"1552376398389674"</f>
        <v>1552376398389674</v>
      </c>
      <c r="C3891" t="s">
        <v>40</v>
      </c>
      <c r="D3891">
        <v>4.2437559999999896</v>
      </c>
      <c r="E3891">
        <v>0.36933569999999999</v>
      </c>
      <c r="F3891" t="s">
        <v>54</v>
      </c>
      <c r="G3891">
        <v>-482.77370000000002</v>
      </c>
      <c r="H3891" s="1">
        <v>3.8064140000000001E-6</v>
      </c>
      <c r="I3891">
        <v>226.0429</v>
      </c>
      <c r="J3891">
        <v>-492.0446</v>
      </c>
      <c r="K3891">
        <v>1.11164</v>
      </c>
      <c r="L3891">
        <v>240.75409999999999</v>
      </c>
      <c r="M3891">
        <v>0.18857399999999999</v>
      </c>
      <c r="N3891">
        <v>0</v>
      </c>
      <c r="O3891">
        <v>-0.98196229999999995</v>
      </c>
      <c r="P3891">
        <v>0.22477530000000001</v>
      </c>
      <c r="Q3891">
        <v>-4.5044389999999998E-3</v>
      </c>
      <c r="R3891">
        <v>-0.9744003</v>
      </c>
      <c r="S3891">
        <v>1.68810999999999</v>
      </c>
      <c r="T3891">
        <v>-0.201904</v>
      </c>
      <c r="U3891">
        <v>-2.6916500000000001</v>
      </c>
      <c r="V3891">
        <v>-3.7004309999999999E-2</v>
      </c>
      <c r="W3891">
        <v>9.1611699999999997E-3</v>
      </c>
      <c r="X3891">
        <v>0.99927310000000003</v>
      </c>
      <c r="Y3891">
        <v>-0.36089880000000002</v>
      </c>
      <c r="Z3891">
        <v>6.4520099999999997E-2</v>
      </c>
      <c r="AA3891">
        <v>0.93037049999999999</v>
      </c>
      <c r="AB3891">
        <v>14</v>
      </c>
      <c r="AC3891">
        <v>9.2708999999999797</v>
      </c>
      <c r="AD3891">
        <v>-1.111636193586</v>
      </c>
      <c r="AE3891">
        <v>-14.7111999999999</v>
      </c>
      <c r="AF3891">
        <v>-6.3043605532209996</v>
      </c>
      <c r="AG3891">
        <v>-1.111636193586</v>
      </c>
      <c r="AH3891">
        <v>16.1297126088106</v>
      </c>
      <c r="AI3891">
        <v>93.672759974663904</v>
      </c>
      <c r="AJ3891">
        <v>111.348235533939</v>
      </c>
      <c r="AK3891">
        <v>17.353625726479301</v>
      </c>
      <c r="AL3891">
        <v>89.475096274429902</v>
      </c>
      <c r="AM3891">
        <v>92.120764019199797</v>
      </c>
      <c r="AN3891">
        <v>0.99999998718897698</v>
      </c>
    </row>
    <row r="3892" spans="1:40" x14ac:dyDescent="0.25">
      <c r="A3892" t="str">
        <f>"20190312153958410"</f>
        <v>20190312153958410</v>
      </c>
      <c r="B3892" t="str">
        <f>"1552376398400088"</f>
        <v>1552376398400088</v>
      </c>
      <c r="C3892" t="s">
        <v>40</v>
      </c>
      <c r="D3892">
        <v>4.2143769999999998</v>
      </c>
      <c r="E3892">
        <v>0.36940519999999999</v>
      </c>
      <c r="F3892" t="s">
        <v>54</v>
      </c>
      <c r="G3892">
        <v>-482.85550000000001</v>
      </c>
      <c r="H3892" s="1">
        <v>3.8550660000000001E-6</v>
      </c>
      <c r="I3892">
        <v>226.18100000000001</v>
      </c>
      <c r="J3892">
        <v>-492.02839999999998</v>
      </c>
      <c r="K3892">
        <v>1.111639</v>
      </c>
      <c r="L3892">
        <v>240.68039999999999</v>
      </c>
      <c r="M3892">
        <v>0.1902189</v>
      </c>
      <c r="N3892">
        <v>0</v>
      </c>
      <c r="O3892">
        <v>-0.98164490000000004</v>
      </c>
      <c r="P3892">
        <v>0.22661419999999999</v>
      </c>
      <c r="Q3892">
        <v>-4.9139379999999996E-3</v>
      </c>
      <c r="R3892">
        <v>-0.97397219999999995</v>
      </c>
      <c r="S3892">
        <v>1.6943049999999999</v>
      </c>
      <c r="T3892">
        <v>-0.20496510000000001</v>
      </c>
      <c r="U3892">
        <v>-2.6870120000000002</v>
      </c>
      <c r="V3892">
        <v>-3.7215529999999997E-2</v>
      </c>
      <c r="W3892">
        <v>8.74872199999999E-3</v>
      </c>
      <c r="X3892">
        <v>0.99926890000000002</v>
      </c>
      <c r="Y3892">
        <v>-0.36156110000000002</v>
      </c>
      <c r="Z3892">
        <v>6.5511260000000002E-2</v>
      </c>
      <c r="AA3892">
        <v>0.93004399999999998</v>
      </c>
      <c r="AB3892">
        <v>14</v>
      </c>
      <c r="AC3892">
        <v>9.1728999999999701</v>
      </c>
      <c r="AD3892">
        <v>-1.1116351449339901</v>
      </c>
      <c r="AE3892">
        <v>-14.4994</v>
      </c>
      <c r="AF3892">
        <v>-6.2209498297778003</v>
      </c>
      <c r="AG3892">
        <v>-1.1116351449339901</v>
      </c>
      <c r="AH3892">
        <v>15.9128403531739</v>
      </c>
      <c r="AI3892">
        <v>93.722564666516604</v>
      </c>
      <c r="AJ3892">
        <v>111.352466540451</v>
      </c>
      <c r="AK3892">
        <v>17.121753344376401</v>
      </c>
      <c r="AL3892">
        <v>89.498728726062495</v>
      </c>
      <c r="AM3892">
        <v>92.132867113700101</v>
      </c>
      <c r="AN3892">
        <v>0.99999993515850905</v>
      </c>
    </row>
    <row r="3893" spans="1:40" x14ac:dyDescent="0.25">
      <c r="A3893" t="str">
        <f>"20190312153958423"</f>
        <v>20190312153958423</v>
      </c>
      <c r="B3893" t="str">
        <f>"1552376398419598"</f>
        <v>1552376398419598</v>
      </c>
      <c r="C3893" t="s">
        <v>40</v>
      </c>
      <c r="D3893">
        <v>4.2388199999999996</v>
      </c>
      <c r="E3893">
        <v>0.36950709999999998</v>
      </c>
      <c r="F3893" t="s">
        <v>54</v>
      </c>
      <c r="G3893">
        <v>-482.88279999999997</v>
      </c>
      <c r="H3893" s="1">
        <v>3.8728329999999999E-6</v>
      </c>
      <c r="I3893">
        <v>226.23390000000001</v>
      </c>
      <c r="J3893">
        <v>-492.01190000000003</v>
      </c>
      <c r="K3893">
        <v>1.1116379999999999</v>
      </c>
      <c r="L3893">
        <v>240.6053</v>
      </c>
      <c r="M3893">
        <v>0.19189510000000001</v>
      </c>
      <c r="N3893">
        <v>0</v>
      </c>
      <c r="O3893">
        <v>-0.98131869999999999</v>
      </c>
      <c r="P3893">
        <v>0.2286599</v>
      </c>
      <c r="Q3893">
        <v>-5.0094889999999998E-3</v>
      </c>
      <c r="R3893">
        <v>-0.97349350000000001</v>
      </c>
      <c r="S3893">
        <v>1.699036</v>
      </c>
      <c r="T3893">
        <v>-0.20651620000000001</v>
      </c>
      <c r="U3893">
        <v>-2.6838229999999998</v>
      </c>
      <c r="V3893">
        <v>-3.760819E-2</v>
      </c>
      <c r="W3893">
        <v>8.6504979999999995E-3</v>
      </c>
      <c r="X3893">
        <v>0.99925509999999995</v>
      </c>
      <c r="Y3893">
        <v>-0.36162119999999998</v>
      </c>
      <c r="Z3893">
        <v>6.6008209999999998E-2</v>
      </c>
      <c r="AA3893">
        <v>0.92998550000000002</v>
      </c>
      <c r="AB3893">
        <v>14</v>
      </c>
      <c r="AC3893">
        <v>9.1291000000000508</v>
      </c>
      <c r="AD3893">
        <v>-1.1116341271669901</v>
      </c>
      <c r="AE3893">
        <v>-14.3713999999999</v>
      </c>
      <c r="AF3893">
        <v>-6.1750203537645101</v>
      </c>
      <c r="AG3893">
        <v>-1.1116341271669901</v>
      </c>
      <c r="AH3893">
        <v>15.788951254418</v>
      </c>
      <c r="AI3893">
        <v>93.751486322978494</v>
      </c>
      <c r="AJ3893">
        <v>111.360346882954</v>
      </c>
      <c r="AK3893">
        <v>16.989926089199901</v>
      </c>
      <c r="AL3893">
        <v>89.504356782762798</v>
      </c>
      <c r="AM3893">
        <v>92.155379558347207</v>
      </c>
      <c r="AN3893">
        <v>0.99999998097336595</v>
      </c>
    </row>
    <row r="3894" spans="1:40" x14ac:dyDescent="0.25">
      <c r="A3894" t="str">
        <f>"20190312153958436"</f>
        <v>20190312153958436</v>
      </c>
      <c r="B3894" t="str">
        <f>"1552376398429359"</f>
        <v>1552376398429359</v>
      </c>
      <c r="C3894" t="s">
        <v>40</v>
      </c>
      <c r="D3894">
        <v>4.237438</v>
      </c>
      <c r="E3894">
        <v>0.36961100000000002</v>
      </c>
      <c r="F3894" t="s">
        <v>54</v>
      </c>
      <c r="G3894">
        <v>-482.8879</v>
      </c>
      <c r="H3894" s="1">
        <v>3.8782140000000004E-6</v>
      </c>
      <c r="I3894">
        <v>226.25309999999999</v>
      </c>
      <c r="J3894">
        <v>-491.99419999999998</v>
      </c>
      <c r="K3894">
        <v>1.111637</v>
      </c>
      <c r="L3894">
        <v>240.52590000000001</v>
      </c>
      <c r="M3894">
        <v>0.1936679</v>
      </c>
      <c r="N3894">
        <v>0</v>
      </c>
      <c r="O3894">
        <v>-0.98097080000000003</v>
      </c>
      <c r="P3894">
        <v>0.23075119999999999</v>
      </c>
      <c r="Q3894">
        <v>-4.8448570000000002E-3</v>
      </c>
      <c r="R3894">
        <v>-0.973001</v>
      </c>
      <c r="S3894">
        <v>1.7039489999999999</v>
      </c>
      <c r="T3894">
        <v>-0.20760429999999999</v>
      </c>
      <c r="U3894">
        <v>-2.6803590000000002</v>
      </c>
      <c r="V3894">
        <v>-3.7949759999999999E-2</v>
      </c>
      <c r="W3894">
        <v>8.8116630000000008E-3</v>
      </c>
      <c r="X3894">
        <v>0.99924080000000004</v>
      </c>
      <c r="Y3894">
        <v>-0.36168260000000002</v>
      </c>
      <c r="Z3894">
        <v>6.6360089999999997E-2</v>
      </c>
      <c r="AA3894">
        <v>0.9299366</v>
      </c>
      <c r="AB3894">
        <v>14</v>
      </c>
      <c r="AC3894">
        <v>9.1062999999999708</v>
      </c>
      <c r="AD3894">
        <v>-1.111633121786</v>
      </c>
      <c r="AE3894">
        <v>-14.2728</v>
      </c>
      <c r="AF3894">
        <v>-6.1429314323294104</v>
      </c>
      <c r="AG3894">
        <v>-1.111633121786</v>
      </c>
      <c r="AH3894">
        <v>15.6986097246923</v>
      </c>
      <c r="AI3894">
        <v>93.772745891531201</v>
      </c>
      <c r="AJ3894">
        <v>111.37061338248</v>
      </c>
      <c r="AK3894">
        <v>16.894309162198901</v>
      </c>
      <c r="AL3894">
        <v>89.495122367426504</v>
      </c>
      <c r="AM3894">
        <v>92.174967807249402</v>
      </c>
      <c r="AN3894">
        <v>1.00000000303676</v>
      </c>
    </row>
    <row r="3895" spans="1:40" x14ac:dyDescent="0.25">
      <c r="A3895" t="str">
        <f>"20190312153958448"</f>
        <v>20190312153958448</v>
      </c>
      <c r="B3895" t="str">
        <f>"1552376398439119"</f>
        <v>1552376398439119</v>
      </c>
      <c r="C3895" t="s">
        <v>40</v>
      </c>
      <c r="D3895">
        <v>4.2457979999999997</v>
      </c>
      <c r="E3895">
        <v>0.36968859999999998</v>
      </c>
      <c r="F3895" t="s">
        <v>54</v>
      </c>
      <c r="G3895">
        <v>-482.80439999999999</v>
      </c>
      <c r="H3895" s="1">
        <v>3.8330800000000001E-6</v>
      </c>
      <c r="I3895">
        <v>226.1328</v>
      </c>
      <c r="J3895">
        <v>-491.97649999999999</v>
      </c>
      <c r="K3895">
        <v>1.111634</v>
      </c>
      <c r="L3895">
        <v>240.44739999999999</v>
      </c>
      <c r="M3895">
        <v>0.1954225</v>
      </c>
      <c r="N3895">
        <v>0</v>
      </c>
      <c r="O3895">
        <v>-0.98062260000000001</v>
      </c>
      <c r="P3895">
        <v>0.23291200000000001</v>
      </c>
      <c r="Q3895">
        <v>-4.3495219999999998E-3</v>
      </c>
      <c r="R3895">
        <v>-0.97248829999999997</v>
      </c>
      <c r="S3895">
        <v>1.7091369999999999</v>
      </c>
      <c r="T3895">
        <v>-0.2067437</v>
      </c>
      <c r="U3895">
        <v>-2.6768649999999998</v>
      </c>
      <c r="V3895">
        <v>-3.838271E-2</v>
      </c>
      <c r="W3895">
        <v>9.3037380000000006E-3</v>
      </c>
      <c r="X3895">
        <v>0.99921979999999999</v>
      </c>
      <c r="Y3895">
        <v>-0.36185590000000001</v>
      </c>
      <c r="Z3895">
        <v>6.6089449999999994E-2</v>
      </c>
      <c r="AA3895">
        <v>0.92988839999999995</v>
      </c>
      <c r="AB3895">
        <v>14</v>
      </c>
      <c r="AC3895">
        <v>9.1721000000000004</v>
      </c>
      <c r="AD3895">
        <v>-1.1116301669199999</v>
      </c>
      <c r="AE3895">
        <v>-14.314599999999899</v>
      </c>
      <c r="AF3895">
        <v>-6.1711766189702502</v>
      </c>
      <c r="AG3895">
        <v>-1.1116301669199999</v>
      </c>
      <c r="AH3895">
        <v>15.7637586554401</v>
      </c>
      <c r="AI3895">
        <v>93.756966582796395</v>
      </c>
      <c r="AJ3895">
        <v>111.37928765951401</v>
      </c>
      <c r="AK3895">
        <v>16.965118020146399</v>
      </c>
      <c r="AL3895">
        <v>89.466927388477004</v>
      </c>
      <c r="AM3895">
        <v>92.199802883414606</v>
      </c>
      <c r="AN3895">
        <v>1.0000000003398699</v>
      </c>
    </row>
    <row r="3896" spans="1:40" x14ac:dyDescent="0.25">
      <c r="A3896" t="str">
        <f>"20190312153958466"</f>
        <v>20190312153958466</v>
      </c>
      <c r="B3896" t="str">
        <f>"1552376398459615"</f>
        <v>1552376398459615</v>
      </c>
      <c r="C3896" t="s">
        <v>40</v>
      </c>
      <c r="D3896">
        <v>4.2182890000000004</v>
      </c>
      <c r="E3896">
        <v>0.36982959999999998</v>
      </c>
      <c r="F3896" t="s">
        <v>54</v>
      </c>
      <c r="G3896">
        <v>-482.69139999999999</v>
      </c>
      <c r="H3896" s="1">
        <v>3.7719510000000002E-6</v>
      </c>
      <c r="I3896">
        <v>225.96960000000001</v>
      </c>
      <c r="J3896">
        <v>-491.95249999999999</v>
      </c>
      <c r="K3896">
        <v>1.1116360000000001</v>
      </c>
      <c r="L3896">
        <v>240.34129999999999</v>
      </c>
      <c r="M3896">
        <v>0.1977949</v>
      </c>
      <c r="N3896">
        <v>0</v>
      </c>
      <c r="O3896">
        <v>-0.98014690000000004</v>
      </c>
      <c r="P3896">
        <v>0.23587140000000001</v>
      </c>
      <c r="Q3896">
        <v>-3.3220599999999999E-3</v>
      </c>
      <c r="R3896">
        <v>-0.97177899999999995</v>
      </c>
      <c r="S3896">
        <v>1.7145079999999999</v>
      </c>
      <c r="T3896">
        <v>-0.20526420000000001</v>
      </c>
      <c r="U3896">
        <v>-2.6733549999999999</v>
      </c>
      <c r="V3896">
        <v>-3.9008859999999999E-2</v>
      </c>
      <c r="W3896">
        <v>1.0326500000000001E-2</v>
      </c>
      <c r="X3896">
        <v>0.99918549999999995</v>
      </c>
      <c r="Y3896">
        <v>-0.36149619999999999</v>
      </c>
      <c r="Z3896">
        <v>6.561517E-2</v>
      </c>
      <c r="AA3896">
        <v>0.9300619</v>
      </c>
      <c r="AB3896">
        <v>14</v>
      </c>
      <c r="AC3896">
        <v>9.2611000000000008</v>
      </c>
      <c r="AD3896">
        <v>-1.1116322280490001</v>
      </c>
      <c r="AE3896">
        <v>-14.371699999999899</v>
      </c>
      <c r="AF3896">
        <v>-6.2089318467413497</v>
      </c>
      <c r="AG3896">
        <v>-1.1116322280490001</v>
      </c>
      <c r="AH3896">
        <v>15.8526663639876</v>
      </c>
      <c r="AI3896">
        <v>93.735727508486406</v>
      </c>
      <c r="AJ3896">
        <v>111.38853149731</v>
      </c>
      <c r="AK3896">
        <v>17.0614651110571</v>
      </c>
      <c r="AL3896">
        <v>89.408324614219595</v>
      </c>
      <c r="AM3896">
        <v>92.235729549881597</v>
      </c>
      <c r="AN3896">
        <v>0.99999999558549901</v>
      </c>
    </row>
    <row r="3897" spans="1:40" x14ac:dyDescent="0.25">
      <c r="A3897" t="str">
        <f>"20190312153958480"</f>
        <v>20190312153958480</v>
      </c>
      <c r="B3897" t="str">
        <f>"1552376398469376"</f>
        <v>1552376398469376</v>
      </c>
      <c r="C3897" t="s">
        <v>40</v>
      </c>
      <c r="D3897">
        <v>4.2494909999999999</v>
      </c>
      <c r="E3897">
        <v>0.36999130000000002</v>
      </c>
      <c r="F3897" t="s">
        <v>54</v>
      </c>
      <c r="G3897">
        <v>-482.464</v>
      </c>
      <c r="H3897" s="1">
        <v>3.6474220000000002E-6</v>
      </c>
      <c r="I3897">
        <v>225.6344</v>
      </c>
      <c r="J3897">
        <v>-491.93340000000001</v>
      </c>
      <c r="K3897">
        <v>1.1116349999999999</v>
      </c>
      <c r="L3897">
        <v>240.25790000000001</v>
      </c>
      <c r="M3897">
        <v>0.1996599</v>
      </c>
      <c r="N3897">
        <v>0</v>
      </c>
      <c r="O3897">
        <v>-0.97976870000000005</v>
      </c>
      <c r="P3897">
        <v>0.2380005</v>
      </c>
      <c r="Q3897">
        <v>-2.6108099999999999E-3</v>
      </c>
      <c r="R3897">
        <v>-0.97126190000000001</v>
      </c>
      <c r="S3897">
        <v>1.721649</v>
      </c>
      <c r="T3897">
        <v>-0.20170199999999999</v>
      </c>
      <c r="U3897">
        <v>-2.6685180000000002</v>
      </c>
      <c r="V3897">
        <v>-3.929825E-2</v>
      </c>
      <c r="W3897">
        <v>1.1035039999999999E-2</v>
      </c>
      <c r="X3897">
        <v>0.99916660000000002</v>
      </c>
      <c r="Y3897">
        <v>-0.36228769999999999</v>
      </c>
      <c r="Z3897">
        <v>6.4488829999999997E-2</v>
      </c>
      <c r="AA3897">
        <v>0.92983269999999996</v>
      </c>
      <c r="AB3897">
        <v>14</v>
      </c>
      <c r="AC3897">
        <v>9.4694000000000091</v>
      </c>
      <c r="AD3897">
        <v>-1.1116313525779999</v>
      </c>
      <c r="AE3897">
        <v>-14.6235</v>
      </c>
      <c r="AF3897">
        <v>-6.3329132276772802</v>
      </c>
      <c r="AG3897">
        <v>-1.1116313525779999</v>
      </c>
      <c r="AH3897">
        <v>16.154072608836</v>
      </c>
      <c r="AI3897">
        <v>93.665758524926204</v>
      </c>
      <c r="AJ3897">
        <v>111.40676815846101</v>
      </c>
      <c r="AK3897">
        <v>17.386649362797598</v>
      </c>
      <c r="AL3897">
        <v>89.367725954618805</v>
      </c>
      <c r="AM3897">
        <v>92.252341009994694</v>
      </c>
      <c r="AN3897">
        <v>1.00000000955821</v>
      </c>
    </row>
    <row r="3898" spans="1:40" x14ac:dyDescent="0.25">
      <c r="A3898" t="str">
        <f>"20190312153958500"</f>
        <v>20190312153958500</v>
      </c>
      <c r="B3898" t="str">
        <f>"1552376398489871"</f>
        <v>1552376398489871</v>
      </c>
      <c r="C3898" t="s">
        <v>40</v>
      </c>
      <c r="D3898">
        <v>4.2331070000000004</v>
      </c>
      <c r="E3898">
        <v>0.37027199999999999</v>
      </c>
      <c r="F3898" t="s">
        <v>54</v>
      </c>
      <c r="G3898">
        <v>-482.32760000000002</v>
      </c>
      <c r="H3898" s="1">
        <v>3.5711699999999998E-6</v>
      </c>
      <c r="I3898">
        <v>225.4263</v>
      </c>
      <c r="J3898">
        <v>-491.90570000000002</v>
      </c>
      <c r="K3898">
        <v>1.11164</v>
      </c>
      <c r="L3898">
        <v>240.13820000000001</v>
      </c>
      <c r="M3898">
        <v>0.20234060000000001</v>
      </c>
      <c r="N3898">
        <v>0</v>
      </c>
      <c r="O3898">
        <v>-0.97921860000000005</v>
      </c>
      <c r="P3898">
        <v>0.24068680000000001</v>
      </c>
      <c r="Q3898">
        <v>-1.320639E-3</v>
      </c>
      <c r="R3898">
        <v>-0.97060230000000003</v>
      </c>
      <c r="S3898">
        <v>1.7261660000000001</v>
      </c>
      <c r="T3898">
        <v>-0.19976089999999999</v>
      </c>
      <c r="U3898">
        <v>-2.6652529999999999</v>
      </c>
      <c r="V3898">
        <v>-3.9331480000000002E-2</v>
      </c>
      <c r="W3898">
        <v>1.2322420000000001E-2</v>
      </c>
      <c r="X3898">
        <v>0.99915019999999999</v>
      </c>
      <c r="Y3898">
        <v>-0.36138900000000002</v>
      </c>
      <c r="Z3898">
        <v>6.3867170000000001E-2</v>
      </c>
      <c r="AA3898">
        <v>0.93022530000000003</v>
      </c>
      <c r="AB3898">
        <v>14</v>
      </c>
      <c r="AC3898">
        <v>9.5780999999999992</v>
      </c>
      <c r="AD3898">
        <v>-1.11163642882999</v>
      </c>
      <c r="AE3898">
        <v>-14.7119</v>
      </c>
      <c r="AF3898">
        <v>-6.3772732904756797</v>
      </c>
      <c r="AG3898">
        <v>-1.11163642882999</v>
      </c>
      <c r="AH3898">
        <v>16.280469941693799</v>
      </c>
      <c r="AI3898">
        <v>93.637784799857997</v>
      </c>
      <c r="AJ3898">
        <v>111.39092920468499</v>
      </c>
      <c r="AK3898">
        <v>17.520246907327301</v>
      </c>
      <c r="AL3898">
        <v>89.293959447187504</v>
      </c>
      <c r="AM3898">
        <v>92.254280554030601</v>
      </c>
      <c r="AN3898">
        <v>0.99999996475684205</v>
      </c>
    </row>
    <row r="3899" spans="1:40" x14ac:dyDescent="0.25">
      <c r="A3899" t="str">
        <f>"20190312153958520"</f>
        <v>20190312153958520</v>
      </c>
      <c r="B3899" t="str">
        <f>"1552376398509271"</f>
        <v>1552376398509271</v>
      </c>
      <c r="C3899" t="s">
        <v>40</v>
      </c>
      <c r="D3899">
        <v>4.2522690000000001</v>
      </c>
      <c r="E3899">
        <v>0.38489760000000001</v>
      </c>
      <c r="F3899" t="s">
        <v>54</v>
      </c>
      <c r="G3899">
        <v>-482.0942</v>
      </c>
      <c r="H3899" s="1">
        <v>3.4378879999999998E-6</v>
      </c>
      <c r="I3899">
        <v>225.0575</v>
      </c>
      <c r="J3899">
        <v>-491.87599999999998</v>
      </c>
      <c r="K3899">
        <v>1.111637</v>
      </c>
      <c r="L3899">
        <v>240.01140000000001</v>
      </c>
      <c r="M3899">
        <v>0.2051789</v>
      </c>
      <c r="N3899">
        <v>0</v>
      </c>
      <c r="O3899">
        <v>-0.9786279</v>
      </c>
      <c r="P3899">
        <v>0.24369009999999999</v>
      </c>
      <c r="Q3899">
        <v>-4.5887800000000002E-4</v>
      </c>
      <c r="R3899">
        <v>-0.96985330000000003</v>
      </c>
      <c r="S3899">
        <v>1.7314149999999999</v>
      </c>
      <c r="T3899">
        <v>-0.1961685</v>
      </c>
      <c r="U3899">
        <v>-2.6612550000000001</v>
      </c>
      <c r="V3899">
        <v>-3.9529250000000002E-2</v>
      </c>
      <c r="W3899">
        <v>1.318018E-2</v>
      </c>
      <c r="X3899">
        <v>0.99913149999999995</v>
      </c>
      <c r="Y3899">
        <v>-0.36065360000000002</v>
      </c>
      <c r="Z3899">
        <v>6.272382E-2</v>
      </c>
      <c r="AA3899">
        <v>0.93058839999999998</v>
      </c>
      <c r="AB3899">
        <v>14</v>
      </c>
      <c r="AC3899">
        <v>9.7817999999999703</v>
      </c>
      <c r="AD3899">
        <v>-1.1116335621119999</v>
      </c>
      <c r="AE3899">
        <v>-14.953900000000001</v>
      </c>
      <c r="AF3899">
        <v>-6.4800542042123199</v>
      </c>
      <c r="AG3899">
        <v>-1.1116335621119999</v>
      </c>
      <c r="AH3899">
        <v>16.578734845194798</v>
      </c>
      <c r="AI3899">
        <v>93.573525047020496</v>
      </c>
      <c r="AJ3899">
        <v>111.34880986618801</v>
      </c>
      <c r="AK3899">
        <v>17.834833353110401</v>
      </c>
      <c r="AL3899">
        <v>89.244809459253901</v>
      </c>
      <c r="AM3899">
        <v>92.265646302302599</v>
      </c>
      <c r="AN3899">
        <v>1.0000000165213201</v>
      </c>
    </row>
    <row r="3900" spans="1:40" x14ac:dyDescent="0.25">
      <c r="A3900" t="str">
        <f>"20190312153958532"</f>
        <v>20190312153958532</v>
      </c>
      <c r="B3900" t="str">
        <f>"1552376398529764"</f>
        <v>1552376398529764</v>
      </c>
      <c r="C3900" t="s">
        <v>40</v>
      </c>
      <c r="D3900">
        <v>4.2812029999999996</v>
      </c>
      <c r="E3900">
        <v>0.38800620000000002</v>
      </c>
      <c r="F3900" t="s">
        <v>54</v>
      </c>
      <c r="G3900">
        <v>-481.33170000000001</v>
      </c>
      <c r="H3900" s="1">
        <v>2.6652349999999998E-6</v>
      </c>
      <c r="I3900">
        <v>222.60310000000001</v>
      </c>
      <c r="J3900">
        <v>-491.8587</v>
      </c>
      <c r="K3900">
        <v>1.1116360000000001</v>
      </c>
      <c r="L3900">
        <v>239.9385</v>
      </c>
      <c r="M3900">
        <v>0.20681099999999999</v>
      </c>
      <c r="N3900">
        <v>0</v>
      </c>
      <c r="O3900">
        <v>-0.97828419999999905</v>
      </c>
      <c r="P3900">
        <v>0.24527209999999999</v>
      </c>
      <c r="Q3900">
        <v>-1.516961E-4</v>
      </c>
      <c r="R3900">
        <v>-0.9694545</v>
      </c>
      <c r="S3900">
        <v>1.6260680000000001</v>
      </c>
      <c r="T3900">
        <v>-0.1714292</v>
      </c>
      <c r="U3900">
        <v>-2.6845859999999999</v>
      </c>
      <c r="V3900">
        <v>-3.9493830000000001E-2</v>
      </c>
      <c r="W3900">
        <v>1.348533E-2</v>
      </c>
      <c r="X3900">
        <v>0.99912880000000004</v>
      </c>
      <c r="Y3900">
        <v>-0.32916719999999999</v>
      </c>
      <c r="Z3900">
        <v>5.5271460000000001E-2</v>
      </c>
      <c r="AA3900">
        <v>0.94265259999999995</v>
      </c>
      <c r="AB3900">
        <v>14</v>
      </c>
      <c r="AC3900">
        <v>10.5269999999999</v>
      </c>
      <c r="AD3900">
        <v>-1.111633334765</v>
      </c>
      <c r="AE3900">
        <v>-17.3353999999999</v>
      </c>
      <c r="AF3900">
        <v>-6.6937722184046899</v>
      </c>
      <c r="AG3900">
        <v>-1.111633334765</v>
      </c>
      <c r="AH3900">
        <v>19.080536443897401</v>
      </c>
      <c r="AI3900">
        <v>93.146681502751903</v>
      </c>
      <c r="AJ3900">
        <v>109.33172613949</v>
      </c>
      <c r="AK3900">
        <v>20.2511527121234</v>
      </c>
      <c r="AL3900">
        <v>89.227324076021802</v>
      </c>
      <c r="AM3900">
        <v>92.263624404004304</v>
      </c>
      <c r="AN3900">
        <v>0.99999998786135802</v>
      </c>
    </row>
    <row r="3901" spans="1:40" x14ac:dyDescent="0.25">
      <c r="A3901" t="str">
        <f>"20190312153958544"</f>
        <v>20190312153958544</v>
      </c>
      <c r="B3901" t="str">
        <f>"1552376398539524"</f>
        <v>1552376398539524</v>
      </c>
      <c r="C3901" t="s">
        <v>40</v>
      </c>
      <c r="D3901">
        <v>4.269641</v>
      </c>
      <c r="E3901">
        <v>0.38856629999999998</v>
      </c>
      <c r="F3901" t="s">
        <v>54</v>
      </c>
      <c r="G3901">
        <v>-481.25220000000002</v>
      </c>
      <c r="H3901" s="1">
        <v>2.5605319999999999E-6</v>
      </c>
      <c r="I3901">
        <v>222.1934</v>
      </c>
      <c r="J3901">
        <v>-491.84249999999997</v>
      </c>
      <c r="K3901">
        <v>1.1116349999999999</v>
      </c>
      <c r="L3901">
        <v>239.8708</v>
      </c>
      <c r="M3901">
        <v>0.20832680000000001</v>
      </c>
      <c r="N3901">
        <v>0</v>
      </c>
      <c r="O3901">
        <v>-0.97796269999999996</v>
      </c>
      <c r="P3901">
        <v>0.24649840000000001</v>
      </c>
      <c r="Q3901">
        <v>2.9270259999999998E-4</v>
      </c>
      <c r="R3901">
        <v>-0.96914339999999999</v>
      </c>
      <c r="S3901">
        <v>1.6066590000000001</v>
      </c>
      <c r="T3901">
        <v>-0.16838880000000001</v>
      </c>
      <c r="U3901">
        <v>-2.6880039999999998</v>
      </c>
      <c r="V3901">
        <v>-3.9210109999999999E-2</v>
      </c>
      <c r="W3901">
        <v>1.3929220000000001E-2</v>
      </c>
      <c r="X3901">
        <v>0.99913390000000002</v>
      </c>
      <c r="Y3901">
        <v>-0.32218999999999998</v>
      </c>
      <c r="Z3901">
        <v>5.437036E-2</v>
      </c>
      <c r="AA3901">
        <v>0.94511239999999996</v>
      </c>
      <c r="AB3901">
        <v>14</v>
      </c>
      <c r="AC3901">
        <v>10.5902999999999</v>
      </c>
      <c r="AD3901">
        <v>-1.1116324394679999</v>
      </c>
      <c r="AE3901">
        <v>-17.677399999999999</v>
      </c>
      <c r="AF3901">
        <v>-6.6555050095213604</v>
      </c>
      <c r="AG3901">
        <v>-1.1116324394679999</v>
      </c>
      <c r="AH3901">
        <v>19.439353662919999</v>
      </c>
      <c r="AI3901">
        <v>93.096775048490301</v>
      </c>
      <c r="AJ3901">
        <v>108.899806464213</v>
      </c>
      <c r="AK3901">
        <v>20.577170467397199</v>
      </c>
      <c r="AL3901">
        <v>89.201888674394795</v>
      </c>
      <c r="AM3901">
        <v>92.247368011628893</v>
      </c>
      <c r="AN3901">
        <v>1.0000000030126099</v>
      </c>
    </row>
    <row r="3902" spans="1:40" x14ac:dyDescent="0.25">
      <c r="A3902" t="str">
        <f>"20190312153958556"</f>
        <v>20190312153958556</v>
      </c>
      <c r="B3902" t="str">
        <f>"1552376398549284"</f>
        <v>1552376398549284</v>
      </c>
      <c r="C3902" t="s">
        <v>40</v>
      </c>
      <c r="D3902">
        <v>4.2296589999999998</v>
      </c>
      <c r="E3902">
        <v>0.38892369999999998</v>
      </c>
      <c r="F3902" t="s">
        <v>54</v>
      </c>
      <c r="G3902">
        <v>-480.8143</v>
      </c>
      <c r="H3902" s="1">
        <v>2.3098899999999998E-6</v>
      </c>
      <c r="I3902">
        <v>221.411</v>
      </c>
      <c r="J3902">
        <v>-491.82420000000002</v>
      </c>
      <c r="K3902">
        <v>1.1116330000000001</v>
      </c>
      <c r="L3902">
        <v>239.79429999999999</v>
      </c>
      <c r="M3902">
        <v>0.21003810000000001</v>
      </c>
      <c r="N3902">
        <v>0</v>
      </c>
      <c r="O3902">
        <v>-0.97759649999999998</v>
      </c>
      <c r="P3902">
        <v>0.2483918</v>
      </c>
      <c r="Q3902">
        <v>5.9997990000000003E-4</v>
      </c>
      <c r="R3902">
        <v>-0.96865959999999995</v>
      </c>
      <c r="S3902">
        <v>1.6054079999999999</v>
      </c>
      <c r="T3902">
        <v>-0.16182389999999999</v>
      </c>
      <c r="U3902">
        <v>-2.6872410000000002</v>
      </c>
      <c r="V3902">
        <v>-3.94148E-2</v>
      </c>
      <c r="W3902">
        <v>1.423341E-2</v>
      </c>
      <c r="X3902">
        <v>0.9991215</v>
      </c>
      <c r="Y3902">
        <v>-0.32038509999999998</v>
      </c>
      <c r="Z3902">
        <v>5.2262860000000001E-2</v>
      </c>
      <c r="AA3902">
        <v>0.94584460000000004</v>
      </c>
      <c r="AB3902">
        <v>14</v>
      </c>
      <c r="AC3902">
        <v>11.0099</v>
      </c>
      <c r="AD3902">
        <v>-1.1116306901099999</v>
      </c>
      <c r="AE3902">
        <v>-18.383299999999998</v>
      </c>
      <c r="AF3902">
        <v>-6.8841719044595804</v>
      </c>
      <c r="AG3902">
        <v>-1.1116306901099999</v>
      </c>
      <c r="AH3902">
        <v>20.231418381653999</v>
      </c>
      <c r="AI3902">
        <v>92.977662086506598</v>
      </c>
      <c r="AJ3902">
        <v>108.79196789928901</v>
      </c>
      <c r="AK3902">
        <v>21.399482127726198</v>
      </c>
      <c r="AL3902">
        <v>89.184458094975</v>
      </c>
      <c r="AM3902">
        <v>92.259115915132099</v>
      </c>
      <c r="AN3902">
        <v>0.99999994409075699</v>
      </c>
    </row>
    <row r="3903" spans="1:40" x14ac:dyDescent="0.25">
      <c r="A3903" t="str">
        <f>"20190312153958568"</f>
        <v>20190312153958568</v>
      </c>
      <c r="B3903" t="str">
        <f>"1552376398560019"</f>
        <v>1552376398560019</v>
      </c>
      <c r="C3903" t="s">
        <v>40</v>
      </c>
      <c r="D3903">
        <v>4.2318470000000001</v>
      </c>
      <c r="E3903">
        <v>0.38941379999999998</v>
      </c>
      <c r="F3903" t="s">
        <v>54</v>
      </c>
      <c r="G3903">
        <v>-480.60610000000003</v>
      </c>
      <c r="H3903" s="1">
        <v>2.1960880000000001E-6</v>
      </c>
      <c r="I3903">
        <v>221.0634</v>
      </c>
      <c r="J3903">
        <v>-491.80579999999998</v>
      </c>
      <c r="K3903">
        <v>1.111632</v>
      </c>
      <c r="L3903">
        <v>239.71850000000001</v>
      </c>
      <c r="M3903">
        <v>0.2117368</v>
      </c>
      <c r="N3903">
        <v>0</v>
      </c>
      <c r="O3903">
        <v>-0.97723009999999999</v>
      </c>
      <c r="P3903">
        <v>0.249969</v>
      </c>
      <c r="Q3903">
        <v>9.9627180000000002E-4</v>
      </c>
      <c r="R3903">
        <v>-0.96825329999999998</v>
      </c>
      <c r="S3903">
        <v>1.60797099999999</v>
      </c>
      <c r="T3903">
        <v>-0.15933749999999999</v>
      </c>
      <c r="U3903">
        <v>-2.6848299999999998</v>
      </c>
      <c r="V3903">
        <v>-3.930691E-2</v>
      </c>
      <c r="W3903">
        <v>1.462867E-2</v>
      </c>
      <c r="X3903">
        <v>0.99912009999999996</v>
      </c>
      <c r="Y3903">
        <v>-0.31979920000000001</v>
      </c>
      <c r="Z3903">
        <v>5.1466390000000001E-2</v>
      </c>
      <c r="AA3903">
        <v>0.94608650000000005</v>
      </c>
      <c r="AB3903">
        <v>14</v>
      </c>
      <c r="AC3903">
        <v>11.199699999999901</v>
      </c>
      <c r="AD3903">
        <v>-1.1116298039120001</v>
      </c>
      <c r="AE3903">
        <v>-18.655100000000001</v>
      </c>
      <c r="AF3903">
        <v>-6.9771625873804499</v>
      </c>
      <c r="AG3903">
        <v>-1.1116298039120001</v>
      </c>
      <c r="AH3903">
        <v>20.550022847355802</v>
      </c>
      <c r="AI3903">
        <v>92.932244904739804</v>
      </c>
      <c r="AJ3903">
        <v>108.75342450955</v>
      </c>
      <c r="AK3903">
        <v>21.730622577794101</v>
      </c>
      <c r="AL3903">
        <v>89.161809054358201</v>
      </c>
      <c r="AM3903">
        <v>92.252941579257396</v>
      </c>
      <c r="AN3903">
        <v>1.0000000026918601</v>
      </c>
    </row>
    <row r="3904" spans="1:40" x14ac:dyDescent="0.25">
      <c r="A3904" t="str">
        <f>"20190312153958583"</f>
        <v>20190312153958583</v>
      </c>
      <c r="B3904" t="str">
        <f>"1552376398579540"</f>
        <v>1552376398579540</v>
      </c>
      <c r="C3904" t="s">
        <v>40</v>
      </c>
      <c r="D3904">
        <v>4.201613</v>
      </c>
      <c r="E3904">
        <v>0.3897333</v>
      </c>
      <c r="F3904" t="s">
        <v>54</v>
      </c>
      <c r="G3904">
        <v>-480.38010000000003</v>
      </c>
      <c r="H3904" s="1">
        <v>2.066445E-6</v>
      </c>
      <c r="I3904">
        <v>220.6583</v>
      </c>
      <c r="J3904">
        <v>-491.78530000000001</v>
      </c>
      <c r="K3904">
        <v>1.1116269999999999</v>
      </c>
      <c r="L3904">
        <v>239.6345</v>
      </c>
      <c r="M3904">
        <v>0.213617</v>
      </c>
      <c r="N3904">
        <v>0</v>
      </c>
      <c r="O3904">
        <v>-0.97682089999999999</v>
      </c>
      <c r="P3904">
        <v>0.25186819999999999</v>
      </c>
      <c r="Q3904">
        <v>1.4936039999999999E-3</v>
      </c>
      <c r="R3904">
        <v>-0.96776079999999998</v>
      </c>
      <c r="S3904">
        <v>1.60849</v>
      </c>
      <c r="T3904">
        <v>-0.15649370000000001</v>
      </c>
      <c r="U3904">
        <v>-2.6832579999999999</v>
      </c>
      <c r="V3904">
        <v>-3.9345690000000003E-2</v>
      </c>
      <c r="W3904">
        <v>1.5123569999999999E-2</v>
      </c>
      <c r="X3904">
        <v>0.99911119999999998</v>
      </c>
      <c r="Y3904">
        <v>-0.31837880000000002</v>
      </c>
      <c r="Z3904">
        <v>5.055428E-2</v>
      </c>
      <c r="AA3904">
        <v>0.94661459999999997</v>
      </c>
      <c r="AB3904">
        <v>14</v>
      </c>
      <c r="AC3904">
        <v>11.405199999999899</v>
      </c>
      <c r="AD3904">
        <v>-1.1116249335549999</v>
      </c>
      <c r="AE3904">
        <v>-18.976199999999999</v>
      </c>
      <c r="AF3904">
        <v>-7.0700443234700296</v>
      </c>
      <c r="AG3904">
        <v>-1.1116249335549999</v>
      </c>
      <c r="AH3904">
        <v>20.921929188374399</v>
      </c>
      <c r="AI3904">
        <v>92.881592176515596</v>
      </c>
      <c r="AJ3904">
        <v>108.671400027993</v>
      </c>
      <c r="AK3904">
        <v>22.112176683720701</v>
      </c>
      <c r="AL3904">
        <v>89.133450230586902</v>
      </c>
      <c r="AM3904">
        <v>92.255182094339204</v>
      </c>
      <c r="AN3904">
        <v>0.99999999782827997</v>
      </c>
    </row>
    <row r="3905" spans="1:40" x14ac:dyDescent="0.25">
      <c r="A3905" t="str">
        <f>"20190312153958600"</f>
        <v>20190312153958600</v>
      </c>
      <c r="B3905" t="str">
        <f>"1552376398589299"</f>
        <v>1552376398589299</v>
      </c>
      <c r="C3905" t="s">
        <v>40</v>
      </c>
      <c r="D3905">
        <v>4.2156320000000003</v>
      </c>
      <c r="E3905">
        <v>0.38990760000000002</v>
      </c>
      <c r="F3905" t="s">
        <v>54</v>
      </c>
      <c r="G3905">
        <v>-480.24860000000001</v>
      </c>
      <c r="H3905" s="1">
        <v>1.995253E-6</v>
      </c>
      <c r="I3905">
        <v>220.4418</v>
      </c>
      <c r="J3905">
        <v>-491.76029999999997</v>
      </c>
      <c r="K3905">
        <v>1.1116239999999999</v>
      </c>
      <c r="L3905">
        <v>239.53319999999999</v>
      </c>
      <c r="M3905">
        <v>0.21588479999999999</v>
      </c>
      <c r="N3905">
        <v>0</v>
      </c>
      <c r="O3905">
        <v>-0.97632209999999997</v>
      </c>
      <c r="P3905">
        <v>0.25419170000000002</v>
      </c>
      <c r="Q3905">
        <v>2.1011279999999998E-3</v>
      </c>
      <c r="R3905">
        <v>-0.96715180000000001</v>
      </c>
      <c r="S3905">
        <v>1.6114200000000001</v>
      </c>
      <c r="T3905">
        <v>-0.15526999999999999</v>
      </c>
      <c r="U3905">
        <v>-2.6808010000000002</v>
      </c>
      <c r="V3905">
        <v>-3.9426780000000002E-2</v>
      </c>
      <c r="W3905">
        <v>1.5728599999999999E-2</v>
      </c>
      <c r="X3905">
        <v>0.99909870000000001</v>
      </c>
      <c r="Y3905">
        <v>-0.31733060000000002</v>
      </c>
      <c r="Z3905">
        <v>5.0157100000000003E-2</v>
      </c>
      <c r="AA3905">
        <v>0.94698760000000004</v>
      </c>
      <c r="AB3905">
        <v>14</v>
      </c>
      <c r="AC3905">
        <v>11.5116999999999</v>
      </c>
      <c r="AD3905">
        <v>-1.111622004747</v>
      </c>
      <c r="AE3905">
        <v>-19.0914</v>
      </c>
      <c r="AF3905">
        <v>-7.1006020594602104</v>
      </c>
      <c r="AG3905">
        <v>-1.111622004747</v>
      </c>
      <c r="AH3905">
        <v>21.074155282856001</v>
      </c>
      <c r="AI3905">
        <v>92.861662089734295</v>
      </c>
      <c r="AJ3905">
        <v>108.620426936165</v>
      </c>
      <c r="AK3905">
        <v>22.265989175740099</v>
      </c>
      <c r="AL3905">
        <v>89.098780473660696</v>
      </c>
      <c r="AM3905">
        <v>92.259853370778302</v>
      </c>
      <c r="AN3905">
        <v>1.0000000360904</v>
      </c>
    </row>
    <row r="3906" spans="1:40" x14ac:dyDescent="0.25">
      <c r="A3906" t="str">
        <f>"20190312153958614"</f>
        <v>20190312153958614</v>
      </c>
      <c r="B3906" t="str">
        <f>"1552376398609796"</f>
        <v>1552376398609796</v>
      </c>
      <c r="C3906" t="s">
        <v>40</v>
      </c>
      <c r="D3906">
        <v>4.2242870000000003</v>
      </c>
      <c r="E3906">
        <v>0.39032990000000001</v>
      </c>
      <c r="F3906" t="s">
        <v>54</v>
      </c>
      <c r="G3906">
        <v>-480.02519999999998</v>
      </c>
      <c r="H3906" s="1">
        <v>1.8787150000000001E-6</v>
      </c>
      <c r="I3906">
        <v>220.09389999999999</v>
      </c>
      <c r="J3906">
        <v>-491.73930000000001</v>
      </c>
      <c r="K3906">
        <v>1.1116220000000001</v>
      </c>
      <c r="L3906">
        <v>239.4485</v>
      </c>
      <c r="M3906">
        <v>0.2177827</v>
      </c>
      <c r="N3906">
        <v>0</v>
      </c>
      <c r="O3906">
        <v>-0.97590060000000001</v>
      </c>
      <c r="P3906">
        <v>0.25631880000000001</v>
      </c>
      <c r="Q3906">
        <v>2.239029E-3</v>
      </c>
      <c r="R3906">
        <v>-0.96658980000000005</v>
      </c>
      <c r="S3906">
        <v>1.6163019999999999</v>
      </c>
      <c r="T3906">
        <v>-0.15310609999999999</v>
      </c>
      <c r="U3906">
        <v>-2.6774140000000002</v>
      </c>
      <c r="V3906">
        <v>-3.9683009999999998E-2</v>
      </c>
      <c r="W3906">
        <v>1.5863530000000001E-2</v>
      </c>
      <c r="X3906">
        <v>0.99908640000000004</v>
      </c>
      <c r="Y3906">
        <v>-0.31730079999999999</v>
      </c>
      <c r="Z3906">
        <v>4.9460089999999998E-2</v>
      </c>
      <c r="AA3906">
        <v>0.9470343</v>
      </c>
      <c r="AB3906">
        <v>14</v>
      </c>
      <c r="AC3906">
        <v>11.7141</v>
      </c>
      <c r="AD3906">
        <v>-1.1116201212850001</v>
      </c>
      <c r="AE3906">
        <v>-19.354600000000001</v>
      </c>
      <c r="AF3906">
        <v>-7.1999981124884496</v>
      </c>
      <c r="AG3906">
        <v>-1.1116201212850001</v>
      </c>
      <c r="AH3906">
        <v>21.389675779704099</v>
      </c>
      <c r="AI3906">
        <v>92.819788595240894</v>
      </c>
      <c r="AJ3906">
        <v>108.60379421143401</v>
      </c>
      <c r="AK3906">
        <v>22.596324968338202</v>
      </c>
      <c r="AL3906">
        <v>89.091048569437305</v>
      </c>
      <c r="AM3906">
        <v>92.2745524891792</v>
      </c>
      <c r="AN3906">
        <v>1.00000001376584</v>
      </c>
    </row>
    <row r="3907" spans="1:40" x14ac:dyDescent="0.25">
      <c r="A3907" t="str">
        <f>"20190312153958634"</f>
        <v>20190312153958634</v>
      </c>
      <c r="B3907" t="str">
        <f>"1552376398629317"</f>
        <v>1552376398629317</v>
      </c>
      <c r="C3907" t="s">
        <v>40</v>
      </c>
      <c r="D3907">
        <v>4.224704</v>
      </c>
      <c r="E3907">
        <v>0.39064379999999999</v>
      </c>
      <c r="F3907" t="s">
        <v>54</v>
      </c>
      <c r="G3907">
        <v>-479.86610000000002</v>
      </c>
      <c r="H3907" s="1">
        <v>1.8412020000000001E-6</v>
      </c>
      <c r="I3907">
        <v>219.8313</v>
      </c>
      <c r="J3907">
        <v>-491.71039999999999</v>
      </c>
      <c r="K3907">
        <v>1.111618</v>
      </c>
      <c r="L3907">
        <v>239.33369999999999</v>
      </c>
      <c r="M3907">
        <v>0.22035399999999999</v>
      </c>
      <c r="N3907">
        <v>0</v>
      </c>
      <c r="O3907">
        <v>-0.9753233</v>
      </c>
      <c r="P3907">
        <v>0.25910939999999999</v>
      </c>
      <c r="Q3907">
        <v>2.1640029999999998E-3</v>
      </c>
      <c r="R3907">
        <v>-0.96584590000000003</v>
      </c>
      <c r="S3907">
        <v>1.6188659999999999</v>
      </c>
      <c r="T3907">
        <v>-0.15156510000000001</v>
      </c>
      <c r="U3907">
        <v>-2.674728</v>
      </c>
      <c r="V3907">
        <v>-3.9934600000000001E-2</v>
      </c>
      <c r="W3907">
        <v>1.5784860000000001E-2</v>
      </c>
      <c r="X3907">
        <v>0.99907760000000001</v>
      </c>
      <c r="Y3907">
        <v>-0.31589929999999999</v>
      </c>
      <c r="Z3907">
        <v>4.896288E-2</v>
      </c>
      <c r="AA3907">
        <v>0.9475285</v>
      </c>
      <c r="AB3907">
        <v>14</v>
      </c>
      <c r="AC3907">
        <v>11.844299999999899</v>
      </c>
      <c r="AD3907">
        <v>-1.111616158798</v>
      </c>
      <c r="AE3907">
        <v>-19.502399999999898</v>
      </c>
      <c r="AF3907">
        <v>-7.2380947887542497</v>
      </c>
      <c r="AG3907">
        <v>-1.111616158798</v>
      </c>
      <c r="AH3907">
        <v>21.581900330791001</v>
      </c>
      <c r="AI3907">
        <v>92.795742297219505</v>
      </c>
      <c r="AJ3907">
        <v>108.54032028706401</v>
      </c>
      <c r="AK3907">
        <v>22.790439410939101</v>
      </c>
      <c r="AL3907">
        <v>89.095556573523496</v>
      </c>
      <c r="AM3907">
        <v>92.288977985352204</v>
      </c>
      <c r="AN3907">
        <v>0.99999999245206905</v>
      </c>
    </row>
    <row r="3908" spans="1:40" x14ac:dyDescent="0.25">
      <c r="A3908" t="str">
        <f>"20190312153958647"</f>
        <v>20190312153958647</v>
      </c>
      <c r="B3908" t="str">
        <f>"1552376398640051"</f>
        <v>1552376398640051</v>
      </c>
      <c r="C3908" t="s">
        <v>40</v>
      </c>
      <c r="D3908">
        <v>4.2543530000000001</v>
      </c>
      <c r="E3908">
        <v>0.39086870000000001</v>
      </c>
      <c r="F3908" t="s">
        <v>54</v>
      </c>
      <c r="G3908">
        <v>-479.77820000000003</v>
      </c>
      <c r="H3908" s="1">
        <v>1.8536009999999999E-6</v>
      </c>
      <c r="I3908">
        <v>219.7133</v>
      </c>
      <c r="J3908">
        <v>-491.69029999999998</v>
      </c>
      <c r="K3908">
        <v>1.111615</v>
      </c>
      <c r="L3908">
        <v>239.2542</v>
      </c>
      <c r="M3908">
        <v>0.22213440000000001</v>
      </c>
      <c r="N3908">
        <v>0</v>
      </c>
      <c r="O3908">
        <v>-0.97491930000000004</v>
      </c>
      <c r="P3908">
        <v>0.2607545</v>
      </c>
      <c r="Q3908">
        <v>2.2160579999999999E-3</v>
      </c>
      <c r="R3908">
        <v>-0.96540250000000005</v>
      </c>
      <c r="S3908">
        <v>1.624207</v>
      </c>
      <c r="T3908">
        <v>-0.15131259999999999</v>
      </c>
      <c r="U3908">
        <v>-2.670715</v>
      </c>
      <c r="V3908">
        <v>-3.9812609999999998E-2</v>
      </c>
      <c r="W3908">
        <v>1.5834930000000001E-2</v>
      </c>
      <c r="X3908">
        <v>0.99908169999999996</v>
      </c>
      <c r="Y3908">
        <v>-0.31618400000000002</v>
      </c>
      <c r="Z3908">
        <v>4.8887899999999998E-2</v>
      </c>
      <c r="AA3908">
        <v>0.94743739999999999</v>
      </c>
      <c r="AB3908">
        <v>14</v>
      </c>
      <c r="AC3908">
        <v>11.912099999999899</v>
      </c>
      <c r="AD3908">
        <v>-1.111613146399</v>
      </c>
      <c r="AE3908">
        <v>-19.540899999999901</v>
      </c>
      <c r="AF3908">
        <v>-7.2561965287634802</v>
      </c>
      <c r="AG3908">
        <v>-1.111613146399</v>
      </c>
      <c r="AH3908">
        <v>21.6478604550996</v>
      </c>
      <c r="AI3908">
        <v>92.787385453788403</v>
      </c>
      <c r="AJ3908">
        <v>108.53075608765501</v>
      </c>
      <c r="AK3908">
        <v>22.858651188002099</v>
      </c>
      <c r="AL3908">
        <v>89.092687436678801</v>
      </c>
      <c r="AM3908">
        <v>92.281983791010603</v>
      </c>
      <c r="AN3908">
        <v>1.0000000160989999</v>
      </c>
    </row>
    <row r="3909" spans="1:40" x14ac:dyDescent="0.25">
      <c r="A3909" t="str">
        <f>"20190312153958661"</f>
        <v>20190312153958661</v>
      </c>
      <c r="B3909" t="str">
        <f>"1552376398649811"</f>
        <v>1552376398649811</v>
      </c>
      <c r="C3909" t="s">
        <v>40</v>
      </c>
      <c r="D3909">
        <v>4.2892789999999996</v>
      </c>
      <c r="E3909">
        <v>0.39109060000000001</v>
      </c>
      <c r="F3909" t="s">
        <v>54</v>
      </c>
      <c r="G3909">
        <v>-479.80759999999998</v>
      </c>
      <c r="H3909" s="1">
        <v>1.8474019999999999E-6</v>
      </c>
      <c r="I3909">
        <v>219.76480000000001</v>
      </c>
      <c r="J3909">
        <v>-491.66950000000003</v>
      </c>
      <c r="K3909">
        <v>1.11161</v>
      </c>
      <c r="L3909">
        <v>239.17250000000001</v>
      </c>
      <c r="M3909">
        <v>0.22396489999999999</v>
      </c>
      <c r="N3909">
        <v>0</v>
      </c>
      <c r="O3909">
        <v>-0.97450040000000004</v>
      </c>
      <c r="P3909">
        <v>0.26258379999999998</v>
      </c>
      <c r="Q3909">
        <v>2.1404250000000001E-3</v>
      </c>
      <c r="R3909">
        <v>-0.96490679999999995</v>
      </c>
      <c r="S3909">
        <v>1.6269530000000001</v>
      </c>
      <c r="T3909">
        <v>-0.1521991</v>
      </c>
      <c r="U3909">
        <v>-2.6684420000000002</v>
      </c>
      <c r="V3909">
        <v>-3.982981E-2</v>
      </c>
      <c r="W3909">
        <v>1.5757210000000001E-2</v>
      </c>
      <c r="X3909">
        <v>0.99908220000000003</v>
      </c>
      <c r="Y3909">
        <v>-0.31546449999999998</v>
      </c>
      <c r="Z3909">
        <v>4.9171609999999998E-2</v>
      </c>
      <c r="AA3909">
        <v>0.94766249999999996</v>
      </c>
      <c r="AB3909">
        <v>14</v>
      </c>
      <c r="AC3909">
        <v>11.8619</v>
      </c>
      <c r="AD3909">
        <v>-1.1116081525979999</v>
      </c>
      <c r="AE3909">
        <v>-19.407699999999998</v>
      </c>
      <c r="AF3909">
        <v>-7.1962756968004298</v>
      </c>
      <c r="AG3909">
        <v>-1.1116081525979999</v>
      </c>
      <c r="AH3909">
        <v>21.520097289942001</v>
      </c>
      <c r="AI3909">
        <v>92.804564616552199</v>
      </c>
      <c r="AJ3909">
        <v>108.489827789717</v>
      </c>
      <c r="AK3909">
        <v>22.718640891520099</v>
      </c>
      <c r="AL3909">
        <v>89.097140981235398</v>
      </c>
      <c r="AM3909">
        <v>92.2829674783558</v>
      </c>
      <c r="AN3909">
        <v>0.99999997289422904</v>
      </c>
    </row>
    <row r="3910" spans="1:40" x14ac:dyDescent="0.25">
      <c r="A3910" t="str">
        <f>"20190312153958679"</f>
        <v>20190312153958679</v>
      </c>
      <c r="B3910" t="str">
        <f>"1552376398669332"</f>
        <v>1552376398669332</v>
      </c>
      <c r="C3910" t="s">
        <v>40</v>
      </c>
      <c r="D3910">
        <v>4.2399630000000004</v>
      </c>
      <c r="E3910">
        <v>0.3914591</v>
      </c>
      <c r="F3910" t="s">
        <v>54</v>
      </c>
      <c r="G3910">
        <v>-479.82940000000002</v>
      </c>
      <c r="H3910" s="1">
        <v>1.8515880000000001E-6</v>
      </c>
      <c r="I3910">
        <v>219.8194</v>
      </c>
      <c r="J3910">
        <v>-491.64249999999998</v>
      </c>
      <c r="K3910">
        <v>1.111605</v>
      </c>
      <c r="L3910">
        <v>239.0676</v>
      </c>
      <c r="M3910">
        <v>0.2263136</v>
      </c>
      <c r="N3910">
        <v>0</v>
      </c>
      <c r="O3910">
        <v>-0.97395799999999999</v>
      </c>
      <c r="P3910">
        <v>0.26499060000000002</v>
      </c>
      <c r="Q3910">
        <v>1.658872E-3</v>
      </c>
      <c r="R3910">
        <v>-0.96424980000000005</v>
      </c>
      <c r="S3910">
        <v>1.6308290000000001</v>
      </c>
      <c r="T3910">
        <v>-0.15311029999999901</v>
      </c>
      <c r="U3910">
        <v>-2.6656490000000002</v>
      </c>
      <c r="V3910">
        <v>-3.9912049999999998E-2</v>
      </c>
      <c r="W3910">
        <v>1.527328E-2</v>
      </c>
      <c r="X3910">
        <v>0.99908640000000004</v>
      </c>
      <c r="Y3910">
        <v>-0.3146138</v>
      </c>
      <c r="Z3910">
        <v>4.9458019999999998E-2</v>
      </c>
      <c r="AA3910">
        <v>0.94793039999999995</v>
      </c>
      <c r="AB3910">
        <v>14</v>
      </c>
      <c r="AC3910">
        <v>11.813099999999899</v>
      </c>
      <c r="AD3910">
        <v>-1.1116031484119999</v>
      </c>
      <c r="AE3910">
        <v>-19.248200000000001</v>
      </c>
      <c r="AF3910">
        <v>-7.1327256386446196</v>
      </c>
      <c r="AG3910">
        <v>-1.1116031484119999</v>
      </c>
      <c r="AH3910">
        <v>21.3706431477816</v>
      </c>
      <c r="AI3910">
        <v>92.824672053754199</v>
      </c>
      <c r="AJ3910">
        <v>108.45709179812199</v>
      </c>
      <c r="AK3910">
        <v>22.556946272613299</v>
      </c>
      <c r="AL3910">
        <v>89.124871437703504</v>
      </c>
      <c r="AM3910">
        <v>92.287666705751207</v>
      </c>
      <c r="AN3910">
        <v>0.99999993974105805</v>
      </c>
    </row>
    <row r="3911" spans="1:40" x14ac:dyDescent="0.25">
      <c r="A3911" t="str">
        <f>"20190312153958702"</f>
        <v>20190312153958702</v>
      </c>
      <c r="B3911" t="str">
        <f>"1552376398699588"</f>
        <v>1552376398699588</v>
      </c>
      <c r="C3911" t="s">
        <v>40</v>
      </c>
      <c r="D3911">
        <v>4.2129629999999896</v>
      </c>
      <c r="E3911">
        <v>0.39210859999999997</v>
      </c>
      <c r="F3911" t="s">
        <v>54</v>
      </c>
      <c r="G3911">
        <v>-480.08550000000002</v>
      </c>
      <c r="H3911" s="1">
        <v>1.9215179999999998E-6</v>
      </c>
      <c r="I3911">
        <v>220.23920000000001</v>
      </c>
      <c r="J3911">
        <v>-491.6062</v>
      </c>
      <c r="K3911">
        <v>1.1115969999999999</v>
      </c>
      <c r="L3911">
        <v>238.92869999999999</v>
      </c>
      <c r="M3911">
        <v>0.2294255</v>
      </c>
      <c r="N3911">
        <v>0</v>
      </c>
      <c r="O3911">
        <v>-0.97322940000000002</v>
      </c>
      <c r="P3911">
        <v>0.26831670000000002</v>
      </c>
      <c r="Q3911">
        <v>1.6156569999999999E-3</v>
      </c>
      <c r="R3911">
        <v>-0.96332969999999896</v>
      </c>
      <c r="S3911">
        <v>1.6341859999999999</v>
      </c>
      <c r="T3911">
        <v>-0.15718360000000001</v>
      </c>
      <c r="U3911">
        <v>-2.6623839999999999</v>
      </c>
      <c r="V3911">
        <v>-4.0166479999999997E-2</v>
      </c>
      <c r="W3911">
        <v>1.5225600000000001E-2</v>
      </c>
      <c r="X3911">
        <v>0.99907699999999999</v>
      </c>
      <c r="Y3911">
        <v>-0.31293070000000001</v>
      </c>
      <c r="Z3911">
        <v>5.0765600000000001E-2</v>
      </c>
      <c r="AA3911">
        <v>0.94841830000000005</v>
      </c>
      <c r="AB3911">
        <v>14</v>
      </c>
      <c r="AC3911">
        <v>11.5206999999999</v>
      </c>
      <c r="AD3911">
        <v>-1.1115950784819999</v>
      </c>
      <c r="AE3911">
        <v>-18.689499999999899</v>
      </c>
      <c r="AF3911">
        <v>-6.9073819808071804</v>
      </c>
      <c r="AG3911">
        <v>-1.1115950784819999</v>
      </c>
      <c r="AH3911">
        <v>20.781005650013601</v>
      </c>
      <c r="AI3911">
        <v>92.905856909021395</v>
      </c>
      <c r="AJ3911">
        <v>108.386250012974</v>
      </c>
      <c r="AK3911">
        <v>21.927101159824598</v>
      </c>
      <c r="AL3911">
        <v>89.1276036782956</v>
      </c>
      <c r="AM3911">
        <v>92.302256042136307</v>
      </c>
      <c r="AN3911">
        <v>1.0000000084699701</v>
      </c>
    </row>
    <row r="3912" spans="1:40" x14ac:dyDescent="0.25">
      <c r="A3912" t="str">
        <f>"20190312153958723"</f>
        <v>20190312153958723</v>
      </c>
      <c r="B3912" t="str">
        <f>"1552376398720086"</f>
        <v>1552376398720086</v>
      </c>
      <c r="C3912" t="s">
        <v>40</v>
      </c>
      <c r="D3912">
        <v>4.207166</v>
      </c>
      <c r="E3912">
        <v>0.39252389999999998</v>
      </c>
      <c r="F3912" t="s">
        <v>54</v>
      </c>
      <c r="G3912">
        <v>-480.06220000000002</v>
      </c>
      <c r="H3912" s="1">
        <v>1.9096930000000001E-6</v>
      </c>
      <c r="I3912">
        <v>220.20439999999999</v>
      </c>
      <c r="J3912">
        <v>-491.57479999999998</v>
      </c>
      <c r="K3912">
        <v>1.1115950000000001</v>
      </c>
      <c r="L3912">
        <v>238.80969999999999</v>
      </c>
      <c r="M3912">
        <v>0.23209070000000001</v>
      </c>
      <c r="N3912">
        <v>0</v>
      </c>
      <c r="O3912">
        <v>-0.9725973</v>
      </c>
      <c r="P3912">
        <v>0.27157160000000002</v>
      </c>
      <c r="Q3912">
        <v>1.3928899999999999E-3</v>
      </c>
      <c r="R3912">
        <v>-0.96241719999999997</v>
      </c>
      <c r="S3912">
        <v>1.638763</v>
      </c>
      <c r="T3912">
        <v>-0.15779979999999999</v>
      </c>
      <c r="U3912">
        <v>-2.6580659999999998</v>
      </c>
      <c r="V3912">
        <v>-4.0805929999999997E-2</v>
      </c>
      <c r="W3912">
        <v>1.4997699999999999E-2</v>
      </c>
      <c r="X3912">
        <v>0.99905460000000001</v>
      </c>
      <c r="Y3912">
        <v>-0.31219439999999998</v>
      </c>
      <c r="Z3912">
        <v>5.0970040000000001E-2</v>
      </c>
      <c r="AA3912">
        <v>0.94864990000000005</v>
      </c>
      <c r="AB3912">
        <v>14</v>
      </c>
      <c r="AC3912">
        <v>11.5125999999999</v>
      </c>
      <c r="AD3912">
        <v>-1.1115930903069999</v>
      </c>
      <c r="AE3912">
        <v>-18.6053</v>
      </c>
      <c r="AF3912">
        <v>-6.8619422460589998</v>
      </c>
      <c r="AG3912">
        <v>-1.1115930903069999</v>
      </c>
      <c r="AH3912">
        <v>20.715915445308902</v>
      </c>
      <c r="AI3912">
        <v>92.915965939998102</v>
      </c>
      <c r="AJ3912">
        <v>108.326941886426</v>
      </c>
      <c r="AK3912">
        <v>21.851110802974201</v>
      </c>
      <c r="AL3912">
        <v>89.140662934183197</v>
      </c>
      <c r="AM3912">
        <v>92.338919934932207</v>
      </c>
      <c r="AN3912">
        <v>1.0000000743548001</v>
      </c>
    </row>
    <row r="3913" spans="1:40" x14ac:dyDescent="0.25">
      <c r="A3913" t="str">
        <f>"20190312153958736"</f>
        <v>20190312153958736</v>
      </c>
      <c r="B3913" t="str">
        <f>"1552376398729844"</f>
        <v>1552376398729844</v>
      </c>
      <c r="C3913" t="s">
        <v>40</v>
      </c>
      <c r="D3913">
        <v>4.2245160000000004</v>
      </c>
      <c r="E3913">
        <v>0.39279439999999999</v>
      </c>
      <c r="F3913" t="s">
        <v>54</v>
      </c>
      <c r="G3913">
        <v>-480.0763</v>
      </c>
      <c r="H3913" s="1">
        <v>1.923237E-6</v>
      </c>
      <c r="I3913">
        <v>220.2544</v>
      </c>
      <c r="J3913">
        <v>-491.55329999999998</v>
      </c>
      <c r="K3913">
        <v>1.1115919999999999</v>
      </c>
      <c r="L3913">
        <v>238.72909999999999</v>
      </c>
      <c r="M3913">
        <v>0.23389560000000001</v>
      </c>
      <c r="N3913">
        <v>0</v>
      </c>
      <c r="O3913">
        <v>-0.9721649</v>
      </c>
      <c r="P3913">
        <v>0.27350940000000001</v>
      </c>
      <c r="Q3913">
        <v>1.789045E-3</v>
      </c>
      <c r="R3913">
        <v>-0.9618679</v>
      </c>
      <c r="S3913">
        <v>1.6442570000000001</v>
      </c>
      <c r="T3913">
        <v>-0.15895399999999901</v>
      </c>
      <c r="U3913">
        <v>-2.6533509999999998</v>
      </c>
      <c r="V3913">
        <v>-4.0964319999999999E-2</v>
      </c>
      <c r="W3913">
        <v>1.5391520000000001E-2</v>
      </c>
      <c r="X3913">
        <v>0.99904199999999999</v>
      </c>
      <c r="Y3913">
        <v>-0.31259369999999997</v>
      </c>
      <c r="Z3913">
        <v>5.1355650000000003E-2</v>
      </c>
      <c r="AA3913">
        <v>0.9484977</v>
      </c>
      <c r="AB3913">
        <v>14</v>
      </c>
      <c r="AC3913">
        <v>11.476999999999901</v>
      </c>
      <c r="AD3913">
        <v>-1.11159007676299</v>
      </c>
      <c r="AE3913">
        <v>-18.474699999999899</v>
      </c>
      <c r="AF3913">
        <v>-6.8192164092955103</v>
      </c>
      <c r="AG3913">
        <v>-1.11159007676299</v>
      </c>
      <c r="AH3913">
        <v>20.593026512530301</v>
      </c>
      <c r="AI3913">
        <v>92.933414465393497</v>
      </c>
      <c r="AJ3913">
        <v>108.321876961946</v>
      </c>
      <c r="AK3913">
        <v>21.721189789726999</v>
      </c>
      <c r="AL3913">
        <v>89.118095993472906</v>
      </c>
      <c r="AM3913">
        <v>92.348017993495603</v>
      </c>
      <c r="AN3913">
        <v>0.99999994608248399</v>
      </c>
    </row>
    <row r="3914" spans="1:40" x14ac:dyDescent="0.25">
      <c r="A3914" t="str">
        <f>"20190312153958757"</f>
        <v>20190312153958757</v>
      </c>
      <c r="B3914" t="str">
        <f>"1552376398749364"</f>
        <v>1552376398749364</v>
      </c>
      <c r="C3914" t="s">
        <v>40</v>
      </c>
      <c r="D3914">
        <v>4.2195689999999999</v>
      </c>
      <c r="E3914">
        <v>0.39322240000000003</v>
      </c>
      <c r="F3914" t="s">
        <v>54</v>
      </c>
      <c r="G3914">
        <v>-479.9599</v>
      </c>
      <c r="H3914" s="1">
        <v>1.864396E-6</v>
      </c>
      <c r="I3914">
        <v>220.08160000000001</v>
      </c>
      <c r="J3914">
        <v>-491.52199999999999</v>
      </c>
      <c r="K3914">
        <v>1.1115900000000001</v>
      </c>
      <c r="L3914">
        <v>238.61250000000001</v>
      </c>
      <c r="M3914">
        <v>0.2365102</v>
      </c>
      <c r="N3914">
        <v>0</v>
      </c>
      <c r="O3914">
        <v>-0.97153230000000002</v>
      </c>
      <c r="P3914">
        <v>0.27703699999999998</v>
      </c>
      <c r="Q3914">
        <v>2.412361E-3</v>
      </c>
      <c r="R3914">
        <v>-0.9608563</v>
      </c>
      <c r="S3914">
        <v>1.6479189999999999</v>
      </c>
      <c r="T3914">
        <v>-0.15800410000000001</v>
      </c>
      <c r="U3914">
        <v>-2.650604</v>
      </c>
      <c r="V3914">
        <v>-4.1944759999999998E-2</v>
      </c>
      <c r="W3914">
        <v>1.600847E-2</v>
      </c>
      <c r="X3914">
        <v>0.99899170000000004</v>
      </c>
      <c r="Y3914">
        <v>-0.311432599999999</v>
      </c>
      <c r="Z3914">
        <v>5.1037819999999998E-2</v>
      </c>
      <c r="AA3914">
        <v>0.94889659999999998</v>
      </c>
      <c r="AB3914">
        <v>14</v>
      </c>
      <c r="AC3914">
        <v>11.5620999999999</v>
      </c>
      <c r="AD3914">
        <v>-1.1115881356039901</v>
      </c>
      <c r="AE3914">
        <v>-18.530899999999999</v>
      </c>
      <c r="AF3914">
        <v>-6.8331525916863702</v>
      </c>
      <c r="AG3914">
        <v>-1.1115881356039901</v>
      </c>
      <c r="AH3914">
        <v>20.686293730331801</v>
      </c>
      <c r="AI3914">
        <v>92.920918712465493</v>
      </c>
      <c r="AJ3914">
        <v>108.279562418052</v>
      </c>
      <c r="AK3914">
        <v>21.813994380260802</v>
      </c>
      <c r="AL3914">
        <v>89.0827430751918</v>
      </c>
      <c r="AM3914">
        <v>92.404271191938093</v>
      </c>
      <c r="AN3914">
        <v>1.0000000253360399</v>
      </c>
    </row>
    <row r="3915" spans="1:40" x14ac:dyDescent="0.25">
      <c r="A3915" t="str">
        <f>"20190312153958771"</f>
        <v>20190312153958771</v>
      </c>
      <c r="B3915" t="str">
        <f>"1552376398760100"</f>
        <v>1552376398760100</v>
      </c>
      <c r="C3915" t="s">
        <v>40</v>
      </c>
      <c r="D3915">
        <v>4.211913</v>
      </c>
      <c r="E3915">
        <v>0.39322240000000003</v>
      </c>
      <c r="F3915" t="s">
        <v>54</v>
      </c>
      <c r="G3915">
        <v>-479.71640000000002</v>
      </c>
      <c r="H3915" s="1">
        <v>1.8828250000000001E-6</v>
      </c>
      <c r="I3915">
        <v>219.7269</v>
      </c>
      <c r="J3915">
        <v>-491.49790000000002</v>
      </c>
      <c r="K3915">
        <v>1.111588</v>
      </c>
      <c r="L3915">
        <v>238.52359999999999</v>
      </c>
      <c r="M3915">
        <v>0.23850170000000001</v>
      </c>
      <c r="N3915">
        <v>0</v>
      </c>
      <c r="O3915">
        <v>-0.9710453</v>
      </c>
      <c r="P3915">
        <v>0.2792808</v>
      </c>
      <c r="Q3915">
        <v>2.9120489999999999E-3</v>
      </c>
      <c r="R3915">
        <v>-0.96020510000000003</v>
      </c>
      <c r="S3915">
        <v>1.6538999999999999</v>
      </c>
      <c r="T3915">
        <v>-0.15572710000000001</v>
      </c>
      <c r="U3915">
        <v>-2.6457519999999999</v>
      </c>
      <c r="V3915">
        <v>-4.2231659999999997E-2</v>
      </c>
      <c r="W3915">
        <v>1.6505269999999999E-2</v>
      </c>
      <c r="X3915">
        <v>0.99897150000000001</v>
      </c>
      <c r="Y3915">
        <v>-0.3118282</v>
      </c>
      <c r="Z3915">
        <v>5.0313539999999997E-2</v>
      </c>
      <c r="AA3915">
        <v>0.94880549999999997</v>
      </c>
      <c r="AB3915">
        <v>14</v>
      </c>
      <c r="AC3915">
        <v>11.7814999999999</v>
      </c>
      <c r="AD3915">
        <v>-1.1115861171750001</v>
      </c>
      <c r="AE3915">
        <v>-18.796699999999898</v>
      </c>
      <c r="AF3915">
        <v>-6.9405527790458299</v>
      </c>
      <c r="AG3915">
        <v>-1.1115861171750001</v>
      </c>
      <c r="AH3915">
        <v>21.0115784531488</v>
      </c>
      <c r="AI3915">
        <v>92.875772619722298</v>
      </c>
      <c r="AJ3915">
        <v>108.279442576897</v>
      </c>
      <c r="AK3915">
        <v>22.1561126027885</v>
      </c>
      <c r="AL3915">
        <v>89.054274743829197</v>
      </c>
      <c r="AM3915">
        <v>92.420745677132302</v>
      </c>
      <c r="AN3915">
        <v>0.99999999742818901</v>
      </c>
    </row>
    <row r="3916" spans="1:40" x14ac:dyDescent="0.25">
      <c r="A3916" t="str">
        <f>"20190312153958790"</f>
        <v>20190312153958790</v>
      </c>
      <c r="B3916" t="str">
        <f>"1552376398779620"</f>
        <v>1552376398779620</v>
      </c>
      <c r="C3916" t="s">
        <v>40</v>
      </c>
      <c r="D3916">
        <v>4.2122510000000002</v>
      </c>
      <c r="E3916">
        <v>0.40061829999999998</v>
      </c>
      <c r="F3916" t="s">
        <v>54</v>
      </c>
      <c r="G3916">
        <v>-479.50360000000001</v>
      </c>
      <c r="H3916" s="1">
        <v>1.954928E-6</v>
      </c>
      <c r="I3916">
        <v>219.4417</v>
      </c>
      <c r="J3916">
        <v>-491.46800000000002</v>
      </c>
      <c r="K3916">
        <v>1.1115820000000001</v>
      </c>
      <c r="L3916">
        <v>238.4143</v>
      </c>
      <c r="M3916">
        <v>0.24095059999999999</v>
      </c>
      <c r="N3916">
        <v>0</v>
      </c>
      <c r="O3916">
        <v>-0.97044050000000004</v>
      </c>
      <c r="P3916">
        <v>0.28192349999999999</v>
      </c>
      <c r="Q3916">
        <v>3.5794809999999998E-3</v>
      </c>
      <c r="R3916">
        <v>-0.95943029999999996</v>
      </c>
      <c r="S3916">
        <v>1.6605529999999999</v>
      </c>
      <c r="T3916">
        <v>-0.15389349999999999</v>
      </c>
      <c r="U3916">
        <v>-2.641785</v>
      </c>
      <c r="V3916">
        <v>-4.2464120000000001E-2</v>
      </c>
      <c r="W3916">
        <v>1.716846E-2</v>
      </c>
      <c r="X3916">
        <v>0.99895049999999996</v>
      </c>
      <c r="Y3916">
        <v>-0.31180279999999999</v>
      </c>
      <c r="Z3916">
        <v>4.9709150000000001E-2</v>
      </c>
      <c r="AA3916">
        <v>0.94884559999999996</v>
      </c>
      <c r="AB3916">
        <v>14</v>
      </c>
      <c r="AC3916">
        <v>11.964399999999999</v>
      </c>
      <c r="AD3916">
        <v>-1.1115800450719999</v>
      </c>
      <c r="AE3916">
        <v>-18.9726</v>
      </c>
      <c r="AF3916">
        <v>-7.0226934386587896</v>
      </c>
      <c r="AG3916">
        <v>-1.1115800450719999</v>
      </c>
      <c r="AH3916">
        <v>21.244435711682598</v>
      </c>
      <c r="AI3916">
        <v>92.8440802372224</v>
      </c>
      <c r="AJ3916">
        <v>108.292142575216</v>
      </c>
      <c r="AK3916">
        <v>22.402675778527001</v>
      </c>
      <c r="AL3916">
        <v>89.016271399569902</v>
      </c>
      <c r="AM3916">
        <v>92.434105557574298</v>
      </c>
      <c r="AN3916">
        <v>1.0000000294781899</v>
      </c>
    </row>
    <row r="3917" spans="1:40" x14ac:dyDescent="0.25">
      <c r="A3917" t="str">
        <f>"20190312153958804"</f>
        <v>20190312153958804</v>
      </c>
      <c r="B3917" t="str">
        <f>"1552376398800116"</f>
        <v>1552376398800116</v>
      </c>
      <c r="C3917" t="s">
        <v>40</v>
      </c>
      <c r="D3917">
        <v>4.2050710000000002</v>
      </c>
      <c r="E3917">
        <v>0.40132960000000001</v>
      </c>
      <c r="F3917" t="s">
        <v>54</v>
      </c>
      <c r="G3917">
        <v>-480.36090000000002</v>
      </c>
      <c r="H3917" s="1">
        <v>1.9454710000000001E-6</v>
      </c>
      <c r="I3917">
        <v>220.1266</v>
      </c>
      <c r="J3917">
        <v>-491.44600000000003</v>
      </c>
      <c r="K3917">
        <v>1.1115790000000001</v>
      </c>
      <c r="L3917">
        <v>238.33449999999999</v>
      </c>
      <c r="M3917">
        <v>0.24273890000000001</v>
      </c>
      <c r="N3917">
        <v>0</v>
      </c>
      <c r="O3917">
        <v>-0.96999480000000005</v>
      </c>
      <c r="P3917">
        <v>0.28366960000000002</v>
      </c>
      <c r="Q3917">
        <v>3.9542639999999999E-3</v>
      </c>
      <c r="R3917">
        <v>-0.95891420000000005</v>
      </c>
      <c r="S3917">
        <v>1.6118159999999999</v>
      </c>
      <c r="T3917">
        <v>-0.16130810000000001</v>
      </c>
      <c r="U3917">
        <v>-2.6538390000000001</v>
      </c>
      <c r="V3917">
        <v>-4.2442880000000002E-2</v>
      </c>
      <c r="W3917">
        <v>1.7541290000000001E-2</v>
      </c>
      <c r="X3917">
        <v>0.99894490000000002</v>
      </c>
      <c r="Y3917">
        <v>-0.29536699999999999</v>
      </c>
      <c r="Z3917">
        <v>5.2235740000000003E-2</v>
      </c>
      <c r="AA3917">
        <v>0.95395479999999999</v>
      </c>
      <c r="AB3917">
        <v>14</v>
      </c>
      <c r="AC3917">
        <v>11.085099999999899</v>
      </c>
      <c r="AD3917">
        <v>-1.111577054529</v>
      </c>
      <c r="AE3917">
        <v>-18.207899999999899</v>
      </c>
      <c r="AF3917">
        <v>-6.3161442495480502</v>
      </c>
      <c r="AG3917">
        <v>-1.111577054529</v>
      </c>
      <c r="AH3917">
        <v>20.299069488977398</v>
      </c>
      <c r="AI3917">
        <v>92.993116813650602</v>
      </c>
      <c r="AJ3917">
        <v>107.2837583503</v>
      </c>
      <c r="AK3917">
        <v>21.288060124106899</v>
      </c>
      <c r="AL3917">
        <v>88.994906571373903</v>
      </c>
      <c r="AM3917">
        <v>92.432903135141402</v>
      </c>
      <c r="AN3917">
        <v>1.00000000407678</v>
      </c>
    </row>
    <row r="3918" spans="1:40" x14ac:dyDescent="0.25">
      <c r="A3918" t="str">
        <f>"20190312153958823"</f>
        <v>20190312153958823</v>
      </c>
      <c r="B3918" t="str">
        <f>"1552376398819635"</f>
        <v>1552376398819635</v>
      </c>
      <c r="C3918" t="s">
        <v>40</v>
      </c>
      <c r="D3918">
        <v>4.21272</v>
      </c>
      <c r="E3918">
        <v>0.40178459999999999</v>
      </c>
      <c r="F3918" t="s">
        <v>54</v>
      </c>
      <c r="G3918">
        <v>-479.8646</v>
      </c>
      <c r="H3918" s="1">
        <v>1.787114E-6</v>
      </c>
      <c r="I3918">
        <v>219.2655</v>
      </c>
      <c r="J3918">
        <v>-491.41500000000002</v>
      </c>
      <c r="K3918">
        <v>1.111577</v>
      </c>
      <c r="L3918">
        <v>238.22319999999999</v>
      </c>
      <c r="M3918">
        <v>0.24523349999999999</v>
      </c>
      <c r="N3918">
        <v>0</v>
      </c>
      <c r="O3918">
        <v>-0.96936719999999998</v>
      </c>
      <c r="P3918">
        <v>0.28565059999999998</v>
      </c>
      <c r="Q3918">
        <v>4.4712040000000003E-3</v>
      </c>
      <c r="R3918">
        <v>-0.95832349999999999</v>
      </c>
      <c r="S3918">
        <v>1.6110230000000001</v>
      </c>
      <c r="T3918">
        <v>-0.15462579999999901</v>
      </c>
      <c r="U3918">
        <v>-2.6525880000000002</v>
      </c>
      <c r="V3918">
        <v>-4.1938540000000003E-2</v>
      </c>
      <c r="W3918">
        <v>1.805667E-2</v>
      </c>
      <c r="X3918">
        <v>0.99895699999999998</v>
      </c>
      <c r="Y3918">
        <v>-0.2929582</v>
      </c>
      <c r="Z3918">
        <v>5.0072699999999998E-2</v>
      </c>
      <c r="AA3918">
        <v>0.95481320000000003</v>
      </c>
      <c r="AB3918">
        <v>14</v>
      </c>
      <c r="AC3918">
        <v>11.5504</v>
      </c>
      <c r="AD3918">
        <v>-1.1115752128859999</v>
      </c>
      <c r="AE3918">
        <v>-18.9576999999999</v>
      </c>
      <c r="AF3918">
        <v>-6.5317536689998903</v>
      </c>
      <c r="AG3918">
        <v>-1.1115752128859999</v>
      </c>
      <c r="AH3918">
        <v>21.1584590065508</v>
      </c>
      <c r="AI3918">
        <v>92.873734078854994</v>
      </c>
      <c r="AJ3918">
        <v>107.155796740171</v>
      </c>
      <c r="AK3918">
        <v>22.171598791658798</v>
      </c>
      <c r="AL3918">
        <v>88.965372775205793</v>
      </c>
      <c r="AM3918">
        <v>92.403998485172494</v>
      </c>
      <c r="AN3918">
        <v>0.99999998615890995</v>
      </c>
    </row>
    <row r="3919" spans="1:40" x14ac:dyDescent="0.25">
      <c r="A3919" t="str">
        <f>"20190312153958838"</f>
        <v>20190312153958838</v>
      </c>
      <c r="B3919" t="str">
        <f>"1552376398829397"</f>
        <v>1552376398829397</v>
      </c>
      <c r="C3919" t="s">
        <v>40</v>
      </c>
      <c r="D3919">
        <v>4.214836</v>
      </c>
      <c r="E3919">
        <v>0.40191399999999999</v>
      </c>
      <c r="F3919" t="s">
        <v>54</v>
      </c>
      <c r="G3919">
        <v>-479.61239999999998</v>
      </c>
      <c r="H3919" s="1">
        <v>1.8800739999999999E-6</v>
      </c>
      <c r="I3919">
        <v>218.83369999999999</v>
      </c>
      <c r="J3919">
        <v>-491.39159999999998</v>
      </c>
      <c r="K3919">
        <v>1.1115729999999999</v>
      </c>
      <c r="L3919">
        <v>238.13980000000001</v>
      </c>
      <c r="M3919">
        <v>0.2471015</v>
      </c>
      <c r="N3919">
        <v>0</v>
      </c>
      <c r="O3919">
        <v>-0.96889289999999995</v>
      </c>
      <c r="P3919">
        <v>0.28736679999999998</v>
      </c>
      <c r="Q3919">
        <v>4.5068900000000004E-3</v>
      </c>
      <c r="R3919">
        <v>-0.9578101</v>
      </c>
      <c r="S3919">
        <v>1.613251</v>
      </c>
      <c r="T3919">
        <v>-0.1519375</v>
      </c>
      <c r="U3919">
        <v>-2.6502840000000001</v>
      </c>
      <c r="V3919">
        <v>-4.180275E-2</v>
      </c>
      <c r="W3919">
        <v>1.8090999999999999E-2</v>
      </c>
      <c r="X3919">
        <v>0.99896209999999996</v>
      </c>
      <c r="Y3919">
        <v>-0.29209230000000003</v>
      </c>
      <c r="Z3919">
        <v>4.9201920000000003E-2</v>
      </c>
      <c r="AA3919">
        <v>0.95512370000000002</v>
      </c>
      <c r="AB3919">
        <v>14</v>
      </c>
      <c r="AC3919">
        <v>11.779199999999999</v>
      </c>
      <c r="AD3919">
        <v>-1.1115711199260001</v>
      </c>
      <c r="AE3919">
        <v>-19.306100000000001</v>
      </c>
      <c r="AF3919">
        <v>-6.6268307367429999</v>
      </c>
      <c r="AG3919">
        <v>-1.1115711199260001</v>
      </c>
      <c r="AH3919">
        <v>21.566128752370901</v>
      </c>
      <c r="AI3919">
        <v>92.820619479222998</v>
      </c>
      <c r="AJ3919">
        <v>107.081123499501</v>
      </c>
      <c r="AK3919">
        <v>22.5886782555318</v>
      </c>
      <c r="AL3919">
        <v>88.9634055203598</v>
      </c>
      <c r="AM3919">
        <v>92.396211607517401</v>
      </c>
      <c r="AN3919">
        <v>1.00000001571248</v>
      </c>
    </row>
    <row r="3920" spans="1:40" x14ac:dyDescent="0.25">
      <c r="A3920" t="str">
        <f>"20190312153958850"</f>
        <v>20190312153958850</v>
      </c>
      <c r="B3920" t="str">
        <f>"1552376398839156"</f>
        <v>1552376398839156</v>
      </c>
      <c r="C3920" t="s">
        <v>40</v>
      </c>
      <c r="D3920">
        <v>4.1605629999999998</v>
      </c>
      <c r="E3920">
        <v>0.40207880000000001</v>
      </c>
      <c r="F3920" t="s">
        <v>54</v>
      </c>
      <c r="G3920">
        <v>-479.50080000000003</v>
      </c>
      <c r="H3920" s="1">
        <v>1.9222509999999999E-6</v>
      </c>
      <c r="I3920">
        <v>218.6662</v>
      </c>
      <c r="J3920">
        <v>-491.3698</v>
      </c>
      <c r="K3920">
        <v>1.1115660000000001</v>
      </c>
      <c r="L3920">
        <v>238.06299999999999</v>
      </c>
      <c r="M3920">
        <v>0.24882389999999999</v>
      </c>
      <c r="N3920">
        <v>0</v>
      </c>
      <c r="O3920">
        <v>-0.96845190000000003</v>
      </c>
      <c r="P3920">
        <v>0.28889480000000001</v>
      </c>
      <c r="Q3920">
        <v>4.5485300000000003E-3</v>
      </c>
      <c r="R3920">
        <v>-0.95735020000000004</v>
      </c>
      <c r="S3920">
        <v>1.61676</v>
      </c>
      <c r="T3920">
        <v>-0.15113750000000001</v>
      </c>
      <c r="U3920">
        <v>-2.6477810000000002</v>
      </c>
      <c r="V3920">
        <v>-4.1620280000000003E-2</v>
      </c>
      <c r="W3920">
        <v>1.8131520000000002E-2</v>
      </c>
      <c r="X3920">
        <v>0.998969</v>
      </c>
      <c r="Y3920">
        <v>-0.29172219999999999</v>
      </c>
      <c r="Z3920">
        <v>4.8936970000000003E-2</v>
      </c>
      <c r="AA3920">
        <v>0.95525040000000006</v>
      </c>
      <c r="AB3920">
        <v>14</v>
      </c>
      <c r="AC3920">
        <v>11.8689999999999</v>
      </c>
      <c r="AD3920">
        <v>-1.1115640777489999</v>
      </c>
      <c r="AE3920">
        <v>-19.396799999999899</v>
      </c>
      <c r="AF3920">
        <v>-6.6528973258200903</v>
      </c>
      <c r="AG3920">
        <v>-1.1115640777489999</v>
      </c>
      <c r="AH3920">
        <v>21.6883758656193</v>
      </c>
      <c r="AI3920">
        <v>92.805145225698993</v>
      </c>
      <c r="AJ3920">
        <v>107.053366183252</v>
      </c>
      <c r="AK3920">
        <v>22.713041742911098</v>
      </c>
      <c r="AL3920">
        <v>88.961083530789907</v>
      </c>
      <c r="AM3920">
        <v>92.385747739385593</v>
      </c>
      <c r="AN3920">
        <v>1.0000000313428901</v>
      </c>
    </row>
    <row r="3921" spans="1:40" x14ac:dyDescent="0.25">
      <c r="A3921" t="str">
        <f>"20190312153958869"</f>
        <v>20190312153958869</v>
      </c>
      <c r="B3921" t="str">
        <f>"1552376398859652"</f>
        <v>1552376398859652</v>
      </c>
      <c r="C3921" t="s">
        <v>40</v>
      </c>
      <c r="D3921">
        <v>4.1950570000000003</v>
      </c>
      <c r="E3921">
        <v>0.40238220000000002</v>
      </c>
      <c r="F3921" t="s">
        <v>54</v>
      </c>
      <c r="G3921">
        <v>-479.37830000000002</v>
      </c>
      <c r="H3921" s="1">
        <v>1.9685179999999999E-6</v>
      </c>
      <c r="I3921">
        <v>218.48169999999999</v>
      </c>
      <c r="J3921">
        <v>-491.34109999999998</v>
      </c>
      <c r="K3921">
        <v>1.111558</v>
      </c>
      <c r="L3921">
        <v>237.96209999999999</v>
      </c>
      <c r="M3921">
        <v>0.25108550000000002</v>
      </c>
      <c r="N3921">
        <v>0</v>
      </c>
      <c r="O3921">
        <v>-0.96786810000000001</v>
      </c>
      <c r="P3921">
        <v>0.290906</v>
      </c>
      <c r="Q3921">
        <v>4.92976E-3</v>
      </c>
      <c r="R3921">
        <v>-0.95673920000000001</v>
      </c>
      <c r="S3921">
        <v>1.6200559999999999</v>
      </c>
      <c r="T3921">
        <v>-0.15017220000000001</v>
      </c>
      <c r="U3921">
        <v>-2.645432</v>
      </c>
      <c r="V3921">
        <v>-4.138754E-2</v>
      </c>
      <c r="W3921">
        <v>1.8510539999999999E-2</v>
      </c>
      <c r="X3921">
        <v>0.99897170000000002</v>
      </c>
      <c r="Y3921">
        <v>-0.29073969999999999</v>
      </c>
      <c r="Z3921">
        <v>4.8611309999999998E-2</v>
      </c>
      <c r="AA3921">
        <v>0.95556649999999999</v>
      </c>
      <c r="AB3921">
        <v>14</v>
      </c>
      <c r="AC3921">
        <v>11.9627999999999</v>
      </c>
      <c r="AD3921">
        <v>-1.1115560314820001</v>
      </c>
      <c r="AE3921">
        <v>-19.480399999999999</v>
      </c>
      <c r="AF3921">
        <v>-6.6720187692255797</v>
      </c>
      <c r="AG3921">
        <v>-1.1115560314820001</v>
      </c>
      <c r="AH3921">
        <v>21.8086303091508</v>
      </c>
      <c r="AI3921">
        <v>92.790317321479804</v>
      </c>
      <c r="AJ3921">
        <v>107.010694367607</v>
      </c>
      <c r="AK3921">
        <v>22.8334786493261</v>
      </c>
      <c r="AL3921">
        <v>88.939363619953795</v>
      </c>
      <c r="AM3921">
        <v>92.372415554376204</v>
      </c>
      <c r="AN3921">
        <v>1.0000000129796101</v>
      </c>
    </row>
    <row r="3922" spans="1:40" x14ac:dyDescent="0.25">
      <c r="A3922" t="str">
        <f>"20190312153958891"</f>
        <v>20190312153958891</v>
      </c>
      <c r="B3922" t="str">
        <f>"1552376398879172"</f>
        <v>1552376398879172</v>
      </c>
      <c r="C3922" t="s">
        <v>40</v>
      </c>
      <c r="D3922">
        <v>4.2082499999999996</v>
      </c>
      <c r="E3922">
        <v>0.4028099</v>
      </c>
      <c r="F3922" t="s">
        <v>54</v>
      </c>
      <c r="G3922">
        <v>-479.25659999999999</v>
      </c>
      <c r="H3922" s="1">
        <v>2.0138180000000002E-6</v>
      </c>
      <c r="I3922">
        <v>218.28370000000001</v>
      </c>
      <c r="J3922">
        <v>-491.3039</v>
      </c>
      <c r="K3922">
        <v>1.11155</v>
      </c>
      <c r="L3922">
        <v>237.8331</v>
      </c>
      <c r="M3922">
        <v>0.2539788</v>
      </c>
      <c r="N3922">
        <v>0</v>
      </c>
      <c r="O3922">
        <v>-0.96711279999999999</v>
      </c>
      <c r="P3922">
        <v>0.29400680000000001</v>
      </c>
      <c r="Q3922">
        <v>4.5314700000000001E-3</v>
      </c>
      <c r="R3922">
        <v>-0.95579250000000004</v>
      </c>
      <c r="S3922">
        <v>1.623016</v>
      </c>
      <c r="T3922">
        <v>-0.14928900000000001</v>
      </c>
      <c r="U3922">
        <v>-2.642944</v>
      </c>
      <c r="V3922">
        <v>-4.1637439999999998E-2</v>
      </c>
      <c r="W3922">
        <v>1.8108630000000001E-2</v>
      </c>
      <c r="X3922">
        <v>0.99896870000000004</v>
      </c>
      <c r="Y3922">
        <v>-0.28906379999999998</v>
      </c>
      <c r="Z3922">
        <v>4.8308440000000001E-2</v>
      </c>
      <c r="AA3922">
        <v>0.9560902</v>
      </c>
      <c r="AB3922">
        <v>14</v>
      </c>
      <c r="AC3922">
        <v>12.0473</v>
      </c>
      <c r="AD3922">
        <v>-1.1115479861819999</v>
      </c>
      <c r="AE3922">
        <v>-19.549399999999899</v>
      </c>
      <c r="AF3922">
        <v>-6.6709615948426402</v>
      </c>
      <c r="AG3922">
        <v>-1.1115479861819999</v>
      </c>
      <c r="AH3922">
        <v>21.916941597882801</v>
      </c>
      <c r="AI3922">
        <v>92.777737045429205</v>
      </c>
      <c r="AJ3922">
        <v>106.92892005942601</v>
      </c>
      <c r="AK3922">
        <v>22.936643096374301</v>
      </c>
      <c r="AL3922">
        <v>88.962395246390102</v>
      </c>
      <c r="AM3922">
        <v>92.386730959453601</v>
      </c>
      <c r="AN3922">
        <v>1.00000003123495</v>
      </c>
    </row>
    <row r="3923" spans="1:40" x14ac:dyDescent="0.25">
      <c r="A3923" t="str">
        <f>"20190312153958908"</f>
        <v>20190312153958908</v>
      </c>
      <c r="B3923" t="str">
        <f>"1552376398899667"</f>
        <v>1552376398899667</v>
      </c>
      <c r="C3923" t="s">
        <v>40</v>
      </c>
      <c r="D3923">
        <v>4.173972</v>
      </c>
      <c r="E3923">
        <v>0.40325909999999998</v>
      </c>
      <c r="F3923" t="s">
        <v>54</v>
      </c>
      <c r="G3923">
        <v>-479.36130000000003</v>
      </c>
      <c r="H3923" s="1">
        <v>1.9758830000000002E-6</v>
      </c>
      <c r="I3923">
        <v>218.4777</v>
      </c>
      <c r="J3923">
        <v>-491.27629999999999</v>
      </c>
      <c r="K3923">
        <v>1.1115440000000001</v>
      </c>
      <c r="L3923">
        <v>237.7381</v>
      </c>
      <c r="M3923">
        <v>0.2561097</v>
      </c>
      <c r="N3923">
        <v>0</v>
      </c>
      <c r="O3923">
        <v>-0.96655080000000004</v>
      </c>
      <c r="P3923">
        <v>0.29615010000000003</v>
      </c>
      <c r="Q3923">
        <v>4.3359380000000001E-3</v>
      </c>
      <c r="R3923">
        <v>-0.95513159999999997</v>
      </c>
      <c r="S3923">
        <v>1.6281129999999999</v>
      </c>
      <c r="T3923">
        <v>-0.1515349</v>
      </c>
      <c r="U3923">
        <v>-2.638687</v>
      </c>
      <c r="V3923">
        <v>-4.1675700000000003E-2</v>
      </c>
      <c r="W3923">
        <v>1.790982E-2</v>
      </c>
      <c r="X3923">
        <v>0.99897060000000004</v>
      </c>
      <c r="Y3923">
        <v>-0.28896110000000003</v>
      </c>
      <c r="Z3923">
        <v>4.9035889999999999E-2</v>
      </c>
      <c r="AA3923">
        <v>0.95608419999999905</v>
      </c>
      <c r="AB3923">
        <v>13</v>
      </c>
      <c r="AC3923">
        <v>11.9149999999999</v>
      </c>
      <c r="AD3923">
        <v>-1.111542024117</v>
      </c>
      <c r="AE3923">
        <v>-19.260400000000001</v>
      </c>
      <c r="AF3923">
        <v>-6.5684725312671999</v>
      </c>
      <c r="AG3923">
        <v>-1.111542024117</v>
      </c>
      <c r="AH3923">
        <v>21.6176606062715</v>
      </c>
      <c r="AI3923">
        <v>92.816528853374507</v>
      </c>
      <c r="AJ3923">
        <v>106.901274018173</v>
      </c>
      <c r="AK3923">
        <v>22.6208666313502</v>
      </c>
      <c r="AL3923">
        <v>88.973787976733902</v>
      </c>
      <c r="AM3923">
        <v>92.388917011579494</v>
      </c>
      <c r="AN3923">
        <v>0.99999994264363901</v>
      </c>
    </row>
    <row r="3924" spans="1:40" x14ac:dyDescent="0.25">
      <c r="A3924" t="str">
        <f>"20190312153958926"</f>
        <v>20190312153958926</v>
      </c>
      <c r="B3924" t="str">
        <f>"1552376398919187"</f>
        <v>1552376398919187</v>
      </c>
      <c r="C3924" t="s">
        <v>40</v>
      </c>
      <c r="D3924">
        <v>4.2244900000000003</v>
      </c>
      <c r="E3924">
        <v>0.40346009999999999</v>
      </c>
      <c r="F3924" t="s">
        <v>54</v>
      </c>
      <c r="G3924">
        <v>-479.44810000000001</v>
      </c>
      <c r="H3924" s="1">
        <v>1.9436989999999999E-6</v>
      </c>
      <c r="I3924">
        <v>218.6217</v>
      </c>
      <c r="J3924">
        <v>-491.24610000000001</v>
      </c>
      <c r="K3924">
        <v>1.1115429999999999</v>
      </c>
      <c r="L3924">
        <v>237.6353</v>
      </c>
      <c r="M3924">
        <v>0.25841439999999999</v>
      </c>
      <c r="N3924">
        <v>0</v>
      </c>
      <c r="O3924">
        <v>-0.9659373</v>
      </c>
      <c r="P3924">
        <v>0.29902030000000002</v>
      </c>
      <c r="Q3924">
        <v>3.5033149999999999E-3</v>
      </c>
      <c r="R3924">
        <v>-0.95424039999999999</v>
      </c>
      <c r="S3924">
        <v>1.630981</v>
      </c>
      <c r="T3924">
        <v>-0.1532695</v>
      </c>
      <c r="U3924">
        <v>-2.6359409999999999</v>
      </c>
      <c r="V3924">
        <v>-4.229318E-2</v>
      </c>
      <c r="W3924">
        <v>1.7073100000000001E-2</v>
      </c>
      <c r="X3924">
        <v>0.99895940000000005</v>
      </c>
      <c r="Y3924">
        <v>-0.28786070000000002</v>
      </c>
      <c r="Z3924">
        <v>4.9588189999999997E-2</v>
      </c>
      <c r="AA3924">
        <v>0.9563876</v>
      </c>
      <c r="AB3924">
        <v>13</v>
      </c>
      <c r="AC3924">
        <v>11.798</v>
      </c>
      <c r="AD3924">
        <v>-1.111541056301</v>
      </c>
      <c r="AE3924">
        <v>-19.0136</v>
      </c>
      <c r="AF3924">
        <v>-6.4673883070960603</v>
      </c>
      <c r="AG3924">
        <v>-1.111541056301</v>
      </c>
      <c r="AH3924">
        <v>21.364005863446199</v>
      </c>
      <c r="AI3924">
        <v>92.850800506735894</v>
      </c>
      <c r="AJ3924">
        <v>106.842301429796</v>
      </c>
      <c r="AK3924">
        <v>22.3491248501584</v>
      </c>
      <c r="AL3924">
        <v>89.021735939443104</v>
      </c>
      <c r="AM3924">
        <v>92.424297167740406</v>
      </c>
      <c r="AN3924">
        <v>1.0000000433332401</v>
      </c>
    </row>
    <row r="3925" spans="1:40" x14ac:dyDescent="0.25">
      <c r="A3925" t="str">
        <f>"20190312153958950"</f>
        <v>20190312153958950</v>
      </c>
      <c r="B3925" t="str">
        <f>"1552376398939683"</f>
        <v>1552376398939683</v>
      </c>
      <c r="C3925" t="s">
        <v>40</v>
      </c>
      <c r="D3925">
        <v>4.1302349999999999</v>
      </c>
      <c r="E3925">
        <v>0.4075376</v>
      </c>
      <c r="F3925" t="s">
        <v>54</v>
      </c>
      <c r="G3925">
        <v>-479.54750000000001</v>
      </c>
      <c r="H3925" s="1">
        <v>1.908845E-6</v>
      </c>
      <c r="I3925">
        <v>218.83320000000001</v>
      </c>
      <c r="J3925">
        <v>-491.20589999999999</v>
      </c>
      <c r="K3925">
        <v>1.1115299999999999</v>
      </c>
      <c r="L3925">
        <v>237.49969999999999</v>
      </c>
      <c r="M3925">
        <v>0.26145689999999999</v>
      </c>
      <c r="N3925">
        <v>0</v>
      </c>
      <c r="O3925">
        <v>-0.96511809999999998</v>
      </c>
      <c r="P3925">
        <v>0.30236629999999998</v>
      </c>
      <c r="Q3925">
        <v>2.9039389999999999E-3</v>
      </c>
      <c r="R3925">
        <v>-0.95318740000000002</v>
      </c>
      <c r="S3925">
        <v>1.637238</v>
      </c>
      <c r="T3925">
        <v>-0.15556199999999901</v>
      </c>
      <c r="U3925">
        <v>-2.6313930000000001</v>
      </c>
      <c r="V3925">
        <v>-4.264801E-2</v>
      </c>
      <c r="W3925">
        <v>1.6469040000000001E-2</v>
      </c>
      <c r="X3925">
        <v>0.99895440000000002</v>
      </c>
      <c r="Y3925">
        <v>-0.2872035</v>
      </c>
      <c r="Z3925">
        <v>5.031414E-2</v>
      </c>
      <c r="AA3925">
        <v>0.95654729999999999</v>
      </c>
      <c r="AB3925">
        <v>13</v>
      </c>
      <c r="AC3925">
        <v>11.658399999999901</v>
      </c>
      <c r="AD3925">
        <v>-1.1115280911549901</v>
      </c>
      <c r="AE3925">
        <v>-18.6664999999999</v>
      </c>
      <c r="AF3925">
        <v>-6.3556325970144298</v>
      </c>
      <c r="AG3925">
        <v>-1.1115280911549901</v>
      </c>
      <c r="AH3925">
        <v>21.011922333260198</v>
      </c>
      <c r="AI3925">
        <v>92.898652471199298</v>
      </c>
      <c r="AJ3925">
        <v>106.829382047545</v>
      </c>
      <c r="AK3925">
        <v>21.980228400647199</v>
      </c>
      <c r="AL3925">
        <v>89.056350842894901</v>
      </c>
      <c r="AM3925">
        <v>92.444624108604302</v>
      </c>
      <c r="AN3925">
        <v>0.99999998765742004</v>
      </c>
    </row>
    <row r="3926" spans="1:40" x14ac:dyDescent="0.25">
      <c r="A3926" t="str">
        <f>"20190312153958969"</f>
        <v>20190312153958969</v>
      </c>
      <c r="B3926" t="str">
        <f>"1552376398959204"</f>
        <v>1552376398959204</v>
      </c>
      <c r="C3926" t="s">
        <v>40</v>
      </c>
      <c r="D3926">
        <v>4.168501</v>
      </c>
      <c r="E3926">
        <v>0.40789589999999998</v>
      </c>
      <c r="F3926" t="s">
        <v>54</v>
      </c>
      <c r="G3926">
        <v>-478.10989999999998</v>
      </c>
      <c r="H3926" s="1">
        <v>2.427891E-6</v>
      </c>
      <c r="I3926">
        <v>216.12270000000001</v>
      </c>
      <c r="J3926">
        <v>-491.17239999999998</v>
      </c>
      <c r="K3926">
        <v>1.111524</v>
      </c>
      <c r="L3926">
        <v>237.3877</v>
      </c>
      <c r="M3926">
        <v>0.26396890000000001</v>
      </c>
      <c r="N3926">
        <v>0</v>
      </c>
      <c r="O3926">
        <v>-0.96443409999999996</v>
      </c>
      <c r="P3926">
        <v>0.30485990000000002</v>
      </c>
      <c r="Q3926">
        <v>2.5909819999999999E-3</v>
      </c>
      <c r="R3926">
        <v>-0.95239390000000002</v>
      </c>
      <c r="S3926">
        <v>1.614655</v>
      </c>
      <c r="T3926">
        <v>-0.137044</v>
      </c>
      <c r="U3926">
        <v>-2.6356350000000002</v>
      </c>
      <c r="V3926">
        <v>-4.2660139999999999E-2</v>
      </c>
      <c r="W3926">
        <v>1.6152940000000001E-2</v>
      </c>
      <c r="X3926">
        <v>0.99895909999999999</v>
      </c>
      <c r="Y3926">
        <v>-0.2782193</v>
      </c>
      <c r="Z3926">
        <v>4.438483E-2</v>
      </c>
      <c r="AA3926">
        <v>0.9594916</v>
      </c>
      <c r="AB3926">
        <v>13</v>
      </c>
      <c r="AC3926">
        <v>13.0625</v>
      </c>
      <c r="AD3926">
        <v>-1.1115215721089999</v>
      </c>
      <c r="AE3926">
        <v>-21.264999999999901</v>
      </c>
      <c r="AF3926">
        <v>-6.9714469586806604</v>
      </c>
      <c r="AG3926">
        <v>-1.1115215721089999</v>
      </c>
      <c r="AH3926">
        <v>23.911596162861599</v>
      </c>
      <c r="AI3926">
        <v>92.555222083466603</v>
      </c>
      <c r="AJ3926">
        <v>106.254090665055</v>
      </c>
      <c r="AK3926">
        <v>24.931927000509599</v>
      </c>
      <c r="AL3926">
        <v>89.074464501183797</v>
      </c>
      <c r="AM3926">
        <v>92.445307076728298</v>
      </c>
      <c r="AN3926">
        <v>1.0000000442441299</v>
      </c>
    </row>
    <row r="3927" spans="1:40" x14ac:dyDescent="0.25">
      <c r="A3927" t="str">
        <f>"20190312153958992"</f>
        <v>20190312153958992</v>
      </c>
      <c r="B3927" t="str">
        <f>"1552376398979700"</f>
        <v>1552376398979700</v>
      </c>
      <c r="C3927" t="s">
        <v>40</v>
      </c>
      <c r="D3927">
        <v>4.1695729999999998</v>
      </c>
      <c r="E3927">
        <v>0.39948519999999998</v>
      </c>
      <c r="F3927" t="s">
        <v>54</v>
      </c>
      <c r="G3927">
        <v>-478.24970000000002</v>
      </c>
      <c r="H3927" s="1">
        <v>2.376974E-6</v>
      </c>
      <c r="I3927">
        <v>216.37610000000001</v>
      </c>
      <c r="J3927">
        <v>-491.13389999999998</v>
      </c>
      <c r="K3927">
        <v>1.1115189999999999</v>
      </c>
      <c r="L3927">
        <v>237.2603</v>
      </c>
      <c r="M3927">
        <v>0.26682719999999999</v>
      </c>
      <c r="N3927">
        <v>0</v>
      </c>
      <c r="O3927">
        <v>-0.96364740000000004</v>
      </c>
      <c r="P3927">
        <v>0.3073708</v>
      </c>
      <c r="Q3927">
        <v>2.261758E-3</v>
      </c>
      <c r="R3927">
        <v>-0.95158719999999997</v>
      </c>
      <c r="S3927">
        <v>1.618835</v>
      </c>
      <c r="T3927">
        <v>-0.1392409</v>
      </c>
      <c r="U3927">
        <v>-2.6321409999999998</v>
      </c>
      <c r="V3927">
        <v>-4.2331679999999997E-2</v>
      </c>
      <c r="W3927">
        <v>1.5821100000000001E-2</v>
      </c>
      <c r="X3927">
        <v>0.99897829999999999</v>
      </c>
      <c r="Y3927">
        <v>-0.27702830000000001</v>
      </c>
      <c r="Z3927">
        <v>4.5081799999999998E-2</v>
      </c>
      <c r="AA3927">
        <v>0.95980359999999998</v>
      </c>
      <c r="AB3927">
        <v>13</v>
      </c>
      <c r="AC3927">
        <v>12.8841999999999</v>
      </c>
      <c r="AD3927">
        <v>-1.1115166230260001</v>
      </c>
      <c r="AE3927">
        <v>-20.8842</v>
      </c>
      <c r="AF3927">
        <v>-6.8299794933943101</v>
      </c>
      <c r="AG3927">
        <v>-1.1115166230260001</v>
      </c>
      <c r="AH3927">
        <v>23.516811962569101</v>
      </c>
      <c r="AI3927">
        <v>92.598828097620796</v>
      </c>
      <c r="AJ3927">
        <v>106.194863899739</v>
      </c>
      <c r="AK3927">
        <v>24.513762134080601</v>
      </c>
      <c r="AL3927">
        <v>89.0934798867155</v>
      </c>
      <c r="AM3927">
        <v>92.426455545627306</v>
      </c>
      <c r="AN3927">
        <v>0.99999996110386002</v>
      </c>
    </row>
    <row r="3928" spans="1:40" x14ac:dyDescent="0.25">
      <c r="A3928" t="str">
        <f>"20190312153959012"</f>
        <v>20190312153959012</v>
      </c>
      <c r="B3928" t="str">
        <f>"1552376398999220"</f>
        <v>1552376398999220</v>
      </c>
      <c r="C3928" t="s">
        <v>40</v>
      </c>
      <c r="D3928">
        <v>4.1799249999999999</v>
      </c>
      <c r="E3928">
        <v>0.39839140000000001</v>
      </c>
      <c r="F3928" t="s">
        <v>54</v>
      </c>
      <c r="G3928">
        <v>-479.12990000000002</v>
      </c>
      <c r="H3928" s="1">
        <v>2.0903039999999998E-6</v>
      </c>
      <c r="I3928">
        <v>218.7473</v>
      </c>
      <c r="J3928">
        <v>-491.09780000000001</v>
      </c>
      <c r="K3928">
        <v>1.1115120000000001</v>
      </c>
      <c r="L3928">
        <v>237.14230000000001</v>
      </c>
      <c r="M3928">
        <v>0.26947409999999999</v>
      </c>
      <c r="N3928">
        <v>0</v>
      </c>
      <c r="O3928">
        <v>-0.96291059999999995</v>
      </c>
      <c r="P3928">
        <v>0.30946020000000002</v>
      </c>
      <c r="Q3928">
        <v>2.1666099999999998E-3</v>
      </c>
      <c r="R3928">
        <v>-0.95090989999999997</v>
      </c>
      <c r="S3928">
        <v>1.690399</v>
      </c>
      <c r="T3928">
        <v>-0.15652349999999901</v>
      </c>
      <c r="U3928">
        <v>-2.606995</v>
      </c>
      <c r="V3928">
        <v>-4.1780610000000003E-2</v>
      </c>
      <c r="W3928">
        <v>1.5724789999999999E-2</v>
      </c>
      <c r="X3928">
        <v>0.99900310000000003</v>
      </c>
      <c r="Y3928">
        <v>-0.29708259999999997</v>
      </c>
      <c r="Z3928">
        <v>5.051572E-2</v>
      </c>
      <c r="AA3928">
        <v>0.95351459999999999</v>
      </c>
      <c r="AB3928">
        <v>13</v>
      </c>
      <c r="AC3928">
        <v>11.967899999999901</v>
      </c>
      <c r="AD3928">
        <v>-1.1115099096959999</v>
      </c>
      <c r="AE3928">
        <v>-18.395</v>
      </c>
      <c r="AF3928">
        <v>-6.5508506858883502</v>
      </c>
      <c r="AG3928">
        <v>-1.1115099096959999</v>
      </c>
      <c r="AH3928">
        <v>20.886157558821999</v>
      </c>
      <c r="AI3928">
        <v>92.906896287635007</v>
      </c>
      <c r="AJ3928">
        <v>107.413801647456</v>
      </c>
      <c r="AK3928">
        <v>21.9175882925128</v>
      </c>
      <c r="AL3928">
        <v>89.098998802088403</v>
      </c>
      <c r="AM3928">
        <v>92.394845803310403</v>
      </c>
      <c r="AN3928">
        <v>1.0000000411010601</v>
      </c>
    </row>
    <row r="3929" spans="1:40" x14ac:dyDescent="0.25">
      <c r="A3929" t="str">
        <f>"20190312153959038"</f>
        <v>20190312153959038</v>
      </c>
      <c r="B3929" t="str">
        <f>"1552376399029477"</f>
        <v>1552376399029477</v>
      </c>
      <c r="C3929" t="s">
        <v>40</v>
      </c>
      <c r="D3929">
        <v>4.1365220000000003</v>
      </c>
      <c r="E3929">
        <v>0.39826119999999998</v>
      </c>
      <c r="F3929" t="s">
        <v>54</v>
      </c>
      <c r="G3929">
        <v>-479.32299999999998</v>
      </c>
      <c r="H3929" s="1">
        <v>2.0234189999999999E-6</v>
      </c>
      <c r="I3929">
        <v>219.1763</v>
      </c>
      <c r="J3929">
        <v>-491.05549999999999</v>
      </c>
      <c r="K3929">
        <v>1.111505</v>
      </c>
      <c r="L3929">
        <v>237.0051</v>
      </c>
      <c r="M3929">
        <v>0.2725534</v>
      </c>
      <c r="N3929">
        <v>0</v>
      </c>
      <c r="O3929">
        <v>-0.9620436</v>
      </c>
      <c r="P3929">
        <v>0.31210680000000002</v>
      </c>
      <c r="Q3929">
        <v>2.2051269999999999E-3</v>
      </c>
      <c r="R3929">
        <v>-0.95004480000000002</v>
      </c>
      <c r="S3929">
        <v>1.704407</v>
      </c>
      <c r="T3929">
        <v>-0.1608908</v>
      </c>
      <c r="U3929">
        <v>-2.6005859999999998</v>
      </c>
      <c r="V3929">
        <v>-4.1366149999999997E-2</v>
      </c>
      <c r="W3929">
        <v>1.5761029999999999E-2</v>
      </c>
      <c r="X3929">
        <v>0.99901969999999995</v>
      </c>
      <c r="Y3929">
        <v>-0.29866160000000003</v>
      </c>
      <c r="Z3929">
        <v>5.18751E-2</v>
      </c>
      <c r="AA3929">
        <v>0.95294820000000002</v>
      </c>
      <c r="AB3929">
        <v>13</v>
      </c>
      <c r="AC3929">
        <v>11.7324999999999</v>
      </c>
      <c r="AD3929">
        <v>-1.1115029765809901</v>
      </c>
      <c r="AE3929">
        <v>-17.828800000000001</v>
      </c>
      <c r="AF3929">
        <v>-6.4110888569686697</v>
      </c>
      <c r="AG3929">
        <v>-1.1115029765809901</v>
      </c>
      <c r="AH3929">
        <v>20.296668286611901</v>
      </c>
      <c r="AI3929">
        <v>92.9892527748882</v>
      </c>
      <c r="AJ3929">
        <v>107.52971300652899</v>
      </c>
      <c r="AK3929">
        <v>21.314132465002</v>
      </c>
      <c r="AL3929">
        <v>89.096922076777105</v>
      </c>
      <c r="AM3929">
        <v>92.371077038390297</v>
      </c>
      <c r="AN3929">
        <v>0.99999996471028596</v>
      </c>
    </row>
    <row r="3930" spans="1:40" x14ac:dyDescent="0.25">
      <c r="A3930" t="str">
        <f>"20190312153959058"</f>
        <v>20190312153959058</v>
      </c>
      <c r="B3930" t="str">
        <f>"1552376399049972"</f>
        <v>1552376399049972</v>
      </c>
      <c r="C3930" t="s">
        <v>40</v>
      </c>
      <c r="D3930">
        <v>4.1669700000000001</v>
      </c>
      <c r="E3930">
        <v>0.39834849999999999</v>
      </c>
      <c r="F3930" t="s">
        <v>54</v>
      </c>
      <c r="G3930">
        <v>-479.50040000000001</v>
      </c>
      <c r="H3930" s="1">
        <v>1.9585789999999998E-6</v>
      </c>
      <c r="I3930">
        <v>219.49340000000001</v>
      </c>
      <c r="J3930">
        <v>-491.0181</v>
      </c>
      <c r="K3930">
        <v>1.111504</v>
      </c>
      <c r="L3930">
        <v>236.88550000000001</v>
      </c>
      <c r="M3930">
        <v>0.27523760000000003</v>
      </c>
      <c r="N3930">
        <v>0</v>
      </c>
      <c r="O3930">
        <v>-0.96127929999999995</v>
      </c>
      <c r="P3930">
        <v>0.31484610000000002</v>
      </c>
      <c r="Q3930">
        <v>2.0670609999999998E-3</v>
      </c>
      <c r="R3930">
        <v>-0.94914089999999995</v>
      </c>
      <c r="S3930">
        <v>1.7126159999999999</v>
      </c>
      <c r="T3930">
        <v>-0.16474</v>
      </c>
      <c r="U3930">
        <v>-2.5954739999999998</v>
      </c>
      <c r="V3930">
        <v>-4.1458660000000001E-2</v>
      </c>
      <c r="W3930">
        <v>1.561942E-2</v>
      </c>
      <c r="X3930">
        <v>0.99901810000000002</v>
      </c>
      <c r="Y3930">
        <v>-0.29892469999999999</v>
      </c>
      <c r="Z3930">
        <v>5.3092250000000001E-2</v>
      </c>
      <c r="AA3930">
        <v>0.95279860000000005</v>
      </c>
      <c r="AB3930">
        <v>13</v>
      </c>
      <c r="AC3930">
        <v>11.5176999999999</v>
      </c>
      <c r="AD3930">
        <v>-1.111502041421</v>
      </c>
      <c r="AE3930">
        <v>-17.392099999999999</v>
      </c>
      <c r="AF3930">
        <v>-6.2675578985090699</v>
      </c>
      <c r="AG3930">
        <v>-1.111502041421</v>
      </c>
      <c r="AH3930">
        <v>19.8343107570077</v>
      </c>
      <c r="AI3930">
        <v>93.058690707324999</v>
      </c>
      <c r="AJ3930">
        <v>107.536314759977</v>
      </c>
      <c r="AK3930">
        <v>20.8306889469551</v>
      </c>
      <c r="AL3930">
        <v>89.105036740925698</v>
      </c>
      <c r="AM3930">
        <v>92.376377372312604</v>
      </c>
      <c r="AN3930">
        <v>0.99999997544886998</v>
      </c>
    </row>
    <row r="3931" spans="1:40" x14ac:dyDescent="0.25">
      <c r="A3931" t="str">
        <f>"20190312153959084"</f>
        <v>20190312153959084</v>
      </c>
      <c r="B3931" t="str">
        <f>"1552376399079252"</f>
        <v>1552376399079252</v>
      </c>
      <c r="C3931" t="s">
        <v>40</v>
      </c>
      <c r="D3931">
        <v>4.159459</v>
      </c>
      <c r="E3931">
        <v>0.3987463</v>
      </c>
      <c r="F3931" t="s">
        <v>54</v>
      </c>
      <c r="G3931">
        <v>-479.75400000000002</v>
      </c>
      <c r="H3931" s="1">
        <v>1.899195E-6</v>
      </c>
      <c r="I3931">
        <v>219.91370000000001</v>
      </c>
      <c r="J3931">
        <v>-490.97609999999997</v>
      </c>
      <c r="K3931">
        <v>1.111494</v>
      </c>
      <c r="L3931">
        <v>236.7525</v>
      </c>
      <c r="M3931">
        <v>0.27822360000000002</v>
      </c>
      <c r="N3931">
        <v>0</v>
      </c>
      <c r="O3931">
        <v>-0.96041920000000003</v>
      </c>
      <c r="P3931">
        <v>0.3184169</v>
      </c>
      <c r="Q3931">
        <v>1.8686659999999999E-3</v>
      </c>
      <c r="R3931">
        <v>-0.94794909999999999</v>
      </c>
      <c r="S3931">
        <v>1.719452</v>
      </c>
      <c r="T3931">
        <v>-0.16966889999999901</v>
      </c>
      <c r="U3931">
        <v>-2.5907140000000002</v>
      </c>
      <c r="V3931">
        <v>-4.2114260000000001E-2</v>
      </c>
      <c r="W3931">
        <v>1.5415359999999999E-2</v>
      </c>
      <c r="X3931">
        <v>0.99899389999999999</v>
      </c>
      <c r="Y3931">
        <v>-0.29846299999999998</v>
      </c>
      <c r="Z3931">
        <v>5.4654210000000002E-2</v>
      </c>
      <c r="AA3931">
        <v>0.95285509999999995</v>
      </c>
      <c r="AB3931">
        <v>13</v>
      </c>
      <c r="AC3931">
        <v>11.2220999999999</v>
      </c>
      <c r="AD3931">
        <v>-1.111492100805</v>
      </c>
      <c r="AE3931">
        <v>-16.8387999999999</v>
      </c>
      <c r="AF3931">
        <v>-6.0752081957694699</v>
      </c>
      <c r="AG3931">
        <v>-1.111492100805</v>
      </c>
      <c r="AH3931">
        <v>19.238317672729799</v>
      </c>
      <c r="AI3931">
        <v>93.153419660622902</v>
      </c>
      <c r="AJ3931">
        <v>107.525432921122</v>
      </c>
      <c r="AK3931">
        <v>20.2053566211776</v>
      </c>
      <c r="AL3931">
        <v>89.116729972504899</v>
      </c>
      <c r="AM3931">
        <v>92.413970141861796</v>
      </c>
      <c r="AN3931">
        <v>1.00000002822824</v>
      </c>
    </row>
    <row r="3932" spans="1:40" x14ac:dyDescent="0.25">
      <c r="A3932" t="str">
        <f>"20190312153959104"</f>
        <v>20190312153959104</v>
      </c>
      <c r="B3932" t="str">
        <f>"1552376399099748"</f>
        <v>1552376399099748</v>
      </c>
      <c r="C3932" t="s">
        <v>40</v>
      </c>
      <c r="D3932">
        <v>4.1925660000000002</v>
      </c>
      <c r="E3932">
        <v>0.39893869999999998</v>
      </c>
      <c r="F3932" t="s">
        <v>54</v>
      </c>
      <c r="G3932">
        <v>-479.80470000000003</v>
      </c>
      <c r="H3932" s="1">
        <v>1.905484E-6</v>
      </c>
      <c r="I3932">
        <v>220.02359999999999</v>
      </c>
      <c r="J3932">
        <v>-490.93819999999999</v>
      </c>
      <c r="K3932">
        <v>1.11148799999999</v>
      </c>
      <c r="L3932">
        <v>236.63339999999999</v>
      </c>
      <c r="M3932">
        <v>0.28089769999999997</v>
      </c>
      <c r="N3932">
        <v>0</v>
      </c>
      <c r="O3932">
        <v>-0.95964070000000001</v>
      </c>
      <c r="P3932">
        <v>0.32186740000000003</v>
      </c>
      <c r="Q3932">
        <v>1.768295E-3</v>
      </c>
      <c r="R3932">
        <v>-0.94678340000000005</v>
      </c>
      <c r="S3932">
        <v>1.7263790000000001</v>
      </c>
      <c r="T3932">
        <v>-0.1717649</v>
      </c>
      <c r="U3932">
        <v>-2.5852050000000002</v>
      </c>
      <c r="V3932">
        <v>-4.2969380000000001E-2</v>
      </c>
      <c r="W3932">
        <v>1.530952E-2</v>
      </c>
      <c r="X3932">
        <v>0.99895909999999999</v>
      </c>
      <c r="Y3932">
        <v>-0.29848659999999999</v>
      </c>
      <c r="Z3932">
        <v>5.532053E-2</v>
      </c>
      <c r="AA3932">
        <v>0.95280920000000002</v>
      </c>
      <c r="AB3932">
        <v>13</v>
      </c>
      <c r="AC3932">
        <v>11.1334999999999</v>
      </c>
      <c r="AD3932">
        <v>-1.1114860945159999</v>
      </c>
      <c r="AE3932">
        <v>-16.6098</v>
      </c>
      <c r="AF3932">
        <v>-6.0005254980865397</v>
      </c>
      <c r="AG3932">
        <v>-1.1114860945159999</v>
      </c>
      <c r="AH3932">
        <v>19.009854643390302</v>
      </c>
      <c r="AI3932">
        <v>93.191344839811606</v>
      </c>
      <c r="AJ3932">
        <v>107.51847930694299</v>
      </c>
      <c r="AK3932">
        <v>19.9653770601589</v>
      </c>
      <c r="AL3932">
        <v>89.122794862843307</v>
      </c>
      <c r="AM3932">
        <v>92.463011164385506</v>
      </c>
      <c r="AN3932">
        <v>1.0000000162465099</v>
      </c>
    </row>
    <row r="3933" spans="1:40" x14ac:dyDescent="0.25">
      <c r="A3933" t="str">
        <f>"20190312153959129"</f>
        <v>20190312153959129</v>
      </c>
      <c r="B3933" t="str">
        <f>"1552376399119268"</f>
        <v>1552376399119268</v>
      </c>
      <c r="C3933" t="s">
        <v>40</v>
      </c>
      <c r="D3933">
        <v>4.1877610000000001</v>
      </c>
      <c r="E3933">
        <v>0.3990071</v>
      </c>
      <c r="F3933" t="s">
        <v>54</v>
      </c>
      <c r="G3933">
        <v>-479.78160000000003</v>
      </c>
      <c r="H3933" s="1">
        <v>1.9178539999999999E-6</v>
      </c>
      <c r="I3933">
        <v>220.04230000000001</v>
      </c>
      <c r="J3933">
        <v>-490.8956</v>
      </c>
      <c r="K3933">
        <v>1.1114900000000001</v>
      </c>
      <c r="L3933">
        <v>236.501</v>
      </c>
      <c r="M3933">
        <v>0.28386929999999999</v>
      </c>
      <c r="N3933">
        <v>0</v>
      </c>
      <c r="O3933">
        <v>-0.95876600000000001</v>
      </c>
      <c r="P3933">
        <v>0.32527420000000001</v>
      </c>
      <c r="Q3933">
        <v>1.848035E-3</v>
      </c>
      <c r="R3933">
        <v>-0.94561839999999997</v>
      </c>
      <c r="S3933">
        <v>1.73446699999999</v>
      </c>
      <c r="T3933">
        <v>-0.17279620000000001</v>
      </c>
      <c r="U3933">
        <v>-2.5793149999999998</v>
      </c>
      <c r="V3933">
        <v>-4.3471860000000001E-2</v>
      </c>
      <c r="W3933">
        <v>1.5383890000000001E-2</v>
      </c>
      <c r="X3933">
        <v>0.99893620000000005</v>
      </c>
      <c r="Y3933">
        <v>-0.29858430000000002</v>
      </c>
      <c r="Z3933">
        <v>5.5636289999999998E-2</v>
      </c>
      <c r="AA3933">
        <v>0.95276019999999995</v>
      </c>
      <c r="AB3933">
        <v>13</v>
      </c>
      <c r="AC3933">
        <v>11.1139999999999</v>
      </c>
      <c r="AD3933">
        <v>-1.11148808214599</v>
      </c>
      <c r="AE3933">
        <v>-16.458699999999901</v>
      </c>
      <c r="AF3933">
        <v>-5.9654765617567103</v>
      </c>
      <c r="AG3933">
        <v>-1.11148808214599</v>
      </c>
      <c r="AH3933">
        <v>18.8775962510976</v>
      </c>
      <c r="AI3933">
        <v>93.213335964282805</v>
      </c>
      <c r="AJ3933">
        <v>107.536967066747</v>
      </c>
      <c r="AK3933">
        <v>19.828917181356001</v>
      </c>
      <c r="AL3933">
        <v>89.118533258864602</v>
      </c>
      <c r="AM3933">
        <v>92.491834348446105</v>
      </c>
      <c r="AN3933">
        <v>0.99999999917691496</v>
      </c>
    </row>
    <row r="3934" spans="1:40" x14ac:dyDescent="0.25">
      <c r="A3934" t="str">
        <f>"20190312153959147"</f>
        <v>20190312153959147</v>
      </c>
      <c r="B3934" t="str">
        <f>"1552376399139764"</f>
        <v>1552376399139764</v>
      </c>
      <c r="C3934" t="s">
        <v>40</v>
      </c>
      <c r="D3934">
        <v>4.1494499999999999</v>
      </c>
      <c r="E3934">
        <v>0.39895360000000002</v>
      </c>
      <c r="F3934" t="s">
        <v>54</v>
      </c>
      <c r="G3934">
        <v>-479.61750000000001</v>
      </c>
      <c r="H3934" s="1">
        <v>1.9437090000000002E-6</v>
      </c>
      <c r="I3934">
        <v>219.85550000000001</v>
      </c>
      <c r="J3934">
        <v>-490.8605</v>
      </c>
      <c r="K3934">
        <v>1.1114869999999999</v>
      </c>
      <c r="L3934">
        <v>236.39320000000001</v>
      </c>
      <c r="M3934">
        <v>0.28629189999999999</v>
      </c>
      <c r="N3934">
        <v>0</v>
      </c>
      <c r="O3934">
        <v>-0.95804520000000004</v>
      </c>
      <c r="P3934">
        <v>0.32713500000000001</v>
      </c>
      <c r="Q3934">
        <v>1.9026659999999999E-3</v>
      </c>
      <c r="R3934">
        <v>-0.94497560000000003</v>
      </c>
      <c r="S3934">
        <v>1.743439</v>
      </c>
      <c r="T3934">
        <v>-0.1718211</v>
      </c>
      <c r="U3934">
        <v>-2.5731809999999999</v>
      </c>
      <c r="V3934">
        <v>-4.2913079999999999E-2</v>
      </c>
      <c r="W3934">
        <v>1.5437289999999999E-2</v>
      </c>
      <c r="X3934">
        <v>0.9989595</v>
      </c>
      <c r="Y3934">
        <v>-0.29951369999999999</v>
      </c>
      <c r="Z3934">
        <v>5.5312970000000003E-2</v>
      </c>
      <c r="AA3934">
        <v>0.95248730000000004</v>
      </c>
      <c r="AB3934">
        <v>13</v>
      </c>
      <c r="AC3934">
        <v>11.242999999999901</v>
      </c>
      <c r="AD3934">
        <v>-1.1114850562909999</v>
      </c>
      <c r="AE3934">
        <v>-16.537700000000001</v>
      </c>
      <c r="AF3934">
        <v>-6.01866191002338</v>
      </c>
      <c r="AG3934">
        <v>-1.1114850562909999</v>
      </c>
      <c r="AH3934">
        <v>19.005706603278298</v>
      </c>
      <c r="AI3934">
        <v>93.191100280664401</v>
      </c>
      <c r="AJ3934">
        <v>107.57177429724</v>
      </c>
      <c r="AK3934">
        <v>19.966886930801699</v>
      </c>
      <c r="AL3934">
        <v>89.115473268419905</v>
      </c>
      <c r="AM3934">
        <v>92.459787022816798</v>
      </c>
      <c r="AN3934">
        <v>0.99999996249893897</v>
      </c>
    </row>
    <row r="3935" spans="1:40" x14ac:dyDescent="0.25">
      <c r="A3935" t="str">
        <f>"20190312153959170"</f>
        <v>20190312153959170</v>
      </c>
      <c r="B3935" t="str">
        <f>"1552376399159284"</f>
        <v>1552376399159284</v>
      </c>
      <c r="C3935" t="s">
        <v>40</v>
      </c>
      <c r="D3935">
        <v>4.1378259999999996</v>
      </c>
      <c r="E3935">
        <v>0.39904810000000002</v>
      </c>
      <c r="F3935" t="s">
        <v>54</v>
      </c>
      <c r="G3935">
        <v>-479.53500000000003</v>
      </c>
      <c r="H3935" s="1">
        <v>1.9660060000000001E-6</v>
      </c>
      <c r="I3935">
        <v>219.74770000000001</v>
      </c>
      <c r="J3935">
        <v>-490.8193</v>
      </c>
      <c r="K3935">
        <v>1.1114820000000001</v>
      </c>
      <c r="L3935">
        <v>236.26759999999999</v>
      </c>
      <c r="M3935">
        <v>0.28911199999999998</v>
      </c>
      <c r="N3935">
        <v>0</v>
      </c>
      <c r="O3935">
        <v>-0.95719799999999999</v>
      </c>
      <c r="P3935">
        <v>0.32887860000000002</v>
      </c>
      <c r="Q3935">
        <v>1.776721E-3</v>
      </c>
      <c r="R3935">
        <v>-0.94437070000000001</v>
      </c>
      <c r="S3935">
        <v>1.7484740000000001</v>
      </c>
      <c r="T3935">
        <v>-0.17159579999999999</v>
      </c>
      <c r="U3935">
        <v>-2.5697939999999999</v>
      </c>
      <c r="V3935">
        <v>-4.1814219999999999E-2</v>
      </c>
      <c r="W3935">
        <v>1.5311419999999999E-2</v>
      </c>
      <c r="X3935">
        <v>0.99900809999999995</v>
      </c>
      <c r="Y3935">
        <v>-0.29856700000000003</v>
      </c>
      <c r="Z3935">
        <v>5.5209300000000003E-2</v>
      </c>
      <c r="AA3935">
        <v>0.95279049999999998</v>
      </c>
      <c r="AB3935">
        <v>13</v>
      </c>
      <c r="AC3935">
        <v>11.284299999999901</v>
      </c>
      <c r="AD3935">
        <v>-1.1114800339939901</v>
      </c>
      <c r="AE3935">
        <v>-16.5198999999999</v>
      </c>
      <c r="AF3935">
        <v>-6.0072273118614499</v>
      </c>
      <c r="AG3935">
        <v>-1.1114800339939901</v>
      </c>
      <c r="AH3935">
        <v>19.018316416867801</v>
      </c>
      <c r="AI3935">
        <v>93.189716779910498</v>
      </c>
      <c r="AJ3935">
        <v>107.52952184294701</v>
      </c>
      <c r="AK3935">
        <v>19.975448109477899</v>
      </c>
      <c r="AL3935">
        <v>89.122685996854102</v>
      </c>
      <c r="AM3935">
        <v>92.396758085908402</v>
      </c>
      <c r="AN3935">
        <v>1.0000000262211099</v>
      </c>
    </row>
    <row r="3936" spans="1:40" x14ac:dyDescent="0.25">
      <c r="A3936" t="str">
        <f>"20190312153959191"</f>
        <v>20190312153959191</v>
      </c>
      <c r="B3936" t="str">
        <f>"1552376399179780"</f>
        <v>1552376399179780</v>
      </c>
      <c r="C3936" t="s">
        <v>40</v>
      </c>
      <c r="D3936">
        <v>4.1275360000000001</v>
      </c>
      <c r="E3936">
        <v>0.39923500000000001</v>
      </c>
      <c r="F3936" t="s">
        <v>54</v>
      </c>
      <c r="G3936">
        <v>-479.47340000000003</v>
      </c>
      <c r="H3936" s="1">
        <v>1.9803619999999999E-6</v>
      </c>
      <c r="I3936">
        <v>219.6498</v>
      </c>
      <c r="J3936">
        <v>-490.78050000000002</v>
      </c>
      <c r="K3936">
        <v>1.111478</v>
      </c>
      <c r="L3936">
        <v>236.15039999999999</v>
      </c>
      <c r="M3936">
        <v>0.29174319999999998</v>
      </c>
      <c r="N3936">
        <v>0</v>
      </c>
      <c r="O3936">
        <v>-0.95639940000000001</v>
      </c>
      <c r="P3936">
        <v>0.33015679999999997</v>
      </c>
      <c r="Q3936">
        <v>2.0211840000000001E-3</v>
      </c>
      <c r="R3936">
        <v>-0.94392399999999999</v>
      </c>
      <c r="S3936">
        <v>1.752472</v>
      </c>
      <c r="T3936">
        <v>-0.17167739999999901</v>
      </c>
      <c r="U3936">
        <v>-2.566757</v>
      </c>
      <c r="V3936">
        <v>-4.0420190000000002E-2</v>
      </c>
      <c r="W3936">
        <v>1.555697E-2</v>
      </c>
      <c r="X3936">
        <v>0.99906159999999999</v>
      </c>
      <c r="Y3936">
        <v>-0.297479299999999</v>
      </c>
      <c r="Z3936">
        <v>5.5208840000000002E-2</v>
      </c>
      <c r="AA3936">
        <v>0.9531307</v>
      </c>
      <c r="AB3936">
        <v>13</v>
      </c>
      <c r="AC3936">
        <v>11.307099999999901</v>
      </c>
      <c r="AD3936">
        <v>-1.111476019638</v>
      </c>
      <c r="AE3936">
        <v>-16.500599999999899</v>
      </c>
      <c r="AF3936">
        <v>-5.9822538613091698</v>
      </c>
      <c r="AG3936">
        <v>-1.111476019638</v>
      </c>
      <c r="AH3936">
        <v>19.022975252729001</v>
      </c>
      <c r="AI3936">
        <v>93.190194289220997</v>
      </c>
      <c r="AJ3936">
        <v>107.45706840736</v>
      </c>
      <c r="AK3936">
        <v>19.972389132733198</v>
      </c>
      <c r="AL3936">
        <v>89.108615270851601</v>
      </c>
      <c r="AM3936">
        <v>92.316818029085596</v>
      </c>
      <c r="AN3936">
        <v>0.99999994583488705</v>
      </c>
    </row>
    <row r="3937" spans="1:40" x14ac:dyDescent="0.25">
      <c r="A3937" t="str">
        <f>"20190312153959215"</f>
        <v>20190312153959215</v>
      </c>
      <c r="B3937" t="str">
        <f>"1552376399209566"</f>
        <v>1552376399209566</v>
      </c>
      <c r="C3937" t="s">
        <v>40</v>
      </c>
      <c r="D3937">
        <v>4.1152550000000003</v>
      </c>
      <c r="E3937">
        <v>0.3994549</v>
      </c>
      <c r="F3937" t="s">
        <v>54</v>
      </c>
      <c r="G3937">
        <v>-479.32029999999997</v>
      </c>
      <c r="H3937" s="1">
        <v>2.0342649999999998E-6</v>
      </c>
      <c r="I3937">
        <v>219.39750000000001</v>
      </c>
      <c r="J3937">
        <v>-490.73869999999999</v>
      </c>
      <c r="K3937">
        <v>1.111472</v>
      </c>
      <c r="L3937">
        <v>236.02539999999999</v>
      </c>
      <c r="M3937">
        <v>0.29454839999999999</v>
      </c>
      <c r="N3937">
        <v>0</v>
      </c>
      <c r="O3937">
        <v>-0.95553929999999998</v>
      </c>
      <c r="P3937">
        <v>0.33203009999999999</v>
      </c>
      <c r="Q3937">
        <v>1.8099349999999999E-3</v>
      </c>
      <c r="R3937">
        <v>-0.94326730000000003</v>
      </c>
      <c r="S3937">
        <v>1.7545470000000001</v>
      </c>
      <c r="T3937">
        <v>-0.1701664</v>
      </c>
      <c r="U3937">
        <v>-2.5648650000000002</v>
      </c>
      <c r="V3937">
        <v>-3.9470379999999999E-2</v>
      </c>
      <c r="W3937">
        <v>1.5345269999999999E-2</v>
      </c>
      <c r="X3937">
        <v>0.99910290000000002</v>
      </c>
      <c r="Y3937">
        <v>-0.2955467</v>
      </c>
      <c r="Z3937">
        <v>5.4690860000000001E-2</v>
      </c>
      <c r="AA3937">
        <v>0.95376150000000004</v>
      </c>
      <c r="AB3937">
        <v>13</v>
      </c>
      <c r="AC3937">
        <v>11.4184</v>
      </c>
      <c r="AD3937">
        <v>-1.111469965735</v>
      </c>
      <c r="AE3937">
        <v>-16.627899999999901</v>
      </c>
      <c r="AF3937">
        <v>-5.9953638918296202</v>
      </c>
      <c r="AG3937">
        <v>-1.111469965735</v>
      </c>
      <c r="AH3937">
        <v>19.1953902070555</v>
      </c>
      <c r="AI3937">
        <v>93.163509797850793</v>
      </c>
      <c r="AJ3937">
        <v>107.3453345269</v>
      </c>
      <c r="AK3937">
        <v>20.140574939194401</v>
      </c>
      <c r="AL3937">
        <v>89.120746280746303</v>
      </c>
      <c r="AM3937">
        <v>92.262340327834707</v>
      </c>
      <c r="AN3937">
        <v>0.99999999649856297</v>
      </c>
    </row>
    <row r="3938" spans="1:40" x14ac:dyDescent="0.25">
      <c r="A3938" t="str">
        <f>"20190312153959237"</f>
        <v>20190312153959237</v>
      </c>
      <c r="B3938" t="str">
        <f>"1552376399229086"</f>
        <v>1552376399229086</v>
      </c>
      <c r="C3938" t="s">
        <v>40</v>
      </c>
      <c r="D3938">
        <v>4.1706000000000003</v>
      </c>
      <c r="E3938">
        <v>0.39957179999999998</v>
      </c>
      <c r="F3938" t="s">
        <v>54</v>
      </c>
      <c r="G3938">
        <v>-479.43770000000001</v>
      </c>
      <c r="H3938" s="1">
        <v>1.9890279999999999E-6</v>
      </c>
      <c r="I3938">
        <v>219.5539</v>
      </c>
      <c r="J3938">
        <v>-490.69799999999998</v>
      </c>
      <c r="K3938">
        <v>1.1114630000000001</v>
      </c>
      <c r="L3938">
        <v>235.90469999999999</v>
      </c>
      <c r="M3938">
        <v>0.29725479999999999</v>
      </c>
      <c r="N3938">
        <v>0</v>
      </c>
      <c r="O3938">
        <v>-0.95470080000000002</v>
      </c>
      <c r="P3938">
        <v>0.335016799999999</v>
      </c>
      <c r="Q3938">
        <v>1.1305389999999901E-3</v>
      </c>
      <c r="R3938">
        <v>-0.94221149999999998</v>
      </c>
      <c r="S3938">
        <v>1.757782</v>
      </c>
      <c r="T3938">
        <v>-0.1728808</v>
      </c>
      <c r="U3938">
        <v>-2.5620270000000001</v>
      </c>
      <c r="V3938">
        <v>-3.9802839999999999E-2</v>
      </c>
      <c r="W3938">
        <v>1.4662039999999999E-2</v>
      </c>
      <c r="X3938">
        <v>0.99909999999999999</v>
      </c>
      <c r="Y3938">
        <v>-0.29412359999999999</v>
      </c>
      <c r="Z3938">
        <v>5.5533550000000001E-2</v>
      </c>
      <c r="AA3938">
        <v>0.95415260000000002</v>
      </c>
      <c r="AB3938">
        <v>13</v>
      </c>
      <c r="AC3938">
        <v>11.260300000000001</v>
      </c>
      <c r="AD3938">
        <v>-1.11146101097199</v>
      </c>
      <c r="AE3938">
        <v>-16.3507999999999</v>
      </c>
      <c r="AF3938">
        <v>-5.87200698898799</v>
      </c>
      <c r="AG3938">
        <v>-1.11146101097199</v>
      </c>
      <c r="AH3938">
        <v>18.899826105368099</v>
      </c>
      <c r="AI3938">
        <v>93.214349177152897</v>
      </c>
      <c r="AJ3938">
        <v>107.25955244508199</v>
      </c>
      <c r="AK3938">
        <v>19.822190556817599</v>
      </c>
      <c r="AL3938">
        <v>89.159896908491106</v>
      </c>
      <c r="AM3938">
        <v>92.281382641301903</v>
      </c>
      <c r="AN3938">
        <v>1.0000000257445101</v>
      </c>
    </row>
    <row r="3939" spans="1:40" x14ac:dyDescent="0.25">
      <c r="A3939" t="str">
        <f>"20190312153959261"</f>
        <v>20190312153959261</v>
      </c>
      <c r="B3939" t="str">
        <f>"1552376399249581"</f>
        <v>1552376399249581</v>
      </c>
      <c r="C3939" t="s">
        <v>40</v>
      </c>
      <c r="D3939">
        <v>4.2066980000000003</v>
      </c>
      <c r="E3939">
        <v>0.39938040000000002</v>
      </c>
      <c r="F3939" t="s">
        <v>54</v>
      </c>
      <c r="G3939">
        <v>-479.553</v>
      </c>
      <c r="H3939" s="1">
        <v>1.959728E-6</v>
      </c>
      <c r="I3939">
        <v>219.76050000000001</v>
      </c>
      <c r="J3939">
        <v>-490.65539999999999</v>
      </c>
      <c r="K3939">
        <v>1.111443</v>
      </c>
      <c r="L3939">
        <v>235.77969999999999</v>
      </c>
      <c r="M3939">
        <v>0.30004730000000002</v>
      </c>
      <c r="N3939">
        <v>0</v>
      </c>
      <c r="O3939">
        <v>-0.95382719999999999</v>
      </c>
      <c r="P3939">
        <v>0.33908929999999998</v>
      </c>
      <c r="Q3939">
        <v>7.3450380000000001E-4</v>
      </c>
      <c r="R3939">
        <v>-0.94075430000000004</v>
      </c>
      <c r="S3939">
        <v>1.7649840000000001</v>
      </c>
      <c r="T3939">
        <v>-0.17601700000000001</v>
      </c>
      <c r="U3939">
        <v>-2.556686</v>
      </c>
      <c r="V3939">
        <v>-4.1199390000000002E-2</v>
      </c>
      <c r="W3939">
        <v>1.4258679999999999E-2</v>
      </c>
      <c r="X3939">
        <v>0.99904919999999997</v>
      </c>
      <c r="Y3939">
        <v>-0.29404629999999998</v>
      </c>
      <c r="Z3939">
        <v>5.6517480000000002E-2</v>
      </c>
      <c r="AA3939">
        <v>0.95411869999999999</v>
      </c>
      <c r="AB3939">
        <v>13</v>
      </c>
      <c r="AC3939">
        <v>11.1023999999999</v>
      </c>
      <c r="AD3939">
        <v>-1.1114410402720001</v>
      </c>
      <c r="AE3939">
        <v>-16.019199999999898</v>
      </c>
      <c r="AF3939">
        <v>-5.7650422891127597</v>
      </c>
      <c r="AG3939">
        <v>-1.1114410402720001</v>
      </c>
      <c r="AH3939">
        <v>18.552189584654201</v>
      </c>
      <c r="AI3939">
        <v>93.274340010176005</v>
      </c>
      <c r="AJ3939">
        <v>107.26248959425899</v>
      </c>
      <c r="AK3939">
        <v>19.459053218649</v>
      </c>
      <c r="AL3939">
        <v>89.183010130798394</v>
      </c>
      <c r="AM3939">
        <v>92.361459669946896</v>
      </c>
      <c r="AN3939">
        <v>1.0000000018561701</v>
      </c>
    </row>
    <row r="3940" spans="1:40" x14ac:dyDescent="0.25">
      <c r="A3940" t="str">
        <f>"20190312153959283"</f>
        <v>20190312153959283</v>
      </c>
      <c r="B3940" t="str">
        <f>"1552376399279838"</f>
        <v>1552376399279838</v>
      </c>
      <c r="C3940" t="s">
        <v>40</v>
      </c>
      <c r="D3940">
        <v>4.1856580000000001</v>
      </c>
      <c r="E3940">
        <v>0.38715620000000001</v>
      </c>
      <c r="F3940" t="s">
        <v>54</v>
      </c>
      <c r="G3940">
        <v>-479.53219999999999</v>
      </c>
      <c r="H3940" s="1">
        <v>1.9778750000000001E-6</v>
      </c>
      <c r="I3940">
        <v>219.8279</v>
      </c>
      <c r="J3940">
        <v>-490.61419999999998</v>
      </c>
      <c r="K3940">
        <v>1.1114310000000001</v>
      </c>
      <c r="L3940">
        <v>235.65979999999999</v>
      </c>
      <c r="M3940">
        <v>0.30271320000000002</v>
      </c>
      <c r="N3940">
        <v>0</v>
      </c>
      <c r="O3940">
        <v>-0.95298430000000001</v>
      </c>
      <c r="P3940">
        <v>0.34272970000000003</v>
      </c>
      <c r="Q3940">
        <v>3.08475E-4</v>
      </c>
      <c r="R3940">
        <v>-0.93943399999999999</v>
      </c>
      <c r="S3940">
        <v>1.7771300000000001</v>
      </c>
      <c r="T3940">
        <v>-0.177572799999999</v>
      </c>
      <c r="U3940">
        <v>-2.548584</v>
      </c>
      <c r="V3940">
        <v>-4.2272919999999999E-2</v>
      </c>
      <c r="W3940">
        <v>1.3826710000000001E-2</v>
      </c>
      <c r="X3940">
        <v>0.99901039999999997</v>
      </c>
      <c r="Y3940">
        <v>-0.29584009999999999</v>
      </c>
      <c r="Z3940">
        <v>5.7002110000000002E-2</v>
      </c>
      <c r="AA3940">
        <v>0.95353520000000003</v>
      </c>
      <c r="AB3940">
        <v>13</v>
      </c>
      <c r="AC3940">
        <v>11.081999999999899</v>
      </c>
      <c r="AD3940">
        <v>-1.1114290221250001</v>
      </c>
      <c r="AE3940">
        <v>-15.8318999999999</v>
      </c>
      <c r="AF3940">
        <v>-5.7499635401695501</v>
      </c>
      <c r="AG3940">
        <v>-1.1114290221250001</v>
      </c>
      <c r="AH3940">
        <v>18.3831269289966</v>
      </c>
      <c r="AI3940">
        <v>93.302442461742004</v>
      </c>
      <c r="AJ3940">
        <v>107.368891946137</v>
      </c>
      <c r="AK3940">
        <v>19.293436989611301</v>
      </c>
      <c r="AL3940">
        <v>89.207762610992802</v>
      </c>
      <c r="AM3940">
        <v>92.423013669206497</v>
      </c>
      <c r="AN3940">
        <v>0.99999997849145394</v>
      </c>
    </row>
    <row r="3941" spans="1:40" x14ac:dyDescent="0.25">
      <c r="A3941" t="str">
        <f>"20190312153959306"</f>
        <v>20190312153959306</v>
      </c>
      <c r="B3941" t="str">
        <f>"1552376399299359"</f>
        <v>1552376399299359</v>
      </c>
      <c r="C3941" t="s">
        <v>40</v>
      </c>
      <c r="D3941">
        <v>4.1594360000000004</v>
      </c>
      <c r="E3941">
        <v>0.38710739999999999</v>
      </c>
      <c r="F3941" t="s">
        <v>54</v>
      </c>
      <c r="G3941">
        <v>-480.71050000000002</v>
      </c>
      <c r="H3941" s="1">
        <v>2.519878E-6</v>
      </c>
      <c r="I3941">
        <v>222.44409999999999</v>
      </c>
      <c r="J3941">
        <v>-490.57100000000003</v>
      </c>
      <c r="K3941">
        <v>1.111405</v>
      </c>
      <c r="L3941">
        <v>235.53530000000001</v>
      </c>
      <c r="M3941">
        <v>0.30546719999999999</v>
      </c>
      <c r="N3941">
        <v>0</v>
      </c>
      <c r="O3941">
        <v>-0.95210539999999999</v>
      </c>
      <c r="P3941">
        <v>0.34647850000000002</v>
      </c>
      <c r="Q3941">
        <v>-3.0764939999999998E-4</v>
      </c>
      <c r="R3941">
        <v>-0.93805799999999995</v>
      </c>
      <c r="S3941">
        <v>1.879364</v>
      </c>
      <c r="T3941">
        <v>-0.2109085</v>
      </c>
      <c r="U3941">
        <v>-2.5078429999999998</v>
      </c>
      <c r="V3941">
        <v>-4.33727E-2</v>
      </c>
      <c r="W3941">
        <v>1.3204489999999999E-2</v>
      </c>
      <c r="X3941">
        <v>0.99897170000000002</v>
      </c>
      <c r="Y3941">
        <v>-0.32514140000000002</v>
      </c>
      <c r="Z3941">
        <v>6.7376950000000005E-2</v>
      </c>
      <c r="AA3941">
        <v>0.94326209999999999</v>
      </c>
      <c r="AB3941">
        <v>13</v>
      </c>
      <c r="AC3941">
        <v>9.8604999999999396</v>
      </c>
      <c r="AD3941">
        <v>-1.1114024801219999</v>
      </c>
      <c r="AE3941">
        <v>-13.091200000000001</v>
      </c>
      <c r="AF3941">
        <v>-5.3651300374617303</v>
      </c>
      <c r="AG3941">
        <v>-1.1114024801219999</v>
      </c>
      <c r="AH3941">
        <v>15.406844686379801</v>
      </c>
      <c r="AI3941">
        <v>93.897227740745805</v>
      </c>
      <c r="AJ3941">
        <v>109.199665242154</v>
      </c>
      <c r="AK3941">
        <v>16.352085462775801</v>
      </c>
      <c r="AL3941">
        <v>89.243416467827302</v>
      </c>
      <c r="AM3941">
        <v>92.486069336332704</v>
      </c>
      <c r="AN3941">
        <v>1.00000000353117</v>
      </c>
    </row>
    <row r="3942" spans="1:40" x14ac:dyDescent="0.25">
      <c r="A3942" t="str">
        <f>"20190312153959327"</f>
        <v>20190312153959327</v>
      </c>
      <c r="B3942" t="str">
        <f>"1552376399319854"</f>
        <v>1552376399319854</v>
      </c>
      <c r="C3942" t="s">
        <v>40</v>
      </c>
      <c r="D3942">
        <v>4.1695599999999997</v>
      </c>
      <c r="E3942">
        <v>0.3871677</v>
      </c>
      <c r="F3942" t="s">
        <v>54</v>
      </c>
      <c r="G3942">
        <v>-480.72820000000002</v>
      </c>
      <c r="H3942" s="1">
        <v>2.5385790000000002E-6</v>
      </c>
      <c r="I3942">
        <v>222.5145</v>
      </c>
      <c r="J3942">
        <v>-490.53089999999997</v>
      </c>
      <c r="K3942">
        <v>1.1113869999999999</v>
      </c>
      <c r="L3942">
        <v>235.42060000000001</v>
      </c>
      <c r="M3942">
        <v>0.30799310000000002</v>
      </c>
      <c r="N3942">
        <v>0</v>
      </c>
      <c r="O3942">
        <v>-0.9512912</v>
      </c>
      <c r="P3942">
        <v>0.3492247</v>
      </c>
      <c r="Q3942">
        <v>-6.4911370000000001E-4</v>
      </c>
      <c r="R3942">
        <v>-0.93703899999999996</v>
      </c>
      <c r="S3942">
        <v>1.889832</v>
      </c>
      <c r="T3942">
        <v>-0.21338940000000001</v>
      </c>
      <c r="U3942">
        <v>-2.5</v>
      </c>
      <c r="V3942">
        <v>-4.3645860000000002E-2</v>
      </c>
      <c r="W3942">
        <v>1.285977E-2</v>
      </c>
      <c r="X3942">
        <v>0.99896430000000003</v>
      </c>
      <c r="Y3942">
        <v>-0.32653529999999997</v>
      </c>
      <c r="Z3942">
        <v>6.8154950000000006E-2</v>
      </c>
      <c r="AA3942">
        <v>0.94272460000000002</v>
      </c>
      <c r="AB3942">
        <v>13</v>
      </c>
      <c r="AC3942">
        <v>9.8026999999999607</v>
      </c>
      <c r="AD3942">
        <v>-1.111384461421</v>
      </c>
      <c r="AE3942">
        <v>-12.9061</v>
      </c>
      <c r="AF3942">
        <v>-5.3256839387891404</v>
      </c>
      <c r="AG3942">
        <v>-1.111384461421</v>
      </c>
      <c r="AH3942">
        <v>15.226437569985499</v>
      </c>
      <c r="AI3942">
        <v>93.941317600536394</v>
      </c>
      <c r="AJ3942">
        <v>109.278080414748</v>
      </c>
      <c r="AK3942">
        <v>16.1691832171459</v>
      </c>
      <c r="AL3942">
        <v>89.263169146546801</v>
      </c>
      <c r="AM3942">
        <v>92.501725206649397</v>
      </c>
      <c r="AN3942">
        <v>1.00000000372704</v>
      </c>
    </row>
    <row r="3943" spans="1:40" x14ac:dyDescent="0.25">
      <c r="A3943" t="str">
        <f>"20190312153959349"</f>
        <v>20190312153959349</v>
      </c>
      <c r="B3943" t="str">
        <f>"1552376399339374"</f>
        <v>1552376399339374</v>
      </c>
      <c r="C3943" t="s">
        <v>40</v>
      </c>
      <c r="D3943">
        <v>4.1443669999999999</v>
      </c>
      <c r="E3943">
        <v>0.38728899999999999</v>
      </c>
      <c r="F3943" t="s">
        <v>54</v>
      </c>
      <c r="G3943">
        <v>-480.70819999999998</v>
      </c>
      <c r="H3943" s="1">
        <v>2.5322009999999999E-6</v>
      </c>
      <c r="I3943">
        <v>222.5017</v>
      </c>
      <c r="J3943">
        <v>-490.48880000000003</v>
      </c>
      <c r="K3943">
        <v>1.1113740000000001</v>
      </c>
      <c r="L3943">
        <v>235.3013</v>
      </c>
      <c r="M3943">
        <v>0.310602299999999</v>
      </c>
      <c r="N3943">
        <v>0</v>
      </c>
      <c r="O3943">
        <v>-0.95044260000000003</v>
      </c>
      <c r="P3943">
        <v>0.35122979999999998</v>
      </c>
      <c r="Q3943">
        <v>-7.6372600000000005E-4</v>
      </c>
      <c r="R3943">
        <v>-0.93628900000000004</v>
      </c>
      <c r="S3943">
        <v>1.8967290000000001</v>
      </c>
      <c r="T3943">
        <v>-0.2146035</v>
      </c>
      <c r="U3943">
        <v>-2.494583</v>
      </c>
      <c r="V3943">
        <v>-4.3042379999999998E-2</v>
      </c>
      <c r="W3943">
        <v>1.274343E-2</v>
      </c>
      <c r="X3943">
        <v>0.99899199999999999</v>
      </c>
      <c r="Y3943">
        <v>-0.32656429999999997</v>
      </c>
      <c r="Z3943">
        <v>6.8516779999999999E-2</v>
      </c>
      <c r="AA3943">
        <v>0.94268830000000003</v>
      </c>
      <c r="AB3943">
        <v>13</v>
      </c>
      <c r="AC3943">
        <v>9.7806000000000495</v>
      </c>
      <c r="AD3943">
        <v>-1.1113714677990001</v>
      </c>
      <c r="AE3943">
        <v>-12.7995999999999</v>
      </c>
      <c r="AF3943">
        <v>-5.2955995560782299</v>
      </c>
      <c r="AG3943">
        <v>-1.1113714677990001</v>
      </c>
      <c r="AH3943">
        <v>15.1325396096665</v>
      </c>
      <c r="AI3943">
        <v>93.965425056150906</v>
      </c>
      <c r="AJ3943">
        <v>109.287383792558</v>
      </c>
      <c r="AK3943">
        <v>16.070851758257898</v>
      </c>
      <c r="AL3943">
        <v>89.269835502069</v>
      </c>
      <c r="AM3943">
        <v>92.467109216837301</v>
      </c>
      <c r="AN3943">
        <v>1.00000002877411</v>
      </c>
    </row>
    <row r="3944" spans="1:40" x14ac:dyDescent="0.25">
      <c r="A3944" t="str">
        <f>"20190312153959371"</f>
        <v>20190312153959371</v>
      </c>
      <c r="B3944" t="str">
        <f>"1552376399359870"</f>
        <v>1552376399359870</v>
      </c>
      <c r="C3944" t="s">
        <v>40</v>
      </c>
      <c r="D3944">
        <v>4.1685619999999997</v>
      </c>
      <c r="E3944">
        <v>0.38760430000000001</v>
      </c>
      <c r="F3944" t="s">
        <v>54</v>
      </c>
      <c r="G3944">
        <v>-480.53730000000002</v>
      </c>
      <c r="H3944" s="1">
        <v>2.4491949999999998E-6</v>
      </c>
      <c r="I3944">
        <v>222.26339999999999</v>
      </c>
      <c r="J3944">
        <v>-490.44709999999998</v>
      </c>
      <c r="K3944">
        <v>1.11137</v>
      </c>
      <c r="L3944">
        <v>235.18389999999999</v>
      </c>
      <c r="M3944">
        <v>0.3131525</v>
      </c>
      <c r="N3944">
        <v>0</v>
      </c>
      <c r="O3944">
        <v>-0.94960529999999999</v>
      </c>
      <c r="P3944">
        <v>0.35311160000000003</v>
      </c>
      <c r="Q3944" s="1">
        <v>-9.1830730000000004E-5</v>
      </c>
      <c r="R3944">
        <v>-0.93558129999999995</v>
      </c>
      <c r="S3944">
        <v>1.9011229999999999</v>
      </c>
      <c r="T3944">
        <v>-0.212314</v>
      </c>
      <c r="U3944">
        <v>-2.4907379999999999</v>
      </c>
      <c r="V3944">
        <v>-4.2370329999999998E-2</v>
      </c>
      <c r="W3944">
        <v>1.341381E-2</v>
      </c>
      <c r="X3944">
        <v>0.99901189999999995</v>
      </c>
      <c r="Y3944">
        <v>-0.3258124</v>
      </c>
      <c r="Z3944">
        <v>6.7761260000000004E-2</v>
      </c>
      <c r="AA3944">
        <v>0.94300309999999998</v>
      </c>
      <c r="AB3944">
        <v>13</v>
      </c>
      <c r="AC3944">
        <v>9.9097999999999598</v>
      </c>
      <c r="AD3944">
        <v>-1.111367550805</v>
      </c>
      <c r="AE3944">
        <v>-12.920500000000001</v>
      </c>
      <c r="AF3944">
        <v>-5.3399333448565702</v>
      </c>
      <c r="AG3944">
        <v>-1.111367550805</v>
      </c>
      <c r="AH3944">
        <v>15.302792134551099</v>
      </c>
      <c r="AI3944">
        <v>93.922645067696607</v>
      </c>
      <c r="AJ3944">
        <v>109.23651372477801</v>
      </c>
      <c r="AK3944">
        <v>16.245783239775498</v>
      </c>
      <c r="AL3944">
        <v>89.2314222315931</v>
      </c>
      <c r="AM3944">
        <v>92.428586729229394</v>
      </c>
      <c r="AN3944">
        <v>0.99999997575231703</v>
      </c>
    </row>
    <row r="3945" spans="1:40" x14ac:dyDescent="0.25">
      <c r="A3945" t="str">
        <f>"20190312153959393"</f>
        <v>20190312153959393</v>
      </c>
      <c r="B3945" t="str">
        <f>"1552376399389149"</f>
        <v>1552376399389149</v>
      </c>
      <c r="C3945" t="s">
        <v>40</v>
      </c>
      <c r="D3945">
        <v>4.2236799999999999</v>
      </c>
      <c r="E3945">
        <v>0.38800639999999997</v>
      </c>
      <c r="F3945" t="s">
        <v>54</v>
      </c>
      <c r="G3945">
        <v>-480.20269999999999</v>
      </c>
      <c r="H3945" s="1">
        <v>2.2864280000000002E-6</v>
      </c>
      <c r="I3945">
        <v>221.79560000000001</v>
      </c>
      <c r="J3945">
        <v>-490.4067</v>
      </c>
      <c r="K3945">
        <v>1.1113649999999999</v>
      </c>
      <c r="L3945">
        <v>235.0711</v>
      </c>
      <c r="M3945">
        <v>0.3155887</v>
      </c>
      <c r="N3945">
        <v>0</v>
      </c>
      <c r="O3945">
        <v>-0.94879849999999999</v>
      </c>
      <c r="P3945">
        <v>0.35481439999999997</v>
      </c>
      <c r="Q3945">
        <v>7.1368129999999997E-4</v>
      </c>
      <c r="R3945">
        <v>-0.93493630000000005</v>
      </c>
      <c r="S3945">
        <v>1.903748</v>
      </c>
      <c r="T3945">
        <v>-0.2065292</v>
      </c>
      <c r="U3945">
        <v>-2.4879910000000001</v>
      </c>
      <c r="V3945">
        <v>-4.1626730000000001E-2</v>
      </c>
      <c r="W3945">
        <v>1.4218150000000001E-2</v>
      </c>
      <c r="X3945">
        <v>0.99903209999999998</v>
      </c>
      <c r="Y3945">
        <v>-0.3245941</v>
      </c>
      <c r="Z3945">
        <v>6.5894910000000001E-2</v>
      </c>
      <c r="AA3945">
        <v>0.94355520000000004</v>
      </c>
      <c r="AB3945">
        <v>13</v>
      </c>
      <c r="AC3945">
        <v>10.204000000000001</v>
      </c>
      <c r="AD3945">
        <v>-1.1113627135719999</v>
      </c>
      <c r="AE3945">
        <v>-13.2754999999999</v>
      </c>
      <c r="AF3945">
        <v>-5.4683598371109499</v>
      </c>
      <c r="AG3945">
        <v>-1.1113627135719999</v>
      </c>
      <c r="AH3945">
        <v>15.7481278715639</v>
      </c>
      <c r="AI3945">
        <v>93.814055009723603</v>
      </c>
      <c r="AJ3945">
        <v>109.148981241006</v>
      </c>
      <c r="AK3945">
        <v>16.707531770084302</v>
      </c>
      <c r="AL3945">
        <v>89.185332594130799</v>
      </c>
      <c r="AM3945">
        <v>92.385966501756897</v>
      </c>
      <c r="AN3945">
        <v>1.00000003863516</v>
      </c>
    </row>
    <row r="3946" spans="1:40" x14ac:dyDescent="0.25">
      <c r="A3946" t="str">
        <f>"20190312153959415"</f>
        <v>20190312153959415</v>
      </c>
      <c r="B3946" t="str">
        <f>"1552376399409646"</f>
        <v>1552376399409646</v>
      </c>
      <c r="C3946" t="s">
        <v>40</v>
      </c>
      <c r="D3946">
        <v>4.2256879999999999</v>
      </c>
      <c r="E3946">
        <v>0.38821600000000001</v>
      </c>
      <c r="F3946" t="s">
        <v>54</v>
      </c>
      <c r="G3946">
        <v>-479.97</v>
      </c>
      <c r="H3946" s="1">
        <v>2.1695710000000002E-6</v>
      </c>
      <c r="I3946">
        <v>221.4538</v>
      </c>
      <c r="J3946">
        <v>-490.36290000000002</v>
      </c>
      <c r="K3946">
        <v>1.1113580000000001</v>
      </c>
      <c r="L3946">
        <v>234.94980000000001</v>
      </c>
      <c r="M3946">
        <v>0.31819269999999999</v>
      </c>
      <c r="N3946">
        <v>0</v>
      </c>
      <c r="O3946">
        <v>-0.94792849999999995</v>
      </c>
      <c r="P3946">
        <v>0.35673510000000003</v>
      </c>
      <c r="Q3946">
        <v>1.259458E-3</v>
      </c>
      <c r="R3946">
        <v>-0.93420499999999995</v>
      </c>
      <c r="S3946">
        <v>1.905243</v>
      </c>
      <c r="T3946">
        <v>-0.20288229999999999</v>
      </c>
      <c r="U3946">
        <v>-2.4858699999999998</v>
      </c>
      <c r="V3946">
        <v>-4.0937080000000001E-2</v>
      </c>
      <c r="W3946">
        <v>1.476264E-2</v>
      </c>
      <c r="X3946">
        <v>0.99905259999999996</v>
      </c>
      <c r="Y3946">
        <v>-0.32279190000000002</v>
      </c>
      <c r="Z3946">
        <v>6.4703579999999997E-2</v>
      </c>
      <c r="AA3946">
        <v>0.94425570000000003</v>
      </c>
      <c r="AB3946">
        <v>13</v>
      </c>
      <c r="AC3946">
        <v>10.3928999999999</v>
      </c>
      <c r="AD3946">
        <v>-1.1113558304289901</v>
      </c>
      <c r="AE3946">
        <v>-13.496</v>
      </c>
      <c r="AF3946">
        <v>-5.5343531580855396</v>
      </c>
      <c r="AG3946">
        <v>-1.1113558304289901</v>
      </c>
      <c r="AH3946">
        <v>16.033427006442398</v>
      </c>
      <c r="AI3946">
        <v>93.748742579641103</v>
      </c>
      <c r="AJ3946">
        <v>109.043442004997</v>
      </c>
      <c r="AK3946">
        <v>16.998086899153002</v>
      </c>
      <c r="AL3946">
        <v>89.1541322557661</v>
      </c>
      <c r="AM3946">
        <v>92.346433512050595</v>
      </c>
      <c r="AN3946">
        <v>0.99999993881272597</v>
      </c>
    </row>
    <row r="3947" spans="1:40" x14ac:dyDescent="0.25">
      <c r="A3947" t="str">
        <f>"20190312153959438"</f>
        <v>20190312153959438</v>
      </c>
      <c r="B3947" t="str">
        <f>"1552376399429166"</f>
        <v>1552376399429166</v>
      </c>
      <c r="C3947" t="s">
        <v>40</v>
      </c>
      <c r="D3947">
        <v>4.2346409999999999</v>
      </c>
      <c r="E3947">
        <v>0.3884281</v>
      </c>
      <c r="F3947" t="s">
        <v>54</v>
      </c>
      <c r="G3947">
        <v>-479.73669999999998</v>
      </c>
      <c r="H3947" s="1">
        <v>2.175625E-6</v>
      </c>
      <c r="I3947">
        <v>221.1362</v>
      </c>
      <c r="J3947">
        <v>-490.3193</v>
      </c>
      <c r="K3947">
        <v>1.1113459999999999</v>
      </c>
      <c r="L3947">
        <v>234.83</v>
      </c>
      <c r="M3947">
        <v>0.32075579999999998</v>
      </c>
      <c r="N3947">
        <v>0</v>
      </c>
      <c r="O3947">
        <v>-0.94706440000000003</v>
      </c>
      <c r="P3947">
        <v>0.35838789999999998</v>
      </c>
      <c r="Q3947">
        <v>1.8116899999999999E-3</v>
      </c>
      <c r="R3947">
        <v>-0.93357109999999999</v>
      </c>
      <c r="S3947">
        <v>1.9095759999999999</v>
      </c>
      <c r="T3947">
        <v>-0.1997158</v>
      </c>
      <c r="U3947">
        <v>-2.482361</v>
      </c>
      <c r="V3947">
        <v>-4.000397E-2</v>
      </c>
      <c r="W3947">
        <v>1.531333E-2</v>
      </c>
      <c r="X3947">
        <v>0.99908209999999997</v>
      </c>
      <c r="Y3947">
        <v>-0.32195469999999998</v>
      </c>
      <c r="Z3947">
        <v>6.3663330000000004E-2</v>
      </c>
      <c r="AA3947">
        <v>0.94461220000000001</v>
      </c>
      <c r="AB3947">
        <v>13</v>
      </c>
      <c r="AC3947">
        <v>10.582599999999999</v>
      </c>
      <c r="AD3947">
        <v>-1.111343824375</v>
      </c>
      <c r="AE3947">
        <v>-13.6938</v>
      </c>
      <c r="AF3947">
        <v>-5.60743488448633</v>
      </c>
      <c r="AG3947">
        <v>-1.111343824375</v>
      </c>
      <c r="AH3947">
        <v>16.2976464765358</v>
      </c>
      <c r="AI3947">
        <v>93.689356745753301</v>
      </c>
      <c r="AJ3947">
        <v>108.986500459917</v>
      </c>
      <c r="AK3947">
        <v>17.271123060006001</v>
      </c>
      <c r="AL3947">
        <v>89.122576463877294</v>
      </c>
      <c r="AM3947">
        <v>92.2929395893687</v>
      </c>
      <c r="AN3947">
        <v>0.99999992911592706</v>
      </c>
    </row>
    <row r="3948" spans="1:40" x14ac:dyDescent="0.25">
      <c r="A3948" t="str">
        <f>"20190312153959461"</f>
        <v>20190312153959461</v>
      </c>
      <c r="B3948" t="str">
        <f>"1552376399449662"</f>
        <v>1552376399449662</v>
      </c>
      <c r="C3948" t="s">
        <v>40</v>
      </c>
      <c r="D3948">
        <v>4.1712040000000004</v>
      </c>
      <c r="E3948">
        <v>0.38870909999999997</v>
      </c>
      <c r="F3948" t="s">
        <v>54</v>
      </c>
      <c r="G3948">
        <v>-479.59859999999998</v>
      </c>
      <c r="H3948" s="1">
        <v>2.1795660000000002E-6</v>
      </c>
      <c r="I3948">
        <v>220.9325</v>
      </c>
      <c r="J3948">
        <v>-490.27609999999999</v>
      </c>
      <c r="K3948">
        <v>1.1113409999999999</v>
      </c>
      <c r="L3948">
        <v>234.7123</v>
      </c>
      <c r="M3948">
        <v>0.32326880000000002</v>
      </c>
      <c r="N3948">
        <v>0</v>
      </c>
      <c r="O3948">
        <v>-0.94620979999999999</v>
      </c>
      <c r="P3948">
        <v>0.36048170000000002</v>
      </c>
      <c r="Q3948">
        <v>1.563584E-3</v>
      </c>
      <c r="R3948">
        <v>-0.93276510000000001</v>
      </c>
      <c r="S3948">
        <v>1.91275</v>
      </c>
      <c r="T3948">
        <v>-0.1982825</v>
      </c>
      <c r="U3948">
        <v>-2.4795530000000001</v>
      </c>
      <c r="V3948">
        <v>-3.959298E-2</v>
      </c>
      <c r="W3948">
        <v>1.5062539999999999E-2</v>
      </c>
      <c r="X3948">
        <v>0.99910239999999995</v>
      </c>
      <c r="Y3948">
        <v>-0.32073620000000003</v>
      </c>
      <c r="Z3948">
        <v>6.317275E-2</v>
      </c>
      <c r="AA3948">
        <v>0.94505950000000005</v>
      </c>
      <c r="AB3948">
        <v>13</v>
      </c>
      <c r="AC3948">
        <v>10.6775</v>
      </c>
      <c r="AD3948">
        <v>-1.111338820434</v>
      </c>
      <c r="AE3948">
        <v>-13.7797999999999</v>
      </c>
      <c r="AF3948">
        <v>-5.6262302490662899</v>
      </c>
      <c r="AG3948">
        <v>-1.111338820434</v>
      </c>
      <c r="AH3948">
        <v>16.425049682060699</v>
      </c>
      <c r="AI3948">
        <v>93.662511051163705</v>
      </c>
      <c r="AJ3948">
        <v>108.90836364930099</v>
      </c>
      <c r="AK3948">
        <v>17.397465270765</v>
      </c>
      <c r="AL3948">
        <v>89.136947431023799</v>
      </c>
      <c r="AM3948">
        <v>92.269361242313394</v>
      </c>
      <c r="AN3948">
        <v>1.0000000449311399</v>
      </c>
    </row>
    <row r="3949" spans="1:40" x14ac:dyDescent="0.25">
      <c r="A3949" t="str">
        <f>"20190312153959483"</f>
        <v>20190312153959483</v>
      </c>
      <c r="B3949" t="str">
        <f>"1552376399479918"</f>
        <v>1552376399479918</v>
      </c>
      <c r="C3949" t="s">
        <v>40</v>
      </c>
      <c r="D3949">
        <v>4.2130210000000003</v>
      </c>
      <c r="E3949">
        <v>0.38896649999999999</v>
      </c>
      <c r="F3949" t="s">
        <v>54</v>
      </c>
      <c r="G3949">
        <v>-479.64609999999999</v>
      </c>
      <c r="H3949" s="1">
        <v>2.1720429999999998E-6</v>
      </c>
      <c r="I3949">
        <v>220.97470000000001</v>
      </c>
      <c r="J3949">
        <v>-490.23129999999998</v>
      </c>
      <c r="K3949">
        <v>1.1113420000000001</v>
      </c>
      <c r="L3949">
        <v>234.59139999999999</v>
      </c>
      <c r="M3949">
        <v>0.32584970000000002</v>
      </c>
      <c r="N3949">
        <v>0</v>
      </c>
      <c r="O3949">
        <v>-0.94532389999999999</v>
      </c>
      <c r="P3949">
        <v>0.3624405</v>
      </c>
      <c r="Q3949">
        <v>1.032364E-3</v>
      </c>
      <c r="R3949">
        <v>-0.93200640000000001</v>
      </c>
      <c r="S3949">
        <v>1.915985</v>
      </c>
      <c r="T3949">
        <v>-0.20031199999999999</v>
      </c>
      <c r="U3949">
        <v>-2.4761199999999999</v>
      </c>
      <c r="V3949">
        <v>-3.896347E-2</v>
      </c>
      <c r="W3949">
        <v>1.452902E-2</v>
      </c>
      <c r="X3949">
        <v>0.999135</v>
      </c>
      <c r="Y3949">
        <v>-0.31953239999999999</v>
      </c>
      <c r="Z3949">
        <v>6.3789079999999998E-2</v>
      </c>
      <c r="AA3949">
        <v>0.94542590000000004</v>
      </c>
      <c r="AB3949">
        <v>13</v>
      </c>
      <c r="AC3949">
        <v>10.585199999999899</v>
      </c>
      <c r="AD3949">
        <v>-1.1113398279569999</v>
      </c>
      <c r="AE3949">
        <v>-13.6166999999999</v>
      </c>
      <c r="AF3949">
        <v>-5.5469281520224198</v>
      </c>
      <c r="AG3949">
        <v>-1.1113398279569999</v>
      </c>
      <c r="AH3949">
        <v>16.2553902809872</v>
      </c>
      <c r="AI3949">
        <v>93.702107429365697</v>
      </c>
      <c r="AJ3949">
        <v>108.84150064005</v>
      </c>
      <c r="AK3949">
        <v>17.211658877752502</v>
      </c>
      <c r="AL3949">
        <v>89.167519180325201</v>
      </c>
      <c r="AM3949">
        <v>92.233243487385593</v>
      </c>
      <c r="AN3949">
        <v>0.99999999632080006</v>
      </c>
    </row>
    <row r="3950" spans="1:40" x14ac:dyDescent="0.25">
      <c r="A3950" t="str">
        <f>"20190312153959508"</f>
        <v>20190312153959508</v>
      </c>
      <c r="B3950" t="str">
        <f>"1552376399499438"</f>
        <v>1552376399499438</v>
      </c>
      <c r="C3950" t="s">
        <v>40</v>
      </c>
      <c r="D3950">
        <v>4.1820240000000002</v>
      </c>
      <c r="E3950">
        <v>0.38906049999999998</v>
      </c>
      <c r="F3950" t="s">
        <v>54</v>
      </c>
      <c r="G3950">
        <v>-479.68889999999999</v>
      </c>
      <c r="H3950" s="1">
        <v>2.1651729999999999E-6</v>
      </c>
      <c r="I3950">
        <v>221.01230000000001</v>
      </c>
      <c r="J3950">
        <v>-490.18520000000001</v>
      </c>
      <c r="K3950">
        <v>1.11134</v>
      </c>
      <c r="L3950">
        <v>234.46809999999999</v>
      </c>
      <c r="M3950">
        <v>0.32848309999999997</v>
      </c>
      <c r="N3950">
        <v>0</v>
      </c>
      <c r="O3950">
        <v>-0.94441220000000003</v>
      </c>
      <c r="P3950">
        <v>0.36484179999999999</v>
      </c>
      <c r="Q3950">
        <v>1.8876280000000001E-4</v>
      </c>
      <c r="R3950">
        <v>-0.93106960000000005</v>
      </c>
      <c r="S3950">
        <v>1.9196169999999999</v>
      </c>
      <c r="T3950">
        <v>-0.2023586</v>
      </c>
      <c r="U3950">
        <v>-2.4725489999999999</v>
      </c>
      <c r="V3950">
        <v>-3.8752870000000002E-2</v>
      </c>
      <c r="W3950">
        <v>1.368224E-2</v>
      </c>
      <c r="X3950">
        <v>0.99915520000000002</v>
      </c>
      <c r="Y3950">
        <v>-0.31839329999999999</v>
      </c>
      <c r="Z3950">
        <v>6.4406690000000003E-2</v>
      </c>
      <c r="AA3950">
        <v>0.94576819999999895</v>
      </c>
      <c r="AB3950">
        <v>13</v>
      </c>
      <c r="AC3950">
        <v>10.4963</v>
      </c>
      <c r="AD3950">
        <v>-1.111337834827</v>
      </c>
      <c r="AE3950">
        <v>-13.455799999999901</v>
      </c>
      <c r="AF3950">
        <v>-5.4701393816771597</v>
      </c>
      <c r="AG3950">
        <v>-1.111337834827</v>
      </c>
      <c r="AH3950">
        <v>16.0889379344075</v>
      </c>
      <c r="AI3950">
        <v>93.741708233168296</v>
      </c>
      <c r="AJ3950">
        <v>108.777715549248</v>
      </c>
      <c r="AK3950">
        <v>17.029721679913401</v>
      </c>
      <c r="AL3950">
        <v>89.216040972518698</v>
      </c>
      <c r="AM3950">
        <v>92.221139928482302</v>
      </c>
      <c r="AN3950">
        <v>1.00000005115584</v>
      </c>
    </row>
    <row r="3951" spans="1:40" x14ac:dyDescent="0.25">
      <c r="A3951" t="str">
        <f>"20190312153959529"</f>
        <v>20190312153959529</v>
      </c>
      <c r="B3951" t="str">
        <f>"1552376399519934"</f>
        <v>1552376399519934</v>
      </c>
      <c r="C3951" t="s">
        <v>40</v>
      </c>
      <c r="D3951">
        <v>4.2315620000000003</v>
      </c>
      <c r="E3951">
        <v>0.3891385</v>
      </c>
      <c r="F3951" t="s">
        <v>54</v>
      </c>
      <c r="G3951">
        <v>-479.75290000000001</v>
      </c>
      <c r="H3951" s="1">
        <v>2.1613380000000002E-6</v>
      </c>
      <c r="I3951">
        <v>221.0977</v>
      </c>
      <c r="J3951">
        <v>-490.1429</v>
      </c>
      <c r="K3951">
        <v>1.1113390000000001</v>
      </c>
      <c r="L3951">
        <v>234.35560000000001</v>
      </c>
      <c r="M3951">
        <v>0.33088919999999999</v>
      </c>
      <c r="N3951">
        <v>0</v>
      </c>
      <c r="O3951">
        <v>-0.94357190000000002</v>
      </c>
      <c r="P3951">
        <v>0.36749680000000001</v>
      </c>
      <c r="Q3951">
        <v>-3.3835179999999997E-4</v>
      </c>
      <c r="R3951">
        <v>-0.93002470000000004</v>
      </c>
      <c r="S3951">
        <v>1.9253849999999999</v>
      </c>
      <c r="T3951">
        <v>-0.2051084</v>
      </c>
      <c r="U3951">
        <v>-2.4676360000000002</v>
      </c>
      <c r="V3951">
        <v>-3.9055689999999997E-2</v>
      </c>
      <c r="W3951">
        <v>1.3151090000000001E-2</v>
      </c>
      <c r="X3951">
        <v>0.99915050000000005</v>
      </c>
      <c r="Y3951">
        <v>-0.31822889999999998</v>
      </c>
      <c r="Z3951">
        <v>6.5254430000000002E-2</v>
      </c>
      <c r="AA3951">
        <v>0.94576539999999998</v>
      </c>
      <c r="AB3951">
        <v>13</v>
      </c>
      <c r="AC3951">
        <v>10.389999999999899</v>
      </c>
      <c r="AD3951">
        <v>-1.1113368386619999</v>
      </c>
      <c r="AE3951">
        <v>-13.257899999999999</v>
      </c>
      <c r="AF3951">
        <v>-5.3938359065926402</v>
      </c>
      <c r="AG3951">
        <v>-1.1113368386619999</v>
      </c>
      <c r="AH3951">
        <v>15.880064338602701</v>
      </c>
      <c r="AI3951">
        <v>93.791161135226204</v>
      </c>
      <c r="AJ3951">
        <v>108.760612323499</v>
      </c>
      <c r="AK3951">
        <v>16.807884422329199</v>
      </c>
      <c r="AL3951">
        <v>89.246476332909793</v>
      </c>
      <c r="AM3951">
        <v>92.2384891380689</v>
      </c>
      <c r="AN3951">
        <v>1.0000000098699</v>
      </c>
    </row>
    <row r="3952" spans="1:40" x14ac:dyDescent="0.25">
      <c r="A3952" t="str">
        <f>"20190312153959550"</f>
        <v>20190312153959550</v>
      </c>
      <c r="B3952" t="str">
        <f>"1552376399539454"</f>
        <v>1552376399539454</v>
      </c>
      <c r="C3952" t="s">
        <v>40</v>
      </c>
      <c r="D3952">
        <v>4.2366739999999998</v>
      </c>
      <c r="E3952">
        <v>0.38919999999999999</v>
      </c>
      <c r="F3952" t="s">
        <v>54</v>
      </c>
      <c r="G3952">
        <v>-479.86009999999999</v>
      </c>
      <c r="H3952" s="1">
        <v>2.1558390000000002E-6</v>
      </c>
      <c r="I3952">
        <v>221.2448</v>
      </c>
      <c r="J3952">
        <v>-490.10160000000002</v>
      </c>
      <c r="K3952">
        <v>1.111337</v>
      </c>
      <c r="L3952">
        <v>234.2466</v>
      </c>
      <c r="M3952">
        <v>0.33322439999999998</v>
      </c>
      <c r="N3952">
        <v>0</v>
      </c>
      <c r="O3952">
        <v>-0.94274990000000003</v>
      </c>
      <c r="P3952">
        <v>0.3703398</v>
      </c>
      <c r="Q3952">
        <v>-7.6804539999999902E-4</v>
      </c>
      <c r="R3952">
        <v>-0.92889600000000005</v>
      </c>
      <c r="S3952">
        <v>1.931305</v>
      </c>
      <c r="T3952">
        <v>-0.2087291</v>
      </c>
      <c r="U3952">
        <v>-2.4624480000000002</v>
      </c>
      <c r="V3952">
        <v>-3.963763E-2</v>
      </c>
      <c r="W3952">
        <v>1.271625E-2</v>
      </c>
      <c r="X3952">
        <v>0.99913320000000005</v>
      </c>
      <c r="Y3952">
        <v>-0.31820890000000002</v>
      </c>
      <c r="Z3952">
        <v>6.6381570000000001E-2</v>
      </c>
      <c r="AA3952">
        <v>0.94569369999999997</v>
      </c>
      <c r="AB3952">
        <v>13</v>
      </c>
      <c r="AC3952">
        <v>10.2415</v>
      </c>
      <c r="AD3952">
        <v>-1.111334844161</v>
      </c>
      <c r="AE3952">
        <v>-13.001799999999999</v>
      </c>
      <c r="AF3952">
        <v>-5.2992539423194902</v>
      </c>
      <c r="AG3952">
        <v>-1.111334844161</v>
      </c>
      <c r="AH3952">
        <v>15.601266239426</v>
      </c>
      <c r="AI3952">
        <v>93.858691618678293</v>
      </c>
      <c r="AJ3952">
        <v>108.76099041886199</v>
      </c>
      <c r="AK3952">
        <v>16.5141353317238</v>
      </c>
      <c r="AL3952">
        <v>89.271392905107405</v>
      </c>
      <c r="AM3952">
        <v>92.271847815464994</v>
      </c>
      <c r="AN3952">
        <v>0.99999999803415895</v>
      </c>
    </row>
    <row r="3953" spans="1:40" x14ac:dyDescent="0.25">
      <c r="A3953" t="str">
        <f>"20190312153959572"</f>
        <v>20190312153959572</v>
      </c>
      <c r="B3953" t="str">
        <f>"1552376399569710"</f>
        <v>1552376399569710</v>
      </c>
      <c r="C3953" t="s">
        <v>40</v>
      </c>
      <c r="D3953">
        <v>4.240526</v>
      </c>
      <c r="E3953">
        <v>0.3893335</v>
      </c>
      <c r="F3953" t="s">
        <v>54</v>
      </c>
      <c r="G3953">
        <v>-479.88130000000001</v>
      </c>
      <c r="H3953" s="1">
        <v>2.1592649999999999E-6</v>
      </c>
      <c r="I3953">
        <v>221.29429999999999</v>
      </c>
      <c r="J3953">
        <v>-490.05739999999997</v>
      </c>
      <c r="K3953">
        <v>1.1113280000000001</v>
      </c>
      <c r="L3953">
        <v>234.1311</v>
      </c>
      <c r="M3953">
        <v>0.33570270000000002</v>
      </c>
      <c r="N3953">
        <v>0</v>
      </c>
      <c r="O3953">
        <v>-0.94187030000000005</v>
      </c>
      <c r="P3953">
        <v>0.37390200000000001</v>
      </c>
      <c r="Q3953">
        <v>-1.174015E-3</v>
      </c>
      <c r="R3953">
        <v>-0.92746759999999995</v>
      </c>
      <c r="S3953">
        <v>1.9384459999999999</v>
      </c>
      <c r="T3953">
        <v>-0.21078369999999999</v>
      </c>
      <c r="U3953">
        <v>-2.4566189999999999</v>
      </c>
      <c r="V3953">
        <v>-4.0843160000000003E-2</v>
      </c>
      <c r="W3953">
        <v>1.2304300000000001E-2</v>
      </c>
      <c r="X3953">
        <v>0.99908980000000003</v>
      </c>
      <c r="Y3953">
        <v>-0.31847379999999997</v>
      </c>
      <c r="Z3953">
        <v>6.7007319999999995E-2</v>
      </c>
      <c r="AA3953">
        <v>0.94556039999999997</v>
      </c>
      <c r="AB3953">
        <v>13</v>
      </c>
      <c r="AC3953">
        <v>10.1760999999999</v>
      </c>
      <c r="AD3953">
        <v>-1.111325840735</v>
      </c>
      <c r="AE3953">
        <v>-12.8368</v>
      </c>
      <c r="AF3953">
        <v>-5.2515327197588704</v>
      </c>
      <c r="AG3953">
        <v>-1.111325840735</v>
      </c>
      <c r="AH3953">
        <v>15.437121120676499</v>
      </c>
      <c r="AI3953">
        <v>93.898947784823307</v>
      </c>
      <c r="AJ3953">
        <v>108.787719243735</v>
      </c>
      <c r="AK3953">
        <v>16.343755673816801</v>
      </c>
      <c r="AL3953">
        <v>89.294997746074102</v>
      </c>
      <c r="AM3953">
        <v>92.340969127728499</v>
      </c>
      <c r="AN3953">
        <v>0.99999999399065698</v>
      </c>
    </row>
    <row r="3954" spans="1:40" x14ac:dyDescent="0.25">
      <c r="A3954" t="str">
        <f>"20190312153959594"</f>
        <v>20190312153959594</v>
      </c>
      <c r="B3954" t="str">
        <f>"1552376399589230"</f>
        <v>1552376399589230</v>
      </c>
      <c r="C3954" t="s">
        <v>40</v>
      </c>
      <c r="D3954">
        <v>4.2711220000000001</v>
      </c>
      <c r="E3954">
        <v>0.38857190000000003</v>
      </c>
      <c r="F3954" t="s">
        <v>54</v>
      </c>
      <c r="G3954">
        <v>-479.90769999999998</v>
      </c>
      <c r="H3954" s="1">
        <v>2.1649159999999998E-6</v>
      </c>
      <c r="I3954">
        <v>221.3623</v>
      </c>
      <c r="J3954">
        <v>-490.0145</v>
      </c>
      <c r="K3954">
        <v>1.111321</v>
      </c>
      <c r="L3954">
        <v>234.0197</v>
      </c>
      <c r="M3954">
        <v>0.33809539999999999</v>
      </c>
      <c r="N3954">
        <v>0</v>
      </c>
      <c r="O3954">
        <v>-0.94101400000000002</v>
      </c>
      <c r="P3954">
        <v>0.37753940000000002</v>
      </c>
      <c r="Q3954">
        <v>-1.3575810000000001E-3</v>
      </c>
      <c r="R3954">
        <v>-0.92599279999999995</v>
      </c>
      <c r="S3954">
        <v>1.9469909999999999</v>
      </c>
      <c r="T3954">
        <v>-0.2131835</v>
      </c>
      <c r="U3954">
        <v>-2.449417</v>
      </c>
      <c r="V3954">
        <v>-4.2225270000000002E-2</v>
      </c>
      <c r="W3954">
        <v>1.2114059999999999E-2</v>
      </c>
      <c r="X3954">
        <v>0.99903459999999999</v>
      </c>
      <c r="Y3954">
        <v>-0.31940730000000001</v>
      </c>
      <c r="Z3954">
        <v>6.775457E-2</v>
      </c>
      <c r="AA3954">
        <v>0.94519219999999904</v>
      </c>
      <c r="AB3954">
        <v>12</v>
      </c>
      <c r="AC3954">
        <v>10.1068</v>
      </c>
      <c r="AD3954">
        <v>-1.111318835084</v>
      </c>
      <c r="AE3954">
        <v>-12.6573999999999</v>
      </c>
      <c r="AF3954">
        <v>-5.2072007548510202</v>
      </c>
      <c r="AG3954">
        <v>-1.111318835084</v>
      </c>
      <c r="AH3954">
        <v>15.2574412935643</v>
      </c>
      <c r="AI3954">
        <v>93.943373886182101</v>
      </c>
      <c r="AJ3954">
        <v>108.84422160398699</v>
      </c>
      <c r="AK3954">
        <v>16.159810768727901</v>
      </c>
      <c r="AL3954">
        <v>89.3058984618865</v>
      </c>
      <c r="AM3954">
        <v>92.420227142127601</v>
      </c>
      <c r="AN3954">
        <v>0.999999927936705</v>
      </c>
    </row>
    <row r="3955" spans="1:40" x14ac:dyDescent="0.25">
      <c r="A3955" t="str">
        <f>"20190312153959617"</f>
        <v>20190312153959617</v>
      </c>
      <c r="B3955" t="str">
        <f>"1552376399609726"</f>
        <v>1552376399609726</v>
      </c>
      <c r="C3955" t="s">
        <v>40</v>
      </c>
      <c r="D3955">
        <v>4.4698270000000004</v>
      </c>
      <c r="E3955">
        <v>0.36558940000000001</v>
      </c>
      <c r="F3955" t="s">
        <v>54</v>
      </c>
      <c r="G3955">
        <v>-479.88889999999998</v>
      </c>
      <c r="H3955" s="1">
        <v>2.1875759999999998E-6</v>
      </c>
      <c r="I3955">
        <v>221.43459999999999</v>
      </c>
      <c r="J3955">
        <v>-489.9683</v>
      </c>
      <c r="K3955">
        <v>1.1113139999999999</v>
      </c>
      <c r="L3955">
        <v>233.90100000000001</v>
      </c>
      <c r="M3955">
        <v>0.34065069999999997</v>
      </c>
      <c r="N3955">
        <v>0</v>
      </c>
      <c r="O3955">
        <v>-0.94009200000000004</v>
      </c>
      <c r="P3955">
        <v>0.38211430000000002</v>
      </c>
      <c r="Q3955">
        <v>-1.448998E-3</v>
      </c>
      <c r="R3955">
        <v>-0.92411399999999999</v>
      </c>
      <c r="S3955">
        <v>1.962555</v>
      </c>
      <c r="T3955">
        <v>-0.2153979</v>
      </c>
      <c r="U3955">
        <v>-2.4392849999999999</v>
      </c>
      <c r="V3955">
        <v>-4.44518E-2</v>
      </c>
      <c r="W3955">
        <v>1.2013930000000001E-2</v>
      </c>
      <c r="X3955">
        <v>0.99893929999999997</v>
      </c>
      <c r="Y3955">
        <v>-0.32238349999999999</v>
      </c>
      <c r="Z3955">
        <v>6.8419439999999998E-2</v>
      </c>
      <c r="AA3955">
        <v>0.94413329999999995</v>
      </c>
      <c r="AB3955">
        <v>12</v>
      </c>
      <c r="AC3955">
        <v>10.0794</v>
      </c>
      <c r="AD3955">
        <v>-1.111311812424</v>
      </c>
      <c r="AE3955">
        <v>-12.466399999999901</v>
      </c>
      <c r="AF3955">
        <v>-5.2043479126126</v>
      </c>
      <c r="AG3955">
        <v>-1.111311812424</v>
      </c>
      <c r="AH3955">
        <v>15.0820376292566</v>
      </c>
      <c r="AI3955">
        <v>93.984450983584694</v>
      </c>
      <c r="AJ3955">
        <v>109.037981679673</v>
      </c>
      <c r="AK3955">
        <v>15.9933770727217</v>
      </c>
      <c r="AL3955">
        <v>89.311635963456396</v>
      </c>
      <c r="AM3955">
        <v>92.5479240182014</v>
      </c>
      <c r="AN3955">
        <v>1.00000001106088</v>
      </c>
    </row>
    <row r="3956" spans="1:40" x14ac:dyDescent="0.25">
      <c r="A3956" t="str">
        <f>"20190312153959639"</f>
        <v>20190312153959639</v>
      </c>
      <c r="B3956" t="str">
        <f>"1552376399629246"</f>
        <v>1552376399629246</v>
      </c>
      <c r="C3956" t="s">
        <v>40</v>
      </c>
      <c r="D3956">
        <v>4.2807339999999998</v>
      </c>
      <c r="E3956">
        <v>0.3653497</v>
      </c>
      <c r="F3956" t="s">
        <v>54</v>
      </c>
      <c r="G3956">
        <v>-480.86360000000002</v>
      </c>
      <c r="H3956" s="1">
        <v>2.8675859999999999E-6</v>
      </c>
      <c r="I3956">
        <v>223.8939</v>
      </c>
      <c r="J3956">
        <v>-489.92329999999998</v>
      </c>
      <c r="K3956">
        <v>1.1113040000000001</v>
      </c>
      <c r="L3956">
        <v>233.7859</v>
      </c>
      <c r="M3956">
        <v>0.3431265</v>
      </c>
      <c r="N3956">
        <v>0</v>
      </c>
      <c r="O3956">
        <v>-0.93919149999999996</v>
      </c>
      <c r="P3956">
        <v>0.38696009999999997</v>
      </c>
      <c r="Q3956">
        <v>-1.176713E-3</v>
      </c>
      <c r="R3956">
        <v>-0.92209629999999998</v>
      </c>
      <c r="S3956">
        <v>2.1459350000000001</v>
      </c>
      <c r="T3956">
        <v>-0.26193080000000002</v>
      </c>
      <c r="U3956">
        <v>-2.3586119999999999</v>
      </c>
      <c r="V3956">
        <v>-4.7063689999999998E-2</v>
      </c>
      <c r="W3956">
        <v>1.2275690000000001E-2</v>
      </c>
      <c r="X3956">
        <v>0.99881640000000005</v>
      </c>
      <c r="Y3956">
        <v>-0.37589119999999998</v>
      </c>
      <c r="Z3956">
        <v>8.2404480000000002E-2</v>
      </c>
      <c r="AA3956">
        <v>0.92299260000000005</v>
      </c>
      <c r="AB3956">
        <v>12</v>
      </c>
      <c r="AC3956">
        <v>9.0596999999999603</v>
      </c>
      <c r="AD3956">
        <v>-1.1113011324140001</v>
      </c>
      <c r="AE3956">
        <v>-9.8919999999999906</v>
      </c>
      <c r="AF3956">
        <v>-5.0801862630219699</v>
      </c>
      <c r="AG3956">
        <v>-1.1113011324140001</v>
      </c>
      <c r="AH3956">
        <v>12.3157116883753</v>
      </c>
      <c r="AI3956">
        <v>94.768361964409195</v>
      </c>
      <c r="AJ3956">
        <v>112.415969331908</v>
      </c>
      <c r="AK3956">
        <v>13.3686213599266</v>
      </c>
      <c r="AL3956">
        <v>89.296637065715103</v>
      </c>
      <c r="AM3956">
        <v>92.697750851004002</v>
      </c>
      <c r="AN3956">
        <v>0.99999994219517396</v>
      </c>
    </row>
    <row r="3957" spans="1:40" x14ac:dyDescent="0.25">
      <c r="A3957" t="str">
        <f>"20190312153959663"</f>
        <v>20190312153959663</v>
      </c>
      <c r="B3957" t="str">
        <f>"1552376399659503"</f>
        <v>1552376399659503</v>
      </c>
      <c r="C3957" t="s">
        <v>40</v>
      </c>
      <c r="D3957">
        <v>4.2687030000000004</v>
      </c>
      <c r="E3957">
        <v>0.3663959</v>
      </c>
      <c r="F3957" t="s">
        <v>54</v>
      </c>
      <c r="G3957">
        <v>-480.46300000000002</v>
      </c>
      <c r="H3957" s="1">
        <v>2.711269E-6</v>
      </c>
      <c r="I3957">
        <v>223.50829999999999</v>
      </c>
      <c r="J3957">
        <v>-489.87720000000002</v>
      </c>
      <c r="K3957">
        <v>1.1113</v>
      </c>
      <c r="L3957">
        <v>233.66929999999999</v>
      </c>
      <c r="M3957">
        <v>0.34563660000000002</v>
      </c>
      <c r="N3957">
        <v>0</v>
      </c>
      <c r="O3957">
        <v>-0.93827059999999995</v>
      </c>
      <c r="P3957">
        <v>0.39122950000000001</v>
      </c>
      <c r="Q3957">
        <v>-1.180396E-3</v>
      </c>
      <c r="R3957">
        <v>-0.92029249999999996</v>
      </c>
      <c r="S3957">
        <v>2.1600649999999999</v>
      </c>
      <c r="T3957">
        <v>-0.25374249999999998</v>
      </c>
      <c r="U3957">
        <v>-2.3466800000000001</v>
      </c>
      <c r="V3957">
        <v>-4.902252E-2</v>
      </c>
      <c r="W3957">
        <v>1.2264250000000001E-2</v>
      </c>
      <c r="X3957">
        <v>0.99872240000000001</v>
      </c>
      <c r="Y3957">
        <v>-0.3789091</v>
      </c>
      <c r="Z3957">
        <v>7.9837489999999997E-2</v>
      </c>
      <c r="AA3957">
        <v>0.92198369999999996</v>
      </c>
      <c r="AB3957">
        <v>12</v>
      </c>
      <c r="AC3957">
        <v>9.4141999999999904</v>
      </c>
      <c r="AD3957">
        <v>-1.111297288731</v>
      </c>
      <c r="AE3957">
        <v>-10.161</v>
      </c>
      <c r="AF3957">
        <v>-5.2875093939564204</v>
      </c>
      <c r="AG3957">
        <v>-1.111297288731</v>
      </c>
      <c r="AH3957">
        <v>12.707045581108501</v>
      </c>
      <c r="AI3957">
        <v>94.616268584983004</v>
      </c>
      <c r="AJ3957">
        <v>112.59260872718799</v>
      </c>
      <c r="AK3957">
        <v>13.8080318892841</v>
      </c>
      <c r="AL3957">
        <v>89.297292637554506</v>
      </c>
      <c r="AM3957">
        <v>92.810121173173599</v>
      </c>
      <c r="AN3957">
        <v>1.00000002577848</v>
      </c>
    </row>
    <row r="3958" spans="1:40" x14ac:dyDescent="0.25">
      <c r="A3958" t="str">
        <f>"20190312153959686"</f>
        <v>20190312153959686</v>
      </c>
      <c r="B3958" t="str">
        <f>"1552376399679998"</f>
        <v>1552376399679998</v>
      </c>
      <c r="C3958" t="s">
        <v>40</v>
      </c>
      <c r="D3958">
        <v>4.2504790000000003</v>
      </c>
      <c r="E3958">
        <v>0.36677090000000001</v>
      </c>
      <c r="F3958" t="s">
        <v>54</v>
      </c>
      <c r="G3958">
        <v>-480.51049999999998</v>
      </c>
      <c r="H3958" s="1">
        <v>2.7264930000000001E-6</v>
      </c>
      <c r="I3958">
        <v>223.53909999999999</v>
      </c>
      <c r="J3958">
        <v>-489.83</v>
      </c>
      <c r="K3958">
        <v>1.1113010000000001</v>
      </c>
      <c r="L3958">
        <v>233.5505</v>
      </c>
      <c r="M3958">
        <v>0.3481938</v>
      </c>
      <c r="N3958">
        <v>0</v>
      </c>
      <c r="O3958">
        <v>-0.9373245</v>
      </c>
      <c r="P3958">
        <v>0.39509060000000001</v>
      </c>
      <c r="Q3958">
        <v>-1.0001820000000001E-3</v>
      </c>
      <c r="R3958">
        <v>-0.91864159999999995</v>
      </c>
      <c r="S3958">
        <v>2.1634519999999999</v>
      </c>
      <c r="T3958">
        <v>-0.2566794</v>
      </c>
      <c r="U3958">
        <v>-2.3398129999999999</v>
      </c>
      <c r="V3958">
        <v>-5.0493419999999997E-2</v>
      </c>
      <c r="W3958">
        <v>1.243732E-2</v>
      </c>
      <c r="X3958">
        <v>0.99864699999999995</v>
      </c>
      <c r="Y3958">
        <v>-0.37839840000000002</v>
      </c>
      <c r="Z3958">
        <v>8.0782270000000003E-2</v>
      </c>
      <c r="AA3958">
        <v>0.92211109999999996</v>
      </c>
      <c r="AB3958">
        <v>12</v>
      </c>
      <c r="AC3958">
        <v>9.3194999999999997</v>
      </c>
      <c r="AD3958">
        <v>-1.1112982735070001</v>
      </c>
      <c r="AE3958">
        <v>-10.0114</v>
      </c>
      <c r="AF3958">
        <v>-5.2155414351312102</v>
      </c>
      <c r="AG3958">
        <v>-1.1112982735070001</v>
      </c>
      <c r="AH3958">
        <v>12.547255242658199</v>
      </c>
      <c r="AI3958">
        <v>94.675522822564602</v>
      </c>
      <c r="AJ3958">
        <v>112.571283254825</v>
      </c>
      <c r="AK3958">
        <v>13.6334320858206</v>
      </c>
      <c r="AL3958">
        <v>89.287375719165595</v>
      </c>
      <c r="AM3958">
        <v>92.894514544200902</v>
      </c>
      <c r="AN3958">
        <v>1.0000000515005301</v>
      </c>
    </row>
    <row r="3959" spans="1:40" x14ac:dyDescent="0.25">
      <c r="A3959" t="str">
        <f>"20190312153959707"</f>
        <v>20190312153959707</v>
      </c>
      <c r="B3959" t="str">
        <f>"1552376399699519"</f>
        <v>1552376399699519</v>
      </c>
      <c r="C3959" t="s">
        <v>40</v>
      </c>
      <c r="D3959">
        <v>4.2966259999999998</v>
      </c>
      <c r="E3959">
        <v>0.36738799999999999</v>
      </c>
      <c r="F3959" t="s">
        <v>54</v>
      </c>
      <c r="G3959">
        <v>-480.57060000000001</v>
      </c>
      <c r="H3959" s="1">
        <v>2.7513900000000002E-6</v>
      </c>
      <c r="I3959">
        <v>223.6035</v>
      </c>
      <c r="J3959">
        <v>-489.78739999999999</v>
      </c>
      <c r="K3959">
        <v>1.1113059999999999</v>
      </c>
      <c r="L3959">
        <v>233.4443</v>
      </c>
      <c r="M3959">
        <v>0.35047810000000001</v>
      </c>
      <c r="N3959">
        <v>0</v>
      </c>
      <c r="O3959">
        <v>-0.936473</v>
      </c>
      <c r="P3959">
        <v>0.39837450000000002</v>
      </c>
      <c r="Q3959">
        <v>-6.7452199999999999E-4</v>
      </c>
      <c r="R3959">
        <v>-0.91722309999999996</v>
      </c>
      <c r="S3959">
        <v>2.1706850000000002</v>
      </c>
      <c r="T3959">
        <v>-0.26052150000000002</v>
      </c>
      <c r="U3959">
        <v>-2.3318629999999998</v>
      </c>
      <c r="V3959">
        <v>-5.1631280000000002E-2</v>
      </c>
      <c r="W3959">
        <v>1.2756780000000001E-2</v>
      </c>
      <c r="X3959">
        <v>0.99858469999999999</v>
      </c>
      <c r="Y3959">
        <v>-0.37917119999999999</v>
      </c>
      <c r="Z3959">
        <v>8.1987450000000003E-2</v>
      </c>
      <c r="AA3959">
        <v>0.92168720000000004</v>
      </c>
      <c r="AB3959">
        <v>12</v>
      </c>
      <c r="AC3959">
        <v>9.2167999999999708</v>
      </c>
      <c r="AD3959">
        <v>-1.1113032486099901</v>
      </c>
      <c r="AE3959">
        <v>-9.8407999999999998</v>
      </c>
      <c r="AF3959">
        <v>-5.1478032122226702</v>
      </c>
      <c r="AG3959">
        <v>-1.1113032486099901</v>
      </c>
      <c r="AH3959">
        <v>12.3630830654369</v>
      </c>
      <c r="AI3959">
        <v>94.7436848227984</v>
      </c>
      <c r="AJ3959">
        <v>112.60611602226101</v>
      </c>
      <c r="AK3959">
        <v>13.438031690133499</v>
      </c>
      <c r="AL3959">
        <v>89.269070493754199</v>
      </c>
      <c r="AM3959">
        <v>92.959811525741401</v>
      </c>
      <c r="AN3959">
        <v>0.99999996379224698</v>
      </c>
    </row>
    <row r="3960" spans="1:40" x14ac:dyDescent="0.25">
      <c r="A3960" t="str">
        <f>"20190312153959730"</f>
        <v>20190312153959730</v>
      </c>
      <c r="B3960" t="str">
        <f>"1552376399720013"</f>
        <v>1552376399720013</v>
      </c>
      <c r="C3960" t="s">
        <v>40</v>
      </c>
      <c r="D3960">
        <v>4.265771</v>
      </c>
      <c r="E3960">
        <v>0.3678341</v>
      </c>
      <c r="F3960" t="s">
        <v>54</v>
      </c>
      <c r="G3960">
        <v>-480.67790000000002</v>
      </c>
      <c r="H3960" s="1">
        <v>2.7912259999999999E-6</v>
      </c>
      <c r="I3960">
        <v>223.69759999999999</v>
      </c>
      <c r="J3960">
        <v>-489.74040000000002</v>
      </c>
      <c r="K3960">
        <v>1.111302</v>
      </c>
      <c r="L3960">
        <v>233.32769999999999</v>
      </c>
      <c r="M3960">
        <v>0.35298620000000003</v>
      </c>
      <c r="N3960">
        <v>0</v>
      </c>
      <c r="O3960">
        <v>-0.93553050000000004</v>
      </c>
      <c r="P3960">
        <v>0.4019182</v>
      </c>
      <c r="Q3960">
        <v>-9.7618439999999998E-4</v>
      </c>
      <c r="R3960">
        <v>-0.91567529999999997</v>
      </c>
      <c r="S3960">
        <v>2.1741640000000002</v>
      </c>
      <c r="T3960">
        <v>-0.265233</v>
      </c>
      <c r="U3960">
        <v>-2.3262330000000002</v>
      </c>
      <c r="V3960">
        <v>-5.2816620000000002E-2</v>
      </c>
      <c r="W3960">
        <v>1.244877E-2</v>
      </c>
      <c r="X3960">
        <v>0.99852660000000004</v>
      </c>
      <c r="Y3960">
        <v>-0.37845230000000002</v>
      </c>
      <c r="Z3960">
        <v>8.3457820000000002E-2</v>
      </c>
      <c r="AA3960">
        <v>0.92185070000000002</v>
      </c>
      <c r="AB3960">
        <v>12</v>
      </c>
      <c r="AC3960">
        <v>9.0625</v>
      </c>
      <c r="AD3960">
        <v>-1.1112992087739999</v>
      </c>
      <c r="AE3960">
        <v>-9.6301000000000005</v>
      </c>
      <c r="AF3960">
        <v>-5.0437973063682797</v>
      </c>
      <c r="AG3960">
        <v>-1.1112992087739999</v>
      </c>
      <c r="AH3960">
        <v>12.1236871779767</v>
      </c>
      <c r="AI3960">
        <v>94.837505869699697</v>
      </c>
      <c r="AJ3960">
        <v>112.58869414902</v>
      </c>
      <c r="AK3960">
        <v>13.1779614504135</v>
      </c>
      <c r="AL3960">
        <v>89.286719572928604</v>
      </c>
      <c r="AM3960">
        <v>93.027813082366194</v>
      </c>
      <c r="AN3960">
        <v>0.99999996906514799</v>
      </c>
    </row>
    <row r="3961" spans="1:40" x14ac:dyDescent="0.25">
      <c r="A3961" t="str">
        <f>"20190312153959752"</f>
        <v>20190312153959752</v>
      </c>
      <c r="B3961" t="str">
        <f>"1552376399739534"</f>
        <v>1552376399739534</v>
      </c>
      <c r="C3961" t="s">
        <v>40</v>
      </c>
      <c r="D3961">
        <v>4.2792620000000001</v>
      </c>
      <c r="E3961">
        <v>0.36805450000000001</v>
      </c>
      <c r="F3961" t="s">
        <v>54</v>
      </c>
      <c r="G3961">
        <v>-480.75599999999997</v>
      </c>
      <c r="H3961" s="1">
        <v>2.8213360000000001E-6</v>
      </c>
      <c r="I3961">
        <v>223.77109999999999</v>
      </c>
      <c r="J3961">
        <v>-489.697</v>
      </c>
      <c r="K3961">
        <v>1.1113010000000001</v>
      </c>
      <c r="L3961">
        <v>233.22110000000001</v>
      </c>
      <c r="M3961">
        <v>0.35527900000000001</v>
      </c>
      <c r="N3961">
        <v>0</v>
      </c>
      <c r="O3961">
        <v>-0.93466229999999995</v>
      </c>
      <c r="P3961">
        <v>0.40606399999999998</v>
      </c>
      <c r="Q3961">
        <v>-1.7741160000000001E-3</v>
      </c>
      <c r="R3961">
        <v>-0.91384319999999997</v>
      </c>
      <c r="S3961">
        <v>2.1801759999999999</v>
      </c>
      <c r="T3961">
        <v>-0.26967079999999999</v>
      </c>
      <c r="U3961">
        <v>-2.3190309999999998</v>
      </c>
      <c r="V3961">
        <v>-5.4892030000000001E-2</v>
      </c>
      <c r="W3961">
        <v>1.16425E-2</v>
      </c>
      <c r="X3961">
        <v>0.99842439999999999</v>
      </c>
      <c r="Y3961">
        <v>-0.37879550000000001</v>
      </c>
      <c r="Z3961">
        <v>8.484651E-2</v>
      </c>
      <c r="AA3961">
        <v>0.92158289999999998</v>
      </c>
      <c r="AB3961">
        <v>12</v>
      </c>
      <c r="AC3961">
        <v>8.9409999999999705</v>
      </c>
      <c r="AD3961">
        <v>-1.1112981786639999</v>
      </c>
      <c r="AE3961">
        <v>-9.4500000000000099</v>
      </c>
      <c r="AF3961">
        <v>-4.9636669475683801</v>
      </c>
      <c r="AG3961">
        <v>-1.1112981786639999</v>
      </c>
      <c r="AH3961">
        <v>11.923204214627299</v>
      </c>
      <c r="AI3961">
        <v>94.917968902465205</v>
      </c>
      <c r="AJ3961">
        <v>112.602113597401</v>
      </c>
      <c r="AK3961">
        <v>12.9628612563735</v>
      </c>
      <c r="AL3961">
        <v>89.3329188046269</v>
      </c>
      <c r="AM3961">
        <v>93.146876771962496</v>
      </c>
      <c r="AN3961">
        <v>0.99999998263956502</v>
      </c>
    </row>
    <row r="3962" spans="1:40" x14ac:dyDescent="0.25">
      <c r="A3962" t="str">
        <f>"20190312153959773"</f>
        <v>20190312153959773</v>
      </c>
      <c r="B3962" t="str">
        <f>"1552376399769791"</f>
        <v>1552376399769791</v>
      </c>
      <c r="C3962" t="s">
        <v>40</v>
      </c>
      <c r="D3962">
        <v>4.2812469999999996</v>
      </c>
      <c r="E3962">
        <v>0.36871619999999999</v>
      </c>
      <c r="F3962" t="s">
        <v>54</v>
      </c>
      <c r="G3962">
        <v>-480.80990000000003</v>
      </c>
      <c r="H3962" s="1">
        <v>2.8466329999999998E-6</v>
      </c>
      <c r="I3962">
        <v>223.84229999999999</v>
      </c>
      <c r="J3962">
        <v>-489.65260000000001</v>
      </c>
      <c r="K3962">
        <v>1.111297</v>
      </c>
      <c r="L3962">
        <v>233.1129</v>
      </c>
      <c r="M3962">
        <v>0.35760609999999998</v>
      </c>
      <c r="N3962">
        <v>0</v>
      </c>
      <c r="O3962">
        <v>-0.93377449999999995</v>
      </c>
      <c r="P3962">
        <v>0.41059630000000003</v>
      </c>
      <c r="Q3962">
        <v>-1.818252E-3</v>
      </c>
      <c r="R3962">
        <v>-0.91181540000000005</v>
      </c>
      <c r="S3962">
        <v>2.1886899999999998</v>
      </c>
      <c r="T3962">
        <v>-0.27368799999999999</v>
      </c>
      <c r="U3962">
        <v>-2.3097840000000001</v>
      </c>
      <c r="V3962">
        <v>-5.736231E-2</v>
      </c>
      <c r="W3962">
        <v>1.1588620000000001E-2</v>
      </c>
      <c r="X3962">
        <v>0.99828620000000001</v>
      </c>
      <c r="Y3962">
        <v>-0.38004320000000003</v>
      </c>
      <c r="Z3962">
        <v>8.6110930000000002E-2</v>
      </c>
      <c r="AA3962">
        <v>0.92095170000000004</v>
      </c>
      <c r="AB3962">
        <v>12</v>
      </c>
      <c r="AC3962">
        <v>8.8426999999999794</v>
      </c>
      <c r="AD3962">
        <v>-1.111294153367</v>
      </c>
      <c r="AE3962">
        <v>-9.2706</v>
      </c>
      <c r="AF3962">
        <v>-4.9054086044574303</v>
      </c>
      <c r="AG3962">
        <v>-1.111294153367</v>
      </c>
      <c r="AH3962">
        <v>11.7316658493723</v>
      </c>
      <c r="AI3962">
        <v>94.994606965448895</v>
      </c>
      <c r="AJ3962">
        <v>112.691463913588</v>
      </c>
      <c r="AK3962">
        <v>12.7644033105085</v>
      </c>
      <c r="AL3962">
        <v>89.3360061436085</v>
      </c>
      <c r="AM3962">
        <v>93.288644305208194</v>
      </c>
      <c r="AN3962">
        <v>1.00000003391623</v>
      </c>
    </row>
    <row r="3963" spans="1:40" x14ac:dyDescent="0.25">
      <c r="A3963" t="str">
        <f>"20190312153959797"</f>
        <v>20190312153959797</v>
      </c>
      <c r="B3963" t="str">
        <f>"1552376399789310"</f>
        <v>1552376399789310</v>
      </c>
      <c r="C3963" t="s">
        <v>40</v>
      </c>
      <c r="D3963">
        <v>4.2828200000000001</v>
      </c>
      <c r="E3963">
        <v>0.36915890000000001</v>
      </c>
      <c r="F3963" t="s">
        <v>54</v>
      </c>
      <c r="G3963">
        <v>-480.77</v>
      </c>
      <c r="H3963" s="1">
        <v>2.8307400000000001E-6</v>
      </c>
      <c r="I3963">
        <v>223.80240000000001</v>
      </c>
      <c r="J3963">
        <v>-489.60419999999999</v>
      </c>
      <c r="K3963">
        <v>1.1112949999999999</v>
      </c>
      <c r="L3963">
        <v>232.9956</v>
      </c>
      <c r="M3963">
        <v>0.36013040000000002</v>
      </c>
      <c r="N3963">
        <v>0</v>
      </c>
      <c r="O3963">
        <v>-0.93280350000000001</v>
      </c>
      <c r="P3963">
        <v>0.4147865</v>
      </c>
      <c r="Q3963">
        <v>-2.1310970000000002E-3</v>
      </c>
      <c r="R3963">
        <v>-0.90991610000000001</v>
      </c>
      <c r="S3963">
        <v>2.1952820000000002</v>
      </c>
      <c r="T3963">
        <v>-0.27464749999999999</v>
      </c>
      <c r="U3963">
        <v>-2.3010100000000002</v>
      </c>
      <c r="V3963">
        <v>-5.925412E-2</v>
      </c>
      <c r="W3963">
        <v>1.126773E-2</v>
      </c>
      <c r="X3963">
        <v>0.99817929999999999</v>
      </c>
      <c r="Y3963">
        <v>-0.38065529999999997</v>
      </c>
      <c r="Z3963">
        <v>8.6430300000000002E-2</v>
      </c>
      <c r="AA3963">
        <v>0.92066899999999996</v>
      </c>
      <c r="AB3963">
        <v>12</v>
      </c>
      <c r="AC3963">
        <v>8.8342000000000098</v>
      </c>
      <c r="AD3963">
        <v>-1.11129216926</v>
      </c>
      <c r="AE3963">
        <v>-9.1931999999999903</v>
      </c>
      <c r="AF3963">
        <v>-4.8931014112398099</v>
      </c>
      <c r="AG3963">
        <v>-1.11129216926</v>
      </c>
      <c r="AH3963">
        <v>11.6693400866278</v>
      </c>
      <c r="AI3963">
        <v>95.019041068807496</v>
      </c>
      <c r="AJ3963">
        <v>112.74891848696799</v>
      </c>
      <c r="AK3963">
        <v>12.702397795830301</v>
      </c>
      <c r="AL3963">
        <v>89.354392941154998</v>
      </c>
      <c r="AM3963">
        <v>93.397216857826393</v>
      </c>
      <c r="AN3963">
        <v>0.99999996371240796</v>
      </c>
    </row>
    <row r="3964" spans="1:40" x14ac:dyDescent="0.25">
      <c r="A3964" t="str">
        <f>"20190312153959818"</f>
        <v>20190312153959818</v>
      </c>
      <c r="B3964" t="str">
        <f>"1552376399809806"</f>
        <v>1552376399809806</v>
      </c>
      <c r="C3964" t="s">
        <v>40</v>
      </c>
      <c r="D3964">
        <v>4.2730350000000001</v>
      </c>
      <c r="E3964">
        <v>0.3696663</v>
      </c>
      <c r="F3964" t="s">
        <v>54</v>
      </c>
      <c r="G3964">
        <v>-480.68819999999999</v>
      </c>
      <c r="H3964" s="1">
        <v>2.7972199999999998E-6</v>
      </c>
      <c r="I3964">
        <v>223.71639999999999</v>
      </c>
      <c r="J3964">
        <v>-489.55930000000001</v>
      </c>
      <c r="K3964">
        <v>1.1112919999999999</v>
      </c>
      <c r="L3964">
        <v>232.88740000000001</v>
      </c>
      <c r="M3964">
        <v>0.36246149999999999</v>
      </c>
      <c r="N3964">
        <v>0</v>
      </c>
      <c r="O3964">
        <v>-0.93190070000000003</v>
      </c>
      <c r="P3964">
        <v>0.41814580000000001</v>
      </c>
      <c r="Q3964">
        <v>-2.3467689999999999E-3</v>
      </c>
      <c r="R3964">
        <v>-0.9083774</v>
      </c>
      <c r="S3964">
        <v>2.2026370000000002</v>
      </c>
      <c r="T3964">
        <v>-0.27453699999999998</v>
      </c>
      <c r="U3964">
        <v>-2.2923580000000001</v>
      </c>
      <c r="V3964">
        <v>-6.0446050000000001E-2</v>
      </c>
      <c r="W3964">
        <v>1.104553E-2</v>
      </c>
      <c r="X3964">
        <v>0.99811039999999995</v>
      </c>
      <c r="Y3964">
        <v>-0.38161620000000002</v>
      </c>
      <c r="Z3964">
        <v>8.6406369999999996E-2</v>
      </c>
      <c r="AA3964">
        <v>0.92027329999999996</v>
      </c>
      <c r="AB3964">
        <v>12</v>
      </c>
      <c r="AC3964">
        <v>8.8711000000000109</v>
      </c>
      <c r="AD3964">
        <v>-1.1112892027800001</v>
      </c>
      <c r="AE3964">
        <v>-9.17100000000001</v>
      </c>
      <c r="AF3964">
        <v>-4.9060859749478496</v>
      </c>
      <c r="AG3964">
        <v>-1.1112892027800001</v>
      </c>
      <c r="AH3964">
        <v>11.674410969510699</v>
      </c>
      <c r="AI3964">
        <v>95.015202283738603</v>
      </c>
      <c r="AJ3964">
        <v>112.794225199056</v>
      </c>
      <c r="AK3964">
        <v>12.712061782843399</v>
      </c>
      <c r="AL3964">
        <v>89.367124910633194</v>
      </c>
      <c r="AM3964">
        <v>93.465627523583805</v>
      </c>
      <c r="AN3964">
        <v>1.0000000496408701</v>
      </c>
    </row>
    <row r="3965" spans="1:40" x14ac:dyDescent="0.25">
      <c r="A3965" t="str">
        <f>"20190312153959841"</f>
        <v>20190312153959841</v>
      </c>
      <c r="B3965" t="str">
        <f>"1552376399829326"</f>
        <v>1552376399829326</v>
      </c>
      <c r="C3965" t="s">
        <v>40</v>
      </c>
      <c r="D3965">
        <v>4.2776620000000003</v>
      </c>
      <c r="E3965">
        <v>0.37014799999999998</v>
      </c>
      <c r="F3965" t="s">
        <v>54</v>
      </c>
      <c r="G3965">
        <v>-480.64159999999998</v>
      </c>
      <c r="H3965" s="1">
        <v>2.7751139999999999E-6</v>
      </c>
      <c r="I3965">
        <v>223.65379999999999</v>
      </c>
      <c r="J3965">
        <v>-489.51319999999998</v>
      </c>
      <c r="K3965">
        <v>1.111289</v>
      </c>
      <c r="L3965">
        <v>232.77719999999999</v>
      </c>
      <c r="M3965">
        <v>0.3648382</v>
      </c>
      <c r="N3965">
        <v>0</v>
      </c>
      <c r="O3965">
        <v>-0.93097280000000004</v>
      </c>
      <c r="P3965">
        <v>0.42075849999999998</v>
      </c>
      <c r="Q3965">
        <v>-2.5793719999999999E-3</v>
      </c>
      <c r="R3965">
        <v>-0.90716949999999996</v>
      </c>
      <c r="S3965">
        <v>2.2075200000000001</v>
      </c>
      <c r="T3965">
        <v>-0.27509220000000001</v>
      </c>
      <c r="U3965">
        <v>-2.2857059999999998</v>
      </c>
      <c r="V3965">
        <v>-6.0771749999999999E-2</v>
      </c>
      <c r="W3965">
        <v>1.0809040000000001E-2</v>
      </c>
      <c r="X3965">
        <v>0.99809320000000001</v>
      </c>
      <c r="Y3965">
        <v>-0.381602</v>
      </c>
      <c r="Z3965">
        <v>8.657869E-2</v>
      </c>
      <c r="AA3965">
        <v>0.9202631</v>
      </c>
      <c r="AB3965">
        <v>12</v>
      </c>
      <c r="AC3965">
        <v>8.8716000000000008</v>
      </c>
      <c r="AD3965">
        <v>-1.111286224886</v>
      </c>
      <c r="AE3965">
        <v>-9.1234000000000002</v>
      </c>
      <c r="AF3965">
        <v>-4.89378433419055</v>
      </c>
      <c r="AG3965">
        <v>-1.111286224886</v>
      </c>
      <c r="AH3965">
        <v>11.6426218443578</v>
      </c>
      <c r="AI3965">
        <v>95.028649994825898</v>
      </c>
      <c r="AJ3965">
        <v>112.798648135581</v>
      </c>
      <c r="AK3965">
        <v>12.6781199550212</v>
      </c>
      <c r="AL3965">
        <v>89.380675590974207</v>
      </c>
      <c r="AM3965">
        <v>93.484315295892898</v>
      </c>
      <c r="AN3965">
        <v>1.0000000384150101</v>
      </c>
    </row>
    <row r="3966" spans="1:40" x14ac:dyDescent="0.25">
      <c r="A3966" t="str">
        <f>"20190312153959863"</f>
        <v>20190312153959863</v>
      </c>
      <c r="B3966" t="str">
        <f>"1552376399859582"</f>
        <v>1552376399859582</v>
      </c>
      <c r="C3966" t="s">
        <v>40</v>
      </c>
      <c r="D3966">
        <v>4.2472339999999997</v>
      </c>
      <c r="E3966">
        <v>0.37742560000000003</v>
      </c>
      <c r="F3966" t="s">
        <v>54</v>
      </c>
      <c r="G3966">
        <v>-480.59710000000001</v>
      </c>
      <c r="H3966" s="1">
        <v>2.7496380000000001E-6</v>
      </c>
      <c r="I3966">
        <v>223.57429999999999</v>
      </c>
      <c r="J3966">
        <v>-489.4676</v>
      </c>
      <c r="K3966">
        <v>1.111286</v>
      </c>
      <c r="L3966">
        <v>232.66919999999999</v>
      </c>
      <c r="M3966">
        <v>0.36717270000000002</v>
      </c>
      <c r="N3966">
        <v>0</v>
      </c>
      <c r="O3966">
        <v>-0.93005459999999995</v>
      </c>
      <c r="P3966">
        <v>0.42269800000000002</v>
      </c>
      <c r="Q3966">
        <v>-3.3033839999999999E-3</v>
      </c>
      <c r="R3966">
        <v>-0.90626490000000004</v>
      </c>
      <c r="S3966">
        <v>2.210083</v>
      </c>
      <c r="T3966">
        <v>-0.27546120000000002</v>
      </c>
      <c r="U3966">
        <v>-2.2811889999999999</v>
      </c>
      <c r="V3966">
        <v>-6.0402409999999997E-2</v>
      </c>
      <c r="W3966">
        <v>1.008333E-2</v>
      </c>
      <c r="X3966">
        <v>0.99812319999999999</v>
      </c>
      <c r="Y3966">
        <v>-0.38072010000000001</v>
      </c>
      <c r="Z3966">
        <v>8.6678959999999999E-2</v>
      </c>
      <c r="AA3966">
        <v>0.92061879999999996</v>
      </c>
      <c r="AB3966">
        <v>12</v>
      </c>
      <c r="AC3966">
        <v>8.8704999999999892</v>
      </c>
      <c r="AD3966">
        <v>-1.111283250362</v>
      </c>
      <c r="AE3966">
        <v>-9.0948999999999902</v>
      </c>
      <c r="AF3966">
        <v>-4.8738076629399201</v>
      </c>
      <c r="AG3966">
        <v>-1.111283250362</v>
      </c>
      <c r="AH3966">
        <v>11.6278602872103</v>
      </c>
      <c r="AI3966">
        <v>95.037105294663206</v>
      </c>
      <c r="AJ3966">
        <v>112.740952673479</v>
      </c>
      <c r="AK3966">
        <v>12.656859265108</v>
      </c>
      <c r="AL3966">
        <v>89.422257970693707</v>
      </c>
      <c r="AM3966">
        <v>93.463087246296993</v>
      </c>
      <c r="AN3966">
        <v>1.00000002352796</v>
      </c>
    </row>
    <row r="3967" spans="1:40" x14ac:dyDescent="0.25">
      <c r="A3967" t="str">
        <f>"20190312153959886"</f>
        <v>20190312153959886</v>
      </c>
      <c r="B3967" t="str">
        <f>"1552376399879102"</f>
        <v>1552376399879102</v>
      </c>
      <c r="C3967" t="s">
        <v>40</v>
      </c>
      <c r="D3967">
        <v>4.2887360000000001</v>
      </c>
      <c r="E3967">
        <v>0.37799300000000002</v>
      </c>
      <c r="F3967" t="s">
        <v>54</v>
      </c>
      <c r="G3967">
        <v>-480.48750000000001</v>
      </c>
      <c r="H3967" s="1">
        <v>2.6274029999999999E-6</v>
      </c>
      <c r="I3967">
        <v>223.10939999999999</v>
      </c>
      <c r="J3967">
        <v>-489.41820000000001</v>
      </c>
      <c r="K3967">
        <v>1.111278</v>
      </c>
      <c r="L3967">
        <v>232.55289999999999</v>
      </c>
      <c r="M3967">
        <v>0.36969160000000001</v>
      </c>
      <c r="N3967">
        <v>0</v>
      </c>
      <c r="O3967">
        <v>-0.9290562</v>
      </c>
      <c r="P3967">
        <v>0.42501040000000001</v>
      </c>
      <c r="Q3967">
        <v>-4.0093739999999996E-3</v>
      </c>
      <c r="R3967">
        <v>-0.90518019999999999</v>
      </c>
      <c r="S3967">
        <v>2.16153</v>
      </c>
      <c r="T3967">
        <v>-0.26748699999999997</v>
      </c>
      <c r="U3967">
        <v>-2.301056</v>
      </c>
      <c r="V3967">
        <v>-6.024529E-2</v>
      </c>
      <c r="W3967">
        <v>9.3747829999999994E-3</v>
      </c>
      <c r="X3967">
        <v>0.99813960000000002</v>
      </c>
      <c r="Y3967">
        <v>-0.36409209999999997</v>
      </c>
      <c r="Z3967">
        <v>8.4359879999999998E-2</v>
      </c>
      <c r="AA3967">
        <v>0.92753450000000004</v>
      </c>
      <c r="AB3967">
        <v>12</v>
      </c>
      <c r="AC3967">
        <v>8.9306999999999999</v>
      </c>
      <c r="AD3967">
        <v>-1.1112753725969999</v>
      </c>
      <c r="AE3967">
        <v>-9.4435000000000002</v>
      </c>
      <c r="AF3967">
        <v>-4.7714989230321203</v>
      </c>
      <c r="AG3967">
        <v>-1.1112753725969999</v>
      </c>
      <c r="AH3967">
        <v>11.988613240516299</v>
      </c>
      <c r="AI3967">
        <v>94.922374345240598</v>
      </c>
      <c r="AJ3967">
        <v>111.702682872718</v>
      </c>
      <c r="AK3967">
        <v>12.9510224444605</v>
      </c>
      <c r="AL3967">
        <v>89.462856643550893</v>
      </c>
      <c r="AM3967">
        <v>93.454044215057493</v>
      </c>
      <c r="AN3967">
        <v>1.00000002130582</v>
      </c>
    </row>
    <row r="3968" spans="1:40" x14ac:dyDescent="0.25">
      <c r="A3968" t="str">
        <f>"20190312153959909"</f>
        <v>20190312153959909</v>
      </c>
      <c r="B3968" t="str">
        <f>"1552376399899598"</f>
        <v>1552376399899598</v>
      </c>
      <c r="C3968" t="s">
        <v>40</v>
      </c>
      <c r="D3968">
        <v>4.2991330000000003</v>
      </c>
      <c r="E3968">
        <v>0.37787389999999998</v>
      </c>
      <c r="F3968" t="s">
        <v>54</v>
      </c>
      <c r="G3968">
        <v>-480.58019999999999</v>
      </c>
      <c r="H3968" s="1">
        <v>2.656435E-6</v>
      </c>
      <c r="I3968">
        <v>223.16630000000001</v>
      </c>
      <c r="J3968">
        <v>-489.3723</v>
      </c>
      <c r="K3968">
        <v>1.1112789999999999</v>
      </c>
      <c r="L3968">
        <v>232.44569999999999</v>
      </c>
      <c r="M3968">
        <v>0.37202160000000001</v>
      </c>
      <c r="N3968">
        <v>0</v>
      </c>
      <c r="O3968">
        <v>-0.9281256</v>
      </c>
      <c r="P3968">
        <v>0.42670469999999999</v>
      </c>
      <c r="Q3968">
        <v>-4.4399340000000004E-3</v>
      </c>
      <c r="R3968">
        <v>-0.90438019999999997</v>
      </c>
      <c r="S3968">
        <v>2.163116</v>
      </c>
      <c r="T3968">
        <v>-0.27198539999999999</v>
      </c>
      <c r="U3968">
        <v>-2.2973789999999998</v>
      </c>
      <c r="V3968">
        <v>-5.9610120000000003E-2</v>
      </c>
      <c r="W3968">
        <v>8.9427880000000001E-3</v>
      </c>
      <c r="X3968">
        <v>0.99818169999999995</v>
      </c>
      <c r="Y3968">
        <v>-0.36274909999999999</v>
      </c>
      <c r="Z3968">
        <v>8.5746559999999999E-2</v>
      </c>
      <c r="AA3968">
        <v>0.92793349999999997</v>
      </c>
      <c r="AB3968">
        <v>12</v>
      </c>
      <c r="AC3968">
        <v>8.7920999999999996</v>
      </c>
      <c r="AD3968">
        <v>-1.1112763435649999</v>
      </c>
      <c r="AE3968">
        <v>-9.2793999999999794</v>
      </c>
      <c r="AF3968">
        <v>-4.6731495560595899</v>
      </c>
      <c r="AG3968">
        <v>-1.1112763435649999</v>
      </c>
      <c r="AH3968">
        <v>11.795245178975399</v>
      </c>
      <c r="AI3968">
        <v>95.005765255014794</v>
      </c>
      <c r="AJ3968">
        <v>111.612939362752</v>
      </c>
      <c r="AK3968">
        <v>12.7358184156814</v>
      </c>
      <c r="AL3968">
        <v>89.487609172559203</v>
      </c>
      <c r="AM3968">
        <v>93.417570976642196</v>
      </c>
      <c r="AN3968">
        <v>1.0000000230392501</v>
      </c>
    </row>
    <row r="3969" spans="1:40" x14ac:dyDescent="0.25">
      <c r="A3969" t="str">
        <f>"20190312153959931"</f>
        <v>20190312153959931</v>
      </c>
      <c r="B3969" t="str">
        <f>"1552376399919119"</f>
        <v>1552376399919119</v>
      </c>
      <c r="C3969" t="s">
        <v>40</v>
      </c>
      <c r="D3969">
        <v>4.3157139999999998</v>
      </c>
      <c r="E3969">
        <v>0.38866909999999999</v>
      </c>
      <c r="F3969" t="s">
        <v>54</v>
      </c>
      <c r="G3969">
        <v>-480.75850000000003</v>
      </c>
      <c r="H3969" s="1">
        <v>2.7264319999999999E-6</v>
      </c>
      <c r="I3969">
        <v>223.3399</v>
      </c>
      <c r="J3969">
        <v>-489.3245</v>
      </c>
      <c r="K3969">
        <v>1.1112839999999999</v>
      </c>
      <c r="L3969">
        <v>232.3349</v>
      </c>
      <c r="M3969">
        <v>0.37444349999999998</v>
      </c>
      <c r="N3969">
        <v>0</v>
      </c>
      <c r="O3969">
        <v>-0.92715110000000001</v>
      </c>
      <c r="P3969">
        <v>0.42861179999999899</v>
      </c>
      <c r="Q3969">
        <v>-4.2855050000000002E-3</v>
      </c>
      <c r="R3969">
        <v>-0.90347880000000003</v>
      </c>
      <c r="S3969">
        <v>2.168701</v>
      </c>
      <c r="T3969">
        <v>-0.2797848</v>
      </c>
      <c r="U3969">
        <v>-2.2925719999999998</v>
      </c>
      <c r="V3969">
        <v>-5.9109780000000001E-2</v>
      </c>
      <c r="W3969">
        <v>9.0953700000000002E-3</v>
      </c>
      <c r="X3969">
        <v>0.99821009999999999</v>
      </c>
      <c r="Y3969">
        <v>-0.36232950000000003</v>
      </c>
      <c r="Z3969">
        <v>8.8126019999999999E-2</v>
      </c>
      <c r="AA3969">
        <v>0.92787450000000005</v>
      </c>
      <c r="AB3969">
        <v>12</v>
      </c>
      <c r="AC3969">
        <v>8.5659999999999705</v>
      </c>
      <c r="AD3969">
        <v>-1.111281273568</v>
      </c>
      <c r="AE3969">
        <v>-8.9949999999999992</v>
      </c>
      <c r="AF3969">
        <v>-4.53795249794371</v>
      </c>
      <c r="AG3969">
        <v>-1.111281273568</v>
      </c>
      <c r="AH3969">
        <v>11.456562184070499</v>
      </c>
      <c r="AI3969">
        <v>95.153140282744999</v>
      </c>
      <c r="AJ3969">
        <v>111.608553967229</v>
      </c>
      <c r="AK3969">
        <v>12.372581623091101</v>
      </c>
      <c r="AL3969">
        <v>89.478866525435905</v>
      </c>
      <c r="AM3969">
        <v>93.388856399517095</v>
      </c>
      <c r="AN3969">
        <v>1.0000000477945401</v>
      </c>
    </row>
    <row r="3970" spans="1:40" x14ac:dyDescent="0.25">
      <c r="A3970" t="str">
        <f>"20190312153959953"</f>
        <v>20190312153959953</v>
      </c>
      <c r="B3970" t="str">
        <f>"1552376399949375"</f>
        <v>1552376399949375</v>
      </c>
      <c r="C3970" t="s">
        <v>40</v>
      </c>
      <c r="D3970">
        <v>4.3074709999999996</v>
      </c>
      <c r="E3970">
        <v>0.39236539999999998</v>
      </c>
      <c r="F3970" t="s">
        <v>54</v>
      </c>
      <c r="G3970">
        <v>-479.85140000000001</v>
      </c>
      <c r="H3970" s="1">
        <v>2.286277E-6</v>
      </c>
      <c r="I3970">
        <v>221.82079999999999</v>
      </c>
      <c r="J3970">
        <v>-489.27839999999998</v>
      </c>
      <c r="K3970">
        <v>1.1112949999999999</v>
      </c>
      <c r="L3970">
        <v>232.2286</v>
      </c>
      <c r="M3970">
        <v>0.37678220000000001</v>
      </c>
      <c r="N3970">
        <v>0</v>
      </c>
      <c r="O3970">
        <v>-0.92620340000000001</v>
      </c>
      <c r="P3970">
        <v>0.4304268</v>
      </c>
      <c r="Q3970">
        <v>-3.5167810000000001E-3</v>
      </c>
      <c r="R3970">
        <v>-0.9026189</v>
      </c>
      <c r="S3970">
        <v>2.095154</v>
      </c>
      <c r="T3970">
        <v>-0.24578269999999999</v>
      </c>
      <c r="U3970">
        <v>-2.3253940000000002</v>
      </c>
      <c r="V3970">
        <v>-5.8597200000000002E-2</v>
      </c>
      <c r="W3970">
        <v>9.8616139999999994E-3</v>
      </c>
      <c r="X3970">
        <v>0.99823300000000004</v>
      </c>
      <c r="Y3970">
        <v>-0.33793440000000002</v>
      </c>
      <c r="Z3970">
        <v>7.7674359999999998E-2</v>
      </c>
      <c r="AA3970">
        <v>0.93795899999999999</v>
      </c>
      <c r="AB3970">
        <v>12</v>
      </c>
      <c r="AC3970">
        <v>9.4269999999999605</v>
      </c>
      <c r="AD3970">
        <v>-1.111292713723</v>
      </c>
      <c r="AE3970">
        <v>-10.4078</v>
      </c>
      <c r="AF3970">
        <v>-4.7803459774988104</v>
      </c>
      <c r="AG3970">
        <v>-1.111292713723</v>
      </c>
      <c r="AH3970">
        <v>13.110758566305</v>
      </c>
      <c r="AI3970">
        <v>94.553065276470704</v>
      </c>
      <c r="AJ3970">
        <v>110.032485874927</v>
      </c>
      <c r="AK3970">
        <v>13.9992381701328</v>
      </c>
      <c r="AL3970">
        <v>89.434961981474103</v>
      </c>
      <c r="AM3970">
        <v>93.359460094335105</v>
      </c>
      <c r="AN3970">
        <v>1.0000000027837599</v>
      </c>
    </row>
    <row r="3971" spans="1:40" x14ac:dyDescent="0.25">
      <c r="A3971" t="str">
        <f>"20190312153959974"</f>
        <v>20190312153959974</v>
      </c>
      <c r="B3971" t="str">
        <f>"1552376399969870"</f>
        <v>1552376399969870</v>
      </c>
      <c r="C3971" t="s">
        <v>40</v>
      </c>
      <c r="D3971">
        <v>4.2994079999999997</v>
      </c>
      <c r="E3971">
        <v>0.3927445</v>
      </c>
      <c r="F3971" t="s">
        <v>54</v>
      </c>
      <c r="G3971">
        <v>-479.66129999999998</v>
      </c>
      <c r="H3971" s="1">
        <v>2.2609950000000001E-6</v>
      </c>
      <c r="I3971">
        <v>221.4014</v>
      </c>
      <c r="J3971">
        <v>-489.23259999999999</v>
      </c>
      <c r="K3971">
        <v>1.1113090000000001</v>
      </c>
      <c r="L3971">
        <v>232.1241</v>
      </c>
      <c r="M3971">
        <v>0.37910460000000001</v>
      </c>
      <c r="N3971">
        <v>0</v>
      </c>
      <c r="O3971">
        <v>-0.92525500000000005</v>
      </c>
      <c r="P3971">
        <v>0.43259999999999998</v>
      </c>
      <c r="Q3971">
        <v>-3.2208779999999999E-3</v>
      </c>
      <c r="R3971">
        <v>-0.9015803</v>
      </c>
      <c r="S3971">
        <v>2.0732119999999998</v>
      </c>
      <c r="T3971">
        <v>-0.239568</v>
      </c>
      <c r="U3971">
        <v>-2.3340909999999999</v>
      </c>
      <c r="V3971">
        <v>-5.8498500000000002E-2</v>
      </c>
      <c r="W3971">
        <v>1.01539E-2</v>
      </c>
      <c r="X3971">
        <v>0.99823589999999995</v>
      </c>
      <c r="Y3971">
        <v>-0.32901429999999998</v>
      </c>
      <c r="Z3971">
        <v>7.5734179999999998E-2</v>
      </c>
      <c r="AA3971">
        <v>0.94128310000000004</v>
      </c>
      <c r="AB3971">
        <v>12</v>
      </c>
      <c r="AC3971">
        <v>9.5713000000000008</v>
      </c>
      <c r="AD3971">
        <v>-1.111306739005</v>
      </c>
      <c r="AE3971">
        <v>-10.7227</v>
      </c>
      <c r="AF3971">
        <v>-4.7628335060726998</v>
      </c>
      <c r="AG3971">
        <v>-1.111306739005</v>
      </c>
      <c r="AH3971">
        <v>13.470466380006901</v>
      </c>
      <c r="AI3971">
        <v>94.447552521720098</v>
      </c>
      <c r="AJ3971">
        <v>109.472371680264</v>
      </c>
      <c r="AK3971">
        <v>14.3308426189678</v>
      </c>
      <c r="AL3971">
        <v>89.418214412598701</v>
      </c>
      <c r="AM3971">
        <v>93.353804690784898</v>
      </c>
      <c r="AN3971">
        <v>1.00000004411813</v>
      </c>
    </row>
    <row r="3972" spans="1:40" x14ac:dyDescent="0.25">
      <c r="A3972" t="str">
        <f>"20190312154000001"</f>
        <v>20190312154000001</v>
      </c>
      <c r="B3972" t="str">
        <f>"1552376399989391"</f>
        <v>1552376399989391</v>
      </c>
      <c r="C3972" t="s">
        <v>40</v>
      </c>
      <c r="D3972">
        <v>4.2608779999999999</v>
      </c>
      <c r="E3972">
        <v>0.393202</v>
      </c>
      <c r="F3972" t="s">
        <v>54</v>
      </c>
      <c r="G3972">
        <v>-479.53719999999998</v>
      </c>
      <c r="H3972" s="1">
        <v>2.2693969999999999E-6</v>
      </c>
      <c r="I3972">
        <v>221.24029999999999</v>
      </c>
      <c r="J3972">
        <v>-489.17829999999998</v>
      </c>
      <c r="K3972">
        <v>1.1113230000000001</v>
      </c>
      <c r="L3972">
        <v>232.001</v>
      </c>
      <c r="M3972">
        <v>0.38187840000000001</v>
      </c>
      <c r="N3972">
        <v>0</v>
      </c>
      <c r="O3972">
        <v>-0.92411390000000004</v>
      </c>
      <c r="P3972">
        <v>0.43519970000000002</v>
      </c>
      <c r="Q3972">
        <v>-2.9380809999999999E-3</v>
      </c>
      <c r="R3972">
        <v>-0.90032939999999995</v>
      </c>
      <c r="S3972">
        <v>2.07605</v>
      </c>
      <c r="T3972">
        <v>-0.23796110000000001</v>
      </c>
      <c r="U3972">
        <v>-2.3305210000000001</v>
      </c>
      <c r="V3972">
        <v>-5.8385039999999999E-2</v>
      </c>
      <c r="W3972">
        <v>1.043236E-2</v>
      </c>
      <c r="X3972">
        <v>0.9982396</v>
      </c>
      <c r="Y3972">
        <v>-0.32756600000000002</v>
      </c>
      <c r="Z3972">
        <v>7.5173779999999996E-2</v>
      </c>
      <c r="AA3972">
        <v>0.94183300000000003</v>
      </c>
      <c r="AB3972">
        <v>12</v>
      </c>
      <c r="AC3972">
        <v>9.6410999999999891</v>
      </c>
      <c r="AD3972">
        <v>-1.111320730603</v>
      </c>
      <c r="AE3972">
        <v>-10.7606999999999</v>
      </c>
      <c r="AF3972">
        <v>-4.7723974716720603</v>
      </c>
      <c r="AG3972">
        <v>-1.111320730603</v>
      </c>
      <c r="AH3972">
        <v>13.5469324263752</v>
      </c>
      <c r="AI3972">
        <v>94.424386974748202</v>
      </c>
      <c r="AJ3972">
        <v>109.406657935528</v>
      </c>
      <c r="AK3972">
        <v>14.405908147654801</v>
      </c>
      <c r="AL3972">
        <v>89.402258942738399</v>
      </c>
      <c r="AM3972">
        <v>93.347302289363896</v>
      </c>
      <c r="AN3972">
        <v>0.999999973019565</v>
      </c>
    </row>
    <row r="3973" spans="1:40" x14ac:dyDescent="0.25">
      <c r="A3973" t="str">
        <f>"20190312154000020"</f>
        <v>20190312154000020</v>
      </c>
      <c r="B3973" t="str">
        <f>"1552376400009886"</f>
        <v>1552376400009886</v>
      </c>
      <c r="C3973" t="s">
        <v>40</v>
      </c>
      <c r="D3973">
        <v>4.2998979999999998</v>
      </c>
      <c r="E3973">
        <v>0.39354699999999998</v>
      </c>
      <c r="F3973" t="s">
        <v>54</v>
      </c>
      <c r="G3973">
        <v>-479.49430000000001</v>
      </c>
      <c r="H3973" s="1">
        <v>2.268433E-6</v>
      </c>
      <c r="I3973">
        <v>221.167</v>
      </c>
      <c r="J3973">
        <v>-489.13529999999997</v>
      </c>
      <c r="K3973">
        <v>1.1113379999999999</v>
      </c>
      <c r="L3973">
        <v>231.90430000000001</v>
      </c>
      <c r="M3973">
        <v>0.38408350000000002</v>
      </c>
      <c r="N3973">
        <v>0</v>
      </c>
      <c r="O3973">
        <v>-0.92319980000000001</v>
      </c>
      <c r="P3973">
        <v>0.43716820000000001</v>
      </c>
      <c r="Q3973">
        <v>-2.9922439999999998E-3</v>
      </c>
      <c r="R3973">
        <v>-0.89937529999999999</v>
      </c>
      <c r="S3973">
        <v>2.079285</v>
      </c>
      <c r="T3973">
        <v>-0.23861540000000001</v>
      </c>
      <c r="U3973">
        <v>-2.3262019999999999</v>
      </c>
      <c r="V3973">
        <v>-5.8185630000000002E-2</v>
      </c>
      <c r="W3973">
        <v>1.037562E-2</v>
      </c>
      <c r="X3973">
        <v>0.99825189999999997</v>
      </c>
      <c r="Y3973">
        <v>-0.32689679999999999</v>
      </c>
      <c r="Z3973">
        <v>7.5353240000000002E-2</v>
      </c>
      <c r="AA3973">
        <v>0.94205110000000003</v>
      </c>
      <c r="AB3973">
        <v>12</v>
      </c>
      <c r="AC3973">
        <v>9.6409999999999592</v>
      </c>
      <c r="AD3973">
        <v>-1.1113357315669901</v>
      </c>
      <c r="AE3973">
        <v>-10.737299999999999</v>
      </c>
      <c r="AF3973">
        <v>-4.7488188691438804</v>
      </c>
      <c r="AG3973">
        <v>-1.1113357315669901</v>
      </c>
      <c r="AH3973">
        <v>13.5365756581193</v>
      </c>
      <c r="AI3973">
        <v>94.429850191881599</v>
      </c>
      <c r="AJ3973">
        <v>109.331579464559</v>
      </c>
      <c r="AK3973">
        <v>14.388371287542601</v>
      </c>
      <c r="AL3973">
        <v>89.405510120211304</v>
      </c>
      <c r="AM3973">
        <v>93.335854665919001</v>
      </c>
      <c r="AN3973">
        <v>1.00000003844124</v>
      </c>
    </row>
    <row r="3974" spans="1:40" x14ac:dyDescent="0.25">
      <c r="A3974" t="str">
        <f>"20190312154000045"</f>
        <v>20190312154000045</v>
      </c>
      <c r="B3974" t="str">
        <f>"1552376400039166"</f>
        <v>1552376400039166</v>
      </c>
      <c r="C3974" t="s">
        <v>40</v>
      </c>
      <c r="D3974">
        <v>4.3312910000000002</v>
      </c>
      <c r="E3974">
        <v>0.39375870000000002</v>
      </c>
      <c r="F3974" t="s">
        <v>54</v>
      </c>
      <c r="G3974">
        <v>-479.45580000000001</v>
      </c>
      <c r="H3974" s="1">
        <v>2.2679879999999998E-6</v>
      </c>
      <c r="I3974">
        <v>221.10329999999999</v>
      </c>
      <c r="J3974">
        <v>-489.08510000000001</v>
      </c>
      <c r="K3974">
        <v>1.1113550000000001</v>
      </c>
      <c r="L3974">
        <v>231.7927</v>
      </c>
      <c r="M3974">
        <v>0.38666040000000002</v>
      </c>
      <c r="N3974">
        <v>0</v>
      </c>
      <c r="O3974">
        <v>-0.92212340000000004</v>
      </c>
      <c r="P3974">
        <v>0.4394768</v>
      </c>
      <c r="Q3974">
        <v>-3.3661680000000001E-3</v>
      </c>
      <c r="R3974">
        <v>-0.89824799999999905</v>
      </c>
      <c r="S3974">
        <v>2.0817570000000001</v>
      </c>
      <c r="T3974">
        <v>-0.23901459999999999</v>
      </c>
      <c r="U3974">
        <v>-2.3229679999999999</v>
      </c>
      <c r="V3974">
        <v>-5.7962119999999999E-2</v>
      </c>
      <c r="W3974">
        <v>9.9989350000000005E-3</v>
      </c>
      <c r="X3974">
        <v>0.99826870000000001</v>
      </c>
      <c r="Y3974">
        <v>-0.32546029999999998</v>
      </c>
      <c r="Z3974">
        <v>7.5424959999999999E-2</v>
      </c>
      <c r="AA3974">
        <v>0.94254269999999996</v>
      </c>
      <c r="AB3974">
        <v>12</v>
      </c>
      <c r="AC3974">
        <v>9.6293000000000006</v>
      </c>
      <c r="AD3974">
        <v>-1.11135273201199</v>
      </c>
      <c r="AE3974">
        <v>-10.689399999999999</v>
      </c>
      <c r="AF3974">
        <v>-4.7185118371881201</v>
      </c>
      <c r="AG3974">
        <v>-1.11135273201199</v>
      </c>
      <c r="AH3974">
        <v>13.5008911699754</v>
      </c>
      <c r="AI3974">
        <v>94.443398111751506</v>
      </c>
      <c r="AJ3974">
        <v>109.264333052921</v>
      </c>
      <c r="AK3974">
        <v>14.344808163100501</v>
      </c>
      <c r="AL3974">
        <v>89.427093673459595</v>
      </c>
      <c r="AM3974">
        <v>93.323013532196896</v>
      </c>
      <c r="AN3974">
        <v>0.99999999172785903</v>
      </c>
    </row>
    <row r="3975" spans="1:40" x14ac:dyDescent="0.25">
      <c r="A3975" t="str">
        <f>"20190312154000065"</f>
        <v>20190312154000065</v>
      </c>
      <c r="B3975" t="str">
        <f>"1552376400059663"</f>
        <v>1552376400059663</v>
      </c>
      <c r="C3975" t="s">
        <v>40</v>
      </c>
      <c r="D3975">
        <v>4.3894760000000002</v>
      </c>
      <c r="E3975">
        <v>0.39390760000000002</v>
      </c>
      <c r="F3975" t="s">
        <v>54</v>
      </c>
      <c r="G3975">
        <v>-479.46719999999999</v>
      </c>
      <c r="H3975" s="1">
        <v>2.2636759999999998E-6</v>
      </c>
      <c r="I3975">
        <v>221.10210000000001</v>
      </c>
      <c r="J3975">
        <v>-489.03890000000001</v>
      </c>
      <c r="K3975">
        <v>1.111364</v>
      </c>
      <c r="L3975">
        <v>231.69049999999999</v>
      </c>
      <c r="M3975">
        <v>0.38904810000000001</v>
      </c>
      <c r="N3975">
        <v>0</v>
      </c>
      <c r="O3975">
        <v>-0.92111860000000001</v>
      </c>
      <c r="P3975">
        <v>0.4422914</v>
      </c>
      <c r="Q3975">
        <v>-3.484684E-3</v>
      </c>
      <c r="R3975">
        <v>-0.89686489999999996</v>
      </c>
      <c r="S3975">
        <v>2.085785</v>
      </c>
      <c r="T3975">
        <v>-0.2410117</v>
      </c>
      <c r="U3975">
        <v>-2.3184200000000001</v>
      </c>
      <c r="V3975">
        <v>-5.850578E-2</v>
      </c>
      <c r="W3975">
        <v>9.8759160000000002E-3</v>
      </c>
      <c r="X3975">
        <v>0.99823819999999996</v>
      </c>
      <c r="Y3975">
        <v>-0.32480239999999999</v>
      </c>
      <c r="Z3975">
        <v>7.6011519999999999E-2</v>
      </c>
      <c r="AA3975">
        <v>0.94272250000000002</v>
      </c>
      <c r="AB3975">
        <v>12</v>
      </c>
      <c r="AC3975">
        <v>9.5717000000000194</v>
      </c>
      <c r="AD3975">
        <v>-1.111361736324</v>
      </c>
      <c r="AE3975">
        <v>-10.588399999999901</v>
      </c>
      <c r="AF3975">
        <v>-4.6693935100425898</v>
      </c>
      <c r="AG3975">
        <v>-1.111361736324</v>
      </c>
      <c r="AH3975">
        <v>13.3970315193127</v>
      </c>
      <c r="AI3975">
        <v>94.479069715412095</v>
      </c>
      <c r="AJ3975">
        <v>109.215459567271</v>
      </c>
      <c r="AK3975">
        <v>14.230910518658</v>
      </c>
      <c r="AL3975">
        <v>89.434142485555697</v>
      </c>
      <c r="AM3975">
        <v>93.354213400270893</v>
      </c>
      <c r="AN3975">
        <v>0.99999998197474305</v>
      </c>
    </row>
    <row r="3976" spans="1:40" x14ac:dyDescent="0.25">
      <c r="A3976" t="str">
        <f>"20190312154000088"</f>
        <v>20190312154000088</v>
      </c>
      <c r="B3976" t="str">
        <f>"1552376400080159"</f>
        <v>1552376400080159</v>
      </c>
      <c r="C3976" t="s">
        <v>40</v>
      </c>
      <c r="D3976">
        <v>4.3493519999999997</v>
      </c>
      <c r="E3976">
        <v>0.39395439999999998</v>
      </c>
      <c r="F3976" t="s">
        <v>54</v>
      </c>
      <c r="G3976">
        <v>-479.5575</v>
      </c>
      <c r="H3976" s="1">
        <v>2.255214E-6</v>
      </c>
      <c r="I3976">
        <v>221.20869999999999</v>
      </c>
      <c r="J3976">
        <v>-488.98849999999999</v>
      </c>
      <c r="K3976">
        <v>1.111372</v>
      </c>
      <c r="L3976">
        <v>231.57990000000001</v>
      </c>
      <c r="M3976">
        <v>0.39165929999999999</v>
      </c>
      <c r="N3976">
        <v>0</v>
      </c>
      <c r="O3976">
        <v>-0.92001129999999998</v>
      </c>
      <c r="P3976">
        <v>0.4454013</v>
      </c>
      <c r="Q3976">
        <v>-3.4899179999999998E-3</v>
      </c>
      <c r="R3976">
        <v>-0.89532429999999996</v>
      </c>
      <c r="S3976">
        <v>2.091736</v>
      </c>
      <c r="T3976">
        <v>-0.24518110000000001</v>
      </c>
      <c r="U3976">
        <v>-2.312424</v>
      </c>
      <c r="V3976">
        <v>-5.9139329999999997E-2</v>
      </c>
      <c r="W3976">
        <v>9.8663770000000008E-3</v>
      </c>
      <c r="X3976">
        <v>0.998201</v>
      </c>
      <c r="Y3976">
        <v>-0.3246</v>
      </c>
      <c r="Z3976">
        <v>7.7275179999999999E-2</v>
      </c>
      <c r="AA3976">
        <v>0.94268949999999996</v>
      </c>
      <c r="AB3976">
        <v>12</v>
      </c>
      <c r="AC3976">
        <v>9.4309999999999796</v>
      </c>
      <c r="AD3976">
        <v>-1.111369744786</v>
      </c>
      <c r="AE3976">
        <v>-10.3712</v>
      </c>
      <c r="AF3976">
        <v>-4.58624309551469</v>
      </c>
      <c r="AG3976">
        <v>-1.111369744786</v>
      </c>
      <c r="AH3976">
        <v>13.153886734410101</v>
      </c>
      <c r="AI3976">
        <v>94.561378946403394</v>
      </c>
      <c r="AJ3976">
        <v>109.221654773897</v>
      </c>
      <c r="AK3976">
        <v>13.974745244993599</v>
      </c>
      <c r="AL3976">
        <v>89.434689078740007</v>
      </c>
      <c r="AM3976">
        <v>93.390577433517805</v>
      </c>
      <c r="AN3976">
        <v>1.0000000210744699</v>
      </c>
    </row>
    <row r="3977" spans="1:40" x14ac:dyDescent="0.25">
      <c r="A3977" t="str">
        <f>"20190312154000110"</f>
        <v>20190312154000110</v>
      </c>
      <c r="B3977" t="str">
        <f>"1552376400099679"</f>
        <v>1552376400099679</v>
      </c>
      <c r="C3977" t="s">
        <v>40</v>
      </c>
      <c r="D3977">
        <v>4.3408189999999998</v>
      </c>
      <c r="E3977">
        <v>0.39421659999999997</v>
      </c>
      <c r="F3977" t="s">
        <v>54</v>
      </c>
      <c r="G3977">
        <v>-479.57619999999997</v>
      </c>
      <c r="H3977" s="1">
        <v>2.2560399999999999E-6</v>
      </c>
      <c r="I3977">
        <v>221.2424</v>
      </c>
      <c r="J3977">
        <v>-488.94159999999999</v>
      </c>
      <c r="K3977">
        <v>1.1113740000000001</v>
      </c>
      <c r="L3977">
        <v>231.4778</v>
      </c>
      <c r="M3977">
        <v>0.39409319999999998</v>
      </c>
      <c r="N3977">
        <v>0</v>
      </c>
      <c r="O3977">
        <v>-0.91897150000000005</v>
      </c>
      <c r="P3977">
        <v>0.44918720000000001</v>
      </c>
      <c r="Q3977">
        <v>-3.6051780000000001E-3</v>
      </c>
      <c r="R3977">
        <v>-0.89343069999999902</v>
      </c>
      <c r="S3977">
        <v>2.0991819999999999</v>
      </c>
      <c r="T3977">
        <v>-0.24786259999999999</v>
      </c>
      <c r="U3977">
        <v>-2.3055110000000001</v>
      </c>
      <c r="V3977">
        <v>-6.072197E-2</v>
      </c>
      <c r="W3977">
        <v>9.7443170000000006E-3</v>
      </c>
      <c r="X3977">
        <v>0.99810710000000002</v>
      </c>
      <c r="Y3977">
        <v>-0.32512249999999998</v>
      </c>
      <c r="Z3977">
        <v>7.8077430000000003E-2</v>
      </c>
      <c r="AA3977">
        <v>0.94244329999999998</v>
      </c>
      <c r="AB3977">
        <v>12</v>
      </c>
      <c r="AC3977">
        <v>9.3654000000000206</v>
      </c>
      <c r="AD3977">
        <v>-1.1113717439599999</v>
      </c>
      <c r="AE3977">
        <v>-10.235399999999901</v>
      </c>
      <c r="AF3977">
        <v>-4.5440897916883296</v>
      </c>
      <c r="AG3977">
        <v>-1.1113717439599999</v>
      </c>
      <c r="AH3977">
        <v>13.0145557258893</v>
      </c>
      <c r="AI3977">
        <v>94.609306072128604</v>
      </c>
      <c r="AJ3977">
        <v>109.246874428087</v>
      </c>
      <c r="AK3977">
        <v>13.8297707837287</v>
      </c>
      <c r="AL3977">
        <v>89.441682895866094</v>
      </c>
      <c r="AM3977">
        <v>93.481419844567</v>
      </c>
      <c r="AN3977">
        <v>0.99999994621244204</v>
      </c>
    </row>
    <row r="3978" spans="1:40" x14ac:dyDescent="0.25">
      <c r="A3978" t="str">
        <f>"20190312154000145"</f>
        <v>20190312154000145</v>
      </c>
      <c r="B3978" t="str">
        <f>"1552376400139695"</f>
        <v>1552376400139695</v>
      </c>
      <c r="C3978" t="s">
        <v>40</v>
      </c>
      <c r="D3978">
        <v>4.1057519999999998</v>
      </c>
      <c r="E3978">
        <v>0.39399220000000001</v>
      </c>
      <c r="F3978" t="s">
        <v>54</v>
      </c>
      <c r="G3978">
        <v>-479.58440000000002</v>
      </c>
      <c r="H3978" s="1">
        <v>2.2597659999999999E-6</v>
      </c>
      <c r="I3978">
        <v>221.27250000000001</v>
      </c>
      <c r="J3978">
        <v>-488.8673</v>
      </c>
      <c r="K3978">
        <v>1.1113729999999999</v>
      </c>
      <c r="L3978">
        <v>231.3176</v>
      </c>
      <c r="M3978">
        <v>0.39794350000000001</v>
      </c>
      <c r="N3978">
        <v>0</v>
      </c>
      <c r="O3978">
        <v>-0.91731070000000003</v>
      </c>
      <c r="P3978">
        <v>0.45587689999999997</v>
      </c>
      <c r="Q3978">
        <v>-3.5653719999999998E-3</v>
      </c>
      <c r="R3978">
        <v>-0.89003600000000005</v>
      </c>
      <c r="S3978">
        <v>2.1066889999999998</v>
      </c>
      <c r="T3978">
        <v>-0.25021559999999998</v>
      </c>
      <c r="U3978">
        <v>-2.2976529999999999</v>
      </c>
      <c r="V3978">
        <v>-6.4024120000000004E-2</v>
      </c>
      <c r="W3978">
        <v>9.7714940000000004E-3</v>
      </c>
      <c r="X3978">
        <v>0.99790049999999997</v>
      </c>
      <c r="Y3978">
        <v>-0.32439620000000002</v>
      </c>
      <c r="Z3978">
        <v>7.8739429999999999E-2</v>
      </c>
      <c r="AA3978">
        <v>0.94263839999999999</v>
      </c>
      <c r="AB3978">
        <v>12</v>
      </c>
      <c r="AC3978">
        <v>9.2828999999999802</v>
      </c>
      <c r="AD3978">
        <v>-1.1113707402339901</v>
      </c>
      <c r="AE3978">
        <v>-10.0450999999999</v>
      </c>
      <c r="AF3978">
        <v>-4.4886965540757302</v>
      </c>
      <c r="AG3978">
        <v>-1.1113707402339901</v>
      </c>
      <c r="AH3978">
        <v>12.825047010997601</v>
      </c>
      <c r="AI3978">
        <v>94.675892654451104</v>
      </c>
      <c r="AJ3978">
        <v>109.289768021304</v>
      </c>
      <c r="AK3978">
        <v>13.633245120334299</v>
      </c>
      <c r="AL3978">
        <v>89.440125718183594</v>
      </c>
      <c r="AM3978">
        <v>93.670998161504897</v>
      </c>
      <c r="AN3978">
        <v>0.99999998896850795</v>
      </c>
    </row>
    <row r="3979" spans="1:40" x14ac:dyDescent="0.25">
      <c r="A3979" t="str">
        <f>"20190312154000300"</f>
        <v>20190312154000300</v>
      </c>
      <c r="B3979" t="str">
        <f>"1552376400289555"</f>
        <v>1552376400289555</v>
      </c>
      <c r="C3979" t="s">
        <v>40</v>
      </c>
      <c r="D3979">
        <v>3.992245</v>
      </c>
      <c r="E3979">
        <v>0.4055454</v>
      </c>
      <c r="F3979" t="s">
        <v>54</v>
      </c>
      <c r="G3979">
        <v>-479.68599999999998</v>
      </c>
      <c r="H3979" s="1">
        <v>2.2657760000000002E-6</v>
      </c>
      <c r="I3979">
        <v>221.46270000000001</v>
      </c>
      <c r="J3979">
        <v>-488.52550000000002</v>
      </c>
      <c r="K3979">
        <v>1.1112899999999999</v>
      </c>
      <c r="L3979">
        <v>230.60249999999999</v>
      </c>
      <c r="M3979">
        <v>0.41516320000000001</v>
      </c>
      <c r="N3979">
        <v>0</v>
      </c>
      <c r="O3979">
        <v>-0.90964699999999998</v>
      </c>
      <c r="P3979">
        <v>0.48322219999999999</v>
      </c>
      <c r="Q3979">
        <v>-5.9389040000000001E-3</v>
      </c>
      <c r="R3979">
        <v>-0.87547770000000003</v>
      </c>
      <c r="S3979">
        <v>2.1251530000000001</v>
      </c>
      <c r="T3979">
        <v>-0.25724350000000001</v>
      </c>
      <c r="U3979">
        <v>-2.2810820000000001</v>
      </c>
      <c r="V3979">
        <v>-7.6117400000000002E-2</v>
      </c>
      <c r="W3979">
        <v>7.35068099999999E-3</v>
      </c>
      <c r="X3979">
        <v>0.99707170000000001</v>
      </c>
      <c r="Y3979">
        <v>-0.31394820000000001</v>
      </c>
      <c r="Z3979">
        <v>8.0342849999999993E-2</v>
      </c>
      <c r="AA3979">
        <v>0.94603470000000001</v>
      </c>
      <c r="AB3979">
        <v>12</v>
      </c>
      <c r="AC3979">
        <v>8.8395000000000401</v>
      </c>
      <c r="AD3979">
        <v>-1.111287734224</v>
      </c>
      <c r="AE3979">
        <v>-9.1397999999999797</v>
      </c>
      <c r="AF3979">
        <v>-4.2145090565296099</v>
      </c>
      <c r="AG3979">
        <v>-1.111287734224</v>
      </c>
      <c r="AH3979">
        <v>11.8940620316378</v>
      </c>
      <c r="AI3979">
        <v>95.032880368935096</v>
      </c>
      <c r="AJ3979">
        <v>109.51113167844299</v>
      </c>
      <c r="AK3979">
        <v>12.6675079880872</v>
      </c>
      <c r="AL3979">
        <v>89.578833181100293</v>
      </c>
      <c r="AM3979">
        <v>94.365546617866102</v>
      </c>
      <c r="AN3979">
        <v>0.99999993301740397</v>
      </c>
    </row>
    <row r="3980" spans="1:40" x14ac:dyDescent="0.25">
      <c r="A3980" t="str">
        <f>"20190312154000323"</f>
        <v>20190312154000323</v>
      </c>
      <c r="B3980" t="str">
        <f>"1552376400319359"</f>
        <v>1552376400319359</v>
      </c>
      <c r="C3980" t="s">
        <v>40</v>
      </c>
      <c r="D3980">
        <v>4.1122489999999896</v>
      </c>
      <c r="E3980">
        <v>0.40580830000000001</v>
      </c>
      <c r="F3980" t="s">
        <v>54</v>
      </c>
      <c r="G3980">
        <v>-486.50470000000001</v>
      </c>
      <c r="H3980" s="1">
        <v>5.3573170000000002E-6</v>
      </c>
      <c r="I3980">
        <v>228.46469999999999</v>
      </c>
      <c r="J3980">
        <v>-488.47430000000003</v>
      </c>
      <c r="K3980">
        <v>1.1112799999999901</v>
      </c>
      <c r="L3980">
        <v>230.4982</v>
      </c>
      <c r="M3980">
        <v>0.41765849999999999</v>
      </c>
      <c r="N3980">
        <v>0</v>
      </c>
      <c r="O3980">
        <v>-0.90850410000000004</v>
      </c>
      <c r="P3980">
        <v>0.4859909</v>
      </c>
      <c r="Q3980">
        <v>-6.0230269999999898E-3</v>
      </c>
      <c r="R3980">
        <v>-0.87394309999999997</v>
      </c>
      <c r="S3980">
        <v>2.1237180000000002</v>
      </c>
      <c r="T3980">
        <v>-1.1678580000000001</v>
      </c>
      <c r="U3980">
        <v>-2.246597</v>
      </c>
      <c r="V3980">
        <v>-7.6536309999999996E-2</v>
      </c>
      <c r="W3980">
        <v>7.2629460000000002E-3</v>
      </c>
      <c r="X3980">
        <v>0.99704029999999999</v>
      </c>
      <c r="Y3980">
        <v>-0.2748004</v>
      </c>
      <c r="Z3980">
        <v>0.34455799999999998</v>
      </c>
      <c r="AA3980">
        <v>0.89764390000000005</v>
      </c>
      <c r="AB3980">
        <v>11</v>
      </c>
      <c r="AC3980">
        <v>1.96960000000001</v>
      </c>
      <c r="AD3980">
        <v>-1.11127464268299</v>
      </c>
      <c r="AE3980">
        <v>-2.0335000000000001</v>
      </c>
      <c r="AF3980">
        <v>-0.81464012246055695</v>
      </c>
      <c r="AG3980">
        <v>-1.11127464268299</v>
      </c>
      <c r="AH3980">
        <v>2.3137797709971402</v>
      </c>
      <c r="AI3980">
        <v>114.371787171829</v>
      </c>
      <c r="AJ3980">
        <v>109.39624678773001</v>
      </c>
      <c r="AK3980">
        <v>2.6929810042531601</v>
      </c>
      <c r="AL3980">
        <v>89.583860171445593</v>
      </c>
      <c r="AM3980">
        <v>94.389616338762195</v>
      </c>
      <c r="AN3980">
        <v>0.99999995847855105</v>
      </c>
    </row>
    <row r="3981" spans="1:40" x14ac:dyDescent="0.25">
      <c r="A3981" t="str">
        <f>"20190312154000411"</f>
        <v>20190312154000411</v>
      </c>
      <c r="B3981" t="str">
        <f>"1552376400399392"</f>
        <v>1552376400399392</v>
      </c>
      <c r="C3981" t="s">
        <v>40</v>
      </c>
      <c r="D3981">
        <v>4.2113139999999998</v>
      </c>
      <c r="E3981">
        <v>0.39839980000000003</v>
      </c>
      <c r="F3981" t="s">
        <v>54</v>
      </c>
      <c r="G3981">
        <v>-486.24340000000001</v>
      </c>
      <c r="H3981" s="1">
        <v>5.1897839999999901E-6</v>
      </c>
      <c r="I3981">
        <v>228.14830000000001</v>
      </c>
      <c r="J3981">
        <v>-488.27510000000001</v>
      </c>
      <c r="K3981">
        <v>1.1112660000000001</v>
      </c>
      <c r="L3981">
        <v>230.0992</v>
      </c>
      <c r="M3981">
        <v>0.4272048</v>
      </c>
      <c r="N3981">
        <v>0</v>
      </c>
      <c r="O3981">
        <v>-0.90405480000000005</v>
      </c>
      <c r="P3981">
        <v>0.4938881</v>
      </c>
      <c r="Q3981">
        <v>-5.6155179999999999E-3</v>
      </c>
      <c r="R3981">
        <v>-0.86950749999999999</v>
      </c>
      <c r="S3981">
        <v>2.1283259999999999</v>
      </c>
      <c r="T3981">
        <v>-1.0601969999999901</v>
      </c>
      <c r="U3981">
        <v>-2.2418670000000001</v>
      </c>
      <c r="V3981">
        <v>-7.5065510000000002E-2</v>
      </c>
      <c r="W3981">
        <v>7.6629999999999997E-3</v>
      </c>
      <c r="X3981">
        <v>0.99714919999999996</v>
      </c>
      <c r="Y3981">
        <v>-0.27432509999999999</v>
      </c>
      <c r="Z3981">
        <v>0.31491029999999998</v>
      </c>
      <c r="AA3981">
        <v>0.9086128</v>
      </c>
      <c r="AB3981">
        <v>11</v>
      </c>
      <c r="AC3981">
        <v>2.0316999999999998</v>
      </c>
      <c r="AD3981">
        <v>-1.111260810216</v>
      </c>
      <c r="AE3981">
        <v>-1.9508999999999801</v>
      </c>
      <c r="AF3981">
        <v>-0.86827746949140505</v>
      </c>
      <c r="AG3981">
        <v>-1.111260810216</v>
      </c>
      <c r="AH3981">
        <v>2.2774283271503202</v>
      </c>
      <c r="AI3981">
        <v>114.509824878267</v>
      </c>
      <c r="AJ3981">
        <v>110.86952175544</v>
      </c>
      <c r="AK3981">
        <v>2.67870978974114</v>
      </c>
      <c r="AL3981">
        <v>89.5609381618886</v>
      </c>
      <c r="AM3981">
        <v>94.305112832271206</v>
      </c>
      <c r="AN3981">
        <v>1.0000000397105899</v>
      </c>
    </row>
    <row r="3982" spans="1:40" x14ac:dyDescent="0.25">
      <c r="A3982" t="str">
        <f>"20190312154000433"</f>
        <v>20190312154000433</v>
      </c>
      <c r="B3982" t="str">
        <f>"1552376400430214"</f>
        <v>1552376400430214</v>
      </c>
      <c r="C3982" t="s">
        <v>40</v>
      </c>
      <c r="D3982">
        <v>4.1161050000000001</v>
      </c>
      <c r="E3982">
        <v>0.40187129999999999</v>
      </c>
      <c r="F3982" t="s">
        <v>54</v>
      </c>
      <c r="G3982">
        <v>-475.75850000000003</v>
      </c>
      <c r="H3982" s="1">
        <v>3.5301849999999999E-6</v>
      </c>
      <c r="I3982">
        <v>217.48560000000001</v>
      </c>
      <c r="J3982">
        <v>-488.2253</v>
      </c>
      <c r="K3982">
        <v>1.111262</v>
      </c>
      <c r="L3982">
        <v>230.001</v>
      </c>
      <c r="M3982">
        <v>0.42955199999999999</v>
      </c>
      <c r="N3982">
        <v>0</v>
      </c>
      <c r="O3982">
        <v>-0.90294220000000003</v>
      </c>
      <c r="P3982">
        <v>0.49557600000000002</v>
      </c>
      <c r="Q3982">
        <v>-5.0986419999999996E-3</v>
      </c>
      <c r="R3982">
        <v>-0.86855009999999999</v>
      </c>
      <c r="S3982">
        <v>2.1887819999999998</v>
      </c>
      <c r="T3982">
        <v>-0.19432769999999999</v>
      </c>
      <c r="U3982">
        <v>-2.2057500000000001</v>
      </c>
      <c r="V3982">
        <v>-7.4411420000000006E-2</v>
      </c>
      <c r="W3982">
        <v>8.1789229999999994E-3</v>
      </c>
      <c r="X3982">
        <v>0.99719409999999997</v>
      </c>
      <c r="Y3982">
        <v>-0.32970300000000002</v>
      </c>
      <c r="Z3982">
        <v>6.092537E-2</v>
      </c>
      <c r="AA3982">
        <v>0.94211679999999998</v>
      </c>
      <c r="AB3982">
        <v>11</v>
      </c>
      <c r="AC3982">
        <v>12.4667999999999</v>
      </c>
      <c r="AD3982">
        <v>-1.1112584698150001</v>
      </c>
      <c r="AE3982">
        <v>-12.5153999999999</v>
      </c>
      <c r="AF3982">
        <v>-5.8581331280330904</v>
      </c>
      <c r="AG3982">
        <v>-1.1112584698150001</v>
      </c>
      <c r="AH3982">
        <v>16.591666836111401</v>
      </c>
      <c r="AI3982">
        <v>93.613765966892302</v>
      </c>
      <c r="AJ3982">
        <v>109.446945959814</v>
      </c>
      <c r="AK3982">
        <v>17.630542462811899</v>
      </c>
      <c r="AL3982">
        <v>89.531377012692403</v>
      </c>
      <c r="AM3982">
        <v>94.267547601972396</v>
      </c>
      <c r="AN3982">
        <v>1.0000000136413301</v>
      </c>
    </row>
    <row r="3983" spans="1:40" x14ac:dyDescent="0.25">
      <c r="A3983" t="str">
        <f>"20190312154000455"</f>
        <v>20190312154000455</v>
      </c>
      <c r="B3983" t="str">
        <f>"1552376400449734"</f>
        <v>1552376400449734</v>
      </c>
      <c r="C3983" t="s">
        <v>40</v>
      </c>
      <c r="D3983">
        <v>4.1892940000000003</v>
      </c>
      <c r="E3983">
        <v>0.40301540000000002</v>
      </c>
      <c r="F3983" t="s">
        <v>54</v>
      </c>
      <c r="G3983">
        <v>-476.1712</v>
      </c>
      <c r="H3983" s="1">
        <v>3.3561259999999998E-6</v>
      </c>
      <c r="I3983">
        <v>217.69040000000001</v>
      </c>
      <c r="J3983">
        <v>-488.17520000000002</v>
      </c>
      <c r="K3983">
        <v>1.111256</v>
      </c>
      <c r="L3983">
        <v>229.90299999999999</v>
      </c>
      <c r="M3983">
        <v>0.43189280000000002</v>
      </c>
      <c r="N3983">
        <v>0</v>
      </c>
      <c r="O3983">
        <v>-0.90182479999999998</v>
      </c>
      <c r="P3983">
        <v>0.49772270000000002</v>
      </c>
      <c r="Q3983">
        <v>-4.7552920000000004E-3</v>
      </c>
      <c r="R3983">
        <v>-0.86732319999999996</v>
      </c>
      <c r="S3983">
        <v>2.169098</v>
      </c>
      <c r="T3983">
        <v>-0.19996800000000001</v>
      </c>
      <c r="U3983">
        <v>-2.2152560000000001</v>
      </c>
      <c r="V3983">
        <v>-7.4290889999999998E-2</v>
      </c>
      <c r="W3983">
        <v>8.5203259999999999E-3</v>
      </c>
      <c r="X3983">
        <v>0.99720019999999998</v>
      </c>
      <c r="Y3983">
        <v>-0.32087640000000001</v>
      </c>
      <c r="Z3983">
        <v>6.2649629999999998E-2</v>
      </c>
      <c r="AA3983">
        <v>0.94504670000000002</v>
      </c>
      <c r="AB3983">
        <v>11</v>
      </c>
      <c r="AC3983">
        <v>12.004</v>
      </c>
      <c r="AD3983">
        <v>-1.111252643874</v>
      </c>
      <c r="AE3983">
        <v>-12.212599999999901</v>
      </c>
      <c r="AF3983">
        <v>-5.5281924684468402</v>
      </c>
      <c r="AG3983">
        <v>-1.111252643874</v>
      </c>
      <c r="AH3983">
        <v>16.1315979206184</v>
      </c>
      <c r="AI3983">
        <v>93.728486227447902</v>
      </c>
      <c r="AJ3983">
        <v>108.916250101207</v>
      </c>
      <c r="AK3983">
        <v>17.088716917288099</v>
      </c>
      <c r="AL3983">
        <v>89.511815366261203</v>
      </c>
      <c r="AM3983">
        <v>94.260634629543304</v>
      </c>
      <c r="AN3983">
        <v>0.99999998558608905</v>
      </c>
    </row>
    <row r="3984" spans="1:40" x14ac:dyDescent="0.25">
      <c r="A3984" t="str">
        <f>"20190312154000479"</f>
        <v>20190312154000479</v>
      </c>
      <c r="B3984" t="str">
        <f>"1552376400470230"</f>
        <v>1552376400470230</v>
      </c>
      <c r="C3984" t="s">
        <v>40</v>
      </c>
      <c r="D3984">
        <v>4.3692330000000004</v>
      </c>
      <c r="E3984">
        <v>0.40337719999999999</v>
      </c>
      <c r="F3984" t="s">
        <v>54</v>
      </c>
      <c r="G3984">
        <v>-476.44760000000002</v>
      </c>
      <c r="H3984" s="1">
        <v>3.243532E-6</v>
      </c>
      <c r="I3984">
        <v>217.91820000000001</v>
      </c>
      <c r="J3984">
        <v>-488.12279999999998</v>
      </c>
      <c r="K3984">
        <v>1.111246</v>
      </c>
      <c r="L3984">
        <v>229.80099999999999</v>
      </c>
      <c r="M3984">
        <v>0.43431930000000002</v>
      </c>
      <c r="N3984">
        <v>0</v>
      </c>
      <c r="O3984">
        <v>-0.90065859999999998</v>
      </c>
      <c r="P3984">
        <v>0.50057450000000003</v>
      </c>
      <c r="Q3984">
        <v>-4.2393429999999996E-3</v>
      </c>
      <c r="R3984">
        <v>-0.86568319999999999</v>
      </c>
      <c r="S3984">
        <v>2.1668090000000002</v>
      </c>
      <c r="T3984">
        <v>-0.2053161</v>
      </c>
      <c r="U3984">
        <v>-2.2143099999999998</v>
      </c>
      <c r="V3984">
        <v>-7.4887770000000006E-2</v>
      </c>
      <c r="W3984">
        <v>9.0329050000000008E-3</v>
      </c>
      <c r="X3984">
        <v>0.99715109999999996</v>
      </c>
      <c r="Y3984">
        <v>-0.31794840000000002</v>
      </c>
      <c r="Z3984">
        <v>6.4269850000000003E-2</v>
      </c>
      <c r="AA3984">
        <v>0.94592710000000002</v>
      </c>
      <c r="AB3984">
        <v>11</v>
      </c>
      <c r="AC3984">
        <v>11.675199999999901</v>
      </c>
      <c r="AD3984">
        <v>-1.1112427564680001</v>
      </c>
      <c r="AE3984">
        <v>-11.8827999999999</v>
      </c>
      <c r="AF3984">
        <v>-5.3312014938108803</v>
      </c>
      <c r="AG3984">
        <v>-1.1112427564680001</v>
      </c>
      <c r="AH3984">
        <v>15.704654973885701</v>
      </c>
      <c r="AI3984">
        <v>93.833282811119304</v>
      </c>
      <c r="AJ3984">
        <v>108.75061985408399</v>
      </c>
      <c r="AK3984">
        <v>16.622056361359402</v>
      </c>
      <c r="AL3984">
        <v>89.482445651122106</v>
      </c>
      <c r="AM3984">
        <v>94.294949228222706</v>
      </c>
      <c r="AN3984">
        <v>1.00000004384976</v>
      </c>
    </row>
    <row r="3985" spans="1:40" x14ac:dyDescent="0.25">
      <c r="A3985" t="str">
        <f>"20190312154000500"</f>
        <v>20190312154000500</v>
      </c>
      <c r="B3985" t="str">
        <f>"1552376400489750"</f>
        <v>1552376400489750</v>
      </c>
      <c r="C3985" t="s">
        <v>40</v>
      </c>
      <c r="D3985">
        <v>4.3891339999999897</v>
      </c>
      <c r="E3985">
        <v>0.4037752</v>
      </c>
      <c r="F3985" t="s">
        <v>54</v>
      </c>
      <c r="G3985">
        <v>-476.56599999999997</v>
      </c>
      <c r="H3985" s="1">
        <v>3.1966279999999999E-6</v>
      </c>
      <c r="I3985">
        <v>218.04689999999999</v>
      </c>
      <c r="J3985">
        <v>-488.07209999999998</v>
      </c>
      <c r="K3985">
        <v>1.1112280000000001</v>
      </c>
      <c r="L3985">
        <v>229.7029</v>
      </c>
      <c r="M3985">
        <v>0.43664350000000002</v>
      </c>
      <c r="N3985">
        <v>0</v>
      </c>
      <c r="O3985">
        <v>-0.89953449999999902</v>
      </c>
      <c r="P3985">
        <v>0.50365139999999997</v>
      </c>
      <c r="Q3985">
        <v>-4.5010019999999996E-3</v>
      </c>
      <c r="R3985">
        <v>-0.86389570000000004</v>
      </c>
      <c r="S3985">
        <v>2.1716310000000001</v>
      </c>
      <c r="T3985">
        <v>-0.20881369999999999</v>
      </c>
      <c r="U3985">
        <v>-2.20871</v>
      </c>
      <c r="V3985">
        <v>-7.5860269999999994E-2</v>
      </c>
      <c r="W3985">
        <v>8.7663649999999999E-3</v>
      </c>
      <c r="X3985">
        <v>0.99707990000000002</v>
      </c>
      <c r="Y3985">
        <v>-0.31769619999999998</v>
      </c>
      <c r="Z3985">
        <v>6.5319580000000002E-2</v>
      </c>
      <c r="AA3985">
        <v>0.94594</v>
      </c>
      <c r="AB3985">
        <v>11</v>
      </c>
      <c r="AC3985">
        <v>11.5061</v>
      </c>
      <c r="AD3985">
        <v>-1.111224803372</v>
      </c>
      <c r="AE3985">
        <v>-11.656000000000001</v>
      </c>
      <c r="AF3985">
        <v>-5.2369842717192698</v>
      </c>
      <c r="AG3985">
        <v>-1.111224803372</v>
      </c>
      <c r="AH3985">
        <v>15.4393644990609</v>
      </c>
      <c r="AI3985">
        <v>93.899203541675405</v>
      </c>
      <c r="AJ3985">
        <v>108.73677593694801</v>
      </c>
      <c r="AK3985">
        <v>16.3411994957753</v>
      </c>
      <c r="AL3985">
        <v>89.497717839488402</v>
      </c>
      <c r="AM3985">
        <v>94.350820568113093</v>
      </c>
      <c r="AN3985">
        <v>0.99999997835189702</v>
      </c>
    </row>
    <row r="3986" spans="1:40" x14ac:dyDescent="0.25">
      <c r="A3986" t="str">
        <f>"20190312154000524"</f>
        <v>20190312154000524</v>
      </c>
      <c r="B3986" t="str">
        <f>"1552376400509823"</f>
        <v>1552376400509823</v>
      </c>
      <c r="C3986" t="s">
        <v>40</v>
      </c>
      <c r="D3986">
        <v>4.3496139999999999</v>
      </c>
      <c r="E3986">
        <v>0.4051593</v>
      </c>
      <c r="F3986" t="s">
        <v>54</v>
      </c>
      <c r="G3986">
        <v>-476.77839999999998</v>
      </c>
      <c r="H3986" s="1">
        <v>3.11232E-6</v>
      </c>
      <c r="I3986">
        <v>218.273</v>
      </c>
      <c r="J3986">
        <v>-488.01920000000001</v>
      </c>
      <c r="K3986">
        <v>1.111205</v>
      </c>
      <c r="L3986">
        <v>229.60120000000001</v>
      </c>
      <c r="M3986">
        <v>0.43904270000000001</v>
      </c>
      <c r="N3986">
        <v>0</v>
      </c>
      <c r="O3986">
        <v>-0.89836589999999905</v>
      </c>
      <c r="P3986">
        <v>0.50652609999999998</v>
      </c>
      <c r="Q3986">
        <v>-5.3837030000000001E-3</v>
      </c>
      <c r="R3986">
        <v>-0.86220769999999902</v>
      </c>
      <c r="S3986">
        <v>2.1763919999999999</v>
      </c>
      <c r="T3986">
        <v>-0.214143</v>
      </c>
      <c r="U3986">
        <v>-2.2026520000000001</v>
      </c>
      <c r="V3986">
        <v>-7.6521210000000006E-2</v>
      </c>
      <c r="W3986">
        <v>7.8799539999999998E-3</v>
      </c>
      <c r="X3986">
        <v>0.99703679999999995</v>
      </c>
      <c r="Y3986">
        <v>-0.3174167</v>
      </c>
      <c r="Z3986">
        <v>6.694282E-2</v>
      </c>
      <c r="AA3986">
        <v>0.94592030000000005</v>
      </c>
      <c r="AB3986">
        <v>11</v>
      </c>
      <c r="AC3986">
        <v>11.2408</v>
      </c>
      <c r="AD3986">
        <v>-1.1112018876799901</v>
      </c>
      <c r="AE3986">
        <v>-11.328200000000001</v>
      </c>
      <c r="AF3986">
        <v>-5.1005211552896199</v>
      </c>
      <c r="AG3986">
        <v>-1.1112018876799901</v>
      </c>
      <c r="AH3986">
        <v>15.0405016061561</v>
      </c>
      <c r="AI3986">
        <v>94.002287921670103</v>
      </c>
      <c r="AJ3986">
        <v>108.732778465237</v>
      </c>
      <c r="AK3986">
        <v>15.920639882100399</v>
      </c>
      <c r="AL3986">
        <v>89.548507213670604</v>
      </c>
      <c r="AM3986">
        <v>94.388769032648497</v>
      </c>
      <c r="AN3986">
        <v>0.99999998490457198</v>
      </c>
    </row>
    <row r="3987" spans="1:40" x14ac:dyDescent="0.25">
      <c r="A3987" t="str">
        <f>"20190312154000545"</f>
        <v>20190312154000545</v>
      </c>
      <c r="B3987" t="str">
        <f>"1552376400540072"</f>
        <v>1552376400540072</v>
      </c>
      <c r="C3987" t="s">
        <v>40</v>
      </c>
      <c r="D3987">
        <v>4.3600820000000002</v>
      </c>
      <c r="E3987">
        <v>0.40695219999999999</v>
      </c>
      <c r="F3987" t="s">
        <v>54</v>
      </c>
      <c r="G3987">
        <v>-477.02890000000002</v>
      </c>
      <c r="H3987" s="1">
        <v>3.0102200000000001E-6</v>
      </c>
      <c r="I3987">
        <v>218.47819999999999</v>
      </c>
      <c r="J3987">
        <v>-487.96899999999999</v>
      </c>
      <c r="K3987">
        <v>1.1111879999999901</v>
      </c>
      <c r="L3987">
        <v>229.50530000000001</v>
      </c>
      <c r="M3987">
        <v>0.44129489999999999</v>
      </c>
      <c r="N3987">
        <v>0</v>
      </c>
      <c r="O3987">
        <v>-0.8972618</v>
      </c>
      <c r="P3987">
        <v>0.50893440000000001</v>
      </c>
      <c r="Q3987">
        <v>-5.5016359999999999E-3</v>
      </c>
      <c r="R3987">
        <v>-0.86078790000000005</v>
      </c>
      <c r="S3987">
        <v>2.1743769999999998</v>
      </c>
      <c r="T3987">
        <v>-0.21984690000000001</v>
      </c>
      <c r="U3987">
        <v>-2.2006380000000001</v>
      </c>
      <c r="V3987">
        <v>-7.6807029999999998E-2</v>
      </c>
      <c r="W3987">
        <v>7.7588429999999996E-3</v>
      </c>
      <c r="X3987">
        <v>0.99701580000000001</v>
      </c>
      <c r="Y3987">
        <v>-0.31493959999999999</v>
      </c>
      <c r="Z3987">
        <v>6.8687199999999907E-2</v>
      </c>
      <c r="AA3987">
        <v>0.94662299999999999</v>
      </c>
      <c r="AB3987">
        <v>11</v>
      </c>
      <c r="AC3987">
        <v>10.9400999999999</v>
      </c>
      <c r="AD3987">
        <v>-1.1111849897799999</v>
      </c>
      <c r="AE3987">
        <v>-11.027100000000001</v>
      </c>
      <c r="AF3987">
        <v>-4.9251726495383998</v>
      </c>
      <c r="AG3987">
        <v>-1.1111849897799999</v>
      </c>
      <c r="AH3987">
        <v>14.648370552480801</v>
      </c>
      <c r="AI3987">
        <v>94.112594765605607</v>
      </c>
      <c r="AJ3987">
        <v>108.584016765548</v>
      </c>
      <c r="AK3987">
        <v>15.4940897619725</v>
      </c>
      <c r="AL3987">
        <v>89.555446587339205</v>
      </c>
      <c r="AM3987">
        <v>94.405189861693501</v>
      </c>
      <c r="AN3987">
        <v>1.0000000124758699</v>
      </c>
    </row>
    <row r="3988" spans="1:40" x14ac:dyDescent="0.25">
      <c r="A3988" t="str">
        <f>"20190312154000569"</f>
        <v>20190312154000569</v>
      </c>
      <c r="B3988" t="str">
        <f>"1552376400559592"</f>
        <v>1552376400559592</v>
      </c>
      <c r="C3988" t="s">
        <v>40</v>
      </c>
      <c r="D3988">
        <v>4.336665</v>
      </c>
      <c r="E3988">
        <v>0.40789029999999998</v>
      </c>
      <c r="F3988" t="s">
        <v>54</v>
      </c>
      <c r="G3988">
        <v>-477.25490000000002</v>
      </c>
      <c r="H3988" s="1">
        <v>2.9165209999999999E-6</v>
      </c>
      <c r="I3988">
        <v>218.62719999999999</v>
      </c>
      <c r="J3988">
        <v>-487.9171</v>
      </c>
      <c r="K3988">
        <v>1.1111740000000001</v>
      </c>
      <c r="L3988">
        <v>229.4066</v>
      </c>
      <c r="M3988">
        <v>0.4436001</v>
      </c>
      <c r="N3988">
        <v>0</v>
      </c>
      <c r="O3988">
        <v>-0.89612409999999998</v>
      </c>
      <c r="P3988">
        <v>0.51080099999999995</v>
      </c>
      <c r="Q3988">
        <v>-5.7170060000000002E-3</v>
      </c>
      <c r="R3988">
        <v>-0.85968009999999995</v>
      </c>
      <c r="S3988">
        <v>2.1684570000000001</v>
      </c>
      <c r="T3988">
        <v>-0.22489580000000001</v>
      </c>
      <c r="U3988">
        <v>-2.2016450000000001</v>
      </c>
      <c r="V3988">
        <v>-7.6407329999999996E-2</v>
      </c>
      <c r="W3988">
        <v>7.5418869999999997E-3</v>
      </c>
      <c r="X3988">
        <v>0.99704809999999999</v>
      </c>
      <c r="Y3988">
        <v>-0.31090689999999999</v>
      </c>
      <c r="Z3988">
        <v>7.0209850000000004E-2</v>
      </c>
      <c r="AA3988">
        <v>0.94784360000000001</v>
      </c>
      <c r="AB3988">
        <v>11</v>
      </c>
      <c r="AC3988">
        <v>10.662199999999901</v>
      </c>
      <c r="AD3988">
        <v>-1.1111710834789901</v>
      </c>
      <c r="AE3988">
        <v>-10.779400000000001</v>
      </c>
      <c r="AF3988">
        <v>-4.7478411868170003</v>
      </c>
      <c r="AG3988">
        <v>-1.1111710834789901</v>
      </c>
      <c r="AH3988">
        <v>14.3138509336622</v>
      </c>
      <c r="AI3988">
        <v>94.214025959576901</v>
      </c>
      <c r="AJ3988">
        <v>108.3504550097</v>
      </c>
      <c r="AK3988">
        <v>15.1216079060098</v>
      </c>
      <c r="AL3988">
        <v>89.567877581488304</v>
      </c>
      <c r="AM3988">
        <v>94.382213590135095</v>
      </c>
      <c r="AN3988">
        <v>0.99999993692542699</v>
      </c>
    </row>
    <row r="3989" spans="1:40" x14ac:dyDescent="0.25">
      <c r="A3989" t="str">
        <f>"20190312154000590"</f>
        <v>20190312154000590</v>
      </c>
      <c r="B3989" t="str">
        <f>"1552376400580089"</f>
        <v>1552376400580089</v>
      </c>
      <c r="C3989" t="s">
        <v>40</v>
      </c>
      <c r="D3989">
        <v>4.4112609999999997</v>
      </c>
      <c r="E3989">
        <v>0.4087114</v>
      </c>
      <c r="F3989" t="s">
        <v>54</v>
      </c>
      <c r="G3989">
        <v>-477.38240000000002</v>
      </c>
      <c r="H3989" s="1">
        <v>2.8633740000000001E-6</v>
      </c>
      <c r="I3989">
        <v>218.70529999999999</v>
      </c>
      <c r="J3989">
        <v>-487.86680000000001</v>
      </c>
      <c r="K3989">
        <v>1.111167</v>
      </c>
      <c r="L3989">
        <v>229.3117</v>
      </c>
      <c r="M3989">
        <v>0.4458027</v>
      </c>
      <c r="N3989">
        <v>0</v>
      </c>
      <c r="O3989">
        <v>-0.89503069999999896</v>
      </c>
      <c r="P3989">
        <v>0.51240299999999905</v>
      </c>
      <c r="Q3989">
        <v>-5.9386369999999897E-3</v>
      </c>
      <c r="R3989">
        <v>-0.85872479999999995</v>
      </c>
      <c r="S3989">
        <v>2.1665649999999999</v>
      </c>
      <c r="T3989">
        <v>-0.22852500000000001</v>
      </c>
      <c r="U3989">
        <v>-2.2008359999999998</v>
      </c>
      <c r="V3989">
        <v>-7.5814090000000001E-2</v>
      </c>
      <c r="W3989">
        <v>7.3201639999999997E-3</v>
      </c>
      <c r="X3989">
        <v>0.99709510000000001</v>
      </c>
      <c r="Y3989">
        <v>-0.30826920000000002</v>
      </c>
      <c r="Z3989">
        <v>7.1279910000000002E-2</v>
      </c>
      <c r="AA3989">
        <v>0.94862500000000005</v>
      </c>
      <c r="AB3989">
        <v>11</v>
      </c>
      <c r="AC3989">
        <v>10.4843999999999</v>
      </c>
      <c r="AD3989">
        <v>-1.1111641366259899</v>
      </c>
      <c r="AE3989">
        <v>-10.606400000000001</v>
      </c>
      <c r="AF3989">
        <v>-4.6302139826186197</v>
      </c>
      <c r="AG3989">
        <v>-1.1111641366259899</v>
      </c>
      <c r="AH3989">
        <v>14.0900859503249</v>
      </c>
      <c r="AI3989">
        <v>94.284588481601503</v>
      </c>
      <c r="AJ3989">
        <v>108.191300299527</v>
      </c>
      <c r="AK3989">
        <v>14.8729314309891</v>
      </c>
      <c r="AL3989">
        <v>89.580581751551406</v>
      </c>
      <c r="AM3989">
        <v>94.348116132533804</v>
      </c>
      <c r="AN3989">
        <v>0.99999999974376197</v>
      </c>
    </row>
    <row r="3990" spans="1:40" x14ac:dyDescent="0.25">
      <c r="A3990" t="str">
        <f>"20190312154000613"</f>
        <v>20190312154000613</v>
      </c>
      <c r="B3990" t="str">
        <f>"1552376400610153"</f>
        <v>1552376400610153</v>
      </c>
      <c r="C3990" t="s">
        <v>40</v>
      </c>
      <c r="D3990">
        <v>4.4136480000000002</v>
      </c>
      <c r="E3990">
        <v>0.40986260000000002</v>
      </c>
      <c r="F3990" t="s">
        <v>54</v>
      </c>
      <c r="G3990">
        <v>-477.46370000000002</v>
      </c>
      <c r="H3990" s="1">
        <v>2.8289320000000002E-6</v>
      </c>
      <c r="I3990">
        <v>218.74199999999999</v>
      </c>
      <c r="J3990">
        <v>-487.8152</v>
      </c>
      <c r="K3990">
        <v>1.111164</v>
      </c>
      <c r="L3990">
        <v>229.2149</v>
      </c>
      <c r="M3990">
        <v>0.44804470000000002</v>
      </c>
      <c r="N3990">
        <v>0</v>
      </c>
      <c r="O3990">
        <v>-0.89391049999999905</v>
      </c>
      <c r="P3990">
        <v>0.51414599999999999</v>
      </c>
      <c r="Q3990">
        <v>-5.9168839999999999E-3</v>
      </c>
      <c r="R3990">
        <v>-0.85768230000000001</v>
      </c>
      <c r="S3990">
        <v>2.1652529999999999</v>
      </c>
      <c r="T3990">
        <v>-0.23127259999999999</v>
      </c>
      <c r="U3990">
        <v>-2.1999360000000001</v>
      </c>
      <c r="V3990">
        <v>-7.5340050000000006E-2</v>
      </c>
      <c r="W3990">
        <v>7.3401909999999898E-3</v>
      </c>
      <c r="X3990">
        <v>0.99713090000000004</v>
      </c>
      <c r="Y3990">
        <v>-0.30574570000000001</v>
      </c>
      <c r="Z3990">
        <v>7.2066519999999995E-2</v>
      </c>
      <c r="AA3990">
        <v>0.9493819</v>
      </c>
      <c r="AB3990">
        <v>11</v>
      </c>
      <c r="AC3990">
        <v>10.3514999999999</v>
      </c>
      <c r="AD3990">
        <v>-1.1111611710680001</v>
      </c>
      <c r="AE3990">
        <v>-10.4728999999999</v>
      </c>
      <c r="AF3990">
        <v>-4.5355717108801601</v>
      </c>
      <c r="AG3990">
        <v>-1.1111611710680001</v>
      </c>
      <c r="AH3990">
        <v>13.921758141443499</v>
      </c>
      <c r="AI3990">
        <v>94.339793485334098</v>
      </c>
      <c r="AJ3990">
        <v>108.045099441868</v>
      </c>
      <c r="AK3990">
        <v>14.684053923950099</v>
      </c>
      <c r="AL3990">
        <v>89.579434265250697</v>
      </c>
      <c r="AM3990">
        <v>94.320877566552696</v>
      </c>
      <c r="AN3990">
        <v>1.0000000166363601</v>
      </c>
    </row>
    <row r="3991" spans="1:40" x14ac:dyDescent="0.25">
      <c r="A3991" t="str">
        <f>"20190312154000634"</f>
        <v>20190312154000634</v>
      </c>
      <c r="B3991" t="str">
        <f>"1552376400629661"</f>
        <v>1552376400629661</v>
      </c>
      <c r="C3991" t="s">
        <v>40</v>
      </c>
      <c r="D3991">
        <v>4.4771539999999996</v>
      </c>
      <c r="E3991">
        <v>0.41030480000000003</v>
      </c>
      <c r="F3991" t="s">
        <v>54</v>
      </c>
      <c r="G3991">
        <v>-477.46319999999997</v>
      </c>
      <c r="H3991" s="1">
        <v>2.8263619999999898E-6</v>
      </c>
      <c r="I3991">
        <v>218.6782</v>
      </c>
      <c r="J3991">
        <v>-487.76429999999999</v>
      </c>
      <c r="K3991">
        <v>1.111167</v>
      </c>
      <c r="L3991">
        <v>229.11969999999999</v>
      </c>
      <c r="M3991">
        <v>0.45024259999999999</v>
      </c>
      <c r="N3991">
        <v>0</v>
      </c>
      <c r="O3991">
        <v>-0.89280559999999998</v>
      </c>
      <c r="P3991">
        <v>0.51576409999999995</v>
      </c>
      <c r="Q3991">
        <v>-5.2807599999999998E-3</v>
      </c>
      <c r="R3991">
        <v>-0.8567148</v>
      </c>
      <c r="S3991">
        <v>2.161743</v>
      </c>
      <c r="T3991">
        <v>-0.23203650000000001</v>
      </c>
      <c r="U3991">
        <v>-2.2003020000000002</v>
      </c>
      <c r="V3991">
        <v>-7.476816E-2</v>
      </c>
      <c r="W3991">
        <v>7.9748430000000006E-3</v>
      </c>
      <c r="X3991">
        <v>0.99716910000000003</v>
      </c>
      <c r="Y3991">
        <v>-0.30254160000000002</v>
      </c>
      <c r="Z3991">
        <v>7.2239559999999994E-2</v>
      </c>
      <c r="AA3991">
        <v>0.95039470000000004</v>
      </c>
      <c r="AB3991">
        <v>11</v>
      </c>
      <c r="AC3991">
        <v>10.3011</v>
      </c>
      <c r="AD3991">
        <v>-1.111164173638</v>
      </c>
      <c r="AE3991">
        <v>-10.4414999999999</v>
      </c>
      <c r="AF3991">
        <v>-4.4704198150012902</v>
      </c>
      <c r="AG3991">
        <v>-1.111164173638</v>
      </c>
      <c r="AH3991">
        <v>13.881810212222</v>
      </c>
      <c r="AI3991">
        <v>94.3570221084303</v>
      </c>
      <c r="AJ3991">
        <v>107.8503420741</v>
      </c>
      <c r="AK3991">
        <v>14.6261407729887</v>
      </c>
      <c r="AL3991">
        <v>89.543070330953199</v>
      </c>
      <c r="AM3991">
        <v>94.288037869273495</v>
      </c>
      <c r="AN3991">
        <v>1.00000004493273</v>
      </c>
    </row>
    <row r="3992" spans="1:40" x14ac:dyDescent="0.25">
      <c r="A3992" t="str">
        <f>"20190312154000656"</f>
        <v>20190312154000656</v>
      </c>
      <c r="B3992" t="str">
        <f>"1552376400650158"</f>
        <v>1552376400650158</v>
      </c>
      <c r="C3992" t="s">
        <v>40</v>
      </c>
      <c r="D3992">
        <v>4.5052699999999897</v>
      </c>
      <c r="E3992">
        <v>0.4107015</v>
      </c>
      <c r="F3992" t="s">
        <v>54</v>
      </c>
      <c r="G3992">
        <v>-477.48649999999998</v>
      </c>
      <c r="H3992" s="1">
        <v>2.8160109999999999E-6</v>
      </c>
      <c r="I3992">
        <v>218.67789999999999</v>
      </c>
      <c r="J3992">
        <v>-487.71350000000001</v>
      </c>
      <c r="K3992">
        <v>1.1111660000000001</v>
      </c>
      <c r="L3992">
        <v>229.02539999999999</v>
      </c>
      <c r="M3992">
        <v>0.45241940000000003</v>
      </c>
      <c r="N3992">
        <v>0</v>
      </c>
      <c r="O3992">
        <v>-0.89170459999999996</v>
      </c>
      <c r="P3992">
        <v>0.51717619999999997</v>
      </c>
      <c r="Q3992">
        <v>-4.3896009999999999E-3</v>
      </c>
      <c r="R3992">
        <v>-0.85586790000000001</v>
      </c>
      <c r="S3992">
        <v>2.1633909999999998</v>
      </c>
      <c r="T3992">
        <v>-0.23389209999999999</v>
      </c>
      <c r="U3992">
        <v>-2.1979220000000002</v>
      </c>
      <c r="V3992">
        <v>-7.3978740000000001E-2</v>
      </c>
      <c r="W3992">
        <v>8.8650680000000003E-3</v>
      </c>
      <c r="X3992">
        <v>0.99722040000000001</v>
      </c>
      <c r="Y3992">
        <v>-0.30106300000000003</v>
      </c>
      <c r="Z3992">
        <v>7.2742349999999997E-2</v>
      </c>
      <c r="AA3992">
        <v>0.95082580000000005</v>
      </c>
      <c r="AB3992">
        <v>11</v>
      </c>
      <c r="AC3992">
        <v>10.227</v>
      </c>
      <c r="AD3992">
        <v>-1.1111631839889999</v>
      </c>
      <c r="AE3992">
        <v>-10.347499999999901</v>
      </c>
      <c r="AF3992">
        <v>-4.4127112340582801</v>
      </c>
      <c r="AG3992">
        <v>-1.1111631839889999</v>
      </c>
      <c r="AH3992">
        <v>13.7746991790482</v>
      </c>
      <c r="AI3992">
        <v>94.392912742129198</v>
      </c>
      <c r="AJ3992">
        <v>107.76280907784199</v>
      </c>
      <c r="AK3992">
        <v>14.506861877398199</v>
      </c>
      <c r="AL3992">
        <v>89.492062357540803</v>
      </c>
      <c r="AM3992">
        <v>94.2427124880424</v>
      </c>
      <c r="AN3992">
        <v>0.999999984789395</v>
      </c>
    </row>
    <row r="3993" spans="1:40" x14ac:dyDescent="0.25">
      <c r="A3993" t="str">
        <f>"20190312154000680"</f>
        <v>20190312154000680</v>
      </c>
      <c r="B3993" t="str">
        <f>"1552376400669676"</f>
        <v>1552376400669676</v>
      </c>
      <c r="C3993" t="s">
        <v>40</v>
      </c>
      <c r="D3993">
        <v>4.506367</v>
      </c>
      <c r="E3993">
        <v>0.41109109999999999</v>
      </c>
      <c r="F3993" t="s">
        <v>54</v>
      </c>
      <c r="G3993">
        <v>-477.47579999999999</v>
      </c>
      <c r="H3993" s="1">
        <v>2.8190239999999998E-6</v>
      </c>
      <c r="I3993">
        <v>218.6378</v>
      </c>
      <c r="J3993">
        <v>-487.66160000000002</v>
      </c>
      <c r="K3993">
        <v>1.1111679999999999</v>
      </c>
      <c r="L3993">
        <v>228.92949999999999</v>
      </c>
      <c r="M3993">
        <v>0.45463130000000002</v>
      </c>
      <c r="N3993">
        <v>0</v>
      </c>
      <c r="O3993">
        <v>-0.89057919999999902</v>
      </c>
      <c r="P3993">
        <v>0.51895749999999996</v>
      </c>
      <c r="Q3993">
        <v>-4.2525820000000004E-3</v>
      </c>
      <c r="R3993">
        <v>-0.85478980000000004</v>
      </c>
      <c r="S3993">
        <v>2.1643979999999998</v>
      </c>
      <c r="T3993">
        <v>-0.23491570000000001</v>
      </c>
      <c r="U3993">
        <v>-2.196091</v>
      </c>
      <c r="V3993">
        <v>-7.3580649999999997E-2</v>
      </c>
      <c r="W3993">
        <v>9.0000069999999904E-3</v>
      </c>
      <c r="X3993">
        <v>0.99724860000000004</v>
      </c>
      <c r="Y3993">
        <v>-0.29929840000000002</v>
      </c>
      <c r="Z3993">
        <v>7.2981050000000006E-2</v>
      </c>
      <c r="AA3993">
        <v>0.9513644</v>
      </c>
      <c r="AB3993">
        <v>11</v>
      </c>
      <c r="AC3993">
        <v>10.1858</v>
      </c>
      <c r="AD3993">
        <v>-1.1111651809759999</v>
      </c>
      <c r="AE3993">
        <v>-10.291699999999899</v>
      </c>
      <c r="AF3993">
        <v>-4.3670098357914302</v>
      </c>
      <c r="AG3993">
        <v>-1.1111651809759999</v>
      </c>
      <c r="AH3993">
        <v>13.716818207402</v>
      </c>
      <c r="AI3993">
        <v>94.413906440216607</v>
      </c>
      <c r="AJ3993">
        <v>107.65986300138999</v>
      </c>
      <c r="AK3993">
        <v>14.438024958429301</v>
      </c>
      <c r="AL3993">
        <v>89.484330591277796</v>
      </c>
      <c r="AM3993">
        <v>94.219845653294499</v>
      </c>
      <c r="AN3993">
        <v>0.99999994119118896</v>
      </c>
    </row>
    <row r="3994" spans="1:40" x14ac:dyDescent="0.25">
      <c r="A3994" t="str">
        <f>"20190312154000701"</f>
        <v>20190312154000701</v>
      </c>
      <c r="B3994" t="str">
        <f>"1552376400690173"</f>
        <v>1552376400690173</v>
      </c>
      <c r="C3994" t="s">
        <v>40</v>
      </c>
      <c r="D3994">
        <v>4.5083960000000003</v>
      </c>
      <c r="E3994">
        <v>0.4115027</v>
      </c>
      <c r="F3994" t="s">
        <v>54</v>
      </c>
      <c r="G3994">
        <v>-477.52390000000003</v>
      </c>
      <c r="H3994" s="1">
        <v>2.7988810000000001E-6</v>
      </c>
      <c r="I3994">
        <v>218.6651</v>
      </c>
      <c r="J3994">
        <v>-487.60950000000003</v>
      </c>
      <c r="K3994">
        <v>1.111167</v>
      </c>
      <c r="L3994">
        <v>228.83410000000001</v>
      </c>
      <c r="M3994">
        <v>0.4568352</v>
      </c>
      <c r="N3994">
        <v>0</v>
      </c>
      <c r="O3994">
        <v>-0.88945030000000003</v>
      </c>
      <c r="P3994">
        <v>0.52037299999999997</v>
      </c>
      <c r="Q3994">
        <v>-3.7544660000000001E-3</v>
      </c>
      <c r="R3994">
        <v>-0.85393109999999905</v>
      </c>
      <c r="S3994">
        <v>2.166229</v>
      </c>
      <c r="T3994">
        <v>-0.23743549999999999</v>
      </c>
      <c r="U3994">
        <v>-2.193314</v>
      </c>
      <c r="V3994">
        <v>-7.2762850000000004E-2</v>
      </c>
      <c r="W3994">
        <v>9.4968469999999992E-3</v>
      </c>
      <c r="X3994">
        <v>0.99730410000000003</v>
      </c>
      <c r="Y3994">
        <v>-0.29789769999999999</v>
      </c>
      <c r="Z3994">
        <v>7.3689450000000004E-2</v>
      </c>
      <c r="AA3994">
        <v>0.95174939999999997</v>
      </c>
      <c r="AB3994">
        <v>11</v>
      </c>
      <c r="AC3994">
        <v>10.085599999999999</v>
      </c>
      <c r="AD3994">
        <v>-1.1111642011189999</v>
      </c>
      <c r="AE3994">
        <v>-10.169</v>
      </c>
      <c r="AF3994">
        <v>-4.2995919096835404</v>
      </c>
      <c r="AG3994">
        <v>-1.1111642011189999</v>
      </c>
      <c r="AH3994">
        <v>13.571814304607001</v>
      </c>
      <c r="AI3994">
        <v>94.462879800828006</v>
      </c>
      <c r="AJ3994">
        <v>107.578359532268</v>
      </c>
      <c r="AK3994">
        <v>14.279892156119301</v>
      </c>
      <c r="AL3994">
        <v>89.455862593281594</v>
      </c>
      <c r="AM3994">
        <v>94.172880079558198</v>
      </c>
      <c r="AN3994">
        <v>1.00000004515993</v>
      </c>
    </row>
    <row r="3995" spans="1:40" x14ac:dyDescent="0.25">
      <c r="A3995" t="str">
        <f>"20190312154000724"</f>
        <v>20190312154000724</v>
      </c>
      <c r="B3995" t="str">
        <f>"1552376400710273"</f>
        <v>1552376400710273</v>
      </c>
      <c r="C3995" t="s">
        <v>40</v>
      </c>
      <c r="D3995">
        <v>4.5586729999999998</v>
      </c>
      <c r="E3995">
        <v>0.4118927</v>
      </c>
      <c r="F3995" t="s">
        <v>54</v>
      </c>
      <c r="G3995">
        <v>-477.45330000000001</v>
      </c>
      <c r="H3995" s="1">
        <v>2.8259069999999999E-6</v>
      </c>
      <c r="I3995">
        <v>218.5668</v>
      </c>
      <c r="J3995">
        <v>-487.55599999999998</v>
      </c>
      <c r="K3995">
        <v>1.111173</v>
      </c>
      <c r="L3995">
        <v>228.73650000000001</v>
      </c>
      <c r="M3995">
        <v>0.45908929999999998</v>
      </c>
      <c r="N3995">
        <v>0</v>
      </c>
      <c r="O3995">
        <v>-0.888289</v>
      </c>
      <c r="P3995">
        <v>0.52183789999999997</v>
      </c>
      <c r="Q3995">
        <v>-3.931136E-3</v>
      </c>
      <c r="R3995">
        <v>-0.85303600000000002</v>
      </c>
      <c r="S3995">
        <v>2.1675420000000001</v>
      </c>
      <c r="T3995">
        <v>-0.23714540000000001</v>
      </c>
      <c r="U3995">
        <v>-2.1912379999999998</v>
      </c>
      <c r="V3995">
        <v>-7.1945480000000006E-2</v>
      </c>
      <c r="W3995">
        <v>9.319473E-3</v>
      </c>
      <c r="X3995">
        <v>0.99736499999999995</v>
      </c>
      <c r="Y3995">
        <v>-0.29622379999999998</v>
      </c>
      <c r="Z3995">
        <v>7.3518890000000003E-2</v>
      </c>
      <c r="AA3995">
        <v>0.95228489999999999</v>
      </c>
      <c r="AB3995">
        <v>11</v>
      </c>
      <c r="AC3995">
        <v>10.102699999999899</v>
      </c>
      <c r="AD3995">
        <v>-1.111170174093</v>
      </c>
      <c r="AE3995">
        <v>-10.169700000000001</v>
      </c>
      <c r="AF3995">
        <v>-4.2799867473625</v>
      </c>
      <c r="AG3995">
        <v>-1.111170174093</v>
      </c>
      <c r="AH3995">
        <v>13.591237622592301</v>
      </c>
      <c r="AI3995">
        <v>94.458968088643999</v>
      </c>
      <c r="AJ3995">
        <v>107.479621414316</v>
      </c>
      <c r="AK3995">
        <v>14.292470948970299</v>
      </c>
      <c r="AL3995">
        <v>89.466025786205805</v>
      </c>
      <c r="AM3995">
        <v>94.125916428242604</v>
      </c>
      <c r="AN3995">
        <v>0.99999997394721296</v>
      </c>
    </row>
    <row r="3996" spans="1:40" x14ac:dyDescent="0.25">
      <c r="A3996" t="str">
        <f>"20190312154000747"</f>
        <v>20190312154000747</v>
      </c>
      <c r="B3996" t="str">
        <f>"1552376400739544"</f>
        <v>1552376400739544</v>
      </c>
      <c r="C3996" t="s">
        <v>40</v>
      </c>
      <c r="D3996">
        <v>4.4547359999999996</v>
      </c>
      <c r="E3996">
        <v>0.4123753</v>
      </c>
      <c r="F3996" t="s">
        <v>54</v>
      </c>
      <c r="G3996">
        <v>-477.42649999999998</v>
      </c>
      <c r="H3996" s="1">
        <v>2.8353280000000001E-6</v>
      </c>
      <c r="I3996">
        <v>218.51130000000001</v>
      </c>
      <c r="J3996">
        <v>-487.50380000000001</v>
      </c>
      <c r="K3996">
        <v>1.1111709999999999</v>
      </c>
      <c r="L3996">
        <v>228.64189999999999</v>
      </c>
      <c r="M3996">
        <v>0.46127980000000002</v>
      </c>
      <c r="N3996">
        <v>0</v>
      </c>
      <c r="O3996">
        <v>-0.88715359999999999</v>
      </c>
      <c r="P3996">
        <v>0.52329950000000003</v>
      </c>
      <c r="Q3996">
        <v>-3.7610170000000002E-3</v>
      </c>
      <c r="R3996">
        <v>-0.85214089999999998</v>
      </c>
      <c r="S3996">
        <v>2.1686399999999999</v>
      </c>
      <c r="T3996">
        <v>-0.23789350000000001</v>
      </c>
      <c r="U3996">
        <v>-2.1891479999999999</v>
      </c>
      <c r="V3996">
        <v>-7.1194399999999894E-2</v>
      </c>
      <c r="W3996">
        <v>9.4882660000000004E-3</v>
      </c>
      <c r="X3996">
        <v>0.99741729999999995</v>
      </c>
      <c r="Y3996">
        <v>-0.29455209999999998</v>
      </c>
      <c r="Z3996">
        <v>7.367311E-2</v>
      </c>
      <c r="AA3996">
        <v>0.95279130000000001</v>
      </c>
      <c r="AB3996">
        <v>11</v>
      </c>
      <c r="AC3996">
        <v>10.077299999999999</v>
      </c>
      <c r="AD3996">
        <v>-1.111168164672</v>
      </c>
      <c r="AE3996">
        <v>-10.1305999999999</v>
      </c>
      <c r="AF3996">
        <v>-4.2418042767451496</v>
      </c>
      <c r="AG3996">
        <v>-1.111168164672</v>
      </c>
      <c r="AH3996">
        <v>13.5551082002571</v>
      </c>
      <c r="AI3996">
        <v>94.473313565136493</v>
      </c>
      <c r="AJ3996">
        <v>107.376483582386</v>
      </c>
      <c r="AK3996">
        <v>14.2467033566741</v>
      </c>
      <c r="AL3996">
        <v>89.456354229667696</v>
      </c>
      <c r="AM3996">
        <v>94.082776696624094</v>
      </c>
      <c r="AN3996">
        <v>0.99999997006116703</v>
      </c>
    </row>
    <row r="3997" spans="1:40" x14ac:dyDescent="0.25">
      <c r="A3997" t="str">
        <f>"20190312154000770"</f>
        <v>20190312154000770</v>
      </c>
      <c r="B3997" t="str">
        <f>"1552376400760038"</f>
        <v>1552376400760038</v>
      </c>
      <c r="C3997" t="s">
        <v>40</v>
      </c>
      <c r="D3997">
        <v>4.4105639999999999</v>
      </c>
      <c r="E3997">
        <v>0.41270079999999998</v>
      </c>
      <c r="F3997" t="s">
        <v>54</v>
      </c>
      <c r="G3997">
        <v>-477.43389999999999</v>
      </c>
      <c r="H3997" s="1">
        <v>2.830973E-6</v>
      </c>
      <c r="I3997">
        <v>218.4864</v>
      </c>
      <c r="J3997">
        <v>-487.45080000000002</v>
      </c>
      <c r="K3997">
        <v>1.1111679999999999</v>
      </c>
      <c r="L3997">
        <v>228.54650000000001</v>
      </c>
      <c r="M3997">
        <v>0.46349230000000002</v>
      </c>
      <c r="N3997">
        <v>0</v>
      </c>
      <c r="O3997">
        <v>-0.88599969999999995</v>
      </c>
      <c r="P3997">
        <v>0.52505389999999996</v>
      </c>
      <c r="Q3997">
        <v>-3.9133960000000004E-3</v>
      </c>
      <c r="R3997">
        <v>-0.85106009999999999</v>
      </c>
      <c r="S3997">
        <v>2.1690670000000001</v>
      </c>
      <c r="T3997">
        <v>-0.2393478</v>
      </c>
      <c r="U3997">
        <v>-2.1875149999999999</v>
      </c>
      <c r="V3997">
        <v>-7.0759799999999998E-2</v>
      </c>
      <c r="W3997">
        <v>9.3347310000000006E-3</v>
      </c>
      <c r="X3997">
        <v>0.99744969999999999</v>
      </c>
      <c r="Y3997">
        <v>-0.2925932</v>
      </c>
      <c r="Z3997">
        <v>7.4040699999999904E-2</v>
      </c>
      <c r="AA3997">
        <v>0.95336620000000005</v>
      </c>
      <c r="AB3997">
        <v>11</v>
      </c>
      <c r="AC3997">
        <v>10.0169</v>
      </c>
      <c r="AD3997">
        <v>-1.1111651690269999</v>
      </c>
      <c r="AE3997">
        <v>-10.0601</v>
      </c>
      <c r="AF3997">
        <v>-4.1869197371309399</v>
      </c>
      <c r="AG3997">
        <v>-1.1111651690269999</v>
      </c>
      <c r="AH3997">
        <v>13.474670028550999</v>
      </c>
      <c r="AI3997">
        <v>94.502705211754403</v>
      </c>
      <c r="AJ3997">
        <v>107.26133712407299</v>
      </c>
      <c r="AK3997">
        <v>14.153858742278199</v>
      </c>
      <c r="AL3997">
        <v>89.465151540552299</v>
      </c>
      <c r="AM3997">
        <v>94.057805884285997</v>
      </c>
      <c r="AN3997">
        <v>0.99999999526448602</v>
      </c>
    </row>
    <row r="3998" spans="1:40" x14ac:dyDescent="0.25">
      <c r="A3998" t="str">
        <f>"20190312154000791"</f>
        <v>20190312154000791</v>
      </c>
      <c r="B3998" t="str">
        <f>"1552376400779557"</f>
        <v>1552376400779557</v>
      </c>
      <c r="C3998" t="s">
        <v>40</v>
      </c>
      <c r="D3998">
        <v>4.3485440000000004</v>
      </c>
      <c r="E3998">
        <v>0.41293380000000002</v>
      </c>
      <c r="F3998" t="s">
        <v>54</v>
      </c>
      <c r="G3998">
        <v>-477.39550000000003</v>
      </c>
      <c r="H3998" s="1">
        <v>2.8456669999999999E-6</v>
      </c>
      <c r="I3998">
        <v>218.43289999999999</v>
      </c>
      <c r="J3998">
        <v>-487.40030000000002</v>
      </c>
      <c r="K3998">
        <v>1.1111660000000001</v>
      </c>
      <c r="L3998">
        <v>228.45609999999999</v>
      </c>
      <c r="M3998">
        <v>0.46558929999999998</v>
      </c>
      <c r="N3998">
        <v>0</v>
      </c>
      <c r="O3998">
        <v>-0.88489959999999901</v>
      </c>
      <c r="P3998">
        <v>0.52747010000000005</v>
      </c>
      <c r="Q3998">
        <v>-3.5841559999999998E-3</v>
      </c>
      <c r="R3998">
        <v>-0.84956589999999998</v>
      </c>
      <c r="S3998">
        <v>2.1716000000000002</v>
      </c>
      <c r="T3998">
        <v>-0.23997309999999999</v>
      </c>
      <c r="U3998">
        <v>-2.1841889999999999</v>
      </c>
      <c r="V3998">
        <v>-7.1231859999999994E-2</v>
      </c>
      <c r="W3998">
        <v>9.6603969999999994E-3</v>
      </c>
      <c r="X3998">
        <v>0.99741299999999999</v>
      </c>
      <c r="Y3998">
        <v>-0.29160170000000002</v>
      </c>
      <c r="Z3998">
        <v>7.4166860000000001E-2</v>
      </c>
      <c r="AA3998">
        <v>0.95366019999999896</v>
      </c>
      <c r="AB3998">
        <v>11</v>
      </c>
      <c r="AC3998">
        <v>10.0047999999999</v>
      </c>
      <c r="AD3998">
        <v>-1.1111631543329901</v>
      </c>
      <c r="AE3998">
        <v>-10.023199999999999</v>
      </c>
      <c r="AF3998">
        <v>-4.1613065419677397</v>
      </c>
      <c r="AG3998">
        <v>-1.1111631543329901</v>
      </c>
      <c r="AH3998">
        <v>13.446090102075599</v>
      </c>
      <c r="AI3998">
        <v>94.513810400431097</v>
      </c>
      <c r="AJ3998">
        <v>107.19629167760201</v>
      </c>
      <c r="AK3998">
        <v>14.1190826445951</v>
      </c>
      <c r="AL3998">
        <v>89.446491412307694</v>
      </c>
      <c r="AM3998">
        <v>94.084935191524494</v>
      </c>
      <c r="AN3998">
        <v>0.99999999685912799</v>
      </c>
    </row>
    <row r="3999" spans="1:40" x14ac:dyDescent="0.25">
      <c r="A3999" t="str">
        <f>"20190312154000813"</f>
        <v>20190312154000813</v>
      </c>
      <c r="B3999" t="str">
        <f>"1552376400809814"</f>
        <v>1552376400809814</v>
      </c>
      <c r="C3999" t="s">
        <v>40</v>
      </c>
      <c r="D3999">
        <v>4.2696550000000002</v>
      </c>
      <c r="E3999">
        <v>0.4131185</v>
      </c>
      <c r="F3999" t="s">
        <v>54</v>
      </c>
      <c r="G3999">
        <v>-477.32929999999999</v>
      </c>
      <c r="H3999" s="1">
        <v>2.872337E-6</v>
      </c>
      <c r="I3999">
        <v>218.37139999999999</v>
      </c>
      <c r="J3999">
        <v>-487.34829999999999</v>
      </c>
      <c r="K3999">
        <v>1.111165</v>
      </c>
      <c r="L3999">
        <v>228.36340000000001</v>
      </c>
      <c r="M3999">
        <v>0.46774179999999999</v>
      </c>
      <c r="N3999">
        <v>0</v>
      </c>
      <c r="O3999">
        <v>-0.88376379999999999</v>
      </c>
      <c r="P3999">
        <v>0.53003480000000003</v>
      </c>
      <c r="Q3999">
        <v>-3.3836769999999999E-3</v>
      </c>
      <c r="R3999">
        <v>-0.84796930000000004</v>
      </c>
      <c r="S3999">
        <v>2.1761469999999998</v>
      </c>
      <c r="T3999">
        <v>-0.24010029999999999</v>
      </c>
      <c r="U3999">
        <v>-2.1791079999999998</v>
      </c>
      <c r="V3999">
        <v>-7.1818129999999994E-2</v>
      </c>
      <c r="W3999">
        <v>9.856844E-3</v>
      </c>
      <c r="X3999">
        <v>0.99736910000000001</v>
      </c>
      <c r="Y3999">
        <v>-0.29138160000000002</v>
      </c>
      <c r="Z3999">
        <v>7.4147879999999999E-2</v>
      </c>
      <c r="AA3999">
        <v>0.95372889999999999</v>
      </c>
      <c r="AB3999">
        <v>11</v>
      </c>
      <c r="AC3999">
        <v>10.019</v>
      </c>
      <c r="AD3999">
        <v>-1.1111621276629999</v>
      </c>
      <c r="AE3999">
        <v>-9.9920000000000098</v>
      </c>
      <c r="AF3999">
        <v>-4.15550263292526</v>
      </c>
      <c r="AG3999">
        <v>-1.1111621276629999</v>
      </c>
      <c r="AH3999">
        <v>13.4352341008717</v>
      </c>
      <c r="AI3999">
        <v>94.517669521800002</v>
      </c>
      <c r="AJ3999">
        <v>107.18677881759299</v>
      </c>
      <c r="AK3999">
        <v>14.107033662376599</v>
      </c>
      <c r="AL3999">
        <v>89.435235328732603</v>
      </c>
      <c r="AM3999">
        <v>94.118621465467299</v>
      </c>
      <c r="AN3999">
        <v>1.0000000614025699</v>
      </c>
    </row>
    <row r="4000" spans="1:40" x14ac:dyDescent="0.25">
      <c r="A4000" t="str">
        <f>"20190312154000837"</f>
        <v>20190312154000837</v>
      </c>
      <c r="B4000" t="str">
        <f>"1552376400819574"</f>
        <v>1552376400819574</v>
      </c>
      <c r="C4000" t="s">
        <v>40</v>
      </c>
      <c r="D4000">
        <v>4.3273929999999998</v>
      </c>
      <c r="E4000">
        <v>0.41324699999999998</v>
      </c>
      <c r="F4000" t="s">
        <v>54</v>
      </c>
      <c r="G4000">
        <v>-477.32440000000003</v>
      </c>
      <c r="H4000" s="1">
        <v>2.8747510000000001E-6</v>
      </c>
      <c r="I4000">
        <v>218.3767</v>
      </c>
      <c r="J4000">
        <v>-487.29430000000002</v>
      </c>
      <c r="K4000">
        <v>1.1111599999999999</v>
      </c>
      <c r="L4000">
        <v>228.26769999999999</v>
      </c>
      <c r="M4000">
        <v>0.46996520000000003</v>
      </c>
      <c r="N4000">
        <v>0</v>
      </c>
      <c r="O4000">
        <v>-0.88258309999999995</v>
      </c>
      <c r="P4000">
        <v>0.53292859999999997</v>
      </c>
      <c r="Q4000">
        <v>-3.3846169999999999E-3</v>
      </c>
      <c r="R4000">
        <v>-0.84615339999999895</v>
      </c>
      <c r="S4000">
        <v>2.1814269999999998</v>
      </c>
      <c r="T4000">
        <v>-0.2418131</v>
      </c>
      <c r="U4000">
        <v>-2.1733250000000002</v>
      </c>
      <c r="V4000">
        <v>-7.2714580000000001E-2</v>
      </c>
      <c r="W4000">
        <v>9.8511220000000004E-3</v>
      </c>
      <c r="X4000">
        <v>0.99730410000000003</v>
      </c>
      <c r="Y4000">
        <v>-0.2913673</v>
      </c>
      <c r="Z4000">
        <v>7.4616070000000007E-2</v>
      </c>
      <c r="AA4000">
        <v>0.95369680000000001</v>
      </c>
      <c r="AB4000">
        <v>11</v>
      </c>
      <c r="AC4000">
        <v>9.9698999999999902</v>
      </c>
      <c r="AD4000">
        <v>-1.111157125249</v>
      </c>
      <c r="AE4000">
        <v>-9.8909999999999894</v>
      </c>
      <c r="AF4000">
        <v>-4.1253875898178798</v>
      </c>
      <c r="AG4000">
        <v>-1.111157125249</v>
      </c>
      <c r="AH4000">
        <v>13.332877375259899</v>
      </c>
      <c r="AI4000">
        <v>94.552037934369196</v>
      </c>
      <c r="AJ4000">
        <v>107.19283349022599</v>
      </c>
      <c r="AK4000">
        <v>14.0006825557517</v>
      </c>
      <c r="AL4000">
        <v>89.435563134584996</v>
      </c>
      <c r="AM4000">
        <v>94.170121610019606</v>
      </c>
      <c r="AN4000">
        <v>0.99999996131302105</v>
      </c>
    </row>
    <row r="4001" spans="1:40" x14ac:dyDescent="0.25">
      <c r="A4001" t="str">
        <f>"20190312154000858"</f>
        <v>20190312154000858</v>
      </c>
      <c r="B4001" t="str">
        <f>"1552376400849831"</f>
        <v>1552376400849831</v>
      </c>
      <c r="C4001" t="s">
        <v>40</v>
      </c>
      <c r="D4001">
        <v>4.1898549999999997</v>
      </c>
      <c r="E4001">
        <v>0.4135084</v>
      </c>
      <c r="F4001" t="s">
        <v>54</v>
      </c>
      <c r="G4001">
        <v>-477.21559999999999</v>
      </c>
      <c r="H4001" s="1">
        <v>2.9190630000000002E-6</v>
      </c>
      <c r="I4001">
        <v>218.28710000000001</v>
      </c>
      <c r="J4001">
        <v>-487.24430000000001</v>
      </c>
      <c r="K4001">
        <v>1.111157</v>
      </c>
      <c r="L4001">
        <v>228.1798</v>
      </c>
      <c r="M4001">
        <v>0.47200569999999997</v>
      </c>
      <c r="N4001">
        <v>0</v>
      </c>
      <c r="O4001">
        <v>-0.88149409999999895</v>
      </c>
      <c r="P4001">
        <v>0.53531280000000003</v>
      </c>
      <c r="Q4001">
        <v>-3.589315E-3</v>
      </c>
      <c r="R4001">
        <v>-0.84464660000000003</v>
      </c>
      <c r="S4001">
        <v>2.1878660000000001</v>
      </c>
      <c r="T4001">
        <v>-0.24120939999999999</v>
      </c>
      <c r="U4001">
        <v>-2.1665649999999999</v>
      </c>
      <c r="V4001">
        <v>-7.321975E-2</v>
      </c>
      <c r="W4001">
        <v>9.6427560000000006E-3</v>
      </c>
      <c r="X4001">
        <v>0.99726919999999997</v>
      </c>
      <c r="Y4001">
        <v>-0.29205809999999999</v>
      </c>
      <c r="Z4001">
        <v>7.4387980000000006E-2</v>
      </c>
      <c r="AA4001">
        <v>0.95350330000000005</v>
      </c>
      <c r="AB4001">
        <v>11</v>
      </c>
      <c r="AC4001">
        <v>10.028700000000001</v>
      </c>
      <c r="AD4001">
        <v>-1.111154080937</v>
      </c>
      <c r="AE4001">
        <v>-9.8926999999999907</v>
      </c>
      <c r="AF4001">
        <v>-4.1454098897576204</v>
      </c>
      <c r="AG4001">
        <v>-1.111154080937</v>
      </c>
      <c r="AH4001">
        <v>13.3719648129772</v>
      </c>
      <c r="AI4001">
        <v>94.538017976883694</v>
      </c>
      <c r="AJ4001">
        <v>107.223830219123</v>
      </c>
      <c r="AK4001">
        <v>14.043807514530499</v>
      </c>
      <c r="AL4001">
        <v>89.447502208183394</v>
      </c>
      <c r="AM4001">
        <v>94.199135849779196</v>
      </c>
      <c r="AN4001">
        <v>0.99999998590098804</v>
      </c>
    </row>
    <row r="4002" spans="1:40" x14ac:dyDescent="0.25">
      <c r="A4002" t="str">
        <f>"20190312154000881"</f>
        <v>20190312154000881</v>
      </c>
      <c r="B4002" t="str">
        <f>"1552376400869349"</f>
        <v>1552376400869349</v>
      </c>
      <c r="C4002" t="s">
        <v>40</v>
      </c>
      <c r="D4002">
        <v>4.1989460000000003</v>
      </c>
      <c r="E4002">
        <v>0.41351739999999998</v>
      </c>
      <c r="F4002" t="s">
        <v>54</v>
      </c>
      <c r="G4002">
        <v>-477.16919999999999</v>
      </c>
      <c r="H4002" s="1">
        <v>2.9379190000000002E-6</v>
      </c>
      <c r="I4002">
        <v>218.24719999999999</v>
      </c>
      <c r="J4002">
        <v>-487.19040000000001</v>
      </c>
      <c r="K4002">
        <v>1.1111439999999999</v>
      </c>
      <c r="L4002">
        <v>228.08519999999999</v>
      </c>
      <c r="M4002">
        <v>0.47420190000000001</v>
      </c>
      <c r="N4002">
        <v>0</v>
      </c>
      <c r="O4002">
        <v>-0.88031459999999995</v>
      </c>
      <c r="P4002">
        <v>0.53710530000000001</v>
      </c>
      <c r="Q4002">
        <v>-4.240494E-3</v>
      </c>
      <c r="R4002">
        <v>-0.843504699999999</v>
      </c>
      <c r="S4002">
        <v>2.1923219999999999</v>
      </c>
      <c r="T4002">
        <v>-0.2417839</v>
      </c>
      <c r="U4002">
        <v>-2.1613009999999999</v>
      </c>
      <c r="V4002">
        <v>-7.2851639999999995E-2</v>
      </c>
      <c r="W4002">
        <v>8.9899929999999999E-3</v>
      </c>
      <c r="X4002">
        <v>0.99730229999999997</v>
      </c>
      <c r="Y4002">
        <v>-0.29179519999999998</v>
      </c>
      <c r="Z4002">
        <v>7.4505310000000005E-2</v>
      </c>
      <c r="AA4002">
        <v>0.95357460000000005</v>
      </c>
      <c r="AB4002">
        <v>11</v>
      </c>
      <c r="AC4002">
        <v>10.0212</v>
      </c>
      <c r="AD4002">
        <v>-1.1111410620810001</v>
      </c>
      <c r="AE4002">
        <v>-9.8379999999999903</v>
      </c>
      <c r="AF4002">
        <v>-4.1311191445896203</v>
      </c>
      <c r="AG4002">
        <v>-1.1111410620810001</v>
      </c>
      <c r="AH4002">
        <v>13.330351657277699</v>
      </c>
      <c r="AI4002">
        <v>94.552205380500098</v>
      </c>
      <c r="AJ4002">
        <v>107.21837807968799</v>
      </c>
      <c r="AK4002">
        <v>13.999966255435201</v>
      </c>
      <c r="AL4002">
        <v>89.484904419951803</v>
      </c>
      <c r="AM4002">
        <v>94.177961595319999</v>
      </c>
      <c r="AN4002">
        <v>1.00000002950505</v>
      </c>
    </row>
    <row r="4003" spans="1:40" x14ac:dyDescent="0.25">
      <c r="A4003" t="str">
        <f>"20190312154000903"</f>
        <v>20190312154000903</v>
      </c>
      <c r="B4003" t="str">
        <f>"1552376400899606"</f>
        <v>1552376400899606</v>
      </c>
      <c r="C4003" t="s">
        <v>40</v>
      </c>
      <c r="D4003">
        <v>4.2152240000000001</v>
      </c>
      <c r="E4003">
        <v>0.41676350000000001</v>
      </c>
      <c r="F4003" t="s">
        <v>54</v>
      </c>
      <c r="G4003">
        <v>-477.13170000000002</v>
      </c>
      <c r="H4003" s="1">
        <v>2.9528560000000002E-6</v>
      </c>
      <c r="I4003">
        <v>218.20840000000001</v>
      </c>
      <c r="J4003">
        <v>-487.13780000000003</v>
      </c>
      <c r="K4003">
        <v>1.1111359999999999</v>
      </c>
      <c r="L4003">
        <v>227.99379999999999</v>
      </c>
      <c r="M4003">
        <v>0.47632479999999999</v>
      </c>
      <c r="N4003">
        <v>0</v>
      </c>
      <c r="O4003">
        <v>-0.8791677</v>
      </c>
      <c r="P4003">
        <v>0.53902510000000003</v>
      </c>
      <c r="Q4003">
        <v>-4.0919880000000004E-3</v>
      </c>
      <c r="R4003">
        <v>-0.84227999999999903</v>
      </c>
      <c r="S4003">
        <v>2.1964419999999998</v>
      </c>
      <c r="T4003">
        <v>-0.2426314</v>
      </c>
      <c r="U4003">
        <v>-2.1567379999999998</v>
      </c>
      <c r="V4003">
        <v>-7.2716020000000006E-2</v>
      </c>
      <c r="W4003">
        <v>9.1368530000000003E-3</v>
      </c>
      <c r="X4003">
        <v>0.99731080000000005</v>
      </c>
      <c r="Y4003">
        <v>-0.29137679999999999</v>
      </c>
      <c r="Z4003">
        <v>7.4698059999999997E-2</v>
      </c>
      <c r="AA4003">
        <v>0.95368739999999996</v>
      </c>
      <c r="AB4003">
        <v>11</v>
      </c>
      <c r="AC4003">
        <v>10.0061</v>
      </c>
      <c r="AD4003">
        <v>-1.111133047144</v>
      </c>
      <c r="AE4003">
        <v>-9.7853999999999797</v>
      </c>
      <c r="AF4003">
        <v>-4.11047260580568</v>
      </c>
      <c r="AG4003">
        <v>-1.111133047144</v>
      </c>
      <c r="AH4003">
        <v>13.2866106631968</v>
      </c>
      <c r="AI4003">
        <v>94.567781477701004</v>
      </c>
      <c r="AJ4003">
        <v>107.190474567693</v>
      </c>
      <c r="AK4003">
        <v>13.952226510736899</v>
      </c>
      <c r="AL4003">
        <v>89.476489583517903</v>
      </c>
      <c r="AM4003">
        <v>94.170175984628102</v>
      </c>
      <c r="AN4003">
        <v>0.99999996672201097</v>
      </c>
    </row>
    <row r="4004" spans="1:40" x14ac:dyDescent="0.25">
      <c r="A4004" t="str">
        <f>"20190312154000926"</f>
        <v>20190312154000926</v>
      </c>
      <c r="B4004" t="str">
        <f>"1552376400919447"</f>
        <v>1552376400919447</v>
      </c>
      <c r="C4004" t="s">
        <v>40</v>
      </c>
      <c r="D4004">
        <v>4.1612809999999998</v>
      </c>
      <c r="E4004">
        <v>0.4169891</v>
      </c>
      <c r="F4004" t="s">
        <v>61</v>
      </c>
      <c r="G4004">
        <v>-468.67219999999998</v>
      </c>
      <c r="H4004">
        <v>4.6936169999999999E-2</v>
      </c>
      <c r="I4004">
        <v>209.6163</v>
      </c>
      <c r="J4004">
        <v>-487.08440000000002</v>
      </c>
      <c r="K4004">
        <v>1.11114</v>
      </c>
      <c r="L4004">
        <v>227.9014</v>
      </c>
      <c r="M4004">
        <v>0.47847010000000001</v>
      </c>
      <c r="N4004">
        <v>0</v>
      </c>
      <c r="O4004">
        <v>-0.87800199999999995</v>
      </c>
      <c r="P4004">
        <v>0.5410123</v>
      </c>
      <c r="Q4004">
        <v>-4.4638840000000004E-3</v>
      </c>
      <c r="R4004">
        <v>-0.8410029</v>
      </c>
      <c r="S4004">
        <v>2.1777950000000001</v>
      </c>
      <c r="T4004">
        <v>-0.1255097</v>
      </c>
      <c r="U4004">
        <v>-2.1674039999999999</v>
      </c>
      <c r="V4004">
        <v>-7.2635899999999906E-2</v>
      </c>
      <c r="W4004">
        <v>8.7630269999999996E-3</v>
      </c>
      <c r="X4004">
        <v>0.99732010000000004</v>
      </c>
      <c r="Y4004">
        <v>-0.28423530000000002</v>
      </c>
      <c r="Z4004">
        <v>3.8677860000000001E-2</v>
      </c>
      <c r="AA4004">
        <v>0.95797410000000005</v>
      </c>
      <c r="AB4004">
        <v>11</v>
      </c>
      <c r="AC4004">
        <v>18.412199999999999</v>
      </c>
      <c r="AD4004">
        <v>-1.0642038300000001</v>
      </c>
      <c r="AE4004">
        <v>-18.2851</v>
      </c>
      <c r="AF4004">
        <v>-7.4052830466087096</v>
      </c>
      <c r="AG4004">
        <v>-1.0642038300000001</v>
      </c>
      <c r="AH4004">
        <v>24.8245124013078</v>
      </c>
      <c r="AI4004">
        <v>92.352401472636501</v>
      </c>
      <c r="AJ4004">
        <v>106.61011972642299</v>
      </c>
      <c r="AK4004">
        <v>25.927343920171701</v>
      </c>
      <c r="AL4004">
        <v>89.497909147793493</v>
      </c>
      <c r="AM4004">
        <v>94.165558675027199</v>
      </c>
      <c r="AN4004">
        <v>1.0000000732375001</v>
      </c>
    </row>
    <row r="4005" spans="1:40" x14ac:dyDescent="0.25">
      <c r="A4005" t="str">
        <f>"20190312154000949"</f>
        <v>20190312154000949</v>
      </c>
      <c r="B4005" t="str">
        <f>"1552376400939942"</f>
        <v>1552376400939942</v>
      </c>
      <c r="C4005" t="s">
        <v>40</v>
      </c>
      <c r="D4005">
        <v>4.1269299999999998</v>
      </c>
      <c r="E4005">
        <v>0.4172554</v>
      </c>
      <c r="F4005" t="s">
        <v>61</v>
      </c>
      <c r="G4005">
        <v>-468.61720000000003</v>
      </c>
      <c r="H4005">
        <v>7.912574E-2</v>
      </c>
      <c r="I4005">
        <v>209.5872</v>
      </c>
      <c r="J4005">
        <v>-487.03019999999998</v>
      </c>
      <c r="K4005">
        <v>1.11114</v>
      </c>
      <c r="L4005">
        <v>227.80799999999999</v>
      </c>
      <c r="M4005">
        <v>0.48063860000000003</v>
      </c>
      <c r="N4005">
        <v>0</v>
      </c>
      <c r="O4005">
        <v>-0.87681669999999901</v>
      </c>
      <c r="P4005">
        <v>0.54306980000000005</v>
      </c>
      <c r="Q4005">
        <v>-4.5125069999999998E-3</v>
      </c>
      <c r="R4005">
        <v>-0.83967539999999996</v>
      </c>
      <c r="S4005">
        <v>2.1813660000000001</v>
      </c>
      <c r="T4005">
        <v>-0.12190289999999999</v>
      </c>
      <c r="U4005">
        <v>-2.1633</v>
      </c>
      <c r="V4005">
        <v>-7.2613109999999995E-2</v>
      </c>
      <c r="W4005">
        <v>8.7120080000000003E-3</v>
      </c>
      <c r="X4005">
        <v>0.99732209999999999</v>
      </c>
      <c r="Y4005">
        <v>-0.28359279999999998</v>
      </c>
      <c r="Z4005">
        <v>3.753128E-2</v>
      </c>
      <c r="AA4005">
        <v>0.95821009999999995</v>
      </c>
      <c r="AB4005">
        <v>11</v>
      </c>
      <c r="AC4005">
        <v>18.412999999999901</v>
      </c>
      <c r="AD4005">
        <v>-1.03201426</v>
      </c>
      <c r="AE4005">
        <v>-18.220800000000001</v>
      </c>
      <c r="AF4005">
        <v>-7.3761601024687797</v>
      </c>
      <c r="AG4005">
        <v>-1.03201426</v>
      </c>
      <c r="AH4005">
        <v>24.789177830109601</v>
      </c>
      <c r="AI4005">
        <v>92.285039957295595</v>
      </c>
      <c r="AJ4005">
        <v>106.570671234118</v>
      </c>
      <c r="AK4005">
        <v>25.883897094195301</v>
      </c>
      <c r="AL4005">
        <v>89.500832379507003</v>
      </c>
      <c r="AM4005">
        <v>94.164247980074094</v>
      </c>
      <c r="AN4005">
        <v>0.999999966987836</v>
      </c>
    </row>
    <row r="4006" spans="1:40" x14ac:dyDescent="0.25">
      <c r="A4006" t="str">
        <f>"20190312154000971"</f>
        <v>20190312154000971</v>
      </c>
      <c r="B4006" t="str">
        <f>"1552376400959463"</f>
        <v>1552376400959463</v>
      </c>
      <c r="C4006" t="s">
        <v>40</v>
      </c>
      <c r="D4006">
        <v>4.1187050000000003</v>
      </c>
      <c r="E4006">
        <v>0.41754560000000002</v>
      </c>
      <c r="F4006" t="s">
        <v>61</v>
      </c>
      <c r="G4006">
        <v>-468.41649999999998</v>
      </c>
      <c r="H4006">
        <v>8.0000689999999999E-2</v>
      </c>
      <c r="I4006">
        <v>209.41640000000001</v>
      </c>
      <c r="J4006">
        <v>-486.97820000000002</v>
      </c>
      <c r="K4006">
        <v>1.111138</v>
      </c>
      <c r="L4006">
        <v>227.71889999999999</v>
      </c>
      <c r="M4006">
        <v>0.482705</v>
      </c>
      <c r="N4006">
        <v>0</v>
      </c>
      <c r="O4006">
        <v>-0.87568089999999998</v>
      </c>
      <c r="P4006">
        <v>0.54478609999999905</v>
      </c>
      <c r="Q4006">
        <v>-4.1716030000000003E-3</v>
      </c>
      <c r="R4006">
        <v>-0.8385648</v>
      </c>
      <c r="S4006">
        <v>2.1850589999999999</v>
      </c>
      <c r="T4006">
        <v>-0.1210456</v>
      </c>
      <c r="U4006">
        <v>-2.1589969999999998</v>
      </c>
      <c r="V4006">
        <v>-7.2300439999999994E-2</v>
      </c>
      <c r="W4006">
        <v>9.0515040000000001E-3</v>
      </c>
      <c r="X4006">
        <v>0.99734179999999995</v>
      </c>
      <c r="Y4006">
        <v>-0.28310419999999997</v>
      </c>
      <c r="Z4006">
        <v>3.7234669999999997E-2</v>
      </c>
      <c r="AA4006">
        <v>0.9583661</v>
      </c>
      <c r="AB4006">
        <v>11</v>
      </c>
      <c r="AC4006">
        <v>18.561699999999998</v>
      </c>
      <c r="AD4006">
        <v>-1.0311373100000001</v>
      </c>
      <c r="AE4006">
        <v>-18.302499999999899</v>
      </c>
      <c r="AF4006">
        <v>-7.4084893633665798</v>
      </c>
      <c r="AG4006">
        <v>-1.0311373100000001</v>
      </c>
      <c r="AH4006">
        <v>24.950170155337599</v>
      </c>
      <c r="AI4006">
        <v>92.268770281675799</v>
      </c>
      <c r="AJ4006">
        <v>106.537808418824</v>
      </c>
      <c r="AK4006">
        <v>26.0472637637716</v>
      </c>
      <c r="AL4006">
        <v>89.481379927529005</v>
      </c>
      <c r="AM4006">
        <v>94.146297904164697</v>
      </c>
      <c r="AN4006">
        <v>0.99999997468804702</v>
      </c>
    </row>
    <row r="4007" spans="1:40" x14ac:dyDescent="0.25">
      <c r="A4007" t="str">
        <f>"20190312154000997"</f>
        <v>20190312154000997</v>
      </c>
      <c r="B4007" t="str">
        <f>"1552376400989721"</f>
        <v>1552376400989721</v>
      </c>
      <c r="C4007" t="s">
        <v>40</v>
      </c>
      <c r="D4007">
        <v>4.1073879999999896</v>
      </c>
      <c r="E4007">
        <v>0.41779430000000001</v>
      </c>
      <c r="F4007" t="s">
        <v>61</v>
      </c>
      <c r="G4007">
        <v>-468.2346</v>
      </c>
      <c r="H4007">
        <v>8.0000749999999995E-2</v>
      </c>
      <c r="I4007">
        <v>209.24119999999999</v>
      </c>
      <c r="J4007">
        <v>-486.91579999999999</v>
      </c>
      <c r="K4007">
        <v>1.1111359999999999</v>
      </c>
      <c r="L4007">
        <v>227.6129</v>
      </c>
      <c r="M4007">
        <v>0.48516740000000003</v>
      </c>
      <c r="N4007">
        <v>0</v>
      </c>
      <c r="O4007">
        <v>-0.87431909999999902</v>
      </c>
      <c r="P4007">
        <v>0.5470429</v>
      </c>
      <c r="Q4007">
        <v>-3.581136E-3</v>
      </c>
      <c r="R4007">
        <v>-0.83709709999999904</v>
      </c>
      <c r="S4007">
        <v>2.187103</v>
      </c>
      <c r="T4007">
        <v>-0.12031840000000001</v>
      </c>
      <c r="U4007">
        <v>-2.1560820000000001</v>
      </c>
      <c r="V4007">
        <v>-7.21802E-2</v>
      </c>
      <c r="W4007">
        <v>9.6394180000000003E-3</v>
      </c>
      <c r="X4007">
        <v>0.99734500000000004</v>
      </c>
      <c r="Y4007">
        <v>-0.28150770000000003</v>
      </c>
      <c r="Z4007">
        <v>3.69629E-2</v>
      </c>
      <c r="AA4007">
        <v>0.9588468</v>
      </c>
      <c r="AB4007">
        <v>11</v>
      </c>
      <c r="AC4007">
        <v>18.681199999999901</v>
      </c>
      <c r="AD4007">
        <v>-1.0311352499999999</v>
      </c>
      <c r="AE4007">
        <v>-18.371700000000001</v>
      </c>
      <c r="AF4007">
        <v>-7.4091680449633097</v>
      </c>
      <c r="AG4007">
        <v>-1.0311352499999999</v>
      </c>
      <c r="AH4007">
        <v>25.089624815051799</v>
      </c>
      <c r="AI4007">
        <v>92.257164752987194</v>
      </c>
      <c r="AJ4007">
        <v>106.452294529369</v>
      </c>
      <c r="AK4007">
        <v>26.1810672888322</v>
      </c>
      <c r="AL4007">
        <v>89.447693464000906</v>
      </c>
      <c r="AM4007">
        <v>94.139413114329798</v>
      </c>
      <c r="AN4007">
        <v>0.99999997433820897</v>
      </c>
    </row>
    <row r="4008" spans="1:40" x14ac:dyDescent="0.25">
      <c r="A4008" t="str">
        <f>"20190312154001015"</f>
        <v>20190312154001015</v>
      </c>
      <c r="B4008" t="str">
        <f>"1552376401010214"</f>
        <v>1552376401010214</v>
      </c>
      <c r="C4008" t="s">
        <v>40</v>
      </c>
      <c r="D4008">
        <v>4.0622239999999996</v>
      </c>
      <c r="E4008">
        <v>0.41817680000000002</v>
      </c>
      <c r="F4008" t="s">
        <v>61</v>
      </c>
      <c r="G4008">
        <v>-467.89729999999997</v>
      </c>
      <c r="H4008">
        <v>8.0000859999999993E-2</v>
      </c>
      <c r="I4008">
        <v>208.9408</v>
      </c>
      <c r="J4008">
        <v>-486.87389999999999</v>
      </c>
      <c r="K4008">
        <v>1.1111310000000001</v>
      </c>
      <c r="L4008">
        <v>227.5419</v>
      </c>
      <c r="M4008">
        <v>0.48681469999999999</v>
      </c>
      <c r="N4008">
        <v>0</v>
      </c>
      <c r="O4008">
        <v>-0.87340309999999899</v>
      </c>
      <c r="P4008">
        <v>0.54801390000000005</v>
      </c>
      <c r="Q4008">
        <v>-2.847601E-3</v>
      </c>
      <c r="R4008">
        <v>-0.8364646</v>
      </c>
      <c r="S4008">
        <v>2.1912539999999998</v>
      </c>
      <c r="T4008">
        <v>-0.1188044</v>
      </c>
      <c r="U4008">
        <v>-2.1513369999999998</v>
      </c>
      <c r="V4008">
        <v>-7.1456790000000006E-2</v>
      </c>
      <c r="W4008">
        <v>1.037276E-2</v>
      </c>
      <c r="X4008">
        <v>0.99738970000000005</v>
      </c>
      <c r="Y4008">
        <v>-0.28167809999999999</v>
      </c>
      <c r="Z4008">
        <v>3.6478209999999997E-2</v>
      </c>
      <c r="AA4008">
        <v>0.95881530000000004</v>
      </c>
      <c r="AB4008">
        <v>11</v>
      </c>
      <c r="AC4008">
        <v>18.976600000000001</v>
      </c>
      <c r="AD4008">
        <v>-1.0311301399999999</v>
      </c>
      <c r="AE4008">
        <v>-18.601099999999999</v>
      </c>
      <c r="AF4008">
        <v>-7.5082977754111804</v>
      </c>
      <c r="AG4008">
        <v>-1.0311301399999999</v>
      </c>
      <c r="AH4008">
        <v>25.448301864890599</v>
      </c>
      <c r="AI4008">
        <v>92.225533771816401</v>
      </c>
      <c r="AJ4008">
        <v>106.438231331396</v>
      </c>
      <c r="AK4008">
        <v>26.552849802920498</v>
      </c>
      <c r="AL4008">
        <v>89.405673936638905</v>
      </c>
      <c r="AM4008">
        <v>94.097885787008593</v>
      </c>
      <c r="AN4008">
        <v>0.999999940326604</v>
      </c>
    </row>
    <row r="4009" spans="1:40" x14ac:dyDescent="0.25">
      <c r="A4009" t="str">
        <f>"20190312154001037"</f>
        <v>20190312154001037</v>
      </c>
      <c r="B4009" t="str">
        <f>"1552376401029735"</f>
        <v>1552376401029735</v>
      </c>
      <c r="C4009" t="s">
        <v>40</v>
      </c>
      <c r="D4009">
        <v>4.1130149999999999</v>
      </c>
      <c r="E4009">
        <v>0.41829369999999999</v>
      </c>
      <c r="F4009" t="s">
        <v>61</v>
      </c>
      <c r="G4009">
        <v>-467.43889999999999</v>
      </c>
      <c r="H4009">
        <v>8.0001009999999997E-2</v>
      </c>
      <c r="I4009">
        <v>208.4692</v>
      </c>
      <c r="J4009">
        <v>-486.82089999999999</v>
      </c>
      <c r="K4009">
        <v>1.1111279999999999</v>
      </c>
      <c r="L4009">
        <v>227.45259999999999</v>
      </c>
      <c r="M4009">
        <v>0.4888885</v>
      </c>
      <c r="N4009">
        <v>0</v>
      </c>
      <c r="O4009">
        <v>-0.87224389999999996</v>
      </c>
      <c r="P4009">
        <v>0.54948680000000005</v>
      </c>
      <c r="Q4009">
        <v>-2.3720220000000001E-3</v>
      </c>
      <c r="R4009">
        <v>-0.83549910000000005</v>
      </c>
      <c r="S4009">
        <v>2.1913450000000001</v>
      </c>
      <c r="T4009">
        <v>-0.11626259999999999</v>
      </c>
      <c r="U4009">
        <v>-2.1504970000000001</v>
      </c>
      <c r="V4009">
        <v>-7.0844320000000002E-2</v>
      </c>
      <c r="W4009">
        <v>1.084766E-2</v>
      </c>
      <c r="X4009">
        <v>0.99742839999999999</v>
      </c>
      <c r="Y4009">
        <v>-0.2796283</v>
      </c>
      <c r="Z4009">
        <v>3.5652049999999998E-2</v>
      </c>
      <c r="AA4009">
        <v>0.95944609999999997</v>
      </c>
      <c r="AB4009">
        <v>11</v>
      </c>
      <c r="AC4009">
        <v>19.382000000000001</v>
      </c>
      <c r="AD4009">
        <v>-1.03112699</v>
      </c>
      <c r="AE4009">
        <v>-18.9833999999999</v>
      </c>
      <c r="AF4009">
        <v>-7.6147466144320504</v>
      </c>
      <c r="AG4009">
        <v>-1.03112699</v>
      </c>
      <c r="AH4009">
        <v>25.998561239949801</v>
      </c>
      <c r="AI4009">
        <v>92.1797361460834</v>
      </c>
      <c r="AJ4009">
        <v>106.324836940837</v>
      </c>
      <c r="AK4009">
        <v>27.110381321901901</v>
      </c>
      <c r="AL4009">
        <v>89.378462675225194</v>
      </c>
      <c r="AM4009">
        <v>94.062723032216297</v>
      </c>
      <c r="AN4009">
        <v>1.00000000126514</v>
      </c>
    </row>
    <row r="4010" spans="1:40" x14ac:dyDescent="0.25">
      <c r="A4010" t="str">
        <f>"20190312154001060"</f>
        <v>20190312154001060</v>
      </c>
      <c r="B4010" t="str">
        <f>"1552376401050230"</f>
        <v>1552376401050230</v>
      </c>
      <c r="C4010" t="s">
        <v>40</v>
      </c>
      <c r="D4010">
        <v>4.1257289999999998</v>
      </c>
      <c r="E4010">
        <v>0.41840280000000002</v>
      </c>
      <c r="F4010" t="s">
        <v>61</v>
      </c>
      <c r="G4010">
        <v>-467.08049999999997</v>
      </c>
      <c r="H4010">
        <v>8.0001130000000004E-2</v>
      </c>
      <c r="I4010">
        <v>208.13910000000001</v>
      </c>
      <c r="J4010">
        <v>-486.767</v>
      </c>
      <c r="K4010">
        <v>1.11112099999999</v>
      </c>
      <c r="L4010">
        <v>227.3623</v>
      </c>
      <c r="M4010">
        <v>0.49098649999999999</v>
      </c>
      <c r="N4010">
        <v>0</v>
      </c>
      <c r="O4010">
        <v>-0.87106469999999903</v>
      </c>
      <c r="P4010">
        <v>0.55148940000000002</v>
      </c>
      <c r="Q4010">
        <v>-2.5158379999999998E-3</v>
      </c>
      <c r="R4010">
        <v>-0.83417819999999898</v>
      </c>
      <c r="S4010">
        <v>2.1944889999999999</v>
      </c>
      <c r="T4010">
        <v>-0.1146278</v>
      </c>
      <c r="U4010">
        <v>-2.1470340000000001</v>
      </c>
      <c r="V4010">
        <v>-7.0836350000000006E-2</v>
      </c>
      <c r="W4010">
        <v>1.0701280000000001E-2</v>
      </c>
      <c r="X4010">
        <v>0.99743059999999995</v>
      </c>
      <c r="Y4010">
        <v>-0.27879310000000002</v>
      </c>
      <c r="Z4010">
        <v>3.5112459999999998E-2</v>
      </c>
      <c r="AA4010">
        <v>0.95970909999999998</v>
      </c>
      <c r="AB4010">
        <v>11</v>
      </c>
      <c r="AC4010">
        <v>19.686499999999999</v>
      </c>
      <c r="AD4010">
        <v>-1.0311198699999899</v>
      </c>
      <c r="AE4010">
        <v>-19.223199999999899</v>
      </c>
      <c r="AF4010">
        <v>-7.6997588562243102</v>
      </c>
      <c r="AG4010">
        <v>-1.0311198699999899</v>
      </c>
      <c r="AH4010">
        <v>26.3757742749826</v>
      </c>
      <c r="AI4010">
        <v>92.149135713870905</v>
      </c>
      <c r="AJ4010">
        <v>106.27386666071899</v>
      </c>
      <c r="AK4010">
        <v>27.496017224957299</v>
      </c>
      <c r="AL4010">
        <v>89.386850150528105</v>
      </c>
      <c r="AM4010">
        <v>94.062258575295402</v>
      </c>
      <c r="AN4010">
        <v>1.0000000538456499</v>
      </c>
    </row>
    <row r="4011" spans="1:40" x14ac:dyDescent="0.25">
      <c r="A4011" t="str">
        <f>"20190312154001083"</f>
        <v>20190312154001083</v>
      </c>
      <c r="B4011" t="str">
        <f>"1552376401079511"</f>
        <v>1552376401079511</v>
      </c>
      <c r="C4011" t="s">
        <v>40</v>
      </c>
      <c r="D4011">
        <v>4.0862179999999997</v>
      </c>
      <c r="E4011">
        <v>0.41851519999999998</v>
      </c>
      <c r="F4011" t="s">
        <v>61</v>
      </c>
      <c r="G4011">
        <v>-467.11219999999997</v>
      </c>
      <c r="H4011">
        <v>8.0001119999999995E-2</v>
      </c>
      <c r="I4011">
        <v>208.21270000000001</v>
      </c>
      <c r="J4011">
        <v>-486.71190000000001</v>
      </c>
      <c r="K4011">
        <v>1.111119</v>
      </c>
      <c r="L4011">
        <v>227.2704</v>
      </c>
      <c r="M4011">
        <v>0.49312020000000001</v>
      </c>
      <c r="N4011">
        <v>0</v>
      </c>
      <c r="O4011">
        <v>-0.86985859999999904</v>
      </c>
      <c r="P4011">
        <v>0.55407640000000002</v>
      </c>
      <c r="Q4011">
        <v>-2.9430340000000002E-3</v>
      </c>
      <c r="R4011">
        <v>-0.8324606</v>
      </c>
      <c r="S4011">
        <v>2.1988219999999998</v>
      </c>
      <c r="T4011">
        <v>-0.1153537</v>
      </c>
      <c r="U4011">
        <v>-2.1423030000000001</v>
      </c>
      <c r="V4011">
        <v>-7.1487309999999998E-2</v>
      </c>
      <c r="W4011">
        <v>1.027024E-2</v>
      </c>
      <c r="X4011">
        <v>0.99738870000000002</v>
      </c>
      <c r="Y4011">
        <v>-0.27843790000000002</v>
      </c>
      <c r="Z4011">
        <v>3.5299509999999999E-2</v>
      </c>
      <c r="AA4011">
        <v>0.95980540000000003</v>
      </c>
      <c r="AB4011">
        <v>10</v>
      </c>
      <c r="AC4011">
        <v>19.599699999999999</v>
      </c>
      <c r="AD4011">
        <v>-1.03111788</v>
      </c>
      <c r="AE4011">
        <v>-19.057699999999901</v>
      </c>
      <c r="AF4011">
        <v>-7.6410431928494003</v>
      </c>
      <c r="AG4011">
        <v>-1.03111788</v>
      </c>
      <c r="AH4011">
        <v>26.207570456418502</v>
      </c>
      <c r="AI4011">
        <v>92.163125038492396</v>
      </c>
      <c r="AJ4011">
        <v>106.254499504883</v>
      </c>
      <c r="AK4011">
        <v>27.318226413615999</v>
      </c>
      <c r="AL4011">
        <v>89.411548287235902</v>
      </c>
      <c r="AM4011">
        <v>94.099634170080606</v>
      </c>
      <c r="AN4011">
        <v>1.0000000661041799</v>
      </c>
    </row>
    <row r="4012" spans="1:40" x14ac:dyDescent="0.25">
      <c r="A4012" t="str">
        <f>"20190312154001105"</f>
        <v>20190312154001105</v>
      </c>
      <c r="B4012" t="str">
        <f>"1552376401100006"</f>
        <v>1552376401100006</v>
      </c>
      <c r="C4012" t="s">
        <v>40</v>
      </c>
      <c r="D4012">
        <v>4.0613169999999998</v>
      </c>
      <c r="E4012">
        <v>0.4186319</v>
      </c>
      <c r="F4012" t="s">
        <v>61</v>
      </c>
      <c r="G4012">
        <v>-467.04610000000002</v>
      </c>
      <c r="H4012">
        <v>8.0001149999999993E-2</v>
      </c>
      <c r="I4012">
        <v>208.21889999999999</v>
      </c>
      <c r="J4012">
        <v>-486.65929999999997</v>
      </c>
      <c r="K4012">
        <v>1.1111150000000001</v>
      </c>
      <c r="L4012">
        <v>227.18340000000001</v>
      </c>
      <c r="M4012">
        <v>0.49514239999999998</v>
      </c>
      <c r="N4012">
        <v>0</v>
      </c>
      <c r="O4012">
        <v>-0.86870949999999902</v>
      </c>
      <c r="P4012">
        <v>0.5564443</v>
      </c>
      <c r="Q4012">
        <v>-2.9342700000000001E-3</v>
      </c>
      <c r="R4012">
        <v>-0.83088030000000002</v>
      </c>
      <c r="S4012">
        <v>2.204742</v>
      </c>
      <c r="T4012">
        <v>-0.11559949999999999</v>
      </c>
      <c r="U4012">
        <v>-2.1358799999999998</v>
      </c>
      <c r="V4012">
        <v>-7.2007109999999999E-2</v>
      </c>
      <c r="W4012">
        <v>1.0275009999999999E-2</v>
      </c>
      <c r="X4012">
        <v>0.99735119999999999</v>
      </c>
      <c r="Y4012">
        <v>-0.27893250000000003</v>
      </c>
      <c r="Z4012">
        <v>3.5349760000000001E-2</v>
      </c>
      <c r="AA4012">
        <v>0.95965990000000001</v>
      </c>
      <c r="AB4012">
        <v>10</v>
      </c>
      <c r="AC4012">
        <v>19.6131999999999</v>
      </c>
      <c r="AD4012">
        <v>-1.0311138500000001</v>
      </c>
      <c r="AE4012">
        <v>-18.964500000000001</v>
      </c>
      <c r="AF4012">
        <v>-7.6378153504371697</v>
      </c>
      <c r="AG4012">
        <v>-1.0311138500000001</v>
      </c>
      <c r="AH4012">
        <v>26.150942754378601</v>
      </c>
      <c r="AI4012">
        <v>92.167500392089906</v>
      </c>
      <c r="AJ4012">
        <v>106.281317230258</v>
      </c>
      <c r="AK4012">
        <v>27.263001046139799</v>
      </c>
      <c r="AL4012">
        <v>89.411274937715206</v>
      </c>
      <c r="AM4012">
        <v>94.129495492985797</v>
      </c>
      <c r="AN4012">
        <v>1.0000000079312401</v>
      </c>
    </row>
    <row r="4013" spans="1:40" x14ac:dyDescent="0.25">
      <c r="A4013" t="str">
        <f>"20190312154001127"</f>
        <v>20190312154001127</v>
      </c>
      <c r="B4013" t="str">
        <f>"1552376401119528"</f>
        <v>1552376401119528</v>
      </c>
      <c r="C4013" t="s">
        <v>40</v>
      </c>
      <c r="D4013">
        <v>4.1103719999999999</v>
      </c>
      <c r="E4013">
        <v>0.41864509999999999</v>
      </c>
      <c r="F4013" t="s">
        <v>61</v>
      </c>
      <c r="G4013">
        <v>-466.57670000000002</v>
      </c>
      <c r="H4013">
        <v>8.0001299999999997E-2</v>
      </c>
      <c r="I4013">
        <v>207.8253</v>
      </c>
      <c r="J4013">
        <v>-486.60700000000003</v>
      </c>
      <c r="K4013">
        <v>1.1111120000000001</v>
      </c>
      <c r="L4013">
        <v>227.09710000000001</v>
      </c>
      <c r="M4013">
        <v>0.4971467</v>
      </c>
      <c r="N4013">
        <v>0</v>
      </c>
      <c r="O4013">
        <v>-0.8675638</v>
      </c>
      <c r="P4013">
        <v>0.55852789999999997</v>
      </c>
      <c r="Q4013">
        <v>-2.7014690000000002E-3</v>
      </c>
      <c r="R4013">
        <v>-0.82948149999999998</v>
      </c>
      <c r="S4013">
        <v>2.2099609999999998</v>
      </c>
      <c r="T4013">
        <v>-0.1134674</v>
      </c>
      <c r="U4013">
        <v>-2.1302340000000002</v>
      </c>
      <c r="V4013">
        <v>-7.220762E-2</v>
      </c>
      <c r="W4013">
        <v>1.050483E-2</v>
      </c>
      <c r="X4013">
        <v>0.99733430000000001</v>
      </c>
      <c r="Y4013">
        <v>-0.27913749999999998</v>
      </c>
      <c r="Z4013">
        <v>3.4670689999999997E-2</v>
      </c>
      <c r="AA4013">
        <v>0.95962510000000001</v>
      </c>
      <c r="AB4013">
        <v>10</v>
      </c>
      <c r="AC4013">
        <v>20.030299999999901</v>
      </c>
      <c r="AD4013">
        <v>-1.0311106999999999</v>
      </c>
      <c r="AE4013">
        <v>-19.271799999999999</v>
      </c>
      <c r="AF4013">
        <v>-7.7866311121985996</v>
      </c>
      <c r="AG4013">
        <v>-1.0311106999999999</v>
      </c>
      <c r="AH4013">
        <v>26.6432275034276</v>
      </c>
      <c r="AI4013">
        <v>92.127374176303803</v>
      </c>
      <c r="AJ4013">
        <v>106.29129506475</v>
      </c>
      <c r="AK4013">
        <v>27.7769038078854</v>
      </c>
      <c r="AL4013">
        <v>89.398106505517802</v>
      </c>
      <c r="AM4013">
        <v>94.141024408415504</v>
      </c>
      <c r="AN4013">
        <v>0.999999998897941</v>
      </c>
    </row>
    <row r="4014" spans="1:40" x14ac:dyDescent="0.25">
      <c r="A4014" t="str">
        <f>"20190312154001150"</f>
        <v>20190312154001150</v>
      </c>
      <c r="B4014" t="str">
        <f>"1552376401140023"</f>
        <v>1552376401140023</v>
      </c>
      <c r="C4014" t="s">
        <v>40</v>
      </c>
      <c r="D4014">
        <v>4.0660489999999996</v>
      </c>
      <c r="E4014">
        <v>0.41877429999999899</v>
      </c>
      <c r="F4014" t="s">
        <v>61</v>
      </c>
      <c r="G4014">
        <v>-466.09809999999999</v>
      </c>
      <c r="H4014">
        <v>8.0001450000000002E-2</v>
      </c>
      <c r="I4014">
        <v>207.4255</v>
      </c>
      <c r="J4014">
        <v>-486.55220000000003</v>
      </c>
      <c r="K4014">
        <v>1.111113</v>
      </c>
      <c r="L4014">
        <v>227.00720000000001</v>
      </c>
      <c r="M4014">
        <v>0.49923479999999998</v>
      </c>
      <c r="N4014">
        <v>0</v>
      </c>
      <c r="O4014">
        <v>-0.86636380000000002</v>
      </c>
      <c r="P4014">
        <v>0.56034459999999997</v>
      </c>
      <c r="Q4014">
        <v>-2.375856E-3</v>
      </c>
      <c r="R4014">
        <v>-0.82825649999999995</v>
      </c>
      <c r="S4014">
        <v>2.215179</v>
      </c>
      <c r="T4014">
        <v>-0.1113707</v>
      </c>
      <c r="U4014">
        <v>-2.1247410000000002</v>
      </c>
      <c r="V4014">
        <v>-7.1990999999999999E-2</v>
      </c>
      <c r="W4014">
        <v>1.0828590000000001E-2</v>
      </c>
      <c r="X4014">
        <v>0.99734650000000002</v>
      </c>
      <c r="Y4014">
        <v>-0.27921190000000001</v>
      </c>
      <c r="Z4014">
        <v>3.3999250000000002E-2</v>
      </c>
      <c r="AA4014">
        <v>0.95962740000000002</v>
      </c>
      <c r="AB4014">
        <v>10</v>
      </c>
      <c r="AC4014">
        <v>20.4541</v>
      </c>
      <c r="AD4014">
        <v>-1.0311115500000001</v>
      </c>
      <c r="AE4014">
        <v>-19.581700000000001</v>
      </c>
      <c r="AF4014">
        <v>-7.93501271856569</v>
      </c>
      <c r="AG4014">
        <v>-1.0311115500000001</v>
      </c>
      <c r="AH4014">
        <v>27.1427079462485</v>
      </c>
      <c r="AI4014">
        <v>92.088213118095496</v>
      </c>
      <c r="AJ4014">
        <v>106.295973502579</v>
      </c>
      <c r="AK4014">
        <v>28.297600826354198</v>
      </c>
      <c r="AL4014">
        <v>89.379555370220004</v>
      </c>
      <c r="AM4014">
        <v>94.128594193307904</v>
      </c>
      <c r="AN4014">
        <v>1.0000000017523101</v>
      </c>
    </row>
    <row r="4015" spans="1:40" x14ac:dyDescent="0.25">
      <c r="A4015" t="str">
        <f>"20190312154001181"</f>
        <v>20190312154001181</v>
      </c>
      <c r="B4015" t="str">
        <f>"1552376401169303"</f>
        <v>1552376401169303</v>
      </c>
      <c r="C4015" t="s">
        <v>40</v>
      </c>
      <c r="D4015">
        <v>4.1576259999999996</v>
      </c>
      <c r="E4015">
        <v>0.4305001</v>
      </c>
      <c r="F4015" t="s">
        <v>61</v>
      </c>
      <c r="G4015">
        <v>-465.59980000000002</v>
      </c>
      <c r="H4015">
        <v>8.0001619999999996E-2</v>
      </c>
      <c r="I4015">
        <v>206.98410000000001</v>
      </c>
      <c r="J4015">
        <v>-486.476</v>
      </c>
      <c r="K4015">
        <v>1.111113</v>
      </c>
      <c r="L4015">
        <v>226.88319999999999</v>
      </c>
      <c r="M4015">
        <v>0.50211790000000001</v>
      </c>
      <c r="N4015">
        <v>0</v>
      </c>
      <c r="O4015">
        <v>-0.86469619999999903</v>
      </c>
      <c r="P4015">
        <v>0.5623127</v>
      </c>
      <c r="Q4015">
        <v>-2.6295759999999998E-3</v>
      </c>
      <c r="R4015">
        <v>-0.8269204</v>
      </c>
      <c r="S4015">
        <v>2.2189329999999998</v>
      </c>
      <c r="T4015">
        <v>-0.10919860000000001</v>
      </c>
      <c r="U4015">
        <v>-2.1205289999999999</v>
      </c>
      <c r="V4015">
        <v>-7.1040489999999998E-2</v>
      </c>
      <c r="W4015">
        <v>1.057349E-2</v>
      </c>
      <c r="X4015">
        <v>0.99741740000000001</v>
      </c>
      <c r="Y4015">
        <v>-0.27779530000000002</v>
      </c>
      <c r="Z4015">
        <v>3.328093E-2</v>
      </c>
      <c r="AA4015">
        <v>0.96006360000000002</v>
      </c>
      <c r="AB4015">
        <v>10</v>
      </c>
      <c r="AC4015">
        <v>20.876199999999901</v>
      </c>
      <c r="AD4015">
        <v>-1.03111138</v>
      </c>
      <c r="AE4015">
        <v>-19.899099999999901</v>
      </c>
      <c r="AF4015">
        <v>-8.0503044507834005</v>
      </c>
      <c r="AG4015">
        <v>-1.03111138</v>
      </c>
      <c r="AH4015">
        <v>27.6561059100069</v>
      </c>
      <c r="AI4015">
        <v>92.0501740873177</v>
      </c>
      <c r="AJ4015">
        <v>106.22953700708599</v>
      </c>
      <c r="AK4015">
        <v>28.822400776718499</v>
      </c>
      <c r="AL4015">
        <v>89.394172365439999</v>
      </c>
      <c r="AM4015">
        <v>94.073979782615993</v>
      </c>
      <c r="AN4015">
        <v>1.0000000098664901</v>
      </c>
    </row>
    <row r="4016" spans="1:40" x14ac:dyDescent="0.25">
      <c r="A4016" t="str">
        <f>"20190312154001204"</f>
        <v>20190312154001204</v>
      </c>
      <c r="B4016" t="str">
        <f>"1552376401199560"</f>
        <v>1552376401199560</v>
      </c>
      <c r="C4016" t="s">
        <v>40</v>
      </c>
      <c r="D4016">
        <v>4.1373419999999896</v>
      </c>
      <c r="E4016">
        <v>0.43518649999999998</v>
      </c>
      <c r="F4016" t="s">
        <v>61</v>
      </c>
      <c r="G4016">
        <v>-466.03809999999999</v>
      </c>
      <c r="H4016">
        <v>8.0001520000000007E-2</v>
      </c>
      <c r="I4016">
        <v>206.2439</v>
      </c>
      <c r="J4016">
        <v>-486.42489999999998</v>
      </c>
      <c r="K4016">
        <v>1.1111089999999999</v>
      </c>
      <c r="L4016">
        <v>226.8004</v>
      </c>
      <c r="M4016">
        <v>0.50404289999999996</v>
      </c>
      <c r="N4016">
        <v>0</v>
      </c>
      <c r="O4016">
        <v>-0.8635758</v>
      </c>
      <c r="P4016">
        <v>0.56389809999999996</v>
      </c>
      <c r="Q4016">
        <v>-3.3449809999999999E-3</v>
      </c>
      <c r="R4016">
        <v>-0.82583799999999996</v>
      </c>
      <c r="S4016">
        <v>2.1466669999999999</v>
      </c>
      <c r="T4016">
        <v>-0.10830099999999999</v>
      </c>
      <c r="U4016">
        <v>-2.1678160000000002</v>
      </c>
      <c r="V4016">
        <v>-7.0732329999999996E-2</v>
      </c>
      <c r="W4016">
        <v>9.856844E-3</v>
      </c>
      <c r="X4016">
        <v>0.99744670000000002</v>
      </c>
      <c r="Y4016">
        <v>-0.2490716</v>
      </c>
      <c r="Z4016">
        <v>3.2905440000000001E-2</v>
      </c>
      <c r="AA4016">
        <v>0.96792590000000001</v>
      </c>
      <c r="AB4016">
        <v>10</v>
      </c>
      <c r="AC4016">
        <v>20.386799999999901</v>
      </c>
      <c r="AD4016">
        <v>-1.03110748</v>
      </c>
      <c r="AE4016">
        <v>-20.5565</v>
      </c>
      <c r="AF4016">
        <v>-7.2356547047043502</v>
      </c>
      <c r="AG4016">
        <v>-1.03110748</v>
      </c>
      <c r="AH4016">
        <v>27.994897411562601</v>
      </c>
      <c r="AI4016">
        <v>92.042309354121699</v>
      </c>
      <c r="AJ4016">
        <v>104.491716199207</v>
      </c>
      <c r="AK4016">
        <v>28.933236298847302</v>
      </c>
      <c r="AL4016">
        <v>89.435235333368496</v>
      </c>
      <c r="AM4016">
        <v>94.056248002438295</v>
      </c>
      <c r="AN4016">
        <v>1.00000006961087</v>
      </c>
    </row>
    <row r="4017" spans="1:40" x14ac:dyDescent="0.25">
      <c r="A4017" t="str">
        <f>"20190312154001225"</f>
        <v>20190312154001225</v>
      </c>
      <c r="B4017" t="str">
        <f>"1552376401220055"</f>
        <v>1552376401220055</v>
      </c>
      <c r="C4017" t="s">
        <v>40</v>
      </c>
      <c r="D4017">
        <v>4.1051580000000003</v>
      </c>
      <c r="E4017">
        <v>0.43607750000000001</v>
      </c>
      <c r="F4017" t="s">
        <v>61</v>
      </c>
      <c r="G4017">
        <v>-467.79039999999998</v>
      </c>
      <c r="H4017">
        <v>8.0000950000000001E-2</v>
      </c>
      <c r="I4017">
        <v>207.59790000000001</v>
      </c>
      <c r="J4017">
        <v>-486.37150000000003</v>
      </c>
      <c r="K4017">
        <v>1.111103</v>
      </c>
      <c r="L4017">
        <v>226.71440000000001</v>
      </c>
      <c r="M4017">
        <v>0.5060424</v>
      </c>
      <c r="N4017">
        <v>0</v>
      </c>
      <c r="O4017">
        <v>-0.86240550000000005</v>
      </c>
      <c r="P4017">
        <v>0.5652007</v>
      </c>
      <c r="Q4017">
        <v>-3.0635770000000001E-3</v>
      </c>
      <c r="R4017">
        <v>-0.82494769999999995</v>
      </c>
      <c r="S4017">
        <v>2.1199949999999999</v>
      </c>
      <c r="T4017">
        <v>-0.11730640000000001</v>
      </c>
      <c r="U4017">
        <v>-2.1846160000000001</v>
      </c>
      <c r="V4017">
        <v>-6.9995379999999996E-2</v>
      </c>
      <c r="W4017">
        <v>1.013769E-2</v>
      </c>
      <c r="X4017">
        <v>0.99749580000000004</v>
      </c>
      <c r="Y4017">
        <v>-0.23695040000000001</v>
      </c>
      <c r="Z4017">
        <v>3.5557360000000003E-2</v>
      </c>
      <c r="AA4017">
        <v>0.97087089999999998</v>
      </c>
      <c r="AB4017">
        <v>10</v>
      </c>
      <c r="AC4017">
        <v>18.581099999999999</v>
      </c>
      <c r="AD4017">
        <v>-1.0311020500000001</v>
      </c>
      <c r="AE4017">
        <v>-19.116499999999998</v>
      </c>
      <c r="AF4017">
        <v>-6.3417610997851597</v>
      </c>
      <c r="AG4017">
        <v>-1.0311020500000001</v>
      </c>
      <c r="AH4017">
        <v>25.852627228317498</v>
      </c>
      <c r="AI4017">
        <v>92.218267479673898</v>
      </c>
      <c r="AJ4017">
        <v>103.782748344973</v>
      </c>
      <c r="AK4017">
        <v>26.639058539869701</v>
      </c>
      <c r="AL4017">
        <v>89.4191431984503</v>
      </c>
      <c r="AM4017">
        <v>94.013928471342098</v>
      </c>
      <c r="AN4017">
        <v>0.99999999849875998</v>
      </c>
    </row>
    <row r="4018" spans="1:40" x14ac:dyDescent="0.25">
      <c r="A4018" t="str">
        <f>"20190312154001249"</f>
        <v>20190312154001249</v>
      </c>
      <c r="B4018" t="str">
        <f>"1552376401239577"</f>
        <v>1552376401239577</v>
      </c>
      <c r="C4018" t="s">
        <v>40</v>
      </c>
      <c r="D4018">
        <v>4.10914</v>
      </c>
      <c r="E4018">
        <v>0.43651200000000001</v>
      </c>
      <c r="F4018" t="s">
        <v>61</v>
      </c>
      <c r="G4018">
        <v>-467.35489999999999</v>
      </c>
      <c r="H4018">
        <v>8.0001100000000006E-2</v>
      </c>
      <c r="I4018">
        <v>207.08940000000001</v>
      </c>
      <c r="J4018">
        <v>-486.3152</v>
      </c>
      <c r="K4018">
        <v>1.111105</v>
      </c>
      <c r="L4018">
        <v>226.6242</v>
      </c>
      <c r="M4018">
        <v>0.50813909999999995</v>
      </c>
      <c r="N4018">
        <v>0</v>
      </c>
      <c r="O4018">
        <v>-0.86117199999999905</v>
      </c>
      <c r="P4018">
        <v>0.56696299999999999</v>
      </c>
      <c r="Q4018">
        <v>-1.8603459999999999E-3</v>
      </c>
      <c r="R4018">
        <v>-0.82374130000000001</v>
      </c>
      <c r="S4018">
        <v>2.1175839999999999</v>
      </c>
      <c r="T4018">
        <v>-0.11481810000000001</v>
      </c>
      <c r="U4018">
        <v>-2.185333</v>
      </c>
      <c r="V4018">
        <v>-6.9701009999999994E-2</v>
      </c>
      <c r="W4018">
        <v>1.133925E-2</v>
      </c>
      <c r="X4018">
        <v>0.99750349999999999</v>
      </c>
      <c r="Y4018">
        <v>-0.2338964</v>
      </c>
      <c r="Z4018">
        <v>3.4749790000000003E-2</v>
      </c>
      <c r="AA4018">
        <v>0.97164030000000001</v>
      </c>
      <c r="AB4018">
        <v>10</v>
      </c>
      <c r="AC4018">
        <v>18.9603</v>
      </c>
      <c r="AD4018">
        <v>-1.0311039</v>
      </c>
      <c r="AE4018">
        <v>-19.534799999999901</v>
      </c>
      <c r="AF4018">
        <v>-6.3930803813726298</v>
      </c>
      <c r="AG4018">
        <v>-1.0311039</v>
      </c>
      <c r="AH4018">
        <v>26.421735877518199</v>
      </c>
      <c r="AI4018">
        <v>92.172204412822694</v>
      </c>
      <c r="AJ4018">
        <v>103.60202759241</v>
      </c>
      <c r="AK4018">
        <v>27.203727296027299</v>
      </c>
      <c r="AL4018">
        <v>89.350294922232706</v>
      </c>
      <c r="AM4018">
        <v>93.997071718741395</v>
      </c>
      <c r="AN4018">
        <v>1.0000000209489099</v>
      </c>
    </row>
    <row r="4019" spans="1:40" x14ac:dyDescent="0.25">
      <c r="A4019" t="str">
        <f>"20190312154001270"</f>
        <v>20190312154001270</v>
      </c>
      <c r="B4019" t="str">
        <f>"1552376401260071"</f>
        <v>1552376401260071</v>
      </c>
      <c r="C4019" t="s">
        <v>40</v>
      </c>
      <c r="D4019">
        <v>4.1093960000000003</v>
      </c>
      <c r="E4019">
        <v>0.43678990000000001</v>
      </c>
      <c r="F4019" t="s">
        <v>61</v>
      </c>
      <c r="G4019">
        <v>-466.42450000000002</v>
      </c>
      <c r="H4019">
        <v>8.0001409999999995E-2</v>
      </c>
      <c r="I4019">
        <v>206.13849999999999</v>
      </c>
      <c r="J4019">
        <v>-486.26280000000003</v>
      </c>
      <c r="K4019">
        <v>1.1111070000000001</v>
      </c>
      <c r="L4019">
        <v>226.54069999999999</v>
      </c>
      <c r="M4019">
        <v>0.51008009999999904</v>
      </c>
      <c r="N4019">
        <v>0</v>
      </c>
      <c r="O4019">
        <v>-0.86002369999999995</v>
      </c>
      <c r="P4019">
        <v>0.56896849999999999</v>
      </c>
      <c r="Q4019">
        <v>-6.1885550000000003E-4</v>
      </c>
      <c r="R4019">
        <v>-0.82235959999999997</v>
      </c>
      <c r="S4019">
        <v>2.119507</v>
      </c>
      <c r="T4019">
        <v>-0.10987189999999999</v>
      </c>
      <c r="U4019">
        <v>-2.1829070000000002</v>
      </c>
      <c r="V4019">
        <v>-6.9882150000000004E-2</v>
      </c>
      <c r="W4019">
        <v>1.257751E-2</v>
      </c>
      <c r="X4019">
        <v>0.99747600000000003</v>
      </c>
      <c r="Y4019">
        <v>-0.23272490000000001</v>
      </c>
      <c r="Z4019">
        <v>3.3214519999999997E-2</v>
      </c>
      <c r="AA4019">
        <v>0.97197529999999999</v>
      </c>
      <c r="AB4019">
        <v>10</v>
      </c>
      <c r="AC4019">
        <v>19.8383</v>
      </c>
      <c r="AD4019">
        <v>-1.0311055899999999</v>
      </c>
      <c r="AE4019">
        <v>-20.402200000000001</v>
      </c>
      <c r="AF4019">
        <v>-6.6465166570094496</v>
      </c>
      <c r="AG4019">
        <v>-1.0311055899999999</v>
      </c>
      <c r="AH4019">
        <v>27.631676582056802</v>
      </c>
      <c r="AI4019">
        <v>92.077849644409696</v>
      </c>
      <c r="AJ4019">
        <v>103.524970962788</v>
      </c>
      <c r="AK4019">
        <v>28.4385110922675</v>
      </c>
      <c r="AL4019">
        <v>89.279342787332794</v>
      </c>
      <c r="AM4019">
        <v>94.007535689264699</v>
      </c>
      <c r="AN4019">
        <v>1.0000000396112101</v>
      </c>
    </row>
    <row r="4020" spans="1:40" x14ac:dyDescent="0.25">
      <c r="A4020" t="str">
        <f>"20190312154001292"</f>
        <v>20190312154001292</v>
      </c>
      <c r="B4020" t="str">
        <f>"1552376401279591"</f>
        <v>1552376401279591</v>
      </c>
      <c r="C4020" t="s">
        <v>40</v>
      </c>
      <c r="D4020">
        <v>4.0750149999999996</v>
      </c>
      <c r="E4020">
        <v>0.43691540000000001</v>
      </c>
      <c r="F4020" t="s">
        <v>61</v>
      </c>
      <c r="G4020">
        <v>-465.39760000000001</v>
      </c>
      <c r="H4020">
        <v>8.0001760000000005E-2</v>
      </c>
      <c r="I4020">
        <v>205.12209999999999</v>
      </c>
      <c r="J4020">
        <v>-486.21129999999999</v>
      </c>
      <c r="K4020">
        <v>1.1111070000000001</v>
      </c>
      <c r="L4020">
        <v>226.4588</v>
      </c>
      <c r="M4020">
        <v>0.51198329999999903</v>
      </c>
      <c r="N4020">
        <v>0</v>
      </c>
      <c r="O4020">
        <v>-0.85889199999999999</v>
      </c>
      <c r="P4020">
        <v>0.57132569999999905</v>
      </c>
      <c r="Q4020">
        <v>3.5285859999999999E-4</v>
      </c>
      <c r="R4020">
        <v>-0.8207238</v>
      </c>
      <c r="S4020">
        <v>2.1228940000000001</v>
      </c>
      <c r="T4020">
        <v>-0.1049076</v>
      </c>
      <c r="U4020">
        <v>-2.1791839999999998</v>
      </c>
      <c r="V4020">
        <v>-7.0537139999999998E-2</v>
      </c>
      <c r="W4020">
        <v>1.3545400000000001E-2</v>
      </c>
      <c r="X4020">
        <v>0.9974172</v>
      </c>
      <c r="Y4020">
        <v>-0.2322159</v>
      </c>
      <c r="Z4020">
        <v>3.1682620000000002E-2</v>
      </c>
      <c r="AA4020">
        <v>0.97214809999999996</v>
      </c>
      <c r="AB4020">
        <v>10</v>
      </c>
      <c r="AC4020">
        <v>20.813699999999901</v>
      </c>
      <c r="AD4020">
        <v>-1.03110524</v>
      </c>
      <c r="AE4020">
        <v>-21.3367</v>
      </c>
      <c r="AF4020">
        <v>-6.9449932393530798</v>
      </c>
      <c r="AG4020">
        <v>-1.03110524</v>
      </c>
      <c r="AH4020">
        <v>28.950119138204599</v>
      </c>
      <c r="AI4020">
        <v>91.983587323431806</v>
      </c>
      <c r="AJ4020">
        <v>103.490052991056</v>
      </c>
      <c r="AK4020">
        <v>29.7893522458421</v>
      </c>
      <c r="AL4020">
        <v>89.223882027833696</v>
      </c>
      <c r="AM4020">
        <v>94.045211000021794</v>
      </c>
      <c r="AN4020">
        <v>1.0000000184181801</v>
      </c>
    </row>
    <row r="4021" spans="1:40" x14ac:dyDescent="0.25">
      <c r="A4021" t="str">
        <f>"20190312154001314"</f>
        <v>20190312154001314</v>
      </c>
      <c r="B4021" t="str">
        <f>"1552376401309847"</f>
        <v>1552376401309847</v>
      </c>
      <c r="C4021" t="s">
        <v>40</v>
      </c>
      <c r="D4021">
        <v>4.0867800000000001</v>
      </c>
      <c r="E4021">
        <v>0.43728909999999999</v>
      </c>
      <c r="F4021" t="s">
        <v>43</v>
      </c>
      <c r="G4021">
        <v>-461.97989999999999</v>
      </c>
      <c r="H4021">
        <v>-0.05</v>
      </c>
      <c r="I4021">
        <v>201.7071</v>
      </c>
      <c r="J4021">
        <v>-486.15730000000002</v>
      </c>
      <c r="K4021">
        <v>1.1111009999999999</v>
      </c>
      <c r="L4021">
        <v>226.37360000000001</v>
      </c>
      <c r="M4021">
        <v>0.51396549999999996</v>
      </c>
      <c r="N4021">
        <v>0</v>
      </c>
      <c r="O4021">
        <v>-0.85770759999999902</v>
      </c>
      <c r="P4021">
        <v>0.57353949999999998</v>
      </c>
      <c r="Q4021">
        <v>5.8948569999999997E-4</v>
      </c>
      <c r="R4021">
        <v>-0.81917790000000001</v>
      </c>
      <c r="S4021">
        <v>2.1281430000000001</v>
      </c>
      <c r="T4021">
        <v>-0.10197539999999999</v>
      </c>
      <c r="U4021">
        <v>-2.1738430000000002</v>
      </c>
      <c r="V4021">
        <v>-7.0926429999999999E-2</v>
      </c>
      <c r="W4021">
        <v>1.3779029999999999E-2</v>
      </c>
      <c r="X4021">
        <v>0.99738640000000001</v>
      </c>
      <c r="Y4021">
        <v>-0.2323848</v>
      </c>
      <c r="Z4021">
        <v>3.0769129999999999E-2</v>
      </c>
      <c r="AA4021">
        <v>0.97213709999999998</v>
      </c>
      <c r="AB4021">
        <v>10</v>
      </c>
      <c r="AC4021">
        <v>24.177399999999999</v>
      </c>
      <c r="AD4021">
        <v>-1.1611009999999999</v>
      </c>
      <c r="AE4021">
        <v>-24.666499999999999</v>
      </c>
      <c r="AF4021">
        <v>-8.0510253986235991</v>
      </c>
      <c r="AG4021">
        <v>-1.1611009999999999</v>
      </c>
      <c r="AH4021">
        <v>33.548057106698202</v>
      </c>
      <c r="AI4021">
        <v>91.927534437504093</v>
      </c>
      <c r="AJ4021">
        <v>103.494912435361</v>
      </c>
      <c r="AK4021">
        <v>34.520128926986402</v>
      </c>
      <c r="AL4021">
        <v>89.210494771226095</v>
      </c>
      <c r="AM4021">
        <v>94.067586719569206</v>
      </c>
      <c r="AN4021">
        <v>1.00000002552262</v>
      </c>
    </row>
    <row r="4022" spans="1:40" x14ac:dyDescent="0.25">
      <c r="A4022" t="str">
        <f>"20190312154001339"</f>
        <v>20190312154001339</v>
      </c>
      <c r="B4022" t="str">
        <f>"1552376401329367"</f>
        <v>1552376401329367</v>
      </c>
      <c r="C4022" t="s">
        <v>40</v>
      </c>
      <c r="D4022">
        <v>4.0842530000000004</v>
      </c>
      <c r="E4022">
        <v>0.43753700000000001</v>
      </c>
      <c r="F4022" t="s">
        <v>43</v>
      </c>
      <c r="G4022">
        <v>-460.92989999999998</v>
      </c>
      <c r="H4022">
        <v>-0.05</v>
      </c>
      <c r="I4022">
        <v>200.69659999999999</v>
      </c>
      <c r="J4022">
        <v>-486.1</v>
      </c>
      <c r="K4022">
        <v>1.1111</v>
      </c>
      <c r="L4022">
        <v>226.28370000000001</v>
      </c>
      <c r="M4022">
        <v>0.51605649999999903</v>
      </c>
      <c r="N4022">
        <v>0</v>
      </c>
      <c r="O4022">
        <v>-0.85645099999999996</v>
      </c>
      <c r="P4022">
        <v>0.57542939999999998</v>
      </c>
      <c r="Q4022">
        <v>1.9438610000000001E-4</v>
      </c>
      <c r="R4022">
        <v>-0.81785169999999996</v>
      </c>
      <c r="S4022">
        <v>2.1317439999999999</v>
      </c>
      <c r="T4022">
        <v>-9.8114370000000006E-2</v>
      </c>
      <c r="U4022">
        <v>-2.1697389999999999</v>
      </c>
      <c r="V4022">
        <v>-7.0796010000000006E-2</v>
      </c>
      <c r="W4022">
        <v>1.338138E-2</v>
      </c>
      <c r="X4022">
        <v>0.99740110000000004</v>
      </c>
      <c r="Y4022">
        <v>-0.23178090000000001</v>
      </c>
      <c r="Z4022">
        <v>2.957135E-2</v>
      </c>
      <c r="AA4022">
        <v>0.97231849999999997</v>
      </c>
      <c r="AB4022">
        <v>10</v>
      </c>
      <c r="AC4022">
        <v>25.170100000000001</v>
      </c>
      <c r="AD4022">
        <v>-1.1611</v>
      </c>
      <c r="AE4022">
        <v>-25.5871</v>
      </c>
      <c r="AF4022">
        <v>-8.3445761968979397</v>
      </c>
      <c r="AG4022">
        <v>-1.1611</v>
      </c>
      <c r="AH4022">
        <v>34.869895164388801</v>
      </c>
      <c r="AI4022">
        <v>91.8548015640568</v>
      </c>
      <c r="AJ4022">
        <v>103.458131372182</v>
      </c>
      <c r="AK4022">
        <v>35.873244819660499</v>
      </c>
      <c r="AL4022">
        <v>89.233280553894403</v>
      </c>
      <c r="AM4022">
        <v>94.060072610977898</v>
      </c>
      <c r="AN4022">
        <v>1.00000004532191</v>
      </c>
    </row>
    <row r="4023" spans="1:40" x14ac:dyDescent="0.25">
      <c r="A4023" t="str">
        <f>"20190312154001360"</f>
        <v>20190312154001360</v>
      </c>
      <c r="B4023" t="str">
        <f>"1552376401349862"</f>
        <v>1552376401349862</v>
      </c>
      <c r="C4023" t="s">
        <v>40</v>
      </c>
      <c r="D4023">
        <v>4.1210779999999998</v>
      </c>
      <c r="E4023">
        <v>0.43776749999999998</v>
      </c>
      <c r="F4023" t="s">
        <v>43</v>
      </c>
      <c r="G4023">
        <v>-460.49270000000001</v>
      </c>
      <c r="H4023">
        <v>-0.05</v>
      </c>
      <c r="I4023">
        <v>200.31</v>
      </c>
      <c r="J4023">
        <v>-486.0453</v>
      </c>
      <c r="K4023">
        <v>1.111097</v>
      </c>
      <c r="L4023">
        <v>226.19829999999999</v>
      </c>
      <c r="M4023">
        <v>0.518042</v>
      </c>
      <c r="N4023">
        <v>0</v>
      </c>
      <c r="O4023">
        <v>-0.8552516</v>
      </c>
      <c r="P4023">
        <v>0.5768124</v>
      </c>
      <c r="Q4023">
        <v>2.5741099999999998E-4</v>
      </c>
      <c r="R4023">
        <v>-0.81687650000000001</v>
      </c>
      <c r="S4023">
        <v>2.1352540000000002</v>
      </c>
      <c r="T4023">
        <v>-9.6817730000000005E-2</v>
      </c>
      <c r="U4023">
        <v>-2.1658019999999998</v>
      </c>
      <c r="V4023">
        <v>-7.0169579999999995E-2</v>
      </c>
      <c r="W4023">
        <v>1.344384E-2</v>
      </c>
      <c r="X4023">
        <v>0.99744449999999996</v>
      </c>
      <c r="Y4023">
        <v>-0.23121620000000001</v>
      </c>
      <c r="Z4023">
        <v>2.9148589999999999E-2</v>
      </c>
      <c r="AA4023">
        <v>0.97246560000000004</v>
      </c>
      <c r="AB4023">
        <v>10</v>
      </c>
      <c r="AC4023">
        <v>25.552599999999899</v>
      </c>
      <c r="AD4023">
        <v>-1.1610969999999901</v>
      </c>
      <c r="AE4023">
        <v>-25.888299999999902</v>
      </c>
      <c r="AF4023">
        <v>-8.4348291468449403</v>
      </c>
      <c r="AG4023">
        <v>-1.1610969999999901</v>
      </c>
      <c r="AH4023">
        <v>35.3454512449972</v>
      </c>
      <c r="AI4023">
        <v>91.830133910928396</v>
      </c>
      <c r="AJ4023">
        <v>103.422017868491</v>
      </c>
      <c r="AK4023">
        <v>36.356504406946797</v>
      </c>
      <c r="AL4023">
        <v>89.229701517205001</v>
      </c>
      <c r="AM4023">
        <v>94.024091578021697</v>
      </c>
      <c r="AN4023">
        <v>1.00000001868578</v>
      </c>
    </row>
    <row r="4024" spans="1:40" x14ac:dyDescent="0.25">
      <c r="A4024" t="str">
        <f>"20190312154001383"</f>
        <v>20190312154001383</v>
      </c>
      <c r="B4024" t="str">
        <f>"1552376401369383"</f>
        <v>1552376401369383</v>
      </c>
      <c r="C4024" t="s">
        <v>40</v>
      </c>
      <c r="D4024">
        <v>4.0642199999999997</v>
      </c>
      <c r="E4024">
        <v>0.43796439999999998</v>
      </c>
      <c r="F4024" t="s">
        <v>43</v>
      </c>
      <c r="G4024">
        <v>-459.99610000000001</v>
      </c>
      <c r="H4024">
        <v>-0.05</v>
      </c>
      <c r="I4024">
        <v>199.8331</v>
      </c>
      <c r="J4024">
        <v>-485.99299999999999</v>
      </c>
      <c r="K4024">
        <v>1.1110960000000001</v>
      </c>
      <c r="L4024">
        <v>226.11709999999999</v>
      </c>
      <c r="M4024">
        <v>0.51993389999999995</v>
      </c>
      <c r="N4024">
        <v>0</v>
      </c>
      <c r="O4024">
        <v>-0.8541029</v>
      </c>
      <c r="P4024">
        <v>0.57814339999999997</v>
      </c>
      <c r="Q4024">
        <v>5.5127919999999996E-4</v>
      </c>
      <c r="R4024">
        <v>-0.81593519999999997</v>
      </c>
      <c r="S4024">
        <v>2.1373899999999999</v>
      </c>
      <c r="T4024">
        <v>-9.5270160000000007E-2</v>
      </c>
      <c r="U4024">
        <v>-2.1633149999999999</v>
      </c>
      <c r="V4024">
        <v>-6.9588090000000005E-2</v>
      </c>
      <c r="W4024">
        <v>1.37366E-2</v>
      </c>
      <c r="X4024">
        <v>0.99748119999999996</v>
      </c>
      <c r="Y4024">
        <v>-0.23011880000000001</v>
      </c>
      <c r="Z4024">
        <v>2.8647260000000001E-2</v>
      </c>
      <c r="AA4024">
        <v>0.97274079999999996</v>
      </c>
      <c r="AB4024">
        <v>10</v>
      </c>
      <c r="AC4024">
        <v>25.9969</v>
      </c>
      <c r="AD4024">
        <v>-1.1610959999999999</v>
      </c>
      <c r="AE4024">
        <v>-26.283999999999899</v>
      </c>
      <c r="AF4024">
        <v>-8.5304259879878597</v>
      </c>
      <c r="AG4024">
        <v>-1.1610959999999999</v>
      </c>
      <c r="AH4024">
        <v>35.933647108889403</v>
      </c>
      <c r="AI4024">
        <v>91.8006998363728</v>
      </c>
      <c r="AJ4024">
        <v>103.35445982916799</v>
      </c>
      <c r="AK4024">
        <v>36.950552174547397</v>
      </c>
      <c r="AL4024">
        <v>89.212926017806893</v>
      </c>
      <c r="AM4024">
        <v>93.990706078073103</v>
      </c>
      <c r="AN4024">
        <v>0.99999997040142297</v>
      </c>
    </row>
    <row r="4025" spans="1:40" x14ac:dyDescent="0.25">
      <c r="A4025" t="str">
        <f>"20190312154001405"</f>
        <v>20190312154001405</v>
      </c>
      <c r="B4025" t="str">
        <f>"1552376401399640"</f>
        <v>1552376401399640</v>
      </c>
      <c r="C4025" t="s">
        <v>40</v>
      </c>
      <c r="D4025">
        <v>4.0542759999999998</v>
      </c>
      <c r="E4025">
        <v>0.43828820000000002</v>
      </c>
      <c r="F4025" t="s">
        <v>43</v>
      </c>
      <c r="G4025">
        <v>-459.48840000000001</v>
      </c>
      <c r="H4025">
        <v>-0.05</v>
      </c>
      <c r="I4025">
        <v>199.34970000000001</v>
      </c>
      <c r="J4025">
        <v>-485.93700000000001</v>
      </c>
      <c r="K4025">
        <v>1.111086</v>
      </c>
      <c r="L4025">
        <v>226.03049999999999</v>
      </c>
      <c r="M4025">
        <v>0.52194679999999904</v>
      </c>
      <c r="N4025">
        <v>0</v>
      </c>
      <c r="O4025">
        <v>-0.85287409999999997</v>
      </c>
      <c r="P4025">
        <v>0.57967849999999999</v>
      </c>
      <c r="Q4025">
        <v>5.504889E-4</v>
      </c>
      <c r="R4025">
        <v>-0.81484509999999999</v>
      </c>
      <c r="S4025">
        <v>2.1395870000000001</v>
      </c>
      <c r="T4025">
        <v>-9.372962E-2</v>
      </c>
      <c r="U4025">
        <v>-2.1607970000000001</v>
      </c>
      <c r="V4025">
        <v>-6.9112930000000003E-2</v>
      </c>
      <c r="W4025">
        <v>1.373421E-2</v>
      </c>
      <c r="X4025">
        <v>0.99751429999999996</v>
      </c>
      <c r="Y4025">
        <v>-0.22890070000000001</v>
      </c>
      <c r="Z4025">
        <v>2.814585E-2</v>
      </c>
      <c r="AA4025">
        <v>0.97304279999999999</v>
      </c>
      <c r="AB4025">
        <v>10</v>
      </c>
      <c r="AC4025">
        <v>26.4485999999999</v>
      </c>
      <c r="AD4025">
        <v>-1.1610860000000001</v>
      </c>
      <c r="AE4025">
        <v>-26.680799999999898</v>
      </c>
      <c r="AF4025">
        <v>-8.6238957586418703</v>
      </c>
      <c r="AG4025">
        <v>-1.1610860000000001</v>
      </c>
      <c r="AH4025">
        <v>36.528476142380903</v>
      </c>
      <c r="AI4025">
        <v>91.771899578712294</v>
      </c>
      <c r="AJ4025">
        <v>103.283554115149</v>
      </c>
      <c r="AK4025">
        <v>37.550622738375601</v>
      </c>
      <c r="AL4025">
        <v>89.213062992637504</v>
      </c>
      <c r="AM4025">
        <v>93.963412864866697</v>
      </c>
      <c r="AN4025">
        <v>1.0000000021609901</v>
      </c>
    </row>
    <row r="4026" spans="1:40" x14ac:dyDescent="0.25">
      <c r="A4026" t="str">
        <f>"20190312154001426"</f>
        <v>20190312154001426</v>
      </c>
      <c r="B4026" t="str">
        <f>"1552376401420136"</f>
        <v>1552376401420136</v>
      </c>
      <c r="C4026" t="s">
        <v>40</v>
      </c>
      <c r="D4026">
        <v>4.0676209999999999</v>
      </c>
      <c r="E4026">
        <v>0.43843979999999999</v>
      </c>
      <c r="F4026" t="s">
        <v>43</v>
      </c>
      <c r="G4026">
        <v>-458.79629999999997</v>
      </c>
      <c r="H4026">
        <v>-0.05</v>
      </c>
      <c r="I4026">
        <v>198.67750000000001</v>
      </c>
      <c r="J4026">
        <v>-485.8854</v>
      </c>
      <c r="K4026">
        <v>1.1110850000000001</v>
      </c>
      <c r="L4026">
        <v>225.9511</v>
      </c>
      <c r="M4026">
        <v>0.52379540000000002</v>
      </c>
      <c r="N4026">
        <v>0</v>
      </c>
      <c r="O4026">
        <v>-0.85174019999999995</v>
      </c>
      <c r="P4026">
        <v>0.58123269999999905</v>
      </c>
      <c r="Q4026">
        <v>-3.4815999999999997E-4</v>
      </c>
      <c r="R4026">
        <v>-0.8137375</v>
      </c>
      <c r="S4026">
        <v>2.1415099999999998</v>
      </c>
      <c r="T4026">
        <v>-9.1614370000000001E-2</v>
      </c>
      <c r="U4026">
        <v>-2.158264</v>
      </c>
      <c r="V4026">
        <v>-6.8851659999999995E-2</v>
      </c>
      <c r="W4026">
        <v>1.283402E-2</v>
      </c>
      <c r="X4026">
        <v>0.99754430000000005</v>
      </c>
      <c r="Y4026">
        <v>-0.22781190000000001</v>
      </c>
      <c r="Z4026">
        <v>2.7478550000000001E-2</v>
      </c>
      <c r="AA4026">
        <v>0.97331730000000005</v>
      </c>
      <c r="AB4026">
        <v>10</v>
      </c>
      <c r="AC4026">
        <v>27.089099999999998</v>
      </c>
      <c r="AD4026">
        <v>-1.1610849999999999</v>
      </c>
      <c r="AE4026">
        <v>-27.273599999999899</v>
      </c>
      <c r="AF4026">
        <v>-8.7798569288272006</v>
      </c>
      <c r="AG4026">
        <v>-1.1610849999999999</v>
      </c>
      <c r="AH4026">
        <v>37.3883692693312</v>
      </c>
      <c r="AI4026">
        <v>91.731657115379804</v>
      </c>
      <c r="AJ4026">
        <v>103.215242140448</v>
      </c>
      <c r="AK4026">
        <v>38.422964001854098</v>
      </c>
      <c r="AL4026">
        <v>89.264644592770296</v>
      </c>
      <c r="AM4026">
        <v>93.948358949759694</v>
      </c>
      <c r="AN4026">
        <v>0.99999994680830095</v>
      </c>
    </row>
    <row r="4027" spans="1:40" x14ac:dyDescent="0.25">
      <c r="A4027" t="str">
        <f>"20190312154001450"</f>
        <v>20190312154001450</v>
      </c>
      <c r="B4027" t="str">
        <f>"1552376401439655"</f>
        <v>1552376401439655</v>
      </c>
      <c r="C4027" t="s">
        <v>40</v>
      </c>
      <c r="D4027">
        <v>4.0707019999999998</v>
      </c>
      <c r="E4027">
        <v>0.43856040000000002</v>
      </c>
      <c r="F4027" t="s">
        <v>43</v>
      </c>
      <c r="G4027">
        <v>-459.18650000000002</v>
      </c>
      <c r="H4027">
        <v>-0.05</v>
      </c>
      <c r="I4027">
        <v>199.12350000000001</v>
      </c>
      <c r="J4027">
        <v>-485.8297</v>
      </c>
      <c r="K4027">
        <v>1.111076</v>
      </c>
      <c r="L4027">
        <v>225.8657</v>
      </c>
      <c r="M4027">
        <v>0.525783</v>
      </c>
      <c r="N4027">
        <v>0</v>
      </c>
      <c r="O4027">
        <v>-0.85051469999999996</v>
      </c>
      <c r="P4027">
        <v>0.58322200000000002</v>
      </c>
      <c r="Q4027">
        <v>-1.3414449999999999E-3</v>
      </c>
      <c r="R4027">
        <v>-0.81231180000000003</v>
      </c>
      <c r="S4027">
        <v>2.144501</v>
      </c>
      <c r="T4027">
        <v>-9.3260049999999997E-2</v>
      </c>
      <c r="U4027">
        <v>-2.1548310000000002</v>
      </c>
      <c r="V4027">
        <v>-6.8961919999999996E-2</v>
      </c>
      <c r="W4027">
        <v>1.183799E-2</v>
      </c>
      <c r="X4027">
        <v>0.99754909999999997</v>
      </c>
      <c r="Y4027">
        <v>-0.22698109999999999</v>
      </c>
      <c r="Z4027">
        <v>2.793727E-2</v>
      </c>
      <c r="AA4027">
        <v>0.97349830000000004</v>
      </c>
      <c r="AB4027">
        <v>10</v>
      </c>
      <c r="AC4027">
        <v>26.643199999999901</v>
      </c>
      <c r="AD4027">
        <v>-1.161076</v>
      </c>
      <c r="AE4027">
        <v>-26.7422</v>
      </c>
      <c r="AF4027">
        <v>-8.5924714881158408</v>
      </c>
      <c r="AG4027">
        <v>-1.161076</v>
      </c>
      <c r="AH4027">
        <v>36.721688782666298</v>
      </c>
      <c r="AI4027">
        <v>91.7633906633084</v>
      </c>
      <c r="AJ4027">
        <v>103.16964473365201</v>
      </c>
      <c r="AK4027">
        <v>37.731433723128802</v>
      </c>
      <c r="AL4027">
        <v>89.321717323229606</v>
      </c>
      <c r="AM4027">
        <v>93.954642891014103</v>
      </c>
      <c r="AN4027">
        <v>1.0000000456640601</v>
      </c>
    </row>
    <row r="4028" spans="1:40" x14ac:dyDescent="0.25">
      <c r="A4028" t="str">
        <f>"20190312154001472"</f>
        <v>20190312154001472</v>
      </c>
      <c r="B4028" t="str">
        <f>"1552376401460151"</f>
        <v>1552376401460151</v>
      </c>
      <c r="C4028" t="s">
        <v>40</v>
      </c>
      <c r="D4028">
        <v>4.0848559999999896</v>
      </c>
      <c r="E4028">
        <v>0.43872810000000001</v>
      </c>
      <c r="F4028" t="s">
        <v>43</v>
      </c>
      <c r="G4028">
        <v>-459.80959999999999</v>
      </c>
      <c r="H4028">
        <v>-0.05</v>
      </c>
      <c r="I4028">
        <v>199.83439999999999</v>
      </c>
      <c r="J4028">
        <v>-485.77420000000001</v>
      </c>
      <c r="K4028">
        <v>1.1110679999999999</v>
      </c>
      <c r="L4028">
        <v>225.78120000000001</v>
      </c>
      <c r="M4028">
        <v>0.52774690000000002</v>
      </c>
      <c r="N4028">
        <v>0</v>
      </c>
      <c r="O4028">
        <v>-0.84929739999999998</v>
      </c>
      <c r="P4028">
        <v>0.584897</v>
      </c>
      <c r="Q4028">
        <v>-1.9981489999999998E-3</v>
      </c>
      <c r="R4028">
        <v>-0.81110539999999998</v>
      </c>
      <c r="S4028">
        <v>2.1490779999999998</v>
      </c>
      <c r="T4028">
        <v>-9.5897079999999996E-2</v>
      </c>
      <c r="U4028">
        <v>-2.1500089999999998</v>
      </c>
      <c r="V4028">
        <v>-6.8715090000000006E-2</v>
      </c>
      <c r="W4028">
        <v>1.1179990000000001E-2</v>
      </c>
      <c r="X4028">
        <v>0.99757370000000001</v>
      </c>
      <c r="Y4028">
        <v>-0.22684099999999999</v>
      </c>
      <c r="Z4028">
        <v>2.869584E-2</v>
      </c>
      <c r="AA4028">
        <v>0.97350899999999996</v>
      </c>
      <c r="AB4028">
        <v>10</v>
      </c>
      <c r="AC4028">
        <v>25.964600000000001</v>
      </c>
      <c r="AD4028">
        <v>-1.161068</v>
      </c>
      <c r="AE4028">
        <v>-25.9468</v>
      </c>
      <c r="AF4028">
        <v>-8.3507094487177707</v>
      </c>
      <c r="AG4028">
        <v>-1.161068</v>
      </c>
      <c r="AH4028">
        <v>35.706727912182103</v>
      </c>
      <c r="AI4028">
        <v>91.813517500557396</v>
      </c>
      <c r="AJ4028">
        <v>103.163144912909</v>
      </c>
      <c r="AK4028">
        <v>36.688592851077402</v>
      </c>
      <c r="AL4028">
        <v>89.359420426633605</v>
      </c>
      <c r="AM4028">
        <v>93.940436152467498</v>
      </c>
      <c r="AN4028">
        <v>1.0000000213508899</v>
      </c>
    </row>
    <row r="4029" spans="1:40" x14ac:dyDescent="0.25">
      <c r="A4029" t="str">
        <f>"20190312154001494"</f>
        <v>20190312154001494</v>
      </c>
      <c r="B4029" t="str">
        <f>"1552376401489431"</f>
        <v>1552376401489431</v>
      </c>
      <c r="C4029" t="s">
        <v>40</v>
      </c>
      <c r="D4029">
        <v>4.0719440000000002</v>
      </c>
      <c r="E4029">
        <v>0.43893700000000002</v>
      </c>
      <c r="F4029" t="s">
        <v>43</v>
      </c>
      <c r="G4029">
        <v>-460.14519999999999</v>
      </c>
      <c r="H4029">
        <v>-0.05</v>
      </c>
      <c r="I4029">
        <v>200.22409999999999</v>
      </c>
      <c r="J4029">
        <v>-485.72359999999998</v>
      </c>
      <c r="K4029">
        <v>1.1110610000000001</v>
      </c>
      <c r="L4029">
        <v>225.7046</v>
      </c>
      <c r="M4029">
        <v>0.52952679999999996</v>
      </c>
      <c r="N4029">
        <v>0</v>
      </c>
      <c r="O4029">
        <v>-0.84818890000000002</v>
      </c>
      <c r="P4029">
        <v>0.58593709999999999</v>
      </c>
      <c r="Q4029">
        <v>-1.506376E-3</v>
      </c>
      <c r="R4029">
        <v>-0.81035539999999995</v>
      </c>
      <c r="S4029">
        <v>2.1523439999999998</v>
      </c>
      <c r="T4029">
        <v>-9.7507720000000006E-2</v>
      </c>
      <c r="U4029">
        <v>-2.1463169999999998</v>
      </c>
      <c r="V4029">
        <v>-6.7902699999999996E-2</v>
      </c>
      <c r="W4029">
        <v>1.167063E-2</v>
      </c>
      <c r="X4029">
        <v>0.9976237</v>
      </c>
      <c r="Y4029">
        <v>-0.22636329999999999</v>
      </c>
      <c r="Z4029">
        <v>2.9147070000000001E-2</v>
      </c>
      <c r="AA4029">
        <v>0.97360679999999999</v>
      </c>
      <c r="AB4029">
        <v>10</v>
      </c>
      <c r="AC4029">
        <v>25.578399999999899</v>
      </c>
      <c r="AD4029">
        <v>-1.1610609999999999</v>
      </c>
      <c r="AE4029">
        <v>-25.480499999999999</v>
      </c>
      <c r="AF4029">
        <v>-8.1949581453301601</v>
      </c>
      <c r="AG4029">
        <v>-1.1610609999999999</v>
      </c>
      <c r="AH4029">
        <v>35.123512625703199</v>
      </c>
      <c r="AI4029">
        <v>91.843823584879999</v>
      </c>
      <c r="AJ4029">
        <v>103.133205260298</v>
      </c>
      <c r="AK4029">
        <v>36.085544762652098</v>
      </c>
      <c r="AL4029">
        <v>89.331306985474399</v>
      </c>
      <c r="AM4029">
        <v>93.893799621578694</v>
      </c>
      <c r="AN4029">
        <v>1.0000000135367799</v>
      </c>
    </row>
    <row r="4030" spans="1:40" x14ac:dyDescent="0.25">
      <c r="A4030" t="str">
        <f>"20190312154001517"</f>
        <v>20190312154001517</v>
      </c>
      <c r="B4030" t="str">
        <f>"1552376401509927"</f>
        <v>1552376401509927</v>
      </c>
      <c r="C4030" t="s">
        <v>40</v>
      </c>
      <c r="D4030">
        <v>4.0458170000000004</v>
      </c>
      <c r="E4030">
        <v>0.43821009999999999</v>
      </c>
      <c r="F4030" t="s">
        <v>43</v>
      </c>
      <c r="G4030">
        <v>-459.55529999999999</v>
      </c>
      <c r="H4030">
        <v>-0.05</v>
      </c>
      <c r="I4030">
        <v>199.6497</v>
      </c>
      <c r="J4030">
        <v>-485.66759999999999</v>
      </c>
      <c r="K4030">
        <v>1.1110599999999999</v>
      </c>
      <c r="L4030">
        <v>225.6199</v>
      </c>
      <c r="M4030">
        <v>0.5314934</v>
      </c>
      <c r="N4030">
        <v>0</v>
      </c>
      <c r="O4030">
        <v>-0.84695799999999999</v>
      </c>
      <c r="P4030">
        <v>0.58732010000000001</v>
      </c>
      <c r="Q4030">
        <v>-1.2362339999999999E-3</v>
      </c>
      <c r="R4030">
        <v>-0.80935380000000001</v>
      </c>
      <c r="S4030">
        <v>2.1538390000000001</v>
      </c>
      <c r="T4030">
        <v>-9.556365E-2</v>
      </c>
      <c r="U4030">
        <v>-2.144501</v>
      </c>
      <c r="V4030">
        <v>-6.7292130000000006E-2</v>
      </c>
      <c r="W4030">
        <v>1.19405E-2</v>
      </c>
      <c r="X4030">
        <v>0.99766189999999999</v>
      </c>
      <c r="Y4030">
        <v>-0.2248677</v>
      </c>
      <c r="Z4030">
        <v>2.8523929999999999E-2</v>
      </c>
      <c r="AA4030">
        <v>0.9739717</v>
      </c>
      <c r="AB4030">
        <v>10</v>
      </c>
      <c r="AC4030">
        <v>26.112300000000001</v>
      </c>
      <c r="AD4030">
        <v>-1.16106</v>
      </c>
      <c r="AE4030">
        <v>-25.970199999999998</v>
      </c>
      <c r="AF4030">
        <v>-8.3055118881211403</v>
      </c>
      <c r="AG4030">
        <v>-1.16106</v>
      </c>
      <c r="AH4030">
        <v>35.841733569130497</v>
      </c>
      <c r="AI4030">
        <v>91.807532797337601</v>
      </c>
      <c r="AJ4030">
        <v>103.046729333127</v>
      </c>
      <c r="AK4030">
        <v>36.809773882596097</v>
      </c>
      <c r="AL4030">
        <v>89.315843511713396</v>
      </c>
      <c r="AM4030">
        <v>93.858746162708599</v>
      </c>
      <c r="AN4030">
        <v>1.0000000365058901</v>
      </c>
    </row>
    <row r="4031" spans="1:40" x14ac:dyDescent="0.25">
      <c r="A4031" t="str">
        <f>"20190312154001540"</f>
        <v>20190312154001540</v>
      </c>
      <c r="B4031" t="str">
        <f>"1552376401529447"</f>
        <v>1552376401529447</v>
      </c>
      <c r="C4031" t="s">
        <v>40</v>
      </c>
      <c r="D4031">
        <v>4.0850730000000004</v>
      </c>
      <c r="E4031">
        <v>0.41331299999999999</v>
      </c>
      <c r="F4031" t="s">
        <v>43</v>
      </c>
      <c r="G4031">
        <v>-459.35410000000002</v>
      </c>
      <c r="H4031">
        <v>-0.05</v>
      </c>
      <c r="I4031">
        <v>199.60830000000001</v>
      </c>
      <c r="J4031">
        <v>-485.61219999999997</v>
      </c>
      <c r="K4031">
        <v>1.111056</v>
      </c>
      <c r="L4031">
        <v>225.5368</v>
      </c>
      <c r="M4031">
        <v>0.53342179999999995</v>
      </c>
      <c r="N4031">
        <v>0</v>
      </c>
      <c r="O4031">
        <v>-0.84574509999999903</v>
      </c>
      <c r="P4031">
        <v>0.58849200000000002</v>
      </c>
      <c r="Q4031">
        <v>-9.5809020000000005E-4</v>
      </c>
      <c r="R4031">
        <v>-0.80850279999999997</v>
      </c>
      <c r="S4031">
        <v>2.1622309999999998</v>
      </c>
      <c r="T4031">
        <v>-9.5406409999999997E-2</v>
      </c>
      <c r="U4031">
        <v>-2.1374209999999998</v>
      </c>
      <c r="V4031">
        <v>-6.6463659999999994E-2</v>
      </c>
      <c r="W4031">
        <v>1.2218E-2</v>
      </c>
      <c r="X4031">
        <v>0.99771399999999999</v>
      </c>
      <c r="Y4031">
        <v>-0.2261532</v>
      </c>
      <c r="Z4031">
        <v>2.8447989999999999E-2</v>
      </c>
      <c r="AA4031">
        <v>0.97367630000000005</v>
      </c>
      <c r="AB4031">
        <v>10</v>
      </c>
      <c r="AC4031">
        <v>26.258099999999899</v>
      </c>
      <c r="AD4031">
        <v>-1.1610559999999901</v>
      </c>
      <c r="AE4031">
        <v>-25.9284999999999</v>
      </c>
      <c r="AF4031">
        <v>-8.3692863004542097</v>
      </c>
      <c r="AG4031">
        <v>-1.1610559999999901</v>
      </c>
      <c r="AH4031">
        <v>35.9031735467712</v>
      </c>
      <c r="AI4031">
        <v>91.803886919980997</v>
      </c>
      <c r="AJ4031">
        <v>103.12173123135</v>
      </c>
      <c r="AK4031">
        <v>36.884019235214502</v>
      </c>
      <c r="AL4031">
        <v>89.299942720997194</v>
      </c>
      <c r="AM4031">
        <v>93.811181491838596</v>
      </c>
      <c r="AN4031">
        <v>0.99999996171029704</v>
      </c>
    </row>
    <row r="4032" spans="1:40" x14ac:dyDescent="0.25">
      <c r="A4032" t="str">
        <f>"20190312154001562"</f>
        <v>20190312154001562</v>
      </c>
      <c r="B4032" t="str">
        <f>"1552376401549943"</f>
        <v>1552376401549943</v>
      </c>
      <c r="C4032" t="s">
        <v>40</v>
      </c>
      <c r="D4032">
        <v>4.0378179999999997</v>
      </c>
      <c r="E4032">
        <v>0.41424440000000001</v>
      </c>
      <c r="F4032" t="s">
        <v>61</v>
      </c>
      <c r="G4032">
        <v>-467.64519999999999</v>
      </c>
      <c r="H4032" s="1">
        <v>2.7350850000000001E-6</v>
      </c>
      <c r="I4032">
        <v>209.9616</v>
      </c>
      <c r="J4032">
        <v>-485.55709999999999</v>
      </c>
      <c r="K4032">
        <v>1.1110610000000001</v>
      </c>
      <c r="L4032">
        <v>225.4545</v>
      </c>
      <c r="M4032">
        <v>0.53533249999999999</v>
      </c>
      <c r="N4032">
        <v>0</v>
      </c>
      <c r="O4032">
        <v>-0.84453690000000003</v>
      </c>
      <c r="P4032">
        <v>0.59025939999999999</v>
      </c>
      <c r="Q4032">
        <v>-3.0130149999999997E-4</v>
      </c>
      <c r="R4032">
        <v>-0.80721379999999998</v>
      </c>
      <c r="S4032">
        <v>2.3266300000000002</v>
      </c>
      <c r="T4032">
        <v>-0.14387520000000001</v>
      </c>
      <c r="U4032">
        <v>-2.0169069999999998</v>
      </c>
      <c r="V4032">
        <v>-6.6392229999999997E-2</v>
      </c>
      <c r="W4032">
        <v>1.287217E-2</v>
      </c>
      <c r="X4032">
        <v>0.9977106</v>
      </c>
      <c r="Y4032">
        <v>-0.28669410000000001</v>
      </c>
      <c r="Z4032">
        <v>4.3089790000000003E-2</v>
      </c>
      <c r="AA4032">
        <v>0.95705260000000003</v>
      </c>
      <c r="AB4032">
        <v>10</v>
      </c>
      <c r="AC4032">
        <v>17.911899999999999</v>
      </c>
      <c r="AD4032">
        <v>-1.111058264915</v>
      </c>
      <c r="AE4032">
        <v>-15.492899999999899</v>
      </c>
      <c r="AF4032">
        <v>-6.8190024394158302</v>
      </c>
      <c r="AG4032">
        <v>-1.111058264915</v>
      </c>
      <c r="AH4032">
        <v>22.625351796879201</v>
      </c>
      <c r="AI4032">
        <v>92.691937452731295</v>
      </c>
      <c r="AJ4032">
        <v>106.772160008735</v>
      </c>
      <c r="AK4032">
        <v>23.656707054645999</v>
      </c>
      <c r="AL4032">
        <v>89.262458640306207</v>
      </c>
      <c r="AM4032">
        <v>93.807110516419101</v>
      </c>
      <c r="AN4032">
        <v>1.0000000311586199</v>
      </c>
    </row>
    <row r="4033" spans="1:40" x14ac:dyDescent="0.25">
      <c r="A4033" t="str">
        <f>"20190312154001585"</f>
        <v>20190312154001585</v>
      </c>
      <c r="B4033" t="str">
        <f>"1552376401569463"</f>
        <v>1552376401569463</v>
      </c>
      <c r="C4033" t="s">
        <v>40</v>
      </c>
      <c r="D4033">
        <v>4.0731799999999998</v>
      </c>
      <c r="E4033">
        <v>0.41462139999999997</v>
      </c>
      <c r="F4033" t="s">
        <v>61</v>
      </c>
      <c r="G4033">
        <v>-467.42759999999998</v>
      </c>
      <c r="H4033" s="1">
        <v>2.6292600000000001E-6</v>
      </c>
      <c r="I4033">
        <v>209.7337</v>
      </c>
      <c r="J4033">
        <v>-485.50380000000001</v>
      </c>
      <c r="K4033">
        <v>1.111062</v>
      </c>
      <c r="L4033">
        <v>225.37540000000001</v>
      </c>
      <c r="M4033">
        <v>0.53716809999999904</v>
      </c>
      <c r="N4033">
        <v>0</v>
      </c>
      <c r="O4033">
        <v>-0.84337059999999997</v>
      </c>
      <c r="P4033">
        <v>0.59257789999999999</v>
      </c>
      <c r="Q4033">
        <v>5.3232349999999997E-4</v>
      </c>
      <c r="R4033">
        <v>-0.80551309999999998</v>
      </c>
      <c r="S4033">
        <v>2.3251650000000001</v>
      </c>
      <c r="T4033">
        <v>-0.14249679999999901</v>
      </c>
      <c r="U4033">
        <v>-2.016235</v>
      </c>
      <c r="V4033">
        <v>-6.709176E-2</v>
      </c>
      <c r="W4033">
        <v>1.370179E-2</v>
      </c>
      <c r="X4033">
        <v>0.99765269999999995</v>
      </c>
      <c r="Y4033">
        <v>-0.28448580000000001</v>
      </c>
      <c r="Z4033">
        <v>4.2628359999999997E-2</v>
      </c>
      <c r="AA4033">
        <v>0.95773209999999998</v>
      </c>
      <c r="AB4033">
        <v>10</v>
      </c>
      <c r="AC4033">
        <v>18.0762</v>
      </c>
      <c r="AD4033">
        <v>-1.1110593707400001</v>
      </c>
      <c r="AE4033">
        <v>-15.6417</v>
      </c>
      <c r="AF4033">
        <v>-6.8285650620346798</v>
      </c>
      <c r="AG4033">
        <v>-1.1110593707400001</v>
      </c>
      <c r="AH4033">
        <v>22.854355301850301</v>
      </c>
      <c r="AI4033">
        <v>92.666912209352603</v>
      </c>
      <c r="AJ4033">
        <v>106.63541752064801</v>
      </c>
      <c r="AK4033">
        <v>23.878553348035201</v>
      </c>
      <c r="AL4033">
        <v>89.214920676510602</v>
      </c>
      <c r="AM4033">
        <v>93.847326234679002</v>
      </c>
      <c r="AN4033">
        <v>0.99999997656319495</v>
      </c>
    </row>
    <row r="4034" spans="1:40" x14ac:dyDescent="0.25">
      <c r="A4034" t="str">
        <f>"20190312154001606"</f>
        <v>20190312154001606</v>
      </c>
      <c r="B4034" t="str">
        <f>"1552376401599719"</f>
        <v>1552376401599719</v>
      </c>
      <c r="C4034" t="s">
        <v>40</v>
      </c>
      <c r="D4034">
        <v>4.0945039999999997</v>
      </c>
      <c r="E4034">
        <v>0.4149794</v>
      </c>
      <c r="F4034" t="s">
        <v>61</v>
      </c>
      <c r="G4034">
        <v>-467.26429999999999</v>
      </c>
      <c r="H4034">
        <v>3.2932740000000002E-2</v>
      </c>
      <c r="I4034">
        <v>209.6163</v>
      </c>
      <c r="J4034">
        <v>-485.45179999999999</v>
      </c>
      <c r="K4034">
        <v>1.1110660000000001</v>
      </c>
      <c r="L4034">
        <v>225.29830000000001</v>
      </c>
      <c r="M4034">
        <v>0.53895409999999999</v>
      </c>
      <c r="N4034">
        <v>0</v>
      </c>
      <c r="O4034">
        <v>-0.84223029999999999</v>
      </c>
      <c r="P4034">
        <v>0.59516400000000003</v>
      </c>
      <c r="Q4034">
        <v>1.3569840000000001E-3</v>
      </c>
      <c r="R4034">
        <v>-0.80360290000000001</v>
      </c>
      <c r="S4034">
        <v>2.3282780000000001</v>
      </c>
      <c r="T4034">
        <v>-0.1376232</v>
      </c>
      <c r="U4034">
        <v>-2.0116420000000002</v>
      </c>
      <c r="V4034">
        <v>-6.8186040000000003E-2</v>
      </c>
      <c r="W4034">
        <v>1.452139E-2</v>
      </c>
      <c r="X4034">
        <v>0.99756690000000003</v>
      </c>
      <c r="Y4034">
        <v>-0.28422360000000002</v>
      </c>
      <c r="Z4034">
        <v>4.113882E-2</v>
      </c>
      <c r="AA4034">
        <v>0.95787500000000003</v>
      </c>
      <c r="AB4034">
        <v>10</v>
      </c>
      <c r="AC4034">
        <v>18.1875</v>
      </c>
      <c r="AD4034">
        <v>-1.07813326</v>
      </c>
      <c r="AE4034">
        <v>-15.682</v>
      </c>
      <c r="AF4034">
        <v>-6.8529794292955302</v>
      </c>
      <c r="AG4034">
        <v>-1.07813326</v>
      </c>
      <c r="AH4034">
        <v>22.965827223248201</v>
      </c>
      <c r="AI4034">
        <v>92.575716031996805</v>
      </c>
      <c r="AJ4034">
        <v>106.615049706915</v>
      </c>
      <c r="AK4034">
        <v>23.9907256754095</v>
      </c>
      <c r="AL4034">
        <v>89.167956365852802</v>
      </c>
      <c r="AM4034">
        <v>93.9102190630135</v>
      </c>
      <c r="AN4034">
        <v>0.99999996339701103</v>
      </c>
    </row>
    <row r="4035" spans="1:40" x14ac:dyDescent="0.25">
      <c r="A4035" t="str">
        <f>"20190312154001628"</f>
        <v>20190312154001628</v>
      </c>
      <c r="B4035" t="str">
        <f>"1552376401619239"</f>
        <v>1552376401619239</v>
      </c>
      <c r="C4035" t="s">
        <v>40</v>
      </c>
      <c r="D4035">
        <v>4.1279750000000002</v>
      </c>
      <c r="E4035">
        <v>0.41503469999999998</v>
      </c>
      <c r="F4035" t="s">
        <v>61</v>
      </c>
      <c r="G4035">
        <v>-467.21749999999997</v>
      </c>
      <c r="H4035">
        <v>4.0594350000000001E-2</v>
      </c>
      <c r="I4035">
        <v>209.6163</v>
      </c>
      <c r="J4035">
        <v>-485.39580000000001</v>
      </c>
      <c r="K4035">
        <v>1.111062</v>
      </c>
      <c r="L4035">
        <v>225.2157</v>
      </c>
      <c r="M4035">
        <v>0.5408714</v>
      </c>
      <c r="N4035">
        <v>0</v>
      </c>
      <c r="O4035">
        <v>-0.84100059999999999</v>
      </c>
      <c r="P4035">
        <v>0.59704080000000004</v>
      </c>
      <c r="Q4035">
        <v>4.9120700000000002E-4</v>
      </c>
      <c r="R4035">
        <v>-0.8022108</v>
      </c>
      <c r="S4035">
        <v>2.3324579999999999</v>
      </c>
      <c r="T4035">
        <v>-0.13693039999999901</v>
      </c>
      <c r="U4035">
        <v>-2.0059809999999998</v>
      </c>
      <c r="V4035">
        <v>-6.8242999999999998E-2</v>
      </c>
      <c r="W4035">
        <v>1.365268E-2</v>
      </c>
      <c r="X4035">
        <v>0.99757530000000005</v>
      </c>
      <c r="Y4035">
        <v>-0.2842327</v>
      </c>
      <c r="Z4035">
        <v>4.0896920000000003E-2</v>
      </c>
      <c r="AA4035">
        <v>0.95788269999999998</v>
      </c>
      <c r="AB4035">
        <v>10</v>
      </c>
      <c r="AC4035">
        <v>18.1783</v>
      </c>
      <c r="AD4035">
        <v>-1.0704676500000001</v>
      </c>
      <c r="AE4035">
        <v>-15.599399999999999</v>
      </c>
      <c r="AF4035">
        <v>-6.8376400122448304</v>
      </c>
      <c r="AG4035">
        <v>-1.0704676500000001</v>
      </c>
      <c r="AH4035">
        <v>22.9075008550173</v>
      </c>
      <c r="AI4035">
        <v>92.563866603133604</v>
      </c>
      <c r="AJ4035">
        <v>106.619792488702</v>
      </c>
      <c r="AK4035">
        <v>23.930165426702899</v>
      </c>
      <c r="AL4035">
        <v>89.217734746780707</v>
      </c>
      <c r="AM4035">
        <v>93.913442513574296</v>
      </c>
      <c r="AN4035">
        <v>0.99999999094513603</v>
      </c>
    </row>
    <row r="4036" spans="1:40" x14ac:dyDescent="0.25">
      <c r="A4036" t="str">
        <f>"20190312154001651"</f>
        <v>20190312154001651</v>
      </c>
      <c r="B4036" t="str">
        <f>"1552376401639735"</f>
        <v>1552376401639735</v>
      </c>
      <c r="C4036" t="s">
        <v>40</v>
      </c>
      <c r="D4036">
        <v>4.1222750000000001</v>
      </c>
      <c r="E4036">
        <v>0.41517999999999999</v>
      </c>
      <c r="F4036" t="s">
        <v>61</v>
      </c>
      <c r="G4036">
        <v>-467.17630000000003</v>
      </c>
      <c r="H4036">
        <v>1.627346E-2</v>
      </c>
      <c r="I4036">
        <v>209.6163</v>
      </c>
      <c r="J4036">
        <v>-485.3408</v>
      </c>
      <c r="K4036">
        <v>1.111048</v>
      </c>
      <c r="L4036">
        <v>225.13509999999999</v>
      </c>
      <c r="M4036">
        <v>0.54274060000000002</v>
      </c>
      <c r="N4036">
        <v>0</v>
      </c>
      <c r="O4036">
        <v>-0.83979550000000003</v>
      </c>
      <c r="P4036">
        <v>0.59858869999999997</v>
      </c>
      <c r="Q4036">
        <v>-9.7012430000000005E-4</v>
      </c>
      <c r="R4036">
        <v>-0.80105630000000005</v>
      </c>
      <c r="S4036">
        <v>2.3367</v>
      </c>
      <c r="T4036">
        <v>-0.14041010000000001</v>
      </c>
      <c r="U4036">
        <v>-2.0006710000000001</v>
      </c>
      <c r="V4036">
        <v>-6.7948889999999998E-2</v>
      </c>
      <c r="W4036">
        <v>1.218939E-2</v>
      </c>
      <c r="X4036">
        <v>0.99761429999999995</v>
      </c>
      <c r="Y4036">
        <v>-0.28417799999999999</v>
      </c>
      <c r="Z4036">
        <v>4.1894470000000003E-2</v>
      </c>
      <c r="AA4036">
        <v>0.95785580000000003</v>
      </c>
      <c r="AB4036">
        <v>10</v>
      </c>
      <c r="AC4036">
        <v>18.164499999999901</v>
      </c>
      <c r="AD4036">
        <v>-1.09477454</v>
      </c>
      <c r="AE4036">
        <v>-15.518800000000001</v>
      </c>
      <c r="AF4036">
        <v>-6.8180677448581601</v>
      </c>
      <c r="AG4036">
        <v>-1.09477454</v>
      </c>
      <c r="AH4036">
        <v>22.845275929445702</v>
      </c>
      <c r="AI4036">
        <v>92.629166596403905</v>
      </c>
      <c r="AJ4036">
        <v>106.617492395696</v>
      </c>
      <c r="AK4036">
        <v>23.866110101133302</v>
      </c>
      <c r="AL4036">
        <v>89.301582075748897</v>
      </c>
      <c r="AM4036">
        <v>93.896476777106301</v>
      </c>
      <c r="AN4036">
        <v>0.99999996222264598</v>
      </c>
    </row>
    <row r="4037" spans="1:40" x14ac:dyDescent="0.25">
      <c r="A4037" t="str">
        <f>"20190312154001673"</f>
        <v>20190312154001673</v>
      </c>
      <c r="B4037" t="str">
        <f>"1552376401659256"</f>
        <v>1552376401659256</v>
      </c>
      <c r="C4037" t="s">
        <v>40</v>
      </c>
      <c r="D4037">
        <v>4.1287539999999998</v>
      </c>
      <c r="E4037">
        <v>0.41533429999999999</v>
      </c>
      <c r="F4037" t="s">
        <v>61</v>
      </c>
      <c r="G4037">
        <v>-467.2645</v>
      </c>
      <c r="H4037" s="1">
        <v>2.543527E-6</v>
      </c>
      <c r="I4037">
        <v>209.7089</v>
      </c>
      <c r="J4037">
        <v>-485.2869</v>
      </c>
      <c r="K4037">
        <v>1.1110329999999999</v>
      </c>
      <c r="L4037">
        <v>225.0564</v>
      </c>
      <c r="M4037">
        <v>0.54456830000000001</v>
      </c>
      <c r="N4037">
        <v>0</v>
      </c>
      <c r="O4037">
        <v>-0.83861169999999996</v>
      </c>
      <c r="P4037">
        <v>0.600132</v>
      </c>
      <c r="Q4037">
        <v>-2.387672E-3</v>
      </c>
      <c r="R4037">
        <v>-0.79989809999999995</v>
      </c>
      <c r="S4037">
        <v>2.3396300000000001</v>
      </c>
      <c r="T4037">
        <v>-0.1438034</v>
      </c>
      <c r="U4037">
        <v>-1.9966280000000001</v>
      </c>
      <c r="V4037">
        <v>-6.7699300000000004E-2</v>
      </c>
      <c r="W4037">
        <v>1.0770419999999999E-2</v>
      </c>
      <c r="X4037">
        <v>0.99764759999999997</v>
      </c>
      <c r="Y4037">
        <v>-0.28360269999999999</v>
      </c>
      <c r="Z4037">
        <v>4.2860059999999998E-2</v>
      </c>
      <c r="AA4037">
        <v>0.95798360000000005</v>
      </c>
      <c r="AB4037">
        <v>10</v>
      </c>
      <c r="AC4037">
        <v>18.022400000000001</v>
      </c>
      <c r="AD4037">
        <v>-1.111030456473</v>
      </c>
      <c r="AE4037">
        <v>-15.347499999999901</v>
      </c>
      <c r="AF4037">
        <v>-6.74177608310836</v>
      </c>
      <c r="AG4037">
        <v>-1.111030456473</v>
      </c>
      <c r="AH4037">
        <v>22.637148001329901</v>
      </c>
      <c r="AI4037">
        <v>92.693106481415001</v>
      </c>
      <c r="AJ4037">
        <v>106.584539081749</v>
      </c>
      <c r="AK4037">
        <v>23.645853823960302</v>
      </c>
      <c r="AL4037">
        <v>89.382888437695499</v>
      </c>
      <c r="AM4037">
        <v>93.882078891128302</v>
      </c>
      <c r="AN4037">
        <v>0.99999996547661196</v>
      </c>
    </row>
    <row r="4038" spans="1:40" x14ac:dyDescent="0.25">
      <c r="A4038" t="str">
        <f>"20190312154001697"</f>
        <v>20190312154001697</v>
      </c>
      <c r="B4038" t="str">
        <f>"1552376401679752"</f>
        <v>1552376401679752</v>
      </c>
      <c r="C4038" t="s">
        <v>40</v>
      </c>
      <c r="D4038">
        <v>4.154668</v>
      </c>
      <c r="E4038">
        <v>0.41549150000000001</v>
      </c>
      <c r="F4038" t="s">
        <v>61</v>
      </c>
      <c r="G4038">
        <v>-467.6508</v>
      </c>
      <c r="H4038" s="1">
        <v>2.7341140000000002E-6</v>
      </c>
      <c r="I4038">
        <v>210.0513</v>
      </c>
      <c r="J4038">
        <v>-485.23079999999999</v>
      </c>
      <c r="K4038">
        <v>1.111016</v>
      </c>
      <c r="L4038">
        <v>224.97499999999999</v>
      </c>
      <c r="M4038">
        <v>0.54645909999999998</v>
      </c>
      <c r="N4038">
        <v>0</v>
      </c>
      <c r="O4038">
        <v>-0.83738080000000004</v>
      </c>
      <c r="P4038">
        <v>0.60213989999999995</v>
      </c>
      <c r="Q4038">
        <v>-4.2866520000000002E-3</v>
      </c>
      <c r="R4038">
        <v>-0.79837950000000002</v>
      </c>
      <c r="S4038">
        <v>2.3421630000000002</v>
      </c>
      <c r="T4038">
        <v>-0.14754999999999999</v>
      </c>
      <c r="U4038">
        <v>-1.9927520000000001</v>
      </c>
      <c r="V4038">
        <v>-6.795698E-2</v>
      </c>
      <c r="W4038">
        <v>8.8684049999999993E-3</v>
      </c>
      <c r="X4038">
        <v>0.9976488</v>
      </c>
      <c r="Y4038">
        <v>-0.28282750000000001</v>
      </c>
      <c r="Z4038">
        <v>4.3926409999999999E-2</v>
      </c>
      <c r="AA4038">
        <v>0.95816449999999997</v>
      </c>
      <c r="AB4038">
        <v>10</v>
      </c>
      <c r="AC4038">
        <v>17.579999999999899</v>
      </c>
      <c r="AD4038">
        <v>-1.1110132658859999</v>
      </c>
      <c r="AE4038">
        <v>-14.923699999999901</v>
      </c>
      <c r="AF4038">
        <v>-6.55133323867316</v>
      </c>
      <c r="AG4038">
        <v>-1.1110132658859999</v>
      </c>
      <c r="AH4038">
        <v>22.054322082501901</v>
      </c>
      <c r="AI4038">
        <v>92.764701900993501</v>
      </c>
      <c r="AJ4038">
        <v>106.544283291429</v>
      </c>
      <c r="AK4038">
        <v>23.033615439176099</v>
      </c>
      <c r="AL4038">
        <v>89.491871143410805</v>
      </c>
      <c r="AM4038">
        <v>93.896804916572705</v>
      </c>
      <c r="AN4038">
        <v>0.99999996393970103</v>
      </c>
    </row>
    <row r="4039" spans="1:40" x14ac:dyDescent="0.25">
      <c r="A4039" t="str">
        <f>"20190312154001718"</f>
        <v>20190312154001718</v>
      </c>
      <c r="B4039" t="str">
        <f>"1552376401710008"</f>
        <v>1552376401710008</v>
      </c>
      <c r="C4039" t="s">
        <v>40</v>
      </c>
      <c r="D4039">
        <v>4.1550789999999997</v>
      </c>
      <c r="E4039">
        <v>0.415767</v>
      </c>
      <c r="F4039" t="s">
        <v>61</v>
      </c>
      <c r="G4039">
        <v>-468.2432</v>
      </c>
      <c r="H4039" s="1">
        <v>3.0260560000000002E-6</v>
      </c>
      <c r="I4039">
        <v>210.58519999999999</v>
      </c>
      <c r="J4039">
        <v>-485.17790000000002</v>
      </c>
      <c r="K4039">
        <v>1.111003</v>
      </c>
      <c r="L4039">
        <v>224.89850000000001</v>
      </c>
      <c r="M4039">
        <v>0.5482361</v>
      </c>
      <c r="N4039">
        <v>0</v>
      </c>
      <c r="O4039">
        <v>-0.83621829999999997</v>
      </c>
      <c r="P4039">
        <v>0.60371799999999998</v>
      </c>
      <c r="Q4039">
        <v>-6.4260360000000004E-3</v>
      </c>
      <c r="R4039">
        <v>-0.7971724</v>
      </c>
      <c r="S4039">
        <v>2.3460999999999999</v>
      </c>
      <c r="T4039">
        <v>-0.1534382</v>
      </c>
      <c r="U4039">
        <v>-1.9873350000000001</v>
      </c>
      <c r="V4039">
        <v>-6.7816349999999997E-2</v>
      </c>
      <c r="W4039">
        <v>6.726994E-3</v>
      </c>
      <c r="X4039">
        <v>0.99767510000000004</v>
      </c>
      <c r="Y4039">
        <v>-0.28280179999999999</v>
      </c>
      <c r="Z4039">
        <v>4.5637940000000002E-2</v>
      </c>
      <c r="AA4039">
        <v>0.95809200000000005</v>
      </c>
      <c r="AB4039">
        <v>10</v>
      </c>
      <c r="AC4039">
        <v>16.934699999999999</v>
      </c>
      <c r="AD4039">
        <v>-1.110999973944</v>
      </c>
      <c r="AE4039">
        <v>-14.3133</v>
      </c>
      <c r="AF4039">
        <v>-6.2987810330256497</v>
      </c>
      <c r="AG4039">
        <v>-1.110999973944</v>
      </c>
      <c r="AH4039">
        <v>21.201900905962599</v>
      </c>
      <c r="AI4039">
        <v>92.875614738738903</v>
      </c>
      <c r="AJ4039">
        <v>106.545930298049</v>
      </c>
      <c r="AK4039">
        <v>22.145644390497299</v>
      </c>
      <c r="AL4039">
        <v>89.614568711607902</v>
      </c>
      <c r="AM4039">
        <v>93.888663447923804</v>
      </c>
      <c r="AN4039">
        <v>0.99999995746780301</v>
      </c>
    </row>
    <row r="4040" spans="1:40" x14ac:dyDescent="0.25">
      <c r="A4040" t="str">
        <f>"20190312154001741"</f>
        <v>20190312154001741</v>
      </c>
      <c r="B4040" t="str">
        <f>"1552376401729527"</f>
        <v>1552376401729527</v>
      </c>
      <c r="C4040" t="s">
        <v>40</v>
      </c>
      <c r="D4040">
        <v>4.1733979999999997</v>
      </c>
      <c r="E4040">
        <v>0.41595510000000002</v>
      </c>
      <c r="F4040" t="s">
        <v>61</v>
      </c>
      <c r="G4040">
        <v>-468.83769999999998</v>
      </c>
      <c r="H4040" s="1">
        <v>3.3200800000000001E-6</v>
      </c>
      <c r="I4040">
        <v>211.09559999999999</v>
      </c>
      <c r="J4040">
        <v>-485.12270000000001</v>
      </c>
      <c r="K4040">
        <v>1.110994</v>
      </c>
      <c r="L4040">
        <v>224.81899999999999</v>
      </c>
      <c r="M4040">
        <v>0.55008330000000005</v>
      </c>
      <c r="N4040">
        <v>0</v>
      </c>
      <c r="O4040">
        <v>-0.83500459999999999</v>
      </c>
      <c r="P4040">
        <v>0.60523159999999998</v>
      </c>
      <c r="Q4040">
        <v>-8.3072990000000006E-3</v>
      </c>
      <c r="R4040">
        <v>-0.79600629999999994</v>
      </c>
      <c r="S4040">
        <v>2.348236</v>
      </c>
      <c r="T4040">
        <v>-0.15966040000000001</v>
      </c>
      <c r="U4040">
        <v>-1.9835970000000001</v>
      </c>
      <c r="V4040">
        <v>-6.7514039999999997E-2</v>
      </c>
      <c r="W4040">
        <v>4.8439950000000002E-3</v>
      </c>
      <c r="X4040">
        <v>0.9977066</v>
      </c>
      <c r="Y4040">
        <v>-0.28192489999999998</v>
      </c>
      <c r="Z4040">
        <v>4.7434369999999997E-2</v>
      </c>
      <c r="AA4040">
        <v>0.95826319999999998</v>
      </c>
      <c r="AB4040">
        <v>10</v>
      </c>
      <c r="AC4040">
        <v>16.285</v>
      </c>
      <c r="AD4040">
        <v>-1.11099067992</v>
      </c>
      <c r="AE4040">
        <v>-13.7234</v>
      </c>
      <c r="AF4040">
        <v>-6.0331488192784501</v>
      </c>
      <c r="AG4040">
        <v>-1.11099067992</v>
      </c>
      <c r="AH4040">
        <v>20.363582405562902</v>
      </c>
      <c r="AI4040">
        <v>92.994424115766094</v>
      </c>
      <c r="AJ4040">
        <v>106.503054572751</v>
      </c>
      <c r="AK4040">
        <v>21.2675497731775</v>
      </c>
      <c r="AL4040">
        <v>89.722458454778604</v>
      </c>
      <c r="AM4040">
        <v>93.871259636139399</v>
      </c>
      <c r="AN4040">
        <v>1.00000003478412</v>
      </c>
    </row>
    <row r="4041" spans="1:40" x14ac:dyDescent="0.25">
      <c r="A4041" t="str">
        <f>"20190312154001764"</f>
        <v>20190312154001764</v>
      </c>
      <c r="B4041" t="str">
        <f>"1552376401750023"</f>
        <v>1552376401750023</v>
      </c>
      <c r="C4041" t="s">
        <v>40</v>
      </c>
      <c r="D4041">
        <v>4.1587639999999997</v>
      </c>
      <c r="E4041">
        <v>0.41602790000000001</v>
      </c>
      <c r="F4041" t="s">
        <v>61</v>
      </c>
      <c r="G4041">
        <v>-469.36520000000002</v>
      </c>
      <c r="H4041" s="1">
        <v>3.5811630000000002E-6</v>
      </c>
      <c r="I4041">
        <v>211.54509999999999</v>
      </c>
      <c r="J4041">
        <v>-485.06700000000001</v>
      </c>
      <c r="K4041">
        <v>1.110986</v>
      </c>
      <c r="L4041">
        <v>224.73920000000001</v>
      </c>
      <c r="M4041">
        <v>0.55193749999999997</v>
      </c>
      <c r="N4041">
        <v>0</v>
      </c>
      <c r="O4041">
        <v>-0.83377990000000002</v>
      </c>
      <c r="P4041">
        <v>0.60723839999999996</v>
      </c>
      <c r="Q4041">
        <v>-9.0234970000000001E-3</v>
      </c>
      <c r="R4041">
        <v>-0.79446850000000002</v>
      </c>
      <c r="S4041">
        <v>2.3504330000000002</v>
      </c>
      <c r="T4041">
        <v>-0.165718899999999</v>
      </c>
      <c r="U4041">
        <v>-1.9799800000000001</v>
      </c>
      <c r="V4041">
        <v>-6.7817290000000002E-2</v>
      </c>
      <c r="W4041">
        <v>4.1249320000000004E-3</v>
      </c>
      <c r="X4041">
        <v>0.99768920000000005</v>
      </c>
      <c r="Y4041">
        <v>-0.28101939999999997</v>
      </c>
      <c r="Z4041">
        <v>4.9174780000000001E-2</v>
      </c>
      <c r="AA4041">
        <v>0.9584414</v>
      </c>
      <c r="AB4041">
        <v>10</v>
      </c>
      <c r="AC4041">
        <v>15.701799999999899</v>
      </c>
      <c r="AD4041">
        <v>-1.1109824188369899</v>
      </c>
      <c r="AE4041">
        <v>-13.194100000000001</v>
      </c>
      <c r="AF4041">
        <v>-5.79303932783644</v>
      </c>
      <c r="AG4041">
        <v>-1.1109824188369899</v>
      </c>
      <c r="AH4041">
        <v>19.611571906683199</v>
      </c>
      <c r="AI4041">
        <v>93.1097469576127</v>
      </c>
      <c r="AJ4041">
        <v>106.456551951292</v>
      </c>
      <c r="AK4041">
        <v>20.479436985421</v>
      </c>
      <c r="AL4041">
        <v>89.763658128261895</v>
      </c>
      <c r="AM4041">
        <v>93.888662393881106</v>
      </c>
      <c r="AN4041">
        <v>0.99999996984179396</v>
      </c>
    </row>
    <row r="4042" spans="1:40" x14ac:dyDescent="0.25">
      <c r="A4042" t="str">
        <f>"20190312154001786"</f>
        <v>20190312154001786</v>
      </c>
      <c r="B4042" t="str">
        <f>"1552376401780280"</f>
        <v>1552376401780280</v>
      </c>
      <c r="C4042" t="s">
        <v>40</v>
      </c>
      <c r="D4042">
        <v>4.104724</v>
      </c>
      <c r="E4042">
        <v>0.41612850000000001</v>
      </c>
      <c r="F4042" t="s">
        <v>61</v>
      </c>
      <c r="G4042">
        <v>-469.59219999999999</v>
      </c>
      <c r="H4042" s="1">
        <v>3.6923530000000002E-6</v>
      </c>
      <c r="I4042">
        <v>211.7646</v>
      </c>
      <c r="J4042">
        <v>-485.0129</v>
      </c>
      <c r="K4042">
        <v>1.1109830000000001</v>
      </c>
      <c r="L4042">
        <v>224.66229999999999</v>
      </c>
      <c r="M4042">
        <v>0.5537261</v>
      </c>
      <c r="N4042">
        <v>0</v>
      </c>
      <c r="O4042">
        <v>-0.83259340000000004</v>
      </c>
      <c r="P4042">
        <v>0.6095043</v>
      </c>
      <c r="Q4042">
        <v>-9.8476429999999997E-3</v>
      </c>
      <c r="R4042">
        <v>-0.79272200000000004</v>
      </c>
      <c r="S4042">
        <v>2.3547359999999999</v>
      </c>
      <c r="T4042">
        <v>-0.16905400000000001</v>
      </c>
      <c r="U4042">
        <v>-1.9743040000000001</v>
      </c>
      <c r="V4042">
        <v>-6.8528720000000001E-2</v>
      </c>
      <c r="W4042">
        <v>3.2966720000000001E-3</v>
      </c>
      <c r="X4042">
        <v>0.99764370000000002</v>
      </c>
      <c r="Y4042">
        <v>-0.28113490000000002</v>
      </c>
      <c r="Z4042">
        <v>5.011873E-2</v>
      </c>
      <c r="AA4042">
        <v>0.95835859999999995</v>
      </c>
      <c r="AB4042">
        <v>10</v>
      </c>
      <c r="AC4042">
        <v>15.4207</v>
      </c>
      <c r="AD4042">
        <v>-1.110979307647</v>
      </c>
      <c r="AE4042">
        <v>-12.897699999999899</v>
      </c>
      <c r="AF4042">
        <v>-5.6805319079405097</v>
      </c>
      <c r="AG4042">
        <v>-1.110979307647</v>
      </c>
      <c r="AH4042">
        <v>19.220377820936601</v>
      </c>
      <c r="AI4042">
        <v>93.172766613317293</v>
      </c>
      <c r="AJ4042">
        <v>106.464905582304</v>
      </c>
      <c r="AK4042">
        <v>20.0730077805669</v>
      </c>
      <c r="AL4042">
        <v>89.811114266358103</v>
      </c>
      <c r="AM4042">
        <v>93.929507508462294</v>
      </c>
      <c r="AN4042">
        <v>1.0000000028303999</v>
      </c>
    </row>
    <row r="4043" spans="1:40" x14ac:dyDescent="0.25">
      <c r="A4043" t="str">
        <f>"20190312154001809"</f>
        <v>20190312154001809</v>
      </c>
      <c r="B4043" t="str">
        <f>"1552376401799800"</f>
        <v>1552376401799800</v>
      </c>
      <c r="C4043" t="s">
        <v>40</v>
      </c>
      <c r="D4043">
        <v>4.1209920000000002</v>
      </c>
      <c r="E4043">
        <v>0.41625970000000001</v>
      </c>
      <c r="F4043" t="s">
        <v>61</v>
      </c>
      <c r="G4043">
        <v>-469.7654</v>
      </c>
      <c r="H4043" s="1">
        <v>3.7765830000000001E-6</v>
      </c>
      <c r="I4043">
        <v>211.94659999999999</v>
      </c>
      <c r="J4043">
        <v>-484.95749999999998</v>
      </c>
      <c r="K4043">
        <v>1.1109789999999999</v>
      </c>
      <c r="L4043">
        <v>224.58359999999999</v>
      </c>
      <c r="M4043">
        <v>0.55555600000000005</v>
      </c>
      <c r="N4043">
        <v>0</v>
      </c>
      <c r="O4043">
        <v>-0.83137340000000004</v>
      </c>
      <c r="P4043">
        <v>0.61212230000000001</v>
      </c>
      <c r="Q4043">
        <v>-1.085622E-2</v>
      </c>
      <c r="R4043">
        <v>-0.79068870000000002</v>
      </c>
      <c r="S4043">
        <v>2.3598020000000002</v>
      </c>
      <c r="T4043">
        <v>-0.17194219999999999</v>
      </c>
      <c r="U4043">
        <v>-1.967957</v>
      </c>
      <c r="V4043">
        <v>-6.9639649999999997E-2</v>
      </c>
      <c r="W4043">
        <v>2.282919E-3</v>
      </c>
      <c r="X4043">
        <v>0.99756959999999995</v>
      </c>
      <c r="Y4043">
        <v>-0.2815184</v>
      </c>
      <c r="Z4043">
        <v>5.0928849999999998E-2</v>
      </c>
      <c r="AA4043">
        <v>0.95820340000000004</v>
      </c>
      <c r="AB4043">
        <v>10</v>
      </c>
      <c r="AC4043">
        <v>15.1920999999999</v>
      </c>
      <c r="AD4043">
        <v>-1.1109752234170001</v>
      </c>
      <c r="AE4043">
        <v>-12.637</v>
      </c>
      <c r="AF4043">
        <v>-5.5925629411058697</v>
      </c>
      <c r="AG4043">
        <v>-1.1109752234170001</v>
      </c>
      <c r="AH4043">
        <v>18.888092383247201</v>
      </c>
      <c r="AI4043">
        <v>93.227979129077397</v>
      </c>
      <c r="AJ4043">
        <v>106.493460408799</v>
      </c>
      <c r="AK4043">
        <v>19.729953372356398</v>
      </c>
      <c r="AL4043">
        <v>89.869198262674303</v>
      </c>
      <c r="AM4043">
        <v>93.993300599154907</v>
      </c>
      <c r="AN4043">
        <v>0.99999999970772102</v>
      </c>
    </row>
    <row r="4044" spans="1:40" x14ac:dyDescent="0.25">
      <c r="A4044" t="str">
        <f>"20190312154001831"</f>
        <v>20190312154001831</v>
      </c>
      <c r="B4044" t="str">
        <f>"1552376401819319"</f>
        <v>1552376401819319</v>
      </c>
      <c r="C4044" t="s">
        <v>40</v>
      </c>
      <c r="D4044">
        <v>4.136914</v>
      </c>
      <c r="E4044">
        <v>0.4164716</v>
      </c>
      <c r="F4044" t="s">
        <v>61</v>
      </c>
      <c r="G4044">
        <v>-469.85480000000001</v>
      </c>
      <c r="H4044" s="1">
        <v>3.8189E-6</v>
      </c>
      <c r="I4044">
        <v>212.0667</v>
      </c>
      <c r="J4044">
        <v>-484.9051</v>
      </c>
      <c r="K4044">
        <v>1.1109739999999999</v>
      </c>
      <c r="L4044">
        <v>224.50960000000001</v>
      </c>
      <c r="M4044">
        <v>0.55728029999999995</v>
      </c>
      <c r="N4044">
        <v>0</v>
      </c>
      <c r="O4044">
        <v>-0.83021859999999903</v>
      </c>
      <c r="P4044">
        <v>0.61463950000000001</v>
      </c>
      <c r="Q4044">
        <v>-1.145467E-2</v>
      </c>
      <c r="R4044">
        <v>-0.78872509999999996</v>
      </c>
      <c r="S4044">
        <v>2.3655089999999999</v>
      </c>
      <c r="T4044">
        <v>-0.17401059999999999</v>
      </c>
      <c r="U4044">
        <v>-1.96051</v>
      </c>
      <c r="V4044">
        <v>-7.0752800000000005E-2</v>
      </c>
      <c r="W4044">
        <v>1.679245E-3</v>
      </c>
      <c r="X4044">
        <v>0.9974925</v>
      </c>
      <c r="Y4044">
        <v>-0.28242240000000002</v>
      </c>
      <c r="Z4044">
        <v>5.1510130000000001E-2</v>
      </c>
      <c r="AA4044">
        <v>0.95790620000000004</v>
      </c>
      <c r="AB4044">
        <v>10</v>
      </c>
      <c r="AC4044">
        <v>15.050299999999901</v>
      </c>
      <c r="AD4044">
        <v>-1.1109701810999999</v>
      </c>
      <c r="AE4044">
        <v>-12.4429</v>
      </c>
      <c r="AF4044">
        <v>-5.5434026117494497</v>
      </c>
      <c r="AG4044">
        <v>-1.1109701810999999</v>
      </c>
      <c r="AH4044">
        <v>18.658815651917799</v>
      </c>
      <c r="AI4044">
        <v>93.266651907800394</v>
      </c>
      <c r="AJ4044">
        <v>106.54631341474099</v>
      </c>
      <c r="AK4044">
        <v>19.496537353886701</v>
      </c>
      <c r="AL4044">
        <v>89.9037863066944</v>
      </c>
      <c r="AM4044">
        <v>94.057232289513607</v>
      </c>
      <c r="AN4044">
        <v>1.00000003306392</v>
      </c>
    </row>
    <row r="4045" spans="1:40" x14ac:dyDescent="0.25">
      <c r="A4045" t="str">
        <f>"20190312154001852"</f>
        <v>20190312154001852</v>
      </c>
      <c r="B4045" t="str">
        <f>"1552376401839816"</f>
        <v>1552376401839816</v>
      </c>
      <c r="C4045" t="s">
        <v>40</v>
      </c>
      <c r="D4045">
        <v>4.1613059999999997</v>
      </c>
      <c r="E4045">
        <v>0.41665600000000003</v>
      </c>
      <c r="F4045" t="s">
        <v>61</v>
      </c>
      <c r="G4045">
        <v>-469.77870000000001</v>
      </c>
      <c r="H4045" s="1">
        <v>3.7794490000000001E-6</v>
      </c>
      <c r="I4045">
        <v>212.04310000000001</v>
      </c>
      <c r="J4045">
        <v>-484.851</v>
      </c>
      <c r="K4045">
        <v>1.1109739999999999</v>
      </c>
      <c r="L4045">
        <v>224.43350000000001</v>
      </c>
      <c r="M4045">
        <v>0.55906319999999998</v>
      </c>
      <c r="N4045">
        <v>0</v>
      </c>
      <c r="O4045">
        <v>-0.82901930000000001</v>
      </c>
      <c r="P4045">
        <v>0.61750950000000004</v>
      </c>
      <c r="Q4045">
        <v>-1.1942120000000001E-2</v>
      </c>
      <c r="R4045">
        <v>-0.78647299999999998</v>
      </c>
      <c r="S4045">
        <v>2.3706049999999999</v>
      </c>
      <c r="T4045">
        <v>-0.1741115</v>
      </c>
      <c r="U4045">
        <v>-1.953751</v>
      </c>
      <c r="V4045">
        <v>-7.2247210000000006E-2</v>
      </c>
      <c r="W4045">
        <v>1.185719E-3</v>
      </c>
      <c r="X4045">
        <v>0.99738599999999999</v>
      </c>
      <c r="Y4045">
        <v>-0.28299750000000001</v>
      </c>
      <c r="Z4045">
        <v>5.150267E-2</v>
      </c>
      <c r="AA4045">
        <v>0.95773680000000005</v>
      </c>
      <c r="AB4045">
        <v>10</v>
      </c>
      <c r="AC4045">
        <v>15.072299999999901</v>
      </c>
      <c r="AD4045">
        <v>-1.1109702205509999</v>
      </c>
      <c r="AE4045">
        <v>-12.3904</v>
      </c>
      <c r="AF4045">
        <v>-5.5507032191710497</v>
      </c>
      <c r="AG4045">
        <v>-1.1109702205509999</v>
      </c>
      <c r="AH4045">
        <v>18.639457519055199</v>
      </c>
      <c r="AI4045">
        <v>93.269412972229205</v>
      </c>
      <c r="AJ4045">
        <v>106.58317223478601</v>
      </c>
      <c r="AK4045">
        <v>19.480090802225</v>
      </c>
      <c r="AL4045">
        <v>89.932063286237096</v>
      </c>
      <c r="AM4045">
        <v>94.143072923371093</v>
      </c>
      <c r="AN4045">
        <v>0.99999994913916401</v>
      </c>
    </row>
    <row r="4046" spans="1:40" x14ac:dyDescent="0.25">
      <c r="A4046" t="str">
        <f>"20190312154001874"</f>
        <v>20190312154001874</v>
      </c>
      <c r="B4046" t="str">
        <f>"1552376401870072"</f>
        <v>1552376401870072</v>
      </c>
      <c r="C4046" t="s">
        <v>40</v>
      </c>
      <c r="D4046">
        <v>4.1443640000000004</v>
      </c>
      <c r="E4046">
        <v>0.41694310000000001</v>
      </c>
      <c r="F4046" t="s">
        <v>61</v>
      </c>
      <c r="G4046">
        <v>-469.529</v>
      </c>
      <c r="H4046" s="1">
        <v>3.6531760000000002E-6</v>
      </c>
      <c r="I4046">
        <v>211.8914</v>
      </c>
      <c r="J4046">
        <v>-484.798</v>
      </c>
      <c r="K4046">
        <v>1.110978</v>
      </c>
      <c r="L4046">
        <v>224.35939999999999</v>
      </c>
      <c r="M4046">
        <v>0.56081429999999999</v>
      </c>
      <c r="N4046">
        <v>0</v>
      </c>
      <c r="O4046">
        <v>-0.82783589999999996</v>
      </c>
      <c r="P4046">
        <v>0.6198034</v>
      </c>
      <c r="Q4046">
        <v>-1.1582250000000001E-2</v>
      </c>
      <c r="R4046">
        <v>-0.78467209999999998</v>
      </c>
      <c r="S4046">
        <v>2.3768919999999998</v>
      </c>
      <c r="T4046">
        <v>-0.17234469999999999</v>
      </c>
      <c r="U4046">
        <v>-1.945648</v>
      </c>
      <c r="V4046">
        <v>-7.304853E-2</v>
      </c>
      <c r="W4046">
        <v>1.5404850000000001E-3</v>
      </c>
      <c r="X4046">
        <v>0.99732719999999997</v>
      </c>
      <c r="Y4046">
        <v>-0.28419129999999998</v>
      </c>
      <c r="Z4046">
        <v>5.0953989999999998E-2</v>
      </c>
      <c r="AA4046">
        <v>0.95741270000000001</v>
      </c>
      <c r="AB4046">
        <v>10</v>
      </c>
      <c r="AC4046">
        <v>15.269</v>
      </c>
      <c r="AD4046">
        <v>-1.1109743468240001</v>
      </c>
      <c r="AE4046">
        <v>-12.4679999999999</v>
      </c>
      <c r="AF4046">
        <v>-5.6306039295766004</v>
      </c>
      <c r="AG4046">
        <v>-1.1109743468240001</v>
      </c>
      <c r="AH4046">
        <v>18.8263875376472</v>
      </c>
      <c r="AI4046">
        <v>93.235892638348702</v>
      </c>
      <c r="AJ4046">
        <v>106.650894450509</v>
      </c>
      <c r="AK4046">
        <v>19.6817385494459</v>
      </c>
      <c r="AL4046">
        <v>89.911736676394099</v>
      </c>
      <c r="AM4046">
        <v>94.189108657210795</v>
      </c>
      <c r="AN4046">
        <v>1.0000000023445099</v>
      </c>
    </row>
    <row r="4047" spans="1:40" x14ac:dyDescent="0.25">
      <c r="A4047" t="str">
        <f>"20190312154001896"</f>
        <v>20190312154001896</v>
      </c>
      <c r="B4047" t="str">
        <f>"1552376401889592"</f>
        <v>1552376401889592</v>
      </c>
      <c r="C4047" t="s">
        <v>40</v>
      </c>
      <c r="D4047">
        <v>4.1594069999999999</v>
      </c>
      <c r="E4047">
        <v>0.4230043</v>
      </c>
      <c r="F4047" t="s">
        <v>61</v>
      </c>
      <c r="G4047">
        <v>-469.21690000000001</v>
      </c>
      <c r="H4047" s="1">
        <v>3.4969200000000001E-6</v>
      </c>
      <c r="I4047">
        <v>211.6661</v>
      </c>
      <c r="J4047">
        <v>-484.74329999999998</v>
      </c>
      <c r="K4047">
        <v>1.1109869999999999</v>
      </c>
      <c r="L4047">
        <v>224.2833</v>
      </c>
      <c r="M4047">
        <v>0.56263359999999996</v>
      </c>
      <c r="N4047">
        <v>0</v>
      </c>
      <c r="O4047">
        <v>-0.82660029999999995</v>
      </c>
      <c r="P4047">
        <v>0.62157069999999903</v>
      </c>
      <c r="Q4047">
        <v>-9.8856069999999994E-3</v>
      </c>
      <c r="R4047">
        <v>-0.78329589999999905</v>
      </c>
      <c r="S4047">
        <v>2.3812259999999998</v>
      </c>
      <c r="T4047">
        <v>-0.16978760000000001</v>
      </c>
      <c r="U4047">
        <v>-1.93988</v>
      </c>
      <c r="V4047">
        <v>-7.3092939999999995E-2</v>
      </c>
      <c r="W4047">
        <v>3.2327749999999998E-3</v>
      </c>
      <c r="X4047">
        <v>0.99731990000000004</v>
      </c>
      <c r="Y4047">
        <v>-0.28436600000000001</v>
      </c>
      <c r="Z4047">
        <v>5.0153940000000001E-2</v>
      </c>
      <c r="AA4047">
        <v>0.957403</v>
      </c>
      <c r="AB4047">
        <v>9</v>
      </c>
      <c r="AC4047">
        <v>15.526399999999899</v>
      </c>
      <c r="AD4047">
        <v>-1.1109835030799999</v>
      </c>
      <c r="AE4047">
        <v>-12.617199999999899</v>
      </c>
      <c r="AF4047">
        <v>-5.7181362917568501</v>
      </c>
      <c r="AG4047">
        <v>-1.1109835030799999</v>
      </c>
      <c r="AH4047">
        <v>19.107813928446699</v>
      </c>
      <c r="AI4047">
        <v>93.188204813171097</v>
      </c>
      <c r="AJ4047">
        <v>106.660150834378</v>
      </c>
      <c r="AK4047">
        <v>19.975983583277301</v>
      </c>
      <c r="AL4047">
        <v>89.814775314836993</v>
      </c>
      <c r="AM4047">
        <v>94.191676931491102</v>
      </c>
      <c r="AN4047">
        <v>1.0000000058240199</v>
      </c>
    </row>
    <row r="4048" spans="1:40" x14ac:dyDescent="0.25">
      <c r="A4048" t="str">
        <f>"20190312154001920"</f>
        <v>20190312154001920</v>
      </c>
      <c r="B4048" t="str">
        <f>"1552376401910088"</f>
        <v>1552376401910088</v>
      </c>
      <c r="C4048" t="s">
        <v>40</v>
      </c>
      <c r="D4048">
        <v>4.1790200000000004</v>
      </c>
      <c r="E4048">
        <v>0.42247230000000002</v>
      </c>
      <c r="F4048" t="s">
        <v>61</v>
      </c>
      <c r="G4048">
        <v>-469.25689999999997</v>
      </c>
      <c r="H4048" s="1">
        <v>3.533151E-6</v>
      </c>
      <c r="I4048">
        <v>211.3244</v>
      </c>
      <c r="J4048">
        <v>-484.68799999999999</v>
      </c>
      <c r="K4048">
        <v>1.1110070000000001</v>
      </c>
      <c r="L4048">
        <v>224.20679999999999</v>
      </c>
      <c r="M4048">
        <v>0.56450230000000001</v>
      </c>
      <c r="N4048">
        <v>0</v>
      </c>
      <c r="O4048">
        <v>-0.82532530000000004</v>
      </c>
      <c r="P4048">
        <v>0.62290290000000004</v>
      </c>
      <c r="Q4048">
        <v>-9.7369369999999993E-3</v>
      </c>
      <c r="R4048">
        <v>-0.78223880000000001</v>
      </c>
      <c r="S4048">
        <v>2.347931</v>
      </c>
      <c r="T4048">
        <v>-0.1684387</v>
      </c>
      <c r="U4048">
        <v>-1.9647220000000001</v>
      </c>
      <c r="V4048">
        <v>-7.2533180000000003E-2</v>
      </c>
      <c r="W4048">
        <v>3.3772569999999998E-3</v>
      </c>
      <c r="X4048">
        <v>0.99736029999999998</v>
      </c>
      <c r="Y4048">
        <v>-0.26958589999999999</v>
      </c>
      <c r="Z4048">
        <v>4.9617580000000001E-2</v>
      </c>
      <c r="AA4048">
        <v>0.96169720000000003</v>
      </c>
      <c r="AB4048">
        <v>9</v>
      </c>
      <c r="AC4048">
        <v>15.431100000000001</v>
      </c>
      <c r="AD4048">
        <v>-1.1110034668490001</v>
      </c>
      <c r="AE4048">
        <v>-12.882399999999899</v>
      </c>
      <c r="AF4048">
        <v>-5.4473716618501404</v>
      </c>
      <c r="AG4048">
        <v>-1.1110034668490001</v>
      </c>
      <c r="AH4048">
        <v>19.285845254020501</v>
      </c>
      <c r="AI4048">
        <v>93.173125904523204</v>
      </c>
      <c r="AJ4048">
        <v>105.772565820453</v>
      </c>
      <c r="AK4048">
        <v>20.0711737047863</v>
      </c>
      <c r="AL4048">
        <v>89.806497063213996</v>
      </c>
      <c r="AM4048">
        <v>94.159521457638704</v>
      </c>
      <c r="AN4048">
        <v>1.0000000180409201</v>
      </c>
    </row>
    <row r="4049" spans="1:40" x14ac:dyDescent="0.25">
      <c r="A4049" t="str">
        <f>"20190312154001942"</f>
        <v>20190312154001942</v>
      </c>
      <c r="B4049" t="str">
        <f>"1552376401929823"</f>
        <v>1552376401929823</v>
      </c>
      <c r="C4049" t="s">
        <v>40</v>
      </c>
      <c r="D4049">
        <v>4.184984</v>
      </c>
      <c r="E4049">
        <v>0.4225178</v>
      </c>
      <c r="F4049" t="s">
        <v>61</v>
      </c>
      <c r="G4049">
        <v>-468.02719999999999</v>
      </c>
      <c r="H4049" s="1">
        <v>2.9212780000000001E-6</v>
      </c>
      <c r="I4049">
        <v>210.35159999999999</v>
      </c>
      <c r="J4049">
        <v>-484.6318</v>
      </c>
      <c r="K4049">
        <v>1.111032</v>
      </c>
      <c r="L4049">
        <v>224.1294</v>
      </c>
      <c r="M4049">
        <v>0.56643900000000003</v>
      </c>
      <c r="N4049">
        <v>0</v>
      </c>
      <c r="O4049">
        <v>-0.82399730000000004</v>
      </c>
      <c r="P4049">
        <v>0.62395219999999996</v>
      </c>
      <c r="Q4049">
        <v>-1.085739E-2</v>
      </c>
      <c r="R4049">
        <v>-0.78138759999999996</v>
      </c>
      <c r="S4049">
        <v>2.3547060000000002</v>
      </c>
      <c r="T4049">
        <v>-0.1570202</v>
      </c>
      <c r="U4049">
        <v>-1.9581759999999999</v>
      </c>
      <c r="V4049">
        <v>-7.1536080000000002E-2</v>
      </c>
      <c r="W4049">
        <v>2.2538329999999998E-3</v>
      </c>
      <c r="X4049">
        <v>0.99743550000000003</v>
      </c>
      <c r="Y4049">
        <v>-0.27041539999999997</v>
      </c>
      <c r="Z4049">
        <v>4.6204469999999997E-2</v>
      </c>
      <c r="AA4049">
        <v>0.9616344</v>
      </c>
      <c r="AB4049">
        <v>9</v>
      </c>
      <c r="AC4049">
        <v>16.604600000000001</v>
      </c>
      <c r="AD4049">
        <v>-1.1110290787220001</v>
      </c>
      <c r="AE4049">
        <v>-13.777799999999999</v>
      </c>
      <c r="AF4049">
        <v>-5.8628322399292401</v>
      </c>
      <c r="AG4049">
        <v>-1.1110290787220001</v>
      </c>
      <c r="AH4049">
        <v>20.705282544795999</v>
      </c>
      <c r="AI4049">
        <v>92.955519921776002</v>
      </c>
      <c r="AJ4049">
        <v>105.809806691311</v>
      </c>
      <c r="AK4049">
        <v>21.547990921363301</v>
      </c>
      <c r="AL4049">
        <v>89.870864776379804</v>
      </c>
      <c r="AM4049">
        <v>94.102229642562406</v>
      </c>
      <c r="AN4049">
        <v>1.0000000335826</v>
      </c>
    </row>
    <row r="4050" spans="1:40" x14ac:dyDescent="0.25">
      <c r="A4050" t="str">
        <f>"20190312154001965"</f>
        <v>20190312154001965</v>
      </c>
      <c r="B4050" t="str">
        <f>"1552376401960079"</f>
        <v>1552376401960079</v>
      </c>
      <c r="C4050" t="s">
        <v>40</v>
      </c>
      <c r="D4050">
        <v>4.1966989999999997</v>
      </c>
      <c r="E4050">
        <v>0.42255549999999997</v>
      </c>
      <c r="F4050" t="s">
        <v>61</v>
      </c>
      <c r="G4050">
        <v>-467.67590000000001</v>
      </c>
      <c r="H4050" s="1">
        <v>2.746835E-6</v>
      </c>
      <c r="I4050">
        <v>210.06659999999999</v>
      </c>
      <c r="J4050">
        <v>-484.57580000000002</v>
      </c>
      <c r="K4050">
        <v>1.1110519999999999</v>
      </c>
      <c r="L4050">
        <v>224.0531</v>
      </c>
      <c r="M4050">
        <v>0.56839729999999999</v>
      </c>
      <c r="N4050">
        <v>0</v>
      </c>
      <c r="O4050">
        <v>-0.82264749999999998</v>
      </c>
      <c r="P4050">
        <v>0.62585199999999996</v>
      </c>
      <c r="Q4050">
        <v>-1.195978E-2</v>
      </c>
      <c r="R4050">
        <v>-0.77985009999999999</v>
      </c>
      <c r="S4050">
        <v>2.3571780000000002</v>
      </c>
      <c r="T4050">
        <v>-0.1544537</v>
      </c>
      <c r="U4050">
        <v>-1.9550019999999999</v>
      </c>
      <c r="V4050">
        <v>-7.1598980000000007E-2</v>
      </c>
      <c r="W4050">
        <v>1.146141E-3</v>
      </c>
      <c r="X4050">
        <v>0.99743280000000001</v>
      </c>
      <c r="Y4050">
        <v>-0.26942149999999998</v>
      </c>
      <c r="Z4050">
        <v>4.5383270000000003E-2</v>
      </c>
      <c r="AA4050">
        <v>0.96195240000000004</v>
      </c>
      <c r="AB4050">
        <v>9</v>
      </c>
      <c r="AC4050">
        <v>16.899899999999999</v>
      </c>
      <c r="AD4050">
        <v>-1.111049253165</v>
      </c>
      <c r="AE4050">
        <v>-13.986499999999999</v>
      </c>
      <c r="AF4050">
        <v>-5.9380622721085699</v>
      </c>
      <c r="AG4050">
        <v>-1.111049253165</v>
      </c>
      <c r="AH4050">
        <v>21.059649213290299</v>
      </c>
      <c r="AI4050">
        <v>92.906831856856201</v>
      </c>
      <c r="AJ4050">
        <v>105.746539523561</v>
      </c>
      <c r="AK4050">
        <v>21.908989912299401</v>
      </c>
      <c r="AL4050">
        <v>89.934330940906094</v>
      </c>
      <c r="AM4050">
        <v>94.105835382967797</v>
      </c>
      <c r="AN4050">
        <v>0.999999959046035</v>
      </c>
    </row>
    <row r="4051" spans="1:40" x14ac:dyDescent="0.25">
      <c r="A4051" t="str">
        <f>"20190312154001987"</f>
        <v>20190312154001987</v>
      </c>
      <c r="B4051" t="str">
        <f>"1552376401979599"</f>
        <v>1552376401979599</v>
      </c>
      <c r="C4051" t="s">
        <v>40</v>
      </c>
      <c r="D4051">
        <v>4.1904219999999999</v>
      </c>
      <c r="E4051">
        <v>0.42258390000000001</v>
      </c>
      <c r="F4051" t="s">
        <v>61</v>
      </c>
      <c r="G4051">
        <v>-467.08550000000002</v>
      </c>
      <c r="H4051">
        <v>4.8563959999999998E-3</v>
      </c>
      <c r="I4051">
        <v>209.6163</v>
      </c>
      <c r="J4051">
        <v>-484.52289999999999</v>
      </c>
      <c r="K4051">
        <v>1.111081</v>
      </c>
      <c r="L4051">
        <v>223.9812</v>
      </c>
      <c r="M4051">
        <v>0.5702893</v>
      </c>
      <c r="N4051">
        <v>0</v>
      </c>
      <c r="O4051">
        <v>-0.82133729999999905</v>
      </c>
      <c r="P4051">
        <v>0.62792809999999999</v>
      </c>
      <c r="Q4051">
        <v>-1.2862119999999999E-2</v>
      </c>
      <c r="R4051">
        <v>-0.77816529999999995</v>
      </c>
      <c r="S4051">
        <v>2.3616329999999999</v>
      </c>
      <c r="T4051">
        <v>-0.1493642</v>
      </c>
      <c r="U4051">
        <v>-1.9493259999999999</v>
      </c>
      <c r="V4051">
        <v>-7.1968110000000002E-2</v>
      </c>
      <c r="W4051">
        <v>2.3872060000000001E-4</v>
      </c>
      <c r="X4051">
        <v>0.99740689999999999</v>
      </c>
      <c r="Y4051">
        <v>-0.26953379999999999</v>
      </c>
      <c r="Z4051">
        <v>4.3843849999999997E-2</v>
      </c>
      <c r="AA4051">
        <v>0.96199230000000002</v>
      </c>
      <c r="AB4051">
        <v>9</v>
      </c>
      <c r="AC4051">
        <v>17.437399999999901</v>
      </c>
      <c r="AD4051">
        <v>-1.1062246039999999</v>
      </c>
      <c r="AE4051">
        <v>-14.3649</v>
      </c>
      <c r="AF4051">
        <v>-6.1157125474087604</v>
      </c>
      <c r="AG4051">
        <v>-1.1062246039999999</v>
      </c>
      <c r="AH4051">
        <v>21.692686298083601</v>
      </c>
      <c r="AI4051">
        <v>92.809936950443301</v>
      </c>
      <c r="AJ4051">
        <v>105.744475999588</v>
      </c>
      <c r="AK4051">
        <v>22.565422922340598</v>
      </c>
      <c r="AL4051">
        <v>89.986322316938896</v>
      </c>
      <c r="AM4051">
        <v>94.127036944888701</v>
      </c>
      <c r="AN4051">
        <v>0.99999999500605297</v>
      </c>
    </row>
    <row r="4052" spans="1:40" x14ac:dyDescent="0.25">
      <c r="A4052" t="str">
        <f>"20190312154002009"</f>
        <v>20190312154002009</v>
      </c>
      <c r="B4052" t="str">
        <f>"1552376402000095"</f>
        <v>1552376402000095</v>
      </c>
      <c r="C4052" t="s">
        <v>40</v>
      </c>
      <c r="D4052">
        <v>4.1789899999999998</v>
      </c>
      <c r="E4052">
        <v>0.42277779999999998</v>
      </c>
      <c r="F4052" t="s">
        <v>61</v>
      </c>
      <c r="G4052">
        <v>-467.04450000000003</v>
      </c>
      <c r="H4052" s="1">
        <v>2.429832E-6</v>
      </c>
      <c r="I4052">
        <v>209.6317</v>
      </c>
      <c r="J4052">
        <v>-484.46699999999998</v>
      </c>
      <c r="K4052">
        <v>1.1111139999999999</v>
      </c>
      <c r="L4052">
        <v>223.90600000000001</v>
      </c>
      <c r="M4052">
        <v>0.57233239999999996</v>
      </c>
      <c r="N4052">
        <v>0</v>
      </c>
      <c r="O4052">
        <v>-0.81991480000000005</v>
      </c>
      <c r="P4052">
        <v>0.6300173</v>
      </c>
      <c r="Q4052">
        <v>-1.298121E-2</v>
      </c>
      <c r="R4052">
        <v>-0.77647299999999997</v>
      </c>
      <c r="S4052">
        <v>2.3666990000000001</v>
      </c>
      <c r="T4052">
        <v>-0.15044830000000001</v>
      </c>
      <c r="U4052">
        <v>-1.943039</v>
      </c>
      <c r="V4052">
        <v>-7.2166439999999998E-2</v>
      </c>
      <c r="W4052">
        <v>1.152197E-4</v>
      </c>
      <c r="X4052">
        <v>0.99739259999999996</v>
      </c>
      <c r="Y4052">
        <v>-0.26966089999999998</v>
      </c>
      <c r="Z4052">
        <v>4.4108590000000003E-2</v>
      </c>
      <c r="AA4052">
        <v>0.96194460000000004</v>
      </c>
      <c r="AB4052">
        <v>9</v>
      </c>
      <c r="AC4052">
        <v>17.4224999999999</v>
      </c>
      <c r="AD4052">
        <v>-1.1111115701680001</v>
      </c>
      <c r="AE4052">
        <v>-14.274299999999901</v>
      </c>
      <c r="AF4052">
        <v>-6.1010099540417899</v>
      </c>
      <c r="AG4052">
        <v>-1.1111115701680001</v>
      </c>
      <c r="AH4052">
        <v>21.624446135391199</v>
      </c>
      <c r="AI4052">
        <v>92.831067426482605</v>
      </c>
      <c r="AJ4052">
        <v>105.755609034244</v>
      </c>
      <c r="AK4052">
        <v>22.496078814831499</v>
      </c>
      <c r="AL4052">
        <v>89.9933983974813</v>
      </c>
      <c r="AM4052">
        <v>94.138429916319595</v>
      </c>
      <c r="AN4052">
        <v>1.0000000034362999</v>
      </c>
    </row>
    <row r="4053" spans="1:40" x14ac:dyDescent="0.25">
      <c r="A4053" t="str">
        <f>"20190312154002032"</f>
        <v>20190312154002032</v>
      </c>
      <c r="B4053" t="str">
        <f>"1552376402019615"</f>
        <v>1552376402019615</v>
      </c>
      <c r="C4053" t="s">
        <v>40</v>
      </c>
      <c r="D4053">
        <v>4.1597670000000004</v>
      </c>
      <c r="E4053">
        <v>0.42320079999999999</v>
      </c>
      <c r="F4053" t="s">
        <v>61</v>
      </c>
      <c r="G4053">
        <v>-466.98950000000002</v>
      </c>
      <c r="H4053">
        <v>5.6530549999999997E-3</v>
      </c>
      <c r="I4053">
        <v>209.6163</v>
      </c>
      <c r="J4053">
        <v>-484.41239999999999</v>
      </c>
      <c r="K4053">
        <v>1.1111500000000001</v>
      </c>
      <c r="L4053">
        <v>223.8329</v>
      </c>
      <c r="M4053">
        <v>0.57438690000000003</v>
      </c>
      <c r="N4053">
        <v>0</v>
      </c>
      <c r="O4053">
        <v>-0.8184766</v>
      </c>
      <c r="P4053">
        <v>0.63209989999999905</v>
      </c>
      <c r="Q4053">
        <v>-1.26499E-2</v>
      </c>
      <c r="R4053">
        <v>-0.77478369999999996</v>
      </c>
      <c r="S4053">
        <v>2.3702700000000001</v>
      </c>
      <c r="T4053">
        <v>-0.1499209</v>
      </c>
      <c r="U4053">
        <v>-1.937943</v>
      </c>
      <c r="V4053">
        <v>-7.2340489999999993E-2</v>
      </c>
      <c r="W4053">
        <v>4.4233E-4</v>
      </c>
      <c r="X4053">
        <v>0.99737989999999999</v>
      </c>
      <c r="Y4053">
        <v>-0.26920280000000002</v>
      </c>
      <c r="Z4053">
        <v>4.3897680000000001E-2</v>
      </c>
      <c r="AA4053">
        <v>0.96208260000000001</v>
      </c>
      <c r="AB4053">
        <v>9</v>
      </c>
      <c r="AC4053">
        <v>17.422899999999899</v>
      </c>
      <c r="AD4053">
        <v>-1.1054969450000001</v>
      </c>
      <c r="AE4053">
        <v>-14.2166</v>
      </c>
      <c r="AF4053">
        <v>-6.0802477405297397</v>
      </c>
      <c r="AG4053">
        <v>-1.1054969450000001</v>
      </c>
      <c r="AH4053">
        <v>21.5931547711373</v>
      </c>
      <c r="AI4053">
        <v>92.821266443376601</v>
      </c>
      <c r="AJ4053">
        <v>105.726274031606</v>
      </c>
      <c r="AK4053">
        <v>22.460095036573399</v>
      </c>
      <c r="AL4053">
        <v>89.974656357111101</v>
      </c>
      <c r="AM4053">
        <v>94.148428758286997</v>
      </c>
      <c r="AN4053">
        <v>1.0000000035366301</v>
      </c>
    </row>
    <row r="4054" spans="1:40" x14ac:dyDescent="0.25">
      <c r="A4054" t="str">
        <f>"20190312154002054"</f>
        <v>20190312154002054</v>
      </c>
      <c r="B4054" t="str">
        <f>"1552376402049872"</f>
        <v>1552376402049872</v>
      </c>
      <c r="C4054" t="s">
        <v>40</v>
      </c>
      <c r="D4054">
        <v>4.1202699999999997</v>
      </c>
      <c r="E4054">
        <v>0.423591</v>
      </c>
      <c r="F4054" t="s">
        <v>61</v>
      </c>
      <c r="G4054">
        <v>-466.96600000000001</v>
      </c>
      <c r="H4054">
        <v>3.1415119999999998E-2</v>
      </c>
      <c r="I4054">
        <v>209.6163</v>
      </c>
      <c r="J4054">
        <v>-484.35829999999999</v>
      </c>
      <c r="K4054">
        <v>1.111191</v>
      </c>
      <c r="L4054">
        <v>223.761</v>
      </c>
      <c r="M4054">
        <v>0.57648409999999894</v>
      </c>
      <c r="N4054">
        <v>0</v>
      </c>
      <c r="O4054">
        <v>-0.81700090000000003</v>
      </c>
      <c r="P4054">
        <v>0.6344244</v>
      </c>
      <c r="Q4054">
        <v>-1.181634E-2</v>
      </c>
      <c r="R4054">
        <v>-0.77289490000000005</v>
      </c>
      <c r="S4054">
        <v>2.372986</v>
      </c>
      <c r="T4054">
        <v>-0.146861299999999</v>
      </c>
      <c r="U4054">
        <v>-1.9336850000000001</v>
      </c>
      <c r="V4054">
        <v>-7.2772749999999997E-2</v>
      </c>
      <c r="W4054">
        <v>1.271073E-3</v>
      </c>
      <c r="X4054">
        <v>0.99734769999999995</v>
      </c>
      <c r="Y4054">
        <v>-0.26834669999999999</v>
      </c>
      <c r="Z4054">
        <v>4.2942260000000003E-2</v>
      </c>
      <c r="AA4054">
        <v>0.96236480000000002</v>
      </c>
      <c r="AB4054">
        <v>9</v>
      </c>
      <c r="AC4054">
        <v>17.392299999999899</v>
      </c>
      <c r="AD4054">
        <v>-1.0797758799999999</v>
      </c>
      <c r="AE4054">
        <v>-14.1447</v>
      </c>
      <c r="AF4054">
        <v>-6.0418451956764097</v>
      </c>
      <c r="AG4054">
        <v>-1.0797758799999999</v>
      </c>
      <c r="AH4054">
        <v>21.534553666609799</v>
      </c>
      <c r="AI4054">
        <v>92.763946253343306</v>
      </c>
      <c r="AJ4054">
        <v>105.67226846451599</v>
      </c>
      <c r="AK4054">
        <v>22.392114927796499</v>
      </c>
      <c r="AL4054">
        <v>89.927172859249694</v>
      </c>
      <c r="AM4054">
        <v>94.173264027623205</v>
      </c>
      <c r="AN4054">
        <v>0.99999996173221095</v>
      </c>
    </row>
    <row r="4055" spans="1:40" x14ac:dyDescent="0.25">
      <c r="A4055" t="str">
        <f>"20190312154002076"</f>
        <v>20190312154002076</v>
      </c>
      <c r="B4055" t="str">
        <f>"1552376402069392"</f>
        <v>1552376402069392</v>
      </c>
      <c r="C4055" t="s">
        <v>40</v>
      </c>
      <c r="D4055">
        <v>4.1380030000000003</v>
      </c>
      <c r="E4055">
        <v>0.42369129999999999</v>
      </c>
      <c r="F4055" t="s">
        <v>61</v>
      </c>
      <c r="G4055">
        <v>-466.92219999999998</v>
      </c>
      <c r="H4055">
        <v>5.507592E-2</v>
      </c>
      <c r="I4055">
        <v>209.6112</v>
      </c>
      <c r="J4055">
        <v>-484.30430000000001</v>
      </c>
      <c r="K4055">
        <v>1.111237</v>
      </c>
      <c r="L4055">
        <v>223.68989999999999</v>
      </c>
      <c r="M4055">
        <v>0.5786405</v>
      </c>
      <c r="N4055">
        <v>0</v>
      </c>
      <c r="O4055">
        <v>-0.81547480000000006</v>
      </c>
      <c r="P4055">
        <v>0.63654429999999995</v>
      </c>
      <c r="Q4055">
        <v>-1.098642E-2</v>
      </c>
      <c r="R4055">
        <v>-0.77116200000000001</v>
      </c>
      <c r="S4055">
        <v>2.376465</v>
      </c>
      <c r="T4055">
        <v>-0.14394409999999999</v>
      </c>
      <c r="U4055">
        <v>-1.928558</v>
      </c>
      <c r="V4055">
        <v>-7.2871089999999999E-2</v>
      </c>
      <c r="W4055">
        <v>2.0964759999999999E-3</v>
      </c>
      <c r="X4055">
        <v>0.99733919999999998</v>
      </c>
      <c r="Y4055">
        <v>-0.26777779999999901</v>
      </c>
      <c r="Z4055">
        <v>4.2032159999999999E-2</v>
      </c>
      <c r="AA4055">
        <v>0.96256350000000002</v>
      </c>
      <c r="AB4055">
        <v>9</v>
      </c>
      <c r="AC4055">
        <v>17.382100000000001</v>
      </c>
      <c r="AD4055">
        <v>-1.0561610800000001</v>
      </c>
      <c r="AE4055">
        <v>-14.0786999999999</v>
      </c>
      <c r="AF4055">
        <v>-6.0152786404605099</v>
      </c>
      <c r="AG4055">
        <v>-1.0561610800000001</v>
      </c>
      <c r="AH4055">
        <v>21.492791883593199</v>
      </c>
      <c r="AI4055">
        <v>92.709320181986598</v>
      </c>
      <c r="AJ4055">
        <v>105.63556418573999</v>
      </c>
      <c r="AK4055">
        <v>22.343660315640701</v>
      </c>
      <c r="AL4055">
        <v>89.879880689611497</v>
      </c>
      <c r="AM4055">
        <v>94.178919008662007</v>
      </c>
      <c r="AN4055">
        <v>1.0000000354130201</v>
      </c>
    </row>
    <row r="4056" spans="1:40" x14ac:dyDescent="0.25">
      <c r="A4056" t="str">
        <f>"20190312154002100"</f>
        <v>20190312154002100</v>
      </c>
      <c r="B4056" t="str">
        <f>"1552376402089888"</f>
        <v>1552376402089888</v>
      </c>
      <c r="C4056" t="s">
        <v>40</v>
      </c>
      <c r="D4056">
        <v>4.2211189999999998</v>
      </c>
      <c r="E4056">
        <v>0.42375600000000002</v>
      </c>
      <c r="F4056" t="s">
        <v>61</v>
      </c>
      <c r="G4056">
        <v>-466.84160000000003</v>
      </c>
      <c r="H4056">
        <v>7.6225089999999995E-2</v>
      </c>
      <c r="I4056">
        <v>209.59010000000001</v>
      </c>
      <c r="J4056">
        <v>-484.2441</v>
      </c>
      <c r="K4056">
        <v>1.111283</v>
      </c>
      <c r="L4056">
        <v>223.6113</v>
      </c>
      <c r="M4056">
        <v>0.58112219999999903</v>
      </c>
      <c r="N4056">
        <v>0</v>
      </c>
      <c r="O4056">
        <v>-0.81370810000000005</v>
      </c>
      <c r="P4056">
        <v>0.638571</v>
      </c>
      <c r="Q4056">
        <v>-1.110628E-2</v>
      </c>
      <c r="R4056">
        <v>-0.76948300000000003</v>
      </c>
      <c r="S4056">
        <v>2.381256</v>
      </c>
      <c r="T4056">
        <v>-0.14113680000000001</v>
      </c>
      <c r="U4056">
        <v>-1.9226840000000001</v>
      </c>
      <c r="V4056">
        <v>-7.2457339999999995E-2</v>
      </c>
      <c r="W4056">
        <v>1.97393E-3</v>
      </c>
      <c r="X4056">
        <v>0.99736959999999997</v>
      </c>
      <c r="Y4056">
        <v>-0.26726040000000001</v>
      </c>
      <c r="Z4056">
        <v>4.1140360000000001E-2</v>
      </c>
      <c r="AA4056">
        <v>0.96274570000000004</v>
      </c>
      <c r="AB4056">
        <v>9</v>
      </c>
      <c r="AC4056">
        <v>17.4024999999999</v>
      </c>
      <c r="AD4056">
        <v>-1.0350579099999999</v>
      </c>
      <c r="AE4056">
        <v>-14.021199999999901</v>
      </c>
      <c r="AF4056">
        <v>-6.0001832230669798</v>
      </c>
      <c r="AG4056">
        <v>-1.0350579099999999</v>
      </c>
      <c r="AH4056">
        <v>21.477966429476801</v>
      </c>
      <c r="AI4056">
        <v>92.657444400526202</v>
      </c>
      <c r="AJ4056">
        <v>105.60848117415399</v>
      </c>
      <c r="AK4056">
        <v>22.324349610529701</v>
      </c>
      <c r="AL4056">
        <v>89.886902073109894</v>
      </c>
      <c r="AM4056">
        <v>94.155148933479097</v>
      </c>
      <c r="AN4056">
        <v>1.0000000407618299</v>
      </c>
    </row>
    <row r="4057" spans="1:40" x14ac:dyDescent="0.25">
      <c r="A4057" t="str">
        <f>"20190312154002122"</f>
        <v>20190312154002122</v>
      </c>
      <c r="B4057" t="str">
        <f>"1552376402109408"</f>
        <v>1552376402109408</v>
      </c>
      <c r="C4057" t="s">
        <v>40</v>
      </c>
      <c r="D4057">
        <v>4.2434690000000002</v>
      </c>
      <c r="E4057">
        <v>0.4264734</v>
      </c>
      <c r="F4057" t="s">
        <v>61</v>
      </c>
      <c r="G4057">
        <v>-466.7971</v>
      </c>
      <c r="H4057">
        <v>7.1762950000000006E-2</v>
      </c>
      <c r="I4057">
        <v>209.59460000000001</v>
      </c>
      <c r="J4057">
        <v>-484.19069999999999</v>
      </c>
      <c r="K4057">
        <v>1.1113109999999999</v>
      </c>
      <c r="L4057">
        <v>223.54220000000001</v>
      </c>
      <c r="M4057">
        <v>0.58339090000000005</v>
      </c>
      <c r="N4057">
        <v>0</v>
      </c>
      <c r="O4057">
        <v>-0.81208340000000001</v>
      </c>
      <c r="P4057">
        <v>0.63968899999999995</v>
      </c>
      <c r="Q4057">
        <v>-1.21317E-2</v>
      </c>
      <c r="R4057">
        <v>-0.76853830000000001</v>
      </c>
      <c r="S4057">
        <v>2.3858640000000002</v>
      </c>
      <c r="T4057">
        <v>-0.14215340000000001</v>
      </c>
      <c r="U4057">
        <v>-1.916779</v>
      </c>
      <c r="V4057">
        <v>-7.1130990000000005E-2</v>
      </c>
      <c r="W4057">
        <v>9.5063829999999995E-4</v>
      </c>
      <c r="X4057">
        <v>0.99746650000000003</v>
      </c>
      <c r="Y4057">
        <v>-0.26691710000000002</v>
      </c>
      <c r="Z4057">
        <v>4.13718E-2</v>
      </c>
      <c r="AA4057">
        <v>0.96283099999999999</v>
      </c>
      <c r="AB4057">
        <v>9</v>
      </c>
      <c r="AC4057">
        <v>17.3935999999999</v>
      </c>
      <c r="AD4057">
        <v>-1.0395480500000001</v>
      </c>
      <c r="AE4057">
        <v>-13.9475999999999</v>
      </c>
      <c r="AF4057">
        <v>-5.9756853407008999</v>
      </c>
      <c r="AG4057">
        <v>-1.0395480500000001</v>
      </c>
      <c r="AH4057">
        <v>21.429180081776298</v>
      </c>
      <c r="AI4057">
        <v>92.675374153092505</v>
      </c>
      <c r="AJ4057">
        <v>105.58152146555</v>
      </c>
      <c r="AK4057">
        <v>22.271040263456999</v>
      </c>
      <c r="AL4057">
        <v>89.945532427730598</v>
      </c>
      <c r="AM4057">
        <v>94.078952086773398</v>
      </c>
      <c r="AN4057">
        <v>0.999999970036903</v>
      </c>
    </row>
    <row r="4058" spans="1:40" x14ac:dyDescent="0.25">
      <c r="A4058" t="str">
        <f>"20190312154002143"</f>
        <v>20190312154002143</v>
      </c>
      <c r="B4058" t="str">
        <f>"1552376402139663"</f>
        <v>1552376402139663</v>
      </c>
      <c r="C4058" t="s">
        <v>40</v>
      </c>
      <c r="D4058">
        <v>4.1817330000000004</v>
      </c>
      <c r="E4058">
        <v>0.54061649999999895</v>
      </c>
      <c r="F4058" t="s">
        <v>61</v>
      </c>
      <c r="G4058">
        <v>-467.1635</v>
      </c>
      <c r="H4058" s="1">
        <v>2.4896100000000001E-6</v>
      </c>
      <c r="I4058">
        <v>209.7132</v>
      </c>
      <c r="J4058">
        <v>-484.13679999999999</v>
      </c>
      <c r="K4058">
        <v>1.111334</v>
      </c>
      <c r="L4058">
        <v>223.47309999999999</v>
      </c>
      <c r="M4058">
        <v>0.58572460000000004</v>
      </c>
      <c r="N4058">
        <v>0</v>
      </c>
      <c r="O4058">
        <v>-0.81040159999999895</v>
      </c>
      <c r="P4058">
        <v>0.64057359999999997</v>
      </c>
      <c r="Q4058">
        <v>-1.28594E-2</v>
      </c>
      <c r="R4058">
        <v>-0.7677891</v>
      </c>
      <c r="S4058">
        <v>2.372131</v>
      </c>
      <c r="T4058">
        <v>-0.1548216</v>
      </c>
      <c r="U4058">
        <v>-1.92659</v>
      </c>
      <c r="V4058">
        <v>-6.94158E-2</v>
      </c>
      <c r="W4058">
        <v>2.2823019999999999E-4</v>
      </c>
      <c r="X4058">
        <v>0.99758780000000002</v>
      </c>
      <c r="Y4058">
        <v>-0.25886979999999998</v>
      </c>
      <c r="Z4058">
        <v>4.492318E-2</v>
      </c>
      <c r="AA4058">
        <v>0.96486700000000003</v>
      </c>
      <c r="AB4058">
        <v>9</v>
      </c>
      <c r="AC4058">
        <v>16.973299999999899</v>
      </c>
      <c r="AD4058">
        <v>-1.1113315103899899</v>
      </c>
      <c r="AE4058">
        <v>-13.759899999999901</v>
      </c>
      <c r="AF4058">
        <v>-5.6814812456215398</v>
      </c>
      <c r="AG4058">
        <v>-1.1113315103899899</v>
      </c>
      <c r="AH4058">
        <v>21.040151336464199</v>
      </c>
      <c r="AI4058">
        <v>92.919163657774206</v>
      </c>
      <c r="AJ4058">
        <v>105.11120049219301</v>
      </c>
      <c r="AK4058">
        <v>21.822058911378001</v>
      </c>
      <c r="AL4058">
        <v>89.986923372826496</v>
      </c>
      <c r="AM4058">
        <v>93.980433457517293</v>
      </c>
      <c r="AN4058">
        <v>1.00000001204375</v>
      </c>
    </row>
    <row r="4059" spans="1:40" x14ac:dyDescent="0.25">
      <c r="A4059" t="str">
        <f>"20190312154002166"</f>
        <v>20190312154002166</v>
      </c>
      <c r="B4059" t="str">
        <f>"1552376402160159"</f>
        <v>1552376402160159</v>
      </c>
      <c r="C4059" t="s">
        <v>40</v>
      </c>
      <c r="D4059">
        <v>4.2907279999999997</v>
      </c>
      <c r="E4059">
        <v>0.5882984</v>
      </c>
      <c r="F4059" t="s">
        <v>41</v>
      </c>
      <c r="G4059">
        <v>-483.71449999999999</v>
      </c>
      <c r="H4059">
        <v>0.98376149999999996</v>
      </c>
      <c r="I4059">
        <v>222.84530000000001</v>
      </c>
      <c r="J4059">
        <v>-484.08120000000002</v>
      </c>
      <c r="K4059">
        <v>1.111343</v>
      </c>
      <c r="L4059">
        <v>223.4023</v>
      </c>
      <c r="M4059">
        <v>0.58818110000000001</v>
      </c>
      <c r="N4059">
        <v>0</v>
      </c>
      <c r="O4059">
        <v>-0.80862040000000002</v>
      </c>
      <c r="P4059">
        <v>0.64249369999999995</v>
      </c>
      <c r="Q4059">
        <v>-1.3251880000000001E-2</v>
      </c>
      <c r="R4059">
        <v>-0.76617650000000004</v>
      </c>
      <c r="S4059">
        <v>1.681152</v>
      </c>
      <c r="T4059">
        <v>-0.50911689999999998</v>
      </c>
      <c r="U4059">
        <v>-2.496216</v>
      </c>
      <c r="V4059">
        <v>-6.8888720000000001E-2</v>
      </c>
      <c r="W4059">
        <v>-1.6160879999999999E-4</v>
      </c>
      <c r="X4059">
        <v>0.99762430000000002</v>
      </c>
      <c r="Y4059">
        <v>4.2318700000000001E-2</v>
      </c>
      <c r="Z4059">
        <v>0.13312579999999999</v>
      </c>
      <c r="AA4059">
        <v>0.9901953</v>
      </c>
      <c r="AB4059">
        <v>9</v>
      </c>
      <c r="AC4059">
        <v>0.366700000000037</v>
      </c>
      <c r="AD4059">
        <v>-0.12758149999999999</v>
      </c>
      <c r="AE4059">
        <v>-0.55699999999998795</v>
      </c>
      <c r="AF4059">
        <v>3.0000467766734599E-2</v>
      </c>
      <c r="AG4059">
        <v>-0.12758149999999999</v>
      </c>
      <c r="AH4059">
        <v>0.64262558671578596</v>
      </c>
      <c r="AI4059">
        <v>101.217107203431</v>
      </c>
      <c r="AJ4059">
        <v>87.327132439505803</v>
      </c>
      <c r="AK4059">
        <v>0.655854184945313</v>
      </c>
      <c r="AL4059">
        <v>90.009259502555906</v>
      </c>
      <c r="AM4059">
        <v>93.9501616728557</v>
      </c>
      <c r="AN4059">
        <v>0.99999996290556503</v>
      </c>
    </row>
    <row r="4060" spans="1:40" x14ac:dyDescent="0.25">
      <c r="A4060" t="str">
        <f>"20190312154002188"</f>
        <v>20190312154002188</v>
      </c>
      <c r="B4060" t="str">
        <f>"1552376402179680"</f>
        <v>1552376402179680</v>
      </c>
      <c r="C4060" t="s">
        <v>40</v>
      </c>
      <c r="D4060">
        <v>4.2441800000000001</v>
      </c>
      <c r="E4060">
        <v>0.58655959999999996</v>
      </c>
      <c r="F4060" t="s">
        <v>41</v>
      </c>
      <c r="G4060">
        <v>-483.74950000000001</v>
      </c>
      <c r="H4060">
        <v>0.92482770000000003</v>
      </c>
      <c r="I4060">
        <v>222.7551</v>
      </c>
      <c r="J4060">
        <v>-484.0249</v>
      </c>
      <c r="K4060">
        <v>1.1113440000000001</v>
      </c>
      <c r="L4060">
        <v>223.3313</v>
      </c>
      <c r="M4060">
        <v>0.59070310000000004</v>
      </c>
      <c r="N4060">
        <v>0</v>
      </c>
      <c r="O4060">
        <v>-0.80677969999999999</v>
      </c>
      <c r="P4060">
        <v>0.64450889999999905</v>
      </c>
      <c r="Q4060">
        <v>-1.4406489999999999E-2</v>
      </c>
      <c r="R4060">
        <v>-0.76446099999999995</v>
      </c>
      <c r="S4060">
        <v>1.3997189999999999</v>
      </c>
      <c r="T4060">
        <v>-0.78775509999999904</v>
      </c>
      <c r="U4060">
        <v>-2.7281339999999998</v>
      </c>
      <c r="V4060">
        <v>-6.8410579999999999E-2</v>
      </c>
      <c r="W4060">
        <v>-1.3127309999999999E-3</v>
      </c>
      <c r="X4060">
        <v>0.9976564</v>
      </c>
      <c r="Y4060">
        <v>0.1674283</v>
      </c>
      <c r="Z4060">
        <v>0.18932289999999999</v>
      </c>
      <c r="AA4060">
        <v>0.96753529999999999</v>
      </c>
      <c r="AB4060">
        <v>9</v>
      </c>
      <c r="AC4060">
        <v>0.27539999999998999</v>
      </c>
      <c r="AD4060">
        <v>-0.1865163</v>
      </c>
      <c r="AE4060">
        <v>-0.57620000000000005</v>
      </c>
      <c r="AF4060">
        <v>0.10889781258636</v>
      </c>
      <c r="AG4060">
        <v>-0.1865163</v>
      </c>
      <c r="AH4060">
        <v>0.57827646116545295</v>
      </c>
      <c r="AI4060">
        <v>107.58689982254801</v>
      </c>
      <c r="AJ4060">
        <v>79.335271778179006</v>
      </c>
      <c r="AK4060">
        <v>0.61729306596609701</v>
      </c>
      <c r="AL4060">
        <v>90.075213966666496</v>
      </c>
      <c r="AM4060">
        <v>93.922704626576603</v>
      </c>
      <c r="AN4060">
        <v>1.00000001158978</v>
      </c>
    </row>
    <row r="4061" spans="1:40" x14ac:dyDescent="0.25">
      <c r="A4061" t="str">
        <f>"20190312154002222"</f>
        <v>20190312154002222</v>
      </c>
      <c r="B4061" t="str">
        <f>"1552376402209935"</f>
        <v>1552376402209935</v>
      </c>
      <c r="C4061" t="s">
        <v>40</v>
      </c>
      <c r="D4061">
        <v>4.2517680000000002</v>
      </c>
      <c r="E4061">
        <v>0.58495699999999995</v>
      </c>
      <c r="F4061" t="s">
        <v>41</v>
      </c>
      <c r="G4061">
        <v>-483.6934</v>
      </c>
      <c r="H4061">
        <v>0.9276373</v>
      </c>
      <c r="I4061">
        <v>222.6953</v>
      </c>
      <c r="J4061">
        <v>-483.94170000000003</v>
      </c>
      <c r="K4061">
        <v>1.11134</v>
      </c>
      <c r="L4061">
        <v>223.22730000000001</v>
      </c>
      <c r="M4061">
        <v>0.59449379999999996</v>
      </c>
      <c r="N4061">
        <v>0</v>
      </c>
      <c r="O4061">
        <v>-0.80399069999999995</v>
      </c>
      <c r="P4061">
        <v>0.64795199999999997</v>
      </c>
      <c r="Q4061">
        <v>-1.4563319999999999E-2</v>
      </c>
      <c r="R4061">
        <v>-0.76154169999999999</v>
      </c>
      <c r="S4061">
        <v>1.41629</v>
      </c>
      <c r="T4061">
        <v>-0.7853154</v>
      </c>
      <c r="U4061">
        <v>-2.7154850000000001</v>
      </c>
      <c r="V4061">
        <v>-6.8218360000000006E-2</v>
      </c>
      <c r="W4061">
        <v>-1.466005E-3</v>
      </c>
      <c r="X4061">
        <v>0.99766929999999998</v>
      </c>
      <c r="Y4061">
        <v>0.16552629999999999</v>
      </c>
      <c r="Z4061">
        <v>0.188361</v>
      </c>
      <c r="AA4061">
        <v>0.96805019999999997</v>
      </c>
      <c r="AB4061">
        <v>9</v>
      </c>
      <c r="AC4061">
        <v>0.248300000000028</v>
      </c>
      <c r="AD4061">
        <v>-0.1837027</v>
      </c>
      <c r="AE4061">
        <v>-0.53200000000001002</v>
      </c>
      <c r="AF4061">
        <v>0.106247575664982</v>
      </c>
      <c r="AG4061">
        <v>-0.1837027</v>
      </c>
      <c r="AH4061">
        <v>0.52407527255477804</v>
      </c>
      <c r="AI4061">
        <v>108.95957194147699</v>
      </c>
      <c r="AJ4061">
        <v>78.539556804211202</v>
      </c>
      <c r="AK4061">
        <v>0.56541146134946796</v>
      </c>
      <c r="AL4061">
        <v>90.083995932440899</v>
      </c>
      <c r="AM4061">
        <v>93.911666457785401</v>
      </c>
      <c r="AN4061">
        <v>0.99999996298711902</v>
      </c>
    </row>
    <row r="4062" spans="1:40" x14ac:dyDescent="0.25">
      <c r="A4062" t="str">
        <f>"20190312154002244"</f>
        <v>20190312154002244</v>
      </c>
      <c r="B4062" t="str">
        <f>"1552376402230431"</f>
        <v>1552376402230431</v>
      </c>
      <c r="C4062" t="s">
        <v>40</v>
      </c>
      <c r="D4062">
        <v>4.2871069999999998</v>
      </c>
      <c r="E4062">
        <v>0.58389049999999998</v>
      </c>
      <c r="F4062" t="s">
        <v>41</v>
      </c>
      <c r="G4062">
        <v>-483.59359999999998</v>
      </c>
      <c r="H4062">
        <v>0.92318029999999995</v>
      </c>
      <c r="I4062">
        <v>222.57249999999999</v>
      </c>
      <c r="J4062">
        <v>-483.88679999999999</v>
      </c>
      <c r="K4062">
        <v>1.111335</v>
      </c>
      <c r="L4062">
        <v>223.15950000000001</v>
      </c>
      <c r="M4062">
        <v>0.59701899999999997</v>
      </c>
      <c r="N4062">
        <v>0</v>
      </c>
      <c r="O4062">
        <v>-0.80211750000000004</v>
      </c>
      <c r="P4062">
        <v>0.65032959999999995</v>
      </c>
      <c r="Q4062">
        <v>-1.349476E-2</v>
      </c>
      <c r="R4062">
        <v>-0.75953269999999995</v>
      </c>
      <c r="S4062">
        <v>1.4375610000000001</v>
      </c>
      <c r="T4062">
        <v>-0.77775660000000002</v>
      </c>
      <c r="U4062">
        <v>-2.7014010000000002</v>
      </c>
      <c r="V4062">
        <v>-6.8190379999999995E-2</v>
      </c>
      <c r="W4062">
        <v>-3.9576980000000003E-4</v>
      </c>
      <c r="X4062">
        <v>0.99767229999999996</v>
      </c>
      <c r="Y4062">
        <v>0.16044820000000001</v>
      </c>
      <c r="Z4062">
        <v>0.18666640000000001</v>
      </c>
      <c r="AA4062">
        <v>0.96923269999999995</v>
      </c>
      <c r="AB4062">
        <v>9</v>
      </c>
      <c r="AC4062">
        <v>0.29320000000001301</v>
      </c>
      <c r="AD4062">
        <v>-0.18815470000000001</v>
      </c>
      <c r="AE4062">
        <v>-0.58700000000001695</v>
      </c>
      <c r="AF4062">
        <v>0.106520439993989</v>
      </c>
      <c r="AG4062">
        <v>-0.18815470000000001</v>
      </c>
      <c r="AH4062">
        <v>0.59686640964973703</v>
      </c>
      <c r="AI4062">
        <v>107.240903066455</v>
      </c>
      <c r="AJ4062">
        <v>79.881175014350006</v>
      </c>
      <c r="AK4062">
        <v>0.63482147587866899</v>
      </c>
      <c r="AL4062">
        <v>90.022675938625696</v>
      </c>
      <c r="AM4062">
        <v>93.910055330596606</v>
      </c>
      <c r="AN4062">
        <v>1.00000005137278</v>
      </c>
    </row>
    <row r="4063" spans="1:40" x14ac:dyDescent="0.25">
      <c r="A4063" t="str">
        <f>"20190312154002266"</f>
        <v>20190312154002266</v>
      </c>
      <c r="B4063" t="str">
        <f>"1552376402259711"</f>
        <v>1552376402259711</v>
      </c>
      <c r="C4063" t="s">
        <v>40</v>
      </c>
      <c r="D4063">
        <v>4.2812859999999997</v>
      </c>
      <c r="E4063">
        <v>0.58304269999999903</v>
      </c>
      <c r="F4063" t="s">
        <v>41</v>
      </c>
      <c r="G4063">
        <v>-483.53820000000002</v>
      </c>
      <c r="H4063">
        <v>0.92608520000000005</v>
      </c>
      <c r="I4063">
        <v>222.5129</v>
      </c>
      <c r="J4063">
        <v>-483.83080000000001</v>
      </c>
      <c r="K4063">
        <v>1.111321</v>
      </c>
      <c r="L4063">
        <v>223.0907</v>
      </c>
      <c r="M4063">
        <v>0.59961089999999995</v>
      </c>
      <c r="N4063">
        <v>0</v>
      </c>
      <c r="O4063">
        <v>-0.800181699999999</v>
      </c>
      <c r="P4063">
        <v>0.65360490000000004</v>
      </c>
      <c r="Q4063">
        <v>-1.35499E-2</v>
      </c>
      <c r="R4063">
        <v>-0.75671509999999997</v>
      </c>
      <c r="S4063">
        <v>1.4514769999999999</v>
      </c>
      <c r="T4063">
        <v>-0.77118229999999999</v>
      </c>
      <c r="U4063">
        <v>-2.6932680000000002</v>
      </c>
      <c r="V4063">
        <v>-6.9273559999999998E-2</v>
      </c>
      <c r="W4063">
        <v>-4.5319909999999998E-4</v>
      </c>
      <c r="X4063">
        <v>0.99759759999999997</v>
      </c>
      <c r="Y4063">
        <v>0.15836819999999999</v>
      </c>
      <c r="Z4063">
        <v>0.18484139999999999</v>
      </c>
      <c r="AA4063">
        <v>0.96992429999999996</v>
      </c>
      <c r="AB4063">
        <v>9</v>
      </c>
      <c r="AC4063">
        <v>0.29259999999999298</v>
      </c>
      <c r="AD4063">
        <v>-0.18523580000000001</v>
      </c>
      <c r="AE4063">
        <v>-0.57779999999999598</v>
      </c>
      <c r="AF4063">
        <v>0.103837988328691</v>
      </c>
      <c r="AG4063">
        <v>-0.18523580000000001</v>
      </c>
      <c r="AH4063">
        <v>0.58961682542512295</v>
      </c>
      <c r="AI4063">
        <v>107.19215090355</v>
      </c>
      <c r="AJ4063">
        <v>80.012004004828498</v>
      </c>
      <c r="AK4063">
        <v>0.62669181440815802</v>
      </c>
      <c r="AL4063">
        <v>90.025966396558601</v>
      </c>
      <c r="AM4063">
        <v>93.972264386824605</v>
      </c>
      <c r="AN4063">
        <v>1.00000000151512</v>
      </c>
    </row>
    <row r="4064" spans="1:40" x14ac:dyDescent="0.25">
      <c r="A4064" t="str">
        <f>"20190312154002288"</f>
        <v>20190312154002288</v>
      </c>
      <c r="B4064" t="str">
        <f>"1552376402280207"</f>
        <v>1552376402280207</v>
      </c>
      <c r="C4064" t="s">
        <v>40</v>
      </c>
      <c r="D4064">
        <v>4.2887339999999998</v>
      </c>
      <c r="E4064">
        <v>0.58243279999999997</v>
      </c>
      <c r="F4064" t="s">
        <v>41</v>
      </c>
      <c r="G4064">
        <v>-483.48270000000002</v>
      </c>
      <c r="H4064">
        <v>0.929087</v>
      </c>
      <c r="I4064">
        <v>222.4538</v>
      </c>
      <c r="J4064">
        <v>-483.77440000000001</v>
      </c>
      <c r="K4064">
        <v>1.1113120000000001</v>
      </c>
      <c r="L4064">
        <v>223.02199999999999</v>
      </c>
      <c r="M4064">
        <v>0.60222690000000001</v>
      </c>
      <c r="N4064">
        <v>0</v>
      </c>
      <c r="O4064">
        <v>-0.7982146</v>
      </c>
      <c r="P4064">
        <v>0.656925599999999</v>
      </c>
      <c r="Q4064">
        <v>-1.4242049999999999E-2</v>
      </c>
      <c r="R4064">
        <v>-0.75382109999999902</v>
      </c>
      <c r="S4064">
        <v>1.467957</v>
      </c>
      <c r="T4064">
        <v>-0.76909859999999997</v>
      </c>
      <c r="U4064">
        <v>-2.682785</v>
      </c>
      <c r="V4064">
        <v>-7.0400389999999993E-2</v>
      </c>
      <c r="W4064">
        <v>-1.1484010000000001E-3</v>
      </c>
      <c r="X4064">
        <v>0.99751820000000002</v>
      </c>
      <c r="Y4064">
        <v>0.15537819999999999</v>
      </c>
      <c r="Z4064">
        <v>0.1841459</v>
      </c>
      <c r="AA4064">
        <v>0.97053999999999996</v>
      </c>
      <c r="AB4064">
        <v>9</v>
      </c>
      <c r="AC4064">
        <v>0.29169999999999102</v>
      </c>
      <c r="AD4064">
        <v>-0.182225</v>
      </c>
      <c r="AE4064">
        <v>-0.56820000000001802</v>
      </c>
      <c r="AF4064">
        <v>0.101124333593769</v>
      </c>
      <c r="AG4064">
        <v>-0.182225</v>
      </c>
      <c r="AH4064">
        <v>0.581904109566036</v>
      </c>
      <c r="AI4064">
        <v>107.14650214727401</v>
      </c>
      <c r="AJ4064">
        <v>80.141493109410803</v>
      </c>
      <c r="AK4064">
        <v>0.61809746334993598</v>
      </c>
      <c r="AL4064">
        <v>90.065798541889507</v>
      </c>
      <c r="AM4064">
        <v>94.036987089996003</v>
      </c>
      <c r="AN4064">
        <v>1.0000000465341199</v>
      </c>
    </row>
    <row r="4065" spans="1:40" x14ac:dyDescent="0.25">
      <c r="A4065" t="str">
        <f>"20190312154002311"</f>
        <v>20190312154002311</v>
      </c>
      <c r="B4065" t="str">
        <f>"1552376402299728"</f>
        <v>1552376402299728</v>
      </c>
      <c r="C4065" t="s">
        <v>40</v>
      </c>
      <c r="D4065">
        <v>4.3032750000000002</v>
      </c>
      <c r="E4065">
        <v>0.58187979999999995</v>
      </c>
      <c r="F4065" t="s">
        <v>41</v>
      </c>
      <c r="G4065">
        <v>-483.42720000000003</v>
      </c>
      <c r="H4065">
        <v>0.93077679999999996</v>
      </c>
      <c r="I4065">
        <v>222.3954</v>
      </c>
      <c r="J4065">
        <v>-483.71780000000001</v>
      </c>
      <c r="K4065">
        <v>1.111308</v>
      </c>
      <c r="L4065">
        <v>222.95349999999999</v>
      </c>
      <c r="M4065">
        <v>0.60486759999999995</v>
      </c>
      <c r="N4065">
        <v>0</v>
      </c>
      <c r="O4065">
        <v>-0.79621540000000002</v>
      </c>
      <c r="P4065">
        <v>0.66045739999999997</v>
      </c>
      <c r="Q4065">
        <v>-1.394279E-2</v>
      </c>
      <c r="R4065">
        <v>-0.75073449999999997</v>
      </c>
      <c r="S4065">
        <v>1.4818420000000001</v>
      </c>
      <c r="T4065">
        <v>-0.77075649999999996</v>
      </c>
      <c r="U4065">
        <v>-2.6737980000000001</v>
      </c>
      <c r="V4065">
        <v>-7.1775939999999996E-2</v>
      </c>
      <c r="W4065">
        <v>-8.5331670000000004E-4</v>
      </c>
      <c r="X4065">
        <v>0.99742039999999998</v>
      </c>
      <c r="Y4065">
        <v>0.153453799999999</v>
      </c>
      <c r="Z4065">
        <v>0.1842039</v>
      </c>
      <c r="AA4065">
        <v>0.97083509999999995</v>
      </c>
      <c r="AB4065">
        <v>9</v>
      </c>
      <c r="AC4065">
        <v>0.29059999999998298</v>
      </c>
      <c r="AD4065">
        <v>-0.1805312</v>
      </c>
      <c r="AE4065">
        <v>-0.55809999999999504</v>
      </c>
      <c r="AF4065">
        <v>9.8128100206718402E-2</v>
      </c>
      <c r="AG4065">
        <v>-0.1805312</v>
      </c>
      <c r="AH4065">
        <v>0.57302679331466699</v>
      </c>
      <c r="AI4065">
        <v>107.251044186874</v>
      </c>
      <c r="AJ4065">
        <v>80.282627021457401</v>
      </c>
      <c r="AK4065">
        <v>0.60875310601270005</v>
      </c>
      <c r="AL4065">
        <v>90.048891452212501</v>
      </c>
      <c r="AM4065">
        <v>94.115999294881107</v>
      </c>
      <c r="AN4065">
        <v>0.99999998402421697</v>
      </c>
    </row>
    <row r="4066" spans="1:40" x14ac:dyDescent="0.25">
      <c r="A4066" t="str">
        <f>"20190312154002333"</f>
        <v>20190312154002333</v>
      </c>
      <c r="B4066" t="str">
        <f>"1552376402320225"</f>
        <v>1552376402320225</v>
      </c>
      <c r="C4066" t="s">
        <v>40</v>
      </c>
      <c r="D4066">
        <v>4.3452109999999999</v>
      </c>
      <c r="E4066">
        <v>0.58157630000000005</v>
      </c>
      <c r="F4066" t="s">
        <v>41</v>
      </c>
      <c r="G4066">
        <v>-483.37139999999999</v>
      </c>
      <c r="H4066">
        <v>0.93305709999999997</v>
      </c>
      <c r="I4066">
        <v>222.33750000000001</v>
      </c>
      <c r="J4066">
        <v>-483.65969999999999</v>
      </c>
      <c r="K4066">
        <v>1.1113109999999999</v>
      </c>
      <c r="L4066">
        <v>222.88380000000001</v>
      </c>
      <c r="M4066">
        <v>0.60758719999999999</v>
      </c>
      <c r="N4066">
        <v>0</v>
      </c>
      <c r="O4066">
        <v>-0.79414219999999902</v>
      </c>
      <c r="P4066">
        <v>0.66525419999999902</v>
      </c>
      <c r="Q4066">
        <v>-1.2764620000000001E-2</v>
      </c>
      <c r="R4066">
        <v>-0.74650830000000001</v>
      </c>
      <c r="S4066">
        <v>1.4986569999999999</v>
      </c>
      <c r="T4066">
        <v>-0.77162529999999996</v>
      </c>
      <c r="U4066">
        <v>-2.663284</v>
      </c>
      <c r="V4066">
        <v>-7.4744850000000002E-2</v>
      </c>
      <c r="W4066">
        <v>3.1549129999999999E-4</v>
      </c>
      <c r="X4066">
        <v>0.99720260000000005</v>
      </c>
      <c r="Y4066">
        <v>0.1505696</v>
      </c>
      <c r="Z4066">
        <v>0.1841256</v>
      </c>
      <c r="AA4066">
        <v>0.97130150000000004</v>
      </c>
      <c r="AB4066">
        <v>9</v>
      </c>
      <c r="AC4066">
        <v>0.28829999999999201</v>
      </c>
      <c r="AD4066">
        <v>-0.17825389999999999</v>
      </c>
      <c r="AE4066">
        <v>-0.54630000000000201</v>
      </c>
      <c r="AF4066">
        <v>9.50661217655355E-2</v>
      </c>
      <c r="AG4066">
        <v>-0.17825389999999999</v>
      </c>
      <c r="AH4066">
        <v>0.56224030634997102</v>
      </c>
      <c r="AI4066">
        <v>107.35950852932299</v>
      </c>
      <c r="AJ4066">
        <v>80.402943252211003</v>
      </c>
      <c r="AK4066">
        <v>0.59743299411503803</v>
      </c>
      <c r="AL4066">
        <v>89.981923678992104</v>
      </c>
      <c r="AM4066">
        <v>94.286562527869293</v>
      </c>
      <c r="AN4066">
        <v>0.99999995879152004</v>
      </c>
    </row>
    <row r="4067" spans="1:40" x14ac:dyDescent="0.25">
      <c r="A4067" t="str">
        <f>"20190312154002357"</f>
        <v>20190312154002357</v>
      </c>
      <c r="B4067" t="str">
        <f>"1552376402349505"</f>
        <v>1552376402349505</v>
      </c>
      <c r="C4067" t="s">
        <v>40</v>
      </c>
      <c r="D4067">
        <v>4.2943360000000004</v>
      </c>
      <c r="E4067">
        <v>0.58188580000000001</v>
      </c>
      <c r="F4067" t="s">
        <v>41</v>
      </c>
      <c r="G4067">
        <v>-483.31439999999998</v>
      </c>
      <c r="H4067">
        <v>0.93597509999999995</v>
      </c>
      <c r="I4067">
        <v>222.28049999999999</v>
      </c>
      <c r="J4067">
        <v>-483.60230000000001</v>
      </c>
      <c r="K4067">
        <v>1.111308</v>
      </c>
      <c r="L4067">
        <v>222.81540000000001</v>
      </c>
      <c r="M4067">
        <v>0.61028990000000005</v>
      </c>
      <c r="N4067">
        <v>0</v>
      </c>
      <c r="O4067">
        <v>-0.79206730000000003</v>
      </c>
      <c r="P4067">
        <v>0.6697999</v>
      </c>
      <c r="Q4067">
        <v>-1.197021E-2</v>
      </c>
      <c r="R4067">
        <v>-0.74244580000000004</v>
      </c>
      <c r="S4067">
        <v>1.518799</v>
      </c>
      <c r="T4067">
        <v>-0.77170550000000004</v>
      </c>
      <c r="U4067">
        <v>-2.651993</v>
      </c>
      <c r="V4067">
        <v>-7.7428750000000005E-2</v>
      </c>
      <c r="W4067">
        <v>1.1003650000000001E-3</v>
      </c>
      <c r="X4067">
        <v>0.99699729999999998</v>
      </c>
      <c r="Y4067">
        <v>0.146610299999999</v>
      </c>
      <c r="Z4067">
        <v>0.1838892</v>
      </c>
      <c r="AA4067">
        <v>0.97195169999999997</v>
      </c>
      <c r="AB4067">
        <v>9</v>
      </c>
      <c r="AC4067">
        <v>0.28790000000003602</v>
      </c>
      <c r="AD4067">
        <v>-0.17533289999999899</v>
      </c>
      <c r="AE4067">
        <v>-0.53490000000002103</v>
      </c>
      <c r="AF4067">
        <v>9.0848018828609406E-2</v>
      </c>
      <c r="AG4067">
        <v>-0.17533289999999899</v>
      </c>
      <c r="AH4067">
        <v>0.55333385736516405</v>
      </c>
      <c r="AI4067">
        <v>107.36342499302</v>
      </c>
      <c r="AJ4067">
        <v>80.676190265764106</v>
      </c>
      <c r="AK4067">
        <v>0.587514549653117</v>
      </c>
      <c r="AL4067">
        <v>89.936953718061801</v>
      </c>
      <c r="AM4067">
        <v>94.440787998285899</v>
      </c>
      <c r="AN4067">
        <v>1.0000000191684899</v>
      </c>
    </row>
    <row r="4068" spans="1:40" x14ac:dyDescent="0.25">
      <c r="A4068" t="str">
        <f>"20190312154002378"</f>
        <v>20190312154002378</v>
      </c>
      <c r="B4068" t="str">
        <f>"1552376402370000"</f>
        <v>1552376402370000</v>
      </c>
      <c r="C4068" t="s">
        <v>40</v>
      </c>
      <c r="D4068">
        <v>4.2480379999999904</v>
      </c>
      <c r="E4068">
        <v>0.58203359999999904</v>
      </c>
      <c r="F4068" t="s">
        <v>41</v>
      </c>
      <c r="G4068">
        <v>-483.2586</v>
      </c>
      <c r="H4068">
        <v>0.93873669999999998</v>
      </c>
      <c r="I4068">
        <v>222.22290000000001</v>
      </c>
      <c r="J4068">
        <v>-483.54899999999998</v>
      </c>
      <c r="K4068">
        <v>1.111318</v>
      </c>
      <c r="L4068">
        <v>222.75239999999999</v>
      </c>
      <c r="M4068">
        <v>0.61281560000000002</v>
      </c>
      <c r="N4068">
        <v>0</v>
      </c>
      <c r="O4068">
        <v>-0.7901146</v>
      </c>
      <c r="P4068">
        <v>0.67429910000000004</v>
      </c>
      <c r="Q4068">
        <v>-1.1218489999999999E-2</v>
      </c>
      <c r="R4068">
        <v>-0.73837350000000002</v>
      </c>
      <c r="S4068">
        <v>1.5338130000000001</v>
      </c>
      <c r="T4068">
        <v>-0.7703139</v>
      </c>
      <c r="U4068">
        <v>-2.644501</v>
      </c>
      <c r="V4068">
        <v>-8.0298359999999999E-2</v>
      </c>
      <c r="W4068">
        <v>1.8418460000000001E-3</v>
      </c>
      <c r="X4068">
        <v>0.99676920000000002</v>
      </c>
      <c r="Y4068">
        <v>0.14439179999999999</v>
      </c>
      <c r="Z4068">
        <v>0.18317059999999999</v>
      </c>
      <c r="AA4068">
        <v>0.97241940000000004</v>
      </c>
      <c r="AB4068">
        <v>9</v>
      </c>
      <c r="AC4068">
        <v>0.29040000000003302</v>
      </c>
      <c r="AD4068">
        <v>-0.17258129999999999</v>
      </c>
      <c r="AE4068">
        <v>-0.52949999999998398</v>
      </c>
      <c r="AF4068">
        <v>8.7868915100141498E-2</v>
      </c>
      <c r="AG4068">
        <v>-0.17258129999999999</v>
      </c>
      <c r="AH4068">
        <v>0.55135228367639699</v>
      </c>
      <c r="AI4068">
        <v>107.17709239374599</v>
      </c>
      <c r="AJ4068">
        <v>80.944931841783799</v>
      </c>
      <c r="AK4068">
        <v>0.58437538625933205</v>
      </c>
      <c r="AL4068">
        <v>89.894469941032298</v>
      </c>
      <c r="AM4068">
        <v>94.605723375413305</v>
      </c>
      <c r="AN4068">
        <v>1.0000000285420001</v>
      </c>
    </row>
    <row r="4069" spans="1:40" x14ac:dyDescent="0.25">
      <c r="A4069" t="str">
        <f>"20190312154002403"</f>
        <v>20190312154002403</v>
      </c>
      <c r="B4069" t="str">
        <f>"1552376402389520"</f>
        <v>1552376402389520</v>
      </c>
      <c r="C4069" t="s">
        <v>40</v>
      </c>
      <c r="D4069">
        <v>4.0663429999999998</v>
      </c>
      <c r="E4069">
        <v>0.58192659999999996</v>
      </c>
      <c r="F4069" t="s">
        <v>41</v>
      </c>
      <c r="G4069">
        <v>-483.16820000000001</v>
      </c>
      <c r="H4069">
        <v>0.92226660000000005</v>
      </c>
      <c r="I4069">
        <v>222.1045</v>
      </c>
      <c r="J4069">
        <v>-483.48899999999998</v>
      </c>
      <c r="K4069">
        <v>1.1113249999999999</v>
      </c>
      <c r="L4069">
        <v>222.68219999999999</v>
      </c>
      <c r="M4069">
        <v>0.61567399999999906</v>
      </c>
      <c r="N4069">
        <v>0</v>
      </c>
      <c r="O4069">
        <v>-0.78788910000000001</v>
      </c>
      <c r="P4069">
        <v>0.67878950000000005</v>
      </c>
      <c r="Q4069">
        <v>-9.5207099999999999E-3</v>
      </c>
      <c r="R4069">
        <v>-0.73427129999999996</v>
      </c>
      <c r="S4069">
        <v>1.549866</v>
      </c>
      <c r="T4069">
        <v>-0.76989919999999901</v>
      </c>
      <c r="U4069">
        <v>-2.6359249999999999</v>
      </c>
      <c r="V4069">
        <v>-8.2754079999999994E-2</v>
      </c>
      <c r="W4069">
        <v>3.5298439999999999E-3</v>
      </c>
      <c r="X4069">
        <v>0.99656369999999905</v>
      </c>
      <c r="Y4069">
        <v>0.14216609999999999</v>
      </c>
      <c r="Z4069">
        <v>0.18262210000000001</v>
      </c>
      <c r="AA4069">
        <v>0.9728504</v>
      </c>
      <c r="AB4069">
        <v>9</v>
      </c>
      <c r="AC4069">
        <v>0.32080000000001901</v>
      </c>
      <c r="AD4069">
        <v>-0.18905839999999999</v>
      </c>
      <c r="AE4069">
        <v>-0.577699999999992</v>
      </c>
      <c r="AF4069">
        <v>9.5141105167127593E-2</v>
      </c>
      <c r="AG4069">
        <v>-0.18905839999999999</v>
      </c>
      <c r="AH4069">
        <v>0.603341272395163</v>
      </c>
      <c r="AI4069">
        <v>107.198738179839</v>
      </c>
      <c r="AJ4069">
        <v>81.038798586958507</v>
      </c>
      <c r="AK4069">
        <v>0.63938689342087396</v>
      </c>
      <c r="AL4069">
        <v>89.797754406934402</v>
      </c>
      <c r="AM4069">
        <v>94.746917906038902</v>
      </c>
      <c r="AN4069">
        <v>0.99999995285649901</v>
      </c>
    </row>
    <row r="4070" spans="1:40" x14ac:dyDescent="0.25">
      <c r="A4070" t="str">
        <f>"20190312154002422"</f>
        <v>20190312154002422</v>
      </c>
      <c r="B4070" t="str">
        <f>"1552376402410016"</f>
        <v>1552376402410016</v>
      </c>
      <c r="C4070" t="s">
        <v>40</v>
      </c>
      <c r="D4070">
        <v>4.1569260000000003</v>
      </c>
      <c r="E4070">
        <v>0.58170769999999905</v>
      </c>
      <c r="F4070" t="s">
        <v>41</v>
      </c>
      <c r="G4070">
        <v>-483.11040000000003</v>
      </c>
      <c r="H4070">
        <v>0.92715259999999999</v>
      </c>
      <c r="I4070">
        <v>222.04810000000001</v>
      </c>
      <c r="J4070">
        <v>-483.43520000000001</v>
      </c>
      <c r="K4070">
        <v>1.111337</v>
      </c>
      <c r="L4070">
        <v>222.61969999999999</v>
      </c>
      <c r="M4070">
        <v>0.61824789999999996</v>
      </c>
      <c r="N4070">
        <v>0</v>
      </c>
      <c r="O4070">
        <v>-0.78587099999999999</v>
      </c>
      <c r="P4070">
        <v>0.68278439999999996</v>
      </c>
      <c r="Q4070">
        <v>-6.9422340000000003E-3</v>
      </c>
      <c r="R4070">
        <v>-0.73058699999999999</v>
      </c>
      <c r="S4070">
        <v>1.568451</v>
      </c>
      <c r="T4070">
        <v>-0.76351899999999995</v>
      </c>
      <c r="U4070">
        <v>-2.6259160000000001</v>
      </c>
      <c r="V4070">
        <v>-8.4917350000000003E-2</v>
      </c>
      <c r="W4070">
        <v>6.0994889999999996E-3</v>
      </c>
      <c r="X4070">
        <v>0.99636930000000001</v>
      </c>
      <c r="Y4070">
        <v>0.13852239999999999</v>
      </c>
      <c r="Z4070">
        <v>0.1808864</v>
      </c>
      <c r="AA4070">
        <v>0.97370000000000001</v>
      </c>
      <c r="AB4070">
        <v>9</v>
      </c>
      <c r="AC4070">
        <v>0.32479999999998199</v>
      </c>
      <c r="AD4070">
        <v>-0.1841844</v>
      </c>
      <c r="AE4070">
        <v>-0.57159999999998901</v>
      </c>
      <c r="AF4070">
        <v>9.1005479652331203E-2</v>
      </c>
      <c r="AG4070">
        <v>-0.1841844</v>
      </c>
      <c r="AH4070">
        <v>0.602759168068837</v>
      </c>
      <c r="AI4070">
        <v>106.81190091596601</v>
      </c>
      <c r="AJ4070">
        <v>81.414244322062402</v>
      </c>
      <c r="AK4070">
        <v>0.63680805995303502</v>
      </c>
      <c r="AL4070">
        <v>89.650522845991901</v>
      </c>
      <c r="AM4070">
        <v>94.8713631677698</v>
      </c>
      <c r="AN4070">
        <v>0.999999971039786</v>
      </c>
    </row>
    <row r="4071" spans="1:40" x14ac:dyDescent="0.25">
      <c r="A4071" t="str">
        <f>"20190312154002445"</f>
        <v>20190312154002445</v>
      </c>
      <c r="B4071" t="str">
        <f>"1552376402429670"</f>
        <v>1552376402429670</v>
      </c>
      <c r="C4071" t="s">
        <v>40</v>
      </c>
      <c r="D4071">
        <v>4.1011819999999997</v>
      </c>
      <c r="E4071">
        <v>0.58159459999999996</v>
      </c>
      <c r="F4071" t="s">
        <v>41</v>
      </c>
      <c r="G4071">
        <v>-483.0548</v>
      </c>
      <c r="H4071">
        <v>0.93118330000000005</v>
      </c>
      <c r="I4071">
        <v>221.99080000000001</v>
      </c>
      <c r="J4071">
        <v>-483.38040000000001</v>
      </c>
      <c r="K4071">
        <v>1.1113459999999999</v>
      </c>
      <c r="L4071">
        <v>222.5565</v>
      </c>
      <c r="M4071">
        <v>0.62088369999999904</v>
      </c>
      <c r="N4071">
        <v>0</v>
      </c>
      <c r="O4071">
        <v>-0.78379030000000005</v>
      </c>
      <c r="P4071">
        <v>0.68631580000000003</v>
      </c>
      <c r="Q4071">
        <v>-4.3460570000000004E-3</v>
      </c>
      <c r="R4071">
        <v>-0.72729089999999996</v>
      </c>
      <c r="S4071">
        <v>1.5847169999999999</v>
      </c>
      <c r="T4071">
        <v>-0.75184289999999998</v>
      </c>
      <c r="U4071">
        <v>-2.6180270000000001</v>
      </c>
      <c r="V4071">
        <v>-8.6391759999999998E-2</v>
      </c>
      <c r="W4071">
        <v>8.6895959999999904E-3</v>
      </c>
      <c r="X4071">
        <v>0.99622330000000003</v>
      </c>
      <c r="Y4071">
        <v>0.13578680000000001</v>
      </c>
      <c r="Z4071">
        <v>0.1778344</v>
      </c>
      <c r="AA4071">
        <v>0.97464700000000004</v>
      </c>
      <c r="AB4071">
        <v>9</v>
      </c>
      <c r="AC4071">
        <v>0.32560000000000799</v>
      </c>
      <c r="AD4071">
        <v>-0.18016269999999901</v>
      </c>
      <c r="AE4071">
        <v>-0.56569999999999199</v>
      </c>
      <c r="AF4071">
        <v>8.9241128129156397E-2</v>
      </c>
      <c r="AG4071">
        <v>-0.18016269999999901</v>
      </c>
      <c r="AH4071">
        <v>0.59990138034493301</v>
      </c>
      <c r="AI4071">
        <v>106.54414264184599</v>
      </c>
      <c r="AJ4071">
        <v>81.538749189431798</v>
      </c>
      <c r="AK4071">
        <v>0.63269601196847303</v>
      </c>
      <c r="AL4071">
        <v>89.502116534885801</v>
      </c>
      <c r="AM4071">
        <v>94.956249096197993</v>
      </c>
      <c r="AN4071">
        <v>0.99999995436871403</v>
      </c>
    </row>
    <row r="4072" spans="1:40" x14ac:dyDescent="0.25">
      <c r="A4072" t="str">
        <f>"20190312154002466"</f>
        <v>20190312154002466</v>
      </c>
      <c r="B4072" t="str">
        <f>"1552376402459926"</f>
        <v>1552376402459926</v>
      </c>
      <c r="C4072" t="s">
        <v>40</v>
      </c>
      <c r="D4072">
        <v>3.9893239999999999</v>
      </c>
      <c r="E4072">
        <v>0.58183769999999901</v>
      </c>
      <c r="F4072" t="s">
        <v>41</v>
      </c>
      <c r="G4072">
        <v>-482.9991</v>
      </c>
      <c r="H4072">
        <v>0.93469360000000001</v>
      </c>
      <c r="I4072">
        <v>221.9342</v>
      </c>
      <c r="J4072">
        <v>-483.32549999999998</v>
      </c>
      <c r="K4072">
        <v>1.111354</v>
      </c>
      <c r="L4072">
        <v>222.49369999999999</v>
      </c>
      <c r="M4072">
        <v>0.62353769999999997</v>
      </c>
      <c r="N4072">
        <v>0</v>
      </c>
      <c r="O4072">
        <v>-0.78168079999999995</v>
      </c>
      <c r="P4072">
        <v>0.68989650000000002</v>
      </c>
      <c r="Q4072">
        <v>-2.607968E-3</v>
      </c>
      <c r="R4072">
        <v>-0.72390350000000003</v>
      </c>
      <c r="S4072">
        <v>1.599945</v>
      </c>
      <c r="T4072">
        <v>-0.74110290000000001</v>
      </c>
      <c r="U4072">
        <v>-2.610703</v>
      </c>
      <c r="V4072">
        <v>-8.7928350000000002E-2</v>
      </c>
      <c r="W4072">
        <v>1.0421390000000001E-2</v>
      </c>
      <c r="X4072">
        <v>0.99607230000000002</v>
      </c>
      <c r="Y4072">
        <v>0.13348279999999901</v>
      </c>
      <c r="Z4072">
        <v>0.17495920000000001</v>
      </c>
      <c r="AA4072">
        <v>0.9754853</v>
      </c>
      <c r="AB4072">
        <v>9</v>
      </c>
      <c r="AC4072">
        <v>0.32639999999997799</v>
      </c>
      <c r="AD4072">
        <v>-0.1766604</v>
      </c>
      <c r="AE4072">
        <v>-0.55949999999998501</v>
      </c>
      <c r="AF4072">
        <v>8.7247359532430999E-2</v>
      </c>
      <c r="AG4072">
        <v>-0.1766604</v>
      </c>
      <c r="AH4072">
        <v>0.59655654009401304</v>
      </c>
      <c r="AI4072">
        <v>106.33144871142299</v>
      </c>
      <c r="AJ4072">
        <v>81.679389535732</v>
      </c>
      <c r="AK4072">
        <v>0.62825210242583496</v>
      </c>
      <c r="AL4072">
        <v>89.402887535778007</v>
      </c>
      <c r="AM4072">
        <v>95.044712330961403</v>
      </c>
      <c r="AN4072">
        <v>1.00000001346527</v>
      </c>
    </row>
    <row r="4073" spans="1:40" x14ac:dyDescent="0.25">
      <c r="A4073" t="str">
        <f>"20190312154002490"</f>
        <v>20190312154002490</v>
      </c>
      <c r="B4073" t="str">
        <f>"1552376402479446"</f>
        <v>1552376402479446</v>
      </c>
      <c r="C4073" t="s">
        <v>40</v>
      </c>
      <c r="D4073">
        <v>3.9644059999999999</v>
      </c>
      <c r="E4073">
        <v>0.58202670000000001</v>
      </c>
      <c r="F4073" t="s">
        <v>41</v>
      </c>
      <c r="G4073">
        <v>-482.94420000000002</v>
      </c>
      <c r="H4073">
        <v>0.93796930000000001</v>
      </c>
      <c r="I4073">
        <v>221.87729999999999</v>
      </c>
      <c r="J4073">
        <v>-483.26549999999997</v>
      </c>
      <c r="K4073">
        <v>1.111375</v>
      </c>
      <c r="L4073">
        <v>222.4256</v>
      </c>
      <c r="M4073">
        <v>0.62646159999999995</v>
      </c>
      <c r="N4073">
        <v>0</v>
      </c>
      <c r="O4073">
        <v>-0.77933929999999996</v>
      </c>
      <c r="P4073">
        <v>0.69244240000000001</v>
      </c>
      <c r="Q4073">
        <v>-1.0249160000000001E-3</v>
      </c>
      <c r="R4073">
        <v>-0.72147280000000003</v>
      </c>
      <c r="S4073">
        <v>1.6125179999999999</v>
      </c>
      <c r="T4073">
        <v>-0.73391930000000005</v>
      </c>
      <c r="U4073">
        <v>-2.6048429999999998</v>
      </c>
      <c r="V4073">
        <v>-8.7706899999999893E-2</v>
      </c>
      <c r="W4073">
        <v>1.200391E-2</v>
      </c>
      <c r="X4073">
        <v>0.99607400000000001</v>
      </c>
      <c r="Y4073">
        <v>0.13257840000000001</v>
      </c>
      <c r="Z4073">
        <v>0.17273469999999999</v>
      </c>
      <c r="AA4073">
        <v>0.97600500000000001</v>
      </c>
      <c r="AB4073">
        <v>9</v>
      </c>
      <c r="AC4073">
        <v>0.32129999999995101</v>
      </c>
      <c r="AD4073">
        <v>-0.173405699999999</v>
      </c>
      <c r="AE4073">
        <v>-0.548300000000011</v>
      </c>
      <c r="AF4073">
        <v>8.6644346628319394E-2</v>
      </c>
      <c r="AG4073">
        <v>-0.173405699999999</v>
      </c>
      <c r="AH4073">
        <v>0.58508706043305703</v>
      </c>
      <c r="AI4073">
        <v>106.34000894342201</v>
      </c>
      <c r="AJ4073">
        <v>81.576405719119705</v>
      </c>
      <c r="AK4073">
        <v>0.61636324345416205</v>
      </c>
      <c r="AL4073">
        <v>89.312210103581407</v>
      </c>
      <c r="AM4073">
        <v>95.032063853350493</v>
      </c>
      <c r="AN4073">
        <v>1.0000000038194401</v>
      </c>
    </row>
    <row r="4074" spans="1:40" x14ac:dyDescent="0.25">
      <c r="A4074" t="str">
        <f>"20190312154002513"</f>
        <v>20190312154002513</v>
      </c>
      <c r="B4074" t="str">
        <f>"1552376402499941"</f>
        <v>1552376402499941</v>
      </c>
      <c r="C4074" t="s">
        <v>40</v>
      </c>
      <c r="D4074">
        <v>4.0317759999999998</v>
      </c>
      <c r="E4074">
        <v>0.58233029999999997</v>
      </c>
      <c r="F4074" t="s">
        <v>41</v>
      </c>
      <c r="G4074">
        <v>-482.88850000000002</v>
      </c>
      <c r="H4074">
        <v>0.94196139999999995</v>
      </c>
      <c r="I4074">
        <v>221.821</v>
      </c>
      <c r="J4074">
        <v>-483.20769999999999</v>
      </c>
      <c r="K4074">
        <v>1.111397</v>
      </c>
      <c r="L4074">
        <v>222.36060000000001</v>
      </c>
      <c r="M4074">
        <v>0.62929889999999999</v>
      </c>
      <c r="N4074">
        <v>0</v>
      </c>
      <c r="O4074">
        <v>-0.77705000000000002</v>
      </c>
      <c r="P4074">
        <v>0.69436430000000005</v>
      </c>
      <c r="Q4074">
        <v>9.0114769999999995E-4</v>
      </c>
      <c r="R4074">
        <v>-0.71962340000000002</v>
      </c>
      <c r="S4074">
        <v>1.6223449999999999</v>
      </c>
      <c r="T4074">
        <v>-0.72988299999999995</v>
      </c>
      <c r="U4074">
        <v>-2.6000519999999998</v>
      </c>
      <c r="V4074">
        <v>-8.6736720000000003E-2</v>
      </c>
      <c r="W4074">
        <v>1.3930649999999999E-2</v>
      </c>
      <c r="X4074">
        <v>0.99613390000000002</v>
      </c>
      <c r="Y4074">
        <v>0.13257959999999999</v>
      </c>
      <c r="Z4074">
        <v>0.17119789999999999</v>
      </c>
      <c r="AA4074">
        <v>0.97627560000000002</v>
      </c>
      <c r="AB4074">
        <v>9</v>
      </c>
      <c r="AC4074">
        <v>0.31919999999996601</v>
      </c>
      <c r="AD4074">
        <v>-0.16943559999999999</v>
      </c>
      <c r="AE4074">
        <v>-0.53960000000000696</v>
      </c>
      <c r="AF4074">
        <v>8.5312279347063702E-2</v>
      </c>
      <c r="AG4074">
        <v>-0.16943559999999999</v>
      </c>
      <c r="AH4074">
        <v>0.57800611951726</v>
      </c>
      <c r="AI4074">
        <v>106.17196357945301</v>
      </c>
      <c r="AJ4074">
        <v>81.603903626013206</v>
      </c>
      <c r="AK4074">
        <v>0.60834010368720004</v>
      </c>
      <c r="AL4074">
        <v>89.201806758349093</v>
      </c>
      <c r="AM4074">
        <v>94.976384436964096</v>
      </c>
      <c r="AN4074">
        <v>1.0000000341674899</v>
      </c>
    </row>
    <row r="4075" spans="1:40" x14ac:dyDescent="0.25">
      <c r="A4075" t="str">
        <f>"20190312154002533"</f>
        <v>20190312154002533</v>
      </c>
      <c r="B4075" t="str">
        <f>"1552376402529848"</f>
        <v>1552376402529848</v>
      </c>
      <c r="C4075" t="s">
        <v>40</v>
      </c>
      <c r="D4075">
        <v>3.984559</v>
      </c>
      <c r="E4075">
        <v>0.58307759999999997</v>
      </c>
      <c r="F4075" t="s">
        <v>41</v>
      </c>
      <c r="G4075">
        <v>-482.83420000000001</v>
      </c>
      <c r="H4075">
        <v>0.94505289999999997</v>
      </c>
      <c r="I4075">
        <v>221.76429999999999</v>
      </c>
      <c r="J4075">
        <v>-483.15350000000001</v>
      </c>
      <c r="K4075">
        <v>1.1114189999999999</v>
      </c>
      <c r="L4075">
        <v>222.30019999999999</v>
      </c>
      <c r="M4075">
        <v>0.63198009999999905</v>
      </c>
      <c r="N4075">
        <v>0</v>
      </c>
      <c r="O4075">
        <v>-0.77487090000000003</v>
      </c>
      <c r="P4075">
        <v>0.69645360000000001</v>
      </c>
      <c r="Q4075">
        <v>2.4771260000000001E-3</v>
      </c>
      <c r="R4075">
        <v>-0.71759770000000001</v>
      </c>
      <c r="S4075">
        <v>1.6290279999999999</v>
      </c>
      <c r="T4075">
        <v>-0.72693419999999997</v>
      </c>
      <c r="U4075">
        <v>-2.5978850000000002</v>
      </c>
      <c r="V4075">
        <v>-8.6196999999999996E-2</v>
      </c>
      <c r="W4075">
        <v>1.550642E-2</v>
      </c>
      <c r="X4075">
        <v>0.99615739999999997</v>
      </c>
      <c r="Y4075">
        <v>0.13370119999999999</v>
      </c>
      <c r="Z4075">
        <v>0.1698231</v>
      </c>
      <c r="AA4075">
        <v>0.97636270000000003</v>
      </c>
      <c r="AB4075">
        <v>9</v>
      </c>
      <c r="AC4075">
        <v>0.31929999999999797</v>
      </c>
      <c r="AD4075">
        <v>-0.16636609999999999</v>
      </c>
      <c r="AE4075">
        <v>-0.53589999999999705</v>
      </c>
      <c r="AF4075">
        <v>8.5209382111233301E-2</v>
      </c>
      <c r="AG4075">
        <v>-0.16636609999999999</v>
      </c>
      <c r="AH4075">
        <v>0.57612224208423002</v>
      </c>
      <c r="AI4075">
        <v>105.942586518597</v>
      </c>
      <c r="AJ4075">
        <v>81.586856137053999</v>
      </c>
      <c r="AK4075">
        <v>0.60568569064585698</v>
      </c>
      <c r="AL4075">
        <v>89.111511942405997</v>
      </c>
      <c r="AM4075">
        <v>94.945456805514397</v>
      </c>
      <c r="AN4075">
        <v>0.99999996872248698</v>
      </c>
    </row>
    <row r="4076" spans="1:40" x14ac:dyDescent="0.25">
      <c r="A4076" t="str">
        <f>"20190312154002559"</f>
        <v>20190312154002559</v>
      </c>
      <c r="B4076" t="str">
        <f>"1552376402550345"</f>
        <v>1552376402550345</v>
      </c>
      <c r="C4076" t="s">
        <v>40</v>
      </c>
      <c r="D4076">
        <v>4.0378780000000001</v>
      </c>
      <c r="E4076">
        <v>0.58288439999999997</v>
      </c>
      <c r="F4076" t="s">
        <v>41</v>
      </c>
      <c r="G4076">
        <v>-482.78149999999999</v>
      </c>
      <c r="H4076">
        <v>0.94620199999999999</v>
      </c>
      <c r="I4076">
        <v>221.70779999999999</v>
      </c>
      <c r="J4076">
        <v>-483.09280000000001</v>
      </c>
      <c r="K4076">
        <v>1.1114310000000001</v>
      </c>
      <c r="L4076">
        <v>222.233</v>
      </c>
      <c r="M4076">
        <v>0.63501240000000003</v>
      </c>
      <c r="N4076">
        <v>0</v>
      </c>
      <c r="O4076">
        <v>-0.77238819999999997</v>
      </c>
      <c r="P4076">
        <v>0.69818639999999998</v>
      </c>
      <c r="Q4076">
        <v>1.7690889999999999E-3</v>
      </c>
      <c r="R4076">
        <v>-0.7159141</v>
      </c>
      <c r="S4076">
        <v>1.6327510000000001</v>
      </c>
      <c r="T4076">
        <v>-0.725939</v>
      </c>
      <c r="U4076">
        <v>-2.5983890000000001</v>
      </c>
      <c r="V4076">
        <v>-8.4698700000000002E-2</v>
      </c>
      <c r="W4076">
        <v>1.4800789999999999E-2</v>
      </c>
      <c r="X4076">
        <v>0.99629670000000004</v>
      </c>
      <c r="Y4076">
        <v>0.1365595</v>
      </c>
      <c r="Z4076">
        <v>0.1686465</v>
      </c>
      <c r="AA4076">
        <v>0.97617100000000001</v>
      </c>
      <c r="AB4076">
        <v>9</v>
      </c>
      <c r="AC4076">
        <v>0.31130000000001601</v>
      </c>
      <c r="AD4076">
        <v>-0.16522899999999899</v>
      </c>
      <c r="AE4076">
        <v>-0.52520000000001199</v>
      </c>
      <c r="AF4076">
        <v>8.6720606469771894E-2</v>
      </c>
      <c r="AG4076">
        <v>-0.16522899999999899</v>
      </c>
      <c r="AH4076">
        <v>0.56221277058099695</v>
      </c>
      <c r="AI4076">
        <v>106.19622813955</v>
      </c>
      <c r="AJ4076">
        <v>81.231306441699004</v>
      </c>
      <c r="AK4076">
        <v>0.59237174597700504</v>
      </c>
      <c r="AL4076">
        <v>89.151946254881096</v>
      </c>
      <c r="AM4076">
        <v>94.859232603902697</v>
      </c>
      <c r="AN4076">
        <v>1.0000000237986</v>
      </c>
    </row>
    <row r="4077" spans="1:40" x14ac:dyDescent="0.25">
      <c r="A4077" t="str">
        <f>"20190312154002580"</f>
        <v>20190312154002580</v>
      </c>
      <c r="B4077" t="str">
        <f>"1552376402569865"</f>
        <v>1552376402569865</v>
      </c>
      <c r="C4077" t="s">
        <v>40</v>
      </c>
      <c r="D4077">
        <v>3.1666889999999999</v>
      </c>
      <c r="E4077">
        <v>0.53493659999999998</v>
      </c>
      <c r="F4077" t="s">
        <v>41</v>
      </c>
      <c r="G4077">
        <v>-482.68900000000002</v>
      </c>
      <c r="H4077">
        <v>0.93216909999999997</v>
      </c>
      <c r="I4077">
        <v>221.59479999999999</v>
      </c>
      <c r="J4077">
        <v>-483.03469999999999</v>
      </c>
      <c r="K4077">
        <v>1.111443</v>
      </c>
      <c r="L4077">
        <v>222.1696</v>
      </c>
      <c r="M4077">
        <v>0.63793710000000003</v>
      </c>
      <c r="N4077">
        <v>0</v>
      </c>
      <c r="O4077">
        <v>-0.76997419999999905</v>
      </c>
      <c r="P4077">
        <v>0.69979820000000004</v>
      </c>
      <c r="Q4077">
        <v>5.0374869999999996E-4</v>
      </c>
      <c r="R4077">
        <v>-0.7143408</v>
      </c>
      <c r="S4077">
        <v>1.6401060000000001</v>
      </c>
      <c r="T4077">
        <v>-0.72846040000000001</v>
      </c>
      <c r="U4077">
        <v>-2.5927889999999998</v>
      </c>
      <c r="V4077">
        <v>-8.3161789999999999E-2</v>
      </c>
      <c r="W4077">
        <v>1.3539199999999999E-2</v>
      </c>
      <c r="X4077">
        <v>0.99644410000000005</v>
      </c>
      <c r="Y4077">
        <v>0.13741429999999999</v>
      </c>
      <c r="Z4077">
        <v>0.16858670000000001</v>
      </c>
      <c r="AA4077">
        <v>0.97606139999999997</v>
      </c>
      <c r="AB4077">
        <v>9</v>
      </c>
      <c r="AC4077">
        <v>0.34569999999996498</v>
      </c>
      <c r="AD4077">
        <v>-0.17927390000000001</v>
      </c>
      <c r="AE4077">
        <v>-0.57480000000000997</v>
      </c>
      <c r="AF4077">
        <v>9.3813392695554998E-2</v>
      </c>
      <c r="AG4077">
        <v>-0.17927390000000001</v>
      </c>
      <c r="AH4077">
        <v>0.61895869419975702</v>
      </c>
      <c r="AI4077">
        <v>105.97998167942799</v>
      </c>
      <c r="AJ4077">
        <v>81.381476736342904</v>
      </c>
      <c r="AK4077">
        <v>0.65119117699468998</v>
      </c>
      <c r="AL4077">
        <v>89.224237294564801</v>
      </c>
      <c r="AM4077">
        <v>94.770767110607807</v>
      </c>
      <c r="AN4077">
        <v>1.0000000188387199</v>
      </c>
    </row>
    <row r="4078" spans="1:40" x14ac:dyDescent="0.25">
      <c r="A4078" t="str">
        <f>"20190312154002735"</f>
        <v>20190312154002735</v>
      </c>
      <c r="B4078" t="str">
        <f>"1552376402729566"</f>
        <v>1552376402729566</v>
      </c>
      <c r="C4078" t="s">
        <v>40</v>
      </c>
      <c r="D4078">
        <v>3.729336</v>
      </c>
      <c r="E4078">
        <v>0.3958836</v>
      </c>
      <c r="F4078" t="s">
        <v>41</v>
      </c>
      <c r="G4078">
        <v>-482.5856</v>
      </c>
      <c r="H4078">
        <v>0.83921399999999902</v>
      </c>
      <c r="I4078">
        <v>221.6311</v>
      </c>
      <c r="J4078">
        <v>-482.63510000000002</v>
      </c>
      <c r="K4078">
        <v>1.1113959999999901</v>
      </c>
      <c r="L4078">
        <v>221.74760000000001</v>
      </c>
      <c r="M4078">
        <v>0.65842009999999995</v>
      </c>
      <c r="N4078">
        <v>0</v>
      </c>
      <c r="O4078">
        <v>-0.75253340000000002</v>
      </c>
      <c r="P4078">
        <v>0.72042450000000002</v>
      </c>
      <c r="Q4078">
        <v>-7.69493E-3</v>
      </c>
      <c r="R4078">
        <v>-0.69349099999999997</v>
      </c>
      <c r="S4078">
        <v>1.9291689999999999</v>
      </c>
      <c r="T4078">
        <v>-1.1702360000000001</v>
      </c>
      <c r="U4078">
        <v>-2.3106230000000001</v>
      </c>
      <c r="V4078">
        <v>-8.5555779999999998E-2</v>
      </c>
      <c r="W4078">
        <v>5.332748E-3</v>
      </c>
      <c r="X4078">
        <v>0.99631910000000001</v>
      </c>
      <c r="Y4078">
        <v>5.5234199999999997E-2</v>
      </c>
      <c r="Z4078">
        <v>0.27004299999999998</v>
      </c>
      <c r="AA4078">
        <v>0.96126270000000003</v>
      </c>
      <c r="AB4078">
        <v>8</v>
      </c>
      <c r="AC4078">
        <v>4.9500000000023102E-2</v>
      </c>
      <c r="AD4078">
        <v>-0.27218199999999898</v>
      </c>
      <c r="AE4078">
        <v>-0.116500000000002</v>
      </c>
      <c r="AF4078">
        <v>7.0165734278864198E-3</v>
      </c>
      <c r="AG4078">
        <v>-0.27218199999999898</v>
      </c>
      <c r="AH4078">
        <v>2.13867745863634E-2</v>
      </c>
      <c r="AI4078">
        <v>175.27262470505201</v>
      </c>
      <c r="AJ4078">
        <v>71.836370178394503</v>
      </c>
      <c r="AK4078">
        <v>0.27311109013344098</v>
      </c>
      <c r="AL4078">
        <v>89.694454594936403</v>
      </c>
      <c r="AM4078">
        <v>94.908055155255894</v>
      </c>
      <c r="AN4078">
        <v>0.99999998935872403</v>
      </c>
    </row>
    <row r="4079" spans="1:40" x14ac:dyDescent="0.25">
      <c r="A4079" t="str">
        <f>"20190312154002758"</f>
        <v>20190312154002758</v>
      </c>
      <c r="B4079" t="str">
        <f>"1552376402750063"</f>
        <v>1552376402750063</v>
      </c>
      <c r="C4079" t="s">
        <v>40</v>
      </c>
      <c r="D4079">
        <v>3.727881</v>
      </c>
      <c r="E4079">
        <v>0.39173350000000001</v>
      </c>
      <c r="F4079" t="s">
        <v>61</v>
      </c>
      <c r="G4079">
        <v>-460.25259999999997</v>
      </c>
      <c r="H4079" s="1">
        <v>-1.185878E-6</v>
      </c>
      <c r="I4079">
        <v>209.66380000000001</v>
      </c>
      <c r="J4079">
        <v>-482.57650000000001</v>
      </c>
      <c r="K4079">
        <v>1.111399</v>
      </c>
      <c r="L4079">
        <v>221.68780000000001</v>
      </c>
      <c r="M4079">
        <v>0.66146769999999999</v>
      </c>
      <c r="N4079">
        <v>0</v>
      </c>
      <c r="O4079">
        <v>-0.74985639999999998</v>
      </c>
      <c r="P4079">
        <v>0.72302440000000001</v>
      </c>
      <c r="Q4079">
        <v>-9.0284159999999992E-3</v>
      </c>
      <c r="R4079">
        <v>-0.69076400000000004</v>
      </c>
      <c r="S4079">
        <v>2.7392270000000001</v>
      </c>
      <c r="T4079">
        <v>-0.13601549999999901</v>
      </c>
      <c r="U4079">
        <v>-1.4788509999999999</v>
      </c>
      <c r="V4079">
        <v>-8.5263660000000005E-2</v>
      </c>
      <c r="W4079">
        <v>3.9990479999999998E-3</v>
      </c>
      <c r="X4079">
        <v>0.99635039999999997</v>
      </c>
      <c r="Y4079">
        <v>-0.344808</v>
      </c>
      <c r="Z4079">
        <v>3.7882029999999997E-2</v>
      </c>
      <c r="AA4079">
        <v>0.93790850000000003</v>
      </c>
      <c r="AB4079">
        <v>8</v>
      </c>
      <c r="AC4079">
        <v>22.323899999999998</v>
      </c>
      <c r="AD4079">
        <v>-1.111400185878</v>
      </c>
      <c r="AE4079">
        <v>-12.023999999999999</v>
      </c>
      <c r="AF4079">
        <v>-8.7701550220922702</v>
      </c>
      <c r="AG4079">
        <v>-1.111400185878</v>
      </c>
      <c r="AH4079">
        <v>23.739295449942201</v>
      </c>
      <c r="AI4079">
        <v>92.514576310750499</v>
      </c>
      <c r="AJ4079">
        <v>110.276054782719</v>
      </c>
      <c r="AK4079">
        <v>25.3318964537665</v>
      </c>
      <c r="AL4079">
        <v>89.770870817228399</v>
      </c>
      <c r="AM4079">
        <v>94.891225713867399</v>
      </c>
      <c r="AN4079">
        <v>1.0000000018408299</v>
      </c>
    </row>
    <row r="4080" spans="1:40" x14ac:dyDescent="0.25">
      <c r="A4080" t="str">
        <f>"20190312154002781"</f>
        <v>20190312154002781</v>
      </c>
      <c r="B4080" t="str">
        <f>"1552376402769582"</f>
        <v>1552376402769582</v>
      </c>
      <c r="C4080" t="s">
        <v>40</v>
      </c>
      <c r="D4080">
        <v>4.1392550000000004</v>
      </c>
      <c r="E4080">
        <v>0.39092130000000003</v>
      </c>
      <c r="F4080" t="s">
        <v>48</v>
      </c>
      <c r="G4080">
        <v>-455.39249999999998</v>
      </c>
      <c r="H4080">
        <v>0.1190696</v>
      </c>
      <c r="I4080">
        <v>207.48759999999999</v>
      </c>
      <c r="J4080">
        <v>-482.5181</v>
      </c>
      <c r="K4080">
        <v>1.1114109999999999</v>
      </c>
      <c r="L4080">
        <v>221.62889999999999</v>
      </c>
      <c r="M4080">
        <v>0.6645141</v>
      </c>
      <c r="N4080">
        <v>0</v>
      </c>
      <c r="O4080">
        <v>-0.74715759999999998</v>
      </c>
      <c r="P4080">
        <v>0.72556659999999995</v>
      </c>
      <c r="Q4080">
        <v>-8.9663809999999903E-3</v>
      </c>
      <c r="R4080">
        <v>-0.68809359999999997</v>
      </c>
      <c r="S4080">
        <v>2.767029</v>
      </c>
      <c r="T4080">
        <v>-0.10100339999999999</v>
      </c>
      <c r="U4080">
        <v>-1.445435</v>
      </c>
      <c r="V4080">
        <v>-8.4882120000000005E-2</v>
      </c>
      <c r="W4080">
        <v>4.061037E-3</v>
      </c>
      <c r="X4080">
        <v>0.99638269999999995</v>
      </c>
      <c r="Y4080">
        <v>-0.3541453</v>
      </c>
      <c r="Z4080">
        <v>2.8100199999999999E-2</v>
      </c>
      <c r="AA4080">
        <v>0.93476809999999999</v>
      </c>
      <c r="AB4080">
        <v>8</v>
      </c>
      <c r="AC4080">
        <v>27.125599999999999</v>
      </c>
      <c r="AD4080">
        <v>-0.99234140000000004</v>
      </c>
      <c r="AE4080">
        <v>-14.141299999999999</v>
      </c>
      <c r="AF4080">
        <v>-10.8595367381775</v>
      </c>
      <c r="AG4080">
        <v>-0.99234140000000004</v>
      </c>
      <c r="AH4080">
        <v>28.5635891377412</v>
      </c>
      <c r="AI4080">
        <v>91.859954493304699</v>
      </c>
      <c r="AJ4080">
        <v>110.81620797590401</v>
      </c>
      <c r="AK4080">
        <v>30.574383134442201</v>
      </c>
      <c r="AL4080">
        <v>89.767319074207194</v>
      </c>
      <c r="AM4080">
        <v>94.869286713838505</v>
      </c>
      <c r="AN4080">
        <v>0.99999997558824905</v>
      </c>
    </row>
    <row r="4081" spans="1:40" x14ac:dyDescent="0.25">
      <c r="A4081" t="str">
        <f>"20190312154002803"</f>
        <v>20190312154002803</v>
      </c>
      <c r="B4081" t="str">
        <f>"1552376402799838"</f>
        <v>1552376402799838</v>
      </c>
      <c r="C4081" t="s">
        <v>40</v>
      </c>
      <c r="D4081">
        <v>3.8523339999999999</v>
      </c>
      <c r="E4081">
        <v>0.39168900000000001</v>
      </c>
      <c r="F4081" t="s">
        <v>43</v>
      </c>
      <c r="G4081">
        <v>-443.14</v>
      </c>
      <c r="H4081">
        <v>-0.05</v>
      </c>
      <c r="I4081">
        <v>201.32740000000001</v>
      </c>
      <c r="J4081">
        <v>-482.4588</v>
      </c>
      <c r="K4081">
        <v>1.111423</v>
      </c>
      <c r="L4081">
        <v>221.56979999999999</v>
      </c>
      <c r="M4081">
        <v>0.66760850000000005</v>
      </c>
      <c r="N4081">
        <v>0</v>
      </c>
      <c r="O4081">
        <v>-0.74439429999999995</v>
      </c>
      <c r="P4081">
        <v>0.72845719999999903</v>
      </c>
      <c r="Q4081">
        <v>-7.7472340000000004E-3</v>
      </c>
      <c r="R4081">
        <v>-0.68504799999999999</v>
      </c>
      <c r="S4081">
        <v>2.7762760000000002</v>
      </c>
      <c r="T4081">
        <v>-8.1882949999999996E-2</v>
      </c>
      <c r="U4081">
        <v>-1.4313199999999999</v>
      </c>
      <c r="V4081">
        <v>-8.493581E-2</v>
      </c>
      <c r="W4081">
        <v>5.2788649999999998E-3</v>
      </c>
      <c r="X4081">
        <v>0.99637249999999999</v>
      </c>
      <c r="Y4081">
        <v>-0.35544740000000002</v>
      </c>
      <c r="Z4081">
        <v>2.272617E-2</v>
      </c>
      <c r="AA4081">
        <v>0.93442000000000003</v>
      </c>
      <c r="AB4081">
        <v>8</v>
      </c>
      <c r="AC4081">
        <v>39.318800000000003</v>
      </c>
      <c r="AD4081">
        <v>-1.1614229999999901</v>
      </c>
      <c r="AE4081">
        <v>-20.2423999999999</v>
      </c>
      <c r="AF4081">
        <v>-15.745219220398999</v>
      </c>
      <c r="AG4081">
        <v>-1.1614229999999901</v>
      </c>
      <c r="AH4081">
        <v>41.293048381885797</v>
      </c>
      <c r="AI4081">
        <v>91.505424188532601</v>
      </c>
      <c r="AJ4081">
        <v>110.872066883852</v>
      </c>
      <c r="AK4081">
        <v>44.208332657454001</v>
      </c>
      <c r="AL4081">
        <v>89.697541927825199</v>
      </c>
      <c r="AM4081">
        <v>94.872401472192806</v>
      </c>
      <c r="AN4081">
        <v>1.0000000584961399</v>
      </c>
    </row>
    <row r="4082" spans="1:40" x14ac:dyDescent="0.25">
      <c r="A4082" t="str">
        <f>"20190312154002825"</f>
        <v>20190312154002825</v>
      </c>
      <c r="B4082" t="str">
        <f>"1552376402820334"</f>
        <v>1552376402820334</v>
      </c>
      <c r="C4082" t="s">
        <v>40</v>
      </c>
      <c r="D4082">
        <v>3.9178809999999999</v>
      </c>
      <c r="E4082">
        <v>0.39501310000000001</v>
      </c>
      <c r="F4082" t="s">
        <v>43</v>
      </c>
      <c r="G4082">
        <v>-436.68799999999999</v>
      </c>
      <c r="H4082">
        <v>-0.05</v>
      </c>
      <c r="I4082">
        <v>198.10390000000001</v>
      </c>
      <c r="J4082">
        <v>-482.40260000000001</v>
      </c>
      <c r="K4082">
        <v>1.111435</v>
      </c>
      <c r="L4082">
        <v>221.51419999999999</v>
      </c>
      <c r="M4082">
        <v>0.67054740000000002</v>
      </c>
      <c r="N4082">
        <v>0</v>
      </c>
      <c r="O4082">
        <v>-0.74174819999999997</v>
      </c>
      <c r="P4082">
        <v>0.73084759999999904</v>
      </c>
      <c r="Q4082">
        <v>-6.3309919999999997E-3</v>
      </c>
      <c r="R4082">
        <v>-0.6825118</v>
      </c>
      <c r="S4082">
        <v>2.7781370000000001</v>
      </c>
      <c r="T4082">
        <v>-7.0494650000000006E-2</v>
      </c>
      <c r="U4082">
        <v>-1.424301</v>
      </c>
      <c r="V4082">
        <v>-8.4472329999999998E-2</v>
      </c>
      <c r="W4082">
        <v>6.6969539999999998E-3</v>
      </c>
      <c r="X4082">
        <v>0.99640329999999999</v>
      </c>
      <c r="Y4082">
        <v>-0.35395090000000001</v>
      </c>
      <c r="Z4082">
        <v>1.9516289999999999E-2</v>
      </c>
      <c r="AA4082">
        <v>0.93506040000000001</v>
      </c>
      <c r="AB4082">
        <v>8</v>
      </c>
      <c r="AC4082">
        <v>45.714599999999898</v>
      </c>
      <c r="AD4082">
        <v>-1.161435</v>
      </c>
      <c r="AE4082">
        <v>-23.4102999999999</v>
      </c>
      <c r="AF4082">
        <v>-18.203298695035699</v>
      </c>
      <c r="AG4082">
        <v>-1.161435</v>
      </c>
      <c r="AH4082">
        <v>47.998030390400899</v>
      </c>
      <c r="AI4082">
        <v>91.296101616376404</v>
      </c>
      <c r="AJ4082">
        <v>110.769279662207</v>
      </c>
      <c r="AK4082">
        <v>51.347053820036898</v>
      </c>
      <c r="AL4082">
        <v>89.616289924310806</v>
      </c>
      <c r="AM4082">
        <v>94.845791499703694</v>
      </c>
      <c r="AN4082">
        <v>0.99999997998969803</v>
      </c>
    </row>
    <row r="4083" spans="1:40" x14ac:dyDescent="0.25">
      <c r="A4083" t="str">
        <f>"20190312154002848"</f>
        <v>20190312154002848</v>
      </c>
      <c r="B4083" t="str">
        <f>"1552376402839854"</f>
        <v>1552376402839854</v>
      </c>
      <c r="C4083" t="s">
        <v>40</v>
      </c>
      <c r="D4083">
        <v>3.9137529999999998</v>
      </c>
      <c r="E4083">
        <v>0.39728869999999999</v>
      </c>
      <c r="F4083" t="s">
        <v>43</v>
      </c>
      <c r="G4083">
        <v>-439.90170000000001</v>
      </c>
      <c r="H4083">
        <v>-0.05</v>
      </c>
      <c r="I4083">
        <v>199.48</v>
      </c>
      <c r="J4083">
        <v>-482.34300000000002</v>
      </c>
      <c r="K4083">
        <v>1.111437</v>
      </c>
      <c r="L4083">
        <v>221.4556</v>
      </c>
      <c r="M4083">
        <v>0.67368309999999998</v>
      </c>
      <c r="N4083">
        <v>0</v>
      </c>
      <c r="O4083">
        <v>-0.73890129999999998</v>
      </c>
      <c r="P4083">
        <v>0.73323539999999998</v>
      </c>
      <c r="Q4083">
        <v>-6.9233979999999999E-3</v>
      </c>
      <c r="R4083">
        <v>-0.67993999999999999</v>
      </c>
      <c r="S4083">
        <v>2.7653500000000002</v>
      </c>
      <c r="T4083">
        <v>-7.5569510000000006E-2</v>
      </c>
      <c r="U4083">
        <v>-1.43367</v>
      </c>
      <c r="V4083">
        <v>-8.3747100000000005E-2</v>
      </c>
      <c r="W4083">
        <v>6.1071179999999999E-3</v>
      </c>
      <c r="X4083">
        <v>0.99646829999999997</v>
      </c>
      <c r="Y4083">
        <v>-0.34569030000000001</v>
      </c>
      <c r="Z4083">
        <v>2.0838619999999999E-2</v>
      </c>
      <c r="AA4083">
        <v>0.93811730000000004</v>
      </c>
      <c r="AB4083">
        <v>8</v>
      </c>
      <c r="AC4083">
        <v>42.441299999999998</v>
      </c>
      <c r="AD4083">
        <v>-1.1614370000000001</v>
      </c>
      <c r="AE4083">
        <v>-21.9756</v>
      </c>
      <c r="AF4083">
        <v>-16.547026160067698</v>
      </c>
      <c r="AG4083">
        <v>-1.1614370000000001</v>
      </c>
      <c r="AH4083">
        <v>44.807269303900902</v>
      </c>
      <c r="AI4083">
        <v>91.392909547190797</v>
      </c>
      <c r="AJ4083">
        <v>110.268852357862</v>
      </c>
      <c r="AK4083">
        <v>47.779120891025599</v>
      </c>
      <c r="AL4083">
        <v>89.6500857291187</v>
      </c>
      <c r="AM4083">
        <v>94.804072020627203</v>
      </c>
      <c r="AN4083">
        <v>0.99999997327678203</v>
      </c>
    </row>
    <row r="4084" spans="1:40" x14ac:dyDescent="0.25">
      <c r="A4084" t="str">
        <f>"20190312154002870"</f>
        <v>20190312154002870</v>
      </c>
      <c r="B4084" t="str">
        <f>"1552376402860351"</f>
        <v>1552376402860351</v>
      </c>
      <c r="C4084" t="s">
        <v>40</v>
      </c>
      <c r="D4084">
        <v>3.9233699999999998</v>
      </c>
      <c r="E4084">
        <v>0.39904790000000001</v>
      </c>
      <c r="F4084" t="s">
        <v>48</v>
      </c>
      <c r="G4084">
        <v>-455.11219999999997</v>
      </c>
      <c r="H4084">
        <v>0.2185396</v>
      </c>
      <c r="I4084">
        <v>207.27090000000001</v>
      </c>
      <c r="J4084">
        <v>-482.28590000000003</v>
      </c>
      <c r="K4084">
        <v>1.111434</v>
      </c>
      <c r="L4084">
        <v>221.40029999999999</v>
      </c>
      <c r="M4084">
        <v>0.67668490000000003</v>
      </c>
      <c r="N4084">
        <v>0</v>
      </c>
      <c r="O4084">
        <v>-0.73615319999999995</v>
      </c>
      <c r="P4084">
        <v>0.73570349999999995</v>
      </c>
      <c r="Q4084">
        <v>-8.8002240000000006E-3</v>
      </c>
      <c r="R4084">
        <v>-0.67724719999999905</v>
      </c>
      <c r="S4084">
        <v>2.7582399999999998</v>
      </c>
      <c r="T4084">
        <v>-9.0438009999999999E-2</v>
      </c>
      <c r="U4084">
        <v>-1.436798</v>
      </c>
      <c r="V4084">
        <v>-8.3325499999999997E-2</v>
      </c>
      <c r="W4084">
        <v>4.231266E-3</v>
      </c>
      <c r="X4084">
        <v>0.99651339999999999</v>
      </c>
      <c r="Y4084">
        <v>-0.33993210000000001</v>
      </c>
      <c r="Z4084">
        <v>2.4848950000000002E-2</v>
      </c>
      <c r="AA4084">
        <v>0.94012169999999895</v>
      </c>
      <c r="AB4084">
        <v>8</v>
      </c>
      <c r="AC4084">
        <v>27.1737</v>
      </c>
      <c r="AD4084">
        <v>-0.89289439999999998</v>
      </c>
      <c r="AE4084">
        <v>-14.129399999999899</v>
      </c>
      <c r="AF4084">
        <v>-10.4349049843887</v>
      </c>
      <c r="AG4084">
        <v>-0.89289439999999998</v>
      </c>
      <c r="AH4084">
        <v>28.767519595916301</v>
      </c>
      <c r="AI4084">
        <v>91.671304226598906</v>
      </c>
      <c r="AJ4084">
        <v>109.937337462313</v>
      </c>
      <c r="AK4084">
        <v>30.614615564207298</v>
      </c>
      <c r="AL4084">
        <v>89.757565592662203</v>
      </c>
      <c r="AM4084">
        <v>94.779784353815202</v>
      </c>
      <c r="AN4084">
        <v>0.99999999947088603</v>
      </c>
    </row>
    <row r="4085" spans="1:40" x14ac:dyDescent="0.25">
      <c r="A4085" t="str">
        <f>"20190312154002892"</f>
        <v>20190312154002892</v>
      </c>
      <c r="B4085" t="str">
        <f>"1552376402879871"</f>
        <v>1552376402879871</v>
      </c>
      <c r="C4085" t="s">
        <v>40</v>
      </c>
      <c r="D4085">
        <v>3.9287459999999998</v>
      </c>
      <c r="E4085">
        <v>0.40032679999999998</v>
      </c>
      <c r="F4085" t="s">
        <v>48</v>
      </c>
      <c r="G4085">
        <v>-455.61849999999998</v>
      </c>
      <c r="H4085">
        <v>8.0625390000000005E-2</v>
      </c>
      <c r="I4085">
        <v>207.48759999999999</v>
      </c>
      <c r="J4085">
        <v>-482.22789999999998</v>
      </c>
      <c r="K4085">
        <v>1.111434</v>
      </c>
      <c r="L4085">
        <v>221.34450000000001</v>
      </c>
      <c r="M4085">
        <v>0.67975739999999996</v>
      </c>
      <c r="N4085">
        <v>0</v>
      </c>
      <c r="O4085">
        <v>-0.73331679999999999</v>
      </c>
      <c r="P4085">
        <v>0.73819209999999902</v>
      </c>
      <c r="Q4085">
        <v>-9.4689089999999993E-3</v>
      </c>
      <c r="R4085">
        <v>-0.67452419999999902</v>
      </c>
      <c r="S4085">
        <v>2.753876</v>
      </c>
      <c r="T4085">
        <v>-0.106444</v>
      </c>
      <c r="U4085">
        <v>-1.4367369999999999</v>
      </c>
      <c r="V4085">
        <v>-8.2831989999999994E-2</v>
      </c>
      <c r="W4085">
        <v>3.563222E-3</v>
      </c>
      <c r="X4085">
        <v>0.99655720000000003</v>
      </c>
      <c r="Y4085">
        <v>-0.33526460000000002</v>
      </c>
      <c r="Z4085">
        <v>2.914193E-2</v>
      </c>
      <c r="AA4085">
        <v>0.94167319999999999</v>
      </c>
      <c r="AB4085">
        <v>8</v>
      </c>
      <c r="AC4085">
        <v>26.609399999999901</v>
      </c>
      <c r="AD4085">
        <v>-1.03080861</v>
      </c>
      <c r="AE4085">
        <v>-13.8569</v>
      </c>
      <c r="AF4085">
        <v>-10.082776824006499</v>
      </c>
      <c r="AG4085">
        <v>-1.03080861</v>
      </c>
      <c r="AH4085">
        <v>28.218612332537401</v>
      </c>
      <c r="AI4085">
        <v>91.970165816139698</v>
      </c>
      <c r="AJ4085">
        <v>109.66228886921</v>
      </c>
      <c r="AK4085">
        <v>29.983579453547598</v>
      </c>
      <c r="AL4085">
        <v>89.795841994895099</v>
      </c>
      <c r="AM4085">
        <v>94.751397356721299</v>
      </c>
      <c r="AN4085">
        <v>1.0000000439951</v>
      </c>
    </row>
    <row r="4086" spans="1:40" x14ac:dyDescent="0.25">
      <c r="A4086" t="str">
        <f>"20190312154002914"</f>
        <v>20190312154002914</v>
      </c>
      <c r="B4086" t="str">
        <f>"1552376402910127"</f>
        <v>1552376402910127</v>
      </c>
      <c r="C4086" t="s">
        <v>40</v>
      </c>
      <c r="D4086">
        <v>4.0745740000000001</v>
      </c>
      <c r="E4086">
        <v>0.40154840000000003</v>
      </c>
      <c r="F4086" t="s">
        <v>61</v>
      </c>
      <c r="G4086">
        <v>-457.97030000000001</v>
      </c>
      <c r="H4086">
        <v>8.0000859999999993E-2</v>
      </c>
      <c r="I4086">
        <v>208.709</v>
      </c>
      <c r="J4086">
        <v>-482.17129999999997</v>
      </c>
      <c r="K4086">
        <v>1.1114389999999901</v>
      </c>
      <c r="L4086">
        <v>221.29050000000001</v>
      </c>
      <c r="M4086">
        <v>0.68276380000000003</v>
      </c>
      <c r="N4086">
        <v>0</v>
      </c>
      <c r="O4086">
        <v>-0.73051860000000002</v>
      </c>
      <c r="P4086">
        <v>0.74081519999999901</v>
      </c>
      <c r="Q4086">
        <v>-9.2463579999999997E-3</v>
      </c>
      <c r="R4086">
        <v>-0.67164559999999995</v>
      </c>
      <c r="S4086">
        <v>2.75238</v>
      </c>
      <c r="T4086">
        <v>-0.1170315</v>
      </c>
      <c r="U4086">
        <v>-1.4336850000000001</v>
      </c>
      <c r="V4086">
        <v>-8.262092E-2</v>
      </c>
      <c r="W4086">
        <v>3.7859030000000002E-3</v>
      </c>
      <c r="X4086">
        <v>0.99657390000000001</v>
      </c>
      <c r="Y4086">
        <v>-0.33190199999999997</v>
      </c>
      <c r="Z4086">
        <v>3.1932879999999997E-2</v>
      </c>
      <c r="AA4086">
        <v>0.94277319999999998</v>
      </c>
      <c r="AB4086">
        <v>8</v>
      </c>
      <c r="AC4086">
        <v>24.200999999999901</v>
      </c>
      <c r="AD4086">
        <v>-1.0314381399999999</v>
      </c>
      <c r="AE4086">
        <v>-12.5815</v>
      </c>
      <c r="AF4086">
        <v>-9.0769089910593994</v>
      </c>
      <c r="AG4086">
        <v>-1.0314381399999999</v>
      </c>
      <c r="AH4086">
        <v>25.680130301609498</v>
      </c>
      <c r="AI4086">
        <v>92.168690388065201</v>
      </c>
      <c r="AJ4086">
        <v>109.466484251556</v>
      </c>
      <c r="AK4086">
        <v>27.2566181647002</v>
      </c>
      <c r="AL4086">
        <v>89.783083227777496</v>
      </c>
      <c r="AM4086">
        <v>94.739266151868904</v>
      </c>
      <c r="AN4086">
        <v>1.0000000438221801</v>
      </c>
    </row>
    <row r="4087" spans="1:40" x14ac:dyDescent="0.25">
      <c r="A4087" t="str">
        <f>"20190312154002936"</f>
        <v>20190312154002936</v>
      </c>
      <c r="B4087" t="str">
        <f>"1552376402929647"</f>
        <v>1552376402929647</v>
      </c>
      <c r="C4087" t="s">
        <v>40</v>
      </c>
      <c r="D4087">
        <v>4.0203879999999996</v>
      </c>
      <c r="E4087">
        <v>0.40199810000000002</v>
      </c>
      <c r="F4087" t="s">
        <v>61</v>
      </c>
      <c r="G4087">
        <v>-458.89690000000002</v>
      </c>
      <c r="H4087">
        <v>8.0000559999999998E-2</v>
      </c>
      <c r="I4087">
        <v>209.1935</v>
      </c>
      <c r="J4087">
        <v>-482.11340000000001</v>
      </c>
      <c r="K4087">
        <v>1.1114539999999999</v>
      </c>
      <c r="L4087">
        <v>221.23589999999999</v>
      </c>
      <c r="M4087">
        <v>0.68585399999999996</v>
      </c>
      <c r="N4087">
        <v>0</v>
      </c>
      <c r="O4087">
        <v>-0.72761819999999999</v>
      </c>
      <c r="P4087">
        <v>0.74351840000000002</v>
      </c>
      <c r="Q4087">
        <v>-8.1272759999999993E-3</v>
      </c>
      <c r="R4087">
        <v>-0.66866669999999995</v>
      </c>
      <c r="S4087">
        <v>2.7515260000000001</v>
      </c>
      <c r="T4087">
        <v>-0.12193759999999999</v>
      </c>
      <c r="U4087">
        <v>-1.4301299999999999</v>
      </c>
      <c r="V4087">
        <v>-8.2409549999999998E-2</v>
      </c>
      <c r="W4087">
        <v>4.9045529999999999E-3</v>
      </c>
      <c r="X4087">
        <v>0.99658650000000004</v>
      </c>
      <c r="Y4087">
        <v>-0.32869189999999998</v>
      </c>
      <c r="Z4087">
        <v>3.3155459999999998E-2</v>
      </c>
      <c r="AA4087">
        <v>0.943855</v>
      </c>
      <c r="AB4087">
        <v>8</v>
      </c>
      <c r="AC4087">
        <v>23.2165</v>
      </c>
      <c r="AD4087">
        <v>-1.0314534399999999</v>
      </c>
      <c r="AE4087">
        <v>-12.042399999999899</v>
      </c>
      <c r="AF4087">
        <v>-8.6207714839583591</v>
      </c>
      <c r="AG4087">
        <v>-1.0314534399999999</v>
      </c>
      <c r="AH4087">
        <v>24.649233873288001</v>
      </c>
      <c r="AI4087">
        <v>92.261962671765403</v>
      </c>
      <c r="AJ4087">
        <v>109.27666715160601</v>
      </c>
      <c r="AK4087">
        <v>26.133624465763699</v>
      </c>
      <c r="AL4087">
        <v>89.7189886917878</v>
      </c>
      <c r="AM4087">
        <v>94.727137156736902</v>
      </c>
      <c r="AN4087">
        <v>1.00000002027679</v>
      </c>
    </row>
    <row r="4088" spans="1:40" x14ac:dyDescent="0.25">
      <c r="A4088" t="str">
        <f>"20190312154002958"</f>
        <v>20190312154002958</v>
      </c>
      <c r="B4088" t="str">
        <f>"1552376402950143"</f>
        <v>1552376402950143</v>
      </c>
      <c r="C4088" t="s">
        <v>40</v>
      </c>
      <c r="D4088">
        <v>4.0488569999999999</v>
      </c>
      <c r="E4088">
        <v>0.40249370000000001</v>
      </c>
      <c r="F4088" t="s">
        <v>61</v>
      </c>
      <c r="G4088">
        <v>-458.6705</v>
      </c>
      <c r="H4088">
        <v>8.0000619999999995E-2</v>
      </c>
      <c r="I4088">
        <v>209.1386</v>
      </c>
      <c r="J4088">
        <v>-482.05369999999999</v>
      </c>
      <c r="K4088">
        <v>1.1114679999999999</v>
      </c>
      <c r="L4088">
        <v>221.18020000000001</v>
      </c>
      <c r="M4088">
        <v>0.68906099999999904</v>
      </c>
      <c r="N4088">
        <v>0</v>
      </c>
      <c r="O4088">
        <v>-0.72458149999999999</v>
      </c>
      <c r="P4088">
        <v>0.74630659999999904</v>
      </c>
      <c r="Q4088">
        <v>-8.09964E-3</v>
      </c>
      <c r="R4088">
        <v>-0.66555350000000002</v>
      </c>
      <c r="S4088">
        <v>2.7549739999999998</v>
      </c>
      <c r="T4088">
        <v>-0.1212149</v>
      </c>
      <c r="U4088">
        <v>-1.4216610000000001</v>
      </c>
      <c r="V4088">
        <v>-8.2173350000000006E-2</v>
      </c>
      <c r="W4088">
        <v>4.9322089999999999E-3</v>
      </c>
      <c r="X4088">
        <v>0.99660590000000004</v>
      </c>
      <c r="Y4088">
        <v>-0.32730219999999999</v>
      </c>
      <c r="Z4088">
        <v>3.285018E-2</v>
      </c>
      <c r="AA4088">
        <v>0.94434850000000004</v>
      </c>
      <c r="AB4088">
        <v>8</v>
      </c>
      <c r="AC4088">
        <v>23.383199999999899</v>
      </c>
      <c r="AD4088">
        <v>-1.03146738</v>
      </c>
      <c r="AE4088">
        <v>-12.041600000000001</v>
      </c>
      <c r="AF4088">
        <v>-8.63312320534666</v>
      </c>
      <c r="AG4088">
        <v>-1.03146738</v>
      </c>
      <c r="AH4088">
        <v>24.801621023689901</v>
      </c>
      <c r="AI4088">
        <v>92.249262775823894</v>
      </c>
      <c r="AJ4088">
        <v>109.192345533805</v>
      </c>
      <c r="AK4088">
        <v>26.2814601313823</v>
      </c>
      <c r="AL4088">
        <v>89.717404109830198</v>
      </c>
      <c r="AM4088">
        <v>94.713558160436406</v>
      </c>
      <c r="AN4088">
        <v>1.0000000530253199</v>
      </c>
    </row>
    <row r="4089" spans="1:40" x14ac:dyDescent="0.25">
      <c r="A4089" t="str">
        <f>"20190312154002984"</f>
        <v>20190312154002984</v>
      </c>
      <c r="B4089" t="str">
        <f>"1552376402980399"</f>
        <v>1552376402980399</v>
      </c>
      <c r="C4089" t="s">
        <v>40</v>
      </c>
      <c r="D4089">
        <v>4.1887470000000002</v>
      </c>
      <c r="E4089">
        <v>0.40296579999999999</v>
      </c>
      <c r="F4089" t="s">
        <v>61</v>
      </c>
      <c r="G4089">
        <v>-459.12700000000001</v>
      </c>
      <c r="H4089">
        <v>8.0000470000000004E-2</v>
      </c>
      <c r="I4089">
        <v>209.4331</v>
      </c>
      <c r="J4089">
        <v>-481.98860000000002</v>
      </c>
      <c r="K4089">
        <v>1.1114850000000001</v>
      </c>
      <c r="L4089">
        <v>221.12020000000001</v>
      </c>
      <c r="M4089">
        <v>0.69257239999999998</v>
      </c>
      <c r="N4089">
        <v>0</v>
      </c>
      <c r="O4089">
        <v>-0.72122619999999904</v>
      </c>
      <c r="P4089">
        <v>0.74935490000000005</v>
      </c>
      <c r="Q4089">
        <v>-8.6706819999999903E-3</v>
      </c>
      <c r="R4089">
        <v>-0.66211249999999999</v>
      </c>
      <c r="S4089">
        <v>2.7581790000000002</v>
      </c>
      <c r="T4089">
        <v>-0.12409009999999999</v>
      </c>
      <c r="U4089">
        <v>-1.4132229999999999</v>
      </c>
      <c r="V4089">
        <v>-8.1912670000000007E-2</v>
      </c>
      <c r="W4089">
        <v>4.3623949999999998E-3</v>
      </c>
      <c r="X4089">
        <v>0.99663000000000002</v>
      </c>
      <c r="Y4089">
        <v>-0.32541690000000001</v>
      </c>
      <c r="Z4089">
        <v>3.3500460000000003E-2</v>
      </c>
      <c r="AA4089">
        <v>0.94497699999999996</v>
      </c>
      <c r="AB4089">
        <v>8</v>
      </c>
      <c r="AC4089">
        <v>22.861599999999999</v>
      </c>
      <c r="AD4089">
        <v>-1.03148453</v>
      </c>
      <c r="AE4089">
        <v>-11.687099999999999</v>
      </c>
      <c r="AF4089">
        <v>-8.3814348511778594</v>
      </c>
      <c r="AG4089">
        <v>-1.03148453</v>
      </c>
      <c r="AH4089">
        <v>24.225396395149801</v>
      </c>
      <c r="AI4089">
        <v>92.304248682450805</v>
      </c>
      <c r="AJ4089">
        <v>109.084453475963</v>
      </c>
      <c r="AK4089">
        <v>25.655062677808999</v>
      </c>
      <c r="AL4089">
        <v>89.750052394266007</v>
      </c>
      <c r="AM4089">
        <v>94.698559199176501</v>
      </c>
      <c r="AN4089">
        <v>1.0000000364483299</v>
      </c>
    </row>
    <row r="4090" spans="1:40" x14ac:dyDescent="0.25">
      <c r="A4090" t="str">
        <f>"20190312154003004"</f>
        <v>20190312154003004</v>
      </c>
      <c r="B4090" t="str">
        <f>"1552376402999919"</f>
        <v>1552376402999919</v>
      </c>
      <c r="C4090" t="s">
        <v>40</v>
      </c>
      <c r="D4090">
        <v>4.1987769999999998</v>
      </c>
      <c r="E4090">
        <v>0.4006036</v>
      </c>
      <c r="F4090" t="s">
        <v>61</v>
      </c>
      <c r="G4090">
        <v>-459.34</v>
      </c>
      <c r="H4090">
        <v>2.881189E-2</v>
      </c>
      <c r="I4090">
        <v>209.6163</v>
      </c>
      <c r="J4090">
        <v>-481.93259999999998</v>
      </c>
      <c r="K4090">
        <v>1.1114949999999999</v>
      </c>
      <c r="L4090">
        <v>221.06909999999999</v>
      </c>
      <c r="M4090">
        <v>0.6956019</v>
      </c>
      <c r="N4090">
        <v>0</v>
      </c>
      <c r="O4090">
        <v>-0.71830439999999995</v>
      </c>
      <c r="P4090">
        <v>0.75230529999999995</v>
      </c>
      <c r="Q4090">
        <v>-9.0229509999999995E-3</v>
      </c>
      <c r="R4090">
        <v>-0.65875299999999903</v>
      </c>
      <c r="S4090">
        <v>2.7622680000000002</v>
      </c>
      <c r="T4090">
        <v>-0.13204449999999901</v>
      </c>
      <c r="U4090">
        <v>-1.40303</v>
      </c>
      <c r="V4090">
        <v>-8.2172270000000006E-2</v>
      </c>
      <c r="W4090">
        <v>4.0095390000000003E-3</v>
      </c>
      <c r="X4090">
        <v>0.99661010000000005</v>
      </c>
      <c r="Y4090">
        <v>-0.32468580000000002</v>
      </c>
      <c r="Z4090">
        <v>3.5542079999999997E-2</v>
      </c>
      <c r="AA4090">
        <v>0.94515389999999999</v>
      </c>
      <c r="AB4090">
        <v>8</v>
      </c>
      <c r="AC4090">
        <v>22.592600000000001</v>
      </c>
      <c r="AD4090">
        <v>-1.0826831100000001</v>
      </c>
      <c r="AE4090">
        <v>-11.4527999999999</v>
      </c>
      <c r="AF4090">
        <v>-8.2474366818524292</v>
      </c>
      <c r="AG4090">
        <v>-1.0826831100000001</v>
      </c>
      <c r="AH4090">
        <v>23.900501974820099</v>
      </c>
      <c r="AI4090">
        <v>92.452008389971994</v>
      </c>
      <c r="AJ4090">
        <v>109.03821217723799</v>
      </c>
      <c r="AK4090">
        <v>25.306647529576502</v>
      </c>
      <c r="AL4090">
        <v>89.770269727682901</v>
      </c>
      <c r="AM4090">
        <v>94.713476714998706</v>
      </c>
      <c r="AN4090">
        <v>1.00000002489097</v>
      </c>
    </row>
    <row r="4091" spans="1:40" x14ac:dyDescent="0.25">
      <c r="A4091" t="str">
        <f>"20190312154003027"</f>
        <v>20190312154003027</v>
      </c>
      <c r="B4091" t="str">
        <f>"1552376403019438"</f>
        <v>1552376403019438</v>
      </c>
      <c r="C4091" t="s">
        <v>40</v>
      </c>
      <c r="D4091">
        <v>4.1579569999999997</v>
      </c>
      <c r="E4091">
        <v>0.34046890000000002</v>
      </c>
      <c r="F4091" t="s">
        <v>61</v>
      </c>
      <c r="G4091">
        <v>-459.83139999999997</v>
      </c>
      <c r="H4091" s="1">
        <v>3.8908979999999998E-6</v>
      </c>
      <c r="I4091">
        <v>210.13419999999999</v>
      </c>
      <c r="J4091">
        <v>-481.87389999999999</v>
      </c>
      <c r="K4091">
        <v>1.1115079999999999</v>
      </c>
      <c r="L4091">
        <v>221.01609999999999</v>
      </c>
      <c r="M4091">
        <v>0.69878909999999905</v>
      </c>
      <c r="N4091">
        <v>0</v>
      </c>
      <c r="O4091">
        <v>-0.71520419999999996</v>
      </c>
      <c r="P4091">
        <v>0.75600639999999997</v>
      </c>
      <c r="Q4091">
        <v>-7.5083559999999999E-3</v>
      </c>
      <c r="R4091">
        <v>-0.65452119999999903</v>
      </c>
      <c r="S4091">
        <v>2.781158</v>
      </c>
      <c r="T4091">
        <v>-0.13986680000000001</v>
      </c>
      <c r="U4091">
        <v>-1.3760220000000001</v>
      </c>
      <c r="V4091">
        <v>-8.3348710000000006E-2</v>
      </c>
      <c r="W4091">
        <v>5.5210939999999998E-3</v>
      </c>
      <c r="X4091">
        <v>0.99650510000000003</v>
      </c>
      <c r="Y4091">
        <v>-0.33032349999999999</v>
      </c>
      <c r="Z4091">
        <v>3.756781E-2</v>
      </c>
      <c r="AA4091">
        <v>0.94311990000000001</v>
      </c>
      <c r="AB4091">
        <v>8</v>
      </c>
      <c r="AC4091">
        <v>22.0425</v>
      </c>
      <c r="AD4091">
        <v>-1.1115041091019999</v>
      </c>
      <c r="AE4091">
        <v>-10.8819</v>
      </c>
      <c r="AF4091">
        <v>-8.1448050321882697</v>
      </c>
      <c r="AG4091">
        <v>-1.1115041091019999</v>
      </c>
      <c r="AH4091">
        <v>23.140578620788201</v>
      </c>
      <c r="AI4091">
        <v>92.5941910585003</v>
      </c>
      <c r="AJ4091">
        <v>109.390573431804</v>
      </c>
      <c r="AK4091">
        <v>24.55727324647</v>
      </c>
      <c r="AL4091">
        <v>89.683662993225795</v>
      </c>
      <c r="AM4091">
        <v>94.781149211196805</v>
      </c>
      <c r="AN4091">
        <v>0.99999995213181403</v>
      </c>
    </row>
    <row r="4092" spans="1:40" x14ac:dyDescent="0.25">
      <c r="A4092" t="str">
        <f>"20190312154003049"</f>
        <v>20190312154003049</v>
      </c>
      <c r="B4092" t="str">
        <f>"1552376403039935"</f>
        <v>1552376403039935</v>
      </c>
      <c r="C4092" t="s">
        <v>40</v>
      </c>
      <c r="D4092">
        <v>4.1623950000000001</v>
      </c>
      <c r="E4092">
        <v>0.33926689999999998</v>
      </c>
      <c r="F4092" t="s">
        <v>41</v>
      </c>
      <c r="G4092">
        <v>-480.9794</v>
      </c>
      <c r="H4092">
        <v>1.0545</v>
      </c>
      <c r="I4092">
        <v>220.72880000000001</v>
      </c>
      <c r="J4092">
        <v>-481.81560000000002</v>
      </c>
      <c r="K4092">
        <v>1.111515</v>
      </c>
      <c r="L4092">
        <v>220.9639</v>
      </c>
      <c r="M4092">
        <v>0.70196259999999999</v>
      </c>
      <c r="N4092">
        <v>0</v>
      </c>
      <c r="O4092">
        <v>-0.71208990000000005</v>
      </c>
      <c r="P4092">
        <v>0.75973559999999996</v>
      </c>
      <c r="Q4092">
        <v>-6.1506039999999996E-3</v>
      </c>
      <c r="R4092">
        <v>-0.65020319999999898</v>
      </c>
      <c r="S4092">
        <v>3.1038209999999999</v>
      </c>
      <c r="T4092">
        <v>-0.1977766</v>
      </c>
      <c r="U4092">
        <v>-0.99610900000000002</v>
      </c>
      <c r="V4092">
        <v>-8.4607630000000003E-2</v>
      </c>
      <c r="W4092">
        <v>6.875763E-3</v>
      </c>
      <c r="X4092">
        <v>0.99639060000000002</v>
      </c>
      <c r="Y4092">
        <v>-0.4617405</v>
      </c>
      <c r="Z4092">
        <v>5.356814E-2</v>
      </c>
      <c r="AA4092">
        <v>0.88539609999999902</v>
      </c>
      <c r="AB4092">
        <v>8</v>
      </c>
      <c r="AC4092">
        <v>0.83620000000001904</v>
      </c>
      <c r="AD4092">
        <v>-5.7015000000000003E-2</v>
      </c>
      <c r="AE4092">
        <v>-0.23509999999998801</v>
      </c>
      <c r="AF4092">
        <v>-0.42860952477000802</v>
      </c>
      <c r="AG4092">
        <v>-5.7015000000000003E-2</v>
      </c>
      <c r="AH4092">
        <v>0.75122345609566898</v>
      </c>
      <c r="AI4092">
        <v>93.771556554223494</v>
      </c>
      <c r="AJ4092">
        <v>119.706860918769</v>
      </c>
      <c r="AK4092">
        <v>0.86677189383187503</v>
      </c>
      <c r="AL4092">
        <v>89.606044686137295</v>
      </c>
      <c r="AM4092">
        <v>94.853577562458895</v>
      </c>
      <c r="AN4092">
        <v>0.99999997746970404</v>
      </c>
    </row>
    <row r="4093" spans="1:40" x14ac:dyDescent="0.25">
      <c r="A4093" t="str">
        <f>"20190312154003072"</f>
        <v>20190312154003072</v>
      </c>
      <c r="B4093" t="str">
        <f>"1552376403070191"</f>
        <v>1552376403070191</v>
      </c>
      <c r="C4093" t="s">
        <v>40</v>
      </c>
      <c r="D4093">
        <v>4.2012409999999996</v>
      </c>
      <c r="E4093">
        <v>0.33897389999999999</v>
      </c>
      <c r="F4093" t="s">
        <v>41</v>
      </c>
      <c r="G4093">
        <v>-480.9289</v>
      </c>
      <c r="H4093">
        <v>1.0557399999999999</v>
      </c>
      <c r="I4093">
        <v>220.6875</v>
      </c>
      <c r="J4093">
        <v>-481.75529999999998</v>
      </c>
      <c r="K4093">
        <v>1.1115200000000001</v>
      </c>
      <c r="L4093">
        <v>220.91050000000001</v>
      </c>
      <c r="M4093">
        <v>0.70525249999999995</v>
      </c>
      <c r="N4093">
        <v>0</v>
      </c>
      <c r="O4093">
        <v>-0.70883189999999996</v>
      </c>
      <c r="P4093">
        <v>0.76393679999999997</v>
      </c>
      <c r="Q4093">
        <v>-5.7318919999999997E-3</v>
      </c>
      <c r="R4093">
        <v>-0.64526609999999995</v>
      </c>
      <c r="S4093">
        <v>3.1158139999999999</v>
      </c>
      <c r="T4093">
        <v>-0.19601950000000001</v>
      </c>
      <c r="U4093">
        <v>-0.97137450000000003</v>
      </c>
      <c r="V4093">
        <v>-8.6454000000000003E-2</v>
      </c>
      <c r="W4093">
        <v>7.2886929999999997E-3</v>
      </c>
      <c r="X4093">
        <v>0.99622920000000004</v>
      </c>
      <c r="Y4093">
        <v>-0.4650531</v>
      </c>
      <c r="Z4093">
        <v>5.2965900000000003E-2</v>
      </c>
      <c r="AA4093">
        <v>0.88369690000000001</v>
      </c>
      <c r="AB4093">
        <v>8</v>
      </c>
      <c r="AC4093">
        <v>0.82639999999997804</v>
      </c>
      <c r="AD4093">
        <v>-5.57800000000001E-2</v>
      </c>
      <c r="AE4093">
        <v>-0.22300000000001299</v>
      </c>
      <c r="AF4093">
        <v>-0.426732937246873</v>
      </c>
      <c r="AG4093">
        <v>-5.57800000000001E-2</v>
      </c>
      <c r="AH4093">
        <v>0.737822173566137</v>
      </c>
      <c r="AI4093">
        <v>93.744291819315293</v>
      </c>
      <c r="AJ4093">
        <v>120.043726262733</v>
      </c>
      <c r="AK4093">
        <v>0.85416272918993796</v>
      </c>
      <c r="AL4093">
        <v>89.582384963195906</v>
      </c>
      <c r="AM4093">
        <v>94.959772739880904</v>
      </c>
      <c r="AN4093">
        <v>1.0000000190471401</v>
      </c>
    </row>
    <row r="4094" spans="1:40" x14ac:dyDescent="0.25">
      <c r="A4094" t="str">
        <f>"20190312154003094"</f>
        <v>20190312154003094</v>
      </c>
      <c r="B4094" t="str">
        <f>"1552376403089711"</f>
        <v>1552376403089711</v>
      </c>
      <c r="C4094" t="s">
        <v>40</v>
      </c>
      <c r="D4094">
        <v>4.1941249999999997</v>
      </c>
      <c r="E4094">
        <v>0.33922550000000001</v>
      </c>
      <c r="F4094" t="s">
        <v>41</v>
      </c>
      <c r="G4094">
        <v>-480.87009999999998</v>
      </c>
      <c r="H4094">
        <v>1.0581969999999901</v>
      </c>
      <c r="I4094">
        <v>220.6413</v>
      </c>
      <c r="J4094">
        <v>-481.69810000000001</v>
      </c>
      <c r="K4094">
        <v>1.111534</v>
      </c>
      <c r="L4094">
        <v>220.8604</v>
      </c>
      <c r="M4094">
        <v>0.70838440000000003</v>
      </c>
      <c r="N4094">
        <v>0</v>
      </c>
      <c r="O4094">
        <v>-0.70570169999999999</v>
      </c>
      <c r="P4094">
        <v>0.76872890000000005</v>
      </c>
      <c r="Q4094">
        <v>-5.6644310000000002E-3</v>
      </c>
      <c r="R4094">
        <v>-0.63954999999999995</v>
      </c>
      <c r="S4094">
        <v>3.1237789999999999</v>
      </c>
      <c r="T4094">
        <v>-0.18813450000000001</v>
      </c>
      <c r="U4094">
        <v>-0.94932559999999999</v>
      </c>
      <c r="V4094">
        <v>-8.9473399999999995E-2</v>
      </c>
      <c r="W4094">
        <v>7.3401899999999999E-3</v>
      </c>
      <c r="X4094">
        <v>0.99596209999999996</v>
      </c>
      <c r="Y4094">
        <v>-0.46761649999999999</v>
      </c>
      <c r="Z4094">
        <v>5.0749669999999997E-2</v>
      </c>
      <c r="AA4094">
        <v>0.88247339999999996</v>
      </c>
      <c r="AB4094">
        <v>8</v>
      </c>
      <c r="AC4094">
        <v>0.82800000000003104</v>
      </c>
      <c r="AD4094">
        <v>-5.33370000000001E-2</v>
      </c>
      <c r="AE4094">
        <v>-0.21909999999999699</v>
      </c>
      <c r="AF4094">
        <v>-0.427494083271584</v>
      </c>
      <c r="AG4094">
        <v>-5.33370000000001E-2</v>
      </c>
      <c r="AH4094">
        <v>0.738363646104363</v>
      </c>
      <c r="AI4094">
        <v>93.577181626943201</v>
      </c>
      <c r="AJ4094">
        <v>120.069768037543</v>
      </c>
      <c r="AK4094">
        <v>0.85485490037183598</v>
      </c>
      <c r="AL4094">
        <v>89.579434288704604</v>
      </c>
      <c r="AM4094">
        <v>95.133451904568702</v>
      </c>
      <c r="AN4094">
        <v>0.99999993616660099</v>
      </c>
    </row>
    <row r="4095" spans="1:40" x14ac:dyDescent="0.25">
      <c r="A4095" t="str">
        <f>"20190312154003116"</f>
        <v>20190312154003116</v>
      </c>
      <c r="B4095" t="str">
        <f>"1552376403110206"</f>
        <v>1552376403110206</v>
      </c>
      <c r="C4095" t="s">
        <v>40</v>
      </c>
      <c r="D4095">
        <v>4.1877170000000001</v>
      </c>
      <c r="E4095">
        <v>0.33939239999999998</v>
      </c>
      <c r="F4095" t="s">
        <v>41</v>
      </c>
      <c r="G4095">
        <v>-480.81760000000003</v>
      </c>
      <c r="H4095">
        <v>1.0603530000000001</v>
      </c>
      <c r="I4095">
        <v>220.59950000000001</v>
      </c>
      <c r="J4095">
        <v>-481.63900000000001</v>
      </c>
      <c r="K4095">
        <v>1.1115360000000001</v>
      </c>
      <c r="L4095">
        <v>220.8092</v>
      </c>
      <c r="M4095">
        <v>0.71167329999999995</v>
      </c>
      <c r="N4095">
        <v>0</v>
      </c>
      <c r="O4095">
        <v>-0.70238909999999999</v>
      </c>
      <c r="P4095">
        <v>0.77432119999999904</v>
      </c>
      <c r="Q4095">
        <v>-4.8881319999999999E-3</v>
      </c>
      <c r="R4095">
        <v>-0.63277450000000002</v>
      </c>
      <c r="S4095">
        <v>3.1299440000000001</v>
      </c>
      <c r="T4095">
        <v>-0.1819084</v>
      </c>
      <c r="U4095">
        <v>-0.92706299999999997</v>
      </c>
      <c r="V4095">
        <v>-9.357596E-2</v>
      </c>
      <c r="W4095">
        <v>7.8742329999999996E-3</v>
      </c>
      <c r="X4095">
        <v>0.99558100000000005</v>
      </c>
      <c r="Y4095">
        <v>-0.46984320000000002</v>
      </c>
      <c r="Z4095">
        <v>4.8995080000000003E-2</v>
      </c>
      <c r="AA4095">
        <v>0.88138909999999904</v>
      </c>
      <c r="AB4095">
        <v>8</v>
      </c>
      <c r="AC4095">
        <v>0.82139999999998203</v>
      </c>
      <c r="AD4095">
        <v>-5.1182999999999902E-2</v>
      </c>
      <c r="AE4095">
        <v>-0.209699999999998</v>
      </c>
      <c r="AF4095">
        <v>-0.42618748145532398</v>
      </c>
      <c r="AG4095">
        <v>-5.1182999999999902E-2</v>
      </c>
      <c r="AH4095">
        <v>0.72926359501308002</v>
      </c>
      <c r="AI4095">
        <v>93.467627959087196</v>
      </c>
      <c r="AJ4095">
        <v>120.302356939069</v>
      </c>
      <c r="AK4095">
        <v>0.846215610733833</v>
      </c>
      <c r="AL4095">
        <v>89.548835017869806</v>
      </c>
      <c r="AM4095">
        <v>95.369530183577595</v>
      </c>
      <c r="AN4095">
        <v>0.99999999569813003</v>
      </c>
    </row>
    <row r="4096" spans="1:40" x14ac:dyDescent="0.25">
      <c r="A4096" t="str">
        <f>"20190312154003137"</f>
        <v>20190312154003137</v>
      </c>
      <c r="B4096" t="str">
        <f>"1552376403129727"</f>
        <v>1552376403129727</v>
      </c>
      <c r="C4096" t="s">
        <v>40</v>
      </c>
      <c r="D4096">
        <v>4.218496</v>
      </c>
      <c r="E4096">
        <v>0.3397579</v>
      </c>
      <c r="F4096" t="s">
        <v>41</v>
      </c>
      <c r="G4096">
        <v>-480.7645</v>
      </c>
      <c r="H4096">
        <v>1.0626880000000001</v>
      </c>
      <c r="I4096">
        <v>220.55789999999999</v>
      </c>
      <c r="J4096">
        <v>-481.58150000000001</v>
      </c>
      <c r="K4096">
        <v>1.11154</v>
      </c>
      <c r="L4096">
        <v>220.76</v>
      </c>
      <c r="M4096">
        <v>0.71490330000000002</v>
      </c>
      <c r="N4096">
        <v>0</v>
      </c>
      <c r="O4096">
        <v>-0.69910669999999897</v>
      </c>
      <c r="P4096">
        <v>0.77930739999999998</v>
      </c>
      <c r="Q4096">
        <v>-3.713414E-3</v>
      </c>
      <c r="R4096">
        <v>-0.6266311</v>
      </c>
      <c r="S4096">
        <v>3.1375120000000001</v>
      </c>
      <c r="T4096">
        <v>-0.17517379999999999</v>
      </c>
      <c r="U4096">
        <v>-0.90032959999999995</v>
      </c>
      <c r="V4096">
        <v>-9.6872700000000006E-2</v>
      </c>
      <c r="W4096">
        <v>8.7248810000000003E-3</v>
      </c>
      <c r="X4096">
        <v>0.99525850000000005</v>
      </c>
      <c r="Y4096">
        <v>-0.47339110000000001</v>
      </c>
      <c r="Z4096">
        <v>4.7136909999999997E-2</v>
      </c>
      <c r="AA4096">
        <v>0.87959019999999999</v>
      </c>
      <c r="AB4096">
        <v>8</v>
      </c>
      <c r="AC4096">
        <v>0.81700000000000705</v>
      </c>
      <c r="AD4096">
        <v>-4.8852000000000097E-2</v>
      </c>
      <c r="AE4096">
        <v>-0.202100000000001</v>
      </c>
      <c r="AF4096">
        <v>-0.425290128211329</v>
      </c>
      <c r="AG4096">
        <v>-4.8852000000000097E-2</v>
      </c>
      <c r="AH4096">
        <v>0.72298872405341996</v>
      </c>
      <c r="AI4096">
        <v>93.333163135281893</v>
      </c>
      <c r="AJ4096">
        <v>120.465700556765</v>
      </c>
      <c r="AK4096">
        <v>0.84022074847411499</v>
      </c>
      <c r="AL4096">
        <v>89.500094780730095</v>
      </c>
      <c r="AM4096">
        <v>95.559327319213494</v>
      </c>
      <c r="AN4096">
        <v>0.99999996268800095</v>
      </c>
    </row>
    <row r="4097" spans="1:40" x14ac:dyDescent="0.25">
      <c r="A4097" t="str">
        <f>"20190312154003160"</f>
        <v>20190312154003160</v>
      </c>
      <c r="B4097" t="str">
        <f>"1552376403150223"</f>
        <v>1552376403150223</v>
      </c>
      <c r="C4097" t="s">
        <v>40</v>
      </c>
      <c r="D4097">
        <v>4.2123780000000002</v>
      </c>
      <c r="E4097">
        <v>0.34058490000000002</v>
      </c>
      <c r="F4097" t="s">
        <v>41</v>
      </c>
      <c r="G4097">
        <v>-480.71289999999999</v>
      </c>
      <c r="H4097">
        <v>1.0639000000000001</v>
      </c>
      <c r="I4097">
        <v>220.51769999999999</v>
      </c>
      <c r="J4097">
        <v>-481.51979999999998</v>
      </c>
      <c r="K4097">
        <v>1.111556</v>
      </c>
      <c r="L4097">
        <v>220.70779999999999</v>
      </c>
      <c r="M4097">
        <v>0.7183465</v>
      </c>
      <c r="N4097">
        <v>0</v>
      </c>
      <c r="O4097">
        <v>-0.69557049999999998</v>
      </c>
      <c r="P4097">
        <v>0.783362</v>
      </c>
      <c r="Q4097">
        <v>-3.3999899999999999E-3</v>
      </c>
      <c r="R4097">
        <v>-0.62155629999999995</v>
      </c>
      <c r="S4097">
        <v>3.1434329999999999</v>
      </c>
      <c r="T4097">
        <v>-0.17243329999999901</v>
      </c>
      <c r="U4097">
        <v>-0.87716669999999997</v>
      </c>
      <c r="V4097">
        <v>-9.8425739999999998E-2</v>
      </c>
      <c r="W4097">
        <v>8.8841389999999992E-3</v>
      </c>
      <c r="X4097">
        <v>0.99510469999999895</v>
      </c>
      <c r="Y4097">
        <v>-0.47553129999999999</v>
      </c>
      <c r="Z4097">
        <v>4.631772E-2</v>
      </c>
      <c r="AA4097">
        <v>0.8784786</v>
      </c>
      <c r="AB4097">
        <v>8</v>
      </c>
      <c r="AC4097">
        <v>0.80689999999998396</v>
      </c>
      <c r="AD4097">
        <v>-4.76559999999999E-2</v>
      </c>
      <c r="AE4097">
        <v>-0.19010000000000099</v>
      </c>
      <c r="AF4097">
        <v>-0.42333314239351899</v>
      </c>
      <c r="AG4097">
        <v>-4.76559999999999E-2</v>
      </c>
      <c r="AH4097">
        <v>0.70957374467195</v>
      </c>
      <c r="AI4097">
        <v>93.300977201636698</v>
      </c>
      <c r="AJ4097">
        <v>120.82038833062001</v>
      </c>
      <c r="AK4097">
        <v>0.82763333844918596</v>
      </c>
      <c r="AL4097">
        <v>89.490969613599802</v>
      </c>
      <c r="AM4097">
        <v>95.648748672240202</v>
      </c>
      <c r="AN4097">
        <v>0.99999995909120298</v>
      </c>
    </row>
    <row r="4098" spans="1:40" x14ac:dyDescent="0.25">
      <c r="A4098" t="str">
        <f>"20190312154003184"</f>
        <v>20190312154003184</v>
      </c>
      <c r="B4098" t="str">
        <f>"1552376403179503"</f>
        <v>1552376403179503</v>
      </c>
      <c r="C4098" t="s">
        <v>40</v>
      </c>
      <c r="D4098">
        <v>4.2217630000000002</v>
      </c>
      <c r="E4098">
        <v>0.34178130000000001</v>
      </c>
      <c r="F4098" t="s">
        <v>41</v>
      </c>
      <c r="G4098">
        <v>-480.65089999999998</v>
      </c>
      <c r="H4098">
        <v>1.0653459999999999</v>
      </c>
      <c r="I4098">
        <v>220.46979999999999</v>
      </c>
      <c r="J4098">
        <v>-481.4556</v>
      </c>
      <c r="K4098">
        <v>1.1115619999999999</v>
      </c>
      <c r="L4098">
        <v>220.6542</v>
      </c>
      <c r="M4098">
        <v>0.72191439999999996</v>
      </c>
      <c r="N4098">
        <v>0</v>
      </c>
      <c r="O4098">
        <v>-0.69186729999999996</v>
      </c>
      <c r="P4098">
        <v>0.78647739999999999</v>
      </c>
      <c r="Q4098">
        <v>-4.2243489999999996E-3</v>
      </c>
      <c r="R4098">
        <v>-0.61760509999999902</v>
      </c>
      <c r="S4098">
        <v>3.1452330000000002</v>
      </c>
      <c r="T4098">
        <v>-0.16727020000000001</v>
      </c>
      <c r="U4098">
        <v>-0.86167909999999903</v>
      </c>
      <c r="V4098">
        <v>-9.8312540000000004E-2</v>
      </c>
      <c r="W4098">
        <v>8.054472E-3</v>
      </c>
      <c r="X4098">
        <v>0.99512299999999998</v>
      </c>
      <c r="Y4098">
        <v>-0.47524379999999999</v>
      </c>
      <c r="Z4098">
        <v>4.4816189999999999E-2</v>
      </c>
      <c r="AA4098">
        <v>0.878712099999999</v>
      </c>
      <c r="AB4098">
        <v>8</v>
      </c>
      <c r="AC4098">
        <v>0.80470000000002495</v>
      </c>
      <c r="AD4098">
        <v>-4.6216000000000201E-2</v>
      </c>
      <c r="AE4098">
        <v>-0.18440000000001</v>
      </c>
      <c r="AF4098">
        <v>-0.42233476420216898</v>
      </c>
      <c r="AG4098">
        <v>-4.6216000000000201E-2</v>
      </c>
      <c r="AH4098">
        <v>0.70634761805778201</v>
      </c>
      <c r="AI4098">
        <v>93.214182918749501</v>
      </c>
      <c r="AJ4098">
        <v>120.875772194983</v>
      </c>
      <c r="AK4098">
        <v>0.82427515384463901</v>
      </c>
      <c r="AL4098">
        <v>89.538507761754403</v>
      </c>
      <c r="AM4098">
        <v>95.642190867946695</v>
      </c>
      <c r="AN4098">
        <v>1.00000000758472</v>
      </c>
    </row>
    <row r="4099" spans="1:40" x14ac:dyDescent="0.25">
      <c r="A4099" t="str">
        <f>"20190312154003206"</f>
        <v>20190312154003206</v>
      </c>
      <c r="B4099" t="str">
        <f>"1552376403199999"</f>
        <v>1552376403199999</v>
      </c>
      <c r="C4099" t="s">
        <v>40</v>
      </c>
      <c r="D4099">
        <v>4.2066559999999997</v>
      </c>
      <c r="E4099">
        <v>0.34268579999999998</v>
      </c>
      <c r="F4099" t="s">
        <v>41</v>
      </c>
      <c r="G4099">
        <v>-480.58969999999999</v>
      </c>
      <c r="H4099">
        <v>1.0626389999999999</v>
      </c>
      <c r="I4099">
        <v>220.41900000000001</v>
      </c>
      <c r="J4099">
        <v>-481.39530000000002</v>
      </c>
      <c r="K4099">
        <v>1.1115539999999999</v>
      </c>
      <c r="L4099">
        <v>220.60429999999999</v>
      </c>
      <c r="M4099">
        <v>0.72528530000000002</v>
      </c>
      <c r="N4099">
        <v>0</v>
      </c>
      <c r="O4099">
        <v>-0.68833339999999998</v>
      </c>
      <c r="P4099">
        <v>0.78908210000000001</v>
      </c>
      <c r="Q4099">
        <v>-4.0619489999999996E-3</v>
      </c>
      <c r="R4099">
        <v>-0.61427509999999996</v>
      </c>
      <c r="S4099">
        <v>3.143707</v>
      </c>
      <c r="T4099">
        <v>-0.17755870000000001</v>
      </c>
      <c r="U4099">
        <v>-0.85302730000000004</v>
      </c>
      <c r="V4099">
        <v>-9.7659499999999996E-2</v>
      </c>
      <c r="W4099">
        <v>8.194181E-3</v>
      </c>
      <c r="X4099">
        <v>0.99518620000000002</v>
      </c>
      <c r="Y4099">
        <v>-0.47292489999999998</v>
      </c>
      <c r="Z4099">
        <v>4.7421280000000003E-2</v>
      </c>
      <c r="AA4099">
        <v>0.87982569999999904</v>
      </c>
      <c r="AB4099">
        <v>8</v>
      </c>
      <c r="AC4099">
        <v>0.80560000000002596</v>
      </c>
      <c r="AD4099">
        <v>-4.8915000000000201E-2</v>
      </c>
      <c r="AE4099">
        <v>-0.18529999999998301</v>
      </c>
      <c r="AF4099">
        <v>-0.41869323320072199</v>
      </c>
      <c r="AG4099">
        <v>-4.8915000000000201E-2</v>
      </c>
      <c r="AH4099">
        <v>0.70941038132642897</v>
      </c>
      <c r="AI4099">
        <v>93.398275727349301</v>
      </c>
      <c r="AJ4099">
        <v>120.54905797843</v>
      </c>
      <c r="AK4099">
        <v>0.82520287801654202</v>
      </c>
      <c r="AL4099">
        <v>89.5305027803511</v>
      </c>
      <c r="AM4099">
        <v>95.604598431092199</v>
      </c>
      <c r="AN4099">
        <v>1.0000000476064701</v>
      </c>
    </row>
    <row r="4100" spans="1:40" x14ac:dyDescent="0.25">
      <c r="A4100" t="str">
        <f>"20190312154003227"</f>
        <v>20190312154003227</v>
      </c>
      <c r="B4100" t="str">
        <f>"1552376403219519"</f>
        <v>1552376403219519</v>
      </c>
      <c r="C4100" t="s">
        <v>40</v>
      </c>
      <c r="D4100">
        <v>4.2040620000000004</v>
      </c>
      <c r="E4100">
        <v>0.34338770000000002</v>
      </c>
      <c r="F4100" t="s">
        <v>41</v>
      </c>
      <c r="G4100">
        <v>-480.51960000000003</v>
      </c>
      <c r="H4100">
        <v>1.0615490000000001</v>
      </c>
      <c r="I4100">
        <v>220.3689</v>
      </c>
      <c r="J4100">
        <v>-481.33769999999998</v>
      </c>
      <c r="K4100">
        <v>1.111545</v>
      </c>
      <c r="L4100">
        <v>220.55719999999999</v>
      </c>
      <c r="M4100">
        <v>0.72850509999999902</v>
      </c>
      <c r="N4100">
        <v>0</v>
      </c>
      <c r="O4100">
        <v>-0.68492580000000003</v>
      </c>
      <c r="P4100">
        <v>0.79097410000000001</v>
      </c>
      <c r="Q4100">
        <v>-3.66739E-3</v>
      </c>
      <c r="R4100">
        <v>-0.61183869999999996</v>
      </c>
      <c r="S4100">
        <v>3.142944</v>
      </c>
      <c r="T4100">
        <v>-0.17949219999999999</v>
      </c>
      <c r="U4100">
        <v>-0.84523009999999998</v>
      </c>
      <c r="V4100">
        <v>-9.6064170000000004E-2</v>
      </c>
      <c r="W4100">
        <v>8.5174659999999996E-3</v>
      </c>
      <c r="X4100">
        <v>0.99533870000000002</v>
      </c>
      <c r="Y4100">
        <v>-0.47074650000000001</v>
      </c>
      <c r="Z4100">
        <v>4.7781659999999997E-2</v>
      </c>
      <c r="AA4100">
        <v>0.88097369999999997</v>
      </c>
      <c r="AB4100">
        <v>8</v>
      </c>
      <c r="AC4100">
        <v>0.81809999999995797</v>
      </c>
      <c r="AD4100">
        <v>-4.9995999999999902E-2</v>
      </c>
      <c r="AE4100">
        <v>-0.188299999999998</v>
      </c>
      <c r="AF4100">
        <v>-0.42169781669287298</v>
      </c>
      <c r="AG4100">
        <v>-4.9995999999999902E-2</v>
      </c>
      <c r="AH4100">
        <v>0.72245603535076197</v>
      </c>
      <c r="AI4100">
        <v>93.420293520744494</v>
      </c>
      <c r="AJ4100">
        <v>120.27212290008799</v>
      </c>
      <c r="AK4100">
        <v>0.83801633136489495</v>
      </c>
      <c r="AL4100">
        <v>89.511979245101102</v>
      </c>
      <c r="AM4100">
        <v>95.512773004954795</v>
      </c>
      <c r="AN4100">
        <v>0.99999999985126997</v>
      </c>
    </row>
    <row r="4101" spans="1:40" x14ac:dyDescent="0.25">
      <c r="A4101" t="str">
        <f>"20190312154003249"</f>
        <v>20190312154003249</v>
      </c>
      <c r="B4101" t="str">
        <f>"1552376403240016"</f>
        <v>1552376403240016</v>
      </c>
      <c r="C4101" t="s">
        <v>40</v>
      </c>
      <c r="D4101">
        <v>4.1936710000000001</v>
      </c>
      <c r="E4101">
        <v>0.34295989999999998</v>
      </c>
      <c r="F4101" t="s">
        <v>41</v>
      </c>
      <c r="G4101">
        <v>-480.45</v>
      </c>
      <c r="H4101">
        <v>1.060635</v>
      </c>
      <c r="I4101">
        <v>220.31979999999999</v>
      </c>
      <c r="J4101">
        <v>-481.27690000000001</v>
      </c>
      <c r="K4101">
        <v>1.1115409999999999</v>
      </c>
      <c r="L4101">
        <v>220.50800000000001</v>
      </c>
      <c r="M4101">
        <v>0.73187150000000001</v>
      </c>
      <c r="N4101">
        <v>0</v>
      </c>
      <c r="O4101">
        <v>-0.68132910000000002</v>
      </c>
      <c r="P4101">
        <v>0.79314869999999904</v>
      </c>
      <c r="Q4101">
        <v>-4.292293E-3</v>
      </c>
      <c r="R4101">
        <v>-0.60901300000000003</v>
      </c>
      <c r="S4101">
        <v>3.1423030000000001</v>
      </c>
      <c r="T4101">
        <v>-0.18019009999999999</v>
      </c>
      <c r="U4101">
        <v>-0.83978269999999899</v>
      </c>
      <c r="V4101">
        <v>-9.4706750000000006E-2</v>
      </c>
      <c r="W4101">
        <v>7.8136769999999998E-3</v>
      </c>
      <c r="X4101">
        <v>0.99547459999999999</v>
      </c>
      <c r="Y4101">
        <v>-0.46777360000000001</v>
      </c>
      <c r="Z4101">
        <v>4.7772099999999998E-2</v>
      </c>
      <c r="AA4101">
        <v>0.88255640000000002</v>
      </c>
      <c r="AB4101">
        <v>8</v>
      </c>
      <c r="AC4101">
        <v>0.82690000000002295</v>
      </c>
      <c r="AD4101">
        <v>-5.0905999999999799E-2</v>
      </c>
      <c r="AE4101">
        <v>-0.18819999999999401</v>
      </c>
      <c r="AF4101">
        <v>-0.42415739836203098</v>
      </c>
      <c r="AG4101">
        <v>-5.0905999999999799E-2</v>
      </c>
      <c r="AH4101">
        <v>0.73083403632148403</v>
      </c>
      <c r="AI4101">
        <v>93.447541066795296</v>
      </c>
      <c r="AJ4101">
        <v>120.129784215792</v>
      </c>
      <c r="AK4101">
        <v>0.84653370167241404</v>
      </c>
      <c r="AL4101">
        <v>89.552304752452301</v>
      </c>
      <c r="AM4101">
        <v>95.434607852832897</v>
      </c>
      <c r="AN4101">
        <v>1.0000000506444899</v>
      </c>
    </row>
    <row r="4102" spans="1:40" x14ac:dyDescent="0.25">
      <c r="A4102" t="str">
        <f>"20190312154003272"</f>
        <v>20190312154003272</v>
      </c>
      <c r="B4102" t="str">
        <f>"1552376403259535"</f>
        <v>1552376403259535</v>
      </c>
      <c r="C4102" t="s">
        <v>40</v>
      </c>
      <c r="D4102">
        <v>4.2478449999999999</v>
      </c>
      <c r="E4102">
        <v>0.32568960000000002</v>
      </c>
      <c r="F4102" t="s">
        <v>41</v>
      </c>
      <c r="G4102">
        <v>-480.38479999999998</v>
      </c>
      <c r="H4102">
        <v>1.0602819999999999</v>
      </c>
      <c r="I4102">
        <v>220.27379999999999</v>
      </c>
      <c r="J4102">
        <v>-481.21469999999999</v>
      </c>
      <c r="K4102">
        <v>1.1115569999999999</v>
      </c>
      <c r="L4102">
        <v>220.45820000000001</v>
      </c>
      <c r="M4102">
        <v>0.73528609999999905</v>
      </c>
      <c r="N4102">
        <v>0</v>
      </c>
      <c r="O4102">
        <v>-0.67764349999999995</v>
      </c>
      <c r="P4102">
        <v>0.79546819999999996</v>
      </c>
      <c r="Q4102">
        <v>-4.7636400000000004E-3</v>
      </c>
      <c r="R4102">
        <v>-0.60597690000000004</v>
      </c>
      <c r="S4102">
        <v>3.1470030000000002</v>
      </c>
      <c r="T4102">
        <v>-0.18083089999999999</v>
      </c>
      <c r="U4102">
        <v>-0.82624819999999999</v>
      </c>
      <c r="V4102">
        <v>-9.350704E-2</v>
      </c>
      <c r="W4102">
        <v>7.3001380000000003E-3</v>
      </c>
      <c r="X4102">
        <v>0.99559189999999997</v>
      </c>
      <c r="Y4102">
        <v>-0.46720640000000002</v>
      </c>
      <c r="Z4102">
        <v>4.7754520000000002E-2</v>
      </c>
      <c r="AA4102">
        <v>0.88285769999999997</v>
      </c>
      <c r="AB4102">
        <v>8</v>
      </c>
      <c r="AC4102">
        <v>0.82990000000000896</v>
      </c>
      <c r="AD4102">
        <v>-5.1274999999999897E-2</v>
      </c>
      <c r="AE4102">
        <v>-0.18440000000001</v>
      </c>
      <c r="AF4102">
        <v>-0.42527533500298198</v>
      </c>
      <c r="AG4102">
        <v>-5.1274999999999897E-2</v>
      </c>
      <c r="AH4102">
        <v>0.73256300877388802</v>
      </c>
      <c r="AI4102">
        <v>93.464060058235205</v>
      </c>
      <c r="AJ4102">
        <v>120.136481827005</v>
      </c>
      <c r="AK4102">
        <v>0.84860874259622698</v>
      </c>
      <c r="AL4102">
        <v>89.581729206397895</v>
      </c>
      <c r="AM4102">
        <v>95.365540138020805</v>
      </c>
      <c r="AN4102">
        <v>1.00000004494499</v>
      </c>
    </row>
    <row r="4103" spans="1:40" x14ac:dyDescent="0.25">
      <c r="A4103" t="str">
        <f>"20190312154003294"</f>
        <v>20190312154003294</v>
      </c>
      <c r="B4103" t="str">
        <f>"1552376403289792"</f>
        <v>1552376403289792</v>
      </c>
      <c r="C4103" t="s">
        <v>40</v>
      </c>
      <c r="D4103">
        <v>4.2139419999999896</v>
      </c>
      <c r="E4103">
        <v>0.32971089999999997</v>
      </c>
      <c r="F4103" t="s">
        <v>41</v>
      </c>
      <c r="G4103">
        <v>-480.36989999999997</v>
      </c>
      <c r="H4103">
        <v>1.0488949999999999</v>
      </c>
      <c r="I4103">
        <v>220.2747</v>
      </c>
      <c r="J4103">
        <v>-481.15379999999999</v>
      </c>
      <c r="K4103">
        <v>1.1115710000000001</v>
      </c>
      <c r="L4103">
        <v>220.41</v>
      </c>
      <c r="M4103">
        <v>0.7386258</v>
      </c>
      <c r="N4103">
        <v>0</v>
      </c>
      <c r="O4103">
        <v>-0.67400190000000004</v>
      </c>
      <c r="P4103">
        <v>0.7975312</v>
      </c>
      <c r="Q4103">
        <v>-5.149247E-3</v>
      </c>
      <c r="R4103">
        <v>-0.6032556</v>
      </c>
      <c r="S4103">
        <v>3.2348629999999998</v>
      </c>
      <c r="T4103">
        <v>-0.23990929999999999</v>
      </c>
      <c r="U4103">
        <v>-0.70236209999999999</v>
      </c>
      <c r="V4103">
        <v>-9.198568E-2</v>
      </c>
      <c r="W4103">
        <v>6.9005580000000002E-3</v>
      </c>
      <c r="X4103">
        <v>0.99573639999999997</v>
      </c>
      <c r="Y4103">
        <v>-0.49926330000000002</v>
      </c>
      <c r="Z4103">
        <v>6.3076729999999998E-2</v>
      </c>
      <c r="AA4103">
        <v>0.86415140000000001</v>
      </c>
      <c r="AB4103">
        <v>8</v>
      </c>
      <c r="AC4103">
        <v>0.78390000000001603</v>
      </c>
      <c r="AD4103">
        <v>-6.2675999999999704E-2</v>
      </c>
      <c r="AE4103">
        <v>-0.1353</v>
      </c>
      <c r="AF4103">
        <v>-0.42580360313384202</v>
      </c>
      <c r="AG4103">
        <v>-6.2675999999999704E-2</v>
      </c>
      <c r="AH4103">
        <v>0.66611754654116995</v>
      </c>
      <c r="AI4103">
        <v>94.532826683870397</v>
      </c>
      <c r="AJ4103">
        <v>122.58801246156401</v>
      </c>
      <c r="AK4103">
        <v>0.79306341185796203</v>
      </c>
      <c r="AL4103">
        <v>89.604624004808002</v>
      </c>
      <c r="AM4103">
        <v>95.277978256986898</v>
      </c>
      <c r="AN4103">
        <v>0.99999998065536599</v>
      </c>
    </row>
    <row r="4104" spans="1:40" x14ac:dyDescent="0.25">
      <c r="A4104" t="str">
        <f>"20190312154003316"</f>
        <v>20190312154003316</v>
      </c>
      <c r="B4104" t="str">
        <f>"1552376403310287"</f>
        <v>1552376403310287</v>
      </c>
      <c r="C4104" t="s">
        <v>40</v>
      </c>
      <c r="D4104">
        <v>4.2036410000000002</v>
      </c>
      <c r="E4104">
        <v>0.33101910000000001</v>
      </c>
      <c r="F4104" t="s">
        <v>41</v>
      </c>
      <c r="G4104">
        <v>-480.31909999999999</v>
      </c>
      <c r="H4104">
        <v>1.0462750000000001</v>
      </c>
      <c r="I4104">
        <v>220.2244</v>
      </c>
      <c r="J4104">
        <v>-481.09449999999998</v>
      </c>
      <c r="K4104">
        <v>1.1115729999999999</v>
      </c>
      <c r="L4104">
        <v>220.36369999999999</v>
      </c>
      <c r="M4104">
        <v>0.74187119999999995</v>
      </c>
      <c r="N4104">
        <v>0</v>
      </c>
      <c r="O4104">
        <v>-0.67042849999999998</v>
      </c>
      <c r="P4104">
        <v>0.79920999999999998</v>
      </c>
      <c r="Q4104">
        <v>-5.8095009999999999E-3</v>
      </c>
      <c r="R4104">
        <v>-0.601024</v>
      </c>
      <c r="S4104">
        <v>3.2181700000000002</v>
      </c>
      <c r="T4104">
        <v>-0.25181310000000001</v>
      </c>
      <c r="U4104">
        <v>-0.71633910000000001</v>
      </c>
      <c r="V4104">
        <v>-8.9957049999999997E-2</v>
      </c>
      <c r="W4104">
        <v>6.2277560000000001E-3</v>
      </c>
      <c r="X4104">
        <v>0.99592619999999998</v>
      </c>
      <c r="Y4104">
        <v>-0.49028290000000002</v>
      </c>
      <c r="Z4104">
        <v>6.5942890000000004E-2</v>
      </c>
      <c r="AA4104">
        <v>0.86906510000000003</v>
      </c>
      <c r="AB4104">
        <v>8</v>
      </c>
      <c r="AC4104">
        <v>0.77539999999998999</v>
      </c>
      <c r="AD4104">
        <v>-6.5297999999999801E-2</v>
      </c>
      <c r="AE4104">
        <v>-0.13929999999999099</v>
      </c>
      <c r="AF4104">
        <v>-0.41369733709547402</v>
      </c>
      <c r="AG4104">
        <v>-6.5297999999999801E-2</v>
      </c>
      <c r="AH4104">
        <v>0.66412618107391497</v>
      </c>
      <c r="AI4104">
        <v>94.770538705337103</v>
      </c>
      <c r="AJ4104">
        <v>121.919595120859</v>
      </c>
      <c r="AK4104">
        <v>0.78515788215600901</v>
      </c>
      <c r="AL4104">
        <v>89.643173567967693</v>
      </c>
      <c r="AM4104">
        <v>95.161236442604604</v>
      </c>
      <c r="AN4104">
        <v>1.00000002581796</v>
      </c>
    </row>
    <row r="4105" spans="1:40" x14ac:dyDescent="0.25">
      <c r="A4105" t="str">
        <f>"20190312154003339"</f>
        <v>20190312154003339</v>
      </c>
      <c r="B4105" t="str">
        <f>"1552376403329808"</f>
        <v>1552376403329808</v>
      </c>
      <c r="C4105" t="s">
        <v>40</v>
      </c>
      <c r="D4105">
        <v>4.2489749999999997</v>
      </c>
      <c r="E4105">
        <v>0.33183600000000002</v>
      </c>
      <c r="F4105" t="s">
        <v>41</v>
      </c>
      <c r="G4105">
        <v>-480.2527</v>
      </c>
      <c r="H4105">
        <v>1.044084</v>
      </c>
      <c r="I4105">
        <v>220.17609999999999</v>
      </c>
      <c r="J4105">
        <v>-481.0299</v>
      </c>
      <c r="K4105">
        <v>1.1115710000000001</v>
      </c>
      <c r="L4105">
        <v>220.31370000000001</v>
      </c>
      <c r="M4105">
        <v>0.7454115</v>
      </c>
      <c r="N4105">
        <v>0</v>
      </c>
      <c r="O4105">
        <v>-0.6664909</v>
      </c>
      <c r="P4105">
        <v>0.80137309999999995</v>
      </c>
      <c r="Q4105">
        <v>-6.7216309999999996E-3</v>
      </c>
      <c r="R4105">
        <v>-0.59812710000000002</v>
      </c>
      <c r="S4105">
        <v>3.213867</v>
      </c>
      <c r="T4105">
        <v>-0.25758259999999999</v>
      </c>
      <c r="U4105">
        <v>-0.71542359999999905</v>
      </c>
      <c r="V4105">
        <v>-8.8280529999999996E-2</v>
      </c>
      <c r="W4105">
        <v>5.2931699999999998E-3</v>
      </c>
      <c r="X4105">
        <v>0.99608160000000001</v>
      </c>
      <c r="Y4105">
        <v>-0.4855312</v>
      </c>
      <c r="Z4105">
        <v>6.7134050000000001E-2</v>
      </c>
      <c r="AA4105">
        <v>0.87163789999999997</v>
      </c>
      <c r="AB4105">
        <v>8</v>
      </c>
      <c r="AC4105">
        <v>0.77719999999999301</v>
      </c>
      <c r="AD4105">
        <v>-6.7486999999999797E-2</v>
      </c>
      <c r="AE4105">
        <v>-0.13760000000002001</v>
      </c>
      <c r="AF4105">
        <v>-0.412444256059874</v>
      </c>
      <c r="AG4105">
        <v>-6.7486999999999797E-2</v>
      </c>
      <c r="AH4105">
        <v>0.66622314032970897</v>
      </c>
      <c r="AI4105">
        <v>94.922673249863294</v>
      </c>
      <c r="AJ4105">
        <v>121.760748878285</v>
      </c>
      <c r="AK4105">
        <v>0.78645917391595199</v>
      </c>
      <c r="AL4105">
        <v>89.696722286116497</v>
      </c>
      <c r="AM4105">
        <v>95.064766020910994</v>
      </c>
      <c r="AN4105">
        <v>1.0000000117421399</v>
      </c>
    </row>
    <row r="4106" spans="1:40" x14ac:dyDescent="0.25">
      <c r="A4106" t="str">
        <f>"20190312154003361"</f>
        <v>20190312154003361</v>
      </c>
      <c r="B4106" t="str">
        <f>"1552376403350303"</f>
        <v>1552376403350303</v>
      </c>
      <c r="C4106" t="s">
        <v>40</v>
      </c>
      <c r="D4106">
        <v>4.221692</v>
      </c>
      <c r="E4106">
        <v>0.3325265</v>
      </c>
      <c r="F4106" t="s">
        <v>41</v>
      </c>
      <c r="G4106">
        <v>-480.14510000000001</v>
      </c>
      <c r="H4106">
        <v>1.037615</v>
      </c>
      <c r="I4106">
        <v>220.11850000000001</v>
      </c>
      <c r="J4106">
        <v>-480.96850000000001</v>
      </c>
      <c r="K4106">
        <v>1.111567</v>
      </c>
      <c r="L4106">
        <v>220.26689999999999</v>
      </c>
      <c r="M4106">
        <v>0.74875409999999998</v>
      </c>
      <c r="N4106">
        <v>0</v>
      </c>
      <c r="O4106">
        <v>-0.66273359999999903</v>
      </c>
      <c r="P4106">
        <v>0.80330029999999997</v>
      </c>
      <c r="Q4106">
        <v>-7.6267569999999996E-3</v>
      </c>
      <c r="R4106">
        <v>-0.59552539999999998</v>
      </c>
      <c r="S4106">
        <v>3.2125240000000002</v>
      </c>
      <c r="T4106">
        <v>-0.26850220000000002</v>
      </c>
      <c r="U4106">
        <v>-0.70845029999999998</v>
      </c>
      <c r="V4106">
        <v>-8.6492050000000001E-2</v>
      </c>
      <c r="W4106">
        <v>4.373839E-3</v>
      </c>
      <c r="X4106">
        <v>0.99624290000000004</v>
      </c>
      <c r="Y4106">
        <v>-0.48260760000000003</v>
      </c>
      <c r="Z4106">
        <v>6.9685090000000005E-2</v>
      </c>
      <c r="AA4106">
        <v>0.87305999999999995</v>
      </c>
      <c r="AB4106">
        <v>8</v>
      </c>
      <c r="AC4106">
        <v>0.82339999999999203</v>
      </c>
      <c r="AD4106">
        <v>-7.3952000000000004E-2</v>
      </c>
      <c r="AE4106">
        <v>-0.14839999999998099</v>
      </c>
      <c r="AF4106">
        <v>-0.43124352244804398</v>
      </c>
      <c r="AG4106">
        <v>-7.3952000000000004E-2</v>
      </c>
      <c r="AH4106">
        <v>0.70938579374668598</v>
      </c>
      <c r="AI4106">
        <v>95.090440676094403</v>
      </c>
      <c r="AJ4106">
        <v>121.295883753339</v>
      </c>
      <c r="AK4106">
        <v>0.833467502861997</v>
      </c>
      <c r="AL4106">
        <v>89.7493966760982</v>
      </c>
      <c r="AM4106">
        <v>94.961876837358005</v>
      </c>
      <c r="AN4106">
        <v>0.99999996049060402</v>
      </c>
    </row>
    <row r="4107" spans="1:40" x14ac:dyDescent="0.25">
      <c r="A4107" t="str">
        <f>"20190312154003385"</f>
        <v>20190312154003385</v>
      </c>
      <c r="B4107" t="str">
        <f>"1552376403379583"</f>
        <v>1552376403379583</v>
      </c>
      <c r="C4107" t="s">
        <v>40</v>
      </c>
      <c r="D4107">
        <v>4.1403919999999896</v>
      </c>
      <c r="E4107">
        <v>0.33158579999999999</v>
      </c>
      <c r="F4107" t="s">
        <v>41</v>
      </c>
      <c r="G4107">
        <v>-480.09129999999999</v>
      </c>
      <c r="H4107">
        <v>1.037776</v>
      </c>
      <c r="I4107">
        <v>220.0752</v>
      </c>
      <c r="J4107">
        <v>-480.90260000000001</v>
      </c>
      <c r="K4107">
        <v>1.1115549999999901</v>
      </c>
      <c r="L4107">
        <v>220.21709999999999</v>
      </c>
      <c r="M4107">
        <v>0.75232339999999998</v>
      </c>
      <c r="N4107">
        <v>0</v>
      </c>
      <c r="O4107">
        <v>-0.65867919999999902</v>
      </c>
      <c r="P4107">
        <v>0.80529790000000001</v>
      </c>
      <c r="Q4107">
        <v>-7.5078089999999998E-3</v>
      </c>
      <c r="R4107">
        <v>-0.59282279999999998</v>
      </c>
      <c r="S4107">
        <v>3.2113040000000002</v>
      </c>
      <c r="T4107">
        <v>-0.27018890000000001</v>
      </c>
      <c r="U4107">
        <v>-0.70246889999999995</v>
      </c>
      <c r="V4107">
        <v>-8.4458630000000007E-2</v>
      </c>
      <c r="W4107">
        <v>4.4868470000000004E-3</v>
      </c>
      <c r="X4107">
        <v>0.99641690000000005</v>
      </c>
      <c r="Y4107">
        <v>-0.47933389999999998</v>
      </c>
      <c r="Z4107">
        <v>6.9793960000000002E-2</v>
      </c>
      <c r="AA4107">
        <v>0.87485299999999999</v>
      </c>
      <c r="AB4107">
        <v>8</v>
      </c>
      <c r="AC4107">
        <v>0.81130000000001701</v>
      </c>
      <c r="AD4107">
        <v>-7.3778999999999803E-2</v>
      </c>
      <c r="AE4107">
        <v>-0.141899999999992</v>
      </c>
      <c r="AF4107">
        <v>-0.42425962423317798</v>
      </c>
      <c r="AG4107">
        <v>-7.3778999999999803E-2</v>
      </c>
      <c r="AH4107">
        <v>0.69827647900138301</v>
      </c>
      <c r="AI4107">
        <v>95.159712110617406</v>
      </c>
      <c r="AJ4107">
        <v>121.28207663149399</v>
      </c>
      <c r="AK4107">
        <v>0.820383819149334</v>
      </c>
      <c r="AL4107">
        <v>89.742921744930698</v>
      </c>
      <c r="AM4107">
        <v>94.844943520457704</v>
      </c>
      <c r="AN4107">
        <v>1.00000001529154</v>
      </c>
    </row>
    <row r="4108" spans="1:40" x14ac:dyDescent="0.25">
      <c r="A4108" t="str">
        <f>"20190312154003406"</f>
        <v>20190312154003406</v>
      </c>
      <c r="B4108" t="str">
        <f>"1552376403400079"</f>
        <v>1552376403400079</v>
      </c>
      <c r="C4108" t="s">
        <v>40</v>
      </c>
      <c r="D4108">
        <v>4.0652790000000003</v>
      </c>
      <c r="E4108">
        <v>0.3307233</v>
      </c>
      <c r="F4108" t="s">
        <v>41</v>
      </c>
      <c r="G4108">
        <v>-480.03620000000001</v>
      </c>
      <c r="H4108">
        <v>1.044869</v>
      </c>
      <c r="I4108">
        <v>220.03200000000001</v>
      </c>
      <c r="J4108">
        <v>-480.84050000000002</v>
      </c>
      <c r="K4108">
        <v>1.111545</v>
      </c>
      <c r="L4108">
        <v>220.17080000000001</v>
      </c>
      <c r="M4108">
        <v>0.7556638</v>
      </c>
      <c r="N4108">
        <v>0</v>
      </c>
      <c r="O4108">
        <v>-0.65484489999999995</v>
      </c>
      <c r="P4108">
        <v>0.80729150000000005</v>
      </c>
      <c r="Q4108">
        <v>-7.280229E-3</v>
      </c>
      <c r="R4108">
        <v>-0.59010830000000003</v>
      </c>
      <c r="S4108">
        <v>3.2178040000000001</v>
      </c>
      <c r="T4108">
        <v>-0.2475926</v>
      </c>
      <c r="U4108">
        <v>-0.68637079999999995</v>
      </c>
      <c r="V4108">
        <v>-8.2747970000000004E-2</v>
      </c>
      <c r="W4108">
        <v>4.7104820000000002E-3</v>
      </c>
      <c r="X4108">
        <v>0.99655939999999998</v>
      </c>
      <c r="Y4108">
        <v>-0.47998489999999999</v>
      </c>
      <c r="Z4108">
        <v>6.3718650000000002E-2</v>
      </c>
      <c r="AA4108">
        <v>0.87495970000000001</v>
      </c>
      <c r="AB4108">
        <v>8</v>
      </c>
      <c r="AC4108">
        <v>0.80430000000001201</v>
      </c>
      <c r="AD4108">
        <v>-6.6675999999999902E-2</v>
      </c>
      <c r="AE4108">
        <v>-0.138800000000003</v>
      </c>
      <c r="AF4108">
        <v>-0.41904083970163802</v>
      </c>
      <c r="AG4108">
        <v>-6.6675999999999902E-2</v>
      </c>
      <c r="AH4108">
        <v>0.69409332735574003</v>
      </c>
      <c r="AI4108">
        <v>94.701258159843306</v>
      </c>
      <c r="AJ4108">
        <v>121.12039053440201</v>
      </c>
      <c r="AK4108">
        <v>0.81351488086796298</v>
      </c>
      <c r="AL4108">
        <v>89.730108270972707</v>
      </c>
      <c r="AM4108">
        <v>94.746589414374697</v>
      </c>
      <c r="AN4108">
        <v>1.00000002645407</v>
      </c>
    </row>
    <row r="4109" spans="1:40" x14ac:dyDescent="0.25">
      <c r="A4109" t="str">
        <f>"20190312154003429"</f>
        <v>20190312154003429</v>
      </c>
      <c r="B4109" t="str">
        <f>"1552376403419600"</f>
        <v>1552376403419600</v>
      </c>
      <c r="C4109" t="s">
        <v>40</v>
      </c>
      <c r="D4109">
        <v>4.1430819999999997</v>
      </c>
      <c r="E4109">
        <v>0.33008280000000001</v>
      </c>
      <c r="F4109" t="s">
        <v>41</v>
      </c>
      <c r="G4109">
        <v>-479.98050000000001</v>
      </c>
      <c r="H4109">
        <v>1.0502209999999901</v>
      </c>
      <c r="I4109">
        <v>219.99209999999999</v>
      </c>
      <c r="J4109">
        <v>-480.77910000000003</v>
      </c>
      <c r="K4109">
        <v>1.1115409999999999</v>
      </c>
      <c r="L4109">
        <v>220.12540000000001</v>
      </c>
      <c r="M4109">
        <v>0.75895400000000002</v>
      </c>
      <c r="N4109">
        <v>0</v>
      </c>
      <c r="O4109">
        <v>-0.65102879999999996</v>
      </c>
      <c r="P4109">
        <v>0.80943940000000003</v>
      </c>
      <c r="Q4109">
        <v>-7.2398949999999997E-3</v>
      </c>
      <c r="R4109">
        <v>-0.58715899999999999</v>
      </c>
      <c r="S4109">
        <v>3.224091</v>
      </c>
      <c r="T4109">
        <v>-0.22994239999999999</v>
      </c>
      <c r="U4109">
        <v>-0.6702728</v>
      </c>
      <c r="V4109">
        <v>-8.1362199999999996E-2</v>
      </c>
      <c r="W4109">
        <v>4.7452909999999996E-3</v>
      </c>
      <c r="X4109">
        <v>0.99667329999999998</v>
      </c>
      <c r="Y4109">
        <v>-0.48050359999999998</v>
      </c>
      <c r="Z4109">
        <v>5.8948390000000003E-2</v>
      </c>
      <c r="AA4109">
        <v>0.87500940000000005</v>
      </c>
      <c r="AB4109">
        <v>8</v>
      </c>
      <c r="AC4109">
        <v>0.79860000000002096</v>
      </c>
      <c r="AD4109">
        <v>-6.132E-2</v>
      </c>
      <c r="AE4109">
        <v>-0.13330000000001899</v>
      </c>
      <c r="AF4109">
        <v>-0.41638610752280403</v>
      </c>
      <c r="AG4109">
        <v>-6.132E-2</v>
      </c>
      <c r="AH4109">
        <v>0.68898286491882099</v>
      </c>
      <c r="AI4109">
        <v>94.355864830432907</v>
      </c>
      <c r="AJ4109">
        <v>121.14662527834101</v>
      </c>
      <c r="AK4109">
        <v>0.80736294260372099</v>
      </c>
      <c r="AL4109">
        <v>89.728113831707304</v>
      </c>
      <c r="AM4109">
        <v>94.666922004357303</v>
      </c>
      <c r="AN4109">
        <v>0.99999999615420199</v>
      </c>
    </row>
    <row r="4110" spans="1:40" x14ac:dyDescent="0.25">
      <c r="A4110" t="str">
        <f>"20190312154003452"</f>
        <v>20190312154003452</v>
      </c>
      <c r="B4110" t="str">
        <f>"1552376403449856"</f>
        <v>1552376403449856</v>
      </c>
      <c r="C4110" t="s">
        <v>40</v>
      </c>
      <c r="D4110">
        <v>4.1233219999999999</v>
      </c>
      <c r="E4110">
        <v>0.32888859999999998</v>
      </c>
      <c r="F4110" t="s">
        <v>41</v>
      </c>
      <c r="G4110">
        <v>-479.9212</v>
      </c>
      <c r="H4110">
        <v>1.0541430000000001</v>
      </c>
      <c r="I4110">
        <v>219.9513</v>
      </c>
      <c r="J4110">
        <v>-480.7133</v>
      </c>
      <c r="K4110">
        <v>1.1115330000000001</v>
      </c>
      <c r="L4110">
        <v>220.07740000000001</v>
      </c>
      <c r="M4110">
        <v>0.76245209999999997</v>
      </c>
      <c r="N4110">
        <v>0</v>
      </c>
      <c r="O4110">
        <v>-0.64692879999999997</v>
      </c>
      <c r="P4110">
        <v>0.81179460000000003</v>
      </c>
      <c r="Q4110">
        <v>-7.5369499999999997E-3</v>
      </c>
      <c r="R4110">
        <v>-0.58389499999999905</v>
      </c>
      <c r="S4110">
        <v>3.229279</v>
      </c>
      <c r="T4110">
        <v>-0.21601770000000001</v>
      </c>
      <c r="U4110">
        <v>-0.65486149999999999</v>
      </c>
      <c r="V4110">
        <v>-8.0000630000000003E-2</v>
      </c>
      <c r="W4110">
        <v>4.4420249999999996E-3</v>
      </c>
      <c r="X4110">
        <v>0.99678489999999997</v>
      </c>
      <c r="Y4110">
        <v>-0.48036719999999999</v>
      </c>
      <c r="Z4110">
        <v>5.5140790000000002E-2</v>
      </c>
      <c r="AA4110">
        <v>0.87533240000000001</v>
      </c>
      <c r="AB4110">
        <v>8</v>
      </c>
      <c r="AC4110">
        <v>0.79210000000000402</v>
      </c>
      <c r="AD4110">
        <v>-5.7389999999999802E-2</v>
      </c>
      <c r="AE4110">
        <v>-0.12610000000000801</v>
      </c>
      <c r="AF4110">
        <v>-0.41419774111700097</v>
      </c>
      <c r="AG4110">
        <v>-5.7389999999999802E-2</v>
      </c>
      <c r="AH4110">
        <v>0.68207541420906503</v>
      </c>
      <c r="AI4110">
        <v>94.113531245929806</v>
      </c>
      <c r="AJ4110">
        <v>121.268673850242</v>
      </c>
      <c r="AK4110">
        <v>0.80005015562456705</v>
      </c>
      <c r="AL4110">
        <v>89.745489874109694</v>
      </c>
      <c r="AM4110">
        <v>94.588647386789901</v>
      </c>
      <c r="AN4110">
        <v>0.99999998462725304</v>
      </c>
    </row>
    <row r="4111" spans="1:40" x14ac:dyDescent="0.25">
      <c r="A4111" t="str">
        <f>"20190312154003474"</f>
        <v>20190312154003474</v>
      </c>
      <c r="B4111" t="str">
        <f>"1552376403469376"</f>
        <v>1552376403469376</v>
      </c>
      <c r="C4111" t="s">
        <v>40</v>
      </c>
      <c r="D4111">
        <v>4.0972949999999999</v>
      </c>
      <c r="E4111">
        <v>0.32817220000000002</v>
      </c>
      <c r="F4111" t="s">
        <v>41</v>
      </c>
      <c r="G4111">
        <v>-479.85489999999999</v>
      </c>
      <c r="H4111">
        <v>1.0606249999999999</v>
      </c>
      <c r="I4111">
        <v>219.9092</v>
      </c>
      <c r="J4111">
        <v>-480.65219999999999</v>
      </c>
      <c r="K4111">
        <v>1.1115409999999999</v>
      </c>
      <c r="L4111">
        <v>220.0334</v>
      </c>
      <c r="M4111">
        <v>0.76567799999999997</v>
      </c>
      <c r="N4111">
        <v>0</v>
      </c>
      <c r="O4111">
        <v>-0.64310769999999995</v>
      </c>
      <c r="P4111">
        <v>0.81420269999999995</v>
      </c>
      <c r="Q4111">
        <v>-7.2735339999999999E-3</v>
      </c>
      <c r="R4111">
        <v>-0.58053580000000005</v>
      </c>
      <c r="S4111">
        <v>3.2372130000000001</v>
      </c>
      <c r="T4111">
        <v>-0.19200719999999999</v>
      </c>
      <c r="U4111">
        <v>-0.63476560000000004</v>
      </c>
      <c r="V4111">
        <v>-7.9136899999999996E-2</v>
      </c>
      <c r="W4111">
        <v>4.7014229999999997E-3</v>
      </c>
      <c r="X4111">
        <v>0.99685270000000004</v>
      </c>
      <c r="Y4111">
        <v>-0.48208960000000001</v>
      </c>
      <c r="Z4111">
        <v>4.8840019999999998E-2</v>
      </c>
      <c r="AA4111">
        <v>0.87475959999999997</v>
      </c>
      <c r="AB4111">
        <v>8</v>
      </c>
      <c r="AC4111">
        <v>0.797300000000007</v>
      </c>
      <c r="AD4111">
        <v>-5.0915999999999899E-2</v>
      </c>
      <c r="AE4111">
        <v>-0.124200000000001</v>
      </c>
      <c r="AF4111">
        <v>-0.41602738950941098</v>
      </c>
      <c r="AG4111">
        <v>-5.0915999999999899E-2</v>
      </c>
      <c r="AH4111">
        <v>0.68766275547883404</v>
      </c>
      <c r="AI4111">
        <v>93.624887252698201</v>
      </c>
      <c r="AJ4111">
        <v>121.17341501542801</v>
      </c>
      <c r="AK4111">
        <v>0.80532682381177301</v>
      </c>
      <c r="AL4111">
        <v>89.730627319834198</v>
      </c>
      <c r="AM4111">
        <v>94.539006593634596</v>
      </c>
      <c r="AN4111">
        <v>1.00000002890856</v>
      </c>
    </row>
    <row r="4112" spans="1:40" x14ac:dyDescent="0.25">
      <c r="A4112" t="str">
        <f>"20190312154003496"</f>
        <v>20190312154003496</v>
      </c>
      <c r="B4112" t="str">
        <f>"1552376403489871"</f>
        <v>1552376403489871</v>
      </c>
      <c r="C4112" t="s">
        <v>40</v>
      </c>
      <c r="D4112">
        <v>4.1081919999999998</v>
      </c>
      <c r="E4112">
        <v>0.328343</v>
      </c>
      <c r="F4112" t="s">
        <v>41</v>
      </c>
      <c r="G4112">
        <v>-479.79169999999999</v>
      </c>
      <c r="H4112">
        <v>1.065421</v>
      </c>
      <c r="I4112">
        <v>219.86930000000001</v>
      </c>
      <c r="J4112">
        <v>-480.5908</v>
      </c>
      <c r="K4112">
        <v>1.111548</v>
      </c>
      <c r="L4112">
        <v>219.98949999999999</v>
      </c>
      <c r="M4112">
        <v>0.76891290000000001</v>
      </c>
      <c r="N4112">
        <v>0</v>
      </c>
      <c r="O4112">
        <v>-0.63923660000000004</v>
      </c>
      <c r="P4112">
        <v>0.81670149999999997</v>
      </c>
      <c r="Q4112">
        <v>-6.2254149999999998E-3</v>
      </c>
      <c r="R4112">
        <v>-0.57702739999999997</v>
      </c>
      <c r="S4112">
        <v>3.243042</v>
      </c>
      <c r="T4112">
        <v>-0.1737349</v>
      </c>
      <c r="U4112">
        <v>-0.61708069999999904</v>
      </c>
      <c r="V4112">
        <v>-7.84049E-2</v>
      </c>
      <c r="W4112">
        <v>5.7485430000000001E-3</v>
      </c>
      <c r="X4112">
        <v>0.99690500000000004</v>
      </c>
      <c r="Y4112">
        <v>-0.48288320000000001</v>
      </c>
      <c r="Z4112">
        <v>4.4028030000000003E-2</v>
      </c>
      <c r="AA4112">
        <v>0.87457719999999906</v>
      </c>
      <c r="AB4112">
        <v>8</v>
      </c>
      <c r="AC4112">
        <v>0.79910000000000903</v>
      </c>
      <c r="AD4112">
        <v>-4.6127000000000001E-2</v>
      </c>
      <c r="AE4112">
        <v>-0.120199999999982</v>
      </c>
      <c r="AF4112">
        <v>-0.41706300190330298</v>
      </c>
      <c r="AG4112">
        <v>-4.6127000000000001E-2</v>
      </c>
      <c r="AH4112">
        <v>0.68908098962778197</v>
      </c>
      <c r="AI4112">
        <v>93.277607751702007</v>
      </c>
      <c r="AJ4112">
        <v>121.184224078398</v>
      </c>
      <c r="AK4112">
        <v>0.80678488951640503</v>
      </c>
      <c r="AL4112">
        <v>89.670630925971196</v>
      </c>
      <c r="AM4112">
        <v>94.496959780230299</v>
      </c>
      <c r="AN4112">
        <v>0.99999997655781603</v>
      </c>
    </row>
    <row r="4113" spans="1:40" x14ac:dyDescent="0.25">
      <c r="A4113" t="str">
        <f>"20190312154003518"</f>
        <v>20190312154003518</v>
      </c>
      <c r="B4113" t="str">
        <f>"1552376403509392"</f>
        <v>1552376403509392</v>
      </c>
      <c r="C4113" t="s">
        <v>40</v>
      </c>
      <c r="D4113">
        <v>4.2294280000000004</v>
      </c>
      <c r="E4113">
        <v>0.32886870000000001</v>
      </c>
      <c r="F4113" t="s">
        <v>41</v>
      </c>
      <c r="G4113">
        <v>-479.71379999999999</v>
      </c>
      <c r="H4113">
        <v>1.0672090000000001</v>
      </c>
      <c r="I4113">
        <v>219.8263</v>
      </c>
      <c r="J4113">
        <v>-480.52690000000001</v>
      </c>
      <c r="K4113">
        <v>1.111561</v>
      </c>
      <c r="L4113">
        <v>219.94450000000001</v>
      </c>
      <c r="M4113">
        <v>0.77226280000000003</v>
      </c>
      <c r="N4113">
        <v>0</v>
      </c>
      <c r="O4113">
        <v>-0.63518549999999996</v>
      </c>
      <c r="P4113">
        <v>0.81971709999999998</v>
      </c>
      <c r="Q4113">
        <v>-4.8833430000000001E-3</v>
      </c>
      <c r="R4113">
        <v>-0.57274849999999999</v>
      </c>
      <c r="S4113">
        <v>3.245117</v>
      </c>
      <c r="T4113">
        <v>-0.16408349999999999</v>
      </c>
      <c r="U4113">
        <v>-0.6042786</v>
      </c>
      <c r="V4113">
        <v>-7.8387600000000002E-2</v>
      </c>
      <c r="W4113">
        <v>7.0879519999999998E-3</v>
      </c>
      <c r="X4113">
        <v>0.99689779999999995</v>
      </c>
      <c r="Y4113">
        <v>-0.48187239999999998</v>
      </c>
      <c r="Z4113">
        <v>4.1407899999999997E-2</v>
      </c>
      <c r="AA4113">
        <v>0.8752624</v>
      </c>
      <c r="AB4113">
        <v>8</v>
      </c>
      <c r="AC4113">
        <v>0.81310000000001903</v>
      </c>
      <c r="AD4113">
        <v>-4.4351999999999898E-2</v>
      </c>
      <c r="AE4113">
        <v>-0.118200000000001</v>
      </c>
      <c r="AF4113">
        <v>-0.42398426764667502</v>
      </c>
      <c r="AG4113">
        <v>-4.4351999999999898E-2</v>
      </c>
      <c r="AH4113">
        <v>0.70101577692444905</v>
      </c>
      <c r="AI4113">
        <v>93.098779909315198</v>
      </c>
      <c r="AJ4113">
        <v>121.16614275287699</v>
      </c>
      <c r="AK4113">
        <v>0.820458943892305</v>
      </c>
      <c r="AL4113">
        <v>89.593886880451706</v>
      </c>
      <c r="AM4113">
        <v>94.496003935615704</v>
      </c>
      <c r="AN4113">
        <v>1.00000003927107</v>
      </c>
    </row>
    <row r="4114" spans="1:40" x14ac:dyDescent="0.25">
      <c r="A4114" t="str">
        <f>"20190312154003673"</f>
        <v>20190312154003673</v>
      </c>
      <c r="B4114" t="str">
        <f>"1552376403669455"</f>
        <v>1552376403669455</v>
      </c>
      <c r="C4114" t="s">
        <v>40</v>
      </c>
      <c r="D4114">
        <v>3.7042769999999998</v>
      </c>
      <c r="E4114">
        <v>0.43786320000000001</v>
      </c>
      <c r="F4114" t="s">
        <v>41</v>
      </c>
      <c r="G4114">
        <v>-479.63139999999999</v>
      </c>
      <c r="H4114">
        <v>1.067509</v>
      </c>
      <c r="I4114">
        <v>219.7816</v>
      </c>
      <c r="J4114">
        <v>-480.07979999999998</v>
      </c>
      <c r="K4114">
        <v>1.111621</v>
      </c>
      <c r="L4114">
        <v>219.64529999999999</v>
      </c>
      <c r="M4114">
        <v>0.79546399999999995</v>
      </c>
      <c r="N4114">
        <v>0</v>
      </c>
      <c r="O4114">
        <v>-0.60587679999999999</v>
      </c>
      <c r="P4114">
        <v>0.843174599999999</v>
      </c>
      <c r="Q4114">
        <v>-8.6124579999999999E-3</v>
      </c>
      <c r="R4114">
        <v>-0.53757089999999996</v>
      </c>
      <c r="S4114">
        <v>3.246216</v>
      </c>
      <c r="T4114">
        <v>-0.159695899999999</v>
      </c>
      <c r="U4114">
        <v>-0.59065249999999903</v>
      </c>
      <c r="V4114">
        <v>-8.3258769999999996E-2</v>
      </c>
      <c r="W4114">
        <v>3.3500769999999999E-3</v>
      </c>
      <c r="X4114">
        <v>0.99652229999999997</v>
      </c>
      <c r="Y4114">
        <v>-0.4526</v>
      </c>
      <c r="Z4114">
        <v>3.8513510000000001E-2</v>
      </c>
      <c r="AA4114">
        <v>0.89088149999999999</v>
      </c>
      <c r="AB4114">
        <v>8</v>
      </c>
      <c r="AC4114">
        <v>0.44839999999999203</v>
      </c>
      <c r="AD4114">
        <v>-4.4111999999999901E-2</v>
      </c>
      <c r="AE4114">
        <v>0.136300000000005</v>
      </c>
      <c r="AF4114">
        <v>-0.376787384058274</v>
      </c>
      <c r="AG4114">
        <v>-4.4111999999999901E-2</v>
      </c>
      <c r="AH4114">
        <v>0.27171840804089697</v>
      </c>
      <c r="AI4114">
        <v>95.424425677009395</v>
      </c>
      <c r="AJ4114">
        <v>144.202923412655</v>
      </c>
      <c r="AK4114">
        <v>0.46663207626325598</v>
      </c>
      <c r="AL4114">
        <v>89.808054362080497</v>
      </c>
      <c r="AM4114">
        <v>94.775931790329693</v>
      </c>
      <c r="AN4114">
        <v>0.99999997009755304</v>
      </c>
    </row>
    <row r="4115" spans="1:40" x14ac:dyDescent="0.25">
      <c r="A4115" t="str">
        <f>"20190312154003694"</f>
        <v>20190312154003694</v>
      </c>
      <c r="B4115" t="str">
        <f>"1552376403689952"</f>
        <v>1552376403689952</v>
      </c>
      <c r="C4115" t="s">
        <v>40</v>
      </c>
      <c r="D4115">
        <v>4.2645410000000004</v>
      </c>
      <c r="E4115">
        <v>0.4366314</v>
      </c>
      <c r="F4115" t="s">
        <v>54</v>
      </c>
      <c r="G4115">
        <v>-475.53129999999999</v>
      </c>
      <c r="H4115" s="1">
        <v>3.6432460000000001E-6</v>
      </c>
      <c r="I4115">
        <v>217.76679999999999</v>
      </c>
      <c r="J4115">
        <v>-480.01659999999998</v>
      </c>
      <c r="K4115">
        <v>1.1116360000000001</v>
      </c>
      <c r="L4115">
        <v>219.6052</v>
      </c>
      <c r="M4115">
        <v>0.79872310000000002</v>
      </c>
      <c r="N4115">
        <v>0</v>
      </c>
      <c r="O4115">
        <v>-0.60157369999999899</v>
      </c>
      <c r="P4115">
        <v>0.84692389999999995</v>
      </c>
      <c r="Q4115">
        <v>-9.6174720000000002E-3</v>
      </c>
      <c r="R4115">
        <v>-0.53162739999999997</v>
      </c>
      <c r="S4115">
        <v>2.8108219999999999</v>
      </c>
      <c r="T4115">
        <v>-0.68694390000000005</v>
      </c>
      <c r="U4115">
        <v>-1.1608889999999901</v>
      </c>
      <c r="V4115">
        <v>-8.4878319999999993E-2</v>
      </c>
      <c r="W4115">
        <v>2.3420469999999999E-3</v>
      </c>
      <c r="X4115">
        <v>0.99638859999999996</v>
      </c>
      <c r="Y4115">
        <v>-0.23296800000000001</v>
      </c>
      <c r="Z4115">
        <v>0.1547335</v>
      </c>
      <c r="AA4115">
        <v>0.96009549999999999</v>
      </c>
      <c r="AB4115">
        <v>8</v>
      </c>
      <c r="AC4115">
        <v>4.4852999999999899</v>
      </c>
      <c r="AD4115">
        <v>-1.1116323567540001</v>
      </c>
      <c r="AE4115">
        <v>-1.8384</v>
      </c>
      <c r="AF4115">
        <v>-1.1685074096444701</v>
      </c>
      <c r="AG4115">
        <v>-1.1116323567540001</v>
      </c>
      <c r="AH4115">
        <v>4.4545371649018</v>
      </c>
      <c r="AI4115">
        <v>103.57067802454</v>
      </c>
      <c r="AJ4115">
        <v>104.69857348272799</v>
      </c>
      <c r="AK4115">
        <v>4.7375138434064601</v>
      </c>
      <c r="AL4115">
        <v>89.865810472600401</v>
      </c>
      <c r="AM4115">
        <v>94.869041080766394</v>
      </c>
      <c r="AN4115">
        <v>1.0000000283000601</v>
      </c>
    </row>
    <row r="4116" spans="1:40" x14ac:dyDescent="0.25">
      <c r="A4116" t="str">
        <f>"20190312154003718"</f>
        <v>20190312154003718</v>
      </c>
      <c r="B4116" t="str">
        <f>"1552376403709471"</f>
        <v>1552376403709471</v>
      </c>
      <c r="C4116" t="s">
        <v>40</v>
      </c>
      <c r="D4116">
        <v>4.1061170000000002</v>
      </c>
      <c r="E4116">
        <v>0.43833870000000003</v>
      </c>
      <c r="F4116" t="s">
        <v>54</v>
      </c>
      <c r="G4116">
        <v>-474.35739999999998</v>
      </c>
      <c r="H4116" s="1">
        <v>4.1442820000000002E-6</v>
      </c>
      <c r="I4116">
        <v>217.3192</v>
      </c>
      <c r="J4116">
        <v>-479.94940000000003</v>
      </c>
      <c r="K4116">
        <v>1.11165</v>
      </c>
      <c r="L4116">
        <v>219.56319999999999</v>
      </c>
      <c r="M4116">
        <v>0.80218310000000004</v>
      </c>
      <c r="N4116">
        <v>0</v>
      </c>
      <c r="O4116">
        <v>-0.59695200000000004</v>
      </c>
      <c r="P4116">
        <v>0.85060089999999999</v>
      </c>
      <c r="Q4116">
        <v>-1.03099E-2</v>
      </c>
      <c r="R4116">
        <v>-0.52571119999999905</v>
      </c>
      <c r="S4116">
        <v>2.8206790000000002</v>
      </c>
      <c r="T4116">
        <v>-0.55405869999999902</v>
      </c>
      <c r="U4116">
        <v>-1.1394200000000001</v>
      </c>
      <c r="V4116">
        <v>-8.6063790000000001E-2</v>
      </c>
      <c r="W4116">
        <v>1.648727E-3</v>
      </c>
      <c r="X4116">
        <v>0.99628819999999996</v>
      </c>
      <c r="Y4116">
        <v>-0.24108789999999999</v>
      </c>
      <c r="Z4116">
        <v>0.1253068</v>
      </c>
      <c r="AA4116">
        <v>0.96237980000000001</v>
      </c>
      <c r="AB4116">
        <v>8</v>
      </c>
      <c r="AC4116">
        <v>5.5920000000000396</v>
      </c>
      <c r="AD4116">
        <v>-1.111645855718</v>
      </c>
      <c r="AE4116">
        <v>-2.2440000000000002</v>
      </c>
      <c r="AF4116">
        <v>-1.48754072385776</v>
      </c>
      <c r="AG4116">
        <v>-1.111645855718</v>
      </c>
      <c r="AH4116">
        <v>5.63403960410335</v>
      </c>
      <c r="AI4116">
        <v>100.800623186034</v>
      </c>
      <c r="AJ4116">
        <v>104.790144229877</v>
      </c>
      <c r="AK4116">
        <v>5.9321948867409402</v>
      </c>
      <c r="AL4116">
        <v>89.905534852473707</v>
      </c>
      <c r="AM4116">
        <v>94.937206773790905</v>
      </c>
      <c r="AN4116">
        <v>0.99999993585456004</v>
      </c>
    </row>
    <row r="4117" spans="1:40" x14ac:dyDescent="0.25">
      <c r="A4117" t="str">
        <f>"20190312154003739"</f>
        <v>20190312154003739</v>
      </c>
      <c r="B4117" t="str">
        <f>"1552376403729967"</f>
        <v>1552376403729967</v>
      </c>
      <c r="C4117" t="s">
        <v>40</v>
      </c>
      <c r="D4117">
        <v>4.1010999999999997</v>
      </c>
      <c r="E4117">
        <v>0.44065389999999999</v>
      </c>
      <c r="F4117" t="s">
        <v>54</v>
      </c>
      <c r="G4117">
        <v>-472.8116</v>
      </c>
      <c r="H4117" s="1">
        <v>4.8019730000000002E-6</v>
      </c>
      <c r="I4117">
        <v>216.6841</v>
      </c>
      <c r="J4117">
        <v>-479.8845</v>
      </c>
      <c r="K4117">
        <v>1.111661</v>
      </c>
      <c r="L4117">
        <v>219.5232</v>
      </c>
      <c r="M4117">
        <v>0.80551700000000004</v>
      </c>
      <c r="N4117">
        <v>0</v>
      </c>
      <c r="O4117">
        <v>-0.59244529999999995</v>
      </c>
      <c r="P4117">
        <v>0.85410249999999999</v>
      </c>
      <c r="Q4117">
        <v>-1.00476E-2</v>
      </c>
      <c r="R4117">
        <v>-0.52000809999999997</v>
      </c>
      <c r="S4117">
        <v>2.8188780000000002</v>
      </c>
      <c r="T4117">
        <v>-0.43901709999999999</v>
      </c>
      <c r="U4117">
        <v>-1.137024</v>
      </c>
      <c r="V4117">
        <v>-8.714732E-2</v>
      </c>
      <c r="W4117">
        <v>1.910988E-3</v>
      </c>
      <c r="X4117">
        <v>0.99619360000000001</v>
      </c>
      <c r="Y4117">
        <v>-0.24059929999999999</v>
      </c>
      <c r="Z4117">
        <v>9.9135000000000001E-2</v>
      </c>
      <c r="AA4117">
        <v>0.96554859999999998</v>
      </c>
      <c r="AB4117">
        <v>8</v>
      </c>
      <c r="AC4117">
        <v>7.0728999999999997</v>
      </c>
      <c r="AD4117">
        <v>-1.1116561980269899</v>
      </c>
      <c r="AE4117">
        <v>-2.8391000000000002</v>
      </c>
      <c r="AF4117">
        <v>-1.86385349731788</v>
      </c>
      <c r="AG4117">
        <v>-1.1116561980269899</v>
      </c>
      <c r="AH4117">
        <v>7.2261738210326101</v>
      </c>
      <c r="AI4117">
        <v>98.472600014154906</v>
      </c>
      <c r="AJ4117">
        <v>104.463116090569</v>
      </c>
      <c r="AK4117">
        <v>7.5450193806148098</v>
      </c>
      <c r="AL4117">
        <v>89.890508386035805</v>
      </c>
      <c r="AM4117">
        <v>94.999524731123799</v>
      </c>
      <c r="AN4117">
        <v>0.99999999796963901</v>
      </c>
    </row>
    <row r="4118" spans="1:40" x14ac:dyDescent="0.25">
      <c r="A4118" t="str">
        <f>"20190312154003762"</f>
        <v>20190312154003762</v>
      </c>
      <c r="B4118" t="str">
        <f>"1552376403760223"</f>
        <v>1552376403760223</v>
      </c>
      <c r="C4118" t="s">
        <v>40</v>
      </c>
      <c r="D4118">
        <v>4.1410419999999997</v>
      </c>
      <c r="E4118">
        <v>0.44325179999999997</v>
      </c>
      <c r="F4118" t="s">
        <v>54</v>
      </c>
      <c r="G4118">
        <v>-471.06869999999998</v>
      </c>
      <c r="H4118" s="1">
        <v>5.5432270000000002E-6</v>
      </c>
      <c r="I4118">
        <v>215.95920000000001</v>
      </c>
      <c r="J4118">
        <v>-479.81900000000002</v>
      </c>
      <c r="K4118">
        <v>1.111675</v>
      </c>
      <c r="L4118">
        <v>219.48339999999999</v>
      </c>
      <c r="M4118">
        <v>0.80886550000000002</v>
      </c>
      <c r="N4118">
        <v>0</v>
      </c>
      <c r="O4118">
        <v>-0.58786510000000003</v>
      </c>
      <c r="P4118">
        <v>0.85771810000000004</v>
      </c>
      <c r="Q4118">
        <v>-8.8950250000000008E-3</v>
      </c>
      <c r="R4118">
        <v>-0.51404329999999998</v>
      </c>
      <c r="S4118">
        <v>2.815369</v>
      </c>
      <c r="T4118">
        <v>-0.35501110000000002</v>
      </c>
      <c r="U4118">
        <v>-1.138153</v>
      </c>
      <c r="V4118">
        <v>-8.8448079999999998E-2</v>
      </c>
      <c r="W4118">
        <v>3.0630219999999999E-3</v>
      </c>
      <c r="X4118">
        <v>0.99607610000000002</v>
      </c>
      <c r="Y4118">
        <v>-0.23697109999999999</v>
      </c>
      <c r="Z4118">
        <v>7.975604E-2</v>
      </c>
      <c r="AA4118">
        <v>0.96823740000000003</v>
      </c>
      <c r="AB4118">
        <v>8</v>
      </c>
      <c r="AC4118">
        <v>8.7503000000000295</v>
      </c>
      <c r="AD4118">
        <v>-1.1116694567730001</v>
      </c>
      <c r="AE4118">
        <v>-3.5241999999999698</v>
      </c>
      <c r="AF4118">
        <v>-2.2621502179099</v>
      </c>
      <c r="AG4118">
        <v>-1.1116694567730001</v>
      </c>
      <c r="AH4118">
        <v>9.0249290099482202</v>
      </c>
      <c r="AI4118">
        <v>96.813480169210806</v>
      </c>
      <c r="AJ4118">
        <v>104.07159882803499</v>
      </c>
      <c r="AK4118">
        <v>9.3702975525922696</v>
      </c>
      <c r="AL4118">
        <v>89.824501496100496</v>
      </c>
      <c r="AM4118">
        <v>95.074356311117896</v>
      </c>
      <c r="AN4118">
        <v>1.0000000209753299</v>
      </c>
    </row>
    <row r="4119" spans="1:40" x14ac:dyDescent="0.25">
      <c r="A4119" t="str">
        <f>"20190312154003796"</f>
        <v>20190312154003796</v>
      </c>
      <c r="B4119" t="str">
        <f>"1552376403789503"</f>
        <v>1552376403789503</v>
      </c>
      <c r="C4119" t="s">
        <v>40</v>
      </c>
      <c r="D4119">
        <v>4.1756419999999999</v>
      </c>
      <c r="E4119">
        <v>0.44556889999999999</v>
      </c>
      <c r="F4119" t="s">
        <v>61</v>
      </c>
      <c r="G4119">
        <v>-468.5154</v>
      </c>
      <c r="H4119" s="1">
        <v>2.9823959999999999E-6</v>
      </c>
      <c r="I4119">
        <v>214.8973</v>
      </c>
      <c r="J4119">
        <v>-479.71850000000001</v>
      </c>
      <c r="K4119">
        <v>1.111685</v>
      </c>
      <c r="L4119">
        <v>219.42339999999999</v>
      </c>
      <c r="M4119">
        <v>0.81397240000000004</v>
      </c>
      <c r="N4119">
        <v>0</v>
      </c>
      <c r="O4119">
        <v>-0.58077319999999999</v>
      </c>
      <c r="P4119">
        <v>0.86169390000000001</v>
      </c>
      <c r="Q4119">
        <v>-7.6091919999999999E-3</v>
      </c>
      <c r="R4119">
        <v>-0.50737159999999903</v>
      </c>
      <c r="S4119">
        <v>2.8111570000000001</v>
      </c>
      <c r="T4119">
        <v>-0.27646710000000002</v>
      </c>
      <c r="U4119">
        <v>-1.140549</v>
      </c>
      <c r="V4119">
        <v>-8.7483439999999996E-2</v>
      </c>
      <c r="W4119">
        <v>4.3623949999999998E-3</v>
      </c>
      <c r="X4119">
        <v>0.99615640000000005</v>
      </c>
      <c r="Y4119">
        <v>-0.2292286</v>
      </c>
      <c r="Z4119">
        <v>6.1388720000000001E-2</v>
      </c>
      <c r="AA4119">
        <v>0.97143489999999999</v>
      </c>
      <c r="AB4119">
        <v>8</v>
      </c>
      <c r="AC4119">
        <v>11.203099999999999</v>
      </c>
      <c r="AD4119">
        <v>-1.1116820176039901</v>
      </c>
      <c r="AE4119">
        <v>-4.52609999999998</v>
      </c>
      <c r="AF4119">
        <v>-2.7988613143815599</v>
      </c>
      <c r="AG4119">
        <v>-1.1116820176039901</v>
      </c>
      <c r="AH4119">
        <v>11.6499255636922</v>
      </c>
      <c r="AI4119">
        <v>95.300945521688803</v>
      </c>
      <c r="AJ4119">
        <v>103.509121485875</v>
      </c>
      <c r="AK4119">
        <v>12.0328810849678</v>
      </c>
      <c r="AL4119">
        <v>89.750052379660104</v>
      </c>
      <c r="AM4119">
        <v>95.018895650485803</v>
      </c>
      <c r="AN4119">
        <v>0.99999997801266405</v>
      </c>
    </row>
    <row r="4120" spans="1:40" x14ac:dyDescent="0.25">
      <c r="A4120" t="str">
        <f>"20190312154003819"</f>
        <v>20190312154003819</v>
      </c>
      <c r="B4120" t="str">
        <f>"1552376403810000"</f>
        <v>1552376403810000</v>
      </c>
      <c r="C4120" t="s">
        <v>40</v>
      </c>
      <c r="D4120">
        <v>4.2192879999999997</v>
      </c>
      <c r="E4120">
        <v>0.44711859999999998</v>
      </c>
      <c r="F4120" t="s">
        <v>61</v>
      </c>
      <c r="G4120">
        <v>-465.66079999999999</v>
      </c>
      <c r="H4120" s="1">
        <v>1.514153E-6</v>
      </c>
      <c r="I4120">
        <v>213.73500000000001</v>
      </c>
      <c r="J4120">
        <v>-479.65030000000002</v>
      </c>
      <c r="K4120">
        <v>1.1116779999999999</v>
      </c>
      <c r="L4120">
        <v>219.38339999999999</v>
      </c>
      <c r="M4120">
        <v>0.81741919999999901</v>
      </c>
      <c r="N4120">
        <v>0</v>
      </c>
      <c r="O4120">
        <v>-0.57591179999999997</v>
      </c>
      <c r="P4120">
        <v>0.86405370000000004</v>
      </c>
      <c r="Q4120">
        <v>-7.2136040000000002E-3</v>
      </c>
      <c r="R4120">
        <v>-0.50334799999999902</v>
      </c>
      <c r="S4120">
        <v>2.810028</v>
      </c>
      <c r="T4120">
        <v>-0.2222172</v>
      </c>
      <c r="U4120">
        <v>-1.13707</v>
      </c>
      <c r="V4120">
        <v>-8.6194980000000004E-2</v>
      </c>
      <c r="W4120">
        <v>4.7686559999999996E-3</v>
      </c>
      <c r="X4120">
        <v>0.99626689999999996</v>
      </c>
      <c r="Y4120">
        <v>-0.2253783</v>
      </c>
      <c r="Z4120">
        <v>4.8979950000000001E-2</v>
      </c>
      <c r="AA4120">
        <v>0.9730394</v>
      </c>
      <c r="AB4120">
        <v>8</v>
      </c>
      <c r="AC4120">
        <v>13.9895</v>
      </c>
      <c r="AD4120">
        <v>-1.1116764858470001</v>
      </c>
      <c r="AE4120">
        <v>-5.6483999999999801</v>
      </c>
      <c r="AF4120">
        <v>-3.4212919077002701</v>
      </c>
      <c r="AG4120">
        <v>-1.1116764858470001</v>
      </c>
      <c r="AH4120">
        <v>14.610052377460899</v>
      </c>
      <c r="AI4120">
        <v>94.237052437713302</v>
      </c>
      <c r="AJ4120">
        <v>103.179684163429</v>
      </c>
      <c r="AK4120">
        <v>15.046417959070199</v>
      </c>
      <c r="AL4120">
        <v>89.726775108642897</v>
      </c>
      <c r="AM4120">
        <v>94.944800636104901</v>
      </c>
      <c r="AN4120">
        <v>1.0000000253464201</v>
      </c>
    </row>
    <row r="4121" spans="1:40" x14ac:dyDescent="0.25">
      <c r="A4121" t="str">
        <f>"20190312154003842"</f>
        <v>20190312154003842</v>
      </c>
      <c r="B4121" t="str">
        <f>"1552376403840255"</f>
        <v>1552376403840255</v>
      </c>
      <c r="C4121" t="s">
        <v>40</v>
      </c>
      <c r="D4121">
        <v>4.2279559999999998</v>
      </c>
      <c r="E4121">
        <v>0.4491425</v>
      </c>
      <c r="F4121" t="s">
        <v>61</v>
      </c>
      <c r="G4121">
        <v>-464.37610000000001</v>
      </c>
      <c r="H4121" s="1">
        <v>8.5340259999999996E-7</v>
      </c>
      <c r="I4121">
        <v>213.2105</v>
      </c>
      <c r="J4121">
        <v>-479.58240000000001</v>
      </c>
      <c r="K4121">
        <v>1.1116820000000001</v>
      </c>
      <c r="L4121">
        <v>219.3443</v>
      </c>
      <c r="M4121">
        <v>0.82082909999999998</v>
      </c>
      <c r="N4121">
        <v>0</v>
      </c>
      <c r="O4121">
        <v>-0.57104149999999998</v>
      </c>
      <c r="P4121">
        <v>0.86598759999999997</v>
      </c>
      <c r="Q4121">
        <v>-6.1091110000000004E-3</v>
      </c>
      <c r="R4121">
        <v>-0.50002849999999999</v>
      </c>
      <c r="S4121">
        <v>2.8090519999999999</v>
      </c>
      <c r="T4121">
        <v>-0.20444709999999999</v>
      </c>
      <c r="U4121">
        <v>-1.135254</v>
      </c>
      <c r="V4121">
        <v>-8.4103109999999995E-2</v>
      </c>
      <c r="W4121">
        <v>5.8872999999999998E-3</v>
      </c>
      <c r="X4121">
        <v>0.99643970000000004</v>
      </c>
      <c r="Y4121">
        <v>-0.22031220000000001</v>
      </c>
      <c r="Z4121">
        <v>4.4650849999999999E-2</v>
      </c>
      <c r="AA4121">
        <v>0.97440689999999996</v>
      </c>
      <c r="AB4121">
        <v>8</v>
      </c>
      <c r="AC4121">
        <v>15.206300000000001</v>
      </c>
      <c r="AD4121">
        <v>-1.1116811465973999</v>
      </c>
      <c r="AE4121">
        <v>-6.1337999999999999</v>
      </c>
      <c r="AF4121">
        <v>-3.6322066696170401</v>
      </c>
      <c r="AG4121">
        <v>-1.1116811465973999</v>
      </c>
      <c r="AH4121">
        <v>15.912492110865299</v>
      </c>
      <c r="AI4121">
        <v>93.896415597892201</v>
      </c>
      <c r="AJ4121">
        <v>102.85811544181701</v>
      </c>
      <c r="AK4121">
        <v>16.359589403186799</v>
      </c>
      <c r="AL4121">
        <v>89.662680620317602</v>
      </c>
      <c r="AM4121">
        <v>94.824535821429606</v>
      </c>
      <c r="AN4121">
        <v>1.0000000345745199</v>
      </c>
    </row>
    <row r="4122" spans="1:40" x14ac:dyDescent="0.25">
      <c r="A4122" t="str">
        <f>"20190312154003863"</f>
        <v>20190312154003863</v>
      </c>
      <c r="B4122" t="str">
        <f>"1552376403859776"</f>
        <v>1552376403859776</v>
      </c>
      <c r="C4122" t="s">
        <v>40</v>
      </c>
      <c r="D4122">
        <v>4.2558150000000001</v>
      </c>
      <c r="E4122">
        <v>0.45040669999999999</v>
      </c>
      <c r="F4122" t="s">
        <v>61</v>
      </c>
      <c r="G4122">
        <v>-462.35849999999999</v>
      </c>
      <c r="H4122" s="1">
        <v>-1.824591E-7</v>
      </c>
      <c r="I4122">
        <v>212.345</v>
      </c>
      <c r="J4122">
        <v>-479.5206</v>
      </c>
      <c r="K4122">
        <v>1.111686</v>
      </c>
      <c r="L4122">
        <v>219.3091</v>
      </c>
      <c r="M4122">
        <v>0.82391610000000004</v>
      </c>
      <c r="N4122">
        <v>0</v>
      </c>
      <c r="O4122">
        <v>-0.56657829999999998</v>
      </c>
      <c r="P4122">
        <v>0.86786559999999902</v>
      </c>
      <c r="Q4122">
        <v>-5.3160339999999999E-3</v>
      </c>
      <c r="R4122">
        <v>-0.49677090000000002</v>
      </c>
      <c r="S4122">
        <v>2.8048709999999999</v>
      </c>
      <c r="T4122">
        <v>-0.18103420000000001</v>
      </c>
      <c r="U4122">
        <v>-1.1398159999999999</v>
      </c>
      <c r="V4122">
        <v>-8.2444799999999999E-2</v>
      </c>
      <c r="W4122">
        <v>6.6912300000000003E-3</v>
      </c>
      <c r="X4122">
        <v>0.99657320000000005</v>
      </c>
      <c r="Y4122">
        <v>-0.2135031</v>
      </c>
      <c r="Z4122">
        <v>3.9158079999999998E-2</v>
      </c>
      <c r="AA4122">
        <v>0.97615730000000001</v>
      </c>
      <c r="AB4122">
        <v>8</v>
      </c>
      <c r="AC4122">
        <v>17.162099999999999</v>
      </c>
      <c r="AD4122">
        <v>-1.1116861824591</v>
      </c>
      <c r="AE4122">
        <v>-6.9641000000000002</v>
      </c>
      <c r="AF4122">
        <v>-3.9718316824313802</v>
      </c>
      <c r="AG4122">
        <v>-1.1116861824591</v>
      </c>
      <c r="AH4122">
        <v>18.022278411094501</v>
      </c>
      <c r="AI4122">
        <v>93.447244491199399</v>
      </c>
      <c r="AJ4122">
        <v>102.42843264548399</v>
      </c>
      <c r="AK4122">
        <v>18.488207382243399</v>
      </c>
      <c r="AL4122">
        <v>89.616617911989195</v>
      </c>
      <c r="AM4122">
        <v>94.729212808994305</v>
      </c>
      <c r="AN4122">
        <v>1.0000000302820899</v>
      </c>
    </row>
    <row r="4123" spans="1:40" x14ac:dyDescent="0.25">
      <c r="A4123" t="str">
        <f>"20190312154003885"</f>
        <v>20190312154003885</v>
      </c>
      <c r="B4123" t="str">
        <f>"1552376403880271"</f>
        <v>1552376403880271</v>
      </c>
      <c r="C4123" t="s">
        <v>40</v>
      </c>
      <c r="D4123">
        <v>4.2773620000000001</v>
      </c>
      <c r="E4123">
        <v>0.45154070000000002</v>
      </c>
      <c r="F4123" t="s">
        <v>61</v>
      </c>
      <c r="G4123">
        <v>-461.0686</v>
      </c>
      <c r="H4123" s="1">
        <v>-8.45711E-7</v>
      </c>
      <c r="I4123">
        <v>211.81559999999999</v>
      </c>
      <c r="J4123">
        <v>-479.45609999999999</v>
      </c>
      <c r="K4123">
        <v>1.1116900000000001</v>
      </c>
      <c r="L4123">
        <v>219.27289999999999</v>
      </c>
      <c r="M4123">
        <v>0.82712009999999903</v>
      </c>
      <c r="N4123">
        <v>0</v>
      </c>
      <c r="O4123">
        <v>-0.56189040000000001</v>
      </c>
      <c r="P4123">
        <v>0.87017730000000004</v>
      </c>
      <c r="Q4123">
        <v>-5.2605940000000004E-3</v>
      </c>
      <c r="R4123">
        <v>-0.49271120000000002</v>
      </c>
      <c r="S4123">
        <v>2.803925</v>
      </c>
      <c r="T4123">
        <v>-0.16892979999999999</v>
      </c>
      <c r="U4123">
        <v>-1.1387020000000001</v>
      </c>
      <c r="V4123">
        <v>-8.1441570000000005E-2</v>
      </c>
      <c r="W4123">
        <v>6.7556029999999998E-3</v>
      </c>
      <c r="X4123">
        <v>0.99665519999999996</v>
      </c>
      <c r="Y4123">
        <v>-0.20834079999999999</v>
      </c>
      <c r="Z4123">
        <v>3.6195449999999997E-2</v>
      </c>
      <c r="AA4123">
        <v>0.97738630000000004</v>
      </c>
      <c r="AB4123">
        <v>8</v>
      </c>
      <c r="AC4123">
        <v>18.3874999999999</v>
      </c>
      <c r="AD4123">
        <v>-1.111690845711</v>
      </c>
      <c r="AE4123">
        <v>-7.4573</v>
      </c>
      <c r="AF4123">
        <v>-4.1509626495849004</v>
      </c>
      <c r="AG4123">
        <v>-1.111690845711</v>
      </c>
      <c r="AH4123">
        <v>19.339619051461501</v>
      </c>
      <c r="AI4123">
        <v>93.216785378135199</v>
      </c>
      <c r="AJ4123">
        <v>102.113899656076</v>
      </c>
      <c r="AK4123">
        <v>19.8112900264051</v>
      </c>
      <c r="AL4123">
        <v>89.612929507123994</v>
      </c>
      <c r="AM4123">
        <v>94.671538976416102</v>
      </c>
      <c r="AN4123">
        <v>0.99999997759149895</v>
      </c>
    </row>
    <row r="4124" spans="1:40" x14ac:dyDescent="0.25">
      <c r="A4124" t="str">
        <f>"20190312154003907"</f>
        <v>20190312154003907</v>
      </c>
      <c r="B4124" t="str">
        <f>"1552376403899792"</f>
        <v>1552376403899792</v>
      </c>
      <c r="C4124" t="s">
        <v>40</v>
      </c>
      <c r="D4124">
        <v>4.2961739999999997</v>
      </c>
      <c r="E4124">
        <v>0.45272699999999999</v>
      </c>
      <c r="F4124" t="s">
        <v>61</v>
      </c>
      <c r="G4124">
        <v>-460.12709999999998</v>
      </c>
      <c r="H4124" s="1">
        <v>-1.3310860000000001E-6</v>
      </c>
      <c r="I4124">
        <v>211.4581</v>
      </c>
      <c r="J4124">
        <v>-479.38740000000001</v>
      </c>
      <c r="K4124">
        <v>1.111693</v>
      </c>
      <c r="L4124">
        <v>219.23500000000001</v>
      </c>
      <c r="M4124">
        <v>0.83050239999999997</v>
      </c>
      <c r="N4124">
        <v>0</v>
      </c>
      <c r="O4124">
        <v>-0.55687889999999995</v>
      </c>
      <c r="P4124">
        <v>0.87265809999999999</v>
      </c>
      <c r="Q4124">
        <v>-6.5727420000000003E-3</v>
      </c>
      <c r="R4124">
        <v>-0.4882879</v>
      </c>
      <c r="S4124">
        <v>2.804535</v>
      </c>
      <c r="T4124">
        <v>-0.1613011</v>
      </c>
      <c r="U4124">
        <v>-1.133896</v>
      </c>
      <c r="V4124">
        <v>-8.0465079999999994E-2</v>
      </c>
      <c r="W4124">
        <v>5.4514780000000001E-3</v>
      </c>
      <c r="X4124">
        <v>0.99674249999999998</v>
      </c>
      <c r="Y4124">
        <v>-0.204042</v>
      </c>
      <c r="Z4124">
        <v>3.42318E-2</v>
      </c>
      <c r="AA4124">
        <v>0.97836350000000005</v>
      </c>
      <c r="AB4124">
        <v>8</v>
      </c>
      <c r="AC4124">
        <v>19.260300000000001</v>
      </c>
      <c r="AD4124">
        <v>-1.1116943310859999</v>
      </c>
      <c r="AE4124">
        <v>-7.7769000000000101</v>
      </c>
      <c r="AF4124">
        <v>-4.2550554795931097</v>
      </c>
      <c r="AG4124">
        <v>-1.1116943310859999</v>
      </c>
      <c r="AH4124">
        <v>20.269994672659202</v>
      </c>
      <c r="AI4124">
        <v>93.072372585986699</v>
      </c>
      <c r="AJ4124">
        <v>101.855329964207</v>
      </c>
      <c r="AK4124">
        <v>20.741601805304601</v>
      </c>
      <c r="AL4124">
        <v>89.687651764985503</v>
      </c>
      <c r="AM4124">
        <v>94.615367865887194</v>
      </c>
      <c r="AN4124">
        <v>0.99999997950901998</v>
      </c>
    </row>
    <row r="4125" spans="1:40" x14ac:dyDescent="0.25">
      <c r="A4125" t="str">
        <f>"20190312154003931"</f>
        <v>20190312154003931</v>
      </c>
      <c r="B4125" t="str">
        <f>"1552376403920289"</f>
        <v>1552376403920289</v>
      </c>
      <c r="C4125" t="s">
        <v>40</v>
      </c>
      <c r="D4125">
        <v>4.2937719999999997</v>
      </c>
      <c r="E4125">
        <v>0.45384809999999998</v>
      </c>
      <c r="F4125" t="s">
        <v>61</v>
      </c>
      <c r="G4125">
        <v>-459.84210000000002</v>
      </c>
      <c r="H4125" s="1">
        <v>3.842369E-6</v>
      </c>
      <c r="I4125">
        <v>211.37549999999999</v>
      </c>
      <c r="J4125">
        <v>-479.31720000000001</v>
      </c>
      <c r="K4125">
        <v>1.111691</v>
      </c>
      <c r="L4125">
        <v>219.1968</v>
      </c>
      <c r="M4125">
        <v>0.83393419999999896</v>
      </c>
      <c r="N4125">
        <v>0</v>
      </c>
      <c r="O4125">
        <v>-0.5517263</v>
      </c>
      <c r="P4125">
        <v>0.87538869999999902</v>
      </c>
      <c r="Q4125">
        <v>-6.8505569999999898E-3</v>
      </c>
      <c r="R4125">
        <v>-0.48337160000000001</v>
      </c>
      <c r="S4125">
        <v>2.8053590000000002</v>
      </c>
      <c r="T4125">
        <v>-0.15956229999999999</v>
      </c>
      <c r="U4125">
        <v>-1.128082</v>
      </c>
      <c r="V4125">
        <v>-7.9898629999999998E-2</v>
      </c>
      <c r="W4125">
        <v>5.1806380000000004E-3</v>
      </c>
      <c r="X4125">
        <v>0.99678949999999999</v>
      </c>
      <c r="Y4125">
        <v>-0.1998539</v>
      </c>
      <c r="Z4125">
        <v>3.3531249999999999E-2</v>
      </c>
      <c r="AA4125">
        <v>0.97925180000000001</v>
      </c>
      <c r="AB4125">
        <v>8</v>
      </c>
      <c r="AC4125">
        <v>19.475100000000001</v>
      </c>
      <c r="AD4125">
        <v>-1.1116871576309999</v>
      </c>
      <c r="AE4125">
        <v>-7.8212999999999999</v>
      </c>
      <c r="AF4125">
        <v>-4.2109804823929098</v>
      </c>
      <c r="AG4125">
        <v>-1.1116871576309999</v>
      </c>
      <c r="AH4125">
        <v>20.500208888737198</v>
      </c>
      <c r="AI4125">
        <v>93.040637817672007</v>
      </c>
      <c r="AJ4125">
        <v>101.60775562552</v>
      </c>
      <c r="AK4125">
        <v>20.957737698554102</v>
      </c>
      <c r="AL4125">
        <v>89.703169970342699</v>
      </c>
      <c r="AM4125">
        <v>94.582800785433093</v>
      </c>
      <c r="AN4125">
        <v>0.99999996869810603</v>
      </c>
    </row>
    <row r="4126" spans="1:40" x14ac:dyDescent="0.25">
      <c r="A4126" t="str">
        <f>"20190312154003953"</f>
        <v>20190312154003953</v>
      </c>
      <c r="B4126" t="str">
        <f>"1552376403950107"</f>
        <v>1552376403950107</v>
      </c>
      <c r="C4126" t="s">
        <v>40</v>
      </c>
      <c r="D4126">
        <v>4.2905680000000004</v>
      </c>
      <c r="E4126">
        <v>0.4552988</v>
      </c>
      <c r="F4126" t="s">
        <v>61</v>
      </c>
      <c r="G4126">
        <v>-459.24869999999999</v>
      </c>
      <c r="H4126" s="1">
        <v>3.5347330000000001E-6</v>
      </c>
      <c r="I4126">
        <v>211.18819999999999</v>
      </c>
      <c r="J4126">
        <v>-479.25330000000002</v>
      </c>
      <c r="K4126">
        <v>1.1116900000000001</v>
      </c>
      <c r="L4126">
        <v>219.1626</v>
      </c>
      <c r="M4126">
        <v>0.83703240000000001</v>
      </c>
      <c r="N4126">
        <v>0</v>
      </c>
      <c r="O4126">
        <v>-0.54701440000000001</v>
      </c>
      <c r="P4126">
        <v>0.87826839999999995</v>
      </c>
      <c r="Q4126">
        <v>-6.1925849999999996E-3</v>
      </c>
      <c r="R4126">
        <v>-0.478128</v>
      </c>
      <c r="S4126">
        <v>2.8072810000000001</v>
      </c>
      <c r="T4126">
        <v>-0.15550799999999901</v>
      </c>
      <c r="U4126">
        <v>-1.120285</v>
      </c>
      <c r="V4126">
        <v>-8.0242469999999996E-2</v>
      </c>
      <c r="W4126">
        <v>5.8410479999999997E-3</v>
      </c>
      <c r="X4126">
        <v>0.99675829999999999</v>
      </c>
      <c r="Y4126">
        <v>-0.1969582</v>
      </c>
      <c r="Z4126">
        <v>3.2402399999999998E-2</v>
      </c>
      <c r="AA4126">
        <v>0.97987630000000003</v>
      </c>
      <c r="AB4126">
        <v>8</v>
      </c>
      <c r="AC4126">
        <v>20.0046</v>
      </c>
      <c r="AD4126">
        <v>-1.111686465267</v>
      </c>
      <c r="AE4126">
        <v>-7.9744000000000002</v>
      </c>
      <c r="AF4126">
        <v>-4.2569537772958004</v>
      </c>
      <c r="AG4126">
        <v>-1.111686465267</v>
      </c>
      <c r="AH4126">
        <v>21.0521156220309</v>
      </c>
      <c r="AI4126">
        <v>92.962917948476701</v>
      </c>
      <c r="AJ4126">
        <v>101.431648420873</v>
      </c>
      <c r="AK4126">
        <v>21.506954094488801</v>
      </c>
      <c r="AL4126">
        <v>89.6653307120785</v>
      </c>
      <c r="AM4126">
        <v>94.602581549703004</v>
      </c>
      <c r="AN4126">
        <v>1.00000004022616</v>
      </c>
    </row>
    <row r="4127" spans="1:40" x14ac:dyDescent="0.25">
      <c r="A4127" t="str">
        <f>"20190312154003974"</f>
        <v>20190312154003974</v>
      </c>
      <c r="B4127" t="str">
        <f>"1552376403969626"</f>
        <v>1552376403969626</v>
      </c>
      <c r="C4127" t="s">
        <v>40</v>
      </c>
      <c r="D4127">
        <v>4.337567</v>
      </c>
      <c r="E4127">
        <v>0.45625900000000003</v>
      </c>
      <c r="F4127" t="s">
        <v>61</v>
      </c>
      <c r="G4127">
        <v>-458.26949999999999</v>
      </c>
      <c r="H4127" s="1">
        <v>3.028934E-6</v>
      </c>
      <c r="I4127">
        <v>210.8391</v>
      </c>
      <c r="J4127">
        <v>-479.18939999999998</v>
      </c>
      <c r="K4127">
        <v>1.111683</v>
      </c>
      <c r="L4127">
        <v>219.12880000000001</v>
      </c>
      <c r="M4127">
        <v>0.84010370000000001</v>
      </c>
      <c r="N4127">
        <v>0</v>
      </c>
      <c r="O4127">
        <v>-0.54228549999999998</v>
      </c>
      <c r="P4127">
        <v>0.88114729999999997</v>
      </c>
      <c r="Q4127">
        <v>-5.4697299999999999E-3</v>
      </c>
      <c r="R4127">
        <v>-0.47281020000000001</v>
      </c>
      <c r="S4127">
        <v>2.808319</v>
      </c>
      <c r="T4127">
        <v>-0.1487802</v>
      </c>
      <c r="U4127">
        <v>-1.113953</v>
      </c>
      <c r="V4127">
        <v>-8.0651799999999996E-2</v>
      </c>
      <c r="W4127">
        <v>6.5653480000000004E-3</v>
      </c>
      <c r="X4127">
        <v>0.99672070000000001</v>
      </c>
      <c r="Y4127">
        <v>-0.1935424</v>
      </c>
      <c r="Z4127">
        <v>3.0726469999999999E-2</v>
      </c>
      <c r="AA4127">
        <v>0.98061069999999995</v>
      </c>
      <c r="AB4127">
        <v>8</v>
      </c>
      <c r="AC4127">
        <v>20.919899999999899</v>
      </c>
      <c r="AD4127">
        <v>-1.1116799710659999</v>
      </c>
      <c r="AE4127">
        <v>-8.2896999999999998</v>
      </c>
      <c r="AF4127">
        <v>-4.3700186668216201</v>
      </c>
      <c r="AG4127">
        <v>-1.1116799710659999</v>
      </c>
      <c r="AH4127">
        <v>22.018211404364401</v>
      </c>
      <c r="AI4127">
        <v>92.835150587009693</v>
      </c>
      <c r="AJ4127">
        <v>101.225777673788</v>
      </c>
      <c r="AK4127">
        <v>22.475198084860601</v>
      </c>
      <c r="AL4127">
        <v>89.623830560585304</v>
      </c>
      <c r="AM4127">
        <v>94.626132181361598</v>
      </c>
      <c r="AN4127">
        <v>0.99999998522304501</v>
      </c>
    </row>
    <row r="4128" spans="1:40" x14ac:dyDescent="0.25">
      <c r="A4128" t="str">
        <f>"20190312154003999"</f>
        <v>20190312154003999</v>
      </c>
      <c r="B4128" t="str">
        <f>"1552376403990123"</f>
        <v>1552376403990123</v>
      </c>
      <c r="C4128" t="s">
        <v>40</v>
      </c>
      <c r="D4128">
        <v>4.3174440000000001</v>
      </c>
      <c r="E4128">
        <v>0.45672370000000001</v>
      </c>
      <c r="F4128" t="s">
        <v>61</v>
      </c>
      <c r="G4128">
        <v>-457.3272</v>
      </c>
      <c r="H4128" s="1">
        <v>2.5403879999999999E-6</v>
      </c>
      <c r="I4128">
        <v>210.5437</v>
      </c>
      <c r="J4128">
        <v>-479.11250000000001</v>
      </c>
      <c r="K4128">
        <v>1.1116779999999999</v>
      </c>
      <c r="L4128">
        <v>219.08879999999999</v>
      </c>
      <c r="M4128">
        <v>0.84376260000000003</v>
      </c>
      <c r="N4128">
        <v>0</v>
      </c>
      <c r="O4128">
        <v>-0.53657509999999997</v>
      </c>
      <c r="P4128">
        <v>0.88447249999999999</v>
      </c>
      <c r="Q4128">
        <v>-4.7856940000000001E-3</v>
      </c>
      <c r="R4128">
        <v>-0.46656809999999999</v>
      </c>
      <c r="S4128">
        <v>2.8113709999999998</v>
      </c>
      <c r="T4128">
        <v>-0.14295649999999999</v>
      </c>
      <c r="U4128">
        <v>-1.104004</v>
      </c>
      <c r="V4128">
        <v>-8.0942760000000002E-2</v>
      </c>
      <c r="W4128">
        <v>7.2524549999999997E-3</v>
      </c>
      <c r="X4128">
        <v>0.99669240000000003</v>
      </c>
      <c r="Y4128">
        <v>-0.1903242</v>
      </c>
      <c r="Z4128">
        <v>2.9214190000000001E-2</v>
      </c>
      <c r="AA4128">
        <v>0.98128649999999995</v>
      </c>
      <c r="AB4128">
        <v>8</v>
      </c>
      <c r="AC4128">
        <v>21.785299999999999</v>
      </c>
      <c r="AD4128">
        <v>-1.111675459612</v>
      </c>
      <c r="AE4128">
        <v>-8.5450999999999908</v>
      </c>
      <c r="AF4128">
        <v>-4.4696670402293899</v>
      </c>
      <c r="AG4128">
        <v>-1.111675459612</v>
      </c>
      <c r="AH4128">
        <v>22.916736321234101</v>
      </c>
      <c r="AI4128">
        <v>92.725918779115801</v>
      </c>
      <c r="AJ4128">
        <v>101.0363850419</v>
      </c>
      <c r="AK4128">
        <v>23.374998382780401</v>
      </c>
      <c r="AL4128">
        <v>89.584461308856802</v>
      </c>
      <c r="AM4128">
        <v>94.642879868702593</v>
      </c>
      <c r="AN4128">
        <v>1.00000003435885</v>
      </c>
    </row>
    <row r="4129" spans="1:40" x14ac:dyDescent="0.25">
      <c r="A4129" t="str">
        <f>"20190312154004021"</f>
        <v>20190312154004021</v>
      </c>
      <c r="B4129" t="str">
        <f>"1552376404009642"</f>
        <v>1552376404009642</v>
      </c>
      <c r="C4129" t="s">
        <v>40</v>
      </c>
      <c r="D4129">
        <v>4.3525999999999998</v>
      </c>
      <c r="E4129">
        <v>0.47418539999999998</v>
      </c>
      <c r="F4129" t="s">
        <v>61</v>
      </c>
      <c r="G4129">
        <v>-456.62630000000001</v>
      </c>
      <c r="H4129" s="1">
        <v>2.1732709999999998E-6</v>
      </c>
      <c r="I4129">
        <v>210.40969999999999</v>
      </c>
      <c r="J4129">
        <v>-479.04570000000001</v>
      </c>
      <c r="K4129">
        <v>1.111666</v>
      </c>
      <c r="L4129">
        <v>219.05459999999999</v>
      </c>
      <c r="M4129">
        <v>0.84690279999999996</v>
      </c>
      <c r="N4129">
        <v>0</v>
      </c>
      <c r="O4129">
        <v>-0.53160469999999904</v>
      </c>
      <c r="P4129">
        <v>0.88754619999999995</v>
      </c>
      <c r="Q4129">
        <v>-4.4418000000000001E-3</v>
      </c>
      <c r="R4129">
        <v>-0.46069749999999998</v>
      </c>
      <c r="S4129">
        <v>2.8175050000000001</v>
      </c>
      <c r="T4129">
        <v>-0.1392922</v>
      </c>
      <c r="U4129">
        <v>-1.0874790000000001</v>
      </c>
      <c r="V4129">
        <v>-8.1688689999999994E-2</v>
      </c>
      <c r="W4129">
        <v>7.5957689999999996E-3</v>
      </c>
      <c r="X4129">
        <v>0.99662890000000004</v>
      </c>
      <c r="Y4129">
        <v>-0.19032009999999999</v>
      </c>
      <c r="Z4129">
        <v>2.8253779999999999E-2</v>
      </c>
      <c r="AA4129">
        <v>0.98131539999999995</v>
      </c>
      <c r="AB4129">
        <v>8</v>
      </c>
      <c r="AC4129">
        <v>22.4194</v>
      </c>
      <c r="AD4129">
        <v>-1.111663826729</v>
      </c>
      <c r="AE4129">
        <v>-8.6448999999999998</v>
      </c>
      <c r="AF4129">
        <v>-4.5873990802345697</v>
      </c>
      <c r="AG4129">
        <v>-1.111663826729</v>
      </c>
      <c r="AH4129">
        <v>23.5341428965761</v>
      </c>
      <c r="AI4129">
        <v>92.654538417453793</v>
      </c>
      <c r="AJ4129">
        <v>101.030083896581</v>
      </c>
      <c r="AK4129">
        <v>24.002831263446001</v>
      </c>
      <c r="AL4129">
        <v>89.564790287815299</v>
      </c>
      <c r="AM4129">
        <v>94.685774009884994</v>
      </c>
      <c r="AN4129">
        <v>0.99999995104791195</v>
      </c>
    </row>
    <row r="4130" spans="1:40" x14ac:dyDescent="0.25">
      <c r="A4130" t="str">
        <f>"20190312154004043"</f>
        <v>20190312154004043</v>
      </c>
      <c r="B4130" t="str">
        <f>"1552376404039534"</f>
        <v>1552376404039534</v>
      </c>
      <c r="C4130" t="s">
        <v>40</v>
      </c>
      <c r="D4130">
        <v>4.3687170000000002</v>
      </c>
      <c r="E4130">
        <v>0.47450100000000001</v>
      </c>
      <c r="F4130" t="s">
        <v>43</v>
      </c>
      <c r="G4130">
        <v>-439.88310000000001</v>
      </c>
      <c r="H4130">
        <v>-0.05</v>
      </c>
      <c r="I4130">
        <v>202.0849</v>
      </c>
      <c r="J4130">
        <v>-478.97989999999999</v>
      </c>
      <c r="K4130">
        <v>1.1116569999999999</v>
      </c>
      <c r="L4130">
        <v>219.0215</v>
      </c>
      <c r="M4130">
        <v>0.84996369999999899</v>
      </c>
      <c r="N4130">
        <v>0</v>
      </c>
      <c r="O4130">
        <v>-0.52669699999999997</v>
      </c>
      <c r="P4130">
        <v>0.89056309999999905</v>
      </c>
      <c r="Q4130">
        <v>-4.0011669999999999E-3</v>
      </c>
      <c r="R4130">
        <v>-0.45484279999999999</v>
      </c>
      <c r="S4130">
        <v>2.759125</v>
      </c>
      <c r="T4130">
        <v>-8.1842899999999996E-2</v>
      </c>
      <c r="U4130">
        <v>-1.1955720000000001</v>
      </c>
      <c r="V4130">
        <v>-8.2489129999999994E-2</v>
      </c>
      <c r="W4130">
        <v>8.0353979999999992E-3</v>
      </c>
      <c r="X4130">
        <v>0.99655959999999999</v>
      </c>
      <c r="Y4130">
        <v>-0.14512729999999999</v>
      </c>
      <c r="Z4130">
        <v>1.6020429999999999E-2</v>
      </c>
      <c r="AA4130">
        <v>0.98928329999999998</v>
      </c>
      <c r="AB4130">
        <v>8</v>
      </c>
      <c r="AC4130">
        <v>39.096799999999902</v>
      </c>
      <c r="AD4130">
        <v>-1.1616569999999999</v>
      </c>
      <c r="AE4130">
        <v>-16.936599999999999</v>
      </c>
      <c r="AF4130">
        <v>-6.1925399041026203</v>
      </c>
      <c r="AG4130">
        <v>-1.1616569999999999</v>
      </c>
      <c r="AH4130">
        <v>42.123209180183501</v>
      </c>
      <c r="AI4130">
        <v>91.562889853991393</v>
      </c>
      <c r="AJ4130">
        <v>98.363157155792294</v>
      </c>
      <c r="AK4130">
        <v>42.591803778274603</v>
      </c>
      <c r="AL4130">
        <v>89.539600667256593</v>
      </c>
      <c r="AM4130">
        <v>94.731808411692896</v>
      </c>
      <c r="AN4130">
        <v>1.00000003027066</v>
      </c>
    </row>
    <row r="4131" spans="1:40" x14ac:dyDescent="0.25">
      <c r="A4131" t="str">
        <f>"20190312154004065"</f>
        <v>20190312154004065</v>
      </c>
      <c r="B4131" t="str">
        <f>"1552376404060031"</f>
        <v>1552376404060031</v>
      </c>
      <c r="C4131" t="s">
        <v>40</v>
      </c>
      <c r="D4131">
        <v>4.2281639999999996</v>
      </c>
      <c r="E4131">
        <v>0.44690649999999998</v>
      </c>
      <c r="F4131" t="s">
        <v>43</v>
      </c>
      <c r="G4131">
        <v>-436.80770000000001</v>
      </c>
      <c r="H4131">
        <v>-0.05</v>
      </c>
      <c r="I4131">
        <v>201.0292</v>
      </c>
      <c r="J4131">
        <v>-478.91079999999999</v>
      </c>
      <c r="K4131">
        <v>1.111648</v>
      </c>
      <c r="L4131">
        <v>218.9872</v>
      </c>
      <c r="M4131">
        <v>0.85313549999999905</v>
      </c>
      <c r="N4131">
        <v>0</v>
      </c>
      <c r="O4131">
        <v>-0.52154330000000004</v>
      </c>
      <c r="P4131">
        <v>0.89355189999999995</v>
      </c>
      <c r="Q4131">
        <v>-3.6619679999999998E-3</v>
      </c>
      <c r="R4131">
        <v>-0.44894519999999999</v>
      </c>
      <c r="S4131">
        <v>2.7656860000000001</v>
      </c>
      <c r="T4131">
        <v>-7.6182479999999997E-2</v>
      </c>
      <c r="U4131">
        <v>-1.1799470000000001</v>
      </c>
      <c r="V4131">
        <v>-8.3047709999999997E-2</v>
      </c>
      <c r="W4131">
        <v>8.3739409999999993E-3</v>
      </c>
      <c r="X4131">
        <v>0.99651040000000002</v>
      </c>
      <c r="Y4131">
        <v>-0.14474579999999901</v>
      </c>
      <c r="Z4131">
        <v>1.4784719999999999E-2</v>
      </c>
      <c r="AA4131">
        <v>0.98935839999999997</v>
      </c>
      <c r="AB4131">
        <v>8</v>
      </c>
      <c r="AC4131">
        <v>42.103099999999898</v>
      </c>
      <c r="AD4131">
        <v>-1.161648</v>
      </c>
      <c r="AE4131">
        <v>-17.957999999999998</v>
      </c>
      <c r="AF4131">
        <v>-6.6342154074416397</v>
      </c>
      <c r="AG4131">
        <v>-1.161648</v>
      </c>
      <c r="AH4131">
        <v>45.2598247070746</v>
      </c>
      <c r="AI4131">
        <v>91.4547045420112</v>
      </c>
      <c r="AJ4131">
        <v>98.339068009492493</v>
      </c>
      <c r="AK4131">
        <v>45.758212078963098</v>
      </c>
      <c r="AL4131">
        <v>89.520202920595096</v>
      </c>
      <c r="AM4131">
        <v>94.763937277706603</v>
      </c>
      <c r="AN4131">
        <v>1.00000001116613</v>
      </c>
    </row>
    <row r="4132" spans="1:40" x14ac:dyDescent="0.25">
      <c r="A4132" t="str">
        <f>"20190312154004087"</f>
        <v>20190312154004087</v>
      </c>
      <c r="B4132" t="str">
        <f>"1552376404079550"</f>
        <v>1552376404079550</v>
      </c>
      <c r="C4132" t="s">
        <v>40</v>
      </c>
      <c r="D4132">
        <v>4.1447029999999998</v>
      </c>
      <c r="E4132">
        <v>0.43402190000000002</v>
      </c>
      <c r="F4132" t="s">
        <v>48</v>
      </c>
      <c r="G4132">
        <v>-311.22989999999999</v>
      </c>
      <c r="H4132">
        <v>3.316217</v>
      </c>
      <c r="I4132">
        <v>162.29689999999999</v>
      </c>
      <c r="J4132">
        <v>-478.84559999999999</v>
      </c>
      <c r="K4132">
        <v>1.111645</v>
      </c>
      <c r="L4132">
        <v>218.95529999999999</v>
      </c>
      <c r="M4132">
        <v>0.85609639999999998</v>
      </c>
      <c r="N4132">
        <v>0</v>
      </c>
      <c r="O4132">
        <v>-0.51666909999999999</v>
      </c>
      <c r="P4132">
        <v>0.89602890000000002</v>
      </c>
      <c r="Q4132">
        <v>-3.839552E-3</v>
      </c>
      <c r="R4132">
        <v>-0.44397969999999998</v>
      </c>
      <c r="S4132">
        <v>2.8700559999999999</v>
      </c>
      <c r="T4132">
        <v>3.7733790000000003E-2</v>
      </c>
      <c r="U4132">
        <v>-0.97032169999999895</v>
      </c>
      <c r="V4132">
        <v>-8.2893399999999895E-2</v>
      </c>
      <c r="W4132">
        <v>8.1989490000000005E-3</v>
      </c>
      <c r="X4132">
        <v>0.99652470000000004</v>
      </c>
      <c r="Y4132">
        <v>-0.21523129999999999</v>
      </c>
      <c r="Z4132">
        <v>-7.5963309999999996E-3</v>
      </c>
      <c r="AA4132">
        <v>0.97653350000000005</v>
      </c>
      <c r="AB4132">
        <v>8</v>
      </c>
      <c r="AC4132">
        <v>167.6157</v>
      </c>
      <c r="AD4132">
        <v>2.2045720000000002</v>
      </c>
      <c r="AE4132">
        <v>-56.6584</v>
      </c>
      <c r="AF4132">
        <v>-38.093782120254602</v>
      </c>
      <c r="AG4132">
        <v>2.2045720000000002</v>
      </c>
      <c r="AH4132">
        <v>172.75515311724101</v>
      </c>
      <c r="AI4132">
        <v>89.286023961758303</v>
      </c>
      <c r="AJ4132">
        <v>102.435142949598</v>
      </c>
      <c r="AK4132">
        <v>176.91901905247499</v>
      </c>
      <c r="AL4132">
        <v>89.530229566359694</v>
      </c>
      <c r="AM4132">
        <v>94.755058165542394</v>
      </c>
      <c r="AN4132">
        <v>1.00000000811917</v>
      </c>
    </row>
    <row r="4133" spans="1:40" x14ac:dyDescent="0.25">
      <c r="A4133" t="str">
        <f>"20190312154004110"</f>
        <v>20190312154004110</v>
      </c>
      <c r="B4133" t="str">
        <f>"1552376404100047"</f>
        <v>1552376404100047</v>
      </c>
      <c r="C4133" t="s">
        <v>40</v>
      </c>
      <c r="D4133">
        <v>4.1819959999999998</v>
      </c>
      <c r="E4133">
        <v>0.42902000000000001</v>
      </c>
      <c r="F4133" t="s">
        <v>72</v>
      </c>
      <c r="G4133">
        <v>-137.7414</v>
      </c>
      <c r="H4133">
        <v>11.51544</v>
      </c>
      <c r="I4133">
        <v>117.90389999999999</v>
      </c>
      <c r="J4133">
        <v>-478.77510000000001</v>
      </c>
      <c r="K4133">
        <v>1.1116360000000001</v>
      </c>
      <c r="L4133">
        <v>218.9213</v>
      </c>
      <c r="M4133">
        <v>0.85925599999999902</v>
      </c>
      <c r="N4133">
        <v>0</v>
      </c>
      <c r="O4133">
        <v>-0.51139709999999905</v>
      </c>
      <c r="P4133">
        <v>0.89899110000000004</v>
      </c>
      <c r="Q4133">
        <v>-3.5231749999999999E-3</v>
      </c>
      <c r="R4133">
        <v>-0.43795299999999998</v>
      </c>
      <c r="S4133">
        <v>2.9199220000000001</v>
      </c>
      <c r="T4133">
        <v>8.9058760000000001E-2</v>
      </c>
      <c r="U4133">
        <v>-0.86502080000000003</v>
      </c>
      <c r="V4133">
        <v>-8.346054E-2</v>
      </c>
      <c r="W4133">
        <v>8.5141269999999998E-3</v>
      </c>
      <c r="X4133">
        <v>0.99647470000000005</v>
      </c>
      <c r="Y4133">
        <v>-0.24598780000000001</v>
      </c>
      <c r="Z4133">
        <v>-1.8091039999999999E-2</v>
      </c>
      <c r="AA4133">
        <v>0.96910410000000002</v>
      </c>
      <c r="AB4133">
        <v>8</v>
      </c>
      <c r="AC4133">
        <v>341.03370000000001</v>
      </c>
      <c r="AD4133">
        <v>10.403803999999999</v>
      </c>
      <c r="AE4133">
        <v>-101.01739999999999</v>
      </c>
      <c r="AF4133">
        <v>-87.535608182549495</v>
      </c>
      <c r="AG4133">
        <v>10.403803999999999</v>
      </c>
      <c r="AH4133">
        <v>344.42679363095499</v>
      </c>
      <c r="AI4133">
        <v>88.3231186489744</v>
      </c>
      <c r="AJ4133">
        <v>104.259742495159</v>
      </c>
      <c r="AK4133">
        <v>355.52853332532999</v>
      </c>
      <c r="AL4133">
        <v>89.512170557800204</v>
      </c>
      <c r="AM4133">
        <v>94.787679717760298</v>
      </c>
      <c r="AN4133">
        <v>0.99999998991787598</v>
      </c>
    </row>
    <row r="4134" spans="1:40" x14ac:dyDescent="0.25">
      <c r="A4134" t="str">
        <f>"20190312154004130"</f>
        <v>20190312154004130</v>
      </c>
      <c r="B4134" t="str">
        <f>"1552376404119566"</f>
        <v>1552376404119566</v>
      </c>
      <c r="C4134" t="s">
        <v>40</v>
      </c>
      <c r="D4134">
        <v>4.0693260000000002</v>
      </c>
      <c r="E4134">
        <v>0.42700840000000001</v>
      </c>
      <c r="F4134" t="s">
        <v>73</v>
      </c>
      <c r="G4134">
        <v>-362.9024</v>
      </c>
      <c r="H4134">
        <v>5.3315970000000004</v>
      </c>
      <c r="I4134">
        <v>187.01220000000001</v>
      </c>
      <c r="J4134">
        <v>-478.71129999999999</v>
      </c>
      <c r="K4134">
        <v>1.111621</v>
      </c>
      <c r="L4134">
        <v>218.89099999999999</v>
      </c>
      <c r="M4134">
        <v>0.86207809999999996</v>
      </c>
      <c r="N4134">
        <v>0</v>
      </c>
      <c r="O4134">
        <v>-0.50662549999999995</v>
      </c>
      <c r="P4134">
        <v>0.90138770000000001</v>
      </c>
      <c r="Q4134">
        <v>-3.3780820000000001E-3</v>
      </c>
      <c r="R4134">
        <v>-0.4330001</v>
      </c>
      <c r="S4134">
        <v>2.9427189999999999</v>
      </c>
      <c r="T4134">
        <v>0.107173</v>
      </c>
      <c r="U4134">
        <v>-0.81036379999999997</v>
      </c>
      <c r="V4134">
        <v>-8.3419099999999996E-2</v>
      </c>
      <c r="W4134">
        <v>8.66051199999999E-3</v>
      </c>
      <c r="X4134">
        <v>0.9964769</v>
      </c>
      <c r="Y4134">
        <v>-0.25915120000000003</v>
      </c>
      <c r="Z4134">
        <v>-2.1773270000000001E-2</v>
      </c>
      <c r="AA4134">
        <v>0.96559130000000004</v>
      </c>
      <c r="AB4134">
        <v>8</v>
      </c>
      <c r="AC4134">
        <v>115.80889999999999</v>
      </c>
      <c r="AD4134">
        <v>4.2199759999999999</v>
      </c>
      <c r="AE4134">
        <v>-31.878799999999899</v>
      </c>
      <c r="AF4134">
        <v>-31.153644036757299</v>
      </c>
      <c r="AG4134">
        <v>4.2199759999999999</v>
      </c>
      <c r="AH4134">
        <v>115.852747527885</v>
      </c>
      <c r="AI4134">
        <v>87.985409199694601</v>
      </c>
      <c r="AJ4134">
        <v>105.05120340264899</v>
      </c>
      <c r="AK4134">
        <v>120.04256263496499</v>
      </c>
      <c r="AL4134">
        <v>89.503783001570298</v>
      </c>
      <c r="AM4134">
        <v>94.785303055305704</v>
      </c>
      <c r="AN4134">
        <v>0.99999998147325997</v>
      </c>
    </row>
    <row r="4135" spans="1:40" x14ac:dyDescent="0.25">
      <c r="A4135" t="str">
        <f>"20190312154004153"</f>
        <v>20190312154004153</v>
      </c>
      <c r="B4135" t="str">
        <f>"1552376404139683"</f>
        <v>1552376404139683</v>
      </c>
      <c r="C4135" t="s">
        <v>40</v>
      </c>
      <c r="D4135">
        <v>4.077464</v>
      </c>
      <c r="E4135">
        <v>0.4267707</v>
      </c>
      <c r="F4135" t="s">
        <v>73</v>
      </c>
      <c r="G4135">
        <v>-365.55099999999999</v>
      </c>
      <c r="H4135">
        <v>5.5009079999999999</v>
      </c>
      <c r="I4135">
        <v>189.01990000000001</v>
      </c>
      <c r="J4135">
        <v>-478.6447</v>
      </c>
      <c r="K4135">
        <v>1.1116060000000001</v>
      </c>
      <c r="L4135">
        <v>218.85980000000001</v>
      </c>
      <c r="M4135">
        <v>0.86499059999999905</v>
      </c>
      <c r="N4135">
        <v>0</v>
      </c>
      <c r="O4135">
        <v>-0.50163670000000005</v>
      </c>
      <c r="P4135">
        <v>0.90370950000000005</v>
      </c>
      <c r="Q4135">
        <v>-4.175832E-3</v>
      </c>
      <c r="R4135">
        <v>-0.42812640000000002</v>
      </c>
      <c r="S4135">
        <v>2.9540099999999998</v>
      </c>
      <c r="T4135">
        <v>0.114583</v>
      </c>
      <c r="U4135">
        <v>-0.77976990000000002</v>
      </c>
      <c r="V4135">
        <v>-8.3039050000000003E-2</v>
      </c>
      <c r="W4135">
        <v>7.8646959999999991E-3</v>
      </c>
      <c r="X4135">
        <v>0.99651529999999999</v>
      </c>
      <c r="Y4135">
        <v>-0.2637776</v>
      </c>
      <c r="Z4135">
        <v>-2.316168E-2</v>
      </c>
      <c r="AA4135">
        <v>0.96430539999999998</v>
      </c>
      <c r="AB4135">
        <v>8</v>
      </c>
      <c r="AC4135">
        <v>113.0937</v>
      </c>
      <c r="AD4135">
        <v>4.3893019999999998</v>
      </c>
      <c r="AE4135">
        <v>-29.8399</v>
      </c>
      <c r="AF4135">
        <v>-30.8795791334204</v>
      </c>
      <c r="AG4135">
        <v>4.3893019999999998</v>
      </c>
      <c r="AH4135">
        <v>112.64371044403001</v>
      </c>
      <c r="AI4135">
        <v>87.847851149425793</v>
      </c>
      <c r="AJ4135">
        <v>105.33016264426</v>
      </c>
      <c r="AK4135">
        <v>116.882076821482</v>
      </c>
      <c r="AL4135">
        <v>89.549381484696198</v>
      </c>
      <c r="AM4135">
        <v>94.763419478000699</v>
      </c>
      <c r="AN4135">
        <v>1.00000004020108</v>
      </c>
    </row>
    <row r="4136" spans="1:40" x14ac:dyDescent="0.25">
      <c r="A4136" t="str">
        <f>"20190312154004175"</f>
        <v>20190312154004175</v>
      </c>
      <c r="B4136" t="str">
        <f>"1552376404169938"</f>
        <v>1552376404169938</v>
      </c>
      <c r="C4136" t="s">
        <v>40</v>
      </c>
      <c r="D4136">
        <v>4.003495</v>
      </c>
      <c r="E4136">
        <v>0.4270408</v>
      </c>
      <c r="F4136" t="s">
        <v>73</v>
      </c>
      <c r="G4136">
        <v>-365.26069999999999</v>
      </c>
      <c r="H4136">
        <v>5.544244</v>
      </c>
      <c r="I4136">
        <v>189.6507</v>
      </c>
      <c r="J4136">
        <v>-478.57619999999997</v>
      </c>
      <c r="K4136">
        <v>1.1116029999999999</v>
      </c>
      <c r="L4136">
        <v>218.82820000000001</v>
      </c>
      <c r="M4136">
        <v>0.867947899999999</v>
      </c>
      <c r="N4136">
        <v>0</v>
      </c>
      <c r="O4136">
        <v>-0.4965022</v>
      </c>
      <c r="P4136">
        <v>0.90557719999999997</v>
      </c>
      <c r="Q4136">
        <v>-5.082563E-3</v>
      </c>
      <c r="R4136">
        <v>-0.42415120000000001</v>
      </c>
      <c r="S4136">
        <v>2.9590450000000001</v>
      </c>
      <c r="T4136">
        <v>0.1156832</v>
      </c>
      <c r="U4136">
        <v>-0.7622833</v>
      </c>
      <c r="V4136">
        <v>-8.1507979999999994E-2</v>
      </c>
      <c r="W4136">
        <v>6.9649289999999999E-3</v>
      </c>
      <c r="X4136">
        <v>0.99664839999999999</v>
      </c>
      <c r="Y4136">
        <v>-0.26379740000000002</v>
      </c>
      <c r="Z4136">
        <v>-2.320146E-2</v>
      </c>
      <c r="AA4136">
        <v>0.96429900000000002</v>
      </c>
      <c r="AB4136">
        <v>8</v>
      </c>
      <c r="AC4136">
        <v>113.3155</v>
      </c>
      <c r="AD4136">
        <v>4.4326410000000003</v>
      </c>
      <c r="AE4136">
        <v>-29.177499999999998</v>
      </c>
      <c r="AF4136">
        <v>-30.894861139308201</v>
      </c>
      <c r="AG4136">
        <v>4.4326410000000003</v>
      </c>
      <c r="AH4136">
        <v>112.685511120619</v>
      </c>
      <c r="AI4136">
        <v>87.827445802941796</v>
      </c>
      <c r="AJ4136">
        <v>105.331970582811</v>
      </c>
      <c r="AK4136">
        <v>116.928034138812</v>
      </c>
      <c r="AL4136">
        <v>89.600935756005697</v>
      </c>
      <c r="AM4136">
        <v>94.675363172612407</v>
      </c>
      <c r="AN4136">
        <v>1.0000000471310999</v>
      </c>
    </row>
    <row r="4137" spans="1:40" x14ac:dyDescent="0.25">
      <c r="A4137" t="str">
        <f>"20190312154004200"</f>
        <v>20190312154004200</v>
      </c>
      <c r="B4137" t="str">
        <f>"1552376404189459"</f>
        <v>1552376404189459</v>
      </c>
      <c r="C4137" t="s">
        <v>40</v>
      </c>
      <c r="D4137">
        <v>4.0100619999999996</v>
      </c>
      <c r="E4137">
        <v>0.42755520000000002</v>
      </c>
      <c r="F4137" t="s">
        <v>73</v>
      </c>
      <c r="G4137">
        <v>-364.97269999999997</v>
      </c>
      <c r="H4137">
        <v>5.5610869999999997</v>
      </c>
      <c r="I4137">
        <v>189.99700000000001</v>
      </c>
      <c r="J4137">
        <v>-478.50130000000001</v>
      </c>
      <c r="K4137">
        <v>1.1115930000000001</v>
      </c>
      <c r="L4137">
        <v>218.79419999999999</v>
      </c>
      <c r="M4137">
        <v>0.87113819999999997</v>
      </c>
      <c r="N4137">
        <v>0</v>
      </c>
      <c r="O4137">
        <v>-0.49088300000000001</v>
      </c>
      <c r="P4137">
        <v>0.907528</v>
      </c>
      <c r="Q4137">
        <v>-5.2878279999999996E-3</v>
      </c>
      <c r="R4137">
        <v>-0.41995830000000001</v>
      </c>
      <c r="S4137">
        <v>2.9614259999999999</v>
      </c>
      <c r="T4137">
        <v>0.11599180000000001</v>
      </c>
      <c r="U4137">
        <v>-0.75157169999999995</v>
      </c>
      <c r="V4137">
        <v>-7.967544E-2</v>
      </c>
      <c r="W4137">
        <v>6.7670469999999896E-3</v>
      </c>
      <c r="X4137">
        <v>0.99679790000000001</v>
      </c>
      <c r="Y4137">
        <v>-0.26102740000000002</v>
      </c>
      <c r="Z4137">
        <v>-2.302069E-2</v>
      </c>
      <c r="AA4137">
        <v>0.96505680000000005</v>
      </c>
      <c r="AB4137">
        <v>8</v>
      </c>
      <c r="AC4137">
        <v>113.5286</v>
      </c>
      <c r="AD4137">
        <v>4.4494939999999996</v>
      </c>
      <c r="AE4137">
        <v>-28.797199999999901</v>
      </c>
      <c r="AF4137">
        <v>-30.60108588124</v>
      </c>
      <c r="AG4137">
        <v>4.4494939999999996</v>
      </c>
      <c r="AH4137">
        <v>112.880843584621</v>
      </c>
      <c r="AI4137">
        <v>87.821264836682801</v>
      </c>
      <c r="AJ4137">
        <v>105.167871179709</v>
      </c>
      <c r="AK4137">
        <v>117.03977658190701</v>
      </c>
      <c r="AL4137">
        <v>89.612273812194999</v>
      </c>
      <c r="AM4137">
        <v>94.570015077113098</v>
      </c>
      <c r="AN4137">
        <v>1.0000000110543501</v>
      </c>
    </row>
    <row r="4138" spans="1:40" x14ac:dyDescent="0.25">
      <c r="A4138" t="str">
        <f>"20190312154004222"</f>
        <v>20190312154004222</v>
      </c>
      <c r="B4138" t="str">
        <f>"1552376404209955"</f>
        <v>1552376404209955</v>
      </c>
      <c r="C4138" t="s">
        <v>40</v>
      </c>
      <c r="D4138">
        <v>3.9902630000000001</v>
      </c>
      <c r="E4138">
        <v>0.42816369999999998</v>
      </c>
      <c r="F4138" t="s">
        <v>73</v>
      </c>
      <c r="G4138">
        <v>-364.6395</v>
      </c>
      <c r="H4138">
        <v>5.5798699999999997</v>
      </c>
      <c r="I4138">
        <v>190.28319999999999</v>
      </c>
      <c r="J4138">
        <v>-478.43290000000002</v>
      </c>
      <c r="K4138">
        <v>1.111583</v>
      </c>
      <c r="L4138">
        <v>218.7637</v>
      </c>
      <c r="M4138">
        <v>0.87400750000000005</v>
      </c>
      <c r="N4138">
        <v>0</v>
      </c>
      <c r="O4138">
        <v>-0.48575620000000003</v>
      </c>
      <c r="P4138">
        <v>0.90973490000000001</v>
      </c>
      <c r="Q4138">
        <v>-4.9943089999999997E-3</v>
      </c>
      <c r="R4138">
        <v>-0.41516019999999998</v>
      </c>
      <c r="S4138">
        <v>2.9630429999999999</v>
      </c>
      <c r="T4138">
        <v>0.11628090000000001</v>
      </c>
      <c r="U4138">
        <v>-0.74194340000000003</v>
      </c>
      <c r="V4138">
        <v>-7.9083509999999996E-2</v>
      </c>
      <c r="W4138">
        <v>7.0626789999999997E-3</v>
      </c>
      <c r="X4138">
        <v>0.99684300000000003</v>
      </c>
      <c r="Y4138">
        <v>-0.25843159999999998</v>
      </c>
      <c r="Z4138">
        <v>-2.2857880000000001E-2</v>
      </c>
      <c r="AA4138">
        <v>0.96575909999999998</v>
      </c>
      <c r="AB4138">
        <v>8</v>
      </c>
      <c r="AC4138">
        <v>113.79340000000001</v>
      </c>
      <c r="AD4138">
        <v>4.4682870000000001</v>
      </c>
      <c r="AE4138">
        <v>-28.480499999999999</v>
      </c>
      <c r="AF4138">
        <v>-30.341959851093499</v>
      </c>
      <c r="AG4138">
        <v>4.4682870000000001</v>
      </c>
      <c r="AH4138">
        <v>113.135307485859</v>
      </c>
      <c r="AI4138">
        <v>87.815397471973995</v>
      </c>
      <c r="AJ4138">
        <v>105.012967552425</v>
      </c>
      <c r="AK4138">
        <v>117.21859031842899</v>
      </c>
      <c r="AL4138">
        <v>89.595334947027894</v>
      </c>
      <c r="AM4138">
        <v>94.536001073449796</v>
      </c>
      <c r="AN4138">
        <v>1.0000000248187799</v>
      </c>
    </row>
    <row r="4139" spans="1:40" x14ac:dyDescent="0.25">
      <c r="A4139" t="str">
        <f>"20190312154004242"</f>
        <v>20190312154004242</v>
      </c>
      <c r="B4139" t="str">
        <f>"1552376404240051"</f>
        <v>1552376404240051</v>
      </c>
      <c r="C4139" t="s">
        <v>40</v>
      </c>
      <c r="D4139">
        <v>3.9537930000000001</v>
      </c>
      <c r="E4139">
        <v>0.42910199999999998</v>
      </c>
      <c r="F4139" t="s">
        <v>73</v>
      </c>
      <c r="G4139">
        <v>-363.35359999999997</v>
      </c>
      <c r="H4139">
        <v>5.6305719999999999</v>
      </c>
      <c r="I4139">
        <v>190.41399999999999</v>
      </c>
      <c r="J4139">
        <v>-478.36860000000001</v>
      </c>
      <c r="K4139">
        <v>1.1115809999999999</v>
      </c>
      <c r="L4139">
        <v>218.7355</v>
      </c>
      <c r="M4139">
        <v>0.87667580000000001</v>
      </c>
      <c r="N4139">
        <v>0</v>
      </c>
      <c r="O4139">
        <v>-0.48092360000000001</v>
      </c>
      <c r="P4139">
        <v>0.91192019999999996</v>
      </c>
      <c r="Q4139">
        <v>-5.1150099999999997E-3</v>
      </c>
      <c r="R4139">
        <v>-0.41033579999999997</v>
      </c>
      <c r="S4139">
        <v>2.9649960000000002</v>
      </c>
      <c r="T4139">
        <v>0.1164331</v>
      </c>
      <c r="U4139">
        <v>-0.73042299999999905</v>
      </c>
      <c r="V4139">
        <v>-7.8859680000000001E-2</v>
      </c>
      <c r="W4139">
        <v>6.9429959999999999E-3</v>
      </c>
      <c r="X4139">
        <v>0.99686160000000001</v>
      </c>
      <c r="Y4139">
        <v>-0.2567856</v>
      </c>
      <c r="Z4139">
        <v>-2.269463E-2</v>
      </c>
      <c r="AA4139">
        <v>0.96620189999999995</v>
      </c>
      <c r="AB4139">
        <v>8</v>
      </c>
      <c r="AC4139">
        <v>115.015</v>
      </c>
      <c r="AD4139">
        <v>4.5189909999999998</v>
      </c>
      <c r="AE4139">
        <v>-28.321499999999901</v>
      </c>
      <c r="AF4139">
        <v>-30.4426629114351</v>
      </c>
      <c r="AG4139">
        <v>4.5189909999999998</v>
      </c>
      <c r="AH4139">
        <v>114.29369317123999</v>
      </c>
      <c r="AI4139">
        <v>87.8120010461151</v>
      </c>
      <c r="AJ4139">
        <v>104.91472844920099</v>
      </c>
      <c r="AK4139">
        <v>118.364797568867</v>
      </c>
      <c r="AL4139">
        <v>89.602192456577001</v>
      </c>
      <c r="AM4139">
        <v>94.5231321364422</v>
      </c>
      <c r="AN4139">
        <v>1.0000000519388501</v>
      </c>
    </row>
    <row r="4140" spans="1:40" x14ac:dyDescent="0.25">
      <c r="A4140" t="str">
        <f>"20190312154004264"</f>
        <v>20190312154004264</v>
      </c>
      <c r="B4140" t="str">
        <f>"1552376404259571"</f>
        <v>1552376404259571</v>
      </c>
      <c r="C4140" t="s">
        <v>40</v>
      </c>
      <c r="D4140">
        <v>3.90951</v>
      </c>
      <c r="E4140">
        <v>0.4296777</v>
      </c>
      <c r="F4140" t="s">
        <v>73</v>
      </c>
      <c r="G4140">
        <v>-363.05590000000001</v>
      </c>
      <c r="H4140">
        <v>5.6328269999999998</v>
      </c>
      <c r="I4140">
        <v>190.68559999999999</v>
      </c>
      <c r="J4140">
        <v>-478.30119999999999</v>
      </c>
      <c r="K4140">
        <v>1.1115820000000001</v>
      </c>
      <c r="L4140">
        <v>218.7063</v>
      </c>
      <c r="M4140">
        <v>0.87943329999999997</v>
      </c>
      <c r="N4140">
        <v>0</v>
      </c>
      <c r="O4140">
        <v>-0.47586270000000003</v>
      </c>
      <c r="P4140">
        <v>0.91417720000000002</v>
      </c>
      <c r="Q4140">
        <v>-5.6942109999999898E-3</v>
      </c>
      <c r="R4140">
        <v>-0.40527550000000001</v>
      </c>
      <c r="S4140">
        <v>2.9658199999999999</v>
      </c>
      <c r="T4140">
        <v>0.1162878</v>
      </c>
      <c r="U4140">
        <v>-0.72143550000000001</v>
      </c>
      <c r="V4140">
        <v>-7.8635629999999998E-2</v>
      </c>
      <c r="W4140">
        <v>6.3646049999999997E-3</v>
      </c>
      <c r="X4140">
        <v>0.99688310000000002</v>
      </c>
      <c r="Y4140">
        <v>-0.25404510000000002</v>
      </c>
      <c r="Z4140">
        <v>-2.244896E-2</v>
      </c>
      <c r="AA4140">
        <v>0.96693180000000001</v>
      </c>
      <c r="AB4140">
        <v>8</v>
      </c>
      <c r="AC4140">
        <v>115.2453</v>
      </c>
      <c r="AD4140">
        <v>4.5212450000000004</v>
      </c>
      <c r="AE4140">
        <v>-28.020700000000001</v>
      </c>
      <c r="AF4140">
        <v>-30.157070415160799</v>
      </c>
      <c r="AG4140">
        <v>4.5212450000000004</v>
      </c>
      <c r="AH4140">
        <v>114.52683326195699</v>
      </c>
      <c r="AI4140">
        <v>87.813722355816594</v>
      </c>
      <c r="AJ4140">
        <v>104.752185577967</v>
      </c>
      <c r="AK4140">
        <v>118.51702868949801</v>
      </c>
      <c r="AL4140">
        <v>89.635332530568803</v>
      </c>
      <c r="AM4140">
        <v>94.510237589539102</v>
      </c>
      <c r="AN4140">
        <v>0.99999999278395602</v>
      </c>
    </row>
    <row r="4141" spans="1:40" x14ac:dyDescent="0.25">
      <c r="A4141" t="str">
        <f>"20190312154004288"</f>
        <v>20190312154004288</v>
      </c>
      <c r="B4141" t="str">
        <f>"1552376404280068"</f>
        <v>1552376404280068</v>
      </c>
      <c r="C4141" t="s">
        <v>40</v>
      </c>
      <c r="D4141">
        <v>3.9170970000000001</v>
      </c>
      <c r="E4141">
        <v>0.43026239999999999</v>
      </c>
      <c r="F4141" t="s">
        <v>73</v>
      </c>
      <c r="G4141">
        <v>-364.17450000000002</v>
      </c>
      <c r="H4141">
        <v>5.6160509999999997</v>
      </c>
      <c r="I4141">
        <v>191.42140000000001</v>
      </c>
      <c r="J4141">
        <v>-478.2276</v>
      </c>
      <c r="K4141">
        <v>1.1115790000000001</v>
      </c>
      <c r="L4141">
        <v>218.67500000000001</v>
      </c>
      <c r="M4141">
        <v>0.88240419999999997</v>
      </c>
      <c r="N4141">
        <v>0</v>
      </c>
      <c r="O4141">
        <v>-0.47033049999999998</v>
      </c>
      <c r="P4141">
        <v>0.91654029999999997</v>
      </c>
      <c r="Q4141">
        <v>-5.3181979999999997E-3</v>
      </c>
      <c r="R4141">
        <v>-0.39990690000000001</v>
      </c>
      <c r="S4141">
        <v>2.9678339999999999</v>
      </c>
      <c r="T4141">
        <v>0.1171398</v>
      </c>
      <c r="U4141">
        <v>-0.70953369999999905</v>
      </c>
      <c r="V4141">
        <v>-7.8223769999999998E-2</v>
      </c>
      <c r="W4141">
        <v>6.7422510000000003E-3</v>
      </c>
      <c r="X4141">
        <v>0.99691300000000005</v>
      </c>
      <c r="Y4141">
        <v>-0.25178410000000001</v>
      </c>
      <c r="Z4141">
        <v>-2.2381700000000001E-2</v>
      </c>
      <c r="AA4141">
        <v>0.96752459999999996</v>
      </c>
      <c r="AB4141">
        <v>8</v>
      </c>
      <c r="AC4141">
        <v>114.05309999999901</v>
      </c>
      <c r="AD4141">
        <v>4.5044719999999998</v>
      </c>
      <c r="AE4141">
        <v>-27.253599999999999</v>
      </c>
      <c r="AF4141">
        <v>-29.552603841992799</v>
      </c>
      <c r="AG4141">
        <v>4.5044719999999998</v>
      </c>
      <c r="AH4141">
        <v>113.300578308459</v>
      </c>
      <c r="AI4141">
        <v>87.796932947646695</v>
      </c>
      <c r="AJ4141">
        <v>104.61894751248801</v>
      </c>
      <c r="AK4141">
        <v>117.17793182537299</v>
      </c>
      <c r="AL4141">
        <v>89.613694535982503</v>
      </c>
      <c r="AM4141">
        <v>94.486577569287206</v>
      </c>
      <c r="AN4141">
        <v>0.99999997285527897</v>
      </c>
    </row>
    <row r="4142" spans="1:40" x14ac:dyDescent="0.25">
      <c r="A4142" t="str">
        <f>"20190312154004310"</f>
        <v>20190312154004310</v>
      </c>
      <c r="B4142" t="str">
        <f>"1552376404299586"</f>
        <v>1552376404299586</v>
      </c>
      <c r="C4142" t="s">
        <v>40</v>
      </c>
      <c r="D4142">
        <v>3.8649439999999999</v>
      </c>
      <c r="E4142">
        <v>0.4307802</v>
      </c>
      <c r="F4142" t="s">
        <v>73</v>
      </c>
      <c r="G4142">
        <v>-362.89179999999999</v>
      </c>
      <c r="H4142">
        <v>5.8771360000000001</v>
      </c>
      <c r="I4142">
        <v>191.6216</v>
      </c>
      <c r="J4142">
        <v>-478.16</v>
      </c>
      <c r="K4142">
        <v>1.11158</v>
      </c>
      <c r="L4142">
        <v>218.64670000000001</v>
      </c>
      <c r="M4142">
        <v>0.88509509999999902</v>
      </c>
      <c r="N4142">
        <v>0</v>
      </c>
      <c r="O4142">
        <v>-0.46524739999999998</v>
      </c>
      <c r="P4142">
        <v>0.91883809999999999</v>
      </c>
      <c r="Q4142">
        <v>-4.9615149999999997E-3</v>
      </c>
      <c r="R4142">
        <v>-0.39460400000000001</v>
      </c>
      <c r="S4142">
        <v>2.9699710000000001</v>
      </c>
      <c r="T4142">
        <v>0.12271849999999999</v>
      </c>
      <c r="U4142">
        <v>-0.69663999999999904</v>
      </c>
      <c r="V4142">
        <v>-7.825211E-2</v>
      </c>
      <c r="W4142">
        <v>7.0984409999999996E-3</v>
      </c>
      <c r="X4142">
        <v>0.99690829999999997</v>
      </c>
      <c r="Y4142">
        <v>-0.25030859999999999</v>
      </c>
      <c r="Z4142">
        <v>-2.3235410000000001E-2</v>
      </c>
      <c r="AA4142">
        <v>0.96788719999999995</v>
      </c>
      <c r="AB4142">
        <v>8</v>
      </c>
      <c r="AC4142">
        <v>115.26819999999999</v>
      </c>
      <c r="AD4142">
        <v>4.7655560000000001</v>
      </c>
      <c r="AE4142">
        <v>-27.025099999999998</v>
      </c>
      <c r="AF4142">
        <v>-29.662638346455299</v>
      </c>
      <c r="AG4142">
        <v>4.7655560000000001</v>
      </c>
      <c r="AH4142">
        <v>114.41997617710599</v>
      </c>
      <c r="AI4142">
        <v>87.691261001441205</v>
      </c>
      <c r="AJ4142">
        <v>104.533610533237</v>
      </c>
      <c r="AK4142">
        <v>118.298409059595</v>
      </c>
      <c r="AL4142">
        <v>89.593285861586807</v>
      </c>
      <c r="AM4142">
        <v>94.488217462698998</v>
      </c>
      <c r="AN4142">
        <v>0.99999996959648496</v>
      </c>
    </row>
    <row r="4143" spans="1:40" x14ac:dyDescent="0.25">
      <c r="A4143" t="str">
        <f>"20190312154004331"</f>
        <v>20190312154004331</v>
      </c>
      <c r="B4143" t="str">
        <f>"1552376404320083"</f>
        <v>1552376404320083</v>
      </c>
      <c r="C4143" t="s">
        <v>40</v>
      </c>
      <c r="D4143">
        <v>3.8647079999999998</v>
      </c>
      <c r="E4143">
        <v>0.43138609999999999</v>
      </c>
      <c r="F4143" t="s">
        <v>73</v>
      </c>
      <c r="G4143">
        <v>-362.97910000000002</v>
      </c>
      <c r="H4143">
        <v>6.0316199999999904</v>
      </c>
      <c r="I4143">
        <v>192.1523</v>
      </c>
      <c r="J4143">
        <v>-478.09359999999998</v>
      </c>
      <c r="K4143">
        <v>1.1115729999999999</v>
      </c>
      <c r="L4143">
        <v>218.61940000000001</v>
      </c>
      <c r="M4143">
        <v>0.88770689999999997</v>
      </c>
      <c r="N4143">
        <v>0</v>
      </c>
      <c r="O4143">
        <v>-0.46024409999999999</v>
      </c>
      <c r="P4143">
        <v>0.92118500000000003</v>
      </c>
      <c r="Q4143">
        <v>-4.751407E-3</v>
      </c>
      <c r="R4143">
        <v>-0.38909660000000001</v>
      </c>
      <c r="S4143">
        <v>2.9721069999999998</v>
      </c>
      <c r="T4143">
        <v>0.12695799999999999</v>
      </c>
      <c r="U4143">
        <v>-0.68365480000000001</v>
      </c>
      <c r="V4143">
        <v>-7.8594720000000007E-2</v>
      </c>
      <c r="W4143">
        <v>7.3072900000000001E-3</v>
      </c>
      <c r="X4143">
        <v>0.99687990000000004</v>
      </c>
      <c r="Y4143">
        <v>-0.2489778</v>
      </c>
      <c r="Z4143">
        <v>-2.3823980000000002E-2</v>
      </c>
      <c r="AA4143">
        <v>0.96821610000000002</v>
      </c>
      <c r="AB4143">
        <v>8</v>
      </c>
      <c r="AC4143">
        <v>115.114499999999</v>
      </c>
      <c r="AD4143">
        <v>4.9200469999999896</v>
      </c>
      <c r="AE4143">
        <v>-26.467099999999999</v>
      </c>
      <c r="AF4143">
        <v>-29.436906930456299</v>
      </c>
      <c r="AG4143">
        <v>4.9200469999999896</v>
      </c>
      <c r="AH4143">
        <v>114.17984054104301</v>
      </c>
      <c r="AI4143">
        <v>87.610665763933497</v>
      </c>
      <c r="AJ4143">
        <v>104.45671624785101</v>
      </c>
      <c r="AK4143">
        <v>118.015991874375</v>
      </c>
      <c r="AL4143">
        <v>89.581319410132707</v>
      </c>
      <c r="AM4143">
        <v>94.507915233701397</v>
      </c>
      <c r="AN4143">
        <v>1.00000003076151</v>
      </c>
    </row>
    <row r="4144" spans="1:40" x14ac:dyDescent="0.25">
      <c r="A4144" t="str">
        <f>"20190312154004353"</f>
        <v>20190312154004353</v>
      </c>
      <c r="B4144" t="str">
        <f>"1552376404349869"</f>
        <v>1552376404349869</v>
      </c>
      <c r="C4144" t="s">
        <v>40</v>
      </c>
      <c r="D4144">
        <v>3.8798870000000001</v>
      </c>
      <c r="E4144">
        <v>0.44282260000000001</v>
      </c>
      <c r="F4144" t="s">
        <v>73</v>
      </c>
      <c r="G4144">
        <v>-363.04660000000001</v>
      </c>
      <c r="H4144">
        <v>6.1280989999999997</v>
      </c>
      <c r="I4144">
        <v>192.69759999999999</v>
      </c>
      <c r="J4144">
        <v>-478.02460000000002</v>
      </c>
      <c r="K4144">
        <v>1.1115549999999901</v>
      </c>
      <c r="L4144">
        <v>218.59139999999999</v>
      </c>
      <c r="M4144">
        <v>0.89037900000000003</v>
      </c>
      <c r="N4144">
        <v>0</v>
      </c>
      <c r="O4144">
        <v>-0.45505309999999999</v>
      </c>
      <c r="P4144">
        <v>0.92352710000000005</v>
      </c>
      <c r="Q4144">
        <v>-5.1804260000000001E-3</v>
      </c>
      <c r="R4144">
        <v>-0.38349850000000002</v>
      </c>
      <c r="S4144">
        <v>2.9743040000000001</v>
      </c>
      <c r="T4144">
        <v>0.12969429999999901</v>
      </c>
      <c r="U4144">
        <v>-0.67015080000000005</v>
      </c>
      <c r="V4144">
        <v>-7.8821699999999995E-2</v>
      </c>
      <c r="W4144">
        <v>6.8771930000000002E-3</v>
      </c>
      <c r="X4144">
        <v>0.996865</v>
      </c>
      <c r="Y4144">
        <v>-0.2476389</v>
      </c>
      <c r="Z4144">
        <v>-2.4110880000000001E-2</v>
      </c>
      <c r="AA4144">
        <v>0.96855239999999998</v>
      </c>
      <c r="AB4144">
        <v>8</v>
      </c>
      <c r="AC4144">
        <v>114.97799999999999</v>
      </c>
      <c r="AD4144">
        <v>5.0165439999999997</v>
      </c>
      <c r="AE4144">
        <v>-25.893799999999999</v>
      </c>
      <c r="AF4144">
        <v>-29.215092882774901</v>
      </c>
      <c r="AG4144">
        <v>5.0165439999999997</v>
      </c>
      <c r="AH4144">
        <v>113.959259095897</v>
      </c>
      <c r="AI4144">
        <v>87.558298798996901</v>
      </c>
      <c r="AJ4144">
        <v>104.378927287617</v>
      </c>
      <c r="AK4144">
        <v>117.751433534963</v>
      </c>
      <c r="AL4144">
        <v>89.605962757037801</v>
      </c>
      <c r="AM4144">
        <v>94.520947405651498</v>
      </c>
      <c r="AN4144">
        <v>0.99999999219972402</v>
      </c>
    </row>
    <row r="4145" spans="1:40" x14ac:dyDescent="0.25">
      <c r="A4145" t="str">
        <f>"20190312154004377"</f>
        <v>20190312154004377</v>
      </c>
      <c r="B4145" t="str">
        <f>"1552376404370365"</f>
        <v>1552376404370365</v>
      </c>
      <c r="C4145" t="s">
        <v>40</v>
      </c>
      <c r="D4145">
        <v>3.8657010000000001</v>
      </c>
      <c r="E4145">
        <v>0.4432664</v>
      </c>
      <c r="F4145" t="s">
        <v>73</v>
      </c>
      <c r="G4145">
        <v>-363.34179999999998</v>
      </c>
      <c r="H4145">
        <v>6.7169020000000002</v>
      </c>
      <c r="I4145">
        <v>189.85640000000001</v>
      </c>
      <c r="J4145">
        <v>-477.95249999999999</v>
      </c>
      <c r="K4145">
        <v>1.1115600000000001</v>
      </c>
      <c r="L4145">
        <v>218.56270000000001</v>
      </c>
      <c r="M4145">
        <v>0.89313750000000003</v>
      </c>
      <c r="N4145">
        <v>0</v>
      </c>
      <c r="O4145">
        <v>-0.44961509999999999</v>
      </c>
      <c r="P4145">
        <v>0.92571360000000003</v>
      </c>
      <c r="Q4145">
        <v>-5.9462839999999996E-3</v>
      </c>
      <c r="R4145">
        <v>-0.3781794</v>
      </c>
      <c r="S4145">
        <v>2.942993</v>
      </c>
      <c r="T4145">
        <v>0.1438468</v>
      </c>
      <c r="U4145">
        <v>-0.73739619999999995</v>
      </c>
      <c r="V4145">
        <v>-7.8473189999999998E-2</v>
      </c>
      <c r="W4145">
        <v>6.1128399999999996E-3</v>
      </c>
      <c r="X4145">
        <v>0.99689749999999999</v>
      </c>
      <c r="Y4145">
        <v>-0.2183736</v>
      </c>
      <c r="Z4145">
        <v>-2.5982769999999999E-2</v>
      </c>
      <c r="AA4145">
        <v>0.97551929999999998</v>
      </c>
      <c r="AB4145">
        <v>8</v>
      </c>
      <c r="AC4145">
        <v>114.61069999999999</v>
      </c>
      <c r="AD4145">
        <v>5.6053420000000003</v>
      </c>
      <c r="AE4145">
        <v>-28.706299999999999</v>
      </c>
      <c r="AF4145">
        <v>-25.835841755423999</v>
      </c>
      <c r="AG4145">
        <v>5.6053420000000003</v>
      </c>
      <c r="AH4145">
        <v>115.019760467141</v>
      </c>
      <c r="AI4145">
        <v>87.2776956494572</v>
      </c>
      <c r="AJ4145">
        <v>102.659707445392</v>
      </c>
      <c r="AK4145">
        <v>118.01887932050001</v>
      </c>
      <c r="AL4145">
        <v>89.649757891830603</v>
      </c>
      <c r="AM4145">
        <v>94.500894229687702</v>
      </c>
      <c r="AN4145">
        <v>1.00000001693394</v>
      </c>
    </row>
    <row r="4146" spans="1:40" x14ac:dyDescent="0.25">
      <c r="A4146" t="str">
        <f>"20190312154004401"</f>
        <v>20190312154004401</v>
      </c>
      <c r="B4146" t="str">
        <f>"1552376404389885"</f>
        <v>1552376404389885</v>
      </c>
      <c r="C4146" t="s">
        <v>40</v>
      </c>
      <c r="D4146">
        <v>3.854895</v>
      </c>
      <c r="E4146">
        <v>0.44454850000000001</v>
      </c>
      <c r="F4146" t="s">
        <v>73</v>
      </c>
      <c r="G4146">
        <v>-363.22500000000002</v>
      </c>
      <c r="H4146">
        <v>6.8777039999999996</v>
      </c>
      <c r="I4146">
        <v>190.35400000000001</v>
      </c>
      <c r="J4146">
        <v>-477.8784</v>
      </c>
      <c r="K4146">
        <v>1.111559</v>
      </c>
      <c r="L4146">
        <v>218.53380000000001</v>
      </c>
      <c r="M4146">
        <v>0.89592929999999904</v>
      </c>
      <c r="N4146">
        <v>0</v>
      </c>
      <c r="O4146">
        <v>-0.44402550000000002</v>
      </c>
      <c r="P4146">
        <v>0.92802450000000003</v>
      </c>
      <c r="Q4146">
        <v>-5.5478069999999897E-3</v>
      </c>
      <c r="R4146">
        <v>-0.37247839999999999</v>
      </c>
      <c r="S4146">
        <v>2.94577</v>
      </c>
      <c r="T4146">
        <v>0.1480551</v>
      </c>
      <c r="U4146">
        <v>-0.72428890000000001</v>
      </c>
      <c r="V4146">
        <v>-7.8377909999999995E-2</v>
      </c>
      <c r="W4146">
        <v>6.5119449999999999E-3</v>
      </c>
      <c r="X4146">
        <v>0.99690250000000002</v>
      </c>
      <c r="Y4146">
        <v>-0.21654799999999999</v>
      </c>
      <c r="Z4146">
        <v>-2.6447089999999999E-2</v>
      </c>
      <c r="AA4146">
        <v>0.97591360000000005</v>
      </c>
      <c r="AB4146">
        <v>8</v>
      </c>
      <c r="AC4146">
        <v>114.653399999999</v>
      </c>
      <c r="AD4146">
        <v>5.7661449999999999</v>
      </c>
      <c r="AE4146">
        <v>-28.1798</v>
      </c>
      <c r="AF4146">
        <v>-25.602808196207398</v>
      </c>
      <c r="AG4146">
        <v>5.7661449999999999</v>
      </c>
      <c r="AH4146">
        <v>114.968429463438</v>
      </c>
      <c r="AI4146">
        <v>87.197325871200107</v>
      </c>
      <c r="AJ4146">
        <v>102.55457762669501</v>
      </c>
      <c r="AK4146">
        <v>117.925790177477</v>
      </c>
      <c r="AL4146">
        <v>89.6268904161102</v>
      </c>
      <c r="AM4146">
        <v>94.495429326265096</v>
      </c>
      <c r="AN4146">
        <v>1.0000000483549401</v>
      </c>
    </row>
    <row r="4147" spans="1:40" x14ac:dyDescent="0.25">
      <c r="A4147" t="str">
        <f>"20190312154004423"</f>
        <v>20190312154004423</v>
      </c>
      <c r="B4147" t="str">
        <f>"1552376404420142"</f>
        <v>1552376404420142</v>
      </c>
      <c r="C4147" t="s">
        <v>40</v>
      </c>
      <c r="D4147">
        <v>3.8202970000000001</v>
      </c>
      <c r="E4147">
        <v>0.45231369999999999</v>
      </c>
      <c r="F4147" t="s">
        <v>73</v>
      </c>
      <c r="G4147">
        <v>-363.1782</v>
      </c>
      <c r="H4147">
        <v>6.8450479999999896</v>
      </c>
      <c r="I4147">
        <v>190.6748</v>
      </c>
      <c r="J4147">
        <v>-477.8091</v>
      </c>
      <c r="K4147">
        <v>1.1115660000000001</v>
      </c>
      <c r="L4147">
        <v>218.50720000000001</v>
      </c>
      <c r="M4147">
        <v>0.89850229999999998</v>
      </c>
      <c r="N4147">
        <v>0</v>
      </c>
      <c r="O4147">
        <v>-0.43879600000000002</v>
      </c>
      <c r="P4147">
        <v>0.92998099999999995</v>
      </c>
      <c r="Q4147">
        <v>-5.4002939999999999E-3</v>
      </c>
      <c r="R4147">
        <v>-0.36756870000000003</v>
      </c>
      <c r="S4147">
        <v>2.9463499999999998</v>
      </c>
      <c r="T4147">
        <v>0.14728069999999999</v>
      </c>
      <c r="U4147">
        <v>-0.71562190000000003</v>
      </c>
      <c r="V4147">
        <v>-7.7836859999999994E-2</v>
      </c>
      <c r="W4147">
        <v>6.6621440000000001E-3</v>
      </c>
      <c r="X4147">
        <v>0.99694380000000005</v>
      </c>
      <c r="Y4147">
        <v>-0.2136265</v>
      </c>
      <c r="Z4147">
        <v>-2.6015730000000001E-2</v>
      </c>
      <c r="AA4147">
        <v>0.97656889999999996</v>
      </c>
      <c r="AB4147">
        <v>8</v>
      </c>
      <c r="AC4147">
        <v>114.6309</v>
      </c>
      <c r="AD4147">
        <v>5.7334820000000004</v>
      </c>
      <c r="AE4147">
        <v>-27.8324</v>
      </c>
      <c r="AF4147">
        <v>-25.234409151683401</v>
      </c>
      <c r="AG4147">
        <v>5.7334820000000004</v>
      </c>
      <c r="AH4147">
        <v>114.946060977421</v>
      </c>
      <c r="AI4147">
        <v>87.210779941187795</v>
      </c>
      <c r="AJ4147">
        <v>102.381873018181</v>
      </c>
      <c r="AK4147">
        <v>117.82293985172799</v>
      </c>
      <c r="AL4147">
        <v>89.618284423729705</v>
      </c>
      <c r="AM4147">
        <v>94.464338649283704</v>
      </c>
      <c r="AN4147">
        <v>0.99999995064788705</v>
      </c>
    </row>
    <row r="4148" spans="1:40" x14ac:dyDescent="0.25">
      <c r="A4148" t="str">
        <f>"20190312154004444"</f>
        <v>20190312154004444</v>
      </c>
      <c r="B4148" t="str">
        <f>"1552376404439662"</f>
        <v>1552376404439662</v>
      </c>
      <c r="C4148" t="s">
        <v>40</v>
      </c>
      <c r="D4148">
        <v>3.8798759999999999</v>
      </c>
      <c r="E4148">
        <v>0.4523201</v>
      </c>
      <c r="F4148" t="s">
        <v>73</v>
      </c>
      <c r="G4148">
        <v>-360.2235</v>
      </c>
      <c r="H4148">
        <v>6.8571710000000001</v>
      </c>
      <c r="I4148">
        <v>188.0932</v>
      </c>
      <c r="J4148">
        <v>-477.74360000000001</v>
      </c>
      <c r="K4148">
        <v>1.1115600000000001</v>
      </c>
      <c r="L4148">
        <v>218.48249999999999</v>
      </c>
      <c r="M4148">
        <v>0.90089969999999997</v>
      </c>
      <c r="N4148">
        <v>0</v>
      </c>
      <c r="O4148">
        <v>-0.43385249999999997</v>
      </c>
      <c r="P4148">
        <v>0.9318649</v>
      </c>
      <c r="Q4148">
        <v>-4.9131289999999996E-3</v>
      </c>
      <c r="R4148">
        <v>-0.36277290000000001</v>
      </c>
      <c r="S4148">
        <v>2.9274290000000001</v>
      </c>
      <c r="T4148">
        <v>0.1430457</v>
      </c>
      <c r="U4148">
        <v>-0.7571869</v>
      </c>
      <c r="V4148">
        <v>-7.7497179999999999E-2</v>
      </c>
      <c r="W4148">
        <v>7.1504130000000004E-3</v>
      </c>
      <c r="X4148">
        <v>0.99696700000000005</v>
      </c>
      <c r="Y4148">
        <v>-0.19379060000000001</v>
      </c>
      <c r="Z4148">
        <v>-2.4679739999999999E-2</v>
      </c>
      <c r="AA4148">
        <v>0.98073239999999995</v>
      </c>
      <c r="AB4148">
        <v>8</v>
      </c>
      <c r="AC4148">
        <v>117.5201</v>
      </c>
      <c r="AD4148">
        <v>5.7456110000000002</v>
      </c>
      <c r="AE4148">
        <v>-30.389299999999899</v>
      </c>
      <c r="AF4148">
        <v>-23.557689211677701</v>
      </c>
      <c r="AG4148">
        <v>5.7456110000000002</v>
      </c>
      <c r="AH4148">
        <v>118.80116107035499</v>
      </c>
      <c r="AI4148">
        <v>87.283949454263507</v>
      </c>
      <c r="AJ4148">
        <v>101.215975748056</v>
      </c>
      <c r="AK4148">
        <v>121.25053665209801</v>
      </c>
      <c r="AL4148">
        <v>89.590308050885696</v>
      </c>
      <c r="AM4148">
        <v>94.444831502221305</v>
      </c>
      <c r="AN4148">
        <v>1.0000000702014999</v>
      </c>
    </row>
    <row r="4149" spans="1:40" x14ac:dyDescent="0.25">
      <c r="A4149" t="str">
        <f>"20190312154004466"</f>
        <v>20190312154004466</v>
      </c>
      <c r="B4149" t="str">
        <f>"1552376404460157"</f>
        <v>1552376404460157</v>
      </c>
      <c r="C4149" t="s">
        <v>40</v>
      </c>
      <c r="D4149">
        <v>3.7221869999999999</v>
      </c>
      <c r="E4149">
        <v>0.42680770000000001</v>
      </c>
      <c r="F4149" t="s">
        <v>73</v>
      </c>
      <c r="G4149">
        <v>-363.42270000000002</v>
      </c>
      <c r="H4149">
        <v>6.6820009999999996</v>
      </c>
      <c r="I4149">
        <v>189.54329999999999</v>
      </c>
      <c r="J4149">
        <v>-477.67329999999998</v>
      </c>
      <c r="K4149">
        <v>1.1115569999999999</v>
      </c>
      <c r="L4149">
        <v>218.4564</v>
      </c>
      <c r="M4149">
        <v>0.9034392</v>
      </c>
      <c r="N4149">
        <v>0</v>
      </c>
      <c r="O4149">
        <v>-0.428539</v>
      </c>
      <c r="P4149">
        <v>0.93388070000000001</v>
      </c>
      <c r="Q4149">
        <v>-5.0411839999999998E-3</v>
      </c>
      <c r="R4149">
        <v>-0.35754960000000002</v>
      </c>
      <c r="S4149">
        <v>2.9312130000000001</v>
      </c>
      <c r="T4149">
        <v>0.1428295</v>
      </c>
      <c r="U4149">
        <v>-0.74200440000000001</v>
      </c>
      <c r="V4149">
        <v>-7.7207250000000005E-2</v>
      </c>
      <c r="W4149">
        <v>7.0235790000000003E-3</v>
      </c>
      <c r="X4149">
        <v>0.9969903</v>
      </c>
      <c r="Y4149">
        <v>-0.1930962</v>
      </c>
      <c r="Z4149">
        <v>-2.4388989999999999E-2</v>
      </c>
      <c r="AA4149">
        <v>0.98087670000000005</v>
      </c>
      <c r="AB4149">
        <v>8</v>
      </c>
      <c r="AC4149">
        <v>114.250599999999</v>
      </c>
      <c r="AD4149">
        <v>5.5704440000000002</v>
      </c>
      <c r="AE4149">
        <v>-28.9131</v>
      </c>
      <c r="AF4149">
        <v>-22.7904290394398</v>
      </c>
      <c r="AG4149">
        <v>5.5704440000000002</v>
      </c>
      <c r="AH4149">
        <v>115.359919198147</v>
      </c>
      <c r="AI4149">
        <v>87.287817110235494</v>
      </c>
      <c r="AJ4149">
        <v>101.17540828719</v>
      </c>
      <c r="AK4149">
        <v>117.72146983266001</v>
      </c>
      <c r="AL4149">
        <v>89.597575247149507</v>
      </c>
      <c r="AM4149">
        <v>94.428165825658098</v>
      </c>
      <c r="AN4149">
        <v>0.99999997420430997</v>
      </c>
    </row>
    <row r="4150" spans="1:40" x14ac:dyDescent="0.25">
      <c r="A4150" t="str">
        <f>"20190312154004489"</f>
        <v>20190312154004489</v>
      </c>
      <c r="B4150" t="str">
        <f>"1552376404479678"</f>
        <v>1552376404479678</v>
      </c>
      <c r="C4150" t="s">
        <v>40</v>
      </c>
      <c r="D4150">
        <v>3.7117689999999999</v>
      </c>
      <c r="E4150">
        <v>0.4207921</v>
      </c>
      <c r="F4150" t="s">
        <v>74</v>
      </c>
      <c r="G4150">
        <v>-363.59480000000002</v>
      </c>
      <c r="H4150">
        <v>7.1960499999999996</v>
      </c>
      <c r="I4150">
        <v>198.10329999999999</v>
      </c>
      <c r="J4150">
        <v>-477.60140000000001</v>
      </c>
      <c r="K4150">
        <v>1.111551</v>
      </c>
      <c r="L4150">
        <v>218.43020000000001</v>
      </c>
      <c r="M4150">
        <v>0.90599830000000003</v>
      </c>
      <c r="N4150">
        <v>0</v>
      </c>
      <c r="O4150">
        <v>-0.42310179999999997</v>
      </c>
      <c r="P4150">
        <v>0.93603239999999999</v>
      </c>
      <c r="Q4150">
        <v>-5.025804E-3</v>
      </c>
      <c r="R4150">
        <v>-0.35187790000000002</v>
      </c>
      <c r="S4150">
        <v>3.0078429999999998</v>
      </c>
      <c r="T4150">
        <v>0.16042890000000001</v>
      </c>
      <c r="U4150">
        <v>-0.53663640000000001</v>
      </c>
      <c r="V4150">
        <v>-7.7262860000000003E-2</v>
      </c>
      <c r="W4150">
        <v>7.0393139999999996E-3</v>
      </c>
      <c r="X4150">
        <v>0.99698589999999998</v>
      </c>
      <c r="Y4150">
        <v>-0.256525</v>
      </c>
      <c r="Z4150">
        <v>-2.8402589999999998E-2</v>
      </c>
      <c r="AA4150">
        <v>0.96612019999999998</v>
      </c>
      <c r="AB4150">
        <v>8</v>
      </c>
      <c r="AC4150">
        <v>114.00660000000001</v>
      </c>
      <c r="AD4150">
        <v>6.0844989999999903</v>
      </c>
      <c r="AE4150">
        <v>-20.326899999999998</v>
      </c>
      <c r="AF4150">
        <v>-29.740426141935298</v>
      </c>
      <c r="AG4150">
        <v>6.0844989999999903</v>
      </c>
      <c r="AH4150">
        <v>111.59058193862801</v>
      </c>
      <c r="AI4150">
        <v>86.984093872179002</v>
      </c>
      <c r="AJ4150">
        <v>104.92323786982899</v>
      </c>
      <c r="AK4150">
        <v>115.64589077259301</v>
      </c>
      <c r="AL4150">
        <v>89.596673683384495</v>
      </c>
      <c r="AM4150">
        <v>94.431362076586595</v>
      </c>
      <c r="AN4150">
        <v>0.99999999313789001</v>
      </c>
    </row>
    <row r="4151" spans="1:40" x14ac:dyDescent="0.25">
      <c r="A4151" t="str">
        <f>"20190312154004511"</f>
        <v>20190312154004511</v>
      </c>
      <c r="B4151" t="str">
        <f>"1552376404500173"</f>
        <v>1552376404500173</v>
      </c>
      <c r="C4151" t="s">
        <v>40</v>
      </c>
      <c r="D4151">
        <v>3.7392850000000002</v>
      </c>
      <c r="E4151">
        <v>0.41876920000000001</v>
      </c>
      <c r="F4151" t="s">
        <v>75</v>
      </c>
      <c r="G4151">
        <v>-165.00399999999999</v>
      </c>
      <c r="H4151">
        <v>18.658370000000001</v>
      </c>
      <c r="I4151">
        <v>169.5317</v>
      </c>
      <c r="J4151">
        <v>-477.53160000000003</v>
      </c>
      <c r="K4151">
        <v>1.1115459999999999</v>
      </c>
      <c r="L4151">
        <v>218.40520000000001</v>
      </c>
      <c r="M4151">
        <v>0.90844729999999996</v>
      </c>
      <c r="N4151">
        <v>0</v>
      </c>
      <c r="O4151">
        <v>-0.41781780000000002</v>
      </c>
      <c r="P4151">
        <v>0.93804690000000002</v>
      </c>
      <c r="Q4151">
        <v>-5.0911740000000004E-3</v>
      </c>
      <c r="R4151">
        <v>-0.34647149999999999</v>
      </c>
      <c r="S4151">
        <v>3.0278320000000001</v>
      </c>
      <c r="T4151">
        <v>0.16995950000000001</v>
      </c>
      <c r="U4151">
        <v>-0.47363280000000002</v>
      </c>
      <c r="V4151">
        <v>-7.7208230000000003E-2</v>
      </c>
      <c r="W4151">
        <v>6.9754200000000004E-3</v>
      </c>
      <c r="X4151">
        <v>0.99699059999999995</v>
      </c>
      <c r="Y4151">
        <v>-0.27140920000000002</v>
      </c>
      <c r="Z4151">
        <v>-3.0116529999999999E-2</v>
      </c>
      <c r="AA4151">
        <v>0.96199270000000003</v>
      </c>
      <c r="AB4151">
        <v>8</v>
      </c>
      <c r="AC4151">
        <v>312.52760000000001</v>
      </c>
      <c r="AD4151">
        <v>17.546823999999901</v>
      </c>
      <c r="AE4151">
        <v>-48.8735</v>
      </c>
      <c r="AF4151">
        <v>-85.922752323604996</v>
      </c>
      <c r="AG4151">
        <v>17.546823999999901</v>
      </c>
      <c r="AH4151">
        <v>303.42453568821298</v>
      </c>
      <c r="AI4151">
        <v>86.815267291299406</v>
      </c>
      <c r="AJ4151">
        <v>105.810884969215</v>
      </c>
      <c r="AK4151">
        <v>315.84340939294299</v>
      </c>
      <c r="AL4151">
        <v>89.600334637318696</v>
      </c>
      <c r="AM4151">
        <v>94.428220482111499</v>
      </c>
      <c r="AN4151">
        <v>1.0000000118761301</v>
      </c>
    </row>
    <row r="4152" spans="1:40" x14ac:dyDescent="0.25">
      <c r="A4152" t="str">
        <f>"20190312154004534"</f>
        <v>20190312154004534</v>
      </c>
      <c r="B4152" t="str">
        <f>"1552376404530430"</f>
        <v>1552376404530430</v>
      </c>
      <c r="C4152" t="s">
        <v>40</v>
      </c>
      <c r="D4152">
        <v>3.6961719999999998</v>
      </c>
      <c r="E4152">
        <v>0.4181436</v>
      </c>
      <c r="F4152" t="s">
        <v>75</v>
      </c>
      <c r="G4152">
        <v>-169.4102</v>
      </c>
      <c r="H4152">
        <v>18.694009999999999</v>
      </c>
      <c r="I4152">
        <v>173.6078</v>
      </c>
      <c r="J4152">
        <v>-477.4615</v>
      </c>
      <c r="K4152">
        <v>1.111545</v>
      </c>
      <c r="L4152">
        <v>218.38059999999999</v>
      </c>
      <c r="M4152">
        <v>0.91086670000000003</v>
      </c>
      <c r="N4152">
        <v>0</v>
      </c>
      <c r="O4152">
        <v>-0.4125162</v>
      </c>
      <c r="P4152">
        <v>0.93988320000000003</v>
      </c>
      <c r="Q4152">
        <v>-4.9470119999999998E-3</v>
      </c>
      <c r="R4152">
        <v>-0.34145989999999998</v>
      </c>
      <c r="S4152">
        <v>3.036041</v>
      </c>
      <c r="T4152">
        <v>0.17324719999999999</v>
      </c>
      <c r="U4152">
        <v>-0.44140629999999997</v>
      </c>
      <c r="V4152">
        <v>-7.6718960000000003E-2</v>
      </c>
      <c r="W4152">
        <v>7.1246670000000003E-3</v>
      </c>
      <c r="X4152">
        <v>0.99702729999999995</v>
      </c>
      <c r="Y4152">
        <v>-0.27614290000000002</v>
      </c>
      <c r="Z4152">
        <v>-3.051392E-2</v>
      </c>
      <c r="AA4152">
        <v>0.96063209999999999</v>
      </c>
      <c r="AB4152">
        <v>8</v>
      </c>
      <c r="AC4152">
        <v>308.05130000000003</v>
      </c>
      <c r="AD4152">
        <v>17.582464999999999</v>
      </c>
      <c r="AE4152">
        <v>-44.772799999999897</v>
      </c>
      <c r="AF4152">
        <v>-86.026217011709406</v>
      </c>
      <c r="AG4152">
        <v>17.582464999999999</v>
      </c>
      <c r="AH4152">
        <v>298.13479694778198</v>
      </c>
      <c r="AI4152">
        <v>86.756908340713494</v>
      </c>
      <c r="AJ4152">
        <v>106.09539270372299</v>
      </c>
      <c r="AK4152">
        <v>310.79576934044201</v>
      </c>
      <c r="AL4152">
        <v>89.591783196156101</v>
      </c>
      <c r="AM4152">
        <v>94.400107990622303</v>
      </c>
      <c r="AN4152">
        <v>0.99999999832431596</v>
      </c>
    </row>
    <row r="4153" spans="1:40" x14ac:dyDescent="0.25">
      <c r="A4153" t="str">
        <f>"20190312154004555"</f>
        <v>20190312154004555</v>
      </c>
      <c r="B4153" t="str">
        <f>"1552376404549950"</f>
        <v>1552376404549950</v>
      </c>
      <c r="C4153" t="s">
        <v>40</v>
      </c>
      <c r="D4153">
        <v>3.670865</v>
      </c>
      <c r="E4153">
        <v>0.41862369999999999</v>
      </c>
      <c r="F4153" t="s">
        <v>75</v>
      </c>
      <c r="G4153">
        <v>-168.42699999999999</v>
      </c>
      <c r="H4153">
        <v>18.928249999999998</v>
      </c>
      <c r="I4153">
        <v>175.61930000000001</v>
      </c>
      <c r="J4153">
        <v>-477.39370000000002</v>
      </c>
      <c r="K4153">
        <v>1.1115379999999999</v>
      </c>
      <c r="L4153">
        <v>218.35730000000001</v>
      </c>
      <c r="M4153">
        <v>0.91317519999999996</v>
      </c>
      <c r="N4153">
        <v>0</v>
      </c>
      <c r="O4153">
        <v>-0.40738069999999998</v>
      </c>
      <c r="P4153">
        <v>0.94177469999999996</v>
      </c>
      <c r="Q4153">
        <v>-4.7722850000000002E-3</v>
      </c>
      <c r="R4153">
        <v>-0.33621139999999999</v>
      </c>
      <c r="S4153">
        <v>3.0399479999999999</v>
      </c>
      <c r="T4153">
        <v>0.17526169999999999</v>
      </c>
      <c r="U4153">
        <v>-0.42063899999999999</v>
      </c>
      <c r="V4153">
        <v>-7.6668459999999994E-2</v>
      </c>
      <c r="W4153">
        <v>7.3063360000000001E-3</v>
      </c>
      <c r="X4153">
        <v>0.99702990000000002</v>
      </c>
      <c r="Y4153">
        <v>-0.27732279999999998</v>
      </c>
      <c r="Z4153">
        <v>-3.0616830000000001E-2</v>
      </c>
      <c r="AA4153">
        <v>0.96028880000000005</v>
      </c>
      <c r="AB4153">
        <v>8</v>
      </c>
      <c r="AC4153">
        <v>308.9667</v>
      </c>
      <c r="AD4153">
        <v>17.816711999999999</v>
      </c>
      <c r="AE4153">
        <v>-42.738</v>
      </c>
      <c r="AF4153">
        <v>-86.5639428801355</v>
      </c>
      <c r="AG4153">
        <v>17.816711999999999</v>
      </c>
      <c r="AH4153">
        <v>298.59984173566801</v>
      </c>
      <c r="AI4153">
        <v>86.720082955540903</v>
      </c>
      <c r="AJ4153">
        <v>106.166847003299</v>
      </c>
      <c r="AK4153">
        <v>311.404266056219</v>
      </c>
      <c r="AL4153">
        <v>89.581374070774899</v>
      </c>
      <c r="AM4153">
        <v>94.397211575582801</v>
      </c>
      <c r="AN4153">
        <v>1.0000000283992601</v>
      </c>
    </row>
    <row r="4154" spans="1:40" x14ac:dyDescent="0.25">
      <c r="A4154" t="str">
        <f>"20190312154004578"</f>
        <v>20190312154004578</v>
      </c>
      <c r="B4154" t="str">
        <f>"1552376404570446"</f>
        <v>1552376404570446</v>
      </c>
      <c r="C4154" t="s">
        <v>40</v>
      </c>
      <c r="D4154">
        <v>3.6549369999999999</v>
      </c>
      <c r="E4154">
        <v>0.41929620000000001</v>
      </c>
      <c r="F4154" t="s">
        <v>75</v>
      </c>
      <c r="G4154">
        <v>-168.4265</v>
      </c>
      <c r="H4154">
        <v>18.827649999999998</v>
      </c>
      <c r="I4154">
        <v>176.9923</v>
      </c>
      <c r="J4154">
        <v>-477.322</v>
      </c>
      <c r="K4154">
        <v>1.11154</v>
      </c>
      <c r="L4154">
        <v>218.333</v>
      </c>
      <c r="M4154">
        <v>0.91558099999999998</v>
      </c>
      <c r="N4154">
        <v>0</v>
      </c>
      <c r="O4154">
        <v>-0.40194360000000001</v>
      </c>
      <c r="P4154">
        <v>0.9435848</v>
      </c>
      <c r="Q4154">
        <v>-4.1434430000000001E-3</v>
      </c>
      <c r="R4154">
        <v>-0.33110430000000002</v>
      </c>
      <c r="S4154">
        <v>3.0410159999999999</v>
      </c>
      <c r="T4154">
        <v>0.17437149999999901</v>
      </c>
      <c r="U4154">
        <v>-0.40713500000000002</v>
      </c>
      <c r="V4154">
        <v>-7.6144160000000002E-2</v>
      </c>
      <c r="W4154">
        <v>7.9481399999999994E-3</v>
      </c>
      <c r="X4154">
        <v>0.99706510000000004</v>
      </c>
      <c r="Y4154">
        <v>-0.2758642</v>
      </c>
      <c r="Z4154">
        <v>-3.0139539999999999E-2</v>
      </c>
      <c r="AA4154">
        <v>0.96072400000000002</v>
      </c>
      <c r="AB4154">
        <v>8</v>
      </c>
      <c r="AC4154">
        <v>308.89550000000003</v>
      </c>
      <c r="AD4154">
        <v>17.716109999999901</v>
      </c>
      <c r="AE4154">
        <v>-41.340699999999998</v>
      </c>
      <c r="AF4154">
        <v>-86.036377276276596</v>
      </c>
      <c r="AG4154">
        <v>17.716109999999901</v>
      </c>
      <c r="AH4154">
        <v>298.49377503455497</v>
      </c>
      <c r="AI4154">
        <v>86.735960626531494</v>
      </c>
      <c r="AJ4154">
        <v>106.07883726171499</v>
      </c>
      <c r="AK4154">
        <v>311.15053029480299</v>
      </c>
      <c r="AL4154">
        <v>89.544600309821504</v>
      </c>
      <c r="AM4154">
        <v>94.367104238559605</v>
      </c>
      <c r="AN4154">
        <v>0.99999995983478596</v>
      </c>
    </row>
    <row r="4155" spans="1:40" x14ac:dyDescent="0.25">
      <c r="A4155" t="str">
        <f>"20190312154004602"</f>
        <v>20190312154004602</v>
      </c>
      <c r="B4155" t="str">
        <f>"1552376404599726"</f>
        <v>1552376404599726</v>
      </c>
      <c r="C4155" t="s">
        <v>40</v>
      </c>
      <c r="D4155">
        <v>3.6875230000000001</v>
      </c>
      <c r="E4155">
        <v>0.42053970000000002</v>
      </c>
      <c r="F4155" t="s">
        <v>75</v>
      </c>
      <c r="G4155">
        <v>-168.42619999999999</v>
      </c>
      <c r="H4155">
        <v>19.026779999999999</v>
      </c>
      <c r="I4155">
        <v>178.15690000000001</v>
      </c>
      <c r="J4155">
        <v>-477.24529999999999</v>
      </c>
      <c r="K4155">
        <v>1.111537</v>
      </c>
      <c r="L4155">
        <v>218.30760000000001</v>
      </c>
      <c r="M4155">
        <v>0.91811180000000003</v>
      </c>
      <c r="N4155">
        <v>0</v>
      </c>
      <c r="O4155">
        <v>-0.3961288</v>
      </c>
      <c r="P4155">
        <v>0.94554749999999999</v>
      </c>
      <c r="Q4155">
        <v>-4.2328009999999996E-3</v>
      </c>
      <c r="R4155">
        <v>-0.3254572</v>
      </c>
      <c r="S4155">
        <v>3.0413510000000001</v>
      </c>
      <c r="T4155">
        <v>0.17639160000000001</v>
      </c>
      <c r="U4155">
        <v>-0.3955688</v>
      </c>
      <c r="V4155">
        <v>-7.5780959999999994E-2</v>
      </c>
      <c r="W4155">
        <v>7.8747090000000006E-3</v>
      </c>
      <c r="X4155">
        <v>0.99709340000000002</v>
      </c>
      <c r="Y4155">
        <v>-0.27336110000000002</v>
      </c>
      <c r="Z4155">
        <v>-3.0116159999999999E-2</v>
      </c>
      <c r="AA4155">
        <v>0.96143990000000001</v>
      </c>
      <c r="AB4155">
        <v>8</v>
      </c>
      <c r="AC4155">
        <v>308.81909999999999</v>
      </c>
      <c r="AD4155">
        <v>17.915243</v>
      </c>
      <c r="AE4155">
        <v>-40.150700000000001</v>
      </c>
      <c r="AF4155">
        <v>-85.193888335899302</v>
      </c>
      <c r="AG4155">
        <v>17.915243</v>
      </c>
      <c r="AH4155">
        <v>298.47039607430202</v>
      </c>
      <c r="AI4155">
        <v>86.696649676420805</v>
      </c>
      <c r="AJ4155">
        <v>105.93059897978701</v>
      </c>
      <c r="AK4155">
        <v>310.90759378678598</v>
      </c>
      <c r="AL4155">
        <v>89.5488077491664</v>
      </c>
      <c r="AM4155">
        <v>94.346230713011295</v>
      </c>
      <c r="AN4155">
        <v>1.0000000066319501</v>
      </c>
    </row>
    <row r="4156" spans="1:40" x14ac:dyDescent="0.25">
      <c r="A4156" t="str">
        <f>"20190312154004625"</f>
        <v>20190312154004625</v>
      </c>
      <c r="B4156" t="str">
        <f>"1552376404620221"</f>
        <v>1552376404620221</v>
      </c>
      <c r="C4156" t="s">
        <v>40</v>
      </c>
      <c r="D4156">
        <v>3.6551900000000002</v>
      </c>
      <c r="E4156">
        <v>0.42153210000000002</v>
      </c>
      <c r="F4156" t="s">
        <v>75</v>
      </c>
      <c r="G4156">
        <v>-168.42580000000001</v>
      </c>
      <c r="H4156">
        <v>18.871040000000001</v>
      </c>
      <c r="I4156">
        <v>179.0205</v>
      </c>
      <c r="J4156">
        <v>-477.17509999999999</v>
      </c>
      <c r="K4156">
        <v>1.111531</v>
      </c>
      <c r="L4156">
        <v>218.28489999999999</v>
      </c>
      <c r="M4156">
        <v>0.92039070000000001</v>
      </c>
      <c r="N4156">
        <v>0</v>
      </c>
      <c r="O4156">
        <v>-0.39080429999999999</v>
      </c>
      <c r="P4156">
        <v>0.94730970000000003</v>
      </c>
      <c r="Q4156">
        <v>-4.2797399999999998E-3</v>
      </c>
      <c r="R4156">
        <v>-0.32029079999999999</v>
      </c>
      <c r="S4156">
        <v>3.0404360000000001</v>
      </c>
      <c r="T4156">
        <v>0.1748489</v>
      </c>
      <c r="U4156">
        <v>-0.386795</v>
      </c>
      <c r="V4156">
        <v>-7.5448630000000003E-2</v>
      </c>
      <c r="W4156">
        <v>7.8446699999999998E-3</v>
      </c>
      <c r="X4156">
        <v>0.99711879999999997</v>
      </c>
      <c r="Y4156">
        <v>-0.27051140000000001</v>
      </c>
      <c r="Z4156">
        <v>-2.9508400000000001E-2</v>
      </c>
      <c r="AA4156">
        <v>0.96226440000000002</v>
      </c>
      <c r="AB4156">
        <v>8</v>
      </c>
      <c r="AC4156">
        <v>308.74929999999898</v>
      </c>
      <c r="AD4156">
        <v>17.759509000000001</v>
      </c>
      <c r="AE4156">
        <v>-39.264400000000002</v>
      </c>
      <c r="AF4156">
        <v>-84.2541003077243</v>
      </c>
      <c r="AG4156">
        <v>17.759509000000001</v>
      </c>
      <c r="AH4156">
        <v>298.56546537260698</v>
      </c>
      <c r="AI4156">
        <v>86.723563001521299</v>
      </c>
      <c r="AJ4156">
        <v>105.758875450877</v>
      </c>
      <c r="AK4156">
        <v>310.73379393259899</v>
      </c>
      <c r="AL4156">
        <v>89.550528892858694</v>
      </c>
      <c r="AM4156">
        <v>94.327133485915695</v>
      </c>
      <c r="AN4156">
        <v>0.99999996796486201</v>
      </c>
    </row>
    <row r="4157" spans="1:40" x14ac:dyDescent="0.25">
      <c r="A4157" t="str">
        <f>"20190312154004646"</f>
        <v>20190312154004646</v>
      </c>
      <c r="B4157" t="str">
        <f>"1552376404639742"</f>
        <v>1552376404639742</v>
      </c>
      <c r="C4157" t="s">
        <v>40</v>
      </c>
      <c r="D4157">
        <v>3.6822339999999998</v>
      </c>
      <c r="E4157">
        <v>0.42241640000000003</v>
      </c>
      <c r="F4157" t="s">
        <v>75</v>
      </c>
      <c r="G4157">
        <v>-168.4255</v>
      </c>
      <c r="H4157">
        <v>18.773869999999999</v>
      </c>
      <c r="I4157">
        <v>179.91589999999999</v>
      </c>
      <c r="J4157">
        <v>-477.10860000000002</v>
      </c>
      <c r="K4157">
        <v>1.111523</v>
      </c>
      <c r="L4157">
        <v>218.2637</v>
      </c>
      <c r="M4157">
        <v>0.92251799999999995</v>
      </c>
      <c r="N4157">
        <v>0</v>
      </c>
      <c r="O4157">
        <v>-0.38575549999999997</v>
      </c>
      <c r="P4157">
        <v>0.94904359999999999</v>
      </c>
      <c r="Q4157">
        <v>-4.0873659999999899E-3</v>
      </c>
      <c r="R4157">
        <v>-0.31511840000000002</v>
      </c>
      <c r="S4157">
        <v>3.039917</v>
      </c>
      <c r="T4157">
        <v>0.1739019</v>
      </c>
      <c r="U4157">
        <v>-0.37777709999999998</v>
      </c>
      <c r="V4157">
        <v>-7.5424729999999995E-2</v>
      </c>
      <c r="W4157">
        <v>8.0535180000000008E-3</v>
      </c>
      <c r="X4157">
        <v>0.99711890000000003</v>
      </c>
      <c r="Y4157">
        <v>-0.26804790000000001</v>
      </c>
      <c r="Z4157">
        <v>-2.9026630000000001E-2</v>
      </c>
      <c r="AA4157">
        <v>0.96296820000000005</v>
      </c>
      <c r="AB4157">
        <v>8</v>
      </c>
      <c r="AC4157">
        <v>308.68310000000002</v>
      </c>
      <c r="AD4157">
        <v>17.662347</v>
      </c>
      <c r="AE4157">
        <v>-38.347799999999999</v>
      </c>
      <c r="AF4157">
        <v>-83.437064950402899</v>
      </c>
      <c r="AG4157">
        <v>17.662347</v>
      </c>
      <c r="AH4157">
        <v>298.61874303987997</v>
      </c>
      <c r="AI4157">
        <v>86.739671144937304</v>
      </c>
      <c r="AJ4157">
        <v>105.61089509396901</v>
      </c>
      <c r="AK4157">
        <v>310.55894127170802</v>
      </c>
      <c r="AL4157">
        <v>89.538562385542406</v>
      </c>
      <c r="AM4157">
        <v>94.325767543450198</v>
      </c>
      <c r="AN4157">
        <v>0.99999992489247602</v>
      </c>
    </row>
    <row r="4158" spans="1:40" x14ac:dyDescent="0.25">
      <c r="A4158" t="str">
        <f>"20190312154004668"</f>
        <v>20190312154004668</v>
      </c>
      <c r="B4158" t="str">
        <f>"1552376404660237"</f>
        <v>1552376404660237</v>
      </c>
      <c r="C4158" t="s">
        <v>40</v>
      </c>
      <c r="D4158">
        <v>3.6565949999999998</v>
      </c>
      <c r="E4158">
        <v>0.43418679999999898</v>
      </c>
      <c r="F4158" t="s">
        <v>75</v>
      </c>
      <c r="G4158">
        <v>-168.42519999999999</v>
      </c>
      <c r="H4158">
        <v>18.787040000000001</v>
      </c>
      <c r="I4158">
        <v>180.89429999999999</v>
      </c>
      <c r="J4158">
        <v>-477.03899999999999</v>
      </c>
      <c r="K4158">
        <v>1.1115170000000001</v>
      </c>
      <c r="L4158">
        <v>218.24199999999999</v>
      </c>
      <c r="M4158">
        <v>0.92471239999999999</v>
      </c>
      <c r="N4158">
        <v>0</v>
      </c>
      <c r="O4158">
        <v>-0.38046439999999998</v>
      </c>
      <c r="P4158">
        <v>0.95069360000000003</v>
      </c>
      <c r="Q4158">
        <v>-4.3078209999999999E-3</v>
      </c>
      <c r="R4158">
        <v>-0.31010199999999999</v>
      </c>
      <c r="S4158">
        <v>3.0396420000000002</v>
      </c>
      <c r="T4158">
        <v>0.17405329999999999</v>
      </c>
      <c r="U4158">
        <v>-0.367981</v>
      </c>
      <c r="V4158">
        <v>-7.4977920000000003E-2</v>
      </c>
      <c r="W4158">
        <v>7.8537299999999997E-3</v>
      </c>
      <c r="X4158">
        <v>0.99715430000000005</v>
      </c>
      <c r="Y4158">
        <v>-0.26558520000000002</v>
      </c>
      <c r="Z4158">
        <v>-2.871392E-2</v>
      </c>
      <c r="AA4158">
        <v>0.96365970000000001</v>
      </c>
      <c r="AB4158">
        <v>8</v>
      </c>
      <c r="AC4158">
        <v>308.61380000000003</v>
      </c>
      <c r="AD4158">
        <v>17.675522999999998</v>
      </c>
      <c r="AE4158">
        <v>-37.347700000000003</v>
      </c>
      <c r="AF4158">
        <v>-82.619951369742097</v>
      </c>
      <c r="AG4158">
        <v>17.675522999999998</v>
      </c>
      <c r="AH4158">
        <v>298.64601253759298</v>
      </c>
      <c r="AI4158">
        <v>86.735220524395501</v>
      </c>
      <c r="AJ4158">
        <v>105.464021975387</v>
      </c>
      <c r="AK4158">
        <v>310.36739726051502</v>
      </c>
      <c r="AL4158">
        <v>89.550009806707294</v>
      </c>
      <c r="AM4158">
        <v>94.3000863647746</v>
      </c>
      <c r="AN4158">
        <v>1.00000003378546</v>
      </c>
    </row>
    <row r="4159" spans="1:40" x14ac:dyDescent="0.25">
      <c r="A4159" t="str">
        <f>"20190312154004690"</f>
        <v>20190312154004690</v>
      </c>
      <c r="B4159" t="str">
        <f>"1552376404679761"</f>
        <v>1552376404679761</v>
      </c>
      <c r="C4159" t="s">
        <v>40</v>
      </c>
      <c r="D4159">
        <v>3.647125</v>
      </c>
      <c r="E4159">
        <v>0.43488880000000002</v>
      </c>
      <c r="F4159" t="s">
        <v>74</v>
      </c>
      <c r="G4159">
        <v>-345.63060000000002</v>
      </c>
      <c r="H4159">
        <v>7.8982279999999996</v>
      </c>
      <c r="I4159">
        <v>199.0369</v>
      </c>
      <c r="J4159">
        <v>-476.9665</v>
      </c>
      <c r="K4159">
        <v>1.1115120000000001</v>
      </c>
      <c r="L4159">
        <v>218.21979999999999</v>
      </c>
      <c r="M4159">
        <v>0.92695910000000004</v>
      </c>
      <c r="N4159">
        <v>0</v>
      </c>
      <c r="O4159">
        <v>-0.37495669999999998</v>
      </c>
      <c r="P4159">
        <v>0.95228520000000005</v>
      </c>
      <c r="Q4159">
        <v>-4.4444300000000001E-3</v>
      </c>
      <c r="R4159">
        <v>-0.30517739999999999</v>
      </c>
      <c r="S4159">
        <v>3.0126650000000001</v>
      </c>
      <c r="T4159">
        <v>0.15559389999999901</v>
      </c>
      <c r="U4159">
        <v>-0.44029239999999997</v>
      </c>
      <c r="V4159">
        <v>-7.4206250000000001E-2</v>
      </c>
      <c r="W4159">
        <v>7.7421529999999999E-3</v>
      </c>
      <c r="X4159">
        <v>0.99721289999999996</v>
      </c>
      <c r="Y4159">
        <v>-0.2362168</v>
      </c>
      <c r="Z4159">
        <v>-2.4821670000000001E-2</v>
      </c>
      <c r="AA4159">
        <v>0.97138329999999995</v>
      </c>
      <c r="AB4159">
        <v>8</v>
      </c>
      <c r="AC4159">
        <v>131.33589999999899</v>
      </c>
      <c r="AD4159">
        <v>6.7867159999999904</v>
      </c>
      <c r="AE4159">
        <v>-19.182899999999901</v>
      </c>
      <c r="AF4159">
        <v>-31.383887167168201</v>
      </c>
      <c r="AG4159">
        <v>6.7867159999999904</v>
      </c>
      <c r="AH4159">
        <v>128.60946655972299</v>
      </c>
      <c r="AI4159">
        <v>87.065264210707696</v>
      </c>
      <c r="AJ4159">
        <v>103.713572818255</v>
      </c>
      <c r="AK4159">
        <v>132.557167956179</v>
      </c>
      <c r="AL4159">
        <v>89.556402894021303</v>
      </c>
      <c r="AM4159">
        <v>94.255744310231705</v>
      </c>
      <c r="AN4159">
        <v>1.00000003819927</v>
      </c>
    </row>
    <row r="4160" spans="1:40" x14ac:dyDescent="0.25">
      <c r="A4160" t="str">
        <f>"20190312154004712"</f>
        <v>20190312154004712</v>
      </c>
      <c r="B4160" t="str">
        <f>"1552376404700253"</f>
        <v>1552376404700253</v>
      </c>
      <c r="C4160" t="s">
        <v>40</v>
      </c>
      <c r="D4160">
        <v>3.6487280000000002</v>
      </c>
      <c r="E4160">
        <v>0.43452639999999998</v>
      </c>
      <c r="F4160" t="s">
        <v>75</v>
      </c>
      <c r="G4160">
        <v>-169.40940000000001</v>
      </c>
      <c r="H4160">
        <v>16.775010000000002</v>
      </c>
      <c r="I4160">
        <v>174.32640000000001</v>
      </c>
      <c r="J4160">
        <v>-476.89710000000002</v>
      </c>
      <c r="K4160">
        <v>1.1115010000000001</v>
      </c>
      <c r="L4160">
        <v>218.19900000000001</v>
      </c>
      <c r="M4160">
        <v>0.92907810000000002</v>
      </c>
      <c r="N4160">
        <v>0</v>
      </c>
      <c r="O4160">
        <v>-0.36967410000000001</v>
      </c>
      <c r="P4160">
        <v>0.95369630000000005</v>
      </c>
      <c r="Q4160">
        <v>-3.9449480000000002E-3</v>
      </c>
      <c r="R4160">
        <v>-0.300745599999999</v>
      </c>
      <c r="S4160">
        <v>3.013245</v>
      </c>
      <c r="T4160">
        <v>0.15346109999999999</v>
      </c>
      <c r="U4160">
        <v>-0.43003849999999999</v>
      </c>
      <c r="V4160">
        <v>-7.3169780000000004E-2</v>
      </c>
      <c r="W4160">
        <v>8.269518E-3</v>
      </c>
      <c r="X4160">
        <v>0.99728519999999998</v>
      </c>
      <c r="Y4160">
        <v>-0.2339801</v>
      </c>
      <c r="Z4160">
        <v>-2.4181080000000001E-2</v>
      </c>
      <c r="AA4160">
        <v>0.97194060000000004</v>
      </c>
      <c r="AB4160">
        <v>8</v>
      </c>
      <c r="AC4160">
        <v>307.48770000000002</v>
      </c>
      <c r="AD4160">
        <v>15.663508999999999</v>
      </c>
      <c r="AE4160">
        <v>-43.872599999999998</v>
      </c>
      <c r="AF4160">
        <v>-72.729853838928193</v>
      </c>
      <c r="AG4160">
        <v>15.663508999999999</v>
      </c>
      <c r="AH4160">
        <v>301.15616136910398</v>
      </c>
      <c r="AI4160">
        <v>87.105716002341396</v>
      </c>
      <c r="AJ4160">
        <v>103.577083706922</v>
      </c>
      <c r="AK4160">
        <v>310.20962377753398</v>
      </c>
      <c r="AL4160">
        <v>89.526186112912299</v>
      </c>
      <c r="AM4160">
        <v>94.196213239334895</v>
      </c>
      <c r="AN4160">
        <v>0.99999998588612005</v>
      </c>
    </row>
    <row r="4161" spans="1:40" x14ac:dyDescent="0.25">
      <c r="A4161" t="str">
        <f>"20190312154004734"</f>
        <v>20190312154004734</v>
      </c>
      <c r="B4161" t="str">
        <f>"1552376404730510"</f>
        <v>1552376404730510</v>
      </c>
      <c r="C4161" t="s">
        <v>40</v>
      </c>
      <c r="D4161">
        <v>3.645975</v>
      </c>
      <c r="E4161">
        <v>0.4086535</v>
      </c>
      <c r="F4161" t="s">
        <v>75</v>
      </c>
      <c r="G4161">
        <v>-168.42619999999999</v>
      </c>
      <c r="H4161">
        <v>16.73939</v>
      </c>
      <c r="I4161">
        <v>175.93899999999999</v>
      </c>
      <c r="J4161">
        <v>-476.82709999999997</v>
      </c>
      <c r="K4161">
        <v>1.1115010000000001</v>
      </c>
      <c r="L4161">
        <v>218.17850000000001</v>
      </c>
      <c r="M4161">
        <v>0.93117680000000003</v>
      </c>
      <c r="N4161">
        <v>0</v>
      </c>
      <c r="O4161">
        <v>-0.36435420000000002</v>
      </c>
      <c r="P4161">
        <v>0.95516570000000001</v>
      </c>
      <c r="Q4161">
        <v>-3.5537569999999998E-3</v>
      </c>
      <c r="R4161">
        <v>-0.2960506</v>
      </c>
      <c r="S4161">
        <v>3.01593</v>
      </c>
      <c r="T4161">
        <v>0.15279470000000001</v>
      </c>
      <c r="U4161">
        <v>-0.41317749999999998</v>
      </c>
      <c r="V4161">
        <v>-7.2372950000000005E-2</v>
      </c>
      <c r="W4161">
        <v>8.6895970000000003E-3</v>
      </c>
      <c r="X4161">
        <v>0.9973398</v>
      </c>
      <c r="Y4161">
        <v>-0.23388390000000001</v>
      </c>
      <c r="Z4161">
        <v>-2.3817000000000001E-2</v>
      </c>
      <c r="AA4161">
        <v>0.97197279999999997</v>
      </c>
      <c r="AB4161">
        <v>8</v>
      </c>
      <c r="AC4161">
        <v>308.40089999999998</v>
      </c>
      <c r="AD4161">
        <v>15.627889</v>
      </c>
      <c r="AE4161">
        <v>-42.2394999999999</v>
      </c>
      <c r="AF4161">
        <v>-72.856769991395893</v>
      </c>
      <c r="AG4161">
        <v>15.627889</v>
      </c>
      <c r="AH4161">
        <v>301.828693684195</v>
      </c>
      <c r="AI4161">
        <v>87.1186330053022</v>
      </c>
      <c r="AJ4161">
        <v>103.570715660963</v>
      </c>
      <c r="AK4161">
        <v>310.89049547916898</v>
      </c>
      <c r="AL4161">
        <v>89.502116507689294</v>
      </c>
      <c r="AM4161">
        <v>94.150449989517199</v>
      </c>
      <c r="AN4161">
        <v>1.0000000148258801</v>
      </c>
    </row>
    <row r="4162" spans="1:40" x14ac:dyDescent="0.25">
      <c r="A4162" t="str">
        <f>"20190312154004757"</f>
        <v>20190312154004757</v>
      </c>
      <c r="B4162" t="str">
        <f>"1552376404750031"</f>
        <v>1552376404750031</v>
      </c>
      <c r="C4162" t="s">
        <v>40</v>
      </c>
      <c r="D4162">
        <v>3.6054710000000001</v>
      </c>
      <c r="E4162">
        <v>0.40834090000000001</v>
      </c>
      <c r="F4162" t="s">
        <v>75</v>
      </c>
      <c r="G4162">
        <v>-169.71379999999999</v>
      </c>
      <c r="H4162">
        <v>6.8499800000000004</v>
      </c>
      <c r="I4162">
        <v>198.7175</v>
      </c>
      <c r="J4162">
        <v>-476.75459999999998</v>
      </c>
      <c r="K4162">
        <v>1.1114949999999999</v>
      </c>
      <c r="L4162">
        <v>218.15770000000001</v>
      </c>
      <c r="M4162">
        <v>0.93331920000000002</v>
      </c>
      <c r="N4162">
        <v>0</v>
      </c>
      <c r="O4162">
        <v>-0.35882989999999998</v>
      </c>
      <c r="P4162">
        <v>0.95667329999999995</v>
      </c>
      <c r="Q4162">
        <v>-3.13415E-3</v>
      </c>
      <c r="R4162">
        <v>-0.29114699999999999</v>
      </c>
      <c r="S4162">
        <v>3.0805359999999999</v>
      </c>
      <c r="T4162">
        <v>5.7560800000000002E-2</v>
      </c>
      <c r="U4162">
        <v>-0.19520570000000001</v>
      </c>
      <c r="V4162">
        <v>-7.1580829999999998E-2</v>
      </c>
      <c r="W4162">
        <v>9.1420970000000001E-3</v>
      </c>
      <c r="X4162">
        <v>0.99739290000000003</v>
      </c>
      <c r="Y4162">
        <v>-0.29899979999999998</v>
      </c>
      <c r="Z4162">
        <v>-9.3542160000000003E-3</v>
      </c>
      <c r="AA4162">
        <v>0.95420729999999998</v>
      </c>
      <c r="AB4162">
        <v>8</v>
      </c>
      <c r="AC4162">
        <v>307.04079999999999</v>
      </c>
      <c r="AD4162">
        <v>5.7384849999999998</v>
      </c>
      <c r="AE4162">
        <v>-19.440200000000001</v>
      </c>
      <c r="AF4162">
        <v>-92.006694254183898</v>
      </c>
      <c r="AG4162">
        <v>5.7384849999999998</v>
      </c>
      <c r="AH4162">
        <v>293.463654286272</v>
      </c>
      <c r="AI4162">
        <v>88.931054112466597</v>
      </c>
      <c r="AJ4162">
        <v>107.407245974037</v>
      </c>
      <c r="AK4162">
        <v>307.60214301062803</v>
      </c>
      <c r="AL4162">
        <v>89.476189126737907</v>
      </c>
      <c r="AM4162">
        <v>94.104961779669395</v>
      </c>
      <c r="AN4162">
        <v>0.99999999506572801</v>
      </c>
    </row>
    <row r="4163" spans="1:40" x14ac:dyDescent="0.25">
      <c r="A4163" t="str">
        <f>"20190312154004780"</f>
        <v>20190312154004780</v>
      </c>
      <c r="B4163" t="str">
        <f>"1552376404770525"</f>
        <v>1552376404770525</v>
      </c>
      <c r="C4163" t="s">
        <v>40</v>
      </c>
      <c r="D4163">
        <v>3.660812</v>
      </c>
      <c r="E4163">
        <v>0.40845949999999998</v>
      </c>
      <c r="F4163" t="s">
        <v>75</v>
      </c>
      <c r="G4163">
        <v>-168.41399999999999</v>
      </c>
      <c r="H4163">
        <v>4.742451</v>
      </c>
      <c r="I4163">
        <v>200.6088</v>
      </c>
      <c r="J4163">
        <v>-476.68290000000002</v>
      </c>
      <c r="K4163">
        <v>1.1114919999999999</v>
      </c>
      <c r="L4163">
        <v>218.13759999999999</v>
      </c>
      <c r="M4163">
        <v>0.93540290000000004</v>
      </c>
      <c r="N4163">
        <v>0</v>
      </c>
      <c r="O4163">
        <v>-0.3533617</v>
      </c>
      <c r="P4163">
        <v>0.95821979999999995</v>
      </c>
      <c r="Q4163">
        <v>-3.1240600000000001E-3</v>
      </c>
      <c r="R4163">
        <v>-0.2860163</v>
      </c>
      <c r="S4163">
        <v>3.0826419999999999</v>
      </c>
      <c r="T4163">
        <v>3.6300899999999997E-2</v>
      </c>
      <c r="U4163">
        <v>-0.17544560000000001</v>
      </c>
      <c r="V4163">
        <v>-7.1088070000000003E-2</v>
      </c>
      <c r="W4163">
        <v>9.1831039999999992E-3</v>
      </c>
      <c r="X4163">
        <v>0.99742779999999998</v>
      </c>
      <c r="Y4163">
        <v>-0.29961870000000002</v>
      </c>
      <c r="Z4163">
        <v>-5.8409369999999896E-3</v>
      </c>
      <c r="AA4163">
        <v>0.95404120000000003</v>
      </c>
      <c r="AB4163">
        <v>8</v>
      </c>
      <c r="AC4163">
        <v>308.26889999999997</v>
      </c>
      <c r="AD4163">
        <v>3.6309589999999998</v>
      </c>
      <c r="AE4163">
        <v>-17.528799999999901</v>
      </c>
      <c r="AF4163">
        <v>-92.528397969372193</v>
      </c>
      <c r="AG4163">
        <v>3.6309589999999998</v>
      </c>
      <c r="AH4163">
        <v>294.53201328177198</v>
      </c>
      <c r="AI4163">
        <v>89.326165370259702</v>
      </c>
      <c r="AJ4163">
        <v>107.440317759561</v>
      </c>
      <c r="AK4163">
        <v>308.74551841581803</v>
      </c>
      <c r="AL4163">
        <v>89.473839518263702</v>
      </c>
      <c r="AM4163">
        <v>94.076656806378196</v>
      </c>
      <c r="AN4163">
        <v>1.0000000296541101</v>
      </c>
    </row>
    <row r="4164" spans="1:40" x14ac:dyDescent="0.25">
      <c r="A4164" t="str">
        <f>"20190312154004803"</f>
        <v>20190312154004803</v>
      </c>
      <c r="B4164" t="str">
        <f>"1552376404790046"</f>
        <v>1552376404790046</v>
      </c>
      <c r="C4164" t="s">
        <v>40</v>
      </c>
      <c r="D4164">
        <v>3.6603840000000001</v>
      </c>
      <c r="E4164">
        <v>0.40897630000000001</v>
      </c>
      <c r="F4164" t="s">
        <v>75</v>
      </c>
      <c r="G4164">
        <v>-168.41309999999999</v>
      </c>
      <c r="H4164">
        <v>3.6904910000000002</v>
      </c>
      <c r="I4164">
        <v>202.20429999999999</v>
      </c>
      <c r="J4164">
        <v>-476.60750000000002</v>
      </c>
      <c r="K4164">
        <v>1.111486</v>
      </c>
      <c r="L4164">
        <v>218.11689999999999</v>
      </c>
      <c r="M4164">
        <v>0.93755390000000005</v>
      </c>
      <c r="N4164">
        <v>0</v>
      </c>
      <c r="O4164">
        <v>-0.34761350000000002</v>
      </c>
      <c r="P4164">
        <v>0.95958969999999999</v>
      </c>
      <c r="Q4164">
        <v>-3.807805E-3</v>
      </c>
      <c r="R4164">
        <v>-0.28137800000000002</v>
      </c>
      <c r="S4164">
        <v>3.0832820000000001</v>
      </c>
      <c r="T4164">
        <v>2.5795220000000001E-2</v>
      </c>
      <c r="U4164">
        <v>-0.1593628</v>
      </c>
      <c r="V4164">
        <v>-6.9788100000000006E-2</v>
      </c>
      <c r="W4164">
        <v>8.5360599999999998E-3</v>
      </c>
      <c r="X4164">
        <v>0.99752529999999995</v>
      </c>
      <c r="Y4164">
        <v>-0.29875770000000001</v>
      </c>
      <c r="Z4164">
        <v>-4.1020329999999997E-3</v>
      </c>
      <c r="AA4164">
        <v>0.95432019999999995</v>
      </c>
      <c r="AB4164">
        <v>8</v>
      </c>
      <c r="AC4164">
        <v>308.19439999999997</v>
      </c>
      <c r="AD4164">
        <v>2.579005</v>
      </c>
      <c r="AE4164">
        <v>-15.9125999999999</v>
      </c>
      <c r="AF4164">
        <v>-92.214438189814601</v>
      </c>
      <c r="AG4164">
        <v>2.579005</v>
      </c>
      <c r="AH4164">
        <v>294.48292867210898</v>
      </c>
      <c r="AI4164">
        <v>89.521158057622102</v>
      </c>
      <c r="AJ4164">
        <v>107.38743500385399</v>
      </c>
      <c r="AK4164">
        <v>308.59414958283901</v>
      </c>
      <c r="AL4164">
        <v>89.510913840737004</v>
      </c>
      <c r="AM4164">
        <v>94.001962583613704</v>
      </c>
      <c r="AN4164">
        <v>0.99999998368101095</v>
      </c>
    </row>
    <row r="4165" spans="1:40" x14ac:dyDescent="0.25">
      <c r="A4165" t="str">
        <f>"20190312154004836"</f>
        <v>20190312154004836</v>
      </c>
      <c r="B4165" t="str">
        <f>"1552376404830061"</f>
        <v>1552376404830061</v>
      </c>
      <c r="C4165" t="s">
        <v>40</v>
      </c>
      <c r="D4165">
        <v>3.6180400000000001</v>
      </c>
      <c r="E4165">
        <v>0.40813480000000002</v>
      </c>
      <c r="F4165" t="s">
        <v>75</v>
      </c>
      <c r="G4165">
        <v>-168.41229999999999</v>
      </c>
      <c r="H4165">
        <v>2.23333</v>
      </c>
      <c r="I4165">
        <v>203.3733</v>
      </c>
      <c r="J4165">
        <v>-476.50209999999998</v>
      </c>
      <c r="K4165">
        <v>1.1114809999999999</v>
      </c>
      <c r="L4165">
        <v>218.0889</v>
      </c>
      <c r="M4165">
        <v>0.94049210000000005</v>
      </c>
      <c r="N4165">
        <v>0</v>
      </c>
      <c r="O4165">
        <v>-0.33958179999999999</v>
      </c>
      <c r="P4165">
        <v>0.9616555</v>
      </c>
      <c r="Q4165">
        <v>-3.599802E-3</v>
      </c>
      <c r="R4165">
        <v>-0.27423690000000001</v>
      </c>
      <c r="S4165">
        <v>3.0830989999999998</v>
      </c>
      <c r="T4165">
        <v>1.1222960000000001E-2</v>
      </c>
      <c r="U4165">
        <v>-0.1474915</v>
      </c>
      <c r="V4165">
        <v>-6.8672010000000006E-2</v>
      </c>
      <c r="W4165">
        <v>8.7959270000000003E-3</v>
      </c>
      <c r="X4165">
        <v>0.9976005</v>
      </c>
      <c r="Y4165">
        <v>-0.2942727</v>
      </c>
      <c r="Z4165">
        <v>-1.749394E-3</v>
      </c>
      <c r="AA4165">
        <v>0.95571989999999996</v>
      </c>
      <c r="AB4165">
        <v>8</v>
      </c>
      <c r="AC4165">
        <v>308.08980000000003</v>
      </c>
      <c r="AD4165">
        <v>1.1218489999999901</v>
      </c>
      <c r="AE4165">
        <v>-14.715599999999901</v>
      </c>
      <c r="AF4165">
        <v>-90.787791703317197</v>
      </c>
      <c r="AG4165">
        <v>1.1218489999999901</v>
      </c>
      <c r="AH4165">
        <v>294.77268120472797</v>
      </c>
      <c r="AI4165">
        <v>89.791604319915393</v>
      </c>
      <c r="AJ4165">
        <v>107.118442811675</v>
      </c>
      <c r="AK4165">
        <v>308.43899761892601</v>
      </c>
      <c r="AL4165">
        <v>89.496023999886305</v>
      </c>
      <c r="AM4165">
        <v>93.937868065435296</v>
      </c>
      <c r="AN4165">
        <v>0.999999985444739</v>
      </c>
    </row>
    <row r="4166" spans="1:40" x14ac:dyDescent="0.25">
      <c r="A4166" t="str">
        <f>"20190312154004859"</f>
        <v>20190312154004859</v>
      </c>
      <c r="B4166" t="str">
        <f>"1552376404850558"</f>
        <v>1552376404850558</v>
      </c>
      <c r="C4166" t="s">
        <v>40</v>
      </c>
      <c r="D4166">
        <v>3.6554959999999999</v>
      </c>
      <c r="E4166">
        <v>0.40838600000000003</v>
      </c>
      <c r="F4166" t="s">
        <v>75</v>
      </c>
      <c r="G4166">
        <v>-168.4118</v>
      </c>
      <c r="H4166">
        <v>3.7031269999999998</v>
      </c>
      <c r="I4166">
        <v>206.21340000000001</v>
      </c>
      <c r="J4166">
        <v>-476.43270000000001</v>
      </c>
      <c r="K4166">
        <v>1.111477</v>
      </c>
      <c r="L4166">
        <v>218.071</v>
      </c>
      <c r="M4166">
        <v>0.94238820000000001</v>
      </c>
      <c r="N4166">
        <v>0</v>
      </c>
      <c r="O4166">
        <v>-0.33428279999999999</v>
      </c>
      <c r="P4166">
        <v>0.96304699999999999</v>
      </c>
      <c r="Q4166">
        <v>-3.6593139999999999E-3</v>
      </c>
      <c r="R4166">
        <v>-0.26930939999999998</v>
      </c>
      <c r="S4166">
        <v>3.0857540000000001</v>
      </c>
      <c r="T4166">
        <v>2.5957580000000001E-2</v>
      </c>
      <c r="U4166">
        <v>-0.1189423</v>
      </c>
      <c r="V4166">
        <v>-6.8164420000000003E-2</v>
      </c>
      <c r="W4166">
        <v>8.7739940000000002E-3</v>
      </c>
      <c r="X4166">
        <v>0.99763550000000001</v>
      </c>
      <c r="Y4166">
        <v>-0.29773860000000002</v>
      </c>
      <c r="Z4166">
        <v>-4.0168119999999998E-3</v>
      </c>
      <c r="AA4166">
        <v>0.95463900000000002</v>
      </c>
      <c r="AB4166">
        <v>8</v>
      </c>
      <c r="AC4166">
        <v>308.02089999999998</v>
      </c>
      <c r="AD4166">
        <v>2.59165</v>
      </c>
      <c r="AE4166">
        <v>-11.8575999999999</v>
      </c>
      <c r="AF4166">
        <v>-91.792458717152698</v>
      </c>
      <c r="AG4166">
        <v>2.59165</v>
      </c>
      <c r="AH4166">
        <v>294.24172063461901</v>
      </c>
      <c r="AI4166">
        <v>89.518254464793202</v>
      </c>
      <c r="AJ4166">
        <v>107.32597723997</v>
      </c>
      <c r="AK4166">
        <v>308.23815839231202</v>
      </c>
      <c r="AL4166">
        <v>89.497280714493201</v>
      </c>
      <c r="AM4166">
        <v>93.9087151211004</v>
      </c>
      <c r="AN4166">
        <v>0.99999998099244902</v>
      </c>
    </row>
    <row r="4167" spans="1:40" x14ac:dyDescent="0.25">
      <c r="A4167" t="str">
        <f>"20190312154004882"</f>
        <v>20190312154004882</v>
      </c>
      <c r="B4167" t="str">
        <f>"1552376404879839"</f>
        <v>1552376404879839</v>
      </c>
      <c r="C4167" t="s">
        <v>40</v>
      </c>
      <c r="D4167">
        <v>3.6691009999999999</v>
      </c>
      <c r="E4167">
        <v>0.40893479999999999</v>
      </c>
      <c r="F4167" t="s">
        <v>75</v>
      </c>
      <c r="G4167">
        <v>-168.41149999999999</v>
      </c>
      <c r="H4167">
        <v>4.188688</v>
      </c>
      <c r="I4167">
        <v>207.54470000000001</v>
      </c>
      <c r="J4167">
        <v>-476.35599999999999</v>
      </c>
      <c r="K4167">
        <v>1.1114710000000001</v>
      </c>
      <c r="L4167">
        <v>218.05170000000001</v>
      </c>
      <c r="M4167">
        <v>0.94444660000000002</v>
      </c>
      <c r="N4167">
        <v>0</v>
      </c>
      <c r="O4167">
        <v>-0.3284204</v>
      </c>
      <c r="P4167">
        <v>0.96459720000000004</v>
      </c>
      <c r="Q4167">
        <v>-4.1657609999999996E-3</v>
      </c>
      <c r="R4167">
        <v>-0.26369540000000002</v>
      </c>
      <c r="S4167">
        <v>3.085785</v>
      </c>
      <c r="T4167">
        <v>3.0828120000000001E-2</v>
      </c>
      <c r="U4167">
        <v>-0.10545350000000001</v>
      </c>
      <c r="V4167">
        <v>-6.7774150000000005E-2</v>
      </c>
      <c r="W4167">
        <v>8.3100489999999999E-3</v>
      </c>
      <c r="X4167">
        <v>0.9976661</v>
      </c>
      <c r="Y4167">
        <v>-0.29596539999999999</v>
      </c>
      <c r="Z4167">
        <v>-4.7068190000000001E-3</v>
      </c>
      <c r="AA4167">
        <v>0.95518709999999996</v>
      </c>
      <c r="AB4167">
        <v>8</v>
      </c>
      <c r="AC4167">
        <v>307.94450000000001</v>
      </c>
      <c r="AD4167">
        <v>3.0772169999999899</v>
      </c>
      <c r="AE4167">
        <v>-10.507</v>
      </c>
      <c r="AF4167">
        <v>-91.210186174386195</v>
      </c>
      <c r="AG4167">
        <v>3.0772169999999899</v>
      </c>
      <c r="AH4167">
        <v>294.28214076180097</v>
      </c>
      <c r="AI4167">
        <v>89.427751675710894</v>
      </c>
      <c r="AJ4167">
        <v>107.22036719953201</v>
      </c>
      <c r="AK4167">
        <v>308.10833435299901</v>
      </c>
      <c r="AL4167">
        <v>89.523863793945793</v>
      </c>
      <c r="AM4167">
        <v>93.886286021741498</v>
      </c>
      <c r="AN4167">
        <v>1.0000000197059</v>
      </c>
    </row>
    <row r="4168" spans="1:40" x14ac:dyDescent="0.25">
      <c r="A4168" t="str">
        <f>"20190312154004902"</f>
        <v>20190312154004902</v>
      </c>
      <c r="B4168" t="str">
        <f>"1552376404889597"</f>
        <v>1552376404889597</v>
      </c>
      <c r="C4168" t="s">
        <v>40</v>
      </c>
      <c r="D4168">
        <v>3.677686</v>
      </c>
      <c r="E4168">
        <v>0.40919519999999998</v>
      </c>
      <c r="F4168" t="s">
        <v>75</v>
      </c>
      <c r="G4168">
        <v>-169.3937</v>
      </c>
      <c r="H4168">
        <v>4.1666089999999896</v>
      </c>
      <c r="I4168">
        <v>208.9076</v>
      </c>
      <c r="J4168">
        <v>-476.29469999999998</v>
      </c>
      <c r="K4168">
        <v>1.1114649999999999</v>
      </c>
      <c r="L4168">
        <v>218.03649999999999</v>
      </c>
      <c r="M4168">
        <v>0.94606109999999999</v>
      </c>
      <c r="N4168">
        <v>0</v>
      </c>
      <c r="O4168">
        <v>-0.32373950000000001</v>
      </c>
      <c r="P4168">
        <v>0.96577429999999997</v>
      </c>
      <c r="Q4168">
        <v>-4.3530740000000002E-3</v>
      </c>
      <c r="R4168">
        <v>-0.25934810000000003</v>
      </c>
      <c r="S4168">
        <v>3.085175</v>
      </c>
      <c r="T4168">
        <v>3.0706520000000001E-2</v>
      </c>
      <c r="U4168">
        <v>-9.1903689999999996E-2</v>
      </c>
      <c r="V4168">
        <v>-6.7327040000000005E-2</v>
      </c>
      <c r="W4168">
        <v>8.1536509999999996E-3</v>
      </c>
      <c r="X4168">
        <v>0.99769770000000002</v>
      </c>
      <c r="Y4168">
        <v>-0.29542010000000002</v>
      </c>
      <c r="Z4168">
        <v>-4.642953E-3</v>
      </c>
      <c r="AA4168">
        <v>0.95535619999999999</v>
      </c>
      <c r="AB4168">
        <v>8</v>
      </c>
      <c r="AC4168">
        <v>306.90099999999899</v>
      </c>
      <c r="AD4168">
        <v>3.0551439999999901</v>
      </c>
      <c r="AE4168">
        <v>-9.1288999999999803</v>
      </c>
      <c r="AF4168">
        <v>-90.717806821886299</v>
      </c>
      <c r="AG4168">
        <v>3.0551439999999901</v>
      </c>
      <c r="AH4168">
        <v>293.29707653507597</v>
      </c>
      <c r="AI4168">
        <v>89.4298454017392</v>
      </c>
      <c r="AJ4168">
        <v>107.187020316199</v>
      </c>
      <c r="AK4168">
        <v>307.02154563394402</v>
      </c>
      <c r="AL4168">
        <v>89.532825059901995</v>
      </c>
      <c r="AM4168">
        <v>93.860603846853806</v>
      </c>
      <c r="AN4168">
        <v>1.00000005646253</v>
      </c>
    </row>
    <row r="4169" spans="1:40" x14ac:dyDescent="0.25">
      <c r="A4169" t="str">
        <f>"20190312154004924"</f>
        <v>20190312154004924</v>
      </c>
      <c r="B4169" t="str">
        <f>"1552376404919853"</f>
        <v>1552376404919853</v>
      </c>
      <c r="C4169" t="s">
        <v>40</v>
      </c>
      <c r="D4169">
        <v>3.7058740000000001</v>
      </c>
      <c r="E4169">
        <v>0.4102094</v>
      </c>
      <c r="F4169" t="s">
        <v>75</v>
      </c>
      <c r="G4169">
        <v>-169.39330000000001</v>
      </c>
      <c r="H4169">
        <v>4.1122300000000003</v>
      </c>
      <c r="I4169">
        <v>210.07769999999999</v>
      </c>
      <c r="J4169">
        <v>-476.22230000000002</v>
      </c>
      <c r="K4169">
        <v>1.1114660000000001</v>
      </c>
      <c r="L4169">
        <v>218.01910000000001</v>
      </c>
      <c r="M4169">
        <v>0.94796230000000004</v>
      </c>
      <c r="N4169">
        <v>0</v>
      </c>
      <c r="O4169">
        <v>-0.31813540000000001</v>
      </c>
      <c r="P4169">
        <v>0.96717370000000003</v>
      </c>
      <c r="Q4169">
        <v>-4.5460539999999999E-3</v>
      </c>
      <c r="R4169">
        <v>-0.25407679999999999</v>
      </c>
      <c r="S4169">
        <v>3.0849609999999998</v>
      </c>
      <c r="T4169">
        <v>3.0163880000000001E-2</v>
      </c>
      <c r="U4169">
        <v>-8.0001829999999996E-2</v>
      </c>
      <c r="V4169">
        <v>-6.6863859999999997E-2</v>
      </c>
      <c r="W4169">
        <v>7.798419E-3</v>
      </c>
      <c r="X4169">
        <v>0.99773160000000005</v>
      </c>
      <c r="Y4169">
        <v>-0.29344779999999998</v>
      </c>
      <c r="Z4169">
        <v>-4.4999539999999996E-3</v>
      </c>
      <c r="AA4169">
        <v>0.95596449999999999</v>
      </c>
      <c r="AB4169">
        <v>8</v>
      </c>
      <c r="AC4169">
        <v>306.82900000000001</v>
      </c>
      <c r="AD4169">
        <v>3.00076399999999</v>
      </c>
      <c r="AE4169">
        <v>-7.9414000000000096</v>
      </c>
      <c r="AF4169">
        <v>-90.083496450898096</v>
      </c>
      <c r="AG4169">
        <v>3.00076399999999</v>
      </c>
      <c r="AH4169">
        <v>293.38380690606698</v>
      </c>
      <c r="AI4169">
        <v>89.439803587319702</v>
      </c>
      <c r="AJ4169">
        <v>107.069103956025</v>
      </c>
      <c r="AK4169">
        <v>306.91708826994102</v>
      </c>
      <c r="AL4169">
        <v>89.553178961287998</v>
      </c>
      <c r="AM4169">
        <v>93.833994221647103</v>
      </c>
      <c r="AN4169">
        <v>0.99999996837577898</v>
      </c>
    </row>
    <row r="4170" spans="1:40" x14ac:dyDescent="0.25">
      <c r="A4170" t="str">
        <f>"20190312154004947"</f>
        <v>20190312154004947</v>
      </c>
      <c r="B4170" t="str">
        <f>"1552376404940350"</f>
        <v>1552376404940350</v>
      </c>
      <c r="C4170" t="s">
        <v>40</v>
      </c>
      <c r="D4170">
        <v>3.6775519999999999</v>
      </c>
      <c r="E4170">
        <v>0.41098220000000002</v>
      </c>
      <c r="F4170" t="s">
        <v>75</v>
      </c>
      <c r="G4170">
        <v>-137.82419999999999</v>
      </c>
      <c r="H4170">
        <v>4.3775409999999999</v>
      </c>
      <c r="I4170">
        <v>210.2253</v>
      </c>
      <c r="J4170">
        <v>-476.14609999999999</v>
      </c>
      <c r="K4170">
        <v>1.111459</v>
      </c>
      <c r="L4170">
        <v>218.00129999999999</v>
      </c>
      <c r="M4170">
        <v>0.95000850000000003</v>
      </c>
      <c r="N4170">
        <v>0</v>
      </c>
      <c r="O4170">
        <v>-0.31199840000000001</v>
      </c>
      <c r="P4170">
        <v>0.96871669999999999</v>
      </c>
      <c r="Q4170">
        <v>-3.724864E-3</v>
      </c>
      <c r="R4170">
        <v>-0.24814240000000001</v>
      </c>
      <c r="S4170">
        <v>3.0833439999999999</v>
      </c>
      <c r="T4170">
        <v>2.975941E-2</v>
      </c>
      <c r="U4170">
        <v>-7.1014399999999894E-2</v>
      </c>
      <c r="V4170">
        <v>-6.6530290000000006E-2</v>
      </c>
      <c r="W4170">
        <v>7.9152409999999999E-3</v>
      </c>
      <c r="X4170">
        <v>0.997753</v>
      </c>
      <c r="Y4170">
        <v>-0.29003410000000002</v>
      </c>
      <c r="Z4170">
        <v>-4.3692440000000004E-3</v>
      </c>
      <c r="AA4170">
        <v>0.95700629999999998</v>
      </c>
      <c r="AB4170">
        <v>8</v>
      </c>
      <c r="AC4170">
        <v>338.32190000000003</v>
      </c>
      <c r="AD4170">
        <v>3.2660819999999999</v>
      </c>
      <c r="AE4170">
        <v>-7.7759999999999803</v>
      </c>
      <c r="AF4170">
        <v>-98.166395747613606</v>
      </c>
      <c r="AG4170">
        <v>3.2660819999999999</v>
      </c>
      <c r="AH4170">
        <v>323.82742524182601</v>
      </c>
      <c r="AI4170">
        <v>89.446991395112093</v>
      </c>
      <c r="AJ4170">
        <v>106.864373922444</v>
      </c>
      <c r="AK4170">
        <v>338.39549329809</v>
      </c>
      <c r="AL4170">
        <v>89.546485356619399</v>
      </c>
      <c r="AM4170">
        <v>93.814842255249602</v>
      </c>
      <c r="AN4170">
        <v>0.99999998976828597</v>
      </c>
    </row>
    <row r="4171" spans="1:40" x14ac:dyDescent="0.25">
      <c r="A4171" t="str">
        <f>"20190312154004969"</f>
        <v>20190312154004969</v>
      </c>
      <c r="B4171" t="str">
        <f>"1552376404959870"</f>
        <v>1552376404959870</v>
      </c>
      <c r="C4171" t="s">
        <v>40</v>
      </c>
      <c r="D4171">
        <v>3.7206049999999999</v>
      </c>
      <c r="E4171">
        <v>0.4116785</v>
      </c>
      <c r="F4171" t="s">
        <v>76</v>
      </c>
      <c r="G4171">
        <v>-107.39749999999999</v>
      </c>
      <c r="H4171">
        <v>4.8882519999999996</v>
      </c>
      <c r="I4171">
        <v>211.07329999999999</v>
      </c>
      <c r="J4171">
        <v>-476.0711</v>
      </c>
      <c r="K4171">
        <v>1.111464</v>
      </c>
      <c r="L4171">
        <v>217.98429999999999</v>
      </c>
      <c r="M4171">
        <v>0.9520208</v>
      </c>
      <c r="N4171">
        <v>0</v>
      </c>
      <c r="O4171">
        <v>-0.30583369999999999</v>
      </c>
      <c r="P4171">
        <v>0.9701166</v>
      </c>
      <c r="Q4171">
        <v>-3.0894059999999998E-3</v>
      </c>
      <c r="R4171">
        <v>-0.24262020000000001</v>
      </c>
      <c r="S4171">
        <v>3.0821529999999999</v>
      </c>
      <c r="T4171">
        <v>3.1568409999999998E-2</v>
      </c>
      <c r="U4171">
        <v>-5.7907100000000003E-2</v>
      </c>
      <c r="V4171">
        <v>-6.5747269999999997E-2</v>
      </c>
      <c r="W4171">
        <v>7.7078229999999999E-3</v>
      </c>
      <c r="X4171">
        <v>0.99780650000000004</v>
      </c>
      <c r="Y4171">
        <v>-0.28788340000000001</v>
      </c>
      <c r="Z4171">
        <v>-4.565716E-3</v>
      </c>
      <c r="AA4171">
        <v>0.95765460000000002</v>
      </c>
      <c r="AB4171">
        <v>8</v>
      </c>
      <c r="AC4171">
        <v>368.67360000000002</v>
      </c>
      <c r="AD4171">
        <v>3.7767879999999998</v>
      </c>
      <c r="AE4171">
        <v>-6.9109999999999996</v>
      </c>
      <c r="AF4171">
        <v>-106.16874231472799</v>
      </c>
      <c r="AG4171">
        <v>3.7767879999999998</v>
      </c>
      <c r="AH4171">
        <v>353.08307754225399</v>
      </c>
      <c r="AI4171">
        <v>89.413109232115005</v>
      </c>
      <c r="AJ4171">
        <v>106.73553568046999</v>
      </c>
      <c r="AK4171">
        <v>368.719033437382</v>
      </c>
      <c r="AL4171">
        <v>89.558369883425797</v>
      </c>
      <c r="AM4171">
        <v>93.769872634609996</v>
      </c>
      <c r="AN4171">
        <v>0.99999996274504999</v>
      </c>
    </row>
    <row r="4172" spans="1:40" x14ac:dyDescent="0.25">
      <c r="A4172" t="str">
        <f>"20190312154004994"</f>
        <v>20190312154004994</v>
      </c>
      <c r="B4172" t="str">
        <f>"1552376404980366"</f>
        <v>1552376404980366</v>
      </c>
      <c r="C4172" t="s">
        <v>40</v>
      </c>
      <c r="D4172">
        <v>3.7584590000000002</v>
      </c>
      <c r="E4172">
        <v>0.42302089999999998</v>
      </c>
      <c r="F4172" t="s">
        <v>76</v>
      </c>
      <c r="G4172">
        <v>-107.39749999999999</v>
      </c>
      <c r="H4172">
        <v>5.1264430000000001</v>
      </c>
      <c r="I4172">
        <v>212.51240000000001</v>
      </c>
      <c r="J4172">
        <v>-475.9896</v>
      </c>
      <c r="K4172">
        <v>1.1114820000000001</v>
      </c>
      <c r="L4172">
        <v>217.9666</v>
      </c>
      <c r="M4172">
        <v>0.954152</v>
      </c>
      <c r="N4172">
        <v>0</v>
      </c>
      <c r="O4172">
        <v>-0.29914570000000001</v>
      </c>
      <c r="P4172">
        <v>0.97154459999999998</v>
      </c>
      <c r="Q4172">
        <v>-1.913283E-3</v>
      </c>
      <c r="R4172">
        <v>-0.2368498</v>
      </c>
      <c r="S4172">
        <v>3.0811160000000002</v>
      </c>
      <c r="T4172">
        <v>3.3554790000000001E-2</v>
      </c>
      <c r="U4172">
        <v>-4.5730590000000002E-2</v>
      </c>
      <c r="V4172">
        <v>-6.4678879999999994E-2</v>
      </c>
      <c r="W4172">
        <v>8.1031079999999995E-3</v>
      </c>
      <c r="X4172">
        <v>0.99787320000000002</v>
      </c>
      <c r="Y4172">
        <v>-0.28493359999999901</v>
      </c>
      <c r="Z4172">
        <v>-4.7691529999999999E-3</v>
      </c>
      <c r="AA4172">
        <v>0.95853540000000004</v>
      </c>
      <c r="AB4172">
        <v>8</v>
      </c>
      <c r="AC4172">
        <v>368.59210000000002</v>
      </c>
      <c r="AD4172">
        <v>4.0149609999999996</v>
      </c>
      <c r="AE4172">
        <v>-5.4541999999999797</v>
      </c>
      <c r="AF4172">
        <v>-105.05170281495199</v>
      </c>
      <c r="AG4172">
        <v>4.0149609999999996</v>
      </c>
      <c r="AH4172">
        <v>353.30127388366799</v>
      </c>
      <c r="AI4172">
        <v>89.375913572294706</v>
      </c>
      <c r="AJ4172">
        <v>106.55948354645599</v>
      </c>
      <c r="AK4172">
        <v>368.61059440007301</v>
      </c>
      <c r="AL4172">
        <v>89.535721016118998</v>
      </c>
      <c r="AM4172">
        <v>93.708537557105998</v>
      </c>
      <c r="AN4172">
        <v>0.99999997057777601</v>
      </c>
    </row>
    <row r="4173" spans="1:40" x14ac:dyDescent="0.25">
      <c r="A4173" t="str">
        <f>"20190312154005016"</f>
        <v>20190312154005016</v>
      </c>
      <c r="B4173" t="str">
        <f>"1552376405009646"</f>
        <v>1552376405009646</v>
      </c>
      <c r="C4173" t="s">
        <v>40</v>
      </c>
      <c r="D4173">
        <v>3.8072240000000002</v>
      </c>
      <c r="E4173">
        <v>0.4256818</v>
      </c>
      <c r="F4173" t="s">
        <v>75</v>
      </c>
      <c r="G4173">
        <v>-168.4119</v>
      </c>
      <c r="H4173">
        <v>4.1246010000000002</v>
      </c>
      <c r="I4173">
        <v>206.39400000000001</v>
      </c>
      <c r="J4173">
        <v>-475.91109999999998</v>
      </c>
      <c r="K4173">
        <v>1.1114759999999999</v>
      </c>
      <c r="L4173">
        <v>217.95009999999999</v>
      </c>
      <c r="M4173">
        <v>0.95611440000000003</v>
      </c>
      <c r="N4173">
        <v>0</v>
      </c>
      <c r="O4173">
        <v>-0.292832599999999</v>
      </c>
      <c r="P4173">
        <v>0.97274320000000003</v>
      </c>
      <c r="Q4173">
        <v>-1.185749E-3</v>
      </c>
      <c r="R4173">
        <v>-0.23188210000000001</v>
      </c>
      <c r="S4173">
        <v>3.0598749999999999</v>
      </c>
      <c r="T4173">
        <v>2.9975769999999999E-2</v>
      </c>
      <c r="U4173">
        <v>-0.1151276</v>
      </c>
      <c r="V4173">
        <v>-6.3182260000000004E-2</v>
      </c>
      <c r="W4173">
        <v>8.2533060000000002E-3</v>
      </c>
      <c r="X4173">
        <v>0.99796790000000002</v>
      </c>
      <c r="Y4173">
        <v>-0.25666349999999999</v>
      </c>
      <c r="Z4173">
        <v>-4.0884010000000002E-3</v>
      </c>
      <c r="AA4173">
        <v>0.96649220000000002</v>
      </c>
      <c r="AB4173">
        <v>8</v>
      </c>
      <c r="AC4173">
        <v>307.49919999999997</v>
      </c>
      <c r="AD4173">
        <v>3.0131250000000001</v>
      </c>
      <c r="AE4173">
        <v>-11.556099999999899</v>
      </c>
      <c r="AF4173">
        <v>-78.992988527606997</v>
      </c>
      <c r="AG4173">
        <v>3.0131250000000001</v>
      </c>
      <c r="AH4173">
        <v>297.37392955327402</v>
      </c>
      <c r="AI4173">
        <v>89.438929956897496</v>
      </c>
      <c r="AJ4173">
        <v>104.87622884986</v>
      </c>
      <c r="AK4173">
        <v>307.70151955546697</v>
      </c>
      <c r="AL4173">
        <v>89.527115040992001</v>
      </c>
      <c r="AM4173">
        <v>93.622613198696897</v>
      </c>
      <c r="AN4173">
        <v>1.00000002223452</v>
      </c>
    </row>
    <row r="4174" spans="1:40" x14ac:dyDescent="0.25">
      <c r="A4174" t="str">
        <f>"20190312154005038"</f>
        <v>20190312154005038</v>
      </c>
      <c r="B4174" t="str">
        <f>"1552376405030142"</f>
        <v>1552376405030142</v>
      </c>
      <c r="C4174" t="s">
        <v>40</v>
      </c>
      <c r="D4174">
        <v>3.7927019999999998</v>
      </c>
      <c r="E4174">
        <v>0.42648979999999997</v>
      </c>
      <c r="F4174" t="s">
        <v>75</v>
      </c>
      <c r="G4174">
        <v>-168.41139999999999</v>
      </c>
      <c r="H4174">
        <v>2.3367610000000001</v>
      </c>
      <c r="I4174">
        <v>206.0102</v>
      </c>
      <c r="J4174">
        <v>-475.83109999999999</v>
      </c>
      <c r="K4174">
        <v>1.1114269999999999</v>
      </c>
      <c r="L4174">
        <v>217.93389999999999</v>
      </c>
      <c r="M4174">
        <v>0.95803819999999995</v>
      </c>
      <c r="N4174">
        <v>0</v>
      </c>
      <c r="O4174">
        <v>-0.28649259999999999</v>
      </c>
      <c r="P4174">
        <v>0.97402940000000005</v>
      </c>
      <c r="Q4174">
        <v>3.488101E-4</v>
      </c>
      <c r="R4174">
        <v>-0.22642200000000001</v>
      </c>
      <c r="S4174">
        <v>3.0557560000000001</v>
      </c>
      <c r="T4174">
        <v>1.217651E-2</v>
      </c>
      <c r="U4174">
        <v>-0.1186523</v>
      </c>
      <c r="V4174">
        <v>-6.2172829999999998E-2</v>
      </c>
      <c r="W4174">
        <v>9.2808500000000002E-3</v>
      </c>
      <c r="X4174">
        <v>0.99802230000000003</v>
      </c>
      <c r="Y4174">
        <v>-0.24911150000000001</v>
      </c>
      <c r="Z4174">
        <v>-1.623565E-3</v>
      </c>
      <c r="AA4174">
        <v>0.96847340000000004</v>
      </c>
      <c r="AB4174">
        <v>8</v>
      </c>
      <c r="AC4174">
        <v>307.41969999999998</v>
      </c>
      <c r="AD4174">
        <v>1.2253339999999999</v>
      </c>
      <c r="AE4174">
        <v>-11.923699999999901</v>
      </c>
      <c r="AF4174">
        <v>-76.652143180186897</v>
      </c>
      <c r="AG4174">
        <v>1.2253339999999999</v>
      </c>
      <c r="AH4174">
        <v>297.94377439425199</v>
      </c>
      <c r="AI4174">
        <v>89.771795823887501</v>
      </c>
      <c r="AJ4174">
        <v>104.427632612232</v>
      </c>
      <c r="AK4174">
        <v>307.64841166146198</v>
      </c>
      <c r="AL4174">
        <v>89.468238858972299</v>
      </c>
      <c r="AM4174">
        <v>93.564693243885003</v>
      </c>
      <c r="AN4174">
        <v>1.0000000531321001</v>
      </c>
    </row>
    <row r="4175" spans="1:40" x14ac:dyDescent="0.25">
      <c r="A4175" t="str">
        <f>"20190312154005061"</f>
        <v>20190312154005061</v>
      </c>
      <c r="B4175" t="str">
        <f>"1552376405049662"</f>
        <v>1552376405049662</v>
      </c>
      <c r="C4175" t="s">
        <v>40</v>
      </c>
      <c r="D4175">
        <v>3.8087369999999998</v>
      </c>
      <c r="E4175">
        <v>0.42724069999999997</v>
      </c>
      <c r="F4175" t="s">
        <v>75</v>
      </c>
      <c r="G4175">
        <v>-168.4111</v>
      </c>
      <c r="H4175">
        <v>2.3549579999999999</v>
      </c>
      <c r="I4175">
        <v>207.10550000000001</v>
      </c>
      <c r="J4175">
        <v>-475.74889999999999</v>
      </c>
      <c r="K4175">
        <v>1.111351</v>
      </c>
      <c r="L4175">
        <v>217.9177</v>
      </c>
      <c r="M4175">
        <v>0.95995260000000004</v>
      </c>
      <c r="N4175">
        <v>0</v>
      </c>
      <c r="O4175">
        <v>-0.28002739999999998</v>
      </c>
      <c r="P4175">
        <v>0.97518439999999995</v>
      </c>
      <c r="Q4175">
        <v>8.5632130000000005E-4</v>
      </c>
      <c r="R4175">
        <v>-0.22139249999999999</v>
      </c>
      <c r="S4175">
        <v>3.054932</v>
      </c>
      <c r="T4175">
        <v>1.2357709999999999E-2</v>
      </c>
      <c r="U4175">
        <v>-0.10760500000000001</v>
      </c>
      <c r="V4175">
        <v>-6.0591810000000003E-2</v>
      </c>
      <c r="W4175">
        <v>9.3070749999999997E-3</v>
      </c>
      <c r="X4175">
        <v>0.99811919999999998</v>
      </c>
      <c r="Y4175">
        <v>-0.24606710000000001</v>
      </c>
      <c r="Z4175">
        <v>-1.6170290000000001E-3</v>
      </c>
      <c r="AA4175">
        <v>0.96925150000000004</v>
      </c>
      <c r="AB4175">
        <v>8</v>
      </c>
      <c r="AC4175">
        <v>307.33780000000002</v>
      </c>
      <c r="AD4175">
        <v>1.2436069999999999</v>
      </c>
      <c r="AE4175">
        <v>-10.812199999999899</v>
      </c>
      <c r="AF4175">
        <v>-75.685431189630805</v>
      </c>
      <c r="AG4175">
        <v>1.2436069999999999</v>
      </c>
      <c r="AH4175">
        <v>298.06383450940399</v>
      </c>
      <c r="AI4175">
        <v>89.768300038485606</v>
      </c>
      <c r="AJ4175">
        <v>104.24762727918799</v>
      </c>
      <c r="AK4175">
        <v>307.52541438908798</v>
      </c>
      <c r="AL4175">
        <v>89.466736164401198</v>
      </c>
      <c r="AM4175">
        <v>93.473933564815695</v>
      </c>
      <c r="AN4175">
        <v>0.99999996324638496</v>
      </c>
    </row>
    <row r="4176" spans="1:40" x14ac:dyDescent="0.25">
      <c r="A4176" t="str">
        <f>"20190312154005083"</f>
        <v>20190312154005083</v>
      </c>
      <c r="B4176" t="str">
        <f>"1552376405070158"</f>
        <v>1552376405070158</v>
      </c>
      <c r="C4176" t="s">
        <v>40</v>
      </c>
      <c r="D4176">
        <v>3.7957800000000002</v>
      </c>
      <c r="E4176">
        <v>0.42805349999999998</v>
      </c>
      <c r="F4176" t="s">
        <v>75</v>
      </c>
      <c r="G4176">
        <v>-168.41069999999999</v>
      </c>
      <c r="H4176">
        <v>2.152933</v>
      </c>
      <c r="I4176">
        <v>208.09970000000001</v>
      </c>
      <c r="J4176">
        <v>-475.66539999999998</v>
      </c>
      <c r="K4176">
        <v>1.1112979999999999</v>
      </c>
      <c r="L4176">
        <v>217.90170000000001</v>
      </c>
      <c r="M4176">
        <v>0.96184590000000003</v>
      </c>
      <c r="N4176">
        <v>0</v>
      </c>
      <c r="O4176">
        <v>-0.27346700000000002</v>
      </c>
      <c r="P4176">
        <v>0.97614500000000004</v>
      </c>
      <c r="Q4176">
        <v>1.629852E-4</v>
      </c>
      <c r="R4176">
        <v>-0.2171196</v>
      </c>
      <c r="S4176">
        <v>3.054138</v>
      </c>
      <c r="T4176">
        <v>1.0350939999999999E-2</v>
      </c>
      <c r="U4176">
        <v>-9.7564700000000004E-2</v>
      </c>
      <c r="V4176">
        <v>-5.8142550000000001E-2</v>
      </c>
      <c r="W4176">
        <v>8.1770139999999998E-3</v>
      </c>
      <c r="X4176">
        <v>0.99827480000000002</v>
      </c>
      <c r="Y4176">
        <v>-0.24262239999999999</v>
      </c>
      <c r="Z4176">
        <v>-1.327639E-3</v>
      </c>
      <c r="AA4176">
        <v>0.97011990000000003</v>
      </c>
      <c r="AB4176">
        <v>9</v>
      </c>
      <c r="AC4176">
        <v>307.25470000000001</v>
      </c>
      <c r="AD4176">
        <v>1.0416350000000001</v>
      </c>
      <c r="AE4176">
        <v>-9.8019999999999907</v>
      </c>
      <c r="AF4176">
        <v>-74.597697314481294</v>
      </c>
      <c r="AG4176">
        <v>1.0416350000000001</v>
      </c>
      <c r="AH4176">
        <v>298.218952217815</v>
      </c>
      <c r="AI4176">
        <v>89.805856836923795</v>
      </c>
      <c r="AJ4176">
        <v>104.044011312424</v>
      </c>
      <c r="AK4176">
        <v>307.40924662408497</v>
      </c>
      <c r="AL4176">
        <v>89.531486386661896</v>
      </c>
      <c r="AM4176">
        <v>93.333314113168399</v>
      </c>
      <c r="AN4176">
        <v>0.99999999799674899</v>
      </c>
    </row>
    <row r="4177" spans="1:40" x14ac:dyDescent="0.25">
      <c r="A4177" t="str">
        <f>"20190312154005105"</f>
        <v>20190312154005105</v>
      </c>
      <c r="B4177" t="str">
        <f>"1552376405100414"</f>
        <v>1552376405100414</v>
      </c>
      <c r="C4177" t="s">
        <v>40</v>
      </c>
      <c r="D4177">
        <v>3.7955770000000002</v>
      </c>
      <c r="E4177">
        <v>0.43304189999999998</v>
      </c>
      <c r="F4177" t="s">
        <v>75</v>
      </c>
      <c r="G4177">
        <v>-169.39320000000001</v>
      </c>
      <c r="H4177">
        <v>2.4156110000000002</v>
      </c>
      <c r="I4177">
        <v>208.8049</v>
      </c>
      <c r="J4177">
        <v>-475.5847</v>
      </c>
      <c r="K4177">
        <v>1.1112949999999999</v>
      </c>
      <c r="L4177">
        <v>217.88669999999999</v>
      </c>
      <c r="M4177">
        <v>0.96362959999999998</v>
      </c>
      <c r="N4177">
        <v>0</v>
      </c>
      <c r="O4177">
        <v>-0.26712529999999901</v>
      </c>
      <c r="P4177">
        <v>0.97691340000000004</v>
      </c>
      <c r="Q4177">
        <v>7.3150549999999998E-4</v>
      </c>
      <c r="R4177">
        <v>-0.21363489999999999</v>
      </c>
      <c r="S4177">
        <v>3.053131</v>
      </c>
      <c r="T4177">
        <v>1.3002629999999999E-2</v>
      </c>
      <c r="U4177">
        <v>-9.0682979999999996E-2</v>
      </c>
      <c r="V4177">
        <v>-5.5129009999999999E-2</v>
      </c>
      <c r="W4177">
        <v>8.3796619999999995E-3</v>
      </c>
      <c r="X4177">
        <v>0.99844409999999895</v>
      </c>
      <c r="Y4177">
        <v>-0.23840169999999999</v>
      </c>
      <c r="Z4177">
        <v>-1.633296E-3</v>
      </c>
      <c r="AA4177">
        <v>0.97116519999999995</v>
      </c>
      <c r="AB4177">
        <v>9</v>
      </c>
      <c r="AC4177">
        <v>306.19150000000002</v>
      </c>
      <c r="AD4177">
        <v>1.304316</v>
      </c>
      <c r="AE4177">
        <v>-9.0817999999999799</v>
      </c>
      <c r="AF4177">
        <v>-73.040947595100903</v>
      </c>
      <c r="AG4177">
        <v>1.304316</v>
      </c>
      <c r="AH4177">
        <v>297.48501029458902</v>
      </c>
      <c r="AI4177">
        <v>89.756035507383203</v>
      </c>
      <c r="AJ4177">
        <v>103.794845029111</v>
      </c>
      <c r="AK4177">
        <v>306.32337915312598</v>
      </c>
      <c r="AL4177">
        <v>89.519875125937702</v>
      </c>
      <c r="AM4177">
        <v>93.160372762817801</v>
      </c>
      <c r="AN4177">
        <v>1.0000000236518101</v>
      </c>
    </row>
    <row r="4178" spans="1:40" x14ac:dyDescent="0.25">
      <c r="A4178" t="str">
        <f>"20190312154005127"</f>
        <v>20190312154005127</v>
      </c>
      <c r="B4178" t="str">
        <f>"1552376405119935"</f>
        <v>1552376405119935</v>
      </c>
      <c r="C4178" t="s">
        <v>40</v>
      </c>
      <c r="D4178">
        <v>3.8244739999999999</v>
      </c>
      <c r="E4178">
        <v>0.43366399999999999</v>
      </c>
      <c r="F4178" t="s">
        <v>75</v>
      </c>
      <c r="G4178">
        <v>-169.7115</v>
      </c>
      <c r="H4178">
        <v>6.8217109999999996</v>
      </c>
      <c r="I4178">
        <v>205.64449999999999</v>
      </c>
      <c r="J4178">
        <v>-475.50119999999998</v>
      </c>
      <c r="K4178">
        <v>1.111332</v>
      </c>
      <c r="L4178">
        <v>217.8716</v>
      </c>
      <c r="M4178">
        <v>0.96542490000000003</v>
      </c>
      <c r="N4178">
        <v>0</v>
      </c>
      <c r="O4178">
        <v>-0.2605729</v>
      </c>
      <c r="P4178">
        <v>0.97779190000000005</v>
      </c>
      <c r="Q4178">
        <v>1.75948799999999E-3</v>
      </c>
      <c r="R4178">
        <v>-0.20957229999999999</v>
      </c>
      <c r="S4178">
        <v>3.0442499999999999</v>
      </c>
      <c r="T4178">
        <v>5.6834099999999999E-2</v>
      </c>
      <c r="U4178">
        <v>-0.1218414</v>
      </c>
      <c r="V4178">
        <v>-5.2499039999999997E-2</v>
      </c>
      <c r="W4178">
        <v>9.0729580000000008E-3</v>
      </c>
      <c r="X4178">
        <v>0.99857969999999896</v>
      </c>
      <c r="Y4178">
        <v>-0.22167909999999999</v>
      </c>
      <c r="Z4178">
        <v>-6.8817239999999997E-3</v>
      </c>
      <c r="AA4178">
        <v>0.97509539999999995</v>
      </c>
      <c r="AB4178">
        <v>9</v>
      </c>
      <c r="AC4178">
        <v>305.78969999999998</v>
      </c>
      <c r="AD4178">
        <v>5.7103789999999996</v>
      </c>
      <c r="AE4178">
        <v>-12.2271</v>
      </c>
      <c r="AF4178">
        <v>-67.854455766135999</v>
      </c>
      <c r="AG4178">
        <v>5.7103789999999996</v>
      </c>
      <c r="AH4178">
        <v>298.307614083987</v>
      </c>
      <c r="AI4178">
        <v>88.930653232099203</v>
      </c>
      <c r="AJ4178">
        <v>102.814725319001</v>
      </c>
      <c r="AK4178">
        <v>305.98082981801798</v>
      </c>
      <c r="AL4178">
        <v>89.480150636638498</v>
      </c>
      <c r="AM4178">
        <v>93.009481032133607</v>
      </c>
      <c r="AN4178">
        <v>0.99999994250993895</v>
      </c>
    </row>
    <row r="4179" spans="1:40" x14ac:dyDescent="0.25">
      <c r="A4179" t="str">
        <f>"20190312154005148"</f>
        <v>20190312154005148</v>
      </c>
      <c r="B4179" t="str">
        <f>"1552376405140430"</f>
        <v>1552376405140430</v>
      </c>
      <c r="C4179" t="s">
        <v>40</v>
      </c>
      <c r="D4179">
        <v>3.8502190000000001</v>
      </c>
      <c r="E4179">
        <v>0.43388460000000001</v>
      </c>
      <c r="F4179" t="s">
        <v>75</v>
      </c>
      <c r="G4179">
        <v>-168.41249999999999</v>
      </c>
      <c r="H4179">
        <v>6.139996</v>
      </c>
      <c r="I4179">
        <v>206.45509999999999</v>
      </c>
      <c r="J4179">
        <v>-475.4203</v>
      </c>
      <c r="K4179">
        <v>1.1113770000000001</v>
      </c>
      <c r="L4179">
        <v>217.85759999999999</v>
      </c>
      <c r="M4179">
        <v>0.96711689999999995</v>
      </c>
      <c r="N4179">
        <v>0</v>
      </c>
      <c r="O4179">
        <v>-0.25422919999999999</v>
      </c>
      <c r="P4179">
        <v>0.97868509999999997</v>
      </c>
      <c r="Q4179">
        <v>1.6174609999999999E-3</v>
      </c>
      <c r="R4179">
        <v>-0.2053613</v>
      </c>
      <c r="S4179">
        <v>3.0438230000000002</v>
      </c>
      <c r="T4179">
        <v>4.9843789999999999E-2</v>
      </c>
      <c r="U4179">
        <v>-0.1131592</v>
      </c>
      <c r="V4179">
        <v>-5.024116E-2</v>
      </c>
      <c r="W4179">
        <v>8.6319009999999904E-3</v>
      </c>
      <c r="X4179">
        <v>0.99869980000000003</v>
      </c>
      <c r="Y4179">
        <v>-0.2180676</v>
      </c>
      <c r="Z4179">
        <v>-5.906573E-3</v>
      </c>
      <c r="AA4179">
        <v>0.9759158</v>
      </c>
      <c r="AB4179">
        <v>9</v>
      </c>
      <c r="AC4179">
        <v>307.00779999999997</v>
      </c>
      <c r="AD4179">
        <v>5.028619</v>
      </c>
      <c r="AE4179">
        <v>-11.4025</v>
      </c>
      <c r="AF4179">
        <v>-67.0066013292668</v>
      </c>
      <c r="AG4179">
        <v>5.028619</v>
      </c>
      <c r="AH4179">
        <v>299.73883289371003</v>
      </c>
      <c r="AI4179">
        <v>89.062005787652097</v>
      </c>
      <c r="AJ4179">
        <v>102.601280616965</v>
      </c>
      <c r="AK4179">
        <v>307.17835141043003</v>
      </c>
      <c r="AL4179">
        <v>89.505422355256599</v>
      </c>
      <c r="AM4179">
        <v>92.879926241395907</v>
      </c>
      <c r="AN4179">
        <v>0.99999998719652905</v>
      </c>
    </row>
    <row r="4180" spans="1:40" x14ac:dyDescent="0.25">
      <c r="A4180" t="str">
        <f>"20190312154005171"</f>
        <v>20190312154005171</v>
      </c>
      <c r="B4180" t="str">
        <f>"1552376405159953"</f>
        <v>1552376405159953</v>
      </c>
      <c r="C4180" t="s">
        <v>40</v>
      </c>
      <c r="D4180">
        <v>3.8682629999999998</v>
      </c>
      <c r="E4180">
        <v>0.43407380000000001</v>
      </c>
      <c r="F4180" t="s">
        <v>75</v>
      </c>
      <c r="G4180">
        <v>-168.41210000000001</v>
      </c>
      <c r="H4180">
        <v>5.9936290000000003</v>
      </c>
      <c r="I4180">
        <v>207.6</v>
      </c>
      <c r="J4180">
        <v>-475.3297</v>
      </c>
      <c r="K4180">
        <v>1.111423</v>
      </c>
      <c r="L4180">
        <v>217.8425</v>
      </c>
      <c r="M4180">
        <v>0.96894979999999997</v>
      </c>
      <c r="N4180">
        <v>0</v>
      </c>
      <c r="O4180">
        <v>-0.24716009999999999</v>
      </c>
      <c r="P4180">
        <v>0.97973469999999996</v>
      </c>
      <c r="Q4180">
        <v>-3.3610310000000001E-4</v>
      </c>
      <c r="R4180">
        <v>-0.20029910000000001</v>
      </c>
      <c r="S4180">
        <v>3.0438540000000001</v>
      </c>
      <c r="T4180">
        <v>4.8405770000000001E-2</v>
      </c>
      <c r="U4180">
        <v>-0.10169980000000001</v>
      </c>
      <c r="V4180">
        <v>-4.8101730000000002E-2</v>
      </c>
      <c r="W4180">
        <v>6.3660349999999999E-3</v>
      </c>
      <c r="X4180">
        <v>0.99882219999999999</v>
      </c>
      <c r="Y4180">
        <v>-0.21461369999999999</v>
      </c>
      <c r="Z4180">
        <v>-5.6001740000000003E-3</v>
      </c>
      <c r="AA4180">
        <v>0.97668299999999997</v>
      </c>
      <c r="AB4180">
        <v>9</v>
      </c>
      <c r="AC4180">
        <v>306.91759999999999</v>
      </c>
      <c r="AD4180">
        <v>4.882206</v>
      </c>
      <c r="AE4180">
        <v>-10.2425</v>
      </c>
      <c r="AF4180">
        <v>-65.918243069417599</v>
      </c>
      <c r="AG4180">
        <v>4.882206</v>
      </c>
      <c r="AH4180">
        <v>299.85071856490703</v>
      </c>
      <c r="AI4180">
        <v>89.088937042406002</v>
      </c>
      <c r="AJ4180">
        <v>102.398502988904</v>
      </c>
      <c r="AK4180">
        <v>307.04967697210901</v>
      </c>
      <c r="AL4180">
        <v>89.635250614997503</v>
      </c>
      <c r="AM4180">
        <v>92.757145817205597</v>
      </c>
      <c r="AN4180">
        <v>1.0000000450217199</v>
      </c>
    </row>
    <row r="4181" spans="1:40" x14ac:dyDescent="0.25">
      <c r="A4181" t="str">
        <f>"20190312154005193"</f>
        <v>20190312154005193</v>
      </c>
      <c r="B4181" t="str">
        <f>"1552376405180446"</f>
        <v>1552376405180446</v>
      </c>
      <c r="C4181" t="s">
        <v>40</v>
      </c>
      <c r="D4181">
        <v>3.92164</v>
      </c>
      <c r="E4181">
        <v>0.43417929999999999</v>
      </c>
      <c r="F4181" t="s">
        <v>75</v>
      </c>
      <c r="G4181">
        <v>-169.39400000000001</v>
      </c>
      <c r="H4181">
        <v>5.1894970000000002</v>
      </c>
      <c r="I4181">
        <v>209.065</v>
      </c>
      <c r="J4181">
        <v>-475.24310000000003</v>
      </c>
      <c r="K4181">
        <v>1.11145</v>
      </c>
      <c r="L4181">
        <v>217.8287</v>
      </c>
      <c r="M4181">
        <v>0.97063759999999999</v>
      </c>
      <c r="N4181">
        <v>0</v>
      </c>
      <c r="O4181">
        <v>-0.24045520000000001</v>
      </c>
      <c r="P4181">
        <v>0.98073189999999999</v>
      </c>
      <c r="Q4181">
        <v>-1.272827E-3</v>
      </c>
      <c r="R4181">
        <v>-0.19535520000000001</v>
      </c>
      <c r="S4181">
        <v>3.0442200000000001</v>
      </c>
      <c r="T4181">
        <v>4.0579320000000002E-2</v>
      </c>
      <c r="U4181">
        <v>-8.7341310000000005E-2</v>
      </c>
      <c r="V4181">
        <v>-4.62283E-2</v>
      </c>
      <c r="W4181">
        <v>5.1563190000000004E-3</v>
      </c>
      <c r="X4181">
        <v>0.99891759999999996</v>
      </c>
      <c r="Y4181">
        <v>-0.21248420000000001</v>
      </c>
      <c r="Z4181">
        <v>-4.5937590000000002E-3</v>
      </c>
      <c r="AA4181">
        <v>0.97715370000000001</v>
      </c>
      <c r="AB4181">
        <v>9</v>
      </c>
      <c r="AC4181">
        <v>305.84910000000002</v>
      </c>
      <c r="AD4181">
        <v>4.0780469999999998</v>
      </c>
      <c r="AE4181">
        <v>-8.7637</v>
      </c>
      <c r="AF4181">
        <v>-65.026507761892006</v>
      </c>
      <c r="AG4181">
        <v>4.0780469999999998</v>
      </c>
      <c r="AH4181">
        <v>298.92938233400201</v>
      </c>
      <c r="AI4181">
        <v>89.236268228790394</v>
      </c>
      <c r="AJ4181">
        <v>102.272434642161</v>
      </c>
      <c r="AK4181">
        <v>305.947467388814</v>
      </c>
      <c r="AL4181">
        <v>89.704563376513605</v>
      </c>
      <c r="AM4181">
        <v>92.649666020624494</v>
      </c>
      <c r="AN4181">
        <v>1.0000000074681299</v>
      </c>
    </row>
    <row r="4182" spans="1:40" x14ac:dyDescent="0.25">
      <c r="A4182" t="str">
        <f>"20190312154005217"</f>
        <v>20190312154005217</v>
      </c>
      <c r="B4182" t="str">
        <f>"1552376405209726"</f>
        <v>1552376405209726</v>
      </c>
      <c r="C4182" t="s">
        <v>40</v>
      </c>
      <c r="D4182">
        <v>4.0482899999999997</v>
      </c>
      <c r="E4182">
        <v>0.51049120000000003</v>
      </c>
      <c r="F4182" t="s">
        <v>75</v>
      </c>
      <c r="G4182">
        <v>-151.66990000000001</v>
      </c>
      <c r="H4182">
        <v>5.1571410000000002</v>
      </c>
      <c r="I4182">
        <v>210.072</v>
      </c>
      <c r="J4182">
        <v>-475.14699999999999</v>
      </c>
      <c r="K4182">
        <v>1.1114470000000001</v>
      </c>
      <c r="L4182">
        <v>217.81399999999999</v>
      </c>
      <c r="M4182">
        <v>0.97242960000000001</v>
      </c>
      <c r="N4182">
        <v>0</v>
      </c>
      <c r="O4182">
        <v>-0.23311009999999999</v>
      </c>
      <c r="P4182">
        <v>0.98194009999999998</v>
      </c>
      <c r="Q4182">
        <v>-2.0093839999999999E-3</v>
      </c>
      <c r="R4182">
        <v>-0.18918260000000001</v>
      </c>
      <c r="S4182">
        <v>3.044495</v>
      </c>
      <c r="T4182">
        <v>3.806615E-2</v>
      </c>
      <c r="U4182">
        <v>-7.2982790000000006E-2</v>
      </c>
      <c r="V4182">
        <v>-4.4954319999999999E-2</v>
      </c>
      <c r="W4182">
        <v>4.1487729999999997E-3</v>
      </c>
      <c r="X4182">
        <v>0.99898039999999999</v>
      </c>
      <c r="Y4182">
        <v>-0.2097087</v>
      </c>
      <c r="Z4182">
        <v>-4.2025650000000001E-3</v>
      </c>
      <c r="AA4182">
        <v>0.97775489999999998</v>
      </c>
      <c r="AB4182">
        <v>9</v>
      </c>
      <c r="AC4182">
        <v>323.47709999999898</v>
      </c>
      <c r="AD4182">
        <v>4.0456940000000001</v>
      </c>
      <c r="AE4182">
        <v>-7.7420000000000098</v>
      </c>
      <c r="AF4182">
        <v>-67.867988779807206</v>
      </c>
      <c r="AG4182">
        <v>4.0456940000000001</v>
      </c>
      <c r="AH4182">
        <v>316.32037759573899</v>
      </c>
      <c r="AI4182">
        <v>89.283538226102905</v>
      </c>
      <c r="AJ4182">
        <v>102.109485347529</v>
      </c>
      <c r="AK4182">
        <v>323.54445262323401</v>
      </c>
      <c r="AL4182">
        <v>89.762292128221702</v>
      </c>
      <c r="AM4182">
        <v>92.576583392415401</v>
      </c>
      <c r="AN4182">
        <v>0.99999997139411301</v>
      </c>
    </row>
    <row r="4183" spans="1:40" x14ac:dyDescent="0.25">
      <c r="A4183" t="str">
        <f>"20190312154005239"</f>
        <v>20190312154005239</v>
      </c>
      <c r="B4183" t="str">
        <f>"1552376405230222"</f>
        <v>1552376405230222</v>
      </c>
      <c r="C4183" t="s">
        <v>40</v>
      </c>
      <c r="D4183">
        <v>3.8784130000000001</v>
      </c>
      <c r="E4183">
        <v>0.52210290000000004</v>
      </c>
      <c r="F4183" t="s">
        <v>61</v>
      </c>
      <c r="G4183">
        <v>-460.11880000000002</v>
      </c>
      <c r="H4183" s="1">
        <v>-1.4709960000000001E-6</v>
      </c>
      <c r="I4183">
        <v>214.55760000000001</v>
      </c>
      <c r="J4183">
        <v>-475.05560000000003</v>
      </c>
      <c r="K4183">
        <v>1.1114059999999999</v>
      </c>
      <c r="L4183">
        <v>217.8005</v>
      </c>
      <c r="M4183">
        <v>0.97404400000000002</v>
      </c>
      <c r="N4183">
        <v>0</v>
      </c>
      <c r="O4183">
        <v>-0.22627510000000001</v>
      </c>
      <c r="P4183">
        <v>0.98301719999999904</v>
      </c>
      <c r="Q4183">
        <v>-3.5020559999999999E-3</v>
      </c>
      <c r="R4183">
        <v>-0.18347939999999999</v>
      </c>
      <c r="S4183">
        <v>2.932312</v>
      </c>
      <c r="T4183">
        <v>-0.21686710000000001</v>
      </c>
      <c r="U4183">
        <v>-0.63539119999999905</v>
      </c>
      <c r="V4183">
        <v>-4.3727460000000003E-2</v>
      </c>
      <c r="W4183">
        <v>2.440752E-3</v>
      </c>
      <c r="X4183">
        <v>0.9990405</v>
      </c>
      <c r="Y4183">
        <v>-1.4256309999999999E-2</v>
      </c>
      <c r="Z4183">
        <v>1.6834379999999999E-2</v>
      </c>
      <c r="AA4183">
        <v>0.9997566</v>
      </c>
      <c r="AB4183">
        <v>9</v>
      </c>
      <c r="AC4183">
        <v>14.9368</v>
      </c>
      <c r="AD4183">
        <v>-1.11140747099599</v>
      </c>
      <c r="AE4183">
        <v>-3.2428999999999899</v>
      </c>
      <c r="AF4183">
        <v>-0.21993993850799801</v>
      </c>
      <c r="AG4183">
        <v>-1.11140747099599</v>
      </c>
      <c r="AH4183">
        <v>15.2027965689376</v>
      </c>
      <c r="AI4183">
        <v>94.180760425469998</v>
      </c>
      <c r="AJ4183">
        <v>90.828844293125798</v>
      </c>
      <c r="AK4183">
        <v>15.244954039275999</v>
      </c>
      <c r="AL4183">
        <v>89.860155070521799</v>
      </c>
      <c r="AM4183">
        <v>92.506205528757604</v>
      </c>
      <c r="AN4183">
        <v>0.99999998433431303</v>
      </c>
    </row>
    <row r="4184" spans="1:40" x14ac:dyDescent="0.25">
      <c r="A4184" t="str">
        <f>"20190312154005262"</f>
        <v>20190312154005262</v>
      </c>
      <c r="B4184" t="str">
        <f>"1552376405249742"</f>
        <v>1552376405249742</v>
      </c>
      <c r="C4184" t="s">
        <v>40</v>
      </c>
      <c r="D4184">
        <v>3.846257</v>
      </c>
      <c r="E4184">
        <v>0.57981959999999999</v>
      </c>
      <c r="F4184" t="s">
        <v>41</v>
      </c>
      <c r="G4184">
        <v>-474.27780000000001</v>
      </c>
      <c r="H4184">
        <v>1.0356399999999999</v>
      </c>
      <c r="I4184">
        <v>217.61250000000001</v>
      </c>
      <c r="J4184">
        <v>-474.96</v>
      </c>
      <c r="K4184">
        <v>1.111337</v>
      </c>
      <c r="L4184">
        <v>217.78700000000001</v>
      </c>
      <c r="M4184">
        <v>0.97563480000000002</v>
      </c>
      <c r="N4184">
        <v>0</v>
      </c>
      <c r="O4184">
        <v>-0.21932070000000001</v>
      </c>
      <c r="P4184">
        <v>0.98400719999999997</v>
      </c>
      <c r="Q4184">
        <v>-6.2012169999999898E-3</v>
      </c>
      <c r="R4184">
        <v>-0.1780224</v>
      </c>
      <c r="S4184">
        <v>2.9191590000000001</v>
      </c>
      <c r="T4184">
        <v>-0.28549419999999998</v>
      </c>
      <c r="U4184">
        <v>-0.70550539999999995</v>
      </c>
      <c r="V4184">
        <v>-4.212784E-2</v>
      </c>
      <c r="W4184">
        <v>-4.3473360000000001E-4</v>
      </c>
      <c r="X4184">
        <v>0.99911209999999995</v>
      </c>
      <c r="Y4184">
        <v>1.689964E-2</v>
      </c>
      <c r="Z4184">
        <v>2.0018580000000001E-2</v>
      </c>
      <c r="AA4184">
        <v>0.99965680000000001</v>
      </c>
      <c r="AB4184">
        <v>10</v>
      </c>
      <c r="AC4184">
        <v>0.68219999999996594</v>
      </c>
      <c r="AD4184">
        <v>-7.5697000000000098E-2</v>
      </c>
      <c r="AE4184">
        <v>-0.17449999999999399</v>
      </c>
      <c r="AF4184">
        <v>2.03923981261095E-2</v>
      </c>
      <c r="AG4184">
        <v>-7.5697000000000098E-2</v>
      </c>
      <c r="AH4184">
        <v>0.69582095476526795</v>
      </c>
      <c r="AI4184">
        <v>96.206035847981795</v>
      </c>
      <c r="AJ4184">
        <v>88.321315276024293</v>
      </c>
      <c r="AK4184">
        <v>0.70022331209463695</v>
      </c>
      <c r="AL4184">
        <v>90.024908402120701</v>
      </c>
      <c r="AM4184">
        <v>92.414462281273899</v>
      </c>
      <c r="AN4184">
        <v>0.99999996613138797</v>
      </c>
    </row>
    <row r="4185" spans="1:40" x14ac:dyDescent="0.25">
      <c r="A4185" t="str">
        <f>"20190312154005282"</f>
        <v>20190312154005282</v>
      </c>
      <c r="B4185" t="str">
        <f>"1552376405270239"</f>
        <v>1552376405270239</v>
      </c>
      <c r="C4185" t="s">
        <v>40</v>
      </c>
      <c r="D4185">
        <v>3.9384260000000002</v>
      </c>
      <c r="E4185">
        <v>0.58250769999999996</v>
      </c>
      <c r="F4185" t="s">
        <v>41</v>
      </c>
      <c r="G4185">
        <v>-474.25619999999998</v>
      </c>
      <c r="H4185">
        <v>0.94630049999999999</v>
      </c>
      <c r="I4185">
        <v>217.50989999999999</v>
      </c>
      <c r="J4185">
        <v>-474.87209999999999</v>
      </c>
      <c r="K4185">
        <v>1.1112679999999999</v>
      </c>
      <c r="L4185">
        <v>217.7749</v>
      </c>
      <c r="M4185">
        <v>0.97702060000000002</v>
      </c>
      <c r="N4185">
        <v>0</v>
      </c>
      <c r="O4185">
        <v>-0.21306600000000001</v>
      </c>
      <c r="P4185">
        <v>0.98492849999999998</v>
      </c>
      <c r="Q4185">
        <v>-7.5797769999999898E-3</v>
      </c>
      <c r="R4185">
        <v>-0.17279610000000001</v>
      </c>
      <c r="S4185">
        <v>2.842133</v>
      </c>
      <c r="T4185">
        <v>-0.66645089999999996</v>
      </c>
      <c r="U4185">
        <v>-1.1189579999999999</v>
      </c>
      <c r="V4185">
        <v>-4.1022450000000002E-2</v>
      </c>
      <c r="W4185">
        <v>-1.9438260000000001E-3</v>
      </c>
      <c r="X4185">
        <v>0.99915639999999994</v>
      </c>
      <c r="Y4185">
        <v>0.16081029999999999</v>
      </c>
      <c r="Z4185">
        <v>2.888191E-2</v>
      </c>
      <c r="AA4185">
        <v>0.98656270000000001</v>
      </c>
      <c r="AB4185">
        <v>10</v>
      </c>
      <c r="AC4185">
        <v>0.61590000000001</v>
      </c>
      <c r="AD4185">
        <v>-0.16496749999999999</v>
      </c>
      <c r="AE4185">
        <v>-0.265000000000014</v>
      </c>
      <c r="AF4185">
        <v>0.120396948425486</v>
      </c>
      <c r="AG4185">
        <v>-0.16496749999999999</v>
      </c>
      <c r="AH4185">
        <v>0.62064914277858196</v>
      </c>
      <c r="AI4185">
        <v>104.624337673124</v>
      </c>
      <c r="AJ4185">
        <v>79.021797667069094</v>
      </c>
      <c r="AK4185">
        <v>0.653387373369128</v>
      </c>
      <c r="AL4185">
        <v>90.1113730887201</v>
      </c>
      <c r="AM4185">
        <v>92.351077268320694</v>
      </c>
      <c r="AN4185">
        <v>1.0000000657622301</v>
      </c>
    </row>
    <row r="4186" spans="1:40" x14ac:dyDescent="0.25">
      <c r="A4186" t="str">
        <f>"20190312154005306"</f>
        <v>20190312154005306</v>
      </c>
      <c r="B4186" t="str">
        <f>"1552376405300495"</f>
        <v>1552376405300495</v>
      </c>
      <c r="C4186" t="s">
        <v>40</v>
      </c>
      <c r="D4186">
        <v>3.9279359999999999</v>
      </c>
      <c r="E4186">
        <v>0.58293890000000004</v>
      </c>
      <c r="F4186" t="s">
        <v>41</v>
      </c>
      <c r="G4186">
        <v>-474.17230000000001</v>
      </c>
      <c r="H4186">
        <v>0.93995209999999996</v>
      </c>
      <c r="I4186">
        <v>217.49809999999999</v>
      </c>
      <c r="J4186">
        <v>-474.76940000000002</v>
      </c>
      <c r="K4186">
        <v>1.111197</v>
      </c>
      <c r="L4186">
        <v>217.7612</v>
      </c>
      <c r="M4186">
        <v>0.97854580000000002</v>
      </c>
      <c r="N4186">
        <v>0</v>
      </c>
      <c r="O4186">
        <v>-0.20595179999999999</v>
      </c>
      <c r="P4186">
        <v>0.9859137</v>
      </c>
      <c r="Q4186">
        <v>-7.6918400000000001E-3</v>
      </c>
      <c r="R4186">
        <v>-0.16707929999999999</v>
      </c>
      <c r="S4186">
        <v>2.8432919999999999</v>
      </c>
      <c r="T4186">
        <v>-0.69790850000000004</v>
      </c>
      <c r="U4186">
        <v>-1.124344</v>
      </c>
      <c r="V4186">
        <v>-3.9548310000000003E-2</v>
      </c>
      <c r="W4186">
        <v>-2.170511E-3</v>
      </c>
      <c r="X4186">
        <v>0.99921530000000003</v>
      </c>
      <c r="Y4186">
        <v>0.16919089999999901</v>
      </c>
      <c r="Z4186">
        <v>2.7609370000000001E-2</v>
      </c>
      <c r="AA4186">
        <v>0.98519650000000003</v>
      </c>
      <c r="AB4186">
        <v>10</v>
      </c>
      <c r="AC4186">
        <v>0.59710000000001096</v>
      </c>
      <c r="AD4186">
        <v>-0.17124489999999901</v>
      </c>
      <c r="AE4186">
        <v>-0.26310000000000799</v>
      </c>
      <c r="AF4186">
        <v>0.125817659661557</v>
      </c>
      <c r="AG4186">
        <v>-0.17124489999999901</v>
      </c>
      <c r="AH4186">
        <v>0.597342086599704</v>
      </c>
      <c r="AI4186">
        <v>105.67002907063799</v>
      </c>
      <c r="AJ4186">
        <v>78.105699828029202</v>
      </c>
      <c r="AK4186">
        <v>0.63401298699790798</v>
      </c>
      <c r="AL4186">
        <v>90.124361217601205</v>
      </c>
      <c r="AM4186">
        <v>92.266547696615206</v>
      </c>
      <c r="AN4186">
        <v>0.999999997847973</v>
      </c>
    </row>
    <row r="4187" spans="1:40" x14ac:dyDescent="0.25">
      <c r="A4187" t="str">
        <f>"20190312154005326"</f>
        <v>20190312154005326</v>
      </c>
      <c r="B4187" t="str">
        <f>"1552376405320015"</f>
        <v>1552376405320015</v>
      </c>
      <c r="C4187" t="s">
        <v>40</v>
      </c>
      <c r="D4187">
        <v>3.9529839999999998</v>
      </c>
      <c r="E4187">
        <v>0.58227039999999997</v>
      </c>
      <c r="F4187" t="s">
        <v>41</v>
      </c>
      <c r="G4187">
        <v>-474.08319999999998</v>
      </c>
      <c r="H4187">
        <v>0.93991159999999996</v>
      </c>
      <c r="I4187">
        <v>217.49340000000001</v>
      </c>
      <c r="J4187">
        <v>-474.6789</v>
      </c>
      <c r="K4187">
        <v>1.1111249999999999</v>
      </c>
      <c r="L4187">
        <v>217.74959999999999</v>
      </c>
      <c r="M4187">
        <v>0.97980489999999998</v>
      </c>
      <c r="N4187">
        <v>0</v>
      </c>
      <c r="O4187">
        <v>-0.19987740000000001</v>
      </c>
      <c r="P4187">
        <v>0.98662369999999999</v>
      </c>
      <c r="Q4187">
        <v>-8.049067E-3</v>
      </c>
      <c r="R4187">
        <v>-0.16281579999999901</v>
      </c>
      <c r="S4187">
        <v>2.8488769999999999</v>
      </c>
      <c r="T4187">
        <v>-0.71199539999999994</v>
      </c>
      <c r="U4187">
        <v>-1.111923</v>
      </c>
      <c r="V4187">
        <v>-3.7666640000000001E-2</v>
      </c>
      <c r="W4187">
        <v>-2.597069E-3</v>
      </c>
      <c r="X4187">
        <v>0.99928700000000004</v>
      </c>
      <c r="Y4187">
        <v>0.17076089999999999</v>
      </c>
      <c r="Z4187">
        <v>2.6546920000000002E-2</v>
      </c>
      <c r="AA4187">
        <v>0.98495480000000002</v>
      </c>
      <c r="AB4187">
        <v>10</v>
      </c>
      <c r="AC4187">
        <v>0.59570000000002199</v>
      </c>
      <c r="AD4187">
        <v>-0.17121339999999899</v>
      </c>
      <c r="AE4187">
        <v>-0.256199999999978</v>
      </c>
      <c r="AF4187">
        <v>0.123361257298713</v>
      </c>
      <c r="AG4187">
        <v>-0.17121339999999899</v>
      </c>
      <c r="AH4187">
        <v>0.59351287294428101</v>
      </c>
      <c r="AI4187">
        <v>105.77171031410001</v>
      </c>
      <c r="AJ4187">
        <v>78.258291033874798</v>
      </c>
      <c r="AK4187">
        <v>0.62991234191151901</v>
      </c>
      <c r="AL4187">
        <v>90.148801257925598</v>
      </c>
      <c r="AM4187">
        <v>92.158657397931606</v>
      </c>
      <c r="AN4187">
        <v>1.00000001445264</v>
      </c>
    </row>
    <row r="4188" spans="1:40" x14ac:dyDescent="0.25">
      <c r="A4188" t="str">
        <f>"20190312154005349"</f>
        <v>20190312154005349</v>
      </c>
      <c r="B4188" t="str">
        <f>"1552376405339534"</f>
        <v>1552376405339534</v>
      </c>
      <c r="C4188" t="s">
        <v>40</v>
      </c>
      <c r="D4188">
        <v>4.0088109999999997</v>
      </c>
      <c r="E4188">
        <v>0.5818004</v>
      </c>
      <c r="F4188" t="s">
        <v>41</v>
      </c>
      <c r="G4188">
        <v>-473.99380000000002</v>
      </c>
      <c r="H4188">
        <v>0.93942539999999997</v>
      </c>
      <c r="I4188">
        <v>217.4863</v>
      </c>
      <c r="J4188">
        <v>-474.57979999999998</v>
      </c>
      <c r="K4188">
        <v>1.11104</v>
      </c>
      <c r="L4188">
        <v>217.7372</v>
      </c>
      <c r="M4188">
        <v>0.98109349999999995</v>
      </c>
      <c r="N4188">
        <v>0</v>
      </c>
      <c r="O4188">
        <v>-0.1934555</v>
      </c>
      <c r="P4188">
        <v>0.98722399999999999</v>
      </c>
      <c r="Q4188">
        <v>-1.031991E-2</v>
      </c>
      <c r="R4188">
        <v>-0.15900590000000001</v>
      </c>
      <c r="S4188">
        <v>2.8538510000000001</v>
      </c>
      <c r="T4188">
        <v>-0.71555009999999997</v>
      </c>
      <c r="U4188">
        <v>-1.0966800000000001</v>
      </c>
      <c r="V4188">
        <v>-3.4966850000000001E-2</v>
      </c>
      <c r="W4188">
        <v>-4.9130199999999997E-3</v>
      </c>
      <c r="X4188">
        <v>0.99937640000000005</v>
      </c>
      <c r="Y4188">
        <v>0.17186879999999999</v>
      </c>
      <c r="Z4188">
        <v>2.5048150000000002E-2</v>
      </c>
      <c r="AA4188">
        <v>0.98480140000000005</v>
      </c>
      <c r="AB4188">
        <v>10</v>
      </c>
      <c r="AC4188">
        <v>0.585999999999955</v>
      </c>
      <c r="AD4188">
        <v>-0.17161459999999901</v>
      </c>
      <c r="AE4188">
        <v>-0.25090000000000101</v>
      </c>
      <c r="AF4188">
        <v>0.123819183610495</v>
      </c>
      <c r="AG4188">
        <v>-0.17161459999999901</v>
      </c>
      <c r="AH4188">
        <v>0.58133384871081994</v>
      </c>
      <c r="AI4188">
        <v>106.105108697248</v>
      </c>
      <c r="AJ4188">
        <v>77.976157778224504</v>
      </c>
      <c r="AK4188">
        <v>0.61865321854821398</v>
      </c>
      <c r="AL4188">
        <v>90.281496442101002</v>
      </c>
      <c r="AM4188">
        <v>92.003885603911101</v>
      </c>
      <c r="AN4188">
        <v>1.0000000036207</v>
      </c>
    </row>
    <row r="4189" spans="1:40" x14ac:dyDescent="0.25">
      <c r="A4189" t="str">
        <f>"20190312154005373"</f>
        <v>20190312154005373</v>
      </c>
      <c r="B4189" t="str">
        <f>"1552376405360030"</f>
        <v>1552376405360030</v>
      </c>
      <c r="C4189" t="s">
        <v>40</v>
      </c>
      <c r="D4189">
        <v>4.0152900000000002</v>
      </c>
      <c r="E4189">
        <v>0.58140769999999997</v>
      </c>
      <c r="F4189" t="s">
        <v>41</v>
      </c>
      <c r="G4189">
        <v>-473.90269999999998</v>
      </c>
      <c r="H4189">
        <v>0.93967319999999999</v>
      </c>
      <c r="I4189">
        <v>217.48050000000001</v>
      </c>
      <c r="J4189">
        <v>-474.4778</v>
      </c>
      <c r="K4189">
        <v>1.110951</v>
      </c>
      <c r="L4189">
        <v>217.72479999999999</v>
      </c>
      <c r="M4189">
        <v>0.98232399999999997</v>
      </c>
      <c r="N4189">
        <v>0</v>
      </c>
      <c r="O4189">
        <v>-0.1871082</v>
      </c>
      <c r="P4189">
        <v>0.98759600000000003</v>
      </c>
      <c r="Q4189">
        <v>-1.294202E-2</v>
      </c>
      <c r="R4189">
        <v>-0.1564825</v>
      </c>
      <c r="S4189">
        <v>2.8569640000000001</v>
      </c>
      <c r="T4189">
        <v>-0.72516049999999999</v>
      </c>
      <c r="U4189">
        <v>-1.082336</v>
      </c>
      <c r="V4189">
        <v>-3.104463E-2</v>
      </c>
      <c r="W4189">
        <v>-7.5513809999999898E-3</v>
      </c>
      <c r="X4189">
        <v>0.99948950000000003</v>
      </c>
      <c r="Y4189">
        <v>0.17336679999999999</v>
      </c>
      <c r="Z4189">
        <v>2.370773E-2</v>
      </c>
      <c r="AA4189">
        <v>0.98457190000000006</v>
      </c>
      <c r="AB4189">
        <v>10</v>
      </c>
      <c r="AC4189">
        <v>0.57510000000002004</v>
      </c>
      <c r="AD4189">
        <v>-0.17127780000000001</v>
      </c>
      <c r="AE4189">
        <v>-0.244299999999981</v>
      </c>
      <c r="AF4189">
        <v>0.123126198428893</v>
      </c>
      <c r="AG4189">
        <v>-0.17127780000000001</v>
      </c>
      <c r="AH4189">
        <v>0.56797685054886504</v>
      </c>
      <c r="AI4189">
        <v>106.420898874153</v>
      </c>
      <c r="AJ4189">
        <v>77.768658082870999</v>
      </c>
      <c r="AK4189">
        <v>0.60588270174333203</v>
      </c>
      <c r="AL4189">
        <v>90.432666361406802</v>
      </c>
      <c r="AM4189">
        <v>91.779062807003896</v>
      </c>
      <c r="AN4189">
        <v>1.00000002650854</v>
      </c>
    </row>
    <row r="4190" spans="1:40" x14ac:dyDescent="0.25">
      <c r="A4190" t="str">
        <f>"20190312154005394"</f>
        <v>20190312154005394</v>
      </c>
      <c r="B4190" t="str">
        <f>"1552376405379550"</f>
        <v>1552376405379550</v>
      </c>
      <c r="C4190" t="s">
        <v>40</v>
      </c>
      <c r="D4190">
        <v>4.0405739999999897</v>
      </c>
      <c r="E4190">
        <v>0.58064830000000001</v>
      </c>
      <c r="F4190" t="s">
        <v>41</v>
      </c>
      <c r="G4190">
        <v>-473.8109</v>
      </c>
      <c r="H4190">
        <v>0.93940520000000005</v>
      </c>
      <c r="I4190">
        <v>217.47470000000001</v>
      </c>
      <c r="J4190">
        <v>-474.3784</v>
      </c>
      <c r="K4190">
        <v>1.1108709999999999</v>
      </c>
      <c r="L4190">
        <v>217.71299999999999</v>
      </c>
      <c r="M4190">
        <v>0.98343619999999998</v>
      </c>
      <c r="N4190">
        <v>0</v>
      </c>
      <c r="O4190">
        <v>-0.18117249999999999</v>
      </c>
      <c r="P4190">
        <v>0.98806780000000005</v>
      </c>
      <c r="Q4190">
        <v>-1.300926E-2</v>
      </c>
      <c r="R4190">
        <v>-0.15347060000000001</v>
      </c>
      <c r="S4190">
        <v>2.8582459999999998</v>
      </c>
      <c r="T4190">
        <v>-0.73574609999999996</v>
      </c>
      <c r="U4190">
        <v>-1.0715479999999999</v>
      </c>
      <c r="V4190">
        <v>-2.805672E-2</v>
      </c>
      <c r="W4190">
        <v>-7.6161359999999999E-3</v>
      </c>
      <c r="X4190">
        <v>0.9995773</v>
      </c>
      <c r="Y4190">
        <v>0.17569479999999901</v>
      </c>
      <c r="Z4190">
        <v>2.2353629999999999E-2</v>
      </c>
      <c r="AA4190">
        <v>0.98419089999999998</v>
      </c>
      <c r="AB4190">
        <v>10</v>
      </c>
      <c r="AC4190">
        <v>0.56749999999999501</v>
      </c>
      <c r="AD4190">
        <v>-0.1714658</v>
      </c>
      <c r="AE4190">
        <v>-0.238299999999981</v>
      </c>
      <c r="AF4190">
        <v>0.122066324812488</v>
      </c>
      <c r="AG4190">
        <v>-0.1714658</v>
      </c>
      <c r="AH4190">
        <v>0.55797979029718003</v>
      </c>
      <c r="AI4190">
        <v>106.709652385414</v>
      </c>
      <c r="AJ4190">
        <v>77.660104687372893</v>
      </c>
      <c r="AK4190">
        <v>0.59635740508771495</v>
      </c>
      <c r="AL4190">
        <v>90.436376675688393</v>
      </c>
      <c r="AM4190">
        <v>91.607789292802494</v>
      </c>
      <c r="AN4190">
        <v>0.99999998187000905</v>
      </c>
    </row>
    <row r="4191" spans="1:40" x14ac:dyDescent="0.25">
      <c r="A4191" t="str">
        <f>"20190312154005418"</f>
        <v>20190312154005418</v>
      </c>
      <c r="B4191" t="str">
        <f>"1552376405409807"</f>
        <v>1552376405409807</v>
      </c>
      <c r="C4191" t="s">
        <v>40</v>
      </c>
      <c r="D4191">
        <v>4.0573410000000001</v>
      </c>
      <c r="E4191">
        <v>0.57967469999999999</v>
      </c>
      <c r="F4191" t="s">
        <v>41</v>
      </c>
      <c r="G4191">
        <v>-473.71710000000002</v>
      </c>
      <c r="H4191">
        <v>0.94150440000000002</v>
      </c>
      <c r="I4191">
        <v>217.46850000000001</v>
      </c>
      <c r="J4191">
        <v>-474.26620000000003</v>
      </c>
      <c r="K4191">
        <v>1.1107769999999999</v>
      </c>
      <c r="L4191">
        <v>217.7</v>
      </c>
      <c r="M4191">
        <v>0.9845874</v>
      </c>
      <c r="N4191">
        <v>0</v>
      </c>
      <c r="O4191">
        <v>-0.17480760000000001</v>
      </c>
      <c r="P4191">
        <v>0.98862079999999997</v>
      </c>
      <c r="Q4191">
        <v>-1.284106E-2</v>
      </c>
      <c r="R4191">
        <v>-0.1498825</v>
      </c>
      <c r="S4191">
        <v>2.8623349999999999</v>
      </c>
      <c r="T4191">
        <v>-0.73464099999999999</v>
      </c>
      <c r="U4191">
        <v>-1.0573729999999999</v>
      </c>
      <c r="V4191">
        <v>-2.522305E-2</v>
      </c>
      <c r="W4191">
        <v>-7.4233769999999897E-3</v>
      </c>
      <c r="X4191">
        <v>0.9996543</v>
      </c>
      <c r="Y4191">
        <v>0.1771027</v>
      </c>
      <c r="Z4191">
        <v>2.0626950000000002E-2</v>
      </c>
      <c r="AA4191">
        <v>0.98397619999999997</v>
      </c>
      <c r="AB4191">
        <v>10</v>
      </c>
      <c r="AC4191">
        <v>0.54910000000000903</v>
      </c>
      <c r="AD4191">
        <v>-0.1692726</v>
      </c>
      <c r="AE4191">
        <v>-0.231499999999982</v>
      </c>
      <c r="AF4191">
        <v>0.12209525796492</v>
      </c>
      <c r="AG4191">
        <v>-0.1692726</v>
      </c>
      <c r="AH4191">
        <v>0.53772467989386197</v>
      </c>
      <c r="AI4191">
        <v>107.065455603614</v>
      </c>
      <c r="AJ4191">
        <v>77.207375658831296</v>
      </c>
      <c r="AK4191">
        <v>0.57680871742306195</v>
      </c>
      <c r="AL4191">
        <v>90.425332072308805</v>
      </c>
      <c r="AM4191">
        <v>91.445367405666204</v>
      </c>
      <c r="AN4191">
        <v>1.0000000141429299</v>
      </c>
    </row>
    <row r="4192" spans="1:40" x14ac:dyDescent="0.25">
      <c r="A4192" t="str">
        <f>"20190312154005441"</f>
        <v>20190312154005441</v>
      </c>
      <c r="B4192" t="str">
        <f>"1552376405430302"</f>
        <v>1552376405430302</v>
      </c>
      <c r="C4192" t="s">
        <v>40</v>
      </c>
      <c r="D4192">
        <v>4.0552380000000001</v>
      </c>
      <c r="E4192">
        <v>0.57928760000000001</v>
      </c>
      <c r="F4192" t="s">
        <v>41</v>
      </c>
      <c r="G4192">
        <v>-473.53930000000003</v>
      </c>
      <c r="H4192">
        <v>0.92500550000000004</v>
      </c>
      <c r="I4192">
        <v>217.43629999999999</v>
      </c>
      <c r="J4192">
        <v>-474.16070000000002</v>
      </c>
      <c r="K4192">
        <v>1.1106849999999999</v>
      </c>
      <c r="L4192">
        <v>217.68809999999999</v>
      </c>
      <c r="M4192">
        <v>0.98557260000000002</v>
      </c>
      <c r="N4192">
        <v>0</v>
      </c>
      <c r="O4192">
        <v>-0.16916289999999901</v>
      </c>
      <c r="P4192">
        <v>0.98899890000000001</v>
      </c>
      <c r="Q4192">
        <v>-1.188549E-2</v>
      </c>
      <c r="R4192">
        <v>-0.1474452</v>
      </c>
      <c r="S4192">
        <v>2.8673099999999998</v>
      </c>
      <c r="T4192">
        <v>-0.73342619999999903</v>
      </c>
      <c r="U4192">
        <v>-1.039825</v>
      </c>
      <c r="V4192">
        <v>-2.1965490000000001E-2</v>
      </c>
      <c r="W4192">
        <v>-6.4220800000000001E-3</v>
      </c>
      <c r="X4192">
        <v>0.99973809999999996</v>
      </c>
      <c r="Y4192">
        <v>0.17673029999999901</v>
      </c>
      <c r="Z4192">
        <v>1.9289230000000001E-2</v>
      </c>
      <c r="AA4192">
        <v>0.98407029999999995</v>
      </c>
      <c r="AB4192">
        <v>11</v>
      </c>
      <c r="AC4192">
        <v>0.62139999999999396</v>
      </c>
      <c r="AD4192">
        <v>-0.1856795</v>
      </c>
      <c r="AE4192">
        <v>-0.25180000000000202</v>
      </c>
      <c r="AF4192">
        <v>0.13286189992529401</v>
      </c>
      <c r="AG4192">
        <v>-0.1856795</v>
      </c>
      <c r="AH4192">
        <v>0.60838117565946204</v>
      </c>
      <c r="AI4192">
        <v>106.603267305675</v>
      </c>
      <c r="AJ4192">
        <v>77.6808203267409</v>
      </c>
      <c r="AK4192">
        <v>0.64981290851197904</v>
      </c>
      <c r="AL4192">
        <v>90.367960610051995</v>
      </c>
      <c r="AM4192">
        <v>91.258657060476295</v>
      </c>
      <c r="AN4192">
        <v>0.99999999722703803</v>
      </c>
    </row>
    <row r="4193" spans="1:40" x14ac:dyDescent="0.25">
      <c r="A4193" t="str">
        <f>"20190312154005463"</f>
        <v>20190312154005463</v>
      </c>
      <c r="B4193" t="str">
        <f>"1552376405449822"</f>
        <v>1552376405449822</v>
      </c>
      <c r="C4193" t="s">
        <v>40</v>
      </c>
      <c r="D4193">
        <v>4.0578139999999996</v>
      </c>
      <c r="E4193">
        <v>0.57871700000000004</v>
      </c>
      <c r="F4193" t="s">
        <v>41</v>
      </c>
      <c r="G4193">
        <v>-473.44240000000002</v>
      </c>
      <c r="H4193">
        <v>0.92795660000000002</v>
      </c>
      <c r="I4193">
        <v>217.43039999999999</v>
      </c>
      <c r="J4193">
        <v>-474.05489999999998</v>
      </c>
      <c r="K4193">
        <v>1.1106240000000001</v>
      </c>
      <c r="L4193">
        <v>217.6765</v>
      </c>
      <c r="M4193">
        <v>0.98648259999999999</v>
      </c>
      <c r="N4193">
        <v>0</v>
      </c>
      <c r="O4193">
        <v>-0.1637721</v>
      </c>
      <c r="P4193">
        <v>0.98930469999999904</v>
      </c>
      <c r="Q4193">
        <v>-1.1288579999999999E-2</v>
      </c>
      <c r="R4193">
        <v>-0.1454281</v>
      </c>
      <c r="S4193">
        <v>2.8710629999999999</v>
      </c>
      <c r="T4193">
        <v>-0.73095639999999995</v>
      </c>
      <c r="U4193">
        <v>-1.030014</v>
      </c>
      <c r="V4193">
        <v>-1.8542650000000001E-2</v>
      </c>
      <c r="W4193">
        <v>-5.7688629999999999E-3</v>
      </c>
      <c r="X4193">
        <v>0.99981140000000002</v>
      </c>
      <c r="Y4193">
        <v>0.17852599999999999</v>
      </c>
      <c r="Z4193">
        <v>1.7718560000000001E-2</v>
      </c>
      <c r="AA4193">
        <v>0.98377559999999997</v>
      </c>
      <c r="AB4193">
        <v>11</v>
      </c>
      <c r="AC4193">
        <v>0.61249999999995397</v>
      </c>
      <c r="AD4193">
        <v>-0.18266740000000001</v>
      </c>
      <c r="AE4193">
        <v>-0.246100000000012</v>
      </c>
      <c r="AF4193">
        <v>0.13233127203950501</v>
      </c>
      <c r="AG4193">
        <v>-0.18266740000000001</v>
      </c>
      <c r="AH4193">
        <v>0.59868756582537996</v>
      </c>
      <c r="AI4193">
        <v>106.589957236028</v>
      </c>
      <c r="AJ4193">
        <v>77.5359969240683</v>
      </c>
      <c r="AK4193">
        <v>0.63977007280449805</v>
      </c>
      <c r="AL4193">
        <v>90.330533344906101</v>
      </c>
      <c r="AM4193">
        <v>91.062494188178306</v>
      </c>
      <c r="AN4193">
        <v>0.99999997260964701</v>
      </c>
    </row>
    <row r="4194" spans="1:40" x14ac:dyDescent="0.25">
      <c r="A4194" t="str">
        <f>"20190312154005483"</f>
        <v>20190312154005483</v>
      </c>
      <c r="B4194" t="str">
        <f>"1552376405470319"</f>
        <v>1552376405470319</v>
      </c>
      <c r="C4194" t="s">
        <v>40</v>
      </c>
      <c r="D4194">
        <v>4.0404849999999897</v>
      </c>
      <c r="E4194">
        <v>0.57854850000000002</v>
      </c>
      <c r="F4194" t="s">
        <v>41</v>
      </c>
      <c r="G4194">
        <v>-473.34449999999998</v>
      </c>
      <c r="H4194">
        <v>0.93069789999999997</v>
      </c>
      <c r="I4194">
        <v>217.42429999999999</v>
      </c>
      <c r="J4194">
        <v>-473.9606</v>
      </c>
      <c r="K4194">
        <v>1.1105780000000001</v>
      </c>
      <c r="L4194">
        <v>217.66630000000001</v>
      </c>
      <c r="M4194">
        <v>0.98723419999999895</v>
      </c>
      <c r="N4194">
        <v>0</v>
      </c>
      <c r="O4194">
        <v>-0.1591774</v>
      </c>
      <c r="P4194">
        <v>0.9896606</v>
      </c>
      <c r="Q4194">
        <v>-1.00778E-2</v>
      </c>
      <c r="R4194">
        <v>-0.14307609999999901</v>
      </c>
      <c r="S4194">
        <v>2.8742679999999998</v>
      </c>
      <c r="T4194">
        <v>-0.72854280000000005</v>
      </c>
      <c r="U4194">
        <v>-1.0196529999999999</v>
      </c>
      <c r="V4194">
        <v>-1.627054E-2</v>
      </c>
      <c r="W4194">
        <v>-4.5034489999999996E-3</v>
      </c>
      <c r="X4194">
        <v>0.99985749999999995</v>
      </c>
      <c r="Y4194">
        <v>0.17946309999999999</v>
      </c>
      <c r="Z4194">
        <v>1.64551E-2</v>
      </c>
      <c r="AA4194">
        <v>0.98362709999999998</v>
      </c>
      <c r="AB4194">
        <v>11</v>
      </c>
      <c r="AC4194">
        <v>0.61610000000001697</v>
      </c>
      <c r="AD4194">
        <v>-0.17988009999999999</v>
      </c>
      <c r="AE4194">
        <v>-0.24200000000001801</v>
      </c>
      <c r="AF4194">
        <v>0.13115768906247899</v>
      </c>
      <c r="AG4194">
        <v>-0.17988009999999999</v>
      </c>
      <c r="AH4194">
        <v>0.60228713788239197</v>
      </c>
      <c r="AI4194">
        <v>106.26842946180101</v>
      </c>
      <c r="AJ4194">
        <v>77.714725621340506</v>
      </c>
      <c r="AK4194">
        <v>0.64211290769987095</v>
      </c>
      <c r="AL4194">
        <v>90.258029489035593</v>
      </c>
      <c r="AM4194">
        <v>90.932283848950604</v>
      </c>
      <c r="AN4194">
        <v>1.00000001591551</v>
      </c>
    </row>
    <row r="4195" spans="1:40" x14ac:dyDescent="0.25">
      <c r="A4195" t="str">
        <f>"20190312154005506"</f>
        <v>20190312154005506</v>
      </c>
      <c r="B4195" t="str">
        <f>"1552376405499599"</f>
        <v>1552376405499599</v>
      </c>
      <c r="C4195" t="s">
        <v>40</v>
      </c>
      <c r="D4195">
        <v>4.0213289999999997</v>
      </c>
      <c r="E4195">
        <v>0.57799780000000001</v>
      </c>
      <c r="F4195" t="s">
        <v>41</v>
      </c>
      <c r="G4195">
        <v>-473.2473</v>
      </c>
      <c r="H4195">
        <v>0.93112629999999996</v>
      </c>
      <c r="I4195">
        <v>217.41499999999999</v>
      </c>
      <c r="J4195">
        <v>-473.8476</v>
      </c>
      <c r="K4195">
        <v>1.1105210000000001</v>
      </c>
      <c r="L4195">
        <v>217.65430000000001</v>
      </c>
      <c r="M4195">
        <v>0.98806119999999997</v>
      </c>
      <c r="N4195">
        <v>0</v>
      </c>
      <c r="O4195">
        <v>-0.1539575</v>
      </c>
      <c r="P4195">
        <v>0.99003229999999998</v>
      </c>
      <c r="Q4195">
        <v>-9.4343139999999992E-3</v>
      </c>
      <c r="R4195">
        <v>-0.14052439999999999</v>
      </c>
      <c r="S4195">
        <v>2.877472</v>
      </c>
      <c r="T4195">
        <v>-0.72424880000000003</v>
      </c>
      <c r="U4195">
        <v>-1.0132749999999999</v>
      </c>
      <c r="V4195">
        <v>-1.356724E-2</v>
      </c>
      <c r="W4195">
        <v>-3.7894920000000002E-3</v>
      </c>
      <c r="X4195">
        <v>0.99990080000000003</v>
      </c>
      <c r="Y4195">
        <v>0.18216969999999999</v>
      </c>
      <c r="Z4195">
        <v>1.4796220000000001E-2</v>
      </c>
      <c r="AA4195">
        <v>0.98315580000000002</v>
      </c>
      <c r="AB4195">
        <v>11</v>
      </c>
      <c r="AC4195">
        <v>0.60030000000000405</v>
      </c>
      <c r="AD4195">
        <v>-0.17939469999999899</v>
      </c>
      <c r="AE4195">
        <v>-0.239300000000014</v>
      </c>
      <c r="AF4195">
        <v>0.13372010348438401</v>
      </c>
      <c r="AG4195">
        <v>-0.17939469999999899</v>
      </c>
      <c r="AH4195">
        <v>0.58491157827659601</v>
      </c>
      <c r="AI4195">
        <v>106.646143029711</v>
      </c>
      <c r="AJ4195">
        <v>77.122575405377006</v>
      </c>
      <c r="AK4195">
        <v>0.62624681944580196</v>
      </c>
      <c r="AL4195">
        <v>90.217122413403601</v>
      </c>
      <c r="AM4195">
        <v>90.777375007711896</v>
      </c>
      <c r="AN4195">
        <v>1.00000002004573</v>
      </c>
    </row>
    <row r="4196" spans="1:40" x14ac:dyDescent="0.25">
      <c r="A4196" t="str">
        <f>"20190312154005527"</f>
        <v>20190312154005527</v>
      </c>
      <c r="B4196" t="str">
        <f>"1552376405520094"</f>
        <v>1552376405520094</v>
      </c>
      <c r="C4196" t="s">
        <v>40</v>
      </c>
      <c r="D4196">
        <v>3.9845890000000002</v>
      </c>
      <c r="E4196">
        <v>0.57757150000000002</v>
      </c>
      <c r="F4196" t="s">
        <v>41</v>
      </c>
      <c r="G4196">
        <v>-473.14659999999998</v>
      </c>
      <c r="H4196">
        <v>0.93609779999999998</v>
      </c>
      <c r="I4196">
        <v>217.40940000000001</v>
      </c>
      <c r="J4196">
        <v>-473.74329999999998</v>
      </c>
      <c r="K4196">
        <v>1.1104459999999901</v>
      </c>
      <c r="L4196">
        <v>217.64340000000001</v>
      </c>
      <c r="M4196">
        <v>0.98875389999999996</v>
      </c>
      <c r="N4196">
        <v>0</v>
      </c>
      <c r="O4196">
        <v>-0.14944279999999999</v>
      </c>
      <c r="P4196">
        <v>0.99006499999999997</v>
      </c>
      <c r="Q4196">
        <v>-1.156506E-2</v>
      </c>
      <c r="R4196">
        <v>-0.14013490000000001</v>
      </c>
      <c r="S4196">
        <v>2.8807070000000001</v>
      </c>
      <c r="T4196">
        <v>-0.7178736</v>
      </c>
      <c r="U4196">
        <v>-1.004807</v>
      </c>
      <c r="V4196">
        <v>-9.3865440000000001E-3</v>
      </c>
      <c r="W4196">
        <v>-5.8488300000000002E-3</v>
      </c>
      <c r="X4196">
        <v>0.99993880000000002</v>
      </c>
      <c r="Y4196">
        <v>0.18359539999999999</v>
      </c>
      <c r="Z4196">
        <v>1.343832E-2</v>
      </c>
      <c r="AA4196">
        <v>0.98290999999999995</v>
      </c>
      <c r="AB4196">
        <v>11</v>
      </c>
      <c r="AC4196">
        <v>0.59669999999999801</v>
      </c>
      <c r="AD4196">
        <v>-0.17434819999999901</v>
      </c>
      <c r="AE4196">
        <v>-0.23400000000000801</v>
      </c>
      <c r="AF4196">
        <v>0.132401292592986</v>
      </c>
      <c r="AG4196">
        <v>-0.17434819999999901</v>
      </c>
      <c r="AH4196">
        <v>0.58191123595523797</v>
      </c>
      <c r="AI4196">
        <v>106.285532244059</v>
      </c>
      <c r="AJ4196">
        <v>77.181808965892401</v>
      </c>
      <c r="AK4196">
        <v>0.62172991214392004</v>
      </c>
      <c r="AL4196">
        <v>90.335115198200697</v>
      </c>
      <c r="AM4196">
        <v>90.537826474335404</v>
      </c>
      <c r="AN4196">
        <v>0.99999995988303503</v>
      </c>
    </row>
    <row r="4197" spans="1:40" x14ac:dyDescent="0.25">
      <c r="A4197" t="str">
        <f>"20190312154005550"</f>
        <v>20190312154005550</v>
      </c>
      <c r="B4197" t="str">
        <f>"1552376405539614"</f>
        <v>1552376405539614</v>
      </c>
      <c r="C4197" t="s">
        <v>40</v>
      </c>
      <c r="D4197">
        <v>3.9946519999999999</v>
      </c>
      <c r="E4197">
        <v>0.57709809999999995</v>
      </c>
      <c r="F4197" t="s">
        <v>41</v>
      </c>
      <c r="G4197">
        <v>-473.04770000000002</v>
      </c>
      <c r="H4197">
        <v>0.93584619999999996</v>
      </c>
      <c r="I4197">
        <v>217.40199999999999</v>
      </c>
      <c r="J4197">
        <v>-473.63330000000002</v>
      </c>
      <c r="K4197">
        <v>1.1103430000000001</v>
      </c>
      <c r="L4197">
        <v>217.63220000000001</v>
      </c>
      <c r="M4197">
        <v>0.98941389999999996</v>
      </c>
      <c r="N4197">
        <v>0</v>
      </c>
      <c r="O4197">
        <v>-0.14500550000000001</v>
      </c>
      <c r="P4197">
        <v>0.98999400000000004</v>
      </c>
      <c r="Q4197">
        <v>-1.477147E-2</v>
      </c>
      <c r="R4197">
        <v>-0.1403346</v>
      </c>
      <c r="S4197">
        <v>2.880188</v>
      </c>
      <c r="T4197">
        <v>-0.72315430000000003</v>
      </c>
      <c r="U4197">
        <v>-0.99954219999999905</v>
      </c>
      <c r="V4197">
        <v>-4.6869279999999999E-3</v>
      </c>
      <c r="W4197">
        <v>-8.9780729999999996E-3</v>
      </c>
      <c r="X4197">
        <v>0.99994870000000002</v>
      </c>
      <c r="Y4197">
        <v>0.18624869999999999</v>
      </c>
      <c r="Z4197">
        <v>1.217702E-2</v>
      </c>
      <c r="AA4197">
        <v>0.98242719999999994</v>
      </c>
      <c r="AB4197">
        <v>11</v>
      </c>
      <c r="AC4197">
        <v>0.58559999999999901</v>
      </c>
      <c r="AD4197">
        <v>-0.17449680000000001</v>
      </c>
      <c r="AE4197">
        <v>-0.23019999999999599</v>
      </c>
      <c r="AF4197">
        <v>0.13264859545197299</v>
      </c>
      <c r="AG4197">
        <v>-0.17449680000000001</v>
      </c>
      <c r="AH4197">
        <v>0.56902879499870296</v>
      </c>
      <c r="AI4197">
        <v>106.62825231858</v>
      </c>
      <c r="AJ4197">
        <v>76.877894659770206</v>
      </c>
      <c r="AK4197">
        <v>0.60978566121490396</v>
      </c>
      <c r="AL4197">
        <v>90.514412608235901</v>
      </c>
      <c r="AM4197">
        <v>90.268553003500401</v>
      </c>
      <c r="AN4197">
        <v>0.99999998786027999</v>
      </c>
    </row>
    <row r="4198" spans="1:40" x14ac:dyDescent="0.25">
      <c r="A4198" t="str">
        <f>"20190312154005573"</f>
        <v>20190312154005573</v>
      </c>
      <c r="B4198" t="str">
        <f>"1552376405569871"</f>
        <v>1552376405569871</v>
      </c>
      <c r="C4198" t="s">
        <v>40</v>
      </c>
      <c r="D4198">
        <v>4.1048939999999998</v>
      </c>
      <c r="E4198">
        <v>0.53447109999999998</v>
      </c>
      <c r="F4198" t="s">
        <v>41</v>
      </c>
      <c r="G4198">
        <v>-472.9479</v>
      </c>
      <c r="H4198">
        <v>0.93585620000000003</v>
      </c>
      <c r="I4198">
        <v>217.39519999999999</v>
      </c>
      <c r="J4198">
        <v>-473.51670000000001</v>
      </c>
      <c r="K4198">
        <v>1.1102179999999999</v>
      </c>
      <c r="L4198">
        <v>217.62039999999999</v>
      </c>
      <c r="M4198">
        <v>0.9900388</v>
      </c>
      <c r="N4198">
        <v>0</v>
      </c>
      <c r="O4198">
        <v>-0.14067249999999901</v>
      </c>
      <c r="P4198">
        <v>0.99012370000000005</v>
      </c>
      <c r="Q4198">
        <v>-1.546324E-2</v>
      </c>
      <c r="R4198">
        <v>-0.13934279999999999</v>
      </c>
      <c r="S4198">
        <v>2.8784179999999999</v>
      </c>
      <c r="T4198">
        <v>-0.73353330000000005</v>
      </c>
      <c r="U4198">
        <v>-0.99398799999999998</v>
      </c>
      <c r="V4198">
        <v>-1.3120199999999999E-3</v>
      </c>
      <c r="W4198">
        <v>-9.5921510000000001E-3</v>
      </c>
      <c r="X4198">
        <v>0.99995319999999999</v>
      </c>
      <c r="Y4198">
        <v>0.1888138</v>
      </c>
      <c r="Z4198">
        <v>1.1008479999999999E-2</v>
      </c>
      <c r="AA4198">
        <v>0.98195120000000002</v>
      </c>
      <c r="AB4198">
        <v>11</v>
      </c>
      <c r="AC4198">
        <v>0.56880000000000996</v>
      </c>
      <c r="AD4198">
        <v>-0.17436179999999901</v>
      </c>
      <c r="AE4198">
        <v>-0.22520000000000001</v>
      </c>
      <c r="AF4198">
        <v>0.13220501873637899</v>
      </c>
      <c r="AG4198">
        <v>-0.17436179999999901</v>
      </c>
      <c r="AH4198">
        <v>0.55013369890040598</v>
      </c>
      <c r="AI4198">
        <v>107.127766033577</v>
      </c>
      <c r="AJ4198">
        <v>76.487238281554099</v>
      </c>
      <c r="AK4198">
        <v>0.59205345277615695</v>
      </c>
      <c r="AL4198">
        <v>90.549598160466701</v>
      </c>
      <c r="AM4198">
        <v>90.075176683767197</v>
      </c>
      <c r="AN4198">
        <v>1.0000000664737601</v>
      </c>
    </row>
    <row r="4199" spans="1:40" x14ac:dyDescent="0.25">
      <c r="A4199" t="str">
        <f>"20190312154005594"</f>
        <v>20190312154005594</v>
      </c>
      <c r="B4199" t="str">
        <f>"1552376405590367"</f>
        <v>1552376405590367</v>
      </c>
      <c r="C4199" t="s">
        <v>40</v>
      </c>
      <c r="D4199">
        <v>4.0677960000000004</v>
      </c>
      <c r="E4199">
        <v>0.48165629999999998</v>
      </c>
      <c r="F4199" t="s">
        <v>41</v>
      </c>
      <c r="G4199">
        <v>-472.80650000000003</v>
      </c>
      <c r="H4199">
        <v>1.0040549999999999</v>
      </c>
      <c r="I4199">
        <v>217.45760000000001</v>
      </c>
      <c r="J4199">
        <v>-473.41300000000001</v>
      </c>
      <c r="K4199">
        <v>1.110104</v>
      </c>
      <c r="L4199">
        <v>217.60980000000001</v>
      </c>
      <c r="M4199">
        <v>0.99053029999999997</v>
      </c>
      <c r="N4199">
        <v>0</v>
      </c>
      <c r="O4199">
        <v>-0.13716629999999999</v>
      </c>
      <c r="P4199">
        <v>0.99036060000000004</v>
      </c>
      <c r="Q4199">
        <v>-1.4360360000000001E-2</v>
      </c>
      <c r="R4199">
        <v>-0.1377669</v>
      </c>
      <c r="S4199">
        <v>2.9288020000000001</v>
      </c>
      <c r="T4199">
        <v>-0.43855149999999998</v>
      </c>
      <c r="U4199">
        <v>-0.67004390000000003</v>
      </c>
      <c r="V4199">
        <v>6.3011480000000003E-4</v>
      </c>
      <c r="W4199">
        <v>-8.4240719999999995E-3</v>
      </c>
      <c r="X4199">
        <v>0.99996430000000003</v>
      </c>
      <c r="Y4199">
        <v>8.7706660000000006E-2</v>
      </c>
      <c r="Z4199">
        <v>1.359576E-2</v>
      </c>
      <c r="AA4199">
        <v>0.99605359999999998</v>
      </c>
      <c r="AB4199">
        <v>11</v>
      </c>
      <c r="AC4199">
        <v>0.60649999999998205</v>
      </c>
      <c r="AD4199">
        <v>-0.106049</v>
      </c>
      <c r="AE4199">
        <v>-0.15219999999999301</v>
      </c>
      <c r="AF4199">
        <v>6.5679424907613401E-2</v>
      </c>
      <c r="AG4199">
        <v>-0.106049</v>
      </c>
      <c r="AH4199">
        <v>0.60426403731587497</v>
      </c>
      <c r="AI4199">
        <v>99.896972298839003</v>
      </c>
      <c r="AJ4199">
        <v>83.796687860097293</v>
      </c>
      <c r="AK4199">
        <v>0.61700502757309506</v>
      </c>
      <c r="AL4199">
        <v>90.482669489656701</v>
      </c>
      <c r="AM4199">
        <v>89.963895797209702</v>
      </c>
      <c r="AN4199">
        <v>0.99999998165410597</v>
      </c>
    </row>
    <row r="4200" spans="1:40" x14ac:dyDescent="0.25">
      <c r="A4200" t="str">
        <f>"20190312154005618"</f>
        <v>20190312154005618</v>
      </c>
      <c r="B4200" t="str">
        <f>"1552376405609886"</f>
        <v>1552376405609886</v>
      </c>
      <c r="C4200" t="s">
        <v>40</v>
      </c>
      <c r="D4200">
        <v>4.1070500000000001</v>
      </c>
      <c r="E4200">
        <v>0.47663709999999998</v>
      </c>
      <c r="F4200" t="s">
        <v>61</v>
      </c>
      <c r="G4200">
        <v>-452.55009999999999</v>
      </c>
      <c r="H4200" s="1">
        <v>-2.3059489999999999E-7</v>
      </c>
      <c r="I4200">
        <v>215.77950000000001</v>
      </c>
      <c r="J4200">
        <v>-473.2919</v>
      </c>
      <c r="K4200">
        <v>1.1099540000000001</v>
      </c>
      <c r="L4200">
        <v>217.5975</v>
      </c>
      <c r="M4200">
        <v>0.99103269999999999</v>
      </c>
      <c r="N4200">
        <v>0</v>
      </c>
      <c r="O4200">
        <v>-0.1334854</v>
      </c>
      <c r="P4200">
        <v>0.99064490000000005</v>
      </c>
      <c r="Q4200">
        <v>-1.232458E-2</v>
      </c>
      <c r="R4200">
        <v>-0.13590720000000001</v>
      </c>
      <c r="S4200">
        <v>2.9903559999999998</v>
      </c>
      <c r="T4200">
        <v>-0.15911539999999999</v>
      </c>
      <c r="U4200">
        <v>-0.26234439999999998</v>
      </c>
      <c r="V4200">
        <v>2.458479E-3</v>
      </c>
      <c r="W4200">
        <v>-6.3135309999999998E-3</v>
      </c>
      <c r="X4200">
        <v>0.99997709999999995</v>
      </c>
      <c r="Y4200">
        <v>-4.6114179999999998E-2</v>
      </c>
      <c r="Z4200">
        <v>8.2816239999999996E-3</v>
      </c>
      <c r="AA4200">
        <v>0.99890179999999995</v>
      </c>
      <c r="AB4200">
        <v>11</v>
      </c>
      <c r="AC4200">
        <v>20.741800000000001</v>
      </c>
      <c r="AD4200">
        <v>-1.1099542305948999</v>
      </c>
      <c r="AE4200">
        <v>-1.8179999999999801</v>
      </c>
      <c r="AF4200">
        <v>-0.96430698045524399</v>
      </c>
      <c r="AG4200">
        <v>-1.1099542305948999</v>
      </c>
      <c r="AH4200">
        <v>20.739912490749099</v>
      </c>
      <c r="AI4200">
        <v>93.060121268005503</v>
      </c>
      <c r="AJ4200">
        <v>92.662063204780793</v>
      </c>
      <c r="AK4200">
        <v>20.791966152110302</v>
      </c>
      <c r="AL4200">
        <v>90.361741064310294</v>
      </c>
      <c r="AM4200">
        <v>89.859136587310701</v>
      </c>
      <c r="AN4200">
        <v>1.00000005265854</v>
      </c>
    </row>
    <row r="4201" spans="1:40" x14ac:dyDescent="0.25">
      <c r="A4201" t="str">
        <f>"20190312154005641"</f>
        <v>20190312154005641</v>
      </c>
      <c r="B4201" t="str">
        <f>"1552376405630382"</f>
        <v>1552376405630382</v>
      </c>
      <c r="C4201" t="s">
        <v>40</v>
      </c>
      <c r="D4201">
        <v>4.0619160000000001</v>
      </c>
      <c r="E4201">
        <v>0.47575529999999999</v>
      </c>
      <c r="F4201" t="s">
        <v>61</v>
      </c>
      <c r="G4201">
        <v>-447.78129999999999</v>
      </c>
      <c r="H4201" s="1">
        <v>2.5549019999999999E-6</v>
      </c>
      <c r="I4201">
        <v>215.74</v>
      </c>
      <c r="J4201">
        <v>-473.17619999999999</v>
      </c>
      <c r="K4201">
        <v>1.1098059999999901</v>
      </c>
      <c r="L4201">
        <v>217.5856</v>
      </c>
      <c r="M4201">
        <v>0.99144089999999996</v>
      </c>
      <c r="N4201">
        <v>0</v>
      </c>
      <c r="O4201">
        <v>-0.13041410000000001</v>
      </c>
      <c r="P4201">
        <v>0.99091839999999998</v>
      </c>
      <c r="Q4201">
        <v>-8.9990609999999992E-3</v>
      </c>
      <c r="R4201">
        <v>-0.1341628</v>
      </c>
      <c r="S4201">
        <v>2.9967350000000001</v>
      </c>
      <c r="T4201">
        <v>-0.13038620000000001</v>
      </c>
      <c r="U4201">
        <v>-0.2182007</v>
      </c>
      <c r="V4201">
        <v>3.7866330000000002E-3</v>
      </c>
      <c r="W4201">
        <v>-2.9144219999999998E-3</v>
      </c>
      <c r="X4201">
        <v>0.99998860000000001</v>
      </c>
      <c r="Y4201">
        <v>-5.7895620000000002E-2</v>
      </c>
      <c r="Z4201">
        <v>6.9025780000000004E-3</v>
      </c>
      <c r="AA4201">
        <v>0.99829880000000004</v>
      </c>
      <c r="AB4201">
        <v>12</v>
      </c>
      <c r="AC4201">
        <v>25.3949</v>
      </c>
      <c r="AD4201">
        <v>-1.1098034450980001</v>
      </c>
      <c r="AE4201">
        <v>-1.8455999999999899</v>
      </c>
      <c r="AF4201">
        <v>-1.4792668657293999</v>
      </c>
      <c r="AG4201">
        <v>-1.1098034450980001</v>
      </c>
      <c r="AH4201">
        <v>25.370507081966299</v>
      </c>
      <c r="AI4201">
        <v>92.500499289147896</v>
      </c>
      <c r="AJ4201">
        <v>93.336941457176593</v>
      </c>
      <c r="AK4201">
        <v>25.437816803784401</v>
      </c>
      <c r="AL4201">
        <v>90.166984313990994</v>
      </c>
      <c r="AM4201">
        <v>89.7830404741688</v>
      </c>
      <c r="AN4201">
        <v>1.00000001628751</v>
      </c>
    </row>
    <row r="4202" spans="1:40" x14ac:dyDescent="0.25">
      <c r="A4202" t="str">
        <f>"20190312154005663"</f>
        <v>20190312154005663</v>
      </c>
      <c r="B4202" t="str">
        <f>"1552376405649902"</f>
        <v>1552376405649902</v>
      </c>
      <c r="C4202" t="s">
        <v>40</v>
      </c>
      <c r="D4202">
        <v>4.0594099999999997</v>
      </c>
      <c r="E4202">
        <v>0.4756534</v>
      </c>
      <c r="F4202" t="s">
        <v>61</v>
      </c>
      <c r="G4202">
        <v>-442.17910000000001</v>
      </c>
      <c r="H4202" s="1">
        <v>-4.137224E-7</v>
      </c>
      <c r="I4202">
        <v>215.45259999999999</v>
      </c>
      <c r="J4202">
        <v>-473.05959999999999</v>
      </c>
      <c r="K4202">
        <v>1.109701</v>
      </c>
      <c r="L4202">
        <v>217.5735</v>
      </c>
      <c r="M4202">
        <v>0.99180009999999996</v>
      </c>
      <c r="N4202">
        <v>0</v>
      </c>
      <c r="O4202">
        <v>-0.1276505</v>
      </c>
      <c r="P4202">
        <v>0.99134529999999998</v>
      </c>
      <c r="Q4202">
        <v>-7.1495860000000003E-3</v>
      </c>
      <c r="R4202">
        <v>-0.13108689999999901</v>
      </c>
      <c r="S4202">
        <v>2.998596</v>
      </c>
      <c r="T4202">
        <v>-0.1073605</v>
      </c>
      <c r="U4202">
        <v>-0.20634459999999999</v>
      </c>
      <c r="V4202">
        <v>3.4666139999999998E-3</v>
      </c>
      <c r="W4202">
        <v>-9.9005209999999998E-4</v>
      </c>
      <c r="X4202">
        <v>0.99999349999999998</v>
      </c>
      <c r="Y4202">
        <v>-5.9143479999999998E-2</v>
      </c>
      <c r="Z4202">
        <v>5.6063969999999999E-3</v>
      </c>
      <c r="AA4202">
        <v>0.9982337</v>
      </c>
      <c r="AB4202">
        <v>12</v>
      </c>
      <c r="AC4202">
        <v>30.880499999999898</v>
      </c>
      <c r="AD4202">
        <v>-1.1097014137223999</v>
      </c>
      <c r="AE4202">
        <v>-2.1208999999999998</v>
      </c>
      <c r="AF4202">
        <v>-1.83607739745001</v>
      </c>
      <c r="AG4202">
        <v>-1.1097014137223999</v>
      </c>
      <c r="AH4202">
        <v>30.858940074460801</v>
      </c>
      <c r="AI4202">
        <v>92.055861978093603</v>
      </c>
      <c r="AJ4202">
        <v>93.405029736372896</v>
      </c>
      <c r="AK4202">
        <v>30.933425286511799</v>
      </c>
      <c r="AL4202">
        <v>90.056725816161602</v>
      </c>
      <c r="AM4202">
        <v>89.801377153197393</v>
      </c>
      <c r="AN4202">
        <v>0.99999999882901702</v>
      </c>
    </row>
    <row r="4203" spans="1:40" x14ac:dyDescent="0.25">
      <c r="A4203" t="str">
        <f>"20190312154005685"</f>
        <v>20190312154005685</v>
      </c>
      <c r="B4203" t="str">
        <f>"1552376405680159"</f>
        <v>1552376405680159</v>
      </c>
      <c r="C4203" t="s">
        <v>40</v>
      </c>
      <c r="D4203">
        <v>4.0611090000000001</v>
      </c>
      <c r="E4203">
        <v>0.47589809999999999</v>
      </c>
      <c r="F4203" t="s">
        <v>62</v>
      </c>
      <c r="G4203">
        <v>-438.36410000000001</v>
      </c>
      <c r="H4203" s="1">
        <v>5.8665090000000001E-6</v>
      </c>
      <c r="I4203">
        <v>215.29839999999999</v>
      </c>
      <c r="J4203">
        <v>-472.95069999999998</v>
      </c>
      <c r="K4203">
        <v>1.1096269999999999</v>
      </c>
      <c r="L4203">
        <v>217.56219999999999</v>
      </c>
      <c r="M4203">
        <v>0.99209190000000003</v>
      </c>
      <c r="N4203">
        <v>0</v>
      </c>
      <c r="O4203">
        <v>-0.12535940000000001</v>
      </c>
      <c r="P4203">
        <v>0.99180809999999997</v>
      </c>
      <c r="Q4203">
        <v>-8.9102409999999993E-3</v>
      </c>
      <c r="R4203">
        <v>-0.1274257</v>
      </c>
      <c r="S4203">
        <v>2.9994809999999998</v>
      </c>
      <c r="T4203">
        <v>-9.5935110000000004E-2</v>
      </c>
      <c r="U4203">
        <v>-0.19668579999999999</v>
      </c>
      <c r="V4203">
        <v>2.08611E-3</v>
      </c>
      <c r="W4203">
        <v>-2.6801009999999998E-3</v>
      </c>
      <c r="X4203">
        <v>0.99999420000000006</v>
      </c>
      <c r="Y4203">
        <v>-6.0082690000000001E-2</v>
      </c>
      <c r="Z4203">
        <v>4.9517729999999996E-3</v>
      </c>
      <c r="AA4203">
        <v>0.99818110000000004</v>
      </c>
      <c r="AB4203">
        <v>12</v>
      </c>
      <c r="AC4203">
        <v>34.586599999999898</v>
      </c>
      <c r="AD4203">
        <v>-1.109621133491</v>
      </c>
      <c r="AE4203">
        <v>-2.2637999999999998</v>
      </c>
      <c r="AF4203">
        <v>-2.0877584806992502</v>
      </c>
      <c r="AG4203">
        <v>-1.109621133491</v>
      </c>
      <c r="AH4203">
        <v>34.562121129262898</v>
      </c>
      <c r="AI4203">
        <v>91.835512960959306</v>
      </c>
      <c r="AJ4203">
        <v>93.456806776622301</v>
      </c>
      <c r="AK4203">
        <v>34.642895541329501</v>
      </c>
      <c r="AL4203">
        <v>90.153558664806695</v>
      </c>
      <c r="AM4203">
        <v>89.880474181537295</v>
      </c>
      <c r="AN4203">
        <v>0.99999996741496999</v>
      </c>
    </row>
    <row r="4204" spans="1:40" x14ac:dyDescent="0.25">
      <c r="A4204" t="str">
        <f>"20190312154005706"</f>
        <v>20190312154005706</v>
      </c>
      <c r="B4204" t="str">
        <f>"1552376405699678"</f>
        <v>1552376405699678</v>
      </c>
      <c r="C4204" t="s">
        <v>40</v>
      </c>
      <c r="D4204">
        <v>4.0549200000000001</v>
      </c>
      <c r="E4204">
        <v>0.47618640000000001</v>
      </c>
      <c r="F4204" t="s">
        <v>62</v>
      </c>
      <c r="G4204">
        <v>-438.51229999999998</v>
      </c>
      <c r="H4204" s="1">
        <v>5.9229449999999901E-6</v>
      </c>
      <c r="I4204">
        <v>215.4042</v>
      </c>
      <c r="J4204">
        <v>-472.83319999999998</v>
      </c>
      <c r="K4204">
        <v>1.109548</v>
      </c>
      <c r="L4204">
        <v>217.54990000000001</v>
      </c>
      <c r="M4204">
        <v>0.99235870000000004</v>
      </c>
      <c r="N4204">
        <v>0</v>
      </c>
      <c r="O4204">
        <v>-0.1232255</v>
      </c>
      <c r="P4204">
        <v>0.99220620000000004</v>
      </c>
      <c r="Q4204">
        <v>-1.081471E-2</v>
      </c>
      <c r="R4204">
        <v>-0.1241375</v>
      </c>
      <c r="S4204">
        <v>2.9997560000000001</v>
      </c>
      <c r="T4204">
        <v>-9.6653340000000004E-2</v>
      </c>
      <c r="U4204">
        <v>-0.187973</v>
      </c>
      <c r="V4204">
        <v>9.2397539999999998E-4</v>
      </c>
      <c r="W4204">
        <v>-4.5073639999999998E-3</v>
      </c>
      <c r="X4204">
        <v>0.99998940000000003</v>
      </c>
      <c r="Y4204">
        <v>-6.0828569999999998E-2</v>
      </c>
      <c r="Z4204">
        <v>4.9328829999999999E-3</v>
      </c>
      <c r="AA4204">
        <v>0.99813600000000002</v>
      </c>
      <c r="AB4204">
        <v>12</v>
      </c>
      <c r="AC4204">
        <v>34.320899999999902</v>
      </c>
      <c r="AD4204">
        <v>-1.109542077055</v>
      </c>
      <c r="AE4204">
        <v>-2.1457000000000002</v>
      </c>
      <c r="AF4204">
        <v>-2.0977637713692898</v>
      </c>
      <c r="AG4204">
        <v>-1.109542077055</v>
      </c>
      <c r="AH4204">
        <v>34.288033842525699</v>
      </c>
      <c r="AI4204">
        <v>91.849956821328604</v>
      </c>
      <c r="AJ4204">
        <v>93.501028473350502</v>
      </c>
      <c r="AK4204">
        <v>34.370059081232498</v>
      </c>
      <c r="AL4204">
        <v>90.258253812247304</v>
      </c>
      <c r="AM4204">
        <v>89.947059563103196</v>
      </c>
      <c r="AN4204">
        <v>0.99999998508656396</v>
      </c>
    </row>
    <row r="4205" spans="1:40" x14ac:dyDescent="0.25">
      <c r="A4205" t="str">
        <f>"20190312154005728"</f>
        <v>20190312154005728</v>
      </c>
      <c r="B4205" t="str">
        <f>"1552376405720175"</f>
        <v>1552376405720175</v>
      </c>
      <c r="C4205" t="s">
        <v>40</v>
      </c>
      <c r="D4205">
        <v>4.0797100000000004</v>
      </c>
      <c r="E4205">
        <v>0.47670129999999999</v>
      </c>
      <c r="F4205" t="s">
        <v>61</v>
      </c>
      <c r="G4205">
        <v>-440.19310000000002</v>
      </c>
      <c r="H4205" s="1">
        <v>-1.4765799999999901E-6</v>
      </c>
      <c r="I4205">
        <v>215.58969999999999</v>
      </c>
      <c r="J4205">
        <v>-472.71339999999998</v>
      </c>
      <c r="K4205">
        <v>1.109456</v>
      </c>
      <c r="L4205">
        <v>217.53720000000001</v>
      </c>
      <c r="M4205">
        <v>0.99258000000000002</v>
      </c>
      <c r="N4205">
        <v>0</v>
      </c>
      <c r="O4205">
        <v>-0.1214263</v>
      </c>
      <c r="P4205">
        <v>0.99264870000000005</v>
      </c>
      <c r="Q4205">
        <v>-1.1579549999999999E-2</v>
      </c>
      <c r="R4205">
        <v>-0.120478</v>
      </c>
      <c r="S4205">
        <v>2.999908</v>
      </c>
      <c r="T4205">
        <v>-0.10197730000000001</v>
      </c>
      <c r="U4205">
        <v>-0.1801605</v>
      </c>
      <c r="V4205">
        <v>-9.5062550000000003E-4</v>
      </c>
      <c r="W4205">
        <v>-5.1876450000000003E-3</v>
      </c>
      <c r="X4205">
        <v>0.99998609999999999</v>
      </c>
      <c r="Y4205">
        <v>-6.1601749999999997E-2</v>
      </c>
      <c r="Z4205">
        <v>5.1572650000000003E-3</v>
      </c>
      <c r="AA4205">
        <v>0.99808750000000002</v>
      </c>
      <c r="AB4205">
        <v>12</v>
      </c>
      <c r="AC4205">
        <v>32.520299999999899</v>
      </c>
      <c r="AD4205">
        <v>-1.1094574765799901</v>
      </c>
      <c r="AE4205">
        <v>-1.94750000000001</v>
      </c>
      <c r="AF4205">
        <v>-2.0134759806694</v>
      </c>
      <c r="AG4205">
        <v>-1.1094574765799901</v>
      </c>
      <c r="AH4205">
        <v>32.478470822144303</v>
      </c>
      <c r="AI4205">
        <v>91.952704690936599</v>
      </c>
      <c r="AJ4205">
        <v>93.547464558856703</v>
      </c>
      <c r="AK4205">
        <v>32.559730471273099</v>
      </c>
      <c r="AL4205">
        <v>90.297231494977893</v>
      </c>
      <c r="AM4205">
        <v>90.054467569739202</v>
      </c>
      <c r="AN4205">
        <v>1.00000000777134</v>
      </c>
    </row>
    <row r="4206" spans="1:40" x14ac:dyDescent="0.25">
      <c r="A4206" t="str">
        <f>"20190312154005751"</f>
        <v>20190312154005751</v>
      </c>
      <c r="B4206" t="str">
        <f>"1552376405739711"</f>
        <v>1552376405739711</v>
      </c>
      <c r="C4206" t="s">
        <v>40</v>
      </c>
      <c r="D4206">
        <v>4.1329900000000004</v>
      </c>
      <c r="E4206">
        <v>0.4770778</v>
      </c>
      <c r="F4206" t="s">
        <v>61</v>
      </c>
      <c r="G4206">
        <v>-440.92970000000003</v>
      </c>
      <c r="H4206" s="1">
        <v>-1.089542E-6</v>
      </c>
      <c r="I4206">
        <v>215.70230000000001</v>
      </c>
      <c r="J4206">
        <v>-472.5942</v>
      </c>
      <c r="K4206">
        <v>1.1093519999999999</v>
      </c>
      <c r="L4206">
        <v>217.52440000000001</v>
      </c>
      <c r="M4206">
        <v>0.99275170000000001</v>
      </c>
      <c r="N4206">
        <v>0</v>
      </c>
      <c r="O4206">
        <v>-0.1200094</v>
      </c>
      <c r="P4206">
        <v>0.99294760000000004</v>
      </c>
      <c r="Q4206">
        <v>-1.172251E-2</v>
      </c>
      <c r="R4206">
        <v>-0.11797390000000001</v>
      </c>
      <c r="S4206">
        <v>2.9999690000000001</v>
      </c>
      <c r="T4206">
        <v>-0.1047183</v>
      </c>
      <c r="U4206">
        <v>-0.17318729999999999</v>
      </c>
      <c r="V4206">
        <v>-2.0468579999999999E-3</v>
      </c>
      <c r="W4206">
        <v>-5.2351759999999898E-3</v>
      </c>
      <c r="X4206">
        <v>0.99998419999999999</v>
      </c>
      <c r="Y4206">
        <v>-6.2484959999999999E-2</v>
      </c>
      <c r="Z4206">
        <v>5.2625579999999996E-3</v>
      </c>
      <c r="AA4206">
        <v>0.99803200000000003</v>
      </c>
      <c r="AB4206">
        <v>12</v>
      </c>
      <c r="AC4206">
        <v>31.664499999999901</v>
      </c>
      <c r="AD4206">
        <v>-1.1093530895420001</v>
      </c>
      <c r="AE4206">
        <v>-1.8221000000000001</v>
      </c>
      <c r="AF4206">
        <v>-1.9887534102900299</v>
      </c>
      <c r="AG4206">
        <v>-1.1093530895420001</v>
      </c>
      <c r="AH4206">
        <v>31.615639315121101</v>
      </c>
      <c r="AI4206">
        <v>92.005651536830399</v>
      </c>
      <c r="AJ4206">
        <v>93.599397059898905</v>
      </c>
      <c r="AK4206">
        <v>31.697546493507101</v>
      </c>
      <c r="AL4206">
        <v>90.299954860424094</v>
      </c>
      <c r="AM4206">
        <v>90.117278013868997</v>
      </c>
      <c r="AN4206">
        <v>0.99999999847253096</v>
      </c>
    </row>
    <row r="4207" spans="1:40" x14ac:dyDescent="0.25">
      <c r="A4207" t="str">
        <f>"20190312154005773"</f>
        <v>20190312154005773</v>
      </c>
      <c r="B4207" t="str">
        <f>"1552376405769951"</f>
        <v>1552376405769951</v>
      </c>
      <c r="C4207" t="s">
        <v>40</v>
      </c>
      <c r="D4207">
        <v>4.0813030000000001</v>
      </c>
      <c r="E4207">
        <v>0.47816690000000001</v>
      </c>
      <c r="F4207" t="s">
        <v>61</v>
      </c>
      <c r="G4207">
        <v>-441.89049999999997</v>
      </c>
      <c r="H4207" s="1">
        <v>-5.8244639999999999E-7</v>
      </c>
      <c r="I4207">
        <v>215.79839999999999</v>
      </c>
      <c r="J4207">
        <v>-472.4776</v>
      </c>
      <c r="K4207">
        <v>1.1092340000000001</v>
      </c>
      <c r="L4207">
        <v>217.51159999999999</v>
      </c>
      <c r="M4207">
        <v>0.99287409999999998</v>
      </c>
      <c r="N4207">
        <v>0</v>
      </c>
      <c r="O4207">
        <v>-0.11898590000000001</v>
      </c>
      <c r="P4207">
        <v>0.99311539999999998</v>
      </c>
      <c r="Q4207">
        <v>-1.336874E-2</v>
      </c>
      <c r="R4207">
        <v>-0.11637550000000001</v>
      </c>
      <c r="S4207">
        <v>3</v>
      </c>
      <c r="T4207">
        <v>-0.10839260000000001</v>
      </c>
      <c r="U4207">
        <v>-0.16864009999999999</v>
      </c>
      <c r="V4207">
        <v>-2.625704E-3</v>
      </c>
      <c r="W4207">
        <v>-6.773098E-3</v>
      </c>
      <c r="X4207">
        <v>0.99997360000000002</v>
      </c>
      <c r="Y4207">
        <v>-6.2957009999999994E-2</v>
      </c>
      <c r="Z4207">
        <v>5.4192110000000002E-3</v>
      </c>
      <c r="AA4207">
        <v>0.99800149999999999</v>
      </c>
      <c r="AB4207">
        <v>12</v>
      </c>
      <c r="AC4207">
        <v>30.5871</v>
      </c>
      <c r="AD4207">
        <v>-1.1092345824463901</v>
      </c>
      <c r="AE4207">
        <v>-1.7132000000000001</v>
      </c>
      <c r="AF4207">
        <v>-1.9359456904338701</v>
      </c>
      <c r="AG4207">
        <v>-1.1092345824463901</v>
      </c>
      <c r="AH4207">
        <v>30.533618898177</v>
      </c>
      <c r="AI4207">
        <v>92.076377833142203</v>
      </c>
      <c r="AJ4207">
        <v>93.6279105721691</v>
      </c>
      <c r="AK4207">
        <v>30.6150317669983</v>
      </c>
      <c r="AL4207">
        <v>90.388072902643898</v>
      </c>
      <c r="AM4207">
        <v>90.150445383460607</v>
      </c>
      <c r="AN4207">
        <v>0.99999998493748599</v>
      </c>
    </row>
    <row r="4208" spans="1:40" x14ac:dyDescent="0.25">
      <c r="A4208" t="str">
        <f>"20190312154005795"</f>
        <v>20190312154005795</v>
      </c>
      <c r="B4208" t="str">
        <f>"1552376405789471"</f>
        <v>1552376405789471</v>
      </c>
      <c r="C4208" t="s">
        <v>40</v>
      </c>
      <c r="D4208">
        <v>4.1300629999999998</v>
      </c>
      <c r="E4208">
        <v>0.47894789999999998</v>
      </c>
      <c r="F4208" t="s">
        <v>61</v>
      </c>
      <c r="G4208">
        <v>-443.21800000000002</v>
      </c>
      <c r="H4208" s="1">
        <v>1.2260730000000001E-7</v>
      </c>
      <c r="I4208">
        <v>215.8305</v>
      </c>
      <c r="J4208">
        <v>-472.3587</v>
      </c>
      <c r="K4208">
        <v>1.1090930000000001</v>
      </c>
      <c r="L4208">
        <v>217.4983</v>
      </c>
      <c r="M4208">
        <v>0.99295480000000003</v>
      </c>
      <c r="N4208">
        <v>0</v>
      </c>
      <c r="O4208">
        <v>-0.11830450000000001</v>
      </c>
      <c r="P4208">
        <v>0.99327779999999999</v>
      </c>
      <c r="Q4208">
        <v>-1.291029E-2</v>
      </c>
      <c r="R4208">
        <v>-0.1150346</v>
      </c>
      <c r="S4208">
        <v>2.9991150000000002</v>
      </c>
      <c r="T4208">
        <v>-0.1136968</v>
      </c>
      <c r="U4208">
        <v>-0.17231749999999901</v>
      </c>
      <c r="V4208">
        <v>-3.2927939999999999E-3</v>
      </c>
      <c r="W4208">
        <v>-6.1862380000000002E-3</v>
      </c>
      <c r="X4208">
        <v>0.99997539999999996</v>
      </c>
      <c r="Y4208">
        <v>-6.1025790000000003E-2</v>
      </c>
      <c r="Z4208">
        <v>5.6234279999999998E-3</v>
      </c>
      <c r="AA4208">
        <v>0.99812040000000002</v>
      </c>
      <c r="AB4208">
        <v>12</v>
      </c>
      <c r="AC4208">
        <v>29.140699999999899</v>
      </c>
      <c r="AD4208">
        <v>-1.1090928773927</v>
      </c>
      <c r="AE4208">
        <v>-1.66779999999999</v>
      </c>
      <c r="AF4208">
        <v>-1.78888322563447</v>
      </c>
      <c r="AG4208">
        <v>-1.1090928773927</v>
      </c>
      <c r="AH4208">
        <v>29.091356001041099</v>
      </c>
      <c r="AI4208">
        <v>92.179202330733204</v>
      </c>
      <c r="AJ4208">
        <v>93.518796579648196</v>
      </c>
      <c r="AK4208">
        <v>29.1673993387301</v>
      </c>
      <c r="AL4208">
        <v>90.354447604728506</v>
      </c>
      <c r="AM4208">
        <v>90.188667158329196</v>
      </c>
      <c r="AN4208">
        <v>0.99999995631903804</v>
      </c>
    </row>
    <row r="4209" spans="1:40" x14ac:dyDescent="0.25">
      <c r="A4209" t="str">
        <f>"20190312154005820"</f>
        <v>20190312154005820</v>
      </c>
      <c r="B4209" t="str">
        <f>"1552376405809967"</f>
        <v>1552376405809967</v>
      </c>
      <c r="C4209" t="s">
        <v>40</v>
      </c>
      <c r="D4209">
        <v>4.1699570000000001</v>
      </c>
      <c r="E4209">
        <v>0.47955170000000003</v>
      </c>
      <c r="F4209" t="s">
        <v>61</v>
      </c>
      <c r="G4209">
        <v>-442.92759999999998</v>
      </c>
      <c r="H4209" s="1">
        <v>-2.9935290000000003E-8</v>
      </c>
      <c r="I4209">
        <v>215.7842</v>
      </c>
      <c r="J4209">
        <v>-472.22480000000002</v>
      </c>
      <c r="K4209">
        <v>1.108951</v>
      </c>
      <c r="L4209">
        <v>217.4828</v>
      </c>
      <c r="M4209">
        <v>0.99299199999999999</v>
      </c>
      <c r="N4209">
        <v>0</v>
      </c>
      <c r="O4209">
        <v>-0.1179824</v>
      </c>
      <c r="P4209">
        <v>0.99337589999999998</v>
      </c>
      <c r="Q4209">
        <v>-1.1403099999999999E-2</v>
      </c>
      <c r="R4209">
        <v>-0.1143445</v>
      </c>
      <c r="S4209">
        <v>2.998596</v>
      </c>
      <c r="T4209">
        <v>-0.1130002</v>
      </c>
      <c r="U4209">
        <v>-0.17463679999999901</v>
      </c>
      <c r="V4209">
        <v>-3.6652270000000001E-3</v>
      </c>
      <c r="W4209">
        <v>-4.516702E-3</v>
      </c>
      <c r="X4209">
        <v>0.99998310000000001</v>
      </c>
      <c r="Y4209">
        <v>-5.9925329999999999E-2</v>
      </c>
      <c r="Z4209">
        <v>5.5570410000000004E-3</v>
      </c>
      <c r="AA4209">
        <v>0.99818739999999995</v>
      </c>
      <c r="AB4209">
        <v>12</v>
      </c>
      <c r="AC4209">
        <v>29.2972</v>
      </c>
      <c r="AD4209">
        <v>-1.10895102993529</v>
      </c>
      <c r="AE4209">
        <v>-1.6985999999999899</v>
      </c>
      <c r="AF4209">
        <v>-1.7673756515251899</v>
      </c>
      <c r="AG4209">
        <v>-1.10895102993529</v>
      </c>
      <c r="AH4209">
        <v>29.251209658851</v>
      </c>
      <c r="AI4209">
        <v>92.167168628377993</v>
      </c>
      <c r="AJ4209">
        <v>93.457641944130202</v>
      </c>
      <c r="AK4209">
        <v>29.325529075985202</v>
      </c>
      <c r="AL4209">
        <v>90.258788837331906</v>
      </c>
      <c r="AM4209">
        <v>90.210004646730297</v>
      </c>
      <c r="AN4209">
        <v>1.0000000173857599</v>
      </c>
    </row>
    <row r="4210" spans="1:40" x14ac:dyDescent="0.25">
      <c r="A4210" t="str">
        <f>"20190312154005841"</f>
        <v>20190312154005841</v>
      </c>
      <c r="B4210" t="str">
        <f>"1552376405830462"</f>
        <v>1552376405830462</v>
      </c>
      <c r="C4210" t="s">
        <v>40</v>
      </c>
      <c r="D4210">
        <v>4.1623720000000004</v>
      </c>
      <c r="E4210">
        <v>0.48015910000000001</v>
      </c>
      <c r="F4210" t="s">
        <v>61</v>
      </c>
      <c r="G4210">
        <v>-442.57530000000003</v>
      </c>
      <c r="H4210" s="1">
        <v>-2.1499819999999999E-7</v>
      </c>
      <c r="I4210">
        <v>215.72880000000001</v>
      </c>
      <c r="J4210">
        <v>-472.10449999999997</v>
      </c>
      <c r="K4210">
        <v>1.108862</v>
      </c>
      <c r="L4210">
        <v>217.4684</v>
      </c>
      <c r="M4210">
        <v>0.99298240000000004</v>
      </c>
      <c r="N4210">
        <v>0</v>
      </c>
      <c r="O4210">
        <v>-0.1180539</v>
      </c>
      <c r="P4210">
        <v>0.99338159999999998</v>
      </c>
      <c r="Q4210">
        <v>-1.015046E-2</v>
      </c>
      <c r="R4210">
        <v>-0.11441369999999999</v>
      </c>
      <c r="S4210">
        <v>2.9982600000000001</v>
      </c>
      <c r="T4210">
        <v>-0.1121407</v>
      </c>
      <c r="U4210">
        <v>-0.1773682</v>
      </c>
      <c r="V4210">
        <v>-3.6676310000000002E-3</v>
      </c>
      <c r="W4210">
        <v>-3.1076720000000001E-3</v>
      </c>
      <c r="X4210">
        <v>0.9999884</v>
      </c>
      <c r="Y4210">
        <v>-5.9087059999999997E-2</v>
      </c>
      <c r="Z4210">
        <v>5.5022150000000004E-3</v>
      </c>
      <c r="AA4210">
        <v>0.99823770000000001</v>
      </c>
      <c r="AB4210">
        <v>12</v>
      </c>
      <c r="AC4210">
        <v>29.5291999999999</v>
      </c>
      <c r="AD4210">
        <v>-1.1088622149981999</v>
      </c>
      <c r="AE4210">
        <v>-1.73959999999999</v>
      </c>
      <c r="AF4210">
        <v>-1.7562204391149101</v>
      </c>
      <c r="AG4210">
        <v>-1.1088622149981999</v>
      </c>
      <c r="AH4210">
        <v>29.486633811891799</v>
      </c>
      <c r="AI4210">
        <v>92.149820524782001</v>
      </c>
      <c r="AJ4210">
        <v>93.408503271083504</v>
      </c>
      <c r="AK4210">
        <v>29.559693151303399</v>
      </c>
      <c r="AL4210">
        <v>90.178056784389597</v>
      </c>
      <c r="AM4210">
        <v>90.210141272502895</v>
      </c>
      <c r="AN4210">
        <v>0.99999995463848401</v>
      </c>
    </row>
    <row r="4211" spans="1:40" x14ac:dyDescent="0.25">
      <c r="A4211" t="str">
        <f>"20190312154005864"</f>
        <v>20190312154005864</v>
      </c>
      <c r="B4211" t="str">
        <f>"1552376405860423"</f>
        <v>1552376405860423</v>
      </c>
      <c r="C4211" t="s">
        <v>40</v>
      </c>
      <c r="D4211">
        <v>4.2141529999999996</v>
      </c>
      <c r="E4211">
        <v>0.4810393</v>
      </c>
      <c r="F4211" t="s">
        <v>61</v>
      </c>
      <c r="G4211">
        <v>-441.93430000000001</v>
      </c>
      <c r="H4211" s="1">
        <v>-5.5198769999999897E-7</v>
      </c>
      <c r="I4211">
        <v>215.6353</v>
      </c>
      <c r="J4211">
        <v>-471.98160000000001</v>
      </c>
      <c r="K4211">
        <v>1.108824</v>
      </c>
      <c r="L4211">
        <v>217.45330000000001</v>
      </c>
      <c r="M4211">
        <v>0.99294079999999996</v>
      </c>
      <c r="N4211">
        <v>0</v>
      </c>
      <c r="O4211">
        <v>-0.11839230000000001</v>
      </c>
      <c r="P4211">
        <v>0.99327739999999998</v>
      </c>
      <c r="Q4211">
        <v>-9.1949070000000004E-3</v>
      </c>
      <c r="R4211">
        <v>-0.11539240000000001</v>
      </c>
      <c r="S4211">
        <v>2.997925</v>
      </c>
      <c r="T4211">
        <v>-0.1101847</v>
      </c>
      <c r="U4211">
        <v>-0.18214420000000001</v>
      </c>
      <c r="V4211">
        <v>-3.0229620000000001E-3</v>
      </c>
      <c r="W4211">
        <v>-1.9922149999999999E-3</v>
      </c>
      <c r="X4211">
        <v>0.99999340000000003</v>
      </c>
      <c r="Y4211">
        <v>-5.784106E-2</v>
      </c>
      <c r="Z4211">
        <v>5.3960229999999998E-3</v>
      </c>
      <c r="AA4211">
        <v>0.99831119999999995</v>
      </c>
      <c r="AB4211">
        <v>12</v>
      </c>
      <c r="AC4211">
        <v>30.0473</v>
      </c>
      <c r="AD4211">
        <v>-1.1088245519877</v>
      </c>
      <c r="AE4211">
        <v>-1.8180000000000101</v>
      </c>
      <c r="AF4211">
        <v>-1.74987369833454</v>
      </c>
      <c r="AG4211">
        <v>-1.1088245519877</v>
      </c>
      <c r="AH4211">
        <v>30.010486753443601</v>
      </c>
      <c r="AI4211">
        <v>92.112411670502397</v>
      </c>
      <c r="AJ4211">
        <v>93.337066281219094</v>
      </c>
      <c r="AK4211">
        <v>30.081902616454101</v>
      </c>
      <c r="AL4211">
        <v>90.114145592181202</v>
      </c>
      <c r="AM4211">
        <v>90.173203579774494</v>
      </c>
      <c r="AN4211">
        <v>0.99999995363170802</v>
      </c>
    </row>
    <row r="4212" spans="1:40" x14ac:dyDescent="0.25">
      <c r="A4212" t="str">
        <f>"20190312154005885"</f>
        <v>20190312154005885</v>
      </c>
      <c r="B4212" t="str">
        <f>"1552376405879943"</f>
        <v>1552376405879943</v>
      </c>
      <c r="C4212" t="s">
        <v>40</v>
      </c>
      <c r="D4212">
        <v>4.1573250000000002</v>
      </c>
      <c r="E4212">
        <v>0.49101850000000002</v>
      </c>
      <c r="F4212" t="s">
        <v>61</v>
      </c>
      <c r="G4212">
        <v>-441.37180000000001</v>
      </c>
      <c r="H4212" s="1">
        <v>-8.4501179999999999E-7</v>
      </c>
      <c r="I4212">
        <v>215.49119999999999</v>
      </c>
      <c r="J4212">
        <v>-471.86410000000001</v>
      </c>
      <c r="K4212">
        <v>1.1088249999999999</v>
      </c>
      <c r="L4212">
        <v>217.43860000000001</v>
      </c>
      <c r="M4212">
        <v>0.99287519999999996</v>
      </c>
      <c r="N4212">
        <v>0</v>
      </c>
      <c r="O4212">
        <v>-0.11893289999999999</v>
      </c>
      <c r="P4212">
        <v>0.99320220000000004</v>
      </c>
      <c r="Q4212">
        <v>-7.6567769999999896E-3</v>
      </c>
      <c r="R4212">
        <v>-0.1161513</v>
      </c>
      <c r="S4212">
        <v>2.9969790000000001</v>
      </c>
      <c r="T4212">
        <v>-0.1085643</v>
      </c>
      <c r="U4212">
        <v>-0.19210820000000001</v>
      </c>
      <c r="V4212">
        <v>-2.801717E-3</v>
      </c>
      <c r="W4212">
        <v>-3.0321759999999998E-4</v>
      </c>
      <c r="X4212">
        <v>0.999996</v>
      </c>
      <c r="Y4212">
        <v>-5.5064099999999998E-2</v>
      </c>
      <c r="Z4212">
        <v>5.2868219999999896E-3</v>
      </c>
      <c r="AA4212">
        <v>0.99846880000000005</v>
      </c>
      <c r="AB4212">
        <v>12</v>
      </c>
      <c r="AC4212">
        <v>30.4923</v>
      </c>
      <c r="AD4212">
        <v>-1.1088258450118</v>
      </c>
      <c r="AE4212">
        <v>-1.94740000000001</v>
      </c>
      <c r="AF4212">
        <v>-1.69083126060412</v>
      </c>
      <c r="AG4212">
        <v>-1.1088258450118</v>
      </c>
      <c r="AH4212">
        <v>30.467354255429399</v>
      </c>
      <c r="AI4212">
        <v>92.081097509390403</v>
      </c>
      <c r="AJ4212">
        <v>93.176456389422</v>
      </c>
      <c r="AK4212">
        <v>30.5343753895873</v>
      </c>
      <c r="AL4212">
        <v>90.017373089527794</v>
      </c>
      <c r="AM4212">
        <v>90.160526781571704</v>
      </c>
      <c r="AN4212">
        <v>0.99999997078753</v>
      </c>
    </row>
    <row r="4213" spans="1:40" x14ac:dyDescent="0.25">
      <c r="A4213" t="str">
        <f>"20190312154005908"</f>
        <v>20190312154005908</v>
      </c>
      <c r="B4213" t="str">
        <f>"1552376405900439"</f>
        <v>1552376405900439</v>
      </c>
      <c r="C4213" t="s">
        <v>40</v>
      </c>
      <c r="D4213">
        <v>4.1686420000000002</v>
      </c>
      <c r="E4213">
        <v>0.49073820000000001</v>
      </c>
      <c r="F4213" t="s">
        <v>61</v>
      </c>
      <c r="G4213">
        <v>-443.64229999999998</v>
      </c>
      <c r="H4213" s="1">
        <v>3.9071619999999997E-7</v>
      </c>
      <c r="I4213">
        <v>214.86240000000001</v>
      </c>
      <c r="J4213">
        <v>-471.74040000000002</v>
      </c>
      <c r="K4213">
        <v>1.10884</v>
      </c>
      <c r="L4213">
        <v>217.4229</v>
      </c>
      <c r="M4213">
        <v>0.99278040000000001</v>
      </c>
      <c r="N4213">
        <v>0</v>
      </c>
      <c r="O4213">
        <v>-0.1197122</v>
      </c>
      <c r="P4213">
        <v>0.99308819999999998</v>
      </c>
      <c r="Q4213">
        <v>-6.2621200000000004E-3</v>
      </c>
      <c r="R4213">
        <v>-0.1172052</v>
      </c>
      <c r="S4213">
        <v>2.987762</v>
      </c>
      <c r="T4213">
        <v>-0.1173881</v>
      </c>
      <c r="U4213">
        <v>-0.27273560000000002</v>
      </c>
      <c r="V4213">
        <v>-2.5232430000000001E-3</v>
      </c>
      <c r="W4213">
        <v>1.2458E-3</v>
      </c>
      <c r="X4213">
        <v>0.99999610000000005</v>
      </c>
      <c r="Y4213">
        <v>-2.8854299999999999E-2</v>
      </c>
      <c r="Z4213">
        <v>5.2426199999999999E-3</v>
      </c>
      <c r="AA4213">
        <v>0.99956990000000001</v>
      </c>
      <c r="AB4213">
        <v>12</v>
      </c>
      <c r="AC4213">
        <v>28.098099999999999</v>
      </c>
      <c r="AD4213">
        <v>-1.1088396092838</v>
      </c>
      <c r="AE4213">
        <v>-2.56049999999999</v>
      </c>
      <c r="AF4213">
        <v>-0.82042702626410402</v>
      </c>
      <c r="AG4213">
        <v>-1.1088396092838</v>
      </c>
      <c r="AH4213">
        <v>28.1590645822202</v>
      </c>
      <c r="AI4213">
        <v>92.254056277586699</v>
      </c>
      <c r="AJ4213">
        <v>91.6688662231997</v>
      </c>
      <c r="AK4213">
        <v>28.192827881044298</v>
      </c>
      <c r="AL4213">
        <v>89.928620903658398</v>
      </c>
      <c r="AM4213">
        <v>90.144571431596802</v>
      </c>
      <c r="AN4213">
        <v>1.0000000593940399</v>
      </c>
    </row>
    <row r="4214" spans="1:40" x14ac:dyDescent="0.25">
      <c r="A4214" t="str">
        <f>"20190312154005930"</f>
        <v>20190312154005930</v>
      </c>
      <c r="B4214" t="str">
        <f>"1552376405919959"</f>
        <v>1552376405919959</v>
      </c>
      <c r="C4214" t="s">
        <v>40</v>
      </c>
      <c r="D4214">
        <v>4.1627830000000001</v>
      </c>
      <c r="E4214">
        <v>0.49090339999999999</v>
      </c>
      <c r="F4214" t="s">
        <v>61</v>
      </c>
      <c r="G4214">
        <v>-443.25709999999998</v>
      </c>
      <c r="H4214" s="1">
        <v>1.8792330000000001E-7</v>
      </c>
      <c r="I4214">
        <v>214.8125</v>
      </c>
      <c r="J4214">
        <v>-471.61320000000001</v>
      </c>
      <c r="K4214">
        <v>1.1088579999999999</v>
      </c>
      <c r="L4214">
        <v>217.40639999999999</v>
      </c>
      <c r="M4214">
        <v>0.99265899999999996</v>
      </c>
      <c r="N4214">
        <v>0</v>
      </c>
      <c r="O4214">
        <v>-0.1207047</v>
      </c>
      <c r="P4214">
        <v>0.99292749999999996</v>
      </c>
      <c r="Q4214">
        <v>-5.5787279999999998E-3</v>
      </c>
      <c r="R4214">
        <v>-0.1185932</v>
      </c>
      <c r="S4214">
        <v>2.9877929999999999</v>
      </c>
      <c r="T4214">
        <v>-0.1163135</v>
      </c>
      <c r="U4214">
        <v>-0.27381899999999998</v>
      </c>
      <c r="V4214">
        <v>-2.1241290000000002E-3</v>
      </c>
      <c r="W4214">
        <v>2.079787E-3</v>
      </c>
      <c r="X4214">
        <v>0.99999559999999998</v>
      </c>
      <c r="Y4214">
        <v>-2.949618E-2</v>
      </c>
      <c r="Z4214">
        <v>5.2452009999999997E-3</v>
      </c>
      <c r="AA4214">
        <v>0.99955110000000003</v>
      </c>
      <c r="AB4214">
        <v>12</v>
      </c>
      <c r="AC4214">
        <v>28.356100000000001</v>
      </c>
      <c r="AD4214">
        <v>-1.1088578120767001</v>
      </c>
      <c r="AE4214">
        <v>-2.5938999999999899</v>
      </c>
      <c r="AF4214">
        <v>-0.84659730125961596</v>
      </c>
      <c r="AG4214">
        <v>-1.1088578120767001</v>
      </c>
      <c r="AH4214">
        <v>28.418769303397902</v>
      </c>
      <c r="AI4214">
        <v>92.233472188514796</v>
      </c>
      <c r="AJ4214">
        <v>91.706340990076498</v>
      </c>
      <c r="AK4214">
        <v>28.452991782194999</v>
      </c>
      <c r="AL4214">
        <v>89.880836898938497</v>
      </c>
      <c r="AM4214">
        <v>90.121703979298502</v>
      </c>
      <c r="AN4214">
        <v>1.00000001872866</v>
      </c>
    </row>
    <row r="4215" spans="1:40" x14ac:dyDescent="0.25">
      <c r="A4215" t="str">
        <f>"20190312154005951"</f>
        <v>20190312154005951</v>
      </c>
      <c r="B4215" t="str">
        <f>"1552376405940201"</f>
        <v>1552376405940201</v>
      </c>
      <c r="C4215" t="s">
        <v>40</v>
      </c>
      <c r="D4215">
        <v>4.168857</v>
      </c>
      <c r="E4215">
        <v>0.49113040000000002</v>
      </c>
      <c r="F4215" t="s">
        <v>61</v>
      </c>
      <c r="G4215">
        <v>-441.98840000000001</v>
      </c>
      <c r="H4215" s="1">
        <v>-4.7956959999999998E-7</v>
      </c>
      <c r="I4215">
        <v>214.63759999999999</v>
      </c>
      <c r="J4215">
        <v>-471.4914</v>
      </c>
      <c r="K4215">
        <v>1.1088720000000001</v>
      </c>
      <c r="L4215">
        <v>217.3903</v>
      </c>
      <c r="M4215">
        <v>0.99252379999999996</v>
      </c>
      <c r="N4215">
        <v>0</v>
      </c>
      <c r="O4215">
        <v>-0.12180299999999999</v>
      </c>
      <c r="P4215">
        <v>0.99282939999999997</v>
      </c>
      <c r="Q4215">
        <v>-4.9186259999999997E-3</v>
      </c>
      <c r="R4215">
        <v>-0.1194408</v>
      </c>
      <c r="S4215">
        <v>2.9874269999999998</v>
      </c>
      <c r="T4215">
        <v>-0.1118198</v>
      </c>
      <c r="U4215">
        <v>-0.27920529999999999</v>
      </c>
      <c r="V4215">
        <v>-2.375893E-3</v>
      </c>
      <c r="W4215">
        <v>2.8761030000000001E-3</v>
      </c>
      <c r="X4215">
        <v>0.99999300000000002</v>
      </c>
      <c r="Y4215">
        <v>-2.8812480000000001E-2</v>
      </c>
      <c r="Z4215">
        <v>5.070677E-3</v>
      </c>
      <c r="AA4215">
        <v>0.99957200000000002</v>
      </c>
      <c r="AB4215">
        <v>13</v>
      </c>
      <c r="AC4215">
        <v>29.502999999999901</v>
      </c>
      <c r="AD4215">
        <v>-1.1088724795695999</v>
      </c>
      <c r="AE4215">
        <v>-2.7526999999999999</v>
      </c>
      <c r="AF4215">
        <v>-0.86025497852840704</v>
      </c>
      <c r="AG4215">
        <v>-1.1088724795695999</v>
      </c>
      <c r="AH4215">
        <v>29.577192017502401</v>
      </c>
      <c r="AI4215">
        <v>92.146152113772004</v>
      </c>
      <c r="AJ4215">
        <v>91.665982628067795</v>
      </c>
      <c r="AK4215">
        <v>29.6104698450436</v>
      </c>
      <c r="AL4215">
        <v>89.835211202618297</v>
      </c>
      <c r="AM4215">
        <v>90.136129338234596</v>
      </c>
      <c r="AN4215">
        <v>0.999999958442506</v>
      </c>
    </row>
    <row r="4216" spans="1:40" x14ac:dyDescent="0.25">
      <c r="A4216" t="str">
        <f>"20190312154005974"</f>
        <v>20190312154005974</v>
      </c>
      <c r="B4216" t="str">
        <f>"1552376405970447"</f>
        <v>1552376405970447</v>
      </c>
      <c r="C4216" t="s">
        <v>40</v>
      </c>
      <c r="D4216">
        <v>4.1272949999999904</v>
      </c>
      <c r="E4216">
        <v>0.49149520000000002</v>
      </c>
      <c r="F4216" t="s">
        <v>61</v>
      </c>
      <c r="G4216">
        <v>-441.30070000000001</v>
      </c>
      <c r="H4216" s="1">
        <v>-8.4065499999999998E-7</v>
      </c>
      <c r="I4216">
        <v>214.52510000000001</v>
      </c>
      <c r="J4216">
        <v>-471.36610000000002</v>
      </c>
      <c r="K4216">
        <v>1.1088750000000001</v>
      </c>
      <c r="L4216">
        <v>217.3734</v>
      </c>
      <c r="M4216">
        <v>0.99236979999999997</v>
      </c>
      <c r="N4216">
        <v>0</v>
      </c>
      <c r="O4216">
        <v>-0.1230436</v>
      </c>
      <c r="P4216">
        <v>0.9926258</v>
      </c>
      <c r="Q4216">
        <v>-3.5930390000000001E-3</v>
      </c>
      <c r="R4216">
        <v>-0.12116680000000001</v>
      </c>
      <c r="S4216">
        <v>2.9870299999999999</v>
      </c>
      <c r="T4216">
        <v>-0.1097105</v>
      </c>
      <c r="U4216">
        <v>-0.2834778</v>
      </c>
      <c r="V4216">
        <v>-1.8852210000000001E-3</v>
      </c>
      <c r="W4216">
        <v>4.3313999999999896E-3</v>
      </c>
      <c r="X4216">
        <v>0.99998889999999996</v>
      </c>
      <c r="Y4216">
        <v>-2.8635890000000001E-2</v>
      </c>
      <c r="Z4216">
        <v>5.0171490000000003E-3</v>
      </c>
      <c r="AA4216">
        <v>0.9995773</v>
      </c>
      <c r="AB4216">
        <v>13</v>
      </c>
      <c r="AC4216">
        <v>30.0654</v>
      </c>
      <c r="AD4216">
        <v>-1.1088758406549999</v>
      </c>
      <c r="AE4216">
        <v>-2.8482999999999898</v>
      </c>
      <c r="AF4216">
        <v>-0.87164026769502201</v>
      </c>
      <c r="AG4216">
        <v>-1.1088758406549999</v>
      </c>
      <c r="AH4216">
        <v>30.146759134919801</v>
      </c>
      <c r="AI4216">
        <v>92.105658250365394</v>
      </c>
      <c r="AJ4216">
        <v>91.656144820837497</v>
      </c>
      <c r="AK4216">
        <v>30.179735729875599</v>
      </c>
      <c r="AL4216">
        <v>89.751828298915896</v>
      </c>
      <c r="AM4216">
        <v>90.108016277763397</v>
      </c>
      <c r="AN4216">
        <v>1.00000005760369</v>
      </c>
    </row>
    <row r="4217" spans="1:40" x14ac:dyDescent="0.25">
      <c r="A4217" t="str">
        <f>"20190312154005997"</f>
        <v>20190312154005997</v>
      </c>
      <c r="B4217" t="str">
        <f>"1552376405989967"</f>
        <v>1552376405989967</v>
      </c>
      <c r="C4217" t="s">
        <v>40</v>
      </c>
      <c r="D4217">
        <v>4.0770169999999997</v>
      </c>
      <c r="E4217">
        <v>0.49205539999999998</v>
      </c>
      <c r="F4217" t="s">
        <v>61</v>
      </c>
      <c r="G4217">
        <v>-440.19200000000001</v>
      </c>
      <c r="H4217" s="1">
        <v>-1.422211E-6</v>
      </c>
      <c r="I4217">
        <v>214.33199999999999</v>
      </c>
      <c r="J4217">
        <v>-471.2346</v>
      </c>
      <c r="K4217">
        <v>1.1088849999999999</v>
      </c>
      <c r="L4217">
        <v>217.35550000000001</v>
      </c>
      <c r="M4217">
        <v>0.99219539999999995</v>
      </c>
      <c r="N4217">
        <v>0</v>
      </c>
      <c r="O4217">
        <v>-0.1244333</v>
      </c>
      <c r="P4217">
        <v>0.9923208</v>
      </c>
      <c r="Q4217">
        <v>-4.1083339999999999E-3</v>
      </c>
      <c r="R4217">
        <v>-0.1236244</v>
      </c>
      <c r="S4217">
        <v>2.9863279999999999</v>
      </c>
      <c r="T4217">
        <v>-0.10622479999999999</v>
      </c>
      <c r="U4217">
        <v>-0.29135129999999998</v>
      </c>
      <c r="V4217">
        <v>-8.0996520000000002E-4</v>
      </c>
      <c r="W4217">
        <v>3.9418270000000002E-3</v>
      </c>
      <c r="X4217">
        <v>0.99999190000000004</v>
      </c>
      <c r="Y4217">
        <v>-2.7408800000000001E-2</v>
      </c>
      <c r="Z4217">
        <v>4.8853020000000002E-3</v>
      </c>
      <c r="AA4217">
        <v>0.99961239999999996</v>
      </c>
      <c r="AB4217">
        <v>13</v>
      </c>
      <c r="AC4217">
        <v>31.0426</v>
      </c>
      <c r="AD4217">
        <v>-1.108886422211</v>
      </c>
      <c r="AE4217">
        <v>-3.0235000000000101</v>
      </c>
      <c r="AF4217">
        <v>-0.86176895359625305</v>
      </c>
      <c r="AG4217">
        <v>-1.108886422211</v>
      </c>
      <c r="AH4217">
        <v>31.138197091428701</v>
      </c>
      <c r="AI4217">
        <v>92.0387624564964</v>
      </c>
      <c r="AJ4217">
        <v>91.585291637815899</v>
      </c>
      <c r="AK4217">
        <v>31.169850704348999</v>
      </c>
      <c r="AL4217">
        <v>89.774149363783593</v>
      </c>
      <c r="AM4217">
        <v>90.046407953268201</v>
      </c>
      <c r="AN4217">
        <v>0.99999999705466602</v>
      </c>
    </row>
    <row r="4218" spans="1:40" x14ac:dyDescent="0.25">
      <c r="A4218" t="str">
        <f>"20190312154006021"</f>
        <v>20190312154006021</v>
      </c>
      <c r="B4218" t="str">
        <f>"1552376406010463"</f>
        <v>1552376406010463</v>
      </c>
      <c r="C4218" t="s">
        <v>40</v>
      </c>
      <c r="D4218">
        <v>4.0054660000000002</v>
      </c>
      <c r="E4218">
        <v>0.49272899999999997</v>
      </c>
      <c r="F4218" t="s">
        <v>62</v>
      </c>
      <c r="G4218">
        <v>-439.75729999999999</v>
      </c>
      <c r="H4218" s="1">
        <v>6.5839389999999998E-6</v>
      </c>
      <c r="I4218">
        <v>214.15860000000001</v>
      </c>
      <c r="J4218">
        <v>-471.10270000000003</v>
      </c>
      <c r="K4218">
        <v>1.108916</v>
      </c>
      <c r="L4218">
        <v>217.33709999999999</v>
      </c>
      <c r="M4218">
        <v>0.99201110000000003</v>
      </c>
      <c r="N4218">
        <v>0</v>
      </c>
      <c r="O4218">
        <v>-0.12588640000000001</v>
      </c>
      <c r="P4218">
        <v>0.99198140000000001</v>
      </c>
      <c r="Q4218">
        <v>-6.7519470000000003E-3</v>
      </c>
      <c r="R4218">
        <v>-0.12620490000000001</v>
      </c>
      <c r="S4218">
        <v>2.9850159999999999</v>
      </c>
      <c r="T4218">
        <v>-0.1051557</v>
      </c>
      <c r="U4218">
        <v>-0.30316159999999998</v>
      </c>
      <c r="V4218">
        <v>3.2256100000000002E-4</v>
      </c>
      <c r="W4218">
        <v>1.424614E-3</v>
      </c>
      <c r="X4218">
        <v>0.99999890000000002</v>
      </c>
      <c r="Y4218">
        <v>-2.4916830000000001E-2</v>
      </c>
      <c r="Z4218">
        <v>4.8438819999999999E-3</v>
      </c>
      <c r="AA4218">
        <v>0.99967779999999995</v>
      </c>
      <c r="AB4218">
        <v>13</v>
      </c>
      <c r="AC4218">
        <v>31.345400000000001</v>
      </c>
      <c r="AD4218">
        <v>-1.108909416061</v>
      </c>
      <c r="AE4218">
        <v>-3.1784999999999801</v>
      </c>
      <c r="AF4218">
        <v>-0.79189767727001004</v>
      </c>
      <c r="AG4218">
        <v>-1.108909416061</v>
      </c>
      <c r="AH4218">
        <v>31.457194149261301</v>
      </c>
      <c r="AI4218">
        <v>92.018280252064699</v>
      </c>
      <c r="AJ4218">
        <v>91.442048952611898</v>
      </c>
      <c r="AK4218">
        <v>31.4866931539121</v>
      </c>
      <c r="AL4218">
        <v>89.918375600043802</v>
      </c>
      <c r="AM4218">
        <v>89.981518596375906</v>
      </c>
      <c r="AN4218">
        <v>0.99999996678592795</v>
      </c>
    </row>
    <row r="4219" spans="1:40" x14ac:dyDescent="0.25">
      <c r="A4219" t="str">
        <f>"20190312154006044"</f>
        <v>20190312154006044</v>
      </c>
      <c r="B4219" t="str">
        <f>"1552376406029984"</f>
        <v>1552376406029984</v>
      </c>
      <c r="C4219" t="s">
        <v>40</v>
      </c>
      <c r="D4219">
        <v>4.0328559999999998</v>
      </c>
      <c r="E4219">
        <v>0.4932049</v>
      </c>
      <c r="F4219" t="s">
        <v>61</v>
      </c>
      <c r="G4219">
        <v>-440.90679999999998</v>
      </c>
      <c r="H4219" s="1">
        <v>-1.033172E-6</v>
      </c>
      <c r="I4219">
        <v>214.1343</v>
      </c>
      <c r="J4219">
        <v>-470.97449999999998</v>
      </c>
      <c r="K4219">
        <v>1.1089739999999999</v>
      </c>
      <c r="L4219">
        <v>217.31909999999999</v>
      </c>
      <c r="M4219">
        <v>0.99182709999999996</v>
      </c>
      <c r="N4219">
        <v>0</v>
      </c>
      <c r="O4219">
        <v>-0.1273203</v>
      </c>
      <c r="P4219">
        <v>0.99158939999999995</v>
      </c>
      <c r="Q4219">
        <v>-8.3359950000000006E-3</v>
      </c>
      <c r="R4219">
        <v>-0.1291562</v>
      </c>
      <c r="S4219">
        <v>2.9831850000000002</v>
      </c>
      <c r="T4219">
        <v>-0.1095546</v>
      </c>
      <c r="U4219">
        <v>-0.31642150000000002</v>
      </c>
      <c r="V4219">
        <v>1.8511669999999999E-3</v>
      </c>
      <c r="W4219" s="1">
        <v>-3.5344630000000002E-5</v>
      </c>
      <c r="X4219">
        <v>0.99999830000000001</v>
      </c>
      <c r="Y4219">
        <v>-2.1897389999999999E-2</v>
      </c>
      <c r="Z4219">
        <v>5.0447199999999999E-3</v>
      </c>
      <c r="AA4219">
        <v>0.99974750000000001</v>
      </c>
      <c r="AB4219">
        <v>13</v>
      </c>
      <c r="AC4219">
        <v>30.067699999999999</v>
      </c>
      <c r="AD4219">
        <v>-1.1089750331720001</v>
      </c>
      <c r="AE4219">
        <v>-3.1847999999999899</v>
      </c>
      <c r="AF4219">
        <v>-0.66858118331896599</v>
      </c>
      <c r="AG4219">
        <v>-1.1089750331720001</v>
      </c>
      <c r="AH4219">
        <v>30.187875655713999</v>
      </c>
      <c r="AI4219">
        <v>92.103343531900407</v>
      </c>
      <c r="AJ4219">
        <v>91.268741766074598</v>
      </c>
      <c r="AK4219">
        <v>30.215636068561199</v>
      </c>
      <c r="AL4219">
        <v>90.002025098099395</v>
      </c>
      <c r="AM4219">
        <v>89.893935884571306</v>
      </c>
      <c r="AN4219">
        <v>1.0000000140356899</v>
      </c>
    </row>
    <row r="4220" spans="1:40" x14ac:dyDescent="0.25">
      <c r="A4220" t="str">
        <f>"20190312154006067"</f>
        <v>20190312154006067</v>
      </c>
      <c r="B4220" t="str">
        <f>"1552376406059770"</f>
        <v>1552376406059770</v>
      </c>
      <c r="C4220" t="s">
        <v>40</v>
      </c>
      <c r="D4220">
        <v>3.9537800000000001</v>
      </c>
      <c r="E4220">
        <v>0.4937358</v>
      </c>
      <c r="F4220" t="s">
        <v>61</v>
      </c>
      <c r="G4220">
        <v>-441.39150000000001</v>
      </c>
      <c r="H4220" s="1">
        <v>-7.717454E-7</v>
      </c>
      <c r="I4220">
        <v>214.05410000000001</v>
      </c>
      <c r="J4220">
        <v>-470.8408</v>
      </c>
      <c r="K4220">
        <v>1.1090549999999999</v>
      </c>
      <c r="L4220">
        <v>217.30009999999999</v>
      </c>
      <c r="M4220">
        <v>0.99163250000000003</v>
      </c>
      <c r="N4220">
        <v>0</v>
      </c>
      <c r="O4220">
        <v>-0.1288166</v>
      </c>
      <c r="P4220">
        <v>0.99120370000000002</v>
      </c>
      <c r="Q4220">
        <v>-8.7650869999999995E-3</v>
      </c>
      <c r="R4220">
        <v>-0.13205510000000001</v>
      </c>
      <c r="S4220">
        <v>2.9816280000000002</v>
      </c>
      <c r="T4220">
        <v>-0.1117718</v>
      </c>
      <c r="U4220">
        <v>-0.329071</v>
      </c>
      <c r="V4220">
        <v>3.2660089999999998E-3</v>
      </c>
      <c r="W4220">
        <v>-3.288144E-4</v>
      </c>
      <c r="X4220">
        <v>0.99999459999999996</v>
      </c>
      <c r="Y4220">
        <v>-1.9155740000000001E-2</v>
      </c>
      <c r="Z4220">
        <v>5.1520759999999898E-3</v>
      </c>
      <c r="AA4220">
        <v>0.9998032</v>
      </c>
      <c r="AB4220">
        <v>13</v>
      </c>
      <c r="AC4220">
        <v>29.449299999999901</v>
      </c>
      <c r="AD4220">
        <v>-1.1090557717453999</v>
      </c>
      <c r="AE4220">
        <v>-3.24599999999998</v>
      </c>
      <c r="AF4220">
        <v>-0.57393586272597197</v>
      </c>
      <c r="AG4220">
        <v>-1.1090557717453999</v>
      </c>
      <c r="AH4220">
        <v>29.5806277089406</v>
      </c>
      <c r="AI4220">
        <v>92.146760556960899</v>
      </c>
      <c r="AJ4220">
        <v>91.111537505211203</v>
      </c>
      <c r="AK4220">
        <v>29.606974562327601</v>
      </c>
      <c r="AL4220">
        <v>90.018839677938402</v>
      </c>
      <c r="AM4220">
        <v>89.812871123310302</v>
      </c>
      <c r="AN4220">
        <v>0.99999998748142804</v>
      </c>
    </row>
    <row r="4221" spans="1:40" x14ac:dyDescent="0.25">
      <c r="A4221" t="str">
        <f>"20190312154006091"</f>
        <v>20190312154006091</v>
      </c>
      <c r="B4221" t="str">
        <f>"1552376406080266"</f>
        <v>1552376406080266</v>
      </c>
      <c r="C4221" t="s">
        <v>40</v>
      </c>
      <c r="D4221">
        <v>3.934771</v>
      </c>
      <c r="E4221">
        <v>0.49396620000000002</v>
      </c>
      <c r="F4221" t="s">
        <v>61</v>
      </c>
      <c r="G4221">
        <v>-441.48360000000002</v>
      </c>
      <c r="H4221" s="1">
        <v>-7.172594E-7</v>
      </c>
      <c r="I4221">
        <v>213.92869999999999</v>
      </c>
      <c r="J4221">
        <v>-470.70589999999999</v>
      </c>
      <c r="K4221">
        <v>1.1091340000000001</v>
      </c>
      <c r="L4221">
        <v>217.2807</v>
      </c>
      <c r="M4221">
        <v>0.99143680000000001</v>
      </c>
      <c r="N4221">
        <v>0</v>
      </c>
      <c r="O4221">
        <v>-0.13030539999999999</v>
      </c>
      <c r="P4221">
        <v>0.99085970000000001</v>
      </c>
      <c r="Q4221">
        <v>-9.7734799999999993E-3</v>
      </c>
      <c r="R4221">
        <v>-0.13454199999999999</v>
      </c>
      <c r="S4221">
        <v>2.9800420000000001</v>
      </c>
      <c r="T4221">
        <v>-0.1125797</v>
      </c>
      <c r="U4221">
        <v>-0.34222409999999998</v>
      </c>
      <c r="V4221">
        <v>4.2737169999999998E-3</v>
      </c>
      <c r="W4221">
        <v>-1.1873960000000001E-3</v>
      </c>
      <c r="X4221">
        <v>0.99999020000000005</v>
      </c>
      <c r="Y4221">
        <v>-1.6240899999999999E-2</v>
      </c>
      <c r="Z4221">
        <v>5.1910389999999997E-3</v>
      </c>
      <c r="AA4221">
        <v>0.99985460000000004</v>
      </c>
      <c r="AB4221">
        <v>13</v>
      </c>
      <c r="AC4221">
        <v>29.222299999999901</v>
      </c>
      <c r="AD4221">
        <v>-1.1091347172593999</v>
      </c>
      <c r="AE4221">
        <v>-3.3519999999999999</v>
      </c>
      <c r="AF4221">
        <v>-0.48385717563059399</v>
      </c>
      <c r="AG4221">
        <v>-1.1091347172593999</v>
      </c>
      <c r="AH4221">
        <v>29.3681712309922</v>
      </c>
      <c r="AI4221">
        <v>92.162543222320593</v>
      </c>
      <c r="AJ4221">
        <v>90.943894865896894</v>
      </c>
      <c r="AK4221">
        <v>29.393090668392102</v>
      </c>
      <c r="AL4221">
        <v>90.068032792857593</v>
      </c>
      <c r="AM4221">
        <v>89.755133144181798</v>
      </c>
      <c r="AN4221">
        <v>1.00000003733114</v>
      </c>
    </row>
    <row r="4222" spans="1:40" x14ac:dyDescent="0.25">
      <c r="A4222" t="str">
        <f>"20190312154006109"</f>
        <v>20190312154006109</v>
      </c>
      <c r="B4222" t="str">
        <f>"1552376406099786"</f>
        <v>1552376406099786</v>
      </c>
      <c r="C4222" t="s">
        <v>40</v>
      </c>
      <c r="D4222">
        <v>3.9431340000000001</v>
      </c>
      <c r="E4222">
        <v>0.49412299999999998</v>
      </c>
      <c r="F4222" t="s">
        <v>61</v>
      </c>
      <c r="G4222">
        <v>-442.18560000000002</v>
      </c>
      <c r="H4222" s="1">
        <v>-3.4301040000000002E-7</v>
      </c>
      <c r="I4222">
        <v>213.91419999999999</v>
      </c>
      <c r="J4222">
        <v>-470.59390000000002</v>
      </c>
      <c r="K4222">
        <v>1.109202</v>
      </c>
      <c r="L4222">
        <v>217.2645</v>
      </c>
      <c r="M4222">
        <v>0.99127679999999996</v>
      </c>
      <c r="N4222">
        <v>0</v>
      </c>
      <c r="O4222">
        <v>-0.13150780000000001</v>
      </c>
      <c r="P4222">
        <v>0.99062629999999996</v>
      </c>
      <c r="Q4222">
        <v>-1.1881009999999999E-2</v>
      </c>
      <c r="R4222">
        <v>-0.1360845</v>
      </c>
      <c r="S4222">
        <v>2.97879</v>
      </c>
      <c r="T4222">
        <v>-0.1158433</v>
      </c>
      <c r="U4222">
        <v>-0.35160829999999998</v>
      </c>
      <c r="V4222">
        <v>4.6175900000000004E-3</v>
      </c>
      <c r="W4222">
        <v>-3.1552360000000001E-3</v>
      </c>
      <c r="X4222">
        <v>0.9999844</v>
      </c>
      <c r="Y4222">
        <v>-1.4292910000000001E-2</v>
      </c>
      <c r="Z4222">
        <v>5.3507839999999999E-3</v>
      </c>
      <c r="AA4222">
        <v>0.99988350000000004</v>
      </c>
      <c r="AB4222">
        <v>13</v>
      </c>
      <c r="AC4222">
        <v>28.408300000000001</v>
      </c>
      <c r="AD4222">
        <v>-1.1092023430103899</v>
      </c>
      <c r="AE4222">
        <v>-3.3502999999999998</v>
      </c>
      <c r="AF4222">
        <v>-0.41423129912734602</v>
      </c>
      <c r="AG4222">
        <v>-1.1092023430103899</v>
      </c>
      <c r="AH4222">
        <v>28.559224611362598</v>
      </c>
      <c r="AI4222">
        <v>92.223940379357401</v>
      </c>
      <c r="AJ4222">
        <v>90.830976379557598</v>
      </c>
      <c r="AK4222">
        <v>28.583758112067301</v>
      </c>
      <c r="AL4222">
        <v>90.180781999090499</v>
      </c>
      <c r="AM4222">
        <v>89.735429334598393</v>
      </c>
      <c r="AN4222">
        <v>1.0000000389474899</v>
      </c>
    </row>
    <row r="4223" spans="1:40" x14ac:dyDescent="0.25">
      <c r="A4223" t="str">
        <f>"20190312154006132"</f>
        <v>20190312154006132</v>
      </c>
      <c r="B4223" t="str">
        <f>"1552376406130042"</f>
        <v>1552376406130042</v>
      </c>
      <c r="C4223" t="s">
        <v>40</v>
      </c>
      <c r="D4223">
        <v>3.9694410000000002</v>
      </c>
      <c r="E4223">
        <v>0.49410690000000002</v>
      </c>
      <c r="F4223" t="s">
        <v>61</v>
      </c>
      <c r="G4223">
        <v>-443.6524</v>
      </c>
      <c r="H4223" s="1">
        <v>4.3258329999999998E-7</v>
      </c>
      <c r="I4223">
        <v>214.02760000000001</v>
      </c>
      <c r="J4223">
        <v>-470.46069999999997</v>
      </c>
      <c r="K4223">
        <v>1.109281</v>
      </c>
      <c r="L4223">
        <v>217.24510000000001</v>
      </c>
      <c r="M4223">
        <v>0.99109000000000003</v>
      </c>
      <c r="N4223">
        <v>0</v>
      </c>
      <c r="O4223">
        <v>-0.1328947</v>
      </c>
      <c r="P4223">
        <v>0.99046520000000005</v>
      </c>
      <c r="Q4223">
        <v>-1.411923E-2</v>
      </c>
      <c r="R4223">
        <v>-0.13703879999999999</v>
      </c>
      <c r="S4223">
        <v>2.9777830000000001</v>
      </c>
      <c r="T4223">
        <v>-0.122597499999999</v>
      </c>
      <c r="U4223">
        <v>-0.3577728</v>
      </c>
      <c r="V4223">
        <v>4.1833399999999998E-3</v>
      </c>
      <c r="W4223">
        <v>-5.2060539999999999E-3</v>
      </c>
      <c r="X4223">
        <v>0.99997769999999997</v>
      </c>
      <c r="Y4223">
        <v>-1.359837E-2</v>
      </c>
      <c r="Z4223">
        <v>5.7055710000000004E-3</v>
      </c>
      <c r="AA4223">
        <v>0.99989130000000004</v>
      </c>
      <c r="AB4223">
        <v>13</v>
      </c>
      <c r="AC4223">
        <v>26.8082999999999</v>
      </c>
      <c r="AD4223">
        <v>-1.1092805674166999</v>
      </c>
      <c r="AE4223">
        <v>-3.2174999999999998</v>
      </c>
      <c r="AF4223">
        <v>-0.37323383144911698</v>
      </c>
      <c r="AG4223">
        <v>-1.1092805674166999</v>
      </c>
      <c r="AH4223">
        <v>26.9526095509245</v>
      </c>
      <c r="AI4223">
        <v>92.356549650559202</v>
      </c>
      <c r="AJ4223">
        <v>90.793368690756395</v>
      </c>
      <c r="AK4223">
        <v>26.978008979069799</v>
      </c>
      <c r="AL4223">
        <v>90.2982862689651</v>
      </c>
      <c r="AM4223">
        <v>89.760308326860098</v>
      </c>
      <c r="AN4223">
        <v>1.0000000019145401</v>
      </c>
    </row>
    <row r="4224" spans="1:40" x14ac:dyDescent="0.25">
      <c r="A4224" t="str">
        <f>"20190312154006153"</f>
        <v>20190312154006153</v>
      </c>
      <c r="B4224" t="str">
        <f>"1552376406150070"</f>
        <v>1552376406150070</v>
      </c>
      <c r="C4224" t="s">
        <v>40</v>
      </c>
      <c r="D4224">
        <v>3.9836640000000001</v>
      </c>
      <c r="E4224">
        <v>0.49401679999999998</v>
      </c>
      <c r="F4224" t="s">
        <v>61</v>
      </c>
      <c r="G4224">
        <v>-445.35680000000002</v>
      </c>
      <c r="H4224" s="1">
        <v>1.33181E-6</v>
      </c>
      <c r="I4224">
        <v>214.20529999999999</v>
      </c>
      <c r="J4224">
        <v>-470.34109999999998</v>
      </c>
      <c r="K4224">
        <v>1.1093489999999999</v>
      </c>
      <c r="L4224">
        <v>217.2276</v>
      </c>
      <c r="M4224">
        <v>0.99092639999999999</v>
      </c>
      <c r="N4224">
        <v>0</v>
      </c>
      <c r="O4224">
        <v>-0.1340982</v>
      </c>
      <c r="P4224">
        <v>0.99040779999999995</v>
      </c>
      <c r="Q4224">
        <v>-1.383245E-2</v>
      </c>
      <c r="R4224">
        <v>-0.1374831</v>
      </c>
      <c r="S4224">
        <v>2.9771420000000002</v>
      </c>
      <c r="T4224">
        <v>-0.131552799999999</v>
      </c>
      <c r="U4224">
        <v>-0.3605042</v>
      </c>
      <c r="V4224">
        <v>3.4179950000000001E-3</v>
      </c>
      <c r="W4224">
        <v>-4.7333619999999996E-3</v>
      </c>
      <c r="X4224">
        <v>0.99998299999999996</v>
      </c>
      <c r="Y4224">
        <v>-1.386338E-2</v>
      </c>
      <c r="Z4224">
        <v>6.1810669999999898E-3</v>
      </c>
      <c r="AA4224">
        <v>0.99988480000000002</v>
      </c>
      <c r="AB4224">
        <v>13</v>
      </c>
      <c r="AC4224">
        <v>24.984299999999902</v>
      </c>
      <c r="AD4224">
        <v>-1.1093476681900001</v>
      </c>
      <c r="AE4224">
        <v>-3.0223</v>
      </c>
      <c r="AF4224">
        <v>-0.354798068317149</v>
      </c>
      <c r="AG4224">
        <v>-1.1093476681900001</v>
      </c>
      <c r="AH4224">
        <v>25.1151251810426</v>
      </c>
      <c r="AI4224">
        <v>92.528887341069094</v>
      </c>
      <c r="AJ4224">
        <v>90.809356099364805</v>
      </c>
      <c r="AK4224">
        <v>25.142116990771498</v>
      </c>
      <c r="AL4224">
        <v>90.271202666325493</v>
      </c>
      <c r="AM4224">
        <v>89.804160745489497</v>
      </c>
      <c r="AN4224">
        <v>1.00000004384732</v>
      </c>
    </row>
    <row r="4225" spans="1:40" x14ac:dyDescent="0.25">
      <c r="A4225" t="str">
        <f>"20190312154006176"</f>
        <v>20190312154006176</v>
      </c>
      <c r="B4225" t="str">
        <f>"1552376406169589"</f>
        <v>1552376406169589</v>
      </c>
      <c r="C4225" t="s">
        <v>40</v>
      </c>
      <c r="D4225">
        <v>3.9651420000000002</v>
      </c>
      <c r="E4225">
        <v>0.49397289999999999</v>
      </c>
      <c r="F4225" t="s">
        <v>61</v>
      </c>
      <c r="G4225">
        <v>-445.56049999999999</v>
      </c>
      <c r="H4225" s="1">
        <v>1.4393459999999999E-6</v>
      </c>
      <c r="I4225">
        <v>214.2242</v>
      </c>
      <c r="J4225">
        <v>-470.21379999999999</v>
      </c>
      <c r="K4225">
        <v>1.109402</v>
      </c>
      <c r="L4225">
        <v>217.2089</v>
      </c>
      <c r="M4225">
        <v>0.99075530000000001</v>
      </c>
      <c r="N4225">
        <v>0</v>
      </c>
      <c r="O4225">
        <v>-0.13534179999999901</v>
      </c>
      <c r="P4225">
        <v>0.99035010000000001</v>
      </c>
      <c r="Q4225">
        <v>-1.375287E-2</v>
      </c>
      <c r="R4225">
        <v>-0.13790479999999899</v>
      </c>
      <c r="S4225">
        <v>2.9771420000000002</v>
      </c>
      <c r="T4225">
        <v>-0.13327710000000001</v>
      </c>
      <c r="U4225">
        <v>-0.3608246</v>
      </c>
      <c r="V4225">
        <v>2.5890610000000001E-3</v>
      </c>
      <c r="W4225">
        <v>-4.4464580000000004E-3</v>
      </c>
      <c r="X4225">
        <v>0.99998679999999995</v>
      </c>
      <c r="Y4225">
        <v>-1.500656E-2</v>
      </c>
      <c r="Z4225">
        <v>6.3422879999999997E-3</v>
      </c>
      <c r="AA4225">
        <v>0.99986730000000001</v>
      </c>
      <c r="AB4225">
        <v>13</v>
      </c>
      <c r="AC4225">
        <v>24.653300000000002</v>
      </c>
      <c r="AD4225">
        <v>-1.1094005606540001</v>
      </c>
      <c r="AE4225">
        <v>-2.9847000000000001</v>
      </c>
      <c r="AF4225">
        <v>-0.37877513282145298</v>
      </c>
      <c r="AG4225">
        <v>-1.1094005606540001</v>
      </c>
      <c r="AH4225">
        <v>24.7809599199818</v>
      </c>
      <c r="AI4225">
        <v>92.563022060165594</v>
      </c>
      <c r="AJ4225">
        <v>90.875693545100503</v>
      </c>
      <c r="AK4225">
        <v>24.808672168436701</v>
      </c>
      <c r="AL4225">
        <v>90.254764107199307</v>
      </c>
      <c r="AM4225">
        <v>89.851656105123794</v>
      </c>
      <c r="AN4225">
        <v>1.00000003719992</v>
      </c>
    </row>
    <row r="4226" spans="1:40" x14ac:dyDescent="0.25">
      <c r="A4226" t="str">
        <f>"20190312154006198"</f>
        <v>20190312154006198</v>
      </c>
      <c r="B4226" t="str">
        <f>"1552376406190085"</f>
        <v>1552376406190085</v>
      </c>
      <c r="C4226" t="s">
        <v>40</v>
      </c>
      <c r="D4226">
        <v>4.020937</v>
      </c>
      <c r="E4226">
        <v>0.49391669999999999</v>
      </c>
      <c r="F4226" t="s">
        <v>61</v>
      </c>
      <c r="G4226">
        <v>-445.75839999999999</v>
      </c>
      <c r="H4226" s="1">
        <v>1.544147E-6</v>
      </c>
      <c r="I4226">
        <v>214.2364</v>
      </c>
      <c r="J4226">
        <v>-470.08269999999999</v>
      </c>
      <c r="K4226">
        <v>1.1094520000000001</v>
      </c>
      <c r="L4226">
        <v>217.18940000000001</v>
      </c>
      <c r="M4226">
        <v>0.9905815</v>
      </c>
      <c r="N4226">
        <v>0</v>
      </c>
      <c r="O4226">
        <v>-0.13659260000000001</v>
      </c>
      <c r="P4226">
        <v>0.99028660000000002</v>
      </c>
      <c r="Q4226">
        <v>-1.527973E-2</v>
      </c>
      <c r="R4226">
        <v>-0.1382005</v>
      </c>
      <c r="S4226">
        <v>2.9769899999999998</v>
      </c>
      <c r="T4226">
        <v>-0.13504859999999999</v>
      </c>
      <c r="U4226">
        <v>-0.36184690000000003</v>
      </c>
      <c r="V4226">
        <v>1.6264980000000001E-3</v>
      </c>
      <c r="W4226">
        <v>-5.7583410000000002E-3</v>
      </c>
      <c r="X4226">
        <v>0.99998209999999998</v>
      </c>
      <c r="Y4226">
        <v>-1.5918600000000001E-2</v>
      </c>
      <c r="Z4226">
        <v>6.5031539999999997E-3</v>
      </c>
      <c r="AA4226">
        <v>0.99985210000000002</v>
      </c>
      <c r="AB4226">
        <v>13</v>
      </c>
      <c r="AC4226">
        <v>24.324299999999901</v>
      </c>
      <c r="AD4226">
        <v>-1.1094504558530001</v>
      </c>
      <c r="AE4226">
        <v>-2.9529999999999998</v>
      </c>
      <c r="AF4226">
        <v>-0.39653728914014502</v>
      </c>
      <c r="AG4226">
        <v>-1.1094504558530001</v>
      </c>
      <c r="AH4226">
        <v>24.449546555878602</v>
      </c>
      <c r="AI4226">
        <v>92.597795054135602</v>
      </c>
      <c r="AJ4226">
        <v>90.929175567587393</v>
      </c>
      <c r="AK4226">
        <v>24.477917577354201</v>
      </c>
      <c r="AL4226">
        <v>90.329930458936403</v>
      </c>
      <c r="AM4226">
        <v>89.9068069432398</v>
      </c>
      <c r="AN4226">
        <v>1.00000000215361</v>
      </c>
    </row>
    <row r="4227" spans="1:40" x14ac:dyDescent="0.25">
      <c r="A4227" t="str">
        <f>"20190312154006221"</f>
        <v>20190312154006221</v>
      </c>
      <c r="B4227" t="str">
        <f>"1552376406209605"</f>
        <v>1552376406209605</v>
      </c>
      <c r="C4227" t="s">
        <v>40</v>
      </c>
      <c r="D4227">
        <v>4.0359939999999996</v>
      </c>
      <c r="E4227">
        <v>0.4938864</v>
      </c>
      <c r="F4227" t="s">
        <v>61</v>
      </c>
      <c r="G4227">
        <v>-446.75259999999997</v>
      </c>
      <c r="H4227" s="1">
        <v>2.0682630000000002E-6</v>
      </c>
      <c r="I4227">
        <v>214.34989999999999</v>
      </c>
      <c r="J4227">
        <v>-469.952</v>
      </c>
      <c r="K4227">
        <v>1.1094980000000001</v>
      </c>
      <c r="L4227">
        <v>217.16990000000001</v>
      </c>
      <c r="M4227">
        <v>0.99041049999999997</v>
      </c>
      <c r="N4227">
        <v>0</v>
      </c>
      <c r="O4227">
        <v>-0.137813299999999</v>
      </c>
      <c r="P4227">
        <v>0.99019599999999997</v>
      </c>
      <c r="Q4227">
        <v>-1.6734229999999999E-2</v>
      </c>
      <c r="R4227">
        <v>-0.13867979999999899</v>
      </c>
      <c r="S4227">
        <v>2.9766539999999999</v>
      </c>
      <c r="T4227">
        <v>-0.14155319999999999</v>
      </c>
      <c r="U4227">
        <v>-0.36228939999999998</v>
      </c>
      <c r="V4227">
        <v>8.8008059999999998E-4</v>
      </c>
      <c r="W4227">
        <v>-7.0037119999999996E-3</v>
      </c>
      <c r="X4227">
        <v>0.99997510000000001</v>
      </c>
      <c r="Y4227">
        <v>-1.6973559999999999E-2</v>
      </c>
      <c r="Z4227">
        <v>6.8988610000000001E-3</v>
      </c>
      <c r="AA4227">
        <v>0.99983219999999995</v>
      </c>
      <c r="AB4227">
        <v>13</v>
      </c>
      <c r="AC4227">
        <v>23.199400000000001</v>
      </c>
      <c r="AD4227">
        <v>-1.1094959317369999</v>
      </c>
      <c r="AE4227">
        <v>-2.8200000000000198</v>
      </c>
      <c r="AF4227">
        <v>-0.40333830029794898</v>
      </c>
      <c r="AG4227">
        <v>-1.1094959317369999</v>
      </c>
      <c r="AH4227">
        <v>23.314120497765899</v>
      </c>
      <c r="AI4227">
        <v>92.724186876723905</v>
      </c>
      <c r="AJ4227">
        <v>90.991127982045398</v>
      </c>
      <c r="AK4227">
        <v>23.343990181444401</v>
      </c>
      <c r="AL4227">
        <v>90.401286413773406</v>
      </c>
      <c r="AM4227">
        <v>89.949573853396899</v>
      </c>
      <c r="AN4227">
        <v>1.0000000135718199</v>
      </c>
    </row>
    <row r="4228" spans="1:40" x14ac:dyDescent="0.25">
      <c r="A4228" t="str">
        <f>"20190312154006247"</f>
        <v>20190312154006247</v>
      </c>
      <c r="B4228" t="str">
        <f>"1552376406239863"</f>
        <v>1552376406239863</v>
      </c>
      <c r="C4228" t="s">
        <v>40</v>
      </c>
      <c r="D4228">
        <v>4.0084109999999997</v>
      </c>
      <c r="E4228">
        <v>0.49393169999999997</v>
      </c>
      <c r="F4228" t="s">
        <v>61</v>
      </c>
      <c r="G4228">
        <v>-447.59480000000002</v>
      </c>
      <c r="H4228" s="1">
        <v>2.5125219999999998E-6</v>
      </c>
      <c r="I4228">
        <v>214.43960000000001</v>
      </c>
      <c r="J4228">
        <v>-469.80160000000001</v>
      </c>
      <c r="K4228">
        <v>1.1095489999999999</v>
      </c>
      <c r="L4228">
        <v>217.1472</v>
      </c>
      <c r="M4228">
        <v>0.99021459999999994</v>
      </c>
      <c r="N4228">
        <v>0</v>
      </c>
      <c r="O4228">
        <v>-0.1391975</v>
      </c>
      <c r="P4228">
        <v>0.99001309999999998</v>
      </c>
      <c r="Q4228">
        <v>-1.7204850000000001E-2</v>
      </c>
      <c r="R4228">
        <v>-0.1399222</v>
      </c>
      <c r="S4228">
        <v>2.9763489999999999</v>
      </c>
      <c r="T4228">
        <v>-0.147703799999999</v>
      </c>
      <c r="U4228">
        <v>-0.36347960000000001</v>
      </c>
      <c r="V4228">
        <v>7.3796630000000005E-4</v>
      </c>
      <c r="W4228">
        <v>-7.2487330000000003E-3</v>
      </c>
      <c r="X4228">
        <v>0.99997349999999996</v>
      </c>
      <c r="Y4228">
        <v>-1.7947089999999999E-2</v>
      </c>
      <c r="Z4228">
        <v>7.2904579999999997E-3</v>
      </c>
      <c r="AA4228">
        <v>0.99981240000000005</v>
      </c>
      <c r="AB4228">
        <v>13</v>
      </c>
      <c r="AC4228">
        <v>22.206799999999902</v>
      </c>
      <c r="AD4228">
        <v>-1.1095464874780001</v>
      </c>
      <c r="AE4228">
        <v>-2.7075999999999798</v>
      </c>
      <c r="AF4228">
        <v>-0.40904012949827301</v>
      </c>
      <c r="AG4228">
        <v>-1.1095464874780001</v>
      </c>
      <c r="AH4228">
        <v>22.312611200876301</v>
      </c>
      <c r="AI4228">
        <v>92.846343436263794</v>
      </c>
      <c r="AJ4228">
        <v>91.050242303457495</v>
      </c>
      <c r="AK4228">
        <v>22.343925927125799</v>
      </c>
      <c r="AL4228">
        <v>90.415325426352794</v>
      </c>
      <c r="AM4228">
        <v>89.957716532751206</v>
      </c>
      <c r="AN4228">
        <v>1.0000000447133</v>
      </c>
    </row>
    <row r="4229" spans="1:40" x14ac:dyDescent="0.25">
      <c r="A4229" t="str">
        <f>"20190312154006267"</f>
        <v>20190312154006267</v>
      </c>
      <c r="B4229" t="str">
        <f>"1552376406260358"</f>
        <v>1552376406260358</v>
      </c>
      <c r="C4229" t="s">
        <v>40</v>
      </c>
      <c r="D4229">
        <v>4.0646170000000001</v>
      </c>
      <c r="E4229">
        <v>0.49455260000000001</v>
      </c>
      <c r="F4229" t="s">
        <v>61</v>
      </c>
      <c r="G4229">
        <v>-447.70909999999998</v>
      </c>
      <c r="H4229" s="1">
        <v>2.5742689999999998E-6</v>
      </c>
      <c r="I4229">
        <v>214.41800000000001</v>
      </c>
      <c r="J4229">
        <v>-469.68799999999999</v>
      </c>
      <c r="K4229">
        <v>1.10959599999999</v>
      </c>
      <c r="L4229">
        <v>217.13</v>
      </c>
      <c r="M4229">
        <v>0.99006799999999995</v>
      </c>
      <c r="N4229">
        <v>0</v>
      </c>
      <c r="O4229">
        <v>-0.14022509999999999</v>
      </c>
      <c r="P4229">
        <v>0.98987769999999997</v>
      </c>
      <c r="Q4229">
        <v>-1.5358159999999999E-2</v>
      </c>
      <c r="R4229">
        <v>-0.14108989999999999</v>
      </c>
      <c r="S4229">
        <v>2.975708</v>
      </c>
      <c r="T4229">
        <v>-0.14944789999999999</v>
      </c>
      <c r="U4229">
        <v>-0.36759950000000002</v>
      </c>
      <c r="V4229">
        <v>8.7757579999999996E-4</v>
      </c>
      <c r="W4229">
        <v>-5.2459100000000003E-3</v>
      </c>
      <c r="X4229">
        <v>0.99998589999999998</v>
      </c>
      <c r="Y4229">
        <v>-1.7590089999999999E-2</v>
      </c>
      <c r="Z4229">
        <v>7.4190949999999997E-3</v>
      </c>
      <c r="AA4229">
        <v>0.99981770000000003</v>
      </c>
      <c r="AB4229">
        <v>13</v>
      </c>
      <c r="AC4229">
        <v>21.978899999999999</v>
      </c>
      <c r="AD4229">
        <v>-1.1095934257309901</v>
      </c>
      <c r="AE4229">
        <v>-2.7119999999999802</v>
      </c>
      <c r="AF4229">
        <v>-0.39595530410493801</v>
      </c>
      <c r="AG4229">
        <v>-1.1095934257309901</v>
      </c>
      <c r="AH4229">
        <v>22.086580883963201</v>
      </c>
      <c r="AI4229">
        <v>92.875566293877696</v>
      </c>
      <c r="AJ4229">
        <v>91.027055204245002</v>
      </c>
      <c r="AK4229">
        <v>22.117979865193899</v>
      </c>
      <c r="AL4229">
        <v>90.300569867796398</v>
      </c>
      <c r="AM4229">
        <v>89.949717914388003</v>
      </c>
      <c r="AN4229">
        <v>1.00000004495491</v>
      </c>
    </row>
    <row r="4230" spans="1:40" x14ac:dyDescent="0.25">
      <c r="A4230" t="str">
        <f>"20190312154006287"</f>
        <v>20190312154006287</v>
      </c>
      <c r="B4230" t="str">
        <f>"1552376406279880"</f>
        <v>1552376406279880</v>
      </c>
      <c r="C4230" t="s">
        <v>40</v>
      </c>
      <c r="D4230">
        <v>4.0716299999999999</v>
      </c>
      <c r="E4230">
        <v>0.51677390000000001</v>
      </c>
      <c r="F4230" t="s">
        <v>61</v>
      </c>
      <c r="G4230">
        <v>-446.41250000000002</v>
      </c>
      <c r="H4230" s="1">
        <v>1.8943720000000001E-6</v>
      </c>
      <c r="I4230">
        <v>214.18700000000001</v>
      </c>
      <c r="J4230">
        <v>-469.56939999999997</v>
      </c>
      <c r="K4230">
        <v>1.10965</v>
      </c>
      <c r="L4230">
        <v>217.11189999999999</v>
      </c>
      <c r="M4230">
        <v>0.98991859999999998</v>
      </c>
      <c r="N4230">
        <v>0</v>
      </c>
      <c r="O4230">
        <v>-0.14126659999999999</v>
      </c>
      <c r="P4230">
        <v>0.98961900000000003</v>
      </c>
      <c r="Q4230">
        <v>-1.2783889999999999E-2</v>
      </c>
      <c r="R4230">
        <v>-0.1431471</v>
      </c>
      <c r="S4230">
        <v>2.9748839999999999</v>
      </c>
      <c r="T4230">
        <v>-0.1418191</v>
      </c>
      <c r="U4230">
        <v>-0.37614439999999999</v>
      </c>
      <c r="V4230">
        <v>1.901516E-3</v>
      </c>
      <c r="W4230">
        <v>-2.5269260000000001E-3</v>
      </c>
      <c r="X4230">
        <v>0.99999499999999997</v>
      </c>
      <c r="Y4230">
        <v>-1.5800959999999999E-2</v>
      </c>
      <c r="Z4230">
        <v>7.0475609999999999E-3</v>
      </c>
      <c r="AA4230">
        <v>0.99985029999999997</v>
      </c>
      <c r="AB4230">
        <v>13</v>
      </c>
      <c r="AC4230">
        <v>23.156899999999901</v>
      </c>
      <c r="AD4230">
        <v>-1.1096481056280001</v>
      </c>
      <c r="AE4230">
        <v>-2.9248999999999801</v>
      </c>
      <c r="AF4230">
        <v>-0.375055656325403</v>
      </c>
      <c r="AG4230">
        <v>-1.1096481056280001</v>
      </c>
      <c r="AH4230">
        <v>23.285233020470201</v>
      </c>
      <c r="AI4230">
        <v>92.727989188017801</v>
      </c>
      <c r="AJ4230">
        <v>90.922784329061102</v>
      </c>
      <c r="AK4230">
        <v>23.314674831128599</v>
      </c>
      <c r="AL4230">
        <v>90.144782348940495</v>
      </c>
      <c r="AM4230">
        <v>89.891050745089203</v>
      </c>
      <c r="AN4230">
        <v>1.0000000005715499</v>
      </c>
    </row>
    <row r="4231" spans="1:40" x14ac:dyDescent="0.25">
      <c r="A4231" t="str">
        <f>"20190312154006311"</f>
        <v>20190312154006311</v>
      </c>
      <c r="B4231" t="str">
        <f>"1552376406300376"</f>
        <v>1552376406300376</v>
      </c>
      <c r="C4231" t="s">
        <v>40</v>
      </c>
      <c r="D4231">
        <v>4.0631139999999997</v>
      </c>
      <c r="E4231">
        <v>0.51704559999999999</v>
      </c>
      <c r="F4231" t="s">
        <v>48</v>
      </c>
      <c r="G4231">
        <v>-408.81200000000001</v>
      </c>
      <c r="H4231">
        <v>0.34718209999999999</v>
      </c>
      <c r="I4231">
        <v>205.5369</v>
      </c>
      <c r="J4231">
        <v>-469.43430000000001</v>
      </c>
      <c r="K4231">
        <v>1.1096969999999999</v>
      </c>
      <c r="L4231">
        <v>217.09119999999999</v>
      </c>
      <c r="M4231">
        <v>0.98975519999999995</v>
      </c>
      <c r="N4231">
        <v>0</v>
      </c>
      <c r="O4231">
        <v>-0.14239569999999999</v>
      </c>
      <c r="P4231">
        <v>0.98927480000000001</v>
      </c>
      <c r="Q4231">
        <v>-1.0858329999999999E-2</v>
      </c>
      <c r="R4231">
        <v>-0.14566119999999999</v>
      </c>
      <c r="S4231">
        <v>2.9497680000000002</v>
      </c>
      <c r="T4231">
        <v>-3.701782E-2</v>
      </c>
      <c r="U4231">
        <v>-0.56196590000000002</v>
      </c>
      <c r="V4231">
        <v>3.30029E-3</v>
      </c>
      <c r="W4231">
        <v>-4.6341319999999999E-4</v>
      </c>
      <c r="X4231">
        <v>0.99999450000000001</v>
      </c>
      <c r="Y4231">
        <v>4.5358570000000001E-2</v>
      </c>
      <c r="Z4231">
        <v>1.47857E-3</v>
      </c>
      <c r="AA4231">
        <v>0.99896969999999996</v>
      </c>
      <c r="AB4231">
        <v>13</v>
      </c>
      <c r="AC4231">
        <v>60.622300000000003</v>
      </c>
      <c r="AD4231">
        <v>-0.7625149</v>
      </c>
      <c r="AE4231">
        <v>-11.5542999999999</v>
      </c>
      <c r="AF4231">
        <v>2.8032972596427399</v>
      </c>
      <c r="AG4231">
        <v>-0.7625149</v>
      </c>
      <c r="AH4231">
        <v>61.640441582969203</v>
      </c>
      <c r="AI4231">
        <v>90.708001968396999</v>
      </c>
      <c r="AJ4231">
        <v>87.396084425810798</v>
      </c>
      <c r="AK4231">
        <v>61.708864379780003</v>
      </c>
      <c r="AL4231">
        <v>90.026551620064495</v>
      </c>
      <c r="AM4231">
        <v>89.810906958349193</v>
      </c>
      <c r="AN4231">
        <v>1.00000005334806</v>
      </c>
    </row>
    <row r="4232" spans="1:40" x14ac:dyDescent="0.25">
      <c r="A4232" t="str">
        <f>"20190312154006332"</f>
        <v>20190312154006332</v>
      </c>
      <c r="B4232" t="str">
        <f>"1552376406319897"</f>
        <v>1552376406319897</v>
      </c>
      <c r="C4232" t="s">
        <v>40</v>
      </c>
      <c r="D4232">
        <v>4.0203899999999999</v>
      </c>
      <c r="E4232">
        <v>0.51746550000000002</v>
      </c>
      <c r="F4232" t="s">
        <v>77</v>
      </c>
      <c r="G4232">
        <v>-379.1551</v>
      </c>
      <c r="H4232">
        <v>0.2119326</v>
      </c>
      <c r="I4232">
        <v>199.57599999999999</v>
      </c>
      <c r="J4232">
        <v>-469.3082</v>
      </c>
      <c r="K4232">
        <v>1.1097440000000001</v>
      </c>
      <c r="L4232">
        <v>217.0719</v>
      </c>
      <c r="M4232">
        <v>0.98961220000000005</v>
      </c>
      <c r="N4232">
        <v>0</v>
      </c>
      <c r="O4232">
        <v>-0.1433796</v>
      </c>
      <c r="P4232">
        <v>0.98900730000000003</v>
      </c>
      <c r="Q4232">
        <v>-1.062242E-2</v>
      </c>
      <c r="R4232">
        <v>-0.14748559999999999</v>
      </c>
      <c r="S4232">
        <v>2.9479980000000001</v>
      </c>
      <c r="T4232">
        <v>-2.9315830000000001E-2</v>
      </c>
      <c r="U4232">
        <v>-0.57194519999999904</v>
      </c>
      <c r="V4232">
        <v>4.1500979999999996E-3</v>
      </c>
      <c r="W4232">
        <v>-1.322641E-4</v>
      </c>
      <c r="X4232">
        <v>0.99999139999999997</v>
      </c>
      <c r="Y4232">
        <v>4.7733589999999999E-2</v>
      </c>
      <c r="Z4232">
        <v>1.169043E-3</v>
      </c>
      <c r="AA4232">
        <v>0.99885939999999995</v>
      </c>
      <c r="AB4232">
        <v>13</v>
      </c>
      <c r="AC4232">
        <v>90.153099999999995</v>
      </c>
      <c r="AD4232">
        <v>-0.89781139999999904</v>
      </c>
      <c r="AE4232">
        <v>-17.495899999999999</v>
      </c>
      <c r="AF4232">
        <v>4.3878626219950796</v>
      </c>
      <c r="AG4232">
        <v>-0.89781139999999904</v>
      </c>
      <c r="AH4232">
        <v>91.721440887638906</v>
      </c>
      <c r="AI4232">
        <v>90.560178778391602</v>
      </c>
      <c r="AJ4232">
        <v>87.261114925625293</v>
      </c>
      <c r="AK4232">
        <v>91.830725371218307</v>
      </c>
      <c r="AL4232">
        <v>90.007578174578299</v>
      </c>
      <c r="AM4232">
        <v>89.762216220240802</v>
      </c>
      <c r="AN4232">
        <v>1.0000000204405799</v>
      </c>
    </row>
    <row r="4233" spans="1:40" x14ac:dyDescent="0.25">
      <c r="A4233" t="str">
        <f>"20190312154006355"</f>
        <v>20190312154006355</v>
      </c>
      <c r="B4233" t="str">
        <f>"1552376406350149"</f>
        <v>1552376406350149</v>
      </c>
      <c r="C4233" t="s">
        <v>40</v>
      </c>
      <c r="D4233">
        <v>4.0212919999999999</v>
      </c>
      <c r="E4233">
        <v>0.51783250000000003</v>
      </c>
      <c r="F4233" t="s">
        <v>77</v>
      </c>
      <c r="G4233">
        <v>-380.52929999999998</v>
      </c>
      <c r="H4233">
        <v>0.34047189999999999</v>
      </c>
      <c r="I4233">
        <v>199.57599999999999</v>
      </c>
      <c r="J4233">
        <v>-469.1848</v>
      </c>
      <c r="K4233">
        <v>1.109785</v>
      </c>
      <c r="L4233">
        <v>217.05289999999999</v>
      </c>
      <c r="M4233">
        <v>0.98948239999999998</v>
      </c>
      <c r="N4233">
        <v>0</v>
      </c>
      <c r="O4233">
        <v>-0.1442686</v>
      </c>
      <c r="P4233">
        <v>0.98880820000000003</v>
      </c>
      <c r="Q4233">
        <v>-1.0752909999999999E-2</v>
      </c>
      <c r="R4233">
        <v>-0.14880399999999999</v>
      </c>
      <c r="S4233">
        <v>2.9465029999999999</v>
      </c>
      <c r="T4233">
        <v>-2.553153E-2</v>
      </c>
      <c r="U4233">
        <v>-0.5806732</v>
      </c>
      <c r="V4233">
        <v>4.585146E-3</v>
      </c>
      <c r="W4233">
        <v>-2.1434310000000001E-4</v>
      </c>
      <c r="X4233">
        <v>0.99998940000000003</v>
      </c>
      <c r="Y4233">
        <v>4.9779520000000001E-2</v>
      </c>
      <c r="Z4233">
        <v>1.017034E-3</v>
      </c>
      <c r="AA4233">
        <v>0.99875970000000003</v>
      </c>
      <c r="AB4233">
        <v>13</v>
      </c>
      <c r="AC4233">
        <v>88.655500000000004</v>
      </c>
      <c r="AD4233">
        <v>-0.76931309999999997</v>
      </c>
      <c r="AE4233">
        <v>-17.476900000000001</v>
      </c>
      <c r="AF4233">
        <v>4.5028039826508701</v>
      </c>
      <c r="AG4233">
        <v>-0.76931309999999997</v>
      </c>
      <c r="AH4233">
        <v>90.242899518719199</v>
      </c>
      <c r="AI4233">
        <v>90.487823001757704</v>
      </c>
      <c r="AJ4233">
        <v>87.143510669617399</v>
      </c>
      <c r="AK4233">
        <v>90.358441774400106</v>
      </c>
      <c r="AL4233">
        <v>90.012280955892393</v>
      </c>
      <c r="AM4233">
        <v>89.737289542063706</v>
      </c>
      <c r="AN4233">
        <v>0.99999993480958005</v>
      </c>
    </row>
    <row r="4234" spans="1:40" x14ac:dyDescent="0.25">
      <c r="A4234" t="str">
        <f>"20190312154006378"</f>
        <v>20190312154006378</v>
      </c>
      <c r="B4234" t="str">
        <f>"1552376406369671"</f>
        <v>1552376406369671</v>
      </c>
      <c r="C4234" t="s">
        <v>40</v>
      </c>
      <c r="D4234">
        <v>4.0171979999999996</v>
      </c>
      <c r="E4234">
        <v>0.51797340000000003</v>
      </c>
      <c r="F4234" t="s">
        <v>77</v>
      </c>
      <c r="G4234">
        <v>-381.57249999999999</v>
      </c>
      <c r="H4234">
        <v>0.37995980000000001</v>
      </c>
      <c r="I4234">
        <v>199.57599999999999</v>
      </c>
      <c r="J4234">
        <v>-469.05</v>
      </c>
      <c r="K4234">
        <v>1.1098170000000001</v>
      </c>
      <c r="L4234">
        <v>217.03219999999999</v>
      </c>
      <c r="M4234">
        <v>0.9893537</v>
      </c>
      <c r="N4234">
        <v>0</v>
      </c>
      <c r="O4234">
        <v>-0.14515069999999999</v>
      </c>
      <c r="P4234">
        <v>0.98873509999999998</v>
      </c>
      <c r="Q4234">
        <v>-1.1716600000000001E-2</v>
      </c>
      <c r="R4234">
        <v>-0.14921779999999901</v>
      </c>
      <c r="S4234">
        <v>2.9452820000000002</v>
      </c>
      <c r="T4234">
        <v>-2.45347E-2</v>
      </c>
      <c r="U4234">
        <v>-0.58752439999999995</v>
      </c>
      <c r="V4234">
        <v>4.1132419999999996E-3</v>
      </c>
      <c r="W4234">
        <v>-1.1963340000000001E-3</v>
      </c>
      <c r="X4234">
        <v>0.99999079999999996</v>
      </c>
      <c r="Y4234">
        <v>5.1202669999999999E-2</v>
      </c>
      <c r="Z4234">
        <v>9.7875330000000006E-4</v>
      </c>
      <c r="AA4234">
        <v>0.99868780000000001</v>
      </c>
      <c r="AB4234">
        <v>13</v>
      </c>
      <c r="AC4234">
        <v>87.477500000000006</v>
      </c>
      <c r="AD4234">
        <v>-0.72985719999999998</v>
      </c>
      <c r="AE4234">
        <v>-17.4561999999999</v>
      </c>
      <c r="AF4234">
        <v>4.57288230805207</v>
      </c>
      <c r="AG4234">
        <v>-0.72985719999999998</v>
      </c>
      <c r="AH4234">
        <v>89.078927901030994</v>
      </c>
      <c r="AI4234">
        <v>90.468818088377006</v>
      </c>
      <c r="AJ4234">
        <v>87.061290809230798</v>
      </c>
      <c r="AK4234">
        <v>89.199211544344806</v>
      </c>
      <c r="AL4234">
        <v>90.068544907149999</v>
      </c>
      <c r="AM4234">
        <v>89.764327754199599</v>
      </c>
      <c r="AN4234">
        <v>0.99999997502971405</v>
      </c>
    </row>
    <row r="4235" spans="1:40" x14ac:dyDescent="0.25">
      <c r="A4235" t="str">
        <f>"20190312154006399"</f>
        <v>20190312154006399</v>
      </c>
      <c r="B4235" t="str">
        <f>"1552376406390166"</f>
        <v>1552376406390166</v>
      </c>
      <c r="C4235" t="s">
        <v>40</v>
      </c>
      <c r="D4235">
        <v>4.0287759999999997</v>
      </c>
      <c r="E4235">
        <v>0.51765249999999996</v>
      </c>
      <c r="F4235" t="s">
        <v>77</v>
      </c>
      <c r="G4235">
        <v>-381.8947</v>
      </c>
      <c r="H4235">
        <v>0.27684629999999999</v>
      </c>
      <c r="I4235">
        <v>199.57599999999999</v>
      </c>
      <c r="J4235">
        <v>-468.92020000000002</v>
      </c>
      <c r="K4235">
        <v>1.1098250000000001</v>
      </c>
      <c r="L4235">
        <v>217.01230000000001</v>
      </c>
      <c r="M4235">
        <v>0.98924520000000005</v>
      </c>
      <c r="N4235">
        <v>0</v>
      </c>
      <c r="O4235">
        <v>-0.14589649999999901</v>
      </c>
      <c r="P4235">
        <v>0.98868579999999995</v>
      </c>
      <c r="Q4235">
        <v>-1.283157E-2</v>
      </c>
      <c r="R4235">
        <v>-0.14945159999999999</v>
      </c>
      <c r="S4235">
        <v>2.9448240000000001</v>
      </c>
      <c r="T4235">
        <v>-2.8144599999999902E-2</v>
      </c>
      <c r="U4235">
        <v>-0.58981319999999904</v>
      </c>
      <c r="V4235">
        <v>3.597706E-3</v>
      </c>
      <c r="W4235">
        <v>-2.431103E-3</v>
      </c>
      <c r="X4235">
        <v>0.99999059999999995</v>
      </c>
      <c r="Y4235">
        <v>5.1227160000000001E-2</v>
      </c>
      <c r="Z4235">
        <v>1.1296559999999999E-3</v>
      </c>
      <c r="AA4235">
        <v>0.99868639999999997</v>
      </c>
      <c r="AB4235">
        <v>13</v>
      </c>
      <c r="AC4235">
        <v>87.025499999999994</v>
      </c>
      <c r="AD4235">
        <v>-0.83297869999999996</v>
      </c>
      <c r="AE4235">
        <v>-17.436299999999999</v>
      </c>
      <c r="AF4235">
        <v>4.5519054468672104</v>
      </c>
      <c r="AG4235">
        <v>-0.83297869999999996</v>
      </c>
      <c r="AH4235">
        <v>88.630439697868795</v>
      </c>
      <c r="AI4235">
        <v>90.537760455607696</v>
      </c>
      <c r="AJ4235">
        <v>87.059971404469493</v>
      </c>
      <c r="AK4235">
        <v>88.751160768462199</v>
      </c>
      <c r="AL4235">
        <v>90.139292074920903</v>
      </c>
      <c r="AM4235">
        <v>89.793865581979006</v>
      </c>
      <c r="AN4235">
        <v>1.0000000269192999</v>
      </c>
    </row>
    <row r="4236" spans="1:40" x14ac:dyDescent="0.25">
      <c r="A4236" t="str">
        <f>"20190312154006422"</f>
        <v>20190312154006422</v>
      </c>
      <c r="B4236" t="str">
        <f>"1552376406409685"</f>
        <v>1552376406409685</v>
      </c>
      <c r="C4236" t="s">
        <v>40</v>
      </c>
      <c r="D4236">
        <v>4.0136539999999998</v>
      </c>
      <c r="E4236">
        <v>0.51751749999999996</v>
      </c>
      <c r="F4236" t="s">
        <v>77</v>
      </c>
      <c r="G4236">
        <v>-381.55959999999999</v>
      </c>
      <c r="H4236">
        <v>0.10645739999999899</v>
      </c>
      <c r="I4236">
        <v>199.57599999999999</v>
      </c>
      <c r="J4236">
        <v>-468.78500000000003</v>
      </c>
      <c r="K4236">
        <v>1.109802</v>
      </c>
      <c r="L4236">
        <v>216.9915</v>
      </c>
      <c r="M4236">
        <v>0.98914679999999999</v>
      </c>
      <c r="N4236">
        <v>0</v>
      </c>
      <c r="O4236">
        <v>-0.14657819999999999</v>
      </c>
      <c r="P4236">
        <v>0.98870930000000001</v>
      </c>
      <c r="Q4236">
        <v>-1.24805E-2</v>
      </c>
      <c r="R4236">
        <v>-0.14932799999999999</v>
      </c>
      <c r="S4236">
        <v>2.9450379999999998</v>
      </c>
      <c r="T4236">
        <v>-3.3824800000000002E-2</v>
      </c>
      <c r="U4236">
        <v>-0.58779910000000002</v>
      </c>
      <c r="V4236">
        <v>2.783345E-3</v>
      </c>
      <c r="W4236">
        <v>-2.304628E-3</v>
      </c>
      <c r="X4236">
        <v>0.99999340000000003</v>
      </c>
      <c r="Y4236">
        <v>4.9870409999999997E-2</v>
      </c>
      <c r="Z4236">
        <v>1.372992E-3</v>
      </c>
      <c r="AA4236">
        <v>0.9987547</v>
      </c>
      <c r="AB4236">
        <v>13</v>
      </c>
      <c r="AC4236">
        <v>87.225399999999993</v>
      </c>
      <c r="AD4236">
        <v>-1.0033445999999999</v>
      </c>
      <c r="AE4236">
        <v>-17.415500000000002</v>
      </c>
      <c r="AF4236">
        <v>4.44080861485953</v>
      </c>
      <c r="AG4236">
        <v>-1.0033445999999999</v>
      </c>
      <c r="AH4236">
        <v>88.824750197837702</v>
      </c>
      <c r="AI4236">
        <v>90.646365615048097</v>
      </c>
      <c r="AJ4236">
        <v>87.137870739760004</v>
      </c>
      <c r="AK4236">
        <v>88.941349940555995</v>
      </c>
      <c r="AL4236">
        <v>90.132045583988301</v>
      </c>
      <c r="AM4236">
        <v>89.840525437857806</v>
      </c>
      <c r="AN4236">
        <v>0.99999992918158098</v>
      </c>
    </row>
    <row r="4237" spans="1:40" x14ac:dyDescent="0.25">
      <c r="A4237" t="str">
        <f>"20190312154006444"</f>
        <v>20190312154006444</v>
      </c>
      <c r="B4237" t="str">
        <f>"1552376406439941"</f>
        <v>1552376406439941</v>
      </c>
      <c r="C4237" t="s">
        <v>40</v>
      </c>
      <c r="D4237">
        <v>4.0229540000000004</v>
      </c>
      <c r="E4237">
        <v>0.51730679999999996</v>
      </c>
      <c r="F4237" t="s">
        <v>43</v>
      </c>
      <c r="G4237">
        <v>-370.57369999999997</v>
      </c>
      <c r="H4237">
        <v>-0.05</v>
      </c>
      <c r="I4237">
        <v>197.44229999999999</v>
      </c>
      <c r="J4237">
        <v>-468.65449999999998</v>
      </c>
      <c r="K4237">
        <v>1.1097600000000001</v>
      </c>
      <c r="L4237">
        <v>216.97149999999999</v>
      </c>
      <c r="M4237">
        <v>0.98906280000000002</v>
      </c>
      <c r="N4237">
        <v>0</v>
      </c>
      <c r="O4237">
        <v>-0.14716309999999999</v>
      </c>
      <c r="P4237">
        <v>0.98875159999999995</v>
      </c>
      <c r="Q4237">
        <v>-1.125571E-2</v>
      </c>
      <c r="R4237">
        <v>-0.14914479999999999</v>
      </c>
      <c r="S4237">
        <v>2.9453130000000001</v>
      </c>
      <c r="T4237">
        <v>-3.4781930000000003E-2</v>
      </c>
      <c r="U4237">
        <v>-0.58627320000000005</v>
      </c>
      <c r="V4237">
        <v>2.005462E-3</v>
      </c>
      <c r="W4237">
        <v>-1.3609879999999901E-3</v>
      </c>
      <c r="X4237">
        <v>0.99999709999999997</v>
      </c>
      <c r="Y4237">
        <v>4.8765179999999998E-2</v>
      </c>
      <c r="Z4237">
        <v>1.4249899999999999E-3</v>
      </c>
      <c r="AA4237">
        <v>0.99880930000000001</v>
      </c>
      <c r="AB4237">
        <v>13</v>
      </c>
      <c r="AC4237">
        <v>98.080799999999996</v>
      </c>
      <c r="AD4237">
        <v>-1.1597599999999999</v>
      </c>
      <c r="AE4237">
        <v>-19.529199999999999</v>
      </c>
      <c r="AF4237">
        <v>4.8813129118173402</v>
      </c>
      <c r="AG4237">
        <v>-1.1597599999999999</v>
      </c>
      <c r="AH4237">
        <v>99.873501098138703</v>
      </c>
      <c r="AI4237">
        <v>90.664512135067895</v>
      </c>
      <c r="AJ4237">
        <v>87.201897913511999</v>
      </c>
      <c r="AK4237">
        <v>99.999442401448405</v>
      </c>
      <c r="AL4237">
        <v>90.077978889549101</v>
      </c>
      <c r="AM4237">
        <v>89.885095312247003</v>
      </c>
      <c r="AN4237">
        <v>1.0000000370872799</v>
      </c>
    </row>
    <row r="4238" spans="1:40" x14ac:dyDescent="0.25">
      <c r="A4238" t="str">
        <f>"20190312154006468"</f>
        <v>20190312154006468</v>
      </c>
      <c r="B4238" t="str">
        <f>"1552376406460438"</f>
        <v>1552376406460438</v>
      </c>
      <c r="C4238" t="s">
        <v>40</v>
      </c>
      <c r="D4238">
        <v>4.0085129999999998</v>
      </c>
      <c r="E4238">
        <v>0.51713509999999996</v>
      </c>
      <c r="F4238" t="s">
        <v>43</v>
      </c>
      <c r="G4238">
        <v>-371.30009999999999</v>
      </c>
      <c r="H4238">
        <v>-0.05</v>
      </c>
      <c r="I4238">
        <v>197.66919999999999</v>
      </c>
      <c r="J4238">
        <v>-468.51839999999999</v>
      </c>
      <c r="K4238">
        <v>1.1097030000000001</v>
      </c>
      <c r="L4238">
        <v>216.95070000000001</v>
      </c>
      <c r="M4238">
        <v>0.98898549999999996</v>
      </c>
      <c r="N4238">
        <v>0</v>
      </c>
      <c r="O4238">
        <v>-0.14770529999999901</v>
      </c>
      <c r="P4238">
        <v>0.9888188</v>
      </c>
      <c r="Q4238">
        <v>-1.009816E-2</v>
      </c>
      <c r="R4238">
        <v>-0.14877989999999999</v>
      </c>
      <c r="S4238">
        <v>2.9456479999999998</v>
      </c>
      <c r="T4238">
        <v>-3.5090799999999998E-2</v>
      </c>
      <c r="U4238">
        <v>-0.58403019999999894</v>
      </c>
      <c r="V4238">
        <v>1.087307E-3</v>
      </c>
      <c r="W4238">
        <v>-5.6025529999999995E-4</v>
      </c>
      <c r="X4238">
        <v>0.99999919999999998</v>
      </c>
      <c r="Y4238">
        <v>4.746479E-2</v>
      </c>
      <c r="Z4238">
        <v>1.451576E-3</v>
      </c>
      <c r="AA4238">
        <v>0.99887190000000003</v>
      </c>
      <c r="AB4238">
        <v>13</v>
      </c>
      <c r="AC4238">
        <v>97.218299999999999</v>
      </c>
      <c r="AD4238">
        <v>-1.1597029999999999</v>
      </c>
      <c r="AE4238">
        <v>-19.281500000000001</v>
      </c>
      <c r="AF4238">
        <v>4.7090349110838901</v>
      </c>
      <c r="AG4238">
        <v>-1.1597029999999999</v>
      </c>
      <c r="AH4238">
        <v>98.986412287508401</v>
      </c>
      <c r="AI4238">
        <v>90.670475826386806</v>
      </c>
      <c r="AJ4238">
        <v>87.276347758390997</v>
      </c>
      <c r="AK4238">
        <v>99.105144863395495</v>
      </c>
      <c r="AL4238">
        <v>90.0321002674863</v>
      </c>
      <c r="AM4238">
        <v>89.937701872576795</v>
      </c>
      <c r="AN4238">
        <v>0.99999994806157499</v>
      </c>
    </row>
    <row r="4239" spans="1:40" x14ac:dyDescent="0.25">
      <c r="A4239" t="str">
        <f>"20190312154006489"</f>
        <v>20190312154006489</v>
      </c>
      <c r="B4239" t="str">
        <f>"1552376406479958"</f>
        <v>1552376406479958</v>
      </c>
      <c r="C4239" t="s">
        <v>40</v>
      </c>
      <c r="D4239">
        <v>3.9540999999999999</v>
      </c>
      <c r="E4239">
        <v>0.51705279999999998</v>
      </c>
      <c r="F4239" t="s">
        <v>77</v>
      </c>
      <c r="G4239">
        <v>-380.47590000000002</v>
      </c>
      <c r="H4239">
        <v>0.10423929999999999</v>
      </c>
      <c r="I4239">
        <v>199.57599999999999</v>
      </c>
      <c r="J4239">
        <v>-468.38760000000002</v>
      </c>
      <c r="K4239">
        <v>1.109642</v>
      </c>
      <c r="L4239">
        <v>216.9306</v>
      </c>
      <c r="M4239">
        <v>0.98892060000000004</v>
      </c>
      <c r="N4239">
        <v>0</v>
      </c>
      <c r="O4239">
        <v>-0.14816560000000001</v>
      </c>
      <c r="P4239">
        <v>0.98893439999999999</v>
      </c>
      <c r="Q4239">
        <v>-9.6169020000000001E-3</v>
      </c>
      <c r="R4239">
        <v>-0.14804200000000001</v>
      </c>
      <c r="S4239">
        <v>2.946075</v>
      </c>
      <c r="T4239">
        <v>-3.3644800000000002E-2</v>
      </c>
      <c r="U4239">
        <v>-0.58139039999999997</v>
      </c>
      <c r="V4239">
        <v>-1.2475649999999999E-4</v>
      </c>
      <c r="W4239">
        <v>-4.9627720000000001E-4</v>
      </c>
      <c r="X4239">
        <v>0.99999990000000005</v>
      </c>
      <c r="Y4239">
        <v>4.6111060000000002E-2</v>
      </c>
      <c r="Z4239">
        <v>1.404488E-3</v>
      </c>
      <c r="AA4239">
        <v>0.99893529999999997</v>
      </c>
      <c r="AB4239">
        <v>13</v>
      </c>
      <c r="AC4239">
        <v>87.911699999999996</v>
      </c>
      <c r="AD4239">
        <v>-1.0054027000000001</v>
      </c>
      <c r="AE4239">
        <v>-17.354600000000001</v>
      </c>
      <c r="AF4239">
        <v>4.1364826277592801</v>
      </c>
      <c r="AG4239">
        <v>-1.0054027000000001</v>
      </c>
      <c r="AH4239">
        <v>89.501493630178899</v>
      </c>
      <c r="AI4239">
        <v>90.642910970267394</v>
      </c>
      <c r="AJ4239">
        <v>87.353849007818496</v>
      </c>
      <c r="AK4239">
        <v>89.602671194289002</v>
      </c>
      <c r="AL4239">
        <v>90.028434589316305</v>
      </c>
      <c r="AM4239">
        <v>90.007148021594503</v>
      </c>
      <c r="AN4239">
        <v>1.00000003092762</v>
      </c>
    </row>
    <row r="4240" spans="1:40" x14ac:dyDescent="0.25">
      <c r="A4240" t="str">
        <f>"20190312154006512"</f>
        <v>20190312154006512</v>
      </c>
      <c r="B4240" t="str">
        <f>"1552376406500453"</f>
        <v>1552376406500453</v>
      </c>
      <c r="C4240" t="s">
        <v>40</v>
      </c>
      <c r="D4240">
        <v>3.981732</v>
      </c>
      <c r="E4240">
        <v>0.51704240000000001</v>
      </c>
      <c r="F4240" t="s">
        <v>77</v>
      </c>
      <c r="G4240">
        <v>-379.97239999999999</v>
      </c>
      <c r="H4240">
        <v>8.713274E-2</v>
      </c>
      <c r="I4240">
        <v>199.57599999999999</v>
      </c>
      <c r="J4240">
        <v>-468.25170000000003</v>
      </c>
      <c r="K4240">
        <v>1.109558</v>
      </c>
      <c r="L4240">
        <v>216.90969999999999</v>
      </c>
      <c r="M4240">
        <v>0.98886309999999999</v>
      </c>
      <c r="N4240">
        <v>0</v>
      </c>
      <c r="O4240">
        <v>-0.148580399999999</v>
      </c>
      <c r="P4240">
        <v>0.98897919999999995</v>
      </c>
      <c r="Q4240">
        <v>-9.2820860000000002E-3</v>
      </c>
      <c r="R4240">
        <v>-0.14776510000000001</v>
      </c>
      <c r="S4240">
        <v>2.9466549999999998</v>
      </c>
      <c r="T4240">
        <v>-3.4077639999999999E-2</v>
      </c>
      <c r="U4240">
        <v>-0.57838440000000002</v>
      </c>
      <c r="V4240">
        <v>-8.2332270000000005E-4</v>
      </c>
      <c r="W4240">
        <v>-6.8051139999999999E-4</v>
      </c>
      <c r="X4240">
        <v>0.99999939999999998</v>
      </c>
      <c r="Y4240">
        <v>4.4674539999999999E-2</v>
      </c>
      <c r="Z4240">
        <v>1.43535E-3</v>
      </c>
      <c r="AA4240">
        <v>0.99900049999999996</v>
      </c>
      <c r="AB4240">
        <v>14</v>
      </c>
      <c r="AC4240">
        <v>88.279300000000006</v>
      </c>
      <c r="AD4240">
        <v>-1.0224252599999999</v>
      </c>
      <c r="AE4240">
        <v>-17.333699999999901</v>
      </c>
      <c r="AF4240">
        <v>4.0237110852902704</v>
      </c>
      <c r="AG4240">
        <v>-1.0224252599999999</v>
      </c>
      <c r="AH4240">
        <v>89.863292903334795</v>
      </c>
      <c r="AI4240">
        <v>90.651205791708605</v>
      </c>
      <c r="AJ4240">
        <v>87.436241527033999</v>
      </c>
      <c r="AK4240">
        <v>89.959140812597397</v>
      </c>
      <c r="AL4240">
        <v>90.038990435290998</v>
      </c>
      <c r="AM4240">
        <v>90.047172933532195</v>
      </c>
      <c r="AN4240">
        <v>0.999999970478196</v>
      </c>
    </row>
    <row r="4241" spans="1:40" x14ac:dyDescent="0.25">
      <c r="A4241" t="str">
        <f>"20190312154006533"</f>
        <v>20190312154006533</v>
      </c>
      <c r="B4241" t="str">
        <f>"1552376406519977"</f>
        <v>1552376406519977</v>
      </c>
      <c r="C4241" t="s">
        <v>40</v>
      </c>
      <c r="D4241">
        <v>3.9734970000000001</v>
      </c>
      <c r="E4241">
        <v>0.51697059999999995</v>
      </c>
      <c r="F4241" t="s">
        <v>77</v>
      </c>
      <c r="G4241">
        <v>-379.80610000000001</v>
      </c>
      <c r="H4241">
        <v>9.1645190000000001E-2</v>
      </c>
      <c r="I4241">
        <v>199.57599999999999</v>
      </c>
      <c r="J4241">
        <v>-468.12090000000001</v>
      </c>
      <c r="K4241">
        <v>1.1094710000000001</v>
      </c>
      <c r="L4241">
        <v>216.8897</v>
      </c>
      <c r="M4241">
        <v>0.98881669999999999</v>
      </c>
      <c r="N4241">
        <v>0</v>
      </c>
      <c r="O4241">
        <v>-0.1489202</v>
      </c>
      <c r="P4241">
        <v>0.9890255</v>
      </c>
      <c r="Q4241">
        <v>-8.1263340000000007E-3</v>
      </c>
      <c r="R4241">
        <v>-0.14752219999999999</v>
      </c>
      <c r="S4241">
        <v>2.946777</v>
      </c>
      <c r="T4241">
        <v>-3.391421E-2</v>
      </c>
      <c r="U4241">
        <v>-0.57751459999999999</v>
      </c>
      <c r="V4241">
        <v>-1.4136470000000001E-3</v>
      </c>
      <c r="W4241" s="1">
        <v>-9.8665289999999998E-5</v>
      </c>
      <c r="X4241">
        <v>0.99999899999999997</v>
      </c>
      <c r="Y4241">
        <v>4.4040169999999997E-2</v>
      </c>
      <c r="Z4241">
        <v>1.4358800000000001E-3</v>
      </c>
      <c r="AA4241">
        <v>0.99902869999999999</v>
      </c>
      <c r="AB4241">
        <v>14</v>
      </c>
      <c r="AC4241">
        <v>88.314799999999906</v>
      </c>
      <c r="AD4241">
        <v>-1.0178258099999999</v>
      </c>
      <c r="AE4241">
        <v>-17.313700000000001</v>
      </c>
      <c r="AF4241">
        <v>3.9678380974854299</v>
      </c>
      <c r="AG4241">
        <v>-1.0178258099999999</v>
      </c>
      <c r="AH4241">
        <v>89.896901093779604</v>
      </c>
      <c r="AI4241">
        <v>90.648052559725002</v>
      </c>
      <c r="AJ4241">
        <v>87.4727391420045</v>
      </c>
      <c r="AK4241">
        <v>89.990180213244102</v>
      </c>
      <c r="AL4241">
        <v>90.005653104687596</v>
      </c>
      <c r="AM4241">
        <v>90.080996033863201</v>
      </c>
      <c r="AN4241">
        <v>1.00000000406684</v>
      </c>
    </row>
    <row r="4242" spans="1:40" x14ac:dyDescent="0.25">
      <c r="A4242" t="str">
        <f>"20190312154006555"</f>
        <v>20190312154006555</v>
      </c>
      <c r="B4242" t="str">
        <f>"1552376406550229"</f>
        <v>1552376406550229</v>
      </c>
      <c r="C4242" t="s">
        <v>40</v>
      </c>
      <c r="D4242">
        <v>4.0050049999999997</v>
      </c>
      <c r="E4242">
        <v>0.51689220000000002</v>
      </c>
      <c r="F4242" t="s">
        <v>77</v>
      </c>
      <c r="G4242">
        <v>-379.59249999999997</v>
      </c>
      <c r="H4242">
        <v>0.17460039999999999</v>
      </c>
      <c r="I4242">
        <v>199.57599999999999</v>
      </c>
      <c r="J4242">
        <v>-467.98099999999999</v>
      </c>
      <c r="K4242">
        <v>1.109389</v>
      </c>
      <c r="L4242">
        <v>216.8682</v>
      </c>
      <c r="M4242">
        <v>0.98877610000000005</v>
      </c>
      <c r="N4242">
        <v>0</v>
      </c>
      <c r="O4242">
        <v>-0.1492231</v>
      </c>
      <c r="P4242">
        <v>0.98894510000000002</v>
      </c>
      <c r="Q4242">
        <v>-6.4032069999999898E-3</v>
      </c>
      <c r="R4242">
        <v>-0.14814359999999999</v>
      </c>
      <c r="S4242">
        <v>2.9470209999999999</v>
      </c>
      <c r="T4242">
        <v>-3.11209E-2</v>
      </c>
      <c r="U4242">
        <v>-0.57635499999999995</v>
      </c>
      <c r="V4242">
        <v>-1.092258E-3</v>
      </c>
      <c r="W4242">
        <v>9.5349930000000001E-4</v>
      </c>
      <c r="X4242">
        <v>0.99999890000000002</v>
      </c>
      <c r="Y4242">
        <v>4.3339679999999998E-2</v>
      </c>
      <c r="Z4242">
        <v>1.32435E-3</v>
      </c>
      <c r="AA4242">
        <v>0.99905949999999999</v>
      </c>
      <c r="AB4242">
        <v>14</v>
      </c>
      <c r="AC4242">
        <v>88.388499999999993</v>
      </c>
      <c r="AD4242">
        <v>-0.93478859999999997</v>
      </c>
      <c r="AE4242">
        <v>-17.292200000000001</v>
      </c>
      <c r="AF4242">
        <v>3.9081931872845601</v>
      </c>
      <c r="AG4242">
        <v>-0.93478859999999997</v>
      </c>
      <c r="AH4242">
        <v>89.969582426568707</v>
      </c>
      <c r="AI4242">
        <v>90.594723880173902</v>
      </c>
      <c r="AJ4242">
        <v>87.512689461664294</v>
      </c>
      <c r="AK4242">
        <v>90.059278065766094</v>
      </c>
      <c r="AL4242">
        <v>89.945368503391407</v>
      </c>
      <c r="AM4242">
        <v>90.062581817492102</v>
      </c>
      <c r="AN4242">
        <v>0.99999995109482998</v>
      </c>
    </row>
    <row r="4243" spans="1:40" x14ac:dyDescent="0.25">
      <c r="A4243" t="str">
        <f>"20190312154006578"</f>
        <v>20190312154006578</v>
      </c>
      <c r="B4243" t="str">
        <f>"1552376406569751"</f>
        <v>1552376406569751</v>
      </c>
      <c r="C4243" t="s">
        <v>40</v>
      </c>
      <c r="D4243">
        <v>4.0216099999999999</v>
      </c>
      <c r="E4243">
        <v>0.51672429999999903</v>
      </c>
      <c r="F4243" t="s">
        <v>77</v>
      </c>
      <c r="G4243">
        <v>-379.77190000000002</v>
      </c>
      <c r="H4243">
        <v>0.30860179999999998</v>
      </c>
      <c r="I4243">
        <v>199.57599999999999</v>
      </c>
      <c r="J4243">
        <v>-467.83589999999998</v>
      </c>
      <c r="K4243">
        <v>1.1092979999999999</v>
      </c>
      <c r="L4243">
        <v>216.84610000000001</v>
      </c>
      <c r="M4243">
        <v>0.98874379999999995</v>
      </c>
      <c r="N4243">
        <v>0</v>
      </c>
      <c r="O4243">
        <v>-0.1494721</v>
      </c>
      <c r="P4243">
        <v>0.98884190000000005</v>
      </c>
      <c r="Q4243">
        <v>-4.5395280000000001E-3</v>
      </c>
      <c r="R4243">
        <v>-0.148900799999999</v>
      </c>
      <c r="S4243">
        <v>2.9468079999999999</v>
      </c>
      <c r="T4243">
        <v>-2.6752000000000001E-2</v>
      </c>
      <c r="U4243">
        <v>-0.57768249999999999</v>
      </c>
      <c r="V4243">
        <v>-5.7965790000000001E-4</v>
      </c>
      <c r="W4243">
        <v>2.0855090000000001E-3</v>
      </c>
      <c r="X4243">
        <v>0.99999769999999999</v>
      </c>
      <c r="Y4243">
        <v>4.353448E-2</v>
      </c>
      <c r="Z4243">
        <v>1.139782E-3</v>
      </c>
      <c r="AA4243">
        <v>0.99905129999999998</v>
      </c>
      <c r="AB4243">
        <v>14</v>
      </c>
      <c r="AC4243">
        <v>88.063999999999893</v>
      </c>
      <c r="AD4243">
        <v>-0.80069619999999997</v>
      </c>
      <c r="AE4243">
        <v>-17.270099999999999</v>
      </c>
      <c r="AF4243">
        <v>3.91236750300369</v>
      </c>
      <c r="AG4243">
        <v>-0.80069619999999997</v>
      </c>
      <c r="AH4243">
        <v>89.648958470340105</v>
      </c>
      <c r="AI4243">
        <v>90.511234854092194</v>
      </c>
      <c r="AJ4243">
        <v>87.501142189667803</v>
      </c>
      <c r="AK4243">
        <v>89.737859840203598</v>
      </c>
      <c r="AL4243">
        <v>89.880509054645003</v>
      </c>
      <c r="AM4243">
        <v>90.033212023899196</v>
      </c>
      <c r="AN4243">
        <v>1.0000000426781701</v>
      </c>
    </row>
    <row r="4244" spans="1:40" x14ac:dyDescent="0.25">
      <c r="A4244" t="str">
        <f>"20190312154006600"</f>
        <v>20190312154006600</v>
      </c>
      <c r="B4244" t="str">
        <f>"1552376406590245"</f>
        <v>1552376406590245</v>
      </c>
      <c r="C4244" t="s">
        <v>40</v>
      </c>
      <c r="D4244">
        <v>3.9931049999999999</v>
      </c>
      <c r="E4244">
        <v>0.51664189999999999</v>
      </c>
      <c r="F4244" t="s">
        <v>77</v>
      </c>
      <c r="G4244">
        <v>-379.87090000000001</v>
      </c>
      <c r="H4244">
        <v>0.37057319999999999</v>
      </c>
      <c r="I4244">
        <v>199.57599999999999</v>
      </c>
      <c r="J4244">
        <v>-467.69060000000002</v>
      </c>
      <c r="K4244">
        <v>1.1092139999999999</v>
      </c>
      <c r="L4244">
        <v>216.82390000000001</v>
      </c>
      <c r="M4244">
        <v>0.98872099999999996</v>
      </c>
      <c r="N4244">
        <v>0</v>
      </c>
      <c r="O4244">
        <v>-0.1496545</v>
      </c>
      <c r="P4244">
        <v>0.98883989999999999</v>
      </c>
      <c r="Q4244">
        <v>-3.4596700000000002E-3</v>
      </c>
      <c r="R4244">
        <v>-0.14894250000000001</v>
      </c>
      <c r="S4244">
        <v>2.946625</v>
      </c>
      <c r="T4244">
        <v>-2.474558E-2</v>
      </c>
      <c r="U4244">
        <v>-0.57850649999999904</v>
      </c>
      <c r="V4244">
        <v>-7.2175440000000004E-4</v>
      </c>
      <c r="W4244">
        <v>2.4145260000000002E-3</v>
      </c>
      <c r="X4244">
        <v>0.99999680000000002</v>
      </c>
      <c r="Y4244">
        <v>4.3631070000000001E-2</v>
      </c>
      <c r="Z4244">
        <v>1.055416E-3</v>
      </c>
      <c r="AA4244">
        <v>0.99904720000000002</v>
      </c>
      <c r="AB4244">
        <v>14</v>
      </c>
      <c r="AC4244">
        <v>87.819699999999997</v>
      </c>
      <c r="AD4244">
        <v>-0.73864079999999999</v>
      </c>
      <c r="AE4244">
        <v>-17.247900000000001</v>
      </c>
      <c r="AF4244">
        <v>3.91054837355323</v>
      </c>
      <c r="AG4244">
        <v>-0.73864079999999999</v>
      </c>
      <c r="AH4244">
        <v>89.4058516257994</v>
      </c>
      <c r="AI4244">
        <v>90.472895396363299</v>
      </c>
      <c r="AJ4244">
        <v>87.495519661488501</v>
      </c>
      <c r="AK4244">
        <v>89.494381297083507</v>
      </c>
      <c r="AL4244">
        <v>89.861657712856001</v>
      </c>
      <c r="AM4244">
        <v>90.041353606115706</v>
      </c>
      <c r="AN4244">
        <v>0.99999997543772901</v>
      </c>
    </row>
    <row r="4245" spans="1:40" x14ac:dyDescent="0.25">
      <c r="A4245" t="str">
        <f>"20190312154006623"</f>
        <v>20190312154006623</v>
      </c>
      <c r="B4245" t="str">
        <f>"1552376406609769"</f>
        <v>1552376406609769</v>
      </c>
      <c r="C4245" t="s">
        <v>40</v>
      </c>
      <c r="D4245">
        <v>4.0086380000000004</v>
      </c>
      <c r="E4245">
        <v>0.51663829999999999</v>
      </c>
      <c r="F4245" t="s">
        <v>77</v>
      </c>
      <c r="G4245">
        <v>-379.73989999999998</v>
      </c>
      <c r="H4245">
        <v>0.42598409999999898</v>
      </c>
      <c r="I4245">
        <v>199.57599999999999</v>
      </c>
      <c r="J4245">
        <v>-467.54430000000002</v>
      </c>
      <c r="K4245">
        <v>1.1091340000000001</v>
      </c>
      <c r="L4245">
        <v>216.80160000000001</v>
      </c>
      <c r="M4245">
        <v>0.98870519999999995</v>
      </c>
      <c r="N4245">
        <v>0</v>
      </c>
      <c r="O4245">
        <v>-0.14978659999999999</v>
      </c>
      <c r="P4245">
        <v>0.98879689999999998</v>
      </c>
      <c r="Q4245">
        <v>-2.8433270000000001E-3</v>
      </c>
      <c r="R4245">
        <v>-0.1492415</v>
      </c>
      <c r="S4245">
        <v>2.9467469999999998</v>
      </c>
      <c r="T4245">
        <v>-2.289128E-2</v>
      </c>
      <c r="U4245">
        <v>-0.57788090000000003</v>
      </c>
      <c r="V4245">
        <v>-5.5295479999999998E-4</v>
      </c>
      <c r="W4245">
        <v>2.278151E-3</v>
      </c>
      <c r="X4245">
        <v>0.99999729999999998</v>
      </c>
      <c r="Y4245">
        <v>4.328572E-2</v>
      </c>
      <c r="Z4245">
        <v>9.7864029999999991E-4</v>
      </c>
      <c r="AA4245">
        <v>0.99906220000000001</v>
      </c>
      <c r="AB4245">
        <v>15</v>
      </c>
      <c r="AC4245">
        <v>87.804400000000001</v>
      </c>
      <c r="AD4245">
        <v>-0.68314989999999998</v>
      </c>
      <c r="AE4245">
        <v>-17.2256</v>
      </c>
      <c r="AF4245">
        <v>3.8789420796304501</v>
      </c>
      <c r="AG4245">
        <v>-0.68314989999999998</v>
      </c>
      <c r="AH4245">
        <v>89.388782613347701</v>
      </c>
      <c r="AI4245">
        <v>90.437460319974704</v>
      </c>
      <c r="AJ4245">
        <v>87.515262421968202</v>
      </c>
      <c r="AK4245">
        <v>89.475512530185199</v>
      </c>
      <c r="AL4245">
        <v>89.869471455948002</v>
      </c>
      <c r="AM4245">
        <v>90.031682058613995</v>
      </c>
      <c r="AN4245">
        <v>1.00000004786913</v>
      </c>
    </row>
    <row r="4246" spans="1:40" x14ac:dyDescent="0.25">
      <c r="A4246" t="str">
        <f>"20190312154006645"</f>
        <v>20190312154006645</v>
      </c>
      <c r="B4246" t="str">
        <f>"1552376406640022"</f>
        <v>1552376406640022</v>
      </c>
      <c r="C4246" t="s">
        <v>40</v>
      </c>
      <c r="D4246">
        <v>4.0214270000000001</v>
      </c>
      <c r="E4246">
        <v>0.51661610000000002</v>
      </c>
      <c r="F4246" t="s">
        <v>77</v>
      </c>
      <c r="G4246">
        <v>-379.85410000000002</v>
      </c>
      <c r="H4246">
        <v>0.4729121</v>
      </c>
      <c r="I4246">
        <v>199.57599999999999</v>
      </c>
      <c r="J4246">
        <v>-467.39370000000002</v>
      </c>
      <c r="K4246">
        <v>1.1090530000000001</v>
      </c>
      <c r="L4246">
        <v>216.77869999999999</v>
      </c>
      <c r="M4246">
        <v>0.98869580000000001</v>
      </c>
      <c r="N4246">
        <v>0</v>
      </c>
      <c r="O4246">
        <v>-0.14987310000000001</v>
      </c>
      <c r="P4246">
        <v>0.9888245</v>
      </c>
      <c r="Q4246">
        <v>-2.4227900000000002E-3</v>
      </c>
      <c r="R4246">
        <v>-0.1490658</v>
      </c>
      <c r="S4246">
        <v>2.946564</v>
      </c>
      <c r="T4246">
        <v>-2.137828E-2</v>
      </c>
      <c r="U4246">
        <v>-0.57881159999999998</v>
      </c>
      <c r="V4246">
        <v>-8.1759919999999998E-4</v>
      </c>
      <c r="W4246">
        <v>1.940551E-3</v>
      </c>
      <c r="X4246">
        <v>0.99999780000000005</v>
      </c>
      <c r="Y4246">
        <v>4.351402E-2</v>
      </c>
      <c r="Z4246">
        <v>9.1376819999999998E-4</v>
      </c>
      <c r="AA4246">
        <v>0.99905239999999995</v>
      </c>
      <c r="AB4246">
        <v>15</v>
      </c>
      <c r="AC4246">
        <v>87.539599999999993</v>
      </c>
      <c r="AD4246">
        <v>-0.63614090000000001</v>
      </c>
      <c r="AE4246">
        <v>-17.202699999999901</v>
      </c>
      <c r="AF4246">
        <v>3.8882446157533401</v>
      </c>
      <c r="AG4246">
        <v>-0.63614090000000001</v>
      </c>
      <c r="AH4246">
        <v>89.124557336857507</v>
      </c>
      <c r="AI4246">
        <v>90.408562306019505</v>
      </c>
      <c r="AJ4246">
        <v>87.501936241745099</v>
      </c>
      <c r="AK4246">
        <v>89.211601498501295</v>
      </c>
      <c r="AL4246">
        <v>89.888814549889403</v>
      </c>
      <c r="AM4246">
        <v>90.046845076114195</v>
      </c>
      <c r="AN4246">
        <v>1.0000000171057299</v>
      </c>
    </row>
    <row r="4247" spans="1:40" x14ac:dyDescent="0.25">
      <c r="A4247" t="str">
        <f>"20190312154006669"</f>
        <v>20190312154006669</v>
      </c>
      <c r="B4247" t="str">
        <f>"1552376406660518"</f>
        <v>1552376406660518</v>
      </c>
      <c r="C4247" t="s">
        <v>40</v>
      </c>
      <c r="D4247">
        <v>4.0057679999999998</v>
      </c>
      <c r="E4247">
        <v>0.51655099999999998</v>
      </c>
      <c r="F4247" t="s">
        <v>77</v>
      </c>
      <c r="G4247">
        <v>-379.67340000000002</v>
      </c>
      <c r="H4247">
        <v>0.48703920000000001</v>
      </c>
      <c r="I4247">
        <v>199.57599999999999</v>
      </c>
      <c r="J4247">
        <v>-467.238</v>
      </c>
      <c r="K4247">
        <v>1.1089739999999999</v>
      </c>
      <c r="L4247">
        <v>216.755</v>
      </c>
      <c r="M4247">
        <v>0.98869200000000002</v>
      </c>
      <c r="N4247">
        <v>0</v>
      </c>
      <c r="O4247">
        <v>-0.149918</v>
      </c>
      <c r="P4247">
        <v>0.98883500000000002</v>
      </c>
      <c r="Q4247">
        <v>-2.112526E-3</v>
      </c>
      <c r="R4247">
        <v>-0.1490011</v>
      </c>
      <c r="S4247">
        <v>2.9467469999999998</v>
      </c>
      <c r="T4247">
        <v>-2.0895E-2</v>
      </c>
      <c r="U4247">
        <v>-0.57788090000000003</v>
      </c>
      <c r="V4247">
        <v>-9.2822599999999999E-4</v>
      </c>
      <c r="W4247">
        <v>1.4918479999999901E-3</v>
      </c>
      <c r="X4247">
        <v>0.99999850000000001</v>
      </c>
      <c r="Y4247">
        <v>4.3153419999999998E-2</v>
      </c>
      <c r="Z4247">
        <v>8.9466429999999998E-4</v>
      </c>
      <c r="AA4247">
        <v>0.99906810000000001</v>
      </c>
      <c r="AB4247">
        <v>15</v>
      </c>
      <c r="AC4247">
        <v>87.564599999999999</v>
      </c>
      <c r="AD4247">
        <v>-0.62193479999999901</v>
      </c>
      <c r="AE4247">
        <v>-17.178999999999998</v>
      </c>
      <c r="AF4247">
        <v>3.8570673373463502</v>
      </c>
      <c r="AG4247">
        <v>-0.62193479999999901</v>
      </c>
      <c r="AH4247">
        <v>89.146097482109596</v>
      </c>
      <c r="AI4247">
        <v>90.3993484457948</v>
      </c>
      <c r="AJ4247">
        <v>87.522539523900505</v>
      </c>
      <c r="AK4247">
        <v>89.2316674036189</v>
      </c>
      <c r="AL4247">
        <v>89.914523377946097</v>
      </c>
      <c r="AM4247">
        <v>90.053183496735102</v>
      </c>
      <c r="AN4247">
        <v>1.0000000436081</v>
      </c>
    </row>
    <row r="4248" spans="1:40" x14ac:dyDescent="0.25">
      <c r="A4248" t="str">
        <f>"20190312154006690"</f>
        <v>20190312154006690</v>
      </c>
      <c r="B4248" t="str">
        <f>"1552376406680038"</f>
        <v>1552376406680038</v>
      </c>
      <c r="C4248" t="s">
        <v>40</v>
      </c>
      <c r="D4248">
        <v>4.0293229999999998</v>
      </c>
      <c r="E4248">
        <v>0.51652070000000005</v>
      </c>
      <c r="F4248" t="s">
        <v>77</v>
      </c>
      <c r="G4248">
        <v>-379.53989999999999</v>
      </c>
      <c r="H4248">
        <v>0.48975079999999999</v>
      </c>
      <c r="I4248">
        <v>199.57599999999999</v>
      </c>
      <c r="J4248">
        <v>-467.084</v>
      </c>
      <c r="K4248">
        <v>1.1089009999999999</v>
      </c>
      <c r="L4248">
        <v>216.73159999999999</v>
      </c>
      <c r="M4248">
        <v>0.98869249999999997</v>
      </c>
      <c r="N4248">
        <v>0</v>
      </c>
      <c r="O4248">
        <v>-0.14992929999999999</v>
      </c>
      <c r="P4248">
        <v>0.98880619999999997</v>
      </c>
      <c r="Q4248">
        <v>-1.5367919999999999E-3</v>
      </c>
      <c r="R4248">
        <v>-0.14919830000000001</v>
      </c>
      <c r="S4248">
        <v>2.946869</v>
      </c>
      <c r="T4248">
        <v>-2.0807389999999999E-2</v>
      </c>
      <c r="U4248">
        <v>-0.57725519999999997</v>
      </c>
      <c r="V4248">
        <v>-7.3987569999999999E-4</v>
      </c>
      <c r="W4248">
        <v>1.354519E-3</v>
      </c>
      <c r="X4248">
        <v>0.99999879999999997</v>
      </c>
      <c r="Y4248">
        <v>4.2930219999999998E-2</v>
      </c>
      <c r="Z4248">
        <v>8.9175509999999997E-4</v>
      </c>
      <c r="AA4248">
        <v>0.99907769999999996</v>
      </c>
      <c r="AB4248">
        <v>15</v>
      </c>
      <c r="AC4248">
        <v>87.5441</v>
      </c>
      <c r="AD4248">
        <v>-0.61915019999999998</v>
      </c>
      <c r="AE4248">
        <v>-17.1555999999999</v>
      </c>
      <c r="AF4248">
        <v>3.8360186490200801</v>
      </c>
      <c r="AG4248">
        <v>-0.61915019999999998</v>
      </c>
      <c r="AH4248">
        <v>89.122401104028995</v>
      </c>
      <c r="AI4248">
        <v>90.397670043894706</v>
      </c>
      <c r="AJ4248">
        <v>87.535388425579995</v>
      </c>
      <c r="AK4248">
        <v>89.207066786175801</v>
      </c>
      <c r="AL4248">
        <v>89.922391753604998</v>
      </c>
      <c r="AM4248">
        <v>90.042391798109094</v>
      </c>
      <c r="AN4248">
        <v>0.99999999106960602</v>
      </c>
    </row>
    <row r="4249" spans="1:40" x14ac:dyDescent="0.25">
      <c r="A4249" t="str">
        <f>"20190312154006712"</f>
        <v>20190312154006712</v>
      </c>
      <c r="B4249" t="str">
        <f>"1552376406700534"</f>
        <v>1552376406700534</v>
      </c>
      <c r="C4249" t="s">
        <v>40</v>
      </c>
      <c r="D4249">
        <v>4.0000929999999997</v>
      </c>
      <c r="E4249">
        <v>0.51651250000000004</v>
      </c>
      <c r="F4249" t="s">
        <v>77</v>
      </c>
      <c r="G4249">
        <v>-379.54489999999998</v>
      </c>
      <c r="H4249">
        <v>0.53380169999999905</v>
      </c>
      <c r="I4249">
        <v>199.57599999999999</v>
      </c>
      <c r="J4249">
        <v>-466.93439999999998</v>
      </c>
      <c r="K4249">
        <v>1.1088340000000001</v>
      </c>
      <c r="L4249">
        <v>216.709</v>
      </c>
      <c r="M4249">
        <v>0.98869600000000002</v>
      </c>
      <c r="N4249">
        <v>0</v>
      </c>
      <c r="O4249">
        <v>-0.14991789999999999</v>
      </c>
      <c r="P4249">
        <v>0.98879059999999996</v>
      </c>
      <c r="Q4249">
        <v>-1.1388469999999999E-3</v>
      </c>
      <c r="R4249">
        <v>-0.14930579999999999</v>
      </c>
      <c r="S4249">
        <v>2.946777</v>
      </c>
      <c r="T4249">
        <v>-1.9359230000000002E-2</v>
      </c>
      <c r="U4249">
        <v>-0.5774994</v>
      </c>
      <c r="V4249">
        <v>-6.1971319999999999E-4</v>
      </c>
      <c r="W4249">
        <v>1.107518E-3</v>
      </c>
      <c r="X4249">
        <v>0.99999919999999998</v>
      </c>
      <c r="Y4249">
        <v>4.3027200000000002E-2</v>
      </c>
      <c r="Z4249">
        <v>8.2931899999999904E-4</v>
      </c>
      <c r="AA4249">
        <v>0.99907360000000001</v>
      </c>
      <c r="AB4249">
        <v>16</v>
      </c>
      <c r="AC4249">
        <v>87.389499999999998</v>
      </c>
      <c r="AD4249">
        <v>-0.57503230000000005</v>
      </c>
      <c r="AE4249">
        <v>-17.132999999999999</v>
      </c>
      <c r="AF4249">
        <v>3.8379275165088198</v>
      </c>
      <c r="AG4249">
        <v>-0.57503230000000005</v>
      </c>
      <c r="AH4249">
        <v>88.966698425279802</v>
      </c>
      <c r="AI4249">
        <v>90.369979476641404</v>
      </c>
      <c r="AJ4249">
        <v>87.529853329999895</v>
      </c>
      <c r="AK4249">
        <v>89.051298578194206</v>
      </c>
      <c r="AL4249">
        <v>89.936543880230303</v>
      </c>
      <c r="AM4249">
        <v>90.035506974728705</v>
      </c>
      <c r="AN4249">
        <v>1.0000000053206</v>
      </c>
    </row>
    <row r="4250" spans="1:40" x14ac:dyDescent="0.25">
      <c r="A4250" t="str">
        <f>"20190312154006735"</f>
        <v>20190312154006735</v>
      </c>
      <c r="B4250" t="str">
        <f>"1552376406729814"</f>
        <v>1552376406729814</v>
      </c>
      <c r="C4250" t="s">
        <v>40</v>
      </c>
      <c r="D4250">
        <v>4.0390059999999997</v>
      </c>
      <c r="E4250">
        <v>0.51649179999999995</v>
      </c>
      <c r="F4250" t="s">
        <v>77</v>
      </c>
      <c r="G4250">
        <v>-374.43079999999998</v>
      </c>
      <c r="H4250">
        <v>0.53471820000000003</v>
      </c>
      <c r="I4250">
        <v>198.5702</v>
      </c>
      <c r="J4250">
        <v>-466.77100000000002</v>
      </c>
      <c r="K4250">
        <v>1.1087720000000001</v>
      </c>
      <c r="L4250">
        <v>216.6842</v>
      </c>
      <c r="M4250">
        <v>0.98870239999999998</v>
      </c>
      <c r="N4250">
        <v>0</v>
      </c>
      <c r="O4250">
        <v>-0.14988409999999999</v>
      </c>
      <c r="P4250">
        <v>0.98880670000000004</v>
      </c>
      <c r="Q4250">
        <v>-9.1446279999999995E-4</v>
      </c>
      <c r="R4250">
        <v>-0.14919939999999901</v>
      </c>
      <c r="S4250">
        <v>2.9467469999999998</v>
      </c>
      <c r="T4250">
        <v>-1.828873E-2</v>
      </c>
      <c r="U4250">
        <v>-0.57781979999999999</v>
      </c>
      <c r="V4250">
        <v>-6.9266929999999905E-4</v>
      </c>
      <c r="W4250">
        <v>6.8217910000000002E-4</v>
      </c>
      <c r="X4250">
        <v>0.99999950000000004</v>
      </c>
      <c r="Y4250">
        <v>4.316793E-2</v>
      </c>
      <c r="Z4250">
        <v>7.8282069999999996E-4</v>
      </c>
      <c r="AA4250">
        <v>0.9990675</v>
      </c>
      <c r="AB4250">
        <v>16</v>
      </c>
      <c r="AC4250">
        <v>92.340199999999896</v>
      </c>
      <c r="AD4250">
        <v>-0.57405379999999895</v>
      </c>
      <c r="AE4250">
        <v>-18.114000000000001</v>
      </c>
      <c r="AF4250">
        <v>4.0688807986635496</v>
      </c>
      <c r="AG4250">
        <v>-0.57405379999999895</v>
      </c>
      <c r="AH4250">
        <v>94.008588449916004</v>
      </c>
      <c r="AI4250">
        <v>90.349539210158994</v>
      </c>
      <c r="AJ4250">
        <v>87.5216702231602</v>
      </c>
      <c r="AK4250">
        <v>94.098352966801201</v>
      </c>
      <c r="AL4250">
        <v>89.9609140125946</v>
      </c>
      <c r="AM4250">
        <v>90.039687040984603</v>
      </c>
      <c r="AN4250">
        <v>0.999999972579666</v>
      </c>
    </row>
    <row r="4251" spans="1:40" x14ac:dyDescent="0.25">
      <c r="A4251" t="str">
        <f>"20190312154006757"</f>
        <v>20190312154006757</v>
      </c>
      <c r="B4251" t="str">
        <f>"1552376406750310"</f>
        <v>1552376406750310</v>
      </c>
      <c r="C4251" t="s">
        <v>40</v>
      </c>
      <c r="D4251">
        <v>3.9933049999999999</v>
      </c>
      <c r="E4251">
        <v>0.51646800000000004</v>
      </c>
      <c r="F4251" t="s">
        <v>77</v>
      </c>
      <c r="G4251">
        <v>-375.78890000000001</v>
      </c>
      <c r="H4251">
        <v>0.53471829999999998</v>
      </c>
      <c r="I4251">
        <v>198.86160000000001</v>
      </c>
      <c r="J4251">
        <v>-466.61270000000002</v>
      </c>
      <c r="K4251">
        <v>1.108733</v>
      </c>
      <c r="L4251">
        <v>216.66030000000001</v>
      </c>
      <c r="M4251">
        <v>0.98871140000000002</v>
      </c>
      <c r="N4251">
        <v>0</v>
      </c>
      <c r="O4251">
        <v>-0.1498292</v>
      </c>
      <c r="P4251">
        <v>0.98889419999999995</v>
      </c>
      <c r="Q4251">
        <v>-4.1399429999999999E-4</v>
      </c>
      <c r="R4251">
        <v>-0.14862030000000001</v>
      </c>
      <c r="S4251">
        <v>2.9468079999999999</v>
      </c>
      <c r="T4251">
        <v>-1.859295E-2</v>
      </c>
      <c r="U4251">
        <v>-0.57725519999999997</v>
      </c>
      <c r="V4251">
        <v>-1.222435E-3</v>
      </c>
      <c r="W4251">
        <v>6.1208400000000004E-4</v>
      </c>
      <c r="X4251">
        <v>0.99999899999999997</v>
      </c>
      <c r="Y4251">
        <v>4.3035320000000002E-2</v>
      </c>
      <c r="Z4251">
        <v>7.9591999999999998E-4</v>
      </c>
      <c r="AA4251">
        <v>0.99907319999999999</v>
      </c>
      <c r="AB4251">
        <v>16</v>
      </c>
      <c r="AC4251">
        <v>90.823800000000006</v>
      </c>
      <c r="AD4251">
        <v>-0.57401469999999899</v>
      </c>
      <c r="AE4251">
        <v>-17.798699999999901</v>
      </c>
      <c r="AF4251">
        <v>3.98956878795435</v>
      </c>
      <c r="AG4251">
        <v>-0.57401469999999899</v>
      </c>
      <c r="AH4251">
        <v>92.461780002797397</v>
      </c>
      <c r="AI4251">
        <v>90.355364404822495</v>
      </c>
      <c r="AJ4251">
        <v>87.529316939661499</v>
      </c>
      <c r="AK4251">
        <v>92.549591642942104</v>
      </c>
      <c r="AL4251">
        <v>89.964930165605494</v>
      </c>
      <c r="AM4251">
        <v>90.070040401381206</v>
      </c>
      <c r="AN4251">
        <v>0.99999993449757396</v>
      </c>
    </row>
    <row r="4252" spans="1:40" x14ac:dyDescent="0.25">
      <c r="A4252" t="str">
        <f>"20190312154006779"</f>
        <v>20190312154006779</v>
      </c>
      <c r="B4252" t="str">
        <f>"1552376406769830"</f>
        <v>1552376406769830</v>
      </c>
      <c r="C4252" t="s">
        <v>40</v>
      </c>
      <c r="D4252">
        <v>4.0068289999999998</v>
      </c>
      <c r="E4252">
        <v>0.51643679999999903</v>
      </c>
      <c r="F4252" t="s">
        <v>77</v>
      </c>
      <c r="G4252">
        <v>-372.24160000000001</v>
      </c>
      <c r="H4252">
        <v>0.53471829999999998</v>
      </c>
      <c r="I4252">
        <v>198.2355</v>
      </c>
      <c r="J4252">
        <v>-466.4522</v>
      </c>
      <c r="K4252">
        <v>1.108697</v>
      </c>
      <c r="L4252">
        <v>216.636</v>
      </c>
      <c r="M4252">
        <v>0.98872420000000005</v>
      </c>
      <c r="N4252">
        <v>0</v>
      </c>
      <c r="O4252">
        <v>-0.14974760000000001</v>
      </c>
      <c r="P4252">
        <v>0.98898410000000003</v>
      </c>
      <c r="Q4252">
        <v>3.0476320000000001E-4</v>
      </c>
      <c r="R4252">
        <v>-0.1480223</v>
      </c>
      <c r="S4252">
        <v>2.9472049999999999</v>
      </c>
      <c r="T4252">
        <v>-1.792645E-2</v>
      </c>
      <c r="U4252">
        <v>-0.5754089</v>
      </c>
      <c r="V4252">
        <v>-1.7450479999999999E-3</v>
      </c>
      <c r="W4252">
        <v>8.1235569999999998E-4</v>
      </c>
      <c r="X4252">
        <v>0.99999819999999995</v>
      </c>
      <c r="Y4252">
        <v>4.2489470000000001E-2</v>
      </c>
      <c r="Z4252">
        <v>7.6850469999999995E-4</v>
      </c>
      <c r="AA4252">
        <v>0.9990966</v>
      </c>
      <c r="AB4252">
        <v>16</v>
      </c>
      <c r="AC4252">
        <v>94.210599999999999</v>
      </c>
      <c r="AD4252">
        <v>-0.57397869999999995</v>
      </c>
      <c r="AE4252">
        <v>-18.400499999999901</v>
      </c>
      <c r="AF4252">
        <v>4.08506256739346</v>
      </c>
      <c r="AG4252">
        <v>-0.57397869999999995</v>
      </c>
      <c r="AH4252">
        <v>95.900307343986199</v>
      </c>
      <c r="AI4252">
        <v>90.342609638262601</v>
      </c>
      <c r="AJ4252">
        <v>87.560847936460604</v>
      </c>
      <c r="AK4252">
        <v>95.988989662349198</v>
      </c>
      <c r="AL4252">
        <v>89.953455444253606</v>
      </c>
      <c r="AM4252">
        <v>90.099983963928594</v>
      </c>
      <c r="AN4252">
        <v>1.00000005255877</v>
      </c>
    </row>
    <row r="4253" spans="1:40" x14ac:dyDescent="0.25">
      <c r="A4253" t="str">
        <f>"20190312154006803"</f>
        <v>20190312154006803</v>
      </c>
      <c r="B4253" t="str">
        <f>"1552376406790325"</f>
        <v>1552376406790325</v>
      </c>
      <c r="C4253" t="s">
        <v>40</v>
      </c>
      <c r="D4253">
        <v>4.0213409999999996</v>
      </c>
      <c r="E4253">
        <v>0.51643600000000001</v>
      </c>
      <c r="F4253" t="s">
        <v>78</v>
      </c>
      <c r="G4253">
        <v>-368.8974</v>
      </c>
      <c r="H4253">
        <v>0.56995299999999904</v>
      </c>
      <c r="I4253">
        <v>197.66220000000001</v>
      </c>
      <c r="J4253">
        <v>-466.26960000000003</v>
      </c>
      <c r="K4253">
        <v>1.108665</v>
      </c>
      <c r="L4253">
        <v>216.6086</v>
      </c>
      <c r="M4253">
        <v>0.98874340000000005</v>
      </c>
      <c r="N4253">
        <v>0</v>
      </c>
      <c r="O4253">
        <v>-0.14962220000000001</v>
      </c>
      <c r="P4253">
        <v>0.98918879999999998</v>
      </c>
      <c r="Q4253">
        <v>1.086381E-3</v>
      </c>
      <c r="R4253">
        <v>-0.1466451</v>
      </c>
      <c r="S4253">
        <v>2.9476619999999998</v>
      </c>
      <c r="T4253">
        <v>-1.6278029999999999E-2</v>
      </c>
      <c r="U4253">
        <v>-0.57330319999999901</v>
      </c>
      <c r="V4253">
        <v>-3.0105689999999998E-3</v>
      </c>
      <c r="W4253">
        <v>1.074139E-3</v>
      </c>
      <c r="X4253">
        <v>0.99999490000000002</v>
      </c>
      <c r="Y4253">
        <v>4.189909E-2</v>
      </c>
      <c r="Z4253">
        <v>6.9872929999999895E-4</v>
      </c>
      <c r="AA4253">
        <v>0.99912160000000005</v>
      </c>
      <c r="AB4253">
        <v>17</v>
      </c>
      <c r="AC4253">
        <v>97.372200000000007</v>
      </c>
      <c r="AD4253">
        <v>-0.53871199999999997</v>
      </c>
      <c r="AE4253">
        <v>-18.946399999999901</v>
      </c>
      <c r="AF4253">
        <v>4.1639617139998597</v>
      </c>
      <c r="AG4253">
        <v>-0.53871199999999997</v>
      </c>
      <c r="AH4253">
        <v>99.107983700013406</v>
      </c>
      <c r="AI4253">
        <v>90.311159739623406</v>
      </c>
      <c r="AJ4253">
        <v>87.594167571904293</v>
      </c>
      <c r="AK4253">
        <v>99.196881104481903</v>
      </c>
      <c r="AL4253">
        <v>89.938456357388105</v>
      </c>
      <c r="AM4253">
        <v>90.172493256214693</v>
      </c>
      <c r="AN4253">
        <v>1.00000000866315</v>
      </c>
    </row>
    <row r="4254" spans="1:40" x14ac:dyDescent="0.25">
      <c r="A4254" t="str">
        <f>"20190312154006825"</f>
        <v>20190312154006825</v>
      </c>
      <c r="B4254" t="str">
        <f>"1552376406820582"</f>
        <v>1552376406820582</v>
      </c>
      <c r="C4254" t="s">
        <v>40</v>
      </c>
      <c r="D4254">
        <v>3.9947879999999998</v>
      </c>
      <c r="E4254">
        <v>0.51644799999999902</v>
      </c>
      <c r="F4254" t="s">
        <v>48</v>
      </c>
      <c r="G4254">
        <v>-408.70510000000002</v>
      </c>
      <c r="H4254">
        <v>0.82500680000000004</v>
      </c>
      <c r="I4254">
        <v>205.49510000000001</v>
      </c>
      <c r="J4254">
        <v>-466.10599999999999</v>
      </c>
      <c r="K4254">
        <v>1.108641</v>
      </c>
      <c r="L4254">
        <v>216.5839</v>
      </c>
      <c r="M4254">
        <v>0.98876390000000003</v>
      </c>
      <c r="N4254">
        <v>0</v>
      </c>
      <c r="O4254">
        <v>-0.14948439999999999</v>
      </c>
      <c r="P4254">
        <v>0.98946460000000003</v>
      </c>
      <c r="Q4254">
        <v>1.7612249999999999E-3</v>
      </c>
      <c r="R4254">
        <v>-0.14476449999999999</v>
      </c>
      <c r="S4254">
        <v>2.9484560000000002</v>
      </c>
      <c r="T4254">
        <v>-1.452899E-2</v>
      </c>
      <c r="U4254">
        <v>-0.56922910000000004</v>
      </c>
      <c r="V4254">
        <v>-4.7719889999999999E-3</v>
      </c>
      <c r="W4254">
        <v>1.3368760000000001E-3</v>
      </c>
      <c r="X4254">
        <v>0.99998770000000003</v>
      </c>
      <c r="Y4254">
        <v>4.0656989999999997E-2</v>
      </c>
      <c r="Z4254">
        <v>6.2595849999999998E-4</v>
      </c>
      <c r="AA4254">
        <v>0.99917299999999998</v>
      </c>
      <c r="AB4254">
        <v>17</v>
      </c>
      <c r="AC4254">
        <v>57.400899999999901</v>
      </c>
      <c r="AD4254">
        <v>-0.283634199999999</v>
      </c>
      <c r="AE4254">
        <v>-11.0887999999999</v>
      </c>
      <c r="AF4254">
        <v>2.3836103673004501</v>
      </c>
      <c r="AG4254">
        <v>-0.283634199999999</v>
      </c>
      <c r="AH4254">
        <v>58.412176100780997</v>
      </c>
      <c r="AI4254">
        <v>90.277979739932604</v>
      </c>
      <c r="AJ4254">
        <v>87.6632426085704</v>
      </c>
      <c r="AK4254">
        <v>58.461477603385603</v>
      </c>
      <c r="AL4254">
        <v>89.923402623091306</v>
      </c>
      <c r="AM4254">
        <v>90.273416117188603</v>
      </c>
      <c r="AN4254">
        <v>0.99999997963387199</v>
      </c>
    </row>
    <row r="4255" spans="1:40" x14ac:dyDescent="0.25">
      <c r="A4255" t="str">
        <f>"20190312154006845"</f>
        <v>20190312154006845</v>
      </c>
      <c r="B4255" t="str">
        <f>"1552376406840102"</f>
        <v>1552376406840102</v>
      </c>
      <c r="C4255" t="s">
        <v>40</v>
      </c>
      <c r="D4255">
        <v>3.991752</v>
      </c>
      <c r="E4255">
        <v>0.51645490000000005</v>
      </c>
      <c r="F4255" t="s">
        <v>48</v>
      </c>
      <c r="G4255">
        <v>-408.70069999999998</v>
      </c>
      <c r="H4255">
        <v>0.84478109999999995</v>
      </c>
      <c r="I4255">
        <v>205.613</v>
      </c>
      <c r="J4255">
        <v>-465.93900000000002</v>
      </c>
      <c r="K4255">
        <v>1.108627</v>
      </c>
      <c r="L4255">
        <v>216.55889999999999</v>
      </c>
      <c r="M4255">
        <v>0.98878869999999996</v>
      </c>
      <c r="N4255">
        <v>0</v>
      </c>
      <c r="O4255">
        <v>-0.14931929999999999</v>
      </c>
      <c r="P4255">
        <v>0.98967590000000005</v>
      </c>
      <c r="Q4255">
        <v>2.6932969999999999E-3</v>
      </c>
      <c r="R4255">
        <v>-0.1432977</v>
      </c>
      <c r="S4255">
        <v>2.9494929999999999</v>
      </c>
      <c r="T4255">
        <v>-1.35572E-2</v>
      </c>
      <c r="U4255">
        <v>-0.56369019999999903</v>
      </c>
      <c r="V4255">
        <v>-6.0875570000000004E-3</v>
      </c>
      <c r="W4255">
        <v>1.8990669999999999E-3</v>
      </c>
      <c r="X4255">
        <v>0.99997970000000003</v>
      </c>
      <c r="Y4255">
        <v>3.894852E-2</v>
      </c>
      <c r="Z4255">
        <v>5.8716629999999996E-4</v>
      </c>
      <c r="AA4255">
        <v>0.99924109999999999</v>
      </c>
      <c r="AB4255">
        <v>17</v>
      </c>
      <c r="AC4255">
        <v>57.238300000000002</v>
      </c>
      <c r="AD4255">
        <v>-0.26384590000000002</v>
      </c>
      <c r="AE4255">
        <v>-10.9458999999999</v>
      </c>
      <c r="AF4255">
        <v>2.2763534233248701</v>
      </c>
      <c r="AG4255">
        <v>-0.26384590000000002</v>
      </c>
      <c r="AH4255">
        <v>58.229843755201301</v>
      </c>
      <c r="AI4255">
        <v>90.259413631129306</v>
      </c>
      <c r="AJ4255">
        <v>87.761301484781299</v>
      </c>
      <c r="AK4255">
        <v>58.2749183038637</v>
      </c>
      <c r="AL4255">
        <v>89.891191414033202</v>
      </c>
      <c r="AM4255">
        <v>90.348794095542601</v>
      </c>
      <c r="AN4255">
        <v>1.00000003260889</v>
      </c>
    </row>
    <row r="4256" spans="1:40" x14ac:dyDescent="0.25">
      <c r="A4256" t="str">
        <f>"20190312154006869"</f>
        <v>20190312154006869</v>
      </c>
      <c r="B4256" t="str">
        <f>"1552376406860598"</f>
        <v>1552376406860598</v>
      </c>
      <c r="C4256" t="s">
        <v>40</v>
      </c>
      <c r="D4256">
        <v>4.0006440000000003</v>
      </c>
      <c r="E4256">
        <v>0.51651029999999998</v>
      </c>
      <c r="F4256" t="s">
        <v>48</v>
      </c>
      <c r="G4256">
        <v>-408.6918</v>
      </c>
      <c r="H4256">
        <v>0.88448769999999999</v>
      </c>
      <c r="I4256">
        <v>205.7071</v>
      </c>
      <c r="J4256">
        <v>-465.75369999999998</v>
      </c>
      <c r="K4256">
        <v>1.108617</v>
      </c>
      <c r="L4256">
        <v>216.53110000000001</v>
      </c>
      <c r="M4256">
        <v>0.98882009999999998</v>
      </c>
      <c r="N4256">
        <v>0</v>
      </c>
      <c r="O4256">
        <v>-0.14910899999999999</v>
      </c>
      <c r="P4256">
        <v>0.98984050000000001</v>
      </c>
      <c r="Q4256">
        <v>4.1507790000000003E-3</v>
      </c>
      <c r="R4256">
        <v>-0.14212249999999901</v>
      </c>
      <c r="S4256">
        <v>2.950348</v>
      </c>
      <c r="T4256">
        <v>-1.1551499999999999E-2</v>
      </c>
      <c r="U4256">
        <v>-0.55926509999999996</v>
      </c>
      <c r="V4256">
        <v>-7.0616940000000003E-3</v>
      </c>
      <c r="W4256">
        <v>2.9986499999999998E-3</v>
      </c>
      <c r="X4256">
        <v>0.99997060000000004</v>
      </c>
      <c r="Y4256">
        <v>3.7660970000000002E-2</v>
      </c>
      <c r="Z4256">
        <v>5.0193799999999995E-4</v>
      </c>
      <c r="AA4256">
        <v>0.99929049999999997</v>
      </c>
      <c r="AB4256">
        <v>18</v>
      </c>
      <c r="AC4256">
        <v>57.061899999999902</v>
      </c>
      <c r="AD4256">
        <v>-0.2241293</v>
      </c>
      <c r="AE4256">
        <v>-10.824</v>
      </c>
      <c r="AF4256">
        <v>2.1945146785768799</v>
      </c>
      <c r="AG4256">
        <v>-0.2241293</v>
      </c>
      <c r="AH4256">
        <v>58.037083380313597</v>
      </c>
      <c r="AI4256">
        <v>90.221107402956207</v>
      </c>
      <c r="AJ4256">
        <v>87.834547352807107</v>
      </c>
      <c r="AK4256">
        <v>58.078990830687502</v>
      </c>
      <c r="AL4256">
        <v>89.828189758457995</v>
      </c>
      <c r="AM4256">
        <v>90.4046104322113</v>
      </c>
      <c r="AN4256">
        <v>1.0000000301441601</v>
      </c>
    </row>
    <row r="4257" spans="1:40" x14ac:dyDescent="0.25">
      <c r="A4257" t="str">
        <f>"20190312154006892"</f>
        <v>20190312154006892</v>
      </c>
      <c r="B4257" t="str">
        <f>"1552376406880118"</f>
        <v>1552376406880118</v>
      </c>
      <c r="C4257" t="s">
        <v>40</v>
      </c>
      <c r="D4257">
        <v>4.0569419999999896</v>
      </c>
      <c r="E4257">
        <v>0.51652779999999998</v>
      </c>
      <c r="F4257" t="s">
        <v>48</v>
      </c>
      <c r="G4257">
        <v>-408.67410000000001</v>
      </c>
      <c r="H4257">
        <v>0.96355590000000002</v>
      </c>
      <c r="I4257">
        <v>205.77109999999999</v>
      </c>
      <c r="J4257">
        <v>-465.56459999999998</v>
      </c>
      <c r="K4257">
        <v>1.108608</v>
      </c>
      <c r="L4257">
        <v>216.50290000000001</v>
      </c>
      <c r="M4257">
        <v>0.98885619999999996</v>
      </c>
      <c r="N4257">
        <v>0</v>
      </c>
      <c r="O4257">
        <v>-0.14886779999999999</v>
      </c>
      <c r="P4257">
        <v>0.98991819999999997</v>
      </c>
      <c r="Q4257">
        <v>4.6858809999999898E-3</v>
      </c>
      <c r="R4257">
        <v>-0.14156340000000001</v>
      </c>
      <c r="S4257">
        <v>2.9509280000000002</v>
      </c>
      <c r="T4257">
        <v>-7.4994559999999998E-3</v>
      </c>
      <c r="U4257">
        <v>-0.55627439999999995</v>
      </c>
      <c r="V4257">
        <v>-7.382113E-3</v>
      </c>
      <c r="W4257">
        <v>3.2203779999999999E-3</v>
      </c>
      <c r="X4257">
        <v>0.99996759999999996</v>
      </c>
      <c r="Y4257">
        <v>3.6890430000000002E-2</v>
      </c>
      <c r="Z4257">
        <v>3.2621560000000002E-4</v>
      </c>
      <c r="AA4257">
        <v>0.99931930000000002</v>
      </c>
      <c r="AB4257">
        <v>18</v>
      </c>
      <c r="AC4257">
        <v>56.890499999999903</v>
      </c>
      <c r="AD4257">
        <v>-0.14505209999999899</v>
      </c>
      <c r="AE4257">
        <v>-10.7318</v>
      </c>
      <c r="AF4257">
        <v>2.1430318606440402</v>
      </c>
      <c r="AG4257">
        <v>-0.14505209999999899</v>
      </c>
      <c r="AH4257">
        <v>57.853831818705501</v>
      </c>
      <c r="AI4257">
        <v>90.143554188051198</v>
      </c>
      <c r="AJ4257">
        <v>87.878609526149702</v>
      </c>
      <c r="AK4257">
        <v>57.893691208753602</v>
      </c>
      <c r="AL4257">
        <v>89.815485619459494</v>
      </c>
      <c r="AM4257">
        <v>90.422969939544899</v>
      </c>
      <c r="AN4257">
        <v>1.0000000337382799</v>
      </c>
    </row>
    <row r="4258" spans="1:40" x14ac:dyDescent="0.25">
      <c r="A4258" t="str">
        <f>"20190312154006913"</f>
        <v>20190312154006913</v>
      </c>
      <c r="B4258" t="str">
        <f>"1552376406900614"</f>
        <v>1552376406900614</v>
      </c>
      <c r="C4258" t="s">
        <v>40</v>
      </c>
      <c r="D4258">
        <v>4.0182060000000002</v>
      </c>
      <c r="E4258">
        <v>0.48925560000000001</v>
      </c>
      <c r="F4258" t="s">
        <v>48</v>
      </c>
      <c r="G4258">
        <v>-408.6671</v>
      </c>
      <c r="H4258">
        <v>0.99494150000000003</v>
      </c>
      <c r="I4258">
        <v>205.8047</v>
      </c>
      <c r="J4258">
        <v>-465.40190000000001</v>
      </c>
      <c r="K4258">
        <v>1.108595</v>
      </c>
      <c r="L4258">
        <v>216.4786</v>
      </c>
      <c r="M4258">
        <v>0.98888960000000004</v>
      </c>
      <c r="N4258">
        <v>0</v>
      </c>
      <c r="O4258">
        <v>-0.14864249999999901</v>
      </c>
      <c r="P4258">
        <v>0.98988929999999997</v>
      </c>
      <c r="Q4258">
        <v>4.8926159999999998E-3</v>
      </c>
      <c r="R4258">
        <v>-0.14175860000000001</v>
      </c>
      <c r="S4258">
        <v>2.9512939999999999</v>
      </c>
      <c r="T4258">
        <v>-5.8959719999999898E-3</v>
      </c>
      <c r="U4258">
        <v>-0.55491639999999998</v>
      </c>
      <c r="V4258">
        <v>-6.9572649999999998E-3</v>
      </c>
      <c r="W4258">
        <v>3.1970129999999999E-3</v>
      </c>
      <c r="X4258">
        <v>0.99997069999999999</v>
      </c>
      <c r="Y4258">
        <v>3.6651250000000003E-2</v>
      </c>
      <c r="Z4258">
        <v>2.5624620000000003E-4</v>
      </c>
      <c r="AA4258">
        <v>0.99932810000000005</v>
      </c>
      <c r="AB4258">
        <v>18</v>
      </c>
      <c r="AC4258">
        <v>56.7348</v>
      </c>
      <c r="AD4258">
        <v>-0.11365349999999901</v>
      </c>
      <c r="AE4258">
        <v>-10.6739</v>
      </c>
      <c r="AF4258">
        <v>2.1221009027179201</v>
      </c>
      <c r="AG4258">
        <v>-0.11365349999999901</v>
      </c>
      <c r="AH4258">
        <v>57.690905053766897</v>
      </c>
      <c r="AI4258">
        <v>90.112798654372696</v>
      </c>
      <c r="AJ4258">
        <v>87.893383170334104</v>
      </c>
      <c r="AK4258">
        <v>57.7300333906202</v>
      </c>
      <c r="AL4258">
        <v>89.816824338330093</v>
      </c>
      <c r="AM4258">
        <v>90.398627169469805</v>
      </c>
      <c r="AN4258">
        <v>1.0000000126434401</v>
      </c>
    </row>
    <row r="4259" spans="1:40" x14ac:dyDescent="0.25">
      <c r="A4259" t="str">
        <f>"20190312154006934"</f>
        <v>20190312154006934</v>
      </c>
      <c r="B4259" t="str">
        <f>"1552376406929895"</f>
        <v>1552376406929895</v>
      </c>
      <c r="C4259" t="s">
        <v>40</v>
      </c>
      <c r="D4259">
        <v>4.0388599999999997</v>
      </c>
      <c r="E4259">
        <v>0.4778886</v>
      </c>
      <c r="F4259" t="s">
        <v>61</v>
      </c>
      <c r="G4259">
        <v>-379.85669999999999</v>
      </c>
      <c r="H4259">
        <v>8.0000039999999994E-2</v>
      </c>
      <c r="I4259">
        <v>206.7433</v>
      </c>
      <c r="J4259">
        <v>-465.22030000000001</v>
      </c>
      <c r="K4259">
        <v>1.1085799999999999</v>
      </c>
      <c r="L4259">
        <v>216.45160000000001</v>
      </c>
      <c r="M4259">
        <v>0.98892899999999995</v>
      </c>
      <c r="N4259">
        <v>0</v>
      </c>
      <c r="O4259">
        <v>-0.14837739999999999</v>
      </c>
      <c r="P4259">
        <v>0.98981960000000002</v>
      </c>
      <c r="Q4259">
        <v>4.1148019999999999E-3</v>
      </c>
      <c r="R4259">
        <v>-0.14226910000000001</v>
      </c>
      <c r="S4259">
        <v>2.9822389999999999</v>
      </c>
      <c r="T4259">
        <v>-3.5858389999999997E-2</v>
      </c>
      <c r="U4259">
        <v>-0.33938600000000002</v>
      </c>
      <c r="V4259">
        <v>-6.1738590000000003E-3</v>
      </c>
      <c r="W4259">
        <v>2.1985199999999998E-3</v>
      </c>
      <c r="X4259">
        <v>0.99997849999999999</v>
      </c>
      <c r="Y4259">
        <v>-3.5592119999999998E-2</v>
      </c>
      <c r="Z4259">
        <v>1.982897E-3</v>
      </c>
      <c r="AA4259">
        <v>0.99936440000000004</v>
      </c>
      <c r="AB4259">
        <v>18</v>
      </c>
      <c r="AC4259">
        <v>85.363600000000005</v>
      </c>
      <c r="AD4259">
        <v>-1.0285799599999901</v>
      </c>
      <c r="AE4259">
        <v>-9.7082999999999995</v>
      </c>
      <c r="AF4259">
        <v>-3.06477581209765</v>
      </c>
      <c r="AG4259">
        <v>-1.0285799599999901</v>
      </c>
      <c r="AH4259">
        <v>85.846880807917202</v>
      </c>
      <c r="AI4259">
        <v>90.686023247911805</v>
      </c>
      <c r="AJ4259">
        <v>92.044619127398903</v>
      </c>
      <c r="AK4259">
        <v>85.907728243512906</v>
      </c>
      <c r="AL4259">
        <v>89.874033978230301</v>
      </c>
      <c r="AM4259">
        <v>90.353739174912903</v>
      </c>
      <c r="AN4259">
        <v>0.99999997524369499</v>
      </c>
    </row>
    <row r="4260" spans="1:40" x14ac:dyDescent="0.25">
      <c r="A4260" t="str">
        <f>"20190312154006957"</f>
        <v>20190312154006957</v>
      </c>
      <c r="B4260" t="str">
        <f>"1552376406950391"</f>
        <v>1552376406950391</v>
      </c>
      <c r="C4260" t="s">
        <v>40</v>
      </c>
      <c r="D4260">
        <v>4.0112259999999997</v>
      </c>
      <c r="E4260">
        <v>0.47523149999999997</v>
      </c>
      <c r="F4260" t="s">
        <v>62</v>
      </c>
      <c r="G4260">
        <v>-412.64229999999998</v>
      </c>
      <c r="H4260" s="1">
        <v>2.8989650000000002E-6</v>
      </c>
      <c r="I4260">
        <v>212.04810000000001</v>
      </c>
      <c r="J4260">
        <v>-465.03440000000001</v>
      </c>
      <c r="K4260">
        <v>1.108554</v>
      </c>
      <c r="L4260">
        <v>216.42400000000001</v>
      </c>
      <c r="M4260">
        <v>0.98897080000000004</v>
      </c>
      <c r="N4260">
        <v>0</v>
      </c>
      <c r="O4260">
        <v>-0.1480967</v>
      </c>
      <c r="P4260">
        <v>0.98967499999999997</v>
      </c>
      <c r="Q4260">
        <v>3.236634E-3</v>
      </c>
      <c r="R4260">
        <v>-0.143294</v>
      </c>
      <c r="S4260">
        <v>2.9950559999999999</v>
      </c>
      <c r="T4260">
        <v>-6.3148979999999993E-2</v>
      </c>
      <c r="U4260">
        <v>-0.25083919999999998</v>
      </c>
      <c r="V4260">
        <v>-4.8544820000000002E-3</v>
      </c>
      <c r="W4260">
        <v>1.1332670000000001E-3</v>
      </c>
      <c r="X4260">
        <v>0.99998759999999998</v>
      </c>
      <c r="Y4260">
        <v>-6.4994979999999994E-2</v>
      </c>
      <c r="Z4260">
        <v>3.7872040000000002E-3</v>
      </c>
      <c r="AA4260">
        <v>0.99787840000000005</v>
      </c>
      <c r="AB4260">
        <v>19</v>
      </c>
      <c r="AC4260">
        <v>52.392099999999999</v>
      </c>
      <c r="AD4260">
        <v>-1.108551101035</v>
      </c>
      <c r="AE4260">
        <v>-4.3758999999999997</v>
      </c>
      <c r="AF4260">
        <v>-3.4299419468525398</v>
      </c>
      <c r="AG4260">
        <v>-1.108551101035</v>
      </c>
      <c r="AH4260">
        <v>52.4391076245345</v>
      </c>
      <c r="AI4260">
        <v>91.208458191236701</v>
      </c>
      <c r="AJ4260">
        <v>93.742276901408999</v>
      </c>
      <c r="AK4260">
        <v>52.562851860985397</v>
      </c>
      <c r="AL4260">
        <v>89.935068571577702</v>
      </c>
      <c r="AM4260">
        <v>90.2781425943746</v>
      </c>
      <c r="AN4260">
        <v>1.0000000252216701</v>
      </c>
    </row>
    <row r="4261" spans="1:40" x14ac:dyDescent="0.25">
      <c r="A4261" t="str">
        <f>"20190312154006980"</f>
        <v>20190312154006980</v>
      </c>
      <c r="B4261" t="str">
        <f>"1552376406969911"</f>
        <v>1552376406969911</v>
      </c>
      <c r="C4261" t="s">
        <v>40</v>
      </c>
      <c r="D4261">
        <v>4.0191470000000002</v>
      </c>
      <c r="E4261">
        <v>0.47371269999999999</v>
      </c>
      <c r="F4261" t="s">
        <v>62</v>
      </c>
      <c r="G4261">
        <v>-416.2792</v>
      </c>
      <c r="H4261" s="1">
        <v>3.4930310000000001E-6</v>
      </c>
      <c r="I4261">
        <v>212.63220000000001</v>
      </c>
      <c r="J4261">
        <v>-464.83859999999999</v>
      </c>
      <c r="K4261">
        <v>1.1085339999999999</v>
      </c>
      <c r="L4261">
        <v>216.39500000000001</v>
      </c>
      <c r="M4261">
        <v>0.98901519999999998</v>
      </c>
      <c r="N4261">
        <v>0</v>
      </c>
      <c r="O4261">
        <v>-0.1477956</v>
      </c>
      <c r="P4261">
        <v>0.98963369999999995</v>
      </c>
      <c r="Q4261">
        <v>2.5792390000000001E-3</v>
      </c>
      <c r="R4261">
        <v>-0.143592</v>
      </c>
      <c r="S4261">
        <v>2.9977420000000001</v>
      </c>
      <c r="T4261">
        <v>-6.8159819999999996E-2</v>
      </c>
      <c r="U4261">
        <v>-0.23313900000000001</v>
      </c>
      <c r="V4261">
        <v>-4.249386E-3</v>
      </c>
      <c r="W4261">
        <v>3.1930609999999998E-4</v>
      </c>
      <c r="X4261">
        <v>0.99999090000000002</v>
      </c>
      <c r="Y4261">
        <v>-7.0609439999999996E-2</v>
      </c>
      <c r="Z4261">
        <v>4.1422990000000003E-3</v>
      </c>
      <c r="AA4261">
        <v>0.99749540000000003</v>
      </c>
      <c r="AB4261">
        <v>19</v>
      </c>
      <c r="AC4261">
        <v>48.559399999999897</v>
      </c>
      <c r="AD4261">
        <v>-1.1085305069689999</v>
      </c>
      <c r="AE4261">
        <v>-3.7627999999999902</v>
      </c>
      <c r="AF4261">
        <v>-3.4536195315123401</v>
      </c>
      <c r="AG4261">
        <v>-1.1085305069689999</v>
      </c>
      <c r="AH4261">
        <v>48.557087360593798</v>
      </c>
      <c r="AI4261">
        <v>91.304508387058902</v>
      </c>
      <c r="AJ4261">
        <v>94.068307454175098</v>
      </c>
      <c r="AK4261">
        <v>48.692371688978803</v>
      </c>
      <c r="AL4261">
        <v>89.9817051074142</v>
      </c>
      <c r="AM4261">
        <v>90.243472633432006</v>
      </c>
      <c r="AN4261">
        <v>0.99999997966028598</v>
      </c>
    </row>
    <row r="4262" spans="1:40" x14ac:dyDescent="0.25">
      <c r="A4262" t="str">
        <f>"20190312154007003"</f>
        <v>20190312154007003</v>
      </c>
      <c r="B4262" t="str">
        <f>"1552376407000166"</f>
        <v>1552376407000166</v>
      </c>
      <c r="C4262" t="s">
        <v>40</v>
      </c>
      <c r="D4262">
        <v>3.9728789999999998</v>
      </c>
      <c r="E4262">
        <v>0.47216439999999998</v>
      </c>
      <c r="F4262" t="s">
        <v>62</v>
      </c>
      <c r="G4262">
        <v>-417.3424</v>
      </c>
      <c r="H4262" s="1">
        <v>3.659911E-6</v>
      </c>
      <c r="I4262">
        <v>212.88059999999999</v>
      </c>
      <c r="J4262">
        <v>-464.63909999999998</v>
      </c>
      <c r="K4262">
        <v>1.108514</v>
      </c>
      <c r="L4262">
        <v>216.3656</v>
      </c>
      <c r="M4262">
        <v>0.98906099999999997</v>
      </c>
      <c r="N4262">
        <v>0</v>
      </c>
      <c r="O4262">
        <v>-0.1474876</v>
      </c>
      <c r="P4262">
        <v>0.98961849999999996</v>
      </c>
      <c r="Q4262">
        <v>1.8749999999999999E-3</v>
      </c>
      <c r="R4262">
        <v>-0.1437078</v>
      </c>
      <c r="S4262">
        <v>2.99939</v>
      </c>
      <c r="T4262">
        <v>-7.0003750000000003E-2</v>
      </c>
      <c r="U4262">
        <v>-0.2219391</v>
      </c>
      <c r="V4262">
        <v>-3.820712E-3</v>
      </c>
      <c r="W4262">
        <v>-5.1015510000000002E-4</v>
      </c>
      <c r="X4262">
        <v>0.99999249999999995</v>
      </c>
      <c r="Y4262">
        <v>-7.4040289999999995E-2</v>
      </c>
      <c r="Z4262">
        <v>4.2857160000000002E-3</v>
      </c>
      <c r="AA4262">
        <v>0.99724599999999997</v>
      </c>
      <c r="AB4262">
        <v>19</v>
      </c>
      <c r="AC4262">
        <v>47.296699999999902</v>
      </c>
      <c r="AD4262">
        <v>-1.108510340089</v>
      </c>
      <c r="AE4262">
        <v>-3.4850000000000101</v>
      </c>
      <c r="AF4262">
        <v>-3.5268824329183599</v>
      </c>
      <c r="AG4262">
        <v>-1.108510340089</v>
      </c>
      <c r="AH4262">
        <v>47.267627171407099</v>
      </c>
      <c r="AI4262">
        <v>91.339719326653196</v>
      </c>
      <c r="AJ4262">
        <v>94.267227375779598</v>
      </c>
      <c r="AK4262">
        <v>47.411984490051204</v>
      </c>
      <c r="AL4262">
        <v>90.029229737468</v>
      </c>
      <c r="AM4262">
        <v>90.218911248954996</v>
      </c>
      <c r="AN4262">
        <v>0.99999992907732804</v>
      </c>
    </row>
    <row r="4263" spans="1:40" x14ac:dyDescent="0.25">
      <c r="A4263" t="str">
        <f>"20190312154007024"</f>
        <v>20190312154007024</v>
      </c>
      <c r="B4263" t="str">
        <f>"1552376407019686"</f>
        <v>1552376407019686</v>
      </c>
      <c r="C4263" t="s">
        <v>40</v>
      </c>
      <c r="D4263">
        <v>4.0098760000000002</v>
      </c>
      <c r="E4263">
        <v>0.47145229999999999</v>
      </c>
      <c r="F4263" t="s">
        <v>62</v>
      </c>
      <c r="G4263">
        <v>-419.00060000000002</v>
      </c>
      <c r="H4263" s="1">
        <v>3.9288730000000001E-6</v>
      </c>
      <c r="I4263">
        <v>213.1687</v>
      </c>
      <c r="J4263">
        <v>-464.45</v>
      </c>
      <c r="K4263">
        <v>1.1084879999999999</v>
      </c>
      <c r="L4263">
        <v>216.33770000000001</v>
      </c>
      <c r="M4263">
        <v>0.98910430000000005</v>
      </c>
      <c r="N4263">
        <v>0</v>
      </c>
      <c r="O4263">
        <v>-0.14719649999999901</v>
      </c>
      <c r="P4263">
        <v>0.98961379999999999</v>
      </c>
      <c r="Q4263">
        <v>1.1007359999999999E-3</v>
      </c>
      <c r="R4263">
        <v>-0.14374809999999999</v>
      </c>
      <c r="S4263">
        <v>3.0010680000000001</v>
      </c>
      <c r="T4263">
        <v>-7.2892789999999999E-2</v>
      </c>
      <c r="U4263">
        <v>-0.2102203</v>
      </c>
      <c r="V4263">
        <v>-3.485494E-3</v>
      </c>
      <c r="W4263">
        <v>-1.3766850000000001E-3</v>
      </c>
      <c r="X4263">
        <v>0.99999300000000002</v>
      </c>
      <c r="Y4263">
        <v>-7.7655409999999994E-2</v>
      </c>
      <c r="Z4263">
        <v>4.4977899999999998E-3</v>
      </c>
      <c r="AA4263">
        <v>0.99697009999999997</v>
      </c>
      <c r="AB4263">
        <v>20</v>
      </c>
      <c r="AC4263">
        <v>45.449399999999898</v>
      </c>
      <c r="AD4263">
        <v>-1.1084840711270001</v>
      </c>
      <c r="AE4263">
        <v>-3.1690000000000098</v>
      </c>
      <c r="AF4263">
        <v>-3.5534280168261598</v>
      </c>
      <c r="AG4263">
        <v>-1.1084840711270001</v>
      </c>
      <c r="AH4263">
        <v>45.393924452568598</v>
      </c>
      <c r="AI4263">
        <v>91.394575476998796</v>
      </c>
      <c r="AJ4263">
        <v>94.475975400923602</v>
      </c>
      <c r="AK4263">
        <v>45.546283765113103</v>
      </c>
      <c r="AL4263">
        <v>90.078878263400298</v>
      </c>
      <c r="AM4263">
        <v>90.199704684932598</v>
      </c>
      <c r="AN4263">
        <v>1.0000000219895</v>
      </c>
    </row>
    <row r="4264" spans="1:40" x14ac:dyDescent="0.25">
      <c r="A4264" t="str">
        <f>"20190312154007047"</f>
        <v>20190312154007047</v>
      </c>
      <c r="B4264" t="str">
        <f>"1552376407040183"</f>
        <v>1552376407040183</v>
      </c>
      <c r="C4264" t="s">
        <v>40</v>
      </c>
      <c r="D4264">
        <v>3.9805779999999999</v>
      </c>
      <c r="E4264">
        <v>0.47086860000000003</v>
      </c>
      <c r="F4264" t="s">
        <v>62</v>
      </c>
      <c r="G4264">
        <v>-421.26760000000002</v>
      </c>
      <c r="H4264" s="1">
        <v>3.8464839999999999E-6</v>
      </c>
      <c r="I4264">
        <v>213.39529999999999</v>
      </c>
      <c r="J4264">
        <v>-464.2405</v>
      </c>
      <c r="K4264">
        <v>1.108465</v>
      </c>
      <c r="L4264">
        <v>216.30690000000001</v>
      </c>
      <c r="M4264">
        <v>0.98915160000000002</v>
      </c>
      <c r="N4264">
        <v>0</v>
      </c>
      <c r="O4264">
        <v>-0.14687629999999999</v>
      </c>
      <c r="P4264">
        <v>0.98963730000000005</v>
      </c>
      <c r="Q4264" s="1">
        <v>-5.1648360000000002E-5</v>
      </c>
      <c r="R4264">
        <v>-0.143591</v>
      </c>
      <c r="S4264">
        <v>3.0018919999999998</v>
      </c>
      <c r="T4264">
        <v>-7.7058199999999993E-2</v>
      </c>
      <c r="U4264">
        <v>-0.20454410000000001</v>
      </c>
      <c r="V4264">
        <v>-3.3200249999999999E-3</v>
      </c>
      <c r="W4264">
        <v>-2.6056529999999999E-3</v>
      </c>
      <c r="X4264">
        <v>0.99999110000000002</v>
      </c>
      <c r="Y4264">
        <v>-7.9219769999999995E-2</v>
      </c>
      <c r="Z4264">
        <v>4.7658020000000004E-3</v>
      </c>
      <c r="AA4264">
        <v>0.9968458</v>
      </c>
      <c r="AB4264">
        <v>20</v>
      </c>
      <c r="AC4264">
        <v>42.972899999999903</v>
      </c>
      <c r="AD4264">
        <v>-1.1084611535160001</v>
      </c>
      <c r="AE4264">
        <v>-2.9116000000000199</v>
      </c>
      <c r="AF4264">
        <v>-3.4294264965371899</v>
      </c>
      <c r="AG4264">
        <v>-1.1084611535160001</v>
      </c>
      <c r="AH4264">
        <v>42.906079403541703</v>
      </c>
      <c r="AI4264">
        <v>91.475181461106203</v>
      </c>
      <c r="AJ4264">
        <v>94.569861161250202</v>
      </c>
      <c r="AK4264">
        <v>43.057186415359702</v>
      </c>
      <c r="AL4264">
        <v>90.149293087810506</v>
      </c>
      <c r="AM4264">
        <v>90.190224414450597</v>
      </c>
      <c r="AN4264">
        <v>1.0000000060363801</v>
      </c>
    </row>
    <row r="4265" spans="1:40" x14ac:dyDescent="0.25">
      <c r="A4265" t="str">
        <f>"20190312154007071"</f>
        <v>20190312154007071</v>
      </c>
      <c r="B4265" t="str">
        <f>"1552376407059703"</f>
        <v>1552376407059703</v>
      </c>
      <c r="C4265" t="s">
        <v>40</v>
      </c>
      <c r="D4265">
        <v>3.9787430000000001</v>
      </c>
      <c r="E4265">
        <v>0.4704451</v>
      </c>
      <c r="F4265" t="s">
        <v>62</v>
      </c>
      <c r="G4265">
        <v>-423.57600000000002</v>
      </c>
      <c r="H4265" s="1">
        <v>3.4186900000000001E-6</v>
      </c>
      <c r="I4265">
        <v>213.60499999999999</v>
      </c>
      <c r="J4265">
        <v>-464.03050000000002</v>
      </c>
      <c r="K4265">
        <v>1.108444</v>
      </c>
      <c r="L4265">
        <v>216.27610000000001</v>
      </c>
      <c r="M4265">
        <v>0.98919889999999999</v>
      </c>
      <c r="N4265">
        <v>0</v>
      </c>
      <c r="O4265">
        <v>-0.14655660000000001</v>
      </c>
      <c r="P4265">
        <v>0.98959699999999995</v>
      </c>
      <c r="Q4265">
        <v>-1.285635E-3</v>
      </c>
      <c r="R4265">
        <v>-0.14386199999999999</v>
      </c>
      <c r="S4265">
        <v>3.002472</v>
      </c>
      <c r="T4265">
        <v>-8.1843379999999993E-2</v>
      </c>
      <c r="U4265">
        <v>-0.19949339999999999</v>
      </c>
      <c r="V4265">
        <v>-2.7225420000000001E-3</v>
      </c>
      <c r="W4265">
        <v>-3.8942619999999999E-3</v>
      </c>
      <c r="X4265">
        <v>0.99998869999999895</v>
      </c>
      <c r="Y4265">
        <v>-8.0570160000000002E-2</v>
      </c>
      <c r="Z4265">
        <v>5.07085E-3</v>
      </c>
      <c r="AA4265">
        <v>0.99673599999999996</v>
      </c>
      <c r="AB4265">
        <v>20</v>
      </c>
      <c r="AC4265">
        <v>40.454500000000003</v>
      </c>
      <c r="AD4265">
        <v>-1.10844058131</v>
      </c>
      <c r="AE4265">
        <v>-2.67110000000002</v>
      </c>
      <c r="AF4265">
        <v>-3.2841809290725599</v>
      </c>
      <c r="AG4265">
        <v>-1.10844058131</v>
      </c>
      <c r="AH4265">
        <v>40.378966956383501</v>
      </c>
      <c r="AI4265">
        <v>91.567255365621193</v>
      </c>
      <c r="AJ4265">
        <v>94.649856898954198</v>
      </c>
      <c r="AK4265">
        <v>40.527465469257898</v>
      </c>
      <c r="AL4265">
        <v>90.223125343374804</v>
      </c>
      <c r="AM4265">
        <v>90.155991543432606</v>
      </c>
      <c r="AN4265">
        <v>0.99999998881957797</v>
      </c>
    </row>
    <row r="4266" spans="1:40" x14ac:dyDescent="0.25">
      <c r="A4266" t="str">
        <f>"20190312154007093"</f>
        <v>20190312154007093</v>
      </c>
      <c r="B4266" t="str">
        <f>"1552376407089958"</f>
        <v>1552376407089958</v>
      </c>
      <c r="C4266" t="s">
        <v>40</v>
      </c>
      <c r="D4266">
        <v>4.0252230000000004</v>
      </c>
      <c r="E4266">
        <v>0.46994330000000001</v>
      </c>
      <c r="F4266" t="s">
        <v>62</v>
      </c>
      <c r="G4266">
        <v>-425.58429999999998</v>
      </c>
      <c r="H4266" s="1">
        <v>3.0493280000000001E-6</v>
      </c>
      <c r="I4266">
        <v>213.7551</v>
      </c>
      <c r="J4266">
        <v>-463.82799999999997</v>
      </c>
      <c r="K4266">
        <v>1.108433</v>
      </c>
      <c r="L4266">
        <v>216.24639999999999</v>
      </c>
      <c r="M4266">
        <v>0.98924489999999998</v>
      </c>
      <c r="N4266">
        <v>0</v>
      </c>
      <c r="O4266">
        <v>-0.14624529999999999</v>
      </c>
      <c r="P4266">
        <v>0.98956290000000002</v>
      </c>
      <c r="Q4266">
        <v>-1.5662439999999901E-3</v>
      </c>
      <c r="R4266">
        <v>-0.14409359999999999</v>
      </c>
      <c r="S4266">
        <v>3.0028380000000001</v>
      </c>
      <c r="T4266">
        <v>-8.6574789999999999E-2</v>
      </c>
      <c r="U4266">
        <v>-0.1968994</v>
      </c>
      <c r="V4266">
        <v>-2.1737050000000002E-3</v>
      </c>
      <c r="W4266">
        <v>-4.2097740000000003E-3</v>
      </c>
      <c r="X4266">
        <v>0.99998880000000001</v>
      </c>
      <c r="Y4266">
        <v>-8.1111790000000003E-2</v>
      </c>
      <c r="Z4266">
        <v>5.3623759999999899E-3</v>
      </c>
      <c r="AA4266">
        <v>0.99669059999999998</v>
      </c>
      <c r="AB4266">
        <v>20</v>
      </c>
      <c r="AC4266">
        <v>38.243699999999997</v>
      </c>
      <c r="AD4266">
        <v>-1.1084299506719999</v>
      </c>
      <c r="AE4266">
        <v>-2.4912999999999901</v>
      </c>
      <c r="AF4266">
        <v>-3.1258515349151499</v>
      </c>
      <c r="AG4266">
        <v>-1.1084299506719999</v>
      </c>
      <c r="AH4266">
        <v>38.164932377389903</v>
      </c>
      <c r="AI4266">
        <v>91.658033597562707</v>
      </c>
      <c r="AJ4266">
        <v>94.682288597316202</v>
      </c>
      <c r="AK4266">
        <v>38.308766988048802</v>
      </c>
      <c r="AL4266">
        <v>90.241202989642204</v>
      </c>
      <c r="AM4266">
        <v>90.124545321153505</v>
      </c>
      <c r="AN4266">
        <v>1.00000002365799</v>
      </c>
    </row>
    <row r="4267" spans="1:40" x14ac:dyDescent="0.25">
      <c r="A4267" t="str">
        <f>"20190312154007115"</f>
        <v>20190312154007115</v>
      </c>
      <c r="B4267" t="str">
        <f>"1552376407110455"</f>
        <v>1552376407110455</v>
      </c>
      <c r="C4267" t="s">
        <v>40</v>
      </c>
      <c r="D4267">
        <v>4.015917</v>
      </c>
      <c r="E4267">
        <v>0.46962520000000002</v>
      </c>
      <c r="F4267" t="s">
        <v>62</v>
      </c>
      <c r="G4267">
        <v>-425.988</v>
      </c>
      <c r="H4267" s="1">
        <v>2.973093E-6</v>
      </c>
      <c r="I4267">
        <v>213.80789999999999</v>
      </c>
      <c r="J4267">
        <v>-463.62740000000002</v>
      </c>
      <c r="K4267">
        <v>1.1084339999999999</v>
      </c>
      <c r="L4267">
        <v>216.21709999999999</v>
      </c>
      <c r="M4267">
        <v>0.98929210000000001</v>
      </c>
      <c r="N4267">
        <v>0</v>
      </c>
      <c r="O4267">
        <v>-0.1459251</v>
      </c>
      <c r="P4267">
        <v>0.98949370000000003</v>
      </c>
      <c r="Q4267">
        <v>-1.3750800000000001E-3</v>
      </c>
      <c r="R4267">
        <v>-0.144570899999999</v>
      </c>
      <c r="S4267">
        <v>3.0033259999999999</v>
      </c>
      <c r="T4267">
        <v>-8.797526E-2</v>
      </c>
      <c r="U4267">
        <v>-0.19354250000000001</v>
      </c>
      <c r="V4267">
        <v>-1.36738299999999E-3</v>
      </c>
      <c r="W4267">
        <v>-4.0387499999999998E-3</v>
      </c>
      <c r="X4267">
        <v>0.99999090000000002</v>
      </c>
      <c r="Y4267">
        <v>-8.1905939999999997E-2</v>
      </c>
      <c r="Z4267">
        <v>5.4508330000000004E-3</v>
      </c>
      <c r="AA4267">
        <v>0.99662519999999999</v>
      </c>
      <c r="AB4267">
        <v>21</v>
      </c>
      <c r="AC4267">
        <v>37.639399999999902</v>
      </c>
      <c r="AD4267">
        <v>-1.1084310269069999</v>
      </c>
      <c r="AE4267">
        <v>-2.40919999999999</v>
      </c>
      <c r="AF4267">
        <v>-3.1064585655898198</v>
      </c>
      <c r="AG4267">
        <v>-1.1084310269069999</v>
      </c>
      <c r="AH4267">
        <v>37.555619196900501</v>
      </c>
      <c r="AI4267">
        <v>91.684808415797505</v>
      </c>
      <c r="AJ4267">
        <v>94.728525314729893</v>
      </c>
      <c r="AK4267">
        <v>37.700175562240297</v>
      </c>
      <c r="AL4267">
        <v>90.2314039607636</v>
      </c>
      <c r="AM4267">
        <v>90.078345938996804</v>
      </c>
      <c r="AN4267">
        <v>0.99999999066031997</v>
      </c>
    </row>
    <row r="4268" spans="1:40" x14ac:dyDescent="0.25">
      <c r="A4268" t="str">
        <f>"20190312154007135"</f>
        <v>20190312154007135</v>
      </c>
      <c r="B4268" t="str">
        <f>"1552376407129974"</f>
        <v>1552376407129974</v>
      </c>
      <c r="C4268" t="s">
        <v>40</v>
      </c>
      <c r="D4268">
        <v>4.0060900000000004</v>
      </c>
      <c r="E4268">
        <v>0.4693737</v>
      </c>
      <c r="F4268" t="s">
        <v>62</v>
      </c>
      <c r="G4268">
        <v>-425.4085</v>
      </c>
      <c r="H4268" s="1">
        <v>3.0793229999999999E-6</v>
      </c>
      <c r="I4268">
        <v>213.76859999999999</v>
      </c>
      <c r="J4268">
        <v>-463.43169999999998</v>
      </c>
      <c r="K4268">
        <v>1.1084369999999999</v>
      </c>
      <c r="L4268">
        <v>216.18860000000001</v>
      </c>
      <c r="M4268">
        <v>0.98934129999999998</v>
      </c>
      <c r="N4268">
        <v>0</v>
      </c>
      <c r="O4268">
        <v>-0.14559069999999999</v>
      </c>
      <c r="P4268">
        <v>0.98936829999999998</v>
      </c>
      <c r="Q4268">
        <v>-1.486097E-3</v>
      </c>
      <c r="R4268">
        <v>-0.14542289999999999</v>
      </c>
      <c r="S4268">
        <v>3.0036619999999998</v>
      </c>
      <c r="T4268">
        <v>-8.7112780000000001E-2</v>
      </c>
      <c r="U4268">
        <v>-0.19242860000000001</v>
      </c>
      <c r="V4268">
        <v>-1.676704E-4</v>
      </c>
      <c r="W4268">
        <v>-4.1575179999999998E-3</v>
      </c>
      <c r="X4268">
        <v>0.99999139999999997</v>
      </c>
      <c r="Y4268">
        <v>-8.1946279999999996E-2</v>
      </c>
      <c r="Z4268">
        <v>5.3879080000000003E-3</v>
      </c>
      <c r="AA4268">
        <v>0.99662220000000001</v>
      </c>
      <c r="AB4268">
        <v>21</v>
      </c>
      <c r="AC4268">
        <v>38.023199999999903</v>
      </c>
      <c r="AD4268">
        <v>-1.108433920677</v>
      </c>
      <c r="AE4268">
        <v>-2.4200000000000101</v>
      </c>
      <c r="AF4268">
        <v>-3.1389728027949602</v>
      </c>
      <c r="AG4268">
        <v>-1.108433920677</v>
      </c>
      <c r="AH4268">
        <v>37.938276879889301</v>
      </c>
      <c r="AI4268">
        <v>91.667825780982895</v>
      </c>
      <c r="AJ4268">
        <v>94.729818654527506</v>
      </c>
      <c r="AK4268">
        <v>38.084046904554903</v>
      </c>
      <c r="AL4268">
        <v>90.238208907415498</v>
      </c>
      <c r="AM4268">
        <v>90.009606888798501</v>
      </c>
      <c r="AN4268">
        <v>1.0000000565716201</v>
      </c>
    </row>
    <row r="4269" spans="1:40" x14ac:dyDescent="0.25">
      <c r="A4269" t="str">
        <f>"20190312154007169"</f>
        <v>20190312154007169</v>
      </c>
      <c r="B4269" t="str">
        <f>"1552376407160230"</f>
        <v>1552376407160230</v>
      </c>
      <c r="C4269" t="s">
        <v>40</v>
      </c>
      <c r="D4269">
        <v>4.042008</v>
      </c>
      <c r="E4269">
        <v>0.4690493</v>
      </c>
      <c r="F4269" t="s">
        <v>62</v>
      </c>
      <c r="G4269">
        <v>-425.79969999999997</v>
      </c>
      <c r="H4269" s="1">
        <v>3.0095940000000002E-6</v>
      </c>
      <c r="I4269">
        <v>213.77250000000001</v>
      </c>
      <c r="J4269">
        <v>-463.11040000000003</v>
      </c>
      <c r="K4269">
        <v>1.1084620000000001</v>
      </c>
      <c r="L4269">
        <v>216.142</v>
      </c>
      <c r="M4269">
        <v>0.98943380000000003</v>
      </c>
      <c r="N4269">
        <v>0</v>
      </c>
      <c r="O4269">
        <v>-0.14496099999999901</v>
      </c>
      <c r="P4269">
        <v>0.9893421</v>
      </c>
      <c r="Q4269">
        <v>-1.303666E-3</v>
      </c>
      <c r="R4269">
        <v>-0.14560409999999999</v>
      </c>
      <c r="S4269">
        <v>3.003784</v>
      </c>
      <c r="T4269">
        <v>-8.8475230000000002E-2</v>
      </c>
      <c r="U4269">
        <v>-0.19285579999999999</v>
      </c>
      <c r="V4269">
        <v>6.5175529999999995E-4</v>
      </c>
      <c r="W4269">
        <v>-3.9677030000000004E-3</v>
      </c>
      <c r="X4269">
        <v>0.99999190000000004</v>
      </c>
      <c r="Y4269">
        <v>-8.1170919999999994E-2</v>
      </c>
      <c r="Z4269">
        <v>5.4421419999999996E-3</v>
      </c>
      <c r="AA4269">
        <v>0.9966853</v>
      </c>
      <c r="AB4269">
        <v>21</v>
      </c>
      <c r="AC4269">
        <v>37.310699999999997</v>
      </c>
      <c r="AD4269">
        <v>-1.108458990406</v>
      </c>
      <c r="AE4269">
        <v>-2.36949999999998</v>
      </c>
      <c r="AF4269">
        <v>-3.0614525790363598</v>
      </c>
      <c r="AG4269">
        <v>-1.108458990406</v>
      </c>
      <c r="AH4269">
        <v>37.227358846465002</v>
      </c>
      <c r="AI4269">
        <v>91.699765497062103</v>
      </c>
      <c r="AJ4269">
        <v>94.7012330004967</v>
      </c>
      <c r="AK4269">
        <v>37.369471763868603</v>
      </c>
      <c r="AL4269">
        <v>90.227333236428095</v>
      </c>
      <c r="AM4269">
        <v>89.962656874843006</v>
      </c>
      <c r="AN4269">
        <v>0.99999998375883803</v>
      </c>
    </row>
    <row r="4270" spans="1:40" x14ac:dyDescent="0.25">
      <c r="A4270" t="str">
        <f>"20190312154007192"</f>
        <v>20190312154007192</v>
      </c>
      <c r="B4270" t="str">
        <f>"1552376407179749"</f>
        <v>1552376407179749</v>
      </c>
      <c r="C4270" t="s">
        <v>40</v>
      </c>
      <c r="D4270">
        <v>4.0351280000000003</v>
      </c>
      <c r="E4270">
        <v>0.46889150000000002</v>
      </c>
      <c r="F4270" t="s">
        <v>62</v>
      </c>
      <c r="G4270">
        <v>-425.81869999999998</v>
      </c>
      <c r="H4270" s="1">
        <v>3.0059540000000001E-6</v>
      </c>
      <c r="I4270">
        <v>213.7756</v>
      </c>
      <c r="J4270">
        <v>-462.8904</v>
      </c>
      <c r="K4270">
        <v>1.108495</v>
      </c>
      <c r="L4270">
        <v>216.1103</v>
      </c>
      <c r="M4270">
        <v>0.98950649999999996</v>
      </c>
      <c r="N4270">
        <v>0</v>
      </c>
      <c r="O4270">
        <v>-0.1444647</v>
      </c>
      <c r="P4270">
        <v>0.98931230000000003</v>
      </c>
      <c r="Q4270">
        <v>-1.9841519999999999E-3</v>
      </c>
      <c r="R4270">
        <v>-0.14579929999999999</v>
      </c>
      <c r="S4270">
        <v>3.0041199999999999</v>
      </c>
      <c r="T4270">
        <v>-8.9294429999999994E-2</v>
      </c>
      <c r="U4270">
        <v>-0.19062809999999999</v>
      </c>
      <c r="V4270">
        <v>1.3517399999999999E-3</v>
      </c>
      <c r="W4270">
        <v>-4.6319789999999996E-3</v>
      </c>
      <c r="X4270">
        <v>0.9999884</v>
      </c>
      <c r="Y4270">
        <v>-8.1412579999999998E-2</v>
      </c>
      <c r="Z4270">
        <v>5.4810889999999998E-3</v>
      </c>
      <c r="AA4270">
        <v>0.99666540000000003</v>
      </c>
      <c r="AB4270">
        <v>21</v>
      </c>
      <c r="AC4270">
        <v>37.0717</v>
      </c>
      <c r="AD4270">
        <v>-1.1084919940459901</v>
      </c>
      <c r="AE4270">
        <v>-2.33469999999999</v>
      </c>
      <c r="AF4270">
        <v>-3.0426519533007301</v>
      </c>
      <c r="AG4270">
        <v>-1.1084919940459901</v>
      </c>
      <c r="AH4270">
        <v>36.987157284631401</v>
      </c>
      <c r="AI4270">
        <v>91.710844864835394</v>
      </c>
      <c r="AJ4270">
        <v>94.702698948835007</v>
      </c>
      <c r="AK4270">
        <v>37.128645132940797</v>
      </c>
      <c r="AL4270">
        <v>90.265393785556896</v>
      </c>
      <c r="AM4270">
        <v>89.922550151755402</v>
      </c>
      <c r="AN4270">
        <v>1.0000000412825201</v>
      </c>
    </row>
    <row r="4271" spans="1:40" x14ac:dyDescent="0.25">
      <c r="A4271" t="str">
        <f>"20190312154007213"</f>
        <v>20190312154007213</v>
      </c>
      <c r="B4271" t="str">
        <f>"1552376407210006"</f>
        <v>1552376407210006</v>
      </c>
      <c r="C4271" t="s">
        <v>40</v>
      </c>
      <c r="D4271">
        <v>4.0516009999999998</v>
      </c>
      <c r="E4271">
        <v>0.46861039999999998</v>
      </c>
      <c r="F4271" t="s">
        <v>62</v>
      </c>
      <c r="G4271">
        <v>-426.3184</v>
      </c>
      <c r="H4271" s="1">
        <v>2.9153720000000001E-6</v>
      </c>
      <c r="I4271">
        <v>213.7978</v>
      </c>
      <c r="J4271">
        <v>-462.68290000000002</v>
      </c>
      <c r="K4271">
        <v>1.1085259999999999</v>
      </c>
      <c r="L4271">
        <v>216.0805</v>
      </c>
      <c r="M4271">
        <v>0.9895834</v>
      </c>
      <c r="N4271">
        <v>0</v>
      </c>
      <c r="O4271">
        <v>-0.1439366</v>
      </c>
      <c r="P4271">
        <v>0.9892862</v>
      </c>
      <c r="Q4271">
        <v>-2.404032E-3</v>
      </c>
      <c r="R4271">
        <v>-0.1459704</v>
      </c>
      <c r="S4271">
        <v>3.0042110000000002</v>
      </c>
      <c r="T4271">
        <v>-9.1057180000000001E-2</v>
      </c>
      <c r="U4271">
        <v>-0.18995670000000001</v>
      </c>
      <c r="V4271">
        <v>2.059197E-3</v>
      </c>
      <c r="W4271">
        <v>-5.0292480000000001E-3</v>
      </c>
      <c r="X4271">
        <v>0.99998520000000002</v>
      </c>
      <c r="Y4271">
        <v>-8.1100920000000007E-2</v>
      </c>
      <c r="Z4271">
        <v>5.5685889999999997E-3</v>
      </c>
      <c r="AA4271">
        <v>0.99669030000000003</v>
      </c>
      <c r="AB4271">
        <v>22</v>
      </c>
      <c r="AC4271">
        <v>36.3645</v>
      </c>
      <c r="AD4271">
        <v>-1.1085230846279901</v>
      </c>
      <c r="AE4271">
        <v>-2.2827000000000002</v>
      </c>
      <c r="AF4271">
        <v>-2.9725194193406601</v>
      </c>
      <c r="AG4271">
        <v>-1.1085230846279901</v>
      </c>
      <c r="AH4271">
        <v>36.280814061941399</v>
      </c>
      <c r="AI4271">
        <v>91.744228562463505</v>
      </c>
      <c r="AJ4271">
        <v>94.683832613709697</v>
      </c>
      <c r="AK4271">
        <v>36.419255403215999</v>
      </c>
      <c r="AL4271">
        <v>90.288155908801897</v>
      </c>
      <c r="AM4271">
        <v>89.882015123303503</v>
      </c>
      <c r="AN4271">
        <v>0.999999966923384</v>
      </c>
    </row>
    <row r="4272" spans="1:40" x14ac:dyDescent="0.25">
      <c r="A4272" t="str">
        <f>"20190312154007236"</f>
        <v>20190312154007236</v>
      </c>
      <c r="B4272" t="str">
        <f>"1552376407230502"</f>
        <v>1552376407230502</v>
      </c>
      <c r="C4272" t="s">
        <v>40</v>
      </c>
      <c r="D4272">
        <v>4.0947610000000001</v>
      </c>
      <c r="E4272">
        <v>0.4684238</v>
      </c>
      <c r="F4272" t="s">
        <v>62</v>
      </c>
      <c r="G4272">
        <v>-426.72340000000003</v>
      </c>
      <c r="H4272" s="1">
        <v>2.8407639999999998E-6</v>
      </c>
      <c r="I4272">
        <v>213.82939999999999</v>
      </c>
      <c r="J4272">
        <v>-462.45659999999998</v>
      </c>
      <c r="K4272">
        <v>1.1085700000000001</v>
      </c>
      <c r="L4272">
        <v>216.04820000000001</v>
      </c>
      <c r="M4272">
        <v>0.98967839999999996</v>
      </c>
      <c r="N4272">
        <v>0</v>
      </c>
      <c r="O4272">
        <v>-0.14328350000000001</v>
      </c>
      <c r="P4272">
        <v>0.98921389999999998</v>
      </c>
      <c r="Q4272">
        <v>-3.1498749999999999E-3</v>
      </c>
      <c r="R4272">
        <v>-0.14644509999999999</v>
      </c>
      <c r="S4272">
        <v>3.0045169999999999</v>
      </c>
      <c r="T4272">
        <v>-9.2620369999999994E-2</v>
      </c>
      <c r="U4272">
        <v>-0.18807979999999999</v>
      </c>
      <c r="V4272">
        <v>3.2006669999999999E-3</v>
      </c>
      <c r="W4272">
        <v>-5.7431060000000004E-3</v>
      </c>
      <c r="X4272">
        <v>0.99997840000000005</v>
      </c>
      <c r="Y4272">
        <v>-8.1066379999999993E-2</v>
      </c>
      <c r="Z4272">
        <v>5.6432879999999998E-3</v>
      </c>
      <c r="AA4272">
        <v>0.99669269999999999</v>
      </c>
      <c r="AB4272">
        <v>22</v>
      </c>
      <c r="AC4272">
        <v>35.733199999999897</v>
      </c>
      <c r="AD4272">
        <v>-1.108567159236</v>
      </c>
      <c r="AE4272">
        <v>-2.2188000000000101</v>
      </c>
      <c r="AF4272">
        <v>-2.9212882281396402</v>
      </c>
      <c r="AG4272">
        <v>-1.108567159236</v>
      </c>
      <c r="AH4272">
        <v>35.648231634618298</v>
      </c>
      <c r="AI4272">
        <v>91.775228607582903</v>
      </c>
      <c r="AJ4272">
        <v>94.6847855068158</v>
      </c>
      <c r="AK4272">
        <v>35.784902748698499</v>
      </c>
      <c r="AL4272">
        <v>90.329057539404701</v>
      </c>
      <c r="AM4272">
        <v>89.816611954328707</v>
      </c>
      <c r="AN4272">
        <v>1.00000001400116</v>
      </c>
    </row>
    <row r="4273" spans="1:40" x14ac:dyDescent="0.25">
      <c r="A4273" t="str">
        <f>"20190312154007259"</f>
        <v>20190312154007259</v>
      </c>
      <c r="B4273" t="str">
        <f>"1552376407250022"</f>
        <v>1552376407250022</v>
      </c>
      <c r="C4273" t="s">
        <v>40</v>
      </c>
      <c r="D4273">
        <v>4.0732010000000001</v>
      </c>
      <c r="E4273">
        <v>0.46828619999999999</v>
      </c>
      <c r="F4273" t="s">
        <v>62</v>
      </c>
      <c r="G4273">
        <v>-427.50170000000003</v>
      </c>
      <c r="H4273" s="1">
        <v>2.6999670000000001E-6</v>
      </c>
      <c r="I4273">
        <v>213.86080000000001</v>
      </c>
      <c r="J4273">
        <v>-462.22219999999999</v>
      </c>
      <c r="K4273">
        <v>1.1086259999999999</v>
      </c>
      <c r="L4273">
        <v>216.01499999999999</v>
      </c>
      <c r="M4273">
        <v>0.98979099999999998</v>
      </c>
      <c r="N4273">
        <v>0</v>
      </c>
      <c r="O4273">
        <v>-0.14250360000000001</v>
      </c>
      <c r="P4273">
        <v>0.98923470000000002</v>
      </c>
      <c r="Q4273">
        <v>-4.7301829999999998E-3</v>
      </c>
      <c r="R4273">
        <v>-0.1462608</v>
      </c>
      <c r="S4273">
        <v>3.0045470000000001</v>
      </c>
      <c r="T4273">
        <v>-9.5287079999999996E-2</v>
      </c>
      <c r="U4273">
        <v>-0.18801880000000001</v>
      </c>
      <c r="V4273">
        <v>3.8060540000000001E-3</v>
      </c>
      <c r="W4273">
        <v>-7.2837989999999997E-3</v>
      </c>
      <c r="X4273">
        <v>0.99996620000000003</v>
      </c>
      <c r="Y4273">
        <v>-8.0296389999999995E-2</v>
      </c>
      <c r="Z4273">
        <v>5.7689849999999999E-3</v>
      </c>
      <c r="AA4273">
        <v>0.99675429999999998</v>
      </c>
      <c r="AB4273">
        <v>22</v>
      </c>
      <c r="AC4273">
        <v>34.720499999999902</v>
      </c>
      <c r="AD4273">
        <v>-1.1086233000329999</v>
      </c>
      <c r="AE4273">
        <v>-2.1541999999999701</v>
      </c>
      <c r="AF4273">
        <v>-2.8127409715694802</v>
      </c>
      <c r="AG4273">
        <v>-1.1086233000329999</v>
      </c>
      <c r="AH4273">
        <v>34.637953670894902</v>
      </c>
      <c r="AI4273">
        <v>91.827174224473495</v>
      </c>
      <c r="AJ4273">
        <v>94.642461051192498</v>
      </c>
      <c r="AK4273">
        <v>34.769647566542602</v>
      </c>
      <c r="AL4273">
        <v>90.417334644098901</v>
      </c>
      <c r="AM4273">
        <v>89.7819228512503</v>
      </c>
      <c r="AN4273">
        <v>0.99999997045868105</v>
      </c>
    </row>
    <row r="4274" spans="1:40" x14ac:dyDescent="0.25">
      <c r="A4274" t="str">
        <f>"20190312154007282"</f>
        <v>20190312154007282</v>
      </c>
      <c r="B4274" t="str">
        <f>"1552376407270518"</f>
        <v>1552376407270518</v>
      </c>
      <c r="C4274" t="s">
        <v>40</v>
      </c>
      <c r="D4274">
        <v>4.0797559999999997</v>
      </c>
      <c r="E4274">
        <v>0.46812280000000001</v>
      </c>
      <c r="F4274" t="s">
        <v>62</v>
      </c>
      <c r="G4274">
        <v>-429.18880000000001</v>
      </c>
      <c r="H4274" s="1">
        <v>2.3916600000000001E-6</v>
      </c>
      <c r="I4274">
        <v>213.96430000000001</v>
      </c>
      <c r="J4274">
        <v>-461.9966</v>
      </c>
      <c r="K4274">
        <v>1.10869</v>
      </c>
      <c r="L4274">
        <v>215.98330000000001</v>
      </c>
      <c r="M4274">
        <v>0.98991309999999999</v>
      </c>
      <c r="N4274">
        <v>0</v>
      </c>
      <c r="O4274">
        <v>-0.14165339999999901</v>
      </c>
      <c r="P4274">
        <v>0.98928119999999997</v>
      </c>
      <c r="Q4274">
        <v>-5.9421400000000003E-3</v>
      </c>
      <c r="R4274">
        <v>-0.14590220000000001</v>
      </c>
      <c r="S4274">
        <v>3.0046080000000002</v>
      </c>
      <c r="T4274">
        <v>-0.1008366</v>
      </c>
      <c r="U4274">
        <v>-0.18652340000000001</v>
      </c>
      <c r="V4274">
        <v>4.3060490000000002E-3</v>
      </c>
      <c r="W4274">
        <v>-8.4521119999999995E-3</v>
      </c>
      <c r="X4274">
        <v>0.99995500000000004</v>
      </c>
      <c r="Y4274">
        <v>-7.9923079999999994E-2</v>
      </c>
      <c r="Z4274">
        <v>6.0703290000000002E-3</v>
      </c>
      <c r="AA4274">
        <v>0.99678250000000002</v>
      </c>
      <c r="AB4274">
        <v>23</v>
      </c>
      <c r="AC4274">
        <v>32.807799999999901</v>
      </c>
      <c r="AD4274">
        <v>-1.1086876083399999</v>
      </c>
      <c r="AE4274">
        <v>-2.0190000000000001</v>
      </c>
      <c r="AF4274">
        <v>-2.6457003251524198</v>
      </c>
      <c r="AG4274">
        <v>-1.1086876083399999</v>
      </c>
      <c r="AH4274">
        <v>32.725741918870099</v>
      </c>
      <c r="AI4274">
        <v>91.934027788007995</v>
      </c>
      <c r="AJ4274">
        <v>94.622003705504099</v>
      </c>
      <c r="AK4274">
        <v>32.851226804548602</v>
      </c>
      <c r="AL4274">
        <v>90.484276115948006</v>
      </c>
      <c r="AM4274">
        <v>89.753271988172401</v>
      </c>
      <c r="AN4274">
        <v>0.99999999114012506</v>
      </c>
    </row>
    <row r="4275" spans="1:40" x14ac:dyDescent="0.25">
      <c r="A4275" t="str">
        <f>"20190312154007305"</f>
        <v>20190312154007305</v>
      </c>
      <c r="B4275" t="str">
        <f>"1552376407299800"</f>
        <v>1552376407299800</v>
      </c>
      <c r="C4275" t="s">
        <v>40</v>
      </c>
      <c r="D4275">
        <v>4.1238780000000004</v>
      </c>
      <c r="E4275">
        <v>0.4679103</v>
      </c>
      <c r="F4275" t="s">
        <v>62</v>
      </c>
      <c r="G4275">
        <v>-430.40309999999999</v>
      </c>
      <c r="H4275" s="1">
        <v>2.445317E-6</v>
      </c>
      <c r="I4275">
        <v>214.04939999999999</v>
      </c>
      <c r="J4275">
        <v>-461.75420000000003</v>
      </c>
      <c r="K4275">
        <v>1.1087579999999999</v>
      </c>
      <c r="L4275">
        <v>215.9496</v>
      </c>
      <c r="M4275">
        <v>0.99005659999999895</v>
      </c>
      <c r="N4275">
        <v>0</v>
      </c>
      <c r="O4275">
        <v>-0.1406472</v>
      </c>
      <c r="P4275">
        <v>0.98943190000000003</v>
      </c>
      <c r="Q4275">
        <v>-6.3336260000000002E-3</v>
      </c>
      <c r="R4275">
        <v>-0.14486009999999999</v>
      </c>
      <c r="S4275">
        <v>3.0047299999999999</v>
      </c>
      <c r="T4275">
        <v>-0.1054428</v>
      </c>
      <c r="U4275">
        <v>-0.18392939999999999</v>
      </c>
      <c r="V4275">
        <v>4.2715230000000002E-3</v>
      </c>
      <c r="W4275">
        <v>-8.7928940000000008E-3</v>
      </c>
      <c r="X4275">
        <v>0.99995219999999996</v>
      </c>
      <c r="Y4275">
        <v>-7.9758899999999994E-2</v>
      </c>
      <c r="Z4275">
        <v>6.3096389999999997E-3</v>
      </c>
      <c r="AA4275">
        <v>0.99679419999999996</v>
      </c>
      <c r="AB4275">
        <v>23</v>
      </c>
      <c r="AC4275">
        <v>31.351099999999999</v>
      </c>
      <c r="AD4275">
        <v>-1.1087555546829999</v>
      </c>
      <c r="AE4275">
        <v>-1.9002000000000101</v>
      </c>
      <c r="AF4275">
        <v>-2.5250002841414898</v>
      </c>
      <c r="AG4275">
        <v>-1.1087555546829999</v>
      </c>
      <c r="AH4275">
        <v>31.267755200632902</v>
      </c>
      <c r="AI4275">
        <v>92.024275021266007</v>
      </c>
      <c r="AJ4275">
        <v>94.616852215691793</v>
      </c>
      <c r="AK4275">
        <v>31.389129975226499</v>
      </c>
      <c r="AL4275">
        <v>90.503802217233698</v>
      </c>
      <c r="AM4275">
        <v>89.755249549564098</v>
      </c>
      <c r="AN4275">
        <v>0.99999998158923697</v>
      </c>
    </row>
    <row r="4276" spans="1:40" x14ac:dyDescent="0.25">
      <c r="A4276" t="str">
        <f>"20190312154007325"</f>
        <v>20190312154007325</v>
      </c>
      <c r="B4276" t="str">
        <f>"1552376407320294"</f>
        <v>1552376407320294</v>
      </c>
      <c r="C4276" t="s">
        <v>40</v>
      </c>
      <c r="D4276">
        <v>4.09091</v>
      </c>
      <c r="E4276">
        <v>0.46780110000000003</v>
      </c>
      <c r="F4276" t="s">
        <v>62</v>
      </c>
      <c r="G4276">
        <v>-430.73379999999997</v>
      </c>
      <c r="H4276" s="1">
        <v>2.5873129999999999E-6</v>
      </c>
      <c r="I4276">
        <v>214.10239999999999</v>
      </c>
      <c r="J4276">
        <v>-461.54739999999998</v>
      </c>
      <c r="K4276">
        <v>1.108814</v>
      </c>
      <c r="L4276">
        <v>215.9212</v>
      </c>
      <c r="M4276">
        <v>0.99018879999999998</v>
      </c>
      <c r="N4276">
        <v>0</v>
      </c>
      <c r="O4276">
        <v>-0.13971549999999999</v>
      </c>
      <c r="P4276">
        <v>0.98960210000000004</v>
      </c>
      <c r="Q4276">
        <v>-7.0512760000000004E-3</v>
      </c>
      <c r="R4276">
        <v>-0.1436607</v>
      </c>
      <c r="S4276">
        <v>3.0051570000000001</v>
      </c>
      <c r="T4276">
        <v>-0.1074126</v>
      </c>
      <c r="U4276">
        <v>-0.17895510000000001</v>
      </c>
      <c r="V4276">
        <v>4.0034950000000001E-3</v>
      </c>
      <c r="W4276">
        <v>-9.4642649999999995E-3</v>
      </c>
      <c r="X4276">
        <v>0.99994720000000004</v>
      </c>
      <c r="Y4276">
        <v>-8.0468479999999995E-2</v>
      </c>
      <c r="Z4276">
        <v>6.406709E-3</v>
      </c>
      <c r="AA4276">
        <v>0.99673659999999997</v>
      </c>
      <c r="AB4276">
        <v>23</v>
      </c>
      <c r="AC4276">
        <v>30.813600000000001</v>
      </c>
      <c r="AD4276">
        <v>-1.1088114126869999</v>
      </c>
      <c r="AE4276">
        <v>-1.81880000000001</v>
      </c>
      <c r="AF4276">
        <v>-2.5009620933604801</v>
      </c>
      <c r="AG4276">
        <v>-1.1088114126869999</v>
      </c>
      <c r="AH4276">
        <v>30.725835916747702</v>
      </c>
      <c r="AI4276">
        <v>92.059944443846405</v>
      </c>
      <c r="AJ4276">
        <v>94.653392268616898</v>
      </c>
      <c r="AK4276">
        <v>30.8473867114256</v>
      </c>
      <c r="AL4276">
        <v>90.542270535470095</v>
      </c>
      <c r="AM4276">
        <v>89.770605746816003</v>
      </c>
      <c r="AN4276">
        <v>1.00000000153602</v>
      </c>
    </row>
    <row r="4277" spans="1:40" x14ac:dyDescent="0.25">
      <c r="A4277" t="str">
        <f>"20190312154007349"</f>
        <v>20190312154007349</v>
      </c>
      <c r="B4277" t="str">
        <f>"1552376407340791"</f>
        <v>1552376407340791</v>
      </c>
      <c r="C4277" t="s">
        <v>40</v>
      </c>
      <c r="D4277">
        <v>4.1231159999999996</v>
      </c>
      <c r="E4277">
        <v>0.46776139999999999</v>
      </c>
      <c r="F4277" t="s">
        <v>62</v>
      </c>
      <c r="G4277">
        <v>-431.13850000000002</v>
      </c>
      <c r="H4277" s="1">
        <v>2.7621389999999998E-6</v>
      </c>
      <c r="I4277">
        <v>214.15559999999999</v>
      </c>
      <c r="J4277">
        <v>-461.29759999999999</v>
      </c>
      <c r="K4277">
        <v>1.108887</v>
      </c>
      <c r="L4277">
        <v>215.8871</v>
      </c>
      <c r="M4277">
        <v>0.99036000000000002</v>
      </c>
      <c r="N4277">
        <v>0</v>
      </c>
      <c r="O4277">
        <v>-0.13849779999999901</v>
      </c>
      <c r="P4277">
        <v>0.98974479999999998</v>
      </c>
      <c r="Q4277">
        <v>-7.1470819999999999E-3</v>
      </c>
      <c r="R4277">
        <v>-0.14266909999999999</v>
      </c>
      <c r="S4277">
        <v>3.0054319999999999</v>
      </c>
      <c r="T4277">
        <v>-0.10958809999999999</v>
      </c>
      <c r="U4277">
        <v>-0.1744995</v>
      </c>
      <c r="V4277">
        <v>4.2329969999999996E-3</v>
      </c>
      <c r="W4277">
        <v>-9.499759E-3</v>
      </c>
      <c r="X4277">
        <v>0.99994590000000005</v>
      </c>
      <c r="Y4277">
        <v>-8.0715759999999998E-2</v>
      </c>
      <c r="Z4277">
        <v>6.4967790000000003E-3</v>
      </c>
      <c r="AA4277">
        <v>0.99671600000000005</v>
      </c>
      <c r="AB4277">
        <v>23</v>
      </c>
      <c r="AC4277">
        <v>30.159099999999899</v>
      </c>
      <c r="AD4277">
        <v>-1.108884237861</v>
      </c>
      <c r="AE4277">
        <v>-1.73150000000001</v>
      </c>
      <c r="AF4277">
        <v>-2.4588542082794498</v>
      </c>
      <c r="AG4277">
        <v>-1.108884237861</v>
      </c>
      <c r="AH4277">
        <v>30.067742750710501</v>
      </c>
      <c r="AI4277">
        <v>92.105063525006301</v>
      </c>
      <c r="AJ4277">
        <v>94.675082343383593</v>
      </c>
      <c r="AK4277">
        <v>30.1884869179205</v>
      </c>
      <c r="AL4277">
        <v>90.544304293216001</v>
      </c>
      <c r="AM4277">
        <v>89.757455464279502</v>
      </c>
      <c r="AN4277">
        <v>0.99999998330573403</v>
      </c>
    </row>
    <row r="4278" spans="1:40" x14ac:dyDescent="0.25">
      <c r="A4278" t="str">
        <f>"20190312154007371"</f>
        <v>20190312154007371</v>
      </c>
      <c r="B4278" t="str">
        <f>"1552376407360310"</f>
        <v>1552376407360310</v>
      </c>
      <c r="C4278" t="s">
        <v>40</v>
      </c>
      <c r="D4278">
        <v>4.1624119999999998</v>
      </c>
      <c r="E4278">
        <v>0.4923167</v>
      </c>
      <c r="F4278" t="s">
        <v>62</v>
      </c>
      <c r="G4278">
        <v>-430.9271</v>
      </c>
      <c r="H4278" s="1">
        <v>2.6683369999999999E-6</v>
      </c>
      <c r="I4278">
        <v>214.15610000000001</v>
      </c>
      <c r="J4278">
        <v>-461.06979999999999</v>
      </c>
      <c r="K4278">
        <v>1.1089519999999999</v>
      </c>
      <c r="L4278">
        <v>215.85650000000001</v>
      </c>
      <c r="M4278">
        <v>0.99052680000000004</v>
      </c>
      <c r="N4278">
        <v>0</v>
      </c>
      <c r="O4278">
        <v>-0.1373009</v>
      </c>
      <c r="P4278">
        <v>0.98984159999999999</v>
      </c>
      <c r="Q4278">
        <v>-7.9936720000000003E-3</v>
      </c>
      <c r="R4278">
        <v>-0.1419504</v>
      </c>
      <c r="S4278">
        <v>3.0056150000000001</v>
      </c>
      <c r="T4278">
        <v>-0.1097404</v>
      </c>
      <c r="U4278">
        <v>-0.1713104</v>
      </c>
      <c r="V4278">
        <v>4.7196850000000004E-3</v>
      </c>
      <c r="W4278">
        <v>-1.0287640000000001E-2</v>
      </c>
      <c r="X4278">
        <v>0.99993589999999999</v>
      </c>
      <c r="Y4278">
        <v>-8.0569279999999993E-2</v>
      </c>
      <c r="Z4278">
        <v>6.4597730000000003E-3</v>
      </c>
      <c r="AA4278">
        <v>0.99672810000000001</v>
      </c>
      <c r="AB4278">
        <v>24</v>
      </c>
      <c r="AC4278">
        <v>30.142699999999898</v>
      </c>
      <c r="AD4278">
        <v>-1.1089493316629999</v>
      </c>
      <c r="AE4278">
        <v>-1.7003999999999999</v>
      </c>
      <c r="AF4278">
        <v>-2.45102740404054</v>
      </c>
      <c r="AG4278">
        <v>-1.1089493316629999</v>
      </c>
      <c r="AH4278">
        <v>30.050151739712799</v>
      </c>
      <c r="AI4278">
        <v>92.106454524890793</v>
      </c>
      <c r="AJ4278">
        <v>94.662982730689095</v>
      </c>
      <c r="AK4278">
        <v>30.170331843307899</v>
      </c>
      <c r="AL4278">
        <v>90.589448775930407</v>
      </c>
      <c r="AM4278">
        <v>89.729566642213399</v>
      </c>
      <c r="AN4278">
        <v>0.99999995753603799</v>
      </c>
    </row>
    <row r="4279" spans="1:40" x14ac:dyDescent="0.25">
      <c r="A4279" t="str">
        <f>"20190312154007392"</f>
        <v>20190312154007392</v>
      </c>
      <c r="B4279" t="str">
        <f>"1552376407390566"</f>
        <v>1552376407390566</v>
      </c>
      <c r="C4279" t="s">
        <v>40</v>
      </c>
      <c r="D4279">
        <v>4.0946030000000002</v>
      </c>
      <c r="E4279">
        <v>0.50865039999999995</v>
      </c>
      <c r="F4279" t="s">
        <v>61</v>
      </c>
      <c r="G4279">
        <v>-392.86110000000002</v>
      </c>
      <c r="H4279">
        <v>8.0000619999999995E-2</v>
      </c>
      <c r="I4279">
        <v>207.50540000000001</v>
      </c>
      <c r="J4279">
        <v>-460.8329</v>
      </c>
      <c r="K4279">
        <v>1.109024</v>
      </c>
      <c r="L4279">
        <v>215.82499999999999</v>
      </c>
      <c r="M4279">
        <v>0.99071039999999999</v>
      </c>
      <c r="N4279">
        <v>0</v>
      </c>
      <c r="O4279">
        <v>-0.13597119999999999</v>
      </c>
      <c r="P4279">
        <v>0.98992729999999995</v>
      </c>
      <c r="Q4279">
        <v>-9.355403E-3</v>
      </c>
      <c r="R4279">
        <v>-0.14126949999999999</v>
      </c>
      <c r="S4279">
        <v>2.978119</v>
      </c>
      <c r="T4279">
        <v>-4.4925930000000003E-2</v>
      </c>
      <c r="U4279">
        <v>-0.364624</v>
      </c>
      <c r="V4279">
        <v>5.3801600000000002E-3</v>
      </c>
      <c r="W4279">
        <v>-1.158519E-2</v>
      </c>
      <c r="X4279">
        <v>0.99991839999999999</v>
      </c>
      <c r="Y4279">
        <v>-1.4548719999999999E-2</v>
      </c>
      <c r="Z4279">
        <v>2.143767E-3</v>
      </c>
      <c r="AA4279">
        <v>0.99989189999999994</v>
      </c>
      <c r="AB4279">
        <v>24</v>
      </c>
      <c r="AC4279">
        <v>67.971799999999902</v>
      </c>
      <c r="AD4279">
        <v>-1.0290233799999999</v>
      </c>
      <c r="AE4279">
        <v>-8.3195999999999799</v>
      </c>
      <c r="AF4279">
        <v>-0.99966960501403701</v>
      </c>
      <c r="AG4279">
        <v>-1.0290233799999999</v>
      </c>
      <c r="AH4279">
        <v>68.456299483256998</v>
      </c>
      <c r="AI4279">
        <v>90.861103697528506</v>
      </c>
      <c r="AJ4279">
        <v>90.8366326959802</v>
      </c>
      <c r="AK4279">
        <v>68.471330988795202</v>
      </c>
      <c r="AL4279">
        <v>90.663797351349302</v>
      </c>
      <c r="AM4279">
        <v>89.691717357780007</v>
      </c>
      <c r="AN4279">
        <v>0.99999998470375995</v>
      </c>
    </row>
    <row r="4280" spans="1:40" x14ac:dyDescent="0.25">
      <c r="A4280" t="str">
        <f>"20190312154007414"</f>
        <v>20190312154007414</v>
      </c>
      <c r="B4280" t="str">
        <f>"1552376407410087"</f>
        <v>1552376407410087</v>
      </c>
      <c r="C4280" t="s">
        <v>40</v>
      </c>
      <c r="D4280">
        <v>4.043107</v>
      </c>
      <c r="E4280">
        <v>0.51245839999999998</v>
      </c>
      <c r="F4280" t="s">
        <v>43</v>
      </c>
      <c r="G4280">
        <v>-382.25909999999999</v>
      </c>
      <c r="H4280">
        <v>-0.05</v>
      </c>
      <c r="I4280">
        <v>202.77080000000001</v>
      </c>
      <c r="J4280">
        <v>-460.59339999999997</v>
      </c>
      <c r="K4280">
        <v>1.109092</v>
      </c>
      <c r="L4280">
        <v>215.79349999999999</v>
      </c>
      <c r="M4280">
        <v>0.99090540000000005</v>
      </c>
      <c r="N4280">
        <v>0</v>
      </c>
      <c r="O4280">
        <v>-0.13454279999999999</v>
      </c>
      <c r="P4280">
        <v>0.99001749999999999</v>
      </c>
      <c r="Q4280">
        <v>-9.7103680000000005E-3</v>
      </c>
      <c r="R4280">
        <v>-0.14060999999999901</v>
      </c>
      <c r="S4280">
        <v>2.9599299999999999</v>
      </c>
      <c r="T4280">
        <v>-4.3661239999999997E-2</v>
      </c>
      <c r="U4280">
        <v>-0.49176029999999998</v>
      </c>
      <c r="V4280">
        <v>6.1587200000000003E-3</v>
      </c>
      <c r="W4280">
        <v>-1.187262E-2</v>
      </c>
      <c r="X4280">
        <v>0.99991050000000004</v>
      </c>
      <c r="Y4280">
        <v>2.968956E-2</v>
      </c>
      <c r="Z4280">
        <v>1.7435910000000001E-3</v>
      </c>
      <c r="AA4280">
        <v>0.99955769999999999</v>
      </c>
      <c r="AB4280">
        <v>24</v>
      </c>
      <c r="AC4280">
        <v>78.334299999999899</v>
      </c>
      <c r="AD4280">
        <v>-1.159092</v>
      </c>
      <c r="AE4280">
        <v>-13.022699999999899</v>
      </c>
      <c r="AF4280">
        <v>2.3644495215890502</v>
      </c>
      <c r="AG4280">
        <v>-1.159092</v>
      </c>
      <c r="AH4280">
        <v>79.357271375608704</v>
      </c>
      <c r="AI4280">
        <v>90.836431299421307</v>
      </c>
      <c r="AJ4280">
        <v>88.293377416949497</v>
      </c>
      <c r="AK4280">
        <v>79.400948583670001</v>
      </c>
      <c r="AL4280">
        <v>90.680267035092001</v>
      </c>
      <c r="AM4280">
        <v>89.647104214737894</v>
      </c>
      <c r="AN4280">
        <v>0.999999948473975</v>
      </c>
    </row>
    <row r="4281" spans="1:40" x14ac:dyDescent="0.25">
      <c r="A4281" t="str">
        <f>"20190312154007437"</f>
        <v>20190312154007437</v>
      </c>
      <c r="B4281" t="str">
        <f>"1552376407430583"</f>
        <v>1552376407430583</v>
      </c>
      <c r="C4281" t="s">
        <v>40</v>
      </c>
      <c r="D4281">
        <v>4.0294650000000001</v>
      </c>
      <c r="E4281">
        <v>0.51481899999999903</v>
      </c>
      <c r="F4281" t="s">
        <v>43</v>
      </c>
      <c r="G4281">
        <v>-385.33940000000001</v>
      </c>
      <c r="H4281">
        <v>-0.05</v>
      </c>
      <c r="I4281">
        <v>202.56270000000001</v>
      </c>
      <c r="J4281">
        <v>-460.34980000000002</v>
      </c>
      <c r="K4281">
        <v>1.109167</v>
      </c>
      <c r="L4281">
        <v>215.762</v>
      </c>
      <c r="M4281">
        <v>0.99111289999999996</v>
      </c>
      <c r="N4281">
        <v>0</v>
      </c>
      <c r="O4281">
        <v>-0.1330065</v>
      </c>
      <c r="P4281">
        <v>0.9901413</v>
      </c>
      <c r="Q4281">
        <v>-9.7668000000000008E-3</v>
      </c>
      <c r="R4281">
        <v>-0.13973250000000001</v>
      </c>
      <c r="S4281">
        <v>2.9560240000000002</v>
      </c>
      <c r="T4281">
        <v>-4.5529840000000002E-2</v>
      </c>
      <c r="U4281">
        <v>-0.51971440000000002</v>
      </c>
      <c r="V4281">
        <v>6.8248479999999997E-3</v>
      </c>
      <c r="W4281">
        <v>-1.185841E-2</v>
      </c>
      <c r="X4281">
        <v>0.99990639999999997</v>
      </c>
      <c r="Y4281">
        <v>4.0633809999999999E-2</v>
      </c>
      <c r="Z4281">
        <v>1.711986E-3</v>
      </c>
      <c r="AA4281">
        <v>0.99917259999999997</v>
      </c>
      <c r="AB4281">
        <v>24</v>
      </c>
      <c r="AC4281">
        <v>75.010400000000004</v>
      </c>
      <c r="AD4281">
        <v>-1.1591670000000001</v>
      </c>
      <c r="AE4281">
        <v>-13.1992999999999</v>
      </c>
      <c r="AF4281">
        <v>3.1044136120081398</v>
      </c>
      <c r="AG4281">
        <v>-1.1591670000000001</v>
      </c>
      <c r="AH4281">
        <v>76.081915340927395</v>
      </c>
      <c r="AI4281">
        <v>90.872152488877603</v>
      </c>
      <c r="AJ4281">
        <v>87.663423931016496</v>
      </c>
      <c r="AK4281">
        <v>76.154047127860196</v>
      </c>
      <c r="AL4281">
        <v>90.679452766566797</v>
      </c>
      <c r="AM4281">
        <v>89.608934482297101</v>
      </c>
      <c r="AN4281">
        <v>1.0000000045994499</v>
      </c>
    </row>
    <row r="4282" spans="1:40" x14ac:dyDescent="0.25">
      <c r="A4282" t="str">
        <f>"20190312154007461"</f>
        <v>20190312154007461</v>
      </c>
      <c r="B4282" t="str">
        <f>"1552376407450103"</f>
        <v>1552376407450103</v>
      </c>
      <c r="C4282" t="s">
        <v>40</v>
      </c>
      <c r="D4282">
        <v>3.9632170000000002</v>
      </c>
      <c r="E4282">
        <v>0.51613509999999996</v>
      </c>
      <c r="F4282" t="s">
        <v>43</v>
      </c>
      <c r="G4282">
        <v>-382.27940000000001</v>
      </c>
      <c r="H4282">
        <v>-0.05</v>
      </c>
      <c r="I4282">
        <v>201.59950000000001</v>
      </c>
      <c r="J4282">
        <v>-460.08620000000002</v>
      </c>
      <c r="K4282">
        <v>1.10924</v>
      </c>
      <c r="L4282">
        <v>215.72839999999999</v>
      </c>
      <c r="M4282">
        <v>0.99134770000000005</v>
      </c>
      <c r="N4282">
        <v>0</v>
      </c>
      <c r="O4282">
        <v>-0.1312469</v>
      </c>
      <c r="P4282">
        <v>0.99029149999999999</v>
      </c>
      <c r="Q4282">
        <v>-1.0018310000000001E-2</v>
      </c>
      <c r="R4282">
        <v>-0.13864570000000001</v>
      </c>
      <c r="S4282">
        <v>2.953827</v>
      </c>
      <c r="T4282">
        <v>-4.3857569999999999E-2</v>
      </c>
      <c r="U4282">
        <v>-0.53584290000000001</v>
      </c>
      <c r="V4282">
        <v>7.5054650000000002E-3</v>
      </c>
      <c r="W4282">
        <v>-1.203154E-2</v>
      </c>
      <c r="X4282">
        <v>0.99989939999999999</v>
      </c>
      <c r="Y4282">
        <v>4.7818409999999999E-2</v>
      </c>
      <c r="Z4282">
        <v>1.57086799999999E-3</v>
      </c>
      <c r="AA4282">
        <v>0.99885480000000004</v>
      </c>
      <c r="AB4282">
        <v>25</v>
      </c>
      <c r="AC4282">
        <v>77.806799999999996</v>
      </c>
      <c r="AD4282">
        <v>-1.15924</v>
      </c>
      <c r="AE4282">
        <v>-14.1288999999999</v>
      </c>
      <c r="AF4282">
        <v>3.79394349695316</v>
      </c>
      <c r="AG4282">
        <v>-1.15924</v>
      </c>
      <c r="AH4282">
        <v>78.971153755859206</v>
      </c>
      <c r="AI4282">
        <v>90.840031901801396</v>
      </c>
      <c r="AJ4282">
        <v>87.249502733680103</v>
      </c>
      <c r="AK4282">
        <v>79.070733967551007</v>
      </c>
      <c r="AL4282">
        <v>90.689373130207599</v>
      </c>
      <c r="AM4282">
        <v>89.569933343708001</v>
      </c>
      <c r="AN4282">
        <v>0.99999995003999698</v>
      </c>
    </row>
    <row r="4283" spans="1:40" x14ac:dyDescent="0.25">
      <c r="A4283" t="str">
        <f>"20190312154007485"</f>
        <v>20190312154007485</v>
      </c>
      <c r="B4283" t="str">
        <f>"1552376407480359"</f>
        <v>1552376407480359</v>
      </c>
      <c r="C4283" t="s">
        <v>40</v>
      </c>
      <c r="D4283">
        <v>3.9782039999999999</v>
      </c>
      <c r="E4283">
        <v>0.51772890000000005</v>
      </c>
      <c r="F4283" t="s">
        <v>43</v>
      </c>
      <c r="G4283">
        <v>-378.51920000000001</v>
      </c>
      <c r="H4283">
        <v>-0.05</v>
      </c>
      <c r="I4283">
        <v>200.7234</v>
      </c>
      <c r="J4283">
        <v>-459.82569999999998</v>
      </c>
      <c r="K4283">
        <v>1.10931</v>
      </c>
      <c r="L4283">
        <v>215.69579999999999</v>
      </c>
      <c r="M4283">
        <v>0.99158679999999999</v>
      </c>
      <c r="N4283">
        <v>0</v>
      </c>
      <c r="O4283">
        <v>-0.12942890000000001</v>
      </c>
      <c r="P4283">
        <v>0.99049290000000001</v>
      </c>
      <c r="Q4283">
        <v>-1.003429E-2</v>
      </c>
      <c r="R4283">
        <v>-0.13719770000000001</v>
      </c>
      <c r="S4283">
        <v>2.9529719999999999</v>
      </c>
      <c r="T4283">
        <v>-4.1967989999999997E-2</v>
      </c>
      <c r="U4283">
        <v>-0.54322809999999999</v>
      </c>
      <c r="V4283">
        <v>7.8791030000000001E-3</v>
      </c>
      <c r="W4283">
        <v>-1.1969209999999999E-2</v>
      </c>
      <c r="X4283">
        <v>0.99989729999999999</v>
      </c>
      <c r="Y4283">
        <v>5.2116370000000002E-2</v>
      </c>
      <c r="Z4283">
        <v>1.447622E-3</v>
      </c>
      <c r="AA4283">
        <v>0.99863990000000002</v>
      </c>
      <c r="AB4283">
        <v>25</v>
      </c>
      <c r="AC4283">
        <v>81.3064999999999</v>
      </c>
      <c r="AD4283">
        <v>-1.1593100000000001</v>
      </c>
      <c r="AE4283">
        <v>-14.972399999999899</v>
      </c>
      <c r="AF4283">
        <v>4.3221816106725202</v>
      </c>
      <c r="AG4283">
        <v>-1.1593100000000001</v>
      </c>
      <c r="AH4283">
        <v>82.544238099430402</v>
      </c>
      <c r="AI4283">
        <v>90.803549103948797</v>
      </c>
      <c r="AJ4283">
        <v>87.002615632497395</v>
      </c>
      <c r="AK4283">
        <v>82.665449233444505</v>
      </c>
      <c r="AL4283">
        <v>90.685801608839597</v>
      </c>
      <c r="AM4283">
        <v>89.548523628523398</v>
      </c>
      <c r="AN4283">
        <v>0.99999997639969895</v>
      </c>
    </row>
    <row r="4284" spans="1:40" x14ac:dyDescent="0.25">
      <c r="A4284" t="str">
        <f>"20190312154007506"</f>
        <v>20190312154007506</v>
      </c>
      <c r="B4284" t="str">
        <f>"1552376407499878"</f>
        <v>1552376407499878</v>
      </c>
      <c r="C4284" t="s">
        <v>40</v>
      </c>
      <c r="D4284">
        <v>3.9336950000000002</v>
      </c>
      <c r="E4284">
        <v>0.51847019999999999</v>
      </c>
      <c r="F4284" t="s">
        <v>43</v>
      </c>
      <c r="G4284">
        <v>-365.72149999999999</v>
      </c>
      <c r="H4284">
        <v>-0.05</v>
      </c>
      <c r="I4284">
        <v>198.11760000000001</v>
      </c>
      <c r="J4284">
        <v>-459.58080000000001</v>
      </c>
      <c r="K4284">
        <v>1.1093729999999999</v>
      </c>
      <c r="L4284">
        <v>215.66560000000001</v>
      </c>
      <c r="M4284">
        <v>0.99181589999999997</v>
      </c>
      <c r="N4284">
        <v>0</v>
      </c>
      <c r="O4284">
        <v>-0.127663</v>
      </c>
      <c r="P4284">
        <v>0.9907089</v>
      </c>
      <c r="Q4284">
        <v>-1.069081E-2</v>
      </c>
      <c r="R4284">
        <v>-0.1355787</v>
      </c>
      <c r="S4284">
        <v>2.9520870000000001</v>
      </c>
      <c r="T4284">
        <v>-3.6368009999999999E-2</v>
      </c>
      <c r="U4284">
        <v>-0.55143739999999997</v>
      </c>
      <c r="V4284">
        <v>8.0297770000000001E-3</v>
      </c>
      <c r="W4284">
        <v>-1.2551659999999999E-2</v>
      </c>
      <c r="X4284">
        <v>0.99988900000000003</v>
      </c>
      <c r="Y4284">
        <v>5.6629810000000003E-2</v>
      </c>
      <c r="Z4284">
        <v>1.2055919999999999E-3</v>
      </c>
      <c r="AA4284">
        <v>0.99839449999999996</v>
      </c>
      <c r="AB4284">
        <v>25</v>
      </c>
      <c r="AC4284">
        <v>93.859300000000005</v>
      </c>
      <c r="AD4284">
        <v>-1.159373</v>
      </c>
      <c r="AE4284">
        <v>-17.547999999999998</v>
      </c>
      <c r="AF4284">
        <v>5.4212355330648201</v>
      </c>
      <c r="AG4284">
        <v>-1.159373</v>
      </c>
      <c r="AH4284">
        <v>95.317485324798696</v>
      </c>
      <c r="AI4284">
        <v>90.695745795987094</v>
      </c>
      <c r="AJ4284">
        <v>86.7447773553194</v>
      </c>
      <c r="AK4284">
        <v>95.478568009272706</v>
      </c>
      <c r="AL4284">
        <v>90.719176016233305</v>
      </c>
      <c r="AM4284">
        <v>89.539886484758199</v>
      </c>
      <c r="AN4284">
        <v>1.00000001690421</v>
      </c>
    </row>
    <row r="4285" spans="1:40" x14ac:dyDescent="0.25">
      <c r="A4285" t="str">
        <f>"20190312154007527"</f>
        <v>20190312154007527</v>
      </c>
      <c r="B4285" t="str">
        <f>"1552376407520376"</f>
        <v>1552376407520376</v>
      </c>
      <c r="C4285" t="s">
        <v>40</v>
      </c>
      <c r="D4285">
        <v>3.9313440000000002</v>
      </c>
      <c r="E4285">
        <v>0.51908549999999998</v>
      </c>
      <c r="F4285" t="s">
        <v>77</v>
      </c>
      <c r="G4285">
        <v>-373.61689999999999</v>
      </c>
      <c r="H4285">
        <v>8.8497270000000003E-2</v>
      </c>
      <c r="I4285">
        <v>199.57599999999999</v>
      </c>
      <c r="J4285">
        <v>-459.34890000000001</v>
      </c>
      <c r="K4285">
        <v>1.1094280000000001</v>
      </c>
      <c r="L4285">
        <v>215.63749999999999</v>
      </c>
      <c r="M4285">
        <v>0.99203569999999996</v>
      </c>
      <c r="N4285">
        <v>0</v>
      </c>
      <c r="O4285">
        <v>-0.12594430000000001</v>
      </c>
      <c r="P4285">
        <v>0.991012</v>
      </c>
      <c r="Q4285">
        <v>-1.0899860000000001E-2</v>
      </c>
      <c r="R4285">
        <v>-0.1333279</v>
      </c>
      <c r="S4285">
        <v>2.9521790000000001</v>
      </c>
      <c r="T4285">
        <v>-3.5058979999999997E-2</v>
      </c>
      <c r="U4285">
        <v>-0.55255129999999997</v>
      </c>
      <c r="V4285">
        <v>7.4932849999999997E-3</v>
      </c>
      <c r="W4285">
        <v>-1.269181E-2</v>
      </c>
      <c r="X4285">
        <v>0.99989139999999999</v>
      </c>
      <c r="Y4285">
        <v>5.871738E-2</v>
      </c>
      <c r="Z4285">
        <v>1.129835E-3</v>
      </c>
      <c r="AA4285">
        <v>0.99827399999999999</v>
      </c>
      <c r="AB4285">
        <v>25</v>
      </c>
      <c r="AC4285">
        <v>85.731999999999999</v>
      </c>
      <c r="AD4285">
        <v>-1.0209307299999999</v>
      </c>
      <c r="AE4285">
        <v>-16.061499999999899</v>
      </c>
      <c r="AF4285">
        <v>5.1354293329823797</v>
      </c>
      <c r="AG4285">
        <v>-1.0209307299999999</v>
      </c>
      <c r="AH4285">
        <v>87.060271082832699</v>
      </c>
      <c r="AI4285">
        <v>90.670694600128101</v>
      </c>
      <c r="AJ4285">
        <v>86.624202188880702</v>
      </c>
      <c r="AK4285">
        <v>87.217576984262905</v>
      </c>
      <c r="AL4285">
        <v>90.727206655903302</v>
      </c>
      <c r="AM4285">
        <v>89.570627802062006</v>
      </c>
      <c r="AN4285">
        <v>1.00000002157756</v>
      </c>
    </row>
    <row r="4286" spans="1:40" x14ac:dyDescent="0.25">
      <c r="A4286" t="str">
        <f>"20190312154007549"</f>
        <v>20190312154007549</v>
      </c>
      <c r="B4286" t="str">
        <f>"1552376407539895"</f>
        <v>1552376407539895</v>
      </c>
      <c r="C4286" t="s">
        <v>40</v>
      </c>
      <c r="D4286">
        <v>3.9623020000000002</v>
      </c>
      <c r="E4286">
        <v>0.51963239999999999</v>
      </c>
      <c r="F4286" t="s">
        <v>77</v>
      </c>
      <c r="G4286">
        <v>-373.24919999999997</v>
      </c>
      <c r="H4286">
        <v>0.13725470000000001</v>
      </c>
      <c r="I4286">
        <v>199.57599999999999</v>
      </c>
      <c r="J4286">
        <v>-459.08629999999999</v>
      </c>
      <c r="K4286">
        <v>1.1094850000000001</v>
      </c>
      <c r="L4286">
        <v>215.6062</v>
      </c>
      <c r="M4286">
        <v>0.99228760000000005</v>
      </c>
      <c r="N4286">
        <v>0</v>
      </c>
      <c r="O4286">
        <v>-0.1239454</v>
      </c>
      <c r="P4286">
        <v>0.9912417</v>
      </c>
      <c r="Q4286">
        <v>-1.08875E-2</v>
      </c>
      <c r="R4286">
        <v>-0.13161199999999901</v>
      </c>
      <c r="S4286">
        <v>2.9526979999999998</v>
      </c>
      <c r="T4286">
        <v>-3.333962E-2</v>
      </c>
      <c r="U4286">
        <v>-0.55081179999999996</v>
      </c>
      <c r="V4286">
        <v>7.7779839999999999E-3</v>
      </c>
      <c r="W4286">
        <v>-1.2597799999999999E-2</v>
      </c>
      <c r="X4286">
        <v>0.99989039999999996</v>
      </c>
      <c r="Y4286">
        <v>6.0127880000000002E-2</v>
      </c>
      <c r="Z4286">
        <v>1.0443049999999999E-3</v>
      </c>
      <c r="AA4286">
        <v>0.99819020000000003</v>
      </c>
      <c r="AB4286">
        <v>26</v>
      </c>
      <c r="AC4286">
        <v>85.837100000000007</v>
      </c>
      <c r="AD4286">
        <v>-0.97223029999999999</v>
      </c>
      <c r="AE4286">
        <v>-16.030200000000001</v>
      </c>
      <c r="AF4286">
        <v>5.2668096137340097</v>
      </c>
      <c r="AG4286">
        <v>-0.97223029999999999</v>
      </c>
      <c r="AH4286">
        <v>87.151280271145296</v>
      </c>
      <c r="AI4286">
        <v>90.637982044034004</v>
      </c>
      <c r="AJ4286">
        <v>86.541652626900699</v>
      </c>
      <c r="AK4286">
        <v>87.315692565330295</v>
      </c>
      <c r="AL4286">
        <v>90.721819859779998</v>
      </c>
      <c r="AM4286">
        <v>89.554314484938104</v>
      </c>
      <c r="AN4286">
        <v>1.0000000068060499</v>
      </c>
    </row>
    <row r="4287" spans="1:40" x14ac:dyDescent="0.25">
      <c r="A4287" t="str">
        <f>"20190312154007573"</f>
        <v>20190312154007573</v>
      </c>
      <c r="B4287" t="str">
        <f>"1552376407560390"</f>
        <v>1552376407560390</v>
      </c>
      <c r="C4287" t="s">
        <v>40</v>
      </c>
      <c r="D4287">
        <v>3.9292639999999999</v>
      </c>
      <c r="E4287">
        <v>0.52018609999999998</v>
      </c>
      <c r="F4287" t="s">
        <v>77</v>
      </c>
      <c r="G4287">
        <v>-373.03309999999999</v>
      </c>
      <c r="H4287">
        <v>0.16015579999999999</v>
      </c>
      <c r="I4287">
        <v>199.57599999999999</v>
      </c>
      <c r="J4287">
        <v>-458.82010000000002</v>
      </c>
      <c r="K4287">
        <v>1.109548</v>
      </c>
      <c r="L4287">
        <v>215.57509999999999</v>
      </c>
      <c r="M4287">
        <v>0.99254540000000002</v>
      </c>
      <c r="N4287">
        <v>0</v>
      </c>
      <c r="O4287">
        <v>-0.1218654</v>
      </c>
      <c r="P4287">
        <v>0.99148599999999998</v>
      </c>
      <c r="Q4287">
        <v>-1.100921E-2</v>
      </c>
      <c r="R4287">
        <v>-0.1297498</v>
      </c>
      <c r="S4287">
        <v>2.9530940000000001</v>
      </c>
      <c r="T4287">
        <v>-3.257823E-2</v>
      </c>
      <c r="U4287">
        <v>-0.55010990000000004</v>
      </c>
      <c r="V4287">
        <v>7.9973000000000006E-3</v>
      </c>
      <c r="W4287">
        <v>-1.2635779999999999E-2</v>
      </c>
      <c r="X4287">
        <v>0.9998882</v>
      </c>
      <c r="Y4287">
        <v>6.1966090000000001E-2</v>
      </c>
      <c r="Z4287">
        <v>9.8780510000000005E-4</v>
      </c>
      <c r="AA4287">
        <v>0.99807780000000001</v>
      </c>
      <c r="AB4287">
        <v>26</v>
      </c>
      <c r="AC4287">
        <v>85.787000000000006</v>
      </c>
      <c r="AD4287">
        <v>-0.94939219999999902</v>
      </c>
      <c r="AE4287">
        <v>-15.9991</v>
      </c>
      <c r="AF4287">
        <v>5.4247306308083703</v>
      </c>
      <c r="AG4287">
        <v>-0.94939219999999902</v>
      </c>
      <c r="AH4287">
        <v>87.087028289463007</v>
      </c>
      <c r="AI4287">
        <v>90.6233855742299</v>
      </c>
      <c r="AJ4287">
        <v>86.435598884781299</v>
      </c>
      <c r="AK4287">
        <v>87.2609852354189</v>
      </c>
      <c r="AL4287">
        <v>90.723996119946307</v>
      </c>
      <c r="AM4287">
        <v>89.541747000206598</v>
      </c>
      <c r="AN4287">
        <v>1.00000001612136</v>
      </c>
    </row>
    <row r="4288" spans="1:40" x14ac:dyDescent="0.25">
      <c r="A4288" t="str">
        <f>"20190312154007593"</f>
        <v>20190312154007593</v>
      </c>
      <c r="B4288" t="str">
        <f>"1552376407579910"</f>
        <v>1552376407579910</v>
      </c>
      <c r="C4288" t="s">
        <v>40</v>
      </c>
      <c r="D4288">
        <v>3.9519340000000001</v>
      </c>
      <c r="E4288">
        <v>0.52054009999999995</v>
      </c>
      <c r="F4288" t="s">
        <v>77</v>
      </c>
      <c r="G4288">
        <v>-372.7561</v>
      </c>
      <c r="H4288">
        <v>0.17599519999999999</v>
      </c>
      <c r="I4288">
        <v>199.57599999999999</v>
      </c>
      <c r="J4288">
        <v>-458.57490000000001</v>
      </c>
      <c r="K4288">
        <v>1.109604</v>
      </c>
      <c r="L4288">
        <v>215.547</v>
      </c>
      <c r="M4288">
        <v>0.99278520000000003</v>
      </c>
      <c r="N4288">
        <v>0</v>
      </c>
      <c r="O4288">
        <v>-0.11989710000000001</v>
      </c>
      <c r="P4288">
        <v>0.99162309999999998</v>
      </c>
      <c r="Q4288">
        <v>-1.1462480000000001E-2</v>
      </c>
      <c r="R4288">
        <v>-0.1286573</v>
      </c>
      <c r="S4288">
        <v>2.9535520000000002</v>
      </c>
      <c r="T4288">
        <v>-3.203773E-2</v>
      </c>
      <c r="U4288">
        <v>-0.54905700000000002</v>
      </c>
      <c r="V4288">
        <v>8.8819850000000002E-3</v>
      </c>
      <c r="W4288">
        <v>-1.3008230000000001E-2</v>
      </c>
      <c r="X4288">
        <v>0.99987599999999999</v>
      </c>
      <c r="Y4288">
        <v>6.3573009999999999E-2</v>
      </c>
      <c r="Z4288">
        <v>9.4173260000000002E-4</v>
      </c>
      <c r="AA4288">
        <v>0.99797670000000005</v>
      </c>
      <c r="AB4288">
        <v>26</v>
      </c>
      <c r="AC4288">
        <v>85.818799999999996</v>
      </c>
      <c r="AD4288">
        <v>-0.93360880000000002</v>
      </c>
      <c r="AE4288">
        <v>-15.971</v>
      </c>
      <c r="AF4288">
        <v>5.5657167478524396</v>
      </c>
      <c r="AG4288">
        <v>-0.93360880000000002</v>
      </c>
      <c r="AH4288">
        <v>87.104644651150494</v>
      </c>
      <c r="AI4288">
        <v>90.612836927604604</v>
      </c>
      <c r="AJ4288">
        <v>86.343947574549503</v>
      </c>
      <c r="AK4288">
        <v>87.2872725436644</v>
      </c>
      <c r="AL4288">
        <v>90.745337654831104</v>
      </c>
      <c r="AM4288">
        <v>89.491050021012001</v>
      </c>
      <c r="AN4288">
        <v>1.00000005954063</v>
      </c>
    </row>
    <row r="4289" spans="1:40" x14ac:dyDescent="0.25">
      <c r="A4289" t="str">
        <f>"20190312154007616"</f>
        <v>20190312154007616</v>
      </c>
      <c r="B4289" t="str">
        <f>"1552376407610167"</f>
        <v>1552376407610167</v>
      </c>
      <c r="C4289" t="s">
        <v>40</v>
      </c>
      <c r="D4289">
        <v>3.8837619999999999</v>
      </c>
      <c r="E4289">
        <v>0.48450320000000002</v>
      </c>
      <c r="F4289" t="s">
        <v>77</v>
      </c>
      <c r="G4289">
        <v>-372.57060000000001</v>
      </c>
      <c r="H4289">
        <v>0.19173870000000001</v>
      </c>
      <c r="I4289">
        <v>199.57599999999999</v>
      </c>
      <c r="J4289">
        <v>-458.30180000000001</v>
      </c>
      <c r="K4289">
        <v>1.1096760000000001</v>
      </c>
      <c r="L4289">
        <v>215.5162</v>
      </c>
      <c r="M4289">
        <v>0.99305460000000001</v>
      </c>
      <c r="N4289">
        <v>0</v>
      </c>
      <c r="O4289">
        <v>-0.117645</v>
      </c>
      <c r="P4289">
        <v>0.99182420000000004</v>
      </c>
      <c r="Q4289">
        <v>-1.156971E-2</v>
      </c>
      <c r="R4289">
        <v>-0.12708729999999999</v>
      </c>
      <c r="S4289">
        <v>2.953827</v>
      </c>
      <c r="T4289">
        <v>-3.1524179999999999E-2</v>
      </c>
      <c r="U4289">
        <v>-0.54852290000000004</v>
      </c>
      <c r="V4289">
        <v>9.5692590000000001E-3</v>
      </c>
      <c r="W4289">
        <v>-1.3024880000000001E-2</v>
      </c>
      <c r="X4289">
        <v>0.99986940000000002</v>
      </c>
      <c r="Y4289">
        <v>6.5645049999999996E-2</v>
      </c>
      <c r="Z4289">
        <v>8.9203479999999896E-4</v>
      </c>
      <c r="AA4289">
        <v>0.99784260000000002</v>
      </c>
      <c r="AB4289">
        <v>26</v>
      </c>
      <c r="AC4289">
        <v>85.731200000000001</v>
      </c>
      <c r="AD4289">
        <v>-0.91793729999999996</v>
      </c>
      <c r="AE4289">
        <v>-15.940200000000001</v>
      </c>
      <c r="AF4289">
        <v>5.74301187673999</v>
      </c>
      <c r="AG4289">
        <v>-0.91793729999999996</v>
      </c>
      <c r="AH4289">
        <v>87.001502897151596</v>
      </c>
      <c r="AI4289">
        <v>90.603182470948497</v>
      </c>
      <c r="AJ4289">
        <v>86.223356563461493</v>
      </c>
      <c r="AK4289">
        <v>87.195678222410706</v>
      </c>
      <c r="AL4289">
        <v>90.746291741604196</v>
      </c>
      <c r="AM4289">
        <v>89.451666972799302</v>
      </c>
      <c r="AN4289">
        <v>1.00000001763659</v>
      </c>
    </row>
    <row r="4290" spans="1:40" x14ac:dyDescent="0.25">
      <c r="A4290" t="str">
        <f>"20190312154007638"</f>
        <v>20190312154007638</v>
      </c>
      <c r="B4290" t="str">
        <f>"1552376407630663"</f>
        <v>1552376407630663</v>
      </c>
      <c r="C4290" t="s">
        <v>40</v>
      </c>
      <c r="D4290">
        <v>3.9763220000000001</v>
      </c>
      <c r="E4290">
        <v>0.4756319</v>
      </c>
      <c r="F4290" t="s">
        <v>79</v>
      </c>
      <c r="G4290">
        <v>-281.25560000000002</v>
      </c>
      <c r="H4290">
        <v>5.5100030000000002</v>
      </c>
      <c r="I4290">
        <v>200.0181</v>
      </c>
      <c r="J4290">
        <v>-458.04180000000002</v>
      </c>
      <c r="K4290">
        <v>1.109748</v>
      </c>
      <c r="L4290">
        <v>215.48759999999999</v>
      </c>
      <c r="M4290">
        <v>0.99331429999999998</v>
      </c>
      <c r="N4290">
        <v>0</v>
      </c>
      <c r="O4290">
        <v>-0.1154333</v>
      </c>
      <c r="P4290">
        <v>0.99199999999999999</v>
      </c>
      <c r="Q4290">
        <v>-1.1695000000000001E-2</v>
      </c>
      <c r="R4290">
        <v>-0.125695899999999</v>
      </c>
      <c r="S4290">
        <v>2.9920650000000002</v>
      </c>
      <c r="T4290">
        <v>7.4365020000000004E-2</v>
      </c>
      <c r="U4290">
        <v>-0.26191710000000001</v>
      </c>
      <c r="V4290">
        <v>1.039577E-2</v>
      </c>
      <c r="W4290">
        <v>-1.3061700000000001E-2</v>
      </c>
      <c r="X4290">
        <v>0.99986059999999999</v>
      </c>
      <c r="Y4290">
        <v>-2.8328989999999998E-2</v>
      </c>
      <c r="Z4290">
        <v>-3.2059929999999999E-3</v>
      </c>
      <c r="AA4290">
        <v>0.99959350000000002</v>
      </c>
      <c r="AB4290">
        <v>26</v>
      </c>
      <c r="AC4290">
        <v>176.78620000000001</v>
      </c>
      <c r="AD4290">
        <v>4.4002549999999996</v>
      </c>
      <c r="AE4290">
        <v>-15.469499999999901</v>
      </c>
      <c r="AF4290">
        <v>-5.0378462149242003</v>
      </c>
      <c r="AG4290">
        <v>4.4002549999999996</v>
      </c>
      <c r="AH4290">
        <v>177.28112488802699</v>
      </c>
      <c r="AI4290">
        <v>88.578739767499101</v>
      </c>
      <c r="AJ4290">
        <v>91.627751772972005</v>
      </c>
      <c r="AK4290">
        <v>177.40726980626999</v>
      </c>
      <c r="AL4290">
        <v>90.748401602464</v>
      </c>
      <c r="AM4290">
        <v>89.404304675991398</v>
      </c>
      <c r="AN4290">
        <v>0.99999994973657003</v>
      </c>
    </row>
    <row r="4291" spans="1:40" x14ac:dyDescent="0.25">
      <c r="A4291" t="str">
        <f>"20190312154007660"</f>
        <v>20190312154007660</v>
      </c>
      <c r="B4291" t="str">
        <f>"1552376407649876"</f>
        <v>1552376407649876</v>
      </c>
      <c r="C4291" t="s">
        <v>40</v>
      </c>
      <c r="D4291">
        <v>3.8858039999999998</v>
      </c>
      <c r="E4291">
        <v>0.47244639999999999</v>
      </c>
      <c r="F4291" t="s">
        <v>75</v>
      </c>
      <c r="G4291">
        <v>-168.41560000000001</v>
      </c>
      <c r="H4291">
        <v>6.3776039999999998</v>
      </c>
      <c r="I4291">
        <v>197.43090000000001</v>
      </c>
      <c r="J4291">
        <v>-457.77229999999997</v>
      </c>
      <c r="K4291">
        <v>1.10982</v>
      </c>
      <c r="L4291">
        <v>215.45869999999999</v>
      </c>
      <c r="M4291">
        <v>0.99358639999999998</v>
      </c>
      <c r="N4291">
        <v>0</v>
      </c>
      <c r="O4291">
        <v>-0.1130683</v>
      </c>
      <c r="P4291">
        <v>0.99231170000000002</v>
      </c>
      <c r="Q4291">
        <v>-1.197583E-2</v>
      </c>
      <c r="R4291">
        <v>-0.123184</v>
      </c>
      <c r="S4291">
        <v>3.001099</v>
      </c>
      <c r="T4291">
        <v>5.4585700000000001E-2</v>
      </c>
      <c r="U4291">
        <v>-0.1871033</v>
      </c>
      <c r="V4291">
        <v>1.0248E-2</v>
      </c>
      <c r="W4291">
        <v>-1.3253569999999999E-2</v>
      </c>
      <c r="X4291">
        <v>0.99985959999999996</v>
      </c>
      <c r="Y4291">
        <v>-5.0997300000000002E-2</v>
      </c>
      <c r="Z4291">
        <v>-2.5125759999999999E-3</v>
      </c>
      <c r="AA4291">
        <v>0.99869560000000002</v>
      </c>
      <c r="AB4291">
        <v>27</v>
      </c>
      <c r="AC4291">
        <v>289.35669999999902</v>
      </c>
      <c r="AD4291">
        <v>5.2677839999999998</v>
      </c>
      <c r="AE4291">
        <v>-18.0277999999999</v>
      </c>
      <c r="AF4291">
        <v>-14.800019121543899</v>
      </c>
      <c r="AG4291">
        <v>5.2677839999999998</v>
      </c>
      <c r="AH4291">
        <v>289.44393104247501</v>
      </c>
      <c r="AI4291">
        <v>88.9587108925857</v>
      </c>
      <c r="AJ4291">
        <v>92.927132592431093</v>
      </c>
      <c r="AK4291">
        <v>289.86993519782197</v>
      </c>
      <c r="AL4291">
        <v>90.759395896407</v>
      </c>
      <c r="AM4291">
        <v>89.412770964129507</v>
      </c>
      <c r="AN4291">
        <v>0.99999994916695101</v>
      </c>
    </row>
    <row r="4292" spans="1:40" x14ac:dyDescent="0.25">
      <c r="A4292" t="str">
        <f>"20190312154007685"</f>
        <v>20190312154007685</v>
      </c>
      <c r="B4292" t="str">
        <f>"1552376407680084"</f>
        <v>1552376407680084</v>
      </c>
      <c r="C4292" t="s">
        <v>40</v>
      </c>
      <c r="D4292">
        <v>3.9057219999999999</v>
      </c>
      <c r="E4292">
        <v>0.47095999999999999</v>
      </c>
      <c r="F4292" t="s">
        <v>75</v>
      </c>
      <c r="G4292">
        <v>-168.41419999999999</v>
      </c>
      <c r="H4292">
        <v>5.4716719999999999</v>
      </c>
      <c r="I4292">
        <v>200.63460000000001</v>
      </c>
      <c r="J4292">
        <v>-457.47739999999999</v>
      </c>
      <c r="K4292">
        <v>1.1098870000000001</v>
      </c>
      <c r="L4292">
        <v>215.42779999999999</v>
      </c>
      <c r="M4292">
        <v>0.99388520000000002</v>
      </c>
      <c r="N4292">
        <v>0</v>
      </c>
      <c r="O4292">
        <v>-0.1104131</v>
      </c>
      <c r="P4292">
        <v>0.99262130000000004</v>
      </c>
      <c r="Q4292">
        <v>-1.2403590000000001E-2</v>
      </c>
      <c r="R4292">
        <v>-0.12062050000000001</v>
      </c>
      <c r="S4292">
        <v>3.0046390000000001</v>
      </c>
      <c r="T4292">
        <v>4.5292970000000002E-2</v>
      </c>
      <c r="U4292">
        <v>-0.1539307</v>
      </c>
      <c r="V4292">
        <v>1.0341680000000001E-2</v>
      </c>
      <c r="W4292">
        <v>-1.358203E-2</v>
      </c>
      <c r="X4292">
        <v>0.99985429999999997</v>
      </c>
      <c r="Y4292">
        <v>-5.9398260000000001E-2</v>
      </c>
      <c r="Z4292">
        <v>-2.1068739999999999E-3</v>
      </c>
      <c r="AA4292">
        <v>0.99823209999999996</v>
      </c>
      <c r="AB4292">
        <v>27</v>
      </c>
      <c r="AC4292">
        <v>289.06319999999999</v>
      </c>
      <c r="AD4292">
        <v>4.3617849999999896</v>
      </c>
      <c r="AE4292">
        <v>-14.793199999999899</v>
      </c>
      <c r="AF4292">
        <v>-17.209723185100302</v>
      </c>
      <c r="AG4292">
        <v>4.3617849999999896</v>
      </c>
      <c r="AH4292">
        <v>288.86356711987702</v>
      </c>
      <c r="AI4292">
        <v>89.136441348710903</v>
      </c>
      <c r="AJ4292">
        <v>93.409500033216503</v>
      </c>
      <c r="AK4292">
        <v>289.40863869227098</v>
      </c>
      <c r="AL4292">
        <v>90.778216907173103</v>
      </c>
      <c r="AM4292">
        <v>89.407400169857794</v>
      </c>
      <c r="AN4292">
        <v>1.0000000215563101</v>
      </c>
    </row>
    <row r="4293" spans="1:40" x14ac:dyDescent="0.25">
      <c r="A4293" t="str">
        <f>"20190312154007707"</f>
        <v>20190312154007707</v>
      </c>
      <c r="B4293" t="str">
        <f>"1552376407700579"</f>
        <v>1552376407700579</v>
      </c>
      <c r="C4293" t="s">
        <v>40</v>
      </c>
      <c r="D4293">
        <v>3.8799950000000001</v>
      </c>
      <c r="E4293">
        <v>0.47022120000000001</v>
      </c>
      <c r="F4293" t="s">
        <v>75</v>
      </c>
      <c r="G4293">
        <v>-168.41329999999999</v>
      </c>
      <c r="H4293">
        <v>4.6061079999999999</v>
      </c>
      <c r="I4293">
        <v>202.5128</v>
      </c>
      <c r="J4293">
        <v>-457.20339999999999</v>
      </c>
      <c r="K4293">
        <v>1.1099540000000001</v>
      </c>
      <c r="L4293">
        <v>215.3999</v>
      </c>
      <c r="M4293">
        <v>0.9941624</v>
      </c>
      <c r="N4293">
        <v>0</v>
      </c>
      <c r="O4293">
        <v>-0.107889899999999</v>
      </c>
      <c r="P4293">
        <v>0.99289130000000003</v>
      </c>
      <c r="Q4293">
        <v>-1.344596E-2</v>
      </c>
      <c r="R4293">
        <v>-0.1182657</v>
      </c>
      <c r="S4293">
        <v>3.0064389999999999</v>
      </c>
      <c r="T4293">
        <v>3.6363119999999999E-2</v>
      </c>
      <c r="U4293">
        <v>-0.1343231</v>
      </c>
      <c r="V4293">
        <v>1.051553E-2</v>
      </c>
      <c r="W4293">
        <v>-1.453105E-2</v>
      </c>
      <c r="X4293">
        <v>0.99983909999999998</v>
      </c>
      <c r="Y4293">
        <v>-6.3396510000000003E-2</v>
      </c>
      <c r="Z4293">
        <v>-1.6847330000000001E-3</v>
      </c>
      <c r="AA4293">
        <v>0.99798699999999996</v>
      </c>
      <c r="AB4293">
        <v>27</v>
      </c>
      <c r="AC4293">
        <v>288.7901</v>
      </c>
      <c r="AD4293">
        <v>3.4961540000000002</v>
      </c>
      <c r="AE4293">
        <v>-12.8871</v>
      </c>
      <c r="AF4293">
        <v>-18.342989913935401</v>
      </c>
      <c r="AG4293">
        <v>3.4961540000000002</v>
      </c>
      <c r="AH4293">
        <v>288.452583802589</v>
      </c>
      <c r="AI4293">
        <v>89.306987224162995</v>
      </c>
      <c r="AJ4293">
        <v>93.638596916439397</v>
      </c>
      <c r="AK4293">
        <v>289.05636383612801</v>
      </c>
      <c r="AL4293">
        <v>90.832597158610696</v>
      </c>
      <c r="AM4293">
        <v>89.397429771035704</v>
      </c>
      <c r="AN4293">
        <v>0.999999976837046</v>
      </c>
    </row>
    <row r="4294" spans="1:40" x14ac:dyDescent="0.25">
      <c r="A4294" t="str">
        <f>"20190312154007727"</f>
        <v>20190312154007727</v>
      </c>
      <c r="B4294" t="str">
        <f>"1552376407720099"</f>
        <v>1552376407720099</v>
      </c>
      <c r="C4294" t="s">
        <v>40</v>
      </c>
      <c r="D4294">
        <v>3.8849290000000001</v>
      </c>
      <c r="E4294">
        <v>0.46995710000000002</v>
      </c>
      <c r="F4294" t="s">
        <v>75</v>
      </c>
      <c r="G4294">
        <v>-168.4127</v>
      </c>
      <c r="H4294">
        <v>3.883162</v>
      </c>
      <c r="I4294">
        <v>203.7587</v>
      </c>
      <c r="J4294">
        <v>-456.94709999999998</v>
      </c>
      <c r="K4294">
        <v>1.110009</v>
      </c>
      <c r="L4294">
        <v>215.37440000000001</v>
      </c>
      <c r="M4294">
        <v>0.99442050000000004</v>
      </c>
      <c r="N4294">
        <v>0</v>
      </c>
      <c r="O4294">
        <v>-0.10548390000000001</v>
      </c>
      <c r="P4294">
        <v>0.99313629999999997</v>
      </c>
      <c r="Q4294">
        <v>-1.4564280000000001E-2</v>
      </c>
      <c r="R4294">
        <v>-0.11605409999999999</v>
      </c>
      <c r="S4294">
        <v>3.0074770000000002</v>
      </c>
      <c r="T4294">
        <v>2.8880599999999999E-2</v>
      </c>
      <c r="U4294">
        <v>-0.12123109999999999</v>
      </c>
      <c r="V4294">
        <v>1.071652E-2</v>
      </c>
      <c r="W4294">
        <v>-1.556164E-2</v>
      </c>
      <c r="X4294">
        <v>0.99982150000000003</v>
      </c>
      <c r="Y4294">
        <v>-6.5338080000000007E-2</v>
      </c>
      <c r="Z4294">
        <v>-1.3241520000000001E-3</v>
      </c>
      <c r="AA4294">
        <v>0.99786229999999998</v>
      </c>
      <c r="AB4294">
        <v>28</v>
      </c>
      <c r="AC4294">
        <v>288.53440000000001</v>
      </c>
      <c r="AD4294">
        <v>2.7731530000000002</v>
      </c>
      <c r="AE4294">
        <v>-11.6157</v>
      </c>
      <c r="AF4294">
        <v>-18.883111690945999</v>
      </c>
      <c r="AG4294">
        <v>2.7731530000000002</v>
      </c>
      <c r="AH4294">
        <v>288.12336582629001</v>
      </c>
      <c r="AI4294">
        <v>89.449732424091295</v>
      </c>
      <c r="AJ4294">
        <v>93.749704686356907</v>
      </c>
      <c r="AK4294">
        <v>288.754802938002</v>
      </c>
      <c r="AL4294">
        <v>90.891652266577694</v>
      </c>
      <c r="AM4294">
        <v>89.385902528439701</v>
      </c>
      <c r="AN4294">
        <v>1.0000000201513199</v>
      </c>
    </row>
    <row r="4295" spans="1:40" x14ac:dyDescent="0.25">
      <c r="A4295" t="str">
        <f>"20190312154007750"</f>
        <v>20190312154007750</v>
      </c>
      <c r="B4295" t="str">
        <f>"1552376407739622"</f>
        <v>1552376407739622</v>
      </c>
      <c r="C4295" t="s">
        <v>40</v>
      </c>
      <c r="D4295">
        <v>3.8764249999999998</v>
      </c>
      <c r="E4295">
        <v>0.47001389999999998</v>
      </c>
      <c r="F4295" t="s">
        <v>75</v>
      </c>
      <c r="G4295">
        <v>-168.41229999999999</v>
      </c>
      <c r="H4295">
        <v>3.488947</v>
      </c>
      <c r="I4295">
        <v>204.59880000000001</v>
      </c>
      <c r="J4295">
        <v>-456.66570000000002</v>
      </c>
      <c r="K4295">
        <v>1.1100730000000001</v>
      </c>
      <c r="L4295">
        <v>215.34719999999999</v>
      </c>
      <c r="M4295">
        <v>0.99470150000000002</v>
      </c>
      <c r="N4295">
        <v>0</v>
      </c>
      <c r="O4295">
        <v>-0.1028012</v>
      </c>
      <c r="P4295">
        <v>0.99337010000000003</v>
      </c>
      <c r="Q4295">
        <v>-1.526655E-2</v>
      </c>
      <c r="R4295">
        <v>-0.11394319999999999</v>
      </c>
      <c r="S4295">
        <v>3.007965</v>
      </c>
      <c r="T4295">
        <v>2.4800659999999999E-2</v>
      </c>
      <c r="U4295">
        <v>-0.112335199999999</v>
      </c>
      <c r="V4295">
        <v>1.12949E-2</v>
      </c>
      <c r="W4295">
        <v>-1.616567E-2</v>
      </c>
      <c r="X4295">
        <v>0.99980550000000001</v>
      </c>
      <c r="Y4295">
        <v>-6.5601770000000004E-2</v>
      </c>
      <c r="Z4295">
        <v>-1.116099E-3</v>
      </c>
      <c r="AA4295">
        <v>0.99784519999999999</v>
      </c>
      <c r="AB4295">
        <v>28</v>
      </c>
      <c r="AC4295">
        <v>288.2534</v>
      </c>
      <c r="AD4295">
        <v>2.3788740000000002</v>
      </c>
      <c r="AE4295">
        <v>-10.748399999999901</v>
      </c>
      <c r="AF4295">
        <v>-18.940065602376698</v>
      </c>
      <c r="AG4295">
        <v>2.3788740000000002</v>
      </c>
      <c r="AH4295">
        <v>287.81158368043202</v>
      </c>
      <c r="AI4295">
        <v>89.527461049861003</v>
      </c>
      <c r="AJ4295">
        <v>93.765044376143095</v>
      </c>
      <c r="AK4295">
        <v>288.443916259589</v>
      </c>
      <c r="AL4295">
        <v>90.926265037392994</v>
      </c>
      <c r="AM4295">
        <v>89.352751538759904</v>
      </c>
      <c r="AN4295">
        <v>0.99999997074140401</v>
      </c>
    </row>
    <row r="4296" spans="1:40" x14ac:dyDescent="0.25">
      <c r="A4296" t="str">
        <f>"20190312154007772"</f>
        <v>20190312154007772</v>
      </c>
      <c r="B4296" t="str">
        <f>"1552376407759661"</f>
        <v>1552376407759661</v>
      </c>
      <c r="C4296" t="s">
        <v>40</v>
      </c>
      <c r="D4296">
        <v>3.8852910000000001</v>
      </c>
      <c r="E4296">
        <v>0.46993809999999903</v>
      </c>
      <c r="F4296" t="s">
        <v>75</v>
      </c>
      <c r="G4296">
        <v>-168.41200000000001</v>
      </c>
      <c r="H4296">
        <v>3.3833920000000002</v>
      </c>
      <c r="I4296">
        <v>205.12819999999999</v>
      </c>
      <c r="J4296">
        <v>-456.39519999999999</v>
      </c>
      <c r="K4296">
        <v>1.1101289999999999</v>
      </c>
      <c r="L4296">
        <v>215.32169999999999</v>
      </c>
      <c r="M4296">
        <v>0.99496779999999996</v>
      </c>
      <c r="N4296">
        <v>0</v>
      </c>
      <c r="O4296">
        <v>-0.1001928</v>
      </c>
      <c r="P4296">
        <v>0.993614</v>
      </c>
      <c r="Q4296">
        <v>-1.592203E-2</v>
      </c>
      <c r="R4296">
        <v>-0.1117065</v>
      </c>
      <c r="S4296">
        <v>3.0081790000000002</v>
      </c>
      <c r="T4296">
        <v>2.3724439999999999E-2</v>
      </c>
      <c r="U4296">
        <v>-0.10664369999999999</v>
      </c>
      <c r="V4296">
        <v>1.167118E-2</v>
      </c>
      <c r="W4296">
        <v>-1.6727530000000001E-2</v>
      </c>
      <c r="X4296">
        <v>0.99979200000000001</v>
      </c>
      <c r="Y4296">
        <v>-6.4874100000000004E-2</v>
      </c>
      <c r="Z4296">
        <v>-1.0443130000000001E-3</v>
      </c>
      <c r="AA4296">
        <v>0.99789289999999997</v>
      </c>
      <c r="AB4296">
        <v>28</v>
      </c>
      <c r="AC4296">
        <v>287.98320000000001</v>
      </c>
      <c r="AD4296">
        <v>2.273263</v>
      </c>
      <c r="AE4296">
        <v>-10.1935</v>
      </c>
      <c r="AF4296">
        <v>-18.710478969813298</v>
      </c>
      <c r="AG4296">
        <v>2.273263</v>
      </c>
      <c r="AH4296">
        <v>287.53750088745898</v>
      </c>
      <c r="AI4296">
        <v>89.547986622362998</v>
      </c>
      <c r="AJ4296">
        <v>93.723069890770503</v>
      </c>
      <c r="AK4296">
        <v>288.154583799308</v>
      </c>
      <c r="AL4296">
        <v>90.958461538586306</v>
      </c>
      <c r="AM4296">
        <v>89.331181903119798</v>
      </c>
      <c r="AN4296">
        <v>1.0000000349832401</v>
      </c>
    </row>
    <row r="4297" spans="1:40" x14ac:dyDescent="0.25">
      <c r="A4297" t="str">
        <f>"20190312154007793"</f>
        <v>20190312154007793</v>
      </c>
      <c r="B4297" t="str">
        <f>"1552376407780155"</f>
        <v>1552376407780155</v>
      </c>
      <c r="C4297" t="s">
        <v>40</v>
      </c>
      <c r="D4297">
        <v>3.896773</v>
      </c>
      <c r="E4297">
        <v>0.4698832</v>
      </c>
      <c r="F4297" t="s">
        <v>75</v>
      </c>
      <c r="G4297">
        <v>-168.4117</v>
      </c>
      <c r="H4297">
        <v>3.092327</v>
      </c>
      <c r="I4297">
        <v>205.83629999999999</v>
      </c>
      <c r="J4297">
        <v>-456.12689999999998</v>
      </c>
      <c r="K4297">
        <v>1.1101799999999999</v>
      </c>
      <c r="L4297">
        <v>215.29730000000001</v>
      </c>
      <c r="M4297">
        <v>0.99522690000000003</v>
      </c>
      <c r="N4297">
        <v>0</v>
      </c>
      <c r="O4297">
        <v>-9.7585519999999995E-2</v>
      </c>
      <c r="P4297">
        <v>0.99392179999999997</v>
      </c>
      <c r="Q4297">
        <v>-1.65755E-2</v>
      </c>
      <c r="R4297">
        <v>-0.1088345</v>
      </c>
      <c r="S4297">
        <v>3.0084529999999998</v>
      </c>
      <c r="T4297">
        <v>2.0707610000000001E-2</v>
      </c>
      <c r="U4297">
        <v>-9.9090579999999998E-2</v>
      </c>
      <c r="V4297">
        <v>1.1407199999999999E-2</v>
      </c>
      <c r="W4297">
        <v>-1.7291540000000001E-2</v>
      </c>
      <c r="X4297">
        <v>0.99978540000000005</v>
      </c>
      <c r="Y4297">
        <v>-6.4766420000000005E-2</v>
      </c>
      <c r="Z4297">
        <v>-8.9326759999999999E-4</v>
      </c>
      <c r="AA4297">
        <v>0.99790009999999996</v>
      </c>
      <c r="AB4297">
        <v>28</v>
      </c>
      <c r="AC4297">
        <v>287.71519999999998</v>
      </c>
      <c r="AD4297">
        <v>1.9821470000000001</v>
      </c>
      <c r="AE4297">
        <v>-9.4610000000000092</v>
      </c>
      <c r="AF4297">
        <v>-18.660115527197199</v>
      </c>
      <c r="AG4297">
        <v>1.9821470000000001</v>
      </c>
      <c r="AH4297">
        <v>287.251613861218</v>
      </c>
      <c r="AI4297">
        <v>89.605474811727206</v>
      </c>
      <c r="AJ4297">
        <v>93.716761571479296</v>
      </c>
      <c r="AK4297">
        <v>287.86388881569002</v>
      </c>
      <c r="AL4297">
        <v>90.990781657022097</v>
      </c>
      <c r="AM4297">
        <v>89.346303659712305</v>
      </c>
      <c r="AN4297">
        <v>0.99999998381028499</v>
      </c>
    </row>
    <row r="4298" spans="1:40" x14ac:dyDescent="0.25">
      <c r="A4298" t="str">
        <f>"20190312154007817"</f>
        <v>20190312154007817</v>
      </c>
      <c r="B4298" t="str">
        <f>"1552376407810410"</f>
        <v>1552376407810410</v>
      </c>
      <c r="C4298" t="s">
        <v>40</v>
      </c>
      <c r="D4298">
        <v>3.882666</v>
      </c>
      <c r="E4298">
        <v>0.47014509999999998</v>
      </c>
      <c r="F4298" t="s">
        <v>75</v>
      </c>
      <c r="G4298">
        <v>-168.41130000000001</v>
      </c>
      <c r="H4298">
        <v>2.8548640000000001</v>
      </c>
      <c r="I4298">
        <v>206.7046</v>
      </c>
      <c r="J4298">
        <v>-455.83640000000003</v>
      </c>
      <c r="K4298">
        <v>1.110236</v>
      </c>
      <c r="L4298">
        <v>215.2715</v>
      </c>
      <c r="M4298">
        <v>0.99550070000000002</v>
      </c>
      <c r="N4298">
        <v>0</v>
      </c>
      <c r="O4298">
        <v>-9.4751719999999998E-2</v>
      </c>
      <c r="P4298">
        <v>0.9943227</v>
      </c>
      <c r="Q4298">
        <v>-1.708544E-2</v>
      </c>
      <c r="R4298">
        <v>-0.1050253</v>
      </c>
      <c r="S4298">
        <v>3.0088200000000001</v>
      </c>
      <c r="T4298">
        <v>1.8245580000000001E-2</v>
      </c>
      <c r="U4298">
        <v>-8.9859010000000003E-2</v>
      </c>
      <c r="V4298">
        <v>1.0427540000000001E-2</v>
      </c>
      <c r="W4298">
        <v>-1.7708660000000001E-2</v>
      </c>
      <c r="X4298">
        <v>0.99978880000000003</v>
      </c>
      <c r="Y4298">
        <v>-6.4988989999999996E-2</v>
      </c>
      <c r="Z4298">
        <v>-7.7059559999999999E-4</v>
      </c>
      <c r="AA4298">
        <v>0.99788569999999999</v>
      </c>
      <c r="AB4298">
        <v>28</v>
      </c>
      <c r="AC4298">
        <v>287.42509999999999</v>
      </c>
      <c r="AD4298">
        <v>1.7446279999999901</v>
      </c>
      <c r="AE4298">
        <v>-8.5669000000000004</v>
      </c>
      <c r="AF4298">
        <v>-18.704983487027899</v>
      </c>
      <c r="AG4298">
        <v>1.7446279999999901</v>
      </c>
      <c r="AH4298">
        <v>286.93312175620099</v>
      </c>
      <c r="AI4298">
        <v>89.652368907409198</v>
      </c>
      <c r="AJ4298">
        <v>93.729797109987103</v>
      </c>
      <c r="AK4298">
        <v>287.54745085788397</v>
      </c>
      <c r="AL4298">
        <v>91.014684529922704</v>
      </c>
      <c r="AM4298">
        <v>89.402441425101699</v>
      </c>
      <c r="AN4298">
        <v>0.999999987417443</v>
      </c>
    </row>
    <row r="4299" spans="1:40" x14ac:dyDescent="0.25">
      <c r="A4299" t="str">
        <f>"20190312154007839"</f>
        <v>20190312154007839</v>
      </c>
      <c r="B4299" t="str">
        <f>"1552376407829931"</f>
        <v>1552376407829931</v>
      </c>
      <c r="C4299" t="s">
        <v>40</v>
      </c>
      <c r="D4299">
        <v>3.8912200000000001</v>
      </c>
      <c r="E4299">
        <v>0.47031909999999999</v>
      </c>
      <c r="F4299" t="s">
        <v>75</v>
      </c>
      <c r="G4299">
        <v>-168.41099999999901</v>
      </c>
      <c r="H4299">
        <v>2.7268050000000001</v>
      </c>
      <c r="I4299">
        <v>207.56960000000001</v>
      </c>
      <c r="J4299">
        <v>-455.5394</v>
      </c>
      <c r="K4299">
        <v>1.110284</v>
      </c>
      <c r="L4299">
        <v>215.24610000000001</v>
      </c>
      <c r="M4299">
        <v>0.99577280000000001</v>
      </c>
      <c r="N4299">
        <v>0</v>
      </c>
      <c r="O4299">
        <v>-9.1848840000000001E-2</v>
      </c>
      <c r="P4299">
        <v>0.99473860000000003</v>
      </c>
      <c r="Q4299">
        <v>-1.711176E-2</v>
      </c>
      <c r="R4299">
        <v>-0.1010074</v>
      </c>
      <c r="S4299">
        <v>3.0089419999999998</v>
      </c>
      <c r="T4299">
        <v>1.6923549999999999E-2</v>
      </c>
      <c r="U4299">
        <v>-8.0627439999999995E-2</v>
      </c>
      <c r="V4299">
        <v>9.3044919999999993E-3</v>
      </c>
      <c r="W4299">
        <v>-1.7641400000000002E-2</v>
      </c>
      <c r="X4299">
        <v>0.9998011</v>
      </c>
      <c r="Y4299">
        <v>-6.5140310000000007E-2</v>
      </c>
      <c r="Z4299">
        <v>-6.9894770000000002E-4</v>
      </c>
      <c r="AA4299">
        <v>0.99787590000000004</v>
      </c>
      <c r="AB4299">
        <v>29</v>
      </c>
      <c r="AC4299">
        <v>287.1284</v>
      </c>
      <c r="AD4299">
        <v>1.6165209999999901</v>
      </c>
      <c r="AE4299">
        <v>-7.6764999999999999</v>
      </c>
      <c r="AF4299">
        <v>-18.7277704016937</v>
      </c>
      <c r="AG4299">
        <v>1.6165209999999901</v>
      </c>
      <c r="AH4299">
        <v>286.61069645531001</v>
      </c>
      <c r="AI4299">
        <v>89.677535548681007</v>
      </c>
      <c r="AJ4299">
        <v>93.7385170595049</v>
      </c>
      <c r="AK4299">
        <v>287.22645046541197</v>
      </c>
      <c r="AL4299">
        <v>91.010830184680302</v>
      </c>
      <c r="AM4299">
        <v>89.466801214328299</v>
      </c>
      <c r="AN4299">
        <v>1.00000001606327</v>
      </c>
    </row>
    <row r="4300" spans="1:40" x14ac:dyDescent="0.25">
      <c r="A4300" t="str">
        <f>"20190312154007862"</f>
        <v>20190312154007862</v>
      </c>
      <c r="B4300" t="str">
        <f>"1552376407850317"</f>
        <v>1552376407850317</v>
      </c>
      <c r="C4300" t="s">
        <v>40</v>
      </c>
      <c r="D4300">
        <v>3.90483</v>
      </c>
      <c r="E4300">
        <v>0.47056979999999998</v>
      </c>
      <c r="F4300" t="s">
        <v>75</v>
      </c>
      <c r="G4300">
        <v>-169.39340000000001</v>
      </c>
      <c r="H4300">
        <v>2.7915740000000002</v>
      </c>
      <c r="I4300">
        <v>208.59889999999999</v>
      </c>
      <c r="J4300">
        <v>-455.25029999999998</v>
      </c>
      <c r="K4300">
        <v>1.1103259999999999</v>
      </c>
      <c r="L4300">
        <v>215.22219999999999</v>
      </c>
      <c r="M4300">
        <v>0.99602959999999996</v>
      </c>
      <c r="N4300">
        <v>0</v>
      </c>
      <c r="O4300">
        <v>-8.9022000000000004E-2</v>
      </c>
      <c r="P4300">
        <v>0.99509959999999997</v>
      </c>
      <c r="Q4300">
        <v>-1.6835119999999999E-2</v>
      </c>
      <c r="R4300">
        <v>-9.7433629999999993E-2</v>
      </c>
      <c r="S4300">
        <v>3.009064</v>
      </c>
      <c r="T4300">
        <v>1.768053E-2</v>
      </c>
      <c r="U4300">
        <v>-6.9900509999999999E-2</v>
      </c>
      <c r="V4300">
        <v>8.5502719999999994E-3</v>
      </c>
      <c r="W4300">
        <v>-1.7272349999999999E-2</v>
      </c>
      <c r="X4300">
        <v>0.99981430000000004</v>
      </c>
      <c r="Y4300">
        <v>-6.5863820000000003E-2</v>
      </c>
      <c r="Z4300">
        <v>-7.1581349999999999E-4</v>
      </c>
      <c r="AA4300">
        <v>0.99782839999999995</v>
      </c>
      <c r="AB4300">
        <v>29</v>
      </c>
      <c r="AC4300">
        <v>285.8569</v>
      </c>
      <c r="AD4300">
        <v>1.6812480000000001</v>
      </c>
      <c r="AE4300">
        <v>-6.6233000000000004</v>
      </c>
      <c r="AF4300">
        <v>-18.849899536226602</v>
      </c>
      <c r="AG4300">
        <v>1.6812480000000001</v>
      </c>
      <c r="AH4300">
        <v>285.30170656947399</v>
      </c>
      <c r="AI4300">
        <v>89.663101405678901</v>
      </c>
      <c r="AJ4300">
        <v>93.780041432113094</v>
      </c>
      <c r="AK4300">
        <v>285.928678307751</v>
      </c>
      <c r="AL4300">
        <v>90.9896819332738</v>
      </c>
      <c r="AM4300">
        <v>89.510026454798606</v>
      </c>
      <c r="AN4300">
        <v>1.0000000378551399</v>
      </c>
    </row>
    <row r="4301" spans="1:40" x14ac:dyDescent="0.25">
      <c r="A4301" t="str">
        <f>"20190312154007885"</f>
        <v>20190312154007885</v>
      </c>
      <c r="B4301" t="str">
        <f>"1552376407880568"</f>
        <v>1552376407880568</v>
      </c>
      <c r="C4301" t="s">
        <v>40</v>
      </c>
      <c r="D4301">
        <v>3.9114010000000001</v>
      </c>
      <c r="E4301">
        <v>0.47108369999999999</v>
      </c>
      <c r="F4301" t="s">
        <v>75</v>
      </c>
      <c r="G4301">
        <v>-169.39320000000001</v>
      </c>
      <c r="H4301">
        <v>3.0311910000000002</v>
      </c>
      <c r="I4301">
        <v>209.4008</v>
      </c>
      <c r="J4301">
        <v>-454.95159999999998</v>
      </c>
      <c r="K4301">
        <v>1.1103639999999999</v>
      </c>
      <c r="L4301">
        <v>215.19829999999999</v>
      </c>
      <c r="M4301">
        <v>0.99628620000000001</v>
      </c>
      <c r="N4301">
        <v>0</v>
      </c>
      <c r="O4301">
        <v>-8.6103479999999996E-2</v>
      </c>
      <c r="P4301">
        <v>0.99545760000000005</v>
      </c>
      <c r="Q4301">
        <v>-1.56811E-2</v>
      </c>
      <c r="R4301">
        <v>-9.3906600000000007E-2</v>
      </c>
      <c r="S4301">
        <v>3.009125</v>
      </c>
      <c r="T4301">
        <v>2.0220640000000002E-2</v>
      </c>
      <c r="U4301">
        <v>-6.1279300000000002E-2</v>
      </c>
      <c r="V4301">
        <v>7.9294569999999905E-3</v>
      </c>
      <c r="W4301">
        <v>-1.602199E-2</v>
      </c>
      <c r="X4301">
        <v>0.99984019999999996</v>
      </c>
      <c r="Y4301">
        <v>-6.579757E-2</v>
      </c>
      <c r="Z4301">
        <v>-7.9891169999999896E-4</v>
      </c>
      <c r="AA4301">
        <v>0.99783270000000002</v>
      </c>
      <c r="AB4301">
        <v>29</v>
      </c>
      <c r="AC4301">
        <v>285.55840000000001</v>
      </c>
      <c r="AD4301">
        <v>1.9208270000000001</v>
      </c>
      <c r="AE4301">
        <v>-5.7974999999999799</v>
      </c>
      <c r="AF4301">
        <v>-18.810751950671101</v>
      </c>
      <c r="AG4301">
        <v>1.9208270000000001</v>
      </c>
      <c r="AH4301">
        <v>284.98418864161403</v>
      </c>
      <c r="AI4301">
        <v>89.614664029249298</v>
      </c>
      <c r="AJ4301">
        <v>93.776404402624905</v>
      </c>
      <c r="AK4301">
        <v>285.61078715803501</v>
      </c>
      <c r="AL4301">
        <v>90.918031683601797</v>
      </c>
      <c r="AM4301">
        <v>89.545612493708305</v>
      </c>
      <c r="AN4301">
        <v>1.00000000299395</v>
      </c>
    </row>
    <row r="4302" spans="1:40" x14ac:dyDescent="0.25">
      <c r="A4302" t="str">
        <f>"20190312154007907"</f>
        <v>20190312154007907</v>
      </c>
      <c r="B4302" t="str">
        <f>"1552376407900088"</f>
        <v>1552376407900088</v>
      </c>
      <c r="C4302" t="s">
        <v>40</v>
      </c>
      <c r="D4302">
        <v>3.9402940000000002</v>
      </c>
      <c r="E4302">
        <v>0.47136630000000002</v>
      </c>
      <c r="F4302" t="s">
        <v>75</v>
      </c>
      <c r="G4302">
        <v>-169.3931</v>
      </c>
      <c r="H4302">
        <v>3.5371459999999999</v>
      </c>
      <c r="I4302">
        <v>210.0257</v>
      </c>
      <c r="J4302">
        <v>-454.64749999999998</v>
      </c>
      <c r="K4302">
        <v>1.110409</v>
      </c>
      <c r="L4302">
        <v>215.17490000000001</v>
      </c>
      <c r="M4302">
        <v>0.99653809999999998</v>
      </c>
      <c r="N4302">
        <v>0</v>
      </c>
      <c r="O4302">
        <v>-8.3136059999999998E-2</v>
      </c>
      <c r="P4302">
        <v>0.99576209999999998</v>
      </c>
      <c r="Q4302">
        <v>-1.468448E-2</v>
      </c>
      <c r="R4302">
        <v>-9.078601E-2</v>
      </c>
      <c r="S4302">
        <v>3.008972</v>
      </c>
      <c r="T4302">
        <v>2.5571699999999999E-2</v>
      </c>
      <c r="U4302">
        <v>-5.450439E-2</v>
      </c>
      <c r="V4302">
        <v>7.7675849999999996E-3</v>
      </c>
      <c r="W4302">
        <v>-1.492461E-2</v>
      </c>
      <c r="X4302">
        <v>0.99985840000000004</v>
      </c>
      <c r="Y4302">
        <v>-6.5068799999999996E-2</v>
      </c>
      <c r="Z4302">
        <v>-9.821799E-4</v>
      </c>
      <c r="AA4302">
        <v>0.99788030000000005</v>
      </c>
      <c r="AB4302">
        <v>29</v>
      </c>
      <c r="AC4302">
        <v>285.25439999999998</v>
      </c>
      <c r="AD4302">
        <v>2.4267369999999899</v>
      </c>
      <c r="AE4302">
        <v>-5.1492000000000004</v>
      </c>
      <c r="AF4302">
        <v>-18.582210462555601</v>
      </c>
      <c r="AG4302">
        <v>2.4267369999999899</v>
      </c>
      <c r="AH4302">
        <v>284.67439577083201</v>
      </c>
      <c r="AI4302">
        <v>89.512625063184501</v>
      </c>
      <c r="AJ4302">
        <v>93.734701635069896</v>
      </c>
      <c r="AK4302">
        <v>285.29055225441698</v>
      </c>
      <c r="AL4302">
        <v>90.855148955440896</v>
      </c>
      <c r="AM4302">
        <v>89.554896088738104</v>
      </c>
      <c r="AN4302">
        <v>0.99999994970547101</v>
      </c>
    </row>
    <row r="4303" spans="1:40" x14ac:dyDescent="0.25">
      <c r="A4303" t="str">
        <f>"20190312154007929"</f>
        <v>20190312154007929</v>
      </c>
      <c r="B4303" t="str">
        <f>"1552376407920585"</f>
        <v>1552376407920585</v>
      </c>
      <c r="C4303" t="s">
        <v>40</v>
      </c>
      <c r="D4303">
        <v>3.9239280000000001</v>
      </c>
      <c r="E4303">
        <v>0.47167799999999999</v>
      </c>
      <c r="F4303" t="s">
        <v>75</v>
      </c>
      <c r="G4303">
        <v>-138.91409999999999</v>
      </c>
      <c r="H4303">
        <v>4.2025410000000001</v>
      </c>
      <c r="I4303">
        <v>210.20179999999999</v>
      </c>
      <c r="J4303">
        <v>-454.3657</v>
      </c>
      <c r="K4303">
        <v>1.110449</v>
      </c>
      <c r="L4303">
        <v>215.154</v>
      </c>
      <c r="M4303">
        <v>0.99676379999999998</v>
      </c>
      <c r="N4303">
        <v>0</v>
      </c>
      <c r="O4303">
        <v>-8.0387979999999998E-2</v>
      </c>
      <c r="P4303">
        <v>0.9960348</v>
      </c>
      <c r="Q4303">
        <v>-1.4371729999999999E-2</v>
      </c>
      <c r="R4303">
        <v>-8.7797120000000006E-2</v>
      </c>
      <c r="S4303">
        <v>3.0089109999999999</v>
      </c>
      <c r="T4303">
        <v>2.9468060000000001E-2</v>
      </c>
      <c r="U4303">
        <v>-4.73938E-2</v>
      </c>
      <c r="V4303">
        <v>7.52220699999999E-3</v>
      </c>
      <c r="W4303">
        <v>-1.451883E-2</v>
      </c>
      <c r="X4303">
        <v>0.99986629999999999</v>
      </c>
      <c r="Y4303">
        <v>-6.4672839999999995E-2</v>
      </c>
      <c r="Z4303">
        <v>-1.10312E-3</v>
      </c>
      <c r="AA4303">
        <v>0.99790590000000001</v>
      </c>
      <c r="AB4303">
        <v>30</v>
      </c>
      <c r="AC4303">
        <v>315.45159999999998</v>
      </c>
      <c r="AD4303">
        <v>3.0920919999999898</v>
      </c>
      <c r="AE4303">
        <v>-4.9522000000000297</v>
      </c>
      <c r="AF4303">
        <v>-20.420378619554398</v>
      </c>
      <c r="AG4303">
        <v>3.0920919999999898</v>
      </c>
      <c r="AH4303">
        <v>314.79854677784198</v>
      </c>
      <c r="AI4303">
        <v>89.438413572849498</v>
      </c>
      <c r="AJ4303">
        <v>93.711467486048207</v>
      </c>
      <c r="AK4303">
        <v>315.47532066604498</v>
      </c>
      <c r="AL4303">
        <v>90.831896911903598</v>
      </c>
      <c r="AM4303">
        <v>89.568959787099502</v>
      </c>
      <c r="AN4303">
        <v>0.99999999894920399</v>
      </c>
    </row>
    <row r="4304" spans="1:40" x14ac:dyDescent="0.25">
      <c r="A4304" t="str">
        <f>"20190312154007950"</f>
        <v>20190312154007950</v>
      </c>
      <c r="B4304" t="str">
        <f>"1552376407940104"</f>
        <v>1552376407940104</v>
      </c>
      <c r="C4304" t="s">
        <v>40</v>
      </c>
      <c r="D4304">
        <v>3.9760179999999998</v>
      </c>
      <c r="E4304">
        <v>0.47200799999999998</v>
      </c>
      <c r="F4304" t="s">
        <v>76</v>
      </c>
      <c r="G4304">
        <v>-107.39749999999999</v>
      </c>
      <c r="H4304">
        <v>4.6048410000000004</v>
      </c>
      <c r="I4304">
        <v>210.4417</v>
      </c>
      <c r="J4304">
        <v>-454.07870000000003</v>
      </c>
      <c r="K4304">
        <v>1.11049</v>
      </c>
      <c r="L4304">
        <v>215.1335</v>
      </c>
      <c r="M4304">
        <v>0.99698529999999996</v>
      </c>
      <c r="N4304">
        <v>0</v>
      </c>
      <c r="O4304">
        <v>-7.759162E-2</v>
      </c>
      <c r="P4304">
        <v>0.99632730000000003</v>
      </c>
      <c r="Q4304">
        <v>-1.476096E-2</v>
      </c>
      <c r="R4304">
        <v>-8.4345729999999994E-2</v>
      </c>
      <c r="S4304">
        <v>3.008759</v>
      </c>
      <c r="T4304">
        <v>3.0302289999999999E-2</v>
      </c>
      <c r="U4304">
        <v>-4.0863040000000003E-2</v>
      </c>
      <c r="V4304">
        <v>6.8657079999999999E-3</v>
      </c>
      <c r="W4304">
        <v>-1.4815480000000001E-2</v>
      </c>
      <c r="X4304">
        <v>0.9998667</v>
      </c>
      <c r="Y4304">
        <v>-6.4038129999999999E-2</v>
      </c>
      <c r="Z4304">
        <v>-1.103157E-3</v>
      </c>
      <c r="AA4304">
        <v>0.99794689999999997</v>
      </c>
      <c r="AB4304">
        <v>30</v>
      </c>
      <c r="AC4304">
        <v>346.68119999999999</v>
      </c>
      <c r="AD4304">
        <v>3.494351</v>
      </c>
      <c r="AE4304">
        <v>-4.6917999999999997</v>
      </c>
      <c r="AF4304">
        <v>-22.219641665754001</v>
      </c>
      <c r="AG4304">
        <v>3.494351</v>
      </c>
      <c r="AH4304">
        <v>345.96493707815603</v>
      </c>
      <c r="AI4304">
        <v>89.422504632343902</v>
      </c>
      <c r="AJ4304">
        <v>93.674781541199494</v>
      </c>
      <c r="AK4304">
        <v>346.69534270329899</v>
      </c>
      <c r="AL4304">
        <v>90.848895509609605</v>
      </c>
      <c r="AM4304">
        <v>89.606577647484798</v>
      </c>
      <c r="AN4304">
        <v>1.00000002708143</v>
      </c>
    </row>
    <row r="4305" spans="1:40" x14ac:dyDescent="0.25">
      <c r="A4305" t="str">
        <f>"20190312154007973"</f>
        <v>20190312154007973</v>
      </c>
      <c r="B4305" t="str">
        <f>"1552376407959627"</f>
        <v>1552376407959627</v>
      </c>
      <c r="C4305" t="s">
        <v>40</v>
      </c>
      <c r="D4305">
        <v>3.971168</v>
      </c>
      <c r="E4305">
        <v>0.4723755</v>
      </c>
      <c r="F4305" t="s">
        <v>76</v>
      </c>
      <c r="G4305">
        <v>-107.39749999999999</v>
      </c>
      <c r="H4305">
        <v>4.4293180000000003</v>
      </c>
      <c r="I4305">
        <v>211.334</v>
      </c>
      <c r="J4305">
        <v>-453.78210000000001</v>
      </c>
      <c r="K4305">
        <v>1.1105240000000001</v>
      </c>
      <c r="L4305">
        <v>215.11320000000001</v>
      </c>
      <c r="M4305">
        <v>0.99720569999999997</v>
      </c>
      <c r="N4305">
        <v>0</v>
      </c>
      <c r="O4305">
        <v>-7.4703569999999997E-2</v>
      </c>
      <c r="P4305">
        <v>0.99665349999999997</v>
      </c>
      <c r="Q4305">
        <v>-1.515098E-2</v>
      </c>
      <c r="R4305">
        <v>-8.0328479999999994E-2</v>
      </c>
      <c r="S4305">
        <v>3.0086979999999999</v>
      </c>
      <c r="T4305">
        <v>2.880311E-2</v>
      </c>
      <c r="U4305">
        <v>-3.2974240000000002E-2</v>
      </c>
      <c r="V4305">
        <v>5.7339549999999998E-3</v>
      </c>
      <c r="W4305">
        <v>-1.511211E-2</v>
      </c>
      <c r="X4305">
        <v>0.99986929999999996</v>
      </c>
      <c r="Y4305">
        <v>-6.3764399999999999E-2</v>
      </c>
      <c r="Z4305">
        <v>-1.019748E-3</v>
      </c>
      <c r="AA4305">
        <v>0.99796439999999997</v>
      </c>
      <c r="AB4305">
        <v>30</v>
      </c>
      <c r="AC4305">
        <v>346.38459999999998</v>
      </c>
      <c r="AD4305">
        <v>3.318794</v>
      </c>
      <c r="AE4305">
        <v>-3.7791999999999999</v>
      </c>
      <c r="AF4305">
        <v>-22.105499247473698</v>
      </c>
      <c r="AG4305">
        <v>3.318794</v>
      </c>
      <c r="AH4305">
        <v>345.66731783353202</v>
      </c>
      <c r="AI4305">
        <v>89.451034466686593</v>
      </c>
      <c r="AJ4305">
        <v>93.659094724513196</v>
      </c>
      <c r="AK4305">
        <v>346.38932158601898</v>
      </c>
      <c r="AL4305">
        <v>90.865893138622695</v>
      </c>
      <c r="AM4305">
        <v>89.671429235765103</v>
      </c>
      <c r="AN4305">
        <v>0.99999993559553901</v>
      </c>
    </row>
    <row r="4306" spans="1:40" x14ac:dyDescent="0.25">
      <c r="A4306" t="str">
        <f>"20190312154007996"</f>
        <v>20190312154007996</v>
      </c>
      <c r="B4306" t="str">
        <f>"1552376407989879"</f>
        <v>1552376407989879</v>
      </c>
      <c r="C4306" t="s">
        <v>40</v>
      </c>
      <c r="D4306">
        <v>3.9907879999999998</v>
      </c>
      <c r="E4306">
        <v>0.47258879999999998</v>
      </c>
      <c r="F4306" t="s">
        <v>76</v>
      </c>
      <c r="G4306">
        <v>-107.39749999999999</v>
      </c>
      <c r="H4306">
        <v>4.1782949999999897</v>
      </c>
      <c r="I4306">
        <v>212.4042</v>
      </c>
      <c r="J4306">
        <v>-453.46769999999998</v>
      </c>
      <c r="K4306">
        <v>1.1105609999999999</v>
      </c>
      <c r="L4306">
        <v>215.0925</v>
      </c>
      <c r="M4306">
        <v>0.99743000000000004</v>
      </c>
      <c r="N4306">
        <v>0</v>
      </c>
      <c r="O4306">
        <v>-7.1647790000000003E-2</v>
      </c>
      <c r="P4306">
        <v>0.99698160000000002</v>
      </c>
      <c r="Q4306">
        <v>-1.49745E-2</v>
      </c>
      <c r="R4306">
        <v>-7.6182719999999995E-2</v>
      </c>
      <c r="S4306">
        <v>3.008575</v>
      </c>
      <c r="T4306">
        <v>2.6646019999999999E-2</v>
      </c>
      <c r="U4306">
        <v>-2.3529049999999999E-2</v>
      </c>
      <c r="V4306">
        <v>4.6386600000000002E-3</v>
      </c>
      <c r="W4306">
        <v>-1.48363E-2</v>
      </c>
      <c r="X4306">
        <v>0.99987919999999997</v>
      </c>
      <c r="Y4306">
        <v>-6.3839960000000001E-2</v>
      </c>
      <c r="Z4306">
        <v>-9.1678289999999997E-4</v>
      </c>
      <c r="AA4306">
        <v>0.99795970000000001</v>
      </c>
      <c r="AB4306">
        <v>30</v>
      </c>
      <c r="AC4306">
        <v>346.0702</v>
      </c>
      <c r="AD4306">
        <v>3.0677340000000002</v>
      </c>
      <c r="AE4306">
        <v>-2.6882999999999901</v>
      </c>
      <c r="AF4306">
        <v>-22.112036388577</v>
      </c>
      <c r="AG4306">
        <v>3.0677340000000002</v>
      </c>
      <c r="AH4306">
        <v>345.34627313183199</v>
      </c>
      <c r="AI4306">
        <v>89.492091159485199</v>
      </c>
      <c r="AJ4306">
        <v>93.663567217589602</v>
      </c>
      <c r="AK4306">
        <v>346.06704771068598</v>
      </c>
      <c r="AL4306">
        <v>90.850088541640105</v>
      </c>
      <c r="AM4306">
        <v>89.734194156740202</v>
      </c>
      <c r="AN4306">
        <v>1.0000000237784601</v>
      </c>
    </row>
    <row r="4307" spans="1:40" x14ac:dyDescent="0.25">
      <c r="A4307" t="str">
        <f>"20190312154008018"</f>
        <v>20190312154008018</v>
      </c>
      <c r="B4307" t="str">
        <f>"1552376408010376"</f>
        <v>1552376408010376</v>
      </c>
      <c r="C4307" t="s">
        <v>40</v>
      </c>
      <c r="D4307">
        <v>3.991527</v>
      </c>
      <c r="E4307">
        <v>0.47238619999999998</v>
      </c>
      <c r="F4307" t="s">
        <v>76</v>
      </c>
      <c r="G4307">
        <v>-107.39749999999999</v>
      </c>
      <c r="H4307">
        <v>4.2418230000000001</v>
      </c>
      <c r="I4307">
        <v>213.62690000000001</v>
      </c>
      <c r="J4307">
        <v>-453.17329999999998</v>
      </c>
      <c r="K4307">
        <v>1.1105860000000001</v>
      </c>
      <c r="L4307">
        <v>215.07400000000001</v>
      </c>
      <c r="M4307">
        <v>0.99763080000000004</v>
      </c>
      <c r="N4307">
        <v>0</v>
      </c>
      <c r="O4307">
        <v>-6.8795590000000004E-2</v>
      </c>
      <c r="P4307">
        <v>0.99727549999999998</v>
      </c>
      <c r="Q4307">
        <v>-1.515387E-2</v>
      </c>
      <c r="R4307">
        <v>-7.2195330000000002E-2</v>
      </c>
      <c r="S4307">
        <v>3.0085449999999998</v>
      </c>
      <c r="T4307">
        <v>2.722192E-2</v>
      </c>
      <c r="U4307">
        <v>-1.274109E-2</v>
      </c>
      <c r="V4307">
        <v>3.500899E-3</v>
      </c>
      <c r="W4307">
        <v>-1.492363E-2</v>
      </c>
      <c r="X4307">
        <v>0.99988250000000001</v>
      </c>
      <c r="Y4307">
        <v>-6.4564620000000003E-2</v>
      </c>
      <c r="Z4307">
        <v>-9.1415840000000001E-4</v>
      </c>
      <c r="AA4307">
        <v>0.9979131</v>
      </c>
      <c r="AB4307">
        <v>30</v>
      </c>
      <c r="AC4307">
        <v>345.7758</v>
      </c>
      <c r="AD4307">
        <v>3.131237</v>
      </c>
      <c r="AE4307">
        <v>-1.4471000000000001</v>
      </c>
      <c r="AF4307">
        <v>-22.342345958702101</v>
      </c>
      <c r="AG4307">
        <v>3.131237</v>
      </c>
      <c r="AH4307">
        <v>345.027840416694</v>
      </c>
      <c r="AI4307">
        <v>89.481123604882498</v>
      </c>
      <c r="AJ4307">
        <v>93.705026614790896</v>
      </c>
      <c r="AK4307">
        <v>345.764653674572</v>
      </c>
      <c r="AL4307">
        <v>90.855092762795607</v>
      </c>
      <c r="AM4307">
        <v>89.7993905108533</v>
      </c>
      <c r="AN4307">
        <v>0.99999999241621695</v>
      </c>
    </row>
    <row r="4308" spans="1:40" x14ac:dyDescent="0.25">
      <c r="A4308" t="str">
        <f>"20190312154008041"</f>
        <v>20190312154008041</v>
      </c>
      <c r="B4308" t="str">
        <f>"1552376408029896"</f>
        <v>1552376408029896</v>
      </c>
      <c r="C4308" t="s">
        <v>40</v>
      </c>
      <c r="D4308">
        <v>4.008451</v>
      </c>
      <c r="E4308">
        <v>0.47227989999999997</v>
      </c>
      <c r="F4308" t="s">
        <v>76</v>
      </c>
      <c r="G4308">
        <v>-107.39749999999999</v>
      </c>
      <c r="H4308">
        <v>4.302416</v>
      </c>
      <c r="I4308">
        <v>215.19149999999999</v>
      </c>
      <c r="J4308">
        <v>-452.85059999999999</v>
      </c>
      <c r="K4308">
        <v>1.110619</v>
      </c>
      <c r="L4308">
        <v>215.0548</v>
      </c>
      <c r="M4308">
        <v>0.99784059999999997</v>
      </c>
      <c r="N4308">
        <v>0</v>
      </c>
      <c r="O4308">
        <v>-6.5682660000000004E-2</v>
      </c>
      <c r="P4308">
        <v>0.99752039999999997</v>
      </c>
      <c r="Q4308">
        <v>-1.514912E-2</v>
      </c>
      <c r="R4308">
        <v>-6.8729150000000003E-2</v>
      </c>
      <c r="S4308">
        <v>3.0086979999999999</v>
      </c>
      <c r="T4308">
        <v>2.77735E-2</v>
      </c>
      <c r="U4308">
        <v>1.0223389999999999E-3</v>
      </c>
      <c r="V4308">
        <v>3.14598E-3</v>
      </c>
      <c r="W4308">
        <v>-1.4813440000000001E-2</v>
      </c>
      <c r="X4308">
        <v>0.99988529999999998</v>
      </c>
      <c r="Y4308">
        <v>-6.6016119999999998E-2</v>
      </c>
      <c r="Z4308">
        <v>-9.1067559999999999E-4</v>
      </c>
      <c r="AA4308">
        <v>0.99781810000000004</v>
      </c>
      <c r="AB4308">
        <v>31</v>
      </c>
      <c r="AC4308">
        <v>345.45310000000001</v>
      </c>
      <c r="AD4308">
        <v>3.1917970000000002</v>
      </c>
      <c r="AE4308">
        <v>0.13669999999999</v>
      </c>
      <c r="AF4308">
        <v>-22.824733980018301</v>
      </c>
      <c r="AG4308">
        <v>3.1917970000000002</v>
      </c>
      <c r="AH4308">
        <v>344.668713372458</v>
      </c>
      <c r="AI4308">
        <v>89.470588367635003</v>
      </c>
      <c r="AJ4308">
        <v>93.7887229414724</v>
      </c>
      <c r="AK4308">
        <v>345.438385283358</v>
      </c>
      <c r="AL4308">
        <v>90.848778658303104</v>
      </c>
      <c r="AM4308">
        <v>89.819728541224706</v>
      </c>
      <c r="AN4308">
        <v>0.99999997417544095</v>
      </c>
    </row>
    <row r="4309" spans="1:40" x14ac:dyDescent="0.25">
      <c r="A4309" t="str">
        <f>"20190312154008064"</f>
        <v>20190312154008064</v>
      </c>
      <c r="B4309" t="str">
        <f>"1552376408050392"</f>
        <v>1552376408050392</v>
      </c>
      <c r="C4309" t="s">
        <v>40</v>
      </c>
      <c r="D4309">
        <v>3.9960770000000001</v>
      </c>
      <c r="E4309">
        <v>0.47226259999999998</v>
      </c>
      <c r="F4309" t="s">
        <v>76</v>
      </c>
      <c r="G4309">
        <v>-107.39749999999999</v>
      </c>
      <c r="H4309">
        <v>4.4065890000000003</v>
      </c>
      <c r="I4309">
        <v>216.44579999999999</v>
      </c>
      <c r="J4309">
        <v>-452.54410000000001</v>
      </c>
      <c r="K4309">
        <v>1.1106510000000001</v>
      </c>
      <c r="L4309">
        <v>215.03739999999999</v>
      </c>
      <c r="M4309">
        <v>0.99803019999999998</v>
      </c>
      <c r="N4309">
        <v>0</v>
      </c>
      <c r="O4309">
        <v>-6.2736139999999996E-2</v>
      </c>
      <c r="P4309">
        <v>0.99770740000000002</v>
      </c>
      <c r="Q4309">
        <v>-1.5299460000000001E-2</v>
      </c>
      <c r="R4309">
        <v>-6.5924629999999998E-2</v>
      </c>
      <c r="S4309">
        <v>3.0086979999999999</v>
      </c>
      <c r="T4309">
        <v>2.8706430000000002E-2</v>
      </c>
      <c r="U4309">
        <v>1.211548E-2</v>
      </c>
      <c r="V4309">
        <v>3.2885150000000001E-3</v>
      </c>
      <c r="W4309">
        <v>-1.486087E-2</v>
      </c>
      <c r="X4309">
        <v>0.9998842</v>
      </c>
      <c r="Y4309">
        <v>-6.6748600000000005E-2</v>
      </c>
      <c r="Z4309">
        <v>-9.167035E-4</v>
      </c>
      <c r="AA4309">
        <v>0.99776940000000003</v>
      </c>
      <c r="AB4309">
        <v>31</v>
      </c>
      <c r="AC4309">
        <v>345.14659999999998</v>
      </c>
      <c r="AD4309">
        <v>3.295938</v>
      </c>
      <c r="AE4309">
        <v>1.4084000000000001</v>
      </c>
      <c r="AF4309">
        <v>-23.056687437962701</v>
      </c>
      <c r="AG4309">
        <v>3.295938</v>
      </c>
      <c r="AH4309">
        <v>344.34695410787401</v>
      </c>
      <c r="AI4309">
        <v>89.452831800474399</v>
      </c>
      <c r="AJ4309">
        <v>93.830676935698193</v>
      </c>
      <c r="AK4309">
        <v>345.13374052138403</v>
      </c>
      <c r="AL4309">
        <v>90.8514964432092</v>
      </c>
      <c r="AM4309">
        <v>89.811560827736201</v>
      </c>
      <c r="AN4309">
        <v>1.00000003659885</v>
      </c>
    </row>
    <row r="4310" spans="1:40" x14ac:dyDescent="0.25">
      <c r="A4310" t="str">
        <f>"20190312154008086"</f>
        <v>20190312154008086</v>
      </c>
      <c r="B4310" t="str">
        <f>"1552376408079673"</f>
        <v>1552376408079673</v>
      </c>
      <c r="C4310" t="s">
        <v>40</v>
      </c>
      <c r="D4310">
        <v>3.9873400000000001</v>
      </c>
      <c r="E4310">
        <v>0.47240090000000001</v>
      </c>
      <c r="F4310" t="s">
        <v>76</v>
      </c>
      <c r="G4310">
        <v>-107.39749999999999</v>
      </c>
      <c r="H4310">
        <v>4.4513470000000002</v>
      </c>
      <c r="I4310">
        <v>217.4057</v>
      </c>
      <c r="J4310">
        <v>-452.22710000000001</v>
      </c>
      <c r="K4310">
        <v>1.11069</v>
      </c>
      <c r="L4310">
        <v>215.02029999999999</v>
      </c>
      <c r="M4310">
        <v>0.9982162</v>
      </c>
      <c r="N4310">
        <v>0</v>
      </c>
      <c r="O4310">
        <v>-5.9700919999999998E-2</v>
      </c>
      <c r="P4310">
        <v>0.99782870000000001</v>
      </c>
      <c r="Q4310">
        <v>-1.5320149999999999E-2</v>
      </c>
      <c r="R4310">
        <v>-6.4058690000000001E-2</v>
      </c>
      <c r="S4310">
        <v>3.008667</v>
      </c>
      <c r="T4310">
        <v>2.9121520000000001E-2</v>
      </c>
      <c r="U4310">
        <v>2.0645139999999999E-2</v>
      </c>
      <c r="V4310">
        <v>4.4594559999999997E-3</v>
      </c>
      <c r="W4310">
        <v>-1.4769030000000001E-2</v>
      </c>
      <c r="X4310">
        <v>0.99988100000000002</v>
      </c>
      <c r="Y4310">
        <v>-6.6543119999999997E-2</v>
      </c>
      <c r="Z4310">
        <v>-8.9964029999999896E-4</v>
      </c>
      <c r="AA4310">
        <v>0.99778310000000003</v>
      </c>
      <c r="AB4310">
        <v>31</v>
      </c>
      <c r="AC4310">
        <v>344.82960000000003</v>
      </c>
      <c r="AD4310">
        <v>3.34065699999999</v>
      </c>
      <c r="AE4310">
        <v>2.3854000000000002</v>
      </c>
      <c r="AF4310">
        <v>-22.9656364694107</v>
      </c>
      <c r="AG4310">
        <v>3.34065699999999</v>
      </c>
      <c r="AH4310">
        <v>344.03983181339697</v>
      </c>
      <c r="AI4310">
        <v>89.444905711928001</v>
      </c>
      <c r="AJ4310">
        <v>93.818990430959005</v>
      </c>
      <c r="AK4310">
        <v>344.82167321940102</v>
      </c>
      <c r="AL4310">
        <v>90.846233841779195</v>
      </c>
      <c r="AM4310">
        <v>89.744463277529803</v>
      </c>
      <c r="AN4310">
        <v>1.00000001257797</v>
      </c>
    </row>
    <row r="4311" spans="1:40" x14ac:dyDescent="0.25">
      <c r="A4311" t="str">
        <f>"20190312154008108"</f>
        <v>20190312154008108</v>
      </c>
      <c r="B4311" t="str">
        <f>"1552376408100168"</f>
        <v>1552376408100168</v>
      </c>
      <c r="C4311" t="s">
        <v>40</v>
      </c>
      <c r="D4311">
        <v>4.0252929999999996</v>
      </c>
      <c r="E4311">
        <v>0.47247820000000001</v>
      </c>
      <c r="F4311" t="s">
        <v>76</v>
      </c>
      <c r="G4311">
        <v>-107.39749999999999</v>
      </c>
      <c r="H4311">
        <v>4.6080930000000002</v>
      </c>
      <c r="I4311">
        <v>217.9042</v>
      </c>
      <c r="J4311">
        <v>-451.91680000000002</v>
      </c>
      <c r="K4311">
        <v>1.110716</v>
      </c>
      <c r="L4311">
        <v>215.0044</v>
      </c>
      <c r="M4311">
        <v>0.99838859999999996</v>
      </c>
      <c r="N4311">
        <v>0</v>
      </c>
      <c r="O4311">
        <v>-5.674307E-2</v>
      </c>
      <c r="P4311">
        <v>0.99796090000000004</v>
      </c>
      <c r="Q4311">
        <v>-1.480152E-2</v>
      </c>
      <c r="R4311">
        <v>-6.2092019999999998E-2</v>
      </c>
      <c r="S4311">
        <v>3.0086059999999999</v>
      </c>
      <c r="T4311">
        <v>3.0514960000000001E-2</v>
      </c>
      <c r="U4311">
        <v>2.5161739999999998E-2</v>
      </c>
      <c r="V4311">
        <v>5.4479580000000001E-3</v>
      </c>
      <c r="W4311">
        <v>-1.414108E-2</v>
      </c>
      <c r="X4311">
        <v>0.99988509999999997</v>
      </c>
      <c r="Y4311">
        <v>-6.5084329999999996E-2</v>
      </c>
      <c r="Z4311">
        <v>-9.0534359999999996E-4</v>
      </c>
      <c r="AA4311">
        <v>0.99787939999999997</v>
      </c>
      <c r="AB4311">
        <v>31</v>
      </c>
      <c r="AC4311">
        <v>344.51929999999999</v>
      </c>
      <c r="AD4311">
        <v>3.49737699999999</v>
      </c>
      <c r="AE4311">
        <v>2.8997999999999902</v>
      </c>
      <c r="AF4311">
        <v>-22.441902288489199</v>
      </c>
      <c r="AG4311">
        <v>3.49737699999999</v>
      </c>
      <c r="AH4311">
        <v>343.76424832020399</v>
      </c>
      <c r="AI4311">
        <v>89.418344321197097</v>
      </c>
      <c r="AJ4311">
        <v>93.735130349428402</v>
      </c>
      <c r="AK4311">
        <v>344.51375741378001</v>
      </c>
      <c r="AL4311">
        <v>90.810251262894795</v>
      </c>
      <c r="AM4311">
        <v>89.687822219243401</v>
      </c>
      <c r="AN4311">
        <v>0.99999993179597002</v>
      </c>
    </row>
    <row r="4312" spans="1:40" x14ac:dyDescent="0.25">
      <c r="A4312" t="str">
        <f>"20190312154008131"</f>
        <v>20190312154008131</v>
      </c>
      <c r="B4312" t="str">
        <f>"1552376408119688"</f>
        <v>1552376408119688</v>
      </c>
      <c r="C4312" t="s">
        <v>40</v>
      </c>
      <c r="D4312">
        <v>3.9890620000000001</v>
      </c>
      <c r="E4312">
        <v>0.47246870000000002</v>
      </c>
      <c r="F4312" t="s">
        <v>76</v>
      </c>
      <c r="G4312">
        <v>-107.39749999999999</v>
      </c>
      <c r="H4312">
        <v>4.9519679999999999</v>
      </c>
      <c r="I4312">
        <v>218.47470000000001</v>
      </c>
      <c r="J4312">
        <v>-451.5992</v>
      </c>
      <c r="K4312">
        <v>1.1107479999999901</v>
      </c>
      <c r="L4312">
        <v>214.98920000000001</v>
      </c>
      <c r="M4312">
        <v>0.99855539999999998</v>
      </c>
      <c r="N4312">
        <v>0</v>
      </c>
      <c r="O4312">
        <v>-5.3727160000000003E-2</v>
      </c>
      <c r="P4312">
        <v>0.99809000000000003</v>
      </c>
      <c r="Q4312">
        <v>-1.46274E-2</v>
      </c>
      <c r="R4312">
        <v>-6.0017679999999997E-2</v>
      </c>
      <c r="S4312">
        <v>3.0084840000000002</v>
      </c>
      <c r="T4312">
        <v>3.3543829999999997E-2</v>
      </c>
      <c r="U4312">
        <v>3.0303960000000001E-2</v>
      </c>
      <c r="V4312">
        <v>6.3890960000000004E-3</v>
      </c>
      <c r="W4312">
        <v>-1.385573E-2</v>
      </c>
      <c r="X4312">
        <v>0.99988359999999998</v>
      </c>
      <c r="Y4312">
        <v>-6.3774929999999994E-2</v>
      </c>
      <c r="Z4312">
        <v>-9.5435140000000001E-4</v>
      </c>
      <c r="AA4312">
        <v>0.99796379999999996</v>
      </c>
      <c r="AB4312">
        <v>31</v>
      </c>
      <c r="AC4312">
        <v>344.20170000000002</v>
      </c>
      <c r="AD4312">
        <v>3.8412199999999999</v>
      </c>
      <c r="AE4312">
        <v>3.4855</v>
      </c>
      <c r="AF4312">
        <v>-21.9707142335448</v>
      </c>
      <c r="AG4312">
        <v>3.8412199999999999</v>
      </c>
      <c r="AH4312">
        <v>343.47451474359298</v>
      </c>
      <c r="AI4312">
        <v>89.360570623093196</v>
      </c>
      <c r="AJ4312">
        <v>93.659999352901096</v>
      </c>
      <c r="AK4312">
        <v>344.19792203522599</v>
      </c>
      <c r="AL4312">
        <v>90.793900248688601</v>
      </c>
      <c r="AM4312">
        <v>89.633894131646002</v>
      </c>
      <c r="AN4312">
        <v>1.00000000767524</v>
      </c>
    </row>
    <row r="4313" spans="1:40" x14ac:dyDescent="0.25">
      <c r="A4313" t="str">
        <f>"20190312154008152"</f>
        <v>20190312154008152</v>
      </c>
      <c r="B4313" t="str">
        <f>"1552376408149944"</f>
        <v>1552376408149944</v>
      </c>
      <c r="C4313" t="s">
        <v>40</v>
      </c>
      <c r="D4313">
        <v>3.964782</v>
      </c>
      <c r="E4313">
        <v>0.4695899</v>
      </c>
      <c r="F4313" t="s">
        <v>80</v>
      </c>
      <c r="G4313">
        <v>-124.6118</v>
      </c>
      <c r="H4313">
        <v>4.7726870000000003</v>
      </c>
      <c r="I4313">
        <v>218.97450000000001</v>
      </c>
      <c r="J4313">
        <v>-451.29430000000002</v>
      </c>
      <c r="K4313">
        <v>1.1107769999999999</v>
      </c>
      <c r="L4313">
        <v>214.97540000000001</v>
      </c>
      <c r="M4313">
        <v>0.99870630000000005</v>
      </c>
      <c r="N4313">
        <v>0</v>
      </c>
      <c r="O4313">
        <v>-5.084441E-2</v>
      </c>
      <c r="P4313">
        <v>0.99822370000000005</v>
      </c>
      <c r="Q4313">
        <v>-1.4663590000000001E-2</v>
      </c>
      <c r="R4313">
        <v>-5.7744459999999997E-2</v>
      </c>
      <c r="S4313">
        <v>3.0084529999999998</v>
      </c>
      <c r="T4313">
        <v>3.3692239999999998E-2</v>
      </c>
      <c r="U4313">
        <v>3.6666869999999997E-2</v>
      </c>
      <c r="V4313">
        <v>6.9984699999999997E-3</v>
      </c>
      <c r="W4313">
        <v>-1.378711E-2</v>
      </c>
      <c r="X4313">
        <v>0.9998804</v>
      </c>
      <c r="Y4313">
        <v>-6.30048E-2</v>
      </c>
      <c r="Z4313">
        <v>-9.2201459999999996E-4</v>
      </c>
      <c r="AA4313">
        <v>0.99801280000000003</v>
      </c>
      <c r="AB4313">
        <v>32</v>
      </c>
      <c r="AC4313">
        <v>326.6825</v>
      </c>
      <c r="AD4313">
        <v>3.66190999999999</v>
      </c>
      <c r="AE4313">
        <v>3.9990999999999901</v>
      </c>
      <c r="AF4313">
        <v>-20.601323055150701</v>
      </c>
      <c r="AG4313">
        <v>3.66190999999999</v>
      </c>
      <c r="AH4313">
        <v>326.01567443743102</v>
      </c>
      <c r="AI4313">
        <v>89.357743871569596</v>
      </c>
      <c r="AJ4313">
        <v>93.615781656993406</v>
      </c>
      <c r="AK4313">
        <v>326.68646142037102</v>
      </c>
      <c r="AL4313">
        <v>90.789968291276196</v>
      </c>
      <c r="AM4313">
        <v>89.598975791352402</v>
      </c>
      <c r="AN4313">
        <v>0.99999993864432402</v>
      </c>
    </row>
    <row r="4314" spans="1:40" x14ac:dyDescent="0.25">
      <c r="A4314" t="str">
        <f>"20190312154008231"</f>
        <v>20190312154008231</v>
      </c>
      <c r="B4314" t="str">
        <f>"1552376408220215"</f>
        <v>1552376408220215</v>
      </c>
      <c r="C4314" t="s">
        <v>40</v>
      </c>
      <c r="D4314">
        <v>3.325278</v>
      </c>
      <c r="E4314">
        <v>0.47373080000000001</v>
      </c>
      <c r="F4314" t="s">
        <v>61</v>
      </c>
      <c r="G4314">
        <v>-441.82589999999999</v>
      </c>
      <c r="H4314" s="1">
        <v>-5.9173679999999996E-7</v>
      </c>
      <c r="I4314">
        <v>215.22479999999999</v>
      </c>
      <c r="J4314">
        <v>-450.1653</v>
      </c>
      <c r="K4314">
        <v>1.1109450000000001</v>
      </c>
      <c r="L4314">
        <v>214.93180000000001</v>
      </c>
      <c r="M4314">
        <v>0.99918689999999999</v>
      </c>
      <c r="N4314">
        <v>0</v>
      </c>
      <c r="O4314">
        <v>-4.0297819999999998E-2</v>
      </c>
      <c r="P4314">
        <v>0.99880139999999995</v>
      </c>
      <c r="Q4314">
        <v>-1.2626129999999999E-2</v>
      </c>
      <c r="R4314">
        <v>-4.7291949999999999E-2</v>
      </c>
      <c r="S4314">
        <v>3.0047299999999999</v>
      </c>
      <c r="T4314">
        <v>-0.3524967</v>
      </c>
      <c r="U4314">
        <v>7.9147339999999997E-2</v>
      </c>
      <c r="V4314">
        <v>7.0738550000000004E-3</v>
      </c>
      <c r="W4314">
        <v>-1.1231680000000001E-2</v>
      </c>
      <c r="X4314">
        <v>0.99991189999999996</v>
      </c>
      <c r="Y4314">
        <v>-6.5866649999999999E-2</v>
      </c>
      <c r="Z4314">
        <v>8.5598719999999996E-3</v>
      </c>
      <c r="AA4314">
        <v>0.99779169999999995</v>
      </c>
      <c r="AB4314">
        <v>32</v>
      </c>
      <c r="AC4314">
        <v>8.3394000000000101</v>
      </c>
      <c r="AD4314">
        <v>-1.1109455917368001</v>
      </c>
      <c r="AE4314">
        <v>0.292999999999977</v>
      </c>
      <c r="AF4314">
        <v>-0.61787031381604696</v>
      </c>
      <c r="AG4314">
        <v>-1.1109455917368001</v>
      </c>
      <c r="AH4314">
        <v>8.17590287151938</v>
      </c>
      <c r="AI4314">
        <v>97.716249964841893</v>
      </c>
      <c r="AJ4314">
        <v>94.3217486456834</v>
      </c>
      <c r="AK4314">
        <v>8.2741375137843498</v>
      </c>
      <c r="AL4314">
        <v>90.643541392551995</v>
      </c>
      <c r="AM4314">
        <v>89.594669015301207</v>
      </c>
      <c r="AN4314">
        <v>0.99999999891089597</v>
      </c>
    </row>
    <row r="4315" spans="1:40" x14ac:dyDescent="0.25">
      <c r="A4315" t="str">
        <f>"20190312154008253"</f>
        <v>20190312154008253</v>
      </c>
      <c r="B4315" t="str">
        <f>"1552376408250472"</f>
        <v>1552376408250472</v>
      </c>
      <c r="C4315" t="s">
        <v>40</v>
      </c>
      <c r="D4315">
        <v>4.1503730000000001</v>
      </c>
      <c r="E4315">
        <v>0.47960079999999999</v>
      </c>
      <c r="F4315" t="s">
        <v>41</v>
      </c>
      <c r="G4315">
        <v>-449.3689</v>
      </c>
      <c r="H4315">
        <v>0.99957790000000002</v>
      </c>
      <c r="I4315">
        <v>214.9528</v>
      </c>
      <c r="J4315">
        <v>-449.84460000000001</v>
      </c>
      <c r="K4315">
        <v>1.111067</v>
      </c>
      <c r="L4315">
        <v>214.92160000000001</v>
      </c>
      <c r="M4315">
        <v>0.99929990000000002</v>
      </c>
      <c r="N4315">
        <v>0</v>
      </c>
      <c r="O4315">
        <v>-3.7372370000000002E-2</v>
      </c>
      <c r="P4315">
        <v>0.998942</v>
      </c>
      <c r="Q4315">
        <v>-1.278491E-2</v>
      </c>
      <c r="R4315">
        <v>-4.4174669999999999E-2</v>
      </c>
      <c r="S4315">
        <v>3.002075</v>
      </c>
      <c r="T4315">
        <v>-0.4202632</v>
      </c>
      <c r="U4315">
        <v>8.0627439999999995E-2</v>
      </c>
      <c r="V4315">
        <v>6.8801950000000004E-3</v>
      </c>
      <c r="W4315">
        <v>-1.0995609999999999E-2</v>
      </c>
      <c r="X4315">
        <v>0.99991589999999997</v>
      </c>
      <c r="Y4315">
        <v>-6.3207570000000005E-2</v>
      </c>
      <c r="Z4315">
        <v>9.6072199999999996E-3</v>
      </c>
      <c r="AA4315">
        <v>0.99795409999999996</v>
      </c>
      <c r="AB4315">
        <v>32</v>
      </c>
      <c r="AC4315">
        <v>0.475700000000017</v>
      </c>
      <c r="AD4315">
        <v>-0.11148909999999999</v>
      </c>
      <c r="AE4315">
        <v>3.1199999999984102E-2</v>
      </c>
      <c r="AF4315">
        <v>-4.6417537748417198E-2</v>
      </c>
      <c r="AG4315">
        <v>-0.11148909999999999</v>
      </c>
      <c r="AH4315">
        <v>0.44961094321783002</v>
      </c>
      <c r="AI4315">
        <v>103.855826485542</v>
      </c>
      <c r="AJ4315">
        <v>95.894296560840502</v>
      </c>
      <c r="AK4315">
        <v>0.46554742775646701</v>
      </c>
      <c r="AL4315">
        <v>90.630014726771407</v>
      </c>
      <c r="AM4315">
        <v>89.605766930331001</v>
      </c>
      <c r="AN4315">
        <v>1.0000000237976501</v>
      </c>
    </row>
    <row r="4316" spans="1:40" x14ac:dyDescent="0.25">
      <c r="A4316" t="str">
        <f>"20190312154008274"</f>
        <v>20190312154008274</v>
      </c>
      <c r="B4316" t="str">
        <f>"1552376408269992"</f>
        <v>1552376408269992</v>
      </c>
      <c r="C4316" t="s">
        <v>40</v>
      </c>
      <c r="D4316">
        <v>5.6620999999999997</v>
      </c>
      <c r="E4316">
        <v>0.47983799999999999</v>
      </c>
      <c r="F4316" t="s">
        <v>41</v>
      </c>
      <c r="G4316">
        <v>-449.0711</v>
      </c>
      <c r="H4316">
        <v>1.017881</v>
      </c>
      <c r="I4316">
        <v>214.93219999999999</v>
      </c>
      <c r="J4316">
        <v>-449.5428</v>
      </c>
      <c r="K4316">
        <v>1.111227</v>
      </c>
      <c r="L4316">
        <v>214.91290000000001</v>
      </c>
      <c r="M4316">
        <v>0.99939619999999996</v>
      </c>
      <c r="N4316">
        <v>0</v>
      </c>
      <c r="O4316">
        <v>-3.4666009999999997E-2</v>
      </c>
      <c r="P4316">
        <v>0.99907230000000002</v>
      </c>
      <c r="Q4316">
        <v>-1.3071309999999999E-2</v>
      </c>
      <c r="R4316">
        <v>-4.1030179999999999E-2</v>
      </c>
      <c r="S4316">
        <v>3.0003660000000001</v>
      </c>
      <c r="T4316">
        <v>-0.36155100000000001</v>
      </c>
      <c r="U4316">
        <v>4.1213989999999999E-2</v>
      </c>
      <c r="V4316">
        <v>6.4398989999999998E-3</v>
      </c>
      <c r="W4316">
        <v>-1.069697E-2</v>
      </c>
      <c r="X4316">
        <v>0.99992199999999998</v>
      </c>
      <c r="Y4316">
        <v>-4.7793200000000001E-2</v>
      </c>
      <c r="Z4316">
        <v>7.0307989999999999E-3</v>
      </c>
      <c r="AA4316">
        <v>0.99883250000000001</v>
      </c>
      <c r="AB4316">
        <v>32</v>
      </c>
      <c r="AC4316">
        <v>0.47169999999999801</v>
      </c>
      <c r="AD4316">
        <v>-9.3345999999999901E-2</v>
      </c>
      <c r="AE4316">
        <v>1.9299999999986901E-2</v>
      </c>
      <c r="AF4316">
        <v>-3.42994284135077E-2</v>
      </c>
      <c r="AG4316">
        <v>-9.3345999999999901E-2</v>
      </c>
      <c r="AH4316">
        <v>0.45303551563900202</v>
      </c>
      <c r="AI4316">
        <v>101.610287945061</v>
      </c>
      <c r="AJ4316">
        <v>94.329617411250197</v>
      </c>
      <c r="AK4316">
        <v>0.46382227731728198</v>
      </c>
      <c r="AL4316">
        <v>90.612902953101894</v>
      </c>
      <c r="AM4316">
        <v>89.630997286069601</v>
      </c>
      <c r="AN4316">
        <v>0.99999995177515399</v>
      </c>
    </row>
    <row r="4317" spans="1:40" x14ac:dyDescent="0.25">
      <c r="A4317" t="str">
        <f>"20190312154008299"</f>
        <v>20190312154008299</v>
      </c>
      <c r="B4317" t="str">
        <f>"1552376408290487"</f>
        <v>1552376408290487</v>
      </c>
      <c r="C4317" t="s">
        <v>40</v>
      </c>
      <c r="D4317">
        <v>3.9660769999999999</v>
      </c>
      <c r="E4317">
        <v>0.48552129999999999</v>
      </c>
      <c r="F4317" t="s">
        <v>62</v>
      </c>
      <c r="G4317">
        <v>-437.35230000000001</v>
      </c>
      <c r="H4317" s="1">
        <v>5.4352400000000003E-6</v>
      </c>
      <c r="I4317">
        <v>215.09899999999999</v>
      </c>
      <c r="J4317">
        <v>-449.19499999999999</v>
      </c>
      <c r="K4317">
        <v>1.111429</v>
      </c>
      <c r="L4317">
        <v>214.904</v>
      </c>
      <c r="M4317">
        <v>0.99949540000000003</v>
      </c>
      <c r="N4317">
        <v>0</v>
      </c>
      <c r="O4317">
        <v>-3.1601480000000001E-2</v>
      </c>
      <c r="P4317">
        <v>0.99921760000000004</v>
      </c>
      <c r="Q4317">
        <v>-1.347303E-2</v>
      </c>
      <c r="R4317">
        <v>-3.7188190000000003E-2</v>
      </c>
      <c r="S4317">
        <v>3.0010680000000001</v>
      </c>
      <c r="T4317">
        <v>-0.273561</v>
      </c>
      <c r="U4317">
        <v>4.5806880000000001E-2</v>
      </c>
      <c r="V4317">
        <v>5.6577060000000002E-3</v>
      </c>
      <c r="W4317">
        <v>-1.017787E-2</v>
      </c>
      <c r="X4317">
        <v>0.99993220000000005</v>
      </c>
      <c r="Y4317">
        <v>-4.6528239999999998E-2</v>
      </c>
      <c r="Z4317">
        <v>4.9904429999999998E-3</v>
      </c>
      <c r="AA4317">
        <v>0.99890449999999997</v>
      </c>
      <c r="AB4317">
        <v>33</v>
      </c>
      <c r="AC4317">
        <v>11.842699999999899</v>
      </c>
      <c r="AD4317">
        <v>-1.1114235647599999</v>
      </c>
      <c r="AE4317">
        <v>0.19499999999999301</v>
      </c>
      <c r="AF4317">
        <v>-0.56418362037256498</v>
      </c>
      <c r="AG4317">
        <v>-1.1114235647599999</v>
      </c>
      <c r="AH4317">
        <v>11.7273608195036</v>
      </c>
      <c r="AI4317">
        <v>95.407639554035001</v>
      </c>
      <c r="AJ4317">
        <v>92.754280127751699</v>
      </c>
      <c r="AK4317">
        <v>11.793411605156001</v>
      </c>
      <c r="AL4317">
        <v>90.583159062921993</v>
      </c>
      <c r="AM4317">
        <v>89.675818804168202</v>
      </c>
      <c r="AN4317">
        <v>1.0000000016358701</v>
      </c>
    </row>
    <row r="4318" spans="1:40" x14ac:dyDescent="0.25">
      <c r="A4318" t="str">
        <f>"20190312154008320"</f>
        <v>20190312154008320</v>
      </c>
      <c r="B4318" t="str">
        <f>"1552376408310010"</f>
        <v>1552376408310010</v>
      </c>
      <c r="C4318" t="s">
        <v>40</v>
      </c>
      <c r="D4318">
        <v>3.9786820000000001</v>
      </c>
      <c r="E4318">
        <v>0.48794690000000002</v>
      </c>
      <c r="F4318" t="s">
        <v>76</v>
      </c>
      <c r="G4318">
        <v>-107.39749999999999</v>
      </c>
      <c r="H4318">
        <v>17.70392</v>
      </c>
      <c r="I4318">
        <v>214.6123</v>
      </c>
      <c r="J4318">
        <v>-448.8725</v>
      </c>
      <c r="K4318">
        <v>1.1115139999999999</v>
      </c>
      <c r="L4318">
        <v>214.89670000000001</v>
      </c>
      <c r="M4318">
        <v>0.99957879999999999</v>
      </c>
      <c r="N4318">
        <v>0</v>
      </c>
      <c r="O4318">
        <v>-2.8751539999999999E-2</v>
      </c>
      <c r="P4318">
        <v>0.99932659999999995</v>
      </c>
      <c r="Q4318">
        <v>-1.390712E-2</v>
      </c>
      <c r="R4318">
        <v>-3.3960700000000003E-2</v>
      </c>
      <c r="S4318">
        <v>3.0042110000000002</v>
      </c>
      <c r="T4318">
        <v>0.1458392</v>
      </c>
      <c r="U4318">
        <v>-2.5634770000000002E-3</v>
      </c>
      <c r="V4318">
        <v>5.2771199999999997E-3</v>
      </c>
      <c r="W4318">
        <v>-9.9147969999999995E-3</v>
      </c>
      <c r="X4318">
        <v>0.99993690000000002</v>
      </c>
      <c r="Y4318">
        <v>-2.783219E-2</v>
      </c>
      <c r="Z4318">
        <v>-2.0699410000000001E-3</v>
      </c>
      <c r="AA4318">
        <v>0.99961049999999996</v>
      </c>
      <c r="AB4318">
        <v>33</v>
      </c>
      <c r="AC4318">
        <v>341.47500000000002</v>
      </c>
      <c r="AD4318">
        <v>16.592406</v>
      </c>
      <c r="AE4318">
        <v>-0.28440000000000498</v>
      </c>
      <c r="AF4318">
        <v>-9.5112697917919693</v>
      </c>
      <c r="AG4318">
        <v>16.592406</v>
      </c>
      <c r="AH4318">
        <v>340.53798655616902</v>
      </c>
      <c r="AI4318">
        <v>87.211606582384505</v>
      </c>
      <c r="AJ4318">
        <v>91.5998625689015</v>
      </c>
      <c r="AK4318">
        <v>341.07461423807399</v>
      </c>
      <c r="AL4318">
        <v>90.568085343254594</v>
      </c>
      <c r="AM4318">
        <v>89.697627023264403</v>
      </c>
      <c r="AN4318">
        <v>0.99999997758832704</v>
      </c>
    </row>
    <row r="4319" spans="1:40" x14ac:dyDescent="0.25">
      <c r="A4319" t="str">
        <f>"20190312154008343"</f>
        <v>20190312154008343</v>
      </c>
      <c r="B4319" t="str">
        <f>"1552376408340264"</f>
        <v>1552376408340264</v>
      </c>
      <c r="C4319" t="s">
        <v>40</v>
      </c>
      <c r="D4319">
        <v>4.077744</v>
      </c>
      <c r="E4319">
        <v>0.49172159999999898</v>
      </c>
      <c r="F4319" t="s">
        <v>76</v>
      </c>
      <c r="G4319">
        <v>-107.39749999999999</v>
      </c>
      <c r="H4319">
        <v>19.575780000000002</v>
      </c>
      <c r="I4319">
        <v>213.4171</v>
      </c>
      <c r="J4319">
        <v>-448.5634</v>
      </c>
      <c r="K4319">
        <v>1.111586</v>
      </c>
      <c r="L4319">
        <v>214.8905</v>
      </c>
      <c r="M4319">
        <v>0.99964960000000003</v>
      </c>
      <c r="N4319">
        <v>0</v>
      </c>
      <c r="O4319">
        <v>-2.6062209999999999E-2</v>
      </c>
      <c r="P4319">
        <v>0.99941310000000005</v>
      </c>
      <c r="Q4319">
        <v>-1.4288479999999999E-2</v>
      </c>
      <c r="R4319">
        <v>-3.113867E-2</v>
      </c>
      <c r="S4319">
        <v>3.0038450000000001</v>
      </c>
      <c r="T4319">
        <v>0.1624246</v>
      </c>
      <c r="U4319">
        <v>-1.301575E-2</v>
      </c>
      <c r="V4319">
        <v>5.1412569999999998E-3</v>
      </c>
      <c r="W4319">
        <v>-9.6131689999999995E-3</v>
      </c>
      <c r="X4319">
        <v>0.99994059999999996</v>
      </c>
      <c r="Y4319">
        <v>-2.166102E-2</v>
      </c>
      <c r="Z4319">
        <v>-1.993281E-3</v>
      </c>
      <c r="AA4319">
        <v>0.99976339999999997</v>
      </c>
      <c r="AB4319">
        <v>33</v>
      </c>
      <c r="AC4319">
        <v>341.16590000000002</v>
      </c>
      <c r="AD4319">
        <v>18.464193999999999</v>
      </c>
      <c r="AE4319">
        <v>-1.4733999999999901</v>
      </c>
      <c r="AF4319">
        <v>-7.3970670240979697</v>
      </c>
      <c r="AG4319">
        <v>18.464193999999999</v>
      </c>
      <c r="AH4319">
        <v>340.092276871428</v>
      </c>
      <c r="AI4319">
        <v>86.893098008066403</v>
      </c>
      <c r="AJ4319">
        <v>91.2459968565108</v>
      </c>
      <c r="AK4319">
        <v>340.67345045985201</v>
      </c>
      <c r="AL4319">
        <v>90.550802481707194</v>
      </c>
      <c r="AM4319">
        <v>89.705412769723594</v>
      </c>
      <c r="AN4319">
        <v>1.00000002453506</v>
      </c>
    </row>
    <row r="4320" spans="1:40" x14ac:dyDescent="0.25">
      <c r="A4320" t="str">
        <f>"20190312154008364"</f>
        <v>20190312154008364</v>
      </c>
      <c r="B4320" t="str">
        <f>"1552376408359784"</f>
        <v>1552376408359784</v>
      </c>
      <c r="C4320" t="s">
        <v>40</v>
      </c>
      <c r="D4320">
        <v>4.0798170000000002</v>
      </c>
      <c r="E4320">
        <v>0.49211959999999999</v>
      </c>
      <c r="F4320" t="s">
        <v>76</v>
      </c>
      <c r="G4320">
        <v>-107.39749999999999</v>
      </c>
      <c r="H4320">
        <v>16.375509999999998</v>
      </c>
      <c r="I4320">
        <v>211.0746</v>
      </c>
      <c r="J4320">
        <v>-448.23660000000001</v>
      </c>
      <c r="K4320">
        <v>1.111648</v>
      </c>
      <c r="L4320">
        <v>214.88489999999999</v>
      </c>
      <c r="M4320">
        <v>0.99971429999999994</v>
      </c>
      <c r="N4320">
        <v>0</v>
      </c>
      <c r="O4320">
        <v>-2.3278779999999999E-2</v>
      </c>
      <c r="P4320">
        <v>0.9994497</v>
      </c>
      <c r="Q4320">
        <v>-1.5854920000000002E-2</v>
      </c>
      <c r="R4320">
        <v>-2.913543E-2</v>
      </c>
      <c r="S4320">
        <v>3.0026250000000001</v>
      </c>
      <c r="T4320">
        <v>0.13433919999999999</v>
      </c>
      <c r="U4320">
        <v>-3.3584589999999998E-2</v>
      </c>
      <c r="V4320">
        <v>5.9252239999999998E-3</v>
      </c>
      <c r="W4320">
        <v>-1.039115E-2</v>
      </c>
      <c r="X4320">
        <v>0.9999285</v>
      </c>
      <c r="Y4320">
        <v>-1.2060970000000001E-2</v>
      </c>
      <c r="Z4320">
        <v>-1.310528E-3</v>
      </c>
      <c r="AA4320">
        <v>0.99992639999999999</v>
      </c>
      <c r="AB4320">
        <v>33</v>
      </c>
      <c r="AC4320">
        <v>340.83909999999997</v>
      </c>
      <c r="AD4320">
        <v>15.263862</v>
      </c>
      <c r="AE4320">
        <v>-3.8102999999999798</v>
      </c>
      <c r="AF4320">
        <v>-4.11691212626189</v>
      </c>
      <c r="AG4320">
        <v>15.263862</v>
      </c>
      <c r="AH4320">
        <v>340.153330736035</v>
      </c>
      <c r="AI4320">
        <v>87.430850818299206</v>
      </c>
      <c r="AJ4320">
        <v>90.693423087281303</v>
      </c>
      <c r="AK4320">
        <v>340.52051753077802</v>
      </c>
      <c r="AL4320">
        <v>90.595379727457498</v>
      </c>
      <c r="AM4320">
        <v>89.660489370578603</v>
      </c>
      <c r="AN4320">
        <v>1.0000000446950099</v>
      </c>
    </row>
    <row r="4321" spans="1:40" x14ac:dyDescent="0.25">
      <c r="A4321" t="str">
        <f>"20190312154008386"</f>
        <v>20190312154008386</v>
      </c>
      <c r="B4321" t="str">
        <f>"1552376408380281"</f>
        <v>1552376408380281</v>
      </c>
      <c r="C4321" t="s">
        <v>40</v>
      </c>
      <c r="D4321">
        <v>4.0300050000000001</v>
      </c>
      <c r="E4321">
        <v>0.49306410000000001</v>
      </c>
      <c r="F4321" t="s">
        <v>76</v>
      </c>
      <c r="G4321">
        <v>-107.39749999999999</v>
      </c>
      <c r="H4321">
        <v>13.44725</v>
      </c>
      <c r="I4321">
        <v>211.46039999999999</v>
      </c>
      <c r="J4321">
        <v>-447.92160000000001</v>
      </c>
      <c r="K4321">
        <v>1.11168</v>
      </c>
      <c r="L4321">
        <v>214.88030000000001</v>
      </c>
      <c r="M4321">
        <v>0.99976739999999997</v>
      </c>
      <c r="N4321">
        <v>0</v>
      </c>
      <c r="O4321">
        <v>-2.0672200000000002E-2</v>
      </c>
      <c r="P4321">
        <v>0.99943919999999997</v>
      </c>
      <c r="Q4321">
        <v>-1.7807110000000001E-2</v>
      </c>
      <c r="R4321">
        <v>-2.8363550000000001E-2</v>
      </c>
      <c r="S4321">
        <v>3.002472</v>
      </c>
      <c r="T4321">
        <v>0.1086655</v>
      </c>
      <c r="U4321">
        <v>-3.016663E-2</v>
      </c>
      <c r="V4321">
        <v>7.7657280000000004E-3</v>
      </c>
      <c r="W4321">
        <v>-1.159147E-2</v>
      </c>
      <c r="X4321">
        <v>0.99990270000000003</v>
      </c>
      <c r="Y4321">
        <v>-1.060647E-2</v>
      </c>
      <c r="Z4321">
        <v>-9.3972649999999995E-4</v>
      </c>
      <c r="AA4321">
        <v>0.99994329999999998</v>
      </c>
      <c r="AB4321">
        <v>33</v>
      </c>
      <c r="AC4321">
        <v>340.52409999999998</v>
      </c>
      <c r="AD4321">
        <v>12.335570000000001</v>
      </c>
      <c r="AE4321">
        <v>-3.4199000000000099</v>
      </c>
      <c r="AF4321">
        <v>-3.6156020423761599</v>
      </c>
      <c r="AG4321">
        <v>12.335570000000001</v>
      </c>
      <c r="AH4321">
        <v>340.07580211876802</v>
      </c>
      <c r="AI4321">
        <v>87.922738182927304</v>
      </c>
      <c r="AJ4321">
        <v>90.609131644552406</v>
      </c>
      <c r="AK4321">
        <v>340.31865957081601</v>
      </c>
      <c r="AL4321">
        <v>90.664157156891306</v>
      </c>
      <c r="AM4321">
        <v>89.555022210163301</v>
      </c>
      <c r="AN4321">
        <v>1.0000000390877</v>
      </c>
    </row>
    <row r="4322" spans="1:40" x14ac:dyDescent="0.25">
      <c r="A4322" t="str">
        <f>"20190312154008408"</f>
        <v>20190312154008408</v>
      </c>
      <c r="B4322" t="str">
        <f>"1552376408399800"</f>
        <v>1552376408399800</v>
      </c>
      <c r="C4322" t="s">
        <v>40</v>
      </c>
      <c r="D4322">
        <v>4.0723529999999997</v>
      </c>
      <c r="E4322">
        <v>0.49348789999999998</v>
      </c>
      <c r="F4322" t="s">
        <v>76</v>
      </c>
      <c r="G4322">
        <v>-107.39749999999999</v>
      </c>
      <c r="H4322">
        <v>11.490679999999999</v>
      </c>
      <c r="I4322">
        <v>210.905</v>
      </c>
      <c r="J4322">
        <v>-447.59399999999999</v>
      </c>
      <c r="K4322">
        <v>1.1116729999999999</v>
      </c>
      <c r="L4322">
        <v>214.87620000000001</v>
      </c>
      <c r="M4322">
        <v>0.9998127</v>
      </c>
      <c r="N4322">
        <v>0</v>
      </c>
      <c r="O4322">
        <v>-1.8086700000000001E-2</v>
      </c>
      <c r="P4322">
        <v>0.99943769999999998</v>
      </c>
      <c r="Q4322">
        <v>-1.7282180000000001E-2</v>
      </c>
      <c r="R4322">
        <v>-2.873558E-2</v>
      </c>
      <c r="S4322">
        <v>3.0023499999999999</v>
      </c>
      <c r="T4322">
        <v>9.1510530000000007E-2</v>
      </c>
      <c r="U4322">
        <v>-3.5049440000000001E-2</v>
      </c>
      <c r="V4322">
        <v>1.071308E-2</v>
      </c>
      <c r="W4322">
        <v>-1.0341690000000001E-2</v>
      </c>
      <c r="X4322">
        <v>0.99988909999999998</v>
      </c>
      <c r="Y4322">
        <v>-6.4032300000000002E-3</v>
      </c>
      <c r="Z4322">
        <v>-6.4866360000000005E-4</v>
      </c>
      <c r="AA4322">
        <v>0.99997930000000002</v>
      </c>
      <c r="AB4322">
        <v>33</v>
      </c>
      <c r="AC4322">
        <v>340.19650000000001</v>
      </c>
      <c r="AD4322">
        <v>10.379007</v>
      </c>
      <c r="AE4322">
        <v>-3.9712000000000001</v>
      </c>
      <c r="AF4322">
        <v>-2.1805982072155699</v>
      </c>
      <c r="AG4322">
        <v>10.379007</v>
      </c>
      <c r="AH4322">
        <v>339.89634721719801</v>
      </c>
      <c r="AI4322">
        <v>88.251006969318894</v>
      </c>
      <c r="AJ4322">
        <v>90.367574882918504</v>
      </c>
      <c r="AK4322">
        <v>340.061767398867</v>
      </c>
      <c r="AL4322">
        <v>90.592545772405799</v>
      </c>
      <c r="AM4322">
        <v>89.386141139562895</v>
      </c>
      <c r="AN4322">
        <v>0.99999996646697498</v>
      </c>
    </row>
    <row r="4323" spans="1:40" x14ac:dyDescent="0.25">
      <c r="A4323" t="str">
        <f>"20190312154008431"</f>
        <v>20190312154008431</v>
      </c>
      <c r="B4323" t="str">
        <f>"1552376408420296"</f>
        <v>1552376408420296</v>
      </c>
      <c r="C4323" t="s">
        <v>40</v>
      </c>
      <c r="D4323">
        <v>4.1067780000000003</v>
      </c>
      <c r="E4323">
        <v>0.49365740000000002</v>
      </c>
      <c r="F4323" t="s">
        <v>76</v>
      </c>
      <c r="G4323">
        <v>-107.39749999999999</v>
      </c>
      <c r="H4323">
        <v>10.94299</v>
      </c>
      <c r="I4323">
        <v>210.4392</v>
      </c>
      <c r="J4323">
        <v>-447.26799999999997</v>
      </c>
      <c r="K4323">
        <v>1.111629</v>
      </c>
      <c r="L4323">
        <v>214.87280000000001</v>
      </c>
      <c r="M4323">
        <v>0.99984879999999998</v>
      </c>
      <c r="N4323">
        <v>0</v>
      </c>
      <c r="O4323">
        <v>-1.568427E-2</v>
      </c>
      <c r="P4323">
        <v>0.9994265</v>
      </c>
      <c r="Q4323">
        <v>-1.458273E-2</v>
      </c>
      <c r="R4323">
        <v>-3.056596E-2</v>
      </c>
      <c r="S4323">
        <v>3.002075</v>
      </c>
      <c r="T4323">
        <v>8.6757180000000003E-2</v>
      </c>
      <c r="U4323">
        <v>-3.9154050000000003E-2</v>
      </c>
      <c r="V4323">
        <v>1.492476E-2</v>
      </c>
      <c r="W4323">
        <v>-6.9843739999999998E-3</v>
      </c>
      <c r="X4323">
        <v>0.99986419999999998</v>
      </c>
      <c r="Y4323">
        <v>-2.636116E-3</v>
      </c>
      <c r="Z4323">
        <v>-4.9121539999999995E-4</v>
      </c>
      <c r="AA4323">
        <v>0.99999640000000001</v>
      </c>
      <c r="AB4323">
        <v>33</v>
      </c>
      <c r="AC4323">
        <v>339.87049999999999</v>
      </c>
      <c r="AD4323">
        <v>9.8313609999999994</v>
      </c>
      <c r="AE4323">
        <v>-4.43360000000001</v>
      </c>
      <c r="AF4323">
        <v>-0.89696593815872006</v>
      </c>
      <c r="AG4323">
        <v>9.8313609999999994</v>
      </c>
      <c r="AH4323">
        <v>339.61410458627302</v>
      </c>
      <c r="AI4323">
        <v>88.341834896901105</v>
      </c>
      <c r="AJ4323">
        <v>90.151325408552594</v>
      </c>
      <c r="AK4323">
        <v>339.75756097685701</v>
      </c>
      <c r="AL4323">
        <v>90.400178416663195</v>
      </c>
      <c r="AM4323">
        <v>89.144821609936898</v>
      </c>
      <c r="AN4323">
        <v>0.99999997419143405</v>
      </c>
    </row>
    <row r="4324" spans="1:40" x14ac:dyDescent="0.25">
      <c r="A4324" t="str">
        <f>"20190312154008453"</f>
        <v>20190312154008453</v>
      </c>
      <c r="B4324" t="str">
        <f>"1552376408439816"</f>
        <v>1552376408439816</v>
      </c>
      <c r="C4324" t="s">
        <v>40</v>
      </c>
      <c r="D4324">
        <v>4.0687379999999997</v>
      </c>
      <c r="E4324">
        <v>0.49419180000000001</v>
      </c>
      <c r="F4324" t="s">
        <v>75</v>
      </c>
      <c r="G4324">
        <v>-138.9162</v>
      </c>
      <c r="H4324">
        <v>10.287089999999999</v>
      </c>
      <c r="I4324">
        <v>210.17179999999999</v>
      </c>
      <c r="J4324">
        <v>-446.94490000000002</v>
      </c>
      <c r="K4324">
        <v>1.1115489999999999</v>
      </c>
      <c r="L4324">
        <v>214.87010000000001</v>
      </c>
      <c r="M4324">
        <v>0.99987630000000005</v>
      </c>
      <c r="N4324">
        <v>0</v>
      </c>
      <c r="O4324">
        <v>-1.349027E-2</v>
      </c>
      <c r="P4324">
        <v>0.9993997</v>
      </c>
      <c r="Q4324">
        <v>-1.2671119999999999E-2</v>
      </c>
      <c r="R4324">
        <v>-3.2250670000000002E-2</v>
      </c>
      <c r="S4324">
        <v>3.0015869999999998</v>
      </c>
      <c r="T4324">
        <v>8.9316960000000001E-2</v>
      </c>
      <c r="U4324">
        <v>-4.5761110000000001E-2</v>
      </c>
      <c r="V4324">
        <v>1.8788200000000001E-2</v>
      </c>
      <c r="W4324">
        <v>-4.488868E-3</v>
      </c>
      <c r="X4324">
        <v>0.99981339999999996</v>
      </c>
      <c r="Y4324">
        <v>1.7585249999999999E-3</v>
      </c>
      <c r="Z4324">
        <v>-3.7514949999999998E-4</v>
      </c>
      <c r="AA4324">
        <v>0.99999839999999995</v>
      </c>
      <c r="AB4324">
        <v>33</v>
      </c>
      <c r="AC4324">
        <v>308.02870000000001</v>
      </c>
      <c r="AD4324">
        <v>9.1755410000000008</v>
      </c>
      <c r="AE4324">
        <v>-4.6983000000000104</v>
      </c>
      <c r="AF4324">
        <v>0.54186552673661004</v>
      </c>
      <c r="AG4324">
        <v>9.1755410000000008</v>
      </c>
      <c r="AH4324">
        <v>307.79100558405901</v>
      </c>
      <c r="AI4324">
        <v>88.292466969061493</v>
      </c>
      <c r="AJ4324">
        <v>89.899130984636798</v>
      </c>
      <c r="AK4324">
        <v>307.92821775429701</v>
      </c>
      <c r="AL4324">
        <v>90.257194057352606</v>
      </c>
      <c r="AM4324">
        <v>88.9234412350106</v>
      </c>
      <c r="AN4324">
        <v>0.99999999060736</v>
      </c>
    </row>
    <row r="4325" spans="1:40" x14ac:dyDescent="0.25">
      <c r="A4325" t="str">
        <f>"20190312154008474"</f>
        <v>20190312154008474</v>
      </c>
      <c r="B4325" t="str">
        <f>"1552376408470072"</f>
        <v>1552376408470072</v>
      </c>
      <c r="C4325" t="s">
        <v>40</v>
      </c>
      <c r="D4325">
        <v>4.0961109999999996</v>
      </c>
      <c r="E4325">
        <v>0.49448999999999999</v>
      </c>
      <c r="F4325" t="s">
        <v>75</v>
      </c>
      <c r="G4325">
        <v>-169.39529999999999</v>
      </c>
      <c r="H4325">
        <v>9.7657620000000005</v>
      </c>
      <c r="I4325">
        <v>209.79140000000001</v>
      </c>
      <c r="J4325">
        <v>-446.63290000000001</v>
      </c>
      <c r="K4325">
        <v>1.1114299999999999</v>
      </c>
      <c r="L4325">
        <v>214.86799999999999</v>
      </c>
      <c r="M4325">
        <v>0.99989649999999997</v>
      </c>
      <c r="N4325">
        <v>0</v>
      </c>
      <c r="O4325">
        <v>-1.1558860000000001E-2</v>
      </c>
      <c r="P4325">
        <v>0.99936119999999995</v>
      </c>
      <c r="Q4325">
        <v>-1.179827E-2</v>
      </c>
      <c r="R4325">
        <v>-3.3741630000000002E-2</v>
      </c>
      <c r="S4325">
        <v>3.0011899999999998</v>
      </c>
      <c r="T4325">
        <v>9.3579770000000007E-2</v>
      </c>
      <c r="U4325">
        <v>-5.4916380000000001E-2</v>
      </c>
      <c r="V4325">
        <v>2.2202400000000001E-2</v>
      </c>
      <c r="W4325">
        <v>-3.1152189999999998E-3</v>
      </c>
      <c r="X4325">
        <v>0.99974859999999999</v>
      </c>
      <c r="Y4325">
        <v>6.7389080000000001E-3</v>
      </c>
      <c r="Z4325">
        <v>-2.5526720000000001E-4</v>
      </c>
      <c r="AA4325">
        <v>0.99997720000000001</v>
      </c>
      <c r="AB4325">
        <v>33</v>
      </c>
      <c r="AC4325">
        <v>277.23759999999999</v>
      </c>
      <c r="AD4325">
        <v>8.6543319999999895</v>
      </c>
      <c r="AE4325">
        <v>-5.0765999999999796</v>
      </c>
      <c r="AF4325">
        <v>1.8697712370447399</v>
      </c>
      <c r="AG4325">
        <v>8.6543319999999895</v>
      </c>
      <c r="AH4325">
        <v>277.00791748237799</v>
      </c>
      <c r="AI4325">
        <v>88.210577583343905</v>
      </c>
      <c r="AJ4325">
        <v>89.613266022953695</v>
      </c>
      <c r="AK4325">
        <v>277.14938184085702</v>
      </c>
      <c r="AL4325">
        <v>90.178489197296997</v>
      </c>
      <c r="AM4325">
        <v>88.727785419870003</v>
      </c>
      <c r="AN4325">
        <v>0.99999995717856804</v>
      </c>
    </row>
    <row r="4326" spans="1:40" x14ac:dyDescent="0.25">
      <c r="A4326" t="str">
        <f>"20190312154008499"</f>
        <v>20190312154008499</v>
      </c>
      <c r="B4326" t="str">
        <f>"1552376408490569"</f>
        <v>1552376408490569</v>
      </c>
      <c r="C4326" t="s">
        <v>40</v>
      </c>
      <c r="D4326">
        <v>4.1274379999999997</v>
      </c>
      <c r="E4326">
        <v>0.49459140000000001</v>
      </c>
      <c r="F4326" t="s">
        <v>75</v>
      </c>
      <c r="G4326">
        <v>-169.39529999999999</v>
      </c>
      <c r="H4326">
        <v>9.284929</v>
      </c>
      <c r="I4326">
        <v>209.17859999999999</v>
      </c>
      <c r="J4326">
        <v>-446.2817</v>
      </c>
      <c r="K4326">
        <v>1.111273</v>
      </c>
      <c r="L4326">
        <v>214.86609999999999</v>
      </c>
      <c r="M4326">
        <v>0.99991269999999999</v>
      </c>
      <c r="N4326">
        <v>0</v>
      </c>
      <c r="O4326">
        <v>-9.6077269999999999E-3</v>
      </c>
      <c r="P4326">
        <v>0.99928609999999896</v>
      </c>
      <c r="Q4326">
        <v>-1.3641850000000001E-2</v>
      </c>
      <c r="R4326">
        <v>-3.5229690000000001E-2</v>
      </c>
      <c r="S4326">
        <v>3.0009459999999999</v>
      </c>
      <c r="T4326">
        <v>8.8474040000000004E-2</v>
      </c>
      <c r="U4326">
        <v>-6.1584470000000002E-2</v>
      </c>
      <c r="V4326">
        <v>2.5646200000000001E-2</v>
      </c>
      <c r="W4326">
        <v>-4.465966E-3</v>
      </c>
      <c r="X4326">
        <v>0.99966109999999997</v>
      </c>
      <c r="Y4326">
        <v>1.0909759999999999E-2</v>
      </c>
      <c r="Z4326">
        <v>-1.2239640000000001E-4</v>
      </c>
      <c r="AA4326">
        <v>0.99994050000000001</v>
      </c>
      <c r="AB4326">
        <v>33</v>
      </c>
      <c r="AC4326">
        <v>276.88639999999998</v>
      </c>
      <c r="AD4326">
        <v>8.1736559999999994</v>
      </c>
      <c r="AE4326">
        <v>-5.6875</v>
      </c>
      <c r="AF4326">
        <v>3.02424478672304</v>
      </c>
      <c r="AG4326">
        <v>8.1736559999999994</v>
      </c>
      <c r="AH4326">
        <v>276.68725518106601</v>
      </c>
      <c r="AI4326">
        <v>88.308010662011</v>
      </c>
      <c r="AJ4326">
        <v>89.373771074201201</v>
      </c>
      <c r="AK4326">
        <v>276.824478485138</v>
      </c>
      <c r="AL4326">
        <v>90.255881855468701</v>
      </c>
      <c r="AM4326">
        <v>88.530405184126593</v>
      </c>
      <c r="AN4326">
        <v>0.99999999363998104</v>
      </c>
    </row>
    <row r="4327" spans="1:40" x14ac:dyDescent="0.25">
      <c r="A4327" t="str">
        <f>"20190312154008521"</f>
        <v>20190312154008521</v>
      </c>
      <c r="B4327" t="str">
        <f>"1552376408510088"</f>
        <v>1552376408510088</v>
      </c>
      <c r="C4327" t="s">
        <v>40</v>
      </c>
      <c r="D4327">
        <v>4.1798529999999996</v>
      </c>
      <c r="E4327">
        <v>0.49456529999999999</v>
      </c>
      <c r="F4327" t="s">
        <v>75</v>
      </c>
      <c r="G4327">
        <v>-169.39519999999999</v>
      </c>
      <c r="H4327">
        <v>8.4453490000000002</v>
      </c>
      <c r="I4327">
        <v>208.71080000000001</v>
      </c>
      <c r="J4327">
        <v>-445.94990000000001</v>
      </c>
      <c r="K4327">
        <v>1.111116</v>
      </c>
      <c r="L4327">
        <v>214.8647</v>
      </c>
      <c r="M4327">
        <v>0.99992340000000002</v>
      </c>
      <c r="N4327">
        <v>0</v>
      </c>
      <c r="O4327">
        <v>-7.984784E-3</v>
      </c>
      <c r="P4327">
        <v>0.99920810000000004</v>
      </c>
      <c r="Q4327">
        <v>-1.609176E-2</v>
      </c>
      <c r="R4327">
        <v>-3.6390939999999997E-2</v>
      </c>
      <c r="S4327">
        <v>3.0009160000000001</v>
      </c>
      <c r="T4327">
        <v>7.9487680000000005E-2</v>
      </c>
      <c r="U4327">
        <v>-6.6711430000000002E-2</v>
      </c>
      <c r="V4327">
        <v>2.8436429999999999E-2</v>
      </c>
      <c r="W4327">
        <v>-6.5163230000000001E-3</v>
      </c>
      <c r="X4327">
        <v>0.99957439999999997</v>
      </c>
      <c r="Y4327">
        <v>1.4238799999999999E-2</v>
      </c>
      <c r="Z4327" s="1">
        <v>-2.2918360000000001E-5</v>
      </c>
      <c r="AA4327">
        <v>0.99989859999999997</v>
      </c>
      <c r="AB4327">
        <v>33</v>
      </c>
      <c r="AC4327">
        <v>276.55470000000003</v>
      </c>
      <c r="AD4327">
        <v>7.3342330000000002</v>
      </c>
      <c r="AE4327">
        <v>-6.1538999999999904</v>
      </c>
      <c r="AF4327">
        <v>3.9426039996377402</v>
      </c>
      <c r="AG4327">
        <v>7.3342330000000002</v>
      </c>
      <c r="AH4327">
        <v>276.40072329234403</v>
      </c>
      <c r="AI4327">
        <v>88.480180170470604</v>
      </c>
      <c r="AJ4327">
        <v>89.182783430645401</v>
      </c>
      <c r="AK4327">
        <v>276.52611980883</v>
      </c>
      <c r="AL4327">
        <v>90.373360434333705</v>
      </c>
      <c r="AM4327">
        <v>88.370458368267094</v>
      </c>
      <c r="AN4327">
        <v>1.0000000370759701</v>
      </c>
    </row>
    <row r="4328" spans="1:40" x14ac:dyDescent="0.25">
      <c r="A4328" t="str">
        <f>"20190312154008546"</f>
        <v>20190312154008546</v>
      </c>
      <c r="B4328" t="str">
        <f>"1552376408540344"</f>
        <v>1552376408540344</v>
      </c>
      <c r="C4328" t="s">
        <v>40</v>
      </c>
      <c r="D4328">
        <v>4.2026789999999998</v>
      </c>
      <c r="E4328">
        <v>0.49439660000000002</v>
      </c>
      <c r="F4328" t="s">
        <v>75</v>
      </c>
      <c r="G4328">
        <v>-169.71080000000001</v>
      </c>
      <c r="H4328">
        <v>7.3915579999999999</v>
      </c>
      <c r="I4328">
        <v>208.41200000000001</v>
      </c>
      <c r="J4328">
        <v>-445.61239999999998</v>
      </c>
      <c r="K4328">
        <v>1.1109709999999999</v>
      </c>
      <c r="L4328">
        <v>214.8638</v>
      </c>
      <c r="M4328">
        <v>0.99993069999999895</v>
      </c>
      <c r="N4328">
        <v>0</v>
      </c>
      <c r="O4328">
        <v>-6.4942230000000004E-3</v>
      </c>
      <c r="P4328">
        <v>0.99916680000000002</v>
      </c>
      <c r="Q4328">
        <v>-1.8421960000000001E-2</v>
      </c>
      <c r="R4328">
        <v>-3.6421309999999998E-2</v>
      </c>
      <c r="S4328">
        <v>3.0009160000000001</v>
      </c>
      <c r="T4328">
        <v>6.8227769999999993E-2</v>
      </c>
      <c r="U4328">
        <v>-7.0098880000000002E-2</v>
      </c>
      <c r="V4328">
        <v>2.9961359999999999E-2</v>
      </c>
      <c r="W4328">
        <v>-8.4963039999999997E-3</v>
      </c>
      <c r="X4328">
        <v>0.99951489999999998</v>
      </c>
      <c r="Y4328">
        <v>1.6856860000000001E-2</v>
      </c>
      <c r="Z4328" s="1">
        <v>4.39602E-5</v>
      </c>
      <c r="AA4328">
        <v>0.99985789999999997</v>
      </c>
      <c r="AB4328">
        <v>33</v>
      </c>
      <c r="AC4328">
        <v>275.90159999999997</v>
      </c>
      <c r="AD4328">
        <v>6.2805869999999997</v>
      </c>
      <c r="AE4328">
        <v>-6.4517999999999898</v>
      </c>
      <c r="AF4328">
        <v>4.6573989140979499</v>
      </c>
      <c r="AG4328">
        <v>6.2805869999999997</v>
      </c>
      <c r="AH4328">
        <v>275.79484574744401</v>
      </c>
      <c r="AI4328">
        <v>88.695633097823702</v>
      </c>
      <c r="AJ4328">
        <v>89.032527462686602</v>
      </c>
      <c r="AK4328">
        <v>275.90566155584003</v>
      </c>
      <c r="AL4328">
        <v>90.486808240644095</v>
      </c>
      <c r="AM4328">
        <v>88.2830215110247</v>
      </c>
      <c r="AN4328">
        <v>0.99999995279835796</v>
      </c>
    </row>
    <row r="4329" spans="1:40" x14ac:dyDescent="0.25">
      <c r="A4329" t="str">
        <f>"20190312154008564"</f>
        <v>20190312154008564</v>
      </c>
      <c r="B4329" t="str">
        <f>"1552376408559864"</f>
        <v>1552376408559864</v>
      </c>
      <c r="C4329" t="s">
        <v>40</v>
      </c>
      <c r="D4329">
        <v>4.2189719999999999</v>
      </c>
      <c r="E4329">
        <v>0.49427900000000002</v>
      </c>
      <c r="F4329" t="s">
        <v>75</v>
      </c>
      <c r="G4329">
        <v>-169.39449999999999</v>
      </c>
      <c r="H4329">
        <v>6.1163619999999996</v>
      </c>
      <c r="I4329">
        <v>208.5522</v>
      </c>
      <c r="J4329">
        <v>-445.33</v>
      </c>
      <c r="K4329">
        <v>1.1108720000000001</v>
      </c>
      <c r="L4329">
        <v>214.86320000000001</v>
      </c>
      <c r="M4329">
        <v>0.99993480000000001</v>
      </c>
      <c r="N4329">
        <v>0</v>
      </c>
      <c r="O4329">
        <v>-5.3617329999999996E-3</v>
      </c>
      <c r="P4329">
        <v>0.99916389999999999</v>
      </c>
      <c r="Q4329">
        <v>-1.8610149999999999E-2</v>
      </c>
      <c r="R4329">
        <v>-3.6406569999999999E-2</v>
      </c>
      <c r="S4329">
        <v>3.0010379999999999</v>
      </c>
      <c r="T4329">
        <v>5.4382680000000003E-2</v>
      </c>
      <c r="U4329">
        <v>-6.8572999999999995E-2</v>
      </c>
      <c r="V4329">
        <v>3.1075999999999999E-2</v>
      </c>
      <c r="W4329">
        <v>-8.4265620000000003E-3</v>
      </c>
      <c r="X4329">
        <v>0.99948150000000002</v>
      </c>
      <c r="Y4329">
        <v>1.7480880000000001E-2</v>
      </c>
      <c r="Z4329" s="1">
        <v>6.1210400000000006E-5</v>
      </c>
      <c r="AA4329">
        <v>0.99984720000000005</v>
      </c>
      <c r="AB4329">
        <v>33</v>
      </c>
      <c r="AC4329">
        <v>275.93549999999999</v>
      </c>
      <c r="AD4329">
        <v>5.00549</v>
      </c>
      <c r="AE4329">
        <v>-6.3109999999999999</v>
      </c>
      <c r="AF4329">
        <v>4.8297531414406798</v>
      </c>
      <c r="AG4329">
        <v>5.00549</v>
      </c>
      <c r="AH4329">
        <v>275.87464039974498</v>
      </c>
      <c r="AI4329">
        <v>88.960694395226</v>
      </c>
      <c r="AJ4329">
        <v>88.997021965678201</v>
      </c>
      <c r="AK4329">
        <v>275.962313842372</v>
      </c>
      <c r="AL4329">
        <v>90.482812153909805</v>
      </c>
      <c r="AM4329">
        <v>88.219126396262595</v>
      </c>
      <c r="AN4329">
        <v>0.99999999678269402</v>
      </c>
    </row>
    <row r="4330" spans="1:40" x14ac:dyDescent="0.25">
      <c r="A4330" t="str">
        <f>"20190312154008587"</f>
        <v>20190312154008587</v>
      </c>
      <c r="B4330" t="str">
        <f>"1552376408580360"</f>
        <v>1552376408580360</v>
      </c>
      <c r="C4330" t="s">
        <v>40</v>
      </c>
      <c r="D4330">
        <v>4.2383670000000002</v>
      </c>
      <c r="E4330">
        <v>0.49430560000000001</v>
      </c>
      <c r="F4330" t="s">
        <v>75</v>
      </c>
      <c r="G4330">
        <v>-169.39429999999999</v>
      </c>
      <c r="H4330">
        <v>5.6128619999999998</v>
      </c>
      <c r="I4330">
        <v>208.6378</v>
      </c>
      <c r="J4330">
        <v>-444.99689999999998</v>
      </c>
      <c r="K4330">
        <v>1.1107720000000001</v>
      </c>
      <c r="L4330">
        <v>214.86279999999999</v>
      </c>
      <c r="M4330">
        <v>0.99993770000000004</v>
      </c>
      <c r="N4330">
        <v>0</v>
      </c>
      <c r="O4330">
        <v>-4.1533550000000001E-3</v>
      </c>
      <c r="P4330">
        <v>0.99921040000000005</v>
      </c>
      <c r="Q4330">
        <v>-1.8138319999999999E-2</v>
      </c>
      <c r="R4330">
        <v>-3.535423E-2</v>
      </c>
      <c r="S4330">
        <v>3.0009160000000001</v>
      </c>
      <c r="T4330">
        <v>4.8961400000000002E-2</v>
      </c>
      <c r="U4330">
        <v>-6.7703250000000006E-2</v>
      </c>
      <c r="V4330">
        <v>3.1226279999999999E-2</v>
      </c>
      <c r="W4330">
        <v>-7.68338099999999E-3</v>
      </c>
      <c r="X4330">
        <v>0.9994828</v>
      </c>
      <c r="Y4330">
        <v>1.8400509999999998E-2</v>
      </c>
      <c r="Z4330" s="1">
        <v>8.2324029999999995E-5</v>
      </c>
      <c r="AA4330">
        <v>0.99983069999999996</v>
      </c>
      <c r="AB4330">
        <v>33</v>
      </c>
      <c r="AC4330">
        <v>275.6026</v>
      </c>
      <c r="AD4330">
        <v>4.5020899999999999</v>
      </c>
      <c r="AE4330">
        <v>-6.2249999999999899</v>
      </c>
      <c r="AF4330">
        <v>5.0788548383274099</v>
      </c>
      <c r="AG4330">
        <v>4.5020899999999999</v>
      </c>
      <c r="AH4330">
        <v>275.55258584979799</v>
      </c>
      <c r="AI4330">
        <v>89.064120507923207</v>
      </c>
      <c r="AJ4330">
        <v>88.944070874147997</v>
      </c>
      <c r="AK4330">
        <v>275.636157187962</v>
      </c>
      <c r="AL4330">
        <v>90.440229639081593</v>
      </c>
      <c r="AM4330">
        <v>88.210522206109701</v>
      </c>
      <c r="AN4330">
        <v>0.999999991201034</v>
      </c>
    </row>
    <row r="4331" spans="1:40" x14ac:dyDescent="0.25">
      <c r="A4331" t="str">
        <f>"20190312154008610"</f>
        <v>20190312154008610</v>
      </c>
      <c r="B4331" t="str">
        <f>"1552376408599884"</f>
        <v>1552376408599884</v>
      </c>
      <c r="C4331" t="s">
        <v>40</v>
      </c>
      <c r="D4331">
        <v>4.1594249999999997</v>
      </c>
      <c r="E4331">
        <v>0.5242405</v>
      </c>
      <c r="F4331" t="s">
        <v>75</v>
      </c>
      <c r="G4331">
        <v>-169.39420000000001</v>
      </c>
      <c r="H4331">
        <v>5.5541419999999997</v>
      </c>
      <c r="I4331">
        <v>208.89869999999999</v>
      </c>
      <c r="J4331">
        <v>-444.65649999999999</v>
      </c>
      <c r="K4331">
        <v>1.1105100000000001</v>
      </c>
      <c r="L4331">
        <v>214.86269999999999</v>
      </c>
      <c r="M4331">
        <v>0.99994539999999998</v>
      </c>
      <c r="N4331">
        <v>0</v>
      </c>
      <c r="O4331">
        <v>-3.025968E-3</v>
      </c>
      <c r="P4331">
        <v>0.99925889999999995</v>
      </c>
      <c r="Q4331">
        <v>-1.744513E-2</v>
      </c>
      <c r="R4331">
        <v>-3.4308999999999999E-2</v>
      </c>
      <c r="S4331">
        <v>3.0009459999999999</v>
      </c>
      <c r="T4331">
        <v>4.8382759999999997E-2</v>
      </c>
      <c r="U4331">
        <v>-6.4941410000000005E-2</v>
      </c>
      <c r="V4331">
        <v>3.1304680000000001E-2</v>
      </c>
      <c r="W4331">
        <v>-7.3646419999999898E-3</v>
      </c>
      <c r="X4331">
        <v>0.9994828</v>
      </c>
      <c r="Y4331">
        <v>1.860771E-2</v>
      </c>
      <c r="Z4331">
        <v>1.011949E-4</v>
      </c>
      <c r="AA4331">
        <v>0.99982680000000002</v>
      </c>
      <c r="AB4331">
        <v>33</v>
      </c>
      <c r="AC4331">
        <v>275.26229999999998</v>
      </c>
      <c r="AD4331">
        <v>4.4436319999999903</v>
      </c>
      <c r="AE4331">
        <v>-5.9639999999999898</v>
      </c>
      <c r="AF4331">
        <v>5.1296599267796097</v>
      </c>
      <c r="AG4331">
        <v>4.4436319999999903</v>
      </c>
      <c r="AH4331">
        <v>275.20740066472399</v>
      </c>
      <c r="AI4331">
        <v>89.075115594413603</v>
      </c>
      <c r="AJ4331">
        <v>88.932173212386502</v>
      </c>
      <c r="AK4331">
        <v>275.29106897418501</v>
      </c>
      <c r="AL4331">
        <v>90.421966700059301</v>
      </c>
      <c r="AM4331">
        <v>88.206032286115303</v>
      </c>
      <c r="AN4331">
        <v>1.00000004421876</v>
      </c>
    </row>
    <row r="4332" spans="1:40" x14ac:dyDescent="0.25">
      <c r="A4332" t="str">
        <f>"20190312154008633"</f>
        <v>20190312154008633</v>
      </c>
      <c r="B4332" t="str">
        <f>"1552376408620376"</f>
        <v>1552376408620376</v>
      </c>
      <c r="C4332" t="s">
        <v>40</v>
      </c>
      <c r="D4332">
        <v>4.1848939999999999</v>
      </c>
      <c r="E4332">
        <v>0.53272839999999999</v>
      </c>
      <c r="F4332" t="s">
        <v>77</v>
      </c>
      <c r="G4332">
        <v>-279.2355</v>
      </c>
      <c r="H4332">
        <v>0.1105042</v>
      </c>
      <c r="I4332">
        <v>198.39359999999999</v>
      </c>
      <c r="J4332">
        <v>-444.32589999999999</v>
      </c>
      <c r="K4332">
        <v>1.110106</v>
      </c>
      <c r="L4332">
        <v>214.8629</v>
      </c>
      <c r="M4332">
        <v>0.99995789999999996</v>
      </c>
      <c r="N4332">
        <v>0</v>
      </c>
      <c r="O4332">
        <v>-2.0153649999999999E-3</v>
      </c>
      <c r="P4332">
        <v>0.99929279999999998</v>
      </c>
      <c r="Q4332">
        <v>-1.638156E-2</v>
      </c>
      <c r="R4332">
        <v>-3.3847870000000002E-2</v>
      </c>
      <c r="S4332">
        <v>2.9916990000000001</v>
      </c>
      <c r="T4332">
        <v>-1.8085480000000001E-2</v>
      </c>
      <c r="U4332">
        <v>-0.29785159999999899</v>
      </c>
      <c r="V4332">
        <v>3.1851400000000002E-2</v>
      </c>
      <c r="W4332">
        <v>-7.3541140000000001E-3</v>
      </c>
      <c r="X4332">
        <v>0.99946559999999995</v>
      </c>
      <c r="Y4332">
        <v>9.7062099999999998E-2</v>
      </c>
      <c r="Z4332">
        <v>-2.8050150000000001E-4</v>
      </c>
      <c r="AA4332">
        <v>0.99527829999999995</v>
      </c>
      <c r="AB4332">
        <v>33</v>
      </c>
      <c r="AC4332">
        <v>165.09039999999999</v>
      </c>
      <c r="AD4332">
        <v>-0.99960179999999998</v>
      </c>
      <c r="AE4332">
        <v>-16.4693</v>
      </c>
      <c r="AF4332">
        <v>16.1359500652677</v>
      </c>
      <c r="AG4332">
        <v>-0.99960179999999998</v>
      </c>
      <c r="AH4332">
        <v>165.117263880651</v>
      </c>
      <c r="AI4332">
        <v>90.345213684503406</v>
      </c>
      <c r="AJ4332">
        <v>84.418539292009797</v>
      </c>
      <c r="AK4332">
        <v>165.906838073963</v>
      </c>
      <c r="AL4332">
        <v>90.421363475506794</v>
      </c>
      <c r="AM4332">
        <v>88.174691191964101</v>
      </c>
      <c r="AN4332">
        <v>1.0000000401290201</v>
      </c>
    </row>
    <row r="4333" spans="1:40" x14ac:dyDescent="0.25">
      <c r="A4333" t="str">
        <f>"20190312154008653"</f>
        <v>20190312154008653</v>
      </c>
      <c r="B4333" t="str">
        <f>"1552376408639897"</f>
        <v>1552376408639897</v>
      </c>
      <c r="C4333" t="s">
        <v>40</v>
      </c>
      <c r="D4333">
        <v>4.1907170000000002</v>
      </c>
      <c r="E4333">
        <v>0.53699960000000002</v>
      </c>
      <c r="F4333" t="s">
        <v>43</v>
      </c>
      <c r="G4333">
        <v>-345.42759999999998</v>
      </c>
      <c r="H4333">
        <v>-0.05</v>
      </c>
      <c r="I4333">
        <v>202.84280000000001</v>
      </c>
      <c r="J4333">
        <v>-444.01740000000001</v>
      </c>
      <c r="K4333">
        <v>1.109756</v>
      </c>
      <c r="L4333">
        <v>214.8631</v>
      </c>
      <c r="M4333">
        <v>0.99996850000000004</v>
      </c>
      <c r="N4333">
        <v>0</v>
      </c>
      <c r="O4333">
        <v>-1.1234870000000001E-3</v>
      </c>
      <c r="P4333">
        <v>0.99930680000000005</v>
      </c>
      <c r="Q4333">
        <v>-1.415888E-2</v>
      </c>
      <c r="R4333">
        <v>-3.4433529999999997E-2</v>
      </c>
      <c r="S4333">
        <v>2.989258</v>
      </c>
      <c r="T4333">
        <v>-3.5064819999999997E-2</v>
      </c>
      <c r="U4333">
        <v>-0.36331180000000002</v>
      </c>
      <c r="V4333">
        <v>3.332425E-2</v>
      </c>
      <c r="W4333">
        <v>-6.2235049999999998E-3</v>
      </c>
      <c r="X4333">
        <v>0.99942520000000001</v>
      </c>
      <c r="Y4333">
        <v>0.11952790000000001</v>
      </c>
      <c r="Z4333">
        <v>-6.8532360000000004E-4</v>
      </c>
      <c r="AA4333">
        <v>0.99283060000000001</v>
      </c>
      <c r="AB4333">
        <v>33</v>
      </c>
      <c r="AC4333">
        <v>98.589799999999997</v>
      </c>
      <c r="AD4333">
        <v>-1.159756</v>
      </c>
      <c r="AE4333">
        <v>-12.020299999999899</v>
      </c>
      <c r="AF4333">
        <v>11.9079009713319</v>
      </c>
      <c r="AG4333">
        <v>-1.159756</v>
      </c>
      <c r="AH4333">
        <v>98.589799942597594</v>
      </c>
      <c r="AI4333">
        <v>90.669102410183299</v>
      </c>
      <c r="AJ4333">
        <v>83.1130455217491</v>
      </c>
      <c r="AK4333">
        <v>99.313099801808605</v>
      </c>
      <c r="AL4333">
        <v>90.356582877862905</v>
      </c>
      <c r="AM4333">
        <v>88.090270525830903</v>
      </c>
      <c r="AN4333">
        <v>0.99999998402379298</v>
      </c>
    </row>
    <row r="4334" spans="1:40" x14ac:dyDescent="0.25">
      <c r="A4334" t="str">
        <f>"20190312154008676"</f>
        <v>20190312154008676</v>
      </c>
      <c r="B4334" t="str">
        <f>"1552376408660392"</f>
        <v>1552376408660392</v>
      </c>
      <c r="C4334" t="s">
        <v>40</v>
      </c>
      <c r="D4334">
        <v>4.2031780000000003</v>
      </c>
      <c r="E4334">
        <v>0.53951479999999996</v>
      </c>
      <c r="F4334" t="s">
        <v>43</v>
      </c>
      <c r="G4334">
        <v>-347.61270000000002</v>
      </c>
      <c r="H4334">
        <v>-0.05</v>
      </c>
      <c r="I4334">
        <v>201.994</v>
      </c>
      <c r="J4334">
        <v>-443.68669999999997</v>
      </c>
      <c r="K4334">
        <v>1.1094440000000001</v>
      </c>
      <c r="L4334">
        <v>214.86349999999999</v>
      </c>
      <c r="M4334">
        <v>0.99997760000000002</v>
      </c>
      <c r="N4334">
        <v>0</v>
      </c>
      <c r="O4334">
        <v>-2.1660519999999999E-4</v>
      </c>
      <c r="P4334">
        <v>0.99933309999999997</v>
      </c>
      <c r="Q4334">
        <v>-1.030531E-2</v>
      </c>
      <c r="R4334">
        <v>-3.5032710000000002E-2</v>
      </c>
      <c r="S4334">
        <v>2.987854</v>
      </c>
      <c r="T4334">
        <v>-3.59441E-2</v>
      </c>
      <c r="U4334">
        <v>-0.39884950000000002</v>
      </c>
      <c r="V4334">
        <v>3.4823149999999997E-2</v>
      </c>
      <c r="W4334">
        <v>-3.5326870000000001E-3</v>
      </c>
      <c r="X4334">
        <v>0.99938729999999998</v>
      </c>
      <c r="Y4334">
        <v>0.1320925</v>
      </c>
      <c r="Z4334">
        <v>-7.8841039999999897E-4</v>
      </c>
      <c r="AA4334">
        <v>0.99123709999999998</v>
      </c>
      <c r="AB4334">
        <v>33</v>
      </c>
      <c r="AC4334">
        <v>96.073999999999899</v>
      </c>
      <c r="AD4334">
        <v>-1.1594439999999999</v>
      </c>
      <c r="AE4334">
        <v>-12.869499999999899</v>
      </c>
      <c r="AF4334">
        <v>12.8468510399331</v>
      </c>
      <c r="AG4334">
        <v>-1.1594439999999999</v>
      </c>
      <c r="AH4334">
        <v>96.063041179901504</v>
      </c>
      <c r="AI4334">
        <v>90.685403119314103</v>
      </c>
      <c r="AJ4334">
        <v>82.382827906333901</v>
      </c>
      <c r="AK4334">
        <v>96.925196789910203</v>
      </c>
      <c r="AL4334">
        <v>90.202408465613303</v>
      </c>
      <c r="AM4334">
        <v>88.004364653501</v>
      </c>
      <c r="AN4334">
        <v>1.0000000535273199</v>
      </c>
    </row>
    <row r="4335" spans="1:40" x14ac:dyDescent="0.25">
      <c r="A4335" t="str">
        <f>"20190312154008699"</f>
        <v>20190312154008699</v>
      </c>
      <c r="B4335" t="str">
        <f>"1552376408690649"</f>
        <v>1552376408690649</v>
      </c>
      <c r="C4335" t="s">
        <v>40</v>
      </c>
      <c r="D4335">
        <v>4.2119350000000004</v>
      </c>
      <c r="E4335">
        <v>0.54179709999999903</v>
      </c>
      <c r="F4335" t="s">
        <v>43</v>
      </c>
      <c r="G4335">
        <v>-323.9117</v>
      </c>
      <c r="H4335">
        <v>-0.05</v>
      </c>
      <c r="I4335">
        <v>198.0077</v>
      </c>
      <c r="J4335">
        <v>-443.3313</v>
      </c>
      <c r="K4335">
        <v>1.1091949999999999</v>
      </c>
      <c r="L4335">
        <v>214.86420000000001</v>
      </c>
      <c r="M4335">
        <v>0.99998480000000001</v>
      </c>
      <c r="N4335">
        <v>0</v>
      </c>
      <c r="O4335">
        <v>6.8409109999999999E-4</v>
      </c>
      <c r="P4335">
        <v>0.99937180000000003</v>
      </c>
      <c r="Q4335">
        <v>-6.6448840000000002E-3</v>
      </c>
      <c r="R4335">
        <v>-3.4819030000000001E-2</v>
      </c>
      <c r="S4335">
        <v>2.9869379999999999</v>
      </c>
      <c r="T4335">
        <v>-2.891409E-2</v>
      </c>
      <c r="U4335">
        <v>-0.42034909999999998</v>
      </c>
      <c r="V4335">
        <v>3.5504460000000002E-2</v>
      </c>
      <c r="W4335">
        <v>-1.0851400000000001E-3</v>
      </c>
      <c r="X4335">
        <v>0.9993689</v>
      </c>
      <c r="Y4335">
        <v>0.14002679999999901</v>
      </c>
      <c r="Z4335">
        <v>-6.8099350000000003E-4</v>
      </c>
      <c r="AA4335">
        <v>0.99014749999999996</v>
      </c>
      <c r="AB4335">
        <v>33</v>
      </c>
      <c r="AC4335">
        <v>119.4196</v>
      </c>
      <c r="AD4335">
        <v>-1.159195</v>
      </c>
      <c r="AE4335">
        <v>-16.8565</v>
      </c>
      <c r="AF4335">
        <v>16.936626501078301</v>
      </c>
      <c r="AG4335">
        <v>-1.159195</v>
      </c>
      <c r="AH4335">
        <v>119.397010203132</v>
      </c>
      <c r="AI4335">
        <v>90.550739579725899</v>
      </c>
      <c r="AJ4335">
        <v>81.926380986922496</v>
      </c>
      <c r="AK4335">
        <v>120.59784034439301</v>
      </c>
      <c r="AL4335">
        <v>90.062173956170398</v>
      </c>
      <c r="AM4335">
        <v>87.965315402681895</v>
      </c>
      <c r="AN4335">
        <v>0.99999997124796003</v>
      </c>
    </row>
    <row r="4336" spans="1:40" x14ac:dyDescent="0.25">
      <c r="A4336" t="str">
        <f>"20190312154008723"</f>
        <v>20190312154008723</v>
      </c>
      <c r="B4336" t="str">
        <f>"1552376408710168"</f>
        <v>1552376408710168</v>
      </c>
      <c r="C4336" t="s">
        <v>40</v>
      </c>
      <c r="D4336">
        <v>4.2270260000000004</v>
      </c>
      <c r="E4336">
        <v>0.54299119999999901</v>
      </c>
      <c r="F4336" t="s">
        <v>77</v>
      </c>
      <c r="G4336">
        <v>-338.2355</v>
      </c>
      <c r="H4336">
        <v>0.36304910000000001</v>
      </c>
      <c r="I4336">
        <v>199.4614</v>
      </c>
      <c r="J4336">
        <v>-442.96080000000001</v>
      </c>
      <c r="K4336">
        <v>1.109022</v>
      </c>
      <c r="L4336">
        <v>214.86510000000001</v>
      </c>
      <c r="M4336">
        <v>0.99998940000000003</v>
      </c>
      <c r="N4336">
        <v>0</v>
      </c>
      <c r="O4336">
        <v>1.533628E-3</v>
      </c>
      <c r="P4336">
        <v>0.99936740000000002</v>
      </c>
      <c r="Q4336">
        <v>-2.7980510000000002E-3</v>
      </c>
      <c r="R4336">
        <v>-3.5455590000000002E-2</v>
      </c>
      <c r="S4336">
        <v>2.9864809999999999</v>
      </c>
      <c r="T4336">
        <v>-2.1203039999999999E-2</v>
      </c>
      <c r="U4336">
        <v>-0.43769839999999999</v>
      </c>
      <c r="V4336">
        <v>3.6985669999999998E-2</v>
      </c>
      <c r="W4336">
        <v>1.5929379999999999E-3</v>
      </c>
      <c r="X4336">
        <v>0.99931449999999999</v>
      </c>
      <c r="Y4336">
        <v>0.1465244</v>
      </c>
      <c r="Z4336">
        <v>-5.281986E-4</v>
      </c>
      <c r="AA4336">
        <v>0.9892069</v>
      </c>
      <c r="AB4336">
        <v>34</v>
      </c>
      <c r="AC4336">
        <v>104.7253</v>
      </c>
      <c r="AD4336">
        <v>-0.74597289999999905</v>
      </c>
      <c r="AE4336">
        <v>-15.403700000000001</v>
      </c>
      <c r="AF4336">
        <v>15.563520094087099</v>
      </c>
      <c r="AG4336">
        <v>-0.74597289999999905</v>
      </c>
      <c r="AH4336">
        <v>104.69635336453599</v>
      </c>
      <c r="AI4336">
        <v>90.403794754338804</v>
      </c>
      <c r="AJ4336">
        <v>81.544678562805203</v>
      </c>
      <c r="AK4336">
        <v>105.849449885762</v>
      </c>
      <c r="AL4336">
        <v>89.908731334563697</v>
      </c>
      <c r="AM4336">
        <v>87.880391023685902</v>
      </c>
      <c r="AN4336">
        <v>0.99999997357353498</v>
      </c>
    </row>
    <row r="4337" spans="1:40" x14ac:dyDescent="0.25">
      <c r="A4337" t="str">
        <f>"20190312154008745"</f>
        <v>20190312154008745</v>
      </c>
      <c r="B4337" t="str">
        <f>"1552376408740424"</f>
        <v>1552376408740424</v>
      </c>
      <c r="C4337" t="s">
        <v>40</v>
      </c>
      <c r="D4337">
        <v>4.2232019999999997</v>
      </c>
      <c r="E4337">
        <v>0.54406359999999998</v>
      </c>
      <c r="F4337" t="s">
        <v>77</v>
      </c>
      <c r="G4337">
        <v>-279.2355</v>
      </c>
      <c r="H4337">
        <v>0.45527269999999997</v>
      </c>
      <c r="I4337">
        <v>190.2371</v>
      </c>
      <c r="J4337">
        <v>-442.62880000000001</v>
      </c>
      <c r="K4337">
        <v>1.1089199999999999</v>
      </c>
      <c r="L4337">
        <v>214.86619999999999</v>
      </c>
      <c r="M4337">
        <v>0.99999179999999999</v>
      </c>
      <c r="N4337">
        <v>0</v>
      </c>
      <c r="O4337">
        <v>2.2327779999999999E-3</v>
      </c>
      <c r="P4337">
        <v>0.99935799999999997</v>
      </c>
      <c r="Q4337">
        <v>2.39972E-4</v>
      </c>
      <c r="R4337">
        <v>-3.5826120000000003E-2</v>
      </c>
      <c r="S4337">
        <v>2.9859619999999998</v>
      </c>
      <c r="T4337">
        <v>-1.1922840000000001E-2</v>
      </c>
      <c r="U4337">
        <v>-0.44915769999999999</v>
      </c>
      <c r="V4337">
        <v>3.8051500000000002E-2</v>
      </c>
      <c r="W4337">
        <v>3.6895830000000002E-3</v>
      </c>
      <c r="X4337">
        <v>0.99926890000000002</v>
      </c>
      <c r="Y4337">
        <v>0.15095600000000001</v>
      </c>
      <c r="Z4337">
        <v>-3.0855990000000001E-4</v>
      </c>
      <c r="AA4337">
        <v>0.98854039999999999</v>
      </c>
      <c r="AB4337">
        <v>34</v>
      </c>
      <c r="AC4337">
        <v>163.39330000000001</v>
      </c>
      <c r="AD4337">
        <v>-0.65364730000000004</v>
      </c>
      <c r="AE4337">
        <v>-24.629099999999902</v>
      </c>
      <c r="AF4337">
        <v>24.9934705552756</v>
      </c>
      <c r="AG4337">
        <v>-0.65364730000000004</v>
      </c>
      <c r="AH4337">
        <v>163.335345200522</v>
      </c>
      <c r="AI4337">
        <v>90.226651078885297</v>
      </c>
      <c r="AJ4337">
        <v>81.300119780093198</v>
      </c>
      <c r="AK4337">
        <v>165.23781594103599</v>
      </c>
      <c r="AL4337">
        <v>89.788601971951294</v>
      </c>
      <c r="AM4337">
        <v>87.819268181879195</v>
      </c>
      <c r="AN4337">
        <v>0.99999993209108395</v>
      </c>
    </row>
    <row r="4338" spans="1:40" x14ac:dyDescent="0.25">
      <c r="A4338" t="str">
        <f>"20190312154008767"</f>
        <v>20190312154008767</v>
      </c>
      <c r="B4338" t="str">
        <f>"1552376408759945"</f>
        <v>1552376408759945</v>
      </c>
      <c r="C4338" t="s">
        <v>40</v>
      </c>
      <c r="D4338">
        <v>4.1917160000000004</v>
      </c>
      <c r="E4338">
        <v>0.54483499999999996</v>
      </c>
      <c r="F4338" t="s">
        <v>77</v>
      </c>
      <c r="G4338">
        <v>-276.46719999999999</v>
      </c>
      <c r="H4338">
        <v>0.8033614</v>
      </c>
      <c r="I4338">
        <v>189.33330000000001</v>
      </c>
      <c r="J4338">
        <v>-442.28379999999999</v>
      </c>
      <c r="K4338">
        <v>1.1088549999999999</v>
      </c>
      <c r="L4338">
        <v>214.86750000000001</v>
      </c>
      <c r="M4338">
        <v>0.99999249999999995</v>
      </c>
      <c r="N4338">
        <v>0</v>
      </c>
      <c r="O4338">
        <v>2.908182E-3</v>
      </c>
      <c r="P4338">
        <v>0.99933760000000005</v>
      </c>
      <c r="Q4338">
        <v>2.436297E-3</v>
      </c>
      <c r="R4338">
        <v>-3.6309359999999999E-2</v>
      </c>
      <c r="S4338">
        <v>2.985474</v>
      </c>
      <c r="T4338">
        <v>-5.4900649999999997E-3</v>
      </c>
      <c r="U4338">
        <v>-0.45875549999999998</v>
      </c>
      <c r="V4338">
        <v>3.9207440000000003E-2</v>
      </c>
      <c r="W4338">
        <v>5.0418809999999998E-3</v>
      </c>
      <c r="X4338">
        <v>0.9992183</v>
      </c>
      <c r="Y4338">
        <v>0.15475349999999999</v>
      </c>
      <c r="Z4338">
        <v>-1.4677679999999999E-4</v>
      </c>
      <c r="AA4338">
        <v>0.98795310000000003</v>
      </c>
      <c r="AB4338">
        <v>35</v>
      </c>
      <c r="AC4338">
        <v>165.81659999999999</v>
      </c>
      <c r="AD4338">
        <v>-0.30549359999999898</v>
      </c>
      <c r="AE4338">
        <v>-25.534199999999998</v>
      </c>
      <c r="AF4338">
        <v>26.016232188943398</v>
      </c>
      <c r="AG4338">
        <v>-0.30549359999999898</v>
      </c>
      <c r="AH4338">
        <v>165.74109091031099</v>
      </c>
      <c r="AI4338">
        <v>90.104329847006298</v>
      </c>
      <c r="AJ4338">
        <v>81.079125011361299</v>
      </c>
      <c r="AK4338">
        <v>167.770816531924</v>
      </c>
      <c r="AL4338">
        <v>89.711120253021406</v>
      </c>
      <c r="AM4338">
        <v>87.752974484041005</v>
      </c>
      <c r="AN4338">
        <v>0.999999927485128</v>
      </c>
    </row>
    <row r="4339" spans="1:40" x14ac:dyDescent="0.25">
      <c r="A4339" t="str">
        <f>"20190312154008789"</f>
        <v>20190312154008789</v>
      </c>
      <c r="B4339" t="str">
        <f>"1552376408780442"</f>
        <v>1552376408780442</v>
      </c>
      <c r="C4339" t="s">
        <v>40</v>
      </c>
      <c r="D4339">
        <v>4.2129770000000004</v>
      </c>
      <c r="E4339">
        <v>0.54537639999999998</v>
      </c>
      <c r="F4339" t="s">
        <v>75</v>
      </c>
      <c r="G4339">
        <v>-167.40110000000001</v>
      </c>
      <c r="H4339">
        <v>1.0518160000000001</v>
      </c>
      <c r="I4339">
        <v>171.93799999999999</v>
      </c>
      <c r="J4339">
        <v>-441.93689999999998</v>
      </c>
      <c r="K4339">
        <v>1.108814</v>
      </c>
      <c r="L4339">
        <v>214.869</v>
      </c>
      <c r="M4339">
        <v>0.99999199999999999</v>
      </c>
      <c r="N4339">
        <v>0</v>
      </c>
      <c r="O4339">
        <v>3.5427620000000001E-3</v>
      </c>
      <c r="P4339">
        <v>0.9993303</v>
      </c>
      <c r="Q4339">
        <v>3.9997510000000002E-3</v>
      </c>
      <c r="R4339">
        <v>-3.6377319999999998E-2</v>
      </c>
      <c r="S4339">
        <v>2.9850460000000001</v>
      </c>
      <c r="T4339">
        <v>-6.190538E-4</v>
      </c>
      <c r="U4339">
        <v>-0.4661865</v>
      </c>
      <c r="V4339">
        <v>3.9908079999999999E-2</v>
      </c>
      <c r="W4339">
        <v>5.9082800000000001E-3</v>
      </c>
      <c r="X4339">
        <v>0.99918589999999996</v>
      </c>
      <c r="Y4339">
        <v>0.1578029</v>
      </c>
      <c r="Z4339" s="1">
        <v>-1.69947399999999E-5</v>
      </c>
      <c r="AA4339">
        <v>0.98747059999999998</v>
      </c>
      <c r="AB4339">
        <v>35</v>
      </c>
      <c r="AC4339">
        <v>274.53579999999999</v>
      </c>
      <c r="AD4339">
        <v>-5.6997999999999799E-2</v>
      </c>
      <c r="AE4339">
        <v>-42.930999999999997</v>
      </c>
      <c r="AF4339">
        <v>43.903345411039403</v>
      </c>
      <c r="AG4339">
        <v>-5.6997999999999799E-2</v>
      </c>
      <c r="AH4339">
        <v>274.38197099447899</v>
      </c>
      <c r="AI4339">
        <v>90.011752685511198</v>
      </c>
      <c r="AJ4339">
        <v>80.909269029393997</v>
      </c>
      <c r="AK4339">
        <v>277.87222422161602</v>
      </c>
      <c r="AL4339">
        <v>89.661478526589804</v>
      </c>
      <c r="AM4339">
        <v>87.712788147503005</v>
      </c>
      <c r="AN4339">
        <v>1.0000000126903199</v>
      </c>
    </row>
    <row r="4340" spans="1:40" x14ac:dyDescent="0.25">
      <c r="A4340" t="str">
        <f>"20190312154008812"</f>
        <v>20190312154008812</v>
      </c>
      <c r="B4340" t="str">
        <f>"1552376408799960"</f>
        <v>1552376408799960</v>
      </c>
      <c r="C4340" t="s">
        <v>40</v>
      </c>
      <c r="D4340">
        <v>4.1889789999999998</v>
      </c>
      <c r="E4340">
        <v>0.54598630000000004</v>
      </c>
      <c r="F4340" t="s">
        <v>75</v>
      </c>
      <c r="G4340">
        <v>-166.9667</v>
      </c>
      <c r="H4340">
        <v>1.2597590000000001</v>
      </c>
      <c r="I4340">
        <v>171.50389999999999</v>
      </c>
      <c r="J4340">
        <v>-441.56939999999997</v>
      </c>
      <c r="K4340">
        <v>1.1088039999999999</v>
      </c>
      <c r="L4340">
        <v>214.87090000000001</v>
      </c>
      <c r="M4340">
        <v>0.99999059999999995</v>
      </c>
      <c r="N4340">
        <v>0</v>
      </c>
      <c r="O4340">
        <v>4.1667070000000004E-3</v>
      </c>
      <c r="P4340">
        <v>0.99934299999999998</v>
      </c>
      <c r="Q4340">
        <v>5.2201060000000004E-3</v>
      </c>
      <c r="R4340">
        <v>-3.5872910000000001E-2</v>
      </c>
      <c r="S4340">
        <v>2.9848330000000001</v>
      </c>
      <c r="T4340">
        <v>1.6388889999999999E-3</v>
      </c>
      <c r="U4340">
        <v>-0.47073359999999898</v>
      </c>
      <c r="V4340">
        <v>4.0026550000000001E-2</v>
      </c>
      <c r="W4340">
        <v>6.5615339999999999E-3</v>
      </c>
      <c r="X4340">
        <v>0.99917710000000004</v>
      </c>
      <c r="Y4340">
        <v>0.1598976</v>
      </c>
      <c r="Z4340" s="1">
        <v>4.5902019999999997E-5</v>
      </c>
      <c r="AA4340">
        <v>0.98713360000000006</v>
      </c>
      <c r="AB4340">
        <v>35</v>
      </c>
      <c r="AC4340">
        <v>274.60270000000003</v>
      </c>
      <c r="AD4340">
        <v>0.15095499999999901</v>
      </c>
      <c r="AE4340">
        <v>-43.366999999999997</v>
      </c>
      <c r="AF4340">
        <v>44.510800232559198</v>
      </c>
      <c r="AG4340">
        <v>0.15095499999999901</v>
      </c>
      <c r="AH4340">
        <v>274.41953761374799</v>
      </c>
      <c r="AI4340">
        <v>89.968888851677306</v>
      </c>
      <c r="AJ4340">
        <v>80.786870993541697</v>
      </c>
      <c r="AK4340">
        <v>278.00596531171402</v>
      </c>
      <c r="AL4340">
        <v>89.624049107405298</v>
      </c>
      <c r="AM4340">
        <v>87.705985455794703</v>
      </c>
      <c r="AN4340">
        <v>1.0000000277988701</v>
      </c>
    </row>
    <row r="4341" spans="1:40" x14ac:dyDescent="0.25">
      <c r="A4341" t="str">
        <f>"20190312154008835"</f>
        <v>20190312154008835</v>
      </c>
      <c r="B4341" t="str">
        <f>"1552376408830216"</f>
        <v>1552376408830216</v>
      </c>
      <c r="C4341" t="s">
        <v>40</v>
      </c>
      <c r="D4341">
        <v>4.2870489999999997</v>
      </c>
      <c r="E4341">
        <v>0.54628290000000002</v>
      </c>
      <c r="F4341" t="s">
        <v>81</v>
      </c>
      <c r="G4341">
        <v>-231.59620000000001</v>
      </c>
      <c r="H4341">
        <v>1.3376380000000001</v>
      </c>
      <c r="I4341">
        <v>181.529</v>
      </c>
      <c r="J4341">
        <v>-441.238</v>
      </c>
      <c r="K4341">
        <v>1.1088009999999999</v>
      </c>
      <c r="L4341">
        <v>214.87270000000001</v>
      </c>
      <c r="M4341">
        <v>0.99998869999999895</v>
      </c>
      <c r="N4341">
        <v>0</v>
      </c>
      <c r="O4341">
        <v>4.6793700000000004E-3</v>
      </c>
      <c r="P4341">
        <v>0.99939409999999895</v>
      </c>
      <c r="Q4341">
        <v>5.5770610000000003E-3</v>
      </c>
      <c r="R4341">
        <v>-3.4361059999999999E-2</v>
      </c>
      <c r="S4341">
        <v>2.9849549999999998</v>
      </c>
      <c r="T4341">
        <v>3.2536980000000002E-3</v>
      </c>
      <c r="U4341">
        <v>-0.47398380000000001</v>
      </c>
      <c r="V4341">
        <v>3.9027590000000001E-2</v>
      </c>
      <c r="W4341">
        <v>6.5553360000000001E-3</v>
      </c>
      <c r="X4341">
        <v>0.99921660000000001</v>
      </c>
      <c r="Y4341">
        <v>0.1614457</v>
      </c>
      <c r="Z4341" s="1">
        <v>9.2512129999999993E-5</v>
      </c>
      <c r="AA4341">
        <v>0.98688160000000003</v>
      </c>
      <c r="AB4341">
        <v>35</v>
      </c>
      <c r="AC4341">
        <v>209.64179999999999</v>
      </c>
      <c r="AD4341">
        <v>0.22883700000000001</v>
      </c>
      <c r="AE4341">
        <v>-33.343699999999899</v>
      </c>
      <c r="AF4341">
        <v>34.324286948613903</v>
      </c>
      <c r="AG4341">
        <v>0.22883700000000001</v>
      </c>
      <c r="AH4341">
        <v>209.483233767852</v>
      </c>
      <c r="AI4341">
        <v>89.938234429560893</v>
      </c>
      <c r="AJ4341">
        <v>80.694648273916698</v>
      </c>
      <c r="AK4341">
        <v>212.276786933333</v>
      </c>
      <c r="AL4341">
        <v>89.624404212363601</v>
      </c>
      <c r="AM4341">
        <v>87.7632676090346</v>
      </c>
      <c r="AN4341">
        <v>0.99999996946341996</v>
      </c>
    </row>
    <row r="4342" spans="1:40" x14ac:dyDescent="0.25">
      <c r="A4342" t="str">
        <f>"20190312154008854"</f>
        <v>20190312154008854</v>
      </c>
      <c r="B4342" t="str">
        <f>"1552376408850713"</f>
        <v>1552376408850713</v>
      </c>
      <c r="C4342" t="s">
        <v>40</v>
      </c>
      <c r="D4342">
        <v>4.2515929999999997</v>
      </c>
      <c r="E4342">
        <v>0.51337759999999999</v>
      </c>
      <c r="F4342" t="s">
        <v>81</v>
      </c>
      <c r="G4342">
        <v>-230.2594</v>
      </c>
      <c r="H4342">
        <v>1.4095660000000001</v>
      </c>
      <c r="I4342">
        <v>181.529</v>
      </c>
      <c r="J4342">
        <v>-440.89819999999997</v>
      </c>
      <c r="K4342">
        <v>1.1087929999999999</v>
      </c>
      <c r="L4342">
        <v>214.87469999999999</v>
      </c>
      <c r="M4342">
        <v>0.99998670000000001</v>
      </c>
      <c r="N4342">
        <v>0</v>
      </c>
      <c r="O4342">
        <v>5.1454959999999899E-3</v>
      </c>
      <c r="P4342">
        <v>0.9994305</v>
      </c>
      <c r="Q4342">
        <v>5.1060910000000001E-3</v>
      </c>
      <c r="R4342">
        <v>-3.3361269999999998E-2</v>
      </c>
      <c r="S4342">
        <v>2.9855649999999998</v>
      </c>
      <c r="T4342">
        <v>4.2567250000000003E-3</v>
      </c>
      <c r="U4342">
        <v>-0.47184749999999998</v>
      </c>
      <c r="V4342">
        <v>3.8495349999999998E-2</v>
      </c>
      <c r="W4342">
        <v>5.8377100000000003E-3</v>
      </c>
      <c r="X4342">
        <v>0.99924170000000001</v>
      </c>
      <c r="Y4342">
        <v>0.16118560000000001</v>
      </c>
      <c r="Z4342">
        <v>1.214897E-4</v>
      </c>
      <c r="AA4342">
        <v>0.98692409999999997</v>
      </c>
      <c r="AB4342">
        <v>36</v>
      </c>
      <c r="AC4342">
        <v>210.6388</v>
      </c>
      <c r="AD4342">
        <v>0.30077299999999901</v>
      </c>
      <c r="AE4342">
        <v>-33.345699999999901</v>
      </c>
      <c r="AF4342">
        <v>34.429031252450997</v>
      </c>
      <c r="AG4342">
        <v>0.30077299999999901</v>
      </c>
      <c r="AH4342">
        <v>210.464012725911</v>
      </c>
      <c r="AI4342">
        <v>89.919193039142897</v>
      </c>
      <c r="AJ4342">
        <v>80.709484489234498</v>
      </c>
      <c r="AK4342">
        <v>213.26169208292399</v>
      </c>
      <c r="AL4342">
        <v>89.665521946132301</v>
      </c>
      <c r="AM4342">
        <v>87.793796130707804</v>
      </c>
      <c r="AN4342">
        <v>0.999999972924277</v>
      </c>
    </row>
    <row r="4343" spans="1:40" x14ac:dyDescent="0.25">
      <c r="A4343" t="str">
        <f>"20190312154008879"</f>
        <v>20190312154008879</v>
      </c>
      <c r="B4343" t="str">
        <f>"1552376408870309"</f>
        <v>1552376408870309</v>
      </c>
      <c r="C4343" t="s">
        <v>40</v>
      </c>
      <c r="D4343">
        <v>4.2417109999999996</v>
      </c>
      <c r="E4343">
        <v>0.50413640000000004</v>
      </c>
      <c r="F4343" t="s">
        <v>75</v>
      </c>
      <c r="G4343">
        <v>-168.41460000000001</v>
      </c>
      <c r="H4343">
        <v>2.1215950000000001</v>
      </c>
      <c r="I4343">
        <v>196.0693</v>
      </c>
      <c r="J4343">
        <v>-440.51560000000001</v>
      </c>
      <c r="K4343">
        <v>1.108762</v>
      </c>
      <c r="L4343">
        <v>214.87719999999999</v>
      </c>
      <c r="M4343">
        <v>0.99998430000000005</v>
      </c>
      <c r="N4343">
        <v>0</v>
      </c>
      <c r="O4343">
        <v>5.5890159999999996E-3</v>
      </c>
      <c r="P4343">
        <v>0.99949060000000001</v>
      </c>
      <c r="Q4343">
        <v>4.1323419999999998E-3</v>
      </c>
      <c r="R4343">
        <v>-3.1645799999999898E-2</v>
      </c>
      <c r="S4343">
        <v>2.99472</v>
      </c>
      <c r="T4343">
        <v>1.1131530000000001E-2</v>
      </c>
      <c r="U4343">
        <v>-0.20668030000000001</v>
      </c>
      <c r="V4343">
        <v>3.7225920000000003E-2</v>
      </c>
      <c r="W4343">
        <v>4.7042840000000004E-3</v>
      </c>
      <c r="X4343">
        <v>0.99929579999999996</v>
      </c>
      <c r="Y4343">
        <v>7.4425259999999993E-2</v>
      </c>
      <c r="Z4343">
        <v>1.589072E-4</v>
      </c>
      <c r="AA4343">
        <v>0.99722659999999996</v>
      </c>
      <c r="AB4343">
        <v>36</v>
      </c>
      <c r="AC4343">
        <v>272.101</v>
      </c>
      <c r="AD4343">
        <v>1.0128330000000001</v>
      </c>
      <c r="AE4343">
        <v>-18.807899999999901</v>
      </c>
      <c r="AF4343">
        <v>20.3281028994572</v>
      </c>
      <c r="AG4343">
        <v>1.0128330000000001</v>
      </c>
      <c r="AH4343">
        <v>271.98788193039599</v>
      </c>
      <c r="AI4343">
        <v>89.787235418953202</v>
      </c>
      <c r="AJ4343">
        <v>85.725717387929294</v>
      </c>
      <c r="AK4343">
        <v>272.74835565986399</v>
      </c>
      <c r="AL4343">
        <v>89.7304633863763</v>
      </c>
      <c r="AM4343">
        <v>87.866595350497406</v>
      </c>
      <c r="AN4343">
        <v>0.99999999765271896</v>
      </c>
    </row>
    <row r="4344" spans="1:40" x14ac:dyDescent="0.25">
      <c r="A4344" t="str">
        <f>"20190312154008900"</f>
        <v>20190312154008900</v>
      </c>
      <c r="B4344" t="str">
        <f>"1552376408890812"</f>
        <v>1552376408890812</v>
      </c>
      <c r="C4344" t="s">
        <v>40</v>
      </c>
      <c r="D4344">
        <v>4.2348759999999999</v>
      </c>
      <c r="E4344">
        <v>0.50040050000000003</v>
      </c>
      <c r="F4344" t="s">
        <v>75</v>
      </c>
      <c r="G4344">
        <v>-168.41159999999999</v>
      </c>
      <c r="H4344">
        <v>0.2260952</v>
      </c>
      <c r="I4344">
        <v>203.3349</v>
      </c>
      <c r="J4344">
        <v>-440.14839999999998</v>
      </c>
      <c r="K4344">
        <v>1.108722</v>
      </c>
      <c r="L4344">
        <v>214.87960000000001</v>
      </c>
      <c r="M4344">
        <v>0.99998240000000005</v>
      </c>
      <c r="N4344">
        <v>0</v>
      </c>
      <c r="O4344">
        <v>5.9160489999999996E-3</v>
      </c>
      <c r="P4344">
        <v>0.99954410000000005</v>
      </c>
      <c r="Q4344">
        <v>2.626654E-3</v>
      </c>
      <c r="R4344">
        <v>-3.0079479999999999E-2</v>
      </c>
      <c r="S4344">
        <v>2.997528</v>
      </c>
      <c r="T4344">
        <v>-9.723186E-3</v>
      </c>
      <c r="U4344">
        <v>-0.1271515</v>
      </c>
      <c r="V4344">
        <v>3.5989189999999997E-2</v>
      </c>
      <c r="W4344">
        <v>3.138362E-3</v>
      </c>
      <c r="X4344">
        <v>0.99934730000000005</v>
      </c>
      <c r="Y4344">
        <v>4.8290380000000001E-2</v>
      </c>
      <c r="Z4344" s="1">
        <v>-9.7467130000000003E-5</v>
      </c>
      <c r="AA4344">
        <v>0.99883339999999998</v>
      </c>
      <c r="AB4344">
        <v>36</v>
      </c>
      <c r="AC4344">
        <v>271.73680000000002</v>
      </c>
      <c r="AD4344">
        <v>-0.88262679999999905</v>
      </c>
      <c r="AE4344">
        <v>-11.544700000000001</v>
      </c>
      <c r="AF4344">
        <v>13.1519678479387</v>
      </c>
      <c r="AG4344">
        <v>-0.88262679999999905</v>
      </c>
      <c r="AH4344">
        <v>271.66088470468497</v>
      </c>
      <c r="AI4344">
        <v>90.185935683805397</v>
      </c>
      <c r="AJ4344">
        <v>87.228293123586695</v>
      </c>
      <c r="AK4344">
        <v>271.98049482798098</v>
      </c>
      <c r="AL4344">
        <v>89.820184816371594</v>
      </c>
      <c r="AM4344">
        <v>87.937515853273993</v>
      </c>
      <c r="AN4344">
        <v>1.0000000485650899</v>
      </c>
    </row>
    <row r="4345" spans="1:40" x14ac:dyDescent="0.25">
      <c r="A4345" t="str">
        <f>"20190312154008923"</f>
        <v>20190312154008923</v>
      </c>
      <c r="B4345" t="str">
        <f>"1552376408920084"</f>
        <v>1552376408920084</v>
      </c>
      <c r="C4345" t="s">
        <v>40</v>
      </c>
      <c r="D4345">
        <v>4.161124</v>
      </c>
      <c r="E4345">
        <v>0.4984691</v>
      </c>
      <c r="F4345" t="s">
        <v>62</v>
      </c>
      <c r="G4345">
        <v>-285.38709999999998</v>
      </c>
      <c r="H4345" s="1">
        <v>5.2383180000000004E-6</v>
      </c>
      <c r="I4345">
        <v>210.11680000000001</v>
      </c>
      <c r="J4345">
        <v>-439.76960000000003</v>
      </c>
      <c r="K4345">
        <v>1.108681</v>
      </c>
      <c r="L4345">
        <v>214.88210000000001</v>
      </c>
      <c r="M4345">
        <v>0.99998089999999995</v>
      </c>
      <c r="N4345">
        <v>0</v>
      </c>
      <c r="O4345">
        <v>6.1711989999999996E-3</v>
      </c>
      <c r="P4345">
        <v>0.99959430000000005</v>
      </c>
      <c r="Q4345">
        <v>1.5622139999999999E-3</v>
      </c>
      <c r="R4345">
        <v>-2.844201E-2</v>
      </c>
      <c r="S4345">
        <v>2.9987180000000002</v>
      </c>
      <c r="T4345">
        <v>-2.1482939999999999E-2</v>
      </c>
      <c r="U4345">
        <v>-9.2285160000000005E-2</v>
      </c>
      <c r="V4345">
        <v>3.4608510000000002E-2</v>
      </c>
      <c r="W4345">
        <v>2.0692969999999999E-3</v>
      </c>
      <c r="X4345">
        <v>0.99939880000000003</v>
      </c>
      <c r="Y4345">
        <v>3.6926899999999999E-2</v>
      </c>
      <c r="Z4345">
        <v>-1.7644049999999999E-4</v>
      </c>
      <c r="AA4345">
        <v>0.99931789999999998</v>
      </c>
      <c r="AB4345">
        <v>36</v>
      </c>
      <c r="AC4345">
        <v>154.38249999999999</v>
      </c>
      <c r="AD4345">
        <v>-1.108675761682</v>
      </c>
      <c r="AE4345">
        <v>-4.7652999999999901</v>
      </c>
      <c r="AF4345">
        <v>5.7176398550847498</v>
      </c>
      <c r="AG4345">
        <v>-1.108675761682</v>
      </c>
      <c r="AH4345">
        <v>154.34220048617601</v>
      </c>
      <c r="AI4345">
        <v>90.411279668671497</v>
      </c>
      <c r="AJ4345">
        <v>87.878435736522903</v>
      </c>
      <c r="AK4345">
        <v>154.45204892901799</v>
      </c>
      <c r="AL4345">
        <v>89.881437930276405</v>
      </c>
      <c r="AM4345">
        <v>88.016678132357399</v>
      </c>
      <c r="AN4345">
        <v>0.99999999619796698</v>
      </c>
    </row>
    <row r="4346" spans="1:40" x14ac:dyDescent="0.25">
      <c r="A4346" t="str">
        <f>"20190312154008945"</f>
        <v>20190312154008945</v>
      </c>
      <c r="B4346" t="str">
        <f>"1552376408940581"</f>
        <v>1552376408940581</v>
      </c>
      <c r="C4346" t="s">
        <v>40</v>
      </c>
      <c r="D4346">
        <v>4.1397209999999998</v>
      </c>
      <c r="E4346">
        <v>0.49801990000000002</v>
      </c>
      <c r="F4346" t="s">
        <v>61</v>
      </c>
      <c r="G4346">
        <v>-354.50040000000001</v>
      </c>
      <c r="H4346" s="1">
        <v>9.3544260000000003E-7</v>
      </c>
      <c r="I4346">
        <v>212.84710000000001</v>
      </c>
      <c r="J4346">
        <v>-439.41359999999997</v>
      </c>
      <c r="K4346">
        <v>1.1086320000000001</v>
      </c>
      <c r="L4346">
        <v>214.8845</v>
      </c>
      <c r="M4346">
        <v>0.99997979999999997</v>
      </c>
      <c r="N4346">
        <v>0</v>
      </c>
      <c r="O4346">
        <v>6.3389509999999998E-3</v>
      </c>
      <c r="P4346">
        <v>0.99963610000000003</v>
      </c>
      <c r="Q4346">
        <v>9.7647309999999998E-4</v>
      </c>
      <c r="R4346">
        <v>-2.6957769999999999E-2</v>
      </c>
      <c r="S4346">
        <v>2.9992369999999999</v>
      </c>
      <c r="T4346">
        <v>-3.8996459999999997E-2</v>
      </c>
      <c r="U4346">
        <v>-7.157898E-2</v>
      </c>
      <c r="V4346">
        <v>3.3292910000000002E-2</v>
      </c>
      <c r="W4346">
        <v>1.514259E-3</v>
      </c>
      <c r="X4346">
        <v>0.99944449999999996</v>
      </c>
      <c r="Y4346">
        <v>3.019252E-2</v>
      </c>
      <c r="Z4346">
        <v>-2.786531E-4</v>
      </c>
      <c r="AA4346">
        <v>0.99954410000000005</v>
      </c>
      <c r="AB4346">
        <v>36</v>
      </c>
      <c r="AC4346">
        <v>84.913199999999904</v>
      </c>
      <c r="AD4346">
        <v>-1.10863106455739</v>
      </c>
      <c r="AE4346">
        <v>-2.0373999999999901</v>
      </c>
      <c r="AF4346">
        <v>2.5751810244175801</v>
      </c>
      <c r="AG4346">
        <v>-1.10863106455739</v>
      </c>
      <c r="AH4346">
        <v>84.884117937529595</v>
      </c>
      <c r="AI4346">
        <v>90.747926296431999</v>
      </c>
      <c r="AJ4346">
        <v>88.262316122495207</v>
      </c>
      <c r="AK4346">
        <v>84.930407382622704</v>
      </c>
      <c r="AL4346">
        <v>89.913239317895801</v>
      </c>
      <c r="AM4346">
        <v>88.092102031242604</v>
      </c>
      <c r="AN4346">
        <v>1.0000000097084101</v>
      </c>
    </row>
    <row r="4347" spans="1:40" x14ac:dyDescent="0.25">
      <c r="A4347" t="str">
        <f>"20190312154008966"</f>
        <v>20190312154008966</v>
      </c>
      <c r="B4347" t="str">
        <f>"1552376408960101"</f>
        <v>1552376408960101</v>
      </c>
      <c r="C4347" t="s">
        <v>40</v>
      </c>
      <c r="D4347">
        <v>4.1184419999999999</v>
      </c>
      <c r="E4347">
        <v>0.49757210000000002</v>
      </c>
      <c r="F4347" t="s">
        <v>61</v>
      </c>
      <c r="G4347">
        <v>-360.04860000000002</v>
      </c>
      <c r="H4347" s="1">
        <v>-1.5109389999999901E-6</v>
      </c>
      <c r="I4347">
        <v>213.20769999999999</v>
      </c>
      <c r="J4347">
        <v>-439.06310000000002</v>
      </c>
      <c r="K4347">
        <v>1.108584</v>
      </c>
      <c r="L4347">
        <v>214.88679999999999</v>
      </c>
      <c r="M4347">
        <v>0.99997930000000002</v>
      </c>
      <c r="N4347">
        <v>0</v>
      </c>
      <c r="O4347">
        <v>6.4387890000000003E-3</v>
      </c>
      <c r="P4347">
        <v>0.99967249999999996</v>
      </c>
      <c r="Q4347">
        <v>-6.9884769999999997E-4</v>
      </c>
      <c r="R4347">
        <v>-2.5590120000000001E-2</v>
      </c>
      <c r="S4347">
        <v>2.9994510000000001</v>
      </c>
      <c r="T4347">
        <v>-4.1898730000000002E-2</v>
      </c>
      <c r="U4347">
        <v>-6.3369750000000002E-2</v>
      </c>
      <c r="V4347">
        <v>3.2026209999999999E-2</v>
      </c>
      <c r="W4347">
        <v>-1.087399E-4</v>
      </c>
      <c r="X4347">
        <v>0.99948700000000001</v>
      </c>
      <c r="Y4347">
        <v>2.7556000000000001E-2</v>
      </c>
      <c r="Z4347">
        <v>-2.8236009999999998E-4</v>
      </c>
      <c r="AA4347">
        <v>0.99962019999999996</v>
      </c>
      <c r="AB4347">
        <v>37</v>
      </c>
      <c r="AC4347">
        <v>79.014499999999998</v>
      </c>
      <c r="AD4347">
        <v>-1.1085855109389999</v>
      </c>
      <c r="AE4347">
        <v>-1.6791</v>
      </c>
      <c r="AF4347">
        <v>2.1873924888186802</v>
      </c>
      <c r="AG4347">
        <v>-1.1085855109389999</v>
      </c>
      <c r="AH4347">
        <v>78.986509624856495</v>
      </c>
      <c r="AI4347">
        <v>90.803792492608295</v>
      </c>
      <c r="AJ4347">
        <v>88.413699575802298</v>
      </c>
      <c r="AK4347">
        <v>79.024568018134403</v>
      </c>
      <c r="AL4347">
        <v>90.006230337492994</v>
      </c>
      <c r="AM4347">
        <v>88.164719453580901</v>
      </c>
      <c r="AN4347">
        <v>0.99999997656016404</v>
      </c>
    </row>
    <row r="4348" spans="1:40" x14ac:dyDescent="0.25">
      <c r="A4348" t="str">
        <f>"20190312154008993"</f>
        <v>20190312154008993</v>
      </c>
      <c r="B4348" t="str">
        <f>"1552376408990356"</f>
        <v>1552376408990356</v>
      </c>
      <c r="C4348" t="s">
        <v>40</v>
      </c>
      <c r="D4348">
        <v>4.1176769999999996</v>
      </c>
      <c r="E4348">
        <v>0.49732199999999999</v>
      </c>
      <c r="F4348" t="s">
        <v>61</v>
      </c>
      <c r="G4348">
        <v>-366.12049999999999</v>
      </c>
      <c r="H4348" s="1">
        <v>1.720212E-6</v>
      </c>
      <c r="I4348">
        <v>213.53389999999999</v>
      </c>
      <c r="J4348">
        <v>-438.62569999999999</v>
      </c>
      <c r="K4348">
        <v>1.1085160000000001</v>
      </c>
      <c r="L4348">
        <v>214.8897</v>
      </c>
      <c r="M4348">
        <v>0.99997899999999995</v>
      </c>
      <c r="N4348">
        <v>0</v>
      </c>
      <c r="O4348">
        <v>6.4671269999999996E-3</v>
      </c>
      <c r="P4348">
        <v>0.99969019999999997</v>
      </c>
      <c r="Q4348">
        <v>-2.4175680000000001E-3</v>
      </c>
      <c r="R4348">
        <v>-2.4782350000000002E-2</v>
      </c>
      <c r="S4348">
        <v>2.9995120000000002</v>
      </c>
      <c r="T4348">
        <v>-4.5586590000000003E-2</v>
      </c>
      <c r="U4348">
        <v>-5.5633540000000002E-2</v>
      </c>
      <c r="V4348">
        <v>3.124731E-2</v>
      </c>
      <c r="W4348">
        <v>-1.7449029999999999E-3</v>
      </c>
      <c r="X4348">
        <v>0.99951020000000002</v>
      </c>
      <c r="Y4348">
        <v>2.5006339999999998E-2</v>
      </c>
      <c r="Z4348">
        <v>-2.8827019999999999E-4</v>
      </c>
      <c r="AA4348">
        <v>0.99968729999999995</v>
      </c>
      <c r="AB4348">
        <v>37</v>
      </c>
      <c r="AC4348">
        <v>72.505200000000002</v>
      </c>
      <c r="AD4348">
        <v>-1.1085142797879901</v>
      </c>
      <c r="AE4348">
        <v>-1.3558000000000101</v>
      </c>
      <c r="AF4348">
        <v>1.82424576398751</v>
      </c>
      <c r="AG4348">
        <v>-1.1085142797879901</v>
      </c>
      <c r="AH4348">
        <v>72.477980113757695</v>
      </c>
      <c r="AI4348">
        <v>90.875964452552296</v>
      </c>
      <c r="AJ4348">
        <v>88.558189405711403</v>
      </c>
      <c r="AK4348">
        <v>72.509408202564899</v>
      </c>
      <c r="AL4348">
        <v>90.099975624344495</v>
      </c>
      <c r="AM4348">
        <v>88.209366885503897</v>
      </c>
      <c r="AN4348">
        <v>1.00000003948637</v>
      </c>
    </row>
    <row r="4349" spans="1:40" x14ac:dyDescent="0.25">
      <c r="A4349" t="str">
        <f>"20190312154009011"</f>
        <v>20190312154009011</v>
      </c>
      <c r="B4349" t="str">
        <f>"1552376409000117"</f>
        <v>1552376409000117</v>
      </c>
      <c r="C4349" t="s">
        <v>40</v>
      </c>
      <c r="D4349">
        <v>4.1236879999999996</v>
      </c>
      <c r="E4349">
        <v>0.49731110000000001</v>
      </c>
      <c r="F4349" t="s">
        <v>61</v>
      </c>
      <c r="G4349">
        <v>-371.69940000000003</v>
      </c>
      <c r="H4349" s="1">
        <v>-6.3244949999999996E-7</v>
      </c>
      <c r="I4349">
        <v>213.74610000000001</v>
      </c>
      <c r="J4349">
        <v>-438.31450000000001</v>
      </c>
      <c r="K4349">
        <v>1.108452</v>
      </c>
      <c r="L4349">
        <v>214.89169999999999</v>
      </c>
      <c r="M4349">
        <v>0.99997930000000002</v>
      </c>
      <c r="N4349">
        <v>0</v>
      </c>
      <c r="O4349">
        <v>6.4158160000000004E-3</v>
      </c>
      <c r="P4349">
        <v>0.9997028</v>
      </c>
      <c r="Q4349">
        <v>-3.4923609999999998E-3</v>
      </c>
      <c r="R4349">
        <v>-2.4132089999999998E-2</v>
      </c>
      <c r="S4349">
        <v>2.9995419999999999</v>
      </c>
      <c r="T4349">
        <v>-4.968214E-2</v>
      </c>
      <c r="U4349">
        <v>-5.1254269999999998E-2</v>
      </c>
      <c r="V4349">
        <v>3.0545860000000001E-2</v>
      </c>
      <c r="W4349">
        <v>-2.7541589999999999E-3</v>
      </c>
      <c r="X4349">
        <v>0.99952960000000002</v>
      </c>
      <c r="Y4349">
        <v>2.34953E-2</v>
      </c>
      <c r="Z4349">
        <v>-3.0080420000000002E-4</v>
      </c>
      <c r="AA4349">
        <v>0.9997239</v>
      </c>
      <c r="AB4349">
        <v>37</v>
      </c>
      <c r="AC4349">
        <v>66.615099999999899</v>
      </c>
      <c r="AD4349">
        <v>-1.1084526324494901</v>
      </c>
      <c r="AE4349">
        <v>-1.14559999999997</v>
      </c>
      <c r="AF4349">
        <v>1.5725314257133201</v>
      </c>
      <c r="AG4349">
        <v>-1.1084526324494901</v>
      </c>
      <c r="AH4349">
        <v>66.587947691035495</v>
      </c>
      <c r="AI4349">
        <v>90.953417200953297</v>
      </c>
      <c r="AJ4349">
        <v>88.647162544731799</v>
      </c>
      <c r="AK4349">
        <v>66.615736129140799</v>
      </c>
      <c r="AL4349">
        <v>90.157801881869901</v>
      </c>
      <c r="AM4349">
        <v>88.249572271771498</v>
      </c>
      <c r="AN4349">
        <v>1.0000000281155399</v>
      </c>
    </row>
    <row r="4350" spans="1:40" x14ac:dyDescent="0.25">
      <c r="A4350" t="str">
        <f>"20190312154009034"</f>
        <v>20190312154009034</v>
      </c>
      <c r="B4350" t="str">
        <f>"1552376409030373"</f>
        <v>1552376409030373</v>
      </c>
      <c r="C4350" t="s">
        <v>40</v>
      </c>
      <c r="D4350">
        <v>4.115024</v>
      </c>
      <c r="E4350">
        <v>0.49742979999999998</v>
      </c>
      <c r="F4350" t="s">
        <v>61</v>
      </c>
      <c r="G4350">
        <v>-375.21260000000001</v>
      </c>
      <c r="H4350" s="1">
        <v>1.237124E-6</v>
      </c>
      <c r="I4350">
        <v>213.85390000000001</v>
      </c>
      <c r="J4350">
        <v>-437.94150000000002</v>
      </c>
      <c r="K4350">
        <v>1.108379</v>
      </c>
      <c r="L4350">
        <v>214.89400000000001</v>
      </c>
      <c r="M4350">
        <v>0.99997999999999998</v>
      </c>
      <c r="N4350">
        <v>0</v>
      </c>
      <c r="O4350">
        <v>6.2854869999999898E-3</v>
      </c>
      <c r="P4350">
        <v>0.99970409999999998</v>
      </c>
      <c r="Q4350">
        <v>-4.6930440000000004E-3</v>
      </c>
      <c r="R4350">
        <v>-2.3877160000000001E-2</v>
      </c>
      <c r="S4350">
        <v>2.9994809999999998</v>
      </c>
      <c r="T4350">
        <v>-5.2689079999999999E-2</v>
      </c>
      <c r="U4350">
        <v>-4.9331670000000001E-2</v>
      </c>
      <c r="V4350">
        <v>3.0160180000000002E-2</v>
      </c>
      <c r="W4350">
        <v>-3.8734759999999998E-3</v>
      </c>
      <c r="X4350">
        <v>0.99953760000000003</v>
      </c>
      <c r="Y4350">
        <v>2.2724350000000001E-2</v>
      </c>
      <c r="Z4350">
        <v>-3.0995600000000001E-4</v>
      </c>
      <c r="AA4350">
        <v>0.99974169999999996</v>
      </c>
      <c r="AB4350">
        <v>37</v>
      </c>
      <c r="AC4350">
        <v>62.728900000000003</v>
      </c>
      <c r="AD4350">
        <v>-1.1083777628759901</v>
      </c>
      <c r="AE4350">
        <v>-1.04009999999999</v>
      </c>
      <c r="AF4350">
        <v>1.43391368410769</v>
      </c>
      <c r="AG4350">
        <v>-1.1083777628759901</v>
      </c>
      <c r="AH4350">
        <v>62.701552947874198</v>
      </c>
      <c r="AI4350">
        <v>91.012449564869399</v>
      </c>
      <c r="AJ4350">
        <v>88.689938596707407</v>
      </c>
      <c r="AK4350">
        <v>62.727739890687701</v>
      </c>
      <c r="AL4350">
        <v>90.221934375822698</v>
      </c>
      <c r="AM4350">
        <v>88.271673963341797</v>
      </c>
      <c r="AN4350">
        <v>1.00000002704385</v>
      </c>
    </row>
    <row r="4351" spans="1:40" x14ac:dyDescent="0.25">
      <c r="A4351" t="str">
        <f>"20190312154009058"</f>
        <v>20190312154009058</v>
      </c>
      <c r="B4351" t="str">
        <f>"1552376409049893"</f>
        <v>1552376409049893</v>
      </c>
      <c r="C4351" t="s">
        <v>40</v>
      </c>
      <c r="D4351">
        <v>4.0895960000000002</v>
      </c>
      <c r="E4351">
        <v>0.49753550000000002</v>
      </c>
      <c r="F4351" t="s">
        <v>61</v>
      </c>
      <c r="G4351">
        <v>-378.61309999999997</v>
      </c>
      <c r="H4351" s="1">
        <v>3.0466920000000002E-6</v>
      </c>
      <c r="I4351">
        <v>213.91130000000001</v>
      </c>
      <c r="J4351">
        <v>-437.54250000000002</v>
      </c>
      <c r="K4351">
        <v>1.1083019999999999</v>
      </c>
      <c r="L4351">
        <v>214.8964</v>
      </c>
      <c r="M4351">
        <v>0.99998129999999996</v>
      </c>
      <c r="N4351">
        <v>0</v>
      </c>
      <c r="O4351">
        <v>6.0726269999999997E-3</v>
      </c>
      <c r="P4351">
        <v>0.99969839999999999</v>
      </c>
      <c r="Q4351">
        <v>-5.5101100000000004E-3</v>
      </c>
      <c r="R4351">
        <v>-2.3938480000000002E-2</v>
      </c>
      <c r="S4351">
        <v>2.9994510000000001</v>
      </c>
      <c r="T4351">
        <v>-5.6035880000000003E-2</v>
      </c>
      <c r="U4351">
        <v>-4.9682619999999997E-2</v>
      </c>
      <c r="V4351">
        <v>3.0007929999999999E-2</v>
      </c>
      <c r="W4351">
        <v>-4.6032490000000002E-3</v>
      </c>
      <c r="X4351">
        <v>0.99953910000000001</v>
      </c>
      <c r="Y4351">
        <v>2.2628120000000002E-2</v>
      </c>
      <c r="Z4351">
        <v>-3.2476919999999999E-4</v>
      </c>
      <c r="AA4351">
        <v>0.99974390000000002</v>
      </c>
      <c r="AB4351">
        <v>37</v>
      </c>
      <c r="AC4351">
        <v>58.929400000000001</v>
      </c>
      <c r="AD4351">
        <v>-1.1082989533079901</v>
      </c>
      <c r="AE4351">
        <v>-0.98509999999998799</v>
      </c>
      <c r="AF4351">
        <v>1.34246348244044</v>
      </c>
      <c r="AG4351">
        <v>-1.1082989533079901</v>
      </c>
      <c r="AH4351">
        <v>58.901502930501302</v>
      </c>
      <c r="AI4351">
        <v>91.077678428808596</v>
      </c>
      <c r="AJ4351">
        <v>88.694359676841202</v>
      </c>
      <c r="AK4351">
        <v>58.927222760312098</v>
      </c>
      <c r="AL4351">
        <v>90.263747660906205</v>
      </c>
      <c r="AM4351">
        <v>88.280395961501</v>
      </c>
      <c r="AN4351">
        <v>1.00000003909652</v>
      </c>
    </row>
    <row r="4352" spans="1:40" x14ac:dyDescent="0.25">
      <c r="A4352" t="str">
        <f>"20190312154009080"</f>
        <v>20190312154009080</v>
      </c>
      <c r="B4352" t="str">
        <f>"1552376409070389"</f>
        <v>1552376409070389</v>
      </c>
      <c r="C4352" t="s">
        <v>40</v>
      </c>
      <c r="D4352">
        <v>4.1046250000000004</v>
      </c>
      <c r="E4352">
        <v>0.49758849999999999</v>
      </c>
      <c r="F4352" t="s">
        <v>61</v>
      </c>
      <c r="G4352">
        <v>-380.32679999999999</v>
      </c>
      <c r="H4352" s="1">
        <v>-1.3330270000000001E-6</v>
      </c>
      <c r="I4352">
        <v>213.9332</v>
      </c>
      <c r="J4352">
        <v>-437.1678</v>
      </c>
      <c r="K4352">
        <v>1.1082459999999901</v>
      </c>
      <c r="L4352">
        <v>214.89850000000001</v>
      </c>
      <c r="M4352">
        <v>0.99998260000000005</v>
      </c>
      <c r="N4352">
        <v>0</v>
      </c>
      <c r="O4352">
        <v>5.8139209999999997E-3</v>
      </c>
      <c r="P4352">
        <v>0.99967010000000001</v>
      </c>
      <c r="Q4352">
        <v>-4.5465879999999998E-3</v>
      </c>
      <c r="R4352">
        <v>-2.5272759999999998E-2</v>
      </c>
      <c r="S4352">
        <v>2.9993590000000001</v>
      </c>
      <c r="T4352">
        <v>-5.8099390000000001E-2</v>
      </c>
      <c r="U4352">
        <v>-5.0491330000000001E-2</v>
      </c>
      <c r="V4352">
        <v>3.1083220000000002E-2</v>
      </c>
      <c r="W4352">
        <v>-3.5595430000000001E-3</v>
      </c>
      <c r="X4352">
        <v>0.99951049999999997</v>
      </c>
      <c r="Y4352">
        <v>2.2639139999999999E-2</v>
      </c>
      <c r="Z4352">
        <v>-3.3183239999999998E-4</v>
      </c>
      <c r="AA4352">
        <v>0.99974359999999995</v>
      </c>
      <c r="AB4352">
        <v>38</v>
      </c>
      <c r="AC4352">
        <v>56.841000000000001</v>
      </c>
      <c r="AD4352">
        <v>-1.10824733302699</v>
      </c>
      <c r="AE4352">
        <v>-0.96530000000001304</v>
      </c>
      <c r="AF4352">
        <v>1.29526068824667</v>
      </c>
      <c r="AG4352">
        <v>-1.10824733302699</v>
      </c>
      <c r="AH4352">
        <v>56.812836226705301</v>
      </c>
      <c r="AI4352">
        <v>91.117236120042193</v>
      </c>
      <c r="AJ4352">
        <v>88.693955071636196</v>
      </c>
      <c r="AK4352">
        <v>56.838404908337402</v>
      </c>
      <c r="AL4352">
        <v>90.203947213773901</v>
      </c>
      <c r="AM4352">
        <v>88.218764555284594</v>
      </c>
      <c r="AN4352">
        <v>1.0000000382610901</v>
      </c>
    </row>
    <row r="4353" spans="1:40" x14ac:dyDescent="0.25">
      <c r="A4353" t="str">
        <f>"20190312154009102"</f>
        <v>20190312154009102</v>
      </c>
      <c r="B4353" t="str">
        <f>"1552376409089908"</f>
        <v>1552376409089908</v>
      </c>
      <c r="C4353" t="s">
        <v>40</v>
      </c>
      <c r="D4353">
        <v>4.1011499999999996</v>
      </c>
      <c r="E4353">
        <v>0.49760779999999899</v>
      </c>
      <c r="F4353" t="s">
        <v>61</v>
      </c>
      <c r="G4353">
        <v>-376.33229999999998</v>
      </c>
      <c r="H4353" s="1">
        <v>1.832967E-6</v>
      </c>
      <c r="I4353">
        <v>213.78489999999999</v>
      </c>
      <c r="J4353">
        <v>-436.7842</v>
      </c>
      <c r="K4353">
        <v>1.1081970000000001</v>
      </c>
      <c r="L4353">
        <v>214.90049999999999</v>
      </c>
      <c r="M4353">
        <v>0.99998419999999999</v>
      </c>
      <c r="N4353">
        <v>0</v>
      </c>
      <c r="O4353">
        <v>5.5122330000000001E-3</v>
      </c>
      <c r="P4353">
        <v>0.99963800000000003</v>
      </c>
      <c r="Q4353">
        <v>-2.3997580000000001E-3</v>
      </c>
      <c r="R4353">
        <v>-2.6793620000000001E-2</v>
      </c>
      <c r="S4353">
        <v>2.9993590000000001</v>
      </c>
      <c r="T4353">
        <v>-5.463958E-2</v>
      </c>
      <c r="U4353">
        <v>-5.4901119999999998E-2</v>
      </c>
      <c r="V4353">
        <v>3.2302820000000003E-2</v>
      </c>
      <c r="W4353">
        <v>-1.332815E-3</v>
      </c>
      <c r="X4353">
        <v>0.99947730000000001</v>
      </c>
      <c r="Y4353">
        <v>2.3807390000000001E-2</v>
      </c>
      <c r="Z4353">
        <v>-3.1721549999999999E-4</v>
      </c>
      <c r="AA4353">
        <v>0.99971650000000001</v>
      </c>
      <c r="AB4353">
        <v>38</v>
      </c>
      <c r="AC4353">
        <v>60.451900000000002</v>
      </c>
      <c r="AD4353">
        <v>-1.1081951670329999</v>
      </c>
      <c r="AE4353">
        <v>-1.1155999999999999</v>
      </c>
      <c r="AF4353">
        <v>1.4483216592566801</v>
      </c>
      <c r="AG4353">
        <v>-1.1081951670329999</v>
      </c>
      <c r="AH4353">
        <v>60.424532976593802</v>
      </c>
      <c r="AI4353">
        <v>91.050393932599903</v>
      </c>
      <c r="AJ4353">
        <v>88.626934654516404</v>
      </c>
      <c r="AK4353">
        <v>60.452046430177802</v>
      </c>
      <c r="AL4353">
        <v>90.076364692330401</v>
      </c>
      <c r="AM4353">
        <v>88.148861185369995</v>
      </c>
      <c r="AN4353">
        <v>1.00000006089553</v>
      </c>
    </row>
    <row r="4354" spans="1:40" x14ac:dyDescent="0.25">
      <c r="A4354" t="str">
        <f>"20190312154009125"</f>
        <v>20190312154009125</v>
      </c>
      <c r="B4354" t="str">
        <f>"1552376409120165"</f>
        <v>1552376409120165</v>
      </c>
      <c r="C4354" t="s">
        <v>40</v>
      </c>
      <c r="D4354">
        <v>4.1086280000000004</v>
      </c>
      <c r="E4354">
        <v>0.49776720000000002</v>
      </c>
      <c r="F4354" t="s">
        <v>61</v>
      </c>
      <c r="G4354">
        <v>-364.40859999999998</v>
      </c>
      <c r="H4354" s="1">
        <v>8.0924369999999898E-7</v>
      </c>
      <c r="I4354">
        <v>213.46010000000001</v>
      </c>
      <c r="J4354">
        <v>-436.40039999999999</v>
      </c>
      <c r="K4354">
        <v>1.1081570000000001</v>
      </c>
      <c r="L4354">
        <v>214.9024</v>
      </c>
      <c r="M4354">
        <v>0.99998600000000004</v>
      </c>
      <c r="N4354">
        <v>0</v>
      </c>
      <c r="O4354">
        <v>5.185037E-3</v>
      </c>
      <c r="P4354">
        <v>0.9995773</v>
      </c>
      <c r="Q4354">
        <v>-9.4125790000000001E-4</v>
      </c>
      <c r="R4354">
        <v>-2.9061739999999999E-2</v>
      </c>
      <c r="S4354">
        <v>2.9993590000000001</v>
      </c>
      <c r="T4354">
        <v>-4.5925380000000002E-2</v>
      </c>
      <c r="U4354">
        <v>-5.9692380000000003E-2</v>
      </c>
      <c r="V4354">
        <v>3.4244280000000002E-2</v>
      </c>
      <c r="W4354">
        <v>2.024811E-4</v>
      </c>
      <c r="X4354">
        <v>0.99941349999999995</v>
      </c>
      <c r="Y4354">
        <v>2.507798E-2</v>
      </c>
      <c r="Z4354">
        <v>-2.713436E-4</v>
      </c>
      <c r="AA4354">
        <v>0.9996855</v>
      </c>
      <c r="AB4354">
        <v>38</v>
      </c>
      <c r="AC4354">
        <v>71.991799999999998</v>
      </c>
      <c r="AD4354">
        <v>-1.1081561907563</v>
      </c>
      <c r="AE4354">
        <v>-1.4422999999999799</v>
      </c>
      <c r="AF4354">
        <v>1.81513106471532</v>
      </c>
      <c r="AG4354">
        <v>-1.1081561907563</v>
      </c>
      <c r="AH4354">
        <v>71.966309115621399</v>
      </c>
      <c r="AI4354">
        <v>90.881905368849701</v>
      </c>
      <c r="AJ4354">
        <v>88.555194701482705</v>
      </c>
      <c r="AK4354">
        <v>71.997724676897704</v>
      </c>
      <c r="AL4354">
        <v>89.988398687782606</v>
      </c>
      <c r="AM4354">
        <v>88.037563621833002</v>
      </c>
      <c r="AN4354">
        <v>1.00000002784678</v>
      </c>
    </row>
    <row r="4355" spans="1:40" x14ac:dyDescent="0.25">
      <c r="A4355" t="str">
        <f>"20190312154009148"</f>
        <v>20190312154009148</v>
      </c>
      <c r="B4355" t="str">
        <f>"1552376409140660"</f>
        <v>1552376409140660</v>
      </c>
      <c r="C4355" t="s">
        <v>40</v>
      </c>
      <c r="D4355">
        <v>4.0845900000000004</v>
      </c>
      <c r="E4355">
        <v>0.49784339999999999</v>
      </c>
      <c r="F4355" t="s">
        <v>61</v>
      </c>
      <c r="G4355">
        <v>-350.18270000000001</v>
      </c>
      <c r="H4355" s="1">
        <v>-1.366947E-6</v>
      </c>
      <c r="I4355">
        <v>212.95529999999999</v>
      </c>
      <c r="J4355">
        <v>-436.00189999999998</v>
      </c>
      <c r="K4355">
        <v>1.1081110000000001</v>
      </c>
      <c r="L4355">
        <v>214.9042</v>
      </c>
      <c r="M4355">
        <v>0.99998759999999998</v>
      </c>
      <c r="N4355">
        <v>0</v>
      </c>
      <c r="O4355">
        <v>4.8282179999999996E-3</v>
      </c>
      <c r="P4355">
        <v>0.99949429999999995</v>
      </c>
      <c r="Q4355">
        <v>-8.9488920000000002E-4</v>
      </c>
      <c r="R4355">
        <v>-3.1788539999999997E-2</v>
      </c>
      <c r="S4355">
        <v>2.9992679999999998</v>
      </c>
      <c r="T4355">
        <v>-3.8549659999999999E-2</v>
      </c>
      <c r="U4355">
        <v>-6.7733760000000004E-2</v>
      </c>
      <c r="V4355">
        <v>3.6614149999999998E-2</v>
      </c>
      <c r="W4355">
        <v>3.2550480000000001E-4</v>
      </c>
      <c r="X4355">
        <v>0.99932940000000003</v>
      </c>
      <c r="Y4355">
        <v>2.7401749999999999E-2</v>
      </c>
      <c r="Z4355">
        <v>-2.3811540000000001E-4</v>
      </c>
      <c r="AA4355">
        <v>0.99962450000000003</v>
      </c>
      <c r="AB4355">
        <v>38</v>
      </c>
      <c r="AC4355">
        <v>85.819199999999896</v>
      </c>
      <c r="AD4355">
        <v>-1.1081123669470001</v>
      </c>
      <c r="AE4355">
        <v>-1.9489000000000001</v>
      </c>
      <c r="AF4355">
        <v>2.3628376590607698</v>
      </c>
      <c r="AG4355">
        <v>-1.1081123669470001</v>
      </c>
      <c r="AH4355">
        <v>85.794493329857204</v>
      </c>
      <c r="AI4355">
        <v>90.739704480862997</v>
      </c>
      <c r="AJ4355">
        <v>88.422434731611105</v>
      </c>
      <c r="AK4355">
        <v>85.834177345319503</v>
      </c>
      <c r="AL4355">
        <v>89.981349947968397</v>
      </c>
      <c r="AM4355">
        <v>87.901694564431196</v>
      </c>
      <c r="AN4355">
        <v>0.99999997581897804</v>
      </c>
    </row>
    <row r="4356" spans="1:40" x14ac:dyDescent="0.25">
      <c r="A4356" t="str">
        <f>"20190312154009168"</f>
        <v>20190312154009168</v>
      </c>
      <c r="B4356" t="str">
        <f>"1552376409160181"</f>
        <v>1552376409160181</v>
      </c>
      <c r="C4356" t="s">
        <v>40</v>
      </c>
      <c r="D4356">
        <v>4.0877840000000001</v>
      </c>
      <c r="E4356">
        <v>0.4979056</v>
      </c>
      <c r="F4356" t="s">
        <v>61</v>
      </c>
      <c r="G4356">
        <v>-347.2722</v>
      </c>
      <c r="H4356" s="1">
        <v>2.3331460000000002E-6</v>
      </c>
      <c r="I4356">
        <v>212.64429999999999</v>
      </c>
      <c r="J4356">
        <v>-435.64600000000002</v>
      </c>
      <c r="K4356">
        <v>1.1080760000000001</v>
      </c>
      <c r="L4356">
        <v>214.90559999999999</v>
      </c>
      <c r="M4356">
        <v>0.99998900000000002</v>
      </c>
      <c r="N4356">
        <v>0</v>
      </c>
      <c r="O4356">
        <v>4.501639E-3</v>
      </c>
      <c r="P4356">
        <v>0.99942419999999998</v>
      </c>
      <c r="Q4356">
        <v>-2.0516380000000002E-3</v>
      </c>
      <c r="R4356">
        <v>-3.386753E-2</v>
      </c>
      <c r="S4356">
        <v>2.9990839999999999</v>
      </c>
      <c r="T4356">
        <v>-3.7454370000000001E-2</v>
      </c>
      <c r="U4356">
        <v>-7.6385499999999995E-2</v>
      </c>
      <c r="V4356">
        <v>3.8365789999999997E-2</v>
      </c>
      <c r="W4356">
        <v>-7.65554E-4</v>
      </c>
      <c r="X4356">
        <v>0.99926349999999997</v>
      </c>
      <c r="Y4356">
        <v>2.995859E-2</v>
      </c>
      <c r="Z4356">
        <v>-2.432414E-4</v>
      </c>
      <c r="AA4356">
        <v>0.99955110000000003</v>
      </c>
      <c r="AB4356">
        <v>38</v>
      </c>
      <c r="AC4356">
        <v>88.373799999999903</v>
      </c>
      <c r="AD4356">
        <v>-1.1080736668539899</v>
      </c>
      <c r="AE4356">
        <v>-2.2612999999999999</v>
      </c>
      <c r="AF4356">
        <v>2.6586866689944402</v>
      </c>
      <c r="AG4356">
        <v>-1.1080736668539899</v>
      </c>
      <c r="AH4356">
        <v>88.348844437362004</v>
      </c>
      <c r="AI4356">
        <v>90.7182424764177</v>
      </c>
      <c r="AJ4356">
        <v>88.276315126502993</v>
      </c>
      <c r="AK4356">
        <v>88.395784715518303</v>
      </c>
      <c r="AL4356">
        <v>90.0438630161064</v>
      </c>
      <c r="AM4356">
        <v>87.801261954790107</v>
      </c>
      <c r="AN4356">
        <v>1.00000003117375</v>
      </c>
    </row>
    <row r="4357" spans="1:40" x14ac:dyDescent="0.25">
      <c r="A4357" t="str">
        <f>"20190312154009191"</f>
        <v>20190312154009191</v>
      </c>
      <c r="B4357" t="str">
        <f>"1552376409180680"</f>
        <v>1552376409180680</v>
      </c>
      <c r="C4357" t="s">
        <v>40</v>
      </c>
      <c r="D4357">
        <v>4.0584899999999999</v>
      </c>
      <c r="E4357">
        <v>0.49799789999999999</v>
      </c>
      <c r="F4357" t="s">
        <v>61</v>
      </c>
      <c r="G4357">
        <v>-354.24439999999998</v>
      </c>
      <c r="H4357" s="1">
        <v>8.0805230000000002E-7</v>
      </c>
      <c r="I4357">
        <v>212.64449999999999</v>
      </c>
      <c r="J4357">
        <v>-435.24900000000002</v>
      </c>
      <c r="K4357">
        <v>1.1080369999999999</v>
      </c>
      <c r="L4357">
        <v>214.90719999999999</v>
      </c>
      <c r="M4357">
        <v>0.9999905</v>
      </c>
      <c r="N4357">
        <v>0</v>
      </c>
      <c r="O4357">
        <v>4.1329110000000004E-3</v>
      </c>
      <c r="P4357">
        <v>0.99934719999999999</v>
      </c>
      <c r="Q4357">
        <v>-3.0270800000000001E-3</v>
      </c>
      <c r="R4357">
        <v>-3.6002060000000002E-2</v>
      </c>
      <c r="S4357">
        <v>2.9987789999999999</v>
      </c>
      <c r="T4357">
        <v>-4.0820719999999998E-2</v>
      </c>
      <c r="U4357">
        <v>-8.329773E-2</v>
      </c>
      <c r="V4357">
        <v>4.013063E-2</v>
      </c>
      <c r="W4357">
        <v>-1.670204E-3</v>
      </c>
      <c r="X4357">
        <v>0.99919309999999995</v>
      </c>
      <c r="Y4357">
        <v>3.1894260000000001E-2</v>
      </c>
      <c r="Z4357">
        <v>-2.7327379999999999E-4</v>
      </c>
      <c r="AA4357">
        <v>0.99949120000000002</v>
      </c>
      <c r="AB4357">
        <v>39</v>
      </c>
      <c r="AC4357">
        <v>81.004599999999996</v>
      </c>
      <c r="AD4357">
        <v>-1.1080361919477</v>
      </c>
      <c r="AE4357">
        <v>-2.2626999999999899</v>
      </c>
      <c r="AF4357">
        <v>2.59698026629068</v>
      </c>
      <c r="AG4357">
        <v>-1.1080361919477</v>
      </c>
      <c r="AH4357">
        <v>80.979416680959503</v>
      </c>
      <c r="AI4357">
        <v>90.783522817439007</v>
      </c>
      <c r="AJ4357">
        <v>88.163174841594994</v>
      </c>
      <c r="AK4357">
        <v>81.028624428004605</v>
      </c>
      <c r="AL4357">
        <v>90.095695679443693</v>
      </c>
      <c r="AM4357">
        <v>87.700063576671198</v>
      </c>
      <c r="AN4357">
        <v>1.0000000540666001</v>
      </c>
    </row>
    <row r="4358" spans="1:40" x14ac:dyDescent="0.25">
      <c r="A4358" t="str">
        <f>"20190312154009212"</f>
        <v>20190312154009212</v>
      </c>
      <c r="B4358" t="str">
        <f>"1552376409200197"</f>
        <v>1552376409200197</v>
      </c>
      <c r="C4358" t="s">
        <v>40</v>
      </c>
      <c r="D4358">
        <v>4.1109450000000001</v>
      </c>
      <c r="E4358">
        <v>0.49795669999999997</v>
      </c>
      <c r="F4358" t="s">
        <v>61</v>
      </c>
      <c r="G4358">
        <v>-358.1696</v>
      </c>
      <c r="H4358" s="1">
        <v>2.899695E-6</v>
      </c>
      <c r="I4358">
        <v>212.58009999999999</v>
      </c>
      <c r="J4358">
        <v>-434.87279999999998</v>
      </c>
      <c r="K4358">
        <v>1.1080080000000001</v>
      </c>
      <c r="L4358">
        <v>214.9085</v>
      </c>
      <c r="M4358">
        <v>0.99999179999999999</v>
      </c>
      <c r="N4358">
        <v>0</v>
      </c>
      <c r="O4358">
        <v>3.7829700000000001E-3</v>
      </c>
      <c r="P4358">
        <v>0.99929310000000005</v>
      </c>
      <c r="Q4358">
        <v>-3.5855879999999998E-3</v>
      </c>
      <c r="R4358">
        <v>-3.7423249999999998E-2</v>
      </c>
      <c r="S4358">
        <v>2.9985659999999998</v>
      </c>
      <c r="T4358">
        <v>-4.3105129999999998E-2</v>
      </c>
      <c r="U4358">
        <v>-9.0530399999999997E-2</v>
      </c>
      <c r="V4358">
        <v>4.1201509999999997E-2</v>
      </c>
      <c r="W4358">
        <v>-2.1638970000000001E-3</v>
      </c>
      <c r="X4358">
        <v>0.99914849999999999</v>
      </c>
      <c r="Y4358">
        <v>3.395463E-2</v>
      </c>
      <c r="Z4358">
        <v>-2.9835160000000002E-4</v>
      </c>
      <c r="AA4358">
        <v>0.99942330000000001</v>
      </c>
      <c r="AB4358">
        <v>39</v>
      </c>
      <c r="AC4358">
        <v>76.703199999999896</v>
      </c>
      <c r="AD4358">
        <v>-1.108005100305</v>
      </c>
      <c r="AE4358">
        <v>-2.32840000000001</v>
      </c>
      <c r="AF4358">
        <v>2.6180037552436399</v>
      </c>
      <c r="AG4358">
        <v>-1.108005100305</v>
      </c>
      <c r="AH4358">
        <v>76.677857365362598</v>
      </c>
      <c r="AI4358">
        <v>90.827391860425806</v>
      </c>
      <c r="AJ4358">
        <v>88.044516047528106</v>
      </c>
      <c r="AK4358">
        <v>76.730537787165702</v>
      </c>
      <c r="AL4358">
        <v>90.1239822638981</v>
      </c>
      <c r="AM4358">
        <v>87.638653392982107</v>
      </c>
      <c r="AN4358">
        <v>0.999999985964378</v>
      </c>
    </row>
    <row r="4359" spans="1:40" x14ac:dyDescent="0.25">
      <c r="A4359" t="str">
        <f>"20190312154009246"</f>
        <v>20190312154009246</v>
      </c>
      <c r="B4359" t="str">
        <f>"1552376409240212"</f>
        <v>1552376409240212</v>
      </c>
      <c r="C4359" t="s">
        <v>40</v>
      </c>
      <c r="D4359">
        <v>4.1373009999999999</v>
      </c>
      <c r="E4359">
        <v>0.49779370000000001</v>
      </c>
      <c r="F4359" t="s">
        <v>61</v>
      </c>
      <c r="G4359">
        <v>-360.35160000000002</v>
      </c>
      <c r="H4359" s="1">
        <v>-1.3496749999999999E-6</v>
      </c>
      <c r="I4359">
        <v>212.56100000000001</v>
      </c>
      <c r="J4359">
        <v>-434.2989</v>
      </c>
      <c r="K4359">
        <v>1.10797099999999</v>
      </c>
      <c r="L4359">
        <v>214.9102</v>
      </c>
      <c r="M4359">
        <v>0.99999349999999998</v>
      </c>
      <c r="N4359">
        <v>0</v>
      </c>
      <c r="O4359">
        <v>3.2545809999999999E-3</v>
      </c>
      <c r="P4359">
        <v>0.99937799999999999</v>
      </c>
      <c r="Q4359">
        <v>-4.2323079999999997E-3</v>
      </c>
      <c r="R4359">
        <v>-3.5012550000000003E-2</v>
      </c>
      <c r="S4359">
        <v>2.9984130000000002</v>
      </c>
      <c r="T4359">
        <v>-4.4581530000000001E-2</v>
      </c>
      <c r="U4359">
        <v>-9.4451900000000005E-2</v>
      </c>
      <c r="V4359">
        <v>3.8262669999999999E-2</v>
      </c>
      <c r="W4359">
        <v>-2.7122409999999998E-3</v>
      </c>
      <c r="X4359">
        <v>0.99926409999999999</v>
      </c>
      <c r="Y4359">
        <v>3.4733630000000001E-2</v>
      </c>
      <c r="Z4359">
        <v>-3.065144E-4</v>
      </c>
      <c r="AA4359">
        <v>0.99939659999999997</v>
      </c>
      <c r="AB4359">
        <v>39</v>
      </c>
      <c r="AC4359">
        <v>73.947299999999899</v>
      </c>
      <c r="AD4359">
        <v>-1.10797234967499</v>
      </c>
      <c r="AE4359">
        <v>-2.3492000000000202</v>
      </c>
      <c r="AF4359">
        <v>2.5892746236523099</v>
      </c>
      <c r="AG4359">
        <v>-1.10797234967499</v>
      </c>
      <c r="AH4359">
        <v>73.922683900829597</v>
      </c>
      <c r="AI4359">
        <v>90.858173502364906</v>
      </c>
      <c r="AJ4359">
        <v>87.993932662398706</v>
      </c>
      <c r="AK4359">
        <v>73.976314729150303</v>
      </c>
      <c r="AL4359">
        <v>90.155400142770901</v>
      </c>
      <c r="AM4359">
        <v>87.807167285893598</v>
      </c>
      <c r="AN4359">
        <v>1.00000006485778</v>
      </c>
    </row>
    <row r="4360" spans="1:40" x14ac:dyDescent="0.25">
      <c r="A4360" t="str">
        <f>"20190312154009268"</f>
        <v>20190312154009268</v>
      </c>
      <c r="B4360" t="str">
        <f>"1552376409260417"</f>
        <v>1552376409260417</v>
      </c>
      <c r="C4360" t="s">
        <v>40</v>
      </c>
      <c r="D4360">
        <v>4.1539460000000004</v>
      </c>
      <c r="E4360">
        <v>0.49775409999999998</v>
      </c>
      <c r="F4360" t="s">
        <v>61</v>
      </c>
      <c r="G4360">
        <v>-363.21730000000002</v>
      </c>
      <c r="H4360" s="1">
        <v>1.7531779999999899E-7</v>
      </c>
      <c r="I4360">
        <v>212.87379999999999</v>
      </c>
      <c r="J4360">
        <v>-433.88830000000002</v>
      </c>
      <c r="K4360">
        <v>1.1079479999999999</v>
      </c>
      <c r="L4360">
        <v>214.91130000000001</v>
      </c>
      <c r="M4360">
        <v>0.99999459999999996</v>
      </c>
      <c r="N4360">
        <v>0</v>
      </c>
      <c r="O4360">
        <v>2.8797319999999999E-3</v>
      </c>
      <c r="P4360">
        <v>0.99946389999999996</v>
      </c>
      <c r="Q4360">
        <v>-5.3094789999999998E-3</v>
      </c>
      <c r="R4360">
        <v>-3.2309070000000002E-2</v>
      </c>
      <c r="S4360">
        <v>2.9986269999999999</v>
      </c>
      <c r="T4360">
        <v>-4.6740530000000002E-2</v>
      </c>
      <c r="U4360">
        <v>-8.5906979999999994E-2</v>
      </c>
      <c r="V4360">
        <v>3.5183939999999997E-2</v>
      </c>
      <c r="W4360">
        <v>-3.720934E-3</v>
      </c>
      <c r="X4360">
        <v>0.99937390000000004</v>
      </c>
      <c r="Y4360">
        <v>3.1511289999999997E-2</v>
      </c>
      <c r="Z4360">
        <v>-2.903987E-4</v>
      </c>
      <c r="AA4360">
        <v>0.99950340000000004</v>
      </c>
      <c r="AB4360">
        <v>39</v>
      </c>
      <c r="AC4360">
        <v>70.670999999999907</v>
      </c>
      <c r="AD4360">
        <v>-1.1079478246822001</v>
      </c>
      <c r="AE4360">
        <v>-2.0375000000000201</v>
      </c>
      <c r="AF4360">
        <v>2.2404551330062401</v>
      </c>
      <c r="AG4360">
        <v>-1.1079478246822001</v>
      </c>
      <c r="AH4360">
        <v>70.6474898023652</v>
      </c>
      <c r="AI4360">
        <v>90.898031065379996</v>
      </c>
      <c r="AJ4360">
        <v>88.183578565515504</v>
      </c>
      <c r="AK4360">
        <v>70.691689772989093</v>
      </c>
      <c r="AL4360">
        <v>90.213194311658199</v>
      </c>
      <c r="AM4360">
        <v>87.983678566673106</v>
      </c>
      <c r="AN4360">
        <v>0.99999997349248204</v>
      </c>
    </row>
    <row r="4361" spans="1:40" x14ac:dyDescent="0.25">
      <c r="A4361" t="str">
        <f>"20190312154009290"</f>
        <v>20190312154009290</v>
      </c>
      <c r="B4361" t="str">
        <f>"1552376409279940"</f>
        <v>1552376409279940</v>
      </c>
      <c r="C4361" t="s">
        <v>40</v>
      </c>
      <c r="D4361">
        <v>4.1469170000000002</v>
      </c>
      <c r="E4361">
        <v>0.49775540000000001</v>
      </c>
      <c r="F4361" t="s">
        <v>61</v>
      </c>
      <c r="G4361">
        <v>-367.3365</v>
      </c>
      <c r="H4361" s="1">
        <v>2.3673059999999999E-6</v>
      </c>
      <c r="I4361">
        <v>213.19110000000001</v>
      </c>
      <c r="J4361">
        <v>-433.49459999999999</v>
      </c>
      <c r="K4361">
        <v>1.107931</v>
      </c>
      <c r="L4361">
        <v>214.91220000000001</v>
      </c>
      <c r="M4361">
        <v>0.99999550000000004</v>
      </c>
      <c r="N4361">
        <v>0</v>
      </c>
      <c r="O4361">
        <v>2.5235489999999999E-3</v>
      </c>
      <c r="P4361">
        <v>0.99954089999999995</v>
      </c>
      <c r="Q4361">
        <v>-5.5774120000000003E-3</v>
      </c>
      <c r="R4361">
        <v>-2.9779880000000002E-2</v>
      </c>
      <c r="S4361">
        <v>2.99884</v>
      </c>
      <c r="T4361">
        <v>-4.9924250000000003E-2</v>
      </c>
      <c r="U4361">
        <v>-7.7514650000000004E-2</v>
      </c>
      <c r="V4361">
        <v>3.2298590000000002E-2</v>
      </c>
      <c r="W4361">
        <v>-3.9248570000000003E-3</v>
      </c>
      <c r="X4361">
        <v>0.99947050000000004</v>
      </c>
      <c r="Y4361">
        <v>2.835793E-2</v>
      </c>
      <c r="Z4361">
        <v>-2.7799569999999998E-4</v>
      </c>
      <c r="AA4361">
        <v>0.99959779999999998</v>
      </c>
      <c r="AB4361">
        <v>39</v>
      </c>
      <c r="AC4361">
        <v>66.158099999999905</v>
      </c>
      <c r="AD4361">
        <v>-1.1079286326940001</v>
      </c>
      <c r="AE4361">
        <v>-1.7211000000000001</v>
      </c>
      <c r="AF4361">
        <v>1.8875189473090701</v>
      </c>
      <c r="AG4361">
        <v>-1.1079286326940001</v>
      </c>
      <c r="AH4361">
        <v>66.135010947426593</v>
      </c>
      <c r="AI4361">
        <v>90.959368805210701</v>
      </c>
      <c r="AJ4361">
        <v>88.365199938569006</v>
      </c>
      <c r="AK4361">
        <v>66.171216602446094</v>
      </c>
      <c r="AL4361">
        <v>90.224878331718102</v>
      </c>
      <c r="AM4361">
        <v>88.149090836263596</v>
      </c>
      <c r="AN4361">
        <v>0.99999994189435204</v>
      </c>
    </row>
    <row r="4362" spans="1:40" x14ac:dyDescent="0.25">
      <c r="A4362" t="str">
        <f>"20190312154009314"</f>
        <v>20190312154009314</v>
      </c>
      <c r="B4362" t="str">
        <f>"1552376409300433"</f>
        <v>1552376409300433</v>
      </c>
      <c r="C4362" t="s">
        <v>40</v>
      </c>
      <c r="D4362">
        <v>4.1581580000000002</v>
      </c>
      <c r="E4362">
        <v>0.49771510000000002</v>
      </c>
      <c r="F4362" t="s">
        <v>61</v>
      </c>
      <c r="G4362">
        <v>-367.95080000000002</v>
      </c>
      <c r="H4362" s="1">
        <v>2.69423E-6</v>
      </c>
      <c r="I4362">
        <v>213.38589999999999</v>
      </c>
      <c r="J4362">
        <v>-433.08390000000003</v>
      </c>
      <c r="K4362">
        <v>1.1079209999999999</v>
      </c>
      <c r="L4362">
        <v>214.91300000000001</v>
      </c>
      <c r="M4362">
        <v>0.9999962</v>
      </c>
      <c r="N4362">
        <v>0</v>
      </c>
      <c r="O4362">
        <v>2.156701E-3</v>
      </c>
      <c r="P4362">
        <v>0.99958570000000002</v>
      </c>
      <c r="Q4362">
        <v>-5.3761859999999998E-3</v>
      </c>
      <c r="R4362">
        <v>-2.8277630000000002E-2</v>
      </c>
      <c r="S4362">
        <v>2.9990230000000002</v>
      </c>
      <c r="T4362">
        <v>-5.0694349999999999E-2</v>
      </c>
      <c r="U4362">
        <v>-6.9839479999999995E-2</v>
      </c>
      <c r="V4362">
        <v>3.043005E-2</v>
      </c>
      <c r="W4362">
        <v>-3.6595519999999999E-3</v>
      </c>
      <c r="X4362">
        <v>0.99953020000000004</v>
      </c>
      <c r="Y4362">
        <v>2.5433219999999999E-2</v>
      </c>
      <c r="Z4362">
        <v>-2.5136100000000002E-4</v>
      </c>
      <c r="AA4362">
        <v>0.99967649999999997</v>
      </c>
      <c r="AB4362">
        <v>40</v>
      </c>
      <c r="AC4362">
        <v>65.133099999999999</v>
      </c>
      <c r="AD4362">
        <v>-1.1079183057699999</v>
      </c>
      <c r="AE4362">
        <v>-1.5270999999999899</v>
      </c>
      <c r="AF4362">
        <v>1.66708718356012</v>
      </c>
      <c r="AG4362">
        <v>-1.1079183057699999</v>
      </c>
      <c r="AH4362">
        <v>65.1108260498238</v>
      </c>
      <c r="AI4362">
        <v>90.974524982819602</v>
      </c>
      <c r="AJ4362">
        <v>88.533328458303203</v>
      </c>
      <c r="AK4362">
        <v>65.141586805513597</v>
      </c>
      <c r="AL4362">
        <v>90.209677352419106</v>
      </c>
      <c r="AM4362">
        <v>88.2562056941848</v>
      </c>
      <c r="AN4362">
        <v>1.0000000004879399</v>
      </c>
    </row>
    <row r="4363" spans="1:40" x14ac:dyDescent="0.25">
      <c r="A4363" t="str">
        <f>"20190312154009336"</f>
        <v>20190312154009336</v>
      </c>
      <c r="B4363" t="str">
        <f>"1552376409330690"</f>
        <v>1552376409330690</v>
      </c>
      <c r="C4363" t="s">
        <v>40</v>
      </c>
      <c r="D4363">
        <v>4.153041</v>
      </c>
      <c r="E4363">
        <v>0.4977742</v>
      </c>
      <c r="F4363" t="s">
        <v>61</v>
      </c>
      <c r="G4363">
        <v>-367.00920000000002</v>
      </c>
      <c r="H4363" s="1">
        <v>2.1931330000000001E-6</v>
      </c>
      <c r="I4363">
        <v>213.48089999999999</v>
      </c>
      <c r="J4363">
        <v>-432.6773</v>
      </c>
      <c r="K4363">
        <v>1.1079139999999901</v>
      </c>
      <c r="L4363">
        <v>214.9136</v>
      </c>
      <c r="M4363">
        <v>0.99999680000000002</v>
      </c>
      <c r="N4363">
        <v>0</v>
      </c>
      <c r="O4363">
        <v>1.79939799999999E-3</v>
      </c>
      <c r="P4363">
        <v>0.99958990000000003</v>
      </c>
      <c r="Q4363">
        <v>-5.4463539999999996E-3</v>
      </c>
      <c r="R4363">
        <v>-2.8115330000000001E-2</v>
      </c>
      <c r="S4363">
        <v>2.9991759999999998</v>
      </c>
      <c r="T4363">
        <v>-5.0289149999999998E-2</v>
      </c>
      <c r="U4363">
        <v>-6.5002439999999995E-2</v>
      </c>
      <c r="V4363">
        <v>2.9910510000000001E-2</v>
      </c>
      <c r="W4363">
        <v>-3.6693339999999998E-3</v>
      </c>
      <c r="X4363">
        <v>0.99954589999999999</v>
      </c>
      <c r="Y4363">
        <v>2.346374E-2</v>
      </c>
      <c r="Z4363">
        <v>-2.2684530000000001E-4</v>
      </c>
      <c r="AA4363">
        <v>0.99972470000000002</v>
      </c>
      <c r="AB4363">
        <v>40</v>
      </c>
      <c r="AC4363">
        <v>65.668099999999896</v>
      </c>
      <c r="AD4363">
        <v>-1.10791180686699</v>
      </c>
      <c r="AE4363">
        <v>-1.4327000000000101</v>
      </c>
      <c r="AF4363">
        <v>1.5504198080301099</v>
      </c>
      <c r="AG4363">
        <v>-1.10791180686699</v>
      </c>
      <c r="AH4363">
        <v>65.646738650542602</v>
      </c>
      <c r="AI4363">
        <v>90.966612425521802</v>
      </c>
      <c r="AJ4363">
        <v>88.647061497100495</v>
      </c>
      <c r="AK4363">
        <v>65.674390485223199</v>
      </c>
      <c r="AL4363">
        <v>90.210237812159804</v>
      </c>
      <c r="AM4363">
        <v>88.285986931499593</v>
      </c>
      <c r="AN4363">
        <v>1.00000005441363</v>
      </c>
    </row>
    <row r="4364" spans="1:40" x14ac:dyDescent="0.25">
      <c r="A4364" t="str">
        <f>"20190312154009358"</f>
        <v>20190312154009358</v>
      </c>
      <c r="B4364" t="str">
        <f>"1552376409350210"</f>
        <v>1552376409350210</v>
      </c>
      <c r="C4364" t="s">
        <v>40</v>
      </c>
      <c r="D4364">
        <v>4.1916960000000003</v>
      </c>
      <c r="E4364">
        <v>0.4978398</v>
      </c>
      <c r="F4364" t="s">
        <v>61</v>
      </c>
      <c r="G4364">
        <v>-366.4864</v>
      </c>
      <c r="H4364" s="1">
        <v>1.9149320000000001E-6</v>
      </c>
      <c r="I4364">
        <v>213.48140000000001</v>
      </c>
      <c r="J4364">
        <v>-432.29059999999998</v>
      </c>
      <c r="K4364">
        <v>1.1079129999999999</v>
      </c>
      <c r="L4364">
        <v>214.91409999999999</v>
      </c>
      <c r="M4364">
        <v>0.99999729999999998</v>
      </c>
      <c r="N4364">
        <v>0</v>
      </c>
      <c r="O4364">
        <v>1.4657680000000001E-3</v>
      </c>
      <c r="P4364">
        <v>0.99957430000000003</v>
      </c>
      <c r="Q4364">
        <v>-4.9239319999999998E-3</v>
      </c>
      <c r="R4364">
        <v>-2.8758499999999999E-2</v>
      </c>
      <c r="S4364">
        <v>2.9991759999999998</v>
      </c>
      <c r="T4364">
        <v>-5.0200580000000002E-2</v>
      </c>
      <c r="U4364">
        <v>-6.4895629999999996E-2</v>
      </c>
      <c r="V4364">
        <v>3.0220790000000001E-2</v>
      </c>
      <c r="W4364">
        <v>-3.091459E-3</v>
      </c>
      <c r="X4364">
        <v>0.9995385</v>
      </c>
      <c r="Y4364">
        <v>2.3094719999999999E-2</v>
      </c>
      <c r="Z4364">
        <v>-2.177747E-4</v>
      </c>
      <c r="AA4364">
        <v>0.99973330000000005</v>
      </c>
      <c r="AB4364">
        <v>40</v>
      </c>
      <c r="AC4364">
        <v>65.804199999999895</v>
      </c>
      <c r="AD4364">
        <v>-1.1079110850679901</v>
      </c>
      <c r="AE4364">
        <v>-1.4326999999999801</v>
      </c>
      <c r="AF4364">
        <v>1.52871917217028</v>
      </c>
      <c r="AG4364">
        <v>-1.1079110850679901</v>
      </c>
      <c r="AH4364">
        <v>65.783390712462904</v>
      </c>
      <c r="AI4364">
        <v>90.964612787077698</v>
      </c>
      <c r="AJ4364">
        <v>88.668761313791904</v>
      </c>
      <c r="AK4364">
        <v>65.810477455404694</v>
      </c>
      <c r="AL4364">
        <v>90.1771278295098</v>
      </c>
      <c r="AM4364">
        <v>88.268204384765198</v>
      </c>
      <c r="AN4364">
        <v>1.0000000331246099</v>
      </c>
    </row>
    <row r="4365" spans="1:40" x14ac:dyDescent="0.25">
      <c r="A4365" t="str">
        <f>"20190312154009380"</f>
        <v>20190312154009380</v>
      </c>
      <c r="B4365" t="str">
        <f>"1552376409370500"</f>
        <v>1552376409370500</v>
      </c>
      <c r="C4365" t="s">
        <v>40</v>
      </c>
      <c r="D4365">
        <v>4.2255649999999996</v>
      </c>
      <c r="E4365">
        <v>0.4977799</v>
      </c>
      <c r="F4365" t="s">
        <v>61</v>
      </c>
      <c r="G4365">
        <v>-363.78160000000003</v>
      </c>
      <c r="H4365" s="1">
        <v>4.7560660000000001E-7</v>
      </c>
      <c r="I4365">
        <v>213.37450000000001</v>
      </c>
      <c r="J4365">
        <v>-431.8775</v>
      </c>
      <c r="K4365">
        <v>1.107912</v>
      </c>
      <c r="L4365">
        <v>214.9144</v>
      </c>
      <c r="M4365">
        <v>0.99999760000000004</v>
      </c>
      <c r="N4365">
        <v>0</v>
      </c>
      <c r="O4365">
        <v>1.1147310000000001E-3</v>
      </c>
      <c r="P4365">
        <v>0.99953130000000001</v>
      </c>
      <c r="Q4365">
        <v>-3.9252810000000001E-3</v>
      </c>
      <c r="R4365">
        <v>-3.0368099999999999E-2</v>
      </c>
      <c r="S4365">
        <v>2.9990839999999999</v>
      </c>
      <c r="T4365">
        <v>-4.8500540000000002E-2</v>
      </c>
      <c r="U4365">
        <v>-6.7398070000000004E-2</v>
      </c>
      <c r="V4365">
        <v>3.1480389999999997E-2</v>
      </c>
      <c r="W4365">
        <v>-2.035888E-3</v>
      </c>
      <c r="X4365">
        <v>0.99950229999999995</v>
      </c>
      <c r="Y4365">
        <v>2.3578419999999999E-2</v>
      </c>
      <c r="Z4365">
        <v>-2.0863979999999999E-4</v>
      </c>
      <c r="AA4365">
        <v>0.99972190000000005</v>
      </c>
      <c r="AB4365">
        <v>40</v>
      </c>
      <c r="AC4365">
        <v>68.095899999999901</v>
      </c>
      <c r="AD4365">
        <v>-1.1079115243933999</v>
      </c>
      <c r="AE4365">
        <v>-1.5398999999999801</v>
      </c>
      <c r="AF4365">
        <v>1.6153804022521701</v>
      </c>
      <c r="AG4365">
        <v>-1.1079115243933999</v>
      </c>
      <c r="AH4365">
        <v>68.076129979654496</v>
      </c>
      <c r="AI4365">
        <v>90.932121022031794</v>
      </c>
      <c r="AJ4365">
        <v>88.640681927710602</v>
      </c>
      <c r="AK4365">
        <v>68.104305258894499</v>
      </c>
      <c r="AL4365">
        <v>90.116647870105098</v>
      </c>
      <c r="AM4365">
        <v>88.196004734994006</v>
      </c>
      <c r="AN4365">
        <v>1.00000000374989</v>
      </c>
    </row>
    <row r="4366" spans="1:40" x14ac:dyDescent="0.25">
      <c r="A4366" t="str">
        <f>"20190312154009401"</f>
        <v>20190312154009401</v>
      </c>
      <c r="B4366" t="str">
        <f>"1552376409390024"</f>
        <v>1552376409390024</v>
      </c>
      <c r="C4366" t="s">
        <v>40</v>
      </c>
      <c r="D4366">
        <v>4.2027999999999999</v>
      </c>
      <c r="E4366">
        <v>0.48051880000000002</v>
      </c>
      <c r="F4366" t="s">
        <v>61</v>
      </c>
      <c r="G4366">
        <v>-358.59199999999998</v>
      </c>
      <c r="H4366" s="1">
        <v>3.099158E-6</v>
      </c>
      <c r="I4366">
        <v>213.15940000000001</v>
      </c>
      <c r="J4366">
        <v>-431.48500000000001</v>
      </c>
      <c r="K4366">
        <v>1.1079110000000001</v>
      </c>
      <c r="L4366">
        <v>214.91470000000001</v>
      </c>
      <c r="M4366">
        <v>0.9999979</v>
      </c>
      <c r="N4366">
        <v>0</v>
      </c>
      <c r="O4366">
        <v>7.8539460000000001E-4</v>
      </c>
      <c r="P4366">
        <v>0.99946690000000005</v>
      </c>
      <c r="Q4366">
        <v>-3.8973200000000001E-3</v>
      </c>
      <c r="R4366">
        <v>-3.2420490000000003E-2</v>
      </c>
      <c r="S4366">
        <v>2.9990540000000001</v>
      </c>
      <c r="T4366">
        <v>-4.5338870000000003E-2</v>
      </c>
      <c r="U4366">
        <v>-7.1823120000000004E-2</v>
      </c>
      <c r="V4366">
        <v>3.3203669999999998E-2</v>
      </c>
      <c r="W4366">
        <v>-1.9552789999999999E-3</v>
      </c>
      <c r="X4366">
        <v>0.99944670000000002</v>
      </c>
      <c r="Y4366">
        <v>2.472398E-2</v>
      </c>
      <c r="Z4366">
        <v>-1.9871870000000001E-4</v>
      </c>
      <c r="AA4366">
        <v>0.99969430000000004</v>
      </c>
      <c r="AB4366">
        <v>40</v>
      </c>
      <c r="AC4366">
        <v>72.893000000000001</v>
      </c>
      <c r="AD4366">
        <v>-1.1079079008419901</v>
      </c>
      <c r="AE4366">
        <v>-1.7553000000000001</v>
      </c>
      <c r="AF4366">
        <v>1.8121309472937901</v>
      </c>
      <c r="AG4366">
        <v>-1.1079079008419901</v>
      </c>
      <c r="AH4366">
        <v>72.874773677918498</v>
      </c>
      <c r="AI4366">
        <v>90.870725792287701</v>
      </c>
      <c r="AJ4366">
        <v>88.575555603010102</v>
      </c>
      <c r="AK4366">
        <v>72.905719371629104</v>
      </c>
      <c r="AL4366">
        <v>90.112029305128203</v>
      </c>
      <c r="AM4366">
        <v>88.097216478452296</v>
      </c>
      <c r="AN4366">
        <v>1.0000000064791601</v>
      </c>
    </row>
    <row r="4367" spans="1:40" x14ac:dyDescent="0.25">
      <c r="A4367" t="str">
        <f>"20190312154009424"</f>
        <v>20190312154009424</v>
      </c>
      <c r="B4367" t="str">
        <f>"1552376409410516"</f>
        <v>1552376409410516</v>
      </c>
      <c r="C4367" t="s">
        <v>40</v>
      </c>
      <c r="D4367">
        <v>4.1503759999999996</v>
      </c>
      <c r="E4367">
        <v>0.4800664</v>
      </c>
      <c r="F4367" t="s">
        <v>61</v>
      </c>
      <c r="G4367">
        <v>-248.64490000000001</v>
      </c>
      <c r="H4367" s="1">
        <v>2.8950709999999999E-6</v>
      </c>
      <c r="I4367">
        <v>218.47149999999999</v>
      </c>
      <c r="J4367">
        <v>-431.09010000000001</v>
      </c>
      <c r="K4367">
        <v>1.1079129999999999</v>
      </c>
      <c r="L4367">
        <v>214.91480000000001</v>
      </c>
      <c r="M4367">
        <v>0.9999979</v>
      </c>
      <c r="N4367">
        <v>0</v>
      </c>
      <c r="O4367">
        <v>4.592191E-4</v>
      </c>
      <c r="P4367">
        <v>0.99941179999999996</v>
      </c>
      <c r="Q4367">
        <v>-3.7137120000000001E-3</v>
      </c>
      <c r="R4367">
        <v>-3.4092049999999999E-2</v>
      </c>
      <c r="S4367">
        <v>3.0034480000000001</v>
      </c>
      <c r="T4367">
        <v>-1.819921E-2</v>
      </c>
      <c r="U4367">
        <v>5.8425900000000003E-2</v>
      </c>
      <c r="V4367">
        <v>3.4549499999999997E-2</v>
      </c>
      <c r="W4367">
        <v>-1.719415E-3</v>
      </c>
      <c r="X4367">
        <v>0.99940150000000005</v>
      </c>
      <c r="Y4367">
        <v>-1.8989789999999999E-2</v>
      </c>
      <c r="Z4367" s="1">
        <v>5.474541E-5</v>
      </c>
      <c r="AA4367">
        <v>0.99981969999999998</v>
      </c>
      <c r="AB4367">
        <v>41</v>
      </c>
      <c r="AC4367">
        <v>182.4452</v>
      </c>
      <c r="AD4367">
        <v>-1.1079101049290001</v>
      </c>
      <c r="AE4367">
        <v>3.55669999999997</v>
      </c>
      <c r="AF4367">
        <v>-3.4727891232972601</v>
      </c>
      <c r="AG4367">
        <v>-1.1079101049290001</v>
      </c>
      <c r="AH4367">
        <v>182.44008896009601</v>
      </c>
      <c r="AI4367">
        <v>90.347874725799997</v>
      </c>
      <c r="AJ4367">
        <v>91.090506663973699</v>
      </c>
      <c r="AK4367">
        <v>182.476502018378</v>
      </c>
      <c r="AL4367">
        <v>90.098515272133099</v>
      </c>
      <c r="AM4367">
        <v>88.020062489816098</v>
      </c>
      <c r="AN4367">
        <v>0.99999999127022099</v>
      </c>
    </row>
    <row r="4368" spans="1:40" x14ac:dyDescent="0.25">
      <c r="A4368" t="str">
        <f>"20190312154009446"</f>
        <v>20190312154009446</v>
      </c>
      <c r="B4368" t="str">
        <f>"1552376409440772"</f>
        <v>1552376409440772</v>
      </c>
      <c r="C4368" t="s">
        <v>40</v>
      </c>
      <c r="D4368">
        <v>4.1466450000000004</v>
      </c>
      <c r="E4368">
        <v>0.47981849999999998</v>
      </c>
      <c r="F4368" t="s">
        <v>62</v>
      </c>
      <c r="G4368">
        <v>-319.47989999999999</v>
      </c>
      <c r="H4368" s="1">
        <v>5.109585E-6</v>
      </c>
      <c r="I4368">
        <v>217.0574</v>
      </c>
      <c r="J4368">
        <v>-430.6721</v>
      </c>
      <c r="K4368">
        <v>1.107915</v>
      </c>
      <c r="L4368">
        <v>214.91470000000001</v>
      </c>
      <c r="M4368">
        <v>0.9999979</v>
      </c>
      <c r="N4368">
        <v>0</v>
      </c>
      <c r="O4368">
        <v>1.21839E-4</v>
      </c>
      <c r="P4368">
        <v>0.99936729999999996</v>
      </c>
      <c r="Q4368">
        <v>-3.2547079999999998E-3</v>
      </c>
      <c r="R4368">
        <v>-3.5419029999999997E-2</v>
      </c>
      <c r="S4368">
        <v>3.0036320000000001</v>
      </c>
      <c r="T4368">
        <v>-2.9815789999999998E-2</v>
      </c>
      <c r="U4368">
        <v>5.7662959999999999E-2</v>
      </c>
      <c r="V4368">
        <v>3.553974E-2</v>
      </c>
      <c r="W4368">
        <v>-1.205359E-3</v>
      </c>
      <c r="X4368">
        <v>0.99936749999999996</v>
      </c>
      <c r="Y4368">
        <v>-1.9071459999999998E-2</v>
      </c>
      <c r="Z4368" s="1">
        <v>9.3436869999999998E-5</v>
      </c>
      <c r="AA4368">
        <v>0.99981810000000004</v>
      </c>
      <c r="AB4368">
        <v>41</v>
      </c>
      <c r="AC4368">
        <v>111.1922</v>
      </c>
      <c r="AD4368">
        <v>-1.107909890415</v>
      </c>
      <c r="AE4368">
        <v>2.1426999999999898</v>
      </c>
      <c r="AF4368">
        <v>-2.12894112722114</v>
      </c>
      <c r="AG4368">
        <v>-1.107909890415</v>
      </c>
      <c r="AH4368">
        <v>111.181426284064</v>
      </c>
      <c r="AI4368">
        <v>90.570822202770401</v>
      </c>
      <c r="AJ4368">
        <v>91.096985715026094</v>
      </c>
      <c r="AK4368">
        <v>111.207326220925</v>
      </c>
      <c r="AL4368">
        <v>90.069062002774402</v>
      </c>
      <c r="AM4368">
        <v>87.963292432531205</v>
      </c>
      <c r="AN4368">
        <v>0.99999996303291705</v>
      </c>
    </row>
    <row r="4369" spans="1:40" x14ac:dyDescent="0.25">
      <c r="A4369" t="str">
        <f>"20190312154009469"</f>
        <v>20190312154009469</v>
      </c>
      <c r="B4369" t="str">
        <f>"1552376409460486"</f>
        <v>1552376409460486</v>
      </c>
      <c r="C4369" t="s">
        <v>40</v>
      </c>
      <c r="D4369">
        <v>4.1079650000000001</v>
      </c>
      <c r="E4369">
        <v>0.47968549999999899</v>
      </c>
      <c r="F4369" t="s">
        <v>61</v>
      </c>
      <c r="G4369">
        <v>-334.58569999999997</v>
      </c>
      <c r="H4369" s="1">
        <v>8.1205429999999995E-7</v>
      </c>
      <c r="I4369">
        <v>216.70760000000001</v>
      </c>
      <c r="J4369">
        <v>-430.24540000000002</v>
      </c>
      <c r="K4369">
        <v>1.10792</v>
      </c>
      <c r="L4369">
        <v>214.91460000000001</v>
      </c>
      <c r="M4369">
        <v>0.99999780000000005</v>
      </c>
      <c r="N4369">
        <v>0</v>
      </c>
      <c r="O4369">
        <v>-2.115393E-4</v>
      </c>
      <c r="P4369">
        <v>0.99932529999999997</v>
      </c>
      <c r="Q4369">
        <v>-2.8059349999999999E-3</v>
      </c>
      <c r="R4369">
        <v>-3.6626590000000001E-2</v>
      </c>
      <c r="S4369">
        <v>3.003784</v>
      </c>
      <c r="T4369">
        <v>-3.4634829999999998E-2</v>
      </c>
      <c r="U4369">
        <v>5.6045530000000003E-2</v>
      </c>
      <c r="V4369">
        <v>3.6414630000000003E-2</v>
      </c>
      <c r="W4369">
        <v>-7.0092410000000005E-4</v>
      </c>
      <c r="X4369">
        <v>0.99933649999999996</v>
      </c>
      <c r="Y4369">
        <v>-1.8865300000000002E-2</v>
      </c>
      <c r="Z4369">
        <v>1.1118799999999999E-4</v>
      </c>
      <c r="AA4369">
        <v>0.99982199999999999</v>
      </c>
      <c r="AB4369">
        <v>41</v>
      </c>
      <c r="AC4369">
        <v>95.659700000000001</v>
      </c>
      <c r="AD4369">
        <v>-1.1079191879457</v>
      </c>
      <c r="AE4369">
        <v>1.7929999999999999</v>
      </c>
      <c r="AF4369">
        <v>-1.81299268058705</v>
      </c>
      <c r="AG4369">
        <v>-1.1079191879457</v>
      </c>
      <c r="AH4369">
        <v>95.646493058965106</v>
      </c>
      <c r="AI4369">
        <v>90.663535621972997</v>
      </c>
      <c r="AJ4369">
        <v>91.085919487018202</v>
      </c>
      <c r="AK4369">
        <v>95.670089692994097</v>
      </c>
      <c r="AL4369">
        <v>90.040159996844693</v>
      </c>
      <c r="AM4369">
        <v>87.913133450945594</v>
      </c>
      <c r="AN4369">
        <v>0.99999997840244004</v>
      </c>
    </row>
    <row r="4370" spans="1:40" x14ac:dyDescent="0.25">
      <c r="A4370" t="str">
        <f>"20190312154009491"</f>
        <v>20190312154009491</v>
      </c>
      <c r="B4370" t="str">
        <f>"1552376409480000"</f>
        <v>1552376409480000</v>
      </c>
      <c r="C4370" t="s">
        <v>40</v>
      </c>
      <c r="D4370">
        <v>4.1583990000000002</v>
      </c>
      <c r="E4370">
        <v>0.4795372</v>
      </c>
      <c r="F4370" t="s">
        <v>61</v>
      </c>
      <c r="G4370">
        <v>-335.96109999999999</v>
      </c>
      <c r="H4370" s="1">
        <v>1.5491900000000001E-6</v>
      </c>
      <c r="I4370">
        <v>216.58850000000001</v>
      </c>
      <c r="J4370">
        <v>-429.83909999999997</v>
      </c>
      <c r="K4370">
        <v>1.1079270000000001</v>
      </c>
      <c r="L4370">
        <v>214.9143</v>
      </c>
      <c r="M4370">
        <v>0.99999760000000004</v>
      </c>
      <c r="N4370">
        <v>0</v>
      </c>
      <c r="O4370">
        <v>-5.1319099999999997E-4</v>
      </c>
      <c r="P4370">
        <v>0.99930319999999995</v>
      </c>
      <c r="Q4370">
        <v>-3.2444259999999999E-3</v>
      </c>
      <c r="R4370">
        <v>-3.7184599999999998E-2</v>
      </c>
      <c r="S4370">
        <v>3.0038450000000001</v>
      </c>
      <c r="T4370">
        <v>-3.5297630000000003E-2</v>
      </c>
      <c r="U4370">
        <v>5.3329469999999997E-2</v>
      </c>
      <c r="V4370">
        <v>3.667074E-2</v>
      </c>
      <c r="W4370">
        <v>-1.086332E-3</v>
      </c>
      <c r="X4370">
        <v>0.99932679999999996</v>
      </c>
      <c r="Y4370">
        <v>-1.8262750000000001E-2</v>
      </c>
      <c r="Z4370">
        <v>1.133187E-4</v>
      </c>
      <c r="AA4370">
        <v>0.99983319999999998</v>
      </c>
      <c r="AB4370">
        <v>41</v>
      </c>
      <c r="AC4370">
        <v>93.878</v>
      </c>
      <c r="AD4370">
        <v>-1.10792545081</v>
      </c>
      <c r="AE4370">
        <v>1.6742000000000099</v>
      </c>
      <c r="AF4370">
        <v>-1.7221374478995</v>
      </c>
      <c r="AG4370">
        <v>-1.10792545081</v>
      </c>
      <c r="AH4370">
        <v>93.864059081667605</v>
      </c>
      <c r="AI4370">
        <v>90.676146175626599</v>
      </c>
      <c r="AJ4370">
        <v>91.051096012840105</v>
      </c>
      <c r="AK4370">
        <v>93.886393281885105</v>
      </c>
      <c r="AL4370">
        <v>90.062242251723902</v>
      </c>
      <c r="AM4370">
        <v>87.898448914021003</v>
      </c>
      <c r="AN4370">
        <v>0.99999998824379999</v>
      </c>
    </row>
    <row r="4371" spans="1:40" x14ac:dyDescent="0.25">
      <c r="A4371" t="str">
        <f>"20190312154009515"</f>
        <v>20190312154009515</v>
      </c>
      <c r="B4371" t="str">
        <f>"1552376409510252"</f>
        <v>1552376409510252</v>
      </c>
      <c r="C4371" t="s">
        <v>40</v>
      </c>
      <c r="D4371">
        <v>4.0952460000000004</v>
      </c>
      <c r="E4371">
        <v>0.47921589999999997</v>
      </c>
      <c r="F4371" t="s">
        <v>61</v>
      </c>
      <c r="G4371">
        <v>-340.82569999999998</v>
      </c>
      <c r="H4371" s="1">
        <v>-1.0974019999999999E-6</v>
      </c>
      <c r="I4371">
        <v>216.48099999999999</v>
      </c>
      <c r="J4371">
        <v>-429.40980000000002</v>
      </c>
      <c r="K4371">
        <v>1.1079399999999999</v>
      </c>
      <c r="L4371">
        <v>214.91380000000001</v>
      </c>
      <c r="M4371">
        <v>0.99999720000000003</v>
      </c>
      <c r="N4371">
        <v>0</v>
      </c>
      <c r="O4371">
        <v>-8.0707350000000001E-4</v>
      </c>
      <c r="P4371">
        <v>0.99927779999999999</v>
      </c>
      <c r="Q4371">
        <v>-3.3979359999999998E-3</v>
      </c>
      <c r="R4371">
        <v>-3.7852459999999997E-2</v>
      </c>
      <c r="S4371">
        <v>3.0039370000000001</v>
      </c>
      <c r="T4371">
        <v>-3.7389279999999997E-2</v>
      </c>
      <c r="U4371">
        <v>5.2871700000000001E-2</v>
      </c>
      <c r="V4371">
        <v>3.704491E-2</v>
      </c>
      <c r="W4371">
        <v>-1.183709E-3</v>
      </c>
      <c r="X4371">
        <v>0.99931289999999995</v>
      </c>
      <c r="Y4371">
        <v>-1.8403539999999999E-2</v>
      </c>
      <c r="Z4371">
        <v>1.2456319999999999E-4</v>
      </c>
      <c r="AA4371">
        <v>0.99983060000000001</v>
      </c>
      <c r="AB4371">
        <v>41</v>
      </c>
      <c r="AC4371">
        <v>88.584100000000007</v>
      </c>
      <c r="AD4371">
        <v>-1.1079410974020001</v>
      </c>
      <c r="AE4371">
        <v>1.5671999999999799</v>
      </c>
      <c r="AF4371">
        <v>-1.6384373245316199</v>
      </c>
      <c r="AG4371">
        <v>-1.1079410974020001</v>
      </c>
      <c r="AH4371">
        <v>88.568955738476205</v>
      </c>
      <c r="AI4371">
        <v>90.716573656899797</v>
      </c>
      <c r="AJ4371">
        <v>91.059793881817797</v>
      </c>
      <c r="AK4371">
        <v>88.591037531715799</v>
      </c>
      <c r="AL4371">
        <v>90.067821545756303</v>
      </c>
      <c r="AM4371">
        <v>87.876995751056199</v>
      </c>
      <c r="AN4371">
        <v>0.99999999931515704</v>
      </c>
    </row>
    <row r="4372" spans="1:40" x14ac:dyDescent="0.25">
      <c r="A4372" t="str">
        <f>"20190312154009537"</f>
        <v>20190312154009537</v>
      </c>
      <c r="B4372" t="str">
        <f>"1552376409530748"</f>
        <v>1552376409530748</v>
      </c>
      <c r="C4372" t="s">
        <v>40</v>
      </c>
      <c r="D4372">
        <v>4.088006</v>
      </c>
      <c r="E4372">
        <v>0.47902909999999999</v>
      </c>
      <c r="F4372" t="s">
        <v>61</v>
      </c>
      <c r="G4372">
        <v>-337.483</v>
      </c>
      <c r="H4372" s="1">
        <v>2.360602E-6</v>
      </c>
      <c r="I4372">
        <v>216.55420000000001</v>
      </c>
      <c r="J4372">
        <v>-428.99</v>
      </c>
      <c r="K4372">
        <v>1.10796299999999</v>
      </c>
      <c r="L4372">
        <v>214.9134</v>
      </c>
      <c r="M4372">
        <v>0.99999669999999896</v>
      </c>
      <c r="N4372">
        <v>0</v>
      </c>
      <c r="O4372">
        <v>-1.0588430000000001E-3</v>
      </c>
      <c r="P4372">
        <v>0.99928709999999998</v>
      </c>
      <c r="Q4372">
        <v>-2.8927810000000001E-3</v>
      </c>
      <c r="R4372">
        <v>-3.764526E-2</v>
      </c>
      <c r="S4372">
        <v>3.0040589999999998</v>
      </c>
      <c r="T4372">
        <v>-3.6206130000000003E-2</v>
      </c>
      <c r="U4372">
        <v>5.360413E-2</v>
      </c>
      <c r="V4372">
        <v>3.6586460000000001E-2</v>
      </c>
      <c r="W4372">
        <v>-6.2263610000000001E-4</v>
      </c>
      <c r="X4372">
        <v>0.9993303</v>
      </c>
      <c r="Y4372">
        <v>-1.889828E-2</v>
      </c>
      <c r="Z4372">
        <v>1.266319E-4</v>
      </c>
      <c r="AA4372">
        <v>0.99982139999999997</v>
      </c>
      <c r="AB4372">
        <v>41</v>
      </c>
      <c r="AC4372">
        <v>91.507000000000005</v>
      </c>
      <c r="AD4372">
        <v>-1.1079606393979899</v>
      </c>
      <c r="AE4372">
        <v>1.64080000000001</v>
      </c>
      <c r="AF4372">
        <v>-1.7374362621911501</v>
      </c>
      <c r="AG4372">
        <v>-1.1079606393979899</v>
      </c>
      <c r="AH4372">
        <v>91.491802774536694</v>
      </c>
      <c r="AI4372">
        <v>90.693689729410906</v>
      </c>
      <c r="AJ4372">
        <v>91.087920427435705</v>
      </c>
      <c r="AK4372">
        <v>91.515005526297998</v>
      </c>
      <c r="AL4372">
        <v>90.035674422914198</v>
      </c>
      <c r="AM4372">
        <v>87.903281909124402</v>
      </c>
      <c r="AN4372">
        <v>1.0000000026145599</v>
      </c>
    </row>
    <row r="4373" spans="1:40" x14ac:dyDescent="0.25">
      <c r="A4373" t="str">
        <f>"20190312154009559"</f>
        <v>20190312154009559</v>
      </c>
      <c r="B4373" t="str">
        <f>"1552376409550268"</f>
        <v>1552376409550268</v>
      </c>
      <c r="C4373" t="s">
        <v>40</v>
      </c>
      <c r="D4373">
        <v>4.0917329999999996</v>
      </c>
      <c r="E4373">
        <v>0.47875269999999998</v>
      </c>
      <c r="F4373" t="s">
        <v>61</v>
      </c>
      <c r="G4373">
        <v>-332.14100000000002</v>
      </c>
      <c r="H4373" s="1">
        <v>-4.8915649999999998E-7</v>
      </c>
      <c r="I4373">
        <v>216.71379999999999</v>
      </c>
      <c r="J4373">
        <v>-428.58049999999997</v>
      </c>
      <c r="K4373">
        <v>1.1079950000000001</v>
      </c>
      <c r="L4373">
        <v>214.9128</v>
      </c>
      <c r="M4373">
        <v>0.99999649999999995</v>
      </c>
      <c r="N4373">
        <v>0</v>
      </c>
      <c r="O4373">
        <v>-1.2570540000000001E-3</v>
      </c>
      <c r="P4373">
        <v>0.9993069</v>
      </c>
      <c r="Q4373">
        <v>-3.5083330000000002E-3</v>
      </c>
      <c r="R4373">
        <v>-3.7059910000000001E-2</v>
      </c>
      <c r="S4373">
        <v>3.0041500000000001</v>
      </c>
      <c r="T4373">
        <v>-3.4367799999999997E-2</v>
      </c>
      <c r="U4373">
        <v>5.5847170000000002E-2</v>
      </c>
      <c r="V4373">
        <v>3.5802790000000001E-2</v>
      </c>
      <c r="W4373">
        <v>-1.1833550000000001E-3</v>
      </c>
      <c r="X4373">
        <v>0.99935819999999997</v>
      </c>
      <c r="Y4373">
        <v>-1.9842240000000001E-2</v>
      </c>
      <c r="Z4373">
        <v>1.2786429999999999E-4</v>
      </c>
      <c r="AA4373">
        <v>0.99980309999999994</v>
      </c>
      <c r="AB4373">
        <v>42</v>
      </c>
      <c r="AC4373">
        <v>96.439499999999995</v>
      </c>
      <c r="AD4373">
        <v>-1.1079954891565</v>
      </c>
      <c r="AE4373">
        <v>1.80099999999998</v>
      </c>
      <c r="AF4373">
        <v>-1.92197495712587</v>
      </c>
      <c r="AG4373">
        <v>-1.1079954891565</v>
      </c>
      <c r="AH4373">
        <v>96.424436484707698</v>
      </c>
      <c r="AI4373">
        <v>90.658215573162394</v>
      </c>
      <c r="AJ4373">
        <v>91.141893871253899</v>
      </c>
      <c r="AK4373">
        <v>96.449953826496099</v>
      </c>
      <c r="AL4373">
        <v>90.067801261226606</v>
      </c>
      <c r="AM4373">
        <v>87.948211351320495</v>
      </c>
      <c r="AN4373">
        <v>1.00000002600403</v>
      </c>
    </row>
    <row r="4374" spans="1:40" x14ac:dyDescent="0.25">
      <c r="A4374" t="str">
        <f>"20190312154009580"</f>
        <v>20190312154009580</v>
      </c>
      <c r="B4374" t="str">
        <f>"1552376409570765"</f>
        <v>1552376409570765</v>
      </c>
      <c r="C4374" t="s">
        <v>40</v>
      </c>
      <c r="D4374">
        <v>4.0701769999999904</v>
      </c>
      <c r="E4374">
        <v>0.47846670000000002</v>
      </c>
      <c r="F4374" t="s">
        <v>61</v>
      </c>
      <c r="G4374">
        <v>-339.28179999999998</v>
      </c>
      <c r="H4374" s="1">
        <v>3.311785E-6</v>
      </c>
      <c r="I4374">
        <v>216.6917</v>
      </c>
      <c r="J4374">
        <v>-428.1678</v>
      </c>
      <c r="K4374">
        <v>1.1080299999999901</v>
      </c>
      <c r="L4374">
        <v>214.91220000000001</v>
      </c>
      <c r="M4374">
        <v>0.99999610000000005</v>
      </c>
      <c r="N4374">
        <v>0</v>
      </c>
      <c r="O4374">
        <v>-1.407078E-3</v>
      </c>
      <c r="P4374">
        <v>0.99931530000000002</v>
      </c>
      <c r="Q4374">
        <v>-4.283795E-3</v>
      </c>
      <c r="R4374">
        <v>-3.674852E-2</v>
      </c>
      <c r="S4374">
        <v>3.0041500000000001</v>
      </c>
      <c r="T4374">
        <v>-3.7274599999999998E-2</v>
      </c>
      <c r="U4374">
        <v>5.9844969999999997E-2</v>
      </c>
      <c r="V4374">
        <v>3.5341280000000003E-2</v>
      </c>
      <c r="W4374">
        <v>-1.9038740000000001E-3</v>
      </c>
      <c r="X4374">
        <v>0.99937350000000003</v>
      </c>
      <c r="Y4374">
        <v>-2.132185E-2</v>
      </c>
      <c r="Z4374">
        <v>1.4971569999999999E-4</v>
      </c>
      <c r="AA4374">
        <v>0.99977269999999896</v>
      </c>
      <c r="AB4374">
        <v>42</v>
      </c>
      <c r="AC4374">
        <v>88.885999999999996</v>
      </c>
      <c r="AD4374">
        <v>-1.1080266882149901</v>
      </c>
      <c r="AE4374">
        <v>1.7794999999999801</v>
      </c>
      <c r="AF4374">
        <v>-1.9042723438886799</v>
      </c>
      <c r="AG4374">
        <v>-1.1080266882149901</v>
      </c>
      <c r="AH4374">
        <v>88.869603851939502</v>
      </c>
      <c r="AI4374">
        <v>90.714163150425804</v>
      </c>
      <c r="AJ4374">
        <v>91.227529656277397</v>
      </c>
      <c r="AK4374">
        <v>88.896909198813901</v>
      </c>
      <c r="AL4374">
        <v>90.109084009553399</v>
      </c>
      <c r="AM4374">
        <v>87.974668407733006</v>
      </c>
      <c r="AN4374">
        <v>1.0000000116552401</v>
      </c>
    </row>
    <row r="4375" spans="1:40" x14ac:dyDescent="0.25">
      <c r="A4375" t="str">
        <f>"20190312154009602"</f>
        <v>20190312154009602</v>
      </c>
      <c r="B4375" t="str">
        <f>"1552376409590284"</f>
        <v>1552376409590284</v>
      </c>
      <c r="C4375" t="s">
        <v>40</v>
      </c>
      <c r="D4375">
        <v>4.0983260000000001</v>
      </c>
      <c r="E4375">
        <v>0.4782517</v>
      </c>
      <c r="F4375" t="s">
        <v>61</v>
      </c>
      <c r="G4375">
        <v>-346.83679999999998</v>
      </c>
      <c r="H4375" s="1">
        <v>2.10142E-6</v>
      </c>
      <c r="I4375">
        <v>216.6183</v>
      </c>
      <c r="J4375">
        <v>-427.75220000000002</v>
      </c>
      <c r="K4375">
        <v>1.1080639999999999</v>
      </c>
      <c r="L4375">
        <v>214.91159999999999</v>
      </c>
      <c r="M4375">
        <v>0.99999579999999999</v>
      </c>
      <c r="N4375">
        <v>0</v>
      </c>
      <c r="O4375">
        <v>-1.514661E-3</v>
      </c>
      <c r="P4375">
        <v>0.9993166</v>
      </c>
      <c r="Q4375">
        <v>-4.9989040000000002E-3</v>
      </c>
      <c r="R4375">
        <v>-3.6624959999999998E-2</v>
      </c>
      <c r="S4375">
        <v>3.004181</v>
      </c>
      <c r="T4375">
        <v>-4.0928010000000001E-2</v>
      </c>
      <c r="U4375">
        <v>6.30188E-2</v>
      </c>
      <c r="V4375">
        <v>3.510986E-2</v>
      </c>
      <c r="W4375">
        <v>-2.5641190000000001E-3</v>
      </c>
      <c r="X4375">
        <v>0.99938020000000005</v>
      </c>
      <c r="Y4375">
        <v>-2.2484500000000001E-2</v>
      </c>
      <c r="Z4375">
        <v>1.737691E-4</v>
      </c>
      <c r="AA4375">
        <v>0.99974719999999995</v>
      </c>
      <c r="AB4375">
        <v>42</v>
      </c>
      <c r="AC4375">
        <v>80.915400000000005</v>
      </c>
      <c r="AD4375">
        <v>-1.1080618985799999</v>
      </c>
      <c r="AE4375">
        <v>1.7067000000000101</v>
      </c>
      <c r="AF4375">
        <v>-1.82891499717505</v>
      </c>
      <c r="AG4375">
        <v>-1.1080618985799999</v>
      </c>
      <c r="AH4375">
        <v>80.897558306180301</v>
      </c>
      <c r="AI4375">
        <v>90.784536473167904</v>
      </c>
      <c r="AJ4375">
        <v>91.295110323434699</v>
      </c>
      <c r="AK4375">
        <v>80.925815850937298</v>
      </c>
      <c r="AL4375">
        <v>90.146913353364695</v>
      </c>
      <c r="AM4375">
        <v>87.987933124096799</v>
      </c>
      <c r="AN4375">
        <v>1.00000003056375</v>
      </c>
    </row>
    <row r="4376" spans="1:40" x14ac:dyDescent="0.25">
      <c r="A4376" t="str">
        <f>"20190312154009624"</f>
        <v>20190312154009624</v>
      </c>
      <c r="B4376" t="str">
        <f>"1552376409609805"</f>
        <v>1552376409609805</v>
      </c>
      <c r="C4376" t="s">
        <v>40</v>
      </c>
      <c r="D4376">
        <v>4.1187199999999997</v>
      </c>
      <c r="E4376">
        <v>0.47823599999999999</v>
      </c>
      <c r="F4376" t="s">
        <v>61</v>
      </c>
      <c r="G4376">
        <v>-352.60039999999998</v>
      </c>
      <c r="H4376" s="1">
        <v>-2.371078E-7</v>
      </c>
      <c r="I4376">
        <v>216.5403</v>
      </c>
      <c r="J4376">
        <v>-427.34269999999998</v>
      </c>
      <c r="K4376">
        <v>1.108093</v>
      </c>
      <c r="L4376">
        <v>214.9109</v>
      </c>
      <c r="M4376">
        <v>0.99999559999999998</v>
      </c>
      <c r="N4376">
        <v>0</v>
      </c>
      <c r="O4376">
        <v>-1.587212E-3</v>
      </c>
      <c r="P4376">
        <v>0.99930039999999998</v>
      </c>
      <c r="Q4376">
        <v>-6.2362569999999899E-3</v>
      </c>
      <c r="R4376">
        <v>-3.6873889999999999E-2</v>
      </c>
      <c r="S4376">
        <v>3.0042420000000001</v>
      </c>
      <c r="T4376">
        <v>-4.4295550000000003E-2</v>
      </c>
      <c r="U4376">
        <v>6.5109249999999994E-2</v>
      </c>
      <c r="V4376">
        <v>3.5285990000000003E-2</v>
      </c>
      <c r="W4376">
        <v>-3.7480859999999999E-3</v>
      </c>
      <c r="X4376">
        <v>0.99937019999999999</v>
      </c>
      <c r="Y4376">
        <v>-2.325147E-2</v>
      </c>
      <c r="Z4376">
        <v>1.9478289999999999E-4</v>
      </c>
      <c r="AA4376">
        <v>0.9997296</v>
      </c>
      <c r="AB4376">
        <v>42</v>
      </c>
      <c r="AC4376">
        <v>74.7423</v>
      </c>
      <c r="AD4376">
        <v>-1.1080932371078001</v>
      </c>
      <c r="AE4376">
        <v>1.6294</v>
      </c>
      <c r="AF4376">
        <v>-1.74764625247142</v>
      </c>
      <c r="AG4376">
        <v>-1.1080932371078001</v>
      </c>
      <c r="AH4376">
        <v>74.723203584986706</v>
      </c>
      <c r="AI4376">
        <v>90.849362122656999</v>
      </c>
      <c r="AJ4376">
        <v>91.339804741068804</v>
      </c>
      <c r="AK4376">
        <v>74.751851428906207</v>
      </c>
      <c r="AL4376">
        <v>90.214750017671093</v>
      </c>
      <c r="AM4376">
        <v>87.977827652479505</v>
      </c>
      <c r="AN4376">
        <v>0.99999997294349097</v>
      </c>
    </row>
    <row r="4377" spans="1:40" x14ac:dyDescent="0.25">
      <c r="A4377" t="str">
        <f>"20190312154009648"</f>
        <v>20190312154009648</v>
      </c>
      <c r="B4377" t="str">
        <f>"1552376409640061"</f>
        <v>1552376409640061</v>
      </c>
      <c r="C4377" t="s">
        <v>40</v>
      </c>
      <c r="D4377">
        <v>4.1453170000000004</v>
      </c>
      <c r="E4377">
        <v>0.48191400000000001</v>
      </c>
      <c r="F4377" t="s">
        <v>61</v>
      </c>
      <c r="G4377">
        <v>-359.54289999999997</v>
      </c>
      <c r="H4377" s="1">
        <v>3.464829E-6</v>
      </c>
      <c r="I4377">
        <v>216.36969999999999</v>
      </c>
      <c r="J4377">
        <v>-426.88</v>
      </c>
      <c r="K4377">
        <v>1.1081259999999999</v>
      </c>
      <c r="L4377">
        <v>214.9102</v>
      </c>
      <c r="M4377">
        <v>0.99999550000000004</v>
      </c>
      <c r="N4377">
        <v>0</v>
      </c>
      <c r="O4377">
        <v>-1.63282799999999E-3</v>
      </c>
      <c r="P4377">
        <v>0.99928720000000004</v>
      </c>
      <c r="Q4377">
        <v>-6.905764E-3</v>
      </c>
      <c r="R4377">
        <v>-3.7115860000000001E-2</v>
      </c>
      <c r="S4377">
        <v>3.004181</v>
      </c>
      <c r="T4377">
        <v>-4.9098969999999999E-2</v>
      </c>
      <c r="U4377">
        <v>6.4636230000000003E-2</v>
      </c>
      <c r="V4377">
        <v>3.5482399999999997E-2</v>
      </c>
      <c r="W4377">
        <v>-4.3578360000000003E-3</v>
      </c>
      <c r="X4377">
        <v>0.99936080000000005</v>
      </c>
      <c r="Y4377">
        <v>-2.3139570000000002E-2</v>
      </c>
      <c r="Z4377">
        <v>2.1573830000000001E-4</v>
      </c>
      <c r="AA4377">
        <v>0.99973219999999996</v>
      </c>
      <c r="AB4377">
        <v>42</v>
      </c>
      <c r="AC4377">
        <v>67.337100000000007</v>
      </c>
      <c r="AD4377">
        <v>-1.108122535171</v>
      </c>
      <c r="AE4377">
        <v>1.45949999999999</v>
      </c>
      <c r="AF4377">
        <v>-1.5690235951315601</v>
      </c>
      <c r="AG4377">
        <v>-1.108122535171</v>
      </c>
      <c r="AH4377">
        <v>67.316405632655503</v>
      </c>
      <c r="AI4377">
        <v>90.942827758741402</v>
      </c>
      <c r="AJ4377">
        <v>91.335219173670396</v>
      </c>
      <c r="AK4377">
        <v>67.343806232609396</v>
      </c>
      <c r="AL4377">
        <v>90.249686400899805</v>
      </c>
      <c r="AM4377">
        <v>87.966562085038802</v>
      </c>
      <c r="AN4377">
        <v>1.0000000000105</v>
      </c>
    </row>
    <row r="4378" spans="1:40" x14ac:dyDescent="0.25">
      <c r="A4378" t="str">
        <f>"20190312154009671"</f>
        <v>20190312154009671</v>
      </c>
      <c r="B4378" t="str">
        <f>"1552376409660556"</f>
        <v>1552376409660556</v>
      </c>
      <c r="C4378" t="s">
        <v>40</v>
      </c>
      <c r="D4378">
        <v>4.1274829999999998</v>
      </c>
      <c r="E4378">
        <v>0.48192079999999998</v>
      </c>
      <c r="F4378" t="s">
        <v>61</v>
      </c>
      <c r="G4378">
        <v>-393.2396</v>
      </c>
      <c r="H4378" s="1">
        <v>1.871724E-7</v>
      </c>
      <c r="I4378">
        <v>215.321</v>
      </c>
      <c r="J4378">
        <v>-426.4588</v>
      </c>
      <c r="K4378">
        <v>1.1081559999999999</v>
      </c>
      <c r="L4378">
        <v>214.90950000000001</v>
      </c>
      <c r="M4378">
        <v>0.99999539999999998</v>
      </c>
      <c r="N4378">
        <v>0</v>
      </c>
      <c r="O4378">
        <v>-1.6364820000000001E-3</v>
      </c>
      <c r="P4378">
        <v>0.99928919999999999</v>
      </c>
      <c r="Q4378">
        <v>-6.7424869999999897E-3</v>
      </c>
      <c r="R4378">
        <v>-3.7096499999999998E-2</v>
      </c>
      <c r="S4378">
        <v>3.0028079999999999</v>
      </c>
      <c r="T4378">
        <v>-9.8913429999999997E-2</v>
      </c>
      <c r="U4378">
        <v>3.6666869999999997E-2</v>
      </c>
      <c r="V4378">
        <v>3.5459730000000002E-2</v>
      </c>
      <c r="W4378">
        <v>-4.1402160000000004E-3</v>
      </c>
      <c r="X4378">
        <v>0.99936250000000004</v>
      </c>
      <c r="Y4378">
        <v>-1.383791E-2</v>
      </c>
      <c r="Z4378">
        <v>2.8173219999999999E-4</v>
      </c>
      <c r="AA4378">
        <v>0.99990420000000002</v>
      </c>
      <c r="AB4378">
        <v>43</v>
      </c>
      <c r="AC4378">
        <v>33.219200000000001</v>
      </c>
      <c r="AD4378">
        <v>-1.1081558128275999</v>
      </c>
      <c r="AE4378">
        <v>0.41149999999998899</v>
      </c>
      <c r="AF4378">
        <v>-0.46534448582243698</v>
      </c>
      <c r="AG4378">
        <v>-1.1081558128275999</v>
      </c>
      <c r="AH4378">
        <v>33.181562798213299</v>
      </c>
      <c r="AI4378">
        <v>91.912593027275193</v>
      </c>
      <c r="AJ4378">
        <v>90.803474130075301</v>
      </c>
      <c r="AK4378">
        <v>33.203323094650699</v>
      </c>
      <c r="AL4378">
        <v>90.237217587869594</v>
      </c>
      <c r="AM4378">
        <v>87.967863629745196</v>
      </c>
      <c r="AN4378">
        <v>0.99999997012322395</v>
      </c>
    </row>
    <row r="4379" spans="1:40" x14ac:dyDescent="0.25">
      <c r="A4379" t="str">
        <f>"20190312154009691"</f>
        <v>20190312154009691</v>
      </c>
      <c r="B4379" t="str">
        <f>"1552376409680077"</f>
        <v>1552376409680077</v>
      </c>
      <c r="C4379" t="s">
        <v>40</v>
      </c>
      <c r="D4379">
        <v>4.1663389999999998</v>
      </c>
      <c r="E4379">
        <v>0.48197139999999999</v>
      </c>
      <c r="F4379" t="s">
        <v>61</v>
      </c>
      <c r="G4379">
        <v>-393.06020000000001</v>
      </c>
      <c r="H4379" s="1">
        <v>9.1690410000000001E-8</v>
      </c>
      <c r="I4379">
        <v>215.31630000000001</v>
      </c>
      <c r="J4379">
        <v>-426.04640000000001</v>
      </c>
      <c r="K4379">
        <v>1.1081939999999999</v>
      </c>
      <c r="L4379">
        <v>214.90889999999999</v>
      </c>
      <c r="M4379">
        <v>0.99999519999999997</v>
      </c>
      <c r="N4379">
        <v>0</v>
      </c>
      <c r="O4379">
        <v>-1.6026969999999999E-3</v>
      </c>
      <c r="P4379">
        <v>0.99929590000000001</v>
      </c>
      <c r="Q4379">
        <v>-7.3652530000000004E-3</v>
      </c>
      <c r="R4379">
        <v>-3.6794149999999998E-2</v>
      </c>
      <c r="S4379">
        <v>3.0028079999999999</v>
      </c>
      <c r="T4379">
        <v>-9.963226E-2</v>
      </c>
      <c r="U4379">
        <v>3.6575320000000001E-2</v>
      </c>
      <c r="V4379">
        <v>3.5191359999999998E-2</v>
      </c>
      <c r="W4379">
        <v>-4.7096689999999997E-3</v>
      </c>
      <c r="X4379">
        <v>0.99936950000000002</v>
      </c>
      <c r="Y4379">
        <v>-1.3773580000000001E-2</v>
      </c>
      <c r="Z4379">
        <v>2.8159110000000002E-4</v>
      </c>
      <c r="AA4379">
        <v>0.99990509999999999</v>
      </c>
      <c r="AB4379">
        <v>43</v>
      </c>
      <c r="AC4379">
        <v>32.986199999999997</v>
      </c>
      <c r="AD4379">
        <v>-1.10819390830959</v>
      </c>
      <c r="AE4379">
        <v>0.40740000000002402</v>
      </c>
      <c r="AF4379">
        <v>-0.45974772213628501</v>
      </c>
      <c r="AG4379">
        <v>-1.10819390830959</v>
      </c>
      <c r="AH4379">
        <v>32.948322585696403</v>
      </c>
      <c r="AI4379">
        <v>91.926190120302806</v>
      </c>
      <c r="AJ4379">
        <v>90.799430521971104</v>
      </c>
      <c r="AK4379">
        <v>32.970159582834</v>
      </c>
      <c r="AL4379">
        <v>90.269845152787695</v>
      </c>
      <c r="AM4379">
        <v>87.983244820422001</v>
      </c>
      <c r="AN4379">
        <v>1.00000000516549</v>
      </c>
    </row>
    <row r="4380" spans="1:40" x14ac:dyDescent="0.25">
      <c r="A4380" t="str">
        <f>"20190312154009715"</f>
        <v>20190312154009715</v>
      </c>
      <c r="B4380" t="str">
        <f>"1552376409710332"</f>
        <v>1552376409710332</v>
      </c>
      <c r="C4380" t="s">
        <v>40</v>
      </c>
      <c r="D4380">
        <v>4.1644230000000002</v>
      </c>
      <c r="E4380">
        <v>0.48200710000000002</v>
      </c>
      <c r="F4380" t="s">
        <v>61</v>
      </c>
      <c r="G4380">
        <v>-393.72669999999999</v>
      </c>
      <c r="H4380" s="1">
        <v>4.4636760000000002E-7</v>
      </c>
      <c r="I4380">
        <v>215.3083</v>
      </c>
      <c r="J4380">
        <v>-425.6155</v>
      </c>
      <c r="K4380">
        <v>1.1082289999999999</v>
      </c>
      <c r="L4380">
        <v>214.90819999999999</v>
      </c>
      <c r="M4380">
        <v>0.99999519999999997</v>
      </c>
      <c r="N4380">
        <v>0</v>
      </c>
      <c r="O4380">
        <v>-1.533499E-3</v>
      </c>
      <c r="P4380">
        <v>0.99932359999999998</v>
      </c>
      <c r="Q4380">
        <v>-7.5145380000000003E-3</v>
      </c>
      <c r="R4380">
        <v>-3.5998570000000001E-2</v>
      </c>
      <c r="S4380">
        <v>3.0027159999999999</v>
      </c>
      <c r="T4380">
        <v>-0.1029586</v>
      </c>
      <c r="U4380">
        <v>3.7109379999999997E-2</v>
      </c>
      <c r="V4380">
        <v>3.4465429999999998E-2</v>
      </c>
      <c r="W4380">
        <v>-4.8031920000000004E-3</v>
      </c>
      <c r="X4380">
        <v>0.99939440000000002</v>
      </c>
      <c r="Y4380">
        <v>-1.388198E-2</v>
      </c>
      <c r="Z4380">
        <v>2.9048110000000002E-4</v>
      </c>
      <c r="AA4380">
        <v>0.9999036</v>
      </c>
      <c r="AB4380">
        <v>43</v>
      </c>
      <c r="AC4380">
        <v>31.8888</v>
      </c>
      <c r="AD4380">
        <v>-1.1082285536323999</v>
      </c>
      <c r="AE4380">
        <v>0.400100000000008</v>
      </c>
      <c r="AF4380">
        <v>-0.44845960128738299</v>
      </c>
      <c r="AG4380">
        <v>-1.1082285536323999</v>
      </c>
      <c r="AH4380">
        <v>31.849688076200199</v>
      </c>
      <c r="AI4380">
        <v>91.992638844750999</v>
      </c>
      <c r="AJ4380">
        <v>90.806700036913</v>
      </c>
      <c r="AK4380">
        <v>31.872118177057601</v>
      </c>
      <c r="AL4380">
        <v>90.275203673775806</v>
      </c>
      <c r="AM4380">
        <v>88.024862470638098</v>
      </c>
      <c r="AN4380">
        <v>1.0000000516349099</v>
      </c>
    </row>
    <row r="4381" spans="1:40" x14ac:dyDescent="0.25">
      <c r="A4381" t="str">
        <f>"20190312154009739"</f>
        <v>20190312154009739</v>
      </c>
      <c r="B4381" t="str">
        <f>"1552376409729853"</f>
        <v>1552376409729853</v>
      </c>
      <c r="C4381" t="s">
        <v>40</v>
      </c>
      <c r="D4381">
        <v>4.1602690000000004</v>
      </c>
      <c r="E4381">
        <v>0.4820625</v>
      </c>
      <c r="F4381" t="s">
        <v>61</v>
      </c>
      <c r="G4381">
        <v>-394.66609999999997</v>
      </c>
      <c r="H4381" s="1">
        <v>9.4630320000000001E-7</v>
      </c>
      <c r="I4381">
        <v>215.31290000000001</v>
      </c>
      <c r="J4381">
        <v>-425.14260000000002</v>
      </c>
      <c r="K4381">
        <v>1.1082719999999999</v>
      </c>
      <c r="L4381">
        <v>214.9076</v>
      </c>
      <c r="M4381">
        <v>0.99999510000000003</v>
      </c>
      <c r="N4381">
        <v>0</v>
      </c>
      <c r="O4381">
        <v>-1.425202E-3</v>
      </c>
      <c r="P4381">
        <v>0.99937830000000005</v>
      </c>
      <c r="Q4381">
        <v>-7.3617719999999999E-3</v>
      </c>
      <c r="R4381">
        <v>-3.447948E-2</v>
      </c>
      <c r="S4381">
        <v>3.0025940000000002</v>
      </c>
      <c r="T4381">
        <v>-0.1075163</v>
      </c>
      <c r="U4381">
        <v>3.9260860000000002E-2</v>
      </c>
      <c r="V4381">
        <v>3.3055080000000001E-2</v>
      </c>
      <c r="W4381">
        <v>-4.5895170000000004E-3</v>
      </c>
      <c r="X4381">
        <v>0.99944299999999997</v>
      </c>
      <c r="Y4381">
        <v>-1.4489409999999999E-2</v>
      </c>
      <c r="Z4381">
        <v>3.1033789999999998E-4</v>
      </c>
      <c r="AA4381">
        <v>0.99989499999999998</v>
      </c>
      <c r="AB4381">
        <v>43</v>
      </c>
      <c r="AC4381">
        <v>30.476500000000001</v>
      </c>
      <c r="AD4381">
        <v>-1.1082710536967999</v>
      </c>
      <c r="AE4381">
        <v>0.40530000000001098</v>
      </c>
      <c r="AF4381">
        <v>-0.44814240853596599</v>
      </c>
      <c r="AG4381">
        <v>-1.1082710536967999</v>
      </c>
      <c r="AH4381">
        <v>30.4356505202182</v>
      </c>
      <c r="AI4381">
        <v>92.085197337905299</v>
      </c>
      <c r="AJ4381">
        <v>90.843576951127105</v>
      </c>
      <c r="AK4381">
        <v>30.459118814168701</v>
      </c>
      <c r="AL4381">
        <v>90.2629608756545</v>
      </c>
      <c r="AM4381">
        <v>88.105718414492202</v>
      </c>
      <c r="AN4381">
        <v>1.00000000611454</v>
      </c>
    </row>
    <row r="4382" spans="1:40" x14ac:dyDescent="0.25">
      <c r="A4382" t="str">
        <f>"20190312154009761"</f>
        <v>20190312154009761</v>
      </c>
      <c r="B4382" t="str">
        <f>"1552376409750349"</f>
        <v>1552376409750349</v>
      </c>
      <c r="C4382" t="s">
        <v>40</v>
      </c>
      <c r="D4382">
        <v>4.1942170000000001</v>
      </c>
      <c r="E4382">
        <v>0.48213070000000002</v>
      </c>
      <c r="F4382" t="s">
        <v>61</v>
      </c>
      <c r="G4382">
        <v>-394.5059</v>
      </c>
      <c r="H4382" s="1">
        <v>8.6104099999999996E-7</v>
      </c>
      <c r="I4382">
        <v>215.34909999999999</v>
      </c>
      <c r="J4382">
        <v>-424.70949999999999</v>
      </c>
      <c r="K4382">
        <v>1.108306</v>
      </c>
      <c r="L4382">
        <v>214.90710000000001</v>
      </c>
      <c r="M4382">
        <v>0.99999519999999997</v>
      </c>
      <c r="N4382">
        <v>0</v>
      </c>
      <c r="O4382">
        <v>-1.3039309999999999E-3</v>
      </c>
      <c r="P4382">
        <v>0.99944120000000003</v>
      </c>
      <c r="Q4382">
        <v>-7.1365889999999996E-3</v>
      </c>
      <c r="R4382">
        <v>-3.2656869999999998E-2</v>
      </c>
      <c r="S4382">
        <v>3.0025940000000002</v>
      </c>
      <c r="T4382">
        <v>-0.1086179</v>
      </c>
      <c r="U4382">
        <v>4.3273930000000002E-2</v>
      </c>
      <c r="V4382">
        <v>3.1353810000000003E-2</v>
      </c>
      <c r="W4382">
        <v>-4.3095039999999996E-3</v>
      </c>
      <c r="X4382">
        <v>0.99949909999999997</v>
      </c>
      <c r="Y4382">
        <v>-1.5703350000000001E-2</v>
      </c>
      <c r="Z4382">
        <v>3.3107600000000003E-4</v>
      </c>
      <c r="AA4382">
        <v>0.9998766</v>
      </c>
      <c r="AB4382">
        <v>43</v>
      </c>
      <c r="AC4382">
        <v>30.203599999999899</v>
      </c>
      <c r="AD4382">
        <v>-1.108305138959</v>
      </c>
      <c r="AE4382">
        <v>0.44199999999997802</v>
      </c>
      <c r="AF4382">
        <v>-0.480736025269347</v>
      </c>
      <c r="AG4382">
        <v>-1.108305138959</v>
      </c>
      <c r="AH4382">
        <v>30.162393491611098</v>
      </c>
      <c r="AI4382">
        <v>92.104096872598902</v>
      </c>
      <c r="AJ4382">
        <v>90.913117632461095</v>
      </c>
      <c r="AK4382">
        <v>30.186576959798199</v>
      </c>
      <c r="AL4382">
        <v>90.246917144896202</v>
      </c>
      <c r="AM4382">
        <v>88.203247935334801</v>
      </c>
      <c r="AN4382">
        <v>1.00000004206352</v>
      </c>
    </row>
    <row r="4383" spans="1:40" x14ac:dyDescent="0.25">
      <c r="A4383" t="str">
        <f>"20190312154009782"</f>
        <v>20190312154009782</v>
      </c>
      <c r="B4383" t="str">
        <f>"1552376409769869"</f>
        <v>1552376409769869</v>
      </c>
      <c r="C4383" t="s">
        <v>40</v>
      </c>
      <c r="D4383">
        <v>4.1875689999999999</v>
      </c>
      <c r="E4383">
        <v>0.4821956</v>
      </c>
      <c r="F4383" t="s">
        <v>61</v>
      </c>
      <c r="G4383">
        <v>-394.47559999999999</v>
      </c>
      <c r="H4383" s="1">
        <v>8.4493420000000002E-7</v>
      </c>
      <c r="I4383">
        <v>215.39429999999999</v>
      </c>
      <c r="J4383">
        <v>-424.29250000000002</v>
      </c>
      <c r="K4383">
        <v>1.108336</v>
      </c>
      <c r="L4383">
        <v>214.9066</v>
      </c>
      <c r="M4383">
        <v>0.99999519999999997</v>
      </c>
      <c r="N4383">
        <v>0</v>
      </c>
      <c r="O4383">
        <v>-1.174451E-3</v>
      </c>
      <c r="P4383">
        <v>0.99949560000000004</v>
      </c>
      <c r="Q4383">
        <v>-6.8437230000000003E-3</v>
      </c>
      <c r="R4383">
        <v>-3.1015009999999999E-2</v>
      </c>
      <c r="S4383">
        <v>3.002472</v>
      </c>
      <c r="T4383">
        <v>-0.11006390000000001</v>
      </c>
      <c r="U4383">
        <v>4.8385619999999997E-2</v>
      </c>
      <c r="V4383">
        <v>2.9841679999999999E-2</v>
      </c>
      <c r="W4383">
        <v>-3.9644659999999998E-3</v>
      </c>
      <c r="X4383">
        <v>0.99954679999999996</v>
      </c>
      <c r="Y4383">
        <v>-1.727507E-2</v>
      </c>
      <c r="Z4383">
        <v>3.5954150000000001E-4</v>
      </c>
      <c r="AA4383">
        <v>0.99985069999999998</v>
      </c>
      <c r="AB4383">
        <v>44</v>
      </c>
      <c r="AC4383">
        <v>29.8169</v>
      </c>
      <c r="AD4383">
        <v>-1.1083351550658</v>
      </c>
      <c r="AE4383">
        <v>0.48769999999998898</v>
      </c>
      <c r="AF4383">
        <v>-0.52199723914547902</v>
      </c>
      <c r="AG4383">
        <v>-1.1083351550658</v>
      </c>
      <c r="AH4383">
        <v>29.775176965702201</v>
      </c>
      <c r="AI4383">
        <v>92.131435812147899</v>
      </c>
      <c r="AJ4383">
        <v>91.004365994522203</v>
      </c>
      <c r="AK4383">
        <v>29.800369985497099</v>
      </c>
      <c r="AL4383">
        <v>90.227147759359397</v>
      </c>
      <c r="AM4383">
        <v>88.289930408785807</v>
      </c>
      <c r="AN4383">
        <v>1.00000002412306</v>
      </c>
    </row>
    <row r="4384" spans="1:40" x14ac:dyDescent="0.25">
      <c r="A4384" t="str">
        <f>"20190312154009804"</f>
        <v>20190312154009804</v>
      </c>
      <c r="B4384" t="str">
        <f>"1552376409800125"</f>
        <v>1552376409800125</v>
      </c>
      <c r="C4384" t="s">
        <v>40</v>
      </c>
      <c r="D4384">
        <v>4.2200220000000002</v>
      </c>
      <c r="E4384">
        <v>0.48227890000000001</v>
      </c>
      <c r="F4384" t="s">
        <v>61</v>
      </c>
      <c r="G4384">
        <v>-394.38459999999998</v>
      </c>
      <c r="H4384" s="1">
        <v>7.9649440000000003E-7</v>
      </c>
      <c r="I4384">
        <v>215.43440000000001</v>
      </c>
      <c r="J4384">
        <v>-423.87369999999999</v>
      </c>
      <c r="K4384">
        <v>1.108358</v>
      </c>
      <c r="L4384">
        <v>214.90620000000001</v>
      </c>
      <c r="M4384">
        <v>0.99999510000000003</v>
      </c>
      <c r="N4384">
        <v>0</v>
      </c>
      <c r="O4384">
        <v>-1.034613E-3</v>
      </c>
      <c r="P4384">
        <v>0.9995269</v>
      </c>
      <c r="Q4384">
        <v>-6.3525269999999898E-3</v>
      </c>
      <c r="R4384">
        <v>-3.0090639999999998E-2</v>
      </c>
      <c r="S4384">
        <v>3.0024109999999999</v>
      </c>
      <c r="T4384">
        <v>-0.11126419999999999</v>
      </c>
      <c r="U4384">
        <v>5.2978520000000001E-2</v>
      </c>
      <c r="V4384">
        <v>2.905723E-2</v>
      </c>
      <c r="W4384">
        <v>-3.4215370000000001E-3</v>
      </c>
      <c r="X4384">
        <v>0.99957189999999996</v>
      </c>
      <c r="Y4384">
        <v>-1.8663510000000001E-2</v>
      </c>
      <c r="Z4384">
        <v>3.8399819999999999E-4</v>
      </c>
      <c r="AA4384">
        <v>0.99982579999999999</v>
      </c>
      <c r="AB4384">
        <v>44</v>
      </c>
      <c r="AC4384">
        <v>29.489100000000001</v>
      </c>
      <c r="AD4384">
        <v>-1.1083572035056</v>
      </c>
      <c r="AE4384">
        <v>0.528199999999998</v>
      </c>
      <c r="AF4384">
        <v>-0.55792175787260401</v>
      </c>
      <c r="AG4384">
        <v>-1.1083572035056</v>
      </c>
      <c r="AH4384">
        <v>29.446952655328602</v>
      </c>
      <c r="AI4384">
        <v>92.155158404299101</v>
      </c>
      <c r="AJ4384">
        <v>91.085434480847496</v>
      </c>
      <c r="AK4384">
        <v>29.4730852315063</v>
      </c>
      <c r="AL4384">
        <v>90.196040010798399</v>
      </c>
      <c r="AM4384">
        <v>88.334899249538196</v>
      </c>
      <c r="AN4384">
        <v>1.00000000640016</v>
      </c>
    </row>
    <row r="4385" spans="1:40" x14ac:dyDescent="0.25">
      <c r="A4385" t="str">
        <f>"20190312154009827"</f>
        <v>20190312154009827</v>
      </c>
      <c r="B4385" t="str">
        <f>"1552376409820622"</f>
        <v>1552376409820622</v>
      </c>
      <c r="C4385" t="s">
        <v>40</v>
      </c>
      <c r="D4385">
        <v>4.2446580000000003</v>
      </c>
      <c r="E4385">
        <v>0.48234159999999998</v>
      </c>
      <c r="F4385" t="s">
        <v>61</v>
      </c>
      <c r="G4385">
        <v>-394.55200000000002</v>
      </c>
      <c r="H4385" s="1">
        <v>8.8556319999999996E-7</v>
      </c>
      <c r="I4385">
        <v>215.44569999999999</v>
      </c>
      <c r="J4385">
        <v>-423.4135</v>
      </c>
      <c r="K4385">
        <v>1.1083809999999901</v>
      </c>
      <c r="L4385">
        <v>214.9058</v>
      </c>
      <c r="M4385">
        <v>0.99999530000000003</v>
      </c>
      <c r="N4385">
        <v>0</v>
      </c>
      <c r="O4385">
        <v>-8.7368809999999999E-4</v>
      </c>
      <c r="P4385">
        <v>0.99952859999999999</v>
      </c>
      <c r="Q4385">
        <v>-6.2892570000000004E-3</v>
      </c>
      <c r="R4385">
        <v>-3.0054959999999999E-2</v>
      </c>
      <c r="S4385">
        <v>3.0023499999999999</v>
      </c>
      <c r="T4385">
        <v>-0.1134886</v>
      </c>
      <c r="U4385">
        <v>5.5236819999999999E-2</v>
      </c>
      <c r="V4385">
        <v>2.9182260000000002E-2</v>
      </c>
      <c r="W4385">
        <v>-3.301867E-3</v>
      </c>
      <c r="X4385">
        <v>0.99956860000000003</v>
      </c>
      <c r="Y4385">
        <v>-1.9253920000000001E-2</v>
      </c>
      <c r="Z4385">
        <v>3.9674870000000001E-4</v>
      </c>
      <c r="AA4385">
        <v>0.9998146</v>
      </c>
      <c r="AB4385">
        <v>44</v>
      </c>
      <c r="AC4385">
        <v>28.861499999999999</v>
      </c>
      <c r="AD4385">
        <v>-1.10838011443679</v>
      </c>
      <c r="AE4385">
        <v>0.53989999999998795</v>
      </c>
      <c r="AF4385">
        <v>-0.56428392461307597</v>
      </c>
      <c r="AG4385">
        <v>-1.10838011443679</v>
      </c>
      <c r="AH4385">
        <v>28.8185299395928</v>
      </c>
      <c r="AI4385">
        <v>92.202127071807098</v>
      </c>
      <c r="AJ4385">
        <v>91.121742033207198</v>
      </c>
      <c r="AK4385">
        <v>28.845356484274198</v>
      </c>
      <c r="AL4385">
        <v>90.189183397517894</v>
      </c>
      <c r="AM4385">
        <v>88.327733049606707</v>
      </c>
      <c r="AN4385">
        <v>0.99999994636517497</v>
      </c>
    </row>
    <row r="4386" spans="1:40" x14ac:dyDescent="0.25">
      <c r="A4386" t="str">
        <f>"20190312154009849"</f>
        <v>20190312154009849</v>
      </c>
      <c r="B4386" t="str">
        <f>"1552376409840141"</f>
        <v>1552376409840141</v>
      </c>
      <c r="C4386" t="s">
        <v>40</v>
      </c>
      <c r="D4386">
        <v>4.2446099999999998</v>
      </c>
      <c r="E4386">
        <v>0.48491030000000002</v>
      </c>
      <c r="F4386" t="s">
        <v>61</v>
      </c>
      <c r="G4386">
        <v>-394.67860000000002</v>
      </c>
      <c r="H4386" s="1">
        <v>9.5292569999999996E-7</v>
      </c>
      <c r="I4386">
        <v>215.43039999999999</v>
      </c>
      <c r="J4386">
        <v>-422.9692</v>
      </c>
      <c r="K4386">
        <v>1.1083959999999999</v>
      </c>
      <c r="L4386">
        <v>214.90549999999999</v>
      </c>
      <c r="M4386">
        <v>0.99999519999999997</v>
      </c>
      <c r="N4386">
        <v>0</v>
      </c>
      <c r="O4386">
        <v>-7.1360749999999995E-4</v>
      </c>
      <c r="P4386">
        <v>0.99950380000000005</v>
      </c>
      <c r="Q4386">
        <v>-6.3500780000000003E-3</v>
      </c>
      <c r="R4386">
        <v>-3.085572E-2</v>
      </c>
      <c r="S4386">
        <v>3.00238</v>
      </c>
      <c r="T4386">
        <v>-0.1158097</v>
      </c>
      <c r="U4386">
        <v>5.4809570000000002E-2</v>
      </c>
      <c r="V4386">
        <v>3.0143199999999998E-2</v>
      </c>
      <c r="W4386">
        <v>-3.308657E-3</v>
      </c>
      <c r="X4386">
        <v>0.99954010000000004</v>
      </c>
      <c r="Y4386">
        <v>-1.8951200000000001E-2</v>
      </c>
      <c r="Z4386">
        <v>3.9284580000000001E-4</v>
      </c>
      <c r="AA4386">
        <v>0.99982040000000005</v>
      </c>
      <c r="AB4386">
        <v>44</v>
      </c>
      <c r="AC4386">
        <v>28.290599999999898</v>
      </c>
      <c r="AD4386">
        <v>-1.1083950470743</v>
      </c>
      <c r="AE4386">
        <v>0.52490000000000203</v>
      </c>
      <c r="AF4386">
        <v>-0.54425320808722999</v>
      </c>
      <c r="AG4386">
        <v>-1.1083950470743</v>
      </c>
      <c r="AH4386">
        <v>28.246874544592</v>
      </c>
      <c r="AI4386">
        <v>92.246691997092398</v>
      </c>
      <c r="AJ4386">
        <v>91.103823140488402</v>
      </c>
      <c r="AK4386">
        <v>28.273851394403501</v>
      </c>
      <c r="AL4386">
        <v>90.1895724305665</v>
      </c>
      <c r="AM4386">
        <v>88.272650728606393</v>
      </c>
      <c r="AN4386">
        <v>0.99999998561269599</v>
      </c>
    </row>
    <row r="4387" spans="1:40" x14ac:dyDescent="0.25">
      <c r="A4387" t="str">
        <f>"20190312154009871"</f>
        <v>20190312154009871</v>
      </c>
      <c r="B4387" t="str">
        <f>"1552376409860637"</f>
        <v>1552376409860637</v>
      </c>
      <c r="C4387" t="s">
        <v>40</v>
      </c>
      <c r="D4387">
        <v>4.2475860000000001</v>
      </c>
      <c r="E4387">
        <v>0.48540230000000001</v>
      </c>
      <c r="F4387" t="s">
        <v>62</v>
      </c>
      <c r="G4387">
        <v>-400.47980000000001</v>
      </c>
      <c r="H4387" s="1">
        <v>8.0777779999999905E-6</v>
      </c>
      <c r="I4387">
        <v>215.15690000000001</v>
      </c>
      <c r="J4387">
        <v>-422.54309999999998</v>
      </c>
      <c r="K4387">
        <v>1.1084099999999999</v>
      </c>
      <c r="L4387">
        <v>214.90530000000001</v>
      </c>
      <c r="M4387">
        <v>0.99999510000000003</v>
      </c>
      <c r="N4387">
        <v>0</v>
      </c>
      <c r="O4387">
        <v>-5.5830219999999996E-4</v>
      </c>
      <c r="P4387">
        <v>0.99945059999999997</v>
      </c>
      <c r="Q4387">
        <v>-6.6346209999999899E-3</v>
      </c>
      <c r="R4387">
        <v>-3.2474709999999997E-2</v>
      </c>
      <c r="S4387">
        <v>3.0015559999999999</v>
      </c>
      <c r="T4387">
        <v>-0.14793129999999999</v>
      </c>
      <c r="U4387">
        <v>3.355408E-2</v>
      </c>
      <c r="V4387">
        <v>3.1917710000000002E-2</v>
      </c>
      <c r="W4387">
        <v>-3.5414029999999998E-3</v>
      </c>
      <c r="X4387">
        <v>0.99948419999999905</v>
      </c>
      <c r="Y4387">
        <v>-1.1721560000000001E-2</v>
      </c>
      <c r="Z4387">
        <v>3.1616190000000001E-4</v>
      </c>
      <c r="AA4387">
        <v>0.99993129999999997</v>
      </c>
      <c r="AB4387">
        <v>44</v>
      </c>
      <c r="AC4387">
        <v>22.063299999999899</v>
      </c>
      <c r="AD4387">
        <v>-1.1084019222220001</v>
      </c>
      <c r="AE4387">
        <v>0.25159999999999599</v>
      </c>
      <c r="AF4387">
        <v>-0.26325369690670702</v>
      </c>
      <c r="AG4387">
        <v>-1.1084019222220001</v>
      </c>
      <c r="AH4387">
        <v>22.007620651626201</v>
      </c>
      <c r="AI4387">
        <v>92.883028863475005</v>
      </c>
      <c r="AJ4387">
        <v>90.6853356235506</v>
      </c>
      <c r="AK4387">
        <v>22.037087468084401</v>
      </c>
      <c r="AL4387">
        <v>90.202907874882101</v>
      </c>
      <c r="AM4387">
        <v>88.170927757927004</v>
      </c>
      <c r="AN4387">
        <v>0.99999997389824502</v>
      </c>
    </row>
    <row r="4388" spans="1:40" x14ac:dyDescent="0.25">
      <c r="A4388" t="str">
        <f>"20190312154009892"</f>
        <v>20190312154009892</v>
      </c>
      <c r="B4388" t="str">
        <f>"1552376409880157"</f>
        <v>1552376409880157</v>
      </c>
      <c r="C4388" t="s">
        <v>40</v>
      </c>
      <c r="D4388">
        <v>4.244821</v>
      </c>
      <c r="E4388">
        <v>0.48490109999999997</v>
      </c>
      <c r="F4388" t="s">
        <v>62</v>
      </c>
      <c r="G4388">
        <v>-400.37240000000003</v>
      </c>
      <c r="H4388" s="1">
        <v>8.1395459999999997E-6</v>
      </c>
      <c r="I4388">
        <v>215.08840000000001</v>
      </c>
      <c r="J4388">
        <v>-422.11110000000002</v>
      </c>
      <c r="K4388">
        <v>1.108428</v>
      </c>
      <c r="L4388">
        <v>214.9051</v>
      </c>
      <c r="M4388">
        <v>0.99999510000000003</v>
      </c>
      <c r="N4388">
        <v>0</v>
      </c>
      <c r="O4388">
        <v>-3.9966589999999998E-4</v>
      </c>
      <c r="P4388">
        <v>0.99938439999999995</v>
      </c>
      <c r="Q4388">
        <v>-7.0110469999999899E-3</v>
      </c>
      <c r="R4388">
        <v>-3.4381109999999999E-2</v>
      </c>
      <c r="S4388">
        <v>3.0014340000000002</v>
      </c>
      <c r="T4388">
        <v>-0.15005370000000001</v>
      </c>
      <c r="U4388">
        <v>2.479553E-2</v>
      </c>
      <c r="V4388">
        <v>3.3982940000000003E-2</v>
      </c>
      <c r="W4388">
        <v>-3.8652460000000001E-3</v>
      </c>
      <c r="X4388">
        <v>0.99941489999999999</v>
      </c>
      <c r="Y4388">
        <v>-8.6492979999999997E-3</v>
      </c>
      <c r="Z4388">
        <v>2.3603609999999999E-4</v>
      </c>
      <c r="AA4388">
        <v>0.99996260000000003</v>
      </c>
      <c r="AB4388">
        <v>44</v>
      </c>
      <c r="AC4388">
        <v>21.738699999999898</v>
      </c>
      <c r="AD4388">
        <v>-1.1084198604540001</v>
      </c>
      <c r="AE4388">
        <v>0.18330000000000199</v>
      </c>
      <c r="AF4388">
        <v>-0.191490441141102</v>
      </c>
      <c r="AG4388">
        <v>-1.1084198604540001</v>
      </c>
      <c r="AH4388">
        <v>21.682259277246899</v>
      </c>
      <c r="AI4388">
        <v>92.926358947337206</v>
      </c>
      <c r="AJ4388">
        <v>90.506003950617796</v>
      </c>
      <c r="AK4388">
        <v>21.711417055131498</v>
      </c>
      <c r="AL4388">
        <v>90.221462842591094</v>
      </c>
      <c r="AM4388">
        <v>88.052531378111397</v>
      </c>
      <c r="AN4388">
        <v>0.99999996133984603</v>
      </c>
    </row>
    <row r="4389" spans="1:40" x14ac:dyDescent="0.25">
      <c r="A4389" t="str">
        <f>"20190312154009915"</f>
        <v>20190312154009915</v>
      </c>
      <c r="B4389" t="str">
        <f>"1552376409910413"</f>
        <v>1552376409910413</v>
      </c>
      <c r="C4389" t="s">
        <v>40</v>
      </c>
      <c r="D4389">
        <v>4.2161949999999999</v>
      </c>
      <c r="E4389">
        <v>0.48557739999999999</v>
      </c>
      <c r="F4389" t="s">
        <v>62</v>
      </c>
      <c r="G4389">
        <v>-400.3218</v>
      </c>
      <c r="H4389" s="1">
        <v>8.1652149999999902E-6</v>
      </c>
      <c r="I4389">
        <v>215.0729</v>
      </c>
      <c r="J4389">
        <v>-421.66669999999999</v>
      </c>
      <c r="K4389">
        <v>1.1084480000000001</v>
      </c>
      <c r="L4389">
        <v>214.905</v>
      </c>
      <c r="M4389">
        <v>0.99999490000000002</v>
      </c>
      <c r="N4389">
        <v>0</v>
      </c>
      <c r="O4389">
        <v>-2.3579819999999999E-4</v>
      </c>
      <c r="P4389">
        <v>0.99931959999999997</v>
      </c>
      <c r="Q4389">
        <v>-7.5863939999999998E-3</v>
      </c>
      <c r="R4389">
        <v>-3.6103000000000003E-2</v>
      </c>
      <c r="S4389">
        <v>3.001617</v>
      </c>
      <c r="T4389">
        <v>-0.1526922</v>
      </c>
      <c r="U4389">
        <v>2.311707E-2</v>
      </c>
      <c r="V4389">
        <v>3.5868549999999999E-2</v>
      </c>
      <c r="W4389">
        <v>-4.3816239999999998E-3</v>
      </c>
      <c r="X4389">
        <v>0.99934690000000004</v>
      </c>
      <c r="Y4389">
        <v>-7.9265469999999904E-3</v>
      </c>
      <c r="Z4389">
        <v>2.1346559999999999E-4</v>
      </c>
      <c r="AA4389">
        <v>0.99996859999999999</v>
      </c>
      <c r="AB4389">
        <v>44</v>
      </c>
      <c r="AC4389">
        <v>21.344899999999999</v>
      </c>
      <c r="AD4389">
        <v>-1.108439834785</v>
      </c>
      <c r="AE4389">
        <v>0.16790000000000299</v>
      </c>
      <c r="AF4389">
        <v>-0.172468040467257</v>
      </c>
      <c r="AG4389">
        <v>-1.108439834785</v>
      </c>
      <c r="AH4389">
        <v>21.287457037373699</v>
      </c>
      <c r="AI4389">
        <v>92.980606922513999</v>
      </c>
      <c r="AJ4389">
        <v>90.464192345702898</v>
      </c>
      <c r="AK4389">
        <v>21.316993484315599</v>
      </c>
      <c r="AL4389">
        <v>90.251049368673705</v>
      </c>
      <c r="AM4389">
        <v>87.944422779807496</v>
      </c>
      <c r="AN4389">
        <v>0.99999998902379394</v>
      </c>
    </row>
    <row r="4390" spans="1:40" x14ac:dyDescent="0.25">
      <c r="A4390" t="str">
        <f>"20190312154010073"</f>
        <v>20190312154010073</v>
      </c>
      <c r="B4390" t="str">
        <f>"1552376410070479"</f>
        <v>1552376410070479</v>
      </c>
      <c r="C4390" t="s">
        <v>40</v>
      </c>
      <c r="D4390">
        <v>5.9704420000000002</v>
      </c>
      <c r="E4390">
        <v>0.48557739999999999</v>
      </c>
      <c r="F4390" t="s">
        <v>61</v>
      </c>
      <c r="G4390">
        <v>-398.84719999999999</v>
      </c>
      <c r="H4390" s="1">
        <v>3.171259E-6</v>
      </c>
      <c r="I4390">
        <v>214.9975</v>
      </c>
      <c r="J4390">
        <v>-418.48169999999999</v>
      </c>
      <c r="K4390">
        <v>1.108679</v>
      </c>
      <c r="L4390">
        <v>214.90649999999999</v>
      </c>
      <c r="M4390">
        <v>0.99998940000000003</v>
      </c>
      <c r="N4390">
        <v>0</v>
      </c>
      <c r="O4390">
        <v>8.6939000000000005E-4</v>
      </c>
      <c r="P4390">
        <v>0.99964750000000002</v>
      </c>
      <c r="Q4390">
        <v>-6.3444919999999898E-3</v>
      </c>
      <c r="R4390">
        <v>-2.5780040000000001E-2</v>
      </c>
      <c r="S4390">
        <v>3.001404</v>
      </c>
      <c r="T4390">
        <v>-0.14579129999999901</v>
      </c>
      <c r="U4390">
        <v>1.216125E-2</v>
      </c>
      <c r="V4390">
        <v>2.6649900000000001E-2</v>
      </c>
      <c r="W4390">
        <v>-1.83296E-3</v>
      </c>
      <c r="X4390">
        <v>0.99964310000000001</v>
      </c>
      <c r="Y4390">
        <v>-3.1797050000000001E-3</v>
      </c>
      <c r="Z4390" s="1">
        <v>3.4974839999999999E-5</v>
      </c>
      <c r="AA4390">
        <v>0.99999490000000002</v>
      </c>
      <c r="AB4390">
        <v>45</v>
      </c>
      <c r="AC4390">
        <v>19.634499999999999</v>
      </c>
      <c r="AD4390">
        <v>-1.1086758287409999</v>
      </c>
      <c r="AE4390">
        <v>9.1000000000008199E-2</v>
      </c>
      <c r="AF4390">
        <v>-7.3694791538495993E-2</v>
      </c>
      <c r="AG4390">
        <v>-1.1086758287409999</v>
      </c>
      <c r="AH4390">
        <v>19.572169608882898</v>
      </c>
      <c r="AI4390">
        <v>93.242061914564403</v>
      </c>
      <c r="AJ4390">
        <v>90.215733904703498</v>
      </c>
      <c r="AK4390">
        <v>19.6036837409303</v>
      </c>
      <c r="AL4390">
        <v>90.105020935849296</v>
      </c>
      <c r="AM4390">
        <v>88.472889767105201</v>
      </c>
      <c r="AN4390">
        <v>0.99999995214498905</v>
      </c>
    </row>
    <row r="4391" spans="1:40" x14ac:dyDescent="0.25">
      <c r="A4391" t="str">
        <f>"20190312154010095"</f>
        <v>20190312154010095</v>
      </c>
      <c r="B4391" t="str">
        <f>"1552376410089997"</f>
        <v>1552376410089997</v>
      </c>
      <c r="C4391" t="s">
        <v>40</v>
      </c>
      <c r="D4391">
        <v>3.669019</v>
      </c>
      <c r="E4391">
        <v>0.53245430000000005</v>
      </c>
      <c r="F4391" t="s">
        <v>61</v>
      </c>
      <c r="G4391">
        <v>-395.14350000000002</v>
      </c>
      <c r="H4391" s="1">
        <v>1.200308E-6</v>
      </c>
      <c r="I4391">
        <v>215.2381</v>
      </c>
      <c r="J4391">
        <v>-418.02100000000002</v>
      </c>
      <c r="K4391">
        <v>1.108703</v>
      </c>
      <c r="L4391">
        <v>214.90700000000001</v>
      </c>
      <c r="M4391">
        <v>0.99998790000000004</v>
      </c>
      <c r="N4391">
        <v>0</v>
      </c>
      <c r="O4391">
        <v>9.753133E-4</v>
      </c>
      <c r="P4391">
        <v>0.99965660000000001</v>
      </c>
      <c r="Q4391">
        <v>-7.4094909999999998E-3</v>
      </c>
      <c r="R4391">
        <v>-2.5136800000000001E-2</v>
      </c>
      <c r="S4391">
        <v>3.0012509999999999</v>
      </c>
      <c r="T4391">
        <v>-0.14257400000000001</v>
      </c>
      <c r="U4391">
        <v>4.263306E-2</v>
      </c>
      <c r="V4391">
        <v>2.61126E-2</v>
      </c>
      <c r="W4391">
        <v>-2.5806449999999999E-3</v>
      </c>
      <c r="X4391">
        <v>0.99965570000000004</v>
      </c>
      <c r="Y4391">
        <v>-1.321463E-2</v>
      </c>
      <c r="Z4391">
        <v>2.673827E-4</v>
      </c>
      <c r="AA4391">
        <v>0.99991260000000004</v>
      </c>
      <c r="AB4391">
        <v>45</v>
      </c>
      <c r="AC4391">
        <v>22.877499999999898</v>
      </c>
      <c r="AD4391">
        <v>-1.1087017996919999</v>
      </c>
      <c r="AE4391">
        <v>0.33109999999999201</v>
      </c>
      <c r="AF4391">
        <v>-0.308063481217694</v>
      </c>
      <c r="AG4391">
        <v>-1.1087017996919999</v>
      </c>
      <c r="AH4391">
        <v>22.8242179065995</v>
      </c>
      <c r="AI4391">
        <v>92.780742336946304</v>
      </c>
      <c r="AJ4391">
        <v>90.773286762534298</v>
      </c>
      <c r="AK4391">
        <v>22.853206467299898</v>
      </c>
      <c r="AL4391">
        <v>90.147860227628101</v>
      </c>
      <c r="AM4391">
        <v>88.503683198053196</v>
      </c>
      <c r="AN4391">
        <v>1.00000002307493</v>
      </c>
    </row>
    <row r="4392" spans="1:40" x14ac:dyDescent="0.25">
      <c r="A4392" t="str">
        <f>"20190312154010117"</f>
        <v>20190312154010117</v>
      </c>
      <c r="B4392" t="str">
        <f>"1552376410110494"</f>
        <v>1552376410110494</v>
      </c>
      <c r="C4392" t="s">
        <v>40</v>
      </c>
      <c r="D4392">
        <v>4.0903749999999999</v>
      </c>
      <c r="E4392">
        <v>0.53052460000000001</v>
      </c>
      <c r="F4392" t="s">
        <v>41</v>
      </c>
      <c r="G4392">
        <v>-417.32350000000002</v>
      </c>
      <c r="H4392">
        <v>0.89242449999999995</v>
      </c>
      <c r="I4392">
        <v>214.83709999999999</v>
      </c>
      <c r="J4392">
        <v>-417.57490000000001</v>
      </c>
      <c r="K4392">
        <v>1.108725</v>
      </c>
      <c r="L4392">
        <v>214.9075</v>
      </c>
      <c r="M4392">
        <v>0.99998640000000005</v>
      </c>
      <c r="N4392">
        <v>0</v>
      </c>
      <c r="O4392">
        <v>1.0527729999999999E-3</v>
      </c>
      <c r="P4392">
        <v>0.99967220000000001</v>
      </c>
      <c r="Q4392">
        <v>-8.1536479999999995E-3</v>
      </c>
      <c r="R4392">
        <v>-2.4278669999999999E-2</v>
      </c>
      <c r="S4392">
        <v>2.9866329999999999</v>
      </c>
      <c r="T4392">
        <v>-0.92611149999999998</v>
      </c>
      <c r="U4392">
        <v>-0.29914859999999999</v>
      </c>
      <c r="V4392">
        <v>2.5331860000000001E-2</v>
      </c>
      <c r="W4392">
        <v>-3.0053879999999999E-3</v>
      </c>
      <c r="X4392">
        <v>0.99967459999999997</v>
      </c>
      <c r="Y4392">
        <v>9.6187819999999993E-2</v>
      </c>
      <c r="Z4392">
        <v>-1.485527E-2</v>
      </c>
      <c r="AA4392">
        <v>0.99525240000000004</v>
      </c>
      <c r="AB4392">
        <v>46</v>
      </c>
      <c r="AC4392">
        <v>0.25139999999998902</v>
      </c>
      <c r="AD4392">
        <v>-0.21630049999999901</v>
      </c>
      <c r="AE4392">
        <v>-7.0400000000006402E-2</v>
      </c>
      <c r="AF4392">
        <v>4.1901859482244098E-2</v>
      </c>
      <c r="AG4392">
        <v>-0.21630049999999901</v>
      </c>
      <c r="AH4392">
        <v>0.14902810353534399</v>
      </c>
      <c r="AI4392">
        <v>144.40861033517399</v>
      </c>
      <c r="AJ4392">
        <v>74.295742605444303</v>
      </c>
      <c r="AK4392">
        <v>0.26599069113722901</v>
      </c>
      <c r="AL4392">
        <v>90.172196303860801</v>
      </c>
      <c r="AM4392">
        <v>88.548429534093103</v>
      </c>
      <c r="AN4392">
        <v>1.00000002068662</v>
      </c>
    </row>
    <row r="4393" spans="1:40" x14ac:dyDescent="0.25">
      <c r="A4393" t="str">
        <f>"20190312154010140"</f>
        <v>20190312154010140</v>
      </c>
      <c r="B4393" t="str">
        <f>"1552376410130013"</f>
        <v>1552376410130013</v>
      </c>
      <c r="C4393" t="s">
        <v>40</v>
      </c>
      <c r="D4393">
        <v>4.1052499999999998</v>
      </c>
      <c r="E4393">
        <v>0.53148039999999996</v>
      </c>
      <c r="F4393" t="s">
        <v>41</v>
      </c>
      <c r="G4393">
        <v>-416.89850000000001</v>
      </c>
      <c r="H4393">
        <v>0.92926030000000004</v>
      </c>
      <c r="I4393">
        <v>214.84219999999999</v>
      </c>
      <c r="J4393">
        <v>-417.09859999999998</v>
      </c>
      <c r="K4393">
        <v>1.1087480000000001</v>
      </c>
      <c r="L4393">
        <v>214.90799999999999</v>
      </c>
      <c r="M4393">
        <v>0.99998430000000005</v>
      </c>
      <c r="N4393">
        <v>0</v>
      </c>
      <c r="O4393">
        <v>1.110392E-3</v>
      </c>
      <c r="P4393">
        <v>0.99970389999999998</v>
      </c>
      <c r="Q4393">
        <v>-8.6292209999999994E-3</v>
      </c>
      <c r="R4393">
        <v>-2.275195E-2</v>
      </c>
      <c r="S4393">
        <v>2.9875180000000001</v>
      </c>
      <c r="T4393">
        <v>-0.79271080000000005</v>
      </c>
      <c r="U4393">
        <v>-0.28709410000000002</v>
      </c>
      <c r="V4393">
        <v>2.3862769999999998E-2</v>
      </c>
      <c r="W4393">
        <v>-3.1267529999999999E-3</v>
      </c>
      <c r="X4393">
        <v>0.9997104</v>
      </c>
      <c r="Y4393">
        <v>9.3517310000000006E-2</v>
      </c>
      <c r="Z4393">
        <v>-1.245833E-2</v>
      </c>
      <c r="AA4393">
        <v>0.99553970000000003</v>
      </c>
      <c r="AB4393">
        <v>46</v>
      </c>
      <c r="AC4393">
        <v>0.200099999999963</v>
      </c>
      <c r="AD4393">
        <v>-0.179487699999999</v>
      </c>
      <c r="AE4393">
        <v>-6.5799999999995806E-2</v>
      </c>
      <c r="AF4393">
        <v>3.8249804221301101E-2</v>
      </c>
      <c r="AG4393">
        <v>-0.179487699999999</v>
      </c>
      <c r="AH4393">
        <v>0.115885140522221</v>
      </c>
      <c r="AI4393">
        <v>145.788043800406</v>
      </c>
      <c r="AJ4393">
        <v>71.733673472753793</v>
      </c>
      <c r="AK4393">
        <v>0.217044345165021</v>
      </c>
      <c r="AL4393">
        <v>90.179150034130402</v>
      </c>
      <c r="AM4393">
        <v>88.632627577982902</v>
      </c>
      <c r="AN4393">
        <v>1.00000004612227</v>
      </c>
    </row>
    <row r="4394" spans="1:40" x14ac:dyDescent="0.25">
      <c r="A4394" t="str">
        <f>"20190312154010163"</f>
        <v>20190312154010163</v>
      </c>
      <c r="B4394" t="str">
        <f>"1552376410160269"</f>
        <v>1552376410160269</v>
      </c>
      <c r="C4394" t="s">
        <v>40</v>
      </c>
      <c r="D4394">
        <v>4.0163250000000001</v>
      </c>
      <c r="E4394">
        <v>0.53296359999999998</v>
      </c>
      <c r="F4394" t="s">
        <v>41</v>
      </c>
      <c r="G4394">
        <v>-416.09719999999999</v>
      </c>
      <c r="H4394">
        <v>0.88455839999999997</v>
      </c>
      <c r="I4394">
        <v>214.80850000000001</v>
      </c>
      <c r="J4394">
        <v>-416.64319999999998</v>
      </c>
      <c r="K4394">
        <v>1.1087750000000001</v>
      </c>
      <c r="L4394">
        <v>214.9085</v>
      </c>
      <c r="M4394">
        <v>0.99998240000000005</v>
      </c>
      <c r="N4394">
        <v>0</v>
      </c>
      <c r="O4394">
        <v>1.148617E-3</v>
      </c>
      <c r="P4394">
        <v>0.99974459999999998</v>
      </c>
      <c r="Q4394">
        <v>-8.9486169999999903E-3</v>
      </c>
      <c r="R4394">
        <v>-2.0766900000000001E-2</v>
      </c>
      <c r="S4394">
        <v>2.9883419999999998</v>
      </c>
      <c r="T4394">
        <v>-0.66907539999999999</v>
      </c>
      <c r="U4394">
        <v>-0.29582209999999998</v>
      </c>
      <c r="V4394">
        <v>2.19157E-2</v>
      </c>
      <c r="W4394">
        <v>-3.1052889999999998E-3</v>
      </c>
      <c r="X4394">
        <v>0.99975499999999995</v>
      </c>
      <c r="Y4394">
        <v>9.7240900000000005E-2</v>
      </c>
      <c r="Z4394">
        <v>-1.098094E-2</v>
      </c>
      <c r="AA4394">
        <v>0.99520030000000004</v>
      </c>
      <c r="AB4394">
        <v>46</v>
      </c>
      <c r="AC4394">
        <v>0.54599999999999205</v>
      </c>
      <c r="AD4394">
        <v>-0.22421659999999999</v>
      </c>
      <c r="AE4394">
        <v>-9.9999999999994302E-2</v>
      </c>
      <c r="AF4394">
        <v>8.6511609111032395E-2</v>
      </c>
      <c r="AG4394">
        <v>-0.22421659999999999</v>
      </c>
      <c r="AH4394">
        <v>0.46931070542043801</v>
      </c>
      <c r="AI4394">
        <v>115.166074859113</v>
      </c>
      <c r="AJ4394">
        <v>79.555482974365404</v>
      </c>
      <c r="AK4394">
        <v>0.52726642264491796</v>
      </c>
      <c r="AL4394">
        <v>90.177920239744395</v>
      </c>
      <c r="AM4394">
        <v>88.744216291518399</v>
      </c>
      <c r="AN4394">
        <v>1.00000000037563</v>
      </c>
    </row>
    <row r="4395" spans="1:40" x14ac:dyDescent="0.25">
      <c r="A4395" t="str">
        <f>"20190312154010183"</f>
        <v>20190312154010183</v>
      </c>
      <c r="B4395" t="str">
        <f>"1552376410179790"</f>
        <v>1552376410179790</v>
      </c>
      <c r="C4395" t="s">
        <v>40</v>
      </c>
      <c r="D4395">
        <v>4.0120570000000004</v>
      </c>
      <c r="E4395">
        <v>0.53192249999999996</v>
      </c>
      <c r="F4395" t="s">
        <v>41</v>
      </c>
      <c r="G4395">
        <v>-415.6123</v>
      </c>
      <c r="H4395">
        <v>1.0429360000000001</v>
      </c>
      <c r="I4395">
        <v>214.79849999999999</v>
      </c>
      <c r="J4395">
        <v>-416.20909999999998</v>
      </c>
      <c r="K4395">
        <v>1.1087910000000001</v>
      </c>
      <c r="L4395">
        <v>214.90899999999999</v>
      </c>
      <c r="M4395">
        <v>0.99998039999999999</v>
      </c>
      <c r="N4395">
        <v>0</v>
      </c>
      <c r="O4395">
        <v>1.1726810000000001E-3</v>
      </c>
      <c r="P4395">
        <v>0.99977709999999997</v>
      </c>
      <c r="Q4395">
        <v>-9.4477859999999997E-3</v>
      </c>
      <c r="R4395">
        <v>-1.8884209999999998E-2</v>
      </c>
      <c r="S4395">
        <v>2.992432</v>
      </c>
      <c r="T4395">
        <v>-0.19110579999999999</v>
      </c>
      <c r="U4395">
        <v>-0.31913760000000002</v>
      </c>
      <c r="V4395">
        <v>2.0057269999999999E-2</v>
      </c>
      <c r="W4395">
        <v>-3.2872750000000001E-3</v>
      </c>
      <c r="X4395">
        <v>0.99979340000000005</v>
      </c>
      <c r="Y4395">
        <v>0.10699500000000001</v>
      </c>
      <c r="Z4395">
        <v>-3.4780229999999998E-3</v>
      </c>
      <c r="AA4395">
        <v>0.99425350000000001</v>
      </c>
      <c r="AB4395">
        <v>46</v>
      </c>
      <c r="AC4395">
        <v>0.59679999999997302</v>
      </c>
      <c r="AD4395">
        <v>-6.5854999999999997E-2</v>
      </c>
      <c r="AE4395">
        <v>-0.11050000000003</v>
      </c>
      <c r="AF4395">
        <v>0.109905889875851</v>
      </c>
      <c r="AG4395">
        <v>-6.5854999999999997E-2</v>
      </c>
      <c r="AH4395">
        <v>0.58972724707734903</v>
      </c>
      <c r="AI4395">
        <v>96.264847109040403</v>
      </c>
      <c r="AJ4395">
        <v>79.443050961336198</v>
      </c>
      <c r="AK4395">
        <v>0.60348522069710298</v>
      </c>
      <c r="AL4395">
        <v>90.188347328192506</v>
      </c>
      <c r="AM4395">
        <v>88.850719770667894</v>
      </c>
      <c r="AN4395">
        <v>0.99999997147016895</v>
      </c>
    </row>
    <row r="4396" spans="1:40" x14ac:dyDescent="0.25">
      <c r="A4396" t="str">
        <f>"20190312154010205"</f>
        <v>20190312154010205</v>
      </c>
      <c r="B4396" t="str">
        <f>"1552376410200285"</f>
        <v>1552376410200285</v>
      </c>
      <c r="C4396" t="s">
        <v>40</v>
      </c>
      <c r="D4396">
        <v>4.0580550000000004</v>
      </c>
      <c r="E4396">
        <v>0.53177839999999998</v>
      </c>
      <c r="F4396" t="s">
        <v>41</v>
      </c>
      <c r="G4396">
        <v>-415.20229999999998</v>
      </c>
      <c r="H4396">
        <v>1.0404799999999901</v>
      </c>
      <c r="I4396">
        <v>214.80600000000001</v>
      </c>
      <c r="J4396">
        <v>-415.7645</v>
      </c>
      <c r="K4396">
        <v>1.1088150000000001</v>
      </c>
      <c r="L4396">
        <v>214.90960000000001</v>
      </c>
      <c r="M4396">
        <v>0.99997840000000005</v>
      </c>
      <c r="N4396">
        <v>0</v>
      </c>
      <c r="O4396">
        <v>1.1823879999999999E-3</v>
      </c>
      <c r="P4396">
        <v>0.99979050000000003</v>
      </c>
      <c r="Q4396">
        <v>-9.9838129999999994E-3</v>
      </c>
      <c r="R4396">
        <v>-1.787302E-2</v>
      </c>
      <c r="S4396">
        <v>2.9929809999999999</v>
      </c>
      <c r="T4396">
        <v>-0.20317969999999999</v>
      </c>
      <c r="U4396">
        <v>-0.30514530000000001</v>
      </c>
      <c r="V4396">
        <v>1.9055659999999999E-2</v>
      </c>
      <c r="W4396">
        <v>-3.5084399999999998E-3</v>
      </c>
      <c r="X4396">
        <v>0.99981220000000004</v>
      </c>
      <c r="Y4396">
        <v>0.10236820000000001</v>
      </c>
      <c r="Z4396">
        <v>-3.541687E-3</v>
      </c>
      <c r="AA4396">
        <v>0.99474019999999996</v>
      </c>
      <c r="AB4396">
        <v>46</v>
      </c>
      <c r="AC4396">
        <v>0.56220000000001802</v>
      </c>
      <c r="AD4396">
        <v>-6.8335000000000007E-2</v>
      </c>
      <c r="AE4396">
        <v>-0.103600000000028</v>
      </c>
      <c r="AF4396">
        <v>0.102795829980975</v>
      </c>
      <c r="AG4396">
        <v>-6.8335000000000007E-2</v>
      </c>
      <c r="AH4396">
        <v>0.55415873269289295</v>
      </c>
      <c r="AI4396">
        <v>96.913065651603702</v>
      </c>
      <c r="AJ4396">
        <v>79.491145937709305</v>
      </c>
      <c r="AK4396">
        <v>0.56773986640562002</v>
      </c>
      <c r="AL4396">
        <v>90.201019230882494</v>
      </c>
      <c r="AM4396">
        <v>88.908118223495507</v>
      </c>
      <c r="AN4396">
        <v>0.99999993129905196</v>
      </c>
    </row>
    <row r="4397" spans="1:40" x14ac:dyDescent="0.25">
      <c r="A4397" t="str">
        <f>"20190312154010228"</f>
        <v>20190312154010228</v>
      </c>
      <c r="B4397" t="str">
        <f>"1552376410219809"</f>
        <v>1552376410219809</v>
      </c>
      <c r="C4397" t="s">
        <v>40</v>
      </c>
      <c r="D4397">
        <v>4.1209930000000004</v>
      </c>
      <c r="E4397">
        <v>0.53080150000000004</v>
      </c>
      <c r="F4397" t="s">
        <v>41</v>
      </c>
      <c r="G4397">
        <v>-414.79079999999999</v>
      </c>
      <c r="H4397">
        <v>1.0398400000000001</v>
      </c>
      <c r="I4397">
        <v>214.8116</v>
      </c>
      <c r="J4397">
        <v>-415.28949999999998</v>
      </c>
      <c r="K4397">
        <v>1.108827</v>
      </c>
      <c r="L4397">
        <v>214.9101</v>
      </c>
      <c r="M4397">
        <v>0.99997619999999998</v>
      </c>
      <c r="N4397">
        <v>0</v>
      </c>
      <c r="O4397">
        <v>1.168702E-3</v>
      </c>
      <c r="P4397">
        <v>0.99979830000000003</v>
      </c>
      <c r="Q4397">
        <v>-9.8689620000000002E-3</v>
      </c>
      <c r="R4397">
        <v>-1.7489950000000001E-2</v>
      </c>
      <c r="S4397">
        <v>2.9931640000000002</v>
      </c>
      <c r="T4397">
        <v>-0.21211559999999999</v>
      </c>
      <c r="U4397">
        <v>-0.300705</v>
      </c>
      <c r="V4397">
        <v>1.8658589999999999E-2</v>
      </c>
      <c r="W4397">
        <v>-3.0673879999999999E-3</v>
      </c>
      <c r="X4397">
        <v>0.99982119999999997</v>
      </c>
      <c r="Y4397">
        <v>0.10087019999999999</v>
      </c>
      <c r="Z4397">
        <v>-3.643276E-3</v>
      </c>
      <c r="AA4397">
        <v>0.99489300000000003</v>
      </c>
      <c r="AB4397">
        <v>46</v>
      </c>
      <c r="AC4397">
        <v>0.49869999999998499</v>
      </c>
      <c r="AD4397">
        <v>-6.8987000000000104E-2</v>
      </c>
      <c r="AE4397">
        <v>-9.8500000000001295E-2</v>
      </c>
      <c r="AF4397">
        <v>9.7290903249228899E-2</v>
      </c>
      <c r="AG4397">
        <v>-6.8987000000000104E-2</v>
      </c>
      <c r="AH4397">
        <v>0.48956782638695101</v>
      </c>
      <c r="AI4397">
        <v>97.869072374920094</v>
      </c>
      <c r="AJ4397">
        <v>78.760154099139697</v>
      </c>
      <c r="AK4397">
        <v>0.50388627948902798</v>
      </c>
      <c r="AL4397">
        <v>90.175748663551005</v>
      </c>
      <c r="AM4397">
        <v>88.930874461871099</v>
      </c>
      <c r="AN4397">
        <v>0.99999999190968503</v>
      </c>
    </row>
    <row r="4398" spans="1:40" x14ac:dyDescent="0.25">
      <c r="A4398" t="str">
        <f>"20190312154010251"</f>
        <v>20190312154010251</v>
      </c>
      <c r="B4398" t="str">
        <f>"1552376410240300"</f>
        <v>1552376410240300</v>
      </c>
      <c r="C4398" t="s">
        <v>40</v>
      </c>
      <c r="D4398">
        <v>4.0546490000000004</v>
      </c>
      <c r="E4398">
        <v>0.52979379999999998</v>
      </c>
      <c r="F4398" t="s">
        <v>41</v>
      </c>
      <c r="G4398">
        <v>-414.37720000000002</v>
      </c>
      <c r="H4398">
        <v>1.042664</v>
      </c>
      <c r="I4398">
        <v>214.82079999999999</v>
      </c>
      <c r="J4398">
        <v>-414.81450000000001</v>
      </c>
      <c r="K4398">
        <v>1.108824</v>
      </c>
      <c r="L4398">
        <v>214.91059999999999</v>
      </c>
      <c r="M4398">
        <v>0.99997420000000004</v>
      </c>
      <c r="N4398">
        <v>0</v>
      </c>
      <c r="O4398">
        <v>1.1233949999999999E-3</v>
      </c>
      <c r="P4398">
        <v>0.99980119999999895</v>
      </c>
      <c r="Q4398">
        <v>-9.5044889999999996E-3</v>
      </c>
      <c r="R4398">
        <v>-1.7542350000000002E-2</v>
      </c>
      <c r="S4398">
        <v>2.9933779999999999</v>
      </c>
      <c r="T4398">
        <v>-0.21721969999999999</v>
      </c>
      <c r="U4398">
        <v>-0.29179379999999999</v>
      </c>
      <c r="V4398">
        <v>1.866547E-2</v>
      </c>
      <c r="W4398">
        <v>-2.389193E-3</v>
      </c>
      <c r="X4398">
        <v>0.99982289999999996</v>
      </c>
      <c r="Y4398">
        <v>9.7880090000000003E-2</v>
      </c>
      <c r="Z4398">
        <v>-3.61963E-3</v>
      </c>
      <c r="AA4398">
        <v>0.99519159999999995</v>
      </c>
      <c r="AB4398">
        <v>46</v>
      </c>
      <c r="AC4398">
        <v>0.43729999999999303</v>
      </c>
      <c r="AD4398">
        <v>-6.6159999999999997E-2</v>
      </c>
      <c r="AE4398">
        <v>-8.9799999999996702E-2</v>
      </c>
      <c r="AF4398">
        <v>8.8350758745205593E-2</v>
      </c>
      <c r="AG4398">
        <v>-6.6159999999999997E-2</v>
      </c>
      <c r="AH4398">
        <v>0.42780295650401401</v>
      </c>
      <c r="AI4398">
        <v>98.612250554114596</v>
      </c>
      <c r="AJ4398">
        <v>78.331206967864603</v>
      </c>
      <c r="AK4398">
        <v>0.44181259801461997</v>
      </c>
      <c r="AL4398">
        <v>90.136890809725998</v>
      </c>
      <c r="AM4398">
        <v>88.930482151809102</v>
      </c>
      <c r="AN4398">
        <v>0.99999996968895999</v>
      </c>
    </row>
    <row r="4399" spans="1:40" x14ac:dyDescent="0.25">
      <c r="A4399" t="str">
        <f>"20190312154010284"</f>
        <v>20190312154010284</v>
      </c>
      <c r="B4399" t="str">
        <f>"1552376410270558"</f>
        <v>1552376410270558</v>
      </c>
      <c r="C4399" t="s">
        <v>40</v>
      </c>
      <c r="D4399">
        <v>4.0851470000000001</v>
      </c>
      <c r="E4399">
        <v>0.52845799999999998</v>
      </c>
      <c r="F4399" t="s">
        <v>41</v>
      </c>
      <c r="G4399">
        <v>-413.96210000000002</v>
      </c>
      <c r="H4399">
        <v>1.0474030000000001</v>
      </c>
      <c r="I4399">
        <v>214.8297</v>
      </c>
      <c r="J4399">
        <v>-414.15230000000003</v>
      </c>
      <c r="K4399">
        <v>1.108816</v>
      </c>
      <c r="L4399">
        <v>214.91130000000001</v>
      </c>
      <c r="M4399">
        <v>0.99997130000000001</v>
      </c>
      <c r="N4399">
        <v>0</v>
      </c>
      <c r="O4399">
        <v>1.0016319999999999E-3</v>
      </c>
      <c r="P4399">
        <v>0.99978239999999996</v>
      </c>
      <c r="Q4399">
        <v>-8.4999120000000001E-3</v>
      </c>
      <c r="R4399">
        <v>-1.905604E-2</v>
      </c>
      <c r="S4399">
        <v>2.9935909999999999</v>
      </c>
      <c r="T4399">
        <v>-0.2157384</v>
      </c>
      <c r="U4399">
        <v>-0.28424070000000001</v>
      </c>
      <c r="V4399">
        <v>2.005738E-2</v>
      </c>
      <c r="W4399">
        <v>-9.7522530000000002E-4</v>
      </c>
      <c r="X4399">
        <v>0.99979839999999998</v>
      </c>
      <c r="Y4399">
        <v>9.5274269999999994E-2</v>
      </c>
      <c r="Z4399">
        <v>-3.4928770000000001E-3</v>
      </c>
      <c r="AA4399">
        <v>0.99544500000000002</v>
      </c>
      <c r="AB4399">
        <v>46</v>
      </c>
      <c r="AC4399">
        <v>0.190200000000004</v>
      </c>
      <c r="AD4399">
        <v>-6.1412999999999898E-2</v>
      </c>
      <c r="AE4399">
        <v>-8.1600000000008693E-2</v>
      </c>
      <c r="AF4399">
        <v>7.5171662536148098E-2</v>
      </c>
      <c r="AG4399">
        <v>-6.1412999999999898E-2</v>
      </c>
      <c r="AH4399">
        <v>0.17473304657538399</v>
      </c>
      <c r="AI4399">
        <v>107.89308804611601</v>
      </c>
      <c r="AJ4399">
        <v>66.722208227034898</v>
      </c>
      <c r="AK4399">
        <v>0.19988489933700301</v>
      </c>
      <c r="AL4399">
        <v>90.055876300101303</v>
      </c>
      <c r="AM4399">
        <v>88.850719215415594</v>
      </c>
      <c r="AN4399">
        <v>1.0000000450997</v>
      </c>
    </row>
    <row r="4400" spans="1:40" x14ac:dyDescent="0.25">
      <c r="A4400" t="str">
        <f>"20190312154010306"</f>
        <v>20190312154010306</v>
      </c>
      <c r="B4400" t="str">
        <f>"1552376410299837"</f>
        <v>1552376410299837</v>
      </c>
      <c r="C4400" t="s">
        <v>40</v>
      </c>
      <c r="D4400">
        <v>4.0993529999999998</v>
      </c>
      <c r="E4400">
        <v>0.54240540000000004</v>
      </c>
      <c r="F4400" t="s">
        <v>41</v>
      </c>
      <c r="G4400">
        <v>-413.14080000000001</v>
      </c>
      <c r="H4400">
        <v>1.036408</v>
      </c>
      <c r="I4400">
        <v>214.81720000000001</v>
      </c>
      <c r="J4400">
        <v>-413.68380000000002</v>
      </c>
      <c r="K4400">
        <v>1.108798</v>
      </c>
      <c r="L4400">
        <v>214.9117</v>
      </c>
      <c r="M4400">
        <v>0.99996929999999995</v>
      </c>
      <c r="N4400">
        <v>0</v>
      </c>
      <c r="O4400">
        <v>8.7396360000000005E-4</v>
      </c>
      <c r="P4400">
        <v>0.99975990000000003</v>
      </c>
      <c r="Q4400">
        <v>-8.8271489999999994E-3</v>
      </c>
      <c r="R4400">
        <v>-2.0063210000000001E-2</v>
      </c>
      <c r="S4400">
        <v>2.9935299999999998</v>
      </c>
      <c r="T4400">
        <v>-0.21434349999999999</v>
      </c>
      <c r="U4400">
        <v>-0.27812189999999998</v>
      </c>
      <c r="V4400">
        <v>2.093683E-2</v>
      </c>
      <c r="W4400">
        <v>-1.0328869999999999E-3</v>
      </c>
      <c r="X4400">
        <v>0.99978020000000001</v>
      </c>
      <c r="Y4400">
        <v>9.3140849999999997E-2</v>
      </c>
      <c r="Z4400">
        <v>-3.3855230000000001E-3</v>
      </c>
      <c r="AA4400">
        <v>0.99564719999999995</v>
      </c>
      <c r="AB4400">
        <v>46</v>
      </c>
      <c r="AC4400">
        <v>0.54300000000000603</v>
      </c>
      <c r="AD4400">
        <v>-7.2389999999999899E-2</v>
      </c>
      <c r="AE4400">
        <v>-9.4499999999982195E-2</v>
      </c>
      <c r="AF4400">
        <v>9.3363975068270405E-2</v>
      </c>
      <c r="AG4400">
        <v>-7.2389999999999899E-2</v>
      </c>
      <c r="AH4400">
        <v>0.53371048380823904</v>
      </c>
      <c r="AI4400">
        <v>97.610017333302295</v>
      </c>
      <c r="AJ4400">
        <v>80.077437719891293</v>
      </c>
      <c r="AK4400">
        <v>0.54662969592528798</v>
      </c>
      <c r="AL4400">
        <v>90.059180080301203</v>
      </c>
      <c r="AM4400">
        <v>88.800319626546795</v>
      </c>
      <c r="AN4400">
        <v>0.99999993300901902</v>
      </c>
    </row>
    <row r="4401" spans="1:40" x14ac:dyDescent="0.25">
      <c r="A4401" t="str">
        <f>"20190312154010330"</f>
        <v>20190312154010330</v>
      </c>
      <c r="B4401" t="str">
        <f>"1552376410320332"</f>
        <v>1552376410320332</v>
      </c>
      <c r="C4401" t="s">
        <v>40</v>
      </c>
      <c r="D4401">
        <v>4.1289319999999998</v>
      </c>
      <c r="E4401">
        <v>0.54483239999999999</v>
      </c>
      <c r="F4401" t="s">
        <v>41</v>
      </c>
      <c r="G4401">
        <v>-412.76580000000001</v>
      </c>
      <c r="H4401">
        <v>0.95454419999999995</v>
      </c>
      <c r="I4401">
        <v>214.79349999999999</v>
      </c>
      <c r="J4401">
        <v>-413.20229999999998</v>
      </c>
      <c r="K4401">
        <v>1.1087819999999999</v>
      </c>
      <c r="L4401">
        <v>214.9119</v>
      </c>
      <c r="M4401">
        <v>0.99996719999999895</v>
      </c>
      <c r="N4401">
        <v>0</v>
      </c>
      <c r="O4401">
        <v>7.1174499999999996E-4</v>
      </c>
      <c r="P4401">
        <v>0.9997336</v>
      </c>
      <c r="Q4401">
        <v>-9.6694099999999998E-3</v>
      </c>
      <c r="R4401">
        <v>-2.096104E-2</v>
      </c>
      <c r="S4401">
        <v>2.9886170000000001</v>
      </c>
      <c r="T4401">
        <v>-0.50218450000000003</v>
      </c>
      <c r="U4401">
        <v>-0.38333129999999999</v>
      </c>
      <c r="V4401">
        <v>2.1671989999999999E-2</v>
      </c>
      <c r="W4401">
        <v>-1.6106099999999999E-3</v>
      </c>
      <c r="X4401">
        <v>0.99976379999999998</v>
      </c>
      <c r="Y4401">
        <v>0.12617719999999999</v>
      </c>
      <c r="Z4401">
        <v>-1.0603370000000001E-2</v>
      </c>
      <c r="AA4401">
        <v>0.99195100000000003</v>
      </c>
      <c r="AB4401">
        <v>46</v>
      </c>
      <c r="AC4401">
        <v>0.43649999999996603</v>
      </c>
      <c r="AD4401">
        <v>-0.15423779999999901</v>
      </c>
      <c r="AE4401">
        <v>-0.118400000000008</v>
      </c>
      <c r="AF4401">
        <v>0.106342950953608</v>
      </c>
      <c r="AG4401">
        <v>-0.15423779999999901</v>
      </c>
      <c r="AH4401">
        <v>0.39094825774101999</v>
      </c>
      <c r="AI4401">
        <v>110.841317890101</v>
      </c>
      <c r="AJ4401">
        <v>74.782987599172401</v>
      </c>
      <c r="AK4401">
        <v>0.43351892968715899</v>
      </c>
      <c r="AL4401">
        <v>90.0922811987991</v>
      </c>
      <c r="AM4401">
        <v>88.758187560970896</v>
      </c>
      <c r="AN4401">
        <v>0.999999962502785</v>
      </c>
    </row>
    <row r="4402" spans="1:40" x14ac:dyDescent="0.25">
      <c r="A4402" t="str">
        <f>"20190312154010352"</f>
        <v>20190312154010352</v>
      </c>
      <c r="B4402" t="str">
        <f>"1552376410339853"</f>
        <v>1552376410339853</v>
      </c>
      <c r="C4402" t="s">
        <v>40</v>
      </c>
      <c r="D4402">
        <v>4.1133790000000001</v>
      </c>
      <c r="E4402">
        <v>0.54482759999999997</v>
      </c>
      <c r="F4402" t="s">
        <v>41</v>
      </c>
      <c r="G4402">
        <v>-412.35419999999999</v>
      </c>
      <c r="H4402">
        <v>0.94908329999999996</v>
      </c>
      <c r="I4402">
        <v>214.79740000000001</v>
      </c>
      <c r="J4402">
        <v>-412.72640000000001</v>
      </c>
      <c r="K4402">
        <v>1.1087739999999999</v>
      </c>
      <c r="L4402">
        <v>214.91210000000001</v>
      </c>
      <c r="M4402">
        <v>0.99996510000000005</v>
      </c>
      <c r="N4402">
        <v>0</v>
      </c>
      <c r="O4402">
        <v>5.2388710000000004E-4</v>
      </c>
      <c r="P4402">
        <v>0.99970680000000001</v>
      </c>
      <c r="Q4402">
        <v>-1.0342209999999999E-2</v>
      </c>
      <c r="R4402">
        <v>-2.1894230000000001E-2</v>
      </c>
      <c r="S4402">
        <v>2.9869379999999999</v>
      </c>
      <c r="T4402">
        <v>-0.56252930000000001</v>
      </c>
      <c r="U4402">
        <v>-0.40304570000000001</v>
      </c>
      <c r="V4402">
        <v>2.2417099999999999E-2</v>
      </c>
      <c r="W4402">
        <v>-2.0209339999999998E-3</v>
      </c>
      <c r="X4402">
        <v>0.99974669999999999</v>
      </c>
      <c r="Y4402">
        <v>0.13195560000000001</v>
      </c>
      <c r="Z4402">
        <v>-1.236055E-2</v>
      </c>
      <c r="AA4402">
        <v>0.99117860000000002</v>
      </c>
      <c r="AB4402">
        <v>46</v>
      </c>
      <c r="AC4402">
        <v>0.37220000000002001</v>
      </c>
      <c r="AD4402">
        <v>-0.15969069999999899</v>
      </c>
      <c r="AE4402">
        <v>-0.114699999999999</v>
      </c>
      <c r="AF4402">
        <v>9.8359342902420599E-2</v>
      </c>
      <c r="AG4402">
        <v>-0.15969069999999899</v>
      </c>
      <c r="AH4402">
        <v>0.31858164057171801</v>
      </c>
      <c r="AI4402">
        <v>115.591985052845</v>
      </c>
      <c r="AJ4402">
        <v>72.842377058148102</v>
      </c>
      <c r="AK4402">
        <v>0.36968897970057601</v>
      </c>
      <c r="AL4402">
        <v>90.115791063367794</v>
      </c>
      <c r="AM4402">
        <v>88.715484606615902</v>
      </c>
      <c r="AN4402">
        <v>1.0000000373537601</v>
      </c>
    </row>
    <row r="4403" spans="1:40" x14ac:dyDescent="0.25">
      <c r="A4403" t="str">
        <f>"20190312154010375"</f>
        <v>20190312154010375</v>
      </c>
      <c r="B4403" t="str">
        <f>"1552376410370109"</f>
        <v>1552376410370109</v>
      </c>
      <c r="C4403" t="s">
        <v>40</v>
      </c>
      <c r="D4403">
        <v>4.1732670000000001</v>
      </c>
      <c r="E4403">
        <v>0.54457219999999995</v>
      </c>
      <c r="F4403" t="s">
        <v>41</v>
      </c>
      <c r="G4403">
        <v>-411.9375</v>
      </c>
      <c r="H4403">
        <v>0.95430890000000002</v>
      </c>
      <c r="I4403">
        <v>214.8048</v>
      </c>
      <c r="J4403">
        <v>-412.2561</v>
      </c>
      <c r="K4403">
        <v>1.108776</v>
      </c>
      <c r="L4403">
        <v>214.91220000000001</v>
      </c>
      <c r="M4403">
        <v>0.99996289999999999</v>
      </c>
      <c r="N4403">
        <v>0</v>
      </c>
      <c r="O4403">
        <v>3.167267E-4</v>
      </c>
      <c r="P4403">
        <v>0.99967320000000004</v>
      </c>
      <c r="Q4403">
        <v>-1.1372510000000001E-2</v>
      </c>
      <c r="R4403">
        <v>-2.289186E-2</v>
      </c>
      <c r="S4403">
        <v>2.9859619999999998</v>
      </c>
      <c r="T4403">
        <v>-0.58465119999999904</v>
      </c>
      <c r="U4403">
        <v>-0.40472409999999998</v>
      </c>
      <c r="V4403">
        <v>2.3207419999999999E-2</v>
      </c>
      <c r="W4403">
        <v>-2.7789590000000001E-3</v>
      </c>
      <c r="X4403">
        <v>0.99972680000000003</v>
      </c>
      <c r="Y4403">
        <v>0.13215739999999901</v>
      </c>
      <c r="Z4403">
        <v>-1.2820969999999999E-2</v>
      </c>
      <c r="AA4403">
        <v>0.99114579999999997</v>
      </c>
      <c r="AB4403">
        <v>46</v>
      </c>
      <c r="AC4403">
        <v>0.31860000000000299</v>
      </c>
      <c r="AD4403">
        <v>-0.154467099999999</v>
      </c>
      <c r="AE4403">
        <v>-0.107400000000012</v>
      </c>
      <c r="AF4403">
        <v>8.8764854111245198E-2</v>
      </c>
      <c r="AG4403">
        <v>-0.154467099999999</v>
      </c>
      <c r="AH4403">
        <v>0.26304393318849301</v>
      </c>
      <c r="AI4403">
        <v>119.09170302587999</v>
      </c>
      <c r="AJ4403">
        <v>71.352900374542699</v>
      </c>
      <c r="AK4403">
        <v>0.31769701776232201</v>
      </c>
      <c r="AL4403">
        <v>90.159222828541701</v>
      </c>
      <c r="AM4403">
        <v>88.670188245572405</v>
      </c>
      <c r="AN4403">
        <v>0.99999999079721003</v>
      </c>
    </row>
    <row r="4404" spans="1:40" x14ac:dyDescent="0.25">
      <c r="A4404" t="str">
        <f>"20190312154010395"</f>
        <v>20190312154010395</v>
      </c>
      <c r="B4404" t="str">
        <f>"1552376410390605"</f>
        <v>1552376410390605</v>
      </c>
      <c r="C4404" t="s">
        <v>40</v>
      </c>
      <c r="D4404">
        <v>4.1590579999999999</v>
      </c>
      <c r="E4404">
        <v>0.54461569999999904</v>
      </c>
      <c r="F4404" t="s">
        <v>41</v>
      </c>
      <c r="G4404">
        <v>-411.52010000000001</v>
      </c>
      <c r="H4404">
        <v>0.96016919999999994</v>
      </c>
      <c r="I4404">
        <v>214.81229999999999</v>
      </c>
      <c r="J4404">
        <v>-411.83580000000001</v>
      </c>
      <c r="K4404">
        <v>1.1087830000000001</v>
      </c>
      <c r="L4404">
        <v>214.91220000000001</v>
      </c>
      <c r="M4404">
        <v>0.99996070000000004</v>
      </c>
      <c r="N4404">
        <v>0</v>
      </c>
      <c r="O4404">
        <v>1.176661E-4</v>
      </c>
      <c r="P4404">
        <v>0.99962790000000001</v>
      </c>
      <c r="Q4404">
        <v>-1.227754E-2</v>
      </c>
      <c r="R4404">
        <v>-2.4361899999999999E-2</v>
      </c>
      <c r="S4404">
        <v>2.9848629999999998</v>
      </c>
      <c r="T4404">
        <v>-0.60273120000000002</v>
      </c>
      <c r="U4404">
        <v>-0.4045105</v>
      </c>
      <c r="V4404">
        <v>2.447798E-2</v>
      </c>
      <c r="W4404">
        <v>-3.4190000000000002E-3</v>
      </c>
      <c r="X4404">
        <v>0.99969450000000004</v>
      </c>
      <c r="Y4404">
        <v>0.13179469999999999</v>
      </c>
      <c r="Z4404">
        <v>-1.313889E-2</v>
      </c>
      <c r="AA4404">
        <v>0.99119000000000002</v>
      </c>
      <c r="AB4404">
        <v>46</v>
      </c>
      <c r="AC4404">
        <v>0.31569999999999199</v>
      </c>
      <c r="AD4404">
        <v>-0.14861379999999999</v>
      </c>
      <c r="AE4404">
        <v>-9.9900000000019404E-2</v>
      </c>
      <c r="AF4404">
        <v>8.3181852416534099E-2</v>
      </c>
      <c r="AG4404">
        <v>-0.14861379999999999</v>
      </c>
      <c r="AH4404">
        <v>0.262760478312072</v>
      </c>
      <c r="AI4404">
        <v>118.334110117511</v>
      </c>
      <c r="AJ4404">
        <v>72.433821194756504</v>
      </c>
      <c r="AK4404">
        <v>0.31312673326414497</v>
      </c>
      <c r="AL4404">
        <v>90.195894656277005</v>
      </c>
      <c r="AM4404">
        <v>88.597366730647494</v>
      </c>
      <c r="AN4404">
        <v>0.99999997719806399</v>
      </c>
    </row>
    <row r="4405" spans="1:40" x14ac:dyDescent="0.25">
      <c r="A4405" t="str">
        <f>"20190312154010418"</f>
        <v>20190312154010418</v>
      </c>
      <c r="B4405" t="str">
        <f>"1552376410410126"</f>
        <v>1552376410410126</v>
      </c>
      <c r="C4405" t="s">
        <v>40</v>
      </c>
      <c r="D4405">
        <v>4.1896839999999997</v>
      </c>
      <c r="E4405">
        <v>0.54467739999999998</v>
      </c>
      <c r="F4405" t="s">
        <v>41</v>
      </c>
      <c r="G4405">
        <v>-411.10559999999998</v>
      </c>
      <c r="H4405">
        <v>0.95923539999999996</v>
      </c>
      <c r="I4405">
        <v>214.81190000000001</v>
      </c>
      <c r="J4405">
        <v>-411.35359999999997</v>
      </c>
      <c r="K4405">
        <v>1.108816</v>
      </c>
      <c r="L4405">
        <v>214.91210000000001</v>
      </c>
      <c r="M4405">
        <v>0.9999574</v>
      </c>
      <c r="N4405">
        <v>0</v>
      </c>
      <c r="O4405">
        <v>-1.22951E-4</v>
      </c>
      <c r="P4405">
        <v>0.99958749999999996</v>
      </c>
      <c r="Q4405">
        <v>-1.318043E-2</v>
      </c>
      <c r="R4405">
        <v>-2.551749E-2</v>
      </c>
      <c r="S4405">
        <v>2.9836429999999998</v>
      </c>
      <c r="T4405">
        <v>-0.61108739999999995</v>
      </c>
      <c r="U4405">
        <v>-0.40866089999999999</v>
      </c>
      <c r="V4405">
        <v>2.5392430000000001E-2</v>
      </c>
      <c r="W4405">
        <v>-3.969467E-3</v>
      </c>
      <c r="X4405">
        <v>0.99966969999999999</v>
      </c>
      <c r="Y4405">
        <v>0.13287289999999999</v>
      </c>
      <c r="Z4405">
        <v>-1.338173E-2</v>
      </c>
      <c r="AA4405">
        <v>0.99104270000000005</v>
      </c>
      <c r="AB4405">
        <v>46</v>
      </c>
      <c r="AC4405">
        <v>0.24799999999999001</v>
      </c>
      <c r="AD4405">
        <v>-0.14958060000000001</v>
      </c>
      <c r="AE4405">
        <v>-0.1002</v>
      </c>
      <c r="AF4405">
        <v>7.6305936472833E-2</v>
      </c>
      <c r="AG4405">
        <v>-0.14958060000000001</v>
      </c>
      <c r="AH4405">
        <v>0.18892787780798201</v>
      </c>
      <c r="AI4405">
        <v>126.283054599407</v>
      </c>
      <c r="AJ4405">
        <v>68.0067477538704</v>
      </c>
      <c r="AK4405">
        <v>0.25276608722371002</v>
      </c>
      <c r="AL4405">
        <v>90.227434298594005</v>
      </c>
      <c r="AM4405">
        <v>88.544953103148302</v>
      </c>
      <c r="AN4405">
        <v>1.00000002063382</v>
      </c>
    </row>
    <row r="4406" spans="1:40" x14ac:dyDescent="0.25">
      <c r="A4406" t="str">
        <f>"20190312154010441"</f>
        <v>20190312154010441</v>
      </c>
      <c r="B4406" t="str">
        <f>"1552376410430624"</f>
        <v>1552376410430624</v>
      </c>
      <c r="C4406" t="s">
        <v>40</v>
      </c>
      <c r="D4406">
        <v>4.2058540000000004</v>
      </c>
      <c r="E4406">
        <v>0.5450798</v>
      </c>
      <c r="F4406" t="s">
        <v>41</v>
      </c>
      <c r="G4406">
        <v>-410.30470000000003</v>
      </c>
      <c r="H4406">
        <v>0.89148490000000002</v>
      </c>
      <c r="I4406">
        <v>214.7671</v>
      </c>
      <c r="J4406">
        <v>-410.87939999999998</v>
      </c>
      <c r="K4406">
        <v>1.1088690000000001</v>
      </c>
      <c r="L4406">
        <v>214.9118</v>
      </c>
      <c r="M4406">
        <v>0.99995330000000004</v>
      </c>
      <c r="N4406">
        <v>0</v>
      </c>
      <c r="O4406">
        <v>-3.6126460000000002E-4</v>
      </c>
      <c r="P4406">
        <v>0.99955740000000004</v>
      </c>
      <c r="Q4406">
        <v>-1.388084E-2</v>
      </c>
      <c r="R4406">
        <v>-2.631971E-2</v>
      </c>
      <c r="S4406">
        <v>2.9825740000000001</v>
      </c>
      <c r="T4406">
        <v>-0.61797299999999999</v>
      </c>
      <c r="U4406">
        <v>-0.41223140000000003</v>
      </c>
      <c r="V4406">
        <v>2.595575E-2</v>
      </c>
      <c r="W4406">
        <v>-4.2421569999999999E-3</v>
      </c>
      <c r="X4406">
        <v>0.99965409999999999</v>
      </c>
      <c r="Y4406">
        <v>0.1337729</v>
      </c>
      <c r="Z4406">
        <v>-1.357628E-2</v>
      </c>
      <c r="AA4406">
        <v>0.99091899999999999</v>
      </c>
      <c r="AB4406">
        <v>46</v>
      </c>
      <c r="AC4406">
        <v>0.57469999999995003</v>
      </c>
      <c r="AD4406">
        <v>-0.2173841</v>
      </c>
      <c r="AE4406">
        <v>-0.1447</v>
      </c>
      <c r="AF4406">
        <v>0.127356718414463</v>
      </c>
      <c r="AG4406">
        <v>-0.2173841</v>
      </c>
      <c r="AH4406">
        <v>0.50659120045842998</v>
      </c>
      <c r="AI4406">
        <v>112.595217533631</v>
      </c>
      <c r="AJ4406">
        <v>75.888318732434996</v>
      </c>
      <c r="AK4406">
        <v>0.56578284265257095</v>
      </c>
      <c r="AL4406">
        <v>90.243058419139203</v>
      </c>
      <c r="AM4406">
        <v>88.512664663550296</v>
      </c>
      <c r="AN4406">
        <v>1.0000000082504401</v>
      </c>
    </row>
    <row r="4407" spans="1:40" x14ac:dyDescent="0.25">
      <c r="A4407" t="str">
        <f>"20190312154010463"</f>
        <v>20190312154010463</v>
      </c>
      <c r="B4407" t="str">
        <f>"1552376410450142"</f>
        <v>1552376410450142</v>
      </c>
      <c r="C4407" t="s">
        <v>40</v>
      </c>
      <c r="D4407">
        <v>4.2685659999999999</v>
      </c>
      <c r="E4407">
        <v>0.54657630000000001</v>
      </c>
      <c r="F4407" t="s">
        <v>41</v>
      </c>
      <c r="G4407">
        <v>-409.88690000000003</v>
      </c>
      <c r="H4407">
        <v>0.90004189999999995</v>
      </c>
      <c r="I4407">
        <v>214.77269999999999</v>
      </c>
      <c r="J4407">
        <v>-410.42849999999999</v>
      </c>
      <c r="K4407">
        <v>1.1089279999999999</v>
      </c>
      <c r="L4407">
        <v>214.91149999999999</v>
      </c>
      <c r="M4407">
        <v>0.99994870000000002</v>
      </c>
      <c r="N4407">
        <v>0</v>
      </c>
      <c r="O4407">
        <v>-5.8074299999999999E-4</v>
      </c>
      <c r="P4407">
        <v>0.99952030000000003</v>
      </c>
      <c r="Q4407">
        <v>-1.4533030000000001E-2</v>
      </c>
      <c r="R4407">
        <v>-2.735106E-2</v>
      </c>
      <c r="S4407">
        <v>2.9816590000000001</v>
      </c>
      <c r="T4407">
        <v>-0.62735209999999997</v>
      </c>
      <c r="U4407">
        <v>-0.41731259999999998</v>
      </c>
      <c r="V4407">
        <v>2.676767E-2</v>
      </c>
      <c r="W4407">
        <v>-4.4361629999999999E-3</v>
      </c>
      <c r="X4407">
        <v>0.99963179999999996</v>
      </c>
      <c r="Y4407">
        <v>0.1351435</v>
      </c>
      <c r="Z4407">
        <v>-1.387704E-2</v>
      </c>
      <c r="AA4407">
        <v>0.99072890000000002</v>
      </c>
      <c r="AB4407">
        <v>46</v>
      </c>
      <c r="AC4407">
        <v>0.541599999999959</v>
      </c>
      <c r="AD4407">
        <v>-0.20888609999999999</v>
      </c>
      <c r="AE4407">
        <v>-0.138800000000003</v>
      </c>
      <c r="AF4407">
        <v>0.121522791690992</v>
      </c>
      <c r="AG4407">
        <v>-0.20888609999999999</v>
      </c>
      <c r="AH4407">
        <v>0.475331801596449</v>
      </c>
      <c r="AI4407">
        <v>113.062332525862</v>
      </c>
      <c r="AJ4407">
        <v>75.659008082325101</v>
      </c>
      <c r="AK4407">
        <v>0.53323682663757199</v>
      </c>
      <c r="AL4407">
        <v>90.254174260560205</v>
      </c>
      <c r="AM4407">
        <v>88.466127118639506</v>
      </c>
      <c r="AN4407">
        <v>0.99999996163531402</v>
      </c>
    </row>
    <row r="4408" spans="1:40" x14ac:dyDescent="0.25">
      <c r="A4408" t="str">
        <f>"20190312154010485"</f>
        <v>20190312154010485</v>
      </c>
      <c r="B4408" t="str">
        <f>"1552376410480398"</f>
        <v>1552376410480398</v>
      </c>
      <c r="C4408" t="s">
        <v>40</v>
      </c>
      <c r="D4408">
        <v>4.2088269999999897</v>
      </c>
      <c r="E4408">
        <v>0.54732259999999999</v>
      </c>
      <c r="F4408" t="s">
        <v>41</v>
      </c>
      <c r="G4408">
        <v>-409.47320000000002</v>
      </c>
      <c r="H4408">
        <v>0.89952770000000004</v>
      </c>
      <c r="I4408">
        <v>214.77269999999999</v>
      </c>
      <c r="J4408">
        <v>-409.9717</v>
      </c>
      <c r="K4408">
        <v>1.1089880000000001</v>
      </c>
      <c r="L4408">
        <v>214.911</v>
      </c>
      <c r="M4408">
        <v>0.99994309999999997</v>
      </c>
      <c r="N4408">
        <v>0</v>
      </c>
      <c r="O4408">
        <v>-8.0521309999999997E-4</v>
      </c>
      <c r="P4408">
        <v>0.999498</v>
      </c>
      <c r="Q4408">
        <v>-1.50721E-2</v>
      </c>
      <c r="R4408">
        <v>-2.7874650000000001E-2</v>
      </c>
      <c r="S4408">
        <v>2.9801030000000002</v>
      </c>
      <c r="T4408">
        <v>-0.65326070000000003</v>
      </c>
      <c r="U4408">
        <v>-0.43150329999999898</v>
      </c>
      <c r="V4408">
        <v>2.7066719999999999E-2</v>
      </c>
      <c r="W4408">
        <v>-4.4602909999999999E-3</v>
      </c>
      <c r="X4408">
        <v>0.9996237</v>
      </c>
      <c r="Y4408">
        <v>0.13928219999999999</v>
      </c>
      <c r="Z4408">
        <v>-1.4837589999999999E-2</v>
      </c>
      <c r="AA4408">
        <v>0.99014159999999996</v>
      </c>
      <c r="AB4408">
        <v>46</v>
      </c>
      <c r="AC4408">
        <v>0.49849999999997802</v>
      </c>
      <c r="AD4408">
        <v>-0.20946029999999899</v>
      </c>
      <c r="AE4408">
        <v>-0.13829999999998599</v>
      </c>
      <c r="AF4408">
        <v>0.118476209678649</v>
      </c>
      <c r="AG4408">
        <v>-0.20946029999999899</v>
      </c>
      <c r="AH4408">
        <v>0.42838429209713502</v>
      </c>
      <c r="AI4408">
        <v>115.232776099375</v>
      </c>
      <c r="AJ4408">
        <v>74.540405213176101</v>
      </c>
      <c r="AK4408">
        <v>0.49134848249635699</v>
      </c>
      <c r="AL4408">
        <v>90.255556691543106</v>
      </c>
      <c r="AM4408">
        <v>88.448986362157399</v>
      </c>
      <c r="AN4408">
        <v>1.0000000215645199</v>
      </c>
    </row>
    <row r="4409" spans="1:40" x14ac:dyDescent="0.25">
      <c r="A4409" t="str">
        <f>"20190312154010506"</f>
        <v>20190312154010506</v>
      </c>
      <c r="B4409" t="str">
        <f>"1552376410499918"</f>
        <v>1552376410499918</v>
      </c>
      <c r="C4409" t="s">
        <v>40</v>
      </c>
      <c r="D4409">
        <v>4.2128949999999996</v>
      </c>
      <c r="E4409">
        <v>0.54761669999999996</v>
      </c>
      <c r="F4409" t="s">
        <v>41</v>
      </c>
      <c r="G4409">
        <v>-409.05810000000002</v>
      </c>
      <c r="H4409">
        <v>0.90372680000000005</v>
      </c>
      <c r="I4409">
        <v>214.7766</v>
      </c>
      <c r="J4409">
        <v>-409.51960000000003</v>
      </c>
      <c r="K4409">
        <v>1.109051</v>
      </c>
      <c r="L4409">
        <v>214.91050000000001</v>
      </c>
      <c r="M4409">
        <v>0.99993719999999997</v>
      </c>
      <c r="N4409">
        <v>0</v>
      </c>
      <c r="O4409">
        <v>-1.033644E-3</v>
      </c>
      <c r="P4409">
        <v>0.99945229999999996</v>
      </c>
      <c r="Q4409">
        <v>-1.6986109999999999E-2</v>
      </c>
      <c r="R4409">
        <v>-2.840206E-2</v>
      </c>
      <c r="S4409">
        <v>2.979187</v>
      </c>
      <c r="T4409">
        <v>-0.66938299999999995</v>
      </c>
      <c r="U4409">
        <v>-0.43806460000000003</v>
      </c>
      <c r="V4409">
        <v>2.73651E-2</v>
      </c>
      <c r="W4409">
        <v>-5.846955E-3</v>
      </c>
      <c r="X4409">
        <v>0.99960839999999995</v>
      </c>
      <c r="Y4409">
        <v>0.14103729999999901</v>
      </c>
      <c r="Z4409">
        <v>-1.5340599999999999E-2</v>
      </c>
      <c r="AA4409">
        <v>0.98988540000000003</v>
      </c>
      <c r="AB4409">
        <v>46</v>
      </c>
      <c r="AC4409">
        <v>0.46150000000000002</v>
      </c>
      <c r="AD4409">
        <v>-0.20532420000000001</v>
      </c>
      <c r="AE4409">
        <v>-0.13390000000001101</v>
      </c>
      <c r="AF4409">
        <v>0.112824286993885</v>
      </c>
      <c r="AG4409">
        <v>-0.20532420000000001</v>
      </c>
      <c r="AH4409">
        <v>0.39036783003203501</v>
      </c>
      <c r="AI4409">
        <v>116.807246065012</v>
      </c>
      <c r="AJ4409">
        <v>73.879624597622794</v>
      </c>
      <c r="AK4409">
        <v>0.45527397198306702</v>
      </c>
      <c r="AL4409">
        <v>90.335007755187206</v>
      </c>
      <c r="AM4409">
        <v>88.431872690540501</v>
      </c>
      <c r="AN4409">
        <v>0.99999999446567001</v>
      </c>
    </row>
    <row r="4410" spans="1:40" x14ac:dyDescent="0.25">
      <c r="A4410" t="str">
        <f>"20190312154010531"</f>
        <v>20190312154010531</v>
      </c>
      <c r="B4410" t="str">
        <f>"1552376410520413"</f>
        <v>1552376410520413</v>
      </c>
      <c r="C4410" t="s">
        <v>40</v>
      </c>
      <c r="D4410">
        <v>4.3051209999999998</v>
      </c>
      <c r="E4410">
        <v>0.54803999999999997</v>
      </c>
      <c r="F4410" t="s">
        <v>41</v>
      </c>
      <c r="G4410">
        <v>-408.64339999999999</v>
      </c>
      <c r="H4410">
        <v>0.90838850000000004</v>
      </c>
      <c r="I4410">
        <v>214.78049999999999</v>
      </c>
      <c r="J4410">
        <v>-409.02429999999998</v>
      </c>
      <c r="K4410">
        <v>1.109116</v>
      </c>
      <c r="L4410">
        <v>214.90969999999999</v>
      </c>
      <c r="M4410">
        <v>0.99993050000000006</v>
      </c>
      <c r="N4410">
        <v>0</v>
      </c>
      <c r="O4410">
        <v>-1.2900399999999999E-3</v>
      </c>
      <c r="P4410">
        <v>0.99942880000000001</v>
      </c>
      <c r="Q4410">
        <v>-1.8010700000000001E-2</v>
      </c>
      <c r="R4410">
        <v>-2.8598579999999998E-2</v>
      </c>
      <c r="S4410">
        <v>2.977509</v>
      </c>
      <c r="T4410">
        <v>-0.68187929999999997</v>
      </c>
      <c r="U4410">
        <v>-0.44107059999999998</v>
      </c>
      <c r="V4410">
        <v>2.730461E-2</v>
      </c>
      <c r="W4410">
        <v>-6.3135750000000001E-3</v>
      </c>
      <c r="X4410">
        <v>0.99960720000000003</v>
      </c>
      <c r="Y4410">
        <v>0.1417011</v>
      </c>
      <c r="Z4410">
        <v>-1.564432E-2</v>
      </c>
      <c r="AA4410">
        <v>0.9897859</v>
      </c>
      <c r="AB4410">
        <v>46</v>
      </c>
      <c r="AC4410">
        <v>0.38089999999999602</v>
      </c>
      <c r="AD4410">
        <v>-0.200727499999999</v>
      </c>
      <c r="AE4410">
        <v>-0.12919999999999701</v>
      </c>
      <c r="AF4410">
        <v>0.103044664096737</v>
      </c>
      <c r="AG4410">
        <v>-0.200727499999999</v>
      </c>
      <c r="AH4410">
        <v>0.305083667278716</v>
      </c>
      <c r="AI4410">
        <v>121.937207118364</v>
      </c>
      <c r="AJ4410">
        <v>71.337155377503805</v>
      </c>
      <c r="AK4410">
        <v>0.379454577117327</v>
      </c>
      <c r="AL4410">
        <v>90.361743612156502</v>
      </c>
      <c r="AM4410">
        <v>88.435335401840703</v>
      </c>
      <c r="AN4410">
        <v>0.99999997862418599</v>
      </c>
    </row>
    <row r="4411" spans="1:40" x14ac:dyDescent="0.25">
      <c r="A4411" t="str">
        <f>"20190312154010554"</f>
        <v>20190312154010554</v>
      </c>
      <c r="B4411" t="str">
        <f>"1552376410539933"</f>
        <v>1552376410539933</v>
      </c>
      <c r="C4411" t="s">
        <v>40</v>
      </c>
      <c r="D4411">
        <v>4.3122470000000002</v>
      </c>
      <c r="E4411">
        <v>0.54849209999999904</v>
      </c>
      <c r="F4411" t="s">
        <v>41</v>
      </c>
      <c r="G4411">
        <v>-408.22469999999998</v>
      </c>
      <c r="H4411">
        <v>0.92339300000000002</v>
      </c>
      <c r="I4411">
        <v>214.79</v>
      </c>
      <c r="J4411">
        <v>-408.55070000000001</v>
      </c>
      <c r="K4411">
        <v>1.1091660000000001</v>
      </c>
      <c r="L4411">
        <v>214.90899999999999</v>
      </c>
      <c r="M4411">
        <v>0.99992440000000005</v>
      </c>
      <c r="N4411">
        <v>0</v>
      </c>
      <c r="O4411">
        <v>-1.5368669999999999E-3</v>
      </c>
      <c r="P4411">
        <v>0.99940980000000001</v>
      </c>
      <c r="Q4411">
        <v>-1.8409970000000001E-2</v>
      </c>
      <c r="R4411">
        <v>-2.900314E-2</v>
      </c>
      <c r="S4411">
        <v>2.9765929999999998</v>
      </c>
      <c r="T4411">
        <v>-0.69135309999999905</v>
      </c>
      <c r="U4411">
        <v>-0.44461060000000002</v>
      </c>
      <c r="V4411">
        <v>2.746264E-2</v>
      </c>
      <c r="W4411">
        <v>-6.2224610000000003E-3</v>
      </c>
      <c r="X4411">
        <v>0.99960349999999998</v>
      </c>
      <c r="Y4411">
        <v>0.14253750000000001</v>
      </c>
      <c r="Z4411">
        <v>-1.5898610000000001E-2</v>
      </c>
      <c r="AA4411">
        <v>0.98966169999999998</v>
      </c>
      <c r="AB4411">
        <v>46</v>
      </c>
      <c r="AC4411">
        <v>0.326000000000021</v>
      </c>
      <c r="AD4411">
        <v>-0.18577299999999999</v>
      </c>
      <c r="AE4411">
        <v>-0.119000000000028</v>
      </c>
      <c r="AF4411">
        <v>9.2105638290077396E-2</v>
      </c>
      <c r="AG4411">
        <v>-0.18577299999999999</v>
      </c>
      <c r="AH4411">
        <v>0.25353208572263403</v>
      </c>
      <c r="AI4411">
        <v>124.555202761925</v>
      </c>
      <c r="AJ4411">
        <v>70.034429532012098</v>
      </c>
      <c r="AK4411">
        <v>0.32752644874069597</v>
      </c>
      <c r="AL4411">
        <v>90.3565230412311</v>
      </c>
      <c r="AM4411">
        <v>88.426278362215299</v>
      </c>
      <c r="AN4411">
        <v>1.0000000364144499</v>
      </c>
    </row>
    <row r="4412" spans="1:40" x14ac:dyDescent="0.25">
      <c r="A4412" t="str">
        <f>"20190312154010576"</f>
        <v>20190312154010576</v>
      </c>
      <c r="B4412" t="str">
        <f>"1552376410570182"</f>
        <v>1552376410570182</v>
      </c>
      <c r="C4412" t="s">
        <v>40</v>
      </c>
      <c r="D4412">
        <v>4.2776579999999997</v>
      </c>
      <c r="E4412">
        <v>0.5490505</v>
      </c>
      <c r="F4412" t="s">
        <v>41</v>
      </c>
      <c r="G4412">
        <v>-407.80759999999998</v>
      </c>
      <c r="H4412">
        <v>0.93481340000000002</v>
      </c>
      <c r="I4412">
        <v>214.79640000000001</v>
      </c>
      <c r="J4412">
        <v>-408.11630000000002</v>
      </c>
      <c r="K4412">
        <v>1.109218</v>
      </c>
      <c r="L4412">
        <v>214.90809999999999</v>
      </c>
      <c r="M4412">
        <v>0.99991890000000005</v>
      </c>
      <c r="N4412">
        <v>0</v>
      </c>
      <c r="O4412">
        <v>-1.761086E-3</v>
      </c>
      <c r="P4412">
        <v>0.99941290000000005</v>
      </c>
      <c r="Q4412">
        <v>-1.7757999999999999E-2</v>
      </c>
      <c r="R4412">
        <v>-2.9308109999999998E-2</v>
      </c>
      <c r="S4412">
        <v>2.9758610000000001</v>
      </c>
      <c r="T4412">
        <v>-0.69814259999999995</v>
      </c>
      <c r="U4412">
        <v>-0.44932559999999999</v>
      </c>
      <c r="V4412">
        <v>2.7544010000000001E-2</v>
      </c>
      <c r="W4412">
        <v>-5.1648240000000002E-3</v>
      </c>
      <c r="X4412">
        <v>0.99960729999999998</v>
      </c>
      <c r="Y4412">
        <v>0.14378529999999901</v>
      </c>
      <c r="Z4412">
        <v>-1.614471E-2</v>
      </c>
      <c r="AA4412">
        <v>0.98947719999999995</v>
      </c>
      <c r="AB4412">
        <v>46</v>
      </c>
      <c r="AC4412">
        <v>0.30870000000004399</v>
      </c>
      <c r="AD4412">
        <v>-0.17440459999999999</v>
      </c>
      <c r="AE4412">
        <v>-0.11169999999998401</v>
      </c>
      <c r="AF4412">
        <v>8.6689507739215396E-2</v>
      </c>
      <c r="AG4412">
        <v>-0.17440459999999999</v>
      </c>
      <c r="AH4412">
        <v>0.24090495379958801</v>
      </c>
      <c r="AI4412">
        <v>124.26244930275701</v>
      </c>
      <c r="AJ4412">
        <v>70.208761792343907</v>
      </c>
      <c r="AK4412">
        <v>0.30978578408056301</v>
      </c>
      <c r="AL4412">
        <v>90.295923917678195</v>
      </c>
      <c r="AM4412">
        <v>88.421623880669898</v>
      </c>
      <c r="AN4412">
        <v>1.0000000510535501</v>
      </c>
    </row>
    <row r="4413" spans="1:40" x14ac:dyDescent="0.25">
      <c r="A4413" t="str">
        <f>"20190312154010598"</f>
        <v>20190312154010598</v>
      </c>
      <c r="B4413" t="str">
        <f>"1552376410589702"</f>
        <v>1552376410589702</v>
      </c>
      <c r="C4413" t="s">
        <v>40</v>
      </c>
      <c r="D4413">
        <v>4.2814389999999998</v>
      </c>
      <c r="E4413">
        <v>0.54931180000000002</v>
      </c>
      <c r="F4413" t="s">
        <v>41</v>
      </c>
      <c r="G4413">
        <v>-407.39429999999999</v>
      </c>
      <c r="H4413">
        <v>0.93859139999999996</v>
      </c>
      <c r="I4413">
        <v>214.79769999999999</v>
      </c>
      <c r="J4413">
        <v>-407.65940000000001</v>
      </c>
      <c r="K4413">
        <v>1.109256</v>
      </c>
      <c r="L4413">
        <v>214.90719999999999</v>
      </c>
      <c r="M4413">
        <v>0.99991350000000001</v>
      </c>
      <c r="N4413">
        <v>0</v>
      </c>
      <c r="O4413">
        <v>-1.9944210000000001E-3</v>
      </c>
      <c r="P4413">
        <v>0.99941270000000004</v>
      </c>
      <c r="Q4413">
        <v>-1.6604549999999999E-2</v>
      </c>
      <c r="R4413">
        <v>-2.9975979999999999E-2</v>
      </c>
      <c r="S4413">
        <v>2.9758909999999998</v>
      </c>
      <c r="T4413">
        <v>-0.70323429999999998</v>
      </c>
      <c r="U4413">
        <v>-0.45481870000000002</v>
      </c>
      <c r="V4413">
        <v>2.7979779999999999E-2</v>
      </c>
      <c r="W4413">
        <v>-3.628451E-3</v>
      </c>
      <c r="X4413">
        <v>0.99960190000000004</v>
      </c>
      <c r="Y4413">
        <v>0.14525179999999999</v>
      </c>
      <c r="Z4413">
        <v>-1.6372919999999999E-2</v>
      </c>
      <c r="AA4413">
        <v>0.98925920000000001</v>
      </c>
      <c r="AB4413">
        <v>46</v>
      </c>
      <c r="AC4413">
        <v>0.26510000000001799</v>
      </c>
      <c r="AD4413">
        <v>-0.170664599999999</v>
      </c>
      <c r="AE4413">
        <v>-0.109499999999997</v>
      </c>
      <c r="AF4413">
        <v>8.0478323277287003E-2</v>
      </c>
      <c r="AG4413">
        <v>-0.170664599999999</v>
      </c>
      <c r="AH4413">
        <v>0.195945112962955</v>
      </c>
      <c r="AI4413">
        <v>128.857491360956</v>
      </c>
      <c r="AJ4413">
        <v>67.671126905728599</v>
      </c>
      <c r="AK4413">
        <v>0.272025097196469</v>
      </c>
      <c r="AL4413">
        <v>90.207895385459295</v>
      </c>
      <c r="AM4413">
        <v>88.396656884670705</v>
      </c>
      <c r="AN4413">
        <v>0.99999999611455803</v>
      </c>
    </row>
    <row r="4414" spans="1:40" x14ac:dyDescent="0.25">
      <c r="A4414" t="str">
        <f>"20190312154010620"</f>
        <v>20190312154010620</v>
      </c>
      <c r="B4414" t="str">
        <f>"1552376410610197"</f>
        <v>1552376410610197</v>
      </c>
      <c r="C4414" t="s">
        <v>40</v>
      </c>
      <c r="D4414">
        <v>4.2520790000000002</v>
      </c>
      <c r="E4414">
        <v>0.54925109999999999</v>
      </c>
      <c r="F4414" t="s">
        <v>41</v>
      </c>
      <c r="G4414">
        <v>-406.60469999999998</v>
      </c>
      <c r="H4414">
        <v>0.86013079999999997</v>
      </c>
      <c r="I4414">
        <v>214.74449999999999</v>
      </c>
      <c r="J4414">
        <v>-407.18270000000001</v>
      </c>
      <c r="K4414">
        <v>1.109278</v>
      </c>
      <c r="L4414">
        <v>214.90600000000001</v>
      </c>
      <c r="M4414">
        <v>0.99990829999999997</v>
      </c>
      <c r="N4414">
        <v>0</v>
      </c>
      <c r="O4414">
        <v>-2.2367630000000001E-3</v>
      </c>
      <c r="P4414">
        <v>0.99940010000000001</v>
      </c>
      <c r="Q4414">
        <v>-1.7045379999999999E-2</v>
      </c>
      <c r="R4414">
        <v>-3.015193E-2</v>
      </c>
      <c r="S4414">
        <v>2.9763489999999999</v>
      </c>
      <c r="T4414">
        <v>-0.70306709999999994</v>
      </c>
      <c r="U4414">
        <v>-0.45880130000000002</v>
      </c>
      <c r="V4414">
        <v>2.7913500000000001E-2</v>
      </c>
      <c r="W4414">
        <v>-3.7186049999999998E-3</v>
      </c>
      <c r="X4414">
        <v>0.99960349999999998</v>
      </c>
      <c r="Y4414">
        <v>0.1462657</v>
      </c>
      <c r="Z4414">
        <v>-1.6426429999999999E-2</v>
      </c>
      <c r="AA4414">
        <v>0.98910900000000002</v>
      </c>
      <c r="AB4414">
        <v>46</v>
      </c>
      <c r="AC4414">
        <v>0.57800000000003104</v>
      </c>
      <c r="AD4414">
        <v>-0.24914719999999899</v>
      </c>
      <c r="AE4414">
        <v>-0.16149999999998901</v>
      </c>
      <c r="AF4414">
        <v>0.136654373900952</v>
      </c>
      <c r="AG4414">
        <v>-0.24914719999999899</v>
      </c>
      <c r="AH4414">
        <v>0.493334132056238</v>
      </c>
      <c r="AI4414">
        <v>115.95219260858001</v>
      </c>
      <c r="AJ4414">
        <v>74.517180085288999</v>
      </c>
      <c r="AK4414">
        <v>0.56932179918371495</v>
      </c>
      <c r="AL4414">
        <v>90.213060847370201</v>
      </c>
      <c r="AM4414">
        <v>88.400455553128893</v>
      </c>
      <c r="AN4414">
        <v>1.00000007435882</v>
      </c>
    </row>
    <row r="4415" spans="1:40" x14ac:dyDescent="0.25">
      <c r="A4415" t="str">
        <f>"20190312154010642"</f>
        <v>20190312154010642</v>
      </c>
      <c r="B4415" t="str">
        <f>"1552376410630693"</f>
        <v>1552376410630693</v>
      </c>
      <c r="C4415" t="s">
        <v>40</v>
      </c>
      <c r="D4415">
        <v>4.2962720000000001</v>
      </c>
      <c r="E4415">
        <v>0.54950189999999999</v>
      </c>
      <c r="F4415" t="s">
        <v>41</v>
      </c>
      <c r="G4415">
        <v>-406.18900000000002</v>
      </c>
      <c r="H4415">
        <v>0.87401340000000005</v>
      </c>
      <c r="I4415">
        <v>214.7526</v>
      </c>
      <c r="J4415">
        <v>-406.74509999999998</v>
      </c>
      <c r="K4415">
        <v>1.1092789999999999</v>
      </c>
      <c r="L4415">
        <v>214.9049</v>
      </c>
      <c r="M4415">
        <v>0.99990400000000002</v>
      </c>
      <c r="N4415">
        <v>0</v>
      </c>
      <c r="O4415">
        <v>-2.459602E-3</v>
      </c>
      <c r="P4415">
        <v>0.99936179999999997</v>
      </c>
      <c r="Q4415">
        <v>-1.8287709999999999E-2</v>
      </c>
      <c r="R4415">
        <v>-3.0690499999999999E-2</v>
      </c>
      <c r="S4415">
        <v>2.9759519999999999</v>
      </c>
      <c r="T4415">
        <v>-0.70457950000000003</v>
      </c>
      <c r="U4415">
        <v>-0.45896910000000002</v>
      </c>
      <c r="V4415">
        <v>2.82286E-2</v>
      </c>
      <c r="W4415">
        <v>-4.6760059999999999E-3</v>
      </c>
      <c r="X4415">
        <v>0.9995906</v>
      </c>
      <c r="Y4415">
        <v>0.14611250000000001</v>
      </c>
      <c r="Z4415">
        <v>-1.6393339999999999E-2</v>
      </c>
      <c r="AA4415">
        <v>0.98913220000000002</v>
      </c>
      <c r="AB4415">
        <v>46</v>
      </c>
      <c r="AC4415">
        <v>0.55609999999995796</v>
      </c>
      <c r="AD4415">
        <v>-0.23526559999999999</v>
      </c>
      <c r="AE4415">
        <v>-0.15229999999999599</v>
      </c>
      <c r="AF4415">
        <v>0.12938904219396999</v>
      </c>
      <c r="AG4415">
        <v>-0.23526559999999999</v>
      </c>
      <c r="AH4415">
        <v>0.47704714532772502</v>
      </c>
      <c r="AI4415">
        <v>115.453217659296</v>
      </c>
      <c r="AJ4415">
        <v>74.824810791839099</v>
      </c>
      <c r="AK4415">
        <v>0.547417030835326</v>
      </c>
      <c r="AL4415">
        <v>90.267916373529999</v>
      </c>
      <c r="AM4415">
        <v>88.382387859453402</v>
      </c>
      <c r="AN4415">
        <v>1.00000004324921</v>
      </c>
    </row>
    <row r="4416" spans="1:40" x14ac:dyDescent="0.25">
      <c r="A4416" t="str">
        <f>"20190312154010664"</f>
        <v>20190312154010664</v>
      </c>
      <c r="B4416" t="str">
        <f>"1552376410650213"</f>
        <v>1552376410650213</v>
      </c>
      <c r="C4416" t="s">
        <v>40</v>
      </c>
      <c r="D4416">
        <v>4.243976</v>
      </c>
      <c r="E4416">
        <v>0.54976289999999906</v>
      </c>
      <c r="F4416" t="s">
        <v>41</v>
      </c>
      <c r="G4416">
        <v>-405.77780000000001</v>
      </c>
      <c r="H4416">
        <v>0.87783869999999897</v>
      </c>
      <c r="I4416">
        <v>214.75460000000001</v>
      </c>
      <c r="J4416">
        <v>-406.3</v>
      </c>
      <c r="K4416">
        <v>1.1092930000000001</v>
      </c>
      <c r="L4416">
        <v>214.90360000000001</v>
      </c>
      <c r="M4416">
        <v>0.99989989999999995</v>
      </c>
      <c r="N4416">
        <v>0</v>
      </c>
      <c r="O4416">
        <v>-2.687488E-3</v>
      </c>
      <c r="P4416">
        <v>0.99934610000000001</v>
      </c>
      <c r="Q4416">
        <v>-1.8610979999999999E-2</v>
      </c>
      <c r="R4416">
        <v>-3.1007099999999999E-2</v>
      </c>
      <c r="S4416">
        <v>2.974701</v>
      </c>
      <c r="T4416">
        <v>-0.71168730000000002</v>
      </c>
      <c r="U4416">
        <v>-0.46243289999999998</v>
      </c>
      <c r="V4416">
        <v>2.83174E-2</v>
      </c>
      <c r="W4416">
        <v>-4.743288E-3</v>
      </c>
      <c r="X4416">
        <v>0.99958769999999997</v>
      </c>
      <c r="Y4416">
        <v>0.146977</v>
      </c>
      <c r="Z4416">
        <v>-1.66074999999999E-2</v>
      </c>
      <c r="AA4416">
        <v>0.98900049999999995</v>
      </c>
      <c r="AB4416">
        <v>46</v>
      </c>
      <c r="AC4416">
        <v>0.522199999999998</v>
      </c>
      <c r="AD4416">
        <v>-0.2314543</v>
      </c>
      <c r="AE4416">
        <v>-0.14899999999999999</v>
      </c>
      <c r="AF4416">
        <v>0.12490533061388601</v>
      </c>
      <c r="AG4416">
        <v>-0.2314543</v>
      </c>
      <c r="AH4416">
        <v>0.44225713939555</v>
      </c>
      <c r="AI4416">
        <v>116.73194853144</v>
      </c>
      <c r="AJ4416">
        <v>74.228890762575205</v>
      </c>
      <c r="AK4416">
        <v>0.51455204979728697</v>
      </c>
      <c r="AL4416">
        <v>90.271771410130299</v>
      </c>
      <c r="AM4416">
        <v>88.377297273955506</v>
      </c>
      <c r="AN4416">
        <v>0.99999997195754997</v>
      </c>
    </row>
    <row r="4417" spans="1:40" x14ac:dyDescent="0.25">
      <c r="A4417" t="str">
        <f>"20190312154010686"</f>
        <v>20190312154010686</v>
      </c>
      <c r="B4417" t="str">
        <f>"1552376410680470"</f>
        <v>1552376410680470</v>
      </c>
      <c r="C4417" t="s">
        <v>40</v>
      </c>
      <c r="D4417">
        <v>4.2431169999999998</v>
      </c>
      <c r="E4417">
        <v>0.55017329999999998</v>
      </c>
      <c r="F4417" t="s">
        <v>41</v>
      </c>
      <c r="G4417">
        <v>-405.36599999999999</v>
      </c>
      <c r="H4417">
        <v>0.88438269999999997</v>
      </c>
      <c r="I4417">
        <v>214.75710000000001</v>
      </c>
      <c r="J4417">
        <v>-405.83449999999999</v>
      </c>
      <c r="K4417">
        <v>1.109313</v>
      </c>
      <c r="L4417">
        <v>214.90209999999999</v>
      </c>
      <c r="M4417">
        <v>0.99989600000000001</v>
      </c>
      <c r="N4417">
        <v>0</v>
      </c>
      <c r="O4417">
        <v>-2.9278659999999999E-3</v>
      </c>
      <c r="P4417">
        <v>0.99934829999999997</v>
      </c>
      <c r="Q4417">
        <v>-1.74244E-2</v>
      </c>
      <c r="R4417">
        <v>-3.1623640000000001E-2</v>
      </c>
      <c r="S4417">
        <v>2.9741520000000001</v>
      </c>
      <c r="T4417">
        <v>-0.71606639999999999</v>
      </c>
      <c r="U4417">
        <v>-0.46536250000000001</v>
      </c>
      <c r="V4417">
        <v>2.8694689999999998E-2</v>
      </c>
      <c r="W4417">
        <v>-3.3225580000000002E-3</v>
      </c>
      <c r="X4417">
        <v>0.99958270000000005</v>
      </c>
      <c r="Y4417">
        <v>0.1476568</v>
      </c>
      <c r="Z4417">
        <v>-1.6732150000000001E-2</v>
      </c>
      <c r="AA4417">
        <v>0.98889709999999997</v>
      </c>
      <c r="AB4417">
        <v>46</v>
      </c>
      <c r="AC4417">
        <v>0.46850000000000502</v>
      </c>
      <c r="AD4417">
        <v>-0.2249303</v>
      </c>
      <c r="AE4417">
        <v>-0.14499999999998101</v>
      </c>
      <c r="AF4417">
        <v>0.118665777454513</v>
      </c>
      <c r="AG4417">
        <v>-0.2249303</v>
      </c>
      <c r="AH4417">
        <v>0.38742613894221201</v>
      </c>
      <c r="AI4417">
        <v>119.03554174676199</v>
      </c>
      <c r="AJ4417">
        <v>72.970558742079504</v>
      </c>
      <c r="AK4417">
        <v>0.46343739569940201</v>
      </c>
      <c r="AL4417">
        <v>90.190368900965495</v>
      </c>
      <c r="AM4417">
        <v>88.355680586081206</v>
      </c>
      <c r="AN4417">
        <v>0.999999999382574</v>
      </c>
    </row>
    <row r="4418" spans="1:40" x14ac:dyDescent="0.25">
      <c r="A4418" t="str">
        <f>"20190312154010710"</f>
        <v>20190312154010710</v>
      </c>
      <c r="B4418" t="str">
        <f>"1552376410699993"</f>
        <v>1552376410699993</v>
      </c>
      <c r="C4418" t="s">
        <v>40</v>
      </c>
      <c r="D4418">
        <v>4.196561</v>
      </c>
      <c r="E4418">
        <v>0.55017039999999995</v>
      </c>
      <c r="F4418" t="s">
        <v>41</v>
      </c>
      <c r="G4418">
        <v>-404.95229999999998</v>
      </c>
      <c r="H4418">
        <v>0.89653069999999901</v>
      </c>
      <c r="I4418">
        <v>214.7627</v>
      </c>
      <c r="J4418">
        <v>-405.34480000000002</v>
      </c>
      <c r="K4418">
        <v>1.1093360000000001</v>
      </c>
      <c r="L4418">
        <v>214.90049999999999</v>
      </c>
      <c r="M4418">
        <v>0.99989209999999995</v>
      </c>
      <c r="N4418">
        <v>0</v>
      </c>
      <c r="O4418">
        <v>-3.181695E-3</v>
      </c>
      <c r="P4418">
        <v>0.99936130000000001</v>
      </c>
      <c r="Q4418">
        <v>-1.6366439999999999E-2</v>
      </c>
      <c r="R4418">
        <v>-3.1767259999999999E-2</v>
      </c>
      <c r="S4418">
        <v>2.974548</v>
      </c>
      <c r="T4418">
        <v>-0.71746180000000004</v>
      </c>
      <c r="U4418">
        <v>-0.47051999999999999</v>
      </c>
      <c r="V4418">
        <v>2.8585570000000001E-2</v>
      </c>
      <c r="W4418">
        <v>-2.0505509999999998E-3</v>
      </c>
      <c r="X4418">
        <v>0.99958930000000001</v>
      </c>
      <c r="Y4418">
        <v>0.1490148</v>
      </c>
      <c r="Z4418">
        <v>-1.6860070000000001E-2</v>
      </c>
      <c r="AA4418">
        <v>0.98869119999999999</v>
      </c>
      <c r="AB4418">
        <v>46</v>
      </c>
      <c r="AC4418">
        <v>0.39250000000003998</v>
      </c>
      <c r="AD4418">
        <v>-0.2128053</v>
      </c>
      <c r="AE4418">
        <v>-0.13779999999999801</v>
      </c>
      <c r="AF4418">
        <v>0.108227182589462</v>
      </c>
      <c r="AG4418">
        <v>-0.2128053</v>
      </c>
      <c r="AH4418">
        <v>0.31143389351635198</v>
      </c>
      <c r="AI4418">
        <v>122.840021256635</v>
      </c>
      <c r="AJ4418">
        <v>70.837019701718603</v>
      </c>
      <c r="AK4418">
        <v>0.39241596398477102</v>
      </c>
      <c r="AL4418">
        <v>90.117487993952395</v>
      </c>
      <c r="AM4418">
        <v>88.361940990887206</v>
      </c>
      <c r="AN4418">
        <v>1.00000005412305</v>
      </c>
    </row>
    <row r="4419" spans="1:40" x14ac:dyDescent="0.25">
      <c r="A4419" t="str">
        <f>"20190312154010732"</f>
        <v>20190312154010732</v>
      </c>
      <c r="B4419" t="str">
        <f>"1552376410720486"</f>
        <v>1552376410720486</v>
      </c>
      <c r="C4419" t="s">
        <v>40</v>
      </c>
      <c r="D4419">
        <v>4.1930680000000002</v>
      </c>
      <c r="E4419">
        <v>0.55034110000000003</v>
      </c>
      <c r="F4419" t="s">
        <v>41</v>
      </c>
      <c r="G4419">
        <v>-404.53640000000001</v>
      </c>
      <c r="H4419">
        <v>0.91525829999999997</v>
      </c>
      <c r="I4419">
        <v>214.7722</v>
      </c>
      <c r="J4419">
        <v>-404.9135</v>
      </c>
      <c r="K4419">
        <v>1.1093470000000001</v>
      </c>
      <c r="L4419">
        <v>214.8989</v>
      </c>
      <c r="M4419">
        <v>0.99988900000000003</v>
      </c>
      <c r="N4419">
        <v>0</v>
      </c>
      <c r="O4419">
        <v>-3.405716E-3</v>
      </c>
      <c r="P4419">
        <v>0.99936769999999997</v>
      </c>
      <c r="Q4419">
        <v>-1.616656E-2</v>
      </c>
      <c r="R4419">
        <v>-3.1671209999999998E-2</v>
      </c>
      <c r="S4419">
        <v>2.97525</v>
      </c>
      <c r="T4419">
        <v>-0.71433939999999996</v>
      </c>
      <c r="U4419">
        <v>-0.47119139999999998</v>
      </c>
      <c r="V4419">
        <v>2.826588E-2</v>
      </c>
      <c r="W4419">
        <v>-1.687235E-3</v>
      </c>
      <c r="X4419">
        <v>0.99959900000000002</v>
      </c>
      <c r="Y4419">
        <v>0.14901819999999999</v>
      </c>
      <c r="Z4419">
        <v>-1.6732279999999999E-2</v>
      </c>
      <c r="AA4419">
        <v>0.98869289999999999</v>
      </c>
      <c r="AB4419">
        <v>46</v>
      </c>
      <c r="AC4419">
        <v>0.377099999999984</v>
      </c>
      <c r="AD4419">
        <v>-0.194088699999999</v>
      </c>
      <c r="AE4419">
        <v>-0.12669999999999901</v>
      </c>
      <c r="AF4419">
        <v>0.101301708227492</v>
      </c>
      <c r="AG4419">
        <v>-0.194088699999999</v>
      </c>
      <c r="AH4419">
        <v>0.30494294769195901</v>
      </c>
      <c r="AI4419">
        <v>121.132768876152</v>
      </c>
      <c r="AJ4419">
        <v>71.623570092361405</v>
      </c>
      <c r="AK4419">
        <v>0.37539667140847</v>
      </c>
      <c r="AL4419">
        <v>90.096671491982804</v>
      </c>
      <c r="AM4419">
        <v>88.380266307098097</v>
      </c>
      <c r="AN4419">
        <v>0.99999998376755905</v>
      </c>
    </row>
    <row r="4420" spans="1:40" x14ac:dyDescent="0.25">
      <c r="A4420" t="str">
        <f>"20190312154010755"</f>
        <v>20190312154010755</v>
      </c>
      <c r="B4420" t="str">
        <f>"1552376410750742"</f>
        <v>1552376410750742</v>
      </c>
      <c r="C4420" t="s">
        <v>40</v>
      </c>
      <c r="D4420">
        <v>4.2049960000000004</v>
      </c>
      <c r="E4420">
        <v>0.55070469999999905</v>
      </c>
      <c r="F4420" t="s">
        <v>41</v>
      </c>
      <c r="G4420">
        <v>-404.12650000000002</v>
      </c>
      <c r="H4420">
        <v>0.92016940000000003</v>
      </c>
      <c r="I4420">
        <v>214.77379999999999</v>
      </c>
      <c r="J4420">
        <v>-404.43720000000002</v>
      </c>
      <c r="K4420">
        <v>1.1093580000000001</v>
      </c>
      <c r="L4420">
        <v>214.89709999999999</v>
      </c>
      <c r="M4420">
        <v>0.99988569999999999</v>
      </c>
      <c r="N4420">
        <v>0</v>
      </c>
      <c r="O4420">
        <v>-3.6533020000000002E-3</v>
      </c>
      <c r="P4420">
        <v>0.99935350000000001</v>
      </c>
      <c r="Q4420">
        <v>-1.6910140000000001E-2</v>
      </c>
      <c r="R4420">
        <v>-3.1727560000000002E-2</v>
      </c>
      <c r="S4420">
        <v>2.9753720000000001</v>
      </c>
      <c r="T4420">
        <v>-0.71526959999999995</v>
      </c>
      <c r="U4420">
        <v>-0.47203060000000002</v>
      </c>
      <c r="V4420">
        <v>2.8074289999999998E-2</v>
      </c>
      <c r="W4420">
        <v>-2.2742029999999998E-3</v>
      </c>
      <c r="X4420">
        <v>0.99960329999999997</v>
      </c>
      <c r="Y4420">
        <v>0.1490358</v>
      </c>
      <c r="Z4420">
        <v>-1.669621E-2</v>
      </c>
      <c r="AA4420">
        <v>0.98869090000000004</v>
      </c>
      <c r="AB4420">
        <v>46</v>
      </c>
      <c r="AC4420">
        <v>0.31069999999999698</v>
      </c>
      <c r="AD4420">
        <v>-0.18918860000000001</v>
      </c>
      <c r="AE4420">
        <v>-0.12330000000000001</v>
      </c>
      <c r="AF4420">
        <v>9.2525652690660196E-2</v>
      </c>
      <c r="AG4420">
        <v>-0.18918860000000001</v>
      </c>
      <c r="AH4420">
        <v>0.23566040260024501</v>
      </c>
      <c r="AI4420">
        <v>126.769606594679</v>
      </c>
      <c r="AJ4420">
        <v>68.563895090261198</v>
      </c>
      <c r="AK4420">
        <v>0.31605244521993803</v>
      </c>
      <c r="AL4420">
        <v>90.130302339778893</v>
      </c>
      <c r="AM4420">
        <v>88.391246211261404</v>
      </c>
      <c r="AN4420">
        <v>1.0000000475645801</v>
      </c>
    </row>
    <row r="4421" spans="1:40" x14ac:dyDescent="0.25">
      <c r="A4421" t="str">
        <f>"20190312154010778"</f>
        <v>20190312154010778</v>
      </c>
      <c r="B4421" t="str">
        <f>"1552376410770262"</f>
        <v>1552376410770262</v>
      </c>
      <c r="C4421" t="s">
        <v>40</v>
      </c>
      <c r="D4421">
        <v>4.2425600000000001</v>
      </c>
      <c r="E4421">
        <v>0.55091610000000002</v>
      </c>
      <c r="F4421" t="s">
        <v>41</v>
      </c>
      <c r="G4421">
        <v>-403.71300000000002</v>
      </c>
      <c r="H4421">
        <v>0.93378280000000002</v>
      </c>
      <c r="I4421">
        <v>214.78110000000001</v>
      </c>
      <c r="J4421">
        <v>-403.99079999999998</v>
      </c>
      <c r="K4421">
        <v>1.109367</v>
      </c>
      <c r="L4421">
        <v>214.89529999999999</v>
      </c>
      <c r="M4421">
        <v>0.99988310000000002</v>
      </c>
      <c r="N4421">
        <v>0</v>
      </c>
      <c r="O4421">
        <v>-3.8850500000000001E-3</v>
      </c>
      <c r="P4421">
        <v>0.99933050000000001</v>
      </c>
      <c r="Q4421">
        <v>-1.778967E-2</v>
      </c>
      <c r="R4421">
        <v>-3.1966719999999997E-2</v>
      </c>
      <c r="S4421">
        <v>2.9746090000000001</v>
      </c>
      <c r="T4421">
        <v>-0.72117940000000003</v>
      </c>
      <c r="U4421">
        <v>-0.4751129</v>
      </c>
      <c r="V4421">
        <v>2.8081289999999998E-2</v>
      </c>
      <c r="W4421">
        <v>-3.0277239999999999E-3</v>
      </c>
      <c r="X4421">
        <v>0.99960110000000002</v>
      </c>
      <c r="Y4421">
        <v>0.1497638</v>
      </c>
      <c r="Z4421">
        <v>-1.6864609999999999E-2</v>
      </c>
      <c r="AA4421">
        <v>0.98857799999999996</v>
      </c>
      <c r="AB4421">
        <v>46</v>
      </c>
      <c r="AC4421">
        <v>0.27779999999995603</v>
      </c>
      <c r="AD4421">
        <v>-0.175584199999999</v>
      </c>
      <c r="AE4421">
        <v>-0.114199999999982</v>
      </c>
      <c r="AF4421">
        <v>8.4308310532192496E-2</v>
      </c>
      <c r="AG4421">
        <v>-0.175584199999999</v>
      </c>
      <c r="AH4421">
        <v>0.20737387265236801</v>
      </c>
      <c r="AI4421">
        <v>128.10921403224501</v>
      </c>
      <c r="AJ4421">
        <v>67.875689731438897</v>
      </c>
      <c r="AK4421">
        <v>0.28450241751744998</v>
      </c>
      <c r="AL4421">
        <v>90.173476064397093</v>
      </c>
      <c r="AM4421">
        <v>88.3908417582618</v>
      </c>
      <c r="AN4421">
        <v>1.0000000425409401</v>
      </c>
    </row>
    <row r="4422" spans="1:40" x14ac:dyDescent="0.25">
      <c r="A4422" t="str">
        <f>"20190312154010798"</f>
        <v>20190312154010798</v>
      </c>
      <c r="B4422" t="str">
        <f>"1552376410790759"</f>
        <v>1552376410790759</v>
      </c>
      <c r="C4422" t="s">
        <v>40</v>
      </c>
      <c r="D4422">
        <v>4.2087279999999998</v>
      </c>
      <c r="E4422">
        <v>0.55110789999999998</v>
      </c>
      <c r="F4422" t="s">
        <v>41</v>
      </c>
      <c r="G4422">
        <v>-403.30270000000002</v>
      </c>
      <c r="H4422">
        <v>0.94135709999999995</v>
      </c>
      <c r="I4422">
        <v>214.785</v>
      </c>
      <c r="J4422">
        <v>-403.56209999999999</v>
      </c>
      <c r="K4422">
        <v>1.1093759999999999</v>
      </c>
      <c r="L4422">
        <v>214.89340000000001</v>
      </c>
      <c r="M4422">
        <v>0.99988069999999896</v>
      </c>
      <c r="N4422">
        <v>0</v>
      </c>
      <c r="O4422">
        <v>-4.1074559999999998E-3</v>
      </c>
      <c r="P4422">
        <v>0.99930629999999998</v>
      </c>
      <c r="Q4422">
        <v>-1.7968029999999999E-2</v>
      </c>
      <c r="R4422">
        <v>-3.262222E-2</v>
      </c>
      <c r="S4422">
        <v>2.9738159999999998</v>
      </c>
      <c r="T4422">
        <v>-0.72608090000000003</v>
      </c>
      <c r="U4422">
        <v>-0.47709659999999898</v>
      </c>
      <c r="V4422">
        <v>2.8514520000000002E-2</v>
      </c>
      <c r="W4422">
        <v>-3.1025419999999998E-3</v>
      </c>
      <c r="X4422">
        <v>0.99958849999999999</v>
      </c>
      <c r="Y4422">
        <v>0.15016579999999999</v>
      </c>
      <c r="Z4422">
        <v>-1.6974409999999999E-2</v>
      </c>
      <c r="AA4422">
        <v>0.98851509999999998</v>
      </c>
      <c r="AB4422">
        <v>46</v>
      </c>
      <c r="AC4422">
        <v>0.25939999999997099</v>
      </c>
      <c r="AD4422">
        <v>-0.168018899999999</v>
      </c>
      <c r="AE4422">
        <v>-0.108400000000017</v>
      </c>
      <c r="AF4422">
        <v>7.9086240810212996E-2</v>
      </c>
      <c r="AG4422">
        <v>-0.168018899999999</v>
      </c>
      <c r="AH4422">
        <v>0.19145947905345301</v>
      </c>
      <c r="AI4422">
        <v>129.04535159490601</v>
      </c>
      <c r="AJ4422">
        <v>67.555929662955805</v>
      </c>
      <c r="AK4422">
        <v>0.266724045339224</v>
      </c>
      <c r="AL4422">
        <v>90.177762858839202</v>
      </c>
      <c r="AM4422">
        <v>88.366008902023694</v>
      </c>
      <c r="AN4422">
        <v>0.99999993647496899</v>
      </c>
    </row>
    <row r="4423" spans="1:40" x14ac:dyDescent="0.25">
      <c r="A4423" t="str">
        <f>"20190312154010821"</f>
        <v>20190312154010821</v>
      </c>
      <c r="B4423" t="str">
        <f>"1552376410810278"</f>
        <v>1552376410810278</v>
      </c>
      <c r="C4423" t="s">
        <v>40</v>
      </c>
      <c r="D4423">
        <v>4.2064859999999999</v>
      </c>
      <c r="E4423">
        <v>0.55129439999999996</v>
      </c>
      <c r="F4423" t="s">
        <v>41</v>
      </c>
      <c r="G4423">
        <v>-402.52589999999998</v>
      </c>
      <c r="H4423">
        <v>0.85546149999999999</v>
      </c>
      <c r="I4423">
        <v>214.7259</v>
      </c>
      <c r="J4423">
        <v>-403.09690000000001</v>
      </c>
      <c r="K4423">
        <v>1.1093869999999999</v>
      </c>
      <c r="L4423">
        <v>214.8913</v>
      </c>
      <c r="M4423">
        <v>0.99987809999999999</v>
      </c>
      <c r="N4423">
        <v>0</v>
      </c>
      <c r="O4423">
        <v>-4.3491210000000001E-3</v>
      </c>
      <c r="P4423">
        <v>0.99929650000000003</v>
      </c>
      <c r="Q4423">
        <v>-1.766819E-2</v>
      </c>
      <c r="R4423">
        <v>-3.3079740000000003E-2</v>
      </c>
      <c r="S4423">
        <v>2.9732669999999999</v>
      </c>
      <c r="T4423">
        <v>-0.72857240000000001</v>
      </c>
      <c r="U4423">
        <v>-0.480545</v>
      </c>
      <c r="V4423">
        <v>2.873098E-2</v>
      </c>
      <c r="W4423">
        <v>-2.705804E-3</v>
      </c>
      <c r="X4423">
        <v>0.99958349999999996</v>
      </c>
      <c r="Y4423">
        <v>0.1510263</v>
      </c>
      <c r="Z4423">
        <v>-1.7077809999999999E-2</v>
      </c>
      <c r="AA4423">
        <v>0.98838219999999999</v>
      </c>
      <c r="AB4423">
        <v>45</v>
      </c>
      <c r="AC4423">
        <v>0.57100000000002604</v>
      </c>
      <c r="AD4423">
        <v>-0.25392550000000003</v>
      </c>
      <c r="AE4423">
        <v>-0.16540000000000499</v>
      </c>
      <c r="AF4423">
        <v>0.13777711418550401</v>
      </c>
      <c r="AG4423">
        <v>-0.25392550000000003</v>
      </c>
      <c r="AH4423">
        <v>0.48349876435223499</v>
      </c>
      <c r="AI4423">
        <v>116.79729394505399</v>
      </c>
      <c r="AJ4423">
        <v>74.094643785218906</v>
      </c>
      <c r="AK4423">
        <v>0.56323329790919996</v>
      </c>
      <c r="AL4423">
        <v>90.155031341349698</v>
      </c>
      <c r="AM4423">
        <v>88.353603486079507</v>
      </c>
      <c r="AN4423">
        <v>0.99999998202964802</v>
      </c>
    </row>
    <row r="4424" spans="1:40" x14ac:dyDescent="0.25">
      <c r="A4424" t="str">
        <f>"20190312154010843"</f>
        <v>20190312154010843</v>
      </c>
      <c r="B4424" t="str">
        <f>"1552376410830774"</f>
        <v>1552376410830774</v>
      </c>
      <c r="C4424" t="s">
        <v>40</v>
      </c>
      <c r="D4424">
        <v>4.2093360000000004</v>
      </c>
      <c r="E4424">
        <v>0.55146539999999999</v>
      </c>
      <c r="F4424" t="s">
        <v>41</v>
      </c>
      <c r="G4424">
        <v>-402.11509999999998</v>
      </c>
      <c r="H4424">
        <v>0.86846999999999996</v>
      </c>
      <c r="I4424">
        <v>214.73140000000001</v>
      </c>
      <c r="J4424">
        <v>-402.65089999999998</v>
      </c>
      <c r="K4424">
        <v>1.109394</v>
      </c>
      <c r="L4424">
        <v>214.88919999999999</v>
      </c>
      <c r="M4424">
        <v>0.99987599999999999</v>
      </c>
      <c r="N4424">
        <v>0</v>
      </c>
      <c r="O4424">
        <v>-4.5811159999999997E-3</v>
      </c>
      <c r="P4424">
        <v>0.99929000000000001</v>
      </c>
      <c r="Q4424">
        <v>-1.7941249999999999E-2</v>
      </c>
      <c r="R4424">
        <v>-3.3135350000000001E-2</v>
      </c>
      <c r="S4424">
        <v>2.9731749999999999</v>
      </c>
      <c r="T4424">
        <v>-0.72953859999999904</v>
      </c>
      <c r="U4424">
        <v>-0.48347469999999998</v>
      </c>
      <c r="V4424">
        <v>2.855442E-2</v>
      </c>
      <c r="W4424">
        <v>-2.898894E-3</v>
      </c>
      <c r="X4424">
        <v>0.99958800000000003</v>
      </c>
      <c r="Y4424">
        <v>0.151726799999999</v>
      </c>
      <c r="Z4424">
        <v>-1.7127449999999999E-2</v>
      </c>
      <c r="AA4424">
        <v>0.98827399999999999</v>
      </c>
      <c r="AB4424">
        <v>45</v>
      </c>
      <c r="AC4424">
        <v>0.53579999999999395</v>
      </c>
      <c r="AD4424">
        <v>-0.240923999999999</v>
      </c>
      <c r="AE4424">
        <v>-0.15779999999998001</v>
      </c>
      <c r="AF4424">
        <v>0.13097549780364801</v>
      </c>
      <c r="AG4424">
        <v>-0.240923999999999</v>
      </c>
      <c r="AH4424">
        <v>0.45235640163329799</v>
      </c>
      <c r="AI4424">
        <v>117.09361461387699</v>
      </c>
      <c r="AJ4424">
        <v>73.852129112683798</v>
      </c>
      <c r="AK4424">
        <v>0.52898513107604395</v>
      </c>
      <c r="AL4424">
        <v>90.166094630048207</v>
      </c>
      <c r="AM4424">
        <v>88.363722903435701</v>
      </c>
      <c r="AN4424">
        <v>0.99999996411597902</v>
      </c>
    </row>
    <row r="4425" spans="1:40" x14ac:dyDescent="0.25">
      <c r="A4425" t="str">
        <f>"20190312154010864"</f>
        <v>20190312154010864</v>
      </c>
      <c r="B4425" t="str">
        <f>"1552376410860054"</f>
        <v>1552376410860054</v>
      </c>
      <c r="C4425" t="s">
        <v>40</v>
      </c>
      <c r="D4425">
        <v>4.2027989999999997</v>
      </c>
      <c r="E4425">
        <v>0.55157149999999999</v>
      </c>
      <c r="F4425" t="s">
        <v>41</v>
      </c>
      <c r="G4425">
        <v>-401.70659999999998</v>
      </c>
      <c r="H4425">
        <v>0.87683500000000003</v>
      </c>
      <c r="I4425">
        <v>214.73509999999999</v>
      </c>
      <c r="J4425">
        <v>-402.21449999999999</v>
      </c>
      <c r="K4425">
        <v>1.1094029999999999</v>
      </c>
      <c r="L4425">
        <v>214.887</v>
      </c>
      <c r="M4425">
        <v>0.99987389999999998</v>
      </c>
      <c r="N4425">
        <v>0</v>
      </c>
      <c r="O4425">
        <v>-4.8081249999999999E-3</v>
      </c>
      <c r="P4425">
        <v>0.99930770000000002</v>
      </c>
      <c r="Q4425">
        <v>-1.7699530000000002E-2</v>
      </c>
      <c r="R4425">
        <v>-3.27292E-2</v>
      </c>
      <c r="S4425">
        <v>2.9729000000000001</v>
      </c>
      <c r="T4425">
        <v>-0.732178</v>
      </c>
      <c r="U4425">
        <v>-0.48495480000000002</v>
      </c>
      <c r="V4425">
        <v>2.7921399999999999E-2</v>
      </c>
      <c r="W4425">
        <v>-2.5891339999999999E-3</v>
      </c>
      <c r="X4425">
        <v>0.99960680000000002</v>
      </c>
      <c r="Y4425">
        <v>0.151965299999999</v>
      </c>
      <c r="Z4425">
        <v>-1.716254E-2</v>
      </c>
      <c r="AA4425">
        <v>0.98823680000000003</v>
      </c>
      <c r="AB4425">
        <v>45</v>
      </c>
      <c r="AC4425">
        <v>0.50790000000000601</v>
      </c>
      <c r="AD4425">
        <v>-0.232568</v>
      </c>
      <c r="AE4425">
        <v>-0.151900000000011</v>
      </c>
      <c r="AF4425">
        <v>0.12533423264785801</v>
      </c>
      <c r="AG4425">
        <v>-0.232568</v>
      </c>
      <c r="AH4425">
        <v>0.42653426358023599</v>
      </c>
      <c r="AI4425">
        <v>117.61556437642299</v>
      </c>
      <c r="AJ4425">
        <v>73.624928523472704</v>
      </c>
      <c r="AK4425">
        <v>0.50172504671917795</v>
      </c>
      <c r="AL4425">
        <v>90.148346611879205</v>
      </c>
      <c r="AM4425">
        <v>88.400008369172696</v>
      </c>
      <c r="AN4425">
        <v>1.0000000313995301</v>
      </c>
    </row>
    <row r="4426" spans="1:40" x14ac:dyDescent="0.25">
      <c r="A4426" t="str">
        <f>"20190312154010887"</f>
        <v>20190312154010887</v>
      </c>
      <c r="B4426" t="str">
        <f>"1552376410880550"</f>
        <v>1552376410880550</v>
      </c>
      <c r="C4426" t="s">
        <v>40</v>
      </c>
      <c r="D4426">
        <v>4.1819449999999998</v>
      </c>
      <c r="E4426">
        <v>0.55170850000000005</v>
      </c>
      <c r="F4426" t="s">
        <v>41</v>
      </c>
      <c r="G4426">
        <v>-401.29910000000001</v>
      </c>
      <c r="H4426">
        <v>0.88383279999999997</v>
      </c>
      <c r="I4426">
        <v>214.73750000000001</v>
      </c>
      <c r="J4426">
        <v>-401.75029999999998</v>
      </c>
      <c r="K4426">
        <v>1.1094170000000001</v>
      </c>
      <c r="L4426">
        <v>214.88460000000001</v>
      </c>
      <c r="M4426">
        <v>0.99987179999999998</v>
      </c>
      <c r="N4426">
        <v>0</v>
      </c>
      <c r="O4426">
        <v>-5.0503420000000002E-3</v>
      </c>
      <c r="P4426">
        <v>0.99932339999999997</v>
      </c>
      <c r="Q4426">
        <v>-1.7310099999999998E-2</v>
      </c>
      <c r="R4426">
        <v>-3.2449409999999998E-2</v>
      </c>
      <c r="S4426">
        <v>2.9732059999999998</v>
      </c>
      <c r="T4426">
        <v>-0.73265159999999996</v>
      </c>
      <c r="U4426">
        <v>-0.48481750000000001</v>
      </c>
      <c r="V4426">
        <v>2.7400089999999998E-2</v>
      </c>
      <c r="W4426">
        <v>-2.1380169999999999E-3</v>
      </c>
      <c r="X4426">
        <v>0.99962229999999996</v>
      </c>
      <c r="Y4426">
        <v>0.15167629999999999</v>
      </c>
      <c r="Z4426">
        <v>-1.7078400000000001E-2</v>
      </c>
      <c r="AA4426">
        <v>0.98828269999999996</v>
      </c>
      <c r="AB4426">
        <v>45</v>
      </c>
      <c r="AC4426">
        <v>0.45119999999997101</v>
      </c>
      <c r="AD4426">
        <v>-0.22558420000000001</v>
      </c>
      <c r="AE4426">
        <v>-0.14709999999999401</v>
      </c>
      <c r="AF4426">
        <v>0.118128184543936</v>
      </c>
      <c r="AG4426">
        <v>-0.22558420000000001</v>
      </c>
      <c r="AH4426">
        <v>0.36864272834769202</v>
      </c>
      <c r="AI4426">
        <v>120.231236507836</v>
      </c>
      <c r="AJ4426">
        <v>72.232419371987405</v>
      </c>
      <c r="AK4426">
        <v>0.44804013261862602</v>
      </c>
      <c r="AL4426">
        <v>90.122499439133094</v>
      </c>
      <c r="AM4426">
        <v>88.429890451815396</v>
      </c>
      <c r="AN4426">
        <v>1.00000003935299</v>
      </c>
    </row>
    <row r="4427" spans="1:40" x14ac:dyDescent="0.25">
      <c r="A4427" t="str">
        <f>"20190312154010910"</f>
        <v>20190312154010910</v>
      </c>
      <c r="B4427" t="str">
        <f>"1552376410900070"</f>
        <v>1552376410900070</v>
      </c>
      <c r="C4427" t="s">
        <v>40</v>
      </c>
      <c r="D4427">
        <v>4.1986319999999999</v>
      </c>
      <c r="E4427">
        <v>0.55182919999999902</v>
      </c>
      <c r="F4427" t="s">
        <v>41</v>
      </c>
      <c r="G4427">
        <v>-400.88940000000002</v>
      </c>
      <c r="H4427">
        <v>0.89737929999999999</v>
      </c>
      <c r="I4427">
        <v>214.74420000000001</v>
      </c>
      <c r="J4427">
        <v>-401.28609999999998</v>
      </c>
      <c r="K4427">
        <v>1.1094299999999999</v>
      </c>
      <c r="L4427">
        <v>214.88210000000001</v>
      </c>
      <c r="M4427">
        <v>0.99986969999999997</v>
      </c>
      <c r="N4427">
        <v>0</v>
      </c>
      <c r="O4427">
        <v>-5.2923700000000002E-3</v>
      </c>
      <c r="P4427">
        <v>0.99933329999999998</v>
      </c>
      <c r="Q4427">
        <v>-1.699057E-2</v>
      </c>
      <c r="R4427">
        <v>-3.231407E-2</v>
      </c>
      <c r="S4427">
        <v>2.973633</v>
      </c>
      <c r="T4427">
        <v>-0.73242459999999998</v>
      </c>
      <c r="U4427">
        <v>-0.4851837</v>
      </c>
      <c r="V4427">
        <v>2.7022879999999999E-2</v>
      </c>
      <c r="W4427">
        <v>-1.7660989999999999E-3</v>
      </c>
      <c r="X4427">
        <v>0.99963329999999995</v>
      </c>
      <c r="Y4427">
        <v>0.15154799999999999</v>
      </c>
      <c r="Z4427">
        <v>-1.699691E-2</v>
      </c>
      <c r="AA4427">
        <v>0.98830379999999995</v>
      </c>
      <c r="AB4427">
        <v>45</v>
      </c>
      <c r="AC4427">
        <v>0.39669999999995198</v>
      </c>
      <c r="AD4427">
        <v>-0.21205069999999901</v>
      </c>
      <c r="AE4427">
        <v>-0.13790000000000099</v>
      </c>
      <c r="AF4427">
        <v>0.10821233239897</v>
      </c>
      <c r="AG4427">
        <v>-0.21205069999999901</v>
      </c>
      <c r="AH4427">
        <v>0.316691758591443</v>
      </c>
      <c r="AI4427">
        <v>122.358859482433</v>
      </c>
      <c r="AJ4427">
        <v>71.134903376835595</v>
      </c>
      <c r="AK4427">
        <v>0.39619323342714402</v>
      </c>
      <c r="AL4427">
        <v>90.101190066971796</v>
      </c>
      <c r="AM4427">
        <v>88.4515121805848</v>
      </c>
      <c r="AN4427">
        <v>1.00000004480903</v>
      </c>
    </row>
    <row r="4428" spans="1:40" x14ac:dyDescent="0.25">
      <c r="A4428" t="str">
        <f>"20190312154010932"</f>
        <v>20190312154010932</v>
      </c>
      <c r="B4428" t="str">
        <f>"1552376410920566"</f>
        <v>1552376410920566</v>
      </c>
      <c r="C4428" t="s">
        <v>40</v>
      </c>
      <c r="D4428">
        <v>4.188898</v>
      </c>
      <c r="E4428">
        <v>0.55195640000000001</v>
      </c>
      <c r="F4428" t="s">
        <v>41</v>
      </c>
      <c r="G4428">
        <v>-400.48009999999999</v>
      </c>
      <c r="H4428">
        <v>0.91103800000000001</v>
      </c>
      <c r="I4428">
        <v>214.75020000000001</v>
      </c>
      <c r="J4428">
        <v>-400.84010000000001</v>
      </c>
      <c r="K4428">
        <v>1.109448</v>
      </c>
      <c r="L4428">
        <v>214.87950000000001</v>
      </c>
      <c r="M4428">
        <v>0.99986790000000003</v>
      </c>
      <c r="N4428">
        <v>0</v>
      </c>
      <c r="O4428">
        <v>-5.5252620000000004E-3</v>
      </c>
      <c r="P4428">
        <v>0.99935359999999995</v>
      </c>
      <c r="Q4428">
        <v>-1.5732079999999999E-2</v>
      </c>
      <c r="R4428">
        <v>-3.2327469999999997E-2</v>
      </c>
      <c r="S4428">
        <v>2.973846</v>
      </c>
      <c r="T4428">
        <v>-0.73205769999999903</v>
      </c>
      <c r="U4428">
        <v>-0.48616029999999999</v>
      </c>
      <c r="V4428">
        <v>2.6804390000000001E-2</v>
      </c>
      <c r="W4428">
        <v>-4.6500110000000002E-4</v>
      </c>
      <c r="X4428">
        <v>0.99964059999999999</v>
      </c>
      <c r="Y4428">
        <v>0.15163219999999999</v>
      </c>
      <c r="Z4428">
        <v>-1.6941060000000001E-2</v>
      </c>
      <c r="AA4428">
        <v>0.98829180000000005</v>
      </c>
      <c r="AB4428">
        <v>45</v>
      </c>
      <c r="AC4428">
        <v>0.36000000000001298</v>
      </c>
      <c r="AD4428">
        <v>-0.19841</v>
      </c>
      <c r="AE4428">
        <v>-0.1293</v>
      </c>
      <c r="AF4428">
        <v>0.100318360677952</v>
      </c>
      <c r="AG4428">
        <v>-0.19841</v>
      </c>
      <c r="AH4428">
        <v>0.28423616103302901</v>
      </c>
      <c r="AI4428">
        <v>123.354955981714</v>
      </c>
      <c r="AJ4428">
        <v>70.560016149038603</v>
      </c>
      <c r="AK4428">
        <v>0.36086077208239897</v>
      </c>
      <c r="AL4428">
        <v>90.026642601183099</v>
      </c>
      <c r="AM4428">
        <v>88.464037467761301</v>
      </c>
      <c r="AN4428">
        <v>1.00000001035882</v>
      </c>
    </row>
    <row r="4429" spans="1:40" x14ac:dyDescent="0.25">
      <c r="A4429" t="str">
        <f>"20190312154010955"</f>
        <v>20190312154010955</v>
      </c>
      <c r="B4429" t="str">
        <f>"1552376410950822"</f>
        <v>1552376410950822</v>
      </c>
      <c r="C4429" t="s">
        <v>40</v>
      </c>
      <c r="D4429">
        <v>4.1806039999999998</v>
      </c>
      <c r="E4429">
        <v>0.55203409999999997</v>
      </c>
      <c r="F4429" t="s">
        <v>41</v>
      </c>
      <c r="G4429">
        <v>-400.07249999999999</v>
      </c>
      <c r="H4429">
        <v>0.92140290000000002</v>
      </c>
      <c r="I4429">
        <v>214.7535</v>
      </c>
      <c r="J4429">
        <v>-400.39690000000002</v>
      </c>
      <c r="K4429">
        <v>1.1094729999999999</v>
      </c>
      <c r="L4429">
        <v>214.87690000000001</v>
      </c>
      <c r="M4429">
        <v>0.99986589999999997</v>
      </c>
      <c r="N4429">
        <v>0</v>
      </c>
      <c r="O4429">
        <v>-5.7565539999999997E-3</v>
      </c>
      <c r="P4429">
        <v>0.99938170000000004</v>
      </c>
      <c r="Q4429">
        <v>-1.457134E-2</v>
      </c>
      <c r="R4429">
        <v>-3.199983E-2</v>
      </c>
      <c r="S4429">
        <v>2.974701</v>
      </c>
      <c r="T4429">
        <v>-0.72884879999999996</v>
      </c>
      <c r="U4429">
        <v>-0.48747249999999998</v>
      </c>
      <c r="V4429">
        <v>2.6246249999999999E-2</v>
      </c>
      <c r="W4429">
        <v>7.32247E-4</v>
      </c>
      <c r="X4429">
        <v>0.99965519999999997</v>
      </c>
      <c r="Y4429">
        <v>0.1518236</v>
      </c>
      <c r="Z4429">
        <v>-1.6831160000000001E-2</v>
      </c>
      <c r="AA4429">
        <v>0.98826429999999998</v>
      </c>
      <c r="AB4429">
        <v>45</v>
      </c>
      <c r="AC4429">
        <v>0.324400000000025</v>
      </c>
      <c r="AD4429">
        <v>-0.18807009999999899</v>
      </c>
      <c r="AE4429">
        <v>-0.12340000000000299</v>
      </c>
      <c r="AF4429">
        <v>9.3945886830801004E-2</v>
      </c>
      <c r="AG4429">
        <v>-0.18807009999999899</v>
      </c>
      <c r="AH4429">
        <v>0.25131412830005401</v>
      </c>
      <c r="AI4429">
        <v>125.02933188548199</v>
      </c>
      <c r="AJ4429">
        <v>69.503323557946999</v>
      </c>
      <c r="AK4429">
        <v>0.32765070311179201</v>
      </c>
      <c r="AL4429">
        <v>89.9580453319263</v>
      </c>
      <c r="AM4429">
        <v>88.496027477860906</v>
      </c>
      <c r="AN4429">
        <v>0.99999996035588401</v>
      </c>
    </row>
    <row r="4430" spans="1:40" x14ac:dyDescent="0.25">
      <c r="A4430" t="str">
        <f>"20190312154010978"</f>
        <v>20190312154010978</v>
      </c>
      <c r="B4430" t="str">
        <f>"1552376410970342"</f>
        <v>1552376410970342</v>
      </c>
      <c r="C4430" t="s">
        <v>40</v>
      </c>
      <c r="D4430">
        <v>4.193543</v>
      </c>
      <c r="E4430">
        <v>0.55211960000000004</v>
      </c>
      <c r="F4430" t="s">
        <v>41</v>
      </c>
      <c r="G4430">
        <v>-399.6653</v>
      </c>
      <c r="H4430">
        <v>0.93100309999999997</v>
      </c>
      <c r="I4430">
        <v>214.75700000000001</v>
      </c>
      <c r="J4430">
        <v>-399.93560000000002</v>
      </c>
      <c r="K4430">
        <v>1.1094889999999999</v>
      </c>
      <c r="L4430">
        <v>214.874</v>
      </c>
      <c r="M4430">
        <v>0.99986419999999998</v>
      </c>
      <c r="N4430">
        <v>0</v>
      </c>
      <c r="O4430">
        <v>-5.9977069999999997E-3</v>
      </c>
      <c r="P4430">
        <v>0.99940169999999995</v>
      </c>
      <c r="Q4430">
        <v>-1.362199E-2</v>
      </c>
      <c r="R4430">
        <v>-3.1797289999999999E-2</v>
      </c>
      <c r="S4430">
        <v>2.9757389999999999</v>
      </c>
      <c r="T4430">
        <v>-0.72587899999999905</v>
      </c>
      <c r="U4430">
        <v>-0.4874115</v>
      </c>
      <c r="V4430">
        <v>2.580315E-2</v>
      </c>
      <c r="W4430">
        <v>1.713577E-3</v>
      </c>
      <c r="X4430">
        <v>0.99966560000000004</v>
      </c>
      <c r="Y4430">
        <v>0.15156159999999999</v>
      </c>
      <c r="Z4430">
        <v>-1.6670020000000001E-2</v>
      </c>
      <c r="AA4430">
        <v>0.98830720000000005</v>
      </c>
      <c r="AB4430">
        <v>45</v>
      </c>
      <c r="AC4430">
        <v>0.27030000000002002</v>
      </c>
      <c r="AD4430">
        <v>-0.1784859</v>
      </c>
      <c r="AE4430">
        <v>-0.11700000000001801</v>
      </c>
      <c r="AF4430">
        <v>8.4387337633733295E-2</v>
      </c>
      <c r="AG4430">
        <v>-0.1784859</v>
      </c>
      <c r="AH4430">
        <v>0.198209397181563</v>
      </c>
      <c r="AI4430">
        <v>129.64266183618699</v>
      </c>
      <c r="AJ4430">
        <v>66.938196937025097</v>
      </c>
      <c r="AK4430">
        <v>0.27975954743814901</v>
      </c>
      <c r="AL4430">
        <v>89.901819224470302</v>
      </c>
      <c r="AM4430">
        <v>88.521422168862898</v>
      </c>
      <c r="AN4430">
        <v>1.0000000253596999</v>
      </c>
    </row>
    <row r="4431" spans="1:40" x14ac:dyDescent="0.25">
      <c r="A4431" t="str">
        <f>"20190312154011003"</f>
        <v>20190312154011003</v>
      </c>
      <c r="B4431" t="str">
        <f>"1552376410990838"</f>
        <v>1552376410990838</v>
      </c>
      <c r="C4431" t="s">
        <v>40</v>
      </c>
      <c r="D4431">
        <v>4.1983550000000003</v>
      </c>
      <c r="E4431">
        <v>0.55202910000000005</v>
      </c>
      <c r="F4431" t="s">
        <v>41</v>
      </c>
      <c r="G4431">
        <v>-398.89190000000002</v>
      </c>
      <c r="H4431">
        <v>0.85561669999999901</v>
      </c>
      <c r="I4431">
        <v>214.70259999999999</v>
      </c>
      <c r="J4431">
        <v>-399.41199999999998</v>
      </c>
      <c r="K4431">
        <v>1.109505</v>
      </c>
      <c r="L4431">
        <v>214.8707</v>
      </c>
      <c r="M4431">
        <v>0.99986209999999998</v>
      </c>
      <c r="N4431">
        <v>0</v>
      </c>
      <c r="O4431">
        <v>-6.2712640000000004E-3</v>
      </c>
      <c r="P4431">
        <v>0.99940439999999997</v>
      </c>
      <c r="Q4431">
        <v>-1.3207490000000001E-2</v>
      </c>
      <c r="R4431">
        <v>-3.1887640000000002E-2</v>
      </c>
      <c r="S4431">
        <v>2.9763790000000001</v>
      </c>
      <c r="T4431">
        <v>-0.72399990000000003</v>
      </c>
      <c r="U4431">
        <v>-0.48793029999999998</v>
      </c>
      <c r="V4431">
        <v>2.5620339999999998E-2</v>
      </c>
      <c r="W4431">
        <v>2.1575119999999999E-3</v>
      </c>
      <c r="X4431">
        <v>0.99966940000000004</v>
      </c>
      <c r="Y4431">
        <v>0.15145890000000001</v>
      </c>
      <c r="Z4431">
        <v>-1.6547019999999999E-2</v>
      </c>
      <c r="AA4431">
        <v>0.98832509999999996</v>
      </c>
      <c r="AB4431">
        <v>45</v>
      </c>
      <c r="AC4431">
        <v>0.52009999999995604</v>
      </c>
      <c r="AD4431">
        <v>-0.25388830000000001</v>
      </c>
      <c r="AE4431">
        <v>-0.16810000000000899</v>
      </c>
      <c r="AF4431">
        <v>0.13558212278238299</v>
      </c>
      <c r="AG4431">
        <v>-0.25388830000000001</v>
      </c>
      <c r="AH4431">
        <v>0.42865886460977798</v>
      </c>
      <c r="AI4431">
        <v>119.45389779211099</v>
      </c>
      <c r="AJ4431">
        <v>72.448162171441496</v>
      </c>
      <c r="AK4431">
        <v>0.51632373865977899</v>
      </c>
      <c r="AL4431">
        <v>89.876383570145194</v>
      </c>
      <c r="AM4431">
        <v>88.531898565428605</v>
      </c>
      <c r="AN4431">
        <v>0.99999998298805204</v>
      </c>
    </row>
    <row r="4432" spans="1:40" x14ac:dyDescent="0.25">
      <c r="A4432" t="str">
        <f>"20190312154011021"</f>
        <v>20190312154011021</v>
      </c>
      <c r="B4432" t="str">
        <f>"1552376411010358"</f>
        <v>1552376411010358</v>
      </c>
      <c r="C4432" t="s">
        <v>40</v>
      </c>
      <c r="D4432">
        <v>4.2758629999999904</v>
      </c>
      <c r="E4432">
        <v>0.51778480000000005</v>
      </c>
      <c r="F4432" t="s">
        <v>41</v>
      </c>
      <c r="G4432">
        <v>-398.47930000000002</v>
      </c>
      <c r="H4432">
        <v>0.88313750000000002</v>
      </c>
      <c r="I4432">
        <v>214.71789999999999</v>
      </c>
      <c r="J4432">
        <v>-399.05520000000001</v>
      </c>
      <c r="K4432">
        <v>1.1095109999999999</v>
      </c>
      <c r="L4432">
        <v>214.8683</v>
      </c>
      <c r="M4432">
        <v>0.99986050000000004</v>
      </c>
      <c r="N4432">
        <v>0</v>
      </c>
      <c r="O4432">
        <v>-6.457946E-3</v>
      </c>
      <c r="P4432">
        <v>0.99941000000000002</v>
      </c>
      <c r="Q4432">
        <v>-1.325407E-2</v>
      </c>
      <c r="R4432">
        <v>-3.1695300000000003E-2</v>
      </c>
      <c r="S4432">
        <v>2.976715</v>
      </c>
      <c r="T4432">
        <v>-0.72240919999999997</v>
      </c>
      <c r="U4432">
        <v>-0.4875641</v>
      </c>
      <c r="V4432">
        <v>2.5241179999999998E-2</v>
      </c>
      <c r="W4432">
        <v>2.1289009999999999E-3</v>
      </c>
      <c r="X4432">
        <v>0.99967910000000004</v>
      </c>
      <c r="Y4432">
        <v>0.15117039999999901</v>
      </c>
      <c r="Z4432">
        <v>-1.6431390000000001E-2</v>
      </c>
      <c r="AA4432">
        <v>0.98837109999999995</v>
      </c>
      <c r="AB4432">
        <v>45</v>
      </c>
      <c r="AC4432">
        <v>0.57589999999998998</v>
      </c>
      <c r="AD4432">
        <v>-0.22637350000000001</v>
      </c>
      <c r="AE4432">
        <v>-0.15040000000001799</v>
      </c>
      <c r="AF4432">
        <v>0.12814216983773999</v>
      </c>
      <c r="AG4432">
        <v>-0.22637350000000001</v>
      </c>
      <c r="AH4432">
        <v>0.50396357976122796</v>
      </c>
      <c r="AI4432">
        <v>113.52512482325901</v>
      </c>
      <c r="AJ4432">
        <v>75.733796621245702</v>
      </c>
      <c r="AK4432">
        <v>0.56713725580208996</v>
      </c>
      <c r="AL4432">
        <v>89.878022862655499</v>
      </c>
      <c r="AM4432">
        <v>88.553629991370599</v>
      </c>
      <c r="AN4432">
        <v>0.99999997618203396</v>
      </c>
    </row>
    <row r="4433" spans="1:40" x14ac:dyDescent="0.25">
      <c r="A4433" t="str">
        <f>"20190312154011044"</f>
        <v>20190312154011044</v>
      </c>
      <c r="B4433" t="str">
        <f>"1552376411040614"</f>
        <v>1552376411040614</v>
      </c>
      <c r="C4433" t="s">
        <v>40</v>
      </c>
      <c r="D4433">
        <v>4.3403669999999996</v>
      </c>
      <c r="E4433">
        <v>0.50371889999999997</v>
      </c>
      <c r="F4433" t="s">
        <v>41</v>
      </c>
      <c r="G4433">
        <v>-398.04059999999998</v>
      </c>
      <c r="H4433">
        <v>0.96836560000000005</v>
      </c>
      <c r="I4433">
        <v>214.79169999999999</v>
      </c>
      <c r="J4433">
        <v>-398.60149999999999</v>
      </c>
      <c r="K4433">
        <v>1.1095170000000001</v>
      </c>
      <c r="L4433">
        <v>214.86510000000001</v>
      </c>
      <c r="M4433">
        <v>0.99985880000000005</v>
      </c>
      <c r="N4433">
        <v>0</v>
      </c>
      <c r="O4433">
        <v>-6.6954140000000002E-3</v>
      </c>
      <c r="P4433">
        <v>0.99940059999999997</v>
      </c>
      <c r="Q4433">
        <v>-1.3989990000000001E-2</v>
      </c>
      <c r="R4433">
        <v>-3.1677169999999998E-2</v>
      </c>
      <c r="S4433">
        <v>2.9891359999999998</v>
      </c>
      <c r="T4433">
        <v>-0.41587360000000001</v>
      </c>
      <c r="U4433">
        <v>-0.22451779999999999</v>
      </c>
      <c r="V4433">
        <v>2.4985070000000002E-2</v>
      </c>
      <c r="W4433">
        <v>1.4117400000000001E-3</v>
      </c>
      <c r="X4433">
        <v>0.99968679999999999</v>
      </c>
      <c r="Y4433">
        <v>6.7637580000000003E-2</v>
      </c>
      <c r="Z4433">
        <v>-3.7502910000000002E-3</v>
      </c>
      <c r="AA4433">
        <v>0.99770289999999995</v>
      </c>
      <c r="AB4433">
        <v>45</v>
      </c>
      <c r="AC4433">
        <v>0.56090000000000295</v>
      </c>
      <c r="AD4433">
        <v>-0.14115140000000001</v>
      </c>
      <c r="AE4433">
        <v>-7.3400000000020699E-2</v>
      </c>
      <c r="AF4433">
        <v>6.5560501345338695E-2</v>
      </c>
      <c r="AG4433">
        <v>-0.14115140000000001</v>
      </c>
      <c r="AH4433">
        <v>0.52847485380623105</v>
      </c>
      <c r="AI4433">
        <v>104.845447314673</v>
      </c>
      <c r="AJ4433">
        <v>82.928242272043903</v>
      </c>
      <c r="AK4433">
        <v>0.55091520959593199</v>
      </c>
      <c r="AL4433">
        <v>89.919113227130794</v>
      </c>
      <c r="AM4433">
        <v>88.568310489220906</v>
      </c>
      <c r="AN4433">
        <v>0.99999997241348504</v>
      </c>
    </row>
    <row r="4434" spans="1:40" x14ac:dyDescent="0.25">
      <c r="A4434" t="str">
        <f>"20190312154011066"</f>
        <v>20190312154011066</v>
      </c>
      <c r="B4434" t="str">
        <f>"1552376411060134"</f>
        <v>1552376411060134</v>
      </c>
      <c r="C4434" t="s">
        <v>40</v>
      </c>
      <c r="D4434">
        <v>4.3673859999999998</v>
      </c>
      <c r="E4434">
        <v>0.49980400000000003</v>
      </c>
      <c r="F4434" t="s">
        <v>41</v>
      </c>
      <c r="G4434">
        <v>-397.61509999999998</v>
      </c>
      <c r="H4434">
        <v>1.017363</v>
      </c>
      <c r="I4434">
        <v>214.82669999999999</v>
      </c>
      <c r="J4434">
        <v>-398.14839999999998</v>
      </c>
      <c r="K4434">
        <v>1.109523</v>
      </c>
      <c r="L4434">
        <v>214.86189999999999</v>
      </c>
      <c r="M4434">
        <v>0.99985679999999999</v>
      </c>
      <c r="N4434">
        <v>0</v>
      </c>
      <c r="O4434">
        <v>-6.9324959999999998E-3</v>
      </c>
      <c r="P4434">
        <v>0.99939009999999995</v>
      </c>
      <c r="Q4434">
        <v>-1.4813450000000001E-2</v>
      </c>
      <c r="R4434">
        <v>-3.1619639999999997E-2</v>
      </c>
      <c r="S4434">
        <v>2.9941710000000001</v>
      </c>
      <c r="T4434">
        <v>-0.27970899999999999</v>
      </c>
      <c r="U4434">
        <v>-0.1169434</v>
      </c>
      <c r="V4434">
        <v>2.4690279999999998E-2</v>
      </c>
      <c r="W4434">
        <v>6.030241E-4</v>
      </c>
      <c r="X4434">
        <v>0.99969490000000005</v>
      </c>
      <c r="Y4434">
        <v>3.198935E-2</v>
      </c>
      <c r="Z4434">
        <v>-8.443589E-4</v>
      </c>
      <c r="AA4434">
        <v>0.99948789999999998</v>
      </c>
      <c r="AB4434">
        <v>45</v>
      </c>
      <c r="AC4434">
        <v>0.533299999999997</v>
      </c>
      <c r="AD4434">
        <v>-9.2160000000000006E-2</v>
      </c>
      <c r="AE4434">
        <v>-3.5200000000003201E-2</v>
      </c>
      <c r="AF4434">
        <v>3.05919898951947E-2</v>
      </c>
      <c r="AG4434">
        <v>-9.2160000000000006E-2</v>
      </c>
      <c r="AH4434">
        <v>0.51812527938221198</v>
      </c>
      <c r="AI4434">
        <v>100.06865777155799</v>
      </c>
      <c r="AJ4434">
        <v>86.620972964623803</v>
      </c>
      <c r="AK4434">
        <v>0.52714622314936799</v>
      </c>
      <c r="AL4434">
        <v>89.965449259727606</v>
      </c>
      <c r="AM4434">
        <v>88.585207039259402</v>
      </c>
      <c r="AN4434">
        <v>0.99999993332527404</v>
      </c>
    </row>
    <row r="4435" spans="1:40" x14ac:dyDescent="0.25">
      <c r="A4435" t="str">
        <f>"20190312154011089"</f>
        <v>20190312154011089</v>
      </c>
      <c r="B4435" t="str">
        <f>"1552376411080631"</f>
        <v>1552376411080631</v>
      </c>
      <c r="C4435" t="s">
        <v>40</v>
      </c>
      <c r="D4435">
        <v>4.3445559999999999</v>
      </c>
      <c r="E4435">
        <v>0.49756440000000002</v>
      </c>
      <c r="F4435" t="s">
        <v>41</v>
      </c>
      <c r="G4435">
        <v>-397.20589999999999</v>
      </c>
      <c r="H4435">
        <v>1.034904</v>
      </c>
      <c r="I4435">
        <v>214.83420000000001</v>
      </c>
      <c r="J4435">
        <v>-397.68889999999999</v>
      </c>
      <c r="K4435">
        <v>1.1095379999999999</v>
      </c>
      <c r="L4435">
        <v>214.85849999999999</v>
      </c>
      <c r="M4435">
        <v>0.99985489999999999</v>
      </c>
      <c r="N4435">
        <v>0</v>
      </c>
      <c r="O4435">
        <v>-7.1732519999999998E-3</v>
      </c>
      <c r="P4435">
        <v>0.99939440000000002</v>
      </c>
      <c r="Q4435">
        <v>-1.471685E-2</v>
      </c>
      <c r="R4435">
        <v>-3.1532869999999998E-2</v>
      </c>
      <c r="S4435">
        <v>2.9955750000000001</v>
      </c>
      <c r="T4435">
        <v>-0.2372437</v>
      </c>
      <c r="U4435">
        <v>-8.7051390000000006E-2</v>
      </c>
      <c r="V4435">
        <v>2.436292E-2</v>
      </c>
      <c r="W4435">
        <v>7.1174300000000003E-4</v>
      </c>
      <c r="X4435">
        <v>0.99970289999999995</v>
      </c>
      <c r="Y4435">
        <v>2.1830059999999998E-2</v>
      </c>
      <c r="Z4435">
        <v>-2.9576670000000001E-4</v>
      </c>
      <c r="AA4435">
        <v>0.99976160000000003</v>
      </c>
      <c r="AB4435">
        <v>45</v>
      </c>
      <c r="AC4435">
        <v>0.48300000000000398</v>
      </c>
      <c r="AD4435">
        <v>-7.4633999999999798E-2</v>
      </c>
      <c r="AE4435">
        <v>-2.4299999999982402E-2</v>
      </c>
      <c r="AF4435">
        <v>2.0349619847885501E-2</v>
      </c>
      <c r="AG4435">
        <v>-7.4633999999999798E-2</v>
      </c>
      <c r="AH4435">
        <v>0.47192227734212999</v>
      </c>
      <c r="AI4435">
        <v>98.9786281893508</v>
      </c>
      <c r="AJ4435">
        <v>87.530895359500605</v>
      </c>
      <c r="AK4435">
        <v>0.47822063614584398</v>
      </c>
      <c r="AL4435">
        <v>89.959220125472498</v>
      </c>
      <c r="AM4435">
        <v>88.603968990519704</v>
      </c>
      <c r="AN4435">
        <v>0.99999997335871604</v>
      </c>
    </row>
    <row r="4436" spans="1:40" x14ac:dyDescent="0.25">
      <c r="A4436" t="str">
        <f>"20190312154011111"</f>
        <v>20190312154011111</v>
      </c>
      <c r="B4436" t="str">
        <f>"1552376411100151"</f>
        <v>1552376411100151</v>
      </c>
      <c r="C4436" t="s">
        <v>40</v>
      </c>
      <c r="D4436">
        <v>4.3433900000000003</v>
      </c>
      <c r="E4436">
        <v>0.4959037</v>
      </c>
      <c r="F4436" t="s">
        <v>61</v>
      </c>
      <c r="G4436">
        <v>-381.86259999999999</v>
      </c>
      <c r="H4436" s="1">
        <v>-5.4003869999999895E-7</v>
      </c>
      <c r="I4436">
        <v>214.48920000000001</v>
      </c>
      <c r="J4436">
        <v>-397.25049999999999</v>
      </c>
      <c r="K4436">
        <v>1.10955</v>
      </c>
      <c r="L4436">
        <v>214.8552</v>
      </c>
      <c r="M4436">
        <v>0.99985310000000005</v>
      </c>
      <c r="N4436">
        <v>0</v>
      </c>
      <c r="O4436">
        <v>-7.4031390000000004E-3</v>
      </c>
      <c r="P4436">
        <v>0.99941630000000004</v>
      </c>
      <c r="Q4436">
        <v>-1.3823179999999999E-2</v>
      </c>
      <c r="R4436">
        <v>-3.124132E-2</v>
      </c>
      <c r="S4436">
        <v>2.9964900000000001</v>
      </c>
      <c r="T4436">
        <v>-0.2100764</v>
      </c>
      <c r="U4436">
        <v>-6.9931030000000005E-2</v>
      </c>
      <c r="V4436">
        <v>2.384211E-2</v>
      </c>
      <c r="W4436">
        <v>1.6153490000000001E-3</v>
      </c>
      <c r="X4436">
        <v>0.9997144</v>
      </c>
      <c r="Y4436">
        <v>1.590778E-2</v>
      </c>
      <c r="Z4436" s="1">
        <v>-3.8512169999999998E-5</v>
      </c>
      <c r="AA4436">
        <v>0.99987349999999997</v>
      </c>
      <c r="AB4436">
        <v>45</v>
      </c>
      <c r="AC4436">
        <v>15.3879</v>
      </c>
      <c r="AD4436">
        <v>-1.1095505400387</v>
      </c>
      <c r="AE4436">
        <v>-0.365999999999985</v>
      </c>
      <c r="AF4436">
        <v>0.25075460806852101</v>
      </c>
      <c r="AG4436">
        <v>-1.1095505400387</v>
      </c>
      <c r="AH4436">
        <v>15.3106302603196</v>
      </c>
      <c r="AI4436">
        <v>94.144384746125098</v>
      </c>
      <c r="AJ4436">
        <v>89.061704442226898</v>
      </c>
      <c r="AK4436">
        <v>15.3528296819375</v>
      </c>
      <c r="AL4436">
        <v>89.907447276699401</v>
      </c>
      <c r="AM4436">
        <v>88.633816442268497</v>
      </c>
      <c r="AN4436">
        <v>0.99999996856450102</v>
      </c>
    </row>
    <row r="4437" spans="1:40" x14ac:dyDescent="0.25">
      <c r="A4437" t="str">
        <f>"20190312154011132"</f>
        <v>20190312154011132</v>
      </c>
      <c r="B4437" t="str">
        <f>"1552376411120646"</f>
        <v>1552376411120646</v>
      </c>
      <c r="C4437" t="s">
        <v>40</v>
      </c>
      <c r="D4437">
        <v>4.357831</v>
      </c>
      <c r="E4437">
        <v>0.49477779999999999</v>
      </c>
      <c r="F4437" t="s">
        <v>61</v>
      </c>
      <c r="G4437">
        <v>-379.85359999999997</v>
      </c>
      <c r="H4437" s="1">
        <v>3.7067870000000001E-6</v>
      </c>
      <c r="I4437">
        <v>214.52879999999999</v>
      </c>
      <c r="J4437">
        <v>-396.83030000000002</v>
      </c>
      <c r="K4437">
        <v>1.109561</v>
      </c>
      <c r="L4437">
        <v>214.8519</v>
      </c>
      <c r="M4437">
        <v>0.9998513</v>
      </c>
      <c r="N4437">
        <v>0</v>
      </c>
      <c r="O4437">
        <v>-7.6234730000000004E-3</v>
      </c>
      <c r="P4437">
        <v>0.99944180000000005</v>
      </c>
      <c r="Q4437">
        <v>-1.3464189999999999E-2</v>
      </c>
      <c r="R4437">
        <v>-3.0577460000000001E-2</v>
      </c>
      <c r="S4437">
        <v>2.9973450000000001</v>
      </c>
      <c r="T4437">
        <v>-0.19116530000000001</v>
      </c>
      <c r="U4437">
        <v>-5.6228640000000003E-2</v>
      </c>
      <c r="V4437">
        <v>2.2957849999999998E-2</v>
      </c>
      <c r="W4437">
        <v>1.982513E-3</v>
      </c>
      <c r="X4437">
        <v>0.99973449999999997</v>
      </c>
      <c r="Y4437">
        <v>1.112548E-2</v>
      </c>
      <c r="Z4437">
        <v>1.3133080000000001E-4</v>
      </c>
      <c r="AA4437">
        <v>0.99993810000000005</v>
      </c>
      <c r="AB4437">
        <v>45</v>
      </c>
      <c r="AC4437">
        <v>16.976700000000001</v>
      </c>
      <c r="AD4437">
        <v>-1.109557293213</v>
      </c>
      <c r="AE4437">
        <v>-0.32310000000000999</v>
      </c>
      <c r="AF4437">
        <v>0.19283030904793599</v>
      </c>
      <c r="AG4437">
        <v>-1.109557293213</v>
      </c>
      <c r="AH4437">
        <v>16.906478041860101</v>
      </c>
      <c r="AI4437">
        <v>93.754643317426499</v>
      </c>
      <c r="AJ4437">
        <v>89.346529550009507</v>
      </c>
      <c r="AK4437">
        <v>16.943945841949201</v>
      </c>
      <c r="AL4437">
        <v>89.886410301481305</v>
      </c>
      <c r="AM4437">
        <v>88.684493968462803</v>
      </c>
      <c r="AN4437">
        <v>1.0000000318623301</v>
      </c>
    </row>
    <row r="4438" spans="1:40" x14ac:dyDescent="0.25">
      <c r="A4438" t="str">
        <f>"20190312154011154"</f>
        <v>20190312154011154</v>
      </c>
      <c r="B4438" t="str">
        <f>"1552376411150902"</f>
        <v>1552376411150902</v>
      </c>
      <c r="C4438" t="s">
        <v>40</v>
      </c>
      <c r="D4438">
        <v>4.3327450000000001</v>
      </c>
      <c r="E4438">
        <v>0.49368529999999999</v>
      </c>
      <c r="F4438" t="s">
        <v>61</v>
      </c>
      <c r="G4438">
        <v>-378.08530000000002</v>
      </c>
      <c r="H4438" s="1">
        <v>2.7658249999999999E-6</v>
      </c>
      <c r="I4438">
        <v>214.56639999999999</v>
      </c>
      <c r="J4438">
        <v>-396.38940000000002</v>
      </c>
      <c r="K4438">
        <v>1.1095729999999999</v>
      </c>
      <c r="L4438">
        <v>214.8484</v>
      </c>
      <c r="M4438">
        <v>0.9998494</v>
      </c>
      <c r="N4438">
        <v>0</v>
      </c>
      <c r="O4438">
        <v>-7.8549969999999903E-3</v>
      </c>
      <c r="P4438">
        <v>0.99944440000000001</v>
      </c>
      <c r="Q4438">
        <v>-1.3959920000000001E-2</v>
      </c>
      <c r="R4438">
        <v>-3.0266479999999998E-2</v>
      </c>
      <c r="S4438">
        <v>2.9978940000000001</v>
      </c>
      <c r="T4438">
        <v>-0.1774521</v>
      </c>
      <c r="U4438">
        <v>-4.5654300000000002E-2</v>
      </c>
      <c r="V4438">
        <v>2.2415069999999999E-2</v>
      </c>
      <c r="W4438">
        <v>1.493755E-3</v>
      </c>
      <c r="X4438">
        <v>0.99974759999999996</v>
      </c>
      <c r="Y4438">
        <v>7.3723719999999899E-3</v>
      </c>
      <c r="Z4438">
        <v>2.4657649999999999E-4</v>
      </c>
      <c r="AA4438">
        <v>0.9999728</v>
      </c>
      <c r="AB4438">
        <v>45</v>
      </c>
      <c r="AC4438">
        <v>18.304099999999998</v>
      </c>
      <c r="AD4438">
        <v>-1.109570234175</v>
      </c>
      <c r="AE4438">
        <v>-0.28200000000001002</v>
      </c>
      <c r="AF4438">
        <v>0.13768959114191501</v>
      </c>
      <c r="AG4438">
        <v>-1.109570234175</v>
      </c>
      <c r="AH4438">
        <v>18.2387459215546</v>
      </c>
      <c r="AI4438">
        <v>93.481249850557703</v>
      </c>
      <c r="AJ4438">
        <v>89.567465733425394</v>
      </c>
      <c r="AK4438">
        <v>18.272984357217101</v>
      </c>
      <c r="AL4438">
        <v>89.914414108065799</v>
      </c>
      <c r="AM4438">
        <v>88.715602043922104</v>
      </c>
      <c r="AN4438">
        <v>0.99999996518643097</v>
      </c>
    </row>
    <row r="4439" spans="1:40" x14ac:dyDescent="0.25">
      <c r="A4439" t="str">
        <f>"20190312154011180"</f>
        <v>20190312154011180</v>
      </c>
      <c r="B4439" t="str">
        <f>"1552376411170960"</f>
        <v>1552376411170960</v>
      </c>
      <c r="C4439" t="s">
        <v>40</v>
      </c>
      <c r="D4439">
        <v>4.3390599999999999</v>
      </c>
      <c r="E4439">
        <v>0.49315720000000002</v>
      </c>
      <c r="F4439" t="s">
        <v>61</v>
      </c>
      <c r="G4439">
        <v>-376.26150000000001</v>
      </c>
      <c r="H4439" s="1">
        <v>1.7952629999999901E-6</v>
      </c>
      <c r="I4439">
        <v>214.6036</v>
      </c>
      <c r="J4439">
        <v>-395.89839999999998</v>
      </c>
      <c r="K4439">
        <v>1.1095809999999999</v>
      </c>
      <c r="L4439">
        <v>214.8443</v>
      </c>
      <c r="M4439">
        <v>0.99984740000000005</v>
      </c>
      <c r="N4439">
        <v>0</v>
      </c>
      <c r="O4439">
        <v>-8.1130960000000002E-3</v>
      </c>
      <c r="P4439">
        <v>0.99946409999999997</v>
      </c>
      <c r="Q4439">
        <v>-1.4241139999999999E-2</v>
      </c>
      <c r="R4439">
        <v>-2.9477010000000001E-2</v>
      </c>
      <c r="S4439">
        <v>2.9982600000000001</v>
      </c>
      <c r="T4439">
        <v>-0.16528180000000001</v>
      </c>
      <c r="U4439">
        <v>-3.645325E-2</v>
      </c>
      <c r="V4439">
        <v>2.1367069999999998E-2</v>
      </c>
      <c r="W4439">
        <v>1.218144E-3</v>
      </c>
      <c r="X4439">
        <v>0.99977090000000002</v>
      </c>
      <c r="Y4439">
        <v>4.0495359999999899E-3</v>
      </c>
      <c r="Z4439">
        <v>3.3540190000000002E-4</v>
      </c>
      <c r="AA4439">
        <v>0.99999170000000004</v>
      </c>
      <c r="AB4439">
        <v>45</v>
      </c>
      <c r="AC4439">
        <v>19.636899999999901</v>
      </c>
      <c r="AD4439">
        <v>-1.1095792047369999</v>
      </c>
      <c r="AE4439">
        <v>-0.24070000000000299</v>
      </c>
      <c r="AF4439">
        <v>8.1098061068995697E-2</v>
      </c>
      <c r="AG4439">
        <v>-1.1095792047369999</v>
      </c>
      <c r="AH4439">
        <v>19.575714801695302</v>
      </c>
      <c r="AI4439">
        <v>93.2441067865647</v>
      </c>
      <c r="AJ4439">
        <v>89.762637017820893</v>
      </c>
      <c r="AK4439">
        <v>19.607303560265699</v>
      </c>
      <c r="AL4439">
        <v>89.930205468792707</v>
      </c>
      <c r="AM4439">
        <v>88.775662917199895</v>
      </c>
      <c r="AN4439">
        <v>0.99999994402099801</v>
      </c>
    </row>
    <row r="4440" spans="1:40" x14ac:dyDescent="0.25">
      <c r="A4440" t="str">
        <f>"20190312154011202"</f>
        <v>20190312154011202</v>
      </c>
      <c r="B4440" t="str">
        <f>"1552376411190480"</f>
        <v>1552376411190480</v>
      </c>
      <c r="C4440" t="s">
        <v>40</v>
      </c>
      <c r="D4440">
        <v>4.334797</v>
      </c>
      <c r="E4440">
        <v>0.49273319999999998</v>
      </c>
      <c r="F4440" t="s">
        <v>61</v>
      </c>
      <c r="G4440">
        <v>-375.23450000000003</v>
      </c>
      <c r="H4440" s="1">
        <v>1.2487589999999999E-6</v>
      </c>
      <c r="I4440">
        <v>214.63730000000001</v>
      </c>
      <c r="J4440">
        <v>-395.45519999999999</v>
      </c>
      <c r="K4440">
        <v>1.109594</v>
      </c>
      <c r="L4440">
        <v>214.84049999999999</v>
      </c>
      <c r="M4440">
        <v>0.9998454</v>
      </c>
      <c r="N4440">
        <v>0</v>
      </c>
      <c r="O4440">
        <v>-8.3460289999999996E-3</v>
      </c>
      <c r="P4440">
        <v>0.99945320000000004</v>
      </c>
      <c r="Q4440">
        <v>-1.418143E-2</v>
      </c>
      <c r="R4440">
        <v>-2.987072E-2</v>
      </c>
      <c r="S4440">
        <v>2.9984739999999999</v>
      </c>
      <c r="T4440">
        <v>-0.1610075</v>
      </c>
      <c r="U4440">
        <v>-3.0044560000000001E-2</v>
      </c>
      <c r="V4440">
        <v>2.1528269999999999E-2</v>
      </c>
      <c r="W4440">
        <v>1.280609E-3</v>
      </c>
      <c r="X4440">
        <v>0.99976739999999997</v>
      </c>
      <c r="Y4440">
        <v>1.6820870000000001E-3</v>
      </c>
      <c r="Z4440">
        <v>4.02736E-4</v>
      </c>
      <c r="AA4440">
        <v>0.99999850000000001</v>
      </c>
      <c r="AB4440">
        <v>45</v>
      </c>
      <c r="AC4440">
        <v>20.220699999999901</v>
      </c>
      <c r="AD4440">
        <v>-1.109592751241</v>
      </c>
      <c r="AE4440">
        <v>-0.20319999999998101</v>
      </c>
      <c r="AF4440">
        <v>3.4306864615822399E-2</v>
      </c>
      <c r="AG4440">
        <v>-1.109592751241</v>
      </c>
      <c r="AH4440">
        <v>20.160989708661099</v>
      </c>
      <c r="AI4440">
        <v>93.150183449163407</v>
      </c>
      <c r="AJ4440">
        <v>89.902502968257593</v>
      </c>
      <c r="AK4440">
        <v>20.191529884268402</v>
      </c>
      <c r="AL4440">
        <v>89.926626487588393</v>
      </c>
      <c r="AM4440">
        <v>88.766424653508906</v>
      </c>
      <c r="AN4440">
        <v>0.99999998023568104</v>
      </c>
    </row>
    <row r="4441" spans="1:40" x14ac:dyDescent="0.25">
      <c r="A4441" t="str">
        <f>"20190312154011222"</f>
        <v>20190312154011222</v>
      </c>
      <c r="B4441" t="str">
        <f>"1552376411209998"</f>
        <v>1552376411209998</v>
      </c>
      <c r="C4441" t="s">
        <v>40</v>
      </c>
      <c r="D4441">
        <v>4.3056039999999998</v>
      </c>
      <c r="E4441">
        <v>0.49232559999999898</v>
      </c>
      <c r="F4441" t="s">
        <v>61</v>
      </c>
      <c r="G4441">
        <v>-374.20929999999998</v>
      </c>
      <c r="H4441" s="1">
        <v>7.0317750000000001E-7</v>
      </c>
      <c r="I4441">
        <v>214.642</v>
      </c>
      <c r="J4441">
        <v>-395.0333</v>
      </c>
      <c r="K4441">
        <v>1.1096109999999999</v>
      </c>
      <c r="L4441">
        <v>214.83680000000001</v>
      </c>
      <c r="M4441">
        <v>0.9998435</v>
      </c>
      <c r="N4441">
        <v>0</v>
      </c>
      <c r="O4441">
        <v>-8.5677489999999995E-3</v>
      </c>
      <c r="P4441">
        <v>0.99946579999999996</v>
      </c>
      <c r="Q4441">
        <v>-1.3508249999999999E-2</v>
      </c>
      <c r="R4441">
        <v>-2.9760000000000002E-2</v>
      </c>
      <c r="S4441">
        <v>2.998596</v>
      </c>
      <c r="T4441">
        <v>-0.1566052</v>
      </c>
      <c r="U4441">
        <v>-2.8015140000000001E-2</v>
      </c>
      <c r="V4441">
        <v>2.1196220000000002E-2</v>
      </c>
      <c r="W4441">
        <v>1.9553330000000001E-3</v>
      </c>
      <c r="X4441">
        <v>0.99977340000000003</v>
      </c>
      <c r="Y4441">
        <v>7.8420669999999999E-4</v>
      </c>
      <c r="Z4441">
        <v>4.2672769999999998E-4</v>
      </c>
      <c r="AA4441">
        <v>0.99999959999999999</v>
      </c>
      <c r="AB4441">
        <v>44</v>
      </c>
      <c r="AC4441">
        <v>20.824000000000002</v>
      </c>
      <c r="AD4441">
        <v>-1.1096102968224999</v>
      </c>
      <c r="AE4441">
        <v>-0.19480000000001399</v>
      </c>
      <c r="AF4441">
        <v>1.6310361914353901E-2</v>
      </c>
      <c r="AG4441">
        <v>-1.1096102968224999</v>
      </c>
      <c r="AH4441">
        <v>20.765948908887001</v>
      </c>
      <c r="AI4441">
        <v>93.058640063911895</v>
      </c>
      <c r="AJ4441">
        <v>89.954997736344595</v>
      </c>
      <c r="AK4441">
        <v>20.795579701590999</v>
      </c>
      <c r="AL4441">
        <v>89.887967597614406</v>
      </c>
      <c r="AM4441">
        <v>88.785452745877905</v>
      </c>
      <c r="AN4441">
        <v>0.99999997720849398</v>
      </c>
    </row>
    <row r="4442" spans="1:40" x14ac:dyDescent="0.25">
      <c r="A4442" t="str">
        <f>"20190312154011245"</f>
        <v>20190312154011245</v>
      </c>
      <c r="B4442" t="str">
        <f>"1552376411240254"</f>
        <v>1552376411240254</v>
      </c>
      <c r="C4442" t="s">
        <v>40</v>
      </c>
      <c r="D4442">
        <v>4.3536769999999896</v>
      </c>
      <c r="E4442">
        <v>0.49196719999999999</v>
      </c>
      <c r="F4442" t="s">
        <v>61</v>
      </c>
      <c r="G4442">
        <v>-373.08150000000001</v>
      </c>
      <c r="H4442" s="1">
        <v>1.030451E-7</v>
      </c>
      <c r="I4442">
        <v>214.65819999999999</v>
      </c>
      <c r="J4442">
        <v>-394.60700000000003</v>
      </c>
      <c r="K4442">
        <v>1.1096200000000001</v>
      </c>
      <c r="L4442">
        <v>214.833</v>
      </c>
      <c r="M4442">
        <v>0.9998416</v>
      </c>
      <c r="N4442">
        <v>0</v>
      </c>
      <c r="O4442">
        <v>-8.7920849999999998E-3</v>
      </c>
      <c r="P4442">
        <v>0.99950589999999995</v>
      </c>
      <c r="Q4442">
        <v>-1.2442699999999999E-2</v>
      </c>
      <c r="R4442">
        <v>-2.8871129999999998E-2</v>
      </c>
      <c r="S4442">
        <v>2.9988100000000002</v>
      </c>
      <c r="T4442">
        <v>-0.1515831</v>
      </c>
      <c r="U4442">
        <v>-2.4398799999999998E-2</v>
      </c>
      <c r="V4442">
        <v>2.0083239999999999E-2</v>
      </c>
      <c r="W4442">
        <v>3.023445E-3</v>
      </c>
      <c r="X4442">
        <v>0.99979379999999995</v>
      </c>
      <c r="Y4442">
        <v>-6.4521870000000005E-4</v>
      </c>
      <c r="Z4442">
        <v>4.6047059999999998E-4</v>
      </c>
      <c r="AA4442">
        <v>0.99999970000000005</v>
      </c>
      <c r="AB4442">
        <v>44</v>
      </c>
      <c r="AC4442">
        <v>21.525499999999901</v>
      </c>
      <c r="AD4442">
        <v>-1.1096198969548901</v>
      </c>
      <c r="AE4442">
        <v>-0.17480000000000401</v>
      </c>
      <c r="AF4442">
        <v>-1.4445065832112001E-2</v>
      </c>
      <c r="AG4442">
        <v>-1.1096198969548901</v>
      </c>
      <c r="AH4442">
        <v>21.4691584413006</v>
      </c>
      <c r="AI4442">
        <v>92.958662922210095</v>
      </c>
      <c r="AJ4442">
        <v>90.038550238675597</v>
      </c>
      <c r="AK4442">
        <v>21.4978191720304</v>
      </c>
      <c r="AL4442">
        <v>89.826769108402701</v>
      </c>
      <c r="AM4442">
        <v>88.849232551581395</v>
      </c>
      <c r="AN4442">
        <v>1.0000000601335</v>
      </c>
    </row>
    <row r="4443" spans="1:40" x14ac:dyDescent="0.25">
      <c r="A4443" t="str">
        <f>"20190312154011266"</f>
        <v>20190312154011266</v>
      </c>
      <c r="B4443" t="str">
        <f>"1552376411260750"</f>
        <v>1552376411260750</v>
      </c>
      <c r="C4443" t="s">
        <v>40</v>
      </c>
      <c r="D4443">
        <v>4.2601469999999999</v>
      </c>
      <c r="E4443">
        <v>0.49203039999999998</v>
      </c>
      <c r="F4443" t="s">
        <v>61</v>
      </c>
      <c r="G4443">
        <v>-371.6447</v>
      </c>
      <c r="H4443" s="1">
        <v>-6.615628E-7</v>
      </c>
      <c r="I4443">
        <v>214.6865</v>
      </c>
      <c r="J4443">
        <v>-394.16430000000003</v>
      </c>
      <c r="K4443">
        <v>1.109632</v>
      </c>
      <c r="L4443">
        <v>214.8289</v>
      </c>
      <c r="M4443">
        <v>0.99983949999999999</v>
      </c>
      <c r="N4443">
        <v>0</v>
      </c>
      <c r="O4443">
        <v>-9.0247590000000003E-3</v>
      </c>
      <c r="P4443">
        <v>0.99951809999999996</v>
      </c>
      <c r="Q4443">
        <v>-1.170759E-2</v>
      </c>
      <c r="R4443">
        <v>-2.875227E-2</v>
      </c>
      <c r="S4443">
        <v>2.9990839999999999</v>
      </c>
      <c r="T4443">
        <v>-0.144926799999999</v>
      </c>
      <c r="U4443">
        <v>-1.9134519999999999E-2</v>
      </c>
      <c r="V4443">
        <v>1.973227E-2</v>
      </c>
      <c r="W4443">
        <v>3.7587240000000002E-3</v>
      </c>
      <c r="X4443">
        <v>0.99979819999999997</v>
      </c>
      <c r="Y4443">
        <v>-2.6323219999999999E-3</v>
      </c>
      <c r="Z4443">
        <v>4.9945939999999998E-4</v>
      </c>
      <c r="AA4443">
        <v>0.99999640000000001</v>
      </c>
      <c r="AB4443">
        <v>44</v>
      </c>
      <c r="AC4443">
        <v>22.519600000000001</v>
      </c>
      <c r="AD4443">
        <v>-1.1096326615628</v>
      </c>
      <c r="AE4443">
        <v>-0.14240000000000899</v>
      </c>
      <c r="AF4443">
        <v>-6.0716697418976201E-2</v>
      </c>
      <c r="AG4443">
        <v>-1.1096326615628</v>
      </c>
      <c r="AH4443">
        <v>22.465425552446298</v>
      </c>
      <c r="AI4443">
        <v>92.827696711018703</v>
      </c>
      <c r="AJ4443">
        <v>90.154851375049205</v>
      </c>
      <c r="AK4443">
        <v>22.4928947984349</v>
      </c>
      <c r="AL4443">
        <v>89.784640463935801</v>
      </c>
      <c r="AM4443">
        <v>88.869342801704605</v>
      </c>
      <c r="AN4443">
        <v>0.99999996560435001</v>
      </c>
    </row>
    <row r="4444" spans="1:40" x14ac:dyDescent="0.25">
      <c r="A4444" t="str">
        <f>"20190312154011289"</f>
        <v>20190312154011289</v>
      </c>
      <c r="B4444" t="str">
        <f>"1552376411280813"</f>
        <v>1552376411280813</v>
      </c>
      <c r="C4444" t="s">
        <v>40</v>
      </c>
      <c r="D4444">
        <v>4.2330059999999996</v>
      </c>
      <c r="E4444">
        <v>0.49208750000000001</v>
      </c>
      <c r="F4444" t="s">
        <v>61</v>
      </c>
      <c r="G4444">
        <v>-370.26870000000002</v>
      </c>
      <c r="H4444" s="1">
        <v>-1.3937979999999901E-6</v>
      </c>
      <c r="I4444">
        <v>214.6729</v>
      </c>
      <c r="J4444">
        <v>-393.70609999999999</v>
      </c>
      <c r="K4444">
        <v>1.10965</v>
      </c>
      <c r="L4444">
        <v>214.8245</v>
      </c>
      <c r="M4444">
        <v>0.99983730000000004</v>
      </c>
      <c r="N4444">
        <v>0</v>
      </c>
      <c r="O4444">
        <v>-9.2656519999999992E-3</v>
      </c>
      <c r="P4444">
        <v>0.99954019999999999</v>
      </c>
      <c r="Q4444">
        <v>-1.053521E-2</v>
      </c>
      <c r="R4444">
        <v>-2.8436590000000001E-2</v>
      </c>
      <c r="S4444">
        <v>2.9992679999999998</v>
      </c>
      <c r="T4444">
        <v>-0.13927629999999999</v>
      </c>
      <c r="U4444">
        <v>-1.9577029999999999E-2</v>
      </c>
      <c r="V4444">
        <v>1.9176329999999998E-2</v>
      </c>
      <c r="W4444">
        <v>4.9312549999999998E-3</v>
      </c>
      <c r="X4444">
        <v>0.99980400000000003</v>
      </c>
      <c r="Y4444">
        <v>-2.726792E-3</v>
      </c>
      <c r="Z4444">
        <v>4.9335109999999998E-4</v>
      </c>
      <c r="AA4444">
        <v>0.9999962</v>
      </c>
      <c r="AB4444">
        <v>44</v>
      </c>
      <c r="AC4444">
        <v>23.437399999999901</v>
      </c>
      <c r="AD4444">
        <v>-1.1096513937979999</v>
      </c>
      <c r="AE4444">
        <v>-0.15160000000000101</v>
      </c>
      <c r="AF4444">
        <v>-6.5448611542941196E-2</v>
      </c>
      <c r="AG4444">
        <v>-1.1096513937979999</v>
      </c>
      <c r="AH4444">
        <v>23.385380490670801</v>
      </c>
      <c r="AI4444">
        <v>92.716673378450096</v>
      </c>
      <c r="AJ4444">
        <v>90.160353150004994</v>
      </c>
      <c r="AK4444">
        <v>23.4117840078444</v>
      </c>
      <c r="AL4444">
        <v>89.717458768020194</v>
      </c>
      <c r="AM4444">
        <v>88.901196560427607</v>
      </c>
      <c r="AN4444">
        <v>1.00000004366207</v>
      </c>
    </row>
    <row r="4445" spans="1:40" x14ac:dyDescent="0.25">
      <c r="A4445" t="str">
        <f>"20190312154011322"</f>
        <v>20190312154011322</v>
      </c>
      <c r="B4445" t="str">
        <f>"1552376411310089"</f>
        <v>1552376411310089</v>
      </c>
      <c r="C4445" t="s">
        <v>40</v>
      </c>
      <c r="D4445">
        <v>4.2413959999999999</v>
      </c>
      <c r="E4445">
        <v>0.49215969999999998</v>
      </c>
      <c r="F4445" t="s">
        <v>61</v>
      </c>
      <c r="G4445">
        <v>-368.73779999999999</v>
      </c>
      <c r="H4445" s="1">
        <v>3.1130149999999999E-6</v>
      </c>
      <c r="I4445">
        <v>214.66589999999999</v>
      </c>
      <c r="J4445">
        <v>-393.07</v>
      </c>
      <c r="K4445">
        <v>1.1096820000000001</v>
      </c>
      <c r="L4445">
        <v>214.81829999999999</v>
      </c>
      <c r="M4445">
        <v>0.99983420000000001</v>
      </c>
      <c r="N4445">
        <v>0</v>
      </c>
      <c r="O4445">
        <v>-9.6004569999999997E-3</v>
      </c>
      <c r="P4445">
        <v>0.99953029999999998</v>
      </c>
      <c r="Q4445">
        <v>-8.2968150000000008E-3</v>
      </c>
      <c r="R4445">
        <v>-2.9507820000000001E-2</v>
      </c>
      <c r="S4445">
        <v>2.9994200000000002</v>
      </c>
      <c r="T4445">
        <v>-0.133301</v>
      </c>
      <c r="U4445">
        <v>-1.9058229999999999E-2</v>
      </c>
      <c r="V4445">
        <v>1.991443E-2</v>
      </c>
      <c r="W4445">
        <v>7.1671030000000002E-3</v>
      </c>
      <c r="X4445">
        <v>0.999776</v>
      </c>
      <c r="Y4445">
        <v>-3.2351939999999998E-3</v>
      </c>
      <c r="Z4445">
        <v>4.9834769999999905E-4</v>
      </c>
      <c r="AA4445">
        <v>0.99999459999999996</v>
      </c>
      <c r="AB4445">
        <v>44</v>
      </c>
      <c r="AC4445">
        <v>24.3322</v>
      </c>
      <c r="AD4445">
        <v>-1.1096788869850001</v>
      </c>
      <c r="AE4445">
        <v>-0.15240000000000001</v>
      </c>
      <c r="AF4445">
        <v>-8.1066632552662804E-2</v>
      </c>
      <c r="AG4445">
        <v>-1.1096788869850001</v>
      </c>
      <c r="AH4445">
        <v>24.282040649117299</v>
      </c>
      <c r="AI4445">
        <v>92.616557577350207</v>
      </c>
      <c r="AJ4445">
        <v>90.191283702846505</v>
      </c>
      <c r="AK4445">
        <v>24.307518530621699</v>
      </c>
      <c r="AL4445">
        <v>89.589351731483703</v>
      </c>
      <c r="AM4445">
        <v>88.858882466951698</v>
      </c>
      <c r="AN4445">
        <v>1.00000000103181</v>
      </c>
    </row>
    <row r="4446" spans="1:40" x14ac:dyDescent="0.25">
      <c r="A4446" t="str">
        <f>"20190312154011344"</f>
        <v>20190312154011344</v>
      </c>
      <c r="B4446" t="str">
        <f>"1552376411340344"</f>
        <v>1552376411340344</v>
      </c>
      <c r="C4446" t="s">
        <v>40</v>
      </c>
      <c r="D4446">
        <v>4.2263710000000003</v>
      </c>
      <c r="E4446">
        <v>0.49689100000000003</v>
      </c>
      <c r="F4446" t="s">
        <v>61</v>
      </c>
      <c r="G4446">
        <v>-366.37</v>
      </c>
      <c r="H4446" s="1">
        <v>1.8530220000000001E-6</v>
      </c>
      <c r="I4446">
        <v>214.61420000000001</v>
      </c>
      <c r="J4446">
        <v>-392.63529999999997</v>
      </c>
      <c r="K4446">
        <v>1.1096999999999999</v>
      </c>
      <c r="L4446">
        <v>214.81389999999999</v>
      </c>
      <c r="M4446">
        <v>0.99983200000000005</v>
      </c>
      <c r="N4446">
        <v>0</v>
      </c>
      <c r="O4446">
        <v>-9.8296549999999996E-3</v>
      </c>
      <c r="P4446">
        <v>0.99950490000000003</v>
      </c>
      <c r="Q4446">
        <v>-6.3853979999999996E-3</v>
      </c>
      <c r="R4446">
        <v>-3.081064E-2</v>
      </c>
      <c r="S4446">
        <v>2.999695</v>
      </c>
      <c r="T4446">
        <v>-0.1246704</v>
      </c>
      <c r="U4446">
        <v>-2.293396E-2</v>
      </c>
      <c r="V4446">
        <v>2.0989770000000001E-2</v>
      </c>
      <c r="W4446">
        <v>9.0753429999999996E-3</v>
      </c>
      <c r="X4446">
        <v>0.99973849999999997</v>
      </c>
      <c r="Y4446">
        <v>-2.1753430000000002E-3</v>
      </c>
      <c r="Z4446">
        <v>4.5357299999999998E-4</v>
      </c>
      <c r="AA4446">
        <v>0.99999760000000004</v>
      </c>
      <c r="AB4446">
        <v>44</v>
      </c>
      <c r="AC4446">
        <v>26.2652999999999</v>
      </c>
      <c r="AD4446">
        <v>-1.1096981469779901</v>
      </c>
      <c r="AE4446">
        <v>-0.19969999999997801</v>
      </c>
      <c r="AF4446">
        <v>-5.8415124194113002E-2</v>
      </c>
      <c r="AG4446">
        <v>-1.1096981469779901</v>
      </c>
      <c r="AH4446">
        <v>26.219194691473501</v>
      </c>
      <c r="AI4446">
        <v>92.423527490958705</v>
      </c>
      <c r="AJ4446">
        <v>90.127652072370495</v>
      </c>
      <c r="AK4446">
        <v>26.242732566818098</v>
      </c>
      <c r="AL4446">
        <v>89.480014010641199</v>
      </c>
      <c r="AM4446">
        <v>88.797236902895705</v>
      </c>
      <c r="AN4446">
        <v>1.0000000003387299</v>
      </c>
    </row>
    <row r="4447" spans="1:40" x14ac:dyDescent="0.25">
      <c r="A4447" t="str">
        <f>"20190312154011367"</f>
        <v>20190312154011367</v>
      </c>
      <c r="B4447" t="str">
        <f>"1552376411360841"</f>
        <v>1552376411360841</v>
      </c>
      <c r="C4447" t="s">
        <v>40</v>
      </c>
      <c r="D4447">
        <v>4.1931919999999998</v>
      </c>
      <c r="E4447">
        <v>0.4975444</v>
      </c>
      <c r="F4447" t="s">
        <v>75</v>
      </c>
      <c r="G4447">
        <v>-169.39230000000001</v>
      </c>
      <c r="H4447">
        <v>0.76128200000000001</v>
      </c>
      <c r="I4447">
        <v>209.7372</v>
      </c>
      <c r="J4447">
        <v>-392.18599999999998</v>
      </c>
      <c r="K4447">
        <v>1.109704</v>
      </c>
      <c r="L4447">
        <v>214.80930000000001</v>
      </c>
      <c r="M4447">
        <v>0.99982959999999999</v>
      </c>
      <c r="N4447">
        <v>0</v>
      </c>
      <c r="O4447">
        <v>-1.0066E-2</v>
      </c>
      <c r="P4447">
        <v>0.99948419999999905</v>
      </c>
      <c r="Q4447">
        <v>-4.8837180000000004E-3</v>
      </c>
      <c r="R4447">
        <v>-3.1743279999999999E-2</v>
      </c>
      <c r="S4447">
        <v>2.9993289999999999</v>
      </c>
      <c r="T4447">
        <v>-4.6806340000000004E-3</v>
      </c>
      <c r="U4447">
        <v>-6.8206790000000003E-2</v>
      </c>
      <c r="V4447">
        <v>2.168724E-2</v>
      </c>
      <c r="W4447">
        <v>1.057397E-2</v>
      </c>
      <c r="X4447">
        <v>0.99970890000000001</v>
      </c>
      <c r="Y4447">
        <v>1.2669059999999999E-2</v>
      </c>
      <c r="Z4447" s="1">
        <v>5.8236569999999997E-6</v>
      </c>
      <c r="AA4447">
        <v>0.99991980000000003</v>
      </c>
      <c r="AB4447">
        <v>44</v>
      </c>
      <c r="AC4447">
        <v>222.7937</v>
      </c>
      <c r="AD4447">
        <v>-0.34842199999999901</v>
      </c>
      <c r="AE4447">
        <v>-5.0720999999999998</v>
      </c>
      <c r="AF4447">
        <v>2.8289261242922401</v>
      </c>
      <c r="AG4447">
        <v>-0.34842199999999901</v>
      </c>
      <c r="AH4447">
        <v>222.83292696590701</v>
      </c>
      <c r="AI4447">
        <v>90.0895805012414</v>
      </c>
      <c r="AJ4447">
        <v>89.272653181265994</v>
      </c>
      <c r="AK4447">
        <v>222.85115561984401</v>
      </c>
      <c r="AL4447">
        <v>89.394144865026604</v>
      </c>
      <c r="AM4447">
        <v>88.757245782747404</v>
      </c>
      <c r="AN4447">
        <v>1.0000000149797901</v>
      </c>
    </row>
    <row r="4448" spans="1:40" x14ac:dyDescent="0.25">
      <c r="A4448" t="str">
        <f>"20190312154011390"</f>
        <v>20190312154011390</v>
      </c>
      <c r="B4448" t="str">
        <f>"1552376411380915"</f>
        <v>1552376411380915</v>
      </c>
      <c r="C4448" t="s">
        <v>40</v>
      </c>
      <c r="D4448">
        <v>4.2077</v>
      </c>
      <c r="E4448">
        <v>0.49785960000000001</v>
      </c>
      <c r="F4448" t="s">
        <v>75</v>
      </c>
      <c r="G4448">
        <v>-169.39259999999999</v>
      </c>
      <c r="H4448">
        <v>0.95178410000000002</v>
      </c>
      <c r="I4448">
        <v>209.16669999999999</v>
      </c>
      <c r="J4448">
        <v>-391.71769999999998</v>
      </c>
      <c r="K4448">
        <v>1.109704</v>
      </c>
      <c r="L4448">
        <v>214.80439999999999</v>
      </c>
      <c r="M4448">
        <v>0.99982729999999997</v>
      </c>
      <c r="N4448">
        <v>0</v>
      </c>
      <c r="O4448">
        <v>-1.0309820000000001E-2</v>
      </c>
      <c r="P4448">
        <v>0.99945099999999998</v>
      </c>
      <c r="Q4448">
        <v>-5.9614819999999997E-3</v>
      </c>
      <c r="R4448">
        <v>-3.259803E-2</v>
      </c>
      <c r="S4448">
        <v>2.9991460000000001</v>
      </c>
      <c r="T4448">
        <v>-2.1253819999999999E-3</v>
      </c>
      <c r="U4448">
        <v>-7.5958250000000005E-2</v>
      </c>
      <c r="V4448">
        <v>2.2297620000000001E-2</v>
      </c>
      <c r="W4448">
        <v>9.4930320000000002E-3</v>
      </c>
      <c r="X4448">
        <v>0.99970630000000005</v>
      </c>
      <c r="Y4448">
        <v>1.5009420000000001E-2</v>
      </c>
      <c r="Z4448" s="1">
        <v>1.9880970000000002E-6</v>
      </c>
      <c r="AA4448">
        <v>0.99988730000000003</v>
      </c>
      <c r="AB4448">
        <v>44</v>
      </c>
      <c r="AC4448">
        <v>222.32509999999999</v>
      </c>
      <c r="AD4448">
        <v>-0.157919899999999</v>
      </c>
      <c r="AE4448">
        <v>-5.6376999999999899</v>
      </c>
      <c r="AF4448">
        <v>3.34499280096616</v>
      </c>
      <c r="AG4448">
        <v>-0.157919899999999</v>
      </c>
      <c r="AH4448">
        <v>222.371299625445</v>
      </c>
      <c r="AI4448">
        <v>90.040684741078394</v>
      </c>
      <c r="AJ4448">
        <v>89.138200312255293</v>
      </c>
      <c r="AK4448">
        <v>222.39651259100901</v>
      </c>
      <c r="AL4448">
        <v>89.456081158635101</v>
      </c>
      <c r="AM4448">
        <v>88.722277002103596</v>
      </c>
      <c r="AN4448">
        <v>0.99999999388695304</v>
      </c>
    </row>
    <row r="4449" spans="1:40" x14ac:dyDescent="0.25">
      <c r="A4449" t="str">
        <f>"20190312154011413"</f>
        <v>20190312154011413</v>
      </c>
      <c r="B4449" t="str">
        <f>"1552376411400434"</f>
        <v>1552376411400434</v>
      </c>
      <c r="C4449" t="s">
        <v>40</v>
      </c>
      <c r="D4449">
        <v>4.1519180000000002</v>
      </c>
      <c r="E4449">
        <v>0.49802829999999898</v>
      </c>
      <c r="F4449" t="s">
        <v>75</v>
      </c>
      <c r="G4449">
        <v>-169.39259999999999</v>
      </c>
      <c r="H4449">
        <v>0.70195200000000002</v>
      </c>
      <c r="I4449">
        <v>208.78530000000001</v>
      </c>
      <c r="J4449">
        <v>-391.27370000000002</v>
      </c>
      <c r="K4449">
        <v>1.109704</v>
      </c>
      <c r="L4449">
        <v>214.7996</v>
      </c>
      <c r="M4449">
        <v>0.99982490000000002</v>
      </c>
      <c r="N4449">
        <v>0</v>
      </c>
      <c r="O4449">
        <v>-1.0535249999999999E-2</v>
      </c>
      <c r="P4449">
        <v>0.99943720000000003</v>
      </c>
      <c r="Q4449">
        <v>-7.2441859999999997E-3</v>
      </c>
      <c r="R4449">
        <v>-3.2759490000000002E-2</v>
      </c>
      <c r="S4449">
        <v>2.9989620000000001</v>
      </c>
      <c r="T4449">
        <v>-5.4997209999999999E-3</v>
      </c>
      <c r="U4449">
        <v>-8.1192020000000004E-2</v>
      </c>
      <c r="V4449">
        <v>2.223261E-2</v>
      </c>
      <c r="W4449">
        <v>8.2070549999999996E-3</v>
      </c>
      <c r="X4449">
        <v>0.99971909999999997</v>
      </c>
      <c r="Y4449">
        <v>1.6529289999999999E-2</v>
      </c>
      <c r="Z4449" s="1">
        <v>4.1645889999999998E-6</v>
      </c>
      <c r="AA4449">
        <v>0.99986339999999996</v>
      </c>
      <c r="AB4449">
        <v>44</v>
      </c>
      <c r="AC4449">
        <v>221.8811</v>
      </c>
      <c r="AD4449">
        <v>-0.407752</v>
      </c>
      <c r="AE4449">
        <v>-6.0142999999999898</v>
      </c>
      <c r="AF4449">
        <v>3.67610128039858</v>
      </c>
      <c r="AG4449">
        <v>-0.407752</v>
      </c>
      <c r="AH4449">
        <v>221.931404040465</v>
      </c>
      <c r="AI4449">
        <v>90.105254315789395</v>
      </c>
      <c r="AJ4449">
        <v>89.0510318744345</v>
      </c>
      <c r="AK4449">
        <v>221.96222219488101</v>
      </c>
      <c r="AL4449">
        <v>89.529765089367601</v>
      </c>
      <c r="AM4449">
        <v>88.726017354189807</v>
      </c>
      <c r="AN4449">
        <v>0.99999996180199602</v>
      </c>
    </row>
    <row r="4450" spans="1:40" x14ac:dyDescent="0.25">
      <c r="A4450" t="str">
        <f>"20190312154011433"</f>
        <v>20190312154011433</v>
      </c>
      <c r="B4450" t="str">
        <f>"1552376411430690"</f>
        <v>1552376411430690</v>
      </c>
      <c r="C4450" t="s">
        <v>40</v>
      </c>
      <c r="D4450">
        <v>4.1323660000000002</v>
      </c>
      <c r="E4450">
        <v>0.49825079999999999</v>
      </c>
      <c r="F4450" t="s">
        <v>75</v>
      </c>
      <c r="G4450">
        <v>-169.39250000000001</v>
      </c>
      <c r="H4450">
        <v>0.39566990000000002</v>
      </c>
      <c r="I4450">
        <v>208.66370000000001</v>
      </c>
      <c r="J4450">
        <v>-390.87650000000002</v>
      </c>
      <c r="K4450">
        <v>1.109712</v>
      </c>
      <c r="L4450">
        <v>214.79519999999999</v>
      </c>
      <c r="M4450">
        <v>0.99982289999999996</v>
      </c>
      <c r="N4450">
        <v>0</v>
      </c>
      <c r="O4450">
        <v>-1.072917E-2</v>
      </c>
      <c r="P4450">
        <v>0.99943210000000005</v>
      </c>
      <c r="Q4450">
        <v>-6.7969329999999998E-3</v>
      </c>
      <c r="R4450">
        <v>-3.3003299999999999E-2</v>
      </c>
      <c r="S4450">
        <v>2.998901</v>
      </c>
      <c r="T4450">
        <v>-9.6502299999999992E-3</v>
      </c>
      <c r="U4450">
        <v>-8.2931519999999995E-2</v>
      </c>
      <c r="V4450">
        <v>2.2283000000000001E-2</v>
      </c>
      <c r="W4450">
        <v>8.6519279999999997E-3</v>
      </c>
      <c r="X4450">
        <v>0.99971429999999994</v>
      </c>
      <c r="Y4450">
        <v>1.691542E-2</v>
      </c>
      <c r="Z4450" s="1">
        <v>7.3103239999999999E-6</v>
      </c>
      <c r="AA4450">
        <v>0.99985690000000005</v>
      </c>
      <c r="AB4450">
        <v>44</v>
      </c>
      <c r="AC4450">
        <v>221.48400000000001</v>
      </c>
      <c r="AD4450">
        <v>-0.71404209999999901</v>
      </c>
      <c r="AE4450">
        <v>-6.1314999999999804</v>
      </c>
      <c r="AF4450">
        <v>3.75448442351298</v>
      </c>
      <c r="AG4450">
        <v>-0.71404209999999901</v>
      </c>
      <c r="AH4450">
        <v>221.53474151610499</v>
      </c>
      <c r="AI4450">
        <v>90.184646357285203</v>
      </c>
      <c r="AJ4450">
        <v>89.029066418801193</v>
      </c>
      <c r="AK4450">
        <v>221.56770456908799</v>
      </c>
      <c r="AL4450">
        <v>89.504274873407198</v>
      </c>
      <c r="AM4450">
        <v>88.723124710754703</v>
      </c>
      <c r="AN4450">
        <v>1.0000000347858</v>
      </c>
    </row>
    <row r="4451" spans="1:40" x14ac:dyDescent="0.25">
      <c r="A4451" t="str">
        <f>"20190312154011457"</f>
        <v>20190312154011457</v>
      </c>
      <c r="B4451" t="str">
        <f>"1552376411450211"</f>
        <v>1552376411450211</v>
      </c>
      <c r="C4451" t="s">
        <v>40</v>
      </c>
      <c r="D4451">
        <v>4.1466419999999999</v>
      </c>
      <c r="E4451">
        <v>0.49833080000000002</v>
      </c>
      <c r="F4451" t="s">
        <v>75</v>
      </c>
      <c r="G4451">
        <v>-169.39269999999999</v>
      </c>
      <c r="H4451">
        <v>0.53282169999999995</v>
      </c>
      <c r="I4451">
        <v>208.4786</v>
      </c>
      <c r="J4451">
        <v>-390.4203</v>
      </c>
      <c r="K4451">
        <v>1.109723</v>
      </c>
      <c r="L4451">
        <v>214.7902</v>
      </c>
      <c r="M4451">
        <v>0.99982059999999995</v>
      </c>
      <c r="N4451">
        <v>0</v>
      </c>
      <c r="O4451">
        <v>-1.0940780000000001E-2</v>
      </c>
      <c r="P4451">
        <v>0.99940819999999997</v>
      </c>
      <c r="Q4451">
        <v>-6.5920629999999996E-3</v>
      </c>
      <c r="R4451">
        <v>-3.3759659999999997E-2</v>
      </c>
      <c r="S4451">
        <v>2.99884</v>
      </c>
      <c r="T4451">
        <v>-7.8104730000000001E-3</v>
      </c>
      <c r="U4451">
        <v>-8.5525509999999999E-2</v>
      </c>
      <c r="V4451">
        <v>2.282783E-2</v>
      </c>
      <c r="W4451">
        <v>8.8526679999999993E-3</v>
      </c>
      <c r="X4451">
        <v>0.99970020000000004</v>
      </c>
      <c r="Y4451">
        <v>1.7568569999999999E-2</v>
      </c>
      <c r="Z4451" s="1">
        <v>5.6173079999999998E-6</v>
      </c>
      <c r="AA4451">
        <v>0.99984569999999995</v>
      </c>
      <c r="AB4451">
        <v>44</v>
      </c>
      <c r="AC4451">
        <v>221.02760000000001</v>
      </c>
      <c r="AD4451">
        <v>-0.57690129999999995</v>
      </c>
      <c r="AE4451">
        <v>-6.3115999999999897</v>
      </c>
      <c r="AF4451">
        <v>3.8926921942518198</v>
      </c>
      <c r="AG4451">
        <v>-0.57690129999999995</v>
      </c>
      <c r="AH4451">
        <v>221.08192504222799</v>
      </c>
      <c r="AI4451">
        <v>90.149486721418398</v>
      </c>
      <c r="AJ4451">
        <v>88.991270818321894</v>
      </c>
      <c r="AK4451">
        <v>221.11694518513599</v>
      </c>
      <c r="AL4451">
        <v>89.492772853060899</v>
      </c>
      <c r="AM4451">
        <v>88.691896774570495</v>
      </c>
      <c r="AN4451">
        <v>0.99999998471663298</v>
      </c>
    </row>
    <row r="4452" spans="1:40" x14ac:dyDescent="0.25">
      <c r="A4452" t="str">
        <f>"20190312154011480"</f>
        <v>20190312154011480</v>
      </c>
      <c r="B4452" t="str">
        <f>"1552376411470260"</f>
        <v>1552376411470260</v>
      </c>
      <c r="C4452" t="s">
        <v>40</v>
      </c>
      <c r="D4452">
        <v>4.1505089999999996</v>
      </c>
      <c r="E4452">
        <v>0.49840820000000002</v>
      </c>
      <c r="F4452" t="s">
        <v>75</v>
      </c>
      <c r="G4452">
        <v>-169.39279999999999</v>
      </c>
      <c r="H4452">
        <v>0.70894049999999997</v>
      </c>
      <c r="I4452">
        <v>208.267</v>
      </c>
      <c r="J4452">
        <v>-389.9778</v>
      </c>
      <c r="K4452">
        <v>1.1097410000000001</v>
      </c>
      <c r="L4452">
        <v>214.7852</v>
      </c>
      <c r="M4452">
        <v>0.9998186</v>
      </c>
      <c r="N4452">
        <v>0</v>
      </c>
      <c r="O4452">
        <v>-1.112751E-2</v>
      </c>
      <c r="P4452">
        <v>0.99938479999999996</v>
      </c>
      <c r="Q4452">
        <v>-6.3054239999999996E-3</v>
      </c>
      <c r="R4452">
        <v>-3.4501909999999997E-2</v>
      </c>
      <c r="S4452">
        <v>2.9987180000000002</v>
      </c>
      <c r="T4452">
        <v>-5.4370159999999898E-3</v>
      </c>
      <c r="U4452">
        <v>-8.8500980000000007E-2</v>
      </c>
      <c r="V4452">
        <v>2.3383689999999999E-2</v>
      </c>
      <c r="W4452">
        <v>9.13542E-3</v>
      </c>
      <c r="X4452">
        <v>0.99968480000000004</v>
      </c>
      <c r="Y4452">
        <v>1.8374250000000002E-2</v>
      </c>
      <c r="Z4452" s="1">
        <v>3.518637E-6</v>
      </c>
      <c r="AA4452">
        <v>0.99983120000000003</v>
      </c>
      <c r="AB4452">
        <v>44</v>
      </c>
      <c r="AC4452">
        <v>220.58500000000001</v>
      </c>
      <c r="AD4452">
        <v>-0.4008005</v>
      </c>
      <c r="AE4452">
        <v>-6.5182000000000002</v>
      </c>
      <c r="AF4452">
        <v>4.0629278433222202</v>
      </c>
      <c r="AG4452">
        <v>-0.4008005</v>
      </c>
      <c r="AH4452">
        <v>220.64315192882799</v>
      </c>
      <c r="AI4452">
        <v>90.104060603364999</v>
      </c>
      <c r="AJ4452">
        <v>88.945073480965306</v>
      </c>
      <c r="AK4452">
        <v>220.68092014668801</v>
      </c>
      <c r="AL4452">
        <v>89.476571696710394</v>
      </c>
      <c r="AM4452">
        <v>88.660035167577504</v>
      </c>
      <c r="AN4452">
        <v>0.99999997610381597</v>
      </c>
    </row>
    <row r="4453" spans="1:40" x14ac:dyDescent="0.25">
      <c r="A4453" t="str">
        <f>"20190312154011501"</f>
        <v>20190312154011501</v>
      </c>
      <c r="B4453" t="str">
        <f>"1552376411490750"</f>
        <v>1552376411490750</v>
      </c>
      <c r="C4453" t="s">
        <v>40</v>
      </c>
      <c r="D4453">
        <v>4.1287779999999996</v>
      </c>
      <c r="E4453">
        <v>0.49837090000000001</v>
      </c>
      <c r="F4453" t="s">
        <v>75</v>
      </c>
      <c r="G4453">
        <v>-168.4102</v>
      </c>
      <c r="H4453">
        <v>0.69239229999999996</v>
      </c>
      <c r="I4453">
        <v>208.04740000000001</v>
      </c>
      <c r="J4453">
        <v>-389.54629999999997</v>
      </c>
      <c r="K4453">
        <v>1.1097589999999999</v>
      </c>
      <c r="L4453">
        <v>214.78020000000001</v>
      </c>
      <c r="M4453">
        <v>0.99981699999999996</v>
      </c>
      <c r="N4453">
        <v>0</v>
      </c>
      <c r="O4453">
        <v>-1.128939E-2</v>
      </c>
      <c r="P4453">
        <v>0.99935280000000004</v>
      </c>
      <c r="Q4453">
        <v>-6.0598880000000003E-3</v>
      </c>
      <c r="R4453">
        <v>-3.5463260000000003E-2</v>
      </c>
      <c r="S4453">
        <v>2.9986269999999999</v>
      </c>
      <c r="T4453">
        <v>-5.6477790000000003E-3</v>
      </c>
      <c r="U4453">
        <v>-9.1186519999999993E-2</v>
      </c>
      <c r="V4453">
        <v>2.4183059999999999E-2</v>
      </c>
      <c r="W4453">
        <v>9.3776429999999997E-3</v>
      </c>
      <c r="X4453">
        <v>0.99966359999999999</v>
      </c>
      <c r="Y4453">
        <v>1.9107909999999999E-2</v>
      </c>
      <c r="Z4453" s="1">
        <v>3.2691280000000001E-6</v>
      </c>
      <c r="AA4453">
        <v>0.99981739999999997</v>
      </c>
      <c r="AB4453">
        <v>44</v>
      </c>
      <c r="AC4453">
        <v>221.1361</v>
      </c>
      <c r="AD4453">
        <v>-0.41736669999999898</v>
      </c>
      <c r="AE4453">
        <v>-6.7327999999999903</v>
      </c>
      <c r="AF4453">
        <v>4.2355663052079899</v>
      </c>
      <c r="AG4453">
        <v>-0.41736669999999898</v>
      </c>
      <c r="AH4453">
        <v>221.19723531061399</v>
      </c>
      <c r="AI4453">
        <v>90.108088779648199</v>
      </c>
      <c r="AJ4453">
        <v>88.903013326738701</v>
      </c>
      <c r="AK4453">
        <v>221.23817736988201</v>
      </c>
      <c r="AL4453">
        <v>89.462692778785595</v>
      </c>
      <c r="AM4453">
        <v>88.614216742317296</v>
      </c>
      <c r="AN4453">
        <v>1.0000000368720701</v>
      </c>
    </row>
    <row r="4454" spans="1:40" x14ac:dyDescent="0.25">
      <c r="A4454" t="str">
        <f>"20190312154011522"</f>
        <v>20190312154011522</v>
      </c>
      <c r="B4454" t="str">
        <f>"1552376411510267"</f>
        <v>1552376411510267</v>
      </c>
      <c r="C4454" t="s">
        <v>40</v>
      </c>
      <c r="D4454">
        <v>4.1056419999999996</v>
      </c>
      <c r="E4454">
        <v>0.49826409999999999</v>
      </c>
      <c r="F4454" t="s">
        <v>75</v>
      </c>
      <c r="G4454">
        <v>-168.41030000000001</v>
      </c>
      <c r="H4454">
        <v>0.75960919999999998</v>
      </c>
      <c r="I4454">
        <v>207.85290000000001</v>
      </c>
      <c r="J4454">
        <v>-389.12909999999999</v>
      </c>
      <c r="K4454">
        <v>1.1097709999999901</v>
      </c>
      <c r="L4454">
        <v>214.77539999999999</v>
      </c>
      <c r="M4454">
        <v>0.99981529999999996</v>
      </c>
      <c r="N4454">
        <v>0</v>
      </c>
      <c r="O4454">
        <v>-1.142728E-2</v>
      </c>
      <c r="P4454">
        <v>0.99931769999999998</v>
      </c>
      <c r="Q4454">
        <v>-6.3661289999999999E-3</v>
      </c>
      <c r="R4454">
        <v>-3.6381360000000001E-2</v>
      </c>
      <c r="S4454">
        <v>2.9985659999999998</v>
      </c>
      <c r="T4454">
        <v>-4.7475099999999999E-3</v>
      </c>
      <c r="U4454">
        <v>-9.393311E-2</v>
      </c>
      <c r="V4454">
        <v>2.4963140000000002E-2</v>
      </c>
      <c r="W4454">
        <v>9.0667600000000001E-3</v>
      </c>
      <c r="X4454">
        <v>0.99964730000000002</v>
      </c>
      <c r="Y4454">
        <v>1.988556E-2</v>
      </c>
      <c r="Z4454" s="1">
        <v>2.3508239999999998E-6</v>
      </c>
      <c r="AA4454">
        <v>0.99980230000000003</v>
      </c>
      <c r="AB4454">
        <v>44</v>
      </c>
      <c r="AC4454">
        <v>220.71879999999999</v>
      </c>
      <c r="AD4454">
        <v>-0.35016179999999902</v>
      </c>
      <c r="AE4454">
        <v>-6.9224999999999799</v>
      </c>
      <c r="AF4454">
        <v>4.3995201216299504</v>
      </c>
      <c r="AG4454">
        <v>-0.35016179999999902</v>
      </c>
      <c r="AH4454">
        <v>220.78294471435399</v>
      </c>
      <c r="AI4454">
        <v>90.090853006808601</v>
      </c>
      <c r="AJ4454">
        <v>88.858423695275405</v>
      </c>
      <c r="AK4454">
        <v>220.82705239016499</v>
      </c>
      <c r="AL4454">
        <v>89.480505823464497</v>
      </c>
      <c r="AM4454">
        <v>88.569510096821801</v>
      </c>
      <c r="AN4454">
        <v>1.0000000444464201</v>
      </c>
    </row>
    <row r="4455" spans="1:40" x14ac:dyDescent="0.25">
      <c r="A4455" t="str">
        <f>"20190312154011545"</f>
        <v>20190312154011545</v>
      </c>
      <c r="B4455" t="str">
        <f>"1552376411540523"</f>
        <v>1552376411540523</v>
      </c>
      <c r="C4455" t="s">
        <v>40</v>
      </c>
      <c r="D4455">
        <v>4.1071879999999998</v>
      </c>
      <c r="E4455">
        <v>0.49813489999999999</v>
      </c>
      <c r="F4455" t="s">
        <v>75</v>
      </c>
      <c r="G4455">
        <v>-168.41030000000001</v>
      </c>
      <c r="H4455">
        <v>0.61518099999999998</v>
      </c>
      <c r="I4455">
        <v>207.73869999999999</v>
      </c>
      <c r="J4455">
        <v>-388.68830000000003</v>
      </c>
      <c r="K4455">
        <v>1.109791</v>
      </c>
      <c r="L4455">
        <v>214.77029999999999</v>
      </c>
      <c r="M4455">
        <v>0.99981399999999998</v>
      </c>
      <c r="N4455">
        <v>0</v>
      </c>
      <c r="O4455">
        <v>-1.154996E-2</v>
      </c>
      <c r="P4455">
        <v>0.99931190000000003</v>
      </c>
      <c r="Q4455">
        <v>-6.8481840000000002E-3</v>
      </c>
      <c r="R4455">
        <v>-3.6454189999999997E-2</v>
      </c>
      <c r="S4455">
        <v>2.9985659999999998</v>
      </c>
      <c r="T4455">
        <v>-6.7187549999999999E-3</v>
      </c>
      <c r="U4455">
        <v>-9.5596310000000004E-2</v>
      </c>
      <c r="V4455">
        <v>2.491262E-2</v>
      </c>
      <c r="W4455">
        <v>8.5818349999999995E-3</v>
      </c>
      <c r="X4455">
        <v>0.99965280000000001</v>
      </c>
      <c r="Y4455">
        <v>2.0316870000000001E-2</v>
      </c>
      <c r="Z4455" s="1">
        <v>3.118612E-6</v>
      </c>
      <c r="AA4455">
        <v>0.99979359999999995</v>
      </c>
      <c r="AB4455">
        <v>44</v>
      </c>
      <c r="AC4455">
        <v>220.27799999999999</v>
      </c>
      <c r="AD4455">
        <v>-0.49460999999999899</v>
      </c>
      <c r="AE4455">
        <v>-7.0315999999999903</v>
      </c>
      <c r="AF4455">
        <v>4.4866026412692896</v>
      </c>
      <c r="AG4455">
        <v>-0.49460999999999899</v>
      </c>
      <c r="AH4455">
        <v>220.34341788419999</v>
      </c>
      <c r="AI4455">
        <v>90.128586300733005</v>
      </c>
      <c r="AJ4455">
        <v>88.833512340109095</v>
      </c>
      <c r="AK4455">
        <v>220.38964596188299</v>
      </c>
      <c r="AL4455">
        <v>89.508291040081104</v>
      </c>
      <c r="AM4455">
        <v>88.572411751216805</v>
      </c>
      <c r="AN4455">
        <v>1.00000000353753</v>
      </c>
    </row>
    <row r="4456" spans="1:40" x14ac:dyDescent="0.25">
      <c r="A4456" t="str">
        <f>"20190312154011568"</f>
        <v>20190312154011568</v>
      </c>
      <c r="B4456" t="str">
        <f>"1552376411560043"</f>
        <v>1552376411560043</v>
      </c>
      <c r="C4456" t="s">
        <v>40</v>
      </c>
      <c r="D4456">
        <v>4.1145769999999997</v>
      </c>
      <c r="E4456">
        <v>0.49809029999999999</v>
      </c>
      <c r="F4456" t="s">
        <v>75</v>
      </c>
      <c r="G4456">
        <v>-168.4102</v>
      </c>
      <c r="H4456">
        <v>0.53978349999999997</v>
      </c>
      <c r="I4456">
        <v>207.7902</v>
      </c>
      <c r="J4456">
        <v>-388.24329999999998</v>
      </c>
      <c r="K4456">
        <v>1.1098129999999999</v>
      </c>
      <c r="L4456">
        <v>214.76509999999999</v>
      </c>
      <c r="M4456">
        <v>0.99981299999999995</v>
      </c>
      <c r="N4456">
        <v>0</v>
      </c>
      <c r="O4456">
        <v>-1.164541E-2</v>
      </c>
      <c r="P4456">
        <v>0.99930529999999995</v>
      </c>
      <c r="Q4456">
        <v>-7.9192389999999998E-3</v>
      </c>
      <c r="R4456">
        <v>-3.642024E-2</v>
      </c>
      <c r="S4456">
        <v>2.998535</v>
      </c>
      <c r="T4456">
        <v>-7.7587369999999999E-3</v>
      </c>
      <c r="U4456">
        <v>-9.501648E-2</v>
      </c>
      <c r="V4456">
        <v>2.478226E-2</v>
      </c>
      <c r="W4456">
        <v>7.5080329999999999E-3</v>
      </c>
      <c r="X4456">
        <v>0.99966469999999996</v>
      </c>
      <c r="Y4456">
        <v>2.0028609999999999E-2</v>
      </c>
      <c r="Z4456" s="1">
        <v>4.2211229999999997E-6</v>
      </c>
      <c r="AA4456">
        <v>0.9997994</v>
      </c>
      <c r="AB4456">
        <v>44</v>
      </c>
      <c r="AC4456">
        <v>219.8331</v>
      </c>
      <c r="AD4456">
        <v>-0.57002949999999997</v>
      </c>
      <c r="AE4456">
        <v>-6.9748999999999901</v>
      </c>
      <c r="AF4456">
        <v>4.4140455413080302</v>
      </c>
      <c r="AG4456">
        <v>-0.57002949999999997</v>
      </c>
      <c r="AH4456">
        <v>219.89794775500999</v>
      </c>
      <c r="AI4456">
        <v>90.148494489502895</v>
      </c>
      <c r="AJ4456">
        <v>88.850047383671793</v>
      </c>
      <c r="AK4456">
        <v>219.94298388113299</v>
      </c>
      <c r="AL4456">
        <v>89.569817364318695</v>
      </c>
      <c r="AM4456">
        <v>88.579895708046294</v>
      </c>
      <c r="AN4456">
        <v>1.0000000216981599</v>
      </c>
    </row>
    <row r="4457" spans="1:40" x14ac:dyDescent="0.25">
      <c r="A4457" t="str">
        <f>"20190312154011591"</f>
        <v>20190312154011591</v>
      </c>
      <c r="B4457" t="str">
        <f>"1552376411580072"</f>
        <v>1552376411580072</v>
      </c>
      <c r="C4457" t="s">
        <v>40</v>
      </c>
      <c r="D4457">
        <v>4.1031019999999998</v>
      </c>
      <c r="E4457">
        <v>0.49804349999999997</v>
      </c>
      <c r="F4457" t="s">
        <v>75</v>
      </c>
      <c r="G4457">
        <v>-168.4102</v>
      </c>
      <c r="H4457">
        <v>0.36836809999999998</v>
      </c>
      <c r="I4457">
        <v>207.84379999999999</v>
      </c>
      <c r="J4457">
        <v>-387.79320000000001</v>
      </c>
      <c r="K4457">
        <v>1.109837</v>
      </c>
      <c r="L4457">
        <v>214.75980000000001</v>
      </c>
      <c r="M4457">
        <v>0.99981220000000004</v>
      </c>
      <c r="N4457">
        <v>0</v>
      </c>
      <c r="O4457">
        <v>-1.1714230000000001E-2</v>
      </c>
      <c r="P4457">
        <v>0.99930390000000002</v>
      </c>
      <c r="Q4457">
        <v>-9.028052E-3</v>
      </c>
      <c r="R4457">
        <v>-3.6202619999999998E-2</v>
      </c>
      <c r="S4457">
        <v>2.998535</v>
      </c>
      <c r="T4457">
        <v>-1.0112879999999999E-2</v>
      </c>
      <c r="U4457">
        <v>-9.4406130000000005E-2</v>
      </c>
      <c r="V4457">
        <v>2.4494910000000002E-2</v>
      </c>
      <c r="W4457">
        <v>6.3965519999999998E-3</v>
      </c>
      <c r="X4457">
        <v>0.99967950000000005</v>
      </c>
      <c r="Y4457">
        <v>1.975646E-2</v>
      </c>
      <c r="Z4457" s="1">
        <v>6.1927599999999898E-6</v>
      </c>
      <c r="AA4457">
        <v>0.99980480000000005</v>
      </c>
      <c r="AB4457">
        <v>44</v>
      </c>
      <c r="AC4457">
        <v>219.38299999999899</v>
      </c>
      <c r="AD4457">
        <v>-0.74146889999999999</v>
      </c>
      <c r="AE4457">
        <v>-6.9160000000000199</v>
      </c>
      <c r="AF4457">
        <v>4.3452665339790899</v>
      </c>
      <c r="AG4457">
        <v>-0.74146889999999999</v>
      </c>
      <c r="AH4457">
        <v>219.44646470223799</v>
      </c>
      <c r="AI4457">
        <v>90.193553134478805</v>
      </c>
      <c r="AJ4457">
        <v>88.865632658738605</v>
      </c>
      <c r="AK4457">
        <v>219.49073326154701</v>
      </c>
      <c r="AL4457">
        <v>89.633502071191899</v>
      </c>
      <c r="AM4457">
        <v>88.596375946092905</v>
      </c>
      <c r="AN4457">
        <v>1.00000000960682</v>
      </c>
    </row>
    <row r="4458" spans="1:40" x14ac:dyDescent="0.25">
      <c r="A4458" t="str">
        <f>"20190312154011614"</f>
        <v>20190312154011614</v>
      </c>
      <c r="B4458" t="str">
        <f>"1552376411610327"</f>
        <v>1552376411610327</v>
      </c>
      <c r="C4458" t="s">
        <v>40</v>
      </c>
      <c r="D4458">
        <v>4.0768170000000001</v>
      </c>
      <c r="E4458">
        <v>0.5145786</v>
      </c>
      <c r="F4458" t="s">
        <v>75</v>
      </c>
      <c r="G4458">
        <v>-168.4101</v>
      </c>
      <c r="H4458">
        <v>0.19151499999999999</v>
      </c>
      <c r="I4458">
        <v>207.92429999999999</v>
      </c>
      <c r="J4458">
        <v>-387.35539999999997</v>
      </c>
      <c r="K4458">
        <v>1.109856</v>
      </c>
      <c r="L4458">
        <v>214.75460000000001</v>
      </c>
      <c r="M4458">
        <v>0.99981189999999998</v>
      </c>
      <c r="N4458">
        <v>0</v>
      </c>
      <c r="O4458">
        <v>-1.1759250000000001E-2</v>
      </c>
      <c r="P4458">
        <v>0.99929270000000003</v>
      </c>
      <c r="Q4458">
        <v>-9.8632489999999993E-3</v>
      </c>
      <c r="R4458">
        <v>-3.6293010000000001E-2</v>
      </c>
      <c r="S4458">
        <v>2.998596</v>
      </c>
      <c r="T4458">
        <v>-1.2551430000000001E-2</v>
      </c>
      <c r="U4458">
        <v>-9.3429570000000003E-2</v>
      </c>
      <c r="V4458">
        <v>2.4539720000000001E-2</v>
      </c>
      <c r="W4458">
        <v>5.5578099999999998E-3</v>
      </c>
      <c r="X4458">
        <v>0.9996834</v>
      </c>
      <c r="Y4458">
        <v>1.9385489999999998E-2</v>
      </c>
      <c r="Z4458" s="1">
        <v>8.6505319999999903E-6</v>
      </c>
      <c r="AA4458">
        <v>0.99981209999999998</v>
      </c>
      <c r="AB4458">
        <v>44</v>
      </c>
      <c r="AC4458">
        <v>218.9453</v>
      </c>
      <c r="AD4458">
        <v>-0.91834099999999996</v>
      </c>
      <c r="AE4458">
        <v>-6.8303000000000198</v>
      </c>
      <c r="AF4458">
        <v>4.2548140364195302</v>
      </c>
      <c r="AG4458">
        <v>-0.91834099999999996</v>
      </c>
      <c r="AH4458">
        <v>219.00663755187199</v>
      </c>
      <c r="AI4458">
        <v>90.240206547064403</v>
      </c>
      <c r="AJ4458">
        <v>88.887009884615196</v>
      </c>
      <c r="AK4458">
        <v>219.04988948742701</v>
      </c>
      <c r="AL4458">
        <v>89.681559302235897</v>
      </c>
      <c r="AM4458">
        <v>88.593814726599803</v>
      </c>
      <c r="AN4458">
        <v>0.99999999367261705</v>
      </c>
    </row>
    <row r="4459" spans="1:40" x14ac:dyDescent="0.25">
      <c r="A4459" t="str">
        <f>"20190312154011635"</f>
        <v>20190312154011635</v>
      </c>
      <c r="B4459" t="str">
        <f>"1552376411630824"</f>
        <v>1552376411630824</v>
      </c>
      <c r="C4459" t="s">
        <v>40</v>
      </c>
      <c r="D4459">
        <v>4.1343540000000001</v>
      </c>
      <c r="E4459">
        <v>0.51995029999999998</v>
      </c>
      <c r="F4459" t="s">
        <v>75</v>
      </c>
      <c r="G4459">
        <v>-168.41679999999999</v>
      </c>
      <c r="H4459">
        <v>10.43845</v>
      </c>
      <c r="I4459">
        <v>197.9462</v>
      </c>
      <c r="J4459">
        <v>-386.93849999999998</v>
      </c>
      <c r="K4459">
        <v>1.1098760000000001</v>
      </c>
      <c r="L4459">
        <v>214.74959999999999</v>
      </c>
      <c r="M4459">
        <v>0.99981160000000002</v>
      </c>
      <c r="N4459">
        <v>0</v>
      </c>
      <c r="O4459">
        <v>-1.178731E-2</v>
      </c>
      <c r="P4459">
        <v>0.99928519999999998</v>
      </c>
      <c r="Q4459">
        <v>-1.0088140000000001E-2</v>
      </c>
      <c r="R4459">
        <v>-3.6434899999999999E-2</v>
      </c>
      <c r="S4459">
        <v>2.9950260000000002</v>
      </c>
      <c r="T4459">
        <v>0.12761320000000001</v>
      </c>
      <c r="U4459">
        <v>-0.22993469999999999</v>
      </c>
      <c r="V4459">
        <v>2.46533E-2</v>
      </c>
      <c r="W4459">
        <v>5.3294090000000002E-3</v>
      </c>
      <c r="X4459">
        <v>0.99968179999999995</v>
      </c>
      <c r="Y4459">
        <v>6.4739759999999993E-2</v>
      </c>
      <c r="Z4459">
        <v>8.7531160000000002E-4</v>
      </c>
      <c r="AA4459">
        <v>0.99790179999999995</v>
      </c>
      <c r="AB4459">
        <v>43</v>
      </c>
      <c r="AC4459">
        <v>218.52170000000001</v>
      </c>
      <c r="AD4459">
        <v>9.3285739999999997</v>
      </c>
      <c r="AE4459">
        <v>-16.8033999999999</v>
      </c>
      <c r="AF4459">
        <v>14.200416398364</v>
      </c>
      <c r="AG4459">
        <v>9.3285739999999997</v>
      </c>
      <c r="AH4459">
        <v>218.309099764509</v>
      </c>
      <c r="AI4459">
        <v>87.558334318804498</v>
      </c>
      <c r="AJ4459">
        <v>86.278307635938702</v>
      </c>
      <c r="AK4459">
        <v>218.96926076221499</v>
      </c>
      <c r="AL4459">
        <v>89.694645894574904</v>
      </c>
      <c r="AM4459">
        <v>88.587306689297407</v>
      </c>
      <c r="AN4459">
        <v>0.999999944526208</v>
      </c>
    </row>
    <row r="4460" spans="1:40" x14ac:dyDescent="0.25">
      <c r="A4460" t="str">
        <f>"20190312154011658"</f>
        <v>20190312154011658</v>
      </c>
      <c r="B4460" t="str">
        <f>"1552376411650343"</f>
        <v>1552376411650343</v>
      </c>
      <c r="C4460" t="s">
        <v>40</v>
      </c>
      <c r="D4460">
        <v>4.1314640000000002</v>
      </c>
      <c r="E4460">
        <v>0.52126119999999998</v>
      </c>
      <c r="F4460" t="s">
        <v>75</v>
      </c>
      <c r="G4460">
        <v>-168.41919999999999</v>
      </c>
      <c r="H4460">
        <v>14.516299999999999</v>
      </c>
      <c r="I4460">
        <v>194.68469999999999</v>
      </c>
      <c r="J4460">
        <v>-386.51280000000003</v>
      </c>
      <c r="K4460">
        <v>1.1099239999999999</v>
      </c>
      <c r="L4460">
        <v>214.74459999999999</v>
      </c>
      <c r="M4460">
        <v>0.99981019999999998</v>
      </c>
      <c r="N4460">
        <v>0</v>
      </c>
      <c r="O4460">
        <v>-1.180118E-2</v>
      </c>
      <c r="P4460">
        <v>0.99927909999999998</v>
      </c>
      <c r="Q4460">
        <v>-9.1648779999999996E-3</v>
      </c>
      <c r="R4460">
        <v>-3.684399E-2</v>
      </c>
      <c r="S4460">
        <v>2.9940190000000002</v>
      </c>
      <c r="T4460">
        <v>0.18368709999999999</v>
      </c>
      <c r="U4460">
        <v>-0.27491759999999998</v>
      </c>
      <c r="V4460">
        <v>2.5048600000000001E-2</v>
      </c>
      <c r="W4460">
        <v>6.326936E-3</v>
      </c>
      <c r="X4460">
        <v>0.99966619999999995</v>
      </c>
      <c r="Y4460">
        <v>7.9551810000000001E-2</v>
      </c>
      <c r="Z4460">
        <v>1.7111089999999999E-3</v>
      </c>
      <c r="AA4460">
        <v>0.99682930000000003</v>
      </c>
      <c r="AB4460">
        <v>43</v>
      </c>
      <c r="AC4460">
        <v>218.09360000000001</v>
      </c>
      <c r="AD4460">
        <v>13.406376</v>
      </c>
      <c r="AE4460">
        <v>-20.059899999999999</v>
      </c>
      <c r="AF4460">
        <v>17.4191628605356</v>
      </c>
      <c r="AG4460">
        <v>13.406376</v>
      </c>
      <c r="AH4460">
        <v>217.500204972072</v>
      </c>
      <c r="AI4460">
        <v>86.484068581767005</v>
      </c>
      <c r="AJ4460">
        <v>85.421067123428202</v>
      </c>
      <c r="AK4460">
        <v>218.60809068995701</v>
      </c>
      <c r="AL4460">
        <v>89.637490846645605</v>
      </c>
      <c r="AM4460">
        <v>88.564642061460404</v>
      </c>
      <c r="AN4460">
        <v>0.99999998695177295</v>
      </c>
    </row>
    <row r="4461" spans="1:40" x14ac:dyDescent="0.25">
      <c r="A4461" t="str">
        <f>"20190312154011680"</f>
        <v>20190312154011680</v>
      </c>
      <c r="B4461" t="str">
        <f>"1552376411670840"</f>
        <v>1552376411670840</v>
      </c>
      <c r="C4461" t="s">
        <v>40</v>
      </c>
      <c r="D4461">
        <v>4.1241539999999999</v>
      </c>
      <c r="E4461">
        <v>0.52214320000000003</v>
      </c>
      <c r="F4461" t="s">
        <v>75</v>
      </c>
      <c r="G4461">
        <v>-168.42</v>
      </c>
      <c r="H4461">
        <v>16.01981</v>
      </c>
      <c r="I4461">
        <v>193.84049999999999</v>
      </c>
      <c r="J4461">
        <v>-386.0684</v>
      </c>
      <c r="K4461">
        <v>1.110009</v>
      </c>
      <c r="L4461">
        <v>214.73929999999999</v>
      </c>
      <c r="M4461">
        <v>0.99980650000000004</v>
      </c>
      <c r="N4461">
        <v>0</v>
      </c>
      <c r="O4461">
        <v>-1.180673E-2</v>
      </c>
      <c r="P4461">
        <v>0.99930600000000003</v>
      </c>
      <c r="Q4461">
        <v>-7.758895E-3</v>
      </c>
      <c r="R4461">
        <v>-3.6432760000000002E-2</v>
      </c>
      <c r="S4461">
        <v>2.9935</v>
      </c>
      <c r="T4461">
        <v>0.20465059999999999</v>
      </c>
      <c r="U4461">
        <v>-0.28692630000000002</v>
      </c>
      <c r="V4461">
        <v>2.4631819999999999E-2</v>
      </c>
      <c r="W4461">
        <v>7.9738889999999996E-3</v>
      </c>
      <c r="X4461">
        <v>0.99966480000000002</v>
      </c>
      <c r="Y4461">
        <v>8.3485770000000001E-2</v>
      </c>
      <c r="Z4461">
        <v>2.0395700000000001E-3</v>
      </c>
      <c r="AA4461">
        <v>0.99650689999999997</v>
      </c>
      <c r="AB4461">
        <v>43</v>
      </c>
      <c r="AC4461">
        <v>217.64840000000001</v>
      </c>
      <c r="AD4461">
        <v>14.909801</v>
      </c>
      <c r="AE4461">
        <v>-20.898799999999898</v>
      </c>
      <c r="AF4461">
        <v>18.242482559161498</v>
      </c>
      <c r="AG4461">
        <v>14.909801</v>
      </c>
      <c r="AH4461">
        <v>216.87156410872799</v>
      </c>
      <c r="AI4461">
        <v>86.080932089774606</v>
      </c>
      <c r="AJ4461">
        <v>85.191797046019801</v>
      </c>
      <c r="AK4461">
        <v>218.147577696263</v>
      </c>
      <c r="AL4461">
        <v>89.5431249773182</v>
      </c>
      <c r="AM4461">
        <v>88.588513053555701</v>
      </c>
      <c r="AN4461">
        <v>1.0000000109106599</v>
      </c>
    </row>
    <row r="4462" spans="1:40" x14ac:dyDescent="0.25">
      <c r="A4462" t="str">
        <f>"20190312154011702"</f>
        <v>20190312154011702</v>
      </c>
      <c r="B4462" t="str">
        <f>"1552376411690360"</f>
        <v>1552376411690360</v>
      </c>
      <c r="C4462" t="s">
        <v>40</v>
      </c>
      <c r="D4462">
        <v>4.1491850000000001</v>
      </c>
      <c r="E4462">
        <v>0.52259929999999999</v>
      </c>
      <c r="F4462" t="s">
        <v>75</v>
      </c>
      <c r="G4462">
        <v>-168.4204</v>
      </c>
      <c r="H4462">
        <v>16.890999999999998</v>
      </c>
      <c r="I4462">
        <v>193.43989999999999</v>
      </c>
      <c r="J4462">
        <v>-385.64940000000001</v>
      </c>
      <c r="K4462">
        <v>1.1101049999999999</v>
      </c>
      <c r="L4462">
        <v>214.73439999999999</v>
      </c>
      <c r="M4462">
        <v>0.99980069999999999</v>
      </c>
      <c r="N4462">
        <v>0</v>
      </c>
      <c r="O4462">
        <v>-1.180927E-2</v>
      </c>
      <c r="P4462">
        <v>0.99934520000000004</v>
      </c>
      <c r="Q4462">
        <v>-7.4638719999999999E-3</v>
      </c>
      <c r="R4462">
        <v>-3.5400420000000002E-2</v>
      </c>
      <c r="S4462">
        <v>2.9930729999999999</v>
      </c>
      <c r="T4462">
        <v>0.21701899999999999</v>
      </c>
      <c r="U4462">
        <v>-0.29290769999999999</v>
      </c>
      <c r="V4462">
        <v>2.3596369999999998E-2</v>
      </c>
      <c r="W4462">
        <v>8.6180739999999999E-3</v>
      </c>
      <c r="X4462">
        <v>0.99968440000000003</v>
      </c>
      <c r="Y4462">
        <v>8.5443770000000002E-2</v>
      </c>
      <c r="Z4462">
        <v>2.2331600000000001E-3</v>
      </c>
      <c r="AA4462">
        <v>0.99634049999999996</v>
      </c>
      <c r="AB4462">
        <v>43</v>
      </c>
      <c r="AC4462">
        <v>217.22900000000001</v>
      </c>
      <c r="AD4462">
        <v>15.7808949999999</v>
      </c>
      <c r="AE4462">
        <v>-21.294499999999999</v>
      </c>
      <c r="AF4462">
        <v>18.629982600275099</v>
      </c>
      <c r="AG4462">
        <v>15.7808949999999</v>
      </c>
      <c r="AH4462">
        <v>216.334516253148</v>
      </c>
      <c r="AI4462">
        <v>85.843181140732298</v>
      </c>
      <c r="AJ4462">
        <v>85.078028273295502</v>
      </c>
      <c r="AK4462">
        <v>217.70791400675199</v>
      </c>
      <c r="AL4462">
        <v>89.5062146097968</v>
      </c>
      <c r="AM4462">
        <v>88.647851844748004</v>
      </c>
      <c r="AN4462">
        <v>0.99999997974000299</v>
      </c>
    </row>
    <row r="4463" spans="1:40" x14ac:dyDescent="0.25">
      <c r="A4463" t="str">
        <f>"20190312154011724"</f>
        <v>20190312154011724</v>
      </c>
      <c r="B4463" t="str">
        <f>"1552376411720616"</f>
        <v>1552376411720616</v>
      </c>
      <c r="C4463" t="s">
        <v>40</v>
      </c>
      <c r="D4463">
        <v>4.1834509999999998</v>
      </c>
      <c r="E4463">
        <v>0.5231093</v>
      </c>
      <c r="F4463" t="s">
        <v>75</v>
      </c>
      <c r="G4463">
        <v>-168.4205</v>
      </c>
      <c r="H4463">
        <v>17.180879999999998</v>
      </c>
      <c r="I4463">
        <v>193.45509999999999</v>
      </c>
      <c r="J4463">
        <v>-385.23039999999997</v>
      </c>
      <c r="K4463">
        <v>1.1102000000000001</v>
      </c>
      <c r="L4463">
        <v>214.7294</v>
      </c>
      <c r="M4463">
        <v>0.99979410000000002</v>
      </c>
      <c r="N4463">
        <v>0</v>
      </c>
      <c r="O4463">
        <v>-1.1811820000000001E-2</v>
      </c>
      <c r="P4463">
        <v>0.99936550000000002</v>
      </c>
      <c r="Q4463">
        <v>-8.7320799999999997E-3</v>
      </c>
      <c r="R4463">
        <v>-3.4530699999999998E-2</v>
      </c>
      <c r="S4463">
        <v>2.9932560000000001</v>
      </c>
      <c r="T4463">
        <v>0.221444</v>
      </c>
      <c r="U4463">
        <v>-0.2932129</v>
      </c>
      <c r="V4463">
        <v>2.2723210000000001E-2</v>
      </c>
      <c r="W4463">
        <v>7.7631330000000002E-3</v>
      </c>
      <c r="X4463">
        <v>0.99971160000000003</v>
      </c>
      <c r="Y4463">
        <v>8.5527790000000006E-2</v>
      </c>
      <c r="Z4463">
        <v>2.2813249999999998E-3</v>
      </c>
      <c r="AA4463">
        <v>0.99633320000000003</v>
      </c>
      <c r="AB4463">
        <v>43</v>
      </c>
      <c r="AC4463">
        <v>216.8099</v>
      </c>
      <c r="AD4463">
        <v>16.070679999999999</v>
      </c>
      <c r="AE4463">
        <v>-21.2743</v>
      </c>
      <c r="AF4463">
        <v>18.610272464162701</v>
      </c>
      <c r="AG4463">
        <v>16.070679999999999</v>
      </c>
      <c r="AH4463">
        <v>215.871347815007</v>
      </c>
      <c r="AI4463">
        <v>85.758109258196399</v>
      </c>
      <c r="AJ4463">
        <v>85.072712609322195</v>
      </c>
      <c r="AK4463">
        <v>217.267226714755</v>
      </c>
      <c r="AL4463">
        <v>89.555200751850194</v>
      </c>
      <c r="AM4463">
        <v>88.697904589305494</v>
      </c>
      <c r="AN4463">
        <v>0.99999994684061799</v>
      </c>
    </row>
    <row r="4464" spans="1:40" x14ac:dyDescent="0.25">
      <c r="A4464" t="str">
        <f>"20190312154011746"</f>
        <v>20190312154011746</v>
      </c>
      <c r="B4464" t="str">
        <f>"1552376411740137"</f>
        <v>1552376411740137</v>
      </c>
      <c r="C4464" t="s">
        <v>40</v>
      </c>
      <c r="D4464">
        <v>4.1651699999999998</v>
      </c>
      <c r="E4464">
        <v>0.52315859999999903</v>
      </c>
      <c r="F4464" t="s">
        <v>75</v>
      </c>
      <c r="G4464">
        <v>-168.4204</v>
      </c>
      <c r="H4464">
        <v>16.920809999999999</v>
      </c>
      <c r="I4464">
        <v>193.3665</v>
      </c>
      <c r="J4464">
        <v>-384.7978</v>
      </c>
      <c r="K4464">
        <v>1.1102939999999999</v>
      </c>
      <c r="L4464">
        <v>214.7243</v>
      </c>
      <c r="M4464">
        <v>0.99978630000000002</v>
      </c>
      <c r="N4464">
        <v>0</v>
      </c>
      <c r="O4464">
        <v>-1.181487E-2</v>
      </c>
      <c r="P4464">
        <v>0.99937929999999997</v>
      </c>
      <c r="Q4464">
        <v>-1.025642E-2</v>
      </c>
      <c r="R4464">
        <v>-3.370575E-2</v>
      </c>
      <c r="S4464">
        <v>2.9935909999999999</v>
      </c>
      <c r="T4464">
        <v>0.21830459999999999</v>
      </c>
      <c r="U4464">
        <v>-0.2949677</v>
      </c>
      <c r="V4464">
        <v>2.1894819999999999E-2</v>
      </c>
      <c r="W4464">
        <v>6.6988610000000004E-3</v>
      </c>
      <c r="X4464">
        <v>0.99973789999999996</v>
      </c>
      <c r="Y4464">
        <v>8.6096439999999996E-2</v>
      </c>
      <c r="Z4464">
        <v>2.269184E-3</v>
      </c>
      <c r="AA4464">
        <v>0.99628419999999895</v>
      </c>
      <c r="AB4464">
        <v>43</v>
      </c>
      <c r="AC4464">
        <v>216.37739999999999</v>
      </c>
      <c r="AD4464">
        <v>15.810516</v>
      </c>
      <c r="AE4464">
        <v>-21.357800000000001</v>
      </c>
      <c r="AF4464">
        <v>18.700589098437899</v>
      </c>
      <c r="AG4464">
        <v>15.810516</v>
      </c>
      <c r="AH4464">
        <v>215.47532449666201</v>
      </c>
      <c r="AI4464">
        <v>85.819098825980106</v>
      </c>
      <c r="AJ4464">
        <v>85.039864534527993</v>
      </c>
      <c r="AK4464">
        <v>216.86239857512601</v>
      </c>
      <c r="AL4464">
        <v>89.616180690778506</v>
      </c>
      <c r="AM4464">
        <v>88.745390894157396</v>
      </c>
      <c r="AN4464">
        <v>1.0000000632889601</v>
      </c>
    </row>
    <row r="4465" spans="1:40" x14ac:dyDescent="0.25">
      <c r="A4465" t="str">
        <f>"20190312154011769"</f>
        <v>20190312154011769</v>
      </c>
      <c r="B4465" t="str">
        <f>"1552376411760632"</f>
        <v>1552376411760632</v>
      </c>
      <c r="C4465" t="s">
        <v>40</v>
      </c>
      <c r="D4465">
        <v>4.1555519999999904</v>
      </c>
      <c r="E4465">
        <v>0.52336839999999996</v>
      </c>
      <c r="F4465" t="s">
        <v>75</v>
      </c>
      <c r="G4465">
        <v>-168.42019999999999</v>
      </c>
      <c r="H4465">
        <v>16.48002</v>
      </c>
      <c r="I4465">
        <v>193.5737</v>
      </c>
      <c r="J4465">
        <v>-384.36149999999998</v>
      </c>
      <c r="K4465">
        <v>1.110379</v>
      </c>
      <c r="L4465">
        <v>214.7192</v>
      </c>
      <c r="M4465">
        <v>0.99977800000000006</v>
      </c>
      <c r="N4465">
        <v>0</v>
      </c>
      <c r="O4465">
        <v>-1.181782E-2</v>
      </c>
      <c r="P4465">
        <v>0.99940340000000005</v>
      </c>
      <c r="Q4465">
        <v>-1.176168E-2</v>
      </c>
      <c r="R4465">
        <v>-3.247941E-2</v>
      </c>
      <c r="S4465">
        <v>2.994202</v>
      </c>
      <c r="T4465">
        <v>0.2126845</v>
      </c>
      <c r="U4465">
        <v>-0.29267880000000002</v>
      </c>
      <c r="V4465">
        <v>2.0664849999999998E-2</v>
      </c>
      <c r="W4465">
        <v>5.6827400000000004E-3</v>
      </c>
      <c r="X4465">
        <v>0.9997703</v>
      </c>
      <c r="Y4465">
        <v>8.5331099999999993E-2</v>
      </c>
      <c r="Z4465">
        <v>2.183248E-3</v>
      </c>
      <c r="AA4465">
        <v>0.99635019999999996</v>
      </c>
      <c r="AB4465">
        <v>43</v>
      </c>
      <c r="AC4465">
        <v>215.94130000000001</v>
      </c>
      <c r="AD4465">
        <v>15.369641</v>
      </c>
      <c r="AE4465">
        <v>-21.145499999999998</v>
      </c>
      <c r="AF4465">
        <v>18.498855965694499</v>
      </c>
      <c r="AG4465">
        <v>15.369641</v>
      </c>
      <c r="AH4465">
        <v>215.09683902767799</v>
      </c>
      <c r="AI4465">
        <v>85.927885077376303</v>
      </c>
      <c r="AJ4465">
        <v>85.084517551434402</v>
      </c>
      <c r="AK4465">
        <v>216.43725117503999</v>
      </c>
      <c r="AL4465">
        <v>89.674401226579803</v>
      </c>
      <c r="AM4465">
        <v>88.815887892543003</v>
      </c>
      <c r="AN4465">
        <v>0.99999999116075999</v>
      </c>
    </row>
    <row r="4466" spans="1:40" x14ac:dyDescent="0.25">
      <c r="A4466" t="str">
        <f>"20190312154011792"</f>
        <v>20190312154011792</v>
      </c>
      <c r="B4466" t="str">
        <f>"1552376411780152"</f>
        <v>1552376411780152</v>
      </c>
      <c r="C4466" t="s">
        <v>40</v>
      </c>
      <c r="D4466">
        <v>4.1646190000000001</v>
      </c>
      <c r="E4466">
        <v>0.52358919999999998</v>
      </c>
      <c r="F4466" t="s">
        <v>75</v>
      </c>
      <c r="G4466">
        <v>-168.42</v>
      </c>
      <c r="H4466">
        <v>16.09826</v>
      </c>
      <c r="I4466">
        <v>193.7585</v>
      </c>
      <c r="J4466">
        <v>-383.93270000000001</v>
      </c>
      <c r="K4466">
        <v>1.1104499999999999</v>
      </c>
      <c r="L4466">
        <v>214.7141</v>
      </c>
      <c r="M4466">
        <v>0.99976929999999997</v>
      </c>
      <c r="N4466">
        <v>0</v>
      </c>
      <c r="O4466">
        <v>-1.1820229999999999E-2</v>
      </c>
      <c r="P4466">
        <v>0.99940370000000001</v>
      </c>
      <c r="Q4466">
        <v>-1.2877009999999999E-2</v>
      </c>
      <c r="R4466">
        <v>-3.2038839999999999E-2</v>
      </c>
      <c r="S4466">
        <v>2.994812</v>
      </c>
      <c r="T4466">
        <v>0.20786189999999999</v>
      </c>
      <c r="U4466">
        <v>-0.29069519999999999</v>
      </c>
      <c r="V4466">
        <v>2.0221989999999999E-2</v>
      </c>
      <c r="W4466">
        <v>5.0580929999999996E-3</v>
      </c>
      <c r="X4466">
        <v>0.99978270000000002</v>
      </c>
      <c r="Y4466">
        <v>8.4665050000000006E-2</v>
      </c>
      <c r="Z4466">
        <v>2.1102920000000002E-3</v>
      </c>
      <c r="AA4466">
        <v>0.99640720000000005</v>
      </c>
      <c r="AB4466">
        <v>43</v>
      </c>
      <c r="AC4466">
        <v>215.5127</v>
      </c>
      <c r="AD4466">
        <v>14.98781</v>
      </c>
      <c r="AE4466">
        <v>-20.9556</v>
      </c>
      <c r="AF4466">
        <v>18.318548388404999</v>
      </c>
      <c r="AG4466">
        <v>14.98781</v>
      </c>
      <c r="AH4466">
        <v>214.71663004583499</v>
      </c>
      <c r="AI4466">
        <v>86.021480236135801</v>
      </c>
      <c r="AJ4466">
        <v>85.1236190894587</v>
      </c>
      <c r="AK4466">
        <v>216.01720968916899</v>
      </c>
      <c r="AL4466">
        <v>89.710191377209895</v>
      </c>
      <c r="AM4466">
        <v>88.841271490887394</v>
      </c>
      <c r="AN4466">
        <v>0.99999998020182301</v>
      </c>
    </row>
    <row r="4467" spans="1:40" x14ac:dyDescent="0.25">
      <c r="A4467" t="str">
        <f>"20190312154011815"</f>
        <v>20190312154011815</v>
      </c>
      <c r="B4467" t="str">
        <f>"1552376411810408"</f>
        <v>1552376411810408</v>
      </c>
      <c r="C4467" t="s">
        <v>40</v>
      </c>
      <c r="D4467">
        <v>4.1432820000000001</v>
      </c>
      <c r="E4467">
        <v>0.52402329999999997</v>
      </c>
      <c r="F4467" t="s">
        <v>75</v>
      </c>
      <c r="G4467">
        <v>-168.41990000000001</v>
      </c>
      <c r="H4467">
        <v>15.787509999999999</v>
      </c>
      <c r="I4467">
        <v>193.77170000000001</v>
      </c>
      <c r="J4467">
        <v>-383.50979999999998</v>
      </c>
      <c r="K4467">
        <v>1.1105069999999999</v>
      </c>
      <c r="L4467">
        <v>214.70910000000001</v>
      </c>
      <c r="M4467">
        <v>0.9997606</v>
      </c>
      <c r="N4467">
        <v>0</v>
      </c>
      <c r="O4467">
        <v>-1.1821409999999999E-2</v>
      </c>
      <c r="P4467">
        <v>0.99939259999999996</v>
      </c>
      <c r="Q4467">
        <v>-1.36157E-2</v>
      </c>
      <c r="R4467">
        <v>-3.2081499999999999E-2</v>
      </c>
      <c r="S4467">
        <v>2.9950869999999998</v>
      </c>
      <c r="T4467">
        <v>0.20397470000000001</v>
      </c>
      <c r="U4467">
        <v>-0.29104609999999997</v>
      </c>
      <c r="V4467">
        <v>2.026329E-2</v>
      </c>
      <c r="W4467">
        <v>4.7896359999999999E-3</v>
      </c>
      <c r="X4467">
        <v>0.99978319999999998</v>
      </c>
      <c r="Y4467">
        <v>8.4776859999999996E-2</v>
      </c>
      <c r="Z4467">
        <v>2.0744259999999999E-3</v>
      </c>
      <c r="AA4467">
        <v>0.9963978</v>
      </c>
      <c r="AB4467">
        <v>42</v>
      </c>
      <c r="AC4467">
        <v>215.0899</v>
      </c>
      <c r="AD4467">
        <v>14.677002999999999</v>
      </c>
      <c r="AE4467">
        <v>-20.9374</v>
      </c>
      <c r="AF4467">
        <v>18.308391564765799</v>
      </c>
      <c r="AG4467">
        <v>14.677002999999999</v>
      </c>
      <c r="AH4467">
        <v>214.333796570598</v>
      </c>
      <c r="AI4467">
        <v>86.096824045033699</v>
      </c>
      <c r="AJ4467">
        <v>85.117646673784904</v>
      </c>
      <c r="AK4467">
        <v>215.61444286298899</v>
      </c>
      <c r="AL4467">
        <v>89.7255730209625</v>
      </c>
      <c r="AM4467">
        <v>88.838906211262696</v>
      </c>
      <c r="AN4467">
        <v>0.999999994268438</v>
      </c>
    </row>
    <row r="4468" spans="1:40" x14ac:dyDescent="0.25">
      <c r="A4468" t="str">
        <f>"20190312154011836"</f>
        <v>20190312154011836</v>
      </c>
      <c r="B4468" t="str">
        <f>"1552376411830904"</f>
        <v>1552376411830904</v>
      </c>
      <c r="C4468" t="s">
        <v>40</v>
      </c>
      <c r="D4468">
        <v>4.1802210000000004</v>
      </c>
      <c r="E4468">
        <v>0.52425489999999997</v>
      </c>
      <c r="F4468" t="s">
        <v>75</v>
      </c>
      <c r="G4468">
        <v>-168.42</v>
      </c>
      <c r="H4468">
        <v>15.61633</v>
      </c>
      <c r="I4468">
        <v>193.55250000000001</v>
      </c>
      <c r="J4468">
        <v>-383.10500000000002</v>
      </c>
      <c r="K4468">
        <v>1.1105560000000001</v>
      </c>
      <c r="L4468">
        <v>214.70429999999999</v>
      </c>
      <c r="M4468">
        <v>0.9997528</v>
      </c>
      <c r="N4468">
        <v>0</v>
      </c>
      <c r="O4468">
        <v>-1.182237E-2</v>
      </c>
      <c r="P4468">
        <v>0.99936530000000001</v>
      </c>
      <c r="Q4468">
        <v>-1.454398E-2</v>
      </c>
      <c r="R4468">
        <v>-3.2522509999999998E-2</v>
      </c>
      <c r="S4468">
        <v>2.9950869999999998</v>
      </c>
      <c r="T4468">
        <v>0.20199130000000001</v>
      </c>
      <c r="U4468">
        <v>-0.29460140000000001</v>
      </c>
      <c r="V4468">
        <v>2.070338E-2</v>
      </c>
      <c r="W4468">
        <v>4.2822859999999997E-3</v>
      </c>
      <c r="X4468">
        <v>0.99977649999999996</v>
      </c>
      <c r="Y4468">
        <v>8.5947960000000004E-2</v>
      </c>
      <c r="Z4468">
        <v>2.0934629999999998E-3</v>
      </c>
      <c r="AA4468">
        <v>0.9962974</v>
      </c>
      <c r="AB4468">
        <v>42</v>
      </c>
      <c r="AC4468">
        <v>214.685</v>
      </c>
      <c r="AD4468">
        <v>14.505774000000001</v>
      </c>
      <c r="AE4468">
        <v>-21.151799999999898</v>
      </c>
      <c r="AF4468">
        <v>18.528011169765598</v>
      </c>
      <c r="AG4468">
        <v>14.505774000000001</v>
      </c>
      <c r="AH4468">
        <v>213.95271162601799</v>
      </c>
      <c r="AI4468">
        <v>86.135759235099002</v>
      </c>
      <c r="AJ4468">
        <v>85.050611841037295</v>
      </c>
      <c r="AK4468">
        <v>215.242810540497</v>
      </c>
      <c r="AL4468">
        <v>89.754642337826596</v>
      </c>
      <c r="AM4468">
        <v>88.813688078409101</v>
      </c>
      <c r="AN4468">
        <v>1.00000000893453</v>
      </c>
    </row>
    <row r="4469" spans="1:40" x14ac:dyDescent="0.25">
      <c r="A4469" t="str">
        <f>"20190312154011859"</f>
        <v>20190312154011859</v>
      </c>
      <c r="B4469" t="str">
        <f>"1552376411850424"</f>
        <v>1552376411850424</v>
      </c>
      <c r="C4469" t="s">
        <v>40</v>
      </c>
      <c r="D4469">
        <v>4.0654339999999998</v>
      </c>
      <c r="E4469">
        <v>0.53737900000000005</v>
      </c>
      <c r="F4469" t="s">
        <v>75</v>
      </c>
      <c r="G4469">
        <v>-168.42</v>
      </c>
      <c r="H4469">
        <v>15.42487</v>
      </c>
      <c r="I4469">
        <v>193.3613</v>
      </c>
      <c r="J4469">
        <v>-382.68799999999999</v>
      </c>
      <c r="K4469">
        <v>1.110595</v>
      </c>
      <c r="L4469">
        <v>214.6994</v>
      </c>
      <c r="M4469">
        <v>0.9997452</v>
      </c>
      <c r="N4469">
        <v>0</v>
      </c>
      <c r="O4469">
        <v>-1.1822829999999999E-2</v>
      </c>
      <c r="P4469">
        <v>0.9993495</v>
      </c>
      <c r="Q4469">
        <v>-1.473593E-2</v>
      </c>
      <c r="R4469">
        <v>-3.292146E-2</v>
      </c>
      <c r="S4469">
        <v>2.995117</v>
      </c>
      <c r="T4469">
        <v>0.19970250000000001</v>
      </c>
      <c r="U4469">
        <v>-0.29776000000000002</v>
      </c>
      <c r="V4469">
        <v>2.1101849999999998E-2</v>
      </c>
      <c r="W4469">
        <v>4.4858939999999998E-3</v>
      </c>
      <c r="X4469">
        <v>0.99976719999999997</v>
      </c>
      <c r="Y4469">
        <v>8.6988350000000006E-2</v>
      </c>
      <c r="Z4469">
        <v>2.1041929999999999E-3</v>
      </c>
      <c r="AA4469">
        <v>0.99620710000000001</v>
      </c>
      <c r="AB4469">
        <v>42</v>
      </c>
      <c r="AC4469">
        <v>214.268</v>
      </c>
      <c r="AD4469">
        <v>14.314275</v>
      </c>
      <c r="AE4469">
        <v>-21.338100000000001</v>
      </c>
      <c r="AF4469">
        <v>18.720158381473698</v>
      </c>
      <c r="AG4469">
        <v>14.314275</v>
      </c>
      <c r="AH4469">
        <v>213.56158263716901</v>
      </c>
      <c r="AI4469">
        <v>86.180006952845005</v>
      </c>
      <c r="AJ4469">
        <v>84.990430902317996</v>
      </c>
      <c r="AK4469">
        <v>214.857842251791</v>
      </c>
      <c r="AL4469">
        <v>89.742976327143893</v>
      </c>
      <c r="AM4469">
        <v>88.790851058879099</v>
      </c>
      <c r="AN4469">
        <v>0.99999993275711796</v>
      </c>
    </row>
    <row r="4470" spans="1:40" x14ac:dyDescent="0.25">
      <c r="A4470" t="str">
        <f>"20190312154011881"</f>
        <v>20190312154011881</v>
      </c>
      <c r="B4470" t="str">
        <f>"1552376411870920"</f>
        <v>1552376411870920</v>
      </c>
      <c r="C4470" t="s">
        <v>40</v>
      </c>
      <c r="D4470">
        <v>4.0952380000000002</v>
      </c>
      <c r="E4470">
        <v>0.53682600000000003</v>
      </c>
      <c r="F4470" t="s">
        <v>74</v>
      </c>
      <c r="G4470">
        <v>-252.4709</v>
      </c>
      <c r="H4470">
        <v>3.8535970000000002</v>
      </c>
      <c r="I4470">
        <v>197.29079999999999</v>
      </c>
      <c r="J4470">
        <v>-382.26609999999999</v>
      </c>
      <c r="K4470">
        <v>1.1106279999999999</v>
      </c>
      <c r="L4470">
        <v>214.6944</v>
      </c>
      <c r="M4470">
        <v>0.99973820000000002</v>
      </c>
      <c r="N4470">
        <v>0</v>
      </c>
      <c r="O4470">
        <v>-1.1823439999999999E-2</v>
      </c>
      <c r="P4470">
        <v>0.99932019999999999</v>
      </c>
      <c r="Q4470">
        <v>-1.547485E-2</v>
      </c>
      <c r="R4470">
        <v>-3.3461850000000001E-2</v>
      </c>
      <c r="S4470">
        <v>2.989716</v>
      </c>
      <c r="T4470">
        <v>6.2980289999999994E-2</v>
      </c>
      <c r="U4470">
        <v>-0.39968870000000001</v>
      </c>
      <c r="V4470">
        <v>2.1642060000000001E-2</v>
      </c>
      <c r="W4470">
        <v>4.1130109999999998E-3</v>
      </c>
      <c r="X4470">
        <v>0.99975729999999996</v>
      </c>
      <c r="Y4470">
        <v>0.1207546</v>
      </c>
      <c r="Z4470">
        <v>1.0181820000000001E-3</v>
      </c>
      <c r="AA4470">
        <v>0.99268190000000001</v>
      </c>
      <c r="AB4470">
        <v>42</v>
      </c>
      <c r="AC4470">
        <v>129.79519999999999</v>
      </c>
      <c r="AD4470">
        <v>2.742969</v>
      </c>
      <c r="AE4470">
        <v>-17.403600000000001</v>
      </c>
      <c r="AF4470">
        <v>15.860504447901</v>
      </c>
      <c r="AG4470">
        <v>2.742969</v>
      </c>
      <c r="AH4470">
        <v>129.93492899751701</v>
      </c>
      <c r="AI4470">
        <v>88.799554445692806</v>
      </c>
      <c r="AJ4470">
        <v>83.040620166298496</v>
      </c>
      <c r="AK4470">
        <v>130.928091920209</v>
      </c>
      <c r="AL4470">
        <v>89.764341158812897</v>
      </c>
      <c r="AM4470">
        <v>88.759893964212907</v>
      </c>
      <c r="AN4470">
        <v>0.99999997726190903</v>
      </c>
    </row>
    <row r="4471" spans="1:40" x14ac:dyDescent="0.25">
      <c r="A4471" t="str">
        <f>"20190312154011902"</f>
        <v>20190312154011902</v>
      </c>
      <c r="B4471" t="str">
        <f>"1552376411890440"</f>
        <v>1552376411890440</v>
      </c>
      <c r="C4471" t="s">
        <v>40</v>
      </c>
      <c r="D4471">
        <v>4.0642290000000001</v>
      </c>
      <c r="E4471">
        <v>0.54131619999999903</v>
      </c>
      <c r="F4471" t="s">
        <v>78</v>
      </c>
      <c r="G4471">
        <v>-258.8501</v>
      </c>
      <c r="H4471">
        <v>0.63715219999999995</v>
      </c>
      <c r="I4471">
        <v>198.38249999999999</v>
      </c>
      <c r="J4471">
        <v>-381.8759</v>
      </c>
      <c r="K4471">
        <v>1.1106499999999999</v>
      </c>
      <c r="L4471">
        <v>214.68969999999999</v>
      </c>
      <c r="M4471">
        <v>0.99973210000000001</v>
      </c>
      <c r="N4471">
        <v>0</v>
      </c>
      <c r="O4471">
        <v>-1.1824299999999999E-2</v>
      </c>
      <c r="P4471">
        <v>0.99929290000000004</v>
      </c>
      <c r="Q4471">
        <v>-1.665152E-2</v>
      </c>
      <c r="R4471">
        <v>-3.3717459999999998E-2</v>
      </c>
      <c r="S4471">
        <v>2.9886170000000001</v>
      </c>
      <c r="T4471">
        <v>-1.1465670000000001E-2</v>
      </c>
      <c r="U4471">
        <v>-0.39500429999999997</v>
      </c>
      <c r="V4471">
        <v>2.1897030000000001E-2</v>
      </c>
      <c r="W4471">
        <v>3.2466040000000002E-3</v>
      </c>
      <c r="X4471">
        <v>0.99975499999999995</v>
      </c>
      <c r="Y4471">
        <v>0.1192955</v>
      </c>
      <c r="Z4471">
        <v>-1.826776E-4</v>
      </c>
      <c r="AA4471">
        <v>0.99285880000000004</v>
      </c>
      <c r="AB4471">
        <v>42</v>
      </c>
      <c r="AC4471">
        <v>123.0258</v>
      </c>
      <c r="AD4471">
        <v>-0.47349780000000002</v>
      </c>
      <c r="AE4471">
        <v>-16.307199999999899</v>
      </c>
      <c r="AF4471">
        <v>14.8508613134552</v>
      </c>
      <c r="AG4471">
        <v>-0.47349780000000002</v>
      </c>
      <c r="AH4471">
        <v>123.208261757019</v>
      </c>
      <c r="AI4471">
        <v>90.218608232931004</v>
      </c>
      <c r="AJ4471">
        <v>83.127031723438506</v>
      </c>
      <c r="AK4471">
        <v>124.100959090187</v>
      </c>
      <c r="AL4471">
        <v>89.813982973741702</v>
      </c>
      <c r="AM4471">
        <v>88.745285752391695</v>
      </c>
      <c r="AN4471">
        <v>1.0000000401926701</v>
      </c>
    </row>
    <row r="4472" spans="1:40" x14ac:dyDescent="0.25">
      <c r="A4472" t="str">
        <f>"20190312154011925"</f>
        <v>20190312154011925</v>
      </c>
      <c r="B4472" t="str">
        <f>"1552376411920696"</f>
        <v>1552376411920696</v>
      </c>
      <c r="C4472" t="s">
        <v>40</v>
      </c>
      <c r="D4472">
        <v>4.0257139999999998</v>
      </c>
      <c r="E4472">
        <v>0.54270169999999995</v>
      </c>
      <c r="F4472" t="s">
        <v>41</v>
      </c>
      <c r="G4472">
        <v>-380.92989999999998</v>
      </c>
      <c r="H4472">
        <v>0.92155909999999996</v>
      </c>
      <c r="I4472">
        <v>214.5574</v>
      </c>
      <c r="J4472">
        <v>-381.45659999999998</v>
      </c>
      <c r="K4472">
        <v>1.1106670000000001</v>
      </c>
      <c r="L4472">
        <v>214.6848</v>
      </c>
      <c r="M4472">
        <v>0.99972609999999995</v>
      </c>
      <c r="N4472">
        <v>0</v>
      </c>
      <c r="O4472">
        <v>-1.182534E-2</v>
      </c>
      <c r="P4472">
        <v>0.99926919999999997</v>
      </c>
      <c r="Q4472">
        <v>-1.7460659999999999E-2</v>
      </c>
      <c r="R4472">
        <v>-3.4006790000000002E-2</v>
      </c>
      <c r="S4472">
        <v>2.9782099999999998</v>
      </c>
      <c r="T4472">
        <v>-0.59541730000000004</v>
      </c>
      <c r="U4472">
        <v>-0.4151917</v>
      </c>
      <c r="V4472">
        <v>2.2185400000000001E-2</v>
      </c>
      <c r="W4472">
        <v>2.7378210000000001E-3</v>
      </c>
      <c r="X4472">
        <v>0.99975009999999997</v>
      </c>
      <c r="Y4472">
        <v>0.12417010000000001</v>
      </c>
      <c r="Z4472">
        <v>-9.9032329999999991E-3</v>
      </c>
      <c r="AA4472">
        <v>0.99221150000000002</v>
      </c>
      <c r="AB4472">
        <v>41</v>
      </c>
      <c r="AC4472">
        <v>0.52670000000000505</v>
      </c>
      <c r="AD4472">
        <v>-0.1891079</v>
      </c>
      <c r="AE4472">
        <v>-0.12739999999999399</v>
      </c>
      <c r="AF4472">
        <v>0.108007560999059</v>
      </c>
      <c r="AG4472">
        <v>-0.1891079</v>
      </c>
      <c r="AH4472">
        <v>0.47082940310893001</v>
      </c>
      <c r="AI4472">
        <v>111.379347214088</v>
      </c>
      <c r="AJ4472">
        <v>77.079971427719798</v>
      </c>
      <c r="AK4472">
        <v>0.51875597144253405</v>
      </c>
      <c r="AL4472">
        <v>89.843134211753593</v>
      </c>
      <c r="AM4472">
        <v>88.728761119864004</v>
      </c>
      <c r="AN4472">
        <v>0.99999997504349802</v>
      </c>
    </row>
    <row r="4473" spans="1:40" x14ac:dyDescent="0.25">
      <c r="A4473" t="str">
        <f>"20190312154011948"</f>
        <v>20190312154011948</v>
      </c>
      <c r="B4473" t="str">
        <f>"1552376411940215"</f>
        <v>1552376411940215</v>
      </c>
      <c r="C4473" t="s">
        <v>40</v>
      </c>
      <c r="D4473">
        <v>4.1196780000000004</v>
      </c>
      <c r="E4473">
        <v>0.54274389999999995</v>
      </c>
      <c r="F4473" t="s">
        <v>41</v>
      </c>
      <c r="G4473">
        <v>-380.5693</v>
      </c>
      <c r="H4473">
        <v>0.9054046</v>
      </c>
      <c r="I4473">
        <v>214.5581</v>
      </c>
      <c r="J4473">
        <v>-381.03609999999998</v>
      </c>
      <c r="K4473">
        <v>1.1106860000000001</v>
      </c>
      <c r="L4473">
        <v>214.6798</v>
      </c>
      <c r="M4473">
        <v>0.99972059999999996</v>
      </c>
      <c r="N4473">
        <v>0</v>
      </c>
      <c r="O4473">
        <v>-1.182598E-2</v>
      </c>
      <c r="P4473">
        <v>0.99923280000000003</v>
      </c>
      <c r="Q4473">
        <v>-1.785339E-2</v>
      </c>
      <c r="R4473">
        <v>-3.4865729999999998E-2</v>
      </c>
      <c r="S4473">
        <v>2.975708</v>
      </c>
      <c r="T4473">
        <v>-0.68838140000000003</v>
      </c>
      <c r="U4473">
        <v>-0.42468260000000002</v>
      </c>
      <c r="V4473">
        <v>2.304399E-2</v>
      </c>
      <c r="W4473">
        <v>2.610982E-3</v>
      </c>
      <c r="X4473">
        <v>0.99973109999999998</v>
      </c>
      <c r="Y4473">
        <v>0.1265954</v>
      </c>
      <c r="Z4473">
        <v>-1.169501E-2</v>
      </c>
      <c r="AA4473">
        <v>0.99188549999999998</v>
      </c>
      <c r="AB4473">
        <v>41</v>
      </c>
      <c r="AC4473">
        <v>0.46679999999997701</v>
      </c>
      <c r="AD4473">
        <v>-0.2052814</v>
      </c>
      <c r="AE4473">
        <v>-0.121700000000004</v>
      </c>
      <c r="AF4473">
        <v>9.8358824970359096E-2</v>
      </c>
      <c r="AG4473">
        <v>-0.2052814</v>
      </c>
      <c r="AH4473">
        <v>0.39642155706096799</v>
      </c>
      <c r="AI4473">
        <v>116.683953587293</v>
      </c>
      <c r="AJ4473">
        <v>76.065356992977001</v>
      </c>
      <c r="AK4473">
        <v>0.45712685606749498</v>
      </c>
      <c r="AL4473">
        <v>89.850401589643198</v>
      </c>
      <c r="AM4473">
        <v>88.679555321956798</v>
      </c>
      <c r="AN4473">
        <v>1.0000000575046599</v>
      </c>
    </row>
    <row r="4474" spans="1:40" x14ac:dyDescent="0.25">
      <c r="A4474" t="str">
        <f>"20190312154011970"</f>
        <v>20190312154011970</v>
      </c>
      <c r="B4474" t="str">
        <f>"1552376411960712"</f>
        <v>1552376411960712</v>
      </c>
      <c r="C4474" t="s">
        <v>40</v>
      </c>
      <c r="D4474">
        <v>4.0895039999999998</v>
      </c>
      <c r="E4474">
        <v>0.54257599999999995</v>
      </c>
      <c r="F4474" t="s">
        <v>41</v>
      </c>
      <c r="G4474">
        <v>-380.20089999999999</v>
      </c>
      <c r="H4474">
        <v>0.90991719999999998</v>
      </c>
      <c r="I4474">
        <v>214.56</v>
      </c>
      <c r="J4474">
        <v>-380.62520000000001</v>
      </c>
      <c r="K4474">
        <v>1.1107070000000001</v>
      </c>
      <c r="L4474">
        <v>214.67500000000001</v>
      </c>
      <c r="M4474">
        <v>0.99971569999999998</v>
      </c>
      <c r="N4474">
        <v>0</v>
      </c>
      <c r="O4474">
        <v>-1.182482E-2</v>
      </c>
      <c r="P4474">
        <v>0.99919119999999995</v>
      </c>
      <c r="Q4474">
        <v>-1.7947419999999999E-2</v>
      </c>
      <c r="R4474">
        <v>-3.598196E-2</v>
      </c>
      <c r="S4474">
        <v>2.974701</v>
      </c>
      <c r="T4474">
        <v>-0.71508130000000003</v>
      </c>
      <c r="U4474">
        <v>-0.42652889999999999</v>
      </c>
      <c r="V4474">
        <v>2.416184E-2</v>
      </c>
      <c r="W4474">
        <v>2.745927E-3</v>
      </c>
      <c r="X4474">
        <v>0.99970429999999999</v>
      </c>
      <c r="Y4474">
        <v>0.1270019</v>
      </c>
      <c r="Z4474">
        <v>-1.218812E-2</v>
      </c>
      <c r="AA4474">
        <v>0.99182760000000003</v>
      </c>
      <c r="AB4474">
        <v>41</v>
      </c>
      <c r="AC4474">
        <v>0.424300000000016</v>
      </c>
      <c r="AD4474">
        <v>-0.20078979999999999</v>
      </c>
      <c r="AE4474">
        <v>-0.115000000000009</v>
      </c>
      <c r="AF4474">
        <v>9.0991217644459596E-2</v>
      </c>
      <c r="AG4474">
        <v>-0.20078979999999999</v>
      </c>
      <c r="AH4474">
        <v>0.352162985053938</v>
      </c>
      <c r="AI4474">
        <v>118.90012940406</v>
      </c>
      <c r="AJ4474">
        <v>75.512859751746703</v>
      </c>
      <c r="AK4474">
        <v>0.41546926903750803</v>
      </c>
      <c r="AL4474">
        <v>89.842669776069698</v>
      </c>
      <c r="AM4474">
        <v>88.615488603819003</v>
      </c>
      <c r="AN4474">
        <v>1.0000000110328799</v>
      </c>
    </row>
    <row r="4475" spans="1:40" x14ac:dyDescent="0.25">
      <c r="A4475" t="str">
        <f>"20190312154011993"</f>
        <v>20190312154011993</v>
      </c>
      <c r="B4475" t="str">
        <f>"1552376411980232"</f>
        <v>1552376411980232</v>
      </c>
      <c r="C4475" t="s">
        <v>40</v>
      </c>
      <c r="D4475">
        <v>4.1265409999999996</v>
      </c>
      <c r="E4475">
        <v>0.54252609999999901</v>
      </c>
      <c r="F4475" t="s">
        <v>41</v>
      </c>
      <c r="G4475">
        <v>-379.83260000000001</v>
      </c>
      <c r="H4475">
        <v>0.91660609999999998</v>
      </c>
      <c r="I4475">
        <v>214.5609</v>
      </c>
      <c r="J4475">
        <v>-380.20010000000002</v>
      </c>
      <c r="K4475">
        <v>1.1107320000000001</v>
      </c>
      <c r="L4475">
        <v>214.66990000000001</v>
      </c>
      <c r="M4475">
        <v>0.99971180000000004</v>
      </c>
      <c r="N4475">
        <v>0</v>
      </c>
      <c r="O4475">
        <v>-1.1818270000000001E-2</v>
      </c>
      <c r="P4475">
        <v>0.99913090000000004</v>
      </c>
      <c r="Q4475">
        <v>-1.7140209999999999E-2</v>
      </c>
      <c r="R4475">
        <v>-3.8002880000000003E-2</v>
      </c>
      <c r="S4475">
        <v>2.973938</v>
      </c>
      <c r="T4475">
        <v>-0.728253699999999</v>
      </c>
      <c r="U4475">
        <v>-0.42782589999999998</v>
      </c>
      <c r="V4475">
        <v>2.618964E-2</v>
      </c>
      <c r="W4475">
        <v>3.7582480000000001E-3</v>
      </c>
      <c r="X4475">
        <v>0.99964989999999998</v>
      </c>
      <c r="Y4475">
        <v>0.1273387</v>
      </c>
      <c r="Z4475">
        <v>-1.245103E-2</v>
      </c>
      <c r="AA4475">
        <v>0.99178109999999997</v>
      </c>
      <c r="AB4475">
        <v>41</v>
      </c>
      <c r="AC4475">
        <v>0.36750000000000599</v>
      </c>
      <c r="AD4475">
        <v>-0.19412589999999999</v>
      </c>
      <c r="AE4475">
        <v>-0.10900000000000799</v>
      </c>
      <c r="AF4475">
        <v>8.3287540543325503E-2</v>
      </c>
      <c r="AG4475">
        <v>-0.19412589999999999</v>
      </c>
      <c r="AH4475">
        <v>0.29349133571573599</v>
      </c>
      <c r="AI4475">
        <v>122.46904040207799</v>
      </c>
      <c r="AJ4475">
        <v>74.157015664179696</v>
      </c>
      <c r="AK4475">
        <v>0.36160592307202699</v>
      </c>
      <c r="AL4475">
        <v>89.784667738323606</v>
      </c>
      <c r="AM4475">
        <v>88.499261927368593</v>
      </c>
      <c r="AN4475">
        <v>0.99999997212068403</v>
      </c>
    </row>
    <row r="4476" spans="1:40" x14ac:dyDescent="0.25">
      <c r="A4476" t="str">
        <f>"20190312154012016"</f>
        <v>20190312154012016</v>
      </c>
      <c r="B4476" t="str">
        <f>"1552376412010488"</f>
        <v>1552376412010488</v>
      </c>
      <c r="C4476" t="s">
        <v>40</v>
      </c>
      <c r="D4476">
        <v>4.0879960000000004</v>
      </c>
      <c r="E4476">
        <v>0.5424156</v>
      </c>
      <c r="F4476" t="s">
        <v>41</v>
      </c>
      <c r="G4476">
        <v>-379.46339999999998</v>
      </c>
      <c r="H4476">
        <v>0.92828440000000001</v>
      </c>
      <c r="I4476">
        <v>214.56229999999999</v>
      </c>
      <c r="J4476">
        <v>-379.80599999999998</v>
      </c>
      <c r="K4476">
        <v>1.110757</v>
      </c>
      <c r="L4476">
        <v>214.6653</v>
      </c>
      <c r="M4476">
        <v>0.99970840000000005</v>
      </c>
      <c r="N4476">
        <v>0</v>
      </c>
      <c r="O4476">
        <v>-1.180169E-2</v>
      </c>
      <c r="P4476">
        <v>0.99905549999999999</v>
      </c>
      <c r="Q4476">
        <v>-1.698947E-2</v>
      </c>
      <c r="R4476">
        <v>-3.9996650000000002E-2</v>
      </c>
      <c r="S4476">
        <v>2.973541</v>
      </c>
      <c r="T4476">
        <v>-0.73641199999999996</v>
      </c>
      <c r="U4476">
        <v>-0.43289179999999999</v>
      </c>
      <c r="V4476">
        <v>2.8200670000000001E-2</v>
      </c>
      <c r="W4476">
        <v>4.0729570000000003E-3</v>
      </c>
      <c r="X4476">
        <v>0.99959399999999998</v>
      </c>
      <c r="Y4476">
        <v>0.12890760000000001</v>
      </c>
      <c r="Z4476">
        <v>-1.27811E-2</v>
      </c>
      <c r="AA4476">
        <v>0.99157419999999996</v>
      </c>
      <c r="AB4476">
        <v>41</v>
      </c>
      <c r="AC4476">
        <v>0.34260000000000401</v>
      </c>
      <c r="AD4476">
        <v>-0.18247259999999901</v>
      </c>
      <c r="AE4476">
        <v>-0.103000000000008</v>
      </c>
      <c r="AF4476">
        <v>7.8520719836724706E-2</v>
      </c>
      <c r="AG4476">
        <v>-0.18247259999999901</v>
      </c>
      <c r="AH4476">
        <v>0.27281613845845198</v>
      </c>
      <c r="AI4476">
        <v>122.73111146550301</v>
      </c>
      <c r="AJ4476">
        <v>73.943360095691503</v>
      </c>
      <c r="AK4476">
        <v>0.33747651562415198</v>
      </c>
      <c r="AL4476">
        <v>89.766636112234806</v>
      </c>
      <c r="AM4476">
        <v>88.383993005282505</v>
      </c>
      <c r="AN4476">
        <v>1.00000001580158</v>
      </c>
    </row>
    <row r="4477" spans="1:40" x14ac:dyDescent="0.25">
      <c r="A4477" t="str">
        <f>"20190312154012039"</f>
        <v>20190312154012039</v>
      </c>
      <c r="B4477" t="str">
        <f>"1552376412030008"</f>
        <v>1552376412030008</v>
      </c>
      <c r="C4477" t="s">
        <v>40</v>
      </c>
      <c r="D4477">
        <v>4.123837</v>
      </c>
      <c r="E4477">
        <v>0.54241280000000003</v>
      </c>
      <c r="F4477" t="s">
        <v>41</v>
      </c>
      <c r="G4477">
        <v>-379.09879999999998</v>
      </c>
      <c r="H4477">
        <v>0.93332289999999996</v>
      </c>
      <c r="I4477">
        <v>214.56120000000001</v>
      </c>
      <c r="J4477">
        <v>-379.38099999999997</v>
      </c>
      <c r="K4477">
        <v>1.1107750000000001</v>
      </c>
      <c r="L4477">
        <v>214.6602</v>
      </c>
      <c r="M4477">
        <v>0.99970559999999997</v>
      </c>
      <c r="N4477">
        <v>0</v>
      </c>
      <c r="O4477">
        <v>-1.1764800000000001E-2</v>
      </c>
      <c r="P4477">
        <v>0.99895919999999905</v>
      </c>
      <c r="Q4477">
        <v>-1.7471520000000001E-2</v>
      </c>
      <c r="R4477">
        <v>-4.2135609999999997E-2</v>
      </c>
      <c r="S4477">
        <v>2.9726560000000002</v>
      </c>
      <c r="T4477">
        <v>-0.74573</v>
      </c>
      <c r="U4477">
        <v>-0.43693539999999997</v>
      </c>
      <c r="V4477">
        <v>3.037751E-2</v>
      </c>
      <c r="W4477">
        <v>3.7434650000000001E-3</v>
      </c>
      <c r="X4477">
        <v>0.99953150000000002</v>
      </c>
      <c r="Y4477">
        <v>0.13017889999999999</v>
      </c>
      <c r="Z4477">
        <v>-1.3105840000000001E-2</v>
      </c>
      <c r="AA4477">
        <v>0.9914039</v>
      </c>
      <c r="AB4477">
        <v>41</v>
      </c>
      <c r="AC4477">
        <v>0.28219999999998802</v>
      </c>
      <c r="AD4477">
        <v>-0.1774521</v>
      </c>
      <c r="AE4477">
        <v>-9.8999999999989499E-2</v>
      </c>
      <c r="AF4477">
        <v>7.0759416844043896E-2</v>
      </c>
      <c r="AG4477">
        <v>-0.1774521</v>
      </c>
      <c r="AH4477">
        <v>0.20956267483176999</v>
      </c>
      <c r="AI4477">
        <v>128.73916994064899</v>
      </c>
      <c r="AJ4477">
        <v>71.342603805590201</v>
      </c>
      <c r="AK4477">
        <v>0.28357125656378701</v>
      </c>
      <c r="AL4477">
        <v>89.785514756596697</v>
      </c>
      <c r="AM4477">
        <v>88.259216907982406</v>
      </c>
      <c r="AN4477">
        <v>1.0000000130681199</v>
      </c>
    </row>
    <row r="4478" spans="1:40" x14ac:dyDescent="0.25">
      <c r="A4478" t="str">
        <f>"20190312154012060"</f>
        <v>20190312154012060</v>
      </c>
      <c r="B4478" t="str">
        <f>"1552376412050505"</f>
        <v>1552376412050505</v>
      </c>
      <c r="C4478" t="s">
        <v>40</v>
      </c>
      <c r="D4478">
        <v>4.1196669999999997</v>
      </c>
      <c r="E4478">
        <v>0.54241569999999995</v>
      </c>
      <c r="F4478" t="s">
        <v>41</v>
      </c>
      <c r="G4478">
        <v>-378.40859999999998</v>
      </c>
      <c r="H4478">
        <v>0.86465369999999997</v>
      </c>
      <c r="I4478">
        <v>214.51509999999999</v>
      </c>
      <c r="J4478">
        <v>-378.99209999999999</v>
      </c>
      <c r="K4478">
        <v>1.1107959999999999</v>
      </c>
      <c r="L4478">
        <v>214.6557</v>
      </c>
      <c r="M4478">
        <v>0.99970349999999997</v>
      </c>
      <c r="N4478">
        <v>0</v>
      </c>
      <c r="O4478">
        <v>-1.170681E-2</v>
      </c>
      <c r="P4478">
        <v>0.99884989999999996</v>
      </c>
      <c r="Q4478">
        <v>-1.915273E-2</v>
      </c>
      <c r="R4478">
        <v>-4.3954239999999999E-2</v>
      </c>
      <c r="S4478">
        <v>2.9712830000000001</v>
      </c>
      <c r="T4478">
        <v>-0.75201549999999995</v>
      </c>
      <c r="U4478">
        <v>-0.4430847</v>
      </c>
      <c r="V4478">
        <v>3.2255119999999998E-2</v>
      </c>
      <c r="W4478">
        <v>2.19089E-3</v>
      </c>
      <c r="X4478">
        <v>0.99947730000000001</v>
      </c>
      <c r="Y4478">
        <v>0.1321842</v>
      </c>
      <c r="Z4478">
        <v>-1.347984E-2</v>
      </c>
      <c r="AA4478">
        <v>0.9911335</v>
      </c>
      <c r="AB4478">
        <v>40</v>
      </c>
      <c r="AC4478">
        <v>0.58350000000001501</v>
      </c>
      <c r="AD4478">
        <v>-0.24614229999999901</v>
      </c>
      <c r="AE4478">
        <v>-0.140600000000006</v>
      </c>
      <c r="AF4478">
        <v>0.114500878344902</v>
      </c>
      <c r="AG4478">
        <v>-0.24614229999999901</v>
      </c>
      <c r="AH4478">
        <v>0.50086911598013695</v>
      </c>
      <c r="AI4478">
        <v>115.59776017169</v>
      </c>
      <c r="AJ4478">
        <v>77.123203712423106</v>
      </c>
      <c r="AK4478">
        <v>0.56970725318690396</v>
      </c>
      <c r="AL4478">
        <v>89.874471153340593</v>
      </c>
      <c r="AM4478">
        <v>88.151592774235695</v>
      </c>
      <c r="AN4478">
        <v>1.0000000329902401</v>
      </c>
    </row>
    <row r="4479" spans="1:40" x14ac:dyDescent="0.25">
      <c r="A4479" t="str">
        <f>"20190312154012082"</f>
        <v>20190312154012082</v>
      </c>
      <c r="B4479" t="str">
        <f>"1552376412070025"</f>
        <v>1552376412070025</v>
      </c>
      <c r="C4479" t="s">
        <v>40</v>
      </c>
      <c r="D4479">
        <v>4.0973680000000003</v>
      </c>
      <c r="E4479">
        <v>0.54299739999999996</v>
      </c>
      <c r="F4479" t="s">
        <v>41</v>
      </c>
      <c r="G4479">
        <v>-378.04899999999998</v>
      </c>
      <c r="H4479">
        <v>0.86904409999999899</v>
      </c>
      <c r="I4479">
        <v>214.5128</v>
      </c>
      <c r="J4479">
        <v>-378.60309999999998</v>
      </c>
      <c r="K4479">
        <v>1.110822</v>
      </c>
      <c r="L4479">
        <v>214.65119999999999</v>
      </c>
      <c r="M4479">
        <v>0.99970159999999997</v>
      </c>
      <c r="N4479">
        <v>0</v>
      </c>
      <c r="O4479">
        <v>-1.1627459999999999E-2</v>
      </c>
      <c r="P4479">
        <v>0.99876770000000004</v>
      </c>
      <c r="Q4479">
        <v>-2.0816439999999999E-2</v>
      </c>
      <c r="R4479">
        <v>-4.5052300000000003E-2</v>
      </c>
      <c r="S4479">
        <v>2.969147</v>
      </c>
      <c r="T4479">
        <v>-0.76117769999999996</v>
      </c>
      <c r="U4479">
        <v>-0.44819639999999999</v>
      </c>
      <c r="V4479">
        <v>3.343343E-2</v>
      </c>
      <c r="W4479">
        <v>6.5976789999999902E-4</v>
      </c>
      <c r="X4479">
        <v>0.99944069999999996</v>
      </c>
      <c r="Y4479">
        <v>0.13388529999999901</v>
      </c>
      <c r="Z4479">
        <v>-1.3880129999999999E-2</v>
      </c>
      <c r="AA4479">
        <v>0.99089959999999999</v>
      </c>
      <c r="AB4479">
        <v>40</v>
      </c>
      <c r="AC4479">
        <v>0.55409999999994797</v>
      </c>
      <c r="AD4479">
        <v>-0.24177789999999999</v>
      </c>
      <c r="AE4479">
        <v>-0.13839999999999</v>
      </c>
      <c r="AF4479">
        <v>0.111893413013576</v>
      </c>
      <c r="AG4479">
        <v>-0.24177789999999999</v>
      </c>
      <c r="AH4479">
        <v>0.47122212359465498</v>
      </c>
      <c r="AI4479">
        <v>116.528654653491</v>
      </c>
      <c r="AJ4479">
        <v>76.642295465702205</v>
      </c>
      <c r="AK4479">
        <v>0.54131966394108899</v>
      </c>
      <c r="AL4479">
        <v>89.962198080039599</v>
      </c>
      <c r="AM4479">
        <v>88.084048040917196</v>
      </c>
      <c r="AN4479">
        <v>0.99999997117586703</v>
      </c>
    </row>
    <row r="4480" spans="1:40" x14ac:dyDescent="0.25">
      <c r="A4480" t="str">
        <f>"20190312154012104"</f>
        <v>20190312154012104</v>
      </c>
      <c r="B4480" t="str">
        <f>"1552376412090520"</f>
        <v>1552376412090520</v>
      </c>
      <c r="C4480" t="s">
        <v>40</v>
      </c>
      <c r="D4480">
        <v>4.1297579999999998</v>
      </c>
      <c r="E4480">
        <v>0.54362270000000001</v>
      </c>
      <c r="F4480" t="s">
        <v>41</v>
      </c>
      <c r="G4480">
        <v>-377.6902</v>
      </c>
      <c r="H4480">
        <v>0.87497269999999905</v>
      </c>
      <c r="I4480">
        <v>214.511</v>
      </c>
      <c r="J4480">
        <v>-378.21550000000002</v>
      </c>
      <c r="K4480">
        <v>1.11086</v>
      </c>
      <c r="L4480">
        <v>214.64680000000001</v>
      </c>
      <c r="M4480">
        <v>0.99970000000000003</v>
      </c>
      <c r="N4480">
        <v>0</v>
      </c>
      <c r="O4480">
        <v>-1.1525219999999999E-2</v>
      </c>
      <c r="P4480">
        <v>0.99872740000000004</v>
      </c>
      <c r="Q4480">
        <v>-2.208883E-2</v>
      </c>
      <c r="R4480">
        <v>-4.5341060000000002E-2</v>
      </c>
      <c r="S4480">
        <v>2.9671940000000001</v>
      </c>
      <c r="T4480">
        <v>-0.76668319999999901</v>
      </c>
      <c r="U4480">
        <v>-0.45527649999999997</v>
      </c>
      <c r="V4480">
        <v>3.382483E-2</v>
      </c>
      <c r="W4480">
        <v>-4.7648189999999999E-4</v>
      </c>
      <c r="X4480">
        <v>0.99942770000000003</v>
      </c>
      <c r="Y4480">
        <v>0.1362554</v>
      </c>
      <c r="Z4480">
        <v>-1.4309250000000001E-2</v>
      </c>
      <c r="AA4480">
        <v>0.99057039999999996</v>
      </c>
      <c r="AB4480">
        <v>40</v>
      </c>
      <c r="AC4480">
        <v>0.52530000000001498</v>
      </c>
      <c r="AD4480">
        <v>-0.23588729999999999</v>
      </c>
      <c r="AE4480">
        <v>-0.13580000000001699</v>
      </c>
      <c r="AF4480">
        <v>0.109111549547547</v>
      </c>
      <c r="AG4480">
        <v>-0.23588729999999999</v>
      </c>
      <c r="AH4480">
        <v>0.44308120617472002</v>
      </c>
      <c r="AI4480">
        <v>117.3360704792</v>
      </c>
      <c r="AJ4480">
        <v>76.165812994784204</v>
      </c>
      <c r="AK4480">
        <v>0.51368190917259504</v>
      </c>
      <c r="AL4480">
        <v>90.027300401911504</v>
      </c>
      <c r="AM4480">
        <v>88.061610104884096</v>
      </c>
      <c r="AN4480">
        <v>1.0000000368434001</v>
      </c>
    </row>
    <row r="4481" spans="1:40" x14ac:dyDescent="0.25">
      <c r="A4481" t="str">
        <f>"20190312154012126"</f>
        <v>20190312154012126</v>
      </c>
      <c r="B4481" t="str">
        <f>"1552376412120775"</f>
        <v>1552376412120775</v>
      </c>
      <c r="C4481" t="s">
        <v>40</v>
      </c>
      <c r="D4481">
        <v>4.1572399999999998</v>
      </c>
      <c r="E4481">
        <v>0.54438609999999998</v>
      </c>
      <c r="F4481" t="s">
        <v>41</v>
      </c>
      <c r="G4481">
        <v>-377.3331</v>
      </c>
      <c r="H4481">
        <v>0.88085089999999999</v>
      </c>
      <c r="I4481">
        <v>214.5093</v>
      </c>
      <c r="J4481">
        <v>-377.82339999999999</v>
      </c>
      <c r="K4481">
        <v>1.1109039999999999</v>
      </c>
      <c r="L4481">
        <v>214.64240000000001</v>
      </c>
      <c r="M4481">
        <v>0.99969839999999999</v>
      </c>
      <c r="N4481">
        <v>0</v>
      </c>
      <c r="O4481">
        <v>-1.139564E-2</v>
      </c>
      <c r="P4481">
        <v>0.99875990000000003</v>
      </c>
      <c r="Q4481">
        <v>-2.2417659999999999E-2</v>
      </c>
      <c r="R4481">
        <v>-4.4459360000000003E-2</v>
      </c>
      <c r="S4481">
        <v>2.9657589999999998</v>
      </c>
      <c r="T4481">
        <v>-0.77306830000000004</v>
      </c>
      <c r="U4481">
        <v>-0.46098329999999998</v>
      </c>
      <c r="V4481">
        <v>3.3072200000000003E-2</v>
      </c>
      <c r="W4481">
        <v>-6.6069589999999997E-4</v>
      </c>
      <c r="X4481">
        <v>0.99945280000000003</v>
      </c>
      <c r="Y4481">
        <v>0.13818159999999999</v>
      </c>
      <c r="Z4481">
        <v>-1.470786E-2</v>
      </c>
      <c r="AA4481">
        <v>0.99029769999999995</v>
      </c>
      <c r="AB4481">
        <v>40</v>
      </c>
      <c r="AC4481">
        <v>0.49029999999999002</v>
      </c>
      <c r="AD4481">
        <v>-0.23005310000000001</v>
      </c>
      <c r="AE4481">
        <v>-0.13310000000001301</v>
      </c>
      <c r="AF4481">
        <v>0.105807347585418</v>
      </c>
      <c r="AG4481">
        <v>-0.23005310000000001</v>
      </c>
      <c r="AH4481">
        <v>0.40810488637693998</v>
      </c>
      <c r="AI4481">
        <v>118.619948888865</v>
      </c>
      <c r="AJ4481">
        <v>75.465232214162796</v>
      </c>
      <c r="AK4481">
        <v>0.48028035761147603</v>
      </c>
      <c r="AL4481">
        <v>90.037855087352497</v>
      </c>
      <c r="AM4481">
        <v>88.104756607210206</v>
      </c>
      <c r="AN4481">
        <v>1.0000000531798701</v>
      </c>
    </row>
    <row r="4482" spans="1:40" x14ac:dyDescent="0.25">
      <c r="A4482" t="str">
        <f>"20190312154012149"</f>
        <v>20190312154012149</v>
      </c>
      <c r="B4482" t="str">
        <f>"1552376412140296"</f>
        <v>1552376412140296</v>
      </c>
      <c r="C4482" t="s">
        <v>40</v>
      </c>
      <c r="D4482">
        <v>4.103898</v>
      </c>
      <c r="E4482">
        <v>0.54469100000000004</v>
      </c>
      <c r="F4482" t="s">
        <v>41</v>
      </c>
      <c r="G4482">
        <v>-376.97660000000002</v>
      </c>
      <c r="H4482">
        <v>0.88908869999999895</v>
      </c>
      <c r="I4482">
        <v>214.50980000000001</v>
      </c>
      <c r="J4482">
        <v>-377.41890000000001</v>
      </c>
      <c r="K4482">
        <v>1.110962</v>
      </c>
      <c r="L4482">
        <v>214.63800000000001</v>
      </c>
      <c r="M4482">
        <v>0.99969660000000005</v>
      </c>
      <c r="N4482">
        <v>0</v>
      </c>
      <c r="O4482">
        <v>-1.1236070000000001E-2</v>
      </c>
      <c r="P4482">
        <v>0.99882939999999998</v>
      </c>
      <c r="Q4482">
        <v>-2.2018800000000002E-2</v>
      </c>
      <c r="R4482">
        <v>-4.3073319999999998E-2</v>
      </c>
      <c r="S4482">
        <v>2.9656370000000001</v>
      </c>
      <c r="T4482">
        <v>-0.77681259999999996</v>
      </c>
      <c r="U4482">
        <v>-0.46392820000000001</v>
      </c>
      <c r="V4482">
        <v>3.1844850000000001E-2</v>
      </c>
      <c r="W4482" s="1">
        <v>-9.9194149999999996E-5</v>
      </c>
      <c r="X4482">
        <v>0.99949279999999996</v>
      </c>
      <c r="Y4482">
        <v>0.13922689999999999</v>
      </c>
      <c r="Z4482">
        <v>-1.4951030000000001E-2</v>
      </c>
      <c r="AA4482">
        <v>0.99014769999999996</v>
      </c>
      <c r="AB4482">
        <v>40</v>
      </c>
      <c r="AC4482">
        <v>0.44229999999998798</v>
      </c>
      <c r="AD4482">
        <v>-0.2218733</v>
      </c>
      <c r="AE4482">
        <v>-0.12819999999999199</v>
      </c>
      <c r="AF4482">
        <v>0.100006021267721</v>
      </c>
      <c r="AG4482">
        <v>-0.2218733</v>
      </c>
      <c r="AH4482">
        <v>0.36011687162744399</v>
      </c>
      <c r="AI4482">
        <v>120.695435031226</v>
      </c>
      <c r="AJ4482">
        <v>74.479794883259302</v>
      </c>
      <c r="AK4482">
        <v>0.43464137719898099</v>
      </c>
      <c r="AL4482">
        <v>90.005683406265902</v>
      </c>
      <c r="AM4482">
        <v>88.175115928906806</v>
      </c>
      <c r="AN4482">
        <v>0.99999998078142005</v>
      </c>
    </row>
    <row r="4483" spans="1:40" x14ac:dyDescent="0.25">
      <c r="A4483" t="str">
        <f>"20190312154012171"</f>
        <v>20190312154012171</v>
      </c>
      <c r="B4483" t="str">
        <f>"1552376412160794"</f>
        <v>1552376412160794</v>
      </c>
      <c r="C4483" t="s">
        <v>40</v>
      </c>
      <c r="D4483">
        <v>4.1678329999999999</v>
      </c>
      <c r="E4483">
        <v>0.54503049999999997</v>
      </c>
      <c r="F4483" t="s">
        <v>41</v>
      </c>
      <c r="G4483">
        <v>-376.6198</v>
      </c>
      <c r="H4483">
        <v>0.90206050000000004</v>
      </c>
      <c r="I4483">
        <v>214.5129</v>
      </c>
      <c r="J4483">
        <v>-377.0317</v>
      </c>
      <c r="K4483">
        <v>1.111027</v>
      </c>
      <c r="L4483">
        <v>214.63380000000001</v>
      </c>
      <c r="M4483">
        <v>0.99969479999999999</v>
      </c>
      <c r="N4483">
        <v>0</v>
      </c>
      <c r="O4483">
        <v>-1.1062890000000001E-2</v>
      </c>
      <c r="P4483">
        <v>0.99891750000000001</v>
      </c>
      <c r="Q4483">
        <v>-2.0959060000000002E-2</v>
      </c>
      <c r="R4483">
        <v>-4.1533300000000002E-2</v>
      </c>
      <c r="S4483">
        <v>2.9665219999999999</v>
      </c>
      <c r="T4483">
        <v>-0.77564069999999996</v>
      </c>
      <c r="U4483">
        <v>-0.46199040000000002</v>
      </c>
      <c r="V4483">
        <v>3.0476699999999999E-2</v>
      </c>
      <c r="W4483">
        <v>1.137559E-3</v>
      </c>
      <c r="X4483">
        <v>0.99953479999999995</v>
      </c>
      <c r="Y4483">
        <v>0.13874619999999999</v>
      </c>
      <c r="Z4483">
        <v>-1.490845E-2</v>
      </c>
      <c r="AA4483">
        <v>0.99021570000000003</v>
      </c>
      <c r="AB4483">
        <v>39</v>
      </c>
      <c r="AC4483">
        <v>0.41190000000000199</v>
      </c>
      <c r="AD4483">
        <v>-0.2089665</v>
      </c>
      <c r="AE4483">
        <v>-0.120900000000006</v>
      </c>
      <c r="AF4483">
        <v>9.4048704505655403E-2</v>
      </c>
      <c r="AG4483">
        <v>-0.2089665</v>
      </c>
      <c r="AH4483">
        <v>0.334054387719665</v>
      </c>
      <c r="AI4483">
        <v>121.053731090524</v>
      </c>
      <c r="AJ4483">
        <v>74.2761193526011</v>
      </c>
      <c r="AK4483">
        <v>0.40509812502183001</v>
      </c>
      <c r="AL4483">
        <v>89.934822654330503</v>
      </c>
      <c r="AM4483">
        <v>88.253542102297104</v>
      </c>
      <c r="AN4483">
        <v>0.99999996984720296</v>
      </c>
    </row>
    <row r="4484" spans="1:40" x14ac:dyDescent="0.25">
      <c r="A4484" t="str">
        <f>"20190312154012194"</f>
        <v>20190312154012194</v>
      </c>
      <c r="B4484" t="str">
        <f>"1552376412180312"</f>
        <v>1552376412180312</v>
      </c>
      <c r="C4484" t="s">
        <v>40</v>
      </c>
      <c r="D4484">
        <v>4.1250629999999999</v>
      </c>
      <c r="E4484">
        <v>0.54535389999999995</v>
      </c>
      <c r="F4484" t="s">
        <v>41</v>
      </c>
      <c r="G4484">
        <v>-376.26620000000003</v>
      </c>
      <c r="H4484">
        <v>0.91161700000000001</v>
      </c>
      <c r="I4484">
        <v>214.51499999999999</v>
      </c>
      <c r="J4484">
        <v>-376.63310000000001</v>
      </c>
      <c r="K4484">
        <v>1.111094</v>
      </c>
      <c r="L4484">
        <v>214.62960000000001</v>
      </c>
      <c r="M4484">
        <v>0.99969209999999997</v>
      </c>
      <c r="N4484">
        <v>0</v>
      </c>
      <c r="O4484">
        <v>-1.0868829999999999E-2</v>
      </c>
      <c r="P4484">
        <v>0.9989827</v>
      </c>
      <c r="Q4484">
        <v>-2.0344460000000002E-2</v>
      </c>
      <c r="R4484">
        <v>-4.0248529999999998E-2</v>
      </c>
      <c r="S4484">
        <v>2.9679259999999998</v>
      </c>
      <c r="T4484">
        <v>-0.77317950000000002</v>
      </c>
      <c r="U4484">
        <v>-0.4601288</v>
      </c>
      <c r="V4484">
        <v>2.9384830000000001E-2</v>
      </c>
      <c r="W4484">
        <v>1.964393E-3</v>
      </c>
      <c r="X4484">
        <v>0.99956630000000002</v>
      </c>
      <c r="Y4484">
        <v>0.13829830000000001</v>
      </c>
      <c r="Z4484">
        <v>-1.484896E-2</v>
      </c>
      <c r="AA4484">
        <v>0.99027929999999997</v>
      </c>
      <c r="AB4484">
        <v>39</v>
      </c>
      <c r="AC4484">
        <v>0.36689999999998602</v>
      </c>
      <c r="AD4484">
        <v>-0.19947699999999999</v>
      </c>
      <c r="AE4484">
        <v>-0.114600000000024</v>
      </c>
      <c r="AF4484">
        <v>8.7137073409086094E-2</v>
      </c>
      <c r="AG4484">
        <v>-0.19947699999999999</v>
      </c>
      <c r="AH4484">
        <v>0.290017822531143</v>
      </c>
      <c r="AI4484">
        <v>123.373678265617</v>
      </c>
      <c r="AJ4484">
        <v>73.276883657457901</v>
      </c>
      <c r="AK4484">
        <v>0.36262140101903201</v>
      </c>
      <c r="AL4484">
        <v>89.887448505889694</v>
      </c>
      <c r="AM4484">
        <v>88.316127719219807</v>
      </c>
      <c r="AN4484">
        <v>1.00000005758483</v>
      </c>
    </row>
    <row r="4485" spans="1:40" x14ac:dyDescent="0.25">
      <c r="A4485" t="str">
        <f>"20190312154012218"</f>
        <v>20190312154012218</v>
      </c>
      <c r="B4485" t="str">
        <f>"1552376412210568"</f>
        <v>1552376412210568</v>
      </c>
      <c r="C4485" t="s">
        <v>40</v>
      </c>
      <c r="D4485">
        <v>4.1761949999999999</v>
      </c>
      <c r="E4485">
        <v>0.54571519999999996</v>
      </c>
      <c r="F4485" t="s">
        <v>41</v>
      </c>
      <c r="G4485">
        <v>-375.9128</v>
      </c>
      <c r="H4485">
        <v>0.9237187</v>
      </c>
      <c r="I4485">
        <v>214.5179</v>
      </c>
      <c r="J4485">
        <v>-376.23430000000002</v>
      </c>
      <c r="K4485">
        <v>1.111154</v>
      </c>
      <c r="L4485">
        <v>214.62540000000001</v>
      </c>
      <c r="M4485">
        <v>0.99968900000000005</v>
      </c>
      <c r="N4485">
        <v>0</v>
      </c>
      <c r="O4485">
        <v>-1.0663499999999999E-2</v>
      </c>
      <c r="P4485">
        <v>0.99901680000000004</v>
      </c>
      <c r="Q4485">
        <v>-2.0314390000000002E-2</v>
      </c>
      <c r="R4485">
        <v>-3.9407829999999998E-2</v>
      </c>
      <c r="S4485">
        <v>2.9688720000000002</v>
      </c>
      <c r="T4485">
        <v>-0.77224399999999904</v>
      </c>
      <c r="U4485">
        <v>-0.45881650000000002</v>
      </c>
      <c r="V4485">
        <v>2.8748880000000001E-2</v>
      </c>
      <c r="W4485">
        <v>2.233329E-3</v>
      </c>
      <c r="X4485">
        <v>0.99958420000000003</v>
      </c>
      <c r="Y4485">
        <v>0.1380401</v>
      </c>
      <c r="Z4485">
        <v>-1.484688E-2</v>
      </c>
      <c r="AA4485">
        <v>0.99031539999999996</v>
      </c>
      <c r="AB4485">
        <v>39</v>
      </c>
      <c r="AC4485">
        <v>0.321500000000014</v>
      </c>
      <c r="AD4485">
        <v>-0.1874353</v>
      </c>
      <c r="AE4485">
        <v>-0.107500000000015</v>
      </c>
      <c r="AF4485">
        <v>7.9699565612105006E-2</v>
      </c>
      <c r="AG4485">
        <v>-0.1874353</v>
      </c>
      <c r="AH4485">
        <v>0.24708991752451001</v>
      </c>
      <c r="AI4485">
        <v>125.827198588594</v>
      </c>
      <c r="AJ4485">
        <v>72.122744075767102</v>
      </c>
      <c r="AK4485">
        <v>0.32021467765722</v>
      </c>
      <c r="AL4485">
        <v>89.872039571421794</v>
      </c>
      <c r="AM4485">
        <v>88.352579464810205</v>
      </c>
      <c r="AN4485">
        <v>1.00000002937465</v>
      </c>
    </row>
    <row r="4486" spans="1:40" x14ac:dyDescent="0.25">
      <c r="A4486" t="str">
        <f>"20190312154012240"</f>
        <v>20190312154012240</v>
      </c>
      <c r="B4486" t="str">
        <f>"1552376412230089"</f>
        <v>1552376412230089</v>
      </c>
      <c r="C4486" t="s">
        <v>40</v>
      </c>
      <c r="D4486">
        <v>4.1736190000000004</v>
      </c>
      <c r="E4486">
        <v>0.54595109999999902</v>
      </c>
      <c r="F4486" t="s">
        <v>41</v>
      </c>
      <c r="G4486">
        <v>-375.25209999999998</v>
      </c>
      <c r="H4486">
        <v>0.85539449999999995</v>
      </c>
      <c r="I4486">
        <v>214.47319999999999</v>
      </c>
      <c r="J4486">
        <v>-375.84800000000001</v>
      </c>
      <c r="K4486">
        <v>1.11121</v>
      </c>
      <c r="L4486">
        <v>214.6216</v>
      </c>
      <c r="M4486">
        <v>0.99968579999999996</v>
      </c>
      <c r="N4486">
        <v>0</v>
      </c>
      <c r="O4486">
        <v>-1.045688E-2</v>
      </c>
      <c r="P4486">
        <v>0.99901580000000001</v>
      </c>
      <c r="Q4486">
        <v>-2.0766280000000002E-2</v>
      </c>
      <c r="R4486">
        <v>-3.9195519999999998E-2</v>
      </c>
      <c r="S4486">
        <v>2.9691160000000001</v>
      </c>
      <c r="T4486">
        <v>-0.77316450000000003</v>
      </c>
      <c r="U4486">
        <v>-0.45932010000000001</v>
      </c>
      <c r="V4486">
        <v>2.8743339999999999E-2</v>
      </c>
      <c r="W4486">
        <v>2.019229E-3</v>
      </c>
      <c r="X4486">
        <v>0.99958480000000005</v>
      </c>
      <c r="Y4486">
        <v>0.13836989999999999</v>
      </c>
      <c r="Z4486">
        <v>-1.495727E-2</v>
      </c>
      <c r="AA4486">
        <v>0.99026760000000003</v>
      </c>
      <c r="AB4486">
        <v>39</v>
      </c>
      <c r="AC4486">
        <v>0.59590000000002796</v>
      </c>
      <c r="AD4486">
        <v>-0.25581549999999997</v>
      </c>
      <c r="AE4486">
        <v>-0.148400000000009</v>
      </c>
      <c r="AF4486">
        <v>0.121137930069739</v>
      </c>
      <c r="AG4486">
        <v>-0.25581549999999997</v>
      </c>
      <c r="AH4486">
        <v>0.50907905590732105</v>
      </c>
      <c r="AI4486">
        <v>116.052012228916</v>
      </c>
      <c r="AJ4486">
        <v>76.615103988396896</v>
      </c>
      <c r="AK4486">
        <v>0.58247528128266501</v>
      </c>
      <c r="AL4486">
        <v>89.884306623503505</v>
      </c>
      <c r="AM4486">
        <v>88.3528977411884</v>
      </c>
      <c r="AN4486">
        <v>1.0000000146355701</v>
      </c>
    </row>
    <row r="4487" spans="1:40" x14ac:dyDescent="0.25">
      <c r="A4487" t="str">
        <f>"20190312154012262"</f>
        <v>20190312154012262</v>
      </c>
      <c r="B4487" t="str">
        <f>"1552376412250584"</f>
        <v>1552376412250584</v>
      </c>
      <c r="C4487" t="s">
        <v>40</v>
      </c>
      <c r="D4487">
        <v>4.1204980000000004</v>
      </c>
      <c r="E4487">
        <v>0.54605349999999997</v>
      </c>
      <c r="F4487" t="s">
        <v>41</v>
      </c>
      <c r="G4487">
        <v>-374.90589999999997</v>
      </c>
      <c r="H4487">
        <v>0.86509530000000001</v>
      </c>
      <c r="I4487">
        <v>214.4751</v>
      </c>
      <c r="J4487">
        <v>-375.47789999999998</v>
      </c>
      <c r="K4487">
        <v>1.1112569999999999</v>
      </c>
      <c r="L4487">
        <v>214.61789999999999</v>
      </c>
      <c r="M4487">
        <v>0.99968299999999999</v>
      </c>
      <c r="N4487">
        <v>0</v>
      </c>
      <c r="O4487">
        <v>-1.025479E-2</v>
      </c>
      <c r="P4487">
        <v>0.99902899999999994</v>
      </c>
      <c r="Q4487">
        <v>-2.0258140000000001E-2</v>
      </c>
      <c r="R4487">
        <v>-3.9128650000000001E-2</v>
      </c>
      <c r="S4487">
        <v>2.96875</v>
      </c>
      <c r="T4487">
        <v>-0.77556999999999998</v>
      </c>
      <c r="U4487">
        <v>-0.46064759999999999</v>
      </c>
      <c r="V4487">
        <v>2.8877710000000001E-2</v>
      </c>
      <c r="W4487">
        <v>2.745927E-3</v>
      </c>
      <c r="X4487">
        <v>0.9995792</v>
      </c>
      <c r="Y4487">
        <v>0.13896829999999999</v>
      </c>
      <c r="Z4487">
        <v>-1.513165E-2</v>
      </c>
      <c r="AA4487">
        <v>0.99018119999999998</v>
      </c>
      <c r="AB4487">
        <v>38</v>
      </c>
      <c r="AC4487">
        <v>0.57200000000000195</v>
      </c>
      <c r="AD4487">
        <v>-0.24616169999999901</v>
      </c>
      <c r="AE4487">
        <v>-0.14279999999999399</v>
      </c>
      <c r="AF4487">
        <v>0.116597800423536</v>
      </c>
      <c r="AG4487">
        <v>-0.24616169999999901</v>
      </c>
      <c r="AH4487">
        <v>0.48830473938735702</v>
      </c>
      <c r="AI4487">
        <v>116.120111398014</v>
      </c>
      <c r="AJ4487">
        <v>76.570335018453903</v>
      </c>
      <c r="AK4487">
        <v>0.55913517875255503</v>
      </c>
      <c r="AL4487">
        <v>89.842669777427204</v>
      </c>
      <c r="AM4487">
        <v>88.345192836853002</v>
      </c>
      <c r="AN4487">
        <v>1.0000000196612799</v>
      </c>
    </row>
    <row r="4488" spans="1:40" x14ac:dyDescent="0.25">
      <c r="A4488" t="str">
        <f>"20190312154012283"</f>
        <v>20190312154012283</v>
      </c>
      <c r="B4488" t="str">
        <f>"1552376412270104"</f>
        <v>1552376412270104</v>
      </c>
      <c r="C4488" t="s">
        <v>40</v>
      </c>
      <c r="D4488">
        <v>4.1842139999999999</v>
      </c>
      <c r="E4488">
        <v>0.54613959999999995</v>
      </c>
      <c r="F4488" t="s">
        <v>41</v>
      </c>
      <c r="G4488">
        <v>-374.56229999999999</v>
      </c>
      <c r="H4488">
        <v>0.87263979999999997</v>
      </c>
      <c r="I4488">
        <v>214.4753</v>
      </c>
      <c r="J4488">
        <v>-375.11290000000002</v>
      </c>
      <c r="K4488">
        <v>1.1112919999999999</v>
      </c>
      <c r="L4488">
        <v>214.61429999999999</v>
      </c>
      <c r="M4488">
        <v>0.99968040000000002</v>
      </c>
      <c r="N4488">
        <v>0</v>
      </c>
      <c r="O4488">
        <v>-1.005354E-2</v>
      </c>
      <c r="P4488">
        <v>0.99904680000000001</v>
      </c>
      <c r="Q4488">
        <v>-1.9908249999999999E-2</v>
      </c>
      <c r="R4488">
        <v>-3.885094E-2</v>
      </c>
      <c r="S4488">
        <v>2.9691770000000002</v>
      </c>
      <c r="T4488">
        <v>-0.77391650000000001</v>
      </c>
      <c r="U4488">
        <v>-0.46113589999999999</v>
      </c>
      <c r="V4488">
        <v>2.8800760000000002E-2</v>
      </c>
      <c r="W4488">
        <v>3.2942869999999999E-3</v>
      </c>
      <c r="X4488">
        <v>0.99957969999999896</v>
      </c>
      <c r="Y4488">
        <v>0.13930629999999999</v>
      </c>
      <c r="Z4488">
        <v>-1.5192519999999999E-2</v>
      </c>
      <c r="AA4488">
        <v>0.99013280000000004</v>
      </c>
      <c r="AB4488">
        <v>38</v>
      </c>
      <c r="AC4488">
        <v>0.55060000000003095</v>
      </c>
      <c r="AD4488">
        <v>-0.23865219999999901</v>
      </c>
      <c r="AE4488">
        <v>-0.138999999999981</v>
      </c>
      <c r="AF4488">
        <v>0.113423731104611</v>
      </c>
      <c r="AG4488">
        <v>-0.23865219999999901</v>
      </c>
      <c r="AH4488">
        <v>0.46911710992750999</v>
      </c>
      <c r="AI4488">
        <v>116.31140065732799</v>
      </c>
      <c r="AJ4488">
        <v>76.407804939322403</v>
      </c>
      <c r="AK4488">
        <v>0.53841496837408898</v>
      </c>
      <c r="AL4488">
        <v>89.811250908765899</v>
      </c>
      <c r="AM4488">
        <v>88.349600759748697</v>
      </c>
      <c r="AN4488">
        <v>0.99999995637775196</v>
      </c>
    </row>
    <row r="4489" spans="1:40" x14ac:dyDescent="0.25">
      <c r="A4489" t="str">
        <f>"20190312154012306"</f>
        <v>20190312154012306</v>
      </c>
      <c r="B4489" t="str">
        <f>"1552376412300361"</f>
        <v>1552376412300361</v>
      </c>
      <c r="C4489" t="s">
        <v>40</v>
      </c>
      <c r="D4489">
        <v>4.1832699999999896</v>
      </c>
      <c r="E4489">
        <v>0.54637639999999998</v>
      </c>
      <c r="F4489" t="s">
        <v>41</v>
      </c>
      <c r="G4489">
        <v>-374.22109999999998</v>
      </c>
      <c r="H4489">
        <v>0.87926610000000005</v>
      </c>
      <c r="I4489">
        <v>214.47579999999999</v>
      </c>
      <c r="J4489">
        <v>-374.7396</v>
      </c>
      <c r="K4489">
        <v>1.111324</v>
      </c>
      <c r="L4489">
        <v>214.61080000000001</v>
      </c>
      <c r="M4489">
        <v>0.99967839999999997</v>
      </c>
      <c r="N4489">
        <v>0</v>
      </c>
      <c r="O4489">
        <v>-9.8463319999999993E-3</v>
      </c>
      <c r="P4489">
        <v>0.99906680000000003</v>
      </c>
      <c r="Q4489">
        <v>-1.9409909999999999E-2</v>
      </c>
      <c r="R4489">
        <v>-3.8585689999999999E-2</v>
      </c>
      <c r="S4489">
        <v>2.9695130000000001</v>
      </c>
      <c r="T4489">
        <v>-0.77264719999999998</v>
      </c>
      <c r="U4489">
        <v>-0.46066279999999998</v>
      </c>
      <c r="V4489">
        <v>2.8742029999999998E-2</v>
      </c>
      <c r="W4489">
        <v>3.9656689999999998E-3</v>
      </c>
      <c r="X4489">
        <v>0.999579</v>
      </c>
      <c r="Y4489">
        <v>0.13934669999999999</v>
      </c>
      <c r="Z4489">
        <v>-1.522478E-2</v>
      </c>
      <c r="AA4489">
        <v>0.99012659999999997</v>
      </c>
      <c r="AB4489">
        <v>38</v>
      </c>
      <c r="AC4489">
        <v>0.51850000000001695</v>
      </c>
      <c r="AD4489">
        <v>-0.23205789999999901</v>
      </c>
      <c r="AE4489">
        <v>-0.13500000000001899</v>
      </c>
      <c r="AF4489">
        <v>0.109370037992378</v>
      </c>
      <c r="AG4489">
        <v>-0.23205789999999901</v>
      </c>
      <c r="AH4489">
        <v>0.43769700473892598</v>
      </c>
      <c r="AI4489">
        <v>117.21968029909399</v>
      </c>
      <c r="AJ4489">
        <v>75.970435936740401</v>
      </c>
      <c r="AK4489">
        <v>0.50733750316755799</v>
      </c>
      <c r="AL4489">
        <v>89.772783308712107</v>
      </c>
      <c r="AM4489">
        <v>88.352963216284806</v>
      </c>
      <c r="AN4489">
        <v>1.0000000040300601</v>
      </c>
    </row>
    <row r="4490" spans="1:40" x14ac:dyDescent="0.25">
      <c r="A4490" t="str">
        <f>"20190312154012328"</f>
        <v>20190312154012328</v>
      </c>
      <c r="B4490" t="str">
        <f>"1552376412319884"</f>
        <v>1552376412319884</v>
      </c>
      <c r="C4490" t="s">
        <v>40</v>
      </c>
      <c r="D4490">
        <v>4.1744779999999997</v>
      </c>
      <c r="E4490">
        <v>0.5465257</v>
      </c>
      <c r="F4490" t="s">
        <v>41</v>
      </c>
      <c r="G4490">
        <v>-373.88069999999999</v>
      </c>
      <c r="H4490">
        <v>0.88767280000000004</v>
      </c>
      <c r="I4490">
        <v>214.4769</v>
      </c>
      <c r="J4490">
        <v>-374.35239999999999</v>
      </c>
      <c r="K4490">
        <v>1.1113309999999901</v>
      </c>
      <c r="L4490">
        <v>214.60720000000001</v>
      </c>
      <c r="M4490">
        <v>0.99967839999999997</v>
      </c>
      <c r="N4490">
        <v>0</v>
      </c>
      <c r="O4490">
        <v>-9.6299430000000002E-3</v>
      </c>
      <c r="P4490">
        <v>0.99908540000000001</v>
      </c>
      <c r="Q4490">
        <v>-1.9672450000000001E-2</v>
      </c>
      <c r="R4490">
        <v>-3.7969269999999999E-2</v>
      </c>
      <c r="S4490">
        <v>2.9700009999999999</v>
      </c>
      <c r="T4490">
        <v>-0.77347559999999904</v>
      </c>
      <c r="U4490">
        <v>-0.4614105</v>
      </c>
      <c r="V4490">
        <v>2.834184E-2</v>
      </c>
      <c r="W4490">
        <v>3.797824E-3</v>
      </c>
      <c r="X4490">
        <v>0.99959109999999995</v>
      </c>
      <c r="Y4490">
        <v>0.13975199999999999</v>
      </c>
      <c r="Z4490">
        <v>-1.534463E-2</v>
      </c>
      <c r="AA4490">
        <v>0.99006769999999999</v>
      </c>
      <c r="AB4490">
        <v>38</v>
      </c>
      <c r="AC4490">
        <v>0.47169999999999801</v>
      </c>
      <c r="AD4490">
        <v>-0.223658199999999</v>
      </c>
      <c r="AE4490">
        <v>-0.130300000000005</v>
      </c>
      <c r="AF4490">
        <v>0.10402189662776901</v>
      </c>
      <c r="AG4490">
        <v>-0.223658199999999</v>
      </c>
      <c r="AH4490">
        <v>0.39121519762585</v>
      </c>
      <c r="AI4490">
        <v>118.92081605615</v>
      </c>
      <c r="AJ4490">
        <v>75.109905376158494</v>
      </c>
      <c r="AK4490">
        <v>0.46248554167531702</v>
      </c>
      <c r="AL4490">
        <v>89.7824001958748</v>
      </c>
      <c r="AM4490">
        <v>88.375903033097799</v>
      </c>
      <c r="AN4490">
        <v>1.0000000252804599</v>
      </c>
    </row>
    <row r="4491" spans="1:40" x14ac:dyDescent="0.25">
      <c r="A4491" t="str">
        <f>"20190312154012362"</f>
        <v>20190312154012362</v>
      </c>
      <c r="B4491" t="str">
        <f>"1552376412350136"</f>
        <v>1552376412350136</v>
      </c>
      <c r="C4491" t="s">
        <v>40</v>
      </c>
      <c r="D4491">
        <v>4.1995620000000002</v>
      </c>
      <c r="E4491">
        <v>0.54675209999999996</v>
      </c>
      <c r="F4491" t="s">
        <v>41</v>
      </c>
      <c r="G4491">
        <v>-373.54070000000002</v>
      </c>
      <c r="H4491">
        <v>0.89933189999999996</v>
      </c>
      <c r="I4491">
        <v>214.48140000000001</v>
      </c>
      <c r="J4491">
        <v>-373.78840000000002</v>
      </c>
      <c r="K4491">
        <v>1.1112839999999999</v>
      </c>
      <c r="L4491">
        <v>214.60220000000001</v>
      </c>
      <c r="M4491">
        <v>0.99968460000000003</v>
      </c>
      <c r="N4491">
        <v>0</v>
      </c>
      <c r="O4491">
        <v>-9.3111510000000001E-3</v>
      </c>
      <c r="P4491">
        <v>0.99908629999999998</v>
      </c>
      <c r="Q4491">
        <v>-2.0462190000000002E-2</v>
      </c>
      <c r="R4491">
        <v>-3.7526400000000001E-2</v>
      </c>
      <c r="S4491">
        <v>2.9699399999999998</v>
      </c>
      <c r="T4491">
        <v>-0.77569319999999997</v>
      </c>
      <c r="U4491">
        <v>-0.46037289999999997</v>
      </c>
      <c r="V4491">
        <v>2.8218199999999999E-2</v>
      </c>
      <c r="W4491">
        <v>2.8689509999999998E-3</v>
      </c>
      <c r="X4491">
        <v>0.99959770000000003</v>
      </c>
      <c r="Y4491">
        <v>0.13969970000000001</v>
      </c>
      <c r="Z4491">
        <v>-1.546266E-2</v>
      </c>
      <c r="AA4491">
        <v>0.99007310000000004</v>
      </c>
      <c r="AB4491">
        <v>38</v>
      </c>
      <c r="AC4491">
        <v>0.247700000000008</v>
      </c>
      <c r="AD4491">
        <v>-0.2119521</v>
      </c>
      <c r="AE4491">
        <v>-0.120800000000002</v>
      </c>
      <c r="AF4491">
        <v>7.4450064979970199E-2</v>
      </c>
      <c r="AG4491">
        <v>-0.2119521</v>
      </c>
      <c r="AH4491">
        <v>0.15633888567734799</v>
      </c>
      <c r="AI4491">
        <v>140.751838174059</v>
      </c>
      <c r="AJ4491">
        <v>64.535765719207504</v>
      </c>
      <c r="AK4491">
        <v>0.27369390209642303</v>
      </c>
      <c r="AL4491">
        <v>89.835620995465604</v>
      </c>
      <c r="AM4491">
        <v>88.382994984095802</v>
      </c>
      <c r="AN4491">
        <v>1.0000000297681799</v>
      </c>
    </row>
    <row r="4492" spans="1:40" x14ac:dyDescent="0.25">
      <c r="A4492" t="str">
        <f>"20190312154012382"</f>
        <v>20190312154012382</v>
      </c>
      <c r="B4492" t="str">
        <f>"1552376412370632"</f>
        <v>1552376412370632</v>
      </c>
      <c r="C4492" t="s">
        <v>40</v>
      </c>
      <c r="D4492">
        <v>4.169225</v>
      </c>
      <c r="E4492">
        <v>0.54690780000000006</v>
      </c>
      <c r="F4492" t="s">
        <v>41</v>
      </c>
      <c r="G4492">
        <v>-372.8843</v>
      </c>
      <c r="H4492">
        <v>0.87394229999999995</v>
      </c>
      <c r="I4492">
        <v>214.46170000000001</v>
      </c>
      <c r="J4492">
        <v>-373.44799999999998</v>
      </c>
      <c r="K4492">
        <v>1.1112109999999999</v>
      </c>
      <c r="L4492">
        <v>214.5992</v>
      </c>
      <c r="M4492">
        <v>0.99969419999999998</v>
      </c>
      <c r="N4492">
        <v>0</v>
      </c>
      <c r="O4492">
        <v>-9.1193379999999994E-3</v>
      </c>
      <c r="P4492">
        <v>0.99909749999999997</v>
      </c>
      <c r="Q4492">
        <v>-1.9022569999999999E-2</v>
      </c>
      <c r="R4492">
        <v>-3.7985810000000002E-2</v>
      </c>
      <c r="S4492">
        <v>2.969452</v>
      </c>
      <c r="T4492">
        <v>-0.77961809999999998</v>
      </c>
      <c r="U4492">
        <v>-0.46107480000000001</v>
      </c>
      <c r="V4492">
        <v>2.88688E-2</v>
      </c>
      <c r="W4492">
        <v>3.9709150000000002E-3</v>
      </c>
      <c r="X4492">
        <v>0.99957530000000006</v>
      </c>
      <c r="Y4492">
        <v>0.14007999999999901</v>
      </c>
      <c r="Z4492">
        <v>-1.5638630000000001E-2</v>
      </c>
      <c r="AA4492">
        <v>0.99001669999999997</v>
      </c>
      <c r="AB4492">
        <v>37</v>
      </c>
      <c r="AC4492">
        <v>0.56370000000003895</v>
      </c>
      <c r="AD4492">
        <v>-0.237268699999999</v>
      </c>
      <c r="AE4492">
        <v>-0.13749999999998799</v>
      </c>
      <c r="AF4492">
        <v>0.113391238326138</v>
      </c>
      <c r="AG4492">
        <v>-0.237268699999999</v>
      </c>
      <c r="AH4492">
        <v>0.48399746282356199</v>
      </c>
      <c r="AI4492">
        <v>115.51529054055101</v>
      </c>
      <c r="AJ4492">
        <v>76.814513971126104</v>
      </c>
      <c r="AK4492">
        <v>0.55082443023931904</v>
      </c>
      <c r="AL4492">
        <v>89.772482726782002</v>
      </c>
      <c r="AM4492">
        <v>88.345696680474305</v>
      </c>
      <c r="AN4492">
        <v>0.99999997807473295</v>
      </c>
    </row>
    <row r="4493" spans="1:40" x14ac:dyDescent="0.25">
      <c r="A4493" t="str">
        <f>"20190312154012406"</f>
        <v>20190312154012406</v>
      </c>
      <c r="B4493" t="str">
        <f>"1552376412399913"</f>
        <v>1552376412399913</v>
      </c>
      <c r="C4493" t="s">
        <v>40</v>
      </c>
      <c r="D4493">
        <v>4.1772019999999896</v>
      </c>
      <c r="E4493">
        <v>0.54704819999999998</v>
      </c>
      <c r="F4493" t="s">
        <v>41</v>
      </c>
      <c r="G4493">
        <v>-372.55040000000002</v>
      </c>
      <c r="H4493">
        <v>0.87675170000000002</v>
      </c>
      <c r="I4493">
        <v>214.45849999999999</v>
      </c>
      <c r="J4493">
        <v>-373.05529999999999</v>
      </c>
      <c r="K4493">
        <v>1.1110869999999999</v>
      </c>
      <c r="L4493">
        <v>214.5959</v>
      </c>
      <c r="M4493">
        <v>0.9997104</v>
      </c>
      <c r="N4493">
        <v>0</v>
      </c>
      <c r="O4493">
        <v>-8.9055479999999992E-3</v>
      </c>
      <c r="P4493">
        <v>0.99917469999999997</v>
      </c>
      <c r="Q4493">
        <v>-1.640788E-2</v>
      </c>
      <c r="R4493">
        <v>-3.716527E-2</v>
      </c>
      <c r="S4493">
        <v>2.9702760000000001</v>
      </c>
      <c r="T4493">
        <v>-0.77594580000000002</v>
      </c>
      <c r="U4493">
        <v>-0.4642944</v>
      </c>
      <c r="V4493">
        <v>2.8260190000000001E-2</v>
      </c>
      <c r="W4493">
        <v>5.9621619999999896E-3</v>
      </c>
      <c r="X4493">
        <v>0.99958279999999999</v>
      </c>
      <c r="Y4493">
        <v>0.14129420000000001</v>
      </c>
      <c r="Z4493">
        <v>-1.5771690000000001E-2</v>
      </c>
      <c r="AA4493">
        <v>0.989842</v>
      </c>
      <c r="AB4493">
        <v>37</v>
      </c>
      <c r="AC4493">
        <v>0.50489999999996305</v>
      </c>
      <c r="AD4493">
        <v>-0.2343353</v>
      </c>
      <c r="AE4493">
        <v>-0.13740000000001301</v>
      </c>
      <c r="AF4493">
        <v>0.110696139566911</v>
      </c>
      <c r="AG4493">
        <v>-0.2343353</v>
      </c>
      <c r="AH4493">
        <v>0.42155761152760102</v>
      </c>
      <c r="AI4493">
        <v>118.264801249938</v>
      </c>
      <c r="AJ4493">
        <v>75.286957656508406</v>
      </c>
      <c r="AK4493">
        <v>0.49485097552491802</v>
      </c>
      <c r="AL4493">
        <v>89.6583912498524</v>
      </c>
      <c r="AM4493">
        <v>88.380565958962507</v>
      </c>
      <c r="AN4493">
        <v>0.99999997988519496</v>
      </c>
    </row>
    <row r="4494" spans="1:40" x14ac:dyDescent="0.25">
      <c r="A4494" t="str">
        <f>"20190312154012429"</f>
        <v>20190312154012429</v>
      </c>
      <c r="B4494" t="str">
        <f>"1552376412420408"</f>
        <v>1552376412420408</v>
      </c>
      <c r="C4494" t="s">
        <v>40</v>
      </c>
      <c r="D4494">
        <v>4.1515139999999997</v>
      </c>
      <c r="E4494">
        <v>0.54712620000000001</v>
      </c>
      <c r="F4494" t="s">
        <v>41</v>
      </c>
      <c r="G4494">
        <v>-372.21120000000002</v>
      </c>
      <c r="H4494">
        <v>0.89295970000000002</v>
      </c>
      <c r="I4494">
        <v>214.46420000000001</v>
      </c>
      <c r="J4494">
        <v>-372.67579999999998</v>
      </c>
      <c r="K4494">
        <v>1.1109370000000001</v>
      </c>
      <c r="L4494">
        <v>214.59280000000001</v>
      </c>
      <c r="M4494">
        <v>0.9997277</v>
      </c>
      <c r="N4494">
        <v>0</v>
      </c>
      <c r="O4494">
        <v>-8.7017789999999998E-3</v>
      </c>
      <c r="P4494">
        <v>0.99922120000000003</v>
      </c>
      <c r="Q4494">
        <v>-1.5845729999999999E-2</v>
      </c>
      <c r="R4494">
        <v>-3.6142689999999998E-2</v>
      </c>
      <c r="S4494">
        <v>2.972626</v>
      </c>
      <c r="T4494">
        <v>-0.76816680000000004</v>
      </c>
      <c r="U4494">
        <v>-0.46354679999999998</v>
      </c>
      <c r="V4494">
        <v>2.7441279999999998E-2</v>
      </c>
      <c r="W4494">
        <v>5.8167289999999996E-3</v>
      </c>
      <c r="X4494">
        <v>0.99960649999999995</v>
      </c>
      <c r="Y4494">
        <v>0.14122079999999901</v>
      </c>
      <c r="Z4494">
        <v>-1.564927E-2</v>
      </c>
      <c r="AA4494">
        <v>0.98985449999999997</v>
      </c>
      <c r="AB4494">
        <v>37</v>
      </c>
      <c r="AC4494">
        <v>0.46459999999996099</v>
      </c>
      <c r="AD4494">
        <v>-0.21797730000000001</v>
      </c>
      <c r="AE4494">
        <v>-0.12860000000000499</v>
      </c>
      <c r="AF4494">
        <v>0.10340865998347</v>
      </c>
      <c r="AG4494">
        <v>-0.21797730000000001</v>
      </c>
      <c r="AH4494">
        <v>0.38664852802400901</v>
      </c>
      <c r="AI4494">
        <v>118.573561298958</v>
      </c>
      <c r="AJ4494">
        <v>75.026756606061994</v>
      </c>
      <c r="AK4494">
        <v>0.45574613382671703</v>
      </c>
      <c r="AL4494">
        <v>89.666724100519801</v>
      </c>
      <c r="AM4494">
        <v>88.427506479793493</v>
      </c>
      <c r="AN4494">
        <v>1.0000000065132699</v>
      </c>
    </row>
    <row r="4495" spans="1:40" x14ac:dyDescent="0.25">
      <c r="A4495" t="str">
        <f>"20190312154012450"</f>
        <v>20190312154012450</v>
      </c>
      <c r="B4495" t="str">
        <f>"1552376412439928"</f>
        <v>1552376412439928</v>
      </c>
      <c r="C4495" t="s">
        <v>40</v>
      </c>
      <c r="D4495">
        <v>4.1419949999999996</v>
      </c>
      <c r="E4495">
        <v>0.54710019999999904</v>
      </c>
      <c r="F4495" t="s">
        <v>41</v>
      </c>
      <c r="G4495">
        <v>-371.87459999999999</v>
      </c>
      <c r="H4495">
        <v>0.90436110000000003</v>
      </c>
      <c r="I4495">
        <v>214.46799999999999</v>
      </c>
      <c r="J4495">
        <v>-372.31479999999999</v>
      </c>
      <c r="K4495">
        <v>1.1108049999999901</v>
      </c>
      <c r="L4495">
        <v>214.59</v>
      </c>
      <c r="M4495">
        <v>0.99974410000000002</v>
      </c>
      <c r="N4495">
        <v>0</v>
      </c>
      <c r="O4495">
        <v>-8.5013859999999997E-3</v>
      </c>
      <c r="P4495">
        <v>0.99923150000000005</v>
      </c>
      <c r="Q4495">
        <v>-1.7286909999999999E-2</v>
      </c>
      <c r="R4495">
        <v>-3.5183310000000002E-2</v>
      </c>
      <c r="S4495">
        <v>2.973541</v>
      </c>
      <c r="T4495">
        <v>-0.76675130000000002</v>
      </c>
      <c r="U4495">
        <v>-0.46133420000000003</v>
      </c>
      <c r="V4495">
        <v>2.6683490000000001E-2</v>
      </c>
      <c r="W4495">
        <v>3.6914909999999999E-3</v>
      </c>
      <c r="X4495">
        <v>0.99963709999999995</v>
      </c>
      <c r="Y4495">
        <v>0.1406818</v>
      </c>
      <c r="Z4495">
        <v>-1.560017E-2</v>
      </c>
      <c r="AA4495">
        <v>0.98993189999999998</v>
      </c>
      <c r="AB4495">
        <v>37</v>
      </c>
      <c r="AC4495">
        <v>0.44020000000000398</v>
      </c>
      <c r="AD4495">
        <v>-0.20644389999999899</v>
      </c>
      <c r="AE4495">
        <v>-0.122000000000014</v>
      </c>
      <c r="AF4495">
        <v>9.8195830787165997E-2</v>
      </c>
      <c r="AG4495">
        <v>-0.20644389999999899</v>
      </c>
      <c r="AH4495">
        <v>0.366386553530683</v>
      </c>
      <c r="AI4495">
        <v>118.557303300743</v>
      </c>
      <c r="AJ4495">
        <v>74.996666169914207</v>
      </c>
      <c r="AK4495">
        <v>0.43185716578434102</v>
      </c>
      <c r="AL4495">
        <v>89.788492661772196</v>
      </c>
      <c r="AM4495">
        <v>88.470956710645297</v>
      </c>
      <c r="AN4495">
        <v>0.999999983720396</v>
      </c>
    </row>
    <row r="4496" spans="1:40" x14ac:dyDescent="0.25">
      <c r="A4496" t="str">
        <f>"20190312154012473"</f>
        <v>20190312154012473</v>
      </c>
      <c r="B4496" t="str">
        <f>"1552376412460424"</f>
        <v>1552376412460424</v>
      </c>
      <c r="C4496" t="s">
        <v>40</v>
      </c>
      <c r="D4496">
        <v>4.1271899999999997</v>
      </c>
      <c r="E4496">
        <v>0.54709200000000002</v>
      </c>
      <c r="F4496" t="s">
        <v>41</v>
      </c>
      <c r="G4496">
        <v>-371.54079999999999</v>
      </c>
      <c r="H4496">
        <v>0.91006169999999997</v>
      </c>
      <c r="I4496">
        <v>214.4708</v>
      </c>
      <c r="J4496">
        <v>-371.95280000000002</v>
      </c>
      <c r="K4496">
        <v>1.1106879999999999</v>
      </c>
      <c r="L4496">
        <v>214.58709999999999</v>
      </c>
      <c r="M4496">
        <v>0.99975939999999996</v>
      </c>
      <c r="N4496">
        <v>0</v>
      </c>
      <c r="O4496">
        <v>-8.2872339999999992E-3</v>
      </c>
      <c r="P4496">
        <v>0.99921720000000003</v>
      </c>
      <c r="Q4496">
        <v>-1.855658E-2</v>
      </c>
      <c r="R4496">
        <v>-3.4939489999999997E-2</v>
      </c>
      <c r="S4496">
        <v>2.972839</v>
      </c>
      <c r="T4496">
        <v>-0.77103449999999996</v>
      </c>
      <c r="U4496">
        <v>-0.45773320000000001</v>
      </c>
      <c r="V4496">
        <v>2.6655000000000002E-2</v>
      </c>
      <c r="W4496">
        <v>1.759353E-3</v>
      </c>
      <c r="X4496">
        <v>0.99964310000000001</v>
      </c>
      <c r="Y4496">
        <v>0.139732299999999</v>
      </c>
      <c r="Z4496">
        <v>-1.5623389999999999E-2</v>
      </c>
      <c r="AA4496">
        <v>0.99006609999999995</v>
      </c>
      <c r="AB4496">
        <v>37</v>
      </c>
      <c r="AC4496">
        <v>0.41200000000003401</v>
      </c>
      <c r="AD4496">
        <v>-0.20062629999999901</v>
      </c>
      <c r="AE4496">
        <v>-0.116299999999995</v>
      </c>
      <c r="AF4496">
        <v>9.2553698916974306E-2</v>
      </c>
      <c r="AG4496">
        <v>-0.20062629999999901</v>
      </c>
      <c r="AH4496">
        <v>0.338587093518744</v>
      </c>
      <c r="AI4496">
        <v>119.750991186044</v>
      </c>
      <c r="AJ4496">
        <v>74.711532663129105</v>
      </c>
      <c r="AK4496">
        <v>0.40429978893436802</v>
      </c>
      <c r="AL4496">
        <v>89.8991964419738</v>
      </c>
      <c r="AM4496">
        <v>88.472597661949195</v>
      </c>
      <c r="AN4496">
        <v>0.999999955862793</v>
      </c>
    </row>
    <row r="4497" spans="1:40" x14ac:dyDescent="0.25">
      <c r="A4497" t="str">
        <f>"20190312154012494"</f>
        <v>20190312154012494</v>
      </c>
      <c r="B4497" t="str">
        <f>"1552376412490681"</f>
        <v>1552376412490681</v>
      </c>
      <c r="C4497" t="s">
        <v>40</v>
      </c>
      <c r="D4497">
        <v>4.1835449999999996</v>
      </c>
      <c r="E4497">
        <v>0.5472186</v>
      </c>
      <c r="F4497" t="s">
        <v>41</v>
      </c>
      <c r="G4497">
        <v>-371.20690000000002</v>
      </c>
      <c r="H4497">
        <v>0.91621850000000005</v>
      </c>
      <c r="I4497">
        <v>214.47219999999999</v>
      </c>
      <c r="J4497">
        <v>-371.58659999999998</v>
      </c>
      <c r="K4497">
        <v>1.1106119999999999</v>
      </c>
      <c r="L4497">
        <v>214.58430000000001</v>
      </c>
      <c r="M4497">
        <v>0.99977389999999999</v>
      </c>
      <c r="N4497">
        <v>0</v>
      </c>
      <c r="O4497">
        <v>-8.0630549999999995E-3</v>
      </c>
      <c r="P4497">
        <v>0.99921020000000005</v>
      </c>
      <c r="Q4497">
        <v>-1.8822200000000001E-2</v>
      </c>
      <c r="R4497">
        <v>-3.4995060000000001E-2</v>
      </c>
      <c r="S4497">
        <v>2.9719540000000002</v>
      </c>
      <c r="T4497">
        <v>-0.77493809999999996</v>
      </c>
      <c r="U4497">
        <v>-0.45661930000000001</v>
      </c>
      <c r="V4497">
        <v>2.6935270000000001E-2</v>
      </c>
      <c r="W4497">
        <v>8.6194679999999902E-4</v>
      </c>
      <c r="X4497">
        <v>0.99963679999999999</v>
      </c>
      <c r="Y4497">
        <v>0.139588299999999</v>
      </c>
      <c r="Z4497">
        <v>-1.5743719999999999E-2</v>
      </c>
      <c r="AA4497">
        <v>0.99008450000000003</v>
      </c>
      <c r="AB4497">
        <v>37</v>
      </c>
      <c r="AC4497">
        <v>0.37969999999995702</v>
      </c>
      <c r="AD4497">
        <v>-0.1943935</v>
      </c>
      <c r="AE4497">
        <v>-0.112100000000026</v>
      </c>
      <c r="AF4497">
        <v>8.7853258502733594E-2</v>
      </c>
      <c r="AG4497">
        <v>-0.1943935</v>
      </c>
      <c r="AH4497">
        <v>0.30665804461141899</v>
      </c>
      <c r="AI4497">
        <v>121.357918227347</v>
      </c>
      <c r="AJ4497">
        <v>74.0137297330092</v>
      </c>
      <c r="AK4497">
        <v>0.37355880955573401</v>
      </c>
      <c r="AL4497">
        <v>89.950614079675901</v>
      </c>
      <c r="AM4497">
        <v>88.456535451672096</v>
      </c>
      <c r="AN4497">
        <v>0.99999999181824895</v>
      </c>
    </row>
    <row r="4498" spans="1:40" x14ac:dyDescent="0.25">
      <c r="A4498" t="str">
        <f>"20190312154012518"</f>
        <v>20190312154012518</v>
      </c>
      <c r="B4498" t="str">
        <f>"1552376412510201"</f>
        <v>1552376412510201</v>
      </c>
      <c r="C4498" t="s">
        <v>40</v>
      </c>
      <c r="D4498">
        <v>4.1464730000000003</v>
      </c>
      <c r="E4498">
        <v>0.54727230000000004</v>
      </c>
      <c r="F4498" t="s">
        <v>41</v>
      </c>
      <c r="G4498">
        <v>-370.8725</v>
      </c>
      <c r="H4498">
        <v>0.92415849999999999</v>
      </c>
      <c r="I4498">
        <v>214.47380000000001</v>
      </c>
      <c r="J4498">
        <v>-371.20159999999998</v>
      </c>
      <c r="K4498">
        <v>1.1105659999999999</v>
      </c>
      <c r="L4498">
        <v>214.5814</v>
      </c>
      <c r="M4498">
        <v>0.99978750000000005</v>
      </c>
      <c r="N4498">
        <v>0</v>
      </c>
      <c r="O4498">
        <v>-7.8279119999999994E-3</v>
      </c>
      <c r="P4498">
        <v>0.99923989999999996</v>
      </c>
      <c r="Q4498">
        <v>-1.759196E-2</v>
      </c>
      <c r="R4498">
        <v>-3.478556E-2</v>
      </c>
      <c r="S4498">
        <v>2.9717099999999999</v>
      </c>
      <c r="T4498">
        <v>-0.77594589999999997</v>
      </c>
      <c r="U4498">
        <v>-0.45797729999999998</v>
      </c>
      <c r="V4498">
        <v>2.696053E-2</v>
      </c>
      <c r="W4498">
        <v>1.479927E-3</v>
      </c>
      <c r="X4498">
        <v>0.99963539999999995</v>
      </c>
      <c r="Y4498">
        <v>0.140235</v>
      </c>
      <c r="Z4498">
        <v>-1.5906899999999901E-2</v>
      </c>
      <c r="AA4498">
        <v>0.9899905</v>
      </c>
      <c r="AB4498">
        <v>37</v>
      </c>
      <c r="AC4498">
        <v>0.32909999999998202</v>
      </c>
      <c r="AD4498">
        <v>-0.1864075</v>
      </c>
      <c r="AE4498">
        <v>-0.10759999999999</v>
      </c>
      <c r="AF4498">
        <v>8.1420786815304694E-2</v>
      </c>
      <c r="AG4498">
        <v>-0.1864075</v>
      </c>
      <c r="AH4498">
        <v>0.25579255568949999</v>
      </c>
      <c r="AI4498">
        <v>124.77667109324599</v>
      </c>
      <c r="AJ4498">
        <v>72.343317078380906</v>
      </c>
      <c r="AK4498">
        <v>0.32681329857892699</v>
      </c>
      <c r="AL4498">
        <v>89.915206397676002</v>
      </c>
      <c r="AM4498">
        <v>88.455086523207797</v>
      </c>
      <c r="AN4498">
        <v>0.99999999664748296</v>
      </c>
    </row>
    <row r="4499" spans="1:40" x14ac:dyDescent="0.25">
      <c r="A4499" t="str">
        <f>"20190312154012539"</f>
        <v>20190312154012539</v>
      </c>
      <c r="B4499" t="str">
        <f>"1552376412530696"</f>
        <v>1552376412530696</v>
      </c>
      <c r="C4499" t="s">
        <v>40</v>
      </c>
      <c r="D4499">
        <v>4.1482340000000004</v>
      </c>
      <c r="E4499">
        <v>0.54734609999999995</v>
      </c>
      <c r="F4499" t="s">
        <v>41</v>
      </c>
      <c r="G4499">
        <v>-370.23899999999998</v>
      </c>
      <c r="H4499">
        <v>0.86053469999999999</v>
      </c>
      <c r="I4499">
        <v>214.43270000000001</v>
      </c>
      <c r="J4499">
        <v>-370.83969999999999</v>
      </c>
      <c r="K4499">
        <v>1.110557</v>
      </c>
      <c r="L4499">
        <v>214.5788</v>
      </c>
      <c r="M4499">
        <v>0.99979910000000005</v>
      </c>
      <c r="N4499">
        <v>0</v>
      </c>
      <c r="O4499">
        <v>-7.6138079999999997E-3</v>
      </c>
      <c r="P4499">
        <v>0.99928870000000003</v>
      </c>
      <c r="Q4499">
        <v>-1.6513730000000001E-2</v>
      </c>
      <c r="R4499">
        <v>-3.3904299999999998E-2</v>
      </c>
      <c r="S4499">
        <v>2.9727169999999998</v>
      </c>
      <c r="T4499">
        <v>-0.77213609999999999</v>
      </c>
      <c r="U4499">
        <v>-0.45849609999999902</v>
      </c>
      <c r="V4499">
        <v>2.6292739999999998E-2</v>
      </c>
      <c r="W4499">
        <v>2.038303E-3</v>
      </c>
      <c r="X4499">
        <v>0.99965219999999999</v>
      </c>
      <c r="Y4499">
        <v>0.14059150000000001</v>
      </c>
      <c r="Z4499">
        <v>-1.592563E-2</v>
      </c>
      <c r="AA4499">
        <v>0.98993960000000003</v>
      </c>
      <c r="AB4499">
        <v>37</v>
      </c>
      <c r="AC4499">
        <v>0.60069999999996004</v>
      </c>
      <c r="AD4499">
        <v>-0.25002229999999998</v>
      </c>
      <c r="AE4499">
        <v>-0.14609999999998899</v>
      </c>
      <c r="AF4499">
        <v>0.121627668583438</v>
      </c>
      <c r="AG4499">
        <v>-0.25002229999999998</v>
      </c>
      <c r="AH4499">
        <v>0.51720065209958899</v>
      </c>
      <c r="AI4499">
        <v>115.200619643152</v>
      </c>
      <c r="AJ4499">
        <v>76.766471491448101</v>
      </c>
      <c r="AK4499">
        <v>0.58719754324636997</v>
      </c>
      <c r="AL4499">
        <v>89.883213758918004</v>
      </c>
      <c r="AM4499">
        <v>88.493360197726204</v>
      </c>
      <c r="AN4499">
        <v>0.99999999191033295</v>
      </c>
    </row>
    <row r="4500" spans="1:40" x14ac:dyDescent="0.25">
      <c r="A4500" t="str">
        <f>"20190312154012561"</f>
        <v>20190312154012561</v>
      </c>
      <c r="B4500" t="str">
        <f>"1552376412550216"</f>
        <v>1552376412550216</v>
      </c>
      <c r="C4500" t="s">
        <v>40</v>
      </c>
      <c r="D4500">
        <v>4.1417149999999996</v>
      </c>
      <c r="E4500">
        <v>0.54742150000000001</v>
      </c>
      <c r="F4500" t="s">
        <v>41</v>
      </c>
      <c r="G4500">
        <v>-369.90570000000002</v>
      </c>
      <c r="H4500">
        <v>0.86902760000000001</v>
      </c>
      <c r="I4500">
        <v>214.4349</v>
      </c>
      <c r="J4500">
        <v>-370.47820000000002</v>
      </c>
      <c r="K4500">
        <v>1.1105609999999999</v>
      </c>
      <c r="L4500">
        <v>214.5762</v>
      </c>
      <c r="M4500">
        <v>0.99980910000000001</v>
      </c>
      <c r="N4500">
        <v>0</v>
      </c>
      <c r="O4500">
        <v>-7.4037159999999899E-3</v>
      </c>
      <c r="P4500">
        <v>0.99934880000000004</v>
      </c>
      <c r="Q4500">
        <v>-1.60567E-2</v>
      </c>
      <c r="R4500">
        <v>-3.2315959999999998E-2</v>
      </c>
      <c r="S4500">
        <v>2.973938</v>
      </c>
      <c r="T4500">
        <v>-0.76913319999999996</v>
      </c>
      <c r="U4500">
        <v>-0.45626830000000002</v>
      </c>
      <c r="V4500">
        <v>2.491411E-2</v>
      </c>
      <c r="W4500">
        <v>2.0282899999999999E-3</v>
      </c>
      <c r="X4500">
        <v>0.99968760000000001</v>
      </c>
      <c r="Y4500">
        <v>0.14005989999999999</v>
      </c>
      <c r="Z4500">
        <v>-1.584617E-2</v>
      </c>
      <c r="AA4500">
        <v>0.99001620000000001</v>
      </c>
      <c r="AB4500">
        <v>37</v>
      </c>
      <c r="AC4500">
        <v>0.57249999999999002</v>
      </c>
      <c r="AD4500">
        <v>-0.24153340000000001</v>
      </c>
      <c r="AE4500">
        <v>-0.14130000000000101</v>
      </c>
      <c r="AF4500">
        <v>0.117365956649399</v>
      </c>
      <c r="AG4500">
        <v>-0.24153340000000001</v>
      </c>
      <c r="AH4500">
        <v>0.49113190425216502</v>
      </c>
      <c r="AI4500">
        <v>115.562777285244</v>
      </c>
      <c r="AJ4500">
        <v>76.560062025682996</v>
      </c>
      <c r="AK4500">
        <v>0.55975324784242797</v>
      </c>
      <c r="AL4500">
        <v>89.883787470919202</v>
      </c>
      <c r="AM4500">
        <v>88.572376081863297</v>
      </c>
      <c r="AN4500">
        <v>1.00000006221558</v>
      </c>
    </row>
    <row r="4501" spans="1:40" x14ac:dyDescent="0.25">
      <c r="A4501" t="str">
        <f>"20190312154012584"</f>
        <v>20190312154012584</v>
      </c>
      <c r="B4501" t="str">
        <f>"1552376412570718"</f>
        <v>1552376412570718</v>
      </c>
      <c r="C4501" t="s">
        <v>40</v>
      </c>
      <c r="D4501">
        <v>4.1137940000000004</v>
      </c>
      <c r="E4501">
        <v>0.54747349999999995</v>
      </c>
      <c r="F4501" t="s">
        <v>41</v>
      </c>
      <c r="G4501">
        <v>-369.57319999999999</v>
      </c>
      <c r="H4501">
        <v>0.87699289999999996</v>
      </c>
      <c r="I4501">
        <v>214.4384</v>
      </c>
      <c r="J4501">
        <v>-370.1146</v>
      </c>
      <c r="K4501">
        <v>1.1105689999999999</v>
      </c>
      <c r="L4501">
        <v>214.57380000000001</v>
      </c>
      <c r="M4501">
        <v>0.99981830000000005</v>
      </c>
      <c r="N4501">
        <v>0</v>
      </c>
      <c r="O4501">
        <v>-7.1944959999999999E-3</v>
      </c>
      <c r="P4501">
        <v>0.99941999999999998</v>
      </c>
      <c r="Q4501">
        <v>-1.560712E-2</v>
      </c>
      <c r="R4501">
        <v>-3.027237E-2</v>
      </c>
      <c r="S4501">
        <v>2.9749759999999998</v>
      </c>
      <c r="T4501">
        <v>-0.76776359999999999</v>
      </c>
      <c r="U4501">
        <v>-0.45234679999999999</v>
      </c>
      <c r="V4501">
        <v>2.3079019999999999E-2</v>
      </c>
      <c r="W4501">
        <v>2.0583300000000001E-3</v>
      </c>
      <c r="X4501">
        <v>0.9997315</v>
      </c>
      <c r="Y4501">
        <v>0.13898440000000001</v>
      </c>
      <c r="Z4501">
        <v>-1.5732079999999999E-2</v>
      </c>
      <c r="AA4501">
        <v>0.99016959999999998</v>
      </c>
      <c r="AB4501">
        <v>37</v>
      </c>
      <c r="AC4501">
        <v>0.54140000000000998</v>
      </c>
      <c r="AD4501">
        <v>-0.23357610000000001</v>
      </c>
      <c r="AE4501">
        <v>-0.13540000000000399</v>
      </c>
      <c r="AF4501">
        <v>0.111898884214749</v>
      </c>
      <c r="AG4501">
        <v>-0.23357610000000001</v>
      </c>
      <c r="AH4501">
        <v>0.46151441558145201</v>
      </c>
      <c r="AI4501">
        <v>116.190588344654</v>
      </c>
      <c r="AJ4501">
        <v>76.371058509272203</v>
      </c>
      <c r="AK4501">
        <v>0.52922085235674998</v>
      </c>
      <c r="AL4501">
        <v>89.882066291929704</v>
      </c>
      <c r="AM4501">
        <v>88.677549307608899</v>
      </c>
      <c r="AN4501">
        <v>0.99999997498939897</v>
      </c>
    </row>
    <row r="4502" spans="1:40" x14ac:dyDescent="0.25">
      <c r="A4502" t="str">
        <f>"20190312154012606"</f>
        <v>20190312154012606</v>
      </c>
      <c r="B4502" t="str">
        <f>"1552376412599993"</f>
        <v>1552376412599993</v>
      </c>
      <c r="C4502" t="s">
        <v>40</v>
      </c>
      <c r="D4502">
        <v>4.1071030000000004</v>
      </c>
      <c r="E4502">
        <v>0.54754019999999903</v>
      </c>
      <c r="F4502" t="s">
        <v>41</v>
      </c>
      <c r="G4502">
        <v>-369.24059999999997</v>
      </c>
      <c r="H4502">
        <v>0.88570590000000005</v>
      </c>
      <c r="I4502">
        <v>214.44200000000001</v>
      </c>
      <c r="J4502">
        <v>-369.73719999999997</v>
      </c>
      <c r="K4502">
        <v>1.1105750000000001</v>
      </c>
      <c r="L4502">
        <v>214.57130000000001</v>
      </c>
      <c r="M4502">
        <v>0.99982660000000001</v>
      </c>
      <c r="N4502">
        <v>0</v>
      </c>
      <c r="O4502">
        <v>-6.9763759999999899E-3</v>
      </c>
      <c r="P4502">
        <v>0.99950220000000001</v>
      </c>
      <c r="Q4502">
        <v>-1.457075E-2</v>
      </c>
      <c r="R4502">
        <v>-2.798904E-2</v>
      </c>
      <c r="S4502">
        <v>2.9762569999999999</v>
      </c>
      <c r="T4502">
        <v>-0.76581080000000001</v>
      </c>
      <c r="U4502">
        <v>-0.447052</v>
      </c>
      <c r="V4502">
        <v>2.10131E-2</v>
      </c>
      <c r="W4502">
        <v>2.7096870000000001E-3</v>
      </c>
      <c r="X4502">
        <v>0.99977550000000004</v>
      </c>
      <c r="Y4502">
        <v>0.13747879999999901</v>
      </c>
      <c r="Z4502">
        <v>-1.5554170000000001E-2</v>
      </c>
      <c r="AA4502">
        <v>0.9903826</v>
      </c>
      <c r="AB4502">
        <v>37</v>
      </c>
      <c r="AC4502">
        <v>0.49659999999999999</v>
      </c>
      <c r="AD4502">
        <v>-0.22486909999999999</v>
      </c>
      <c r="AE4502">
        <v>-0.1293</v>
      </c>
      <c r="AF4502">
        <v>0.105561379879623</v>
      </c>
      <c r="AG4502">
        <v>-0.22486909999999999</v>
      </c>
      <c r="AH4502">
        <v>0.41734849435438298</v>
      </c>
      <c r="AI4502">
        <v>117.58050855177601</v>
      </c>
      <c r="AJ4502">
        <v>75.8056803522894</v>
      </c>
      <c r="AK4502">
        <v>0.48568413891825901</v>
      </c>
      <c r="AL4502">
        <v>89.844746176697598</v>
      </c>
      <c r="AM4502">
        <v>88.795944981060401</v>
      </c>
      <c r="AN4502">
        <v>0.999999971587748</v>
      </c>
    </row>
    <row r="4503" spans="1:40" x14ac:dyDescent="0.25">
      <c r="A4503" t="str">
        <f>"20190312154012630"</f>
        <v>20190312154012630</v>
      </c>
      <c r="B4503" t="str">
        <f>"1552376412620488"</f>
        <v>1552376412620488</v>
      </c>
      <c r="C4503" t="s">
        <v>40</v>
      </c>
      <c r="D4503">
        <v>4.1399819999999998</v>
      </c>
      <c r="E4503">
        <v>0.54759950000000002</v>
      </c>
      <c r="F4503" t="s">
        <v>41</v>
      </c>
      <c r="G4503">
        <v>-368.90690000000001</v>
      </c>
      <c r="H4503">
        <v>0.89804399999999995</v>
      </c>
      <c r="I4503">
        <v>214.44820000000001</v>
      </c>
      <c r="J4503">
        <v>-369.36180000000002</v>
      </c>
      <c r="K4503">
        <v>1.110574</v>
      </c>
      <c r="L4503">
        <v>214.56890000000001</v>
      </c>
      <c r="M4503">
        <v>0.99983370000000005</v>
      </c>
      <c r="N4503">
        <v>0</v>
      </c>
      <c r="O4503">
        <v>-6.7566079999999999E-3</v>
      </c>
      <c r="P4503">
        <v>0.99956060000000002</v>
      </c>
      <c r="Q4503">
        <v>-1.3081250000000001E-2</v>
      </c>
      <c r="R4503">
        <v>-2.6600829999999999E-2</v>
      </c>
      <c r="S4503">
        <v>2.978027</v>
      </c>
      <c r="T4503">
        <v>-0.76230810000000004</v>
      </c>
      <c r="U4503">
        <v>-0.44097900000000001</v>
      </c>
      <c r="V4503">
        <v>1.984358E-2</v>
      </c>
      <c r="W4503">
        <v>3.8621969999999999E-3</v>
      </c>
      <c r="X4503">
        <v>0.99979560000000001</v>
      </c>
      <c r="Y4503">
        <v>0.13572300000000001</v>
      </c>
      <c r="Z4503">
        <v>-1.531367E-2</v>
      </c>
      <c r="AA4503">
        <v>0.99062850000000002</v>
      </c>
      <c r="AB4503">
        <v>37</v>
      </c>
      <c r="AC4503">
        <v>0.45490000000000902</v>
      </c>
      <c r="AD4503">
        <v>-0.212529999999999</v>
      </c>
      <c r="AE4503">
        <v>-0.120699999999999</v>
      </c>
      <c r="AF4503">
        <v>9.7700120416527897E-2</v>
      </c>
      <c r="AG4503">
        <v>-0.212529999999999</v>
      </c>
      <c r="AH4503">
        <v>0.378517586114683</v>
      </c>
      <c r="AI4503">
        <v>118.53124059683</v>
      </c>
      <c r="AJ4503">
        <v>75.527128322698104</v>
      </c>
      <c r="AK4503">
        <v>0.44496053468537</v>
      </c>
      <c r="AL4503">
        <v>89.778711853920001</v>
      </c>
      <c r="AM4503">
        <v>88.862963462877005</v>
      </c>
      <c r="AN4503">
        <v>0.99999996300612004</v>
      </c>
    </row>
    <row r="4504" spans="1:40" x14ac:dyDescent="0.25">
      <c r="A4504" t="str">
        <f>"20190312154012651"</f>
        <v>20190312154012651</v>
      </c>
      <c r="B4504" t="str">
        <f>"1552376412640009"</f>
        <v>1552376412640009</v>
      </c>
      <c r="C4504" t="s">
        <v>40</v>
      </c>
      <c r="D4504">
        <v>4.1025900000000002</v>
      </c>
      <c r="E4504">
        <v>0.54765600000000003</v>
      </c>
      <c r="F4504" t="s">
        <v>41</v>
      </c>
      <c r="G4504">
        <v>-368.5736</v>
      </c>
      <c r="H4504">
        <v>0.91017199999999998</v>
      </c>
      <c r="I4504">
        <v>214.45269999999999</v>
      </c>
      <c r="J4504">
        <v>-369.00380000000001</v>
      </c>
      <c r="K4504">
        <v>1.1105750000000001</v>
      </c>
      <c r="L4504">
        <v>214.5667</v>
      </c>
      <c r="M4504">
        <v>0.99983999999999995</v>
      </c>
      <c r="N4504">
        <v>0</v>
      </c>
      <c r="O4504">
        <v>-6.5457040000000003E-3</v>
      </c>
      <c r="P4504">
        <v>0.99959869999999995</v>
      </c>
      <c r="Q4504">
        <v>-1.1867519999999999E-2</v>
      </c>
      <c r="R4504">
        <v>-2.5725629999999999E-2</v>
      </c>
      <c r="S4504">
        <v>2.9797060000000002</v>
      </c>
      <c r="T4504">
        <v>-0.75769359999999997</v>
      </c>
      <c r="U4504">
        <v>-0.43803409999999898</v>
      </c>
      <c r="V4504">
        <v>1.917891E-2</v>
      </c>
      <c r="W4504">
        <v>4.7939280000000003E-3</v>
      </c>
      <c r="X4504">
        <v>0.99980460000000004</v>
      </c>
      <c r="Y4504">
        <v>0.1349619</v>
      </c>
      <c r="Z4504">
        <v>-1.517437E-2</v>
      </c>
      <c r="AA4504">
        <v>0.99073460000000002</v>
      </c>
      <c r="AB4504">
        <v>37</v>
      </c>
      <c r="AC4504">
        <v>0.43020000000001302</v>
      </c>
      <c r="AD4504">
        <v>-0.200403</v>
      </c>
      <c r="AE4504">
        <v>-0.114000000000004</v>
      </c>
      <c r="AF4504">
        <v>9.2437974163760303E-2</v>
      </c>
      <c r="AG4504">
        <v>-0.200403</v>
      </c>
      <c r="AH4504">
        <v>0.35828854400975801</v>
      </c>
      <c r="AI4504">
        <v>118.439937643001</v>
      </c>
      <c r="AJ4504">
        <v>75.533242147996404</v>
      </c>
      <c r="AK4504">
        <v>0.42080496936839001</v>
      </c>
      <c r="AL4504">
        <v>89.725327113164099</v>
      </c>
      <c r="AM4504">
        <v>88.901049422053802</v>
      </c>
      <c r="AN4504">
        <v>1.0000000252578001</v>
      </c>
    </row>
    <row r="4505" spans="1:40" x14ac:dyDescent="0.25">
      <c r="A4505" t="str">
        <f>"20190312154012673"</f>
        <v>20190312154012673</v>
      </c>
      <c r="B4505" t="str">
        <f>"1552376412660505"</f>
        <v>1552376412660505</v>
      </c>
      <c r="C4505" t="s">
        <v>40</v>
      </c>
      <c r="D4505">
        <v>4.1502309999999998</v>
      </c>
      <c r="E4505">
        <v>0.54779330000000004</v>
      </c>
      <c r="F4505" t="s">
        <v>41</v>
      </c>
      <c r="G4505">
        <v>-368.24209999999999</v>
      </c>
      <c r="H4505">
        <v>0.91806100000000002</v>
      </c>
      <c r="I4505">
        <v>214.45500000000001</v>
      </c>
      <c r="J4505">
        <v>-368.6497</v>
      </c>
      <c r="K4505">
        <v>1.1105579999999999</v>
      </c>
      <c r="L4505">
        <v>214.56450000000001</v>
      </c>
      <c r="M4505">
        <v>0.9998454</v>
      </c>
      <c r="N4505">
        <v>0</v>
      </c>
      <c r="O4505">
        <v>-6.3363269999999897E-3</v>
      </c>
      <c r="P4505">
        <v>0.99959120000000001</v>
      </c>
      <c r="Q4505">
        <v>-1.115154E-2</v>
      </c>
      <c r="R4505">
        <v>-2.6337030000000001E-2</v>
      </c>
      <c r="S4505">
        <v>2.9810789999999998</v>
      </c>
      <c r="T4505">
        <v>-0.75354900000000002</v>
      </c>
      <c r="U4505">
        <v>-0.43611149999999999</v>
      </c>
      <c r="V4505">
        <v>1.9999179999999998E-2</v>
      </c>
      <c r="W4505">
        <v>5.2650379999999997E-3</v>
      </c>
      <c r="X4505">
        <v>0.99978610000000001</v>
      </c>
      <c r="Y4505">
        <v>0.13453109999999999</v>
      </c>
      <c r="Z4505">
        <v>-1.508636E-2</v>
      </c>
      <c r="AA4505">
        <v>0.99079450000000002</v>
      </c>
      <c r="AB4505">
        <v>37</v>
      </c>
      <c r="AC4505">
        <v>0.40760000000000202</v>
      </c>
      <c r="AD4505">
        <v>-0.192496999999999</v>
      </c>
      <c r="AE4505">
        <v>-0.109499999999997</v>
      </c>
      <c r="AF4505">
        <v>8.8503763622375206E-2</v>
      </c>
      <c r="AG4505">
        <v>-0.192496999999999</v>
      </c>
      <c r="AH4505">
        <v>0.33797786192559098</v>
      </c>
      <c r="AI4505">
        <v>118.853772376761</v>
      </c>
      <c r="AJ4505">
        <v>75.325867208677806</v>
      </c>
      <c r="AK4505">
        <v>0.39889478103394499</v>
      </c>
      <c r="AL4505">
        <v>89.698334139866802</v>
      </c>
      <c r="AM4505">
        <v>88.854039069880997</v>
      </c>
      <c r="AN4505">
        <v>0.99999996678951097</v>
      </c>
    </row>
    <row r="4506" spans="1:40" x14ac:dyDescent="0.25">
      <c r="A4506" t="str">
        <f>"20190312154012695"</f>
        <v>20190312154012695</v>
      </c>
      <c r="B4506" t="str">
        <f>"1552376412690761"</f>
        <v>1552376412690761</v>
      </c>
      <c r="C4506" t="s">
        <v>40</v>
      </c>
      <c r="D4506">
        <v>4.2027489999999998</v>
      </c>
      <c r="E4506">
        <v>0.54796619999999996</v>
      </c>
      <c r="F4506" t="s">
        <v>41</v>
      </c>
      <c r="G4506">
        <v>-367.91160000000002</v>
      </c>
      <c r="H4506">
        <v>0.92440829999999996</v>
      </c>
      <c r="I4506">
        <v>214.4555</v>
      </c>
      <c r="J4506">
        <v>-368.28179999999998</v>
      </c>
      <c r="K4506">
        <v>1.110535</v>
      </c>
      <c r="L4506">
        <v>214.5624</v>
      </c>
      <c r="M4506">
        <v>0.99985020000000002</v>
      </c>
      <c r="N4506">
        <v>0</v>
      </c>
      <c r="O4506">
        <v>-6.1184530000000003E-3</v>
      </c>
      <c r="P4506">
        <v>0.99955490000000002</v>
      </c>
      <c r="Q4506">
        <v>-1.227378E-2</v>
      </c>
      <c r="R4506">
        <v>-2.7189049999999999E-2</v>
      </c>
      <c r="S4506">
        <v>2.981293</v>
      </c>
      <c r="T4506">
        <v>-0.75194159999999999</v>
      </c>
      <c r="U4506">
        <v>-0.4391022</v>
      </c>
      <c r="V4506">
        <v>2.1070269999999999E-2</v>
      </c>
      <c r="W4506">
        <v>3.9208469999999999E-3</v>
      </c>
      <c r="X4506">
        <v>0.9997703</v>
      </c>
      <c r="Y4506">
        <v>0.13568529999999901</v>
      </c>
      <c r="Z4506">
        <v>-1.5249479999999999E-2</v>
      </c>
      <c r="AA4506">
        <v>0.99063460000000003</v>
      </c>
      <c r="AB4506">
        <v>37</v>
      </c>
      <c r="AC4506">
        <v>0.37019999999995401</v>
      </c>
      <c r="AD4506">
        <v>-0.18612670000000001</v>
      </c>
      <c r="AE4506">
        <v>-0.106899999999996</v>
      </c>
      <c r="AF4506">
        <v>8.4837826013342998E-2</v>
      </c>
      <c r="AG4506">
        <v>-0.18612670000000001</v>
      </c>
      <c r="AH4506">
        <v>0.30068885383336402</v>
      </c>
      <c r="AI4506">
        <v>120.78406422608801</v>
      </c>
      <c r="AJ4506">
        <v>74.243857917669501</v>
      </c>
      <c r="AK4506">
        <v>0.36366796943803298</v>
      </c>
      <c r="AL4506">
        <v>89.775351437179594</v>
      </c>
      <c r="AM4506">
        <v>88.792663818724705</v>
      </c>
      <c r="AN4506">
        <v>0.99999999104058002</v>
      </c>
    </row>
    <row r="4507" spans="1:40" x14ac:dyDescent="0.25">
      <c r="A4507" t="str">
        <f>"20190312154012719"</f>
        <v>20190312154012719</v>
      </c>
      <c r="B4507" t="str">
        <f>"1552376412710280"</f>
        <v>1552376412710280</v>
      </c>
      <c r="C4507" t="s">
        <v>40</v>
      </c>
      <c r="D4507">
        <v>4.1389649999999998</v>
      </c>
      <c r="E4507">
        <v>0.54806379999999999</v>
      </c>
      <c r="F4507" t="s">
        <v>41</v>
      </c>
      <c r="G4507">
        <v>-367.58049999999997</v>
      </c>
      <c r="H4507">
        <v>0.93266020000000005</v>
      </c>
      <c r="I4507">
        <v>214.45820000000001</v>
      </c>
      <c r="J4507">
        <v>-367.90809999999999</v>
      </c>
      <c r="K4507">
        <v>1.110511</v>
      </c>
      <c r="L4507">
        <v>214.56030000000001</v>
      </c>
      <c r="M4507">
        <v>0.99985469999999999</v>
      </c>
      <c r="N4507">
        <v>0</v>
      </c>
      <c r="O4507">
        <v>-5.8978360000000001E-3</v>
      </c>
      <c r="P4507">
        <v>0.99949410000000005</v>
      </c>
      <c r="Q4507">
        <v>-1.418201E-2</v>
      </c>
      <c r="R4507">
        <v>-2.8468650000000002E-2</v>
      </c>
      <c r="S4507">
        <v>2.9800110000000002</v>
      </c>
      <c r="T4507">
        <v>-0.75593540000000004</v>
      </c>
      <c r="U4507">
        <v>-0.44279479999999999</v>
      </c>
      <c r="V4507">
        <v>2.25717E-2</v>
      </c>
      <c r="W4507">
        <v>1.8170510000000001E-3</v>
      </c>
      <c r="X4507">
        <v>0.99974359999999995</v>
      </c>
      <c r="Y4507">
        <v>0.13707230000000001</v>
      </c>
      <c r="Z4507">
        <v>-1.556012E-2</v>
      </c>
      <c r="AA4507">
        <v>0.99043879999999995</v>
      </c>
      <c r="AB4507">
        <v>37</v>
      </c>
      <c r="AC4507">
        <v>0.32760000000001799</v>
      </c>
      <c r="AD4507">
        <v>-0.1778508</v>
      </c>
      <c r="AE4507">
        <v>-0.102100000000007</v>
      </c>
      <c r="AF4507">
        <v>7.8955519214532199E-2</v>
      </c>
      <c r="AG4507">
        <v>-0.1778508</v>
      </c>
      <c r="AH4507">
        <v>0.25870024479707099</v>
      </c>
      <c r="AI4507">
        <v>123.32636349527399</v>
      </c>
      <c r="AJ4507">
        <v>73.027769373847093</v>
      </c>
      <c r="AK4507">
        <v>0.32371391340679301</v>
      </c>
      <c r="AL4507">
        <v>89.895890591804303</v>
      </c>
      <c r="AM4507">
        <v>88.706624908954794</v>
      </c>
      <c r="AN4507">
        <v>1.00000002452809</v>
      </c>
    </row>
    <row r="4508" spans="1:40" x14ac:dyDescent="0.25">
      <c r="A4508" t="str">
        <f>"20190312154012740"</f>
        <v>20190312154012740</v>
      </c>
      <c r="B4508" t="str">
        <f>"1552376412730776"</f>
        <v>1552376412730776</v>
      </c>
      <c r="C4508" t="s">
        <v>40</v>
      </c>
      <c r="D4508">
        <v>4.2316529999999997</v>
      </c>
      <c r="E4508">
        <v>0.54817530000000003</v>
      </c>
      <c r="F4508" t="s">
        <v>41</v>
      </c>
      <c r="G4508">
        <v>-366.95499999999998</v>
      </c>
      <c r="H4508">
        <v>0.86670550000000002</v>
      </c>
      <c r="I4508">
        <v>214.41669999999999</v>
      </c>
      <c r="J4508">
        <v>-367.54360000000003</v>
      </c>
      <c r="K4508">
        <v>1.1105020000000001</v>
      </c>
      <c r="L4508">
        <v>214.55840000000001</v>
      </c>
      <c r="M4508">
        <v>0.99985869999999999</v>
      </c>
      <c r="N4508">
        <v>0</v>
      </c>
      <c r="O4508">
        <v>-5.683072E-3</v>
      </c>
      <c r="P4508">
        <v>0.99944169999999999</v>
      </c>
      <c r="Q4508">
        <v>-1.575828E-2</v>
      </c>
      <c r="R4508">
        <v>-2.94641E-2</v>
      </c>
      <c r="S4508">
        <v>2.9779360000000001</v>
      </c>
      <c r="T4508">
        <v>-0.7618085</v>
      </c>
      <c r="U4508">
        <v>-0.44822689999999998</v>
      </c>
      <c r="V4508">
        <v>2.3782930000000001E-2</v>
      </c>
      <c r="W4508" s="1">
        <v>7.5555030000000006E-5</v>
      </c>
      <c r="X4508">
        <v>0.99971710000000003</v>
      </c>
      <c r="Y4508">
        <v>0.13901740000000001</v>
      </c>
      <c r="Z4508">
        <v>-1.5983109999999998E-2</v>
      </c>
      <c r="AA4508">
        <v>0.99016090000000001</v>
      </c>
      <c r="AB4508">
        <v>37</v>
      </c>
      <c r="AC4508">
        <v>0.58860000000004198</v>
      </c>
      <c r="AD4508">
        <v>-0.2437965</v>
      </c>
      <c r="AE4508">
        <v>-0.14170000000001401</v>
      </c>
      <c r="AF4508">
        <v>0.119047378553599</v>
      </c>
      <c r="AG4508">
        <v>-0.2437965</v>
      </c>
      <c r="AH4508">
        <v>0.50715504765816599</v>
      </c>
      <c r="AI4508">
        <v>115.079283950522</v>
      </c>
      <c r="AJ4508">
        <v>76.789802180257297</v>
      </c>
      <c r="AK4508">
        <v>0.57516541457035697</v>
      </c>
      <c r="AL4508">
        <v>89.995671015468602</v>
      </c>
      <c r="AM4508">
        <v>88.637209931131494</v>
      </c>
      <c r="AN4508">
        <v>0.99999995675017705</v>
      </c>
    </row>
    <row r="4509" spans="1:40" x14ac:dyDescent="0.25">
      <c r="A4509" t="str">
        <f>"20190312154012762"</f>
        <v>20190312154012762</v>
      </c>
      <c r="B4509" t="str">
        <f>"1552376412750297"</f>
        <v>1552376412750297</v>
      </c>
      <c r="C4509" t="s">
        <v>40</v>
      </c>
      <c r="D4509">
        <v>4.1495790000000001</v>
      </c>
      <c r="E4509">
        <v>0.54826109999999995</v>
      </c>
      <c r="F4509" t="s">
        <v>41</v>
      </c>
      <c r="G4509">
        <v>-366.6259</v>
      </c>
      <c r="H4509">
        <v>0.87401549999999995</v>
      </c>
      <c r="I4509">
        <v>214.41829999999999</v>
      </c>
      <c r="J4509">
        <v>-367.1925</v>
      </c>
      <c r="K4509">
        <v>1.1104940000000001</v>
      </c>
      <c r="L4509">
        <v>214.5566</v>
      </c>
      <c r="M4509">
        <v>0.99986200000000003</v>
      </c>
      <c r="N4509">
        <v>0</v>
      </c>
      <c r="O4509">
        <v>-5.4755569999999998E-3</v>
      </c>
      <c r="P4509">
        <v>0.99942109999999995</v>
      </c>
      <c r="Q4509">
        <v>-1.6182709999999999E-2</v>
      </c>
      <c r="R4509">
        <v>-2.9925650000000002E-2</v>
      </c>
      <c r="S4509">
        <v>2.9761959999999998</v>
      </c>
      <c r="T4509">
        <v>-0.76694890000000004</v>
      </c>
      <c r="U4509">
        <v>-0.45271299999999998</v>
      </c>
      <c r="V4509">
        <v>2.4452370000000001E-2</v>
      </c>
      <c r="W4509">
        <v>-4.8780870000000002E-4</v>
      </c>
      <c r="X4509">
        <v>0.9997009</v>
      </c>
      <c r="Y4509">
        <v>0.14064849999999901</v>
      </c>
      <c r="Z4509">
        <v>-1.6352889999999998E-2</v>
      </c>
      <c r="AA4509">
        <v>0.98992460000000004</v>
      </c>
      <c r="AB4509">
        <v>37</v>
      </c>
      <c r="AC4509">
        <v>0.566599999999994</v>
      </c>
      <c r="AD4509">
        <v>-0.23647850000000001</v>
      </c>
      <c r="AE4509">
        <v>-0.13830000000001499</v>
      </c>
      <c r="AF4509">
        <v>0.116107272055057</v>
      </c>
      <c r="AG4509">
        <v>-0.23647850000000001</v>
      </c>
      <c r="AH4509">
        <v>0.48724644721326898</v>
      </c>
      <c r="AI4509">
        <v>115.272810242785</v>
      </c>
      <c r="AJ4509">
        <v>76.596795884037206</v>
      </c>
      <c r="AK4509">
        <v>0.55390620136289404</v>
      </c>
      <c r="AL4509">
        <v>90.027949380187906</v>
      </c>
      <c r="AM4509">
        <v>88.598842611992396</v>
      </c>
      <c r="AN4509">
        <v>1.0000000229083701</v>
      </c>
    </row>
    <row r="4510" spans="1:40" x14ac:dyDescent="0.25">
      <c r="A4510" t="str">
        <f>"20190312154012785"</f>
        <v>20190312154012785</v>
      </c>
      <c r="B4510" t="str">
        <f>"1552376412780552"</f>
        <v>1552376412780552</v>
      </c>
      <c r="C4510" t="s">
        <v>40</v>
      </c>
      <c r="D4510">
        <v>4.2116720000000001</v>
      </c>
      <c r="E4510">
        <v>0.54840339999999999</v>
      </c>
      <c r="F4510" t="s">
        <v>41</v>
      </c>
      <c r="G4510">
        <v>-366.2978</v>
      </c>
      <c r="H4510">
        <v>0.87954679999999996</v>
      </c>
      <c r="I4510">
        <v>214.41970000000001</v>
      </c>
      <c r="J4510">
        <v>-366.81810000000002</v>
      </c>
      <c r="K4510">
        <v>1.1104860000000001</v>
      </c>
      <c r="L4510">
        <v>214.5548</v>
      </c>
      <c r="M4510">
        <v>0.99986520000000001</v>
      </c>
      <c r="N4510">
        <v>0</v>
      </c>
      <c r="O4510">
        <v>-5.2545450000000002E-3</v>
      </c>
      <c r="P4510">
        <v>0.99941650000000004</v>
      </c>
      <c r="Q4510">
        <v>-1.6916710000000001E-2</v>
      </c>
      <c r="R4510">
        <v>-2.9674140000000002E-2</v>
      </c>
      <c r="S4510">
        <v>2.975708</v>
      </c>
      <c r="T4510">
        <v>-0.76817060000000004</v>
      </c>
      <c r="U4510">
        <v>-0.45436100000000001</v>
      </c>
      <c r="V4510">
        <v>2.442223E-2</v>
      </c>
      <c r="W4510">
        <v>-1.3504680000000001E-3</v>
      </c>
      <c r="X4510">
        <v>0.99970079999999995</v>
      </c>
      <c r="Y4510">
        <v>0.14138199999999901</v>
      </c>
      <c r="Z4510">
        <v>-1.6528499999999901E-2</v>
      </c>
      <c r="AA4510">
        <v>0.98981710000000001</v>
      </c>
      <c r="AB4510">
        <v>36</v>
      </c>
      <c r="AC4510">
        <v>0.52030000000001997</v>
      </c>
      <c r="AD4510">
        <v>-0.23093920000000001</v>
      </c>
      <c r="AE4510">
        <v>-0.135099999999994</v>
      </c>
      <c r="AF4510">
        <v>0.11174039860483601</v>
      </c>
      <c r="AG4510">
        <v>-0.23093920000000001</v>
      </c>
      <c r="AH4510">
        <v>0.43982592955143601</v>
      </c>
      <c r="AI4510">
        <v>116.971675468485</v>
      </c>
      <c r="AJ4510">
        <v>75.745246719747598</v>
      </c>
      <c r="AK4510">
        <v>0.50918138131985202</v>
      </c>
      <c r="AL4510">
        <v>90.077376141888294</v>
      </c>
      <c r="AM4510">
        <v>88.600568851946903</v>
      </c>
      <c r="AN4510">
        <v>0.99999997930131501</v>
      </c>
    </row>
    <row r="4511" spans="1:40" x14ac:dyDescent="0.25">
      <c r="A4511" t="str">
        <f>"20190312154012808"</f>
        <v>20190312154012808</v>
      </c>
      <c r="B4511" t="str">
        <f>"1552376412800073"</f>
        <v>1552376412800073</v>
      </c>
      <c r="C4511" t="s">
        <v>40</v>
      </c>
      <c r="D4511">
        <v>4.2055030000000002</v>
      </c>
      <c r="E4511">
        <v>0.54848699999999995</v>
      </c>
      <c r="F4511" t="s">
        <v>41</v>
      </c>
      <c r="G4511">
        <v>-365.96800000000002</v>
      </c>
      <c r="H4511">
        <v>0.89001059999999999</v>
      </c>
      <c r="I4511">
        <v>214.42449999999999</v>
      </c>
      <c r="J4511">
        <v>-366.45119999999997</v>
      </c>
      <c r="K4511">
        <v>1.110471</v>
      </c>
      <c r="L4511">
        <v>214.5531</v>
      </c>
      <c r="M4511">
        <v>0.99986790000000003</v>
      </c>
      <c r="N4511">
        <v>0</v>
      </c>
      <c r="O4511">
        <v>-5.0377360000000001E-3</v>
      </c>
      <c r="P4511">
        <v>0.99940859999999998</v>
      </c>
      <c r="Q4511">
        <v>-1.8018309999999999E-2</v>
      </c>
      <c r="R4511">
        <v>-2.928805E-2</v>
      </c>
      <c r="S4511">
        <v>2.9752200000000002</v>
      </c>
      <c r="T4511">
        <v>-0.77172980000000002</v>
      </c>
      <c r="U4511">
        <v>-0.45410159999999999</v>
      </c>
      <c r="V4511">
        <v>2.4253480000000001E-2</v>
      </c>
      <c r="W4511">
        <v>-2.5616520000000002E-3</v>
      </c>
      <c r="X4511">
        <v>0.9997026</v>
      </c>
      <c r="Y4511">
        <v>0.14148469999999999</v>
      </c>
      <c r="Z4511">
        <v>-1.6673440000000001E-2</v>
      </c>
      <c r="AA4511">
        <v>0.98980000000000001</v>
      </c>
      <c r="AB4511">
        <v>36</v>
      </c>
      <c r="AC4511">
        <v>0.483199999999953</v>
      </c>
      <c r="AD4511">
        <v>-0.220460399999999</v>
      </c>
      <c r="AE4511">
        <v>-0.12860000000000499</v>
      </c>
      <c r="AF4511">
        <v>0.105629876237642</v>
      </c>
      <c r="AG4511">
        <v>-0.220460399999999</v>
      </c>
      <c r="AH4511">
        <v>0.40509347162963399</v>
      </c>
      <c r="AI4511">
        <v>117.771852451752</v>
      </c>
      <c r="AJ4511">
        <v>75.385308059331393</v>
      </c>
      <c r="AK4511">
        <v>0.47313970397662503</v>
      </c>
      <c r="AL4511">
        <v>90.146772002699706</v>
      </c>
      <c r="AM4511">
        <v>88.610237180988094</v>
      </c>
      <c r="AN4511">
        <v>1.0000000408999099</v>
      </c>
    </row>
    <row r="4512" spans="1:40" x14ac:dyDescent="0.25">
      <c r="A4512" t="str">
        <f>"20190312154012831"</f>
        <v>20190312154012831</v>
      </c>
      <c r="B4512" t="str">
        <f>"1552376412820570"</f>
        <v>1552376412820570</v>
      </c>
      <c r="C4512" t="s">
        <v>40</v>
      </c>
      <c r="D4512">
        <v>4.2144519999999996</v>
      </c>
      <c r="E4512">
        <v>0.54856199999999999</v>
      </c>
      <c r="F4512" t="s">
        <v>41</v>
      </c>
      <c r="G4512">
        <v>-365.63940000000002</v>
      </c>
      <c r="H4512">
        <v>0.89875300000000002</v>
      </c>
      <c r="I4512">
        <v>214.42959999999999</v>
      </c>
      <c r="J4512">
        <v>-366.07490000000001</v>
      </c>
      <c r="K4512">
        <v>1.110466</v>
      </c>
      <c r="L4512">
        <v>214.5514</v>
      </c>
      <c r="M4512">
        <v>0.99987060000000005</v>
      </c>
      <c r="N4512">
        <v>0</v>
      </c>
      <c r="O4512">
        <v>-4.8155430000000003E-3</v>
      </c>
      <c r="P4512">
        <v>0.99938090000000002</v>
      </c>
      <c r="Q4512">
        <v>-1.8685009999999998E-2</v>
      </c>
      <c r="R4512">
        <v>-2.9809329999999998E-2</v>
      </c>
      <c r="S4512">
        <v>2.9744869999999999</v>
      </c>
      <c r="T4512">
        <v>-0.77579030000000004</v>
      </c>
      <c r="U4512">
        <v>-0.4526367</v>
      </c>
      <c r="V4512">
        <v>2.4997660000000001E-2</v>
      </c>
      <c r="W4512">
        <v>-3.3256840000000002E-3</v>
      </c>
      <c r="X4512">
        <v>0.99968190000000001</v>
      </c>
      <c r="Y4512">
        <v>0.1412176</v>
      </c>
      <c r="Z4512">
        <v>-1.678553E-2</v>
      </c>
      <c r="AA4512">
        <v>0.9898363</v>
      </c>
      <c r="AB4512">
        <v>36</v>
      </c>
      <c r="AC4512">
        <v>0.43549999999999001</v>
      </c>
      <c r="AD4512">
        <v>-0.21171300000000001</v>
      </c>
      <c r="AE4512">
        <v>-0.121800000000007</v>
      </c>
      <c r="AF4512">
        <v>9.8181282714682003E-2</v>
      </c>
      <c r="AG4512">
        <v>-0.21171300000000001</v>
      </c>
      <c r="AH4512">
        <v>0.35768276625414203</v>
      </c>
      <c r="AI4512">
        <v>119.71723570179699</v>
      </c>
      <c r="AJ4512">
        <v>74.650778625901296</v>
      </c>
      <c r="AK4512">
        <v>0.42708186559454298</v>
      </c>
      <c r="AL4512">
        <v>90.1905480232721</v>
      </c>
      <c r="AM4512">
        <v>88.567582341914303</v>
      </c>
      <c r="AN4512">
        <v>0.99999992218357303</v>
      </c>
    </row>
    <row r="4513" spans="1:40" x14ac:dyDescent="0.25">
      <c r="A4513" t="str">
        <f>"20190312154012853"</f>
        <v>20190312154012853</v>
      </c>
      <c r="B4513" t="str">
        <f>"1552376412840088"</f>
        <v>1552376412840088</v>
      </c>
      <c r="C4513" t="s">
        <v>40</v>
      </c>
      <c r="D4513">
        <v>4.2353259999999997</v>
      </c>
      <c r="E4513">
        <v>0.54861749999999998</v>
      </c>
      <c r="F4513" t="s">
        <v>41</v>
      </c>
      <c r="G4513">
        <v>-365.31</v>
      </c>
      <c r="H4513">
        <v>0.91030370000000005</v>
      </c>
      <c r="I4513">
        <v>214.43430000000001</v>
      </c>
      <c r="J4513">
        <v>-365.71800000000002</v>
      </c>
      <c r="K4513">
        <v>1.110471</v>
      </c>
      <c r="L4513">
        <v>214.54990000000001</v>
      </c>
      <c r="M4513">
        <v>0.99987280000000001</v>
      </c>
      <c r="N4513">
        <v>0</v>
      </c>
      <c r="O4513">
        <v>-4.6043300000000002E-3</v>
      </c>
      <c r="P4513">
        <v>0.99937799999999999</v>
      </c>
      <c r="Q4513">
        <v>-1.7275479999999999E-2</v>
      </c>
      <c r="R4513">
        <v>-3.0743320000000001E-2</v>
      </c>
      <c r="S4513">
        <v>2.9737550000000001</v>
      </c>
      <c r="T4513">
        <v>-0.77823109999999995</v>
      </c>
      <c r="U4513">
        <v>-0.45458979999999999</v>
      </c>
      <c r="V4513">
        <v>2.614199E-2</v>
      </c>
      <c r="W4513">
        <v>-1.9957349999999998E-3</v>
      </c>
      <c r="X4513">
        <v>0.99965630000000005</v>
      </c>
      <c r="Y4513">
        <v>0.14203489999999999</v>
      </c>
      <c r="Z4513">
        <v>-1.69985E-2</v>
      </c>
      <c r="AA4513">
        <v>0.98971569999999998</v>
      </c>
      <c r="AB4513">
        <v>36</v>
      </c>
      <c r="AC4513">
        <v>0.40800000000001502</v>
      </c>
      <c r="AD4513">
        <v>-0.20016729999999899</v>
      </c>
      <c r="AE4513">
        <v>-0.11559999999999999</v>
      </c>
      <c r="AF4513">
        <v>9.2999066349236506E-2</v>
      </c>
      <c r="AG4513">
        <v>-0.20016729999999899</v>
      </c>
      <c r="AH4513">
        <v>0.33409009912508197</v>
      </c>
      <c r="AI4513">
        <v>119.993379080686</v>
      </c>
      <c r="AJ4513">
        <v>74.444646424795295</v>
      </c>
      <c r="AK4513">
        <v>0.40041474581304698</v>
      </c>
      <c r="AL4513">
        <v>90.114347262445605</v>
      </c>
      <c r="AM4513">
        <v>88.502000743726796</v>
      </c>
      <c r="AN4513">
        <v>1.0000000523645101</v>
      </c>
    </row>
    <row r="4514" spans="1:40" x14ac:dyDescent="0.25">
      <c r="A4514" t="str">
        <f>"20190312154012874"</f>
        <v>20190312154012874</v>
      </c>
      <c r="B4514" t="str">
        <f>"1552376412860585"</f>
        <v>1552376412860585</v>
      </c>
      <c r="C4514" t="s">
        <v>40</v>
      </c>
      <c r="D4514">
        <v>4.2317229999999997</v>
      </c>
      <c r="E4514">
        <v>0.54862169999999999</v>
      </c>
      <c r="F4514" t="s">
        <v>41</v>
      </c>
      <c r="G4514">
        <v>-364.9819</v>
      </c>
      <c r="H4514">
        <v>0.91885450000000002</v>
      </c>
      <c r="I4514">
        <v>214.43639999999999</v>
      </c>
      <c r="J4514">
        <v>-365.38580000000002</v>
      </c>
      <c r="K4514">
        <v>1.11049</v>
      </c>
      <c r="L4514">
        <v>214.54849999999999</v>
      </c>
      <c r="M4514">
        <v>0.99987470000000001</v>
      </c>
      <c r="N4514">
        <v>0</v>
      </c>
      <c r="O4514">
        <v>-4.4075360000000001E-3</v>
      </c>
      <c r="P4514">
        <v>0.99937860000000001</v>
      </c>
      <c r="Q4514">
        <v>-1.444174E-2</v>
      </c>
      <c r="R4514">
        <v>-3.2158569999999997E-2</v>
      </c>
      <c r="S4514">
        <v>2.974396</v>
      </c>
      <c r="T4514">
        <v>-0.77427319999999999</v>
      </c>
      <c r="U4514">
        <v>-0.45767210000000003</v>
      </c>
      <c r="V4514">
        <v>2.775248E-2</v>
      </c>
      <c r="W4514">
        <v>7.7325500000000004E-4</v>
      </c>
      <c r="X4514">
        <v>0.99961449999999996</v>
      </c>
      <c r="Y4514">
        <v>0.1432032</v>
      </c>
      <c r="Z4514">
        <v>-1.7108890000000002E-2</v>
      </c>
      <c r="AA4514">
        <v>0.98954540000000002</v>
      </c>
      <c r="AB4514">
        <v>36</v>
      </c>
      <c r="AC4514">
        <v>0.40390000000002102</v>
      </c>
      <c r="AD4514">
        <v>-0.19163549999999999</v>
      </c>
      <c r="AE4514">
        <v>-0.11209999999999801</v>
      </c>
      <c r="AF4514">
        <v>9.1246641313749002E-2</v>
      </c>
      <c r="AG4514">
        <v>-0.19163549999999999</v>
      </c>
      <c r="AH4514">
        <v>0.33447924615038299</v>
      </c>
      <c r="AI4514">
        <v>118.93110910947701</v>
      </c>
      <c r="AJ4514">
        <v>74.740890809111093</v>
      </c>
      <c r="AK4514">
        <v>0.39613947104096903</v>
      </c>
      <c r="AL4514">
        <v>89.955695746416296</v>
      </c>
      <c r="AM4514">
        <v>88.409695320358594</v>
      </c>
      <c r="AN4514">
        <v>0.99999997333984703</v>
      </c>
    </row>
    <row r="4515" spans="1:40" x14ac:dyDescent="0.25">
      <c r="A4515" t="str">
        <f>"20190312154012896"</f>
        <v>20190312154012896</v>
      </c>
      <c r="B4515" t="str">
        <f>"1552376412890842"</f>
        <v>1552376412890842</v>
      </c>
      <c r="C4515" t="s">
        <v>40</v>
      </c>
      <c r="D4515">
        <v>4.2473380000000001</v>
      </c>
      <c r="E4515">
        <v>0.54872140000000003</v>
      </c>
      <c r="F4515" t="s">
        <v>41</v>
      </c>
      <c r="G4515">
        <v>-364.65600000000001</v>
      </c>
      <c r="H4515">
        <v>0.92272730000000003</v>
      </c>
      <c r="I4515">
        <v>214.43469999999999</v>
      </c>
      <c r="J4515">
        <v>-365.01299999999998</v>
      </c>
      <c r="K4515">
        <v>1.1105</v>
      </c>
      <c r="L4515">
        <v>214.5471</v>
      </c>
      <c r="M4515">
        <v>0.99987649999999995</v>
      </c>
      <c r="N4515">
        <v>0</v>
      </c>
      <c r="O4515">
        <v>-4.1865499999999998E-3</v>
      </c>
      <c r="P4515">
        <v>0.99939469999999997</v>
      </c>
      <c r="Q4515">
        <v>-1.1648449999999999E-2</v>
      </c>
      <c r="R4515">
        <v>-3.2777149999999998E-2</v>
      </c>
      <c r="S4515">
        <v>2.9759829999999998</v>
      </c>
      <c r="T4515">
        <v>-0.76568290000000006</v>
      </c>
      <c r="U4515">
        <v>-0.4618988</v>
      </c>
      <c r="V4515">
        <v>2.8590819999999999E-2</v>
      </c>
      <c r="W4515">
        <v>3.502664E-3</v>
      </c>
      <c r="X4515">
        <v>0.99958499999999995</v>
      </c>
      <c r="Y4515">
        <v>0.14476220000000001</v>
      </c>
      <c r="Z4515">
        <v>-1.7166460000000001E-2</v>
      </c>
      <c r="AA4515">
        <v>0.98931749999999996</v>
      </c>
      <c r="AB4515">
        <v>36</v>
      </c>
      <c r="AC4515">
        <v>0.35700000000002702</v>
      </c>
      <c r="AD4515">
        <v>-0.18777269999999899</v>
      </c>
      <c r="AE4515">
        <v>-0.11240000000000799</v>
      </c>
      <c r="AF4515">
        <v>8.8603019181548406E-2</v>
      </c>
      <c r="AG4515">
        <v>-0.18777269999999899</v>
      </c>
      <c r="AH4515">
        <v>0.28558599502130599</v>
      </c>
      <c r="AI4515">
        <v>122.1276391979</v>
      </c>
      <c r="AJ4515">
        <v>72.763503179540393</v>
      </c>
      <c r="AK4515">
        <v>0.35308418603172398</v>
      </c>
      <c r="AL4515">
        <v>89.799311712927604</v>
      </c>
      <c r="AM4515">
        <v>88.361633266367605</v>
      </c>
      <c r="AN4515">
        <v>0.99999993793418196</v>
      </c>
    </row>
    <row r="4516" spans="1:40" x14ac:dyDescent="0.25">
      <c r="A4516" t="str">
        <f>"20190312154012920"</f>
        <v>20190312154012920</v>
      </c>
      <c r="B4516" t="str">
        <f>"1552376412910361"</f>
        <v>1552376412910361</v>
      </c>
      <c r="C4516" t="s">
        <v>40</v>
      </c>
      <c r="D4516">
        <v>4.2588990000000004</v>
      </c>
      <c r="E4516">
        <v>0.54874869999999898</v>
      </c>
      <c r="F4516" t="s">
        <v>41</v>
      </c>
      <c r="G4516">
        <v>-364.32639999999998</v>
      </c>
      <c r="H4516">
        <v>0.93584219999999896</v>
      </c>
      <c r="I4516">
        <v>214.43969999999999</v>
      </c>
      <c r="J4516">
        <v>-364.6429</v>
      </c>
      <c r="K4516">
        <v>1.110501</v>
      </c>
      <c r="L4516">
        <v>214.54580000000001</v>
      </c>
      <c r="M4516">
        <v>0.99987839999999995</v>
      </c>
      <c r="N4516">
        <v>0</v>
      </c>
      <c r="O4516">
        <v>-3.9676570000000003E-3</v>
      </c>
      <c r="P4516">
        <v>0.99941809999999998</v>
      </c>
      <c r="Q4516">
        <v>-1.060647E-2</v>
      </c>
      <c r="R4516">
        <v>-3.242565E-2</v>
      </c>
      <c r="S4516">
        <v>2.9777529999999999</v>
      </c>
      <c r="T4516">
        <v>-0.75748099999999996</v>
      </c>
      <c r="U4516">
        <v>-0.46469120000000003</v>
      </c>
      <c r="V4516">
        <v>2.845729E-2</v>
      </c>
      <c r="W4516">
        <v>4.4901860000000002E-3</v>
      </c>
      <c r="X4516">
        <v>0.9995849</v>
      </c>
      <c r="Y4516">
        <v>0.14585409999999999</v>
      </c>
      <c r="Z4516">
        <v>-1.7167760000000001E-2</v>
      </c>
      <c r="AA4516">
        <v>0.98915710000000001</v>
      </c>
      <c r="AB4516">
        <v>36</v>
      </c>
      <c r="AC4516">
        <v>0.31650000000001899</v>
      </c>
      <c r="AD4516">
        <v>-0.1746588</v>
      </c>
      <c r="AE4516">
        <v>-0.10610000000002601</v>
      </c>
      <c r="AF4516">
        <v>8.2309612104896596E-2</v>
      </c>
      <c r="AG4516">
        <v>-0.1746588</v>
      </c>
      <c r="AH4516">
        <v>0.248804178891463</v>
      </c>
      <c r="AI4516">
        <v>123.68225413069899</v>
      </c>
      <c r="AJ4516">
        <v>71.694707457579398</v>
      </c>
      <c r="AK4516">
        <v>0.314935053774828</v>
      </c>
      <c r="AL4516">
        <v>89.742730422217093</v>
      </c>
      <c r="AM4516">
        <v>88.369280757638705</v>
      </c>
      <c r="AN4516">
        <v>0.999999975716234</v>
      </c>
    </row>
    <row r="4517" spans="1:40" x14ac:dyDescent="0.25">
      <c r="A4517" t="str">
        <f>"20190312154012941"</f>
        <v>20190312154012941</v>
      </c>
      <c r="B4517" t="str">
        <f>"1552376412930857"</f>
        <v>1552376412930857</v>
      </c>
      <c r="C4517" t="s">
        <v>40</v>
      </c>
      <c r="D4517">
        <v>4.3340680000000003</v>
      </c>
      <c r="E4517">
        <v>0.54873950000000005</v>
      </c>
      <c r="F4517" t="s">
        <v>41</v>
      </c>
      <c r="G4517">
        <v>-363.70650000000001</v>
      </c>
      <c r="H4517">
        <v>0.87325330000000001</v>
      </c>
      <c r="I4517">
        <v>214.3997</v>
      </c>
      <c r="J4517">
        <v>-364.2928</v>
      </c>
      <c r="K4517">
        <v>1.1104860000000001</v>
      </c>
      <c r="L4517">
        <v>214.5446</v>
      </c>
      <c r="M4517">
        <v>0.99987979999999999</v>
      </c>
      <c r="N4517">
        <v>0</v>
      </c>
      <c r="O4517">
        <v>-3.760518E-3</v>
      </c>
      <c r="P4517">
        <v>0.99943599999999999</v>
      </c>
      <c r="Q4517">
        <v>-1.1086210000000001E-2</v>
      </c>
      <c r="R4517">
        <v>-3.1698730000000001E-2</v>
      </c>
      <c r="S4517">
        <v>2.9786990000000002</v>
      </c>
      <c r="T4517">
        <v>-0.75469739999999996</v>
      </c>
      <c r="U4517">
        <v>-0.46383669999999999</v>
      </c>
      <c r="V4517">
        <v>2.7937920000000002E-2</v>
      </c>
      <c r="W4517">
        <v>3.9647160000000001E-3</v>
      </c>
      <c r="X4517">
        <v>0.99960179999999998</v>
      </c>
      <c r="Y4517">
        <v>0.1457647</v>
      </c>
      <c r="Z4517">
        <v>-1.7142009999999999E-2</v>
      </c>
      <c r="AA4517">
        <v>0.98917080000000002</v>
      </c>
      <c r="AB4517">
        <v>36</v>
      </c>
      <c r="AC4517">
        <v>0.58629999999999405</v>
      </c>
      <c r="AD4517">
        <v>-0.23723269999999999</v>
      </c>
      <c r="AE4517">
        <v>-0.144900000000006</v>
      </c>
      <c r="AF4517">
        <v>0.12361962839629</v>
      </c>
      <c r="AG4517">
        <v>-0.23723269999999999</v>
      </c>
      <c r="AH4517">
        <v>0.50839612668700396</v>
      </c>
      <c r="AI4517">
        <v>114.39039368297399</v>
      </c>
      <c r="AJ4517">
        <v>76.3334060311131</v>
      </c>
      <c r="AK4517">
        <v>0.57448045058511299</v>
      </c>
      <c r="AL4517">
        <v>89.772837911661199</v>
      </c>
      <c r="AM4517">
        <v>88.399054205512201</v>
      </c>
      <c r="AN4517">
        <v>1.0000000024550599</v>
      </c>
    </row>
    <row r="4518" spans="1:40" x14ac:dyDescent="0.25">
      <c r="A4518" t="str">
        <f>"20190312154012963"</f>
        <v>20190312154012963</v>
      </c>
      <c r="B4518" t="str">
        <f>"1552376412950377"</f>
        <v>1552376412950377</v>
      </c>
      <c r="C4518" t="s">
        <v>40</v>
      </c>
      <c r="D4518">
        <v>4.3325469999999999</v>
      </c>
      <c r="E4518">
        <v>0.53348629999999997</v>
      </c>
      <c r="F4518" t="s">
        <v>41</v>
      </c>
      <c r="G4518">
        <v>-363.38159999999999</v>
      </c>
      <c r="H4518">
        <v>0.87918539999999901</v>
      </c>
      <c r="I4518">
        <v>214.40299999999999</v>
      </c>
      <c r="J4518">
        <v>-363.94409999999999</v>
      </c>
      <c r="K4518">
        <v>1.110474</v>
      </c>
      <c r="L4518">
        <v>214.54349999999999</v>
      </c>
      <c r="M4518">
        <v>0.99988109999999997</v>
      </c>
      <c r="N4518">
        <v>0</v>
      </c>
      <c r="O4518">
        <v>-3.5537799999999999E-3</v>
      </c>
      <c r="P4518">
        <v>0.99945689999999998</v>
      </c>
      <c r="Q4518">
        <v>-1.2417310000000001E-2</v>
      </c>
      <c r="R4518">
        <v>-3.0522469999999999E-2</v>
      </c>
      <c r="S4518">
        <v>2.9786069999999998</v>
      </c>
      <c r="T4518">
        <v>-0.75612369999999995</v>
      </c>
      <c r="U4518">
        <v>-0.4618988</v>
      </c>
      <c r="V4518">
        <v>2.6968860000000001E-2</v>
      </c>
      <c r="W4518">
        <v>2.5938160000000001E-3</v>
      </c>
      <c r="X4518">
        <v>0.99963290000000005</v>
      </c>
      <c r="Y4518">
        <v>0.14533509999999999</v>
      </c>
      <c r="Z4518">
        <v>-1.7172739999999999E-2</v>
      </c>
      <c r="AA4518">
        <v>0.98923340000000004</v>
      </c>
      <c r="AB4518">
        <v>36</v>
      </c>
      <c r="AC4518">
        <v>0.5625</v>
      </c>
      <c r="AD4518">
        <v>-0.23128860000000001</v>
      </c>
      <c r="AE4518">
        <v>-0.14050000000000201</v>
      </c>
      <c r="AF4518">
        <v>0.119485018241529</v>
      </c>
      <c r="AG4518">
        <v>-0.23128860000000001</v>
      </c>
      <c r="AH4518">
        <v>0.48570122609532401</v>
      </c>
      <c r="AI4518">
        <v>114.816226666714</v>
      </c>
      <c r="AJ4518">
        <v>76.179380540254002</v>
      </c>
      <c r="AK4518">
        <v>0.55106874988937604</v>
      </c>
      <c r="AL4518">
        <v>89.851385122388706</v>
      </c>
      <c r="AM4518">
        <v>88.454605559416393</v>
      </c>
      <c r="AN4518">
        <v>0.99999999102677495</v>
      </c>
    </row>
    <row r="4519" spans="1:40" x14ac:dyDescent="0.25">
      <c r="A4519" t="str">
        <f>"20190312154012986"</f>
        <v>20190312154012986</v>
      </c>
      <c r="B4519" t="str">
        <f>"1552376412970873"</f>
        <v>1552376412970873</v>
      </c>
      <c r="C4519" t="s">
        <v>40</v>
      </c>
      <c r="D4519">
        <v>4.3540989999999997</v>
      </c>
      <c r="E4519">
        <v>0.50049429999999995</v>
      </c>
      <c r="F4519" t="s">
        <v>41</v>
      </c>
      <c r="G4519">
        <v>-363.04059999999998</v>
      </c>
      <c r="H4519">
        <v>0.92557940000000005</v>
      </c>
      <c r="I4519">
        <v>214.44</v>
      </c>
      <c r="J4519">
        <v>-363.56779999999998</v>
      </c>
      <c r="K4519">
        <v>1.110444</v>
      </c>
      <c r="L4519">
        <v>214.54239999999999</v>
      </c>
      <c r="M4519">
        <v>0.99988259999999995</v>
      </c>
      <c r="N4519">
        <v>0</v>
      </c>
      <c r="O4519">
        <v>-3.3309670000000002E-3</v>
      </c>
      <c r="P4519">
        <v>0.99950930000000004</v>
      </c>
      <c r="Q4519">
        <v>-1.146526E-2</v>
      </c>
      <c r="R4519">
        <v>-2.9159029999999999E-2</v>
      </c>
      <c r="S4519">
        <v>2.983673</v>
      </c>
      <c r="T4519">
        <v>-0.610645199999999</v>
      </c>
      <c r="U4519">
        <v>-0.34083560000000002</v>
      </c>
      <c r="V4519">
        <v>2.5827309999999999E-2</v>
      </c>
      <c r="W4519">
        <v>3.5088630000000001E-3</v>
      </c>
      <c r="X4519">
        <v>0.99966029999999995</v>
      </c>
      <c r="Y4519">
        <v>0.1080424</v>
      </c>
      <c r="Z4519">
        <v>-1.0235640000000001E-2</v>
      </c>
      <c r="AA4519">
        <v>0.99409360000000002</v>
      </c>
      <c r="AB4519">
        <v>36</v>
      </c>
      <c r="AC4519">
        <v>0.52719999999999301</v>
      </c>
      <c r="AD4519">
        <v>-0.18486459999999999</v>
      </c>
      <c r="AE4519">
        <v>-0.102399999999988</v>
      </c>
      <c r="AF4519">
        <v>8.9981444429245702E-2</v>
      </c>
      <c r="AG4519">
        <v>-0.18486459999999999</v>
      </c>
      <c r="AH4519">
        <v>0.47165306116580002</v>
      </c>
      <c r="AI4519">
        <v>111.05703215459801</v>
      </c>
      <c r="AJ4519">
        <v>79.1989672247161</v>
      </c>
      <c r="AK4519">
        <v>0.51451743486669499</v>
      </c>
      <c r="AL4519">
        <v>89.798956554449902</v>
      </c>
      <c r="AM4519">
        <v>88.520030519625806</v>
      </c>
      <c r="AN4519">
        <v>1.00000003872873</v>
      </c>
    </row>
    <row r="4520" spans="1:40" x14ac:dyDescent="0.25">
      <c r="A4520" t="str">
        <f>"20190312154013008"</f>
        <v>20190312154013008</v>
      </c>
      <c r="B4520" t="str">
        <f>"1552376413000153"</f>
        <v>1552376413000153</v>
      </c>
      <c r="C4520" t="s">
        <v>40</v>
      </c>
      <c r="D4520">
        <v>4.3577899999999996</v>
      </c>
      <c r="E4520">
        <v>0.4955059</v>
      </c>
      <c r="F4520" t="s">
        <v>41</v>
      </c>
      <c r="G4520">
        <v>-362.65620000000001</v>
      </c>
      <c r="H4520">
        <v>1.0459540000000001</v>
      </c>
      <c r="I4520">
        <v>214.51589999999999</v>
      </c>
      <c r="J4520">
        <v>-363.20389999999998</v>
      </c>
      <c r="K4520">
        <v>1.110409</v>
      </c>
      <c r="L4520">
        <v>214.54140000000001</v>
      </c>
      <c r="M4520">
        <v>0.99988379999999999</v>
      </c>
      <c r="N4520">
        <v>0</v>
      </c>
      <c r="O4520">
        <v>-3.1151099999999999E-3</v>
      </c>
      <c r="P4520">
        <v>0.99954370000000003</v>
      </c>
      <c r="Q4520">
        <v>-1.257984E-2</v>
      </c>
      <c r="R4520">
        <v>-2.7465630000000001E-2</v>
      </c>
      <c r="S4520">
        <v>2.996521</v>
      </c>
      <c r="T4520">
        <v>-0.2121767</v>
      </c>
      <c r="U4520">
        <v>-8.59375E-2</v>
      </c>
      <c r="V4520">
        <v>2.435035E-2</v>
      </c>
      <c r="W4520">
        <v>2.3620749999999999E-3</v>
      </c>
      <c r="X4520">
        <v>0.9997007</v>
      </c>
      <c r="Y4520">
        <v>2.5496999999999999E-2</v>
      </c>
      <c r="Z4520">
        <v>-6.8110380000000002E-4</v>
      </c>
      <c r="AA4520">
        <v>0.99967470000000003</v>
      </c>
      <c r="AB4520">
        <v>36</v>
      </c>
      <c r="AC4520">
        <v>0.54769999999996299</v>
      </c>
      <c r="AD4520">
        <v>-6.4454999999999901E-2</v>
      </c>
      <c r="AE4520">
        <v>-2.5500000000022199E-2</v>
      </c>
      <c r="AF4520">
        <v>2.3469211454394401E-2</v>
      </c>
      <c r="AG4520">
        <v>-6.4454999999999901E-2</v>
      </c>
      <c r="AH4520">
        <v>0.54031005690113998</v>
      </c>
      <c r="AI4520">
        <v>96.796466778326206</v>
      </c>
      <c r="AJ4520">
        <v>87.512831725841295</v>
      </c>
      <c r="AK4520">
        <v>0.54464686586797195</v>
      </c>
      <c r="AL4520">
        <v>89.864662946333297</v>
      </c>
      <c r="AM4520">
        <v>88.604685915728595</v>
      </c>
      <c r="AN4520">
        <v>1.0000000042619499</v>
      </c>
    </row>
    <row r="4521" spans="1:40" x14ac:dyDescent="0.25">
      <c r="A4521" t="str">
        <f>"20190312154013033"</f>
        <v>20190312154013033</v>
      </c>
      <c r="B4521" t="str">
        <f>"1552376413020648"</f>
        <v>1552376413020648</v>
      </c>
      <c r="C4521" t="s">
        <v>40</v>
      </c>
      <c r="D4521">
        <v>4.3751059999999997</v>
      </c>
      <c r="E4521">
        <v>0.49421609999999999</v>
      </c>
      <c r="F4521" t="s">
        <v>61</v>
      </c>
      <c r="G4521">
        <v>-342.22399999999999</v>
      </c>
      <c r="H4521" s="1">
        <v>-3.5326410000000002E-7</v>
      </c>
      <c r="I4521">
        <v>214.2422</v>
      </c>
      <c r="J4521">
        <v>-362.82040000000001</v>
      </c>
      <c r="K4521">
        <v>1.110368</v>
      </c>
      <c r="L4521">
        <v>214.54040000000001</v>
      </c>
      <c r="M4521">
        <v>0.99988489999999997</v>
      </c>
      <c r="N4521">
        <v>0</v>
      </c>
      <c r="O4521">
        <v>-2.8878269999999999E-3</v>
      </c>
      <c r="P4521">
        <v>0.9995328</v>
      </c>
      <c r="Q4521">
        <v>-1.5361639999999999E-2</v>
      </c>
      <c r="R4521">
        <v>-2.6431280000000001E-2</v>
      </c>
      <c r="S4521">
        <v>2.99823</v>
      </c>
      <c r="T4521">
        <v>-0.15868850000000001</v>
      </c>
      <c r="U4521">
        <v>-4.2755130000000002E-2</v>
      </c>
      <c r="V4521">
        <v>2.3544450000000001E-2</v>
      </c>
      <c r="W4521">
        <v>-4.4910650000000001E-4</v>
      </c>
      <c r="X4521">
        <v>0.99972269999999996</v>
      </c>
      <c r="Y4521">
        <v>1.135891E-2</v>
      </c>
      <c r="Z4521">
        <v>-1.4762670000000001E-4</v>
      </c>
      <c r="AA4521">
        <v>0.99993540000000003</v>
      </c>
      <c r="AB4521">
        <v>36</v>
      </c>
      <c r="AC4521">
        <v>20.596399999999999</v>
      </c>
      <c r="AD4521">
        <v>-1.1103683532641</v>
      </c>
      <c r="AE4521">
        <v>-0.29820000000000801</v>
      </c>
      <c r="AF4521">
        <v>0.23802168249318101</v>
      </c>
      <c r="AG4521">
        <v>-1.1103683532641</v>
      </c>
      <c r="AH4521">
        <v>20.537498200559099</v>
      </c>
      <c r="AI4521">
        <v>93.094499654165006</v>
      </c>
      <c r="AJ4521">
        <v>89.335993743891706</v>
      </c>
      <c r="AK4521">
        <v>20.568869792461498</v>
      </c>
      <c r="AL4521">
        <v>90.025731907613206</v>
      </c>
      <c r="AM4521">
        <v>88.650877596021004</v>
      </c>
      <c r="AN4521">
        <v>1.0000000098588699</v>
      </c>
    </row>
    <row r="4522" spans="1:40" x14ac:dyDescent="0.25">
      <c r="A4522" t="str">
        <f>"20190312154013054"</f>
        <v>20190312154013054</v>
      </c>
      <c r="B4522" t="str">
        <f>"1552376413050905"</f>
        <v>1552376413050905</v>
      </c>
      <c r="C4522" t="s">
        <v>40</v>
      </c>
      <c r="D4522">
        <v>4.3615879999999896</v>
      </c>
      <c r="E4522">
        <v>0.49397619999999998</v>
      </c>
      <c r="F4522" t="s">
        <v>61</v>
      </c>
      <c r="G4522">
        <v>-342.10140000000001</v>
      </c>
      <c r="H4522" s="1">
        <v>-4.185094E-7</v>
      </c>
      <c r="I4522">
        <v>214.33580000000001</v>
      </c>
      <c r="J4522">
        <v>-362.47390000000001</v>
      </c>
      <c r="K4522">
        <v>1.1103379999999901</v>
      </c>
      <c r="L4522">
        <v>214.53960000000001</v>
      </c>
      <c r="M4522">
        <v>0.99988569999999999</v>
      </c>
      <c r="N4522">
        <v>0</v>
      </c>
      <c r="O4522">
        <v>-2.6823979999999999E-3</v>
      </c>
      <c r="P4522">
        <v>0.99947269999999999</v>
      </c>
      <c r="Q4522">
        <v>-1.8404210000000001E-2</v>
      </c>
      <c r="R4522">
        <v>-2.6758130000000001E-2</v>
      </c>
      <c r="S4522">
        <v>2.9981080000000002</v>
      </c>
      <c r="T4522">
        <v>-0.16067419999999999</v>
      </c>
      <c r="U4522">
        <v>-2.9617310000000001E-2</v>
      </c>
      <c r="V4522">
        <v>2.4078249999999999E-2</v>
      </c>
      <c r="W4522">
        <v>-3.5153369999999999E-3</v>
      </c>
      <c r="X4522">
        <v>0.99970389999999998</v>
      </c>
      <c r="Y4522">
        <v>7.1891200000000002E-3</v>
      </c>
      <c r="Z4522" s="1">
        <v>-4.8832909999999999E-5</v>
      </c>
      <c r="AA4522">
        <v>0.99997409999999998</v>
      </c>
      <c r="AB4522">
        <v>36</v>
      </c>
      <c r="AC4522">
        <v>20.372499999999999</v>
      </c>
      <c r="AD4522">
        <v>-1.1103384185093901</v>
      </c>
      <c r="AE4522">
        <v>-0.20380000000000101</v>
      </c>
      <c r="AF4522">
        <v>0.148704388584638</v>
      </c>
      <c r="AG4522">
        <v>-1.1103384185093901</v>
      </c>
      <c r="AH4522">
        <v>20.312641797941399</v>
      </c>
      <c r="AI4522">
        <v>93.1287292289974</v>
      </c>
      <c r="AJ4522">
        <v>89.580557677245196</v>
      </c>
      <c r="AK4522">
        <v>20.343509559814802</v>
      </c>
      <c r="AL4522">
        <v>90.201414387756003</v>
      </c>
      <c r="AM4522">
        <v>88.620276035632401</v>
      </c>
      <c r="AN4522">
        <v>1.00000000369624</v>
      </c>
    </row>
    <row r="4523" spans="1:40" x14ac:dyDescent="0.25">
      <c r="A4523" t="str">
        <f>"20190312154013077"</f>
        <v>20190312154013077</v>
      </c>
      <c r="B4523" t="str">
        <f>"1552376413070427"</f>
        <v>1552376413070427</v>
      </c>
      <c r="C4523" t="s">
        <v>40</v>
      </c>
      <c r="D4523">
        <v>4.3785290000000003</v>
      </c>
      <c r="E4523">
        <v>0.49392629999999998</v>
      </c>
      <c r="F4523" t="s">
        <v>61</v>
      </c>
      <c r="G4523">
        <v>-341.8519</v>
      </c>
      <c r="H4523" s="1">
        <v>-5.5128809999999899E-7</v>
      </c>
      <c r="I4523">
        <v>214.3407</v>
      </c>
      <c r="J4523">
        <v>-362.11869999999999</v>
      </c>
      <c r="K4523">
        <v>1.1103240000000001</v>
      </c>
      <c r="L4523">
        <v>214.53890000000001</v>
      </c>
      <c r="M4523">
        <v>0.99988659999999996</v>
      </c>
      <c r="N4523">
        <v>0</v>
      </c>
      <c r="O4523">
        <v>-2.4719780000000001E-3</v>
      </c>
      <c r="P4523">
        <v>0.99941250000000004</v>
      </c>
      <c r="Q4523">
        <v>-1.922633E-2</v>
      </c>
      <c r="R4523">
        <v>-2.837458E-2</v>
      </c>
      <c r="S4523">
        <v>2.9978639999999999</v>
      </c>
      <c r="T4523">
        <v>-0.16141240000000001</v>
      </c>
      <c r="U4523">
        <v>-2.8915409999999999E-2</v>
      </c>
      <c r="V4523">
        <v>2.590582E-2</v>
      </c>
      <c r="W4523">
        <v>-4.3587209999999899E-3</v>
      </c>
      <c r="X4523">
        <v>0.99965490000000001</v>
      </c>
      <c r="Y4523">
        <v>7.1659269999999999E-3</v>
      </c>
      <c r="Z4523" s="1">
        <v>-5.9759329999999998E-5</v>
      </c>
      <c r="AA4523">
        <v>0.99997429999999998</v>
      </c>
      <c r="AB4523">
        <v>36</v>
      </c>
      <c r="AC4523">
        <v>20.2667999999999</v>
      </c>
      <c r="AD4523">
        <v>-1.1103245512880999</v>
      </c>
      <c r="AE4523">
        <v>-0.198200000000014</v>
      </c>
      <c r="AF4523">
        <v>0.14765165674584901</v>
      </c>
      <c r="AG4523">
        <v>-1.1103245512880999</v>
      </c>
      <c r="AH4523">
        <v>20.206585031773599</v>
      </c>
      <c r="AI4523">
        <v>93.145078983029904</v>
      </c>
      <c r="AJ4523">
        <v>89.581341122513905</v>
      </c>
      <c r="AK4523">
        <v>20.2376060903267</v>
      </c>
      <c r="AL4523">
        <v>90.249737104521103</v>
      </c>
      <c r="AM4523">
        <v>88.515525694859207</v>
      </c>
      <c r="AN4523">
        <v>1.0000000145263099</v>
      </c>
    </row>
    <row r="4524" spans="1:40" x14ac:dyDescent="0.25">
      <c r="A4524" t="str">
        <f>"20190312154013099"</f>
        <v>20190312154013099</v>
      </c>
      <c r="B4524" t="str">
        <f>"1552376413090922"</f>
        <v>1552376413090922</v>
      </c>
      <c r="C4524" t="s">
        <v>40</v>
      </c>
      <c r="D4524">
        <v>4.3738089999999996</v>
      </c>
      <c r="E4524">
        <v>0.49391249999999998</v>
      </c>
      <c r="F4524" t="s">
        <v>61</v>
      </c>
      <c r="G4524">
        <v>-341.327</v>
      </c>
      <c r="H4524" s="1">
        <v>-8.3061809999999899E-7</v>
      </c>
      <c r="I4524">
        <v>214.3074</v>
      </c>
      <c r="J4524">
        <v>-361.75880000000001</v>
      </c>
      <c r="K4524">
        <v>1.1103229999999999</v>
      </c>
      <c r="L4524">
        <v>214.53819999999999</v>
      </c>
      <c r="M4524">
        <v>0.99988750000000004</v>
      </c>
      <c r="N4524">
        <v>0</v>
      </c>
      <c r="O4524">
        <v>-2.2584770000000001E-3</v>
      </c>
      <c r="P4524">
        <v>0.99937489999999995</v>
      </c>
      <c r="Q4524">
        <v>-1.8260410000000001E-2</v>
      </c>
      <c r="R4524">
        <v>-3.0280029999999999E-2</v>
      </c>
      <c r="S4524">
        <v>2.9977420000000001</v>
      </c>
      <c r="T4524">
        <v>-0.16008610000000001</v>
      </c>
      <c r="U4524">
        <v>-3.337097E-2</v>
      </c>
      <c r="V4524">
        <v>2.8024070000000002E-2</v>
      </c>
      <c r="W4524">
        <v>-3.4115949999999999E-3</v>
      </c>
      <c r="X4524">
        <v>0.99960139999999997</v>
      </c>
      <c r="Y4524">
        <v>8.8633240000000005E-3</v>
      </c>
      <c r="Z4524">
        <v>-1.1595399999999999E-4</v>
      </c>
      <c r="AA4524">
        <v>0.99996070000000004</v>
      </c>
      <c r="AB4524">
        <v>36</v>
      </c>
      <c r="AC4524">
        <v>20.431799999999999</v>
      </c>
      <c r="AD4524">
        <v>-1.1103238306181</v>
      </c>
      <c r="AE4524">
        <v>-0.23079999999998699</v>
      </c>
      <c r="AF4524">
        <v>0.184105962879719</v>
      </c>
      <c r="AG4524">
        <v>-1.1103238306181</v>
      </c>
      <c r="AH4524">
        <v>20.37211488134</v>
      </c>
      <c r="AI4524">
        <v>93.119528870423295</v>
      </c>
      <c r="AJ4524">
        <v>89.482223246535</v>
      </c>
      <c r="AK4524">
        <v>20.403180603840202</v>
      </c>
      <c r="AL4524">
        <v>90.1954703793308</v>
      </c>
      <c r="AM4524">
        <v>88.394119431715893</v>
      </c>
      <c r="AN4524">
        <v>0.99999997318088396</v>
      </c>
    </row>
    <row r="4525" spans="1:40" x14ac:dyDescent="0.25">
      <c r="A4525" t="str">
        <f>"20190312154013120"</f>
        <v>20190312154013120</v>
      </c>
      <c r="B4525" t="str">
        <f>"1552376413110441"</f>
        <v>1552376413110441</v>
      </c>
      <c r="C4525" t="s">
        <v>40</v>
      </c>
      <c r="D4525">
        <v>4.3995379999999997</v>
      </c>
      <c r="E4525">
        <v>0.4939963</v>
      </c>
      <c r="F4525" t="s">
        <v>61</v>
      </c>
      <c r="G4525">
        <v>-340.24299999999999</v>
      </c>
      <c r="H4525" s="1">
        <v>-1.40745E-6</v>
      </c>
      <c r="I4525">
        <v>214.25800000000001</v>
      </c>
      <c r="J4525">
        <v>-361.41719999999998</v>
      </c>
      <c r="K4525">
        <v>1.11032</v>
      </c>
      <c r="L4525">
        <v>214.5376</v>
      </c>
      <c r="M4525">
        <v>0.99988809999999995</v>
      </c>
      <c r="N4525">
        <v>0</v>
      </c>
      <c r="O4525">
        <v>-2.0560800000000001E-3</v>
      </c>
      <c r="P4525">
        <v>0.99933430000000001</v>
      </c>
      <c r="Q4525">
        <v>-1.7113239999999998E-2</v>
      </c>
      <c r="R4525">
        <v>-3.2224129999999997E-2</v>
      </c>
      <c r="S4525">
        <v>2.9978639999999999</v>
      </c>
      <c r="T4525">
        <v>-0.1547055</v>
      </c>
      <c r="U4525">
        <v>-3.9031980000000001E-2</v>
      </c>
      <c r="V4525">
        <v>3.017009E-2</v>
      </c>
      <c r="W4525">
        <v>-2.280415E-3</v>
      </c>
      <c r="X4525">
        <v>0.99954219999999905</v>
      </c>
      <c r="Y4525">
        <v>1.095084E-2</v>
      </c>
      <c r="Z4525">
        <v>-1.7631980000000001E-4</v>
      </c>
      <c r="AA4525">
        <v>0.99994000000000005</v>
      </c>
      <c r="AB4525">
        <v>36</v>
      </c>
      <c r="AC4525">
        <v>21.1741999999999</v>
      </c>
      <c r="AD4525">
        <v>-1.1103214074500001</v>
      </c>
      <c r="AE4525">
        <v>-0.279600000000016</v>
      </c>
      <c r="AF4525">
        <v>0.23541158404204199</v>
      </c>
      <c r="AG4525">
        <v>-1.1103214074500001</v>
      </c>
      <c r="AH4525">
        <v>21.116676030384401</v>
      </c>
      <c r="AI4525">
        <v>93.009671540219003</v>
      </c>
      <c r="AJ4525">
        <v>89.361285295778004</v>
      </c>
      <c r="AK4525">
        <v>21.1471567548442</v>
      </c>
      <c r="AL4525">
        <v>90.130658265394203</v>
      </c>
      <c r="AM4525">
        <v>88.271114368127201</v>
      </c>
      <c r="AN4525">
        <v>1.000000022102</v>
      </c>
    </row>
    <row r="4526" spans="1:40" x14ac:dyDescent="0.25">
      <c r="A4526" t="str">
        <f>"20190312154013142"</f>
        <v>20190312154013142</v>
      </c>
      <c r="B4526" t="str">
        <f>"1552376413130941"</f>
        <v>1552376413130941</v>
      </c>
      <c r="C4526" t="s">
        <v>40</v>
      </c>
      <c r="D4526">
        <v>4.3789220000000002</v>
      </c>
      <c r="E4526">
        <v>0.49399100000000001</v>
      </c>
      <c r="F4526" t="s">
        <v>61</v>
      </c>
      <c r="G4526">
        <v>-339.06849999999997</v>
      </c>
      <c r="H4526" s="1">
        <v>3.3072619999999999E-6</v>
      </c>
      <c r="I4526">
        <v>214.1985</v>
      </c>
      <c r="J4526">
        <v>-361.0634</v>
      </c>
      <c r="K4526">
        <v>1.1103130000000001</v>
      </c>
      <c r="L4526">
        <v>214.53710000000001</v>
      </c>
      <c r="M4526">
        <v>0.99988869999999996</v>
      </c>
      <c r="N4526">
        <v>0</v>
      </c>
      <c r="O4526">
        <v>-1.846065E-3</v>
      </c>
      <c r="P4526">
        <v>0.99928839999999997</v>
      </c>
      <c r="Q4526">
        <v>-1.7297549999999998E-2</v>
      </c>
      <c r="R4526">
        <v>-3.3524890000000002E-2</v>
      </c>
      <c r="S4526">
        <v>2.997986</v>
      </c>
      <c r="T4526">
        <v>-0.1489441</v>
      </c>
      <c r="U4526">
        <v>-4.5486449999999998E-2</v>
      </c>
      <c r="V4526">
        <v>3.1680890000000003E-2</v>
      </c>
      <c r="W4526">
        <v>-2.4797769999999998E-3</v>
      </c>
      <c r="X4526">
        <v>0.99949500000000002</v>
      </c>
      <c r="Y4526">
        <v>1.331038E-2</v>
      </c>
      <c r="Z4526">
        <v>-2.387534E-4</v>
      </c>
      <c r="AA4526">
        <v>0.99991140000000001</v>
      </c>
      <c r="AB4526">
        <v>36</v>
      </c>
      <c r="AC4526">
        <v>21.994900000000001</v>
      </c>
      <c r="AD4526">
        <v>-1.1103096927379901</v>
      </c>
      <c r="AE4526">
        <v>-0.338600000000013</v>
      </c>
      <c r="AF4526">
        <v>0.29723370706889202</v>
      </c>
      <c r="AG4526">
        <v>-1.1103096927379901</v>
      </c>
      <c r="AH4526">
        <v>21.939593048421301</v>
      </c>
      <c r="AI4526">
        <v>92.896863695854904</v>
      </c>
      <c r="AJ4526">
        <v>89.2238144485395</v>
      </c>
      <c r="AK4526">
        <v>21.9696808948319</v>
      </c>
      <c r="AL4526">
        <v>90.142080895945796</v>
      </c>
      <c r="AM4526">
        <v>88.184509422995703</v>
      </c>
      <c r="AN4526">
        <v>1.00000004155508</v>
      </c>
    </row>
    <row r="4527" spans="1:40" x14ac:dyDescent="0.25">
      <c r="A4527" t="str">
        <f>"20190312154013165"</f>
        <v>20190312154013165</v>
      </c>
      <c r="B4527" t="str">
        <f>"1552376413160217"</f>
        <v>1552376413160217</v>
      </c>
      <c r="C4527" t="s">
        <v>40</v>
      </c>
      <c r="D4527">
        <v>4.4311309999999997</v>
      </c>
      <c r="E4527">
        <v>0.49375330000000001</v>
      </c>
      <c r="F4527" t="s">
        <v>61</v>
      </c>
      <c r="G4527">
        <v>-338.53199999999998</v>
      </c>
      <c r="H4527" s="1">
        <v>3.0231349999999998E-6</v>
      </c>
      <c r="I4527">
        <v>214.1671</v>
      </c>
      <c r="J4527">
        <v>-360.71820000000002</v>
      </c>
      <c r="K4527">
        <v>1.1103050000000001</v>
      </c>
      <c r="L4527">
        <v>214.53659999999999</v>
      </c>
      <c r="M4527">
        <v>0.99988920000000003</v>
      </c>
      <c r="N4527">
        <v>0</v>
      </c>
      <c r="O4527">
        <v>-1.640833E-3</v>
      </c>
      <c r="P4527">
        <v>0.99924040000000003</v>
      </c>
      <c r="Q4527">
        <v>-1.801738E-2</v>
      </c>
      <c r="R4527">
        <v>-3.4559069999999997E-2</v>
      </c>
      <c r="S4527">
        <v>2.997925</v>
      </c>
      <c r="T4527">
        <v>-0.1477329</v>
      </c>
      <c r="U4527">
        <v>-4.9224850000000001E-2</v>
      </c>
      <c r="V4527">
        <v>3.2920690000000002E-2</v>
      </c>
      <c r="W4527">
        <v>-3.2127940000000002E-3</v>
      </c>
      <c r="X4527">
        <v>0.99945280000000003</v>
      </c>
      <c r="Y4527">
        <v>1.47607E-2</v>
      </c>
      <c r="Z4527">
        <v>-2.8263509999999997E-4</v>
      </c>
      <c r="AA4527">
        <v>0.99989099999999997</v>
      </c>
      <c r="AB4527">
        <v>36</v>
      </c>
      <c r="AC4527">
        <v>22.186199999999999</v>
      </c>
      <c r="AD4527">
        <v>-1.110301976865</v>
      </c>
      <c r="AE4527">
        <v>-0.369499999999988</v>
      </c>
      <c r="AF4527">
        <v>0.33225976349928399</v>
      </c>
      <c r="AG4527">
        <v>-1.110301976865</v>
      </c>
      <c r="AH4527">
        <v>22.131364443186399</v>
      </c>
      <c r="AI4527">
        <v>92.871724266141698</v>
      </c>
      <c r="AJ4527">
        <v>89.139878965797706</v>
      </c>
      <c r="AK4527">
        <v>22.161688995818999</v>
      </c>
      <c r="AL4527">
        <v>90.184079853942293</v>
      </c>
      <c r="AM4527">
        <v>88.113432786857302</v>
      </c>
      <c r="AN4527">
        <v>0.999999996651601</v>
      </c>
    </row>
    <row r="4528" spans="1:40" x14ac:dyDescent="0.25">
      <c r="A4528" t="str">
        <f>"20190312154013187"</f>
        <v>20190312154013187</v>
      </c>
      <c r="B4528" t="str">
        <f>"1552376413180843"</f>
        <v>1552376413180843</v>
      </c>
      <c r="C4528" t="s">
        <v>40</v>
      </c>
      <c r="D4528">
        <v>4.3908509999999996</v>
      </c>
      <c r="E4528">
        <v>0.49357089999999998</v>
      </c>
      <c r="F4528" t="s">
        <v>61</v>
      </c>
      <c r="G4528">
        <v>-338.80329999999998</v>
      </c>
      <c r="H4528" s="1">
        <v>3.1675070000000001E-6</v>
      </c>
      <c r="I4528">
        <v>214.1677</v>
      </c>
      <c r="J4528">
        <v>-360.35250000000002</v>
      </c>
      <c r="K4528">
        <v>1.1102939999999999</v>
      </c>
      <c r="L4528">
        <v>214.53620000000001</v>
      </c>
      <c r="M4528">
        <v>0.99988969999999999</v>
      </c>
      <c r="N4528">
        <v>0</v>
      </c>
      <c r="O4528">
        <v>-1.4236819999999999E-3</v>
      </c>
      <c r="P4528">
        <v>0.9992183</v>
      </c>
      <c r="Q4528">
        <v>-1.7534979999999999E-2</v>
      </c>
      <c r="R4528">
        <v>-3.5429429999999998E-2</v>
      </c>
      <c r="S4528">
        <v>2.997833</v>
      </c>
      <c r="T4528">
        <v>-0.15188309999999999</v>
      </c>
      <c r="U4528">
        <v>-5.0460820000000003E-2</v>
      </c>
      <c r="V4528">
        <v>3.400806E-2</v>
      </c>
      <c r="W4528">
        <v>-2.7430760000000001E-3</v>
      </c>
      <c r="X4528">
        <v>0.99941780000000002</v>
      </c>
      <c r="Y4528">
        <v>1.5388489999999999E-2</v>
      </c>
      <c r="Z4528">
        <v>-3.1745999999999999E-4</v>
      </c>
      <c r="AA4528">
        <v>0.99988160000000004</v>
      </c>
      <c r="AB4528">
        <v>36</v>
      </c>
      <c r="AC4528">
        <v>21.549199999999999</v>
      </c>
      <c r="AD4528">
        <v>-1.1102908324930001</v>
      </c>
      <c r="AE4528">
        <v>-0.36850000000001099</v>
      </c>
      <c r="AF4528">
        <v>0.33692290610322601</v>
      </c>
      <c r="AG4528">
        <v>-1.1102908324930001</v>
      </c>
      <c r="AH4528">
        <v>21.4926635043036</v>
      </c>
      <c r="AI4528">
        <v>92.956854837960805</v>
      </c>
      <c r="AJ4528">
        <v>89.101894491734498</v>
      </c>
      <c r="AK4528">
        <v>21.5239598421526</v>
      </c>
      <c r="AL4528">
        <v>90.157166873874402</v>
      </c>
      <c r="AM4528">
        <v>88.051098580635298</v>
      </c>
      <c r="AN4528">
        <v>1.00000000578387</v>
      </c>
    </row>
    <row r="4529" spans="1:40" x14ac:dyDescent="0.25">
      <c r="A4529" t="str">
        <f>"20190312154013210"</f>
        <v>20190312154013210</v>
      </c>
      <c r="B4529" t="str">
        <f>"1552376413200352"</f>
        <v>1552376413200352</v>
      </c>
      <c r="C4529" t="s">
        <v>40</v>
      </c>
      <c r="D4529">
        <v>4.3915419999999896</v>
      </c>
      <c r="E4529">
        <v>0.49347289999999999</v>
      </c>
      <c r="F4529" t="s">
        <v>61</v>
      </c>
      <c r="G4529">
        <v>-338.34660000000002</v>
      </c>
      <c r="H4529" s="1">
        <v>2.9248489999999998E-6</v>
      </c>
      <c r="I4529">
        <v>214.1591</v>
      </c>
      <c r="J4529">
        <v>-359.99250000000001</v>
      </c>
      <c r="K4529">
        <v>1.1102989999999999</v>
      </c>
      <c r="L4529">
        <v>214.5359</v>
      </c>
      <c r="M4529">
        <v>0.9998901</v>
      </c>
      <c r="N4529">
        <v>0</v>
      </c>
      <c r="O4529">
        <v>-1.2096380000000001E-3</v>
      </c>
      <c r="P4529">
        <v>0.99925920000000001</v>
      </c>
      <c r="Q4529">
        <v>-1.5469439999999999E-2</v>
      </c>
      <c r="R4529">
        <v>-3.5239310000000003E-2</v>
      </c>
      <c r="S4529">
        <v>2.9978639999999999</v>
      </c>
      <c r="T4529">
        <v>-0.151254799999999</v>
      </c>
      <c r="U4529">
        <v>-5.137634E-2</v>
      </c>
      <c r="V4529">
        <v>3.4030730000000002E-2</v>
      </c>
      <c r="W4529">
        <v>-6.8877559999999997E-4</v>
      </c>
      <c r="X4529">
        <v>0.99942050000000004</v>
      </c>
      <c r="Y4529">
        <v>1.5906839999999998E-2</v>
      </c>
      <c r="Z4529">
        <v>-3.4000440000000001E-4</v>
      </c>
      <c r="AA4529">
        <v>0.99987340000000002</v>
      </c>
      <c r="AB4529">
        <v>36</v>
      </c>
      <c r="AC4529">
        <v>21.645899999999902</v>
      </c>
      <c r="AD4529">
        <v>-1.11029607515099</v>
      </c>
      <c r="AE4529">
        <v>-0.37680000000000202</v>
      </c>
      <c r="AF4529">
        <v>0.349693386173617</v>
      </c>
      <c r="AG4529">
        <v>-1.11029607515099</v>
      </c>
      <c r="AH4529">
        <v>21.589554376220001</v>
      </c>
      <c r="AI4529">
        <v>92.943597757037196</v>
      </c>
      <c r="AJ4529">
        <v>89.0720418352373</v>
      </c>
      <c r="AK4529">
        <v>21.620913509900301</v>
      </c>
      <c r="AL4529">
        <v>90.039463939989005</v>
      </c>
      <c r="AM4529">
        <v>88.049805697302403</v>
      </c>
      <c r="AN4529">
        <v>0.999999950408203</v>
      </c>
    </row>
    <row r="4530" spans="1:40" x14ac:dyDescent="0.25">
      <c r="A4530" t="str">
        <f>"20190312154013233"</f>
        <v>20190312154013233</v>
      </c>
      <c r="B4530" t="str">
        <f>"1552376413220849"</f>
        <v>1552376413220849</v>
      </c>
      <c r="C4530" t="s">
        <v>40</v>
      </c>
      <c r="D4530">
        <v>4.371696</v>
      </c>
      <c r="E4530">
        <v>0.49330689999999999</v>
      </c>
      <c r="F4530" t="s">
        <v>61</v>
      </c>
      <c r="G4530">
        <v>-337.2353</v>
      </c>
      <c r="H4530" s="1">
        <v>2.3335510000000001E-6</v>
      </c>
      <c r="I4530">
        <v>214.15649999999999</v>
      </c>
      <c r="J4530">
        <v>-359.63040000000001</v>
      </c>
      <c r="K4530">
        <v>1.1103000000000001</v>
      </c>
      <c r="L4530">
        <v>214.53569999999999</v>
      </c>
      <c r="M4530">
        <v>0.99989059999999996</v>
      </c>
      <c r="N4530">
        <v>0</v>
      </c>
      <c r="O4530">
        <v>-9.9452950000000003E-4</v>
      </c>
      <c r="P4530">
        <v>0.99929429999999997</v>
      </c>
      <c r="Q4530">
        <v>-1.3995540000000001E-2</v>
      </c>
      <c r="R4530">
        <v>-3.4855999999999998E-2</v>
      </c>
      <c r="S4530">
        <v>2.9981990000000001</v>
      </c>
      <c r="T4530">
        <v>-0.14627850000000001</v>
      </c>
      <c r="U4530">
        <v>-4.9987789999999997E-2</v>
      </c>
      <c r="V4530">
        <v>3.3861750000000003E-2</v>
      </c>
      <c r="W4530">
        <v>7.7468549999999995E-4</v>
      </c>
      <c r="X4530">
        <v>0.99942620000000004</v>
      </c>
      <c r="Y4530">
        <v>1.565834E-2</v>
      </c>
      <c r="Z4530">
        <v>-3.3322739999999999E-4</v>
      </c>
      <c r="AA4530">
        <v>0.99987729999999997</v>
      </c>
      <c r="AB4530">
        <v>36</v>
      </c>
      <c r="AC4530">
        <v>22.395099999999999</v>
      </c>
      <c r="AD4530">
        <v>-1.1102976664489901</v>
      </c>
      <c r="AE4530">
        <v>-0.37919999999999698</v>
      </c>
      <c r="AF4530">
        <v>0.35604989735118397</v>
      </c>
      <c r="AG4530">
        <v>-1.1102976664489901</v>
      </c>
      <c r="AH4530">
        <v>22.340569849625801</v>
      </c>
      <c r="AI4530">
        <v>92.844825115798002</v>
      </c>
      <c r="AJ4530">
        <v>89.086933341296302</v>
      </c>
      <c r="AK4530">
        <v>22.370976591189201</v>
      </c>
      <c r="AL4530">
        <v>89.955613784795105</v>
      </c>
      <c r="AM4530">
        <v>88.059493047441507</v>
      </c>
      <c r="AN4530">
        <v>0.99999997374856198</v>
      </c>
    </row>
    <row r="4531" spans="1:40" x14ac:dyDescent="0.25">
      <c r="A4531" t="str">
        <f>"20190312154013255"</f>
        <v>20190312154013255</v>
      </c>
      <c r="B4531" t="str">
        <f>"1552376413250128"</f>
        <v>1552376413250128</v>
      </c>
      <c r="C4531" t="s">
        <v>40</v>
      </c>
      <c r="D4531">
        <v>4.3382310000000004</v>
      </c>
      <c r="E4531">
        <v>0.49301739999999999</v>
      </c>
      <c r="F4531" t="s">
        <v>61</v>
      </c>
      <c r="G4531">
        <v>-336.1823</v>
      </c>
      <c r="H4531" s="1">
        <v>1.7728429999999999E-6</v>
      </c>
      <c r="I4531">
        <v>214.16489999999999</v>
      </c>
      <c r="J4531">
        <v>-359.28379999999999</v>
      </c>
      <c r="K4531">
        <v>1.110303</v>
      </c>
      <c r="L4531">
        <v>214.53550000000001</v>
      </c>
      <c r="M4531">
        <v>0.99989079999999997</v>
      </c>
      <c r="N4531">
        <v>0</v>
      </c>
      <c r="O4531">
        <v>-7.8836990000000001E-4</v>
      </c>
      <c r="P4531">
        <v>0.9993187</v>
      </c>
      <c r="Q4531">
        <v>-1.306744E-2</v>
      </c>
      <c r="R4531">
        <v>-3.4521169999999997E-2</v>
      </c>
      <c r="S4531">
        <v>2.9984739999999999</v>
      </c>
      <c r="T4531">
        <v>-0.14198169999999999</v>
      </c>
      <c r="U4531">
        <v>-4.7409060000000003E-2</v>
      </c>
      <c r="V4531">
        <v>3.3732209999999999E-2</v>
      </c>
      <c r="W4531">
        <v>1.6940270000000001E-3</v>
      </c>
      <c r="X4531">
        <v>0.99942949999999997</v>
      </c>
      <c r="Y4531">
        <v>1.50048E-2</v>
      </c>
      <c r="Z4531">
        <v>-3.1771639999999998E-4</v>
      </c>
      <c r="AA4531">
        <v>0.99988730000000003</v>
      </c>
      <c r="AB4531">
        <v>36</v>
      </c>
      <c r="AC4531">
        <v>23.101499999999898</v>
      </c>
      <c r="AD4531">
        <v>-1.1103012271570001</v>
      </c>
      <c r="AE4531">
        <v>-0.37060000000002402</v>
      </c>
      <c r="AF4531">
        <v>0.35157346844146298</v>
      </c>
      <c r="AG4531">
        <v>-1.1103012271570001</v>
      </c>
      <c r="AH4531">
        <v>23.048557862336899</v>
      </c>
      <c r="AI4531">
        <v>92.757615146491503</v>
      </c>
      <c r="AJ4531">
        <v>89.126100905007902</v>
      </c>
      <c r="AK4531">
        <v>23.077963347146301</v>
      </c>
      <c r="AL4531">
        <v>89.902939358871194</v>
      </c>
      <c r="AM4531">
        <v>88.066917299251998</v>
      </c>
      <c r="AN4531">
        <v>1.0000000285946</v>
      </c>
    </row>
    <row r="4532" spans="1:40" x14ac:dyDescent="0.25">
      <c r="A4532" t="str">
        <f>"20190312154013276"</f>
        <v>20190312154013276</v>
      </c>
      <c r="B4532" t="str">
        <f>"1552376413270624"</f>
        <v>1552376413270624</v>
      </c>
      <c r="C4532" t="s">
        <v>40</v>
      </c>
      <c r="D4532">
        <v>4.2428619999999997</v>
      </c>
      <c r="E4532">
        <v>0.49292849999999999</v>
      </c>
      <c r="F4532" t="s">
        <v>61</v>
      </c>
      <c r="G4532">
        <v>-335.48169999999999</v>
      </c>
      <c r="H4532" s="1">
        <v>1.39915E-6</v>
      </c>
      <c r="I4532">
        <v>214.18440000000001</v>
      </c>
      <c r="J4532">
        <v>-358.9393</v>
      </c>
      <c r="K4532">
        <v>1.1102989999999999</v>
      </c>
      <c r="L4532">
        <v>214.53550000000001</v>
      </c>
      <c r="M4532">
        <v>0.99989110000000003</v>
      </c>
      <c r="N4532">
        <v>0</v>
      </c>
      <c r="O4532">
        <v>-5.8364650000000001E-4</v>
      </c>
      <c r="P4532">
        <v>0.9993322</v>
      </c>
      <c r="Q4532">
        <v>-1.3067250000000001E-2</v>
      </c>
      <c r="R4532">
        <v>-3.4119129999999998E-2</v>
      </c>
      <c r="S4532">
        <v>2.998688</v>
      </c>
      <c r="T4532">
        <v>-0.13988020000000001</v>
      </c>
      <c r="U4532">
        <v>-4.423523E-2</v>
      </c>
      <c r="V4532">
        <v>3.3535160000000001E-2</v>
      </c>
      <c r="W4532">
        <v>1.6854439999999999E-3</v>
      </c>
      <c r="X4532">
        <v>0.99943610000000005</v>
      </c>
      <c r="Y4532">
        <v>1.4151520000000001E-2</v>
      </c>
      <c r="Z4532">
        <v>-3.0265469999999999E-4</v>
      </c>
      <c r="AA4532">
        <v>0.99989980000000001</v>
      </c>
      <c r="AB4532">
        <v>36</v>
      </c>
      <c r="AC4532">
        <v>23.457599999999999</v>
      </c>
      <c r="AD4532">
        <v>-1.1102976008499901</v>
      </c>
      <c r="AE4532">
        <v>-0.35110000000000202</v>
      </c>
      <c r="AF4532">
        <v>0.33665345995152901</v>
      </c>
      <c r="AG4532">
        <v>-1.1102976008499901</v>
      </c>
      <c r="AH4532">
        <v>23.4053769620227</v>
      </c>
      <c r="AI4532">
        <v>92.715664330713693</v>
      </c>
      <c r="AJ4532">
        <v>89.175937546199705</v>
      </c>
      <c r="AK4532">
        <v>23.4341154526671</v>
      </c>
      <c r="AL4532">
        <v>89.903431124815398</v>
      </c>
      <c r="AM4532">
        <v>88.078213779689605</v>
      </c>
      <c r="AN4532">
        <v>0.99999998283045599</v>
      </c>
    </row>
    <row r="4533" spans="1:40" x14ac:dyDescent="0.25">
      <c r="A4533" t="str">
        <f>"20190312154013300"</f>
        <v>20190312154013300</v>
      </c>
      <c r="B4533" t="str">
        <f>"1552376413290146"</f>
        <v>1552376413290146</v>
      </c>
      <c r="C4533" t="s">
        <v>40</v>
      </c>
      <c r="D4533">
        <v>4.2614299999999998</v>
      </c>
      <c r="E4533">
        <v>0.492842</v>
      </c>
      <c r="F4533" t="s">
        <v>61</v>
      </c>
      <c r="G4533">
        <v>-335.00199999999899</v>
      </c>
      <c r="H4533" s="1">
        <v>1.1433590000000001E-6</v>
      </c>
      <c r="I4533">
        <v>214.19710000000001</v>
      </c>
      <c r="J4533">
        <v>-358.56560000000002</v>
      </c>
      <c r="K4533">
        <v>1.110301</v>
      </c>
      <c r="L4533">
        <v>214.53550000000001</v>
      </c>
      <c r="M4533">
        <v>0.99989130000000004</v>
      </c>
      <c r="N4533">
        <v>0</v>
      </c>
      <c r="O4533">
        <v>-3.6151839999999999E-4</v>
      </c>
      <c r="P4533">
        <v>0.99934319999999999</v>
      </c>
      <c r="Q4533">
        <v>-1.2561249999999999E-2</v>
      </c>
      <c r="R4533">
        <v>-3.3993839999999997E-2</v>
      </c>
      <c r="S4533">
        <v>2.9987490000000001</v>
      </c>
      <c r="T4533">
        <v>-0.13909299999999999</v>
      </c>
      <c r="U4533">
        <v>-4.2388919999999997E-2</v>
      </c>
      <c r="V4533">
        <v>3.3631420000000002E-2</v>
      </c>
      <c r="W4533">
        <v>2.1827840000000001E-3</v>
      </c>
      <c r="X4533">
        <v>0.99943190000000004</v>
      </c>
      <c r="Y4533">
        <v>1.37582E-2</v>
      </c>
      <c r="Z4533">
        <v>-3.0213020000000002E-4</v>
      </c>
      <c r="AA4533">
        <v>0.9999053</v>
      </c>
      <c r="AB4533">
        <v>35</v>
      </c>
      <c r="AC4533">
        <v>23.563600000000001</v>
      </c>
      <c r="AD4533">
        <v>-1.1102998566410001</v>
      </c>
      <c r="AE4533">
        <v>-0.33840000000000697</v>
      </c>
      <c r="AF4533">
        <v>0.32914974109473599</v>
      </c>
      <c r="AG4533">
        <v>-1.1102998566410001</v>
      </c>
      <c r="AH4533">
        <v>23.5115306511358</v>
      </c>
      <c r="AI4533">
        <v>92.703441633511801</v>
      </c>
      <c r="AJ4533">
        <v>89.197939964415497</v>
      </c>
      <c r="AK4533">
        <v>23.540033536148901</v>
      </c>
      <c r="AL4533">
        <v>89.874935587378303</v>
      </c>
      <c r="AM4533">
        <v>88.072693506843393</v>
      </c>
      <c r="AN4533">
        <v>0.99999997984740796</v>
      </c>
    </row>
    <row r="4534" spans="1:40" x14ac:dyDescent="0.25">
      <c r="A4534" t="str">
        <f>"20190312154013321"</f>
        <v>20190312154013321</v>
      </c>
      <c r="B4534" t="str">
        <f>"1552376413310644"</f>
        <v>1552376413310644</v>
      </c>
      <c r="C4534" t="s">
        <v>40</v>
      </c>
      <c r="D4534">
        <v>4.2242259999999998</v>
      </c>
      <c r="E4534">
        <v>0.48792970000000002</v>
      </c>
      <c r="F4534" t="s">
        <v>61</v>
      </c>
      <c r="G4534">
        <v>-334.1026</v>
      </c>
      <c r="H4534" s="1">
        <v>6.6470650000000004E-7</v>
      </c>
      <c r="I4534">
        <v>214.1979</v>
      </c>
      <c r="J4534">
        <v>-358.23099999999999</v>
      </c>
      <c r="K4534">
        <v>1.1103069999999999</v>
      </c>
      <c r="L4534">
        <v>214.53559999999999</v>
      </c>
      <c r="M4534">
        <v>0.99989159999999999</v>
      </c>
      <c r="N4534">
        <v>0</v>
      </c>
      <c r="O4534">
        <v>-1.62409E-4</v>
      </c>
      <c r="P4534">
        <v>0.99935070000000004</v>
      </c>
      <c r="Q4534">
        <v>-1.190338E-2</v>
      </c>
      <c r="R4534">
        <v>-3.4013040000000001E-2</v>
      </c>
      <c r="S4534">
        <v>2.99884</v>
      </c>
      <c r="T4534">
        <v>-0.13610829999999999</v>
      </c>
      <c r="U4534">
        <v>-4.1381840000000003E-2</v>
      </c>
      <c r="V4534">
        <v>3.3849360000000002E-2</v>
      </c>
      <c r="W4534">
        <v>2.834142E-3</v>
      </c>
      <c r="X4534">
        <v>0.9994229</v>
      </c>
      <c r="Y4534">
        <v>1.36217E-2</v>
      </c>
      <c r="Z4534">
        <v>-3.0158229999999999E-4</v>
      </c>
      <c r="AA4534">
        <v>0.9999072</v>
      </c>
      <c r="AB4534">
        <v>35</v>
      </c>
      <c r="AC4534">
        <v>24.128399999999999</v>
      </c>
      <c r="AD4534">
        <v>-1.1103063352935001</v>
      </c>
      <c r="AE4534">
        <v>-0.33769999999998301</v>
      </c>
      <c r="AF4534">
        <v>0.33307574330224099</v>
      </c>
      <c r="AG4534">
        <v>-1.1103063352935001</v>
      </c>
      <c r="AH4534">
        <v>24.0774798480765</v>
      </c>
      <c r="AI4534">
        <v>92.640008788646597</v>
      </c>
      <c r="AJ4534">
        <v>89.207449563678395</v>
      </c>
      <c r="AK4534">
        <v>24.105367772417399</v>
      </c>
      <c r="AL4534">
        <v>89.837615402970201</v>
      </c>
      <c r="AM4534">
        <v>88.060196135438005</v>
      </c>
      <c r="AN4534">
        <v>0.99999997228884696</v>
      </c>
    </row>
    <row r="4535" spans="1:40" x14ac:dyDescent="0.25">
      <c r="A4535" t="str">
        <f>"20190312154013342"</f>
        <v>20190312154013342</v>
      </c>
      <c r="B4535" t="str">
        <f>"1552376413330160"</f>
        <v>1552376413330160</v>
      </c>
      <c r="C4535" t="s">
        <v>40</v>
      </c>
      <c r="D4535">
        <v>4.1867640000000002</v>
      </c>
      <c r="E4535">
        <v>0.48799870000000001</v>
      </c>
      <c r="F4535" t="s">
        <v>61</v>
      </c>
      <c r="G4535">
        <v>-273.06990000000002</v>
      </c>
      <c r="H4535" s="1">
        <v>1.072657E-7</v>
      </c>
      <c r="I4535">
        <v>214.3784</v>
      </c>
      <c r="J4535">
        <v>-357.89170000000001</v>
      </c>
      <c r="K4535">
        <v>1.110311</v>
      </c>
      <c r="L4535">
        <v>214.53569999999999</v>
      </c>
      <c r="M4535">
        <v>0.9998918</v>
      </c>
      <c r="N4535">
        <v>0</v>
      </c>
      <c r="O4535" s="1">
        <v>3.9618530000000002E-5</v>
      </c>
      <c r="P4535">
        <v>0.99935600000000002</v>
      </c>
      <c r="Q4535">
        <v>-1.111674E-2</v>
      </c>
      <c r="R4535">
        <v>-3.411935E-2</v>
      </c>
      <c r="S4535">
        <v>3.0012509999999999</v>
      </c>
      <c r="T4535">
        <v>-3.9129499999999998E-2</v>
      </c>
      <c r="U4535">
        <v>-5.53894E-3</v>
      </c>
      <c r="V4535">
        <v>3.4157310000000003E-2</v>
      </c>
      <c r="W4535">
        <v>3.6137669999999999E-3</v>
      </c>
      <c r="X4535">
        <v>0.99940989999999996</v>
      </c>
      <c r="Y4535">
        <v>1.885E-3</v>
      </c>
      <c r="Z4535" s="1">
        <v>-1.2804089999999999E-5</v>
      </c>
      <c r="AA4535">
        <v>0.99999819999999995</v>
      </c>
      <c r="AB4535">
        <v>35</v>
      </c>
      <c r="AC4535">
        <v>84.821799999999996</v>
      </c>
      <c r="AD4535">
        <v>-1.1103108927342999</v>
      </c>
      <c r="AE4535">
        <v>-0.157299999999992</v>
      </c>
      <c r="AF4535">
        <v>0.16063335474416601</v>
      </c>
      <c r="AG4535">
        <v>-1.1103108927342999</v>
      </c>
      <c r="AH4535">
        <v>84.807262356786396</v>
      </c>
      <c r="AI4535">
        <v>90.750081748987</v>
      </c>
      <c r="AJ4535">
        <v>89.8914762484509</v>
      </c>
      <c r="AK4535">
        <v>84.814682348081504</v>
      </c>
      <c r="AL4535">
        <v>89.792945944777202</v>
      </c>
      <c r="AM4535">
        <v>88.042536682467599</v>
      </c>
      <c r="AN4535">
        <v>0.99999996467818697</v>
      </c>
    </row>
    <row r="4536" spans="1:40" x14ac:dyDescent="0.25">
      <c r="A4536" t="str">
        <f>"20190312154013356"</f>
        <v>20190312154013356</v>
      </c>
      <c r="B4536" t="str">
        <f>"1552376413350656"</f>
        <v>1552376413350656</v>
      </c>
      <c r="C4536" t="s">
        <v>40</v>
      </c>
      <c r="D4536">
        <v>4.1398919999999997</v>
      </c>
      <c r="E4536">
        <v>0.4880099</v>
      </c>
      <c r="F4536" t="s">
        <v>61</v>
      </c>
      <c r="G4536">
        <v>-277.53379999999999</v>
      </c>
      <c r="H4536" s="1">
        <v>2.4833629999999998E-6</v>
      </c>
      <c r="I4536">
        <v>214.36410000000001</v>
      </c>
      <c r="J4536">
        <v>-357.6712</v>
      </c>
      <c r="K4536">
        <v>1.1103099999999999</v>
      </c>
      <c r="L4536">
        <v>214.5359</v>
      </c>
      <c r="M4536">
        <v>0.99989170000000005</v>
      </c>
      <c r="N4536">
        <v>0</v>
      </c>
      <c r="O4536">
        <v>1.7100389999999901E-4</v>
      </c>
      <c r="P4536">
        <v>0.99936570000000002</v>
      </c>
      <c r="Q4536">
        <v>-1.1385320000000001E-2</v>
      </c>
      <c r="R4536">
        <v>-3.3747470000000002E-2</v>
      </c>
      <c r="S4536">
        <v>3.0012819999999998</v>
      </c>
      <c r="T4536">
        <v>-4.1468860000000003E-2</v>
      </c>
      <c r="U4536">
        <v>-6.4086909999999898E-3</v>
      </c>
      <c r="V4536">
        <v>3.3916740000000001E-2</v>
      </c>
      <c r="W4536">
        <v>3.3410169999999999E-3</v>
      </c>
      <c r="X4536">
        <v>0.9994191</v>
      </c>
      <c r="Y4536">
        <v>2.3060989999999998E-3</v>
      </c>
      <c r="Z4536" s="1">
        <v>-1.8293869999999999E-5</v>
      </c>
      <c r="AA4536">
        <v>0.99999729999999998</v>
      </c>
      <c r="AB4536">
        <v>35</v>
      </c>
      <c r="AC4536">
        <v>80.1374</v>
      </c>
      <c r="AD4536">
        <v>-1.110307516637</v>
      </c>
      <c r="AE4536">
        <v>-0.17179999999998999</v>
      </c>
      <c r="AF4536">
        <v>0.18546968647237</v>
      </c>
      <c r="AG4536">
        <v>-1.110307516637</v>
      </c>
      <c r="AH4536">
        <v>80.121989111548601</v>
      </c>
      <c r="AI4536">
        <v>90.793935513117404</v>
      </c>
      <c r="AJ4536">
        <v>89.867369602284199</v>
      </c>
      <c r="AK4536">
        <v>80.129896549148299</v>
      </c>
      <c r="AL4536">
        <v>89.808573474803495</v>
      </c>
      <c r="AM4536">
        <v>88.056330366819793</v>
      </c>
      <c r="AN4536">
        <v>1.0000000225458101</v>
      </c>
    </row>
    <row r="4537" spans="1:40" x14ac:dyDescent="0.25">
      <c r="A4537" t="str">
        <f>"20190312154013377"</f>
        <v>20190312154013377</v>
      </c>
      <c r="B4537" t="str">
        <f>"1552376413370177"</f>
        <v>1552376413370177</v>
      </c>
      <c r="C4537" t="s">
        <v>40</v>
      </c>
      <c r="D4537">
        <v>4.1475549999999997</v>
      </c>
      <c r="E4537">
        <v>0.48769950000000001</v>
      </c>
      <c r="F4537" t="s">
        <v>61</v>
      </c>
      <c r="G4537">
        <v>-260.83249999999998</v>
      </c>
      <c r="H4537" s="1">
        <v>-1.0823650000000001E-6</v>
      </c>
      <c r="I4537">
        <v>214.35570000000001</v>
      </c>
      <c r="J4537">
        <v>-357.34960000000001</v>
      </c>
      <c r="K4537">
        <v>1.110303</v>
      </c>
      <c r="L4537">
        <v>214.5361</v>
      </c>
      <c r="M4537">
        <v>0.9998918</v>
      </c>
      <c r="N4537">
        <v>0</v>
      </c>
      <c r="O4537">
        <v>3.6265290000000002E-4</v>
      </c>
      <c r="P4537">
        <v>0.99935980000000002</v>
      </c>
      <c r="Q4537">
        <v>-1.1794550000000001E-2</v>
      </c>
      <c r="R4537">
        <v>-3.3776920000000002E-2</v>
      </c>
      <c r="S4537">
        <v>3.0012819999999998</v>
      </c>
      <c r="T4537">
        <v>-3.441143E-2</v>
      </c>
      <c r="U4537">
        <v>-5.5847170000000003E-3</v>
      </c>
      <c r="V4537">
        <v>3.4138059999999998E-2</v>
      </c>
      <c r="W4537">
        <v>2.926171E-3</v>
      </c>
      <c r="X4537">
        <v>0.99941279999999999</v>
      </c>
      <c r="Y4537">
        <v>2.2232950000000001E-3</v>
      </c>
      <c r="Z4537" s="1">
        <v>-1.69035899999999E-5</v>
      </c>
      <c r="AA4537">
        <v>0.99999760000000004</v>
      </c>
      <c r="AB4537">
        <v>35</v>
      </c>
      <c r="AC4537">
        <v>96.517099999999999</v>
      </c>
      <c r="AD4537">
        <v>-1.1103040823649999</v>
      </c>
      <c r="AE4537">
        <v>-0.18039999999999101</v>
      </c>
      <c r="AF4537">
        <v>0.215377477775446</v>
      </c>
      <c r="AG4537">
        <v>-1.1103040823649999</v>
      </c>
      <c r="AH4537">
        <v>96.504257357548695</v>
      </c>
      <c r="AI4537">
        <v>90.659170636643694</v>
      </c>
      <c r="AJ4537">
        <v>89.872127921314501</v>
      </c>
      <c r="AK4537">
        <v>96.510884623161701</v>
      </c>
      <c r="AL4537">
        <v>89.832342505131294</v>
      </c>
      <c r="AM4537">
        <v>88.043644662943194</v>
      </c>
      <c r="AN4537">
        <v>0.99999995721056101</v>
      </c>
    </row>
    <row r="4538" spans="1:40" x14ac:dyDescent="0.25">
      <c r="A4538" t="str">
        <f>"20190312154013400"</f>
        <v>20190312154013400</v>
      </c>
      <c r="B4538" t="str">
        <f>"1552376413390672"</f>
        <v>1552376413390672</v>
      </c>
      <c r="C4538" t="s">
        <v>40</v>
      </c>
      <c r="D4538">
        <v>4.1396160000000002</v>
      </c>
      <c r="E4538">
        <v>0.48774849999999997</v>
      </c>
      <c r="F4538" t="s">
        <v>61</v>
      </c>
      <c r="G4538">
        <v>-259.6825</v>
      </c>
      <c r="H4538" s="1">
        <v>3.623795E-6</v>
      </c>
      <c r="I4538">
        <v>214.43190000000001</v>
      </c>
      <c r="J4538">
        <v>-356.99279999999999</v>
      </c>
      <c r="K4538">
        <v>1.1102959999999999</v>
      </c>
      <c r="L4538">
        <v>214.53649999999999</v>
      </c>
      <c r="M4538">
        <v>0.9998918</v>
      </c>
      <c r="N4538">
        <v>0</v>
      </c>
      <c r="O4538">
        <v>5.7522620000000004E-4</v>
      </c>
      <c r="P4538">
        <v>0.99933490000000003</v>
      </c>
      <c r="Q4538">
        <v>-1.280185E-2</v>
      </c>
      <c r="R4538">
        <v>-3.4147820000000002E-2</v>
      </c>
      <c r="S4538">
        <v>3.0014340000000002</v>
      </c>
      <c r="T4538">
        <v>-3.4120919999999999E-2</v>
      </c>
      <c r="U4538">
        <v>-3.2043459999999998E-3</v>
      </c>
      <c r="V4538">
        <v>3.4721750000000003E-2</v>
      </c>
      <c r="W4538">
        <v>1.912895E-3</v>
      </c>
      <c r="X4538">
        <v>0.99939520000000004</v>
      </c>
      <c r="Y4538">
        <v>1.642749E-3</v>
      </c>
      <c r="Z4538" s="1">
        <v>-1.5877029999999999E-5</v>
      </c>
      <c r="AA4538">
        <v>0.99999859999999896</v>
      </c>
      <c r="AB4538">
        <v>35</v>
      </c>
      <c r="AC4538">
        <v>97.310299999999899</v>
      </c>
      <c r="AD4538">
        <v>-1.1102923762050001</v>
      </c>
      <c r="AE4538">
        <v>-0.104599999999976</v>
      </c>
      <c r="AF4538">
        <v>0.16056056234730601</v>
      </c>
      <c r="AG4538">
        <v>-1.1102923762050001</v>
      </c>
      <c r="AH4538">
        <v>97.297557166675304</v>
      </c>
      <c r="AI4538">
        <v>90.653790509957801</v>
      </c>
      <c r="AJ4538">
        <v>89.9054505118512</v>
      </c>
      <c r="AK4538">
        <v>97.304024374417807</v>
      </c>
      <c r="AL4538">
        <v>89.890399124370006</v>
      </c>
      <c r="AM4538">
        <v>88.010186694725405</v>
      </c>
      <c r="AN4538">
        <v>1.0000000124366899</v>
      </c>
    </row>
    <row r="4539" spans="1:40" x14ac:dyDescent="0.25">
      <c r="A4539" t="str">
        <f>"20190312154013421"</f>
        <v>20190312154013421</v>
      </c>
      <c r="B4539" t="str">
        <f>"1552376413410192"</f>
        <v>1552376413410192</v>
      </c>
      <c r="C4539" t="s">
        <v>40</v>
      </c>
      <c r="D4539">
        <v>4.0988470000000001</v>
      </c>
      <c r="E4539">
        <v>0.4875814</v>
      </c>
      <c r="F4539" t="s">
        <v>61</v>
      </c>
      <c r="G4539">
        <v>-266.55669999999998</v>
      </c>
      <c r="H4539" s="1">
        <v>1.962085E-6</v>
      </c>
      <c r="I4539">
        <v>214.39349999999999</v>
      </c>
      <c r="J4539">
        <v>-356.64609999999999</v>
      </c>
      <c r="K4539">
        <v>1.1102829999999999</v>
      </c>
      <c r="L4539">
        <v>214.5369</v>
      </c>
      <c r="M4539">
        <v>0.9998918</v>
      </c>
      <c r="N4539">
        <v>0</v>
      </c>
      <c r="O4539">
        <v>7.8165799999999996E-4</v>
      </c>
      <c r="P4539">
        <v>0.99932069999999995</v>
      </c>
      <c r="Q4539">
        <v>-1.303403E-2</v>
      </c>
      <c r="R4539">
        <v>-3.4478189999999999E-2</v>
      </c>
      <c r="S4539">
        <v>3.0013730000000001</v>
      </c>
      <c r="T4539">
        <v>-3.6848190000000003E-2</v>
      </c>
      <c r="U4539">
        <v>-4.745483E-3</v>
      </c>
      <c r="V4539">
        <v>3.525876E-2</v>
      </c>
      <c r="W4539">
        <v>1.674477E-3</v>
      </c>
      <c r="X4539">
        <v>0.99937679999999995</v>
      </c>
      <c r="Y4539">
        <v>2.3626060000000002E-3</v>
      </c>
      <c r="Z4539" s="1">
        <v>-2.4099599999999999E-5</v>
      </c>
      <c r="AA4539">
        <v>0.99999720000000003</v>
      </c>
      <c r="AB4539">
        <v>35</v>
      </c>
      <c r="AC4539">
        <v>90.089399999999998</v>
      </c>
      <c r="AD4539">
        <v>-1.1102810379150001</v>
      </c>
      <c r="AE4539">
        <v>-0.14340000000001299</v>
      </c>
      <c r="AF4539">
        <v>0.21379418274517101</v>
      </c>
      <c r="AG4539">
        <v>-1.1102810379150001</v>
      </c>
      <c r="AH4539">
        <v>90.075579163208403</v>
      </c>
      <c r="AI4539">
        <v>90.706196036328805</v>
      </c>
      <c r="AJ4539">
        <v>89.864008852708693</v>
      </c>
      <c r="AK4539">
        <v>90.082675323966498</v>
      </c>
      <c r="AL4539">
        <v>89.904059488850393</v>
      </c>
      <c r="AM4539">
        <v>87.979400190751804</v>
      </c>
      <c r="AN4539">
        <v>0.99999998620410002</v>
      </c>
    </row>
    <row r="4540" spans="1:40" x14ac:dyDescent="0.25">
      <c r="A4540" t="str">
        <f>"20190312154013444"</f>
        <v>20190312154013444</v>
      </c>
      <c r="B4540" t="str">
        <f>"1552376413440448"</f>
        <v>1552376413440448</v>
      </c>
      <c r="C4540" t="s">
        <v>40</v>
      </c>
      <c r="D4540">
        <v>4.0936469999999998</v>
      </c>
      <c r="E4540">
        <v>0.48784630000000001</v>
      </c>
      <c r="F4540" t="s">
        <v>61</v>
      </c>
      <c r="G4540">
        <v>-276.38600000000002</v>
      </c>
      <c r="H4540" s="1">
        <v>1.8701380000000001E-6</v>
      </c>
      <c r="I4540">
        <v>214.41890000000001</v>
      </c>
      <c r="J4540">
        <v>-356.2996</v>
      </c>
      <c r="K4540">
        <v>1.1102810000000001</v>
      </c>
      <c r="L4540">
        <v>214.53729999999999</v>
      </c>
      <c r="M4540">
        <v>0.99989159999999999</v>
      </c>
      <c r="N4540">
        <v>0</v>
      </c>
      <c r="O4540">
        <v>9.8808769999999993E-4</v>
      </c>
      <c r="P4540">
        <v>0.99930410000000003</v>
      </c>
      <c r="Q4540">
        <v>-1.302446E-2</v>
      </c>
      <c r="R4540">
        <v>-3.4960619999999998E-2</v>
      </c>
      <c r="S4540">
        <v>3.0013429999999999</v>
      </c>
      <c r="T4540">
        <v>-4.1519170000000001E-2</v>
      </c>
      <c r="U4540">
        <v>-4.4097900000000002E-3</v>
      </c>
      <c r="V4540">
        <v>3.5947180000000002E-2</v>
      </c>
      <c r="W4540">
        <v>1.678768E-3</v>
      </c>
      <c r="X4540">
        <v>0.99935229999999997</v>
      </c>
      <c r="Y4540">
        <v>2.4571340000000001E-3</v>
      </c>
      <c r="Z4540" s="1">
        <v>-3.066415E-5</v>
      </c>
      <c r="AA4540">
        <v>0.99999700000000002</v>
      </c>
      <c r="AB4540">
        <v>35</v>
      </c>
      <c r="AC4540">
        <v>79.913600000000002</v>
      </c>
      <c r="AD4540">
        <v>-1.1102791298619901</v>
      </c>
      <c r="AE4540">
        <v>-0.11839999999997899</v>
      </c>
      <c r="AF4540">
        <v>0.19733201847044399</v>
      </c>
      <c r="AG4540">
        <v>-1.1102791298619901</v>
      </c>
      <c r="AH4540">
        <v>79.898021363294504</v>
      </c>
      <c r="AI4540">
        <v>90.796140115784098</v>
      </c>
      <c r="AJ4540">
        <v>89.858491253735394</v>
      </c>
      <c r="AK4540">
        <v>79.905978984311204</v>
      </c>
      <c r="AL4540">
        <v>89.903813635443399</v>
      </c>
      <c r="AM4540">
        <v>87.939931603207697</v>
      </c>
      <c r="AN4540">
        <v>1.00000001876361</v>
      </c>
    </row>
    <row r="4541" spans="1:40" x14ac:dyDescent="0.25">
      <c r="A4541" t="str">
        <f>"20190312154013467"</f>
        <v>20190312154013467</v>
      </c>
      <c r="B4541" t="str">
        <f>"1552376413460944"</f>
        <v>1552376413460944</v>
      </c>
      <c r="C4541" t="s">
        <v>40</v>
      </c>
      <c r="D4541">
        <v>4.0208760000000003</v>
      </c>
      <c r="E4541">
        <v>0.52366840000000003</v>
      </c>
      <c r="F4541" t="s">
        <v>61</v>
      </c>
      <c r="G4541">
        <v>-275.92739999999998</v>
      </c>
      <c r="H4541" s="1">
        <v>1.6302150000000001E-6</v>
      </c>
      <c r="I4541">
        <v>214.3253</v>
      </c>
      <c r="J4541">
        <v>-355.93079999999998</v>
      </c>
      <c r="K4541">
        <v>1.1102810000000001</v>
      </c>
      <c r="L4541">
        <v>214.53790000000001</v>
      </c>
      <c r="M4541">
        <v>0.99989150000000004</v>
      </c>
      <c r="N4541">
        <v>0</v>
      </c>
      <c r="O4541">
        <v>1.207987E-3</v>
      </c>
      <c r="P4541">
        <v>0.99929199999999996</v>
      </c>
      <c r="Q4541">
        <v>-1.3473010000000001E-2</v>
      </c>
      <c r="R4541">
        <v>-3.5132530000000002E-2</v>
      </c>
      <c r="S4541">
        <v>3.0012819999999998</v>
      </c>
      <c r="T4541">
        <v>-4.146039E-2</v>
      </c>
      <c r="U4541">
        <v>-7.9193119999999995E-3</v>
      </c>
      <c r="V4541">
        <v>3.6339320000000001E-2</v>
      </c>
      <c r="W4541">
        <v>1.2252960000000001E-3</v>
      </c>
      <c r="X4541">
        <v>0.99933870000000002</v>
      </c>
      <c r="Y4541">
        <v>3.8462629999999999E-3</v>
      </c>
      <c r="Z4541" s="1">
        <v>-4.3253649999999999E-5</v>
      </c>
      <c r="AA4541">
        <v>0.99999260000000001</v>
      </c>
      <c r="AB4541">
        <v>35</v>
      </c>
      <c r="AC4541">
        <v>80.003399999999999</v>
      </c>
      <c r="AD4541">
        <v>-1.11027936978499</v>
      </c>
      <c r="AE4541">
        <v>-0.212600000000008</v>
      </c>
      <c r="AF4541">
        <v>0.30919377926331898</v>
      </c>
      <c r="AG4541">
        <v>-1.11027936978499</v>
      </c>
      <c r="AH4541">
        <v>79.987679557746006</v>
      </c>
      <c r="AI4541">
        <v>90.795244493356904</v>
      </c>
      <c r="AJ4541">
        <v>89.778523261758494</v>
      </c>
      <c r="AK4541">
        <v>79.995982412273406</v>
      </c>
      <c r="AL4541">
        <v>89.929795688936693</v>
      </c>
      <c r="AM4541">
        <v>87.917450127871405</v>
      </c>
      <c r="AN4541">
        <v>0.99999994242301804</v>
      </c>
    </row>
    <row r="4542" spans="1:40" x14ac:dyDescent="0.25">
      <c r="A4542" t="str">
        <f>"20190312154013489"</f>
        <v>20190312154013489</v>
      </c>
      <c r="B4542" t="str">
        <f>"1552376413480464"</f>
        <v>1552376413480464</v>
      </c>
      <c r="C4542" t="s">
        <v>40</v>
      </c>
      <c r="D4542">
        <v>4.0105599999999999</v>
      </c>
      <c r="E4542">
        <v>0.53041590000000005</v>
      </c>
      <c r="F4542" t="s">
        <v>43</v>
      </c>
      <c r="G4542">
        <v>-213.29990000000001</v>
      </c>
      <c r="H4542">
        <v>-0.05</v>
      </c>
      <c r="I4542">
        <v>200.48699999999999</v>
      </c>
      <c r="J4542">
        <v>-355.58710000000002</v>
      </c>
      <c r="K4542">
        <v>1.110277</v>
      </c>
      <c r="L4542">
        <v>214.5386</v>
      </c>
      <c r="M4542">
        <v>0.99989119999999998</v>
      </c>
      <c r="N4542">
        <v>0</v>
      </c>
      <c r="O4542">
        <v>1.413222E-3</v>
      </c>
      <c r="P4542">
        <v>0.99928530000000004</v>
      </c>
      <c r="Q4542">
        <v>-1.404684E-2</v>
      </c>
      <c r="R4542">
        <v>-3.5094760000000003E-2</v>
      </c>
      <c r="S4542">
        <v>2.991425</v>
      </c>
      <c r="T4542">
        <v>-2.4334789999999999E-2</v>
      </c>
      <c r="U4542">
        <v>-0.29469299999999998</v>
      </c>
      <c r="V4542">
        <v>3.6506780000000003E-2</v>
      </c>
      <c r="W4542">
        <v>6.4593949999999995E-4</v>
      </c>
      <c r="X4542">
        <v>0.99933320000000003</v>
      </c>
      <c r="Y4542">
        <v>9.9441219999999997E-2</v>
      </c>
      <c r="Z4542">
        <v>-4.1495630000000001E-4</v>
      </c>
      <c r="AA4542">
        <v>0.99504329999999996</v>
      </c>
      <c r="AB4542">
        <v>35</v>
      </c>
      <c r="AC4542">
        <v>142.28720000000001</v>
      </c>
      <c r="AD4542">
        <v>-1.160277</v>
      </c>
      <c r="AE4542">
        <v>-14.051600000000001</v>
      </c>
      <c r="AF4542">
        <v>14.251752522643301</v>
      </c>
      <c r="AG4542">
        <v>-1.160277</v>
      </c>
      <c r="AH4542">
        <v>142.25782958044701</v>
      </c>
      <c r="AI4542">
        <v>90.464975488736897</v>
      </c>
      <c r="AJ4542">
        <v>84.279051104470199</v>
      </c>
      <c r="AK4542">
        <v>142.97464379960101</v>
      </c>
      <c r="AL4542">
        <v>89.962990390382203</v>
      </c>
      <c r="AM4542">
        <v>87.907850260376193</v>
      </c>
      <c r="AN4542">
        <v>1.0000000034230201</v>
      </c>
    </row>
    <row r="4543" spans="1:40" x14ac:dyDescent="0.25">
      <c r="A4543" t="str">
        <f>"20190312154013510"</f>
        <v>20190312154013510</v>
      </c>
      <c r="B4543" t="str">
        <f>"1552376413500961"</f>
        <v>1552376413500961</v>
      </c>
      <c r="C4543" t="s">
        <v>40</v>
      </c>
      <c r="D4543">
        <v>4.0143459999999997</v>
      </c>
      <c r="E4543">
        <v>0.53333299999999995</v>
      </c>
      <c r="F4543" t="s">
        <v>77</v>
      </c>
      <c r="G4543">
        <v>-227.2876</v>
      </c>
      <c r="H4543">
        <v>0.4083447</v>
      </c>
      <c r="I4543">
        <v>199.57599999999999</v>
      </c>
      <c r="J4543">
        <v>-355.25299999999999</v>
      </c>
      <c r="K4543">
        <v>1.110274</v>
      </c>
      <c r="L4543">
        <v>214.5393</v>
      </c>
      <c r="M4543">
        <v>0.99989099999999997</v>
      </c>
      <c r="N4543">
        <v>0</v>
      </c>
      <c r="O4543">
        <v>1.612554E-3</v>
      </c>
      <c r="P4543">
        <v>0.99931040000000004</v>
      </c>
      <c r="Q4543">
        <v>-1.427283E-2</v>
      </c>
      <c r="R4543">
        <v>-3.4284630000000003E-2</v>
      </c>
      <c r="S4543">
        <v>2.9896850000000001</v>
      </c>
      <c r="T4543">
        <v>-1.635671E-2</v>
      </c>
      <c r="U4543">
        <v>-0.34866329999999901</v>
      </c>
      <c r="V4543">
        <v>3.589585E-2</v>
      </c>
      <c r="W4543">
        <v>4.1562709999999999E-4</v>
      </c>
      <c r="X4543">
        <v>0.9993554</v>
      </c>
      <c r="Y4543">
        <v>0.117437</v>
      </c>
      <c r="Z4543">
        <v>-3.2895789999999998E-4</v>
      </c>
      <c r="AA4543">
        <v>0.99308030000000003</v>
      </c>
      <c r="AB4543">
        <v>35</v>
      </c>
      <c r="AC4543">
        <v>127.9654</v>
      </c>
      <c r="AD4543">
        <v>-0.70192929999999998</v>
      </c>
      <c r="AE4543">
        <v>-14.9633</v>
      </c>
      <c r="AF4543">
        <v>15.169203621816701</v>
      </c>
      <c r="AG4543">
        <v>-0.70192929999999998</v>
      </c>
      <c r="AH4543">
        <v>127.937304332701</v>
      </c>
      <c r="AI4543">
        <v>90.312164174534303</v>
      </c>
      <c r="AJ4543">
        <v>83.238152528264806</v>
      </c>
      <c r="AK4543">
        <v>128.83536503297699</v>
      </c>
      <c r="AL4543">
        <v>89.976186319446001</v>
      </c>
      <c r="AM4543">
        <v>87.942877080014497</v>
      </c>
      <c r="AN4543">
        <v>0.99999995015113297</v>
      </c>
    </row>
    <row r="4544" spans="1:40" x14ac:dyDescent="0.25">
      <c r="A4544" t="str">
        <f>"20190312154013532"</f>
        <v>20190312154013532</v>
      </c>
      <c r="B4544" t="str">
        <f>"1552376413520480"</f>
        <v>1552376413520480</v>
      </c>
      <c r="C4544" t="s">
        <v>40</v>
      </c>
      <c r="D4544">
        <v>3.9675579999999999</v>
      </c>
      <c r="E4544">
        <v>0.53501669999999901</v>
      </c>
      <c r="F4544" t="s">
        <v>48</v>
      </c>
      <c r="G4544">
        <v>-285.48820000000001</v>
      </c>
      <c r="H4544">
        <v>0.87313410000000002</v>
      </c>
      <c r="I4544">
        <v>205.90819999999999</v>
      </c>
      <c r="J4544">
        <v>-354.9196</v>
      </c>
      <c r="K4544">
        <v>1.1102719999999999</v>
      </c>
      <c r="L4544">
        <v>214.54</v>
      </c>
      <c r="M4544">
        <v>0.99989059999999996</v>
      </c>
      <c r="N4544">
        <v>0</v>
      </c>
      <c r="O4544">
        <v>1.811647E-3</v>
      </c>
      <c r="P4544">
        <v>0.99935070000000004</v>
      </c>
      <c r="Q4544">
        <v>-1.429719E-2</v>
      </c>
      <c r="R4544">
        <v>-3.3072459999999998E-2</v>
      </c>
      <c r="S4544">
        <v>2.9891969999999999</v>
      </c>
      <c r="T4544">
        <v>-1.016068E-2</v>
      </c>
      <c r="U4544">
        <v>-0.36981199999999997</v>
      </c>
      <c r="V4544">
        <v>3.4882870000000003E-2</v>
      </c>
      <c r="W4544">
        <v>3.8654E-4</v>
      </c>
      <c r="X4544">
        <v>0.99939129999999998</v>
      </c>
      <c r="Y4544">
        <v>0.1245774</v>
      </c>
      <c r="Z4544">
        <v>-2.1705849999999999E-4</v>
      </c>
      <c r="AA4544">
        <v>0.99220989999999998</v>
      </c>
      <c r="AB4544">
        <v>35</v>
      </c>
      <c r="AC4544">
        <v>69.431399999999996</v>
      </c>
      <c r="AD4544">
        <v>-0.23713789999999901</v>
      </c>
      <c r="AE4544">
        <v>-8.6317999999999895</v>
      </c>
      <c r="AF4544">
        <v>8.7574839728869005</v>
      </c>
      <c r="AG4544">
        <v>-0.23713789999999901</v>
      </c>
      <c r="AH4544">
        <v>69.414849166697394</v>
      </c>
      <c r="AI4544">
        <v>90.194196097342299</v>
      </c>
      <c r="AJ4544">
        <v>82.809465814258402</v>
      </c>
      <c r="AK4544">
        <v>69.965498960232793</v>
      </c>
      <c r="AL4544">
        <v>89.977852888110704</v>
      </c>
      <c r="AM4544">
        <v>88.000953005430105</v>
      </c>
      <c r="AN4544">
        <v>0.99999996727414797</v>
      </c>
    </row>
    <row r="4545" spans="1:40" x14ac:dyDescent="0.25">
      <c r="A4545" t="str">
        <f>"20190312154013556"</f>
        <v>20190312154013556</v>
      </c>
      <c r="B4545" t="str">
        <f>"1552376413550736"</f>
        <v>1552376413550736</v>
      </c>
      <c r="C4545" t="s">
        <v>40</v>
      </c>
      <c r="D4545">
        <v>3.9626760000000001</v>
      </c>
      <c r="E4545">
        <v>0.53663959999999999</v>
      </c>
      <c r="F4545" t="s">
        <v>48</v>
      </c>
      <c r="G4545">
        <v>-285.67649999999998</v>
      </c>
      <c r="H4545">
        <v>0.95229379999999997</v>
      </c>
      <c r="I4545">
        <v>205.74510000000001</v>
      </c>
      <c r="J4545">
        <v>-354.55739999999997</v>
      </c>
      <c r="K4545">
        <v>1.110266</v>
      </c>
      <c r="L4545">
        <v>214.54089999999999</v>
      </c>
      <c r="M4545">
        <v>0.99989039999999996</v>
      </c>
      <c r="N4545">
        <v>0</v>
      </c>
      <c r="O4545">
        <v>2.027727E-3</v>
      </c>
      <c r="P4545">
        <v>0.99938870000000002</v>
      </c>
      <c r="Q4545">
        <v>-1.4222149999999999E-2</v>
      </c>
      <c r="R4545">
        <v>-3.1944609999999998E-2</v>
      </c>
      <c r="S4545">
        <v>2.9892880000000002</v>
      </c>
      <c r="T4545">
        <v>-6.8200830000000002E-3</v>
      </c>
      <c r="U4545">
        <v>-0.37968439999999998</v>
      </c>
      <c r="V4545">
        <v>3.3970960000000001E-2</v>
      </c>
      <c r="W4545">
        <v>4.5711189999999999E-4</v>
      </c>
      <c r="X4545">
        <v>0.9994227</v>
      </c>
      <c r="Y4545">
        <v>0.12801390000000001</v>
      </c>
      <c r="Z4545">
        <v>-1.500563E-4</v>
      </c>
      <c r="AA4545">
        <v>0.9917724</v>
      </c>
      <c r="AB4545">
        <v>35</v>
      </c>
      <c r="AC4545">
        <v>68.880899999999997</v>
      </c>
      <c r="AD4545">
        <v>-0.15797220000000001</v>
      </c>
      <c r="AE4545">
        <v>-8.7957999999999803</v>
      </c>
      <c r="AF4545">
        <v>8.9354223526440695</v>
      </c>
      <c r="AG4545">
        <v>-0.15797220000000001</v>
      </c>
      <c r="AH4545">
        <v>68.8625645745594</v>
      </c>
      <c r="AI4545">
        <v>90.130344795280195</v>
      </c>
      <c r="AJ4545">
        <v>82.606761324108007</v>
      </c>
      <c r="AK4545">
        <v>69.440042681593098</v>
      </c>
      <c r="AL4545">
        <v>89.973809416038193</v>
      </c>
      <c r="AM4545">
        <v>88.053232572501301</v>
      </c>
      <c r="AN4545">
        <v>0.99999998417494995</v>
      </c>
    </row>
    <row r="4546" spans="1:40" x14ac:dyDescent="0.25">
      <c r="A4546" t="str">
        <f>"20190312154013579"</f>
        <v>20190312154013579</v>
      </c>
      <c r="B4546" t="str">
        <f>"1552376413570256"</f>
        <v>1552376413570256</v>
      </c>
      <c r="C4546" t="s">
        <v>40</v>
      </c>
      <c r="D4546">
        <v>3.9303569999999999</v>
      </c>
      <c r="E4546">
        <v>0.53732899999999995</v>
      </c>
      <c r="F4546" t="s">
        <v>48</v>
      </c>
      <c r="G4546">
        <v>-285.67200000000003</v>
      </c>
      <c r="H4546">
        <v>0.97247790000000001</v>
      </c>
      <c r="I4546">
        <v>205.5652</v>
      </c>
      <c r="J4546">
        <v>-354.1979</v>
      </c>
      <c r="K4546">
        <v>1.1102730000000001</v>
      </c>
      <c r="L4546">
        <v>214.5419</v>
      </c>
      <c r="M4546">
        <v>0.9998899</v>
      </c>
      <c r="N4546">
        <v>0</v>
      </c>
      <c r="O4546">
        <v>2.242436E-3</v>
      </c>
      <c r="P4546">
        <v>0.99941179999999996</v>
      </c>
      <c r="Q4546">
        <v>-1.444522E-2</v>
      </c>
      <c r="R4546">
        <v>-3.1102330000000001E-2</v>
      </c>
      <c r="S4546">
        <v>2.989258</v>
      </c>
      <c r="T4546">
        <v>-5.9792999999999999E-3</v>
      </c>
      <c r="U4546">
        <v>-0.3894958</v>
      </c>
      <c r="V4546">
        <v>3.334355E-2</v>
      </c>
      <c r="W4546">
        <v>2.296608E-4</v>
      </c>
      <c r="X4546">
        <v>0.99944390000000005</v>
      </c>
      <c r="Y4546">
        <v>0.13142960000000001</v>
      </c>
      <c r="Z4546">
        <v>-1.353607E-4</v>
      </c>
      <c r="AA4546">
        <v>0.99132549999999997</v>
      </c>
      <c r="AB4546">
        <v>35</v>
      </c>
      <c r="AC4546">
        <v>68.525899999999893</v>
      </c>
      <c r="AD4546">
        <v>-0.1377951</v>
      </c>
      <c r="AE4546">
        <v>-8.9766999999999904</v>
      </c>
      <c r="AF4546">
        <v>9.1303226086785898</v>
      </c>
      <c r="AG4546">
        <v>-0.1377951</v>
      </c>
      <c r="AH4546">
        <v>68.505323501234002</v>
      </c>
      <c r="AI4546">
        <v>90.114237349170494</v>
      </c>
      <c r="AJ4546">
        <v>82.408414034090498</v>
      </c>
      <c r="AK4546">
        <v>69.111222868915107</v>
      </c>
      <c r="AL4546">
        <v>89.986841405024094</v>
      </c>
      <c r="AM4546">
        <v>88.0892010367604</v>
      </c>
      <c r="AN4546">
        <v>0.99999997715894695</v>
      </c>
    </row>
    <row r="4547" spans="1:40" x14ac:dyDescent="0.25">
      <c r="A4547" t="str">
        <f>"20190312154013600"</f>
        <v>20190312154013600</v>
      </c>
      <c r="B4547" t="str">
        <f>"1552376413590752"</f>
        <v>1552376413590752</v>
      </c>
      <c r="C4547" t="s">
        <v>40</v>
      </c>
      <c r="D4547">
        <v>3.977919</v>
      </c>
      <c r="E4547">
        <v>0.53787529999999995</v>
      </c>
      <c r="F4547" t="s">
        <v>48</v>
      </c>
      <c r="G4547">
        <v>-285.67899999999997</v>
      </c>
      <c r="H4547">
        <v>0.94112309999999999</v>
      </c>
      <c r="I4547">
        <v>205.5506</v>
      </c>
      <c r="J4547">
        <v>-353.85789999999997</v>
      </c>
      <c r="K4547">
        <v>1.110271</v>
      </c>
      <c r="L4547">
        <v>214.5428</v>
      </c>
      <c r="M4547">
        <v>0.99988969999999999</v>
      </c>
      <c r="N4547">
        <v>0</v>
      </c>
      <c r="O4547">
        <v>2.4456970000000001E-3</v>
      </c>
      <c r="P4547">
        <v>0.99940320000000005</v>
      </c>
      <c r="Q4547">
        <v>-1.480544E-2</v>
      </c>
      <c r="R4547">
        <v>-3.1216850000000001E-2</v>
      </c>
      <c r="S4547">
        <v>2.989471</v>
      </c>
      <c r="T4547">
        <v>-7.3800089999999999E-3</v>
      </c>
      <c r="U4547">
        <v>-0.39228819999999998</v>
      </c>
      <c r="V4547">
        <v>3.366135E-2</v>
      </c>
      <c r="W4547">
        <v>-1.3526E-4</v>
      </c>
      <c r="X4547">
        <v>0.99943329999999997</v>
      </c>
      <c r="Y4547">
        <v>0.13253219999999999</v>
      </c>
      <c r="Z4547">
        <v>-1.6890319999999999E-4</v>
      </c>
      <c r="AA4547">
        <v>0.99117869999999997</v>
      </c>
      <c r="AB4547">
        <v>35</v>
      </c>
      <c r="AC4547">
        <v>68.178899999999899</v>
      </c>
      <c r="AD4547">
        <v>-0.16914789999999999</v>
      </c>
      <c r="AE4547">
        <v>-8.9921999999999898</v>
      </c>
      <c r="AF4547">
        <v>9.1588805176871002</v>
      </c>
      <c r="AG4547">
        <v>-0.16914789999999999</v>
      </c>
      <c r="AH4547">
        <v>68.156289161073303</v>
      </c>
      <c r="AI4547">
        <v>90.1409276274929</v>
      </c>
      <c r="AJ4547">
        <v>82.346410959259302</v>
      </c>
      <c r="AK4547">
        <v>68.769131560295094</v>
      </c>
      <c r="AL4547">
        <v>90.007749827060096</v>
      </c>
      <c r="AM4547">
        <v>88.070982311985105</v>
      </c>
      <c r="AN4547">
        <v>1.0000000129639799</v>
      </c>
    </row>
    <row r="4548" spans="1:40" x14ac:dyDescent="0.25">
      <c r="A4548" t="str">
        <f>"20190312154013623"</f>
        <v>20190312154013623</v>
      </c>
      <c r="B4548" t="str">
        <f>"1552376413610273"</f>
        <v>1552376413610273</v>
      </c>
      <c r="C4548" t="s">
        <v>40</v>
      </c>
      <c r="D4548">
        <v>3.9795750000000001</v>
      </c>
      <c r="E4548">
        <v>0.53836949999999995</v>
      </c>
      <c r="F4548" t="s">
        <v>78</v>
      </c>
      <c r="G4548">
        <v>-236.63220000000001</v>
      </c>
      <c r="H4548">
        <v>0.73974609999999996</v>
      </c>
      <c r="I4548">
        <v>198.9777</v>
      </c>
      <c r="J4548">
        <v>-353.52010000000001</v>
      </c>
      <c r="K4548">
        <v>1.110269</v>
      </c>
      <c r="L4548">
        <v>214.54390000000001</v>
      </c>
      <c r="M4548">
        <v>0.99988909999999998</v>
      </c>
      <c r="N4548">
        <v>0</v>
      </c>
      <c r="O4548">
        <v>2.64759E-3</v>
      </c>
      <c r="P4548">
        <v>0.99938729999999998</v>
      </c>
      <c r="Q4548">
        <v>-1.4889370000000001E-2</v>
      </c>
      <c r="R4548">
        <v>-3.1678869999999998E-2</v>
      </c>
      <c r="S4548">
        <v>2.989258</v>
      </c>
      <c r="T4548">
        <v>-9.4484089999999996E-3</v>
      </c>
      <c r="U4548">
        <v>-0.39691159999999998</v>
      </c>
      <c r="V4548">
        <v>3.4325109999999999E-2</v>
      </c>
      <c r="W4548">
        <v>-2.2344530000000001E-4</v>
      </c>
      <c r="X4548">
        <v>0.99941069999999999</v>
      </c>
      <c r="Y4548">
        <v>0.134247799999999</v>
      </c>
      <c r="Z4548">
        <v>-2.1957009999999999E-4</v>
      </c>
      <c r="AA4548">
        <v>0.99094780000000005</v>
      </c>
      <c r="AB4548">
        <v>35</v>
      </c>
      <c r="AC4548">
        <v>116.8879</v>
      </c>
      <c r="AD4548">
        <v>-0.37052289999999999</v>
      </c>
      <c r="AE4548">
        <v>-15.5662</v>
      </c>
      <c r="AF4548">
        <v>15.875493163693299</v>
      </c>
      <c r="AG4548">
        <v>-0.37052289999999999</v>
      </c>
      <c r="AH4548">
        <v>116.845119261726</v>
      </c>
      <c r="AI4548">
        <v>90.180033646715898</v>
      </c>
      <c r="AJ4548">
        <v>82.262724670339097</v>
      </c>
      <c r="AK4548">
        <v>117.919254007549</v>
      </c>
      <c r="AL4548">
        <v>90.012802472682097</v>
      </c>
      <c r="AM4548">
        <v>88.032929626373999</v>
      </c>
      <c r="AN4548">
        <v>1.0000000051894</v>
      </c>
    </row>
    <row r="4549" spans="1:40" x14ac:dyDescent="0.25">
      <c r="A4549" t="str">
        <f>"20190312154013645"</f>
        <v>20190312154013645</v>
      </c>
      <c r="B4549" t="str">
        <f>"1552376413640529"</f>
        <v>1552376413640529</v>
      </c>
      <c r="C4549" t="s">
        <v>40</v>
      </c>
      <c r="D4549">
        <v>3.975123</v>
      </c>
      <c r="E4549">
        <v>0.53895559999999998</v>
      </c>
      <c r="F4549" t="s">
        <v>78</v>
      </c>
      <c r="G4549">
        <v>-237.90530000000001</v>
      </c>
      <c r="H4549">
        <v>0.73428749999999998</v>
      </c>
      <c r="I4549">
        <v>198.98150000000001</v>
      </c>
      <c r="J4549">
        <v>-353.16489999999999</v>
      </c>
      <c r="K4549">
        <v>1.1102780000000001</v>
      </c>
      <c r="L4549">
        <v>214.54499999999999</v>
      </c>
      <c r="M4549">
        <v>0.99988869999999996</v>
      </c>
      <c r="N4549">
        <v>0</v>
      </c>
      <c r="O4549">
        <v>2.859913E-3</v>
      </c>
      <c r="P4549">
        <v>0.99938839999999995</v>
      </c>
      <c r="Q4549">
        <v>-1.466072E-2</v>
      </c>
      <c r="R4549">
        <v>-3.175132E-2</v>
      </c>
      <c r="S4549">
        <v>2.988953</v>
      </c>
      <c r="T4549">
        <v>-9.7202060000000003E-3</v>
      </c>
      <c r="U4549">
        <v>-0.40232849999999998</v>
      </c>
      <c r="V4549">
        <v>3.4609599999999997E-2</v>
      </c>
      <c r="W4549" s="1">
        <v>8.5763169999999996E-7</v>
      </c>
      <c r="X4549">
        <v>0.99940090000000004</v>
      </c>
      <c r="Y4549">
        <v>0.13623550000000001</v>
      </c>
      <c r="Z4549">
        <v>-2.2978709999999999E-4</v>
      </c>
      <c r="AA4549">
        <v>0.99067649999999996</v>
      </c>
      <c r="AB4549">
        <v>35</v>
      </c>
      <c r="AC4549">
        <v>115.259599999999</v>
      </c>
      <c r="AD4549">
        <v>-0.37599050000000001</v>
      </c>
      <c r="AE4549">
        <v>-15.5634999999999</v>
      </c>
      <c r="AF4549">
        <v>15.892938015606299</v>
      </c>
      <c r="AG4549">
        <v>-0.37599050000000001</v>
      </c>
      <c r="AH4549">
        <v>115.21340942946701</v>
      </c>
      <c r="AI4549">
        <v>90.185225944679502</v>
      </c>
      <c r="AJ4549">
        <v>82.145987240956302</v>
      </c>
      <c r="AK4549">
        <v>116.30501519705</v>
      </c>
      <c r="AL4549">
        <v>89.999950861322802</v>
      </c>
      <c r="AM4549">
        <v>88.016619881514004</v>
      </c>
      <c r="AN4549">
        <v>0.99999999166685205</v>
      </c>
    </row>
    <row r="4550" spans="1:40" x14ac:dyDescent="0.25">
      <c r="A4550" t="str">
        <f>"20190312154013668"</f>
        <v>20190312154013668</v>
      </c>
      <c r="B4550" t="str">
        <f>"1552376413661025"</f>
        <v>1552376413661025</v>
      </c>
      <c r="C4550" t="s">
        <v>40</v>
      </c>
      <c r="D4550">
        <v>3.9796969999999998</v>
      </c>
      <c r="E4550">
        <v>0.53929389999999999</v>
      </c>
      <c r="F4550" t="s">
        <v>78</v>
      </c>
      <c r="G4550">
        <v>-238.82159999999999</v>
      </c>
      <c r="H4550">
        <v>0.75059149999999997</v>
      </c>
      <c r="I4550">
        <v>198.97</v>
      </c>
      <c r="J4550">
        <v>-352.8082</v>
      </c>
      <c r="K4550">
        <v>1.110271</v>
      </c>
      <c r="L4550">
        <v>214.5463</v>
      </c>
      <c r="M4550">
        <v>0.999888</v>
      </c>
      <c r="N4550">
        <v>0</v>
      </c>
      <c r="O4550">
        <v>3.073012E-3</v>
      </c>
      <c r="P4550">
        <v>0.99940589999999996</v>
      </c>
      <c r="Q4550">
        <v>-1.45249E-2</v>
      </c>
      <c r="R4550">
        <v>-3.1260139999999999E-2</v>
      </c>
      <c r="S4550">
        <v>2.9887389999999998</v>
      </c>
      <c r="T4550">
        <v>-9.4016789999999996E-3</v>
      </c>
      <c r="U4550">
        <v>-0.40710449999999998</v>
      </c>
      <c r="V4550">
        <v>3.4331390000000003E-2</v>
      </c>
      <c r="W4550">
        <v>1.328627E-4</v>
      </c>
      <c r="X4550">
        <v>0.99941049999999998</v>
      </c>
      <c r="Y4550">
        <v>0.13801040000000001</v>
      </c>
      <c r="Z4550">
        <v>-2.2569530000000001E-4</v>
      </c>
      <c r="AA4550">
        <v>0.99043079999999994</v>
      </c>
      <c r="AB4550">
        <v>35</v>
      </c>
      <c r="AC4550">
        <v>113.9866</v>
      </c>
      <c r="AD4550">
        <v>-0.35967949999999999</v>
      </c>
      <c r="AE4550">
        <v>-15.5763</v>
      </c>
      <c r="AF4550">
        <v>15.926390538112599</v>
      </c>
      <c r="AG4550">
        <v>-0.35967949999999999</v>
      </c>
      <c r="AH4550">
        <v>113.93707671686801</v>
      </c>
      <c r="AI4550">
        <v>90.179130644100297</v>
      </c>
      <c r="AJ4550">
        <v>82.042621562212403</v>
      </c>
      <c r="AK4550">
        <v>115.045368162741</v>
      </c>
      <c r="AL4550">
        <v>89.992387528048994</v>
      </c>
      <c r="AM4550">
        <v>88.032569627573693</v>
      </c>
      <c r="AN4550">
        <v>1.00000000475103</v>
      </c>
    </row>
    <row r="4551" spans="1:40" x14ac:dyDescent="0.25">
      <c r="A4551" t="str">
        <f>"20190312154013700"</f>
        <v>20190312154013700</v>
      </c>
      <c r="B4551" t="str">
        <f>"1552376413690305"</f>
        <v>1552376413690305</v>
      </c>
      <c r="C4551" t="s">
        <v>40</v>
      </c>
      <c r="D4551">
        <v>4.0212440000000003</v>
      </c>
      <c r="E4551">
        <v>0.53964579999999995</v>
      </c>
      <c r="F4551" t="s">
        <v>78</v>
      </c>
      <c r="G4551">
        <v>-238.8314</v>
      </c>
      <c r="H4551">
        <v>0.73797729999999995</v>
      </c>
      <c r="I4551">
        <v>198.97890000000001</v>
      </c>
      <c r="J4551">
        <v>-352.31529999999998</v>
      </c>
      <c r="K4551">
        <v>1.1102609999999999</v>
      </c>
      <c r="L4551">
        <v>214.54810000000001</v>
      </c>
      <c r="M4551">
        <v>0.99988699999999997</v>
      </c>
      <c r="N4551">
        <v>0</v>
      </c>
      <c r="O4551">
        <v>3.3674159999999998E-3</v>
      </c>
      <c r="P4551">
        <v>0.99941619999999998</v>
      </c>
      <c r="Q4551">
        <v>-1.5373609999999999E-2</v>
      </c>
      <c r="R4551">
        <v>-3.0506519999999999E-2</v>
      </c>
      <c r="S4551">
        <v>2.9888919999999999</v>
      </c>
      <c r="T4551">
        <v>-9.7630019999999998E-3</v>
      </c>
      <c r="U4551">
        <v>-0.40823359999999997</v>
      </c>
      <c r="V4551">
        <v>3.3872609999999997E-2</v>
      </c>
      <c r="W4551">
        <v>-7.2237820000000004E-4</v>
      </c>
      <c r="X4551">
        <v>0.99942589999999998</v>
      </c>
      <c r="Y4551">
        <v>0.13866249999999999</v>
      </c>
      <c r="Z4551">
        <v>-2.3636889999999999E-4</v>
      </c>
      <c r="AA4551">
        <v>0.99033970000000004</v>
      </c>
      <c r="AB4551">
        <v>35</v>
      </c>
      <c r="AC4551">
        <v>113.483899999999</v>
      </c>
      <c r="AD4551">
        <v>-0.3722837</v>
      </c>
      <c r="AE4551">
        <v>-15.569199999999899</v>
      </c>
      <c r="AF4551">
        <v>15.951131738687801</v>
      </c>
      <c r="AG4551">
        <v>-0.3722837</v>
      </c>
      <c r="AH4551">
        <v>113.429624693861</v>
      </c>
      <c r="AI4551">
        <v>90.186215710377994</v>
      </c>
      <c r="AJ4551">
        <v>81.995226183845901</v>
      </c>
      <c r="AK4551">
        <v>114.54630922508299</v>
      </c>
      <c r="AL4551">
        <v>90.041389225565794</v>
      </c>
      <c r="AM4551">
        <v>88.058870589908196</v>
      </c>
      <c r="AN4551">
        <v>1.0000000025646401</v>
      </c>
    </row>
    <row r="4552" spans="1:40" x14ac:dyDescent="0.25">
      <c r="A4552" t="str">
        <f>"20190312154013712"</f>
        <v>20190312154013712</v>
      </c>
      <c r="B4552" t="str">
        <f>"1552376413700066"</f>
        <v>1552376413700066</v>
      </c>
      <c r="C4552" t="s">
        <v>40</v>
      </c>
      <c r="D4552">
        <v>3.9957220000000002</v>
      </c>
      <c r="E4552">
        <v>0.5397959</v>
      </c>
      <c r="F4552" t="s">
        <v>78</v>
      </c>
      <c r="G4552">
        <v>-239.03899999999999</v>
      </c>
      <c r="H4552">
        <v>0.62547489999999994</v>
      </c>
      <c r="I4552">
        <v>199.0583</v>
      </c>
      <c r="J4552">
        <v>-352.11579999999998</v>
      </c>
      <c r="K4552">
        <v>1.1102510000000001</v>
      </c>
      <c r="L4552">
        <v>214.5489</v>
      </c>
      <c r="M4552">
        <v>0.99988679999999996</v>
      </c>
      <c r="N4552">
        <v>0</v>
      </c>
      <c r="O4552">
        <v>3.4865719999999998E-3</v>
      </c>
      <c r="P4552">
        <v>0.99937710000000002</v>
      </c>
      <c r="Q4552">
        <v>-1.695286E-2</v>
      </c>
      <c r="R4552">
        <v>-3.0954880000000001E-2</v>
      </c>
      <c r="S4552">
        <v>2.9890750000000001</v>
      </c>
      <c r="T4552">
        <v>-1.2792349999999999E-2</v>
      </c>
      <c r="U4552">
        <v>-0.40873720000000002</v>
      </c>
      <c r="V4552">
        <v>3.4440430000000001E-2</v>
      </c>
      <c r="W4552">
        <v>-2.3042589999999999E-3</v>
      </c>
      <c r="X4552">
        <v>0.99940410000000002</v>
      </c>
      <c r="Y4552">
        <v>0.13893559999999999</v>
      </c>
      <c r="Z4552">
        <v>-3.10778E-4</v>
      </c>
      <c r="AA4552">
        <v>0.9903014</v>
      </c>
      <c r="AB4552">
        <v>35</v>
      </c>
      <c r="AC4552">
        <v>113.076799999999</v>
      </c>
      <c r="AD4552">
        <v>-0.48477609999999999</v>
      </c>
      <c r="AE4552">
        <v>-15.490600000000001</v>
      </c>
      <c r="AF4552">
        <v>15.8845118956073</v>
      </c>
      <c r="AG4552">
        <v>-0.48477609999999999</v>
      </c>
      <c r="AH4552">
        <v>113.02005868616</v>
      </c>
      <c r="AI4552">
        <v>90.2433650236445</v>
      </c>
      <c r="AJ4552">
        <v>81.999712403878704</v>
      </c>
      <c r="AK4552">
        <v>114.131881573256</v>
      </c>
      <c r="AL4552">
        <v>90.132024431915099</v>
      </c>
      <c r="AM4552">
        <v>88.026313172992801</v>
      </c>
      <c r="AN4552">
        <v>1.0000000039624599</v>
      </c>
    </row>
    <row r="4553" spans="1:40" x14ac:dyDescent="0.25">
      <c r="A4553" t="str">
        <f>"20190312154013734"</f>
        <v>20190312154013734</v>
      </c>
      <c r="B4553" t="str">
        <f>"1552376413720560"</f>
        <v>1552376413720560</v>
      </c>
      <c r="C4553" t="s">
        <v>40</v>
      </c>
      <c r="D4553">
        <v>4.0019130000000001</v>
      </c>
      <c r="E4553">
        <v>0.54005369999999997</v>
      </c>
      <c r="F4553" t="s">
        <v>78</v>
      </c>
      <c r="G4553">
        <v>-240.43100000000001</v>
      </c>
      <c r="H4553">
        <v>0.45274829999999999</v>
      </c>
      <c r="I4553">
        <v>199.18010000000001</v>
      </c>
      <c r="J4553">
        <v>-351.79480000000001</v>
      </c>
      <c r="K4553">
        <v>1.110249</v>
      </c>
      <c r="L4553">
        <v>214.55019999999999</v>
      </c>
      <c r="M4553">
        <v>0.9998861</v>
      </c>
      <c r="N4553">
        <v>0</v>
      </c>
      <c r="O4553">
        <v>3.678747E-3</v>
      </c>
      <c r="P4553">
        <v>0.9993358</v>
      </c>
      <c r="Q4553">
        <v>-1.797911E-2</v>
      </c>
      <c r="R4553">
        <v>-3.1698770000000001E-2</v>
      </c>
      <c r="S4553">
        <v>2.9887999999999999</v>
      </c>
      <c r="T4553">
        <v>-1.7595530000000002E-2</v>
      </c>
      <c r="U4553">
        <v>-0.41128540000000002</v>
      </c>
      <c r="V4553">
        <v>3.5376680000000001E-2</v>
      </c>
      <c r="W4553">
        <v>-3.334526E-3</v>
      </c>
      <c r="X4553">
        <v>0.99936849999999999</v>
      </c>
      <c r="Y4553">
        <v>0.1399656</v>
      </c>
      <c r="Z4553">
        <v>-4.316233E-4</v>
      </c>
      <c r="AA4553">
        <v>0.99015629999999999</v>
      </c>
      <c r="AB4553">
        <v>35</v>
      </c>
      <c r="AC4553">
        <v>111.3638</v>
      </c>
      <c r="AD4553">
        <v>-0.65750069999999905</v>
      </c>
      <c r="AE4553">
        <v>-15.3700999999999</v>
      </c>
      <c r="AF4553">
        <v>15.7791793626232</v>
      </c>
      <c r="AG4553">
        <v>-0.65750069999999905</v>
      </c>
      <c r="AH4553">
        <v>111.30269023304101</v>
      </c>
      <c r="AI4553">
        <v>90.335109889254795</v>
      </c>
      <c r="AJ4553">
        <v>81.931052294698503</v>
      </c>
      <c r="AK4553">
        <v>112.41754161002</v>
      </c>
      <c r="AL4553">
        <v>90.191054617923697</v>
      </c>
      <c r="AM4553">
        <v>87.972631268352401</v>
      </c>
      <c r="AN4553">
        <v>1.0000000136718501</v>
      </c>
    </row>
    <row r="4554" spans="1:40" x14ac:dyDescent="0.25">
      <c r="A4554" t="str">
        <f>"20190312154013756"</f>
        <v>20190312154013756</v>
      </c>
      <c r="B4554" t="str">
        <f>"1552376413750817"</f>
        <v>1552376413750817</v>
      </c>
      <c r="C4554" t="s">
        <v>40</v>
      </c>
      <c r="D4554">
        <v>4.018624</v>
      </c>
      <c r="E4554">
        <v>0.54048629999999998</v>
      </c>
      <c r="F4554" t="s">
        <v>78</v>
      </c>
      <c r="G4554">
        <v>-241.86359999999999</v>
      </c>
      <c r="H4554">
        <v>0.33420280000000002</v>
      </c>
      <c r="I4554">
        <v>199.2637</v>
      </c>
      <c r="J4554">
        <v>-351.44009999999997</v>
      </c>
      <c r="K4554">
        <v>1.11025</v>
      </c>
      <c r="L4554">
        <v>214.55170000000001</v>
      </c>
      <c r="M4554">
        <v>0.99988529999999998</v>
      </c>
      <c r="N4554">
        <v>0</v>
      </c>
      <c r="O4554">
        <v>3.8911290000000001E-3</v>
      </c>
      <c r="P4554">
        <v>0.99929619999999997</v>
      </c>
      <c r="Q4554">
        <v>-1.8011389999999999E-2</v>
      </c>
      <c r="R4554">
        <v>-3.2907970000000002E-2</v>
      </c>
      <c r="S4554">
        <v>2.9884339999999998</v>
      </c>
      <c r="T4554">
        <v>-2.1096589999999998E-2</v>
      </c>
      <c r="U4554">
        <v>-0.41555789999999998</v>
      </c>
      <c r="V4554">
        <v>3.6797879999999998E-2</v>
      </c>
      <c r="W4554">
        <v>-3.3710839999999999E-3</v>
      </c>
      <c r="X4554">
        <v>0.99931700000000001</v>
      </c>
      <c r="Y4554">
        <v>0.14157999999999901</v>
      </c>
      <c r="Z4554">
        <v>-5.2467900000000001E-4</v>
      </c>
      <c r="AA4554">
        <v>0.98992670000000005</v>
      </c>
      <c r="AB4554">
        <v>35</v>
      </c>
      <c r="AC4554">
        <v>109.576499999999</v>
      </c>
      <c r="AD4554">
        <v>-0.77604719999999905</v>
      </c>
      <c r="AE4554">
        <v>-15.288</v>
      </c>
      <c r="AF4554">
        <v>15.713533104204901</v>
      </c>
      <c r="AG4554">
        <v>-0.77604719999999905</v>
      </c>
      <c r="AH4554">
        <v>109.510788345289</v>
      </c>
      <c r="AI4554">
        <v>90.401903059785198</v>
      </c>
      <c r="AJ4554">
        <v>81.834453061973406</v>
      </c>
      <c r="AK4554">
        <v>110.635121620036</v>
      </c>
      <c r="AL4554">
        <v>90.193149259657403</v>
      </c>
      <c r="AM4554">
        <v>87.891148595819999</v>
      </c>
      <c r="AN4554">
        <v>0.99999995733441305</v>
      </c>
    </row>
    <row r="4555" spans="1:40" x14ac:dyDescent="0.25">
      <c r="A4555" t="str">
        <f>"20190312154013781"</f>
        <v>20190312154013781</v>
      </c>
      <c r="B4555" t="str">
        <f>"1552376413770336"</f>
        <v>1552376413770336</v>
      </c>
      <c r="C4555" t="s">
        <v>40</v>
      </c>
      <c r="D4555">
        <v>4.0544140000000004</v>
      </c>
      <c r="E4555">
        <v>0.54071969999999903</v>
      </c>
      <c r="F4555" t="s">
        <v>78</v>
      </c>
      <c r="G4555">
        <v>-242.7088</v>
      </c>
      <c r="H4555">
        <v>0.34111550000000002</v>
      </c>
      <c r="I4555">
        <v>199.17250000000001</v>
      </c>
      <c r="J4555">
        <v>-351.0829</v>
      </c>
      <c r="K4555">
        <v>1.1102529999999999</v>
      </c>
      <c r="L4555">
        <v>214.55330000000001</v>
      </c>
      <c r="M4555">
        <v>0.99988449999999995</v>
      </c>
      <c r="N4555">
        <v>0</v>
      </c>
      <c r="O4555">
        <v>4.1051200000000003E-3</v>
      </c>
      <c r="P4555">
        <v>0.99930129999999995</v>
      </c>
      <c r="Q4555">
        <v>-1.740765E-2</v>
      </c>
      <c r="R4555">
        <v>-3.3077799999999997E-2</v>
      </c>
      <c r="S4555">
        <v>2.9878230000000001</v>
      </c>
      <c r="T4555">
        <v>-2.1135089999999999E-2</v>
      </c>
      <c r="U4555">
        <v>-0.42260740000000002</v>
      </c>
      <c r="V4555">
        <v>3.7181369999999998E-2</v>
      </c>
      <c r="W4555">
        <v>-2.7713730000000002E-3</v>
      </c>
      <c r="X4555">
        <v>0.99930469999999905</v>
      </c>
      <c r="Y4555">
        <v>0.1441095</v>
      </c>
      <c r="Z4555">
        <v>-5.3606610000000001E-4</v>
      </c>
      <c r="AA4555">
        <v>0.98956160000000004</v>
      </c>
      <c r="AB4555">
        <v>35</v>
      </c>
      <c r="AC4555">
        <v>108.3741</v>
      </c>
      <c r="AD4555">
        <v>-0.76913750000000003</v>
      </c>
      <c r="AE4555">
        <v>-15.380799999999899</v>
      </c>
      <c r="AF4555">
        <v>15.8248253678598</v>
      </c>
      <c r="AG4555">
        <v>-0.76913750000000003</v>
      </c>
      <c r="AH4555">
        <v>108.304692438313</v>
      </c>
      <c r="AI4555">
        <v>90.402610459085594</v>
      </c>
      <c r="AJ4555">
        <v>81.687112872585701</v>
      </c>
      <c r="AK4555">
        <v>109.457403014025</v>
      </c>
      <c r="AL4555">
        <v>90.158788178172202</v>
      </c>
      <c r="AM4555">
        <v>87.869165100976105</v>
      </c>
      <c r="AN4555">
        <v>1.0000000091127299</v>
      </c>
    </row>
    <row r="4556" spans="1:40" x14ac:dyDescent="0.25">
      <c r="A4556" t="str">
        <f>"20190312154013802"</f>
        <v>20190312154013802</v>
      </c>
      <c r="B4556" t="str">
        <f>"1552376413790833"</f>
        <v>1552376413790833</v>
      </c>
      <c r="C4556" t="s">
        <v>40</v>
      </c>
      <c r="D4556">
        <v>4.077725</v>
      </c>
      <c r="E4556">
        <v>0.54091199999999995</v>
      </c>
      <c r="F4556" t="s">
        <v>78</v>
      </c>
      <c r="G4556">
        <v>-242.66550000000001</v>
      </c>
      <c r="H4556">
        <v>0.40249249999999998</v>
      </c>
      <c r="I4556">
        <v>199.12690000000001</v>
      </c>
      <c r="J4556">
        <v>-350.7441</v>
      </c>
      <c r="K4556">
        <v>1.1102590000000001</v>
      </c>
      <c r="L4556">
        <v>214.5549</v>
      </c>
      <c r="M4556">
        <v>0.99988379999999999</v>
      </c>
      <c r="N4556">
        <v>0</v>
      </c>
      <c r="O4556">
        <v>4.3080219999999999E-3</v>
      </c>
      <c r="P4556">
        <v>0.99932489999999996</v>
      </c>
      <c r="Q4556">
        <v>-1.657285E-2</v>
      </c>
      <c r="R4556">
        <v>-3.2795970000000001E-2</v>
      </c>
      <c r="S4556">
        <v>2.9876710000000002</v>
      </c>
      <c r="T4556">
        <v>-1.9503949999999999E-2</v>
      </c>
      <c r="U4556">
        <v>-0.42510989999999999</v>
      </c>
      <c r="V4556">
        <v>3.710194E-2</v>
      </c>
      <c r="W4556">
        <v>-1.9400660000000001E-3</v>
      </c>
      <c r="X4556">
        <v>0.99930960000000002</v>
      </c>
      <c r="Y4556">
        <v>0.14513029999999999</v>
      </c>
      <c r="Z4556">
        <v>-4.9932429999999999E-4</v>
      </c>
      <c r="AA4556">
        <v>0.98941239999999997</v>
      </c>
      <c r="AB4556">
        <v>34</v>
      </c>
      <c r="AC4556">
        <v>108.07859999999999</v>
      </c>
      <c r="AD4556">
        <v>-0.70776649999999997</v>
      </c>
      <c r="AE4556">
        <v>-15.4279999999999</v>
      </c>
      <c r="AF4556">
        <v>15.8928436319623</v>
      </c>
      <c r="AG4556">
        <v>-0.70776649999999997</v>
      </c>
      <c r="AH4556">
        <v>108.00658627865801</v>
      </c>
      <c r="AI4556">
        <v>90.371453766197007</v>
      </c>
      <c r="AJ4556">
        <v>81.6291695341761</v>
      </c>
      <c r="AK4556">
        <v>109.171910726604</v>
      </c>
      <c r="AL4556">
        <v>90.111157663815007</v>
      </c>
      <c r="AM4556">
        <v>87.873723405133603</v>
      </c>
      <c r="AN4556">
        <v>0.99999999723000399</v>
      </c>
    </row>
    <row r="4557" spans="1:40" x14ac:dyDescent="0.25">
      <c r="A4557" t="str">
        <f>"20190312154013824"</f>
        <v>20190312154013824</v>
      </c>
      <c r="B4557" t="str">
        <f>"1552376413810353"</f>
        <v>1552376413810353</v>
      </c>
      <c r="C4557" t="s">
        <v>40</v>
      </c>
      <c r="D4557">
        <v>4.0305</v>
      </c>
      <c r="E4557">
        <v>0.54115290000000005</v>
      </c>
      <c r="F4557" t="s">
        <v>78</v>
      </c>
      <c r="G4557">
        <v>-242.5949</v>
      </c>
      <c r="H4557">
        <v>0.50271940000000004</v>
      </c>
      <c r="I4557">
        <v>199.14340000000001</v>
      </c>
      <c r="J4557">
        <v>-350.4178</v>
      </c>
      <c r="K4557">
        <v>1.1102620000000001</v>
      </c>
      <c r="L4557">
        <v>214.5565</v>
      </c>
      <c r="M4557">
        <v>0.99988299999999997</v>
      </c>
      <c r="N4557">
        <v>0</v>
      </c>
      <c r="O4557">
        <v>4.5034760000000002E-3</v>
      </c>
      <c r="P4557">
        <v>0.99936380000000002</v>
      </c>
      <c r="Q4557">
        <v>-1.6456620000000002E-2</v>
      </c>
      <c r="R4557">
        <v>-3.16443E-2</v>
      </c>
      <c r="S4557">
        <v>2.9877929999999999</v>
      </c>
      <c r="T4557">
        <v>-1.678431E-2</v>
      </c>
      <c r="U4557">
        <v>-0.42576599999999998</v>
      </c>
      <c r="V4557">
        <v>3.6145780000000002E-2</v>
      </c>
      <c r="W4557">
        <v>-1.8274470000000001E-3</v>
      </c>
      <c r="X4557">
        <v>0.99934489999999998</v>
      </c>
      <c r="Y4557">
        <v>0.14553179999999999</v>
      </c>
      <c r="Z4557">
        <v>-4.3189029999999998E-4</v>
      </c>
      <c r="AA4557">
        <v>0.9893535</v>
      </c>
      <c r="AB4557">
        <v>34</v>
      </c>
      <c r="AC4557">
        <v>107.8229</v>
      </c>
      <c r="AD4557">
        <v>-0.60754259999999904</v>
      </c>
      <c r="AE4557">
        <v>-15.413099999999901</v>
      </c>
      <c r="AF4557">
        <v>15.898078760794</v>
      </c>
      <c r="AG4557">
        <v>-0.60754259999999904</v>
      </c>
      <c r="AH4557">
        <v>107.749033991795</v>
      </c>
      <c r="AI4557">
        <v>90.319598594726102</v>
      </c>
      <c r="AJ4557">
        <v>81.606720767345095</v>
      </c>
      <c r="AK4557">
        <v>108.91727292978</v>
      </c>
      <c r="AL4557">
        <v>90.104705054152902</v>
      </c>
      <c r="AM4557">
        <v>87.928544755906401</v>
      </c>
      <c r="AN4557">
        <v>1.0000000430651701</v>
      </c>
    </row>
    <row r="4558" spans="1:40" x14ac:dyDescent="0.25">
      <c r="A4558" t="str">
        <f>"20190312154013848"</f>
        <v>20190312154013848</v>
      </c>
      <c r="B4558" t="str">
        <f>"1552376413840608"</f>
        <v>1552376413840608</v>
      </c>
      <c r="C4558" t="s">
        <v>40</v>
      </c>
      <c r="D4558">
        <v>4.0766970000000002</v>
      </c>
      <c r="E4558">
        <v>0.54419399999999996</v>
      </c>
      <c r="F4558" t="s">
        <v>78</v>
      </c>
      <c r="G4558">
        <v>-241.96520000000001</v>
      </c>
      <c r="H4558">
        <v>0.47596260000000001</v>
      </c>
      <c r="I4558">
        <v>199.16370000000001</v>
      </c>
      <c r="J4558">
        <v>-350.03980000000001</v>
      </c>
      <c r="K4558">
        <v>1.1102620000000001</v>
      </c>
      <c r="L4558">
        <v>214.55850000000001</v>
      </c>
      <c r="M4558">
        <v>0.99988200000000005</v>
      </c>
      <c r="N4558">
        <v>0</v>
      </c>
      <c r="O4558">
        <v>4.7300450000000004E-3</v>
      </c>
      <c r="P4558">
        <v>0.99939540000000004</v>
      </c>
      <c r="Q4558">
        <v>-1.6275189999999998E-2</v>
      </c>
      <c r="R4558">
        <v>-3.0730250000000001E-2</v>
      </c>
      <c r="S4558">
        <v>2.9881899999999999</v>
      </c>
      <c r="T4558">
        <v>-1.747692E-2</v>
      </c>
      <c r="U4558">
        <v>-0.42411799999999999</v>
      </c>
      <c r="V4558">
        <v>3.5458209999999997E-2</v>
      </c>
      <c r="W4558">
        <v>-1.6505109999999999E-3</v>
      </c>
      <c r="X4558">
        <v>0.99936979999999997</v>
      </c>
      <c r="Y4558">
        <v>0.14520269999999999</v>
      </c>
      <c r="Z4558">
        <v>-4.5003140000000002E-4</v>
      </c>
      <c r="AA4558">
        <v>0.9894018</v>
      </c>
      <c r="AB4558">
        <v>34</v>
      </c>
      <c r="AC4558">
        <v>108.0746</v>
      </c>
      <c r="AD4558">
        <v>-0.63429939999999996</v>
      </c>
      <c r="AE4558">
        <v>-15.3948</v>
      </c>
      <c r="AF4558">
        <v>15.9053430922968</v>
      </c>
      <c r="AG4558">
        <v>-0.63429939999999996</v>
      </c>
      <c r="AH4558">
        <v>107.99691876441</v>
      </c>
      <c r="AI4558">
        <v>90.332920906679405</v>
      </c>
      <c r="AJ4558">
        <v>81.621940139645702</v>
      </c>
      <c r="AK4558">
        <v>109.163715295968</v>
      </c>
      <c r="AL4558">
        <v>90.094567356992997</v>
      </c>
      <c r="AM4558">
        <v>87.967965496182998</v>
      </c>
      <c r="AN4558">
        <v>1.0000000029975</v>
      </c>
    </row>
    <row r="4559" spans="1:40" x14ac:dyDescent="0.25">
      <c r="A4559" t="str">
        <f>"20190312154013869"</f>
        <v>20190312154013869</v>
      </c>
      <c r="B4559" t="str">
        <f>"1552376413860129"</f>
        <v>1552376413860129</v>
      </c>
      <c r="C4559" t="s">
        <v>40</v>
      </c>
      <c r="D4559">
        <v>4.0291670000000002</v>
      </c>
      <c r="E4559">
        <v>0.54438980000000003</v>
      </c>
      <c r="F4559" t="s">
        <v>41</v>
      </c>
      <c r="G4559">
        <v>-349.18979999999999</v>
      </c>
      <c r="H4559">
        <v>0.99416199999999999</v>
      </c>
      <c r="I4559">
        <v>214.4349</v>
      </c>
      <c r="J4559">
        <v>-349.71069999999997</v>
      </c>
      <c r="K4559">
        <v>1.1102650000000001</v>
      </c>
      <c r="L4559">
        <v>214.56020000000001</v>
      </c>
      <c r="M4559">
        <v>0.99988100000000002</v>
      </c>
      <c r="N4559">
        <v>0</v>
      </c>
      <c r="O4559">
        <v>4.9273479999999998E-3</v>
      </c>
      <c r="P4559">
        <v>0.99940379999999995</v>
      </c>
      <c r="Q4559">
        <v>-1.6125629999999998E-2</v>
      </c>
      <c r="R4559">
        <v>-3.0526169999999998E-2</v>
      </c>
      <c r="S4559">
        <v>2.9818730000000002</v>
      </c>
      <c r="T4559">
        <v>-0.40742929999999999</v>
      </c>
      <c r="U4559">
        <v>-0.43254090000000001</v>
      </c>
      <c r="V4559">
        <v>3.5451360000000001E-2</v>
      </c>
      <c r="W4559">
        <v>-1.504944E-3</v>
      </c>
      <c r="X4559">
        <v>0.99937030000000004</v>
      </c>
      <c r="Y4559">
        <v>0.14704610000000001</v>
      </c>
      <c r="Z4559">
        <v>-1.061488E-2</v>
      </c>
      <c r="AA4559">
        <v>0.98907270000000003</v>
      </c>
      <c r="AB4559">
        <v>34</v>
      </c>
      <c r="AC4559">
        <v>0.52089999999998304</v>
      </c>
      <c r="AD4559">
        <v>-0.116102999999999</v>
      </c>
      <c r="AE4559">
        <v>-0.12530000000000899</v>
      </c>
      <c r="AF4559">
        <v>0.12212990973780299</v>
      </c>
      <c r="AG4559">
        <v>-0.116102999999999</v>
      </c>
      <c r="AH4559">
        <v>0.49693883304226899</v>
      </c>
      <c r="AI4559">
        <v>102.783135322714</v>
      </c>
      <c r="AJ4559">
        <v>76.192385899413694</v>
      </c>
      <c r="AK4559">
        <v>0.52473214619172703</v>
      </c>
      <c r="AL4559">
        <v>90.0862269695522</v>
      </c>
      <c r="AM4559">
        <v>87.968358741705103</v>
      </c>
      <c r="AN4559">
        <v>1.0000000301521901</v>
      </c>
    </row>
    <row r="4560" spans="1:40" x14ac:dyDescent="0.25">
      <c r="A4560" t="str">
        <f>"20190312154013891"</f>
        <v>20190312154013891</v>
      </c>
      <c r="B4560" t="str">
        <f>"1552376413880624"</f>
        <v>1552376413880624</v>
      </c>
      <c r="C4560" t="s">
        <v>40</v>
      </c>
      <c r="D4560">
        <v>4.0403719999999996</v>
      </c>
      <c r="E4560">
        <v>0.54494790000000004</v>
      </c>
      <c r="F4560" t="s">
        <v>41</v>
      </c>
      <c r="G4560">
        <v>-348.89859999999999</v>
      </c>
      <c r="H4560">
        <v>0.96421579999999996</v>
      </c>
      <c r="I4560">
        <v>214.44290000000001</v>
      </c>
      <c r="J4560">
        <v>-349.38229999999999</v>
      </c>
      <c r="K4560">
        <v>1.1102730000000001</v>
      </c>
      <c r="L4560">
        <v>214.56209999999999</v>
      </c>
      <c r="M4560">
        <v>0.99988010000000005</v>
      </c>
      <c r="N4560">
        <v>0</v>
      </c>
      <c r="O4560">
        <v>5.1241139999999999E-3</v>
      </c>
      <c r="P4560">
        <v>0.99938640000000001</v>
      </c>
      <c r="Q4560">
        <v>-1.5704659999999999E-2</v>
      </c>
      <c r="R4560">
        <v>-3.130463E-2</v>
      </c>
      <c r="S4560">
        <v>2.9800719999999998</v>
      </c>
      <c r="T4560">
        <v>-0.53601799999999999</v>
      </c>
      <c r="U4560">
        <v>-0.4290466</v>
      </c>
      <c r="V4560">
        <v>3.642633E-2</v>
      </c>
      <c r="W4560">
        <v>-1.0879850000000001E-3</v>
      </c>
      <c r="X4560">
        <v>0.9993358</v>
      </c>
      <c r="Y4560">
        <v>0.1452088</v>
      </c>
      <c r="Z4560">
        <v>-1.380025E-2</v>
      </c>
      <c r="AA4560">
        <v>0.98930479999999998</v>
      </c>
      <c r="AB4560">
        <v>34</v>
      </c>
      <c r="AC4560">
        <v>0.48369999999999802</v>
      </c>
      <c r="AD4560">
        <v>-0.146057199999999</v>
      </c>
      <c r="AE4560">
        <v>-0.119199999999978</v>
      </c>
      <c r="AF4560">
        <v>0.11204592782658999</v>
      </c>
      <c r="AG4560">
        <v>-0.146057199999999</v>
      </c>
      <c r="AH4560">
        <v>0.44484459248948099</v>
      </c>
      <c r="AI4560">
        <v>107.66089284894301</v>
      </c>
      <c r="AJ4560">
        <v>75.862606717635202</v>
      </c>
      <c r="AK4560">
        <v>0.48142881829144102</v>
      </c>
      <c r="AL4560">
        <v>90.062336957780303</v>
      </c>
      <c r="AM4560">
        <v>87.912462074083905</v>
      </c>
      <c r="AN4560">
        <v>1.0000000511951299</v>
      </c>
    </row>
    <row r="4561" spans="1:40" x14ac:dyDescent="0.25">
      <c r="A4561" t="str">
        <f>"20190312154013912"</f>
        <v>20190312154013912</v>
      </c>
      <c r="B4561" t="str">
        <f>"1552376413900145"</f>
        <v>1552376413900145</v>
      </c>
      <c r="C4561" t="s">
        <v>40</v>
      </c>
      <c r="D4561">
        <v>4.0788830000000003</v>
      </c>
      <c r="E4561">
        <v>0.54505899999999996</v>
      </c>
      <c r="F4561" t="s">
        <v>41</v>
      </c>
      <c r="G4561">
        <v>-348.59809999999999</v>
      </c>
      <c r="H4561">
        <v>0.95390949999999997</v>
      </c>
      <c r="I4561">
        <v>214.4478</v>
      </c>
      <c r="J4561">
        <v>-349.05919999999998</v>
      </c>
      <c r="K4561">
        <v>1.110279</v>
      </c>
      <c r="L4561">
        <v>214.56389999999999</v>
      </c>
      <c r="M4561">
        <v>0.99987919999999997</v>
      </c>
      <c r="N4561">
        <v>0</v>
      </c>
      <c r="O4561">
        <v>5.3178399999999999E-3</v>
      </c>
      <c r="P4561">
        <v>0.99937180000000003</v>
      </c>
      <c r="Q4561">
        <v>-1.5498639999999999E-2</v>
      </c>
      <c r="R4561">
        <v>-3.1877210000000003E-2</v>
      </c>
      <c r="S4561">
        <v>2.978882</v>
      </c>
      <c r="T4561">
        <v>-0.59395710000000002</v>
      </c>
      <c r="U4561">
        <v>-0.43373109999999998</v>
      </c>
      <c r="V4561">
        <v>3.7192040000000003E-2</v>
      </c>
      <c r="W4561">
        <v>-8.8600579999999999E-4</v>
      </c>
      <c r="X4561">
        <v>0.99930779999999997</v>
      </c>
      <c r="Y4561">
        <v>0.14641760000000001</v>
      </c>
      <c r="Z4561">
        <v>-1.5425980000000001E-2</v>
      </c>
      <c r="AA4561">
        <v>0.98910260000000005</v>
      </c>
      <c r="AB4561">
        <v>34</v>
      </c>
      <c r="AC4561">
        <v>0.46109999999998702</v>
      </c>
      <c r="AD4561">
        <v>-0.15636949999999999</v>
      </c>
      <c r="AE4561">
        <v>-0.116099999999988</v>
      </c>
      <c r="AF4561">
        <v>0.10698091432983101</v>
      </c>
      <c r="AG4561">
        <v>-0.15636949999999999</v>
      </c>
      <c r="AH4561">
        <v>0.41553660073135601</v>
      </c>
      <c r="AI4561">
        <v>110.02294588487401</v>
      </c>
      <c r="AJ4561">
        <v>75.562590116078297</v>
      </c>
      <c r="AK4561">
        <v>0.45669136526593801</v>
      </c>
      <c r="AL4561">
        <v>90.050764396763299</v>
      </c>
      <c r="AM4561">
        <v>87.8685607815992</v>
      </c>
      <c r="AN4561">
        <v>1.0000000559932301</v>
      </c>
    </row>
    <row r="4562" spans="1:40" x14ac:dyDescent="0.25">
      <c r="A4562" t="str">
        <f>"20190312154013926"</f>
        <v>20190312154013926</v>
      </c>
      <c r="B4562" t="str">
        <f>"1552376413920641"</f>
        <v>1552376413920641</v>
      </c>
      <c r="C4562" t="s">
        <v>40</v>
      </c>
      <c r="D4562">
        <v>4.0710169999999897</v>
      </c>
      <c r="E4562">
        <v>0.54529059999999996</v>
      </c>
      <c r="F4562" t="s">
        <v>41</v>
      </c>
      <c r="G4562">
        <v>-348.29469999999998</v>
      </c>
      <c r="H4562">
        <v>0.95007160000000002</v>
      </c>
      <c r="I4562">
        <v>214.45179999999999</v>
      </c>
      <c r="J4562">
        <v>-348.83929999999998</v>
      </c>
      <c r="K4562">
        <v>1.1102810000000001</v>
      </c>
      <c r="L4562">
        <v>214.5652</v>
      </c>
      <c r="M4562">
        <v>0.99987859999999995</v>
      </c>
      <c r="N4562">
        <v>0</v>
      </c>
      <c r="O4562">
        <v>5.4496329999999997E-3</v>
      </c>
      <c r="P4562">
        <v>0.99937489999999995</v>
      </c>
      <c r="Q4562">
        <v>-1.5348840000000001E-2</v>
      </c>
      <c r="R4562">
        <v>-3.1854319999999998E-2</v>
      </c>
      <c r="S4562">
        <v>2.9783019999999998</v>
      </c>
      <c r="T4562">
        <v>-0.6241913</v>
      </c>
      <c r="U4562">
        <v>-0.43550109999999997</v>
      </c>
      <c r="V4562">
        <v>3.730091E-2</v>
      </c>
      <c r="W4562">
        <v>-7.3886830000000005E-4</v>
      </c>
      <c r="X4562">
        <v>0.99930379999999996</v>
      </c>
      <c r="Y4562">
        <v>0.1468361</v>
      </c>
      <c r="Z4562">
        <v>-1.626789E-2</v>
      </c>
      <c r="AA4562">
        <v>0.98902710000000005</v>
      </c>
      <c r="AB4562">
        <v>34</v>
      </c>
      <c r="AC4562">
        <v>0.54460000000000197</v>
      </c>
      <c r="AD4562">
        <v>-0.160209399999999</v>
      </c>
      <c r="AE4562">
        <v>-0.11340000000001201</v>
      </c>
      <c r="AF4562">
        <v>0.107453805982066</v>
      </c>
      <c r="AG4562">
        <v>-0.160209399999999</v>
      </c>
      <c r="AH4562">
        <v>0.50231003112232298</v>
      </c>
      <c r="AI4562">
        <v>107.32211723563501</v>
      </c>
      <c r="AJ4562">
        <v>77.925317198277199</v>
      </c>
      <c r="AK4562">
        <v>0.53807874854383597</v>
      </c>
      <c r="AL4562">
        <v>90.042334039301096</v>
      </c>
      <c r="AM4562">
        <v>87.862318780242703</v>
      </c>
      <c r="AN4562">
        <v>0.99999999425381603</v>
      </c>
    </row>
    <row r="4563" spans="1:40" x14ac:dyDescent="0.25">
      <c r="A4563" t="str">
        <f>"20190312154013948"</f>
        <v>20190312154013948</v>
      </c>
      <c r="B4563" t="str">
        <f>"1552376413940160"</f>
        <v>1552376413940160</v>
      </c>
      <c r="C4563" t="s">
        <v>40</v>
      </c>
      <c r="D4563">
        <v>4.1311030000000004</v>
      </c>
      <c r="E4563">
        <v>0.54599219999999904</v>
      </c>
      <c r="F4563" t="s">
        <v>41</v>
      </c>
      <c r="G4563">
        <v>-347.99950000000001</v>
      </c>
      <c r="H4563">
        <v>0.92859420000000004</v>
      </c>
      <c r="I4563">
        <v>214.4418</v>
      </c>
      <c r="J4563">
        <v>-348.51069999999999</v>
      </c>
      <c r="K4563">
        <v>1.110277</v>
      </c>
      <c r="L4563">
        <v>214.56720000000001</v>
      </c>
      <c r="M4563">
        <v>0.99987749999999997</v>
      </c>
      <c r="N4563">
        <v>0</v>
      </c>
      <c r="O4563">
        <v>5.6469930000000003E-3</v>
      </c>
      <c r="P4563">
        <v>0.99938459999999996</v>
      </c>
      <c r="Q4563">
        <v>-1.525543E-2</v>
      </c>
      <c r="R4563">
        <v>-3.1588819999999997E-2</v>
      </c>
      <c r="S4563">
        <v>2.978027</v>
      </c>
      <c r="T4563">
        <v>-0.64433359999999995</v>
      </c>
      <c r="U4563">
        <v>-0.43682860000000001</v>
      </c>
      <c r="V4563">
        <v>3.7232510000000003E-2</v>
      </c>
      <c r="W4563">
        <v>-6.4923119999999996E-4</v>
      </c>
      <c r="X4563">
        <v>0.99930640000000004</v>
      </c>
      <c r="Y4563">
        <v>0.14725150000000001</v>
      </c>
      <c r="Z4563">
        <v>-1.686851E-2</v>
      </c>
      <c r="AA4563">
        <v>0.98895529999999998</v>
      </c>
      <c r="AB4563">
        <v>34</v>
      </c>
      <c r="AC4563">
        <v>0.51119999999997301</v>
      </c>
      <c r="AD4563">
        <v>-0.18168280000000001</v>
      </c>
      <c r="AE4563">
        <v>-0.125400000000013</v>
      </c>
      <c r="AF4563">
        <v>0.114627934518376</v>
      </c>
      <c r="AG4563">
        <v>-0.18168280000000001</v>
      </c>
      <c r="AH4563">
        <v>0.456137990237584</v>
      </c>
      <c r="AI4563">
        <v>111.121331115163</v>
      </c>
      <c r="AJ4563">
        <v>75.893620870594503</v>
      </c>
      <c r="AK4563">
        <v>0.50419249233380203</v>
      </c>
      <c r="AL4563">
        <v>90.037198211000998</v>
      </c>
      <c r="AM4563">
        <v>87.866240641808403</v>
      </c>
      <c r="AN4563">
        <v>0.99999998119150502</v>
      </c>
    </row>
    <row r="4564" spans="1:40" x14ac:dyDescent="0.25">
      <c r="A4564" t="str">
        <f>"20190312154013968"</f>
        <v>20190312154013968</v>
      </c>
      <c r="B4564" t="str">
        <f>"1552376413960656"</f>
        <v>1552376413960656</v>
      </c>
      <c r="C4564" t="s">
        <v>40</v>
      </c>
      <c r="D4564">
        <v>4.1147229999999997</v>
      </c>
      <c r="E4564">
        <v>0.54596599999999995</v>
      </c>
      <c r="F4564" t="s">
        <v>41</v>
      </c>
      <c r="G4564">
        <v>-347.69499999999999</v>
      </c>
      <c r="H4564">
        <v>0.92867100000000002</v>
      </c>
      <c r="I4564">
        <v>214.44589999999999</v>
      </c>
      <c r="J4564">
        <v>-348.1995</v>
      </c>
      <c r="K4564">
        <v>1.1102749999999999</v>
      </c>
      <c r="L4564">
        <v>214.56909999999999</v>
      </c>
      <c r="M4564">
        <v>0.9998766</v>
      </c>
      <c r="N4564">
        <v>0</v>
      </c>
      <c r="O4564">
        <v>5.8338019999999999E-3</v>
      </c>
      <c r="P4564">
        <v>0.99941210000000003</v>
      </c>
      <c r="Q4564">
        <v>-1.507119E-2</v>
      </c>
      <c r="R4564">
        <v>-3.0795179999999998E-2</v>
      </c>
      <c r="S4564">
        <v>2.9777830000000001</v>
      </c>
      <c r="T4564">
        <v>-0.66311069999999905</v>
      </c>
      <c r="U4564">
        <v>-0.44108579999999997</v>
      </c>
      <c r="V4564">
        <v>3.6625949999999997E-2</v>
      </c>
      <c r="W4564">
        <v>-4.6839370000000002E-4</v>
      </c>
      <c r="X4564">
        <v>0.99932889999999996</v>
      </c>
      <c r="Y4564">
        <v>0.14859259999999999</v>
      </c>
      <c r="Z4564">
        <v>-1.7535950000000002E-2</v>
      </c>
      <c r="AA4564">
        <v>0.98874300000000004</v>
      </c>
      <c r="AB4564">
        <v>34</v>
      </c>
      <c r="AC4564">
        <v>0.50450000000000705</v>
      </c>
      <c r="AD4564">
        <v>-0.18160399999999999</v>
      </c>
      <c r="AE4564">
        <v>-0.12319999999999701</v>
      </c>
      <c r="AF4564">
        <v>0.112396937732853</v>
      </c>
      <c r="AG4564">
        <v>-0.18160399999999999</v>
      </c>
      <c r="AH4564">
        <v>0.44888127695726299</v>
      </c>
      <c r="AI4564">
        <v>111.42774389780899</v>
      </c>
      <c r="AJ4564">
        <v>75.942540793569506</v>
      </c>
      <c r="AK4564">
        <v>0.49709906983468199</v>
      </c>
      <c r="AL4564">
        <v>90.026836984081299</v>
      </c>
      <c r="AM4564">
        <v>87.901017878550803</v>
      </c>
      <c r="AN4564">
        <v>0.99999996499063404</v>
      </c>
    </row>
    <row r="4565" spans="1:40" x14ac:dyDescent="0.25">
      <c r="A4565" t="str">
        <f>"20190312154013984"</f>
        <v>20190312154013984</v>
      </c>
      <c r="B4565" t="str">
        <f>"1552376413970417"</f>
        <v>1552376413970417</v>
      </c>
      <c r="C4565" t="s">
        <v>40</v>
      </c>
      <c r="D4565">
        <v>4.0954499999999996</v>
      </c>
      <c r="E4565">
        <v>0.54613559999999906</v>
      </c>
      <c r="F4565" t="s">
        <v>41</v>
      </c>
      <c r="G4565">
        <v>-347.39139999999998</v>
      </c>
      <c r="H4565">
        <v>0.9275639</v>
      </c>
      <c r="I4565">
        <v>214.4504</v>
      </c>
      <c r="J4565">
        <v>-347.97620000000001</v>
      </c>
      <c r="K4565">
        <v>1.1102700000000001</v>
      </c>
      <c r="L4565">
        <v>214.57060000000001</v>
      </c>
      <c r="M4565">
        <v>0.99987579999999998</v>
      </c>
      <c r="N4565">
        <v>0</v>
      </c>
      <c r="O4565">
        <v>5.9677389999999997E-3</v>
      </c>
      <c r="P4565">
        <v>0.99943510000000002</v>
      </c>
      <c r="Q4565">
        <v>-1.495983E-2</v>
      </c>
      <c r="R4565">
        <v>-3.0098050000000001E-2</v>
      </c>
      <c r="S4565">
        <v>2.978119</v>
      </c>
      <c r="T4565">
        <v>-0.67336079999999998</v>
      </c>
      <c r="U4565">
        <v>-0.43771359999999898</v>
      </c>
      <c r="V4565">
        <v>3.606264E-2</v>
      </c>
      <c r="W4565">
        <v>-3.5949369999999998E-4</v>
      </c>
      <c r="X4565">
        <v>0.9993495</v>
      </c>
      <c r="Y4565">
        <v>0.1475223</v>
      </c>
      <c r="Z4565">
        <v>-1.771085E-2</v>
      </c>
      <c r="AA4565">
        <v>0.98890009999999995</v>
      </c>
      <c r="AB4565">
        <v>34</v>
      </c>
      <c r="AC4565">
        <v>0.58480000000002896</v>
      </c>
      <c r="AD4565">
        <v>-0.18270610000000001</v>
      </c>
      <c r="AE4565">
        <v>-0.12020000000001101</v>
      </c>
      <c r="AF4565">
        <v>0.113096371977361</v>
      </c>
      <c r="AG4565">
        <v>-0.18270610000000001</v>
      </c>
      <c r="AH4565">
        <v>0.53405631474160498</v>
      </c>
      <c r="AI4565">
        <v>108.504764285021</v>
      </c>
      <c r="AJ4565">
        <v>78.043200791046402</v>
      </c>
      <c r="AK4565">
        <v>0.57566349167463704</v>
      </c>
      <c r="AL4565">
        <v>90.020597471531403</v>
      </c>
      <c r="AM4565">
        <v>87.933314740917496</v>
      </c>
      <c r="AN4565">
        <v>1.00000003319486</v>
      </c>
    </row>
    <row r="4566" spans="1:40" x14ac:dyDescent="0.25">
      <c r="A4566" t="str">
        <f>"20190312154014001"</f>
        <v>20190312154014001</v>
      </c>
      <c r="B4566" t="str">
        <f>"1552376413990912"</f>
        <v>1552376413990912</v>
      </c>
      <c r="C4566" t="s">
        <v>40</v>
      </c>
      <c r="D4566">
        <v>4.1186689999999997</v>
      </c>
      <c r="E4566">
        <v>0.54639349999999998</v>
      </c>
      <c r="F4566" t="s">
        <v>41</v>
      </c>
      <c r="G4566">
        <v>-347.0949</v>
      </c>
      <c r="H4566">
        <v>0.90963640000000001</v>
      </c>
      <c r="I4566">
        <v>214.44110000000001</v>
      </c>
      <c r="J4566">
        <v>-347.69240000000002</v>
      </c>
      <c r="K4566">
        <v>1.110271</v>
      </c>
      <c r="L4566">
        <v>214.57239999999999</v>
      </c>
      <c r="M4566">
        <v>0.99987479999999995</v>
      </c>
      <c r="N4566">
        <v>0</v>
      </c>
      <c r="O4566">
        <v>6.1380369999999998E-3</v>
      </c>
      <c r="P4566">
        <v>0.99946990000000002</v>
      </c>
      <c r="Q4566">
        <v>-1.455243E-2</v>
      </c>
      <c r="R4566">
        <v>-2.912816E-2</v>
      </c>
      <c r="S4566">
        <v>2.9783940000000002</v>
      </c>
      <c r="T4566">
        <v>-0.67814419999999898</v>
      </c>
      <c r="U4566">
        <v>-0.43663020000000002</v>
      </c>
      <c r="V4566">
        <v>3.5263070000000001E-2</v>
      </c>
      <c r="W4566" s="1">
        <v>4.4765709999999998E-5</v>
      </c>
      <c r="X4566">
        <v>0.99937810000000005</v>
      </c>
      <c r="Y4566">
        <v>0.1472743</v>
      </c>
      <c r="Z4566">
        <v>-1.7842810000000001E-2</v>
      </c>
      <c r="AA4566">
        <v>0.9889348</v>
      </c>
      <c r="AB4566">
        <v>34</v>
      </c>
      <c r="AC4566">
        <v>0.59750000000002501</v>
      </c>
      <c r="AD4566">
        <v>-0.2006346</v>
      </c>
      <c r="AE4566">
        <v>-0.13129999999998099</v>
      </c>
      <c r="AF4566">
        <v>0.12185821039445</v>
      </c>
      <c r="AG4566">
        <v>-0.2006346</v>
      </c>
      <c r="AH4566">
        <v>0.53873580571151902</v>
      </c>
      <c r="AI4566">
        <v>109.96309890281999</v>
      </c>
      <c r="AJ4566">
        <v>77.254578799988394</v>
      </c>
      <c r="AK4566">
        <v>0.58765630645245204</v>
      </c>
      <c r="AL4566">
        <v>89.997435113842599</v>
      </c>
      <c r="AM4566">
        <v>87.979156025732706</v>
      </c>
      <c r="AN4566">
        <v>1.0000000364346999</v>
      </c>
    </row>
    <row r="4567" spans="1:40" x14ac:dyDescent="0.25">
      <c r="A4567" t="str">
        <f>"20190312154014024"</f>
        <v>20190312154014024</v>
      </c>
      <c r="B4567" t="str">
        <f>"1552376414010432"</f>
        <v>1552376414010432</v>
      </c>
      <c r="C4567" t="s">
        <v>40</v>
      </c>
      <c r="D4567">
        <v>4.1471150000000003</v>
      </c>
      <c r="E4567">
        <v>0.54662730000000004</v>
      </c>
      <c r="F4567" t="s">
        <v>41</v>
      </c>
      <c r="G4567">
        <v>-346.79410000000001</v>
      </c>
      <c r="H4567">
        <v>0.90309490000000003</v>
      </c>
      <c r="I4567">
        <v>214.44120000000001</v>
      </c>
      <c r="J4567">
        <v>-347.36059999999998</v>
      </c>
      <c r="K4567">
        <v>1.110277</v>
      </c>
      <c r="L4567">
        <v>214.57470000000001</v>
      </c>
      <c r="M4567">
        <v>0.99987360000000003</v>
      </c>
      <c r="N4567">
        <v>0</v>
      </c>
      <c r="O4567">
        <v>6.3371879999999997E-3</v>
      </c>
      <c r="P4567">
        <v>0.99949010000000005</v>
      </c>
      <c r="Q4567">
        <v>-1.432157E-2</v>
      </c>
      <c r="R4567">
        <v>-2.85404E-2</v>
      </c>
      <c r="S4567">
        <v>2.9789430000000001</v>
      </c>
      <c r="T4567">
        <v>-0.68704529999999997</v>
      </c>
      <c r="U4567">
        <v>-0.43486019999999997</v>
      </c>
      <c r="V4567">
        <v>3.4874380000000003E-2</v>
      </c>
      <c r="W4567">
        <v>2.7162220000000002E-4</v>
      </c>
      <c r="X4567">
        <v>0.99939169999999999</v>
      </c>
      <c r="Y4567">
        <v>0.14677799999999999</v>
      </c>
      <c r="Z4567">
        <v>-1.8057589999999998E-2</v>
      </c>
      <c r="AA4567">
        <v>0.98900460000000001</v>
      </c>
      <c r="AB4567">
        <v>34</v>
      </c>
      <c r="AC4567">
        <v>0.56649999999996203</v>
      </c>
      <c r="AD4567">
        <v>-0.20718209999999901</v>
      </c>
      <c r="AE4567">
        <v>-0.13349999999999701</v>
      </c>
      <c r="AF4567">
        <v>0.121670137543771</v>
      </c>
      <c r="AG4567">
        <v>-0.20718209999999901</v>
      </c>
      <c r="AH4567">
        <v>0.50202749157540205</v>
      </c>
      <c r="AI4567">
        <v>111.854717758173</v>
      </c>
      <c r="AJ4567">
        <v>76.376615939561404</v>
      </c>
      <c r="AK4567">
        <v>0.55656055126807202</v>
      </c>
      <c r="AL4567">
        <v>89.9844371946416</v>
      </c>
      <c r="AM4567">
        <v>88.001439950012099</v>
      </c>
      <c r="AN4567">
        <v>1.00000003309394</v>
      </c>
    </row>
    <row r="4568" spans="1:40" x14ac:dyDescent="0.25">
      <c r="A4568" t="str">
        <f>"20190312154014048"</f>
        <v>20190312154014048</v>
      </c>
      <c r="B4568" t="str">
        <f>"1552376414040689"</f>
        <v>1552376414040689</v>
      </c>
      <c r="C4568" t="s">
        <v>40</v>
      </c>
      <c r="D4568">
        <v>4.1533980000000001</v>
      </c>
      <c r="E4568">
        <v>0.54701940000000004</v>
      </c>
      <c r="F4568" t="s">
        <v>41</v>
      </c>
      <c r="G4568">
        <v>-346.48939999999999</v>
      </c>
      <c r="H4568">
        <v>0.90719899999999998</v>
      </c>
      <c r="I4568">
        <v>214.44730000000001</v>
      </c>
      <c r="J4568">
        <v>-346.9948</v>
      </c>
      <c r="K4568">
        <v>1.1102810000000001</v>
      </c>
      <c r="L4568">
        <v>214.57730000000001</v>
      </c>
      <c r="M4568">
        <v>0.99987230000000005</v>
      </c>
      <c r="N4568">
        <v>0</v>
      </c>
      <c r="O4568">
        <v>6.5569590000000002E-3</v>
      </c>
      <c r="P4568">
        <v>0.9994847</v>
      </c>
      <c r="Q4568">
        <v>-1.4072650000000001E-2</v>
      </c>
      <c r="R4568">
        <v>-2.8852340000000001E-2</v>
      </c>
      <c r="S4568">
        <v>2.9791560000000001</v>
      </c>
      <c r="T4568">
        <v>-0.69450299999999998</v>
      </c>
      <c r="U4568">
        <v>-0.43455510000000003</v>
      </c>
      <c r="V4568">
        <v>3.5405869999999999E-2</v>
      </c>
      <c r="W4568">
        <v>5.1671659999999995E-4</v>
      </c>
      <c r="X4568">
        <v>0.99937290000000001</v>
      </c>
      <c r="Y4568">
        <v>0.14679529999999999</v>
      </c>
      <c r="Z4568">
        <v>-1.829975E-2</v>
      </c>
      <c r="AA4568">
        <v>0.98899760000000003</v>
      </c>
      <c r="AB4568">
        <v>34</v>
      </c>
      <c r="AC4568">
        <v>0.50540000000000795</v>
      </c>
      <c r="AD4568">
        <v>-0.20308199999999901</v>
      </c>
      <c r="AE4568">
        <v>-0.12999999999999501</v>
      </c>
      <c r="AF4568">
        <v>0.115777735851658</v>
      </c>
      <c r="AG4568">
        <v>-0.20308199999999901</v>
      </c>
      <c r="AH4568">
        <v>0.43817775806645598</v>
      </c>
      <c r="AI4568">
        <v>114.136747296339</v>
      </c>
      <c r="AJ4568">
        <v>75.199244841409794</v>
      </c>
      <c r="AK4568">
        <v>0.49663520868649902</v>
      </c>
      <c r="AL4568">
        <v>89.970394318829307</v>
      </c>
      <c r="AM4568">
        <v>87.970968769808493</v>
      </c>
      <c r="AN4568">
        <v>1.00000001794045</v>
      </c>
    </row>
    <row r="4569" spans="1:40" x14ac:dyDescent="0.25">
      <c r="A4569" t="str">
        <f>"20190312154014071"</f>
        <v>20190312154014071</v>
      </c>
      <c r="B4569" t="str">
        <f>"1552376414060209"</f>
        <v>1552376414060209</v>
      </c>
      <c r="C4569" t="s">
        <v>40</v>
      </c>
      <c r="D4569">
        <v>4.159249</v>
      </c>
      <c r="E4569">
        <v>0.54726019999999997</v>
      </c>
      <c r="F4569" t="s">
        <v>41</v>
      </c>
      <c r="G4569">
        <v>-346.1823</v>
      </c>
      <c r="H4569">
        <v>0.91822930000000003</v>
      </c>
      <c r="I4569">
        <v>214.45769999999999</v>
      </c>
      <c r="J4569">
        <v>-346.64690000000002</v>
      </c>
      <c r="K4569">
        <v>1.110284</v>
      </c>
      <c r="L4569">
        <v>214.5797</v>
      </c>
      <c r="M4569">
        <v>0.99987099999999995</v>
      </c>
      <c r="N4569">
        <v>0</v>
      </c>
      <c r="O4569">
        <v>6.7661800000000001E-3</v>
      </c>
      <c r="P4569">
        <v>0.99945589999999995</v>
      </c>
      <c r="Q4569">
        <v>-1.430713E-2</v>
      </c>
      <c r="R4569">
        <v>-2.9723139999999999E-2</v>
      </c>
      <c r="S4569">
        <v>2.979034</v>
      </c>
      <c r="T4569">
        <v>-0.70412019999999997</v>
      </c>
      <c r="U4569">
        <v>-0.43800349999999999</v>
      </c>
      <c r="V4569">
        <v>3.6485570000000002E-2</v>
      </c>
      <c r="W4569">
        <v>2.7829789999999998E-4</v>
      </c>
      <c r="X4569">
        <v>0.99933419999999895</v>
      </c>
      <c r="Y4569">
        <v>0.14798059999999999</v>
      </c>
      <c r="Z4569">
        <v>-1.873176E-2</v>
      </c>
      <c r="AA4569">
        <v>0.98881289999999999</v>
      </c>
      <c r="AB4569">
        <v>34</v>
      </c>
      <c r="AC4569">
        <v>0.464600000000018</v>
      </c>
      <c r="AD4569">
        <v>-0.19205469999999999</v>
      </c>
      <c r="AE4569">
        <v>-0.122000000000014</v>
      </c>
      <c r="AF4569">
        <v>0.107893542568458</v>
      </c>
      <c r="AG4569">
        <v>-0.19205469999999999</v>
      </c>
      <c r="AH4569">
        <v>0.39984558550481097</v>
      </c>
      <c r="AI4569">
        <v>114.878847316978</v>
      </c>
      <c r="AJ4569">
        <v>74.899075206625398</v>
      </c>
      <c r="AK4569">
        <v>0.45651124473308102</v>
      </c>
      <c r="AL4569">
        <v>89.984054705614</v>
      </c>
      <c r="AM4569">
        <v>87.909066785445006</v>
      </c>
      <c r="AN4569">
        <v>1.0000000587787901</v>
      </c>
    </row>
    <row r="4570" spans="1:40" x14ac:dyDescent="0.25">
      <c r="A4570" t="str">
        <f>"20190312154014093"</f>
        <v>20190312154014093</v>
      </c>
      <c r="B4570" t="str">
        <f>"1552376414080705"</f>
        <v>1552376414080705</v>
      </c>
      <c r="C4570" t="s">
        <v>40</v>
      </c>
      <c r="D4570">
        <v>4.1408820000000004</v>
      </c>
      <c r="E4570">
        <v>0.54744589999999904</v>
      </c>
      <c r="F4570" t="s">
        <v>41</v>
      </c>
      <c r="G4570">
        <v>-345.87630000000001</v>
      </c>
      <c r="H4570">
        <v>0.92647970000000002</v>
      </c>
      <c r="I4570">
        <v>214.46510000000001</v>
      </c>
      <c r="J4570">
        <v>-346.30759999999998</v>
      </c>
      <c r="K4570">
        <v>1.110285</v>
      </c>
      <c r="L4570">
        <v>214.5822</v>
      </c>
      <c r="M4570">
        <v>0.99986940000000002</v>
      </c>
      <c r="N4570">
        <v>0</v>
      </c>
      <c r="O4570">
        <v>6.9704500000000004E-3</v>
      </c>
      <c r="P4570">
        <v>0.99944560000000005</v>
      </c>
      <c r="Q4570">
        <v>-1.414588E-2</v>
      </c>
      <c r="R4570">
        <v>-3.0136030000000001E-2</v>
      </c>
      <c r="S4570">
        <v>2.9783330000000001</v>
      </c>
      <c r="T4570">
        <v>-0.71046169999999997</v>
      </c>
      <c r="U4570">
        <v>-0.44239810000000002</v>
      </c>
      <c r="V4570">
        <v>3.7102540000000003E-2</v>
      </c>
      <c r="W4570">
        <v>4.3565439999999997E-4</v>
      </c>
      <c r="X4570">
        <v>0.99931139999999996</v>
      </c>
      <c r="Y4570">
        <v>0.1495204</v>
      </c>
      <c r="Z4570">
        <v>-1.9126270000000001E-2</v>
      </c>
      <c r="AA4570">
        <v>0.9885737</v>
      </c>
      <c r="AB4570">
        <v>34</v>
      </c>
      <c r="AC4570">
        <v>0.43129999999996399</v>
      </c>
      <c r="AD4570">
        <v>-0.1838053</v>
      </c>
      <c r="AE4570">
        <v>-0.117099999999993</v>
      </c>
      <c r="AF4570">
        <v>0.102727607010848</v>
      </c>
      <c r="AG4570">
        <v>-0.1838053</v>
      </c>
      <c r="AH4570">
        <v>0.36819376449139302</v>
      </c>
      <c r="AI4570">
        <v>115.680273479535</v>
      </c>
      <c r="AJ4570">
        <v>74.410674378570405</v>
      </c>
      <c r="AK4570">
        <v>0.42415091389811799</v>
      </c>
      <c r="AL4570">
        <v>89.975038841543395</v>
      </c>
      <c r="AM4570">
        <v>87.873692877752802</v>
      </c>
      <c r="AN4570">
        <v>1.00000003121958</v>
      </c>
    </row>
    <row r="4571" spans="1:40" x14ac:dyDescent="0.25">
      <c r="A4571" t="str">
        <f>"20190312154014114"</f>
        <v>20190312154014114</v>
      </c>
      <c r="B4571" t="str">
        <f>"1552376414110963"</f>
        <v>1552376414110963</v>
      </c>
      <c r="C4571" t="s">
        <v>40</v>
      </c>
      <c r="D4571">
        <v>4.0627089999999999</v>
      </c>
      <c r="E4571">
        <v>0.54757829999999996</v>
      </c>
      <c r="F4571" t="s">
        <v>41</v>
      </c>
      <c r="G4571">
        <v>-345.57100000000003</v>
      </c>
      <c r="H4571">
        <v>0.93359780000000003</v>
      </c>
      <c r="I4571">
        <v>214.47210000000001</v>
      </c>
      <c r="J4571">
        <v>-345.9932</v>
      </c>
      <c r="K4571">
        <v>1.110285</v>
      </c>
      <c r="L4571">
        <v>214.5847</v>
      </c>
      <c r="M4571">
        <v>0.99986819999999998</v>
      </c>
      <c r="N4571">
        <v>0</v>
      </c>
      <c r="O4571">
        <v>7.1592820000000003E-3</v>
      </c>
      <c r="P4571">
        <v>0.99944169999999999</v>
      </c>
      <c r="Q4571">
        <v>-1.3836319999999999E-2</v>
      </c>
      <c r="R4571">
        <v>-3.0415669999999999E-2</v>
      </c>
      <c r="S4571">
        <v>2.978119</v>
      </c>
      <c r="T4571">
        <v>-0.71438369999999995</v>
      </c>
      <c r="U4571">
        <v>-0.44502259999999999</v>
      </c>
      <c r="V4571">
        <v>3.7570550000000001E-2</v>
      </c>
      <c r="W4571">
        <v>7.4130690000000004E-4</v>
      </c>
      <c r="X4571">
        <v>0.99929369999999995</v>
      </c>
      <c r="Y4571">
        <v>0.1504904</v>
      </c>
      <c r="Z4571">
        <v>-1.9387689999999999E-2</v>
      </c>
      <c r="AA4571">
        <v>0.98842129999999995</v>
      </c>
      <c r="AB4571">
        <v>34</v>
      </c>
      <c r="AC4571">
        <v>0.42220000000003199</v>
      </c>
      <c r="AD4571">
        <v>-0.17668719999999899</v>
      </c>
      <c r="AE4571">
        <v>-0.112599999999986</v>
      </c>
      <c r="AF4571">
        <v>9.9372184767745994E-2</v>
      </c>
      <c r="AG4571">
        <v>-0.17668719999999899</v>
      </c>
      <c r="AH4571">
        <v>0.36216670825213898</v>
      </c>
      <c r="AI4571">
        <v>115.195713803442</v>
      </c>
      <c r="AJ4571">
        <v>74.656649824836904</v>
      </c>
      <c r="AK4571">
        <v>0.41503966354499799</v>
      </c>
      <c r="AL4571">
        <v>89.9575262393017</v>
      </c>
      <c r="AM4571">
        <v>87.846858707659905</v>
      </c>
      <c r="AN4571">
        <v>0.99999999731145595</v>
      </c>
    </row>
    <row r="4572" spans="1:40" x14ac:dyDescent="0.25">
      <c r="A4572" t="str">
        <f>"20190312154014136"</f>
        <v>20190312154014136</v>
      </c>
      <c r="B4572" t="str">
        <f>"1552376414130481"</f>
        <v>1552376414130481</v>
      </c>
      <c r="C4572" t="s">
        <v>40</v>
      </c>
      <c r="D4572">
        <v>4.0761260000000004</v>
      </c>
      <c r="E4572">
        <v>0.54763589999999995</v>
      </c>
      <c r="F4572" t="s">
        <v>41</v>
      </c>
      <c r="G4572">
        <v>-345.2681</v>
      </c>
      <c r="H4572">
        <v>0.93602359999999896</v>
      </c>
      <c r="I4572">
        <v>214.47559999999999</v>
      </c>
      <c r="J4572">
        <v>-345.66680000000002</v>
      </c>
      <c r="K4572">
        <v>1.1102890000000001</v>
      </c>
      <c r="L4572">
        <v>214.5872</v>
      </c>
      <c r="M4572">
        <v>0.99986679999999994</v>
      </c>
      <c r="N4572">
        <v>0</v>
      </c>
      <c r="O4572">
        <v>7.3546059999999996E-3</v>
      </c>
      <c r="P4572">
        <v>0.99947050000000004</v>
      </c>
      <c r="Q4572">
        <v>-1.3253310000000001E-2</v>
      </c>
      <c r="R4572">
        <v>-2.9710540000000001E-2</v>
      </c>
      <c r="S4572">
        <v>2.9781490000000002</v>
      </c>
      <c r="T4572">
        <v>-0.71581070000000002</v>
      </c>
      <c r="U4572">
        <v>-0.44709779999999999</v>
      </c>
      <c r="V4572">
        <v>3.7060799999999998E-2</v>
      </c>
      <c r="W4572">
        <v>1.3216180000000001E-3</v>
      </c>
      <c r="X4572">
        <v>0.99931219999999998</v>
      </c>
      <c r="Y4572">
        <v>0.15131049999999999</v>
      </c>
      <c r="Z4572">
        <v>-1.9566920000000002E-2</v>
      </c>
      <c r="AA4572">
        <v>0.98829259999999997</v>
      </c>
      <c r="AB4572">
        <v>34</v>
      </c>
      <c r="AC4572">
        <v>0.39870000000001898</v>
      </c>
      <c r="AD4572">
        <v>-0.17426539999999999</v>
      </c>
      <c r="AE4572">
        <v>-0.111600000000009</v>
      </c>
      <c r="AF4572">
        <v>9.7292966390614299E-2</v>
      </c>
      <c r="AG4572">
        <v>-0.17426539999999999</v>
      </c>
      <c r="AH4572">
        <v>0.33798949095306502</v>
      </c>
      <c r="AI4572">
        <v>116.357245632779</v>
      </c>
      <c r="AJ4572">
        <v>73.941114559214498</v>
      </c>
      <c r="AK4572">
        <v>0.392519103918468</v>
      </c>
      <c r="AL4572">
        <v>89.924276849070793</v>
      </c>
      <c r="AM4572">
        <v>87.876084459535093</v>
      </c>
      <c r="AN4572">
        <v>1.0000000613197999</v>
      </c>
    </row>
    <row r="4573" spans="1:40" x14ac:dyDescent="0.25">
      <c r="A4573" t="str">
        <f>"20190312154014158"</f>
        <v>20190312154014158</v>
      </c>
      <c r="B4573" t="str">
        <f>"1552376414150004"</f>
        <v>1552376414150004</v>
      </c>
      <c r="C4573" t="s">
        <v>40</v>
      </c>
      <c r="D4573">
        <v>4.1344079999999996</v>
      </c>
      <c r="E4573">
        <v>0.54768539999999999</v>
      </c>
      <c r="F4573" t="s">
        <v>41</v>
      </c>
      <c r="G4573">
        <v>-344.96420000000001</v>
      </c>
      <c r="H4573">
        <v>0.94177080000000002</v>
      </c>
      <c r="I4573">
        <v>214.48179999999999</v>
      </c>
      <c r="J4573">
        <v>-345.32560000000001</v>
      </c>
      <c r="K4573">
        <v>1.1102879999999999</v>
      </c>
      <c r="L4573">
        <v>214.5899</v>
      </c>
      <c r="M4573">
        <v>0.99986529999999996</v>
      </c>
      <c r="N4573">
        <v>0</v>
      </c>
      <c r="O4573">
        <v>7.5561719999999999E-3</v>
      </c>
      <c r="P4573">
        <v>0.99950740000000005</v>
      </c>
      <c r="Q4573">
        <v>-1.28656E-2</v>
      </c>
      <c r="R4573">
        <v>-2.862601E-2</v>
      </c>
      <c r="S4573">
        <v>2.9788209999999999</v>
      </c>
      <c r="T4573">
        <v>-0.71443970000000001</v>
      </c>
      <c r="U4573">
        <v>-0.4459534</v>
      </c>
      <c r="V4573">
        <v>3.6177710000000002E-2</v>
      </c>
      <c r="W4573">
        <v>1.7054710000000001E-3</v>
      </c>
      <c r="X4573">
        <v>0.99934389999999995</v>
      </c>
      <c r="Y4573">
        <v>0.15112349999999999</v>
      </c>
      <c r="Z4573">
        <v>-1.9552199999999999E-2</v>
      </c>
      <c r="AA4573">
        <v>0.98832149999999996</v>
      </c>
      <c r="AB4573">
        <v>34</v>
      </c>
      <c r="AC4573">
        <v>0.361400000000003</v>
      </c>
      <c r="AD4573">
        <v>-0.16851719999999901</v>
      </c>
      <c r="AE4573">
        <v>-0.108100000000007</v>
      </c>
      <c r="AF4573">
        <v>9.2389711280520606E-2</v>
      </c>
      <c r="AG4573">
        <v>-0.16851719999999901</v>
      </c>
      <c r="AH4573">
        <v>0.30058480831426498</v>
      </c>
      <c r="AI4573">
        <v>118.186345875379</v>
      </c>
      <c r="AJ4573">
        <v>72.914323639434798</v>
      </c>
      <c r="AK4573">
        <v>0.356770419787937</v>
      </c>
      <c r="AL4573">
        <v>89.902283660576899</v>
      </c>
      <c r="AM4573">
        <v>87.9267144234705</v>
      </c>
      <c r="AN4573">
        <v>0.99999998289969205</v>
      </c>
    </row>
    <row r="4574" spans="1:40" x14ac:dyDescent="0.25">
      <c r="A4574" t="str">
        <f>"20190312154014181"</f>
        <v>20190312154014181</v>
      </c>
      <c r="B4574" t="str">
        <f>"1552376414170497"</f>
        <v>1552376414170497</v>
      </c>
      <c r="C4574" t="s">
        <v>40</v>
      </c>
      <c r="D4574">
        <v>4.175332</v>
      </c>
      <c r="E4574">
        <v>0.54784549999999999</v>
      </c>
      <c r="F4574" t="s">
        <v>41</v>
      </c>
      <c r="G4574">
        <v>-344.38569999999999</v>
      </c>
      <c r="H4574">
        <v>0.88522299999999998</v>
      </c>
      <c r="I4574">
        <v>214.45009999999999</v>
      </c>
      <c r="J4574">
        <v>-344.9871</v>
      </c>
      <c r="K4574">
        <v>1.110287</v>
      </c>
      <c r="L4574">
        <v>214.59270000000001</v>
      </c>
      <c r="M4574">
        <v>0.99986399999999998</v>
      </c>
      <c r="N4574">
        <v>0</v>
      </c>
      <c r="O4574">
        <v>7.7509149999999997E-3</v>
      </c>
      <c r="P4574">
        <v>0.99954569999999998</v>
      </c>
      <c r="Q4574">
        <v>-1.2657760000000001E-2</v>
      </c>
      <c r="R4574">
        <v>-2.735773E-2</v>
      </c>
      <c r="S4574">
        <v>2.9796140000000002</v>
      </c>
      <c r="T4574">
        <v>-0.7135534</v>
      </c>
      <c r="U4574">
        <v>-0.44317630000000002</v>
      </c>
      <c r="V4574">
        <v>3.5104509999999998E-2</v>
      </c>
      <c r="W4574">
        <v>1.9090800000000001E-3</v>
      </c>
      <c r="X4574">
        <v>0.99938179999999999</v>
      </c>
      <c r="Y4574">
        <v>0.15040300000000001</v>
      </c>
      <c r="Z4574">
        <v>-1.9486010000000002E-2</v>
      </c>
      <c r="AA4574">
        <v>0.98843270000000005</v>
      </c>
      <c r="AB4574">
        <v>34</v>
      </c>
      <c r="AC4574">
        <v>0.60140000000001204</v>
      </c>
      <c r="AD4574">
        <v>-0.22506399999999999</v>
      </c>
      <c r="AE4574">
        <v>-0.14260000000001499</v>
      </c>
      <c r="AF4574">
        <v>0.13001779867209301</v>
      </c>
      <c r="AG4574">
        <v>-0.22506399999999999</v>
      </c>
      <c r="AH4574">
        <v>0.53000068076975604</v>
      </c>
      <c r="AI4574">
        <v>112.41223338692301</v>
      </c>
      <c r="AJ4574">
        <v>76.216604871228697</v>
      </c>
      <c r="AK4574">
        <v>0.59030428906110999</v>
      </c>
      <c r="AL4574">
        <v>89.890617704255106</v>
      </c>
      <c r="AM4574">
        <v>87.988242686742794</v>
      </c>
      <c r="AN4574">
        <v>0.99999997669001295</v>
      </c>
    </row>
    <row r="4575" spans="1:40" x14ac:dyDescent="0.25">
      <c r="A4575" t="str">
        <f>"20190312154014202"</f>
        <v>20190312154014202</v>
      </c>
      <c r="B4575" t="str">
        <f>"1552376414190018"</f>
        <v>1552376414190018</v>
      </c>
      <c r="C4575" t="s">
        <v>40</v>
      </c>
      <c r="D4575">
        <v>4.174277</v>
      </c>
      <c r="E4575">
        <v>0.5478691</v>
      </c>
      <c r="F4575" t="s">
        <v>41</v>
      </c>
      <c r="G4575">
        <v>-344.0822</v>
      </c>
      <c r="H4575">
        <v>0.89328869999999905</v>
      </c>
      <c r="I4575">
        <v>214.45859999999999</v>
      </c>
      <c r="J4575">
        <v>-344.66660000000002</v>
      </c>
      <c r="K4575">
        <v>1.110284</v>
      </c>
      <c r="L4575">
        <v>214.59540000000001</v>
      </c>
      <c r="M4575">
        <v>0.99986269999999999</v>
      </c>
      <c r="N4575">
        <v>0</v>
      </c>
      <c r="O4575">
        <v>7.9310419999999993E-3</v>
      </c>
      <c r="P4575">
        <v>0.99958029999999998</v>
      </c>
      <c r="Q4575">
        <v>-1.261583E-2</v>
      </c>
      <c r="R4575">
        <v>-2.6089629999999999E-2</v>
      </c>
      <c r="S4575">
        <v>2.9802550000000001</v>
      </c>
      <c r="T4575">
        <v>-0.71467999999999998</v>
      </c>
      <c r="U4575">
        <v>-0.4405212</v>
      </c>
      <c r="V4575">
        <v>3.4016310000000001E-2</v>
      </c>
      <c r="W4575">
        <v>1.9472269999999999E-3</v>
      </c>
      <c r="X4575">
        <v>0.99941939999999996</v>
      </c>
      <c r="Y4575">
        <v>0.14969070000000001</v>
      </c>
      <c r="Z4575">
        <v>-1.9471720000000001E-2</v>
      </c>
      <c r="AA4575">
        <v>0.98854109999999995</v>
      </c>
      <c r="AB4575">
        <v>34</v>
      </c>
      <c r="AC4575">
        <v>0.58440000000001602</v>
      </c>
      <c r="AD4575">
        <v>-0.2169953</v>
      </c>
      <c r="AE4575">
        <v>-0.13680000000002199</v>
      </c>
      <c r="AF4575">
        <v>0.12508157065341499</v>
      </c>
      <c r="AG4575">
        <v>-0.2169953</v>
      </c>
      <c r="AH4575">
        <v>0.51586711001997698</v>
      </c>
      <c r="AI4575">
        <v>112.234581078237</v>
      </c>
      <c r="AJ4575">
        <v>76.370605290581807</v>
      </c>
      <c r="AK4575">
        <v>0.57345552115188303</v>
      </c>
      <c r="AL4575">
        <v>89.888432042768102</v>
      </c>
      <c r="AM4575">
        <v>88.050629280640095</v>
      </c>
      <c r="AN4575">
        <v>1.0000000190676801</v>
      </c>
    </row>
    <row r="4576" spans="1:40" x14ac:dyDescent="0.25">
      <c r="A4576" t="str">
        <f>"20190312154014215"</f>
        <v>20190312154014215</v>
      </c>
      <c r="B4576" t="str">
        <f>"1552376414210514"</f>
        <v>1552376414210514</v>
      </c>
      <c r="C4576" t="s">
        <v>40</v>
      </c>
      <c r="D4576">
        <v>4.1353210000000002</v>
      </c>
      <c r="E4576">
        <v>0.54796559999999905</v>
      </c>
      <c r="F4576" t="s">
        <v>41</v>
      </c>
      <c r="G4576">
        <v>-343.78050000000002</v>
      </c>
      <c r="H4576">
        <v>0.89771219999999996</v>
      </c>
      <c r="I4576">
        <v>214.46520000000001</v>
      </c>
      <c r="J4576">
        <v>-344.46179999999998</v>
      </c>
      <c r="K4576">
        <v>1.1102829999999999</v>
      </c>
      <c r="L4576">
        <v>214.59710000000001</v>
      </c>
      <c r="M4576">
        <v>0.99986180000000002</v>
      </c>
      <c r="N4576">
        <v>0</v>
      </c>
      <c r="O4576">
        <v>8.0434700000000005E-3</v>
      </c>
      <c r="P4576">
        <v>0.99959609999999999</v>
      </c>
      <c r="Q4576">
        <v>-1.278691E-2</v>
      </c>
      <c r="R4576">
        <v>-2.539056E-2</v>
      </c>
      <c r="S4576">
        <v>2.9808349999999999</v>
      </c>
      <c r="T4576">
        <v>-0.71511469999999999</v>
      </c>
      <c r="U4576">
        <v>-0.43705749999999999</v>
      </c>
      <c r="V4576">
        <v>3.3430040000000001E-2</v>
      </c>
      <c r="W4576">
        <v>1.7736589999999999E-3</v>
      </c>
      <c r="X4576">
        <v>0.99943950000000004</v>
      </c>
      <c r="Y4576">
        <v>0.14867030000000001</v>
      </c>
      <c r="Z4576">
        <v>-1.938757E-2</v>
      </c>
      <c r="AA4576">
        <v>0.98869680000000004</v>
      </c>
      <c r="AB4576">
        <v>34</v>
      </c>
      <c r="AC4576">
        <v>0.68129999999996405</v>
      </c>
      <c r="AD4576">
        <v>-0.212570799999999</v>
      </c>
      <c r="AE4576">
        <v>-0.13190000000000099</v>
      </c>
      <c r="AF4576">
        <v>0.12559181735601399</v>
      </c>
      <c r="AG4576">
        <v>-0.212570799999999</v>
      </c>
      <c r="AH4576">
        <v>0.62186607301042696</v>
      </c>
      <c r="AI4576">
        <v>108.52406303914201</v>
      </c>
      <c r="AJ4576">
        <v>78.582150382690699</v>
      </c>
      <c r="AK4576">
        <v>0.66908673754666204</v>
      </c>
      <c r="AL4576">
        <v>89.898376773124795</v>
      </c>
      <c r="AM4576">
        <v>88.084239866608399</v>
      </c>
      <c r="AN4576">
        <v>1.0000000138004499</v>
      </c>
    </row>
    <row r="4577" spans="1:40" x14ac:dyDescent="0.25">
      <c r="A4577" t="str">
        <f>"20190312154014236"</f>
        <v>20190312154014236</v>
      </c>
      <c r="B4577" t="str">
        <f>"1552376414230035"</f>
        <v>1552376414230035</v>
      </c>
      <c r="C4577" t="s">
        <v>40</v>
      </c>
      <c r="D4577">
        <v>4.146102</v>
      </c>
      <c r="E4577">
        <v>0.5481646</v>
      </c>
      <c r="F4577" t="s">
        <v>41</v>
      </c>
      <c r="G4577">
        <v>-343.76190000000003</v>
      </c>
      <c r="H4577">
        <v>0.94211230000000001</v>
      </c>
      <c r="I4577">
        <v>214.49459999999999</v>
      </c>
      <c r="J4577">
        <v>-344.15320000000003</v>
      </c>
      <c r="K4577">
        <v>1.110276</v>
      </c>
      <c r="L4577">
        <v>214.59979999999999</v>
      </c>
      <c r="M4577">
        <v>0.99986039999999998</v>
      </c>
      <c r="N4577">
        <v>0</v>
      </c>
      <c r="O4577">
        <v>8.2049029999999995E-3</v>
      </c>
      <c r="P4577">
        <v>0.99962039999999996</v>
      </c>
      <c r="Q4577">
        <v>-1.284913E-2</v>
      </c>
      <c r="R4577">
        <v>-2.437286E-2</v>
      </c>
      <c r="S4577">
        <v>2.9809570000000001</v>
      </c>
      <c r="T4577">
        <v>-0.71631619999999996</v>
      </c>
      <c r="U4577">
        <v>-0.43588260000000001</v>
      </c>
      <c r="V4577">
        <v>3.257405E-2</v>
      </c>
      <c r="W4577">
        <v>1.7078550000000001E-3</v>
      </c>
      <c r="X4577">
        <v>0.99946780000000002</v>
      </c>
      <c r="Y4577">
        <v>0.14843029999999999</v>
      </c>
      <c r="Z4577">
        <v>-1.94288E-2</v>
      </c>
      <c r="AA4577">
        <v>0.98873200000000006</v>
      </c>
      <c r="AB4577">
        <v>34</v>
      </c>
      <c r="AC4577">
        <v>0.39130000000000098</v>
      </c>
      <c r="AD4577">
        <v>-0.1681637</v>
      </c>
      <c r="AE4577">
        <v>-0.10519999999999601</v>
      </c>
      <c r="AF4577">
        <v>9.2478729698209694E-2</v>
      </c>
      <c r="AG4577">
        <v>-0.1681637</v>
      </c>
      <c r="AH4577">
        <v>0.33305737708775801</v>
      </c>
      <c r="AI4577">
        <v>115.943059293422</v>
      </c>
      <c r="AJ4577">
        <v>74.481831602588798</v>
      </c>
      <c r="AK4577">
        <v>0.38439375889426403</v>
      </c>
      <c r="AL4577">
        <v>89.902147062488396</v>
      </c>
      <c r="AM4577">
        <v>88.133311354526995</v>
      </c>
      <c r="AN4577">
        <v>0.99999993436946899</v>
      </c>
    </row>
    <row r="4578" spans="1:40" x14ac:dyDescent="0.25">
      <c r="A4578" t="str">
        <f>"20190312154014260"</f>
        <v>20190312154014260</v>
      </c>
      <c r="B4578" t="str">
        <f>"1552376414250529"</f>
        <v>1552376414250529</v>
      </c>
      <c r="C4578" t="s">
        <v>40</v>
      </c>
      <c r="D4578">
        <v>4.1411419999999897</v>
      </c>
      <c r="E4578">
        <v>0.54825199999999996</v>
      </c>
      <c r="F4578" t="s">
        <v>41</v>
      </c>
      <c r="G4578">
        <v>-343.4615</v>
      </c>
      <c r="H4578">
        <v>0.94371780000000005</v>
      </c>
      <c r="I4578">
        <v>214.49860000000001</v>
      </c>
      <c r="J4578">
        <v>-343.80509999999998</v>
      </c>
      <c r="K4578">
        <v>1.1102639999999999</v>
      </c>
      <c r="L4578">
        <v>214.6028</v>
      </c>
      <c r="M4578">
        <v>0.99985919999999895</v>
      </c>
      <c r="N4578">
        <v>0</v>
      </c>
      <c r="O4578">
        <v>8.3667120000000001E-3</v>
      </c>
      <c r="P4578">
        <v>0.99963210000000002</v>
      </c>
      <c r="Q4578">
        <v>-1.2504619999999999E-2</v>
      </c>
      <c r="R4578">
        <v>-2.4068119999999998E-2</v>
      </c>
      <c r="S4578">
        <v>2.981293</v>
      </c>
      <c r="T4578">
        <v>-0.71788839999999998</v>
      </c>
      <c r="U4578">
        <v>-0.43489070000000002</v>
      </c>
      <c r="V4578">
        <v>3.2431130000000002E-2</v>
      </c>
      <c r="W4578">
        <v>2.047363E-3</v>
      </c>
      <c r="X4578">
        <v>0.99947189999999997</v>
      </c>
      <c r="Y4578">
        <v>0.1482349</v>
      </c>
      <c r="Z4578">
        <v>-1.9483770000000001E-2</v>
      </c>
      <c r="AA4578">
        <v>0.98876019999999998</v>
      </c>
      <c r="AB4578">
        <v>34</v>
      </c>
      <c r="AC4578">
        <v>0.34359999999997998</v>
      </c>
      <c r="AD4578">
        <v>-0.16654619999999901</v>
      </c>
      <c r="AE4578">
        <v>-0.10419999999999099</v>
      </c>
      <c r="AF4578">
        <v>8.8113329000513801E-2</v>
      </c>
      <c r="AG4578">
        <v>-0.16654619999999901</v>
      </c>
      <c r="AH4578">
        <v>0.28203457783439501</v>
      </c>
      <c r="AI4578">
        <v>119.407755772084</v>
      </c>
      <c r="AJ4578">
        <v>72.650135368848495</v>
      </c>
      <c r="AK4578">
        <v>0.33918298686139597</v>
      </c>
      <c r="AL4578">
        <v>89.882694661878205</v>
      </c>
      <c r="AM4578">
        <v>88.141503390842104</v>
      </c>
      <c r="AN4578">
        <v>1.00000002438897</v>
      </c>
    </row>
    <row r="4579" spans="1:40" x14ac:dyDescent="0.25">
      <c r="A4579" t="str">
        <f>"20190312154014282"</f>
        <v>20190312154014282</v>
      </c>
      <c r="B4579" t="str">
        <f>"1552376414270050"</f>
        <v>1552376414270050</v>
      </c>
      <c r="C4579" t="s">
        <v>40</v>
      </c>
      <c r="D4579">
        <v>4.0973930000000003</v>
      </c>
      <c r="E4579">
        <v>0.5482667</v>
      </c>
      <c r="F4579" t="s">
        <v>41</v>
      </c>
      <c r="G4579">
        <v>-342.88589999999999</v>
      </c>
      <c r="H4579">
        <v>0.88909530000000003</v>
      </c>
      <c r="I4579">
        <v>214.46870000000001</v>
      </c>
      <c r="J4579">
        <v>-343.4665</v>
      </c>
      <c r="K4579">
        <v>1.110249</v>
      </c>
      <c r="L4579">
        <v>214.60579999999999</v>
      </c>
      <c r="M4579">
        <v>0.99985820000000003</v>
      </c>
      <c r="N4579">
        <v>0</v>
      </c>
      <c r="O4579">
        <v>8.5017440000000003E-3</v>
      </c>
      <c r="P4579">
        <v>0.99964569999999997</v>
      </c>
      <c r="Q4579">
        <v>-1.2145690000000001E-2</v>
      </c>
      <c r="R4579">
        <v>-2.369336E-2</v>
      </c>
      <c r="S4579">
        <v>2.9816889999999998</v>
      </c>
      <c r="T4579">
        <v>-0.71742479999999997</v>
      </c>
      <c r="U4579">
        <v>-0.43469239999999998</v>
      </c>
      <c r="V4579">
        <v>3.219143E-2</v>
      </c>
      <c r="W4579">
        <v>2.4016520000000002E-3</v>
      </c>
      <c r="X4579">
        <v>0.9994788</v>
      </c>
      <c r="Y4579">
        <v>0.14828659999999999</v>
      </c>
      <c r="Z4579">
        <v>-1.9507110000000001E-2</v>
      </c>
      <c r="AA4579">
        <v>0.98875199999999996</v>
      </c>
      <c r="AB4579">
        <v>33</v>
      </c>
      <c r="AC4579">
        <v>0.580600000000004</v>
      </c>
      <c r="AD4579">
        <v>-0.22115369999999901</v>
      </c>
      <c r="AE4579">
        <v>-0.13709999999997499</v>
      </c>
      <c r="AF4579">
        <v>0.12487112522864099</v>
      </c>
      <c r="AG4579">
        <v>-0.22115369999999901</v>
      </c>
      <c r="AH4579">
        <v>0.50940741991857297</v>
      </c>
      <c r="AI4579">
        <v>112.862990481775</v>
      </c>
      <c r="AJ4579">
        <v>76.226663897391603</v>
      </c>
      <c r="AK4579">
        <v>0.56920793775882506</v>
      </c>
      <c r="AL4579">
        <v>89.862395339287005</v>
      </c>
      <c r="AM4579">
        <v>88.155242826436705</v>
      </c>
      <c r="AN4579">
        <v>0.99999996387360601</v>
      </c>
    </row>
    <row r="4580" spans="1:40" x14ac:dyDescent="0.25">
      <c r="A4580" t="str">
        <f>"20190312154014303"</f>
        <v>20190312154014303</v>
      </c>
      <c r="B4580" t="str">
        <f>"1552376414290544"</f>
        <v>1552376414290544</v>
      </c>
      <c r="C4580" t="s">
        <v>40</v>
      </c>
      <c r="D4580">
        <v>4.1205730000000003</v>
      </c>
      <c r="E4580">
        <v>0.54843889999999995</v>
      </c>
      <c r="F4580" t="s">
        <v>41</v>
      </c>
      <c r="G4580">
        <v>-342.58359999999999</v>
      </c>
      <c r="H4580">
        <v>0.89837610000000001</v>
      </c>
      <c r="I4580">
        <v>214.47720000000001</v>
      </c>
      <c r="J4580">
        <v>-343.16180000000003</v>
      </c>
      <c r="K4580">
        <v>1.1102259999999999</v>
      </c>
      <c r="L4580">
        <v>214.6086</v>
      </c>
      <c r="M4580">
        <v>0.9998572</v>
      </c>
      <c r="N4580">
        <v>0</v>
      </c>
      <c r="O4580">
        <v>8.6077549999999999E-3</v>
      </c>
      <c r="P4580">
        <v>0.99964710000000001</v>
      </c>
      <c r="Q4580">
        <v>-1.2272669999999999E-2</v>
      </c>
      <c r="R4580">
        <v>-2.3553999999999999E-2</v>
      </c>
      <c r="S4580">
        <v>2.9820859999999998</v>
      </c>
      <c r="T4580">
        <v>-0.71575339999999998</v>
      </c>
      <c r="U4580">
        <v>-0.43406679999999997</v>
      </c>
      <c r="V4580">
        <v>3.2158279999999997E-2</v>
      </c>
      <c r="W4580">
        <v>2.270045E-3</v>
      </c>
      <c r="X4580">
        <v>0.99948020000000004</v>
      </c>
      <c r="Y4580">
        <v>0.148190299999999</v>
      </c>
      <c r="Z4580">
        <v>-1.947432E-2</v>
      </c>
      <c r="AA4580">
        <v>0.98876710000000001</v>
      </c>
      <c r="AB4580">
        <v>33</v>
      </c>
      <c r="AC4580">
        <v>0.57820000000003802</v>
      </c>
      <c r="AD4580">
        <v>-0.21184989999999901</v>
      </c>
      <c r="AE4580">
        <v>-0.131399999999985</v>
      </c>
      <c r="AF4580">
        <v>0.120934956354023</v>
      </c>
      <c r="AG4580">
        <v>-0.21184989999999901</v>
      </c>
      <c r="AH4580">
        <v>0.51172427826739897</v>
      </c>
      <c r="AI4580">
        <v>111.94421457380901</v>
      </c>
      <c r="AJ4580">
        <v>76.7033442557792</v>
      </c>
      <c r="AK4580">
        <v>0.56689274185391503</v>
      </c>
      <c r="AL4580">
        <v>89.869935889076103</v>
      </c>
      <c r="AM4580">
        <v>88.157143784259901</v>
      </c>
      <c r="AN4580">
        <v>0.99999998913444998</v>
      </c>
    </row>
    <row r="4581" spans="1:40" x14ac:dyDescent="0.25">
      <c r="A4581" t="str">
        <f>"20190312154014325"</f>
        <v>20190312154014325</v>
      </c>
      <c r="B4581" t="str">
        <f>"1552376414320801"</f>
        <v>1552376414320801</v>
      </c>
      <c r="C4581" t="s">
        <v>40</v>
      </c>
      <c r="D4581">
        <v>4.0807979999999997</v>
      </c>
      <c r="E4581">
        <v>0.54865209999999998</v>
      </c>
      <c r="F4581" t="s">
        <v>41</v>
      </c>
      <c r="G4581">
        <v>-342.28489999999999</v>
      </c>
      <c r="H4581">
        <v>0.89921459999999998</v>
      </c>
      <c r="I4581">
        <v>214.48050000000001</v>
      </c>
      <c r="J4581">
        <v>-342.82089999999999</v>
      </c>
      <c r="K4581">
        <v>1.1102030000000001</v>
      </c>
      <c r="L4581">
        <v>214.61160000000001</v>
      </c>
      <c r="M4581">
        <v>0.99985650000000004</v>
      </c>
      <c r="N4581">
        <v>0</v>
      </c>
      <c r="O4581">
        <v>8.7053310000000002E-3</v>
      </c>
      <c r="P4581">
        <v>0.99965139999999997</v>
      </c>
      <c r="Q4581">
        <v>-1.2107639999999999E-2</v>
      </c>
      <c r="R4581">
        <v>-2.346258E-2</v>
      </c>
      <c r="S4581">
        <v>2.9819640000000001</v>
      </c>
      <c r="T4581">
        <v>-0.71760019999999902</v>
      </c>
      <c r="U4581">
        <v>-0.43489070000000002</v>
      </c>
      <c r="V4581">
        <v>3.2164449999999997E-2</v>
      </c>
      <c r="W4581">
        <v>2.4297849999999998E-3</v>
      </c>
      <c r="X4581">
        <v>0.99947969999999997</v>
      </c>
      <c r="Y4581">
        <v>0.1485255</v>
      </c>
      <c r="Z4581">
        <v>-1.958621E-2</v>
      </c>
      <c r="AA4581">
        <v>0.9887146</v>
      </c>
      <c r="AB4581">
        <v>33</v>
      </c>
      <c r="AC4581">
        <v>0.53600000000000103</v>
      </c>
      <c r="AD4581">
        <v>-0.21098839999999999</v>
      </c>
      <c r="AE4581">
        <v>-0.13110000000000299</v>
      </c>
      <c r="AF4581">
        <v>0.118444708530727</v>
      </c>
      <c r="AG4581">
        <v>-0.21098839999999999</v>
      </c>
      <c r="AH4581">
        <v>0.46661776760377299</v>
      </c>
      <c r="AI4581">
        <v>113.666221906027</v>
      </c>
      <c r="AJ4581">
        <v>75.757048966643893</v>
      </c>
      <c r="AK4581">
        <v>0.52562096129912705</v>
      </c>
      <c r="AL4581">
        <v>89.860783446189103</v>
      </c>
      <c r="AM4581">
        <v>88.156789529850599</v>
      </c>
      <c r="AN4581">
        <v>1.0000000632055099</v>
      </c>
    </row>
    <row r="4582" spans="1:40" x14ac:dyDescent="0.25">
      <c r="A4582" t="str">
        <f>"20190312154014349"</f>
        <v>20190312154014349</v>
      </c>
      <c r="B4582" t="str">
        <f>"1552376414340321"</f>
        <v>1552376414340321</v>
      </c>
      <c r="C4582" t="s">
        <v>40</v>
      </c>
      <c r="D4582">
        <v>4.137937</v>
      </c>
      <c r="E4582">
        <v>0.54876759999999902</v>
      </c>
      <c r="F4582" t="s">
        <v>41</v>
      </c>
      <c r="G4582">
        <v>-341.98320000000001</v>
      </c>
      <c r="H4582">
        <v>0.9084662</v>
      </c>
      <c r="I4582">
        <v>214.4889</v>
      </c>
      <c r="J4582">
        <v>-342.47559999999999</v>
      </c>
      <c r="K4582">
        <v>1.110188</v>
      </c>
      <c r="L4582">
        <v>214.6147</v>
      </c>
      <c r="M4582">
        <v>0.99985599999999997</v>
      </c>
      <c r="N4582">
        <v>0</v>
      </c>
      <c r="O4582">
        <v>8.7798960000000006E-3</v>
      </c>
      <c r="P4582">
        <v>0.9996488</v>
      </c>
      <c r="Q4582">
        <v>-1.2179779999999999E-2</v>
      </c>
      <c r="R4582">
        <v>-2.3545130000000001E-2</v>
      </c>
      <c r="S4582">
        <v>2.9820859999999998</v>
      </c>
      <c r="T4582">
        <v>-0.71827649999999998</v>
      </c>
      <c r="U4582">
        <v>-0.4363861</v>
      </c>
      <c r="V4582">
        <v>3.2321460000000003E-2</v>
      </c>
      <c r="W4582">
        <v>2.3520609999999999E-3</v>
      </c>
      <c r="X4582">
        <v>0.9994748</v>
      </c>
      <c r="Y4582">
        <v>0.14905450000000001</v>
      </c>
      <c r="Z4582">
        <v>-1.9682829999999998E-2</v>
      </c>
      <c r="AA4582">
        <v>0.98863310000000004</v>
      </c>
      <c r="AB4582">
        <v>33</v>
      </c>
      <c r="AC4582">
        <v>0.49239999999997502</v>
      </c>
      <c r="AD4582">
        <v>-0.20172179999999901</v>
      </c>
      <c r="AE4582">
        <v>-0.125799999999998</v>
      </c>
      <c r="AF4582">
        <v>0.11240914289941201</v>
      </c>
      <c r="AG4582">
        <v>-0.20172179999999901</v>
      </c>
      <c r="AH4582">
        <v>0.42441174118335001</v>
      </c>
      <c r="AI4582">
        <v>114.676657605209</v>
      </c>
      <c r="AJ4582">
        <v>75.165337762663398</v>
      </c>
      <c r="AK4582">
        <v>0.48316956242803899</v>
      </c>
      <c r="AL4582">
        <v>89.865236713000499</v>
      </c>
      <c r="AM4582">
        <v>88.147789119434805</v>
      </c>
      <c r="AN4582">
        <v>1.0000000424012501</v>
      </c>
    </row>
    <row r="4583" spans="1:40" x14ac:dyDescent="0.25">
      <c r="A4583" t="str">
        <f>"20190312154014370"</f>
        <v>20190312154014370</v>
      </c>
      <c r="B4583" t="str">
        <f>"1552376414360817"</f>
        <v>1552376414360817</v>
      </c>
      <c r="C4583" t="s">
        <v>40</v>
      </c>
      <c r="D4583">
        <v>4.055275</v>
      </c>
      <c r="E4583">
        <v>0.54880010000000001</v>
      </c>
      <c r="F4583" t="s">
        <v>41</v>
      </c>
      <c r="G4583">
        <v>-341.6816</v>
      </c>
      <c r="H4583">
        <v>0.91867080000000001</v>
      </c>
      <c r="I4583">
        <v>214.49799999999999</v>
      </c>
      <c r="J4583">
        <v>-342.154</v>
      </c>
      <c r="K4583">
        <v>1.110169</v>
      </c>
      <c r="L4583">
        <v>214.61760000000001</v>
      </c>
      <c r="M4583">
        <v>0.99985550000000001</v>
      </c>
      <c r="N4583">
        <v>0</v>
      </c>
      <c r="O4583">
        <v>8.8274229999999992E-3</v>
      </c>
      <c r="P4583">
        <v>0.99965119999999996</v>
      </c>
      <c r="Q4583">
        <v>-1.1754270000000001E-2</v>
      </c>
      <c r="R4583">
        <v>-2.3655269999999999E-2</v>
      </c>
      <c r="S4583">
        <v>2.981995</v>
      </c>
      <c r="T4583">
        <v>-0.71935340000000003</v>
      </c>
      <c r="U4583">
        <v>-0.43719479999999999</v>
      </c>
      <c r="V4583">
        <v>3.2479260000000003E-2</v>
      </c>
      <c r="W4583">
        <v>2.7731069999999999E-3</v>
      </c>
      <c r="X4583">
        <v>0.99946860000000004</v>
      </c>
      <c r="Y4583">
        <v>0.1493456</v>
      </c>
      <c r="Z4583">
        <v>-1.9757429999999999E-2</v>
      </c>
      <c r="AA4583">
        <v>0.98858760000000001</v>
      </c>
      <c r="AB4583">
        <v>33</v>
      </c>
      <c r="AC4583">
        <v>0.47239999999999299</v>
      </c>
      <c r="AD4583">
        <v>-0.19149819999999901</v>
      </c>
      <c r="AE4583">
        <v>-0.119600000000019</v>
      </c>
      <c r="AF4583">
        <v>0.107209609889354</v>
      </c>
      <c r="AG4583">
        <v>-0.19149819999999901</v>
      </c>
      <c r="AH4583">
        <v>0.40827615123112698</v>
      </c>
      <c r="AI4583">
        <v>114.401929278418</v>
      </c>
      <c r="AJ4583">
        <v>75.286822728915098</v>
      </c>
      <c r="AK4583">
        <v>0.46352440790099703</v>
      </c>
      <c r="AL4583">
        <v>89.841112475062701</v>
      </c>
      <c r="AM4583">
        <v>88.138741053095103</v>
      </c>
      <c r="AN4583">
        <v>1.0000000374192699</v>
      </c>
    </row>
    <row r="4584" spans="1:40" x14ac:dyDescent="0.25">
      <c r="A4584" t="str">
        <f>"20190312154014404"</f>
        <v>20190312154014404</v>
      </c>
      <c r="B4584" t="str">
        <f>"1552376414400563"</f>
        <v>1552376414400563</v>
      </c>
      <c r="C4584" t="s">
        <v>40</v>
      </c>
      <c r="D4584">
        <v>4.0478579999999997</v>
      </c>
      <c r="E4584">
        <v>0.54897399999999996</v>
      </c>
      <c r="F4584" t="s">
        <v>41</v>
      </c>
      <c r="G4584">
        <v>-341.38189999999997</v>
      </c>
      <c r="H4584">
        <v>0.92435199999999995</v>
      </c>
      <c r="I4584">
        <v>214.50409999999999</v>
      </c>
      <c r="J4584">
        <v>-341.66800000000001</v>
      </c>
      <c r="K4584">
        <v>1.1101460000000001</v>
      </c>
      <c r="L4584">
        <v>214.62190000000001</v>
      </c>
      <c r="M4584">
        <v>0.99985520000000006</v>
      </c>
      <c r="N4584">
        <v>0</v>
      </c>
      <c r="O4584">
        <v>8.8656619999999998E-3</v>
      </c>
      <c r="P4584">
        <v>0.99964280000000005</v>
      </c>
      <c r="Q4584">
        <v>-1.2271610000000001E-2</v>
      </c>
      <c r="R4584">
        <v>-2.3744649999999999E-2</v>
      </c>
      <c r="S4584">
        <v>2.9822389999999999</v>
      </c>
      <c r="T4584">
        <v>-0.717723</v>
      </c>
      <c r="U4584">
        <v>-0.43774410000000002</v>
      </c>
      <c r="V4584">
        <v>3.2607030000000002E-2</v>
      </c>
      <c r="W4584">
        <v>2.2481110000000001E-3</v>
      </c>
      <c r="X4584">
        <v>0.99946570000000001</v>
      </c>
      <c r="Y4584">
        <v>0.14956359999999999</v>
      </c>
      <c r="Z4584">
        <v>-1.974683E-2</v>
      </c>
      <c r="AA4584">
        <v>0.98855490000000001</v>
      </c>
      <c r="AB4584">
        <v>33</v>
      </c>
      <c r="AC4584">
        <v>0.28610000000003299</v>
      </c>
      <c r="AD4584">
        <v>-0.18579399999999899</v>
      </c>
      <c r="AE4584">
        <v>-0.117800000000016</v>
      </c>
      <c r="AF4584">
        <v>8.8441043741608993E-2</v>
      </c>
      <c r="AG4584">
        <v>-0.18579399999999899</v>
      </c>
      <c r="AH4584">
        <v>0.20950030798847299</v>
      </c>
      <c r="AI4584">
        <v>129.249671374439</v>
      </c>
      <c r="AJ4584">
        <v>67.112846939337004</v>
      </c>
      <c r="AK4584">
        <v>0.29365218831360701</v>
      </c>
      <c r="AL4584">
        <v>89.871192616611694</v>
      </c>
      <c r="AM4584">
        <v>88.131418818317997</v>
      </c>
      <c r="AN4584">
        <v>0.99999997894248904</v>
      </c>
    </row>
    <row r="4585" spans="1:40" x14ac:dyDescent="0.25">
      <c r="A4585" t="str">
        <f>"20190312154014425"</f>
        <v>20190312154014425</v>
      </c>
      <c r="B4585" t="str">
        <f>"1552376414420084"</f>
        <v>1552376414420084</v>
      </c>
      <c r="C4585" t="s">
        <v>40</v>
      </c>
      <c r="D4585">
        <v>4.0390009999999998</v>
      </c>
      <c r="E4585">
        <v>0.54905269999999995</v>
      </c>
      <c r="F4585" t="s">
        <v>41</v>
      </c>
      <c r="G4585">
        <v>-340.798</v>
      </c>
      <c r="H4585">
        <v>0.90010999999999997</v>
      </c>
      <c r="I4585">
        <v>214.49340000000001</v>
      </c>
      <c r="J4585">
        <v>-341.33370000000002</v>
      </c>
      <c r="K4585">
        <v>1.1101369999999999</v>
      </c>
      <c r="L4585">
        <v>214.6249</v>
      </c>
      <c r="M4585">
        <v>0.99985520000000006</v>
      </c>
      <c r="N4585">
        <v>0</v>
      </c>
      <c r="O4585">
        <v>8.8765400000000005E-3</v>
      </c>
      <c r="P4585">
        <v>0.99963990000000003</v>
      </c>
      <c r="Q4585">
        <v>-1.217237E-2</v>
      </c>
      <c r="R4585">
        <v>-2.392263E-2</v>
      </c>
      <c r="S4585">
        <v>2.9817809999999998</v>
      </c>
      <c r="T4585">
        <v>-0.71994250000000004</v>
      </c>
      <c r="U4585">
        <v>-0.43960569999999999</v>
      </c>
      <c r="V4585">
        <v>3.2795829999999998E-2</v>
      </c>
      <c r="W4585">
        <v>2.3430009999999999E-3</v>
      </c>
      <c r="X4585">
        <v>0.99945930000000005</v>
      </c>
      <c r="Y4585">
        <v>0.15015529999999999</v>
      </c>
      <c r="Z4585">
        <v>-1.988092E-2</v>
      </c>
      <c r="AA4585">
        <v>0.98846250000000002</v>
      </c>
      <c r="AB4585">
        <v>33</v>
      </c>
      <c r="AC4585">
        <v>0.53570000000001905</v>
      </c>
      <c r="AD4585">
        <v>-0.21002699999999999</v>
      </c>
      <c r="AE4585">
        <v>-0.13149999999998799</v>
      </c>
      <c r="AF4585">
        <v>0.11899856001366001</v>
      </c>
      <c r="AG4585">
        <v>-0.21002699999999999</v>
      </c>
      <c r="AH4585">
        <v>0.46683210374186301</v>
      </c>
      <c r="AI4585">
        <v>113.555159203</v>
      </c>
      <c r="AJ4585">
        <v>75.699475763735606</v>
      </c>
      <c r="AK4585">
        <v>0.52555134011662297</v>
      </c>
      <c r="AL4585">
        <v>89.865755805020697</v>
      </c>
      <c r="AM4585">
        <v>88.120595140504804</v>
      </c>
      <c r="AN4585">
        <v>0.99999997423778197</v>
      </c>
    </row>
    <row r="4586" spans="1:40" x14ac:dyDescent="0.25">
      <c r="A4586" t="str">
        <f>"20190312154014449"</f>
        <v>20190312154014449</v>
      </c>
      <c r="B4586" t="str">
        <f>"1552376414440581"</f>
        <v>1552376414440581</v>
      </c>
      <c r="C4586" t="s">
        <v>40</v>
      </c>
      <c r="D4586">
        <v>4.0557480000000004</v>
      </c>
      <c r="E4586">
        <v>0.54911849999999995</v>
      </c>
      <c r="F4586" t="s">
        <v>41</v>
      </c>
      <c r="G4586">
        <v>-340.4984</v>
      </c>
      <c r="H4586">
        <v>0.90844599999999998</v>
      </c>
      <c r="I4586">
        <v>214.50120000000001</v>
      </c>
      <c r="J4586">
        <v>-340.9907</v>
      </c>
      <c r="K4586">
        <v>1.1101289999999999</v>
      </c>
      <c r="L4586">
        <v>214.62799999999999</v>
      </c>
      <c r="M4586">
        <v>0.9998553</v>
      </c>
      <c r="N4586">
        <v>0</v>
      </c>
      <c r="O4586">
        <v>8.8800849999999994E-3</v>
      </c>
      <c r="P4586">
        <v>0.99964280000000005</v>
      </c>
      <c r="Q4586">
        <v>-1.234382E-2</v>
      </c>
      <c r="R4586">
        <v>-2.3711260000000001E-2</v>
      </c>
      <c r="S4586">
        <v>2.9817809999999998</v>
      </c>
      <c r="T4586">
        <v>-0.72005779999999997</v>
      </c>
      <c r="U4586">
        <v>-0.44029239999999997</v>
      </c>
      <c r="V4586">
        <v>3.258809E-2</v>
      </c>
      <c r="W4586">
        <v>2.167525E-3</v>
      </c>
      <c r="X4586">
        <v>0.99946650000000004</v>
      </c>
      <c r="Y4586">
        <v>0.15037410000000001</v>
      </c>
      <c r="Z4586">
        <v>-1.991045E-2</v>
      </c>
      <c r="AA4586">
        <v>0.98842870000000005</v>
      </c>
      <c r="AB4586">
        <v>33</v>
      </c>
      <c r="AC4586">
        <v>0.49230000000000002</v>
      </c>
      <c r="AD4586">
        <v>-0.201683</v>
      </c>
      <c r="AE4586">
        <v>-0.12679999999997399</v>
      </c>
      <c r="AF4586">
        <v>0.113329892639234</v>
      </c>
      <c r="AG4586">
        <v>-0.201683</v>
      </c>
      <c r="AH4586">
        <v>0.424363066292332</v>
      </c>
      <c r="AI4586">
        <v>114.66309366102099</v>
      </c>
      <c r="AJ4586">
        <v>75.047608734014901</v>
      </c>
      <c r="AK4586">
        <v>0.48332567600702803</v>
      </c>
      <c r="AL4586">
        <v>89.875809866179793</v>
      </c>
      <c r="AM4586">
        <v>88.132504920502498</v>
      </c>
      <c r="AN4586">
        <v>0.99999998319836103</v>
      </c>
    </row>
    <row r="4587" spans="1:40" x14ac:dyDescent="0.25">
      <c r="A4587" t="str">
        <f>"20190312154014471"</f>
        <v>20190312154014471</v>
      </c>
      <c r="B4587" t="str">
        <f>"1552376414460100"</f>
        <v>1552376414460100</v>
      </c>
      <c r="C4587" t="s">
        <v>40</v>
      </c>
      <c r="D4587">
        <v>4.0633569999999999</v>
      </c>
      <c r="E4587">
        <v>0.54921909999999996</v>
      </c>
      <c r="F4587" t="s">
        <v>41</v>
      </c>
      <c r="G4587">
        <v>-340.19850000000002</v>
      </c>
      <c r="H4587">
        <v>0.91858819999999997</v>
      </c>
      <c r="I4587">
        <v>214.511</v>
      </c>
      <c r="J4587">
        <v>-340.65390000000002</v>
      </c>
      <c r="K4587">
        <v>1.1101289999999999</v>
      </c>
      <c r="L4587">
        <v>214.631</v>
      </c>
      <c r="M4587">
        <v>0.9998553</v>
      </c>
      <c r="N4587">
        <v>0</v>
      </c>
      <c r="O4587">
        <v>8.8788059999999995E-3</v>
      </c>
      <c r="P4587">
        <v>0.99964710000000001</v>
      </c>
      <c r="Q4587">
        <v>-1.2536439999999999E-2</v>
      </c>
      <c r="R4587">
        <v>-2.3425040000000001E-2</v>
      </c>
      <c r="S4587">
        <v>2.9816889999999998</v>
      </c>
      <c r="T4587">
        <v>-0.72098430000000002</v>
      </c>
      <c r="U4587">
        <v>-0.44044489999999997</v>
      </c>
      <c r="V4587">
        <v>3.2300740000000001E-2</v>
      </c>
      <c r="W4587">
        <v>1.9705920000000002E-3</v>
      </c>
      <c r="X4587">
        <v>0.99947629999999998</v>
      </c>
      <c r="Y4587">
        <v>0.15041399999999999</v>
      </c>
      <c r="Z4587">
        <v>-1.9940309999999999E-2</v>
      </c>
      <c r="AA4587">
        <v>0.98842200000000002</v>
      </c>
      <c r="AB4587">
        <v>33</v>
      </c>
      <c r="AC4587">
        <v>0.45539999999999697</v>
      </c>
      <c r="AD4587">
        <v>-0.19154080000000001</v>
      </c>
      <c r="AE4587">
        <v>-0.119999999999976</v>
      </c>
      <c r="AF4587">
        <v>0.106433161898314</v>
      </c>
      <c r="AG4587">
        <v>-0.19154080000000001</v>
      </c>
      <c r="AH4587">
        <v>0.38983141591173698</v>
      </c>
      <c r="AI4587">
        <v>115.360668367467</v>
      </c>
      <c r="AJ4587">
        <v>74.729081610954296</v>
      </c>
      <c r="AK4587">
        <v>0.44719618608398598</v>
      </c>
      <c r="AL4587">
        <v>89.887093327563804</v>
      </c>
      <c r="AM4587">
        <v>88.148978447802307</v>
      </c>
      <c r="AN4587">
        <v>1.0000000476495301</v>
      </c>
    </row>
    <row r="4588" spans="1:40" x14ac:dyDescent="0.25">
      <c r="A4588" t="str">
        <f>"20190312154014493"</f>
        <v>20190312154014493</v>
      </c>
      <c r="B4588" t="str">
        <f>"1552376414490915"</f>
        <v>1552376414490915</v>
      </c>
      <c r="C4588" t="s">
        <v>40</v>
      </c>
      <c r="D4588">
        <v>4.0965280000000002</v>
      </c>
      <c r="E4588">
        <v>0.54939309999999997</v>
      </c>
      <c r="F4588" t="s">
        <v>41</v>
      </c>
      <c r="G4588">
        <v>-339.89909999999998</v>
      </c>
      <c r="H4588">
        <v>0.92734680000000003</v>
      </c>
      <c r="I4588">
        <v>214.51910000000001</v>
      </c>
      <c r="J4588">
        <v>-340.3313</v>
      </c>
      <c r="K4588">
        <v>1.1101240000000001</v>
      </c>
      <c r="L4588">
        <v>214.63380000000001</v>
      </c>
      <c r="M4588">
        <v>0.99985550000000001</v>
      </c>
      <c r="N4588">
        <v>0</v>
      </c>
      <c r="O4588">
        <v>8.875427E-3</v>
      </c>
      <c r="P4588">
        <v>0.99965550000000003</v>
      </c>
      <c r="Q4588">
        <v>-1.2364760000000001E-2</v>
      </c>
      <c r="R4588">
        <v>-2.3155450000000001E-2</v>
      </c>
      <c r="S4588">
        <v>2.9816280000000002</v>
      </c>
      <c r="T4588">
        <v>-0.72212749999999903</v>
      </c>
      <c r="U4588">
        <v>-0.44094850000000002</v>
      </c>
      <c r="V4588">
        <v>3.202783E-2</v>
      </c>
      <c r="W4588">
        <v>2.1384379999999999E-3</v>
      </c>
      <c r="X4588">
        <v>0.9994847</v>
      </c>
      <c r="Y4588">
        <v>0.15055879999999999</v>
      </c>
      <c r="Z4588">
        <v>-1.9987600000000001E-2</v>
      </c>
      <c r="AA4588">
        <v>0.98839900000000003</v>
      </c>
      <c r="AB4588">
        <v>33</v>
      </c>
      <c r="AC4588">
        <v>0.43220000000002201</v>
      </c>
      <c r="AD4588">
        <v>-0.182777199999999</v>
      </c>
      <c r="AE4588">
        <v>-0.114699999999999</v>
      </c>
      <c r="AF4588">
        <v>0.101563015781465</v>
      </c>
      <c r="AG4588">
        <v>-0.182777199999999</v>
      </c>
      <c r="AH4588">
        <v>0.36943998699145297</v>
      </c>
      <c r="AI4588">
        <v>115.503152097</v>
      </c>
      <c r="AJ4588">
        <v>74.628504148950597</v>
      </c>
      <c r="AK4588">
        <v>0.42450966420413899</v>
      </c>
      <c r="AL4588">
        <v>89.8774764357142</v>
      </c>
      <c r="AM4588">
        <v>88.164622461387395</v>
      </c>
      <c r="AN4588">
        <v>1.0000000101728299</v>
      </c>
    </row>
    <row r="4589" spans="1:40" x14ac:dyDescent="0.25">
      <c r="A4589" t="str">
        <f>"20190312154014516"</f>
        <v>20190312154014516</v>
      </c>
      <c r="B4589" t="str">
        <f>"1552376414510436"</f>
        <v>1552376414510436</v>
      </c>
      <c r="C4589" t="s">
        <v>40</v>
      </c>
      <c r="D4589">
        <v>4.0464320000000003</v>
      </c>
      <c r="E4589">
        <v>0.54937729999999996</v>
      </c>
      <c r="F4589" t="s">
        <v>41</v>
      </c>
      <c r="G4589">
        <v>-339.60129999999998</v>
      </c>
      <c r="H4589">
        <v>0.93313570000000001</v>
      </c>
      <c r="I4589">
        <v>214.5256</v>
      </c>
      <c r="J4589">
        <v>-340.00709999999998</v>
      </c>
      <c r="K4589">
        <v>1.1101179999999999</v>
      </c>
      <c r="L4589">
        <v>214.63669999999999</v>
      </c>
      <c r="M4589">
        <v>0.99985550000000001</v>
      </c>
      <c r="N4589">
        <v>0</v>
      </c>
      <c r="O4589">
        <v>8.8718330000000008E-3</v>
      </c>
      <c r="P4589">
        <v>0.99965409999999999</v>
      </c>
      <c r="Q4589">
        <v>-1.224008E-2</v>
      </c>
      <c r="R4589">
        <v>-2.3286279999999999E-2</v>
      </c>
      <c r="S4589">
        <v>2.9818730000000002</v>
      </c>
      <c r="T4589">
        <v>-0.72301409999999999</v>
      </c>
      <c r="U4589">
        <v>-0.44105529999999998</v>
      </c>
      <c r="V4589">
        <v>3.2155110000000001E-2</v>
      </c>
      <c r="W4589">
        <v>2.2590779999999999E-3</v>
      </c>
      <c r="X4589">
        <v>0.99948040000000005</v>
      </c>
      <c r="Y4589">
        <v>0.15056789999999901</v>
      </c>
      <c r="Z4589">
        <v>-2.001006E-2</v>
      </c>
      <c r="AA4589">
        <v>0.98839710000000003</v>
      </c>
      <c r="AB4589">
        <v>33</v>
      </c>
      <c r="AC4589">
        <v>0.40579999999999899</v>
      </c>
      <c r="AD4589">
        <v>-0.17698229999999901</v>
      </c>
      <c r="AE4589">
        <v>-0.111099999999993</v>
      </c>
      <c r="AF4589">
        <v>9.7452239851251496E-2</v>
      </c>
      <c r="AG4589">
        <v>-0.17698229999999901</v>
      </c>
      <c r="AH4589">
        <v>0.34393902327110398</v>
      </c>
      <c r="AI4589">
        <v>116.33931881188499</v>
      </c>
      <c r="AJ4589">
        <v>74.180366573489295</v>
      </c>
      <c r="AK4589">
        <v>0.39889061820754401</v>
      </c>
      <c r="AL4589">
        <v>89.870564262973005</v>
      </c>
      <c r="AM4589">
        <v>88.157325686901103</v>
      </c>
      <c r="AN4589">
        <v>1.00000006225833</v>
      </c>
    </row>
    <row r="4590" spans="1:40" x14ac:dyDescent="0.25">
      <c r="A4590" t="str">
        <f>"20190312154014538"</f>
        <v>20190312154014538</v>
      </c>
      <c r="B4590" t="str">
        <f>"1552376414530931"</f>
        <v>1552376414530931</v>
      </c>
      <c r="C4590" t="s">
        <v>40</v>
      </c>
      <c r="D4590">
        <v>4.0835710000000001</v>
      </c>
      <c r="E4590">
        <v>0.54940100000000003</v>
      </c>
      <c r="F4590" t="s">
        <v>41</v>
      </c>
      <c r="G4590">
        <v>-339.30349999999999</v>
      </c>
      <c r="H4590">
        <v>0.93960449999999995</v>
      </c>
      <c r="I4590">
        <v>214.53229999999999</v>
      </c>
      <c r="J4590">
        <v>-339.67250000000001</v>
      </c>
      <c r="K4590">
        <v>1.110114</v>
      </c>
      <c r="L4590">
        <v>214.6397</v>
      </c>
      <c r="M4590">
        <v>0.99985550000000001</v>
      </c>
      <c r="N4590">
        <v>0</v>
      </c>
      <c r="O4590">
        <v>8.8695019999999996E-3</v>
      </c>
      <c r="P4590">
        <v>0.99965570000000004</v>
      </c>
      <c r="Q4590">
        <v>-1.275953E-2</v>
      </c>
      <c r="R4590">
        <v>-2.293187E-2</v>
      </c>
      <c r="S4590">
        <v>2.981903</v>
      </c>
      <c r="T4590">
        <v>-0.72271200000000002</v>
      </c>
      <c r="U4590">
        <v>-0.44102479999999999</v>
      </c>
      <c r="V4590">
        <v>3.1798260000000002E-2</v>
      </c>
      <c r="W4590">
        <v>1.735512E-3</v>
      </c>
      <c r="X4590">
        <v>0.99949279999999996</v>
      </c>
      <c r="Y4590">
        <v>0.15055829999999901</v>
      </c>
      <c r="Z4590">
        <v>-2.000006E-2</v>
      </c>
      <c r="AA4590">
        <v>0.98839880000000002</v>
      </c>
      <c r="AB4590">
        <v>33</v>
      </c>
      <c r="AC4590">
        <v>0.36900000000002797</v>
      </c>
      <c r="AD4590">
        <v>-0.17050950000000001</v>
      </c>
      <c r="AE4590">
        <v>-0.107400000000012</v>
      </c>
      <c r="AF4590">
        <v>9.2467083118035004E-2</v>
      </c>
      <c r="AG4590">
        <v>-0.17050950000000001</v>
      </c>
      <c r="AH4590">
        <v>0.30750192065461901</v>
      </c>
      <c r="AI4590">
        <v>117.96877948334701</v>
      </c>
      <c r="AJ4590">
        <v>73.263752856364206</v>
      </c>
      <c r="AK4590">
        <v>0.36356716333696498</v>
      </c>
      <c r="AL4590">
        <v>89.900562437117998</v>
      </c>
      <c r="AM4590">
        <v>88.177783989434701</v>
      </c>
      <c r="AN4590">
        <v>0.99999999929638395</v>
      </c>
    </row>
    <row r="4591" spans="1:40" x14ac:dyDescent="0.25">
      <c r="A4591" t="str">
        <f>"20190312154014561"</f>
        <v>20190312154014561</v>
      </c>
      <c r="B4591" t="str">
        <f>"1552376414550451"</f>
        <v>1552376414550451</v>
      </c>
      <c r="C4591" t="s">
        <v>40</v>
      </c>
      <c r="D4591">
        <v>4.0778470000000002</v>
      </c>
      <c r="E4591">
        <v>0.54945580000000005</v>
      </c>
      <c r="F4591" t="s">
        <v>41</v>
      </c>
      <c r="G4591">
        <v>-338.73809999999997</v>
      </c>
      <c r="H4591">
        <v>0.88294119999999998</v>
      </c>
      <c r="I4591">
        <v>214.5018</v>
      </c>
      <c r="J4591">
        <v>-339.34679999999997</v>
      </c>
      <c r="K4591">
        <v>1.1101099999999999</v>
      </c>
      <c r="L4591">
        <v>214.64250000000001</v>
      </c>
      <c r="M4591">
        <v>0.99985559999999996</v>
      </c>
      <c r="N4591">
        <v>0</v>
      </c>
      <c r="O4591">
        <v>8.867293E-3</v>
      </c>
      <c r="P4591">
        <v>0.99965250000000005</v>
      </c>
      <c r="Q4591">
        <v>-1.245777E-2</v>
      </c>
      <c r="R4591">
        <v>-2.3236239999999998E-2</v>
      </c>
      <c r="S4591">
        <v>2.9817200000000001</v>
      </c>
      <c r="T4591">
        <v>-0.72489490000000001</v>
      </c>
      <c r="U4591">
        <v>-0.43962099999999998</v>
      </c>
      <c r="V4591">
        <v>3.2100469999999999E-2</v>
      </c>
      <c r="W4591">
        <v>2.0330579999999999E-3</v>
      </c>
      <c r="X4591">
        <v>0.9994826</v>
      </c>
      <c r="Y4591">
        <v>0.150094899999999</v>
      </c>
      <c r="Z4591">
        <v>-2.0004859999999999E-2</v>
      </c>
      <c r="AA4591">
        <v>0.98846920000000005</v>
      </c>
      <c r="AB4591">
        <v>33</v>
      </c>
      <c r="AC4591">
        <v>0.60869999999999802</v>
      </c>
      <c r="AD4591">
        <v>-0.227168799999999</v>
      </c>
      <c r="AE4591">
        <v>-0.14070000000000901</v>
      </c>
      <c r="AF4591">
        <v>0.12903236359238199</v>
      </c>
      <c r="AG4591">
        <v>-0.227168799999999</v>
      </c>
      <c r="AH4591">
        <v>0.53649489181988497</v>
      </c>
      <c r="AI4591">
        <v>112.376556310423</v>
      </c>
      <c r="AJ4591">
        <v>76.476642829966906</v>
      </c>
      <c r="AK4591">
        <v>0.59672588639718505</v>
      </c>
      <c r="AL4591">
        <v>89.883514279248701</v>
      </c>
      <c r="AM4591">
        <v>88.160458768998794</v>
      </c>
      <c r="AN4591">
        <v>1.0000000206009001</v>
      </c>
    </row>
    <row r="4592" spans="1:40" x14ac:dyDescent="0.25">
      <c r="A4592" t="str">
        <f>"20190312154014582"</f>
        <v>20190312154014582</v>
      </c>
      <c r="B4592" t="str">
        <f>"1552376414569973"</f>
        <v>1552376414569973</v>
      </c>
      <c r="C4592" t="s">
        <v>40</v>
      </c>
      <c r="D4592">
        <v>4.0501239999999896</v>
      </c>
      <c r="E4592">
        <v>0.54946260000000002</v>
      </c>
      <c r="F4592" t="s">
        <v>41</v>
      </c>
      <c r="G4592">
        <v>-338.44139999999999</v>
      </c>
      <c r="H4592">
        <v>0.89004110000000003</v>
      </c>
      <c r="I4592">
        <v>214.5085</v>
      </c>
      <c r="J4592">
        <v>-339.03219999999999</v>
      </c>
      <c r="K4592">
        <v>1.1101080000000001</v>
      </c>
      <c r="L4592">
        <v>214.6454</v>
      </c>
      <c r="M4592">
        <v>0.99985579999999996</v>
      </c>
      <c r="N4592">
        <v>0</v>
      </c>
      <c r="O4592">
        <v>8.8651419999999995E-3</v>
      </c>
      <c r="P4592">
        <v>0.9996564</v>
      </c>
      <c r="Q4592">
        <v>-1.212037E-2</v>
      </c>
      <c r="R4592">
        <v>-2.3244750000000002E-2</v>
      </c>
      <c r="S4592">
        <v>2.9817499999999999</v>
      </c>
      <c r="T4592">
        <v>-0.72476419999999997</v>
      </c>
      <c r="U4592">
        <v>-0.44097900000000001</v>
      </c>
      <c r="V4592">
        <v>3.2106950000000002E-2</v>
      </c>
      <c r="W4592">
        <v>2.3668420000000001E-3</v>
      </c>
      <c r="X4592">
        <v>0.99948159999999997</v>
      </c>
      <c r="Y4592">
        <v>0.15052189999999999</v>
      </c>
      <c r="Z4592">
        <v>-2.0050889999999998E-2</v>
      </c>
      <c r="AA4592">
        <v>0.98840329999999998</v>
      </c>
      <c r="AB4592">
        <v>33</v>
      </c>
      <c r="AC4592">
        <v>0.59080000000000099</v>
      </c>
      <c r="AD4592">
        <v>-0.22006690000000001</v>
      </c>
      <c r="AE4592">
        <v>-0.136899999999997</v>
      </c>
      <c r="AF4592">
        <v>0.12559461823246801</v>
      </c>
      <c r="AG4592">
        <v>-0.22006690000000001</v>
      </c>
      <c r="AH4592">
        <v>0.52096346896701395</v>
      </c>
      <c r="AI4592">
        <v>112.325880790387</v>
      </c>
      <c r="AJ4592">
        <v>76.445694320986604</v>
      </c>
      <c r="AK4592">
        <v>0.57931544481630604</v>
      </c>
      <c r="AL4592">
        <v>89.864389811056697</v>
      </c>
      <c r="AM4592">
        <v>88.160085843403394</v>
      </c>
      <c r="AN4592">
        <v>0.99999996345895603</v>
      </c>
    </row>
    <row r="4593" spans="1:40" x14ac:dyDescent="0.25">
      <c r="A4593" t="str">
        <f>"20190312154014605"</f>
        <v>20190312154014605</v>
      </c>
      <c r="B4593" t="str">
        <f>"1552376414600752"</f>
        <v>1552376414600752</v>
      </c>
      <c r="C4593" t="s">
        <v>40</v>
      </c>
      <c r="D4593">
        <v>4.0331400000000004</v>
      </c>
      <c r="E4593">
        <v>0.5494443</v>
      </c>
      <c r="F4593" t="s">
        <v>41</v>
      </c>
      <c r="G4593">
        <v>-338.14600000000002</v>
      </c>
      <c r="H4593">
        <v>0.89491559999999903</v>
      </c>
      <c r="I4593">
        <v>214.51410000000001</v>
      </c>
      <c r="J4593">
        <v>-338.6936</v>
      </c>
      <c r="K4593">
        <v>1.1101080000000001</v>
      </c>
      <c r="L4593">
        <v>214.64830000000001</v>
      </c>
      <c r="M4593">
        <v>0.99985579999999996</v>
      </c>
      <c r="N4593">
        <v>0</v>
      </c>
      <c r="O4593">
        <v>8.8597580000000006E-3</v>
      </c>
      <c r="P4593">
        <v>0.99965119999999996</v>
      </c>
      <c r="Q4593">
        <v>-1.108583E-2</v>
      </c>
      <c r="R4593">
        <v>-2.3980910000000001E-2</v>
      </c>
      <c r="S4593">
        <v>2.981995</v>
      </c>
      <c r="T4593">
        <v>-0.72407140000000003</v>
      </c>
      <c r="U4593">
        <v>-0.44082640000000001</v>
      </c>
      <c r="V4593">
        <v>3.2837529999999997E-2</v>
      </c>
      <c r="W4593">
        <v>3.3972830000000001E-3</v>
      </c>
      <c r="X4593">
        <v>0.99945490000000003</v>
      </c>
      <c r="Y4593">
        <v>0.150466299999999</v>
      </c>
      <c r="Z4593">
        <v>-2.002286E-2</v>
      </c>
      <c r="AA4593">
        <v>0.98841230000000002</v>
      </c>
      <c r="AB4593">
        <v>33</v>
      </c>
      <c r="AC4593">
        <v>0.54760000000004505</v>
      </c>
      <c r="AD4593">
        <v>-0.21519240000000001</v>
      </c>
      <c r="AE4593">
        <v>-0.13419999999999199</v>
      </c>
      <c r="AF4593">
        <v>0.121366320740443</v>
      </c>
      <c r="AG4593">
        <v>-0.21519240000000001</v>
      </c>
      <c r="AH4593">
        <v>0.47691316747673501</v>
      </c>
      <c r="AI4593">
        <v>113.618884345631</v>
      </c>
      <c r="AJ4593">
        <v>75.722261886725803</v>
      </c>
      <c r="AK4593">
        <v>0.53710680701376801</v>
      </c>
      <c r="AL4593">
        <v>89.805349642219198</v>
      </c>
      <c r="AM4593">
        <v>88.118198909945093</v>
      </c>
      <c r="AN4593">
        <v>0.99999997102114602</v>
      </c>
    </row>
    <row r="4594" spans="1:40" x14ac:dyDescent="0.25">
      <c r="A4594" t="str">
        <f>"20190312154014628"</f>
        <v>20190312154014628</v>
      </c>
      <c r="B4594" t="str">
        <f>"1552376414620271"</f>
        <v>1552376414620271</v>
      </c>
      <c r="C4594" t="s">
        <v>40</v>
      </c>
      <c r="D4594">
        <v>4.1514439999999997</v>
      </c>
      <c r="E4594">
        <v>0.54951519999999898</v>
      </c>
      <c r="F4594" t="s">
        <v>41</v>
      </c>
      <c r="G4594">
        <v>-337.84840000000003</v>
      </c>
      <c r="H4594">
        <v>0.90574279999999996</v>
      </c>
      <c r="I4594">
        <v>214.52269999999999</v>
      </c>
      <c r="J4594">
        <v>-338.3648</v>
      </c>
      <c r="K4594">
        <v>1.1101099999999999</v>
      </c>
      <c r="L4594">
        <v>214.65119999999999</v>
      </c>
      <c r="M4594">
        <v>0.99985599999999997</v>
      </c>
      <c r="N4594">
        <v>0</v>
      </c>
      <c r="O4594">
        <v>8.8503019999999905E-3</v>
      </c>
      <c r="P4594">
        <v>0.99964260000000005</v>
      </c>
      <c r="Q4594">
        <v>-1.0741570000000001E-2</v>
      </c>
      <c r="R4594">
        <v>-2.4490089999999999E-2</v>
      </c>
      <c r="S4594">
        <v>2.9824220000000001</v>
      </c>
      <c r="T4594">
        <v>-0.72110929999999995</v>
      </c>
      <c r="U4594">
        <v>-0.44256590000000001</v>
      </c>
      <c r="V4594">
        <v>3.3337319999999997E-2</v>
      </c>
      <c r="W4594">
        <v>3.737743E-3</v>
      </c>
      <c r="X4594">
        <v>0.99943720000000003</v>
      </c>
      <c r="Y4594">
        <v>0.1510234</v>
      </c>
      <c r="Z4594">
        <v>-2.0003449999999999E-2</v>
      </c>
      <c r="AA4594">
        <v>0.98832779999999998</v>
      </c>
      <c r="AB4594">
        <v>33</v>
      </c>
      <c r="AC4594">
        <v>0.51639999999997599</v>
      </c>
      <c r="AD4594">
        <v>-0.2043672</v>
      </c>
      <c r="AE4594">
        <v>-0.128500000000002</v>
      </c>
      <c r="AF4594">
        <v>0.11596259950457299</v>
      </c>
      <c r="AG4594">
        <v>-0.2043672</v>
      </c>
      <c r="AH4594">
        <v>0.44901750119630102</v>
      </c>
      <c r="AI4594">
        <v>113.782320466169</v>
      </c>
      <c r="AJ4594">
        <v>75.519284332194601</v>
      </c>
      <c r="AK4594">
        <v>0.50678397103723405</v>
      </c>
      <c r="AL4594">
        <v>89.785842609430702</v>
      </c>
      <c r="AM4594">
        <v>88.089544993394497</v>
      </c>
      <c r="AN4594">
        <v>1.0000000321856699</v>
      </c>
    </row>
    <row r="4595" spans="1:40" x14ac:dyDescent="0.25">
      <c r="A4595" t="str">
        <f>"20190312154014782"</f>
        <v>20190312154014782</v>
      </c>
      <c r="B4595" t="str">
        <f>"1552376414780008"</f>
        <v>1552376414780008</v>
      </c>
      <c r="C4595" t="s">
        <v>40</v>
      </c>
      <c r="D4595">
        <v>4.1730900000000002</v>
      </c>
      <c r="E4595">
        <v>0.4948419</v>
      </c>
      <c r="F4595" t="s">
        <v>41</v>
      </c>
      <c r="G4595">
        <v>-335.51920000000001</v>
      </c>
      <c r="H4595">
        <v>0.89538479999999998</v>
      </c>
      <c r="I4595">
        <v>214.5368</v>
      </c>
      <c r="J4595">
        <v>-336.09710000000001</v>
      </c>
      <c r="K4595">
        <v>1.110109</v>
      </c>
      <c r="L4595">
        <v>214.67099999999999</v>
      </c>
      <c r="M4595">
        <v>0.99985780000000002</v>
      </c>
      <c r="N4595">
        <v>0</v>
      </c>
      <c r="O4595">
        <v>8.6878589999999992E-3</v>
      </c>
      <c r="P4595">
        <v>0.99966060000000001</v>
      </c>
      <c r="Q4595">
        <v>-9.3992910000000006E-3</v>
      </c>
      <c r="R4595">
        <v>-2.4304920000000001E-2</v>
      </c>
      <c r="S4595">
        <v>2.9835509999999998</v>
      </c>
      <c r="T4595">
        <v>-0.71633930000000001</v>
      </c>
      <c r="U4595">
        <v>-0.437973</v>
      </c>
      <c r="V4595">
        <v>3.2990289999999999E-2</v>
      </c>
      <c r="W4595">
        <v>5.0552319999999998E-3</v>
      </c>
      <c r="X4595">
        <v>0.99944290000000002</v>
      </c>
      <c r="Y4595">
        <v>0.14942900000000001</v>
      </c>
      <c r="Z4595">
        <v>-1.9643609999999999E-2</v>
      </c>
      <c r="AA4595">
        <v>0.98857729999999999</v>
      </c>
      <c r="AB4595">
        <v>33</v>
      </c>
      <c r="AC4595">
        <v>0.57789999999999897</v>
      </c>
      <c r="AD4595">
        <v>-0.2147242</v>
      </c>
      <c r="AE4595">
        <v>-0.13419999999999199</v>
      </c>
      <c r="AF4595">
        <v>0.12309203938381801</v>
      </c>
      <c r="AG4595">
        <v>-0.2147242</v>
      </c>
      <c r="AH4595">
        <v>0.50991687103646299</v>
      </c>
      <c r="AI4595">
        <v>112.26119010359901</v>
      </c>
      <c r="AJ4595">
        <v>76.428646476415494</v>
      </c>
      <c r="AK4595">
        <v>0.56680979842706003</v>
      </c>
      <c r="AL4595">
        <v>89.7103553118842</v>
      </c>
      <c r="AM4595">
        <v>88.109428437375897</v>
      </c>
      <c r="AN4595">
        <v>1.00000001248263</v>
      </c>
    </row>
    <row r="4596" spans="1:40" x14ac:dyDescent="0.25">
      <c r="A4596" t="str">
        <f>"20190312154014806"</f>
        <v>20190312154014806</v>
      </c>
      <c r="B4596" t="str">
        <f>"1552376414800504"</f>
        <v>1552376414800504</v>
      </c>
      <c r="C4596" t="s">
        <v>40</v>
      </c>
      <c r="D4596">
        <v>4.1105210000000003</v>
      </c>
      <c r="E4596">
        <v>0.49475720000000001</v>
      </c>
      <c r="F4596" t="s">
        <v>41</v>
      </c>
      <c r="G4596">
        <v>-335.1671</v>
      </c>
      <c r="H4596">
        <v>1.0300199999999999</v>
      </c>
      <c r="I4596">
        <v>214.6634</v>
      </c>
      <c r="J4596">
        <v>-335.76479999999998</v>
      </c>
      <c r="K4596">
        <v>1.1101110000000001</v>
      </c>
      <c r="L4596">
        <v>214.6739</v>
      </c>
      <c r="M4596">
        <v>0.99985800000000002</v>
      </c>
      <c r="N4596">
        <v>0</v>
      </c>
      <c r="O4596">
        <v>8.6596840000000008E-3</v>
      </c>
      <c r="P4596">
        <v>0.99964660000000005</v>
      </c>
      <c r="Q4596">
        <v>-9.9221190000000001E-3</v>
      </c>
      <c r="R4596">
        <v>-2.467217E-2</v>
      </c>
      <c r="S4596">
        <v>2.9980159999999998</v>
      </c>
      <c r="T4596">
        <v>-0.25834560000000001</v>
      </c>
      <c r="U4596">
        <v>-2.36969E-2</v>
      </c>
      <c r="V4596">
        <v>3.3329079999999997E-2</v>
      </c>
      <c r="W4596">
        <v>4.5283329999999998E-3</v>
      </c>
      <c r="X4596">
        <v>0.99943419999999905</v>
      </c>
      <c r="Y4596">
        <v>1.647084E-2</v>
      </c>
      <c r="Z4596">
        <v>-1.4532499999999999E-3</v>
      </c>
      <c r="AA4596">
        <v>0.99986330000000001</v>
      </c>
      <c r="AB4596">
        <v>32</v>
      </c>
      <c r="AC4596">
        <v>0.59769999999997403</v>
      </c>
      <c r="AD4596">
        <v>-8.0090999999999898E-2</v>
      </c>
      <c r="AE4596">
        <v>-1.05000000000075E-2</v>
      </c>
      <c r="AF4596">
        <v>1.53996156117944E-2</v>
      </c>
      <c r="AG4596">
        <v>-8.0090999999999898E-2</v>
      </c>
      <c r="AH4596">
        <v>0.58704905763165405</v>
      </c>
      <c r="AI4596">
        <v>97.766250046816396</v>
      </c>
      <c r="AJ4596">
        <v>88.497347596574997</v>
      </c>
      <c r="AK4596">
        <v>0.59268736489670804</v>
      </c>
      <c r="AL4596">
        <v>89.740544751082993</v>
      </c>
      <c r="AM4596">
        <v>88.090011122654701</v>
      </c>
      <c r="AN4596">
        <v>1.0000000267515201</v>
      </c>
    </row>
    <row r="4597" spans="1:40" x14ac:dyDescent="0.25">
      <c r="A4597" t="str">
        <f>"20190312154014828"</f>
        <v>20190312154014828</v>
      </c>
      <c r="B4597" t="str">
        <f>"1552376414820041"</f>
        <v>1552376414820041</v>
      </c>
      <c r="C4597" t="s">
        <v>40</v>
      </c>
      <c r="D4597">
        <v>4.2081099999999996</v>
      </c>
      <c r="E4597">
        <v>0.49407669999999998</v>
      </c>
      <c r="F4597" t="s">
        <v>62</v>
      </c>
      <c r="G4597">
        <v>-310.25470000000001</v>
      </c>
      <c r="H4597" s="1">
        <v>1.0185779999999999E-6</v>
      </c>
      <c r="I4597">
        <v>214.43219999999999</v>
      </c>
      <c r="J4597">
        <v>-335.44349999999997</v>
      </c>
      <c r="K4597">
        <v>1.110112</v>
      </c>
      <c r="L4597">
        <v>214.67660000000001</v>
      </c>
      <c r="M4597">
        <v>0.99985829999999998</v>
      </c>
      <c r="N4597">
        <v>0</v>
      </c>
      <c r="O4597">
        <v>8.6325240000000008E-3</v>
      </c>
      <c r="P4597">
        <v>0.9996469</v>
      </c>
      <c r="Q4597">
        <v>-1.026845E-2</v>
      </c>
      <c r="R4597">
        <v>-2.4516019999999999E-2</v>
      </c>
      <c r="S4597">
        <v>2.9990230000000002</v>
      </c>
      <c r="T4597">
        <v>-0.1305066</v>
      </c>
      <c r="U4597">
        <v>-2.8411869999999999E-2</v>
      </c>
      <c r="V4597">
        <v>3.3145819999999999E-2</v>
      </c>
      <c r="W4597">
        <v>4.1792909999999999E-3</v>
      </c>
      <c r="X4597">
        <v>0.99944180000000005</v>
      </c>
      <c r="Y4597">
        <v>1.808069E-2</v>
      </c>
      <c r="Z4597">
        <v>-7.6871800000000005E-4</v>
      </c>
      <c r="AA4597">
        <v>0.99983619999999995</v>
      </c>
      <c r="AB4597">
        <v>32</v>
      </c>
      <c r="AC4597">
        <v>25.188799999999901</v>
      </c>
      <c r="AD4597">
        <v>-1.1101109814219901</v>
      </c>
      <c r="AE4597">
        <v>-0.244400000000013</v>
      </c>
      <c r="AF4597">
        <v>0.46096127915134</v>
      </c>
      <c r="AG4597">
        <v>-1.1101109814219901</v>
      </c>
      <c r="AH4597">
        <v>25.1369321970218</v>
      </c>
      <c r="AI4597">
        <v>92.528260041200099</v>
      </c>
      <c r="AJ4597">
        <v>88.949427254298399</v>
      </c>
      <c r="AK4597">
        <v>25.165655007760499</v>
      </c>
      <c r="AL4597">
        <v>89.760543570069899</v>
      </c>
      <c r="AM4597">
        <v>88.100519918549097</v>
      </c>
      <c r="AN4597">
        <v>1.0000000117219801</v>
      </c>
    </row>
    <row r="4598" spans="1:40" x14ac:dyDescent="0.25">
      <c r="A4598" t="str">
        <f>"20190312154014850"</f>
        <v>20190312154014850</v>
      </c>
      <c r="B4598" t="str">
        <f>"1552376414840520"</f>
        <v>1552376414840520</v>
      </c>
      <c r="C4598" t="s">
        <v>40</v>
      </c>
      <c r="D4598">
        <v>4.1634089999999997</v>
      </c>
      <c r="E4598">
        <v>0.49408410000000003</v>
      </c>
      <c r="F4598" t="s">
        <v>62</v>
      </c>
      <c r="G4598">
        <v>-280.57510000000002</v>
      </c>
      <c r="H4598" s="1">
        <v>6.8838519999999998E-6</v>
      </c>
      <c r="I4598">
        <v>214.2139</v>
      </c>
      <c r="J4598">
        <v>-335.12220000000002</v>
      </c>
      <c r="K4598">
        <v>1.110106</v>
      </c>
      <c r="L4598">
        <v>214.67939999999999</v>
      </c>
      <c r="M4598">
        <v>0.99985849999999998</v>
      </c>
      <c r="N4598">
        <v>0</v>
      </c>
      <c r="O4598">
        <v>8.6056640000000007E-3</v>
      </c>
      <c r="P4598">
        <v>0.99965009999999999</v>
      </c>
      <c r="Q4598">
        <v>-1.041982E-2</v>
      </c>
      <c r="R4598">
        <v>-2.4312650000000002E-2</v>
      </c>
      <c r="S4598">
        <v>2.9998170000000002</v>
      </c>
      <c r="T4598">
        <v>-6.0692790000000003E-2</v>
      </c>
      <c r="U4598">
        <v>-2.529907E-2</v>
      </c>
      <c r="V4598">
        <v>3.2915640000000003E-2</v>
      </c>
      <c r="W4598">
        <v>4.0238440000000004E-3</v>
      </c>
      <c r="X4598">
        <v>0.99944999999999995</v>
      </c>
      <c r="Y4598">
        <v>1.7033940000000001E-2</v>
      </c>
      <c r="Z4598">
        <v>-3.4640449999999998E-4</v>
      </c>
      <c r="AA4598">
        <v>0.99985489999999999</v>
      </c>
      <c r="AB4598">
        <v>32</v>
      </c>
      <c r="AC4598">
        <v>54.5471</v>
      </c>
      <c r="AD4598">
        <v>-1.1100991161480001</v>
      </c>
      <c r="AE4598">
        <v>-0.46549999999999098</v>
      </c>
      <c r="AF4598">
        <v>0.93455877784913699</v>
      </c>
      <c r="AG4598">
        <v>-1.1100991161480001</v>
      </c>
      <c r="AH4598">
        <v>54.518495014759097</v>
      </c>
      <c r="AI4598">
        <v>91.1663173585236</v>
      </c>
      <c r="AJ4598">
        <v>89.017929058161897</v>
      </c>
      <c r="AK4598">
        <v>54.5378035754214</v>
      </c>
      <c r="AL4598">
        <v>89.769450091523794</v>
      </c>
      <c r="AM4598">
        <v>88.113716694582607</v>
      </c>
      <c r="AN4598">
        <v>0.99999996658857204</v>
      </c>
    </row>
    <row r="4599" spans="1:40" x14ac:dyDescent="0.25">
      <c r="A4599" t="str">
        <f>"20190312154014873"</f>
        <v>20190312154014873</v>
      </c>
      <c r="B4599" t="str">
        <f>"1552376414870776"</f>
        <v>1552376414870776</v>
      </c>
      <c r="C4599" t="s">
        <v>40</v>
      </c>
      <c r="D4599">
        <v>4.1650609999999997</v>
      </c>
      <c r="E4599">
        <v>0.4954905</v>
      </c>
      <c r="F4599" t="s">
        <v>61</v>
      </c>
      <c r="G4599">
        <v>-232.40629999999999</v>
      </c>
      <c r="H4599" s="1">
        <v>-2.205794E-7</v>
      </c>
      <c r="I4599">
        <v>213.79910000000001</v>
      </c>
      <c r="J4599">
        <v>-334.7946</v>
      </c>
      <c r="K4599">
        <v>1.1101000000000001</v>
      </c>
      <c r="L4599">
        <v>214.68219999999999</v>
      </c>
      <c r="M4599">
        <v>0.99985880000000005</v>
      </c>
      <c r="N4599">
        <v>0</v>
      </c>
      <c r="O4599">
        <v>8.5783300000000003E-3</v>
      </c>
      <c r="P4599">
        <v>0.99965139999999997</v>
      </c>
      <c r="Q4599">
        <v>-1.061752E-2</v>
      </c>
      <c r="R4599">
        <v>-2.4179679999999999E-2</v>
      </c>
      <c r="S4599">
        <v>3.000092</v>
      </c>
      <c r="T4599">
        <v>-3.242362E-2</v>
      </c>
      <c r="U4599">
        <v>-2.5711060000000001E-2</v>
      </c>
      <c r="V4599">
        <v>3.2755430000000002E-2</v>
      </c>
      <c r="W4599">
        <v>3.8230970000000001E-3</v>
      </c>
      <c r="X4599">
        <v>0.99945609999999996</v>
      </c>
      <c r="Y4599">
        <v>1.714688E-2</v>
      </c>
      <c r="Z4599">
        <v>-1.853693E-4</v>
      </c>
      <c r="AA4599">
        <v>0.99985299999999999</v>
      </c>
      <c r="AB4599">
        <v>32</v>
      </c>
      <c r="AC4599">
        <v>102.3883</v>
      </c>
      <c r="AD4599">
        <v>-1.1101002205793999</v>
      </c>
      <c r="AE4599">
        <v>-0.88309999999998401</v>
      </c>
      <c r="AF4599">
        <v>1.76127281041351</v>
      </c>
      <c r="AG4599">
        <v>-1.1101002205793999</v>
      </c>
      <c r="AH4599">
        <v>102.364923436043</v>
      </c>
      <c r="AI4599">
        <v>90.621229916125898</v>
      </c>
      <c r="AJ4599">
        <v>89.014276191169799</v>
      </c>
      <c r="AK4599">
        <v>102.386092583316</v>
      </c>
      <c r="AL4599">
        <v>89.780952146921294</v>
      </c>
      <c r="AM4599">
        <v>88.122902648634096</v>
      </c>
      <c r="AN4599">
        <v>1.0000000150461801</v>
      </c>
    </row>
    <row r="4600" spans="1:40" x14ac:dyDescent="0.25">
      <c r="A4600" t="str">
        <f>"20190312154014896"</f>
        <v>20190312154014896</v>
      </c>
      <c r="B4600" t="str">
        <f>"1552376414890297"</f>
        <v>1552376414890297</v>
      </c>
      <c r="C4600" t="s">
        <v>40</v>
      </c>
      <c r="D4600">
        <v>4.1826660000000002</v>
      </c>
      <c r="E4600">
        <v>0.49526160000000002</v>
      </c>
      <c r="F4600" t="s">
        <v>54</v>
      </c>
      <c r="G4600">
        <v>-179.95769999999999</v>
      </c>
      <c r="H4600">
        <v>4.8829879999999999E-2</v>
      </c>
      <c r="I4600">
        <v>212.77629999999999</v>
      </c>
      <c r="J4600">
        <v>-334.46449999999999</v>
      </c>
      <c r="K4600">
        <v>1.110104</v>
      </c>
      <c r="L4600">
        <v>214.685</v>
      </c>
      <c r="M4600">
        <v>0.99985919999999895</v>
      </c>
      <c r="N4600">
        <v>0</v>
      </c>
      <c r="O4600">
        <v>8.5501559999999997E-3</v>
      </c>
      <c r="P4600">
        <v>0.99964059999999999</v>
      </c>
      <c r="Q4600">
        <v>-1.052907E-2</v>
      </c>
      <c r="R4600">
        <v>-2.4660660000000001E-2</v>
      </c>
      <c r="S4600">
        <v>2.9999389999999999</v>
      </c>
      <c r="T4600">
        <v>-2.0561929999999999E-2</v>
      </c>
      <c r="U4600">
        <v>-3.6926269999999997E-2</v>
      </c>
      <c r="V4600">
        <v>3.3208179999999997E-2</v>
      </c>
      <c r="W4600">
        <v>3.907972E-3</v>
      </c>
      <c r="X4600">
        <v>0.99944080000000002</v>
      </c>
      <c r="Y4600">
        <v>2.085733E-2</v>
      </c>
      <c r="Z4600">
        <v>-1.3008299999999999E-4</v>
      </c>
      <c r="AA4600">
        <v>0.99978239999999996</v>
      </c>
      <c r="AB4600">
        <v>32</v>
      </c>
      <c r="AC4600">
        <v>154.5068</v>
      </c>
      <c r="AD4600">
        <v>-1.06127412</v>
      </c>
      <c r="AE4600">
        <v>-1.9087000000000101</v>
      </c>
      <c r="AF4600">
        <v>3.2296728311438798</v>
      </c>
      <c r="AG4600">
        <v>-1.06127412</v>
      </c>
      <c r="AH4600">
        <v>154.477542540012</v>
      </c>
      <c r="AI4600">
        <v>90.393534787676501</v>
      </c>
      <c r="AJ4600">
        <v>88.802287602315303</v>
      </c>
      <c r="AK4600">
        <v>154.51494503301399</v>
      </c>
      <c r="AL4600">
        <v>89.776089124441498</v>
      </c>
      <c r="AM4600">
        <v>88.096946990548204</v>
      </c>
      <c r="AN4600">
        <v>0.99999998408435198</v>
      </c>
    </row>
    <row r="4601" spans="1:40" x14ac:dyDescent="0.25">
      <c r="A4601" t="str">
        <f>"20190312154014919"</f>
        <v>20190312154014919</v>
      </c>
      <c r="B4601" t="str">
        <f>"1552376414910792"</f>
        <v>1552376414910792</v>
      </c>
      <c r="C4601" t="s">
        <v>40</v>
      </c>
      <c r="D4601">
        <v>4.2132399999999999</v>
      </c>
      <c r="E4601">
        <v>0.4953613</v>
      </c>
      <c r="F4601" t="s">
        <v>43</v>
      </c>
      <c r="G4601">
        <v>-125.7217</v>
      </c>
      <c r="H4601">
        <v>-0.05</v>
      </c>
      <c r="I4601">
        <v>212.14320000000001</v>
      </c>
      <c r="J4601">
        <v>-334.13459999999998</v>
      </c>
      <c r="K4601">
        <v>1.110107</v>
      </c>
      <c r="L4601">
        <v>214.68780000000001</v>
      </c>
      <c r="M4601">
        <v>0.99985950000000001</v>
      </c>
      <c r="N4601">
        <v>0</v>
      </c>
      <c r="O4601">
        <v>8.5207859999999903E-3</v>
      </c>
      <c r="P4601">
        <v>0.9996488</v>
      </c>
      <c r="Q4601">
        <v>-1.022793E-2</v>
      </c>
      <c r="R4601">
        <v>-2.4451549999999999E-2</v>
      </c>
      <c r="S4601">
        <v>3</v>
      </c>
      <c r="T4601">
        <v>-1.667273E-2</v>
      </c>
      <c r="U4601">
        <v>-3.6529539999999999E-2</v>
      </c>
      <c r="V4601">
        <v>3.29698E-2</v>
      </c>
      <c r="W4601">
        <v>4.2055169999999998E-3</v>
      </c>
      <c r="X4601">
        <v>0.99944750000000004</v>
      </c>
      <c r="Y4601">
        <v>2.0695760000000001E-2</v>
      </c>
      <c r="Z4601">
        <v>-1.048645E-4</v>
      </c>
      <c r="AA4601">
        <v>0.99978579999999995</v>
      </c>
      <c r="AB4601">
        <v>32</v>
      </c>
      <c r="AC4601">
        <v>208.41290000000001</v>
      </c>
      <c r="AD4601">
        <v>-1.160107</v>
      </c>
      <c r="AE4601">
        <v>-2.5446</v>
      </c>
      <c r="AF4601">
        <v>4.3204005302932904</v>
      </c>
      <c r="AG4601">
        <v>-1.160107</v>
      </c>
      <c r="AH4601">
        <v>208.377192714085</v>
      </c>
      <c r="AI4601">
        <v>90.318913338943204</v>
      </c>
      <c r="AJ4601">
        <v>88.812224835424502</v>
      </c>
      <c r="AK4601">
        <v>208.42520517537301</v>
      </c>
      <c r="AL4601">
        <v>89.759040914864499</v>
      </c>
      <c r="AM4601">
        <v>88.110610494350993</v>
      </c>
      <c r="AN4601">
        <v>0.99999999967076303</v>
      </c>
    </row>
    <row r="4602" spans="1:40" x14ac:dyDescent="0.25">
      <c r="A4602" t="str">
        <f>"20190312154014932"</f>
        <v>20190312154014932</v>
      </c>
      <c r="B4602" t="str">
        <f>"1552376414920552"</f>
        <v>1552376414920552</v>
      </c>
      <c r="C4602" t="s">
        <v>40</v>
      </c>
      <c r="D4602">
        <v>4.2123439999999999</v>
      </c>
      <c r="E4602">
        <v>0.4952088</v>
      </c>
      <c r="F4602" t="s">
        <v>76</v>
      </c>
      <c r="G4602">
        <v>-107.39749999999999</v>
      </c>
      <c r="H4602">
        <v>0.23949219999999999</v>
      </c>
      <c r="I4602">
        <v>211.89</v>
      </c>
      <c r="J4602">
        <v>-333.94119999999998</v>
      </c>
      <c r="K4602">
        <v>1.110109</v>
      </c>
      <c r="L4602">
        <v>214.68940000000001</v>
      </c>
      <c r="M4602">
        <v>0.99985970000000002</v>
      </c>
      <c r="N4602">
        <v>0</v>
      </c>
      <c r="O4602">
        <v>8.5031519999999999E-3</v>
      </c>
      <c r="P4602">
        <v>0.99965850000000001</v>
      </c>
      <c r="Q4602">
        <v>-9.8434809999999994E-3</v>
      </c>
      <c r="R4602">
        <v>-2.4207409999999999E-2</v>
      </c>
      <c r="S4602">
        <v>3.0000309999999999</v>
      </c>
      <c r="T4602">
        <v>-1.151872E-2</v>
      </c>
      <c r="U4602">
        <v>-3.701782E-2</v>
      </c>
      <c r="V4602">
        <v>3.2708269999999998E-2</v>
      </c>
      <c r="W4602">
        <v>4.5879370000000003E-3</v>
      </c>
      <c r="X4602">
        <v>0.99945439999999997</v>
      </c>
      <c r="Y4602">
        <v>2.0840939999999999E-2</v>
      </c>
      <c r="Z4602" s="1">
        <v>-7.2658369999999993E-5</v>
      </c>
      <c r="AA4602">
        <v>0.99978279999999997</v>
      </c>
      <c r="AB4602">
        <v>32</v>
      </c>
      <c r="AC4602">
        <v>226.5437</v>
      </c>
      <c r="AD4602">
        <v>-0.87061679999999997</v>
      </c>
      <c r="AE4602">
        <v>-2.7994000000000199</v>
      </c>
      <c r="AF4602">
        <v>4.7257651422421603</v>
      </c>
      <c r="AG4602">
        <v>-0.87061679999999997</v>
      </c>
      <c r="AH4602">
        <v>226.50835719730699</v>
      </c>
      <c r="AI4602">
        <v>90.220175406532505</v>
      </c>
      <c r="AJ4602">
        <v>88.804780873488397</v>
      </c>
      <c r="AK4602">
        <v>226.55932271706499</v>
      </c>
      <c r="AL4602">
        <v>89.737129648100705</v>
      </c>
      <c r="AM4602">
        <v>88.125600105562299</v>
      </c>
      <c r="AN4602">
        <v>0.99999998888583397</v>
      </c>
    </row>
    <row r="4603" spans="1:40" x14ac:dyDescent="0.25">
      <c r="A4603" t="str">
        <f>"20190312154014951"</f>
        <v>20190312154014951</v>
      </c>
      <c r="B4603" t="str">
        <f>"1552376414940073"</f>
        <v>1552376414940073</v>
      </c>
      <c r="C4603" t="s">
        <v>40</v>
      </c>
      <c r="D4603">
        <v>4.2603439999999999</v>
      </c>
      <c r="E4603">
        <v>0.495037</v>
      </c>
      <c r="F4603" t="s">
        <v>76</v>
      </c>
      <c r="G4603">
        <v>-107.39749999999999</v>
      </c>
      <c r="H4603">
        <v>0.46820319999999999</v>
      </c>
      <c r="I4603">
        <v>212.03120000000001</v>
      </c>
      <c r="J4603">
        <v>-333.66770000000002</v>
      </c>
      <c r="K4603">
        <v>1.1101099999999999</v>
      </c>
      <c r="L4603">
        <v>214.6917</v>
      </c>
      <c r="M4603">
        <v>0.99985990000000002</v>
      </c>
      <c r="N4603">
        <v>0</v>
      </c>
      <c r="O4603">
        <v>8.47819E-3</v>
      </c>
      <c r="P4603">
        <v>0.99967309999999998</v>
      </c>
      <c r="Q4603">
        <v>-9.3783579999999998E-3</v>
      </c>
      <c r="R4603">
        <v>-2.378978E-2</v>
      </c>
      <c r="S4603">
        <v>3.0001220000000002</v>
      </c>
      <c r="T4603">
        <v>-8.5000990000000005E-3</v>
      </c>
      <c r="U4603">
        <v>-3.5202030000000002E-2</v>
      </c>
      <c r="V4603">
        <v>3.2265620000000002E-2</v>
      </c>
      <c r="W4603">
        <v>5.0509400000000003E-3</v>
      </c>
      <c r="X4603">
        <v>0.99946650000000004</v>
      </c>
      <c r="Y4603">
        <v>2.0210680000000002E-2</v>
      </c>
      <c r="Z4603" s="1">
        <v>-5.2652480000000003E-5</v>
      </c>
      <c r="AA4603">
        <v>0.99979569999999995</v>
      </c>
      <c r="AB4603">
        <v>32</v>
      </c>
      <c r="AC4603">
        <v>226.27019999999999</v>
      </c>
      <c r="AD4603">
        <v>-0.641906799999999</v>
      </c>
      <c r="AE4603">
        <v>-2.6604999999999799</v>
      </c>
      <c r="AF4603">
        <v>4.5789290903185904</v>
      </c>
      <c r="AG4603">
        <v>-0.641906799999999</v>
      </c>
      <c r="AH4603">
        <v>226.237686953219</v>
      </c>
      <c r="AI4603">
        <v>90.162532254247097</v>
      </c>
      <c r="AJ4603">
        <v>88.840522546024403</v>
      </c>
      <c r="AK4603">
        <v>226.28493019619501</v>
      </c>
      <c r="AL4603">
        <v>89.710601205627199</v>
      </c>
      <c r="AM4603">
        <v>88.150971514285104</v>
      </c>
      <c r="AN4603">
        <v>0.99999993342555604</v>
      </c>
    </row>
    <row r="4604" spans="1:40" x14ac:dyDescent="0.25">
      <c r="A4604" t="str">
        <f>"20190312154014973"</f>
        <v>20190312154014973</v>
      </c>
      <c r="B4604" t="str">
        <f>"1552376414960568"</f>
        <v>1552376414960568</v>
      </c>
      <c r="C4604" t="s">
        <v>40</v>
      </c>
      <c r="D4604">
        <v>4.2630350000000004</v>
      </c>
      <c r="E4604">
        <v>0.49486400000000003</v>
      </c>
      <c r="F4604" t="s">
        <v>76</v>
      </c>
      <c r="G4604">
        <v>-107.39749999999999</v>
      </c>
      <c r="H4604">
        <v>0.70856640000000004</v>
      </c>
      <c r="I4604">
        <v>212.2381</v>
      </c>
      <c r="J4604">
        <v>-333.35930000000002</v>
      </c>
      <c r="K4604">
        <v>1.1101080000000001</v>
      </c>
      <c r="L4604">
        <v>214.6943</v>
      </c>
      <c r="M4604">
        <v>0.99986019999999998</v>
      </c>
      <c r="N4604">
        <v>0</v>
      </c>
      <c r="O4604">
        <v>8.4491789999999994E-3</v>
      </c>
      <c r="P4604">
        <v>0.9996834</v>
      </c>
      <c r="Q4604">
        <v>-9.4448329999999997E-3</v>
      </c>
      <c r="R4604">
        <v>-2.333464E-2</v>
      </c>
      <c r="S4604">
        <v>3.0001220000000002</v>
      </c>
      <c r="T4604">
        <v>-5.3234099999999998E-3</v>
      </c>
      <c r="U4604">
        <v>-3.2531740000000003E-2</v>
      </c>
      <c r="V4604">
        <v>3.17816E-2</v>
      </c>
      <c r="W4604">
        <v>4.9813219999999998E-3</v>
      </c>
      <c r="X4604">
        <v>0.99948250000000005</v>
      </c>
      <c r="Y4604">
        <v>1.9291969999999999E-2</v>
      </c>
      <c r="Z4604" s="1">
        <v>-3.2108650000000003E-5</v>
      </c>
      <c r="AA4604">
        <v>0.99981390000000003</v>
      </c>
      <c r="AB4604">
        <v>32</v>
      </c>
      <c r="AC4604">
        <v>225.96180000000001</v>
      </c>
      <c r="AD4604">
        <v>-0.4015416</v>
      </c>
      <c r="AE4604">
        <v>-2.4561999999999902</v>
      </c>
      <c r="AF4604">
        <v>4.3654889893466704</v>
      </c>
      <c r="AG4604">
        <v>-0.4015416</v>
      </c>
      <c r="AH4604">
        <v>225.932264216021</v>
      </c>
      <c r="AI4604">
        <v>90.101810696912395</v>
      </c>
      <c r="AJ4604">
        <v>88.893062152995299</v>
      </c>
      <c r="AK4604">
        <v>225.974792274604</v>
      </c>
      <c r="AL4604">
        <v>89.714590114272497</v>
      </c>
      <c r="AM4604">
        <v>88.178719300284797</v>
      </c>
      <c r="AN4604">
        <v>1.0000000757368299</v>
      </c>
    </row>
    <row r="4605" spans="1:40" x14ac:dyDescent="0.25">
      <c r="A4605" t="str">
        <f>"20190312154014989"</f>
        <v>20190312154014989</v>
      </c>
      <c r="B4605" t="str">
        <f>"1552376414981064"</f>
        <v>1552376414981064</v>
      </c>
      <c r="C4605" t="s">
        <v>40</v>
      </c>
      <c r="D4605">
        <v>4.3056390000000002</v>
      </c>
      <c r="E4605">
        <v>0.49458089999999999</v>
      </c>
      <c r="F4605" t="s">
        <v>76</v>
      </c>
      <c r="G4605">
        <v>-107.39749999999999</v>
      </c>
      <c r="H4605">
        <v>0.73634599999999995</v>
      </c>
      <c r="I4605">
        <v>212.4384</v>
      </c>
      <c r="J4605">
        <v>-333.11489999999998</v>
      </c>
      <c r="K4605">
        <v>1.110106</v>
      </c>
      <c r="L4605">
        <v>214.69630000000001</v>
      </c>
      <c r="M4605">
        <v>0.99986039999999998</v>
      </c>
      <c r="N4605">
        <v>0</v>
      </c>
      <c r="O4605">
        <v>8.4260080000000005E-3</v>
      </c>
      <c r="P4605">
        <v>0.99968769999999996</v>
      </c>
      <c r="Q4605">
        <v>-9.5228559999999997E-3</v>
      </c>
      <c r="R4605">
        <v>-2.3109500000000002E-2</v>
      </c>
      <c r="S4605">
        <v>3.0002140000000002</v>
      </c>
      <c r="T4605">
        <v>-4.9619670000000003E-3</v>
      </c>
      <c r="U4605">
        <v>-2.9953E-2</v>
      </c>
      <c r="V4605">
        <v>3.1533510000000001E-2</v>
      </c>
      <c r="W4605">
        <v>4.900738E-3</v>
      </c>
      <c r="X4605">
        <v>0.99949069999999995</v>
      </c>
      <c r="Y4605">
        <v>1.8409200000000001E-2</v>
      </c>
      <c r="Z4605" s="1">
        <v>-2.915949E-5</v>
      </c>
      <c r="AA4605">
        <v>0.99983049999999996</v>
      </c>
      <c r="AB4605">
        <v>32</v>
      </c>
      <c r="AC4605">
        <v>225.7174</v>
      </c>
      <c r="AD4605">
        <v>-0.37375999999999998</v>
      </c>
      <c r="AE4605">
        <v>-2.2578999999999998</v>
      </c>
      <c r="AF4605">
        <v>4.1599030443662599</v>
      </c>
      <c r="AG4605">
        <v>-0.37375999999999998</v>
      </c>
      <c r="AH4605">
        <v>225.689739664667</v>
      </c>
      <c r="AI4605">
        <v>90.094870126707505</v>
      </c>
      <c r="AJ4605">
        <v>88.944046362237302</v>
      </c>
      <c r="AK4605">
        <v>225.72838341639999</v>
      </c>
      <c r="AL4605">
        <v>89.719207277573105</v>
      </c>
      <c r="AM4605">
        <v>88.192941732056795</v>
      </c>
      <c r="AN4605">
        <v>1.00000001943617</v>
      </c>
    </row>
    <row r="4606" spans="1:40" x14ac:dyDescent="0.25">
      <c r="A4606" t="str">
        <f>"20190312154015007"</f>
        <v>20190312154015007</v>
      </c>
      <c r="B4606" t="str">
        <f>"1552376415000584"</f>
        <v>1552376415000584</v>
      </c>
      <c r="C4606" t="s">
        <v>40</v>
      </c>
      <c r="D4606">
        <v>4.3288229999999999</v>
      </c>
      <c r="E4606">
        <v>0.4942145</v>
      </c>
      <c r="F4606" t="s">
        <v>76</v>
      </c>
      <c r="G4606">
        <v>-107.39749999999999</v>
      </c>
      <c r="H4606">
        <v>0.48142849999999998</v>
      </c>
      <c r="I4606">
        <v>212.6748</v>
      </c>
      <c r="J4606">
        <v>-332.8646</v>
      </c>
      <c r="K4606">
        <v>1.1101110000000001</v>
      </c>
      <c r="L4606">
        <v>214.69839999999999</v>
      </c>
      <c r="M4606">
        <v>0.99986059999999999</v>
      </c>
      <c r="N4606">
        <v>0</v>
      </c>
      <c r="O4606">
        <v>8.4020060000000001E-3</v>
      </c>
      <c r="P4606">
        <v>0.99969390000000002</v>
      </c>
      <c r="Q4606">
        <v>-9.9066429999999997E-3</v>
      </c>
      <c r="R4606">
        <v>-2.2672359999999999E-2</v>
      </c>
      <c r="S4606">
        <v>3.0002439999999999</v>
      </c>
      <c r="T4606">
        <v>-8.3557370000000002E-3</v>
      </c>
      <c r="U4606">
        <v>-2.6870729999999999E-2</v>
      </c>
      <c r="V4606">
        <v>3.1072289999999999E-2</v>
      </c>
      <c r="W4606">
        <v>4.5145039999999999E-3</v>
      </c>
      <c r="X4606">
        <v>0.99950700000000003</v>
      </c>
      <c r="Y4606">
        <v>1.735795E-2</v>
      </c>
      <c r="Z4606" s="1">
        <v>-4.7572260000000002E-5</v>
      </c>
      <c r="AA4606">
        <v>0.99984930000000005</v>
      </c>
      <c r="AB4606">
        <v>32</v>
      </c>
      <c r="AC4606">
        <v>225.46709999999999</v>
      </c>
      <c r="AD4606">
        <v>-0.62868250000000003</v>
      </c>
      <c r="AE4606">
        <v>-2.0235999999999801</v>
      </c>
      <c r="AF4606">
        <v>3.9180712467744501</v>
      </c>
      <c r="AG4606">
        <v>-0.62868250000000003</v>
      </c>
      <c r="AH4606">
        <v>225.44038321232799</v>
      </c>
      <c r="AI4606">
        <v>90.159755413873199</v>
      </c>
      <c r="AJ4606">
        <v>89.004320589111501</v>
      </c>
      <c r="AK4606">
        <v>225.47530442800601</v>
      </c>
      <c r="AL4606">
        <v>89.741337109932203</v>
      </c>
      <c r="AM4606">
        <v>88.219384268511106</v>
      </c>
      <c r="AN4606">
        <v>1.0000000555005999</v>
      </c>
    </row>
    <row r="4607" spans="1:40" x14ac:dyDescent="0.25">
      <c r="A4607" t="str">
        <f>"20190312154015029"</f>
        <v>20190312154015029</v>
      </c>
      <c r="B4607" t="str">
        <f>"1552376415020104"</f>
        <v>1552376415020104</v>
      </c>
      <c r="C4607" t="s">
        <v>40</v>
      </c>
      <c r="D4607">
        <v>4.3521769999999904</v>
      </c>
      <c r="E4607">
        <v>0.49390420000000002</v>
      </c>
      <c r="F4607" t="s">
        <v>43</v>
      </c>
      <c r="G4607">
        <v>-103.38679999999999</v>
      </c>
      <c r="H4607">
        <v>-0.05</v>
      </c>
      <c r="I4607">
        <v>212.98400000000001</v>
      </c>
      <c r="J4607">
        <v>-332.54629999999997</v>
      </c>
      <c r="K4607">
        <v>1.1101080000000001</v>
      </c>
      <c r="L4607">
        <v>214.70099999999999</v>
      </c>
      <c r="M4607">
        <v>0.99986090000000005</v>
      </c>
      <c r="N4607">
        <v>0</v>
      </c>
      <c r="O4607">
        <v>8.3715109999999999E-3</v>
      </c>
      <c r="P4607">
        <v>0.99969660000000005</v>
      </c>
      <c r="Q4607">
        <v>-9.9829529999999993E-3</v>
      </c>
      <c r="R4607">
        <v>-2.2517079999999998E-2</v>
      </c>
      <c r="S4607">
        <v>3.0002749999999998</v>
      </c>
      <c r="T4607">
        <v>-1.5167709999999999E-2</v>
      </c>
      <c r="U4607">
        <v>-2.241516E-2</v>
      </c>
      <c r="V4607">
        <v>3.0886549999999999E-2</v>
      </c>
      <c r="W4607">
        <v>4.4348729999999998E-3</v>
      </c>
      <c r="X4607">
        <v>0.99951299999999998</v>
      </c>
      <c r="Y4607">
        <v>1.5842410000000001E-2</v>
      </c>
      <c r="Z4607" s="1">
        <v>-8.2369539999999994E-5</v>
      </c>
      <c r="AA4607">
        <v>0.9998745</v>
      </c>
      <c r="AB4607">
        <v>32</v>
      </c>
      <c r="AC4607">
        <v>229.15950000000001</v>
      </c>
      <c r="AD4607">
        <v>-1.1601079999999999</v>
      </c>
      <c r="AE4607">
        <v>-1.7169999999999801</v>
      </c>
      <c r="AF4607">
        <v>3.6354575705828802</v>
      </c>
      <c r="AG4607">
        <v>-1.1601079999999999</v>
      </c>
      <c r="AH4607">
        <v>229.13122087534401</v>
      </c>
      <c r="AI4607">
        <v>90.290053705098401</v>
      </c>
      <c r="AJ4607">
        <v>89.091006024849605</v>
      </c>
      <c r="AK4607">
        <v>229.16299610134399</v>
      </c>
      <c r="AL4607">
        <v>89.745899646766105</v>
      </c>
      <c r="AM4607">
        <v>88.2300320352021</v>
      </c>
      <c r="AN4607">
        <v>0.99999994211921195</v>
      </c>
    </row>
    <row r="4608" spans="1:40" x14ac:dyDescent="0.25">
      <c r="A4608" t="str">
        <f>"20190312154015052"</f>
        <v>20190312154015052</v>
      </c>
      <c r="B4608" t="str">
        <f>"1552376415040601"</f>
        <v>1552376415040601</v>
      </c>
      <c r="C4608" t="s">
        <v>40</v>
      </c>
      <c r="D4608">
        <v>4.3746309999999999</v>
      </c>
      <c r="E4608">
        <v>0.4937357</v>
      </c>
      <c r="F4608" t="s">
        <v>54</v>
      </c>
      <c r="G4608">
        <v>-178.49510000000001</v>
      </c>
      <c r="H4608">
        <v>7.9981919999999998E-2</v>
      </c>
      <c r="I4608">
        <v>213.7131</v>
      </c>
      <c r="J4608">
        <v>-332.22239999999999</v>
      </c>
      <c r="K4608">
        <v>1.110114</v>
      </c>
      <c r="L4608">
        <v>214.7038</v>
      </c>
      <c r="M4608">
        <v>0.99986120000000001</v>
      </c>
      <c r="N4608">
        <v>0</v>
      </c>
      <c r="O4608">
        <v>8.3403030000000003E-3</v>
      </c>
      <c r="P4608">
        <v>0.99970320000000001</v>
      </c>
      <c r="Q4608">
        <v>-9.5671620000000006E-3</v>
      </c>
      <c r="R4608">
        <v>-2.2416749999999999E-2</v>
      </c>
      <c r="S4608">
        <v>3.0002749999999998</v>
      </c>
      <c r="T4608">
        <v>-2.0062569999999998E-2</v>
      </c>
      <c r="U4608">
        <v>-1.9241330000000001E-2</v>
      </c>
      <c r="V4608">
        <v>3.075489E-2</v>
      </c>
      <c r="W4608">
        <v>4.8473329999999997E-3</v>
      </c>
      <c r="X4608">
        <v>0.99951520000000005</v>
      </c>
      <c r="Y4608">
        <v>1.475332E-2</v>
      </c>
      <c r="Z4608">
        <v>-1.051013E-4</v>
      </c>
      <c r="AA4608">
        <v>0.99989119999999998</v>
      </c>
      <c r="AB4608">
        <v>32</v>
      </c>
      <c r="AC4608">
        <v>153.72730000000001</v>
      </c>
      <c r="AD4608">
        <v>-1.03013208</v>
      </c>
      <c r="AE4608">
        <v>-0.99070000000000402</v>
      </c>
      <c r="AF4608">
        <v>2.2728291175729902</v>
      </c>
      <c r="AG4608">
        <v>-1.03013208</v>
      </c>
      <c r="AH4608">
        <v>153.706786767258</v>
      </c>
      <c r="AI4608">
        <v>90.383944566698702</v>
      </c>
      <c r="AJ4608">
        <v>89.1528414008597</v>
      </c>
      <c r="AK4608">
        <v>153.72704128621999</v>
      </c>
      <c r="AL4608">
        <v>89.722267188862602</v>
      </c>
      <c r="AM4608">
        <v>88.237575980383497</v>
      </c>
      <c r="AN4608">
        <v>0.99999999746358204</v>
      </c>
    </row>
    <row r="4609" spans="1:40" x14ac:dyDescent="0.25">
      <c r="A4609" t="str">
        <f>"20190312154015075"</f>
        <v>20190312154015075</v>
      </c>
      <c r="B4609" t="str">
        <f>"1552376415070856"</f>
        <v>1552376415070856</v>
      </c>
      <c r="C4609" t="s">
        <v>40</v>
      </c>
      <c r="D4609">
        <v>4.3827040000000004</v>
      </c>
      <c r="E4609">
        <v>0.49358489999999999</v>
      </c>
      <c r="F4609" t="s">
        <v>54</v>
      </c>
      <c r="G4609">
        <v>-189.55940000000001</v>
      </c>
      <c r="H4609" s="1">
        <v>3.9666719999999997E-6</v>
      </c>
      <c r="I4609">
        <v>213.87010000000001</v>
      </c>
      <c r="J4609">
        <v>-331.89069999999998</v>
      </c>
      <c r="K4609">
        <v>1.110115</v>
      </c>
      <c r="L4609">
        <v>214.70650000000001</v>
      </c>
      <c r="M4609">
        <v>0.99986160000000002</v>
      </c>
      <c r="N4609">
        <v>0</v>
      </c>
      <c r="O4609">
        <v>8.3084419999999992E-3</v>
      </c>
      <c r="P4609">
        <v>0.9997045</v>
      </c>
      <c r="Q4609">
        <v>-9.3326669999999994E-3</v>
      </c>
      <c r="R4609">
        <v>-2.245045E-2</v>
      </c>
      <c r="S4609">
        <v>3.0002439999999999</v>
      </c>
      <c r="T4609">
        <v>-2.3345950000000001E-2</v>
      </c>
      <c r="U4609">
        <v>-1.7532349999999999E-2</v>
      </c>
      <c r="V4609">
        <v>3.075698E-2</v>
      </c>
      <c r="W4609">
        <v>5.0781200000000002E-3</v>
      </c>
      <c r="X4609">
        <v>0.99951400000000001</v>
      </c>
      <c r="Y4609">
        <v>1.4151820000000001E-2</v>
      </c>
      <c r="Z4609">
        <v>-1.197148E-4</v>
      </c>
      <c r="AA4609">
        <v>0.99989989999999995</v>
      </c>
      <c r="AB4609">
        <v>32</v>
      </c>
      <c r="AC4609">
        <v>142.331299999999</v>
      </c>
      <c r="AD4609">
        <v>-1.110111033328</v>
      </c>
      <c r="AE4609">
        <v>-0.83639999999999703</v>
      </c>
      <c r="AF4609">
        <v>2.0189225221168399</v>
      </c>
      <c r="AG4609">
        <v>-1.110111033328</v>
      </c>
      <c r="AH4609">
        <v>142.31077966324</v>
      </c>
      <c r="AI4609">
        <v>90.4468880559713</v>
      </c>
      <c r="AJ4609">
        <v>89.187215610225707</v>
      </c>
      <c r="AK4609">
        <v>142.32942915298901</v>
      </c>
      <c r="AL4609">
        <v>89.709043907862707</v>
      </c>
      <c r="AM4609">
        <v>88.237454172706805</v>
      </c>
      <c r="AN4609">
        <v>1.0000000076587201</v>
      </c>
    </row>
    <row r="4610" spans="1:40" x14ac:dyDescent="0.25">
      <c r="A4610" t="str">
        <f>"20190312154015098"</f>
        <v>20190312154015098</v>
      </c>
      <c r="B4610" t="str">
        <f>"1552376415090376"</f>
        <v>1552376415090376</v>
      </c>
      <c r="C4610" t="s">
        <v>40</v>
      </c>
      <c r="D4610">
        <v>4.3896090000000001</v>
      </c>
      <c r="E4610">
        <v>0.49349789999999999</v>
      </c>
      <c r="F4610" t="s">
        <v>61</v>
      </c>
      <c r="G4610">
        <v>-214.8683</v>
      </c>
      <c r="H4610" s="1">
        <v>1.077429E-6</v>
      </c>
      <c r="I4610">
        <v>214.078</v>
      </c>
      <c r="J4610">
        <v>-331.57600000000002</v>
      </c>
      <c r="K4610">
        <v>1.110114</v>
      </c>
      <c r="L4610">
        <v>214.70910000000001</v>
      </c>
      <c r="M4610">
        <v>0.99986180000000002</v>
      </c>
      <c r="N4610">
        <v>0</v>
      </c>
      <c r="O4610">
        <v>8.2780709999999997E-3</v>
      </c>
      <c r="P4610">
        <v>0.99970769999999998</v>
      </c>
      <c r="Q4610">
        <v>-9.603973E-3</v>
      </c>
      <c r="R4610">
        <v>-2.2191760000000001E-2</v>
      </c>
      <c r="S4610">
        <v>3.0002439999999999</v>
      </c>
      <c r="T4610">
        <v>-2.8461340000000002E-2</v>
      </c>
      <c r="U4610">
        <v>-1.6113280000000001E-2</v>
      </c>
      <c r="V4610">
        <v>3.0467959999999999E-2</v>
      </c>
      <c r="W4610">
        <v>4.8039420000000003E-3</v>
      </c>
      <c r="X4610">
        <v>0.99952419999999997</v>
      </c>
      <c r="Y4610">
        <v>1.3648220000000001E-2</v>
      </c>
      <c r="Z4610">
        <v>-1.432681E-4</v>
      </c>
      <c r="AA4610">
        <v>0.99990679999999998</v>
      </c>
      <c r="AB4610">
        <v>32</v>
      </c>
      <c r="AC4610">
        <v>116.70769999999899</v>
      </c>
      <c r="AD4610">
        <v>-1.110112922571</v>
      </c>
      <c r="AE4610">
        <v>-0.63110000000000299</v>
      </c>
      <c r="AF4610">
        <v>1.5971489196655899</v>
      </c>
      <c r="AG4610">
        <v>-1.110112922571</v>
      </c>
      <c r="AH4610">
        <v>116.68791829008001</v>
      </c>
      <c r="AI4610">
        <v>90.545017091631394</v>
      </c>
      <c r="AJ4610">
        <v>89.215821314374494</v>
      </c>
      <c r="AK4610">
        <v>116.704128077137</v>
      </c>
      <c r="AL4610">
        <v>89.7247533397978</v>
      </c>
      <c r="AM4610">
        <v>88.254024130767803</v>
      </c>
      <c r="AN4610">
        <v>1.0000000004154701</v>
      </c>
    </row>
    <row r="4611" spans="1:40" x14ac:dyDescent="0.25">
      <c r="A4611" t="str">
        <f>"20190312154015120"</f>
        <v>20190312154015120</v>
      </c>
      <c r="B4611" t="str">
        <f>"1552376415110875"</f>
        <v>1552376415110875</v>
      </c>
      <c r="C4611" t="s">
        <v>40</v>
      </c>
      <c r="D4611">
        <v>4.3985570000000003</v>
      </c>
      <c r="E4611">
        <v>0.49338199999999999</v>
      </c>
      <c r="F4611" t="s">
        <v>61</v>
      </c>
      <c r="G4611">
        <v>-230.78790000000001</v>
      </c>
      <c r="H4611" s="1">
        <v>-1.100237E-6</v>
      </c>
      <c r="I4611">
        <v>214.2216</v>
      </c>
      <c r="J4611">
        <v>-331.25639999999999</v>
      </c>
      <c r="K4611">
        <v>1.1101110000000001</v>
      </c>
      <c r="L4611">
        <v>214.71170000000001</v>
      </c>
      <c r="M4611">
        <v>0.99986220000000003</v>
      </c>
      <c r="N4611">
        <v>0</v>
      </c>
      <c r="O4611">
        <v>8.24704699999999E-3</v>
      </c>
      <c r="P4611">
        <v>0.99970320000000001</v>
      </c>
      <c r="Q4611">
        <v>-9.5834519999999992E-3</v>
      </c>
      <c r="R4611">
        <v>-2.2402970000000001E-2</v>
      </c>
      <c r="S4611">
        <v>3.0002439999999999</v>
      </c>
      <c r="T4611">
        <v>-3.3045770000000002E-2</v>
      </c>
      <c r="U4611">
        <v>-1.4511110000000001E-2</v>
      </c>
      <c r="V4611">
        <v>3.0648149999999999E-2</v>
      </c>
      <c r="W4611">
        <v>4.8211069999999998E-3</v>
      </c>
      <c r="X4611">
        <v>0.99951860000000003</v>
      </c>
      <c r="Y4611">
        <v>1.308294E-2</v>
      </c>
      <c r="Z4611">
        <v>-1.6288920000000001E-4</v>
      </c>
      <c r="AA4611">
        <v>0.99991439999999998</v>
      </c>
      <c r="AB4611">
        <v>32</v>
      </c>
      <c r="AC4611">
        <v>100.468499999999</v>
      </c>
      <c r="AD4611">
        <v>-1.110112100237</v>
      </c>
      <c r="AE4611">
        <v>-0.49010000000001203</v>
      </c>
      <c r="AF4611">
        <v>1.3185767973229301</v>
      </c>
      <c r="AG4611">
        <v>-1.110112100237</v>
      </c>
      <c r="AH4611">
        <v>100.448776991166</v>
      </c>
      <c r="AI4611">
        <v>90.633125381073697</v>
      </c>
      <c r="AJ4611">
        <v>89.247929653549093</v>
      </c>
      <c r="AK4611">
        <v>100.46356450309</v>
      </c>
      <c r="AL4611">
        <v>89.723769844017696</v>
      </c>
      <c r="AM4611">
        <v>88.2436949012734</v>
      </c>
      <c r="AN4611">
        <v>0.99999999195854405</v>
      </c>
    </row>
    <row r="4612" spans="1:40" x14ac:dyDescent="0.25">
      <c r="A4612" t="str">
        <f>"20190312154015141"</f>
        <v>20190312154015141</v>
      </c>
      <c r="B4612" t="str">
        <f>"1552376415130392"</f>
        <v>1552376415130392</v>
      </c>
      <c r="C4612" t="s">
        <v>40</v>
      </c>
      <c r="D4612">
        <v>4.3833549999999999</v>
      </c>
      <c r="E4612">
        <v>0.49330629999999998</v>
      </c>
      <c r="F4612" t="s">
        <v>61</v>
      </c>
      <c r="G4612">
        <v>-239.7242</v>
      </c>
      <c r="H4612" s="1">
        <v>3.6525109999999998E-6</v>
      </c>
      <c r="I4612">
        <v>214.2825</v>
      </c>
      <c r="J4612">
        <v>-330.95659999999998</v>
      </c>
      <c r="K4612">
        <v>1.1101110000000001</v>
      </c>
      <c r="L4612">
        <v>214.7141</v>
      </c>
      <c r="M4612">
        <v>0.99986240000000004</v>
      </c>
      <c r="N4612">
        <v>0</v>
      </c>
      <c r="O4612">
        <v>8.218342E-3</v>
      </c>
      <c r="P4612">
        <v>0.99969050000000004</v>
      </c>
      <c r="Q4612">
        <v>-1.0430729999999999E-2</v>
      </c>
      <c r="R4612">
        <v>-2.2589600000000001E-2</v>
      </c>
      <c r="S4612">
        <v>3.0002140000000002</v>
      </c>
      <c r="T4612">
        <v>-3.6386729999999999E-2</v>
      </c>
      <c r="U4612">
        <v>-1.4068600000000001E-2</v>
      </c>
      <c r="V4612">
        <v>3.0805869999999999E-2</v>
      </c>
      <c r="W4612">
        <v>3.9704390000000001E-3</v>
      </c>
      <c r="X4612">
        <v>0.99951749999999995</v>
      </c>
      <c r="Y4612">
        <v>1.2906539999999999E-2</v>
      </c>
      <c r="Z4612">
        <v>-1.779405E-4</v>
      </c>
      <c r="AA4612">
        <v>0.99991669999999999</v>
      </c>
      <c r="AB4612">
        <v>32</v>
      </c>
      <c r="AC4612">
        <v>91.232399999999899</v>
      </c>
      <c r="AD4612">
        <v>-1.110107347489</v>
      </c>
      <c r="AE4612">
        <v>-0.43160000000000298</v>
      </c>
      <c r="AF4612">
        <v>1.1812674480538501</v>
      </c>
      <c r="AG4612">
        <v>-1.110107347489</v>
      </c>
      <c r="AH4612">
        <v>91.212266533303904</v>
      </c>
      <c r="AI4612">
        <v>90.697230708170494</v>
      </c>
      <c r="AJ4612">
        <v>89.258018046221693</v>
      </c>
      <c r="AK4612">
        <v>91.226669879203897</v>
      </c>
      <c r="AL4612">
        <v>89.772510004642101</v>
      </c>
      <c r="AM4612">
        <v>88.234660453259806</v>
      </c>
      <c r="AN4612">
        <v>0.99999999940927897</v>
      </c>
    </row>
    <row r="4613" spans="1:40" x14ac:dyDescent="0.25">
      <c r="A4613" t="str">
        <f>"20190312154015163"</f>
        <v>20190312154015163</v>
      </c>
      <c r="B4613" t="str">
        <f>"1552376415150888"</f>
        <v>1552376415150888</v>
      </c>
      <c r="C4613" t="s">
        <v>40</v>
      </c>
      <c r="D4613">
        <v>4.3506390000000001</v>
      </c>
      <c r="E4613">
        <v>0.4932359</v>
      </c>
      <c r="F4613" t="s">
        <v>61</v>
      </c>
      <c r="G4613">
        <v>-251.3374</v>
      </c>
      <c r="H4613" s="1">
        <v>-8.1318030000000001E-7</v>
      </c>
      <c r="I4613">
        <v>214.34440000000001</v>
      </c>
      <c r="J4613">
        <v>-330.64530000000002</v>
      </c>
      <c r="K4613">
        <v>1.110109</v>
      </c>
      <c r="L4613">
        <v>214.7167</v>
      </c>
      <c r="M4613">
        <v>0.99986269999999999</v>
      </c>
      <c r="N4613">
        <v>0</v>
      </c>
      <c r="O4613">
        <v>8.1883279999999999E-3</v>
      </c>
      <c r="P4613">
        <v>0.99968449999999998</v>
      </c>
      <c r="Q4613">
        <v>-1.092305E-2</v>
      </c>
      <c r="R4613">
        <v>-2.2631740000000001E-2</v>
      </c>
      <c r="S4613">
        <v>3.0001829999999998</v>
      </c>
      <c r="T4613">
        <v>-4.1830899999999997E-2</v>
      </c>
      <c r="U4613">
        <v>-1.3931270000000001E-2</v>
      </c>
      <c r="V4613">
        <v>3.0817850000000001E-2</v>
      </c>
      <c r="W4613">
        <v>3.4750079999999999E-3</v>
      </c>
      <c r="X4613">
        <v>0.99951900000000005</v>
      </c>
      <c r="Y4613">
        <v>1.2830319999999999E-2</v>
      </c>
      <c r="Z4613">
        <v>-2.036137E-4</v>
      </c>
      <c r="AA4613">
        <v>0.99991770000000002</v>
      </c>
      <c r="AB4613">
        <v>32</v>
      </c>
      <c r="AC4613">
        <v>79.307900000000004</v>
      </c>
      <c r="AD4613">
        <v>-1.1101098131803</v>
      </c>
      <c r="AE4613">
        <v>-0.37229999999999502</v>
      </c>
      <c r="AF4613">
        <v>1.0215538627142</v>
      </c>
      <c r="AG4613">
        <v>-1.1101098131803</v>
      </c>
      <c r="AH4613">
        <v>79.286657603671799</v>
      </c>
      <c r="AI4613">
        <v>90.802091746759501</v>
      </c>
      <c r="AJ4613">
        <v>89.2618242695047</v>
      </c>
      <c r="AK4613">
        <v>79.301008758108694</v>
      </c>
      <c r="AL4613">
        <v>89.800896311776597</v>
      </c>
      <c r="AM4613">
        <v>88.233977019082602</v>
      </c>
      <c r="AN4613">
        <v>1.0000000234601101</v>
      </c>
    </row>
    <row r="4614" spans="1:40" x14ac:dyDescent="0.25">
      <c r="A4614" t="str">
        <f>"20190312154015186"</f>
        <v>20190312154015186</v>
      </c>
      <c r="B4614" t="str">
        <f>"1552376415180169"</f>
        <v>1552376415180169</v>
      </c>
      <c r="C4614" t="s">
        <v>40</v>
      </c>
      <c r="D4614">
        <v>4.3411049999999998</v>
      </c>
      <c r="E4614">
        <v>0.49316690000000002</v>
      </c>
      <c r="F4614" t="s">
        <v>61</v>
      </c>
      <c r="G4614">
        <v>-258.55470000000003</v>
      </c>
      <c r="H4614" s="1">
        <v>3.0251649999999999E-6</v>
      </c>
      <c r="I4614">
        <v>214.3973</v>
      </c>
      <c r="J4614">
        <v>-330.32229999999998</v>
      </c>
      <c r="K4614">
        <v>1.110107</v>
      </c>
      <c r="L4614">
        <v>214.7193</v>
      </c>
      <c r="M4614">
        <v>0.9998631</v>
      </c>
      <c r="N4614">
        <v>0</v>
      </c>
      <c r="O4614">
        <v>8.1573040000000006E-3</v>
      </c>
      <c r="P4614">
        <v>0.99968449999999998</v>
      </c>
      <c r="Q4614">
        <v>-1.1450999999999999E-2</v>
      </c>
      <c r="R4614">
        <v>-2.2366210000000001E-2</v>
      </c>
      <c r="S4614">
        <v>3.0001220000000002</v>
      </c>
      <c r="T4614">
        <v>-4.6198129999999997E-2</v>
      </c>
      <c r="U4614">
        <v>-1.3290410000000001E-2</v>
      </c>
      <c r="V4614">
        <v>3.052127E-2</v>
      </c>
      <c r="W4614">
        <v>2.943336E-3</v>
      </c>
      <c r="X4614">
        <v>0.99952980000000002</v>
      </c>
      <c r="Y4614">
        <v>1.258538E-2</v>
      </c>
      <c r="Z4614">
        <v>-2.2251009999999999E-4</v>
      </c>
      <c r="AA4614">
        <v>0.99992080000000005</v>
      </c>
      <c r="AB4614">
        <v>32</v>
      </c>
      <c r="AC4614">
        <v>71.767599999999902</v>
      </c>
      <c r="AD4614">
        <v>-1.1101039748349999</v>
      </c>
      <c r="AE4614">
        <v>-0.32200000000000201</v>
      </c>
      <c r="AF4614">
        <v>0.90726301898488004</v>
      </c>
      <c r="AG4614">
        <v>-1.1101039748349999</v>
      </c>
      <c r="AH4614">
        <v>71.745419297316602</v>
      </c>
      <c r="AI4614">
        <v>90.886385701765306</v>
      </c>
      <c r="AJ4614">
        <v>89.275499790461893</v>
      </c>
      <c r="AK4614">
        <v>71.759742524401105</v>
      </c>
      <c r="AL4614">
        <v>89.831359028732905</v>
      </c>
      <c r="AM4614">
        <v>88.250980873653205</v>
      </c>
      <c r="AN4614">
        <v>1.00000001611863</v>
      </c>
    </row>
    <row r="4615" spans="1:40" x14ac:dyDescent="0.25">
      <c r="A4615" t="str">
        <f>"20190312154015208"</f>
        <v>20190312154015208</v>
      </c>
      <c r="B4615" t="str">
        <f>"1552376415200668"</f>
        <v>1552376415200668</v>
      </c>
      <c r="C4615" t="s">
        <v>40</v>
      </c>
      <c r="D4615">
        <v>4.3144</v>
      </c>
      <c r="E4615">
        <v>0.4931393</v>
      </c>
      <c r="F4615" t="s">
        <v>61</v>
      </c>
      <c r="G4615">
        <v>-265.33240000000001</v>
      </c>
      <c r="H4615" s="1">
        <v>1.3077979999999999E-6</v>
      </c>
      <c r="I4615">
        <v>214.45750000000001</v>
      </c>
      <c r="J4615">
        <v>-329.99799999999999</v>
      </c>
      <c r="K4615">
        <v>1.1101129999999999</v>
      </c>
      <c r="L4615">
        <v>214.72190000000001</v>
      </c>
      <c r="M4615">
        <v>0.99986339999999996</v>
      </c>
      <c r="N4615">
        <v>0</v>
      </c>
      <c r="O4615">
        <v>8.1262790000000001E-3</v>
      </c>
      <c r="P4615">
        <v>0.99969479999999999</v>
      </c>
      <c r="Q4615">
        <v>-1.158413E-2</v>
      </c>
      <c r="R4615">
        <v>-2.1824179999999999E-2</v>
      </c>
      <c r="S4615">
        <v>3.000092</v>
      </c>
      <c r="T4615">
        <v>-5.1245209999999999E-2</v>
      </c>
      <c r="U4615">
        <v>-1.208496E-2</v>
      </c>
      <c r="V4615">
        <v>2.9948349999999999E-2</v>
      </c>
      <c r="W4615">
        <v>2.8064850000000001E-3</v>
      </c>
      <c r="X4615">
        <v>0.99954750000000003</v>
      </c>
      <c r="Y4615">
        <v>1.2152130000000001E-2</v>
      </c>
      <c r="Z4615">
        <v>-2.4258839999999999E-4</v>
      </c>
      <c r="AA4615">
        <v>0.99992610000000004</v>
      </c>
      <c r="AB4615">
        <v>32</v>
      </c>
      <c r="AC4615">
        <v>64.665599999999998</v>
      </c>
      <c r="AD4615">
        <v>-1.110111692202</v>
      </c>
      <c r="AE4615">
        <v>-0.26439999999999397</v>
      </c>
      <c r="AF4615">
        <v>0.78970368484168496</v>
      </c>
      <c r="AG4615">
        <v>-1.110111692202</v>
      </c>
      <c r="AH4615">
        <v>64.642265523116095</v>
      </c>
      <c r="AI4615">
        <v>90.983779239028905</v>
      </c>
      <c r="AJ4615">
        <v>89.300079644188401</v>
      </c>
      <c r="AK4615">
        <v>64.656619706260997</v>
      </c>
      <c r="AL4615">
        <v>89.839200041922894</v>
      </c>
      <c r="AM4615">
        <v>88.283822562724595</v>
      </c>
      <c r="AN4615">
        <v>0.999999992391013</v>
      </c>
    </row>
    <row r="4616" spans="1:40" x14ac:dyDescent="0.25">
      <c r="A4616" t="str">
        <f>"20190312154015222"</f>
        <v>20190312154015222</v>
      </c>
      <c r="B4616" t="str">
        <f>"1552376415210425"</f>
        <v>1552376415210425</v>
      </c>
      <c r="C4616" t="s">
        <v>40</v>
      </c>
      <c r="D4616">
        <v>4.3131899999999996</v>
      </c>
      <c r="E4616">
        <v>0.49310510000000002</v>
      </c>
      <c r="F4616" t="s">
        <v>61</v>
      </c>
      <c r="G4616">
        <v>-267.4812</v>
      </c>
      <c r="H4616" s="1">
        <v>2.4488160000000002E-6</v>
      </c>
      <c r="I4616">
        <v>214.51329999999999</v>
      </c>
      <c r="J4616">
        <v>-329.80200000000002</v>
      </c>
      <c r="K4616">
        <v>1.110115</v>
      </c>
      <c r="L4616">
        <v>214.7234</v>
      </c>
      <c r="M4616">
        <v>0.99986359999999996</v>
      </c>
      <c r="N4616">
        <v>0</v>
      </c>
      <c r="O4616">
        <v>8.1076410000000005E-3</v>
      </c>
      <c r="P4616">
        <v>0.99970099999999995</v>
      </c>
      <c r="Q4616">
        <v>-1.1523240000000001E-2</v>
      </c>
      <c r="R4616">
        <v>-2.1576089999999999E-2</v>
      </c>
      <c r="S4616">
        <v>3.0000610000000001</v>
      </c>
      <c r="T4616">
        <v>-5.3272010000000002E-2</v>
      </c>
      <c r="U4616">
        <v>-1.0009769999999999E-2</v>
      </c>
      <c r="V4616">
        <v>2.9681510000000001E-2</v>
      </c>
      <c r="W4616">
        <v>2.8656129999999999E-3</v>
      </c>
      <c r="X4616">
        <v>0.99955530000000004</v>
      </c>
      <c r="Y4616">
        <v>1.1441750000000001E-2</v>
      </c>
      <c r="Z4616">
        <v>-2.4554680000000003E-4</v>
      </c>
      <c r="AA4616">
        <v>0.99993449999999995</v>
      </c>
      <c r="AB4616">
        <v>32</v>
      </c>
      <c r="AC4616">
        <v>62.320799999999899</v>
      </c>
      <c r="AD4616">
        <v>-1.110112551184</v>
      </c>
      <c r="AE4616">
        <v>-0.210100000000011</v>
      </c>
      <c r="AF4616">
        <v>0.71519315529608996</v>
      </c>
      <c r="AG4616">
        <v>-1.110112551184</v>
      </c>
      <c r="AH4616">
        <v>62.297281049872602</v>
      </c>
      <c r="AI4616">
        <v>91.020812499730894</v>
      </c>
      <c r="AJ4616">
        <v>89.342254613120105</v>
      </c>
      <c r="AK4616">
        <v>62.3112756837196</v>
      </c>
      <c r="AL4616">
        <v>89.835812244796202</v>
      </c>
      <c r="AM4616">
        <v>88.299117957798202</v>
      </c>
      <c r="AN4616">
        <v>1.00000000076591</v>
      </c>
    </row>
    <row r="4617" spans="1:40" x14ac:dyDescent="0.25">
      <c r="A4617" t="str">
        <f>"20190312154015241"</f>
        <v>20190312154015241</v>
      </c>
      <c r="B4617" t="str">
        <f>"1552376415230920"</f>
        <v>1552376415230920</v>
      </c>
      <c r="C4617" t="s">
        <v>40</v>
      </c>
      <c r="D4617">
        <v>4.2618239999999998</v>
      </c>
      <c r="E4617">
        <v>0.49305959999999899</v>
      </c>
      <c r="F4617" t="s">
        <v>61</v>
      </c>
      <c r="G4617">
        <v>-267.77010000000001</v>
      </c>
      <c r="H4617" s="1">
        <v>2.6015629999999998E-6</v>
      </c>
      <c r="I4617">
        <v>214.5367</v>
      </c>
      <c r="J4617">
        <v>-329.52980000000002</v>
      </c>
      <c r="K4617">
        <v>1.1101099999999999</v>
      </c>
      <c r="L4617">
        <v>214.72559999999999</v>
      </c>
      <c r="M4617">
        <v>0.99986390000000003</v>
      </c>
      <c r="N4617">
        <v>0</v>
      </c>
      <c r="O4617">
        <v>8.0813199999999995E-3</v>
      </c>
      <c r="P4617">
        <v>0.99971849999999995</v>
      </c>
      <c r="Q4617">
        <v>-1.0624E-2</v>
      </c>
      <c r="R4617">
        <v>-2.1220579999999999E-2</v>
      </c>
      <c r="S4617">
        <v>3.0001220000000002</v>
      </c>
      <c r="T4617">
        <v>-5.3689720000000003E-2</v>
      </c>
      <c r="U4617">
        <v>-9.0332030000000001E-3</v>
      </c>
      <c r="V4617">
        <v>2.930027E-2</v>
      </c>
      <c r="W4617">
        <v>3.762062E-3</v>
      </c>
      <c r="X4617">
        <v>0.9995636</v>
      </c>
      <c r="Y4617">
        <v>1.108988E-2</v>
      </c>
      <c r="Z4617">
        <v>-2.4384760000000001E-4</v>
      </c>
      <c r="AA4617">
        <v>0.99993849999999995</v>
      </c>
      <c r="AB4617">
        <v>32</v>
      </c>
      <c r="AC4617">
        <v>61.759700000000002</v>
      </c>
      <c r="AD4617">
        <v>-1.110107398437</v>
      </c>
      <c r="AE4617">
        <v>-0.18889999999998899</v>
      </c>
      <c r="AF4617">
        <v>0.68782313774074</v>
      </c>
      <c r="AG4617">
        <v>-1.110107398437</v>
      </c>
      <c r="AH4617">
        <v>61.736210150053402</v>
      </c>
      <c r="AI4617">
        <v>91.030087023973095</v>
      </c>
      <c r="AJ4617">
        <v>89.3616755506484</v>
      </c>
      <c r="AK4617">
        <v>61.750020913327901</v>
      </c>
      <c r="AL4617">
        <v>89.784449222000703</v>
      </c>
      <c r="AM4617">
        <v>88.320966046478304</v>
      </c>
      <c r="AN4617">
        <v>1.0000000246887599</v>
      </c>
    </row>
    <row r="4618" spans="1:40" x14ac:dyDescent="0.25">
      <c r="A4618" t="str">
        <f>"20190312154015256"</f>
        <v>20190312154015256</v>
      </c>
      <c r="B4618" t="str">
        <f>"1552376415250441"</f>
        <v>1552376415250441</v>
      </c>
      <c r="C4618" t="s">
        <v>40</v>
      </c>
      <c r="D4618">
        <v>4.2439589999999896</v>
      </c>
      <c r="E4618">
        <v>0.49300909999999898</v>
      </c>
      <c r="F4618" t="s">
        <v>61</v>
      </c>
      <c r="G4618">
        <v>-265.59870000000001</v>
      </c>
      <c r="H4618" s="1">
        <v>1.444827E-6</v>
      </c>
      <c r="I4618">
        <v>214.56469999999999</v>
      </c>
      <c r="J4618">
        <v>-329.32850000000002</v>
      </c>
      <c r="K4618">
        <v>1.1101110000000001</v>
      </c>
      <c r="L4618">
        <v>214.72720000000001</v>
      </c>
      <c r="M4618">
        <v>0.99986399999999998</v>
      </c>
      <c r="N4618">
        <v>0</v>
      </c>
      <c r="O4618">
        <v>8.0616669999999998E-3</v>
      </c>
      <c r="P4618">
        <v>0.99972300000000003</v>
      </c>
      <c r="Q4618">
        <v>-1.053816E-2</v>
      </c>
      <c r="R4618">
        <v>-2.1058480000000001E-2</v>
      </c>
      <c r="S4618">
        <v>3.0001220000000002</v>
      </c>
      <c r="T4618">
        <v>-5.2094580000000001E-2</v>
      </c>
      <c r="U4618">
        <v>-7.55310099999999E-3</v>
      </c>
      <c r="V4618">
        <v>2.9118379999999999E-2</v>
      </c>
      <c r="W4618">
        <v>3.8455080000000001E-3</v>
      </c>
      <c r="X4618">
        <v>0.99956860000000003</v>
      </c>
      <c r="Y4618">
        <v>1.057717E-2</v>
      </c>
      <c r="Z4618">
        <v>-2.3181180000000001E-4</v>
      </c>
      <c r="AA4618">
        <v>0.99994400000000006</v>
      </c>
      <c r="AB4618">
        <v>32</v>
      </c>
      <c r="AC4618">
        <v>63.729799999999997</v>
      </c>
      <c r="AD4618">
        <v>-1.110109555173</v>
      </c>
      <c r="AE4618">
        <v>-0.16250000000002199</v>
      </c>
      <c r="AF4618">
        <v>0.67611117946703203</v>
      </c>
      <c r="AG4618">
        <v>-1.110109555173</v>
      </c>
      <c r="AH4618">
        <v>63.707088481674802</v>
      </c>
      <c r="AI4618">
        <v>90.998233899053503</v>
      </c>
      <c r="AJ4618">
        <v>89.391953647564193</v>
      </c>
      <c r="AK4618">
        <v>63.720346769014299</v>
      </c>
      <c r="AL4618">
        <v>89.779668084430696</v>
      </c>
      <c r="AM4618">
        <v>88.331391572148505</v>
      </c>
      <c r="AN4618">
        <v>1.0000000270457801</v>
      </c>
    </row>
    <row r="4619" spans="1:40" x14ac:dyDescent="0.25">
      <c r="A4619" t="str">
        <f>"20190312154015274"</f>
        <v>20190312154015274</v>
      </c>
      <c r="B4619" t="str">
        <f>"1552376415270937"</f>
        <v>1552376415270937</v>
      </c>
      <c r="C4619" t="s">
        <v>40</v>
      </c>
      <c r="D4619">
        <v>4.2192089999999904</v>
      </c>
      <c r="E4619">
        <v>0.49302099999999999</v>
      </c>
      <c r="F4619" t="s">
        <v>61</v>
      </c>
      <c r="G4619">
        <v>-265.72539999999998</v>
      </c>
      <c r="H4619" s="1">
        <v>1.511292E-6</v>
      </c>
      <c r="I4619">
        <v>214.58619999999999</v>
      </c>
      <c r="J4619">
        <v>-329.06220000000002</v>
      </c>
      <c r="K4619">
        <v>1.110112</v>
      </c>
      <c r="L4619">
        <v>214.7294</v>
      </c>
      <c r="M4619">
        <v>0.99986419999999998</v>
      </c>
      <c r="N4619">
        <v>0</v>
      </c>
      <c r="O4619">
        <v>8.0356990000000003E-3</v>
      </c>
      <c r="P4619">
        <v>0.99972499999999997</v>
      </c>
      <c r="Q4619">
        <v>-1.030235E-2</v>
      </c>
      <c r="R4619">
        <v>-2.1068590000000002E-2</v>
      </c>
      <c r="S4619">
        <v>3.0001530000000001</v>
      </c>
      <c r="T4619">
        <v>-5.2363750000000001E-2</v>
      </c>
      <c r="U4619">
        <v>-6.6528319999999896E-3</v>
      </c>
      <c r="V4619">
        <v>2.910275E-2</v>
      </c>
      <c r="W4619">
        <v>4.078201E-3</v>
      </c>
      <c r="X4619">
        <v>0.99956809999999996</v>
      </c>
      <c r="Y4619">
        <v>1.0251150000000001E-2</v>
      </c>
      <c r="Z4619">
        <v>-2.2970879999999999E-4</v>
      </c>
      <c r="AA4619">
        <v>0.99994740000000004</v>
      </c>
      <c r="AB4619">
        <v>32</v>
      </c>
      <c r="AC4619">
        <v>63.336799999999997</v>
      </c>
      <c r="AD4619">
        <v>-1.110110488708</v>
      </c>
      <c r="AE4619">
        <v>-0.14320000000000699</v>
      </c>
      <c r="AF4619">
        <v>0.65200322949809797</v>
      </c>
      <c r="AG4619">
        <v>-1.110110488708</v>
      </c>
      <c r="AH4619">
        <v>63.314153843594497</v>
      </c>
      <c r="AI4619">
        <v>91.004431934169205</v>
      </c>
      <c r="AJ4619">
        <v>89.409994281480607</v>
      </c>
      <c r="AK4619">
        <v>63.327241614006603</v>
      </c>
      <c r="AL4619">
        <v>89.766335645619293</v>
      </c>
      <c r="AM4619">
        <v>88.332285898699993</v>
      </c>
      <c r="AN4619">
        <v>0.99999999415928398</v>
      </c>
    </row>
    <row r="4620" spans="1:40" x14ac:dyDescent="0.25">
      <c r="A4620" t="str">
        <f>"20190312154015299"</f>
        <v>20190312154015299</v>
      </c>
      <c r="B4620" t="str">
        <f>"1552376415290456"</f>
        <v>1552376415290456</v>
      </c>
      <c r="C4620" t="s">
        <v>40</v>
      </c>
      <c r="D4620">
        <v>4.1873040000000001</v>
      </c>
      <c r="E4620">
        <v>0.4930446</v>
      </c>
      <c r="F4620" t="s">
        <v>61</v>
      </c>
      <c r="G4620">
        <v>-264.98309999999998</v>
      </c>
      <c r="H4620" s="1">
        <v>1.1164959999999999E-6</v>
      </c>
      <c r="I4620">
        <v>214.5814</v>
      </c>
      <c r="J4620">
        <v>-328.72989999999999</v>
      </c>
      <c r="K4620">
        <v>1.1101110000000001</v>
      </c>
      <c r="L4620">
        <v>214.732</v>
      </c>
      <c r="M4620">
        <v>0.99986459999999999</v>
      </c>
      <c r="N4620">
        <v>0</v>
      </c>
      <c r="O4620">
        <v>8.0014370000000001E-3</v>
      </c>
      <c r="P4620">
        <v>0.99971509999999997</v>
      </c>
      <c r="Q4620">
        <v>-1.068533E-2</v>
      </c>
      <c r="R4620">
        <v>-2.134496E-2</v>
      </c>
      <c r="S4620">
        <v>3.0001220000000002</v>
      </c>
      <c r="T4620">
        <v>-5.1974300000000001E-2</v>
      </c>
      <c r="U4620">
        <v>-6.9274899999999997E-3</v>
      </c>
      <c r="V4620">
        <v>2.934463E-2</v>
      </c>
      <c r="W4620">
        <v>3.6910139999999998E-3</v>
      </c>
      <c r="X4620">
        <v>0.99956259999999997</v>
      </c>
      <c r="Y4620">
        <v>1.030848E-2</v>
      </c>
      <c r="Z4620">
        <v>-2.2790589999999999E-4</v>
      </c>
      <c r="AA4620">
        <v>0.99994680000000002</v>
      </c>
      <c r="AB4620">
        <v>32</v>
      </c>
      <c r="AC4620">
        <v>63.7468</v>
      </c>
      <c r="AD4620">
        <v>-1.110109883504</v>
      </c>
      <c r="AE4620">
        <v>-0.15059999999999699</v>
      </c>
      <c r="AF4620">
        <v>0.66051361435442202</v>
      </c>
      <c r="AG4620">
        <v>-1.110109883504</v>
      </c>
      <c r="AH4620">
        <v>63.724228870664902</v>
      </c>
      <c r="AI4620">
        <v>90.997968337135006</v>
      </c>
      <c r="AJ4620">
        <v>89.406139738919293</v>
      </c>
      <c r="AK4620">
        <v>63.737320051513699</v>
      </c>
      <c r="AL4620">
        <v>89.788520008411297</v>
      </c>
      <c r="AM4620">
        <v>88.318423800999</v>
      </c>
      <c r="AN4620">
        <v>1.0000000611064701</v>
      </c>
    </row>
    <row r="4621" spans="1:40" x14ac:dyDescent="0.25">
      <c r="A4621" t="str">
        <f>"20190312154015320"</f>
        <v>20190312154015320</v>
      </c>
      <c r="B4621" t="str">
        <f>"1552376415310953"</f>
        <v>1552376415310953</v>
      </c>
      <c r="C4621" t="s">
        <v>40</v>
      </c>
      <c r="D4621">
        <v>4.1639540000000004</v>
      </c>
      <c r="E4621">
        <v>0.49304740000000002</v>
      </c>
      <c r="F4621" t="s">
        <v>61</v>
      </c>
      <c r="G4621">
        <v>-266.47989999999999</v>
      </c>
      <c r="H4621" s="1">
        <v>1.9134059999999999E-6</v>
      </c>
      <c r="I4621">
        <v>214.57210000000001</v>
      </c>
      <c r="J4621">
        <v>-328.42309999999998</v>
      </c>
      <c r="K4621">
        <v>1.110112</v>
      </c>
      <c r="L4621">
        <v>214.73439999999999</v>
      </c>
      <c r="M4621">
        <v>0.99986489999999995</v>
      </c>
      <c r="N4621">
        <v>0</v>
      </c>
      <c r="O4621">
        <v>7.967699E-3</v>
      </c>
      <c r="P4621">
        <v>0.99969850000000005</v>
      </c>
      <c r="Q4621">
        <v>-1.1193639999999999E-2</v>
      </c>
      <c r="R4621">
        <v>-2.1857209999999998E-2</v>
      </c>
      <c r="S4621">
        <v>3.0001220000000002</v>
      </c>
      <c r="T4621">
        <v>-5.3501369999999999E-2</v>
      </c>
      <c r="U4621">
        <v>-7.7056879999999996E-3</v>
      </c>
      <c r="V4621">
        <v>2.982301E-2</v>
      </c>
      <c r="W4621">
        <v>3.1793699999999999E-3</v>
      </c>
      <c r="X4621">
        <v>0.99955020000000006</v>
      </c>
      <c r="Y4621">
        <v>1.053393E-2</v>
      </c>
      <c r="Z4621">
        <v>-2.360094E-4</v>
      </c>
      <c r="AA4621">
        <v>0.99994450000000001</v>
      </c>
      <c r="AB4621">
        <v>32</v>
      </c>
      <c r="AC4621">
        <v>61.943199999999898</v>
      </c>
      <c r="AD4621">
        <v>-1.1101100865939999</v>
      </c>
      <c r="AE4621">
        <v>-0.16229999999998701</v>
      </c>
      <c r="AF4621">
        <v>0.65568004686230497</v>
      </c>
      <c r="AG4621">
        <v>-1.1101100865939999</v>
      </c>
      <c r="AH4621">
        <v>61.920052885023303</v>
      </c>
      <c r="AI4621">
        <v>91.027037962967796</v>
      </c>
      <c r="AJ4621">
        <v>89.393309702001005</v>
      </c>
      <c r="AK4621">
        <v>61.933474067036599</v>
      </c>
      <c r="AL4621">
        <v>89.817835221760006</v>
      </c>
      <c r="AM4621">
        <v>88.291005463313695</v>
      </c>
      <c r="AN4621">
        <v>1.0000000613195399</v>
      </c>
    </row>
    <row r="4622" spans="1:40" x14ac:dyDescent="0.25">
      <c r="A4622" t="str">
        <f>"20190312154015342"</f>
        <v>20190312154015342</v>
      </c>
      <c r="B4622" t="str">
        <f>"1552376415330473"</f>
        <v>1552376415330473</v>
      </c>
      <c r="C4622" t="s">
        <v>40</v>
      </c>
      <c r="D4622">
        <v>4.1384429999999996</v>
      </c>
      <c r="E4622">
        <v>0.4930755</v>
      </c>
      <c r="F4622" t="s">
        <v>61</v>
      </c>
      <c r="G4622">
        <v>-268.26429999999999</v>
      </c>
      <c r="H4622" s="1">
        <v>2.8642189999999999E-6</v>
      </c>
      <c r="I4622">
        <v>214.54470000000001</v>
      </c>
      <c r="J4622">
        <v>-328.12220000000002</v>
      </c>
      <c r="K4622">
        <v>1.1101080000000001</v>
      </c>
      <c r="L4622">
        <v>214.73679999999999</v>
      </c>
      <c r="M4622">
        <v>0.99986520000000001</v>
      </c>
      <c r="N4622">
        <v>0</v>
      </c>
      <c r="O4622">
        <v>7.9325880000000008E-3</v>
      </c>
      <c r="P4622">
        <v>0.99970749999999997</v>
      </c>
      <c r="Q4622">
        <v>-1.082491E-2</v>
      </c>
      <c r="R4622">
        <v>-2.163292E-2</v>
      </c>
      <c r="S4622">
        <v>3.0000610000000001</v>
      </c>
      <c r="T4622">
        <v>-5.5360079999999999E-2</v>
      </c>
      <c r="U4622">
        <v>-9.4604489999999992E-3</v>
      </c>
      <c r="V4622">
        <v>2.9563800000000001E-2</v>
      </c>
      <c r="W4622">
        <v>3.5446259999999999E-3</v>
      </c>
      <c r="X4622">
        <v>0.99955660000000002</v>
      </c>
      <c r="Y4622">
        <v>1.108344E-2</v>
      </c>
      <c r="Z4622">
        <v>-2.486338E-4</v>
      </c>
      <c r="AA4622">
        <v>0.99993849999999995</v>
      </c>
      <c r="AB4622">
        <v>31</v>
      </c>
      <c r="AC4622">
        <v>59.857900000000001</v>
      </c>
      <c r="AD4622">
        <v>-1.1101051357809999</v>
      </c>
      <c r="AE4622">
        <v>-0.19209999999998201</v>
      </c>
      <c r="AF4622">
        <v>0.66674176630739801</v>
      </c>
      <c r="AG4622">
        <v>-1.1101051357809999</v>
      </c>
      <c r="AH4622">
        <v>59.8339130792058</v>
      </c>
      <c r="AI4622">
        <v>91.062826952637593</v>
      </c>
      <c r="AJ4622">
        <v>89.361567609189194</v>
      </c>
      <c r="AK4622">
        <v>59.847924210998201</v>
      </c>
      <c r="AL4622">
        <v>89.796907462850399</v>
      </c>
      <c r="AM4622">
        <v>88.305861525766403</v>
      </c>
      <c r="AN4622">
        <v>0.99999998962373904</v>
      </c>
    </row>
    <row r="4623" spans="1:40" x14ac:dyDescent="0.25">
      <c r="A4623" t="str">
        <f>"20190312154015356"</f>
        <v>20190312154015356</v>
      </c>
      <c r="B4623" t="str">
        <f>"1552376415350969"</f>
        <v>1552376415350969</v>
      </c>
      <c r="C4623" t="s">
        <v>40</v>
      </c>
      <c r="D4623">
        <v>4.1093339999999996</v>
      </c>
      <c r="E4623">
        <v>0.49309130000000001</v>
      </c>
      <c r="F4623" t="s">
        <v>61</v>
      </c>
      <c r="G4623">
        <v>-266.7011</v>
      </c>
      <c r="H4623" s="1">
        <v>2.0318120000000001E-6</v>
      </c>
      <c r="I4623">
        <v>214.55619999999999</v>
      </c>
      <c r="J4623">
        <v>-327.91390000000001</v>
      </c>
      <c r="K4623">
        <v>1.110106</v>
      </c>
      <c r="L4623">
        <v>214.73840000000001</v>
      </c>
      <c r="M4623">
        <v>0.99986540000000002</v>
      </c>
      <c r="N4623">
        <v>0</v>
      </c>
      <c r="O4623">
        <v>7.9067119999999998E-3</v>
      </c>
      <c r="P4623">
        <v>0.99970219999999999</v>
      </c>
      <c r="Q4623">
        <v>-1.064183E-2</v>
      </c>
      <c r="R4623">
        <v>-2.196524E-2</v>
      </c>
      <c r="S4623">
        <v>3.0000610000000001</v>
      </c>
      <c r="T4623">
        <v>-5.4222109999999997E-2</v>
      </c>
      <c r="U4623">
        <v>-8.8195800000000005E-3</v>
      </c>
      <c r="V4623">
        <v>2.9870130000000002E-2</v>
      </c>
      <c r="W4623">
        <v>3.725346E-3</v>
      </c>
      <c r="X4623">
        <v>0.99954679999999996</v>
      </c>
      <c r="Y4623">
        <v>1.084413E-2</v>
      </c>
      <c r="Z4623">
        <v>-2.408938E-4</v>
      </c>
      <c r="AA4623">
        <v>0.99994119999999997</v>
      </c>
      <c r="AB4623">
        <v>31</v>
      </c>
      <c r="AC4623">
        <v>61.212800000000001</v>
      </c>
      <c r="AD4623">
        <v>-1.1101039681880001</v>
      </c>
      <c r="AE4623">
        <v>-0.18220000000002301</v>
      </c>
      <c r="AF4623">
        <v>0.66601726335830602</v>
      </c>
      <c r="AG4623">
        <v>-1.1101039681880001</v>
      </c>
      <c r="AH4623">
        <v>61.189321416262501</v>
      </c>
      <c r="AI4623">
        <v>91.039291298194399</v>
      </c>
      <c r="AJ4623">
        <v>89.376386753106402</v>
      </c>
      <c r="AK4623">
        <v>61.203014347317598</v>
      </c>
      <c r="AL4623">
        <v>89.786552893470798</v>
      </c>
      <c r="AM4623">
        <v>88.288301058457904</v>
      </c>
      <c r="AN4623">
        <v>0.99999995412963705</v>
      </c>
    </row>
    <row r="4624" spans="1:40" x14ac:dyDescent="0.25">
      <c r="A4624" t="str">
        <f>"20190312154015376"</f>
        <v>20190312154015376</v>
      </c>
      <c r="B4624" t="str">
        <f>"1552376415370489"</f>
        <v>1552376415370489</v>
      </c>
      <c r="C4624" t="s">
        <v>40</v>
      </c>
      <c r="D4624">
        <v>4.0719820000000002</v>
      </c>
      <c r="E4624">
        <v>0.49315989999999998</v>
      </c>
      <c r="F4624" t="s">
        <v>61</v>
      </c>
      <c r="G4624">
        <v>-265.9427</v>
      </c>
      <c r="H4624" s="1">
        <v>1.6293250000000001E-6</v>
      </c>
      <c r="I4624">
        <v>214.53100000000001</v>
      </c>
      <c r="J4624">
        <v>-327.64710000000002</v>
      </c>
      <c r="K4624">
        <v>1.110107</v>
      </c>
      <c r="L4624">
        <v>214.7405</v>
      </c>
      <c r="M4624">
        <v>0.99986580000000003</v>
      </c>
      <c r="N4624">
        <v>0</v>
      </c>
      <c r="O4624">
        <v>7.870396E-3</v>
      </c>
      <c r="P4624">
        <v>0.99970210000000004</v>
      </c>
      <c r="Q4624">
        <v>-1.0623509999999999E-2</v>
      </c>
      <c r="R4624">
        <v>-2.197936E-2</v>
      </c>
      <c r="S4624">
        <v>3.000092</v>
      </c>
      <c r="T4624">
        <v>-5.3741339999999999E-2</v>
      </c>
      <c r="U4624">
        <v>-1.004028E-2</v>
      </c>
      <c r="V4624">
        <v>2.9848030000000001E-2</v>
      </c>
      <c r="W4624">
        <v>3.7406050000000001E-3</v>
      </c>
      <c r="X4624">
        <v>0.99954739999999997</v>
      </c>
      <c r="Y4624">
        <v>1.121464E-2</v>
      </c>
      <c r="Z4624">
        <v>-2.414234E-4</v>
      </c>
      <c r="AA4624">
        <v>0.99993710000000002</v>
      </c>
      <c r="AB4624">
        <v>31</v>
      </c>
      <c r="AC4624">
        <v>61.7044</v>
      </c>
      <c r="AD4624">
        <v>-1.1101053706749999</v>
      </c>
      <c r="AE4624">
        <v>-0.209500000000019</v>
      </c>
      <c r="AF4624">
        <v>0.69495677720453197</v>
      </c>
      <c r="AG4624">
        <v>-1.1101053706749999</v>
      </c>
      <c r="AH4624">
        <v>61.680875746709702</v>
      </c>
      <c r="AI4624">
        <v>91.031007590016202</v>
      </c>
      <c r="AJ4624">
        <v>89.354477299068606</v>
      </c>
      <c r="AK4624">
        <v>61.694778804508402</v>
      </c>
      <c r="AL4624">
        <v>89.785678610354495</v>
      </c>
      <c r="AM4624">
        <v>88.289567765958296</v>
      </c>
      <c r="AN4624">
        <v>0.99999995093370198</v>
      </c>
    </row>
    <row r="4625" spans="1:40" x14ac:dyDescent="0.25">
      <c r="A4625" t="str">
        <f>"20190312154015398"</f>
        <v>20190312154015398</v>
      </c>
      <c r="B4625" t="str">
        <f>"1552376415390984"</f>
        <v>1552376415390984</v>
      </c>
      <c r="C4625" t="s">
        <v>40</v>
      </c>
      <c r="D4625">
        <v>4.0581909999999999</v>
      </c>
      <c r="E4625">
        <v>0.49327109999999902</v>
      </c>
      <c r="F4625" t="s">
        <v>61</v>
      </c>
      <c r="G4625">
        <v>-264.12569999999999</v>
      </c>
      <c r="H4625" s="1">
        <v>6.6308949999999998E-7</v>
      </c>
      <c r="I4625">
        <v>214.51560000000001</v>
      </c>
      <c r="J4625">
        <v>-327.32580000000002</v>
      </c>
      <c r="K4625">
        <v>1.1101000000000001</v>
      </c>
      <c r="L4625">
        <v>214.74299999999999</v>
      </c>
      <c r="M4625">
        <v>0.99986620000000004</v>
      </c>
      <c r="N4625">
        <v>0</v>
      </c>
      <c r="O4625">
        <v>7.8196800000000007E-3</v>
      </c>
      <c r="P4625">
        <v>0.99969790000000003</v>
      </c>
      <c r="Q4625">
        <v>-1.091046E-2</v>
      </c>
      <c r="R4625">
        <v>-2.202486E-2</v>
      </c>
      <c r="S4625">
        <v>3.0000309999999999</v>
      </c>
      <c r="T4625">
        <v>-5.2428839999999997E-2</v>
      </c>
      <c r="U4625">
        <v>-1.062012E-2</v>
      </c>
      <c r="V4625">
        <v>2.9842799999999999E-2</v>
      </c>
      <c r="W4625">
        <v>3.4497360000000001E-3</v>
      </c>
      <c r="X4625">
        <v>0.99954869999999996</v>
      </c>
      <c r="Y4625">
        <v>1.135738E-2</v>
      </c>
      <c r="Z4625">
        <v>-2.3589370000000001E-4</v>
      </c>
      <c r="AA4625">
        <v>0.99993540000000003</v>
      </c>
      <c r="AB4625">
        <v>31</v>
      </c>
      <c r="AC4625">
        <v>63.200099999999999</v>
      </c>
      <c r="AD4625">
        <v>-1.1100993369104999</v>
      </c>
      <c r="AE4625">
        <v>-0.227399999999988</v>
      </c>
      <c r="AF4625">
        <v>0.72142604839200097</v>
      </c>
      <c r="AG4625">
        <v>-1.1100993369104999</v>
      </c>
      <c r="AH4625">
        <v>63.176897630910901</v>
      </c>
      <c r="AI4625">
        <v>91.006591322662004</v>
      </c>
      <c r="AJ4625">
        <v>89.345759718226702</v>
      </c>
      <c r="AK4625">
        <v>63.190768078475699</v>
      </c>
      <c r="AL4625">
        <v>89.802344304317302</v>
      </c>
      <c r="AM4625">
        <v>88.289869514383099</v>
      </c>
      <c r="AN4625">
        <v>1.0000000485309899</v>
      </c>
    </row>
    <row r="4626" spans="1:40" x14ac:dyDescent="0.25">
      <c r="A4626" t="str">
        <f>"20190312154015420"</f>
        <v>20190312154015420</v>
      </c>
      <c r="B4626" t="str">
        <f>"1552376415410505"</f>
        <v>1552376415410505</v>
      </c>
      <c r="C4626" t="s">
        <v>40</v>
      </c>
      <c r="D4626">
        <v>4.0088189999999999</v>
      </c>
      <c r="E4626">
        <v>0.52481089999999997</v>
      </c>
      <c r="F4626" t="s">
        <v>61</v>
      </c>
      <c r="G4626">
        <v>-263.82900000000001</v>
      </c>
      <c r="H4626" s="1">
        <v>5.0605620000000005E-7</v>
      </c>
      <c r="I4626">
        <v>214.49619999999999</v>
      </c>
      <c r="J4626">
        <v>-327.01870000000002</v>
      </c>
      <c r="K4626">
        <v>1.1100939999999999</v>
      </c>
      <c r="L4626">
        <v>214.74529999999999</v>
      </c>
      <c r="M4626">
        <v>0.9998667</v>
      </c>
      <c r="N4626">
        <v>0</v>
      </c>
      <c r="O4626">
        <v>7.7618460000000002E-3</v>
      </c>
      <c r="P4626">
        <v>0.99968270000000004</v>
      </c>
      <c r="Q4626">
        <v>-1.122892E-2</v>
      </c>
      <c r="R4626">
        <v>-2.255718E-2</v>
      </c>
      <c r="S4626">
        <v>3.0001220000000002</v>
      </c>
      <c r="T4626">
        <v>-5.2450419999999998E-2</v>
      </c>
      <c r="U4626">
        <v>-1.165771E-2</v>
      </c>
      <c r="V4626">
        <v>3.0316940000000001E-2</v>
      </c>
      <c r="W4626">
        <v>3.1269190000000001E-3</v>
      </c>
      <c r="X4626">
        <v>0.99953539999999996</v>
      </c>
      <c r="Y4626">
        <v>1.164522E-2</v>
      </c>
      <c r="Z4626">
        <v>-2.3748829999999999E-4</v>
      </c>
      <c r="AA4626">
        <v>0.99993220000000005</v>
      </c>
      <c r="AB4626">
        <v>31</v>
      </c>
      <c r="AC4626">
        <v>63.189700000000002</v>
      </c>
      <c r="AD4626">
        <v>-1.1100934939438001</v>
      </c>
      <c r="AE4626">
        <v>-0.24909999999999799</v>
      </c>
      <c r="AF4626">
        <v>0.73938363703211196</v>
      </c>
      <c r="AG4626">
        <v>-1.1100934939438001</v>
      </c>
      <c r="AH4626">
        <v>63.1663682197292</v>
      </c>
      <c r="AI4626">
        <v>91.006750451969694</v>
      </c>
      <c r="AJ4626">
        <v>89.329364211009505</v>
      </c>
      <c r="AK4626">
        <v>63.180448477344797</v>
      </c>
      <c r="AL4626">
        <v>89.820840438427894</v>
      </c>
      <c r="AM4626">
        <v>88.2626925168817</v>
      </c>
      <c r="AN4626">
        <v>0.999999955163277</v>
      </c>
    </row>
    <row r="4627" spans="1:40" x14ac:dyDescent="0.25">
      <c r="A4627" t="str">
        <f>"20190312154015442"</f>
        <v>20190312154015442</v>
      </c>
      <c r="B4627" t="str">
        <f>"1552376415431000"</f>
        <v>1552376415431000</v>
      </c>
      <c r="C4627" t="s">
        <v>40</v>
      </c>
      <c r="D4627">
        <v>3.9566279999999998</v>
      </c>
      <c r="E4627">
        <v>0.52920749999999905</v>
      </c>
      <c r="F4627" t="s">
        <v>41</v>
      </c>
      <c r="G4627">
        <v>-326.0702</v>
      </c>
      <c r="H4627">
        <v>1.0069490000000001</v>
      </c>
      <c r="I4627">
        <v>214.66399999999999</v>
      </c>
      <c r="J4627">
        <v>-326.71510000000001</v>
      </c>
      <c r="K4627">
        <v>1.110087</v>
      </c>
      <c r="L4627">
        <v>214.74760000000001</v>
      </c>
      <c r="M4627">
        <v>0.99986730000000001</v>
      </c>
      <c r="N4627">
        <v>0</v>
      </c>
      <c r="O4627">
        <v>7.6981030000000004E-3</v>
      </c>
      <c r="P4627">
        <v>0.99967050000000002</v>
      </c>
      <c r="Q4627">
        <v>-1.143927E-2</v>
      </c>
      <c r="R4627">
        <v>-2.2982969999999998E-2</v>
      </c>
      <c r="S4627">
        <v>2.9915159999999998</v>
      </c>
      <c r="T4627">
        <v>-0.3254533</v>
      </c>
      <c r="U4627">
        <v>-0.25503540000000002</v>
      </c>
      <c r="V4627">
        <v>3.0679020000000001E-2</v>
      </c>
      <c r="W4627">
        <v>2.9128190000000001E-3</v>
      </c>
      <c r="X4627">
        <v>0.99952510000000006</v>
      </c>
      <c r="Y4627">
        <v>9.2029009999999994E-2</v>
      </c>
      <c r="Z4627">
        <v>-5.8160099999999999E-3</v>
      </c>
      <c r="AA4627">
        <v>0.99573929999999999</v>
      </c>
      <c r="AB4627">
        <v>31</v>
      </c>
      <c r="AC4627">
        <v>0.64490000000000602</v>
      </c>
      <c r="AD4627">
        <v>-0.10313799999999999</v>
      </c>
      <c r="AE4627">
        <v>-8.3599999999989905E-2</v>
      </c>
      <c r="AF4627">
        <v>8.6389459680092401E-2</v>
      </c>
      <c r="AG4627">
        <v>-0.10313799999999999</v>
      </c>
      <c r="AH4627">
        <v>0.62842945000875094</v>
      </c>
      <c r="AI4627">
        <v>99.234974054387393</v>
      </c>
      <c r="AJ4627">
        <v>82.172676407141907</v>
      </c>
      <c r="AK4627">
        <v>0.64266955694673999</v>
      </c>
      <c r="AL4627">
        <v>89.8331075381857</v>
      </c>
      <c r="AM4627">
        <v>88.2419384183044</v>
      </c>
      <c r="AN4627">
        <v>1.00000005615634</v>
      </c>
    </row>
    <row r="4628" spans="1:40" x14ac:dyDescent="0.25">
      <c r="A4628" t="str">
        <f>"20190312154015465"</f>
        <v>20190312154015465</v>
      </c>
      <c r="B4628" t="str">
        <f>"1552376415450521"</f>
        <v>1552376415450521</v>
      </c>
      <c r="C4628" t="s">
        <v>40</v>
      </c>
      <c r="D4628">
        <v>3.9558840000000002</v>
      </c>
      <c r="E4628">
        <v>0.53214510000000004</v>
      </c>
      <c r="F4628" t="s">
        <v>41</v>
      </c>
      <c r="G4628">
        <v>-325.80439999999999</v>
      </c>
      <c r="H4628">
        <v>0.97956920000000003</v>
      </c>
      <c r="I4628">
        <v>214.65960000000001</v>
      </c>
      <c r="J4628">
        <v>-326.40379999999999</v>
      </c>
      <c r="K4628">
        <v>1.11008</v>
      </c>
      <c r="L4628">
        <v>214.7499</v>
      </c>
      <c r="M4628">
        <v>0.99986779999999997</v>
      </c>
      <c r="N4628">
        <v>0</v>
      </c>
      <c r="O4628">
        <v>7.6261480000000001E-3</v>
      </c>
      <c r="P4628">
        <v>0.99965769999999998</v>
      </c>
      <c r="Q4628">
        <v>-1.130774E-2</v>
      </c>
      <c r="R4628">
        <v>-2.359296E-2</v>
      </c>
      <c r="S4628">
        <v>2.989471</v>
      </c>
      <c r="T4628">
        <v>-0.42858220000000002</v>
      </c>
      <c r="U4628">
        <v>-0.28781129999999999</v>
      </c>
      <c r="V4628">
        <v>3.1217169999999999E-2</v>
      </c>
      <c r="W4628">
        <v>3.0401339999999999E-3</v>
      </c>
      <c r="X4628">
        <v>0.99950799999999995</v>
      </c>
      <c r="Y4628">
        <v>0.102307</v>
      </c>
      <c r="Z4628">
        <v>-8.3651750000000007E-3</v>
      </c>
      <c r="AA4628">
        <v>0.99471770000000004</v>
      </c>
      <c r="AB4628">
        <v>31</v>
      </c>
      <c r="AC4628">
        <v>0.59940000000000204</v>
      </c>
      <c r="AD4628">
        <v>-0.13051080000000001</v>
      </c>
      <c r="AE4628">
        <v>-9.0299999999984906E-2</v>
      </c>
      <c r="AF4628">
        <v>9.0665977559117497E-2</v>
      </c>
      <c r="AG4628">
        <v>-0.13051080000000001</v>
      </c>
      <c r="AH4628">
        <v>0.57216991327099798</v>
      </c>
      <c r="AI4628">
        <v>102.696038760086</v>
      </c>
      <c r="AJ4628">
        <v>80.9957832780117</v>
      </c>
      <c r="AK4628">
        <v>0.59382808796480102</v>
      </c>
      <c r="AL4628">
        <v>89.825812883994203</v>
      </c>
      <c r="AM4628">
        <v>88.211089006234999</v>
      </c>
      <c r="AN4628">
        <v>0.999999998090773</v>
      </c>
    </row>
    <row r="4629" spans="1:40" x14ac:dyDescent="0.25">
      <c r="A4629" t="str">
        <f>"20190312154015488"</f>
        <v>20190312154015488</v>
      </c>
      <c r="B4629" t="str">
        <f>"1552376415480776"</f>
        <v>1552376415480776</v>
      </c>
      <c r="C4629" t="s">
        <v>40</v>
      </c>
      <c r="D4629">
        <v>3.9603199999999998</v>
      </c>
      <c r="E4629">
        <v>0.53473570000000004</v>
      </c>
      <c r="F4629" t="s">
        <v>41</v>
      </c>
      <c r="G4629">
        <v>-325.52949999999998</v>
      </c>
      <c r="H4629">
        <v>0.97140570000000004</v>
      </c>
      <c r="I4629">
        <v>214.6584</v>
      </c>
      <c r="J4629">
        <v>-326.07650000000001</v>
      </c>
      <c r="K4629">
        <v>1.1100810000000001</v>
      </c>
      <c r="L4629">
        <v>214.75229999999999</v>
      </c>
      <c r="M4629">
        <v>0.9998686</v>
      </c>
      <c r="N4629">
        <v>0</v>
      </c>
      <c r="O4629">
        <v>7.5427580000000001E-3</v>
      </c>
      <c r="P4629">
        <v>0.99965110000000001</v>
      </c>
      <c r="Q4629">
        <v>-1.132941E-2</v>
      </c>
      <c r="R4629">
        <v>-2.3863840000000001E-2</v>
      </c>
      <c r="S4629">
        <v>2.9883120000000001</v>
      </c>
      <c r="T4629">
        <v>-0.47406920000000002</v>
      </c>
      <c r="U4629">
        <v>-0.3112183</v>
      </c>
      <c r="V4629">
        <v>3.1404509999999997E-2</v>
      </c>
      <c r="W4629">
        <v>3.0148620000000001E-3</v>
      </c>
      <c r="X4629">
        <v>0.99950220000000001</v>
      </c>
      <c r="Y4629">
        <v>0.10963489999999999</v>
      </c>
      <c r="Z4629">
        <v>-9.8056270000000008E-3</v>
      </c>
      <c r="AA4629">
        <v>0.99392349999999996</v>
      </c>
      <c r="AB4629">
        <v>31</v>
      </c>
      <c r="AC4629">
        <v>0.54700000000002502</v>
      </c>
      <c r="AD4629">
        <v>-0.138675299999999</v>
      </c>
      <c r="AE4629">
        <v>-9.3899999999990699E-2</v>
      </c>
      <c r="AF4629">
        <v>9.2263408697200899E-2</v>
      </c>
      <c r="AG4629">
        <v>-0.138675299999999</v>
      </c>
      <c r="AH4629">
        <v>0.51417488729616401</v>
      </c>
      <c r="AI4629">
        <v>104.867097104019</v>
      </c>
      <c r="AJ4629">
        <v>79.827122363755194</v>
      </c>
      <c r="AK4629">
        <v>0.54048051781774697</v>
      </c>
      <c r="AL4629">
        <v>89.827260868213699</v>
      </c>
      <c r="AM4629">
        <v>88.200350023355398</v>
      </c>
      <c r="AN4629">
        <v>0.99999999022302899</v>
      </c>
    </row>
    <row r="4630" spans="1:40" x14ac:dyDescent="0.25">
      <c r="A4630" t="str">
        <f>"20190312154015511"</f>
        <v>20190312154015511</v>
      </c>
      <c r="B4630" t="str">
        <f>"1552376415500297"</f>
        <v>1552376415500297</v>
      </c>
      <c r="C4630" t="s">
        <v>40</v>
      </c>
      <c r="D4630">
        <v>3.976569</v>
      </c>
      <c r="E4630">
        <v>0.53559599999999996</v>
      </c>
      <c r="F4630" t="s">
        <v>41</v>
      </c>
      <c r="G4630">
        <v>-325.25240000000002</v>
      </c>
      <c r="H4630">
        <v>0.96862700000000002</v>
      </c>
      <c r="I4630">
        <v>214.66079999999999</v>
      </c>
      <c r="J4630">
        <v>-325.76249999999999</v>
      </c>
      <c r="K4630">
        <v>1.1100760000000001</v>
      </c>
      <c r="L4630">
        <v>214.75460000000001</v>
      </c>
      <c r="M4630">
        <v>0.99986920000000001</v>
      </c>
      <c r="N4630">
        <v>0</v>
      </c>
      <c r="O4630">
        <v>7.4560379999999999E-3</v>
      </c>
      <c r="P4630">
        <v>0.99964790000000003</v>
      </c>
      <c r="Q4630">
        <v>-1.1201859999999999E-2</v>
      </c>
      <c r="R4630">
        <v>-2.4056029999999999E-2</v>
      </c>
      <c r="S4630">
        <v>2.9873349999999999</v>
      </c>
      <c r="T4630">
        <v>-0.51281369999999904</v>
      </c>
      <c r="U4630">
        <v>-0.33106989999999997</v>
      </c>
      <c r="V4630">
        <v>3.1510259999999998E-2</v>
      </c>
      <c r="W4630">
        <v>3.138362E-3</v>
      </c>
      <c r="X4630">
        <v>0.99949849999999996</v>
      </c>
      <c r="Y4630">
        <v>0.1157773</v>
      </c>
      <c r="Z4630">
        <v>-1.110279E-2</v>
      </c>
      <c r="AA4630">
        <v>0.99321309999999996</v>
      </c>
      <c r="AB4630">
        <v>31</v>
      </c>
      <c r="AC4630">
        <v>0.51009999999996503</v>
      </c>
      <c r="AD4630">
        <v>-0.14144899999999999</v>
      </c>
      <c r="AE4630">
        <v>-9.3800000000015801E-2</v>
      </c>
      <c r="AF4630">
        <v>9.0844259413943598E-2</v>
      </c>
      <c r="AG4630">
        <v>-0.14144899999999999</v>
      </c>
      <c r="AH4630">
        <v>0.47412194411250502</v>
      </c>
      <c r="AI4630">
        <v>106.33104804394399</v>
      </c>
      <c r="AJ4630">
        <v>79.153288959934997</v>
      </c>
      <c r="AK4630">
        <v>0.50304285797383996</v>
      </c>
      <c r="AL4630">
        <v>89.820184807396402</v>
      </c>
      <c r="AM4630">
        <v>88.194287295787703</v>
      </c>
      <c r="AN4630">
        <v>0.99999999865178002</v>
      </c>
    </row>
    <row r="4631" spans="1:40" x14ac:dyDescent="0.25">
      <c r="A4631" t="str">
        <f>"20190312154015532"</f>
        <v>20190312154015532</v>
      </c>
      <c r="B4631" t="str">
        <f>"1552376415520794"</f>
        <v>1552376415520794</v>
      </c>
      <c r="C4631" t="s">
        <v>40</v>
      </c>
      <c r="D4631">
        <v>3.976445</v>
      </c>
      <c r="E4631">
        <v>0.53624329999999998</v>
      </c>
      <c r="F4631" t="s">
        <v>41</v>
      </c>
      <c r="G4631">
        <v>-324.97309999999999</v>
      </c>
      <c r="H4631">
        <v>0.97088980000000003</v>
      </c>
      <c r="I4631">
        <v>214.66499999999999</v>
      </c>
      <c r="J4631">
        <v>-325.46289999999999</v>
      </c>
      <c r="K4631">
        <v>1.1100719999999999</v>
      </c>
      <c r="L4631">
        <v>214.7567</v>
      </c>
      <c r="M4631">
        <v>0.99987009999999998</v>
      </c>
      <c r="N4631">
        <v>0</v>
      </c>
      <c r="O4631">
        <v>7.3676549999999999E-3</v>
      </c>
      <c r="P4631">
        <v>0.99964609999999998</v>
      </c>
      <c r="Q4631">
        <v>-1.0886379999999999E-2</v>
      </c>
      <c r="R4631">
        <v>-2.428071E-2</v>
      </c>
      <c r="S4631">
        <v>2.9870299999999999</v>
      </c>
      <c r="T4631">
        <v>-0.52679580000000004</v>
      </c>
      <c r="U4631">
        <v>-0.33758539999999998</v>
      </c>
      <c r="V4631">
        <v>3.1646510000000003E-2</v>
      </c>
      <c r="W4631">
        <v>3.4502119999999998E-3</v>
      </c>
      <c r="X4631">
        <v>0.99949319999999997</v>
      </c>
      <c r="Y4631">
        <v>0.11771429999999999</v>
      </c>
      <c r="Z4631">
        <v>-1.155436E-2</v>
      </c>
      <c r="AA4631">
        <v>0.99298030000000004</v>
      </c>
      <c r="AB4631">
        <v>31</v>
      </c>
      <c r="AC4631">
        <v>0.48980000000000201</v>
      </c>
      <c r="AD4631">
        <v>-0.13918219999999901</v>
      </c>
      <c r="AE4631">
        <v>-9.1700000000003001E-2</v>
      </c>
      <c r="AF4631">
        <v>8.8409454915094401E-2</v>
      </c>
      <c r="AG4631">
        <v>-0.13918219999999901</v>
      </c>
      <c r="AH4631">
        <v>0.45371524452682699</v>
      </c>
      <c r="AI4631">
        <v>106.75695164472</v>
      </c>
      <c r="AJ4631">
        <v>78.973700973196202</v>
      </c>
      <c r="AK4631">
        <v>0.48274780127025202</v>
      </c>
      <c r="AL4631">
        <v>89.802317027939594</v>
      </c>
      <c r="AM4631">
        <v>88.186475007405505</v>
      </c>
      <c r="AN4631">
        <v>1.00000003120213</v>
      </c>
    </row>
    <row r="4632" spans="1:40" x14ac:dyDescent="0.25">
      <c r="A4632" t="str">
        <f>"20190312154015554"</f>
        <v>20190312154015554</v>
      </c>
      <c r="B4632" t="str">
        <f>"1552376415540313"</f>
        <v>1552376415540313</v>
      </c>
      <c r="C4632" t="s">
        <v>40</v>
      </c>
      <c r="D4632">
        <v>3.944715</v>
      </c>
      <c r="E4632">
        <v>0.53694640000000005</v>
      </c>
      <c r="F4632" t="s">
        <v>41</v>
      </c>
      <c r="G4632">
        <v>-324.69470000000001</v>
      </c>
      <c r="H4632">
        <v>0.97211049999999999</v>
      </c>
      <c r="I4632">
        <v>214.66820000000001</v>
      </c>
      <c r="J4632">
        <v>-325.15789999999998</v>
      </c>
      <c r="K4632">
        <v>1.1100680000000001</v>
      </c>
      <c r="L4632">
        <v>214.75890000000001</v>
      </c>
      <c r="M4632">
        <v>0.9998707</v>
      </c>
      <c r="N4632">
        <v>0</v>
      </c>
      <c r="O4632">
        <v>7.27475E-3</v>
      </c>
      <c r="P4632">
        <v>0.99963570000000002</v>
      </c>
      <c r="Q4632">
        <v>-1.072763E-2</v>
      </c>
      <c r="R4632">
        <v>-2.4769619999999999E-2</v>
      </c>
      <c r="S4632">
        <v>2.9868769999999998</v>
      </c>
      <c r="T4632">
        <v>-0.53645940000000003</v>
      </c>
      <c r="U4632">
        <v>-0.34307860000000001</v>
      </c>
      <c r="V4632">
        <v>3.2042630000000002E-2</v>
      </c>
      <c r="W4632">
        <v>3.6056600000000001E-3</v>
      </c>
      <c r="X4632">
        <v>0.99948000000000004</v>
      </c>
      <c r="Y4632">
        <v>0.1193365</v>
      </c>
      <c r="Z4632">
        <v>-1.188998E-2</v>
      </c>
      <c r="AA4632">
        <v>0.99278270000000002</v>
      </c>
      <c r="AB4632">
        <v>31</v>
      </c>
      <c r="AC4632">
        <v>0.46319999999997202</v>
      </c>
      <c r="AD4632">
        <v>-0.13795750000000001</v>
      </c>
      <c r="AE4632">
        <v>-9.0699999999998199E-2</v>
      </c>
      <c r="AF4632">
        <v>8.6663871329358003E-2</v>
      </c>
      <c r="AG4632">
        <v>-0.13795750000000001</v>
      </c>
      <c r="AH4632">
        <v>0.426123872349642</v>
      </c>
      <c r="AI4632">
        <v>107.60189248816801</v>
      </c>
      <c r="AJ4632">
        <v>78.504133032630904</v>
      </c>
      <c r="AK4632">
        <v>0.45620659024864602</v>
      </c>
      <c r="AL4632">
        <v>89.793410452138005</v>
      </c>
      <c r="AM4632">
        <v>88.163766288519994</v>
      </c>
      <c r="AN4632">
        <v>1.00000000066067</v>
      </c>
    </row>
    <row r="4633" spans="1:40" x14ac:dyDescent="0.25">
      <c r="A4633" t="str">
        <f>"20190312154015576"</f>
        <v>20190312154015576</v>
      </c>
      <c r="B4633" t="str">
        <f>"1552376415570569"</f>
        <v>1552376415570569</v>
      </c>
      <c r="C4633" t="s">
        <v>40</v>
      </c>
      <c r="D4633">
        <v>3.9745460000000001</v>
      </c>
      <c r="E4633">
        <v>0.54883539999999997</v>
      </c>
      <c r="F4633" t="s">
        <v>41</v>
      </c>
      <c r="G4633">
        <v>-324.41579999999999</v>
      </c>
      <c r="H4633">
        <v>0.97489000000000003</v>
      </c>
      <c r="I4633">
        <v>214.67140000000001</v>
      </c>
      <c r="J4633">
        <v>-324.84649999999999</v>
      </c>
      <c r="K4633">
        <v>1.1100699999999999</v>
      </c>
      <c r="L4633">
        <v>214.761</v>
      </c>
      <c r="M4633">
        <v>0.99987139999999997</v>
      </c>
      <c r="N4633">
        <v>0</v>
      </c>
      <c r="O4633">
        <v>7.1772729999999996E-3</v>
      </c>
      <c r="P4633">
        <v>0.99962989999999996</v>
      </c>
      <c r="Q4633">
        <v>-1.029148E-2</v>
      </c>
      <c r="R4633">
        <v>-2.5184450000000001E-2</v>
      </c>
      <c r="S4633">
        <v>2.9866030000000001</v>
      </c>
      <c r="T4633">
        <v>-0.54424349999999999</v>
      </c>
      <c r="U4633">
        <v>-0.3498077</v>
      </c>
      <c r="V4633">
        <v>3.2360090000000001E-2</v>
      </c>
      <c r="W4633">
        <v>4.0381480000000001E-3</v>
      </c>
      <c r="X4633">
        <v>0.99946809999999997</v>
      </c>
      <c r="Y4633">
        <v>0.1213678</v>
      </c>
      <c r="Z4633">
        <v>-1.222472E-2</v>
      </c>
      <c r="AA4633">
        <v>0.99253230000000003</v>
      </c>
      <c r="AB4633">
        <v>31</v>
      </c>
      <c r="AC4633">
        <v>0.43070000000000103</v>
      </c>
      <c r="AD4633">
        <v>-0.13517999999999999</v>
      </c>
      <c r="AE4633">
        <v>-8.9599999999990104E-2</v>
      </c>
      <c r="AF4633">
        <v>8.4692399745512598E-2</v>
      </c>
      <c r="AG4633">
        <v>-0.13517999999999999</v>
      </c>
      <c r="AH4633">
        <v>0.39294311443873797</v>
      </c>
      <c r="AI4633">
        <v>108.587619913579</v>
      </c>
      <c r="AJ4633">
        <v>77.836906978934607</v>
      </c>
      <c r="AK4633">
        <v>0.42408811131587898</v>
      </c>
      <c r="AL4633">
        <v>89.768630529687002</v>
      </c>
      <c r="AM4633">
        <v>88.145564514062002</v>
      </c>
      <c r="AN4633">
        <v>0.99999998249084299</v>
      </c>
    </row>
    <row r="4634" spans="1:40" x14ac:dyDescent="0.25">
      <c r="A4634" t="str">
        <f>"20190312154015599"</f>
        <v>20190312154015599</v>
      </c>
      <c r="B4634" t="str">
        <f>"1552376415590089"</f>
        <v>1552376415590089</v>
      </c>
      <c r="C4634" t="s">
        <v>40</v>
      </c>
      <c r="D4634">
        <v>3.9686089999999998</v>
      </c>
      <c r="E4634">
        <v>0.54839789999999999</v>
      </c>
      <c r="F4634" t="s">
        <v>41</v>
      </c>
      <c r="G4634">
        <v>-324.15069999999997</v>
      </c>
      <c r="H4634">
        <v>0.94930029999999999</v>
      </c>
      <c r="I4634">
        <v>214.6583</v>
      </c>
      <c r="J4634">
        <v>-324.52969999999999</v>
      </c>
      <c r="K4634">
        <v>1.11007099999999</v>
      </c>
      <c r="L4634">
        <v>214.76320000000001</v>
      </c>
      <c r="M4634">
        <v>0.99987230000000005</v>
      </c>
      <c r="N4634">
        <v>0</v>
      </c>
      <c r="O4634">
        <v>7.0764749999999996E-3</v>
      </c>
      <c r="P4634">
        <v>0.99959909999999996</v>
      </c>
      <c r="Q4634">
        <v>-1.0648049999999999E-2</v>
      </c>
      <c r="R4634">
        <v>-2.6241939999999998E-2</v>
      </c>
      <c r="S4634">
        <v>2.9829409999999998</v>
      </c>
      <c r="T4634">
        <v>-0.68928409999999996</v>
      </c>
      <c r="U4634">
        <v>-0.43984990000000002</v>
      </c>
      <c r="V4634">
        <v>3.3316409999999998E-2</v>
      </c>
      <c r="W4634">
        <v>3.6771849999999999E-3</v>
      </c>
      <c r="X4634">
        <v>0.9994381</v>
      </c>
      <c r="Y4634">
        <v>0.14885199999999901</v>
      </c>
      <c r="Z4634">
        <v>-1.8492499999999999E-2</v>
      </c>
      <c r="AA4634">
        <v>0.98868659999999997</v>
      </c>
      <c r="AB4634">
        <v>31</v>
      </c>
      <c r="AC4634">
        <v>0.37900000000001899</v>
      </c>
      <c r="AD4634">
        <v>-0.16077069999999899</v>
      </c>
      <c r="AE4634">
        <v>-0.104900000000014</v>
      </c>
      <c r="AF4634">
        <v>9.2173793292218004E-2</v>
      </c>
      <c r="AG4634">
        <v>-0.16077069999999899</v>
      </c>
      <c r="AH4634">
        <v>0.32408144886767298</v>
      </c>
      <c r="AI4634">
        <v>115.508482120694</v>
      </c>
      <c r="AJ4634">
        <v>74.123425418503501</v>
      </c>
      <c r="AK4634">
        <v>0.373325610758941</v>
      </c>
      <c r="AL4634">
        <v>89.789312346370195</v>
      </c>
      <c r="AM4634">
        <v>88.0907441093903</v>
      </c>
      <c r="AN4634">
        <v>1.0000000102982101</v>
      </c>
    </row>
    <row r="4635" spans="1:40" x14ac:dyDescent="0.25">
      <c r="A4635" t="str">
        <f>"20190312154015621"</f>
        <v>20190312154015621</v>
      </c>
      <c r="B4635" t="str">
        <f>"1552376415610585"</f>
        <v>1552376415610585</v>
      </c>
      <c r="C4635" t="s">
        <v>40</v>
      </c>
      <c r="D4635">
        <v>3.9530219999999998</v>
      </c>
      <c r="E4635">
        <v>0.54823889999999997</v>
      </c>
      <c r="F4635" t="s">
        <v>41</v>
      </c>
      <c r="G4635">
        <v>-323.61860000000001</v>
      </c>
      <c r="H4635">
        <v>0.89874349999999903</v>
      </c>
      <c r="I4635">
        <v>214.62880000000001</v>
      </c>
      <c r="J4635">
        <v>-324.23009999999999</v>
      </c>
      <c r="K4635">
        <v>1.1100699999999999</v>
      </c>
      <c r="L4635">
        <v>214.76519999999999</v>
      </c>
      <c r="M4635">
        <v>0.99987289999999995</v>
      </c>
      <c r="N4635">
        <v>0</v>
      </c>
      <c r="O4635">
        <v>6.9802220000000003E-3</v>
      </c>
      <c r="P4635">
        <v>0.99958089999999999</v>
      </c>
      <c r="Q4635">
        <v>-1.132004E-2</v>
      </c>
      <c r="R4635">
        <v>-2.6648990000000001E-2</v>
      </c>
      <c r="S4635">
        <v>2.9823</v>
      </c>
      <c r="T4635">
        <v>-0.69174029999999997</v>
      </c>
      <c r="U4635">
        <v>-0.43899539999999998</v>
      </c>
      <c r="V4635">
        <v>3.3627129999999998E-2</v>
      </c>
      <c r="W4635">
        <v>3.0015110000000001E-3</v>
      </c>
      <c r="X4635">
        <v>0.99942989999999998</v>
      </c>
      <c r="Y4635">
        <v>0.14849189999999901</v>
      </c>
      <c r="Z4635">
        <v>-1.8498000000000001E-2</v>
      </c>
      <c r="AA4635">
        <v>0.98874059999999997</v>
      </c>
      <c r="AB4635">
        <v>31</v>
      </c>
      <c r="AC4635">
        <v>0.61149999999997795</v>
      </c>
      <c r="AD4635">
        <v>-0.2113265</v>
      </c>
      <c r="AE4635">
        <v>-0.13639999999998001</v>
      </c>
      <c r="AF4635">
        <v>0.12629676035270701</v>
      </c>
      <c r="AG4635">
        <v>-0.2113265</v>
      </c>
      <c r="AH4635">
        <v>0.54816793008461295</v>
      </c>
      <c r="AI4635">
        <v>110.589800777569</v>
      </c>
      <c r="AJ4635">
        <v>77.025582773631299</v>
      </c>
      <c r="AK4635">
        <v>0.60091417095213295</v>
      </c>
      <c r="AL4635">
        <v>89.828025822261196</v>
      </c>
      <c r="AM4635">
        <v>88.072935313902406</v>
      </c>
      <c r="AN4635">
        <v>0.99999995897716398</v>
      </c>
    </row>
    <row r="4636" spans="1:40" x14ac:dyDescent="0.25">
      <c r="A4636" t="str">
        <f>"20190312154015642"</f>
        <v>20190312154015642</v>
      </c>
      <c r="B4636" t="str">
        <f>"1552376415631080"</f>
        <v>1552376415631080</v>
      </c>
      <c r="C4636" t="s">
        <v>40</v>
      </c>
      <c r="D4636">
        <v>3.990456</v>
      </c>
      <c r="E4636">
        <v>0.54847400000000002</v>
      </c>
      <c r="F4636" t="s">
        <v>41</v>
      </c>
      <c r="G4636">
        <v>-323.34050000000002</v>
      </c>
      <c r="H4636">
        <v>0.90345350000000002</v>
      </c>
      <c r="I4636">
        <v>214.63380000000001</v>
      </c>
      <c r="J4636">
        <v>-323.9298</v>
      </c>
      <c r="K4636">
        <v>1.1100639999999999</v>
      </c>
      <c r="L4636">
        <v>214.7672</v>
      </c>
      <c r="M4636">
        <v>0.99987360000000003</v>
      </c>
      <c r="N4636">
        <v>0</v>
      </c>
      <c r="O4636">
        <v>6.8841519999999897E-3</v>
      </c>
      <c r="P4636">
        <v>0.99956970000000001</v>
      </c>
      <c r="Q4636">
        <v>-1.1866130000000001E-2</v>
      </c>
      <c r="R4636">
        <v>-2.6825330000000001E-2</v>
      </c>
      <c r="S4636">
        <v>2.9817499999999999</v>
      </c>
      <c r="T4636">
        <v>-0.69256790000000001</v>
      </c>
      <c r="U4636">
        <v>-0.43899539999999998</v>
      </c>
      <c r="V4636">
        <v>3.3707199999999903E-2</v>
      </c>
      <c r="W4636">
        <v>2.4521959999999998E-3</v>
      </c>
      <c r="X4636">
        <v>0.99942869999999995</v>
      </c>
      <c r="Y4636">
        <v>0.14841670000000001</v>
      </c>
      <c r="Z4636">
        <v>-1.8492370000000001E-2</v>
      </c>
      <c r="AA4636">
        <v>0.98875199999999996</v>
      </c>
      <c r="AB4636">
        <v>31</v>
      </c>
      <c r="AC4636">
        <v>0.58929999999997995</v>
      </c>
      <c r="AD4636">
        <v>-0.206610499999999</v>
      </c>
      <c r="AE4636">
        <v>-0.133399999999994</v>
      </c>
      <c r="AF4636">
        <v>0.123064112222281</v>
      </c>
      <c r="AG4636">
        <v>-0.206610499999999</v>
      </c>
      <c r="AH4636">
        <v>0.52677179492717197</v>
      </c>
      <c r="AI4636">
        <v>110.903653378359</v>
      </c>
      <c r="AJ4636">
        <v>76.850434395982305</v>
      </c>
      <c r="AK4636">
        <v>0.57906925178090995</v>
      </c>
      <c r="AL4636">
        <v>89.859499371876893</v>
      </c>
      <c r="AM4636">
        <v>88.068347909393196</v>
      </c>
      <c r="AN4636">
        <v>0.99999995749037496</v>
      </c>
    </row>
    <row r="4637" spans="1:40" x14ac:dyDescent="0.25">
      <c r="A4637" t="str">
        <f>"20190312154015666"</f>
        <v>20190312154015666</v>
      </c>
      <c r="B4637" t="str">
        <f>"1552376415660361"</f>
        <v>1552376415660361</v>
      </c>
      <c r="C4637" t="s">
        <v>40</v>
      </c>
      <c r="D4637">
        <v>3.975746</v>
      </c>
      <c r="E4637">
        <v>0.54838469999999995</v>
      </c>
      <c r="F4637" t="s">
        <v>41</v>
      </c>
      <c r="G4637">
        <v>-323.06279999999998</v>
      </c>
      <c r="H4637">
        <v>0.90786610000000001</v>
      </c>
      <c r="I4637">
        <v>214.6386</v>
      </c>
      <c r="J4637">
        <v>-323.61380000000003</v>
      </c>
      <c r="K4637">
        <v>1.1100639999999999</v>
      </c>
      <c r="L4637">
        <v>214.76920000000001</v>
      </c>
      <c r="M4637">
        <v>0.99987440000000005</v>
      </c>
      <c r="N4637">
        <v>0</v>
      </c>
      <c r="O4637">
        <v>6.7829049999999997E-3</v>
      </c>
      <c r="P4637">
        <v>0.99956590000000001</v>
      </c>
      <c r="Q4637">
        <v>-1.217085E-2</v>
      </c>
      <c r="R4637">
        <v>-2.683543E-2</v>
      </c>
      <c r="S4637">
        <v>2.9812319999999999</v>
      </c>
      <c r="T4637">
        <v>-0.69528519999999905</v>
      </c>
      <c r="U4637">
        <v>-0.44133</v>
      </c>
      <c r="V4637">
        <v>3.3615920000000001E-2</v>
      </c>
      <c r="W4637">
        <v>2.1436839999999999E-3</v>
      </c>
      <c r="X4637">
        <v>0.99943249999999995</v>
      </c>
      <c r="Y4637">
        <v>0.14905280000000001</v>
      </c>
      <c r="Z4637">
        <v>-1.8614789999999999E-2</v>
      </c>
      <c r="AA4637">
        <v>0.98865400000000003</v>
      </c>
      <c r="AB4637">
        <v>31</v>
      </c>
      <c r="AC4637">
        <v>0.55100000000004401</v>
      </c>
      <c r="AD4637">
        <v>-0.20219790000000001</v>
      </c>
      <c r="AE4637">
        <v>-0.13060000000001501</v>
      </c>
      <c r="AF4637">
        <v>0.119143852117976</v>
      </c>
      <c r="AG4637">
        <v>-0.20219790000000001</v>
      </c>
      <c r="AH4637">
        <v>0.48789455782852997</v>
      </c>
      <c r="AI4637">
        <v>111.92967136301399</v>
      </c>
      <c r="AJ4637">
        <v>76.276948259545904</v>
      </c>
      <c r="AK4637">
        <v>0.54140589932195704</v>
      </c>
      <c r="AL4637">
        <v>89.877175856896301</v>
      </c>
      <c r="AM4637">
        <v>88.073582247268604</v>
      </c>
      <c r="AN4637">
        <v>0.99999997375739302</v>
      </c>
    </row>
    <row r="4638" spans="1:40" x14ac:dyDescent="0.25">
      <c r="A4638" t="str">
        <f>"20190312154015689"</f>
        <v>20190312154015689</v>
      </c>
      <c r="B4638" t="str">
        <f>"1552376415680857"</f>
        <v>1552376415680857</v>
      </c>
      <c r="C4638" t="s">
        <v>40</v>
      </c>
      <c r="D4638">
        <v>3.9900060000000002</v>
      </c>
      <c r="E4638">
        <v>0.54860379999999997</v>
      </c>
      <c r="F4638" t="s">
        <v>41</v>
      </c>
      <c r="G4638">
        <v>-322.78410000000002</v>
      </c>
      <c r="H4638">
        <v>0.915906</v>
      </c>
      <c r="I4638">
        <v>214.6464</v>
      </c>
      <c r="J4638">
        <v>-323.29520000000002</v>
      </c>
      <c r="K4638">
        <v>1.1100650000000001</v>
      </c>
      <c r="L4638">
        <v>214.7713</v>
      </c>
      <c r="M4638">
        <v>0.99987499999999996</v>
      </c>
      <c r="N4638">
        <v>0</v>
      </c>
      <c r="O4638">
        <v>6.6812449999999997E-3</v>
      </c>
      <c r="P4638">
        <v>0.99956</v>
      </c>
      <c r="Q4638">
        <v>-1.2303339999999999E-2</v>
      </c>
      <c r="R4638">
        <v>-2.6990879999999998E-2</v>
      </c>
      <c r="S4638">
        <v>2.980988</v>
      </c>
      <c r="T4638">
        <v>-0.69769859999999995</v>
      </c>
      <c r="U4638">
        <v>-0.4400482</v>
      </c>
      <c r="V4638">
        <v>3.3669780000000003E-2</v>
      </c>
      <c r="W4638">
        <v>2.0082619999999998E-3</v>
      </c>
      <c r="X4638">
        <v>0.99943099999999996</v>
      </c>
      <c r="Y4638">
        <v>0.14853540000000001</v>
      </c>
      <c r="Z4638">
        <v>-1.8596970000000001E-2</v>
      </c>
      <c r="AA4638">
        <v>0.98873219999999995</v>
      </c>
      <c r="AB4638">
        <v>31</v>
      </c>
      <c r="AC4638">
        <v>0.511099999999999</v>
      </c>
      <c r="AD4638">
        <v>-0.194158999999999</v>
      </c>
      <c r="AE4638">
        <v>-0.124899999999996</v>
      </c>
      <c r="AF4638">
        <v>0.11293313976873499</v>
      </c>
      <c r="AG4638">
        <v>-0.194158999999999</v>
      </c>
      <c r="AH4638">
        <v>0.44909620700722802</v>
      </c>
      <c r="AI4638">
        <v>112.747290408179</v>
      </c>
      <c r="AJ4638">
        <v>75.884643595756998</v>
      </c>
      <c r="AK4638">
        <v>0.50213445857390004</v>
      </c>
      <c r="AL4638">
        <v>89.884934986529004</v>
      </c>
      <c r="AM4638">
        <v>88.070495145401395</v>
      </c>
      <c r="AN4638">
        <v>1.0000000054812499</v>
      </c>
    </row>
    <row r="4639" spans="1:40" x14ac:dyDescent="0.25">
      <c r="A4639" t="str">
        <f>"20190312154015712"</f>
        <v>20190312154015712</v>
      </c>
      <c r="B4639" t="str">
        <f>"1552376415700377"</f>
        <v>1552376415700377</v>
      </c>
      <c r="C4639" t="s">
        <v>40</v>
      </c>
      <c r="D4639">
        <v>3.963886</v>
      </c>
      <c r="E4639">
        <v>0.5488111</v>
      </c>
      <c r="F4639" t="s">
        <v>41</v>
      </c>
      <c r="G4639">
        <v>-322.50529999999998</v>
      </c>
      <c r="H4639">
        <v>0.92450549999999998</v>
      </c>
      <c r="I4639">
        <v>214.654</v>
      </c>
      <c r="J4639">
        <v>-322.98450000000003</v>
      </c>
      <c r="K4639">
        <v>1.110066</v>
      </c>
      <c r="L4639">
        <v>214.77330000000001</v>
      </c>
      <c r="M4639">
        <v>0.99987570000000003</v>
      </c>
      <c r="N4639">
        <v>0</v>
      </c>
      <c r="O4639">
        <v>6.581969E-3</v>
      </c>
      <c r="P4639">
        <v>0.99955419999999995</v>
      </c>
      <c r="Q4639">
        <v>-1.2539089999999999E-2</v>
      </c>
      <c r="R4639">
        <v>-2.7096229999999999E-2</v>
      </c>
      <c r="S4639">
        <v>2.9807739999999998</v>
      </c>
      <c r="T4639">
        <v>-0.70025280000000001</v>
      </c>
      <c r="U4639">
        <v>-0.44207760000000001</v>
      </c>
      <c r="V4639">
        <v>3.3675709999999998E-2</v>
      </c>
      <c r="W4639">
        <v>1.76889E-3</v>
      </c>
      <c r="X4639">
        <v>0.99943130000000002</v>
      </c>
      <c r="Y4639">
        <v>0.1490649</v>
      </c>
      <c r="Z4639">
        <v>-1.8701829999999999E-2</v>
      </c>
      <c r="AA4639">
        <v>0.98865060000000005</v>
      </c>
      <c r="AB4639">
        <v>31</v>
      </c>
      <c r="AC4639">
        <v>0.47920000000004798</v>
      </c>
      <c r="AD4639">
        <v>-0.18556049999999999</v>
      </c>
      <c r="AE4639">
        <v>-0.119299999999981</v>
      </c>
      <c r="AF4639">
        <v>0.107301335204797</v>
      </c>
      <c r="AG4639">
        <v>-0.18556049999999999</v>
      </c>
      <c r="AH4639">
        <v>0.419213219054833</v>
      </c>
      <c r="AI4639">
        <v>113.21041902884301</v>
      </c>
      <c r="AJ4639">
        <v>75.642875962279206</v>
      </c>
      <c r="AK4639">
        <v>0.47083542637241899</v>
      </c>
      <c r="AL4639">
        <v>89.898650021086695</v>
      </c>
      <c r="AM4639">
        <v>88.070156152301394</v>
      </c>
      <c r="AN4639">
        <v>1.00000005291776</v>
      </c>
    </row>
    <row r="4640" spans="1:40" x14ac:dyDescent="0.25">
      <c r="A4640" t="str">
        <f>"20190312154015734"</f>
        <v>20190312154015734</v>
      </c>
      <c r="B4640" t="str">
        <f>"1552376415720872"</f>
        <v>1552376415720872</v>
      </c>
      <c r="C4640" t="s">
        <v>40</v>
      </c>
      <c r="D4640">
        <v>3.9822440000000001</v>
      </c>
      <c r="E4640">
        <v>0.54886650000000003</v>
      </c>
      <c r="F4640" t="s">
        <v>41</v>
      </c>
      <c r="G4640">
        <v>-322.22710000000001</v>
      </c>
      <c r="H4640">
        <v>0.93168450000000003</v>
      </c>
      <c r="I4640">
        <v>214.66040000000001</v>
      </c>
      <c r="J4640">
        <v>-322.67869999999999</v>
      </c>
      <c r="K4640">
        <v>1.110066</v>
      </c>
      <c r="L4640">
        <v>214.77520000000001</v>
      </c>
      <c r="M4640">
        <v>0.99987649999999995</v>
      </c>
      <c r="N4640">
        <v>0</v>
      </c>
      <c r="O4640">
        <v>6.4828639999999996E-3</v>
      </c>
      <c r="P4640">
        <v>0.99955039999999995</v>
      </c>
      <c r="Q4640">
        <v>-1.2435430000000001E-2</v>
      </c>
      <c r="R4640">
        <v>-2.7287909999999999E-2</v>
      </c>
      <c r="S4640">
        <v>2.980499</v>
      </c>
      <c r="T4640">
        <v>-0.70201210000000003</v>
      </c>
      <c r="U4640">
        <v>-0.44395449999999997</v>
      </c>
      <c r="V4640">
        <v>3.3768359999999997E-2</v>
      </c>
      <c r="W4640">
        <v>1.869026E-3</v>
      </c>
      <c r="X4640">
        <v>0.99942790000000004</v>
      </c>
      <c r="Y4640">
        <v>0.14955789999999999</v>
      </c>
      <c r="Z4640">
        <v>-1.8782469999999999E-2</v>
      </c>
      <c r="AA4640">
        <v>0.98857459999999997</v>
      </c>
      <c r="AB4640">
        <v>31</v>
      </c>
      <c r="AC4640">
        <v>0.45159999999998401</v>
      </c>
      <c r="AD4640">
        <v>-0.1783815</v>
      </c>
      <c r="AE4640">
        <v>-0.114800000000002</v>
      </c>
      <c r="AF4640">
        <v>0.10267775099241799</v>
      </c>
      <c r="AG4640">
        <v>-0.1783815</v>
      </c>
      <c r="AH4640">
        <v>0.393218586227915</v>
      </c>
      <c r="AI4640">
        <v>113.69798564197001</v>
      </c>
      <c r="AJ4640">
        <v>75.365622159701303</v>
      </c>
      <c r="AK4640">
        <v>0.44382827382467599</v>
      </c>
      <c r="AL4640">
        <v>89.892912631913106</v>
      </c>
      <c r="AM4640">
        <v>88.064844139508097</v>
      </c>
      <c r="AN4640">
        <v>0.99999996134684299</v>
      </c>
    </row>
    <row r="4641" spans="1:40" x14ac:dyDescent="0.25">
      <c r="A4641" t="str">
        <f>"20190312154015755"</f>
        <v>20190312154015755</v>
      </c>
      <c r="B4641" t="str">
        <f>"1552376415750154"</f>
        <v>1552376415750154</v>
      </c>
      <c r="C4641" t="s">
        <v>40</v>
      </c>
      <c r="D4641">
        <v>3.983225</v>
      </c>
      <c r="E4641">
        <v>0.54914859999999999</v>
      </c>
      <c r="F4641" t="s">
        <v>41</v>
      </c>
      <c r="G4641">
        <v>-321.9495</v>
      </c>
      <c r="H4641">
        <v>0.93848480000000001</v>
      </c>
      <c r="I4641">
        <v>214.66630000000001</v>
      </c>
      <c r="J4641">
        <v>-322.38479999999998</v>
      </c>
      <c r="K4641">
        <v>1.1100570000000001</v>
      </c>
      <c r="L4641">
        <v>214.77699999999999</v>
      </c>
      <c r="M4641">
        <v>0.99987709999999996</v>
      </c>
      <c r="N4641">
        <v>0</v>
      </c>
      <c r="O4641">
        <v>6.3848769999999997E-3</v>
      </c>
      <c r="P4641">
        <v>0.99953510000000001</v>
      </c>
      <c r="Q4641">
        <v>-1.2805850000000001E-2</v>
      </c>
      <c r="R4641">
        <v>-2.7667629999999999E-2</v>
      </c>
      <c r="S4641">
        <v>2.9804689999999998</v>
      </c>
      <c r="T4641">
        <v>-0.70129849999999905</v>
      </c>
      <c r="U4641">
        <v>-0.44520569999999998</v>
      </c>
      <c r="V4641">
        <v>3.4050110000000001E-2</v>
      </c>
      <c r="W4641">
        <v>1.4951859999999999E-3</v>
      </c>
      <c r="X4641">
        <v>0.99941899999999995</v>
      </c>
      <c r="Y4641">
        <v>0.14987130000000001</v>
      </c>
      <c r="Z4641">
        <v>-1.8777060000000002E-2</v>
      </c>
      <c r="AA4641">
        <v>0.98852720000000005</v>
      </c>
      <c r="AB4641">
        <v>31</v>
      </c>
      <c r="AC4641">
        <v>0.43529999999998298</v>
      </c>
      <c r="AD4641">
        <v>-0.17157220000000001</v>
      </c>
      <c r="AE4641">
        <v>-0.110700000000008</v>
      </c>
      <c r="AF4641">
        <v>9.9027714831989494E-2</v>
      </c>
      <c r="AG4641">
        <v>-0.17157220000000001</v>
      </c>
      <c r="AH4641">
        <v>0.37924642394046598</v>
      </c>
      <c r="AI4641">
        <v>113.640266172954</v>
      </c>
      <c r="AJ4641">
        <v>75.365849429215203</v>
      </c>
      <c r="AK4641">
        <v>0.42786838886428302</v>
      </c>
      <c r="AL4641">
        <v>89.914332119970794</v>
      </c>
      <c r="AM4641">
        <v>88.048693022269603</v>
      </c>
      <c r="AN4641">
        <v>0.99999999156659303</v>
      </c>
    </row>
    <row r="4642" spans="1:40" x14ac:dyDescent="0.25">
      <c r="A4642" t="str">
        <f>"20190312154015779"</f>
        <v>20190312154015779</v>
      </c>
      <c r="B4642" t="str">
        <f>"1552376415770655"</f>
        <v>1552376415770655</v>
      </c>
      <c r="C4642" t="s">
        <v>40</v>
      </c>
      <c r="D4642">
        <v>3.9812500000000002</v>
      </c>
      <c r="E4642">
        <v>0.54932460000000005</v>
      </c>
      <c r="F4642" t="s">
        <v>41</v>
      </c>
      <c r="G4642">
        <v>-321.67360000000002</v>
      </c>
      <c r="H4642">
        <v>0.94197260000000005</v>
      </c>
      <c r="I4642">
        <v>214.66970000000001</v>
      </c>
      <c r="J4642">
        <v>-322.06849999999997</v>
      </c>
      <c r="K4642">
        <v>1.1100509999999999</v>
      </c>
      <c r="L4642">
        <v>214.77889999999999</v>
      </c>
      <c r="M4642">
        <v>0.99987789999999999</v>
      </c>
      <c r="N4642">
        <v>0</v>
      </c>
      <c r="O4642">
        <v>6.2748279999999997E-3</v>
      </c>
      <c r="P4642">
        <v>0.99951970000000001</v>
      </c>
      <c r="Q4642">
        <v>-1.2968479999999999E-2</v>
      </c>
      <c r="R4642">
        <v>-2.8148679999999999E-2</v>
      </c>
      <c r="S4642">
        <v>2.9800110000000002</v>
      </c>
      <c r="T4642">
        <v>-0.70442039999999995</v>
      </c>
      <c r="U4642">
        <v>-0.448349</v>
      </c>
      <c r="V4642">
        <v>3.4420739999999998E-2</v>
      </c>
      <c r="W4642">
        <v>1.3282929999999999E-3</v>
      </c>
      <c r="X4642">
        <v>0.99940660000000003</v>
      </c>
      <c r="Y4642">
        <v>0.15074660000000001</v>
      </c>
      <c r="Z4642">
        <v>-1.8935799999999999E-2</v>
      </c>
      <c r="AA4642">
        <v>0.98839100000000002</v>
      </c>
      <c r="AB4642">
        <v>31</v>
      </c>
      <c r="AC4642">
        <v>0.39489999999995001</v>
      </c>
      <c r="AD4642">
        <v>-0.16807839999999999</v>
      </c>
      <c r="AE4642">
        <v>-0.109199999999987</v>
      </c>
      <c r="AF4642">
        <v>9.5589602377250005E-2</v>
      </c>
      <c r="AG4642">
        <v>-0.16807839999999999</v>
      </c>
      <c r="AH4642">
        <v>0.33742320397216002</v>
      </c>
      <c r="AI4642">
        <v>115.60667319967099</v>
      </c>
      <c r="AJ4642">
        <v>74.182949887516997</v>
      </c>
      <c r="AK4642">
        <v>0.38889862330437602</v>
      </c>
      <c r="AL4642">
        <v>89.923894398714495</v>
      </c>
      <c r="AM4642">
        <v>88.027445591794802</v>
      </c>
      <c r="AN4642">
        <v>1.00000005191399</v>
      </c>
    </row>
    <row r="4643" spans="1:40" x14ac:dyDescent="0.25">
      <c r="A4643" t="str">
        <f>"20190312154015799"</f>
        <v>20190312154015799</v>
      </c>
      <c r="B4643" t="str">
        <f>"1552376415790169"</f>
        <v>1552376415790169</v>
      </c>
      <c r="C4643" t="s">
        <v>40</v>
      </c>
      <c r="D4643">
        <v>4.0222569999999997</v>
      </c>
      <c r="E4643">
        <v>0.54936529999999995</v>
      </c>
      <c r="F4643" t="s">
        <v>41</v>
      </c>
      <c r="G4643">
        <v>-321.14679999999998</v>
      </c>
      <c r="H4643">
        <v>0.89163840000000005</v>
      </c>
      <c r="I4643">
        <v>214.63910000000001</v>
      </c>
      <c r="J4643">
        <v>-321.76900000000001</v>
      </c>
      <c r="K4643">
        <v>1.11005</v>
      </c>
      <c r="L4643">
        <v>214.7807</v>
      </c>
      <c r="M4643">
        <v>0.99987859999999995</v>
      </c>
      <c r="N4643">
        <v>0</v>
      </c>
      <c r="O4643">
        <v>6.1646979999999997E-3</v>
      </c>
      <c r="P4643">
        <v>0.99950450000000002</v>
      </c>
      <c r="Q4643">
        <v>-1.313599E-2</v>
      </c>
      <c r="R4643">
        <v>-2.8604879999999999E-2</v>
      </c>
      <c r="S4643">
        <v>2.979584</v>
      </c>
      <c r="T4643">
        <v>-0.70605569999999995</v>
      </c>
      <c r="U4643">
        <v>-0.45141599999999998</v>
      </c>
      <c r="V4643">
        <v>3.4766789999999999E-2</v>
      </c>
      <c r="W4643">
        <v>1.1575859999999999E-3</v>
      </c>
      <c r="X4643">
        <v>0.99939480000000003</v>
      </c>
      <c r="Y4643">
        <v>0.1516131</v>
      </c>
      <c r="Z4643">
        <v>-1.9054919999999999E-2</v>
      </c>
      <c r="AA4643">
        <v>0.98825620000000003</v>
      </c>
      <c r="AB4643">
        <v>31</v>
      </c>
      <c r="AC4643">
        <v>0.62220000000001996</v>
      </c>
      <c r="AD4643">
        <v>-0.21841160000000001</v>
      </c>
      <c r="AE4643">
        <v>-0.14159999999998199</v>
      </c>
      <c r="AF4643">
        <v>0.13018189851315101</v>
      </c>
      <c r="AG4643">
        <v>-0.21841160000000001</v>
      </c>
      <c r="AH4643">
        <v>0.55615835559851201</v>
      </c>
      <c r="AI4643">
        <v>110.925809723903</v>
      </c>
      <c r="AJ4643">
        <v>76.8257689008352</v>
      </c>
      <c r="AK4643">
        <v>0.61152519998532295</v>
      </c>
      <c r="AL4643">
        <v>89.933675194156393</v>
      </c>
      <c r="AM4643">
        <v>88.007606851429401</v>
      </c>
      <c r="AN4643">
        <v>1.00000001797964</v>
      </c>
    </row>
    <row r="4644" spans="1:40" x14ac:dyDescent="0.25">
      <c r="A4644" t="str">
        <f>"20190312154015822"</f>
        <v>20190312154015822</v>
      </c>
      <c r="B4644" t="str">
        <f>"1552376415810665"</f>
        <v>1552376415810665</v>
      </c>
      <c r="C4644" t="s">
        <v>40</v>
      </c>
      <c r="D4644">
        <v>3.992213</v>
      </c>
      <c r="E4644">
        <v>0.54916880000000001</v>
      </c>
      <c r="F4644" t="s">
        <v>41</v>
      </c>
      <c r="G4644">
        <v>-320.87150000000003</v>
      </c>
      <c r="H4644">
        <v>0.89687070000000002</v>
      </c>
      <c r="I4644">
        <v>214.64410000000001</v>
      </c>
      <c r="J4644">
        <v>-321.46980000000002</v>
      </c>
      <c r="K4644">
        <v>1.1100509999999999</v>
      </c>
      <c r="L4644">
        <v>214.7824</v>
      </c>
      <c r="M4644">
        <v>0.99987939999999997</v>
      </c>
      <c r="N4644">
        <v>0</v>
      </c>
      <c r="O4644">
        <v>6.0498590000000003E-3</v>
      </c>
      <c r="P4644">
        <v>0.99951270000000003</v>
      </c>
      <c r="Q4644">
        <v>-1.27829E-2</v>
      </c>
      <c r="R4644">
        <v>-2.8483990000000001E-2</v>
      </c>
      <c r="S4644">
        <v>2.979187</v>
      </c>
      <c r="T4644">
        <v>-0.70758369999999904</v>
      </c>
      <c r="U4644">
        <v>-0.45301819999999998</v>
      </c>
      <c r="V4644">
        <v>3.4531230000000003E-2</v>
      </c>
      <c r="W4644">
        <v>1.5066299999999999E-3</v>
      </c>
      <c r="X4644">
        <v>0.99940249999999997</v>
      </c>
      <c r="Y4644">
        <v>0.15201189999999901</v>
      </c>
      <c r="Z4644">
        <v>-1.911647E-2</v>
      </c>
      <c r="AA4644">
        <v>0.98819380000000001</v>
      </c>
      <c r="AB4644">
        <v>31</v>
      </c>
      <c r="AC4644">
        <v>0.59829999999999395</v>
      </c>
      <c r="AD4644">
        <v>-0.21318029999999999</v>
      </c>
      <c r="AE4644">
        <v>-0.13829999999998599</v>
      </c>
      <c r="AF4644">
        <v>0.12665352876511099</v>
      </c>
      <c r="AG4644">
        <v>-0.21318029999999999</v>
      </c>
      <c r="AH4644">
        <v>0.53319325817298202</v>
      </c>
      <c r="AI4644">
        <v>111.25575217556199</v>
      </c>
      <c r="AJ4644">
        <v>76.637733951044098</v>
      </c>
      <c r="AK4644">
        <v>0.58803231817465995</v>
      </c>
      <c r="AL4644">
        <v>89.913676428469103</v>
      </c>
      <c r="AM4644">
        <v>88.021110639473207</v>
      </c>
      <c r="AN4644">
        <v>1.00000001639275</v>
      </c>
    </row>
    <row r="4645" spans="1:40" x14ac:dyDescent="0.25">
      <c r="A4645" t="str">
        <f>"20190312154015844"</f>
        <v>20190312154015844</v>
      </c>
      <c r="B4645" t="str">
        <f>"1552376415830185"</f>
        <v>1552376415830185</v>
      </c>
      <c r="C4645" t="s">
        <v>40</v>
      </c>
      <c r="D4645">
        <v>4.0271379999999999</v>
      </c>
      <c r="E4645">
        <v>0.54922040000000005</v>
      </c>
      <c r="F4645" t="s">
        <v>41</v>
      </c>
      <c r="G4645">
        <v>-320.59589999999997</v>
      </c>
      <c r="H4645">
        <v>0.90334270000000005</v>
      </c>
      <c r="I4645">
        <v>214.6498</v>
      </c>
      <c r="J4645">
        <v>-321.1671</v>
      </c>
      <c r="K4645">
        <v>1.11005</v>
      </c>
      <c r="L4645">
        <v>214.7841</v>
      </c>
      <c r="M4645">
        <v>0.9998802</v>
      </c>
      <c r="N4645">
        <v>0</v>
      </c>
      <c r="O4645">
        <v>5.9291250000000004E-3</v>
      </c>
      <c r="P4645">
        <v>0.99952529999999995</v>
      </c>
      <c r="Q4645">
        <v>-1.2363799999999999E-2</v>
      </c>
      <c r="R4645">
        <v>-2.8224639999999999E-2</v>
      </c>
      <c r="S4645">
        <v>2.979584</v>
      </c>
      <c r="T4645">
        <v>-0.70483209999999996</v>
      </c>
      <c r="U4645">
        <v>-0.45124819999999999</v>
      </c>
      <c r="V4645">
        <v>3.4151599999999997E-2</v>
      </c>
      <c r="W4645">
        <v>1.9229080000000001E-3</v>
      </c>
      <c r="X4645">
        <v>0.99941480000000005</v>
      </c>
      <c r="Y4645">
        <v>0.15135390000000001</v>
      </c>
      <c r="Z4645">
        <v>-1.8938079999999999E-2</v>
      </c>
      <c r="AA4645">
        <v>0.98829820000000002</v>
      </c>
      <c r="AB4645">
        <v>31</v>
      </c>
      <c r="AC4645">
        <v>0.57120000000003202</v>
      </c>
      <c r="AD4645">
        <v>-0.20670730000000001</v>
      </c>
      <c r="AE4645">
        <v>-0.13429999999999601</v>
      </c>
      <c r="AF4645">
        <v>0.12248453362073899</v>
      </c>
      <c r="AG4645">
        <v>-0.20670730000000001</v>
      </c>
      <c r="AH4645">
        <v>0.50742306723031205</v>
      </c>
      <c r="AI4645">
        <v>111.603241059957</v>
      </c>
      <c r="AJ4645">
        <v>76.429234465798103</v>
      </c>
      <c r="AK4645">
        <v>0.56143435770087902</v>
      </c>
      <c r="AL4645">
        <v>89.8898254177589</v>
      </c>
      <c r="AM4645">
        <v>88.0428732407902</v>
      </c>
      <c r="AN4645">
        <v>0.99999998590838801</v>
      </c>
    </row>
    <row r="4646" spans="1:40" x14ac:dyDescent="0.25">
      <c r="A4646" t="str">
        <f>"20190312154015867"</f>
        <v>20190312154015867</v>
      </c>
      <c r="B4646" t="str">
        <f>"1552376415860441"</f>
        <v>1552376415860441</v>
      </c>
      <c r="C4646" t="s">
        <v>40</v>
      </c>
      <c r="D4646">
        <v>4.0693190000000001</v>
      </c>
      <c r="E4646">
        <v>0.54942460000000004</v>
      </c>
      <c r="F4646" t="s">
        <v>41</v>
      </c>
      <c r="G4646">
        <v>-320.32060000000001</v>
      </c>
      <c r="H4646">
        <v>0.90976369999999895</v>
      </c>
      <c r="I4646">
        <v>214.6559</v>
      </c>
      <c r="J4646">
        <v>-320.8503</v>
      </c>
      <c r="K4646">
        <v>1.11005</v>
      </c>
      <c r="L4646">
        <v>214.78579999999999</v>
      </c>
      <c r="M4646">
        <v>0.99988100000000002</v>
      </c>
      <c r="N4646">
        <v>0</v>
      </c>
      <c r="O4646">
        <v>5.7973130000000001E-3</v>
      </c>
      <c r="P4646">
        <v>0.99952600000000003</v>
      </c>
      <c r="Q4646">
        <v>-1.229275E-2</v>
      </c>
      <c r="R4646">
        <v>-2.8233999999999999E-2</v>
      </c>
      <c r="S4646">
        <v>2.9799799999999999</v>
      </c>
      <c r="T4646">
        <v>-0.70515589999999995</v>
      </c>
      <c r="U4646">
        <v>-0.45054630000000001</v>
      </c>
      <c r="V4646">
        <v>3.4029089999999998E-2</v>
      </c>
      <c r="W4646">
        <v>1.9910959999999999E-3</v>
      </c>
      <c r="X4646">
        <v>0.9994189</v>
      </c>
      <c r="Y4646">
        <v>0.15098710000000001</v>
      </c>
      <c r="Z4646">
        <v>-1.8871269999999999E-2</v>
      </c>
      <c r="AA4646">
        <v>0.9883556</v>
      </c>
      <c r="AB4646">
        <v>31</v>
      </c>
      <c r="AC4646">
        <v>0.52969999999999096</v>
      </c>
      <c r="AD4646">
        <v>-0.2002863</v>
      </c>
      <c r="AE4646">
        <v>-0.12989999999999199</v>
      </c>
      <c r="AF4646">
        <v>0.11716784119816701</v>
      </c>
      <c r="AG4646">
        <v>-0.2002863</v>
      </c>
      <c r="AH4646">
        <v>0.466082567291771</v>
      </c>
      <c r="AI4646">
        <v>112.62421717578501</v>
      </c>
      <c r="AJ4646">
        <v>75.888900499838897</v>
      </c>
      <c r="AK4646">
        <v>0.52064946414263902</v>
      </c>
      <c r="AL4646">
        <v>89.885918531842293</v>
      </c>
      <c r="AM4646">
        <v>88.049896488422903</v>
      </c>
      <c r="AN4646">
        <v>1.00000004055335</v>
      </c>
    </row>
    <row r="4647" spans="1:40" x14ac:dyDescent="0.25">
      <c r="A4647" t="str">
        <f>"20190312154015889"</f>
        <v>20190312154015889</v>
      </c>
      <c r="B4647" t="str">
        <f>"1552376415880941"</f>
        <v>1552376415880941</v>
      </c>
      <c r="C4647" t="s">
        <v>40</v>
      </c>
      <c r="D4647">
        <v>4.0862819999999997</v>
      </c>
      <c r="E4647">
        <v>0.54952100000000004</v>
      </c>
      <c r="F4647" t="s">
        <v>41</v>
      </c>
      <c r="G4647">
        <v>-320.04489999999998</v>
      </c>
      <c r="H4647">
        <v>0.91853169999999995</v>
      </c>
      <c r="I4647">
        <v>214.66319999999999</v>
      </c>
      <c r="J4647">
        <v>-320.55130000000003</v>
      </c>
      <c r="K4647">
        <v>1.11005</v>
      </c>
      <c r="L4647">
        <v>214.78739999999999</v>
      </c>
      <c r="M4647">
        <v>0.99988189999999999</v>
      </c>
      <c r="N4647">
        <v>0</v>
      </c>
      <c r="O4647">
        <v>5.6690890000000004E-3</v>
      </c>
      <c r="P4647">
        <v>0.99952039999999998</v>
      </c>
      <c r="Q4647">
        <v>-1.247902E-2</v>
      </c>
      <c r="R4647">
        <v>-2.8347290000000001E-2</v>
      </c>
      <c r="S4647">
        <v>2.9799500000000001</v>
      </c>
      <c r="T4647">
        <v>-0.70871519999999899</v>
      </c>
      <c r="U4647">
        <v>-0.45202639999999999</v>
      </c>
      <c r="V4647">
        <v>3.4014269999999999E-2</v>
      </c>
      <c r="W4647">
        <v>1.8008379999999999E-3</v>
      </c>
      <c r="X4647">
        <v>0.99941970000000002</v>
      </c>
      <c r="Y4647">
        <v>0.15129500000000001</v>
      </c>
      <c r="Z4647">
        <v>-1.8969489999999999E-2</v>
      </c>
      <c r="AA4647">
        <v>0.98830660000000004</v>
      </c>
      <c r="AB4647">
        <v>30</v>
      </c>
      <c r="AC4647">
        <v>0.50640000000004104</v>
      </c>
      <c r="AD4647">
        <v>-0.1915183</v>
      </c>
      <c r="AE4647">
        <v>-0.124200000000001</v>
      </c>
      <c r="AF4647">
        <v>0.1119634229528</v>
      </c>
      <c r="AG4647">
        <v>-0.1915183</v>
      </c>
      <c r="AH4647">
        <v>0.44557263793230201</v>
      </c>
      <c r="AI4647">
        <v>112.629583620728</v>
      </c>
      <c r="AJ4647">
        <v>75.894761192126097</v>
      </c>
      <c r="AK4647">
        <v>0.497744957772701</v>
      </c>
      <c r="AL4647">
        <v>89.896819524681305</v>
      </c>
      <c r="AM4647">
        <v>88.050746681278795</v>
      </c>
      <c r="AN4647">
        <v>0.99999997516461203</v>
      </c>
    </row>
    <row r="4648" spans="1:40" x14ac:dyDescent="0.25">
      <c r="A4648" t="str">
        <f>"20190312154015913"</f>
        <v>20190312154015913</v>
      </c>
      <c r="B4648" t="str">
        <f>"1552376415900457"</f>
        <v>1552376415900457</v>
      </c>
      <c r="C4648" t="s">
        <v>40</v>
      </c>
      <c r="D4648">
        <v>4.0965669999999896</v>
      </c>
      <c r="E4648">
        <v>0.54957529999999999</v>
      </c>
      <c r="F4648" t="s">
        <v>41</v>
      </c>
      <c r="G4648">
        <v>-319.77069999999998</v>
      </c>
      <c r="H4648">
        <v>0.92367849999999996</v>
      </c>
      <c r="I4648">
        <v>214.66839999999999</v>
      </c>
      <c r="J4648">
        <v>-320.23779999999999</v>
      </c>
      <c r="K4648">
        <v>1.11005</v>
      </c>
      <c r="L4648">
        <v>214.78899999999999</v>
      </c>
      <c r="M4648">
        <v>0.99988270000000001</v>
      </c>
      <c r="N4648">
        <v>0</v>
      </c>
      <c r="O4648">
        <v>5.5313949999999997E-3</v>
      </c>
      <c r="P4648">
        <v>0.99951239999999997</v>
      </c>
      <c r="Q4648">
        <v>-1.250136E-2</v>
      </c>
      <c r="R4648">
        <v>-2.8622160000000001E-2</v>
      </c>
      <c r="S4648">
        <v>2.9796749999999999</v>
      </c>
      <c r="T4648">
        <v>-0.71137299999999903</v>
      </c>
      <c r="U4648">
        <v>-0.45307920000000002</v>
      </c>
      <c r="V4648">
        <v>3.4151359999999999E-2</v>
      </c>
      <c r="W4648">
        <v>1.7746120000000001E-3</v>
      </c>
      <c r="X4648">
        <v>0.9994151</v>
      </c>
      <c r="Y4648">
        <v>0.15148020000000001</v>
      </c>
      <c r="Z4648">
        <v>-1.9029359999999999E-2</v>
      </c>
      <c r="AA4648">
        <v>0.98827710000000002</v>
      </c>
      <c r="AB4648">
        <v>30</v>
      </c>
      <c r="AC4648">
        <v>0.467100000000016</v>
      </c>
      <c r="AD4648">
        <v>-0.1863715</v>
      </c>
      <c r="AE4648">
        <v>-0.12060000000002399</v>
      </c>
      <c r="AF4648">
        <v>0.10718485510161201</v>
      </c>
      <c r="AG4648">
        <v>-0.1863715</v>
      </c>
      <c r="AH4648">
        <v>0.40585245405759002</v>
      </c>
      <c r="AI4648">
        <v>113.94061695076699</v>
      </c>
      <c r="AJ4648">
        <v>75.206068924589403</v>
      </c>
      <c r="AK4648">
        <v>0.45928111613691702</v>
      </c>
      <c r="AL4648">
        <v>89.898322169101505</v>
      </c>
      <c r="AM4648">
        <v>88.042887570802193</v>
      </c>
      <c r="AN4648">
        <v>1.0000000033728</v>
      </c>
    </row>
    <row r="4649" spans="1:40" x14ac:dyDescent="0.25">
      <c r="A4649" t="str">
        <f>"20190312154015935"</f>
        <v>20190312154015935</v>
      </c>
      <c r="B4649" t="str">
        <f>"1552376415920953"</f>
        <v>1552376415920953</v>
      </c>
      <c r="C4649" t="s">
        <v>40</v>
      </c>
      <c r="D4649">
        <v>4.1334960000000001</v>
      </c>
      <c r="E4649">
        <v>0.54958839999999998</v>
      </c>
      <c r="F4649" t="s">
        <v>41</v>
      </c>
      <c r="G4649">
        <v>-319.49509999999998</v>
      </c>
      <c r="H4649">
        <v>0.93239320000000003</v>
      </c>
      <c r="I4649">
        <v>214.6755</v>
      </c>
      <c r="J4649">
        <v>-319.93310000000002</v>
      </c>
      <c r="K4649">
        <v>1.110053</v>
      </c>
      <c r="L4649">
        <v>214.79060000000001</v>
      </c>
      <c r="M4649">
        <v>0.99988339999999998</v>
      </c>
      <c r="N4649">
        <v>0</v>
      </c>
      <c r="O4649">
        <v>5.3958560000000001E-3</v>
      </c>
      <c r="P4649">
        <v>0.99951230000000002</v>
      </c>
      <c r="Q4649">
        <v>-1.247653E-2</v>
      </c>
      <c r="R4649">
        <v>-2.863363E-2</v>
      </c>
      <c r="S4649">
        <v>2.9795530000000001</v>
      </c>
      <c r="T4649">
        <v>-0.71284060000000005</v>
      </c>
      <c r="U4649">
        <v>-0.45462039999999998</v>
      </c>
      <c r="V4649">
        <v>3.4027469999999997E-2</v>
      </c>
      <c r="W4649">
        <v>1.7960700000000001E-3</v>
      </c>
      <c r="X4649">
        <v>0.99941930000000001</v>
      </c>
      <c r="Y4649">
        <v>0.15182860000000001</v>
      </c>
      <c r="Z4649">
        <v>-1.9076650000000001E-2</v>
      </c>
      <c r="AA4649">
        <v>0.98822270000000001</v>
      </c>
      <c r="AB4649">
        <v>30</v>
      </c>
      <c r="AC4649">
        <v>0.43800000000004502</v>
      </c>
      <c r="AD4649">
        <v>-0.17765980000000001</v>
      </c>
      <c r="AE4649">
        <v>-0.115100000000012</v>
      </c>
      <c r="AF4649">
        <v>0.101795888447552</v>
      </c>
      <c r="AG4649">
        <v>-0.17765980000000001</v>
      </c>
      <c r="AH4649">
        <v>0.37903952510800698</v>
      </c>
      <c r="AI4649">
        <v>114.354838910732</v>
      </c>
      <c r="AJ4649">
        <v>74.967206900618393</v>
      </c>
      <c r="AK4649">
        <v>0.43080897046715499</v>
      </c>
      <c r="AL4649">
        <v>89.897092715598205</v>
      </c>
      <c r="AM4649">
        <v>88.049990033868795</v>
      </c>
      <c r="AN4649">
        <v>1.00000001589726</v>
      </c>
    </row>
    <row r="4650" spans="1:40" x14ac:dyDescent="0.25">
      <c r="A4650" t="str">
        <f>"20190312154015957"</f>
        <v>20190312154015957</v>
      </c>
      <c r="B4650" t="str">
        <f>"1552376415950234"</f>
        <v>1552376415950234</v>
      </c>
      <c r="C4650" t="s">
        <v>40</v>
      </c>
      <c r="D4650">
        <v>4.1476810000000004</v>
      </c>
      <c r="E4650">
        <v>0.54973470000000002</v>
      </c>
      <c r="F4650" t="s">
        <v>41</v>
      </c>
      <c r="G4650">
        <v>-319.22050000000002</v>
      </c>
      <c r="H4650">
        <v>0.9394692</v>
      </c>
      <c r="I4650">
        <v>214.6815</v>
      </c>
      <c r="J4650">
        <v>-319.63290000000001</v>
      </c>
      <c r="K4650">
        <v>1.110053</v>
      </c>
      <c r="L4650">
        <v>214.7921</v>
      </c>
      <c r="M4650">
        <v>0.99988410000000005</v>
      </c>
      <c r="N4650">
        <v>0</v>
      </c>
      <c r="O4650">
        <v>5.2612219999999899E-3</v>
      </c>
      <c r="P4650">
        <v>0.99950989999999995</v>
      </c>
      <c r="Q4650">
        <v>-1.2341410000000001E-2</v>
      </c>
      <c r="R4650">
        <v>-2.877271E-2</v>
      </c>
      <c r="S4650">
        <v>2.9795530000000001</v>
      </c>
      <c r="T4650">
        <v>-0.71335389999999999</v>
      </c>
      <c r="U4650">
        <v>-0.45481870000000002</v>
      </c>
      <c r="V4650">
        <v>3.4032140000000002E-2</v>
      </c>
      <c r="W4650">
        <v>1.927677E-3</v>
      </c>
      <c r="X4650">
        <v>0.9994189</v>
      </c>
      <c r="Y4650">
        <v>0.15175939999999999</v>
      </c>
      <c r="Z4650">
        <v>-1.9050190000000002E-2</v>
      </c>
      <c r="AA4650">
        <v>0.9882339</v>
      </c>
      <c r="AB4650">
        <v>30</v>
      </c>
      <c r="AC4650">
        <v>0.412399999999991</v>
      </c>
      <c r="AD4650">
        <v>-0.17058380000000001</v>
      </c>
      <c r="AE4650">
        <v>-0.110600000000005</v>
      </c>
      <c r="AF4650">
        <v>9.7246410434515901E-2</v>
      </c>
      <c r="AG4650">
        <v>-0.17058380000000001</v>
      </c>
      <c r="AH4650">
        <v>0.35512843464380001</v>
      </c>
      <c r="AI4650">
        <v>114.857724336261</v>
      </c>
      <c r="AJ4650">
        <v>74.685851457456195</v>
      </c>
      <c r="AK4650">
        <v>0.40579785886250502</v>
      </c>
      <c r="AL4650">
        <v>89.889552177450796</v>
      </c>
      <c r="AM4650">
        <v>88.049721837183696</v>
      </c>
      <c r="AN4650">
        <v>1.0000000200843999</v>
      </c>
    </row>
    <row r="4651" spans="1:40" x14ac:dyDescent="0.25">
      <c r="A4651" t="str">
        <f>"20190312154015980"</f>
        <v>20190312154015980</v>
      </c>
      <c r="B4651" t="str">
        <f>"1552376415970729"</f>
        <v>1552376415970729</v>
      </c>
      <c r="C4651" t="s">
        <v>40</v>
      </c>
      <c r="D4651">
        <v>4.1568350000000001</v>
      </c>
      <c r="E4651">
        <v>0.54981119999999895</v>
      </c>
      <c r="F4651" t="s">
        <v>41</v>
      </c>
      <c r="G4651">
        <v>-318.94670000000002</v>
      </c>
      <c r="H4651">
        <v>0.94533299999999998</v>
      </c>
      <c r="I4651">
        <v>214.6867</v>
      </c>
      <c r="J4651">
        <v>-319.32929999999999</v>
      </c>
      <c r="K4651">
        <v>1.1100490000000001</v>
      </c>
      <c r="L4651">
        <v>214.79349999999999</v>
      </c>
      <c r="M4651">
        <v>0.99988500000000002</v>
      </c>
      <c r="N4651">
        <v>0</v>
      </c>
      <c r="O4651">
        <v>5.1246909999999998E-3</v>
      </c>
      <c r="P4651">
        <v>0.99951049999999997</v>
      </c>
      <c r="Q4651">
        <v>-1.241635E-2</v>
      </c>
      <c r="R4651">
        <v>-2.8718190000000001E-2</v>
      </c>
      <c r="S4651">
        <v>2.9794619999999998</v>
      </c>
      <c r="T4651">
        <v>-0.71526369999999995</v>
      </c>
      <c r="U4651">
        <v>-0.45628360000000001</v>
      </c>
      <c r="V4651">
        <v>3.3841139999999999E-2</v>
      </c>
      <c r="W4651">
        <v>1.8494760000000001E-3</v>
      </c>
      <c r="X4651">
        <v>0.99942549999999997</v>
      </c>
      <c r="Y4651">
        <v>0.15207599999999999</v>
      </c>
      <c r="Z4651">
        <v>-1.910481E-2</v>
      </c>
      <c r="AA4651">
        <v>0.98818419999999896</v>
      </c>
      <c r="AB4651">
        <v>30</v>
      </c>
      <c r="AC4651">
        <v>0.38259999999996802</v>
      </c>
      <c r="AD4651">
        <v>-0.164716</v>
      </c>
      <c r="AE4651">
        <v>-0.106799999999992</v>
      </c>
      <c r="AF4651">
        <v>9.2802400380207997E-2</v>
      </c>
      <c r="AG4651">
        <v>-0.164716</v>
      </c>
      <c r="AH4651">
        <v>0.32599389751366298</v>
      </c>
      <c r="AI4651">
        <v>115.918152584857</v>
      </c>
      <c r="AJ4651">
        <v>74.109657552415001</v>
      </c>
      <c r="AK4651">
        <v>0.37684966152097898</v>
      </c>
      <c r="AL4651">
        <v>89.894032769066897</v>
      </c>
      <c r="AM4651">
        <v>88.0606718801982</v>
      </c>
      <c r="AN4651">
        <v>0.99999998668411205</v>
      </c>
    </row>
    <row r="4652" spans="1:40" x14ac:dyDescent="0.25">
      <c r="A4652" t="str">
        <f>"20190312154016000"</f>
        <v>20190312154016000</v>
      </c>
      <c r="B4652" t="str">
        <f>"1552376415990250"</f>
        <v>1552376415990250</v>
      </c>
      <c r="C4652" t="s">
        <v>40</v>
      </c>
      <c r="D4652">
        <v>4.1553690000000003</v>
      </c>
      <c r="E4652">
        <v>0.54988590000000004</v>
      </c>
      <c r="F4652" t="s">
        <v>41</v>
      </c>
      <c r="G4652">
        <v>-318.42739999999998</v>
      </c>
      <c r="H4652">
        <v>0.89307130000000001</v>
      </c>
      <c r="I4652">
        <v>214.6549</v>
      </c>
      <c r="J4652">
        <v>-319.03550000000001</v>
      </c>
      <c r="K4652">
        <v>1.11005</v>
      </c>
      <c r="L4652">
        <v>214.79490000000001</v>
      </c>
      <c r="M4652">
        <v>0.99988560000000004</v>
      </c>
      <c r="N4652">
        <v>0</v>
      </c>
      <c r="O4652">
        <v>4.9922200000000003E-3</v>
      </c>
      <c r="P4652">
        <v>0.99950870000000003</v>
      </c>
      <c r="Q4652">
        <v>-1.255351E-2</v>
      </c>
      <c r="R4652">
        <v>-2.8721409999999999E-2</v>
      </c>
      <c r="S4652">
        <v>2.9794010000000002</v>
      </c>
      <c r="T4652">
        <v>-0.71685919999999903</v>
      </c>
      <c r="U4652">
        <v>-0.45675660000000001</v>
      </c>
      <c r="V4652">
        <v>3.3711810000000002E-2</v>
      </c>
      <c r="W4652">
        <v>1.7088089999999999E-3</v>
      </c>
      <c r="X4652">
        <v>0.99943009999999999</v>
      </c>
      <c r="Y4652">
        <v>0.15208559999999999</v>
      </c>
      <c r="Z4652">
        <v>-1.9116310000000001E-2</v>
      </c>
      <c r="AA4652">
        <v>0.98818240000000002</v>
      </c>
      <c r="AB4652">
        <v>30</v>
      </c>
      <c r="AC4652">
        <v>0.60810000000003495</v>
      </c>
      <c r="AD4652">
        <v>-0.2169787</v>
      </c>
      <c r="AE4652">
        <v>-0.140000000000014</v>
      </c>
      <c r="AF4652">
        <v>0.12760579767734001</v>
      </c>
      <c r="AG4652">
        <v>-0.2169787</v>
      </c>
      <c r="AH4652">
        <v>0.54187636165622899</v>
      </c>
      <c r="AI4652">
        <v>111.293837126534</v>
      </c>
      <c r="AJ4652">
        <v>76.7489128701189</v>
      </c>
      <c r="AK4652">
        <v>0.59748890129972498</v>
      </c>
      <c r="AL4652">
        <v>89.902092405276704</v>
      </c>
      <c r="AM4652">
        <v>88.068086629354397</v>
      </c>
      <c r="AN4652">
        <v>0.99999996547384096</v>
      </c>
    </row>
    <row r="4653" spans="1:40" x14ac:dyDescent="0.25">
      <c r="A4653" t="str">
        <f>"20190312154016023"</f>
        <v>20190312154016023</v>
      </c>
      <c r="B4653" t="str">
        <f>"1552376416010745"</f>
        <v>1552376416010745</v>
      </c>
      <c r="C4653" t="s">
        <v>40</v>
      </c>
      <c r="D4653">
        <v>4.173082</v>
      </c>
      <c r="E4653">
        <v>0.54987249999999999</v>
      </c>
      <c r="F4653" t="s">
        <v>41</v>
      </c>
      <c r="G4653">
        <v>-318.15550000000002</v>
      </c>
      <c r="H4653">
        <v>0.89772619999999903</v>
      </c>
      <c r="I4653">
        <v>214.65960000000001</v>
      </c>
      <c r="J4653">
        <v>-318.74160000000001</v>
      </c>
      <c r="K4653">
        <v>1.1100490000000001</v>
      </c>
      <c r="L4653">
        <v>214.7962</v>
      </c>
      <c r="M4653">
        <v>0.99988650000000001</v>
      </c>
      <c r="N4653">
        <v>0</v>
      </c>
      <c r="O4653">
        <v>4.8595729999999998E-3</v>
      </c>
      <c r="P4653">
        <v>0.99950119999999998</v>
      </c>
      <c r="Q4653">
        <v>-1.240365E-2</v>
      </c>
      <c r="R4653">
        <v>-2.904901E-2</v>
      </c>
      <c r="S4653">
        <v>2.979279</v>
      </c>
      <c r="T4653">
        <v>-0.71884709999999996</v>
      </c>
      <c r="U4653">
        <v>-0.45721440000000002</v>
      </c>
      <c r="V4653">
        <v>3.3906840000000001E-2</v>
      </c>
      <c r="W4653">
        <v>1.8551970000000001E-3</v>
      </c>
      <c r="X4653">
        <v>0.99942330000000001</v>
      </c>
      <c r="Y4653">
        <v>0.15208840000000001</v>
      </c>
      <c r="Z4653">
        <v>-1.9137350000000001E-2</v>
      </c>
      <c r="AA4653">
        <v>0.98818159999999999</v>
      </c>
      <c r="AB4653">
        <v>30</v>
      </c>
      <c r="AC4653">
        <v>0.58609999999998696</v>
      </c>
      <c r="AD4653">
        <v>-0.21232280000000001</v>
      </c>
      <c r="AE4653">
        <v>-0.13659999999998701</v>
      </c>
      <c r="AF4653">
        <v>0.124010794284573</v>
      </c>
      <c r="AG4653">
        <v>-0.21232280000000001</v>
      </c>
      <c r="AH4653">
        <v>0.52062508176966205</v>
      </c>
      <c r="AI4653">
        <v>111.63939536020899</v>
      </c>
      <c r="AJ4653">
        <v>76.602040703732797</v>
      </c>
      <c r="AK4653">
        <v>0.57576915883589797</v>
      </c>
      <c r="AL4653">
        <v>89.893704983319395</v>
      </c>
      <c r="AM4653">
        <v>88.0569054315079</v>
      </c>
      <c r="AN4653">
        <v>1.0000000240687901</v>
      </c>
    </row>
    <row r="4654" spans="1:40" x14ac:dyDescent="0.25">
      <c r="A4654" t="str">
        <f>"20190312154016046"</f>
        <v>20190312154016046</v>
      </c>
      <c r="B4654" t="str">
        <f>"1552376416041001"</f>
        <v>1552376416041001</v>
      </c>
      <c r="C4654" t="s">
        <v>40</v>
      </c>
      <c r="D4654">
        <v>4.1565949999999896</v>
      </c>
      <c r="E4654">
        <v>0.54974789999999996</v>
      </c>
      <c r="F4654" t="s">
        <v>41</v>
      </c>
      <c r="G4654">
        <v>-317.88350000000003</v>
      </c>
      <c r="H4654">
        <v>0.90306220000000004</v>
      </c>
      <c r="I4654">
        <v>214.66390000000001</v>
      </c>
      <c r="J4654">
        <v>-318.4282</v>
      </c>
      <c r="K4654">
        <v>1.110052</v>
      </c>
      <c r="L4654">
        <v>214.79759999999999</v>
      </c>
      <c r="M4654">
        <v>0.99988710000000003</v>
      </c>
      <c r="N4654">
        <v>0</v>
      </c>
      <c r="O4654">
        <v>4.718524E-3</v>
      </c>
      <c r="P4654">
        <v>0.99949440000000001</v>
      </c>
      <c r="Q4654">
        <v>-1.2183650000000001E-2</v>
      </c>
      <c r="R4654">
        <v>-2.9369880000000001E-2</v>
      </c>
      <c r="S4654">
        <v>2.9792480000000001</v>
      </c>
      <c r="T4654">
        <v>-0.7187403</v>
      </c>
      <c r="U4654">
        <v>-0.4582214</v>
      </c>
      <c r="V4654">
        <v>3.4086789999999999E-2</v>
      </c>
      <c r="W4654">
        <v>2.0716810000000001E-3</v>
      </c>
      <c r="X4654">
        <v>0.99941670000000005</v>
      </c>
      <c r="Y4654">
        <v>0.1522771</v>
      </c>
      <c r="Z4654">
        <v>-1.912326E-2</v>
      </c>
      <c r="AA4654">
        <v>0.98815280000000005</v>
      </c>
      <c r="AB4654">
        <v>30</v>
      </c>
      <c r="AC4654">
        <v>0.54469999999997698</v>
      </c>
      <c r="AD4654">
        <v>-0.2069898</v>
      </c>
      <c r="AE4654">
        <v>-0.133699999999976</v>
      </c>
      <c r="AF4654">
        <v>0.119934006614028</v>
      </c>
      <c r="AG4654">
        <v>-0.2069898</v>
      </c>
      <c r="AH4654">
        <v>0.47884462704056802</v>
      </c>
      <c r="AI4654">
        <v>112.749122725281</v>
      </c>
      <c r="AJ4654">
        <v>75.938662881474499</v>
      </c>
      <c r="AK4654">
        <v>0.535276676207879</v>
      </c>
      <c r="AL4654">
        <v>89.881301333815401</v>
      </c>
      <c r="AM4654">
        <v>88.046588140028902</v>
      </c>
      <c r="AN4654">
        <v>0.99999997067677904</v>
      </c>
    </row>
    <row r="4655" spans="1:40" x14ac:dyDescent="0.25">
      <c r="A4655" t="str">
        <f>"20190312154016069"</f>
        <v>20190312154016069</v>
      </c>
      <c r="B4655" t="str">
        <f>"1552376416060521"</f>
        <v>1552376416060521</v>
      </c>
      <c r="C4655" t="s">
        <v>40</v>
      </c>
      <c r="D4655">
        <v>4.1957990000000001</v>
      </c>
      <c r="E4655">
        <v>0.54984560000000005</v>
      </c>
      <c r="F4655" t="s">
        <v>41</v>
      </c>
      <c r="G4655">
        <v>-317.61020000000002</v>
      </c>
      <c r="H4655">
        <v>0.91277960000000002</v>
      </c>
      <c r="I4655">
        <v>214.67150000000001</v>
      </c>
      <c r="J4655">
        <v>-318.12290000000002</v>
      </c>
      <c r="K4655">
        <v>1.110052</v>
      </c>
      <c r="L4655">
        <v>214.7988</v>
      </c>
      <c r="M4655">
        <v>0.99988759999999999</v>
      </c>
      <c r="N4655">
        <v>0</v>
      </c>
      <c r="O4655">
        <v>4.5814660000000002E-3</v>
      </c>
      <c r="P4655">
        <v>0.99948009999999998</v>
      </c>
      <c r="Q4655">
        <v>-1.2175099999999999E-2</v>
      </c>
      <c r="R4655">
        <v>-2.985517E-2</v>
      </c>
      <c r="S4655">
        <v>2.9793090000000002</v>
      </c>
      <c r="T4655">
        <v>-0.71850800000000004</v>
      </c>
      <c r="U4655">
        <v>-0.45816040000000002</v>
      </c>
      <c r="V4655">
        <v>3.4435159999999999E-2</v>
      </c>
      <c r="W4655">
        <v>2.0764500000000001E-3</v>
      </c>
      <c r="X4655">
        <v>0.99940479999999998</v>
      </c>
      <c r="Y4655">
        <v>0.15212989999999901</v>
      </c>
      <c r="Z4655">
        <v>-1.9067069999999998E-2</v>
      </c>
      <c r="AA4655">
        <v>0.98817659999999996</v>
      </c>
      <c r="AB4655">
        <v>30</v>
      </c>
      <c r="AC4655">
        <v>0.51269999999999505</v>
      </c>
      <c r="AD4655">
        <v>-0.19727239999999999</v>
      </c>
      <c r="AE4655">
        <v>-0.127299999999991</v>
      </c>
      <c r="AF4655">
        <v>0.113780850649937</v>
      </c>
      <c r="AG4655">
        <v>-0.19727239999999999</v>
      </c>
      <c r="AH4655">
        <v>0.44943650689710102</v>
      </c>
      <c r="AI4655">
        <v>113.050175371096</v>
      </c>
      <c r="AJ4655">
        <v>75.793298996429598</v>
      </c>
      <c r="AK4655">
        <v>0.50384090297260697</v>
      </c>
      <c r="AL4655">
        <v>89.881028095881206</v>
      </c>
      <c r="AM4655">
        <v>88.026616324573595</v>
      </c>
      <c r="AN4655">
        <v>1.0000000230759301</v>
      </c>
    </row>
    <row r="4656" spans="1:40" x14ac:dyDescent="0.25">
      <c r="A4656" t="str">
        <f>"20190312154016091"</f>
        <v>20190312154016091</v>
      </c>
      <c r="B4656" t="str">
        <f>"1552376416081017"</f>
        <v>1552376416081017</v>
      </c>
      <c r="C4656" t="s">
        <v>40</v>
      </c>
      <c r="D4656">
        <v>4.197139</v>
      </c>
      <c r="E4656">
        <v>0.54983139999999997</v>
      </c>
      <c r="F4656" t="s">
        <v>41</v>
      </c>
      <c r="G4656">
        <v>-317.3381</v>
      </c>
      <c r="H4656">
        <v>0.92031169999999995</v>
      </c>
      <c r="I4656">
        <v>214.6773</v>
      </c>
      <c r="J4656">
        <v>-317.82319999999999</v>
      </c>
      <c r="K4656">
        <v>1.110053</v>
      </c>
      <c r="L4656">
        <v>214.80009999999999</v>
      </c>
      <c r="M4656">
        <v>0.99988840000000001</v>
      </c>
      <c r="N4656">
        <v>0</v>
      </c>
      <c r="O4656">
        <v>4.4469119999999999E-3</v>
      </c>
      <c r="P4656">
        <v>0.99946179999999996</v>
      </c>
      <c r="Q4656">
        <v>-1.251616E-2</v>
      </c>
      <c r="R4656">
        <v>-3.0323050000000001E-2</v>
      </c>
      <c r="S4656">
        <v>2.979034</v>
      </c>
      <c r="T4656">
        <v>-0.72020839999999997</v>
      </c>
      <c r="U4656">
        <v>-0.46011350000000001</v>
      </c>
      <c r="V4656">
        <v>3.4768420000000001E-2</v>
      </c>
      <c r="W4656">
        <v>1.7316969999999999E-3</v>
      </c>
      <c r="X4656">
        <v>0.99939389999999995</v>
      </c>
      <c r="Y4656">
        <v>0.1526129</v>
      </c>
      <c r="Z4656">
        <v>-1.9137080000000001E-2</v>
      </c>
      <c r="AA4656">
        <v>0.9881008</v>
      </c>
      <c r="AB4656">
        <v>30</v>
      </c>
      <c r="AC4656">
        <v>0.48509999999998799</v>
      </c>
      <c r="AD4656">
        <v>-0.189741299999999</v>
      </c>
      <c r="AE4656">
        <v>-0.12279999999998301</v>
      </c>
      <c r="AF4656">
        <v>0.109248846584045</v>
      </c>
      <c r="AG4656">
        <v>-0.189741299999999</v>
      </c>
      <c r="AH4656">
        <v>0.42363984939494698</v>
      </c>
      <c r="AI4656">
        <v>113.446119458091</v>
      </c>
      <c r="AJ4656">
        <v>75.539541863103196</v>
      </c>
      <c r="AK4656">
        <v>0.47687293213287701</v>
      </c>
      <c r="AL4656">
        <v>89.900781021369696</v>
      </c>
      <c r="AM4656">
        <v>88.007511722834096</v>
      </c>
      <c r="AN4656">
        <v>1.0000000045805</v>
      </c>
    </row>
    <row r="4657" spans="1:40" x14ac:dyDescent="0.25">
      <c r="A4657" t="str">
        <f>"20190312154016114"</f>
        <v>20190312154016114</v>
      </c>
      <c r="B4657" t="str">
        <f>"1552376416100537"</f>
        <v>1552376416100537</v>
      </c>
      <c r="C4657" t="s">
        <v>40</v>
      </c>
      <c r="D4657">
        <v>4.1372439999999999</v>
      </c>
      <c r="E4657">
        <v>0.54985519999999999</v>
      </c>
      <c r="F4657" t="s">
        <v>41</v>
      </c>
      <c r="G4657">
        <v>-317.06639999999999</v>
      </c>
      <c r="H4657">
        <v>0.92665960000000003</v>
      </c>
      <c r="I4657">
        <v>214.6824</v>
      </c>
      <c r="J4657">
        <v>-317.51870000000002</v>
      </c>
      <c r="K4657">
        <v>1.110053</v>
      </c>
      <c r="L4657">
        <v>214.8013</v>
      </c>
      <c r="M4657">
        <v>0.99988909999999998</v>
      </c>
      <c r="N4657">
        <v>0</v>
      </c>
      <c r="O4657">
        <v>4.3102139999999997E-3</v>
      </c>
      <c r="P4657">
        <v>0.99945740000000005</v>
      </c>
      <c r="Q4657">
        <v>-1.25808E-2</v>
      </c>
      <c r="R4657">
        <v>-3.044792E-2</v>
      </c>
      <c r="S4657">
        <v>2.978577</v>
      </c>
      <c r="T4657">
        <v>-0.72193189999999996</v>
      </c>
      <c r="U4657">
        <v>-0.46168520000000002</v>
      </c>
      <c r="V4657">
        <v>3.4756519999999999E-2</v>
      </c>
      <c r="W4657">
        <v>1.6639859999999999E-3</v>
      </c>
      <c r="X4657">
        <v>0.99939440000000002</v>
      </c>
      <c r="Y4657">
        <v>0.1529817</v>
      </c>
      <c r="Z4657">
        <v>-1.919502E-2</v>
      </c>
      <c r="AA4657">
        <v>0.98804259999999999</v>
      </c>
      <c r="AB4657">
        <v>30</v>
      </c>
      <c r="AC4657">
        <v>0.45230000000003601</v>
      </c>
      <c r="AD4657">
        <v>-0.18339340000000001</v>
      </c>
      <c r="AE4657">
        <v>-0.118899999999996</v>
      </c>
      <c r="AF4657">
        <v>0.104741656</v>
      </c>
      <c r="AG4657">
        <v>-0.18339340000000001</v>
      </c>
      <c r="AH4657">
        <v>0.39156867082360303</v>
      </c>
      <c r="AI4657">
        <v>114.34429990324701</v>
      </c>
      <c r="AJ4657">
        <v>75.024420151935701</v>
      </c>
      <c r="AK4657">
        <v>0.44489322048750701</v>
      </c>
      <c r="AL4657">
        <v>89.904660578711997</v>
      </c>
      <c r="AM4657">
        <v>88.008194127382694</v>
      </c>
      <c r="AN4657">
        <v>0.99999997564163801</v>
      </c>
    </row>
    <row r="4658" spans="1:40" x14ac:dyDescent="0.25">
      <c r="A4658" t="str">
        <f>"20190312154016136"</f>
        <v>20190312154016136</v>
      </c>
      <c r="B4658" t="str">
        <f>"1552376416130794"</f>
        <v>1552376416130794</v>
      </c>
      <c r="C4658" t="s">
        <v>40</v>
      </c>
      <c r="D4658">
        <v>4.2065409999999996</v>
      </c>
      <c r="E4658">
        <v>0.54990669999999897</v>
      </c>
      <c r="F4658" t="s">
        <v>41</v>
      </c>
      <c r="G4658">
        <v>-316.79450000000003</v>
      </c>
      <c r="H4658">
        <v>0.93428080000000002</v>
      </c>
      <c r="I4658">
        <v>214.6884</v>
      </c>
      <c r="J4658">
        <v>-317.21699999999998</v>
      </c>
      <c r="K4658">
        <v>1.1100559999999999</v>
      </c>
      <c r="L4658">
        <v>214.80240000000001</v>
      </c>
      <c r="M4658">
        <v>0.99988960000000005</v>
      </c>
      <c r="N4658">
        <v>0</v>
      </c>
      <c r="O4658">
        <v>4.175186E-3</v>
      </c>
      <c r="P4658">
        <v>0.99946579999999996</v>
      </c>
      <c r="Q4658">
        <v>-1.219083E-2</v>
      </c>
      <c r="R4658">
        <v>-3.0320610000000001E-2</v>
      </c>
      <c r="S4658">
        <v>2.978485</v>
      </c>
      <c r="T4658">
        <v>-0.72297009999999995</v>
      </c>
      <c r="U4658">
        <v>-0.46215820000000002</v>
      </c>
      <c r="V4658">
        <v>3.4494419999999998E-2</v>
      </c>
      <c r="W4658">
        <v>2.0507009999999998E-3</v>
      </c>
      <c r="X4658">
        <v>0.99940280000000004</v>
      </c>
      <c r="Y4658">
        <v>0.15299679999999999</v>
      </c>
      <c r="Z4658">
        <v>-1.9191880000000001E-2</v>
      </c>
      <c r="AA4658">
        <v>0.98804029999999998</v>
      </c>
      <c r="AB4658">
        <v>30</v>
      </c>
      <c r="AC4658">
        <v>0.42249999999995602</v>
      </c>
      <c r="AD4658">
        <v>-0.17577519999999899</v>
      </c>
      <c r="AE4658">
        <v>-0.114000000000004</v>
      </c>
      <c r="AF4658">
        <v>9.9680738407128905E-2</v>
      </c>
      <c r="AG4658">
        <v>-0.17577519999999899</v>
      </c>
      <c r="AH4658">
        <v>0.36339090697474802</v>
      </c>
      <c r="AI4658">
        <v>115.00795435142599</v>
      </c>
      <c r="AJ4658">
        <v>74.660659515203207</v>
      </c>
      <c r="AK4658">
        <v>0.41579576935842</v>
      </c>
      <c r="AL4658">
        <v>89.8825034068919</v>
      </c>
      <c r="AM4658">
        <v>88.023219037266998</v>
      </c>
      <c r="AN4658">
        <v>1.0000000135167799</v>
      </c>
    </row>
    <row r="4659" spans="1:40" x14ac:dyDescent="0.25">
      <c r="A4659" t="str">
        <f>"20190312154016159"</f>
        <v>20190312154016159</v>
      </c>
      <c r="B4659" t="str">
        <f>"1552376416150314"</f>
        <v>1552376416150314</v>
      </c>
      <c r="C4659" t="s">
        <v>40</v>
      </c>
      <c r="D4659">
        <v>4.1423899999999998</v>
      </c>
      <c r="E4659">
        <v>0.54987509999999995</v>
      </c>
      <c r="F4659" t="s">
        <v>41</v>
      </c>
      <c r="G4659">
        <v>-316.52289999999999</v>
      </c>
      <c r="H4659">
        <v>0.94164979999999998</v>
      </c>
      <c r="I4659">
        <v>214.6944</v>
      </c>
      <c r="J4659">
        <v>-316.91579999999999</v>
      </c>
      <c r="K4659">
        <v>1.1100559999999999</v>
      </c>
      <c r="L4659">
        <v>214.80350000000001</v>
      </c>
      <c r="M4659">
        <v>0.99989019999999995</v>
      </c>
      <c r="N4659">
        <v>0</v>
      </c>
      <c r="O4659">
        <v>4.0404519999999999E-3</v>
      </c>
      <c r="P4659">
        <v>0.99949149999999998</v>
      </c>
      <c r="Q4659">
        <v>-1.1389700000000001E-2</v>
      </c>
      <c r="R4659">
        <v>-2.978695E-2</v>
      </c>
      <c r="S4659">
        <v>2.978729</v>
      </c>
      <c r="T4659">
        <v>-0.72279349999999998</v>
      </c>
      <c r="U4659">
        <v>-0.4626923</v>
      </c>
      <c r="V4659">
        <v>3.3826429999999998E-2</v>
      </c>
      <c r="W4659">
        <v>2.8489230000000002E-3</v>
      </c>
      <c r="X4659">
        <v>0.99942370000000003</v>
      </c>
      <c r="Y4659">
        <v>0.15303029999999901</v>
      </c>
      <c r="Z4659">
        <v>-1.9157489999999999E-2</v>
      </c>
      <c r="AA4659">
        <v>0.98803580000000002</v>
      </c>
      <c r="AB4659">
        <v>30</v>
      </c>
      <c r="AC4659">
        <v>0.39289999999999697</v>
      </c>
      <c r="AD4659">
        <v>-0.16840619999999901</v>
      </c>
      <c r="AE4659">
        <v>-0.10910000000001201</v>
      </c>
      <c r="AF4659">
        <v>9.4558284587412805E-2</v>
      </c>
      <c r="AG4659">
        <v>-0.16840619999999901</v>
      </c>
      <c r="AH4659">
        <v>0.335270076467231</v>
      </c>
      <c r="AI4659">
        <v>115.801003650722</v>
      </c>
      <c r="AJ4659">
        <v>74.249628975878593</v>
      </c>
      <c r="AK4659">
        <v>0.38692110508073502</v>
      </c>
      <c r="AL4659">
        <v>89.8367685213247</v>
      </c>
      <c r="AM4659">
        <v>88.061510731614405</v>
      </c>
      <c r="AN4659">
        <v>1.0000000379252401</v>
      </c>
    </row>
    <row r="4660" spans="1:40" x14ac:dyDescent="0.25">
      <c r="A4660" t="str">
        <f>"20190312154016180"</f>
        <v>20190312154016180</v>
      </c>
      <c r="B4660" t="str">
        <f>"1552376416170809"</f>
        <v>1552376416170809</v>
      </c>
      <c r="C4660" t="s">
        <v>40</v>
      </c>
      <c r="D4660">
        <v>4.1945759999999996</v>
      </c>
      <c r="E4660">
        <v>0.54985859999999998</v>
      </c>
      <c r="F4660" t="s">
        <v>41</v>
      </c>
      <c r="G4660">
        <v>-316.00869999999998</v>
      </c>
      <c r="H4660">
        <v>0.89073289999999905</v>
      </c>
      <c r="I4660">
        <v>214.66309999999999</v>
      </c>
      <c r="J4660">
        <v>-316.62630000000001</v>
      </c>
      <c r="K4660">
        <v>1.11005</v>
      </c>
      <c r="L4660">
        <v>214.80459999999999</v>
      </c>
      <c r="M4660">
        <v>0.99989079999999997</v>
      </c>
      <c r="N4660">
        <v>0</v>
      </c>
      <c r="O4660">
        <v>3.9104279999999996E-3</v>
      </c>
      <c r="P4660">
        <v>0.99950059999999996</v>
      </c>
      <c r="Q4660">
        <v>-1.1356099999999999E-2</v>
      </c>
      <c r="R4660">
        <v>-2.9491380000000001E-2</v>
      </c>
      <c r="S4660">
        <v>2.979584</v>
      </c>
      <c r="T4660">
        <v>-0.72035400000000005</v>
      </c>
      <c r="U4660">
        <v>-0.46089170000000002</v>
      </c>
      <c r="V4660">
        <v>3.3400859999999997E-2</v>
      </c>
      <c r="W4660">
        <v>2.879918E-3</v>
      </c>
      <c r="X4660">
        <v>0.99943789999999999</v>
      </c>
      <c r="Y4660">
        <v>0.15233070000000001</v>
      </c>
      <c r="Z4660">
        <v>-1.8976489999999999E-2</v>
      </c>
      <c r="AA4660">
        <v>0.98814740000000001</v>
      </c>
      <c r="AB4660">
        <v>30</v>
      </c>
      <c r="AC4660">
        <v>0.61760000000003801</v>
      </c>
      <c r="AD4660">
        <v>-0.21931709999999999</v>
      </c>
      <c r="AE4660">
        <v>-0.14150000000000701</v>
      </c>
      <c r="AF4660">
        <v>0.12851608331168601</v>
      </c>
      <c r="AG4660">
        <v>-0.21931709999999999</v>
      </c>
      <c r="AH4660">
        <v>0.55102125875044194</v>
      </c>
      <c r="AI4660">
        <v>111.18714027200301</v>
      </c>
      <c r="AJ4660">
        <v>76.871455104264996</v>
      </c>
      <c r="AK4660">
        <v>0.60682847792198102</v>
      </c>
      <c r="AL4660">
        <v>89.834992627417506</v>
      </c>
      <c r="AM4660">
        <v>88.085907765214102</v>
      </c>
      <c r="AN4660">
        <v>1.00000001366641</v>
      </c>
    </row>
    <row r="4661" spans="1:40" x14ac:dyDescent="0.25">
      <c r="A4661" t="str">
        <f>"20190312154016201"</f>
        <v>20190312154016201</v>
      </c>
      <c r="B4661" t="str">
        <f>"1552376416190330"</f>
        <v>1552376416190330</v>
      </c>
      <c r="C4661" t="s">
        <v>40</v>
      </c>
      <c r="D4661">
        <v>4.1822489999999997</v>
      </c>
      <c r="E4661">
        <v>0.54996699999999998</v>
      </c>
      <c r="F4661" t="s">
        <v>41</v>
      </c>
      <c r="G4661">
        <v>-315.73950000000002</v>
      </c>
      <c r="H4661">
        <v>0.89548050000000001</v>
      </c>
      <c r="I4661">
        <v>214.66739999999999</v>
      </c>
      <c r="J4661">
        <v>-316.3424</v>
      </c>
      <c r="K4661">
        <v>1.110052</v>
      </c>
      <c r="L4661">
        <v>214.80549999999999</v>
      </c>
      <c r="M4661">
        <v>0.99989150000000004</v>
      </c>
      <c r="N4661">
        <v>0</v>
      </c>
      <c r="O4661">
        <v>3.7830860000000002E-3</v>
      </c>
      <c r="P4661">
        <v>0.99950280000000002</v>
      </c>
      <c r="Q4661">
        <v>-1.162178E-2</v>
      </c>
      <c r="R4661">
        <v>-2.9315279999999999E-2</v>
      </c>
      <c r="S4661">
        <v>2.9797359999999999</v>
      </c>
      <c r="T4661">
        <v>-0.72103079999999997</v>
      </c>
      <c r="U4661">
        <v>-0.45953369999999999</v>
      </c>
      <c r="V4661">
        <v>3.3097479999999999E-2</v>
      </c>
      <c r="W4661">
        <v>2.611459E-3</v>
      </c>
      <c r="X4661">
        <v>0.99944869999999997</v>
      </c>
      <c r="Y4661">
        <v>0.15176879999999901</v>
      </c>
      <c r="Z4661">
        <v>-1.8896659999999999E-2</v>
      </c>
      <c r="AA4661">
        <v>0.98823539999999999</v>
      </c>
      <c r="AB4661">
        <v>30</v>
      </c>
      <c r="AC4661">
        <v>0.60289999999997601</v>
      </c>
      <c r="AD4661">
        <v>-0.2145715</v>
      </c>
      <c r="AE4661">
        <v>-0.13810000000000799</v>
      </c>
      <c r="AF4661">
        <v>0.125300237338901</v>
      </c>
      <c r="AG4661">
        <v>-0.2145715</v>
      </c>
      <c r="AH4661">
        <v>0.53766539594255303</v>
      </c>
      <c r="AI4661">
        <v>111.239377958205</v>
      </c>
      <c r="AJ4661">
        <v>76.881645459629794</v>
      </c>
      <c r="AK4661">
        <v>0.59230495193227695</v>
      </c>
      <c r="AL4661">
        <v>89.850374248379197</v>
      </c>
      <c r="AM4661">
        <v>88.103301188182002</v>
      </c>
      <c r="AN4661">
        <v>0.99999998341607399</v>
      </c>
    </row>
    <row r="4662" spans="1:40" x14ac:dyDescent="0.25">
      <c r="A4662" t="str">
        <f>"20190312154016224"</f>
        <v>20190312154016224</v>
      </c>
      <c r="B4662" t="str">
        <f>"1552376416221184"</f>
        <v>1552376416221184</v>
      </c>
      <c r="C4662" t="s">
        <v>40</v>
      </c>
      <c r="D4662">
        <v>4.2115749999999998</v>
      </c>
      <c r="E4662">
        <v>0.53341190000000005</v>
      </c>
      <c r="F4662" t="s">
        <v>41</v>
      </c>
      <c r="G4662">
        <v>-315.47140000000002</v>
      </c>
      <c r="H4662">
        <v>0.89864829999999996</v>
      </c>
      <c r="I4662">
        <v>214.6711</v>
      </c>
      <c r="J4662">
        <v>-316.04629999999997</v>
      </c>
      <c r="K4662">
        <v>1.110055</v>
      </c>
      <c r="L4662">
        <v>214.8065</v>
      </c>
      <c r="M4662">
        <v>0.99989189999999994</v>
      </c>
      <c r="N4662">
        <v>0</v>
      </c>
      <c r="O4662">
        <v>3.6500230000000001E-3</v>
      </c>
      <c r="P4662">
        <v>0.9995018</v>
      </c>
      <c r="Q4662">
        <v>-1.1483790000000001E-2</v>
      </c>
      <c r="R4662">
        <v>-2.940537E-2</v>
      </c>
      <c r="S4662">
        <v>2.9796140000000002</v>
      </c>
      <c r="T4662">
        <v>-0.72317489999999995</v>
      </c>
      <c r="U4662">
        <v>-0.45991520000000002</v>
      </c>
      <c r="V4662">
        <v>3.3054439999999997E-2</v>
      </c>
      <c r="W4662">
        <v>2.7468810000000001E-3</v>
      </c>
      <c r="X4662">
        <v>0.99944980000000005</v>
      </c>
      <c r="Y4662">
        <v>0.15174550000000001</v>
      </c>
      <c r="Z4662">
        <v>-1.8917429999999999E-2</v>
      </c>
      <c r="AA4662">
        <v>0.98823859999999997</v>
      </c>
      <c r="AB4662">
        <v>30</v>
      </c>
      <c r="AC4662">
        <v>0.574899999999956</v>
      </c>
      <c r="AD4662">
        <v>-0.211406699999999</v>
      </c>
      <c r="AE4662">
        <v>-0.13540000000000399</v>
      </c>
      <c r="AF4662">
        <v>0.121882473772624</v>
      </c>
      <c r="AG4662">
        <v>-0.211406699999999</v>
      </c>
      <c r="AH4662">
        <v>0.50916866768617797</v>
      </c>
      <c r="AI4662">
        <v>111.98846793866301</v>
      </c>
      <c r="AJ4662">
        <v>76.538107235853602</v>
      </c>
      <c r="AK4662">
        <v>0.56462453220803499</v>
      </c>
      <c r="AL4662">
        <v>89.842615117422795</v>
      </c>
      <c r="AM4662">
        <v>88.105767942706095</v>
      </c>
      <c r="AN4662">
        <v>1.00000002203949</v>
      </c>
    </row>
    <row r="4663" spans="1:40" x14ac:dyDescent="0.25">
      <c r="A4663" t="str">
        <f>"20190312154016248"</f>
        <v>20190312154016248</v>
      </c>
      <c r="B4663" t="str">
        <f>"1552376416240704"</f>
        <v>1552376416240704</v>
      </c>
      <c r="C4663" t="s">
        <v>40</v>
      </c>
      <c r="D4663">
        <v>4.2088140000000003</v>
      </c>
      <c r="E4663">
        <v>0.52481690000000003</v>
      </c>
      <c r="F4663" t="s">
        <v>41</v>
      </c>
      <c r="G4663">
        <v>-315.17230000000001</v>
      </c>
      <c r="H4663">
        <v>0.97177530000000001</v>
      </c>
      <c r="I4663">
        <v>214.7073</v>
      </c>
      <c r="J4663">
        <v>-315.72329999999999</v>
      </c>
      <c r="K4663">
        <v>1.1100620000000001</v>
      </c>
      <c r="L4663">
        <v>214.8075</v>
      </c>
      <c r="M4663">
        <v>0.99989249999999996</v>
      </c>
      <c r="N4663">
        <v>0</v>
      </c>
      <c r="O4663">
        <v>3.504624E-3</v>
      </c>
      <c r="P4663">
        <v>0.99948959999999998</v>
      </c>
      <c r="Q4663">
        <v>-1.143926E-2</v>
      </c>
      <c r="R4663">
        <v>-2.982887E-2</v>
      </c>
      <c r="S4663">
        <v>2.9861149999999999</v>
      </c>
      <c r="T4663">
        <v>-0.47251989999999999</v>
      </c>
      <c r="U4663">
        <v>-0.33808899999999997</v>
      </c>
      <c r="V4663">
        <v>3.3332920000000002E-2</v>
      </c>
      <c r="W4663">
        <v>2.7878880000000001E-3</v>
      </c>
      <c r="X4663">
        <v>0.99944040000000001</v>
      </c>
      <c r="Y4663">
        <v>0.1145333</v>
      </c>
      <c r="Z4663">
        <v>-9.5271350000000008E-3</v>
      </c>
      <c r="AA4663">
        <v>0.99337379999999997</v>
      </c>
      <c r="AB4663">
        <v>30</v>
      </c>
      <c r="AC4663">
        <v>0.55099999999998694</v>
      </c>
      <c r="AD4663">
        <v>-0.13828670000000001</v>
      </c>
      <c r="AE4663">
        <v>-0.1002</v>
      </c>
      <c r="AF4663">
        <v>9.6261411127284202E-2</v>
      </c>
      <c r="AG4663">
        <v>-0.13828670000000001</v>
      </c>
      <c r="AH4663">
        <v>0.51900106578011596</v>
      </c>
      <c r="AI4663">
        <v>104.680414606799</v>
      </c>
      <c r="AJ4663">
        <v>79.492502474483501</v>
      </c>
      <c r="AK4663">
        <v>0.54566617720910804</v>
      </c>
      <c r="AL4663">
        <v>89.8402655744528</v>
      </c>
      <c r="AM4663">
        <v>88.089803068023798</v>
      </c>
      <c r="AN4663">
        <v>0.99999998451369299</v>
      </c>
    </row>
    <row r="4664" spans="1:40" x14ac:dyDescent="0.25">
      <c r="A4664" t="str">
        <f>"20190312154016269"</f>
        <v>20190312154016269</v>
      </c>
      <c r="B4664" t="str">
        <f>"1552376416260224"</f>
        <v>1552376416260224</v>
      </c>
      <c r="C4664" t="s">
        <v>40</v>
      </c>
      <c r="D4664">
        <v>4.2410059999999996</v>
      </c>
      <c r="E4664">
        <v>0.51883140000000005</v>
      </c>
      <c r="F4664" t="s">
        <v>41</v>
      </c>
      <c r="G4664">
        <v>-314.88350000000003</v>
      </c>
      <c r="H4664">
        <v>1.0177130000000001</v>
      </c>
      <c r="I4664">
        <v>214.72980000000001</v>
      </c>
      <c r="J4664">
        <v>-315.43729999999999</v>
      </c>
      <c r="K4664">
        <v>1.110063</v>
      </c>
      <c r="L4664">
        <v>214.80840000000001</v>
      </c>
      <c r="M4664">
        <v>0.99989300000000003</v>
      </c>
      <c r="N4664">
        <v>0</v>
      </c>
      <c r="O4664">
        <v>3.375912E-3</v>
      </c>
      <c r="P4664">
        <v>0.99946950000000001</v>
      </c>
      <c r="Q4664">
        <v>-1.1747189999999999E-2</v>
      </c>
      <c r="R4664">
        <v>-3.0379650000000001E-2</v>
      </c>
      <c r="S4664">
        <v>2.9895019999999999</v>
      </c>
      <c r="T4664">
        <v>-0.32892480000000002</v>
      </c>
      <c r="U4664">
        <v>-0.276001</v>
      </c>
      <c r="V4664">
        <v>3.3754670000000001E-2</v>
      </c>
      <c r="W4664">
        <v>2.4760379999999999E-3</v>
      </c>
      <c r="X4664">
        <v>0.99942710000000001</v>
      </c>
      <c r="Y4664">
        <v>9.470692E-2</v>
      </c>
      <c r="Z4664">
        <v>-5.5531390000000003E-3</v>
      </c>
      <c r="AA4664">
        <v>0.99548970000000003</v>
      </c>
      <c r="AB4664">
        <v>30</v>
      </c>
      <c r="AC4664">
        <v>0.55379999999996699</v>
      </c>
      <c r="AD4664">
        <v>-9.2350000000000099E-2</v>
      </c>
      <c r="AE4664">
        <v>-7.8599999999994397E-2</v>
      </c>
      <c r="AF4664">
        <v>7.8334030733270499E-2</v>
      </c>
      <c r="AG4664">
        <v>-9.2350000000000099E-2</v>
      </c>
      <c r="AH4664">
        <v>0.53884325580828496</v>
      </c>
      <c r="AI4664">
        <v>99.625927832230303</v>
      </c>
      <c r="AJ4664">
        <v>81.728602442882206</v>
      </c>
      <c r="AK4664">
        <v>0.55228325812122303</v>
      </c>
      <c r="AL4664">
        <v>89.858133330332194</v>
      </c>
      <c r="AM4664">
        <v>88.065626525939393</v>
      </c>
      <c r="AN4664">
        <v>1.00000001836269</v>
      </c>
    </row>
    <row r="4665" spans="1:40" x14ac:dyDescent="0.25">
      <c r="A4665" t="str">
        <f>"20190312154016292"</f>
        <v>20190312154016292</v>
      </c>
      <c r="B4665" t="str">
        <f>"1552376416280721"</f>
        <v>1552376416280721</v>
      </c>
      <c r="C4665" t="s">
        <v>40</v>
      </c>
      <c r="D4665">
        <v>4.2210549999999998</v>
      </c>
      <c r="E4665">
        <v>0.51622539999999995</v>
      </c>
      <c r="F4665" t="s">
        <v>41</v>
      </c>
      <c r="G4665">
        <v>-314.60629999999998</v>
      </c>
      <c r="H4665">
        <v>1.040665</v>
      </c>
      <c r="I4665">
        <v>214.7432</v>
      </c>
      <c r="J4665">
        <v>-315.14870000000002</v>
      </c>
      <c r="K4665">
        <v>1.110058</v>
      </c>
      <c r="L4665">
        <v>214.8092</v>
      </c>
      <c r="M4665">
        <v>0.99989349999999999</v>
      </c>
      <c r="N4665">
        <v>0</v>
      </c>
      <c r="O4665">
        <v>3.2458890000000001E-3</v>
      </c>
      <c r="P4665">
        <v>0.99946469999999998</v>
      </c>
      <c r="Q4665">
        <v>-1.140159E-2</v>
      </c>
      <c r="R4665">
        <v>-3.0665379999999999E-2</v>
      </c>
      <c r="S4665">
        <v>2.9915769999999999</v>
      </c>
      <c r="T4665">
        <v>-0.25000630000000001</v>
      </c>
      <c r="U4665">
        <v>-0.23291020000000001</v>
      </c>
      <c r="V4665">
        <v>3.391069E-2</v>
      </c>
      <c r="W4665">
        <v>2.8188829999999999E-3</v>
      </c>
      <c r="X4665">
        <v>0.99942089999999995</v>
      </c>
      <c r="Y4665">
        <v>8.0566020000000002E-2</v>
      </c>
      <c r="Z4665">
        <v>-3.625961E-3</v>
      </c>
      <c r="AA4665">
        <v>0.99674269999999998</v>
      </c>
      <c r="AB4665">
        <v>30</v>
      </c>
      <c r="AC4665">
        <v>0.54240000000004296</v>
      </c>
      <c r="AD4665">
        <v>-6.9392999999999996E-2</v>
      </c>
      <c r="AE4665">
        <v>-6.6000000000002501E-2</v>
      </c>
      <c r="AF4665">
        <v>6.6684837620581097E-2</v>
      </c>
      <c r="AG4665">
        <v>-6.9392999999999996E-2</v>
      </c>
      <c r="AH4665">
        <v>0.53357680490985404</v>
      </c>
      <c r="AI4665">
        <v>97.353299691826095</v>
      </c>
      <c r="AJ4665">
        <v>82.876280203343796</v>
      </c>
      <c r="AK4665">
        <v>0.54218674158936397</v>
      </c>
      <c r="AL4665">
        <v>89.838489688582797</v>
      </c>
      <c r="AM4665">
        <v>88.056680306170605</v>
      </c>
      <c r="AN4665">
        <v>1.00000000817722</v>
      </c>
    </row>
    <row r="4666" spans="1:40" x14ac:dyDescent="0.25">
      <c r="A4666" t="str">
        <f>"20190312154016307"</f>
        <v>20190312154016307</v>
      </c>
      <c r="B4666" t="str">
        <f>"1552376416300768"</f>
        <v>1552376416300768</v>
      </c>
      <c r="C4666" t="s">
        <v>40</v>
      </c>
      <c r="D4666">
        <v>4.2413749999999997</v>
      </c>
      <c r="E4666">
        <v>0.51440319999999995</v>
      </c>
      <c r="F4666" t="s">
        <v>41</v>
      </c>
      <c r="G4666">
        <v>-314.3202</v>
      </c>
      <c r="H4666">
        <v>1.0532029999999999</v>
      </c>
      <c r="I4666">
        <v>214.74959999999999</v>
      </c>
      <c r="J4666">
        <v>-314.9375</v>
      </c>
      <c r="K4666">
        <v>1.110058</v>
      </c>
      <c r="L4666">
        <v>214.8098</v>
      </c>
      <c r="M4666">
        <v>0.9998937</v>
      </c>
      <c r="N4666">
        <v>0</v>
      </c>
      <c r="O4666">
        <v>3.1509630000000001E-3</v>
      </c>
      <c r="P4666">
        <v>0.9994634</v>
      </c>
      <c r="Q4666">
        <v>-1.1165619999999999E-2</v>
      </c>
      <c r="R4666">
        <v>-3.07932E-2</v>
      </c>
      <c r="S4666">
        <v>2.9927060000000001</v>
      </c>
      <c r="T4666">
        <v>-0.20547470000000001</v>
      </c>
      <c r="U4666">
        <v>-0.21473690000000001</v>
      </c>
      <c r="V4666">
        <v>3.3943569999999999E-2</v>
      </c>
      <c r="W4666">
        <v>3.0525320000000002E-3</v>
      </c>
      <c r="X4666">
        <v>0.9994191</v>
      </c>
      <c r="Y4666">
        <v>7.4530319999999997E-2</v>
      </c>
      <c r="Z4666">
        <v>-2.7681289999999998E-3</v>
      </c>
      <c r="AA4666">
        <v>0.99721490000000002</v>
      </c>
      <c r="AB4666">
        <v>30</v>
      </c>
      <c r="AC4666">
        <v>0.61729999999999996</v>
      </c>
      <c r="AD4666">
        <v>-5.6854999999999802E-2</v>
      </c>
      <c r="AE4666">
        <v>-6.0200000000008899E-2</v>
      </c>
      <c r="AF4666">
        <v>6.1627135336595598E-2</v>
      </c>
      <c r="AG4666">
        <v>-5.6854999999999802E-2</v>
      </c>
      <c r="AH4666">
        <v>0.61196489150651101</v>
      </c>
      <c r="AI4666">
        <v>95.281305710917295</v>
      </c>
      <c r="AJ4666">
        <v>84.249489206785398</v>
      </c>
      <c r="AK4666">
        <v>0.61768229962608601</v>
      </c>
      <c r="AL4666">
        <v>89.825102529822502</v>
      </c>
      <c r="AM4666">
        <v>88.054793998359699</v>
      </c>
      <c r="AN4666">
        <v>1.0000000106703799</v>
      </c>
    </row>
    <row r="4667" spans="1:40" x14ac:dyDescent="0.25">
      <c r="A4667" t="str">
        <f>"20190312154016326"</f>
        <v>20190312154016326</v>
      </c>
      <c r="B4667" t="str">
        <f>"1552376416320287"</f>
        <v>1552376416320287</v>
      </c>
      <c r="C4667" t="s">
        <v>40</v>
      </c>
      <c r="D4667">
        <v>4.2285279999999998</v>
      </c>
      <c r="E4667">
        <v>0.51306960000000001</v>
      </c>
      <c r="F4667" t="s">
        <v>62</v>
      </c>
      <c r="G4667">
        <v>-296.51170000000002</v>
      </c>
      <c r="H4667" s="1">
        <v>2.049484E-6</v>
      </c>
      <c r="I4667">
        <v>213.5693</v>
      </c>
      <c r="J4667">
        <v>-314.69850000000002</v>
      </c>
      <c r="K4667">
        <v>1.1100650000000001</v>
      </c>
      <c r="L4667">
        <v>214.81039999999999</v>
      </c>
      <c r="M4667">
        <v>0.99989410000000001</v>
      </c>
      <c r="N4667">
        <v>0</v>
      </c>
      <c r="O4667">
        <v>3.043582E-3</v>
      </c>
      <c r="P4667">
        <v>0.99944849999999996</v>
      </c>
      <c r="Q4667">
        <v>-1.148791E-2</v>
      </c>
      <c r="R4667">
        <v>-3.1160090000000001E-2</v>
      </c>
      <c r="S4667">
        <v>2.9933779999999999</v>
      </c>
      <c r="T4667">
        <v>-0.18033540000000001</v>
      </c>
      <c r="U4667">
        <v>-0.2015228</v>
      </c>
      <c r="V4667">
        <v>3.4202999999999997E-2</v>
      </c>
      <c r="W4667">
        <v>2.7278070000000001E-3</v>
      </c>
      <c r="X4667">
        <v>0.99941120000000006</v>
      </c>
      <c r="Y4667">
        <v>7.0075589999999993E-2</v>
      </c>
      <c r="Z4667">
        <v>-2.2895659999999998E-3</v>
      </c>
      <c r="AA4667">
        <v>0.99753899999999995</v>
      </c>
      <c r="AB4667">
        <v>30</v>
      </c>
      <c r="AC4667">
        <v>18.186800000000002</v>
      </c>
      <c r="AD4667">
        <v>-1.11006295051599</v>
      </c>
      <c r="AE4667">
        <v>-1.2410999999999801</v>
      </c>
      <c r="AF4667">
        <v>1.2916631097604401</v>
      </c>
      <c r="AG4667">
        <v>-1.11006295051599</v>
      </c>
      <c r="AH4667">
        <v>18.1157608483853</v>
      </c>
      <c r="AI4667">
        <v>93.497619798193497</v>
      </c>
      <c r="AJ4667">
        <v>85.921683035581694</v>
      </c>
      <c r="AK4667">
        <v>18.195643007575001</v>
      </c>
      <c r="AL4667">
        <v>89.843707980312104</v>
      </c>
      <c r="AM4667">
        <v>88.039922900440203</v>
      </c>
      <c r="AN4667">
        <v>1.0000000164127301</v>
      </c>
    </row>
    <row r="4668" spans="1:40" x14ac:dyDescent="0.25">
      <c r="A4668" t="str">
        <f>"20190312154016348"</f>
        <v>20190312154016348</v>
      </c>
      <c r="B4668" t="str">
        <f>"1552376416340783"</f>
        <v>1552376416340783</v>
      </c>
      <c r="C4668" t="s">
        <v>40</v>
      </c>
      <c r="D4668">
        <v>4.2166969999999999</v>
      </c>
      <c r="E4668">
        <v>0.51228600000000002</v>
      </c>
      <c r="F4668" t="s">
        <v>62</v>
      </c>
      <c r="G4668">
        <v>-295.0607</v>
      </c>
      <c r="H4668" s="1">
        <v>1.792101E-6</v>
      </c>
      <c r="I4668">
        <v>213.5479</v>
      </c>
      <c r="J4668">
        <v>-314.39120000000003</v>
      </c>
      <c r="K4668">
        <v>1.110069</v>
      </c>
      <c r="L4668">
        <v>214.81120000000001</v>
      </c>
      <c r="M4668">
        <v>0.99989459999999997</v>
      </c>
      <c r="N4668">
        <v>0</v>
      </c>
      <c r="O4668">
        <v>2.9052750000000001E-3</v>
      </c>
      <c r="P4668">
        <v>0.99943579999999999</v>
      </c>
      <c r="Q4668">
        <v>-1.135396E-2</v>
      </c>
      <c r="R4668">
        <v>-3.161535E-2</v>
      </c>
      <c r="S4668">
        <v>2.9937130000000001</v>
      </c>
      <c r="T4668">
        <v>-0.16922590000000001</v>
      </c>
      <c r="U4668">
        <v>-0.19247439999999999</v>
      </c>
      <c r="V4668">
        <v>3.4519899999999999E-2</v>
      </c>
      <c r="W4668">
        <v>2.8579830000000001E-3</v>
      </c>
      <c r="X4668">
        <v>0.99939990000000001</v>
      </c>
      <c r="Y4668">
        <v>6.6948649999999998E-2</v>
      </c>
      <c r="Z4668">
        <v>-2.0526989999999998E-3</v>
      </c>
      <c r="AA4668">
        <v>0.99775429999999998</v>
      </c>
      <c r="AB4668">
        <v>30</v>
      </c>
      <c r="AC4668">
        <v>19.330500000000001</v>
      </c>
      <c r="AD4668">
        <v>-1.1100672078989999</v>
      </c>
      <c r="AE4668">
        <v>-1.2633000000000101</v>
      </c>
      <c r="AF4668">
        <v>1.31514225599568</v>
      </c>
      <c r="AG4668">
        <v>-1.1100672078989999</v>
      </c>
      <c r="AH4668">
        <v>19.263492559717399</v>
      </c>
      <c r="AI4668">
        <v>93.290404633145698</v>
      </c>
      <c r="AJ4668">
        <v>86.094407296269907</v>
      </c>
      <c r="AK4668">
        <v>19.340217009067999</v>
      </c>
      <c r="AL4668">
        <v>89.836249409302397</v>
      </c>
      <c r="AM4668">
        <v>88.021754272061699</v>
      </c>
      <c r="AN4668">
        <v>0.99999997584142297</v>
      </c>
    </row>
    <row r="4669" spans="1:40" x14ac:dyDescent="0.25">
      <c r="A4669" t="str">
        <f>"20190312154016370"</f>
        <v>20190312154016370</v>
      </c>
      <c r="B4669" t="str">
        <f>"1552376416360303"</f>
        <v>1552376416360303</v>
      </c>
      <c r="C4669" t="s">
        <v>40</v>
      </c>
      <c r="D4669">
        <v>4.262016</v>
      </c>
      <c r="E4669">
        <v>0.51156729999999995</v>
      </c>
      <c r="F4669" t="s">
        <v>62</v>
      </c>
      <c r="G4669">
        <v>-293.46379999999999</v>
      </c>
      <c r="H4669" s="1">
        <v>1.508835E-6</v>
      </c>
      <c r="I4669">
        <v>213.4967</v>
      </c>
      <c r="J4669">
        <v>-314.10899999999998</v>
      </c>
      <c r="K4669">
        <v>1.1100680000000001</v>
      </c>
      <c r="L4669">
        <v>214.81190000000001</v>
      </c>
      <c r="M4669">
        <v>0.99989490000000003</v>
      </c>
      <c r="N4669">
        <v>0</v>
      </c>
      <c r="O4669">
        <v>2.7785280000000002E-3</v>
      </c>
      <c r="P4669">
        <v>0.99943700000000002</v>
      </c>
      <c r="Q4669">
        <v>-1.1397060000000001E-2</v>
      </c>
      <c r="R4669">
        <v>-3.1560680000000001E-2</v>
      </c>
      <c r="S4669">
        <v>2.9939269999999998</v>
      </c>
      <c r="T4669">
        <v>-0.15880949999999999</v>
      </c>
      <c r="U4669">
        <v>-0.1880646</v>
      </c>
      <c r="V4669">
        <v>3.4338500000000001E-2</v>
      </c>
      <c r="W4669">
        <v>2.8122070000000002E-3</v>
      </c>
      <c r="X4669">
        <v>0.99940629999999997</v>
      </c>
      <c r="Y4669">
        <v>6.5369460000000004E-2</v>
      </c>
      <c r="Z4669">
        <v>-1.877959E-3</v>
      </c>
      <c r="AA4669">
        <v>0.99785939999999995</v>
      </c>
      <c r="AB4669">
        <v>30</v>
      </c>
      <c r="AC4669">
        <v>20.645199999999999</v>
      </c>
      <c r="AD4669">
        <v>-1.110066491165</v>
      </c>
      <c r="AE4669">
        <v>-1.3151999999999999</v>
      </c>
      <c r="AF4669">
        <v>1.36862319313878</v>
      </c>
      <c r="AG4669">
        <v>-1.110066491165</v>
      </c>
      <c r="AH4669">
        <v>20.582201365739099</v>
      </c>
      <c r="AI4669">
        <v>93.080371219801506</v>
      </c>
      <c r="AJ4669">
        <v>86.195690611069494</v>
      </c>
      <c r="AK4669">
        <v>20.657502029999598</v>
      </c>
      <c r="AL4669">
        <v>89.838872194884203</v>
      </c>
      <c r="AM4669">
        <v>88.032154231498396</v>
      </c>
      <c r="AN4669">
        <v>0.99999999678507501</v>
      </c>
    </row>
    <row r="4670" spans="1:40" x14ac:dyDescent="0.25">
      <c r="A4670" t="str">
        <f>"20190312154016391"</f>
        <v>20190312154016391</v>
      </c>
      <c r="B4670" t="str">
        <f>"1552376416380799"</f>
        <v>1552376416380799</v>
      </c>
      <c r="C4670" t="s">
        <v>40</v>
      </c>
      <c r="D4670">
        <v>4.1937239999999996</v>
      </c>
      <c r="E4670">
        <v>0.51102510000000001</v>
      </c>
      <c r="F4670" t="s">
        <v>62</v>
      </c>
      <c r="G4670">
        <v>-292.25290000000001</v>
      </c>
      <c r="H4670" s="1">
        <v>1.2940320000000001E-6</v>
      </c>
      <c r="I4670">
        <v>213.48070000000001</v>
      </c>
      <c r="J4670">
        <v>-313.82339999999999</v>
      </c>
      <c r="K4670">
        <v>1.1100650000000001</v>
      </c>
      <c r="L4670">
        <v>214.8126</v>
      </c>
      <c r="M4670">
        <v>0.99989539999999999</v>
      </c>
      <c r="N4670">
        <v>0</v>
      </c>
      <c r="O4670">
        <v>2.6499340000000001E-3</v>
      </c>
      <c r="P4670">
        <v>0.99942679999999995</v>
      </c>
      <c r="Q4670">
        <v>-1.1077119999999999E-2</v>
      </c>
      <c r="R4670">
        <v>-3.199449E-2</v>
      </c>
      <c r="S4670">
        <v>2.994202</v>
      </c>
      <c r="T4670">
        <v>-0.1520746</v>
      </c>
      <c r="U4670">
        <v>-0.18237300000000001</v>
      </c>
      <c r="V4670">
        <v>3.4643779999999999E-2</v>
      </c>
      <c r="W4670">
        <v>3.1293029999999999E-3</v>
      </c>
      <c r="X4670">
        <v>0.99939480000000003</v>
      </c>
      <c r="Y4670">
        <v>6.3356399999999993E-2</v>
      </c>
      <c r="Z4670">
        <v>-1.7407989999999999E-3</v>
      </c>
      <c r="AA4670">
        <v>0.99798949999999997</v>
      </c>
      <c r="AB4670">
        <v>30</v>
      </c>
      <c r="AC4670">
        <v>21.5704999999999</v>
      </c>
      <c r="AD4670">
        <v>-1.1100637059680001</v>
      </c>
      <c r="AE4670">
        <v>-1.3318999999999901</v>
      </c>
      <c r="AF4670">
        <v>1.3854063972895401</v>
      </c>
      <c r="AG4670">
        <v>-1.1100637059680001</v>
      </c>
      <c r="AH4670">
        <v>21.5101444195836</v>
      </c>
      <c r="AI4670">
        <v>92.948117418629494</v>
      </c>
      <c r="AJ4670">
        <v>86.314834072795094</v>
      </c>
      <c r="AK4670">
        <v>21.583278371653901</v>
      </c>
      <c r="AL4670">
        <v>89.820703848198406</v>
      </c>
      <c r="AM4670">
        <v>88.014650579119106</v>
      </c>
      <c r="AN4670">
        <v>0.99999997514849603</v>
      </c>
    </row>
    <row r="4671" spans="1:40" x14ac:dyDescent="0.25">
      <c r="A4671" t="str">
        <f>"20190312154016426"</f>
        <v>20190312154016426</v>
      </c>
      <c r="B4671" t="str">
        <f>"1552376416420468"</f>
        <v>1552376416420468</v>
      </c>
      <c r="C4671" t="s">
        <v>40</v>
      </c>
      <c r="D4671">
        <v>4.1301009999999998</v>
      </c>
      <c r="E4671">
        <v>0.51072450000000003</v>
      </c>
      <c r="F4671" t="s">
        <v>62</v>
      </c>
      <c r="G4671">
        <v>-290.8965</v>
      </c>
      <c r="H4671" s="1">
        <v>1.053441E-6</v>
      </c>
      <c r="I4671">
        <v>213.4391</v>
      </c>
      <c r="J4671">
        <v>-313.3768</v>
      </c>
      <c r="K4671">
        <v>1.1100719999999999</v>
      </c>
      <c r="L4671">
        <v>214.8135</v>
      </c>
      <c r="M4671">
        <v>0.99989589999999995</v>
      </c>
      <c r="N4671">
        <v>0</v>
      </c>
      <c r="O4671">
        <v>2.4491159999999999E-3</v>
      </c>
      <c r="P4671">
        <v>0.99942379999999997</v>
      </c>
      <c r="Q4671">
        <v>-1.0425820000000001E-2</v>
      </c>
      <c r="R4671">
        <v>-3.230388E-2</v>
      </c>
      <c r="S4671">
        <v>2.994415</v>
      </c>
      <c r="T4671">
        <v>-0.14498259999999999</v>
      </c>
      <c r="U4671">
        <v>-0.17938229999999999</v>
      </c>
      <c r="V4671">
        <v>3.4752890000000002E-2</v>
      </c>
      <c r="W4671">
        <v>3.7758900000000001E-3</v>
      </c>
      <c r="X4671">
        <v>0.99938879999999997</v>
      </c>
      <c r="Y4671">
        <v>6.2167800000000002E-2</v>
      </c>
      <c r="Z4671">
        <v>-1.6212030000000001E-3</v>
      </c>
      <c r="AA4671">
        <v>0.99806439999999996</v>
      </c>
      <c r="AB4671">
        <v>30</v>
      </c>
      <c r="AC4671">
        <v>22.4803</v>
      </c>
      <c r="AD4671">
        <v>-1.110070946559</v>
      </c>
      <c r="AE4671">
        <v>-1.3744000000000001</v>
      </c>
      <c r="AF4671">
        <v>1.4259941722181699</v>
      </c>
      <c r="AG4671">
        <v>-1.110070946559</v>
      </c>
      <c r="AH4671">
        <v>22.422395958971901</v>
      </c>
      <c r="AI4671">
        <v>92.828536880177793</v>
      </c>
      <c r="AJ4671">
        <v>86.361068512870901</v>
      </c>
      <c r="AK4671">
        <v>22.4951007427509</v>
      </c>
      <c r="AL4671">
        <v>89.783656924393199</v>
      </c>
      <c r="AM4671">
        <v>88.008390834936705</v>
      </c>
      <c r="AN4671">
        <v>0.99999999713704202</v>
      </c>
    </row>
    <row r="4672" spans="1:40" x14ac:dyDescent="0.25">
      <c r="A4672" t="str">
        <f>"20190312154016447"</f>
        <v>20190312154016447</v>
      </c>
      <c r="B4672" t="str">
        <f>"1552376416440963"</f>
        <v>1552376416440963</v>
      </c>
      <c r="C4672" t="s">
        <v>40</v>
      </c>
      <c r="D4672">
        <v>4.09863</v>
      </c>
      <c r="E4672">
        <v>0.51062039999999997</v>
      </c>
      <c r="F4672" t="s">
        <v>62</v>
      </c>
      <c r="G4672">
        <v>-287.81889999999999</v>
      </c>
      <c r="H4672" s="1">
        <v>3.7816599999999999E-6</v>
      </c>
      <c r="I4672">
        <v>213.2901</v>
      </c>
      <c r="J4672">
        <v>-313.08280000000002</v>
      </c>
      <c r="K4672">
        <v>1.11008</v>
      </c>
      <c r="L4672">
        <v>214.8141</v>
      </c>
      <c r="M4672">
        <v>0.99989640000000002</v>
      </c>
      <c r="N4672">
        <v>0</v>
      </c>
      <c r="O4672">
        <v>2.3166490000000001E-3</v>
      </c>
      <c r="P4672">
        <v>0.9994189</v>
      </c>
      <c r="Q4672">
        <v>-1.053538E-2</v>
      </c>
      <c r="R4672">
        <v>-3.2422010000000001E-2</v>
      </c>
      <c r="S4672">
        <v>2.9946290000000002</v>
      </c>
      <c r="T4672">
        <v>-0.13006719999999999</v>
      </c>
      <c r="U4672">
        <v>-0.1784973</v>
      </c>
      <c r="V4672">
        <v>3.4738529999999997E-2</v>
      </c>
      <c r="W4672">
        <v>3.6628799999999999E-3</v>
      </c>
      <c r="X4672">
        <v>0.99938970000000005</v>
      </c>
      <c r="Y4672">
        <v>6.1752639999999998E-2</v>
      </c>
      <c r="Z4672">
        <v>-1.4397429999999901E-3</v>
      </c>
      <c r="AA4672">
        <v>0.99809040000000004</v>
      </c>
      <c r="AB4672">
        <v>29</v>
      </c>
      <c r="AC4672">
        <v>25.2639</v>
      </c>
      <c r="AD4672">
        <v>-1.1100762183399999</v>
      </c>
      <c r="AE4672">
        <v>-1.524</v>
      </c>
      <c r="AF4672">
        <v>1.5794910085037499</v>
      </c>
      <c r="AG4672">
        <v>-1.1100762183399999</v>
      </c>
      <c r="AH4672">
        <v>25.211802437187401</v>
      </c>
      <c r="AI4672">
        <v>92.516179445960404</v>
      </c>
      <c r="AJ4672">
        <v>86.415169100189701</v>
      </c>
      <c r="AK4672">
        <v>25.2856094090737</v>
      </c>
      <c r="AL4672">
        <v>89.790131961084597</v>
      </c>
      <c r="AM4672">
        <v>88.009214902953303</v>
      </c>
      <c r="AN4672">
        <v>0.99999997731127199</v>
      </c>
    </row>
    <row r="4673" spans="1:40" x14ac:dyDescent="0.25">
      <c r="A4673" t="str">
        <f>"20190312154016470"</f>
        <v>20190312154016470</v>
      </c>
      <c r="B4673" t="str">
        <f>"1552376416460483"</f>
        <v>1552376416460483</v>
      </c>
      <c r="C4673" t="s">
        <v>40</v>
      </c>
      <c r="D4673">
        <v>4.1019509999999997</v>
      </c>
      <c r="E4673">
        <v>0.5105383</v>
      </c>
      <c r="F4673" t="s">
        <v>62</v>
      </c>
      <c r="G4673">
        <v>-286.548</v>
      </c>
      <c r="H4673" s="1">
        <v>4.351869E-6</v>
      </c>
      <c r="I4673">
        <v>213.23429999999999</v>
      </c>
      <c r="J4673">
        <v>-312.79079999999999</v>
      </c>
      <c r="K4673">
        <v>1.1100840000000001</v>
      </c>
      <c r="L4673">
        <v>214.81460000000001</v>
      </c>
      <c r="M4673">
        <v>0.99989660000000002</v>
      </c>
      <c r="N4673">
        <v>0</v>
      </c>
      <c r="O4673">
        <v>2.1853749999999998E-3</v>
      </c>
      <c r="P4673">
        <v>0.99941469999999999</v>
      </c>
      <c r="Q4673">
        <v>-9.8580040000000001E-3</v>
      </c>
      <c r="R4673">
        <v>-3.2761709999999999E-2</v>
      </c>
      <c r="S4673">
        <v>2.9946290000000002</v>
      </c>
      <c r="T4673">
        <v>-0.12527969999999999</v>
      </c>
      <c r="U4673">
        <v>-0.17828369999999999</v>
      </c>
      <c r="V4673">
        <v>3.4947190000000003E-2</v>
      </c>
      <c r="W4673">
        <v>4.3371219999999997E-3</v>
      </c>
      <c r="X4673">
        <v>0.99937980000000004</v>
      </c>
      <c r="Y4673">
        <v>6.15553E-2</v>
      </c>
      <c r="Z4673">
        <v>-1.377191E-3</v>
      </c>
      <c r="AA4673">
        <v>0.99810270000000001</v>
      </c>
      <c r="AB4673">
        <v>29</v>
      </c>
      <c r="AC4673">
        <v>26.2427999999999</v>
      </c>
      <c r="AD4673">
        <v>-1.110079648131</v>
      </c>
      <c r="AE4673">
        <v>-1.58030000000002</v>
      </c>
      <c r="AF4673">
        <v>1.63473787834829</v>
      </c>
      <c r="AG4673">
        <v>-1.110079648131</v>
      </c>
      <c r="AH4673">
        <v>26.192585852244999</v>
      </c>
      <c r="AI4673">
        <v>92.422118428229396</v>
      </c>
      <c r="AJ4673">
        <v>86.428674530466907</v>
      </c>
      <c r="AK4673">
        <v>26.2670173103709</v>
      </c>
      <c r="AL4673">
        <v>89.751500447684904</v>
      </c>
      <c r="AM4673">
        <v>87.997246964668705</v>
      </c>
      <c r="AN4673">
        <v>1.0000000506820801</v>
      </c>
    </row>
    <row r="4674" spans="1:40" x14ac:dyDescent="0.25">
      <c r="A4674" t="str">
        <f>"20190312154016491"</f>
        <v>20190312154016491</v>
      </c>
      <c r="B4674" t="str">
        <f>"1552376416480979"</f>
        <v>1552376416480979</v>
      </c>
      <c r="C4674" t="s">
        <v>40</v>
      </c>
      <c r="D4674">
        <v>4.1684989999999997</v>
      </c>
      <c r="E4674">
        <v>0.51026179999999999</v>
      </c>
      <c r="F4674" t="s">
        <v>62</v>
      </c>
      <c r="G4674">
        <v>-284.86770000000001</v>
      </c>
      <c r="H4674" s="1">
        <v>5.1074340000000001E-6</v>
      </c>
      <c r="I4674">
        <v>213.14709999999999</v>
      </c>
      <c r="J4674">
        <v>-312.50240000000002</v>
      </c>
      <c r="K4674">
        <v>1.1100890000000001</v>
      </c>
      <c r="L4674">
        <v>214.8151</v>
      </c>
      <c r="M4674">
        <v>0.99989689999999998</v>
      </c>
      <c r="N4674">
        <v>0</v>
      </c>
      <c r="O4674">
        <v>2.0552320000000002E-3</v>
      </c>
      <c r="P4674">
        <v>0.99938649999999996</v>
      </c>
      <c r="Q4674">
        <v>-1.009703E-2</v>
      </c>
      <c r="R4674">
        <v>-3.353598E-2</v>
      </c>
      <c r="S4674">
        <v>2.99472</v>
      </c>
      <c r="T4674">
        <v>-0.1190546</v>
      </c>
      <c r="U4674">
        <v>-0.17883299999999999</v>
      </c>
      <c r="V4674">
        <v>3.5591240000000003E-2</v>
      </c>
      <c r="W4674">
        <v>4.0944140000000002E-3</v>
      </c>
      <c r="X4674">
        <v>0.99935810000000003</v>
      </c>
      <c r="Y4674">
        <v>6.1611449999999998E-2</v>
      </c>
      <c r="Z4674">
        <v>-1.3047149999999999E-3</v>
      </c>
      <c r="AA4674">
        <v>0.99809939999999997</v>
      </c>
      <c r="AB4674">
        <v>29</v>
      </c>
      <c r="AC4674">
        <v>27.634699999999999</v>
      </c>
      <c r="AD4674">
        <v>-1.1100838925659999</v>
      </c>
      <c r="AE4674">
        <v>-1.6679999999999999</v>
      </c>
      <c r="AF4674">
        <v>1.7220293128945601</v>
      </c>
      <c r="AG4674">
        <v>-1.1100838925659999</v>
      </c>
      <c r="AH4674">
        <v>27.586859944639698</v>
      </c>
      <c r="AI4674">
        <v>92.299843880086797</v>
      </c>
      <c r="AJ4674">
        <v>86.428112483937795</v>
      </c>
      <c r="AK4674">
        <v>27.662836311704702</v>
      </c>
      <c r="AL4674">
        <v>89.765406715965796</v>
      </c>
      <c r="AM4674">
        <v>87.960324398241298</v>
      </c>
      <c r="AN4674">
        <v>1.0000000563131699</v>
      </c>
    </row>
    <row r="4675" spans="1:40" x14ac:dyDescent="0.25">
      <c r="A4675" t="str">
        <f>"20190312154016515"</f>
        <v>20190312154016515</v>
      </c>
      <c r="B4675" t="str">
        <f>"1552376416510836"</f>
        <v>1552376416510836</v>
      </c>
      <c r="C4675" t="s">
        <v>40</v>
      </c>
      <c r="D4675">
        <v>4.0938869999999996</v>
      </c>
      <c r="E4675">
        <v>0.49192950000000002</v>
      </c>
      <c r="F4675" t="s">
        <v>62</v>
      </c>
      <c r="G4675">
        <v>-284.38580000000002</v>
      </c>
      <c r="H4675" s="1">
        <v>5.3225699999999899E-6</v>
      </c>
      <c r="I4675">
        <v>213.13499999999999</v>
      </c>
      <c r="J4675">
        <v>-312.19650000000001</v>
      </c>
      <c r="K4675">
        <v>1.110082</v>
      </c>
      <c r="L4675">
        <v>214.81549999999999</v>
      </c>
      <c r="M4675">
        <v>0.99989720000000004</v>
      </c>
      <c r="N4675">
        <v>0</v>
      </c>
      <c r="O4675">
        <v>1.9171660000000001E-3</v>
      </c>
      <c r="P4675">
        <v>0.99937609999999999</v>
      </c>
      <c r="Q4675">
        <v>-9.7039020000000004E-3</v>
      </c>
      <c r="R4675">
        <v>-3.3958330000000002E-2</v>
      </c>
      <c r="S4675">
        <v>2.9946290000000002</v>
      </c>
      <c r="T4675">
        <v>-0.1182323</v>
      </c>
      <c r="U4675">
        <v>-0.17893979999999901</v>
      </c>
      <c r="V4675">
        <v>3.5875890000000001E-2</v>
      </c>
      <c r="W4675">
        <v>4.4844630000000002E-3</v>
      </c>
      <c r="X4675">
        <v>0.99934619999999996</v>
      </c>
      <c r="Y4675">
        <v>6.1511789999999997E-2</v>
      </c>
      <c r="Z4675">
        <v>-1.288338E-3</v>
      </c>
      <c r="AA4675">
        <v>0.99810549999999998</v>
      </c>
      <c r="AB4675">
        <v>29</v>
      </c>
      <c r="AC4675">
        <v>27.810700000000001</v>
      </c>
      <c r="AD4675">
        <v>-1.1100766774299999</v>
      </c>
      <c r="AE4675">
        <v>-1.6804999999999899</v>
      </c>
      <c r="AF4675">
        <v>1.7310720379267901</v>
      </c>
      <c r="AG4675">
        <v>-1.1100766774299999</v>
      </c>
      <c r="AH4675">
        <v>27.7633539035632</v>
      </c>
      <c r="AI4675">
        <v>92.285234381715796</v>
      </c>
      <c r="AJ4675">
        <v>86.432171286309696</v>
      </c>
      <c r="AK4675">
        <v>27.839409128154401</v>
      </c>
      <c r="AL4675">
        <v>89.743058337740706</v>
      </c>
      <c r="AM4675">
        <v>87.944001056576496</v>
      </c>
      <c r="AN4675">
        <v>1.00000000867306</v>
      </c>
    </row>
    <row r="4676" spans="1:40" x14ac:dyDescent="0.25">
      <c r="A4676" t="str">
        <f>"20190312154016538"</f>
        <v>20190312154016538</v>
      </c>
      <c r="B4676" t="str">
        <f>"1552376416530355"</f>
        <v>1552376416530355</v>
      </c>
      <c r="C4676" t="s">
        <v>40</v>
      </c>
      <c r="D4676">
        <v>4.1084769999999997</v>
      </c>
      <c r="E4676">
        <v>0.49008479999999999</v>
      </c>
      <c r="F4676" t="s">
        <v>54</v>
      </c>
      <c r="G4676">
        <v>-179.95240000000001</v>
      </c>
      <c r="H4676">
        <v>5.5277739999999999E-2</v>
      </c>
      <c r="I4676">
        <v>213.149</v>
      </c>
      <c r="J4676">
        <v>-311.90129999999999</v>
      </c>
      <c r="K4676">
        <v>1.1100810000000001</v>
      </c>
      <c r="L4676">
        <v>214.8159</v>
      </c>
      <c r="M4676">
        <v>0.99989749999999999</v>
      </c>
      <c r="N4676">
        <v>0</v>
      </c>
      <c r="O4676">
        <v>1.783925E-3</v>
      </c>
      <c r="P4676">
        <v>0.9993649</v>
      </c>
      <c r="Q4676">
        <v>-9.4283839999999997E-3</v>
      </c>
      <c r="R4676">
        <v>-3.4360040000000001E-2</v>
      </c>
      <c r="S4676">
        <v>3.0003660000000001</v>
      </c>
      <c r="T4676">
        <v>-2.3931500000000001E-2</v>
      </c>
      <c r="U4676">
        <v>-3.7811280000000003E-2</v>
      </c>
      <c r="V4676">
        <v>3.6144330000000002E-2</v>
      </c>
      <c r="W4676">
        <v>4.7562580000000002E-3</v>
      </c>
      <c r="X4676">
        <v>0.99933530000000004</v>
      </c>
      <c r="Y4676">
        <v>1.4384650000000001E-2</v>
      </c>
      <c r="Z4676" s="1">
        <v>-7.1593809999999898E-5</v>
      </c>
      <c r="AA4676">
        <v>0.99989649999999997</v>
      </c>
      <c r="AB4676">
        <v>29</v>
      </c>
      <c r="AC4676">
        <v>131.94889999999901</v>
      </c>
      <c r="AD4676">
        <v>-1.0548032599999999</v>
      </c>
      <c r="AE4676">
        <v>-1.6668999999999901</v>
      </c>
      <c r="AF4676">
        <v>1.90218650464404</v>
      </c>
      <c r="AG4676">
        <v>-1.0548032599999999</v>
      </c>
      <c r="AH4676">
        <v>131.93728603672599</v>
      </c>
      <c r="AI4676">
        <v>90.458007054470997</v>
      </c>
      <c r="AJ4676">
        <v>89.174003714861698</v>
      </c>
      <c r="AK4676">
        <v>131.95521350121999</v>
      </c>
      <c r="AL4676">
        <v>89.727485473258994</v>
      </c>
      <c r="AM4676">
        <v>87.928607899570096</v>
      </c>
      <c r="AN4676">
        <v>1.0000000382037</v>
      </c>
    </row>
    <row r="4677" spans="1:40" x14ac:dyDescent="0.25">
      <c r="A4677" t="str">
        <f>"20190312154016559"</f>
        <v>20190312154016559</v>
      </c>
      <c r="B4677" t="str">
        <f>"1552376416550852"</f>
        <v>1552376416550852</v>
      </c>
      <c r="C4677" t="s">
        <v>40</v>
      </c>
      <c r="D4677">
        <v>4.0659960000000002</v>
      </c>
      <c r="E4677">
        <v>0.48954449999999999</v>
      </c>
      <c r="F4677" t="s">
        <v>76</v>
      </c>
      <c r="G4677">
        <v>-107.39749999999999</v>
      </c>
      <c r="H4677">
        <v>0.81914319999999996</v>
      </c>
      <c r="I4677">
        <v>213.11269999999999</v>
      </c>
      <c r="J4677">
        <v>-311.61180000000002</v>
      </c>
      <c r="K4677">
        <v>1.11008</v>
      </c>
      <c r="L4677">
        <v>214.81630000000001</v>
      </c>
      <c r="M4677">
        <v>0.99989779999999995</v>
      </c>
      <c r="N4677">
        <v>0</v>
      </c>
      <c r="O4677">
        <v>1.65342299999999E-3</v>
      </c>
      <c r="P4677">
        <v>0.99935660000000004</v>
      </c>
      <c r="Q4677">
        <v>-9.1728609999999992E-3</v>
      </c>
      <c r="R4677">
        <v>-3.4673199999999897E-2</v>
      </c>
      <c r="S4677">
        <v>3.001007</v>
      </c>
      <c r="T4677">
        <v>-4.2686460000000001E-3</v>
      </c>
      <c r="U4677">
        <v>-2.4993899999999999E-2</v>
      </c>
      <c r="V4677">
        <v>3.6327070000000003E-2</v>
      </c>
      <c r="W4677">
        <v>5.0089790000000002E-3</v>
      </c>
      <c r="X4677">
        <v>0.99932739999999998</v>
      </c>
      <c r="Y4677">
        <v>9.9817250000000003E-3</v>
      </c>
      <c r="Z4677" s="1">
        <v>-9.4509359999999997E-6</v>
      </c>
      <c r="AA4677">
        <v>0.99995020000000001</v>
      </c>
      <c r="AB4677">
        <v>29</v>
      </c>
      <c r="AC4677">
        <v>204.21430000000001</v>
      </c>
      <c r="AD4677">
        <v>-0.2909368</v>
      </c>
      <c r="AE4677">
        <v>-1.70360000000002</v>
      </c>
      <c r="AF4677">
        <v>2.04128019853309</v>
      </c>
      <c r="AG4677">
        <v>-0.2909368</v>
      </c>
      <c r="AH4677">
        <v>204.21078929545601</v>
      </c>
      <c r="AI4677">
        <v>90.081624515489196</v>
      </c>
      <c r="AJ4677">
        <v>89.427293506781794</v>
      </c>
      <c r="AK4677">
        <v>204.22119854154101</v>
      </c>
      <c r="AL4677">
        <v>89.713005443265004</v>
      </c>
      <c r="AM4677">
        <v>87.918128018461104</v>
      </c>
      <c r="AN4677">
        <v>0.99999999913808302</v>
      </c>
    </row>
    <row r="4678" spans="1:40" x14ac:dyDescent="0.25">
      <c r="A4678" t="str">
        <f>"20190312154016581"</f>
        <v>20190312154016581</v>
      </c>
      <c r="B4678" t="str">
        <f>"1552376416570372"</f>
        <v>1552376416570372</v>
      </c>
      <c r="C4678" t="s">
        <v>40</v>
      </c>
      <c r="D4678">
        <v>4.0513320000000004</v>
      </c>
      <c r="E4678">
        <v>0.48959059999999999</v>
      </c>
      <c r="F4678" t="s">
        <v>76</v>
      </c>
      <c r="G4678">
        <v>-107.39749999999999</v>
      </c>
      <c r="H4678">
        <v>1.3143990000000001</v>
      </c>
      <c r="I4678">
        <v>213.3212</v>
      </c>
      <c r="J4678">
        <v>-311.33109999999999</v>
      </c>
      <c r="K4678">
        <v>1.1100829999999999</v>
      </c>
      <c r="L4678">
        <v>214.8167</v>
      </c>
      <c r="M4678">
        <v>0.99989810000000001</v>
      </c>
      <c r="N4678">
        <v>0</v>
      </c>
      <c r="O4678">
        <v>1.5271529999999901E-3</v>
      </c>
      <c r="P4678">
        <v>0.99934040000000002</v>
      </c>
      <c r="Q4678">
        <v>-9.4478770000000004E-3</v>
      </c>
      <c r="R4678">
        <v>-3.5070949999999997E-2</v>
      </c>
      <c r="S4678">
        <v>3.0011899999999998</v>
      </c>
      <c r="T4678">
        <v>3.003478E-3</v>
      </c>
      <c r="U4678">
        <v>-2.1972660000000001E-2</v>
      </c>
      <c r="V4678">
        <v>3.6598470000000001E-2</v>
      </c>
      <c r="W4678">
        <v>4.7309860000000004E-3</v>
      </c>
      <c r="X4678">
        <v>0.99931879999999995</v>
      </c>
      <c r="Y4678">
        <v>8.8483709999999903E-3</v>
      </c>
      <c r="Z4678" s="1">
        <v>5.9559510000000004E-6</v>
      </c>
      <c r="AA4678">
        <v>0.99996079999999998</v>
      </c>
      <c r="AB4678">
        <v>29</v>
      </c>
      <c r="AC4678">
        <v>203.93360000000001</v>
      </c>
      <c r="AD4678">
        <v>0.204315999999999</v>
      </c>
      <c r="AE4678">
        <v>-1.4954999999999901</v>
      </c>
      <c r="AF4678">
        <v>1.8069656266070599</v>
      </c>
      <c r="AG4678">
        <v>0.204315999999999</v>
      </c>
      <c r="AH4678">
        <v>203.930873372582</v>
      </c>
      <c r="AI4678">
        <v>89.942598289027103</v>
      </c>
      <c r="AJ4678">
        <v>89.492333882208996</v>
      </c>
      <c r="AK4678">
        <v>203.938981031846</v>
      </c>
      <c r="AL4678">
        <v>89.7289334437489</v>
      </c>
      <c r="AM4678">
        <v>87.902570132636498</v>
      </c>
      <c r="AN4678">
        <v>0.99999994713415497</v>
      </c>
    </row>
    <row r="4679" spans="1:40" x14ac:dyDescent="0.25">
      <c r="A4679" t="str">
        <f>"20190312154016604"</f>
        <v>20190312154016604</v>
      </c>
      <c r="B4679" t="str">
        <f>"1552376416600234"</f>
        <v>1552376416600234</v>
      </c>
      <c r="C4679" t="s">
        <v>40</v>
      </c>
      <c r="D4679">
        <v>4.014106</v>
      </c>
      <c r="E4679">
        <v>0.48970859999999999</v>
      </c>
      <c r="F4679" t="s">
        <v>76</v>
      </c>
      <c r="G4679">
        <v>-107.39749999999999</v>
      </c>
      <c r="H4679">
        <v>1.4382919999999999</v>
      </c>
      <c r="I4679">
        <v>213.2199</v>
      </c>
      <c r="J4679">
        <v>-311.04109999999997</v>
      </c>
      <c r="K4679">
        <v>1.1100859999999999</v>
      </c>
      <c r="L4679">
        <v>214.8169</v>
      </c>
      <c r="M4679">
        <v>0.99989839999999997</v>
      </c>
      <c r="N4679">
        <v>0</v>
      </c>
      <c r="O4679">
        <v>1.3962950000000001E-3</v>
      </c>
      <c r="P4679">
        <v>0.99934679999999998</v>
      </c>
      <c r="Q4679">
        <v>-9.5959140000000005E-3</v>
      </c>
      <c r="R4679">
        <v>-3.484868E-2</v>
      </c>
      <c r="S4679">
        <v>3.0011899999999998</v>
      </c>
      <c r="T4679">
        <v>4.8308370000000002E-3</v>
      </c>
      <c r="U4679">
        <v>-2.3498539999999998E-2</v>
      </c>
      <c r="V4679">
        <v>3.6245409999999999E-2</v>
      </c>
      <c r="W4679">
        <v>4.57983E-3</v>
      </c>
      <c r="X4679">
        <v>0.99933240000000001</v>
      </c>
      <c r="Y4679">
        <v>9.2258700000000006E-3</v>
      </c>
      <c r="Z4679" s="1">
        <v>9.6727740000000005E-6</v>
      </c>
      <c r="AA4679">
        <v>0.9999574</v>
      </c>
      <c r="AB4679">
        <v>29</v>
      </c>
      <c r="AC4679">
        <v>203.64359999999999</v>
      </c>
      <c r="AD4679">
        <v>0.328205999999999</v>
      </c>
      <c r="AE4679">
        <v>-1.597</v>
      </c>
      <c r="AF4679">
        <v>1.88136871212473</v>
      </c>
      <c r="AG4679">
        <v>0.328205999999999</v>
      </c>
      <c r="AH4679">
        <v>203.64064241749799</v>
      </c>
      <c r="AI4679">
        <v>89.907660869486094</v>
      </c>
      <c r="AJ4679">
        <v>89.470678254948098</v>
      </c>
      <c r="AK4679">
        <v>203.64959737652501</v>
      </c>
      <c r="AL4679">
        <v>89.737594146263206</v>
      </c>
      <c r="AM4679">
        <v>87.922814159870796</v>
      </c>
      <c r="AN4679">
        <v>0.99999997513932803</v>
      </c>
    </row>
    <row r="4680" spans="1:40" x14ac:dyDescent="0.25">
      <c r="A4680" t="str">
        <f>"20190312154016626"</f>
        <v>20190312154016626</v>
      </c>
      <c r="B4680" t="str">
        <f>"1552376416620719"</f>
        <v>1552376416620719</v>
      </c>
      <c r="C4680" t="s">
        <v>40</v>
      </c>
      <c r="D4680">
        <v>3.981986</v>
      </c>
      <c r="E4680">
        <v>0.4897126</v>
      </c>
      <c r="F4680" t="s">
        <v>76</v>
      </c>
      <c r="G4680">
        <v>-107.39749999999999</v>
      </c>
      <c r="H4680">
        <v>1.4961500000000001</v>
      </c>
      <c r="I4680">
        <v>213.19659999999999</v>
      </c>
      <c r="J4680">
        <v>-310.74200000000002</v>
      </c>
      <c r="K4680">
        <v>1.1100890000000001</v>
      </c>
      <c r="L4680">
        <v>214.81720000000001</v>
      </c>
      <c r="M4680">
        <v>0.99989870000000003</v>
      </c>
      <c r="N4680">
        <v>0</v>
      </c>
      <c r="O4680">
        <v>1.2613850000000001E-3</v>
      </c>
      <c r="P4680">
        <v>0.99933609999999995</v>
      </c>
      <c r="Q4680">
        <v>-9.7320559999999993E-3</v>
      </c>
      <c r="R4680">
        <v>-3.5117759999999998E-2</v>
      </c>
      <c r="S4680">
        <v>3.0011899999999998</v>
      </c>
      <c r="T4680">
        <v>5.6903359999999998E-3</v>
      </c>
      <c r="U4680">
        <v>-2.3879999999999998E-2</v>
      </c>
      <c r="V4680">
        <v>3.6379649999999999E-2</v>
      </c>
      <c r="W4680">
        <v>4.4401190000000002E-3</v>
      </c>
      <c r="X4680">
        <v>0.9993282</v>
      </c>
      <c r="Y4680">
        <v>9.2180419999999992E-3</v>
      </c>
      <c r="Z4680" s="1">
        <v>1.11305E-5</v>
      </c>
      <c r="AA4680">
        <v>0.99995750000000005</v>
      </c>
      <c r="AB4680">
        <v>29</v>
      </c>
      <c r="AC4680">
        <v>203.34450000000001</v>
      </c>
      <c r="AD4680">
        <v>0.38606099999999999</v>
      </c>
      <c r="AE4680">
        <v>-1.62060000000002</v>
      </c>
      <c r="AF4680">
        <v>1.8771134284855699</v>
      </c>
      <c r="AG4680">
        <v>0.38606099999999999</v>
      </c>
      <c r="AH4680">
        <v>203.341560890061</v>
      </c>
      <c r="AI4680">
        <v>89.891223924746996</v>
      </c>
      <c r="AJ4680">
        <v>89.471098668964501</v>
      </c>
      <c r="AK4680">
        <v>203.35059130262101</v>
      </c>
      <c r="AL4680">
        <v>89.745599090567097</v>
      </c>
      <c r="AM4680">
        <v>87.9151190304229</v>
      </c>
      <c r="AN4680">
        <v>1.0000000224530401</v>
      </c>
    </row>
    <row r="4681" spans="1:40" x14ac:dyDescent="0.25">
      <c r="A4681" t="str">
        <f>"20190312154016649"</f>
        <v>20190312154016649</v>
      </c>
      <c r="B4681" t="str">
        <f>"1552376416640239"</f>
        <v>1552376416640239</v>
      </c>
      <c r="C4681" t="s">
        <v>40</v>
      </c>
      <c r="D4681">
        <v>3.9897269999999998</v>
      </c>
      <c r="E4681">
        <v>0.48949720000000002</v>
      </c>
      <c r="F4681" t="s">
        <v>76</v>
      </c>
      <c r="G4681">
        <v>-107.39749999999999</v>
      </c>
      <c r="H4681">
        <v>1.566001</v>
      </c>
      <c r="I4681">
        <v>213.14439999999999</v>
      </c>
      <c r="J4681">
        <v>-310.45100000000002</v>
      </c>
      <c r="K4681">
        <v>1.1100939999999999</v>
      </c>
      <c r="L4681">
        <v>214.8175</v>
      </c>
      <c r="M4681">
        <v>0.99989879999999998</v>
      </c>
      <c r="N4681">
        <v>0</v>
      </c>
      <c r="O4681">
        <v>1.13017E-3</v>
      </c>
      <c r="P4681">
        <v>0.99934120000000004</v>
      </c>
      <c r="Q4681">
        <v>-9.6479730000000007E-3</v>
      </c>
      <c r="R4681">
        <v>-3.4986860000000002E-2</v>
      </c>
      <c r="S4681">
        <v>3.0011899999999998</v>
      </c>
      <c r="T4681">
        <v>6.7296029999999998E-3</v>
      </c>
      <c r="U4681">
        <v>-2.4688720000000001E-2</v>
      </c>
      <c r="V4681">
        <v>3.6117589999999998E-2</v>
      </c>
      <c r="W4681">
        <v>4.5216559999999998E-3</v>
      </c>
      <c r="X4681">
        <v>0.99933729999999998</v>
      </c>
      <c r="Y4681">
        <v>9.3562460000000004E-3</v>
      </c>
      <c r="Z4681" s="1">
        <v>1.3024020000000001E-5</v>
      </c>
      <c r="AA4681">
        <v>0.99995630000000002</v>
      </c>
      <c r="AB4681">
        <v>29</v>
      </c>
      <c r="AC4681">
        <v>203.05350000000001</v>
      </c>
      <c r="AD4681">
        <v>0.45590699999999901</v>
      </c>
      <c r="AE4681">
        <v>-1.6731</v>
      </c>
      <c r="AF4681">
        <v>1.90259739432375</v>
      </c>
      <c r="AG4681">
        <v>0.45590699999999901</v>
      </c>
      <c r="AH4681">
        <v>203.05045567487099</v>
      </c>
      <c r="AI4681">
        <v>89.871360266903594</v>
      </c>
      <c r="AJ4681">
        <v>89.463150130375595</v>
      </c>
      <c r="AK4681">
        <v>203.059881014962</v>
      </c>
      <c r="AL4681">
        <v>89.740927307425494</v>
      </c>
      <c r="AM4681">
        <v>87.930143145197704</v>
      </c>
      <c r="AN4681">
        <v>0.99999998242583998</v>
      </c>
    </row>
    <row r="4682" spans="1:40" x14ac:dyDescent="0.25">
      <c r="A4682" t="str">
        <f>"20190312154016670"</f>
        <v>20190312154016670</v>
      </c>
      <c r="B4682" t="str">
        <f>"1552376416660743"</f>
        <v>1552376416660743</v>
      </c>
      <c r="C4682" t="s">
        <v>40</v>
      </c>
      <c r="D4682">
        <v>3.924668</v>
      </c>
      <c r="E4682">
        <v>0.48931150000000001</v>
      </c>
      <c r="F4682" t="s">
        <v>76</v>
      </c>
      <c r="G4682">
        <v>-107.39749999999999</v>
      </c>
      <c r="H4682">
        <v>1.68589399999999</v>
      </c>
      <c r="I4682">
        <v>213.28440000000001</v>
      </c>
      <c r="J4682">
        <v>-310.1669</v>
      </c>
      <c r="K4682">
        <v>1.110093</v>
      </c>
      <c r="L4682">
        <v>214.8176</v>
      </c>
      <c r="M4682">
        <v>0.99989899999999998</v>
      </c>
      <c r="N4682">
        <v>0</v>
      </c>
      <c r="O4682">
        <v>1.0018150000000001E-3</v>
      </c>
      <c r="P4682">
        <v>0.99933179999999999</v>
      </c>
      <c r="Q4682">
        <v>-9.9995569999999992E-3</v>
      </c>
      <c r="R4682">
        <v>-3.5163090000000001E-2</v>
      </c>
      <c r="S4682">
        <v>3.0012509999999999</v>
      </c>
      <c r="T4682">
        <v>8.5114240000000001E-3</v>
      </c>
      <c r="U4682">
        <v>-2.26593E-2</v>
      </c>
      <c r="V4682">
        <v>3.6165509999999998E-2</v>
      </c>
      <c r="W4682">
        <v>4.1668929999999996E-3</v>
      </c>
      <c r="X4682">
        <v>0.99933709999999998</v>
      </c>
      <c r="Y4682">
        <v>8.5515820000000003E-3</v>
      </c>
      <c r="Z4682" s="1">
        <v>1.496711E-5</v>
      </c>
      <c r="AA4682">
        <v>0.99996350000000001</v>
      </c>
      <c r="AB4682">
        <v>29</v>
      </c>
      <c r="AC4682">
        <v>202.76939999999999</v>
      </c>
      <c r="AD4682">
        <v>0.57580099999999901</v>
      </c>
      <c r="AE4682">
        <v>-1.5331999999999899</v>
      </c>
      <c r="AF4682">
        <v>1.73634307317392</v>
      </c>
      <c r="AG4682">
        <v>0.57580099999999901</v>
      </c>
      <c r="AH4682">
        <v>202.76612711636199</v>
      </c>
      <c r="AI4682">
        <v>89.837301873863296</v>
      </c>
      <c r="AJ4682">
        <v>89.509372203034204</v>
      </c>
      <c r="AK4682">
        <v>202.774378903816</v>
      </c>
      <c r="AL4682">
        <v>89.761253920141897</v>
      </c>
      <c r="AM4682">
        <v>87.927398885084003</v>
      </c>
      <c r="AN4682">
        <v>0.999999973273621</v>
      </c>
    </row>
    <row r="4683" spans="1:40" x14ac:dyDescent="0.25">
      <c r="A4683" t="str">
        <f>"20190312154016692"</f>
        <v>20190312154016692</v>
      </c>
      <c r="B4683" t="str">
        <f>"1552376416680255"</f>
        <v>1552376416680255</v>
      </c>
      <c r="C4683" t="s">
        <v>40</v>
      </c>
      <c r="D4683">
        <v>3.9803890000000002</v>
      </c>
      <c r="E4683">
        <v>0.48924279999999998</v>
      </c>
      <c r="F4683" t="s">
        <v>76</v>
      </c>
      <c r="G4683">
        <v>-107.39749999999999</v>
      </c>
      <c r="H4683">
        <v>1.71478499999999</v>
      </c>
      <c r="I4683">
        <v>213.3466</v>
      </c>
      <c r="J4683">
        <v>-309.88209999999998</v>
      </c>
      <c r="K4683">
        <v>1.1100939999999999</v>
      </c>
      <c r="L4683">
        <v>214.81780000000001</v>
      </c>
      <c r="M4683">
        <v>0.99989919999999999</v>
      </c>
      <c r="N4683">
        <v>0</v>
      </c>
      <c r="O4683">
        <v>8.7310289999999896E-4</v>
      </c>
      <c r="P4683">
        <v>0.99933229999999995</v>
      </c>
      <c r="Q4683">
        <v>-9.9901039999999997E-3</v>
      </c>
      <c r="R4683">
        <v>-3.5150479999999998E-2</v>
      </c>
      <c r="S4683">
        <v>3.001404</v>
      </c>
      <c r="T4683">
        <v>8.9514260000000002E-3</v>
      </c>
      <c r="U4683">
        <v>-2.1774290000000002E-2</v>
      </c>
      <c r="V4683">
        <v>3.6024170000000001E-2</v>
      </c>
      <c r="W4683">
        <v>4.1735679999999999E-3</v>
      </c>
      <c r="X4683">
        <v>0.99934219999999896</v>
      </c>
      <c r="Y4683">
        <v>8.1276370000000001E-3</v>
      </c>
      <c r="Z4683" s="1">
        <v>1.472398E-5</v>
      </c>
      <c r="AA4683">
        <v>0.99996700000000005</v>
      </c>
      <c r="AB4683">
        <v>29</v>
      </c>
      <c r="AC4683">
        <v>202.4846</v>
      </c>
      <c r="AD4683">
        <v>0.60469099999999898</v>
      </c>
      <c r="AE4683">
        <v>-1.4712000000000101</v>
      </c>
      <c r="AF4683">
        <v>1.6479923888649799</v>
      </c>
      <c r="AG4683">
        <v>0.60469099999999898</v>
      </c>
      <c r="AH4683">
        <v>202.48143246988701</v>
      </c>
      <c r="AI4683">
        <v>89.828897932414904</v>
      </c>
      <c r="AJ4683">
        <v>89.533681076194</v>
      </c>
      <c r="AK4683">
        <v>202.489041740971</v>
      </c>
      <c r="AL4683">
        <v>89.760871472935605</v>
      </c>
      <c r="AM4683">
        <v>87.935502411344103</v>
      </c>
      <c r="AN4683">
        <v>0.99999999609743895</v>
      </c>
    </row>
    <row r="4684" spans="1:40" x14ac:dyDescent="0.25">
      <c r="A4684" t="str">
        <f>"20190312154016716"</f>
        <v>20190312154016716</v>
      </c>
      <c r="B4684" t="str">
        <f>"1552376416710512"</f>
        <v>1552376416710512</v>
      </c>
      <c r="C4684" t="s">
        <v>40</v>
      </c>
      <c r="D4684">
        <v>3.9639380000000002</v>
      </c>
      <c r="E4684">
        <v>0.48912460000000002</v>
      </c>
      <c r="F4684" t="s">
        <v>76</v>
      </c>
      <c r="G4684">
        <v>-107.39749999999999</v>
      </c>
      <c r="H4684">
        <v>1.8021510000000001</v>
      </c>
      <c r="I4684">
        <v>213.38380000000001</v>
      </c>
      <c r="J4684">
        <v>-309.58010000000002</v>
      </c>
      <c r="K4684">
        <v>1.110093</v>
      </c>
      <c r="L4684">
        <v>214.81790000000001</v>
      </c>
      <c r="M4684">
        <v>0.99989930000000005</v>
      </c>
      <c r="N4684">
        <v>0</v>
      </c>
      <c r="O4684">
        <v>7.3682169999999896E-4</v>
      </c>
      <c r="P4684">
        <v>0.99932169999999998</v>
      </c>
      <c r="Q4684">
        <v>-1.0398859999999999E-2</v>
      </c>
      <c r="R4684">
        <v>-3.5328789999999999E-2</v>
      </c>
      <c r="S4684">
        <v>3.0013730000000001</v>
      </c>
      <c r="T4684">
        <v>1.025891E-2</v>
      </c>
      <c r="U4684">
        <v>-2.1255489999999998E-2</v>
      </c>
      <c r="V4684">
        <v>3.6066300000000003E-2</v>
      </c>
      <c r="W4684">
        <v>3.7615840000000001E-3</v>
      </c>
      <c r="X4684">
        <v>0.99934230000000002</v>
      </c>
      <c r="Y4684">
        <v>7.8185719999999993E-3</v>
      </c>
      <c r="Z4684" s="1">
        <v>1.5880749999999999E-5</v>
      </c>
      <c r="AA4684">
        <v>0.99996940000000001</v>
      </c>
      <c r="AB4684">
        <v>29</v>
      </c>
      <c r="AC4684">
        <v>202.18260000000001</v>
      </c>
      <c r="AD4684">
        <v>0.69205799999999895</v>
      </c>
      <c r="AE4684">
        <v>-1.4340999999999999</v>
      </c>
      <c r="AF4684">
        <v>1.58306855319655</v>
      </c>
      <c r="AG4684">
        <v>0.69205799999999895</v>
      </c>
      <c r="AH4684">
        <v>202.17911961379301</v>
      </c>
      <c r="AI4684">
        <v>89.803883643674197</v>
      </c>
      <c r="AJ4684">
        <v>89.551381500876005</v>
      </c>
      <c r="AK4684">
        <v>202.18650167142201</v>
      </c>
      <c r="AL4684">
        <v>89.784476599953507</v>
      </c>
      <c r="AM4684">
        <v>87.933090296269597</v>
      </c>
      <c r="AN4684">
        <v>0.99999998003958401</v>
      </c>
    </row>
    <row r="4685" spans="1:40" x14ac:dyDescent="0.25">
      <c r="A4685" t="str">
        <f>"20190312154016739"</f>
        <v>20190312154016739</v>
      </c>
      <c r="B4685" t="str">
        <f>"1552376416731007"</f>
        <v>1552376416731007</v>
      </c>
      <c r="C4685" t="s">
        <v>40</v>
      </c>
      <c r="D4685">
        <v>3.9201999999999999</v>
      </c>
      <c r="E4685">
        <v>0.48913489999999998</v>
      </c>
      <c r="F4685" t="s">
        <v>76</v>
      </c>
      <c r="G4685">
        <v>-107.39749999999999</v>
      </c>
      <c r="H4685">
        <v>1.8464560000000001</v>
      </c>
      <c r="I4685">
        <v>213.40350000000001</v>
      </c>
      <c r="J4685">
        <v>-309.28320000000002</v>
      </c>
      <c r="K4685">
        <v>1.11009</v>
      </c>
      <c r="L4685">
        <v>214.81800000000001</v>
      </c>
      <c r="M4685">
        <v>0.99989939999999999</v>
      </c>
      <c r="N4685">
        <v>0</v>
      </c>
      <c r="O4685">
        <v>6.0250560000000002E-4</v>
      </c>
      <c r="P4685">
        <v>0.9993242</v>
      </c>
      <c r="Q4685">
        <v>-1.0411109999999999E-2</v>
      </c>
      <c r="R4685">
        <v>-3.5259980000000003E-2</v>
      </c>
      <c r="S4685">
        <v>3.0013730000000001</v>
      </c>
      <c r="T4685">
        <v>1.0931969999999999E-2</v>
      </c>
      <c r="U4685">
        <v>-2.0996089999999999E-2</v>
      </c>
      <c r="V4685">
        <v>3.5862949999999998E-2</v>
      </c>
      <c r="W4685">
        <v>3.7468029999999999E-3</v>
      </c>
      <c r="X4685">
        <v>0.99934970000000001</v>
      </c>
      <c r="Y4685">
        <v>7.5978209999999899E-3</v>
      </c>
      <c r="Z4685" s="1">
        <v>1.603135E-5</v>
      </c>
      <c r="AA4685">
        <v>0.99997119999999995</v>
      </c>
      <c r="AB4685">
        <v>29</v>
      </c>
      <c r="AC4685">
        <v>201.88570000000001</v>
      </c>
      <c r="AD4685">
        <v>0.73636599999999997</v>
      </c>
      <c r="AE4685">
        <v>-1.4144999999999699</v>
      </c>
      <c r="AF4685">
        <v>1.53612878849597</v>
      </c>
      <c r="AG4685">
        <v>0.73636599999999997</v>
      </c>
      <c r="AH4685">
        <v>201.88212534781999</v>
      </c>
      <c r="AI4685">
        <v>89.791020351587605</v>
      </c>
      <c r="AJ4685">
        <v>89.564042642770502</v>
      </c>
      <c r="AK4685">
        <v>201.88931240036899</v>
      </c>
      <c r="AL4685">
        <v>89.785323500493504</v>
      </c>
      <c r="AM4685">
        <v>87.944749186373699</v>
      </c>
      <c r="AN4685">
        <v>1.0000000063027501</v>
      </c>
    </row>
    <row r="4686" spans="1:40" x14ac:dyDescent="0.25">
      <c r="A4686" t="str">
        <f>"20190312154016761"</f>
        <v>20190312154016761</v>
      </c>
      <c r="B4686" t="str">
        <f>"1552376416750527"</f>
        <v>1552376416750527</v>
      </c>
      <c r="C4686" t="s">
        <v>40</v>
      </c>
      <c r="D4686">
        <v>3.9123359999999998</v>
      </c>
      <c r="E4686">
        <v>0.48906529999999998</v>
      </c>
      <c r="F4686" t="s">
        <v>76</v>
      </c>
      <c r="G4686">
        <v>-107.39749999999999</v>
      </c>
      <c r="H4686">
        <v>1.9389479999999999</v>
      </c>
      <c r="I4686">
        <v>213.41499999999999</v>
      </c>
      <c r="J4686">
        <v>-309.00060000000002</v>
      </c>
      <c r="K4686">
        <v>1.1100909999999999</v>
      </c>
      <c r="L4686">
        <v>214.81800000000001</v>
      </c>
      <c r="M4686">
        <v>0.99989950000000005</v>
      </c>
      <c r="N4686">
        <v>0</v>
      </c>
      <c r="O4686">
        <v>4.7462539999999998E-4</v>
      </c>
      <c r="P4686">
        <v>0.99932810000000005</v>
      </c>
      <c r="Q4686">
        <v>-1.0218909999999999E-2</v>
      </c>
      <c r="R4686">
        <v>-3.5201919999999998E-2</v>
      </c>
      <c r="S4686">
        <v>3.0014340000000002</v>
      </c>
      <c r="T4686">
        <v>1.232338E-2</v>
      </c>
      <c r="U4686">
        <v>-2.085876E-2</v>
      </c>
      <c r="V4686">
        <v>3.5677380000000002E-2</v>
      </c>
      <c r="W4686">
        <v>3.9361049999999996E-3</v>
      </c>
      <c r="X4686">
        <v>0.99935560000000001</v>
      </c>
      <c r="Y4686">
        <v>7.4240259999999898E-3</v>
      </c>
      <c r="Z4686" s="1">
        <v>1.71895399999999E-5</v>
      </c>
      <c r="AA4686">
        <v>0.99997250000000004</v>
      </c>
      <c r="AB4686">
        <v>29</v>
      </c>
      <c r="AC4686">
        <v>201.60310000000001</v>
      </c>
      <c r="AD4686">
        <v>0.82885699999999995</v>
      </c>
      <c r="AE4686">
        <v>-1.40299999999999</v>
      </c>
      <c r="AF4686">
        <v>1.49867006969186</v>
      </c>
      <c r="AG4686">
        <v>0.82885699999999995</v>
      </c>
      <c r="AH4686">
        <v>201.59900385074801</v>
      </c>
      <c r="AI4686">
        <v>89.764441156536805</v>
      </c>
      <c r="AJ4686">
        <v>89.574075831127601</v>
      </c>
      <c r="AK4686">
        <v>201.606278100456</v>
      </c>
      <c r="AL4686">
        <v>89.774477211595197</v>
      </c>
      <c r="AM4686">
        <v>87.955386930392393</v>
      </c>
      <c r="AN4686">
        <v>0.99999999180879695</v>
      </c>
    </row>
    <row r="4687" spans="1:40" x14ac:dyDescent="0.25">
      <c r="A4687" t="str">
        <f>"20190312154016782"</f>
        <v>20190312154016782</v>
      </c>
      <c r="B4687" t="str">
        <f>"1552376416771023"</f>
        <v>1552376416771023</v>
      </c>
      <c r="C4687" t="s">
        <v>40</v>
      </c>
      <c r="D4687">
        <v>3.9161260000000002</v>
      </c>
      <c r="E4687">
        <v>0.4889232</v>
      </c>
      <c r="F4687" t="s">
        <v>76</v>
      </c>
      <c r="G4687">
        <v>-107.39749999999999</v>
      </c>
      <c r="H4687">
        <v>2.008467</v>
      </c>
      <c r="I4687">
        <v>213.46100000000001</v>
      </c>
      <c r="J4687">
        <v>-308.72280000000001</v>
      </c>
      <c r="K4687">
        <v>1.110098</v>
      </c>
      <c r="L4687">
        <v>214.81800000000001</v>
      </c>
      <c r="M4687">
        <v>0.9998996</v>
      </c>
      <c r="N4687">
        <v>0</v>
      </c>
      <c r="O4687">
        <v>3.4906930000000002E-4</v>
      </c>
      <c r="P4687">
        <v>0.99932889999999996</v>
      </c>
      <c r="Q4687">
        <v>-1.0037519999999999E-2</v>
      </c>
      <c r="R4687">
        <v>-3.5232149999999997E-2</v>
      </c>
      <c r="S4687">
        <v>3.001465</v>
      </c>
      <c r="T4687">
        <v>1.337576E-2</v>
      </c>
      <c r="U4687">
        <v>-2.0202640000000001E-2</v>
      </c>
      <c r="V4687">
        <v>3.5582210000000003E-2</v>
      </c>
      <c r="W4687">
        <v>4.1144420000000003E-3</v>
      </c>
      <c r="X4687">
        <v>0.99935830000000003</v>
      </c>
      <c r="Y4687">
        <v>7.0797960000000002E-3</v>
      </c>
      <c r="Z4687" s="1">
        <v>1.7330710000000001E-5</v>
      </c>
      <c r="AA4687">
        <v>0.99997499999999995</v>
      </c>
      <c r="AB4687">
        <v>29</v>
      </c>
      <c r="AC4687">
        <v>201.3253</v>
      </c>
      <c r="AD4687">
        <v>0.89836899999999997</v>
      </c>
      <c r="AE4687">
        <v>-1.35699999999999</v>
      </c>
      <c r="AF4687">
        <v>1.42725503296115</v>
      </c>
      <c r="AG4687">
        <v>0.89836899999999997</v>
      </c>
      <c r="AH4687">
        <v>201.32080549870599</v>
      </c>
      <c r="AI4687">
        <v>89.744332847661795</v>
      </c>
      <c r="AJ4687">
        <v>89.593810885615</v>
      </c>
      <c r="AK4687">
        <v>201.32786903565301</v>
      </c>
      <c r="AL4687">
        <v>89.764259177234194</v>
      </c>
      <c r="AM4687">
        <v>87.960841863548595</v>
      </c>
      <c r="AN4687">
        <v>1.0000000170401699</v>
      </c>
    </row>
    <row r="4688" spans="1:40" x14ac:dyDescent="0.25">
      <c r="A4688" t="str">
        <f>"20190312154016805"</f>
        <v>20190312154016805</v>
      </c>
      <c r="B4688" t="str">
        <f>"1552376416800304"</f>
        <v>1552376416800304</v>
      </c>
      <c r="C4688" t="s">
        <v>40</v>
      </c>
      <c r="D4688">
        <v>3.884938</v>
      </c>
      <c r="E4688">
        <v>0.48885109999999898</v>
      </c>
      <c r="F4688" t="s">
        <v>76</v>
      </c>
      <c r="G4688">
        <v>-107.39749999999999</v>
      </c>
      <c r="H4688">
        <v>2.136307</v>
      </c>
      <c r="I4688">
        <v>213.53049999999999</v>
      </c>
      <c r="J4688">
        <v>-308.43389999999999</v>
      </c>
      <c r="K4688">
        <v>1.110101</v>
      </c>
      <c r="L4688">
        <v>214.81800000000001</v>
      </c>
      <c r="M4688">
        <v>0.99989969999999995</v>
      </c>
      <c r="N4688">
        <v>0</v>
      </c>
      <c r="O4688">
        <v>2.1850759999999999E-4</v>
      </c>
      <c r="P4688">
        <v>0.99933300000000003</v>
      </c>
      <c r="Q4688">
        <v>-9.6464059999999997E-3</v>
      </c>
      <c r="R4688">
        <v>-3.5228210000000003E-2</v>
      </c>
      <c r="S4688">
        <v>3.001465</v>
      </c>
      <c r="T4688">
        <v>1.5300040000000001E-2</v>
      </c>
      <c r="U4688">
        <v>-1.919556E-2</v>
      </c>
      <c r="V4688">
        <v>3.5447739999999998E-2</v>
      </c>
      <c r="W4688">
        <v>4.503061E-3</v>
      </c>
      <c r="X4688">
        <v>0.99936139999999996</v>
      </c>
      <c r="Y4688">
        <v>6.6137019999999999E-3</v>
      </c>
      <c r="Z4688" s="1">
        <v>1.7970410000000001E-5</v>
      </c>
      <c r="AA4688">
        <v>0.99997809999999998</v>
      </c>
      <c r="AB4688">
        <v>29</v>
      </c>
      <c r="AC4688">
        <v>201.03639999999999</v>
      </c>
      <c r="AD4688">
        <v>1.026206</v>
      </c>
      <c r="AE4688">
        <v>-1.2874999999999901</v>
      </c>
      <c r="AF4688">
        <v>1.3313976654739399</v>
      </c>
      <c r="AG4688">
        <v>1.026206</v>
      </c>
      <c r="AH4688">
        <v>201.030875853119</v>
      </c>
      <c r="AI4688">
        <v>89.7075301376385</v>
      </c>
      <c r="AJ4688">
        <v>89.6205441006435</v>
      </c>
      <c r="AK4688">
        <v>201.037903801174</v>
      </c>
      <c r="AL4688">
        <v>89.741992741411096</v>
      </c>
      <c r="AM4688">
        <v>87.968547946146202</v>
      </c>
      <c r="AN4688">
        <v>1.00000001381971</v>
      </c>
    </row>
    <row r="4689" spans="1:40" x14ac:dyDescent="0.25">
      <c r="A4689" t="str">
        <f>"20190312154016828"</f>
        <v>20190312154016828</v>
      </c>
      <c r="B4689" t="str">
        <f>"1552376416820799"</f>
        <v>1552376416820799</v>
      </c>
      <c r="C4689" t="s">
        <v>40</v>
      </c>
      <c r="D4689">
        <v>3.8956430000000002</v>
      </c>
      <c r="E4689">
        <v>0.488757</v>
      </c>
      <c r="F4689" t="s">
        <v>76</v>
      </c>
      <c r="G4689">
        <v>-107.39749999999999</v>
      </c>
      <c r="H4689">
        <v>2.189686</v>
      </c>
      <c r="I4689">
        <v>213.58029999999999</v>
      </c>
      <c r="J4689">
        <v>-308.13290000000001</v>
      </c>
      <c r="K4689">
        <v>1.1101030000000001</v>
      </c>
      <c r="L4689">
        <v>214.81790000000001</v>
      </c>
      <c r="M4689">
        <v>0.99989969999999995</v>
      </c>
      <c r="N4689">
        <v>0</v>
      </c>
      <c r="O4689" s="1">
        <v>8.2465350000000001E-5</v>
      </c>
      <c r="P4689">
        <v>0.99932719999999997</v>
      </c>
      <c r="Q4689">
        <v>-1.012245E-2</v>
      </c>
      <c r="R4689">
        <v>-3.5251900000000003E-2</v>
      </c>
      <c r="S4689">
        <v>3.0015260000000001</v>
      </c>
      <c r="T4689">
        <v>1.611924E-2</v>
      </c>
      <c r="U4689">
        <v>-1.8478390000000001E-2</v>
      </c>
      <c r="V4689">
        <v>3.5335560000000002E-2</v>
      </c>
      <c r="W4689">
        <v>4.023843E-3</v>
      </c>
      <c r="X4689">
        <v>0.99936740000000002</v>
      </c>
      <c r="Y4689">
        <v>6.2385979999999997E-3</v>
      </c>
      <c r="Z4689" s="1">
        <v>1.7194349999999999E-5</v>
      </c>
      <c r="AA4689">
        <v>0.9999806</v>
      </c>
      <c r="AB4689">
        <v>29</v>
      </c>
      <c r="AC4689">
        <v>200.7354</v>
      </c>
      <c r="AD4689">
        <v>1.079583</v>
      </c>
      <c r="AE4689">
        <v>-1.23760000000001</v>
      </c>
      <c r="AF4689">
        <v>1.2541190980119701</v>
      </c>
      <c r="AG4689">
        <v>1.079583</v>
      </c>
      <c r="AH4689">
        <v>200.72949149147499</v>
      </c>
      <c r="AI4689">
        <v>89.691855215326996</v>
      </c>
      <c r="AJ4689">
        <v>89.642031692274799</v>
      </c>
      <c r="AK4689">
        <v>200.73631228203899</v>
      </c>
      <c r="AL4689">
        <v>89.769450155750206</v>
      </c>
      <c r="AM4689">
        <v>87.974983585460194</v>
      </c>
      <c r="AN4689">
        <v>0.99999999664788097</v>
      </c>
    </row>
    <row r="4690" spans="1:40" x14ac:dyDescent="0.25">
      <c r="A4690" t="str">
        <f>"20190312154016850"</f>
        <v>20190312154016850</v>
      </c>
      <c r="B4690" t="str">
        <f>"1552376416840319"</f>
        <v>1552376416840319</v>
      </c>
      <c r="C4690" t="s">
        <v>40</v>
      </c>
      <c r="D4690">
        <v>3.8844099999999999</v>
      </c>
      <c r="E4690">
        <v>0.4886935</v>
      </c>
      <c r="F4690" t="s">
        <v>76</v>
      </c>
      <c r="G4690">
        <v>-107.39749999999999</v>
      </c>
      <c r="H4690">
        <v>2.110179</v>
      </c>
      <c r="I4690">
        <v>213.62090000000001</v>
      </c>
      <c r="J4690">
        <v>-307.85410000000002</v>
      </c>
      <c r="K4690">
        <v>1.1100969999999999</v>
      </c>
      <c r="L4690">
        <v>214.81780000000001</v>
      </c>
      <c r="M4690">
        <v>0.99989969999999995</v>
      </c>
      <c r="N4690">
        <v>0</v>
      </c>
      <c r="O4690" s="1">
        <v>-4.3923410000000001E-5</v>
      </c>
      <c r="P4690">
        <v>0.99934120000000004</v>
      </c>
      <c r="Q4690">
        <v>-9.9037080000000006E-3</v>
      </c>
      <c r="R4690">
        <v>-3.4918159999999997E-2</v>
      </c>
      <c r="S4690">
        <v>3.0015559999999999</v>
      </c>
      <c r="T4690">
        <v>1.495469E-2</v>
      </c>
      <c r="U4690">
        <v>-1.7898560000000001E-2</v>
      </c>
      <c r="V4690">
        <v>3.487548E-2</v>
      </c>
      <c r="W4690">
        <v>4.240326E-3</v>
      </c>
      <c r="X4690">
        <v>0.99938269999999996</v>
      </c>
      <c r="Y4690">
        <v>5.9189869999999997E-3</v>
      </c>
      <c r="Z4690" s="1">
        <v>1.4526040000000001E-5</v>
      </c>
      <c r="AA4690">
        <v>0.9999825</v>
      </c>
      <c r="AB4690">
        <v>29</v>
      </c>
      <c r="AC4690">
        <v>200.45660000000001</v>
      </c>
      <c r="AD4690">
        <v>1.0000819999999999</v>
      </c>
      <c r="AE4690">
        <v>-1.1968999999999901</v>
      </c>
      <c r="AF4690">
        <v>1.1880648079604399</v>
      </c>
      <c r="AG4690">
        <v>1.0000819999999999</v>
      </c>
      <c r="AH4690">
        <v>200.45166325537599</v>
      </c>
      <c r="AI4690">
        <v>89.714150558695195</v>
      </c>
      <c r="AJ4690">
        <v>89.660415378378502</v>
      </c>
      <c r="AK4690">
        <v>200.45767873504201</v>
      </c>
      <c r="AL4690">
        <v>89.757046495724097</v>
      </c>
      <c r="AM4690">
        <v>88.001358978874094</v>
      </c>
      <c r="AN4690">
        <v>1.00000003026455</v>
      </c>
    </row>
    <row r="4691" spans="1:40" x14ac:dyDescent="0.25">
      <c r="A4691" t="str">
        <f>"20190312154016871"</f>
        <v>20190312154016871</v>
      </c>
      <c r="B4691" t="str">
        <f>"1552376416860815"</f>
        <v>1552376416860815</v>
      </c>
      <c r="C4691" t="s">
        <v>40</v>
      </c>
      <c r="D4691">
        <v>3.866581</v>
      </c>
      <c r="E4691">
        <v>0.48864970000000002</v>
      </c>
      <c r="F4691" t="s">
        <v>76</v>
      </c>
      <c r="G4691">
        <v>-107.39749999999999</v>
      </c>
      <c r="H4691">
        <v>2.1597089999999999</v>
      </c>
      <c r="I4691">
        <v>213.73050000000001</v>
      </c>
      <c r="J4691">
        <v>-307.57569999999998</v>
      </c>
      <c r="K4691">
        <v>1.1101000000000001</v>
      </c>
      <c r="L4691">
        <v>214.8177</v>
      </c>
      <c r="M4691">
        <v>0.99989969999999995</v>
      </c>
      <c r="N4691">
        <v>0</v>
      </c>
      <c r="O4691">
        <v>-1.6983659999999999E-4</v>
      </c>
      <c r="P4691">
        <v>0.9993573</v>
      </c>
      <c r="Q4691">
        <v>-9.6372650000000008E-3</v>
      </c>
      <c r="R4691">
        <v>-3.4523390000000001E-2</v>
      </c>
      <c r="S4691">
        <v>3.0014949999999998</v>
      </c>
      <c r="T4691">
        <v>1.5716910000000001E-2</v>
      </c>
      <c r="U4691">
        <v>-1.6281130000000001E-2</v>
      </c>
      <c r="V4691">
        <v>3.4355040000000003E-2</v>
      </c>
      <c r="W4691">
        <v>4.5040139999999998E-3</v>
      </c>
      <c r="X4691">
        <v>0.9993995</v>
      </c>
      <c r="Y4691">
        <v>5.2543390000000002E-3</v>
      </c>
      <c r="Z4691" s="1">
        <v>1.286721E-5</v>
      </c>
      <c r="AA4691">
        <v>0.99998620000000005</v>
      </c>
      <c r="AB4691">
        <v>29</v>
      </c>
      <c r="AC4691">
        <v>200.1782</v>
      </c>
      <c r="AD4691">
        <v>1.04960899999999</v>
      </c>
      <c r="AE4691">
        <v>-1.08719999999999</v>
      </c>
      <c r="AF4691">
        <v>1.0531700357157801</v>
      </c>
      <c r="AG4691">
        <v>1.04960899999999</v>
      </c>
      <c r="AH4691">
        <v>200.17287859425201</v>
      </c>
      <c r="AI4691">
        <v>89.699575772680006</v>
      </c>
      <c r="AJ4691">
        <v>89.698552362309897</v>
      </c>
      <c r="AK4691">
        <v>200.17840086004799</v>
      </c>
      <c r="AL4691">
        <v>89.741938123512696</v>
      </c>
      <c r="AM4691">
        <v>88.031193729686294</v>
      </c>
      <c r="AN4691">
        <v>0.99999995775788098</v>
      </c>
    </row>
    <row r="4692" spans="1:40" x14ac:dyDescent="0.25">
      <c r="A4692" t="str">
        <f>"20190312154016894"</f>
        <v>20190312154016894</v>
      </c>
      <c r="B4692" t="str">
        <f>"1552376416890098"</f>
        <v>1552376416890098</v>
      </c>
      <c r="C4692" t="s">
        <v>40</v>
      </c>
      <c r="D4692">
        <v>3.8366370000000001</v>
      </c>
      <c r="E4692">
        <v>0.48867899999999997</v>
      </c>
      <c r="F4692" t="s">
        <v>76</v>
      </c>
      <c r="G4692">
        <v>-107.39749999999999</v>
      </c>
      <c r="H4692">
        <v>2.2119249999999999</v>
      </c>
      <c r="I4692">
        <v>213.8244</v>
      </c>
      <c r="J4692">
        <v>-307.29059999999998</v>
      </c>
      <c r="K4692">
        <v>1.1101019999999999</v>
      </c>
      <c r="L4692">
        <v>214.8175</v>
      </c>
      <c r="M4692">
        <v>0.99989980000000001</v>
      </c>
      <c r="N4692">
        <v>0</v>
      </c>
      <c r="O4692">
        <v>-2.9878910000000002E-4</v>
      </c>
      <c r="P4692">
        <v>0.99936210000000003</v>
      </c>
      <c r="Q4692">
        <v>-9.4620320000000004E-3</v>
      </c>
      <c r="R4692">
        <v>-3.4436460000000002E-2</v>
      </c>
      <c r="S4692">
        <v>3.0015869999999998</v>
      </c>
      <c r="T4692">
        <v>1.6522169999999999E-2</v>
      </c>
      <c r="U4692">
        <v>-1.4892580000000001E-2</v>
      </c>
      <c r="V4692">
        <v>3.413923E-2</v>
      </c>
      <c r="W4692">
        <v>4.676627E-3</v>
      </c>
      <c r="X4692">
        <v>0.99940620000000002</v>
      </c>
      <c r="Y4692">
        <v>4.6626259999999996E-3</v>
      </c>
      <c r="Z4692" s="1">
        <v>1.1187669999999999E-5</v>
      </c>
      <c r="AA4692">
        <v>0.99998920000000002</v>
      </c>
      <c r="AB4692">
        <v>29</v>
      </c>
      <c r="AC4692">
        <v>199.8931</v>
      </c>
      <c r="AD4692">
        <v>1.10182299999999</v>
      </c>
      <c r="AE4692">
        <v>-0.99309999999999798</v>
      </c>
      <c r="AF4692">
        <v>0.93333973695838801</v>
      </c>
      <c r="AG4692">
        <v>1.10182299999999</v>
      </c>
      <c r="AH4692">
        <v>199.88731484253</v>
      </c>
      <c r="AI4692">
        <v>89.684179658048905</v>
      </c>
      <c r="AJ4692">
        <v>89.732469070464106</v>
      </c>
      <c r="AK4692">
        <v>199.892530555658</v>
      </c>
      <c r="AL4692">
        <v>89.732048048614104</v>
      </c>
      <c r="AM4692">
        <v>88.0435647556492</v>
      </c>
      <c r="AN4692">
        <v>1.0000000552317601</v>
      </c>
    </row>
    <row r="4693" spans="1:40" x14ac:dyDescent="0.25">
      <c r="A4693" t="str">
        <f>"20190312154016917"</f>
        <v>20190312154016917</v>
      </c>
      <c r="B4693" t="str">
        <f>"1552376416910591"</f>
        <v>1552376416910591</v>
      </c>
      <c r="C4693" t="s">
        <v>40</v>
      </c>
      <c r="D4693">
        <v>3.8898980000000001</v>
      </c>
      <c r="E4693">
        <v>0.48868919999999999</v>
      </c>
      <c r="F4693" t="s">
        <v>76</v>
      </c>
      <c r="G4693">
        <v>-107.39749999999999</v>
      </c>
      <c r="H4693">
        <v>2.2940290000000001</v>
      </c>
      <c r="I4693">
        <v>213.82259999999999</v>
      </c>
      <c r="J4693">
        <v>-306.99290000000002</v>
      </c>
      <c r="K4693">
        <v>1.110106</v>
      </c>
      <c r="L4693">
        <v>214.81720000000001</v>
      </c>
      <c r="M4693">
        <v>0.99989989999999995</v>
      </c>
      <c r="N4693">
        <v>0</v>
      </c>
      <c r="O4693">
        <v>-4.3358159999999998E-4</v>
      </c>
      <c r="P4693">
        <v>0.99935649999999998</v>
      </c>
      <c r="Q4693">
        <v>-9.3098469999999996E-3</v>
      </c>
      <c r="R4693">
        <v>-3.4644710000000002E-2</v>
      </c>
      <c r="S4693">
        <v>3.0015559999999999</v>
      </c>
      <c r="T4693">
        <v>1.77784E-2</v>
      </c>
      <c r="U4693">
        <v>-1.493835E-2</v>
      </c>
      <c r="V4693">
        <v>3.4212699999999999E-2</v>
      </c>
      <c r="W4693">
        <v>4.8258750000000003E-3</v>
      </c>
      <c r="X4693">
        <v>0.99940289999999998</v>
      </c>
      <c r="Y4693">
        <v>4.5431159999999998E-3</v>
      </c>
      <c r="Z4693" s="1">
        <v>1.08860199999999E-5</v>
      </c>
      <c r="AA4693">
        <v>0.99998969999999998</v>
      </c>
      <c r="AB4693">
        <v>29</v>
      </c>
      <c r="AC4693">
        <v>199.59540000000001</v>
      </c>
      <c r="AD4693">
        <v>1.1839230000000001</v>
      </c>
      <c r="AE4693">
        <v>-0.99460000000001902</v>
      </c>
      <c r="AF4693">
        <v>0.90801841116002102</v>
      </c>
      <c r="AG4693">
        <v>1.1839230000000001</v>
      </c>
      <c r="AH4693">
        <v>199.58879035026999</v>
      </c>
      <c r="AI4693">
        <v>89.660139762860894</v>
      </c>
      <c r="AJ4693">
        <v>89.739337747074401</v>
      </c>
      <c r="AK4693">
        <v>199.59436716648301</v>
      </c>
      <c r="AL4693">
        <v>89.723496650485302</v>
      </c>
      <c r="AM4693">
        <v>88.039351184420994</v>
      </c>
      <c r="AN4693">
        <v>0.99999997721960698</v>
      </c>
    </row>
    <row r="4694" spans="1:40" x14ac:dyDescent="0.25">
      <c r="A4694" t="str">
        <f>"20190312154016940"</f>
        <v>20190312154016940</v>
      </c>
      <c r="B4694" t="str">
        <f>"1552376416930111"</f>
        <v>1552376416930111</v>
      </c>
      <c r="C4694" t="s">
        <v>40</v>
      </c>
      <c r="D4694">
        <v>3.874514</v>
      </c>
      <c r="E4694">
        <v>0.48869770000000001</v>
      </c>
      <c r="F4694" t="s">
        <v>76</v>
      </c>
      <c r="G4694">
        <v>-107.39749999999999</v>
      </c>
      <c r="H4694">
        <v>2.3500230000000002</v>
      </c>
      <c r="I4694">
        <v>213.78020000000001</v>
      </c>
      <c r="J4694">
        <v>-306.69850000000002</v>
      </c>
      <c r="K4694">
        <v>1.110106</v>
      </c>
      <c r="L4694">
        <v>214.81700000000001</v>
      </c>
      <c r="M4694">
        <v>0.99989969999999995</v>
      </c>
      <c r="N4694">
        <v>0</v>
      </c>
      <c r="O4694">
        <v>-5.6682409999999999E-4</v>
      </c>
      <c r="P4694">
        <v>0.99936789999999998</v>
      </c>
      <c r="Q4694">
        <v>-9.2620500000000008E-3</v>
      </c>
      <c r="R4694">
        <v>-3.4323729999999997E-2</v>
      </c>
      <c r="S4694">
        <v>3.0015869999999998</v>
      </c>
      <c r="T4694">
        <v>1.8647070000000002E-2</v>
      </c>
      <c r="U4694">
        <v>-1.5594480000000001E-2</v>
      </c>
      <c r="V4694">
        <v>3.3758539999999997E-2</v>
      </c>
      <c r="W4694">
        <v>4.8711739999999998E-3</v>
      </c>
      <c r="X4694">
        <v>0.99941809999999998</v>
      </c>
      <c r="Y4694">
        <v>4.6283899999999996E-3</v>
      </c>
      <c r="Z4694" s="1">
        <v>1.08548499999999E-5</v>
      </c>
      <c r="AA4694">
        <v>0.99998929999999997</v>
      </c>
      <c r="AB4694">
        <v>29</v>
      </c>
      <c r="AC4694">
        <v>199.30099999999999</v>
      </c>
      <c r="AD4694">
        <v>1.2399169999999899</v>
      </c>
      <c r="AE4694">
        <v>-1.03679999999999</v>
      </c>
      <c r="AF4694">
        <v>0.92378415568871097</v>
      </c>
      <c r="AG4694">
        <v>1.2399169999999899</v>
      </c>
      <c r="AH4694">
        <v>199.293842273764</v>
      </c>
      <c r="AI4694">
        <v>89.643539757804902</v>
      </c>
      <c r="AJ4694">
        <v>89.734419520301998</v>
      </c>
      <c r="AK4694">
        <v>199.299840289884</v>
      </c>
      <c r="AL4694">
        <v>89.720901171637905</v>
      </c>
      <c r="AM4694">
        <v>88.065387508728094</v>
      </c>
      <c r="AN4694">
        <v>0.99999995298333799</v>
      </c>
    </row>
    <row r="4695" spans="1:40" x14ac:dyDescent="0.25">
      <c r="A4695" t="str">
        <f>"20190312154016962"</f>
        <v>20190312154016962</v>
      </c>
      <c r="B4695" t="str">
        <f>"1552376416950607"</f>
        <v>1552376416950607</v>
      </c>
      <c r="C4695" t="s">
        <v>40</v>
      </c>
      <c r="D4695">
        <v>3.9027530000000001</v>
      </c>
      <c r="E4695">
        <v>0.48869390000000001</v>
      </c>
      <c r="F4695" t="s">
        <v>76</v>
      </c>
      <c r="G4695">
        <v>-107.39749999999999</v>
      </c>
      <c r="H4695">
        <v>2.3555600000000001</v>
      </c>
      <c r="I4695">
        <v>213.84729999999999</v>
      </c>
      <c r="J4695">
        <v>-306.41910000000001</v>
      </c>
      <c r="K4695">
        <v>1.110109</v>
      </c>
      <c r="L4695">
        <v>214.8167</v>
      </c>
      <c r="M4695">
        <v>0.99989989999999995</v>
      </c>
      <c r="N4695">
        <v>0</v>
      </c>
      <c r="O4695">
        <v>-6.9362839999999998E-4</v>
      </c>
      <c r="P4695">
        <v>0.99935549999999995</v>
      </c>
      <c r="Q4695">
        <v>-9.2170470000000008E-3</v>
      </c>
      <c r="R4695">
        <v>-3.4696499999999998E-2</v>
      </c>
      <c r="S4695">
        <v>3.0015559999999999</v>
      </c>
      <c r="T4695">
        <v>1.8757820000000001E-2</v>
      </c>
      <c r="U4695">
        <v>-1.460266E-2</v>
      </c>
      <c r="V4695">
        <v>3.4004680000000002E-2</v>
      </c>
      <c r="W4695">
        <v>4.9131359999999898E-3</v>
      </c>
      <c r="X4695">
        <v>0.99940960000000001</v>
      </c>
      <c r="Y4695">
        <v>4.1712140000000003E-3</v>
      </c>
      <c r="Z4695" s="1">
        <v>8.6984109999999997E-6</v>
      </c>
      <c r="AA4695">
        <v>0.99999130000000003</v>
      </c>
      <c r="AB4695">
        <v>29</v>
      </c>
      <c r="AC4695">
        <v>199.02160000000001</v>
      </c>
      <c r="AD4695">
        <v>1.2454509999999901</v>
      </c>
      <c r="AE4695">
        <v>-0.96940000000000703</v>
      </c>
      <c r="AF4695">
        <v>0.83130639215885604</v>
      </c>
      <c r="AG4695">
        <v>1.2454509999999901</v>
      </c>
      <c r="AH4695">
        <v>199.014431181346</v>
      </c>
      <c r="AI4695">
        <v>89.6414454398559</v>
      </c>
      <c r="AJ4695">
        <v>89.760670266722499</v>
      </c>
      <c r="AK4695">
        <v>199.02006440795299</v>
      </c>
      <c r="AL4695">
        <v>89.718496911296896</v>
      </c>
      <c r="AM4695">
        <v>88.051276152580897</v>
      </c>
      <c r="AN4695">
        <v>1.0000000028697</v>
      </c>
    </row>
    <row r="4696" spans="1:40" x14ac:dyDescent="0.25">
      <c r="A4696" t="str">
        <f>"20190312154016984"</f>
        <v>20190312154016984</v>
      </c>
      <c r="B4696" t="str">
        <f>"1552376416970128"</f>
        <v>1552376416970128</v>
      </c>
      <c r="C4696" t="s">
        <v>40</v>
      </c>
      <c r="D4696">
        <v>3.8612730000000002</v>
      </c>
      <c r="E4696">
        <v>0.48870350000000001</v>
      </c>
      <c r="F4696" t="s">
        <v>76</v>
      </c>
      <c r="G4696">
        <v>-107.39749999999999</v>
      </c>
      <c r="H4696">
        <v>2.3559939999999999</v>
      </c>
      <c r="I4696">
        <v>213.78569999999999</v>
      </c>
      <c r="J4696">
        <v>-306.13400000000001</v>
      </c>
      <c r="K4696">
        <v>1.1101049999999999</v>
      </c>
      <c r="L4696">
        <v>214.81630000000001</v>
      </c>
      <c r="M4696">
        <v>0.9998996</v>
      </c>
      <c r="N4696">
        <v>0</v>
      </c>
      <c r="O4696">
        <v>-8.2257999999999995E-4</v>
      </c>
      <c r="P4696">
        <v>0.99934650000000003</v>
      </c>
      <c r="Q4696">
        <v>-8.8975249999999999E-3</v>
      </c>
      <c r="R4696">
        <v>-3.5036449999999997E-2</v>
      </c>
      <c r="S4696">
        <v>3.0015260000000001</v>
      </c>
      <c r="T4696">
        <v>1.8790479999999998E-2</v>
      </c>
      <c r="U4696">
        <v>-1.554871E-2</v>
      </c>
      <c r="V4696">
        <v>3.4215710000000003E-2</v>
      </c>
      <c r="W4696">
        <v>5.2292739999999999E-3</v>
      </c>
      <c r="X4696">
        <v>0.99940079999999998</v>
      </c>
      <c r="Y4696">
        <v>4.3574759999999999E-3</v>
      </c>
      <c r="Z4696" s="1">
        <v>8.4893199999999999E-6</v>
      </c>
      <c r="AA4696">
        <v>0.9999905</v>
      </c>
      <c r="AB4696">
        <v>29</v>
      </c>
      <c r="AC4696">
        <v>198.73650000000001</v>
      </c>
      <c r="AD4696">
        <v>1.245889</v>
      </c>
      <c r="AE4696">
        <v>-1.0306000000000199</v>
      </c>
      <c r="AF4696">
        <v>0.86707254581861604</v>
      </c>
      <c r="AG4696">
        <v>1.245889</v>
      </c>
      <c r="AH4696">
        <v>198.7294705322</v>
      </c>
      <c r="AI4696">
        <v>89.640805328794698</v>
      </c>
      <c r="AJ4696">
        <v>89.750015525949294</v>
      </c>
      <c r="AK4696">
        <v>198.73526740920599</v>
      </c>
      <c r="AL4696">
        <v>89.700383307223504</v>
      </c>
      <c r="AM4696">
        <v>88.039174706119496</v>
      </c>
      <c r="AN4696">
        <v>1.000000009579</v>
      </c>
    </row>
    <row r="4697" spans="1:40" x14ac:dyDescent="0.25">
      <c r="A4697" t="str">
        <f>"20190312154017006"</f>
        <v>20190312154017006</v>
      </c>
      <c r="B4697" t="str">
        <f>"1552376417000384"</f>
        <v>1552376417000384</v>
      </c>
      <c r="C4697" t="s">
        <v>40</v>
      </c>
      <c r="D4697">
        <v>3.8735889999999999</v>
      </c>
      <c r="E4697">
        <v>0.4896104</v>
      </c>
      <c r="F4697" t="s">
        <v>76</v>
      </c>
      <c r="G4697">
        <v>-107.39749999999999</v>
      </c>
      <c r="H4697">
        <v>2.4175119999999999</v>
      </c>
      <c r="I4697">
        <v>213.70500000000001</v>
      </c>
      <c r="J4697">
        <v>-305.85449999999997</v>
      </c>
      <c r="K4697">
        <v>1.110109</v>
      </c>
      <c r="L4697">
        <v>214.8159</v>
      </c>
      <c r="M4697">
        <v>0.99989969999999995</v>
      </c>
      <c r="N4697">
        <v>0</v>
      </c>
      <c r="O4697">
        <v>-9.49387E-4</v>
      </c>
      <c r="P4697">
        <v>0.99933130000000003</v>
      </c>
      <c r="Q4697">
        <v>-8.7598169999999996E-3</v>
      </c>
      <c r="R4697">
        <v>-3.5505719999999998E-2</v>
      </c>
      <c r="S4697">
        <v>3.0015559999999999</v>
      </c>
      <c r="T4697">
        <v>1.9746779999999999E-2</v>
      </c>
      <c r="U4697">
        <v>-1.6784670000000002E-2</v>
      </c>
      <c r="V4697">
        <v>3.4558319999999997E-2</v>
      </c>
      <c r="W4697">
        <v>5.363741E-3</v>
      </c>
      <c r="X4697">
        <v>0.99938830000000001</v>
      </c>
      <c r="Y4697">
        <v>4.6423519999999998E-3</v>
      </c>
      <c r="Z4697" s="1">
        <v>9.0240020000000008E-6</v>
      </c>
      <c r="AA4697">
        <v>0.99998920000000002</v>
      </c>
      <c r="AB4697">
        <v>29</v>
      </c>
      <c r="AC4697">
        <v>198.45699999999999</v>
      </c>
      <c r="AD4697">
        <v>1.3074030000000001</v>
      </c>
      <c r="AE4697">
        <v>-1.11089999999998</v>
      </c>
      <c r="AF4697">
        <v>0.92242815686792401</v>
      </c>
      <c r="AG4697">
        <v>1.3074030000000001</v>
      </c>
      <c r="AH4697">
        <v>198.44935296298101</v>
      </c>
      <c r="AI4697">
        <v>89.622539554777106</v>
      </c>
      <c r="AJ4697">
        <v>89.733680866773597</v>
      </c>
      <c r="AK4697">
        <v>198.45580331080001</v>
      </c>
      <c r="AL4697">
        <v>89.692678807980599</v>
      </c>
      <c r="AM4697">
        <v>88.019531305131807</v>
      </c>
      <c r="AN4697">
        <v>1.00000001068781</v>
      </c>
    </row>
    <row r="4698" spans="1:40" x14ac:dyDescent="0.25">
      <c r="A4698" t="str">
        <f>"20190312154017028"</f>
        <v>20190312154017028</v>
      </c>
      <c r="B4698" t="str">
        <f>"1552376417020880"</f>
        <v>1552376417020880</v>
      </c>
      <c r="C4698" t="s">
        <v>40</v>
      </c>
      <c r="D4698">
        <v>3.8799440000000001</v>
      </c>
      <c r="E4698">
        <v>0.49014160000000001</v>
      </c>
      <c r="F4698" t="s">
        <v>76</v>
      </c>
      <c r="G4698">
        <v>-107.39749999999999</v>
      </c>
      <c r="H4698">
        <v>2.4781080000000002</v>
      </c>
      <c r="I4698">
        <v>213.13900000000001</v>
      </c>
      <c r="J4698">
        <v>-305.5668</v>
      </c>
      <c r="K4698">
        <v>1.110112</v>
      </c>
      <c r="L4698">
        <v>214.81549999999999</v>
      </c>
      <c r="M4698">
        <v>0.99989950000000005</v>
      </c>
      <c r="N4698">
        <v>0</v>
      </c>
      <c r="O4698">
        <v>-1.0795309999999999E-3</v>
      </c>
      <c r="P4698">
        <v>0.99931590000000003</v>
      </c>
      <c r="Q4698">
        <v>-8.95578E-3</v>
      </c>
      <c r="R4698">
        <v>-3.588131E-2</v>
      </c>
      <c r="S4698">
        <v>3.0012819999999998</v>
      </c>
      <c r="T4698">
        <v>2.068913E-2</v>
      </c>
      <c r="U4698">
        <v>-2.5360110000000002E-2</v>
      </c>
      <c r="V4698">
        <v>3.4803889999999997E-2</v>
      </c>
      <c r="W4698">
        <v>5.1644259999999997E-3</v>
      </c>
      <c r="X4698">
        <v>0.99938079999999996</v>
      </c>
      <c r="Y4698">
        <v>7.3697040000000004E-3</v>
      </c>
      <c r="Z4698" s="1">
        <v>1.7958329999999999E-5</v>
      </c>
      <c r="AA4698">
        <v>0.9999728</v>
      </c>
      <c r="AB4698">
        <v>28</v>
      </c>
      <c r="AC4698">
        <v>198.16929999999999</v>
      </c>
      <c r="AD4698">
        <v>1.367996</v>
      </c>
      <c r="AE4698">
        <v>-1.6764999999999699</v>
      </c>
      <c r="AF4698">
        <v>1.4624780553496901</v>
      </c>
      <c r="AG4698">
        <v>1.367996</v>
      </c>
      <c r="AH4698">
        <v>198.161552058084</v>
      </c>
      <c r="AI4698">
        <v>89.6044791895293</v>
      </c>
      <c r="AJ4698">
        <v>89.577151581494107</v>
      </c>
      <c r="AK4698">
        <v>198.17167045061501</v>
      </c>
      <c r="AL4698">
        <v>89.704098866128206</v>
      </c>
      <c r="AM4698">
        <v>88.005454546458694</v>
      </c>
      <c r="AN4698">
        <v>0.99999998273183999</v>
      </c>
    </row>
    <row r="4699" spans="1:40" x14ac:dyDescent="0.25">
      <c r="A4699" t="str">
        <f>"20190312154017052"</f>
        <v>20190312154017052</v>
      </c>
      <c r="B4699" t="str">
        <f>"1552376417040400"</f>
        <v>1552376417040400</v>
      </c>
      <c r="C4699" t="s">
        <v>40</v>
      </c>
      <c r="D4699">
        <v>3.8691170000000001</v>
      </c>
      <c r="E4699">
        <v>0.49060809999999999</v>
      </c>
      <c r="F4699" t="s">
        <v>76</v>
      </c>
      <c r="G4699">
        <v>-107.39749999999999</v>
      </c>
      <c r="H4699">
        <v>2.4665569999999999</v>
      </c>
      <c r="I4699">
        <v>212.78030000000001</v>
      </c>
      <c r="J4699">
        <v>-305.27949999999998</v>
      </c>
      <c r="K4699">
        <v>1.110115</v>
      </c>
      <c r="L4699">
        <v>214.8151</v>
      </c>
      <c r="M4699">
        <v>0.99989939999999999</v>
      </c>
      <c r="N4699">
        <v>0</v>
      </c>
      <c r="O4699">
        <v>-1.2099140000000001E-3</v>
      </c>
      <c r="P4699">
        <v>0.99931239999999999</v>
      </c>
      <c r="Q4699">
        <v>-9.0502340000000008E-3</v>
      </c>
      <c r="R4699">
        <v>-3.5955979999999998E-2</v>
      </c>
      <c r="S4699">
        <v>3.00116</v>
      </c>
      <c r="T4699">
        <v>2.054334E-2</v>
      </c>
      <c r="U4699">
        <v>-3.0822749999999999E-2</v>
      </c>
      <c r="V4699">
        <v>3.4748189999999998E-2</v>
      </c>
      <c r="W4699">
        <v>5.0671520000000001E-3</v>
      </c>
      <c r="X4699">
        <v>0.99938329999999997</v>
      </c>
      <c r="Y4699">
        <v>9.0595780000000004E-3</v>
      </c>
      <c r="Z4699" s="1">
        <v>2.2723320000000001E-5</v>
      </c>
      <c r="AA4699">
        <v>0.99995889999999998</v>
      </c>
      <c r="AB4699">
        <v>28</v>
      </c>
      <c r="AC4699">
        <v>197.88200000000001</v>
      </c>
      <c r="AD4699">
        <v>1.3564419999999999</v>
      </c>
      <c r="AE4699">
        <v>-2.03479999999999</v>
      </c>
      <c r="AF4699">
        <v>1.79527004759369</v>
      </c>
      <c r="AG4699">
        <v>1.3564419999999999</v>
      </c>
      <c r="AH4699">
        <v>197.87502048015</v>
      </c>
      <c r="AI4699">
        <v>89.607257217756896</v>
      </c>
      <c r="AJ4699">
        <v>89.480184136599405</v>
      </c>
      <c r="AK4699">
        <v>197.8878133172</v>
      </c>
      <c r="AL4699">
        <v>89.7096723473379</v>
      </c>
      <c r="AM4699">
        <v>88.008649014087396</v>
      </c>
      <c r="AN4699">
        <v>1.0000000465282699</v>
      </c>
    </row>
    <row r="4700" spans="1:40" x14ac:dyDescent="0.25">
      <c r="A4700" t="str">
        <f>"20190312154017073"</f>
        <v>20190312154017073</v>
      </c>
      <c r="B4700" t="str">
        <f>"1552376417060895"</f>
        <v>1552376417060895</v>
      </c>
      <c r="C4700" t="s">
        <v>40</v>
      </c>
      <c r="D4700">
        <v>3.8717760000000001</v>
      </c>
      <c r="E4700">
        <v>0.49105569999999998</v>
      </c>
      <c r="F4700" t="s">
        <v>76</v>
      </c>
      <c r="G4700">
        <v>-107.39749999999999</v>
      </c>
      <c r="H4700">
        <v>2.4903040000000001</v>
      </c>
      <c r="I4700">
        <v>212.5352</v>
      </c>
      <c r="J4700">
        <v>-305.00279999999998</v>
      </c>
      <c r="K4700">
        <v>1.110112</v>
      </c>
      <c r="L4700">
        <v>214.81460000000001</v>
      </c>
      <c r="M4700">
        <v>0.99989939999999999</v>
      </c>
      <c r="N4700">
        <v>0</v>
      </c>
      <c r="O4700">
        <v>-1.335054E-3</v>
      </c>
      <c r="P4700">
        <v>0.99929570000000001</v>
      </c>
      <c r="Q4700">
        <v>-9.5574300000000004E-3</v>
      </c>
      <c r="R4700">
        <v>-3.6289740000000001E-2</v>
      </c>
      <c r="S4700">
        <v>3.001007</v>
      </c>
      <c r="T4700">
        <v>2.0932200000000001E-2</v>
      </c>
      <c r="U4700">
        <v>-3.4576419999999997E-2</v>
      </c>
      <c r="V4700">
        <v>3.4956880000000003E-2</v>
      </c>
      <c r="W4700">
        <v>4.556465E-3</v>
      </c>
      <c r="X4700">
        <v>0.9993784</v>
      </c>
      <c r="Y4700">
        <v>1.018552E-2</v>
      </c>
      <c r="Z4700" s="1">
        <v>2.6208110000000001E-5</v>
      </c>
      <c r="AA4700">
        <v>0.99994810000000001</v>
      </c>
      <c r="AB4700">
        <v>28</v>
      </c>
      <c r="AC4700">
        <v>197.6053</v>
      </c>
      <c r="AD4700">
        <v>1.3801920000000001</v>
      </c>
      <c r="AE4700">
        <v>-2.2793999999999999</v>
      </c>
      <c r="AF4700">
        <v>2.0154596047833402</v>
      </c>
      <c r="AG4700">
        <v>1.3801920000000001</v>
      </c>
      <c r="AH4700">
        <v>197.59852882512899</v>
      </c>
      <c r="AI4700">
        <v>89.599826081704506</v>
      </c>
      <c r="AJ4700">
        <v>89.415616474999496</v>
      </c>
      <c r="AK4700">
        <v>197.61362706359799</v>
      </c>
      <c r="AL4700">
        <v>89.738932873665306</v>
      </c>
      <c r="AM4700">
        <v>87.996689298615905</v>
      </c>
      <c r="AN4700">
        <v>0.99999996560959403</v>
      </c>
    </row>
    <row r="4701" spans="1:40" x14ac:dyDescent="0.25">
      <c r="A4701" t="str">
        <f>"20190312154017096"</f>
        <v>20190312154017096</v>
      </c>
      <c r="B4701" t="str">
        <f>"1552376417090176"</f>
        <v>1552376417090176</v>
      </c>
      <c r="C4701" t="s">
        <v>40</v>
      </c>
      <c r="D4701">
        <v>3.8874590000000002</v>
      </c>
      <c r="E4701">
        <v>0.49166480000000001</v>
      </c>
      <c r="F4701" t="s">
        <v>76</v>
      </c>
      <c r="G4701">
        <v>-107.39749999999999</v>
      </c>
      <c r="H4701">
        <v>2.4386040000000002</v>
      </c>
      <c r="I4701">
        <v>212.21520000000001</v>
      </c>
      <c r="J4701">
        <v>-304.71499999999997</v>
      </c>
      <c r="K4701">
        <v>1.110112</v>
      </c>
      <c r="L4701">
        <v>214.8141</v>
      </c>
      <c r="M4701">
        <v>0.99989910000000004</v>
      </c>
      <c r="N4701">
        <v>0</v>
      </c>
      <c r="O4701">
        <v>-1.465081E-3</v>
      </c>
      <c r="P4701">
        <v>0.99929950000000001</v>
      </c>
      <c r="Q4701">
        <v>-9.4772539999999992E-3</v>
      </c>
      <c r="R4701">
        <v>-3.6205019999999997E-2</v>
      </c>
      <c r="S4701">
        <v>3.0008849999999998</v>
      </c>
      <c r="T4701">
        <v>2.0175579999999999E-2</v>
      </c>
      <c r="U4701">
        <v>-3.9474490000000001E-2</v>
      </c>
      <c r="V4701">
        <v>3.474203E-2</v>
      </c>
      <c r="W4701">
        <v>4.6337119999999999E-3</v>
      </c>
      <c r="X4701">
        <v>0.99938559999999999</v>
      </c>
      <c r="Y4701">
        <v>1.1687799999999899E-2</v>
      </c>
      <c r="Z4701" s="1">
        <v>2.943715E-5</v>
      </c>
      <c r="AA4701">
        <v>0.99993169999999998</v>
      </c>
      <c r="AB4701">
        <v>28</v>
      </c>
      <c r="AC4701">
        <v>197.3175</v>
      </c>
      <c r="AD4701">
        <v>1.328492</v>
      </c>
      <c r="AE4701">
        <v>-2.59889999999998</v>
      </c>
      <c r="AF4701">
        <v>2.3096775488654901</v>
      </c>
      <c r="AG4701">
        <v>1.328492</v>
      </c>
      <c r="AH4701">
        <v>197.312153541144</v>
      </c>
      <c r="AI4701">
        <v>89.614262887235299</v>
      </c>
      <c r="AJ4701">
        <v>89.329343229072606</v>
      </c>
      <c r="AK4701">
        <v>197.330143253426</v>
      </c>
      <c r="AL4701">
        <v>89.734506916458102</v>
      </c>
      <c r="AM4701">
        <v>88.009006325952797</v>
      </c>
      <c r="AN4701">
        <v>1.0000000287113799</v>
      </c>
    </row>
    <row r="4702" spans="1:40" x14ac:dyDescent="0.25">
      <c r="A4702" t="str">
        <f>"20190312154017118"</f>
        <v>20190312154017118</v>
      </c>
      <c r="B4702" t="str">
        <f>"1552376417110675"</f>
        <v>1552376417110675</v>
      </c>
      <c r="C4702" t="s">
        <v>40</v>
      </c>
      <c r="D4702">
        <v>3.8730859999999998</v>
      </c>
      <c r="E4702">
        <v>0.49201220000000001</v>
      </c>
      <c r="F4702" t="s">
        <v>76</v>
      </c>
      <c r="G4702">
        <v>-107.39749999999999</v>
      </c>
      <c r="H4702">
        <v>2.5032779999999999</v>
      </c>
      <c r="I4702">
        <v>211.91730000000001</v>
      </c>
      <c r="J4702">
        <v>-304.43299999999999</v>
      </c>
      <c r="K4702">
        <v>1.110117</v>
      </c>
      <c r="L4702">
        <v>214.8135</v>
      </c>
      <c r="M4702">
        <v>0.99989899999999998</v>
      </c>
      <c r="N4702">
        <v>0</v>
      </c>
      <c r="O4702">
        <v>-1.5927230000000001E-3</v>
      </c>
      <c r="P4702">
        <v>0.99929420000000002</v>
      </c>
      <c r="Q4702">
        <v>-9.5183630000000002E-3</v>
      </c>
      <c r="R4702">
        <v>-3.6343939999999998E-2</v>
      </c>
      <c r="S4702">
        <v>3.000702</v>
      </c>
      <c r="T4702">
        <v>2.1187310000000001E-2</v>
      </c>
      <c r="U4702">
        <v>-4.405212E-2</v>
      </c>
      <c r="V4702">
        <v>3.475321E-2</v>
      </c>
      <c r="W4702">
        <v>4.5903209999999996E-3</v>
      </c>
      <c r="X4702">
        <v>0.99938539999999998</v>
      </c>
      <c r="Y4702">
        <v>1.308601E-2</v>
      </c>
      <c r="Z4702" s="1">
        <v>3.4949469999999999E-5</v>
      </c>
      <c r="AA4702">
        <v>0.99991430000000003</v>
      </c>
      <c r="AB4702">
        <v>28</v>
      </c>
      <c r="AC4702">
        <v>197.03550000000001</v>
      </c>
      <c r="AD4702">
        <v>1.3931610000000001</v>
      </c>
      <c r="AE4702">
        <v>-2.8961999999999901</v>
      </c>
      <c r="AF4702">
        <v>2.5822129859393699</v>
      </c>
      <c r="AG4702">
        <v>1.3931610000000001</v>
      </c>
      <c r="AH4702">
        <v>197.03001524299799</v>
      </c>
      <c r="AI4702">
        <v>89.594914199823293</v>
      </c>
      <c r="AJ4702">
        <v>89.249142644506193</v>
      </c>
      <c r="AK4702">
        <v>197.05186025037301</v>
      </c>
      <c r="AL4702">
        <v>89.736993060967393</v>
      </c>
      <c r="AM4702">
        <v>88.008365740991096</v>
      </c>
      <c r="AN4702">
        <v>1.00000001719267</v>
      </c>
    </row>
    <row r="4703" spans="1:40" x14ac:dyDescent="0.25">
      <c r="A4703" t="str">
        <f>"20190312154017141"</f>
        <v>20190312154017141</v>
      </c>
      <c r="B4703" t="str">
        <f>"1552376417131167"</f>
        <v>1552376417131167</v>
      </c>
      <c r="C4703" t="s">
        <v>40</v>
      </c>
      <c r="D4703">
        <v>3.8803559999999999</v>
      </c>
      <c r="E4703">
        <v>0.49236289999999999</v>
      </c>
      <c r="F4703" t="s">
        <v>76</v>
      </c>
      <c r="G4703">
        <v>-107.39749999999999</v>
      </c>
      <c r="H4703">
        <v>2.515587</v>
      </c>
      <c r="I4703">
        <v>211.70939999999999</v>
      </c>
      <c r="J4703">
        <v>-304.13909999999998</v>
      </c>
      <c r="K4703">
        <v>1.11012</v>
      </c>
      <c r="L4703">
        <v>214.81290000000001</v>
      </c>
      <c r="M4703">
        <v>0.99989890000000003</v>
      </c>
      <c r="N4703">
        <v>0</v>
      </c>
      <c r="O4703">
        <v>-1.7263199999999999E-3</v>
      </c>
      <c r="P4703">
        <v>0.99929610000000002</v>
      </c>
      <c r="Q4703">
        <v>-9.0445219999999993E-3</v>
      </c>
      <c r="R4703">
        <v>-3.6413300000000003E-2</v>
      </c>
      <c r="S4703">
        <v>3.0005799999999998</v>
      </c>
      <c r="T4703">
        <v>2.140415E-2</v>
      </c>
      <c r="U4703">
        <v>-4.7271729999999998E-2</v>
      </c>
      <c r="V4703">
        <v>3.4689240000000003E-2</v>
      </c>
      <c r="W4703">
        <v>5.060953E-3</v>
      </c>
      <c r="X4703">
        <v>0.99938539999999998</v>
      </c>
      <c r="Y4703">
        <v>1.4025630000000001E-2</v>
      </c>
      <c r="Z4703" s="1">
        <v>3.7706359999999999E-5</v>
      </c>
      <c r="AA4703">
        <v>0.9999017</v>
      </c>
      <c r="AB4703">
        <v>28</v>
      </c>
      <c r="AC4703">
        <v>196.74160000000001</v>
      </c>
      <c r="AD4703">
        <v>1.405467</v>
      </c>
      <c r="AE4703">
        <v>-3.1035000000000199</v>
      </c>
      <c r="AF4703">
        <v>2.7636815777783799</v>
      </c>
      <c r="AG4703">
        <v>1.405467</v>
      </c>
      <c r="AH4703">
        <v>196.736627434485</v>
      </c>
      <c r="AI4703">
        <v>89.590731961562994</v>
      </c>
      <c r="AJ4703">
        <v>89.195183541737194</v>
      </c>
      <c r="AK4703">
        <v>196.76105775190001</v>
      </c>
      <c r="AL4703">
        <v>89.710027534399899</v>
      </c>
      <c r="AM4703">
        <v>88.012028784564606</v>
      </c>
      <c r="AN4703">
        <v>1.0000000671750999</v>
      </c>
    </row>
    <row r="4704" spans="1:40" x14ac:dyDescent="0.25">
      <c r="A4704" t="str">
        <f>"20190312154017163"</f>
        <v>20190312154017163</v>
      </c>
      <c r="B4704" t="str">
        <f>"1552376417150690"</f>
        <v>1552376417150690</v>
      </c>
      <c r="C4704" t="s">
        <v>40</v>
      </c>
      <c r="D4704">
        <v>3.8742070000000002</v>
      </c>
      <c r="E4704">
        <v>0.49271359999999997</v>
      </c>
      <c r="F4704" t="s">
        <v>76</v>
      </c>
      <c r="G4704">
        <v>-107.39749999999999</v>
      </c>
      <c r="H4704">
        <v>2.6443469999999998</v>
      </c>
      <c r="I4704">
        <v>211.53229999999999</v>
      </c>
      <c r="J4704">
        <v>-303.86529999999999</v>
      </c>
      <c r="K4704">
        <v>1.11012</v>
      </c>
      <c r="L4704">
        <v>214.81229999999999</v>
      </c>
      <c r="M4704">
        <v>0.99989859999999997</v>
      </c>
      <c r="N4704">
        <v>0</v>
      </c>
      <c r="O4704">
        <v>-1.8505030000000001E-3</v>
      </c>
      <c r="P4704">
        <v>0.99929710000000005</v>
      </c>
      <c r="Q4704">
        <v>-8.6622079999999994E-3</v>
      </c>
      <c r="R4704">
        <v>-3.6476050000000003E-2</v>
      </c>
      <c r="S4704">
        <v>3.0005190000000002</v>
      </c>
      <c r="T4704">
        <v>2.3399349999999999E-2</v>
      </c>
      <c r="U4704">
        <v>-5.0033569999999999E-2</v>
      </c>
      <c r="V4704">
        <v>3.462809E-2</v>
      </c>
      <c r="W4704">
        <v>5.44051E-3</v>
      </c>
      <c r="X4704">
        <v>0.99938550000000004</v>
      </c>
      <c r="Y4704">
        <v>1.48218E-2</v>
      </c>
      <c r="Z4704" s="1">
        <v>4.3357360000000003E-5</v>
      </c>
      <c r="AA4704">
        <v>0.9998901</v>
      </c>
      <c r="AB4704">
        <v>28</v>
      </c>
      <c r="AC4704">
        <v>196.46780000000001</v>
      </c>
      <c r="AD4704">
        <v>1.534227</v>
      </c>
      <c r="AE4704">
        <v>-3.28</v>
      </c>
      <c r="AF4704">
        <v>2.9162160981259202</v>
      </c>
      <c r="AG4704">
        <v>1.534227</v>
      </c>
      <c r="AH4704">
        <v>196.46155666186101</v>
      </c>
      <c r="AI4704">
        <v>89.552618515083196</v>
      </c>
      <c r="AJ4704">
        <v>89.149581183643207</v>
      </c>
      <c r="AK4704">
        <v>196.489189053291</v>
      </c>
      <c r="AL4704">
        <v>89.688280213498302</v>
      </c>
      <c r="AM4704">
        <v>88.015530563196606</v>
      </c>
      <c r="AN4704">
        <v>1.0000000406881699</v>
      </c>
    </row>
    <row r="4705" spans="1:40" x14ac:dyDescent="0.25">
      <c r="A4705" t="str">
        <f>"20190312154017185"</f>
        <v>20190312154017185</v>
      </c>
      <c r="B4705" t="str">
        <f>"1552376417180944"</f>
        <v>1552376417180944</v>
      </c>
      <c r="C4705" t="s">
        <v>40</v>
      </c>
      <c r="D4705">
        <v>3.8803580000000002</v>
      </c>
      <c r="E4705">
        <v>0.49319089999999999</v>
      </c>
      <c r="F4705" t="s">
        <v>76</v>
      </c>
      <c r="G4705">
        <v>-107.39749999999999</v>
      </c>
      <c r="H4705">
        <v>2.7413699999999999</v>
      </c>
      <c r="I4705">
        <v>211.3252</v>
      </c>
      <c r="J4705">
        <v>-303.58909999999997</v>
      </c>
      <c r="K4705">
        <v>1.1101270000000001</v>
      </c>
      <c r="L4705">
        <v>214.8116</v>
      </c>
      <c r="M4705">
        <v>0.99989839999999997</v>
      </c>
      <c r="N4705">
        <v>0</v>
      </c>
      <c r="O4705">
        <v>-1.975999E-3</v>
      </c>
      <c r="P4705">
        <v>0.99928779999999995</v>
      </c>
      <c r="Q4705">
        <v>-8.3259440000000001E-3</v>
      </c>
      <c r="R4705">
        <v>-3.6804789999999997E-2</v>
      </c>
      <c r="S4705">
        <v>3.000397</v>
      </c>
      <c r="T4705">
        <v>2.4912710000000001E-2</v>
      </c>
      <c r="U4705">
        <v>-5.3253170000000002E-2</v>
      </c>
      <c r="V4705">
        <v>3.4831519999999998E-2</v>
      </c>
      <c r="W4705">
        <v>5.7738140000000004E-3</v>
      </c>
      <c r="X4705">
        <v>0.9993765</v>
      </c>
      <c r="Y4705">
        <v>1.576953E-2</v>
      </c>
      <c r="Z4705" s="1">
        <v>4.905504E-5</v>
      </c>
      <c r="AA4705">
        <v>0.99987570000000003</v>
      </c>
      <c r="AB4705">
        <v>28</v>
      </c>
      <c r="AC4705">
        <v>196.19159999999999</v>
      </c>
      <c r="AD4705">
        <v>1.63124299999999</v>
      </c>
      <c r="AE4705">
        <v>-3.4864000000000002</v>
      </c>
      <c r="AF4705">
        <v>3.09846601789513</v>
      </c>
      <c r="AG4705">
        <v>1.63124299999999</v>
      </c>
      <c r="AH4705">
        <v>196.184548443674</v>
      </c>
      <c r="AI4705">
        <v>89.523665179150399</v>
      </c>
      <c r="AJ4705">
        <v>89.095166930648404</v>
      </c>
      <c r="AK4705">
        <v>196.215795728676</v>
      </c>
      <c r="AL4705">
        <v>89.669182981479196</v>
      </c>
      <c r="AM4705">
        <v>88.003863821829199</v>
      </c>
      <c r="AN4705">
        <v>0.99999998023293302</v>
      </c>
    </row>
    <row r="4706" spans="1:40" x14ac:dyDescent="0.25">
      <c r="A4706" t="str">
        <f>"20190312154017207"</f>
        <v>20190312154017207</v>
      </c>
      <c r="B4706" t="str">
        <f>"1552376417200464"</f>
        <v>1552376417200464</v>
      </c>
      <c r="C4706" t="s">
        <v>40</v>
      </c>
      <c r="D4706">
        <v>3.880668</v>
      </c>
      <c r="E4706">
        <v>0.49347639999999998</v>
      </c>
      <c r="F4706" t="s">
        <v>76</v>
      </c>
      <c r="G4706">
        <v>-107.39749999999999</v>
      </c>
      <c r="H4706">
        <v>2.8380200000000002</v>
      </c>
      <c r="I4706">
        <v>211.02199999999999</v>
      </c>
      <c r="J4706">
        <v>-303.30739999999997</v>
      </c>
      <c r="K4706">
        <v>1.1101319999999999</v>
      </c>
      <c r="L4706">
        <v>214.8109</v>
      </c>
      <c r="M4706">
        <v>0.99989830000000002</v>
      </c>
      <c r="N4706">
        <v>0</v>
      </c>
      <c r="O4706">
        <v>-2.1038789999999999E-3</v>
      </c>
      <c r="P4706">
        <v>0.99927969999999999</v>
      </c>
      <c r="Q4706">
        <v>-7.7821309999999899E-3</v>
      </c>
      <c r="R4706">
        <v>-3.7142700000000001E-2</v>
      </c>
      <c r="S4706">
        <v>3.0002439999999999</v>
      </c>
      <c r="T4706">
        <v>2.6424409999999999E-2</v>
      </c>
      <c r="U4706">
        <v>-5.7952879999999998E-2</v>
      </c>
      <c r="V4706">
        <v>3.5041780000000002E-2</v>
      </c>
      <c r="W4706">
        <v>6.3145379999999997E-3</v>
      </c>
      <c r="X4706">
        <v>0.99936590000000003</v>
      </c>
      <c r="Y4706">
        <v>1.7208129999999999E-2</v>
      </c>
      <c r="Z4706" s="1">
        <v>5.7241689999999997E-5</v>
      </c>
      <c r="AA4706">
        <v>0.99985190000000002</v>
      </c>
      <c r="AB4706">
        <v>28</v>
      </c>
      <c r="AC4706">
        <v>195.90989999999999</v>
      </c>
      <c r="AD4706">
        <v>1.7278880000000001</v>
      </c>
      <c r="AE4706">
        <v>-3.78889999999998</v>
      </c>
      <c r="AF4706">
        <v>3.3764173287900898</v>
      </c>
      <c r="AG4706">
        <v>1.7278880000000001</v>
      </c>
      <c r="AH4706">
        <v>195.90220516821199</v>
      </c>
      <c r="AI4706">
        <v>89.494730430151506</v>
      </c>
      <c r="AJ4706">
        <v>89.012592478641295</v>
      </c>
      <c r="AK4706">
        <v>195.93891849422499</v>
      </c>
      <c r="AL4706">
        <v>89.638201218969499</v>
      </c>
      <c r="AM4706">
        <v>87.991802726314603</v>
      </c>
      <c r="AN4706">
        <v>1.00000000090926</v>
      </c>
    </row>
    <row r="4707" spans="1:40" x14ac:dyDescent="0.25">
      <c r="A4707" t="str">
        <f>"20190312154017229"</f>
        <v>20190312154017229</v>
      </c>
      <c r="B4707" t="str">
        <f>"1552376417220975"</f>
        <v>1552376417220975</v>
      </c>
      <c r="C4707" t="s">
        <v>40</v>
      </c>
      <c r="D4707">
        <v>3.961074</v>
      </c>
      <c r="E4707">
        <v>0.51531179999999999</v>
      </c>
      <c r="F4707" t="s">
        <v>76</v>
      </c>
      <c r="G4707">
        <v>-107.39749999999999</v>
      </c>
      <c r="H4707">
        <v>2.9607869999999998</v>
      </c>
      <c r="I4707">
        <v>210.80539999999999</v>
      </c>
      <c r="J4707">
        <v>-303.0247</v>
      </c>
      <c r="K4707">
        <v>1.1101379999999901</v>
      </c>
      <c r="L4707">
        <v>214.81020000000001</v>
      </c>
      <c r="M4707">
        <v>0.99989799999999995</v>
      </c>
      <c r="N4707">
        <v>0</v>
      </c>
      <c r="O4707">
        <v>-2.2319979999999998E-3</v>
      </c>
      <c r="P4707">
        <v>0.99927750000000004</v>
      </c>
      <c r="Q4707">
        <v>-7.2782200000000002E-3</v>
      </c>
      <c r="R4707">
        <v>-3.7307300000000002E-2</v>
      </c>
      <c r="S4707">
        <v>3.0001220000000002</v>
      </c>
      <c r="T4707">
        <v>2.8341290000000002E-2</v>
      </c>
      <c r="U4707">
        <v>-6.1340329999999998E-2</v>
      </c>
      <c r="V4707">
        <v>3.5078539999999998E-2</v>
      </c>
      <c r="W4707">
        <v>6.8152059999999999E-3</v>
      </c>
      <c r="X4707">
        <v>0.99936130000000001</v>
      </c>
      <c r="Y4707">
        <v>1.8209159999999999E-2</v>
      </c>
      <c r="Z4707" s="1">
        <v>6.49131E-5</v>
      </c>
      <c r="AA4707">
        <v>0.99983420000000001</v>
      </c>
      <c r="AB4707">
        <v>28</v>
      </c>
      <c r="AC4707">
        <v>195.62719999999999</v>
      </c>
      <c r="AD4707">
        <v>1.850649</v>
      </c>
      <c r="AE4707">
        <v>-4.0048000000000101</v>
      </c>
      <c r="AF4707">
        <v>3.5677878907480101</v>
      </c>
      <c r="AG4707">
        <v>1.850649</v>
      </c>
      <c r="AH4707">
        <v>195.61815306362701</v>
      </c>
      <c r="AI4707">
        <v>89.458058558032803</v>
      </c>
      <c r="AJ4707">
        <v>88.955124954486095</v>
      </c>
      <c r="AK4707">
        <v>195.65943836211699</v>
      </c>
      <c r="AL4707">
        <v>89.609514428815004</v>
      </c>
      <c r="AM4707">
        <v>87.989688542073907</v>
      </c>
      <c r="AN4707">
        <v>0.99999997946952102</v>
      </c>
    </row>
    <row r="4708" spans="1:40" x14ac:dyDescent="0.25">
      <c r="A4708" t="str">
        <f>"20190312154017252"</f>
        <v>20190312154017252</v>
      </c>
      <c r="B4708" t="str">
        <f>"1552376417240480"</f>
        <v>1552376417240480</v>
      </c>
      <c r="C4708" t="s">
        <v>40</v>
      </c>
      <c r="D4708">
        <v>3.8449040000000001</v>
      </c>
      <c r="E4708">
        <v>0.52933830000000004</v>
      </c>
      <c r="F4708" t="s">
        <v>75</v>
      </c>
      <c r="G4708">
        <v>-168.41229999999999</v>
      </c>
      <c r="H4708">
        <v>3.2641390000000001</v>
      </c>
      <c r="I4708">
        <v>204.17949999999999</v>
      </c>
      <c r="J4708">
        <v>-302.74930000000001</v>
      </c>
      <c r="K4708">
        <v>1.110136</v>
      </c>
      <c r="L4708">
        <v>214.80940000000001</v>
      </c>
      <c r="M4708">
        <v>0.9998977</v>
      </c>
      <c r="N4708">
        <v>0</v>
      </c>
      <c r="O4708">
        <v>-2.3567779999999999E-3</v>
      </c>
      <c r="P4708">
        <v>0.99927670000000002</v>
      </c>
      <c r="Q4708">
        <v>-6.792429E-3</v>
      </c>
      <c r="R4708">
        <v>-3.7414790000000003E-2</v>
      </c>
      <c r="S4708">
        <v>2.9936829999999999</v>
      </c>
      <c r="T4708">
        <v>4.7904130000000003E-2</v>
      </c>
      <c r="U4708">
        <v>-0.23641970000000001</v>
      </c>
      <c r="V4708">
        <v>3.50614E-2</v>
      </c>
      <c r="W4708">
        <v>7.2982309999999996E-3</v>
      </c>
      <c r="X4708">
        <v>0.99935850000000004</v>
      </c>
      <c r="Y4708">
        <v>7.6368400000000003E-2</v>
      </c>
      <c r="Z4708">
        <v>5.7237070000000002E-4</v>
      </c>
      <c r="AA4708">
        <v>0.99707950000000001</v>
      </c>
      <c r="AB4708">
        <v>28</v>
      </c>
      <c r="AC4708">
        <v>134.33699999999999</v>
      </c>
      <c r="AD4708">
        <v>2.1540029999999999</v>
      </c>
      <c r="AE4708">
        <v>-10.629899999999999</v>
      </c>
      <c r="AF4708">
        <v>10.310602117738799</v>
      </c>
      <c r="AG4708">
        <v>2.1540029999999999</v>
      </c>
      <c r="AH4708">
        <v>134.32736104111299</v>
      </c>
      <c r="AI4708">
        <v>89.0840076567533</v>
      </c>
      <c r="AJ4708">
        <v>85.610738665461</v>
      </c>
      <c r="AK4708">
        <v>134.73970524393999</v>
      </c>
      <c r="AL4708">
        <v>89.581838448849595</v>
      </c>
      <c r="AM4708">
        <v>87.990664385595593</v>
      </c>
      <c r="AN4708">
        <v>0.999999988733969</v>
      </c>
    </row>
    <row r="4709" spans="1:40" x14ac:dyDescent="0.25">
      <c r="A4709" t="str">
        <f>"20190312154017273"</f>
        <v>20190312154017273</v>
      </c>
      <c r="B4709" t="str">
        <f>"1552376417260976"</f>
        <v>1552376417260976</v>
      </c>
      <c r="C4709" t="s">
        <v>40</v>
      </c>
      <c r="D4709">
        <v>3.8392620000000002</v>
      </c>
      <c r="E4709">
        <v>0.53533209999999998</v>
      </c>
      <c r="F4709" t="s">
        <v>48</v>
      </c>
      <c r="G4709">
        <v>-234.52860000000001</v>
      </c>
      <c r="H4709">
        <v>2.481697</v>
      </c>
      <c r="I4709">
        <v>206.84110000000001</v>
      </c>
      <c r="J4709">
        <v>-302.47550000000001</v>
      </c>
      <c r="K4709">
        <v>1.1101430000000001</v>
      </c>
      <c r="L4709">
        <v>214.80869999999999</v>
      </c>
      <c r="M4709">
        <v>0.99989740000000005</v>
      </c>
      <c r="N4709">
        <v>0</v>
      </c>
      <c r="O4709">
        <v>-2.4810819999999999E-3</v>
      </c>
      <c r="P4709">
        <v>0.9992723</v>
      </c>
      <c r="Q4709">
        <v>-6.7226129999999997E-3</v>
      </c>
      <c r="R4709">
        <v>-3.7542109999999997E-2</v>
      </c>
      <c r="S4709">
        <v>2.9895019999999999</v>
      </c>
      <c r="T4709">
        <v>6.0105440000000003E-2</v>
      </c>
      <c r="U4709">
        <v>-0.3491821</v>
      </c>
      <c r="V4709">
        <v>3.5064619999999998E-2</v>
      </c>
      <c r="W4709">
        <v>7.364509E-3</v>
      </c>
      <c r="X4709">
        <v>0.99935790000000002</v>
      </c>
      <c r="Y4709">
        <v>0.113527</v>
      </c>
      <c r="Z4709">
        <v>1.0875660000000001E-3</v>
      </c>
      <c r="AA4709">
        <v>0.99353429999999998</v>
      </c>
      <c r="AB4709">
        <v>28</v>
      </c>
      <c r="AC4709">
        <v>67.946899999999999</v>
      </c>
      <c r="AD4709">
        <v>1.3715539999999999</v>
      </c>
      <c r="AE4709">
        <v>-7.9675999999999698</v>
      </c>
      <c r="AF4709">
        <v>7.7958434420853999</v>
      </c>
      <c r="AG4709">
        <v>1.3715539999999999</v>
      </c>
      <c r="AH4709">
        <v>67.939153959572096</v>
      </c>
      <c r="AI4709">
        <v>88.851008874547105</v>
      </c>
      <c r="AJ4709">
        <v>83.454086212777796</v>
      </c>
      <c r="AK4709">
        <v>68.398720573493705</v>
      </c>
      <c r="AL4709">
        <v>89.578040896733896</v>
      </c>
      <c r="AM4709">
        <v>87.990478796235493</v>
      </c>
      <c r="AN4709">
        <v>0.99999998793048195</v>
      </c>
    </row>
    <row r="4710" spans="1:40" x14ac:dyDescent="0.25">
      <c r="A4710" t="str">
        <f>"20190312154017297"</f>
        <v>20190312154017297</v>
      </c>
      <c r="B4710" t="str">
        <f>"1552376417291231"</f>
        <v>1552376417291231</v>
      </c>
      <c r="C4710" t="s">
        <v>40</v>
      </c>
      <c r="D4710">
        <v>3.8572160000000002</v>
      </c>
      <c r="E4710">
        <v>0.53919519999999999</v>
      </c>
      <c r="F4710" t="s">
        <v>75</v>
      </c>
      <c r="G4710">
        <v>-168.41489999999999</v>
      </c>
      <c r="H4710">
        <v>3.9088560000000001</v>
      </c>
      <c r="I4710">
        <v>196.98089999999999</v>
      </c>
      <c r="J4710">
        <v>-302.18520000000001</v>
      </c>
      <c r="K4710">
        <v>1.1101449999999999</v>
      </c>
      <c r="L4710">
        <v>214.80779999999999</v>
      </c>
      <c r="M4710">
        <v>0.99989720000000004</v>
      </c>
      <c r="N4710">
        <v>0</v>
      </c>
      <c r="O4710">
        <v>-2.6131309999999999E-3</v>
      </c>
      <c r="P4710">
        <v>0.99926879999999996</v>
      </c>
      <c r="Q4710">
        <v>-6.8531999999999899E-3</v>
      </c>
      <c r="R4710">
        <v>-3.7616690000000001E-2</v>
      </c>
      <c r="S4710">
        <v>2.9876710000000002</v>
      </c>
      <c r="T4710">
        <v>6.2372799999999999E-2</v>
      </c>
      <c r="U4710">
        <v>-0.3973083</v>
      </c>
      <c r="V4710">
        <v>3.5007040000000003E-2</v>
      </c>
      <c r="W4710">
        <v>7.2314750000000002E-3</v>
      </c>
      <c r="X4710">
        <v>0.9993609</v>
      </c>
      <c r="Y4710">
        <v>0.12920400000000001</v>
      </c>
      <c r="Z4710">
        <v>1.288312E-3</v>
      </c>
      <c r="AA4710">
        <v>0.99161719999999998</v>
      </c>
      <c r="AB4710">
        <v>28</v>
      </c>
      <c r="AC4710">
        <v>133.77029999999999</v>
      </c>
      <c r="AD4710">
        <v>2.7987109999999902</v>
      </c>
      <c r="AE4710">
        <v>-17.826899999999899</v>
      </c>
      <c r="AF4710">
        <v>17.4697316389143</v>
      </c>
      <c r="AG4710">
        <v>2.7987109999999902</v>
      </c>
      <c r="AH4710">
        <v>133.75890451133299</v>
      </c>
      <c r="AI4710">
        <v>88.811435294057205</v>
      </c>
      <c r="AJ4710">
        <v>82.558939510700895</v>
      </c>
      <c r="AK4710">
        <v>134.92393724935999</v>
      </c>
      <c r="AL4710">
        <v>89.585663390630103</v>
      </c>
      <c r="AM4710">
        <v>87.993781972030902</v>
      </c>
      <c r="AN4710">
        <v>0.99999999776452297</v>
      </c>
    </row>
    <row r="4711" spans="1:40" x14ac:dyDescent="0.25">
      <c r="A4711" t="str">
        <f>"20190312154017319"</f>
        <v>20190312154017319</v>
      </c>
      <c r="B4711" t="str">
        <f>"1552376417310755"</f>
        <v>1552376417310755</v>
      </c>
      <c r="C4711" t="s">
        <v>40</v>
      </c>
      <c r="D4711">
        <v>3.9233850000000001</v>
      </c>
      <c r="E4711">
        <v>0.54018759999999999</v>
      </c>
      <c r="F4711" t="s">
        <v>75</v>
      </c>
      <c r="G4711">
        <v>-168.41540000000001</v>
      </c>
      <c r="H4711">
        <v>4.031104</v>
      </c>
      <c r="I4711">
        <v>195.61799999999999</v>
      </c>
      <c r="J4711">
        <v>-301.9092</v>
      </c>
      <c r="K4711">
        <v>1.110142</v>
      </c>
      <c r="L4711">
        <v>214.80690000000001</v>
      </c>
      <c r="M4711">
        <v>0.99989689999999998</v>
      </c>
      <c r="N4711">
        <v>0</v>
      </c>
      <c r="O4711">
        <v>-2.738388E-3</v>
      </c>
      <c r="P4711">
        <v>0.99927370000000004</v>
      </c>
      <c r="Q4711">
        <v>-7.6923219999999997E-3</v>
      </c>
      <c r="R4711">
        <v>-3.7326749999999999E-2</v>
      </c>
      <c r="S4711">
        <v>2.9864809999999999</v>
      </c>
      <c r="T4711">
        <v>6.5212729999999997E-2</v>
      </c>
      <c r="U4711">
        <v>-0.428421</v>
      </c>
      <c r="V4711">
        <v>3.4591499999999997E-2</v>
      </c>
      <c r="W4711">
        <v>6.3893999999999999E-3</v>
      </c>
      <c r="X4711">
        <v>0.99938110000000002</v>
      </c>
      <c r="Y4711">
        <v>0.13925650000000001</v>
      </c>
      <c r="Z4711">
        <v>1.452994E-3</v>
      </c>
      <c r="AA4711">
        <v>0.99025529999999995</v>
      </c>
      <c r="AB4711">
        <v>28</v>
      </c>
      <c r="AC4711">
        <v>133.49379999999999</v>
      </c>
      <c r="AD4711">
        <v>2.9209619999999998</v>
      </c>
      <c r="AE4711">
        <v>-19.1889</v>
      </c>
      <c r="AF4711">
        <v>18.814408421302399</v>
      </c>
      <c r="AG4711">
        <v>2.9209619999999998</v>
      </c>
      <c r="AH4711">
        <v>133.483236844582</v>
      </c>
      <c r="AI4711">
        <v>88.758684640801505</v>
      </c>
      <c r="AJ4711">
        <v>81.977034580577097</v>
      </c>
      <c r="AK4711">
        <v>134.83430016785701</v>
      </c>
      <c r="AL4711">
        <v>89.633911851678704</v>
      </c>
      <c r="AM4711">
        <v>88.017617071114699</v>
      </c>
      <c r="AN4711">
        <v>0.99999998967090997</v>
      </c>
    </row>
    <row r="4712" spans="1:40" x14ac:dyDescent="0.25">
      <c r="A4712" t="str">
        <f>"20190312154017341"</f>
        <v>20190312154017341</v>
      </c>
      <c r="B4712" t="str">
        <f>"1552376417331247"</f>
        <v>1552376417331247</v>
      </c>
      <c r="C4712" t="s">
        <v>40</v>
      </c>
      <c r="D4712">
        <v>3.8322609999999999</v>
      </c>
      <c r="E4712">
        <v>0.54087410000000002</v>
      </c>
      <c r="F4712" t="s">
        <v>75</v>
      </c>
      <c r="G4712">
        <v>-168.41540000000001</v>
      </c>
      <c r="H4712">
        <v>3.7336879999999999</v>
      </c>
      <c r="I4712">
        <v>195.3486</v>
      </c>
      <c r="J4712">
        <v>-301.62459999999999</v>
      </c>
      <c r="K4712">
        <v>1.110144</v>
      </c>
      <c r="L4712">
        <v>214.80600000000001</v>
      </c>
      <c r="M4712">
        <v>0.99989660000000002</v>
      </c>
      <c r="N4712">
        <v>0</v>
      </c>
      <c r="O4712">
        <v>-2.867699E-3</v>
      </c>
      <c r="P4712">
        <v>0.99928539999999999</v>
      </c>
      <c r="Q4712">
        <v>-7.9542169999999995E-3</v>
      </c>
      <c r="R4712">
        <v>-3.6950110000000001E-2</v>
      </c>
      <c r="S4712">
        <v>2.986389</v>
      </c>
      <c r="T4712">
        <v>5.86920999999999E-2</v>
      </c>
      <c r="U4712">
        <v>-0.43530269999999999</v>
      </c>
      <c r="V4712">
        <v>3.408593E-2</v>
      </c>
      <c r="W4712">
        <v>6.1247599999999999E-3</v>
      </c>
      <c r="X4712">
        <v>0.99940010000000001</v>
      </c>
      <c r="Y4712">
        <v>0.1413732</v>
      </c>
      <c r="Z4712">
        <v>1.325725E-3</v>
      </c>
      <c r="AA4712">
        <v>0.98995549999999999</v>
      </c>
      <c r="AB4712">
        <v>28</v>
      </c>
      <c r="AC4712">
        <v>133.20919999999899</v>
      </c>
      <c r="AD4712">
        <v>2.6235439999999999</v>
      </c>
      <c r="AE4712">
        <v>-19.4573999999999</v>
      </c>
      <c r="AF4712">
        <v>19.068036367763799</v>
      </c>
      <c r="AG4712">
        <v>2.6235439999999999</v>
      </c>
      <c r="AH4712">
        <v>133.21386279388099</v>
      </c>
      <c r="AI4712">
        <v>88.883130416832799</v>
      </c>
      <c r="AJ4712">
        <v>81.854098472882598</v>
      </c>
      <c r="AK4712">
        <v>134.59719995047899</v>
      </c>
      <c r="AL4712">
        <v>89.6490748939447</v>
      </c>
      <c r="AM4712">
        <v>88.046604965725606</v>
      </c>
      <c r="AN4712">
        <v>0.99999996159451499</v>
      </c>
    </row>
    <row r="4713" spans="1:40" x14ac:dyDescent="0.25">
      <c r="A4713" t="str">
        <f>"20190312154017364"</f>
        <v>20190312154017364</v>
      </c>
      <c r="B4713" t="str">
        <f>"1552376417360528"</f>
        <v>1552376417360528</v>
      </c>
      <c r="C4713" t="s">
        <v>40</v>
      </c>
      <c r="D4713">
        <v>3.7936589999999999</v>
      </c>
      <c r="E4713">
        <v>0.54262659999999996</v>
      </c>
      <c r="F4713" t="s">
        <v>75</v>
      </c>
      <c r="G4713">
        <v>-168.41540000000001</v>
      </c>
      <c r="H4713">
        <v>3.6442619999999999</v>
      </c>
      <c r="I4713">
        <v>195.19200000000001</v>
      </c>
      <c r="J4713">
        <v>-301.34629999999999</v>
      </c>
      <c r="K4713">
        <v>1.1101430000000001</v>
      </c>
      <c r="L4713">
        <v>214.80510000000001</v>
      </c>
      <c r="M4713">
        <v>0.99989620000000001</v>
      </c>
      <c r="N4713">
        <v>0</v>
      </c>
      <c r="O4713">
        <v>-2.9941479999999999E-3</v>
      </c>
      <c r="P4713">
        <v>0.99930799999999997</v>
      </c>
      <c r="Q4713">
        <v>-8.0232710000000002E-3</v>
      </c>
      <c r="R4713">
        <v>-3.6322529999999999E-2</v>
      </c>
      <c r="S4713">
        <v>2.9863279999999999</v>
      </c>
      <c r="T4713">
        <v>5.6811449999999999E-2</v>
      </c>
      <c r="U4713">
        <v>-0.43971250000000001</v>
      </c>
      <c r="V4713">
        <v>3.3331600000000003E-2</v>
      </c>
      <c r="W4713">
        <v>6.0532370000000004E-3</v>
      </c>
      <c r="X4713">
        <v>0.99942600000000004</v>
      </c>
      <c r="Y4713">
        <v>0.14268339999999999</v>
      </c>
      <c r="Z4713">
        <v>1.2931430000000001E-3</v>
      </c>
      <c r="AA4713">
        <v>0.98976759999999997</v>
      </c>
      <c r="AB4713">
        <v>28</v>
      </c>
      <c r="AC4713">
        <v>132.93089999999901</v>
      </c>
      <c r="AD4713">
        <v>2.534119</v>
      </c>
      <c r="AE4713">
        <v>-19.613099999999999</v>
      </c>
      <c r="AF4713">
        <v>19.208125957938599</v>
      </c>
      <c r="AG4713">
        <v>2.534119</v>
      </c>
      <c r="AH4713">
        <v>132.941750756706</v>
      </c>
      <c r="AI4713">
        <v>88.919187820345201</v>
      </c>
      <c r="AJ4713">
        <v>81.778498930011196</v>
      </c>
      <c r="AK4713">
        <v>134.34613115449301</v>
      </c>
      <c r="AL4713">
        <v>89.653172943658802</v>
      </c>
      <c r="AM4713">
        <v>88.089851155566194</v>
      </c>
      <c r="AN4713">
        <v>0.99999998335636897</v>
      </c>
    </row>
    <row r="4714" spans="1:40" x14ac:dyDescent="0.25">
      <c r="A4714" t="str">
        <f>"20190312154017385"</f>
        <v>20190312154017385</v>
      </c>
      <c r="B4714" t="str">
        <f>"1552376417381024"</f>
        <v>1552376417381024</v>
      </c>
      <c r="C4714" t="s">
        <v>40</v>
      </c>
      <c r="D4714">
        <v>3.5382929999999999</v>
      </c>
      <c r="E4714">
        <v>0.5578938</v>
      </c>
      <c r="F4714" t="s">
        <v>75</v>
      </c>
      <c r="G4714">
        <v>-168.41569999999999</v>
      </c>
      <c r="H4714">
        <v>3.81392</v>
      </c>
      <c r="I4714">
        <v>194.6909</v>
      </c>
      <c r="J4714">
        <v>-301.07830000000001</v>
      </c>
      <c r="K4714">
        <v>1.1101430000000001</v>
      </c>
      <c r="L4714">
        <v>214.80420000000001</v>
      </c>
      <c r="M4714">
        <v>0.9998958</v>
      </c>
      <c r="N4714">
        <v>0</v>
      </c>
      <c r="O4714">
        <v>-3.1159479999999999E-3</v>
      </c>
      <c r="P4714">
        <v>0.99931329999999996</v>
      </c>
      <c r="Q4714">
        <v>-8.4524530000000004E-3</v>
      </c>
      <c r="R4714">
        <v>-3.6075469999999998E-2</v>
      </c>
      <c r="S4714">
        <v>2.986145</v>
      </c>
      <c r="T4714">
        <v>6.0738210000000001E-2</v>
      </c>
      <c r="U4714">
        <v>-0.4518433</v>
      </c>
      <c r="V4714">
        <v>3.2962610000000003E-2</v>
      </c>
      <c r="W4714">
        <v>5.6221830000000002E-3</v>
      </c>
      <c r="X4714">
        <v>0.99944080000000002</v>
      </c>
      <c r="Y4714">
        <v>0.1464994</v>
      </c>
      <c r="Z4714">
        <v>1.4183010000000001E-3</v>
      </c>
      <c r="AA4714">
        <v>0.98920980000000003</v>
      </c>
      <c r="AB4714">
        <v>28</v>
      </c>
      <c r="AC4714">
        <v>132.6626</v>
      </c>
      <c r="AD4714">
        <v>2.7037770000000001</v>
      </c>
      <c r="AE4714">
        <v>-20.113299999999999</v>
      </c>
      <c r="AF4714">
        <v>19.691795736926</v>
      </c>
      <c r="AG4714">
        <v>2.7037770000000001</v>
      </c>
      <c r="AH4714">
        <v>132.67076368377599</v>
      </c>
      <c r="AI4714">
        <v>88.845144702455102</v>
      </c>
      <c r="AJ4714">
        <v>81.557451669744296</v>
      </c>
      <c r="AK4714">
        <v>134.151439671167</v>
      </c>
      <c r="AL4714">
        <v>89.677870954315793</v>
      </c>
      <c r="AM4714">
        <v>88.1110095767215</v>
      </c>
      <c r="AN4714">
        <v>1.0000000276521599</v>
      </c>
    </row>
    <row r="4715" spans="1:40" x14ac:dyDescent="0.25">
      <c r="A4715" t="str">
        <f>"20190312154017463"</f>
        <v>20190312154017463</v>
      </c>
      <c r="B4715" t="str">
        <f>"1552376417461056"</f>
        <v>1552376417461056</v>
      </c>
      <c r="C4715" t="s">
        <v>40</v>
      </c>
      <c r="D4715">
        <v>3.5230389999999998</v>
      </c>
      <c r="E4715">
        <v>0.54073459999999995</v>
      </c>
      <c r="F4715" t="s">
        <v>61</v>
      </c>
      <c r="G4715">
        <v>-262.8175</v>
      </c>
      <c r="H4715">
        <v>8.0000940000000006E-2</v>
      </c>
      <c r="I4715">
        <v>207.512</v>
      </c>
      <c r="J4715">
        <v>-300.11160000000001</v>
      </c>
      <c r="K4715">
        <v>1.110133</v>
      </c>
      <c r="L4715">
        <v>214.8005</v>
      </c>
      <c r="M4715">
        <v>0.99989470000000003</v>
      </c>
      <c r="N4715">
        <v>0</v>
      </c>
      <c r="O4715">
        <v>-3.5556049999999999E-3</v>
      </c>
      <c r="P4715">
        <v>0.99929590000000001</v>
      </c>
      <c r="Q4715">
        <v>-8.895923E-3</v>
      </c>
      <c r="R4715">
        <v>-3.6453960000000001E-2</v>
      </c>
      <c r="S4715">
        <v>2.980896</v>
      </c>
      <c r="T4715">
        <v>-8.0258250000000003E-2</v>
      </c>
      <c r="U4715">
        <v>-0.56813049999999998</v>
      </c>
      <c r="V4715">
        <v>3.2901600000000003E-2</v>
      </c>
      <c r="W4715">
        <v>5.1682409999999996E-3</v>
      </c>
      <c r="X4715">
        <v>0.99944529999999998</v>
      </c>
      <c r="Y4715">
        <v>0.1836633</v>
      </c>
      <c r="Z4715">
        <v>-2.3551449999999999E-3</v>
      </c>
      <c r="AA4715">
        <v>0.98298640000000004</v>
      </c>
      <c r="AB4715">
        <v>28</v>
      </c>
      <c r="AC4715">
        <v>37.2941</v>
      </c>
      <c r="AD4715">
        <v>-1.0301320599999999</v>
      </c>
      <c r="AE4715">
        <v>-7.2884999999999902</v>
      </c>
      <c r="AF4715">
        <v>7.1505827562509401</v>
      </c>
      <c r="AG4715">
        <v>-1.0301320599999999</v>
      </c>
      <c r="AH4715">
        <v>37.292375714787703</v>
      </c>
      <c r="AI4715">
        <v>91.553991596632002</v>
      </c>
      <c r="AJ4715">
        <v>79.145631244030994</v>
      </c>
      <c r="AK4715">
        <v>37.985698522837801</v>
      </c>
      <c r="AL4715">
        <v>89.703880304716193</v>
      </c>
      <c r="AM4715">
        <v>88.114511838061006</v>
      </c>
      <c r="AN4715">
        <v>1.0000000668448299</v>
      </c>
    </row>
    <row r="4716" spans="1:40" x14ac:dyDescent="0.25">
      <c r="A4716" t="str">
        <f>"20190312154017486"</f>
        <v>20190312154017486</v>
      </c>
      <c r="B4716" t="str">
        <f>"1552376417480576"</f>
        <v>1552376417480576</v>
      </c>
      <c r="C4716" t="s">
        <v>40</v>
      </c>
      <c r="D4716">
        <v>3.9550589999999999</v>
      </c>
      <c r="E4716">
        <v>0.53328980000000004</v>
      </c>
      <c r="F4716" t="s">
        <v>41</v>
      </c>
      <c r="G4716">
        <v>-299.24439999999998</v>
      </c>
      <c r="H4716">
        <v>0.97701680000000002</v>
      </c>
      <c r="I4716">
        <v>214.6782</v>
      </c>
      <c r="J4716">
        <v>-299.83249999999998</v>
      </c>
      <c r="K4716">
        <v>1.1101350000000001</v>
      </c>
      <c r="L4716">
        <v>214.79929999999999</v>
      </c>
      <c r="M4716">
        <v>0.99989419999999996</v>
      </c>
      <c r="N4716">
        <v>0</v>
      </c>
      <c r="O4716">
        <v>-3.682533E-3</v>
      </c>
      <c r="P4716">
        <v>0.99929509999999999</v>
      </c>
      <c r="Q4716">
        <v>-8.3124979999999998E-3</v>
      </c>
      <c r="R4716">
        <v>-3.6611480000000002E-2</v>
      </c>
      <c r="S4716">
        <v>2.9826969999999999</v>
      </c>
      <c r="T4716">
        <v>-0.45795910000000001</v>
      </c>
      <c r="U4716">
        <v>-0.41958620000000002</v>
      </c>
      <c r="V4716">
        <v>3.293252E-2</v>
      </c>
      <c r="W4716">
        <v>5.7485419999999997E-3</v>
      </c>
      <c r="X4716">
        <v>0.99944100000000002</v>
      </c>
      <c r="Y4716">
        <v>0.13415469999999999</v>
      </c>
      <c r="Z4716">
        <v>-9.6302430000000001E-3</v>
      </c>
      <c r="AA4716">
        <v>0.99091359999999995</v>
      </c>
      <c r="AB4716">
        <v>28</v>
      </c>
      <c r="AC4716">
        <v>0.58809999999999696</v>
      </c>
      <c r="AD4716">
        <v>-0.13311819999999999</v>
      </c>
      <c r="AE4716">
        <v>-0.121099999999984</v>
      </c>
      <c r="AF4716">
        <v>0.113361378152433</v>
      </c>
      <c r="AG4716">
        <v>-0.13311819999999999</v>
      </c>
      <c r="AH4716">
        <v>0.56096948584288797</v>
      </c>
      <c r="AI4716">
        <v>103.09408595052599</v>
      </c>
      <c r="AJ4716">
        <v>78.575456735194507</v>
      </c>
      <c r="AK4716">
        <v>0.58758660746709801</v>
      </c>
      <c r="AL4716">
        <v>89.670630976017407</v>
      </c>
      <c r="AM4716">
        <v>88.112733076120307</v>
      </c>
      <c r="AN4716">
        <v>0.99999995454483703</v>
      </c>
    </row>
    <row r="4717" spans="1:40" x14ac:dyDescent="0.25">
      <c r="A4717" t="str">
        <f>"20190312154017508"</f>
        <v>20190312154017508</v>
      </c>
      <c r="B4717" t="str">
        <f>"1552376417501072"</f>
        <v>1552376417501072</v>
      </c>
      <c r="C4717" t="s">
        <v>40</v>
      </c>
      <c r="D4717">
        <v>3.8477380000000001</v>
      </c>
      <c r="E4717">
        <v>0.53289960000000003</v>
      </c>
      <c r="F4717" t="s">
        <v>41</v>
      </c>
      <c r="G4717">
        <v>-298.97480000000002</v>
      </c>
      <c r="H4717">
        <v>1.0231380000000001</v>
      </c>
      <c r="I4717">
        <v>214.6942</v>
      </c>
      <c r="J4717">
        <v>-299.55669999999998</v>
      </c>
      <c r="K4717">
        <v>1.110134</v>
      </c>
      <c r="L4717">
        <v>214.79820000000001</v>
      </c>
      <c r="M4717">
        <v>0.9998937</v>
      </c>
      <c r="N4717">
        <v>0</v>
      </c>
      <c r="O4717">
        <v>-3.8080319999999998E-3</v>
      </c>
      <c r="P4717">
        <v>0.99930390000000002</v>
      </c>
      <c r="Q4717">
        <v>-8.0275669999999993E-3</v>
      </c>
      <c r="R4717">
        <v>-3.6434889999999998E-2</v>
      </c>
      <c r="S4717">
        <v>2.9861759999999999</v>
      </c>
      <c r="T4717">
        <v>-0.30290519999999999</v>
      </c>
      <c r="U4717">
        <v>-0.36578369999999999</v>
      </c>
      <c r="V4717">
        <v>3.263054E-2</v>
      </c>
      <c r="W4717">
        <v>6.0308250000000001E-3</v>
      </c>
      <c r="X4717">
        <v>0.99944929999999998</v>
      </c>
      <c r="Y4717">
        <v>0.11722920000000001</v>
      </c>
      <c r="Z4717">
        <v>-5.5246200000000001E-3</v>
      </c>
      <c r="AA4717">
        <v>0.99308949999999996</v>
      </c>
      <c r="AB4717">
        <v>28</v>
      </c>
      <c r="AC4717">
        <v>0.581899999999961</v>
      </c>
      <c r="AD4717">
        <v>-8.6996000000000004E-2</v>
      </c>
      <c r="AE4717">
        <v>-0.104000000000013</v>
      </c>
      <c r="AF4717">
        <v>9.9625308549424405E-2</v>
      </c>
      <c r="AG4717">
        <v>-8.6996000000000004E-2</v>
      </c>
      <c r="AH4717">
        <v>0.56994714424356796</v>
      </c>
      <c r="AI4717">
        <v>98.5508785106028</v>
      </c>
      <c r="AJ4717">
        <v>80.085015183190094</v>
      </c>
      <c r="AK4717">
        <v>0.58509251691588604</v>
      </c>
      <c r="AL4717">
        <v>89.654457090418703</v>
      </c>
      <c r="AM4717">
        <v>88.130041846503502</v>
      </c>
      <c r="AN4717">
        <v>1.0000000131306801</v>
      </c>
    </row>
    <row r="4718" spans="1:40" x14ac:dyDescent="0.25">
      <c r="A4718" t="str">
        <f>"20190312154017530"</f>
        <v>20190312154017530</v>
      </c>
      <c r="B4718" t="str">
        <f>"1552376417520592"</f>
        <v>1552376417520592</v>
      </c>
      <c r="C4718" t="s">
        <v>40</v>
      </c>
      <c r="D4718">
        <v>3.7311179999999999</v>
      </c>
      <c r="E4718">
        <v>0.53210959999999996</v>
      </c>
      <c r="F4718" t="s">
        <v>61</v>
      </c>
      <c r="G4718">
        <v>-278.1678</v>
      </c>
      <c r="H4718" s="1">
        <v>2.916718E-6</v>
      </c>
      <c r="I4718">
        <v>212.16849999999999</v>
      </c>
      <c r="J4718">
        <v>-299.2833</v>
      </c>
      <c r="K4718">
        <v>1.110136</v>
      </c>
      <c r="L4718">
        <v>214.797</v>
      </c>
      <c r="M4718">
        <v>0.99989340000000004</v>
      </c>
      <c r="N4718">
        <v>0</v>
      </c>
      <c r="O4718">
        <v>-3.932456E-3</v>
      </c>
      <c r="P4718">
        <v>0.99931829999999999</v>
      </c>
      <c r="Q4718">
        <v>-7.7987169999999897E-3</v>
      </c>
      <c r="R4718">
        <v>-3.6089830000000003E-2</v>
      </c>
      <c r="S4718">
        <v>2.9874269999999998</v>
      </c>
      <c r="T4718">
        <v>-0.1550542</v>
      </c>
      <c r="U4718">
        <v>-0.36729430000000002</v>
      </c>
      <c r="V4718">
        <v>3.2161000000000002E-2</v>
      </c>
      <c r="W4718">
        <v>6.2573180000000004E-3</v>
      </c>
      <c r="X4718">
        <v>0.99946310000000005</v>
      </c>
      <c r="Y4718">
        <v>0.1179723</v>
      </c>
      <c r="Z4718">
        <v>-2.8447920000000001E-3</v>
      </c>
      <c r="AA4718">
        <v>0.99301280000000003</v>
      </c>
      <c r="AB4718">
        <v>28</v>
      </c>
      <c r="AC4718">
        <v>21.115500000000001</v>
      </c>
      <c r="AD4718">
        <v>-1.110133083282</v>
      </c>
      <c r="AE4718">
        <v>-2.6284999999999998</v>
      </c>
      <c r="AF4718">
        <v>2.5385261195114102</v>
      </c>
      <c r="AG4718">
        <v>-1.110133083282</v>
      </c>
      <c r="AH4718">
        <v>21.0683286860009</v>
      </c>
      <c r="AI4718">
        <v>92.994622125112002</v>
      </c>
      <c r="AJ4718">
        <v>83.129543234204306</v>
      </c>
      <c r="AK4718">
        <v>21.2497290322349</v>
      </c>
      <c r="AL4718">
        <v>89.6414797429359</v>
      </c>
      <c r="AM4718">
        <v>88.156956509267502</v>
      </c>
      <c r="AN4718">
        <v>0.99999998610558105</v>
      </c>
    </row>
    <row r="4719" spans="1:40" x14ac:dyDescent="0.25">
      <c r="A4719" t="str">
        <f>"20190312154017553"</f>
        <v>20190312154017553</v>
      </c>
      <c r="B4719" t="str">
        <f>"1552376417541088"</f>
        <v>1552376417541088</v>
      </c>
      <c r="C4719" t="s">
        <v>40</v>
      </c>
      <c r="D4719">
        <v>3.799461</v>
      </c>
      <c r="E4719">
        <v>0.53082569999999996</v>
      </c>
      <c r="F4719" t="s">
        <v>61</v>
      </c>
      <c r="G4719">
        <v>-251.41759999999999</v>
      </c>
      <c r="H4719">
        <v>8.0001290000000003E-2</v>
      </c>
      <c r="I4719">
        <v>208.98330000000001</v>
      </c>
      <c r="J4719">
        <v>-299.00670000000002</v>
      </c>
      <c r="K4719">
        <v>1.1101399999999999</v>
      </c>
      <c r="L4719">
        <v>214.79580000000001</v>
      </c>
      <c r="M4719">
        <v>0.99989300000000003</v>
      </c>
      <c r="N4719">
        <v>0</v>
      </c>
      <c r="O4719">
        <v>-4.0584280000000002E-3</v>
      </c>
      <c r="P4719">
        <v>0.99934230000000002</v>
      </c>
      <c r="Q4719">
        <v>-7.2764589999999999E-3</v>
      </c>
      <c r="R4719">
        <v>-3.5530470000000001E-2</v>
      </c>
      <c r="S4719">
        <v>2.988464</v>
      </c>
      <c r="T4719">
        <v>-6.4315800000000006E-2</v>
      </c>
      <c r="U4719">
        <v>-0.36297610000000002</v>
      </c>
      <c r="V4719">
        <v>3.1475690000000001E-2</v>
      </c>
      <c r="W4719">
        <v>6.7770599999999997E-3</v>
      </c>
      <c r="X4719">
        <v>0.99948159999999997</v>
      </c>
      <c r="Y4719">
        <v>0.1165171</v>
      </c>
      <c r="Z4719">
        <v>-1.1620529999999999E-3</v>
      </c>
      <c r="AA4719">
        <v>0.99318799999999996</v>
      </c>
      <c r="AB4719">
        <v>28</v>
      </c>
      <c r="AC4719">
        <v>47.589100000000002</v>
      </c>
      <c r="AD4719">
        <v>-1.0301387099999999</v>
      </c>
      <c r="AE4719">
        <v>-5.8125</v>
      </c>
      <c r="AF4719">
        <v>5.6167029634746699</v>
      </c>
      <c r="AG4719">
        <v>-1.0301387099999999</v>
      </c>
      <c r="AH4719">
        <v>47.5903282217281</v>
      </c>
      <c r="AI4719">
        <v>91.231484485281797</v>
      </c>
      <c r="AJ4719">
        <v>83.268978115184595</v>
      </c>
      <c r="AK4719">
        <v>47.931700138776101</v>
      </c>
      <c r="AL4719">
        <v>89.611700114700994</v>
      </c>
      <c r="AM4719">
        <v>88.196236560466701</v>
      </c>
      <c r="AN4719">
        <v>1.0000000581708799</v>
      </c>
    </row>
    <row r="4720" spans="1:40" x14ac:dyDescent="0.25">
      <c r="A4720" t="str">
        <f>"20190312154017576"</f>
        <v>20190312154017576</v>
      </c>
      <c r="B4720" t="str">
        <f>"1552376417570368"</f>
        <v>1552376417570368</v>
      </c>
      <c r="C4720" t="s">
        <v>40</v>
      </c>
      <c r="D4720">
        <v>3.7888269999999999</v>
      </c>
      <c r="E4720">
        <v>0.52894569999999996</v>
      </c>
      <c r="F4720" t="s">
        <v>48</v>
      </c>
      <c r="G4720">
        <v>-234.4684</v>
      </c>
      <c r="H4720">
        <v>0.58399899999999905</v>
      </c>
      <c r="I4720">
        <v>207.1891</v>
      </c>
      <c r="J4720">
        <v>-298.72669999999999</v>
      </c>
      <c r="K4720">
        <v>1.110136</v>
      </c>
      <c r="L4720">
        <v>214.7945</v>
      </c>
      <c r="M4720">
        <v>0.99989240000000001</v>
      </c>
      <c r="N4720">
        <v>0</v>
      </c>
      <c r="O4720">
        <v>-4.1855959999999998E-3</v>
      </c>
      <c r="P4720">
        <v>0.99937240000000005</v>
      </c>
      <c r="Q4720">
        <v>-6.8171450000000001E-3</v>
      </c>
      <c r="R4720">
        <v>-3.4764969999999999E-2</v>
      </c>
      <c r="S4720">
        <v>2.9892880000000002</v>
      </c>
      <c r="T4720">
        <v>-2.4367570000000002E-2</v>
      </c>
      <c r="U4720">
        <v>-0.35232540000000001</v>
      </c>
      <c r="V4720">
        <v>3.0583180000000001E-2</v>
      </c>
      <c r="W4720">
        <v>7.2343360000000001E-3</v>
      </c>
      <c r="X4720">
        <v>0.99950609999999995</v>
      </c>
      <c r="Y4720">
        <v>0.11289059999999999</v>
      </c>
      <c r="Z4720">
        <v>-4.2452439999999999E-4</v>
      </c>
      <c r="AA4720">
        <v>0.99360729999999997</v>
      </c>
      <c r="AB4720">
        <v>28</v>
      </c>
      <c r="AC4720">
        <v>64.258299999999906</v>
      </c>
      <c r="AD4720">
        <v>-0.52613699999999997</v>
      </c>
      <c r="AE4720">
        <v>-7.6054000000000004</v>
      </c>
      <c r="AF4720">
        <v>7.3358624883589902</v>
      </c>
      <c r="AG4720">
        <v>-0.52613699999999997</v>
      </c>
      <c r="AH4720">
        <v>64.285323085577701</v>
      </c>
      <c r="AI4720">
        <v>90.465897766551507</v>
      </c>
      <c r="AJ4720">
        <v>83.489903821206894</v>
      </c>
      <c r="AK4720">
        <v>64.704671105013603</v>
      </c>
      <c r="AL4720">
        <v>89.585499486935106</v>
      </c>
      <c r="AM4720">
        <v>88.247393805540597</v>
      </c>
      <c r="AN4720">
        <v>1.0000000552267401</v>
      </c>
    </row>
    <row r="4721" spans="1:40" x14ac:dyDescent="0.25">
      <c r="A4721" t="str">
        <f>"20190312154017598"</f>
        <v>20190312154017598</v>
      </c>
      <c r="B4721" t="str">
        <f>"1552376417590867"</f>
        <v>1552376417590867</v>
      </c>
      <c r="C4721" t="s">
        <v>40</v>
      </c>
      <c r="D4721">
        <v>3.856023</v>
      </c>
      <c r="E4721">
        <v>0.52737309999999904</v>
      </c>
      <c r="F4721" t="s">
        <v>75</v>
      </c>
      <c r="G4721">
        <v>-168.41309999999999</v>
      </c>
      <c r="H4721">
        <v>1.5405759999999999</v>
      </c>
      <c r="I4721">
        <v>200.14259999999999</v>
      </c>
      <c r="J4721">
        <v>-298.45139999999998</v>
      </c>
      <c r="K4721">
        <v>1.110136</v>
      </c>
      <c r="L4721">
        <v>214.79320000000001</v>
      </c>
      <c r="M4721">
        <v>0.99989189999999994</v>
      </c>
      <c r="N4721">
        <v>0</v>
      </c>
      <c r="O4721">
        <v>-4.3109730000000001E-3</v>
      </c>
      <c r="P4721">
        <v>0.99937069999999995</v>
      </c>
      <c r="Q4721">
        <v>-6.6786240000000002E-3</v>
      </c>
      <c r="R4721">
        <v>-3.4842140000000001E-2</v>
      </c>
      <c r="S4721">
        <v>2.990265</v>
      </c>
      <c r="T4721">
        <v>9.8779200000000001E-3</v>
      </c>
      <c r="U4721">
        <v>-0.33621220000000002</v>
      </c>
      <c r="V4721">
        <v>3.0535059999999999E-2</v>
      </c>
      <c r="W4721">
        <v>7.3702319999999896E-3</v>
      </c>
      <c r="X4721">
        <v>0.99950649999999996</v>
      </c>
      <c r="Y4721">
        <v>0.1074456</v>
      </c>
      <c r="Z4721">
        <v>1.6271139999999901E-4</v>
      </c>
      <c r="AA4721">
        <v>0.99421099999999996</v>
      </c>
      <c r="AB4721">
        <v>28</v>
      </c>
      <c r="AC4721">
        <v>130.03829999999999</v>
      </c>
      <c r="AD4721">
        <v>0.43043999999999899</v>
      </c>
      <c r="AE4721">
        <v>-14.650600000000001</v>
      </c>
      <c r="AF4721">
        <v>14.0896643972189</v>
      </c>
      <c r="AG4721">
        <v>0.43043999999999899</v>
      </c>
      <c r="AH4721">
        <v>130.09884839325099</v>
      </c>
      <c r="AI4721">
        <v>89.811536099392001</v>
      </c>
      <c r="AJ4721">
        <v>83.818975342346803</v>
      </c>
      <c r="AK4721">
        <v>130.86028532243901</v>
      </c>
      <c r="AL4721">
        <v>89.577712979416006</v>
      </c>
      <c r="AM4721">
        <v>88.250150364561605</v>
      </c>
      <c r="AN4721">
        <v>0.99999997687559306</v>
      </c>
    </row>
    <row r="4722" spans="1:40" x14ac:dyDescent="0.25">
      <c r="A4722" t="str">
        <f>"20190312154017620"</f>
        <v>20190312154017620</v>
      </c>
      <c r="B4722" t="str">
        <f>"1552376417610384"</f>
        <v>1552376417610384</v>
      </c>
      <c r="C4722" t="s">
        <v>40</v>
      </c>
      <c r="D4722">
        <v>3.7971789999999999</v>
      </c>
      <c r="E4722">
        <v>0.52630379999999999</v>
      </c>
      <c r="F4722" t="s">
        <v>75</v>
      </c>
      <c r="G4722">
        <v>-168.41309999999999</v>
      </c>
      <c r="H4722">
        <v>2.119351</v>
      </c>
      <c r="I4722">
        <v>200.68539999999999</v>
      </c>
      <c r="J4722">
        <v>-298.17919999999998</v>
      </c>
      <c r="K4722">
        <v>1.110139</v>
      </c>
      <c r="L4722">
        <v>214.7919</v>
      </c>
      <c r="M4722">
        <v>0.99989130000000004</v>
      </c>
      <c r="N4722">
        <v>0</v>
      </c>
      <c r="O4722">
        <v>-4.4337270000000002E-3</v>
      </c>
      <c r="P4722">
        <v>0.99935240000000003</v>
      </c>
      <c r="Q4722">
        <v>-6.6211990000000004E-3</v>
      </c>
      <c r="R4722">
        <v>-3.5365210000000001E-2</v>
      </c>
      <c r="S4722">
        <v>2.990723</v>
      </c>
      <c r="T4722">
        <v>2.321148E-2</v>
      </c>
      <c r="U4722">
        <v>-0.3244629</v>
      </c>
      <c r="V4722">
        <v>3.0935609999999999E-2</v>
      </c>
      <c r="W4722">
        <v>7.4241130000000004E-3</v>
      </c>
      <c r="X4722">
        <v>0.99949379999999999</v>
      </c>
      <c r="Y4722">
        <v>0.1034446</v>
      </c>
      <c r="Z4722">
        <v>3.6593390000000002E-4</v>
      </c>
      <c r="AA4722">
        <v>0.99463520000000005</v>
      </c>
      <c r="AB4722">
        <v>27</v>
      </c>
      <c r="AC4722">
        <v>129.76609999999999</v>
      </c>
      <c r="AD4722">
        <v>1.009212</v>
      </c>
      <c r="AE4722">
        <v>-14.1065</v>
      </c>
      <c r="AF4722">
        <v>13.530148165018799</v>
      </c>
      <c r="AG4722">
        <v>1.009212</v>
      </c>
      <c r="AH4722">
        <v>129.81961449260601</v>
      </c>
      <c r="AI4722">
        <v>89.556993545100696</v>
      </c>
      <c r="AJ4722">
        <v>84.049962075023601</v>
      </c>
      <c r="AK4722">
        <v>130.52668587395101</v>
      </c>
      <c r="AL4722">
        <v>89.574625747769502</v>
      </c>
      <c r="AM4722">
        <v>88.227188389020199</v>
      </c>
      <c r="AN4722">
        <v>0.99999999282917396</v>
      </c>
    </row>
    <row r="4723" spans="1:40" x14ac:dyDescent="0.25">
      <c r="A4723" t="str">
        <f>"20190312154017641"</f>
        <v>20190312154017641</v>
      </c>
      <c r="B4723" t="str">
        <f>"1552376417630880"</f>
        <v>1552376417630880</v>
      </c>
      <c r="C4723" t="s">
        <v>40</v>
      </c>
      <c r="D4723">
        <v>3.8543090000000002</v>
      </c>
      <c r="E4723">
        <v>0.52534429999999999</v>
      </c>
      <c r="F4723" t="s">
        <v>75</v>
      </c>
      <c r="G4723">
        <v>-168.41319999999999</v>
      </c>
      <c r="H4723">
        <v>2.619723</v>
      </c>
      <c r="I4723">
        <v>201.0052</v>
      </c>
      <c r="J4723">
        <v>-297.92500000000001</v>
      </c>
      <c r="K4723">
        <v>1.1101379999999901</v>
      </c>
      <c r="L4723">
        <v>214.79069999999999</v>
      </c>
      <c r="M4723">
        <v>0.99989090000000003</v>
      </c>
      <c r="N4723">
        <v>0</v>
      </c>
      <c r="O4723">
        <v>-4.5478949999999997E-3</v>
      </c>
      <c r="P4723">
        <v>0.99933050000000001</v>
      </c>
      <c r="Q4723">
        <v>-6.8609989999999996E-3</v>
      </c>
      <c r="R4723">
        <v>-3.5939659999999998E-2</v>
      </c>
      <c r="S4723">
        <v>2.990936</v>
      </c>
      <c r="T4723">
        <v>3.4794690000000003E-2</v>
      </c>
      <c r="U4723">
        <v>-0.3177643</v>
      </c>
      <c r="V4723">
        <v>3.1395890000000003E-2</v>
      </c>
      <c r="W4723">
        <v>7.1814080000000002E-3</v>
      </c>
      <c r="X4723">
        <v>0.99948119999999996</v>
      </c>
      <c r="Y4723">
        <v>0.1011174</v>
      </c>
      <c r="Z4723">
        <v>5.3373929999999997E-4</v>
      </c>
      <c r="AA4723">
        <v>0.99487440000000005</v>
      </c>
      <c r="AB4723">
        <v>27</v>
      </c>
      <c r="AC4723">
        <v>129.51179999999999</v>
      </c>
      <c r="AD4723">
        <v>1.509585</v>
      </c>
      <c r="AE4723">
        <v>-13.7854999999999</v>
      </c>
      <c r="AF4723">
        <v>13.1945206190801</v>
      </c>
      <c r="AG4723">
        <v>1.509585</v>
      </c>
      <c r="AH4723">
        <v>129.55575710724301</v>
      </c>
      <c r="AI4723">
        <v>89.335854358706598</v>
      </c>
      <c r="AJ4723">
        <v>84.184799430274595</v>
      </c>
      <c r="AK4723">
        <v>130.234666739967</v>
      </c>
      <c r="AL4723">
        <v>89.588532082253906</v>
      </c>
      <c r="AM4723">
        <v>88.200805894697496</v>
      </c>
      <c r="AN4723">
        <v>0.99999997184159595</v>
      </c>
    </row>
    <row r="4724" spans="1:40" x14ac:dyDescent="0.25">
      <c r="A4724" t="str">
        <f>"20190312154017665"</f>
        <v>20190312154017665</v>
      </c>
      <c r="B4724" t="str">
        <f>"1552376417650400"</f>
        <v>1552376417650400</v>
      </c>
      <c r="C4724" t="s">
        <v>40</v>
      </c>
      <c r="D4724">
        <v>3.8730280000000001</v>
      </c>
      <c r="E4724">
        <v>0.52466979999999996</v>
      </c>
      <c r="F4724" t="s">
        <v>75</v>
      </c>
      <c r="G4724">
        <v>-168.41319999999999</v>
      </c>
      <c r="H4724">
        <v>2.9526979999999998</v>
      </c>
      <c r="I4724">
        <v>201.27680000000001</v>
      </c>
      <c r="J4724">
        <v>-297.6388</v>
      </c>
      <c r="K4724">
        <v>1.1101399999999999</v>
      </c>
      <c r="L4724">
        <v>214.78919999999999</v>
      </c>
      <c r="M4724">
        <v>0.99989030000000001</v>
      </c>
      <c r="N4724">
        <v>0</v>
      </c>
      <c r="O4724">
        <v>-4.6748049999999998E-3</v>
      </c>
      <c r="P4724">
        <v>0.99930169999999996</v>
      </c>
      <c r="Q4724">
        <v>-7.3723119999999998E-3</v>
      </c>
      <c r="R4724">
        <v>-3.6630459999999997E-2</v>
      </c>
      <c r="S4724">
        <v>2.9910890000000001</v>
      </c>
      <c r="T4724">
        <v>4.255486E-2</v>
      </c>
      <c r="U4724">
        <v>-0.31210329999999997</v>
      </c>
      <c r="V4724">
        <v>3.1959809999999998E-2</v>
      </c>
      <c r="W4724">
        <v>6.6669140000000003E-3</v>
      </c>
      <c r="X4724">
        <v>0.99946690000000005</v>
      </c>
      <c r="Y4724">
        <v>9.9120310000000003E-2</v>
      </c>
      <c r="Z4724">
        <v>6.3683030000000001E-4</v>
      </c>
      <c r="AA4724">
        <v>0.99507520000000005</v>
      </c>
      <c r="AB4724">
        <v>27</v>
      </c>
      <c r="AC4724">
        <v>129.22559999999999</v>
      </c>
      <c r="AD4724">
        <v>1.8425579999999999</v>
      </c>
      <c r="AE4724">
        <v>-13.5123999999999</v>
      </c>
      <c r="AF4724">
        <v>12.9054928087214</v>
      </c>
      <c r="AG4724">
        <v>1.8425579999999999</v>
      </c>
      <c r="AH4724">
        <v>129.26136666550099</v>
      </c>
      <c r="AI4724">
        <v>89.187371387944196</v>
      </c>
      <c r="AJ4724">
        <v>84.298466905074307</v>
      </c>
      <c r="AK4724">
        <v>129.917080004333</v>
      </c>
      <c r="AL4724">
        <v>89.618011128256697</v>
      </c>
      <c r="AM4724">
        <v>88.168485142707993</v>
      </c>
      <c r="AN4724">
        <v>0.99999998069656404</v>
      </c>
    </row>
    <row r="4725" spans="1:40" x14ac:dyDescent="0.25">
      <c r="A4725" t="str">
        <f>"20190312154017687"</f>
        <v>20190312154017687</v>
      </c>
      <c r="B4725" t="str">
        <f>"1552376417680660"</f>
        <v>1552376417680660</v>
      </c>
      <c r="C4725" t="s">
        <v>40</v>
      </c>
      <c r="D4725">
        <v>3.901367</v>
      </c>
      <c r="E4725">
        <v>0.52391009999999905</v>
      </c>
      <c r="F4725" t="s">
        <v>75</v>
      </c>
      <c r="G4725">
        <v>-168.41319999999999</v>
      </c>
      <c r="H4725">
        <v>3.2141950000000001</v>
      </c>
      <c r="I4725">
        <v>201.4358</v>
      </c>
      <c r="J4725">
        <v>-297.35840000000002</v>
      </c>
      <c r="K4725">
        <v>1.1101399999999999</v>
      </c>
      <c r="L4725">
        <v>214.7877</v>
      </c>
      <c r="M4725">
        <v>0.99988969999999999</v>
      </c>
      <c r="N4725">
        <v>0</v>
      </c>
      <c r="O4725">
        <v>-4.797061E-3</v>
      </c>
      <c r="P4725">
        <v>0.99926919999999997</v>
      </c>
      <c r="Q4725">
        <v>-7.8379109999999995E-3</v>
      </c>
      <c r="R4725">
        <v>-3.7413729999999999E-2</v>
      </c>
      <c r="S4725">
        <v>2.9910890000000001</v>
      </c>
      <c r="T4725">
        <v>4.8701759999999997E-2</v>
      </c>
      <c r="U4725">
        <v>-0.30908200000000002</v>
      </c>
      <c r="V4725">
        <v>3.2620839999999998E-2</v>
      </c>
      <c r="W4725">
        <v>6.1977150000000003E-3</v>
      </c>
      <c r="X4725">
        <v>0.99944860000000002</v>
      </c>
      <c r="Y4725">
        <v>9.8001439999999995E-2</v>
      </c>
      <c r="Z4725">
        <v>7.1777549999999999E-4</v>
      </c>
      <c r="AA4725">
        <v>0.99518600000000002</v>
      </c>
      <c r="AB4725">
        <v>27</v>
      </c>
      <c r="AC4725">
        <v>128.9452</v>
      </c>
      <c r="AD4725">
        <v>2.1040549999999998</v>
      </c>
      <c r="AE4725">
        <v>-13.351900000000001</v>
      </c>
      <c r="AF4725">
        <v>12.7297737806184</v>
      </c>
      <c r="AG4725">
        <v>2.1040549999999998</v>
      </c>
      <c r="AH4725">
        <v>128.973796170913</v>
      </c>
      <c r="AI4725">
        <v>89.069888696691294</v>
      </c>
      <c r="AJ4725">
        <v>84.363136917297695</v>
      </c>
      <c r="AK4725">
        <v>129.617569359578</v>
      </c>
      <c r="AL4725">
        <v>89.644894820685806</v>
      </c>
      <c r="AM4725">
        <v>88.130596021492593</v>
      </c>
      <c r="AN4725">
        <v>1.0000000174577399</v>
      </c>
    </row>
    <row r="4726" spans="1:40" x14ac:dyDescent="0.25">
      <c r="A4726" t="str">
        <f>"20190312154017709"</f>
        <v>20190312154017709</v>
      </c>
      <c r="B4726" t="str">
        <f>"1552376417701152"</f>
        <v>1552376417701152</v>
      </c>
      <c r="C4726" t="s">
        <v>40</v>
      </c>
      <c r="D4726">
        <v>3.898666</v>
      </c>
      <c r="E4726">
        <v>0.5234818</v>
      </c>
      <c r="F4726" t="s">
        <v>75</v>
      </c>
      <c r="G4726">
        <v>-168.41329999999999</v>
      </c>
      <c r="H4726">
        <v>3.5111520000000001</v>
      </c>
      <c r="I4726">
        <v>201.61760000000001</v>
      </c>
      <c r="J4726">
        <v>-297.08269999999999</v>
      </c>
      <c r="K4726">
        <v>1.1101460000000001</v>
      </c>
      <c r="L4726">
        <v>214.78630000000001</v>
      </c>
      <c r="M4726">
        <v>0.99988929999999998</v>
      </c>
      <c r="N4726">
        <v>0</v>
      </c>
      <c r="O4726">
        <v>-4.9158609999999997E-3</v>
      </c>
      <c r="P4726">
        <v>0.99925980000000003</v>
      </c>
      <c r="Q4726">
        <v>-7.8816130000000009E-3</v>
      </c>
      <c r="R4726">
        <v>-3.7657530000000002E-2</v>
      </c>
      <c r="S4726">
        <v>2.9911799999999999</v>
      </c>
      <c r="T4726">
        <v>5.5697799999999999E-2</v>
      </c>
      <c r="U4726">
        <v>-0.30551149999999999</v>
      </c>
      <c r="V4726">
        <v>3.2745959999999998E-2</v>
      </c>
      <c r="W4726">
        <v>6.1509859999999998E-3</v>
      </c>
      <c r="X4726">
        <v>0.99944480000000002</v>
      </c>
      <c r="Y4726">
        <v>9.6700939999999999E-2</v>
      </c>
      <c r="Z4726">
        <v>8.0661090000000001E-4</v>
      </c>
      <c r="AA4726">
        <v>0.99531320000000001</v>
      </c>
      <c r="AB4726">
        <v>27</v>
      </c>
      <c r="AC4726">
        <v>128.6694</v>
      </c>
      <c r="AD4726">
        <v>2.4010060000000002</v>
      </c>
      <c r="AE4726">
        <v>-13.168699999999999</v>
      </c>
      <c r="AF4726">
        <v>12.5316392281596</v>
      </c>
      <c r="AG4726">
        <v>2.4010060000000002</v>
      </c>
      <c r="AH4726">
        <v>128.68824138809401</v>
      </c>
      <c r="AI4726">
        <v>88.936156778311002</v>
      </c>
      <c r="AJ4726">
        <v>84.438083328539307</v>
      </c>
      <c r="AK4726">
        <v>129.31925720138199</v>
      </c>
      <c r="AL4726">
        <v>89.647572247187895</v>
      </c>
      <c r="AM4726">
        <v>88.123423750947296</v>
      </c>
      <c r="AN4726">
        <v>1.00000002038606</v>
      </c>
    </row>
    <row r="4727" spans="1:40" x14ac:dyDescent="0.25">
      <c r="A4727" t="str">
        <f>"20190312154017731"</f>
        <v>20190312154017731</v>
      </c>
      <c r="B4727" t="str">
        <f>"1552376417720672"</f>
        <v>1552376417720672</v>
      </c>
      <c r="C4727" t="s">
        <v>40</v>
      </c>
      <c r="D4727">
        <v>3.9444590000000002</v>
      </c>
      <c r="E4727">
        <v>0.52316499999999999</v>
      </c>
      <c r="F4727" t="s">
        <v>75</v>
      </c>
      <c r="G4727">
        <v>-168.41329999999999</v>
      </c>
      <c r="H4727">
        <v>3.6114160000000002</v>
      </c>
      <c r="I4727">
        <v>201.74639999999999</v>
      </c>
      <c r="J4727">
        <v>-296.82490000000001</v>
      </c>
      <c r="K4727">
        <v>1.110144</v>
      </c>
      <c r="L4727">
        <v>214.78489999999999</v>
      </c>
      <c r="M4727">
        <v>0.99988880000000002</v>
      </c>
      <c r="N4727">
        <v>0</v>
      </c>
      <c r="O4727">
        <v>-5.0254879999999998E-3</v>
      </c>
      <c r="P4727">
        <v>0.99926020000000004</v>
      </c>
      <c r="Q4727">
        <v>-7.6652500000000002E-3</v>
      </c>
      <c r="R4727">
        <v>-3.7688680000000002E-2</v>
      </c>
      <c r="S4727">
        <v>2.9912719999999999</v>
      </c>
      <c r="T4727">
        <v>5.8149579999999999E-2</v>
      </c>
      <c r="U4727">
        <v>-0.30314639999999998</v>
      </c>
      <c r="V4727">
        <v>3.2667649999999999E-2</v>
      </c>
      <c r="W4727">
        <v>6.3650819999999898E-3</v>
      </c>
      <c r="X4727">
        <v>0.99944599999999995</v>
      </c>
      <c r="Y4727">
        <v>9.5808569999999996E-2</v>
      </c>
      <c r="Z4727">
        <v>8.3134279999999897E-4</v>
      </c>
      <c r="AA4727">
        <v>0.99539940000000005</v>
      </c>
      <c r="AB4727">
        <v>27</v>
      </c>
      <c r="AC4727">
        <v>128.41159999999999</v>
      </c>
      <c r="AD4727">
        <v>2.5012720000000002</v>
      </c>
      <c r="AE4727">
        <v>-13.038500000000001</v>
      </c>
      <c r="AF4727">
        <v>12.388288421744999</v>
      </c>
      <c r="AG4727">
        <v>2.5012720000000002</v>
      </c>
      <c r="AH4727">
        <v>128.42727953441201</v>
      </c>
      <c r="AI4727">
        <v>88.8893922502279</v>
      </c>
      <c r="AJ4727">
        <v>84.490209993959098</v>
      </c>
      <c r="AK4727">
        <v>129.04763531443899</v>
      </c>
      <c r="AL4727">
        <v>89.635305201929199</v>
      </c>
      <c r="AM4727">
        <v>88.127910519485496</v>
      </c>
      <c r="AN4727">
        <v>0.99999999827069397</v>
      </c>
    </row>
    <row r="4728" spans="1:40" x14ac:dyDescent="0.25">
      <c r="A4728" t="str">
        <f>"20190312154017754"</f>
        <v>20190312154017754</v>
      </c>
      <c r="B4728" t="str">
        <f>"1552376417750929"</f>
        <v>1552376417750929</v>
      </c>
      <c r="C4728" t="s">
        <v>40</v>
      </c>
      <c r="D4728">
        <v>3.9793150000000002</v>
      </c>
      <c r="E4728">
        <v>0.52275169999999904</v>
      </c>
      <c r="F4728" t="s">
        <v>75</v>
      </c>
      <c r="G4728">
        <v>-168.41319999999999</v>
      </c>
      <c r="H4728">
        <v>3.7215690000000001</v>
      </c>
      <c r="I4728">
        <v>201.87819999999999</v>
      </c>
      <c r="J4728">
        <v>-296.54160000000002</v>
      </c>
      <c r="K4728">
        <v>1.1101479999999999</v>
      </c>
      <c r="L4728">
        <v>214.7833</v>
      </c>
      <c r="M4728">
        <v>0.9998882</v>
      </c>
      <c r="N4728">
        <v>0</v>
      </c>
      <c r="O4728">
        <v>-5.1445329999999997E-3</v>
      </c>
      <c r="P4728">
        <v>0.9992683</v>
      </c>
      <c r="Q4728">
        <v>-7.5870740000000001E-3</v>
      </c>
      <c r="R4728">
        <v>-3.7493020000000002E-2</v>
      </c>
      <c r="S4728">
        <v>2.991333</v>
      </c>
      <c r="T4728">
        <v>6.0833569999999997E-2</v>
      </c>
      <c r="U4728">
        <v>-0.30065920000000002</v>
      </c>
      <c r="V4728">
        <v>3.2352720000000001E-2</v>
      </c>
      <c r="W4728">
        <v>6.440421E-3</v>
      </c>
      <c r="X4728">
        <v>0.99945569999999895</v>
      </c>
      <c r="Y4728">
        <v>9.4867300000000002E-2</v>
      </c>
      <c r="Z4728">
        <v>8.5776489999999999E-4</v>
      </c>
      <c r="AA4728">
        <v>0.99548950000000003</v>
      </c>
      <c r="AB4728">
        <v>27</v>
      </c>
      <c r="AC4728">
        <v>128.1284</v>
      </c>
      <c r="AD4728">
        <v>2.611421</v>
      </c>
      <c r="AE4728">
        <v>-12.905099999999999</v>
      </c>
      <c r="AF4728">
        <v>12.2406697627656</v>
      </c>
      <c r="AG4728">
        <v>2.611421</v>
      </c>
      <c r="AH4728">
        <v>128.140406841518</v>
      </c>
      <c r="AI4728">
        <v>88.837798718009694</v>
      </c>
      <c r="AJ4728">
        <v>84.5433523067572</v>
      </c>
      <c r="AK4728">
        <v>128.750213131436</v>
      </c>
      <c r="AL4728">
        <v>89.630988484053901</v>
      </c>
      <c r="AM4728">
        <v>88.145963580116401</v>
      </c>
      <c r="AN4728">
        <v>0.99999993688827005</v>
      </c>
    </row>
    <row r="4729" spans="1:40" x14ac:dyDescent="0.25">
      <c r="A4729" t="str">
        <f>"20190312154017780"</f>
        <v>20190312154017780</v>
      </c>
      <c r="B4729" t="str">
        <f>"1552376417770448"</f>
        <v>1552376417770448</v>
      </c>
      <c r="C4729" t="s">
        <v>40</v>
      </c>
      <c r="D4729">
        <v>4.0257209999999999</v>
      </c>
      <c r="E4729">
        <v>0.52240259999999905</v>
      </c>
      <c r="F4729" t="s">
        <v>75</v>
      </c>
      <c r="G4729">
        <v>-168.41319999999999</v>
      </c>
      <c r="H4729">
        <v>3.875826</v>
      </c>
      <c r="I4729">
        <v>202.06829999999999</v>
      </c>
      <c r="J4729">
        <v>-296.24489999999997</v>
      </c>
      <c r="K4729">
        <v>1.1101559999999999</v>
      </c>
      <c r="L4729">
        <v>214.7816</v>
      </c>
      <c r="M4729">
        <v>0.99988750000000004</v>
      </c>
      <c r="N4729">
        <v>0</v>
      </c>
      <c r="O4729">
        <v>-5.2682319999999899E-3</v>
      </c>
      <c r="P4729">
        <v>0.99927390000000005</v>
      </c>
      <c r="Q4729">
        <v>-7.7066369999999997E-3</v>
      </c>
      <c r="R4729">
        <v>-3.7319089999999999E-2</v>
      </c>
      <c r="S4729">
        <v>2.9915769999999999</v>
      </c>
      <c r="T4729">
        <v>6.4574599999999996E-2</v>
      </c>
      <c r="U4729">
        <v>-0.296875</v>
      </c>
      <c r="V4729">
        <v>3.2054930000000002E-2</v>
      </c>
      <c r="W4729">
        <v>6.317876E-3</v>
      </c>
      <c r="X4729">
        <v>0.99946610000000002</v>
      </c>
      <c r="Y4729">
        <v>9.3487180000000003E-2</v>
      </c>
      <c r="Z4729">
        <v>8.9296519999999997E-4</v>
      </c>
      <c r="AA4729">
        <v>0.99562010000000001</v>
      </c>
      <c r="AB4729">
        <v>27</v>
      </c>
      <c r="AC4729">
        <v>127.831699999999</v>
      </c>
      <c r="AD4729">
        <v>2.7656700000000001</v>
      </c>
      <c r="AE4729">
        <v>-12.7133</v>
      </c>
      <c r="AF4729">
        <v>12.034032298712001</v>
      </c>
      <c r="AG4729">
        <v>2.7656700000000001</v>
      </c>
      <c r="AH4729">
        <v>127.837656254206</v>
      </c>
      <c r="AI4729">
        <v>88.766096259307901</v>
      </c>
      <c r="AJ4729">
        <v>84.622293714231802</v>
      </c>
      <c r="AK4729">
        <v>128.43260185982399</v>
      </c>
      <c r="AL4729">
        <v>89.638009946878597</v>
      </c>
      <c r="AM4729">
        <v>88.163036378440793</v>
      </c>
      <c r="AN4729">
        <v>0.99999995957183196</v>
      </c>
    </row>
    <row r="4730" spans="1:40" x14ac:dyDescent="0.25">
      <c r="A4730" t="str">
        <f>"20190312154017799"</f>
        <v>20190312154017799</v>
      </c>
      <c r="B4730" t="str">
        <f>"1552376417790948"</f>
        <v>1552376417790948</v>
      </c>
      <c r="C4730" t="s">
        <v>40</v>
      </c>
      <c r="D4730">
        <v>4.0789989999999996</v>
      </c>
      <c r="E4730">
        <v>0.49442180000000002</v>
      </c>
      <c r="F4730" t="s">
        <v>75</v>
      </c>
      <c r="G4730">
        <v>-168.41319999999999</v>
      </c>
      <c r="H4730">
        <v>3.884125</v>
      </c>
      <c r="I4730">
        <v>202.23079999999999</v>
      </c>
      <c r="J4730">
        <v>-296.00029999999998</v>
      </c>
      <c r="K4730">
        <v>1.110161</v>
      </c>
      <c r="L4730">
        <v>214.78020000000001</v>
      </c>
      <c r="M4730">
        <v>0.99988710000000003</v>
      </c>
      <c r="N4730">
        <v>0</v>
      </c>
      <c r="O4730">
        <v>-5.3700060000000001E-3</v>
      </c>
      <c r="P4730">
        <v>0.99926099999999995</v>
      </c>
      <c r="Q4730">
        <v>-7.4874360000000001E-3</v>
      </c>
      <c r="R4730">
        <v>-3.7705740000000001E-2</v>
      </c>
      <c r="S4730">
        <v>2.9916990000000001</v>
      </c>
      <c r="T4730">
        <v>6.4921140000000002E-2</v>
      </c>
      <c r="U4730">
        <v>-0.29373169999999998</v>
      </c>
      <c r="V4730">
        <v>3.234033E-2</v>
      </c>
      <c r="W4730">
        <v>6.5343559999999998E-3</v>
      </c>
      <c r="X4730">
        <v>0.9994556</v>
      </c>
      <c r="Y4730">
        <v>9.2345869999999997E-2</v>
      </c>
      <c r="Z4730">
        <v>8.832108E-4</v>
      </c>
      <c r="AA4730">
        <v>0.99572660000000002</v>
      </c>
      <c r="AB4730">
        <v>27</v>
      </c>
      <c r="AC4730">
        <v>127.58710000000001</v>
      </c>
      <c r="AD4730">
        <v>2.7739639999999999</v>
      </c>
      <c r="AE4730">
        <v>-12.5494</v>
      </c>
      <c r="AF4730">
        <v>11.858456234536501</v>
      </c>
      <c r="AG4730">
        <v>2.7739639999999999</v>
      </c>
      <c r="AH4730">
        <v>127.592921397789</v>
      </c>
      <c r="AI4730">
        <v>88.759886523573002</v>
      </c>
      <c r="AJ4730">
        <v>84.690196951917599</v>
      </c>
      <c r="AK4730">
        <v>128.17281869164799</v>
      </c>
      <c r="AL4730">
        <v>89.625606332091806</v>
      </c>
      <c r="AM4730">
        <v>88.146672932929405</v>
      </c>
      <c r="AN4730">
        <v>1.0000000455621001</v>
      </c>
    </row>
    <row r="4731" spans="1:40" x14ac:dyDescent="0.25">
      <c r="A4731" t="str">
        <f>"20190312154017821"</f>
        <v>20190312154017821</v>
      </c>
      <c r="B4731" t="str">
        <f>"1552376417810465"</f>
        <v>1552376417810465</v>
      </c>
      <c r="C4731" t="s">
        <v>40</v>
      </c>
      <c r="D4731">
        <v>4.0993510000000004</v>
      </c>
      <c r="E4731">
        <v>0.49033120000000002</v>
      </c>
      <c r="F4731" t="s">
        <v>76</v>
      </c>
      <c r="G4731">
        <v>-107.39749999999999</v>
      </c>
      <c r="H4731">
        <v>1.3688070000000001</v>
      </c>
      <c r="I4731">
        <v>210.4092</v>
      </c>
      <c r="J4731">
        <v>-295.73430000000002</v>
      </c>
      <c r="K4731">
        <v>1.110158</v>
      </c>
      <c r="L4731">
        <v>214.77869999999999</v>
      </c>
      <c r="M4731">
        <v>0.99988650000000001</v>
      </c>
      <c r="N4731">
        <v>0</v>
      </c>
      <c r="O4731">
        <v>-5.480721E-3</v>
      </c>
      <c r="P4731">
        <v>0.99925960000000003</v>
      </c>
      <c r="Q4731">
        <v>-7.3926349999999998E-3</v>
      </c>
      <c r="R4731">
        <v>-3.7761540000000003E-2</v>
      </c>
      <c r="S4731">
        <v>2.999603</v>
      </c>
      <c r="T4731">
        <v>4.1143890000000004E-3</v>
      </c>
      <c r="U4731">
        <v>-6.9519040000000004E-2</v>
      </c>
      <c r="V4731">
        <v>3.2285309999999998E-2</v>
      </c>
      <c r="W4731">
        <v>6.6263829999999996E-3</v>
      </c>
      <c r="X4731">
        <v>0.99945669999999998</v>
      </c>
      <c r="Y4731">
        <v>1.7689710000000001E-2</v>
      </c>
      <c r="Z4731" s="1">
        <v>4.6131849999999999E-6</v>
      </c>
      <c r="AA4731">
        <v>0.9998435</v>
      </c>
      <c r="AB4731">
        <v>27</v>
      </c>
      <c r="AC4731">
        <v>188.33680000000001</v>
      </c>
      <c r="AD4731">
        <v>0.25864899999999902</v>
      </c>
      <c r="AE4731">
        <v>-4.36949999999998</v>
      </c>
      <c r="AF4731">
        <v>3.3371049526193399</v>
      </c>
      <c r="AG4731">
        <v>0.25864899999999902</v>
      </c>
      <c r="AH4731">
        <v>188.35756607259799</v>
      </c>
      <c r="AI4731">
        <v>89.921334928050101</v>
      </c>
      <c r="AJ4731">
        <v>88.985004786156594</v>
      </c>
      <c r="AK4731">
        <v>188.38730282469399</v>
      </c>
      <c r="AL4731">
        <v>89.620333431796993</v>
      </c>
      <c r="AM4731">
        <v>88.149825805279093</v>
      </c>
      <c r="AN4731">
        <v>0.99999997268417395</v>
      </c>
    </row>
    <row r="4732" spans="1:40" x14ac:dyDescent="0.25">
      <c r="A4732" t="str">
        <f>"20190312154017843"</f>
        <v>20190312154017843</v>
      </c>
      <c r="B4732" t="str">
        <f>"1552376417830960"</f>
        <v>1552376417830960</v>
      </c>
      <c r="C4732" t="s">
        <v>40</v>
      </c>
      <c r="D4732">
        <v>4.1249000000000002</v>
      </c>
      <c r="E4732">
        <v>0.4891472</v>
      </c>
      <c r="F4732" t="s">
        <v>76</v>
      </c>
      <c r="G4732">
        <v>-107.39749999999999</v>
      </c>
      <c r="H4732">
        <v>0.74910719999999997</v>
      </c>
      <c r="I4732">
        <v>212.464</v>
      </c>
      <c r="J4732">
        <v>-295.4683</v>
      </c>
      <c r="K4732">
        <v>1.1101589999999999</v>
      </c>
      <c r="L4732">
        <v>214.77709999999999</v>
      </c>
      <c r="M4732">
        <v>0.99988589999999999</v>
      </c>
      <c r="N4732">
        <v>0</v>
      </c>
      <c r="O4732">
        <v>-5.5916739999999996E-3</v>
      </c>
      <c r="P4732">
        <v>0.99924579999999996</v>
      </c>
      <c r="Q4732">
        <v>-7.36767699999999E-3</v>
      </c>
      <c r="R4732">
        <v>-3.8130160000000003E-2</v>
      </c>
      <c r="S4732">
        <v>3.0007929999999998</v>
      </c>
      <c r="T4732">
        <v>-5.7518480000000004E-3</v>
      </c>
      <c r="U4732">
        <v>-3.6880490000000002E-2</v>
      </c>
      <c r="V4732">
        <v>3.2543059999999999E-2</v>
      </c>
      <c r="W4732">
        <v>6.6483169999999999E-3</v>
      </c>
      <c r="X4732">
        <v>0.99944820000000001</v>
      </c>
      <c r="Y4732">
        <v>6.6973220000000003E-3</v>
      </c>
      <c r="Z4732" s="1">
        <v>4.3001100000000004E-6</v>
      </c>
      <c r="AA4732">
        <v>0.99997760000000002</v>
      </c>
      <c r="AB4732">
        <v>27</v>
      </c>
      <c r="AC4732">
        <v>188.07079999999999</v>
      </c>
      <c r="AD4732">
        <v>-0.36105179999999998</v>
      </c>
      <c r="AE4732">
        <v>-2.31309999999996</v>
      </c>
      <c r="AF4732">
        <v>1.2613250215984799</v>
      </c>
      <c r="AG4732">
        <v>-0.36105179999999998</v>
      </c>
      <c r="AH4732">
        <v>188.08010152080499</v>
      </c>
      <c r="AI4732">
        <v>90.109986402466504</v>
      </c>
      <c r="AJ4732">
        <v>89.615762027151803</v>
      </c>
      <c r="AK4732">
        <v>188.08467743888301</v>
      </c>
      <c r="AL4732">
        <v>89.619076680354098</v>
      </c>
      <c r="AM4732">
        <v>88.135049466292998</v>
      </c>
      <c r="AN4732">
        <v>0.99999997767816695</v>
      </c>
    </row>
    <row r="4733" spans="1:40" x14ac:dyDescent="0.25">
      <c r="A4733" t="str">
        <f>"20190312154017866"</f>
        <v>20190312154017866</v>
      </c>
      <c r="B4733" t="str">
        <f>"1552376417861216"</f>
        <v>1552376417861216</v>
      </c>
      <c r="C4733" t="s">
        <v>40</v>
      </c>
      <c r="D4733">
        <v>4.134925</v>
      </c>
      <c r="E4733">
        <v>0.4883807</v>
      </c>
      <c r="F4733" t="s">
        <v>76</v>
      </c>
      <c r="G4733">
        <v>-107.39749999999999</v>
      </c>
      <c r="H4733">
        <v>0.27885480000000001</v>
      </c>
      <c r="I4733">
        <v>213.01089999999999</v>
      </c>
      <c r="J4733">
        <v>-295.19130000000001</v>
      </c>
      <c r="K4733">
        <v>1.1101570000000001</v>
      </c>
      <c r="L4733">
        <v>214.77539999999999</v>
      </c>
      <c r="M4733">
        <v>0.99988529999999998</v>
      </c>
      <c r="N4733">
        <v>0</v>
      </c>
      <c r="O4733">
        <v>-5.7072779999999997E-3</v>
      </c>
      <c r="P4733">
        <v>0.99925450000000005</v>
      </c>
      <c r="Q4733">
        <v>-7.3884930000000003E-3</v>
      </c>
      <c r="R4733">
        <v>-3.7894219999999999E-2</v>
      </c>
      <c r="S4733">
        <v>3.0010680000000001</v>
      </c>
      <c r="T4733">
        <v>-1.3264420000000001E-2</v>
      </c>
      <c r="U4733">
        <v>-2.818298E-2</v>
      </c>
      <c r="V4733">
        <v>3.2191650000000002E-2</v>
      </c>
      <c r="W4733">
        <v>6.6249519999999999E-3</v>
      </c>
      <c r="X4733">
        <v>0.99945969999999995</v>
      </c>
      <c r="Y4733">
        <v>3.6828490000000002E-3</v>
      </c>
      <c r="Z4733" s="1">
        <v>1.708844E-5</v>
      </c>
      <c r="AA4733">
        <v>0.99999320000000003</v>
      </c>
      <c r="AB4733">
        <v>27</v>
      </c>
      <c r="AC4733">
        <v>187.7938</v>
      </c>
      <c r="AD4733">
        <v>-0.83130219999999999</v>
      </c>
      <c r="AE4733">
        <v>-1.76449999999999</v>
      </c>
      <c r="AF4733">
        <v>0.69256077618351897</v>
      </c>
      <c r="AG4733">
        <v>-0.83130219999999999</v>
      </c>
      <c r="AH4733">
        <v>187.79713270491101</v>
      </c>
      <c r="AI4733">
        <v>90.253621937156794</v>
      </c>
      <c r="AJ4733">
        <v>89.7887048163321</v>
      </c>
      <c r="AK4733">
        <v>187.800249616348</v>
      </c>
      <c r="AL4733">
        <v>89.620415412258097</v>
      </c>
      <c r="AM4733">
        <v>88.155194998071195</v>
      </c>
      <c r="AN4733">
        <v>0.99999994212140497</v>
      </c>
    </row>
    <row r="4734" spans="1:40" x14ac:dyDescent="0.25">
      <c r="A4734" t="str">
        <f>"20190312154017888"</f>
        <v>20190312154017888</v>
      </c>
      <c r="B4734" t="str">
        <f>"1552376417880736"</f>
        <v>1552376417880736</v>
      </c>
      <c r="C4734" t="s">
        <v>40</v>
      </c>
      <c r="D4734">
        <v>4.1486739999999998</v>
      </c>
      <c r="E4734">
        <v>0.48820649999999999</v>
      </c>
      <c r="F4734" t="s">
        <v>43</v>
      </c>
      <c r="G4734">
        <v>-127.5117</v>
      </c>
      <c r="H4734">
        <v>-0.05</v>
      </c>
      <c r="I4734">
        <v>213.59209999999999</v>
      </c>
      <c r="J4734">
        <v>-294.91739999999999</v>
      </c>
      <c r="K4734">
        <v>1.11015</v>
      </c>
      <c r="L4734">
        <v>214.77369999999999</v>
      </c>
      <c r="M4734">
        <v>0.99988469999999996</v>
      </c>
      <c r="N4734">
        <v>0</v>
      </c>
      <c r="O4734">
        <v>-5.8220479999999998E-3</v>
      </c>
      <c r="P4734">
        <v>0.99926300000000001</v>
      </c>
      <c r="Q4734">
        <v>-7.2112369999999997E-3</v>
      </c>
      <c r="R4734">
        <v>-3.7700280000000003E-2</v>
      </c>
      <c r="S4734">
        <v>3.0012819999999998</v>
      </c>
      <c r="T4734">
        <v>-2.0765539999999999E-2</v>
      </c>
      <c r="U4734">
        <v>-2.1179199999999999E-2</v>
      </c>
      <c r="V4734">
        <v>3.18832E-2</v>
      </c>
      <c r="W4734">
        <v>6.7994709999999996E-3</v>
      </c>
      <c r="X4734">
        <v>0.99946840000000003</v>
      </c>
      <c r="Y4734">
        <v>1.234057E-3</v>
      </c>
      <c r="Z4734" s="1">
        <v>3.6015669999999999E-5</v>
      </c>
      <c r="AA4734">
        <v>0.99999919999999998</v>
      </c>
      <c r="AB4734">
        <v>27</v>
      </c>
      <c r="AC4734">
        <v>167.405699999999</v>
      </c>
      <c r="AD4734">
        <v>-1.16015</v>
      </c>
      <c r="AE4734">
        <v>-1.1816</v>
      </c>
      <c r="AF4734">
        <v>0.206830150392184</v>
      </c>
      <c r="AG4734">
        <v>-1.16015</v>
      </c>
      <c r="AH4734">
        <v>167.40170276971</v>
      </c>
      <c r="AI4734">
        <v>90.397072327208505</v>
      </c>
      <c r="AJ4734">
        <v>89.929209270471006</v>
      </c>
      <c r="AK4734">
        <v>167.40585060544299</v>
      </c>
      <c r="AL4734">
        <v>89.610415978342203</v>
      </c>
      <c r="AM4734">
        <v>88.172875178570195</v>
      </c>
      <c r="AN4734">
        <v>0.99999992692333695</v>
      </c>
    </row>
    <row r="4735" spans="1:40" x14ac:dyDescent="0.25">
      <c r="A4735" t="str">
        <f>"20190312154017910"</f>
        <v>20190312154017910</v>
      </c>
      <c r="B4735" t="str">
        <f>"1552376417901231"</f>
        <v>1552376417901231</v>
      </c>
      <c r="C4735" t="s">
        <v>40</v>
      </c>
      <c r="D4735">
        <v>4.1270870000000004</v>
      </c>
      <c r="E4735">
        <v>0.48800729999999998</v>
      </c>
      <c r="F4735" t="s">
        <v>43</v>
      </c>
      <c r="G4735">
        <v>-140.7653</v>
      </c>
      <c r="H4735">
        <v>-0.05</v>
      </c>
      <c r="I4735">
        <v>213.7988</v>
      </c>
      <c r="J4735">
        <v>-294.65660000000003</v>
      </c>
      <c r="K4735">
        <v>1.1101529999999999</v>
      </c>
      <c r="L4735">
        <v>214.77209999999999</v>
      </c>
      <c r="M4735">
        <v>0.9998842</v>
      </c>
      <c r="N4735">
        <v>0</v>
      </c>
      <c r="O4735">
        <v>-5.9312159999999996E-3</v>
      </c>
      <c r="P4735">
        <v>0.99926649999999995</v>
      </c>
      <c r="Q4735">
        <v>-7.3877140000000001E-3</v>
      </c>
      <c r="R4735">
        <v>-3.7576730000000003E-2</v>
      </c>
      <c r="S4735">
        <v>3.0013429999999999</v>
      </c>
      <c r="T4735">
        <v>-2.2588130000000001E-2</v>
      </c>
      <c r="U4735">
        <v>-1.8981930000000001E-2</v>
      </c>
      <c r="V4735">
        <v>3.1650270000000001E-2</v>
      </c>
      <c r="W4735">
        <v>6.6201849999999998E-3</v>
      </c>
      <c r="X4735">
        <v>0.99947710000000001</v>
      </c>
      <c r="Y4735">
        <v>3.9271949999999999E-4</v>
      </c>
      <c r="Z4735" s="1">
        <v>4.3163520000000002E-5</v>
      </c>
      <c r="AA4735">
        <v>0.99999990000000005</v>
      </c>
      <c r="AB4735">
        <v>27</v>
      </c>
      <c r="AC4735">
        <v>153.8913</v>
      </c>
      <c r="AD4735">
        <v>-1.160153</v>
      </c>
      <c r="AE4735">
        <v>-0.97329999999999395</v>
      </c>
      <c r="AF4735">
        <v>6.0427251704553098E-2</v>
      </c>
      <c r="AG4735">
        <v>-1.160153</v>
      </c>
      <c r="AH4735">
        <v>153.88562049983301</v>
      </c>
      <c r="AI4735">
        <v>90.431948130231206</v>
      </c>
      <c r="AJ4735">
        <v>89.977501300634501</v>
      </c>
      <c r="AK4735">
        <v>153.890005533351</v>
      </c>
      <c r="AL4735">
        <v>89.620688576759605</v>
      </c>
      <c r="AM4735">
        <v>88.186230484949704</v>
      </c>
      <c r="AN4735">
        <v>1.0000000199324499</v>
      </c>
    </row>
    <row r="4736" spans="1:40" x14ac:dyDescent="0.25">
      <c r="A4736" t="str">
        <f>"20190312154017932"</f>
        <v>20190312154017932</v>
      </c>
      <c r="B4736" t="str">
        <f>"1552376417920753"</f>
        <v>1552376417920753</v>
      </c>
      <c r="C4736" t="s">
        <v>40</v>
      </c>
      <c r="D4736">
        <v>4.1247579999999999</v>
      </c>
      <c r="E4736">
        <v>0.48794399999999899</v>
      </c>
      <c r="F4736" t="s">
        <v>43</v>
      </c>
      <c r="G4736">
        <v>-146.80879999999999</v>
      </c>
      <c r="H4736">
        <v>-0.05</v>
      </c>
      <c r="I4736">
        <v>213.92949999999999</v>
      </c>
      <c r="J4736">
        <v>-294.38589999999999</v>
      </c>
      <c r="K4736">
        <v>1.110152</v>
      </c>
      <c r="L4736">
        <v>214.77029999999999</v>
      </c>
      <c r="M4736">
        <v>0.99988350000000004</v>
      </c>
      <c r="N4736">
        <v>0</v>
      </c>
      <c r="O4736">
        <v>-6.0446750000000002E-3</v>
      </c>
      <c r="P4736">
        <v>0.99927929999999998</v>
      </c>
      <c r="Q4736">
        <v>-7.3468090000000002E-3</v>
      </c>
      <c r="R4736">
        <v>-3.7240170000000003E-2</v>
      </c>
      <c r="S4736">
        <v>3.0013730000000001</v>
      </c>
      <c r="T4736">
        <v>-2.3551579999999999E-2</v>
      </c>
      <c r="U4736">
        <v>-1.7105099999999901E-2</v>
      </c>
      <c r="V4736">
        <v>3.1200240000000001E-2</v>
      </c>
      <c r="W4736">
        <v>6.6583299999999996E-3</v>
      </c>
      <c r="X4736">
        <v>0.99949100000000002</v>
      </c>
      <c r="Y4736">
        <v>-3.4607829999999998E-4</v>
      </c>
      <c r="Z4736" s="1">
        <v>4.8793099999999999E-5</v>
      </c>
      <c r="AA4736">
        <v>0.99999990000000005</v>
      </c>
      <c r="AB4736">
        <v>27</v>
      </c>
      <c r="AC4736">
        <v>147.5771</v>
      </c>
      <c r="AD4736">
        <v>-1.1601520000000001</v>
      </c>
      <c r="AE4736">
        <v>-0.84080000000000099</v>
      </c>
      <c r="AF4736">
        <v>-5.1355431359173503E-2</v>
      </c>
      <c r="AG4736">
        <v>-1.1601520000000001</v>
      </c>
      <c r="AH4736">
        <v>147.57036659118299</v>
      </c>
      <c r="AI4736">
        <v>90.4504321653462</v>
      </c>
      <c r="AJ4736">
        <v>90.019939296900404</v>
      </c>
      <c r="AK4736">
        <v>147.57493583227401</v>
      </c>
      <c r="AL4736">
        <v>89.618502982563001</v>
      </c>
      <c r="AM4736">
        <v>88.212028165265806</v>
      </c>
      <c r="AN4736">
        <v>1.00000002370772</v>
      </c>
    </row>
    <row r="4737" spans="1:40" x14ac:dyDescent="0.25">
      <c r="A4737" t="str">
        <f>"20190312154017955"</f>
        <v>20190312154017955</v>
      </c>
      <c r="B4737" t="str">
        <f>"1552376417951009"</f>
        <v>1552376417951009</v>
      </c>
      <c r="C4737" t="s">
        <v>40</v>
      </c>
      <c r="D4737">
        <v>4.1044780000000003</v>
      </c>
      <c r="E4737">
        <v>0.4877205</v>
      </c>
      <c r="F4737" t="s">
        <v>43</v>
      </c>
      <c r="G4737">
        <v>-152.0635</v>
      </c>
      <c r="H4737">
        <v>-0.05</v>
      </c>
      <c r="I4737">
        <v>214.0352</v>
      </c>
      <c r="J4737">
        <v>-294.11239999999998</v>
      </c>
      <c r="K4737">
        <v>1.1101540000000001</v>
      </c>
      <c r="L4737">
        <v>214.76849999999999</v>
      </c>
      <c r="M4737">
        <v>0.99988290000000002</v>
      </c>
      <c r="N4737">
        <v>0</v>
      </c>
      <c r="O4737">
        <v>-6.1594419999999898E-3</v>
      </c>
      <c r="P4737">
        <v>0.99928159999999999</v>
      </c>
      <c r="Q4737">
        <v>-7.2998799999999999E-3</v>
      </c>
      <c r="R4737">
        <v>-3.7194339999999999E-2</v>
      </c>
      <c r="S4737">
        <v>3.001404</v>
      </c>
      <c r="T4737">
        <v>-2.4466160000000001E-2</v>
      </c>
      <c r="U4737">
        <v>-1.550293E-2</v>
      </c>
      <c r="V4737">
        <v>3.1039629999999999E-2</v>
      </c>
      <c r="W4737">
        <v>6.7026759999999899E-3</v>
      </c>
      <c r="X4737">
        <v>0.99949569999999999</v>
      </c>
      <c r="Y4737">
        <v>-9.9466719999999993E-4</v>
      </c>
      <c r="Z4737" s="1">
        <v>5.4266420000000001E-5</v>
      </c>
      <c r="AA4737">
        <v>0.99999950000000004</v>
      </c>
      <c r="AB4737">
        <v>27</v>
      </c>
      <c r="AC4737">
        <v>142.04889999999901</v>
      </c>
      <c r="AD4737">
        <v>-1.1601539999999999</v>
      </c>
      <c r="AE4737">
        <v>-0.73329999999998496</v>
      </c>
      <c r="AF4737">
        <v>-0.141732285123609</v>
      </c>
      <c r="AG4737">
        <v>-1.1601539999999999</v>
      </c>
      <c r="AH4737">
        <v>142.04124748383899</v>
      </c>
      <c r="AI4737">
        <v>90.467965592950605</v>
      </c>
      <c r="AJ4737">
        <v>90.057171133083202</v>
      </c>
      <c r="AK4737">
        <v>142.04605602447899</v>
      </c>
      <c r="AL4737">
        <v>89.615962085633598</v>
      </c>
      <c r="AM4737">
        <v>88.221234568894005</v>
      </c>
      <c r="AN4737">
        <v>1.00000001940729</v>
      </c>
    </row>
    <row r="4738" spans="1:40" x14ac:dyDescent="0.25">
      <c r="A4738" t="str">
        <f>"20190312154017978"</f>
        <v>20190312154017978</v>
      </c>
      <c r="B4738" t="str">
        <f>"1552376417970528"</f>
        <v>1552376417970528</v>
      </c>
      <c r="C4738" t="s">
        <v>40</v>
      </c>
      <c r="D4738">
        <v>4.0987839999999904</v>
      </c>
      <c r="E4738">
        <v>0.48749209999999898</v>
      </c>
      <c r="F4738" t="s">
        <v>43</v>
      </c>
      <c r="G4738">
        <v>-149.0283</v>
      </c>
      <c r="H4738">
        <v>-0.05</v>
      </c>
      <c r="I4738">
        <v>214.10910000000001</v>
      </c>
      <c r="J4738">
        <v>-293.84100000000001</v>
      </c>
      <c r="K4738">
        <v>1.110161</v>
      </c>
      <c r="L4738">
        <v>214.76679999999999</v>
      </c>
      <c r="M4738">
        <v>0.9998821</v>
      </c>
      <c r="N4738">
        <v>0</v>
      </c>
      <c r="O4738">
        <v>-6.2732600000000001E-3</v>
      </c>
      <c r="P4738">
        <v>0.99927949999999999</v>
      </c>
      <c r="Q4738">
        <v>-6.9756009999999997E-3</v>
      </c>
      <c r="R4738">
        <v>-3.7311909999999997E-2</v>
      </c>
      <c r="S4738">
        <v>3.0014949999999998</v>
      </c>
      <c r="T4738">
        <v>-2.400124E-2</v>
      </c>
      <c r="U4738">
        <v>-1.364136E-2</v>
      </c>
      <c r="V4738">
        <v>3.1043399999999999E-2</v>
      </c>
      <c r="W4738">
        <v>7.0245330000000003E-3</v>
      </c>
      <c r="X4738">
        <v>0.99949339999999998</v>
      </c>
      <c r="Y4738">
        <v>-1.7288379999999999E-3</v>
      </c>
      <c r="Z4738" s="1">
        <v>5.7079230000000003E-5</v>
      </c>
      <c r="AA4738">
        <v>0.99999850000000001</v>
      </c>
      <c r="AB4738">
        <v>27</v>
      </c>
      <c r="AC4738">
        <v>144.81270000000001</v>
      </c>
      <c r="AD4738">
        <v>-1.160161</v>
      </c>
      <c r="AE4738">
        <v>-0.65769999999997697</v>
      </c>
      <c r="AF4738">
        <v>-0.25083380090177299</v>
      </c>
      <c r="AG4738">
        <v>-1.160161</v>
      </c>
      <c r="AH4738">
        <v>144.80468240023399</v>
      </c>
      <c r="AI4738">
        <v>90.459037689858903</v>
      </c>
      <c r="AJ4738">
        <v>90.099248888489996</v>
      </c>
      <c r="AK4738">
        <v>144.80954711680499</v>
      </c>
      <c r="AL4738">
        <v>89.597520614802704</v>
      </c>
      <c r="AM4738">
        <v>88.221014571970102</v>
      </c>
      <c r="AN4738">
        <v>1.0000000466954899</v>
      </c>
    </row>
    <row r="4739" spans="1:40" x14ac:dyDescent="0.25">
      <c r="A4739" t="str">
        <f>"20190312154018000"</f>
        <v>20190312154018000</v>
      </c>
      <c r="B4739" t="str">
        <f>"1552376417991025"</f>
        <v>1552376417991025</v>
      </c>
      <c r="C4739" t="s">
        <v>40</v>
      </c>
      <c r="D4739">
        <v>4.0622319999999998</v>
      </c>
      <c r="E4739">
        <v>0.48736390000000002</v>
      </c>
      <c r="F4739" t="s">
        <v>43</v>
      </c>
      <c r="G4739">
        <v>-141.40700000000001</v>
      </c>
      <c r="H4739">
        <v>-0.05</v>
      </c>
      <c r="I4739">
        <v>214.15690000000001</v>
      </c>
      <c r="J4739">
        <v>-293.57420000000002</v>
      </c>
      <c r="K4739">
        <v>1.110163</v>
      </c>
      <c r="L4739">
        <v>214.76499999999999</v>
      </c>
      <c r="M4739">
        <v>0.99988160000000004</v>
      </c>
      <c r="N4739">
        <v>0</v>
      </c>
      <c r="O4739">
        <v>-6.3855240000000001E-3</v>
      </c>
      <c r="P4739">
        <v>0.99928649999999997</v>
      </c>
      <c r="Q4739">
        <v>-6.6119719999999998E-3</v>
      </c>
      <c r="R4739">
        <v>-3.7190790000000001E-2</v>
      </c>
      <c r="S4739">
        <v>3.0015869999999998</v>
      </c>
      <c r="T4739">
        <v>-2.284479E-2</v>
      </c>
      <c r="U4739">
        <v>-1.2008670000000001E-2</v>
      </c>
      <c r="V4739">
        <v>3.0810130000000002E-2</v>
      </c>
      <c r="W4739">
        <v>7.3850119999999998E-3</v>
      </c>
      <c r="X4739">
        <v>0.999498</v>
      </c>
      <c r="Y4739">
        <v>-2.3851860000000001E-3</v>
      </c>
      <c r="Z4739" s="1">
        <v>5.7679629999999998E-5</v>
      </c>
      <c r="AA4739">
        <v>0.99999709999999997</v>
      </c>
      <c r="AB4739">
        <v>27</v>
      </c>
      <c r="AC4739">
        <v>152.16720000000001</v>
      </c>
      <c r="AD4739">
        <v>-1.1601629999999901</v>
      </c>
      <c r="AE4739">
        <v>-0.60809999999997899</v>
      </c>
      <c r="AF4739">
        <v>-0.36365381191235202</v>
      </c>
      <c r="AG4739">
        <v>-1.1601629999999901</v>
      </c>
      <c r="AH4739">
        <v>152.159135695766</v>
      </c>
      <c r="AI4739">
        <v>90.436851623929101</v>
      </c>
      <c r="AJ4739">
        <v>90.136934196297801</v>
      </c>
      <c r="AK4739">
        <v>152.163993106004</v>
      </c>
      <c r="AL4739">
        <v>89.576866146047095</v>
      </c>
      <c r="AM4739">
        <v>88.234382062825702</v>
      </c>
      <c r="AN4739">
        <v>1.00000002725842</v>
      </c>
    </row>
    <row r="4740" spans="1:40" x14ac:dyDescent="0.25">
      <c r="A4740" t="str">
        <f>"20190312154018022"</f>
        <v>20190312154018022</v>
      </c>
      <c r="B4740" t="str">
        <f>"1552376418010545"</f>
        <v>1552376418010545</v>
      </c>
      <c r="C4740" t="s">
        <v>40</v>
      </c>
      <c r="D4740">
        <v>4.0389280000000003</v>
      </c>
      <c r="E4740">
        <v>0.48726520000000001</v>
      </c>
      <c r="F4740" t="s">
        <v>43</v>
      </c>
      <c r="G4740">
        <v>-127.29819999999999</v>
      </c>
      <c r="H4740">
        <v>-0.05</v>
      </c>
      <c r="I4740">
        <v>214.16560000000001</v>
      </c>
      <c r="J4740">
        <v>-293.31790000000001</v>
      </c>
      <c r="K4740">
        <v>1.11016</v>
      </c>
      <c r="L4740">
        <v>214.76320000000001</v>
      </c>
      <c r="M4740">
        <v>0.99988089999999996</v>
      </c>
      <c r="N4740">
        <v>0</v>
      </c>
      <c r="O4740">
        <v>-6.493024E-3</v>
      </c>
      <c r="P4740">
        <v>0.99927849999999996</v>
      </c>
      <c r="Q4740">
        <v>-6.5690319999999998E-3</v>
      </c>
      <c r="R4740">
        <v>-3.741444E-2</v>
      </c>
      <c r="S4740">
        <v>3.001617</v>
      </c>
      <c r="T4740">
        <v>-2.0943280000000002E-2</v>
      </c>
      <c r="U4740">
        <v>-1.081848E-2</v>
      </c>
      <c r="V4740">
        <v>3.0926260000000001E-2</v>
      </c>
      <c r="W4740">
        <v>7.4255419999999898E-3</v>
      </c>
      <c r="X4740">
        <v>0.99949410000000005</v>
      </c>
      <c r="Y4740">
        <v>-2.8892729999999999E-3</v>
      </c>
      <c r="Z4740" s="1">
        <v>5.5386919999999903E-5</v>
      </c>
      <c r="AA4740">
        <v>0.99999579999999999</v>
      </c>
      <c r="AB4740">
        <v>27</v>
      </c>
      <c r="AC4740">
        <v>166.0197</v>
      </c>
      <c r="AD4740">
        <v>-1.1601600000000001</v>
      </c>
      <c r="AE4740">
        <v>-0.59759999999999902</v>
      </c>
      <c r="AF4740">
        <v>-0.48046470483936599</v>
      </c>
      <c r="AG4740">
        <v>-1.1601600000000001</v>
      </c>
      <c r="AH4740">
        <v>166.011973430339</v>
      </c>
      <c r="AI4740">
        <v>90.400398294898807</v>
      </c>
      <c r="AJ4740">
        <v>90.165822514862498</v>
      </c>
      <c r="AK4740">
        <v>166.016722470339</v>
      </c>
      <c r="AL4740">
        <v>89.574543878885905</v>
      </c>
      <c r="AM4740">
        <v>88.227724394668599</v>
      </c>
      <c r="AN4740">
        <v>1.0000000140831899</v>
      </c>
    </row>
    <row r="4741" spans="1:40" x14ac:dyDescent="0.25">
      <c r="A4741" t="str">
        <f>"20190312154018044"</f>
        <v>20190312154018044</v>
      </c>
      <c r="B4741" t="str">
        <f>"1552376418040801"</f>
        <v>1552376418040801</v>
      </c>
      <c r="C4741" t="s">
        <v>40</v>
      </c>
      <c r="D4741">
        <v>4.0187390000000001</v>
      </c>
      <c r="E4741">
        <v>0.47774339999999998</v>
      </c>
      <c r="F4741" t="s">
        <v>43</v>
      </c>
      <c r="G4741">
        <v>-126.2713</v>
      </c>
      <c r="H4741">
        <v>-0.05</v>
      </c>
      <c r="I4741">
        <v>214.1756</v>
      </c>
      <c r="J4741">
        <v>-293.0446</v>
      </c>
      <c r="K4741">
        <v>1.1101650000000001</v>
      </c>
      <c r="L4741">
        <v>214.76130000000001</v>
      </c>
      <c r="M4741">
        <v>0.99988010000000005</v>
      </c>
      <c r="N4741">
        <v>0</v>
      </c>
      <c r="O4741">
        <v>-6.607318E-3</v>
      </c>
      <c r="P4741">
        <v>0.99927180000000004</v>
      </c>
      <c r="Q4741">
        <v>-6.5827280000000004E-3</v>
      </c>
      <c r="R4741">
        <v>-3.7591159999999998E-2</v>
      </c>
      <c r="S4741">
        <v>3.0016479999999999</v>
      </c>
      <c r="T4741">
        <v>-2.0846839999999998E-2</v>
      </c>
      <c r="U4741">
        <v>-1.055908E-2</v>
      </c>
      <c r="V4741">
        <v>3.098882E-2</v>
      </c>
      <c r="W4741">
        <v>7.4083780000000002E-3</v>
      </c>
      <c r="X4741">
        <v>0.9994923</v>
      </c>
      <c r="Y4741">
        <v>-3.0900279999999999E-3</v>
      </c>
      <c r="Z4741" s="1">
        <v>5.6622290000000001E-5</v>
      </c>
      <c r="AA4741">
        <v>0.99999519999999997</v>
      </c>
      <c r="AB4741">
        <v>27</v>
      </c>
      <c r="AC4741">
        <v>166.77330000000001</v>
      </c>
      <c r="AD4741">
        <v>-1.1601649999999999</v>
      </c>
      <c r="AE4741">
        <v>-0.585700000000002</v>
      </c>
      <c r="AF4741">
        <v>-0.51632010384184501</v>
      </c>
      <c r="AG4741">
        <v>-1.1601649999999999</v>
      </c>
      <c r="AH4741">
        <v>166.765458895633</v>
      </c>
      <c r="AI4741">
        <v>90.398590736678699</v>
      </c>
      <c r="AJ4741">
        <v>90.177392060079001</v>
      </c>
      <c r="AK4741">
        <v>166.770293667511</v>
      </c>
      <c r="AL4741">
        <v>89.575527335059306</v>
      </c>
      <c r="AM4741">
        <v>88.224138397427893</v>
      </c>
      <c r="AN4741">
        <v>1.00000002439443</v>
      </c>
    </row>
    <row r="4742" spans="1:40" x14ac:dyDescent="0.25">
      <c r="A4742" t="str">
        <f>"20190312154018068"</f>
        <v>20190312154018068</v>
      </c>
      <c r="B4742" t="str">
        <f>"1552376418060330"</f>
        <v>1552376418060330</v>
      </c>
      <c r="C4742" t="s">
        <v>40</v>
      </c>
      <c r="D4742">
        <v>3.9440189999999999</v>
      </c>
      <c r="E4742">
        <v>0.47372029999999898</v>
      </c>
      <c r="F4742" t="s">
        <v>76</v>
      </c>
      <c r="G4742">
        <v>-107.39749999999999</v>
      </c>
      <c r="H4742">
        <v>1.6272070000000001</v>
      </c>
      <c r="I4742">
        <v>218.70959999999999</v>
      </c>
      <c r="J4742">
        <v>-292.76839999999999</v>
      </c>
      <c r="K4742">
        <v>1.110168</v>
      </c>
      <c r="L4742">
        <v>214.7593</v>
      </c>
      <c r="M4742">
        <v>0.99987950000000003</v>
      </c>
      <c r="N4742">
        <v>0</v>
      </c>
      <c r="O4742">
        <v>-6.7233969999999999E-3</v>
      </c>
      <c r="P4742">
        <v>0.99926369999999998</v>
      </c>
      <c r="Q4742">
        <v>-6.6092470000000004E-3</v>
      </c>
      <c r="R4742">
        <v>-3.7796379999999997E-2</v>
      </c>
      <c r="S4742">
        <v>3.0046689999999998</v>
      </c>
      <c r="T4742">
        <v>8.3690880000000002E-3</v>
      </c>
      <c r="U4742">
        <v>6.3903810000000005E-2</v>
      </c>
      <c r="V4742">
        <v>3.1078229999999998E-2</v>
      </c>
      <c r="W4742">
        <v>7.3792909999999996E-3</v>
      </c>
      <c r="X4742">
        <v>0.99948970000000004</v>
      </c>
      <c r="Y4742">
        <v>-2.7985280000000001E-2</v>
      </c>
      <c r="Z4742" s="1">
        <v>-5.7697079999999999E-5</v>
      </c>
      <c r="AA4742">
        <v>0.99960830000000001</v>
      </c>
      <c r="AB4742">
        <v>27</v>
      </c>
      <c r="AC4742">
        <v>185.37090000000001</v>
      </c>
      <c r="AD4742">
        <v>0.51703900000000003</v>
      </c>
      <c r="AE4742">
        <v>3.9502999999999902</v>
      </c>
      <c r="AF4742">
        <v>-5.1966144611041596</v>
      </c>
      <c r="AG4742">
        <v>0.51703900000000003</v>
      </c>
      <c r="AH4742">
        <v>185.338706110256</v>
      </c>
      <c r="AI4742">
        <v>89.8402252898738</v>
      </c>
      <c r="AJ4742">
        <v>91.606065430022099</v>
      </c>
      <c r="AK4742">
        <v>185.412265273386</v>
      </c>
      <c r="AL4742">
        <v>89.577193926409805</v>
      </c>
      <c r="AM4742">
        <v>88.219013286119207</v>
      </c>
      <c r="AN4742">
        <v>0.999999985360842</v>
      </c>
    </row>
    <row r="4743" spans="1:40" x14ac:dyDescent="0.25">
      <c r="A4743" t="str">
        <f>"20190312154018090"</f>
        <v>20190312154018090</v>
      </c>
      <c r="B4743" t="str">
        <f>"1552376418080816"</f>
        <v>1552376418080816</v>
      </c>
      <c r="C4743" t="s">
        <v>40</v>
      </c>
      <c r="D4743">
        <v>3.815016</v>
      </c>
      <c r="E4743">
        <v>0.4727922</v>
      </c>
      <c r="F4743" t="s">
        <v>80</v>
      </c>
      <c r="G4743">
        <v>-157.8382</v>
      </c>
      <c r="H4743">
        <v>1.5550630000000001</v>
      </c>
      <c r="I4743">
        <v>219.0266</v>
      </c>
      <c r="J4743">
        <v>-292.50099999999998</v>
      </c>
      <c r="K4743">
        <v>1.1101650000000001</v>
      </c>
      <c r="L4743">
        <v>214.75739999999999</v>
      </c>
      <c r="M4743">
        <v>0.99987859999999995</v>
      </c>
      <c r="N4743">
        <v>0</v>
      </c>
      <c r="O4743">
        <v>-6.8355419999999896E-3</v>
      </c>
      <c r="P4743">
        <v>0.99925430000000004</v>
      </c>
      <c r="Q4743">
        <v>-6.1979670000000004E-3</v>
      </c>
      <c r="R4743">
        <v>-3.8113260000000003E-2</v>
      </c>
      <c r="S4743">
        <v>3.0058590000000001</v>
      </c>
      <c r="T4743">
        <v>9.9122519999999999E-3</v>
      </c>
      <c r="U4743">
        <v>9.5062259999999996E-2</v>
      </c>
      <c r="V4743">
        <v>3.1283129999999999E-2</v>
      </c>
      <c r="W4743">
        <v>7.7869749999999998E-3</v>
      </c>
      <c r="X4743">
        <v>0.99948020000000004</v>
      </c>
      <c r="Y4743">
        <v>-3.8441660000000002E-2</v>
      </c>
      <c r="Z4743" s="1">
        <v>-8.5905589999999999E-5</v>
      </c>
      <c r="AA4743">
        <v>0.99926079999999995</v>
      </c>
      <c r="AB4743">
        <v>27</v>
      </c>
      <c r="AC4743">
        <v>134.66279999999901</v>
      </c>
      <c r="AD4743">
        <v>0.44489799999999902</v>
      </c>
      <c r="AE4743">
        <v>4.2692000000000103</v>
      </c>
      <c r="AF4743">
        <v>-5.1896271274686603</v>
      </c>
      <c r="AG4743">
        <v>0.44489799999999902</v>
      </c>
      <c r="AH4743">
        <v>134.62900014770801</v>
      </c>
      <c r="AI4743">
        <v>89.810800291398905</v>
      </c>
      <c r="AJ4743">
        <v>92.207522794336199</v>
      </c>
      <c r="AK4743">
        <v>134.72972146013001</v>
      </c>
      <c r="AL4743">
        <v>89.553834675154903</v>
      </c>
      <c r="AM4743">
        <v>88.207261778737504</v>
      </c>
      <c r="AN4743">
        <v>0.99999997069714297</v>
      </c>
    </row>
    <row r="4744" spans="1:40" x14ac:dyDescent="0.25">
      <c r="A4744" t="str">
        <f>"20190312154018111"</f>
        <v>20190312154018111</v>
      </c>
      <c r="B4744" t="str">
        <f>"1552376418100336"</f>
        <v>1552376418100336</v>
      </c>
      <c r="C4744" t="s">
        <v>40</v>
      </c>
      <c r="D4744">
        <v>3.878495</v>
      </c>
      <c r="E4744">
        <v>0.47248649999999998</v>
      </c>
      <c r="F4744" t="s">
        <v>80</v>
      </c>
      <c r="G4744">
        <v>-157.8382</v>
      </c>
      <c r="H4744">
        <v>1.9652970000000001</v>
      </c>
      <c r="I4744">
        <v>219.2953</v>
      </c>
      <c r="J4744">
        <v>-292.2439</v>
      </c>
      <c r="K4744">
        <v>1.1101669999999999</v>
      </c>
      <c r="L4744">
        <v>214.75550000000001</v>
      </c>
      <c r="M4744">
        <v>0.99987800000000004</v>
      </c>
      <c r="N4744">
        <v>0</v>
      </c>
      <c r="O4744">
        <v>-6.9435169999999997E-3</v>
      </c>
      <c r="P4744">
        <v>0.99925330000000001</v>
      </c>
      <c r="Q4744">
        <v>-5.7476819999999996E-3</v>
      </c>
      <c r="R4744">
        <v>-3.8214129999999999E-2</v>
      </c>
      <c r="S4744">
        <v>3.006195</v>
      </c>
      <c r="T4744">
        <v>1.9091130000000001E-2</v>
      </c>
      <c r="U4744">
        <v>0.10130309999999999</v>
      </c>
      <c r="V4744">
        <v>3.1276129999999999E-2</v>
      </c>
      <c r="W4744">
        <v>8.2351869999999997E-3</v>
      </c>
      <c r="X4744">
        <v>0.9994769</v>
      </c>
      <c r="Y4744">
        <v>-4.0617479999999997E-2</v>
      </c>
      <c r="Z4744">
        <v>-1.7302260000000001E-4</v>
      </c>
      <c r="AA4744">
        <v>0.99917480000000003</v>
      </c>
      <c r="AB4744">
        <v>27</v>
      </c>
      <c r="AC4744">
        <v>134.4057</v>
      </c>
      <c r="AD4744">
        <v>0.85512999999999995</v>
      </c>
      <c r="AE4744">
        <v>4.5397999999999801</v>
      </c>
      <c r="AF4744">
        <v>-5.4728088874463801</v>
      </c>
      <c r="AG4744">
        <v>0.85512999999999995</v>
      </c>
      <c r="AH4744">
        <v>134.36550127719499</v>
      </c>
      <c r="AI4744">
        <v>89.635664745546194</v>
      </c>
      <c r="AJ4744">
        <v>92.332411353567693</v>
      </c>
      <c r="AK4744">
        <v>134.47962975078201</v>
      </c>
      <c r="AL4744">
        <v>89.528153228808094</v>
      </c>
      <c r="AM4744">
        <v>88.207656751188594</v>
      </c>
      <c r="AN4744">
        <v>1.00000004412315</v>
      </c>
    </row>
    <row r="4745" spans="1:40" x14ac:dyDescent="0.25">
      <c r="A4745" t="str">
        <f>"20190312154018133"</f>
        <v>20190312154018133</v>
      </c>
      <c r="B4745" t="str">
        <f>"1552376418131190"</f>
        <v>1552376418131190</v>
      </c>
      <c r="C4745" t="s">
        <v>40</v>
      </c>
      <c r="D4745">
        <v>3.8432719999999998</v>
      </c>
      <c r="E4745">
        <v>0.47231869999999998</v>
      </c>
      <c r="F4745" t="s">
        <v>80</v>
      </c>
      <c r="G4745">
        <v>-157.8382</v>
      </c>
      <c r="H4745">
        <v>2.3261859999999999</v>
      </c>
      <c r="I4745">
        <v>219.3664</v>
      </c>
      <c r="J4745">
        <v>-291.98669999999998</v>
      </c>
      <c r="K4745">
        <v>1.1101730000000001</v>
      </c>
      <c r="L4745">
        <v>214.75360000000001</v>
      </c>
      <c r="M4745">
        <v>0.99987740000000003</v>
      </c>
      <c r="N4745">
        <v>0</v>
      </c>
      <c r="O4745">
        <v>-7.0518480000000003E-3</v>
      </c>
      <c r="P4745">
        <v>0.99924729999999995</v>
      </c>
      <c r="Q4745">
        <v>-5.7053069999999997E-3</v>
      </c>
      <c r="R4745">
        <v>-3.8377340000000003E-2</v>
      </c>
      <c r="S4745">
        <v>3.006348</v>
      </c>
      <c r="T4745">
        <v>2.7200820000000001E-2</v>
      </c>
      <c r="U4745">
        <v>0.103134199999999</v>
      </c>
      <c r="V4745">
        <v>3.1331129999999999E-2</v>
      </c>
      <c r="W4745">
        <v>8.2742860000000005E-3</v>
      </c>
      <c r="X4745">
        <v>0.9994748</v>
      </c>
      <c r="Y4745">
        <v>-4.1330859999999997E-2</v>
      </c>
      <c r="Z4745">
        <v>-2.5070920000000002E-4</v>
      </c>
      <c r="AA4745">
        <v>0.99914550000000002</v>
      </c>
      <c r="AB4745">
        <v>27</v>
      </c>
      <c r="AC4745">
        <v>134.14849999999899</v>
      </c>
      <c r="AD4745">
        <v>1.216013</v>
      </c>
      <c r="AE4745">
        <v>4.6127999999999902</v>
      </c>
      <c r="AF4745">
        <v>-5.5583163990094704</v>
      </c>
      <c r="AG4745">
        <v>1.216013</v>
      </c>
      <c r="AH4745">
        <v>134.10162595472099</v>
      </c>
      <c r="AI4745">
        <v>89.480910565640301</v>
      </c>
      <c r="AJ4745">
        <v>92.3734677509443</v>
      </c>
      <c r="AK4745">
        <v>134.22227703517601</v>
      </c>
      <c r="AL4745">
        <v>89.525912919081506</v>
      </c>
      <c r="AM4745">
        <v>88.204503153779598</v>
      </c>
      <c r="AN4745">
        <v>0.999999989675463</v>
      </c>
    </row>
    <row r="4746" spans="1:40" x14ac:dyDescent="0.25">
      <c r="A4746" t="str">
        <f>"20190312154018156"</f>
        <v>20190312154018156</v>
      </c>
      <c r="B4746" t="str">
        <f>"1552376418150711"</f>
        <v>1552376418150711</v>
      </c>
      <c r="C4746" t="s">
        <v>40</v>
      </c>
      <c r="D4746">
        <v>3.9162599999999999</v>
      </c>
      <c r="E4746">
        <v>0.47210560000000001</v>
      </c>
      <c r="F4746" t="s">
        <v>80</v>
      </c>
      <c r="G4746">
        <v>-157.8382</v>
      </c>
      <c r="H4746">
        <v>2.3462779999999999</v>
      </c>
      <c r="I4746">
        <v>219.39500000000001</v>
      </c>
      <c r="J4746">
        <v>-291.71109999999999</v>
      </c>
      <c r="K4746">
        <v>1.110169</v>
      </c>
      <c r="L4746">
        <v>214.75149999999999</v>
      </c>
      <c r="M4746">
        <v>0.99987649999999995</v>
      </c>
      <c r="N4746">
        <v>0</v>
      </c>
      <c r="O4746">
        <v>-7.1674499999999997E-3</v>
      </c>
      <c r="P4746">
        <v>0.99925870000000006</v>
      </c>
      <c r="Q4746">
        <v>-5.3644850000000004E-3</v>
      </c>
      <c r="R4746">
        <v>-3.8125029999999997E-2</v>
      </c>
      <c r="S4746">
        <v>3.0064389999999999</v>
      </c>
      <c r="T4746">
        <v>2.7703999999999999E-2</v>
      </c>
      <c r="U4746">
        <v>0.10401920000000001</v>
      </c>
      <c r="V4746">
        <v>3.0963259999999999E-2</v>
      </c>
      <c r="W4746">
        <v>8.6128290000000007E-3</v>
      </c>
      <c r="X4746">
        <v>0.99948340000000002</v>
      </c>
      <c r="Y4746">
        <v>-4.173901E-2</v>
      </c>
      <c r="Z4746">
        <v>-2.582827E-4</v>
      </c>
      <c r="AA4746">
        <v>0.99912849999999997</v>
      </c>
      <c r="AB4746">
        <v>27</v>
      </c>
      <c r="AC4746">
        <v>133.87289999999999</v>
      </c>
      <c r="AD4746">
        <v>1.2361089999999999</v>
      </c>
      <c r="AE4746">
        <v>4.6435000000000102</v>
      </c>
      <c r="AF4746">
        <v>-5.6025248015609899</v>
      </c>
      <c r="AG4746">
        <v>1.2361089999999999</v>
      </c>
      <c r="AH4746">
        <v>133.82477955102999</v>
      </c>
      <c r="AI4746">
        <v>89.471250115024006</v>
      </c>
      <c r="AJ4746">
        <v>92.397266709018993</v>
      </c>
      <c r="AK4746">
        <v>133.94770573434101</v>
      </c>
      <c r="AL4746">
        <v>89.5065151402043</v>
      </c>
      <c r="AM4746">
        <v>88.225586425261696</v>
      </c>
      <c r="AN4746">
        <v>0.99999998558438496</v>
      </c>
    </row>
    <row r="4747" spans="1:40" x14ac:dyDescent="0.25">
      <c r="A4747" t="str">
        <f>"20190312154018179"</f>
        <v>20190312154018179</v>
      </c>
      <c r="B4747" t="str">
        <f>"1552376418171207"</f>
        <v>1552376418171207</v>
      </c>
      <c r="C4747" t="s">
        <v>40</v>
      </c>
      <c r="D4747">
        <v>3.8775249999999999</v>
      </c>
      <c r="E4747">
        <v>0.47202240000000001</v>
      </c>
      <c r="F4747" t="s">
        <v>80</v>
      </c>
      <c r="G4747">
        <v>-157.8382</v>
      </c>
      <c r="H4747">
        <v>2.188259</v>
      </c>
      <c r="I4747">
        <v>219.5009</v>
      </c>
      <c r="J4747">
        <v>-291.4402</v>
      </c>
      <c r="K4747">
        <v>1.1101719999999999</v>
      </c>
      <c r="L4747">
        <v>214.74950000000001</v>
      </c>
      <c r="M4747">
        <v>0.99987570000000003</v>
      </c>
      <c r="N4747">
        <v>0</v>
      </c>
      <c r="O4747">
        <v>-7.280791E-3</v>
      </c>
      <c r="P4747">
        <v>0.99926809999999999</v>
      </c>
      <c r="Q4747">
        <v>-5.4111990000000002E-3</v>
      </c>
      <c r="R4747">
        <v>-3.7867320000000003E-2</v>
      </c>
      <c r="S4747">
        <v>3.0064389999999999</v>
      </c>
      <c r="T4747">
        <v>2.4212359999999999E-2</v>
      </c>
      <c r="U4747">
        <v>0.1066589</v>
      </c>
      <c r="V4747">
        <v>3.059222E-2</v>
      </c>
      <c r="W4747">
        <v>8.5632390000000003E-3</v>
      </c>
      <c r="X4747">
        <v>0.99949529999999998</v>
      </c>
      <c r="Y4747">
        <v>-4.2728889999999999E-2</v>
      </c>
      <c r="Z4747">
        <v>-2.3062540000000001E-4</v>
      </c>
      <c r="AA4747">
        <v>0.99908669999999999</v>
      </c>
      <c r="AB4747">
        <v>27</v>
      </c>
      <c r="AC4747">
        <v>133.602</v>
      </c>
      <c r="AD4747">
        <v>1.078087</v>
      </c>
      <c r="AE4747">
        <v>4.7513999999999896</v>
      </c>
      <c r="AF4747">
        <v>-5.7237251815196704</v>
      </c>
      <c r="AG4747">
        <v>1.078087</v>
      </c>
      <c r="AH4747">
        <v>133.55517533807901</v>
      </c>
      <c r="AI4747">
        <v>89.537929930860201</v>
      </c>
      <c r="AJ4747">
        <v>92.454002535464198</v>
      </c>
      <c r="AK4747">
        <v>133.682116085579</v>
      </c>
      <c r="AL4747">
        <v>89.509356566420394</v>
      </c>
      <c r="AM4747">
        <v>88.246857149138506</v>
      </c>
      <c r="AN4747">
        <v>1.00000003385439</v>
      </c>
    </row>
    <row r="4748" spans="1:40" x14ac:dyDescent="0.25">
      <c r="A4748" t="str">
        <f>"20190312154018201"</f>
        <v>20190312154018201</v>
      </c>
      <c r="B4748" t="str">
        <f>"1552376418190727"</f>
        <v>1552376418190727</v>
      </c>
      <c r="C4748" t="s">
        <v>40</v>
      </c>
      <c r="D4748">
        <v>3.8736109999999999</v>
      </c>
      <c r="E4748">
        <v>0.47202290000000002</v>
      </c>
      <c r="F4748" t="s">
        <v>80</v>
      </c>
      <c r="G4748">
        <v>-157.8382</v>
      </c>
      <c r="H4748">
        <v>2.1929509999999999</v>
      </c>
      <c r="I4748">
        <v>219.55289999999999</v>
      </c>
      <c r="J4748">
        <v>-291.17899999999997</v>
      </c>
      <c r="K4748">
        <v>1.1101730000000001</v>
      </c>
      <c r="L4748">
        <v>214.7475</v>
      </c>
      <c r="M4748">
        <v>0.99987510000000002</v>
      </c>
      <c r="N4748">
        <v>0</v>
      </c>
      <c r="O4748">
        <v>-7.3907929999999997E-3</v>
      </c>
      <c r="P4748">
        <v>0.99926879999999996</v>
      </c>
      <c r="Q4748">
        <v>-5.4748779999999999E-3</v>
      </c>
      <c r="R4748">
        <v>-3.7843719999999997E-2</v>
      </c>
      <c r="S4748">
        <v>3.0064700000000002</v>
      </c>
      <c r="T4748">
        <v>2.436721E-2</v>
      </c>
      <c r="U4748">
        <v>0.1080933</v>
      </c>
      <c r="V4748">
        <v>3.045863E-2</v>
      </c>
      <c r="W4748">
        <v>8.4969620000000003E-3</v>
      </c>
      <c r="X4748">
        <v>0.9994999</v>
      </c>
      <c r="Y4748">
        <v>-4.3314440000000003E-2</v>
      </c>
      <c r="Z4748">
        <v>-2.3535949999999999E-4</v>
      </c>
      <c r="AA4748">
        <v>0.99906150000000005</v>
      </c>
      <c r="AB4748">
        <v>27</v>
      </c>
      <c r="AC4748">
        <v>133.3408</v>
      </c>
      <c r="AD4748">
        <v>1.082778</v>
      </c>
      <c r="AE4748">
        <v>4.8053999999999899</v>
      </c>
      <c r="AF4748">
        <v>-5.79047782590278</v>
      </c>
      <c r="AG4748">
        <v>1.082778</v>
      </c>
      <c r="AH4748">
        <v>133.29286025725301</v>
      </c>
      <c r="AI4748">
        <v>89.535017913035404</v>
      </c>
      <c r="AJ4748">
        <v>92.487466111311804</v>
      </c>
      <c r="AK4748">
        <v>133.42296892667801</v>
      </c>
      <c r="AL4748">
        <v>89.513154074655603</v>
      </c>
      <c r="AM4748">
        <v>88.254516049324195</v>
      </c>
      <c r="AN4748">
        <v>0.99999998830235803</v>
      </c>
    </row>
    <row r="4749" spans="1:40" x14ac:dyDescent="0.25">
      <c r="A4749" t="str">
        <f>"20190312154018223"</f>
        <v>20190312154018223</v>
      </c>
      <c r="B4749" t="str">
        <f>"1552376418210809"</f>
        <v>1552376418210809</v>
      </c>
      <c r="C4749" t="s">
        <v>40</v>
      </c>
      <c r="D4749">
        <v>3.8793190000000002</v>
      </c>
      <c r="E4749">
        <v>0.47200880000000001</v>
      </c>
      <c r="F4749" t="s">
        <v>80</v>
      </c>
      <c r="G4749">
        <v>-157.8382</v>
      </c>
      <c r="H4749">
        <v>2.1966190000000001</v>
      </c>
      <c r="I4749">
        <v>219.54830000000001</v>
      </c>
      <c r="J4749">
        <v>-290.92520000000002</v>
      </c>
      <c r="K4749">
        <v>1.1101700000000001</v>
      </c>
      <c r="L4749">
        <v>214.74539999999999</v>
      </c>
      <c r="M4749">
        <v>0.99987420000000005</v>
      </c>
      <c r="N4749">
        <v>0</v>
      </c>
      <c r="O4749">
        <v>-7.4973369999999998E-3</v>
      </c>
      <c r="P4749">
        <v>0.99926190000000004</v>
      </c>
      <c r="Q4749">
        <v>-5.8166059999999898E-3</v>
      </c>
      <c r="R4749">
        <v>-3.7971440000000002E-2</v>
      </c>
      <c r="S4749">
        <v>3.0064389999999999</v>
      </c>
      <c r="T4749">
        <v>2.4497390000000001E-2</v>
      </c>
      <c r="U4749">
        <v>0.1082458</v>
      </c>
      <c r="V4749">
        <v>3.0479820000000001E-2</v>
      </c>
      <c r="W4749">
        <v>8.1522190000000005E-3</v>
      </c>
      <c r="X4749">
        <v>0.99950209999999995</v>
      </c>
      <c r="Y4749">
        <v>-4.3471870000000003E-2</v>
      </c>
      <c r="Z4749">
        <v>-2.3812829999999999E-4</v>
      </c>
      <c r="AA4749">
        <v>0.99905460000000001</v>
      </c>
      <c r="AB4749">
        <v>26</v>
      </c>
      <c r="AC4749">
        <v>133.08699999999999</v>
      </c>
      <c r="AD4749">
        <v>1.08644899999999</v>
      </c>
      <c r="AE4749">
        <v>4.8029000000000197</v>
      </c>
      <c r="AF4749">
        <v>-5.8002745230424599</v>
      </c>
      <c r="AG4749">
        <v>1.08644899999999</v>
      </c>
      <c r="AH4749">
        <v>133.03839192378601</v>
      </c>
      <c r="AI4749">
        <v>89.532552344149707</v>
      </c>
      <c r="AJ4749">
        <v>92.496429165168195</v>
      </c>
      <c r="AK4749">
        <v>133.16920545546199</v>
      </c>
      <c r="AL4749">
        <v>89.532907066525496</v>
      </c>
      <c r="AM4749">
        <v>88.253306314330402</v>
      </c>
      <c r="AN4749">
        <v>0.99999996300313199</v>
      </c>
    </row>
    <row r="4750" spans="1:40" x14ac:dyDescent="0.25">
      <c r="A4750" t="str">
        <f>"20190312154018245"</f>
        <v>20190312154018245</v>
      </c>
      <c r="B4750" t="str">
        <f>"1552376418241066"</f>
        <v>1552376418241066</v>
      </c>
      <c r="C4750" t="s">
        <v>40</v>
      </c>
      <c r="D4750">
        <v>3.8429440000000001</v>
      </c>
      <c r="E4750">
        <v>0.47194839999999999</v>
      </c>
      <c r="F4750" t="s">
        <v>80</v>
      </c>
      <c r="G4750">
        <v>-157.8382</v>
      </c>
      <c r="H4750">
        <v>2.1477819999999999</v>
      </c>
      <c r="I4750">
        <v>219.523</v>
      </c>
      <c r="J4750">
        <v>-290.65210000000002</v>
      </c>
      <c r="K4750">
        <v>1.110174</v>
      </c>
      <c r="L4750">
        <v>214.7433</v>
      </c>
      <c r="M4750">
        <v>0.99987329999999996</v>
      </c>
      <c r="N4750">
        <v>0</v>
      </c>
      <c r="O4750">
        <v>-7.6123429999999997E-3</v>
      </c>
      <c r="P4750">
        <v>0.99924669999999904</v>
      </c>
      <c r="Q4750">
        <v>-6.1450709999999898E-3</v>
      </c>
      <c r="R4750">
        <v>-3.8317419999999998E-2</v>
      </c>
      <c r="S4750">
        <v>3.0064389999999999</v>
      </c>
      <c r="T4750">
        <v>2.344096E-2</v>
      </c>
      <c r="U4750">
        <v>0.1079254</v>
      </c>
      <c r="V4750">
        <v>3.0710830000000001E-2</v>
      </c>
      <c r="W4750">
        <v>7.8213060000000001E-3</v>
      </c>
      <c r="X4750">
        <v>0.99949770000000004</v>
      </c>
      <c r="Y4750">
        <v>-4.3480570000000003E-2</v>
      </c>
      <c r="Z4750">
        <v>-2.287902E-4</v>
      </c>
      <c r="AA4750">
        <v>0.99905429999999995</v>
      </c>
      <c r="AB4750">
        <v>26</v>
      </c>
      <c r="AC4750">
        <v>132.81389999999999</v>
      </c>
      <c r="AD4750">
        <v>1.0376080000000001</v>
      </c>
      <c r="AE4750">
        <v>4.7796999999999903</v>
      </c>
      <c r="AF4750">
        <v>-5.7903323000269102</v>
      </c>
      <c r="AG4750">
        <v>1.0376080000000001</v>
      </c>
      <c r="AH4750">
        <v>132.765569909135</v>
      </c>
      <c r="AI4750">
        <v>89.552648385862199</v>
      </c>
      <c r="AJ4750">
        <v>92.4972701394789</v>
      </c>
      <c r="AK4750">
        <v>132.89582812038901</v>
      </c>
      <c r="AL4750">
        <v>89.551867602485601</v>
      </c>
      <c r="AM4750">
        <v>88.240068476931398</v>
      </c>
      <c r="AN4750">
        <v>0.999999990106062</v>
      </c>
    </row>
    <row r="4751" spans="1:40" x14ac:dyDescent="0.25">
      <c r="A4751" t="str">
        <f>"20190312154018268"</f>
        <v>20190312154018268</v>
      </c>
      <c r="B4751" t="str">
        <f>"1552376418260585"</f>
        <v>1552376418260585</v>
      </c>
      <c r="C4751" t="s">
        <v>40</v>
      </c>
      <c r="D4751">
        <v>3.9699650000000002</v>
      </c>
      <c r="E4751">
        <v>0.47185959999999899</v>
      </c>
      <c r="F4751" t="s">
        <v>80</v>
      </c>
      <c r="G4751">
        <v>-157.8382</v>
      </c>
      <c r="H4751">
        <v>2.1139709999999998</v>
      </c>
      <c r="I4751">
        <v>219.48330000000001</v>
      </c>
      <c r="J4751">
        <v>-290.39400000000001</v>
      </c>
      <c r="K4751">
        <v>1.1101749999999999</v>
      </c>
      <c r="L4751">
        <v>214.74119999999999</v>
      </c>
      <c r="M4751">
        <v>0.9998726</v>
      </c>
      <c r="N4751">
        <v>0</v>
      </c>
      <c r="O4751">
        <v>-7.7210330000000004E-3</v>
      </c>
      <c r="P4751">
        <v>0.99923099999999998</v>
      </c>
      <c r="Q4751">
        <v>-6.4837100000000002E-3</v>
      </c>
      <c r="R4751">
        <v>-3.8670400000000001E-2</v>
      </c>
      <c r="S4751">
        <v>3.0065</v>
      </c>
      <c r="T4751">
        <v>2.2724149999999999E-2</v>
      </c>
      <c r="U4751">
        <v>0.1072998</v>
      </c>
      <c r="V4751">
        <v>3.0955219999999999E-2</v>
      </c>
      <c r="W4751">
        <v>7.4794240000000001E-3</v>
      </c>
      <c r="X4751">
        <v>0.99949279999999996</v>
      </c>
      <c r="Y4751">
        <v>-4.3380920000000003E-2</v>
      </c>
      <c r="Z4751">
        <v>-2.2223539999999999E-4</v>
      </c>
      <c r="AA4751">
        <v>0.99905860000000002</v>
      </c>
      <c r="AB4751">
        <v>26</v>
      </c>
      <c r="AC4751">
        <v>132.5558</v>
      </c>
      <c r="AD4751">
        <v>1.0037959999999999</v>
      </c>
      <c r="AE4751">
        <v>4.7421000000000202</v>
      </c>
      <c r="AF4751">
        <v>-5.7651960362597903</v>
      </c>
      <c r="AG4751">
        <v>1.0037959999999999</v>
      </c>
      <c r="AH4751">
        <v>132.50764167021501</v>
      </c>
      <c r="AI4751">
        <v>89.566381093572701</v>
      </c>
      <c r="AJ4751">
        <v>92.491276747950295</v>
      </c>
      <c r="AK4751">
        <v>132.63679803413601</v>
      </c>
      <c r="AL4751">
        <v>89.571456581255603</v>
      </c>
      <c r="AM4751">
        <v>88.2260635525993</v>
      </c>
      <c r="AN4751">
        <v>1.0000000123402299</v>
      </c>
    </row>
    <row r="4752" spans="1:40" x14ac:dyDescent="0.25">
      <c r="A4752" t="str">
        <f>"20190312154018289"</f>
        <v>20190312154018289</v>
      </c>
      <c r="B4752" t="str">
        <f>"1552376418281081"</f>
        <v>1552376418281081</v>
      </c>
      <c r="C4752" t="s">
        <v>40</v>
      </c>
      <c r="D4752">
        <v>3.9176340000000001</v>
      </c>
      <c r="E4752">
        <v>0.46963240000000001</v>
      </c>
      <c r="F4752" t="s">
        <v>80</v>
      </c>
      <c r="G4752">
        <v>-157.8382</v>
      </c>
      <c r="H4752">
        <v>2.0860789999999998</v>
      </c>
      <c r="I4752">
        <v>219.45840000000001</v>
      </c>
      <c r="J4752">
        <v>-290.12900000000002</v>
      </c>
      <c r="K4752">
        <v>1.110179</v>
      </c>
      <c r="L4752">
        <v>214.739</v>
      </c>
      <c r="M4752">
        <v>0.99987190000000004</v>
      </c>
      <c r="N4752">
        <v>0</v>
      </c>
      <c r="O4752">
        <v>-7.8324650000000003E-3</v>
      </c>
      <c r="P4752">
        <v>0.99923119999999999</v>
      </c>
      <c r="Q4752">
        <v>-6.4587380000000003E-3</v>
      </c>
      <c r="R4752">
        <v>-3.8672070000000003E-2</v>
      </c>
      <c r="S4752">
        <v>3.0065919999999999</v>
      </c>
      <c r="T4752">
        <v>2.2136449999999998E-2</v>
      </c>
      <c r="U4752">
        <v>0.1069946</v>
      </c>
      <c r="V4752">
        <v>3.084545E-2</v>
      </c>
      <c r="W4752">
        <v>7.5013569999999898E-3</v>
      </c>
      <c r="X4752">
        <v>0.99949600000000005</v>
      </c>
      <c r="Y4752">
        <v>-4.3389959999999998E-2</v>
      </c>
      <c r="Z4752">
        <v>-2.1733540000000001E-4</v>
      </c>
      <c r="AA4752">
        <v>0.99905820000000001</v>
      </c>
      <c r="AB4752">
        <v>26</v>
      </c>
      <c r="AC4752">
        <v>132.29079999999999</v>
      </c>
      <c r="AD4752">
        <v>0.97589999999999999</v>
      </c>
      <c r="AE4752">
        <v>4.7194000000000003</v>
      </c>
      <c r="AF4752">
        <v>-5.7552064293369396</v>
      </c>
      <c r="AG4752">
        <v>0.97589999999999999</v>
      </c>
      <c r="AH4752">
        <v>132.24258577935399</v>
      </c>
      <c r="AI4752">
        <v>89.577586429301405</v>
      </c>
      <c r="AJ4752">
        <v>92.491943815072105</v>
      </c>
      <c r="AK4752">
        <v>132.37135745872001</v>
      </c>
      <c r="AL4752">
        <v>89.570199865107696</v>
      </c>
      <c r="AM4752">
        <v>88.232355748957104</v>
      </c>
      <c r="AN4752">
        <v>0.99999998307927096</v>
      </c>
    </row>
    <row r="4753" spans="1:40" x14ac:dyDescent="0.25">
      <c r="A4753" t="str">
        <f>"20190312154018312"</f>
        <v>20190312154018312</v>
      </c>
      <c r="B4753" t="str">
        <f>"1552376418300601"</f>
        <v>1552376418300601</v>
      </c>
      <c r="C4753" t="s">
        <v>40</v>
      </c>
      <c r="D4753">
        <v>3.908191</v>
      </c>
      <c r="E4753">
        <v>0.46813480000000002</v>
      </c>
      <c r="F4753" t="s">
        <v>80</v>
      </c>
      <c r="G4753">
        <v>-157.8382</v>
      </c>
      <c r="H4753">
        <v>2.2008770000000002</v>
      </c>
      <c r="I4753">
        <v>220.2217</v>
      </c>
      <c r="J4753">
        <v>-289.87439999999998</v>
      </c>
      <c r="K4753">
        <v>1.110177</v>
      </c>
      <c r="L4753">
        <v>214.73689999999999</v>
      </c>
      <c r="M4753">
        <v>0.99987090000000001</v>
      </c>
      <c r="N4753">
        <v>0</v>
      </c>
      <c r="O4753">
        <v>-7.9392490000000007E-3</v>
      </c>
      <c r="P4753">
        <v>0.9992415</v>
      </c>
      <c r="Q4753">
        <v>-6.0549269999999999E-3</v>
      </c>
      <c r="R4753">
        <v>-3.8470249999999998E-2</v>
      </c>
      <c r="S4753">
        <v>3.0072939999999999</v>
      </c>
      <c r="T4753">
        <v>2.479553E-2</v>
      </c>
      <c r="U4753">
        <v>0.1246338</v>
      </c>
      <c r="V4753">
        <v>3.0536859999999999E-2</v>
      </c>
      <c r="W4753">
        <v>7.9028420000000002E-3</v>
      </c>
      <c r="X4753">
        <v>0.99950240000000001</v>
      </c>
      <c r="Y4753">
        <v>-4.9338260000000002E-2</v>
      </c>
      <c r="Z4753">
        <v>-2.6874899999999998E-4</v>
      </c>
      <c r="AA4753">
        <v>0.99878210000000001</v>
      </c>
      <c r="AB4753">
        <v>26</v>
      </c>
      <c r="AC4753">
        <v>132.03619999999901</v>
      </c>
      <c r="AD4753">
        <v>1.0907</v>
      </c>
      <c r="AE4753">
        <v>5.4847999999999999</v>
      </c>
      <c r="AF4753">
        <v>-6.5325526761968904</v>
      </c>
      <c r="AG4753">
        <v>1.0907</v>
      </c>
      <c r="AH4753">
        <v>131.97949798026701</v>
      </c>
      <c r="AI4753">
        <v>89.527088073185396</v>
      </c>
      <c r="AJ4753">
        <v>92.833640777785007</v>
      </c>
      <c r="AK4753">
        <v>132.145570330906</v>
      </c>
      <c r="AL4753">
        <v>89.547195794378993</v>
      </c>
      <c r="AM4753">
        <v>88.250040103540698</v>
      </c>
      <c r="AN4753">
        <v>1.0000000011680401</v>
      </c>
    </row>
    <row r="4754" spans="1:40" x14ac:dyDescent="0.25">
      <c r="A4754" t="str">
        <f>"20190312154018334"</f>
        <v>20190312154018334</v>
      </c>
      <c r="B4754" t="str">
        <f>"1552376418330687"</f>
        <v>1552376418330687</v>
      </c>
      <c r="C4754" t="s">
        <v>40</v>
      </c>
      <c r="D4754">
        <v>3.8735279999999999</v>
      </c>
      <c r="E4754">
        <v>0.46623229999999999</v>
      </c>
      <c r="F4754" t="s">
        <v>80</v>
      </c>
      <c r="G4754">
        <v>-157.8382</v>
      </c>
      <c r="H4754">
        <v>2.3336920000000001</v>
      </c>
      <c r="I4754">
        <v>220.7595</v>
      </c>
      <c r="J4754">
        <v>-289.61059999999998</v>
      </c>
      <c r="K4754">
        <v>1.110177</v>
      </c>
      <c r="L4754">
        <v>214.7347</v>
      </c>
      <c r="M4754">
        <v>0.99987020000000004</v>
      </c>
      <c r="N4754">
        <v>0</v>
      </c>
      <c r="O4754">
        <v>-8.0504410000000002E-3</v>
      </c>
      <c r="P4754">
        <v>0.99925050000000004</v>
      </c>
      <c r="Q4754">
        <v>-5.9362490000000002E-3</v>
      </c>
      <c r="R4754">
        <v>-3.8259210000000002E-2</v>
      </c>
      <c r="S4754">
        <v>3.0077210000000001</v>
      </c>
      <c r="T4754">
        <v>2.7872319999999999E-2</v>
      </c>
      <c r="U4754">
        <v>0.1371918</v>
      </c>
      <c r="V4754">
        <v>3.021459E-2</v>
      </c>
      <c r="W4754">
        <v>8.0187100000000001E-3</v>
      </c>
      <c r="X4754">
        <v>0.99951120000000004</v>
      </c>
      <c r="Y4754">
        <v>-5.3604569999999997E-2</v>
      </c>
      <c r="Z4754">
        <v>-3.2281289999999999E-4</v>
      </c>
      <c r="AA4754">
        <v>0.99856219999999996</v>
      </c>
      <c r="AB4754">
        <v>26</v>
      </c>
      <c r="AC4754">
        <v>131.77239999999901</v>
      </c>
      <c r="AD4754">
        <v>1.2235149999999899</v>
      </c>
      <c r="AE4754">
        <v>6.0247999999999902</v>
      </c>
      <c r="AF4754">
        <v>-7.0849244494231298</v>
      </c>
      <c r="AG4754">
        <v>1.2235149999999899</v>
      </c>
      <c r="AH4754">
        <v>131.70829082013199</v>
      </c>
      <c r="AI4754">
        <v>89.468529795213698</v>
      </c>
      <c r="AJ4754">
        <v>93.079118260236399</v>
      </c>
      <c r="AK4754">
        <v>131.90438587920301</v>
      </c>
      <c r="AL4754">
        <v>89.540556803951503</v>
      </c>
      <c r="AM4754">
        <v>88.268512195438603</v>
      </c>
      <c r="AN4754">
        <v>0.99999993004218302</v>
      </c>
    </row>
    <row r="4755" spans="1:40" x14ac:dyDescent="0.25">
      <c r="A4755" t="str">
        <f>"20190312154018350"</f>
        <v>20190312154018350</v>
      </c>
      <c r="B4755" t="str">
        <f>"1552376418340445"</f>
        <v>1552376418340445</v>
      </c>
      <c r="C4755" t="s">
        <v>40</v>
      </c>
      <c r="D4755">
        <v>3.9319220000000001</v>
      </c>
      <c r="E4755">
        <v>0.46568140000000002</v>
      </c>
      <c r="F4755" t="s">
        <v>80</v>
      </c>
      <c r="G4755">
        <v>-157.8382</v>
      </c>
      <c r="H4755">
        <v>2.4851730000000001</v>
      </c>
      <c r="I4755">
        <v>221.4271</v>
      </c>
      <c r="J4755">
        <v>-289.42290000000003</v>
      </c>
      <c r="K4755">
        <v>1.1101749999999999</v>
      </c>
      <c r="L4755">
        <v>214.73310000000001</v>
      </c>
      <c r="M4755">
        <v>0.99986929999999996</v>
      </c>
      <c r="N4755">
        <v>0</v>
      </c>
      <c r="O4755">
        <v>-8.1293359999999992E-3</v>
      </c>
      <c r="P4755">
        <v>0.99925450000000005</v>
      </c>
      <c r="Q4755">
        <v>-5.9112790000000002E-3</v>
      </c>
      <c r="R4755">
        <v>-3.8150620000000003E-2</v>
      </c>
      <c r="S4755">
        <v>3.0083310000000001</v>
      </c>
      <c r="T4755">
        <v>3.1392099999999999E-2</v>
      </c>
      <c r="U4755">
        <v>0.15278630000000001</v>
      </c>
      <c r="V4755">
        <v>3.0027140000000001E-2</v>
      </c>
      <c r="W4755">
        <v>8.0415969999999993E-3</v>
      </c>
      <c r="X4755">
        <v>0.99951670000000004</v>
      </c>
      <c r="Y4755">
        <v>-5.8836680000000002E-2</v>
      </c>
      <c r="Z4755">
        <v>-3.9156100000000001E-4</v>
      </c>
      <c r="AA4755">
        <v>0.99826749999999997</v>
      </c>
      <c r="AB4755">
        <v>26</v>
      </c>
      <c r="AC4755">
        <v>131.5847</v>
      </c>
      <c r="AD4755">
        <v>1.3749979999999999</v>
      </c>
      <c r="AE4755">
        <v>6.6939999999999804</v>
      </c>
      <c r="AF4755">
        <v>-7.7627340257599098</v>
      </c>
      <c r="AG4755">
        <v>1.3749979999999999</v>
      </c>
      <c r="AH4755">
        <v>131.51160499808401</v>
      </c>
      <c r="AI4755">
        <v>89.402015970360296</v>
      </c>
      <c r="AJ4755">
        <v>93.378077687017196</v>
      </c>
      <c r="AK4755">
        <v>131.74768653842301</v>
      </c>
      <c r="AL4755">
        <v>89.539245449179404</v>
      </c>
      <c r="AM4755">
        <v>88.2792572550469</v>
      </c>
      <c r="AN4755">
        <v>0.99999996499888899</v>
      </c>
    </row>
    <row r="4756" spans="1:40" x14ac:dyDescent="0.25">
      <c r="A4756" t="str">
        <f>"20190312154018369"</f>
        <v>20190312154018369</v>
      </c>
      <c r="B4756" t="str">
        <f>"1552376418360941"</f>
        <v>1552376418360941</v>
      </c>
      <c r="C4756" t="s">
        <v>40</v>
      </c>
      <c r="D4756">
        <v>3.9590070000000002</v>
      </c>
      <c r="E4756">
        <v>0.4647251</v>
      </c>
      <c r="F4756" t="s">
        <v>80</v>
      </c>
      <c r="G4756">
        <v>-157.8382</v>
      </c>
      <c r="H4756">
        <v>2.5440589999999998</v>
      </c>
      <c r="I4756">
        <v>221.6232</v>
      </c>
      <c r="J4756">
        <v>-289.20229999999998</v>
      </c>
      <c r="K4756">
        <v>1.110177</v>
      </c>
      <c r="L4756">
        <v>214.7312</v>
      </c>
      <c r="M4756">
        <v>0.9998688</v>
      </c>
      <c r="N4756">
        <v>0</v>
      </c>
      <c r="O4756">
        <v>-8.222175E-3</v>
      </c>
      <c r="P4756">
        <v>0.99926479999999995</v>
      </c>
      <c r="Q4756">
        <v>-6.2202580000000002E-3</v>
      </c>
      <c r="R4756">
        <v>-3.7832579999999998E-2</v>
      </c>
      <c r="S4756">
        <v>3.0084529999999998</v>
      </c>
      <c r="T4756">
        <v>3.2784580000000001E-2</v>
      </c>
      <c r="U4756">
        <v>0.1575317</v>
      </c>
      <c r="V4756">
        <v>2.9616070000000001E-2</v>
      </c>
      <c r="W4756">
        <v>7.7307089999999997E-3</v>
      </c>
      <c r="X4756">
        <v>0.99953139999999996</v>
      </c>
      <c r="Y4756">
        <v>-6.049728E-2</v>
      </c>
      <c r="Z4756">
        <v>-4.189485E-4</v>
      </c>
      <c r="AA4756">
        <v>0.99816830000000001</v>
      </c>
      <c r="AB4756">
        <v>26</v>
      </c>
      <c r="AC4756">
        <v>131.36409999999901</v>
      </c>
      <c r="AD4756">
        <v>1.4338820000000001</v>
      </c>
      <c r="AE4756">
        <v>6.8919999999999897</v>
      </c>
      <c r="AF4756">
        <v>-7.9710237156173704</v>
      </c>
      <c r="AG4756">
        <v>1.4338820000000001</v>
      </c>
      <c r="AH4756">
        <v>131.28738671826099</v>
      </c>
      <c r="AI4756">
        <v>89.375407370134795</v>
      </c>
      <c r="AJ4756">
        <v>93.474409023175795</v>
      </c>
      <c r="AK4756">
        <v>131.536957346501</v>
      </c>
      <c r="AL4756">
        <v>89.557058566356105</v>
      </c>
      <c r="AM4756">
        <v>88.302825207488596</v>
      </c>
      <c r="AN4756">
        <v>0.99999994752492205</v>
      </c>
    </row>
    <row r="4757" spans="1:40" x14ac:dyDescent="0.25">
      <c r="A4757" t="str">
        <f>"20190312154018391"</f>
        <v>20190312154018391</v>
      </c>
      <c r="B4757" t="str">
        <f>"1552376418380462"</f>
        <v>1552376418380462</v>
      </c>
      <c r="C4757" t="s">
        <v>40</v>
      </c>
      <c r="D4757">
        <v>3.937478</v>
      </c>
      <c r="E4757">
        <v>0.46385959999999898</v>
      </c>
      <c r="F4757" t="s">
        <v>80</v>
      </c>
      <c r="G4757">
        <v>-157.25</v>
      </c>
      <c r="H4757">
        <v>2.5616919999999999</v>
      </c>
      <c r="I4757">
        <v>222.01949999999999</v>
      </c>
      <c r="J4757">
        <v>-288.94529999999997</v>
      </c>
      <c r="K4757">
        <v>1.110174</v>
      </c>
      <c r="L4757">
        <v>214.72890000000001</v>
      </c>
      <c r="M4757">
        <v>0.99986790000000003</v>
      </c>
      <c r="N4757">
        <v>0</v>
      </c>
      <c r="O4757">
        <v>-8.3303879999999993E-3</v>
      </c>
      <c r="P4757">
        <v>0.99925640000000004</v>
      </c>
      <c r="Q4757">
        <v>-6.1217399999999996E-3</v>
      </c>
      <c r="R4757">
        <v>-3.8067799999999999E-2</v>
      </c>
      <c r="S4757">
        <v>3.0086979999999999</v>
      </c>
      <c r="T4757">
        <v>3.309786E-2</v>
      </c>
      <c r="U4757">
        <v>0.16618350000000001</v>
      </c>
      <c r="V4757">
        <v>2.9743499999999999E-2</v>
      </c>
      <c r="W4757">
        <v>7.8260740000000006E-3</v>
      </c>
      <c r="X4757">
        <v>0.9995269</v>
      </c>
      <c r="Y4757">
        <v>-6.3462569999999996E-2</v>
      </c>
      <c r="Z4757">
        <v>-4.4037200000000002E-4</v>
      </c>
      <c r="AA4757">
        <v>0.99798410000000004</v>
      </c>
      <c r="AB4757">
        <v>26</v>
      </c>
      <c r="AC4757">
        <v>131.69529999999901</v>
      </c>
      <c r="AD4757">
        <v>1.4515180000000001</v>
      </c>
      <c r="AE4757">
        <v>7.29059999999998</v>
      </c>
      <c r="AF4757">
        <v>-8.3865111101713907</v>
      </c>
      <c r="AG4757">
        <v>1.4515180000000001</v>
      </c>
      <c r="AH4757">
        <v>131.614050458946</v>
      </c>
      <c r="AI4757">
        <v>89.369412482131494</v>
      </c>
      <c r="AJ4757">
        <v>93.645985584171697</v>
      </c>
      <c r="AK4757">
        <v>131.888963720682</v>
      </c>
      <c r="AL4757">
        <v>89.551594400409797</v>
      </c>
      <c r="AM4757">
        <v>88.295519349064705</v>
      </c>
      <c r="AN4757">
        <v>0.99999997352505599</v>
      </c>
    </row>
    <row r="4758" spans="1:40" x14ac:dyDescent="0.25">
      <c r="A4758" t="str">
        <f>"20190312154018413"</f>
        <v>20190312154018413</v>
      </c>
      <c r="B4758" t="str">
        <f>"1552376418400957"</f>
        <v>1552376418400957</v>
      </c>
      <c r="C4758" t="s">
        <v>40</v>
      </c>
      <c r="D4758">
        <v>3.9009870000000002</v>
      </c>
      <c r="E4758">
        <v>0.46304859999999998</v>
      </c>
      <c r="F4758" t="s">
        <v>80</v>
      </c>
      <c r="G4758">
        <v>-167.4222</v>
      </c>
      <c r="H4758">
        <v>2.4574539999999998</v>
      </c>
      <c r="I4758">
        <v>221.6901</v>
      </c>
      <c r="J4758">
        <v>-288.68810000000002</v>
      </c>
      <c r="K4758">
        <v>1.1101719999999999</v>
      </c>
      <c r="L4758">
        <v>214.72669999999999</v>
      </c>
      <c r="M4758">
        <v>0.99986710000000001</v>
      </c>
      <c r="N4758">
        <v>0</v>
      </c>
      <c r="O4758">
        <v>-8.4388409999999903E-3</v>
      </c>
      <c r="P4758">
        <v>0.99923320000000004</v>
      </c>
      <c r="Q4758">
        <v>-6.254374E-3</v>
      </c>
      <c r="R4758">
        <v>-3.8653519999999997E-2</v>
      </c>
      <c r="S4758">
        <v>3.0090029999999999</v>
      </c>
      <c r="T4758">
        <v>3.3361080000000001E-2</v>
      </c>
      <c r="U4758">
        <v>0.172363299999999</v>
      </c>
      <c r="V4758">
        <v>3.0220779999999999E-2</v>
      </c>
      <c r="W4758">
        <v>7.6906559999999997E-3</v>
      </c>
      <c r="X4758">
        <v>0.99951369999999895</v>
      </c>
      <c r="Y4758">
        <v>-6.5608059999999996E-2</v>
      </c>
      <c r="Z4758">
        <v>-4.5688880000000002E-4</v>
      </c>
      <c r="AA4758">
        <v>0.99784539999999999</v>
      </c>
      <c r="AB4758">
        <v>26</v>
      </c>
      <c r="AC4758">
        <v>121.2659</v>
      </c>
      <c r="AD4758">
        <v>1.3472820000000001</v>
      </c>
      <c r="AE4758">
        <v>6.9634</v>
      </c>
      <c r="AF4758">
        <v>-7.9856127523560101</v>
      </c>
      <c r="AG4758">
        <v>1.3472820000000001</v>
      </c>
      <c r="AH4758">
        <v>121.187902711506</v>
      </c>
      <c r="AI4758">
        <v>89.364430238390099</v>
      </c>
      <c r="AJ4758">
        <v>93.770024806045797</v>
      </c>
      <c r="AK4758">
        <v>121.458194221022</v>
      </c>
      <c r="AL4758">
        <v>89.559353542914494</v>
      </c>
      <c r="AM4758">
        <v>88.268162014217907</v>
      </c>
      <c r="AN4758">
        <v>1.0000000391106001</v>
      </c>
    </row>
    <row r="4759" spans="1:40" x14ac:dyDescent="0.25">
      <c r="A4759" t="str">
        <f>"20190312154018435"</f>
        <v>20190312154018435</v>
      </c>
      <c r="B4759" t="str">
        <f>"1552376418430819"</f>
        <v>1552376418430819</v>
      </c>
      <c r="C4759" t="s">
        <v>40</v>
      </c>
      <c r="D4759">
        <v>4.0707000000000004</v>
      </c>
      <c r="E4759">
        <v>0.4632039</v>
      </c>
      <c r="F4759" t="s">
        <v>80</v>
      </c>
      <c r="G4759">
        <v>-168.35059999999999</v>
      </c>
      <c r="H4759">
        <v>2.4908679999999999</v>
      </c>
      <c r="I4759">
        <v>221.79839999999999</v>
      </c>
      <c r="J4759">
        <v>-288.43209999999999</v>
      </c>
      <c r="K4759">
        <v>1.1101719999999999</v>
      </c>
      <c r="L4759">
        <v>214.7244</v>
      </c>
      <c r="M4759">
        <v>0.99986609999999998</v>
      </c>
      <c r="N4759">
        <v>0</v>
      </c>
      <c r="O4759">
        <v>-8.5464589999999993E-3</v>
      </c>
      <c r="P4759">
        <v>0.99922420000000001</v>
      </c>
      <c r="Q4759">
        <v>-6.3607710000000003E-3</v>
      </c>
      <c r="R4759">
        <v>-3.8865049999999998E-2</v>
      </c>
      <c r="S4759">
        <v>3.0093990000000002</v>
      </c>
      <c r="T4759">
        <v>3.4529810000000001E-2</v>
      </c>
      <c r="U4759">
        <v>0.17684939999999999</v>
      </c>
      <c r="V4759">
        <v>3.0324790000000001E-2</v>
      </c>
      <c r="W4759">
        <v>7.5814640000000004E-3</v>
      </c>
      <c r="X4759">
        <v>0.99951140000000005</v>
      </c>
      <c r="Y4759">
        <v>-6.718992E-2</v>
      </c>
      <c r="Z4759">
        <v>-4.8311220000000002E-4</v>
      </c>
      <c r="AA4759">
        <v>0.99774010000000002</v>
      </c>
      <c r="AB4759">
        <v>26</v>
      </c>
      <c r="AC4759">
        <v>120.08150000000001</v>
      </c>
      <c r="AD4759">
        <v>1.3806959999999999</v>
      </c>
      <c r="AE4759">
        <v>7.0739999999999803</v>
      </c>
      <c r="AF4759">
        <v>-8.0990461330078904</v>
      </c>
      <c r="AG4759">
        <v>1.3806959999999999</v>
      </c>
      <c r="AH4759">
        <v>120.000840332133</v>
      </c>
      <c r="AI4759">
        <v>89.3422960482403</v>
      </c>
      <c r="AJ4759">
        <v>93.861127080380598</v>
      </c>
      <c r="AK4759">
        <v>120.28176316519099</v>
      </c>
      <c r="AL4759">
        <v>89.565609972785296</v>
      </c>
      <c r="AM4759">
        <v>88.262201248676007</v>
      </c>
      <c r="AN4759">
        <v>1.0000000551074399</v>
      </c>
    </row>
    <row r="4760" spans="1:40" x14ac:dyDescent="0.25">
      <c r="A4760" t="str">
        <f>"20190312154018458"</f>
        <v>20190312154018458</v>
      </c>
      <c r="B4760" t="str">
        <f>"1552376418450337"</f>
        <v>1552376418450337</v>
      </c>
      <c r="C4760" t="s">
        <v>40</v>
      </c>
      <c r="D4760">
        <v>3.8745440000000002</v>
      </c>
      <c r="E4760">
        <v>0.51945160000000001</v>
      </c>
      <c r="F4760" t="s">
        <v>80</v>
      </c>
      <c r="G4760">
        <v>-168.35059999999999</v>
      </c>
      <c r="H4760">
        <v>2.4093079999999998</v>
      </c>
      <c r="I4760">
        <v>221.7124</v>
      </c>
      <c r="J4760">
        <v>-288.1687</v>
      </c>
      <c r="K4760">
        <v>1.1101700000000001</v>
      </c>
      <c r="L4760">
        <v>214.72200000000001</v>
      </c>
      <c r="M4760">
        <v>0.99986529999999996</v>
      </c>
      <c r="N4760">
        <v>0</v>
      </c>
      <c r="O4760">
        <v>-8.6578880000000007E-3</v>
      </c>
      <c r="P4760">
        <v>0.99921689999999996</v>
      </c>
      <c r="Q4760">
        <v>-6.5152939999999996E-3</v>
      </c>
      <c r="R4760">
        <v>-3.9032209999999998E-2</v>
      </c>
      <c r="S4760">
        <v>3.0093079999999999</v>
      </c>
      <c r="T4760">
        <v>3.2558440000000001E-2</v>
      </c>
      <c r="U4760">
        <v>0.17512510000000001</v>
      </c>
      <c r="V4760">
        <v>3.0380520000000001E-2</v>
      </c>
      <c r="W4760">
        <v>7.423636E-3</v>
      </c>
      <c r="X4760">
        <v>0.99951080000000003</v>
      </c>
      <c r="Y4760">
        <v>-6.6733730000000005E-2</v>
      </c>
      <c r="Z4760">
        <v>-4.5429269999999999E-4</v>
      </c>
      <c r="AA4760">
        <v>0.99777070000000001</v>
      </c>
      <c r="AB4760">
        <v>26</v>
      </c>
      <c r="AC4760">
        <v>119.8181</v>
      </c>
      <c r="AD4760">
        <v>1.2991379999999999</v>
      </c>
      <c r="AE4760">
        <v>6.9903999999999904</v>
      </c>
      <c r="AF4760">
        <v>-8.0266700689305406</v>
      </c>
      <c r="AG4760">
        <v>1.2991379999999999</v>
      </c>
      <c r="AH4760">
        <v>119.73905136347101</v>
      </c>
      <c r="AI4760">
        <v>89.379771749929205</v>
      </c>
      <c r="AJ4760">
        <v>93.835067145430799</v>
      </c>
      <c r="AK4760">
        <v>120.01481414126501</v>
      </c>
      <c r="AL4760">
        <v>89.574653065854406</v>
      </c>
      <c r="AM4760">
        <v>88.2590084928609</v>
      </c>
      <c r="AN4760">
        <v>0.99999996284178405</v>
      </c>
    </row>
    <row r="4761" spans="1:40" x14ac:dyDescent="0.25">
      <c r="A4761" t="str">
        <f>"20190312154018491"</f>
        <v>20190312154018491</v>
      </c>
      <c r="B4761" t="str">
        <f>"1552376418480594"</f>
        <v>1552376418480594</v>
      </c>
      <c r="C4761" t="s">
        <v>40</v>
      </c>
      <c r="D4761">
        <v>3.8860969999999999</v>
      </c>
      <c r="E4761">
        <v>0.53278800000000004</v>
      </c>
      <c r="F4761" t="s">
        <v>41</v>
      </c>
      <c r="G4761">
        <v>-287.23860000000002</v>
      </c>
      <c r="H4761">
        <v>0.98630399999999996</v>
      </c>
      <c r="I4761">
        <v>214.64080000000001</v>
      </c>
      <c r="J4761">
        <v>-287.78199999999998</v>
      </c>
      <c r="K4761">
        <v>1.1101719999999999</v>
      </c>
      <c r="L4761">
        <v>214.7184</v>
      </c>
      <c r="M4761">
        <v>0.99986379999999997</v>
      </c>
      <c r="N4761">
        <v>0</v>
      </c>
      <c r="O4761">
        <v>-8.8203299999999995E-3</v>
      </c>
      <c r="P4761">
        <v>0.99921890000000002</v>
      </c>
      <c r="Q4761">
        <v>-6.0397119999999896E-3</v>
      </c>
      <c r="R4761">
        <v>-3.9053110000000002E-2</v>
      </c>
      <c r="S4761">
        <v>2.9895939999999999</v>
      </c>
      <c r="T4761">
        <v>-0.39818199999999998</v>
      </c>
      <c r="U4761">
        <v>-0.26014710000000002</v>
      </c>
      <c r="V4761">
        <v>3.0239149999999999E-2</v>
      </c>
      <c r="W4761">
        <v>7.8956900000000003E-3</v>
      </c>
      <c r="X4761">
        <v>0.9995115</v>
      </c>
      <c r="Y4761">
        <v>7.7298549999999994E-2</v>
      </c>
      <c r="Z4761">
        <v>-3.948081E-3</v>
      </c>
      <c r="AA4761">
        <v>0.9970002</v>
      </c>
      <c r="AB4761">
        <v>26</v>
      </c>
      <c r="AC4761">
        <v>0.54339999999996202</v>
      </c>
      <c r="AD4761">
        <v>-0.12386799999999901</v>
      </c>
      <c r="AE4761">
        <v>-7.7599999999989594E-2</v>
      </c>
      <c r="AF4761">
        <v>6.9275834317857998E-2</v>
      </c>
      <c r="AG4761">
        <v>-0.12386799999999901</v>
      </c>
      <c r="AH4761">
        <v>0.51770066454991504</v>
      </c>
      <c r="AI4761">
        <v>103.341334023295</v>
      </c>
      <c r="AJ4761">
        <v>82.378273384320295</v>
      </c>
      <c r="AK4761">
        <v>0.53680201258923999</v>
      </c>
      <c r="AL4761">
        <v>89.547605583052302</v>
      </c>
      <c r="AM4761">
        <v>88.267106129134902</v>
      </c>
      <c r="AN4761">
        <v>0.99999999337277401</v>
      </c>
    </row>
    <row r="4762" spans="1:40" x14ac:dyDescent="0.25">
      <c r="A4762" t="str">
        <f>"20190312154018512"</f>
        <v>20190312154018512</v>
      </c>
      <c r="B4762" t="str">
        <f>"1552376418501091"</f>
        <v>1552376418501091</v>
      </c>
      <c r="C4762" t="s">
        <v>40</v>
      </c>
      <c r="D4762">
        <v>3.860163</v>
      </c>
      <c r="E4762">
        <v>0.53622639999999999</v>
      </c>
      <c r="F4762" t="s">
        <v>41</v>
      </c>
      <c r="G4762">
        <v>-287.0154</v>
      </c>
      <c r="H4762">
        <v>0.96719290000000002</v>
      </c>
      <c r="I4762">
        <v>214.62549999999999</v>
      </c>
      <c r="J4762">
        <v>-287.52629999999999</v>
      </c>
      <c r="K4762">
        <v>1.110177</v>
      </c>
      <c r="L4762">
        <v>214.71600000000001</v>
      </c>
      <c r="M4762">
        <v>0.99986299999999995</v>
      </c>
      <c r="N4762">
        <v>0</v>
      </c>
      <c r="O4762">
        <v>-8.9283039999999998E-3</v>
      </c>
      <c r="P4762">
        <v>0.99921700000000002</v>
      </c>
      <c r="Q4762">
        <v>-5.3696369999999896E-3</v>
      </c>
      <c r="R4762">
        <v>-3.920299E-2</v>
      </c>
      <c r="S4762">
        <v>2.9848629999999998</v>
      </c>
      <c r="T4762">
        <v>-0.55679860000000003</v>
      </c>
      <c r="U4762">
        <v>-0.36132809999999999</v>
      </c>
      <c r="V4762">
        <v>3.028115E-2</v>
      </c>
      <c r="W4762">
        <v>8.5627619999999998E-3</v>
      </c>
      <c r="X4762">
        <v>0.99950470000000002</v>
      </c>
      <c r="Y4762">
        <v>0.10959579999999999</v>
      </c>
      <c r="Z4762">
        <v>-8.4533779999999992E-3</v>
      </c>
      <c r="AA4762">
        <v>0.9939403</v>
      </c>
      <c r="AB4762">
        <v>26</v>
      </c>
      <c r="AC4762">
        <v>0.51089999999999203</v>
      </c>
      <c r="AD4762">
        <v>-0.142984099999999</v>
      </c>
      <c r="AE4762">
        <v>-9.0499999999991601E-2</v>
      </c>
      <c r="AF4762">
        <v>7.9869012975532103E-2</v>
      </c>
      <c r="AG4762">
        <v>-0.142984099999999</v>
      </c>
      <c r="AH4762">
        <v>0.47557155252132699</v>
      </c>
      <c r="AI4762">
        <v>106.51535414684</v>
      </c>
      <c r="AJ4762">
        <v>80.466528799384207</v>
      </c>
      <c r="AK4762">
        <v>0.50298291586697097</v>
      </c>
      <c r="AL4762">
        <v>89.509383859865295</v>
      </c>
      <c r="AM4762">
        <v>88.264688936336398</v>
      </c>
      <c r="AN4762">
        <v>0.99999995713023904</v>
      </c>
    </row>
    <row r="4763" spans="1:40" x14ac:dyDescent="0.25">
      <c r="A4763" t="str">
        <f>"20190312154018536"</f>
        <v>20190312154018536</v>
      </c>
      <c r="B4763" t="str">
        <f>"1552376418530372"</f>
        <v>1552376418530372</v>
      </c>
      <c r="C4763" t="s">
        <v>40</v>
      </c>
      <c r="D4763">
        <v>3.8629310000000001</v>
      </c>
      <c r="E4763">
        <v>0.53887280000000004</v>
      </c>
      <c r="F4763" t="s">
        <v>41</v>
      </c>
      <c r="G4763">
        <v>-286.78539999999998</v>
      </c>
      <c r="H4763">
        <v>0.96240599999999998</v>
      </c>
      <c r="I4763">
        <v>214.61949999999999</v>
      </c>
      <c r="J4763">
        <v>-287.25880000000001</v>
      </c>
      <c r="K4763">
        <v>1.1101840000000001</v>
      </c>
      <c r="L4763">
        <v>214.71350000000001</v>
      </c>
      <c r="M4763">
        <v>0.99986189999999997</v>
      </c>
      <c r="N4763">
        <v>0</v>
      </c>
      <c r="O4763">
        <v>-9.0410460000000005E-3</v>
      </c>
      <c r="P4763">
        <v>0.99920739999999997</v>
      </c>
      <c r="Q4763">
        <v>-5.4911480000000004E-3</v>
      </c>
      <c r="R4763">
        <v>-3.9427139999999999E-2</v>
      </c>
      <c r="S4763">
        <v>2.9838559999999998</v>
      </c>
      <c r="T4763">
        <v>-0.59519129999999998</v>
      </c>
      <c r="U4763">
        <v>-0.38801570000000002</v>
      </c>
      <c r="V4763">
        <v>3.0392530000000001E-2</v>
      </c>
      <c r="W4763">
        <v>8.4383119999999999E-3</v>
      </c>
      <c r="X4763">
        <v>0.99950240000000001</v>
      </c>
      <c r="Y4763">
        <v>0.1178729</v>
      </c>
      <c r="Z4763">
        <v>-9.8155489999999998E-3</v>
      </c>
      <c r="AA4763">
        <v>0.99298019999999998</v>
      </c>
      <c r="AB4763">
        <v>26</v>
      </c>
      <c r="AC4763">
        <v>0.47340000000002602</v>
      </c>
      <c r="AD4763">
        <v>-0.14777799999999999</v>
      </c>
      <c r="AE4763">
        <v>-9.4000000000022496E-2</v>
      </c>
      <c r="AF4763">
        <v>8.2025831130642907E-2</v>
      </c>
      <c r="AG4763">
        <v>-0.14777799999999999</v>
      </c>
      <c r="AH4763">
        <v>0.43358245934525502</v>
      </c>
      <c r="AI4763">
        <v>108.515187055848</v>
      </c>
      <c r="AJ4763">
        <v>79.287295793059599</v>
      </c>
      <c r="AK4763">
        <v>0.46536042301484098</v>
      </c>
      <c r="AL4763">
        <v>89.516514588288203</v>
      </c>
      <c r="AM4763">
        <v>88.258306041097697</v>
      </c>
      <c r="AN4763">
        <v>0.99999997929748496</v>
      </c>
    </row>
    <row r="4764" spans="1:40" x14ac:dyDescent="0.25">
      <c r="A4764" t="str">
        <f>"20190312154018558"</f>
        <v>20190312154018558</v>
      </c>
      <c r="B4764" t="str">
        <f>"1552376418550867"</f>
        <v>1552376418550867</v>
      </c>
      <c r="C4764" t="s">
        <v>40</v>
      </c>
      <c r="D4764">
        <v>3.8697279999999998</v>
      </c>
      <c r="E4764">
        <v>0.53987659999999904</v>
      </c>
      <c r="F4764" t="s">
        <v>41</v>
      </c>
      <c r="G4764">
        <v>-286.5532</v>
      </c>
      <c r="H4764">
        <v>0.96262910000000002</v>
      </c>
      <c r="I4764">
        <v>214.61689999999999</v>
      </c>
      <c r="J4764">
        <v>-287.00049999999999</v>
      </c>
      <c r="K4764">
        <v>1.1101829999999999</v>
      </c>
      <c r="L4764">
        <v>214.71109999999999</v>
      </c>
      <c r="M4764">
        <v>0.999861</v>
      </c>
      <c r="N4764">
        <v>0</v>
      </c>
      <c r="O4764">
        <v>-9.1500929999999998E-3</v>
      </c>
      <c r="P4764">
        <v>0.99919480000000005</v>
      </c>
      <c r="Q4764">
        <v>-5.5502059999999898E-3</v>
      </c>
      <c r="R4764">
        <v>-3.9736380000000002E-2</v>
      </c>
      <c r="S4764">
        <v>2.9828489999999999</v>
      </c>
      <c r="T4764">
        <v>-0.62374289999999999</v>
      </c>
      <c r="U4764">
        <v>-0.40824890000000003</v>
      </c>
      <c r="V4764">
        <v>3.059315E-2</v>
      </c>
      <c r="W4764">
        <v>8.3768019999999992E-3</v>
      </c>
      <c r="X4764">
        <v>0.99949679999999996</v>
      </c>
      <c r="Y4764">
        <v>0.12408909999999999</v>
      </c>
      <c r="Z4764">
        <v>-1.089336E-2</v>
      </c>
      <c r="AA4764">
        <v>0.99221130000000002</v>
      </c>
      <c r="AB4764">
        <v>26</v>
      </c>
      <c r="AC4764">
        <v>0.44729999999998399</v>
      </c>
      <c r="AD4764">
        <v>-0.14755389999999999</v>
      </c>
      <c r="AE4764">
        <v>-9.42000000000007E-2</v>
      </c>
      <c r="AF4764">
        <v>8.1600280654931398E-2</v>
      </c>
      <c r="AG4764">
        <v>-0.14755389999999999</v>
      </c>
      <c r="AH4764">
        <v>0.40585431061830302</v>
      </c>
      <c r="AI4764">
        <v>109.61763533753999</v>
      </c>
      <c r="AJ4764">
        <v>78.631788618165402</v>
      </c>
      <c r="AK4764">
        <v>0.43948661032576603</v>
      </c>
      <c r="AL4764">
        <v>89.5200389778268</v>
      </c>
      <c r="AM4764">
        <v>88.246806516532104</v>
      </c>
      <c r="AN4764">
        <v>0.99999998242445398</v>
      </c>
    </row>
    <row r="4765" spans="1:40" x14ac:dyDescent="0.25">
      <c r="A4765" t="str">
        <f>"20190312154018582"</f>
        <v>20190312154018582</v>
      </c>
      <c r="B4765" t="str">
        <f>"1552376418570386"</f>
        <v>1552376418570386</v>
      </c>
      <c r="C4765" t="s">
        <v>40</v>
      </c>
      <c r="D4765">
        <v>3.8430979999999999</v>
      </c>
      <c r="E4765">
        <v>0.54072640000000005</v>
      </c>
      <c r="F4765" t="s">
        <v>41</v>
      </c>
      <c r="G4765">
        <v>-286.1096</v>
      </c>
      <c r="H4765">
        <v>0.92057630000000001</v>
      </c>
      <c r="I4765">
        <v>214.5865</v>
      </c>
      <c r="J4765">
        <v>-286.7269</v>
      </c>
      <c r="K4765">
        <v>1.1101810000000001</v>
      </c>
      <c r="L4765">
        <v>214.70840000000001</v>
      </c>
      <c r="M4765">
        <v>0.99985990000000002</v>
      </c>
      <c r="N4765">
        <v>0</v>
      </c>
      <c r="O4765">
        <v>-9.2654590000000002E-3</v>
      </c>
      <c r="P4765">
        <v>0.99916309999999997</v>
      </c>
      <c r="Q4765">
        <v>-5.6666529999999998E-3</v>
      </c>
      <c r="R4765">
        <v>-4.0510200000000003E-2</v>
      </c>
      <c r="S4765">
        <v>2.9823</v>
      </c>
      <c r="T4765">
        <v>-0.63480749999999997</v>
      </c>
      <c r="U4765">
        <v>-0.4166107</v>
      </c>
      <c r="V4765">
        <v>3.1251790000000002E-2</v>
      </c>
      <c r="W4765">
        <v>8.2566429999999993E-3</v>
      </c>
      <c r="X4765">
        <v>0.99947739999999996</v>
      </c>
      <c r="Y4765">
        <v>0.12659000000000001</v>
      </c>
      <c r="Z4765">
        <v>-1.1320210000000001E-2</v>
      </c>
      <c r="AA4765">
        <v>0.99189050000000001</v>
      </c>
      <c r="AB4765">
        <v>26</v>
      </c>
      <c r="AC4765">
        <v>0.61729999999999996</v>
      </c>
      <c r="AD4765">
        <v>-0.18960469999999899</v>
      </c>
      <c r="AE4765">
        <v>-0.12190000000001</v>
      </c>
      <c r="AF4765">
        <v>0.106503948081968</v>
      </c>
      <c r="AG4765">
        <v>-0.18960469999999899</v>
      </c>
      <c r="AH4765">
        <v>0.56692550561647204</v>
      </c>
      <c r="AI4765">
        <v>108.19537785853301</v>
      </c>
      <c r="AJ4765">
        <v>79.360290954810793</v>
      </c>
      <c r="AK4765">
        <v>0.60720471188687997</v>
      </c>
      <c r="AL4765">
        <v>89.526923808938307</v>
      </c>
      <c r="AM4765">
        <v>88.209051591789802</v>
      </c>
      <c r="AN4765">
        <v>0.99999995982129497</v>
      </c>
    </row>
    <row r="4766" spans="1:40" x14ac:dyDescent="0.25">
      <c r="A4766" t="str">
        <f>"20190312154018603"</f>
        <v>20190312154018603</v>
      </c>
      <c r="B4766" t="str">
        <f>"1552376418590883"</f>
        <v>1552376418590883</v>
      </c>
      <c r="C4766" t="s">
        <v>40</v>
      </c>
      <c r="D4766">
        <v>3.8675850000000001</v>
      </c>
      <c r="E4766">
        <v>0.54134890000000002</v>
      </c>
      <c r="F4766" t="s">
        <v>41</v>
      </c>
      <c r="G4766">
        <v>-285.87560000000002</v>
      </c>
      <c r="H4766">
        <v>0.92673099999999997</v>
      </c>
      <c r="I4766">
        <v>214.5865</v>
      </c>
      <c r="J4766">
        <v>-286.48180000000002</v>
      </c>
      <c r="K4766">
        <v>1.110177</v>
      </c>
      <c r="L4766">
        <v>214.70599999999999</v>
      </c>
      <c r="M4766">
        <v>0.9998591</v>
      </c>
      <c r="N4766">
        <v>0</v>
      </c>
      <c r="O4766">
        <v>-9.3689069999999992E-3</v>
      </c>
      <c r="P4766">
        <v>0.99915229999999999</v>
      </c>
      <c r="Q4766">
        <v>-5.8343880000000002E-3</v>
      </c>
      <c r="R4766">
        <v>-4.0758219999999998E-2</v>
      </c>
      <c r="S4766">
        <v>2.981598</v>
      </c>
      <c r="T4766">
        <v>-0.64257540000000002</v>
      </c>
      <c r="U4766">
        <v>-0.42599490000000001</v>
      </c>
      <c r="V4766">
        <v>3.1396359999999998E-2</v>
      </c>
      <c r="W4766">
        <v>8.0864189999999992E-3</v>
      </c>
      <c r="X4766">
        <v>0.99947430000000004</v>
      </c>
      <c r="Y4766">
        <v>0.12945490000000001</v>
      </c>
      <c r="Z4766">
        <v>-1.173767E-2</v>
      </c>
      <c r="AA4766">
        <v>0.99151579999999995</v>
      </c>
      <c r="AB4766">
        <v>26</v>
      </c>
      <c r="AC4766">
        <v>0.60620000000000096</v>
      </c>
      <c r="AD4766">
        <v>-0.183446</v>
      </c>
      <c r="AE4766">
        <v>-0.11949999999998701</v>
      </c>
      <c r="AF4766">
        <v>0.104594642708564</v>
      </c>
      <c r="AG4766">
        <v>-0.183446</v>
      </c>
      <c r="AH4766">
        <v>0.55809629933045801</v>
      </c>
      <c r="AI4766">
        <v>107.904333027685</v>
      </c>
      <c r="AJ4766">
        <v>79.385146259190094</v>
      </c>
      <c r="AK4766">
        <v>0.59671094637662303</v>
      </c>
      <c r="AL4766">
        <v>89.536677269899201</v>
      </c>
      <c r="AM4766">
        <v>88.200766565272005</v>
      </c>
      <c r="AN4766">
        <v>0.99999999897699099</v>
      </c>
    </row>
    <row r="4767" spans="1:40" x14ac:dyDescent="0.25">
      <c r="A4767" t="str">
        <f>"20190312154018625"</f>
        <v>20190312154018625</v>
      </c>
      <c r="B4767" t="str">
        <f>"1552376418610924"</f>
        <v>1552376418610924</v>
      </c>
      <c r="C4767" t="s">
        <v>40</v>
      </c>
      <c r="D4767">
        <v>3.878253</v>
      </c>
      <c r="E4767">
        <v>0.54191449999999997</v>
      </c>
      <c r="F4767" t="s">
        <v>41</v>
      </c>
      <c r="G4767">
        <v>-285.64420000000001</v>
      </c>
      <c r="H4767">
        <v>0.92772319999999997</v>
      </c>
      <c r="I4767">
        <v>214.5847</v>
      </c>
      <c r="J4767">
        <v>-286.22800000000001</v>
      </c>
      <c r="K4767">
        <v>1.1101760000000001</v>
      </c>
      <c r="L4767">
        <v>214.70349999999999</v>
      </c>
      <c r="M4767">
        <v>0.99985800000000002</v>
      </c>
      <c r="N4767">
        <v>0</v>
      </c>
      <c r="O4767">
        <v>-9.4756900000000002E-3</v>
      </c>
      <c r="P4767">
        <v>0.99914939999999997</v>
      </c>
      <c r="Q4767">
        <v>-6.4411750000000004E-3</v>
      </c>
      <c r="R4767">
        <v>-4.0730849999999999E-2</v>
      </c>
      <c r="S4767">
        <v>2.9811399999999999</v>
      </c>
      <c r="T4767">
        <v>-0.64946309999999996</v>
      </c>
      <c r="U4767">
        <v>-0.43154910000000002</v>
      </c>
      <c r="V4767">
        <v>3.1262129999999999E-2</v>
      </c>
      <c r="W4767">
        <v>7.4770390000000004E-3</v>
      </c>
      <c r="X4767">
        <v>0.99948320000000002</v>
      </c>
      <c r="Y4767">
        <v>0.1310875</v>
      </c>
      <c r="Z4767">
        <v>-1.201293E-2</v>
      </c>
      <c r="AA4767">
        <v>0.99129800000000001</v>
      </c>
      <c r="AB4767">
        <v>26</v>
      </c>
      <c r="AC4767">
        <v>0.58379999999999599</v>
      </c>
      <c r="AD4767">
        <v>-0.1824528</v>
      </c>
      <c r="AE4767">
        <v>-0.11879999999999299</v>
      </c>
      <c r="AF4767">
        <v>0.103550352953967</v>
      </c>
      <c r="AG4767">
        <v>-0.1824528</v>
      </c>
      <c r="AH4767">
        <v>0.53474636533839204</v>
      </c>
      <c r="AI4767">
        <v>108.519429392101</v>
      </c>
      <c r="AJ4767">
        <v>79.040664502116101</v>
      </c>
      <c r="AK4767">
        <v>0.57442612672766902</v>
      </c>
      <c r="AL4767">
        <v>89.571593207509395</v>
      </c>
      <c r="AM4767">
        <v>88.208469812345498</v>
      </c>
      <c r="AN4767">
        <v>0.99999994698328998</v>
      </c>
    </row>
    <row r="4768" spans="1:40" x14ac:dyDescent="0.25">
      <c r="A4768" t="str">
        <f>"20190312154018647"</f>
        <v>20190312154018647</v>
      </c>
      <c r="B4768" t="str">
        <f>"1552376418641166"</f>
        <v>1552376418641166</v>
      </c>
      <c r="C4768" t="s">
        <v>40</v>
      </c>
      <c r="D4768">
        <v>3.9114659999999999</v>
      </c>
      <c r="E4768">
        <v>0.54225489999999998</v>
      </c>
      <c r="F4768" t="s">
        <v>41</v>
      </c>
      <c r="G4768">
        <v>-285.4126</v>
      </c>
      <c r="H4768">
        <v>0.92992470000000005</v>
      </c>
      <c r="I4768">
        <v>214.584</v>
      </c>
      <c r="J4768">
        <v>-285.96460000000002</v>
      </c>
      <c r="K4768">
        <v>1.110171</v>
      </c>
      <c r="L4768">
        <v>214.70089999999999</v>
      </c>
      <c r="M4768">
        <v>0.99985710000000005</v>
      </c>
      <c r="N4768">
        <v>0</v>
      </c>
      <c r="O4768">
        <v>-9.5870020000000007E-3</v>
      </c>
      <c r="P4768">
        <v>0.99914570000000003</v>
      </c>
      <c r="Q4768">
        <v>-6.5593930000000002E-3</v>
      </c>
      <c r="R4768">
        <v>-4.0806479999999999E-2</v>
      </c>
      <c r="S4768">
        <v>2.9805299999999999</v>
      </c>
      <c r="T4768">
        <v>-0.65888359999999901</v>
      </c>
      <c r="U4768">
        <v>-0.43573000000000001</v>
      </c>
      <c r="V4768">
        <v>3.1226440000000001E-2</v>
      </c>
      <c r="W4768">
        <v>7.3564019999999997E-3</v>
      </c>
      <c r="X4768">
        <v>0.99948530000000002</v>
      </c>
      <c r="Y4768">
        <v>0.1322614</v>
      </c>
      <c r="Z4768">
        <v>-1.228776E-2</v>
      </c>
      <c r="AA4768">
        <v>0.99113870000000004</v>
      </c>
      <c r="AB4768">
        <v>26</v>
      </c>
      <c r="AC4768">
        <v>0.55200000000002003</v>
      </c>
      <c r="AD4768">
        <v>-0.1802463</v>
      </c>
      <c r="AE4768">
        <v>-0.116899999999986</v>
      </c>
      <c r="AF4768">
        <v>0.101267974780707</v>
      </c>
      <c r="AG4768">
        <v>-0.1802463</v>
      </c>
      <c r="AH4768">
        <v>0.50188000491491302</v>
      </c>
      <c r="AI4768">
        <v>109.394468848287</v>
      </c>
      <c r="AJ4768">
        <v>78.592187817907401</v>
      </c>
      <c r="AK4768">
        <v>0.54279597521837697</v>
      </c>
      <c r="AL4768">
        <v>89.578505426493905</v>
      </c>
      <c r="AM4768">
        <v>88.210517516096203</v>
      </c>
      <c r="AN4768">
        <v>1.0000000360607699</v>
      </c>
    </row>
    <row r="4769" spans="1:40" x14ac:dyDescent="0.25">
      <c r="A4769" t="str">
        <f>"20190312154018669"</f>
        <v>20190312154018669</v>
      </c>
      <c r="B4769" t="str">
        <f>"1552376418660685"</f>
        <v>1552376418660685</v>
      </c>
      <c r="C4769" t="s">
        <v>40</v>
      </c>
      <c r="D4769">
        <v>3.8658060000000001</v>
      </c>
      <c r="E4769">
        <v>0.54245480000000001</v>
      </c>
      <c r="F4769" t="s">
        <v>41</v>
      </c>
      <c r="G4769">
        <v>-285.1798</v>
      </c>
      <c r="H4769">
        <v>0.93519509999999995</v>
      </c>
      <c r="I4769">
        <v>214.58529999999999</v>
      </c>
      <c r="J4769">
        <v>-285.71170000000001</v>
      </c>
      <c r="K4769">
        <v>1.1101719999999999</v>
      </c>
      <c r="L4769">
        <v>214.69839999999999</v>
      </c>
      <c r="M4769">
        <v>0.99985619999999997</v>
      </c>
      <c r="N4769">
        <v>0</v>
      </c>
      <c r="O4769">
        <v>-9.6935489999999992E-3</v>
      </c>
      <c r="P4769">
        <v>0.99914369999999997</v>
      </c>
      <c r="Q4769">
        <v>-6.6366009999999998E-3</v>
      </c>
      <c r="R4769">
        <v>-4.0841139999999998E-2</v>
      </c>
      <c r="S4769">
        <v>2.9802550000000001</v>
      </c>
      <c r="T4769">
        <v>-0.66456130000000002</v>
      </c>
      <c r="U4769">
        <v>-0.43847659999999999</v>
      </c>
      <c r="V4769">
        <v>3.115476E-2</v>
      </c>
      <c r="W4769">
        <v>7.2762959999999998E-3</v>
      </c>
      <c r="X4769">
        <v>0.99948809999999999</v>
      </c>
      <c r="Y4769">
        <v>0.13299820000000001</v>
      </c>
      <c r="Z4769">
        <v>-1.2448870000000001E-2</v>
      </c>
      <c r="AA4769">
        <v>0.99103810000000003</v>
      </c>
      <c r="AB4769">
        <v>26</v>
      </c>
      <c r="AC4769">
        <v>0.53190000000000703</v>
      </c>
      <c r="AD4769">
        <v>-0.17497689999999999</v>
      </c>
      <c r="AE4769">
        <v>-0.113100000000002</v>
      </c>
      <c r="AF4769">
        <v>9.7811096543940795E-2</v>
      </c>
      <c r="AG4769">
        <v>-0.17497689999999999</v>
      </c>
      <c r="AH4769">
        <v>0.48296644044304499</v>
      </c>
      <c r="AI4769">
        <v>109.54931003798499</v>
      </c>
      <c r="AJ4769">
        <v>78.551219428855305</v>
      </c>
      <c r="AK4769">
        <v>0.52291539347676896</v>
      </c>
      <c r="AL4769">
        <v>89.583095275191496</v>
      </c>
      <c r="AM4769">
        <v>88.214627593137195</v>
      </c>
      <c r="AN4769">
        <v>1.0000000127978701</v>
      </c>
    </row>
    <row r="4770" spans="1:40" x14ac:dyDescent="0.25">
      <c r="A4770" t="str">
        <f>"20190312154018691"</f>
        <v>20190312154018691</v>
      </c>
      <c r="B4770" t="str">
        <f>"1552376418681183"</f>
        <v>1552376418681183</v>
      </c>
      <c r="C4770" t="s">
        <v>40</v>
      </c>
      <c r="D4770">
        <v>3.872293</v>
      </c>
      <c r="E4770">
        <v>0.54270620000000003</v>
      </c>
      <c r="F4770" t="s">
        <v>41</v>
      </c>
      <c r="G4770">
        <v>-284.94799999999998</v>
      </c>
      <c r="H4770">
        <v>0.93910009999999999</v>
      </c>
      <c r="I4770">
        <v>214.58529999999999</v>
      </c>
      <c r="J4770">
        <v>-285.46080000000001</v>
      </c>
      <c r="K4770">
        <v>1.1101669999999999</v>
      </c>
      <c r="L4770">
        <v>214.69579999999999</v>
      </c>
      <c r="M4770">
        <v>0.9998551</v>
      </c>
      <c r="N4770">
        <v>0</v>
      </c>
      <c r="O4770">
        <v>-9.7991420000000003E-3</v>
      </c>
      <c r="P4770">
        <v>0.99915050000000005</v>
      </c>
      <c r="Q4770">
        <v>-6.9242990000000001E-3</v>
      </c>
      <c r="R4770">
        <v>-4.0625550000000003E-2</v>
      </c>
      <c r="S4770">
        <v>2.9801030000000002</v>
      </c>
      <c r="T4770">
        <v>-0.66762390000000005</v>
      </c>
      <c r="U4770">
        <v>-0.44009399999999999</v>
      </c>
      <c r="V4770">
        <v>3.083344E-2</v>
      </c>
      <c r="W4770">
        <v>6.9859099999999997E-3</v>
      </c>
      <c r="X4770">
        <v>0.9995001</v>
      </c>
      <c r="Y4770">
        <v>0.13339329999999999</v>
      </c>
      <c r="Z4770">
        <v>-1.252526E-2</v>
      </c>
      <c r="AA4770">
        <v>0.99098399999999998</v>
      </c>
      <c r="AB4770">
        <v>26</v>
      </c>
      <c r="AC4770">
        <v>0.51280000000002701</v>
      </c>
      <c r="AD4770">
        <v>-0.17106689999999899</v>
      </c>
      <c r="AE4770">
        <v>-0.110500000000001</v>
      </c>
      <c r="AF4770">
        <v>9.5331054004551496E-2</v>
      </c>
      <c r="AG4770">
        <v>-0.17106689999999899</v>
      </c>
      <c r="AH4770">
        <v>0.464464021398724</v>
      </c>
      <c r="AI4770">
        <v>109.838895038853</v>
      </c>
      <c r="AJ4770">
        <v>78.401150256190505</v>
      </c>
      <c r="AK4770">
        <v>0.50406221967838705</v>
      </c>
      <c r="AL4770">
        <v>89.599733575966397</v>
      </c>
      <c r="AM4770">
        <v>88.233050806987094</v>
      </c>
      <c r="AN4770">
        <v>0.999999976930385</v>
      </c>
    </row>
    <row r="4771" spans="1:40" x14ac:dyDescent="0.25">
      <c r="A4771" t="str">
        <f>"20190312154018714"</f>
        <v>20190312154018714</v>
      </c>
      <c r="B4771" t="str">
        <f>"1552376418700702"</f>
        <v>1552376418700702</v>
      </c>
      <c r="C4771" t="s">
        <v>40</v>
      </c>
      <c r="D4771">
        <v>3.8640310000000002</v>
      </c>
      <c r="E4771">
        <v>0.54334369999999999</v>
      </c>
      <c r="F4771" t="s">
        <v>41</v>
      </c>
      <c r="G4771">
        <v>-284.71660000000003</v>
      </c>
      <c r="H4771">
        <v>0.9425867</v>
      </c>
      <c r="I4771">
        <v>214.5856</v>
      </c>
      <c r="J4771">
        <v>-285.20269999999999</v>
      </c>
      <c r="K4771">
        <v>1.1101700000000001</v>
      </c>
      <c r="L4771">
        <v>214.69309999999999</v>
      </c>
      <c r="M4771">
        <v>0.99985409999999997</v>
      </c>
      <c r="N4771">
        <v>0</v>
      </c>
      <c r="O4771">
        <v>-9.9083079999999994E-3</v>
      </c>
      <c r="P4771">
        <v>0.99912990000000002</v>
      </c>
      <c r="Q4771">
        <v>-7.4373249999999998E-3</v>
      </c>
      <c r="R4771">
        <v>-4.1041439999999998E-2</v>
      </c>
      <c r="S4771">
        <v>2.9799500000000001</v>
      </c>
      <c r="T4771">
        <v>-0.67102220000000001</v>
      </c>
      <c r="U4771">
        <v>-0.44113160000000001</v>
      </c>
      <c r="V4771">
        <v>3.1140330000000001E-2</v>
      </c>
      <c r="W4771">
        <v>6.4699839999999998E-3</v>
      </c>
      <c r="X4771">
        <v>0.99949410000000005</v>
      </c>
      <c r="Y4771">
        <v>0.13359740000000001</v>
      </c>
      <c r="Z4771">
        <v>-1.258624E-2</v>
      </c>
      <c r="AA4771">
        <v>0.99095580000000005</v>
      </c>
      <c r="AB4771">
        <v>26</v>
      </c>
      <c r="AC4771">
        <v>0.48609999999996401</v>
      </c>
      <c r="AD4771">
        <v>-0.16758329999999999</v>
      </c>
      <c r="AE4771">
        <v>-0.10749999999998699</v>
      </c>
      <c r="AF4771">
        <v>9.2227412467523001E-2</v>
      </c>
      <c r="AG4771">
        <v>-0.16758329999999999</v>
      </c>
      <c r="AH4771">
        <v>0.43756076854507697</v>
      </c>
      <c r="AI4771">
        <v>110.54399574956</v>
      </c>
      <c r="AJ4771">
        <v>78.097630915113996</v>
      </c>
      <c r="AK4771">
        <v>0.47754526928774299</v>
      </c>
      <c r="AL4771">
        <v>89.629294643739001</v>
      </c>
      <c r="AM4771">
        <v>88.215464697880194</v>
      </c>
      <c r="AN4771">
        <v>1.0000000183901301</v>
      </c>
    </row>
    <row r="4772" spans="1:40" x14ac:dyDescent="0.25">
      <c r="A4772" t="str">
        <f>"20190312154018737"</f>
        <v>20190312154018737</v>
      </c>
      <c r="B4772" t="str">
        <f>"1552376418730958"</f>
        <v>1552376418730958</v>
      </c>
      <c r="C4772" t="s">
        <v>40</v>
      </c>
      <c r="D4772">
        <v>3.7822680000000002</v>
      </c>
      <c r="E4772">
        <v>0.54399759999999997</v>
      </c>
      <c r="F4772" t="s">
        <v>41</v>
      </c>
      <c r="G4772">
        <v>-284.48500000000001</v>
      </c>
      <c r="H4772">
        <v>0.94703079999999995</v>
      </c>
      <c r="I4772">
        <v>214.58519999999999</v>
      </c>
      <c r="J4772">
        <v>-284.9384</v>
      </c>
      <c r="K4772">
        <v>1.1101730000000001</v>
      </c>
      <c r="L4772">
        <v>214.69040000000001</v>
      </c>
      <c r="M4772">
        <v>0.99985290000000004</v>
      </c>
      <c r="N4772">
        <v>0</v>
      </c>
      <c r="O4772">
        <v>-1.0019500000000001E-2</v>
      </c>
      <c r="P4772">
        <v>0.99910549999999998</v>
      </c>
      <c r="Q4772">
        <v>-7.8626759999999903E-3</v>
      </c>
      <c r="R4772">
        <v>-4.155209E-2</v>
      </c>
      <c r="S4772">
        <v>2.9792480000000001</v>
      </c>
      <c r="T4772">
        <v>-0.6771857</v>
      </c>
      <c r="U4772">
        <v>-0.44747920000000002</v>
      </c>
      <c r="V4772">
        <v>3.1539599999999897E-2</v>
      </c>
      <c r="W4772">
        <v>6.0417930000000002E-3</v>
      </c>
      <c r="X4772">
        <v>0.99948419999999905</v>
      </c>
      <c r="Y4772">
        <v>0.13548650000000001</v>
      </c>
      <c r="Z4772">
        <v>-1.288605E-2</v>
      </c>
      <c r="AA4772">
        <v>0.9906954</v>
      </c>
      <c r="AB4772">
        <v>26</v>
      </c>
      <c r="AC4772">
        <v>0.45339999999998698</v>
      </c>
      <c r="AD4772">
        <v>-0.16314219999999899</v>
      </c>
      <c r="AE4772">
        <v>-0.105200000000024</v>
      </c>
      <c r="AF4772">
        <v>8.9638765957503905E-2</v>
      </c>
      <c r="AG4772">
        <v>-0.16314219999999899</v>
      </c>
      <c r="AH4772">
        <v>0.40471025873200001</v>
      </c>
      <c r="AI4772">
        <v>111.48313382805399</v>
      </c>
      <c r="AJ4772">
        <v>77.511246181294396</v>
      </c>
      <c r="AK4772">
        <v>0.44546703503867302</v>
      </c>
      <c r="AL4772">
        <v>89.653828639727905</v>
      </c>
      <c r="AM4772">
        <v>88.192581223762303</v>
      </c>
      <c r="AN4772">
        <v>0.99999995784022599</v>
      </c>
    </row>
    <row r="4773" spans="1:40" x14ac:dyDescent="0.25">
      <c r="A4773" t="str">
        <f>"20190312154018759"</f>
        <v>20190312154018759</v>
      </c>
      <c r="B4773" t="str">
        <f>"1552376418750477"</f>
        <v>1552376418750477</v>
      </c>
      <c r="C4773" t="s">
        <v>40</v>
      </c>
      <c r="D4773">
        <v>3.7904749999999998</v>
      </c>
      <c r="E4773">
        <v>0.54462840000000001</v>
      </c>
      <c r="F4773" t="s">
        <v>41</v>
      </c>
      <c r="G4773">
        <v>-284.25279999999998</v>
      </c>
      <c r="H4773">
        <v>0.95326880000000003</v>
      </c>
      <c r="I4773">
        <v>214.5857</v>
      </c>
      <c r="J4773">
        <v>-284.68540000000002</v>
      </c>
      <c r="K4773">
        <v>1.1101700000000001</v>
      </c>
      <c r="L4773">
        <v>214.68780000000001</v>
      </c>
      <c r="M4773">
        <v>0.99985190000000002</v>
      </c>
      <c r="N4773">
        <v>0</v>
      </c>
      <c r="O4773">
        <v>-1.012628E-2</v>
      </c>
      <c r="P4773">
        <v>0.99908200000000003</v>
      </c>
      <c r="Q4773">
        <v>-7.8190250000000003E-3</v>
      </c>
      <c r="R4773">
        <v>-4.2121159999999998E-2</v>
      </c>
      <c r="S4773">
        <v>2.9783940000000002</v>
      </c>
      <c r="T4773">
        <v>-0.68167630000000001</v>
      </c>
      <c r="U4773">
        <v>-0.45422360000000001</v>
      </c>
      <c r="V4773">
        <v>3.2002349999999999E-2</v>
      </c>
      <c r="W4773">
        <v>6.0827989999999998E-3</v>
      </c>
      <c r="X4773">
        <v>0.9994693</v>
      </c>
      <c r="Y4773">
        <v>0.13752490000000001</v>
      </c>
      <c r="Z4773">
        <v>-1.3175900000000001E-2</v>
      </c>
      <c r="AA4773">
        <v>0.99041069999999998</v>
      </c>
      <c r="AB4773">
        <v>26</v>
      </c>
      <c r="AC4773">
        <v>0.43260000000003601</v>
      </c>
      <c r="AD4773">
        <v>-0.15690119999999999</v>
      </c>
      <c r="AE4773">
        <v>-0.102100000000007</v>
      </c>
      <c r="AF4773">
        <v>8.6887088629458195E-2</v>
      </c>
      <c r="AG4773">
        <v>-0.15690119999999999</v>
      </c>
      <c r="AH4773">
        <v>0.38556787163237</v>
      </c>
      <c r="AI4773">
        <v>111.65211085055201</v>
      </c>
      <c r="AJ4773">
        <v>77.300619977753001</v>
      </c>
      <c r="AK4773">
        <v>0.42524103325885498</v>
      </c>
      <c r="AL4773">
        <v>89.651479146075403</v>
      </c>
      <c r="AM4773">
        <v>88.166053375355105</v>
      </c>
      <c r="AN4773">
        <v>1.00000001624584</v>
      </c>
    </row>
    <row r="4774" spans="1:40" x14ac:dyDescent="0.25">
      <c r="A4774" t="str">
        <f>"20190312154018781"</f>
        <v>20190312154018781</v>
      </c>
      <c r="B4774" t="str">
        <f>"1552376418770974"</f>
        <v>1552376418770974</v>
      </c>
      <c r="C4774" t="s">
        <v>40</v>
      </c>
      <c r="D4774">
        <v>3.7605810000000002</v>
      </c>
      <c r="E4774">
        <v>0.54513219999999996</v>
      </c>
      <c r="F4774" t="s">
        <v>41</v>
      </c>
      <c r="G4774">
        <v>-283.81459999999998</v>
      </c>
      <c r="H4774">
        <v>0.9100317</v>
      </c>
      <c r="I4774">
        <v>214.55289999999999</v>
      </c>
      <c r="J4774">
        <v>-284.42860000000002</v>
      </c>
      <c r="K4774">
        <v>1.1101700000000001</v>
      </c>
      <c r="L4774">
        <v>214.685</v>
      </c>
      <c r="M4774">
        <v>0.99985100000000005</v>
      </c>
      <c r="N4774">
        <v>0</v>
      </c>
      <c r="O4774">
        <v>-1.023318E-2</v>
      </c>
      <c r="P4774">
        <v>0.99907520000000005</v>
      </c>
      <c r="Q4774">
        <v>-7.9929509999999999E-3</v>
      </c>
      <c r="R4774">
        <v>-4.2253560000000003E-2</v>
      </c>
      <c r="S4774">
        <v>2.9779659999999999</v>
      </c>
      <c r="T4774">
        <v>-0.68449530000000003</v>
      </c>
      <c r="U4774">
        <v>-0.46096799999999999</v>
      </c>
      <c r="V4774">
        <v>3.2027989999999999E-2</v>
      </c>
      <c r="W4774">
        <v>5.9058950000000004E-3</v>
      </c>
      <c r="X4774">
        <v>0.99946950000000001</v>
      </c>
      <c r="Y4774">
        <v>0.1395564</v>
      </c>
      <c r="Z4774">
        <v>-1.343374E-2</v>
      </c>
      <c r="AA4774">
        <v>0.99012299999999998</v>
      </c>
      <c r="AB4774">
        <v>26</v>
      </c>
      <c r="AC4774">
        <v>0.61400000000003196</v>
      </c>
      <c r="AD4774">
        <v>-0.20013829999999999</v>
      </c>
      <c r="AE4774">
        <v>-0.13210000000000799</v>
      </c>
      <c r="AF4774">
        <v>0.114211341292314</v>
      </c>
      <c r="AG4774">
        <v>-0.20013829999999999</v>
      </c>
      <c r="AH4774">
        <v>0.55859539810718695</v>
      </c>
      <c r="AI4774">
        <v>109.342417674552</v>
      </c>
      <c r="AJ4774">
        <v>78.444477656384294</v>
      </c>
      <c r="AK4774">
        <v>0.60425854432784498</v>
      </c>
      <c r="AL4774">
        <v>89.6616151671887</v>
      </c>
      <c r="AM4774">
        <v>88.164585405150902</v>
      </c>
      <c r="AN4774">
        <v>0.99999997658471995</v>
      </c>
    </row>
    <row r="4775" spans="1:40" x14ac:dyDescent="0.25">
      <c r="A4775" t="str">
        <f>"20190312154018805"</f>
        <v>20190312154018805</v>
      </c>
      <c r="B4775" t="str">
        <f>"1552376418790494"</f>
        <v>1552376418790494</v>
      </c>
      <c r="C4775" t="s">
        <v>40</v>
      </c>
      <c r="D4775">
        <v>3.8033700000000001</v>
      </c>
      <c r="E4775">
        <v>0.54560350000000002</v>
      </c>
      <c r="F4775" t="s">
        <v>41</v>
      </c>
      <c r="G4775">
        <v>-283.58420000000001</v>
      </c>
      <c r="H4775">
        <v>0.91522159999999997</v>
      </c>
      <c r="I4775">
        <v>214.55269999999999</v>
      </c>
      <c r="J4775">
        <v>-284.16520000000003</v>
      </c>
      <c r="K4775">
        <v>1.1101760000000001</v>
      </c>
      <c r="L4775">
        <v>214.68219999999999</v>
      </c>
      <c r="M4775">
        <v>0.99984980000000001</v>
      </c>
      <c r="N4775">
        <v>0</v>
      </c>
      <c r="O4775">
        <v>-1.034065E-2</v>
      </c>
      <c r="P4775">
        <v>0.99906189999999995</v>
      </c>
      <c r="Q4775">
        <v>-7.9155649999999994E-3</v>
      </c>
      <c r="R4775">
        <v>-4.2575490000000001E-2</v>
      </c>
      <c r="S4775">
        <v>2.9776609999999999</v>
      </c>
      <c r="T4775">
        <v>-0.6874633</v>
      </c>
      <c r="U4775">
        <v>-0.46537780000000001</v>
      </c>
      <c r="V4775">
        <v>3.2242609999999998E-2</v>
      </c>
      <c r="W4775">
        <v>5.9802809999999996E-3</v>
      </c>
      <c r="X4775">
        <v>0.99946219999999997</v>
      </c>
      <c r="Y4775">
        <v>0.14083870000000001</v>
      </c>
      <c r="Z4775">
        <v>-1.361131E-2</v>
      </c>
      <c r="AA4775">
        <v>0.98993900000000001</v>
      </c>
      <c r="AB4775">
        <v>26</v>
      </c>
      <c r="AC4775">
        <v>0.58100000000001695</v>
      </c>
      <c r="AD4775">
        <v>-0.1949544</v>
      </c>
      <c r="AE4775">
        <v>-0.129500000000007</v>
      </c>
      <c r="AF4775">
        <v>0.11152218739832501</v>
      </c>
      <c r="AG4775">
        <v>-0.1949544</v>
      </c>
      <c r="AH4775">
        <v>0.525897917136254</v>
      </c>
      <c r="AI4775">
        <v>109.93284105061799</v>
      </c>
      <c r="AJ4775">
        <v>78.027195099939107</v>
      </c>
      <c r="AK4775">
        <v>0.57185053607539604</v>
      </c>
      <c r="AL4775">
        <v>89.657353102649395</v>
      </c>
      <c r="AM4775">
        <v>88.152281277667896</v>
      </c>
      <c r="AN4775">
        <v>1.0000000194446399</v>
      </c>
    </row>
    <row r="4776" spans="1:40" x14ac:dyDescent="0.25">
      <c r="A4776" t="str">
        <f>"20190312154018826"</f>
        <v>20190312154018826</v>
      </c>
      <c r="B4776" t="str">
        <f>"1552376418820750"</f>
        <v>1552376418820750</v>
      </c>
      <c r="C4776" t="s">
        <v>40</v>
      </c>
      <c r="D4776">
        <v>3.7376520000000002</v>
      </c>
      <c r="E4776">
        <v>0.54608789999999996</v>
      </c>
      <c r="F4776" t="s">
        <v>41</v>
      </c>
      <c r="G4776">
        <v>-283.35309999999998</v>
      </c>
      <c r="H4776">
        <v>0.92203780000000002</v>
      </c>
      <c r="I4776">
        <v>214.5539</v>
      </c>
      <c r="J4776">
        <v>-283.91910000000001</v>
      </c>
      <c r="K4776">
        <v>1.110179</v>
      </c>
      <c r="L4776">
        <v>214.67949999999999</v>
      </c>
      <c r="M4776">
        <v>0.99984879999999998</v>
      </c>
      <c r="N4776">
        <v>0</v>
      </c>
      <c r="O4776">
        <v>-1.0437729999999999E-2</v>
      </c>
      <c r="P4776">
        <v>0.99907239999999997</v>
      </c>
      <c r="Q4776">
        <v>-7.88728E-3</v>
      </c>
      <c r="R4776">
        <v>-4.2335640000000001E-2</v>
      </c>
      <c r="S4776">
        <v>2.9773559999999999</v>
      </c>
      <c r="T4776">
        <v>-0.68978249999999997</v>
      </c>
      <c r="U4776">
        <v>-0.46998600000000001</v>
      </c>
      <c r="V4776">
        <v>3.1905509999999998E-2</v>
      </c>
      <c r="W4776">
        <v>6.0065079999999998E-3</v>
      </c>
      <c r="X4776">
        <v>0.9994729</v>
      </c>
      <c r="Y4776">
        <v>0.14219860000000001</v>
      </c>
      <c r="Z4776">
        <v>-1.378834E-2</v>
      </c>
      <c r="AA4776">
        <v>0.98974209999999996</v>
      </c>
      <c r="AB4776">
        <v>26</v>
      </c>
      <c r="AC4776">
        <v>0.56600000000003003</v>
      </c>
      <c r="AD4776">
        <v>-0.18814120000000001</v>
      </c>
      <c r="AE4776">
        <v>-0.125599999999991</v>
      </c>
      <c r="AF4776">
        <v>0.108281942881751</v>
      </c>
      <c r="AG4776">
        <v>-0.18814120000000001</v>
      </c>
      <c r="AH4776">
        <v>0.51323304268787795</v>
      </c>
      <c r="AI4776">
        <v>109.73211713550999</v>
      </c>
      <c r="AJ4776">
        <v>78.086449451443102</v>
      </c>
      <c r="AK4776">
        <v>0.55725240815840704</v>
      </c>
      <c r="AL4776">
        <v>89.655850392813704</v>
      </c>
      <c r="AM4776">
        <v>88.171605757472605</v>
      </c>
      <c r="AN4776">
        <v>1.00000005877056</v>
      </c>
    </row>
    <row r="4777" spans="1:40" x14ac:dyDescent="0.25">
      <c r="A4777" t="str">
        <f>"20190312154018849"</f>
        <v>20190312154018849</v>
      </c>
      <c r="B4777" t="str">
        <f>"1552376418841246"</f>
        <v>1552376418841246</v>
      </c>
      <c r="C4777" t="s">
        <v>40</v>
      </c>
      <c r="D4777">
        <v>3.731741</v>
      </c>
      <c r="E4777">
        <v>0.54638319999999996</v>
      </c>
      <c r="F4777" t="s">
        <v>41</v>
      </c>
      <c r="G4777">
        <v>-283.12380000000002</v>
      </c>
      <c r="H4777">
        <v>0.9255736</v>
      </c>
      <c r="I4777">
        <v>214.5531</v>
      </c>
      <c r="J4777">
        <v>-283.66379999999998</v>
      </c>
      <c r="K4777">
        <v>1.1101859999999999</v>
      </c>
      <c r="L4777">
        <v>214.67670000000001</v>
      </c>
      <c r="M4777">
        <v>0.99984790000000001</v>
      </c>
      <c r="N4777">
        <v>0</v>
      </c>
      <c r="O4777">
        <v>-1.053217E-2</v>
      </c>
      <c r="P4777">
        <v>0.99906439999999996</v>
      </c>
      <c r="Q4777">
        <v>-7.6695259999999899E-3</v>
      </c>
      <c r="R4777">
        <v>-4.2560380000000002E-2</v>
      </c>
      <c r="S4777">
        <v>2.977325</v>
      </c>
      <c r="T4777">
        <v>-0.69110119999999997</v>
      </c>
      <c r="U4777">
        <v>-0.47293089999999999</v>
      </c>
      <c r="V4777">
        <v>3.2036009999999997E-2</v>
      </c>
      <c r="W4777">
        <v>6.2215559999999996E-3</v>
      </c>
      <c r="X4777">
        <v>0.99946740000000001</v>
      </c>
      <c r="Y4777">
        <v>0.1430303</v>
      </c>
      <c r="Z4777">
        <v>-1.388635E-2</v>
      </c>
      <c r="AA4777">
        <v>0.98962090000000003</v>
      </c>
      <c r="AB4777">
        <v>26</v>
      </c>
      <c r="AC4777">
        <v>0.53999999999996295</v>
      </c>
      <c r="AD4777">
        <v>-0.18461240000000001</v>
      </c>
      <c r="AE4777">
        <v>-0.12360000000000999</v>
      </c>
      <c r="AF4777">
        <v>0.10611958639241501</v>
      </c>
      <c r="AG4777">
        <v>-0.18461240000000001</v>
      </c>
      <c r="AH4777">
        <v>0.48716718458910702</v>
      </c>
      <c r="AI4777">
        <v>110.317980397241</v>
      </c>
      <c r="AJ4777">
        <v>77.711231970468404</v>
      </c>
      <c r="AK4777">
        <v>0.53167186364367103</v>
      </c>
      <c r="AL4777">
        <v>89.643528816823206</v>
      </c>
      <c r="AM4777">
        <v>88.164122266097294</v>
      </c>
      <c r="AN4777">
        <v>1.00000004867926</v>
      </c>
    </row>
    <row r="4778" spans="1:40" x14ac:dyDescent="0.25">
      <c r="A4778" t="str">
        <f>"20190312154018871"</f>
        <v>20190312154018871</v>
      </c>
      <c r="B4778" t="str">
        <f>"1552376418860766"</f>
        <v>1552376418860766</v>
      </c>
      <c r="C4778" t="s">
        <v>40</v>
      </c>
      <c r="D4778">
        <v>3.69733</v>
      </c>
      <c r="E4778">
        <v>0.546562199999999</v>
      </c>
      <c r="F4778" t="s">
        <v>41</v>
      </c>
      <c r="G4778">
        <v>-282.89350000000002</v>
      </c>
      <c r="H4778">
        <v>0.93141320000000005</v>
      </c>
      <c r="I4778">
        <v>214.55350000000001</v>
      </c>
      <c r="J4778">
        <v>-283.40870000000001</v>
      </c>
      <c r="K4778">
        <v>1.110193</v>
      </c>
      <c r="L4778">
        <v>214.6739</v>
      </c>
      <c r="M4778">
        <v>0.99984709999999999</v>
      </c>
      <c r="N4778">
        <v>0</v>
      </c>
      <c r="O4778">
        <v>-1.061727E-2</v>
      </c>
      <c r="P4778">
        <v>0.99905560000000004</v>
      </c>
      <c r="Q4778">
        <v>-7.0488469999999996E-3</v>
      </c>
      <c r="R4778">
        <v>-4.2878520000000003E-2</v>
      </c>
      <c r="S4778">
        <v>2.9772340000000002</v>
      </c>
      <c r="T4778">
        <v>-0.69101820000000003</v>
      </c>
      <c r="U4778">
        <v>-0.47595209999999999</v>
      </c>
      <c r="V4778">
        <v>3.2269039999999999E-2</v>
      </c>
      <c r="W4778">
        <v>6.8400010000000001E-3</v>
      </c>
      <c r="X4778">
        <v>0.99945580000000001</v>
      </c>
      <c r="Y4778">
        <v>0.14391080000000001</v>
      </c>
      <c r="Z4778">
        <v>-1.396494E-2</v>
      </c>
      <c r="AA4778">
        <v>0.98949209999999999</v>
      </c>
      <c r="AB4778">
        <v>25</v>
      </c>
      <c r="AC4778">
        <v>0.515199999999993</v>
      </c>
      <c r="AD4778">
        <v>-0.17877979999999999</v>
      </c>
      <c r="AE4778">
        <v>-0.120399999999989</v>
      </c>
      <c r="AF4778">
        <v>0.103145469483897</v>
      </c>
      <c r="AG4778">
        <v>-0.17877979999999999</v>
      </c>
      <c r="AH4778">
        <v>0.46352401231225898</v>
      </c>
      <c r="AI4778">
        <v>110.630766646094</v>
      </c>
      <c r="AJ4778">
        <v>77.454686726522297</v>
      </c>
      <c r="AK4778">
        <v>0.50740094082800902</v>
      </c>
      <c r="AL4778">
        <v>89.608093749517494</v>
      </c>
      <c r="AM4778">
        <v>88.150755878529907</v>
      </c>
      <c r="AN4778">
        <v>0.99999998635492005</v>
      </c>
    </row>
    <row r="4779" spans="1:40" x14ac:dyDescent="0.25">
      <c r="A4779" t="str">
        <f>"20190312154018892"</f>
        <v>20190312154018892</v>
      </c>
      <c r="B4779" t="str">
        <f>"1552376418880286"</f>
        <v>1552376418880286</v>
      </c>
      <c r="C4779" t="s">
        <v>40</v>
      </c>
      <c r="D4779">
        <v>3.695468</v>
      </c>
      <c r="E4779">
        <v>0.54679299999999997</v>
      </c>
      <c r="F4779" t="s">
        <v>41</v>
      </c>
      <c r="G4779">
        <v>-282.66340000000002</v>
      </c>
      <c r="H4779">
        <v>0.93771539999999998</v>
      </c>
      <c r="I4779">
        <v>214.55410000000001</v>
      </c>
      <c r="J4779">
        <v>-283.16219999999998</v>
      </c>
      <c r="K4779">
        <v>1.110204</v>
      </c>
      <c r="L4779">
        <v>214.6712</v>
      </c>
      <c r="M4779">
        <v>0.99984629999999997</v>
      </c>
      <c r="N4779">
        <v>0</v>
      </c>
      <c r="O4779">
        <v>-1.0687429999999999E-2</v>
      </c>
      <c r="P4779">
        <v>0.99904099999999996</v>
      </c>
      <c r="Q4779">
        <v>-6.8506060000000004E-3</v>
      </c>
      <c r="R4779">
        <v>-4.325089E-2</v>
      </c>
      <c r="S4779">
        <v>2.977417</v>
      </c>
      <c r="T4779">
        <v>-0.68907180000000001</v>
      </c>
      <c r="U4779">
        <v>-0.47807309999999997</v>
      </c>
      <c r="V4779">
        <v>3.2571160000000002E-2</v>
      </c>
      <c r="W4779">
        <v>7.0359759999999898E-3</v>
      </c>
      <c r="X4779">
        <v>0.99944469999999996</v>
      </c>
      <c r="Y4779">
        <v>0.1445253</v>
      </c>
      <c r="Z4779">
        <v>-1.3978849999999999E-2</v>
      </c>
      <c r="AA4779">
        <v>0.98940240000000002</v>
      </c>
      <c r="AB4779">
        <v>25</v>
      </c>
      <c r="AC4779">
        <v>0.49879999999996</v>
      </c>
      <c r="AD4779">
        <v>-0.17248859999999999</v>
      </c>
      <c r="AE4779">
        <v>-0.117099999999993</v>
      </c>
      <c r="AF4779">
        <v>0.100384688655606</v>
      </c>
      <c r="AG4779">
        <v>-0.17248859999999999</v>
      </c>
      <c r="AH4779">
        <v>0.44912141952051698</v>
      </c>
      <c r="AI4779">
        <v>110.546476277313</v>
      </c>
      <c r="AJ4779">
        <v>77.400709896469493</v>
      </c>
      <c r="AK4779">
        <v>0.49146663398298701</v>
      </c>
      <c r="AL4779">
        <v>89.596864963103897</v>
      </c>
      <c r="AM4779">
        <v>88.133433741601706</v>
      </c>
      <c r="AN4779">
        <v>1.0000000468900501</v>
      </c>
    </row>
    <row r="4780" spans="1:40" x14ac:dyDescent="0.25">
      <c r="A4780" t="str">
        <f>"20190312154018915"</f>
        <v>20190312154018915</v>
      </c>
      <c r="B4780" t="str">
        <f>"1552376418910541"</f>
        <v>1552376418910541</v>
      </c>
      <c r="C4780" t="s">
        <v>40</v>
      </c>
      <c r="D4780">
        <v>3.7017229999999999</v>
      </c>
      <c r="E4780">
        <v>0.54699819999999999</v>
      </c>
      <c r="F4780" t="s">
        <v>41</v>
      </c>
      <c r="G4780">
        <v>-282.43450000000001</v>
      </c>
      <c r="H4780">
        <v>0.94186939999999997</v>
      </c>
      <c r="I4780">
        <v>214.55359999999999</v>
      </c>
      <c r="J4780">
        <v>-282.90879999999999</v>
      </c>
      <c r="K4780">
        <v>1.1102099999999999</v>
      </c>
      <c r="L4780">
        <v>214.66849999999999</v>
      </c>
      <c r="M4780">
        <v>0.99984569999999995</v>
      </c>
      <c r="N4780">
        <v>0</v>
      </c>
      <c r="O4780">
        <v>-1.0745029999999999E-2</v>
      </c>
      <c r="P4780">
        <v>0.99904190000000004</v>
      </c>
      <c r="Q4780">
        <v>-6.7406460000000003E-3</v>
      </c>
      <c r="R4780">
        <v>-4.3247870000000001E-2</v>
      </c>
      <c r="S4780">
        <v>2.977325</v>
      </c>
      <c r="T4780">
        <v>-0.68876090000000001</v>
      </c>
      <c r="U4780">
        <v>-0.48121639999999999</v>
      </c>
      <c r="V4780">
        <v>3.251047E-2</v>
      </c>
      <c r="W4780">
        <v>7.1446919999999898E-3</v>
      </c>
      <c r="X4780">
        <v>0.9994459</v>
      </c>
      <c r="Y4780">
        <v>0.14547179999999901</v>
      </c>
      <c r="Z4780">
        <v>-1.406632E-2</v>
      </c>
      <c r="AA4780">
        <v>0.98926239999999999</v>
      </c>
      <c r="AB4780">
        <v>25</v>
      </c>
      <c r="AC4780">
        <v>0.47429999999997102</v>
      </c>
      <c r="AD4780">
        <v>-0.16834060000000001</v>
      </c>
      <c r="AE4780">
        <v>-0.114900000000005</v>
      </c>
      <c r="AF4780">
        <v>9.8121225189793104E-2</v>
      </c>
      <c r="AG4780">
        <v>-0.16834060000000001</v>
      </c>
      <c r="AH4780">
        <v>0.42494396500231701</v>
      </c>
      <c r="AI4780">
        <v>111.106164241508</v>
      </c>
      <c r="AJ4780">
        <v>76.998056761597198</v>
      </c>
      <c r="AK4780">
        <v>0.46748658358609202</v>
      </c>
      <c r="AL4780">
        <v>89.5906358369092</v>
      </c>
      <c r="AM4780">
        <v>88.136911505494098</v>
      </c>
      <c r="AN4780">
        <v>1.0000000421551001</v>
      </c>
    </row>
    <row r="4781" spans="1:40" x14ac:dyDescent="0.25">
      <c r="A4781" t="str">
        <f>"20190312154018938"</f>
        <v>20190312154018938</v>
      </c>
      <c r="B4781" t="str">
        <f>"1552376418931038"</f>
        <v>1552376418931038</v>
      </c>
      <c r="C4781" t="s">
        <v>40</v>
      </c>
      <c r="D4781">
        <v>3.7221700000000002</v>
      </c>
      <c r="E4781">
        <v>0.54712130000000003</v>
      </c>
      <c r="F4781" t="s">
        <v>41</v>
      </c>
      <c r="G4781">
        <v>-282.20519999999999</v>
      </c>
      <c r="H4781">
        <v>0.9476099</v>
      </c>
      <c r="I4781">
        <v>214.554</v>
      </c>
      <c r="J4781">
        <v>-282.65089999999998</v>
      </c>
      <c r="K4781">
        <v>1.110228</v>
      </c>
      <c r="L4781">
        <v>214.66560000000001</v>
      </c>
      <c r="M4781">
        <v>0.99984519999999999</v>
      </c>
      <c r="N4781">
        <v>0</v>
      </c>
      <c r="O4781">
        <v>-1.0786520000000001E-2</v>
      </c>
      <c r="P4781">
        <v>0.99904939999999998</v>
      </c>
      <c r="Q4781">
        <v>-6.5656580000000003E-3</v>
      </c>
      <c r="R4781">
        <v>-4.3095040000000001E-2</v>
      </c>
      <c r="S4781">
        <v>2.977325</v>
      </c>
      <c r="T4781">
        <v>-0.6880674</v>
      </c>
      <c r="U4781">
        <v>-0.48306270000000001</v>
      </c>
      <c r="V4781">
        <v>3.2315789999999997E-2</v>
      </c>
      <c r="W4781">
        <v>7.3177800000000003E-3</v>
      </c>
      <c r="X4781">
        <v>0.99945090000000003</v>
      </c>
      <c r="Y4781">
        <v>0.14602279999999901</v>
      </c>
      <c r="Z4781">
        <v>-1.410489E-2</v>
      </c>
      <c r="AA4781">
        <v>0.98918070000000002</v>
      </c>
      <c r="AB4781">
        <v>25</v>
      </c>
      <c r="AC4781">
        <v>0.44569999999998799</v>
      </c>
      <c r="AD4781">
        <v>-0.16261809999999999</v>
      </c>
      <c r="AE4781">
        <v>-0.111600000000009</v>
      </c>
      <c r="AF4781">
        <v>9.4897752849154998E-2</v>
      </c>
      <c r="AG4781">
        <v>-0.16261809999999999</v>
      </c>
      <c r="AH4781">
        <v>0.39712992919527301</v>
      </c>
      <c r="AI4781">
        <v>111.71592466702</v>
      </c>
      <c r="AJ4781">
        <v>76.5606789398541</v>
      </c>
      <c r="AK4781">
        <v>0.43950245802051202</v>
      </c>
      <c r="AL4781">
        <v>89.580718340426202</v>
      </c>
      <c r="AM4781">
        <v>88.148069564153104</v>
      </c>
      <c r="AN4781">
        <v>0.999999980849131</v>
      </c>
    </row>
    <row r="4782" spans="1:40" x14ac:dyDescent="0.25">
      <c r="A4782" t="str">
        <f>"20190312154018960"</f>
        <v>20190312154018960</v>
      </c>
      <c r="B4782" t="str">
        <f>"1552376418950558"</f>
        <v>1552376418950558</v>
      </c>
      <c r="C4782" t="s">
        <v>40</v>
      </c>
      <c r="D4782">
        <v>3.6706400000000001</v>
      </c>
      <c r="E4782">
        <v>0.54719449999999903</v>
      </c>
      <c r="F4782" t="s">
        <v>41</v>
      </c>
      <c r="G4782">
        <v>-281.77050000000003</v>
      </c>
      <c r="H4782">
        <v>0.90706189999999998</v>
      </c>
      <c r="I4782">
        <v>214.5224</v>
      </c>
      <c r="J4782">
        <v>-282.4049</v>
      </c>
      <c r="K4782">
        <v>1.1102430000000001</v>
      </c>
      <c r="L4782">
        <v>214.66290000000001</v>
      </c>
      <c r="M4782">
        <v>0.99984510000000004</v>
      </c>
      <c r="N4782">
        <v>0</v>
      </c>
      <c r="O4782">
        <v>-1.081003E-2</v>
      </c>
      <c r="P4782">
        <v>0.99905529999999998</v>
      </c>
      <c r="Q4782">
        <v>-6.4883060000000001E-3</v>
      </c>
      <c r="R4782">
        <v>-4.2971200000000001E-2</v>
      </c>
      <c r="S4782">
        <v>2.9774479999999999</v>
      </c>
      <c r="T4782">
        <v>-0.68718669999999904</v>
      </c>
      <c r="U4782">
        <v>-0.48353580000000002</v>
      </c>
      <c r="V4782">
        <v>3.2168530000000001E-2</v>
      </c>
      <c r="W4782">
        <v>7.3935959999999997E-3</v>
      </c>
      <c r="X4782">
        <v>0.99945510000000004</v>
      </c>
      <c r="Y4782">
        <v>0.14615259999999999</v>
      </c>
      <c r="Z4782">
        <v>-1.4095949999999999E-2</v>
      </c>
      <c r="AA4782">
        <v>0.98916159999999997</v>
      </c>
      <c r="AB4782">
        <v>25</v>
      </c>
      <c r="AC4782">
        <v>0.63439999999997099</v>
      </c>
      <c r="AD4782">
        <v>-0.2031811</v>
      </c>
      <c r="AE4782">
        <v>-0.14050000000000201</v>
      </c>
      <c r="AF4782">
        <v>0.121730575596632</v>
      </c>
      <c r="AG4782">
        <v>-0.2031811</v>
      </c>
      <c r="AH4782">
        <v>0.57924409232806995</v>
      </c>
      <c r="AI4782">
        <v>108.94586211916101</v>
      </c>
      <c r="AJ4782">
        <v>78.131759605677303</v>
      </c>
      <c r="AK4782">
        <v>0.62579917779529504</v>
      </c>
      <c r="AL4782">
        <v>89.576374289135998</v>
      </c>
      <c r="AM4782">
        <v>88.156510541238205</v>
      </c>
      <c r="AN4782">
        <v>0.99999998825009095</v>
      </c>
    </row>
    <row r="4783" spans="1:40" x14ac:dyDescent="0.25">
      <c r="A4783" t="str">
        <f>"20190312154018982"</f>
        <v>20190312154018982</v>
      </c>
      <c r="B4783" t="str">
        <f>"1552376418971054"</f>
        <v>1552376418971054</v>
      </c>
      <c r="C4783" t="s">
        <v>40</v>
      </c>
      <c r="D4783">
        <v>3.7078890000000002</v>
      </c>
      <c r="E4783">
        <v>0.54728999999999906</v>
      </c>
      <c r="F4783" t="s">
        <v>41</v>
      </c>
      <c r="G4783">
        <v>-281.54289999999997</v>
      </c>
      <c r="H4783">
        <v>0.91144849999999999</v>
      </c>
      <c r="I4783">
        <v>214.52269999999999</v>
      </c>
      <c r="J4783">
        <v>-282.14980000000003</v>
      </c>
      <c r="K4783">
        <v>1.110257</v>
      </c>
      <c r="L4783">
        <v>214.6602</v>
      </c>
      <c r="M4783">
        <v>0.99984499999999998</v>
      </c>
      <c r="N4783">
        <v>0</v>
      </c>
      <c r="O4783">
        <v>-1.08208E-2</v>
      </c>
      <c r="P4783">
        <v>0.99905929999999998</v>
      </c>
      <c r="Q4783">
        <v>-6.5561009999999999E-3</v>
      </c>
      <c r="R4783">
        <v>-4.2865720000000003E-2</v>
      </c>
      <c r="S4783">
        <v>2.9775700000000001</v>
      </c>
      <c r="T4783">
        <v>-0.68666769999999999</v>
      </c>
      <c r="U4783">
        <v>-0.48411559999999998</v>
      </c>
      <c r="V4783">
        <v>3.2052120000000003E-2</v>
      </c>
      <c r="W4783">
        <v>7.323502E-3</v>
      </c>
      <c r="X4783">
        <v>0.9994594</v>
      </c>
      <c r="Y4783">
        <v>0.1463247</v>
      </c>
      <c r="Z4783">
        <v>-1.4101819999999999E-2</v>
      </c>
      <c r="AA4783">
        <v>0.98913609999999996</v>
      </c>
      <c r="AB4783">
        <v>25</v>
      </c>
      <c r="AC4783">
        <v>0.60690000000005195</v>
      </c>
      <c r="AD4783">
        <v>-0.198808499999999</v>
      </c>
      <c r="AE4783">
        <v>-0.137500000000017</v>
      </c>
      <c r="AF4783">
        <v>0.11879845600047199</v>
      </c>
      <c r="AG4783">
        <v>-0.198808499999999</v>
      </c>
      <c r="AH4783">
        <v>0.55200909644081897</v>
      </c>
      <c r="AI4783">
        <v>109.39680665487801</v>
      </c>
      <c r="AJ4783">
        <v>77.854562449727396</v>
      </c>
      <c r="AK4783">
        <v>0.59862503737628203</v>
      </c>
      <c r="AL4783">
        <v>89.580390506716398</v>
      </c>
      <c r="AM4783">
        <v>88.163184995273696</v>
      </c>
      <c r="AN4783">
        <v>1.0000000321631899</v>
      </c>
    </row>
    <row r="4784" spans="1:40" x14ac:dyDescent="0.25">
      <c r="A4784" t="str">
        <f>"20190312154019005"</f>
        <v>20190312154019005</v>
      </c>
      <c r="B4784" t="str">
        <f>"1552376418990574"</f>
        <v>1552376418990574</v>
      </c>
      <c r="C4784" t="s">
        <v>40</v>
      </c>
      <c r="D4784">
        <v>3.703068</v>
      </c>
      <c r="E4784">
        <v>0.54746030000000001</v>
      </c>
      <c r="F4784" t="s">
        <v>41</v>
      </c>
      <c r="G4784">
        <v>-281.31479999999999</v>
      </c>
      <c r="H4784">
        <v>0.91768919999999998</v>
      </c>
      <c r="I4784">
        <v>214.524</v>
      </c>
      <c r="J4784">
        <v>-281.89510000000001</v>
      </c>
      <c r="K4784">
        <v>1.110266</v>
      </c>
      <c r="L4784">
        <v>214.6574</v>
      </c>
      <c r="M4784">
        <v>0.99984499999999998</v>
      </c>
      <c r="N4784">
        <v>0</v>
      </c>
      <c r="O4784">
        <v>-1.0821839999999999E-2</v>
      </c>
      <c r="P4784">
        <v>0.99907630000000003</v>
      </c>
      <c r="Q4784">
        <v>-6.2597379999999999E-3</v>
      </c>
      <c r="R4784">
        <v>-4.2511960000000001E-2</v>
      </c>
      <c r="S4784">
        <v>2.977509</v>
      </c>
      <c r="T4784">
        <v>-0.6866852</v>
      </c>
      <c r="U4784">
        <v>-0.48492429999999997</v>
      </c>
      <c r="V4784">
        <v>3.1696870000000002E-2</v>
      </c>
      <c r="W4784">
        <v>7.6181790000000001E-3</v>
      </c>
      <c r="X4784">
        <v>0.99946849999999998</v>
      </c>
      <c r="Y4784">
        <v>0.14658189999999999</v>
      </c>
      <c r="Z4784">
        <v>-1.4131019999999999E-2</v>
      </c>
      <c r="AA4784">
        <v>0.98909760000000002</v>
      </c>
      <c r="AB4784">
        <v>25</v>
      </c>
      <c r="AC4784">
        <v>0.58030000000002202</v>
      </c>
      <c r="AD4784">
        <v>-0.19257679999999999</v>
      </c>
      <c r="AE4784">
        <v>-0.133399999999994</v>
      </c>
      <c r="AF4784">
        <v>0.115074675275989</v>
      </c>
      <c r="AG4784">
        <v>-0.19257679999999999</v>
      </c>
      <c r="AH4784">
        <v>0.52662407752774598</v>
      </c>
      <c r="AI4784">
        <v>109.659374035917</v>
      </c>
      <c r="AJ4784">
        <v>77.673823734055006</v>
      </c>
      <c r="AK4784">
        <v>0.57241673963997997</v>
      </c>
      <c r="AL4784">
        <v>89.563506275887406</v>
      </c>
      <c r="AM4784">
        <v>88.183546165637196</v>
      </c>
      <c r="AN4784">
        <v>1.0000000053556599</v>
      </c>
    </row>
    <row r="4785" spans="1:40" x14ac:dyDescent="0.25">
      <c r="A4785" t="str">
        <f>"20190312154019028"</f>
        <v>20190312154019028</v>
      </c>
      <c r="B4785" t="str">
        <f>"1552376419020831"</f>
        <v>1552376419020831</v>
      </c>
      <c r="C4785" t="s">
        <v>40</v>
      </c>
      <c r="D4785">
        <v>3.681406</v>
      </c>
      <c r="E4785">
        <v>0.54764599999999997</v>
      </c>
      <c r="F4785" t="s">
        <v>41</v>
      </c>
      <c r="G4785">
        <v>-281.08690000000001</v>
      </c>
      <c r="H4785">
        <v>0.92400570000000004</v>
      </c>
      <c r="I4785">
        <v>214.5257</v>
      </c>
      <c r="J4785">
        <v>-281.63889999999998</v>
      </c>
      <c r="K4785">
        <v>1.1102700000000001</v>
      </c>
      <c r="L4785">
        <v>214.65459999999999</v>
      </c>
      <c r="M4785">
        <v>0.99984510000000004</v>
      </c>
      <c r="N4785">
        <v>0</v>
      </c>
      <c r="O4785">
        <v>-1.081651E-2</v>
      </c>
      <c r="P4785">
        <v>0.99909630000000005</v>
      </c>
      <c r="Q4785">
        <v>-5.9055319999999998E-3</v>
      </c>
      <c r="R4785">
        <v>-4.2093520000000002E-2</v>
      </c>
      <c r="S4785">
        <v>2.9777830000000001</v>
      </c>
      <c r="T4785">
        <v>-0.68633889999999997</v>
      </c>
      <c r="U4785">
        <v>-0.48530580000000001</v>
      </c>
      <c r="V4785">
        <v>3.1283459999999999E-2</v>
      </c>
      <c r="W4785">
        <v>7.9700740000000006E-3</v>
      </c>
      <c r="X4785">
        <v>0.9994788</v>
      </c>
      <c r="Y4785">
        <v>0.1466973</v>
      </c>
      <c r="Z4785">
        <v>-1.4136920000000001E-2</v>
      </c>
      <c r="AA4785">
        <v>0.98908039999999997</v>
      </c>
      <c r="AB4785">
        <v>25</v>
      </c>
      <c r="AC4785">
        <v>0.55199999999996396</v>
      </c>
      <c r="AD4785">
        <v>-0.18626429999999999</v>
      </c>
      <c r="AE4785">
        <v>-0.128899999999987</v>
      </c>
      <c r="AF4785">
        <v>0.110942202483858</v>
      </c>
      <c r="AG4785">
        <v>-0.18626429999999999</v>
      </c>
      <c r="AH4785">
        <v>0.499435605896553</v>
      </c>
      <c r="AI4785">
        <v>110.005313795771</v>
      </c>
      <c r="AJ4785">
        <v>77.475946560653696</v>
      </c>
      <c r="AK4785">
        <v>0.54446164803750496</v>
      </c>
      <c r="AL4785">
        <v>89.543343573774905</v>
      </c>
      <c r="AM4785">
        <v>88.207240370281497</v>
      </c>
      <c r="AN4785">
        <v>1.0000000242992799</v>
      </c>
    </row>
    <row r="4786" spans="1:40" x14ac:dyDescent="0.25">
      <c r="A4786" t="str">
        <f>"20190312154019051"</f>
        <v>20190312154019051</v>
      </c>
      <c r="B4786" t="str">
        <f>"1552376419040349"</f>
        <v>1552376419040349</v>
      </c>
      <c r="C4786" t="s">
        <v>40</v>
      </c>
      <c r="D4786">
        <v>3.6783890000000001</v>
      </c>
      <c r="E4786">
        <v>0.54768349999999999</v>
      </c>
      <c r="F4786" t="s">
        <v>41</v>
      </c>
      <c r="G4786">
        <v>-280.85890000000001</v>
      </c>
      <c r="H4786">
        <v>0.93066859999999996</v>
      </c>
      <c r="I4786">
        <v>214.52709999999999</v>
      </c>
      <c r="J4786">
        <v>-281.38529999999997</v>
      </c>
      <c r="K4786">
        <v>1.1102749999999999</v>
      </c>
      <c r="L4786">
        <v>214.65190000000001</v>
      </c>
      <c r="M4786">
        <v>0.99984519999999999</v>
      </c>
      <c r="N4786">
        <v>0</v>
      </c>
      <c r="O4786">
        <v>-1.080835E-2</v>
      </c>
      <c r="P4786">
        <v>0.99911090000000002</v>
      </c>
      <c r="Q4786">
        <v>-5.803379E-3</v>
      </c>
      <c r="R4786">
        <v>-4.1758549999999998E-2</v>
      </c>
      <c r="S4786">
        <v>2.9782709999999999</v>
      </c>
      <c r="T4786">
        <v>-0.6857898</v>
      </c>
      <c r="U4786">
        <v>-0.4856415</v>
      </c>
      <c r="V4786">
        <v>3.0956629999999999E-2</v>
      </c>
      <c r="W4786">
        <v>8.0702080000000006E-3</v>
      </c>
      <c r="X4786">
        <v>0.99948820000000005</v>
      </c>
      <c r="Y4786">
        <v>0.14679220000000001</v>
      </c>
      <c r="Z4786">
        <v>-1.41361E-2</v>
      </c>
      <c r="AA4786">
        <v>0.98906640000000001</v>
      </c>
      <c r="AB4786">
        <v>25</v>
      </c>
      <c r="AC4786">
        <v>0.52639999999996601</v>
      </c>
      <c r="AD4786">
        <v>-0.179606399999999</v>
      </c>
      <c r="AE4786">
        <v>-0.12480000000002101</v>
      </c>
      <c r="AF4786">
        <v>0.10727836784250901</v>
      </c>
      <c r="AG4786">
        <v>-0.179606399999999</v>
      </c>
      <c r="AH4786">
        <v>0.47532742408510698</v>
      </c>
      <c r="AI4786">
        <v>110.233250222329</v>
      </c>
      <c r="AJ4786">
        <v>77.281795507747603</v>
      </c>
      <c r="AK4786">
        <v>0.51932963252186504</v>
      </c>
      <c r="AL4786">
        <v>89.537606146409004</v>
      </c>
      <c r="AM4786">
        <v>88.225974642572993</v>
      </c>
      <c r="AN4786">
        <v>1.00000005156867</v>
      </c>
    </row>
    <row r="4787" spans="1:40" x14ac:dyDescent="0.25">
      <c r="A4787" t="str">
        <f>"20190312154019072"</f>
        <v>20190312154019072</v>
      </c>
      <c r="B4787" t="str">
        <f>"1552376419060846"</f>
        <v>1552376419060846</v>
      </c>
      <c r="C4787" t="s">
        <v>40</v>
      </c>
      <c r="D4787">
        <v>3.679846</v>
      </c>
      <c r="E4787">
        <v>0.5477552</v>
      </c>
      <c r="F4787" t="s">
        <v>41</v>
      </c>
      <c r="G4787">
        <v>-280.63139999999999</v>
      </c>
      <c r="H4787">
        <v>0.93689579999999995</v>
      </c>
      <c r="I4787">
        <v>214.529</v>
      </c>
      <c r="J4787">
        <v>-281.14</v>
      </c>
      <c r="K4787">
        <v>1.110277</v>
      </c>
      <c r="L4787">
        <v>214.64930000000001</v>
      </c>
      <c r="M4787">
        <v>0.9998454</v>
      </c>
      <c r="N4787">
        <v>0</v>
      </c>
      <c r="O4787">
        <v>-1.080046E-2</v>
      </c>
      <c r="P4787">
        <v>0.99912820000000002</v>
      </c>
      <c r="Q4787">
        <v>-5.5713710000000003E-3</v>
      </c>
      <c r="R4787">
        <v>-4.1378720000000001E-2</v>
      </c>
      <c r="S4787">
        <v>2.978424</v>
      </c>
      <c r="T4787">
        <v>-0.68498579999999998</v>
      </c>
      <c r="U4787">
        <v>-0.4851837</v>
      </c>
      <c r="V4787">
        <v>3.0584210000000001E-2</v>
      </c>
      <c r="W4787">
        <v>8.3000350000000007E-3</v>
      </c>
      <c r="X4787">
        <v>0.99949770000000004</v>
      </c>
      <c r="Y4787">
        <v>0.14665539999999999</v>
      </c>
      <c r="Z4787">
        <v>-1.410576E-2</v>
      </c>
      <c r="AA4787">
        <v>0.98908700000000005</v>
      </c>
      <c r="AB4787">
        <v>25</v>
      </c>
      <c r="AC4787">
        <v>0.50860000000000105</v>
      </c>
      <c r="AD4787">
        <v>-0.17338119999999901</v>
      </c>
      <c r="AE4787">
        <v>-0.120299999999986</v>
      </c>
      <c r="AF4787">
        <v>0.10341772012646</v>
      </c>
      <c r="AG4787">
        <v>-0.17338119999999901</v>
      </c>
      <c r="AH4787">
        <v>0.459319430589056</v>
      </c>
      <c r="AI4787">
        <v>110.216495546134</v>
      </c>
      <c r="AJ4787">
        <v>77.3112049815348</v>
      </c>
      <c r="AK4787">
        <v>0.50172761999540105</v>
      </c>
      <c r="AL4787">
        <v>89.524437549256007</v>
      </c>
      <c r="AM4787">
        <v>88.2473200963571</v>
      </c>
      <c r="AN4787">
        <v>0.999999968393807</v>
      </c>
    </row>
    <row r="4788" spans="1:40" x14ac:dyDescent="0.25">
      <c r="A4788" t="str">
        <f>"20190312154019095"</f>
        <v>20190312154019095</v>
      </c>
      <c r="B4788" t="str">
        <f>"1552376419080366"</f>
        <v>1552376419080366</v>
      </c>
      <c r="C4788" t="s">
        <v>40</v>
      </c>
      <c r="D4788">
        <v>3.6768149999999999</v>
      </c>
      <c r="E4788">
        <v>0.54778739999999904</v>
      </c>
      <c r="F4788" t="s">
        <v>41</v>
      </c>
      <c r="G4788">
        <v>-280.4049</v>
      </c>
      <c r="H4788">
        <v>0.94136710000000001</v>
      </c>
      <c r="I4788">
        <v>214.52950000000001</v>
      </c>
      <c r="J4788">
        <v>-280.89299999999997</v>
      </c>
      <c r="K4788">
        <v>1.110279</v>
      </c>
      <c r="L4788">
        <v>214.64660000000001</v>
      </c>
      <c r="M4788">
        <v>0.9998454</v>
      </c>
      <c r="N4788">
        <v>0</v>
      </c>
      <c r="O4788">
        <v>-1.079426E-2</v>
      </c>
      <c r="P4788">
        <v>0.99913920000000001</v>
      </c>
      <c r="Q4788">
        <v>-5.16827E-3</v>
      </c>
      <c r="R4788">
        <v>-4.1163600000000002E-2</v>
      </c>
      <c r="S4788">
        <v>2.9787599999999999</v>
      </c>
      <c r="T4788">
        <v>-0.68446430000000003</v>
      </c>
      <c r="U4788">
        <v>-0.48463440000000002</v>
      </c>
      <c r="V4788">
        <v>3.0375260000000001E-2</v>
      </c>
      <c r="W4788">
        <v>8.7005650000000004E-3</v>
      </c>
      <c r="X4788">
        <v>0.99950070000000002</v>
      </c>
      <c r="Y4788">
        <v>0.14647639999999901</v>
      </c>
      <c r="Z4788">
        <v>-1.407519E-2</v>
      </c>
      <c r="AA4788">
        <v>0.98911400000000005</v>
      </c>
      <c r="AB4788">
        <v>25</v>
      </c>
      <c r="AC4788">
        <v>0.488099999999974</v>
      </c>
      <c r="AD4788">
        <v>-0.1689119</v>
      </c>
      <c r="AE4788">
        <v>-0.117099999999993</v>
      </c>
      <c r="AF4788">
        <v>0.100449146463355</v>
      </c>
      <c r="AG4788">
        <v>-0.1689119</v>
      </c>
      <c r="AH4788">
        <v>0.43955998980696098</v>
      </c>
      <c r="AI4788">
        <v>110.536841034026</v>
      </c>
      <c r="AJ4788">
        <v>77.127687615703394</v>
      </c>
      <c r="AK4788">
        <v>0.48149168801332598</v>
      </c>
      <c r="AL4788">
        <v>89.501488057824702</v>
      </c>
      <c r="AM4788">
        <v>88.259292158967796</v>
      </c>
      <c r="AN4788">
        <v>1.0000000027759299</v>
      </c>
    </row>
    <row r="4789" spans="1:40" x14ac:dyDescent="0.25">
      <c r="A4789" t="str">
        <f>"20190312154019117"</f>
        <v>20190312154019117</v>
      </c>
      <c r="B4789" t="str">
        <f>"1552376419110622"</f>
        <v>1552376419110622</v>
      </c>
      <c r="C4789" t="s">
        <v>40</v>
      </c>
      <c r="D4789">
        <v>3.7148349999999999</v>
      </c>
      <c r="E4789">
        <v>0.54785600000000001</v>
      </c>
      <c r="F4789" t="s">
        <v>41</v>
      </c>
      <c r="G4789">
        <v>-280.17840000000001</v>
      </c>
      <c r="H4789">
        <v>0.94645089999999998</v>
      </c>
      <c r="I4789">
        <v>214.53030000000001</v>
      </c>
      <c r="J4789">
        <v>-280.63760000000002</v>
      </c>
      <c r="K4789">
        <v>1.110279</v>
      </c>
      <c r="L4789">
        <v>214.6438</v>
      </c>
      <c r="M4789">
        <v>0.99984569999999995</v>
      </c>
      <c r="N4789">
        <v>0</v>
      </c>
      <c r="O4789">
        <v>-1.0789969999999999E-2</v>
      </c>
      <c r="P4789">
        <v>0.99913510000000005</v>
      </c>
      <c r="Q4789">
        <v>-5.1015110000000004E-3</v>
      </c>
      <c r="R4789">
        <v>-4.127248E-2</v>
      </c>
      <c r="S4789">
        <v>2.9790649999999999</v>
      </c>
      <c r="T4789">
        <v>-0.68287580000000003</v>
      </c>
      <c r="U4789">
        <v>-0.48445129999999997</v>
      </c>
      <c r="V4789">
        <v>3.0488589999999999E-2</v>
      </c>
      <c r="W4789">
        <v>8.7649340000000003E-3</v>
      </c>
      <c r="X4789">
        <v>0.99949670000000002</v>
      </c>
      <c r="Y4789">
        <v>0.146423</v>
      </c>
      <c r="Z4789">
        <v>-1.4036979999999999E-2</v>
      </c>
      <c r="AA4789">
        <v>0.98912250000000002</v>
      </c>
      <c r="AB4789">
        <v>25</v>
      </c>
      <c r="AC4789">
        <v>0.45920000000000899</v>
      </c>
      <c r="AD4789">
        <v>-0.1638281</v>
      </c>
      <c r="AE4789">
        <v>-0.113499999999987</v>
      </c>
      <c r="AF4789">
        <v>9.6912932210926103E-2</v>
      </c>
      <c r="AG4789">
        <v>-0.1638281</v>
      </c>
      <c r="AH4789">
        <v>0.411086053063214</v>
      </c>
      <c r="AI4789">
        <v>111.20086548753601</v>
      </c>
      <c r="AJ4789">
        <v>76.734812560010099</v>
      </c>
      <c r="AK4789">
        <v>0.45301601053651602</v>
      </c>
      <c r="AL4789">
        <v>89.497799851682402</v>
      </c>
      <c r="AM4789">
        <v>88.252794613489797</v>
      </c>
      <c r="AN4789">
        <v>1.0000000157495501</v>
      </c>
    </row>
    <row r="4790" spans="1:40" x14ac:dyDescent="0.25">
      <c r="A4790" t="str">
        <f>"20190312154019139"</f>
        <v>20190312154019139</v>
      </c>
      <c r="B4790" t="str">
        <f>"1552376419131118"</f>
        <v>1552376419131118</v>
      </c>
      <c r="C4790" t="s">
        <v>40</v>
      </c>
      <c r="D4790">
        <v>3.7046049999999999</v>
      </c>
      <c r="E4790">
        <v>0.54787769999999902</v>
      </c>
      <c r="F4790" t="s">
        <v>41</v>
      </c>
      <c r="G4790">
        <v>-279.95139999999998</v>
      </c>
      <c r="H4790">
        <v>0.95313720000000002</v>
      </c>
      <c r="I4790">
        <v>214.5317</v>
      </c>
      <c r="J4790">
        <v>-280.39069999999998</v>
      </c>
      <c r="K4790">
        <v>1.110282</v>
      </c>
      <c r="L4790">
        <v>214.6412</v>
      </c>
      <c r="M4790">
        <v>0.9998456</v>
      </c>
      <c r="N4790">
        <v>0</v>
      </c>
      <c r="O4790">
        <v>-1.078819E-2</v>
      </c>
      <c r="P4790">
        <v>0.99913169999999996</v>
      </c>
      <c r="Q4790">
        <v>-4.760607E-3</v>
      </c>
      <c r="R4790">
        <v>-4.1389420000000003E-2</v>
      </c>
      <c r="S4790">
        <v>2.9790649999999999</v>
      </c>
      <c r="T4790">
        <v>-0.68222559999999999</v>
      </c>
      <c r="U4790">
        <v>-0.4855042</v>
      </c>
      <c r="V4790">
        <v>3.060736E-2</v>
      </c>
      <c r="W4790">
        <v>9.1034749999999998E-3</v>
      </c>
      <c r="X4790">
        <v>0.99948999999999999</v>
      </c>
      <c r="Y4790">
        <v>0.14676339999999999</v>
      </c>
      <c r="Z4790">
        <v>-1.406219E-2</v>
      </c>
      <c r="AA4790">
        <v>0.9890717</v>
      </c>
      <c r="AB4790">
        <v>25</v>
      </c>
      <c r="AC4790">
        <v>0.43930000000000202</v>
      </c>
      <c r="AD4790">
        <v>-0.1571448</v>
      </c>
      <c r="AE4790">
        <v>-0.109499999999997</v>
      </c>
      <c r="AF4790">
        <v>9.3490570838173304E-2</v>
      </c>
      <c r="AG4790">
        <v>-0.1571448</v>
      </c>
      <c r="AH4790">
        <v>0.39309716945442602</v>
      </c>
      <c r="AI4790">
        <v>111.251698745647</v>
      </c>
      <c r="AJ4790">
        <v>76.62184744935</v>
      </c>
      <c r="AK4790">
        <v>0.433543953522327</v>
      </c>
      <c r="AL4790">
        <v>89.478402084362401</v>
      </c>
      <c r="AM4790">
        <v>88.245980770534601</v>
      </c>
      <c r="AN4790">
        <v>0.99999997192162204</v>
      </c>
    </row>
    <row r="4791" spans="1:40" x14ac:dyDescent="0.25">
      <c r="A4791" t="str">
        <f>"20190312154019161"</f>
        <v>20190312154019161</v>
      </c>
      <c r="B4791" t="str">
        <f>"1552376419150638"</f>
        <v>1552376419150638</v>
      </c>
      <c r="C4791" t="s">
        <v>40</v>
      </c>
      <c r="D4791">
        <v>3.698423</v>
      </c>
      <c r="E4791">
        <v>0.5478826</v>
      </c>
      <c r="F4791" t="s">
        <v>41</v>
      </c>
      <c r="G4791">
        <v>-279.52289999999999</v>
      </c>
      <c r="H4791">
        <v>0.91188449999999999</v>
      </c>
      <c r="I4791">
        <v>214.49940000000001</v>
      </c>
      <c r="J4791">
        <v>-280.14620000000002</v>
      </c>
      <c r="K4791">
        <v>1.110285</v>
      </c>
      <c r="L4791">
        <v>214.63849999999999</v>
      </c>
      <c r="M4791">
        <v>0.9998456</v>
      </c>
      <c r="N4791">
        <v>0</v>
      </c>
      <c r="O4791">
        <v>-1.078759E-2</v>
      </c>
      <c r="P4791">
        <v>0.99912880000000004</v>
      </c>
      <c r="Q4791">
        <v>-4.7710979999999997E-3</v>
      </c>
      <c r="R4791">
        <v>-4.1465660000000001E-2</v>
      </c>
      <c r="S4791">
        <v>2.9792179999999999</v>
      </c>
      <c r="T4791">
        <v>-0.68115079999999995</v>
      </c>
      <c r="U4791">
        <v>-0.48585509999999899</v>
      </c>
      <c r="V4791">
        <v>3.0684039999999999E-2</v>
      </c>
      <c r="W4791">
        <v>9.0910790000000002E-3</v>
      </c>
      <c r="X4791">
        <v>0.99948780000000004</v>
      </c>
      <c r="Y4791">
        <v>0.14687749999999999</v>
      </c>
      <c r="Z4791">
        <v>-1.40527E-2</v>
      </c>
      <c r="AA4791">
        <v>0.98905489999999996</v>
      </c>
      <c r="AB4791">
        <v>25</v>
      </c>
      <c r="AC4791">
        <v>0.62330000000002805</v>
      </c>
      <c r="AD4791">
        <v>-0.19840050000000001</v>
      </c>
      <c r="AE4791">
        <v>-0.13909999999998399</v>
      </c>
      <c r="AF4791">
        <v>0.12071669156244801</v>
      </c>
      <c r="AG4791">
        <v>-0.19840050000000001</v>
      </c>
      <c r="AH4791">
        <v>0.56977413661522702</v>
      </c>
      <c r="AI4791">
        <v>108.811280489609</v>
      </c>
      <c r="AJ4791">
        <v>78.037772282141802</v>
      </c>
      <c r="AK4791">
        <v>0.61528679880008896</v>
      </c>
      <c r="AL4791">
        <v>89.479112372190102</v>
      </c>
      <c r="AM4791">
        <v>88.241585348886403</v>
      </c>
      <c r="AN4791">
        <v>1.0000000101884701</v>
      </c>
    </row>
    <row r="4792" spans="1:40" x14ac:dyDescent="0.25">
      <c r="A4792" t="str">
        <f>"20190312154019182"</f>
        <v>20190312154019182</v>
      </c>
      <c r="B4792" t="str">
        <f>"1552376419171134"</f>
        <v>1552376419171134</v>
      </c>
      <c r="C4792" t="s">
        <v>40</v>
      </c>
      <c r="D4792">
        <v>3.7128030000000001</v>
      </c>
      <c r="E4792">
        <v>0.54791859999999903</v>
      </c>
      <c r="F4792" t="s">
        <v>41</v>
      </c>
      <c r="G4792">
        <v>-279.298</v>
      </c>
      <c r="H4792">
        <v>0.91642520000000005</v>
      </c>
      <c r="I4792">
        <v>214.5</v>
      </c>
      <c r="J4792">
        <v>-279.90249999999997</v>
      </c>
      <c r="K4792">
        <v>1.1102860000000001</v>
      </c>
      <c r="L4792">
        <v>214.63589999999999</v>
      </c>
      <c r="M4792">
        <v>0.9998456</v>
      </c>
      <c r="N4792">
        <v>0</v>
      </c>
      <c r="O4792">
        <v>-1.078783E-2</v>
      </c>
      <c r="P4792">
        <v>0.99913289999999999</v>
      </c>
      <c r="Q4792">
        <v>-4.8074980000000003E-3</v>
      </c>
      <c r="R4792">
        <v>-4.1356810000000001E-2</v>
      </c>
      <c r="S4792">
        <v>2.979187</v>
      </c>
      <c r="T4792">
        <v>-0.68094500000000002</v>
      </c>
      <c r="U4792">
        <v>-0.48631289999999999</v>
      </c>
      <c r="V4792">
        <v>3.0575120000000001E-2</v>
      </c>
      <c r="W4792">
        <v>9.0519799999999994E-3</v>
      </c>
      <c r="X4792">
        <v>0.99949149999999998</v>
      </c>
      <c r="Y4792">
        <v>0.1470253</v>
      </c>
      <c r="Z4792">
        <v>-1.4065050000000001E-2</v>
      </c>
      <c r="AA4792">
        <v>0.98903269999999999</v>
      </c>
      <c r="AB4792">
        <v>25</v>
      </c>
      <c r="AC4792">
        <v>0.60449999999997295</v>
      </c>
      <c r="AD4792">
        <v>-0.1938608</v>
      </c>
      <c r="AE4792">
        <v>-0.135899999999992</v>
      </c>
      <c r="AF4792">
        <v>0.117834450836341</v>
      </c>
      <c r="AG4792">
        <v>-0.1938608</v>
      </c>
      <c r="AH4792">
        <v>0.55190096790563004</v>
      </c>
      <c r="AI4792">
        <v>108.958505595332</v>
      </c>
      <c r="AJ4792">
        <v>77.947934687541405</v>
      </c>
      <c r="AK4792">
        <v>0.59670901279913102</v>
      </c>
      <c r="AL4792">
        <v>89.481352675793005</v>
      </c>
      <c r="AM4792">
        <v>88.247829827287802</v>
      </c>
      <c r="AN4792">
        <v>1.0000000174385899</v>
      </c>
    </row>
    <row r="4793" spans="1:40" x14ac:dyDescent="0.25">
      <c r="A4793" t="str">
        <f>"20190312154019207"</f>
        <v>20190312154019207</v>
      </c>
      <c r="B4793" t="str">
        <f>"1552376419190654"</f>
        <v>1552376419190654</v>
      </c>
      <c r="C4793" t="s">
        <v>40</v>
      </c>
      <c r="D4793">
        <v>3.7484440000000001</v>
      </c>
      <c r="E4793">
        <v>0.54800369999999998</v>
      </c>
      <c r="F4793" t="s">
        <v>41</v>
      </c>
      <c r="G4793">
        <v>-279.07350000000002</v>
      </c>
      <c r="H4793">
        <v>0.92077520000000002</v>
      </c>
      <c r="I4793">
        <v>214.50020000000001</v>
      </c>
      <c r="J4793">
        <v>-279.63749999999999</v>
      </c>
      <c r="K4793">
        <v>1.1102829999999999</v>
      </c>
      <c r="L4793">
        <v>214.63310000000001</v>
      </c>
      <c r="M4793">
        <v>0.99984580000000001</v>
      </c>
      <c r="N4793">
        <v>0</v>
      </c>
      <c r="O4793">
        <v>-1.078867E-2</v>
      </c>
      <c r="P4793">
        <v>0.99913640000000004</v>
      </c>
      <c r="Q4793">
        <v>-5.0014350000000003E-3</v>
      </c>
      <c r="R4793">
        <v>-4.1250080000000001E-2</v>
      </c>
      <c r="S4793">
        <v>2.979187</v>
      </c>
      <c r="T4793">
        <v>-0.68105450000000001</v>
      </c>
      <c r="U4793">
        <v>-0.48655700000000002</v>
      </c>
      <c r="V4793">
        <v>3.0467589999999999E-2</v>
      </c>
      <c r="W4793">
        <v>8.8560059999999996E-3</v>
      </c>
      <c r="X4793">
        <v>0.99949650000000001</v>
      </c>
      <c r="Y4793">
        <v>0.1471006</v>
      </c>
      <c r="Z4793">
        <v>-1.407542E-2</v>
      </c>
      <c r="AA4793">
        <v>0.98902140000000005</v>
      </c>
      <c r="AB4793">
        <v>25</v>
      </c>
      <c r="AC4793">
        <v>0.56399999999996397</v>
      </c>
      <c r="AD4793">
        <v>-0.189507799999999</v>
      </c>
      <c r="AE4793">
        <v>-0.13290000000000601</v>
      </c>
      <c r="AF4793">
        <v>0.114554007106205</v>
      </c>
      <c r="AG4793">
        <v>-0.189507799999999</v>
      </c>
      <c r="AH4793">
        <v>0.51076857402787901</v>
      </c>
      <c r="AI4793">
        <v>109.90184227809</v>
      </c>
      <c r="AJ4793">
        <v>77.359012538355202</v>
      </c>
      <c r="AK4793">
        <v>0.55670491556964097</v>
      </c>
      <c r="AL4793">
        <v>89.492581588940496</v>
      </c>
      <c r="AM4793">
        <v>88.253996963251296</v>
      </c>
      <c r="AN4793">
        <v>0.999999978197464</v>
      </c>
    </row>
    <row r="4794" spans="1:40" x14ac:dyDescent="0.25">
      <c r="A4794" t="str">
        <f>"20190312154019229"</f>
        <v>20190312154019229</v>
      </c>
      <c r="B4794" t="str">
        <f>"1552376419220911"</f>
        <v>1552376419220911</v>
      </c>
      <c r="C4794" t="s">
        <v>40</v>
      </c>
      <c r="D4794">
        <v>3.7502759999999999</v>
      </c>
      <c r="E4794">
        <v>0.5481009</v>
      </c>
      <c r="F4794" t="s">
        <v>41</v>
      </c>
      <c r="G4794">
        <v>-278.84719999999999</v>
      </c>
      <c r="H4794">
        <v>0.92937590000000003</v>
      </c>
      <c r="I4794">
        <v>214.50389999999999</v>
      </c>
      <c r="J4794">
        <v>-279.39280000000002</v>
      </c>
      <c r="K4794">
        <v>1.110279</v>
      </c>
      <c r="L4794">
        <v>214.63040000000001</v>
      </c>
      <c r="M4794">
        <v>0.99984580000000001</v>
      </c>
      <c r="N4794">
        <v>0</v>
      </c>
      <c r="O4794">
        <v>-1.0789379999999999E-2</v>
      </c>
      <c r="P4794">
        <v>0.99913660000000004</v>
      </c>
      <c r="Q4794">
        <v>-5.2029770000000001E-3</v>
      </c>
      <c r="R4794">
        <v>-4.1220809999999997E-2</v>
      </c>
      <c r="S4794">
        <v>2.979034</v>
      </c>
      <c r="T4794">
        <v>-0.68188110000000002</v>
      </c>
      <c r="U4794">
        <v>-0.48699949999999997</v>
      </c>
      <c r="V4794">
        <v>3.0437619999999999E-2</v>
      </c>
      <c r="W4794">
        <v>8.6519279999999997E-3</v>
      </c>
      <c r="X4794">
        <v>0.99949920000000003</v>
      </c>
      <c r="Y4794">
        <v>0.14723910000000001</v>
      </c>
      <c r="Z4794">
        <v>-1.4108010000000001E-2</v>
      </c>
      <c r="AA4794">
        <v>0.98900030000000005</v>
      </c>
      <c r="AB4794">
        <v>25</v>
      </c>
      <c r="AC4794">
        <v>0.54560000000003495</v>
      </c>
      <c r="AD4794">
        <v>-0.18090310000000001</v>
      </c>
      <c r="AE4794">
        <v>-0.12650000000002101</v>
      </c>
      <c r="AF4794">
        <v>0.10921151147911599</v>
      </c>
      <c r="AG4794">
        <v>-0.18090310000000001</v>
      </c>
      <c r="AH4794">
        <v>0.49526316140018101</v>
      </c>
      <c r="AI4794">
        <v>109.631177575656</v>
      </c>
      <c r="AJ4794">
        <v>77.564598780521095</v>
      </c>
      <c r="AK4794">
        <v>0.53845954803426499</v>
      </c>
      <c r="AL4794">
        <v>89.504274845100198</v>
      </c>
      <c r="AM4794">
        <v>88.255718098457706</v>
      </c>
      <c r="AN4794">
        <v>0.99999997768501003</v>
      </c>
    </row>
    <row r="4795" spans="1:40" x14ac:dyDescent="0.25">
      <c r="A4795" t="str">
        <f>"20190312154019251"</f>
        <v>20190312154019251</v>
      </c>
      <c r="B4795" t="str">
        <f>"1552376419240430"</f>
        <v>1552376419240430</v>
      </c>
      <c r="C4795" t="s">
        <v>40</v>
      </c>
      <c r="D4795">
        <v>3.7461479999999998</v>
      </c>
      <c r="E4795">
        <v>0.54816809999999905</v>
      </c>
      <c r="F4795" t="s">
        <v>41</v>
      </c>
      <c r="G4795">
        <v>-278.62299999999999</v>
      </c>
      <c r="H4795">
        <v>0.93380209999999997</v>
      </c>
      <c r="I4795">
        <v>214.50409999999999</v>
      </c>
      <c r="J4795">
        <v>-279.14240000000001</v>
      </c>
      <c r="K4795">
        <v>1.1102700000000001</v>
      </c>
      <c r="L4795">
        <v>214.6277</v>
      </c>
      <c r="M4795">
        <v>0.99984569999999995</v>
      </c>
      <c r="N4795">
        <v>0</v>
      </c>
      <c r="O4795">
        <v>-1.0789969999999999E-2</v>
      </c>
      <c r="P4795">
        <v>0.99914720000000001</v>
      </c>
      <c r="Q4795">
        <v>-5.4286050000000004E-3</v>
      </c>
      <c r="R4795">
        <v>-4.0936119999999999E-2</v>
      </c>
      <c r="S4795">
        <v>2.978882</v>
      </c>
      <c r="T4795">
        <v>-0.68297339999999995</v>
      </c>
      <c r="U4795">
        <v>-0.4877167</v>
      </c>
      <c r="V4795">
        <v>3.0152140000000001E-2</v>
      </c>
      <c r="W4795">
        <v>8.4240080000000002E-3</v>
      </c>
      <c r="X4795">
        <v>0.9995098</v>
      </c>
      <c r="Y4795">
        <v>0.1474618</v>
      </c>
      <c r="Z4795">
        <v>-1.415539E-2</v>
      </c>
      <c r="AA4795">
        <v>0.98896649999999997</v>
      </c>
      <c r="AB4795">
        <v>25</v>
      </c>
      <c r="AC4795">
        <v>0.51940000000001796</v>
      </c>
      <c r="AD4795">
        <v>-0.17646789999999901</v>
      </c>
      <c r="AE4795">
        <v>-0.12360000000000999</v>
      </c>
      <c r="AF4795">
        <v>0.106367713020873</v>
      </c>
      <c r="AG4795">
        <v>-0.17646789999999901</v>
      </c>
      <c r="AH4795">
        <v>0.46942116691895303</v>
      </c>
      <c r="AI4795">
        <v>110.134558865502</v>
      </c>
      <c r="AJ4795">
        <v>77.232753159492802</v>
      </c>
      <c r="AK4795">
        <v>0.51265118946048704</v>
      </c>
      <c r="AL4795">
        <v>89.517334175580004</v>
      </c>
      <c r="AM4795">
        <v>88.272086386308004</v>
      </c>
      <c r="AN4795">
        <v>0.99999997787670103</v>
      </c>
    </row>
    <row r="4796" spans="1:40" x14ac:dyDescent="0.25">
      <c r="A4796" t="str">
        <f>"20190312154019272"</f>
        <v>20190312154019272</v>
      </c>
      <c r="B4796" t="str">
        <f>"1552376419260927"</f>
        <v>1552376419260927</v>
      </c>
      <c r="C4796" t="s">
        <v>40</v>
      </c>
      <c r="D4796">
        <v>3.7950870000000001</v>
      </c>
      <c r="E4796">
        <v>0.54821580000000003</v>
      </c>
      <c r="F4796" t="s">
        <v>41</v>
      </c>
      <c r="G4796">
        <v>-278.39850000000001</v>
      </c>
      <c r="H4796">
        <v>0.93945630000000002</v>
      </c>
      <c r="I4796">
        <v>214.50579999999999</v>
      </c>
      <c r="J4796">
        <v>-278.90660000000003</v>
      </c>
      <c r="K4796">
        <v>1.110271</v>
      </c>
      <c r="L4796">
        <v>214.62520000000001</v>
      </c>
      <c r="M4796">
        <v>0.99984569999999995</v>
      </c>
      <c r="N4796">
        <v>0</v>
      </c>
      <c r="O4796">
        <v>-1.0790549999999999E-2</v>
      </c>
      <c r="P4796">
        <v>0.99914239999999999</v>
      </c>
      <c r="Q4796">
        <v>-5.1307219999999999E-3</v>
      </c>
      <c r="R4796">
        <v>-4.1087440000000003E-2</v>
      </c>
      <c r="S4796">
        <v>2.9788510000000001</v>
      </c>
      <c r="T4796">
        <v>-0.68398570000000003</v>
      </c>
      <c r="U4796">
        <v>-0.48745729999999998</v>
      </c>
      <c r="V4796">
        <v>3.0303130000000001E-2</v>
      </c>
      <c r="W4796">
        <v>8.7196369999999902E-3</v>
      </c>
      <c r="X4796">
        <v>0.99950269999999997</v>
      </c>
      <c r="Y4796">
        <v>0.147371</v>
      </c>
      <c r="Z4796">
        <v>-1.416573E-2</v>
      </c>
      <c r="AA4796">
        <v>0.98897979999999996</v>
      </c>
      <c r="AB4796">
        <v>25</v>
      </c>
      <c r="AC4796">
        <v>0.50810000000001299</v>
      </c>
      <c r="AD4796">
        <v>-0.17081470000000001</v>
      </c>
      <c r="AE4796">
        <v>-0.119400000000013</v>
      </c>
      <c r="AF4796">
        <v>0.102889858904908</v>
      </c>
      <c r="AG4796">
        <v>-0.17081470000000001</v>
      </c>
      <c r="AH4796">
        <v>0.46008200309157299</v>
      </c>
      <c r="AI4796">
        <v>109.91648787066801</v>
      </c>
      <c r="AJ4796">
        <v>77.394147209442494</v>
      </c>
      <c r="AK4796">
        <v>0.50143736834256403</v>
      </c>
      <c r="AL4796">
        <v>89.500395259654496</v>
      </c>
      <c r="AM4796">
        <v>88.263426634555799</v>
      </c>
      <c r="AN4796">
        <v>0.99999997953224895</v>
      </c>
    </row>
    <row r="4797" spans="1:40" x14ac:dyDescent="0.25">
      <c r="A4797" t="str">
        <f>"20190312154019295"</f>
        <v>20190312154019295</v>
      </c>
      <c r="B4797" t="str">
        <f>"1552376419280447"</f>
        <v>1552376419280447</v>
      </c>
      <c r="C4797" t="s">
        <v>40</v>
      </c>
      <c r="D4797">
        <v>3.7582580000000001</v>
      </c>
      <c r="E4797">
        <v>0.54823909999999998</v>
      </c>
      <c r="F4797" t="s">
        <v>41</v>
      </c>
      <c r="G4797">
        <v>-278.17540000000002</v>
      </c>
      <c r="H4797">
        <v>0.94252749999999996</v>
      </c>
      <c r="I4797">
        <v>214.505</v>
      </c>
      <c r="J4797">
        <v>-278.65960000000001</v>
      </c>
      <c r="K4797">
        <v>1.1102719999999999</v>
      </c>
      <c r="L4797">
        <v>214.6225</v>
      </c>
      <c r="M4797">
        <v>0.99984580000000001</v>
      </c>
      <c r="N4797">
        <v>0</v>
      </c>
      <c r="O4797">
        <v>-1.079078E-2</v>
      </c>
      <c r="P4797">
        <v>0.99913839999999998</v>
      </c>
      <c r="Q4797">
        <v>-4.8151670000000004E-3</v>
      </c>
      <c r="R4797">
        <v>-4.1221550000000003E-2</v>
      </c>
      <c r="S4797">
        <v>2.9790040000000002</v>
      </c>
      <c r="T4797">
        <v>-0.68350230000000001</v>
      </c>
      <c r="U4797">
        <v>-0.48812870000000003</v>
      </c>
      <c r="V4797">
        <v>3.0436939999999999E-2</v>
      </c>
      <c r="W4797">
        <v>9.0329050000000008E-3</v>
      </c>
      <c r="X4797">
        <v>0.99949589999999999</v>
      </c>
      <c r="Y4797">
        <v>0.14757979999999901</v>
      </c>
      <c r="Z4797">
        <v>-1.417847E-2</v>
      </c>
      <c r="AA4797">
        <v>0.98894850000000001</v>
      </c>
      <c r="AB4797">
        <v>25</v>
      </c>
      <c r="AC4797">
        <v>0.48419999999998697</v>
      </c>
      <c r="AD4797">
        <v>-0.16774449999999899</v>
      </c>
      <c r="AE4797">
        <v>-0.117500000000006</v>
      </c>
      <c r="AF4797">
        <v>0.100838375513988</v>
      </c>
      <c r="AG4797">
        <v>-0.16774449999999899</v>
      </c>
      <c r="AH4797">
        <v>0.43601978763008797</v>
      </c>
      <c r="AI4797">
        <v>110.547218474785</v>
      </c>
      <c r="AJ4797">
        <v>76.978135069923994</v>
      </c>
      <c r="AK4797">
        <v>0.47793289326173899</v>
      </c>
      <c r="AL4797">
        <v>89.482445642609804</v>
      </c>
      <c r="AM4797">
        <v>88.255751287646405</v>
      </c>
      <c r="AN4797">
        <v>1.0000000274030501</v>
      </c>
    </row>
    <row r="4798" spans="1:40" x14ac:dyDescent="0.25">
      <c r="A4798" t="str">
        <f>"20190312154019319"</f>
        <v>20190312154019319</v>
      </c>
      <c r="B4798" t="str">
        <f>"1552376419310702"</f>
        <v>1552376419310702</v>
      </c>
      <c r="C4798" t="s">
        <v>40</v>
      </c>
      <c r="D4798">
        <v>3.7525270000000002</v>
      </c>
      <c r="E4798">
        <v>0.54826609999999998</v>
      </c>
      <c r="F4798" t="s">
        <v>41</v>
      </c>
      <c r="G4798">
        <v>-277.95150000000001</v>
      </c>
      <c r="H4798">
        <v>0.94801400000000002</v>
      </c>
      <c r="I4798">
        <v>214.50620000000001</v>
      </c>
      <c r="J4798">
        <v>-278.3981</v>
      </c>
      <c r="K4798">
        <v>1.110268</v>
      </c>
      <c r="L4798">
        <v>214.61969999999999</v>
      </c>
      <c r="M4798">
        <v>0.99984589999999995</v>
      </c>
      <c r="N4798">
        <v>0</v>
      </c>
      <c r="O4798">
        <v>-1.079112E-2</v>
      </c>
      <c r="P4798">
        <v>0.99912290000000004</v>
      </c>
      <c r="Q4798">
        <v>-5.0390690000000002E-3</v>
      </c>
      <c r="R4798">
        <v>-4.1571579999999997E-2</v>
      </c>
      <c r="S4798">
        <v>2.979095</v>
      </c>
      <c r="T4798">
        <v>-0.68266910000000003</v>
      </c>
      <c r="U4798">
        <v>-0.48896790000000001</v>
      </c>
      <c r="V4798">
        <v>3.0786939999999999E-2</v>
      </c>
      <c r="W4798">
        <v>8.8064189999999994E-3</v>
      </c>
      <c r="X4798">
        <v>0.99948720000000002</v>
      </c>
      <c r="Y4798">
        <v>0.14784800000000001</v>
      </c>
      <c r="Z4798">
        <v>-1.4190950000000001E-2</v>
      </c>
      <c r="AA4798">
        <v>0.98890829999999996</v>
      </c>
      <c r="AB4798">
        <v>25</v>
      </c>
      <c r="AC4798">
        <v>0.44659999999998901</v>
      </c>
      <c r="AD4798">
        <v>-0.16225400000000001</v>
      </c>
      <c r="AE4798">
        <v>-0.113499999999987</v>
      </c>
      <c r="AF4798">
        <v>9.6685938101949295E-2</v>
      </c>
      <c r="AG4798">
        <v>-0.16225400000000001</v>
      </c>
      <c r="AH4798">
        <v>0.39840265989069001</v>
      </c>
      <c r="AI4798">
        <v>111.59234288510601</v>
      </c>
      <c r="AJ4798">
        <v>76.358950847613798</v>
      </c>
      <c r="AK4798">
        <v>0.44090725844629802</v>
      </c>
      <c r="AL4798">
        <v>89.495422849651405</v>
      </c>
      <c r="AM4798">
        <v>88.2356911062016</v>
      </c>
      <c r="AN4798">
        <v>1.0000000258270001</v>
      </c>
    </row>
    <row r="4799" spans="1:40" x14ac:dyDescent="0.25">
      <c r="A4799" t="str">
        <f>"20190312154019339"</f>
        <v>20190312154019339</v>
      </c>
      <c r="B4799" t="str">
        <f>"1552376419331198"</f>
        <v>1552376419331198</v>
      </c>
      <c r="C4799" t="s">
        <v>40</v>
      </c>
      <c r="D4799">
        <v>3.8126859999999998</v>
      </c>
      <c r="E4799">
        <v>0.54829030000000001</v>
      </c>
      <c r="F4799" t="s">
        <v>41</v>
      </c>
      <c r="G4799">
        <v>-277.52620000000002</v>
      </c>
      <c r="H4799">
        <v>0.91013999999999995</v>
      </c>
      <c r="I4799">
        <v>214.47620000000001</v>
      </c>
      <c r="J4799">
        <v>-278.16250000000002</v>
      </c>
      <c r="K4799">
        <v>1.110268</v>
      </c>
      <c r="L4799">
        <v>214.6172</v>
      </c>
      <c r="M4799">
        <v>0.99984580000000001</v>
      </c>
      <c r="N4799">
        <v>0</v>
      </c>
      <c r="O4799">
        <v>-1.07911E-2</v>
      </c>
      <c r="P4799">
        <v>0.99911240000000001</v>
      </c>
      <c r="Q4799">
        <v>-5.1856819999999996E-3</v>
      </c>
      <c r="R4799">
        <v>-4.1805450000000001E-2</v>
      </c>
      <c r="S4799">
        <v>2.9788209999999999</v>
      </c>
      <c r="T4799">
        <v>-0.68371700000000002</v>
      </c>
      <c r="U4799">
        <v>-0.49005130000000002</v>
      </c>
      <c r="V4799">
        <v>3.1020800000000001E-2</v>
      </c>
      <c r="W4799">
        <v>8.657171E-3</v>
      </c>
      <c r="X4799">
        <v>0.99948130000000002</v>
      </c>
      <c r="Y4799">
        <v>0.14819309999999999</v>
      </c>
      <c r="Z4799">
        <v>-1.425191E-2</v>
      </c>
      <c r="AA4799">
        <v>0.9888557</v>
      </c>
      <c r="AB4799">
        <v>25</v>
      </c>
      <c r="AC4799">
        <v>0.63630000000000497</v>
      </c>
      <c r="AD4799">
        <v>-0.200128</v>
      </c>
      <c r="AE4799">
        <v>-0.14099999999999099</v>
      </c>
      <c r="AF4799">
        <v>0.122567642071369</v>
      </c>
      <c r="AG4799">
        <v>-0.200128</v>
      </c>
      <c r="AH4799">
        <v>0.58282872712284295</v>
      </c>
      <c r="AI4799">
        <v>108.57356515764801</v>
      </c>
      <c r="AJ4799">
        <v>78.123875811045593</v>
      </c>
      <c r="AK4799">
        <v>0.62830197232427099</v>
      </c>
      <c r="AL4799">
        <v>89.503974469353295</v>
      </c>
      <c r="AM4799">
        <v>88.222287357834603</v>
      </c>
      <c r="AN4799">
        <v>1.00000005284602</v>
      </c>
    </row>
    <row r="4800" spans="1:40" x14ac:dyDescent="0.25">
      <c r="A4800" t="str">
        <f>"20190312154019362"</f>
        <v>20190312154019362</v>
      </c>
      <c r="B4800" t="str">
        <f>"1552376419350718"</f>
        <v>1552376419350718</v>
      </c>
      <c r="C4800" t="s">
        <v>40</v>
      </c>
      <c r="D4800">
        <v>3.8014480000000002</v>
      </c>
      <c r="E4800">
        <v>0.54835500000000004</v>
      </c>
      <c r="F4800" t="s">
        <v>41</v>
      </c>
      <c r="G4800">
        <v>-277.30439999999999</v>
      </c>
      <c r="H4800">
        <v>0.91311469999999995</v>
      </c>
      <c r="I4800">
        <v>214.47540000000001</v>
      </c>
      <c r="J4800">
        <v>-277.92039999999997</v>
      </c>
      <c r="K4800">
        <v>1.1102669999999999</v>
      </c>
      <c r="L4800">
        <v>214.61449999999999</v>
      </c>
      <c r="M4800">
        <v>0.99984600000000001</v>
      </c>
      <c r="N4800">
        <v>0</v>
      </c>
      <c r="O4800">
        <v>-1.079108E-2</v>
      </c>
      <c r="P4800">
        <v>0.99910589999999999</v>
      </c>
      <c r="Q4800">
        <v>-4.8388199999999998E-3</v>
      </c>
      <c r="R4800">
        <v>-4.2009030000000003E-2</v>
      </c>
      <c r="S4800">
        <v>2.978577</v>
      </c>
      <c r="T4800">
        <v>-0.68447939999999996</v>
      </c>
      <c r="U4800">
        <v>-0.49067690000000003</v>
      </c>
      <c r="V4800">
        <v>3.1224189999999999E-2</v>
      </c>
      <c r="W4800">
        <v>9.0014369999999993E-3</v>
      </c>
      <c r="X4800">
        <v>0.99947180000000002</v>
      </c>
      <c r="Y4800">
        <v>0.1483951</v>
      </c>
      <c r="Z4800">
        <v>-1.4291069999999999E-2</v>
      </c>
      <c r="AA4800">
        <v>0.98882490000000001</v>
      </c>
      <c r="AB4800">
        <v>25</v>
      </c>
      <c r="AC4800">
        <v>0.615999999999985</v>
      </c>
      <c r="AD4800">
        <v>-0.1971523</v>
      </c>
      <c r="AE4800">
        <v>-0.13909999999998399</v>
      </c>
      <c r="AF4800">
        <v>0.12068184682685899</v>
      </c>
      <c r="AG4800">
        <v>-0.1971523</v>
      </c>
      <c r="AH4800">
        <v>0.56262932161641399</v>
      </c>
      <c r="AI4800">
        <v>108.912450832133</v>
      </c>
      <c r="AJ4800">
        <v>77.893713392703503</v>
      </c>
      <c r="AK4800">
        <v>0.60826383345664803</v>
      </c>
      <c r="AL4800">
        <v>89.4842486479032</v>
      </c>
      <c r="AM4800">
        <v>88.210622218892595</v>
      </c>
      <c r="AN4800">
        <v>0.99999992745222799</v>
      </c>
    </row>
    <row r="4801" spans="1:40" x14ac:dyDescent="0.25">
      <c r="A4801" t="str">
        <f>"20190312154019384"</f>
        <v>20190312154019384</v>
      </c>
      <c r="B4801" t="str">
        <f>"1552376419371215"</f>
        <v>1552376419371215</v>
      </c>
      <c r="C4801" t="s">
        <v>40</v>
      </c>
      <c r="D4801">
        <v>3.8099099999999999</v>
      </c>
      <c r="E4801">
        <v>0.5483789</v>
      </c>
      <c r="F4801" t="s">
        <v>41</v>
      </c>
      <c r="G4801">
        <v>-277.08229999999998</v>
      </c>
      <c r="H4801">
        <v>0.91776610000000003</v>
      </c>
      <c r="I4801">
        <v>214.4761</v>
      </c>
      <c r="J4801">
        <v>-277.67290000000003</v>
      </c>
      <c r="K4801">
        <v>1.1102669999999999</v>
      </c>
      <c r="L4801">
        <v>214.61189999999999</v>
      </c>
      <c r="M4801">
        <v>0.99984600000000001</v>
      </c>
      <c r="N4801">
        <v>0</v>
      </c>
      <c r="O4801">
        <v>-1.0790940000000001E-2</v>
      </c>
      <c r="P4801">
        <v>0.99909309999999996</v>
      </c>
      <c r="Q4801">
        <v>-4.9505299999999999E-3</v>
      </c>
      <c r="R4801">
        <v>-4.2290679999999997E-2</v>
      </c>
      <c r="S4801">
        <v>2.9786679999999999</v>
      </c>
      <c r="T4801">
        <v>-0.68417569999999905</v>
      </c>
      <c r="U4801">
        <v>-0.49176029999999998</v>
      </c>
      <c r="V4801">
        <v>3.150642E-2</v>
      </c>
      <c r="W4801">
        <v>8.8869989999999996E-3</v>
      </c>
      <c r="X4801">
        <v>0.99946400000000002</v>
      </c>
      <c r="Y4801">
        <v>0.14873539999999999</v>
      </c>
      <c r="Z4801">
        <v>-1.4322410000000001E-2</v>
      </c>
      <c r="AA4801">
        <v>0.98877329999999997</v>
      </c>
      <c r="AB4801">
        <v>25</v>
      </c>
      <c r="AC4801">
        <v>0.59060000000005097</v>
      </c>
      <c r="AD4801">
        <v>-0.1925009</v>
      </c>
      <c r="AE4801">
        <v>-0.13579999999998901</v>
      </c>
      <c r="AF4801">
        <v>0.117556552923877</v>
      </c>
      <c r="AG4801">
        <v>-0.1925009</v>
      </c>
      <c r="AH4801">
        <v>0.53776872320893099</v>
      </c>
      <c r="AI4801">
        <v>109.27494780449101</v>
      </c>
      <c r="AJ4801">
        <v>77.669083346702095</v>
      </c>
      <c r="AK4801">
        <v>0.58315635921930797</v>
      </c>
      <c r="AL4801">
        <v>89.490805741796805</v>
      </c>
      <c r="AM4801">
        <v>88.194444921781198</v>
      </c>
      <c r="AN4801">
        <v>0.99999996027422</v>
      </c>
    </row>
    <row r="4802" spans="1:40" x14ac:dyDescent="0.25">
      <c r="A4802" t="str">
        <f>"20190312154019407"</f>
        <v>20190312154019407</v>
      </c>
      <c r="B4802" t="str">
        <f>"1552376419400494"</f>
        <v>1552376419400494</v>
      </c>
      <c r="C4802" t="s">
        <v>40</v>
      </c>
      <c r="D4802">
        <v>3.8937940000000002</v>
      </c>
      <c r="E4802">
        <v>0.54839989999999905</v>
      </c>
      <c r="F4802" t="s">
        <v>41</v>
      </c>
      <c r="G4802">
        <v>-276.86</v>
      </c>
      <c r="H4802">
        <v>0.92322729999999997</v>
      </c>
      <c r="I4802">
        <v>214.47710000000001</v>
      </c>
      <c r="J4802">
        <v>-277.41890000000001</v>
      </c>
      <c r="K4802">
        <v>1.110266</v>
      </c>
      <c r="L4802">
        <v>214.60910000000001</v>
      </c>
      <c r="M4802">
        <v>0.99984600000000001</v>
      </c>
      <c r="N4802">
        <v>0</v>
      </c>
      <c r="O4802">
        <v>-1.0790920000000001E-2</v>
      </c>
      <c r="P4802">
        <v>0.99909349999999997</v>
      </c>
      <c r="Q4802">
        <v>-4.7373709999999998E-3</v>
      </c>
      <c r="R4802">
        <v>-4.230896E-2</v>
      </c>
      <c r="S4802">
        <v>2.978485</v>
      </c>
      <c r="T4802">
        <v>-0.68539110000000003</v>
      </c>
      <c r="U4802">
        <v>-0.4928131</v>
      </c>
      <c r="V4802">
        <v>3.1524610000000002E-2</v>
      </c>
      <c r="W4802">
        <v>9.0972770000000008E-3</v>
      </c>
      <c r="X4802">
        <v>0.99946159999999995</v>
      </c>
      <c r="Y4802">
        <v>0.14906459999999999</v>
      </c>
      <c r="Z4802">
        <v>-1.438482E-2</v>
      </c>
      <c r="AA4802">
        <v>0.98872280000000001</v>
      </c>
      <c r="AB4802">
        <v>25</v>
      </c>
      <c r="AC4802">
        <v>0.55889999999999396</v>
      </c>
      <c r="AD4802">
        <v>-0.187038699999999</v>
      </c>
      <c r="AE4802">
        <v>-0.132000000000005</v>
      </c>
      <c r="AF4802">
        <v>0.11388057958912</v>
      </c>
      <c r="AG4802">
        <v>-0.187038699999999</v>
      </c>
      <c r="AH4802">
        <v>0.506557851713068</v>
      </c>
      <c r="AI4802">
        <v>109.81121908326</v>
      </c>
      <c r="AJ4802">
        <v>77.3298376400856</v>
      </c>
      <c r="AK4802">
        <v>0.55186331535752797</v>
      </c>
      <c r="AL4802">
        <v>89.478757246341303</v>
      </c>
      <c r="AM4802">
        <v>88.193398853122901</v>
      </c>
      <c r="AN4802">
        <v>1.0000000256795101</v>
      </c>
    </row>
    <row r="4803" spans="1:40" x14ac:dyDescent="0.25">
      <c r="A4803" t="str">
        <f>"20190312154019430"</f>
        <v>20190312154019430</v>
      </c>
      <c r="B4803" t="str">
        <f>"1552376419421262"</f>
        <v>1552376419421262</v>
      </c>
      <c r="C4803" t="s">
        <v>40</v>
      </c>
      <c r="D4803">
        <v>3.8437990000000002</v>
      </c>
      <c r="E4803">
        <v>0.54839399999999905</v>
      </c>
      <c r="F4803" t="s">
        <v>41</v>
      </c>
      <c r="G4803">
        <v>-276.63709999999998</v>
      </c>
      <c r="H4803">
        <v>0.93024490000000004</v>
      </c>
      <c r="I4803">
        <v>214.4796</v>
      </c>
      <c r="J4803">
        <v>-277.17630000000003</v>
      </c>
      <c r="K4803">
        <v>1.1102639999999999</v>
      </c>
      <c r="L4803">
        <v>214.60650000000001</v>
      </c>
      <c r="M4803">
        <v>0.99984600000000001</v>
      </c>
      <c r="N4803">
        <v>0</v>
      </c>
      <c r="O4803">
        <v>-1.0790900000000001E-2</v>
      </c>
      <c r="P4803">
        <v>0.99908859999999999</v>
      </c>
      <c r="Q4803">
        <v>-4.4196579999999999E-3</v>
      </c>
      <c r="R4803">
        <v>-4.2453299999999999E-2</v>
      </c>
      <c r="S4803">
        <v>2.9786380000000001</v>
      </c>
      <c r="T4803">
        <v>-0.68584719999999999</v>
      </c>
      <c r="U4803">
        <v>-0.49295040000000001</v>
      </c>
      <c r="V4803">
        <v>3.1669049999999997E-2</v>
      </c>
      <c r="W4803">
        <v>9.4124529999999994E-3</v>
      </c>
      <c r="X4803">
        <v>0.99945410000000001</v>
      </c>
      <c r="Y4803">
        <v>0.149095799999999</v>
      </c>
      <c r="Z4803">
        <v>-1.4396920000000001E-2</v>
      </c>
      <c r="AA4803">
        <v>0.98871799999999999</v>
      </c>
      <c r="AB4803">
        <v>25</v>
      </c>
      <c r="AC4803">
        <v>0.53920000000004997</v>
      </c>
      <c r="AD4803">
        <v>-0.18001909999999899</v>
      </c>
      <c r="AE4803">
        <v>-0.12690000000000601</v>
      </c>
      <c r="AF4803">
        <v>0.10950793872141799</v>
      </c>
      <c r="AG4803">
        <v>-0.18001909999999899</v>
      </c>
      <c r="AH4803">
        <v>0.488902725190485</v>
      </c>
      <c r="AI4803">
        <v>109.763743043847</v>
      </c>
      <c r="AJ4803">
        <v>77.374863005021794</v>
      </c>
      <c r="AK4803">
        <v>0.53237650183540797</v>
      </c>
      <c r="AL4803">
        <v>89.460698210524399</v>
      </c>
      <c r="AM4803">
        <v>88.185113250100997</v>
      </c>
      <c r="AN4803">
        <v>1.00000001050309</v>
      </c>
    </row>
    <row r="4804" spans="1:40" x14ac:dyDescent="0.25">
      <c r="A4804" t="str">
        <f>"20190312154019451"</f>
        <v>20190312154019451</v>
      </c>
      <c r="B4804" t="str">
        <f>"1552376419440782"</f>
        <v>1552376419440782</v>
      </c>
      <c r="C4804" t="s">
        <v>40</v>
      </c>
      <c r="D4804">
        <v>3.9203779999999999</v>
      </c>
      <c r="E4804">
        <v>0.54847089999999998</v>
      </c>
      <c r="F4804" t="s">
        <v>41</v>
      </c>
      <c r="G4804">
        <v>-276.41539999999998</v>
      </c>
      <c r="H4804">
        <v>0.93520510000000001</v>
      </c>
      <c r="I4804">
        <v>214.48009999999999</v>
      </c>
      <c r="J4804">
        <v>-276.93950000000001</v>
      </c>
      <c r="K4804">
        <v>1.110271</v>
      </c>
      <c r="L4804">
        <v>214.60400000000001</v>
      </c>
      <c r="M4804">
        <v>0.99984609999999996</v>
      </c>
      <c r="N4804">
        <v>0</v>
      </c>
      <c r="O4804">
        <v>-1.0790889999999999E-2</v>
      </c>
      <c r="P4804">
        <v>0.99908390000000002</v>
      </c>
      <c r="Q4804">
        <v>-3.992476E-3</v>
      </c>
      <c r="R4804">
        <v>-4.2614590000000001E-2</v>
      </c>
      <c r="S4804">
        <v>2.978729</v>
      </c>
      <c r="T4804">
        <v>-0.68535590000000002</v>
      </c>
      <c r="U4804">
        <v>-0.49328610000000001</v>
      </c>
      <c r="V4804">
        <v>3.1830280000000002E-2</v>
      </c>
      <c r="W4804">
        <v>9.8372939999999999E-3</v>
      </c>
      <c r="X4804">
        <v>0.99944489999999997</v>
      </c>
      <c r="Y4804">
        <v>0.1492019</v>
      </c>
      <c r="Z4804">
        <v>-1.4398299999999999E-2</v>
      </c>
      <c r="AA4804">
        <v>0.98870190000000002</v>
      </c>
      <c r="AB4804">
        <v>25</v>
      </c>
      <c r="AC4804">
        <v>0.52410000000003198</v>
      </c>
      <c r="AD4804">
        <v>-0.1750659</v>
      </c>
      <c r="AE4804">
        <v>-0.12390000000001999</v>
      </c>
      <c r="AF4804">
        <v>0.106936604895271</v>
      </c>
      <c r="AG4804">
        <v>-0.1750659</v>
      </c>
      <c r="AH4804">
        <v>0.47519238689243998</v>
      </c>
      <c r="AI4804">
        <v>109.76955265964401</v>
      </c>
      <c r="AJ4804">
        <v>77.317514297639605</v>
      </c>
      <c r="AK4804">
        <v>0.51758217837351295</v>
      </c>
      <c r="AL4804">
        <v>89.436355494159997</v>
      </c>
      <c r="AM4804">
        <v>88.175862943983901</v>
      </c>
      <c r="AN4804">
        <v>1.0000000236070601</v>
      </c>
    </row>
    <row r="4805" spans="1:40" x14ac:dyDescent="0.25">
      <c r="A4805" t="str">
        <f>"20190312154019473"</f>
        <v>20190312154019473</v>
      </c>
      <c r="B4805" t="str">
        <f>"1552376419461278"</f>
        <v>1552376419461278</v>
      </c>
      <c r="C4805" t="s">
        <v>40</v>
      </c>
      <c r="D4805">
        <v>3.9106079999999999</v>
      </c>
      <c r="E4805">
        <v>0.54851319999999903</v>
      </c>
      <c r="F4805" t="s">
        <v>41</v>
      </c>
      <c r="G4805">
        <v>-276.19459999999998</v>
      </c>
      <c r="H4805">
        <v>0.93890249999999997</v>
      </c>
      <c r="I4805">
        <v>214.4804</v>
      </c>
      <c r="J4805">
        <v>-276.69670000000002</v>
      </c>
      <c r="K4805">
        <v>1.1102730000000001</v>
      </c>
      <c r="L4805">
        <v>214.60130000000001</v>
      </c>
      <c r="M4805">
        <v>0.99984609999999996</v>
      </c>
      <c r="N4805">
        <v>0</v>
      </c>
      <c r="O4805">
        <v>-1.0790869999999999E-2</v>
      </c>
      <c r="P4805">
        <v>0.99906910000000004</v>
      </c>
      <c r="Q4805">
        <v>-3.4531179999999998E-3</v>
      </c>
      <c r="R4805">
        <v>-4.3001200000000003E-2</v>
      </c>
      <c r="S4805">
        <v>2.9789119999999998</v>
      </c>
      <c r="T4805">
        <v>-0.68520360000000002</v>
      </c>
      <c r="U4805">
        <v>-0.49383539999999998</v>
      </c>
      <c r="V4805">
        <v>3.2217200000000001E-2</v>
      </c>
      <c r="W4805">
        <v>1.037371E-2</v>
      </c>
      <c r="X4805">
        <v>0.99942710000000001</v>
      </c>
      <c r="Y4805">
        <v>0.14936749999999999</v>
      </c>
      <c r="Z4805">
        <v>-1.441279E-2</v>
      </c>
      <c r="AA4805">
        <v>0.98867669999999996</v>
      </c>
      <c r="AB4805">
        <v>25</v>
      </c>
      <c r="AC4805">
        <v>0.50210000000004096</v>
      </c>
      <c r="AD4805">
        <v>-0.17137050000000001</v>
      </c>
      <c r="AE4805">
        <v>-0.120900000000006</v>
      </c>
      <c r="AF4805">
        <v>0.104020923237468</v>
      </c>
      <c r="AG4805">
        <v>-0.17137050000000001</v>
      </c>
      <c r="AH4805">
        <v>0.45344777057734298</v>
      </c>
      <c r="AI4805">
        <v>110.221763088255</v>
      </c>
      <c r="AJ4805">
        <v>77.079889471288197</v>
      </c>
      <c r="AK4805">
        <v>0.49578531783725499</v>
      </c>
      <c r="AL4805">
        <v>89.405619564949106</v>
      </c>
      <c r="AM4805">
        <v>88.153671637506505</v>
      </c>
      <c r="AN4805">
        <v>1.0000000450247</v>
      </c>
    </row>
    <row r="4806" spans="1:40" x14ac:dyDescent="0.25">
      <c r="A4806" t="str">
        <f>"20190312154019496"</f>
        <v>20190312154019496</v>
      </c>
      <c r="B4806" t="str">
        <f>"1552376419490558"</f>
        <v>1552376419490558</v>
      </c>
      <c r="C4806" t="s">
        <v>40</v>
      </c>
      <c r="D4806">
        <v>3.8949929999999999</v>
      </c>
      <c r="E4806">
        <v>0.54858859999999998</v>
      </c>
      <c r="F4806" t="s">
        <v>41</v>
      </c>
      <c r="G4806">
        <v>-275.97320000000002</v>
      </c>
      <c r="H4806">
        <v>0.94415839999999995</v>
      </c>
      <c r="I4806">
        <v>214.48070000000001</v>
      </c>
      <c r="J4806">
        <v>-276.44959999999998</v>
      </c>
      <c r="K4806">
        <v>1.110276</v>
      </c>
      <c r="L4806">
        <v>214.59870000000001</v>
      </c>
      <c r="M4806">
        <v>0.99984609999999996</v>
      </c>
      <c r="N4806">
        <v>0</v>
      </c>
      <c r="O4806">
        <v>-1.0790849999999999E-2</v>
      </c>
      <c r="P4806">
        <v>0.99907699999999999</v>
      </c>
      <c r="Q4806">
        <v>-2.8242300000000001E-3</v>
      </c>
      <c r="R4806">
        <v>-4.2862810000000001E-2</v>
      </c>
      <c r="S4806">
        <v>2.9791259999999999</v>
      </c>
      <c r="T4806">
        <v>-0.68417410000000001</v>
      </c>
      <c r="U4806">
        <v>-0.49557499999999999</v>
      </c>
      <c r="V4806">
        <v>3.2078849999999999E-2</v>
      </c>
      <c r="W4806">
        <v>1.100024E-2</v>
      </c>
      <c r="X4806">
        <v>0.9994248</v>
      </c>
      <c r="Y4806">
        <v>0.149915299999999</v>
      </c>
      <c r="Z4806">
        <v>-1.4451719999999999E-2</v>
      </c>
      <c r="AA4806">
        <v>0.98859319999999895</v>
      </c>
      <c r="AB4806">
        <v>25</v>
      </c>
      <c r="AC4806">
        <v>0.47639999999995503</v>
      </c>
      <c r="AD4806">
        <v>-0.166117599999999</v>
      </c>
      <c r="AE4806">
        <v>-0.117999999999994</v>
      </c>
      <c r="AF4806">
        <v>0.10125250078476999</v>
      </c>
      <c r="AG4806">
        <v>-0.166117599999999</v>
      </c>
      <c r="AH4806">
        <v>0.42855133166293002</v>
      </c>
      <c r="AI4806">
        <v>110.66846860829</v>
      </c>
      <c r="AJ4806">
        <v>76.706678320595998</v>
      </c>
      <c r="AK4806">
        <v>0.47064144506726202</v>
      </c>
      <c r="AL4806">
        <v>89.369719959186398</v>
      </c>
      <c r="AM4806">
        <v>88.161590626635203</v>
      </c>
      <c r="AN4806">
        <v>0.99999999437621001</v>
      </c>
    </row>
    <row r="4807" spans="1:40" x14ac:dyDescent="0.25">
      <c r="A4807" t="str">
        <f>"20190312154019530"</f>
        <v>20190312154019530</v>
      </c>
      <c r="B4807" t="str">
        <f>"1552376419520818"</f>
        <v>1552376419520818</v>
      </c>
      <c r="C4807" t="s">
        <v>40</v>
      </c>
      <c r="D4807">
        <v>3.9011019999999998</v>
      </c>
      <c r="E4807">
        <v>0.54870839999999999</v>
      </c>
      <c r="F4807" t="s">
        <v>41</v>
      </c>
      <c r="G4807">
        <v>-275.75170000000003</v>
      </c>
      <c r="H4807">
        <v>0.95032110000000003</v>
      </c>
      <c r="I4807">
        <v>214.48240000000001</v>
      </c>
      <c r="J4807">
        <v>-276.07709999999997</v>
      </c>
      <c r="K4807">
        <v>1.1102810000000001</v>
      </c>
      <c r="L4807">
        <v>214.59469999999999</v>
      </c>
      <c r="M4807">
        <v>0.99984629999999997</v>
      </c>
      <c r="N4807">
        <v>0</v>
      </c>
      <c r="O4807">
        <v>-1.079082E-2</v>
      </c>
      <c r="P4807">
        <v>0.99907489999999999</v>
      </c>
      <c r="Q4807">
        <v>-2.957856E-3</v>
      </c>
      <c r="R4807">
        <v>-4.290223E-2</v>
      </c>
      <c r="S4807">
        <v>2.9796140000000002</v>
      </c>
      <c r="T4807">
        <v>-0.68294969999999999</v>
      </c>
      <c r="U4807">
        <v>-0.49581910000000001</v>
      </c>
      <c r="V4807">
        <v>3.211837E-2</v>
      </c>
      <c r="W4807">
        <v>1.0862439999999999E-2</v>
      </c>
      <c r="X4807">
        <v>0.99942509999999996</v>
      </c>
      <c r="Y4807">
        <v>0.1499799</v>
      </c>
      <c r="Z4807">
        <v>-1.44314E-2</v>
      </c>
      <c r="AA4807">
        <v>0.98858369999999995</v>
      </c>
      <c r="AB4807">
        <v>24</v>
      </c>
      <c r="AC4807">
        <v>0.32539999999994501</v>
      </c>
      <c r="AD4807">
        <v>-0.15995989999999899</v>
      </c>
      <c r="AE4807">
        <v>-0.112299999999976</v>
      </c>
      <c r="AF4807">
        <v>8.9463717267743603E-2</v>
      </c>
      <c r="AG4807">
        <v>-0.15995989999999899</v>
      </c>
      <c r="AH4807">
        <v>0.26859478059887798</v>
      </c>
      <c r="AI4807">
        <v>119.467537474978</v>
      </c>
      <c r="AJ4807">
        <v>71.578083397878203</v>
      </c>
      <c r="AK4807">
        <v>0.325167775894741</v>
      </c>
      <c r="AL4807">
        <v>89.377615828026407</v>
      </c>
      <c r="AM4807">
        <v>88.159327880984407</v>
      </c>
      <c r="AN4807">
        <v>1.0000000564021001</v>
      </c>
    </row>
    <row r="4808" spans="1:40" x14ac:dyDescent="0.25">
      <c r="A4808" t="str">
        <f>"20190312154019552"</f>
        <v>20190312154019552</v>
      </c>
      <c r="B4808" t="str">
        <f>"1552376419541316"</f>
        <v>1552376419541316</v>
      </c>
      <c r="C4808" t="s">
        <v>40</v>
      </c>
      <c r="D4808">
        <v>3.9453520000000002</v>
      </c>
      <c r="E4808">
        <v>0.5487571</v>
      </c>
      <c r="F4808" t="s">
        <v>41</v>
      </c>
      <c r="G4808">
        <v>-275.32159999999999</v>
      </c>
      <c r="H4808">
        <v>0.9366852</v>
      </c>
      <c r="I4808">
        <v>214.46860000000001</v>
      </c>
      <c r="J4808">
        <v>-275.84309999999999</v>
      </c>
      <c r="K4808">
        <v>1.110277</v>
      </c>
      <c r="L4808">
        <v>214.59209999999999</v>
      </c>
      <c r="M4808">
        <v>0.99984620000000002</v>
      </c>
      <c r="N4808">
        <v>0</v>
      </c>
      <c r="O4808">
        <v>-1.0790569999999999E-2</v>
      </c>
      <c r="P4808">
        <v>0.99908379999999997</v>
      </c>
      <c r="Q4808">
        <v>-3.0439540000000002E-3</v>
      </c>
      <c r="R4808">
        <v>-4.269059E-2</v>
      </c>
      <c r="S4808">
        <v>2.979492</v>
      </c>
      <c r="T4808">
        <v>-0.68465790000000004</v>
      </c>
      <c r="U4808">
        <v>-0.49674990000000002</v>
      </c>
      <c r="V4808">
        <v>3.190664E-2</v>
      </c>
      <c r="W4808">
        <v>1.077375E-2</v>
      </c>
      <c r="X4808">
        <v>0.99943280000000001</v>
      </c>
      <c r="Y4808">
        <v>0.1502626</v>
      </c>
      <c r="Z4808">
        <v>-1.449872E-2</v>
      </c>
      <c r="AA4808">
        <v>0.98853979999999997</v>
      </c>
      <c r="AB4808">
        <v>24</v>
      </c>
      <c r="AC4808">
        <v>0.52150000000000296</v>
      </c>
      <c r="AD4808">
        <v>-0.17359179999999999</v>
      </c>
      <c r="AE4808">
        <v>-0.123499999999978</v>
      </c>
      <c r="AF4808">
        <v>0.106673016055698</v>
      </c>
      <c r="AG4808">
        <v>-0.17359179999999999</v>
      </c>
      <c r="AH4808">
        <v>0.47315924002495702</v>
      </c>
      <c r="AI4808">
        <v>109.692061298282</v>
      </c>
      <c r="AJ4808">
        <v>77.295162800423597</v>
      </c>
      <c r="AK4808">
        <v>0.51516299537394405</v>
      </c>
      <c r="AL4808">
        <v>89.382697661960904</v>
      </c>
      <c r="AM4808">
        <v>88.171467732030294</v>
      </c>
      <c r="AN4808">
        <v>1.0000000145404899</v>
      </c>
    </row>
    <row r="4809" spans="1:40" x14ac:dyDescent="0.25">
      <c r="A4809" t="str">
        <f>"20190312154019574"</f>
        <v>20190312154019574</v>
      </c>
      <c r="B4809" t="str">
        <f>"1552376419560831"</f>
        <v>1552376419560831</v>
      </c>
      <c r="C4809" t="s">
        <v>40</v>
      </c>
      <c r="D4809">
        <v>3.8688630000000002</v>
      </c>
      <c r="E4809">
        <v>0.54879119999999904</v>
      </c>
      <c r="F4809" t="s">
        <v>41</v>
      </c>
      <c r="G4809">
        <v>-275.10239999999999</v>
      </c>
      <c r="H4809">
        <v>0.93980430000000004</v>
      </c>
      <c r="I4809">
        <v>214.4683</v>
      </c>
      <c r="J4809">
        <v>-275.60120000000001</v>
      </c>
      <c r="K4809">
        <v>1.110269</v>
      </c>
      <c r="L4809">
        <v>214.58949999999999</v>
      </c>
      <c r="M4809">
        <v>0.99984640000000002</v>
      </c>
      <c r="N4809">
        <v>0</v>
      </c>
      <c r="O4809">
        <v>-1.079079E-2</v>
      </c>
      <c r="P4809">
        <v>0.99907729999999995</v>
      </c>
      <c r="Q4809">
        <v>-3.1022760000000002E-3</v>
      </c>
      <c r="R4809">
        <v>-4.2841089999999998E-2</v>
      </c>
      <c r="S4809">
        <v>2.9794309999999999</v>
      </c>
      <c r="T4809">
        <v>-0.68571870000000001</v>
      </c>
      <c r="U4809">
        <v>-0.49662780000000001</v>
      </c>
      <c r="V4809">
        <v>3.205707E-2</v>
      </c>
      <c r="W4809">
        <v>1.071272E-2</v>
      </c>
      <c r="X4809">
        <v>0.9994286</v>
      </c>
      <c r="Y4809">
        <v>0.1502164</v>
      </c>
      <c r="Z4809">
        <v>-1.4515699999999999E-2</v>
      </c>
      <c r="AA4809">
        <v>0.98854660000000005</v>
      </c>
      <c r="AB4809">
        <v>24</v>
      </c>
      <c r="AC4809">
        <v>0.49880000000001701</v>
      </c>
      <c r="AD4809">
        <v>-0.1704647</v>
      </c>
      <c r="AE4809">
        <v>-0.121199999999987</v>
      </c>
      <c r="AF4809">
        <v>0.104306849278008</v>
      </c>
      <c r="AG4809">
        <v>-0.1704647</v>
      </c>
      <c r="AH4809">
        <v>0.45040725768957501</v>
      </c>
      <c r="AI4809">
        <v>110.23943141662799</v>
      </c>
      <c r="AJ4809">
        <v>76.961100662760501</v>
      </c>
      <c r="AK4809">
        <v>0.49275230139679599</v>
      </c>
      <c r="AL4809">
        <v>89.386194599217802</v>
      </c>
      <c r="AM4809">
        <v>88.162844943159598</v>
      </c>
      <c r="AN4809">
        <v>0.99999997230237103</v>
      </c>
    </row>
    <row r="4810" spans="1:40" x14ac:dyDescent="0.25">
      <c r="A4810" t="str">
        <f>"20190312154019597"</f>
        <v>20190312154019597</v>
      </c>
      <c r="B4810" t="str">
        <f>"1552376419591086"</f>
        <v>1552376419591086</v>
      </c>
      <c r="C4810" t="s">
        <v>40</v>
      </c>
      <c r="D4810">
        <v>3.8897469999999998</v>
      </c>
      <c r="E4810">
        <v>0.54886999999999997</v>
      </c>
      <c r="F4810" t="s">
        <v>41</v>
      </c>
      <c r="G4810">
        <v>-274.88260000000002</v>
      </c>
      <c r="H4810">
        <v>0.94472069999999997</v>
      </c>
      <c r="I4810">
        <v>214.46940000000001</v>
      </c>
      <c r="J4810">
        <v>-275.34870000000001</v>
      </c>
      <c r="K4810">
        <v>1.110271</v>
      </c>
      <c r="L4810">
        <v>214.58680000000001</v>
      </c>
      <c r="M4810">
        <v>0.99984640000000002</v>
      </c>
      <c r="N4810">
        <v>0</v>
      </c>
      <c r="O4810">
        <v>-1.079077E-2</v>
      </c>
      <c r="P4810">
        <v>0.99906530000000004</v>
      </c>
      <c r="Q4810">
        <v>-2.9760199999999998E-3</v>
      </c>
      <c r="R4810">
        <v>-4.3127440000000003E-2</v>
      </c>
      <c r="S4810">
        <v>2.9793699999999999</v>
      </c>
      <c r="T4810">
        <v>-0.68647829999999999</v>
      </c>
      <c r="U4810">
        <v>-0.49694820000000001</v>
      </c>
      <c r="V4810">
        <v>3.2343610000000002E-2</v>
      </c>
      <c r="W4810">
        <v>1.0836220000000001E-2</v>
      </c>
      <c r="X4810">
        <v>0.99941809999999998</v>
      </c>
      <c r="Y4810">
        <v>0.1503129</v>
      </c>
      <c r="Z4810">
        <v>-1.454244E-2</v>
      </c>
      <c r="AA4810">
        <v>0.98853150000000001</v>
      </c>
      <c r="AB4810">
        <v>24</v>
      </c>
      <c r="AC4810">
        <v>0.46609999999998297</v>
      </c>
      <c r="AD4810">
        <v>-0.16555029999999901</v>
      </c>
      <c r="AE4810">
        <v>-0.117400000000003</v>
      </c>
      <c r="AF4810">
        <v>0.10044723343961</v>
      </c>
      <c r="AG4810">
        <v>-0.16555029999999901</v>
      </c>
      <c r="AH4810">
        <v>0.4177794048456</v>
      </c>
      <c r="AI4810">
        <v>111.070818697666</v>
      </c>
      <c r="AJ4810">
        <v>76.480904760823293</v>
      </c>
      <c r="AK4810">
        <v>0.46047386424085501</v>
      </c>
      <c r="AL4810">
        <v>89.379118198843898</v>
      </c>
      <c r="AM4810">
        <v>88.146415598334499</v>
      </c>
      <c r="AN4810">
        <v>1.0000000356896599</v>
      </c>
    </row>
    <row r="4811" spans="1:40" x14ac:dyDescent="0.25">
      <c r="A4811" t="str">
        <f>"20190312154019620"</f>
        <v>20190312154019620</v>
      </c>
      <c r="B4811" t="str">
        <f>"1552376419610606"</f>
        <v>1552376419610606</v>
      </c>
      <c r="C4811" t="s">
        <v>40</v>
      </c>
      <c r="D4811">
        <v>3.8553500000000001</v>
      </c>
      <c r="E4811">
        <v>0.54889270000000001</v>
      </c>
      <c r="F4811" t="s">
        <v>41</v>
      </c>
      <c r="G4811">
        <v>-274.66199999999998</v>
      </c>
      <c r="H4811">
        <v>0.95188550000000005</v>
      </c>
      <c r="I4811">
        <v>214.47139999999999</v>
      </c>
      <c r="J4811">
        <v>-275.10250000000002</v>
      </c>
      <c r="K4811">
        <v>1.110276</v>
      </c>
      <c r="L4811">
        <v>214.58410000000001</v>
      </c>
      <c r="M4811">
        <v>0.99984640000000002</v>
      </c>
      <c r="N4811">
        <v>0</v>
      </c>
      <c r="O4811">
        <v>-1.079075E-2</v>
      </c>
      <c r="P4811">
        <v>0.99906010000000001</v>
      </c>
      <c r="Q4811">
        <v>-2.416549E-3</v>
      </c>
      <c r="R4811">
        <v>-4.3282910000000001E-2</v>
      </c>
      <c r="S4811">
        <v>2.9792480000000001</v>
      </c>
      <c r="T4811">
        <v>-0.68728820000000002</v>
      </c>
      <c r="U4811">
        <v>-0.49850460000000002</v>
      </c>
      <c r="V4811">
        <v>3.249925E-2</v>
      </c>
      <c r="W4811">
        <v>1.1392650000000001E-2</v>
      </c>
      <c r="X4811">
        <v>0.99940680000000004</v>
      </c>
      <c r="Y4811">
        <v>0.1508012</v>
      </c>
      <c r="Z4811">
        <v>-1.461437E-2</v>
      </c>
      <c r="AA4811">
        <v>0.98845609999999995</v>
      </c>
      <c r="AB4811">
        <v>24</v>
      </c>
      <c r="AC4811">
        <v>0.44049999999998501</v>
      </c>
      <c r="AD4811">
        <v>-0.15839049999999999</v>
      </c>
      <c r="AE4811">
        <v>-0.11270000000001799</v>
      </c>
      <c r="AF4811">
        <v>9.6258891219424297E-2</v>
      </c>
      <c r="AG4811">
        <v>-0.15839049999999999</v>
      </c>
      <c r="AH4811">
        <v>0.39389272034003397</v>
      </c>
      <c r="AI4811">
        <v>111.336653886566</v>
      </c>
      <c r="AJ4811">
        <v>76.267299923274393</v>
      </c>
      <c r="AK4811">
        <v>0.43532149012645199</v>
      </c>
      <c r="AL4811">
        <v>89.347235098596997</v>
      </c>
      <c r="AM4811">
        <v>88.137481227370799</v>
      </c>
      <c r="AN4811">
        <v>0.99999997280541197</v>
      </c>
    </row>
    <row r="4812" spans="1:40" x14ac:dyDescent="0.25">
      <c r="A4812" t="str">
        <f>"20190312154019641"</f>
        <v>20190312154019641</v>
      </c>
      <c r="B4812" t="str">
        <f>"1552376419631102"</f>
        <v>1552376419631102</v>
      </c>
      <c r="C4812" t="s">
        <v>40</v>
      </c>
      <c r="D4812">
        <v>3.9118719999999998</v>
      </c>
      <c r="E4812">
        <v>0.54892280000000004</v>
      </c>
      <c r="F4812" t="s">
        <v>41</v>
      </c>
      <c r="G4812">
        <v>-274.24549999999999</v>
      </c>
      <c r="H4812">
        <v>0.91292119999999999</v>
      </c>
      <c r="I4812">
        <v>214.4402</v>
      </c>
      <c r="J4812">
        <v>-274.86540000000002</v>
      </c>
      <c r="K4812">
        <v>1.1102829999999999</v>
      </c>
      <c r="L4812">
        <v>214.58160000000001</v>
      </c>
      <c r="M4812">
        <v>0.99984649999999997</v>
      </c>
      <c r="N4812">
        <v>0</v>
      </c>
      <c r="O4812">
        <v>-1.079073E-2</v>
      </c>
      <c r="P4812">
        <v>0.99903799999999998</v>
      </c>
      <c r="Q4812">
        <v>-2.3527800000000001E-3</v>
      </c>
      <c r="R4812">
        <v>-4.3792320000000003E-2</v>
      </c>
      <c r="S4812">
        <v>2.9795229999999999</v>
      </c>
      <c r="T4812">
        <v>-0.68622899999999998</v>
      </c>
      <c r="U4812">
        <v>-0.49931340000000002</v>
      </c>
      <c r="V4812">
        <v>3.3008799999999998E-2</v>
      </c>
      <c r="W4812">
        <v>1.145416E-2</v>
      </c>
      <c r="X4812">
        <v>0.99938939999999998</v>
      </c>
      <c r="Y4812">
        <v>0.15105270000000001</v>
      </c>
      <c r="Z4812">
        <v>-1.4619210000000001E-2</v>
      </c>
      <c r="AA4812">
        <v>0.98841760000000001</v>
      </c>
      <c r="AB4812">
        <v>24</v>
      </c>
      <c r="AC4812">
        <v>0.61990000000002898</v>
      </c>
      <c r="AD4812">
        <v>-0.197361799999999</v>
      </c>
      <c r="AE4812">
        <v>-0.14140000000000399</v>
      </c>
      <c r="AF4812">
        <v>0.122863933425735</v>
      </c>
      <c r="AG4812">
        <v>-0.197361799999999</v>
      </c>
      <c r="AH4812">
        <v>0.56678020679887997</v>
      </c>
      <c r="AI4812">
        <v>108.7940385942</v>
      </c>
      <c r="AJ4812">
        <v>77.768933856506493</v>
      </c>
      <c r="AK4812">
        <v>0.61260674910995205</v>
      </c>
      <c r="AL4812">
        <v>89.343710607061894</v>
      </c>
      <c r="AM4812">
        <v>88.108267266368202</v>
      </c>
      <c r="AN4812">
        <v>0.99999997574555199</v>
      </c>
    </row>
    <row r="4813" spans="1:40" x14ac:dyDescent="0.25">
      <c r="A4813" t="str">
        <f>"20190312154019663"</f>
        <v>20190312154019663</v>
      </c>
      <c r="B4813" t="str">
        <f>"1552376419650622"</f>
        <v>1552376419650622</v>
      </c>
      <c r="C4813" t="s">
        <v>40</v>
      </c>
      <c r="D4813">
        <v>3.9515959999999999</v>
      </c>
      <c r="E4813">
        <v>0.54894279999999995</v>
      </c>
      <c r="F4813" t="s">
        <v>41</v>
      </c>
      <c r="G4813">
        <v>-274.0274</v>
      </c>
      <c r="H4813">
        <v>0.91710590000000003</v>
      </c>
      <c r="I4813">
        <v>214.4408</v>
      </c>
      <c r="J4813">
        <v>-274.63139999999999</v>
      </c>
      <c r="K4813">
        <v>1.110284</v>
      </c>
      <c r="L4813">
        <v>214.57910000000001</v>
      </c>
      <c r="M4813">
        <v>0.99984649999999997</v>
      </c>
      <c r="N4813">
        <v>0</v>
      </c>
      <c r="O4813">
        <v>-1.079071E-2</v>
      </c>
      <c r="P4813">
        <v>0.99902329999999995</v>
      </c>
      <c r="Q4813">
        <v>-2.2085439999999998E-3</v>
      </c>
      <c r="R4813">
        <v>-4.413632E-2</v>
      </c>
      <c r="S4813">
        <v>2.9793400000000001</v>
      </c>
      <c r="T4813">
        <v>-0.68680359999999996</v>
      </c>
      <c r="U4813">
        <v>-0.50056460000000003</v>
      </c>
      <c r="V4813">
        <v>3.3352979999999997E-2</v>
      </c>
      <c r="W4813">
        <v>1.1595289999999999E-2</v>
      </c>
      <c r="X4813">
        <v>0.99937640000000005</v>
      </c>
      <c r="Y4813">
        <v>0.15145020000000001</v>
      </c>
      <c r="Z4813">
        <v>-1.4676450000000001E-2</v>
      </c>
      <c r="AA4813">
        <v>0.98835589999999995</v>
      </c>
      <c r="AB4813">
        <v>24</v>
      </c>
      <c r="AC4813">
        <v>0.60399999999998499</v>
      </c>
      <c r="AD4813">
        <v>-0.19317809999999899</v>
      </c>
      <c r="AE4813">
        <v>-0.13830000000001499</v>
      </c>
      <c r="AF4813">
        <v>0.12010043438500299</v>
      </c>
      <c r="AG4813">
        <v>-0.19317809999999899</v>
      </c>
      <c r="AH4813">
        <v>0.55182231002673898</v>
      </c>
      <c r="AI4813">
        <v>108.884030976579</v>
      </c>
      <c r="AJ4813">
        <v>77.721439676771098</v>
      </c>
      <c r="AK4813">
        <v>0.59686661366030702</v>
      </c>
      <c r="AL4813">
        <v>89.335623952790897</v>
      </c>
      <c r="AM4813">
        <v>88.0885320380157</v>
      </c>
      <c r="AN4813">
        <v>1.0000000304510099</v>
      </c>
    </row>
    <row r="4814" spans="1:40" x14ac:dyDescent="0.25">
      <c r="A4814" t="str">
        <f>"20190312154019686"</f>
        <v>20190312154019686</v>
      </c>
      <c r="B4814" t="str">
        <f>"1552376419680883"</f>
        <v>1552376419680883</v>
      </c>
      <c r="C4814" t="s">
        <v>40</v>
      </c>
      <c r="D4814">
        <v>3.884935</v>
      </c>
      <c r="E4814">
        <v>0.54895530000000003</v>
      </c>
      <c r="F4814" t="s">
        <v>41</v>
      </c>
      <c r="G4814">
        <v>-273.80970000000002</v>
      </c>
      <c r="H4814">
        <v>0.9208421</v>
      </c>
      <c r="I4814">
        <v>214.44049999999999</v>
      </c>
      <c r="J4814">
        <v>-274.38139999999999</v>
      </c>
      <c r="K4814">
        <v>1.110287</v>
      </c>
      <c r="L4814">
        <v>214.57640000000001</v>
      </c>
      <c r="M4814">
        <v>0.99984649999999997</v>
      </c>
      <c r="N4814">
        <v>0</v>
      </c>
      <c r="O4814">
        <v>-1.07907E-2</v>
      </c>
      <c r="P4814">
        <v>0.99900580000000005</v>
      </c>
      <c r="Q4814">
        <v>-2.3463310000000001E-3</v>
      </c>
      <c r="R4814">
        <v>-4.4519339999999998E-2</v>
      </c>
      <c r="S4814">
        <v>2.9792480000000001</v>
      </c>
      <c r="T4814">
        <v>-0.68685790000000002</v>
      </c>
      <c r="U4814">
        <v>-0.50155640000000001</v>
      </c>
      <c r="V4814">
        <v>3.3736269999999999E-2</v>
      </c>
      <c r="W4814">
        <v>1.145463E-2</v>
      </c>
      <c r="X4814">
        <v>0.99936519999999995</v>
      </c>
      <c r="Y4814">
        <v>0.1517665</v>
      </c>
      <c r="Z4814">
        <v>-1.471338E-2</v>
      </c>
      <c r="AA4814">
        <v>0.98830689999999999</v>
      </c>
      <c r="AB4814">
        <v>24</v>
      </c>
      <c r="AC4814">
        <v>0.57169999999996401</v>
      </c>
      <c r="AD4814">
        <v>-0.1894449</v>
      </c>
      <c r="AE4814">
        <v>-0.13590000000002</v>
      </c>
      <c r="AF4814">
        <v>0.11750926381295999</v>
      </c>
      <c r="AG4814">
        <v>-0.1894449</v>
      </c>
      <c r="AH4814">
        <v>0.51917358909330602</v>
      </c>
      <c r="AI4814">
        <v>109.59037732516001</v>
      </c>
      <c r="AJ4814">
        <v>77.246611739655094</v>
      </c>
      <c r="AK4814">
        <v>0.56501240059834001</v>
      </c>
      <c r="AL4814">
        <v>89.3436837405809</v>
      </c>
      <c r="AM4814">
        <v>88.066560513751497</v>
      </c>
      <c r="AN4814">
        <v>1.00000007371649</v>
      </c>
    </row>
    <row r="4815" spans="1:40" x14ac:dyDescent="0.25">
      <c r="A4815" t="str">
        <f>"20190312154019708"</f>
        <v>20190312154019708</v>
      </c>
      <c r="B4815" t="str">
        <f>"1552376419700398"</f>
        <v>1552376419700398</v>
      </c>
      <c r="C4815" t="s">
        <v>40</v>
      </c>
      <c r="D4815">
        <v>3.8877790000000001</v>
      </c>
      <c r="E4815">
        <v>0.54896409999999995</v>
      </c>
      <c r="F4815" t="s">
        <v>41</v>
      </c>
      <c r="G4815">
        <v>-273.5908</v>
      </c>
      <c r="H4815">
        <v>0.92775600000000003</v>
      </c>
      <c r="I4815">
        <v>214.4427</v>
      </c>
      <c r="J4815">
        <v>-274.1429</v>
      </c>
      <c r="K4815">
        <v>1.1102810000000001</v>
      </c>
      <c r="L4815">
        <v>214.57380000000001</v>
      </c>
      <c r="M4815">
        <v>0.99984660000000003</v>
      </c>
      <c r="N4815">
        <v>0</v>
      </c>
      <c r="O4815">
        <v>-1.079068E-2</v>
      </c>
      <c r="P4815">
        <v>0.99898699999999996</v>
      </c>
      <c r="Q4815">
        <v>-2.2152040000000001E-3</v>
      </c>
      <c r="R4815">
        <v>-4.4949999999999997E-2</v>
      </c>
      <c r="S4815">
        <v>2.9789729999999999</v>
      </c>
      <c r="T4815">
        <v>-0.68779419999999902</v>
      </c>
      <c r="U4815">
        <v>-0.50276179999999904</v>
      </c>
      <c r="V4815">
        <v>3.4167049999999997E-2</v>
      </c>
      <c r="W4815">
        <v>1.15829E-2</v>
      </c>
      <c r="X4815">
        <v>0.99934900000000004</v>
      </c>
      <c r="Y4815">
        <v>0.15215039999999999</v>
      </c>
      <c r="Z4815">
        <v>-1.4777220000000001E-2</v>
      </c>
      <c r="AA4815">
        <v>0.98824690000000004</v>
      </c>
      <c r="AB4815">
        <v>24</v>
      </c>
      <c r="AC4815">
        <v>0.55209999999999504</v>
      </c>
      <c r="AD4815">
        <v>-0.18252499999999899</v>
      </c>
      <c r="AE4815">
        <v>-0.13110000000000299</v>
      </c>
      <c r="AF4815">
        <v>0.11340137486401999</v>
      </c>
      <c r="AG4815">
        <v>-0.18252499999999899</v>
      </c>
      <c r="AH4815">
        <v>0.50158677976065602</v>
      </c>
      <c r="AI4815">
        <v>109.54165575439499</v>
      </c>
      <c r="AJ4815">
        <v>77.260445972184598</v>
      </c>
      <c r="AK4815">
        <v>0.54567805991877205</v>
      </c>
      <c r="AL4815">
        <v>89.336333866541295</v>
      </c>
      <c r="AM4815">
        <v>88.041859715475795</v>
      </c>
      <c r="AN4815">
        <v>0.99999998733955597</v>
      </c>
    </row>
    <row r="4816" spans="1:40" x14ac:dyDescent="0.25">
      <c r="A4816" t="str">
        <f>"20190312154019730"</f>
        <v>20190312154019730</v>
      </c>
      <c r="B4816" t="str">
        <f>"1552376419720898"</f>
        <v>1552376419720898</v>
      </c>
      <c r="C4816" t="s">
        <v>40</v>
      </c>
      <c r="D4816">
        <v>3.8318669999999999</v>
      </c>
      <c r="E4816">
        <v>0.54895519999999998</v>
      </c>
      <c r="F4816" t="s">
        <v>41</v>
      </c>
      <c r="G4816">
        <v>-273.37290000000002</v>
      </c>
      <c r="H4816">
        <v>0.93255220000000005</v>
      </c>
      <c r="I4816">
        <v>214.44309999999999</v>
      </c>
      <c r="J4816">
        <v>-273.90219999999999</v>
      </c>
      <c r="K4816">
        <v>1.1102829999999999</v>
      </c>
      <c r="L4816">
        <v>214.5712</v>
      </c>
      <c r="M4816">
        <v>0.99984649999999997</v>
      </c>
      <c r="N4816">
        <v>0</v>
      </c>
      <c r="O4816">
        <v>-1.079042E-2</v>
      </c>
      <c r="P4816">
        <v>0.99899579999999999</v>
      </c>
      <c r="Q4816">
        <v>-1.893537E-3</v>
      </c>
      <c r="R4816">
        <v>-4.4766180000000003E-2</v>
      </c>
      <c r="S4816">
        <v>2.97879</v>
      </c>
      <c r="T4816">
        <v>-0.68765699999999996</v>
      </c>
      <c r="U4816">
        <v>-0.50424190000000002</v>
      </c>
      <c r="V4816">
        <v>3.3983230000000003E-2</v>
      </c>
      <c r="W4816">
        <v>1.1902350000000001E-2</v>
      </c>
      <c r="X4816">
        <v>0.99935149999999995</v>
      </c>
      <c r="Y4816">
        <v>0.15262719999999999</v>
      </c>
      <c r="Z4816">
        <v>-1.4828650000000001E-2</v>
      </c>
      <c r="AA4816">
        <v>0.98817259999999996</v>
      </c>
      <c r="AB4816">
        <v>24</v>
      </c>
      <c r="AC4816">
        <v>0.52929999999997701</v>
      </c>
      <c r="AD4816">
        <v>-0.177730799999999</v>
      </c>
      <c r="AE4816">
        <v>-0.12810000000001701</v>
      </c>
      <c r="AF4816">
        <v>0.110600302337303</v>
      </c>
      <c r="AG4816">
        <v>-0.177730799999999</v>
      </c>
      <c r="AH4816">
        <v>0.47957119255869002</v>
      </c>
      <c r="AI4816">
        <v>109.855888177336</v>
      </c>
      <c r="AJ4816">
        <v>77.013320636225103</v>
      </c>
      <c r="AK4816">
        <v>0.52326780225607905</v>
      </c>
      <c r="AL4816">
        <v>89.318029457792704</v>
      </c>
      <c r="AM4816">
        <v>88.052391316269606</v>
      </c>
      <c r="AN4816">
        <v>0.99999997320450196</v>
      </c>
    </row>
    <row r="4817" spans="1:40" x14ac:dyDescent="0.25">
      <c r="A4817" t="str">
        <f>"20190312154019753"</f>
        <v>20190312154019753</v>
      </c>
      <c r="B4817" t="str">
        <f>"1552376419740414"</f>
        <v>1552376419740414</v>
      </c>
      <c r="C4817" t="s">
        <v>40</v>
      </c>
      <c r="D4817">
        <v>3.878555</v>
      </c>
      <c r="E4817">
        <v>0.54898639999999999</v>
      </c>
      <c r="F4817" t="s">
        <v>41</v>
      </c>
      <c r="G4817">
        <v>-273.1551</v>
      </c>
      <c r="H4817">
        <v>0.93803499999999995</v>
      </c>
      <c r="I4817">
        <v>214.44479999999999</v>
      </c>
      <c r="J4817">
        <v>-273.66860000000003</v>
      </c>
      <c r="K4817">
        <v>1.110279</v>
      </c>
      <c r="L4817">
        <v>214.56870000000001</v>
      </c>
      <c r="M4817">
        <v>0.99984649999999997</v>
      </c>
      <c r="N4817">
        <v>0</v>
      </c>
      <c r="O4817">
        <v>-1.079041E-2</v>
      </c>
      <c r="P4817">
        <v>0.99901490000000004</v>
      </c>
      <c r="Q4817">
        <v>-1.6944E-3</v>
      </c>
      <c r="R4817">
        <v>-4.4343689999999998E-2</v>
      </c>
      <c r="S4817">
        <v>2.9791560000000001</v>
      </c>
      <c r="T4817">
        <v>-0.68684460000000003</v>
      </c>
      <c r="U4817">
        <v>-0.50372309999999998</v>
      </c>
      <c r="V4817">
        <v>3.3560800000000002E-2</v>
      </c>
      <c r="W4817">
        <v>1.20988E-2</v>
      </c>
      <c r="X4817">
        <v>0.99936340000000001</v>
      </c>
      <c r="Y4817">
        <v>0.15245349999999999</v>
      </c>
      <c r="Z4817">
        <v>-1.47904E-2</v>
      </c>
      <c r="AA4817">
        <v>0.98819990000000002</v>
      </c>
      <c r="AB4817">
        <v>24</v>
      </c>
      <c r="AC4817">
        <v>0.51350000000002105</v>
      </c>
      <c r="AD4817">
        <v>-0.17224399999999901</v>
      </c>
      <c r="AE4817">
        <v>-0.12390000000001999</v>
      </c>
      <c r="AF4817">
        <v>0.106977129500615</v>
      </c>
      <c r="AG4817">
        <v>-0.17224399999999901</v>
      </c>
      <c r="AH4817">
        <v>0.46533121267268801</v>
      </c>
      <c r="AI4817">
        <v>109.836572562149</v>
      </c>
      <c r="AJ4817">
        <v>77.052971592317903</v>
      </c>
      <c r="AK4817">
        <v>0.50758766657556298</v>
      </c>
      <c r="AL4817">
        <v>89.306772879606797</v>
      </c>
      <c r="AM4817">
        <v>88.076605736767306</v>
      </c>
      <c r="AN4817">
        <v>0.99999995675881903</v>
      </c>
    </row>
    <row r="4818" spans="1:40" x14ac:dyDescent="0.25">
      <c r="A4818" t="str">
        <f>"20190312154019775"</f>
        <v>20190312154019775</v>
      </c>
      <c r="B4818" t="str">
        <f>"1552376419760910"</f>
        <v>1552376419760910</v>
      </c>
      <c r="C4818" t="s">
        <v>40</v>
      </c>
      <c r="D4818">
        <v>3.8581690000000002</v>
      </c>
      <c r="E4818">
        <v>0.54902790000000001</v>
      </c>
      <c r="F4818" t="s">
        <v>41</v>
      </c>
      <c r="G4818">
        <v>-272.93819999999999</v>
      </c>
      <c r="H4818">
        <v>0.94194900000000004</v>
      </c>
      <c r="I4818">
        <v>214.4451</v>
      </c>
      <c r="J4818">
        <v>-273.42759999999998</v>
      </c>
      <c r="K4818">
        <v>1.1102799999999999</v>
      </c>
      <c r="L4818">
        <v>214.566</v>
      </c>
      <c r="M4818">
        <v>0.99984660000000003</v>
      </c>
      <c r="N4818">
        <v>0</v>
      </c>
      <c r="O4818">
        <v>-1.079039E-2</v>
      </c>
      <c r="P4818">
        <v>0.99903660000000005</v>
      </c>
      <c r="Q4818">
        <v>-1.577679E-3</v>
      </c>
      <c r="R4818">
        <v>-4.3860749999999997E-2</v>
      </c>
      <c r="S4818">
        <v>2.979492</v>
      </c>
      <c r="T4818">
        <v>-0.68673319999999904</v>
      </c>
      <c r="U4818">
        <v>-0.50250240000000002</v>
      </c>
      <c r="V4818">
        <v>3.3077420000000003E-2</v>
      </c>
      <c r="W4818">
        <v>1.2213709999999999E-2</v>
      </c>
      <c r="X4818">
        <v>0.99937810000000005</v>
      </c>
      <c r="Y4818">
        <v>0.15205339999999901</v>
      </c>
      <c r="Z4818">
        <v>-1.474174E-2</v>
      </c>
      <c r="AA4818">
        <v>0.98826239999999999</v>
      </c>
      <c r="AB4818">
        <v>24</v>
      </c>
      <c r="AC4818">
        <v>0.48939999999998901</v>
      </c>
      <c r="AD4818">
        <v>-0.16833100000000001</v>
      </c>
      <c r="AE4818">
        <v>-0.120899999999977</v>
      </c>
      <c r="AF4818">
        <v>0.10401409991752</v>
      </c>
      <c r="AG4818">
        <v>-0.16833100000000001</v>
      </c>
      <c r="AH4818">
        <v>0.44145417778679902</v>
      </c>
      <c r="AI4818">
        <v>110.362267179673</v>
      </c>
      <c r="AJ4818">
        <v>76.741953149891103</v>
      </c>
      <c r="AK4818">
        <v>0.48377272517998698</v>
      </c>
      <c r="AL4818">
        <v>89.300188522063905</v>
      </c>
      <c r="AM4818">
        <v>88.104316105101304</v>
      </c>
      <c r="AN4818">
        <v>0.99999993859271297</v>
      </c>
    </row>
    <row r="4819" spans="1:40" x14ac:dyDescent="0.25">
      <c r="A4819" t="str">
        <f>"20190312154019798"</f>
        <v>20190312154019798</v>
      </c>
      <c r="B4819" t="str">
        <f>"1552376419791166"</f>
        <v>1552376419791166</v>
      </c>
      <c r="C4819" t="s">
        <v>40</v>
      </c>
      <c r="D4819">
        <v>3.8298070000000002</v>
      </c>
      <c r="E4819">
        <v>0.54908959999999996</v>
      </c>
      <c r="F4819" t="s">
        <v>41</v>
      </c>
      <c r="G4819">
        <v>-272.72089999999997</v>
      </c>
      <c r="H4819">
        <v>0.94733000000000001</v>
      </c>
      <c r="I4819">
        <v>214.447</v>
      </c>
      <c r="J4819">
        <v>-273.17520000000002</v>
      </c>
      <c r="K4819">
        <v>1.110279</v>
      </c>
      <c r="L4819">
        <v>214.5633</v>
      </c>
      <c r="M4819">
        <v>0.99984669999999998</v>
      </c>
      <c r="N4819">
        <v>0</v>
      </c>
      <c r="O4819">
        <v>-1.079013E-2</v>
      </c>
      <c r="P4819">
        <v>0.99905540000000004</v>
      </c>
      <c r="Q4819">
        <v>-1.569642E-3</v>
      </c>
      <c r="R4819">
        <v>-4.3428799999999997E-2</v>
      </c>
      <c r="S4819">
        <v>2.9798279999999999</v>
      </c>
      <c r="T4819">
        <v>-0.68711440000000001</v>
      </c>
      <c r="U4819">
        <v>-0.50115969999999999</v>
      </c>
      <c r="V4819">
        <v>3.2645769999999998E-2</v>
      </c>
      <c r="W4819">
        <v>1.2218949999999999E-2</v>
      </c>
      <c r="X4819">
        <v>0.99939230000000001</v>
      </c>
      <c r="Y4819">
        <v>0.1516102</v>
      </c>
      <c r="Z4819">
        <v>-1.4698599999999999E-2</v>
      </c>
      <c r="AA4819">
        <v>0.98833110000000002</v>
      </c>
      <c r="AB4819">
        <v>24</v>
      </c>
      <c r="AC4819">
        <v>0.454300000000046</v>
      </c>
      <c r="AD4819">
        <v>-0.16294900000000001</v>
      </c>
      <c r="AE4819">
        <v>-0.116299999999995</v>
      </c>
      <c r="AF4819">
        <v>9.9390433021227603E-2</v>
      </c>
      <c r="AG4819">
        <v>-0.16294900000000001</v>
      </c>
      <c r="AH4819">
        <v>0.40645347977714602</v>
      </c>
      <c r="AI4819">
        <v>111.277450870424</v>
      </c>
      <c r="AJ4819">
        <v>76.259057841516196</v>
      </c>
      <c r="AK4819">
        <v>0.449038156507994</v>
      </c>
      <c r="AL4819">
        <v>89.2998883191689</v>
      </c>
      <c r="AM4819">
        <v>88.129063054725904</v>
      </c>
      <c r="AN4819">
        <v>1.0000000091686401</v>
      </c>
    </row>
    <row r="4820" spans="1:40" x14ac:dyDescent="0.25">
      <c r="A4820" t="str">
        <f>"20190312154019821"</f>
        <v>20190312154019821</v>
      </c>
      <c r="B4820" t="str">
        <f>"1552376419810687"</f>
        <v>1552376419810687</v>
      </c>
      <c r="C4820" t="s">
        <v>40</v>
      </c>
      <c r="D4820">
        <v>3.8658920000000001</v>
      </c>
      <c r="E4820">
        <v>0.54912069999999902</v>
      </c>
      <c r="F4820" t="s">
        <v>41</v>
      </c>
      <c r="G4820">
        <v>-272.30829999999997</v>
      </c>
      <c r="H4820">
        <v>0.9102346</v>
      </c>
      <c r="I4820">
        <v>214.4177</v>
      </c>
      <c r="J4820">
        <v>-272.93610000000001</v>
      </c>
      <c r="K4820">
        <v>1.1102829999999999</v>
      </c>
      <c r="L4820">
        <v>214.5607</v>
      </c>
      <c r="M4820">
        <v>0.99984669999999998</v>
      </c>
      <c r="N4820">
        <v>0</v>
      </c>
      <c r="O4820">
        <v>-1.079011E-2</v>
      </c>
      <c r="P4820">
        <v>0.99905880000000002</v>
      </c>
      <c r="Q4820">
        <v>-1.4435429999999901E-3</v>
      </c>
      <c r="R4820">
        <v>-4.3350800000000002E-2</v>
      </c>
      <c r="S4820">
        <v>2.9800110000000002</v>
      </c>
      <c r="T4820">
        <v>-0.68771459999999995</v>
      </c>
      <c r="U4820">
        <v>-0.50021359999999904</v>
      </c>
      <c r="V4820">
        <v>3.2567850000000002E-2</v>
      </c>
      <c r="W4820">
        <v>1.234244E-2</v>
      </c>
      <c r="X4820">
        <v>0.99939330000000004</v>
      </c>
      <c r="Y4820">
        <v>0.15129709999999999</v>
      </c>
      <c r="Z4820">
        <v>-1.4675199999999999E-2</v>
      </c>
      <c r="AA4820">
        <v>0.98837940000000002</v>
      </c>
      <c r="AB4820">
        <v>24</v>
      </c>
      <c r="AC4820">
        <v>0.627800000000036</v>
      </c>
      <c r="AD4820">
        <v>-0.20004839999999899</v>
      </c>
      <c r="AE4820">
        <v>-0.14299999999999999</v>
      </c>
      <c r="AF4820">
        <v>0.12422557085746699</v>
      </c>
      <c r="AG4820">
        <v>-0.20004839999999899</v>
      </c>
      <c r="AH4820">
        <v>0.57390758703565303</v>
      </c>
      <c r="AI4820">
        <v>108.813095351551</v>
      </c>
      <c r="AJ4820">
        <v>77.786423104573998</v>
      </c>
      <c r="AK4820">
        <v>0.620339643465182</v>
      </c>
      <c r="AL4820">
        <v>89.292812312282905</v>
      </c>
      <c r="AM4820">
        <v>88.133527372600199</v>
      </c>
      <c r="AN4820">
        <v>0.99999998438183302</v>
      </c>
    </row>
    <row r="4821" spans="1:40" x14ac:dyDescent="0.25">
      <c r="A4821" t="str">
        <f>"20190312154019843"</f>
        <v>20190312154019843</v>
      </c>
      <c r="B4821" t="str">
        <f>"1552376419831182"</f>
        <v>1552376419831182</v>
      </c>
      <c r="C4821" t="s">
        <v>40</v>
      </c>
      <c r="D4821">
        <v>3.8670849999999999</v>
      </c>
      <c r="E4821">
        <v>0.54913829999999997</v>
      </c>
      <c r="F4821" t="s">
        <v>41</v>
      </c>
      <c r="G4821">
        <v>-272.09210000000002</v>
      </c>
      <c r="H4821">
        <v>0.91559349999999995</v>
      </c>
      <c r="I4821">
        <v>214.4186</v>
      </c>
      <c r="J4821">
        <v>-272.69830000000002</v>
      </c>
      <c r="K4821">
        <v>1.110284</v>
      </c>
      <c r="L4821">
        <v>214.5582</v>
      </c>
      <c r="M4821">
        <v>0.99984669999999998</v>
      </c>
      <c r="N4821">
        <v>0</v>
      </c>
      <c r="O4821">
        <v>-1.07901E-2</v>
      </c>
      <c r="P4821">
        <v>0.99904159999999997</v>
      </c>
      <c r="Q4821">
        <v>-1.1633259999999999E-3</v>
      </c>
      <c r="R4821">
        <v>-4.3755139999999998E-2</v>
      </c>
      <c r="S4821">
        <v>2.9801329999999999</v>
      </c>
      <c r="T4821">
        <v>-0.68748619999999905</v>
      </c>
      <c r="U4821">
        <v>-0.50057980000000002</v>
      </c>
      <c r="V4821">
        <v>3.2972359999999999E-2</v>
      </c>
      <c r="W4821">
        <v>1.261994E-2</v>
      </c>
      <c r="X4821">
        <v>0.99937659999999995</v>
      </c>
      <c r="Y4821">
        <v>0.1514085</v>
      </c>
      <c r="Z4821">
        <v>-1.468233E-2</v>
      </c>
      <c r="AA4821">
        <v>0.98836230000000003</v>
      </c>
      <c r="AB4821">
        <v>24</v>
      </c>
      <c r="AC4821">
        <v>0.60620000000000096</v>
      </c>
      <c r="AD4821">
        <v>-0.19469049999999999</v>
      </c>
      <c r="AE4821">
        <v>-0.139600000000001</v>
      </c>
      <c r="AF4821">
        <v>0.121180357995493</v>
      </c>
      <c r="AG4821">
        <v>-0.19469049999999999</v>
      </c>
      <c r="AH4821">
        <v>0.55345844235567798</v>
      </c>
      <c r="AI4821">
        <v>108.964280780693</v>
      </c>
      <c r="AJ4821">
        <v>77.649914882627698</v>
      </c>
      <c r="AK4821">
        <v>0.59908706993970395</v>
      </c>
      <c r="AL4821">
        <v>89.276911516035995</v>
      </c>
      <c r="AM4821">
        <v>88.110329941121094</v>
      </c>
      <c r="AN4821">
        <v>1.0000000140185601</v>
      </c>
    </row>
    <row r="4822" spans="1:40" x14ac:dyDescent="0.25">
      <c r="A4822" t="str">
        <f>"20190312154019865"</f>
        <v>20190312154019865</v>
      </c>
      <c r="B4822" t="str">
        <f>"1552376419850702"</f>
        <v>1552376419850702</v>
      </c>
      <c r="C4822" t="s">
        <v>40</v>
      </c>
      <c r="D4822">
        <v>3.8714789999999999</v>
      </c>
      <c r="E4822">
        <v>0.54916730000000002</v>
      </c>
      <c r="F4822" t="s">
        <v>41</v>
      </c>
      <c r="G4822">
        <v>-271.87619999999998</v>
      </c>
      <c r="H4822">
        <v>0.92087330000000001</v>
      </c>
      <c r="I4822">
        <v>214.4195</v>
      </c>
      <c r="J4822">
        <v>-272.46859999999998</v>
      </c>
      <c r="K4822">
        <v>1.1102879999999999</v>
      </c>
      <c r="L4822">
        <v>214.5557</v>
      </c>
      <c r="M4822">
        <v>0.99984680000000004</v>
      </c>
      <c r="N4822">
        <v>0</v>
      </c>
      <c r="O4822">
        <v>-1.0789119999999999E-2</v>
      </c>
      <c r="P4822">
        <v>0.99903509999999995</v>
      </c>
      <c r="Q4822">
        <v>-4.4356750000000003E-4</v>
      </c>
      <c r="R4822">
        <v>-4.3922429999999998E-2</v>
      </c>
      <c r="S4822">
        <v>2.9800420000000001</v>
      </c>
      <c r="T4822">
        <v>-0.68662440000000002</v>
      </c>
      <c r="U4822">
        <v>-0.50231930000000002</v>
      </c>
      <c r="V4822">
        <v>3.3140309999999999E-2</v>
      </c>
      <c r="W4822">
        <v>1.333752E-2</v>
      </c>
      <c r="X4822">
        <v>0.99936170000000002</v>
      </c>
      <c r="Y4822">
        <v>0.1519703</v>
      </c>
      <c r="Z4822">
        <v>-1.4727809999999999E-2</v>
      </c>
      <c r="AA4822">
        <v>0.98827529999999997</v>
      </c>
      <c r="AB4822">
        <v>24</v>
      </c>
      <c r="AC4822">
        <v>0.59239999999999704</v>
      </c>
      <c r="AD4822">
        <v>-0.18941469999999999</v>
      </c>
      <c r="AE4822">
        <v>-0.13620000000000199</v>
      </c>
      <c r="AF4822">
        <v>0.118311721155932</v>
      </c>
      <c r="AG4822">
        <v>-0.18941469999999999</v>
      </c>
      <c r="AH4822">
        <v>0.54127628871865796</v>
      </c>
      <c r="AI4822">
        <v>108.87399038053999</v>
      </c>
      <c r="AJ4822">
        <v>77.6702539959213</v>
      </c>
      <c r="AK4822">
        <v>0.58553873711993898</v>
      </c>
      <c r="AL4822">
        <v>89.235793727532098</v>
      </c>
      <c r="AM4822">
        <v>88.100683338874603</v>
      </c>
      <c r="AN4822">
        <v>0.99999998850676797</v>
      </c>
    </row>
    <row r="4823" spans="1:40" x14ac:dyDescent="0.25">
      <c r="A4823" t="str">
        <f>"20190312154019887"</f>
        <v>20190312154019887</v>
      </c>
      <c r="B4823" t="str">
        <f>"1552376419880962"</f>
        <v>1552376419880962</v>
      </c>
      <c r="C4823" t="s">
        <v>40</v>
      </c>
      <c r="D4823">
        <v>3.8172920000000001</v>
      </c>
      <c r="E4823">
        <v>0.54920719999999901</v>
      </c>
      <c r="F4823" t="s">
        <v>41</v>
      </c>
      <c r="G4823">
        <v>-271.66109999999998</v>
      </c>
      <c r="H4823">
        <v>0.92476020000000003</v>
      </c>
      <c r="I4823">
        <v>214.41919999999999</v>
      </c>
      <c r="J4823">
        <v>-272.22500000000002</v>
      </c>
      <c r="K4823">
        <v>1.110295</v>
      </c>
      <c r="L4823">
        <v>214.5531</v>
      </c>
      <c r="M4823">
        <v>0.99984689999999998</v>
      </c>
      <c r="N4823">
        <v>0</v>
      </c>
      <c r="O4823">
        <v>-1.0783340000000001E-2</v>
      </c>
      <c r="P4823">
        <v>0.9990348</v>
      </c>
      <c r="Q4823">
        <v>-6.8294820000000002E-4</v>
      </c>
      <c r="R4823">
        <v>-4.3922120000000002E-2</v>
      </c>
      <c r="S4823">
        <v>2.9804689999999998</v>
      </c>
      <c r="T4823">
        <v>-0.68478139999999998</v>
      </c>
      <c r="U4823">
        <v>-0.50297550000000002</v>
      </c>
      <c r="V4823">
        <v>3.3146009999999997E-2</v>
      </c>
      <c r="W4823">
        <v>1.3095310000000001E-2</v>
      </c>
      <c r="X4823">
        <v>0.99936469999999999</v>
      </c>
      <c r="Y4823">
        <v>0.15217910000000001</v>
      </c>
      <c r="Z4823">
        <v>-1.4711800000000001E-2</v>
      </c>
      <c r="AA4823">
        <v>0.98824350000000005</v>
      </c>
      <c r="AB4823">
        <v>24</v>
      </c>
      <c r="AC4823">
        <v>0.56390000000004603</v>
      </c>
      <c r="AD4823">
        <v>-0.1855348</v>
      </c>
      <c r="AE4823">
        <v>-0.13390000000001101</v>
      </c>
      <c r="AF4823">
        <v>0.115930724241168</v>
      </c>
      <c r="AG4823">
        <v>-0.1855348</v>
      </c>
      <c r="AH4823">
        <v>0.51276483777114301</v>
      </c>
      <c r="AI4823">
        <v>109.43918190123701</v>
      </c>
      <c r="AJ4823">
        <v>77.260216854511796</v>
      </c>
      <c r="AK4823">
        <v>0.557486209415613</v>
      </c>
      <c r="AL4823">
        <v>89.249672540054704</v>
      </c>
      <c r="AM4823">
        <v>88.100362601749893</v>
      </c>
      <c r="AN4823">
        <v>0.99999997436450205</v>
      </c>
    </row>
    <row r="4824" spans="1:40" x14ac:dyDescent="0.25">
      <c r="A4824" t="str">
        <f>"20190312154019909"</f>
        <v>20190312154019909</v>
      </c>
      <c r="B4824" t="str">
        <f>"1552376419900478"</f>
        <v>1552376419900478</v>
      </c>
      <c r="C4824" t="s">
        <v>40</v>
      </c>
      <c r="D4824">
        <v>3.8725839999999998</v>
      </c>
      <c r="E4824">
        <v>0.54924569999999995</v>
      </c>
      <c r="F4824" t="s">
        <v>41</v>
      </c>
      <c r="G4824">
        <v>-271.44510000000002</v>
      </c>
      <c r="H4824">
        <v>0.93080430000000003</v>
      </c>
      <c r="I4824">
        <v>214.4213</v>
      </c>
      <c r="J4824">
        <v>-271.99</v>
      </c>
      <c r="K4824">
        <v>1.1102989999999999</v>
      </c>
      <c r="L4824">
        <v>214.5506</v>
      </c>
      <c r="M4824">
        <v>0.99984700000000004</v>
      </c>
      <c r="N4824">
        <v>0</v>
      </c>
      <c r="O4824">
        <v>-1.0768440000000001E-2</v>
      </c>
      <c r="P4824">
        <v>0.99904769999999998</v>
      </c>
      <c r="Q4824">
        <v>-4.0912629999999999E-4</v>
      </c>
      <c r="R4824">
        <v>-4.3629939999999999E-2</v>
      </c>
      <c r="S4824">
        <v>2.9803160000000002</v>
      </c>
      <c r="T4824">
        <v>-0.6859381</v>
      </c>
      <c r="U4824">
        <v>-0.50358579999999997</v>
      </c>
      <c r="V4824">
        <v>3.2868389999999997E-2</v>
      </c>
      <c r="W4824">
        <v>1.3367560000000001E-2</v>
      </c>
      <c r="X4824">
        <v>0.99937030000000004</v>
      </c>
      <c r="Y4824">
        <v>0.15238119999999999</v>
      </c>
      <c r="Z4824">
        <v>-1.476268E-2</v>
      </c>
      <c r="AA4824">
        <v>0.98821150000000002</v>
      </c>
      <c r="AB4824">
        <v>24</v>
      </c>
      <c r="AC4824">
        <v>0.54489999999998395</v>
      </c>
      <c r="AD4824">
        <v>-0.17949470000000001</v>
      </c>
      <c r="AE4824">
        <v>-0.1293</v>
      </c>
      <c r="AF4824">
        <v>0.111926485966433</v>
      </c>
      <c r="AG4824">
        <v>-0.17949470000000001</v>
      </c>
      <c r="AH4824">
        <v>0.49537328641112199</v>
      </c>
      <c r="AI4824">
        <v>109.465094926939</v>
      </c>
      <c r="AJ4824">
        <v>77.268160887297995</v>
      </c>
      <c r="AK4824">
        <v>0.53864698873997197</v>
      </c>
      <c r="AL4824">
        <v>89.234072425015199</v>
      </c>
      <c r="AM4824">
        <v>88.116272371887604</v>
      </c>
      <c r="AN4824">
        <v>1.00000000962181</v>
      </c>
    </row>
    <row r="4825" spans="1:40" x14ac:dyDescent="0.25">
      <c r="A4825" t="str">
        <f>"20190312154019931"</f>
        <v>20190312154019931</v>
      </c>
      <c r="B4825" t="str">
        <f>"1552376419920668"</f>
        <v>1552376419920668</v>
      </c>
      <c r="C4825" t="s">
        <v>40</v>
      </c>
      <c r="D4825">
        <v>3.8843549999999998</v>
      </c>
      <c r="E4825">
        <v>0.54927609999999905</v>
      </c>
      <c r="F4825" t="s">
        <v>41</v>
      </c>
      <c r="G4825">
        <v>-271.23</v>
      </c>
      <c r="H4825">
        <v>0.93553220000000004</v>
      </c>
      <c r="I4825">
        <v>214.4221</v>
      </c>
      <c r="J4825">
        <v>-271.75810000000001</v>
      </c>
      <c r="K4825">
        <v>1.1103080000000001</v>
      </c>
      <c r="L4825">
        <v>214.54810000000001</v>
      </c>
      <c r="M4825">
        <v>0.99984740000000005</v>
      </c>
      <c r="N4825">
        <v>0</v>
      </c>
      <c r="O4825">
        <v>-1.074169E-2</v>
      </c>
      <c r="P4825">
        <v>0.99904119999999996</v>
      </c>
      <c r="Q4825">
        <v>-4.5846400000000001E-4</v>
      </c>
      <c r="R4825">
        <v>-4.3778539999999998E-2</v>
      </c>
      <c r="S4825">
        <v>2.9806210000000002</v>
      </c>
      <c r="T4825">
        <v>-0.68552919999999995</v>
      </c>
      <c r="U4825">
        <v>-0.5030365</v>
      </c>
      <c r="V4825">
        <v>3.3043599999999999E-2</v>
      </c>
      <c r="W4825">
        <v>1.331654E-2</v>
      </c>
      <c r="X4825">
        <v>0.99936519999999995</v>
      </c>
      <c r="Y4825">
        <v>0.152222</v>
      </c>
      <c r="Z4825">
        <v>-1.4740949999999999E-2</v>
      </c>
      <c r="AA4825">
        <v>0.98823640000000001</v>
      </c>
      <c r="AB4825">
        <v>24</v>
      </c>
      <c r="AC4825">
        <v>0.52809999999999402</v>
      </c>
      <c r="AD4825">
        <v>-0.17477580000000001</v>
      </c>
      <c r="AE4825">
        <v>-0.126000000000004</v>
      </c>
      <c r="AF4825">
        <v>0.109021589578505</v>
      </c>
      <c r="AG4825">
        <v>-0.17477580000000001</v>
      </c>
      <c r="AH4825">
        <v>0.47971065927884599</v>
      </c>
      <c r="AI4825">
        <v>109.558927583531</v>
      </c>
      <c r="AJ4825">
        <v>77.196138280536402</v>
      </c>
      <c r="AK4825">
        <v>0.52206762386266503</v>
      </c>
      <c r="AL4825">
        <v>89.2369959133826</v>
      </c>
      <c r="AM4825">
        <v>88.106228507556494</v>
      </c>
      <c r="AN4825">
        <v>1.00000000635478</v>
      </c>
    </row>
    <row r="4826" spans="1:40" x14ac:dyDescent="0.25">
      <c r="A4826" t="str">
        <f>"20190312154019953"</f>
        <v>20190312154019953</v>
      </c>
      <c r="B4826" t="str">
        <f>"1552376419941164"</f>
        <v>1552376419941164</v>
      </c>
      <c r="C4826" t="s">
        <v>40</v>
      </c>
      <c r="D4826">
        <v>3.8456480000000002</v>
      </c>
      <c r="E4826">
        <v>0.54925449999999998</v>
      </c>
      <c r="F4826" t="s">
        <v>41</v>
      </c>
      <c r="G4826">
        <v>-271.01560000000001</v>
      </c>
      <c r="H4826">
        <v>0.9394188</v>
      </c>
      <c r="I4826">
        <v>214.42250000000001</v>
      </c>
      <c r="J4826">
        <v>-271.52019999999999</v>
      </c>
      <c r="K4826">
        <v>1.1103179999999999</v>
      </c>
      <c r="L4826">
        <v>214.54560000000001</v>
      </c>
      <c r="M4826">
        <v>0.99984790000000001</v>
      </c>
      <c r="N4826">
        <v>0</v>
      </c>
      <c r="O4826">
        <v>-1.070012E-2</v>
      </c>
      <c r="P4826">
        <v>0.99904420000000005</v>
      </c>
      <c r="Q4826">
        <v>-5.2695439999999997E-4</v>
      </c>
      <c r="R4826">
        <v>-4.3712590000000003E-2</v>
      </c>
      <c r="S4826">
        <v>2.980499</v>
      </c>
      <c r="T4826">
        <v>-0.68608690000000006</v>
      </c>
      <c r="U4826">
        <v>-0.50370789999999999</v>
      </c>
      <c r="V4826">
        <v>3.3018789999999999E-2</v>
      </c>
      <c r="W4826">
        <v>1.324645E-2</v>
      </c>
      <c r="X4826">
        <v>0.99936689999999995</v>
      </c>
      <c r="Y4826">
        <v>0.15247289999999999</v>
      </c>
      <c r="Z4826">
        <v>-1.4790640000000001E-2</v>
      </c>
      <c r="AA4826">
        <v>0.98819699999999999</v>
      </c>
      <c r="AB4826">
        <v>24</v>
      </c>
      <c r="AC4826">
        <v>0.50459999999998195</v>
      </c>
      <c r="AD4826">
        <v>-0.1708992</v>
      </c>
      <c r="AE4826">
        <v>-0.12309999999999301</v>
      </c>
      <c r="AF4826">
        <v>0.106196086955245</v>
      </c>
      <c r="AG4826">
        <v>-0.1708992</v>
      </c>
      <c r="AH4826">
        <v>0.45646978031316798</v>
      </c>
      <c r="AI4826">
        <v>110.034632613461</v>
      </c>
      <c r="AJ4826">
        <v>76.9033052712646</v>
      </c>
      <c r="AK4826">
        <v>0.49884747747622998</v>
      </c>
      <c r="AL4826">
        <v>89.241012089709699</v>
      </c>
      <c r="AM4826">
        <v>88.107652583274103</v>
      </c>
      <c r="AN4826">
        <v>0.99999995487313698</v>
      </c>
    </row>
    <row r="4827" spans="1:40" x14ac:dyDescent="0.25">
      <c r="A4827" t="str">
        <f>"20190312154019976"</f>
        <v>20190312154019976</v>
      </c>
      <c r="B4827" t="str">
        <f>"1552376419971420"</f>
        <v>1552376419971420</v>
      </c>
      <c r="C4827" t="s">
        <v>40</v>
      </c>
      <c r="D4827">
        <v>3.885866</v>
      </c>
      <c r="E4827">
        <v>0.54932890000000001</v>
      </c>
      <c r="F4827" t="s">
        <v>41</v>
      </c>
      <c r="G4827">
        <v>-270.80079999999998</v>
      </c>
      <c r="H4827">
        <v>0.94470500000000002</v>
      </c>
      <c r="I4827">
        <v>214.4239</v>
      </c>
      <c r="J4827">
        <v>-271.28039999999999</v>
      </c>
      <c r="K4827">
        <v>1.11032999999999</v>
      </c>
      <c r="L4827">
        <v>214.54310000000001</v>
      </c>
      <c r="M4827">
        <v>0.99984839999999997</v>
      </c>
      <c r="N4827">
        <v>0</v>
      </c>
      <c r="O4827">
        <v>-1.064389E-2</v>
      </c>
      <c r="P4827">
        <v>0.9990388</v>
      </c>
      <c r="Q4827">
        <v>-3.179805E-4</v>
      </c>
      <c r="R4827">
        <v>-4.3833030000000002E-2</v>
      </c>
      <c r="S4827">
        <v>2.9804689999999998</v>
      </c>
      <c r="T4827">
        <v>-0.68610760000000004</v>
      </c>
      <c r="U4827">
        <v>-0.50344849999999997</v>
      </c>
      <c r="V4827">
        <v>3.3195269999999999E-2</v>
      </c>
      <c r="W4827">
        <v>1.3453379999999999E-2</v>
      </c>
      <c r="X4827">
        <v>0.99935839999999998</v>
      </c>
      <c r="Y4827">
        <v>0.15244540000000001</v>
      </c>
      <c r="Z4827">
        <v>-1.480091E-2</v>
      </c>
      <c r="AA4827">
        <v>0.98820110000000005</v>
      </c>
      <c r="AB4827">
        <v>24</v>
      </c>
      <c r="AC4827">
        <v>0.47960000000000402</v>
      </c>
      <c r="AD4827">
        <v>-0.165624999999999</v>
      </c>
      <c r="AE4827">
        <v>-0.119200000000006</v>
      </c>
      <c r="AF4827">
        <v>0.102567445767069</v>
      </c>
      <c r="AG4827">
        <v>-0.165624999999999</v>
      </c>
      <c r="AH4827">
        <v>0.43228670533568803</v>
      </c>
      <c r="AI4827">
        <v>110.444822538829</v>
      </c>
      <c r="AJ4827">
        <v>76.652409779133706</v>
      </c>
      <c r="AK4827">
        <v>0.47415558329114299</v>
      </c>
      <c r="AL4827">
        <v>89.229154902143307</v>
      </c>
      <c r="AM4827">
        <v>88.097529541031093</v>
      </c>
      <c r="AN4827">
        <v>1.0000000655171699</v>
      </c>
    </row>
    <row r="4828" spans="1:40" x14ac:dyDescent="0.25">
      <c r="A4828" t="str">
        <f>"20190312154019999"</f>
        <v>20190312154019999</v>
      </c>
      <c r="B4828" t="str">
        <f>"1552376419990940"</f>
        <v>1552376419990940</v>
      </c>
      <c r="C4828" t="s">
        <v>40</v>
      </c>
      <c r="D4828">
        <v>3.9139590000000002</v>
      </c>
      <c r="E4828">
        <v>0.54936640000000003</v>
      </c>
      <c r="F4828" t="s">
        <v>41</v>
      </c>
      <c r="G4828">
        <v>-270.58600000000001</v>
      </c>
      <c r="H4828">
        <v>0.95043909999999998</v>
      </c>
      <c r="I4828">
        <v>214.4255</v>
      </c>
      <c r="J4828">
        <v>-271.03980000000001</v>
      </c>
      <c r="K4828">
        <v>1.1103379999999901</v>
      </c>
      <c r="L4828">
        <v>214.54060000000001</v>
      </c>
      <c r="M4828">
        <v>0.99984919999999999</v>
      </c>
      <c r="N4828">
        <v>0</v>
      </c>
      <c r="O4828">
        <v>-1.057437E-2</v>
      </c>
      <c r="P4828">
        <v>0.99905770000000005</v>
      </c>
      <c r="Q4828">
        <v>-5.2260230000000004E-4</v>
      </c>
      <c r="R4828">
        <v>-4.3398869999999999E-2</v>
      </c>
      <c r="S4828">
        <v>2.9805600000000001</v>
      </c>
      <c r="T4828">
        <v>-0.68631030000000004</v>
      </c>
      <c r="U4828">
        <v>-0.50483699999999998</v>
      </c>
      <c r="V4828">
        <v>3.2830070000000003E-2</v>
      </c>
      <c r="W4828">
        <v>1.3247399999999999E-2</v>
      </c>
      <c r="X4828">
        <v>0.99937310000000001</v>
      </c>
      <c r="Y4828">
        <v>0.15294070000000001</v>
      </c>
      <c r="Z4828">
        <v>-1.487578E-2</v>
      </c>
      <c r="AA4828">
        <v>0.98812339999999999</v>
      </c>
      <c r="AB4828">
        <v>24</v>
      </c>
      <c r="AC4828">
        <v>0.45380000000000098</v>
      </c>
      <c r="AD4828">
        <v>-0.15989889999999901</v>
      </c>
      <c r="AE4828">
        <v>-0.115100000000012</v>
      </c>
      <c r="AF4828">
        <v>9.8772621311304695E-2</v>
      </c>
      <c r="AG4828">
        <v>-0.15989889999999901</v>
      </c>
      <c r="AH4828">
        <v>0.40746142599757501</v>
      </c>
      <c r="AI4828">
        <v>110.875929275937</v>
      </c>
      <c r="AJ4828">
        <v>76.373789552660199</v>
      </c>
      <c r="AK4828">
        <v>0.44871873441822502</v>
      </c>
      <c r="AL4828">
        <v>89.240957650281601</v>
      </c>
      <c r="AM4828">
        <v>88.118472226288802</v>
      </c>
      <c r="AN4828">
        <v>0.99999995005328601</v>
      </c>
    </row>
    <row r="4829" spans="1:40" x14ac:dyDescent="0.25">
      <c r="A4829" t="str">
        <f>"20190312154020021"</f>
        <v>20190312154020021</v>
      </c>
      <c r="B4829" t="str">
        <f>"1552376420010461"</f>
        <v>1552376420010461</v>
      </c>
      <c r="C4829" t="s">
        <v>40</v>
      </c>
      <c r="D4829">
        <v>3.853351</v>
      </c>
      <c r="E4829">
        <v>0.54938109999999996</v>
      </c>
      <c r="F4829" t="s">
        <v>41</v>
      </c>
      <c r="G4829">
        <v>-270.17950000000002</v>
      </c>
      <c r="H4829">
        <v>0.9119737</v>
      </c>
      <c r="I4829">
        <v>214.39500000000001</v>
      </c>
      <c r="J4829">
        <v>-270.80290000000002</v>
      </c>
      <c r="K4829">
        <v>1.110336</v>
      </c>
      <c r="L4829">
        <v>214.53819999999999</v>
      </c>
      <c r="M4829">
        <v>0.99985009999999996</v>
      </c>
      <c r="N4829">
        <v>0</v>
      </c>
      <c r="O4829">
        <v>-1.0497390000000001E-2</v>
      </c>
      <c r="P4829">
        <v>0.99908039999999998</v>
      </c>
      <c r="Q4829">
        <v>-4.2411219999999999E-4</v>
      </c>
      <c r="R4829">
        <v>-4.2873040000000001E-2</v>
      </c>
      <c r="S4829">
        <v>2.9805600000000001</v>
      </c>
      <c r="T4829">
        <v>-0.68722220000000001</v>
      </c>
      <c r="U4829">
        <v>-0.50419619999999998</v>
      </c>
      <c r="V4829">
        <v>3.2380810000000003E-2</v>
      </c>
      <c r="W4829">
        <v>1.3344190000000001E-2</v>
      </c>
      <c r="X4829">
        <v>0.99938649999999996</v>
      </c>
      <c r="Y4829">
        <v>0.1528021</v>
      </c>
      <c r="Z4829">
        <v>-1.489703E-2</v>
      </c>
      <c r="AA4829">
        <v>0.98814449999999998</v>
      </c>
      <c r="AB4829">
        <v>24</v>
      </c>
      <c r="AC4829">
        <v>0.62340000000000295</v>
      </c>
      <c r="AD4829">
        <v>-0.19836229999999999</v>
      </c>
      <c r="AE4829">
        <v>-0.14319999999997801</v>
      </c>
      <c r="AF4829">
        <v>0.124658627743044</v>
      </c>
      <c r="AG4829">
        <v>-0.19836229999999999</v>
      </c>
      <c r="AH4829">
        <v>0.57004601038847802</v>
      </c>
      <c r="AI4829">
        <v>108.77508286033201</v>
      </c>
      <c r="AJ4829">
        <v>77.664647647352794</v>
      </c>
      <c r="AK4829">
        <v>0.61631147116688401</v>
      </c>
      <c r="AL4829">
        <v>89.235411524407596</v>
      </c>
      <c r="AM4829">
        <v>88.144226552597601</v>
      </c>
      <c r="AN4829">
        <v>0.99999998032263004</v>
      </c>
    </row>
    <row r="4830" spans="1:40" x14ac:dyDescent="0.25">
      <c r="A4830" t="str">
        <f>"20190312154020044"</f>
        <v>20190312154020044</v>
      </c>
      <c r="B4830" t="str">
        <f>"1552376420040978"</f>
        <v>1552376420040978</v>
      </c>
      <c r="C4830" t="s">
        <v>40</v>
      </c>
      <c r="D4830">
        <v>3.857453</v>
      </c>
      <c r="E4830">
        <v>0.54942290000000005</v>
      </c>
      <c r="F4830" t="s">
        <v>41</v>
      </c>
      <c r="G4830">
        <v>-269.96600000000001</v>
      </c>
      <c r="H4830">
        <v>0.91742710000000005</v>
      </c>
      <c r="I4830">
        <v>214.39689999999999</v>
      </c>
      <c r="J4830">
        <v>-270.5634</v>
      </c>
      <c r="K4830">
        <v>1.110341</v>
      </c>
      <c r="L4830">
        <v>214.53579999999999</v>
      </c>
      <c r="M4830">
        <v>0.99985100000000005</v>
      </c>
      <c r="N4830">
        <v>0</v>
      </c>
      <c r="O4830">
        <v>-1.0414970000000001E-2</v>
      </c>
      <c r="P4830">
        <v>0.99909599999999998</v>
      </c>
      <c r="Q4830" s="1">
        <v>-5.0255099999999999E-5</v>
      </c>
      <c r="R4830">
        <v>-4.2511019999999997E-2</v>
      </c>
      <c r="S4830">
        <v>2.980896</v>
      </c>
      <c r="T4830">
        <v>-0.68714709999999901</v>
      </c>
      <c r="U4830">
        <v>-0.50257870000000004</v>
      </c>
      <c r="V4830">
        <v>3.2100820000000002E-2</v>
      </c>
      <c r="W4830">
        <v>1.371562E-2</v>
      </c>
      <c r="X4830">
        <v>0.99939049999999996</v>
      </c>
      <c r="Y4830">
        <v>0.1523543</v>
      </c>
      <c r="Z4830">
        <v>-1.4862500000000001E-2</v>
      </c>
      <c r="AA4830">
        <v>0.98821420000000004</v>
      </c>
      <c r="AB4830">
        <v>24</v>
      </c>
      <c r="AC4830">
        <v>0.59739999999999305</v>
      </c>
      <c r="AD4830">
        <v>-0.1929139</v>
      </c>
      <c r="AE4830">
        <v>-0.13890000000000599</v>
      </c>
      <c r="AF4830">
        <v>0.120726415476274</v>
      </c>
      <c r="AG4830">
        <v>-0.1929139</v>
      </c>
      <c r="AH4830">
        <v>0.54490636456495301</v>
      </c>
      <c r="AI4830">
        <v>109.067686608931</v>
      </c>
      <c r="AJ4830">
        <v>77.507658922900703</v>
      </c>
      <c r="AK4830">
        <v>0.59051975949188495</v>
      </c>
      <c r="AL4830">
        <v>89.214128201095093</v>
      </c>
      <c r="AM4830">
        <v>88.1602693153432</v>
      </c>
      <c r="AN4830">
        <v>0.99999997618345304</v>
      </c>
    </row>
    <row r="4831" spans="1:40" x14ac:dyDescent="0.25">
      <c r="A4831" t="str">
        <f>"20190312154020066"</f>
        <v>20190312154020066</v>
      </c>
      <c r="B4831" t="str">
        <f>"1552376420060497"</f>
        <v>1552376420060497</v>
      </c>
      <c r="C4831" t="s">
        <v>40</v>
      </c>
      <c r="D4831">
        <v>3.868662</v>
      </c>
      <c r="E4831">
        <v>0.54949840000000005</v>
      </c>
      <c r="F4831" t="s">
        <v>41</v>
      </c>
      <c r="G4831">
        <v>-269.75240000000002</v>
      </c>
      <c r="H4831">
        <v>0.92358370000000001</v>
      </c>
      <c r="I4831">
        <v>214.39920000000001</v>
      </c>
      <c r="J4831">
        <v>-270.33229999999998</v>
      </c>
      <c r="K4831">
        <v>1.1103419999999999</v>
      </c>
      <c r="L4831">
        <v>214.5334</v>
      </c>
      <c r="M4831">
        <v>0.99985190000000002</v>
      </c>
      <c r="N4831">
        <v>0</v>
      </c>
      <c r="O4831">
        <v>-1.0334609999999999E-2</v>
      </c>
      <c r="P4831">
        <v>0.99911419999999995</v>
      </c>
      <c r="Q4831" s="1">
        <v>7.23917E-5</v>
      </c>
      <c r="R4831">
        <v>-4.2083200000000001E-2</v>
      </c>
      <c r="S4831">
        <v>2.981293</v>
      </c>
      <c r="T4831">
        <v>-0.68659859999999995</v>
      </c>
      <c r="U4831">
        <v>-0.50178529999999999</v>
      </c>
      <c r="V4831">
        <v>3.1753199999999898E-2</v>
      </c>
      <c r="W4831">
        <v>1.383529E-2</v>
      </c>
      <c r="X4831">
        <v>0.99939999999999996</v>
      </c>
      <c r="Y4831">
        <v>0.15216559999999901</v>
      </c>
      <c r="Z4831">
        <v>-1.484618E-2</v>
      </c>
      <c r="AA4831">
        <v>0.98824350000000005</v>
      </c>
      <c r="AB4831">
        <v>24</v>
      </c>
      <c r="AC4831">
        <v>0.57989999999995201</v>
      </c>
      <c r="AD4831">
        <v>-0.18675829999999999</v>
      </c>
      <c r="AE4831">
        <v>-0.13419999999999199</v>
      </c>
      <c r="AF4831">
        <v>0.11670966697454201</v>
      </c>
      <c r="AG4831">
        <v>-0.18675829999999999</v>
      </c>
      <c r="AH4831">
        <v>0.52916233995981998</v>
      </c>
      <c r="AI4831">
        <v>109.016451395494</v>
      </c>
      <c r="AJ4831">
        <v>77.562226299117796</v>
      </c>
      <c r="AK4831">
        <v>0.57316017919596496</v>
      </c>
      <c r="AL4831">
        <v>89.207270999454295</v>
      </c>
      <c r="AM4831">
        <v>88.180195589315701</v>
      </c>
      <c r="AN4831">
        <v>1.0000000204798101</v>
      </c>
    </row>
    <row r="4832" spans="1:40" x14ac:dyDescent="0.25">
      <c r="A4832" t="str">
        <f>"20190312154020088"</f>
        <v>20190312154020088</v>
      </c>
      <c r="B4832" t="str">
        <f>"1552376420080993"</f>
        <v>1552376420080993</v>
      </c>
      <c r="C4832" t="s">
        <v>40</v>
      </c>
      <c r="D4832">
        <v>4.7003409999999999</v>
      </c>
      <c r="E4832">
        <v>0.54950480000000002</v>
      </c>
      <c r="F4832" t="s">
        <v>41</v>
      </c>
      <c r="G4832">
        <v>-269.53980000000001</v>
      </c>
      <c r="H4832">
        <v>0.92770649999999999</v>
      </c>
      <c r="I4832">
        <v>214.40020000000001</v>
      </c>
      <c r="J4832">
        <v>-270.0933</v>
      </c>
      <c r="K4832">
        <v>1.110339</v>
      </c>
      <c r="L4832">
        <v>214.53110000000001</v>
      </c>
      <c r="M4832">
        <v>0.99985279999999999</v>
      </c>
      <c r="N4832">
        <v>0</v>
      </c>
      <c r="O4832">
        <v>-1.0253299999999899E-2</v>
      </c>
      <c r="P4832">
        <v>0.99911479999999997</v>
      </c>
      <c r="Q4832">
        <v>4.7224110000000001E-4</v>
      </c>
      <c r="R4832">
        <v>-4.2070139999999999E-2</v>
      </c>
      <c r="S4832">
        <v>2.9816280000000002</v>
      </c>
      <c r="T4832">
        <v>-0.68713250000000003</v>
      </c>
      <c r="U4832">
        <v>-0.50059509999999996</v>
      </c>
      <c r="V4832">
        <v>3.1821299999999997E-2</v>
      </c>
      <c r="W4832">
        <v>1.4232460000000001E-2</v>
      </c>
      <c r="X4832">
        <v>0.99939219999999895</v>
      </c>
      <c r="Y4832">
        <v>0.15184510000000001</v>
      </c>
      <c r="Z4832">
        <v>-1.483845E-2</v>
      </c>
      <c r="AA4832">
        <v>0.98829290000000003</v>
      </c>
      <c r="AB4832">
        <v>24</v>
      </c>
      <c r="AC4832">
        <v>0.553499999999985</v>
      </c>
      <c r="AD4832">
        <v>-0.182632499999999</v>
      </c>
      <c r="AE4832">
        <v>-0.13089999999999599</v>
      </c>
      <c r="AF4832">
        <v>0.11351341504592601</v>
      </c>
      <c r="AG4832">
        <v>-0.182632499999999</v>
      </c>
      <c r="AH4832">
        <v>0.50295525713606803</v>
      </c>
      <c r="AI4832">
        <v>109.504633686082</v>
      </c>
      <c r="AJ4832">
        <v>77.281836535716096</v>
      </c>
      <c r="AK4832">
        <v>0.54699535293496504</v>
      </c>
      <c r="AL4832">
        <v>89.184512547504198</v>
      </c>
      <c r="AM4832">
        <v>88.176281125935006</v>
      </c>
      <c r="AN4832">
        <v>0.99999996373609001</v>
      </c>
    </row>
    <row r="4833" spans="1:40" x14ac:dyDescent="0.25">
      <c r="A4833" t="str">
        <f>"20190312154020288"</f>
        <v>20190312154020288</v>
      </c>
      <c r="B4833" t="str">
        <f>"1552376420281073"</f>
        <v>1552376420281073</v>
      </c>
      <c r="C4833" t="s">
        <v>40</v>
      </c>
      <c r="D4833">
        <v>4.0282530000000003</v>
      </c>
      <c r="E4833">
        <v>0.54890760000000005</v>
      </c>
      <c r="F4833" t="s">
        <v>41</v>
      </c>
      <c r="G4833">
        <v>-267.44479999999999</v>
      </c>
      <c r="H4833">
        <v>0.9313188</v>
      </c>
      <c r="I4833">
        <v>214.38229999999999</v>
      </c>
      <c r="J4833">
        <v>-267.99849999999998</v>
      </c>
      <c r="K4833">
        <v>1.1103400000000001</v>
      </c>
      <c r="L4833">
        <v>214.511</v>
      </c>
      <c r="M4833">
        <v>0.99985950000000001</v>
      </c>
      <c r="N4833">
        <v>0</v>
      </c>
      <c r="O4833">
        <v>-9.6064749999999997E-3</v>
      </c>
      <c r="P4833">
        <v>0.99910270000000001</v>
      </c>
      <c r="Q4833">
        <v>1.59201E-3</v>
      </c>
      <c r="R4833">
        <v>-4.2324750000000001E-2</v>
      </c>
      <c r="S4833">
        <v>2.9826350000000001</v>
      </c>
      <c r="T4833">
        <v>-0.68300079999999996</v>
      </c>
      <c r="U4833">
        <v>-0.49847409999999998</v>
      </c>
      <c r="V4833">
        <v>3.2722939999999999E-2</v>
      </c>
      <c r="W4833">
        <v>1.5328110000000001E-2</v>
      </c>
      <c r="X4833">
        <v>0.99934690000000004</v>
      </c>
      <c r="Y4833">
        <v>0.15177599999999999</v>
      </c>
      <c r="Z4833">
        <v>-1.4884919999999999E-2</v>
      </c>
      <c r="AA4833">
        <v>0.98830280000000004</v>
      </c>
      <c r="AB4833">
        <v>23</v>
      </c>
      <c r="AC4833">
        <v>0.55369999999999198</v>
      </c>
      <c r="AD4833">
        <v>-0.17902119999999899</v>
      </c>
      <c r="AE4833">
        <v>-0.128700000000009</v>
      </c>
      <c r="AF4833">
        <v>0.11224263405509</v>
      </c>
      <c r="AG4833">
        <v>-0.17902119999999899</v>
      </c>
      <c r="AH4833">
        <v>0.504842463453963</v>
      </c>
      <c r="AI4833">
        <v>109.09358879597001</v>
      </c>
      <c r="AJ4833">
        <v>77.465198674870194</v>
      </c>
      <c r="AK4833">
        <v>0.547277728265395</v>
      </c>
      <c r="AL4833">
        <v>89.121729581130197</v>
      </c>
      <c r="AM4833">
        <v>88.124558441776102</v>
      </c>
      <c r="AN4833">
        <v>0.99999998414901203</v>
      </c>
    </row>
    <row r="4834" spans="1:40" x14ac:dyDescent="0.25">
      <c r="A4834" t="str">
        <f>"20190312154020311"</f>
        <v>20190312154020311</v>
      </c>
      <c r="B4834" t="str">
        <f>"1552376420300594"</f>
        <v>1552376420300594</v>
      </c>
      <c r="C4834" t="s">
        <v>40</v>
      </c>
      <c r="D4834">
        <v>4.0661759999999996</v>
      </c>
      <c r="E4834">
        <v>0.5487109</v>
      </c>
      <c r="F4834" t="s">
        <v>41</v>
      </c>
      <c r="G4834">
        <v>-267.23450000000003</v>
      </c>
      <c r="H4834">
        <v>0.93660160000000003</v>
      </c>
      <c r="I4834">
        <v>214.38380000000001</v>
      </c>
      <c r="J4834">
        <v>-267.76580000000001</v>
      </c>
      <c r="K4834">
        <v>1.1103379999999901</v>
      </c>
      <c r="L4834">
        <v>214.50880000000001</v>
      </c>
      <c r="M4834">
        <v>0.99986019999999998</v>
      </c>
      <c r="N4834">
        <v>0</v>
      </c>
      <c r="O4834">
        <v>-9.5352939999999997E-3</v>
      </c>
      <c r="P4834">
        <v>0.99908850000000005</v>
      </c>
      <c r="Q4834">
        <v>7.9894250000000003E-4</v>
      </c>
      <c r="R4834">
        <v>-4.2686290000000002E-2</v>
      </c>
      <c r="S4834">
        <v>2.982758</v>
      </c>
      <c r="T4834">
        <v>-0.67832179999999997</v>
      </c>
      <c r="U4834">
        <v>-0.49623109999999998</v>
      </c>
      <c r="V4834">
        <v>3.3155520000000001E-2</v>
      </c>
      <c r="W4834">
        <v>1.4532359999999999E-2</v>
      </c>
      <c r="X4834">
        <v>0.99934449999999997</v>
      </c>
      <c r="Y4834">
        <v>0.1511777</v>
      </c>
      <c r="Z4834">
        <v>-1.473489E-2</v>
      </c>
      <c r="AA4834">
        <v>0.98839679999999996</v>
      </c>
      <c r="AB4834">
        <v>23</v>
      </c>
      <c r="AC4834">
        <v>0.531299999999987</v>
      </c>
      <c r="AD4834">
        <v>-0.17373639999999901</v>
      </c>
      <c r="AE4834">
        <v>-0.125</v>
      </c>
      <c r="AF4834">
        <v>0.108894331319297</v>
      </c>
      <c r="AG4834">
        <v>-0.17373639999999901</v>
      </c>
      <c r="AH4834">
        <v>0.48348058473965499</v>
      </c>
      <c r="AI4834">
        <v>109.318796340262</v>
      </c>
      <c r="AJ4834">
        <v>77.307074176339995</v>
      </c>
      <c r="AK4834">
        <v>0.52516262995250895</v>
      </c>
      <c r="AL4834">
        <v>89.167327756837295</v>
      </c>
      <c r="AM4834">
        <v>88.099779591101694</v>
      </c>
      <c r="AN4834">
        <v>0.99999995383694396</v>
      </c>
    </row>
    <row r="4835" spans="1:40" x14ac:dyDescent="0.25">
      <c r="A4835" t="str">
        <f>"20190312154020333"</f>
        <v>20190312154020333</v>
      </c>
      <c r="B4835" t="str">
        <f>"1552376420330850"</f>
        <v>1552376420330850</v>
      </c>
      <c r="C4835" t="s">
        <v>40</v>
      </c>
      <c r="D4835">
        <v>4.0014919999999998</v>
      </c>
      <c r="E4835">
        <v>0.52170209999999995</v>
      </c>
      <c r="F4835" t="s">
        <v>41</v>
      </c>
      <c r="G4835">
        <v>-267.02440000000001</v>
      </c>
      <c r="H4835">
        <v>0.94193329999999997</v>
      </c>
      <c r="I4835">
        <v>214.3854</v>
      </c>
      <c r="J4835">
        <v>-267.53469999999999</v>
      </c>
      <c r="K4835">
        <v>1.1103369999999999</v>
      </c>
      <c r="L4835">
        <v>214.5067</v>
      </c>
      <c r="M4835">
        <v>0.99986090000000005</v>
      </c>
      <c r="N4835">
        <v>0</v>
      </c>
      <c r="O4835">
        <v>-9.4644699999999991E-3</v>
      </c>
      <c r="P4835">
        <v>0.9990848</v>
      </c>
      <c r="Q4835">
        <v>4.7057119999999999E-4</v>
      </c>
      <c r="R4835">
        <v>-4.2769349999999998E-2</v>
      </c>
      <c r="S4835">
        <v>2.9821170000000001</v>
      </c>
      <c r="T4835">
        <v>-0.67739090000000002</v>
      </c>
      <c r="U4835">
        <v>-0.4958496</v>
      </c>
      <c r="V4835">
        <v>3.3309610000000003E-2</v>
      </c>
      <c r="W4835">
        <v>1.4201470000000001E-2</v>
      </c>
      <c r="X4835">
        <v>0.99934420000000002</v>
      </c>
      <c r="Y4835">
        <v>0.15116559999999901</v>
      </c>
      <c r="Z4835">
        <v>-1.4732769999999999E-2</v>
      </c>
      <c r="AA4835">
        <v>0.98839869999999996</v>
      </c>
      <c r="AB4835">
        <v>23</v>
      </c>
      <c r="AC4835">
        <v>0.510299999999972</v>
      </c>
      <c r="AD4835">
        <v>-0.16840369999999999</v>
      </c>
      <c r="AE4835">
        <v>-0.12129999999999</v>
      </c>
      <c r="AF4835">
        <v>0.105580932710927</v>
      </c>
      <c r="AG4835">
        <v>-0.16840369999999999</v>
      </c>
      <c r="AH4835">
        <v>0.46363320372733002</v>
      </c>
      <c r="AI4835">
        <v>109.502062611325</v>
      </c>
      <c r="AJ4835">
        <v>77.171088569438695</v>
      </c>
      <c r="AK4835">
        <v>0.50444314558160797</v>
      </c>
      <c r="AL4835">
        <v>89.186288369822506</v>
      </c>
      <c r="AM4835">
        <v>88.090954279636307</v>
      </c>
      <c r="AN4835">
        <v>1.00000002097107</v>
      </c>
    </row>
    <row r="4836" spans="1:40" x14ac:dyDescent="0.25">
      <c r="A4836" t="str">
        <f>"20190312154020356"</f>
        <v>20190312154020356</v>
      </c>
      <c r="B4836" t="str">
        <f>"1552376420351345"</f>
        <v>1552376420351345</v>
      </c>
      <c r="C4836" t="s">
        <v>40</v>
      </c>
      <c r="D4836">
        <v>4.1065399999999999</v>
      </c>
      <c r="E4836">
        <v>0.52111200000000002</v>
      </c>
      <c r="F4836" t="s">
        <v>75</v>
      </c>
      <c r="G4836">
        <v>-168.41200000000001</v>
      </c>
      <c r="H4836">
        <v>2.6533009999999999</v>
      </c>
      <c r="I4836">
        <v>204.47300000000001</v>
      </c>
      <c r="J4836">
        <v>-267.30279999999999</v>
      </c>
      <c r="K4836">
        <v>1.1103459999999901</v>
      </c>
      <c r="L4836">
        <v>214.50460000000001</v>
      </c>
      <c r="M4836">
        <v>0.99986169999999996</v>
      </c>
      <c r="N4836">
        <v>0</v>
      </c>
      <c r="O4836">
        <v>-9.3935249999999998E-3</v>
      </c>
      <c r="P4836">
        <v>0.99908859999999999</v>
      </c>
      <c r="Q4836">
        <v>5.4174940000000003E-4</v>
      </c>
      <c r="R4836">
        <v>-4.2684149999999997E-2</v>
      </c>
      <c r="S4836">
        <v>2.9898069999999999</v>
      </c>
      <c r="T4836">
        <v>4.6540980000000003E-2</v>
      </c>
      <c r="U4836">
        <v>-0.30264279999999999</v>
      </c>
      <c r="V4836">
        <v>3.3295369999999998E-2</v>
      </c>
      <c r="W4836">
        <v>1.42706E-2</v>
      </c>
      <c r="X4836">
        <v>0.99934369999999995</v>
      </c>
      <c r="Y4836">
        <v>9.1349299999999994E-2</v>
      </c>
      <c r="Z4836">
        <v>5.6330379999999997E-4</v>
      </c>
      <c r="AA4836">
        <v>0.99581869999999995</v>
      </c>
      <c r="AB4836">
        <v>23</v>
      </c>
      <c r="AC4836">
        <v>98.890799999999899</v>
      </c>
      <c r="AD4836">
        <v>1.5429549999999901</v>
      </c>
      <c r="AE4836">
        <v>-10.031599999999999</v>
      </c>
      <c r="AF4836">
        <v>9.0999438872413503</v>
      </c>
      <c r="AG4836">
        <v>1.5429549999999901</v>
      </c>
      <c r="AH4836">
        <v>98.956832228069203</v>
      </c>
      <c r="AI4836">
        <v>89.110457612360804</v>
      </c>
      <c r="AJ4836">
        <v>84.745930236938506</v>
      </c>
      <c r="AK4836">
        <v>99.386338766941194</v>
      </c>
      <c r="AL4836">
        <v>89.182327119614797</v>
      </c>
      <c r="AM4836">
        <v>88.091768847267303</v>
      </c>
      <c r="AN4836">
        <v>1.00000003120874</v>
      </c>
    </row>
    <row r="4837" spans="1:40" x14ac:dyDescent="0.25">
      <c r="A4837" t="str">
        <f>"20190312154020378"</f>
        <v>20190312154020378</v>
      </c>
      <c r="B4837" t="str">
        <f>"1552376420370869"</f>
        <v>1552376420370869</v>
      </c>
      <c r="C4837" t="s">
        <v>40</v>
      </c>
      <c r="D4837">
        <v>3.9706630000000001</v>
      </c>
      <c r="E4837">
        <v>0.52103670000000002</v>
      </c>
      <c r="F4837" t="s">
        <v>75</v>
      </c>
      <c r="G4837">
        <v>-168.41200000000001</v>
      </c>
      <c r="H4837">
        <v>2.7053379999999998</v>
      </c>
      <c r="I4837">
        <v>204.65539999999999</v>
      </c>
      <c r="J4837">
        <v>-267.0718</v>
      </c>
      <c r="K4837">
        <v>1.110344</v>
      </c>
      <c r="L4837">
        <v>214.5025</v>
      </c>
      <c r="M4837">
        <v>0.99986229999999998</v>
      </c>
      <c r="N4837">
        <v>0</v>
      </c>
      <c r="O4837">
        <v>-9.3227020000000004E-3</v>
      </c>
      <c r="P4837">
        <v>0.99908229999999998</v>
      </c>
      <c r="Q4837">
        <v>1.0574409999999999E-3</v>
      </c>
      <c r="R4837">
        <v>-4.2820329999999997E-2</v>
      </c>
      <c r="S4837">
        <v>2.98996</v>
      </c>
      <c r="T4837">
        <v>4.8225520000000001E-2</v>
      </c>
      <c r="U4837">
        <v>-0.29779050000000001</v>
      </c>
      <c r="V4837">
        <v>3.3502410000000003E-2</v>
      </c>
      <c r="W4837">
        <v>1.4783620000000001E-2</v>
      </c>
      <c r="X4837">
        <v>0.99932929999999998</v>
      </c>
      <c r="Y4837">
        <v>8.9814149999999995E-2</v>
      </c>
      <c r="Z4837">
        <v>5.724975E-4</v>
      </c>
      <c r="AA4837">
        <v>0.99595840000000002</v>
      </c>
      <c r="AB4837">
        <v>23</v>
      </c>
      <c r="AC4837">
        <v>98.659800000000004</v>
      </c>
      <c r="AD4837">
        <v>1.594994</v>
      </c>
      <c r="AE4837">
        <v>-9.84710000000001</v>
      </c>
      <c r="AF4837">
        <v>8.9244998965864006</v>
      </c>
      <c r="AG4837">
        <v>1.594994</v>
      </c>
      <c r="AH4837">
        <v>98.7217745923721</v>
      </c>
      <c r="AI4837">
        <v>89.078142306677705</v>
      </c>
      <c r="AJ4837">
        <v>84.834472458259697</v>
      </c>
      <c r="AK4837">
        <v>99.137175080447705</v>
      </c>
      <c r="AL4837">
        <v>89.152930117966093</v>
      </c>
      <c r="AM4837">
        <v>88.079884135285198</v>
      </c>
      <c r="AN4837">
        <v>1.0000000083673</v>
      </c>
    </row>
    <row r="4838" spans="1:40" x14ac:dyDescent="0.25">
      <c r="A4838" t="str">
        <f>"20190312154020394"</f>
        <v>20190312154020394</v>
      </c>
      <c r="B4838" t="str">
        <f>"1552376420391362"</f>
        <v>1552376420391362</v>
      </c>
      <c r="C4838" t="s">
        <v>40</v>
      </c>
      <c r="D4838">
        <v>4.0150739999999896</v>
      </c>
      <c r="E4838">
        <v>0.52029009999999998</v>
      </c>
      <c r="F4838" t="s">
        <v>48</v>
      </c>
      <c r="G4838">
        <v>-177.51089999999999</v>
      </c>
      <c r="H4838">
        <v>2.500146</v>
      </c>
      <c r="I4838">
        <v>205.59200000000001</v>
      </c>
      <c r="J4838">
        <v>-266.90410000000003</v>
      </c>
      <c r="K4838">
        <v>1.1103459999999901</v>
      </c>
      <c r="L4838">
        <v>214.501</v>
      </c>
      <c r="M4838">
        <v>0.99986280000000005</v>
      </c>
      <c r="N4838">
        <v>0</v>
      </c>
      <c r="O4838">
        <v>-9.271194E-3</v>
      </c>
      <c r="P4838">
        <v>0.99908699999999995</v>
      </c>
      <c r="Q4838">
        <v>1.282481E-3</v>
      </c>
      <c r="R4838">
        <v>-4.2704020000000002E-2</v>
      </c>
      <c r="S4838">
        <v>2.9899290000000001</v>
      </c>
      <c r="T4838">
        <v>4.6397569999999999E-2</v>
      </c>
      <c r="U4838">
        <v>-0.29747010000000002</v>
      </c>
      <c r="V4838">
        <v>3.3437599999999998E-2</v>
      </c>
      <c r="W4838">
        <v>1.5006759999999999E-2</v>
      </c>
      <c r="X4838">
        <v>0.99932810000000005</v>
      </c>
      <c r="Y4838">
        <v>8.9761560000000004E-2</v>
      </c>
      <c r="Z4838">
        <v>5.5119860000000002E-4</v>
      </c>
      <c r="AA4838">
        <v>0.99596320000000005</v>
      </c>
      <c r="AB4838">
        <v>23</v>
      </c>
      <c r="AC4838">
        <v>89.393199999999993</v>
      </c>
      <c r="AD4838">
        <v>1.3897999999999999</v>
      </c>
      <c r="AE4838">
        <v>-8.9089999999999598</v>
      </c>
      <c r="AF4838">
        <v>8.0778239468690298</v>
      </c>
      <c r="AG4838">
        <v>1.3897999999999999</v>
      </c>
      <c r="AH4838">
        <v>89.450553636353902</v>
      </c>
      <c r="AI4838">
        <v>89.113469671126694</v>
      </c>
      <c r="AJ4838">
        <v>84.839906386711306</v>
      </c>
      <c r="AK4838">
        <v>89.825298939702094</v>
      </c>
      <c r="AL4838">
        <v>89.140143680874303</v>
      </c>
      <c r="AM4838">
        <v>88.083593503900303</v>
      </c>
      <c r="AN4838">
        <v>0.99999996369453303</v>
      </c>
    </row>
    <row r="4839" spans="1:40" x14ac:dyDescent="0.25">
      <c r="A4839" t="str">
        <f>"20190312154020412"</f>
        <v>20190312154020412</v>
      </c>
      <c r="B4839" t="str">
        <f>"1552376420401122"</f>
        <v>1552376420401122</v>
      </c>
      <c r="C4839" t="s">
        <v>40</v>
      </c>
      <c r="D4839">
        <v>3.9898129999999998</v>
      </c>
      <c r="E4839">
        <v>0.51967540000000001</v>
      </c>
      <c r="F4839" t="s">
        <v>48</v>
      </c>
      <c r="G4839">
        <v>-177.5478</v>
      </c>
      <c r="H4839">
        <v>2.4457409999999999</v>
      </c>
      <c r="I4839">
        <v>205.80090000000001</v>
      </c>
      <c r="J4839">
        <v>-266.7244</v>
      </c>
      <c r="K4839">
        <v>1.1103540000000001</v>
      </c>
      <c r="L4839">
        <v>214.49940000000001</v>
      </c>
      <c r="M4839">
        <v>0.99986339999999996</v>
      </c>
      <c r="N4839">
        <v>0</v>
      </c>
      <c r="O4839">
        <v>-9.2163469999999997E-3</v>
      </c>
      <c r="P4839">
        <v>0.99909499999999996</v>
      </c>
      <c r="Q4839">
        <v>1.821614E-3</v>
      </c>
      <c r="R4839">
        <v>-4.2497680000000003E-2</v>
      </c>
      <c r="S4839">
        <v>2.9902039999999999</v>
      </c>
      <c r="T4839">
        <v>4.468739E-2</v>
      </c>
      <c r="U4839">
        <v>-0.2911377</v>
      </c>
      <c r="V4839">
        <v>3.3285889999999999E-2</v>
      </c>
      <c r="W4839">
        <v>1.554409E-2</v>
      </c>
      <c r="X4839">
        <v>0.99932500000000002</v>
      </c>
      <c r="Y4839">
        <v>8.7718969999999993E-2</v>
      </c>
      <c r="Z4839">
        <v>5.1648180000000001E-4</v>
      </c>
      <c r="AA4839">
        <v>0.99614510000000001</v>
      </c>
      <c r="AB4839">
        <v>23</v>
      </c>
      <c r="AC4839">
        <v>89.176599999999993</v>
      </c>
      <c r="AD4839">
        <v>1.3353870000000001</v>
      </c>
      <c r="AE4839">
        <v>-8.6984999999999904</v>
      </c>
      <c r="AF4839">
        <v>7.8744215204500101</v>
      </c>
      <c r="AG4839">
        <v>1.3353870000000001</v>
      </c>
      <c r="AH4839">
        <v>89.2331667409739</v>
      </c>
      <c r="AI4839">
        <v>89.145942970737593</v>
      </c>
      <c r="AJ4839">
        <v>84.956971176514699</v>
      </c>
      <c r="AK4839">
        <v>89.589886813992294</v>
      </c>
      <c r="AL4839">
        <v>89.109353389080397</v>
      </c>
      <c r="AM4839">
        <v>88.092276093992893</v>
      </c>
      <c r="AN4839">
        <v>1.00000001241601</v>
      </c>
    </row>
    <row r="4840" spans="1:40" x14ac:dyDescent="0.25">
      <c r="A4840" t="str">
        <f>"20190312154020435"</f>
        <v>20190312154020435</v>
      </c>
      <c r="B4840" t="str">
        <f>"1552376420431377"</f>
        <v>1552376420431377</v>
      </c>
      <c r="C4840" t="s">
        <v>40</v>
      </c>
      <c r="D4840">
        <v>4.0683740000000004</v>
      </c>
      <c r="E4840">
        <v>0.51701149999999996</v>
      </c>
      <c r="F4840" t="s">
        <v>75</v>
      </c>
      <c r="G4840">
        <v>-168.4118</v>
      </c>
      <c r="H4840">
        <v>2.6595780000000002</v>
      </c>
      <c r="I4840">
        <v>205.11340000000001</v>
      </c>
      <c r="J4840">
        <v>-266.49029999999999</v>
      </c>
      <c r="K4840">
        <v>1.110355</v>
      </c>
      <c r="L4840">
        <v>214.4974</v>
      </c>
      <c r="M4840">
        <v>0.99986399999999998</v>
      </c>
      <c r="N4840">
        <v>0</v>
      </c>
      <c r="O4840">
        <v>-9.1444520000000008E-3</v>
      </c>
      <c r="P4840">
        <v>0.99909230000000004</v>
      </c>
      <c r="Q4840">
        <v>2.1855809999999998E-3</v>
      </c>
      <c r="R4840">
        <v>-4.2544930000000002E-2</v>
      </c>
      <c r="S4840">
        <v>2.9905089999999999</v>
      </c>
      <c r="T4840">
        <v>4.7125939999999998E-2</v>
      </c>
      <c r="U4840">
        <v>-0.28550720000000002</v>
      </c>
      <c r="V4840">
        <v>3.3404980000000001E-2</v>
      </c>
      <c r="W4840">
        <v>1.5905969999999998E-2</v>
      </c>
      <c r="X4840">
        <v>0.99931530000000002</v>
      </c>
      <c r="Y4840">
        <v>8.5921629999999999E-2</v>
      </c>
      <c r="Z4840">
        <v>5.3165720000000001E-4</v>
      </c>
      <c r="AA4840">
        <v>0.99630180000000002</v>
      </c>
      <c r="AB4840">
        <v>23</v>
      </c>
      <c r="AC4840">
        <v>98.078500000000005</v>
      </c>
      <c r="AD4840">
        <v>1.54922299999999</v>
      </c>
      <c r="AE4840">
        <v>-9.3839999999999808</v>
      </c>
      <c r="AF4840">
        <v>8.4845512135954504</v>
      </c>
      <c r="AG4840">
        <v>1.54922299999999</v>
      </c>
      <c r="AH4840">
        <v>98.135954699446899</v>
      </c>
      <c r="AI4840">
        <v>89.098936271652207</v>
      </c>
      <c r="AJ4840">
        <v>85.058659831797897</v>
      </c>
      <c r="AK4840">
        <v>98.514228951820698</v>
      </c>
      <c r="AL4840">
        <v>89.088616599603597</v>
      </c>
      <c r="AM4840">
        <v>88.085437154710306</v>
      </c>
      <c r="AN4840">
        <v>0.99999998069226503</v>
      </c>
    </row>
    <row r="4841" spans="1:40" x14ac:dyDescent="0.25">
      <c r="A4841" t="str">
        <f>"20190312154020457"</f>
        <v>20190312154020457</v>
      </c>
      <c r="B4841" t="str">
        <f>"1552376420450901"</f>
        <v>1552376420450901</v>
      </c>
      <c r="C4841" t="s">
        <v>40</v>
      </c>
      <c r="D4841">
        <v>4.0392099999999997</v>
      </c>
      <c r="E4841">
        <v>0.51602890000000001</v>
      </c>
      <c r="F4841" t="s">
        <v>75</v>
      </c>
      <c r="G4841">
        <v>-168.41149999999999</v>
      </c>
      <c r="H4841">
        <v>2.2917230000000002</v>
      </c>
      <c r="I4841">
        <v>205.8389</v>
      </c>
      <c r="J4841">
        <v>-266.26190000000003</v>
      </c>
      <c r="K4841">
        <v>1.1103540000000001</v>
      </c>
      <c r="L4841">
        <v>214.49529999999999</v>
      </c>
      <c r="M4841">
        <v>0.99986470000000005</v>
      </c>
      <c r="N4841">
        <v>0</v>
      </c>
      <c r="O4841">
        <v>-9.0743460000000005E-3</v>
      </c>
      <c r="P4841">
        <v>0.99909990000000004</v>
      </c>
      <c r="Q4841">
        <v>2.1582770000000001E-3</v>
      </c>
      <c r="R4841">
        <v>-4.2370159999999997E-2</v>
      </c>
      <c r="S4841">
        <v>2.991425</v>
      </c>
      <c r="T4841">
        <v>3.6032920000000003E-2</v>
      </c>
      <c r="U4841">
        <v>-0.26408389999999998</v>
      </c>
      <c r="V4841">
        <v>3.3300129999999997E-2</v>
      </c>
      <c r="W4841">
        <v>1.587593E-2</v>
      </c>
      <c r="X4841">
        <v>0.99931930000000002</v>
      </c>
      <c r="Y4841">
        <v>7.8889619999999994E-2</v>
      </c>
      <c r="Z4841">
        <v>3.6510299999999998E-4</v>
      </c>
      <c r="AA4841">
        <v>0.99688330000000003</v>
      </c>
      <c r="AB4841">
        <v>23</v>
      </c>
      <c r="AC4841">
        <v>97.850399999999993</v>
      </c>
      <c r="AD4841">
        <v>1.1813689999999999</v>
      </c>
      <c r="AE4841">
        <v>-8.6563999999999908</v>
      </c>
      <c r="AF4841">
        <v>7.7669082238937497</v>
      </c>
      <c r="AG4841">
        <v>1.1813689999999999</v>
      </c>
      <c r="AH4841">
        <v>97.910768140027699</v>
      </c>
      <c r="AI4841">
        <v>89.310880329367706</v>
      </c>
      <c r="AJ4841">
        <v>85.464430101818294</v>
      </c>
      <c r="AK4841">
        <v>98.225449929449695</v>
      </c>
      <c r="AL4841">
        <v>89.090338003034503</v>
      </c>
      <c r="AM4841">
        <v>88.091449678143306</v>
      </c>
      <c r="AN4841">
        <v>1.0000000035819301</v>
      </c>
    </row>
    <row r="4842" spans="1:40" x14ac:dyDescent="0.25">
      <c r="A4842" t="str">
        <f>"20190312154020480"</f>
        <v>20190312154020480</v>
      </c>
      <c r="B4842" t="str">
        <f>"1552376420471394"</f>
        <v>1552376420471394</v>
      </c>
      <c r="C4842" t="s">
        <v>40</v>
      </c>
      <c r="D4842">
        <v>4.0303329999999997</v>
      </c>
      <c r="E4842">
        <v>0.51547879999999902</v>
      </c>
      <c r="F4842" t="s">
        <v>75</v>
      </c>
      <c r="G4842">
        <v>-168.41130000000001</v>
      </c>
      <c r="H4842">
        <v>2.1836090000000001</v>
      </c>
      <c r="I4842">
        <v>206.137</v>
      </c>
      <c r="J4842">
        <v>-266.02980000000002</v>
      </c>
      <c r="K4842">
        <v>1.110355</v>
      </c>
      <c r="L4842">
        <v>214.4933</v>
      </c>
      <c r="M4842">
        <v>0.99986540000000002</v>
      </c>
      <c r="N4842">
        <v>0</v>
      </c>
      <c r="O4842">
        <v>-9.0030490000000008E-3</v>
      </c>
      <c r="P4842">
        <v>0.99910379999999999</v>
      </c>
      <c r="Q4842">
        <v>2.0963050000000001E-3</v>
      </c>
      <c r="R4842">
        <v>-4.2278089999999997E-2</v>
      </c>
      <c r="S4842">
        <v>2.9917600000000002</v>
      </c>
      <c r="T4842">
        <v>3.2815579999999997E-2</v>
      </c>
      <c r="U4842">
        <v>-0.25555420000000001</v>
      </c>
      <c r="V4842">
        <v>3.3279259999999998E-2</v>
      </c>
      <c r="W4842">
        <v>1.581157E-2</v>
      </c>
      <c r="X4842">
        <v>0.99932100000000001</v>
      </c>
      <c r="Y4842">
        <v>7.6130729999999994E-2</v>
      </c>
      <c r="Z4842">
        <v>3.181867E-4</v>
      </c>
      <c r="AA4842">
        <v>0.99709780000000003</v>
      </c>
      <c r="AB4842">
        <v>23</v>
      </c>
      <c r="AC4842">
        <v>97.618499999999997</v>
      </c>
      <c r="AD4842">
        <v>1.0732539999999999</v>
      </c>
      <c r="AE4842">
        <v>-8.3562999999999992</v>
      </c>
      <c r="AF4842">
        <v>7.4761173395140803</v>
      </c>
      <c r="AG4842">
        <v>1.0732539999999999</v>
      </c>
      <c r="AH4842">
        <v>97.6780611384482</v>
      </c>
      <c r="AI4842">
        <v>89.372314089457802</v>
      </c>
      <c r="AJ4842">
        <v>85.623209021392299</v>
      </c>
      <c r="AK4842">
        <v>97.969627091201701</v>
      </c>
      <c r="AL4842">
        <v>89.094026008163496</v>
      </c>
      <c r="AM4842">
        <v>88.092648171495199</v>
      </c>
      <c r="AN4842">
        <v>0.99999998796650602</v>
      </c>
    </row>
    <row r="4843" spans="1:40" x14ac:dyDescent="0.25">
      <c r="A4843" t="str">
        <f>"20190312154020500"</f>
        <v>20190312154020500</v>
      </c>
      <c r="B4843" t="str">
        <f>"1552376420490914"</f>
        <v>1552376420490914</v>
      </c>
      <c r="C4843" t="s">
        <v>40</v>
      </c>
      <c r="D4843">
        <v>4.1062859999999999</v>
      </c>
      <c r="E4843">
        <v>0.51488350000000005</v>
      </c>
      <c r="F4843" t="s">
        <v>75</v>
      </c>
      <c r="G4843">
        <v>-168.41120000000001</v>
      </c>
      <c r="H4843">
        <v>1.9752270000000001</v>
      </c>
      <c r="I4843">
        <v>206.3109</v>
      </c>
      <c r="J4843">
        <v>-265.80939999999998</v>
      </c>
      <c r="K4843">
        <v>1.110358</v>
      </c>
      <c r="L4843">
        <v>214.4914</v>
      </c>
      <c r="M4843">
        <v>0.99986609999999998</v>
      </c>
      <c r="N4843">
        <v>0</v>
      </c>
      <c r="O4843">
        <v>-8.9353279999999993E-3</v>
      </c>
      <c r="P4843">
        <v>0.99911559999999999</v>
      </c>
      <c r="Q4843">
        <v>1.74444799999999E-3</v>
      </c>
      <c r="R4843">
        <v>-4.2012670000000002E-2</v>
      </c>
      <c r="S4843">
        <v>2.992035</v>
      </c>
      <c r="T4843">
        <v>2.6509640000000001E-2</v>
      </c>
      <c r="U4843">
        <v>-0.2507935</v>
      </c>
      <c r="V4843">
        <v>3.308146E-2</v>
      </c>
      <c r="W4843">
        <v>1.5457800000000001E-2</v>
      </c>
      <c r="X4843">
        <v>0.99933309999999997</v>
      </c>
      <c r="Y4843">
        <v>7.4616630000000003E-2</v>
      </c>
      <c r="Z4843">
        <v>2.5094260000000003E-4</v>
      </c>
      <c r="AA4843">
        <v>0.99721230000000005</v>
      </c>
      <c r="AB4843">
        <v>23</v>
      </c>
      <c r="AC4843">
        <v>97.398199999999903</v>
      </c>
      <c r="AD4843">
        <v>0.864869</v>
      </c>
      <c r="AE4843">
        <v>-8.1804999999999897</v>
      </c>
      <c r="AF4843">
        <v>7.3092344173757899</v>
      </c>
      <c r="AG4843">
        <v>0.864869</v>
      </c>
      <c r="AH4843">
        <v>97.459782549662805</v>
      </c>
      <c r="AI4843">
        <v>89.492987996779505</v>
      </c>
      <c r="AJ4843">
        <v>85.710992397479899</v>
      </c>
      <c r="AK4843">
        <v>97.737311814797096</v>
      </c>
      <c r="AL4843">
        <v>89.114298012224197</v>
      </c>
      <c r="AM4843">
        <v>88.103999428782799</v>
      </c>
      <c r="AN4843">
        <v>0.99999998566609005</v>
      </c>
    </row>
    <row r="4844" spans="1:40" x14ac:dyDescent="0.25">
      <c r="A4844" t="str">
        <f>"20190312154020523"</f>
        <v>20190312154020523</v>
      </c>
      <c r="B4844" t="str">
        <f>"1552376420521169"</f>
        <v>1552376420521169</v>
      </c>
      <c r="C4844" t="s">
        <v>40</v>
      </c>
      <c r="D4844">
        <v>4.1505700000000001</v>
      </c>
      <c r="E4844">
        <v>0.51467159999999901</v>
      </c>
      <c r="F4844" t="s">
        <v>75</v>
      </c>
      <c r="G4844">
        <v>-168.4111</v>
      </c>
      <c r="H4844">
        <v>1.865818</v>
      </c>
      <c r="I4844">
        <v>206.51349999999999</v>
      </c>
      <c r="J4844">
        <v>-265.58139999999997</v>
      </c>
      <c r="K4844">
        <v>1.1103510000000001</v>
      </c>
      <c r="L4844">
        <v>214.48949999999999</v>
      </c>
      <c r="M4844">
        <v>0.9998667</v>
      </c>
      <c r="N4844">
        <v>0</v>
      </c>
      <c r="O4844">
        <v>-8.865342E-3</v>
      </c>
      <c r="P4844">
        <v>0.99912849999999997</v>
      </c>
      <c r="Q4844">
        <v>1.2842769999999999E-3</v>
      </c>
      <c r="R4844">
        <v>-4.1722410000000001E-2</v>
      </c>
      <c r="S4844">
        <v>2.9923099999999998</v>
      </c>
      <c r="T4844">
        <v>2.321053E-2</v>
      </c>
      <c r="U4844">
        <v>-0.24510190000000001</v>
      </c>
      <c r="V4844">
        <v>3.2861219999999997E-2</v>
      </c>
      <c r="W4844">
        <v>1.4995319999999999E-2</v>
      </c>
      <c r="X4844">
        <v>0.9993474</v>
      </c>
      <c r="Y4844">
        <v>7.2795529999999997E-2</v>
      </c>
      <c r="Z4844">
        <v>2.1320169999999999E-4</v>
      </c>
      <c r="AA4844">
        <v>0.99734690000000004</v>
      </c>
      <c r="AB4844">
        <v>23</v>
      </c>
      <c r="AC4844">
        <v>97.170299999999898</v>
      </c>
      <c r="AD4844">
        <v>0.755466999999999</v>
      </c>
      <c r="AE4844">
        <v>-7.9759999999999902</v>
      </c>
      <c r="AF4844">
        <v>7.1137304615962798</v>
      </c>
      <c r="AG4844">
        <v>0.755466999999999</v>
      </c>
      <c r="AH4844">
        <v>97.231359442450099</v>
      </c>
      <c r="AI4844">
        <v>89.556019565871594</v>
      </c>
      <c r="AJ4844">
        <v>85.815528899923706</v>
      </c>
      <c r="AK4844">
        <v>97.494169828227498</v>
      </c>
      <c r="AL4844">
        <v>89.140799226068296</v>
      </c>
      <c r="AM4844">
        <v>88.116639872359897</v>
      </c>
      <c r="AN4844">
        <v>0.99999997264427498</v>
      </c>
    </row>
    <row r="4845" spans="1:40" x14ac:dyDescent="0.25">
      <c r="A4845" t="str">
        <f>"20190312154020558"</f>
        <v>20190312154020558</v>
      </c>
      <c r="B4845" t="str">
        <f>"1552376420550450"</f>
        <v>1552376420550450</v>
      </c>
      <c r="C4845" t="s">
        <v>40</v>
      </c>
      <c r="D4845">
        <v>4.1318169999999999</v>
      </c>
      <c r="E4845">
        <v>0.51426079999999996</v>
      </c>
      <c r="F4845" t="s">
        <v>75</v>
      </c>
      <c r="G4845">
        <v>-168.41099999999901</v>
      </c>
      <c r="H4845">
        <v>1.6268750000000001</v>
      </c>
      <c r="I4845">
        <v>206.6164</v>
      </c>
      <c r="J4845">
        <v>-265.23070000000001</v>
      </c>
      <c r="K4845">
        <v>1.110344</v>
      </c>
      <c r="L4845">
        <v>214.48650000000001</v>
      </c>
      <c r="M4845">
        <v>0.99986770000000003</v>
      </c>
      <c r="N4845">
        <v>0</v>
      </c>
      <c r="O4845">
        <v>-8.7577990000000001E-3</v>
      </c>
      <c r="P4845">
        <v>0.99913569999999996</v>
      </c>
      <c r="Q4845">
        <v>7.921057E-4</v>
      </c>
      <c r="R4845">
        <v>-4.1562780000000001E-2</v>
      </c>
      <c r="S4845">
        <v>2.9924930000000001</v>
      </c>
      <c r="T4845">
        <v>1.5908120000000001E-2</v>
      </c>
      <c r="U4845">
        <v>-0.24246219999999999</v>
      </c>
      <c r="V4845">
        <v>3.2808879999999999E-2</v>
      </c>
      <c r="W4845">
        <v>1.4499939999999999E-2</v>
      </c>
      <c r="X4845">
        <v>0.99935640000000003</v>
      </c>
      <c r="Y4845">
        <v>7.2024840000000007E-2</v>
      </c>
      <c r="Z4845">
        <v>1.4464799999999999E-4</v>
      </c>
      <c r="AA4845">
        <v>0.99740280000000003</v>
      </c>
      <c r="AB4845">
        <v>23</v>
      </c>
      <c r="AC4845">
        <v>96.819699999999997</v>
      </c>
      <c r="AD4845">
        <v>0.51653099999999996</v>
      </c>
      <c r="AE4845">
        <v>-7.8700999999999999</v>
      </c>
      <c r="AF4845">
        <v>7.02159244738524</v>
      </c>
      <c r="AG4845">
        <v>0.51653099999999996</v>
      </c>
      <c r="AH4845">
        <v>96.882178111796406</v>
      </c>
      <c r="AI4845">
        <v>89.695327392314596</v>
      </c>
      <c r="AJ4845">
        <v>85.854702789926193</v>
      </c>
      <c r="AK4845">
        <v>97.137665199741093</v>
      </c>
      <c r="AL4845">
        <v>89.169185472450806</v>
      </c>
      <c r="AM4845">
        <v>88.119654377760497</v>
      </c>
      <c r="AN4845">
        <v>0.99999994254390701</v>
      </c>
    </row>
    <row r="4846" spans="1:40" x14ac:dyDescent="0.25">
      <c r="A4846" t="str">
        <f>"20190312154020579"</f>
        <v>20190312154020579</v>
      </c>
      <c r="B4846" t="str">
        <f>"1552376420570947"</f>
        <v>1552376420570947</v>
      </c>
      <c r="C4846" t="s">
        <v>40</v>
      </c>
      <c r="D4846">
        <v>4.1167109999999996</v>
      </c>
      <c r="E4846">
        <v>0.51422829999999997</v>
      </c>
      <c r="F4846" t="s">
        <v>75</v>
      </c>
      <c r="G4846">
        <v>-168.41079999999999</v>
      </c>
      <c r="H4846">
        <v>1.3474619999999999</v>
      </c>
      <c r="I4846">
        <v>206.77160000000001</v>
      </c>
      <c r="J4846">
        <v>-265.0016</v>
      </c>
      <c r="K4846">
        <v>1.110344</v>
      </c>
      <c r="L4846">
        <v>214.4846</v>
      </c>
      <c r="M4846">
        <v>0.99986839999999999</v>
      </c>
      <c r="N4846">
        <v>0</v>
      </c>
      <c r="O4846">
        <v>-8.6876929999999998E-3</v>
      </c>
      <c r="P4846">
        <v>0.99914159999999996</v>
      </c>
      <c r="Q4846">
        <v>5.3847859999999999E-4</v>
      </c>
      <c r="R4846">
        <v>-4.1424660000000002E-2</v>
      </c>
      <c r="S4846">
        <v>2.9926759999999999</v>
      </c>
      <c r="T4846">
        <v>7.3302979999999998E-3</v>
      </c>
      <c r="U4846">
        <v>-0.23846439999999999</v>
      </c>
      <c r="V4846">
        <v>3.2740890000000002E-2</v>
      </c>
      <c r="W4846">
        <v>1.42439E-2</v>
      </c>
      <c r="X4846">
        <v>0.99936230000000004</v>
      </c>
      <c r="Y4846">
        <v>7.076665E-2</v>
      </c>
      <c r="Z4846" s="1">
        <v>6.5285109999999895E-5</v>
      </c>
      <c r="AA4846">
        <v>0.99749290000000002</v>
      </c>
      <c r="AB4846">
        <v>23</v>
      </c>
      <c r="AC4846">
        <v>96.590800000000002</v>
      </c>
      <c r="AD4846">
        <v>0.237118</v>
      </c>
      <c r="AE4846">
        <v>-7.7129999999999903</v>
      </c>
      <c r="AF4846">
        <v>6.8734377217790597</v>
      </c>
      <c r="AG4846">
        <v>0.237118</v>
      </c>
      <c r="AH4846">
        <v>96.653589786634498</v>
      </c>
      <c r="AI4846">
        <v>89.859791964047602</v>
      </c>
      <c r="AJ4846">
        <v>85.932307288559102</v>
      </c>
      <c r="AK4846">
        <v>96.897971029862802</v>
      </c>
      <c r="AL4846">
        <v>89.183856990278201</v>
      </c>
      <c r="AM4846">
        <v>88.123559308655004</v>
      </c>
      <c r="AN4846">
        <v>0.99999993061324299</v>
      </c>
    </row>
    <row r="4847" spans="1:40" x14ac:dyDescent="0.25">
      <c r="A4847" t="str">
        <f>"20190312154020601"</f>
        <v>20190312154020601</v>
      </c>
      <c r="B4847" t="str">
        <f>"1552376420590466"</f>
        <v>1552376420590466</v>
      </c>
      <c r="C4847" t="s">
        <v>40</v>
      </c>
      <c r="D4847">
        <v>4.1474820000000001</v>
      </c>
      <c r="E4847">
        <v>0.51422690000000004</v>
      </c>
      <c r="F4847" t="s">
        <v>75</v>
      </c>
      <c r="G4847">
        <v>-168.41079999999999</v>
      </c>
      <c r="H4847">
        <v>1.3232060000000001</v>
      </c>
      <c r="I4847">
        <v>206.8058</v>
      </c>
      <c r="J4847">
        <v>-264.78390000000002</v>
      </c>
      <c r="K4847">
        <v>1.1103449999999999</v>
      </c>
      <c r="L4847">
        <v>214.4828</v>
      </c>
      <c r="M4847">
        <v>0.99986889999999995</v>
      </c>
      <c r="N4847">
        <v>0</v>
      </c>
      <c r="O4847">
        <v>-8.6208069999999994E-3</v>
      </c>
      <c r="P4847">
        <v>0.99913609999999997</v>
      </c>
      <c r="Q4847">
        <v>2.2806789999999999E-4</v>
      </c>
      <c r="R4847">
        <v>-4.1561849999999997E-2</v>
      </c>
      <c r="S4847">
        <v>2.9927060000000001</v>
      </c>
      <c r="T4847">
        <v>6.5962080000000001E-3</v>
      </c>
      <c r="U4847">
        <v>-0.23791499999999999</v>
      </c>
      <c r="V4847">
        <v>3.2944969999999997E-2</v>
      </c>
      <c r="W4847">
        <v>1.393113E-2</v>
      </c>
      <c r="X4847">
        <v>0.99936009999999997</v>
      </c>
      <c r="Y4847">
        <v>7.0650669999999999E-2</v>
      </c>
      <c r="Z4847" s="1">
        <v>5.8766530000000003E-5</v>
      </c>
      <c r="AA4847">
        <v>0.99750110000000003</v>
      </c>
      <c r="AB4847">
        <v>23</v>
      </c>
      <c r="AC4847">
        <v>96.373099999999994</v>
      </c>
      <c r="AD4847">
        <v>0.212860999999999</v>
      </c>
      <c r="AE4847">
        <v>-7.6769999999999898</v>
      </c>
      <c r="AF4847">
        <v>6.8457895377870797</v>
      </c>
      <c r="AG4847">
        <v>0.212860999999999</v>
      </c>
      <c r="AH4847">
        <v>96.435238783665696</v>
      </c>
      <c r="AI4847">
        <v>89.873848989698999</v>
      </c>
      <c r="AJ4847">
        <v>85.939472263703294</v>
      </c>
      <c r="AK4847">
        <v>96.678153806656894</v>
      </c>
      <c r="AL4847">
        <v>89.201779249144096</v>
      </c>
      <c r="AM4847">
        <v>88.111867394335604</v>
      </c>
      <c r="AN4847">
        <v>1.0000000284516899</v>
      </c>
    </row>
    <row r="4848" spans="1:40" x14ac:dyDescent="0.25">
      <c r="A4848" t="str">
        <f>"20190312154020624"</f>
        <v>20190312154020624</v>
      </c>
      <c r="B4848" t="str">
        <f>"1552376420620721"</f>
        <v>1552376420620721</v>
      </c>
      <c r="C4848" t="s">
        <v>40</v>
      </c>
      <c r="D4848">
        <v>4.1942839999999997</v>
      </c>
      <c r="E4848">
        <v>0.51416070000000003</v>
      </c>
      <c r="F4848" t="s">
        <v>75</v>
      </c>
      <c r="G4848">
        <v>-168.41079999999999</v>
      </c>
      <c r="H4848">
        <v>1.285606</v>
      </c>
      <c r="I4848">
        <v>206.8125</v>
      </c>
      <c r="J4848">
        <v>-264.55059999999997</v>
      </c>
      <c r="K4848">
        <v>1.1103449999999999</v>
      </c>
      <c r="L4848">
        <v>214.48089999999999</v>
      </c>
      <c r="M4848">
        <v>0.99986960000000003</v>
      </c>
      <c r="N4848">
        <v>0</v>
      </c>
      <c r="O4848">
        <v>-8.5491509999999996E-3</v>
      </c>
      <c r="P4848">
        <v>0.9991428</v>
      </c>
      <c r="Q4848">
        <v>3.6176289999999999E-4</v>
      </c>
      <c r="R4848">
        <v>-4.1401170000000001E-2</v>
      </c>
      <c r="S4848">
        <v>2.992737</v>
      </c>
      <c r="T4848">
        <v>5.4435730000000002E-3</v>
      </c>
      <c r="U4848">
        <v>-0.2381897</v>
      </c>
      <c r="V4848">
        <v>3.2855870000000002E-2</v>
      </c>
      <c r="W4848">
        <v>1.406224E-2</v>
      </c>
      <c r="X4848">
        <v>0.99936119999999995</v>
      </c>
      <c r="Y4848">
        <v>7.0812369999999999E-2</v>
      </c>
      <c r="Z4848" s="1">
        <v>4.8773870000000002E-5</v>
      </c>
      <c r="AA4848">
        <v>0.99748959999999998</v>
      </c>
      <c r="AB4848">
        <v>23</v>
      </c>
      <c r="AC4848">
        <v>96.139799999999894</v>
      </c>
      <c r="AD4848">
        <v>0.175260999999999</v>
      </c>
      <c r="AE4848">
        <v>-7.6683999999999903</v>
      </c>
      <c r="AF4848">
        <v>6.8461062880577597</v>
      </c>
      <c r="AG4848">
        <v>0.175260999999999</v>
      </c>
      <c r="AH4848">
        <v>96.201532725630997</v>
      </c>
      <c r="AI4848">
        <v>89.8958813532265</v>
      </c>
      <c r="AJ4848">
        <v>85.929453284701296</v>
      </c>
      <c r="AK4848">
        <v>96.444983210564999</v>
      </c>
      <c r="AL4848">
        <v>89.194266466157003</v>
      </c>
      <c r="AM4848">
        <v>88.116972257737103</v>
      </c>
      <c r="AN4848">
        <v>1.00000003142635</v>
      </c>
    </row>
    <row r="4849" spans="1:40" x14ac:dyDescent="0.25">
      <c r="A4849" t="str">
        <f>"20190312154020647"</f>
        <v>20190312154020647</v>
      </c>
      <c r="B4849" t="str">
        <f>"1552376420641218"</f>
        <v>1552376420641218</v>
      </c>
      <c r="C4849" t="s">
        <v>40</v>
      </c>
      <c r="D4849">
        <v>4.1546519999999996</v>
      </c>
      <c r="E4849">
        <v>0.51409830000000001</v>
      </c>
      <c r="F4849" t="s">
        <v>75</v>
      </c>
      <c r="G4849">
        <v>-168.41079999999999</v>
      </c>
      <c r="H4849">
        <v>1.2998700000000001</v>
      </c>
      <c r="I4849">
        <v>206.86250000000001</v>
      </c>
      <c r="J4849">
        <v>-264.3177</v>
      </c>
      <c r="K4849">
        <v>1.1103430000000001</v>
      </c>
      <c r="L4849">
        <v>214.47900000000001</v>
      </c>
      <c r="M4849">
        <v>0.99987020000000004</v>
      </c>
      <c r="N4849">
        <v>0</v>
      </c>
      <c r="O4849">
        <v>-8.4779729999999998E-3</v>
      </c>
      <c r="P4849">
        <v>0.99912590000000001</v>
      </c>
      <c r="Q4849">
        <v>7.1838309999999999E-4</v>
      </c>
      <c r="R4849">
        <v>-4.1795249999999999E-2</v>
      </c>
      <c r="S4849">
        <v>2.992737</v>
      </c>
      <c r="T4849">
        <v>5.9007410000000001E-3</v>
      </c>
      <c r="U4849">
        <v>-0.2371521</v>
      </c>
      <c r="V4849">
        <v>3.3321509999999999E-2</v>
      </c>
      <c r="W4849">
        <v>1.44165E-2</v>
      </c>
      <c r="X4849">
        <v>0.99934069999999997</v>
      </c>
      <c r="Y4849">
        <v>7.0539690000000002E-2</v>
      </c>
      <c r="Z4849" s="1">
        <v>5.2742460000000003E-5</v>
      </c>
      <c r="AA4849">
        <v>0.99750890000000003</v>
      </c>
      <c r="AB4849">
        <v>23</v>
      </c>
      <c r="AC4849">
        <v>95.906899999999993</v>
      </c>
      <c r="AD4849">
        <v>0.189527</v>
      </c>
      <c r="AE4849">
        <v>-7.6165000000000003</v>
      </c>
      <c r="AF4849">
        <v>6.8030273897595199</v>
      </c>
      <c r="AG4849">
        <v>0.189527</v>
      </c>
      <c r="AH4849">
        <v>95.967658706696099</v>
      </c>
      <c r="AI4849">
        <v>89.887129673747594</v>
      </c>
      <c r="AJ4849">
        <v>85.945156870668697</v>
      </c>
      <c r="AK4849">
        <v>96.208672269158996</v>
      </c>
      <c r="AL4849">
        <v>89.1739667769791</v>
      </c>
      <c r="AM4849">
        <v>88.090266086345906</v>
      </c>
      <c r="AN4849">
        <v>0.99999999658870997</v>
      </c>
    </row>
    <row r="4850" spans="1:40" x14ac:dyDescent="0.25">
      <c r="A4850" t="str">
        <f>"20190312154020669"</f>
        <v>20190312154020669</v>
      </c>
      <c r="B4850" t="str">
        <f>"1552376420660741"</f>
        <v>1552376420660741</v>
      </c>
      <c r="C4850" t="s">
        <v>40</v>
      </c>
      <c r="D4850">
        <v>4.1642260000000002</v>
      </c>
      <c r="E4850">
        <v>0.51402490000000001</v>
      </c>
      <c r="F4850" t="s">
        <v>75</v>
      </c>
      <c r="G4850">
        <v>-168.41079999999999</v>
      </c>
      <c r="H4850">
        <v>1.3299639999999999</v>
      </c>
      <c r="I4850">
        <v>206.85589999999999</v>
      </c>
      <c r="J4850">
        <v>-264.09570000000002</v>
      </c>
      <c r="K4850">
        <v>1.1103479999999999</v>
      </c>
      <c r="L4850">
        <v>214.47720000000001</v>
      </c>
      <c r="M4850">
        <v>0.99987090000000001</v>
      </c>
      <c r="N4850">
        <v>0</v>
      </c>
      <c r="O4850">
        <v>-8.4098939999999994E-3</v>
      </c>
      <c r="P4850">
        <v>0.99912800000000002</v>
      </c>
      <c r="Q4850">
        <v>1.052358E-3</v>
      </c>
      <c r="R4850">
        <v>-4.1742880000000003E-2</v>
      </c>
      <c r="S4850">
        <v>2.9926759999999999</v>
      </c>
      <c r="T4850">
        <v>6.8540569999999898E-3</v>
      </c>
      <c r="U4850">
        <v>-0.23786930000000001</v>
      </c>
      <c r="V4850">
        <v>3.3336999999999999E-2</v>
      </c>
      <c r="W4850">
        <v>1.474787E-2</v>
      </c>
      <c r="X4850">
        <v>0.99933530000000004</v>
      </c>
      <c r="Y4850">
        <v>7.0846709999999993E-2</v>
      </c>
      <c r="Z4850" s="1">
        <v>6.1770810000000002E-5</v>
      </c>
      <c r="AA4850">
        <v>0.99748720000000002</v>
      </c>
      <c r="AB4850">
        <v>23</v>
      </c>
      <c r="AC4850">
        <v>95.684899999999999</v>
      </c>
      <c r="AD4850">
        <v>0.21961600000000001</v>
      </c>
      <c r="AE4850">
        <v>-7.6213000000000104</v>
      </c>
      <c r="AF4850">
        <v>6.8162194500402302</v>
      </c>
      <c r="AG4850">
        <v>0.21961600000000001</v>
      </c>
      <c r="AH4850">
        <v>95.745114718670706</v>
      </c>
      <c r="AI4850">
        <v>89.868909427090301</v>
      </c>
      <c r="AJ4850">
        <v>85.927908933394306</v>
      </c>
      <c r="AK4850">
        <v>95.987687081573</v>
      </c>
      <c r="AL4850">
        <v>89.154978614832899</v>
      </c>
      <c r="AM4850">
        <v>88.089368659372496</v>
      </c>
      <c r="AN4850">
        <v>0.999999948532312</v>
      </c>
    </row>
    <row r="4851" spans="1:40" x14ac:dyDescent="0.25">
      <c r="A4851" t="str">
        <f>"20190312154020690"</f>
        <v>20190312154020690</v>
      </c>
      <c r="B4851" t="str">
        <f>"1552376420681234"</f>
        <v>1552376420681234</v>
      </c>
      <c r="C4851" t="s">
        <v>40</v>
      </c>
      <c r="D4851">
        <v>4.1682569999999997</v>
      </c>
      <c r="E4851">
        <v>0.51394450000000003</v>
      </c>
      <c r="F4851" t="s">
        <v>75</v>
      </c>
      <c r="G4851">
        <v>-168.41079999999999</v>
      </c>
      <c r="H4851">
        <v>1.344719</v>
      </c>
      <c r="I4851">
        <v>206.89</v>
      </c>
      <c r="J4851">
        <v>-263.87520000000001</v>
      </c>
      <c r="K4851">
        <v>1.1103459999999901</v>
      </c>
      <c r="L4851">
        <v>214.47540000000001</v>
      </c>
      <c r="M4851">
        <v>0.99987150000000002</v>
      </c>
      <c r="N4851">
        <v>0</v>
      </c>
      <c r="O4851">
        <v>-8.3421729999999996E-3</v>
      </c>
      <c r="P4851">
        <v>0.99912970000000001</v>
      </c>
      <c r="Q4851">
        <v>1.250178E-3</v>
      </c>
      <c r="R4851">
        <v>-4.169639E-2</v>
      </c>
      <c r="S4851">
        <v>2.992737</v>
      </c>
      <c r="T4851">
        <v>7.3314909999999999E-3</v>
      </c>
      <c r="U4851">
        <v>-0.23730470000000001</v>
      </c>
      <c r="V4851">
        <v>3.3358220000000001E-2</v>
      </c>
      <c r="W4851">
        <v>1.4943349999999999E-2</v>
      </c>
      <c r="X4851">
        <v>0.99933170000000004</v>
      </c>
      <c r="Y4851">
        <v>7.0725650000000001E-2</v>
      </c>
      <c r="Z4851" s="1">
        <v>6.6090269999999896E-5</v>
      </c>
      <c r="AA4851">
        <v>0.99749580000000004</v>
      </c>
      <c r="AB4851">
        <v>23</v>
      </c>
      <c r="AC4851">
        <v>95.464399999999998</v>
      </c>
      <c r="AD4851">
        <v>0.234373</v>
      </c>
      <c r="AE4851">
        <v>-7.5854000000000203</v>
      </c>
      <c r="AF4851">
        <v>6.7886401754249999</v>
      </c>
      <c r="AG4851">
        <v>0.234373</v>
      </c>
      <c r="AH4851">
        <v>95.523790045566003</v>
      </c>
      <c r="AI4851">
        <v>89.859775520498502</v>
      </c>
      <c r="AJ4851">
        <v>85.934964676236106</v>
      </c>
      <c r="AK4851">
        <v>95.764998986080002</v>
      </c>
      <c r="AL4851">
        <v>89.143777211162501</v>
      </c>
      <c r="AM4851">
        <v>88.088146505358594</v>
      </c>
      <c r="AN4851">
        <v>0.99999996058783902</v>
      </c>
    </row>
    <row r="4852" spans="1:40" x14ac:dyDescent="0.25">
      <c r="A4852" t="str">
        <f>"20190312154020713"</f>
        <v>20190312154020713</v>
      </c>
      <c r="B4852" t="str">
        <f>"1552376420700755"</f>
        <v>1552376420700755</v>
      </c>
      <c r="C4852" t="s">
        <v>40</v>
      </c>
      <c r="D4852">
        <v>4.1276400000000004</v>
      </c>
      <c r="E4852">
        <v>0.5138509</v>
      </c>
      <c r="F4852" t="s">
        <v>75</v>
      </c>
      <c r="G4852">
        <v>-168.41079999999999</v>
      </c>
      <c r="H4852">
        <v>1.349348</v>
      </c>
      <c r="I4852">
        <v>206.93450000000001</v>
      </c>
      <c r="J4852">
        <v>-263.65159999999997</v>
      </c>
      <c r="K4852">
        <v>1.1103479999999999</v>
      </c>
      <c r="L4852">
        <v>214.4736</v>
      </c>
      <c r="M4852">
        <v>0.99987199999999998</v>
      </c>
      <c r="N4852">
        <v>0</v>
      </c>
      <c r="O4852">
        <v>-8.2736159999999993E-3</v>
      </c>
      <c r="P4852">
        <v>0.9991333</v>
      </c>
      <c r="Q4852">
        <v>9.0647679999999997E-4</v>
      </c>
      <c r="R4852">
        <v>-4.161633E-2</v>
      </c>
      <c r="S4852">
        <v>2.9927670000000002</v>
      </c>
      <c r="T4852">
        <v>7.4936150000000003E-3</v>
      </c>
      <c r="U4852">
        <v>-0.23640439999999999</v>
      </c>
      <c r="V4852">
        <v>3.3346460000000001E-2</v>
      </c>
      <c r="W4852">
        <v>1.4597199999999999E-2</v>
      </c>
      <c r="X4852">
        <v>0.99933729999999998</v>
      </c>
      <c r="Y4852">
        <v>7.0495020000000005E-2</v>
      </c>
      <c r="Z4852" s="1">
        <v>6.7434960000000005E-5</v>
      </c>
      <c r="AA4852">
        <v>0.99751210000000001</v>
      </c>
      <c r="AB4852">
        <v>23</v>
      </c>
      <c r="AC4852">
        <v>95.240799999999894</v>
      </c>
      <c r="AD4852">
        <v>0.23899999999999999</v>
      </c>
      <c r="AE4852">
        <v>-7.5390999999999897</v>
      </c>
      <c r="AF4852">
        <v>6.7507399619957198</v>
      </c>
      <c r="AG4852">
        <v>0.23899999999999999</v>
      </c>
      <c r="AH4852">
        <v>95.299324669631801</v>
      </c>
      <c r="AI4852">
        <v>89.856668085068804</v>
      </c>
      <c r="AJ4852">
        <v>85.948094144968394</v>
      </c>
      <c r="AK4852">
        <v>95.538426266724599</v>
      </c>
      <c r="AL4852">
        <v>89.163612386246101</v>
      </c>
      <c r="AM4852">
        <v>88.088830705901302</v>
      </c>
      <c r="AN4852">
        <v>1.00000005190682</v>
      </c>
    </row>
    <row r="4853" spans="1:40" x14ac:dyDescent="0.25">
      <c r="A4853" t="str">
        <f>"20190312154020735"</f>
        <v>20190312154020735</v>
      </c>
      <c r="B4853" t="str">
        <f>"1552376420731010"</f>
        <v>1552376420731010</v>
      </c>
      <c r="C4853" t="s">
        <v>40</v>
      </c>
      <c r="D4853">
        <v>4.0774150000000002</v>
      </c>
      <c r="E4853">
        <v>0.51374929999999996</v>
      </c>
      <c r="F4853" t="s">
        <v>75</v>
      </c>
      <c r="G4853">
        <v>-168.41079999999999</v>
      </c>
      <c r="H4853">
        <v>1.3149200000000001</v>
      </c>
      <c r="I4853">
        <v>206.98490000000001</v>
      </c>
      <c r="J4853">
        <v>-263.42099999999999</v>
      </c>
      <c r="K4853">
        <v>1.1103459999999901</v>
      </c>
      <c r="L4853">
        <v>214.4718</v>
      </c>
      <c r="M4853">
        <v>0.99987269999999995</v>
      </c>
      <c r="N4853">
        <v>0</v>
      </c>
      <c r="O4853">
        <v>-8.2029129999999992E-3</v>
      </c>
      <c r="P4853">
        <v>0.99914780000000003</v>
      </c>
      <c r="Q4853">
        <v>8.7958570000000002E-4</v>
      </c>
      <c r="R4853">
        <v>-4.1268409999999998E-2</v>
      </c>
      <c r="S4853">
        <v>2.9927980000000001</v>
      </c>
      <c r="T4853">
        <v>6.4294340000000004E-3</v>
      </c>
      <c r="U4853">
        <v>-0.235321</v>
      </c>
      <c r="V4853">
        <v>3.306928E-2</v>
      </c>
      <c r="W4853">
        <v>1.456812E-2</v>
      </c>
      <c r="X4853">
        <v>0.99934690000000004</v>
      </c>
      <c r="Y4853">
        <v>7.0205959999999998E-2</v>
      </c>
      <c r="Z4853" s="1">
        <v>5.7700259999999998E-5</v>
      </c>
      <c r="AA4853">
        <v>0.99753250000000004</v>
      </c>
      <c r="AB4853">
        <v>23</v>
      </c>
      <c r="AC4853">
        <v>95.010199999999998</v>
      </c>
      <c r="AD4853">
        <v>0.20457400000000001</v>
      </c>
      <c r="AE4853">
        <v>-7.4868999999999897</v>
      </c>
      <c r="AF4853">
        <v>6.7071837557937899</v>
      </c>
      <c r="AG4853">
        <v>0.20457400000000001</v>
      </c>
      <c r="AH4853">
        <v>95.067984943678795</v>
      </c>
      <c r="AI4853">
        <v>89.877012791880702</v>
      </c>
      <c r="AJ4853">
        <v>85.964386835069206</v>
      </c>
      <c r="AK4853">
        <v>95.304511570580999</v>
      </c>
      <c r="AL4853">
        <v>89.165278695449302</v>
      </c>
      <c r="AM4853">
        <v>88.104723146138895</v>
      </c>
      <c r="AN4853">
        <v>1.00000001696983</v>
      </c>
    </row>
    <row r="4854" spans="1:40" x14ac:dyDescent="0.25">
      <c r="A4854" t="str">
        <f>"20190312154020758"</f>
        <v>20190312154020758</v>
      </c>
      <c r="B4854" t="str">
        <f>"1552376420750530"</f>
        <v>1552376420750530</v>
      </c>
      <c r="C4854" t="s">
        <v>40</v>
      </c>
      <c r="D4854">
        <v>4.0482709999999997</v>
      </c>
      <c r="E4854">
        <v>0.51363040000000004</v>
      </c>
      <c r="F4854" t="s">
        <v>75</v>
      </c>
      <c r="G4854">
        <v>-168.41069999999999</v>
      </c>
      <c r="H4854">
        <v>1.31986</v>
      </c>
      <c r="I4854">
        <v>207.0626</v>
      </c>
      <c r="J4854">
        <v>-263.19479999999999</v>
      </c>
      <c r="K4854">
        <v>1.1103479999999999</v>
      </c>
      <c r="L4854">
        <v>214.47</v>
      </c>
      <c r="M4854">
        <v>0.99987329999999996</v>
      </c>
      <c r="N4854">
        <v>0</v>
      </c>
      <c r="O4854">
        <v>-8.1331679999999996E-3</v>
      </c>
      <c r="P4854">
        <v>0.99916329999999998</v>
      </c>
      <c r="Q4854">
        <v>1.044162E-3</v>
      </c>
      <c r="R4854">
        <v>-4.0890269999999999E-2</v>
      </c>
      <c r="S4854">
        <v>2.9929199999999998</v>
      </c>
      <c r="T4854">
        <v>6.6009759999999997E-3</v>
      </c>
      <c r="U4854">
        <v>-0.23339840000000001</v>
      </c>
      <c r="V4854">
        <v>3.2760650000000002E-2</v>
      </c>
      <c r="W4854">
        <v>1.4730699999999999E-2</v>
      </c>
      <c r="X4854">
        <v>0.99935469999999904</v>
      </c>
      <c r="Y4854">
        <v>6.9635440000000007E-2</v>
      </c>
      <c r="Z4854" s="1">
        <v>5.8764219999999997E-5</v>
      </c>
      <c r="AA4854">
        <v>0.99757249999999997</v>
      </c>
      <c r="AB4854">
        <v>23</v>
      </c>
      <c r="AC4854">
        <v>94.784099999999995</v>
      </c>
      <c r="AD4854">
        <v>0.209512</v>
      </c>
      <c r="AE4854">
        <v>-7.4073999999999902</v>
      </c>
      <c r="AF4854">
        <v>6.63615554059065</v>
      </c>
      <c r="AG4854">
        <v>0.209512</v>
      </c>
      <c r="AH4854">
        <v>94.840755149325403</v>
      </c>
      <c r="AI4854">
        <v>89.873737243654801</v>
      </c>
      <c r="AJ4854">
        <v>85.997448638223702</v>
      </c>
      <c r="AK4854">
        <v>95.072873591426401</v>
      </c>
      <c r="AL4854">
        <v>89.155962563334498</v>
      </c>
      <c r="AM4854">
        <v>88.122413368461295</v>
      </c>
      <c r="AN4854">
        <v>1.0000000350614999</v>
      </c>
    </row>
    <row r="4855" spans="1:40" x14ac:dyDescent="0.25">
      <c r="A4855" t="str">
        <f>"20190312154020780"</f>
        <v>20190312154020780</v>
      </c>
      <c r="B4855" t="str">
        <f>"1552376420771026"</f>
        <v>1552376420771026</v>
      </c>
      <c r="C4855" t="s">
        <v>40</v>
      </c>
      <c r="D4855">
        <v>4.0115489999999996</v>
      </c>
      <c r="E4855">
        <v>0.50868119999999994</v>
      </c>
      <c r="F4855" t="s">
        <v>75</v>
      </c>
      <c r="G4855">
        <v>-168.41069999999999</v>
      </c>
      <c r="H4855">
        <v>1.250988</v>
      </c>
      <c r="I4855">
        <v>207.1396</v>
      </c>
      <c r="J4855">
        <v>-262.96749999999997</v>
      </c>
      <c r="K4855">
        <v>1.110347</v>
      </c>
      <c r="L4855">
        <v>214.4683</v>
      </c>
      <c r="M4855">
        <v>0.99987389999999998</v>
      </c>
      <c r="N4855">
        <v>0</v>
      </c>
      <c r="O4855">
        <v>-8.0634209999999994E-3</v>
      </c>
      <c r="P4855">
        <v>0.99918079999999998</v>
      </c>
      <c r="Q4855">
        <v>1.2052689999999999E-3</v>
      </c>
      <c r="R4855">
        <v>-4.0456510000000001E-2</v>
      </c>
      <c r="S4855">
        <v>2.993042</v>
      </c>
      <c r="T4855">
        <v>4.4420960000000004E-3</v>
      </c>
      <c r="U4855">
        <v>-0.23147580000000001</v>
      </c>
      <c r="V4855">
        <v>3.2396399999999999E-2</v>
      </c>
      <c r="W4855">
        <v>1.488947E-2</v>
      </c>
      <c r="X4855">
        <v>0.99936420000000004</v>
      </c>
      <c r="Y4855">
        <v>6.9064990000000007E-2</v>
      </c>
      <c r="Z4855" s="1">
        <v>3.9225150000000002E-5</v>
      </c>
      <c r="AA4855">
        <v>0.99761219999999995</v>
      </c>
      <c r="AB4855">
        <v>23</v>
      </c>
      <c r="AC4855">
        <v>94.556799999999896</v>
      </c>
      <c r="AD4855">
        <v>0.14064099999999999</v>
      </c>
      <c r="AE4855">
        <v>-7.3286999999999898</v>
      </c>
      <c r="AF4855">
        <v>6.5659246121112496</v>
      </c>
      <c r="AG4855">
        <v>0.14064099999999999</v>
      </c>
      <c r="AH4855">
        <v>94.612617257249497</v>
      </c>
      <c r="AI4855">
        <v>89.915034637407402</v>
      </c>
      <c r="AJ4855">
        <v>86.030153451901995</v>
      </c>
      <c r="AK4855">
        <v>94.840278838527198</v>
      </c>
      <c r="AL4855">
        <v>89.146864696649303</v>
      </c>
      <c r="AM4855">
        <v>88.143292299824793</v>
      </c>
      <c r="AN4855">
        <v>1.0000000136457401</v>
      </c>
    </row>
    <row r="4856" spans="1:40" x14ac:dyDescent="0.25">
      <c r="A4856" t="str">
        <f>"20190312154020803"</f>
        <v>20190312154020803</v>
      </c>
      <c r="B4856" t="str">
        <f>"1552376420790546"</f>
        <v>1552376420790546</v>
      </c>
      <c r="C4856" t="s">
        <v>40</v>
      </c>
      <c r="D4856">
        <v>3.9863650000000002</v>
      </c>
      <c r="E4856">
        <v>0.50746409999999997</v>
      </c>
      <c r="F4856" t="s">
        <v>41</v>
      </c>
      <c r="G4856">
        <v>-262.09350000000001</v>
      </c>
      <c r="H4856">
        <v>0.99633340000000004</v>
      </c>
      <c r="I4856">
        <v>214.416</v>
      </c>
      <c r="J4856">
        <v>-262.7441</v>
      </c>
      <c r="K4856">
        <v>1.110352</v>
      </c>
      <c r="L4856">
        <v>214.4666</v>
      </c>
      <c r="M4856">
        <v>0.99987440000000005</v>
      </c>
      <c r="N4856">
        <v>0</v>
      </c>
      <c r="O4856">
        <v>-7.9947449999999993E-3</v>
      </c>
      <c r="P4856">
        <v>0.99920949999999997</v>
      </c>
      <c r="Q4856">
        <v>1.148727E-3</v>
      </c>
      <c r="R4856">
        <v>-3.9740499999999998E-2</v>
      </c>
      <c r="S4856">
        <v>2.9956670000000001</v>
      </c>
      <c r="T4856">
        <v>-0.39076860000000002</v>
      </c>
      <c r="U4856">
        <v>-0.1791992</v>
      </c>
      <c r="V4856">
        <v>3.174896E-2</v>
      </c>
      <c r="W4856">
        <v>1.483082E-2</v>
      </c>
      <c r="X4856">
        <v>0.99938579999999999</v>
      </c>
      <c r="Y4856">
        <v>5.1363539999999999E-2</v>
      </c>
      <c r="Z4856">
        <v>-2.2953919999999998E-3</v>
      </c>
      <c r="AA4856">
        <v>0.99867740000000005</v>
      </c>
      <c r="AB4856">
        <v>23</v>
      </c>
      <c r="AC4856">
        <v>0.65059999999999696</v>
      </c>
      <c r="AD4856">
        <v>-0.114018599999999</v>
      </c>
      <c r="AE4856">
        <v>-5.0600000000002802E-2</v>
      </c>
      <c r="AF4856">
        <v>4.4051686354585701E-2</v>
      </c>
      <c r="AG4856">
        <v>-0.114018599999999</v>
      </c>
      <c r="AH4856">
        <v>0.63169900802325396</v>
      </c>
      <c r="AI4856">
        <v>100.207184698487</v>
      </c>
      <c r="AJ4856">
        <v>86.010922600025793</v>
      </c>
      <c r="AK4856">
        <v>0.64341621750947997</v>
      </c>
      <c r="AL4856">
        <v>89.150225422514197</v>
      </c>
      <c r="AM4856">
        <v>88.180412587891297</v>
      </c>
      <c r="AN4856">
        <v>0.99999996346229603</v>
      </c>
    </row>
    <row r="4857" spans="1:40" x14ac:dyDescent="0.25">
      <c r="A4857" t="str">
        <f>"20190312154020826"</f>
        <v>20190312154020826</v>
      </c>
      <c r="B4857" t="str">
        <f>"1552376420820802"</f>
        <v>1552376420820802</v>
      </c>
      <c r="C4857" t="s">
        <v>40</v>
      </c>
      <c r="D4857">
        <v>3.892198</v>
      </c>
      <c r="E4857">
        <v>0.50839920000000005</v>
      </c>
      <c r="F4857" t="s">
        <v>41</v>
      </c>
      <c r="G4857">
        <v>-261.91390000000001</v>
      </c>
      <c r="H4857">
        <v>0.95202699999999996</v>
      </c>
      <c r="I4857">
        <v>214.42160000000001</v>
      </c>
      <c r="J4857">
        <v>-262.5129</v>
      </c>
      <c r="K4857">
        <v>1.110355</v>
      </c>
      <c r="L4857">
        <v>214.4648</v>
      </c>
      <c r="M4857">
        <v>0.99987510000000002</v>
      </c>
      <c r="N4857">
        <v>0</v>
      </c>
      <c r="O4857">
        <v>-7.9238050000000008E-3</v>
      </c>
      <c r="P4857">
        <v>0.99921099999999996</v>
      </c>
      <c r="Q4857">
        <v>9.8064260000000009E-4</v>
      </c>
      <c r="R4857">
        <v>-3.970663E-2</v>
      </c>
      <c r="S4857">
        <v>2.9965820000000001</v>
      </c>
      <c r="T4857">
        <v>-0.57141969999999997</v>
      </c>
      <c r="U4857">
        <v>-0.16229250000000001</v>
      </c>
      <c r="V4857">
        <v>3.1786059999999998E-2</v>
      </c>
      <c r="W4857">
        <v>1.466014E-2</v>
      </c>
      <c r="X4857">
        <v>0.99938720000000003</v>
      </c>
      <c r="Y4857">
        <v>4.549044E-2</v>
      </c>
      <c r="Z4857">
        <v>-2.7990210000000001E-3</v>
      </c>
      <c r="AA4857">
        <v>0.99896090000000004</v>
      </c>
      <c r="AB4857">
        <v>23</v>
      </c>
      <c r="AC4857">
        <v>0.59899999999998899</v>
      </c>
      <c r="AD4857">
        <v>-0.158327999999999</v>
      </c>
      <c r="AE4857">
        <v>-4.3199999999984501E-2</v>
      </c>
      <c r="AF4857">
        <v>3.5952971193847397E-2</v>
      </c>
      <c r="AG4857">
        <v>-0.158327999999999</v>
      </c>
      <c r="AH4857">
        <v>0.56037530069636399</v>
      </c>
      <c r="AI4857">
        <v>105.746302036564</v>
      </c>
      <c r="AJ4857">
        <v>86.3290066921506</v>
      </c>
      <c r="AK4857">
        <v>0.58342167370796805</v>
      </c>
      <c r="AL4857">
        <v>89.160005781058004</v>
      </c>
      <c r="AM4857">
        <v>88.178290305286097</v>
      </c>
      <c r="AN4857">
        <v>1.00000002441949</v>
      </c>
    </row>
    <row r="4858" spans="1:40" x14ac:dyDescent="0.25">
      <c r="A4858" t="str">
        <f>"20190312154020849"</f>
        <v>20190312154020849</v>
      </c>
      <c r="B4858" t="str">
        <f>"1552376420841298"</f>
        <v>1552376420841298</v>
      </c>
      <c r="C4858" t="s">
        <v>40</v>
      </c>
      <c r="D4858">
        <v>3.8943919999999999</v>
      </c>
      <c r="E4858">
        <v>0.50848779999999905</v>
      </c>
      <c r="F4858" t="s">
        <v>41</v>
      </c>
      <c r="G4858">
        <v>-261.73169999999999</v>
      </c>
      <c r="H4858">
        <v>0.91202899999999998</v>
      </c>
      <c r="I4858">
        <v>214.42189999999999</v>
      </c>
      <c r="J4858">
        <v>-262.28160000000003</v>
      </c>
      <c r="K4858">
        <v>1.110352</v>
      </c>
      <c r="L4858">
        <v>214.46299999999999</v>
      </c>
      <c r="M4858">
        <v>0.99987570000000003</v>
      </c>
      <c r="N4858">
        <v>0</v>
      </c>
      <c r="O4858">
        <v>-7.8520240000000009E-3</v>
      </c>
      <c r="P4858">
        <v>0.99920739999999997</v>
      </c>
      <c r="Q4858">
        <v>1.1109640000000001E-3</v>
      </c>
      <c r="R4858">
        <v>-3.9792910000000001E-2</v>
      </c>
      <c r="S4858">
        <v>2.9965519999999999</v>
      </c>
      <c r="T4858">
        <v>-0.7607235</v>
      </c>
      <c r="U4858">
        <v>-0.1640472</v>
      </c>
      <c r="V4858">
        <v>3.1944069999999998E-2</v>
      </c>
      <c r="W4858">
        <v>1.478792E-2</v>
      </c>
      <c r="X4858">
        <v>0.99938020000000005</v>
      </c>
      <c r="Y4858">
        <v>4.5626239999999998E-2</v>
      </c>
      <c r="Z4858">
        <v>-3.7360850000000001E-3</v>
      </c>
      <c r="AA4858">
        <v>0.99895160000000005</v>
      </c>
      <c r="AB4858">
        <v>22</v>
      </c>
      <c r="AC4858">
        <v>0.54990000000003603</v>
      </c>
      <c r="AD4858">
        <v>-0.198322999999999</v>
      </c>
      <c r="AE4858">
        <v>-4.1100000000000102E-2</v>
      </c>
      <c r="AF4858">
        <v>3.2567909960959797E-2</v>
      </c>
      <c r="AG4858">
        <v>-0.198322999999999</v>
      </c>
      <c r="AH4858">
        <v>0.48718892292500099</v>
      </c>
      <c r="AI4858">
        <v>112.105496527418</v>
      </c>
      <c r="AJ4858">
        <v>86.175545936142797</v>
      </c>
      <c r="AK4858">
        <v>0.52701587045272902</v>
      </c>
      <c r="AL4858">
        <v>89.152683665628302</v>
      </c>
      <c r="AM4858">
        <v>88.169227833514</v>
      </c>
      <c r="AN4858">
        <v>0.99999994516906399</v>
      </c>
    </row>
    <row r="4859" spans="1:40" x14ac:dyDescent="0.25">
      <c r="A4859" t="str">
        <f>"20190312154020869"</f>
        <v>20190312154020869</v>
      </c>
      <c r="B4859" t="str">
        <f>"1552376420860818"</f>
        <v>1552376420860818</v>
      </c>
      <c r="C4859" t="s">
        <v>40</v>
      </c>
      <c r="D4859">
        <v>3.879756</v>
      </c>
      <c r="E4859">
        <v>0.50885179999999997</v>
      </c>
      <c r="F4859" t="s">
        <v>41</v>
      </c>
      <c r="G4859">
        <v>-261.5342</v>
      </c>
      <c r="H4859">
        <v>0.90499600000000002</v>
      </c>
      <c r="I4859">
        <v>214.42230000000001</v>
      </c>
      <c r="J4859">
        <v>-262.07330000000002</v>
      </c>
      <c r="K4859">
        <v>1.110357</v>
      </c>
      <c r="L4859">
        <v>214.4615</v>
      </c>
      <c r="M4859">
        <v>0.99987619999999999</v>
      </c>
      <c r="N4859">
        <v>0</v>
      </c>
      <c r="O4859">
        <v>-7.7859599999999998E-3</v>
      </c>
      <c r="P4859">
        <v>0.99919380000000002</v>
      </c>
      <c r="Q4859">
        <v>1.048792E-3</v>
      </c>
      <c r="R4859">
        <v>-4.0139429999999997E-2</v>
      </c>
      <c r="S4859">
        <v>2.996826</v>
      </c>
      <c r="T4859">
        <v>-0.82335630000000004</v>
      </c>
      <c r="U4859">
        <v>-0.16336059999999999</v>
      </c>
      <c r="V4859">
        <v>3.2356410000000002E-2</v>
      </c>
      <c r="W4859">
        <v>1.472355E-2</v>
      </c>
      <c r="X4859">
        <v>0.99936800000000003</v>
      </c>
      <c r="Y4859">
        <v>4.5268870000000003E-2</v>
      </c>
      <c r="Z4859">
        <v>-4.0024190000000001E-3</v>
      </c>
      <c r="AA4859">
        <v>0.99896680000000004</v>
      </c>
      <c r="AB4859">
        <v>22</v>
      </c>
      <c r="AC4859">
        <v>0.53910000000001901</v>
      </c>
      <c r="AD4859">
        <v>-0.20536099999999999</v>
      </c>
      <c r="AE4859">
        <v>-3.9199999999993899E-2</v>
      </c>
      <c r="AF4859">
        <v>3.0586015439637501E-2</v>
      </c>
      <c r="AG4859">
        <v>-0.20536099999999999</v>
      </c>
      <c r="AH4859">
        <v>0.47135091080557401</v>
      </c>
      <c r="AI4859">
        <v>113.4980363671</v>
      </c>
      <c r="AJ4859">
        <v>86.287275453164398</v>
      </c>
      <c r="AK4859">
        <v>0.51505371154736701</v>
      </c>
      <c r="AL4859">
        <v>89.156372293455306</v>
      </c>
      <c r="AM4859">
        <v>88.145589658241903</v>
      </c>
      <c r="AN4859">
        <v>1.0000000598083401</v>
      </c>
    </row>
    <row r="4860" spans="1:40" x14ac:dyDescent="0.25">
      <c r="A4860" t="str">
        <f>"20190312154020892"</f>
        <v>20190312154020892</v>
      </c>
      <c r="B4860" t="str">
        <f>"1552376420880337"</f>
        <v>1552376420880337</v>
      </c>
      <c r="C4860" t="s">
        <v>40</v>
      </c>
      <c r="D4860">
        <v>3.8561380000000001</v>
      </c>
      <c r="E4860">
        <v>0.50938570000000005</v>
      </c>
      <c r="F4860" t="s">
        <v>41</v>
      </c>
      <c r="G4860">
        <v>-261.33690000000001</v>
      </c>
      <c r="H4860">
        <v>0.89813169999999898</v>
      </c>
      <c r="I4860">
        <v>214.4203</v>
      </c>
      <c r="J4860">
        <v>-261.85340000000002</v>
      </c>
      <c r="K4860">
        <v>1.1103609999999999</v>
      </c>
      <c r="L4860">
        <v>214.4598</v>
      </c>
      <c r="M4860">
        <v>0.99987669999999995</v>
      </c>
      <c r="N4860">
        <v>0</v>
      </c>
      <c r="O4860">
        <v>-7.7141589999999999E-3</v>
      </c>
      <c r="P4860">
        <v>0.99918149999999994</v>
      </c>
      <c r="Q4860">
        <v>1.474639E-3</v>
      </c>
      <c r="R4860">
        <v>-4.0430920000000002E-2</v>
      </c>
      <c r="S4860">
        <v>2.9966430000000002</v>
      </c>
      <c r="T4860">
        <v>-0.86366549999999997</v>
      </c>
      <c r="U4860">
        <v>-0.16632079999999999</v>
      </c>
      <c r="V4860">
        <v>3.27198E-2</v>
      </c>
      <c r="W4860">
        <v>1.5146929999999999E-2</v>
      </c>
      <c r="X4860">
        <v>0.99934979999999995</v>
      </c>
      <c r="Y4860">
        <v>4.6152699999999998E-2</v>
      </c>
      <c r="Z4860">
        <v>-4.3360229999999996E-3</v>
      </c>
      <c r="AA4860">
        <v>0.99892499999999995</v>
      </c>
      <c r="AB4860">
        <v>22</v>
      </c>
      <c r="AC4860">
        <v>0.51650000000000695</v>
      </c>
      <c r="AD4860">
        <v>-0.21222930000000001</v>
      </c>
      <c r="AE4860">
        <v>-3.9500000000003803E-2</v>
      </c>
      <c r="AF4860">
        <v>3.0409641514670301E-2</v>
      </c>
      <c r="AG4860">
        <v>-0.21222930000000001</v>
      </c>
      <c r="AH4860">
        <v>0.44251112713353802</v>
      </c>
      <c r="AI4860">
        <v>115.56988890404401</v>
      </c>
      <c r="AJ4860">
        <v>86.068778839785907</v>
      </c>
      <c r="AK4860">
        <v>0.49171345284884599</v>
      </c>
      <c r="AL4860">
        <v>89.132111666032699</v>
      </c>
      <c r="AM4860">
        <v>88.124743713213505</v>
      </c>
      <c r="AN4860">
        <v>1.00000001878025</v>
      </c>
    </row>
    <row r="4861" spans="1:40" x14ac:dyDescent="0.25">
      <c r="A4861" t="str">
        <f>"20190312154020914"</f>
        <v>20190312154020914</v>
      </c>
      <c r="B4861" t="str">
        <f>"1552376420910595"</f>
        <v>1552376420910595</v>
      </c>
      <c r="C4861" t="s">
        <v>40</v>
      </c>
      <c r="D4861">
        <v>3.859432</v>
      </c>
      <c r="E4861">
        <v>0.50964739999999997</v>
      </c>
      <c r="F4861" t="s">
        <v>41</v>
      </c>
      <c r="G4861">
        <v>-261.13729999999998</v>
      </c>
      <c r="H4861">
        <v>0.89704619999999902</v>
      </c>
      <c r="I4861">
        <v>214.41900000000001</v>
      </c>
      <c r="J4861">
        <v>-261.62950000000001</v>
      </c>
      <c r="K4861">
        <v>1.110363</v>
      </c>
      <c r="L4861">
        <v>214.45820000000001</v>
      </c>
      <c r="M4861">
        <v>0.99987740000000003</v>
      </c>
      <c r="N4861">
        <v>0</v>
      </c>
      <c r="O4861">
        <v>-7.6362590000000003E-3</v>
      </c>
      <c r="P4861">
        <v>0.99916119999999997</v>
      </c>
      <c r="Q4861">
        <v>1.3415110000000001E-3</v>
      </c>
      <c r="R4861">
        <v>-4.0930590000000003E-2</v>
      </c>
      <c r="S4861">
        <v>2.9968870000000001</v>
      </c>
      <c r="T4861">
        <v>-0.89264539999999903</v>
      </c>
      <c r="U4861">
        <v>-0.17048650000000001</v>
      </c>
      <c r="V4861">
        <v>3.3297529999999999E-2</v>
      </c>
      <c r="W4861">
        <v>1.501153E-2</v>
      </c>
      <c r="X4861">
        <v>0.99933269999999996</v>
      </c>
      <c r="Y4861">
        <v>4.7446929999999998E-2</v>
      </c>
      <c r="Z4861">
        <v>-4.6862579999999996E-3</v>
      </c>
      <c r="AA4861">
        <v>0.99886269999999999</v>
      </c>
      <c r="AB4861">
        <v>22</v>
      </c>
      <c r="AC4861">
        <v>0.49220000000002501</v>
      </c>
      <c r="AD4861">
        <v>-0.2133168</v>
      </c>
      <c r="AE4861">
        <v>-3.9199999999993899E-2</v>
      </c>
      <c r="AF4861">
        <v>2.98656131844043E-2</v>
      </c>
      <c r="AG4861">
        <v>-0.2133168</v>
      </c>
      <c r="AH4861">
        <v>0.41502235678718502</v>
      </c>
      <c r="AI4861">
        <v>117.142536062414</v>
      </c>
      <c r="AJ4861">
        <v>85.884007305123305</v>
      </c>
      <c r="AK4861">
        <v>0.46758910236051299</v>
      </c>
      <c r="AL4861">
        <v>89.139870344664104</v>
      </c>
      <c r="AM4861">
        <v>88.091624154042606</v>
      </c>
      <c r="AN4861">
        <v>0.99999995841316502</v>
      </c>
    </row>
    <row r="4862" spans="1:40" x14ac:dyDescent="0.25">
      <c r="A4862" t="str">
        <f>"20190312154020936"</f>
        <v>20190312154020936</v>
      </c>
      <c r="B4862" t="str">
        <f>"1552376420931090"</f>
        <v>1552376420931090</v>
      </c>
      <c r="C4862" t="s">
        <v>40</v>
      </c>
      <c r="D4862">
        <v>3.8123939999999998</v>
      </c>
      <c r="E4862">
        <v>0.50968639999999998</v>
      </c>
      <c r="F4862" t="s">
        <v>41</v>
      </c>
      <c r="G4862">
        <v>-260.93720000000002</v>
      </c>
      <c r="H4862">
        <v>0.89759449999999996</v>
      </c>
      <c r="I4862">
        <v>214.41810000000001</v>
      </c>
      <c r="J4862">
        <v>-261.40300000000002</v>
      </c>
      <c r="K4862">
        <v>1.110368</v>
      </c>
      <c r="L4862">
        <v>214.45660000000001</v>
      </c>
      <c r="M4862">
        <v>0.99987800000000004</v>
      </c>
      <c r="N4862">
        <v>0</v>
      </c>
      <c r="O4862">
        <v>-7.5502210000000002E-3</v>
      </c>
      <c r="P4862">
        <v>0.9991314</v>
      </c>
      <c r="Q4862">
        <v>1.1592849999999999E-3</v>
      </c>
      <c r="R4862">
        <v>-4.1657230000000003E-2</v>
      </c>
      <c r="S4862">
        <v>2.9966740000000001</v>
      </c>
      <c r="T4862">
        <v>-0.92105809999999999</v>
      </c>
      <c r="U4862">
        <v>-0.17280580000000001</v>
      </c>
      <c r="V4862">
        <v>3.4110139999999997E-2</v>
      </c>
      <c r="W4862">
        <v>1.482701E-2</v>
      </c>
      <c r="X4862">
        <v>0.99930810000000003</v>
      </c>
      <c r="Y4862">
        <v>4.8161500000000003E-2</v>
      </c>
      <c r="Z4862">
        <v>-4.9622579999999998E-3</v>
      </c>
      <c r="AA4862">
        <v>0.99882720000000003</v>
      </c>
      <c r="AB4862">
        <v>22</v>
      </c>
      <c r="AC4862">
        <v>0.46580000000000099</v>
      </c>
      <c r="AD4862">
        <v>-0.2127735</v>
      </c>
      <c r="AE4862">
        <v>-3.8499999999999E-2</v>
      </c>
      <c r="AF4862">
        <v>2.8976510079195501E-2</v>
      </c>
      <c r="AG4862">
        <v>-0.2127735</v>
      </c>
      <c r="AH4862">
        <v>0.386067711497185</v>
      </c>
      <c r="AI4862">
        <v>118.792499212604</v>
      </c>
      <c r="AJ4862">
        <v>85.707683823660602</v>
      </c>
      <c r="AK4862">
        <v>0.44176971184010999</v>
      </c>
      <c r="AL4862">
        <v>89.150443783242494</v>
      </c>
      <c r="AM4862">
        <v>88.045038791309295</v>
      </c>
      <c r="AN4862">
        <v>1.0000000103009801</v>
      </c>
    </row>
    <row r="4863" spans="1:40" x14ac:dyDescent="0.25">
      <c r="A4863" t="str">
        <f>"20190312154020960"</f>
        <v>20190312154020960</v>
      </c>
      <c r="B4863" t="str">
        <f>"1552376420950626"</f>
        <v>1552376420950626</v>
      </c>
      <c r="C4863" t="s">
        <v>40</v>
      </c>
      <c r="D4863">
        <v>3.8499989999999999</v>
      </c>
      <c r="E4863">
        <v>0.50974889999999995</v>
      </c>
      <c r="F4863" t="s">
        <v>41</v>
      </c>
      <c r="G4863">
        <v>-260.73559999999998</v>
      </c>
      <c r="H4863">
        <v>0.90217009999999997</v>
      </c>
      <c r="I4863">
        <v>214.41749999999999</v>
      </c>
      <c r="J4863">
        <v>-261.17619999999999</v>
      </c>
      <c r="K4863">
        <v>1.110376</v>
      </c>
      <c r="L4863">
        <v>214.45500000000001</v>
      </c>
      <c r="M4863">
        <v>0.99987890000000001</v>
      </c>
      <c r="N4863">
        <v>0</v>
      </c>
      <c r="O4863">
        <v>-7.4519829999999997E-3</v>
      </c>
      <c r="P4863">
        <v>0.99911139999999998</v>
      </c>
      <c r="Q4863">
        <v>9.1284700000000005E-4</v>
      </c>
      <c r="R4863">
        <v>-4.2142310000000002E-2</v>
      </c>
      <c r="S4863">
        <v>2.996429</v>
      </c>
      <c r="T4863">
        <v>-0.93473989999999996</v>
      </c>
      <c r="U4863">
        <v>-0.175293</v>
      </c>
      <c r="V4863">
        <v>3.4693450000000001E-2</v>
      </c>
      <c r="W4863">
        <v>1.4578610000000001E-2</v>
      </c>
      <c r="X4863">
        <v>0.9992917</v>
      </c>
      <c r="Y4863">
        <v>4.8991739999999999E-2</v>
      </c>
      <c r="Z4863">
        <v>-5.1892350000000004E-3</v>
      </c>
      <c r="AA4863">
        <v>0.9987857</v>
      </c>
      <c r="AB4863">
        <v>22</v>
      </c>
      <c r="AC4863">
        <v>0.44060000000001698</v>
      </c>
      <c r="AD4863">
        <v>-0.2082059</v>
      </c>
      <c r="AE4863">
        <v>-3.7500000000022703E-2</v>
      </c>
      <c r="AF4863">
        <v>2.8006347807667E-2</v>
      </c>
      <c r="AG4863">
        <v>-0.2082059</v>
      </c>
      <c r="AH4863">
        <v>0.360864239477935</v>
      </c>
      <c r="AI4863">
        <v>119.909013497904</v>
      </c>
      <c r="AJ4863">
        <v>85.562221851194906</v>
      </c>
      <c r="AK4863">
        <v>0.41756083586265902</v>
      </c>
      <c r="AL4863">
        <v>89.164677615225898</v>
      </c>
      <c r="AM4863">
        <v>88.011601433581305</v>
      </c>
      <c r="AN4863">
        <v>1.0000000365156601</v>
      </c>
    </row>
    <row r="4864" spans="1:40" x14ac:dyDescent="0.25">
      <c r="A4864" t="str">
        <f>"20190312154020980"</f>
        <v>20190312154020980</v>
      </c>
      <c r="B4864" t="str">
        <f>"1552376420971107"</f>
        <v>1552376420971107</v>
      </c>
      <c r="C4864" t="s">
        <v>40</v>
      </c>
      <c r="D4864">
        <v>3.8140749999999999</v>
      </c>
      <c r="E4864">
        <v>0.50968040000000003</v>
      </c>
      <c r="F4864" t="s">
        <v>41</v>
      </c>
      <c r="G4864">
        <v>-260.35890000000001</v>
      </c>
      <c r="H4864">
        <v>0.85214829999999997</v>
      </c>
      <c r="I4864">
        <v>214.4067</v>
      </c>
      <c r="J4864">
        <v>-260.96390000000002</v>
      </c>
      <c r="K4864">
        <v>1.110376</v>
      </c>
      <c r="L4864">
        <v>214.45349999999999</v>
      </c>
      <c r="M4864">
        <v>0.99987979999999999</v>
      </c>
      <c r="N4864">
        <v>0</v>
      </c>
      <c r="O4864">
        <v>-7.3470499999999999E-3</v>
      </c>
      <c r="P4864">
        <v>0.99910330000000003</v>
      </c>
      <c r="Q4864">
        <v>1.0456389999999999E-3</v>
      </c>
      <c r="R4864">
        <v>-4.2330670000000001E-2</v>
      </c>
      <c r="S4864">
        <v>2.9960629999999999</v>
      </c>
      <c r="T4864">
        <v>-0.94662440000000003</v>
      </c>
      <c r="U4864">
        <v>-0.17677309999999999</v>
      </c>
      <c r="V4864">
        <v>3.4986440000000001E-2</v>
      </c>
      <c r="W4864">
        <v>1.4709720000000001E-2</v>
      </c>
      <c r="X4864">
        <v>0.99927949999999999</v>
      </c>
      <c r="Y4864">
        <v>4.951527E-2</v>
      </c>
      <c r="Z4864">
        <v>-5.365725E-3</v>
      </c>
      <c r="AA4864">
        <v>0.99875899999999995</v>
      </c>
      <c r="AB4864">
        <v>22</v>
      </c>
      <c r="AC4864">
        <v>0.60500000000001797</v>
      </c>
      <c r="AD4864">
        <v>-0.2582277</v>
      </c>
      <c r="AE4864">
        <v>-4.6799999999990398E-2</v>
      </c>
      <c r="AF4864">
        <v>3.5859431627050797E-2</v>
      </c>
      <c r="AG4864">
        <v>-0.2582277</v>
      </c>
      <c r="AH4864">
        <v>0.51251431105688905</v>
      </c>
      <c r="AI4864">
        <v>116.684838262257</v>
      </c>
      <c r="AJ4864">
        <v>85.997670465842504</v>
      </c>
      <c r="AK4864">
        <v>0.57501161981478499</v>
      </c>
      <c r="AL4864">
        <v>89.157164706676795</v>
      </c>
      <c r="AM4864">
        <v>87.994798378826204</v>
      </c>
      <c r="AN4864">
        <v>0.99999997298330001</v>
      </c>
    </row>
    <row r="4865" spans="1:40" x14ac:dyDescent="0.25">
      <c r="A4865" t="str">
        <f>"20190312154021003"</f>
        <v>20190312154021003</v>
      </c>
      <c r="B4865" t="str">
        <f>"1552376421000386"</f>
        <v>1552376421000386</v>
      </c>
      <c r="C4865" t="s">
        <v>40</v>
      </c>
      <c r="D4865">
        <v>3.8379829999999999</v>
      </c>
      <c r="E4865">
        <v>0.50049120000000002</v>
      </c>
      <c r="F4865" t="s">
        <v>41</v>
      </c>
      <c r="G4865">
        <v>-260.15899999999999</v>
      </c>
      <c r="H4865">
        <v>0.85497259999999997</v>
      </c>
      <c r="I4865">
        <v>214.4057</v>
      </c>
      <c r="J4865">
        <v>-260.7389</v>
      </c>
      <c r="K4865">
        <v>1.1103829999999999</v>
      </c>
      <c r="L4865">
        <v>214.452</v>
      </c>
      <c r="M4865">
        <v>0.99988060000000001</v>
      </c>
      <c r="N4865">
        <v>0</v>
      </c>
      <c r="O4865">
        <v>-7.2230269999999999E-3</v>
      </c>
      <c r="P4865">
        <v>0.99911870000000003</v>
      </c>
      <c r="Q4865">
        <v>4.1236639999999998E-4</v>
      </c>
      <c r="R4865">
        <v>-4.19748E-2</v>
      </c>
      <c r="S4865">
        <v>2.9961850000000001</v>
      </c>
      <c r="T4865">
        <v>-0.95072979999999996</v>
      </c>
      <c r="U4865">
        <v>-0.17710879999999901</v>
      </c>
      <c r="V4865">
        <v>3.4754010000000002E-2</v>
      </c>
      <c r="W4865">
        <v>1.4075590000000001E-2</v>
      </c>
      <c r="X4865">
        <v>0.99929679999999999</v>
      </c>
      <c r="Y4865">
        <v>4.9715200000000001E-2</v>
      </c>
      <c r="Z4865">
        <v>-5.4569980000000002E-3</v>
      </c>
      <c r="AA4865">
        <v>0.99874850000000004</v>
      </c>
      <c r="AB4865">
        <v>22</v>
      </c>
      <c r="AC4865">
        <v>0.57990000000000896</v>
      </c>
      <c r="AD4865">
        <v>-0.25541039999999898</v>
      </c>
      <c r="AE4865">
        <v>-4.6300000000002201E-2</v>
      </c>
      <c r="AF4865">
        <v>3.5304551219405497E-2</v>
      </c>
      <c r="AG4865">
        <v>-0.25541039999999898</v>
      </c>
      <c r="AH4865">
        <v>0.486452052620586</v>
      </c>
      <c r="AI4865">
        <v>117.639706478915</v>
      </c>
      <c r="AJ4865">
        <v>85.849002094433501</v>
      </c>
      <c r="AK4865">
        <v>0.55056015408286196</v>
      </c>
      <c r="AL4865">
        <v>89.193501489830396</v>
      </c>
      <c r="AM4865">
        <v>88.008143486783794</v>
      </c>
      <c r="AN4865">
        <v>1.0000000289675799</v>
      </c>
    </row>
    <row r="4866" spans="1:40" x14ac:dyDescent="0.25">
      <c r="A4866" t="str">
        <f>"20190312154021027"</f>
        <v>20190312154021027</v>
      </c>
      <c r="B4866" t="str">
        <f>"1552376421020882"</f>
        <v>1552376421020882</v>
      </c>
      <c r="C4866" t="s">
        <v>40</v>
      </c>
      <c r="D4866">
        <v>3.8425919999999998</v>
      </c>
      <c r="E4866">
        <v>0.49937359999999997</v>
      </c>
      <c r="F4866" t="s">
        <v>41</v>
      </c>
      <c r="G4866">
        <v>-259.98039999999997</v>
      </c>
      <c r="H4866">
        <v>0.80404069999999905</v>
      </c>
      <c r="I4866">
        <v>214.42760000000001</v>
      </c>
      <c r="J4866">
        <v>-260.50729999999999</v>
      </c>
      <c r="K4866">
        <v>1.1103860000000001</v>
      </c>
      <c r="L4866">
        <v>214.45050000000001</v>
      </c>
      <c r="M4866">
        <v>0.99988160000000004</v>
      </c>
      <c r="N4866">
        <v>0</v>
      </c>
      <c r="O4866">
        <v>-7.0814850000000002E-3</v>
      </c>
      <c r="P4866">
        <v>0.99915350000000003</v>
      </c>
      <c r="Q4866">
        <v>4.8227699999999998E-4</v>
      </c>
      <c r="R4866">
        <v>-4.1137460000000001E-2</v>
      </c>
      <c r="S4866">
        <v>2.9991150000000002</v>
      </c>
      <c r="T4866">
        <v>-1.211263</v>
      </c>
      <c r="U4866">
        <v>-9.5825199999999999E-2</v>
      </c>
      <c r="V4866">
        <v>3.4057730000000001E-2</v>
      </c>
      <c r="W4866">
        <v>1.414378E-2</v>
      </c>
      <c r="X4866">
        <v>0.99931979999999998</v>
      </c>
      <c r="Y4866">
        <v>2.356345E-2</v>
      </c>
      <c r="Z4866">
        <v>-1.826048E-3</v>
      </c>
      <c r="AA4866">
        <v>0.99972070000000002</v>
      </c>
      <c r="AB4866">
        <v>22</v>
      </c>
      <c r="AC4866">
        <v>0.52690000000001103</v>
      </c>
      <c r="AD4866">
        <v>-0.30634529999999999</v>
      </c>
      <c r="AE4866">
        <v>-2.2899999999992801E-2</v>
      </c>
      <c r="AF4866">
        <v>1.43321575463656E-2</v>
      </c>
      <c r="AG4866">
        <v>-0.30634529999999999</v>
      </c>
      <c r="AH4866">
        <v>0.39408444808755899</v>
      </c>
      <c r="AI4866">
        <v>127.841702644053</v>
      </c>
      <c r="AJ4866">
        <v>87.917171334834407</v>
      </c>
      <c r="AK4866">
        <v>0.49935498975828801</v>
      </c>
      <c r="AL4866">
        <v>89.189594093756298</v>
      </c>
      <c r="AM4866">
        <v>88.048063086364607</v>
      </c>
      <c r="AN4866">
        <v>1.0000000190787399</v>
      </c>
    </row>
    <row r="4867" spans="1:40" x14ac:dyDescent="0.25">
      <c r="A4867" t="str">
        <f>"20190312154021050"</f>
        <v>20190312154021050</v>
      </c>
      <c r="B4867" t="str">
        <f>"1552376421040403"</f>
        <v>1552376421040403</v>
      </c>
      <c r="C4867" t="s">
        <v>40</v>
      </c>
      <c r="D4867">
        <v>3.858816</v>
      </c>
      <c r="E4867">
        <v>0.49826809999999999</v>
      </c>
      <c r="F4867" t="s">
        <v>41</v>
      </c>
      <c r="G4867">
        <v>-259.77929999999998</v>
      </c>
      <c r="H4867">
        <v>0.81068189999999996</v>
      </c>
      <c r="I4867">
        <v>214.43020000000001</v>
      </c>
      <c r="J4867">
        <v>-260.27719999999999</v>
      </c>
      <c r="K4867">
        <v>1.110395</v>
      </c>
      <c r="L4867">
        <v>214.44909999999999</v>
      </c>
      <c r="M4867">
        <v>0.99988279999999996</v>
      </c>
      <c r="N4867">
        <v>0</v>
      </c>
      <c r="O4867">
        <v>-6.9256519999999896E-3</v>
      </c>
      <c r="P4867">
        <v>0.99919199999999997</v>
      </c>
      <c r="Q4867">
        <v>6.3648169999999996E-4</v>
      </c>
      <c r="R4867">
        <v>-4.0187929999999997E-2</v>
      </c>
      <c r="S4867">
        <v>2.999695</v>
      </c>
      <c r="T4867">
        <v>-1.234901</v>
      </c>
      <c r="U4867">
        <v>-8.3419800000000002E-2</v>
      </c>
      <c r="V4867">
        <v>3.326341E-2</v>
      </c>
      <c r="W4867">
        <v>1.429587E-2</v>
      </c>
      <c r="X4867">
        <v>0.99934429999999996</v>
      </c>
      <c r="Y4867">
        <v>1.9824970000000001E-2</v>
      </c>
      <c r="Z4867">
        <v>-1.181126E-3</v>
      </c>
      <c r="AA4867">
        <v>0.99980279999999999</v>
      </c>
      <c r="AB4867">
        <v>22</v>
      </c>
      <c r="AC4867">
        <v>0.497900000000015</v>
      </c>
      <c r="AD4867">
        <v>-0.29971309999999901</v>
      </c>
      <c r="AE4867">
        <v>-1.8899999999973702E-2</v>
      </c>
      <c r="AF4867">
        <v>1.13457396500921E-2</v>
      </c>
      <c r="AG4867">
        <v>-0.29971309999999901</v>
      </c>
      <c r="AH4867">
        <v>0.365698940576342</v>
      </c>
      <c r="AI4867">
        <v>129.32324558070701</v>
      </c>
      <c r="AJ4867">
        <v>88.222979409028099</v>
      </c>
      <c r="AK4867">
        <v>0.47296129150119298</v>
      </c>
      <c r="AL4867">
        <v>89.180879023170107</v>
      </c>
      <c r="AM4867">
        <v>88.093600336910796</v>
      </c>
      <c r="AN4867">
        <v>0.99999992814318495</v>
      </c>
    </row>
    <row r="4868" spans="1:40" x14ac:dyDescent="0.25">
      <c r="A4868" t="str">
        <f>"20190312154021071"</f>
        <v>20190312154021071</v>
      </c>
      <c r="B4868" t="str">
        <f>"1552376421060900"</f>
        <v>1552376421060900</v>
      </c>
      <c r="C4868" t="s">
        <v>40</v>
      </c>
      <c r="D4868">
        <v>3.8433250000000001</v>
      </c>
      <c r="E4868">
        <v>0.49765860000000001</v>
      </c>
      <c r="F4868" t="s">
        <v>41</v>
      </c>
      <c r="G4868">
        <v>-259.57740000000001</v>
      </c>
      <c r="H4868">
        <v>0.81983819999999996</v>
      </c>
      <c r="I4868">
        <v>214.43199999999999</v>
      </c>
      <c r="J4868">
        <v>-260.0643</v>
      </c>
      <c r="K4868">
        <v>1.110398</v>
      </c>
      <c r="L4868">
        <v>214.4478</v>
      </c>
      <c r="M4868">
        <v>0.99988390000000005</v>
      </c>
      <c r="N4868">
        <v>0</v>
      </c>
      <c r="O4868">
        <v>-6.7688829999999998E-3</v>
      </c>
      <c r="P4868">
        <v>0.99925419999999998</v>
      </c>
      <c r="Q4868">
        <v>5.2284819999999998E-4</v>
      </c>
      <c r="R4868">
        <v>-3.8613920000000003E-2</v>
      </c>
      <c r="S4868">
        <v>3.0003359999999999</v>
      </c>
      <c r="T4868">
        <v>-1.2457419999999999</v>
      </c>
      <c r="U4868">
        <v>-7.1990970000000001E-2</v>
      </c>
      <c r="V4868">
        <v>3.184555E-2</v>
      </c>
      <c r="W4868">
        <v>1.4180959999999999E-2</v>
      </c>
      <c r="X4868">
        <v>0.99939219999999895</v>
      </c>
      <c r="Y4868">
        <v>1.6420899999999999E-2</v>
      </c>
      <c r="Z4868">
        <v>-5.7449819999999996E-4</v>
      </c>
      <c r="AA4868">
        <v>0.999865</v>
      </c>
      <c r="AB4868">
        <v>22</v>
      </c>
      <c r="AC4868">
        <v>0.48689999999999101</v>
      </c>
      <c r="AD4868">
        <v>-0.29055979999999998</v>
      </c>
      <c r="AE4868">
        <v>-1.5799999999984399E-2</v>
      </c>
      <c r="AF4868">
        <v>9.2226744246520099E-3</v>
      </c>
      <c r="AG4868">
        <v>-0.29055979999999998</v>
      </c>
      <c r="AH4868">
        <v>0.35920994685803798</v>
      </c>
      <c r="AI4868">
        <v>128.959670832722</v>
      </c>
      <c r="AJ4868">
        <v>88.529260508062706</v>
      </c>
      <c r="AK4868">
        <v>0.46210587641939499</v>
      </c>
      <c r="AL4868">
        <v>89.187463610835295</v>
      </c>
      <c r="AM4868">
        <v>88.174892267413</v>
      </c>
      <c r="AN4868">
        <v>1.0000000040510799</v>
      </c>
    </row>
    <row r="4869" spans="1:40" x14ac:dyDescent="0.25">
      <c r="A4869" t="str">
        <f>"20190312154021094"</f>
        <v>20190312154021094</v>
      </c>
      <c r="B4869" t="str">
        <f>"1552376421091155"</f>
        <v>1552376421091155</v>
      </c>
      <c r="C4869" t="s">
        <v>40</v>
      </c>
      <c r="D4869">
        <v>3.8152219999999999</v>
      </c>
      <c r="E4869">
        <v>0.49708259999999999</v>
      </c>
      <c r="F4869" t="s">
        <v>41</v>
      </c>
      <c r="G4869">
        <v>-259.37790000000001</v>
      </c>
      <c r="H4869">
        <v>0.82390249999999998</v>
      </c>
      <c r="I4869">
        <v>214.4332</v>
      </c>
      <c r="J4869">
        <v>-259.84949999999998</v>
      </c>
      <c r="K4869">
        <v>1.110403</v>
      </c>
      <c r="L4869">
        <v>214.44649999999999</v>
      </c>
      <c r="M4869">
        <v>0.99988509999999997</v>
      </c>
      <c r="N4869">
        <v>0</v>
      </c>
      <c r="O4869">
        <v>-6.6008029999999997E-3</v>
      </c>
      <c r="P4869">
        <v>0.9992917</v>
      </c>
      <c r="Q4869">
        <v>4.0542429999999998E-4</v>
      </c>
      <c r="R4869">
        <v>-3.7631690000000002E-2</v>
      </c>
      <c r="S4869">
        <v>3.0004270000000002</v>
      </c>
      <c r="T4869">
        <v>-1.2522329999999999</v>
      </c>
      <c r="U4869">
        <v>-6.2698359999999995E-2</v>
      </c>
      <c r="V4869">
        <v>3.103092E-2</v>
      </c>
      <c r="W4869">
        <v>1.4061769999999999E-2</v>
      </c>
      <c r="X4869">
        <v>0.99941950000000002</v>
      </c>
      <c r="Y4869">
        <v>1.3698460000000001E-2</v>
      </c>
      <c r="Z4869" s="1">
        <v>-9.9324159999999997E-5</v>
      </c>
      <c r="AA4869">
        <v>0.99990619999999997</v>
      </c>
      <c r="AB4869">
        <v>22</v>
      </c>
      <c r="AC4869">
        <v>0.47159999999996599</v>
      </c>
      <c r="AD4869">
        <v>-0.28650049999999999</v>
      </c>
      <c r="AE4869">
        <v>-1.3299999999986699E-2</v>
      </c>
      <c r="AF4869">
        <v>7.44205892202546E-3</v>
      </c>
      <c r="AG4869">
        <v>-0.28650049999999999</v>
      </c>
      <c r="AH4869">
        <v>0.34459905267580898</v>
      </c>
      <c r="AI4869">
        <v>129.73365196313799</v>
      </c>
      <c r="AJ4869">
        <v>88.762816404557597</v>
      </c>
      <c r="AK4869">
        <v>0.448203556262457</v>
      </c>
      <c r="AL4869">
        <v>89.194293367820507</v>
      </c>
      <c r="AM4869">
        <v>88.221597890429805</v>
      </c>
      <c r="AN4869">
        <v>0.99999999417591401</v>
      </c>
    </row>
    <row r="4870" spans="1:40" x14ac:dyDescent="0.25">
      <c r="A4870" t="str">
        <f>"20190312154021117"</f>
        <v>20190312154021117</v>
      </c>
      <c r="B4870" t="str">
        <f>"1552376421110674"</f>
        <v>1552376421110674</v>
      </c>
      <c r="C4870" t="s">
        <v>40</v>
      </c>
      <c r="D4870">
        <v>3.836376</v>
      </c>
      <c r="E4870">
        <v>0.49687209999999898</v>
      </c>
      <c r="F4870" t="s">
        <v>41</v>
      </c>
      <c r="G4870">
        <v>-259.17829999999998</v>
      </c>
      <c r="H4870">
        <v>0.82892099999999902</v>
      </c>
      <c r="I4870">
        <v>214.43389999999999</v>
      </c>
      <c r="J4870">
        <v>-259.61970000000002</v>
      </c>
      <c r="K4870">
        <v>1.110409</v>
      </c>
      <c r="L4870">
        <v>214.4452</v>
      </c>
      <c r="M4870">
        <v>0.99988639999999995</v>
      </c>
      <c r="N4870">
        <v>0</v>
      </c>
      <c r="O4870">
        <v>-6.4140259999999998E-3</v>
      </c>
      <c r="P4870">
        <v>0.99932240000000006</v>
      </c>
      <c r="Q4870" s="1">
        <v>2.7664009999999999E-5</v>
      </c>
      <c r="R4870">
        <v>-3.6809130000000002E-2</v>
      </c>
      <c r="S4870">
        <v>3.0005489999999999</v>
      </c>
      <c r="T4870">
        <v>-1.2583770000000001</v>
      </c>
      <c r="U4870">
        <v>-5.57251E-2</v>
      </c>
      <c r="V4870">
        <v>3.0394870000000001E-2</v>
      </c>
      <c r="W4870">
        <v>1.3681769999999999E-2</v>
      </c>
      <c r="X4870">
        <v>0.99944429999999995</v>
      </c>
      <c r="Y4870">
        <v>1.1708029999999999E-2</v>
      </c>
      <c r="Z4870">
        <v>2.255235E-4</v>
      </c>
      <c r="AA4870">
        <v>0.99993149999999997</v>
      </c>
      <c r="AB4870">
        <v>22</v>
      </c>
      <c r="AC4870">
        <v>0.44140000000004398</v>
      </c>
      <c r="AD4870">
        <v>-0.28148800000000002</v>
      </c>
      <c r="AE4870">
        <v>-1.1300000000005601E-2</v>
      </c>
      <c r="AF4870">
        <v>6.0212300392629798E-3</v>
      </c>
      <c r="AG4870">
        <v>-0.28148800000000002</v>
      </c>
      <c r="AH4870">
        <v>0.31389252397476802</v>
      </c>
      <c r="AI4870">
        <v>131.87942197066499</v>
      </c>
      <c r="AJ4870">
        <v>88.901060915289605</v>
      </c>
      <c r="AK4870">
        <v>0.42166368821898298</v>
      </c>
      <c r="AL4870">
        <v>89.216067843469901</v>
      </c>
      <c r="AM4870">
        <v>88.258070832057101</v>
      </c>
      <c r="AN4870">
        <v>0.999999973877569</v>
      </c>
    </row>
    <row r="4871" spans="1:40" x14ac:dyDescent="0.25">
      <c r="A4871" t="str">
        <f>"20190312154021138"</f>
        <v>20190312154021138</v>
      </c>
      <c r="B4871" t="str">
        <f>"1552376421131170"</f>
        <v>1552376421131170</v>
      </c>
      <c r="C4871" t="s">
        <v>40</v>
      </c>
      <c r="D4871">
        <v>3.8616220000000001</v>
      </c>
      <c r="E4871">
        <v>0.49667260000000002</v>
      </c>
      <c r="F4871" t="s">
        <v>41</v>
      </c>
      <c r="G4871">
        <v>-258.97649999999999</v>
      </c>
      <c r="H4871">
        <v>0.84003669999999997</v>
      </c>
      <c r="I4871">
        <v>214.43369999999999</v>
      </c>
      <c r="J4871">
        <v>-259.40249999999997</v>
      </c>
      <c r="K4871">
        <v>1.1104149999999999</v>
      </c>
      <c r="L4871">
        <v>214.44399999999999</v>
      </c>
      <c r="M4871">
        <v>0.99988750000000004</v>
      </c>
      <c r="N4871">
        <v>0</v>
      </c>
      <c r="O4871">
        <v>-6.2330160000000001E-3</v>
      </c>
      <c r="P4871">
        <v>0.9993379</v>
      </c>
      <c r="Q4871">
        <v>-4.801955E-4</v>
      </c>
      <c r="R4871">
        <v>-3.638363E-2</v>
      </c>
      <c r="S4871">
        <v>3.0001220000000002</v>
      </c>
      <c r="T4871">
        <v>-1.261002</v>
      </c>
      <c r="U4871">
        <v>-5.1971440000000001E-2</v>
      </c>
      <c r="V4871">
        <v>3.0150150000000001E-2</v>
      </c>
      <c r="W4871">
        <v>1.317159E-2</v>
      </c>
      <c r="X4871">
        <v>0.99945859999999997</v>
      </c>
      <c r="Y4871">
        <v>1.070842E-2</v>
      </c>
      <c r="Z4871">
        <v>3.5452839999999998E-4</v>
      </c>
      <c r="AA4871">
        <v>0.99994260000000001</v>
      </c>
      <c r="AB4871">
        <v>22</v>
      </c>
      <c r="AC4871">
        <v>0.425999999999987</v>
      </c>
      <c r="AD4871">
        <v>-0.27037830000000002</v>
      </c>
      <c r="AE4871">
        <v>-1.0300000000029201E-2</v>
      </c>
      <c r="AF4871">
        <v>5.4500952846783402E-3</v>
      </c>
      <c r="AG4871">
        <v>-0.27037830000000002</v>
      </c>
      <c r="AH4871">
        <v>0.30376216054960797</v>
      </c>
      <c r="AI4871">
        <v>131.66765835484901</v>
      </c>
      <c r="AJ4871">
        <v>88.972110430638395</v>
      </c>
      <c r="AK4871">
        <v>0.40670084685339403</v>
      </c>
      <c r="AL4871">
        <v>89.245301666076898</v>
      </c>
      <c r="AM4871">
        <v>88.272111899509497</v>
      </c>
      <c r="AN4871">
        <v>1.00000000772105</v>
      </c>
    </row>
    <row r="4872" spans="1:40" x14ac:dyDescent="0.25">
      <c r="A4872" t="str">
        <f>"20190312154021160"</f>
        <v>20190312154021160</v>
      </c>
      <c r="B4872" t="str">
        <f>"1552376421150690"</f>
        <v>1552376421150690</v>
      </c>
      <c r="C4872" t="s">
        <v>40</v>
      </c>
      <c r="D4872">
        <v>3.851588</v>
      </c>
      <c r="E4872">
        <v>0.49658039999999998</v>
      </c>
      <c r="F4872" t="s">
        <v>41</v>
      </c>
      <c r="G4872">
        <v>-258.60910000000001</v>
      </c>
      <c r="H4872">
        <v>0.77606119999999901</v>
      </c>
      <c r="I4872">
        <v>214.43039999999999</v>
      </c>
      <c r="J4872">
        <v>-259.18830000000003</v>
      </c>
      <c r="K4872">
        <v>1.1104149999999999</v>
      </c>
      <c r="L4872">
        <v>214.44290000000001</v>
      </c>
      <c r="M4872">
        <v>0.99988860000000002</v>
      </c>
      <c r="N4872">
        <v>0</v>
      </c>
      <c r="O4872">
        <v>-6.0528789999999997E-3</v>
      </c>
      <c r="P4872">
        <v>0.99935810000000003</v>
      </c>
      <c r="Q4872">
        <v>-7.8162269999999996E-4</v>
      </c>
      <c r="R4872">
        <v>-3.5818429999999998E-2</v>
      </c>
      <c r="S4872">
        <v>2.9995120000000002</v>
      </c>
      <c r="T4872">
        <v>-1.2640199999999999</v>
      </c>
      <c r="U4872">
        <v>-5.0399779999999998E-2</v>
      </c>
      <c r="V4872">
        <v>2.9765030000000001E-2</v>
      </c>
      <c r="W4872">
        <v>1.286787E-2</v>
      </c>
      <c r="X4872">
        <v>0.99947410000000003</v>
      </c>
      <c r="Y4872">
        <v>1.03791E-2</v>
      </c>
      <c r="Z4872">
        <v>3.4911879999999999E-4</v>
      </c>
      <c r="AA4872">
        <v>0.99994609999999995</v>
      </c>
      <c r="AB4872">
        <v>22</v>
      </c>
      <c r="AC4872">
        <v>0.57920000000001404</v>
      </c>
      <c r="AD4872">
        <v>-0.33435379999999998</v>
      </c>
      <c r="AE4872">
        <v>-1.2500000000016999E-2</v>
      </c>
      <c r="AF4872">
        <v>6.7464766749525101E-3</v>
      </c>
      <c r="AG4872">
        <v>-0.33435379999999998</v>
      </c>
      <c r="AH4872">
        <v>0.43453019426782102</v>
      </c>
      <c r="AI4872">
        <v>127.57352172986501</v>
      </c>
      <c r="AJ4872">
        <v>89.110502353377001</v>
      </c>
      <c r="AK4872">
        <v>0.54831967706110596</v>
      </c>
      <c r="AL4872">
        <v>89.262705015356204</v>
      </c>
      <c r="AM4872">
        <v>88.294196223902503</v>
      </c>
      <c r="AN4872">
        <v>1.00000000783002</v>
      </c>
    </row>
    <row r="4873" spans="1:40" x14ac:dyDescent="0.25">
      <c r="A4873" t="str">
        <f>"20190312154021181"</f>
        <v>20190312154021181</v>
      </c>
      <c r="B4873" t="str">
        <f>"1552376421171186"</f>
        <v>1552376421171186</v>
      </c>
      <c r="C4873" t="s">
        <v>40</v>
      </c>
      <c r="D4873">
        <v>3.8514179999999998</v>
      </c>
      <c r="E4873">
        <v>0.4964731</v>
      </c>
      <c r="F4873" t="s">
        <v>41</v>
      </c>
      <c r="G4873">
        <v>-258.41019999999997</v>
      </c>
      <c r="H4873">
        <v>0.78186739999999999</v>
      </c>
      <c r="I4873">
        <v>214.43020000000001</v>
      </c>
      <c r="J4873">
        <v>-258.97519999999997</v>
      </c>
      <c r="K4873">
        <v>1.110412</v>
      </c>
      <c r="L4873">
        <v>214.4418</v>
      </c>
      <c r="M4873">
        <v>0.99988969999999999</v>
      </c>
      <c r="N4873">
        <v>0</v>
      </c>
      <c r="O4873">
        <v>-5.8733589999999999E-3</v>
      </c>
      <c r="P4873">
        <v>0.99937279999999995</v>
      </c>
      <c r="Q4873">
        <v>-7.9217269999999997E-4</v>
      </c>
      <c r="R4873">
        <v>-3.5406630000000001E-2</v>
      </c>
      <c r="S4873">
        <v>2.9991759999999998</v>
      </c>
      <c r="T4873">
        <v>-1.2663690000000001</v>
      </c>
      <c r="U4873">
        <v>-4.8278809999999998E-2</v>
      </c>
      <c r="V4873">
        <v>2.953242E-2</v>
      </c>
      <c r="W4873">
        <v>1.2855480000000001E-2</v>
      </c>
      <c r="X4873">
        <v>0.99948110000000001</v>
      </c>
      <c r="Y4873">
        <v>9.8795059999999997E-3</v>
      </c>
      <c r="Z4873">
        <v>3.782077E-4</v>
      </c>
      <c r="AA4873">
        <v>0.99995109999999998</v>
      </c>
      <c r="AB4873">
        <v>22</v>
      </c>
      <c r="AC4873">
        <v>0.56499999999999695</v>
      </c>
      <c r="AD4873">
        <v>-0.32854460000000002</v>
      </c>
      <c r="AE4873">
        <v>-1.15999999999871E-2</v>
      </c>
      <c r="AF4873">
        <v>6.1891491423350202E-3</v>
      </c>
      <c r="AG4873">
        <v>-0.32854460000000002</v>
      </c>
      <c r="AH4873">
        <v>0.42231764175826603</v>
      </c>
      <c r="AI4873">
        <v>127.87836879595601</v>
      </c>
      <c r="AJ4873">
        <v>89.160379047460907</v>
      </c>
      <c r="AK4873">
        <v>0.53510003765326797</v>
      </c>
      <c r="AL4873">
        <v>89.263414924877395</v>
      </c>
      <c r="AM4873">
        <v>88.307530930649307</v>
      </c>
      <c r="AN4873">
        <v>0.999999948227147</v>
      </c>
    </row>
    <row r="4874" spans="1:40" x14ac:dyDescent="0.25">
      <c r="A4874" t="str">
        <f>"20190312154021199"</f>
        <v>20190312154021199</v>
      </c>
      <c r="B4874" t="str">
        <f>"1552376421190707"</f>
        <v>1552376421190707</v>
      </c>
      <c r="C4874" t="s">
        <v>40</v>
      </c>
      <c r="D4874">
        <v>3.8667099999999999</v>
      </c>
      <c r="E4874">
        <v>0.49659510000000001</v>
      </c>
      <c r="F4874" t="s">
        <v>41</v>
      </c>
      <c r="G4874">
        <v>-258.2115</v>
      </c>
      <c r="H4874">
        <v>0.78791460000000002</v>
      </c>
      <c r="I4874">
        <v>214.4298</v>
      </c>
      <c r="J4874">
        <v>-258.80650000000003</v>
      </c>
      <c r="K4874">
        <v>1.110411</v>
      </c>
      <c r="L4874">
        <v>214.441</v>
      </c>
      <c r="M4874">
        <v>0.99989059999999996</v>
      </c>
      <c r="N4874">
        <v>0</v>
      </c>
      <c r="O4874">
        <v>-5.7311549999999999E-3</v>
      </c>
      <c r="P4874">
        <v>0.99937739999999997</v>
      </c>
      <c r="Q4874">
        <v>-1.030162E-3</v>
      </c>
      <c r="R4874">
        <v>-3.5270330000000003E-2</v>
      </c>
      <c r="S4874">
        <v>2.9992369999999999</v>
      </c>
      <c r="T4874">
        <v>-1.2665930000000001</v>
      </c>
      <c r="U4874">
        <v>-4.6371460000000003E-2</v>
      </c>
      <c r="V4874">
        <v>2.953857E-2</v>
      </c>
      <c r="W4874">
        <v>1.261517E-2</v>
      </c>
      <c r="X4874">
        <v>0.99948400000000004</v>
      </c>
      <c r="Y4874">
        <v>9.4132309999999993E-3</v>
      </c>
      <c r="Z4874">
        <v>4.1508620000000002E-4</v>
      </c>
      <c r="AA4874">
        <v>0.99995560000000006</v>
      </c>
      <c r="AB4874">
        <v>22</v>
      </c>
      <c r="AC4874">
        <v>0.59500000000002695</v>
      </c>
      <c r="AD4874">
        <v>-0.32249640000000002</v>
      </c>
      <c r="AE4874">
        <v>-1.1199999999973899E-2</v>
      </c>
      <c r="AF4874">
        <v>6.0212048359836396E-3</v>
      </c>
      <c r="AG4874">
        <v>-0.32249640000000002</v>
      </c>
      <c r="AH4874">
        <v>0.45997331867556701</v>
      </c>
      <c r="AI4874">
        <v>125.032750451431</v>
      </c>
      <c r="AJ4874">
        <v>89.250021887666904</v>
      </c>
      <c r="AK4874">
        <v>0.56179679316818099</v>
      </c>
      <c r="AL4874">
        <v>89.277184805352903</v>
      </c>
      <c r="AM4874">
        <v>88.307183595122396</v>
      </c>
      <c r="AN4874">
        <v>0.99999996794388601</v>
      </c>
    </row>
    <row r="4875" spans="1:40" x14ac:dyDescent="0.25">
      <c r="A4875" t="str">
        <f>"20190312154021215"</f>
        <v>20190312154021215</v>
      </c>
      <c r="B4875" t="str">
        <f>"1552376421211203"</f>
        <v>1552376421211203</v>
      </c>
      <c r="C4875" t="s">
        <v>40</v>
      </c>
      <c r="D4875">
        <v>3.8593600000000001</v>
      </c>
      <c r="E4875">
        <v>0.49671549999999998</v>
      </c>
      <c r="F4875" t="s">
        <v>41</v>
      </c>
      <c r="G4875">
        <v>-258.0197</v>
      </c>
      <c r="H4875">
        <v>0.77763260000000001</v>
      </c>
      <c r="I4875">
        <v>214.42840000000001</v>
      </c>
      <c r="J4875">
        <v>-258.64550000000003</v>
      </c>
      <c r="K4875">
        <v>1.110412</v>
      </c>
      <c r="L4875">
        <v>214.4402</v>
      </c>
      <c r="M4875">
        <v>0.99989130000000004</v>
      </c>
      <c r="N4875">
        <v>0</v>
      </c>
      <c r="O4875">
        <v>-5.5953859999999999E-3</v>
      </c>
      <c r="P4875">
        <v>0.99936999999999998</v>
      </c>
      <c r="Q4875">
        <v>-1.051906E-3</v>
      </c>
      <c r="R4875">
        <v>-3.5475569999999998E-2</v>
      </c>
      <c r="S4875">
        <v>2.998901</v>
      </c>
      <c r="T4875">
        <v>-1.2683530000000001</v>
      </c>
      <c r="U4875">
        <v>-4.7088619999999998E-2</v>
      </c>
      <c r="V4875">
        <v>2.9879610000000001E-2</v>
      </c>
      <c r="W4875">
        <v>1.259181E-2</v>
      </c>
      <c r="X4875">
        <v>0.99947419999999998</v>
      </c>
      <c r="Y4875">
        <v>9.7485149999999993E-3</v>
      </c>
      <c r="Z4875">
        <v>2.9261499999999998E-4</v>
      </c>
      <c r="AA4875">
        <v>0.99995239999999996</v>
      </c>
      <c r="AB4875">
        <v>22</v>
      </c>
      <c r="AC4875">
        <v>0.625800000000026</v>
      </c>
      <c r="AD4875">
        <v>-0.3327794</v>
      </c>
      <c r="AE4875">
        <v>-1.17999999999938E-2</v>
      </c>
      <c r="AF4875">
        <v>6.4692123813974199E-3</v>
      </c>
      <c r="AG4875">
        <v>-0.3327794</v>
      </c>
      <c r="AH4875">
        <v>0.48793049203172001</v>
      </c>
      <c r="AI4875">
        <v>124.292509823919</v>
      </c>
      <c r="AJ4875">
        <v>89.240390064613607</v>
      </c>
      <c r="AK4875">
        <v>0.59064383923606001</v>
      </c>
      <c r="AL4875">
        <v>89.2785233719122</v>
      </c>
      <c r="AM4875">
        <v>88.287633833088293</v>
      </c>
      <c r="AN4875">
        <v>1.0000000106192299</v>
      </c>
    </row>
    <row r="4876" spans="1:40" x14ac:dyDescent="0.25">
      <c r="A4876" t="str">
        <f>"20190312154021239"</f>
        <v>20190312154021239</v>
      </c>
      <c r="B4876" t="str">
        <f>"1552376421230722"</f>
        <v>1552376421230722</v>
      </c>
      <c r="C4876" t="s">
        <v>40</v>
      </c>
      <c r="D4876">
        <v>3.8712759999999999</v>
      </c>
      <c r="E4876">
        <v>0.49707469999999998</v>
      </c>
      <c r="F4876" t="s">
        <v>41</v>
      </c>
      <c r="G4876">
        <v>-257.99610000000001</v>
      </c>
      <c r="H4876">
        <v>0.83530720000000003</v>
      </c>
      <c r="I4876">
        <v>214.42959999999999</v>
      </c>
      <c r="J4876">
        <v>-258.41800000000001</v>
      </c>
      <c r="K4876">
        <v>1.1104069999999999</v>
      </c>
      <c r="L4876">
        <v>214.4392</v>
      </c>
      <c r="M4876">
        <v>0.99989249999999996</v>
      </c>
      <c r="N4876">
        <v>0</v>
      </c>
      <c r="O4876">
        <v>-5.4054949999999997E-3</v>
      </c>
      <c r="P4876">
        <v>0.99936619999999998</v>
      </c>
      <c r="Q4876">
        <v>-6.5455120000000003E-4</v>
      </c>
      <c r="R4876">
        <v>-3.5600359999999998E-2</v>
      </c>
      <c r="S4876">
        <v>2.99884</v>
      </c>
      <c r="T4876">
        <v>-1.2703139999999999</v>
      </c>
      <c r="U4876">
        <v>-4.814148E-2</v>
      </c>
      <c r="V4876">
        <v>3.0194189999999999E-2</v>
      </c>
      <c r="W4876">
        <v>1.298612E-2</v>
      </c>
      <c r="X4876">
        <v>0.99945969999999995</v>
      </c>
      <c r="Y4876">
        <v>1.023084E-2</v>
      </c>
      <c r="Z4876">
        <v>1.179755E-4</v>
      </c>
      <c r="AA4876">
        <v>0.99994769999999999</v>
      </c>
      <c r="AB4876">
        <v>22</v>
      </c>
      <c r="AC4876">
        <v>0.421899999999993</v>
      </c>
      <c r="AD4876">
        <v>-0.27509979999999901</v>
      </c>
      <c r="AE4876">
        <v>-9.6000000000060395E-3</v>
      </c>
      <c r="AF4876">
        <v>5.1363733614381499E-3</v>
      </c>
      <c r="AG4876">
        <v>-0.27509979999999901</v>
      </c>
      <c r="AH4876">
        <v>0.296112889064789</v>
      </c>
      <c r="AI4876">
        <v>132.888923888227</v>
      </c>
      <c r="AJ4876">
        <v>89.006247225718496</v>
      </c>
      <c r="AK4876">
        <v>0.40421420727337598</v>
      </c>
      <c r="AL4876">
        <v>89.255929225055993</v>
      </c>
      <c r="AM4876">
        <v>88.269591428601402</v>
      </c>
      <c r="AN4876">
        <v>1.00000001017325</v>
      </c>
    </row>
    <row r="4877" spans="1:40" x14ac:dyDescent="0.25">
      <c r="A4877" t="str">
        <f>"20190312154021361"</f>
        <v>20190312154021361</v>
      </c>
      <c r="B4877" t="str">
        <f>"1552376421350771"</f>
        <v>1552376421350771</v>
      </c>
      <c r="C4877" t="s">
        <v>40</v>
      </c>
      <c r="D4877">
        <v>3.9768249999999998</v>
      </c>
      <c r="E4877">
        <v>0.54650299999999996</v>
      </c>
      <c r="F4877" t="s">
        <v>61</v>
      </c>
      <c r="G4877">
        <v>-255.4425</v>
      </c>
      <c r="H4877" s="1">
        <v>1.3773079999999999E-6</v>
      </c>
      <c r="I4877">
        <v>214.2079</v>
      </c>
      <c r="J4877">
        <v>-257.2278</v>
      </c>
      <c r="K4877">
        <v>1.110419</v>
      </c>
      <c r="L4877">
        <v>214.43440000000001</v>
      </c>
      <c r="M4877">
        <v>0.99989740000000005</v>
      </c>
      <c r="N4877">
        <v>0</v>
      </c>
      <c r="O4877">
        <v>-4.4171849999999997E-3</v>
      </c>
      <c r="P4877">
        <v>0.99941179999999996</v>
      </c>
      <c r="Q4877">
        <v>1.288319E-3</v>
      </c>
      <c r="R4877">
        <v>-3.4273560000000002E-2</v>
      </c>
      <c r="S4877">
        <v>2.9909210000000002</v>
      </c>
      <c r="T4877">
        <v>-1.660223</v>
      </c>
      <c r="U4877">
        <v>-0.33984379999999997</v>
      </c>
      <c r="V4877">
        <v>2.9854820000000001E-2</v>
      </c>
      <c r="W4877">
        <v>1.4916169999999999E-2</v>
      </c>
      <c r="X4877">
        <v>0.99944290000000002</v>
      </c>
      <c r="Y4877">
        <v>9.5565700000000003E-2</v>
      </c>
      <c r="Z4877">
        <v>-2.2398890000000001E-2</v>
      </c>
      <c r="AA4877">
        <v>0.99517109999999998</v>
      </c>
      <c r="AB4877">
        <v>22</v>
      </c>
      <c r="AC4877">
        <v>1.7853000000000001</v>
      </c>
      <c r="AD4877">
        <v>-1.110417622692</v>
      </c>
      <c r="AE4877">
        <v>-0.22650000000001499</v>
      </c>
      <c r="AF4877">
        <v>0.15833020577908</v>
      </c>
      <c r="AG4877">
        <v>-1.110417622692</v>
      </c>
      <c r="AH4877">
        <v>1.29372495886325</v>
      </c>
      <c r="AI4877">
        <v>130.42947034392699</v>
      </c>
      <c r="AJ4877">
        <v>83.022655605210801</v>
      </c>
      <c r="AK4877">
        <v>1.71225582785771</v>
      </c>
      <c r="AL4877">
        <v>89.145334680504902</v>
      </c>
      <c r="AM4877">
        <v>88.289000124156999</v>
      </c>
      <c r="AN4877">
        <v>0.99999995638255401</v>
      </c>
    </row>
    <row r="4878" spans="1:40" x14ac:dyDescent="0.25">
      <c r="A4878" t="str">
        <f>"20190312154021382"</f>
        <v>20190312154021382</v>
      </c>
      <c r="B4878" t="str">
        <f>"1552376421381027"</f>
        <v>1552376421381027</v>
      </c>
      <c r="C4878" t="s">
        <v>40</v>
      </c>
      <c r="D4878">
        <v>3.956458</v>
      </c>
      <c r="E4878">
        <v>0.54976049999999999</v>
      </c>
      <c r="F4878" t="s">
        <v>41</v>
      </c>
      <c r="G4878">
        <v>-256.47250000000003</v>
      </c>
      <c r="H4878">
        <v>0.74915959999999904</v>
      </c>
      <c r="I4878">
        <v>214.3235</v>
      </c>
      <c r="J4878">
        <v>-257.01429999999999</v>
      </c>
      <c r="K4878">
        <v>1.1104229999999999</v>
      </c>
      <c r="L4878">
        <v>214.43369999999999</v>
      </c>
      <c r="M4878">
        <v>0.99989830000000002</v>
      </c>
      <c r="N4878">
        <v>0</v>
      </c>
      <c r="O4878">
        <v>-4.2396869999999998E-3</v>
      </c>
      <c r="P4878">
        <v>0.99942929999999996</v>
      </c>
      <c r="Q4878">
        <v>2.0222389999999999E-3</v>
      </c>
      <c r="R4878">
        <v>-3.372037E-2</v>
      </c>
      <c r="S4878">
        <v>2.9885709999999999</v>
      </c>
      <c r="T4878">
        <v>-1.4293960000000001</v>
      </c>
      <c r="U4878">
        <v>-0.43853760000000003</v>
      </c>
      <c r="V4878">
        <v>2.9479040000000001E-2</v>
      </c>
      <c r="W4878">
        <v>1.564803E-2</v>
      </c>
      <c r="X4878">
        <v>0.99944290000000002</v>
      </c>
      <c r="Y4878">
        <v>0.12784760000000001</v>
      </c>
      <c r="Z4878">
        <v>-2.6953649999999999E-2</v>
      </c>
      <c r="AA4878">
        <v>0.99142750000000002</v>
      </c>
      <c r="AB4878">
        <v>22</v>
      </c>
      <c r="AC4878">
        <v>0.54179999999996598</v>
      </c>
      <c r="AD4878">
        <v>-0.36126340000000001</v>
      </c>
      <c r="AE4878">
        <v>-0.110199999999991</v>
      </c>
      <c r="AF4878">
        <v>7.5617671493613897E-2</v>
      </c>
      <c r="AG4878">
        <v>-0.36126340000000001</v>
      </c>
      <c r="AH4878">
        <v>0.38001816549248002</v>
      </c>
      <c r="AI4878">
        <v>132.99550545794</v>
      </c>
      <c r="AJ4878">
        <v>78.746032168518695</v>
      </c>
      <c r="AK4878">
        <v>0.529757569578714</v>
      </c>
      <c r="AL4878">
        <v>89.103397323562206</v>
      </c>
      <c r="AM4878">
        <v>88.310523768657902</v>
      </c>
      <c r="AN4878">
        <v>0.999999992501306</v>
      </c>
    </row>
    <row r="4879" spans="1:40" x14ac:dyDescent="0.25">
      <c r="A4879" t="str">
        <f>"20190312154021406"</f>
        <v>20190312154021406</v>
      </c>
      <c r="B4879" t="str">
        <f>"1552376421400546"</f>
        <v>1552376421400546</v>
      </c>
      <c r="C4879" t="s">
        <v>40</v>
      </c>
      <c r="D4879">
        <v>3.8742399999999999</v>
      </c>
      <c r="E4879">
        <v>0.55110769999999998</v>
      </c>
      <c r="F4879" t="s">
        <v>41</v>
      </c>
      <c r="G4879">
        <v>-256.21289999999999</v>
      </c>
      <c r="H4879">
        <v>0.90918480000000002</v>
      </c>
      <c r="I4879">
        <v>214.30500000000001</v>
      </c>
      <c r="J4879">
        <v>-256.79660000000001</v>
      </c>
      <c r="K4879">
        <v>1.1104240000000001</v>
      </c>
      <c r="L4879">
        <v>214.43289999999999</v>
      </c>
      <c r="M4879">
        <v>0.99989899999999998</v>
      </c>
      <c r="N4879">
        <v>0</v>
      </c>
      <c r="O4879">
        <v>-4.058725E-3</v>
      </c>
      <c r="P4879">
        <v>0.99944909999999998</v>
      </c>
      <c r="Q4879">
        <v>2.8027120000000002E-3</v>
      </c>
      <c r="R4879">
        <v>-3.307156E-2</v>
      </c>
      <c r="S4879">
        <v>2.9870450000000002</v>
      </c>
      <c r="T4879">
        <v>-0.75013629999999998</v>
      </c>
      <c r="U4879">
        <v>-0.47898859999999899</v>
      </c>
      <c r="V4879">
        <v>2.9010749999999998E-2</v>
      </c>
      <c r="W4879">
        <v>1.6426130000000001E-2</v>
      </c>
      <c r="X4879">
        <v>0.99944409999999895</v>
      </c>
      <c r="Y4879">
        <v>0.14990719999999999</v>
      </c>
      <c r="Z4879">
        <v>-1.7425280000000001E-2</v>
      </c>
      <c r="AA4879">
        <v>0.98854649999999999</v>
      </c>
      <c r="AB4879">
        <v>22</v>
      </c>
      <c r="AC4879">
        <v>0.58370000000002098</v>
      </c>
      <c r="AD4879">
        <v>-0.20123920000000001</v>
      </c>
      <c r="AE4879">
        <v>-0.127899999999982</v>
      </c>
      <c r="AF4879">
        <v>0.112742687231299</v>
      </c>
      <c r="AG4879">
        <v>-0.20123920000000001</v>
      </c>
      <c r="AH4879">
        <v>0.524703896125568</v>
      </c>
      <c r="AI4879">
        <v>110.554577163621</v>
      </c>
      <c r="AJ4879">
        <v>77.873285192791698</v>
      </c>
      <c r="AK4879">
        <v>0.57316865558937002</v>
      </c>
      <c r="AL4879">
        <v>89.058809725708798</v>
      </c>
      <c r="AM4879">
        <v>88.337348793484296</v>
      </c>
      <c r="AN4879">
        <v>0.99999997519357398</v>
      </c>
    </row>
    <row r="4880" spans="1:40" x14ac:dyDescent="0.25">
      <c r="A4880" t="str">
        <f>"20190312154021422"</f>
        <v>20190312154021422</v>
      </c>
      <c r="B4880" t="str">
        <f>"1552376421411283"</f>
        <v>1552376421411283</v>
      </c>
      <c r="C4880" t="s">
        <v>40</v>
      </c>
      <c r="D4880">
        <v>3.9312839999999998</v>
      </c>
      <c r="E4880">
        <v>0.55097019999999997</v>
      </c>
      <c r="F4880" t="s">
        <v>41</v>
      </c>
      <c r="G4880">
        <v>-256.01139999999998</v>
      </c>
      <c r="H4880">
        <v>0.92739059999999995</v>
      </c>
      <c r="I4880">
        <v>214.3047</v>
      </c>
      <c r="J4880">
        <v>-256.6309</v>
      </c>
      <c r="K4880">
        <v>1.1104240000000001</v>
      </c>
      <c r="L4880">
        <v>214.4324</v>
      </c>
      <c r="M4880">
        <v>0.99989950000000005</v>
      </c>
      <c r="N4880">
        <v>0</v>
      </c>
      <c r="O4880">
        <v>-3.9209170000000003E-3</v>
      </c>
      <c r="P4880">
        <v>0.99945209999999995</v>
      </c>
      <c r="Q4880">
        <v>3.1673309999999998E-3</v>
      </c>
      <c r="R4880">
        <v>-3.294362E-2</v>
      </c>
      <c r="S4880">
        <v>2.9874269999999998</v>
      </c>
      <c r="T4880">
        <v>-0.69641580000000003</v>
      </c>
      <c r="U4880">
        <v>-0.48800660000000001</v>
      </c>
      <c r="V4880">
        <v>2.9020569999999999E-2</v>
      </c>
      <c r="W4880">
        <v>1.678895E-2</v>
      </c>
      <c r="X4880">
        <v>0.99943780000000004</v>
      </c>
      <c r="Y4880">
        <v>0.15343999999999999</v>
      </c>
      <c r="Z4880">
        <v>-1.664009E-2</v>
      </c>
      <c r="AA4880">
        <v>0.9880179</v>
      </c>
      <c r="AB4880">
        <v>22</v>
      </c>
      <c r="AC4880">
        <v>0.61950000000001604</v>
      </c>
      <c r="AD4880">
        <v>-0.18303340000000001</v>
      </c>
      <c r="AE4880">
        <v>-0.127700000000004</v>
      </c>
      <c r="AF4880">
        <v>0.11559081777315799</v>
      </c>
      <c r="AG4880">
        <v>-0.18303340000000001</v>
      </c>
      <c r="AH4880">
        <v>0.572092009891912</v>
      </c>
      <c r="AI4880">
        <v>107.411416272034</v>
      </c>
      <c r="AJ4880">
        <v>78.577209256758294</v>
      </c>
      <c r="AK4880">
        <v>0.61167943438634198</v>
      </c>
      <c r="AL4880">
        <v>89.038018816454297</v>
      </c>
      <c r="AM4880">
        <v>88.336775831816297</v>
      </c>
      <c r="AN4880">
        <v>0.99999998919703303</v>
      </c>
    </row>
    <row r="4881" spans="1:40" x14ac:dyDescent="0.25">
      <c r="A4881" t="str">
        <f>"20190312154021440"</f>
        <v>20190312154021440</v>
      </c>
      <c r="B4881" t="str">
        <f>"1552376421430803"</f>
        <v>1552376421430803</v>
      </c>
      <c r="C4881" t="s">
        <v>40</v>
      </c>
      <c r="D4881">
        <v>3.944807</v>
      </c>
      <c r="E4881">
        <v>0.55062159999999905</v>
      </c>
      <c r="F4881" t="s">
        <v>41</v>
      </c>
      <c r="G4881">
        <v>-255.8193</v>
      </c>
      <c r="H4881">
        <v>0.92463649999999997</v>
      </c>
      <c r="I4881">
        <v>214.29990000000001</v>
      </c>
      <c r="J4881">
        <v>-256.4631</v>
      </c>
      <c r="K4881">
        <v>1.110422</v>
      </c>
      <c r="L4881">
        <v>214.43190000000001</v>
      </c>
      <c r="M4881">
        <v>0.99990020000000002</v>
      </c>
      <c r="N4881">
        <v>0</v>
      </c>
      <c r="O4881">
        <v>-3.7819170000000001E-3</v>
      </c>
      <c r="P4881">
        <v>0.99943490000000001</v>
      </c>
      <c r="Q4881">
        <v>2.7741910000000001E-3</v>
      </c>
      <c r="R4881">
        <v>-3.3503940000000003E-2</v>
      </c>
      <c r="S4881">
        <v>2.9877319999999998</v>
      </c>
      <c r="T4881">
        <v>-0.68408199999999997</v>
      </c>
      <c r="U4881">
        <v>-0.48696899999999999</v>
      </c>
      <c r="V4881">
        <v>2.9719860000000001E-2</v>
      </c>
      <c r="W4881">
        <v>1.6394180000000001E-2</v>
      </c>
      <c r="X4881">
        <v>0.99942379999999997</v>
      </c>
      <c r="Y4881">
        <v>0.15336140000000001</v>
      </c>
      <c r="Z4881">
        <v>-1.6373950000000002E-2</v>
      </c>
      <c r="AA4881">
        <v>0.98803450000000004</v>
      </c>
      <c r="AB4881">
        <v>22</v>
      </c>
      <c r="AC4881">
        <v>0.64379999999999804</v>
      </c>
      <c r="AD4881">
        <v>-0.18578549999999999</v>
      </c>
      <c r="AE4881">
        <v>-0.132000000000005</v>
      </c>
      <c r="AF4881">
        <v>0.119975941239496</v>
      </c>
      <c r="AG4881">
        <v>-0.18578549999999999</v>
      </c>
      <c r="AH4881">
        <v>0.59661509722858097</v>
      </c>
      <c r="AI4881">
        <v>106.976784611024</v>
      </c>
      <c r="AJ4881">
        <v>78.629788716219295</v>
      </c>
      <c r="AK4881">
        <v>0.63628614060626998</v>
      </c>
      <c r="AL4881">
        <v>89.060640582230604</v>
      </c>
      <c r="AM4881">
        <v>88.296697674328996</v>
      </c>
      <c r="AN4881">
        <v>0.99999998561136505</v>
      </c>
    </row>
    <row r="4882" spans="1:40" x14ac:dyDescent="0.25">
      <c r="A4882" t="str">
        <f>"20190312154021463"</f>
        <v>20190312154021463</v>
      </c>
      <c r="B4882" t="str">
        <f>"1552376421451299"</f>
        <v>1552376421451299</v>
      </c>
      <c r="C4882" t="s">
        <v>40</v>
      </c>
      <c r="D4882">
        <v>4.0318420000000001</v>
      </c>
      <c r="E4882">
        <v>0.55049179999999998</v>
      </c>
      <c r="F4882" t="s">
        <v>41</v>
      </c>
      <c r="G4882">
        <v>-255.62629999999999</v>
      </c>
      <c r="H4882">
        <v>0.92415650000000005</v>
      </c>
      <c r="I4882">
        <v>214.2955</v>
      </c>
      <c r="J4882">
        <v>-256.25220000000002</v>
      </c>
      <c r="K4882">
        <v>1.110419</v>
      </c>
      <c r="L4882">
        <v>214.43129999999999</v>
      </c>
      <c r="M4882">
        <v>0.99990080000000003</v>
      </c>
      <c r="N4882">
        <v>0</v>
      </c>
      <c r="O4882">
        <v>-3.6061959999999999E-3</v>
      </c>
      <c r="P4882">
        <v>0.99940209999999996</v>
      </c>
      <c r="Q4882">
        <v>2.3933869999999999E-3</v>
      </c>
      <c r="R4882">
        <v>-3.4492149999999999E-2</v>
      </c>
      <c r="S4882">
        <v>2.987244</v>
      </c>
      <c r="T4882">
        <v>-0.66505360000000002</v>
      </c>
      <c r="U4882">
        <v>-0.48641970000000001</v>
      </c>
      <c r="V4882">
        <v>3.088395E-2</v>
      </c>
      <c r="W4882">
        <v>1.6011330000000001E-2</v>
      </c>
      <c r="X4882">
        <v>0.99939469999999997</v>
      </c>
      <c r="Y4882">
        <v>0.15357750000000001</v>
      </c>
      <c r="Z4882">
        <v>-1.5994069999999999E-2</v>
      </c>
      <c r="AA4882">
        <v>0.98800719999999997</v>
      </c>
      <c r="AB4882">
        <v>22</v>
      </c>
      <c r="AC4882">
        <v>0.62590000000002899</v>
      </c>
      <c r="AD4882">
        <v>-0.1862625</v>
      </c>
      <c r="AE4882">
        <v>-0.13579999999998901</v>
      </c>
      <c r="AF4882">
        <v>0.123127751857231</v>
      </c>
      <c r="AG4882">
        <v>-0.1862625</v>
      </c>
      <c r="AH4882">
        <v>0.57753803409733395</v>
      </c>
      <c r="AI4882">
        <v>107.506453339725</v>
      </c>
      <c r="AJ4882">
        <v>77.9650505077758</v>
      </c>
      <c r="AK4882">
        <v>0.61919653020077503</v>
      </c>
      <c r="AL4882">
        <v>89.082579140905906</v>
      </c>
      <c r="AM4882">
        <v>88.229971571492698</v>
      </c>
      <c r="AN4882">
        <v>0.99999997372202998</v>
      </c>
    </row>
    <row r="4883" spans="1:40" x14ac:dyDescent="0.25">
      <c r="A4883" t="str">
        <f>"20190312154021484"</f>
        <v>20190312154021484</v>
      </c>
      <c r="B4883" t="str">
        <f>"1552376421480578"</f>
        <v>1552376421480578</v>
      </c>
      <c r="C4883" t="s">
        <v>40</v>
      </c>
      <c r="D4883">
        <v>4.0196519999999998</v>
      </c>
      <c r="E4883">
        <v>0.54989069999999995</v>
      </c>
      <c r="F4883" t="s">
        <v>41</v>
      </c>
      <c r="G4883">
        <v>-255.43209999999999</v>
      </c>
      <c r="H4883">
        <v>0.92773629999999996</v>
      </c>
      <c r="I4883">
        <v>214.29679999999999</v>
      </c>
      <c r="J4883">
        <v>-256.04140000000001</v>
      </c>
      <c r="K4883">
        <v>1.110412</v>
      </c>
      <c r="L4883">
        <v>214.4308</v>
      </c>
      <c r="M4883">
        <v>0.9999015</v>
      </c>
      <c r="N4883">
        <v>0</v>
      </c>
      <c r="O4883">
        <v>-3.4285589999999999E-3</v>
      </c>
      <c r="P4883">
        <v>0.99935960000000001</v>
      </c>
      <c r="Q4883">
        <v>1.84392E-3</v>
      </c>
      <c r="R4883">
        <v>-3.5734870000000002E-2</v>
      </c>
      <c r="S4883">
        <v>2.9864959999999998</v>
      </c>
      <c r="T4883">
        <v>-0.66545290000000001</v>
      </c>
      <c r="U4883">
        <v>-0.48847960000000001</v>
      </c>
      <c r="V4883">
        <v>3.2304479999999997E-2</v>
      </c>
      <c r="W4883">
        <v>1.54597E-2</v>
      </c>
      <c r="X4883">
        <v>0.99935850000000004</v>
      </c>
      <c r="Y4883">
        <v>0.1544259</v>
      </c>
      <c r="Z4883">
        <v>-1.6138090000000001E-2</v>
      </c>
      <c r="AA4883">
        <v>0.98787259999999999</v>
      </c>
      <c r="AB4883">
        <v>22</v>
      </c>
      <c r="AC4883">
        <v>0.60930000000001805</v>
      </c>
      <c r="AD4883">
        <v>-0.1826757</v>
      </c>
      <c r="AE4883">
        <v>-0.134000000000014</v>
      </c>
      <c r="AF4883">
        <v>0.12149311850696901</v>
      </c>
      <c r="AG4883">
        <v>-0.1826757</v>
      </c>
      <c r="AH4883">
        <v>0.56160371141971799</v>
      </c>
      <c r="AI4883">
        <v>107.63654533298801</v>
      </c>
      <c r="AJ4883">
        <v>77.793168013932501</v>
      </c>
      <c r="AK4883">
        <v>0.60293425669424405</v>
      </c>
      <c r="AL4883">
        <v>89.114189146950807</v>
      </c>
      <c r="AM4883">
        <v>88.148546209334697</v>
      </c>
      <c r="AN4883">
        <v>0.99999999663720496</v>
      </c>
    </row>
    <row r="4884" spans="1:40" x14ac:dyDescent="0.25">
      <c r="A4884" t="str">
        <f>"20190312154021506"</f>
        <v>20190312154021506</v>
      </c>
      <c r="B4884" t="str">
        <f>"1552376421501079"</f>
        <v>1552376421501079</v>
      </c>
      <c r="C4884" t="s">
        <v>40</v>
      </c>
      <c r="D4884">
        <v>3.9469400000000001</v>
      </c>
      <c r="E4884">
        <v>0.54940999999999995</v>
      </c>
      <c r="F4884" t="s">
        <v>41</v>
      </c>
      <c r="G4884">
        <v>-255.2381</v>
      </c>
      <c r="H4884">
        <v>0.93119649999999998</v>
      </c>
      <c r="I4884">
        <v>214.29939999999999</v>
      </c>
      <c r="J4884">
        <v>-255.8261</v>
      </c>
      <c r="K4884">
        <v>1.110419</v>
      </c>
      <c r="L4884">
        <v>214.43029999999999</v>
      </c>
      <c r="M4884">
        <v>0.99990210000000002</v>
      </c>
      <c r="N4884">
        <v>0</v>
      </c>
      <c r="O4884">
        <v>-3.242796E-3</v>
      </c>
      <c r="P4884">
        <v>0.99932399999999999</v>
      </c>
      <c r="Q4884">
        <v>1.887796E-3</v>
      </c>
      <c r="R4884">
        <v>-3.671381E-2</v>
      </c>
      <c r="S4884">
        <v>2.9857640000000001</v>
      </c>
      <c r="T4884">
        <v>-0.66617669999999996</v>
      </c>
      <c r="U4884">
        <v>-0.48725889999999999</v>
      </c>
      <c r="V4884">
        <v>3.3469230000000003E-2</v>
      </c>
      <c r="W4884">
        <v>1.550118E-2</v>
      </c>
      <c r="X4884">
        <v>0.99931959999999997</v>
      </c>
      <c r="Y4884">
        <v>0.15424460000000001</v>
      </c>
      <c r="Z4884">
        <v>-1.6180400000000001E-2</v>
      </c>
      <c r="AA4884">
        <v>0.98790020000000001</v>
      </c>
      <c r="AB4884">
        <v>22</v>
      </c>
      <c r="AC4884">
        <v>0.58799999999999297</v>
      </c>
      <c r="AD4884">
        <v>-0.17922250000000001</v>
      </c>
      <c r="AE4884">
        <v>-0.13089999999999599</v>
      </c>
      <c r="AF4884">
        <v>0.118502925534124</v>
      </c>
      <c r="AG4884">
        <v>-0.17922250000000001</v>
      </c>
      <c r="AH4884">
        <v>0.540571975751865</v>
      </c>
      <c r="AI4884">
        <v>107.94465353343</v>
      </c>
      <c r="AJ4884">
        <v>77.635343705818002</v>
      </c>
      <c r="AK4884">
        <v>0.58170586109705902</v>
      </c>
      <c r="AL4884">
        <v>89.111812297853604</v>
      </c>
      <c r="AM4884">
        <v>88.081765746131197</v>
      </c>
      <c r="AN4884">
        <v>1.0000000694411699</v>
      </c>
    </row>
    <row r="4885" spans="1:40" x14ac:dyDescent="0.25">
      <c r="A4885" t="str">
        <f>"20190312154021529"</f>
        <v>20190312154021529</v>
      </c>
      <c r="B4885" t="str">
        <f>"1552376421520594"</f>
        <v>1552376421520594</v>
      </c>
      <c r="C4885" t="s">
        <v>40</v>
      </c>
      <c r="D4885">
        <v>4.0514590000000004</v>
      </c>
      <c r="E4885">
        <v>0.54917439999999995</v>
      </c>
      <c r="F4885" t="s">
        <v>41</v>
      </c>
      <c r="G4885">
        <v>-255.04349999999999</v>
      </c>
      <c r="H4885">
        <v>0.93655489999999997</v>
      </c>
      <c r="I4885">
        <v>214.30260000000001</v>
      </c>
      <c r="J4885">
        <v>-255.6112</v>
      </c>
      <c r="K4885">
        <v>1.110428</v>
      </c>
      <c r="L4885">
        <v>214.4298</v>
      </c>
      <c r="M4885">
        <v>0.99990279999999998</v>
      </c>
      <c r="N4885">
        <v>0</v>
      </c>
      <c r="O4885">
        <v>-3.0506790000000002E-3</v>
      </c>
      <c r="P4885">
        <v>0.99928859999999997</v>
      </c>
      <c r="Q4885">
        <v>2.6819360000000002E-3</v>
      </c>
      <c r="R4885">
        <v>-3.7622969999999999E-2</v>
      </c>
      <c r="S4885">
        <v>2.9854280000000002</v>
      </c>
      <c r="T4885">
        <v>-0.66330429999999996</v>
      </c>
      <c r="U4885">
        <v>-0.48608400000000002</v>
      </c>
      <c r="V4885">
        <v>3.4570219999999999E-2</v>
      </c>
      <c r="W4885">
        <v>1.629311E-2</v>
      </c>
      <c r="X4885">
        <v>0.99926939999999997</v>
      </c>
      <c r="Y4885">
        <v>0.15410170000000001</v>
      </c>
      <c r="Z4885">
        <v>-1.614082E-2</v>
      </c>
      <c r="AA4885">
        <v>0.98792310000000005</v>
      </c>
      <c r="AB4885">
        <v>22</v>
      </c>
      <c r="AC4885">
        <v>0.56770000000000198</v>
      </c>
      <c r="AD4885">
        <v>-0.173873099999999</v>
      </c>
      <c r="AE4885">
        <v>-0.12719999999998699</v>
      </c>
      <c r="AF4885">
        <v>0.115179438146375</v>
      </c>
      <c r="AG4885">
        <v>-0.173873099999999</v>
      </c>
      <c r="AH4885">
        <v>0.52150418106044505</v>
      </c>
      <c r="AI4885">
        <v>108.03323692293399</v>
      </c>
      <c r="AJ4885">
        <v>77.545587783889701</v>
      </c>
      <c r="AK4885">
        <v>0.561662504302049</v>
      </c>
      <c r="AL4885">
        <v>89.066432206756303</v>
      </c>
      <c r="AM4885">
        <v>88.018614340024698</v>
      </c>
      <c r="AN4885">
        <v>0.999999949660339</v>
      </c>
    </row>
    <row r="4886" spans="1:40" x14ac:dyDescent="0.25">
      <c r="A4886" t="str">
        <f>"20190312154021562"</f>
        <v>20190312154021562</v>
      </c>
      <c r="B4886" t="str">
        <f>"1552376421550850"</f>
        <v>1552376421550850</v>
      </c>
      <c r="C4886" t="s">
        <v>40</v>
      </c>
      <c r="D4886">
        <v>4.0069800000000004</v>
      </c>
      <c r="E4886">
        <v>0.54919530000000005</v>
      </c>
      <c r="F4886" t="s">
        <v>41</v>
      </c>
      <c r="G4886">
        <v>-254.84909999999999</v>
      </c>
      <c r="H4886">
        <v>0.94189100000000003</v>
      </c>
      <c r="I4886">
        <v>214.30549999999999</v>
      </c>
      <c r="J4886">
        <v>-255.2954</v>
      </c>
      <c r="K4886">
        <v>1.110436</v>
      </c>
      <c r="L4886">
        <v>214.42920000000001</v>
      </c>
      <c r="M4886">
        <v>0.99990369999999995</v>
      </c>
      <c r="N4886">
        <v>0</v>
      </c>
      <c r="O4886">
        <v>-2.749498E-3</v>
      </c>
      <c r="P4886">
        <v>0.99928209999999995</v>
      </c>
      <c r="Q4886">
        <v>4.3327180000000002E-3</v>
      </c>
      <c r="R4886">
        <v>-3.7642689999999999E-2</v>
      </c>
      <c r="S4886">
        <v>2.985611</v>
      </c>
      <c r="T4886">
        <v>-0.66030679999999997</v>
      </c>
      <c r="U4886">
        <v>-0.48634339999999998</v>
      </c>
      <c r="V4886">
        <v>3.4889940000000001E-2</v>
      </c>
      <c r="W4886">
        <v>1.7941289999999999E-2</v>
      </c>
      <c r="X4886">
        <v>0.99923010000000001</v>
      </c>
      <c r="Y4886">
        <v>0.1544894</v>
      </c>
      <c r="Z4886">
        <v>-1.6175999999999999E-2</v>
      </c>
      <c r="AA4886">
        <v>0.98786200000000002</v>
      </c>
      <c r="AB4886">
        <v>22</v>
      </c>
      <c r="AC4886">
        <v>0.44630000000000702</v>
      </c>
      <c r="AD4886">
        <v>-0.168544999999999</v>
      </c>
      <c r="AE4886">
        <v>-0.12370000000001299</v>
      </c>
      <c r="AF4886">
        <v>0.108148623400665</v>
      </c>
      <c r="AG4886">
        <v>-0.168544999999999</v>
      </c>
      <c r="AH4886">
        <v>0.394402058716326</v>
      </c>
      <c r="AI4886">
        <v>112.39801619798401</v>
      </c>
      <c r="AJ4886">
        <v>74.665887847032707</v>
      </c>
      <c r="AK4886">
        <v>0.442330787633119</v>
      </c>
      <c r="AL4886">
        <v>88.971984642798105</v>
      </c>
      <c r="AM4886">
        <v>88.000225872756602</v>
      </c>
      <c r="AN4886">
        <v>0.99999999527303896</v>
      </c>
    </row>
    <row r="4887" spans="1:40" x14ac:dyDescent="0.25">
      <c r="A4887" t="str">
        <f>"20190312154021584"</f>
        <v>20190312154021584</v>
      </c>
      <c r="B4887" t="str">
        <f>"1552376421581107"</f>
        <v>1552376421581107</v>
      </c>
      <c r="C4887" t="s">
        <v>40</v>
      </c>
      <c r="D4887">
        <v>4.0451169999999896</v>
      </c>
      <c r="E4887">
        <v>0.54929629999999996</v>
      </c>
      <c r="F4887" t="s">
        <v>41</v>
      </c>
      <c r="G4887">
        <v>-254.47210000000001</v>
      </c>
      <c r="H4887">
        <v>0.92829899999999999</v>
      </c>
      <c r="I4887">
        <v>214.29519999999999</v>
      </c>
      <c r="J4887">
        <v>-255.08080000000001</v>
      </c>
      <c r="K4887">
        <v>1.1104449999999999</v>
      </c>
      <c r="L4887">
        <v>214.4288</v>
      </c>
      <c r="M4887">
        <v>0.99990429999999997</v>
      </c>
      <c r="N4887">
        <v>0</v>
      </c>
      <c r="O4887">
        <v>-2.5280879999999999E-3</v>
      </c>
      <c r="P4887">
        <v>0.99929219999999996</v>
      </c>
      <c r="Q4887">
        <v>5.4345180000000002E-3</v>
      </c>
      <c r="R4887">
        <v>-3.7227580000000003E-2</v>
      </c>
      <c r="S4887">
        <v>2.9867249999999999</v>
      </c>
      <c r="T4887">
        <v>-0.66072449999999905</v>
      </c>
      <c r="U4887">
        <v>-0.4856415</v>
      </c>
      <c r="V4887">
        <v>3.4695299999999998E-2</v>
      </c>
      <c r="W4887">
        <v>1.9041639999999999E-2</v>
      </c>
      <c r="X4887">
        <v>0.99921649999999995</v>
      </c>
      <c r="Y4887">
        <v>0.1544179</v>
      </c>
      <c r="Z4887">
        <v>-1.6220789999999999E-2</v>
      </c>
      <c r="AA4887">
        <v>0.98787250000000004</v>
      </c>
      <c r="AB4887">
        <v>21</v>
      </c>
      <c r="AC4887">
        <v>0.60869999999999802</v>
      </c>
      <c r="AD4887">
        <v>-0.182146</v>
      </c>
      <c r="AE4887">
        <v>-0.133600000000001</v>
      </c>
      <c r="AF4887">
        <v>0.121666843975945</v>
      </c>
      <c r="AG4887">
        <v>-0.182146</v>
      </c>
      <c r="AH4887">
        <v>0.56110208186518795</v>
      </c>
      <c r="AI4887">
        <v>107.60159706661101</v>
      </c>
      <c r="AJ4887">
        <v>77.765638595204393</v>
      </c>
      <c r="AK4887">
        <v>0.60234170743234705</v>
      </c>
      <c r="AL4887">
        <v>88.908928431167496</v>
      </c>
      <c r="AM4887">
        <v>88.011345956328498</v>
      </c>
      <c r="AN4887">
        <v>0.99999998088411401</v>
      </c>
    </row>
    <row r="4888" spans="1:40" x14ac:dyDescent="0.25">
      <c r="A4888" t="str">
        <f>"20190312154021607"</f>
        <v>20190312154021607</v>
      </c>
      <c r="B4888" t="str">
        <f>"1552376421600626"</f>
        <v>1552376421600626</v>
      </c>
      <c r="C4888" t="s">
        <v>40</v>
      </c>
      <c r="D4888">
        <v>4.0725850000000001</v>
      </c>
      <c r="E4888">
        <v>0.54932859999999994</v>
      </c>
      <c r="F4888" t="s">
        <v>41</v>
      </c>
      <c r="G4888">
        <v>-254.2791</v>
      </c>
      <c r="H4888">
        <v>0.93230270000000004</v>
      </c>
      <c r="I4888">
        <v>214.29849999999999</v>
      </c>
      <c r="J4888">
        <v>-254.86240000000001</v>
      </c>
      <c r="K4888">
        <v>1.1104670000000001</v>
      </c>
      <c r="L4888">
        <v>214.42850000000001</v>
      </c>
      <c r="M4888">
        <v>0.99990489999999999</v>
      </c>
      <c r="N4888">
        <v>0</v>
      </c>
      <c r="O4888">
        <v>-2.288918E-3</v>
      </c>
      <c r="P4888">
        <v>0.99929330000000005</v>
      </c>
      <c r="Q4888">
        <v>5.9013529999999998E-3</v>
      </c>
      <c r="R4888">
        <v>-3.7126859999999998E-2</v>
      </c>
      <c r="S4888">
        <v>2.9876860000000001</v>
      </c>
      <c r="T4888">
        <v>-0.66391679999999997</v>
      </c>
      <c r="U4888">
        <v>-0.48461910000000002</v>
      </c>
      <c r="V4888">
        <v>3.4833099999999999E-2</v>
      </c>
      <c r="W4888">
        <v>1.9506949999999999E-2</v>
      </c>
      <c r="X4888">
        <v>0.9992027</v>
      </c>
      <c r="Y4888">
        <v>0.1542405</v>
      </c>
      <c r="Z4888">
        <v>-1.6325539999999999E-2</v>
      </c>
      <c r="AA4888">
        <v>0.98789850000000001</v>
      </c>
      <c r="AB4888">
        <v>21</v>
      </c>
      <c r="AC4888">
        <v>0.58330000000000803</v>
      </c>
      <c r="AD4888">
        <v>-0.1781643</v>
      </c>
      <c r="AE4888">
        <v>-0.13000000000002301</v>
      </c>
      <c r="AF4888">
        <v>0.118162153455223</v>
      </c>
      <c r="AG4888">
        <v>-0.1781643</v>
      </c>
      <c r="AH4888">
        <v>0.53595992092163502</v>
      </c>
      <c r="AI4888">
        <v>107.98473342260699</v>
      </c>
      <c r="AJ4888">
        <v>77.566993027876805</v>
      </c>
      <c r="AK4888">
        <v>0.57702499871148605</v>
      </c>
      <c r="AL4888">
        <v>88.882263144134001</v>
      </c>
      <c r="AM4888">
        <v>88.003426407889094</v>
      </c>
      <c r="AN4888">
        <v>0.9999999508206</v>
      </c>
    </row>
    <row r="4889" spans="1:40" x14ac:dyDescent="0.25">
      <c r="A4889" t="str">
        <f>"20190312154021629"</f>
        <v>20190312154021629</v>
      </c>
      <c r="B4889" t="str">
        <f>"1552376421621126"</f>
        <v>1552376421621126</v>
      </c>
      <c r="C4889" t="s">
        <v>40</v>
      </c>
      <c r="D4889">
        <v>4.0704650000000004</v>
      </c>
      <c r="E4889">
        <v>0.54916909999999997</v>
      </c>
      <c r="F4889" t="s">
        <v>41</v>
      </c>
      <c r="G4889">
        <v>-254.08580000000001</v>
      </c>
      <c r="H4889">
        <v>0.93741260000000004</v>
      </c>
      <c r="I4889">
        <v>214.30260000000001</v>
      </c>
      <c r="J4889">
        <v>-254.6541</v>
      </c>
      <c r="K4889">
        <v>1.1104799999999999</v>
      </c>
      <c r="L4889">
        <v>214.42830000000001</v>
      </c>
      <c r="M4889">
        <v>0.9999053</v>
      </c>
      <c r="N4889">
        <v>0</v>
      </c>
      <c r="O4889">
        <v>-2.0453490000000001E-3</v>
      </c>
      <c r="P4889">
        <v>0.99929990000000002</v>
      </c>
      <c r="Q4889">
        <v>6.1553060000000001E-3</v>
      </c>
      <c r="R4889">
        <v>-3.6905350000000003E-2</v>
      </c>
      <c r="S4889">
        <v>2.9880520000000002</v>
      </c>
      <c r="T4889">
        <v>-0.66584509999999997</v>
      </c>
      <c r="U4889">
        <v>-0.48455809999999999</v>
      </c>
      <c r="V4889">
        <v>3.485448E-2</v>
      </c>
      <c r="W4889">
        <v>1.9760099999999999E-2</v>
      </c>
      <c r="X4889">
        <v>0.999197</v>
      </c>
      <c r="Y4889">
        <v>0.15441240000000001</v>
      </c>
      <c r="Z4889">
        <v>-1.644201E-2</v>
      </c>
      <c r="AA4889">
        <v>0.98786969999999996</v>
      </c>
      <c r="AB4889">
        <v>21</v>
      </c>
      <c r="AC4889">
        <v>0.56829999999999303</v>
      </c>
      <c r="AD4889">
        <v>-0.17306739999999901</v>
      </c>
      <c r="AE4889">
        <v>-0.12569999999999401</v>
      </c>
      <c r="AF4889">
        <v>0.114420628045596</v>
      </c>
      <c r="AG4889">
        <v>-0.17306739999999901</v>
      </c>
      <c r="AH4889">
        <v>0.52236999978041099</v>
      </c>
      <c r="AI4889">
        <v>107.933598878154</v>
      </c>
      <c r="AJ4889">
        <v>77.644983079286007</v>
      </c>
      <c r="AK4889">
        <v>0.56206300512993701</v>
      </c>
      <c r="AL4889">
        <v>88.867755942802503</v>
      </c>
      <c r="AM4889">
        <v>88.002190548291395</v>
      </c>
      <c r="AN4889">
        <v>0.99999997056853895</v>
      </c>
    </row>
    <row r="4890" spans="1:40" x14ac:dyDescent="0.25">
      <c r="A4890" t="str">
        <f>"20190312154021651"</f>
        <v>20190312154021651</v>
      </c>
      <c r="B4890" t="str">
        <f>"1552376421641247"</f>
        <v>1552376421641247</v>
      </c>
      <c r="C4890" t="s">
        <v>40</v>
      </c>
      <c r="D4890">
        <v>4.0374089999999896</v>
      </c>
      <c r="E4890">
        <v>0.5490893</v>
      </c>
      <c r="F4890" t="s">
        <v>41</v>
      </c>
      <c r="G4890">
        <v>-253.89359999999999</v>
      </c>
      <c r="H4890">
        <v>0.94089409999999896</v>
      </c>
      <c r="I4890">
        <v>214.30529999999999</v>
      </c>
      <c r="J4890">
        <v>-254.43690000000001</v>
      </c>
      <c r="K4890">
        <v>1.1104879999999999</v>
      </c>
      <c r="L4890">
        <v>214.4282</v>
      </c>
      <c r="M4890">
        <v>0.99990610000000002</v>
      </c>
      <c r="N4890">
        <v>0</v>
      </c>
      <c r="O4890">
        <v>-1.7772269999999999E-3</v>
      </c>
      <c r="P4890">
        <v>0.99931559999999997</v>
      </c>
      <c r="Q4890">
        <v>6.4762480000000004E-3</v>
      </c>
      <c r="R4890">
        <v>-3.6423160000000003E-2</v>
      </c>
      <c r="S4890">
        <v>2.9883419999999998</v>
      </c>
      <c r="T4890">
        <v>-0.66649689999999995</v>
      </c>
      <c r="U4890">
        <v>-0.48287960000000002</v>
      </c>
      <c r="V4890">
        <v>3.4640020000000001E-2</v>
      </c>
      <c r="W4890">
        <v>2.007952E-2</v>
      </c>
      <c r="X4890">
        <v>0.99919809999999998</v>
      </c>
      <c r="Y4890">
        <v>0.15411520000000001</v>
      </c>
      <c r="Z4890">
        <v>-1.6483069999999999E-2</v>
      </c>
      <c r="AA4890">
        <v>0.9879154</v>
      </c>
      <c r="AB4890">
        <v>21</v>
      </c>
      <c r="AC4890">
        <v>0.54330000000001599</v>
      </c>
      <c r="AD4890">
        <v>-0.16959389999999999</v>
      </c>
      <c r="AE4890">
        <v>-0.122900000000015</v>
      </c>
      <c r="AF4890">
        <v>0.111590040337994</v>
      </c>
      <c r="AG4890">
        <v>-0.16959389999999999</v>
      </c>
      <c r="AH4890">
        <v>0.49740904729515401</v>
      </c>
      <c r="AI4890">
        <v>108.40153094173</v>
      </c>
      <c r="AJ4890">
        <v>77.355472672292095</v>
      </c>
      <c r="AK4890">
        <v>0.53724313709057103</v>
      </c>
      <c r="AL4890">
        <v>88.849450903738003</v>
      </c>
      <c r="AM4890">
        <v>88.014475406521797</v>
      </c>
      <c r="AN4890">
        <v>0.99999998057632</v>
      </c>
    </row>
    <row r="4891" spans="1:40" x14ac:dyDescent="0.25">
      <c r="A4891" t="str">
        <f>"20190312154021674"</f>
        <v>20190312154021674</v>
      </c>
      <c r="B4891" t="str">
        <f>"1552376421671502"</f>
        <v>1552376421671502</v>
      </c>
      <c r="C4891" t="s">
        <v>40</v>
      </c>
      <c r="D4891">
        <v>4.0981889999999996</v>
      </c>
      <c r="E4891">
        <v>0.54909560000000002</v>
      </c>
      <c r="F4891" t="s">
        <v>41</v>
      </c>
      <c r="G4891">
        <v>-253.70089999999999</v>
      </c>
      <c r="H4891">
        <v>0.94605950000000005</v>
      </c>
      <c r="I4891">
        <v>214.30969999999999</v>
      </c>
      <c r="J4891">
        <v>-254.22389999999999</v>
      </c>
      <c r="K4891">
        <v>1.110495</v>
      </c>
      <c r="L4891">
        <v>214.4281</v>
      </c>
      <c r="M4891">
        <v>0.99990639999999997</v>
      </c>
      <c r="N4891">
        <v>0</v>
      </c>
      <c r="O4891">
        <v>-1.501982E-3</v>
      </c>
      <c r="P4891">
        <v>0.99934429999999996</v>
      </c>
      <c r="Q4891">
        <v>6.6186489999999999E-3</v>
      </c>
      <c r="R4891">
        <v>-3.5598520000000002E-2</v>
      </c>
      <c r="S4891">
        <v>2.9888759999999999</v>
      </c>
      <c r="T4891">
        <v>-0.66769160000000005</v>
      </c>
      <c r="U4891">
        <v>-0.48095700000000002</v>
      </c>
      <c r="V4891">
        <v>3.4089809999999998E-2</v>
      </c>
      <c r="W4891">
        <v>2.0220160000000001E-2</v>
      </c>
      <c r="X4891">
        <v>0.99921420000000005</v>
      </c>
      <c r="Y4891">
        <v>0.15373029999999999</v>
      </c>
      <c r="Z4891">
        <v>-1.6528049999999999E-2</v>
      </c>
      <c r="AA4891">
        <v>0.98797460000000004</v>
      </c>
      <c r="AB4891">
        <v>21</v>
      </c>
      <c r="AC4891">
        <v>0.52299999999999602</v>
      </c>
      <c r="AD4891">
        <v>-0.16443550000000001</v>
      </c>
      <c r="AE4891">
        <v>-0.118400000000008</v>
      </c>
      <c r="AF4891">
        <v>0.10750519366626</v>
      </c>
      <c r="AG4891">
        <v>-0.16443550000000001</v>
      </c>
      <c r="AH4891">
        <v>0.47820965006530503</v>
      </c>
      <c r="AI4891">
        <v>108.54575706862801</v>
      </c>
      <c r="AJ4891">
        <v>77.330106049935296</v>
      </c>
      <c r="AK4891">
        <v>0.51699213702052804</v>
      </c>
      <c r="AL4891">
        <v>88.8413912040551</v>
      </c>
      <c r="AM4891">
        <v>88.046019601814507</v>
      </c>
      <c r="AN4891">
        <v>0.99999999374895099</v>
      </c>
    </row>
    <row r="4892" spans="1:40" x14ac:dyDescent="0.25">
      <c r="A4892" t="str">
        <f>"20190312154021696"</f>
        <v>20190312154021696</v>
      </c>
      <c r="B4892" t="str">
        <f>"1552376421691025"</f>
        <v>1552376421691025</v>
      </c>
      <c r="C4892" t="s">
        <v>40</v>
      </c>
      <c r="D4892">
        <v>4.1252610000000001</v>
      </c>
      <c r="E4892">
        <v>0.54914960000000002</v>
      </c>
      <c r="F4892" t="s">
        <v>41</v>
      </c>
      <c r="G4892">
        <v>-253.50890000000001</v>
      </c>
      <c r="H4892">
        <v>0.9500035</v>
      </c>
      <c r="I4892">
        <v>214.3133</v>
      </c>
      <c r="J4892">
        <v>-254.01310000000001</v>
      </c>
      <c r="K4892">
        <v>1.110498</v>
      </c>
      <c r="L4892">
        <v>214.4282</v>
      </c>
      <c r="M4892">
        <v>0.99990679999999998</v>
      </c>
      <c r="N4892">
        <v>0</v>
      </c>
      <c r="O4892">
        <v>-1.2227220000000001E-3</v>
      </c>
      <c r="P4892">
        <v>0.99936780000000003</v>
      </c>
      <c r="Q4892">
        <v>6.7213109999999998E-3</v>
      </c>
      <c r="R4892">
        <v>-3.4907269999999997E-2</v>
      </c>
      <c r="S4892">
        <v>2.9893489999999998</v>
      </c>
      <c r="T4892">
        <v>-0.67103169999999901</v>
      </c>
      <c r="U4892">
        <v>-0.47886659999999998</v>
      </c>
      <c r="V4892">
        <v>3.367771E-2</v>
      </c>
      <c r="W4892">
        <v>2.0321229999999999E-2</v>
      </c>
      <c r="X4892">
        <v>0.99922619999999895</v>
      </c>
      <c r="Y4892">
        <v>0.15327669999999999</v>
      </c>
      <c r="Z4892">
        <v>-1.6618669999999999E-2</v>
      </c>
      <c r="AA4892">
        <v>0.98804349999999996</v>
      </c>
      <c r="AB4892">
        <v>21</v>
      </c>
      <c r="AC4892">
        <v>0.50419999999999698</v>
      </c>
      <c r="AD4892">
        <v>-0.16049449999999901</v>
      </c>
      <c r="AE4892">
        <v>-0.114900000000005</v>
      </c>
      <c r="AF4892">
        <v>0.10424248164786901</v>
      </c>
      <c r="AG4892">
        <v>-0.16049449999999901</v>
      </c>
      <c r="AH4892">
        <v>0.46002905502993702</v>
      </c>
      <c r="AI4892">
        <v>108.79101769115501</v>
      </c>
      <c r="AJ4892">
        <v>77.232402657139502</v>
      </c>
      <c r="AK4892">
        <v>0.49824864373332001</v>
      </c>
      <c r="AL4892">
        <v>88.835599217868804</v>
      </c>
      <c r="AM4892">
        <v>88.069645784246205</v>
      </c>
      <c r="AN4892">
        <v>1.00000006965299</v>
      </c>
    </row>
    <row r="4893" spans="1:40" x14ac:dyDescent="0.25">
      <c r="A4893" t="str">
        <f>"20190312154021719"</f>
        <v>20190312154021719</v>
      </c>
      <c r="B4893" t="str">
        <f>"1552376421710542"</f>
        <v>1552376421710542</v>
      </c>
      <c r="C4893" t="s">
        <v>40</v>
      </c>
      <c r="D4893">
        <v>4.125165</v>
      </c>
      <c r="E4893">
        <v>0.54909219999999903</v>
      </c>
      <c r="F4893" t="s">
        <v>41</v>
      </c>
      <c r="G4893">
        <v>-253.31720000000001</v>
      </c>
      <c r="H4893">
        <v>0.95386170000000003</v>
      </c>
      <c r="I4893">
        <v>214.31700000000001</v>
      </c>
      <c r="J4893">
        <v>-253.80029999999999</v>
      </c>
      <c r="K4893">
        <v>1.110506</v>
      </c>
      <c r="L4893">
        <v>214.4282</v>
      </c>
      <c r="M4893">
        <v>0.99990730000000005</v>
      </c>
      <c r="N4893">
        <v>0</v>
      </c>
      <c r="O4893">
        <v>-9.3695080000000004E-4</v>
      </c>
      <c r="P4893">
        <v>0.99939880000000003</v>
      </c>
      <c r="Q4893">
        <v>6.529488E-3</v>
      </c>
      <c r="R4893">
        <v>-3.4048349999999998E-2</v>
      </c>
      <c r="S4893">
        <v>2.9897610000000001</v>
      </c>
      <c r="T4893">
        <v>-0.67294370000000003</v>
      </c>
      <c r="U4893">
        <v>-0.47740169999999998</v>
      </c>
      <c r="V4893">
        <v>3.3104229999999998E-2</v>
      </c>
      <c r="W4893">
        <v>2.0127200000000001E-2</v>
      </c>
      <c r="X4893">
        <v>0.99924919999999995</v>
      </c>
      <c r="Y4893">
        <v>0.15304409999999999</v>
      </c>
      <c r="Z4893">
        <v>-1.6700739999999999E-2</v>
      </c>
      <c r="AA4893">
        <v>0.98807820000000002</v>
      </c>
      <c r="AB4893">
        <v>21</v>
      </c>
      <c r="AC4893">
        <v>0.48309999999997899</v>
      </c>
      <c r="AD4893">
        <v>-0.15664429999999899</v>
      </c>
      <c r="AE4893">
        <v>-0.111199999999996</v>
      </c>
      <c r="AF4893">
        <v>0.10069336598365899</v>
      </c>
      <c r="AG4893">
        <v>-0.15664429999999899</v>
      </c>
      <c r="AH4893">
        <v>0.439337570292827</v>
      </c>
      <c r="AI4893">
        <v>109.164149948675</v>
      </c>
      <c r="AJ4893">
        <v>77.091124348368098</v>
      </c>
      <c r="AK4893">
        <v>0.47717302034630299</v>
      </c>
      <c r="AL4893">
        <v>88.846718486853803</v>
      </c>
      <c r="AM4893">
        <v>88.102536176266</v>
      </c>
      <c r="AN4893">
        <v>0.99999997896218595</v>
      </c>
    </row>
    <row r="4894" spans="1:40" x14ac:dyDescent="0.25">
      <c r="A4894" t="str">
        <f>"20190312154021740"</f>
        <v>20190312154021740</v>
      </c>
      <c r="B4894" t="str">
        <f>"1552376421731039"</f>
        <v>1552376421731039</v>
      </c>
      <c r="C4894" t="s">
        <v>40</v>
      </c>
      <c r="D4894">
        <v>4.1625690000000004</v>
      </c>
      <c r="E4894">
        <v>0.54901709999999904</v>
      </c>
      <c r="F4894" t="s">
        <v>41</v>
      </c>
      <c r="G4894">
        <v>-252.95320000000001</v>
      </c>
      <c r="H4894">
        <v>0.91928589999999999</v>
      </c>
      <c r="I4894">
        <v>214.2937</v>
      </c>
      <c r="J4894">
        <v>-253.59450000000001</v>
      </c>
      <c r="K4894">
        <v>1.110503</v>
      </c>
      <c r="L4894">
        <v>214.42840000000001</v>
      </c>
      <c r="M4894">
        <v>0.99990760000000001</v>
      </c>
      <c r="N4894">
        <v>0</v>
      </c>
      <c r="O4894">
        <v>-6.5956130000000002E-4</v>
      </c>
      <c r="P4894">
        <v>0.99942370000000003</v>
      </c>
      <c r="Q4894">
        <v>6.5995280000000003E-3</v>
      </c>
      <c r="R4894">
        <v>-3.3307259999999998E-2</v>
      </c>
      <c r="S4894">
        <v>2.9900669999999998</v>
      </c>
      <c r="T4894">
        <v>-0.67508359999999901</v>
      </c>
      <c r="U4894">
        <v>-0.47424319999999998</v>
      </c>
      <c r="V4894">
        <v>3.2640229999999999E-2</v>
      </c>
      <c r="W4894">
        <v>2.019489E-2</v>
      </c>
      <c r="X4894">
        <v>0.99926309999999996</v>
      </c>
      <c r="Y4894">
        <v>0.15227309999999999</v>
      </c>
      <c r="Z4894">
        <v>-1.672829E-2</v>
      </c>
      <c r="AA4894">
        <v>0.98819690000000004</v>
      </c>
      <c r="AB4894">
        <v>21</v>
      </c>
      <c r="AC4894">
        <v>0.64130000000000098</v>
      </c>
      <c r="AD4894">
        <v>-0.1912171</v>
      </c>
      <c r="AE4894">
        <v>-0.13470000000000901</v>
      </c>
      <c r="AF4894">
        <v>0.123740525228799</v>
      </c>
      <c r="AG4894">
        <v>-0.1912171</v>
      </c>
      <c r="AH4894">
        <v>0.59106029045424202</v>
      </c>
      <c r="AI4894">
        <v>107.570421193819</v>
      </c>
      <c r="AJ4894">
        <v>78.175704085972498</v>
      </c>
      <c r="AK4894">
        <v>0.63342557879214301</v>
      </c>
      <c r="AL4894">
        <v>88.842839348909493</v>
      </c>
      <c r="AM4894">
        <v>88.129138637448193</v>
      </c>
      <c r="AN4894">
        <v>0.99999998060908701</v>
      </c>
    </row>
    <row r="4895" spans="1:40" x14ac:dyDescent="0.25">
      <c r="A4895" t="str">
        <f>"20190312154021763"</f>
        <v>20190312154021763</v>
      </c>
      <c r="B4895" t="str">
        <f>"1552376421751535"</f>
        <v>1552376421751535</v>
      </c>
      <c r="C4895" t="s">
        <v>40</v>
      </c>
      <c r="D4895">
        <v>4.1898900000000001</v>
      </c>
      <c r="E4895">
        <v>0.54906580000000005</v>
      </c>
      <c r="F4895" t="s">
        <v>41</v>
      </c>
      <c r="G4895">
        <v>-252.7629</v>
      </c>
      <c r="H4895">
        <v>0.92228270000000001</v>
      </c>
      <c r="I4895">
        <v>214.2972</v>
      </c>
      <c r="J4895">
        <v>-253.381</v>
      </c>
      <c r="K4895">
        <v>1.1105050000000001</v>
      </c>
      <c r="L4895">
        <v>214.42859999999999</v>
      </c>
      <c r="M4895">
        <v>0.99990760000000001</v>
      </c>
      <c r="N4895">
        <v>0</v>
      </c>
      <c r="O4895">
        <v>-3.7218560000000002E-4</v>
      </c>
      <c r="P4895">
        <v>0.99943009999999999</v>
      </c>
      <c r="Q4895">
        <v>6.141082E-3</v>
      </c>
      <c r="R4895">
        <v>-3.319482E-2</v>
      </c>
      <c r="S4895">
        <v>2.990494</v>
      </c>
      <c r="T4895">
        <v>-0.67694650000000001</v>
      </c>
      <c r="U4895">
        <v>-0.47123720000000002</v>
      </c>
      <c r="V4895">
        <v>3.281539E-2</v>
      </c>
      <c r="W4895">
        <v>1.9734359999999999E-2</v>
      </c>
      <c r="X4895">
        <v>0.9992666</v>
      </c>
      <c r="Y4895">
        <v>0.15155650000000001</v>
      </c>
      <c r="Z4895">
        <v>-1.675654E-2</v>
      </c>
      <c r="AA4895">
        <v>0.98830649999999998</v>
      </c>
      <c r="AB4895">
        <v>21</v>
      </c>
      <c r="AC4895">
        <v>0.61809999999996901</v>
      </c>
      <c r="AD4895">
        <v>-0.18822229999999901</v>
      </c>
      <c r="AE4895">
        <v>-0.131399999999985</v>
      </c>
      <c r="AF4895">
        <v>0.120480711781526</v>
      </c>
      <c r="AG4895">
        <v>-0.18822229999999901</v>
      </c>
      <c r="AH4895">
        <v>0.567775100296528</v>
      </c>
      <c r="AI4895">
        <v>107.967252620165</v>
      </c>
      <c r="AJ4895">
        <v>78.019660234599897</v>
      </c>
      <c r="AK4895">
        <v>0.610173582388983</v>
      </c>
      <c r="AL4895">
        <v>88.869231075597796</v>
      </c>
      <c r="AM4895">
        <v>88.119112652867102</v>
      </c>
      <c r="AN4895">
        <v>1.0000000163305101</v>
      </c>
    </row>
    <row r="4896" spans="1:40" x14ac:dyDescent="0.25">
      <c r="A4896" t="str">
        <f>"20190312154021785"</f>
        <v>20190312154021785</v>
      </c>
      <c r="B4896" t="str">
        <f>"1552376421780820"</f>
        <v>1552376421780820</v>
      </c>
      <c r="C4896" t="s">
        <v>40</v>
      </c>
      <c r="D4896">
        <v>4.2117050000000003</v>
      </c>
      <c r="E4896">
        <v>0.54915219999999998</v>
      </c>
      <c r="F4896" t="s">
        <v>41</v>
      </c>
      <c r="G4896">
        <v>-252.57239999999999</v>
      </c>
      <c r="H4896">
        <v>0.92632420000000004</v>
      </c>
      <c r="I4896">
        <v>214.30109999999999</v>
      </c>
      <c r="J4896">
        <v>-253.16970000000001</v>
      </c>
      <c r="K4896">
        <v>1.110498</v>
      </c>
      <c r="L4896">
        <v>214.4289</v>
      </c>
      <c r="M4896">
        <v>0.99990780000000001</v>
      </c>
      <c r="N4896">
        <v>0</v>
      </c>
      <c r="O4896" s="1">
        <v>-9.0300830000000003E-5</v>
      </c>
      <c r="P4896">
        <v>0.99942209999999998</v>
      </c>
      <c r="Q4896">
        <v>6.4056979999999996E-3</v>
      </c>
      <c r="R4896">
        <v>-3.3390209999999997E-2</v>
      </c>
      <c r="S4896">
        <v>2.9902340000000001</v>
      </c>
      <c r="T4896">
        <v>-0.68109310000000001</v>
      </c>
      <c r="U4896">
        <v>-0.47109990000000002</v>
      </c>
      <c r="V4896">
        <v>3.3292339999999997E-2</v>
      </c>
      <c r="W4896">
        <v>1.9996570000000002E-2</v>
      </c>
      <c r="X4896">
        <v>0.99924559999999996</v>
      </c>
      <c r="Y4896">
        <v>0.15174609999999999</v>
      </c>
      <c r="Z4896">
        <v>-1.6942349999999998E-2</v>
      </c>
      <c r="AA4896">
        <v>0.98827430000000005</v>
      </c>
      <c r="AB4896">
        <v>21</v>
      </c>
      <c r="AC4896">
        <v>0.59730000000001804</v>
      </c>
      <c r="AD4896">
        <v>-0.184173799999999</v>
      </c>
      <c r="AE4896">
        <v>-0.12780000000000699</v>
      </c>
      <c r="AF4896">
        <v>0.11710003658486599</v>
      </c>
      <c r="AG4896">
        <v>-0.184173799999999</v>
      </c>
      <c r="AH4896">
        <v>0.54753316283775399</v>
      </c>
      <c r="AI4896">
        <v>108.20767028555299</v>
      </c>
      <c r="AJ4896">
        <v>77.928105991373002</v>
      </c>
      <c r="AK4896">
        <v>0.589427664418401</v>
      </c>
      <c r="AL4896">
        <v>88.854204572225498</v>
      </c>
      <c r="AM4896">
        <v>88.091755191603298</v>
      </c>
      <c r="AN4896">
        <v>1.0000000059169001</v>
      </c>
    </row>
    <row r="4897" spans="1:40" x14ac:dyDescent="0.25">
      <c r="A4897" t="str">
        <f>"20190312154021808"</f>
        <v>20190312154021808</v>
      </c>
      <c r="B4897" t="str">
        <f>"1552376421801310"</f>
        <v>1552376421801310</v>
      </c>
      <c r="C4897" t="s">
        <v>40</v>
      </c>
      <c r="D4897">
        <v>4.1933259999999999</v>
      </c>
      <c r="E4897">
        <v>0.54919790000000002</v>
      </c>
      <c r="F4897" t="s">
        <v>41</v>
      </c>
      <c r="G4897">
        <v>-252.3818</v>
      </c>
      <c r="H4897">
        <v>0.93039510000000003</v>
      </c>
      <c r="I4897">
        <v>214.30420000000001</v>
      </c>
      <c r="J4897">
        <v>-252.95840000000001</v>
      </c>
      <c r="K4897">
        <v>1.1104940000000001</v>
      </c>
      <c r="L4897">
        <v>214.42920000000001</v>
      </c>
      <c r="M4897">
        <v>0.99990780000000001</v>
      </c>
      <c r="N4897">
        <v>0</v>
      </c>
      <c r="O4897">
        <v>1.887824E-4</v>
      </c>
      <c r="P4897">
        <v>0.99940709999999999</v>
      </c>
      <c r="Q4897">
        <v>6.2483240000000004E-3</v>
      </c>
      <c r="R4897">
        <v>-3.3863919999999999E-2</v>
      </c>
      <c r="S4897">
        <v>2.9903719999999998</v>
      </c>
      <c r="T4897">
        <v>-0.68364829999999999</v>
      </c>
      <c r="U4897">
        <v>-0.4724121</v>
      </c>
      <c r="V4897">
        <v>3.404534E-2</v>
      </c>
      <c r="W4897">
        <v>1.9836860000000001E-2</v>
      </c>
      <c r="X4897">
        <v>0.99922339999999998</v>
      </c>
      <c r="Y4897">
        <v>0.1523872</v>
      </c>
      <c r="Z4897">
        <v>-1.7137579999999999E-2</v>
      </c>
      <c r="AA4897">
        <v>0.9881723</v>
      </c>
      <c r="AB4897">
        <v>21</v>
      </c>
      <c r="AC4897">
        <v>0.57660000000001299</v>
      </c>
      <c r="AD4897">
        <v>-0.18009890000000001</v>
      </c>
      <c r="AE4897">
        <v>-0.125</v>
      </c>
      <c r="AF4897">
        <v>0.114444780349738</v>
      </c>
      <c r="AG4897">
        <v>-0.18009890000000001</v>
      </c>
      <c r="AH4897">
        <v>0.52742993915168301</v>
      </c>
      <c r="AI4897">
        <v>108.45383688301</v>
      </c>
      <c r="AJ4897">
        <v>77.757416169753796</v>
      </c>
      <c r="AK4897">
        <v>0.56896007086970302</v>
      </c>
      <c r="AL4897">
        <v>88.863357083789097</v>
      </c>
      <c r="AM4897">
        <v>88.0485845414441</v>
      </c>
      <c r="AN4897">
        <v>0.99999999464896705</v>
      </c>
    </row>
    <row r="4898" spans="1:40" x14ac:dyDescent="0.25">
      <c r="A4898" t="str">
        <f>"20190312154021830"</f>
        <v>20190312154021830</v>
      </c>
      <c r="B4898" t="str">
        <f>"1552376421820831"</f>
        <v>1552376421820831</v>
      </c>
      <c r="C4898" t="s">
        <v>40</v>
      </c>
      <c r="D4898">
        <v>4.2224469999999998</v>
      </c>
      <c r="E4898">
        <v>0.54911359999999998</v>
      </c>
      <c r="F4898" t="s">
        <v>41</v>
      </c>
      <c r="G4898">
        <v>-252.19149999999999</v>
      </c>
      <c r="H4898">
        <v>0.93450330000000004</v>
      </c>
      <c r="I4898">
        <v>214.3074</v>
      </c>
      <c r="J4898">
        <v>-252.74889999999999</v>
      </c>
      <c r="K4898">
        <v>1.1104909999999999</v>
      </c>
      <c r="L4898">
        <v>214.42959999999999</v>
      </c>
      <c r="M4898">
        <v>0.99990780000000001</v>
      </c>
      <c r="N4898">
        <v>0</v>
      </c>
      <c r="O4898">
        <v>4.6244830000000001E-4</v>
      </c>
      <c r="P4898">
        <v>0.99939120000000004</v>
      </c>
      <c r="Q4898">
        <v>6.5880390000000004E-3</v>
      </c>
      <c r="R4898">
        <v>-3.4269790000000001E-2</v>
      </c>
      <c r="S4898">
        <v>2.990021</v>
      </c>
      <c r="T4898">
        <v>-0.68615809999999999</v>
      </c>
      <c r="U4898">
        <v>-0.47431950000000001</v>
      </c>
      <c r="V4898">
        <v>3.4724720000000001E-2</v>
      </c>
      <c r="W4898">
        <v>2.017391E-2</v>
      </c>
      <c r="X4898">
        <v>0.99919329999999995</v>
      </c>
      <c r="Y4898">
        <v>0.1532336</v>
      </c>
      <c r="Z4898">
        <v>-1.7356980000000001E-2</v>
      </c>
      <c r="AA4898">
        <v>0.98803750000000001</v>
      </c>
      <c r="AB4898">
        <v>21</v>
      </c>
      <c r="AC4898">
        <v>0.55740000000000101</v>
      </c>
      <c r="AD4898">
        <v>-0.175987699999999</v>
      </c>
      <c r="AE4898">
        <v>-0.122199999999992</v>
      </c>
      <c r="AF4898">
        <v>0.11182196960407199</v>
      </c>
      <c r="AG4898">
        <v>-0.175987699999999</v>
      </c>
      <c r="AH4898">
        <v>0.50893654732444005</v>
      </c>
      <c r="AI4898">
        <v>108.661820874301</v>
      </c>
      <c r="AJ4898">
        <v>77.608053020251802</v>
      </c>
      <c r="AK4898">
        <v>0.54999293871825805</v>
      </c>
      <c r="AL4898">
        <v>88.8440417069435</v>
      </c>
      <c r="AM4898">
        <v>88.009614849948306</v>
      </c>
      <c r="AN4898">
        <v>1.0000000217943199</v>
      </c>
    </row>
    <row r="4899" spans="1:40" x14ac:dyDescent="0.25">
      <c r="A4899" t="str">
        <f>"20190312154021852"</f>
        <v>20190312154021852</v>
      </c>
      <c r="B4899" t="str">
        <f>"1552376421841171"</f>
        <v>1552376421841171</v>
      </c>
      <c r="C4899" t="s">
        <v>40</v>
      </c>
      <c r="D4899">
        <v>4.266743</v>
      </c>
      <c r="E4899">
        <v>0.54904019999999898</v>
      </c>
      <c r="F4899" t="s">
        <v>41</v>
      </c>
      <c r="G4899">
        <v>-252.00129999999999</v>
      </c>
      <c r="H4899">
        <v>0.93887030000000005</v>
      </c>
      <c r="I4899">
        <v>214.31039999999999</v>
      </c>
      <c r="J4899">
        <v>-252.5361</v>
      </c>
      <c r="K4899">
        <v>1.1104879999999999</v>
      </c>
      <c r="L4899">
        <v>214.43</v>
      </c>
      <c r="M4899">
        <v>0.99990769999999995</v>
      </c>
      <c r="N4899">
        <v>0</v>
      </c>
      <c r="O4899">
        <v>7.3880069999999998E-4</v>
      </c>
      <c r="P4899">
        <v>0.99938210000000005</v>
      </c>
      <c r="Q4899">
        <v>6.7836190000000003E-3</v>
      </c>
      <c r="R4899">
        <v>-3.4491250000000001E-2</v>
      </c>
      <c r="S4899">
        <v>2.9900669999999998</v>
      </c>
      <c r="T4899">
        <v>-0.68645889999999998</v>
      </c>
      <c r="U4899">
        <v>-0.47503659999999998</v>
      </c>
      <c r="V4899">
        <v>3.5222530000000002E-2</v>
      </c>
      <c r="W4899">
        <v>2.0367E-2</v>
      </c>
      <c r="X4899">
        <v>0.9991719</v>
      </c>
      <c r="Y4899">
        <v>0.15371299999999999</v>
      </c>
      <c r="Z4899">
        <v>-1.748009E-2</v>
      </c>
      <c r="AA4899">
        <v>0.98796090000000003</v>
      </c>
      <c r="AB4899">
        <v>21</v>
      </c>
      <c r="AC4899">
        <v>0.53480000000001804</v>
      </c>
      <c r="AD4899">
        <v>-0.17161769999999901</v>
      </c>
      <c r="AE4899">
        <v>-0.119600000000019</v>
      </c>
      <c r="AF4899">
        <v>0.109277961462766</v>
      </c>
      <c r="AG4899">
        <v>-0.17161769999999901</v>
      </c>
      <c r="AH4899">
        <v>0.48695466821332301</v>
      </c>
      <c r="AI4899">
        <v>108.97696668260799</v>
      </c>
      <c r="AJ4899">
        <v>77.351744171342503</v>
      </c>
      <c r="AK4899">
        <v>0.52774914183681498</v>
      </c>
      <c r="AL4899">
        <v>88.832976123499193</v>
      </c>
      <c r="AM4899">
        <v>87.981061135627797</v>
      </c>
      <c r="AN4899">
        <v>0.99999996352910403</v>
      </c>
    </row>
    <row r="4900" spans="1:40" x14ac:dyDescent="0.25">
      <c r="A4900" t="str">
        <f>"20190312154021875"</f>
        <v>20190312154021875</v>
      </c>
      <c r="B4900" t="str">
        <f>"1552376421860691"</f>
        <v>1552376421860691</v>
      </c>
      <c r="C4900" t="s">
        <v>40</v>
      </c>
      <c r="D4900">
        <v>4.2138179999999998</v>
      </c>
      <c r="E4900">
        <v>0.5488712</v>
      </c>
      <c r="F4900" t="s">
        <v>41</v>
      </c>
      <c r="G4900">
        <v>-251.81110000000001</v>
      </c>
      <c r="H4900">
        <v>0.94388970000000005</v>
      </c>
      <c r="I4900">
        <v>214.31469999999999</v>
      </c>
      <c r="J4900">
        <v>-252.3244</v>
      </c>
      <c r="K4900">
        <v>1.1104909999999999</v>
      </c>
      <c r="L4900">
        <v>214.43049999999999</v>
      </c>
      <c r="M4900">
        <v>0.9999074</v>
      </c>
      <c r="N4900">
        <v>0</v>
      </c>
      <c r="O4900">
        <v>1.0125970000000001E-3</v>
      </c>
      <c r="P4900">
        <v>0.99939670000000003</v>
      </c>
      <c r="Q4900">
        <v>6.6195280000000004E-3</v>
      </c>
      <c r="R4900">
        <v>-3.4096889999999998E-2</v>
      </c>
      <c r="S4900">
        <v>2.9901279999999999</v>
      </c>
      <c r="T4900">
        <v>-0.68711909999999998</v>
      </c>
      <c r="U4900">
        <v>-0.47540280000000001</v>
      </c>
      <c r="V4900">
        <v>3.5101979999999998E-2</v>
      </c>
      <c r="W4900">
        <v>2.0201090000000001E-2</v>
      </c>
      <c r="X4900">
        <v>0.9991795</v>
      </c>
      <c r="Y4900">
        <v>0.15407479999999901</v>
      </c>
      <c r="Z4900">
        <v>-1.7598519999999999E-2</v>
      </c>
      <c r="AA4900">
        <v>0.98790250000000002</v>
      </c>
      <c r="AB4900">
        <v>21</v>
      </c>
      <c r="AC4900">
        <v>0.51329999999998599</v>
      </c>
      <c r="AD4900">
        <v>-0.16660129999999901</v>
      </c>
      <c r="AE4900">
        <v>-0.11580000000000699</v>
      </c>
      <c r="AF4900">
        <v>0.105721856777775</v>
      </c>
      <c r="AG4900">
        <v>-0.16660129999999901</v>
      </c>
      <c r="AH4900">
        <v>0.466426390979852</v>
      </c>
      <c r="AI4900">
        <v>109.20579637637699</v>
      </c>
      <c r="AJ4900">
        <v>77.228927843390196</v>
      </c>
      <c r="AK4900">
        <v>0.50644514250283901</v>
      </c>
      <c r="AL4900">
        <v>88.842484010773703</v>
      </c>
      <c r="AM4900">
        <v>87.987980607339594</v>
      </c>
      <c r="AN4900">
        <v>0.99999995312867795</v>
      </c>
    </row>
    <row r="4901" spans="1:40" x14ac:dyDescent="0.25">
      <c r="A4901" t="str">
        <f>"20190312154021897"</f>
        <v>20190312154021897</v>
      </c>
      <c r="B4901" t="str">
        <f>"1552376421890949"</f>
        <v>1552376421890949</v>
      </c>
      <c r="C4901" t="s">
        <v>40</v>
      </c>
      <c r="D4901">
        <v>4.2462629999999999</v>
      </c>
      <c r="E4901">
        <v>0.54847330000000005</v>
      </c>
      <c r="F4901" t="s">
        <v>41</v>
      </c>
      <c r="G4901">
        <v>-251.62129999999999</v>
      </c>
      <c r="H4901">
        <v>0.9484726</v>
      </c>
      <c r="I4901">
        <v>214.31909999999999</v>
      </c>
      <c r="J4901">
        <v>-252.11850000000001</v>
      </c>
      <c r="K4901">
        <v>1.1104940000000001</v>
      </c>
      <c r="L4901">
        <v>214.43100000000001</v>
      </c>
      <c r="M4901">
        <v>0.99990699999999999</v>
      </c>
      <c r="N4901">
        <v>0</v>
      </c>
      <c r="O4901">
        <v>1.2786500000000001E-3</v>
      </c>
      <c r="P4901">
        <v>0.99940810000000002</v>
      </c>
      <c r="Q4901">
        <v>6.7219920000000004E-3</v>
      </c>
      <c r="R4901">
        <v>-3.374137E-2</v>
      </c>
      <c r="S4901">
        <v>2.9902340000000001</v>
      </c>
      <c r="T4901">
        <v>-0.68899670000000002</v>
      </c>
      <c r="U4901">
        <v>-0.4728851</v>
      </c>
      <c r="V4901">
        <v>3.5012330000000001E-2</v>
      </c>
      <c r="W4901">
        <v>2.0301199999999998E-2</v>
      </c>
      <c r="X4901">
        <v>0.99918070000000003</v>
      </c>
      <c r="Y4901">
        <v>0.1535067</v>
      </c>
      <c r="Z4901">
        <v>-1.7641839999999999E-2</v>
      </c>
      <c r="AA4901">
        <v>0.98799009999999998</v>
      </c>
      <c r="AB4901">
        <v>21</v>
      </c>
      <c r="AC4901">
        <v>0.49720000000002001</v>
      </c>
      <c r="AD4901">
        <v>-0.16202139999999901</v>
      </c>
      <c r="AE4901">
        <v>-0.11189999999999101</v>
      </c>
      <c r="AF4901">
        <v>0.102205746218754</v>
      </c>
      <c r="AG4901">
        <v>-0.16202139999999901</v>
      </c>
      <c r="AH4901">
        <v>0.45143030218938102</v>
      </c>
      <c r="AI4901">
        <v>109.292464615556</v>
      </c>
      <c r="AJ4901">
        <v>77.243058004437103</v>
      </c>
      <c r="AK4901">
        <v>0.490393990942883</v>
      </c>
      <c r="AL4901">
        <v>88.836747050612303</v>
      </c>
      <c r="AM4901">
        <v>87.993117479603796</v>
      </c>
      <c r="AN4901">
        <v>1.00000003661297</v>
      </c>
    </row>
    <row r="4902" spans="1:40" x14ac:dyDescent="0.25">
      <c r="A4902" t="str">
        <f>"20190312154021920"</f>
        <v>20190312154021920</v>
      </c>
      <c r="B4902" t="str">
        <f>"1552376421911443"</f>
        <v>1552376421911443</v>
      </c>
      <c r="C4902" t="s">
        <v>40</v>
      </c>
      <c r="D4902">
        <v>4.1406269999999896</v>
      </c>
      <c r="E4902">
        <v>0.54841240000000002</v>
      </c>
      <c r="F4902" t="s">
        <v>41</v>
      </c>
      <c r="G4902">
        <v>-251.43199999999999</v>
      </c>
      <c r="H4902">
        <v>0.95249430000000002</v>
      </c>
      <c r="I4902">
        <v>214.32339999999999</v>
      </c>
      <c r="J4902">
        <v>-251.90369999999999</v>
      </c>
      <c r="K4902">
        <v>1.110495</v>
      </c>
      <c r="L4902">
        <v>214.4316</v>
      </c>
      <c r="M4902">
        <v>0.99990670000000004</v>
      </c>
      <c r="N4902">
        <v>0</v>
      </c>
      <c r="O4902">
        <v>1.5567489999999901E-3</v>
      </c>
      <c r="P4902">
        <v>0.99942160000000002</v>
      </c>
      <c r="Q4902">
        <v>7.2708169999999997E-3</v>
      </c>
      <c r="R4902">
        <v>-3.322282E-2</v>
      </c>
      <c r="S4902">
        <v>2.99057</v>
      </c>
      <c r="T4902">
        <v>-0.688218</v>
      </c>
      <c r="U4902">
        <v>-0.46879579999999998</v>
      </c>
      <c r="V4902">
        <v>3.4771620000000003E-2</v>
      </c>
      <c r="W4902">
        <v>2.0847540000000001E-2</v>
      </c>
      <c r="X4902">
        <v>0.9991778</v>
      </c>
      <c r="Y4902">
        <v>0.15247369999999999</v>
      </c>
      <c r="Z4902">
        <v>-1.7568469999999999E-2</v>
      </c>
      <c r="AA4902">
        <v>0.98815140000000001</v>
      </c>
      <c r="AB4902">
        <v>21</v>
      </c>
      <c r="AC4902">
        <v>0.47169999999996998</v>
      </c>
      <c r="AD4902">
        <v>-0.15800069999999899</v>
      </c>
      <c r="AE4902">
        <v>-0.10820000000001</v>
      </c>
      <c r="AF4902">
        <v>9.8441396382712501E-2</v>
      </c>
      <c r="AG4902">
        <v>-0.15800069999999899</v>
      </c>
      <c r="AH4902">
        <v>0.42611176234647202</v>
      </c>
      <c r="AI4902">
        <v>109.863808383088</v>
      </c>
      <c r="AJ4902">
        <v>76.991607481191906</v>
      </c>
      <c r="AK4902">
        <v>0.46500125132335302</v>
      </c>
      <c r="AL4902">
        <v>88.805437380992402</v>
      </c>
      <c r="AM4902">
        <v>88.006897863831298</v>
      </c>
      <c r="AN4902">
        <v>0.99999998074715701</v>
      </c>
    </row>
    <row r="4903" spans="1:40" x14ac:dyDescent="0.25">
      <c r="A4903" t="str">
        <f>"20190312154021942"</f>
        <v>20190312154021942</v>
      </c>
      <c r="B4903" t="str">
        <f>"1552376421931280"</f>
        <v>1552376421931280</v>
      </c>
      <c r="C4903" t="s">
        <v>40</v>
      </c>
      <c r="D4903">
        <v>4.1509900000000002</v>
      </c>
      <c r="E4903">
        <v>0.53463190000000005</v>
      </c>
      <c r="F4903" t="s">
        <v>41</v>
      </c>
      <c r="G4903">
        <v>-251.07230000000001</v>
      </c>
      <c r="H4903">
        <v>0.91950759999999998</v>
      </c>
      <c r="I4903">
        <v>214.30179999999999</v>
      </c>
      <c r="J4903">
        <v>-251.70349999999999</v>
      </c>
      <c r="K4903">
        <v>1.1104959999999999</v>
      </c>
      <c r="L4903">
        <v>214.43219999999999</v>
      </c>
      <c r="M4903">
        <v>0.99990639999999997</v>
      </c>
      <c r="N4903">
        <v>0</v>
      </c>
      <c r="O4903">
        <v>1.8158409999999999E-3</v>
      </c>
      <c r="P4903">
        <v>0.99944650000000002</v>
      </c>
      <c r="Q4903">
        <v>7.3714339999999996E-3</v>
      </c>
      <c r="R4903">
        <v>-3.2443270000000003E-2</v>
      </c>
      <c r="S4903">
        <v>2.9912260000000002</v>
      </c>
      <c r="T4903">
        <v>-0.68708910000000001</v>
      </c>
      <c r="U4903">
        <v>-0.46675109999999997</v>
      </c>
      <c r="V4903">
        <v>3.4251190000000001E-2</v>
      </c>
      <c r="W4903">
        <v>2.0945749999999999E-2</v>
      </c>
      <c r="X4903">
        <v>0.99919369999999996</v>
      </c>
      <c r="Y4903">
        <v>0.1520551</v>
      </c>
      <c r="Z4903">
        <v>-1.7548770000000002E-2</v>
      </c>
      <c r="AA4903">
        <v>0.98821619999999999</v>
      </c>
      <c r="AB4903">
        <v>21</v>
      </c>
      <c r="AC4903">
        <v>0.631199999999978</v>
      </c>
      <c r="AD4903">
        <v>-0.1909884</v>
      </c>
      <c r="AE4903">
        <v>-0.13040000000000801</v>
      </c>
      <c r="AF4903">
        <v>0.120927747716192</v>
      </c>
      <c r="AG4903">
        <v>-0.1909884</v>
      </c>
      <c r="AH4903">
        <v>0.58003134536330103</v>
      </c>
      <c r="AI4903">
        <v>107.866291569311</v>
      </c>
      <c r="AJ4903">
        <v>78.223391201772799</v>
      </c>
      <c r="AK4903">
        <v>0.62252425712274995</v>
      </c>
      <c r="AL4903">
        <v>88.799809107641806</v>
      </c>
      <c r="AM4903">
        <v>88.036736499526</v>
      </c>
      <c r="AN4903">
        <v>0.99999995928958296</v>
      </c>
    </row>
    <row r="4904" spans="1:40" x14ac:dyDescent="0.25">
      <c r="A4904" t="str">
        <f>"20190312154021964"</f>
        <v>20190312154021964</v>
      </c>
      <c r="B4904" t="str">
        <f>"1552376421950800"</f>
        <v>1552376421950800</v>
      </c>
      <c r="C4904" t="s">
        <v>40</v>
      </c>
      <c r="D4904">
        <v>4.1174619999999997</v>
      </c>
      <c r="E4904">
        <v>0.53114949999999905</v>
      </c>
      <c r="F4904" t="s">
        <v>41</v>
      </c>
      <c r="G4904">
        <v>-250.85429999999999</v>
      </c>
      <c r="H4904">
        <v>0.98684530000000004</v>
      </c>
      <c r="I4904">
        <v>214.3295</v>
      </c>
      <c r="J4904">
        <v>-251.4949</v>
      </c>
      <c r="K4904">
        <v>1.1104940000000001</v>
      </c>
      <c r="L4904">
        <v>214.43289999999999</v>
      </c>
      <c r="M4904">
        <v>0.99990590000000001</v>
      </c>
      <c r="N4904">
        <v>0</v>
      </c>
      <c r="O4904">
        <v>2.0862609999999998E-3</v>
      </c>
      <c r="P4904">
        <v>0.99944909999999998</v>
      </c>
      <c r="Q4904">
        <v>7.4647929999999999E-3</v>
      </c>
      <c r="R4904">
        <v>-3.2347470000000003E-2</v>
      </c>
      <c r="S4904">
        <v>2.993134</v>
      </c>
      <c r="T4904">
        <v>-0.43596410000000002</v>
      </c>
      <c r="U4904">
        <v>-0.36125180000000001</v>
      </c>
      <c r="V4904">
        <v>3.4425589999999999E-2</v>
      </c>
      <c r="W4904">
        <v>2.103681E-2</v>
      </c>
      <c r="X4904">
        <v>0.99918589999999996</v>
      </c>
      <c r="Y4904">
        <v>0.1206187</v>
      </c>
      <c r="Z4904">
        <v>-9.0083809999999993E-3</v>
      </c>
      <c r="AA4904">
        <v>0.99265800000000004</v>
      </c>
      <c r="AB4904">
        <v>21</v>
      </c>
      <c r="AC4904">
        <v>0.64060000000000605</v>
      </c>
      <c r="AD4904">
        <v>-0.123648699999999</v>
      </c>
      <c r="AE4904">
        <v>-0.103399999999993</v>
      </c>
      <c r="AF4904">
        <v>0.10106655432232101</v>
      </c>
      <c r="AG4904">
        <v>-0.123648699999999</v>
      </c>
      <c r="AH4904">
        <v>0.61794482699757103</v>
      </c>
      <c r="AI4904">
        <v>101.170644368352</v>
      </c>
      <c r="AJ4904">
        <v>80.711359176336501</v>
      </c>
      <c r="AK4904">
        <v>0.63824702006929501</v>
      </c>
      <c r="AL4904">
        <v>88.794590732169098</v>
      </c>
      <c r="AM4904">
        <v>88.026732457397699</v>
      </c>
      <c r="AN4904">
        <v>1.0000000656903101</v>
      </c>
    </row>
    <row r="4905" spans="1:40" x14ac:dyDescent="0.25">
      <c r="A4905" t="str">
        <f>"20190312154021987"</f>
        <v>20190312154021987</v>
      </c>
      <c r="B4905" t="str">
        <f>"1552376421981056"</f>
        <v>1552376421981056</v>
      </c>
      <c r="C4905" t="s">
        <v>40</v>
      </c>
      <c r="D4905">
        <v>4.210032</v>
      </c>
      <c r="E4905">
        <v>0.52763289999999996</v>
      </c>
      <c r="F4905" t="s">
        <v>41</v>
      </c>
      <c r="G4905">
        <v>-250.64840000000001</v>
      </c>
      <c r="H4905">
        <v>1.0264770000000001</v>
      </c>
      <c r="I4905">
        <v>214.33750000000001</v>
      </c>
      <c r="J4905">
        <v>-251.279</v>
      </c>
      <c r="K4905">
        <v>1.1104909999999999</v>
      </c>
      <c r="L4905">
        <v>214.43369999999999</v>
      </c>
      <c r="M4905">
        <v>0.9999053</v>
      </c>
      <c r="N4905">
        <v>0</v>
      </c>
      <c r="O4905">
        <v>2.3669950000000002E-3</v>
      </c>
      <c r="P4905">
        <v>0.99946250000000003</v>
      </c>
      <c r="Q4905">
        <v>7.2532990000000004E-3</v>
      </c>
      <c r="R4905">
        <v>-3.1977070000000003E-2</v>
      </c>
      <c r="S4905">
        <v>2.992966</v>
      </c>
      <c r="T4905">
        <v>-0.2970836</v>
      </c>
      <c r="U4905">
        <v>-0.33709719999999999</v>
      </c>
      <c r="V4905">
        <v>3.4335940000000002E-2</v>
      </c>
      <c r="W4905">
        <v>2.0823230000000002E-2</v>
      </c>
      <c r="X4905">
        <v>0.99919340000000001</v>
      </c>
      <c r="Y4905">
        <v>0.1137109</v>
      </c>
      <c r="Z4905">
        <v>-5.8457279999999997E-3</v>
      </c>
      <c r="AA4905">
        <v>0.99349670000000001</v>
      </c>
      <c r="AB4905">
        <v>21</v>
      </c>
      <c r="AC4905">
        <v>0.63060000000001504</v>
      </c>
      <c r="AD4905">
        <v>-8.4013999999999797E-2</v>
      </c>
      <c r="AE4905">
        <v>-9.61999999999818E-2</v>
      </c>
      <c r="AF4905">
        <v>9.6026795615195407E-2</v>
      </c>
      <c r="AG4905">
        <v>-8.4013999999999797E-2</v>
      </c>
      <c r="AH4905">
        <v>0.61962241887714498</v>
      </c>
      <c r="AI4905">
        <v>97.631579957721698</v>
      </c>
      <c r="AJ4905">
        <v>81.190592551983499</v>
      </c>
      <c r="AK4905">
        <v>0.63262266766792896</v>
      </c>
      <c r="AL4905">
        <v>88.806830575347107</v>
      </c>
      <c r="AM4905">
        <v>88.031881891140898</v>
      </c>
      <c r="AN4905">
        <v>1.0000000071434301</v>
      </c>
    </row>
    <row r="4906" spans="1:40" x14ac:dyDescent="0.25">
      <c r="A4906" t="str">
        <f>"20190312154022009"</f>
        <v>20190312154022009</v>
      </c>
      <c r="B4906" t="str">
        <f>"1552376422000576"</f>
        <v>1552376422000576</v>
      </c>
      <c r="C4906" t="s">
        <v>40</v>
      </c>
      <c r="D4906">
        <v>4.1953040000000001</v>
      </c>
      <c r="E4906">
        <v>0.52651890000000001</v>
      </c>
      <c r="F4906" t="s">
        <v>61</v>
      </c>
      <c r="G4906">
        <v>-234.9984</v>
      </c>
      <c r="H4906" s="1">
        <v>1.2048920000000001E-6</v>
      </c>
      <c r="I4906">
        <v>212.74510000000001</v>
      </c>
      <c r="J4906">
        <v>-251.0727</v>
      </c>
      <c r="K4906">
        <v>1.1104879999999999</v>
      </c>
      <c r="L4906">
        <v>214.43450000000001</v>
      </c>
      <c r="M4906">
        <v>0.99990460000000003</v>
      </c>
      <c r="N4906">
        <v>0</v>
      </c>
      <c r="O4906">
        <v>2.6357500000000001E-3</v>
      </c>
      <c r="P4906">
        <v>0.99945899999999999</v>
      </c>
      <c r="Q4906">
        <v>6.885909E-3</v>
      </c>
      <c r="R4906">
        <v>-3.2163860000000002E-2</v>
      </c>
      <c r="S4906">
        <v>2.993179</v>
      </c>
      <c r="T4906">
        <v>-0.20416229999999999</v>
      </c>
      <c r="U4906">
        <v>-0.3104401</v>
      </c>
      <c r="V4906">
        <v>3.479136E-2</v>
      </c>
      <c r="W4906">
        <v>2.0453760000000001E-2</v>
      </c>
      <c r="X4906">
        <v>0.99918530000000005</v>
      </c>
      <c r="Y4906">
        <v>0.1055353</v>
      </c>
      <c r="Z4906">
        <v>-3.7645970000000002E-3</v>
      </c>
      <c r="AA4906">
        <v>0.99440839999999997</v>
      </c>
      <c r="AB4906">
        <v>21</v>
      </c>
      <c r="AC4906">
        <v>16.074299999999901</v>
      </c>
      <c r="AD4906">
        <v>-1.110486795108</v>
      </c>
      <c r="AE4906">
        <v>-1.6894</v>
      </c>
      <c r="AF4906">
        <v>1.7236293983972599</v>
      </c>
      <c r="AG4906">
        <v>-1.110486795108</v>
      </c>
      <c r="AH4906">
        <v>15.9942892081274</v>
      </c>
      <c r="AI4906">
        <v>93.948893246581704</v>
      </c>
      <c r="AJ4906">
        <v>83.849240084742107</v>
      </c>
      <c r="AK4906">
        <v>16.125178029973799</v>
      </c>
      <c r="AL4906">
        <v>88.828004182937804</v>
      </c>
      <c r="AM4906">
        <v>88.005782241281807</v>
      </c>
      <c r="AN4906">
        <v>1.00000002938243</v>
      </c>
    </row>
    <row r="4907" spans="1:40" x14ac:dyDescent="0.25">
      <c r="A4907" t="str">
        <f>"20190312154022031"</f>
        <v>20190312154022031</v>
      </c>
      <c r="B4907" t="str">
        <f>"1552376422021072"</f>
        <v>1552376422021072</v>
      </c>
      <c r="C4907" t="s">
        <v>40</v>
      </c>
      <c r="D4907">
        <v>4.2037380000000004</v>
      </c>
      <c r="E4907">
        <v>0.52594879999999999</v>
      </c>
      <c r="F4907" t="s">
        <v>61</v>
      </c>
      <c r="G4907">
        <v>-232.8843</v>
      </c>
      <c r="H4907" s="1">
        <v>8.6428589999999994E-8</v>
      </c>
      <c r="I4907">
        <v>212.59559999999999</v>
      </c>
      <c r="J4907">
        <v>-250.86930000000001</v>
      </c>
      <c r="K4907">
        <v>1.110482</v>
      </c>
      <c r="L4907">
        <v>214.43539999999999</v>
      </c>
      <c r="M4907">
        <v>0.99990389999999996</v>
      </c>
      <c r="N4907">
        <v>0</v>
      </c>
      <c r="O4907">
        <v>2.9007210000000002E-3</v>
      </c>
      <c r="P4907">
        <v>0.99946579999999996</v>
      </c>
      <c r="Q4907">
        <v>6.5102850000000002E-3</v>
      </c>
      <c r="R4907">
        <v>-3.2026499999999999E-2</v>
      </c>
      <c r="S4907">
        <v>2.993134</v>
      </c>
      <c r="T4907">
        <v>-0.18274509999999999</v>
      </c>
      <c r="U4907">
        <v>-0.3026276</v>
      </c>
      <c r="V4907">
        <v>3.491913E-2</v>
      </c>
      <c r="W4907">
        <v>2.0071410000000001E-2</v>
      </c>
      <c r="X4907">
        <v>0.99918850000000003</v>
      </c>
      <c r="Y4907">
        <v>0.1032845</v>
      </c>
      <c r="Z4907">
        <v>-3.3185979999999999E-3</v>
      </c>
      <c r="AA4907">
        <v>0.99464629999999998</v>
      </c>
      <c r="AB4907">
        <v>21</v>
      </c>
      <c r="AC4907">
        <v>17.984999999999999</v>
      </c>
      <c r="AD4907">
        <v>-1.1104819135714099</v>
      </c>
      <c r="AE4907">
        <v>-1.8397999999999901</v>
      </c>
      <c r="AF4907">
        <v>1.88485505664474</v>
      </c>
      <c r="AG4907">
        <v>-1.1104819135714099</v>
      </c>
      <c r="AH4907">
        <v>17.912005986850701</v>
      </c>
      <c r="AI4907">
        <v>93.528167642472198</v>
      </c>
      <c r="AJ4907">
        <v>83.992953183828405</v>
      </c>
      <c r="AK4907">
        <v>18.045104797088499</v>
      </c>
      <c r="AL4907">
        <v>88.849915611270603</v>
      </c>
      <c r="AM4907">
        <v>87.998470900168698</v>
      </c>
      <c r="AN4907">
        <v>0.99999993283579502</v>
      </c>
    </row>
    <row r="4908" spans="1:40" x14ac:dyDescent="0.25">
      <c r="A4908" t="str">
        <f>"20190312154022054"</f>
        <v>20190312154022054</v>
      </c>
      <c r="B4908" t="str">
        <f>"1552376422040593"</f>
        <v>1552376422040593</v>
      </c>
      <c r="C4908" t="s">
        <v>40</v>
      </c>
      <c r="D4908">
        <v>4.2313989999999997</v>
      </c>
      <c r="E4908">
        <v>0.52556729999999996</v>
      </c>
      <c r="F4908" t="s">
        <v>61</v>
      </c>
      <c r="G4908">
        <v>-231.4419</v>
      </c>
      <c r="H4908" s="1">
        <v>-6.7700659999999995E-7</v>
      </c>
      <c r="I4908">
        <v>212.50069999999999</v>
      </c>
      <c r="J4908">
        <v>-250.65649999999999</v>
      </c>
      <c r="K4908">
        <v>1.110466</v>
      </c>
      <c r="L4908">
        <v>214.43629999999999</v>
      </c>
      <c r="M4908">
        <v>0.99990369999999995</v>
      </c>
      <c r="N4908">
        <v>0</v>
      </c>
      <c r="O4908">
        <v>3.1802829999999999E-3</v>
      </c>
      <c r="P4908">
        <v>0.99948000000000004</v>
      </c>
      <c r="Q4908">
        <v>6.9534779999999999E-3</v>
      </c>
      <c r="R4908">
        <v>-3.1489919999999998E-2</v>
      </c>
      <c r="S4908">
        <v>2.9931640000000002</v>
      </c>
      <c r="T4908">
        <v>-0.1710912</v>
      </c>
      <c r="U4908">
        <v>-0.29806519999999997</v>
      </c>
      <c r="V4908">
        <v>3.4661730000000002E-2</v>
      </c>
      <c r="W4908">
        <v>2.046711E-2</v>
      </c>
      <c r="X4908">
        <v>0.99918949999999995</v>
      </c>
      <c r="Y4908">
        <v>0.1020861</v>
      </c>
      <c r="Z4908">
        <v>-3.0893169999999998E-3</v>
      </c>
      <c r="AA4908">
        <v>0.99477079999999996</v>
      </c>
      <c r="AB4908">
        <v>21</v>
      </c>
      <c r="AC4908">
        <v>19.214599999999901</v>
      </c>
      <c r="AD4908">
        <v>-1.1104666770065901</v>
      </c>
      <c r="AE4908">
        <v>-1.93559999999999</v>
      </c>
      <c r="AF4908">
        <v>1.99012338507996</v>
      </c>
      <c r="AG4908">
        <v>-1.1104666770065901</v>
      </c>
      <c r="AH4908">
        <v>19.145044142007102</v>
      </c>
      <c r="AI4908">
        <v>93.301846228948804</v>
      </c>
      <c r="AJ4908">
        <v>84.065429755254897</v>
      </c>
      <c r="AK4908">
        <v>19.280208570655699</v>
      </c>
      <c r="AL4908">
        <v>88.827239086770106</v>
      </c>
      <c r="AM4908">
        <v>88.013214925831505</v>
      </c>
      <c r="AN4908">
        <v>0.99999999751429702</v>
      </c>
    </row>
    <row r="4909" spans="1:40" x14ac:dyDescent="0.25">
      <c r="A4909" t="str">
        <f>"20190312154022076"</f>
        <v>20190312154022076</v>
      </c>
      <c r="B4909" t="str">
        <f>"1552376422070848"</f>
        <v>1552376422070848</v>
      </c>
      <c r="C4909" t="s">
        <v>40</v>
      </c>
      <c r="D4909">
        <v>4.1387179999999999</v>
      </c>
      <c r="E4909">
        <v>0.52545310000000001</v>
      </c>
      <c r="F4909" t="s">
        <v>61</v>
      </c>
      <c r="G4909">
        <v>-229.92660000000001</v>
      </c>
      <c r="H4909" s="1">
        <v>3.8424080000000001E-6</v>
      </c>
      <c r="I4909">
        <v>212.40270000000001</v>
      </c>
      <c r="J4909">
        <v>-250.44540000000001</v>
      </c>
      <c r="K4909">
        <v>1.110439</v>
      </c>
      <c r="L4909">
        <v>214.43729999999999</v>
      </c>
      <c r="M4909">
        <v>0.99990449999999997</v>
      </c>
      <c r="N4909">
        <v>0</v>
      </c>
      <c r="O4909">
        <v>3.4525110000000001E-3</v>
      </c>
      <c r="P4909">
        <v>0.9994902</v>
      </c>
      <c r="Q4909">
        <v>7.3403679999999999E-3</v>
      </c>
      <c r="R4909">
        <v>-3.1070190000000001E-2</v>
      </c>
      <c r="S4909">
        <v>2.993439</v>
      </c>
      <c r="T4909">
        <v>-0.16035260000000001</v>
      </c>
      <c r="U4909">
        <v>-0.29365540000000001</v>
      </c>
      <c r="V4909">
        <v>3.4513889999999998E-2</v>
      </c>
      <c r="W4909">
        <v>2.072502E-2</v>
      </c>
      <c r="X4909">
        <v>0.99918929999999995</v>
      </c>
      <c r="Y4909">
        <v>0.10091849999999999</v>
      </c>
      <c r="Z4909">
        <v>-2.8790069999999998E-3</v>
      </c>
      <c r="AA4909">
        <v>0.99489050000000001</v>
      </c>
      <c r="AB4909">
        <v>21</v>
      </c>
      <c r="AC4909">
        <v>20.518799999999999</v>
      </c>
      <c r="AD4909">
        <v>-1.110435157592</v>
      </c>
      <c r="AE4909">
        <v>-2.0345999999999802</v>
      </c>
      <c r="AF4909">
        <v>2.0993469977466201</v>
      </c>
      <c r="AG4909">
        <v>-1.110435157592</v>
      </c>
      <c r="AH4909">
        <v>20.4523359916248</v>
      </c>
      <c r="AI4909">
        <v>93.091542552402203</v>
      </c>
      <c r="AJ4909">
        <v>84.139352576999499</v>
      </c>
      <c r="AK4909">
        <v>20.589763757034198</v>
      </c>
      <c r="AL4909">
        <v>88.812458795356207</v>
      </c>
      <c r="AM4909">
        <v>88.0216818631351</v>
      </c>
      <c r="AN4909">
        <v>0.999999996145711</v>
      </c>
    </row>
    <row r="4910" spans="1:40" x14ac:dyDescent="0.25">
      <c r="A4910" t="str">
        <f>"20190312154022100"</f>
        <v>20190312154022100</v>
      </c>
      <c r="B4910" t="str">
        <f>"1552376422091344"</f>
        <v>1552376422091344</v>
      </c>
      <c r="C4910" t="s">
        <v>40</v>
      </c>
      <c r="D4910">
        <v>4.1362930000000002</v>
      </c>
      <c r="E4910">
        <v>0.52559669999999903</v>
      </c>
      <c r="F4910" t="s">
        <v>61</v>
      </c>
      <c r="G4910">
        <v>-227.43180000000001</v>
      </c>
      <c r="H4910" s="1">
        <v>2.5240209999999998E-6</v>
      </c>
      <c r="I4910">
        <v>212.19220000000001</v>
      </c>
      <c r="J4910">
        <v>-250.2388</v>
      </c>
      <c r="K4910">
        <v>1.110392</v>
      </c>
      <c r="L4910">
        <v>214.4384</v>
      </c>
      <c r="M4910">
        <v>0.99990650000000003</v>
      </c>
      <c r="N4910">
        <v>0</v>
      </c>
      <c r="O4910">
        <v>3.721416E-3</v>
      </c>
      <c r="P4910">
        <v>0.99950899999999998</v>
      </c>
      <c r="Q4910">
        <v>7.852978E-3</v>
      </c>
      <c r="R4910">
        <v>-3.0339100000000001E-2</v>
      </c>
      <c r="S4910">
        <v>2.993484</v>
      </c>
      <c r="T4910">
        <v>-0.1444394</v>
      </c>
      <c r="U4910">
        <v>-0.29203800000000002</v>
      </c>
      <c r="V4910">
        <v>3.4051560000000002E-2</v>
      </c>
      <c r="W4910">
        <v>2.1027750000000001E-2</v>
      </c>
      <c r="X4910">
        <v>0.9991989</v>
      </c>
      <c r="Y4910">
        <v>0.10068009999999999</v>
      </c>
      <c r="Z4910">
        <v>-2.6008770000000001E-3</v>
      </c>
      <c r="AA4910">
        <v>0.99491540000000001</v>
      </c>
      <c r="AB4910">
        <v>21</v>
      </c>
      <c r="AC4910">
        <v>22.806999999999899</v>
      </c>
      <c r="AD4910">
        <v>-1.1103894759790001</v>
      </c>
      <c r="AE4910">
        <v>-2.24619999999998</v>
      </c>
      <c r="AF4910">
        <v>2.3256065580406502</v>
      </c>
      <c r="AG4910">
        <v>-1.1103894759790001</v>
      </c>
      <c r="AH4910">
        <v>22.745086159082302</v>
      </c>
      <c r="AI4910">
        <v>92.780423403027996</v>
      </c>
      <c r="AJ4910">
        <v>84.161992091812706</v>
      </c>
      <c r="AK4910">
        <v>22.890617183362298</v>
      </c>
      <c r="AL4910">
        <v>88.795109937945497</v>
      </c>
      <c r="AM4910">
        <v>88.048180478620097</v>
      </c>
      <c r="AN4910">
        <v>1.0000000583848501</v>
      </c>
    </row>
    <row r="4911" spans="1:40" x14ac:dyDescent="0.25">
      <c r="A4911" t="str">
        <f>"20190312154022121"</f>
        <v>20190312154022121</v>
      </c>
      <c r="B4911" t="str">
        <f>"1552376422110863"</f>
        <v>1552376422110863</v>
      </c>
      <c r="C4911" t="s">
        <v>40</v>
      </c>
      <c r="D4911">
        <v>4.1068509999999998</v>
      </c>
      <c r="E4911">
        <v>0.52575349999999998</v>
      </c>
      <c r="F4911" t="s">
        <v>61</v>
      </c>
      <c r="G4911">
        <v>-225.614</v>
      </c>
      <c r="H4911" s="1">
        <v>1.563157E-6</v>
      </c>
      <c r="I4911">
        <v>212.0437</v>
      </c>
      <c r="J4911">
        <v>-250.03440000000001</v>
      </c>
      <c r="K4911">
        <v>1.1103419999999999</v>
      </c>
      <c r="L4911">
        <v>214.43950000000001</v>
      </c>
      <c r="M4911">
        <v>0.99990840000000003</v>
      </c>
      <c r="N4911">
        <v>0</v>
      </c>
      <c r="O4911">
        <v>3.9927929999999997E-3</v>
      </c>
      <c r="P4911">
        <v>0.99952680000000005</v>
      </c>
      <c r="Q4911">
        <v>8.3586979999999995E-3</v>
      </c>
      <c r="R4911">
        <v>-2.9602980000000001E-2</v>
      </c>
      <c r="S4911">
        <v>2.9937130000000001</v>
      </c>
      <c r="T4911">
        <v>-0.1349938</v>
      </c>
      <c r="U4911">
        <v>-0.2911224</v>
      </c>
      <c r="V4911">
        <v>3.358684E-2</v>
      </c>
      <c r="W4911">
        <v>2.1290429999999999E-2</v>
      </c>
      <c r="X4911">
        <v>0.99920900000000001</v>
      </c>
      <c r="Y4911">
        <v>0.1006563</v>
      </c>
      <c r="Z4911">
        <v>-2.4424910000000002E-3</v>
      </c>
      <c r="AA4911">
        <v>0.99491830000000003</v>
      </c>
      <c r="AB4911">
        <v>21</v>
      </c>
      <c r="AC4911">
        <v>24.420400000000001</v>
      </c>
      <c r="AD4911">
        <v>-1.1103404368430001</v>
      </c>
      <c r="AE4911">
        <v>-2.3957999999999999</v>
      </c>
      <c r="AF4911">
        <v>2.48819979973621</v>
      </c>
      <c r="AG4911">
        <v>-1.1103404368430001</v>
      </c>
      <c r="AH4911">
        <v>24.3607573030284</v>
      </c>
      <c r="AI4911">
        <v>92.596193007064699</v>
      </c>
      <c r="AJ4911">
        <v>84.168052290280002</v>
      </c>
      <c r="AK4911">
        <v>24.5126598007264</v>
      </c>
      <c r="AL4911">
        <v>88.780056032137594</v>
      </c>
      <c r="AM4911">
        <v>88.074817273558295</v>
      </c>
      <c r="AN4911">
        <v>0.99999999195588496</v>
      </c>
    </row>
    <row r="4912" spans="1:40" x14ac:dyDescent="0.25">
      <c r="A4912" t="str">
        <f>"20190312154022143"</f>
        <v>20190312154022143</v>
      </c>
      <c r="B4912" t="str">
        <f>"1552376422131360"</f>
        <v>1552376422131360</v>
      </c>
      <c r="C4912" t="s">
        <v>40</v>
      </c>
      <c r="D4912">
        <v>4.1271190000000004</v>
      </c>
      <c r="E4912">
        <v>0.5258254</v>
      </c>
      <c r="F4912" t="s">
        <v>61</v>
      </c>
      <c r="G4912">
        <v>-223.93709999999999</v>
      </c>
      <c r="H4912" s="1">
        <v>6.7672399999999899E-7</v>
      </c>
      <c r="I4912">
        <v>211.9084</v>
      </c>
      <c r="J4912">
        <v>-249.8323</v>
      </c>
      <c r="K4912">
        <v>1.1103050000000001</v>
      </c>
      <c r="L4912">
        <v>214.44059999999999</v>
      </c>
      <c r="M4912">
        <v>0.99991050000000004</v>
      </c>
      <c r="N4912">
        <v>0</v>
      </c>
      <c r="O4912">
        <v>4.2635889999999999E-3</v>
      </c>
      <c r="P4912">
        <v>0.99953700000000001</v>
      </c>
      <c r="Q4912">
        <v>8.5154540000000004E-3</v>
      </c>
      <c r="R4912">
        <v>-2.9222209999999998E-2</v>
      </c>
      <c r="S4912">
        <v>2.9938959999999999</v>
      </c>
      <c r="T4912">
        <v>-0.12737899999999999</v>
      </c>
      <c r="U4912">
        <v>-0.29035949999999999</v>
      </c>
      <c r="V4912">
        <v>3.3476840000000001E-2</v>
      </c>
      <c r="W4912">
        <v>2.1207480000000001E-2</v>
      </c>
      <c r="X4912">
        <v>0.99921450000000001</v>
      </c>
      <c r="Y4912">
        <v>0.10068000000000001</v>
      </c>
      <c r="Z4912">
        <v>-2.3167209999999999E-3</v>
      </c>
      <c r="AA4912">
        <v>0.99491609999999997</v>
      </c>
      <c r="AB4912">
        <v>21</v>
      </c>
      <c r="AC4912">
        <v>25.895199999999999</v>
      </c>
      <c r="AD4912">
        <v>-1.1103043232759999</v>
      </c>
      <c r="AE4912">
        <v>-2.53219999999998</v>
      </c>
      <c r="AF4912">
        <v>2.6377889079353101</v>
      </c>
      <c r="AG4912">
        <v>-1.1103043232759999</v>
      </c>
      <c r="AH4912">
        <v>25.837117806639299</v>
      </c>
      <c r="AI4912">
        <v>92.4479617090864</v>
      </c>
      <c r="AJ4912">
        <v>84.170698805707204</v>
      </c>
      <c r="AK4912">
        <v>25.995141133820901</v>
      </c>
      <c r="AL4912">
        <v>88.784809844571697</v>
      </c>
      <c r="AM4912">
        <v>88.081128257479307</v>
      </c>
      <c r="AN4912">
        <v>1.0000000365172901</v>
      </c>
    </row>
    <row r="4913" spans="1:40" x14ac:dyDescent="0.25">
      <c r="A4913" t="str">
        <f>"20190312154022165"</f>
        <v>20190312154022165</v>
      </c>
      <c r="B4913" t="str">
        <f>"1552376422160640"</f>
        <v>1552376422160640</v>
      </c>
      <c r="C4913" t="s">
        <v>40</v>
      </c>
      <c r="D4913">
        <v>4.1001300000000001</v>
      </c>
      <c r="E4913">
        <v>0.52592669999999997</v>
      </c>
      <c r="F4913" t="s">
        <v>61</v>
      </c>
      <c r="G4913">
        <v>-222.4365</v>
      </c>
      <c r="H4913" s="1">
        <v>-1.165733E-7</v>
      </c>
      <c r="I4913">
        <v>211.78829999999999</v>
      </c>
      <c r="J4913">
        <v>-249.62029999999999</v>
      </c>
      <c r="K4913">
        <v>1.110263</v>
      </c>
      <c r="L4913">
        <v>214.4418</v>
      </c>
      <c r="M4913">
        <v>0.99991249999999998</v>
      </c>
      <c r="N4913">
        <v>0</v>
      </c>
      <c r="O4913">
        <v>4.5470780000000004E-3</v>
      </c>
      <c r="P4913">
        <v>0.99954100000000001</v>
      </c>
      <c r="Q4913">
        <v>8.5595510000000003E-3</v>
      </c>
      <c r="R4913">
        <v>-2.9067929999999999E-2</v>
      </c>
      <c r="S4913">
        <v>2.9939420000000001</v>
      </c>
      <c r="T4913">
        <v>-0.12133960000000001</v>
      </c>
      <c r="U4913">
        <v>-0.289856</v>
      </c>
      <c r="V4913">
        <v>3.3606129999999998E-2</v>
      </c>
      <c r="W4913">
        <v>2.0992E-2</v>
      </c>
      <c r="X4913">
        <v>0.99921459999999995</v>
      </c>
      <c r="Y4913">
        <v>0.1008032</v>
      </c>
      <c r="Z4913">
        <v>-2.2209030000000002E-3</v>
      </c>
      <c r="AA4913">
        <v>0.99490389999999995</v>
      </c>
      <c r="AB4913">
        <v>21</v>
      </c>
      <c r="AC4913">
        <v>27.183799999999898</v>
      </c>
      <c r="AD4913">
        <v>-1.1102631165732999</v>
      </c>
      <c r="AE4913">
        <v>-2.6535000000000002</v>
      </c>
      <c r="AF4913">
        <v>2.77250769282398</v>
      </c>
      <c r="AG4913">
        <v>-1.1102631165732999</v>
      </c>
      <c r="AH4913">
        <v>27.126628515223899</v>
      </c>
      <c r="AI4913">
        <v>92.331612223459899</v>
      </c>
      <c r="AJ4913">
        <v>84.164284015991498</v>
      </c>
      <c r="AK4913">
        <v>27.290537878498299</v>
      </c>
      <c r="AL4913">
        <v>88.797158555447993</v>
      </c>
      <c r="AM4913">
        <v>88.073723199653102</v>
      </c>
      <c r="AN4913">
        <v>0.99999992644536495</v>
      </c>
    </row>
    <row r="4914" spans="1:40" x14ac:dyDescent="0.25">
      <c r="A4914" t="str">
        <f>"20190312154022187"</f>
        <v>20190312154022187</v>
      </c>
      <c r="B4914" t="str">
        <f>"1552376422181139"</f>
        <v>1552376422181139</v>
      </c>
      <c r="C4914" t="s">
        <v>40</v>
      </c>
      <c r="D4914">
        <v>4.1290630000000004</v>
      </c>
      <c r="E4914">
        <v>0.52610919999999906</v>
      </c>
      <c r="F4914" t="s">
        <v>61</v>
      </c>
      <c r="G4914">
        <v>-220.7885</v>
      </c>
      <c r="H4914" s="1">
        <v>-9.8731180000000009E-7</v>
      </c>
      <c r="I4914">
        <v>211.64490000000001</v>
      </c>
      <c r="J4914">
        <v>-249.41069999999999</v>
      </c>
      <c r="K4914">
        <v>1.1102190000000001</v>
      </c>
      <c r="L4914">
        <v>214.44309999999999</v>
      </c>
      <c r="M4914">
        <v>0.99991479999999999</v>
      </c>
      <c r="N4914">
        <v>0</v>
      </c>
      <c r="O4914">
        <v>4.8251530000000004E-3</v>
      </c>
      <c r="P4914">
        <v>0.99953820000000004</v>
      </c>
      <c r="Q4914">
        <v>8.8461679999999997E-3</v>
      </c>
      <c r="R4914">
        <v>-2.9077169999999999E-2</v>
      </c>
      <c r="S4914">
        <v>2.9939119999999999</v>
      </c>
      <c r="T4914">
        <v>-0.1152904</v>
      </c>
      <c r="U4914">
        <v>-0.29043580000000002</v>
      </c>
      <c r="V4914">
        <v>3.3893239999999998E-2</v>
      </c>
      <c r="W4914">
        <v>2.0988179999999999E-2</v>
      </c>
      <c r="X4914">
        <v>0.99920509999999996</v>
      </c>
      <c r="Y4914">
        <v>0.10127949999999999</v>
      </c>
      <c r="Z4914">
        <v>-2.1300960000000002E-3</v>
      </c>
      <c r="AA4914">
        <v>0.99485579999999996</v>
      </c>
      <c r="AB4914">
        <v>21</v>
      </c>
      <c r="AC4914">
        <v>28.6221999999999</v>
      </c>
      <c r="AD4914">
        <v>-1.1102199873117999</v>
      </c>
      <c r="AE4914">
        <v>-2.7981999999999698</v>
      </c>
      <c r="AF4914">
        <v>2.9319145697858602</v>
      </c>
      <c r="AG4914">
        <v>-1.1102199873117999</v>
      </c>
      <c r="AH4914">
        <v>28.565791712046899</v>
      </c>
      <c r="AI4914">
        <v>92.214081515610005</v>
      </c>
      <c r="AJ4914">
        <v>84.139838509497594</v>
      </c>
      <c r="AK4914">
        <v>28.737313159041101</v>
      </c>
      <c r="AL4914">
        <v>88.7973776145367</v>
      </c>
      <c r="AM4914">
        <v>88.057260382256999</v>
      </c>
      <c r="AN4914">
        <v>1.0000000436417</v>
      </c>
    </row>
    <row r="4915" spans="1:40" x14ac:dyDescent="0.25">
      <c r="A4915" t="str">
        <f>"20190312154022210"</f>
        <v>20190312154022210</v>
      </c>
      <c r="B4915" t="str">
        <f>"1552376422200656"</f>
        <v>1552376422200656</v>
      </c>
      <c r="C4915" t="s">
        <v>40</v>
      </c>
      <c r="D4915">
        <v>4.0912420000000003</v>
      </c>
      <c r="E4915">
        <v>0.52618529999999997</v>
      </c>
      <c r="F4915" t="s">
        <v>61</v>
      </c>
      <c r="G4915">
        <v>-219.7311</v>
      </c>
      <c r="H4915" s="1">
        <v>3.7757519999999999E-6</v>
      </c>
      <c r="I4915">
        <v>211.5478</v>
      </c>
      <c r="J4915">
        <v>-249.202</v>
      </c>
      <c r="K4915">
        <v>1.110163</v>
      </c>
      <c r="L4915">
        <v>214.4444</v>
      </c>
      <c r="M4915">
        <v>0.99991739999999996</v>
      </c>
      <c r="N4915">
        <v>0</v>
      </c>
      <c r="O4915">
        <v>5.0993449999999999E-3</v>
      </c>
      <c r="P4915">
        <v>0.99953939999999997</v>
      </c>
      <c r="Q4915">
        <v>9.2518259999999995E-3</v>
      </c>
      <c r="R4915">
        <v>-2.890916E-2</v>
      </c>
      <c r="S4915">
        <v>2.9938959999999999</v>
      </c>
      <c r="T4915">
        <v>-0.11199190000000001</v>
      </c>
      <c r="U4915">
        <v>-0.29205320000000001</v>
      </c>
      <c r="V4915">
        <v>3.3999179999999997E-2</v>
      </c>
      <c r="W4915">
        <v>2.1070180000000001E-2</v>
      </c>
      <c r="X4915">
        <v>0.99919970000000002</v>
      </c>
      <c r="Y4915">
        <v>0.10208879999999999</v>
      </c>
      <c r="Z4915">
        <v>-2.0944779999999999E-3</v>
      </c>
      <c r="AA4915">
        <v>0.99477309999999997</v>
      </c>
      <c r="AB4915">
        <v>21</v>
      </c>
      <c r="AC4915">
        <v>29.4709</v>
      </c>
      <c r="AD4915">
        <v>-1.1101592242479901</v>
      </c>
      <c r="AE4915">
        <v>-2.8965999999999998</v>
      </c>
      <c r="AF4915">
        <v>3.0425789560874201</v>
      </c>
      <c r="AG4915">
        <v>-1.1101592242479901</v>
      </c>
      <c r="AH4915">
        <v>29.4144051667136</v>
      </c>
      <c r="AI4915">
        <v>92.149972494088303</v>
      </c>
      <c r="AJ4915">
        <v>84.094418839594795</v>
      </c>
      <c r="AK4915">
        <v>29.592177539322702</v>
      </c>
      <c r="AL4915">
        <v>88.792678231020602</v>
      </c>
      <c r="AM4915">
        <v>88.051182117960707</v>
      </c>
      <c r="AN4915">
        <v>0.999999968602997</v>
      </c>
    </row>
    <row r="4916" spans="1:40" x14ac:dyDescent="0.25">
      <c r="A4916" t="str">
        <f>"20190312154022232"</f>
        <v>20190312154022232</v>
      </c>
      <c r="B4916" t="str">
        <f>"1552376422221151"</f>
        <v>1552376422221151</v>
      </c>
      <c r="C4916" t="s">
        <v>40</v>
      </c>
      <c r="D4916">
        <v>4.118411</v>
      </c>
      <c r="E4916">
        <v>0.52628359999999996</v>
      </c>
      <c r="F4916" t="s">
        <v>61</v>
      </c>
      <c r="G4916">
        <v>-218.50299999999999</v>
      </c>
      <c r="H4916" s="1">
        <v>3.1265079999999998E-6</v>
      </c>
      <c r="I4916">
        <v>211.44929999999999</v>
      </c>
      <c r="J4916">
        <v>-248.99260000000001</v>
      </c>
      <c r="K4916">
        <v>1.110114</v>
      </c>
      <c r="L4916">
        <v>214.44579999999999</v>
      </c>
      <c r="M4916">
        <v>0.99991989999999997</v>
      </c>
      <c r="N4916">
        <v>0</v>
      </c>
      <c r="O4916">
        <v>5.3737239999999999E-3</v>
      </c>
      <c r="P4916">
        <v>0.99954330000000002</v>
      </c>
      <c r="Q4916">
        <v>9.9248549999999998E-3</v>
      </c>
      <c r="R4916">
        <v>-2.8550900000000001E-2</v>
      </c>
      <c r="S4916">
        <v>2.9939420000000001</v>
      </c>
      <c r="T4916">
        <v>-0.1082692</v>
      </c>
      <c r="U4916">
        <v>-0.292099</v>
      </c>
      <c r="V4916">
        <v>3.391475E-2</v>
      </c>
      <c r="W4916">
        <v>2.1398170000000001E-2</v>
      </c>
      <c r="X4916">
        <v>0.99919559999999996</v>
      </c>
      <c r="Y4916">
        <v>0.10237980000000001</v>
      </c>
      <c r="Z4916">
        <v>-2.0400150000000001E-3</v>
      </c>
      <c r="AA4916">
        <v>0.9947433</v>
      </c>
      <c r="AB4916">
        <v>21</v>
      </c>
      <c r="AC4916">
        <v>30.489599999999999</v>
      </c>
      <c r="AD4916">
        <v>-1.110110873492</v>
      </c>
      <c r="AE4916">
        <v>-2.9964999999999899</v>
      </c>
      <c r="AF4916">
        <v>3.1561662334434102</v>
      </c>
      <c r="AG4916">
        <v>-1.110110873492</v>
      </c>
      <c r="AH4916">
        <v>30.4330985676545</v>
      </c>
      <c r="AI4916">
        <v>92.077922349468295</v>
      </c>
      <c r="AJ4916">
        <v>84.079116286143105</v>
      </c>
      <c r="AK4916">
        <v>30.616453417617599</v>
      </c>
      <c r="AL4916">
        <v>88.773881550629795</v>
      </c>
      <c r="AM4916">
        <v>88.056009919591403</v>
      </c>
      <c r="AN4916">
        <v>0.99999996950313497</v>
      </c>
    </row>
    <row r="4917" spans="1:40" x14ac:dyDescent="0.25">
      <c r="A4917" t="str">
        <f>"20190312154022255"</f>
        <v>20190312154022255</v>
      </c>
      <c r="B4917" t="str">
        <f>"1552376422240672"</f>
        <v>1552376422240672</v>
      </c>
      <c r="C4917" t="s">
        <v>40</v>
      </c>
      <c r="D4917">
        <v>4.1071660000000003</v>
      </c>
      <c r="E4917">
        <v>0.52645949999999997</v>
      </c>
      <c r="F4917" t="s">
        <v>61</v>
      </c>
      <c r="G4917">
        <v>-217.08920000000001</v>
      </c>
      <c r="H4917" s="1">
        <v>2.379106E-6</v>
      </c>
      <c r="I4917">
        <v>211.3364</v>
      </c>
      <c r="J4917">
        <v>-248.7758</v>
      </c>
      <c r="K4917">
        <v>1.11007099999999</v>
      </c>
      <c r="L4917">
        <v>214.44730000000001</v>
      </c>
      <c r="M4917">
        <v>0.99992250000000005</v>
      </c>
      <c r="N4917">
        <v>0</v>
      </c>
      <c r="O4917">
        <v>5.6587199999999999E-3</v>
      </c>
      <c r="P4917">
        <v>0.99954350000000003</v>
      </c>
      <c r="Q4917">
        <v>1.0591389999999999E-2</v>
      </c>
      <c r="R4917">
        <v>-2.830127E-2</v>
      </c>
      <c r="S4917">
        <v>2.9940639999999998</v>
      </c>
      <c r="T4917">
        <v>-0.1041815</v>
      </c>
      <c r="U4917">
        <v>-0.29180909999999999</v>
      </c>
      <c r="V4917">
        <v>3.3949880000000002E-2</v>
      </c>
      <c r="W4917">
        <v>2.1694689999999999E-2</v>
      </c>
      <c r="X4917">
        <v>0.99918810000000002</v>
      </c>
      <c r="Y4917">
        <v>0.1025688</v>
      </c>
      <c r="Z4917">
        <v>-1.9761430000000001E-3</v>
      </c>
      <c r="AA4917">
        <v>0.99472389999999999</v>
      </c>
      <c r="AB4917">
        <v>21</v>
      </c>
      <c r="AC4917">
        <v>31.686599999999999</v>
      </c>
      <c r="AD4917">
        <v>-1.1100686208939901</v>
      </c>
      <c r="AE4917">
        <v>-3.1109000000000102</v>
      </c>
      <c r="AF4917">
        <v>3.2861722149732802</v>
      </c>
      <c r="AG4917">
        <v>-1.1100686208939901</v>
      </c>
      <c r="AH4917">
        <v>31.630039081176999</v>
      </c>
      <c r="AI4917">
        <v>91.999240777887806</v>
      </c>
      <c r="AJ4917">
        <v>84.0685906571441</v>
      </c>
      <c r="AK4917">
        <v>31.819656699064801</v>
      </c>
      <c r="AL4917">
        <v>88.756888368724802</v>
      </c>
      <c r="AM4917">
        <v>88.053983223280497</v>
      </c>
      <c r="AN4917">
        <v>1.0000000565539</v>
      </c>
    </row>
    <row r="4918" spans="1:40" x14ac:dyDescent="0.25">
      <c r="A4918" t="str">
        <f>"20190312154022277"</f>
        <v>20190312154022277</v>
      </c>
      <c r="B4918" t="str">
        <f>"1552376422270928"</f>
        <v>1552376422270928</v>
      </c>
      <c r="C4918" t="s">
        <v>40</v>
      </c>
      <c r="D4918">
        <v>3.9976750000000001</v>
      </c>
      <c r="E4918">
        <v>0.53962100000000002</v>
      </c>
      <c r="F4918" t="s">
        <v>61</v>
      </c>
      <c r="G4918">
        <v>-215.74610000000001</v>
      </c>
      <c r="H4918" s="1">
        <v>1.669481E-6</v>
      </c>
      <c r="I4918">
        <v>211.21899999999999</v>
      </c>
      <c r="J4918">
        <v>-248.5658</v>
      </c>
      <c r="K4918">
        <v>1.110026</v>
      </c>
      <c r="L4918">
        <v>214.44880000000001</v>
      </c>
      <c r="M4918">
        <v>0.99992479999999995</v>
      </c>
      <c r="N4918">
        <v>0</v>
      </c>
      <c r="O4918">
        <v>5.9358190000000002E-3</v>
      </c>
      <c r="P4918">
        <v>0.9995522</v>
      </c>
      <c r="Q4918">
        <v>1.086924E-2</v>
      </c>
      <c r="R4918">
        <v>-2.7882270000000001E-2</v>
      </c>
      <c r="S4918">
        <v>2.9941559999999998</v>
      </c>
      <c r="T4918">
        <v>-0.100628</v>
      </c>
      <c r="U4918">
        <v>-0.29264829999999997</v>
      </c>
      <c r="V4918">
        <v>3.3807650000000002E-2</v>
      </c>
      <c r="W4918">
        <v>2.1605539999999999E-2</v>
      </c>
      <c r="X4918">
        <v>0.99919480000000005</v>
      </c>
      <c r="Y4918">
        <v>0.10312159999999999</v>
      </c>
      <c r="Z4918">
        <v>-1.927247E-3</v>
      </c>
      <c r="AA4918">
        <v>0.99466690000000002</v>
      </c>
      <c r="AB4918">
        <v>21</v>
      </c>
      <c r="AC4918">
        <v>32.819699999999898</v>
      </c>
      <c r="AD4918">
        <v>-1.1100243305189901</v>
      </c>
      <c r="AE4918">
        <v>-3.22979999999998</v>
      </c>
      <c r="AF4918">
        <v>3.4206906455027002</v>
      </c>
      <c r="AG4918">
        <v>-1.1100243305189901</v>
      </c>
      <c r="AH4918">
        <v>32.762830543036799</v>
      </c>
      <c r="AI4918">
        <v>91.929990220245898</v>
      </c>
      <c r="AJ4918">
        <v>84.039477301472601</v>
      </c>
      <c r="AK4918">
        <v>32.959616862128698</v>
      </c>
      <c r="AL4918">
        <v>88.761997417724402</v>
      </c>
      <c r="AM4918">
        <v>88.062142642527306</v>
      </c>
      <c r="AN4918">
        <v>1.0000000024521201</v>
      </c>
    </row>
    <row r="4919" spans="1:40" x14ac:dyDescent="0.25">
      <c r="A4919" t="str">
        <f>"20190312154022300"</f>
        <v>20190312154022300</v>
      </c>
      <c r="B4919" t="str">
        <f>"1552376422291424"</f>
        <v>1552376422291424</v>
      </c>
      <c r="C4919" t="s">
        <v>40</v>
      </c>
      <c r="D4919">
        <v>4.0033599999999998</v>
      </c>
      <c r="E4919">
        <v>0.54330429999999996</v>
      </c>
      <c r="F4919" t="s">
        <v>41</v>
      </c>
      <c r="G4919">
        <v>-247.6764</v>
      </c>
      <c r="H4919">
        <v>0.97958299999999998</v>
      </c>
      <c r="I4919">
        <v>214.33340000000001</v>
      </c>
      <c r="J4919">
        <v>-248.35300000000001</v>
      </c>
      <c r="K4919">
        <v>1.1099749999999999</v>
      </c>
      <c r="L4919">
        <v>214.4504</v>
      </c>
      <c r="M4919">
        <v>0.99992720000000002</v>
      </c>
      <c r="N4919">
        <v>0</v>
      </c>
      <c r="O4919">
        <v>6.216961E-3</v>
      </c>
      <c r="P4919">
        <v>0.99956179999999994</v>
      </c>
      <c r="Q4919">
        <v>1.1420090000000001E-2</v>
      </c>
      <c r="R4919">
        <v>-2.7307950000000001E-2</v>
      </c>
      <c r="S4919">
        <v>2.9952999999999999</v>
      </c>
      <c r="T4919">
        <v>-0.43929269999999998</v>
      </c>
      <c r="U4919">
        <v>-0.38838200000000001</v>
      </c>
      <c r="V4919">
        <v>3.351436E-2</v>
      </c>
      <c r="W4919">
        <v>2.177716E-2</v>
      </c>
      <c r="X4919">
        <v>0.99920089999999995</v>
      </c>
      <c r="Y4919">
        <v>0.1332825</v>
      </c>
      <c r="Z4919">
        <v>-1.058511E-2</v>
      </c>
      <c r="AA4919">
        <v>0.99102159999999995</v>
      </c>
      <c r="AB4919">
        <v>21</v>
      </c>
      <c r="AC4919">
        <v>0.676599999999979</v>
      </c>
      <c r="AD4919">
        <v>-0.13039199999999901</v>
      </c>
      <c r="AE4919">
        <v>-0.11699999999999</v>
      </c>
      <c r="AF4919">
        <v>0.11698569907345401</v>
      </c>
      <c r="AG4919">
        <v>-0.13039199999999901</v>
      </c>
      <c r="AH4919">
        <v>0.65233541443533005</v>
      </c>
      <c r="AI4919">
        <v>101.130562326953</v>
      </c>
      <c r="AJ4919">
        <v>79.833010736798698</v>
      </c>
      <c r="AK4919">
        <v>0.67544742236403499</v>
      </c>
      <c r="AL4919">
        <v>88.752161933713197</v>
      </c>
      <c r="AM4919">
        <v>88.078953117588995</v>
      </c>
      <c r="AN4919">
        <v>0.99999994779234103</v>
      </c>
    </row>
    <row r="4920" spans="1:40" x14ac:dyDescent="0.25">
      <c r="A4920" t="str">
        <f>"20190312154022321"</f>
        <v>20190312154022321</v>
      </c>
      <c r="B4920" t="str">
        <f>"1552376422310944"</f>
        <v>1552376422310944</v>
      </c>
      <c r="C4920" t="s">
        <v>40</v>
      </c>
      <c r="D4920">
        <v>4.0574839999999996</v>
      </c>
      <c r="E4920">
        <v>0.54416869999999995</v>
      </c>
      <c r="F4920" t="s">
        <v>41</v>
      </c>
      <c r="G4920">
        <v>-247.49680000000001</v>
      </c>
      <c r="H4920">
        <v>0.9550343</v>
      </c>
      <c r="I4920">
        <v>214.3321</v>
      </c>
      <c r="J4920">
        <v>-248.14420000000001</v>
      </c>
      <c r="K4920">
        <v>1.109936</v>
      </c>
      <c r="L4920">
        <v>214.452</v>
      </c>
      <c r="M4920">
        <v>0.99992910000000002</v>
      </c>
      <c r="N4920">
        <v>0</v>
      </c>
      <c r="O4920">
        <v>6.4931829999999996E-3</v>
      </c>
      <c r="P4920">
        <v>0.99957490000000004</v>
      </c>
      <c r="Q4920">
        <v>1.1575139999999999E-2</v>
      </c>
      <c r="R4920">
        <v>-2.676477E-2</v>
      </c>
      <c r="S4920">
        <v>2.9962010000000001</v>
      </c>
      <c r="T4920">
        <v>-0.54231870000000004</v>
      </c>
      <c r="U4920">
        <v>-0.41360469999999999</v>
      </c>
      <c r="V4920">
        <v>3.3247390000000002E-2</v>
      </c>
      <c r="W4920">
        <v>2.1568360000000002E-2</v>
      </c>
      <c r="X4920">
        <v>0.99921439999999995</v>
      </c>
      <c r="Y4920">
        <v>0.14082600000000001</v>
      </c>
      <c r="Z4920">
        <v>-1.3744559999999999E-2</v>
      </c>
      <c r="AA4920">
        <v>0.98993900000000001</v>
      </c>
      <c r="AB4920">
        <v>21</v>
      </c>
      <c r="AC4920">
        <v>0.64740000000000397</v>
      </c>
      <c r="AD4920">
        <v>-0.154901699999999</v>
      </c>
      <c r="AE4920">
        <v>-0.11990000000000101</v>
      </c>
      <c r="AF4920">
        <v>0.11759257620272499</v>
      </c>
      <c r="AG4920">
        <v>-0.154901699999999</v>
      </c>
      <c r="AH4920">
        <v>0.61269489327541804</v>
      </c>
      <c r="AI4920">
        <v>103.94392240578</v>
      </c>
      <c r="AJ4920">
        <v>79.135519115554999</v>
      </c>
      <c r="AK4920">
        <v>0.642820023713216</v>
      </c>
      <c r="AL4920">
        <v>88.764128168452302</v>
      </c>
      <c r="AM4920">
        <v>88.094270267475494</v>
      </c>
      <c r="AN4920">
        <v>1.00000000013113</v>
      </c>
    </row>
    <row r="4921" spans="1:40" x14ac:dyDescent="0.25">
      <c r="A4921" t="str">
        <f>"20190312154022344"</f>
        <v>20190312154022344</v>
      </c>
      <c r="B4921" t="str">
        <f>"1552376422331440"</f>
        <v>1552376422331440</v>
      </c>
      <c r="C4921" t="s">
        <v>40</v>
      </c>
      <c r="D4921">
        <v>4.1053369999999996</v>
      </c>
      <c r="E4921">
        <v>0.54529700000000003</v>
      </c>
      <c r="F4921" t="s">
        <v>41</v>
      </c>
      <c r="G4921">
        <v>-247.3083</v>
      </c>
      <c r="H4921">
        <v>0.94801089999999999</v>
      </c>
      <c r="I4921">
        <v>214.3355</v>
      </c>
      <c r="J4921">
        <v>-247.92789999999999</v>
      </c>
      <c r="K4921">
        <v>1.1098939999999999</v>
      </c>
      <c r="L4921">
        <v>214.4537</v>
      </c>
      <c r="M4921">
        <v>0.99993080000000001</v>
      </c>
      <c r="N4921">
        <v>0</v>
      </c>
      <c r="O4921">
        <v>6.779083E-3</v>
      </c>
      <c r="P4921">
        <v>0.99958460000000005</v>
      </c>
      <c r="Q4921">
        <v>1.1931860000000001E-2</v>
      </c>
      <c r="R4921">
        <v>-2.6235430000000001E-2</v>
      </c>
      <c r="S4921">
        <v>2.9967959999999998</v>
      </c>
      <c r="T4921">
        <v>-0.58046330000000002</v>
      </c>
      <c r="U4921">
        <v>-0.4177246</v>
      </c>
      <c r="V4921">
        <v>3.3003959999999999E-2</v>
      </c>
      <c r="W4921">
        <v>2.1555970000000001E-2</v>
      </c>
      <c r="X4921">
        <v>0.99922279999999997</v>
      </c>
      <c r="Y4921">
        <v>0.1420524</v>
      </c>
      <c r="Z4921">
        <v>-1.486202E-2</v>
      </c>
      <c r="AA4921">
        <v>0.98974759999999995</v>
      </c>
      <c r="AB4921">
        <v>21</v>
      </c>
      <c r="AC4921">
        <v>0.61959999999999105</v>
      </c>
      <c r="AD4921">
        <v>-0.1618831</v>
      </c>
      <c r="AE4921">
        <v>-0.118200000000001</v>
      </c>
      <c r="AF4921">
        <v>0.114834220183614</v>
      </c>
      <c r="AG4921">
        <v>-0.1618831</v>
      </c>
      <c r="AH4921">
        <v>0.58054662410945901</v>
      </c>
      <c r="AI4921">
        <v>105.29876754642</v>
      </c>
      <c r="AJ4921">
        <v>78.811122000085703</v>
      </c>
      <c r="AK4921">
        <v>0.61353681141043104</v>
      </c>
      <c r="AL4921">
        <v>88.764838305449601</v>
      </c>
      <c r="AM4921">
        <v>88.108229312571197</v>
      </c>
      <c r="AN4921">
        <v>1.0000000626290699</v>
      </c>
    </row>
    <row r="4922" spans="1:40" x14ac:dyDescent="0.25">
      <c r="A4922" t="str">
        <f>"20190312154022366"</f>
        <v>20190312154022366</v>
      </c>
      <c r="B4922" t="str">
        <f>"1552376422360724"</f>
        <v>1552376422360724</v>
      </c>
      <c r="C4922" t="s">
        <v>40</v>
      </c>
      <c r="D4922">
        <v>4.0448190000000004</v>
      </c>
      <c r="E4922">
        <v>0.5460216</v>
      </c>
      <c r="F4922" t="s">
        <v>41</v>
      </c>
      <c r="G4922">
        <v>-247.1165</v>
      </c>
      <c r="H4922">
        <v>0.94591340000000002</v>
      </c>
      <c r="I4922">
        <v>214.33850000000001</v>
      </c>
      <c r="J4922">
        <v>-247.71119999999999</v>
      </c>
      <c r="K4922">
        <v>1.1098539999999999</v>
      </c>
      <c r="L4922">
        <v>214.4555</v>
      </c>
      <c r="M4922">
        <v>0.9999323</v>
      </c>
      <c r="N4922">
        <v>0</v>
      </c>
      <c r="O4922">
        <v>7.0653869999999898E-3</v>
      </c>
      <c r="P4922">
        <v>0.99960599999999999</v>
      </c>
      <c r="Q4922">
        <v>1.182569E-2</v>
      </c>
      <c r="R4922">
        <v>-2.5463630000000001E-2</v>
      </c>
      <c r="S4922">
        <v>2.9973139999999998</v>
      </c>
      <c r="T4922">
        <v>-0.60577049999999999</v>
      </c>
      <c r="U4922">
        <v>-0.4250488</v>
      </c>
      <c r="V4922">
        <v>3.2518419999999999E-2</v>
      </c>
      <c r="W4922">
        <v>2.1082099999999999E-2</v>
      </c>
      <c r="X4922">
        <v>0.99924869999999999</v>
      </c>
      <c r="Y4922">
        <v>0.14439399999999999</v>
      </c>
      <c r="Z4922">
        <v>-1.5782560000000001E-2</v>
      </c>
      <c r="AA4922">
        <v>0.98939440000000001</v>
      </c>
      <c r="AB4922">
        <v>21</v>
      </c>
      <c r="AC4922">
        <v>0.59469999999998802</v>
      </c>
      <c r="AD4922">
        <v>-0.16394059999999999</v>
      </c>
      <c r="AE4922">
        <v>-0.11699999999999</v>
      </c>
      <c r="AF4922">
        <v>0.11293640924078301</v>
      </c>
      <c r="AG4922">
        <v>-0.16394059999999999</v>
      </c>
      <c r="AH4922">
        <v>0.55337270451776899</v>
      </c>
      <c r="AI4922">
        <v>106.186617608299</v>
      </c>
      <c r="AJ4922">
        <v>78.465060847755893</v>
      </c>
      <c r="AK4922">
        <v>0.58809225718918601</v>
      </c>
      <c r="AL4922">
        <v>88.791995071176899</v>
      </c>
      <c r="AM4922">
        <v>88.136088725611401</v>
      </c>
      <c r="AN4922">
        <v>0.99999993351569605</v>
      </c>
    </row>
    <row r="4923" spans="1:40" x14ac:dyDescent="0.25">
      <c r="A4923" t="str">
        <f>"20190312154022390"</f>
        <v>20190312154022390</v>
      </c>
      <c r="B4923" t="str">
        <f>"1552376422381217"</f>
        <v>1552376422381217</v>
      </c>
      <c r="C4923" t="s">
        <v>40</v>
      </c>
      <c r="D4923">
        <v>4.0779699999999997</v>
      </c>
      <c r="E4923">
        <v>0.54620729999999995</v>
      </c>
      <c r="F4923" t="s">
        <v>41</v>
      </c>
      <c r="G4923">
        <v>-246.92310000000001</v>
      </c>
      <c r="H4923">
        <v>0.94555370000000005</v>
      </c>
      <c r="I4923">
        <v>214.34280000000001</v>
      </c>
      <c r="J4923">
        <v>-247.48400000000001</v>
      </c>
      <c r="K4923">
        <v>1.1098030000000001</v>
      </c>
      <c r="L4923">
        <v>214.45750000000001</v>
      </c>
      <c r="M4923">
        <v>0.99993350000000003</v>
      </c>
      <c r="N4923">
        <v>0</v>
      </c>
      <c r="O4923">
        <v>7.3650219999999997E-3</v>
      </c>
      <c r="P4923">
        <v>0.99961540000000004</v>
      </c>
      <c r="Q4923">
        <v>1.200918E-2</v>
      </c>
      <c r="R4923">
        <v>-2.4999670000000002E-2</v>
      </c>
      <c r="S4923">
        <v>2.997665</v>
      </c>
      <c r="T4923">
        <v>-0.62501799999999996</v>
      </c>
      <c r="U4923">
        <v>-0.42828369999999999</v>
      </c>
      <c r="V4923">
        <v>3.2353939999999998E-2</v>
      </c>
      <c r="W4923">
        <v>2.088711E-2</v>
      </c>
      <c r="X4923">
        <v>0.99925819999999999</v>
      </c>
      <c r="Y4923">
        <v>0.1455004</v>
      </c>
      <c r="Z4923">
        <v>-1.6445810000000002E-2</v>
      </c>
      <c r="AA4923">
        <v>0.98922149999999998</v>
      </c>
      <c r="AB4923">
        <v>22</v>
      </c>
      <c r="AC4923">
        <v>0.56090000000000295</v>
      </c>
      <c r="AD4923">
        <v>-0.16424929999999999</v>
      </c>
      <c r="AE4923">
        <v>-0.114699999999999</v>
      </c>
      <c r="AF4923">
        <v>0.109791333931164</v>
      </c>
      <c r="AG4923">
        <v>-0.16424929999999999</v>
      </c>
      <c r="AH4923">
        <v>0.51744949998697398</v>
      </c>
      <c r="AI4923">
        <v>107.250008241507</v>
      </c>
      <c r="AJ4923">
        <v>78.020760985299006</v>
      </c>
      <c r="AK4923">
        <v>0.55388261806419203</v>
      </c>
      <c r="AL4923">
        <v>88.803169715658598</v>
      </c>
      <c r="AM4923">
        <v>88.145527512433802</v>
      </c>
      <c r="AN4923">
        <v>0.999999999532457</v>
      </c>
    </row>
    <row r="4924" spans="1:40" x14ac:dyDescent="0.25">
      <c r="A4924" t="str">
        <f>"20190312154022411"</f>
        <v>20190312154022411</v>
      </c>
      <c r="B4924" t="str">
        <f>"1552376422400736"</f>
        <v>1552376422400736</v>
      </c>
      <c r="C4924" t="s">
        <v>40</v>
      </c>
      <c r="D4924">
        <v>4.093483</v>
      </c>
      <c r="E4924">
        <v>0.54647840000000003</v>
      </c>
      <c r="F4924" t="s">
        <v>41</v>
      </c>
      <c r="G4924">
        <v>-246.7269</v>
      </c>
      <c r="H4924">
        <v>0.94951819999999998</v>
      </c>
      <c r="I4924">
        <v>214.3492</v>
      </c>
      <c r="J4924">
        <v>-247.27860000000001</v>
      </c>
      <c r="K4924">
        <v>1.1097629999999901</v>
      </c>
      <c r="L4924">
        <v>214.45930000000001</v>
      </c>
      <c r="M4924">
        <v>0.9999344</v>
      </c>
      <c r="N4924">
        <v>0</v>
      </c>
      <c r="O4924">
        <v>7.6358349999999997E-3</v>
      </c>
      <c r="P4924">
        <v>0.99962220000000002</v>
      </c>
      <c r="Q4924">
        <v>1.2255E-2</v>
      </c>
      <c r="R4924">
        <v>-2.4611899999999999E-2</v>
      </c>
      <c r="S4924">
        <v>2.9980929999999999</v>
      </c>
      <c r="T4924">
        <v>-0.6347083</v>
      </c>
      <c r="U4924">
        <v>-0.4282532</v>
      </c>
      <c r="V4924">
        <v>3.223678E-2</v>
      </c>
      <c r="W4924">
        <v>2.0803209999999999E-2</v>
      </c>
      <c r="X4924">
        <v>0.99926380000000004</v>
      </c>
      <c r="Y4924">
        <v>0.14563110000000001</v>
      </c>
      <c r="Z4924">
        <v>-1.6763130000000001E-2</v>
      </c>
      <c r="AA4924">
        <v>0.98919699999999999</v>
      </c>
      <c r="AB4924">
        <v>22</v>
      </c>
      <c r="AC4924">
        <v>0.55170000000001096</v>
      </c>
      <c r="AD4924">
        <v>-0.16024479999999899</v>
      </c>
      <c r="AE4924">
        <v>-0.110100000000016</v>
      </c>
      <c r="AF4924">
        <v>0.105731266912153</v>
      </c>
      <c r="AG4924">
        <v>-0.16024479999999899</v>
      </c>
      <c r="AH4924">
        <v>0.50950515095694304</v>
      </c>
      <c r="AI4924">
        <v>107.11620740801</v>
      </c>
      <c r="AJ4924">
        <v>78.276514323671705</v>
      </c>
      <c r="AK4924">
        <v>0.54447497241062104</v>
      </c>
      <c r="AL4924">
        <v>88.807977951680002</v>
      </c>
      <c r="AM4924">
        <v>88.152248607457196</v>
      </c>
      <c r="AN4924">
        <v>1.0000000627607499</v>
      </c>
    </row>
    <row r="4925" spans="1:40" x14ac:dyDescent="0.25">
      <c r="A4925" t="str">
        <f>"20190312154022433"</f>
        <v>20190312154022433</v>
      </c>
      <c r="B4925" t="str">
        <f>"1552376422421233"</f>
        <v>1552376422421233</v>
      </c>
      <c r="C4925" t="s">
        <v>40</v>
      </c>
      <c r="D4925">
        <v>4.0969920000000002</v>
      </c>
      <c r="E4925">
        <v>0.54658909999999905</v>
      </c>
      <c r="F4925" t="s">
        <v>41</v>
      </c>
      <c r="G4925">
        <v>-246.53129999999999</v>
      </c>
      <c r="H4925">
        <v>0.94985509999999995</v>
      </c>
      <c r="I4925">
        <v>214.35230000000001</v>
      </c>
      <c r="J4925">
        <v>-247.06180000000001</v>
      </c>
      <c r="K4925">
        <v>1.1097250000000001</v>
      </c>
      <c r="L4925">
        <v>214.46129999999999</v>
      </c>
      <c r="M4925">
        <v>0.99993509999999997</v>
      </c>
      <c r="N4925">
        <v>0</v>
      </c>
      <c r="O4925">
        <v>7.9215109999999991E-3</v>
      </c>
      <c r="P4925">
        <v>0.99964280000000005</v>
      </c>
      <c r="Q4925">
        <v>1.1956100000000001E-2</v>
      </c>
      <c r="R4925">
        <v>-2.391652E-2</v>
      </c>
      <c r="S4925">
        <v>2.9984280000000001</v>
      </c>
      <c r="T4925">
        <v>-0.64160249999999996</v>
      </c>
      <c r="U4925">
        <v>-0.42935180000000001</v>
      </c>
      <c r="V4925">
        <v>3.1827229999999998E-2</v>
      </c>
      <c r="W4925">
        <v>2.01701E-2</v>
      </c>
      <c r="X4925">
        <v>0.99928989999999995</v>
      </c>
      <c r="Y4925">
        <v>0.14616409999999999</v>
      </c>
      <c r="Z4925">
        <v>-1.7055270000000001E-2</v>
      </c>
      <c r="AA4925">
        <v>0.98911329999999997</v>
      </c>
      <c r="AB4925">
        <v>22</v>
      </c>
      <c r="AC4925">
        <v>0.53050000000001696</v>
      </c>
      <c r="AD4925">
        <v>-0.15986990000000001</v>
      </c>
      <c r="AE4925">
        <v>-0.10899999999998</v>
      </c>
      <c r="AF4925">
        <v>0.104125826635371</v>
      </c>
      <c r="AG4925">
        <v>-0.15986990000000001</v>
      </c>
      <c r="AH4925">
        <v>0.48716921319856898</v>
      </c>
      <c r="AI4925">
        <v>107.79209090456</v>
      </c>
      <c r="AJ4925">
        <v>77.935334247983405</v>
      </c>
      <c r="AK4925">
        <v>0.52319634458492004</v>
      </c>
      <c r="AL4925">
        <v>88.844260086521004</v>
      </c>
      <c r="AM4925">
        <v>88.175754892096705</v>
      </c>
      <c r="AN4925">
        <v>1.0000000548727399</v>
      </c>
    </row>
    <row r="4926" spans="1:40" x14ac:dyDescent="0.25">
      <c r="A4926" t="str">
        <f>"20190312154022456"</f>
        <v>20190312154022456</v>
      </c>
      <c r="B4926" t="str">
        <f>"1552376422451487"</f>
        <v>1552376422451487</v>
      </c>
      <c r="C4926" t="s">
        <v>40</v>
      </c>
      <c r="D4926">
        <v>4.1188789999999997</v>
      </c>
      <c r="E4926">
        <v>0.54655669999999901</v>
      </c>
      <c r="F4926" t="s">
        <v>41</v>
      </c>
      <c r="G4926">
        <v>-246.33369999999999</v>
      </c>
      <c r="H4926">
        <v>0.95230570000000003</v>
      </c>
      <c r="I4926">
        <v>214.35720000000001</v>
      </c>
      <c r="J4926">
        <v>-246.8347</v>
      </c>
      <c r="K4926">
        <v>1.109685</v>
      </c>
      <c r="L4926">
        <v>214.46340000000001</v>
      </c>
      <c r="M4926">
        <v>0.99993529999999997</v>
      </c>
      <c r="N4926">
        <v>0</v>
      </c>
      <c r="O4926">
        <v>8.2206889999999998E-3</v>
      </c>
      <c r="P4926">
        <v>0.99965550000000003</v>
      </c>
      <c r="Q4926">
        <v>1.186013E-2</v>
      </c>
      <c r="R4926">
        <v>-2.3418999999999999E-2</v>
      </c>
      <c r="S4926">
        <v>2.9985810000000002</v>
      </c>
      <c r="T4926">
        <v>-0.64845410000000003</v>
      </c>
      <c r="U4926">
        <v>-0.4276276</v>
      </c>
      <c r="V4926">
        <v>3.162889E-2</v>
      </c>
      <c r="W4926">
        <v>1.9732449999999999E-2</v>
      </c>
      <c r="X4926">
        <v>0.99930490000000005</v>
      </c>
      <c r="Y4926">
        <v>0.1458237</v>
      </c>
      <c r="Z4926">
        <v>-1.7260640000000001E-2</v>
      </c>
      <c r="AA4926">
        <v>0.98916000000000004</v>
      </c>
      <c r="AB4926">
        <v>22</v>
      </c>
      <c r="AC4926">
        <v>0.501000000000004</v>
      </c>
      <c r="AD4926">
        <v>-0.1573793</v>
      </c>
      <c r="AE4926">
        <v>-0.106200000000001</v>
      </c>
      <c r="AF4926">
        <v>0.100796436392114</v>
      </c>
      <c r="AG4926">
        <v>-0.1573793</v>
      </c>
      <c r="AH4926">
        <v>0.45695743089627699</v>
      </c>
      <c r="AI4926">
        <v>108.588924905243</v>
      </c>
      <c r="AJ4926">
        <v>77.560796312239802</v>
      </c>
      <c r="AK4926">
        <v>0.49369855105029897</v>
      </c>
      <c r="AL4926">
        <v>88.869340535675505</v>
      </c>
      <c r="AM4926">
        <v>88.187142753634305</v>
      </c>
      <c r="AN4926">
        <v>1.00000001971482</v>
      </c>
    </row>
    <row r="4927" spans="1:40" x14ac:dyDescent="0.25">
      <c r="A4927" t="str">
        <f>"20190312154022481"</f>
        <v>20190312154022481</v>
      </c>
      <c r="B4927" t="str">
        <f>"1552376422471008"</f>
        <v>1552376422471008</v>
      </c>
      <c r="C4927" t="s">
        <v>40</v>
      </c>
      <c r="D4927">
        <v>4.1001339999999997</v>
      </c>
      <c r="E4927">
        <v>0.54656150000000003</v>
      </c>
      <c r="F4927" t="s">
        <v>41</v>
      </c>
      <c r="G4927">
        <v>-246.13419999999999</v>
      </c>
      <c r="H4927">
        <v>0.95692690000000002</v>
      </c>
      <c r="I4927">
        <v>214.36410000000001</v>
      </c>
      <c r="J4927">
        <v>-246.59129999999999</v>
      </c>
      <c r="K4927">
        <v>1.109648</v>
      </c>
      <c r="L4927">
        <v>214.4657</v>
      </c>
      <c r="M4927">
        <v>0.99993529999999997</v>
      </c>
      <c r="N4927">
        <v>0</v>
      </c>
      <c r="O4927">
        <v>8.5406690000000007E-3</v>
      </c>
      <c r="P4927">
        <v>0.99966739999999998</v>
      </c>
      <c r="Q4927">
        <v>1.1748629999999999E-2</v>
      </c>
      <c r="R4927">
        <v>-2.2955679999999999E-2</v>
      </c>
      <c r="S4927">
        <v>2.9988100000000002</v>
      </c>
      <c r="T4927">
        <v>-0.65401690000000001</v>
      </c>
      <c r="U4927">
        <v>-0.42567440000000001</v>
      </c>
      <c r="V4927">
        <v>3.1485539999999999E-2</v>
      </c>
      <c r="W4927">
        <v>1.9264280000000002E-2</v>
      </c>
      <c r="X4927">
        <v>0.9993185</v>
      </c>
      <c r="Y4927">
        <v>0.14544009999999999</v>
      </c>
      <c r="Z4927">
        <v>-1.7432369999999999E-2</v>
      </c>
      <c r="AA4927">
        <v>0.98921349999999997</v>
      </c>
      <c r="AB4927">
        <v>22</v>
      </c>
      <c r="AC4927">
        <v>0.45709999999999701</v>
      </c>
      <c r="AD4927">
        <v>-0.152721099999999</v>
      </c>
      <c r="AE4927">
        <v>-0.10159999999999</v>
      </c>
      <c r="AF4927">
        <v>9.5356911119589299E-2</v>
      </c>
      <c r="AG4927">
        <v>-0.152721099999999</v>
      </c>
      <c r="AH4927">
        <v>0.41235228182286499</v>
      </c>
      <c r="AI4927">
        <v>109.841615846455</v>
      </c>
      <c r="AJ4927">
        <v>76.979173875932801</v>
      </c>
      <c r="AK4927">
        <v>0.44994564028113698</v>
      </c>
      <c r="AL4927">
        <v>88.896169732984603</v>
      </c>
      <c r="AM4927">
        <v>88.195378172129494</v>
      </c>
      <c r="AN4927">
        <v>0.99999995807762898</v>
      </c>
    </row>
    <row r="4928" spans="1:40" x14ac:dyDescent="0.25">
      <c r="A4928" t="str">
        <f>"20190312154022501"</f>
        <v>20190312154022501</v>
      </c>
      <c r="B4928" t="str">
        <f>"1552376422491504"</f>
        <v>1552376422491504</v>
      </c>
      <c r="C4928" t="s">
        <v>40</v>
      </c>
      <c r="D4928">
        <v>4.0758320000000001</v>
      </c>
      <c r="E4928">
        <v>0.54650509999999997</v>
      </c>
      <c r="F4928" t="s">
        <v>41</v>
      </c>
      <c r="G4928">
        <v>-245.74979999999999</v>
      </c>
      <c r="H4928">
        <v>0.92534660000000002</v>
      </c>
      <c r="I4928">
        <v>214.3466</v>
      </c>
      <c r="J4928">
        <v>-246.38740000000001</v>
      </c>
      <c r="K4928">
        <v>1.1096159999999999</v>
      </c>
      <c r="L4928">
        <v>214.46780000000001</v>
      </c>
      <c r="M4928">
        <v>0.99993529999999997</v>
      </c>
      <c r="N4928">
        <v>0</v>
      </c>
      <c r="O4928">
        <v>8.808415E-3</v>
      </c>
      <c r="P4928">
        <v>0.99966909999999998</v>
      </c>
      <c r="Q4928">
        <v>1.167982E-2</v>
      </c>
      <c r="R4928">
        <v>-2.2921150000000001E-2</v>
      </c>
      <c r="S4928">
        <v>2.9989780000000001</v>
      </c>
      <c r="T4928">
        <v>-0.65686860000000002</v>
      </c>
      <c r="U4928">
        <v>-0.42433169999999998</v>
      </c>
      <c r="V4928">
        <v>3.1718789999999997E-2</v>
      </c>
      <c r="W4928">
        <v>1.8910529999999998E-2</v>
      </c>
      <c r="X4928">
        <v>0.99931789999999998</v>
      </c>
      <c r="Y4928">
        <v>0.145231</v>
      </c>
      <c r="Z4928">
        <v>-1.7541399999999999E-2</v>
      </c>
      <c r="AA4928">
        <v>0.98924230000000002</v>
      </c>
      <c r="AB4928">
        <v>22</v>
      </c>
      <c r="AC4928">
        <v>0.63760000000002004</v>
      </c>
      <c r="AD4928">
        <v>-0.184269399999999</v>
      </c>
      <c r="AE4928">
        <v>-0.121200000000015</v>
      </c>
      <c r="AF4928">
        <v>0.117351842564138</v>
      </c>
      <c r="AG4928">
        <v>-0.184269399999999</v>
      </c>
      <c r="AH4928">
        <v>0.58902571951839899</v>
      </c>
      <c r="AI4928">
        <v>107.056424016242</v>
      </c>
      <c r="AJ4928">
        <v>78.732471468419504</v>
      </c>
      <c r="AK4928">
        <v>0.62823400495653303</v>
      </c>
      <c r="AL4928">
        <v>88.916441830204406</v>
      </c>
      <c r="AM4928">
        <v>88.182017087664093</v>
      </c>
      <c r="AN4928">
        <v>0.99999997752217695</v>
      </c>
    </row>
    <row r="4929" spans="1:40" x14ac:dyDescent="0.25">
      <c r="A4929" t="str">
        <f>"20190312154022522"</f>
        <v>20190312154022522</v>
      </c>
      <c r="B4929" t="str">
        <f>"1552376422511025"</f>
        <v>1552376422511025</v>
      </c>
      <c r="C4929" t="s">
        <v>40</v>
      </c>
      <c r="D4929">
        <v>4.1203699999999897</v>
      </c>
      <c r="E4929">
        <v>0.5464772</v>
      </c>
      <c r="F4929" t="s">
        <v>41</v>
      </c>
      <c r="G4929">
        <v>-245.54910000000001</v>
      </c>
      <c r="H4929">
        <v>0.92536839999999998</v>
      </c>
      <c r="I4929">
        <v>214.3492</v>
      </c>
      <c r="J4929">
        <v>-246.17160000000001</v>
      </c>
      <c r="K4929">
        <v>1.109577</v>
      </c>
      <c r="L4929">
        <v>214.47</v>
      </c>
      <c r="M4929">
        <v>0.99993460000000001</v>
      </c>
      <c r="N4929">
        <v>0</v>
      </c>
      <c r="O4929">
        <v>9.0914789999999995E-3</v>
      </c>
      <c r="P4929">
        <v>0.99965979999999999</v>
      </c>
      <c r="Q4929">
        <v>1.221945E-2</v>
      </c>
      <c r="R4929">
        <v>-2.304761E-2</v>
      </c>
      <c r="S4929">
        <v>2.9990079999999999</v>
      </c>
      <c r="T4929">
        <v>-0.65921189999999996</v>
      </c>
      <c r="U4929">
        <v>-0.42381289999999999</v>
      </c>
      <c r="V4929">
        <v>3.2127860000000001E-2</v>
      </c>
      <c r="W4929">
        <v>1.9172270000000002E-2</v>
      </c>
      <c r="X4929">
        <v>0.99929990000000002</v>
      </c>
      <c r="Y4929">
        <v>0.14530799999999999</v>
      </c>
      <c r="Z4929">
        <v>-1.7672099999999899E-2</v>
      </c>
      <c r="AA4929">
        <v>0.98922860000000001</v>
      </c>
      <c r="AB4929">
        <v>22</v>
      </c>
      <c r="AC4929">
        <v>0.62250000000000205</v>
      </c>
      <c r="AD4929">
        <v>-0.184208599999999</v>
      </c>
      <c r="AE4929">
        <v>-0.120800000000002</v>
      </c>
      <c r="AF4929">
        <v>0.11661365481067</v>
      </c>
      <c r="AG4929">
        <v>-0.184208599999999</v>
      </c>
      <c r="AH4929">
        <v>0.57301934408349497</v>
      </c>
      <c r="AI4929">
        <v>107.485111595764</v>
      </c>
      <c r="AJ4929">
        <v>78.496970603882005</v>
      </c>
      <c r="AK4929">
        <v>0.61309275113651496</v>
      </c>
      <c r="AL4929">
        <v>88.901442573719194</v>
      </c>
      <c r="AM4929">
        <v>88.158553869846301</v>
      </c>
      <c r="AN4929">
        <v>1.00000003273257</v>
      </c>
    </row>
    <row r="4930" spans="1:40" x14ac:dyDescent="0.25">
      <c r="A4930" t="str">
        <f>"20190312154022545"</f>
        <v>20190312154022545</v>
      </c>
      <c r="B4930" t="str">
        <f>"1552376422531520"</f>
        <v>1552376422531520</v>
      </c>
      <c r="C4930" t="s">
        <v>40</v>
      </c>
      <c r="D4930">
        <v>4.0901230000000002</v>
      </c>
      <c r="E4930">
        <v>0.546512199999999</v>
      </c>
      <c r="F4930" t="s">
        <v>41</v>
      </c>
      <c r="G4930">
        <v>-245.34620000000001</v>
      </c>
      <c r="H4930">
        <v>0.92820579999999997</v>
      </c>
      <c r="I4930">
        <v>214.35329999999999</v>
      </c>
      <c r="J4930">
        <v>-245.9427</v>
      </c>
      <c r="K4930">
        <v>1.109558</v>
      </c>
      <c r="L4930">
        <v>214.47239999999999</v>
      </c>
      <c r="M4930">
        <v>0.99993359999999998</v>
      </c>
      <c r="N4930">
        <v>0</v>
      </c>
      <c r="O4930">
        <v>9.3915779999999994E-3</v>
      </c>
      <c r="P4930">
        <v>0.99965470000000001</v>
      </c>
      <c r="Q4930">
        <v>1.243323E-2</v>
      </c>
      <c r="R4930">
        <v>-2.314691E-2</v>
      </c>
      <c r="S4930">
        <v>2.9992830000000001</v>
      </c>
      <c r="T4930">
        <v>-0.65913239999999995</v>
      </c>
      <c r="U4930">
        <v>-0.42399599999999998</v>
      </c>
      <c r="V4930">
        <v>3.2526869999999999E-2</v>
      </c>
      <c r="W4930">
        <v>1.9117930000000002E-2</v>
      </c>
      <c r="X4930">
        <v>0.99928799999999995</v>
      </c>
      <c r="Y4930">
        <v>0.14563809999999999</v>
      </c>
      <c r="Z4930">
        <v>-1.776894E-2</v>
      </c>
      <c r="AA4930">
        <v>0.98917840000000001</v>
      </c>
      <c r="AB4930">
        <v>22</v>
      </c>
      <c r="AC4930">
        <v>0.59649999999999104</v>
      </c>
      <c r="AD4930">
        <v>-0.18135219999999999</v>
      </c>
      <c r="AE4930">
        <v>-0.119100000000003</v>
      </c>
      <c r="AF4930">
        <v>0.114517607719199</v>
      </c>
      <c r="AG4930">
        <v>-0.18135219999999999</v>
      </c>
      <c r="AH4930">
        <v>0.54675472105623102</v>
      </c>
      <c r="AI4930">
        <v>107.985705967942</v>
      </c>
      <c r="AJ4930">
        <v>78.170422808688301</v>
      </c>
      <c r="AK4930">
        <v>0.58731901716175094</v>
      </c>
      <c r="AL4930">
        <v>88.904556560872706</v>
      </c>
      <c r="AM4930">
        <v>88.135677996164105</v>
      </c>
      <c r="AN4930">
        <v>0.99999999973174003</v>
      </c>
    </row>
    <row r="4931" spans="1:40" x14ac:dyDescent="0.25">
      <c r="A4931" t="str">
        <f>"20190312154022567"</f>
        <v>20190312154022567</v>
      </c>
      <c r="B4931" t="str">
        <f>"1552376422560800"</f>
        <v>1552376422560800</v>
      </c>
      <c r="C4931" t="s">
        <v>40</v>
      </c>
      <c r="D4931">
        <v>4.1555499999999999</v>
      </c>
      <c r="E4931">
        <v>0.54665580000000003</v>
      </c>
      <c r="F4931" t="s">
        <v>41</v>
      </c>
      <c r="G4931">
        <v>-245.1412</v>
      </c>
      <c r="H4931">
        <v>0.93312439999999996</v>
      </c>
      <c r="I4931">
        <v>214.3588</v>
      </c>
      <c r="J4931">
        <v>-245.71369999999999</v>
      </c>
      <c r="K4931">
        <v>1.109532</v>
      </c>
      <c r="L4931">
        <v>214.47489999999999</v>
      </c>
      <c r="M4931">
        <v>0.9999323</v>
      </c>
      <c r="N4931">
        <v>0</v>
      </c>
      <c r="O4931">
        <v>9.6917979999999997E-3</v>
      </c>
      <c r="P4931">
        <v>0.99964580000000003</v>
      </c>
      <c r="Q4931">
        <v>1.29389E-2</v>
      </c>
      <c r="R4931">
        <v>-2.325841E-2</v>
      </c>
      <c r="S4931">
        <v>2.99939</v>
      </c>
      <c r="T4931">
        <v>-0.66026619999999903</v>
      </c>
      <c r="U4931">
        <v>-0.42475889999999999</v>
      </c>
      <c r="V4931">
        <v>3.2938219999999997E-2</v>
      </c>
      <c r="W4931">
        <v>1.938061E-2</v>
      </c>
      <c r="X4931">
        <v>0.99926950000000003</v>
      </c>
      <c r="Y4931">
        <v>0.14614579999999999</v>
      </c>
      <c r="Z4931">
        <v>-1.7917849999999999E-2</v>
      </c>
      <c r="AA4931">
        <v>0.9891008</v>
      </c>
      <c r="AB4931">
        <v>23</v>
      </c>
      <c r="AC4931">
        <v>0.57249999999999002</v>
      </c>
      <c r="AD4931">
        <v>-0.176407599999999</v>
      </c>
      <c r="AE4931">
        <v>-0.116099999999988</v>
      </c>
      <c r="AF4931">
        <v>0.111476863716492</v>
      </c>
      <c r="AG4931">
        <v>-0.176407599999999</v>
      </c>
      <c r="AH4931">
        <v>0.52359737344507196</v>
      </c>
      <c r="AI4931">
        <v>108.23853969218101</v>
      </c>
      <c r="AJ4931">
        <v>77.980862098714695</v>
      </c>
      <c r="AK4931">
        <v>0.56364966243261705</v>
      </c>
      <c r="AL4931">
        <v>88.889503354397704</v>
      </c>
      <c r="AM4931">
        <v>88.112082937490399</v>
      </c>
      <c r="AN4931">
        <v>1.00000003400549</v>
      </c>
    </row>
    <row r="4932" spans="1:40" x14ac:dyDescent="0.25">
      <c r="A4932" t="str">
        <f>"20190312154022600"</f>
        <v>20190312154022600</v>
      </c>
      <c r="B4932" t="str">
        <f>"1552376422591061"</f>
        <v>1552376422591061</v>
      </c>
      <c r="C4932" t="s">
        <v>40</v>
      </c>
      <c r="D4932">
        <v>4.1095730000000001</v>
      </c>
      <c r="E4932">
        <v>0.54670209999999997</v>
      </c>
      <c r="F4932" t="s">
        <v>41</v>
      </c>
      <c r="G4932">
        <v>-244.93520000000001</v>
      </c>
      <c r="H4932">
        <v>0.93781890000000001</v>
      </c>
      <c r="I4932">
        <v>214.36429999999999</v>
      </c>
      <c r="J4932">
        <v>-245.37440000000001</v>
      </c>
      <c r="K4932">
        <v>1.1095060000000001</v>
      </c>
      <c r="L4932">
        <v>214.4787</v>
      </c>
      <c r="M4932">
        <v>0.99992999999999999</v>
      </c>
      <c r="N4932">
        <v>0</v>
      </c>
      <c r="O4932">
        <v>1.0135959999999999E-2</v>
      </c>
      <c r="P4932">
        <v>0.9996524</v>
      </c>
      <c r="Q4932">
        <v>1.3259450000000001E-2</v>
      </c>
      <c r="R4932">
        <v>-2.2790419999999999E-2</v>
      </c>
      <c r="S4932">
        <v>2.999695</v>
      </c>
      <c r="T4932">
        <v>-0.66172799999999998</v>
      </c>
      <c r="U4932">
        <v>-0.42613220000000002</v>
      </c>
      <c r="V4932">
        <v>3.2914119999999998E-2</v>
      </c>
      <c r="W4932">
        <v>1.9390149999999998E-2</v>
      </c>
      <c r="X4932">
        <v>0.99927010000000005</v>
      </c>
      <c r="Y4932">
        <v>0.14696979999999901</v>
      </c>
      <c r="Z4932">
        <v>-1.8140030000000001E-2</v>
      </c>
      <c r="AA4932">
        <v>0.98897460000000004</v>
      </c>
      <c r="AB4932">
        <v>23</v>
      </c>
      <c r="AC4932">
        <v>0.43919999999999898</v>
      </c>
      <c r="AD4932">
        <v>-0.17168709999999901</v>
      </c>
      <c r="AE4932">
        <v>-0.114400000000017</v>
      </c>
      <c r="AF4932">
        <v>0.10396802023882</v>
      </c>
      <c r="AG4932">
        <v>-0.17168709999999901</v>
      </c>
      <c r="AH4932">
        <v>0.38318395861568599</v>
      </c>
      <c r="AI4932">
        <v>113.384604126531</v>
      </c>
      <c r="AJ4932">
        <v>74.819601780885307</v>
      </c>
      <c r="AK4932">
        <v>0.432568787222538</v>
      </c>
      <c r="AL4932">
        <v>88.888956639920806</v>
      </c>
      <c r="AM4932">
        <v>88.113464408479999</v>
      </c>
      <c r="AN4932">
        <v>1.0000000249832</v>
      </c>
    </row>
    <row r="4933" spans="1:40" x14ac:dyDescent="0.25">
      <c r="A4933" t="str">
        <f>"20190312154022623"</f>
        <v>20190312154022623</v>
      </c>
      <c r="B4933" t="str">
        <f>"1552376422610576"</f>
        <v>1552376422610576</v>
      </c>
      <c r="C4933" t="s">
        <v>40</v>
      </c>
      <c r="D4933">
        <v>4.2018570000000004</v>
      </c>
      <c r="E4933">
        <v>0.54686579999999996</v>
      </c>
      <c r="F4933" t="s">
        <v>41</v>
      </c>
      <c r="G4933">
        <v>-244.53030000000001</v>
      </c>
      <c r="H4933">
        <v>0.92297850000000004</v>
      </c>
      <c r="I4933">
        <v>214.35910000000001</v>
      </c>
      <c r="J4933">
        <v>-245.14789999999999</v>
      </c>
      <c r="K4933">
        <v>1.109497</v>
      </c>
      <c r="L4933">
        <v>214.4813</v>
      </c>
      <c r="M4933">
        <v>0.99992789999999998</v>
      </c>
      <c r="N4933">
        <v>0</v>
      </c>
      <c r="O4933">
        <v>1.043229E-2</v>
      </c>
      <c r="P4933">
        <v>0.99965199999999999</v>
      </c>
      <c r="Q4933">
        <v>1.3775340000000001E-2</v>
      </c>
      <c r="R4933">
        <v>-2.24964E-2</v>
      </c>
      <c r="S4933">
        <v>3.0001530000000001</v>
      </c>
      <c r="T4933">
        <v>-0.66296829999999995</v>
      </c>
      <c r="U4933">
        <v>-0.42488100000000001</v>
      </c>
      <c r="V4933">
        <v>3.2916010000000002E-2</v>
      </c>
      <c r="W4933">
        <v>1.9731019999999998E-2</v>
      </c>
      <c r="X4933">
        <v>0.99926329999999997</v>
      </c>
      <c r="Y4933">
        <v>0.14682110000000001</v>
      </c>
      <c r="Z4933">
        <v>-1.8219320000000001E-2</v>
      </c>
      <c r="AA4933">
        <v>0.98899530000000002</v>
      </c>
      <c r="AB4933">
        <v>23</v>
      </c>
      <c r="AC4933">
        <v>0.61759999999998105</v>
      </c>
      <c r="AD4933">
        <v>-0.186518499999999</v>
      </c>
      <c r="AE4933">
        <v>-0.122199999999992</v>
      </c>
      <c r="AF4933">
        <v>0.11825691567885301</v>
      </c>
      <c r="AG4933">
        <v>-0.186518499999999</v>
      </c>
      <c r="AH4933">
        <v>0.56656366920291401</v>
      </c>
      <c r="AI4933">
        <v>107.862311574171</v>
      </c>
      <c r="AJ4933">
        <v>78.210116827601098</v>
      </c>
      <c r="AK4933">
        <v>0.60808571781352905</v>
      </c>
      <c r="AL4933">
        <v>88.869422416841203</v>
      </c>
      <c r="AM4933">
        <v>88.113343328451194</v>
      </c>
      <c r="AN4933">
        <v>0.99999995979572398</v>
      </c>
    </row>
    <row r="4934" spans="1:40" x14ac:dyDescent="0.25">
      <c r="A4934" t="str">
        <f>"20190312154022645"</f>
        <v>20190312154022645</v>
      </c>
      <c r="B4934" t="str">
        <f>"1552376422640834"</f>
        <v>1552376422640834</v>
      </c>
      <c r="C4934" t="s">
        <v>40</v>
      </c>
      <c r="D4934">
        <v>4.2102700000000004</v>
      </c>
      <c r="E4934">
        <v>0.54692959999999902</v>
      </c>
      <c r="F4934" t="s">
        <v>41</v>
      </c>
      <c r="G4934">
        <v>-244.32159999999999</v>
      </c>
      <c r="H4934">
        <v>0.92683490000000002</v>
      </c>
      <c r="I4934">
        <v>214.364</v>
      </c>
      <c r="J4934">
        <v>-244.91399999999999</v>
      </c>
      <c r="K4934">
        <v>1.109483</v>
      </c>
      <c r="L4934">
        <v>214.48410000000001</v>
      </c>
      <c r="M4934">
        <v>0.99992570000000003</v>
      </c>
      <c r="N4934">
        <v>0</v>
      </c>
      <c r="O4934">
        <v>1.073761E-2</v>
      </c>
      <c r="P4934">
        <v>0.99965539999999997</v>
      </c>
      <c r="Q4934">
        <v>1.442796E-2</v>
      </c>
      <c r="R4934">
        <v>-2.193813E-2</v>
      </c>
      <c r="S4934">
        <v>3.00061</v>
      </c>
      <c r="T4934">
        <v>-0.66331119999999899</v>
      </c>
      <c r="U4934">
        <v>-0.42535400000000001</v>
      </c>
      <c r="V4934">
        <v>3.266256E-2</v>
      </c>
      <c r="W4934">
        <v>2.0227309999999998E-2</v>
      </c>
      <c r="X4934">
        <v>0.99926170000000003</v>
      </c>
      <c r="Y4934">
        <v>0.14723510000000001</v>
      </c>
      <c r="Z4934">
        <v>-1.8337030000000001E-2</v>
      </c>
      <c r="AA4934">
        <v>0.98893149999999996</v>
      </c>
      <c r="AB4934">
        <v>23</v>
      </c>
      <c r="AC4934">
        <v>0.59240000000002602</v>
      </c>
      <c r="AD4934">
        <v>-0.18264810000000001</v>
      </c>
      <c r="AE4934">
        <v>-0.12010000000000701</v>
      </c>
      <c r="AF4934">
        <v>0.115873961746666</v>
      </c>
      <c r="AG4934">
        <v>-0.18264810000000001</v>
      </c>
      <c r="AH4934">
        <v>0.54162200094175805</v>
      </c>
      <c r="AI4934">
        <v>108.250599803629</v>
      </c>
      <c r="AJ4934">
        <v>77.924248278750198</v>
      </c>
      <c r="AK4934">
        <v>0.58321650812423997</v>
      </c>
      <c r="AL4934">
        <v>88.840981423250895</v>
      </c>
      <c r="AM4934">
        <v>88.127857023692599</v>
      </c>
      <c r="AN4934">
        <v>0.99999996599123897</v>
      </c>
    </row>
    <row r="4935" spans="1:40" x14ac:dyDescent="0.25">
      <c r="A4935" t="str">
        <f>"20190312154022668"</f>
        <v>20190312154022668</v>
      </c>
      <c r="B4935" t="str">
        <f>"1552376422661328"</f>
        <v>1552376422661328</v>
      </c>
      <c r="C4935" t="s">
        <v>40</v>
      </c>
      <c r="D4935">
        <v>4.1945199999999998</v>
      </c>
      <c r="E4935">
        <v>0.54690620000000001</v>
      </c>
      <c r="F4935" t="s">
        <v>41</v>
      </c>
      <c r="G4935">
        <v>-244.1112</v>
      </c>
      <c r="H4935">
        <v>0.93205459999999996</v>
      </c>
      <c r="I4935">
        <v>214.3706</v>
      </c>
      <c r="J4935">
        <v>-244.6738</v>
      </c>
      <c r="K4935">
        <v>1.109472</v>
      </c>
      <c r="L4935">
        <v>214.48699999999999</v>
      </c>
      <c r="M4935">
        <v>0.99992300000000001</v>
      </c>
      <c r="N4935">
        <v>0</v>
      </c>
      <c r="O4935">
        <v>1.1050839999999999E-2</v>
      </c>
      <c r="P4935">
        <v>0.99965979999999999</v>
      </c>
      <c r="Q4935">
        <v>1.4374970000000001E-2</v>
      </c>
      <c r="R4935">
        <v>-2.177306E-2</v>
      </c>
      <c r="S4935">
        <v>3.0012970000000001</v>
      </c>
      <c r="T4935">
        <v>-0.66338660000000005</v>
      </c>
      <c r="U4935">
        <v>-0.42428589999999999</v>
      </c>
      <c r="V4935">
        <v>3.2810489999999998E-2</v>
      </c>
      <c r="W4935">
        <v>2.0042810000000001E-2</v>
      </c>
      <c r="X4935">
        <v>0.99926060000000005</v>
      </c>
      <c r="Y4935">
        <v>0.14716319999999999</v>
      </c>
      <c r="Z4935">
        <v>-1.8395729999999999E-2</v>
      </c>
      <c r="AA4935">
        <v>0.98894110000000002</v>
      </c>
      <c r="AB4935">
        <v>23</v>
      </c>
      <c r="AC4935">
        <v>0.56260000000000299</v>
      </c>
      <c r="AD4935">
        <v>-0.177417399999999</v>
      </c>
      <c r="AE4935">
        <v>-0.11639999999999801</v>
      </c>
      <c r="AF4935">
        <v>0.111935459924332</v>
      </c>
      <c r="AG4935">
        <v>-0.177417399999999</v>
      </c>
      <c r="AH4935">
        <v>0.51241300116317801</v>
      </c>
      <c r="AI4935">
        <v>108.688739055173</v>
      </c>
      <c r="AJ4935">
        <v>77.677441353300097</v>
      </c>
      <c r="AK4935">
        <v>0.55369085668113305</v>
      </c>
      <c r="AL4935">
        <v>88.851554671322305</v>
      </c>
      <c r="AM4935">
        <v>88.1193820217389</v>
      </c>
      <c r="AN4935">
        <v>0.99999999459954803</v>
      </c>
    </row>
    <row r="4936" spans="1:40" x14ac:dyDescent="0.25">
      <c r="A4936" t="str">
        <f>"20190312154022691"</f>
        <v>20190312154022691</v>
      </c>
      <c r="B4936" t="str">
        <f>"1552376422680848"</f>
        <v>1552376422680848</v>
      </c>
      <c r="C4936" t="s">
        <v>40</v>
      </c>
      <c r="D4936">
        <v>4.2050530000000004</v>
      </c>
      <c r="E4936">
        <v>0.54702030000000001</v>
      </c>
      <c r="F4936" t="s">
        <v>41</v>
      </c>
      <c r="G4936">
        <v>-243.89940000000001</v>
      </c>
      <c r="H4936">
        <v>0.93803619999999999</v>
      </c>
      <c r="I4936">
        <v>214.3775</v>
      </c>
      <c r="J4936">
        <v>-244.4374</v>
      </c>
      <c r="K4936">
        <v>1.109461</v>
      </c>
      <c r="L4936">
        <v>214.49</v>
      </c>
      <c r="M4936">
        <v>0.99992009999999998</v>
      </c>
      <c r="N4936">
        <v>0</v>
      </c>
      <c r="O4936">
        <v>1.13591E-2</v>
      </c>
      <c r="P4936">
        <v>0.99966100000000002</v>
      </c>
      <c r="Q4936">
        <v>1.44254E-2</v>
      </c>
      <c r="R4936">
        <v>-2.167707E-2</v>
      </c>
      <c r="S4936">
        <v>3.0013429999999999</v>
      </c>
      <c r="T4936">
        <v>-0.66445089999999996</v>
      </c>
      <c r="U4936">
        <v>-0.42340090000000002</v>
      </c>
      <c r="V4936">
        <v>3.3022490000000002E-2</v>
      </c>
      <c r="W4936">
        <v>1.9993230000000001E-2</v>
      </c>
      <c r="X4936">
        <v>0.99925459999999999</v>
      </c>
      <c r="Y4936">
        <v>0.1471606</v>
      </c>
      <c r="Z4936">
        <v>-1.8491500000000001E-2</v>
      </c>
      <c r="AA4936">
        <v>0.98893980000000004</v>
      </c>
      <c r="AB4936">
        <v>23</v>
      </c>
      <c r="AC4936">
        <v>0.53799999999998205</v>
      </c>
      <c r="AD4936">
        <v>-0.17142479999999999</v>
      </c>
      <c r="AE4936">
        <v>-0.11250000000001099</v>
      </c>
      <c r="AF4936">
        <v>0.108089725022638</v>
      </c>
      <c r="AG4936">
        <v>-0.17142479999999999</v>
      </c>
      <c r="AH4936">
        <v>0.48910976797155598</v>
      </c>
      <c r="AI4936">
        <v>108.89228600923001</v>
      </c>
      <c r="AJ4936">
        <v>77.538336941053302</v>
      </c>
      <c r="AK4936">
        <v>0.52943197470090397</v>
      </c>
      <c r="AL4936">
        <v>88.854395954263296</v>
      </c>
      <c r="AM4936">
        <v>88.1072281476781</v>
      </c>
      <c r="AN4936">
        <v>0.99999998485639596</v>
      </c>
    </row>
    <row r="4937" spans="1:40" x14ac:dyDescent="0.25">
      <c r="A4937" t="str">
        <f>"20190312154022713"</f>
        <v>20190312154022713</v>
      </c>
      <c r="B4937" t="str">
        <f>"1552376422701344"</f>
        <v>1552376422701344</v>
      </c>
      <c r="C4937" t="s">
        <v>40</v>
      </c>
      <c r="D4937">
        <v>4.2450390000000002</v>
      </c>
      <c r="E4937">
        <v>0.5471104</v>
      </c>
      <c r="F4937" t="s">
        <v>41</v>
      </c>
      <c r="G4937">
        <v>-243.68700000000001</v>
      </c>
      <c r="H4937">
        <v>0.94294909999999998</v>
      </c>
      <c r="I4937">
        <v>214.38390000000001</v>
      </c>
      <c r="J4937">
        <v>-244.20660000000001</v>
      </c>
      <c r="K4937">
        <v>1.1094569999999999</v>
      </c>
      <c r="L4937">
        <v>214.49289999999999</v>
      </c>
      <c r="M4937">
        <v>0.99991699999999994</v>
      </c>
      <c r="N4937">
        <v>0</v>
      </c>
      <c r="O4937">
        <v>1.166011E-2</v>
      </c>
      <c r="P4937">
        <v>0.9996777</v>
      </c>
      <c r="Q4937">
        <v>1.383328E-2</v>
      </c>
      <c r="R4937">
        <v>-2.1294110000000002E-2</v>
      </c>
      <c r="S4937">
        <v>3.0014500000000002</v>
      </c>
      <c r="T4937">
        <v>-0.6659621</v>
      </c>
      <c r="U4937">
        <v>-0.4239349</v>
      </c>
      <c r="V4937">
        <v>3.2940780000000003E-2</v>
      </c>
      <c r="W4937">
        <v>1.9330079999999999E-2</v>
      </c>
      <c r="X4937">
        <v>0.9992704</v>
      </c>
      <c r="Y4937">
        <v>0.1475918</v>
      </c>
      <c r="Z4937">
        <v>-1.8644440000000002E-2</v>
      </c>
      <c r="AA4937">
        <v>0.98887259999999999</v>
      </c>
      <c r="AB4937">
        <v>23</v>
      </c>
      <c r="AC4937">
        <v>0.51959999999999695</v>
      </c>
      <c r="AD4937">
        <v>-0.16650789999999899</v>
      </c>
      <c r="AE4937">
        <v>-0.10899999999998</v>
      </c>
      <c r="AF4937">
        <v>0.10474802632472301</v>
      </c>
      <c r="AG4937">
        <v>-0.16650789999999899</v>
      </c>
      <c r="AH4937">
        <v>0.47187867429772001</v>
      </c>
      <c r="AI4937">
        <v>109.00763122551901</v>
      </c>
      <c r="AJ4937">
        <v>77.4843721034851</v>
      </c>
      <c r="AK4937">
        <v>0.51124017158113499</v>
      </c>
      <c r="AL4937">
        <v>88.892399058746307</v>
      </c>
      <c r="AM4937">
        <v>88.111938011658495</v>
      </c>
      <c r="AN4937">
        <v>1.00000003964798</v>
      </c>
    </row>
    <row r="4938" spans="1:40" x14ac:dyDescent="0.25">
      <c r="A4938" t="str">
        <f>"20190312154022735"</f>
        <v>20190312154022735</v>
      </c>
      <c r="B4938" t="str">
        <f>"1552376422720864"</f>
        <v>1552376422720864</v>
      </c>
      <c r="C4938" t="s">
        <v>40</v>
      </c>
      <c r="D4938">
        <v>4.2068190000000003</v>
      </c>
      <c r="E4938">
        <v>0.54724910000000004</v>
      </c>
      <c r="F4938" t="s">
        <v>41</v>
      </c>
      <c r="G4938">
        <v>-243.4743</v>
      </c>
      <c r="H4938">
        <v>0.94611599999999996</v>
      </c>
      <c r="I4938">
        <v>214.38939999999999</v>
      </c>
      <c r="J4938">
        <v>-243.96979999999999</v>
      </c>
      <c r="K4938">
        <v>1.109453</v>
      </c>
      <c r="L4938">
        <v>214.49600000000001</v>
      </c>
      <c r="M4938">
        <v>0.99991370000000002</v>
      </c>
      <c r="N4938">
        <v>0</v>
      </c>
      <c r="O4938">
        <v>1.1968639999999999E-2</v>
      </c>
      <c r="P4938">
        <v>0.99968480000000004</v>
      </c>
      <c r="Q4938">
        <v>1.3547E-2</v>
      </c>
      <c r="R4938">
        <v>-2.1139419999999999E-2</v>
      </c>
      <c r="S4938">
        <v>3.001236</v>
      </c>
      <c r="T4938">
        <v>-0.66953779999999996</v>
      </c>
      <c r="U4938">
        <v>-0.42340090000000002</v>
      </c>
      <c r="V4938">
        <v>3.3094770000000003E-2</v>
      </c>
      <c r="W4938">
        <v>1.8995399999999999E-2</v>
      </c>
      <c r="X4938">
        <v>0.99927169999999998</v>
      </c>
      <c r="Y4938">
        <v>0.14768319999999999</v>
      </c>
      <c r="Z4938">
        <v>-1.8821419999999998E-2</v>
      </c>
      <c r="AA4938">
        <v>0.98885559999999995</v>
      </c>
      <c r="AB4938">
        <v>24</v>
      </c>
      <c r="AC4938">
        <v>0.495499999999992</v>
      </c>
      <c r="AD4938">
        <v>-0.16333700000000001</v>
      </c>
      <c r="AE4938">
        <v>-0.106599999999986</v>
      </c>
      <c r="AF4938">
        <v>0.101936205829337</v>
      </c>
      <c r="AG4938">
        <v>-0.16333700000000001</v>
      </c>
      <c r="AH4938">
        <v>0.44769294544365801</v>
      </c>
      <c r="AI4938">
        <v>109.58234077779299</v>
      </c>
      <c r="AJ4938">
        <v>77.172880720779901</v>
      </c>
      <c r="AK4938">
        <v>0.48733862870482503</v>
      </c>
      <c r="AL4938">
        <v>88.911578298725999</v>
      </c>
      <c r="AM4938">
        <v>88.103120687732002</v>
      </c>
      <c r="AN4938">
        <v>1.0000000097216999</v>
      </c>
    </row>
    <row r="4939" spans="1:40" x14ac:dyDescent="0.25">
      <c r="A4939" t="str">
        <f>"20190312154022756"</f>
        <v>20190312154022756</v>
      </c>
      <c r="B4939" t="str">
        <f>"1552376422751120"</f>
        <v>1552376422751120</v>
      </c>
      <c r="C4939" t="s">
        <v>40</v>
      </c>
      <c r="D4939">
        <v>4.2439429999999998</v>
      </c>
      <c r="E4939">
        <v>0.54731819999999998</v>
      </c>
      <c r="F4939" t="s">
        <v>41</v>
      </c>
      <c r="G4939">
        <v>-243.26009999999999</v>
      </c>
      <c r="H4939">
        <v>0.950465</v>
      </c>
      <c r="I4939">
        <v>214.39570000000001</v>
      </c>
      <c r="J4939">
        <v>-243.73269999999999</v>
      </c>
      <c r="K4939">
        <v>1.1094599999999999</v>
      </c>
      <c r="L4939">
        <v>214.4992</v>
      </c>
      <c r="M4939">
        <v>0.99990999999999997</v>
      </c>
      <c r="N4939">
        <v>0</v>
      </c>
      <c r="O4939">
        <v>1.227753E-2</v>
      </c>
      <c r="P4939">
        <v>0.99968360000000001</v>
      </c>
      <c r="Q4939">
        <v>1.3895390000000001E-2</v>
      </c>
      <c r="R4939">
        <v>-2.096783E-2</v>
      </c>
      <c r="S4939">
        <v>3.001099</v>
      </c>
      <c r="T4939">
        <v>-0.6722534</v>
      </c>
      <c r="U4939">
        <v>-0.42381289999999999</v>
      </c>
      <c r="V4939">
        <v>3.3231629999999998E-2</v>
      </c>
      <c r="W4939">
        <v>1.9316730000000001E-2</v>
      </c>
      <c r="X4939">
        <v>0.99926099999999995</v>
      </c>
      <c r="Y4939">
        <v>0.14807960000000001</v>
      </c>
      <c r="Z4939">
        <v>-1.9008290000000001E-2</v>
      </c>
      <c r="AA4939">
        <v>0.98879280000000003</v>
      </c>
      <c r="AB4939">
        <v>24</v>
      </c>
      <c r="AC4939">
        <v>0.47259999999999902</v>
      </c>
      <c r="AD4939">
        <v>-0.158995</v>
      </c>
      <c r="AE4939">
        <v>-0.103499999999996</v>
      </c>
      <c r="AF4939">
        <v>9.8641145676118605E-2</v>
      </c>
      <c r="AG4939">
        <v>-0.158995</v>
      </c>
      <c r="AH4939">
        <v>0.42535427436795098</v>
      </c>
      <c r="AI4939">
        <v>110.00814149354601</v>
      </c>
      <c r="AJ4939">
        <v>76.943695584520498</v>
      </c>
      <c r="AK4939">
        <v>0.46468886834997802</v>
      </c>
      <c r="AL4939">
        <v>88.893164069285405</v>
      </c>
      <c r="AM4939">
        <v>88.095261725129106</v>
      </c>
      <c r="AN4939">
        <v>1.00000001170567</v>
      </c>
    </row>
    <row r="4940" spans="1:40" x14ac:dyDescent="0.25">
      <c r="A4940" t="str">
        <f>"20190312154022780"</f>
        <v>20190312154022780</v>
      </c>
      <c r="B4940" t="str">
        <f>"1552376422770640"</f>
        <v>1552376422770640</v>
      </c>
      <c r="C4940" t="s">
        <v>40</v>
      </c>
      <c r="D4940">
        <v>4.210178</v>
      </c>
      <c r="E4940">
        <v>0.54423589999999999</v>
      </c>
      <c r="F4940" t="s">
        <v>41</v>
      </c>
      <c r="G4940">
        <v>-243.04470000000001</v>
      </c>
      <c r="H4940">
        <v>0.95552360000000003</v>
      </c>
      <c r="I4940">
        <v>214.40190000000001</v>
      </c>
      <c r="J4940">
        <v>-243.489</v>
      </c>
      <c r="K4940">
        <v>1.1094649999999999</v>
      </c>
      <c r="L4940">
        <v>214.5025</v>
      </c>
      <c r="M4940">
        <v>0.99990619999999997</v>
      </c>
      <c r="N4940">
        <v>0</v>
      </c>
      <c r="O4940">
        <v>1.25947E-2</v>
      </c>
      <c r="P4940">
        <v>0.99967890000000004</v>
      </c>
      <c r="Q4940">
        <v>1.416797E-2</v>
      </c>
      <c r="R4940">
        <v>-2.1014620000000001E-2</v>
      </c>
      <c r="S4940">
        <v>3.0014189999999998</v>
      </c>
      <c r="T4940">
        <v>-0.67154320000000001</v>
      </c>
      <c r="U4940">
        <v>-0.4239655</v>
      </c>
      <c r="V4940">
        <v>3.3595310000000003E-2</v>
      </c>
      <c r="W4940">
        <v>1.9588950000000001E-2</v>
      </c>
      <c r="X4940">
        <v>0.99924360000000001</v>
      </c>
      <c r="Y4940">
        <v>0.14842069999999999</v>
      </c>
      <c r="Z4940">
        <v>-1.9093969999999998E-2</v>
      </c>
      <c r="AA4940">
        <v>0.98873999999999995</v>
      </c>
      <c r="AB4940">
        <v>24</v>
      </c>
      <c r="AC4940">
        <v>0.44429999999999797</v>
      </c>
      <c r="AD4940">
        <v>-0.15394140000000001</v>
      </c>
      <c r="AE4940">
        <v>-0.10059999999998499</v>
      </c>
      <c r="AF4940">
        <v>9.5304664468618003E-2</v>
      </c>
      <c r="AG4940">
        <v>-0.15394140000000001</v>
      </c>
      <c r="AH4940">
        <v>0.39759462044609101</v>
      </c>
      <c r="AI4940">
        <v>110.632159656262</v>
      </c>
      <c r="AJ4940">
        <v>76.520352252761199</v>
      </c>
      <c r="AK4940">
        <v>0.436878033221066</v>
      </c>
      <c r="AL4940">
        <v>88.877564128079598</v>
      </c>
      <c r="AM4940">
        <v>88.074398770748104</v>
      </c>
      <c r="AN4940">
        <v>1.00000007197852</v>
      </c>
    </row>
    <row r="4941" spans="1:40" x14ac:dyDescent="0.25">
      <c r="A4941" t="str">
        <f>"20190312154022801"</f>
        <v>20190312154022801</v>
      </c>
      <c r="B4941" t="str">
        <f>"1552376422791137"</f>
        <v>1552376422791137</v>
      </c>
      <c r="C4941" t="s">
        <v>40</v>
      </c>
      <c r="D4941">
        <v>4.2119939999999998</v>
      </c>
      <c r="E4941">
        <v>0.54357739999999999</v>
      </c>
      <c r="F4941" t="s">
        <v>41</v>
      </c>
      <c r="G4941">
        <v>-242.5994</v>
      </c>
      <c r="H4941">
        <v>0.9870913</v>
      </c>
      <c r="I4941">
        <v>214.38200000000001</v>
      </c>
      <c r="J4941">
        <v>-243.2568</v>
      </c>
      <c r="K4941">
        <v>1.1094679999999999</v>
      </c>
      <c r="L4941">
        <v>214.50579999999999</v>
      </c>
      <c r="M4941">
        <v>0.99990219999999996</v>
      </c>
      <c r="N4941">
        <v>0</v>
      </c>
      <c r="O4941">
        <v>1.2896990000000001E-2</v>
      </c>
      <c r="P4941">
        <v>0.99968460000000003</v>
      </c>
      <c r="Q4941">
        <v>1.4063640000000001E-2</v>
      </c>
      <c r="R4941">
        <v>-2.0816609999999999E-2</v>
      </c>
      <c r="S4941">
        <v>2.998291</v>
      </c>
      <c r="T4941">
        <v>-0.41258250000000002</v>
      </c>
      <c r="U4941">
        <v>-0.40554810000000002</v>
      </c>
      <c r="V4941">
        <v>3.3699239999999998E-2</v>
      </c>
      <c r="W4941">
        <v>1.9499320000000001E-2</v>
      </c>
      <c r="X4941">
        <v>0.99924179999999996</v>
      </c>
      <c r="Y4941">
        <v>0.14534369999999999</v>
      </c>
      <c r="Z4941">
        <v>-1.1667540000000001E-2</v>
      </c>
      <c r="AA4941">
        <v>0.98931239999999998</v>
      </c>
      <c r="AB4941">
        <v>24</v>
      </c>
      <c r="AC4941">
        <v>0.65739999999999499</v>
      </c>
      <c r="AD4941">
        <v>-0.1223767</v>
      </c>
      <c r="AE4941">
        <v>-0.123799999999988</v>
      </c>
      <c r="AF4941">
        <v>0.12798516239265401</v>
      </c>
      <c r="AG4941">
        <v>-0.1223767</v>
      </c>
      <c r="AH4941">
        <v>0.63451403155213204</v>
      </c>
      <c r="AI4941">
        <v>100.705932286774</v>
      </c>
      <c r="AJ4941">
        <v>78.596122153380506</v>
      </c>
      <c r="AK4941">
        <v>0.65875967904244404</v>
      </c>
      <c r="AL4941">
        <v>88.882700469817195</v>
      </c>
      <c r="AM4941">
        <v>88.068442785281107</v>
      </c>
      <c r="AN4941">
        <v>1.0000000185621301</v>
      </c>
    </row>
    <row r="4942" spans="1:40" x14ac:dyDescent="0.25">
      <c r="A4942" t="str">
        <f>"20190312154022824"</f>
        <v>20190312154022824</v>
      </c>
      <c r="B4942" t="str">
        <f>"1552376422810656"</f>
        <v>1552376422810656</v>
      </c>
      <c r="C4942" t="s">
        <v>40</v>
      </c>
      <c r="D4942">
        <v>4.2482179999999996</v>
      </c>
      <c r="E4942">
        <v>0.54232939999999996</v>
      </c>
      <c r="F4942" t="s">
        <v>41</v>
      </c>
      <c r="G4942">
        <v>-242.3665</v>
      </c>
      <c r="H4942">
        <v>1.0226</v>
      </c>
      <c r="I4942">
        <v>214.3862</v>
      </c>
      <c r="J4942">
        <v>-243.0162</v>
      </c>
      <c r="K4942">
        <v>1.109464</v>
      </c>
      <c r="L4942">
        <v>214.50919999999999</v>
      </c>
      <c r="M4942">
        <v>0.99989799999999995</v>
      </c>
      <c r="N4942">
        <v>0</v>
      </c>
      <c r="O4942">
        <v>1.3210349999999999E-2</v>
      </c>
      <c r="P4942">
        <v>0.99969090000000005</v>
      </c>
      <c r="Q4942">
        <v>1.3732499999999899E-2</v>
      </c>
      <c r="R4942">
        <v>-2.0730430000000001E-2</v>
      </c>
      <c r="S4942">
        <v>2.9966740000000001</v>
      </c>
      <c r="T4942">
        <v>-0.2924736</v>
      </c>
      <c r="U4942">
        <v>-0.40220640000000002</v>
      </c>
      <c r="V4942">
        <v>3.3926289999999998E-2</v>
      </c>
      <c r="W4942">
        <v>1.9189910000000001E-2</v>
      </c>
      <c r="X4942">
        <v>0.99924009999999996</v>
      </c>
      <c r="Y4942">
        <v>0.14536579999999999</v>
      </c>
      <c r="Z4942">
        <v>-8.3264710000000002E-3</v>
      </c>
      <c r="AA4942">
        <v>0.98934290000000003</v>
      </c>
      <c r="AB4942">
        <v>24</v>
      </c>
      <c r="AC4942">
        <v>0.64969999999999495</v>
      </c>
      <c r="AD4942">
        <v>-8.6863999999999997E-2</v>
      </c>
      <c r="AE4942">
        <v>-0.12299999999999001</v>
      </c>
      <c r="AF4942">
        <v>0.12934015823240599</v>
      </c>
      <c r="AG4942">
        <v>-8.6863999999999997E-2</v>
      </c>
      <c r="AH4942">
        <v>0.63702537849331797</v>
      </c>
      <c r="AI4942">
        <v>97.611464346598495</v>
      </c>
      <c r="AJ4942">
        <v>78.522813265234703</v>
      </c>
      <c r="AK4942">
        <v>0.65580146681151896</v>
      </c>
      <c r="AL4942">
        <v>88.900431667011603</v>
      </c>
      <c r="AM4942">
        <v>88.055435492026803</v>
      </c>
      <c r="AN4942">
        <v>1.0000000116234899</v>
      </c>
    </row>
    <row r="4943" spans="1:40" x14ac:dyDescent="0.25">
      <c r="A4943" t="str">
        <f>"20190312154022846"</f>
        <v>20190312154022846</v>
      </c>
      <c r="B4943" t="str">
        <f>"1552376422841100"</f>
        <v>1552376422841100</v>
      </c>
      <c r="C4943" t="s">
        <v>40</v>
      </c>
      <c r="D4943">
        <v>4.2396349999999998</v>
      </c>
      <c r="E4943">
        <v>0.54161040000000005</v>
      </c>
      <c r="F4943" t="s">
        <v>41</v>
      </c>
      <c r="G4943">
        <v>-242.1388</v>
      </c>
      <c r="H4943">
        <v>1.042921</v>
      </c>
      <c r="I4943">
        <v>214.3938</v>
      </c>
      <c r="J4943">
        <v>-242.7679</v>
      </c>
      <c r="K4943">
        <v>1.109461</v>
      </c>
      <c r="L4943">
        <v>214.5128</v>
      </c>
      <c r="M4943">
        <v>0.99989349999999999</v>
      </c>
      <c r="N4943">
        <v>0</v>
      </c>
      <c r="O4943">
        <v>1.3533470000000001E-2</v>
      </c>
      <c r="P4943">
        <v>0.99968630000000003</v>
      </c>
      <c r="Q4943">
        <v>1.398172E-2</v>
      </c>
      <c r="R4943">
        <v>-2.0779220000000001E-2</v>
      </c>
      <c r="S4943">
        <v>2.9958800000000001</v>
      </c>
      <c r="T4943">
        <v>-0.22726879999999999</v>
      </c>
      <c r="U4943">
        <v>-0.39375310000000002</v>
      </c>
      <c r="V4943">
        <v>3.4297929999999997E-2</v>
      </c>
      <c r="W4943">
        <v>1.9463569999999999E-2</v>
      </c>
      <c r="X4943">
        <v>0.9992221</v>
      </c>
      <c r="Y4943">
        <v>0.14327409999999999</v>
      </c>
      <c r="Z4943">
        <v>-6.4245129999999998E-3</v>
      </c>
      <c r="AA4943">
        <v>0.98966220000000005</v>
      </c>
      <c r="AB4943">
        <v>24</v>
      </c>
      <c r="AC4943">
        <v>0.629099999999994</v>
      </c>
      <c r="AD4943">
        <v>-6.6540000000000002E-2</v>
      </c>
      <c r="AE4943">
        <v>-0.118999999999999</v>
      </c>
      <c r="AF4943">
        <v>0.12614070672774799</v>
      </c>
      <c r="AG4943">
        <v>-6.6540000000000002E-2</v>
      </c>
      <c r="AH4943">
        <v>0.62072748858806603</v>
      </c>
      <c r="AI4943">
        <v>95.9969079780209</v>
      </c>
      <c r="AJ4943">
        <v>78.513094547211097</v>
      </c>
      <c r="AK4943">
        <v>0.63690004285022905</v>
      </c>
      <c r="AL4943">
        <v>88.884749152903098</v>
      </c>
      <c r="AM4943">
        <v>88.0341153159969</v>
      </c>
      <c r="AN4943">
        <v>0.99999999184391997</v>
      </c>
    </row>
    <row r="4944" spans="1:40" x14ac:dyDescent="0.25">
      <c r="A4944" t="str">
        <f>"20190312154022870"</f>
        <v>20190312154022870</v>
      </c>
      <c r="B4944" t="str">
        <f>"1552376422860620"</f>
        <v>1552376422860620</v>
      </c>
      <c r="C4944" t="s">
        <v>40</v>
      </c>
      <c r="D4944">
        <v>4.2250990000000002</v>
      </c>
      <c r="E4944">
        <v>0.54100729999999997</v>
      </c>
      <c r="F4944" t="s">
        <v>61</v>
      </c>
      <c r="G4944">
        <v>-224.9545</v>
      </c>
      <c r="H4944" s="1">
        <v>1.205426E-6</v>
      </c>
      <c r="I4944">
        <v>212.19929999999999</v>
      </c>
      <c r="J4944">
        <v>-242.5147</v>
      </c>
      <c r="K4944">
        <v>1.1094569999999999</v>
      </c>
      <c r="L4944">
        <v>214.51660000000001</v>
      </c>
      <c r="M4944">
        <v>0.99988900000000003</v>
      </c>
      <c r="N4944">
        <v>0</v>
      </c>
      <c r="O4944">
        <v>1.3862380000000001E-2</v>
      </c>
      <c r="P4944">
        <v>0.99969799999999998</v>
      </c>
      <c r="Q4944">
        <v>1.3713319999999999E-2</v>
      </c>
      <c r="R4944">
        <v>-2.0403290000000001E-2</v>
      </c>
      <c r="S4944">
        <v>2.9954679999999998</v>
      </c>
      <c r="T4944">
        <v>-0.1865658</v>
      </c>
      <c r="U4944">
        <v>-0.3890381</v>
      </c>
      <c r="V4944">
        <v>3.4250870000000003E-2</v>
      </c>
      <c r="W4944">
        <v>1.9218039999999999E-2</v>
      </c>
      <c r="X4944">
        <v>0.99922849999999996</v>
      </c>
      <c r="Y4944">
        <v>0.142231</v>
      </c>
      <c r="Z4944">
        <v>-5.2656650000000001E-3</v>
      </c>
      <c r="AA4944">
        <v>0.98981949999999996</v>
      </c>
      <c r="AB4944">
        <v>24</v>
      </c>
      <c r="AC4944">
        <v>17.560199999999998</v>
      </c>
      <c r="AD4944">
        <v>-1.109455794574</v>
      </c>
      <c r="AE4944">
        <v>-2.3173000000000101</v>
      </c>
      <c r="AF4944">
        <v>2.5505004760688399</v>
      </c>
      <c r="AG4944">
        <v>-1.109455794574</v>
      </c>
      <c r="AH4944">
        <v>17.457894454416198</v>
      </c>
      <c r="AI4944">
        <v>93.598184128867501</v>
      </c>
      <c r="AJ4944">
        <v>81.688209499547995</v>
      </c>
      <c r="AK4944">
        <v>17.678066173087998</v>
      </c>
      <c r="AL4944">
        <v>88.898819654408399</v>
      </c>
      <c r="AM4944">
        <v>88.0368231476143</v>
      </c>
      <c r="AN4944">
        <v>1.0000000251847201</v>
      </c>
    </row>
    <row r="4945" spans="1:40" x14ac:dyDescent="0.25">
      <c r="A4945" t="str">
        <f>"20190312154022891"</f>
        <v>20190312154022891</v>
      </c>
      <c r="B4945" t="str">
        <f>"1552376422881116"</f>
        <v>1552376422881116</v>
      </c>
      <c r="C4945" t="s">
        <v>40</v>
      </c>
      <c r="D4945">
        <v>4.2736809999999998</v>
      </c>
      <c r="E4945">
        <v>0.5408868</v>
      </c>
      <c r="F4945" t="s">
        <v>61</v>
      </c>
      <c r="G4945">
        <v>-223.2226</v>
      </c>
      <c r="H4945" s="1">
        <v>2.9047739999999998E-7</v>
      </c>
      <c r="I4945">
        <v>212.04640000000001</v>
      </c>
      <c r="J4945">
        <v>-242.27359999999999</v>
      </c>
      <c r="K4945">
        <v>1.1094539999999999</v>
      </c>
      <c r="L4945">
        <v>214.52029999999999</v>
      </c>
      <c r="M4945">
        <v>0.99988440000000001</v>
      </c>
      <c r="N4945">
        <v>0</v>
      </c>
      <c r="O4945">
        <v>1.417612E-2</v>
      </c>
      <c r="P4945">
        <v>0.99970729999999997</v>
      </c>
      <c r="Q4945">
        <v>1.3744920000000001E-2</v>
      </c>
      <c r="R4945">
        <v>-1.9910560000000001E-2</v>
      </c>
      <c r="S4945">
        <v>2.9954529999999999</v>
      </c>
      <c r="T4945">
        <v>-0.17226350000000001</v>
      </c>
      <c r="U4945">
        <v>-0.38354490000000002</v>
      </c>
      <c r="V4945">
        <v>3.4071770000000001E-2</v>
      </c>
      <c r="W4945">
        <v>1.926143E-2</v>
      </c>
      <c r="X4945">
        <v>0.99923379999999995</v>
      </c>
      <c r="Y4945">
        <v>0.14080219999999999</v>
      </c>
      <c r="Z4945">
        <v>-4.8403480000000004E-3</v>
      </c>
      <c r="AA4945">
        <v>0.99002590000000001</v>
      </c>
      <c r="AB4945">
        <v>24</v>
      </c>
      <c r="AC4945">
        <v>19.050999999999899</v>
      </c>
      <c r="AD4945">
        <v>-1.1094537095226</v>
      </c>
      <c r="AE4945">
        <v>-2.47389999999998</v>
      </c>
      <c r="AF4945">
        <v>2.73460432033098</v>
      </c>
      <c r="AG4945">
        <v>-1.1094537095226</v>
      </c>
      <c r="AH4945">
        <v>18.950810208084899</v>
      </c>
      <c r="AI4945">
        <v>93.316221845707403</v>
      </c>
      <c r="AJ4945">
        <v>81.788890699776502</v>
      </c>
      <c r="AK4945">
        <v>19.179211554837199</v>
      </c>
      <c r="AL4945">
        <v>88.896333144076706</v>
      </c>
      <c r="AM4945">
        <v>88.047091106002398</v>
      </c>
      <c r="AN4945">
        <v>1.0000000376295</v>
      </c>
    </row>
    <row r="4946" spans="1:40" x14ac:dyDescent="0.25">
      <c r="A4946" t="str">
        <f>"20190312154022913"</f>
        <v>20190312154022913</v>
      </c>
      <c r="B4946" t="str">
        <f>"1552376422900636"</f>
        <v>1552376422900636</v>
      </c>
      <c r="C4946" t="s">
        <v>40</v>
      </c>
      <c r="D4946">
        <v>4.2448709999999998</v>
      </c>
      <c r="E4946">
        <v>0.54080240000000002</v>
      </c>
      <c r="F4946" t="s">
        <v>61</v>
      </c>
      <c r="G4946">
        <v>-222.11619999999999</v>
      </c>
      <c r="H4946" s="1">
        <v>-2.9430620000000003E-7</v>
      </c>
      <c r="I4946">
        <v>211.95419999999999</v>
      </c>
      <c r="J4946">
        <v>-242.03790000000001</v>
      </c>
      <c r="K4946">
        <v>1.109434</v>
      </c>
      <c r="L4946">
        <v>214.524</v>
      </c>
      <c r="M4946">
        <v>0.99987999999999999</v>
      </c>
      <c r="N4946">
        <v>0</v>
      </c>
      <c r="O4946">
        <v>1.4482739999999999E-2</v>
      </c>
      <c r="P4946">
        <v>0.99972550000000004</v>
      </c>
      <c r="Q4946">
        <v>1.3313510000000001E-2</v>
      </c>
      <c r="R4946">
        <v>-1.9275110000000002E-2</v>
      </c>
      <c r="S4946">
        <v>2.9955750000000001</v>
      </c>
      <c r="T4946">
        <v>-0.16487460000000001</v>
      </c>
      <c r="U4946">
        <v>-0.38134770000000001</v>
      </c>
      <c r="V4946">
        <v>3.3743229999999999E-2</v>
      </c>
      <c r="W4946">
        <v>1.8824239999999999E-2</v>
      </c>
      <c r="X4946">
        <v>0.99925319999999995</v>
      </c>
      <c r="Y4946">
        <v>0.14040739999999999</v>
      </c>
      <c r="Z4946">
        <v>-4.6390629999999997E-3</v>
      </c>
      <c r="AA4946">
        <v>0.99008289999999999</v>
      </c>
      <c r="AB4946">
        <v>24</v>
      </c>
      <c r="AC4946">
        <v>19.921700000000001</v>
      </c>
      <c r="AD4946">
        <v>-1.1094342943062001</v>
      </c>
      <c r="AE4946">
        <v>-2.5698000000000101</v>
      </c>
      <c r="AF4946">
        <v>2.8493634047815499</v>
      </c>
      <c r="AG4946">
        <v>-1.1094342943062001</v>
      </c>
      <c r="AH4946">
        <v>19.821923745162</v>
      </c>
      <c r="AI4946">
        <v>93.170979230162004</v>
      </c>
      <c r="AJ4946">
        <v>81.819878112034502</v>
      </c>
      <c r="AK4946">
        <v>20.056379963116601</v>
      </c>
      <c r="AL4946">
        <v>88.921386741912997</v>
      </c>
      <c r="AM4946">
        <v>88.065945348996905</v>
      </c>
      <c r="AN4946">
        <v>0.99999995764632399</v>
      </c>
    </row>
    <row r="4947" spans="1:40" x14ac:dyDescent="0.25">
      <c r="A4947" t="str">
        <f>"20190312154022936"</f>
        <v>20190312154022936</v>
      </c>
      <c r="B4947" t="str">
        <f>"1552376422930895"</f>
        <v>1552376422930895</v>
      </c>
      <c r="C4947" t="s">
        <v>40</v>
      </c>
      <c r="D4947">
        <v>4.2495229999999999</v>
      </c>
      <c r="E4947">
        <v>0.54074929999999999</v>
      </c>
      <c r="F4947" t="s">
        <v>61</v>
      </c>
      <c r="G4947">
        <v>-221.34460000000001</v>
      </c>
      <c r="H4947" s="1">
        <v>-7.0283649999999896E-7</v>
      </c>
      <c r="I4947">
        <v>211.9067</v>
      </c>
      <c r="J4947">
        <v>-241.78399999999999</v>
      </c>
      <c r="K4947">
        <v>1.109418</v>
      </c>
      <c r="L4947">
        <v>214.52799999999999</v>
      </c>
      <c r="M4947">
        <v>0.99987539999999997</v>
      </c>
      <c r="N4947">
        <v>0</v>
      </c>
      <c r="O4947">
        <v>1.481269E-2</v>
      </c>
      <c r="P4947">
        <v>0.99974879999999999</v>
      </c>
      <c r="Q4947">
        <v>1.2966170000000001E-2</v>
      </c>
      <c r="R4947">
        <v>-1.8285949999999999E-2</v>
      </c>
      <c r="S4947">
        <v>2.9956510000000001</v>
      </c>
      <c r="T4947">
        <v>-0.1606059</v>
      </c>
      <c r="U4947">
        <v>-0.37889099999999998</v>
      </c>
      <c r="V4947">
        <v>3.3084349999999998E-2</v>
      </c>
      <c r="W4947">
        <v>1.844523E-2</v>
      </c>
      <c r="X4947">
        <v>0.99928240000000002</v>
      </c>
      <c r="Y4947">
        <v>0.13994379999999901</v>
      </c>
      <c r="Z4947">
        <v>-4.5244869999999998E-3</v>
      </c>
      <c r="AA4947">
        <v>0.9901491</v>
      </c>
      <c r="AB4947">
        <v>25</v>
      </c>
      <c r="AC4947">
        <v>20.439399999999999</v>
      </c>
      <c r="AD4947">
        <v>-1.1094187028364999</v>
      </c>
      <c r="AE4947">
        <v>-2.62129999999999</v>
      </c>
      <c r="AF4947">
        <v>2.9153293873705999</v>
      </c>
      <c r="AG4947">
        <v>-1.1094187028364999</v>
      </c>
      <c r="AH4947">
        <v>20.339375165063</v>
      </c>
      <c r="AI4947">
        <v>93.090601342961506</v>
      </c>
      <c r="AJ4947">
        <v>81.843109100623806</v>
      </c>
      <c r="AK4947">
        <v>20.577175155989</v>
      </c>
      <c r="AL4947">
        <v>88.943106293662197</v>
      </c>
      <c r="AM4947">
        <v>88.103737780448597</v>
      </c>
      <c r="AN4947">
        <v>1.0000000578372099</v>
      </c>
    </row>
    <row r="4948" spans="1:40" x14ac:dyDescent="0.25">
      <c r="A4948" t="str">
        <f>"20190312154022958"</f>
        <v>20190312154022958</v>
      </c>
      <c r="B4948" t="str">
        <f>"1552376422950891"</f>
        <v>1552376422950891</v>
      </c>
      <c r="C4948" t="s">
        <v>40</v>
      </c>
      <c r="D4948">
        <v>4.2882189999999998</v>
      </c>
      <c r="E4948">
        <v>0.54076869999999999</v>
      </c>
      <c r="F4948" t="s">
        <v>61</v>
      </c>
      <c r="G4948">
        <v>-220.48990000000001</v>
      </c>
      <c r="H4948" s="1">
        <v>-1.155507E-6</v>
      </c>
      <c r="I4948">
        <v>211.85759999999999</v>
      </c>
      <c r="J4948">
        <v>-241.5341</v>
      </c>
      <c r="K4948">
        <v>1.1093930000000001</v>
      </c>
      <c r="L4948">
        <v>214.53210000000001</v>
      </c>
      <c r="M4948">
        <v>0.99987079999999995</v>
      </c>
      <c r="N4948">
        <v>0</v>
      </c>
      <c r="O4948">
        <v>1.5137640000000001E-2</v>
      </c>
      <c r="P4948">
        <v>0.9997547</v>
      </c>
      <c r="Q4948">
        <v>1.348099E-2</v>
      </c>
      <c r="R4948">
        <v>-1.7579000000000001E-2</v>
      </c>
      <c r="S4948">
        <v>2.995895</v>
      </c>
      <c r="T4948">
        <v>-0.1560858</v>
      </c>
      <c r="U4948">
        <v>-0.37570189999999998</v>
      </c>
      <c r="V4948">
        <v>3.2702019999999998E-2</v>
      </c>
      <c r="W4948">
        <v>1.8896710000000001E-2</v>
      </c>
      <c r="X4948">
        <v>0.99928649999999997</v>
      </c>
      <c r="Y4948">
        <v>0.13923070000000001</v>
      </c>
      <c r="Z4948">
        <v>-4.3956230000000004E-3</v>
      </c>
      <c r="AA4948">
        <v>0.99025019999999997</v>
      </c>
      <c r="AB4948">
        <v>25</v>
      </c>
      <c r="AC4948">
        <v>21.044199999999901</v>
      </c>
      <c r="AD4948">
        <v>-1.1093941555069999</v>
      </c>
      <c r="AE4948">
        <v>-2.6745000000000201</v>
      </c>
      <c r="AF4948">
        <v>2.9845950273683401</v>
      </c>
      <c r="AG4948">
        <v>-1.1093941555069999</v>
      </c>
      <c r="AH4948">
        <v>20.944021750092102</v>
      </c>
      <c r="AI4948">
        <v>93.001824690115996</v>
      </c>
      <c r="AJ4948">
        <v>81.889759316131901</v>
      </c>
      <c r="AK4948">
        <v>21.184678660248601</v>
      </c>
      <c r="AL4948">
        <v>88.917233832872398</v>
      </c>
      <c r="AM4948">
        <v>88.125643364691101</v>
      </c>
      <c r="AN4948">
        <v>1.0000000084215701</v>
      </c>
    </row>
    <row r="4949" spans="1:40" x14ac:dyDescent="0.25">
      <c r="A4949" t="str">
        <f>"20190312154022981"</f>
        <v>20190312154022981</v>
      </c>
      <c r="B4949" t="str">
        <f>"1552376422971383"</f>
        <v>1552376422971383</v>
      </c>
      <c r="C4949" t="s">
        <v>40</v>
      </c>
      <c r="D4949">
        <v>4.2062099999999996</v>
      </c>
      <c r="E4949">
        <v>0.5409022</v>
      </c>
      <c r="F4949" t="s">
        <v>61</v>
      </c>
      <c r="G4949">
        <v>-220.01900000000001</v>
      </c>
      <c r="H4949" s="1">
        <v>-1.405748E-6</v>
      </c>
      <c r="I4949">
        <v>211.84989999999999</v>
      </c>
      <c r="J4949">
        <v>-241.28710000000001</v>
      </c>
      <c r="K4949">
        <v>1.109375</v>
      </c>
      <c r="L4949">
        <v>214.5361</v>
      </c>
      <c r="M4949">
        <v>0.99986649999999999</v>
      </c>
      <c r="N4949">
        <v>0</v>
      </c>
      <c r="O4949">
        <v>1.5458349999999999E-2</v>
      </c>
      <c r="P4949">
        <v>0.99976410000000004</v>
      </c>
      <c r="Q4949">
        <v>1.3562039999999999E-2</v>
      </c>
      <c r="R4949">
        <v>-1.6974240000000002E-2</v>
      </c>
      <c r="S4949">
        <v>2.9962460000000002</v>
      </c>
      <c r="T4949">
        <v>-0.154497</v>
      </c>
      <c r="U4949">
        <v>-0.37351990000000002</v>
      </c>
      <c r="V4949">
        <v>3.2417880000000003E-2</v>
      </c>
      <c r="W4949">
        <v>1.889242E-2</v>
      </c>
      <c r="X4949">
        <v>0.99929579999999996</v>
      </c>
      <c r="Y4949">
        <v>0.13882820000000001</v>
      </c>
      <c r="Z4949">
        <v>-4.3567689999999999E-3</v>
      </c>
      <c r="AA4949">
        <v>0.99030689999999999</v>
      </c>
      <c r="AB4949">
        <v>25</v>
      </c>
      <c r="AC4949">
        <v>21.2681</v>
      </c>
      <c r="AD4949">
        <v>-1.109376405748</v>
      </c>
      <c r="AE4949">
        <v>-2.6862000000000101</v>
      </c>
      <c r="AF4949">
        <v>3.0066013770212798</v>
      </c>
      <c r="AG4949">
        <v>-1.109376405748</v>
      </c>
      <c r="AH4949">
        <v>21.167345533899201</v>
      </c>
      <c r="AI4949">
        <v>92.970355612976405</v>
      </c>
      <c r="AJ4949">
        <v>81.915807587157403</v>
      </c>
      <c r="AK4949">
        <v>21.408570358653499</v>
      </c>
      <c r="AL4949">
        <v>88.917479633175006</v>
      </c>
      <c r="AM4949">
        <v>88.141935013759294</v>
      </c>
      <c r="AN4949">
        <v>0.99999996918739398</v>
      </c>
    </row>
    <row r="4950" spans="1:40" x14ac:dyDescent="0.25">
      <c r="A4950" t="str">
        <f>"20190312154023002"</f>
        <v>20190312154023002</v>
      </c>
      <c r="B4950" t="str">
        <f>"1552376422990903"</f>
        <v>1552376422990903</v>
      </c>
      <c r="C4950" t="s">
        <v>40</v>
      </c>
      <c r="D4950">
        <v>4.2281319999999996</v>
      </c>
      <c r="E4950">
        <v>0.54082919999999901</v>
      </c>
      <c r="F4950" t="s">
        <v>61</v>
      </c>
      <c r="G4950">
        <v>-219.298</v>
      </c>
      <c r="H4950" s="1">
        <v>3.5343159999999998E-6</v>
      </c>
      <c r="I4950">
        <v>211.7989</v>
      </c>
      <c r="J4950">
        <v>-241.03989999999999</v>
      </c>
      <c r="K4950">
        <v>1.109351</v>
      </c>
      <c r="L4950">
        <v>214.5403</v>
      </c>
      <c r="M4950">
        <v>0.99986189999999997</v>
      </c>
      <c r="N4950">
        <v>0</v>
      </c>
      <c r="O4950">
        <v>1.5779080000000001E-2</v>
      </c>
      <c r="P4950">
        <v>0.99976189999999998</v>
      </c>
      <c r="Q4950">
        <v>1.3981810000000001E-2</v>
      </c>
      <c r="R4950">
        <v>-1.675799E-2</v>
      </c>
      <c r="S4950">
        <v>2.996429</v>
      </c>
      <c r="T4950">
        <v>-0.151173</v>
      </c>
      <c r="U4950">
        <v>-0.37300109999999997</v>
      </c>
      <c r="V4950">
        <v>3.2521950000000001E-2</v>
      </c>
      <c r="W4950">
        <v>1.9218519999999999E-2</v>
      </c>
      <c r="X4950">
        <v>0.99928620000000001</v>
      </c>
      <c r="Y4950">
        <v>0.13897760000000001</v>
      </c>
      <c r="Z4950">
        <v>-4.2828040000000003E-3</v>
      </c>
      <c r="AA4950">
        <v>0.99028629999999995</v>
      </c>
      <c r="AB4950">
        <v>25</v>
      </c>
      <c r="AC4950">
        <v>21.741899999999902</v>
      </c>
      <c r="AD4950">
        <v>-1.1093474656839999</v>
      </c>
      <c r="AE4950">
        <v>-2.7413999999999898</v>
      </c>
      <c r="AF4950">
        <v>3.0762471816588302</v>
      </c>
      <c r="AG4950">
        <v>-1.1093474656839999</v>
      </c>
      <c r="AH4950">
        <v>21.640478696833199</v>
      </c>
      <c r="AI4950">
        <v>92.905404978906404</v>
      </c>
      <c r="AJ4950">
        <v>81.909469651330099</v>
      </c>
      <c r="AK4950">
        <v>21.8861661044226</v>
      </c>
      <c r="AL4950">
        <v>88.898792085615497</v>
      </c>
      <c r="AM4950">
        <v>88.135956438430497</v>
      </c>
      <c r="AN4950">
        <v>0.99999996912661504</v>
      </c>
    </row>
    <row r="4951" spans="1:40" x14ac:dyDescent="0.25">
      <c r="A4951" t="str">
        <f>"20190312154023025"</f>
        <v>20190312154023025</v>
      </c>
      <c r="B4951" t="str">
        <f>"1552376423021159"</f>
        <v>1552376423021159</v>
      </c>
      <c r="C4951" t="s">
        <v>40</v>
      </c>
      <c r="D4951">
        <v>4.1937189999999998</v>
      </c>
      <c r="E4951">
        <v>0.54091809999999996</v>
      </c>
      <c r="F4951" t="s">
        <v>61</v>
      </c>
      <c r="G4951">
        <v>-218.58009999999999</v>
      </c>
      <c r="H4951" s="1">
        <v>3.1541430000000001E-6</v>
      </c>
      <c r="I4951">
        <v>211.75559999999999</v>
      </c>
      <c r="J4951">
        <v>-240.7841</v>
      </c>
      <c r="K4951">
        <v>1.1093329999999999</v>
      </c>
      <c r="L4951">
        <v>214.54470000000001</v>
      </c>
      <c r="M4951">
        <v>0.99985710000000005</v>
      </c>
      <c r="N4951">
        <v>0</v>
      </c>
      <c r="O4951">
        <v>1.6110309999999999E-2</v>
      </c>
      <c r="P4951">
        <v>0.99976169999999998</v>
      </c>
      <c r="Q4951">
        <v>1.3806489999999999E-2</v>
      </c>
      <c r="R4951">
        <v>-1.6912190000000001E-2</v>
      </c>
      <c r="S4951">
        <v>2.9965670000000002</v>
      </c>
      <c r="T4951">
        <v>-0.1480079</v>
      </c>
      <c r="U4951">
        <v>-0.37153629999999999</v>
      </c>
      <c r="V4951">
        <v>3.3007170000000002E-2</v>
      </c>
      <c r="W4951">
        <v>1.8943430000000001E-2</v>
      </c>
      <c r="X4951">
        <v>0.99927560000000004</v>
      </c>
      <c r="Y4951">
        <v>0.13883119999999999</v>
      </c>
      <c r="Z4951">
        <v>-4.2058729999999997E-3</v>
      </c>
      <c r="AA4951">
        <v>0.99030720000000005</v>
      </c>
      <c r="AB4951">
        <v>25</v>
      </c>
      <c r="AC4951">
        <v>22.204000000000001</v>
      </c>
      <c r="AD4951">
        <v>-1.109329845857</v>
      </c>
      <c r="AE4951">
        <v>-2.7891000000000101</v>
      </c>
      <c r="AF4951">
        <v>3.13874317380923</v>
      </c>
      <c r="AG4951">
        <v>-1.109329845857</v>
      </c>
      <c r="AH4951">
        <v>22.1018732926211</v>
      </c>
      <c r="AI4951">
        <v>92.844863213883002</v>
      </c>
      <c r="AJ4951">
        <v>81.917327556557396</v>
      </c>
      <c r="AK4951">
        <v>22.3511772500046</v>
      </c>
      <c r="AL4951">
        <v>88.914556513678406</v>
      </c>
      <c r="AM4951">
        <v>88.108145345640594</v>
      </c>
      <c r="AN4951">
        <v>1.00000002578346</v>
      </c>
    </row>
    <row r="4952" spans="1:40" x14ac:dyDescent="0.25">
      <c r="A4952" t="str">
        <f>"20190312154023048"</f>
        <v>20190312154023048</v>
      </c>
      <c r="B4952" t="str">
        <f>"1552376423040679"</f>
        <v>1552376423040679</v>
      </c>
      <c r="C4952" t="s">
        <v>40</v>
      </c>
      <c r="D4952">
        <v>4.1449610000000003</v>
      </c>
      <c r="E4952">
        <v>0.54086919999999905</v>
      </c>
      <c r="F4952" t="s">
        <v>61</v>
      </c>
      <c r="G4952">
        <v>-218.43389999999999</v>
      </c>
      <c r="H4952" s="1">
        <v>3.0759230000000001E-6</v>
      </c>
      <c r="I4952">
        <v>211.76490000000001</v>
      </c>
      <c r="J4952">
        <v>-240.52359999999999</v>
      </c>
      <c r="K4952">
        <v>1.1093109999999999</v>
      </c>
      <c r="L4952">
        <v>214.54920000000001</v>
      </c>
      <c r="M4952">
        <v>0.99985219999999997</v>
      </c>
      <c r="N4952">
        <v>0</v>
      </c>
      <c r="O4952">
        <v>1.644661E-2</v>
      </c>
      <c r="P4952">
        <v>0.99976140000000002</v>
      </c>
      <c r="Q4952">
        <v>1.365953E-2</v>
      </c>
      <c r="R4952">
        <v>-1.706208E-2</v>
      </c>
      <c r="S4952">
        <v>2.9964750000000002</v>
      </c>
      <c r="T4952">
        <v>-0.1487269</v>
      </c>
      <c r="U4952">
        <v>-0.37268069999999998</v>
      </c>
      <c r="V4952">
        <v>3.3493250000000002E-2</v>
      </c>
      <c r="W4952">
        <v>1.8694570000000001E-2</v>
      </c>
      <c r="X4952">
        <v>0.99926409999999999</v>
      </c>
      <c r="Y4952">
        <v>0.139537299999999</v>
      </c>
      <c r="Z4952">
        <v>-4.2603820000000001E-3</v>
      </c>
      <c r="AA4952">
        <v>0.99020770000000002</v>
      </c>
      <c r="AB4952">
        <v>25</v>
      </c>
      <c r="AC4952">
        <v>22.089700000000001</v>
      </c>
      <c r="AD4952">
        <v>-1.1093079240770001</v>
      </c>
      <c r="AE4952">
        <v>-2.7843</v>
      </c>
      <c r="AF4952">
        <v>3.1394351749125202</v>
      </c>
      <c r="AG4952">
        <v>-1.1093079240770001</v>
      </c>
      <c r="AH4952">
        <v>21.986339517802701</v>
      </c>
      <c r="AI4952">
        <v>92.8594213405392</v>
      </c>
      <c r="AJ4952">
        <v>81.873653045451107</v>
      </c>
      <c r="AK4952">
        <v>22.2370353842411</v>
      </c>
      <c r="AL4952">
        <v>88.928817653049705</v>
      </c>
      <c r="AM4952">
        <v>88.080283571618494</v>
      </c>
      <c r="AN4952">
        <v>1.0000000131459199</v>
      </c>
    </row>
    <row r="4953" spans="1:40" x14ac:dyDescent="0.25">
      <c r="A4953" t="str">
        <f>"20190312154023070"</f>
        <v>20190312154023070</v>
      </c>
      <c r="B4953" t="str">
        <f>"1552376423061176"</f>
        <v>1552376423061176</v>
      </c>
      <c r="C4953" t="s">
        <v>40</v>
      </c>
      <c r="D4953">
        <v>4.2085879999999998</v>
      </c>
      <c r="E4953">
        <v>0.52450850000000004</v>
      </c>
      <c r="F4953" t="s">
        <v>61</v>
      </c>
      <c r="G4953">
        <v>-217.8057</v>
      </c>
      <c r="H4953" s="1">
        <v>2.7434899999999998E-6</v>
      </c>
      <c r="I4953">
        <v>211.72329999999999</v>
      </c>
      <c r="J4953">
        <v>-240.26560000000001</v>
      </c>
      <c r="K4953">
        <v>1.1092879999999901</v>
      </c>
      <c r="L4953">
        <v>214.5538</v>
      </c>
      <c r="M4953">
        <v>0.99984720000000005</v>
      </c>
      <c r="N4953">
        <v>0</v>
      </c>
      <c r="O4953">
        <v>1.677938E-2</v>
      </c>
      <c r="P4953">
        <v>0.99976100000000001</v>
      </c>
      <c r="Q4953">
        <v>1.349304E-2</v>
      </c>
      <c r="R4953">
        <v>-1.7210840000000002E-2</v>
      </c>
      <c r="S4953">
        <v>2.996353</v>
      </c>
      <c r="T4953">
        <v>-0.146311</v>
      </c>
      <c r="U4953">
        <v>-0.37272640000000001</v>
      </c>
      <c r="V4953">
        <v>3.3974669999999998E-2</v>
      </c>
      <c r="W4953">
        <v>1.8430450000000001E-2</v>
      </c>
      <c r="X4953">
        <v>0.99925269999999999</v>
      </c>
      <c r="Y4953">
        <v>0.13989190000000001</v>
      </c>
      <c r="Z4953">
        <v>-4.2162249999999997E-3</v>
      </c>
      <c r="AA4953">
        <v>0.99015779999999998</v>
      </c>
      <c r="AB4953">
        <v>25</v>
      </c>
      <c r="AC4953">
        <v>22.459900000000001</v>
      </c>
      <c r="AD4953">
        <v>-1.10928525650999</v>
      </c>
      <c r="AE4953">
        <v>-2.8304999999999998</v>
      </c>
      <c r="AF4953">
        <v>3.19928711357429</v>
      </c>
      <c r="AG4953">
        <v>-1.10928525650999</v>
      </c>
      <c r="AH4953">
        <v>22.355563255750301</v>
      </c>
      <c r="AI4953">
        <v>92.812088859692295</v>
      </c>
      <c r="AJ4953">
        <v>81.8557443161218</v>
      </c>
      <c r="AK4953">
        <v>22.610554179348298</v>
      </c>
      <c r="AL4953">
        <v>88.9439531649016</v>
      </c>
      <c r="AM4953">
        <v>88.052689148735695</v>
      </c>
      <c r="AN4953">
        <v>0.99999995907304895</v>
      </c>
    </row>
    <row r="4954" spans="1:40" x14ac:dyDescent="0.25">
      <c r="A4954" t="str">
        <f>"20190312154023093"</f>
        <v>20190312154023093</v>
      </c>
      <c r="B4954" t="str">
        <f>"1552376423080696"</f>
        <v>1552376423080696</v>
      </c>
      <c r="C4954" t="s">
        <v>40</v>
      </c>
      <c r="D4954">
        <v>4.1514610000000003</v>
      </c>
      <c r="E4954">
        <v>0.52320749999999905</v>
      </c>
      <c r="F4954" t="s">
        <v>54</v>
      </c>
      <c r="G4954">
        <v>-197.6377</v>
      </c>
      <c r="H4954" s="1">
        <v>2.9190739999999998E-6</v>
      </c>
      <c r="I4954">
        <v>211.0787</v>
      </c>
      <c r="J4954">
        <v>-240.00579999999999</v>
      </c>
      <c r="K4954">
        <v>1.1092690000000001</v>
      </c>
      <c r="L4954">
        <v>214.55850000000001</v>
      </c>
      <c r="M4954">
        <v>0.99984189999999995</v>
      </c>
      <c r="N4954">
        <v>0</v>
      </c>
      <c r="O4954">
        <v>1.7113920000000001E-2</v>
      </c>
      <c r="P4954">
        <v>0.99977020000000005</v>
      </c>
      <c r="Q4954">
        <v>1.318916E-2</v>
      </c>
      <c r="R4954">
        <v>-1.6895239999999999E-2</v>
      </c>
      <c r="S4954">
        <v>2.9975589999999999</v>
      </c>
      <c r="T4954">
        <v>-7.8003999999999907E-2</v>
      </c>
      <c r="U4954">
        <v>-0.24436949999999999</v>
      </c>
      <c r="V4954">
        <v>3.3993780000000001E-2</v>
      </c>
      <c r="W4954">
        <v>1.803664E-2</v>
      </c>
      <c r="X4954">
        <v>0.99925929999999996</v>
      </c>
      <c r="Y4954">
        <v>9.8260100000000003E-2</v>
      </c>
      <c r="Z4954">
        <v>-1.7207559999999999E-3</v>
      </c>
      <c r="AA4954">
        <v>0.99515929999999997</v>
      </c>
      <c r="AB4954">
        <v>26</v>
      </c>
      <c r="AC4954">
        <v>42.368099999999998</v>
      </c>
      <c r="AD4954">
        <v>-1.109266080926</v>
      </c>
      <c r="AE4954">
        <v>-3.4798000000000102</v>
      </c>
      <c r="AF4954">
        <v>4.2015223222911802</v>
      </c>
      <c r="AG4954">
        <v>-1.109266080926</v>
      </c>
      <c r="AH4954">
        <v>42.273557745907503</v>
      </c>
      <c r="AI4954">
        <v>91.4957410205065</v>
      </c>
      <c r="AJ4954">
        <v>84.324075847864506</v>
      </c>
      <c r="AK4954">
        <v>42.496316846987803</v>
      </c>
      <c r="AL4954">
        <v>88.966520634741997</v>
      </c>
      <c r="AM4954">
        <v>88.051607532561206</v>
      </c>
      <c r="AN4954">
        <v>1.00000002304883</v>
      </c>
    </row>
    <row r="4955" spans="1:40" x14ac:dyDescent="0.25">
      <c r="A4955" t="str">
        <f>"20190312154023115"</f>
        <v>20190312154023115</v>
      </c>
      <c r="B4955" t="str">
        <f>"1552376423110951"</f>
        <v>1552376423110951</v>
      </c>
      <c r="C4955" t="s">
        <v>40</v>
      </c>
      <c r="D4955">
        <v>4.0990159999999998</v>
      </c>
      <c r="E4955">
        <v>0.52287609999999995</v>
      </c>
      <c r="F4955" t="s">
        <v>54</v>
      </c>
      <c r="G4955">
        <v>-190.46289999999999</v>
      </c>
      <c r="H4955" s="1">
        <v>4.2246430000000003E-6</v>
      </c>
      <c r="I4955">
        <v>210.70259999999999</v>
      </c>
      <c r="J4955">
        <v>-239.74010000000001</v>
      </c>
      <c r="K4955">
        <v>1.1092610000000001</v>
      </c>
      <c r="L4955">
        <v>214.5634</v>
      </c>
      <c r="M4955">
        <v>0.99983630000000001</v>
      </c>
      <c r="N4955">
        <v>0</v>
      </c>
      <c r="O4955">
        <v>1.7456159999999998E-2</v>
      </c>
      <c r="P4955">
        <v>0.99978449999999996</v>
      </c>
      <c r="Q4955">
        <v>1.274669E-2</v>
      </c>
      <c r="R4955">
        <v>-1.639123E-2</v>
      </c>
      <c r="S4955">
        <v>2.9976349999999998</v>
      </c>
      <c r="T4955">
        <v>-6.7116980000000007E-2</v>
      </c>
      <c r="U4955">
        <v>-0.23330690000000001</v>
      </c>
      <c r="V4955">
        <v>3.3832220000000003E-2</v>
      </c>
      <c r="W4955">
        <v>1.7518880000000001E-2</v>
      </c>
      <c r="X4955">
        <v>0.999274</v>
      </c>
      <c r="Y4955">
        <v>9.4959559999999998E-2</v>
      </c>
      <c r="Z4955">
        <v>-1.4515939999999901E-3</v>
      </c>
      <c r="AA4955">
        <v>0.99548009999999998</v>
      </c>
      <c r="AB4955">
        <v>26</v>
      </c>
      <c r="AC4955">
        <v>49.277200000000001</v>
      </c>
      <c r="AD4955">
        <v>-1.109256775357</v>
      </c>
      <c r="AE4955">
        <v>-3.86080000000001</v>
      </c>
      <c r="AF4955">
        <v>4.71803598733129</v>
      </c>
      <c r="AG4955">
        <v>-1.109256775357</v>
      </c>
      <c r="AH4955">
        <v>49.177528501894599</v>
      </c>
      <c r="AI4955">
        <v>91.286250389477701</v>
      </c>
      <c r="AJ4955">
        <v>84.519880690381598</v>
      </c>
      <c r="AK4955">
        <v>49.415783143911398</v>
      </c>
      <c r="AL4955">
        <v>88.996190791812595</v>
      </c>
      <c r="AM4955">
        <v>88.060888947011307</v>
      </c>
      <c r="AN4955">
        <v>1.00000002867129</v>
      </c>
    </row>
    <row r="4956" spans="1:40" x14ac:dyDescent="0.25">
      <c r="A4956" t="str">
        <f>"20190312154023137"</f>
        <v>20190312154023137</v>
      </c>
      <c r="B4956" t="str">
        <f>"1552376423130472"</f>
        <v>1552376423130472</v>
      </c>
      <c r="C4956" t="s">
        <v>40</v>
      </c>
      <c r="D4956">
        <v>4.0654640000000004</v>
      </c>
      <c r="E4956">
        <v>0.52285669999999995</v>
      </c>
      <c r="F4956" t="s">
        <v>54</v>
      </c>
      <c r="G4956">
        <v>-187.37629999999999</v>
      </c>
      <c r="H4956" s="1">
        <v>3.8691010000000002E-6</v>
      </c>
      <c r="I4956">
        <v>210.5565</v>
      </c>
      <c r="J4956">
        <v>-239.4914</v>
      </c>
      <c r="K4956">
        <v>1.109253</v>
      </c>
      <c r="L4956">
        <v>214.56809999999999</v>
      </c>
      <c r="M4956">
        <v>0.99983100000000003</v>
      </c>
      <c r="N4956">
        <v>0</v>
      </c>
      <c r="O4956">
        <v>1.7776119999999999E-2</v>
      </c>
      <c r="P4956">
        <v>0.99979669999999998</v>
      </c>
      <c r="Q4956">
        <v>1.233573E-2</v>
      </c>
      <c r="R4956">
        <v>-1.5949720000000001E-2</v>
      </c>
      <c r="S4956">
        <v>2.997681</v>
      </c>
      <c r="T4956">
        <v>-6.3501829999999995E-2</v>
      </c>
      <c r="U4956">
        <v>-0.22938539999999999</v>
      </c>
      <c r="V4956">
        <v>3.3711100000000001E-2</v>
      </c>
      <c r="W4956">
        <v>1.7058799999999999E-2</v>
      </c>
      <c r="X4956">
        <v>0.99928600000000001</v>
      </c>
      <c r="Y4956">
        <v>9.3985410000000005E-2</v>
      </c>
      <c r="Z4956">
        <v>-1.36993799999999E-3</v>
      </c>
      <c r="AA4956">
        <v>0.99557260000000003</v>
      </c>
      <c r="AB4956">
        <v>26</v>
      </c>
      <c r="AC4956">
        <v>52.115099999999998</v>
      </c>
      <c r="AD4956">
        <v>-1.109249130899</v>
      </c>
      <c r="AE4956">
        <v>-4.0115999999999801</v>
      </c>
      <c r="AF4956">
        <v>4.9351579496251299</v>
      </c>
      <c r="AG4956">
        <v>-1.109249130899</v>
      </c>
      <c r="AH4956">
        <v>52.012129284918998</v>
      </c>
      <c r="AI4956">
        <v>91.216285696031207</v>
      </c>
      <c r="AJ4956">
        <v>84.579731777439704</v>
      </c>
      <c r="AK4956">
        <v>52.257514391456397</v>
      </c>
      <c r="AL4956">
        <v>89.022555321946101</v>
      </c>
      <c r="AM4956">
        <v>88.067848915670297</v>
      </c>
      <c r="AN4956">
        <v>0.99999997535832397</v>
      </c>
    </row>
    <row r="4957" spans="1:40" x14ac:dyDescent="0.25">
      <c r="A4957" t="str">
        <f>"20190312154023159"</f>
        <v>20190312154023159</v>
      </c>
      <c r="B4957" t="str">
        <f>"1552376423150967"</f>
        <v>1552376423150967</v>
      </c>
      <c r="C4957" t="s">
        <v>40</v>
      </c>
      <c r="D4957">
        <v>4.035755</v>
      </c>
      <c r="E4957">
        <v>0.52273459999999905</v>
      </c>
      <c r="F4957" t="s">
        <v>54</v>
      </c>
      <c r="G4957">
        <v>-186.1199</v>
      </c>
      <c r="H4957" s="1">
        <v>3.6504199999999999E-6</v>
      </c>
      <c r="I4957">
        <v>210.5086</v>
      </c>
      <c r="J4957">
        <v>-239.23070000000001</v>
      </c>
      <c r="K4957">
        <v>1.1092550000000001</v>
      </c>
      <c r="L4957">
        <v>214.57310000000001</v>
      </c>
      <c r="M4957">
        <v>0.99982510000000002</v>
      </c>
      <c r="N4957">
        <v>0</v>
      </c>
      <c r="O4957">
        <v>1.811134E-2</v>
      </c>
      <c r="P4957">
        <v>0.99980970000000002</v>
      </c>
      <c r="Q4957">
        <v>1.1721270000000001E-2</v>
      </c>
      <c r="R4957">
        <v>-1.560189E-2</v>
      </c>
      <c r="S4957">
        <v>2.997757</v>
      </c>
      <c r="T4957">
        <v>-6.2304020000000002E-2</v>
      </c>
      <c r="U4957">
        <v>-0.2280121</v>
      </c>
      <c r="V4957">
        <v>3.3698579999999999E-2</v>
      </c>
      <c r="W4957">
        <v>1.6419929999999999E-2</v>
      </c>
      <c r="X4957">
        <v>0.99929710000000005</v>
      </c>
      <c r="Y4957">
        <v>9.3864719999999999E-2</v>
      </c>
      <c r="Z4957">
        <v>-1.349797E-3</v>
      </c>
      <c r="AA4957">
        <v>0.99558409999999997</v>
      </c>
      <c r="AB4957">
        <v>26</v>
      </c>
      <c r="AC4957">
        <v>53.110799999999998</v>
      </c>
      <c r="AD4957">
        <v>-1.1092513495799901</v>
      </c>
      <c r="AE4957">
        <v>-4.0644999999999998</v>
      </c>
      <c r="AF4957">
        <v>5.0235729609298101</v>
      </c>
      <c r="AG4957">
        <v>-1.1092513495799901</v>
      </c>
      <c r="AH4957">
        <v>53.005487209970603</v>
      </c>
      <c r="AI4957">
        <v>91.193513093422396</v>
      </c>
      <c r="AJ4957">
        <v>84.585987681411495</v>
      </c>
      <c r="AK4957">
        <v>53.254562229133803</v>
      </c>
      <c r="AL4957">
        <v>89.059164984920301</v>
      </c>
      <c r="AM4957">
        <v>88.068587393394196</v>
      </c>
      <c r="AN4957">
        <v>0.99999995123181395</v>
      </c>
    </row>
    <row r="4958" spans="1:40" x14ac:dyDescent="0.25">
      <c r="A4958" t="str">
        <f>"20190312154023182"</f>
        <v>20190312154023182</v>
      </c>
      <c r="B4958" t="str">
        <f>"1552376423170487"</f>
        <v>1552376423170487</v>
      </c>
      <c r="C4958" t="s">
        <v>40</v>
      </c>
      <c r="D4958">
        <v>4.0365080000000004</v>
      </c>
      <c r="E4958">
        <v>0.52280799999999905</v>
      </c>
      <c r="F4958" t="s">
        <v>54</v>
      </c>
      <c r="G4958">
        <v>-185.5976</v>
      </c>
      <c r="H4958" s="1">
        <v>3.555972E-6</v>
      </c>
      <c r="I4958">
        <v>210.52930000000001</v>
      </c>
      <c r="J4958">
        <v>-238.96700000000001</v>
      </c>
      <c r="K4958">
        <v>1.109256</v>
      </c>
      <c r="L4958">
        <v>214.57830000000001</v>
      </c>
      <c r="M4958">
        <v>0.99981880000000001</v>
      </c>
      <c r="N4958">
        <v>0</v>
      </c>
      <c r="O4958">
        <v>1.844991E-2</v>
      </c>
      <c r="P4958">
        <v>0.99981549999999997</v>
      </c>
      <c r="Q4958">
        <v>1.144072E-2</v>
      </c>
      <c r="R4958">
        <v>-1.5427130000000001E-2</v>
      </c>
      <c r="S4958">
        <v>2.9977870000000002</v>
      </c>
      <c r="T4958">
        <v>-6.200087E-2</v>
      </c>
      <c r="U4958">
        <v>-0.22602839999999999</v>
      </c>
      <c r="V4958">
        <v>3.3862719999999999E-2</v>
      </c>
      <c r="W4958">
        <v>1.6136729999999998E-2</v>
      </c>
      <c r="X4958">
        <v>0.99929619999999997</v>
      </c>
      <c r="Y4958">
        <v>9.3546299999999999E-2</v>
      </c>
      <c r="Z4958">
        <v>-1.3469560000000001E-3</v>
      </c>
      <c r="AA4958">
        <v>0.995614</v>
      </c>
      <c r="AB4958">
        <v>26</v>
      </c>
      <c r="AC4958">
        <v>53.369399999999999</v>
      </c>
      <c r="AD4958">
        <v>-1.1092524440279901</v>
      </c>
      <c r="AE4958">
        <v>-4.0490000000000004</v>
      </c>
      <c r="AF4958">
        <v>5.0308213911968496</v>
      </c>
      <c r="AG4958">
        <v>-1.1092524440279901</v>
      </c>
      <c r="AH4958">
        <v>53.262733652253402</v>
      </c>
      <c r="AI4958">
        <v>91.187787349452407</v>
      </c>
      <c r="AJ4958">
        <v>84.604253396909101</v>
      </c>
      <c r="AK4958">
        <v>53.511292275234702</v>
      </c>
      <c r="AL4958">
        <v>89.075393333491306</v>
      </c>
      <c r="AM4958">
        <v>88.059185244646201</v>
      </c>
      <c r="AN4958">
        <v>0.99999998659766498</v>
      </c>
    </row>
    <row r="4959" spans="1:40" x14ac:dyDescent="0.25">
      <c r="A4959" t="str">
        <f>"20190312154023204"</f>
        <v>20190312154023204</v>
      </c>
      <c r="B4959" t="str">
        <f>"1552376423190983"</f>
        <v>1552376423190983</v>
      </c>
      <c r="C4959" t="s">
        <v>40</v>
      </c>
      <c r="D4959">
        <v>4.0099769999999904</v>
      </c>
      <c r="E4959">
        <v>0.52282859999999998</v>
      </c>
      <c r="F4959" t="s">
        <v>54</v>
      </c>
      <c r="G4959">
        <v>-184.51410000000001</v>
      </c>
      <c r="H4959" s="1">
        <v>3.368362E-6</v>
      </c>
      <c r="I4959">
        <v>210.47669999999999</v>
      </c>
      <c r="J4959">
        <v>-238.70580000000001</v>
      </c>
      <c r="K4959">
        <v>1.1092740000000001</v>
      </c>
      <c r="L4959">
        <v>214.58340000000001</v>
      </c>
      <c r="M4959">
        <v>0.99981249999999999</v>
      </c>
      <c r="N4959">
        <v>0</v>
      </c>
      <c r="O4959">
        <v>1.878529E-2</v>
      </c>
      <c r="P4959">
        <v>0.99982389999999999</v>
      </c>
      <c r="Q4959">
        <v>1.076364E-2</v>
      </c>
      <c r="R4959">
        <v>-1.538405E-2</v>
      </c>
      <c r="S4959">
        <v>2.997757</v>
      </c>
      <c r="T4959">
        <v>-6.1066870000000002E-2</v>
      </c>
      <c r="U4959">
        <v>-0.22579959999999999</v>
      </c>
      <c r="V4959">
        <v>3.4154959999999998E-2</v>
      </c>
      <c r="W4959">
        <v>1.5472100000000001E-2</v>
      </c>
      <c r="X4959">
        <v>0.99929679999999999</v>
      </c>
      <c r="Y4959">
        <v>9.3806020000000004E-2</v>
      </c>
      <c r="Z4959">
        <v>-1.336151E-3</v>
      </c>
      <c r="AA4959">
        <v>0.99558959999999996</v>
      </c>
      <c r="AB4959">
        <v>26</v>
      </c>
      <c r="AC4959">
        <v>54.191699999999997</v>
      </c>
      <c r="AD4959">
        <v>-1.1092706316380001</v>
      </c>
      <c r="AE4959">
        <v>-4.1067000000000098</v>
      </c>
      <c r="AF4959">
        <v>5.1218595742928699</v>
      </c>
      <c r="AG4959">
        <v>-1.1092706316380001</v>
      </c>
      <c r="AH4959">
        <v>54.082459842598297</v>
      </c>
      <c r="AI4959">
        <v>91.169780715688901</v>
      </c>
      <c r="AJ4959">
        <v>84.589959817014901</v>
      </c>
      <c r="AK4959">
        <v>54.335774490286298</v>
      </c>
      <c r="AL4959">
        <v>89.113478615747098</v>
      </c>
      <c r="AM4959">
        <v>88.042449892555396</v>
      </c>
      <c r="AN4959">
        <v>1.0000000208306199</v>
      </c>
    </row>
    <row r="4960" spans="1:40" x14ac:dyDescent="0.25">
      <c r="A4960" t="str">
        <f>"20190312154023226"</f>
        <v>20190312154023226</v>
      </c>
      <c r="B4960" t="str">
        <f>"1552376423221239"</f>
        <v>1552376423221239</v>
      </c>
      <c r="C4960" t="s">
        <v>40</v>
      </c>
      <c r="D4960">
        <v>4.0365919999999997</v>
      </c>
      <c r="E4960">
        <v>0.52310679999999998</v>
      </c>
      <c r="F4960" t="s">
        <v>54</v>
      </c>
      <c r="G4960">
        <v>-183.82939999999999</v>
      </c>
      <c r="H4960" s="1">
        <v>3.2497110000000001E-6</v>
      </c>
      <c r="I4960">
        <v>210.44489999999999</v>
      </c>
      <c r="J4960">
        <v>-238.44069999999999</v>
      </c>
      <c r="K4960">
        <v>1.1092919999999999</v>
      </c>
      <c r="L4960">
        <v>214.58879999999999</v>
      </c>
      <c r="M4960">
        <v>0.99980590000000003</v>
      </c>
      <c r="N4960">
        <v>0</v>
      </c>
      <c r="O4960">
        <v>1.91255E-2</v>
      </c>
      <c r="P4960">
        <v>0.99983270000000002</v>
      </c>
      <c r="Q4960">
        <v>1.023716E-2</v>
      </c>
      <c r="R4960">
        <v>-1.515733E-2</v>
      </c>
      <c r="S4960">
        <v>2.997681</v>
      </c>
      <c r="T4960">
        <v>-6.059515E-2</v>
      </c>
      <c r="U4960">
        <v>-0.2260742</v>
      </c>
      <c r="V4960">
        <v>3.4268880000000002E-2</v>
      </c>
      <c r="W4960">
        <v>1.498435E-2</v>
      </c>
      <c r="X4960">
        <v>0.99930030000000003</v>
      </c>
      <c r="Y4960">
        <v>9.4237589999999996E-2</v>
      </c>
      <c r="Z4960">
        <v>-1.3370840000000001E-3</v>
      </c>
      <c r="AA4960">
        <v>0.99554880000000001</v>
      </c>
      <c r="AB4960">
        <v>26</v>
      </c>
      <c r="AC4960">
        <v>54.6113</v>
      </c>
      <c r="AD4960">
        <v>-1.1092887502890001</v>
      </c>
      <c r="AE4960">
        <v>-4.1439000000000004</v>
      </c>
      <c r="AF4960">
        <v>5.1854948685762201</v>
      </c>
      <c r="AG4960">
        <v>-1.1092887502890001</v>
      </c>
      <c r="AH4960">
        <v>54.499698241176802</v>
      </c>
      <c r="AI4960">
        <v>91.160798211535806</v>
      </c>
      <c r="AJ4960">
        <v>84.564827884575905</v>
      </c>
      <c r="AK4960">
        <v>54.757072483313799</v>
      </c>
      <c r="AL4960">
        <v>89.141427844796098</v>
      </c>
      <c r="AM4960">
        <v>88.035932684831806</v>
      </c>
      <c r="AN4960">
        <v>0.99999998823073299</v>
      </c>
    </row>
    <row r="4961" spans="1:40" x14ac:dyDescent="0.25">
      <c r="A4961" t="str">
        <f>"20190312154023249"</f>
        <v>20190312154023249</v>
      </c>
      <c r="B4961" t="str">
        <f>"1552376423240759"</f>
        <v>1552376423240759</v>
      </c>
      <c r="C4961" t="s">
        <v>40</v>
      </c>
      <c r="D4961">
        <v>4.010084</v>
      </c>
      <c r="E4961">
        <v>0.52333430000000003</v>
      </c>
      <c r="F4961" t="s">
        <v>54</v>
      </c>
      <c r="G4961">
        <v>-181.66929999999999</v>
      </c>
      <c r="H4961" s="1">
        <v>2.8814699999999999E-6</v>
      </c>
      <c r="I4961">
        <v>210.274</v>
      </c>
      <c r="J4961">
        <v>-238.16749999999999</v>
      </c>
      <c r="K4961">
        <v>1.109316</v>
      </c>
      <c r="L4961">
        <v>214.59440000000001</v>
      </c>
      <c r="M4961">
        <v>0.99979879999999999</v>
      </c>
      <c r="N4961">
        <v>0</v>
      </c>
      <c r="O4961">
        <v>1.9474910000000002E-2</v>
      </c>
      <c r="P4961">
        <v>0.99984430000000002</v>
      </c>
      <c r="Q4961">
        <v>1.0064689999999999E-2</v>
      </c>
      <c r="R4961">
        <v>-1.448808E-2</v>
      </c>
      <c r="S4961">
        <v>2.997665</v>
      </c>
      <c r="T4961">
        <v>-5.8573130000000001E-2</v>
      </c>
      <c r="U4961">
        <v>-0.227829</v>
      </c>
      <c r="V4961">
        <v>3.3949310000000003E-2</v>
      </c>
      <c r="W4961">
        <v>1.489615E-2</v>
      </c>
      <c r="X4961">
        <v>0.99931250000000005</v>
      </c>
      <c r="Y4961">
        <v>9.5166570000000006E-2</v>
      </c>
      <c r="Z4961">
        <v>-1.3083350000000001E-3</v>
      </c>
      <c r="AA4961">
        <v>0.99546049999999997</v>
      </c>
      <c r="AB4961">
        <v>27</v>
      </c>
      <c r="AC4961">
        <v>56.498199999999997</v>
      </c>
      <c r="AD4961">
        <v>-1.10931311852999</v>
      </c>
      <c r="AE4961">
        <v>-4.3204000000000002</v>
      </c>
      <c r="AF4961">
        <v>5.4178141661582098</v>
      </c>
      <c r="AG4961">
        <v>-1.10931311852999</v>
      </c>
      <c r="AH4961">
        <v>56.381734738150698</v>
      </c>
      <c r="AI4961">
        <v>91.121984811884104</v>
      </c>
      <c r="AJ4961">
        <v>84.511206148457205</v>
      </c>
      <c r="AK4961">
        <v>56.652301789222598</v>
      </c>
      <c r="AL4961">
        <v>89.146481874137194</v>
      </c>
      <c r="AM4961">
        <v>88.054257931475703</v>
      </c>
      <c r="AN4961">
        <v>0.99999996179527295</v>
      </c>
    </row>
    <row r="4962" spans="1:40" x14ac:dyDescent="0.25">
      <c r="A4962" t="str">
        <f>"20190312154023271"</f>
        <v>20190312154023271</v>
      </c>
      <c r="B4962" t="str">
        <f>"1552376423261256"</f>
        <v>1552376423261256</v>
      </c>
      <c r="C4962" t="s">
        <v>40</v>
      </c>
      <c r="D4962">
        <v>3.9028770000000002</v>
      </c>
      <c r="E4962">
        <v>0.52345039999999998</v>
      </c>
      <c r="F4962" t="s">
        <v>54</v>
      </c>
      <c r="G4962">
        <v>-181.18549999999999</v>
      </c>
      <c r="H4962" s="1">
        <v>2.796147E-6</v>
      </c>
      <c r="I4962">
        <v>210.26840000000001</v>
      </c>
      <c r="J4962">
        <v>-237.89959999999999</v>
      </c>
      <c r="K4962">
        <v>1.1093440000000001</v>
      </c>
      <c r="L4962">
        <v>214.6</v>
      </c>
      <c r="M4962">
        <v>0.9997916</v>
      </c>
      <c r="N4962">
        <v>0</v>
      </c>
      <c r="O4962">
        <v>1.981515E-2</v>
      </c>
      <c r="P4962">
        <v>0.99985210000000002</v>
      </c>
      <c r="Q4962">
        <v>1.000442E-2</v>
      </c>
      <c r="R4962">
        <v>-1.400557E-2</v>
      </c>
      <c r="S4962">
        <v>2.997757</v>
      </c>
      <c r="T4962">
        <v>-5.8359620000000001E-2</v>
      </c>
      <c r="U4962">
        <v>-0.2275848</v>
      </c>
      <c r="V4962">
        <v>3.380702E-2</v>
      </c>
      <c r="W4962">
        <v>1.496814E-2</v>
      </c>
      <c r="X4962">
        <v>0.99931630000000005</v>
      </c>
      <c r="Y4962">
        <v>9.5422480000000004E-2</v>
      </c>
      <c r="Z4962">
        <v>-1.3126329999999999E-3</v>
      </c>
      <c r="AA4962">
        <v>0.99543599999999999</v>
      </c>
      <c r="AB4962">
        <v>27</v>
      </c>
      <c r="AC4962">
        <v>56.714100000000002</v>
      </c>
      <c r="AD4962">
        <v>-1.1093412038529999</v>
      </c>
      <c r="AE4962">
        <v>-4.3315999999999697</v>
      </c>
      <c r="AF4962">
        <v>5.4524874270416799</v>
      </c>
      <c r="AG4962">
        <v>-1.1093412038529999</v>
      </c>
      <c r="AH4962">
        <v>56.595604123002701</v>
      </c>
      <c r="AI4962">
        <v>91.117747724633304</v>
      </c>
      <c r="AJ4962">
        <v>84.497040378185005</v>
      </c>
      <c r="AK4962">
        <v>56.868468091696002</v>
      </c>
      <c r="AL4962">
        <v>89.142356735351896</v>
      </c>
      <c r="AM4962">
        <v>88.062414153419894</v>
      </c>
      <c r="AN4962">
        <v>1.0000000136310101</v>
      </c>
    </row>
    <row r="4963" spans="1:40" x14ac:dyDescent="0.25">
      <c r="A4963" t="str">
        <f>"20190312154023294"</f>
        <v>20190312154023294</v>
      </c>
      <c r="B4963" t="str">
        <f>"1552376423280776"</f>
        <v>1552376423280776</v>
      </c>
      <c r="C4963" t="s">
        <v>40</v>
      </c>
      <c r="D4963">
        <v>3.933748</v>
      </c>
      <c r="E4963">
        <v>0.53351019999999905</v>
      </c>
      <c r="F4963" t="s">
        <v>54</v>
      </c>
      <c r="G4963">
        <v>-179.95769999999999</v>
      </c>
      <c r="H4963">
        <v>8.0723919999999994E-3</v>
      </c>
      <c r="I4963">
        <v>210.2098</v>
      </c>
      <c r="J4963">
        <v>-237.6241</v>
      </c>
      <c r="K4963">
        <v>1.1093820000000001</v>
      </c>
      <c r="L4963">
        <v>214.60579999999999</v>
      </c>
      <c r="M4963">
        <v>0.99978359999999999</v>
      </c>
      <c r="N4963">
        <v>0</v>
      </c>
      <c r="O4963">
        <v>2.0161539999999999E-2</v>
      </c>
      <c r="P4963">
        <v>0.999861</v>
      </c>
      <c r="Q4963">
        <v>1.001614E-2</v>
      </c>
      <c r="R4963">
        <v>-1.3339500000000001E-2</v>
      </c>
      <c r="S4963">
        <v>2.997849</v>
      </c>
      <c r="T4963">
        <v>-5.6978580000000001E-2</v>
      </c>
      <c r="U4963">
        <v>-0.22714229999999999</v>
      </c>
      <c r="V4963">
        <v>3.3487379999999997E-2</v>
      </c>
      <c r="W4963">
        <v>1.5172679999999999E-2</v>
      </c>
      <c r="X4963">
        <v>0.99932399999999999</v>
      </c>
      <c r="Y4963">
        <v>9.5619919999999997E-2</v>
      </c>
      <c r="Z4963">
        <v>-1.289994E-3</v>
      </c>
      <c r="AA4963">
        <v>0.99541710000000005</v>
      </c>
      <c r="AB4963">
        <v>27</v>
      </c>
      <c r="AC4963">
        <v>57.666400000000003</v>
      </c>
      <c r="AD4963">
        <v>-1.10130960799999</v>
      </c>
      <c r="AE4963">
        <v>-4.3959999999999804</v>
      </c>
      <c r="AF4963">
        <v>5.5557504758880603</v>
      </c>
      <c r="AG4963">
        <v>-1.10130960799999</v>
      </c>
      <c r="AH4963">
        <v>57.545179595934698</v>
      </c>
      <c r="AI4963">
        <v>91.091329532072905</v>
      </c>
      <c r="AJ4963">
        <v>84.485419695056294</v>
      </c>
      <c r="AK4963">
        <v>57.823238762035601</v>
      </c>
      <c r="AL4963">
        <v>89.130636145064898</v>
      </c>
      <c r="AM4963">
        <v>88.080734730498094</v>
      </c>
      <c r="AN4963">
        <v>1.00000003590682</v>
      </c>
    </row>
    <row r="4964" spans="1:40" x14ac:dyDescent="0.25">
      <c r="A4964" t="str">
        <f>"20190312154023316"</f>
        <v>20190312154023316</v>
      </c>
      <c r="B4964" t="str">
        <f>"1552376423311032"</f>
        <v>1552376423311032</v>
      </c>
      <c r="C4964" t="s">
        <v>40</v>
      </c>
      <c r="D4964">
        <v>3.9177300000000002</v>
      </c>
      <c r="E4964">
        <v>0.54033730000000002</v>
      </c>
      <c r="F4964" t="s">
        <v>41</v>
      </c>
      <c r="G4964">
        <v>-236.864</v>
      </c>
      <c r="H4964">
        <v>1.033485</v>
      </c>
      <c r="I4964">
        <v>214.52979999999999</v>
      </c>
      <c r="J4964">
        <v>-237.35749999999999</v>
      </c>
      <c r="K4964">
        <v>1.1094349999999999</v>
      </c>
      <c r="L4964">
        <v>214.61150000000001</v>
      </c>
      <c r="M4964">
        <v>0.99977550000000004</v>
      </c>
      <c r="N4964">
        <v>0</v>
      </c>
      <c r="O4964">
        <v>2.0490769999999998E-2</v>
      </c>
      <c r="P4964">
        <v>0.99987009999999998</v>
      </c>
      <c r="Q4964">
        <v>9.9618859999999997E-3</v>
      </c>
      <c r="R4964">
        <v>-1.267708E-2</v>
      </c>
      <c r="S4964">
        <v>2.9994350000000001</v>
      </c>
      <c r="T4964">
        <v>-0.2994677</v>
      </c>
      <c r="U4964">
        <v>-0.29988100000000001</v>
      </c>
      <c r="V4964">
        <v>3.3154360000000001E-2</v>
      </c>
      <c r="W4964">
        <v>1.537054E-2</v>
      </c>
      <c r="X4964">
        <v>0.99933209999999995</v>
      </c>
      <c r="Y4964">
        <v>0.1191639</v>
      </c>
      <c r="Z4964">
        <v>-7.9555049999999999E-3</v>
      </c>
      <c r="AA4964">
        <v>0.99284269999999997</v>
      </c>
      <c r="AB4964">
        <v>27</v>
      </c>
      <c r="AC4964">
        <v>0.49349999999998301</v>
      </c>
      <c r="AD4964">
        <v>-7.5949999999999906E-2</v>
      </c>
      <c r="AE4964">
        <v>-8.1700000000012096E-2</v>
      </c>
      <c r="AF4964">
        <v>8.9726666488268006E-2</v>
      </c>
      <c r="AG4964">
        <v>-7.5949999999999906E-2</v>
      </c>
      <c r="AH4964">
        <v>0.480641746415854</v>
      </c>
      <c r="AI4964">
        <v>98.829442000753104</v>
      </c>
      <c r="AJ4964">
        <v>79.425684767109303</v>
      </c>
      <c r="AK4964">
        <v>0.49480881719789399</v>
      </c>
      <c r="AL4964">
        <v>89.119298297656997</v>
      </c>
      <c r="AM4964">
        <v>88.099822464305703</v>
      </c>
      <c r="AN4964">
        <v>1.0000000555886499</v>
      </c>
    </row>
    <row r="4965" spans="1:40" x14ac:dyDescent="0.25">
      <c r="A4965" t="str">
        <f>"20190312154023342"</f>
        <v>20190312154023342</v>
      </c>
      <c r="B4965" t="str">
        <f>"1552376423330551"</f>
        <v>1552376423330551</v>
      </c>
      <c r="C4965" t="s">
        <v>40</v>
      </c>
      <c r="D4965">
        <v>3.9178449999999998</v>
      </c>
      <c r="E4965">
        <v>0.54118040000000001</v>
      </c>
      <c r="F4965" t="s">
        <v>41</v>
      </c>
      <c r="G4965">
        <v>-236.6412</v>
      </c>
      <c r="H4965">
        <v>0.99498509999999996</v>
      </c>
      <c r="I4965">
        <v>214.5283</v>
      </c>
      <c r="J4965">
        <v>-237.05940000000001</v>
      </c>
      <c r="K4965">
        <v>1.109502</v>
      </c>
      <c r="L4965">
        <v>214.61799999999999</v>
      </c>
      <c r="M4965">
        <v>0.99976600000000004</v>
      </c>
      <c r="N4965">
        <v>0</v>
      </c>
      <c r="O4965">
        <v>2.0849670000000001E-2</v>
      </c>
      <c r="P4965">
        <v>0.99987720000000002</v>
      </c>
      <c r="Q4965">
        <v>9.6077279999999994E-3</v>
      </c>
      <c r="R4965">
        <v>-1.2398589999999999E-2</v>
      </c>
      <c r="S4965">
        <v>3.0007320000000002</v>
      </c>
      <c r="T4965">
        <v>-0.47954020000000003</v>
      </c>
      <c r="U4965">
        <v>-0.34811399999999998</v>
      </c>
      <c r="V4965">
        <v>3.3234809999999997E-2</v>
      </c>
      <c r="W4965">
        <v>1.539247E-2</v>
      </c>
      <c r="X4965">
        <v>0.99932900000000002</v>
      </c>
      <c r="Y4965">
        <v>0.13398299999999999</v>
      </c>
      <c r="Z4965">
        <v>-1.390431E-2</v>
      </c>
      <c r="AA4965">
        <v>0.99088609999999999</v>
      </c>
      <c r="AB4965">
        <v>27</v>
      </c>
      <c r="AC4965">
        <v>0.41820000000001201</v>
      </c>
      <c r="AD4965">
        <v>-0.11451689999999901</v>
      </c>
      <c r="AE4965">
        <v>-8.9699999999993396E-2</v>
      </c>
      <c r="AF4965">
        <v>9.1817883061420996E-2</v>
      </c>
      <c r="AG4965">
        <v>-0.11451689999999901</v>
      </c>
      <c r="AH4965">
        <v>0.388396119665116</v>
      </c>
      <c r="AI4965">
        <v>106.010129540281</v>
      </c>
      <c r="AJ4965">
        <v>76.6993110917293</v>
      </c>
      <c r="AK4965">
        <v>0.41520620155100002</v>
      </c>
      <c r="AL4965">
        <v>89.118041573143898</v>
      </c>
      <c r="AM4965">
        <v>88.095209117333994</v>
      </c>
      <c r="AN4965">
        <v>0.99999996548471703</v>
      </c>
    </row>
    <row r="4966" spans="1:40" x14ac:dyDescent="0.25">
      <c r="A4966" t="str">
        <f>"20190312154023360"</f>
        <v>20190312154023360</v>
      </c>
      <c r="B4966" t="str">
        <f>"1552376423351047"</f>
        <v>1552376423351047</v>
      </c>
      <c r="C4966" t="s">
        <v>40</v>
      </c>
      <c r="D4966">
        <v>3.9243920000000001</v>
      </c>
      <c r="E4966">
        <v>0.54237029999999997</v>
      </c>
      <c r="F4966" t="s">
        <v>41</v>
      </c>
      <c r="G4966">
        <v>-236.1747</v>
      </c>
      <c r="H4966">
        <v>0.95701840000000005</v>
      </c>
      <c r="I4966">
        <v>214.51390000000001</v>
      </c>
      <c r="J4966">
        <v>-236.8237</v>
      </c>
      <c r="K4966">
        <v>1.109564</v>
      </c>
      <c r="L4966">
        <v>214.6232</v>
      </c>
      <c r="M4966">
        <v>0.99975820000000004</v>
      </c>
      <c r="N4966">
        <v>0</v>
      </c>
      <c r="O4966">
        <v>2.1125709999999999E-2</v>
      </c>
      <c r="P4966">
        <v>0.99988460000000001</v>
      </c>
      <c r="Q4966">
        <v>9.0577780000000007E-3</v>
      </c>
      <c r="R4966">
        <v>-1.220518E-2</v>
      </c>
      <c r="S4966">
        <v>3.0009610000000002</v>
      </c>
      <c r="T4966">
        <v>-0.51729910000000001</v>
      </c>
      <c r="U4966">
        <v>-0.35295100000000001</v>
      </c>
      <c r="V4966">
        <v>3.331812E-2</v>
      </c>
      <c r="W4966">
        <v>1.519509E-2</v>
      </c>
      <c r="X4966">
        <v>0.99932929999999998</v>
      </c>
      <c r="Y4966">
        <v>0.1354832</v>
      </c>
      <c r="Z4966">
        <v>-1.515648E-2</v>
      </c>
      <c r="AA4966">
        <v>0.99066370000000004</v>
      </c>
      <c r="AB4966">
        <v>27</v>
      </c>
      <c r="AC4966">
        <v>0.64900000000000002</v>
      </c>
      <c r="AD4966">
        <v>-0.152545599999999</v>
      </c>
      <c r="AE4966">
        <v>-0.10929999999999</v>
      </c>
      <c r="AF4966">
        <v>0.11671606258964901</v>
      </c>
      <c r="AG4966">
        <v>-0.152545599999999</v>
      </c>
      <c r="AH4966">
        <v>0.61358233710714705</v>
      </c>
      <c r="AI4966">
        <v>103.72495968221899</v>
      </c>
      <c r="AJ4966">
        <v>79.229828730294898</v>
      </c>
      <c r="AK4966">
        <v>0.64294329746538303</v>
      </c>
      <c r="AL4966">
        <v>89.129351983809997</v>
      </c>
      <c r="AM4966">
        <v>88.090438464117895</v>
      </c>
      <c r="AN4966">
        <v>1.00000001885946</v>
      </c>
    </row>
    <row r="4967" spans="1:40" x14ac:dyDescent="0.25">
      <c r="A4967" t="str">
        <f>"20190312154023383"</f>
        <v>20190312154023383</v>
      </c>
      <c r="B4967" t="str">
        <f>"1552376423370567"</f>
        <v>1552376423370567</v>
      </c>
      <c r="C4967" t="s">
        <v>40</v>
      </c>
      <c r="D4967">
        <v>3.9649130000000001</v>
      </c>
      <c r="E4967">
        <v>0.54326859999999999</v>
      </c>
      <c r="F4967" t="s">
        <v>41</v>
      </c>
      <c r="G4967">
        <v>-235.93690000000001</v>
      </c>
      <c r="H4967">
        <v>0.94750020000000001</v>
      </c>
      <c r="I4967">
        <v>214.5163</v>
      </c>
      <c r="J4967">
        <v>-236.5532</v>
      </c>
      <c r="K4967">
        <v>1.109629</v>
      </c>
      <c r="L4967">
        <v>214.6293</v>
      </c>
      <c r="M4967">
        <v>0.99974890000000005</v>
      </c>
      <c r="N4967">
        <v>0</v>
      </c>
      <c r="O4967">
        <v>2.143399E-2</v>
      </c>
      <c r="P4967">
        <v>0.99989810000000001</v>
      </c>
      <c r="Q4967">
        <v>8.1740230000000007E-3</v>
      </c>
      <c r="R4967">
        <v>-1.170968E-2</v>
      </c>
      <c r="S4967">
        <v>3.0009000000000001</v>
      </c>
      <c r="T4967">
        <v>-0.54849369999999997</v>
      </c>
      <c r="U4967">
        <v>-0.36149599999999998</v>
      </c>
      <c r="V4967">
        <v>3.3131500000000001E-2</v>
      </c>
      <c r="W4967">
        <v>1.473928E-2</v>
      </c>
      <c r="X4967">
        <v>0.99934230000000002</v>
      </c>
      <c r="Y4967">
        <v>0.13824159999999999</v>
      </c>
      <c r="Z4967">
        <v>-1.6358709999999999E-2</v>
      </c>
      <c r="AA4967">
        <v>0.99026340000000002</v>
      </c>
      <c r="AB4967">
        <v>27</v>
      </c>
      <c r="AC4967">
        <v>0.61629999999999496</v>
      </c>
      <c r="AD4967">
        <v>-0.16212879999999899</v>
      </c>
      <c r="AE4967">
        <v>-0.112999999999999</v>
      </c>
      <c r="AF4967">
        <v>0.11826573619280301</v>
      </c>
      <c r="AG4967">
        <v>-0.16212879999999899</v>
      </c>
      <c r="AH4967">
        <v>0.57522289657962</v>
      </c>
      <c r="AI4967">
        <v>105.433719122019</v>
      </c>
      <c r="AJ4967">
        <v>78.381895381904499</v>
      </c>
      <c r="AK4967">
        <v>0.60922402521249497</v>
      </c>
      <c r="AL4967">
        <v>89.155470872116894</v>
      </c>
      <c r="AM4967">
        <v>88.101151048191298</v>
      </c>
      <c r="AN4967">
        <v>0.99999998761822895</v>
      </c>
    </row>
    <row r="4968" spans="1:40" x14ac:dyDescent="0.25">
      <c r="A4968" t="str">
        <f>"20190312154023407"</f>
        <v>20190312154023407</v>
      </c>
      <c r="B4968" t="str">
        <f>"1552376423400824"</f>
        <v>1552376423400824</v>
      </c>
      <c r="C4968" t="s">
        <v>40</v>
      </c>
      <c r="D4968">
        <v>3.9294699999999998</v>
      </c>
      <c r="E4968">
        <v>0.54373169999999904</v>
      </c>
      <c r="F4968" t="s">
        <v>41</v>
      </c>
      <c r="G4968">
        <v>-235.6953</v>
      </c>
      <c r="H4968">
        <v>0.94643250000000001</v>
      </c>
      <c r="I4968">
        <v>214.5241</v>
      </c>
      <c r="J4968">
        <v>-236.2577</v>
      </c>
      <c r="K4968">
        <v>1.1096839999999999</v>
      </c>
      <c r="L4968">
        <v>214.636</v>
      </c>
      <c r="M4968">
        <v>0.99973860000000003</v>
      </c>
      <c r="N4968">
        <v>0</v>
      </c>
      <c r="O4968">
        <v>2.1758329999999999E-2</v>
      </c>
      <c r="P4968">
        <v>0.99991669999999999</v>
      </c>
      <c r="Q4968">
        <v>6.6911679999999999E-3</v>
      </c>
      <c r="R4968">
        <v>-1.1049659999999999E-2</v>
      </c>
      <c r="S4968">
        <v>3.0006870000000001</v>
      </c>
      <c r="T4968">
        <v>-0.57091669999999906</v>
      </c>
      <c r="U4968">
        <v>-0.36694339999999998</v>
      </c>
      <c r="V4968">
        <v>3.2797100000000003E-2</v>
      </c>
      <c r="W4968">
        <v>1.3750419999999999E-2</v>
      </c>
      <c r="X4968">
        <v>0.99936740000000002</v>
      </c>
      <c r="Y4968">
        <v>0.14008870000000001</v>
      </c>
      <c r="Z4968">
        <v>-1.724993E-2</v>
      </c>
      <c r="AA4968">
        <v>0.98998869999999894</v>
      </c>
      <c r="AB4968">
        <v>27</v>
      </c>
      <c r="AC4968">
        <v>0.56239999999999601</v>
      </c>
      <c r="AD4968">
        <v>-0.16325149999999999</v>
      </c>
      <c r="AE4968">
        <v>-0.11189999999999101</v>
      </c>
      <c r="AF4968">
        <v>0.114805509568744</v>
      </c>
      <c r="AG4968">
        <v>-0.16325149999999999</v>
      </c>
      <c r="AH4968">
        <v>0.51785869406204199</v>
      </c>
      <c r="AI4968">
        <v>107.106844076268</v>
      </c>
      <c r="AJ4968">
        <v>77.500105341640705</v>
      </c>
      <c r="AK4968">
        <v>0.55498557124958903</v>
      </c>
      <c r="AL4968">
        <v>89.212134108699004</v>
      </c>
      <c r="AM4968">
        <v>88.120349704459002</v>
      </c>
      <c r="AN4968">
        <v>0.99999996200067198</v>
      </c>
    </row>
    <row r="4969" spans="1:40" x14ac:dyDescent="0.25">
      <c r="A4969" t="str">
        <f>"20190312154023428"</f>
        <v>20190312154023428</v>
      </c>
      <c r="B4969" t="str">
        <f>"1552376423421320"</f>
        <v>1552376423421320</v>
      </c>
      <c r="C4969" t="s">
        <v>40</v>
      </c>
      <c r="D4969">
        <v>3.9833699999999999</v>
      </c>
      <c r="E4969">
        <v>0.54408819999999902</v>
      </c>
      <c r="F4969" t="s">
        <v>41</v>
      </c>
      <c r="G4969">
        <v>-235.4513</v>
      </c>
      <c r="H4969">
        <v>0.95086660000000001</v>
      </c>
      <c r="I4969">
        <v>214.53700000000001</v>
      </c>
      <c r="J4969">
        <v>-236.01419999999999</v>
      </c>
      <c r="K4969">
        <v>1.1097349999999999</v>
      </c>
      <c r="L4969">
        <v>214.64160000000001</v>
      </c>
      <c r="M4969">
        <v>0.9997298</v>
      </c>
      <c r="N4969">
        <v>0</v>
      </c>
      <c r="O4969">
        <v>2.2014909999999999E-2</v>
      </c>
      <c r="P4969">
        <v>0.99993089999999996</v>
      </c>
      <c r="Q4969">
        <v>5.6361450000000004E-3</v>
      </c>
      <c r="R4969">
        <v>-1.034268E-2</v>
      </c>
      <c r="S4969">
        <v>3.0001069999999999</v>
      </c>
      <c r="T4969">
        <v>-0.59083790000000003</v>
      </c>
      <c r="U4969">
        <v>-0.36819459999999998</v>
      </c>
      <c r="V4969">
        <v>3.2347569999999999E-2</v>
      </c>
      <c r="W4969">
        <v>1.3120100000000001E-2</v>
      </c>
      <c r="X4969">
        <v>0.99939049999999996</v>
      </c>
      <c r="Y4969">
        <v>0.1405564</v>
      </c>
      <c r="Z4969">
        <v>-1.7939090000000001E-2</v>
      </c>
      <c r="AA4969">
        <v>0.98991010000000002</v>
      </c>
      <c r="AB4969">
        <v>27</v>
      </c>
      <c r="AC4969">
        <v>0.56289999999998397</v>
      </c>
      <c r="AD4969">
        <v>-0.15886839999999999</v>
      </c>
      <c r="AE4969">
        <v>-0.104600000000004</v>
      </c>
      <c r="AF4969">
        <v>0.108605012135949</v>
      </c>
      <c r="AG4969">
        <v>-0.15886839999999999</v>
      </c>
      <c r="AH4969">
        <v>0.52039249876759697</v>
      </c>
      <c r="AI4969">
        <v>106.63861507079</v>
      </c>
      <c r="AJ4969">
        <v>78.211673189818498</v>
      </c>
      <c r="AK4969">
        <v>0.55483562426469402</v>
      </c>
      <c r="AL4969">
        <v>89.248252027444906</v>
      </c>
      <c r="AM4969">
        <v>88.146137651821903</v>
      </c>
      <c r="AN4969">
        <v>0.99999993689958</v>
      </c>
    </row>
    <row r="4970" spans="1:40" x14ac:dyDescent="0.25">
      <c r="A4970" t="str">
        <f>"20190312154023450"</f>
        <v>20190312154023450</v>
      </c>
      <c r="B4970" t="str">
        <f>"1552376423440490"</f>
        <v>1552376423440490</v>
      </c>
      <c r="C4970" t="s">
        <v>40</v>
      </c>
      <c r="D4970">
        <v>3.9918469999999999</v>
      </c>
      <c r="E4970">
        <v>0.5443578</v>
      </c>
      <c r="F4970" t="s">
        <v>41</v>
      </c>
      <c r="G4970">
        <v>-235.21019999999999</v>
      </c>
      <c r="H4970">
        <v>0.94809449999999995</v>
      </c>
      <c r="I4970">
        <v>214.54239999999999</v>
      </c>
      <c r="J4970">
        <v>-235.74279999999999</v>
      </c>
      <c r="K4970">
        <v>1.109791</v>
      </c>
      <c r="L4970">
        <v>214.64789999999999</v>
      </c>
      <c r="M4970">
        <v>0.99972000000000005</v>
      </c>
      <c r="N4970">
        <v>0</v>
      </c>
      <c r="O4970">
        <v>2.2289159999999999E-2</v>
      </c>
      <c r="P4970">
        <v>0.99994289999999997</v>
      </c>
      <c r="Q4970">
        <v>4.5890890000000002E-3</v>
      </c>
      <c r="R4970">
        <v>-9.6577290000000003E-3</v>
      </c>
      <c r="S4970">
        <v>2.999771</v>
      </c>
      <c r="T4970">
        <v>-0.60322010000000004</v>
      </c>
      <c r="U4970">
        <v>-0.36886600000000003</v>
      </c>
      <c r="V4970">
        <v>3.1937859999999998E-2</v>
      </c>
      <c r="W4970">
        <v>1.255509E-2</v>
      </c>
      <c r="X4970">
        <v>0.99941100000000005</v>
      </c>
      <c r="Y4970">
        <v>0.140917299999999</v>
      </c>
      <c r="Z4970">
        <v>-1.8399809999999999E-2</v>
      </c>
      <c r="AA4970">
        <v>0.98985029999999996</v>
      </c>
      <c r="AB4970">
        <v>27</v>
      </c>
      <c r="AC4970">
        <v>0.53260000000000196</v>
      </c>
      <c r="AD4970">
        <v>-0.16169649999999999</v>
      </c>
      <c r="AE4970">
        <v>-0.10550000000000601</v>
      </c>
      <c r="AF4970">
        <v>0.10778565324386</v>
      </c>
      <c r="AG4970">
        <v>-0.16169649999999999</v>
      </c>
      <c r="AH4970">
        <v>0.48692939222080001</v>
      </c>
      <c r="AI4970">
        <v>107.964010852439</v>
      </c>
      <c r="AJ4970">
        <v>77.5183941097646</v>
      </c>
      <c r="AK4970">
        <v>0.52427448742617</v>
      </c>
      <c r="AL4970">
        <v>89.280627433075793</v>
      </c>
      <c r="AM4970">
        <v>88.169639869345005</v>
      </c>
      <c r="AN4970">
        <v>1.0000000020536399</v>
      </c>
    </row>
    <row r="4971" spans="1:40" x14ac:dyDescent="0.25">
      <c r="A4971" t="str">
        <f>"20190312154023472"</f>
        <v>20190312154023472</v>
      </c>
      <c r="B4971" t="str">
        <f>"1552376423460985"</f>
        <v>1552376423460985</v>
      </c>
      <c r="C4971" t="s">
        <v>40</v>
      </c>
      <c r="D4971">
        <v>4.0109440000000003</v>
      </c>
      <c r="E4971">
        <v>0.54451830000000001</v>
      </c>
      <c r="F4971" t="s">
        <v>41</v>
      </c>
      <c r="G4971">
        <v>-234.96680000000001</v>
      </c>
      <c r="H4971">
        <v>0.95101639999999998</v>
      </c>
      <c r="I4971">
        <v>214.55240000000001</v>
      </c>
      <c r="J4971">
        <v>-235.4725</v>
      </c>
      <c r="K4971">
        <v>1.109842</v>
      </c>
      <c r="L4971">
        <v>214.65430000000001</v>
      </c>
      <c r="M4971">
        <v>0.9997104</v>
      </c>
      <c r="N4971">
        <v>0</v>
      </c>
      <c r="O4971">
        <v>2.253585E-2</v>
      </c>
      <c r="P4971">
        <v>0.9999517</v>
      </c>
      <c r="Q4971">
        <v>4.066704E-3</v>
      </c>
      <c r="R4971">
        <v>-8.9472939999999997E-3</v>
      </c>
      <c r="S4971">
        <v>2.9994200000000002</v>
      </c>
      <c r="T4971">
        <v>-0.61366239999999905</v>
      </c>
      <c r="U4971">
        <v>-0.36872860000000002</v>
      </c>
      <c r="V4971">
        <v>3.147494E-2</v>
      </c>
      <c r="W4971">
        <v>1.252267E-2</v>
      </c>
      <c r="X4971">
        <v>0.99942609999999998</v>
      </c>
      <c r="Y4971">
        <v>0.1410119</v>
      </c>
      <c r="Z4971">
        <v>-1.877353E-2</v>
      </c>
      <c r="AA4971">
        <v>0.98982990000000004</v>
      </c>
      <c r="AB4971">
        <v>27</v>
      </c>
      <c r="AC4971">
        <v>0.50569999999999005</v>
      </c>
      <c r="AD4971">
        <v>-0.15882559999999901</v>
      </c>
      <c r="AE4971">
        <v>-0.1019</v>
      </c>
      <c r="AF4971">
        <v>0.103463439455075</v>
      </c>
      <c r="AG4971">
        <v>-0.15882559999999901</v>
      </c>
      <c r="AH4971">
        <v>0.459699430945751</v>
      </c>
      <c r="AI4971">
        <v>108.627269721551</v>
      </c>
      <c r="AJ4971">
        <v>77.315930970562107</v>
      </c>
      <c r="AK4971">
        <v>0.49724623812662599</v>
      </c>
      <c r="AL4971">
        <v>89.282485113438895</v>
      </c>
      <c r="AM4971">
        <v>88.196179414192699</v>
      </c>
      <c r="AN4971">
        <v>1.00000000923657</v>
      </c>
    </row>
    <row r="4972" spans="1:40" x14ac:dyDescent="0.25">
      <c r="A4972" t="str">
        <f>"20190312154023500"</f>
        <v>20190312154023500</v>
      </c>
      <c r="B4972" t="str">
        <f>"1552376423491240"</f>
        <v>1552376423491240</v>
      </c>
      <c r="C4972" t="s">
        <v>40</v>
      </c>
      <c r="D4972">
        <v>4.0175090000000004</v>
      </c>
      <c r="E4972">
        <v>0.54474959999999994</v>
      </c>
      <c r="F4972" t="s">
        <v>41</v>
      </c>
      <c r="G4972">
        <v>-234.72290000000001</v>
      </c>
      <c r="H4972">
        <v>0.95482020000000001</v>
      </c>
      <c r="I4972">
        <v>214.56209999999999</v>
      </c>
      <c r="J4972">
        <v>-235.1455</v>
      </c>
      <c r="K4972">
        <v>1.1098969999999999</v>
      </c>
      <c r="L4972">
        <v>214.66200000000001</v>
      </c>
      <c r="M4972">
        <v>0.999699</v>
      </c>
      <c r="N4972">
        <v>0</v>
      </c>
      <c r="O4972">
        <v>2.279861E-2</v>
      </c>
      <c r="P4972">
        <v>0.99995319999999999</v>
      </c>
      <c r="Q4972">
        <v>3.656308E-3</v>
      </c>
      <c r="R4972">
        <v>-8.9769120000000001E-3</v>
      </c>
      <c r="S4972">
        <v>2.999374</v>
      </c>
      <c r="T4972">
        <v>-0.62042589999999997</v>
      </c>
      <c r="U4972">
        <v>-0.3681335</v>
      </c>
      <c r="V4972">
        <v>3.1767799999999999E-2</v>
      </c>
      <c r="W4972">
        <v>1.2729600000000001E-2</v>
      </c>
      <c r="X4972">
        <v>0.99941420000000003</v>
      </c>
      <c r="Y4972">
        <v>0.14100170000000001</v>
      </c>
      <c r="Z4972">
        <v>-1.9029319999999999E-2</v>
      </c>
      <c r="AA4972">
        <v>0.9898264</v>
      </c>
      <c r="AB4972">
        <v>27</v>
      </c>
      <c r="AC4972">
        <v>0.42259999999998799</v>
      </c>
      <c r="AD4972">
        <v>-0.15507679999999999</v>
      </c>
      <c r="AE4972">
        <v>-9.9900000000019404E-2</v>
      </c>
      <c r="AF4972">
        <v>9.7122845822704099E-2</v>
      </c>
      <c r="AG4972">
        <v>-0.15507679999999999</v>
      </c>
      <c r="AH4972">
        <v>0.37268340096809599</v>
      </c>
      <c r="AI4972">
        <v>111.93267600722599</v>
      </c>
      <c r="AJ4972">
        <v>75.393364448803396</v>
      </c>
      <c r="AK4972">
        <v>0.41518017587077399</v>
      </c>
      <c r="AL4972">
        <v>89.270627938306902</v>
      </c>
      <c r="AM4972">
        <v>88.179385264051504</v>
      </c>
      <c r="AN4972">
        <v>0.99999998949732005</v>
      </c>
    </row>
    <row r="4973" spans="1:40" x14ac:dyDescent="0.25">
      <c r="A4973" t="str">
        <f>"20190312154023522"</f>
        <v>20190312154023522</v>
      </c>
      <c r="B4973" t="str">
        <f>"1552376423510760"</f>
        <v>1552376423510760</v>
      </c>
      <c r="C4973" t="s">
        <v>40</v>
      </c>
      <c r="D4973">
        <v>4.0743679999999998</v>
      </c>
      <c r="E4973">
        <v>0.54510340000000002</v>
      </c>
      <c r="F4973" t="s">
        <v>41</v>
      </c>
      <c r="G4973">
        <v>-234.25299999999999</v>
      </c>
      <c r="H4973">
        <v>0.92271159999999997</v>
      </c>
      <c r="I4973">
        <v>214.55179999999999</v>
      </c>
      <c r="J4973">
        <v>-234.87520000000001</v>
      </c>
      <c r="K4973">
        <v>1.1099399999999999</v>
      </c>
      <c r="L4973">
        <v>214.66839999999999</v>
      </c>
      <c r="M4973">
        <v>0.99968959999999996</v>
      </c>
      <c r="N4973">
        <v>0</v>
      </c>
      <c r="O4973">
        <v>2.299549E-2</v>
      </c>
      <c r="P4973">
        <v>0.9999538</v>
      </c>
      <c r="Q4973">
        <v>3.3268579999999998E-3</v>
      </c>
      <c r="R4973">
        <v>-9.0155259999999994E-3</v>
      </c>
      <c r="S4973">
        <v>2.9991150000000002</v>
      </c>
      <c r="T4973">
        <v>-0.62908489999999995</v>
      </c>
      <c r="U4973">
        <v>-0.37002560000000001</v>
      </c>
      <c r="V4973">
        <v>3.2004480000000002E-2</v>
      </c>
      <c r="W4973">
        <v>1.2924140000000001E-2</v>
      </c>
      <c r="X4973">
        <v>0.99940419999999996</v>
      </c>
      <c r="Y4973">
        <v>0.14170729999999901</v>
      </c>
      <c r="Z4973">
        <v>-1.940395E-2</v>
      </c>
      <c r="AA4973">
        <v>0.9897184</v>
      </c>
      <c r="AB4973">
        <v>27</v>
      </c>
      <c r="AC4973">
        <v>0.62220000000001996</v>
      </c>
      <c r="AD4973">
        <v>-0.18722839999999999</v>
      </c>
      <c r="AE4973">
        <v>-0.11660000000000501</v>
      </c>
      <c r="AF4973">
        <v>0.120349790650398</v>
      </c>
      <c r="AG4973">
        <v>-0.18722839999999999</v>
      </c>
      <c r="AH4973">
        <v>0.56953307666381103</v>
      </c>
      <c r="AI4973">
        <v>107.829738909086</v>
      </c>
      <c r="AJ4973">
        <v>78.068183482738206</v>
      </c>
      <c r="AK4973">
        <v>0.61147892137857196</v>
      </c>
      <c r="AL4973">
        <v>89.2594807357588</v>
      </c>
      <c r="AM4973">
        <v>88.165812008166995</v>
      </c>
      <c r="AN4973">
        <v>1.0000000375562199</v>
      </c>
    </row>
    <row r="4974" spans="1:40" x14ac:dyDescent="0.25">
      <c r="A4974" t="str">
        <f>"20190312154023540"</f>
        <v>20190312154023540</v>
      </c>
      <c r="B4974" t="str">
        <f>"1552376423531256"</f>
        <v>1552376423531256</v>
      </c>
      <c r="C4974" t="s">
        <v>40</v>
      </c>
      <c r="D4974">
        <v>4.0710810000000004</v>
      </c>
      <c r="E4974">
        <v>0.54542000000000002</v>
      </c>
      <c r="F4974" t="s">
        <v>41</v>
      </c>
      <c r="G4974">
        <v>-234.0102</v>
      </c>
      <c r="H4974">
        <v>0.9266316</v>
      </c>
      <c r="I4974">
        <v>214.5609</v>
      </c>
      <c r="J4974">
        <v>-234.65479999999999</v>
      </c>
      <c r="K4974">
        <v>1.109966</v>
      </c>
      <c r="L4974">
        <v>214.67359999999999</v>
      </c>
      <c r="M4974">
        <v>0.99968199999999996</v>
      </c>
      <c r="N4974">
        <v>0</v>
      </c>
      <c r="O4974">
        <v>2.3144000000000001E-2</v>
      </c>
      <c r="P4974">
        <v>0.99995330000000004</v>
      </c>
      <c r="Q4974">
        <v>3.105989E-3</v>
      </c>
      <c r="R4974">
        <v>-9.141962E-3</v>
      </c>
      <c r="S4974">
        <v>2.9988860000000002</v>
      </c>
      <c r="T4974">
        <v>-0.63550459999999998</v>
      </c>
      <c r="U4974">
        <v>-0.37234499999999998</v>
      </c>
      <c r="V4974">
        <v>3.2279990000000001E-2</v>
      </c>
      <c r="W4974">
        <v>1.311438E-2</v>
      </c>
      <c r="X4974">
        <v>0.99939279999999997</v>
      </c>
      <c r="Y4974">
        <v>0.1425245</v>
      </c>
      <c r="Z4974">
        <v>-1.971465E-2</v>
      </c>
      <c r="AA4974">
        <v>0.98959490000000006</v>
      </c>
      <c r="AB4974">
        <v>27</v>
      </c>
      <c r="AC4974">
        <v>0.64459999999999695</v>
      </c>
      <c r="AD4974">
        <v>-0.18333440000000001</v>
      </c>
      <c r="AE4974">
        <v>-0.112699999999989</v>
      </c>
      <c r="AF4974">
        <v>0.118303211361724</v>
      </c>
      <c r="AG4974">
        <v>-0.18333440000000001</v>
      </c>
      <c r="AH4974">
        <v>0.59510714522386798</v>
      </c>
      <c r="AI4974">
        <v>106.812558727354</v>
      </c>
      <c r="AJ4974">
        <v>78.756571995607004</v>
      </c>
      <c r="AK4974">
        <v>0.63384514381539503</v>
      </c>
      <c r="AL4974">
        <v>89.2485798174351</v>
      </c>
      <c r="AM4974">
        <v>88.150012270372201</v>
      </c>
      <c r="AN4974">
        <v>0.99999997670451202</v>
      </c>
    </row>
    <row r="4975" spans="1:40" x14ac:dyDescent="0.25">
      <c r="A4975" t="str">
        <f>"20190312154023561"</f>
        <v>20190312154023561</v>
      </c>
      <c r="B4975" t="str">
        <f>"1552376423550777"</f>
        <v>1552376423550777</v>
      </c>
      <c r="C4975" t="s">
        <v>40</v>
      </c>
      <c r="D4975">
        <v>4.0757479999999999</v>
      </c>
      <c r="E4975">
        <v>0.54555619999999905</v>
      </c>
      <c r="F4975" t="s">
        <v>41</v>
      </c>
      <c r="G4975">
        <v>-233.77119999999999</v>
      </c>
      <c r="H4975">
        <v>0.9211916</v>
      </c>
      <c r="I4975">
        <v>214.56280000000001</v>
      </c>
      <c r="J4975">
        <v>-234.39330000000001</v>
      </c>
      <c r="K4975">
        <v>1.109993</v>
      </c>
      <c r="L4975">
        <v>214.6799</v>
      </c>
      <c r="M4975">
        <v>0.99967399999999995</v>
      </c>
      <c r="N4975">
        <v>0</v>
      </c>
      <c r="O4975">
        <v>2.3290680000000001E-2</v>
      </c>
      <c r="P4975">
        <v>0.99994680000000002</v>
      </c>
      <c r="Q4975">
        <v>3.4105060000000002E-3</v>
      </c>
      <c r="R4975">
        <v>-9.7358170000000008E-3</v>
      </c>
      <c r="S4975">
        <v>2.998688</v>
      </c>
      <c r="T4975">
        <v>-0.64073930000000001</v>
      </c>
      <c r="U4975">
        <v>-0.37530520000000001</v>
      </c>
      <c r="V4975">
        <v>3.3020910000000001E-2</v>
      </c>
      <c r="W4975">
        <v>1.387296E-2</v>
      </c>
      <c r="X4975">
        <v>0.99935839999999998</v>
      </c>
      <c r="Y4975">
        <v>0.14355409999999999</v>
      </c>
      <c r="Z4975">
        <v>-2.0012909999999998E-2</v>
      </c>
      <c r="AA4975">
        <v>0.98944010000000004</v>
      </c>
      <c r="AB4975">
        <v>27</v>
      </c>
      <c r="AC4975">
        <v>0.62210000000001697</v>
      </c>
      <c r="AD4975">
        <v>-0.18880140000000001</v>
      </c>
      <c r="AE4975">
        <v>-0.117099999999993</v>
      </c>
      <c r="AF4975">
        <v>0.120811422095794</v>
      </c>
      <c r="AG4975">
        <v>-0.18880140000000001</v>
      </c>
      <c r="AH4975">
        <v>0.56862217028272799</v>
      </c>
      <c r="AI4975">
        <v>107.99294455965099</v>
      </c>
      <c r="AJ4975">
        <v>78.005104962484594</v>
      </c>
      <c r="AK4975">
        <v>0.61120580894475196</v>
      </c>
      <c r="AL4975">
        <v>89.205112464379695</v>
      </c>
      <c r="AM4975">
        <v>88.107515087208199</v>
      </c>
      <c r="AN4975">
        <v>1.00000002558347</v>
      </c>
    </row>
    <row r="4976" spans="1:40" x14ac:dyDescent="0.25">
      <c r="A4976" t="str">
        <f>"20190312154023583"</f>
        <v>20190312154023583</v>
      </c>
      <c r="B4976" t="str">
        <f>"1552376423571272"</f>
        <v>1552376423571272</v>
      </c>
      <c r="C4976" t="s">
        <v>40</v>
      </c>
      <c r="D4976">
        <v>4.0545150000000003</v>
      </c>
      <c r="E4976">
        <v>0.54534719999999903</v>
      </c>
      <c r="F4976" t="s">
        <v>41</v>
      </c>
      <c r="G4976">
        <v>-233.5291</v>
      </c>
      <c r="H4976">
        <v>0.92475779999999996</v>
      </c>
      <c r="I4976">
        <v>214.57089999999999</v>
      </c>
      <c r="J4976">
        <v>-234.12799999999999</v>
      </c>
      <c r="K4976">
        <v>1.1100139999999901</v>
      </c>
      <c r="L4976">
        <v>214.68620000000001</v>
      </c>
      <c r="M4976">
        <v>0.99966699999999997</v>
      </c>
      <c r="N4976">
        <v>0</v>
      </c>
      <c r="O4976">
        <v>2.3399400000000001E-2</v>
      </c>
      <c r="P4976">
        <v>0.99993969999999999</v>
      </c>
      <c r="Q4976">
        <v>5.0866779999999999E-3</v>
      </c>
      <c r="R4976">
        <v>-9.7321609999999996E-3</v>
      </c>
      <c r="S4976">
        <v>2.9986570000000001</v>
      </c>
      <c r="T4976">
        <v>-0.64275490000000002</v>
      </c>
      <c r="U4976">
        <v>-0.37815860000000001</v>
      </c>
      <c r="V4976">
        <v>3.3126419999999997E-2</v>
      </c>
      <c r="W4976">
        <v>1.5970809999999998E-2</v>
      </c>
      <c r="X4976">
        <v>0.99932350000000003</v>
      </c>
      <c r="Y4976">
        <v>0.14454259999999999</v>
      </c>
      <c r="Z4976">
        <v>-2.0200889999999999E-2</v>
      </c>
      <c r="AA4976">
        <v>0.98929239999999996</v>
      </c>
      <c r="AB4976">
        <v>27</v>
      </c>
      <c r="AC4976">
        <v>0.598899999999986</v>
      </c>
      <c r="AD4976">
        <v>-0.18525619999999901</v>
      </c>
      <c r="AE4976">
        <v>-0.115300000000019</v>
      </c>
      <c r="AF4976">
        <v>0.118362574320939</v>
      </c>
      <c r="AG4976">
        <v>-0.18525619999999901</v>
      </c>
      <c r="AH4976">
        <v>0.54569041099850302</v>
      </c>
      <c r="AI4976">
        <v>108.354537716037</v>
      </c>
      <c r="AJ4976">
        <v>77.761875319381502</v>
      </c>
      <c r="AK4976">
        <v>0.58830908823001804</v>
      </c>
      <c r="AL4976">
        <v>89.084901033872796</v>
      </c>
      <c r="AM4976">
        <v>88.101406291666606</v>
      </c>
      <c r="AN4976">
        <v>0.99999994206315901</v>
      </c>
    </row>
    <row r="4977" spans="1:40" x14ac:dyDescent="0.25">
      <c r="A4977" t="str">
        <f>"20190312154023606"</f>
        <v>20190312154023606</v>
      </c>
      <c r="B4977" t="str">
        <f>"1552376423601530"</f>
        <v>1552376423601530</v>
      </c>
      <c r="C4977" t="s">
        <v>40</v>
      </c>
      <c r="D4977">
        <v>4.166315</v>
      </c>
      <c r="E4977">
        <v>0.53658459999999997</v>
      </c>
      <c r="F4977" t="s">
        <v>41</v>
      </c>
      <c r="G4977">
        <v>-233.28559999999999</v>
      </c>
      <c r="H4977">
        <v>0.93187629999999999</v>
      </c>
      <c r="I4977">
        <v>214.58019999999999</v>
      </c>
      <c r="J4977">
        <v>-233.85730000000001</v>
      </c>
      <c r="K4977">
        <v>1.1100239999999999</v>
      </c>
      <c r="L4977">
        <v>214.6926</v>
      </c>
      <c r="M4977">
        <v>0.99966100000000002</v>
      </c>
      <c r="N4977">
        <v>0</v>
      </c>
      <c r="O4977">
        <v>2.3470209999999998E-2</v>
      </c>
      <c r="P4977">
        <v>0.99993650000000001</v>
      </c>
      <c r="Q4977">
        <v>6.0137609999999899E-3</v>
      </c>
      <c r="R4977">
        <v>-9.5363689999999994E-3</v>
      </c>
      <c r="S4977">
        <v>2.9997410000000002</v>
      </c>
      <c r="T4977">
        <v>-0.63447279999999995</v>
      </c>
      <c r="U4977">
        <v>-0.3766022</v>
      </c>
      <c r="V4977">
        <v>3.3002139999999999E-2</v>
      </c>
      <c r="W4977">
        <v>1.7288129999999999E-2</v>
      </c>
      <c r="X4977">
        <v>0.99930569999999996</v>
      </c>
      <c r="Y4977">
        <v>0.1441672</v>
      </c>
      <c r="Z4977">
        <v>-1.9915499999999999E-2</v>
      </c>
      <c r="AA4977">
        <v>0.98935289999999998</v>
      </c>
      <c r="AB4977">
        <v>27</v>
      </c>
      <c r="AC4977">
        <v>0.57170000000002097</v>
      </c>
      <c r="AD4977">
        <v>-0.17814769999999899</v>
      </c>
      <c r="AE4977">
        <v>-0.11240000000000799</v>
      </c>
      <c r="AF4977">
        <v>0.11503361189588</v>
      </c>
      <c r="AG4977">
        <v>-0.17814769999999899</v>
      </c>
      <c r="AH4977">
        <v>0.52026596509176304</v>
      </c>
      <c r="AI4977">
        <v>108.48692209694001</v>
      </c>
      <c r="AJ4977">
        <v>77.532184890368796</v>
      </c>
      <c r="AK4977">
        <v>0.56182382408898002</v>
      </c>
      <c r="AL4977">
        <v>89.009413718658607</v>
      </c>
      <c r="AM4977">
        <v>88.108490372380103</v>
      </c>
      <c r="AN4977">
        <v>0.99999995136798203</v>
      </c>
    </row>
    <row r="4978" spans="1:40" x14ac:dyDescent="0.25">
      <c r="A4978" t="str">
        <f>"20190312154023640"</f>
        <v>20190312154023640</v>
      </c>
      <c r="B4978" t="str">
        <f>"1552376423630809"</f>
        <v>1552376423630809</v>
      </c>
      <c r="C4978" t="s">
        <v>40</v>
      </c>
      <c r="D4978">
        <v>4.1809710000000004</v>
      </c>
      <c r="E4978">
        <v>0.53772659999999906</v>
      </c>
      <c r="F4978" t="s">
        <v>61</v>
      </c>
      <c r="G4978">
        <v>-213.3305</v>
      </c>
      <c r="H4978" s="1">
        <v>3.2690019999999998E-7</v>
      </c>
      <c r="I4978">
        <v>212.52619999999999</v>
      </c>
      <c r="J4978">
        <v>-233.4503</v>
      </c>
      <c r="K4978">
        <v>1.1100239999999999</v>
      </c>
      <c r="L4978">
        <v>214.70230000000001</v>
      </c>
      <c r="M4978">
        <v>0.99965389999999998</v>
      </c>
      <c r="N4978">
        <v>0</v>
      </c>
      <c r="O4978">
        <v>2.351868E-2</v>
      </c>
      <c r="P4978">
        <v>0.99994709999999998</v>
      </c>
      <c r="Q4978">
        <v>5.6110020000000004E-3</v>
      </c>
      <c r="R4978">
        <v>-8.6314579999999998E-3</v>
      </c>
      <c r="S4978">
        <v>2.9981689999999999</v>
      </c>
      <c r="T4978">
        <v>-0.16213169999999999</v>
      </c>
      <c r="U4978">
        <v>-0.31643680000000002</v>
      </c>
      <c r="V4978">
        <v>3.2147759999999997E-2</v>
      </c>
      <c r="W4978">
        <v>1.7396350000000001E-2</v>
      </c>
      <c r="X4978">
        <v>0.99933170000000004</v>
      </c>
      <c r="Y4978">
        <v>0.12810250000000001</v>
      </c>
      <c r="Z4978">
        <v>-4.7193679999999998E-3</v>
      </c>
      <c r="AA4978">
        <v>0.99174969999999996</v>
      </c>
      <c r="AB4978">
        <v>27</v>
      </c>
      <c r="AC4978">
        <v>20.119800000000001</v>
      </c>
      <c r="AD4978">
        <v>-1.1100236730998001</v>
      </c>
      <c r="AE4978">
        <v>-2.1761000000000101</v>
      </c>
      <c r="AF4978">
        <v>2.6407769434527402</v>
      </c>
      <c r="AG4978">
        <v>-1.1100236730998001</v>
      </c>
      <c r="AH4978">
        <v>20.002870594976699</v>
      </c>
      <c r="AI4978">
        <v>93.149001339436794</v>
      </c>
      <c r="AJ4978">
        <v>82.479309108743493</v>
      </c>
      <c r="AK4978">
        <v>20.206946514980899</v>
      </c>
      <c r="AL4978">
        <v>89.003212264058305</v>
      </c>
      <c r="AM4978">
        <v>88.157472656917903</v>
      </c>
      <c r="AN4978">
        <v>0.999999979045614</v>
      </c>
    </row>
    <row r="4979" spans="1:40" x14ac:dyDescent="0.25">
      <c r="A4979" t="str">
        <f>"20190312154023662"</f>
        <v>20190312154023662</v>
      </c>
      <c r="B4979" t="str">
        <f>"1552376423651095"</f>
        <v>1552376423651095</v>
      </c>
      <c r="C4979" t="s">
        <v>40</v>
      </c>
      <c r="D4979">
        <v>4.1442199999999998</v>
      </c>
      <c r="E4979">
        <v>0.53825900000000004</v>
      </c>
      <c r="F4979" t="s">
        <v>54</v>
      </c>
      <c r="G4979">
        <v>-202.65309999999999</v>
      </c>
      <c r="H4979" s="1">
        <v>3.6769220000000001E-6</v>
      </c>
      <c r="I4979">
        <v>211.37459999999999</v>
      </c>
      <c r="J4979">
        <v>-233.18289999999999</v>
      </c>
      <c r="K4979">
        <v>1.110026</v>
      </c>
      <c r="L4979">
        <v>214.70859999999999</v>
      </c>
      <c r="M4979">
        <v>0.99965029999999999</v>
      </c>
      <c r="N4979">
        <v>0</v>
      </c>
      <c r="O4979">
        <v>2.3525129999999998E-2</v>
      </c>
      <c r="P4979">
        <v>0.99995179999999995</v>
      </c>
      <c r="Q4979">
        <v>5.0970140000000004E-3</v>
      </c>
      <c r="R4979">
        <v>-8.3942770000000003E-3</v>
      </c>
      <c r="S4979">
        <v>2.9979550000000001</v>
      </c>
      <c r="T4979">
        <v>-0.1080551</v>
      </c>
      <c r="U4979">
        <v>-0.32392880000000002</v>
      </c>
      <c r="V4979">
        <v>3.1918179999999997E-2</v>
      </c>
      <c r="W4979">
        <v>1.7167979999999999E-2</v>
      </c>
      <c r="X4979">
        <v>0.99934299999999998</v>
      </c>
      <c r="Y4979">
        <v>0.13068660000000001</v>
      </c>
      <c r="Z4979">
        <v>-3.1930280000000001E-3</v>
      </c>
      <c r="AA4979">
        <v>0.99141860000000004</v>
      </c>
      <c r="AB4979">
        <v>27</v>
      </c>
      <c r="AC4979">
        <v>30.529799999999899</v>
      </c>
      <c r="AD4979">
        <v>-1.110022323078</v>
      </c>
      <c r="AE4979">
        <v>-3.3340000000000001</v>
      </c>
      <c r="AF4979">
        <v>4.04606139953958</v>
      </c>
      <c r="AG4979">
        <v>-1.110022323078</v>
      </c>
      <c r="AH4979">
        <v>30.403193131898799</v>
      </c>
      <c r="AI4979">
        <v>92.072686185484997</v>
      </c>
      <c r="AJ4979">
        <v>82.419610245131295</v>
      </c>
      <c r="AK4979">
        <v>30.691316606201799</v>
      </c>
      <c r="AL4979">
        <v>89.016298847771694</v>
      </c>
      <c r="AM4979">
        <v>88.170642579456498</v>
      </c>
      <c r="AN4979">
        <v>0.99999997070039504</v>
      </c>
    </row>
    <row r="4980" spans="1:40" x14ac:dyDescent="0.25">
      <c r="A4980" t="str">
        <f>"20190312154023684"</f>
        <v>20190312154023684</v>
      </c>
      <c r="B4980" t="str">
        <f>"1552376423671590"</f>
        <v>1552376423671590</v>
      </c>
      <c r="C4980" t="s">
        <v>40</v>
      </c>
      <c r="D4980">
        <v>4.2496700000000001</v>
      </c>
      <c r="E4980">
        <v>0.53880629999999996</v>
      </c>
      <c r="F4980" t="s">
        <v>54</v>
      </c>
      <c r="G4980">
        <v>-199.4187</v>
      </c>
      <c r="H4980" s="1">
        <v>2.6085090000000001E-6</v>
      </c>
      <c r="I4980">
        <v>211.01730000000001</v>
      </c>
      <c r="J4980">
        <v>-232.92670000000001</v>
      </c>
      <c r="K4980">
        <v>1.1100319999999999</v>
      </c>
      <c r="L4980">
        <v>214.71459999999999</v>
      </c>
      <c r="M4980">
        <v>0.99964759999999997</v>
      </c>
      <c r="N4980">
        <v>0</v>
      </c>
      <c r="O4980">
        <v>2.351963E-2</v>
      </c>
      <c r="P4980">
        <v>0.99994550000000004</v>
      </c>
      <c r="Q4980">
        <v>4.8722280000000001E-3</v>
      </c>
      <c r="R4980">
        <v>-9.2413679999999998E-3</v>
      </c>
      <c r="S4980">
        <v>2.9978790000000002</v>
      </c>
      <c r="T4980">
        <v>-9.855759E-2</v>
      </c>
      <c r="U4980">
        <v>-0.32774350000000002</v>
      </c>
      <c r="V4980">
        <v>3.275989E-2</v>
      </c>
      <c r="W4980">
        <v>1.718515E-2</v>
      </c>
      <c r="X4980">
        <v>0.99931550000000002</v>
      </c>
      <c r="Y4980">
        <v>0.1319466</v>
      </c>
      <c r="Z4980">
        <v>-2.932877E-3</v>
      </c>
      <c r="AA4980">
        <v>0.99125249999999998</v>
      </c>
      <c r="AB4980">
        <v>27</v>
      </c>
      <c r="AC4980">
        <v>33.508000000000003</v>
      </c>
      <c r="AD4980">
        <v>-1.110029391491</v>
      </c>
      <c r="AE4980">
        <v>-3.6972999999999798</v>
      </c>
      <c r="AF4980">
        <v>4.4795757153997098</v>
      </c>
      <c r="AG4980">
        <v>-1.110029391491</v>
      </c>
      <c r="AH4980">
        <v>33.375577361574102</v>
      </c>
      <c r="AI4980">
        <v>91.887966012150201</v>
      </c>
      <c r="AJ4980">
        <v>82.355606542115396</v>
      </c>
      <c r="AK4980">
        <v>33.693143635736803</v>
      </c>
      <c r="AL4980">
        <v>89.015314967001004</v>
      </c>
      <c r="AM4980">
        <v>88.122383297210703</v>
      </c>
      <c r="AN4980">
        <v>1.00000000415679</v>
      </c>
    </row>
    <row r="4981" spans="1:40" x14ac:dyDescent="0.25">
      <c r="A4981" t="str">
        <f>"20190312154023707"</f>
        <v>20190312154023707</v>
      </c>
      <c r="B4981" t="str">
        <f>"1552376423700870"</f>
        <v>1552376423700870</v>
      </c>
      <c r="C4981" t="s">
        <v>40</v>
      </c>
      <c r="D4981">
        <v>4.246651</v>
      </c>
      <c r="E4981">
        <v>0.53892680000000004</v>
      </c>
      <c r="F4981" t="s">
        <v>54</v>
      </c>
      <c r="G4981">
        <v>-197.87450000000001</v>
      </c>
      <c r="H4981" s="1">
        <v>2.9014770000000001E-6</v>
      </c>
      <c r="I4981">
        <v>210.79949999999999</v>
      </c>
      <c r="J4981">
        <v>-232.65260000000001</v>
      </c>
      <c r="K4981">
        <v>1.110036</v>
      </c>
      <c r="L4981">
        <v>214.721</v>
      </c>
      <c r="M4981">
        <v>0.99964500000000001</v>
      </c>
      <c r="N4981">
        <v>0</v>
      </c>
      <c r="O4981">
        <v>2.3501729999999998E-2</v>
      </c>
      <c r="P4981">
        <v>0.99994159999999999</v>
      </c>
      <c r="Q4981">
        <v>4.1608610000000001E-3</v>
      </c>
      <c r="R4981">
        <v>-9.9788399999999992E-3</v>
      </c>
      <c r="S4981">
        <v>2.9975429999999998</v>
      </c>
      <c r="T4981">
        <v>-9.4925759999999998E-2</v>
      </c>
      <c r="U4981">
        <v>-0.3348083</v>
      </c>
      <c r="V4981">
        <v>3.347932E-2</v>
      </c>
      <c r="W4981">
        <v>1.670027E-2</v>
      </c>
      <c r="X4981">
        <v>0.99929990000000002</v>
      </c>
      <c r="Y4981">
        <v>0.1342535</v>
      </c>
      <c r="Z4981">
        <v>-2.8606529999999999E-3</v>
      </c>
      <c r="AA4981">
        <v>0.99094289999999996</v>
      </c>
      <c r="AB4981">
        <v>27</v>
      </c>
      <c r="AC4981">
        <v>34.778099999999903</v>
      </c>
      <c r="AD4981">
        <v>-1.110033098523</v>
      </c>
      <c r="AE4981">
        <v>-3.92149999999998</v>
      </c>
      <c r="AF4981">
        <v>4.7330654110159802</v>
      </c>
      <c r="AG4981">
        <v>-1.110033098523</v>
      </c>
      <c r="AH4981">
        <v>34.641476011014099</v>
      </c>
      <c r="AI4981">
        <v>91.818444444066898</v>
      </c>
      <c r="AJ4981">
        <v>82.219850729054698</v>
      </c>
      <c r="AK4981">
        <v>34.98093683546</v>
      </c>
      <c r="AL4981">
        <v>89.043100554886195</v>
      </c>
      <c r="AM4981">
        <v>88.081150087685003</v>
      </c>
      <c r="AN4981">
        <v>1.0000000270128699</v>
      </c>
    </row>
    <row r="4982" spans="1:40" x14ac:dyDescent="0.25">
      <c r="A4982" t="str">
        <f>"20190312154023730"</f>
        <v>20190312154023730</v>
      </c>
      <c r="B4982" t="str">
        <f>"1552376423721367"</f>
        <v>1552376423721367</v>
      </c>
      <c r="C4982" t="s">
        <v>40</v>
      </c>
      <c r="D4982">
        <v>4.2734839999999998</v>
      </c>
      <c r="E4982">
        <v>0.53901489999999996</v>
      </c>
      <c r="F4982" t="s">
        <v>54</v>
      </c>
      <c r="G4982">
        <v>-201.381</v>
      </c>
      <c r="H4982" s="1">
        <v>3.1282040000000001E-6</v>
      </c>
      <c r="I4982">
        <v>211.1985</v>
      </c>
      <c r="J4982">
        <v>-232.3783</v>
      </c>
      <c r="K4982">
        <v>1.110031</v>
      </c>
      <c r="L4982">
        <v>214.72739999999999</v>
      </c>
      <c r="M4982">
        <v>0.99964330000000001</v>
      </c>
      <c r="N4982">
        <v>0</v>
      </c>
      <c r="O4982">
        <v>2.346933E-2</v>
      </c>
      <c r="P4982">
        <v>0.99993659999999995</v>
      </c>
      <c r="Q4982">
        <v>2.5909679999999999E-3</v>
      </c>
      <c r="R4982">
        <v>-1.0963759999999999E-2</v>
      </c>
      <c r="S4982">
        <v>2.9972379999999998</v>
      </c>
      <c r="T4982">
        <v>-0.10639170000000001</v>
      </c>
      <c r="U4982">
        <v>-0.33761600000000003</v>
      </c>
      <c r="V4982">
        <v>3.4431749999999997E-2</v>
      </c>
      <c r="W4982">
        <v>1.532763E-2</v>
      </c>
      <c r="X4982">
        <v>0.99928950000000005</v>
      </c>
      <c r="Y4982">
        <v>0.13512869999999999</v>
      </c>
      <c r="Z4982">
        <v>-3.2204759999999999E-3</v>
      </c>
      <c r="AA4982">
        <v>0.99082289999999995</v>
      </c>
      <c r="AB4982">
        <v>27</v>
      </c>
      <c r="AC4982">
        <v>30.997299999999999</v>
      </c>
      <c r="AD4982">
        <v>-1.1100278717959999</v>
      </c>
      <c r="AE4982">
        <v>-3.5288999999999899</v>
      </c>
      <c r="AF4982">
        <v>4.2500922585789702</v>
      </c>
      <c r="AG4982">
        <v>-1.1100278717959999</v>
      </c>
      <c r="AH4982">
        <v>30.866856113596199</v>
      </c>
      <c r="AI4982">
        <v>92.040338213094998</v>
      </c>
      <c r="AJ4982">
        <v>82.160176095947605</v>
      </c>
      <c r="AK4982">
        <v>31.177848745865202</v>
      </c>
      <c r="AL4982">
        <v>89.121757094311903</v>
      </c>
      <c r="AM4982">
        <v>88.026584097367206</v>
      </c>
      <c r="AN4982">
        <v>0.99999999322986399</v>
      </c>
    </row>
    <row r="4983" spans="1:40" x14ac:dyDescent="0.25">
      <c r="A4983" t="str">
        <f>"20190312154023752"</f>
        <v>20190312154023752</v>
      </c>
      <c r="B4983" t="str">
        <f>"1552376423741394"</f>
        <v>1552376423741394</v>
      </c>
      <c r="C4983" t="s">
        <v>40</v>
      </c>
      <c r="D4983">
        <v>4.3200010000000004</v>
      </c>
      <c r="E4983">
        <v>0.5391553</v>
      </c>
      <c r="F4983" t="s">
        <v>54</v>
      </c>
      <c r="G4983">
        <v>-203.54339999999999</v>
      </c>
      <c r="H4983" s="1">
        <v>4.0656060000000003E-6</v>
      </c>
      <c r="I4983">
        <v>211.44470000000001</v>
      </c>
      <c r="J4983">
        <v>-232.1183</v>
      </c>
      <c r="K4983">
        <v>1.11002</v>
      </c>
      <c r="L4983">
        <v>214.73349999999999</v>
      </c>
      <c r="M4983">
        <v>0.99964229999999998</v>
      </c>
      <c r="N4983">
        <v>0</v>
      </c>
      <c r="O4983">
        <v>2.342344E-2</v>
      </c>
      <c r="P4983">
        <v>0.99993149999999997</v>
      </c>
      <c r="Q4983">
        <v>5.7456550000000003E-4</v>
      </c>
      <c r="R4983">
        <v>-1.1695000000000001E-2</v>
      </c>
      <c r="S4983">
        <v>2.99675</v>
      </c>
      <c r="T4983">
        <v>-0.1153626</v>
      </c>
      <c r="U4983">
        <v>-0.34117130000000001</v>
      </c>
      <c r="V4983">
        <v>3.511715E-2</v>
      </c>
      <c r="W4983">
        <v>1.347341E-2</v>
      </c>
      <c r="X4983">
        <v>0.99929239999999997</v>
      </c>
      <c r="Y4983">
        <v>0.13624359999999999</v>
      </c>
      <c r="Z4983">
        <v>-3.5117960000000002E-3</v>
      </c>
      <c r="AA4983">
        <v>0.99066909999999997</v>
      </c>
      <c r="AB4983">
        <v>27</v>
      </c>
      <c r="AC4983">
        <v>28.5749</v>
      </c>
      <c r="AD4983">
        <v>-1.1100159343939999</v>
      </c>
      <c r="AE4983">
        <v>-3.2887999999999802</v>
      </c>
      <c r="AF4983">
        <v>3.9513910421511</v>
      </c>
      <c r="AG4983">
        <v>-1.1100159343939999</v>
      </c>
      <c r="AH4983">
        <v>28.447651002736301</v>
      </c>
      <c r="AI4983">
        <v>92.213297258559606</v>
      </c>
      <c r="AJ4983">
        <v>82.092188386720494</v>
      </c>
      <c r="AK4983">
        <v>28.7422071893597</v>
      </c>
      <c r="AL4983">
        <v>89.228007131559806</v>
      </c>
      <c r="AM4983">
        <v>87.987339018309498</v>
      </c>
      <c r="AN4983">
        <v>1.00000002384945</v>
      </c>
    </row>
    <row r="4984" spans="1:40" x14ac:dyDescent="0.25">
      <c r="A4984" t="str">
        <f>"20190312154023773"</f>
        <v>20190312154023773</v>
      </c>
      <c r="B4984" t="str">
        <f>"1552376423760915"</f>
        <v>1552376423760915</v>
      </c>
      <c r="C4984" t="s">
        <v>40</v>
      </c>
      <c r="D4984">
        <v>4.3134220000000001</v>
      </c>
      <c r="E4984">
        <v>0.53926240000000003</v>
      </c>
      <c r="F4984" t="s">
        <v>54</v>
      </c>
      <c r="G4984">
        <v>-205.4409</v>
      </c>
      <c r="H4984" s="1">
        <v>4.8874640000000001E-6</v>
      </c>
      <c r="I4984">
        <v>211.66919999999999</v>
      </c>
      <c r="J4984">
        <v>-231.85929999999999</v>
      </c>
      <c r="K4984">
        <v>1.110009</v>
      </c>
      <c r="L4984">
        <v>214.73949999999999</v>
      </c>
      <c r="M4984">
        <v>0.99964200000000003</v>
      </c>
      <c r="N4984">
        <v>0</v>
      </c>
      <c r="O4984">
        <v>2.335978E-2</v>
      </c>
      <c r="P4984">
        <v>0.99992530000000002</v>
      </c>
      <c r="Q4984">
        <v>-4.0950630000000001E-4</v>
      </c>
      <c r="R4984">
        <v>-1.2230090000000001E-2</v>
      </c>
      <c r="S4984">
        <v>2.9962309999999999</v>
      </c>
      <c r="T4984">
        <v>-0.1246699</v>
      </c>
      <c r="U4984">
        <v>-0.34416200000000002</v>
      </c>
      <c r="V4984">
        <v>3.5588649999999999E-2</v>
      </c>
      <c r="W4984">
        <v>1.262948E-2</v>
      </c>
      <c r="X4984">
        <v>0.99928669999999997</v>
      </c>
      <c r="Y4984">
        <v>0.13715550000000001</v>
      </c>
      <c r="Z4984">
        <v>-3.8115919999999999E-3</v>
      </c>
      <c r="AA4984">
        <v>0.99054219999999904</v>
      </c>
      <c r="AB4984">
        <v>27</v>
      </c>
      <c r="AC4984">
        <v>26.418399999999899</v>
      </c>
      <c r="AD4984">
        <v>-1.1100041125360001</v>
      </c>
      <c r="AE4984">
        <v>-3.0703</v>
      </c>
      <c r="AF4984">
        <v>3.6802321829012099</v>
      </c>
      <c r="AG4984">
        <v>-1.1100041125360001</v>
      </c>
      <c r="AH4984">
        <v>26.293662677146699</v>
      </c>
      <c r="AI4984">
        <v>92.394034314717203</v>
      </c>
      <c r="AJ4984">
        <v>82.032271600402495</v>
      </c>
      <c r="AK4984">
        <v>26.5731615550255</v>
      </c>
      <c r="AL4984">
        <v>89.276364847777799</v>
      </c>
      <c r="AM4984">
        <v>87.960327098424997</v>
      </c>
      <c r="AN4984">
        <v>0.999999982285391</v>
      </c>
    </row>
    <row r="4985" spans="1:40" x14ac:dyDescent="0.25">
      <c r="A4985" t="str">
        <f>"20190312154023797"</f>
        <v>20190312154023797</v>
      </c>
      <c r="B4985" t="str">
        <f>"1552376423791169"</f>
        <v>1552376423791169</v>
      </c>
      <c r="C4985" t="s">
        <v>40</v>
      </c>
      <c r="D4985">
        <v>4.3272649999999997</v>
      </c>
      <c r="E4985">
        <v>0.53908540000000005</v>
      </c>
      <c r="F4985" t="s">
        <v>54</v>
      </c>
      <c r="G4985">
        <v>-206.33410000000001</v>
      </c>
      <c r="H4985" s="1">
        <v>5.2731530000000004E-6</v>
      </c>
      <c r="I4985">
        <v>211.78809999999999</v>
      </c>
      <c r="J4985">
        <v>-231.59110000000001</v>
      </c>
      <c r="K4985">
        <v>1.109999</v>
      </c>
      <c r="L4985">
        <v>214.7457</v>
      </c>
      <c r="M4985">
        <v>0.99964240000000004</v>
      </c>
      <c r="N4985">
        <v>0</v>
      </c>
      <c r="O4985">
        <v>2.3269600000000001E-2</v>
      </c>
      <c r="P4985">
        <v>0.99992289999999995</v>
      </c>
      <c r="Q4985">
        <v>2.7078300000000003E-4</v>
      </c>
      <c r="R4985">
        <v>-1.243237E-2</v>
      </c>
      <c r="S4985">
        <v>2.9959410000000002</v>
      </c>
      <c r="T4985">
        <v>-0.13028299999999901</v>
      </c>
      <c r="U4985">
        <v>-0.34642030000000001</v>
      </c>
      <c r="V4985">
        <v>3.5701509999999999E-2</v>
      </c>
      <c r="W4985">
        <v>1.3435259999999999E-2</v>
      </c>
      <c r="X4985">
        <v>0.99927220000000005</v>
      </c>
      <c r="Y4985">
        <v>0.1378007</v>
      </c>
      <c r="Z4985">
        <v>-3.9933290000000003E-3</v>
      </c>
      <c r="AA4985">
        <v>0.99045190000000005</v>
      </c>
      <c r="AB4985">
        <v>27</v>
      </c>
      <c r="AC4985">
        <v>25.257000000000001</v>
      </c>
      <c r="AD4985">
        <v>-1.1099937268469999</v>
      </c>
      <c r="AE4985">
        <v>-2.95760000000001</v>
      </c>
      <c r="AF4985">
        <v>3.5378297105200698</v>
      </c>
      <c r="AG4985">
        <v>-1.1099937268469999</v>
      </c>
      <c r="AH4985">
        <v>25.133445051852199</v>
      </c>
      <c r="AI4985">
        <v>92.504113619733204</v>
      </c>
      <c r="AJ4985">
        <v>81.987583555146699</v>
      </c>
      <c r="AK4985">
        <v>25.405479434735199</v>
      </c>
      <c r="AL4985">
        <v>89.230193157981205</v>
      </c>
      <c r="AM4985">
        <v>87.953834638811202</v>
      </c>
      <c r="AN4985">
        <v>1.0000000168601899</v>
      </c>
    </row>
    <row r="4986" spans="1:40" x14ac:dyDescent="0.25">
      <c r="A4986" t="str">
        <f>"20190312154023819"</f>
        <v>20190312154023819</v>
      </c>
      <c r="B4986" t="str">
        <f>"1552376423810690"</f>
        <v>1552376423810690</v>
      </c>
      <c r="C4986" t="s">
        <v>40</v>
      </c>
      <c r="D4986">
        <v>4.3293169999999996</v>
      </c>
      <c r="E4986">
        <v>0.53905979999999998</v>
      </c>
      <c r="F4986" t="s">
        <v>54</v>
      </c>
      <c r="G4986">
        <v>-205.60339999999999</v>
      </c>
      <c r="H4986" s="1">
        <v>4.9528210000000002E-6</v>
      </c>
      <c r="I4986">
        <v>211.7457</v>
      </c>
      <c r="J4986">
        <v>-231.32069999999999</v>
      </c>
      <c r="K4986">
        <v>1.1099840000000001</v>
      </c>
      <c r="L4986">
        <v>214.75190000000001</v>
      </c>
      <c r="M4986">
        <v>0.99964379999999997</v>
      </c>
      <c r="N4986">
        <v>0</v>
      </c>
      <c r="O4986">
        <v>2.31437E-2</v>
      </c>
      <c r="P4986">
        <v>0.99992119999999995</v>
      </c>
      <c r="Q4986">
        <v>1.3042170000000001E-3</v>
      </c>
      <c r="R4986">
        <v>-1.2491769999999999E-2</v>
      </c>
      <c r="S4986">
        <v>2.9959410000000002</v>
      </c>
      <c r="T4986">
        <v>-0.12796350000000001</v>
      </c>
      <c r="U4986">
        <v>-0.34585569999999999</v>
      </c>
      <c r="V4986">
        <v>3.5636050000000002E-2</v>
      </c>
      <c r="W4986">
        <v>1.45767E-2</v>
      </c>
      <c r="X4986">
        <v>0.99925850000000005</v>
      </c>
      <c r="Y4986">
        <v>0.13749749999999999</v>
      </c>
      <c r="Z4986">
        <v>-3.9105320000000004E-3</v>
      </c>
      <c r="AA4986">
        <v>0.9904944</v>
      </c>
      <c r="AB4986">
        <v>27</v>
      </c>
      <c r="AC4986">
        <v>25.717299999999899</v>
      </c>
      <c r="AD4986">
        <v>-1.1099790471789901</v>
      </c>
      <c r="AE4986">
        <v>-3.0062000000000002</v>
      </c>
      <c r="AF4986">
        <v>3.5940357813630799</v>
      </c>
      <c r="AG4986">
        <v>-1.1099790471789901</v>
      </c>
      <c r="AH4986">
        <v>25.593794825071001</v>
      </c>
      <c r="AI4986">
        <v>92.459209713137298</v>
      </c>
      <c r="AJ4986">
        <v>82.006448804502398</v>
      </c>
      <c r="AK4986">
        <v>25.868735574641502</v>
      </c>
      <c r="AL4986">
        <v>89.164787013776404</v>
      </c>
      <c r="AM4986">
        <v>87.957555197969597</v>
      </c>
      <c r="AN4986">
        <v>0.99999997903237103</v>
      </c>
    </row>
    <row r="4987" spans="1:40" x14ac:dyDescent="0.25">
      <c r="A4987" t="str">
        <f>"20190312154023840"</f>
        <v>20190312154023840</v>
      </c>
      <c r="B4987" t="str">
        <f>"1552376423831186"</f>
        <v>1552376423831186</v>
      </c>
      <c r="C4987" t="s">
        <v>40</v>
      </c>
      <c r="D4987">
        <v>4.3301109999999996</v>
      </c>
      <c r="E4987">
        <v>0.53909759999999995</v>
      </c>
      <c r="F4987" t="s">
        <v>54</v>
      </c>
      <c r="G4987">
        <v>-204.8022</v>
      </c>
      <c r="H4987" s="1">
        <v>4.6022609999999999E-6</v>
      </c>
      <c r="I4987">
        <v>211.69149999999999</v>
      </c>
      <c r="J4987">
        <v>-231.06290000000001</v>
      </c>
      <c r="K4987">
        <v>1.10997099999999</v>
      </c>
      <c r="L4987">
        <v>214.7577</v>
      </c>
      <c r="M4987">
        <v>0.99964629999999999</v>
      </c>
      <c r="N4987">
        <v>0</v>
      </c>
      <c r="O4987">
        <v>2.2984649999999999E-2</v>
      </c>
      <c r="P4987">
        <v>0.99991529999999995</v>
      </c>
      <c r="Q4987">
        <v>1.93998E-3</v>
      </c>
      <c r="R4987">
        <v>-1.288159E-2</v>
      </c>
      <c r="S4987">
        <v>2.9960939999999998</v>
      </c>
      <c r="T4987">
        <v>-0.12540699999999999</v>
      </c>
      <c r="U4987">
        <v>-0.34576420000000002</v>
      </c>
      <c r="V4987">
        <v>3.5867839999999998E-2</v>
      </c>
      <c r="W4987">
        <v>1.530046E-2</v>
      </c>
      <c r="X4987">
        <v>0.9992394</v>
      </c>
      <c r="Y4987">
        <v>0.1373103</v>
      </c>
      <c r="Z4987">
        <v>-3.8217469999999999E-3</v>
      </c>
      <c r="AA4987">
        <v>0.99052070000000003</v>
      </c>
      <c r="AB4987">
        <v>27</v>
      </c>
      <c r="AC4987">
        <v>26.2607</v>
      </c>
      <c r="AD4987">
        <v>-1.10996639773899</v>
      </c>
      <c r="AE4987">
        <v>-3.0661999999999998</v>
      </c>
      <c r="AF4987">
        <v>3.6625815824832402</v>
      </c>
      <c r="AG4987">
        <v>-1.10996639773899</v>
      </c>
      <c r="AH4987">
        <v>26.137212768226401</v>
      </c>
      <c r="AI4987">
        <v>92.408212079882404</v>
      </c>
      <c r="AJ4987">
        <v>82.023140457272106</v>
      </c>
      <c r="AK4987">
        <v>26.415912260302299</v>
      </c>
      <c r="AL4987">
        <v>89.123314002381804</v>
      </c>
      <c r="AM4987">
        <v>87.944242485376705</v>
      </c>
      <c r="AN4987">
        <v>0.99999999226741798</v>
      </c>
    </row>
    <row r="4988" spans="1:40" x14ac:dyDescent="0.25">
      <c r="A4988" t="str">
        <f>"20190312154023863"</f>
        <v>20190312154023863</v>
      </c>
      <c r="B4988" t="str">
        <f>"1552376423851682"</f>
        <v>1552376423851682</v>
      </c>
      <c r="C4988" t="s">
        <v>40</v>
      </c>
      <c r="D4988">
        <v>4.3418599999999996</v>
      </c>
      <c r="E4988">
        <v>0.53913559999999905</v>
      </c>
      <c r="F4988" t="s">
        <v>54</v>
      </c>
      <c r="G4988">
        <v>-204.4307</v>
      </c>
      <c r="H4988" s="1">
        <v>4.4393339999999997E-6</v>
      </c>
      <c r="I4988">
        <v>211.67070000000001</v>
      </c>
      <c r="J4988">
        <v>-230.79910000000001</v>
      </c>
      <c r="K4988">
        <v>1.1099619999999999</v>
      </c>
      <c r="L4988">
        <v>214.76349999999999</v>
      </c>
      <c r="M4988">
        <v>0.99964980000000003</v>
      </c>
      <c r="N4988">
        <v>0</v>
      </c>
      <c r="O4988">
        <v>2.2788599999999999E-2</v>
      </c>
      <c r="P4988">
        <v>0.99990089999999998</v>
      </c>
      <c r="Q4988">
        <v>2.1243970000000001E-3</v>
      </c>
      <c r="R4988">
        <v>-1.391999E-2</v>
      </c>
      <c r="S4988">
        <v>2.9960170000000002</v>
      </c>
      <c r="T4988">
        <v>-0.1248668</v>
      </c>
      <c r="U4988">
        <v>-0.34727479999999999</v>
      </c>
      <c r="V4988">
        <v>3.6710649999999997E-2</v>
      </c>
      <c r="W4988">
        <v>1.5561729999999999E-2</v>
      </c>
      <c r="X4988">
        <v>0.9992048</v>
      </c>
      <c r="Y4988">
        <v>0.13761289999999901</v>
      </c>
      <c r="Z4988">
        <v>-3.8034269999999998E-3</v>
      </c>
      <c r="AA4988">
        <v>0.99047879999999999</v>
      </c>
      <c r="AB4988">
        <v>26</v>
      </c>
      <c r="AC4988">
        <v>26.368400000000001</v>
      </c>
      <c r="AD4988">
        <v>-1.1099575606659999</v>
      </c>
      <c r="AE4988">
        <v>-3.09279999999998</v>
      </c>
      <c r="AF4988">
        <v>3.6865064054464698</v>
      </c>
      <c r="AG4988">
        <v>-1.1099575606659999</v>
      </c>
      <c r="AH4988">
        <v>26.245190693058699</v>
      </c>
      <c r="AI4988">
        <v>92.3981863042101</v>
      </c>
      <c r="AJ4988">
        <v>82.004312927848105</v>
      </c>
      <c r="AK4988">
        <v>26.526069625538</v>
      </c>
      <c r="AL4988">
        <v>89.108342590135194</v>
      </c>
      <c r="AM4988">
        <v>87.895907138031006</v>
      </c>
      <c r="AN4988">
        <v>1.0000000358035199</v>
      </c>
    </row>
    <row r="4989" spans="1:40" x14ac:dyDescent="0.25">
      <c r="A4989" t="str">
        <f>"20190312154023885"</f>
        <v>20190312154023885</v>
      </c>
      <c r="B4989" t="str">
        <f>"1552376423880963"</f>
        <v>1552376423880963</v>
      </c>
      <c r="C4989" t="s">
        <v>40</v>
      </c>
      <c r="D4989">
        <v>4.3355050000000004</v>
      </c>
      <c r="E4989">
        <v>0.53918619999999995</v>
      </c>
      <c r="F4989" t="s">
        <v>54</v>
      </c>
      <c r="G4989">
        <v>-204.0352</v>
      </c>
      <c r="H4989" s="1">
        <v>4.2674860000000003E-6</v>
      </c>
      <c r="I4989">
        <v>211.6301</v>
      </c>
      <c r="J4989">
        <v>-230.53739999999999</v>
      </c>
      <c r="K4989">
        <v>1.10995</v>
      </c>
      <c r="L4989">
        <v>214.76929999999999</v>
      </c>
      <c r="M4989">
        <v>0.99965409999999999</v>
      </c>
      <c r="N4989">
        <v>0</v>
      </c>
      <c r="O4989">
        <v>2.2557049999999999E-2</v>
      </c>
      <c r="P4989">
        <v>0.99987919999999997</v>
      </c>
      <c r="Q4989">
        <v>1.9135700000000001E-3</v>
      </c>
      <c r="R4989">
        <v>-1.54272E-2</v>
      </c>
      <c r="S4989">
        <v>2.995682</v>
      </c>
      <c r="T4989">
        <v>-0.1242375</v>
      </c>
      <c r="U4989">
        <v>-0.35072330000000002</v>
      </c>
      <c r="V4989">
        <v>3.798646E-2</v>
      </c>
      <c r="W4989">
        <v>1.541584E-2</v>
      </c>
      <c r="X4989">
        <v>0.99915929999999997</v>
      </c>
      <c r="Y4989">
        <v>0.1385219</v>
      </c>
      <c r="Z4989">
        <v>-3.7936519999999998E-3</v>
      </c>
      <c r="AA4989">
        <v>0.99035209999999996</v>
      </c>
      <c r="AB4989">
        <v>26</v>
      </c>
      <c r="AC4989">
        <v>26.502199999999899</v>
      </c>
      <c r="AD4989">
        <v>-1.1099457325139901</v>
      </c>
      <c r="AE4989">
        <v>-3.1391999999999798</v>
      </c>
      <c r="AF4989">
        <v>3.7298154968800401</v>
      </c>
      <c r="AG4989">
        <v>-1.1099457325139901</v>
      </c>
      <c r="AH4989">
        <v>26.3790082678488</v>
      </c>
      <c r="AI4989">
        <v>92.385703283071393</v>
      </c>
      <c r="AJ4989">
        <v>81.952108020105399</v>
      </c>
      <c r="AK4989">
        <v>26.664500377189299</v>
      </c>
      <c r="AL4989">
        <v>89.116702409661499</v>
      </c>
      <c r="AM4989">
        <v>87.822753464306501</v>
      </c>
      <c r="AN4989">
        <v>0.99999996302136196</v>
      </c>
    </row>
    <row r="4990" spans="1:40" x14ac:dyDescent="0.25">
      <c r="A4990" t="str">
        <f>"20190312154023909"</f>
        <v>20190312154023909</v>
      </c>
      <c r="B4990" t="str">
        <f>"1552376423901461"</f>
        <v>1552376423901461</v>
      </c>
      <c r="C4990" t="s">
        <v>40</v>
      </c>
      <c r="D4990">
        <v>4.3039050000000003</v>
      </c>
      <c r="E4990">
        <v>0.53923619999999906</v>
      </c>
      <c r="F4990" t="s">
        <v>54</v>
      </c>
      <c r="G4990">
        <v>-203.9676</v>
      </c>
      <c r="H4990" s="1">
        <v>4.2389740000000001E-6</v>
      </c>
      <c r="I4990">
        <v>211.61359999999999</v>
      </c>
      <c r="J4990">
        <v>-230.2551</v>
      </c>
      <c r="K4990">
        <v>1.1099460000000001</v>
      </c>
      <c r="L4990">
        <v>214.77529999999999</v>
      </c>
      <c r="M4990">
        <v>0.99965979999999999</v>
      </c>
      <c r="N4990">
        <v>0</v>
      </c>
      <c r="O4990">
        <v>2.2261429999999999E-2</v>
      </c>
      <c r="P4990">
        <v>0.99985939999999995</v>
      </c>
      <c r="Q4990">
        <v>2.3268490000000002E-3</v>
      </c>
      <c r="R4990">
        <v>-1.6608990000000001E-2</v>
      </c>
      <c r="S4990">
        <v>2.995117</v>
      </c>
      <c r="T4990">
        <v>-0.12512000000000001</v>
      </c>
      <c r="U4990">
        <v>-0.35572809999999999</v>
      </c>
      <c r="V4990">
        <v>3.8873199999999997E-2</v>
      </c>
      <c r="W4990">
        <v>1.5888320000000001E-2</v>
      </c>
      <c r="X4990">
        <v>0.9991179</v>
      </c>
      <c r="Y4990">
        <v>0.139879799999999</v>
      </c>
      <c r="Z4990">
        <v>-3.83687E-3</v>
      </c>
      <c r="AA4990">
        <v>0.99016110000000002</v>
      </c>
      <c r="AB4990">
        <v>26</v>
      </c>
      <c r="AC4990">
        <v>26.287499999999898</v>
      </c>
      <c r="AD4990">
        <v>-1.1099417610259901</v>
      </c>
      <c r="AE4990">
        <v>-3.16169999999999</v>
      </c>
      <c r="AF4990">
        <v>3.7395958581305502</v>
      </c>
      <c r="AG4990">
        <v>-1.1099417610259901</v>
      </c>
      <c r="AH4990">
        <v>26.164612828193501</v>
      </c>
      <c r="AI4990">
        <v>92.404707585867598</v>
      </c>
      <c r="AJ4990">
        <v>81.8660476625478</v>
      </c>
      <c r="AK4990">
        <v>26.453799582371602</v>
      </c>
      <c r="AL4990">
        <v>89.089628080383605</v>
      </c>
      <c r="AM4990">
        <v>87.771887142772997</v>
      </c>
      <c r="AN4990">
        <v>1.0000000712455299</v>
      </c>
    </row>
    <row r="4991" spans="1:40" x14ac:dyDescent="0.25">
      <c r="A4991" t="str">
        <f>"20190312154023931"</f>
        <v>20190312154023931</v>
      </c>
      <c r="B4991" t="str">
        <f>"1552376423920978"</f>
        <v>1552376423920978</v>
      </c>
      <c r="C4991" t="s">
        <v>40</v>
      </c>
      <c r="D4991">
        <v>4.3714779999999998</v>
      </c>
      <c r="E4991">
        <v>0.53938249999999999</v>
      </c>
      <c r="F4991" t="s">
        <v>54</v>
      </c>
      <c r="G4991">
        <v>-203.3357</v>
      </c>
      <c r="H4991" s="1">
        <v>3.9649540000000002E-6</v>
      </c>
      <c r="I4991">
        <v>211.54249999999999</v>
      </c>
      <c r="J4991">
        <v>-229.9957</v>
      </c>
      <c r="K4991">
        <v>1.109928</v>
      </c>
      <c r="L4991">
        <v>214.7808</v>
      </c>
      <c r="M4991">
        <v>0.99966630000000001</v>
      </c>
      <c r="N4991">
        <v>0</v>
      </c>
      <c r="O4991">
        <v>2.1944959999999999E-2</v>
      </c>
      <c r="P4991">
        <v>0.99983449999999996</v>
      </c>
      <c r="Q4991">
        <v>3.663899E-3</v>
      </c>
      <c r="R4991">
        <v>-1.7824550000000002E-2</v>
      </c>
      <c r="S4991">
        <v>2.9947509999999999</v>
      </c>
      <c r="T4991">
        <v>-0.1234797</v>
      </c>
      <c r="U4991">
        <v>-0.35964970000000002</v>
      </c>
      <c r="V4991">
        <v>3.9773669999999997E-2</v>
      </c>
      <c r="W4991">
        <v>1.7270959999999998E-2</v>
      </c>
      <c r="X4991">
        <v>0.99905940000000004</v>
      </c>
      <c r="Y4991">
        <v>0.14086179999999901</v>
      </c>
      <c r="Z4991">
        <v>-3.7939409999999999E-3</v>
      </c>
      <c r="AA4991">
        <v>0.99002199999999996</v>
      </c>
      <c r="AB4991">
        <v>26</v>
      </c>
      <c r="AC4991">
        <v>26.66</v>
      </c>
      <c r="AD4991">
        <v>-1.109924035046</v>
      </c>
      <c r="AE4991">
        <v>-3.2383000000000002</v>
      </c>
      <c r="AF4991">
        <v>3.81610879754655</v>
      </c>
      <c r="AG4991">
        <v>-1.109924035046</v>
      </c>
      <c r="AH4991">
        <v>26.53718025965</v>
      </c>
      <c r="AI4991">
        <v>92.370656168879904</v>
      </c>
      <c r="AJ4991">
        <v>81.816831613035504</v>
      </c>
      <c r="AK4991">
        <v>26.8331241910338</v>
      </c>
      <c r="AL4991">
        <v>89.010397640513901</v>
      </c>
      <c r="AM4991">
        <v>87.720194987585202</v>
      </c>
      <c r="AN4991">
        <v>0.99999995780647399</v>
      </c>
    </row>
    <row r="4992" spans="1:40" x14ac:dyDescent="0.25">
      <c r="A4992" t="str">
        <f>"20190312154023954"</f>
        <v>20190312154023954</v>
      </c>
      <c r="B4992" t="str">
        <f>"1552376423950764"</f>
        <v>1552376423950764</v>
      </c>
      <c r="C4992" t="s">
        <v>40</v>
      </c>
      <c r="D4992">
        <v>4.477595</v>
      </c>
      <c r="E4992">
        <v>0.53964650000000003</v>
      </c>
      <c r="F4992" t="s">
        <v>54</v>
      </c>
      <c r="G4992">
        <v>-202.09129999999999</v>
      </c>
      <c r="H4992" s="1">
        <v>3.4268500000000001E-6</v>
      </c>
      <c r="I4992">
        <v>211.3852</v>
      </c>
      <c r="J4992">
        <v>-229.7236</v>
      </c>
      <c r="K4992">
        <v>1.1099060000000001</v>
      </c>
      <c r="L4992">
        <v>214.78630000000001</v>
      </c>
      <c r="M4992">
        <v>0.9996737</v>
      </c>
      <c r="N4992">
        <v>0</v>
      </c>
      <c r="O4992">
        <v>2.1564699999999999E-2</v>
      </c>
      <c r="P4992">
        <v>0.99981989999999998</v>
      </c>
      <c r="Q4992">
        <v>5.0077280000000004E-3</v>
      </c>
      <c r="R4992">
        <v>-1.829573E-2</v>
      </c>
      <c r="S4992">
        <v>2.9944310000000001</v>
      </c>
      <c r="T4992">
        <v>-0.1191064</v>
      </c>
      <c r="U4992">
        <v>-0.36437989999999998</v>
      </c>
      <c r="V4992">
        <v>3.9866949999999998E-2</v>
      </c>
      <c r="W4992">
        <v>1.8655000000000001E-2</v>
      </c>
      <c r="X4992">
        <v>0.9990308</v>
      </c>
      <c r="Y4992">
        <v>0.14204800000000001</v>
      </c>
      <c r="Z4992">
        <v>-3.668148E-3</v>
      </c>
      <c r="AA4992">
        <v>0.98985299999999998</v>
      </c>
      <c r="AB4992">
        <v>26</v>
      </c>
      <c r="AC4992">
        <v>27.632300000000001</v>
      </c>
      <c r="AD4992">
        <v>-1.1099025731500001</v>
      </c>
      <c r="AE4992">
        <v>-3.4011000000000098</v>
      </c>
      <c r="AF4992">
        <v>3.98990590864517</v>
      </c>
      <c r="AG4992">
        <v>-1.1099025731500001</v>
      </c>
      <c r="AH4992">
        <v>27.508802754183399</v>
      </c>
      <c r="AI4992">
        <v>92.286569643148098</v>
      </c>
      <c r="AJ4992">
        <v>81.7473086683503</v>
      </c>
      <c r="AK4992">
        <v>27.8187969159397</v>
      </c>
      <c r="AL4992">
        <v>88.931085186752597</v>
      </c>
      <c r="AM4992">
        <v>87.714788541334002</v>
      </c>
      <c r="AN4992">
        <v>0.99999996103796995</v>
      </c>
    </row>
    <row r="4993" spans="1:40" x14ac:dyDescent="0.25">
      <c r="A4993" t="str">
        <f>"20190312154023976"</f>
        <v>20190312154023976</v>
      </c>
      <c r="B4993" t="str">
        <f>"1552376423971261"</f>
        <v>1552376423971261</v>
      </c>
      <c r="C4993" t="s">
        <v>40</v>
      </c>
      <c r="D4993">
        <v>4.2379449999999999</v>
      </c>
      <c r="E4993">
        <v>0.53981389999999996</v>
      </c>
      <c r="F4993" t="s">
        <v>54</v>
      </c>
      <c r="G4993">
        <v>-200.50399999999999</v>
      </c>
      <c r="H4993" s="1">
        <v>2.7394279999999999E-6</v>
      </c>
      <c r="I4993">
        <v>211.19669999999999</v>
      </c>
      <c r="J4993">
        <v>-229.4726</v>
      </c>
      <c r="K4993">
        <v>1.109877</v>
      </c>
      <c r="L4993">
        <v>214.79140000000001</v>
      </c>
      <c r="M4993">
        <v>0.99968190000000001</v>
      </c>
      <c r="N4993">
        <v>0</v>
      </c>
      <c r="O4993">
        <v>2.1165260000000002E-2</v>
      </c>
      <c r="P4993">
        <v>0.99980349999999996</v>
      </c>
      <c r="Q4993">
        <v>5.4221310000000002E-3</v>
      </c>
      <c r="R4993">
        <v>-1.9074669999999998E-2</v>
      </c>
      <c r="S4993">
        <v>2.9944000000000002</v>
      </c>
      <c r="T4993">
        <v>-0.1137418</v>
      </c>
      <c r="U4993">
        <v>-0.36785889999999999</v>
      </c>
      <c r="V4993">
        <v>4.02478E-2</v>
      </c>
      <c r="W4993">
        <v>1.9100760000000001E-2</v>
      </c>
      <c r="X4993">
        <v>0.99900719999999998</v>
      </c>
      <c r="Y4993">
        <v>0.1427977</v>
      </c>
      <c r="Z4993">
        <v>-3.5019069999999998E-3</v>
      </c>
      <c r="AA4993">
        <v>0.98974569999999995</v>
      </c>
      <c r="AB4993">
        <v>26</v>
      </c>
      <c r="AC4993">
        <v>28.968599999999899</v>
      </c>
      <c r="AD4993">
        <v>-1.109874260572</v>
      </c>
      <c r="AE4993">
        <v>-3.5947000000000102</v>
      </c>
      <c r="AF4993">
        <v>4.2010071476442601</v>
      </c>
      <c r="AG4993">
        <v>-1.109874260572</v>
      </c>
      <c r="AH4993">
        <v>28.844321507491799</v>
      </c>
      <c r="AI4993">
        <v>92.180561463073403</v>
      </c>
      <c r="AJ4993">
        <v>81.713468104822795</v>
      </c>
      <c r="AK4993">
        <v>29.169764571494099</v>
      </c>
      <c r="AL4993">
        <v>88.905540569621493</v>
      </c>
      <c r="AM4993">
        <v>87.692926893209901</v>
      </c>
      <c r="AN4993">
        <v>1.00000005504462</v>
      </c>
    </row>
    <row r="4994" spans="1:40" x14ac:dyDescent="0.25">
      <c r="A4994" t="str">
        <f>"20190312154023998"</f>
        <v>20190312154023998</v>
      </c>
      <c r="B4994" t="str">
        <f>"1552376423990781"</f>
        <v>1552376423990781</v>
      </c>
      <c r="C4994" t="s">
        <v>40</v>
      </c>
      <c r="D4994">
        <v>4.2456709999999998</v>
      </c>
      <c r="E4994">
        <v>0.53996239999999995</v>
      </c>
      <c r="F4994" t="s">
        <v>54</v>
      </c>
      <c r="G4994">
        <v>-199.69669999999999</v>
      </c>
      <c r="H4994" s="1">
        <v>2.5524240000000001E-6</v>
      </c>
      <c r="I4994">
        <v>211.09479999999999</v>
      </c>
      <c r="J4994">
        <v>-229.2139</v>
      </c>
      <c r="K4994">
        <v>1.109845</v>
      </c>
      <c r="L4994">
        <v>214.7963</v>
      </c>
      <c r="M4994">
        <v>0.9996912</v>
      </c>
      <c r="N4994">
        <v>0</v>
      </c>
      <c r="O4994">
        <v>2.0701779999999999E-2</v>
      </c>
      <c r="P4994">
        <v>0.99980049999999998</v>
      </c>
      <c r="Q4994">
        <v>5.0560659999999997E-3</v>
      </c>
      <c r="R4994">
        <v>-1.9327509999999999E-2</v>
      </c>
      <c r="S4994">
        <v>2.99411</v>
      </c>
      <c r="T4994">
        <v>-0.11160340000000001</v>
      </c>
      <c r="U4994">
        <v>-0.37170409999999998</v>
      </c>
      <c r="V4994">
        <v>4.0038980000000002E-2</v>
      </c>
      <c r="W4994">
        <v>1.876179E-2</v>
      </c>
      <c r="X4994">
        <v>0.99902190000000002</v>
      </c>
      <c r="Y4994">
        <v>0.1436065</v>
      </c>
      <c r="Z4994">
        <v>-3.433976E-3</v>
      </c>
      <c r="AA4994">
        <v>0.98962890000000003</v>
      </c>
      <c r="AB4994">
        <v>26</v>
      </c>
      <c r="AC4994">
        <v>29.517199999999999</v>
      </c>
      <c r="AD4994">
        <v>-1.109842447576</v>
      </c>
      <c r="AE4994">
        <v>-3.7014999999999998</v>
      </c>
      <c r="AF4994">
        <v>4.3058297984810601</v>
      </c>
      <c r="AG4994">
        <v>-1.109842447576</v>
      </c>
      <c r="AH4994">
        <v>29.393326811846499</v>
      </c>
      <c r="AI4994">
        <v>92.139551515172897</v>
      </c>
      <c r="AJ4994">
        <v>81.6660151823625</v>
      </c>
      <c r="AK4994">
        <v>29.727757762400199</v>
      </c>
      <c r="AL4994">
        <v>88.924965477279102</v>
      </c>
      <c r="AM4994">
        <v>87.704917716067399</v>
      </c>
      <c r="AN4994">
        <v>0.99999994068152498</v>
      </c>
    </row>
    <row r="4995" spans="1:40" x14ac:dyDescent="0.25">
      <c r="A4995" t="str">
        <f>"20190312154024020"</f>
        <v>20190312154024020</v>
      </c>
      <c r="B4995" t="str">
        <f>"1552376424011277"</f>
        <v>1552376424011277</v>
      </c>
      <c r="C4995" t="s">
        <v>40</v>
      </c>
      <c r="D4995">
        <v>4.2514139999999996</v>
      </c>
      <c r="E4995">
        <v>0.54004479999999999</v>
      </c>
      <c r="F4995" t="s">
        <v>54</v>
      </c>
      <c r="G4995">
        <v>-199.45840000000001</v>
      </c>
      <c r="H4995" s="1">
        <v>2.595686E-6</v>
      </c>
      <c r="I4995">
        <v>211.08349999999999</v>
      </c>
      <c r="J4995">
        <v>-228.95500000000001</v>
      </c>
      <c r="K4995">
        <v>1.10981</v>
      </c>
      <c r="L4995">
        <v>214.80119999999999</v>
      </c>
      <c r="M4995">
        <v>0.99970139999999996</v>
      </c>
      <c r="N4995">
        <v>0</v>
      </c>
      <c r="O4995">
        <v>2.0179679999999998E-2</v>
      </c>
      <c r="P4995">
        <v>0.99979260000000003</v>
      </c>
      <c r="Q4995">
        <v>5.1156439999999999E-3</v>
      </c>
      <c r="R4995">
        <v>-1.970964E-2</v>
      </c>
      <c r="S4995">
        <v>2.9939269999999998</v>
      </c>
      <c r="T4995">
        <v>-0.1116698</v>
      </c>
      <c r="U4995">
        <v>-0.37358089999999999</v>
      </c>
      <c r="V4995">
        <v>3.9900900000000003E-2</v>
      </c>
      <c r="W4995">
        <v>1.8843789999999999E-2</v>
      </c>
      <c r="X4995">
        <v>0.99902590000000002</v>
      </c>
      <c r="Y4995">
        <v>0.14370820000000001</v>
      </c>
      <c r="Z4995">
        <v>-3.4185800000000001E-3</v>
      </c>
      <c r="AA4995">
        <v>0.9896142</v>
      </c>
      <c r="AB4995">
        <v>26</v>
      </c>
      <c r="AC4995">
        <v>29.496600000000001</v>
      </c>
      <c r="AD4995">
        <v>-1.109807404314</v>
      </c>
      <c r="AE4995">
        <v>-3.7176999999999998</v>
      </c>
      <c r="AF4995">
        <v>4.3062305653208002</v>
      </c>
      <c r="AG4995">
        <v>-1.109807404314</v>
      </c>
      <c r="AH4995">
        <v>29.3746298303465</v>
      </c>
      <c r="AI4995">
        <v>92.140811741927905</v>
      </c>
      <c r="AJ4995">
        <v>81.660019908100494</v>
      </c>
      <c r="AK4995">
        <v>29.7093280271745</v>
      </c>
      <c r="AL4995">
        <v>88.920266412719201</v>
      </c>
      <c r="AM4995">
        <v>87.712833354781296</v>
      </c>
      <c r="AN4995">
        <v>0.99999995955659104</v>
      </c>
    </row>
    <row r="4996" spans="1:40" x14ac:dyDescent="0.25">
      <c r="A4996" t="str">
        <f>"20190312154024042"</f>
        <v>20190312154024042</v>
      </c>
      <c r="B4996" t="str">
        <f>"1552376424030797"</f>
        <v>1552376424030797</v>
      </c>
      <c r="C4996" t="s">
        <v>40</v>
      </c>
      <c r="D4996">
        <v>4.2034330000000004</v>
      </c>
      <c r="E4996">
        <v>0.54017230000000005</v>
      </c>
      <c r="F4996" t="s">
        <v>54</v>
      </c>
      <c r="G4996">
        <v>-199.12020000000001</v>
      </c>
      <c r="H4996" s="1">
        <v>2.6577399999999998E-6</v>
      </c>
      <c r="I4996">
        <v>211.0599</v>
      </c>
      <c r="J4996">
        <v>-228.70230000000001</v>
      </c>
      <c r="K4996">
        <v>1.1097889999999999</v>
      </c>
      <c r="L4996">
        <v>214.8057</v>
      </c>
      <c r="M4996">
        <v>0.99971220000000005</v>
      </c>
      <c r="N4996">
        <v>0</v>
      </c>
      <c r="O4996">
        <v>1.9626520000000001E-2</v>
      </c>
      <c r="P4996">
        <v>0.99978809999999996</v>
      </c>
      <c r="Q4996">
        <v>5.3158779999999996E-3</v>
      </c>
      <c r="R4996">
        <v>-1.9889730000000001E-2</v>
      </c>
      <c r="S4996">
        <v>2.9937740000000002</v>
      </c>
      <c r="T4996">
        <v>-0.11136359999999999</v>
      </c>
      <c r="U4996">
        <v>-0.37541200000000002</v>
      </c>
      <c r="V4996">
        <v>3.9529670000000003E-2</v>
      </c>
      <c r="W4996">
        <v>1.9064049999999999E-2</v>
      </c>
      <c r="X4996">
        <v>0.99903649999999999</v>
      </c>
      <c r="Y4996">
        <v>0.14376369999999999</v>
      </c>
      <c r="Z4996">
        <v>-3.3897850000000002E-3</v>
      </c>
      <c r="AA4996">
        <v>0.98960630000000005</v>
      </c>
      <c r="AB4996">
        <v>26</v>
      </c>
      <c r="AC4996">
        <v>29.582100000000001</v>
      </c>
      <c r="AD4996">
        <v>-1.1097863422599901</v>
      </c>
      <c r="AE4996">
        <v>-3.7458</v>
      </c>
      <c r="AF4996">
        <v>4.3197435736239296</v>
      </c>
      <c r="AG4996">
        <v>-1.1097863422599901</v>
      </c>
      <c r="AH4996">
        <v>29.4620659622984</v>
      </c>
      <c r="AI4996">
        <v>92.134416535128906</v>
      </c>
      <c r="AJ4996">
        <v>81.658696494210801</v>
      </c>
      <c r="AK4996">
        <v>29.7977371797617</v>
      </c>
      <c r="AL4996">
        <v>88.907644199267395</v>
      </c>
      <c r="AM4996">
        <v>87.7341144284823</v>
      </c>
      <c r="AN4996">
        <v>0.99999998057247996</v>
      </c>
    </row>
    <row r="4997" spans="1:40" x14ac:dyDescent="0.25">
      <c r="A4997" t="str">
        <f>"20190312154024064"</f>
        <v>20190312154024064</v>
      </c>
      <c r="B4997" t="str">
        <f>"1552376424050826"</f>
        <v>1552376424050826</v>
      </c>
      <c r="C4997" t="s">
        <v>40</v>
      </c>
      <c r="D4997">
        <v>4.1921339999999896</v>
      </c>
      <c r="E4997">
        <v>0.54025310000000004</v>
      </c>
      <c r="F4997" t="s">
        <v>54</v>
      </c>
      <c r="G4997">
        <v>-198.7903</v>
      </c>
      <c r="H4997" s="1">
        <v>2.718099E-6</v>
      </c>
      <c r="I4997">
        <v>211.03880000000001</v>
      </c>
      <c r="J4997">
        <v>-228.43639999999999</v>
      </c>
      <c r="K4997">
        <v>1.1097669999999999</v>
      </c>
      <c r="L4997">
        <v>214.81020000000001</v>
      </c>
      <c r="M4997">
        <v>0.9997241</v>
      </c>
      <c r="N4997">
        <v>0</v>
      </c>
      <c r="O4997">
        <v>1.8996570000000001E-2</v>
      </c>
      <c r="P4997">
        <v>0.99978160000000005</v>
      </c>
      <c r="Q4997">
        <v>5.7682069999999896E-3</v>
      </c>
      <c r="R4997">
        <v>-2.0093420000000001E-2</v>
      </c>
      <c r="S4997">
        <v>2.9937290000000001</v>
      </c>
      <c r="T4997">
        <v>-0.1110725</v>
      </c>
      <c r="U4997">
        <v>-0.37699890000000003</v>
      </c>
      <c r="V4997">
        <v>3.9105649999999999E-2</v>
      </c>
      <c r="W4997">
        <v>1.953365E-2</v>
      </c>
      <c r="X4997">
        <v>0.99904409999999999</v>
      </c>
      <c r="Y4997">
        <v>0.1436595</v>
      </c>
      <c r="Z4997">
        <v>-3.3556620000000001E-3</v>
      </c>
      <c r="AA4997">
        <v>0.98962150000000004</v>
      </c>
      <c r="AB4997">
        <v>26</v>
      </c>
      <c r="AC4997">
        <v>29.646099999999901</v>
      </c>
      <c r="AD4997">
        <v>-1.1097642819009901</v>
      </c>
      <c r="AE4997">
        <v>-3.7713999999999999</v>
      </c>
      <c r="AF4997">
        <v>4.3279791348555996</v>
      </c>
      <c r="AG4997">
        <v>-1.1097642819009901</v>
      </c>
      <c r="AH4997">
        <v>29.528380108287099</v>
      </c>
      <c r="AI4997">
        <v>92.129600618203298</v>
      </c>
      <c r="AJ4997">
        <v>81.661521974302104</v>
      </c>
      <c r="AK4997">
        <v>29.864497517497501</v>
      </c>
      <c r="AL4997">
        <v>88.880733070566393</v>
      </c>
      <c r="AM4997">
        <v>87.758411843086606</v>
      </c>
      <c r="AN4997">
        <v>0.999999964544526</v>
      </c>
    </row>
    <row r="4998" spans="1:40" x14ac:dyDescent="0.25">
      <c r="A4998" t="str">
        <f>"20190312154024086"</f>
        <v>20190312154024086</v>
      </c>
      <c r="B4998" t="str">
        <f>"1552376424081082"</f>
        <v>1552376424081082</v>
      </c>
      <c r="C4998" t="s">
        <v>40</v>
      </c>
      <c r="D4998">
        <v>4.1531409999999997</v>
      </c>
      <c r="E4998">
        <v>0.54055759999999997</v>
      </c>
      <c r="F4998" t="s">
        <v>54</v>
      </c>
      <c r="G4998">
        <v>-198.04589999999999</v>
      </c>
      <c r="H4998" s="1">
        <v>2.8563129999999998E-6</v>
      </c>
      <c r="I4998">
        <v>210.9682</v>
      </c>
      <c r="J4998">
        <v>-228.17359999999999</v>
      </c>
      <c r="K4998">
        <v>1.1097410000000001</v>
      </c>
      <c r="L4998">
        <v>214.81450000000001</v>
      </c>
      <c r="M4998">
        <v>0.99973650000000003</v>
      </c>
      <c r="N4998">
        <v>0</v>
      </c>
      <c r="O4998">
        <v>1.8322720000000001E-2</v>
      </c>
      <c r="P4998">
        <v>0.99977660000000002</v>
      </c>
      <c r="Q4998">
        <v>5.616968E-3</v>
      </c>
      <c r="R4998">
        <v>-2.0380189999999999E-2</v>
      </c>
      <c r="S4998">
        <v>2.993668</v>
      </c>
      <c r="T4998">
        <v>-0.1093194</v>
      </c>
      <c r="U4998">
        <v>-0.37846370000000001</v>
      </c>
      <c r="V4998">
        <v>3.8720190000000002E-2</v>
      </c>
      <c r="W4998">
        <v>1.9396340000000001E-2</v>
      </c>
      <c r="X4998">
        <v>0.9990618</v>
      </c>
      <c r="Y4998">
        <v>0.14347570000000001</v>
      </c>
      <c r="Z4998">
        <v>-3.2748450000000002E-3</v>
      </c>
      <c r="AA4998">
        <v>0.98964839999999998</v>
      </c>
      <c r="AB4998">
        <v>26</v>
      </c>
      <c r="AC4998">
        <v>30.127700000000001</v>
      </c>
      <c r="AD4998">
        <v>-1.109738143687</v>
      </c>
      <c r="AE4998">
        <v>-3.84630000000001</v>
      </c>
      <c r="AF4998">
        <v>4.3918651463637497</v>
      </c>
      <c r="AG4998">
        <v>-1.109738143687</v>
      </c>
      <c r="AH4998">
        <v>30.012093188604101</v>
      </c>
      <c r="AI4998">
        <v>92.095328928295601</v>
      </c>
      <c r="AJ4998">
        <v>81.674627208678203</v>
      </c>
      <c r="AK4998">
        <v>30.352030175473502</v>
      </c>
      <c r="AL4998">
        <v>88.888601857527604</v>
      </c>
      <c r="AM4998">
        <v>87.780524001368093</v>
      </c>
      <c r="AN4998">
        <v>0.99999997566913501</v>
      </c>
    </row>
    <row r="4999" spans="1:40" x14ac:dyDescent="0.25">
      <c r="A4999" t="str">
        <f>"20190312154024111"</f>
        <v>20190312154024111</v>
      </c>
      <c r="B4999" t="str">
        <f>"1552376424101578"</f>
        <v>1552376424101578</v>
      </c>
      <c r="C4999" t="s">
        <v>40</v>
      </c>
      <c r="D4999">
        <v>4.1390549999999999</v>
      </c>
      <c r="E4999">
        <v>0.54074899999999904</v>
      </c>
      <c r="F4999" t="s">
        <v>54</v>
      </c>
      <c r="G4999">
        <v>-197.4622</v>
      </c>
      <c r="H4999" s="1">
        <v>2.966005E-6</v>
      </c>
      <c r="I4999">
        <v>210.89789999999999</v>
      </c>
      <c r="J4999">
        <v>-227.89080000000001</v>
      </c>
      <c r="K4999">
        <v>1.109702</v>
      </c>
      <c r="L4999">
        <v>214.81880000000001</v>
      </c>
      <c r="M4999">
        <v>0.99975029999999998</v>
      </c>
      <c r="N4999">
        <v>0</v>
      </c>
      <c r="O4999">
        <v>1.753826E-2</v>
      </c>
      <c r="P4999">
        <v>0.99976600000000004</v>
      </c>
      <c r="Q4999">
        <v>5.3039920000000004E-3</v>
      </c>
      <c r="R4999">
        <v>-2.0968870000000001E-2</v>
      </c>
      <c r="S4999">
        <v>2.9935</v>
      </c>
      <c r="T4999">
        <v>-0.1081685</v>
      </c>
      <c r="U4999">
        <v>-0.38175959999999998</v>
      </c>
      <c r="V4999">
        <v>3.8526070000000003E-2</v>
      </c>
      <c r="W4999">
        <v>1.9095520000000001E-2</v>
      </c>
      <c r="X4999">
        <v>0.99907509999999999</v>
      </c>
      <c r="Y4999">
        <v>0.14378089999999999</v>
      </c>
      <c r="Z4999">
        <v>-3.2175989999999998E-3</v>
      </c>
      <c r="AA4999">
        <v>0.98960429999999999</v>
      </c>
      <c r="AB4999">
        <v>26</v>
      </c>
      <c r="AC4999">
        <v>30.428599999999999</v>
      </c>
      <c r="AD4999">
        <v>-1.1096990339949999</v>
      </c>
      <c r="AE4999">
        <v>-3.9209000000000098</v>
      </c>
      <c r="AF4999">
        <v>4.44819328948868</v>
      </c>
      <c r="AG4999">
        <v>-1.1096990339949999</v>
      </c>
      <c r="AH4999">
        <v>30.315486010081202</v>
      </c>
      <c r="AI4999">
        <v>92.074187560387898</v>
      </c>
      <c r="AJ4999">
        <v>81.652552379206398</v>
      </c>
      <c r="AK4999">
        <v>30.6601785303695</v>
      </c>
      <c r="AL4999">
        <v>88.905840767974894</v>
      </c>
      <c r="AM4999">
        <v>87.791669458483298</v>
      </c>
      <c r="AN4999">
        <v>0.99999997619686198</v>
      </c>
    </row>
    <row r="5000" spans="1:40" x14ac:dyDescent="0.25">
      <c r="A5000" t="str">
        <f>"20190312154024135"</f>
        <v>20190312154024135</v>
      </c>
      <c r="B5000" t="str">
        <f>"1552376424121097"</f>
        <v>1552376424121097</v>
      </c>
      <c r="C5000" t="s">
        <v>40</v>
      </c>
      <c r="D5000">
        <v>4.1052179999999998</v>
      </c>
      <c r="E5000">
        <v>0.54095070000000001</v>
      </c>
      <c r="F5000" t="s">
        <v>54</v>
      </c>
      <c r="G5000">
        <v>-196.9888</v>
      </c>
      <c r="H5000" s="1">
        <v>3.054786E-6</v>
      </c>
      <c r="I5000">
        <v>210.84280000000001</v>
      </c>
      <c r="J5000">
        <v>-227.61150000000001</v>
      </c>
      <c r="K5000">
        <v>1.1096649999999999</v>
      </c>
      <c r="L5000">
        <v>214.8228</v>
      </c>
      <c r="M5000">
        <v>0.9997646</v>
      </c>
      <c r="N5000">
        <v>0</v>
      </c>
      <c r="O5000">
        <v>1.669822E-2</v>
      </c>
      <c r="P5000">
        <v>0.99976949999999998</v>
      </c>
      <c r="Q5000">
        <v>5.7260019999999896E-3</v>
      </c>
      <c r="R5000">
        <v>-2.0700260000000002E-2</v>
      </c>
      <c r="S5000">
        <v>2.9932099999999999</v>
      </c>
      <c r="T5000">
        <v>-0.107487</v>
      </c>
      <c r="U5000">
        <v>-0.38511659999999998</v>
      </c>
      <c r="V5000">
        <v>3.7420420000000003E-2</v>
      </c>
      <c r="W5000">
        <v>1.9527929999999999E-2</v>
      </c>
      <c r="X5000">
        <v>0.99910880000000002</v>
      </c>
      <c r="Y5000">
        <v>0.14405499999999999</v>
      </c>
      <c r="Z5000">
        <v>-3.1722730000000002E-3</v>
      </c>
      <c r="AA5000">
        <v>0.98956460000000002</v>
      </c>
      <c r="AB5000">
        <v>26</v>
      </c>
      <c r="AC5000">
        <v>30.622699999999998</v>
      </c>
      <c r="AD5000">
        <v>-1.109661945214</v>
      </c>
      <c r="AE5000">
        <v>-3.97999999999998</v>
      </c>
      <c r="AF5000">
        <v>4.4850471966543397</v>
      </c>
      <c r="AG5000">
        <v>-1.109661945214</v>
      </c>
      <c r="AH5000">
        <v>30.512564125484399</v>
      </c>
      <c r="AI5000">
        <v>92.060656336913496</v>
      </c>
      <c r="AJ5000">
        <v>81.637963820350805</v>
      </c>
      <c r="AK5000">
        <v>30.860388323880098</v>
      </c>
      <c r="AL5000">
        <v>88.881060917016598</v>
      </c>
      <c r="AM5000">
        <v>87.855057991277306</v>
      </c>
      <c r="AN5000">
        <v>1.00000001106025</v>
      </c>
    </row>
    <row r="5001" spans="1:40" x14ac:dyDescent="0.25">
      <c r="A5001" t="str">
        <f>"20190312154024156"</f>
        <v>20190312154024156</v>
      </c>
      <c r="B5001" t="str">
        <f>"1552376424141195"</f>
        <v>1552376424141195</v>
      </c>
      <c r="C5001" t="s">
        <v>40</v>
      </c>
      <c r="D5001">
        <v>4.0876109999999999</v>
      </c>
      <c r="E5001">
        <v>0.54114649999999997</v>
      </c>
      <c r="F5001" t="s">
        <v>54</v>
      </c>
      <c r="G5001">
        <v>-195.86660000000001</v>
      </c>
      <c r="H5001" s="1">
        <v>3.2638579999999999E-6</v>
      </c>
      <c r="I5001">
        <v>210.72829999999999</v>
      </c>
      <c r="J5001">
        <v>-227.36969999999999</v>
      </c>
      <c r="K5001">
        <v>1.109631</v>
      </c>
      <c r="L5001">
        <v>214.82599999999999</v>
      </c>
      <c r="M5001">
        <v>0.99977729999999998</v>
      </c>
      <c r="N5001">
        <v>0</v>
      </c>
      <c r="O5001">
        <v>1.5909349999999999E-2</v>
      </c>
      <c r="P5001">
        <v>0.99974810000000003</v>
      </c>
      <c r="Q5001">
        <v>6.5377769999999998E-3</v>
      </c>
      <c r="R5001">
        <v>-2.1476619999999998E-2</v>
      </c>
      <c r="S5001">
        <v>2.9933169999999998</v>
      </c>
      <c r="T5001">
        <v>-0.104633199999999</v>
      </c>
      <c r="U5001">
        <v>-0.38607789999999997</v>
      </c>
      <c r="V5001">
        <v>3.7411109999999997E-2</v>
      </c>
      <c r="W5001">
        <v>2.0344589999999999E-2</v>
      </c>
      <c r="X5001">
        <v>0.9990928</v>
      </c>
      <c r="Y5001">
        <v>0.1435884</v>
      </c>
      <c r="Z5001">
        <v>-3.052342E-3</v>
      </c>
      <c r="AA5001">
        <v>0.98963279999999998</v>
      </c>
      <c r="AB5001">
        <v>26</v>
      </c>
      <c r="AC5001">
        <v>31.5030999999999</v>
      </c>
      <c r="AD5001">
        <v>-1.1096277361419999</v>
      </c>
      <c r="AE5001">
        <v>-4.0976999999999997</v>
      </c>
      <c r="AF5001">
        <v>4.59282005045982</v>
      </c>
      <c r="AG5001">
        <v>-1.1096277361419999</v>
      </c>
      <c r="AH5001">
        <v>31.395611327381499</v>
      </c>
      <c r="AI5001">
        <v>92.002885114091896</v>
      </c>
      <c r="AJ5001">
        <v>81.677314995756603</v>
      </c>
      <c r="AK5001">
        <v>31.7491681835718</v>
      </c>
      <c r="AL5001">
        <v>88.834260381913694</v>
      </c>
      <c r="AM5001">
        <v>87.855556833448802</v>
      </c>
      <c r="AN5001">
        <v>0.99999995825276899</v>
      </c>
    </row>
    <row r="5002" spans="1:40" x14ac:dyDescent="0.25">
      <c r="A5002" t="str">
        <f>"20190312154024177"</f>
        <v>20190312154024177</v>
      </c>
      <c r="B5002" t="str">
        <f>"1552376424171380"</f>
        <v>1552376424171380</v>
      </c>
      <c r="C5002" t="s">
        <v>40</v>
      </c>
      <c r="D5002">
        <v>4.0844889999999996</v>
      </c>
      <c r="E5002">
        <v>0.54148450000000004</v>
      </c>
      <c r="F5002" t="s">
        <v>54</v>
      </c>
      <c r="G5002">
        <v>-194.48410000000001</v>
      </c>
      <c r="H5002" s="1">
        <v>3.5253360000000001E-6</v>
      </c>
      <c r="I5002">
        <v>210.54259999999999</v>
      </c>
      <c r="J5002">
        <v>-227.12729999999999</v>
      </c>
      <c r="K5002">
        <v>1.1095930000000001</v>
      </c>
      <c r="L5002">
        <v>214.8289</v>
      </c>
      <c r="M5002">
        <v>0.99979039999999997</v>
      </c>
      <c r="N5002">
        <v>0</v>
      </c>
      <c r="O5002">
        <v>1.505568E-2</v>
      </c>
      <c r="P5002">
        <v>0.99971659999999996</v>
      </c>
      <c r="Q5002">
        <v>7.2777709999999997E-3</v>
      </c>
      <c r="R5002">
        <v>-2.266837E-2</v>
      </c>
      <c r="S5002">
        <v>2.9930569999999999</v>
      </c>
      <c r="T5002">
        <v>-0.100992</v>
      </c>
      <c r="U5002">
        <v>-0.38984679999999999</v>
      </c>
      <c r="V5002">
        <v>3.7752649999999999E-2</v>
      </c>
      <c r="W5002">
        <v>2.1086859999999999E-2</v>
      </c>
      <c r="X5002">
        <v>0.99906459999999997</v>
      </c>
      <c r="Y5002">
        <v>0.1439867</v>
      </c>
      <c r="Z5002">
        <v>-2.9241969999999999E-3</v>
      </c>
      <c r="AA5002">
        <v>0.98957530000000005</v>
      </c>
      <c r="AB5002">
        <v>26</v>
      </c>
      <c r="AC5002">
        <v>32.643199999999901</v>
      </c>
      <c r="AD5002">
        <v>-1.109589474664</v>
      </c>
      <c r="AE5002">
        <v>-4.2863000000000104</v>
      </c>
      <c r="AF5002">
        <v>4.7719068666381101</v>
      </c>
      <c r="AG5002">
        <v>-1.109589474664</v>
      </c>
      <c r="AH5002">
        <v>32.538002245331597</v>
      </c>
      <c r="AI5002">
        <v>91.932450802851605</v>
      </c>
      <c r="AJ5002">
        <v>81.656683242126803</v>
      </c>
      <c r="AK5002">
        <v>32.904769776786999</v>
      </c>
      <c r="AL5002">
        <v>88.791722358853406</v>
      </c>
      <c r="AM5002">
        <v>87.835936915376095</v>
      </c>
      <c r="AN5002">
        <v>0.99999999660992001</v>
      </c>
    </row>
    <row r="5003" spans="1:40" x14ac:dyDescent="0.25">
      <c r="A5003" t="str">
        <f>"20190312154024199"</f>
        <v>20190312154024199</v>
      </c>
      <c r="B5003" t="str">
        <f>"1552376424190900"</f>
        <v>1552376424190900</v>
      </c>
      <c r="C5003" t="s">
        <v>40</v>
      </c>
      <c r="D5003">
        <v>4.0737759999999996</v>
      </c>
      <c r="E5003">
        <v>0.5417305</v>
      </c>
      <c r="F5003" t="s">
        <v>54</v>
      </c>
      <c r="G5003">
        <v>-192.96260000000001</v>
      </c>
      <c r="H5003" s="1">
        <v>3.815977E-6</v>
      </c>
      <c r="I5003">
        <v>210.30510000000001</v>
      </c>
      <c r="J5003">
        <v>-226.86490000000001</v>
      </c>
      <c r="K5003">
        <v>1.1095429999999999</v>
      </c>
      <c r="L5003">
        <v>214.83170000000001</v>
      </c>
      <c r="M5003">
        <v>0.99980500000000005</v>
      </c>
      <c r="N5003">
        <v>0</v>
      </c>
      <c r="O5003">
        <v>1.4051370000000001E-2</v>
      </c>
      <c r="P5003">
        <v>0.99968639999999998</v>
      </c>
      <c r="Q5003">
        <v>7.7399490000000003E-3</v>
      </c>
      <c r="R5003">
        <v>-2.3822019999999999E-2</v>
      </c>
      <c r="S5003">
        <v>2.9925839999999999</v>
      </c>
      <c r="T5003">
        <v>-9.7192290000000001E-2</v>
      </c>
      <c r="U5003">
        <v>-0.39625549999999998</v>
      </c>
      <c r="V5003">
        <v>3.7905519999999998E-2</v>
      </c>
      <c r="W5003">
        <v>2.15512E-2</v>
      </c>
      <c r="X5003">
        <v>0.99904890000000002</v>
      </c>
      <c r="Y5003">
        <v>0.14510239999999999</v>
      </c>
      <c r="Z5003">
        <v>-2.7998400000000001E-3</v>
      </c>
      <c r="AA5003">
        <v>0.98941270000000003</v>
      </c>
      <c r="AB5003">
        <v>26</v>
      </c>
      <c r="AC5003">
        <v>33.902299999999997</v>
      </c>
      <c r="AD5003">
        <v>-1.109539184023</v>
      </c>
      <c r="AE5003">
        <v>-4.5266000000000002</v>
      </c>
      <c r="AF5003">
        <v>4.9973138131455297</v>
      </c>
      <c r="AG5003">
        <v>-1.109539184023</v>
      </c>
      <c r="AH5003">
        <v>33.799772693935502</v>
      </c>
      <c r="AI5003">
        <v>91.859958496496901</v>
      </c>
      <c r="AJ5003">
        <v>81.589718557387997</v>
      </c>
      <c r="AK5003">
        <v>34.185214007076901</v>
      </c>
      <c r="AL5003">
        <v>88.765111584584901</v>
      </c>
      <c r="AM5003">
        <v>87.827148347381296</v>
      </c>
      <c r="AN5003">
        <v>0.99999999362956005</v>
      </c>
    </row>
    <row r="5004" spans="1:40" x14ac:dyDescent="0.25">
      <c r="A5004" t="str">
        <f>"20190312154024220"</f>
        <v>20190312154024220</v>
      </c>
      <c r="B5004" t="str">
        <f>"1552376424211396"</f>
        <v>1552376424211396</v>
      </c>
      <c r="C5004" t="s">
        <v>40</v>
      </c>
      <c r="D5004">
        <v>4.0674320000000002</v>
      </c>
      <c r="E5004">
        <v>0.54184860000000001</v>
      </c>
      <c r="F5004" t="s">
        <v>54</v>
      </c>
      <c r="G5004">
        <v>-191.78819999999999</v>
      </c>
      <c r="H5004" s="1">
        <v>4.040441E-6</v>
      </c>
      <c r="I5004">
        <v>210.1206</v>
      </c>
      <c r="J5004">
        <v>-226.62209999999999</v>
      </c>
      <c r="K5004">
        <v>1.109497</v>
      </c>
      <c r="L5004">
        <v>214.834</v>
      </c>
      <c r="M5004">
        <v>0.99981830000000005</v>
      </c>
      <c r="N5004">
        <v>0</v>
      </c>
      <c r="O5004">
        <v>1.305186E-2</v>
      </c>
      <c r="P5004">
        <v>0.99966310000000003</v>
      </c>
      <c r="Q5004">
        <v>7.6951700000000003E-3</v>
      </c>
      <c r="R5004">
        <v>-2.479251E-2</v>
      </c>
      <c r="S5004">
        <v>2.9920960000000001</v>
      </c>
      <c r="T5004">
        <v>-9.4645259999999995E-2</v>
      </c>
      <c r="U5004">
        <v>-0.40187070000000003</v>
      </c>
      <c r="V5004">
        <v>3.7879110000000001E-2</v>
      </c>
      <c r="W5004">
        <v>2.150782E-2</v>
      </c>
      <c r="X5004">
        <v>0.99905089999999996</v>
      </c>
      <c r="Y5004">
        <v>0.14596300000000001</v>
      </c>
      <c r="Z5004">
        <v>-2.7086749999999998E-3</v>
      </c>
      <c r="AA5004">
        <v>0.98928640000000001</v>
      </c>
      <c r="AB5004">
        <v>26</v>
      </c>
      <c r="AC5004">
        <v>34.8339</v>
      </c>
      <c r="AD5004">
        <v>-1.109492959559</v>
      </c>
      <c r="AE5004">
        <v>-4.7134</v>
      </c>
      <c r="AF5004">
        <v>5.1625463574217099</v>
      </c>
      <c r="AG5004">
        <v>-1.109492959559</v>
      </c>
      <c r="AH5004">
        <v>34.734803422386797</v>
      </c>
      <c r="AI5004">
        <v>91.809644615246697</v>
      </c>
      <c r="AJ5004">
        <v>81.546158888793499</v>
      </c>
      <c r="AK5004">
        <v>35.133878640305198</v>
      </c>
      <c r="AL5004">
        <v>88.767597729916801</v>
      </c>
      <c r="AM5004">
        <v>87.828665136369693</v>
      </c>
      <c r="AN5004">
        <v>1.00000005704317</v>
      </c>
    </row>
    <row r="5005" spans="1:40" x14ac:dyDescent="0.25">
      <c r="A5005" t="str">
        <f>"20190312154024243"</f>
        <v>20190312154024243</v>
      </c>
      <c r="B5005" t="str">
        <f>"1552376424230917"</f>
        <v>1552376424230917</v>
      </c>
      <c r="C5005" t="s">
        <v>40</v>
      </c>
      <c r="D5005">
        <v>4.1059659999999996</v>
      </c>
      <c r="E5005">
        <v>0.54932919999999996</v>
      </c>
      <c r="F5005" t="s">
        <v>54</v>
      </c>
      <c r="G5005">
        <v>-191.3852</v>
      </c>
      <c r="H5005" s="1">
        <v>4.1176829999999997E-6</v>
      </c>
      <c r="I5005">
        <v>210.0547</v>
      </c>
      <c r="J5005">
        <v>-226.3638</v>
      </c>
      <c r="K5005">
        <v>1.10945</v>
      </c>
      <c r="L5005">
        <v>214.83619999999999</v>
      </c>
      <c r="M5005">
        <v>0.99983239999999995</v>
      </c>
      <c r="N5005">
        <v>0</v>
      </c>
      <c r="O5005">
        <v>1.1924519999999999E-2</v>
      </c>
      <c r="P5005">
        <v>0.99963550000000001</v>
      </c>
      <c r="Q5005">
        <v>7.9101829999999995E-3</v>
      </c>
      <c r="R5005">
        <v>-2.5815609999999999E-2</v>
      </c>
      <c r="S5005">
        <v>2.9916689999999999</v>
      </c>
      <c r="T5005">
        <v>-9.4197630000000004E-2</v>
      </c>
      <c r="U5005">
        <v>-0.405777</v>
      </c>
      <c r="V5005">
        <v>3.7777940000000003E-2</v>
      </c>
      <c r="W5005">
        <v>2.172377E-2</v>
      </c>
      <c r="X5005">
        <v>0.99904999999999999</v>
      </c>
      <c r="Y5005">
        <v>0.14613590000000001</v>
      </c>
      <c r="Z5005">
        <v>-2.6633859999999998E-3</v>
      </c>
      <c r="AA5005">
        <v>0.9892609</v>
      </c>
      <c r="AB5005">
        <v>26</v>
      </c>
      <c r="AC5005">
        <v>34.9786</v>
      </c>
      <c r="AD5005">
        <v>-1.1094458823169999</v>
      </c>
      <c r="AE5005">
        <v>-4.7814999999999896</v>
      </c>
      <c r="AF5005">
        <v>5.1931746263066101</v>
      </c>
      <c r="AG5005">
        <v>-1.1094458823169999</v>
      </c>
      <c r="AH5005">
        <v>34.884639013274999</v>
      </c>
      <c r="AI5005">
        <v>91.801737821277897</v>
      </c>
      <c r="AJ5005">
        <v>81.532727630791399</v>
      </c>
      <c r="AK5005">
        <v>35.2865126068249</v>
      </c>
      <c r="AL5005">
        <v>88.755221742783206</v>
      </c>
      <c r="AM5005">
        <v>87.834457001495394</v>
      </c>
      <c r="AN5005">
        <v>0.99999999871682799</v>
      </c>
    </row>
    <row r="5006" spans="1:40" x14ac:dyDescent="0.25">
      <c r="A5006" t="str">
        <f>"20190312154024265"</f>
        <v>20190312154024265</v>
      </c>
      <c r="B5006" t="str">
        <f>"1552376424260703"</f>
        <v>1552376424260703</v>
      </c>
      <c r="C5006" t="s">
        <v>40</v>
      </c>
      <c r="D5006">
        <v>4.1311629999999999</v>
      </c>
      <c r="E5006">
        <v>0.55545549999999999</v>
      </c>
      <c r="F5006" t="s">
        <v>54</v>
      </c>
      <c r="G5006">
        <v>-181.7706</v>
      </c>
      <c r="H5006" s="1">
        <v>3.5069470000000001E-6</v>
      </c>
      <c r="I5006">
        <v>207.84280000000001</v>
      </c>
      <c r="J5006">
        <v>-226.1035</v>
      </c>
      <c r="K5006">
        <v>1.10941</v>
      </c>
      <c r="L5006">
        <v>214.83799999999999</v>
      </c>
      <c r="M5006">
        <v>0.99984580000000001</v>
      </c>
      <c r="N5006">
        <v>0</v>
      </c>
      <c r="O5006">
        <v>1.072474E-2</v>
      </c>
      <c r="P5006">
        <v>0.99960340000000003</v>
      </c>
      <c r="Q5006">
        <v>8.0307350000000007E-3</v>
      </c>
      <c r="R5006">
        <v>-2.6985970000000001E-2</v>
      </c>
      <c r="S5006">
        <v>2.9895779999999998</v>
      </c>
      <c r="T5006">
        <v>-7.4378490000000005E-2</v>
      </c>
      <c r="U5006">
        <v>-0.46884160000000002</v>
      </c>
      <c r="V5006">
        <v>3.7751380000000001E-2</v>
      </c>
      <c r="W5006">
        <v>2.1844860000000001E-2</v>
      </c>
      <c r="X5006">
        <v>0.99904839999999995</v>
      </c>
      <c r="Y5006">
        <v>0.1654658</v>
      </c>
      <c r="Z5006">
        <v>-2.3107589999999999E-3</v>
      </c>
      <c r="AA5006">
        <v>0.9862128</v>
      </c>
      <c r="AB5006">
        <v>26</v>
      </c>
      <c r="AC5006">
        <v>44.332900000000002</v>
      </c>
      <c r="AD5006">
        <v>-1.1094064930529901</v>
      </c>
      <c r="AE5006">
        <v>-6.9951999999999801</v>
      </c>
      <c r="AF5006">
        <v>7.4657407674133296</v>
      </c>
      <c r="AG5006">
        <v>-1.1094064930529901</v>
      </c>
      <c r="AH5006">
        <v>44.228296925590499</v>
      </c>
      <c r="AI5006">
        <v>91.416849795551698</v>
      </c>
      <c r="AJ5006">
        <v>80.418786286395203</v>
      </c>
      <c r="AK5006">
        <v>44.867697923018603</v>
      </c>
      <c r="AL5006">
        <v>88.748282195532397</v>
      </c>
      <c r="AM5006">
        <v>87.8359745886208</v>
      </c>
      <c r="AN5006">
        <v>1.00000003507144</v>
      </c>
    </row>
    <row r="5007" spans="1:40" x14ac:dyDescent="0.25">
      <c r="A5007" t="str">
        <f>"20190312154024289"</f>
        <v>20190312154024289</v>
      </c>
      <c r="B5007" t="str">
        <f>"1552376424281199"</f>
        <v>1552376424281199</v>
      </c>
      <c r="C5007" t="s">
        <v>40</v>
      </c>
      <c r="D5007">
        <v>4.1588279999999997</v>
      </c>
      <c r="E5007">
        <v>0.55565759999999997</v>
      </c>
      <c r="F5007" t="s">
        <v>54</v>
      </c>
      <c r="G5007">
        <v>-201.53219999999999</v>
      </c>
      <c r="H5007" s="1">
        <v>3.2507820000000002E-6</v>
      </c>
      <c r="I5007">
        <v>210.56309999999999</v>
      </c>
      <c r="J5007">
        <v>-225.8348</v>
      </c>
      <c r="K5007">
        <v>1.1093770000000001</v>
      </c>
      <c r="L5007">
        <v>214.83940000000001</v>
      </c>
      <c r="M5007">
        <v>0.99985900000000005</v>
      </c>
      <c r="N5007">
        <v>0</v>
      </c>
      <c r="O5007">
        <v>9.4195570000000003E-3</v>
      </c>
      <c r="P5007">
        <v>0.99957079999999998</v>
      </c>
      <c r="Q5007">
        <v>8.7219930000000008E-3</v>
      </c>
      <c r="R5007">
        <v>-2.7969520000000001E-2</v>
      </c>
      <c r="S5007">
        <v>2.988251</v>
      </c>
      <c r="T5007">
        <v>-0.13492100000000001</v>
      </c>
      <c r="U5007">
        <v>-0.51988219999999996</v>
      </c>
      <c r="V5007">
        <v>3.7433460000000002E-2</v>
      </c>
      <c r="W5007">
        <v>2.2536580000000001E-2</v>
      </c>
      <c r="X5007">
        <v>0.99904499999999996</v>
      </c>
      <c r="Y5007">
        <v>0.18048639999999999</v>
      </c>
      <c r="Z5007">
        <v>-4.4641759999999898E-3</v>
      </c>
      <c r="AA5007">
        <v>0.98356739999999998</v>
      </c>
      <c r="AB5007">
        <v>26</v>
      </c>
      <c r="AC5007">
        <v>24.302600000000002</v>
      </c>
      <c r="AD5007">
        <v>-1.109373749218</v>
      </c>
      <c r="AE5007">
        <v>-4.2763000000000204</v>
      </c>
      <c r="AF5007">
        <v>4.4959648855557504</v>
      </c>
      <c r="AG5007">
        <v>-1.109373749218</v>
      </c>
      <c r="AH5007">
        <v>24.212299155826098</v>
      </c>
      <c r="AI5007">
        <v>92.579347197891906</v>
      </c>
      <c r="AJ5007">
        <v>79.480599530729506</v>
      </c>
      <c r="AK5007">
        <v>24.651163071523101</v>
      </c>
      <c r="AL5007">
        <v>88.708639799907701</v>
      </c>
      <c r="AM5007">
        <v>87.854174338062407</v>
      </c>
      <c r="AN5007">
        <v>1.0000000366953301</v>
      </c>
    </row>
    <row r="5008" spans="1:40" x14ac:dyDescent="0.25">
      <c r="A5008" t="str">
        <f>"20190312154024310"</f>
        <v>20190312154024310</v>
      </c>
      <c r="B5008" t="str">
        <f>"1552376424300719"</f>
        <v>1552376424300719</v>
      </c>
      <c r="C5008" t="s">
        <v>40</v>
      </c>
      <c r="D5008">
        <v>4.1605679999999996</v>
      </c>
      <c r="E5008">
        <v>0.55566539999999998</v>
      </c>
      <c r="F5008" t="s">
        <v>54</v>
      </c>
      <c r="G5008">
        <v>-202.7225</v>
      </c>
      <c r="H5008" s="1">
        <v>3.7595300000000002E-6</v>
      </c>
      <c r="I5008">
        <v>210.78190000000001</v>
      </c>
      <c r="J5008">
        <v>-225.5822</v>
      </c>
      <c r="K5008">
        <v>1.1093409999999999</v>
      </c>
      <c r="L5008">
        <v>214.84030000000001</v>
      </c>
      <c r="M5008">
        <v>0.99987029999999999</v>
      </c>
      <c r="N5008">
        <v>0</v>
      </c>
      <c r="O5008">
        <v>8.1345640000000004E-3</v>
      </c>
      <c r="P5008">
        <v>0.99953069999999999</v>
      </c>
      <c r="Q5008">
        <v>8.2412249999999996E-3</v>
      </c>
      <c r="R5008">
        <v>-2.950875E-2</v>
      </c>
      <c r="S5008">
        <v>2.9878689999999999</v>
      </c>
      <c r="T5008">
        <v>-0.14341570000000001</v>
      </c>
      <c r="U5008">
        <v>-0.52453609999999995</v>
      </c>
      <c r="V5008">
        <v>3.7689170000000001E-2</v>
      </c>
      <c r="W5008">
        <v>2.205462E-2</v>
      </c>
      <c r="X5008">
        <v>0.99904610000000005</v>
      </c>
      <c r="Y5008">
        <v>0.18070700000000001</v>
      </c>
      <c r="Z5008">
        <v>-4.6889540000000004E-3</v>
      </c>
      <c r="AA5008">
        <v>0.98352580000000001</v>
      </c>
      <c r="AB5008">
        <v>26</v>
      </c>
      <c r="AC5008">
        <v>22.8597</v>
      </c>
      <c r="AD5008">
        <v>-1.1093372404699999</v>
      </c>
      <c r="AE5008">
        <v>-4.0583999999999998</v>
      </c>
      <c r="AF5008">
        <v>4.2345697650187599</v>
      </c>
      <c r="AG5008">
        <v>-1.1093372404699999</v>
      </c>
      <c r="AH5008">
        <v>22.773933748566499</v>
      </c>
      <c r="AI5008">
        <v>92.741800363933294</v>
      </c>
      <c r="AJ5008">
        <v>79.466752519089098</v>
      </c>
      <c r="AK5008">
        <v>23.190822939085201</v>
      </c>
      <c r="AL5008">
        <v>88.736260886182293</v>
      </c>
      <c r="AM5008">
        <v>87.839532306333098</v>
      </c>
      <c r="AN5008">
        <v>0.99999999486192104</v>
      </c>
    </row>
    <row r="5009" spans="1:40" x14ac:dyDescent="0.25">
      <c r="A5009" t="str">
        <f>"20190312154024333"</f>
        <v>20190312154024333</v>
      </c>
      <c r="B5009" t="str">
        <f>"1552376424321214"</f>
        <v>1552376424321214</v>
      </c>
      <c r="C5009" t="s">
        <v>40</v>
      </c>
      <c r="D5009">
        <v>4.1320319999999997</v>
      </c>
      <c r="E5009">
        <v>0.55615819999999905</v>
      </c>
      <c r="F5009" t="s">
        <v>54</v>
      </c>
      <c r="G5009">
        <v>-203.28579999999999</v>
      </c>
      <c r="H5009" s="1">
        <v>3.9996690000000002E-6</v>
      </c>
      <c r="I5009">
        <v>210.8922</v>
      </c>
      <c r="J5009">
        <v>-225.32069999999999</v>
      </c>
      <c r="K5009">
        <v>1.109305</v>
      </c>
      <c r="L5009">
        <v>214.84100000000001</v>
      </c>
      <c r="M5009">
        <v>0.99988060000000001</v>
      </c>
      <c r="N5009">
        <v>0</v>
      </c>
      <c r="O5009">
        <v>6.7507219999999998E-3</v>
      </c>
      <c r="P5009">
        <v>0.99948119999999996</v>
      </c>
      <c r="Q5009">
        <v>7.9705139999999997E-3</v>
      </c>
      <c r="R5009">
        <v>-3.1215090000000001E-2</v>
      </c>
      <c r="S5009">
        <v>2.9870299999999999</v>
      </c>
      <c r="T5009">
        <v>-0.14861669999999999</v>
      </c>
      <c r="U5009">
        <v>-0.52893069999999998</v>
      </c>
      <c r="V5009">
        <v>3.8013499999999999E-2</v>
      </c>
      <c r="W5009">
        <v>2.1781459999999999E-2</v>
      </c>
      <c r="X5009">
        <v>0.99903980000000003</v>
      </c>
      <c r="Y5009">
        <v>0.1807822</v>
      </c>
      <c r="Z5009">
        <v>-4.7930730000000001E-3</v>
      </c>
      <c r="AA5009">
        <v>0.98351140000000004</v>
      </c>
      <c r="AB5009">
        <v>26</v>
      </c>
      <c r="AC5009">
        <v>22.0349</v>
      </c>
      <c r="AD5009">
        <v>-1.109301000331</v>
      </c>
      <c r="AE5009">
        <v>-3.9487999999999701</v>
      </c>
      <c r="AF5009">
        <v>4.0874389551399499</v>
      </c>
      <c r="AG5009">
        <v>-1.109301000331</v>
      </c>
      <c r="AH5009">
        <v>21.953829284373999</v>
      </c>
      <c r="AI5009">
        <v>92.843840178991201</v>
      </c>
      <c r="AJ5009">
        <v>79.453234777900207</v>
      </c>
      <c r="AK5009">
        <v>22.358629791844798</v>
      </c>
      <c r="AL5009">
        <v>88.751915556186404</v>
      </c>
      <c r="AM5009">
        <v>87.820944757408</v>
      </c>
      <c r="AN5009">
        <v>0.99999999008300999</v>
      </c>
    </row>
    <row r="5010" spans="1:40" x14ac:dyDescent="0.25">
      <c r="A5010" t="str">
        <f>"20190312154024355"</f>
        <v>20190312154024355</v>
      </c>
      <c r="B5010" t="str">
        <f>"1552376424340735"</f>
        <v>1552376424340735</v>
      </c>
      <c r="C5010" t="s">
        <v>40</v>
      </c>
      <c r="D5010">
        <v>4.1824830000000004</v>
      </c>
      <c r="E5010">
        <v>0.55647040000000003</v>
      </c>
      <c r="F5010" t="s">
        <v>54</v>
      </c>
      <c r="G5010">
        <v>-203.7089</v>
      </c>
      <c r="H5010" s="1">
        <v>4.1825030000000001E-6</v>
      </c>
      <c r="I5010">
        <v>210.947</v>
      </c>
      <c r="J5010">
        <v>-225.0692</v>
      </c>
      <c r="K5010">
        <v>1.109278</v>
      </c>
      <c r="L5010">
        <v>214.84110000000001</v>
      </c>
      <c r="M5010">
        <v>0.99988880000000002</v>
      </c>
      <c r="N5010">
        <v>0</v>
      </c>
      <c r="O5010">
        <v>5.3742929999999996E-3</v>
      </c>
      <c r="P5010">
        <v>0.99941380000000002</v>
      </c>
      <c r="Q5010">
        <v>8.1941389999999996E-3</v>
      </c>
      <c r="R5010">
        <v>-3.3248949999999999E-2</v>
      </c>
      <c r="S5010">
        <v>2.985992</v>
      </c>
      <c r="T5010">
        <v>-0.1532664</v>
      </c>
      <c r="U5010">
        <v>-0.53800959999999998</v>
      </c>
      <c r="V5010">
        <v>3.8673689999999997E-2</v>
      </c>
      <c r="W5010">
        <v>2.2001699999999999E-2</v>
      </c>
      <c r="X5010">
        <v>0.9990097</v>
      </c>
      <c r="Y5010">
        <v>0.18237020000000001</v>
      </c>
      <c r="Z5010">
        <v>-4.9135589999999996E-3</v>
      </c>
      <c r="AA5010">
        <v>0.98321769999999997</v>
      </c>
      <c r="AB5010">
        <v>26</v>
      </c>
      <c r="AC5010">
        <v>21.360299999999899</v>
      </c>
      <c r="AD5010">
        <v>-1.109273817497</v>
      </c>
      <c r="AE5010">
        <v>-3.8940999999999999</v>
      </c>
      <c r="AF5010">
        <v>3.9984149533536502</v>
      </c>
      <c r="AG5010">
        <v>-1.109273817497</v>
      </c>
      <c r="AH5010">
        <v>21.2835084929511</v>
      </c>
      <c r="AI5010">
        <v>92.932291372696</v>
      </c>
      <c r="AJ5010">
        <v>79.360172916254598</v>
      </c>
      <c r="AK5010">
        <v>21.684223396536598</v>
      </c>
      <c r="AL5010">
        <v>88.739293790463506</v>
      </c>
      <c r="AM5010">
        <v>87.783071267105697</v>
      </c>
      <c r="AN5010">
        <v>1.00000005489759</v>
      </c>
    </row>
    <row r="5011" spans="1:40" x14ac:dyDescent="0.25">
      <c r="A5011" t="str">
        <f>"20190312154024378"</f>
        <v>20190312154024378</v>
      </c>
      <c r="B5011" t="str">
        <f>"1552376424370991"</f>
        <v>1552376424370991</v>
      </c>
      <c r="C5011" t="s">
        <v>40</v>
      </c>
      <c r="D5011">
        <v>4.1569839999999996</v>
      </c>
      <c r="E5011">
        <v>0.55667559999999905</v>
      </c>
      <c r="F5011" t="s">
        <v>54</v>
      </c>
      <c r="G5011">
        <v>-203.9836</v>
      </c>
      <c r="H5011" s="1">
        <v>4.3014190000000003E-6</v>
      </c>
      <c r="I5011">
        <v>210.9802</v>
      </c>
      <c r="J5011">
        <v>-224.80549999999999</v>
      </c>
      <c r="K5011">
        <v>1.1092569999999999</v>
      </c>
      <c r="L5011">
        <v>214.8409</v>
      </c>
      <c r="M5011">
        <v>0.9998956</v>
      </c>
      <c r="N5011">
        <v>0</v>
      </c>
      <c r="O5011">
        <v>3.8935010000000002E-3</v>
      </c>
      <c r="P5011">
        <v>0.99933680000000003</v>
      </c>
      <c r="Q5011">
        <v>8.5673969999999992E-3</v>
      </c>
      <c r="R5011">
        <v>-3.5392750000000001E-2</v>
      </c>
      <c r="S5011">
        <v>2.9848789999999998</v>
      </c>
      <c r="T5011">
        <v>-0.157028799999999</v>
      </c>
      <c r="U5011">
        <v>-0.546554599999999</v>
      </c>
      <c r="V5011">
        <v>3.9339779999999998E-2</v>
      </c>
      <c r="W5011">
        <v>2.2371640000000002E-2</v>
      </c>
      <c r="X5011">
        <v>0.99897539999999996</v>
      </c>
      <c r="Y5011">
        <v>0.18369099999999999</v>
      </c>
      <c r="Z5011">
        <v>-4.9917939999999999E-3</v>
      </c>
      <c r="AA5011">
        <v>0.98297140000000005</v>
      </c>
      <c r="AB5011">
        <v>26</v>
      </c>
      <c r="AC5011">
        <v>20.821899999999999</v>
      </c>
      <c r="AD5011">
        <v>-1.1092526985809901</v>
      </c>
      <c r="AE5011">
        <v>-3.8607</v>
      </c>
      <c r="AF5011">
        <v>3.9309631862905499</v>
      </c>
      <c r="AG5011">
        <v>-1.1092526985809901</v>
      </c>
      <c r="AH5011">
        <v>20.749777359914201</v>
      </c>
      <c r="AI5011">
        <v>93.006657822490894</v>
      </c>
      <c r="AJ5011">
        <v>79.272669622454401</v>
      </c>
      <c r="AK5011">
        <v>21.147959088462599</v>
      </c>
      <c r="AL5011">
        <v>88.7180924749875</v>
      </c>
      <c r="AM5011">
        <v>87.744850094850605</v>
      </c>
      <c r="AN5011">
        <v>0.99999997918594796</v>
      </c>
    </row>
    <row r="5012" spans="1:40" x14ac:dyDescent="0.25">
      <c r="A5012" t="str">
        <f>"20190312154024399"</f>
        <v>20190312154024399</v>
      </c>
      <c r="B5012" t="str">
        <f>"1552376424391487"</f>
        <v>1552376424391487</v>
      </c>
      <c r="C5012" t="s">
        <v>40</v>
      </c>
      <c r="D5012">
        <v>4.1783380000000001</v>
      </c>
      <c r="E5012">
        <v>0.55679829999999997</v>
      </c>
      <c r="F5012" t="s">
        <v>54</v>
      </c>
      <c r="G5012">
        <v>-204.4408</v>
      </c>
      <c r="H5012" s="1">
        <v>4.4974980000000001E-6</v>
      </c>
      <c r="I5012">
        <v>211.05670000000001</v>
      </c>
      <c r="J5012">
        <v>-224.5615</v>
      </c>
      <c r="K5012">
        <v>1.1092439999999999</v>
      </c>
      <c r="L5012">
        <v>214.84020000000001</v>
      </c>
      <c r="M5012">
        <v>0.99990020000000002</v>
      </c>
      <c r="N5012">
        <v>0</v>
      </c>
      <c r="O5012">
        <v>2.4979659999999999E-3</v>
      </c>
      <c r="P5012">
        <v>0.99925129999999995</v>
      </c>
      <c r="Q5012">
        <v>8.4439409999999999E-3</v>
      </c>
      <c r="R5012">
        <v>-3.7755589999999999E-2</v>
      </c>
      <c r="S5012">
        <v>2.9837189999999998</v>
      </c>
      <c r="T5012">
        <v>-0.16252169999999999</v>
      </c>
      <c r="U5012">
        <v>-0.55442809999999998</v>
      </c>
      <c r="V5012">
        <v>4.0308589999999998E-2</v>
      </c>
      <c r="W5012">
        <v>2.22434E-2</v>
      </c>
      <c r="X5012">
        <v>0.99893960000000004</v>
      </c>
      <c r="Y5012">
        <v>0.1848776</v>
      </c>
      <c r="Z5012">
        <v>-5.1235959999999898E-3</v>
      </c>
      <c r="AA5012">
        <v>0.98274819999999996</v>
      </c>
      <c r="AB5012">
        <v>26</v>
      </c>
      <c r="AC5012">
        <v>20.120699999999999</v>
      </c>
      <c r="AD5012">
        <v>-1.1092395025020001</v>
      </c>
      <c r="AE5012">
        <v>-3.7835000000000001</v>
      </c>
      <c r="AF5012">
        <v>3.8225330543398499</v>
      </c>
      <c r="AG5012">
        <v>-1.1092395025020001</v>
      </c>
      <c r="AH5012">
        <v>20.0523228180088</v>
      </c>
      <c r="AI5012">
        <v>93.110322680224002</v>
      </c>
      <c r="AJ5012">
        <v>79.207311991037102</v>
      </c>
      <c r="AK5012">
        <v>20.443527621794399</v>
      </c>
      <c r="AL5012">
        <v>88.725441862090705</v>
      </c>
      <c r="AM5012">
        <v>87.689289889906306</v>
      </c>
      <c r="AN5012">
        <v>0.99999993785975205</v>
      </c>
    </row>
    <row r="5013" spans="1:40" x14ac:dyDescent="0.25">
      <c r="A5013" t="str">
        <f>"20190312154024421"</f>
        <v>20190312154024421</v>
      </c>
      <c r="B5013" t="str">
        <f>"1552376424411007"</f>
        <v>1552376424411007</v>
      </c>
      <c r="C5013" t="s">
        <v>40</v>
      </c>
      <c r="D5013">
        <v>4.1892160000000001</v>
      </c>
      <c r="E5013">
        <v>0.55677189999999999</v>
      </c>
      <c r="F5013" t="s">
        <v>54</v>
      </c>
      <c r="G5013">
        <v>-204.65350000000001</v>
      </c>
      <c r="H5013" s="1">
        <v>4.5890609999999998E-6</v>
      </c>
      <c r="I5013">
        <v>211.0883</v>
      </c>
      <c r="J5013">
        <v>-224.3047</v>
      </c>
      <c r="K5013">
        <v>1.1092360000000001</v>
      </c>
      <c r="L5013">
        <v>214.83920000000001</v>
      </c>
      <c r="M5013">
        <v>0.99990279999999998</v>
      </c>
      <c r="N5013">
        <v>0</v>
      </c>
      <c r="O5013">
        <v>1.01388E-3</v>
      </c>
      <c r="P5013">
        <v>0.99915080000000001</v>
      </c>
      <c r="Q5013">
        <v>8.8809490000000008E-3</v>
      </c>
      <c r="R5013">
        <v>-4.023815E-2</v>
      </c>
      <c r="S5013">
        <v>2.9824069999999998</v>
      </c>
      <c r="T5013">
        <v>-0.1661745</v>
      </c>
      <c r="U5013">
        <v>-0.56207280000000004</v>
      </c>
      <c r="V5013">
        <v>4.1309329999999998E-2</v>
      </c>
      <c r="W5013">
        <v>2.267721E-2</v>
      </c>
      <c r="X5013">
        <v>0.99888900000000003</v>
      </c>
      <c r="Y5013">
        <v>0.1859188</v>
      </c>
      <c r="Z5013">
        <v>-5.1864329999999998E-3</v>
      </c>
      <c r="AA5013">
        <v>0.98255139999999996</v>
      </c>
      <c r="AB5013">
        <v>26</v>
      </c>
      <c r="AC5013">
        <v>19.6511999999999</v>
      </c>
      <c r="AD5013">
        <v>-1.109231410939</v>
      </c>
      <c r="AE5013">
        <v>-3.7509000000000001</v>
      </c>
      <c r="AF5013">
        <v>3.7592674062778402</v>
      </c>
      <c r="AG5013">
        <v>-1.109231410939</v>
      </c>
      <c r="AH5013">
        <v>19.587172667034299</v>
      </c>
      <c r="AI5013">
        <v>93.1832518867283</v>
      </c>
      <c r="AJ5013">
        <v>79.135621118530693</v>
      </c>
      <c r="AK5013">
        <v>19.975480440858799</v>
      </c>
      <c r="AL5013">
        <v>88.700580155368499</v>
      </c>
      <c r="AM5013">
        <v>87.631866666295295</v>
      </c>
      <c r="AN5013">
        <v>0.99999997545971597</v>
      </c>
    </row>
    <row r="5014" spans="1:40" x14ac:dyDescent="0.25">
      <c r="A5014" t="str">
        <f>"20190312154024444"</f>
        <v>20190312154024444</v>
      </c>
      <c r="B5014" t="str">
        <f>"1552376424431502"</f>
        <v>1552376424431502</v>
      </c>
      <c r="C5014" t="s">
        <v>40</v>
      </c>
      <c r="D5014">
        <v>4.1980449999999996</v>
      </c>
      <c r="E5014">
        <v>0.55670640000000005</v>
      </c>
      <c r="F5014" t="s">
        <v>54</v>
      </c>
      <c r="G5014">
        <v>-204.56720000000001</v>
      </c>
      <c r="H5014" s="1">
        <v>4.5525260000000003E-6</v>
      </c>
      <c r="I5014">
        <v>211.0685</v>
      </c>
      <c r="J5014">
        <v>-224.05289999999999</v>
      </c>
      <c r="K5014">
        <v>1.1092340000000001</v>
      </c>
      <c r="L5014">
        <v>214.83779999999999</v>
      </c>
      <c r="M5014">
        <v>0.99990310000000004</v>
      </c>
      <c r="N5014">
        <v>0</v>
      </c>
      <c r="O5014">
        <v>-4.4758599999999998E-4</v>
      </c>
      <c r="P5014">
        <v>0.99904170000000003</v>
      </c>
      <c r="Q5014">
        <v>9.1317159999999998E-3</v>
      </c>
      <c r="R5014">
        <v>-4.2808739999999998E-2</v>
      </c>
      <c r="S5014">
        <v>2.9810940000000001</v>
      </c>
      <c r="T5014">
        <v>-0.16753489999999999</v>
      </c>
      <c r="U5014">
        <v>-0.569519</v>
      </c>
      <c r="V5014">
        <v>4.2420069999999997E-2</v>
      </c>
      <c r="W5014">
        <v>2.2924150000000001E-2</v>
      </c>
      <c r="X5014">
        <v>0.99883679999999997</v>
      </c>
      <c r="Y5014">
        <v>0.18692629999999999</v>
      </c>
      <c r="Z5014">
        <v>-5.1765719999999999E-3</v>
      </c>
      <c r="AA5014">
        <v>0.98236029999999996</v>
      </c>
      <c r="AB5014">
        <v>26</v>
      </c>
      <c r="AC5014">
        <v>19.485699999999898</v>
      </c>
      <c r="AD5014">
        <v>-1.1092294474740001</v>
      </c>
      <c r="AE5014">
        <v>-3.7692999999999799</v>
      </c>
      <c r="AF5014">
        <v>3.7488672561624101</v>
      </c>
      <c r="AG5014">
        <v>-1.1092294474740001</v>
      </c>
      <c r="AH5014">
        <v>19.4267038707094</v>
      </c>
      <c r="AI5014">
        <v>93.208861812796897</v>
      </c>
      <c r="AJ5014">
        <v>79.077609772563704</v>
      </c>
      <c r="AK5014">
        <v>19.816185782125299</v>
      </c>
      <c r="AL5014">
        <v>88.686427843617906</v>
      </c>
      <c r="AM5014">
        <v>87.568139959906901</v>
      </c>
      <c r="AN5014">
        <v>0.99999996601313301</v>
      </c>
    </row>
    <row r="5015" spans="1:40" x14ac:dyDescent="0.25">
      <c r="A5015" t="str">
        <f>"20190312154024466"</f>
        <v>20190312154024466</v>
      </c>
      <c r="B5015" t="str">
        <f>"1552376424460783"</f>
        <v>1552376424460783</v>
      </c>
      <c r="C5015" t="s">
        <v>40</v>
      </c>
      <c r="D5015">
        <v>4.204923</v>
      </c>
      <c r="E5015">
        <v>0.55675069999999904</v>
      </c>
      <c r="F5015" t="s">
        <v>54</v>
      </c>
      <c r="G5015">
        <v>-204.2979</v>
      </c>
      <c r="H5015" s="1">
        <v>4.4378839999999999E-6</v>
      </c>
      <c r="I5015">
        <v>211.0138</v>
      </c>
      <c r="J5015">
        <v>-223.79839999999999</v>
      </c>
      <c r="K5015">
        <v>1.1092390000000001</v>
      </c>
      <c r="L5015">
        <v>214.83600000000001</v>
      </c>
      <c r="M5015">
        <v>0.99990129999999999</v>
      </c>
      <c r="N5015">
        <v>0</v>
      </c>
      <c r="O5015">
        <v>-1.923456E-3</v>
      </c>
      <c r="P5015">
        <v>0.99895179999999995</v>
      </c>
      <c r="Q5015">
        <v>9.5410809999999999E-3</v>
      </c>
      <c r="R5015">
        <v>-4.476977E-2</v>
      </c>
      <c r="S5015">
        <v>2.9797060000000002</v>
      </c>
      <c r="T5015">
        <v>-0.1673086</v>
      </c>
      <c r="U5015">
        <v>-0.57678219999999902</v>
      </c>
      <c r="V5015">
        <v>4.2907500000000001E-2</v>
      </c>
      <c r="W5015">
        <v>2.3331259999999999E-2</v>
      </c>
      <c r="X5015">
        <v>0.99880659999999999</v>
      </c>
      <c r="Y5015">
        <v>0.18787129999999999</v>
      </c>
      <c r="Z5015">
        <v>-5.1149919999999996E-3</v>
      </c>
      <c r="AA5015">
        <v>0.98218039999999995</v>
      </c>
      <c r="AB5015">
        <v>26</v>
      </c>
      <c r="AC5015">
        <v>19.500499999999899</v>
      </c>
      <c r="AD5015">
        <v>-1.10923456211599</v>
      </c>
      <c r="AE5015">
        <v>-3.8221999999999801</v>
      </c>
      <c r="AF5015">
        <v>3.77292489682881</v>
      </c>
      <c r="AG5015">
        <v>-1.10923456211599</v>
      </c>
      <c r="AH5015">
        <v>19.4472209325208</v>
      </c>
      <c r="AI5015">
        <v>93.204881712285299</v>
      </c>
      <c r="AJ5015">
        <v>79.020532511620601</v>
      </c>
      <c r="AK5015">
        <v>19.840861009270199</v>
      </c>
      <c r="AL5015">
        <v>88.663095979477902</v>
      </c>
      <c r="AM5015">
        <v>87.540156391731699</v>
      </c>
      <c r="AN5015">
        <v>1.0000000127264901</v>
      </c>
    </row>
    <row r="5016" spans="1:40" x14ac:dyDescent="0.25">
      <c r="A5016" t="str">
        <f>"20190312154024489"</f>
        <v>20190312154024489</v>
      </c>
      <c r="B5016" t="str">
        <f>"1552376424481279"</f>
        <v>1552376424481279</v>
      </c>
      <c r="C5016" t="s">
        <v>40</v>
      </c>
      <c r="D5016">
        <v>4.2570480000000002</v>
      </c>
      <c r="E5016">
        <v>0.55682399999999999</v>
      </c>
      <c r="F5016" t="s">
        <v>54</v>
      </c>
      <c r="G5016">
        <v>-204.24189999999999</v>
      </c>
      <c r="H5016" s="1">
        <v>4.4133959999999999E-6</v>
      </c>
      <c r="I5016">
        <v>211.00960000000001</v>
      </c>
      <c r="J5016">
        <v>-223.54060000000001</v>
      </c>
      <c r="K5016">
        <v>1.1092489999999999</v>
      </c>
      <c r="L5016">
        <v>214.8338</v>
      </c>
      <c r="M5016">
        <v>0.99989749999999999</v>
      </c>
      <c r="N5016">
        <v>0</v>
      </c>
      <c r="O5016">
        <v>-3.412291E-3</v>
      </c>
      <c r="P5016">
        <v>0.99886229999999998</v>
      </c>
      <c r="Q5016">
        <v>9.8749790000000007E-3</v>
      </c>
      <c r="R5016">
        <v>-4.6659730000000003E-2</v>
      </c>
      <c r="S5016">
        <v>2.9786220000000001</v>
      </c>
      <c r="T5016">
        <v>-0.16894589999999901</v>
      </c>
      <c r="U5016">
        <v>-0.58279419999999904</v>
      </c>
      <c r="V5016">
        <v>4.331053E-2</v>
      </c>
      <c r="W5016">
        <v>2.3663529999999999E-2</v>
      </c>
      <c r="X5016">
        <v>0.99878140000000004</v>
      </c>
      <c r="Y5016">
        <v>0.18838150000000001</v>
      </c>
      <c r="Z5016">
        <v>-5.0965659999999899E-3</v>
      </c>
      <c r="AA5016">
        <v>0.98208269999999998</v>
      </c>
      <c r="AB5016">
        <v>25</v>
      </c>
      <c r="AC5016">
        <v>19.2987</v>
      </c>
      <c r="AD5016">
        <v>-1.1092445866039999</v>
      </c>
      <c r="AE5016">
        <v>-3.8241999999999901</v>
      </c>
      <c r="AF5016">
        <v>3.7464092712800299</v>
      </c>
      <c r="AG5016">
        <v>-1.1092445866039999</v>
      </c>
      <c r="AH5016">
        <v>19.250443690824898</v>
      </c>
      <c r="AI5016">
        <v>93.237235331062607</v>
      </c>
      <c r="AJ5016">
        <v>78.987088734968296</v>
      </c>
      <c r="AK5016">
        <v>19.642952636364601</v>
      </c>
      <c r="AL5016">
        <v>88.644053069591493</v>
      </c>
      <c r="AM5016">
        <v>87.5170173033315</v>
      </c>
      <c r="AN5016">
        <v>1.00000002482345</v>
      </c>
    </row>
    <row r="5017" spans="1:40" x14ac:dyDescent="0.25">
      <c r="A5017" t="str">
        <f>"20190312154024510"</f>
        <v>20190312154024510</v>
      </c>
      <c r="B5017" t="str">
        <f>"1552376424500800"</f>
        <v>1552376424500800</v>
      </c>
      <c r="C5017" t="s">
        <v>40</v>
      </c>
      <c r="D5017">
        <v>4.2201089999999999</v>
      </c>
      <c r="E5017">
        <v>0.55682679999999996</v>
      </c>
      <c r="F5017" t="s">
        <v>54</v>
      </c>
      <c r="G5017">
        <v>-204.03380000000001</v>
      </c>
      <c r="H5017" s="1">
        <v>4.3242689999999996E-6</v>
      </c>
      <c r="I5017">
        <v>210.9734</v>
      </c>
      <c r="J5017">
        <v>-223.29060000000001</v>
      </c>
      <c r="K5017">
        <v>1.109254</v>
      </c>
      <c r="L5017">
        <v>214.8313</v>
      </c>
      <c r="M5017">
        <v>0.99989159999999999</v>
      </c>
      <c r="N5017">
        <v>0</v>
      </c>
      <c r="O5017">
        <v>-4.8476109999999999E-3</v>
      </c>
      <c r="P5017">
        <v>0.99879130000000005</v>
      </c>
      <c r="Q5017">
        <v>9.8304250000000003E-3</v>
      </c>
      <c r="R5017">
        <v>-4.8164609999999997E-2</v>
      </c>
      <c r="S5017">
        <v>2.9775700000000001</v>
      </c>
      <c r="T5017">
        <v>-0.1693182</v>
      </c>
      <c r="U5017">
        <v>-0.58924869999999996</v>
      </c>
      <c r="V5017">
        <v>4.3381099999999999E-2</v>
      </c>
      <c r="W5017">
        <v>2.3618710000000001E-2</v>
      </c>
      <c r="X5017">
        <v>0.99877939999999998</v>
      </c>
      <c r="Y5017">
        <v>0.18908649999999999</v>
      </c>
      <c r="Z5017">
        <v>-5.0475670000000002E-3</v>
      </c>
      <c r="AA5017">
        <v>0.98194749999999997</v>
      </c>
      <c r="AB5017">
        <v>25</v>
      </c>
      <c r="AC5017">
        <v>19.256799999999998</v>
      </c>
      <c r="AD5017">
        <v>-1.109249675731</v>
      </c>
      <c r="AE5017">
        <v>-3.8578999999999999</v>
      </c>
      <c r="AF5017">
        <v>3.7525253433584802</v>
      </c>
      <c r="AG5017">
        <v>-1.109249675731</v>
      </c>
      <c r="AH5017">
        <v>19.2139831410672</v>
      </c>
      <c r="AI5017">
        <v>93.242962118763501</v>
      </c>
      <c r="AJ5017">
        <v>78.949133940883897</v>
      </c>
      <c r="AK5017">
        <v>19.6083918116931</v>
      </c>
      <c r="AL5017">
        <v>88.646621786676803</v>
      </c>
      <c r="AM5017">
        <v>87.512971643465406</v>
      </c>
      <c r="AN5017">
        <v>1.0000000265818101</v>
      </c>
    </row>
    <row r="5018" spans="1:40" x14ac:dyDescent="0.25">
      <c r="A5018" t="str">
        <f>"20190312154024533"</f>
        <v>20190312154024533</v>
      </c>
      <c r="B5018" t="str">
        <f>"1552376424521295"</f>
        <v>1552376424521295</v>
      </c>
      <c r="C5018" t="s">
        <v>40</v>
      </c>
      <c r="D5018">
        <v>4.2672949999999998</v>
      </c>
      <c r="E5018">
        <v>0.55685609999999997</v>
      </c>
      <c r="F5018" t="s">
        <v>54</v>
      </c>
      <c r="G5018">
        <v>-203.99950000000001</v>
      </c>
      <c r="H5018" s="1">
        <v>4.3081439999999998E-6</v>
      </c>
      <c r="I5018">
        <v>210.98400000000001</v>
      </c>
      <c r="J5018">
        <v>-223.03059999999999</v>
      </c>
      <c r="K5018">
        <v>1.109264</v>
      </c>
      <c r="L5018">
        <v>214.82830000000001</v>
      </c>
      <c r="M5018">
        <v>0.99988330000000003</v>
      </c>
      <c r="N5018">
        <v>0</v>
      </c>
      <c r="O5018">
        <v>-6.3340719999999996E-3</v>
      </c>
      <c r="P5018">
        <v>0.99874629999999998</v>
      </c>
      <c r="Q5018">
        <v>1.0292809999999999E-2</v>
      </c>
      <c r="R5018">
        <v>-4.8990600000000002E-2</v>
      </c>
      <c r="S5018">
        <v>2.9766689999999998</v>
      </c>
      <c r="T5018">
        <v>-0.17115999999999901</v>
      </c>
      <c r="U5018">
        <v>-0.59364319999999904</v>
      </c>
      <c r="V5018">
        <v>4.2723049999999999E-2</v>
      </c>
      <c r="W5018">
        <v>2.4082070000000001E-2</v>
      </c>
      <c r="X5018">
        <v>0.99879669999999998</v>
      </c>
      <c r="Y5018">
        <v>0.18907399999999999</v>
      </c>
      <c r="Z5018">
        <v>-5.0182610000000004E-3</v>
      </c>
      <c r="AA5018">
        <v>0.98194999999999999</v>
      </c>
      <c r="AB5018">
        <v>25</v>
      </c>
      <c r="AC5018">
        <v>19.031099999999899</v>
      </c>
      <c r="AD5018">
        <v>-1.109259691856</v>
      </c>
      <c r="AE5018">
        <v>-3.8443000000000001</v>
      </c>
      <c r="AF5018">
        <v>3.7115518120091902</v>
      </c>
      <c r="AG5018">
        <v>-1.109259691856</v>
      </c>
      <c r="AH5018">
        <v>18.993074413216299</v>
      </c>
      <c r="AI5018">
        <v>93.280558315897196</v>
      </c>
      <c r="AJ5018">
        <v>78.942827438978895</v>
      </c>
      <c r="AK5018">
        <v>19.3840901149158</v>
      </c>
      <c r="AL5018">
        <v>88.620065660473401</v>
      </c>
      <c r="AM5018">
        <v>87.550693570910596</v>
      </c>
      <c r="AN5018">
        <v>1.00000002651383</v>
      </c>
    </row>
    <row r="5019" spans="1:40" x14ac:dyDescent="0.25">
      <c r="A5019" t="str">
        <f>"20190312154024555"</f>
        <v>20190312154024555</v>
      </c>
      <c r="B5019" t="str">
        <f>"1552376424551551"</f>
        <v>1552376424551551</v>
      </c>
      <c r="C5019" t="s">
        <v>40</v>
      </c>
      <c r="D5019">
        <v>4.2976260000000002</v>
      </c>
      <c r="E5019">
        <v>0.55684829999999996</v>
      </c>
      <c r="F5019" t="s">
        <v>54</v>
      </c>
      <c r="G5019">
        <v>-203.50020000000001</v>
      </c>
      <c r="H5019" s="1">
        <v>4.0928699999999998E-6</v>
      </c>
      <c r="I5019">
        <v>210.9136</v>
      </c>
      <c r="J5019">
        <v>-222.78</v>
      </c>
      <c r="K5019">
        <v>1.1092799999999901</v>
      </c>
      <c r="L5019">
        <v>214.82509999999999</v>
      </c>
      <c r="M5019">
        <v>0.99987329999999996</v>
      </c>
      <c r="N5019">
        <v>0</v>
      </c>
      <c r="O5019">
        <v>-7.7632069999999899E-3</v>
      </c>
      <c r="P5019">
        <v>0.99868369999999995</v>
      </c>
      <c r="Q5019">
        <v>1.1260869999999999E-2</v>
      </c>
      <c r="R5019">
        <v>-5.0044730000000003E-2</v>
      </c>
      <c r="S5019">
        <v>2.9762270000000002</v>
      </c>
      <c r="T5019">
        <v>-0.16903889999999999</v>
      </c>
      <c r="U5019">
        <v>-0.59655760000000002</v>
      </c>
      <c r="V5019">
        <v>4.2351760000000002E-2</v>
      </c>
      <c r="W5019">
        <v>2.505023E-2</v>
      </c>
      <c r="X5019">
        <v>0.99878869999999997</v>
      </c>
      <c r="Y5019">
        <v>0.1886332</v>
      </c>
      <c r="Z5019">
        <v>-4.8637510000000004E-3</v>
      </c>
      <c r="AA5019">
        <v>0.98203560000000001</v>
      </c>
      <c r="AB5019">
        <v>25</v>
      </c>
      <c r="AC5019">
        <v>19.279799999999899</v>
      </c>
      <c r="AD5019">
        <v>-1.10927590712999</v>
      </c>
      <c r="AE5019">
        <v>-3.9114999999999802</v>
      </c>
      <c r="AF5019">
        <v>3.74977224105699</v>
      </c>
      <c r="AG5019">
        <v>-1.10927590712999</v>
      </c>
      <c r="AH5019">
        <v>19.248387719133699</v>
      </c>
      <c r="AI5019">
        <v>93.237553104723602</v>
      </c>
      <c r="AJ5019">
        <v>78.976296481041899</v>
      </c>
      <c r="AK5019">
        <v>19.641581267404099</v>
      </c>
      <c r="AL5019">
        <v>88.5645774317681</v>
      </c>
      <c r="AM5019">
        <v>87.571934563053702</v>
      </c>
      <c r="AN5019">
        <v>1.0000000264229101</v>
      </c>
    </row>
    <row r="5020" spans="1:40" x14ac:dyDescent="0.25">
      <c r="A5020" t="str">
        <f>"20190312154024578"</f>
        <v>20190312154024578</v>
      </c>
      <c r="B5020" t="str">
        <f>"1552376424571070"</f>
        <v>1552376424571070</v>
      </c>
      <c r="C5020" t="s">
        <v>40</v>
      </c>
      <c r="D5020">
        <v>4.2695030000000003</v>
      </c>
      <c r="E5020">
        <v>0.5568883</v>
      </c>
      <c r="F5020" t="s">
        <v>54</v>
      </c>
      <c r="G5020">
        <v>-202.94049999999999</v>
      </c>
      <c r="H5020" s="1">
        <v>3.8521979999999997E-6</v>
      </c>
      <c r="I5020">
        <v>210.82749999999999</v>
      </c>
      <c r="J5020">
        <v>-222.52289999999999</v>
      </c>
      <c r="K5020">
        <v>1.109297</v>
      </c>
      <c r="L5020">
        <v>214.82140000000001</v>
      </c>
      <c r="M5020">
        <v>0.99986090000000005</v>
      </c>
      <c r="N5020">
        <v>0</v>
      </c>
      <c r="O5020">
        <v>-9.2269099999999996E-3</v>
      </c>
      <c r="P5020">
        <v>0.99864090000000005</v>
      </c>
      <c r="Q5020">
        <v>1.1184909999999999E-2</v>
      </c>
      <c r="R5020">
        <v>-5.0907969999999997E-2</v>
      </c>
      <c r="S5020">
        <v>2.9757539999999998</v>
      </c>
      <c r="T5020">
        <v>-0.16638169999999999</v>
      </c>
      <c r="U5020">
        <v>-0.59960939999999996</v>
      </c>
      <c r="V5020">
        <v>4.175243E-2</v>
      </c>
      <c r="W5020">
        <v>2.4974909999999999E-2</v>
      </c>
      <c r="X5020">
        <v>0.99881580000000003</v>
      </c>
      <c r="Y5020">
        <v>0.18820529999999999</v>
      </c>
      <c r="Z5020">
        <v>-4.6949119999999999E-3</v>
      </c>
      <c r="AA5020">
        <v>0.98211850000000001</v>
      </c>
      <c r="AB5020">
        <v>25</v>
      </c>
      <c r="AC5020">
        <v>19.5824</v>
      </c>
      <c r="AD5020">
        <v>-1.1092931478020001</v>
      </c>
      <c r="AE5020">
        <v>-3.99390000000002</v>
      </c>
      <c r="AF5020">
        <v>3.8013164360365299</v>
      </c>
      <c r="AG5020">
        <v>-1.1092931478020001</v>
      </c>
      <c r="AH5020">
        <v>19.558166688338101</v>
      </c>
      <c r="AI5020">
        <v>93.186698274274406</v>
      </c>
      <c r="AJ5020">
        <v>79.001146225129702</v>
      </c>
      <c r="AK5020">
        <v>19.9550099509737</v>
      </c>
      <c r="AL5020">
        <v>88.568894272462501</v>
      </c>
      <c r="AM5020">
        <v>87.606319320956104</v>
      </c>
      <c r="AN5020">
        <v>1.0000000069350199</v>
      </c>
    </row>
    <row r="5021" spans="1:40" x14ac:dyDescent="0.25">
      <c r="A5021" t="str">
        <f>"20190312154024600"</f>
        <v>20190312154024600</v>
      </c>
      <c r="B5021" t="str">
        <f>"1552376424591567"</f>
        <v>1552376424591567</v>
      </c>
      <c r="C5021" t="s">
        <v>40</v>
      </c>
      <c r="D5021">
        <v>4.2834110000000001</v>
      </c>
      <c r="E5021">
        <v>0.55692640000000004</v>
      </c>
      <c r="F5021" t="s">
        <v>54</v>
      </c>
      <c r="G5021">
        <v>-202.73480000000001</v>
      </c>
      <c r="H5021" s="1">
        <v>3.7619529999999999E-6</v>
      </c>
      <c r="I5021">
        <v>210.81620000000001</v>
      </c>
      <c r="J5021">
        <v>-222.26759999999999</v>
      </c>
      <c r="K5021">
        <v>1.1093090000000001</v>
      </c>
      <c r="L5021">
        <v>214.81739999999999</v>
      </c>
      <c r="M5021">
        <v>0.99984629999999997</v>
      </c>
      <c r="N5021">
        <v>0</v>
      </c>
      <c r="O5021">
        <v>-1.0681929999999999E-2</v>
      </c>
      <c r="P5021">
        <v>0.99854149999999997</v>
      </c>
      <c r="Q5021">
        <v>1.137381E-2</v>
      </c>
      <c r="R5021">
        <v>-5.2779729999999997E-2</v>
      </c>
      <c r="S5021">
        <v>2.9752350000000001</v>
      </c>
      <c r="T5021">
        <v>-0.16678680000000001</v>
      </c>
      <c r="U5021">
        <v>-0.60220340000000006</v>
      </c>
      <c r="V5021">
        <v>4.2171300000000002E-2</v>
      </c>
      <c r="W5021">
        <v>2.5161300000000001E-2</v>
      </c>
      <c r="X5021">
        <v>0.9987935</v>
      </c>
      <c r="Y5021">
        <v>0.18763379999999999</v>
      </c>
      <c r="Z5021">
        <v>-4.6102309999999898E-3</v>
      </c>
      <c r="AA5021">
        <v>0.9822282</v>
      </c>
      <c r="AB5021">
        <v>25</v>
      </c>
      <c r="AC5021">
        <v>19.532799999999899</v>
      </c>
      <c r="AD5021">
        <v>-1.1093052380470001</v>
      </c>
      <c r="AE5021">
        <v>-4.0011999999999803</v>
      </c>
      <c r="AF5021">
        <v>3.78060090807928</v>
      </c>
      <c r="AG5021">
        <v>-1.1093052380470001</v>
      </c>
      <c r="AH5021">
        <v>19.514025678496399</v>
      </c>
      <c r="AI5021">
        <v>93.194297184516799</v>
      </c>
      <c r="AJ5021">
        <v>79.035486927599607</v>
      </c>
      <c r="AK5021">
        <v>19.907804989961701</v>
      </c>
      <c r="AL5021">
        <v>88.558211519996803</v>
      </c>
      <c r="AM5021">
        <v>87.582279803235394</v>
      </c>
      <c r="AN5021">
        <v>0.999999982601814</v>
      </c>
    </row>
    <row r="5022" spans="1:40" x14ac:dyDescent="0.25">
      <c r="A5022" t="str">
        <f>"20190312154024621"</f>
        <v>20190312154024621</v>
      </c>
      <c r="B5022" t="str">
        <f>"1552376424611088"</f>
        <v>1552376424611088</v>
      </c>
      <c r="C5022" t="s">
        <v>40</v>
      </c>
      <c r="D5022">
        <v>4.3270799999999996</v>
      </c>
      <c r="E5022">
        <v>0.55694030000000005</v>
      </c>
      <c r="F5022" t="s">
        <v>54</v>
      </c>
      <c r="G5022">
        <v>-202.45509999999999</v>
      </c>
      <c r="H5022" s="1">
        <v>3.6422379999999998E-6</v>
      </c>
      <c r="I5022">
        <v>210.76730000000001</v>
      </c>
      <c r="J5022">
        <v>-222.0256</v>
      </c>
      <c r="K5022">
        <v>1.1093029999999999</v>
      </c>
      <c r="L5022">
        <v>214.81319999999999</v>
      </c>
      <c r="M5022">
        <v>0.99983069999999996</v>
      </c>
      <c r="N5022">
        <v>0</v>
      </c>
      <c r="O5022">
        <v>-1.2062949999999999E-2</v>
      </c>
      <c r="P5022">
        <v>0.99841369999999896</v>
      </c>
      <c r="Q5022">
        <v>1.117898E-2</v>
      </c>
      <c r="R5022">
        <v>-5.518675E-2</v>
      </c>
      <c r="S5022">
        <v>2.9741520000000001</v>
      </c>
      <c r="T5022">
        <v>-0.166523799999999</v>
      </c>
      <c r="U5022">
        <v>-0.60798649999999999</v>
      </c>
      <c r="V5022">
        <v>4.3199029999999999E-2</v>
      </c>
      <c r="W5022">
        <v>2.4961569999999999E-2</v>
      </c>
      <c r="X5022">
        <v>0.99875460000000005</v>
      </c>
      <c r="Y5022">
        <v>0.18818270000000001</v>
      </c>
      <c r="Z5022">
        <v>-4.5424970000000004E-3</v>
      </c>
      <c r="AA5022">
        <v>0.98212359999999999</v>
      </c>
      <c r="AB5022">
        <v>25</v>
      </c>
      <c r="AC5022">
        <v>19.570499999999999</v>
      </c>
      <c r="AD5022">
        <v>-1.1092993577620001</v>
      </c>
      <c r="AE5022">
        <v>-4.0458999999999801</v>
      </c>
      <c r="AF5022">
        <v>3.7978030695717</v>
      </c>
      <c r="AG5022">
        <v>-1.1092993577620001</v>
      </c>
      <c r="AH5022">
        <v>19.5576252863262</v>
      </c>
      <c r="AI5022">
        <v>93.186907861491704</v>
      </c>
      <c r="AJ5022">
        <v>79.010767544140194</v>
      </c>
      <c r="AK5022">
        <v>19.953810665151799</v>
      </c>
      <c r="AL5022">
        <v>88.569658817428603</v>
      </c>
      <c r="AM5022">
        <v>87.523335230350796</v>
      </c>
      <c r="AN5022">
        <v>0.99999999359548297</v>
      </c>
    </row>
    <row r="5023" spans="1:40" x14ac:dyDescent="0.25">
      <c r="A5023" t="str">
        <f>"20190312154024645"</f>
        <v>20190312154024645</v>
      </c>
      <c r="B5023" t="str">
        <f>"1552376424631583"</f>
        <v>1552376424631583</v>
      </c>
      <c r="C5023" t="s">
        <v>40</v>
      </c>
      <c r="D5023">
        <v>4.3085149999999999</v>
      </c>
      <c r="E5023">
        <v>0.55699869999999996</v>
      </c>
      <c r="F5023" t="s">
        <v>54</v>
      </c>
      <c r="G5023">
        <v>-202.33619999999999</v>
      </c>
      <c r="H5023" s="1">
        <v>3.592037E-6</v>
      </c>
      <c r="I5023">
        <v>210.7381</v>
      </c>
      <c r="J5023">
        <v>-221.77170000000001</v>
      </c>
      <c r="K5023">
        <v>1.10931</v>
      </c>
      <c r="L5023">
        <v>214.80850000000001</v>
      </c>
      <c r="M5023">
        <v>0.99981209999999998</v>
      </c>
      <c r="N5023">
        <v>0</v>
      </c>
      <c r="O5023">
        <v>-1.351576E-2</v>
      </c>
      <c r="P5023">
        <v>0.99823550000000005</v>
      </c>
      <c r="Q5023">
        <v>1.060155E-2</v>
      </c>
      <c r="R5023">
        <v>-5.8426829999999999E-2</v>
      </c>
      <c r="S5023">
        <v>2.9726409999999999</v>
      </c>
      <c r="T5023">
        <v>-0.1674785</v>
      </c>
      <c r="U5023">
        <v>-0.61524959999999995</v>
      </c>
      <c r="V5023">
        <v>4.4988119999999999E-2</v>
      </c>
      <c r="W5023">
        <v>2.437667E-2</v>
      </c>
      <c r="X5023">
        <v>0.99869010000000003</v>
      </c>
      <c r="Y5023">
        <v>0.1891533</v>
      </c>
      <c r="Z5023">
        <v>-4.5158139999999999E-3</v>
      </c>
      <c r="AA5023">
        <v>0.98193719999999995</v>
      </c>
      <c r="AB5023">
        <v>25</v>
      </c>
      <c r="AC5023">
        <v>19.435500000000001</v>
      </c>
      <c r="AD5023">
        <v>-1.109306407963</v>
      </c>
      <c r="AE5023">
        <v>-4.0704000000000002</v>
      </c>
      <c r="AF5023">
        <v>3.7954722248316801</v>
      </c>
      <c r="AG5023">
        <v>-1.109306407963</v>
      </c>
      <c r="AH5023">
        <v>19.428112592567501</v>
      </c>
      <c r="AI5023">
        <v>93.207423186395602</v>
      </c>
      <c r="AJ5023">
        <v>78.9459323915151</v>
      </c>
      <c r="AK5023">
        <v>19.826440150105</v>
      </c>
      <c r="AL5023">
        <v>88.603181378452604</v>
      </c>
      <c r="AM5023">
        <v>87.420733440782499</v>
      </c>
      <c r="AN5023">
        <v>1.00000003440971</v>
      </c>
    </row>
    <row r="5024" spans="1:40" x14ac:dyDescent="0.25">
      <c r="A5024" t="str">
        <f>"20190312154024667"</f>
        <v>20190312154024667</v>
      </c>
      <c r="B5024" t="str">
        <f>"1552376424660866"</f>
        <v>1552376424660866</v>
      </c>
      <c r="C5024" t="s">
        <v>40</v>
      </c>
      <c r="D5024">
        <v>4.3045150000000003</v>
      </c>
      <c r="E5024">
        <v>0.55706650000000002</v>
      </c>
      <c r="F5024" t="s">
        <v>54</v>
      </c>
      <c r="G5024">
        <v>-202.3527</v>
      </c>
      <c r="H5024" s="1">
        <v>3.6009340000000002E-6</v>
      </c>
      <c r="I5024">
        <v>210.72</v>
      </c>
      <c r="J5024">
        <v>-221.5146</v>
      </c>
      <c r="K5024">
        <v>1.1093109999999999</v>
      </c>
      <c r="L5024">
        <v>214.80330000000001</v>
      </c>
      <c r="M5024">
        <v>0.99979099999999999</v>
      </c>
      <c r="N5024">
        <v>0</v>
      </c>
      <c r="O5024">
        <v>-1.499845E-2</v>
      </c>
      <c r="P5024">
        <v>0.99802930000000001</v>
      </c>
      <c r="Q5024">
        <v>1.0237100000000001E-2</v>
      </c>
      <c r="R5024">
        <v>-6.1910840000000002E-2</v>
      </c>
      <c r="S5024">
        <v>2.9705050000000002</v>
      </c>
      <c r="T5024">
        <v>-0.16968949999999999</v>
      </c>
      <c r="U5024">
        <v>-0.62541199999999997</v>
      </c>
      <c r="V5024">
        <v>4.6992480000000003E-2</v>
      </c>
      <c r="W5024">
        <v>2.400389E-2</v>
      </c>
      <c r="X5024">
        <v>0.99860680000000002</v>
      </c>
      <c r="Y5024">
        <v>0.191048</v>
      </c>
      <c r="Z5024">
        <v>-4.5468160000000004E-3</v>
      </c>
      <c r="AA5024">
        <v>0.98157019999999995</v>
      </c>
      <c r="AB5024">
        <v>25</v>
      </c>
      <c r="AC5024">
        <v>19.161899999999999</v>
      </c>
      <c r="AD5024">
        <v>-1.1093073990660001</v>
      </c>
      <c r="AE5024">
        <v>-4.0833000000000004</v>
      </c>
      <c r="AF5024">
        <v>3.78328550698274</v>
      </c>
      <c r="AG5024">
        <v>-1.1093073990660001</v>
      </c>
      <c r="AH5024">
        <v>19.159570976325298</v>
      </c>
      <c r="AI5024">
        <v>93.250995783865804</v>
      </c>
      <c r="AJ5024">
        <v>78.829964149682993</v>
      </c>
      <c r="AK5024">
        <v>19.561006419144501</v>
      </c>
      <c r="AL5024">
        <v>88.624546317559904</v>
      </c>
      <c r="AM5024">
        <v>87.305760431666997</v>
      </c>
      <c r="AN5024">
        <v>1.0000000104589599</v>
      </c>
    </row>
    <row r="5025" spans="1:40" x14ac:dyDescent="0.25">
      <c r="A5025" t="str">
        <f>"20190312154024689"</f>
        <v>20190312154024689</v>
      </c>
      <c r="B5025" t="str">
        <f>"1552376424681359"</f>
        <v>1552376424681359</v>
      </c>
      <c r="C5025" t="s">
        <v>40</v>
      </c>
      <c r="D5025">
        <v>4.3096670000000001</v>
      </c>
      <c r="E5025">
        <v>0.55704509999999996</v>
      </c>
      <c r="F5025" t="s">
        <v>54</v>
      </c>
      <c r="G5025">
        <v>-202.3107</v>
      </c>
      <c r="H5025" s="1">
        <v>3.5854E-6</v>
      </c>
      <c r="I5025">
        <v>210.6849</v>
      </c>
      <c r="J5025">
        <v>-221.2672</v>
      </c>
      <c r="K5025">
        <v>1.1093059999999999</v>
      </c>
      <c r="L5025">
        <v>214.7979</v>
      </c>
      <c r="M5025">
        <v>0.99976830000000005</v>
      </c>
      <c r="N5025">
        <v>0</v>
      </c>
      <c r="O5025">
        <v>-1.6446349999999998E-2</v>
      </c>
      <c r="P5025">
        <v>0.99784200000000001</v>
      </c>
      <c r="Q5025">
        <v>1.0294070000000001E-2</v>
      </c>
      <c r="R5025">
        <v>-6.4850640000000001E-2</v>
      </c>
      <c r="S5025">
        <v>2.9682010000000001</v>
      </c>
      <c r="T5025">
        <v>-0.1714572</v>
      </c>
      <c r="U5025">
        <v>-0.63655090000000003</v>
      </c>
      <c r="V5025">
        <v>4.8489379999999999E-2</v>
      </c>
      <c r="W5025">
        <v>2.405347E-2</v>
      </c>
      <c r="X5025">
        <v>0.99853400000000003</v>
      </c>
      <c r="Y5025">
        <v>0.19329679999999999</v>
      </c>
      <c r="Z5025">
        <v>-4.5774300000000004E-3</v>
      </c>
      <c r="AA5025">
        <v>0.98112960000000005</v>
      </c>
      <c r="AB5025">
        <v>25</v>
      </c>
      <c r="AC5025">
        <v>18.956499999999998</v>
      </c>
      <c r="AD5025">
        <v>-1.1093024145999999</v>
      </c>
      <c r="AE5025">
        <v>-4.1130000000000004</v>
      </c>
      <c r="AF5025">
        <v>3.7882590561389802</v>
      </c>
      <c r="AG5025">
        <v>-1.1093024145999999</v>
      </c>
      <c r="AH5025">
        <v>18.959579946861702</v>
      </c>
      <c r="AI5025">
        <v>93.2837300293901</v>
      </c>
      <c r="AJ5025">
        <v>78.700694110908103</v>
      </c>
      <c r="AK5025">
        <v>19.3661335915276</v>
      </c>
      <c r="AL5025">
        <v>88.621704715624503</v>
      </c>
      <c r="AM5025">
        <v>87.219868230538594</v>
      </c>
      <c r="AN5025">
        <v>0.99999996927391199</v>
      </c>
    </row>
    <row r="5026" spans="1:40" x14ac:dyDescent="0.25">
      <c r="A5026" t="str">
        <f>"20190312154024711"</f>
        <v>20190312154024711</v>
      </c>
      <c r="B5026" t="str">
        <f>"1552376424700880"</f>
        <v>1552376424700880</v>
      </c>
      <c r="C5026" t="s">
        <v>40</v>
      </c>
      <c r="D5026">
        <v>4.2281170000000001</v>
      </c>
      <c r="E5026">
        <v>0.55716719999999997</v>
      </c>
      <c r="F5026" t="s">
        <v>54</v>
      </c>
      <c r="G5026">
        <v>-202.0523</v>
      </c>
      <c r="H5026" s="1">
        <v>3.4765909999999998E-6</v>
      </c>
      <c r="I5026">
        <v>210.61859999999999</v>
      </c>
      <c r="J5026">
        <v>-221.01740000000001</v>
      </c>
      <c r="K5026">
        <v>1.1092850000000001</v>
      </c>
      <c r="L5026">
        <v>214.7921</v>
      </c>
      <c r="M5026">
        <v>0.99974249999999998</v>
      </c>
      <c r="N5026">
        <v>0</v>
      </c>
      <c r="O5026">
        <v>-1.7943210000000001E-2</v>
      </c>
      <c r="P5026">
        <v>0.99767039999999996</v>
      </c>
      <c r="Q5026">
        <v>1.048439E-2</v>
      </c>
      <c r="R5026">
        <v>-6.7408549999999998E-2</v>
      </c>
      <c r="S5026">
        <v>2.9663390000000001</v>
      </c>
      <c r="T5026">
        <v>-0.1712506</v>
      </c>
      <c r="U5026">
        <v>-0.64518739999999997</v>
      </c>
      <c r="V5026">
        <v>4.9556049999999997E-2</v>
      </c>
      <c r="W5026">
        <v>2.423604E-2</v>
      </c>
      <c r="X5026">
        <v>0.99847719999999995</v>
      </c>
      <c r="Y5026">
        <v>0.19468389999999999</v>
      </c>
      <c r="Z5026">
        <v>-4.5276190000000001E-3</v>
      </c>
      <c r="AA5026">
        <v>0.98085560000000005</v>
      </c>
      <c r="AB5026">
        <v>25</v>
      </c>
      <c r="AC5026">
        <v>18.9651</v>
      </c>
      <c r="AD5026">
        <v>-1.1092815234090001</v>
      </c>
      <c r="AE5026">
        <v>-4.1735000000000104</v>
      </c>
      <c r="AF5026">
        <v>3.8200350703266999</v>
      </c>
      <c r="AG5026">
        <v>-1.1092815234090001</v>
      </c>
      <c r="AH5026">
        <v>18.975021344975399</v>
      </c>
      <c r="AI5026">
        <v>93.280047715365498</v>
      </c>
      <c r="AJ5026">
        <v>78.617411543156507</v>
      </c>
      <c r="AK5026">
        <v>19.3874858730825</v>
      </c>
      <c r="AL5026">
        <v>88.611241152260803</v>
      </c>
      <c r="AM5026">
        <v>87.158648627119902</v>
      </c>
      <c r="AN5026">
        <v>0.99999995332316005</v>
      </c>
    </row>
    <row r="5027" spans="1:40" x14ac:dyDescent="0.25">
      <c r="A5027" t="str">
        <f>"20190312154024734"</f>
        <v>20190312154024734</v>
      </c>
      <c r="B5027" t="str">
        <f>"1552376424721375"</f>
        <v>1552376424721375</v>
      </c>
      <c r="C5027" t="s">
        <v>40</v>
      </c>
      <c r="D5027">
        <v>4.2706559999999998</v>
      </c>
      <c r="E5027">
        <v>0.54733279999999995</v>
      </c>
      <c r="F5027" t="s">
        <v>54</v>
      </c>
      <c r="G5027">
        <v>-201.7312</v>
      </c>
      <c r="H5027" s="1">
        <v>3.3413449999999999E-6</v>
      </c>
      <c r="I5027">
        <v>210.5368</v>
      </c>
      <c r="J5027">
        <v>-220.76130000000001</v>
      </c>
      <c r="K5027">
        <v>1.1092580000000001</v>
      </c>
      <c r="L5027">
        <v>214.78569999999999</v>
      </c>
      <c r="M5027">
        <v>0.99971290000000002</v>
      </c>
      <c r="N5027">
        <v>0</v>
      </c>
      <c r="O5027">
        <v>-1.9527699999999999E-2</v>
      </c>
      <c r="P5027">
        <v>0.99751060000000003</v>
      </c>
      <c r="Q5027">
        <v>1.0188829999999999E-2</v>
      </c>
      <c r="R5027">
        <v>-6.9779279999999999E-2</v>
      </c>
      <c r="S5027">
        <v>2.9645999999999999</v>
      </c>
      <c r="T5027">
        <v>-0.17051459999999999</v>
      </c>
      <c r="U5027">
        <v>-0.65411379999999997</v>
      </c>
      <c r="V5027">
        <v>5.0347459999999997E-2</v>
      </c>
      <c r="W5027">
        <v>2.393286E-2</v>
      </c>
      <c r="X5027">
        <v>0.99844500000000003</v>
      </c>
      <c r="Y5027">
        <v>0.1960694</v>
      </c>
      <c r="Z5027">
        <v>-4.4588029999999999E-3</v>
      </c>
      <c r="AA5027">
        <v>0.98057989999999995</v>
      </c>
      <c r="AB5027">
        <v>25</v>
      </c>
      <c r="AC5027">
        <v>19.030100000000001</v>
      </c>
      <c r="AD5027">
        <v>-1.1092546586550001</v>
      </c>
      <c r="AE5027">
        <v>-4.2488999999999901</v>
      </c>
      <c r="AF5027">
        <v>3.8639347679882299</v>
      </c>
      <c r="AG5027">
        <v>-1.1092546586550001</v>
      </c>
      <c r="AH5027">
        <v>19.047804823116898</v>
      </c>
      <c r="AI5027">
        <v>93.266490747384097</v>
      </c>
      <c r="AJ5027">
        <v>78.532888483655398</v>
      </c>
      <c r="AK5027">
        <v>19.467390846453199</v>
      </c>
      <c r="AL5027">
        <v>88.628617237522604</v>
      </c>
      <c r="AM5027">
        <v>87.113255460445004</v>
      </c>
      <c r="AN5027">
        <v>1.00000003327061</v>
      </c>
    </row>
    <row r="5028" spans="1:40" x14ac:dyDescent="0.25">
      <c r="A5028" t="str">
        <f>"20190312154024756"</f>
        <v>20190312154024756</v>
      </c>
      <c r="B5028" t="str">
        <f>"1552376424751631"</f>
        <v>1552376424751631</v>
      </c>
      <c r="C5028" t="s">
        <v>40</v>
      </c>
      <c r="D5028">
        <v>4.2080729999999997</v>
      </c>
      <c r="E5028">
        <v>0.54575839999999998</v>
      </c>
      <c r="F5028" t="s">
        <v>41</v>
      </c>
      <c r="G5028">
        <v>-220.01570000000001</v>
      </c>
      <c r="H5028">
        <v>1.0090980000000001</v>
      </c>
      <c r="I5028">
        <v>214.64019999999999</v>
      </c>
      <c r="J5028">
        <v>-220.5102</v>
      </c>
      <c r="K5028">
        <v>1.1092139999999999</v>
      </c>
      <c r="L5028">
        <v>214.779</v>
      </c>
      <c r="M5028">
        <v>0.99967980000000001</v>
      </c>
      <c r="N5028">
        <v>0</v>
      </c>
      <c r="O5028">
        <v>-2.1146760000000001E-2</v>
      </c>
      <c r="P5028">
        <v>0.99731029999999998</v>
      </c>
      <c r="Q5028">
        <v>9.7493930000000003E-3</v>
      </c>
      <c r="R5028">
        <v>-7.2643180000000002E-2</v>
      </c>
      <c r="S5028">
        <v>2.970993</v>
      </c>
      <c r="T5028">
        <v>-0.39913310000000002</v>
      </c>
      <c r="U5028">
        <v>-0.57995609999999997</v>
      </c>
      <c r="V5028">
        <v>5.159876E-2</v>
      </c>
      <c r="W5028">
        <v>2.3482369999999999E-2</v>
      </c>
      <c r="X5028">
        <v>0.99839180000000005</v>
      </c>
      <c r="Y5028">
        <v>0.1695073</v>
      </c>
      <c r="Z5028">
        <v>-8.4297709999999904E-3</v>
      </c>
      <c r="AA5028">
        <v>0.98549290000000001</v>
      </c>
      <c r="AB5028">
        <v>25</v>
      </c>
      <c r="AC5028">
        <v>0.494499999999988</v>
      </c>
      <c r="AD5028">
        <v>-0.100115999999999</v>
      </c>
      <c r="AE5028">
        <v>-0.13880000000003101</v>
      </c>
      <c r="AF5028">
        <v>0.12361401971915</v>
      </c>
      <c r="AG5028">
        <v>-0.100115999999999</v>
      </c>
      <c r="AH5028">
        <v>0.47912014548001902</v>
      </c>
      <c r="AI5028">
        <v>101.438369918584</v>
      </c>
      <c r="AJ5028">
        <v>75.533057040442102</v>
      </c>
      <c r="AK5028">
        <v>0.504836362727489</v>
      </c>
      <c r="AL5028">
        <v>88.654435651420798</v>
      </c>
      <c r="AM5028">
        <v>87.041478909489797</v>
      </c>
      <c r="AN5028">
        <v>1.0000000200207899</v>
      </c>
    </row>
    <row r="5029" spans="1:40" x14ac:dyDescent="0.25">
      <c r="A5029" t="str">
        <f>"20190312154024779"</f>
        <v>20190312154024779</v>
      </c>
      <c r="B5029" t="str">
        <f>"1552376424771151"</f>
        <v>1552376424771151</v>
      </c>
      <c r="C5029" t="s">
        <v>40</v>
      </c>
      <c r="D5029">
        <v>4.2488210000000004</v>
      </c>
      <c r="E5029">
        <v>0.54603349999999995</v>
      </c>
      <c r="F5029" t="s">
        <v>41</v>
      </c>
      <c r="G5029">
        <v>-219.79580000000001</v>
      </c>
      <c r="H5029">
        <v>1.000791</v>
      </c>
      <c r="I5029">
        <v>214.6404</v>
      </c>
      <c r="J5029">
        <v>-220.26259999999999</v>
      </c>
      <c r="K5029">
        <v>1.1091580000000001</v>
      </c>
      <c r="L5029">
        <v>214.77189999999999</v>
      </c>
      <c r="M5029">
        <v>0.9996429</v>
      </c>
      <c r="N5029">
        <v>0</v>
      </c>
      <c r="O5029">
        <v>-2.2830059999999999E-2</v>
      </c>
      <c r="P5029">
        <v>0.9970502</v>
      </c>
      <c r="Q5029">
        <v>8.8983369999999992E-3</v>
      </c>
      <c r="R5029">
        <v>-7.6234510000000005E-2</v>
      </c>
      <c r="S5029">
        <v>2.970596</v>
      </c>
      <c r="T5029">
        <v>-0.45079960000000002</v>
      </c>
      <c r="U5029">
        <v>-0.57505799999999996</v>
      </c>
      <c r="V5029">
        <v>5.351438E-2</v>
      </c>
      <c r="W5029">
        <v>2.2616669999999998E-2</v>
      </c>
      <c r="X5029">
        <v>0.9983109</v>
      </c>
      <c r="Y5029">
        <v>0.16601070000000001</v>
      </c>
      <c r="Z5029">
        <v>-8.9994840000000003E-3</v>
      </c>
      <c r="AA5029">
        <v>0.98608289999999998</v>
      </c>
      <c r="AB5029">
        <v>25</v>
      </c>
      <c r="AC5029">
        <v>0.46679999999997701</v>
      </c>
      <c r="AD5029">
        <v>-0.108367</v>
      </c>
      <c r="AE5029">
        <v>-0.13149999999998799</v>
      </c>
      <c r="AF5029">
        <v>0.115062478548975</v>
      </c>
      <c r="AG5029">
        <v>-0.108367</v>
      </c>
      <c r="AH5029">
        <v>0.44734456105205</v>
      </c>
      <c r="AI5029">
        <v>103.20330189131199</v>
      </c>
      <c r="AJ5029">
        <v>75.575500315129105</v>
      </c>
      <c r="AK5029">
        <v>0.47444698013759701</v>
      </c>
      <c r="AL5029">
        <v>88.704049734895094</v>
      </c>
      <c r="AM5029">
        <v>86.931600843188505</v>
      </c>
      <c r="AN5029">
        <v>0.99999997784374095</v>
      </c>
    </row>
    <row r="5030" spans="1:40" x14ac:dyDescent="0.25">
      <c r="A5030" t="str">
        <f>"20190312154024801"</f>
        <v>20190312154024801</v>
      </c>
      <c r="B5030" t="str">
        <f>"1552376424790671"</f>
        <v>1552376424790671</v>
      </c>
      <c r="C5030" t="s">
        <v>40</v>
      </c>
      <c r="D5030">
        <v>4.2802319999999998</v>
      </c>
      <c r="E5030">
        <v>0.54619549999999994</v>
      </c>
      <c r="F5030" t="s">
        <v>41</v>
      </c>
      <c r="G5030">
        <v>-219.36449999999999</v>
      </c>
      <c r="H5030">
        <v>0.96744779999999997</v>
      </c>
      <c r="I5030">
        <v>214.5941</v>
      </c>
      <c r="J5030">
        <v>-220.0128</v>
      </c>
      <c r="K5030">
        <v>1.109092</v>
      </c>
      <c r="L5030">
        <v>214.76410000000001</v>
      </c>
      <c r="M5030">
        <v>0.99960039999999994</v>
      </c>
      <c r="N5030">
        <v>0</v>
      </c>
      <c r="O5030">
        <v>-2.462489E-2</v>
      </c>
      <c r="P5030">
        <v>0.99677369999999998</v>
      </c>
      <c r="Q5030">
        <v>8.0752180000000003E-3</v>
      </c>
      <c r="R5030">
        <v>-7.9859490000000005E-2</v>
      </c>
      <c r="S5030">
        <v>2.9681700000000002</v>
      </c>
      <c r="T5030">
        <v>-0.46835009999999999</v>
      </c>
      <c r="U5030">
        <v>-0.58677669999999904</v>
      </c>
      <c r="V5030">
        <v>5.5352909999999998E-2</v>
      </c>
      <c r="W5030">
        <v>2.1777640000000001E-2</v>
      </c>
      <c r="X5030">
        <v>0.99822929999999999</v>
      </c>
      <c r="Y5030">
        <v>0.1680122</v>
      </c>
      <c r="Z5030">
        <v>-9.2267740000000001E-3</v>
      </c>
      <c r="AA5030">
        <v>0.98574170000000005</v>
      </c>
      <c r="AB5030">
        <v>25</v>
      </c>
      <c r="AC5030">
        <v>0.64830000000000598</v>
      </c>
      <c r="AD5030">
        <v>-0.141644199999999</v>
      </c>
      <c r="AE5030">
        <v>-0.170000000000015</v>
      </c>
      <c r="AF5030">
        <v>0.14739904659516501</v>
      </c>
      <c r="AG5030">
        <v>-0.141644199999999</v>
      </c>
      <c r="AH5030">
        <v>0.62440129170428105</v>
      </c>
      <c r="AI5030">
        <v>102.450026932169</v>
      </c>
      <c r="AJ5030">
        <v>76.717657241123504</v>
      </c>
      <c r="AK5030">
        <v>0.657013341883388</v>
      </c>
      <c r="AL5030">
        <v>88.752134456442306</v>
      </c>
      <c r="AM5030">
        <v>86.826136518778497</v>
      </c>
      <c r="AN5030">
        <v>0.99999997281396302</v>
      </c>
    </row>
    <row r="5031" spans="1:40" x14ac:dyDescent="0.25">
      <c r="A5031" t="str">
        <f>"20190312154024822"</f>
        <v>20190312154024822</v>
      </c>
      <c r="B5031" t="str">
        <f>"1552376424811167"</f>
        <v>1552376424811167</v>
      </c>
      <c r="C5031" t="s">
        <v>40</v>
      </c>
      <c r="D5031">
        <v>4.2896900000000002</v>
      </c>
      <c r="E5031">
        <v>0.54648850000000004</v>
      </c>
      <c r="F5031" t="s">
        <v>41</v>
      </c>
      <c r="G5031">
        <v>-219.1413</v>
      </c>
      <c r="H5031">
        <v>0.96739640000000005</v>
      </c>
      <c r="I5031">
        <v>214.5881</v>
      </c>
      <c r="J5031">
        <v>-219.76900000000001</v>
      </c>
      <c r="K5031">
        <v>1.1090230000000001</v>
      </c>
      <c r="L5031">
        <v>214.756</v>
      </c>
      <c r="M5031">
        <v>0.99955340000000004</v>
      </c>
      <c r="N5031">
        <v>0</v>
      </c>
      <c r="O5031">
        <v>-2.6461390000000001E-2</v>
      </c>
      <c r="P5031">
        <v>0.99654549999999997</v>
      </c>
      <c r="Q5031">
        <v>7.8159579999999996E-3</v>
      </c>
      <c r="R5031">
        <v>-8.2681900000000003E-2</v>
      </c>
      <c r="S5031">
        <v>2.9656370000000001</v>
      </c>
      <c r="T5031">
        <v>-0.48220469999999999</v>
      </c>
      <c r="U5031">
        <v>-0.59883120000000001</v>
      </c>
      <c r="V5031">
        <v>5.6348259999999997E-2</v>
      </c>
      <c r="W5031">
        <v>2.150591E-2</v>
      </c>
      <c r="X5031">
        <v>0.99817959999999994</v>
      </c>
      <c r="Y5031">
        <v>0.17010819999999999</v>
      </c>
      <c r="Z5031">
        <v>-9.3748470000000004E-3</v>
      </c>
      <c r="AA5031">
        <v>0.98538079999999995</v>
      </c>
      <c r="AB5031">
        <v>25</v>
      </c>
      <c r="AC5031">
        <v>0.62770000000000403</v>
      </c>
      <c r="AD5031">
        <v>-0.14162659999999899</v>
      </c>
      <c r="AE5031">
        <v>-0.16789999999997399</v>
      </c>
      <c r="AF5031">
        <v>0.144370896411395</v>
      </c>
      <c r="AG5031">
        <v>-0.14162659999999899</v>
      </c>
      <c r="AH5031">
        <v>0.60326316397741198</v>
      </c>
      <c r="AI5031">
        <v>102.86132774127501</v>
      </c>
      <c r="AJ5031">
        <v>76.541295207104</v>
      </c>
      <c r="AK5031">
        <v>0.63626055556684302</v>
      </c>
      <c r="AL5031">
        <v>88.767707208864095</v>
      </c>
      <c r="AM5031">
        <v>86.769023765924402</v>
      </c>
      <c r="AN5031">
        <v>1.00000007221305</v>
      </c>
    </row>
    <row r="5032" spans="1:40" x14ac:dyDescent="0.25">
      <c r="A5032" t="str">
        <f>"20190312154024846"</f>
        <v>20190312154024846</v>
      </c>
      <c r="B5032" t="str">
        <f>"1552376424841423"</f>
        <v>1552376424841423</v>
      </c>
      <c r="C5032" t="s">
        <v>40</v>
      </c>
      <c r="D5032">
        <v>4.2385699999999904</v>
      </c>
      <c r="E5032">
        <v>0.54039399999999904</v>
      </c>
      <c r="F5032" t="s">
        <v>41</v>
      </c>
      <c r="G5032">
        <v>-218.91829999999999</v>
      </c>
      <c r="H5032">
        <v>0.96764589999999995</v>
      </c>
      <c r="I5032">
        <v>214.58070000000001</v>
      </c>
      <c r="J5032">
        <v>-219.5155</v>
      </c>
      <c r="K5032">
        <v>1.1089629999999999</v>
      </c>
      <c r="L5032">
        <v>214.74709999999999</v>
      </c>
      <c r="M5032">
        <v>0.99949809999999994</v>
      </c>
      <c r="N5032">
        <v>0</v>
      </c>
      <c r="O5032">
        <v>-2.8472600000000001E-2</v>
      </c>
      <c r="P5032">
        <v>0.99636100000000005</v>
      </c>
      <c r="Q5032">
        <v>7.2537690000000002E-3</v>
      </c>
      <c r="R5032">
        <v>-8.4925570000000006E-2</v>
      </c>
      <c r="S5032">
        <v>2.9636230000000001</v>
      </c>
      <c r="T5032">
        <v>-0.49250769999999999</v>
      </c>
      <c r="U5032">
        <v>-0.61021419999999904</v>
      </c>
      <c r="V5032">
        <v>5.6588560000000003E-2</v>
      </c>
      <c r="W5032">
        <v>2.0934310000000001E-2</v>
      </c>
      <c r="X5032">
        <v>0.99817809999999996</v>
      </c>
      <c r="Y5032">
        <v>0.1718151</v>
      </c>
      <c r="Z5032">
        <v>-9.3867029999999997E-3</v>
      </c>
      <c r="AA5032">
        <v>0.98508450000000003</v>
      </c>
      <c r="AB5032">
        <v>25</v>
      </c>
      <c r="AC5032">
        <v>0.59720000000001505</v>
      </c>
      <c r="AD5032">
        <v>-0.141317099999999</v>
      </c>
      <c r="AE5032">
        <v>-0.16639999999998101</v>
      </c>
      <c r="AF5032">
        <v>0.14195112555518699</v>
      </c>
      <c r="AG5032">
        <v>-0.141317099999999</v>
      </c>
      <c r="AH5032">
        <v>0.57197570309827095</v>
      </c>
      <c r="AI5032">
        <v>103.48457435197</v>
      </c>
      <c r="AJ5032">
        <v>76.062113049430806</v>
      </c>
      <c r="AK5032">
        <v>0.60603370346339303</v>
      </c>
      <c r="AL5032">
        <v>88.800464781841896</v>
      </c>
      <c r="AM5032">
        <v>86.755269617462304</v>
      </c>
      <c r="AN5032">
        <v>1.00000001488882</v>
      </c>
    </row>
    <row r="5033" spans="1:40" x14ac:dyDescent="0.25">
      <c r="A5033" t="str">
        <f>"20190312154024868"</f>
        <v>20190312154024868</v>
      </c>
      <c r="B5033" t="str">
        <f>"1552376424860946"</f>
        <v>1552376424860946</v>
      </c>
      <c r="C5033" t="s">
        <v>40</v>
      </c>
      <c r="D5033">
        <v>4.3144099999999996</v>
      </c>
      <c r="E5033">
        <v>0.54110029999999998</v>
      </c>
      <c r="F5033" t="s">
        <v>41</v>
      </c>
      <c r="G5033">
        <v>-218.71289999999999</v>
      </c>
      <c r="H5033">
        <v>0.93166040000000006</v>
      </c>
      <c r="I5033">
        <v>214.59379999999999</v>
      </c>
      <c r="J5033">
        <v>-219.26480000000001</v>
      </c>
      <c r="K5033">
        <v>1.108895</v>
      </c>
      <c r="L5033">
        <v>214.73759999999999</v>
      </c>
      <c r="M5033">
        <v>0.99943559999999998</v>
      </c>
      <c r="N5033">
        <v>0</v>
      </c>
      <c r="O5033">
        <v>-3.0586430000000001E-2</v>
      </c>
      <c r="P5033">
        <v>0.99607880000000004</v>
      </c>
      <c r="Q5033">
        <v>7.9511159999999994E-3</v>
      </c>
      <c r="R5033">
        <v>-8.8113739999999996E-2</v>
      </c>
      <c r="S5033">
        <v>2.9674680000000002</v>
      </c>
      <c r="T5033">
        <v>-0.65547449999999996</v>
      </c>
      <c r="U5033">
        <v>-0.56617740000000005</v>
      </c>
      <c r="V5033">
        <v>5.7678550000000002E-2</v>
      </c>
      <c r="W5033">
        <v>2.1616509999999999E-2</v>
      </c>
      <c r="X5033">
        <v>0.99810120000000002</v>
      </c>
      <c r="Y5033">
        <v>0.15440219999999999</v>
      </c>
      <c r="Z5033">
        <v>-1.0090999999999999E-2</v>
      </c>
      <c r="AA5033">
        <v>0.98795650000000002</v>
      </c>
      <c r="AB5033">
        <v>25</v>
      </c>
      <c r="AC5033">
        <v>0.55190000000001704</v>
      </c>
      <c r="AD5033">
        <v>-0.17723459999999999</v>
      </c>
      <c r="AE5033">
        <v>-0.14379999999999801</v>
      </c>
      <c r="AF5033">
        <v>0.115679090556561</v>
      </c>
      <c r="AG5033">
        <v>-0.17723459999999999</v>
      </c>
      <c r="AH5033">
        <v>0.50707166595692599</v>
      </c>
      <c r="AI5033">
        <v>108.81760439048</v>
      </c>
      <c r="AJ5033">
        <v>77.148947672330607</v>
      </c>
      <c r="AK5033">
        <v>0.54946831559743803</v>
      </c>
      <c r="AL5033">
        <v>88.7613687914331</v>
      </c>
      <c r="AM5033">
        <v>86.692653881515398</v>
      </c>
      <c r="AN5033">
        <v>1.0000000470380599</v>
      </c>
    </row>
    <row r="5034" spans="1:40" x14ac:dyDescent="0.25">
      <c r="A5034" t="str">
        <f>"20190312154024890"</f>
        <v>20190312154024890</v>
      </c>
      <c r="B5034" t="str">
        <f>"1552376424881439"</f>
        <v>1552376424881439</v>
      </c>
      <c r="C5034" t="s">
        <v>40</v>
      </c>
      <c r="D5034">
        <v>4.327915</v>
      </c>
      <c r="E5034">
        <v>0.54021030000000003</v>
      </c>
      <c r="F5034" t="s">
        <v>41</v>
      </c>
      <c r="G5034">
        <v>-218.4905</v>
      </c>
      <c r="H5034">
        <v>0.93151340000000005</v>
      </c>
      <c r="I5034">
        <v>214.58580000000001</v>
      </c>
      <c r="J5034">
        <v>-219.02</v>
      </c>
      <c r="K5034">
        <v>1.1088180000000001</v>
      </c>
      <c r="L5034">
        <v>214.7276</v>
      </c>
      <c r="M5034">
        <v>0.99936559999999997</v>
      </c>
      <c r="N5034">
        <v>0</v>
      </c>
      <c r="O5034">
        <v>-3.2798910000000001E-2</v>
      </c>
      <c r="P5034">
        <v>0.99578199999999994</v>
      </c>
      <c r="Q5034">
        <v>9.5361839999999996E-3</v>
      </c>
      <c r="R5034">
        <v>-9.1254989999999994E-2</v>
      </c>
      <c r="S5034">
        <v>2.965805</v>
      </c>
      <c r="T5034">
        <v>-0.67939559999999999</v>
      </c>
      <c r="U5034">
        <v>-0.58128359999999901</v>
      </c>
      <c r="V5034">
        <v>5.8628359999999997E-2</v>
      </c>
      <c r="W5034">
        <v>2.3184429999999999E-2</v>
      </c>
      <c r="X5034">
        <v>0.99801059999999997</v>
      </c>
      <c r="Y5034">
        <v>0.15694930000000001</v>
      </c>
      <c r="Z5034">
        <v>-1.0241770000000001E-2</v>
      </c>
      <c r="AA5034">
        <v>0.98755349999999997</v>
      </c>
      <c r="AB5034">
        <v>25</v>
      </c>
      <c r="AC5034">
        <v>0.52950000000001296</v>
      </c>
      <c r="AD5034">
        <v>-0.17730460000000001</v>
      </c>
      <c r="AE5034">
        <v>-0.14179999999998899</v>
      </c>
      <c r="AF5034">
        <v>0.11257684544531101</v>
      </c>
      <c r="AG5034">
        <v>-0.17730460000000001</v>
      </c>
      <c r="AH5034">
        <v>0.48330180347590102</v>
      </c>
      <c r="AI5034">
        <v>109.66160737124</v>
      </c>
      <c r="AJ5034">
        <v>76.887743214981597</v>
      </c>
      <c r="AK5034">
        <v>0.52696404104515204</v>
      </c>
      <c r="AL5034">
        <v>88.671510951532099</v>
      </c>
      <c r="AM5034">
        <v>86.638010241293998</v>
      </c>
      <c r="AN5034">
        <v>0.99999998005153701</v>
      </c>
    </row>
    <row r="5035" spans="1:40" x14ac:dyDescent="0.25">
      <c r="A5035" t="str">
        <f>"20190312154024912"</f>
        <v>20190312154024912</v>
      </c>
      <c r="B5035" t="str">
        <f>"1552376424900959"</f>
        <v>1552376424900959</v>
      </c>
      <c r="C5035" t="s">
        <v>40</v>
      </c>
      <c r="D5035">
        <v>4.3514879999999998</v>
      </c>
      <c r="E5035">
        <v>0.53987099999999999</v>
      </c>
      <c r="F5035" t="s">
        <v>41</v>
      </c>
      <c r="G5035">
        <v>-218.2663</v>
      </c>
      <c r="H5035">
        <v>0.93612859999999998</v>
      </c>
      <c r="I5035">
        <v>214.57929999999999</v>
      </c>
      <c r="J5035">
        <v>-218.77199999999999</v>
      </c>
      <c r="K5035">
        <v>1.1087009999999999</v>
      </c>
      <c r="L5035">
        <v>214.71690000000001</v>
      </c>
      <c r="M5035">
        <v>0.99928309999999998</v>
      </c>
      <c r="N5035">
        <v>0</v>
      </c>
      <c r="O5035">
        <v>-3.5218399999999997E-2</v>
      </c>
      <c r="P5035">
        <v>0.99551710000000004</v>
      </c>
      <c r="Q5035">
        <v>1.030678E-2</v>
      </c>
      <c r="R5035">
        <v>-9.4018309999999994E-2</v>
      </c>
      <c r="S5035">
        <v>2.9657439999999999</v>
      </c>
      <c r="T5035">
        <v>-0.67944759999999904</v>
      </c>
      <c r="U5035">
        <v>-0.58346560000000003</v>
      </c>
      <c r="V5035">
        <v>5.8991889999999998E-2</v>
      </c>
      <c r="W5035">
        <v>2.3938580000000001E-2</v>
      </c>
      <c r="X5035">
        <v>0.99797139999999995</v>
      </c>
      <c r="Y5035">
        <v>0.15536269999999999</v>
      </c>
      <c r="Z5035">
        <v>-9.5231440000000007E-3</v>
      </c>
      <c r="AA5035">
        <v>0.98781160000000001</v>
      </c>
      <c r="AB5035">
        <v>25</v>
      </c>
      <c r="AC5035">
        <v>0.50570000000001802</v>
      </c>
      <c r="AD5035">
        <v>-0.17257239999999899</v>
      </c>
      <c r="AE5035">
        <v>-0.13760000000002001</v>
      </c>
      <c r="AF5035">
        <v>0.107993544248925</v>
      </c>
      <c r="AG5035">
        <v>-0.17257239999999899</v>
      </c>
      <c r="AH5035">
        <v>0.46032147340061602</v>
      </c>
      <c r="AI5035">
        <v>110.051356190376</v>
      </c>
      <c r="AJ5035">
        <v>76.796918741749195</v>
      </c>
      <c r="AK5035">
        <v>0.50332861801701601</v>
      </c>
      <c r="AL5035">
        <v>88.6282893756524</v>
      </c>
      <c r="AM5035">
        <v>86.617079641050495</v>
      </c>
      <c r="AN5035">
        <v>1.0000000069580699</v>
      </c>
    </row>
    <row r="5036" spans="1:40" x14ac:dyDescent="0.25">
      <c r="A5036" t="str">
        <f>"20190312154024936"</f>
        <v>20190312154024936</v>
      </c>
      <c r="B5036" t="str">
        <f>"1552376424921455"</f>
        <v>1552376424921455</v>
      </c>
      <c r="C5036" t="s">
        <v>40</v>
      </c>
      <c r="D5036">
        <v>4.3644080000000001</v>
      </c>
      <c r="E5036">
        <v>0.5399098</v>
      </c>
      <c r="F5036" t="s">
        <v>41</v>
      </c>
      <c r="G5036">
        <v>-218.0421</v>
      </c>
      <c r="H5036">
        <v>0.9410828</v>
      </c>
      <c r="I5036">
        <v>214.57140000000001</v>
      </c>
      <c r="J5036">
        <v>-218.51849999999999</v>
      </c>
      <c r="K5036">
        <v>1.1085499999999999</v>
      </c>
      <c r="L5036">
        <v>214.70500000000001</v>
      </c>
      <c r="M5036">
        <v>0.99918479999999998</v>
      </c>
      <c r="N5036">
        <v>0</v>
      </c>
      <c r="O5036">
        <v>-3.7905769999999998E-2</v>
      </c>
      <c r="P5036">
        <v>0.99523010000000001</v>
      </c>
      <c r="Q5036">
        <v>1.047698E-2</v>
      </c>
      <c r="R5036">
        <v>-9.6993140000000005E-2</v>
      </c>
      <c r="S5036">
        <v>2.9648279999999998</v>
      </c>
      <c r="T5036">
        <v>-0.68066099999999996</v>
      </c>
      <c r="U5036">
        <v>-0.59007259999999995</v>
      </c>
      <c r="V5036">
        <v>5.9300169999999999E-2</v>
      </c>
      <c r="W5036">
        <v>2.4089220000000001E-2</v>
      </c>
      <c r="X5036">
        <v>0.99794950000000004</v>
      </c>
      <c r="Y5036">
        <v>0.15495030000000001</v>
      </c>
      <c r="Z5036">
        <v>-8.8923409999999998E-3</v>
      </c>
      <c r="AA5036">
        <v>0.98788229999999999</v>
      </c>
      <c r="AB5036">
        <v>25</v>
      </c>
      <c r="AC5036">
        <v>0.476399999999984</v>
      </c>
      <c r="AD5036">
        <v>-0.16746719999999901</v>
      </c>
      <c r="AE5036">
        <v>-0.133600000000001</v>
      </c>
      <c r="AF5036">
        <v>0.103577904512914</v>
      </c>
      <c r="AG5036">
        <v>-0.16746719999999901</v>
      </c>
      <c r="AH5036">
        <v>0.43166965412590902</v>
      </c>
      <c r="AI5036">
        <v>110.668699185732</v>
      </c>
      <c r="AJ5036">
        <v>76.507129758630299</v>
      </c>
      <c r="AK5036">
        <v>0.47446004644470102</v>
      </c>
      <c r="AL5036">
        <v>88.619655843788706</v>
      </c>
      <c r="AM5036">
        <v>86.599368094008895</v>
      </c>
      <c r="AN5036">
        <v>1.0000000026162399</v>
      </c>
    </row>
    <row r="5037" spans="1:40" x14ac:dyDescent="0.25">
      <c r="A5037" t="str">
        <f>"20190312154024958"</f>
        <v>20190312154024958</v>
      </c>
      <c r="B5037" t="str">
        <f>"1552376424950735"</f>
        <v>1552376424950735</v>
      </c>
      <c r="C5037" t="s">
        <v>40</v>
      </c>
      <c r="D5037">
        <v>4.378838</v>
      </c>
      <c r="E5037">
        <v>0.5395894</v>
      </c>
      <c r="F5037" t="s">
        <v>41</v>
      </c>
      <c r="G5037">
        <v>-217.81780000000001</v>
      </c>
      <c r="H5037">
        <v>0.94663920000000001</v>
      </c>
      <c r="I5037">
        <v>214.56309999999999</v>
      </c>
      <c r="J5037">
        <v>-218.2715</v>
      </c>
      <c r="K5037">
        <v>1.108384</v>
      </c>
      <c r="L5037">
        <v>214.6925</v>
      </c>
      <c r="M5037">
        <v>0.99907190000000001</v>
      </c>
      <c r="N5037">
        <v>0</v>
      </c>
      <c r="O5037">
        <v>-4.0767890000000001E-2</v>
      </c>
      <c r="P5037">
        <v>0.99493379999999998</v>
      </c>
      <c r="Q5037">
        <v>9.7543579999999994E-3</v>
      </c>
      <c r="R5037">
        <v>-0.1000576</v>
      </c>
      <c r="S5037">
        <v>2.963165</v>
      </c>
      <c r="T5037">
        <v>-0.68462529999999999</v>
      </c>
      <c r="U5037">
        <v>-0.59960939999999996</v>
      </c>
      <c r="V5037">
        <v>5.9521030000000003E-2</v>
      </c>
      <c r="W5037">
        <v>2.3346990000000001E-2</v>
      </c>
      <c r="X5037">
        <v>0.99795400000000001</v>
      </c>
      <c r="Y5037">
        <v>0.15531300000000001</v>
      </c>
      <c r="Z5037">
        <v>-8.3412179999999992E-3</v>
      </c>
      <c r="AA5037">
        <v>0.98783010000000004</v>
      </c>
      <c r="AB5037">
        <v>25</v>
      </c>
      <c r="AC5037">
        <v>0.45369999999999699</v>
      </c>
      <c r="AD5037">
        <v>-0.16174479999999999</v>
      </c>
      <c r="AE5037">
        <v>-0.12940000000000301</v>
      </c>
      <c r="AF5037">
        <v>9.9141814228229597E-2</v>
      </c>
      <c r="AG5037">
        <v>-0.16174479999999999</v>
      </c>
      <c r="AH5037">
        <v>0.41036705685265401</v>
      </c>
      <c r="AI5037">
        <v>110.96304848214101</v>
      </c>
      <c r="AJ5037">
        <v>76.417995971359701</v>
      </c>
      <c r="AK5037">
        <v>0.45209689338173298</v>
      </c>
      <c r="AL5037">
        <v>88.662194468379695</v>
      </c>
      <c r="AM5037">
        <v>86.586747884148096</v>
      </c>
      <c r="AN5037">
        <v>1.0000000105351601</v>
      </c>
    </row>
    <row r="5038" spans="1:40" x14ac:dyDescent="0.25">
      <c r="A5038" t="str">
        <f>"20190312154024980"</f>
        <v>20190312154024980</v>
      </c>
      <c r="B5038" t="str">
        <f>"1552376424971231"</f>
        <v>1552376424971231</v>
      </c>
      <c r="C5038" t="s">
        <v>40</v>
      </c>
      <c r="D5038">
        <v>4.3539029999999999</v>
      </c>
      <c r="E5038">
        <v>0.53932480000000005</v>
      </c>
      <c r="F5038" t="s">
        <v>41</v>
      </c>
      <c r="G5038">
        <v>-217.39510000000001</v>
      </c>
      <c r="H5038">
        <v>0.90415909999999999</v>
      </c>
      <c r="I5038">
        <v>214.51310000000001</v>
      </c>
      <c r="J5038">
        <v>-218.02279999999999</v>
      </c>
      <c r="K5038">
        <v>1.1082069999999999</v>
      </c>
      <c r="L5038">
        <v>214.6788</v>
      </c>
      <c r="M5038">
        <v>0.99893770000000004</v>
      </c>
      <c r="N5038">
        <v>0</v>
      </c>
      <c r="O5038">
        <v>-4.3933090000000001E-2</v>
      </c>
      <c r="P5038">
        <v>0.99454160000000003</v>
      </c>
      <c r="Q5038">
        <v>9.6935000000000007E-3</v>
      </c>
      <c r="R5038">
        <v>-0.1038915</v>
      </c>
      <c r="S5038">
        <v>2.9610750000000001</v>
      </c>
      <c r="T5038">
        <v>-0.68993509999999902</v>
      </c>
      <c r="U5038">
        <v>-0.60586549999999995</v>
      </c>
      <c r="V5038">
        <v>6.0215369999999997E-2</v>
      </c>
      <c r="W5038">
        <v>2.326261E-2</v>
      </c>
      <c r="X5038">
        <v>0.99791430000000003</v>
      </c>
      <c r="Y5038">
        <v>0.15438270000000001</v>
      </c>
      <c r="Z5038">
        <v>-7.583836E-3</v>
      </c>
      <c r="AA5038">
        <v>0.98798200000000003</v>
      </c>
      <c r="AB5038">
        <v>25</v>
      </c>
      <c r="AC5038">
        <v>0.62769999999997494</v>
      </c>
      <c r="AD5038">
        <v>-0.20404789999999901</v>
      </c>
      <c r="AE5038">
        <v>-0.165699999999986</v>
      </c>
      <c r="AF5038">
        <v>0.12555699562661499</v>
      </c>
      <c r="AG5038">
        <v>-0.20404789999999901</v>
      </c>
      <c r="AH5038">
        <v>0.57734000119496598</v>
      </c>
      <c r="AI5038">
        <v>109.052614726846</v>
      </c>
      <c r="AJ5038">
        <v>77.730649345871001</v>
      </c>
      <c r="AK5038">
        <v>0.62507726052464496</v>
      </c>
      <c r="AL5038">
        <v>88.667030378871004</v>
      </c>
      <c r="AM5038">
        <v>86.546889488343993</v>
      </c>
      <c r="AN5038">
        <v>0.99999999497636904</v>
      </c>
    </row>
    <row r="5039" spans="1:40" x14ac:dyDescent="0.25">
      <c r="A5039" t="str">
        <f>"20190312154025002"</f>
        <v>20190312154025002</v>
      </c>
      <c r="B5039" t="str">
        <f>"1552376424990753"</f>
        <v>1552376424990753</v>
      </c>
      <c r="C5039" t="s">
        <v>40</v>
      </c>
      <c r="D5039">
        <v>4.3821839999999996</v>
      </c>
      <c r="E5039">
        <v>0.5390007</v>
      </c>
      <c r="F5039" t="s">
        <v>41</v>
      </c>
      <c r="G5039">
        <v>-217.17189999999999</v>
      </c>
      <c r="H5039">
        <v>0.90969409999999895</v>
      </c>
      <c r="I5039">
        <v>214.5018</v>
      </c>
      <c r="J5039">
        <v>-217.7825</v>
      </c>
      <c r="K5039">
        <v>1.1080540000000001</v>
      </c>
      <c r="L5039">
        <v>214.66460000000001</v>
      </c>
      <c r="M5039">
        <v>0.99878809999999996</v>
      </c>
      <c r="N5039">
        <v>0</v>
      </c>
      <c r="O5039">
        <v>-4.7211950000000003E-2</v>
      </c>
      <c r="P5039">
        <v>0.99408209999999997</v>
      </c>
      <c r="Q5039">
        <v>1.09233E-2</v>
      </c>
      <c r="R5039">
        <v>-0.1080825</v>
      </c>
      <c r="S5039">
        <v>2.9590000000000001</v>
      </c>
      <c r="T5039">
        <v>-0.69004650000000001</v>
      </c>
      <c r="U5039">
        <v>-0.61448669999999905</v>
      </c>
      <c r="V5039">
        <v>6.116249E-2</v>
      </c>
      <c r="W5039">
        <v>2.4470570000000001E-2</v>
      </c>
      <c r="X5039">
        <v>0.99782780000000004</v>
      </c>
      <c r="Y5039">
        <v>0.15412670000000001</v>
      </c>
      <c r="Z5039">
        <v>-6.8143639999999998E-3</v>
      </c>
      <c r="AA5039">
        <v>0.98802760000000001</v>
      </c>
      <c r="AB5039">
        <v>25</v>
      </c>
      <c r="AC5039">
        <v>0.61060000000000503</v>
      </c>
      <c r="AD5039">
        <v>-0.19835990000000001</v>
      </c>
      <c r="AE5039">
        <v>-0.162800000000004</v>
      </c>
      <c r="AF5039">
        <v>0.121788212388328</v>
      </c>
      <c r="AG5039">
        <v>-0.19835990000000001</v>
      </c>
      <c r="AH5039">
        <v>0.56221109761580002</v>
      </c>
      <c r="AI5039">
        <v>109.025382962424</v>
      </c>
      <c r="AJ5039">
        <v>77.777232248449394</v>
      </c>
      <c r="AK5039">
        <v>0.60849021100352796</v>
      </c>
      <c r="AL5039">
        <v>88.597799635494297</v>
      </c>
      <c r="AM5039">
        <v>86.492407196841498</v>
      </c>
      <c r="AN5039">
        <v>0.99999998871598195</v>
      </c>
    </row>
    <row r="5040" spans="1:40" x14ac:dyDescent="0.25">
      <c r="A5040" t="str">
        <f>"20190312154025024"</f>
        <v>20190312154025024</v>
      </c>
      <c r="B5040" t="str">
        <f>"1552376425011247"</f>
        <v>1552376425011247</v>
      </c>
      <c r="C5040" t="s">
        <v>40</v>
      </c>
      <c r="D5040">
        <v>4.4094369999999996</v>
      </c>
      <c r="E5040">
        <v>0.53877209999999998</v>
      </c>
      <c r="F5040" t="s">
        <v>41</v>
      </c>
      <c r="G5040">
        <v>-216.9494</v>
      </c>
      <c r="H5040">
        <v>0.91416790000000003</v>
      </c>
      <c r="I5040">
        <v>214.4889</v>
      </c>
      <c r="J5040">
        <v>-217.53290000000001</v>
      </c>
      <c r="K5040">
        <v>1.1079190000000001</v>
      </c>
      <c r="L5040">
        <v>214.64869999999999</v>
      </c>
      <c r="M5040">
        <v>0.99860939999999998</v>
      </c>
      <c r="N5040">
        <v>0</v>
      </c>
      <c r="O5040">
        <v>-5.0846089999999997E-2</v>
      </c>
      <c r="P5040">
        <v>0.99349609999999999</v>
      </c>
      <c r="Q5040">
        <v>1.2652109999999999E-2</v>
      </c>
      <c r="R5040">
        <v>-0.1131614</v>
      </c>
      <c r="S5040">
        <v>2.9576259999999999</v>
      </c>
      <c r="T5040">
        <v>-0.6881948</v>
      </c>
      <c r="U5040">
        <v>-0.62348939999999997</v>
      </c>
      <c r="V5040">
        <v>6.2651449999999997E-2</v>
      </c>
      <c r="W5040">
        <v>2.6174240000000001E-2</v>
      </c>
      <c r="X5040">
        <v>0.99769220000000003</v>
      </c>
      <c r="Y5040">
        <v>0.1536256</v>
      </c>
      <c r="Z5040">
        <v>-5.9178059999999899E-3</v>
      </c>
      <c r="AA5040">
        <v>0.98811139999999997</v>
      </c>
      <c r="AB5040">
        <v>25</v>
      </c>
      <c r="AC5040">
        <v>0.58350000000001501</v>
      </c>
      <c r="AD5040">
        <v>-0.19375110000000001</v>
      </c>
      <c r="AE5040">
        <v>-0.15979999999998901</v>
      </c>
      <c r="AF5040">
        <v>0.117835897738298</v>
      </c>
      <c r="AG5040">
        <v>-0.19375110000000001</v>
      </c>
      <c r="AH5040">
        <v>0.53590610247578097</v>
      </c>
      <c r="AI5040">
        <v>109.448334991618</v>
      </c>
      <c r="AJ5040">
        <v>77.599051614140095</v>
      </c>
      <c r="AK5040">
        <v>0.58191076482376802</v>
      </c>
      <c r="AL5040">
        <v>88.500155243525498</v>
      </c>
      <c r="AM5040">
        <v>86.406751176695707</v>
      </c>
      <c r="AN5040">
        <v>1.0000000104837601</v>
      </c>
    </row>
    <row r="5041" spans="1:40" x14ac:dyDescent="0.25">
      <c r="A5041" t="str">
        <f>"20190312154025047"</f>
        <v>20190312154025047</v>
      </c>
      <c r="B5041" t="str">
        <f>"1552376425041503"</f>
        <v>1552376425041503</v>
      </c>
      <c r="C5041" t="s">
        <v>40</v>
      </c>
      <c r="D5041">
        <v>4.3967199999999904</v>
      </c>
      <c r="E5041">
        <v>0.5535989</v>
      </c>
      <c r="F5041" t="s">
        <v>41</v>
      </c>
      <c r="G5041">
        <v>-216.72620000000001</v>
      </c>
      <c r="H5041">
        <v>0.92071630000000004</v>
      </c>
      <c r="I5041">
        <v>214.47489999999999</v>
      </c>
      <c r="J5041">
        <v>-217.28380000000001</v>
      </c>
      <c r="K5041">
        <v>1.107791</v>
      </c>
      <c r="L5041">
        <v>214.6317</v>
      </c>
      <c r="M5041">
        <v>0.99840530000000005</v>
      </c>
      <c r="N5041">
        <v>0</v>
      </c>
      <c r="O5041">
        <v>-5.4706900000000003E-2</v>
      </c>
      <c r="P5041">
        <v>0.99282150000000002</v>
      </c>
      <c r="Q5041">
        <v>1.460418E-2</v>
      </c>
      <c r="R5041">
        <v>-0.1187119</v>
      </c>
      <c r="S5041">
        <v>2.955902</v>
      </c>
      <c r="T5041">
        <v>-0.6858012</v>
      </c>
      <c r="U5041">
        <v>-0.63641359999999902</v>
      </c>
      <c r="V5041">
        <v>6.4392370000000004E-2</v>
      </c>
      <c r="W5041">
        <v>2.809996E-2</v>
      </c>
      <c r="X5041">
        <v>0.997529</v>
      </c>
      <c r="Y5041">
        <v>0.1541582</v>
      </c>
      <c r="Z5041">
        <v>-5.0879760000000001E-3</v>
      </c>
      <c r="AA5041">
        <v>0.9880331</v>
      </c>
      <c r="AB5041">
        <v>25</v>
      </c>
      <c r="AC5041">
        <v>0.55760000000000698</v>
      </c>
      <c r="AD5041">
        <v>-0.18707469999999901</v>
      </c>
      <c r="AE5041">
        <v>-0.15680000000000399</v>
      </c>
      <c r="AF5041">
        <v>0.114150406343375</v>
      </c>
      <c r="AG5041">
        <v>-0.18707469999999901</v>
      </c>
      <c r="AH5041">
        <v>0.51194219593579204</v>
      </c>
      <c r="AI5041">
        <v>109.62942686164401</v>
      </c>
      <c r="AJ5041">
        <v>77.430087402440506</v>
      </c>
      <c r="AK5041">
        <v>0.55687706958359195</v>
      </c>
      <c r="AL5041">
        <v>88.389779006122694</v>
      </c>
      <c r="AM5041">
        <v>86.306574261179506</v>
      </c>
      <c r="AN5041">
        <v>1.0000000454536</v>
      </c>
    </row>
    <row r="5042" spans="1:40" x14ac:dyDescent="0.25">
      <c r="A5042" t="str">
        <f>"20190312154025070"</f>
        <v>20190312154025070</v>
      </c>
      <c r="B5042" t="str">
        <f>"1552376425061024"</f>
        <v>1552376425061024</v>
      </c>
      <c r="C5042" t="s">
        <v>40</v>
      </c>
      <c r="D5042">
        <v>4.4740970000000004</v>
      </c>
      <c r="E5042">
        <v>0.5565736</v>
      </c>
      <c r="F5042" t="s">
        <v>41</v>
      </c>
      <c r="G5042">
        <v>-216.47389999999999</v>
      </c>
      <c r="H5042">
        <v>0.99093350000000002</v>
      </c>
      <c r="I5042">
        <v>214.41820000000001</v>
      </c>
      <c r="J5042">
        <v>-217.02950000000001</v>
      </c>
      <c r="K5042">
        <v>1.1076589999999999</v>
      </c>
      <c r="L5042">
        <v>214.61320000000001</v>
      </c>
      <c r="M5042">
        <v>0.99816800000000006</v>
      </c>
      <c r="N5042">
        <v>0</v>
      </c>
      <c r="O5042">
        <v>-5.8874870000000003E-2</v>
      </c>
      <c r="P5042">
        <v>0.99204610000000004</v>
      </c>
      <c r="Q5042">
        <v>1.555173E-2</v>
      </c>
      <c r="R5042">
        <v>-0.1249122</v>
      </c>
      <c r="S5042">
        <v>2.9354100000000001</v>
      </c>
      <c r="T5042">
        <v>-0.42352289999999998</v>
      </c>
      <c r="U5042">
        <v>-0.77383419999999903</v>
      </c>
      <c r="V5042">
        <v>6.6476519999999997E-2</v>
      </c>
      <c r="W5042">
        <v>2.901892E-2</v>
      </c>
      <c r="X5042">
        <v>0.99736590000000003</v>
      </c>
      <c r="Y5042">
        <v>0.19620850000000001</v>
      </c>
      <c r="Z5042">
        <v>-5.5562490000000001E-3</v>
      </c>
      <c r="AA5042">
        <v>0.98054649999999999</v>
      </c>
      <c r="AB5042">
        <v>25</v>
      </c>
      <c r="AC5042">
        <v>0.55560000000002596</v>
      </c>
      <c r="AD5042">
        <v>-0.1167255</v>
      </c>
      <c r="AE5042">
        <v>-0.19499999999999301</v>
      </c>
      <c r="AF5042">
        <v>0.155824230642468</v>
      </c>
      <c r="AG5042">
        <v>-0.1167255</v>
      </c>
      <c r="AH5042">
        <v>0.544712318614333</v>
      </c>
      <c r="AI5042">
        <v>101.641428655204</v>
      </c>
      <c r="AJ5042">
        <v>74.035920864302796</v>
      </c>
      <c r="AK5042">
        <v>0.57846135848107405</v>
      </c>
      <c r="AL5042">
        <v>88.337104885557096</v>
      </c>
      <c r="AM5042">
        <v>86.186756751428604</v>
      </c>
      <c r="AN5042">
        <v>0.999999981956043</v>
      </c>
    </row>
    <row r="5043" spans="1:40" x14ac:dyDescent="0.25">
      <c r="A5043" t="str">
        <f>"20190312154025092"</f>
        <v>20190312154025092</v>
      </c>
      <c r="B5043" t="str">
        <f>"1552376425081521"</f>
        <v>1552376425081521</v>
      </c>
      <c r="C5043" t="s">
        <v>40</v>
      </c>
      <c r="D5043">
        <v>4.4121499999999996</v>
      </c>
      <c r="E5043">
        <v>0.55938949999999998</v>
      </c>
      <c r="F5043" t="s">
        <v>41</v>
      </c>
      <c r="G5043">
        <v>-216.2373</v>
      </c>
      <c r="H5043">
        <v>1.0204219999999999</v>
      </c>
      <c r="I5043">
        <v>214.39179999999999</v>
      </c>
      <c r="J5043">
        <v>-216.79390000000001</v>
      </c>
      <c r="K5043">
        <v>1.107537</v>
      </c>
      <c r="L5043">
        <v>214.59479999999999</v>
      </c>
      <c r="M5043">
        <v>0.99792049999999999</v>
      </c>
      <c r="N5043">
        <v>0</v>
      </c>
      <c r="O5043">
        <v>-6.2928919999999999E-2</v>
      </c>
      <c r="P5043">
        <v>0.99130399999999996</v>
      </c>
      <c r="Q5043">
        <v>1.5589510000000001E-2</v>
      </c>
      <c r="R5043">
        <v>-0.1306658</v>
      </c>
      <c r="S5043">
        <v>2.9262239999999999</v>
      </c>
      <c r="T5043">
        <v>-0.32205050000000002</v>
      </c>
      <c r="U5043">
        <v>-0.81704709999999903</v>
      </c>
      <c r="V5043">
        <v>6.8221669999999998E-2</v>
      </c>
      <c r="W5043">
        <v>2.9031789999999998E-2</v>
      </c>
      <c r="X5043">
        <v>0.99724769999999896</v>
      </c>
      <c r="Y5043">
        <v>0.20697579999999999</v>
      </c>
      <c r="Z5043">
        <v>-4.3847699999999996E-3</v>
      </c>
      <c r="AA5043">
        <v>0.97833619999999999</v>
      </c>
      <c r="AB5043">
        <v>25</v>
      </c>
      <c r="AC5043">
        <v>0.55660000000000298</v>
      </c>
      <c r="AD5043">
        <v>-8.7114999999999998E-2</v>
      </c>
      <c r="AE5043">
        <v>-0.20300000000000201</v>
      </c>
      <c r="AF5043">
        <v>0.16402172088283701</v>
      </c>
      <c r="AG5043">
        <v>-8.7114999999999998E-2</v>
      </c>
      <c r="AH5043">
        <v>0.55624617331091297</v>
      </c>
      <c r="AI5043">
        <v>98.542965012907302</v>
      </c>
      <c r="AJ5043">
        <v>73.570659375800503</v>
      </c>
      <c r="AK5043">
        <v>0.58643154201441205</v>
      </c>
      <c r="AL5043">
        <v>88.336367221589597</v>
      </c>
      <c r="AM5043">
        <v>86.086495682567104</v>
      </c>
      <c r="AN5043">
        <v>1.0000000081217399</v>
      </c>
    </row>
    <row r="5044" spans="1:40" x14ac:dyDescent="0.25">
      <c r="A5044" t="str">
        <f>"20190312154025114"</f>
        <v>20190312154025114</v>
      </c>
      <c r="B5044" t="str">
        <f>"1552376425101040"</f>
        <v>1552376425101040</v>
      </c>
      <c r="C5044" t="s">
        <v>40</v>
      </c>
      <c r="D5044">
        <v>4.5077099999999897</v>
      </c>
      <c r="E5044">
        <v>0.56076719999999902</v>
      </c>
      <c r="F5044" t="s">
        <v>54</v>
      </c>
      <c r="G5044">
        <v>-205.24250000000001</v>
      </c>
      <c r="H5044" s="1">
        <v>4.8404409999999999E-6</v>
      </c>
      <c r="I5044">
        <v>211.2003</v>
      </c>
      <c r="J5044">
        <v>-216.54560000000001</v>
      </c>
      <c r="K5044">
        <v>1.1074090000000001</v>
      </c>
      <c r="L5044">
        <v>214.57419999999999</v>
      </c>
      <c r="M5044">
        <v>0.99762989999999996</v>
      </c>
      <c r="N5044">
        <v>0</v>
      </c>
      <c r="O5044">
        <v>-6.7379079999999994E-2</v>
      </c>
      <c r="P5044">
        <v>0.99040680000000003</v>
      </c>
      <c r="Q5044">
        <v>1.572227E-2</v>
      </c>
      <c r="R5044">
        <v>-0.13728589999999999</v>
      </c>
      <c r="S5044">
        <v>2.917694</v>
      </c>
      <c r="T5044">
        <v>-0.27974389999999999</v>
      </c>
      <c r="U5044">
        <v>-0.85739140000000003</v>
      </c>
      <c r="V5044">
        <v>7.0447670000000004E-2</v>
      </c>
      <c r="W5044">
        <v>2.9134739999999999E-2</v>
      </c>
      <c r="X5044">
        <v>0.99708989999999997</v>
      </c>
      <c r="Y5044">
        <v>0.2160205</v>
      </c>
      <c r="Z5044">
        <v>-3.8249790000000001E-3</v>
      </c>
      <c r="AA5044">
        <v>0.97638130000000001</v>
      </c>
      <c r="AB5044">
        <v>25</v>
      </c>
      <c r="AC5044">
        <v>11.303100000000001</v>
      </c>
      <c r="AD5044">
        <v>-1.1074041595590001</v>
      </c>
      <c r="AE5044">
        <v>-3.3738999999999901</v>
      </c>
      <c r="AF5044">
        <v>2.58180966417966</v>
      </c>
      <c r="AG5044">
        <v>-1.1074041595590001</v>
      </c>
      <c r="AH5044">
        <v>11.404248774845</v>
      </c>
      <c r="AI5044">
        <v>95.410222413091603</v>
      </c>
      <c r="AJ5044">
        <v>77.243827007270198</v>
      </c>
      <c r="AK5044">
        <v>11.745168165386699</v>
      </c>
      <c r="AL5044">
        <v>88.330466091292806</v>
      </c>
      <c r="AM5044">
        <v>85.958581194292506</v>
      </c>
      <c r="AN5044">
        <v>0.99999998798265299</v>
      </c>
    </row>
    <row r="5045" spans="1:40" x14ac:dyDescent="0.25">
      <c r="A5045" t="str">
        <f>"20190312154025137"</f>
        <v>20190312154025137</v>
      </c>
      <c r="B5045" t="str">
        <f>"1552376425131296"</f>
        <v>1552376425131296</v>
      </c>
      <c r="C5045" t="s">
        <v>40</v>
      </c>
      <c r="D5045">
        <v>4.3794190000000004</v>
      </c>
      <c r="E5045">
        <v>0.56241140000000001</v>
      </c>
      <c r="F5045" t="s">
        <v>54</v>
      </c>
      <c r="G5045">
        <v>-204.17939999999999</v>
      </c>
      <c r="H5045" s="1">
        <v>4.4039649999999998E-6</v>
      </c>
      <c r="I5045">
        <v>210.8004</v>
      </c>
      <c r="J5045">
        <v>-216.30179999999999</v>
      </c>
      <c r="K5045">
        <v>1.1072789999999999</v>
      </c>
      <c r="L5045">
        <v>214.55269999999999</v>
      </c>
      <c r="M5045">
        <v>0.99731309999999995</v>
      </c>
      <c r="N5045">
        <v>0</v>
      </c>
      <c r="O5045">
        <v>-7.1913179999999993E-2</v>
      </c>
      <c r="P5045">
        <v>0.9895235</v>
      </c>
      <c r="Q5045">
        <v>1.5320169999999999E-2</v>
      </c>
      <c r="R5045">
        <v>-0.14355809999999999</v>
      </c>
      <c r="S5045">
        <v>2.91011</v>
      </c>
      <c r="T5045">
        <v>-0.26060169999999999</v>
      </c>
      <c r="U5045">
        <v>-0.88809199999999999</v>
      </c>
      <c r="V5045">
        <v>7.2237449999999995E-2</v>
      </c>
      <c r="W5045">
        <v>2.8707199999999999E-2</v>
      </c>
      <c r="X5045">
        <v>0.99697420000000003</v>
      </c>
      <c r="Y5045">
        <v>0.22179499999999999</v>
      </c>
      <c r="Z5045">
        <v>-3.4271929999999998E-3</v>
      </c>
      <c r="AA5045">
        <v>0.97508729999999999</v>
      </c>
      <c r="AB5045">
        <v>24</v>
      </c>
      <c r="AC5045">
        <v>12.122400000000001</v>
      </c>
      <c r="AD5045">
        <v>-1.1072745960349999</v>
      </c>
      <c r="AE5045">
        <v>-3.7522999999999902</v>
      </c>
      <c r="AF5045">
        <v>2.84904575988454</v>
      </c>
      <c r="AG5045">
        <v>-1.1072745960349999</v>
      </c>
      <c r="AH5045">
        <v>12.267472610231</v>
      </c>
      <c r="AI5045">
        <v>95.024584805442998</v>
      </c>
      <c r="AJ5045">
        <v>76.925188587513006</v>
      </c>
      <c r="AK5045">
        <v>12.6425473309657</v>
      </c>
      <c r="AL5045">
        <v>88.354972524446893</v>
      </c>
      <c r="AM5045">
        <v>85.855779718168094</v>
      </c>
      <c r="AN5045">
        <v>0.99999995398998998</v>
      </c>
    </row>
    <row r="5046" spans="1:40" x14ac:dyDescent="0.25">
      <c r="A5046" t="str">
        <f>"20190312154025160"</f>
        <v>20190312154025160</v>
      </c>
      <c r="B5046" t="str">
        <f>"1552376425150815"</f>
        <v>1552376425150815</v>
      </c>
      <c r="C5046" t="s">
        <v>40</v>
      </c>
      <c r="D5046">
        <v>4.5098070000000003</v>
      </c>
      <c r="E5046">
        <v>0.56307159999999901</v>
      </c>
      <c r="F5046" t="s">
        <v>54</v>
      </c>
      <c r="G5046">
        <v>-203.1618</v>
      </c>
      <c r="H5046" s="1">
        <v>3.9886729999999999E-6</v>
      </c>
      <c r="I5046">
        <v>210.38910000000001</v>
      </c>
      <c r="J5046">
        <v>-216.04990000000001</v>
      </c>
      <c r="K5046">
        <v>1.1071770000000001</v>
      </c>
      <c r="L5046">
        <v>214.529</v>
      </c>
      <c r="M5046">
        <v>0.99695239999999996</v>
      </c>
      <c r="N5046">
        <v>0</v>
      </c>
      <c r="O5046">
        <v>-7.6751130000000001E-2</v>
      </c>
      <c r="P5046">
        <v>0.98853219999999997</v>
      </c>
      <c r="Q5046">
        <v>1.4366429999999999E-2</v>
      </c>
      <c r="R5046">
        <v>-0.15032599999999999</v>
      </c>
      <c r="S5046">
        <v>2.902145</v>
      </c>
      <c r="T5046">
        <v>-0.2445572</v>
      </c>
      <c r="U5046">
        <v>-0.91960140000000001</v>
      </c>
      <c r="V5046">
        <v>7.4221309999999999E-2</v>
      </c>
      <c r="W5046">
        <v>2.772817E-2</v>
      </c>
      <c r="X5046">
        <v>0.99685619999999997</v>
      </c>
      <c r="Y5046">
        <v>0.22752030000000001</v>
      </c>
      <c r="Z5046">
        <v>-3.061682E-3</v>
      </c>
      <c r="AA5046">
        <v>0.97376850000000004</v>
      </c>
      <c r="AB5046">
        <v>24</v>
      </c>
      <c r="AC5046">
        <v>12.8881</v>
      </c>
      <c r="AD5046">
        <v>-1.107173011327</v>
      </c>
      <c r="AE5046">
        <v>-4.1399000000000097</v>
      </c>
      <c r="AF5046">
        <v>3.11755778333962</v>
      </c>
      <c r="AG5046">
        <v>-1.107173011327</v>
      </c>
      <c r="AH5046">
        <v>13.080345815083501</v>
      </c>
      <c r="AI5046">
        <v>94.706984828939497</v>
      </c>
      <c r="AJ5046">
        <v>76.594280572933599</v>
      </c>
      <c r="AK5046">
        <v>13.492236480719001</v>
      </c>
      <c r="AL5046">
        <v>88.411089185490894</v>
      </c>
      <c r="AM5046">
        <v>85.741877651511302</v>
      </c>
      <c r="AN5046">
        <v>0.99999996887405196</v>
      </c>
    </row>
    <row r="5047" spans="1:40" x14ac:dyDescent="0.25">
      <c r="A5047" t="str">
        <f>"20190312154025181"</f>
        <v>20190312154025181</v>
      </c>
      <c r="B5047" t="str">
        <f>"1552376425171312"</f>
        <v>1552376425171312</v>
      </c>
      <c r="C5047" t="s">
        <v>40</v>
      </c>
      <c r="D5047">
        <v>4.5247840000000004</v>
      </c>
      <c r="E5047">
        <v>0.56331119999999901</v>
      </c>
      <c r="F5047" t="s">
        <v>54</v>
      </c>
      <c r="G5047">
        <v>-202.93709999999999</v>
      </c>
      <c r="H5047" s="1">
        <v>3.9013259999999997E-6</v>
      </c>
      <c r="I5047">
        <v>210.2484</v>
      </c>
      <c r="J5047">
        <v>-215.81379999999999</v>
      </c>
      <c r="K5047">
        <v>1.107113</v>
      </c>
      <c r="L5047">
        <v>214.50559999999999</v>
      </c>
      <c r="M5047">
        <v>0.99658389999999997</v>
      </c>
      <c r="N5047">
        <v>0</v>
      </c>
      <c r="O5047">
        <v>-8.1393670000000001E-2</v>
      </c>
      <c r="P5047">
        <v>0.98753049999999998</v>
      </c>
      <c r="Q5047">
        <v>1.386809E-2</v>
      </c>
      <c r="R5047">
        <v>-0.15681629999999999</v>
      </c>
      <c r="S5047">
        <v>2.8946839999999998</v>
      </c>
      <c r="T5047">
        <v>-0.2444105</v>
      </c>
      <c r="U5047">
        <v>-0.94494630000000002</v>
      </c>
      <c r="V5047">
        <v>7.6126739999999998E-2</v>
      </c>
      <c r="W5047">
        <v>2.7208130000000001E-2</v>
      </c>
      <c r="X5047">
        <v>0.99672689999999997</v>
      </c>
      <c r="Y5047">
        <v>0.23143320000000001</v>
      </c>
      <c r="Z5047">
        <v>-2.8464240000000002E-3</v>
      </c>
      <c r="AA5047">
        <v>0.97284660000000001</v>
      </c>
      <c r="AB5047">
        <v>24</v>
      </c>
      <c r="AC5047">
        <v>12.8767</v>
      </c>
      <c r="AD5047">
        <v>-1.107109098674</v>
      </c>
      <c r="AE5047">
        <v>-4.2571999999999797</v>
      </c>
      <c r="AF5047">
        <v>3.1737384817900298</v>
      </c>
      <c r="AG5047">
        <v>-1.107109098674</v>
      </c>
      <c r="AH5047">
        <v>13.093259523881899</v>
      </c>
      <c r="AI5047">
        <v>94.697780862586697</v>
      </c>
      <c r="AJ5047">
        <v>76.374596547034798</v>
      </c>
      <c r="AK5047">
        <v>13.517830871367099</v>
      </c>
      <c r="AL5047">
        <v>88.440896638717305</v>
      </c>
      <c r="AM5047">
        <v>85.632415253225105</v>
      </c>
      <c r="AN5047">
        <v>1.0000000380323599</v>
      </c>
    </row>
    <row r="5048" spans="1:40" x14ac:dyDescent="0.25">
      <c r="A5048" t="str">
        <f>"20190312154025202"</f>
        <v>20190312154025202</v>
      </c>
      <c r="B5048" t="str">
        <f>"1552376425190832"</f>
        <v>1552376425190832</v>
      </c>
      <c r="C5048" t="s">
        <v>40</v>
      </c>
      <c r="D5048">
        <v>4.3830939999999998</v>
      </c>
      <c r="E5048">
        <v>0.56411319999999998</v>
      </c>
      <c r="F5048" t="s">
        <v>54</v>
      </c>
      <c r="G5048">
        <v>-202.95009999999999</v>
      </c>
      <c r="H5048" s="1">
        <v>3.91085E-6</v>
      </c>
      <c r="I5048">
        <v>210.20519999999999</v>
      </c>
      <c r="J5048">
        <v>-215.57820000000001</v>
      </c>
      <c r="K5048">
        <v>1.1070739999999999</v>
      </c>
      <c r="L5048">
        <v>214.48089999999999</v>
      </c>
      <c r="M5048">
        <v>0.99618879999999999</v>
      </c>
      <c r="N5048">
        <v>0</v>
      </c>
      <c r="O5048">
        <v>-8.6093630000000004E-2</v>
      </c>
      <c r="P5048">
        <v>0.98659960000000002</v>
      </c>
      <c r="Q5048">
        <v>1.3957839999999999E-2</v>
      </c>
      <c r="R5048">
        <v>-0.16256180000000001</v>
      </c>
      <c r="S5048">
        <v>2.8880620000000001</v>
      </c>
      <c r="T5048">
        <v>-0.2485589</v>
      </c>
      <c r="U5048">
        <v>-0.96548460000000003</v>
      </c>
      <c r="V5048">
        <v>7.7230450000000006E-2</v>
      </c>
      <c r="W5048">
        <v>2.7287260000000001E-2</v>
      </c>
      <c r="X5048">
        <v>0.99663979999999996</v>
      </c>
      <c r="Y5048">
        <v>0.2337292</v>
      </c>
      <c r="Z5048">
        <v>-2.6047760000000001E-3</v>
      </c>
      <c r="AA5048">
        <v>0.97229829999999995</v>
      </c>
      <c r="AB5048">
        <v>24</v>
      </c>
      <c r="AC5048">
        <v>12.6281</v>
      </c>
      <c r="AD5048">
        <v>-1.1070700891499901</v>
      </c>
      <c r="AE5048">
        <v>-4.2756999999999996</v>
      </c>
      <c r="AF5048">
        <v>3.1507910680929001</v>
      </c>
      <c r="AG5048">
        <v>-1.1070700891499901</v>
      </c>
      <c r="AH5048">
        <v>12.860674485455901</v>
      </c>
      <c r="AI5048">
        <v>94.779336438480797</v>
      </c>
      <c r="AJ5048">
        <v>76.234011085110595</v>
      </c>
      <c r="AK5048">
        <v>13.287213280365499</v>
      </c>
      <c r="AL5048">
        <v>88.436361102224396</v>
      </c>
      <c r="AM5048">
        <v>85.568957281533898</v>
      </c>
      <c r="AN5048">
        <v>1.00000001395477</v>
      </c>
    </row>
    <row r="5049" spans="1:40" x14ac:dyDescent="0.25">
      <c r="A5049" t="str">
        <f>"20190312154025225"</f>
        <v>20190312154025225</v>
      </c>
      <c r="B5049" t="str">
        <f>"1552376425221091"</f>
        <v>1552376425221091</v>
      </c>
      <c r="C5049" t="s">
        <v>40</v>
      </c>
      <c r="D5049">
        <v>4.4456040000000003</v>
      </c>
      <c r="E5049">
        <v>0.56458989999999998</v>
      </c>
      <c r="F5049" t="s">
        <v>54</v>
      </c>
      <c r="G5049">
        <v>-202.44309999999999</v>
      </c>
      <c r="H5049" s="1">
        <v>3.7061470000000002E-6</v>
      </c>
      <c r="I5049">
        <v>209.97499999999999</v>
      </c>
      <c r="J5049">
        <v>-215.3278</v>
      </c>
      <c r="K5049">
        <v>1.107059</v>
      </c>
      <c r="L5049">
        <v>214.45349999999999</v>
      </c>
      <c r="M5049">
        <v>0.99574070000000003</v>
      </c>
      <c r="N5049">
        <v>0</v>
      </c>
      <c r="O5049">
        <v>-9.1130390000000006E-2</v>
      </c>
      <c r="P5049">
        <v>0.98542039999999997</v>
      </c>
      <c r="Q5049">
        <v>1.354313E-2</v>
      </c>
      <c r="R5049">
        <v>-0.169598</v>
      </c>
      <c r="S5049">
        <v>2.8813019999999998</v>
      </c>
      <c r="T5049">
        <v>-0.24284420000000001</v>
      </c>
      <c r="U5049">
        <v>-0.98841860000000004</v>
      </c>
      <c r="V5049">
        <v>7.9299469999999997E-2</v>
      </c>
      <c r="W5049">
        <v>2.6855879999999999E-2</v>
      </c>
      <c r="X5049">
        <v>0.99648899999999996</v>
      </c>
      <c r="Y5049">
        <v>0.2364676</v>
      </c>
      <c r="Z5049">
        <v>-2.2523399999999998E-3</v>
      </c>
      <c r="AA5049">
        <v>0.97163679999999997</v>
      </c>
      <c r="AB5049">
        <v>24</v>
      </c>
      <c r="AC5049">
        <v>12.8847</v>
      </c>
      <c r="AD5049">
        <v>-1.1070552938530001</v>
      </c>
      <c r="AE5049">
        <v>-4.4784999999999897</v>
      </c>
      <c r="AF5049">
        <v>3.2640596933927699</v>
      </c>
      <c r="AG5049">
        <v>-1.1070552938530001</v>
      </c>
      <c r="AH5049">
        <v>13.1526131873606</v>
      </c>
      <c r="AI5049">
        <v>94.6702345956285</v>
      </c>
      <c r="AJ5049">
        <v>76.062582301567204</v>
      </c>
      <c r="AK5049">
        <v>13.596723530395501</v>
      </c>
      <c r="AL5049">
        <v>88.461086373790394</v>
      </c>
      <c r="AM5049">
        <v>85.450054988872097</v>
      </c>
      <c r="AN5049">
        <v>0.99999998567692705</v>
      </c>
    </row>
    <row r="5050" spans="1:40" x14ac:dyDescent="0.25">
      <c r="A5050" t="str">
        <f>"20190312154025249"</f>
        <v>20190312154025249</v>
      </c>
      <c r="B5050" t="str">
        <f>"1552376425240607"</f>
        <v>1552376425240607</v>
      </c>
      <c r="C5050" t="s">
        <v>40</v>
      </c>
      <c r="D5050">
        <v>4.3927019999999999</v>
      </c>
      <c r="E5050">
        <v>0.5647373</v>
      </c>
      <c r="F5050" t="s">
        <v>54</v>
      </c>
      <c r="G5050">
        <v>-201.85579999999999</v>
      </c>
      <c r="H5050" s="1">
        <v>3.4692359999999999E-6</v>
      </c>
      <c r="I5050">
        <v>209.70599999999999</v>
      </c>
      <c r="J5050">
        <v>-215.0745</v>
      </c>
      <c r="K5050">
        <v>1.1070629999999999</v>
      </c>
      <c r="L5050">
        <v>214.42449999999999</v>
      </c>
      <c r="M5050">
        <v>0.99525969999999997</v>
      </c>
      <c r="N5050">
        <v>0</v>
      </c>
      <c r="O5050">
        <v>-9.6240149999999997E-2</v>
      </c>
      <c r="P5050">
        <v>0.98421729999999996</v>
      </c>
      <c r="Q5050">
        <v>1.340512E-2</v>
      </c>
      <c r="R5050">
        <v>-0.17645620000000001</v>
      </c>
      <c r="S5050">
        <v>2.8733520000000001</v>
      </c>
      <c r="T5050">
        <v>-0.2361163</v>
      </c>
      <c r="U5050">
        <v>-1.0125729999999999</v>
      </c>
      <c r="V5050">
        <v>8.1122620000000006E-2</v>
      </c>
      <c r="W5050">
        <v>2.6705260000000001E-2</v>
      </c>
      <c r="X5050">
        <v>0.99634630000000002</v>
      </c>
      <c r="Y5050">
        <v>0.23961940000000001</v>
      </c>
      <c r="Z5050">
        <v>-1.9166820000000001E-3</v>
      </c>
      <c r="AA5050">
        <v>0.97086499999999998</v>
      </c>
      <c r="AB5050">
        <v>24</v>
      </c>
      <c r="AC5050">
        <v>13.2187</v>
      </c>
      <c r="AD5050">
        <v>-1.1070595307640001</v>
      </c>
      <c r="AE5050">
        <v>-4.7184999999999997</v>
      </c>
      <c r="AF5050">
        <v>3.4031269628890199</v>
      </c>
      <c r="AG5050">
        <v>-1.1070595307640001</v>
      </c>
      <c r="AH5050">
        <v>13.5273250482712</v>
      </c>
      <c r="AI5050">
        <v>94.537812134372601</v>
      </c>
      <c r="AJ5050">
        <v>75.878894671989102</v>
      </c>
      <c r="AK5050">
        <v>13.9926901234818</v>
      </c>
      <c r="AL5050">
        <v>88.469719382427698</v>
      </c>
      <c r="AM5050">
        <v>85.345239348103107</v>
      </c>
      <c r="AN5050">
        <v>0.99999999995551103</v>
      </c>
    </row>
    <row r="5051" spans="1:40" x14ac:dyDescent="0.25">
      <c r="A5051" t="str">
        <f>"20190312154025269"</f>
        <v>20190312154025269</v>
      </c>
      <c r="B5051" t="str">
        <f>"1552376425261104"</f>
        <v>1552376425261104</v>
      </c>
      <c r="C5051" t="s">
        <v>40</v>
      </c>
      <c r="D5051">
        <v>4.4169499999999999</v>
      </c>
      <c r="E5051">
        <v>0.56509659999999995</v>
      </c>
      <c r="F5051" t="s">
        <v>54</v>
      </c>
      <c r="G5051">
        <v>-201.5377</v>
      </c>
      <c r="H5051" s="1">
        <v>3.3486329999999999E-6</v>
      </c>
      <c r="I5051">
        <v>209.5446</v>
      </c>
      <c r="J5051">
        <v>-214.84639999999999</v>
      </c>
      <c r="K5051">
        <v>1.1070789999999999</v>
      </c>
      <c r="L5051">
        <v>214.3972</v>
      </c>
      <c r="M5051">
        <v>0.99480480000000004</v>
      </c>
      <c r="N5051">
        <v>0</v>
      </c>
      <c r="O5051">
        <v>-0.1008337</v>
      </c>
      <c r="P5051">
        <v>0.98307270000000002</v>
      </c>
      <c r="Q5051">
        <v>1.365568E-2</v>
      </c>
      <c r="R5051">
        <v>-0.18270700000000001</v>
      </c>
      <c r="S5051">
        <v>2.8660429999999999</v>
      </c>
      <c r="T5051">
        <v>-0.23438929999999999</v>
      </c>
      <c r="U5051">
        <v>-1.033188</v>
      </c>
      <c r="V5051">
        <v>8.2855960000000006E-2</v>
      </c>
      <c r="W5051">
        <v>2.6944059999999999E-2</v>
      </c>
      <c r="X5051">
        <v>0.9961972</v>
      </c>
      <c r="Y5051">
        <v>0.242119</v>
      </c>
      <c r="Z5051">
        <v>-1.6453889999999999E-3</v>
      </c>
      <c r="AA5051">
        <v>0.97024520000000003</v>
      </c>
      <c r="AB5051">
        <v>24</v>
      </c>
      <c r="AC5051">
        <v>13.3086999999999</v>
      </c>
      <c r="AD5051">
        <v>-1.1070756513669999</v>
      </c>
      <c r="AE5051">
        <v>-4.85259999999999</v>
      </c>
      <c r="AF5051">
        <v>3.4646053058082602</v>
      </c>
      <c r="AG5051">
        <v>-1.1070756513669999</v>
      </c>
      <c r="AH5051">
        <v>13.6468595263041</v>
      </c>
      <c r="AI5051">
        <v>94.495845518010299</v>
      </c>
      <c r="AJ5051">
        <v>75.754951846389204</v>
      </c>
      <c r="AK5051">
        <v>14.1232390531904</v>
      </c>
      <c r="AL5051">
        <v>88.456032189345805</v>
      </c>
      <c r="AM5051">
        <v>85.245524322200296</v>
      </c>
      <c r="AN5051">
        <v>0.99999997688232201</v>
      </c>
    </row>
    <row r="5052" spans="1:40" x14ac:dyDescent="0.25">
      <c r="A5052" t="str">
        <f>"20190312154025292"</f>
        <v>20190312154025292</v>
      </c>
      <c r="B5052" t="str">
        <f>"1552376425280624"</f>
        <v>1552376425280624</v>
      </c>
      <c r="C5052" t="s">
        <v>40</v>
      </c>
      <c r="D5052">
        <v>4.4040800000000004</v>
      </c>
      <c r="E5052">
        <v>0.56534180000000001</v>
      </c>
      <c r="F5052" t="s">
        <v>54</v>
      </c>
      <c r="G5052">
        <v>-201.29490000000001</v>
      </c>
      <c r="H5052" s="1">
        <v>3.2664620000000002E-6</v>
      </c>
      <c r="I5052">
        <v>209.3999</v>
      </c>
      <c r="J5052">
        <v>-214.60769999999999</v>
      </c>
      <c r="K5052">
        <v>1.1071040000000001</v>
      </c>
      <c r="L5052">
        <v>214.3674</v>
      </c>
      <c r="M5052">
        <v>0.99430719999999995</v>
      </c>
      <c r="N5052">
        <v>0</v>
      </c>
      <c r="O5052">
        <v>-0.10562779999999999</v>
      </c>
      <c r="P5052">
        <v>0.98186759999999995</v>
      </c>
      <c r="Q5052">
        <v>1.4001380000000001E-2</v>
      </c>
      <c r="R5052">
        <v>-0.18905069999999999</v>
      </c>
      <c r="S5052">
        <v>2.8589479999999998</v>
      </c>
      <c r="T5052">
        <v>-0.23355880000000001</v>
      </c>
      <c r="U5052">
        <v>-1.05426</v>
      </c>
      <c r="V5052">
        <v>8.4488499999999994E-2</v>
      </c>
      <c r="W5052">
        <v>2.7279629999999999E-2</v>
      </c>
      <c r="X5052">
        <v>0.99605100000000002</v>
      </c>
      <c r="Y5052">
        <v>0.24452960000000001</v>
      </c>
      <c r="Z5052">
        <v>-1.363654E-3</v>
      </c>
      <c r="AA5052">
        <v>0.96964090000000003</v>
      </c>
      <c r="AB5052">
        <v>24</v>
      </c>
      <c r="AC5052">
        <v>13.3127999999999</v>
      </c>
      <c r="AD5052">
        <v>-1.1071007335380001</v>
      </c>
      <c r="AE5052">
        <v>-4.9675000000000002</v>
      </c>
      <c r="AF5052">
        <v>3.51204562812765</v>
      </c>
      <c r="AG5052">
        <v>-1.1071007335380001</v>
      </c>
      <c r="AH5052">
        <v>13.680023154206101</v>
      </c>
      <c r="AI5052">
        <v>94.482039497877494</v>
      </c>
      <c r="AJ5052">
        <v>75.601521913670794</v>
      </c>
      <c r="AK5052">
        <v>14.1669746250872</v>
      </c>
      <c r="AL5052">
        <v>88.436798472108407</v>
      </c>
      <c r="AM5052">
        <v>85.151579222803804</v>
      </c>
      <c r="AN5052">
        <v>1.0000000397230899</v>
      </c>
    </row>
    <row r="5053" spans="1:40" x14ac:dyDescent="0.25">
      <c r="A5053" t="str">
        <f>"20190312154025314"</f>
        <v>20190312154025314</v>
      </c>
      <c r="B5053" t="str">
        <f>"1552376425301120"</f>
        <v>1552376425301120</v>
      </c>
      <c r="C5053" t="s">
        <v>40</v>
      </c>
      <c r="D5053">
        <v>4.3980519999999999</v>
      </c>
      <c r="E5053">
        <v>0.56549289999999997</v>
      </c>
      <c r="F5053" t="s">
        <v>54</v>
      </c>
      <c r="G5053">
        <v>-201.0694</v>
      </c>
      <c r="H5053" s="1">
        <v>3.1903089999999998E-6</v>
      </c>
      <c r="I5053">
        <v>209.26439999999999</v>
      </c>
      <c r="J5053">
        <v>-214.3683</v>
      </c>
      <c r="K5053">
        <v>1.107138</v>
      </c>
      <c r="L5053">
        <v>214.3365</v>
      </c>
      <c r="M5053">
        <v>0.99378690000000003</v>
      </c>
      <c r="N5053">
        <v>0</v>
      </c>
      <c r="O5053">
        <v>-0.1104156</v>
      </c>
      <c r="P5053">
        <v>0.98075279999999998</v>
      </c>
      <c r="Q5053">
        <v>1.4824260000000001E-2</v>
      </c>
      <c r="R5053">
        <v>-0.19469020000000001</v>
      </c>
      <c r="S5053">
        <v>2.8517459999999999</v>
      </c>
      <c r="T5053">
        <v>-0.2332022</v>
      </c>
      <c r="U5053">
        <v>-1.074921</v>
      </c>
      <c r="V5053">
        <v>8.5421709999999998E-2</v>
      </c>
      <c r="W5053">
        <v>2.8098049999999999E-2</v>
      </c>
      <c r="X5053">
        <v>0.99594859999999996</v>
      </c>
      <c r="Y5053">
        <v>0.2468274</v>
      </c>
      <c r="Z5053">
        <v>-1.0819650000000001E-3</v>
      </c>
      <c r="AA5053">
        <v>0.96905889999999995</v>
      </c>
      <c r="AB5053">
        <v>24</v>
      </c>
      <c r="AC5053">
        <v>13.2989</v>
      </c>
      <c r="AD5053">
        <v>-1.1071348096910001</v>
      </c>
      <c r="AE5053">
        <v>-5.0720999999999998</v>
      </c>
      <c r="AF5053">
        <v>3.5510451102501599</v>
      </c>
      <c r="AG5053">
        <v>-1.1071348096910001</v>
      </c>
      <c r="AH5053">
        <v>13.694801721734001</v>
      </c>
      <c r="AI5053">
        <v>94.474587485230899</v>
      </c>
      <c r="AJ5053">
        <v>75.463424235566194</v>
      </c>
      <c r="AK5053">
        <v>14.190957087507099</v>
      </c>
      <c r="AL5053">
        <v>88.389888397225405</v>
      </c>
      <c r="AM5053">
        <v>85.097784417805201</v>
      </c>
      <c r="AN5053">
        <v>0.99999999139754303</v>
      </c>
    </row>
    <row r="5054" spans="1:40" x14ac:dyDescent="0.25">
      <c r="A5054" t="str">
        <f>"20190312154025337"</f>
        <v>20190312154025337</v>
      </c>
      <c r="B5054" t="str">
        <f>"1552376425331375"</f>
        <v>1552376425331375</v>
      </c>
      <c r="C5054" t="s">
        <v>40</v>
      </c>
      <c r="D5054">
        <v>4.3959580000000003</v>
      </c>
      <c r="E5054">
        <v>0.56551280000000004</v>
      </c>
      <c r="F5054" t="s">
        <v>54</v>
      </c>
      <c r="G5054">
        <v>-200.72280000000001</v>
      </c>
      <c r="H5054" s="1">
        <v>3.0661379999999999E-6</v>
      </c>
      <c r="I5054">
        <v>209.0968</v>
      </c>
      <c r="J5054">
        <v>-214.12100000000001</v>
      </c>
      <c r="K5054">
        <v>1.107164</v>
      </c>
      <c r="L5054">
        <v>214.30330000000001</v>
      </c>
      <c r="M5054">
        <v>0.99322719999999998</v>
      </c>
      <c r="N5054">
        <v>0</v>
      </c>
      <c r="O5054">
        <v>-0.1153433</v>
      </c>
      <c r="P5054">
        <v>0.97972199999999998</v>
      </c>
      <c r="Q5054">
        <v>1.5143520000000001E-2</v>
      </c>
      <c r="R5054">
        <v>-0.19978889999999999</v>
      </c>
      <c r="S5054">
        <v>2.8454440000000001</v>
      </c>
      <c r="T5054">
        <v>-0.2308664</v>
      </c>
      <c r="U5054">
        <v>-1.0926209999999901</v>
      </c>
      <c r="V5054">
        <v>8.5664119999999996E-2</v>
      </c>
      <c r="W5054">
        <v>2.8419300000000002E-2</v>
      </c>
      <c r="X5054">
        <v>0.99591870000000005</v>
      </c>
      <c r="Y5054">
        <v>0.24801190000000001</v>
      </c>
      <c r="Z5054">
        <v>-7.396061E-4</v>
      </c>
      <c r="AA5054">
        <v>0.96875670000000003</v>
      </c>
      <c r="AB5054">
        <v>24</v>
      </c>
      <c r="AC5054">
        <v>13.3981999999999</v>
      </c>
      <c r="AD5054">
        <v>-1.1071609338619901</v>
      </c>
      <c r="AE5054">
        <v>-5.2065000000000001</v>
      </c>
      <c r="AF5054">
        <v>3.60481339081446</v>
      </c>
      <c r="AG5054">
        <v>-1.1071609338619901</v>
      </c>
      <c r="AH5054">
        <v>13.8273193656782</v>
      </c>
      <c r="AI5054">
        <v>94.430471382726694</v>
      </c>
      <c r="AJ5054">
        <v>75.388101547129494</v>
      </c>
      <c r="AK5054">
        <v>14.332314738259299</v>
      </c>
      <c r="AL5054">
        <v>88.3714748330991</v>
      </c>
      <c r="AM5054">
        <v>85.083794106160894</v>
      </c>
      <c r="AN5054">
        <v>1.0000000275387699</v>
      </c>
    </row>
    <row r="5055" spans="1:40" x14ac:dyDescent="0.25">
      <c r="A5055" t="str">
        <f>"20190312154025360"</f>
        <v>20190312154025360</v>
      </c>
      <c r="B5055" t="str">
        <f>"1552376425350896"</f>
        <v>1552376425350896</v>
      </c>
      <c r="C5055" t="s">
        <v>40</v>
      </c>
      <c r="D5055">
        <v>4.4365889999999997</v>
      </c>
      <c r="E5055">
        <v>0.56530179999999997</v>
      </c>
      <c r="F5055" t="s">
        <v>54</v>
      </c>
      <c r="G5055">
        <v>-200.53460000000001</v>
      </c>
      <c r="H5055" s="1">
        <v>3.002436E-6</v>
      </c>
      <c r="I5055">
        <v>209.00290000000001</v>
      </c>
      <c r="J5055">
        <v>-213.87870000000001</v>
      </c>
      <c r="K5055">
        <v>1.107186</v>
      </c>
      <c r="L5055">
        <v>214.26949999999999</v>
      </c>
      <c r="M5055">
        <v>0.99265619999999999</v>
      </c>
      <c r="N5055">
        <v>0</v>
      </c>
      <c r="O5055">
        <v>-0.12015820000000001</v>
      </c>
      <c r="P5055">
        <v>0.97869620000000002</v>
      </c>
      <c r="Q5055">
        <v>1.6150399999999999E-2</v>
      </c>
      <c r="R5055">
        <v>-0.20467959999999999</v>
      </c>
      <c r="S5055">
        <v>2.839737</v>
      </c>
      <c r="T5055">
        <v>-0.23141030000000001</v>
      </c>
      <c r="U5055">
        <v>-1.1078490000000001</v>
      </c>
      <c r="V5055">
        <v>8.5816900000000002E-2</v>
      </c>
      <c r="W5055">
        <v>2.9426919999999999E-2</v>
      </c>
      <c r="X5055">
        <v>0.99587630000000005</v>
      </c>
      <c r="Y5055">
        <v>0.2484932</v>
      </c>
      <c r="Z5055">
        <v>-3.8977709999999999E-4</v>
      </c>
      <c r="AA5055">
        <v>0.96863359999999998</v>
      </c>
      <c r="AB5055">
        <v>24</v>
      </c>
      <c r="AC5055">
        <v>13.3440999999999</v>
      </c>
      <c r="AD5055">
        <v>-1.107182997564</v>
      </c>
      <c r="AE5055">
        <v>-5.26659999999998</v>
      </c>
      <c r="AF5055">
        <v>3.6034111581460802</v>
      </c>
      <c r="AG5055">
        <v>-1.107182997564</v>
      </c>
      <c r="AH5055">
        <v>13.7980988772456</v>
      </c>
      <c r="AI5055">
        <v>94.439417903394798</v>
      </c>
      <c r="AJ5055">
        <v>75.363936792430295</v>
      </c>
      <c r="AK5055">
        <v>14.3037742848171</v>
      </c>
      <c r="AL5055">
        <v>88.313718324305299</v>
      </c>
      <c r="AM5055">
        <v>85.074860600916693</v>
      </c>
      <c r="AN5055">
        <v>1.00000004442399</v>
      </c>
    </row>
    <row r="5056" spans="1:40" x14ac:dyDescent="0.25">
      <c r="A5056" t="str">
        <f>"20190312154025393"</f>
        <v>20190312154025393</v>
      </c>
      <c r="B5056" t="str">
        <f>"1552376425381151"</f>
        <v>1552376425381151</v>
      </c>
      <c r="C5056" t="s">
        <v>40</v>
      </c>
      <c r="D5056">
        <v>4.4127400000000003</v>
      </c>
      <c r="E5056">
        <v>0.56507839999999998</v>
      </c>
      <c r="F5056" t="s">
        <v>54</v>
      </c>
      <c r="G5056">
        <v>-200.1695</v>
      </c>
      <c r="H5056" s="1">
        <v>2.9134840000000001E-6</v>
      </c>
      <c r="I5056">
        <v>208.84979999999999</v>
      </c>
      <c r="J5056">
        <v>-213.52090000000001</v>
      </c>
      <c r="K5056">
        <v>1.1072120000000001</v>
      </c>
      <c r="L5056">
        <v>214.2175</v>
      </c>
      <c r="M5056">
        <v>0.99177119999999996</v>
      </c>
      <c r="N5056">
        <v>0</v>
      </c>
      <c r="O5056">
        <v>-0.1272568</v>
      </c>
      <c r="P5056">
        <v>0.97771039999999998</v>
      </c>
      <c r="Q5056">
        <v>1.535358E-2</v>
      </c>
      <c r="R5056">
        <v>-0.20939669999999999</v>
      </c>
      <c r="S5056">
        <v>2.8347169999999999</v>
      </c>
      <c r="T5056">
        <v>-0.228939</v>
      </c>
      <c r="U5056">
        <v>-1.1206670000000001</v>
      </c>
      <c r="V5056">
        <v>8.34844E-2</v>
      </c>
      <c r="W5056">
        <v>2.8653339999999999E-2</v>
      </c>
      <c r="X5056">
        <v>0.99609700000000001</v>
      </c>
      <c r="Y5056">
        <v>0.24597160000000001</v>
      </c>
      <c r="Z5056">
        <v>2.5353769999999999E-4</v>
      </c>
      <c r="AA5056">
        <v>0.96927700000000006</v>
      </c>
      <c r="AB5056">
        <v>24</v>
      </c>
      <c r="AC5056">
        <v>13.3514</v>
      </c>
      <c r="AD5056">
        <v>-1.107209086516</v>
      </c>
      <c r="AE5056">
        <v>-5.3677000000000099</v>
      </c>
      <c r="AF5056">
        <v>3.6034948683722599</v>
      </c>
      <c r="AG5056">
        <v>-1.107209086516</v>
      </c>
      <c r="AH5056">
        <v>13.8440127295379</v>
      </c>
      <c r="AI5056">
        <v>94.425782409091696</v>
      </c>
      <c r="AJ5056">
        <v>75.410078610011297</v>
      </c>
      <c r="AK5056">
        <v>14.348093102682901</v>
      </c>
      <c r="AL5056">
        <v>88.358059732405096</v>
      </c>
      <c r="AM5056">
        <v>85.209150470260695</v>
      </c>
      <c r="AN5056">
        <v>0.999999946172756</v>
      </c>
    </row>
    <row r="5057" spans="1:40" x14ac:dyDescent="0.25">
      <c r="A5057" t="str">
        <f>"20190312154025415"</f>
        <v>20190312154025415</v>
      </c>
      <c r="B5057" t="str">
        <f>"1552376425411408"</f>
        <v>1552376425411408</v>
      </c>
      <c r="C5057" t="s">
        <v>40</v>
      </c>
      <c r="D5057">
        <v>4.3947979999999998</v>
      </c>
      <c r="E5057">
        <v>0.56484140000000005</v>
      </c>
      <c r="F5057" t="s">
        <v>54</v>
      </c>
      <c r="G5057">
        <v>-200.02629999999999</v>
      </c>
      <c r="H5057" s="1">
        <v>2.8717419999999999E-6</v>
      </c>
      <c r="I5057">
        <v>208.81549999999999</v>
      </c>
      <c r="J5057">
        <v>-213.28620000000001</v>
      </c>
      <c r="K5057">
        <v>1.107229</v>
      </c>
      <c r="L5057">
        <v>214.18199999999999</v>
      </c>
      <c r="M5057">
        <v>0.99116309999999996</v>
      </c>
      <c r="N5057">
        <v>0</v>
      </c>
      <c r="O5057">
        <v>-0.13190929999999901</v>
      </c>
      <c r="P5057">
        <v>0.97712869999999996</v>
      </c>
      <c r="Q5057">
        <v>1.5269909999999999E-2</v>
      </c>
      <c r="R5057">
        <v>-0.2120998</v>
      </c>
      <c r="S5057">
        <v>2.8294679999999999</v>
      </c>
      <c r="T5057">
        <v>-0.2321529</v>
      </c>
      <c r="U5057">
        <v>-1.13266</v>
      </c>
      <c r="V5057">
        <v>8.1562369999999995E-2</v>
      </c>
      <c r="W5057">
        <v>2.8588039999999999E-2</v>
      </c>
      <c r="X5057">
        <v>0.99625810000000004</v>
      </c>
      <c r="Y5057">
        <v>0.24558920000000001</v>
      </c>
      <c r="Z5057">
        <v>6.3192290000000002E-4</v>
      </c>
      <c r="AA5057">
        <v>0.96937379999999995</v>
      </c>
      <c r="AB5057">
        <v>24</v>
      </c>
      <c r="AC5057">
        <v>13.2599</v>
      </c>
      <c r="AD5057">
        <v>-1.107226128258</v>
      </c>
      <c r="AE5057">
        <v>-5.3665000000000296</v>
      </c>
      <c r="AF5057">
        <v>3.5490587219922598</v>
      </c>
      <c r="AG5057">
        <v>-1.107226128258</v>
      </c>
      <c r="AH5057">
        <v>13.7694739606518</v>
      </c>
      <c r="AI5057">
        <v>94.452450845101197</v>
      </c>
      <c r="AJ5057">
        <v>75.5466929422264</v>
      </c>
      <c r="AK5057">
        <v>14.2625446770314</v>
      </c>
      <c r="AL5057">
        <v>88.361802685001194</v>
      </c>
      <c r="AM5057">
        <v>85.319706094032398</v>
      </c>
      <c r="AN5057">
        <v>0.999999949023332</v>
      </c>
    </row>
    <row r="5058" spans="1:40" x14ac:dyDescent="0.25">
      <c r="A5058" t="str">
        <f>"20190312154025438"</f>
        <v>20190312154025438</v>
      </c>
      <c r="B5058" t="str">
        <f>"1552376425430931"</f>
        <v>1552376425430931</v>
      </c>
      <c r="C5058" t="s">
        <v>40</v>
      </c>
      <c r="D5058">
        <v>4.4094300000000004</v>
      </c>
      <c r="E5058">
        <v>0.56469080000000005</v>
      </c>
      <c r="F5058" t="s">
        <v>54</v>
      </c>
      <c r="G5058">
        <v>-199.99979999999999</v>
      </c>
      <c r="H5058" s="1">
        <v>2.857832E-6</v>
      </c>
      <c r="I5058">
        <v>208.83260000000001</v>
      </c>
      <c r="J5058">
        <v>-213.04339999999999</v>
      </c>
      <c r="K5058">
        <v>1.10724</v>
      </c>
      <c r="L5058">
        <v>214.14400000000001</v>
      </c>
      <c r="M5058">
        <v>0.99051160000000005</v>
      </c>
      <c r="N5058">
        <v>0</v>
      </c>
      <c r="O5058">
        <v>-0.136716</v>
      </c>
      <c r="P5058">
        <v>0.97651290000000002</v>
      </c>
      <c r="Q5058">
        <v>1.5752530000000001E-2</v>
      </c>
      <c r="R5058">
        <v>-0.21488299999999999</v>
      </c>
      <c r="S5058">
        <v>2.8268589999999998</v>
      </c>
      <c r="T5058">
        <v>-0.23557690000000001</v>
      </c>
      <c r="U5058">
        <v>-1.138153</v>
      </c>
      <c r="V5058">
        <v>7.9570719999999998E-2</v>
      </c>
      <c r="W5058">
        <v>2.9089460000000001E-2</v>
      </c>
      <c r="X5058">
        <v>0.99640470000000003</v>
      </c>
      <c r="Y5058">
        <v>0.24282899999999999</v>
      </c>
      <c r="Z5058">
        <v>1.1291350000000001E-3</v>
      </c>
      <c r="AA5058">
        <v>0.9700685</v>
      </c>
      <c r="AB5058">
        <v>24</v>
      </c>
      <c r="AC5058">
        <v>13.0435999999999</v>
      </c>
      <c r="AD5058">
        <v>-1.1072371421680001</v>
      </c>
      <c r="AE5058">
        <v>-5.3113999999999901</v>
      </c>
      <c r="AF5058">
        <v>3.4567086813787902</v>
      </c>
      <c r="AG5058">
        <v>-1.1072371421680001</v>
      </c>
      <c r="AH5058">
        <v>13.5634890443768</v>
      </c>
      <c r="AI5058">
        <v>94.522969964128293</v>
      </c>
      <c r="AJ5058">
        <v>75.702305873149001</v>
      </c>
      <c r="AK5058">
        <v>14.040763656363</v>
      </c>
      <c r="AL5058">
        <v>88.333061582963794</v>
      </c>
      <c r="AM5058">
        <v>85.434172608079095</v>
      </c>
      <c r="AN5058">
        <v>1.0000000111732401</v>
      </c>
    </row>
    <row r="5059" spans="1:40" x14ac:dyDescent="0.25">
      <c r="A5059" t="str">
        <f>"20190312154025459"</f>
        <v>20190312154025459</v>
      </c>
      <c r="B5059" t="str">
        <f>"1552376425451423"</f>
        <v>1552376425451423</v>
      </c>
      <c r="C5059" t="s">
        <v>40</v>
      </c>
      <c r="D5059">
        <v>4.4033879999999996</v>
      </c>
      <c r="E5059">
        <v>0.56457760000000001</v>
      </c>
      <c r="F5059" t="s">
        <v>54</v>
      </c>
      <c r="G5059">
        <v>-199.8655</v>
      </c>
      <c r="H5059" s="1">
        <v>2.867008E-6</v>
      </c>
      <c r="I5059">
        <v>208.80340000000001</v>
      </c>
      <c r="J5059">
        <v>-212.81100000000001</v>
      </c>
      <c r="K5059">
        <v>1.107259</v>
      </c>
      <c r="L5059">
        <v>214.10650000000001</v>
      </c>
      <c r="M5059">
        <v>0.989869</v>
      </c>
      <c r="N5059">
        <v>0</v>
      </c>
      <c r="O5059">
        <v>-0.141293899999999</v>
      </c>
      <c r="P5059">
        <v>0.97583949999999997</v>
      </c>
      <c r="Q5059">
        <v>1.6515140000000001E-2</v>
      </c>
      <c r="R5059">
        <v>-0.2178641</v>
      </c>
      <c r="S5059">
        <v>2.8241269999999998</v>
      </c>
      <c r="T5059">
        <v>-0.23728879999999999</v>
      </c>
      <c r="U5059">
        <v>-1.144531</v>
      </c>
      <c r="V5059">
        <v>7.8012029999999996E-2</v>
      </c>
      <c r="W5059">
        <v>2.9867319999999999E-2</v>
      </c>
      <c r="X5059">
        <v>0.99650490000000003</v>
      </c>
      <c r="Y5059">
        <v>0.24056759999999999</v>
      </c>
      <c r="Z5059">
        <v>1.5905450000000001E-3</v>
      </c>
      <c r="AA5059">
        <v>0.97063109999999997</v>
      </c>
      <c r="AB5059">
        <v>24</v>
      </c>
      <c r="AC5059">
        <v>12.9454999999999</v>
      </c>
      <c r="AD5059">
        <v>-1.1072561329919901</v>
      </c>
      <c r="AE5059">
        <v>-5.3030999999999997</v>
      </c>
      <c r="AF5059">
        <v>3.3992934722984902</v>
      </c>
      <c r="AG5059">
        <v>-1.1072561329919901</v>
      </c>
      <c r="AH5059">
        <v>13.480521562668301</v>
      </c>
      <c r="AI5059">
        <v>94.553673534162598</v>
      </c>
      <c r="AJ5059">
        <v>75.847156464421801</v>
      </c>
      <c r="AK5059">
        <v>13.946529097106</v>
      </c>
      <c r="AL5059">
        <v>88.288474047878097</v>
      </c>
      <c r="AM5059">
        <v>85.523692543804401</v>
      </c>
      <c r="AN5059">
        <v>0.99999997467635604</v>
      </c>
    </row>
    <row r="5060" spans="1:40" x14ac:dyDescent="0.25">
      <c r="A5060" t="str">
        <f>"20190312154025481"</f>
        <v>20190312154025481</v>
      </c>
      <c r="B5060" t="str">
        <f>"1552376425470944"</f>
        <v>1552376425470944</v>
      </c>
      <c r="C5060" t="s">
        <v>40</v>
      </c>
      <c r="D5060">
        <v>4.4020239999999999</v>
      </c>
      <c r="E5060">
        <v>0.5644844</v>
      </c>
      <c r="F5060" t="s">
        <v>54</v>
      </c>
      <c r="G5060">
        <v>-199.67189999999999</v>
      </c>
      <c r="H5060" s="1">
        <v>2.917937E-6</v>
      </c>
      <c r="I5060">
        <v>208.74080000000001</v>
      </c>
      <c r="J5060">
        <v>-212.5752</v>
      </c>
      <c r="K5060">
        <v>1.1072879999999901</v>
      </c>
      <c r="L5060">
        <v>214.06739999999999</v>
      </c>
      <c r="M5060">
        <v>0.98919889999999999</v>
      </c>
      <c r="N5060">
        <v>0</v>
      </c>
      <c r="O5060">
        <v>-0.1459116</v>
      </c>
      <c r="P5060">
        <v>0.97500969999999998</v>
      </c>
      <c r="Q5060">
        <v>1.5488750000000001E-2</v>
      </c>
      <c r="R5060">
        <v>-0.2216216</v>
      </c>
      <c r="S5060">
        <v>2.8211059999999999</v>
      </c>
      <c r="T5060">
        <v>-0.23773900000000001</v>
      </c>
      <c r="U5060">
        <v>-1.1520840000000001</v>
      </c>
      <c r="V5060">
        <v>7.7188080000000006E-2</v>
      </c>
      <c r="W5060">
        <v>2.8850669999999998E-2</v>
      </c>
      <c r="X5060">
        <v>0.99659900000000001</v>
      </c>
      <c r="Y5060">
        <v>0.23864740000000001</v>
      </c>
      <c r="Z5060">
        <v>2.036979E-3</v>
      </c>
      <c r="AA5060">
        <v>0.97110410000000003</v>
      </c>
      <c r="AB5060">
        <v>24</v>
      </c>
      <c r="AC5060">
        <v>12.9033</v>
      </c>
      <c r="AD5060">
        <v>-1.10728508206299</v>
      </c>
      <c r="AE5060">
        <v>-5.3265999999999796</v>
      </c>
      <c r="AF5060">
        <v>3.3654813812037299</v>
      </c>
      <c r="AG5060">
        <v>-1.10728508206299</v>
      </c>
      <c r="AH5060">
        <v>13.4577911762658</v>
      </c>
      <c r="AI5060">
        <v>94.563690427974393</v>
      </c>
      <c r="AJ5060">
        <v>75.959615017864294</v>
      </c>
      <c r="AK5060">
        <v>13.9163460909883</v>
      </c>
      <c r="AL5060">
        <v>88.346748908619702</v>
      </c>
      <c r="AM5060">
        <v>85.571197974068397</v>
      </c>
      <c r="AN5060">
        <v>0.99999996382726697</v>
      </c>
    </row>
    <row r="5061" spans="1:40" x14ac:dyDescent="0.25">
      <c r="A5061" t="str">
        <f>"20190312154025505"</f>
        <v>20190312154025505</v>
      </c>
      <c r="B5061" t="str">
        <f>"1552376425491440"</f>
        <v>1552376425491440</v>
      </c>
      <c r="C5061" t="s">
        <v>40</v>
      </c>
      <c r="D5061">
        <v>4.3924349999999999</v>
      </c>
      <c r="E5061">
        <v>0.56458790000000003</v>
      </c>
      <c r="F5061" t="s">
        <v>54</v>
      </c>
      <c r="G5061">
        <v>-199.739</v>
      </c>
      <c r="H5061" s="1">
        <v>2.8974290000000002E-6</v>
      </c>
      <c r="I5061">
        <v>208.77330000000001</v>
      </c>
      <c r="J5061">
        <v>-212.3365</v>
      </c>
      <c r="K5061">
        <v>1.107321</v>
      </c>
      <c r="L5061">
        <v>214.02670000000001</v>
      </c>
      <c r="M5061">
        <v>0.988506</v>
      </c>
      <c r="N5061">
        <v>0</v>
      </c>
      <c r="O5061">
        <v>-0.15053469999999999</v>
      </c>
      <c r="P5061">
        <v>0.97386119999999998</v>
      </c>
      <c r="Q5061">
        <v>1.354786E-2</v>
      </c>
      <c r="R5061">
        <v>-0.22673969999999999</v>
      </c>
      <c r="S5061">
        <v>2.8166959999999999</v>
      </c>
      <c r="T5061">
        <v>-0.24297489999999999</v>
      </c>
      <c r="U5061">
        <v>-1.161713</v>
      </c>
      <c r="V5061">
        <v>7.7741499999999894E-2</v>
      </c>
      <c r="W5061">
        <v>2.6909740000000001E-2</v>
      </c>
      <c r="X5061">
        <v>0.99661029999999995</v>
      </c>
      <c r="Y5061">
        <v>0.237485</v>
      </c>
      <c r="Z5061">
        <v>2.5045800000000002E-3</v>
      </c>
      <c r="AA5061">
        <v>0.97138800000000003</v>
      </c>
      <c r="AB5061">
        <v>24</v>
      </c>
      <c r="AC5061">
        <v>12.597499999999901</v>
      </c>
      <c r="AD5061">
        <v>-1.1073181025709999</v>
      </c>
      <c r="AE5061">
        <v>-5.2533999999999903</v>
      </c>
      <c r="AF5061">
        <v>3.2754202427374999</v>
      </c>
      <c r="AG5061">
        <v>-1.1073181025709999</v>
      </c>
      <c r="AH5061">
        <v>13.1582116319381</v>
      </c>
      <c r="AI5061">
        <v>94.668535088757906</v>
      </c>
      <c r="AJ5061">
        <v>76.021690132432994</v>
      </c>
      <c r="AK5061">
        <v>13.6048911975689</v>
      </c>
      <c r="AL5061">
        <v>88.457999302466803</v>
      </c>
      <c r="AM5061">
        <v>85.539622582839002</v>
      </c>
      <c r="AN5061">
        <v>0.99999998249760302</v>
      </c>
    </row>
    <row r="5062" spans="1:40" x14ac:dyDescent="0.25">
      <c r="A5062" t="str">
        <f>"20190312154025527"</f>
        <v>20190312154025527</v>
      </c>
      <c r="B5062" t="str">
        <f>"1552376425520723"</f>
        <v>1552376425520723</v>
      </c>
      <c r="C5062" t="s">
        <v>40</v>
      </c>
      <c r="D5062">
        <v>4.342371</v>
      </c>
      <c r="E5062">
        <v>0.5646274</v>
      </c>
      <c r="F5062" t="s">
        <v>54</v>
      </c>
      <c r="G5062">
        <v>-199.90369999999999</v>
      </c>
      <c r="H5062" s="1">
        <v>2.856091E-6</v>
      </c>
      <c r="I5062">
        <v>208.81899999999999</v>
      </c>
      <c r="J5062">
        <v>-212.0975</v>
      </c>
      <c r="K5062">
        <v>1.1073740000000001</v>
      </c>
      <c r="L5062">
        <v>213.98490000000001</v>
      </c>
      <c r="M5062">
        <v>0.98780299999999999</v>
      </c>
      <c r="N5062">
        <v>0</v>
      </c>
      <c r="O5062">
        <v>-0.15508060000000001</v>
      </c>
      <c r="P5062">
        <v>0.97233720000000001</v>
      </c>
      <c r="Q5062">
        <v>1.0800580000000001E-2</v>
      </c>
      <c r="R5062">
        <v>-0.23333219999999999</v>
      </c>
      <c r="S5062">
        <v>2.8099669999999999</v>
      </c>
      <c r="T5062">
        <v>-0.25026680000000001</v>
      </c>
      <c r="U5062">
        <v>-1.1770020000000001</v>
      </c>
      <c r="V5062">
        <v>7.9879309999999995E-2</v>
      </c>
      <c r="W5062">
        <v>2.415167E-2</v>
      </c>
      <c r="X5062">
        <v>0.99651190000000001</v>
      </c>
      <c r="Y5062">
        <v>0.2383364</v>
      </c>
      <c r="Z5062">
        <v>2.9235559999999999E-3</v>
      </c>
      <c r="AA5062">
        <v>0.97117830000000005</v>
      </c>
      <c r="AB5062">
        <v>24</v>
      </c>
      <c r="AC5062">
        <v>12.1938</v>
      </c>
      <c r="AD5062">
        <v>-1.1073711439089999</v>
      </c>
      <c r="AE5062">
        <v>-5.1658999999999899</v>
      </c>
      <c r="AF5062">
        <v>3.1898788018282298</v>
      </c>
      <c r="AG5062">
        <v>-1.1073711439089999</v>
      </c>
      <c r="AH5062">
        <v>12.7582482449602</v>
      </c>
      <c r="AI5062">
        <v>94.813206347769494</v>
      </c>
      <c r="AJ5062">
        <v>75.962417768684304</v>
      </c>
      <c r="AK5062">
        <v>13.197518550877099</v>
      </c>
      <c r="AL5062">
        <v>88.616076659547105</v>
      </c>
      <c r="AM5062">
        <v>85.417031751697394</v>
      </c>
      <c r="AN5062">
        <v>0.99999998708573701</v>
      </c>
    </row>
    <row r="5063" spans="1:40" x14ac:dyDescent="0.25">
      <c r="A5063" t="str">
        <f>"20190312154025549"</f>
        <v>20190312154025549</v>
      </c>
      <c r="B5063" t="str">
        <f>"1552376425541219"</f>
        <v>1552376425541219</v>
      </c>
      <c r="C5063" t="s">
        <v>40</v>
      </c>
      <c r="D5063">
        <v>4.3401889999999996</v>
      </c>
      <c r="E5063">
        <v>0.56465359999999998</v>
      </c>
      <c r="F5063" t="s">
        <v>54</v>
      </c>
      <c r="G5063">
        <v>-200.1309</v>
      </c>
      <c r="H5063" s="1">
        <v>2.8925759999999998E-6</v>
      </c>
      <c r="I5063">
        <v>208.87700000000001</v>
      </c>
      <c r="J5063">
        <v>-211.8588</v>
      </c>
      <c r="K5063">
        <v>1.107459</v>
      </c>
      <c r="L5063">
        <v>213.94220000000001</v>
      </c>
      <c r="M5063">
        <v>0.9870989</v>
      </c>
      <c r="N5063">
        <v>0</v>
      </c>
      <c r="O5063">
        <v>-0.15950230000000001</v>
      </c>
      <c r="P5063">
        <v>0.97059989999999996</v>
      </c>
      <c r="Q5063">
        <v>8.7208379999999999E-3</v>
      </c>
      <c r="R5063">
        <v>-0.2405419</v>
      </c>
      <c r="S5063">
        <v>2.8012999999999999</v>
      </c>
      <c r="T5063">
        <v>-0.25922970000000001</v>
      </c>
      <c r="U5063">
        <v>-1.195724</v>
      </c>
      <c r="V5063">
        <v>8.2789989999999994E-2</v>
      </c>
      <c r="W5063">
        <v>2.2057960000000001E-2</v>
      </c>
      <c r="X5063">
        <v>0.99632290000000001</v>
      </c>
      <c r="Y5063">
        <v>0.24054819999999999</v>
      </c>
      <c r="Z5063">
        <v>3.3145340000000001E-3</v>
      </c>
      <c r="AA5063">
        <v>0.97063149999999998</v>
      </c>
      <c r="AB5063">
        <v>24</v>
      </c>
      <c r="AC5063">
        <v>11.7279</v>
      </c>
      <c r="AD5063">
        <v>-1.1074561074239999</v>
      </c>
      <c r="AE5063">
        <v>-5.0651999999999999</v>
      </c>
      <c r="AF5063">
        <v>3.1061878929638298</v>
      </c>
      <c r="AG5063">
        <v>-1.1074561074239999</v>
      </c>
      <c r="AH5063">
        <v>12.2933292669626</v>
      </c>
      <c r="AI5063">
        <v>94.991603484475505</v>
      </c>
      <c r="AJ5063">
        <v>75.819724419520298</v>
      </c>
      <c r="AK5063">
        <v>12.727953752360399</v>
      </c>
      <c r="AL5063">
        <v>88.736069514303693</v>
      </c>
      <c r="AM5063">
        <v>85.249889132407802</v>
      </c>
      <c r="AN5063">
        <v>1.0000000285539801</v>
      </c>
    </row>
    <row r="5064" spans="1:40" x14ac:dyDescent="0.25">
      <c r="A5064" t="str">
        <f>"20190312154025572"</f>
        <v>20190312154025572</v>
      </c>
      <c r="B5064" t="str">
        <f>"1552376425560576"</f>
        <v>1552376425560576</v>
      </c>
      <c r="C5064" t="s">
        <v>40</v>
      </c>
      <c r="D5064">
        <v>4.3352680000000001</v>
      </c>
      <c r="E5064">
        <v>0.56457880000000005</v>
      </c>
      <c r="F5064" t="s">
        <v>54</v>
      </c>
      <c r="G5064">
        <v>-200.24350000000001</v>
      </c>
      <c r="H5064" s="1">
        <v>2.9314890000000001E-6</v>
      </c>
      <c r="I5064">
        <v>208.8809</v>
      </c>
      <c r="J5064">
        <v>-211.6266</v>
      </c>
      <c r="K5064">
        <v>1.107561</v>
      </c>
      <c r="L5064">
        <v>213.8997</v>
      </c>
      <c r="M5064">
        <v>0.98641769999999995</v>
      </c>
      <c r="N5064">
        <v>0</v>
      </c>
      <c r="O5064">
        <v>-0.16366349999999999</v>
      </c>
      <c r="P5064">
        <v>0.96874769999999999</v>
      </c>
      <c r="Q5064">
        <v>8.1319229999999992E-3</v>
      </c>
      <c r="R5064">
        <v>-0.24791530000000001</v>
      </c>
      <c r="S5064">
        <v>2.7918090000000002</v>
      </c>
      <c r="T5064">
        <v>-0.26618399999999998</v>
      </c>
      <c r="U5064">
        <v>-1.216507</v>
      </c>
      <c r="V5064">
        <v>8.6154159999999994E-2</v>
      </c>
      <c r="W5064">
        <v>2.1454899999999999E-2</v>
      </c>
      <c r="X5064">
        <v>0.99605080000000001</v>
      </c>
      <c r="Y5064">
        <v>0.24372089999999999</v>
      </c>
      <c r="Z5064">
        <v>3.6311289999999999E-3</v>
      </c>
      <c r="AA5064">
        <v>0.9698386</v>
      </c>
      <c r="AB5064">
        <v>24</v>
      </c>
      <c r="AC5064">
        <v>11.383099999999899</v>
      </c>
      <c r="AD5064">
        <v>-1.107558068511</v>
      </c>
      <c r="AE5064">
        <v>-5.0187999999999899</v>
      </c>
      <c r="AF5064">
        <v>3.0636521797143699</v>
      </c>
      <c r="AG5064">
        <v>-1.107558068511</v>
      </c>
      <c r="AH5064">
        <v>11.956289065941</v>
      </c>
      <c r="AI5064">
        <v>95.1276952377236</v>
      </c>
      <c r="AJ5064">
        <v>75.627881871428301</v>
      </c>
      <c r="AK5064">
        <v>12.392154686806199</v>
      </c>
      <c r="AL5064">
        <v>88.770630481710398</v>
      </c>
      <c r="AM5064">
        <v>85.056462518330406</v>
      </c>
      <c r="AN5064">
        <v>1.00000002409997</v>
      </c>
    </row>
    <row r="5065" spans="1:40" x14ac:dyDescent="0.25">
      <c r="A5065" t="str">
        <f>"20190312154025594"</f>
        <v>20190312154025594</v>
      </c>
      <c r="B5065" t="str">
        <f>"1552376425581071"</f>
        <v>1552376425581071</v>
      </c>
      <c r="C5065" t="s">
        <v>40</v>
      </c>
      <c r="D5065">
        <v>4.3207529999999998</v>
      </c>
      <c r="E5065">
        <v>0.56448669999999901</v>
      </c>
      <c r="F5065" t="s">
        <v>54</v>
      </c>
      <c r="G5065">
        <v>-200.1575</v>
      </c>
      <c r="H5065" s="1">
        <v>2.9229929999999998E-6</v>
      </c>
      <c r="I5065">
        <v>208.7978</v>
      </c>
      <c r="J5065">
        <v>-211.39189999999999</v>
      </c>
      <c r="K5065">
        <v>1.1076859999999999</v>
      </c>
      <c r="L5065">
        <v>213.85589999999999</v>
      </c>
      <c r="M5065">
        <v>0.98573920000000004</v>
      </c>
      <c r="N5065">
        <v>0</v>
      </c>
      <c r="O5065">
        <v>-0.16770160000000001</v>
      </c>
      <c r="P5065">
        <v>0.9671324</v>
      </c>
      <c r="Q5065">
        <v>7.4562209999999999E-3</v>
      </c>
      <c r="R5065">
        <v>-0.25416349999999999</v>
      </c>
      <c r="S5065">
        <v>2.7823030000000002</v>
      </c>
      <c r="T5065">
        <v>-0.2686847</v>
      </c>
      <c r="U5065">
        <v>-1.237671</v>
      </c>
      <c r="V5065">
        <v>8.8493269999999999E-2</v>
      </c>
      <c r="W5065">
        <v>2.0777460000000001E-2</v>
      </c>
      <c r="X5065">
        <v>0.99585999999999997</v>
      </c>
      <c r="Y5065">
        <v>0.24713289999999999</v>
      </c>
      <c r="Z5065">
        <v>3.873189E-3</v>
      </c>
      <c r="AA5065">
        <v>0.96897390000000005</v>
      </c>
      <c r="AB5065">
        <v>24</v>
      </c>
      <c r="AC5065">
        <v>11.2343999999999</v>
      </c>
      <c r="AD5065">
        <v>-1.1076830770070001</v>
      </c>
      <c r="AE5065">
        <v>-5.0580999999999898</v>
      </c>
      <c r="AF5065">
        <v>3.0773679111215801</v>
      </c>
      <c r="AG5065">
        <v>-1.1076830770070001</v>
      </c>
      <c r="AH5065">
        <v>11.827993790801299</v>
      </c>
      <c r="AI5065">
        <v>95.178681276933006</v>
      </c>
      <c r="AJ5065">
        <v>75.416303286093296</v>
      </c>
      <c r="AK5065">
        <v>12.2718618055584</v>
      </c>
      <c r="AL5065">
        <v>88.8094535033634</v>
      </c>
      <c r="AM5065">
        <v>84.921968711340398</v>
      </c>
      <c r="AN5065">
        <v>0.99999995063967095</v>
      </c>
    </row>
    <row r="5066" spans="1:40" x14ac:dyDescent="0.25">
      <c r="A5066" t="str">
        <f>"20190312154025616"</f>
        <v>20190312154025616</v>
      </c>
      <c r="B5066" t="str">
        <f>"1552376425611328"</f>
        <v>1552376425611328</v>
      </c>
      <c r="C5066" t="s">
        <v>40</v>
      </c>
      <c r="D5066">
        <v>4.3589919999999998</v>
      </c>
      <c r="E5066">
        <v>0.56427620000000001</v>
      </c>
      <c r="F5066" t="s">
        <v>54</v>
      </c>
      <c r="G5066">
        <v>-200.04400000000001</v>
      </c>
      <c r="H5066" s="1">
        <v>2.9033179999999999E-6</v>
      </c>
      <c r="I5066">
        <v>208.7199</v>
      </c>
      <c r="J5066">
        <v>-211.1591</v>
      </c>
      <c r="K5066">
        <v>1.10782</v>
      </c>
      <c r="L5066">
        <v>213.8117</v>
      </c>
      <c r="M5066">
        <v>0.98508200000000001</v>
      </c>
      <c r="N5066">
        <v>0</v>
      </c>
      <c r="O5066">
        <v>-0.171520799999999</v>
      </c>
      <c r="P5066">
        <v>0.96581919999999999</v>
      </c>
      <c r="Q5066">
        <v>6.8584519999999897E-3</v>
      </c>
      <c r="R5066">
        <v>-0.25912610000000003</v>
      </c>
      <c r="S5066">
        <v>2.7740939999999998</v>
      </c>
      <c r="T5066">
        <v>-0.27078099999999999</v>
      </c>
      <c r="U5066">
        <v>-1.2555240000000001</v>
      </c>
      <c r="V5066">
        <v>8.9735460000000003E-2</v>
      </c>
      <c r="W5066">
        <v>2.0190119999999999E-2</v>
      </c>
      <c r="X5066">
        <v>0.99576100000000001</v>
      </c>
      <c r="Y5066">
        <v>0.24962909999999999</v>
      </c>
      <c r="Z5066">
        <v>4.1353730000000003E-3</v>
      </c>
      <c r="AA5066">
        <v>0.96833270000000005</v>
      </c>
      <c r="AB5066">
        <v>24</v>
      </c>
      <c r="AC5066">
        <v>11.115099999999901</v>
      </c>
      <c r="AD5066">
        <v>-1.107817096682</v>
      </c>
      <c r="AE5066">
        <v>-5.0918000000000001</v>
      </c>
      <c r="AF5066">
        <v>3.0843470012680201</v>
      </c>
      <c r="AG5066">
        <v>-1.107817096682</v>
      </c>
      <c r="AH5066">
        <v>11.7274917831</v>
      </c>
      <c r="AI5066">
        <v>95.219854113675495</v>
      </c>
      <c r="AJ5066">
        <v>75.264822129156499</v>
      </c>
      <c r="AK5066">
        <v>12.1768024812185</v>
      </c>
      <c r="AL5066">
        <v>88.843112764312707</v>
      </c>
      <c r="AM5066">
        <v>84.8505591729391</v>
      </c>
      <c r="AN5066">
        <v>1.0000000314240101</v>
      </c>
    </row>
    <row r="5067" spans="1:40" x14ac:dyDescent="0.25">
      <c r="A5067" t="str">
        <f>"20190312154025638"</f>
        <v>20190312154025638</v>
      </c>
      <c r="B5067" t="str">
        <f>"1552376425630848"</f>
        <v>1552376425630848</v>
      </c>
      <c r="C5067" t="s">
        <v>40</v>
      </c>
      <c r="D5067">
        <v>4.2774449999999904</v>
      </c>
      <c r="E5067">
        <v>0.56423769999999995</v>
      </c>
      <c r="F5067" t="s">
        <v>54</v>
      </c>
      <c r="G5067">
        <v>-199.9659</v>
      </c>
      <c r="H5067" s="1">
        <v>2.885756E-6</v>
      </c>
      <c r="I5067">
        <v>208.68170000000001</v>
      </c>
      <c r="J5067">
        <v>-210.92590000000001</v>
      </c>
      <c r="K5067">
        <v>1.107961</v>
      </c>
      <c r="L5067">
        <v>213.76669999999999</v>
      </c>
      <c r="M5067">
        <v>0.98444529999999997</v>
      </c>
      <c r="N5067">
        <v>0</v>
      </c>
      <c r="O5067">
        <v>-0.17513909999999999</v>
      </c>
      <c r="P5067">
        <v>0.96492219999999995</v>
      </c>
      <c r="Q5067">
        <v>7.2886069999999999E-3</v>
      </c>
      <c r="R5067">
        <v>-0.26243490000000003</v>
      </c>
      <c r="S5067">
        <v>2.767776</v>
      </c>
      <c r="T5067">
        <v>-0.27393379999999901</v>
      </c>
      <c r="U5067">
        <v>-1.2685090000000001</v>
      </c>
      <c r="V5067">
        <v>8.9485700000000001E-2</v>
      </c>
      <c r="W5067">
        <v>2.0641590000000001E-2</v>
      </c>
      <c r="X5067">
        <v>0.99577420000000005</v>
      </c>
      <c r="Y5067">
        <v>0.25066470000000002</v>
      </c>
      <c r="Z5067">
        <v>4.4679430000000003E-3</v>
      </c>
      <c r="AA5067">
        <v>0.96806369999999997</v>
      </c>
      <c r="AB5067">
        <v>24</v>
      </c>
      <c r="AC5067">
        <v>10.96</v>
      </c>
      <c r="AD5067">
        <v>-1.107958114244</v>
      </c>
      <c r="AE5067">
        <v>-5.0849999999999804</v>
      </c>
      <c r="AF5067">
        <v>3.0609386739964699</v>
      </c>
      <c r="AG5067">
        <v>-1.107958114244</v>
      </c>
      <c r="AH5067">
        <v>11.5838233013351</v>
      </c>
      <c r="AI5067">
        <v>95.283290619470804</v>
      </c>
      <c r="AJ5067">
        <v>75.198333080542895</v>
      </c>
      <c r="AK5067">
        <v>12.0325341896643</v>
      </c>
      <c r="AL5067">
        <v>88.817240023307406</v>
      </c>
      <c r="AM5067">
        <v>84.864882543578602</v>
      </c>
      <c r="AN5067">
        <v>1.00000001156392</v>
      </c>
    </row>
    <row r="5068" spans="1:40" x14ac:dyDescent="0.25">
      <c r="A5068" t="str">
        <f>"20190312154025661"</f>
        <v>20190312154025661</v>
      </c>
      <c r="B5068" t="str">
        <f>"1552376425651509"</f>
        <v>1552376425651509</v>
      </c>
      <c r="C5068" t="s">
        <v>40</v>
      </c>
      <c r="D5068">
        <v>4.271414</v>
      </c>
      <c r="E5068">
        <v>0.56414439999999999</v>
      </c>
      <c r="F5068" t="s">
        <v>54</v>
      </c>
      <c r="G5068">
        <v>-199.67930000000001</v>
      </c>
      <c r="H5068" s="1">
        <v>2.9630829999999998E-6</v>
      </c>
      <c r="I5068">
        <v>208.56530000000001</v>
      </c>
      <c r="J5068">
        <v>-210.69489999999999</v>
      </c>
      <c r="K5068">
        <v>1.108096</v>
      </c>
      <c r="L5068">
        <v>213.72149999999999</v>
      </c>
      <c r="M5068">
        <v>0.9838363</v>
      </c>
      <c r="N5068">
        <v>0</v>
      </c>
      <c r="O5068">
        <v>-0.17852950000000001</v>
      </c>
      <c r="P5068">
        <v>0.96421869999999998</v>
      </c>
      <c r="Q5068">
        <v>8.0598179999999998E-3</v>
      </c>
      <c r="R5068">
        <v>-0.26498650000000001</v>
      </c>
      <c r="S5068">
        <v>2.7635040000000002</v>
      </c>
      <c r="T5068">
        <v>-0.27224619999999999</v>
      </c>
      <c r="U5068">
        <v>-1.2780910000000001</v>
      </c>
      <c r="V5068">
        <v>8.868732E-2</v>
      </c>
      <c r="W5068">
        <v>2.1436299999999998E-2</v>
      </c>
      <c r="X5068">
        <v>0.99582879999999996</v>
      </c>
      <c r="Y5068">
        <v>0.25068210000000002</v>
      </c>
      <c r="Z5068">
        <v>4.7490329999999997E-3</v>
      </c>
      <c r="AA5068">
        <v>0.96805779999999997</v>
      </c>
      <c r="AB5068">
        <v>24</v>
      </c>
      <c r="AC5068">
        <v>11.0155999999999</v>
      </c>
      <c r="AD5068">
        <v>-1.1080930369169999</v>
      </c>
      <c r="AE5068">
        <v>-5.1561999999999797</v>
      </c>
      <c r="AF5068">
        <v>3.0809743334149302</v>
      </c>
      <c r="AG5068">
        <v>-1.1080930369169999</v>
      </c>
      <c r="AH5068">
        <v>11.662415657565401</v>
      </c>
      <c r="AI5068">
        <v>95.248602663787295</v>
      </c>
      <c r="AJ5068">
        <v>75.201693633507105</v>
      </c>
      <c r="AK5068">
        <v>12.1133072276506</v>
      </c>
      <c r="AL5068">
        <v>88.771696370837702</v>
      </c>
      <c r="AM5068">
        <v>84.910733294304194</v>
      </c>
      <c r="AN5068">
        <v>0.99999997729795498</v>
      </c>
    </row>
    <row r="5069" spans="1:40" x14ac:dyDescent="0.25">
      <c r="A5069" t="str">
        <f>"20190312154025682"</f>
        <v>20190312154025682</v>
      </c>
      <c r="B5069" t="str">
        <f>"1552376425671029"</f>
        <v>1552376425671029</v>
      </c>
      <c r="C5069" t="s">
        <v>40</v>
      </c>
      <c r="D5069">
        <v>4.2767839999999904</v>
      </c>
      <c r="E5069">
        <v>0.56405319999999903</v>
      </c>
      <c r="F5069" t="s">
        <v>54</v>
      </c>
      <c r="G5069">
        <v>-199.32419999999999</v>
      </c>
      <c r="H5069" s="1">
        <v>3.062543E-6</v>
      </c>
      <c r="I5069">
        <v>208.42760000000001</v>
      </c>
      <c r="J5069">
        <v>-210.46350000000001</v>
      </c>
      <c r="K5069">
        <v>1.1082129999999999</v>
      </c>
      <c r="L5069">
        <v>213.6755</v>
      </c>
      <c r="M5069">
        <v>0.98324259999999997</v>
      </c>
      <c r="N5069">
        <v>0</v>
      </c>
      <c r="O5069">
        <v>-0.18177160000000001</v>
      </c>
      <c r="P5069">
        <v>0.9636188</v>
      </c>
      <c r="Q5069">
        <v>8.5404030000000002E-3</v>
      </c>
      <c r="R5069">
        <v>-0.26714470000000001</v>
      </c>
      <c r="S5069">
        <v>2.7604060000000001</v>
      </c>
      <c r="T5069">
        <v>-0.26900639999999998</v>
      </c>
      <c r="U5069">
        <v>-1.285172</v>
      </c>
      <c r="V5069">
        <v>8.7631239999999999E-2</v>
      </c>
      <c r="W5069">
        <v>2.193639E-2</v>
      </c>
      <c r="X5069">
        <v>0.9959114</v>
      </c>
      <c r="Y5069">
        <v>0.2499692</v>
      </c>
      <c r="Z5069">
        <v>5.0174579999999998E-3</v>
      </c>
      <c r="AA5069">
        <v>0.96824080000000001</v>
      </c>
      <c r="AB5069">
        <v>24</v>
      </c>
      <c r="AC5069">
        <v>11.1393</v>
      </c>
      <c r="AD5069">
        <v>-1.10820993745699</v>
      </c>
      <c r="AE5069">
        <v>-5.24789999999998</v>
      </c>
      <c r="AF5069">
        <v>3.1102606406890798</v>
      </c>
      <c r="AG5069">
        <v>-1.10820993745699</v>
      </c>
      <c r="AH5069">
        <v>11.812027890787199</v>
      </c>
      <c r="AI5069">
        <v>95.184133335379798</v>
      </c>
      <c r="AJ5069">
        <v>75.248125540668994</v>
      </c>
      <c r="AK5069">
        <v>12.2648217847319</v>
      </c>
      <c r="AL5069">
        <v>88.743036584337403</v>
      </c>
      <c r="AM5069">
        <v>84.971438117883594</v>
      </c>
      <c r="AN5069">
        <v>0.99999997804006402</v>
      </c>
    </row>
    <row r="5070" spans="1:40" x14ac:dyDescent="0.25">
      <c r="A5070" t="str">
        <f>"20190312154025706"</f>
        <v>20190312154025706</v>
      </c>
      <c r="B5070" t="str">
        <f>"1552376425701289"</f>
        <v>1552376425701289</v>
      </c>
      <c r="C5070" t="s">
        <v>40</v>
      </c>
      <c r="D5070">
        <v>4.3113599999999996</v>
      </c>
      <c r="E5070">
        <v>0.56383019999999995</v>
      </c>
      <c r="F5070" t="s">
        <v>54</v>
      </c>
      <c r="G5070">
        <v>-199.00129999999999</v>
      </c>
      <c r="H5070" s="1">
        <v>3.1510820000000001E-6</v>
      </c>
      <c r="I5070">
        <v>208.30950000000001</v>
      </c>
      <c r="J5070">
        <v>-210.22550000000001</v>
      </c>
      <c r="K5070">
        <v>1.1083080000000001</v>
      </c>
      <c r="L5070">
        <v>213.6276</v>
      </c>
      <c r="M5070">
        <v>0.98264759999999995</v>
      </c>
      <c r="N5070">
        <v>0</v>
      </c>
      <c r="O5070">
        <v>-0.18496099999999999</v>
      </c>
      <c r="P5070">
        <v>0.96320779999999995</v>
      </c>
      <c r="Q5070">
        <v>8.9353519999999902E-3</v>
      </c>
      <c r="R5070">
        <v>-0.26860889999999998</v>
      </c>
      <c r="S5070">
        <v>2.7577210000000001</v>
      </c>
      <c r="T5070">
        <v>-0.26662770000000002</v>
      </c>
      <c r="U5070">
        <v>-1.2910159999999999</v>
      </c>
      <c r="V5070">
        <v>8.5910360000000005E-2</v>
      </c>
      <c r="W5070">
        <v>2.2351139999999999E-2</v>
      </c>
      <c r="X5070">
        <v>0.9960521</v>
      </c>
      <c r="Y5070">
        <v>0.248893</v>
      </c>
      <c r="Z5070">
        <v>5.307043E-3</v>
      </c>
      <c r="AA5070">
        <v>0.9685165</v>
      </c>
      <c r="AB5070">
        <v>24</v>
      </c>
      <c r="AC5070">
        <v>11.2242</v>
      </c>
      <c r="AD5070">
        <v>-1.1083048489180001</v>
      </c>
      <c r="AE5070">
        <v>-5.3180999999999798</v>
      </c>
      <c r="AF5070">
        <v>3.1251986258898001</v>
      </c>
      <c r="AG5070">
        <v>-1.1083048489180001</v>
      </c>
      <c r="AH5070">
        <v>11.9193263726293</v>
      </c>
      <c r="AI5070">
        <v>95.139557411148502</v>
      </c>
      <c r="AJ5070">
        <v>75.307997220624998</v>
      </c>
      <c r="AK5070">
        <v>12.371966184348199</v>
      </c>
      <c r="AL5070">
        <v>88.719267326470003</v>
      </c>
      <c r="AM5070">
        <v>85.070389165447907</v>
      </c>
      <c r="AN5070">
        <v>0.99999997466451895</v>
      </c>
    </row>
    <row r="5071" spans="1:40" x14ac:dyDescent="0.25">
      <c r="A5071" t="str">
        <f>"20190312154025728"</f>
        <v>20190312154025728</v>
      </c>
      <c r="B5071" t="str">
        <f>"1552376425720805"</f>
        <v>1552376425720805</v>
      </c>
      <c r="C5071" t="s">
        <v>40</v>
      </c>
      <c r="D5071">
        <v>4.2816879999999999</v>
      </c>
      <c r="E5071">
        <v>0.56370690000000001</v>
      </c>
      <c r="F5071" t="s">
        <v>54</v>
      </c>
      <c r="G5071">
        <v>-198.78389999999999</v>
      </c>
      <c r="H5071" s="1">
        <v>3.2035290000000001E-6</v>
      </c>
      <c r="I5071">
        <v>208.25710000000001</v>
      </c>
      <c r="J5071">
        <v>-209.99549999999999</v>
      </c>
      <c r="K5071">
        <v>1.10839</v>
      </c>
      <c r="L5071">
        <v>213.5806</v>
      </c>
      <c r="M5071">
        <v>0.98208700000000004</v>
      </c>
      <c r="N5071">
        <v>0</v>
      </c>
      <c r="O5071">
        <v>-0.18791679999999999</v>
      </c>
      <c r="P5071">
        <v>0.96280410000000005</v>
      </c>
      <c r="Q5071">
        <v>9.0019690000000003E-3</v>
      </c>
      <c r="R5071">
        <v>-0.2700515</v>
      </c>
      <c r="S5071">
        <v>2.7562869999999999</v>
      </c>
      <c r="T5071">
        <v>-0.26699020000000001</v>
      </c>
      <c r="U5071">
        <v>-1.293747</v>
      </c>
      <c r="V5071">
        <v>8.4401030000000002E-2</v>
      </c>
      <c r="W5071">
        <v>2.2433129999999999E-2</v>
      </c>
      <c r="X5071">
        <v>0.99617929999999999</v>
      </c>
      <c r="Y5071">
        <v>0.24697620000000001</v>
      </c>
      <c r="Z5071">
        <v>5.6657449999999998E-3</v>
      </c>
      <c r="AA5071">
        <v>0.96900500000000001</v>
      </c>
      <c r="AB5071">
        <v>24</v>
      </c>
      <c r="AC5071">
        <v>11.211600000000001</v>
      </c>
      <c r="AD5071">
        <v>-1.1083867964709999</v>
      </c>
      <c r="AE5071">
        <v>-5.3234999999999904</v>
      </c>
      <c r="AF5071">
        <v>3.0968936245982999</v>
      </c>
      <c r="AG5071">
        <v>-1.1083867964709999</v>
      </c>
      <c r="AH5071">
        <v>11.917252968718101</v>
      </c>
      <c r="AI5071">
        <v>95.143736590126494</v>
      </c>
      <c r="AJ5071">
        <v>75.432954068064603</v>
      </c>
      <c r="AK5071">
        <v>12.362855241937</v>
      </c>
      <c r="AL5071">
        <v>88.714568484963394</v>
      </c>
      <c r="AM5071">
        <v>85.157195675586493</v>
      </c>
      <c r="AN5071">
        <v>0.99999998846757299</v>
      </c>
    </row>
    <row r="5072" spans="1:40" x14ac:dyDescent="0.25">
      <c r="A5072" t="str">
        <f>"20190312154025750"</f>
        <v>20190312154025750</v>
      </c>
      <c r="B5072" t="str">
        <f>"1552376425741301"</f>
        <v>1552376425741301</v>
      </c>
      <c r="C5072" t="s">
        <v>40</v>
      </c>
      <c r="D5072">
        <v>4.2779579999999999</v>
      </c>
      <c r="E5072">
        <v>0.56354659999999901</v>
      </c>
      <c r="F5072" t="s">
        <v>54</v>
      </c>
      <c r="G5072">
        <v>-198.59</v>
      </c>
      <c r="H5072" s="1">
        <v>3.2501940000000001E-6</v>
      </c>
      <c r="I5072">
        <v>208.21080000000001</v>
      </c>
      <c r="J5072">
        <v>-209.768</v>
      </c>
      <c r="K5072">
        <v>1.108474</v>
      </c>
      <c r="L5072">
        <v>213.53360000000001</v>
      </c>
      <c r="M5072">
        <v>0.98154490000000005</v>
      </c>
      <c r="N5072">
        <v>0</v>
      </c>
      <c r="O5072">
        <v>-0.19072829999999999</v>
      </c>
      <c r="P5072">
        <v>0.96236690000000003</v>
      </c>
      <c r="Q5072">
        <v>8.4918690000000008E-3</v>
      </c>
      <c r="R5072">
        <v>-0.27162039999999998</v>
      </c>
      <c r="S5072">
        <v>2.7546390000000001</v>
      </c>
      <c r="T5072">
        <v>-0.26769589999999999</v>
      </c>
      <c r="U5072">
        <v>-1.296921</v>
      </c>
      <c r="V5072">
        <v>8.3164600000000005E-2</v>
      </c>
      <c r="W5072">
        <v>2.193544E-2</v>
      </c>
      <c r="X5072">
        <v>0.99629440000000002</v>
      </c>
      <c r="Y5072">
        <v>0.24535370000000001</v>
      </c>
      <c r="Z5072">
        <v>6.0068319999999897E-3</v>
      </c>
      <c r="AA5072">
        <v>0.96941500000000003</v>
      </c>
      <c r="AB5072">
        <v>24</v>
      </c>
      <c r="AC5072">
        <v>11.1779999999999</v>
      </c>
      <c r="AD5072">
        <v>-1.108470749806</v>
      </c>
      <c r="AE5072">
        <v>-5.3228</v>
      </c>
      <c r="AF5072">
        <v>3.0683078189182398</v>
      </c>
      <c r="AG5072">
        <v>-1.108470749806</v>
      </c>
      <c r="AH5072">
        <v>11.8927369354821</v>
      </c>
      <c r="AI5072">
        <v>95.156995719796399</v>
      </c>
      <c r="AJ5072">
        <v>75.533254358957095</v>
      </c>
      <c r="AK5072">
        <v>12.3320887156795</v>
      </c>
      <c r="AL5072">
        <v>88.743091084755903</v>
      </c>
      <c r="AM5072">
        <v>85.228358876911599</v>
      </c>
      <c r="AN5072">
        <v>1.00000002284625</v>
      </c>
    </row>
    <row r="5073" spans="1:40" x14ac:dyDescent="0.25">
      <c r="A5073" t="str">
        <f>"20190312154025773"</f>
        <v>20190312154025773</v>
      </c>
      <c r="B5073" t="str">
        <f>"1552376425760821"</f>
        <v>1552376425760821</v>
      </c>
      <c r="C5073" t="s">
        <v>40</v>
      </c>
      <c r="D5073">
        <v>4.2680639999999999</v>
      </c>
      <c r="E5073">
        <v>0.56344530000000004</v>
      </c>
      <c r="F5073" t="s">
        <v>54</v>
      </c>
      <c r="G5073">
        <v>-198.44909999999999</v>
      </c>
      <c r="H5073" s="1">
        <v>3.2811650000000001E-6</v>
      </c>
      <c r="I5073">
        <v>208.18819999999999</v>
      </c>
      <c r="J5073">
        <v>-209.53319999999999</v>
      </c>
      <c r="K5073">
        <v>1.1085529999999999</v>
      </c>
      <c r="L5073">
        <v>213.4845</v>
      </c>
      <c r="M5073">
        <v>0.98099689999999995</v>
      </c>
      <c r="N5073">
        <v>0</v>
      </c>
      <c r="O5073">
        <v>-0.1935278</v>
      </c>
      <c r="P5073">
        <v>0.96191979999999999</v>
      </c>
      <c r="Q5073">
        <v>7.9821200000000005E-3</v>
      </c>
      <c r="R5073">
        <v>-0.27321489999999998</v>
      </c>
      <c r="S5073">
        <v>2.752777</v>
      </c>
      <c r="T5073">
        <v>-0.26958379999999998</v>
      </c>
      <c r="U5073">
        <v>-1.3000339999999999</v>
      </c>
      <c r="V5073">
        <v>8.1965869999999996E-2</v>
      </c>
      <c r="W5073">
        <v>2.143774E-2</v>
      </c>
      <c r="X5073">
        <v>0.99640450000000003</v>
      </c>
      <c r="Y5073">
        <v>0.24375060000000001</v>
      </c>
      <c r="Z5073">
        <v>6.3759569999999998E-3</v>
      </c>
      <c r="AA5073">
        <v>0.96981700000000004</v>
      </c>
      <c r="AB5073">
        <v>24</v>
      </c>
      <c r="AC5073">
        <v>11.084099999999999</v>
      </c>
      <c r="AD5073">
        <v>-1.108549718835</v>
      </c>
      <c r="AE5073">
        <v>-5.2962999999999996</v>
      </c>
      <c r="AF5073">
        <v>3.0262221111589001</v>
      </c>
      <c r="AG5073">
        <v>-1.108549718835</v>
      </c>
      <c r="AH5073">
        <v>11.803473213459901</v>
      </c>
      <c r="AI5073">
        <v>95.198163914885001</v>
      </c>
      <c r="AJ5073">
        <v>75.620015013149995</v>
      </c>
      <c r="AK5073">
        <v>12.235558125646</v>
      </c>
      <c r="AL5073">
        <v>88.771613817425006</v>
      </c>
      <c r="AM5073">
        <v>85.297343629021995</v>
      </c>
      <c r="AN5073">
        <v>0.99999995408070597</v>
      </c>
    </row>
    <row r="5074" spans="1:40" x14ac:dyDescent="0.25">
      <c r="A5074" t="str">
        <f>"20190312154025795"</f>
        <v>20190312154025795</v>
      </c>
      <c r="B5074" t="str">
        <f>"1552376425791077"</f>
        <v>1552376425791077</v>
      </c>
      <c r="C5074" t="s">
        <v>40</v>
      </c>
      <c r="D5074">
        <v>4.3671610000000003</v>
      </c>
      <c r="E5074">
        <v>0.56350269999999902</v>
      </c>
      <c r="F5074" t="s">
        <v>54</v>
      </c>
      <c r="G5074">
        <v>-198.36410000000001</v>
      </c>
      <c r="H5074" s="1">
        <v>3.2958560000000001E-6</v>
      </c>
      <c r="I5074">
        <v>208.18960000000001</v>
      </c>
      <c r="J5074">
        <v>-209.30350000000001</v>
      </c>
      <c r="K5074">
        <v>1.1086279999999999</v>
      </c>
      <c r="L5074">
        <v>213.43600000000001</v>
      </c>
      <c r="M5074">
        <v>0.98047039999999996</v>
      </c>
      <c r="N5074">
        <v>0</v>
      </c>
      <c r="O5074">
        <v>-0.19617889999999999</v>
      </c>
      <c r="P5074">
        <v>0.96152289999999996</v>
      </c>
      <c r="Q5074">
        <v>7.605428E-3</v>
      </c>
      <c r="R5074">
        <v>-0.27461960000000002</v>
      </c>
      <c r="S5074">
        <v>2.7506560000000002</v>
      </c>
      <c r="T5074">
        <v>-0.27300790000000003</v>
      </c>
      <c r="U5074">
        <v>-1.304001</v>
      </c>
      <c r="V5074">
        <v>8.0721370000000001E-2</v>
      </c>
      <c r="W5074">
        <v>2.1073519999999998E-2</v>
      </c>
      <c r="X5074">
        <v>0.99651389999999995</v>
      </c>
      <c r="Y5074">
        <v>0.24257010000000001</v>
      </c>
      <c r="Z5074">
        <v>6.7544019999999996E-3</v>
      </c>
      <c r="AA5074">
        <v>0.97011040000000004</v>
      </c>
      <c r="AB5074">
        <v>23</v>
      </c>
      <c r="AC5074">
        <v>10.939399999999999</v>
      </c>
      <c r="AD5074">
        <v>-1.1086247041440001</v>
      </c>
      <c r="AE5074">
        <v>-5.2463999999999604</v>
      </c>
      <c r="AF5074">
        <v>2.9733211310827898</v>
      </c>
      <c r="AG5074">
        <v>-1.1086247041440001</v>
      </c>
      <c r="AH5074">
        <v>11.658769102469099</v>
      </c>
      <c r="AI5074">
        <v>95.264378007786803</v>
      </c>
      <c r="AJ5074">
        <v>75.692902312274697</v>
      </c>
      <c r="AK5074">
        <v>12.082904628766601</v>
      </c>
      <c r="AL5074">
        <v>88.792486849901806</v>
      </c>
      <c r="AM5074">
        <v>85.368937997255202</v>
      </c>
      <c r="AN5074">
        <v>0.99999999285653796</v>
      </c>
    </row>
    <row r="5075" spans="1:40" x14ac:dyDescent="0.25">
      <c r="A5075" t="str">
        <f>"20190312154025818"</f>
        <v>20190312154025818</v>
      </c>
      <c r="B5075" t="str">
        <f>"1552376425811572"</f>
        <v>1552376425811572</v>
      </c>
      <c r="C5075" t="s">
        <v>40</v>
      </c>
      <c r="D5075">
        <v>4.3740230000000002</v>
      </c>
      <c r="E5075">
        <v>0.56361619999999901</v>
      </c>
      <c r="F5075" t="s">
        <v>54</v>
      </c>
      <c r="G5075">
        <v>-198.2055</v>
      </c>
      <c r="H5075" s="1">
        <v>3.334063E-6</v>
      </c>
      <c r="I5075">
        <v>208.1516</v>
      </c>
      <c r="J5075">
        <v>-209.07550000000001</v>
      </c>
      <c r="K5075">
        <v>1.10869</v>
      </c>
      <c r="L5075">
        <v>213.38720000000001</v>
      </c>
      <c r="M5075">
        <v>0.97995549999999998</v>
      </c>
      <c r="N5075">
        <v>0</v>
      </c>
      <c r="O5075">
        <v>-0.198736</v>
      </c>
      <c r="P5075">
        <v>0.96109639999999996</v>
      </c>
      <c r="Q5075">
        <v>7.5369850000000004E-3</v>
      </c>
      <c r="R5075">
        <v>-0.276111</v>
      </c>
      <c r="S5075">
        <v>2.7484280000000001</v>
      </c>
      <c r="T5075">
        <v>-0.27455220000000002</v>
      </c>
      <c r="U5075">
        <v>-1.3086850000000001</v>
      </c>
      <c r="V5075">
        <v>7.9663490000000003E-2</v>
      </c>
      <c r="W5075">
        <v>2.1014399999999999E-2</v>
      </c>
      <c r="X5075">
        <v>0.99660029999999999</v>
      </c>
      <c r="Y5075">
        <v>0.24170359999999999</v>
      </c>
      <c r="Z5075">
        <v>7.0683090000000001E-3</v>
      </c>
      <c r="AA5075">
        <v>0.97032439999999998</v>
      </c>
      <c r="AB5075">
        <v>23</v>
      </c>
      <c r="AC5075">
        <v>10.87</v>
      </c>
      <c r="AD5075">
        <v>-1.108686665937</v>
      </c>
      <c r="AE5075">
        <v>-5.2355999999999998</v>
      </c>
      <c r="AF5075">
        <v>2.9458042341358501</v>
      </c>
      <c r="AG5075">
        <v>-1.108686665937</v>
      </c>
      <c r="AH5075">
        <v>11.595820950886999</v>
      </c>
      <c r="AI5075">
        <v>95.294331940505302</v>
      </c>
      <c r="AJ5075">
        <v>75.746096975558501</v>
      </c>
      <c r="AK5075">
        <v>12.0154072854027</v>
      </c>
      <c r="AL5075">
        <v>88.795874956137496</v>
      </c>
      <c r="AM5075">
        <v>85.429765304375593</v>
      </c>
      <c r="AN5075">
        <v>1.00000001730321</v>
      </c>
    </row>
    <row r="5076" spans="1:40" x14ac:dyDescent="0.25">
      <c r="A5076" t="str">
        <f>"20190312154025839"</f>
        <v>20190312154025839</v>
      </c>
      <c r="B5076" t="str">
        <f>"1552376425831093"</f>
        <v>1552376425831093</v>
      </c>
      <c r="C5076" t="s">
        <v>40</v>
      </c>
      <c r="D5076">
        <v>4.3760339999999998</v>
      </c>
      <c r="E5076">
        <v>0.57340000000000002</v>
      </c>
      <c r="F5076" t="s">
        <v>54</v>
      </c>
      <c r="G5076">
        <v>-197.97649999999999</v>
      </c>
      <c r="H5076" s="1">
        <v>3.3947439999999998E-6</v>
      </c>
      <c r="I5076">
        <v>208.07579999999999</v>
      </c>
      <c r="J5076">
        <v>-208.8493</v>
      </c>
      <c r="K5076">
        <v>1.1087340000000001</v>
      </c>
      <c r="L5076">
        <v>213.3383</v>
      </c>
      <c r="M5076">
        <v>0.97945119999999997</v>
      </c>
      <c r="N5076">
        <v>0</v>
      </c>
      <c r="O5076">
        <v>-0.20120679999999999</v>
      </c>
      <c r="P5076">
        <v>0.96079230000000004</v>
      </c>
      <c r="Q5076">
        <v>7.3044679999999997E-3</v>
      </c>
      <c r="R5076">
        <v>-0.27717380000000003</v>
      </c>
      <c r="S5076">
        <v>2.746048</v>
      </c>
      <c r="T5076">
        <v>-0.27430520000000003</v>
      </c>
      <c r="U5076">
        <v>-1.314117</v>
      </c>
      <c r="V5076">
        <v>7.8248139999999994E-2</v>
      </c>
      <c r="W5076">
        <v>2.0790340000000001E-2</v>
      </c>
      <c r="X5076">
        <v>0.99671710000000002</v>
      </c>
      <c r="Y5076">
        <v>0.24115780000000001</v>
      </c>
      <c r="Z5076">
        <v>7.3144009999999999E-3</v>
      </c>
      <c r="AA5076">
        <v>0.9704583</v>
      </c>
      <c r="AB5076">
        <v>23</v>
      </c>
      <c r="AC5076">
        <v>10.8728</v>
      </c>
      <c r="AD5076">
        <v>-1.108730605256</v>
      </c>
      <c r="AE5076">
        <v>-5.2625000000000099</v>
      </c>
      <c r="AF5076">
        <v>2.9421768680327598</v>
      </c>
      <c r="AG5076">
        <v>-1.108730605256</v>
      </c>
      <c r="AH5076">
        <v>11.6115217978928</v>
      </c>
      <c r="AI5076">
        <v>95.288244059429701</v>
      </c>
      <c r="AJ5076">
        <v>75.781404600960002</v>
      </c>
      <c r="AK5076">
        <v>12.029676917555101</v>
      </c>
      <c r="AL5076">
        <v>88.808715425360305</v>
      </c>
      <c r="AM5076">
        <v>85.511151897887601</v>
      </c>
      <c r="AN5076">
        <v>0.99999999354159197</v>
      </c>
    </row>
    <row r="5077" spans="1:40" x14ac:dyDescent="0.25">
      <c r="A5077" t="str">
        <f>"20190312154025862"</f>
        <v>20190312154025862</v>
      </c>
      <c r="B5077" t="str">
        <f>"1552376425851589"</f>
        <v>1552376425851589</v>
      </c>
      <c r="C5077" t="s">
        <v>40</v>
      </c>
      <c r="D5077">
        <v>4.3042559999999996</v>
      </c>
      <c r="E5077">
        <v>0.57411279999999998</v>
      </c>
      <c r="F5077" t="s">
        <v>54</v>
      </c>
      <c r="G5077">
        <v>-198.249</v>
      </c>
      <c r="H5077" s="1">
        <v>3.3882430000000001E-6</v>
      </c>
      <c r="I5077">
        <v>207.9179</v>
      </c>
      <c r="J5077">
        <v>-208.6198</v>
      </c>
      <c r="K5077">
        <v>1.1087629999999999</v>
      </c>
      <c r="L5077">
        <v>213.28809999999999</v>
      </c>
      <c r="M5077">
        <v>0.97894230000000004</v>
      </c>
      <c r="N5077">
        <v>0</v>
      </c>
      <c r="O5077">
        <v>-0.20366919999999999</v>
      </c>
      <c r="P5077">
        <v>0.96062760000000003</v>
      </c>
      <c r="Q5077">
        <v>6.6859529999999997E-3</v>
      </c>
      <c r="R5077">
        <v>-0.27775919999999998</v>
      </c>
      <c r="S5077">
        <v>2.7228850000000002</v>
      </c>
      <c r="T5077">
        <v>-0.28479840000000001</v>
      </c>
      <c r="U5077">
        <v>-1.3923490000000001</v>
      </c>
      <c r="V5077">
        <v>7.634378E-2</v>
      </c>
      <c r="W5077">
        <v>2.017963E-2</v>
      </c>
      <c r="X5077">
        <v>0.99687729999999997</v>
      </c>
      <c r="Y5077">
        <v>0.2641174</v>
      </c>
      <c r="Z5077">
        <v>6.6960279999999997E-3</v>
      </c>
      <c r="AA5077">
        <v>0.96446730000000003</v>
      </c>
      <c r="AB5077">
        <v>23</v>
      </c>
      <c r="AC5077">
        <v>10.3707999999999</v>
      </c>
      <c r="AD5077">
        <v>-1.108759611757</v>
      </c>
      <c r="AE5077">
        <v>-5.3701999999999801</v>
      </c>
      <c r="AF5077">
        <v>3.1171080616803</v>
      </c>
      <c r="AG5077">
        <v>-1.108759611757</v>
      </c>
      <c r="AH5077">
        <v>11.146763148741799</v>
      </c>
      <c r="AI5077">
        <v>95.471903505423001</v>
      </c>
      <c r="AJ5077">
        <v>74.376752517777405</v>
      </c>
      <c r="AK5077">
        <v>11.627383163850901</v>
      </c>
      <c r="AL5077">
        <v>88.843713849312294</v>
      </c>
      <c r="AM5077">
        <v>85.620669746503495</v>
      </c>
      <c r="AN5077">
        <v>0.99999997073345703</v>
      </c>
    </row>
    <row r="5078" spans="1:40" x14ac:dyDescent="0.25">
      <c r="A5078" t="str">
        <f>"20190312154025883"</f>
        <v>20190312154025883</v>
      </c>
      <c r="B5078" t="str">
        <f>"1552376425871109"</f>
        <v>1552376425871109</v>
      </c>
      <c r="C5078" t="s">
        <v>40</v>
      </c>
      <c r="D5078">
        <v>4.3452979999999997</v>
      </c>
      <c r="E5078">
        <v>0.57447209999999904</v>
      </c>
      <c r="F5078" t="s">
        <v>54</v>
      </c>
      <c r="G5078">
        <v>-198.0547</v>
      </c>
      <c r="H5078" s="1">
        <v>3.4404379999999999E-6</v>
      </c>
      <c r="I5078">
        <v>207.8509</v>
      </c>
      <c r="J5078">
        <v>-208.39320000000001</v>
      </c>
      <c r="K5078">
        <v>1.1087739999999999</v>
      </c>
      <c r="L5078">
        <v>213.238</v>
      </c>
      <c r="M5078">
        <v>0.97843849999999999</v>
      </c>
      <c r="N5078">
        <v>0</v>
      </c>
      <c r="O5078">
        <v>-0.20607610000000001</v>
      </c>
      <c r="P5078">
        <v>0.96011729999999995</v>
      </c>
      <c r="Q5078">
        <v>6.2478610000000004E-3</v>
      </c>
      <c r="R5078">
        <v>-0.279528</v>
      </c>
      <c r="S5078">
        <v>2.7201689999999998</v>
      </c>
      <c r="T5078">
        <v>-0.28547009999999901</v>
      </c>
      <c r="U5078">
        <v>-1.399918</v>
      </c>
      <c r="V5078">
        <v>7.5725390000000004E-2</v>
      </c>
      <c r="W5078">
        <v>1.974008E-2</v>
      </c>
      <c r="X5078">
        <v>0.99693330000000002</v>
      </c>
      <c r="Y5078">
        <v>0.264268</v>
      </c>
      <c r="Z5078">
        <v>6.9326550000000002E-3</v>
      </c>
      <c r="AA5078">
        <v>0.96442439999999996</v>
      </c>
      <c r="AB5078">
        <v>23</v>
      </c>
      <c r="AC5078">
        <v>10.3385</v>
      </c>
      <c r="AD5078">
        <v>-1.1087705595620001</v>
      </c>
      <c r="AE5078">
        <v>-5.3871000000000002</v>
      </c>
      <c r="AF5078">
        <v>3.1125721549413901</v>
      </c>
      <c r="AG5078">
        <v>-1.1087705595620001</v>
      </c>
      <c r="AH5078">
        <v>11.126164792311499</v>
      </c>
      <c r="AI5078">
        <v>95.481870502736996</v>
      </c>
      <c r="AJ5078">
        <v>74.370905398655395</v>
      </c>
      <c r="AK5078">
        <v>11.6064215225512</v>
      </c>
      <c r="AL5078">
        <v>88.868903267128303</v>
      </c>
      <c r="AM5078">
        <v>85.656249376305198</v>
      </c>
      <c r="AN5078">
        <v>1.0000000050489699</v>
      </c>
    </row>
    <row r="5079" spans="1:40" x14ac:dyDescent="0.25">
      <c r="A5079" t="str">
        <f>"20190312154025906"</f>
        <v>20190312154025906</v>
      </c>
      <c r="B5079" t="str">
        <f>"1552376425891605"</f>
        <v>1552376425891605</v>
      </c>
      <c r="C5079" t="s">
        <v>40</v>
      </c>
      <c r="D5079">
        <v>4.3461150000000002</v>
      </c>
      <c r="E5079">
        <v>0.57495240000000003</v>
      </c>
      <c r="F5079" t="s">
        <v>54</v>
      </c>
      <c r="G5079">
        <v>-197.85589999999999</v>
      </c>
      <c r="H5079" s="1">
        <v>3.4950739999999999E-6</v>
      </c>
      <c r="I5079">
        <v>207.77780000000001</v>
      </c>
      <c r="J5079">
        <v>-208.16679999999999</v>
      </c>
      <c r="K5079">
        <v>1.10877</v>
      </c>
      <c r="L5079">
        <v>213.1874</v>
      </c>
      <c r="M5079">
        <v>0.97793019999999997</v>
      </c>
      <c r="N5079">
        <v>0</v>
      </c>
      <c r="O5079">
        <v>-0.2084751</v>
      </c>
      <c r="P5079">
        <v>0.95968949999999997</v>
      </c>
      <c r="Q5079">
        <v>5.6626599999999999E-3</v>
      </c>
      <c r="R5079">
        <v>-0.28100609999999998</v>
      </c>
      <c r="S5079">
        <v>2.7166440000000001</v>
      </c>
      <c r="T5079">
        <v>-0.28585240000000001</v>
      </c>
      <c r="U5079">
        <v>-1.407715</v>
      </c>
      <c r="V5079">
        <v>7.4812399999999904E-2</v>
      </c>
      <c r="W5079">
        <v>1.915416E-2</v>
      </c>
      <c r="X5079">
        <v>0.99701360000000006</v>
      </c>
      <c r="Y5079">
        <v>0.26460430000000001</v>
      </c>
      <c r="Z5079">
        <v>7.1547080000000001E-3</v>
      </c>
      <c r="AA5079">
        <v>0.96433060000000004</v>
      </c>
      <c r="AB5079">
        <v>23</v>
      </c>
      <c r="AC5079">
        <v>10.3109</v>
      </c>
      <c r="AD5079">
        <v>-1.108766504926</v>
      </c>
      <c r="AE5079">
        <v>-5.4095999999999798</v>
      </c>
      <c r="AF5079">
        <v>3.11272001601737</v>
      </c>
      <c r="AG5079">
        <v>-1.108766504926</v>
      </c>
      <c r="AH5079">
        <v>11.111422990478401</v>
      </c>
      <c r="AI5079">
        <v>95.488534623816804</v>
      </c>
      <c r="AJ5079">
        <v>74.350478223725602</v>
      </c>
      <c r="AK5079">
        <v>11.592329788868801</v>
      </c>
      <c r="AL5079">
        <v>88.902480297614503</v>
      </c>
      <c r="AM5079">
        <v>85.708767707026993</v>
      </c>
      <c r="AN5079">
        <v>0.99999994781201096</v>
      </c>
    </row>
    <row r="5080" spans="1:40" x14ac:dyDescent="0.25">
      <c r="A5080" t="str">
        <f>"20190312154025929"</f>
        <v>20190312154025929</v>
      </c>
      <c r="B5080" t="str">
        <f>"1552376425920885"</f>
        <v>1552376425920885</v>
      </c>
      <c r="C5080" t="s">
        <v>40</v>
      </c>
      <c r="D5080">
        <v>4.3176550000000002</v>
      </c>
      <c r="E5080">
        <v>0.57512529999999995</v>
      </c>
      <c r="F5080" t="s">
        <v>54</v>
      </c>
      <c r="G5080">
        <v>-197.7363</v>
      </c>
      <c r="H5080" s="1">
        <v>3.5247330000000002E-6</v>
      </c>
      <c r="I5080">
        <v>207.7458</v>
      </c>
      <c r="J5080">
        <v>-207.93629999999999</v>
      </c>
      <c r="K5080">
        <v>1.1087549999999999</v>
      </c>
      <c r="L5080">
        <v>213.1353</v>
      </c>
      <c r="M5080">
        <v>0.97740479999999996</v>
      </c>
      <c r="N5080">
        <v>0</v>
      </c>
      <c r="O5080">
        <v>-0.2109251</v>
      </c>
      <c r="P5080">
        <v>0.95893079999999997</v>
      </c>
      <c r="Q5080">
        <v>5.5524540000000001E-3</v>
      </c>
      <c r="R5080">
        <v>-0.28358610000000001</v>
      </c>
      <c r="S5080">
        <v>2.7132420000000002</v>
      </c>
      <c r="T5080">
        <v>-0.28841860000000002</v>
      </c>
      <c r="U5080">
        <v>-1.415497</v>
      </c>
      <c r="V5080">
        <v>7.4995309999999996E-2</v>
      </c>
      <c r="W5080">
        <v>1.9036399999999998E-2</v>
      </c>
      <c r="X5080">
        <v>0.99700219999999995</v>
      </c>
      <c r="Y5080">
        <v>0.26486320000000002</v>
      </c>
      <c r="Z5080">
        <v>7.4417819999999897E-3</v>
      </c>
      <c r="AA5080">
        <v>0.96425729999999998</v>
      </c>
      <c r="AB5080">
        <v>23</v>
      </c>
      <c r="AC5080">
        <v>10.1999999999999</v>
      </c>
      <c r="AD5080">
        <v>-1.108751475267</v>
      </c>
      <c r="AE5080">
        <v>-5.3894999999999902</v>
      </c>
      <c r="AF5080">
        <v>3.0880593671824998</v>
      </c>
      <c r="AG5080">
        <v>-1.108751475267</v>
      </c>
      <c r="AH5080">
        <v>11.005707216448201</v>
      </c>
      <c r="AI5080">
        <v>95.540209527119401</v>
      </c>
      <c r="AJ5080">
        <v>74.326565968654194</v>
      </c>
      <c r="AK5080">
        <v>11.4843820827823</v>
      </c>
      <c r="AL5080">
        <v>88.909228773350407</v>
      </c>
      <c r="AM5080">
        <v>85.698266338627306</v>
      </c>
      <c r="AN5080">
        <v>1.0000000339258901</v>
      </c>
    </row>
    <row r="5081" spans="1:40" x14ac:dyDescent="0.25">
      <c r="A5081" t="str">
        <f>"20190312154025951"</f>
        <v>20190312154025951</v>
      </c>
      <c r="B5081" t="str">
        <f>"1552376425941381"</f>
        <v>1552376425941381</v>
      </c>
      <c r="C5081" t="s">
        <v>40</v>
      </c>
      <c r="D5081">
        <v>4.3481800000000002</v>
      </c>
      <c r="E5081">
        <v>0.57535950000000002</v>
      </c>
      <c r="F5081" t="s">
        <v>54</v>
      </c>
      <c r="G5081">
        <v>-197.56100000000001</v>
      </c>
      <c r="H5081" s="1">
        <v>3.5728089999999999E-6</v>
      </c>
      <c r="I5081">
        <v>207.68170000000001</v>
      </c>
      <c r="J5081">
        <v>-207.70650000000001</v>
      </c>
      <c r="K5081">
        <v>1.1087549999999999</v>
      </c>
      <c r="L5081">
        <v>213.08269999999999</v>
      </c>
      <c r="M5081">
        <v>0.97687089999999999</v>
      </c>
      <c r="N5081">
        <v>0</v>
      </c>
      <c r="O5081">
        <v>-0.21338409999999999</v>
      </c>
      <c r="P5081">
        <v>0.95777880000000004</v>
      </c>
      <c r="Q5081">
        <v>4.9000329999999998E-3</v>
      </c>
      <c r="R5081">
        <v>-0.28746440000000001</v>
      </c>
      <c r="S5081">
        <v>2.7090610000000002</v>
      </c>
      <c r="T5081">
        <v>-0.28950320000000002</v>
      </c>
      <c r="U5081">
        <v>-1.4239649999999999</v>
      </c>
      <c r="V5081">
        <v>7.6518539999999996E-2</v>
      </c>
      <c r="W5081">
        <v>1.8369900000000002E-2</v>
      </c>
      <c r="X5081">
        <v>0.99689890000000003</v>
      </c>
      <c r="Y5081">
        <v>0.26541759999999998</v>
      </c>
      <c r="Z5081">
        <v>7.6809749999999996E-3</v>
      </c>
      <c r="AA5081">
        <v>0.96410289999999998</v>
      </c>
      <c r="AB5081">
        <v>23</v>
      </c>
      <c r="AC5081">
        <v>10.1455</v>
      </c>
      <c r="AD5081">
        <v>-1.1087514271909999</v>
      </c>
      <c r="AE5081">
        <v>-5.4009999999999803</v>
      </c>
      <c r="AF5081">
        <v>3.0827994123627902</v>
      </c>
      <c r="AG5081">
        <v>-1.1087514271909999</v>
      </c>
      <c r="AH5081">
        <v>10.9623701247237</v>
      </c>
      <c r="AI5081">
        <v>95.561068434315999</v>
      </c>
      <c r="AJ5081">
        <v>74.293140633956895</v>
      </c>
      <c r="AK5081">
        <v>11.4414396251344</v>
      </c>
      <c r="AL5081">
        <v>88.947423032386695</v>
      </c>
      <c r="AM5081">
        <v>85.610778802608195</v>
      </c>
      <c r="AN5081">
        <v>0.99999997850547495</v>
      </c>
    </row>
    <row r="5082" spans="1:40" x14ac:dyDescent="0.25">
      <c r="A5082" t="str">
        <f>"20190312154025974"</f>
        <v>20190312154025974</v>
      </c>
      <c r="B5082" t="str">
        <f>"1552376425960901"</f>
        <v>1552376425960901</v>
      </c>
      <c r="C5082" t="s">
        <v>40</v>
      </c>
      <c r="D5082">
        <v>4.3258720000000004</v>
      </c>
      <c r="E5082">
        <v>0.57556450000000003</v>
      </c>
      <c r="F5082" t="s">
        <v>54</v>
      </c>
      <c r="G5082">
        <v>-197.4736</v>
      </c>
      <c r="H5082" s="1">
        <v>3.598125E-6</v>
      </c>
      <c r="I5082">
        <v>207.6447</v>
      </c>
      <c r="J5082">
        <v>-207.48050000000001</v>
      </c>
      <c r="K5082">
        <v>1.1087450000000001</v>
      </c>
      <c r="L5082">
        <v>213.03030000000001</v>
      </c>
      <c r="M5082">
        <v>0.97633530000000002</v>
      </c>
      <c r="N5082">
        <v>0</v>
      </c>
      <c r="O5082">
        <v>-0.21582170000000001</v>
      </c>
      <c r="P5082">
        <v>0.95616909999999999</v>
      </c>
      <c r="Q5082">
        <v>6.2436080000000003E-3</v>
      </c>
      <c r="R5082">
        <v>-0.29274879999999998</v>
      </c>
      <c r="S5082">
        <v>2.7026520000000001</v>
      </c>
      <c r="T5082">
        <v>-0.29283569999999998</v>
      </c>
      <c r="U5082">
        <v>-1.436234</v>
      </c>
      <c r="V5082">
        <v>7.9542189999999999E-2</v>
      </c>
      <c r="W5082">
        <v>1.9692879999999999E-2</v>
      </c>
      <c r="X5082">
        <v>0.996637</v>
      </c>
      <c r="Y5082">
        <v>0.26736710000000002</v>
      </c>
      <c r="Z5082">
        <v>7.9124339999999994E-3</v>
      </c>
      <c r="AA5082">
        <v>0.96356229999999998</v>
      </c>
      <c r="AB5082">
        <v>23</v>
      </c>
      <c r="AC5082">
        <v>10.0069</v>
      </c>
      <c r="AD5082">
        <v>-1.1087414018749999</v>
      </c>
      <c r="AE5082">
        <v>-5.3856000000000099</v>
      </c>
      <c r="AF5082">
        <v>3.0695214758487901</v>
      </c>
      <c r="AG5082">
        <v>-1.1087414018749999</v>
      </c>
      <c r="AH5082">
        <v>10.830365776121401</v>
      </c>
      <c r="AI5082">
        <v>95.625147215745599</v>
      </c>
      <c r="AJ5082">
        <v>74.176311348958805</v>
      </c>
      <c r="AK5082">
        <v>11.3114142542615</v>
      </c>
      <c r="AL5082">
        <v>88.871608192745498</v>
      </c>
      <c r="AM5082">
        <v>85.436862110114106</v>
      </c>
      <c r="AN5082">
        <v>1.0000000396408399</v>
      </c>
    </row>
    <row r="5083" spans="1:40" x14ac:dyDescent="0.25">
      <c r="A5083" t="str">
        <f>"20190312154025997"</f>
        <v>20190312154025997</v>
      </c>
      <c r="B5083" t="str">
        <f>"1552376425991157"</f>
        <v>1552376425991157</v>
      </c>
      <c r="C5083" t="s">
        <v>40</v>
      </c>
      <c r="D5083">
        <v>4.3680589999999997</v>
      </c>
      <c r="E5083">
        <v>0.57611489999999999</v>
      </c>
      <c r="F5083" t="s">
        <v>54</v>
      </c>
      <c r="G5083">
        <v>-197.20310000000001</v>
      </c>
      <c r="H5083" s="1">
        <v>3.6862930000000002E-6</v>
      </c>
      <c r="I5083">
        <v>207.49289999999999</v>
      </c>
      <c r="J5083">
        <v>-207.2499</v>
      </c>
      <c r="K5083">
        <v>1.1087359999999999</v>
      </c>
      <c r="L5083">
        <v>212.97630000000001</v>
      </c>
      <c r="M5083">
        <v>0.97577709999999995</v>
      </c>
      <c r="N5083">
        <v>0</v>
      </c>
      <c r="O5083">
        <v>-0.218332</v>
      </c>
      <c r="P5083">
        <v>0.95459780000000005</v>
      </c>
      <c r="Q5083">
        <v>6.5131520000000004E-3</v>
      </c>
      <c r="R5083">
        <v>-0.29782649999999999</v>
      </c>
      <c r="S5083">
        <v>2.6948699999999999</v>
      </c>
      <c r="T5083">
        <v>-0.29072569999999998</v>
      </c>
      <c r="U5083">
        <v>-1.451981</v>
      </c>
      <c r="V5083">
        <v>8.2278089999999998E-2</v>
      </c>
      <c r="W5083">
        <v>1.994317E-2</v>
      </c>
      <c r="X5083">
        <v>0.99640980000000001</v>
      </c>
      <c r="Y5083">
        <v>0.27041490000000001</v>
      </c>
      <c r="Z5083">
        <v>7.9502540000000003E-3</v>
      </c>
      <c r="AA5083">
        <v>0.96271099999999998</v>
      </c>
      <c r="AB5083">
        <v>23</v>
      </c>
      <c r="AC5083">
        <v>10.0467999999999</v>
      </c>
      <c r="AD5083">
        <v>-1.108732313707</v>
      </c>
      <c r="AE5083">
        <v>-5.4834000000000103</v>
      </c>
      <c r="AF5083">
        <v>3.1279871527162402</v>
      </c>
      <c r="AG5083">
        <v>-1.108732313707</v>
      </c>
      <c r="AH5083">
        <v>10.899411196714601</v>
      </c>
      <c r="AI5083">
        <v>95.584468447626307</v>
      </c>
      <c r="AJ5083">
        <v>73.987219645448903</v>
      </c>
      <c r="AK5083">
        <v>11.393452304112399</v>
      </c>
      <c r="AL5083">
        <v>88.857264715277495</v>
      </c>
      <c r="AM5083">
        <v>85.279536315486496</v>
      </c>
      <c r="AN5083">
        <v>0.99999995182986701</v>
      </c>
    </row>
    <row r="5084" spans="1:40" x14ac:dyDescent="0.25">
      <c r="A5084" t="str">
        <f>"20190312154026019"</f>
        <v>20190312154026019</v>
      </c>
      <c r="B5084" t="str">
        <f>"1552376426011653"</f>
        <v>1552376426011653</v>
      </c>
      <c r="C5084" t="s">
        <v>40</v>
      </c>
      <c r="D5084">
        <v>4.3401940000000003</v>
      </c>
      <c r="E5084">
        <v>0.57638789999999995</v>
      </c>
      <c r="F5084" t="s">
        <v>54</v>
      </c>
      <c r="G5084">
        <v>-197.02809999999999</v>
      </c>
      <c r="H5084" s="1">
        <v>3.7470739999999998E-6</v>
      </c>
      <c r="I5084">
        <v>207.38059999999999</v>
      </c>
      <c r="J5084">
        <v>-207.0274</v>
      </c>
      <c r="K5084">
        <v>1.108727</v>
      </c>
      <c r="L5084">
        <v>212.92349999999999</v>
      </c>
      <c r="M5084">
        <v>0.97522560000000003</v>
      </c>
      <c r="N5084">
        <v>0</v>
      </c>
      <c r="O5084">
        <v>-0.22078310000000001</v>
      </c>
      <c r="P5084">
        <v>0.95320210000000005</v>
      </c>
      <c r="Q5084">
        <v>5.8529810000000002E-3</v>
      </c>
      <c r="R5084">
        <v>-0.30227769999999998</v>
      </c>
      <c r="S5084">
        <v>2.6859440000000001</v>
      </c>
      <c r="T5084">
        <v>-0.2913367</v>
      </c>
      <c r="U5084">
        <v>-1.4703520000000001</v>
      </c>
      <c r="V5084">
        <v>8.4421339999999997E-2</v>
      </c>
      <c r="W5084">
        <v>1.9266189999999999E-2</v>
      </c>
      <c r="X5084">
        <v>0.99624389999999996</v>
      </c>
      <c r="Y5084">
        <v>0.27440179999999997</v>
      </c>
      <c r="Z5084">
        <v>8.0088850000000003E-3</v>
      </c>
      <c r="AA5084">
        <v>0.96158180000000004</v>
      </c>
      <c r="AB5084">
        <v>23</v>
      </c>
      <c r="AC5084">
        <v>9.9992999999999999</v>
      </c>
      <c r="AD5084">
        <v>-1.108723252926</v>
      </c>
      <c r="AE5084">
        <v>-5.5429000000000004</v>
      </c>
      <c r="AF5084">
        <v>3.16840766192187</v>
      </c>
      <c r="AG5084">
        <v>-1.108723252926</v>
      </c>
      <c r="AH5084">
        <v>10.8741276242987</v>
      </c>
      <c r="AI5084">
        <v>95.590821439005097</v>
      </c>
      <c r="AJ5084">
        <v>73.755398061814503</v>
      </c>
      <c r="AK5084">
        <v>11.3804536795876</v>
      </c>
      <c r="AL5084">
        <v>88.896060355485304</v>
      </c>
      <c r="AM5084">
        <v>85.156348468119702</v>
      </c>
      <c r="AN5084">
        <v>1.0000000285058599</v>
      </c>
    </row>
    <row r="5085" spans="1:40" x14ac:dyDescent="0.25">
      <c r="A5085" t="str">
        <f>"20190312154026040"</f>
        <v>20190312154026040</v>
      </c>
      <c r="B5085" t="str">
        <f>"1552376426031173"</f>
        <v>1552376426031173</v>
      </c>
      <c r="C5085" t="s">
        <v>40</v>
      </c>
      <c r="D5085">
        <v>4.3800160000000004</v>
      </c>
      <c r="E5085">
        <v>0.57639269999999998</v>
      </c>
      <c r="F5085" t="s">
        <v>54</v>
      </c>
      <c r="G5085">
        <v>-196.9451</v>
      </c>
      <c r="H5085" s="1">
        <v>3.7738990000000002E-6</v>
      </c>
      <c r="I5085">
        <v>207.3349</v>
      </c>
      <c r="J5085">
        <v>-206.809</v>
      </c>
      <c r="K5085">
        <v>1.1087039999999999</v>
      </c>
      <c r="L5085">
        <v>212.87110000000001</v>
      </c>
      <c r="M5085">
        <v>0.9746686</v>
      </c>
      <c r="N5085">
        <v>0</v>
      </c>
      <c r="O5085">
        <v>-0.22322929999999999</v>
      </c>
      <c r="P5085">
        <v>0.95202690000000001</v>
      </c>
      <c r="Q5085">
        <v>5.8365250000000004E-3</v>
      </c>
      <c r="R5085">
        <v>-0.3059595</v>
      </c>
      <c r="S5085">
        <v>2.6783290000000002</v>
      </c>
      <c r="T5085">
        <v>-0.29452739999999999</v>
      </c>
      <c r="U5085">
        <v>-1.4845889999999999</v>
      </c>
      <c r="V5085">
        <v>8.5773199999999994E-2</v>
      </c>
      <c r="W5085">
        <v>1.9235200000000001E-2</v>
      </c>
      <c r="X5085">
        <v>0.99612900000000004</v>
      </c>
      <c r="Y5085">
        <v>0.27705079999999999</v>
      </c>
      <c r="Z5085">
        <v>8.2064459999999992E-3</v>
      </c>
      <c r="AA5085">
        <v>0.96082020000000001</v>
      </c>
      <c r="AB5085">
        <v>23</v>
      </c>
      <c r="AC5085">
        <v>9.8639000000000294</v>
      </c>
      <c r="AD5085">
        <v>-1.1087002261009999</v>
      </c>
      <c r="AE5085">
        <v>-5.5362</v>
      </c>
      <c r="AF5085">
        <v>3.1639548987266499</v>
      </c>
      <c r="AG5085">
        <v>-1.1087002261009999</v>
      </c>
      <c r="AH5085">
        <v>10.747649537452199</v>
      </c>
      <c r="AI5085">
        <v>95.651505653896095</v>
      </c>
      <c r="AJ5085">
        <v>73.596322406297006</v>
      </c>
      <c r="AK5085">
        <v>11.258410073026701</v>
      </c>
      <c r="AL5085">
        <v>88.897836260011104</v>
      </c>
      <c r="AM5085">
        <v>85.078598923836097</v>
      </c>
      <c r="AN5085">
        <v>1.0000000096991399</v>
      </c>
    </row>
    <row r="5086" spans="1:40" x14ac:dyDescent="0.25">
      <c r="A5086" t="str">
        <f>"20190312154026063"</f>
        <v>20190312154026063</v>
      </c>
      <c r="B5086" t="str">
        <f>"1552376426051669"</f>
        <v>1552376426051669</v>
      </c>
      <c r="C5086" t="s">
        <v>40</v>
      </c>
      <c r="D5086">
        <v>4.346387</v>
      </c>
      <c r="E5086">
        <v>0.5764338</v>
      </c>
      <c r="F5086" t="s">
        <v>54</v>
      </c>
      <c r="G5086">
        <v>-196.7988</v>
      </c>
      <c r="H5086" s="1">
        <v>3.8167000000000002E-6</v>
      </c>
      <c r="I5086">
        <v>207.2713</v>
      </c>
      <c r="J5086">
        <v>-206.58189999999999</v>
      </c>
      <c r="K5086">
        <v>1.1086750000000001</v>
      </c>
      <c r="L5086">
        <v>212.8159</v>
      </c>
      <c r="M5086">
        <v>0.97407250000000001</v>
      </c>
      <c r="N5086">
        <v>0</v>
      </c>
      <c r="O5086">
        <v>-0.2258164</v>
      </c>
      <c r="P5086">
        <v>0.9509879</v>
      </c>
      <c r="Q5086">
        <v>6.6343080000000002E-3</v>
      </c>
      <c r="R5086">
        <v>-0.30915740000000003</v>
      </c>
      <c r="S5086">
        <v>2.6725159999999999</v>
      </c>
      <c r="T5086">
        <v>-0.29599880000000001</v>
      </c>
      <c r="U5086">
        <v>-1.495026</v>
      </c>
      <c r="V5086">
        <v>8.6482290000000003E-2</v>
      </c>
      <c r="W5086">
        <v>2.0020880000000001E-2</v>
      </c>
      <c r="X5086">
        <v>0.99605220000000005</v>
      </c>
      <c r="Y5086">
        <v>0.27825129999999998</v>
      </c>
      <c r="Z5086">
        <v>8.4449690000000001E-3</v>
      </c>
      <c r="AA5086">
        <v>0.96047119999999997</v>
      </c>
      <c r="AB5086">
        <v>23</v>
      </c>
      <c r="AC5086">
        <v>9.7830999999999904</v>
      </c>
      <c r="AD5086">
        <v>-1.1086711833</v>
      </c>
      <c r="AE5086">
        <v>-5.5446</v>
      </c>
      <c r="AF5086">
        <v>3.1612325338256602</v>
      </c>
      <c r="AG5086">
        <v>-1.1086711833</v>
      </c>
      <c r="AH5086">
        <v>10.6787323392986</v>
      </c>
      <c r="AI5086">
        <v>95.685069018066699</v>
      </c>
      <c r="AJ5086">
        <v>73.509629400245899</v>
      </c>
      <c r="AK5086">
        <v>11.191866122322001</v>
      </c>
      <c r="AL5086">
        <v>88.852811430302097</v>
      </c>
      <c r="AM5086">
        <v>85.037735148425</v>
      </c>
      <c r="AN5086">
        <v>1.0000000036222201</v>
      </c>
    </row>
    <row r="5087" spans="1:40" x14ac:dyDescent="0.25">
      <c r="A5087" t="str">
        <f>"20190312154026085"</f>
        <v>20190312154026085</v>
      </c>
      <c r="B5087" t="str">
        <f>"1552376426080949"</f>
        <v>1552376426080949</v>
      </c>
      <c r="C5087" t="s">
        <v>40</v>
      </c>
      <c r="D5087">
        <v>4.3460900000000002</v>
      </c>
      <c r="E5087">
        <v>0.57639510000000005</v>
      </c>
      <c r="F5087" t="s">
        <v>54</v>
      </c>
      <c r="G5087">
        <v>-196.5889</v>
      </c>
      <c r="H5087" s="1">
        <v>3.8769579999999996E-6</v>
      </c>
      <c r="I5087">
        <v>207.18440000000001</v>
      </c>
      <c r="J5087">
        <v>-206.3579</v>
      </c>
      <c r="K5087">
        <v>1.1086370000000001</v>
      </c>
      <c r="L5087">
        <v>212.76079999999999</v>
      </c>
      <c r="M5087">
        <v>0.97346010000000005</v>
      </c>
      <c r="N5087">
        <v>0</v>
      </c>
      <c r="O5087">
        <v>-0.22844139999999999</v>
      </c>
      <c r="P5087">
        <v>0.95003459999999995</v>
      </c>
      <c r="Q5087">
        <v>7.7348169999999997E-3</v>
      </c>
      <c r="R5087">
        <v>-0.31204939999999998</v>
      </c>
      <c r="S5087">
        <v>2.6678920000000002</v>
      </c>
      <c r="T5087">
        <v>-0.29598839999999998</v>
      </c>
      <c r="U5087">
        <v>-1.5034940000000001</v>
      </c>
      <c r="V5087">
        <v>8.6836350000000007E-2</v>
      </c>
      <c r="W5087">
        <v>2.1107839999999999E-2</v>
      </c>
      <c r="X5087">
        <v>0.99599899999999997</v>
      </c>
      <c r="Y5087">
        <v>0.27869759999999999</v>
      </c>
      <c r="Z5087">
        <v>8.6836139999999992E-3</v>
      </c>
      <c r="AA5087">
        <v>0.96033970000000002</v>
      </c>
      <c r="AB5087">
        <v>23</v>
      </c>
      <c r="AC5087">
        <v>9.7690000000000001</v>
      </c>
      <c r="AD5087">
        <v>-1.1086331230419999</v>
      </c>
      <c r="AE5087">
        <v>-5.5763999999999703</v>
      </c>
      <c r="AF5087">
        <v>3.1663060688896398</v>
      </c>
      <c r="AG5087">
        <v>-1.1086331230419999</v>
      </c>
      <c r="AH5087">
        <v>10.680886059206999</v>
      </c>
      <c r="AI5087">
        <v>95.683097697231204</v>
      </c>
      <c r="AJ5087">
        <v>73.487753205201997</v>
      </c>
      <c r="AK5087">
        <v>11.195351201867499</v>
      </c>
      <c r="AL5087">
        <v>88.790520090729004</v>
      </c>
      <c r="AM5087">
        <v>85.017256815105696</v>
      </c>
      <c r="AN5087">
        <v>1.0000000502958899</v>
      </c>
    </row>
    <row r="5088" spans="1:40" x14ac:dyDescent="0.25">
      <c r="A5088" t="str">
        <f>"20190312154026108"</f>
        <v>20190312154026108</v>
      </c>
      <c r="B5088" t="str">
        <f>"1552376426101445"</f>
        <v>1552376426101445</v>
      </c>
      <c r="C5088" t="s">
        <v>40</v>
      </c>
      <c r="D5088">
        <v>4.3673199999999897</v>
      </c>
      <c r="E5088">
        <v>0.57627869999999903</v>
      </c>
      <c r="F5088" t="s">
        <v>54</v>
      </c>
      <c r="G5088">
        <v>-196.2757</v>
      </c>
      <c r="H5088" s="1">
        <v>3.9701959999999996E-6</v>
      </c>
      <c r="I5088">
        <v>207.042</v>
      </c>
      <c r="J5088">
        <v>-206.12889999999999</v>
      </c>
      <c r="K5088">
        <v>1.108557</v>
      </c>
      <c r="L5088">
        <v>212.7037</v>
      </c>
      <c r="M5088">
        <v>0.97279669999999896</v>
      </c>
      <c r="N5088">
        <v>0</v>
      </c>
      <c r="O5088">
        <v>-0.23125039999999999</v>
      </c>
      <c r="P5088">
        <v>0.94913349999999996</v>
      </c>
      <c r="Q5088">
        <v>7.8906340000000005E-3</v>
      </c>
      <c r="R5088">
        <v>-0.31477509999999997</v>
      </c>
      <c r="S5088">
        <v>2.6638790000000001</v>
      </c>
      <c r="T5088">
        <v>-0.29291899999999998</v>
      </c>
      <c r="U5088">
        <v>-1.5109859999999999</v>
      </c>
      <c r="V5088">
        <v>8.6825429999999995E-2</v>
      </c>
      <c r="W5088">
        <v>2.1247039999999998E-2</v>
      </c>
      <c r="X5088">
        <v>0.99599700000000002</v>
      </c>
      <c r="Y5088">
        <v>0.27860740000000001</v>
      </c>
      <c r="Z5088">
        <v>8.8749150000000006E-3</v>
      </c>
      <c r="AA5088">
        <v>0.96036410000000005</v>
      </c>
      <c r="AB5088">
        <v>23</v>
      </c>
      <c r="AC5088">
        <v>9.8531999999999798</v>
      </c>
      <c r="AD5088">
        <v>-1.1085530298040001</v>
      </c>
      <c r="AE5088">
        <v>-5.66169999999999</v>
      </c>
      <c r="AF5088">
        <v>3.1989918225677201</v>
      </c>
      <c r="AG5088">
        <v>-1.1085530298040001</v>
      </c>
      <c r="AH5088">
        <v>10.7927619719046</v>
      </c>
      <c r="AI5088">
        <v>95.624231278318504</v>
      </c>
      <c r="AJ5088">
        <v>73.490092717184396</v>
      </c>
      <c r="AK5088">
        <v>11.3113283695122</v>
      </c>
      <c r="AL5088">
        <v>88.782542738944102</v>
      </c>
      <c r="AM5088">
        <v>85.017870306077398</v>
      </c>
      <c r="AN5088">
        <v>1.00000005800622</v>
      </c>
    </row>
    <row r="5089" spans="1:40" x14ac:dyDescent="0.25">
      <c r="A5089" t="str">
        <f>"20190312154026129"</f>
        <v>20190312154026129</v>
      </c>
      <c r="B5089" t="str">
        <f>"1552376426120965"</f>
        <v>1552376426120965</v>
      </c>
      <c r="C5089" t="s">
        <v>40</v>
      </c>
      <c r="D5089">
        <v>4.397532</v>
      </c>
      <c r="E5089">
        <v>0.57624030000000004</v>
      </c>
      <c r="F5089" t="s">
        <v>54</v>
      </c>
      <c r="G5089">
        <v>-195.983</v>
      </c>
      <c r="H5089" s="1">
        <v>4.0562710000000003E-6</v>
      </c>
      <c r="I5089">
        <v>206.91309999999999</v>
      </c>
      <c r="J5089">
        <v>-205.9093</v>
      </c>
      <c r="K5089">
        <v>1.108433</v>
      </c>
      <c r="L5089">
        <v>212.6481</v>
      </c>
      <c r="M5089">
        <v>0.972109</v>
      </c>
      <c r="N5089">
        <v>0</v>
      </c>
      <c r="O5089">
        <v>-0.23412430000000001</v>
      </c>
      <c r="P5089">
        <v>0.94851200000000002</v>
      </c>
      <c r="Q5089">
        <v>5.4321250000000003E-3</v>
      </c>
      <c r="R5089">
        <v>-0.31669550000000002</v>
      </c>
      <c r="S5089">
        <v>2.6597749999999998</v>
      </c>
      <c r="T5089">
        <v>-0.2906089</v>
      </c>
      <c r="U5089">
        <v>-1.5180209999999901</v>
      </c>
      <c r="V5089">
        <v>8.5887850000000002E-2</v>
      </c>
      <c r="W5089">
        <v>1.8772750000000001E-2</v>
      </c>
      <c r="X5089">
        <v>0.99612800000000001</v>
      </c>
      <c r="Y5089">
        <v>0.27833980000000003</v>
      </c>
      <c r="Z5089">
        <v>9.0999089999999998E-3</v>
      </c>
      <c r="AA5089">
        <v>0.96043959999999995</v>
      </c>
      <c r="AB5089">
        <v>23</v>
      </c>
      <c r="AC5089">
        <v>9.9262999999999906</v>
      </c>
      <c r="AD5089">
        <v>-1.108428943729</v>
      </c>
      <c r="AE5089">
        <v>-5.7350000000000101</v>
      </c>
      <c r="AF5089">
        <v>3.2212514706486401</v>
      </c>
      <c r="AG5089">
        <v>-1.108428943729</v>
      </c>
      <c r="AH5089">
        <v>10.891372701229701</v>
      </c>
      <c r="AI5089">
        <v>95.573976154741302</v>
      </c>
      <c r="AJ5089">
        <v>73.523798054921201</v>
      </c>
      <c r="AK5089">
        <v>11.411707807227801</v>
      </c>
      <c r="AL5089">
        <v>88.924337539323801</v>
      </c>
      <c r="AM5089">
        <v>85.072048111016898</v>
      </c>
      <c r="AN5089">
        <v>1.00000006565209</v>
      </c>
    </row>
    <row r="5090" spans="1:40" x14ac:dyDescent="0.25">
      <c r="A5090" t="str">
        <f>"20190312154026152"</f>
        <v>20190312154026152</v>
      </c>
      <c r="B5090" t="str">
        <f>"1552376426141461"</f>
        <v>1552376426141461</v>
      </c>
      <c r="C5090" t="s">
        <v>40</v>
      </c>
      <c r="D5090">
        <v>4.3745669999999999</v>
      </c>
      <c r="E5090">
        <v>0.57626690000000003</v>
      </c>
      <c r="F5090" t="s">
        <v>54</v>
      </c>
      <c r="G5090">
        <v>-195.94220000000001</v>
      </c>
      <c r="H5090" s="1">
        <v>4.059706E-6</v>
      </c>
      <c r="I5090">
        <v>206.92740000000001</v>
      </c>
      <c r="J5090">
        <v>-205.69139999999999</v>
      </c>
      <c r="K5090">
        <v>1.108257</v>
      </c>
      <c r="L5090">
        <v>212.59190000000001</v>
      </c>
      <c r="M5090">
        <v>0.97136169999999999</v>
      </c>
      <c r="N5090">
        <v>0</v>
      </c>
      <c r="O5090">
        <v>-0.23720530000000001</v>
      </c>
      <c r="P5090">
        <v>0.94838730000000004</v>
      </c>
      <c r="Q5090">
        <v>1.1557060000000001E-3</v>
      </c>
      <c r="R5090">
        <v>-0.31711260000000002</v>
      </c>
      <c r="S5090">
        <v>2.6555939999999998</v>
      </c>
      <c r="T5090">
        <v>-0.29532419999999998</v>
      </c>
      <c r="U5090">
        <v>-1.5241849999999999</v>
      </c>
      <c r="V5090">
        <v>8.3149490000000006E-2</v>
      </c>
      <c r="W5090">
        <v>1.448611E-2</v>
      </c>
      <c r="X5090">
        <v>0.99643179999999998</v>
      </c>
      <c r="Y5090">
        <v>0.27763359999999998</v>
      </c>
      <c r="Z5090">
        <v>9.5902569999999996E-3</v>
      </c>
      <c r="AA5090">
        <v>0.96063920000000003</v>
      </c>
      <c r="AB5090">
        <v>23</v>
      </c>
      <c r="AC5090">
        <v>9.7491999999999699</v>
      </c>
      <c r="AD5090">
        <v>-1.108252940294</v>
      </c>
      <c r="AE5090">
        <v>-5.6645000000000003</v>
      </c>
      <c r="AF5090">
        <v>3.1594960556905298</v>
      </c>
      <c r="AG5090">
        <v>-1.108252940294</v>
      </c>
      <c r="AH5090">
        <v>10.711196974840201</v>
      </c>
      <c r="AI5090">
        <v>95.667446983896895</v>
      </c>
      <c r="AJ5090">
        <v>73.565451760680503</v>
      </c>
      <c r="AK5090">
        <v>11.222316184256201</v>
      </c>
      <c r="AL5090">
        <v>89.169978011160296</v>
      </c>
      <c r="AM5090">
        <v>85.2298766407513</v>
      </c>
      <c r="AN5090">
        <v>1.0000000085607099</v>
      </c>
    </row>
    <row r="5091" spans="1:40" x14ac:dyDescent="0.25">
      <c r="A5091" t="str">
        <f>"20190312154026175"</f>
        <v>20190312154026175</v>
      </c>
      <c r="B5091" t="str">
        <f>"1552376426160981"</f>
        <v>1552376426160981</v>
      </c>
      <c r="C5091" t="s">
        <v>40</v>
      </c>
      <c r="D5091">
        <v>4.6213280000000001</v>
      </c>
      <c r="E5091">
        <v>0.57635800000000004</v>
      </c>
      <c r="F5091" t="s">
        <v>54</v>
      </c>
      <c r="G5091">
        <v>-196.00899999999999</v>
      </c>
      <c r="H5091" s="1">
        <v>4.0235639999999998E-6</v>
      </c>
      <c r="I5091">
        <v>207.01910000000001</v>
      </c>
      <c r="J5091">
        <v>-205.4588</v>
      </c>
      <c r="K5091">
        <v>1.1080350000000001</v>
      </c>
      <c r="L5091">
        <v>212.53100000000001</v>
      </c>
      <c r="M5091">
        <v>0.97047850000000002</v>
      </c>
      <c r="N5091">
        <v>0</v>
      </c>
      <c r="O5091">
        <v>-0.24079310000000001</v>
      </c>
      <c r="P5091">
        <v>0.94849309999999998</v>
      </c>
      <c r="Q5091">
        <v>-7.4396569999999999E-4</v>
      </c>
      <c r="R5091">
        <v>-0.31679800000000002</v>
      </c>
      <c r="S5091">
        <v>2.6530610000000001</v>
      </c>
      <c r="T5091">
        <v>-0.30367260000000001</v>
      </c>
      <c r="U5091">
        <v>-1.5270079999999999</v>
      </c>
      <c r="V5091">
        <v>7.9132770000000005E-2</v>
      </c>
      <c r="W5091">
        <v>1.257989E-2</v>
      </c>
      <c r="X5091">
        <v>0.99678469999999997</v>
      </c>
      <c r="Y5091">
        <v>0.27526309999999998</v>
      </c>
      <c r="Z5091">
        <v>1.0350699999999999E-2</v>
      </c>
      <c r="AA5091">
        <v>0.96131319999999998</v>
      </c>
      <c r="AB5091">
        <v>23</v>
      </c>
      <c r="AC5091">
        <v>9.4497999999999802</v>
      </c>
      <c r="AD5091">
        <v>-1.1080309764359999</v>
      </c>
      <c r="AE5091">
        <v>-5.5118999999999598</v>
      </c>
      <c r="AF5091">
        <v>3.04281148037551</v>
      </c>
      <c r="AG5091">
        <v>-1.1080309764359999</v>
      </c>
      <c r="AH5091">
        <v>10.392442851014801</v>
      </c>
      <c r="AI5091">
        <v>95.842353377567406</v>
      </c>
      <c r="AJ5091">
        <v>73.680455636098102</v>
      </c>
      <c r="AK5091">
        <v>10.8852791770103</v>
      </c>
      <c r="AL5091">
        <v>89.279206379382003</v>
      </c>
      <c r="AM5091">
        <v>85.460920960347195</v>
      </c>
      <c r="AN5091">
        <v>0.99999999353718705</v>
      </c>
    </row>
    <row r="5092" spans="1:40" x14ac:dyDescent="0.25">
      <c r="A5092" t="str">
        <f>"20190312154026198"</f>
        <v>20190312154026198</v>
      </c>
      <c r="B5092" t="str">
        <f>"1552376426191240"</f>
        <v>1552376426191240</v>
      </c>
      <c r="C5092" t="s">
        <v>40</v>
      </c>
      <c r="D5092">
        <v>4.4800060000000004</v>
      </c>
      <c r="E5092">
        <v>0.63641479999999995</v>
      </c>
      <c r="F5092" t="s">
        <v>54</v>
      </c>
      <c r="G5092">
        <v>-195.8691</v>
      </c>
      <c r="H5092" s="1">
        <v>4.0516710000000004E-6</v>
      </c>
      <c r="I5092">
        <v>207.0067</v>
      </c>
      <c r="J5092">
        <v>-205.24100000000001</v>
      </c>
      <c r="K5092">
        <v>1.1078049999999999</v>
      </c>
      <c r="L5092">
        <v>212.4726</v>
      </c>
      <c r="M5092">
        <v>0.96955199999999997</v>
      </c>
      <c r="N5092">
        <v>0</v>
      </c>
      <c r="O5092">
        <v>-0.2444962</v>
      </c>
      <c r="P5092">
        <v>0.94806190000000001</v>
      </c>
      <c r="Q5092">
        <v>3.7769840000000002E-4</v>
      </c>
      <c r="R5092">
        <v>-0.3180867</v>
      </c>
      <c r="S5092">
        <v>2.652374</v>
      </c>
      <c r="T5092">
        <v>-0.30646440000000003</v>
      </c>
      <c r="U5092">
        <v>-1.5279240000000001</v>
      </c>
      <c r="V5092">
        <v>7.6695459999999993E-2</v>
      </c>
      <c r="W5092">
        <v>1.3686530000000001E-2</v>
      </c>
      <c r="X5092">
        <v>0.99696059999999997</v>
      </c>
      <c r="Y5092">
        <v>0.271978</v>
      </c>
      <c r="Z5092">
        <v>1.0997140000000001E-2</v>
      </c>
      <c r="AA5092">
        <v>0.9622406</v>
      </c>
      <c r="AB5092">
        <v>23</v>
      </c>
      <c r="AC5092">
        <v>9.3718999999999806</v>
      </c>
      <c r="AD5092">
        <v>-1.1078009483289999</v>
      </c>
      <c r="AE5092">
        <v>-5.4659000000000004</v>
      </c>
      <c r="AF5092">
        <v>2.9773255139761101</v>
      </c>
      <c r="AG5092">
        <v>-1.1078009483289999</v>
      </c>
      <c r="AH5092">
        <v>10.3163713321751</v>
      </c>
      <c r="AI5092">
        <v>95.890483219270095</v>
      </c>
      <c r="AJ5092">
        <v>73.901753707564097</v>
      </c>
      <c r="AK5092">
        <v>10.7944063116327</v>
      </c>
      <c r="AL5092">
        <v>89.215795091929394</v>
      </c>
      <c r="AM5092">
        <v>85.600941391186794</v>
      </c>
      <c r="AN5092">
        <v>0.99999997632020499</v>
      </c>
    </row>
    <row r="5093" spans="1:40" x14ac:dyDescent="0.25">
      <c r="A5093" t="str">
        <f>"20190312154026219"</f>
        <v>20190312154026219</v>
      </c>
      <c r="B5093" t="str">
        <f>"1552376426211734"</f>
        <v>1552376426211734</v>
      </c>
      <c r="C5093" t="s">
        <v>40</v>
      </c>
      <c r="D5093">
        <v>4.5205199999999897</v>
      </c>
      <c r="E5093">
        <v>0.63893250000000001</v>
      </c>
      <c r="F5093" t="s">
        <v>54</v>
      </c>
      <c r="G5093">
        <v>-199.85740000000001</v>
      </c>
      <c r="H5093" s="1">
        <v>3.029617E-6</v>
      </c>
      <c r="I5093">
        <v>208.19470000000001</v>
      </c>
      <c r="J5093">
        <v>-205.02170000000001</v>
      </c>
      <c r="K5093">
        <v>1.1075630000000001</v>
      </c>
      <c r="L5093">
        <v>212.41239999999999</v>
      </c>
      <c r="M5093">
        <v>0.96850170000000002</v>
      </c>
      <c r="N5093">
        <v>0</v>
      </c>
      <c r="O5093">
        <v>-0.2486227</v>
      </c>
      <c r="P5093">
        <v>0.94665200000000005</v>
      </c>
      <c r="Q5093">
        <v>1.82366E-3</v>
      </c>
      <c r="R5093">
        <v>-0.3222525</v>
      </c>
      <c r="S5093">
        <v>2.4984890000000002</v>
      </c>
      <c r="T5093">
        <v>-0.51412679999999999</v>
      </c>
      <c r="U5093">
        <v>-1.985336</v>
      </c>
      <c r="V5093">
        <v>7.6852779999999996E-2</v>
      </c>
      <c r="W5093">
        <v>1.5101160000000001E-2</v>
      </c>
      <c r="X5093">
        <v>0.99692809999999998</v>
      </c>
      <c r="Y5093">
        <v>0.4059236</v>
      </c>
      <c r="Z5093">
        <v>6.9183369999999897E-3</v>
      </c>
      <c r="AA5093">
        <v>0.91388080000000005</v>
      </c>
      <c r="AB5093">
        <v>23</v>
      </c>
      <c r="AC5093">
        <v>5.1642999999999901</v>
      </c>
      <c r="AD5093">
        <v>-1.1075599703829999</v>
      </c>
      <c r="AE5093">
        <v>-4.2176999999999696</v>
      </c>
      <c r="AF5093">
        <v>2.7259424525576001</v>
      </c>
      <c r="AG5093">
        <v>-1.1075599703829999</v>
      </c>
      <c r="AH5093">
        <v>5.8883592855093401</v>
      </c>
      <c r="AI5093">
        <v>99.6864619557129</v>
      </c>
      <c r="AJ5093">
        <v>65.158811313302195</v>
      </c>
      <c r="AK5093">
        <v>6.5825698946455997</v>
      </c>
      <c r="AL5093">
        <v>89.134734391119395</v>
      </c>
      <c r="AM5093">
        <v>85.591810303526501</v>
      </c>
      <c r="AN5093">
        <v>1.00000001569834</v>
      </c>
    </row>
    <row r="5094" spans="1:40" x14ac:dyDescent="0.25">
      <c r="A5094" t="str">
        <f>"20190312154026241"</f>
        <v>20190312154026241</v>
      </c>
      <c r="B5094" t="str">
        <f>"1552376426231254"</f>
        <v>1552376426231254</v>
      </c>
      <c r="C5094" t="s">
        <v>40</v>
      </c>
      <c r="D5094">
        <v>4.5021050000000002</v>
      </c>
      <c r="E5094">
        <v>0.64086369999999904</v>
      </c>
      <c r="F5094" t="s">
        <v>54</v>
      </c>
      <c r="G5094">
        <v>-199.49350000000001</v>
      </c>
      <c r="H5094" s="1">
        <v>3.1647540000000002E-6</v>
      </c>
      <c r="I5094">
        <v>207.9282</v>
      </c>
      <c r="J5094">
        <v>-204.80510000000001</v>
      </c>
      <c r="K5094">
        <v>1.107335</v>
      </c>
      <c r="L5094">
        <v>212.35159999999999</v>
      </c>
      <c r="M5094">
        <v>0.96736100000000003</v>
      </c>
      <c r="N5094">
        <v>0</v>
      </c>
      <c r="O5094">
        <v>-0.25302370000000002</v>
      </c>
      <c r="P5094">
        <v>0.94487270000000001</v>
      </c>
      <c r="Q5094">
        <v>1.608097E-3</v>
      </c>
      <c r="R5094">
        <v>-0.3274339</v>
      </c>
      <c r="S5094">
        <v>2.4840849999999999</v>
      </c>
      <c r="T5094">
        <v>-0.49768380000000001</v>
      </c>
      <c r="U5094">
        <v>-2.014999</v>
      </c>
      <c r="V5094">
        <v>7.7788339999999997E-2</v>
      </c>
      <c r="W5094">
        <v>1.485323E-2</v>
      </c>
      <c r="X5094">
        <v>0.9968593</v>
      </c>
      <c r="Y5094">
        <v>0.41107779999999999</v>
      </c>
      <c r="Z5094">
        <v>6.9609619999999898E-3</v>
      </c>
      <c r="AA5094">
        <v>0.91157370000000004</v>
      </c>
      <c r="AB5094">
        <v>23</v>
      </c>
      <c r="AC5094">
        <v>5.3115999999999897</v>
      </c>
      <c r="AD5094">
        <v>-1.107331835246</v>
      </c>
      <c r="AE5094">
        <v>-4.4233999999999796</v>
      </c>
      <c r="AF5094">
        <v>2.86189939715157</v>
      </c>
      <c r="AG5094">
        <v>-1.107331835246</v>
      </c>
      <c r="AH5094">
        <v>6.1014752780636403</v>
      </c>
      <c r="AI5094">
        <v>99.330842744829994</v>
      </c>
      <c r="AJ5094">
        <v>64.871055842768996</v>
      </c>
      <c r="AK5094">
        <v>6.8296890501389296</v>
      </c>
      <c r="AL5094">
        <v>89.148941359778505</v>
      </c>
      <c r="AM5094">
        <v>85.5380563164221</v>
      </c>
      <c r="AN5094">
        <v>1.00000005413893</v>
      </c>
    </row>
    <row r="5095" spans="1:40" x14ac:dyDescent="0.25">
      <c r="A5095" t="str">
        <f>"20190312154026264"</f>
        <v>20190312154026264</v>
      </c>
      <c r="B5095" t="str">
        <f>"1552376426261510"</f>
        <v>1552376426261510</v>
      </c>
      <c r="C5095" t="s">
        <v>40</v>
      </c>
      <c r="D5095">
        <v>4.4794080000000003</v>
      </c>
      <c r="E5095">
        <v>0.6427003</v>
      </c>
      <c r="F5095" t="s">
        <v>54</v>
      </c>
      <c r="G5095">
        <v>-199.19130000000001</v>
      </c>
      <c r="H5095" s="1">
        <v>3.2782630000000001E-6</v>
      </c>
      <c r="I5095">
        <v>207.70189999999999</v>
      </c>
      <c r="J5095">
        <v>-204.58580000000001</v>
      </c>
      <c r="K5095">
        <v>1.107121</v>
      </c>
      <c r="L5095">
        <v>212.2885</v>
      </c>
      <c r="M5095">
        <v>0.96609560000000005</v>
      </c>
      <c r="N5095">
        <v>0</v>
      </c>
      <c r="O5095">
        <v>-0.25781229999999999</v>
      </c>
      <c r="P5095">
        <v>0.94219569999999997</v>
      </c>
      <c r="Q5095">
        <v>1.67426799999999E-3</v>
      </c>
      <c r="R5095">
        <v>-0.33505990000000002</v>
      </c>
      <c r="S5095">
        <v>2.467606</v>
      </c>
      <c r="T5095">
        <v>-0.48674580000000001</v>
      </c>
      <c r="U5095">
        <v>-2.0438230000000002</v>
      </c>
      <c r="V5095">
        <v>8.0915529999999999E-2</v>
      </c>
      <c r="W5095">
        <v>1.486992E-2</v>
      </c>
      <c r="X5095">
        <v>0.99661</v>
      </c>
      <c r="Y5095">
        <v>0.41596050000000001</v>
      </c>
      <c r="Z5095">
        <v>7.1529300000000001E-3</v>
      </c>
      <c r="AA5095">
        <v>0.90935460000000001</v>
      </c>
      <c r="AB5095">
        <v>23</v>
      </c>
      <c r="AC5095">
        <v>5.3944999999999901</v>
      </c>
      <c r="AD5095">
        <v>-1.1071177217370001</v>
      </c>
      <c r="AE5095">
        <v>-4.5865999999999998</v>
      </c>
      <c r="AF5095">
        <v>2.9680577492639801</v>
      </c>
      <c r="AG5095">
        <v>-1.1071177217370001</v>
      </c>
      <c r="AH5095">
        <v>6.2420986121412803</v>
      </c>
      <c r="AI5095">
        <v>99.100198943091002</v>
      </c>
      <c r="AJ5095">
        <v>64.569362546561393</v>
      </c>
      <c r="AK5095">
        <v>6.9999193949963603</v>
      </c>
      <c r="AL5095">
        <v>89.147984911532205</v>
      </c>
      <c r="AM5095">
        <v>85.358293150804201</v>
      </c>
      <c r="AN5095">
        <v>0.99999996480799302</v>
      </c>
    </row>
    <row r="5096" spans="1:40" x14ac:dyDescent="0.25">
      <c r="A5096" t="str">
        <f>"20190312154026286"</f>
        <v>20190312154026286</v>
      </c>
      <c r="B5096" t="str">
        <f>"1552376426281032"</f>
        <v>1552376426281032</v>
      </c>
      <c r="C5096" t="s">
        <v>40</v>
      </c>
      <c r="D5096">
        <v>4.4761290000000002</v>
      </c>
      <c r="E5096">
        <v>0.64365950000000005</v>
      </c>
      <c r="F5096" t="s">
        <v>54</v>
      </c>
      <c r="G5096">
        <v>-198.84289999999999</v>
      </c>
      <c r="H5096" s="1">
        <v>3.41795E-6</v>
      </c>
      <c r="I5096">
        <v>207.40780000000001</v>
      </c>
      <c r="J5096">
        <v>-204.3604</v>
      </c>
      <c r="K5096">
        <v>1.1069</v>
      </c>
      <c r="L5096">
        <v>212.22200000000001</v>
      </c>
      <c r="M5096">
        <v>0.96467009999999997</v>
      </c>
      <c r="N5096">
        <v>0</v>
      </c>
      <c r="O5096">
        <v>-0.26309470000000001</v>
      </c>
      <c r="P5096">
        <v>0.93899390000000005</v>
      </c>
      <c r="Q5096">
        <v>2.723615E-3</v>
      </c>
      <c r="R5096">
        <v>-0.34392289999999998</v>
      </c>
      <c r="S5096">
        <v>2.4457239999999998</v>
      </c>
      <c r="T5096">
        <v>-0.47149099999999999</v>
      </c>
      <c r="U5096">
        <v>-2.0785520000000002</v>
      </c>
      <c r="V5096">
        <v>8.4869959999999994E-2</v>
      </c>
      <c r="W5096">
        <v>1.5860200000000001E-2</v>
      </c>
      <c r="X5096">
        <v>0.99626579999999998</v>
      </c>
      <c r="Y5096">
        <v>0.42260170000000002</v>
      </c>
      <c r="Z5096">
        <v>7.1960430000000001E-3</v>
      </c>
      <c r="AA5096">
        <v>0.90628699999999995</v>
      </c>
      <c r="AB5096">
        <v>23</v>
      </c>
      <c r="AC5096">
        <v>5.5175000000000098</v>
      </c>
      <c r="AD5096">
        <v>-1.1068965820500001</v>
      </c>
      <c r="AE5096">
        <v>-4.8141999999999996</v>
      </c>
      <c r="AF5096">
        <v>3.1214708713311299</v>
      </c>
      <c r="AG5096">
        <v>-1.1068965820500001</v>
      </c>
      <c r="AH5096">
        <v>6.44257787691026</v>
      </c>
      <c r="AI5096">
        <v>98.789326532431502</v>
      </c>
      <c r="AJ5096">
        <v>64.149510058454396</v>
      </c>
      <c r="AK5096">
        <v>7.2440051176111302</v>
      </c>
      <c r="AL5096">
        <v>89.091239376014201</v>
      </c>
      <c r="AM5096">
        <v>85.130838969487399</v>
      </c>
      <c r="AN5096">
        <v>1.0000000001520399</v>
      </c>
    </row>
    <row r="5097" spans="1:40" x14ac:dyDescent="0.25">
      <c r="A5097" t="str">
        <f>"20190312154026308"</f>
        <v>20190312154026308</v>
      </c>
      <c r="B5097" t="str">
        <f>"1552376426301525"</f>
        <v>1552376426301525</v>
      </c>
      <c r="C5097" t="s">
        <v>40</v>
      </c>
      <c r="D5097">
        <v>4.4418329999999999</v>
      </c>
      <c r="E5097">
        <v>0.64406419999999998</v>
      </c>
      <c r="F5097" t="s">
        <v>54</v>
      </c>
      <c r="G5097">
        <v>-198.58949999999999</v>
      </c>
      <c r="H5097" s="1">
        <v>3.5181930000000001E-6</v>
      </c>
      <c r="I5097">
        <v>207.19900000000001</v>
      </c>
      <c r="J5097">
        <v>-204.1463</v>
      </c>
      <c r="K5097">
        <v>1.1066879999999999</v>
      </c>
      <c r="L5097">
        <v>212.15729999999999</v>
      </c>
      <c r="M5097">
        <v>0.96319339999999998</v>
      </c>
      <c r="N5097">
        <v>0</v>
      </c>
      <c r="O5097">
        <v>-0.26844990000000002</v>
      </c>
      <c r="P5097">
        <v>0.93512879999999998</v>
      </c>
      <c r="Q5097">
        <v>1.9968849999999999E-3</v>
      </c>
      <c r="R5097">
        <v>-0.35430289999999998</v>
      </c>
      <c r="S5097">
        <v>2.4236149999999999</v>
      </c>
      <c r="T5097">
        <v>-0.46486569999999999</v>
      </c>
      <c r="U5097">
        <v>-2.1095280000000001</v>
      </c>
      <c r="V5097">
        <v>9.0370829999999999E-2</v>
      </c>
      <c r="W5097">
        <v>1.505825E-2</v>
      </c>
      <c r="X5097">
        <v>0.99579439999999997</v>
      </c>
      <c r="Y5097">
        <v>0.42829669999999997</v>
      </c>
      <c r="Z5097">
        <v>7.4483989999999996E-3</v>
      </c>
      <c r="AA5097">
        <v>0.90360739999999995</v>
      </c>
      <c r="AB5097">
        <v>23</v>
      </c>
      <c r="AC5097">
        <v>5.5568000000000097</v>
      </c>
      <c r="AD5097">
        <v>-1.1066844818070001</v>
      </c>
      <c r="AE5097">
        <v>-4.9582999999999799</v>
      </c>
      <c r="AF5097">
        <v>3.2134362365207401</v>
      </c>
      <c r="AG5097">
        <v>-1.1066844818070001</v>
      </c>
      <c r="AH5097">
        <v>6.5395644497580996</v>
      </c>
      <c r="AI5097">
        <v>98.636246349372797</v>
      </c>
      <c r="AJ5097">
        <v>63.831244411252797</v>
      </c>
      <c r="AK5097">
        <v>7.3699949919248304</v>
      </c>
      <c r="AL5097">
        <v>89.137193272894706</v>
      </c>
      <c r="AM5097">
        <v>84.814469748452694</v>
      </c>
      <c r="AN5097">
        <v>1.0000000624396499</v>
      </c>
    </row>
    <row r="5098" spans="1:40" x14ac:dyDescent="0.25">
      <c r="A5098" t="str">
        <f>"20190312154026330"</f>
        <v>20190312154026330</v>
      </c>
      <c r="B5098" t="str">
        <f>"1552376426321045"</f>
        <v>1552376426321045</v>
      </c>
      <c r="C5098" t="s">
        <v>40</v>
      </c>
      <c r="D5098">
        <v>4.456601</v>
      </c>
      <c r="E5098">
        <v>0.64444269999999904</v>
      </c>
      <c r="F5098" t="s">
        <v>54</v>
      </c>
      <c r="G5098">
        <v>-198.34020000000001</v>
      </c>
      <c r="H5098" s="1">
        <v>3.6211349999999998E-6</v>
      </c>
      <c r="I5098">
        <v>206.97730000000001</v>
      </c>
      <c r="J5098">
        <v>-203.92580000000001</v>
      </c>
      <c r="K5098">
        <v>1.1064529999999999</v>
      </c>
      <c r="L5098">
        <v>212.08879999999999</v>
      </c>
      <c r="M5098">
        <v>0.96154269999999997</v>
      </c>
      <c r="N5098">
        <v>0</v>
      </c>
      <c r="O5098">
        <v>-0.27430199999999999</v>
      </c>
      <c r="P5098">
        <v>0.93122309999999997</v>
      </c>
      <c r="Q5098">
        <v>-8.7537759999999998E-4</v>
      </c>
      <c r="R5098">
        <v>-0.36444850000000001</v>
      </c>
      <c r="S5098">
        <v>2.3983759999999998</v>
      </c>
      <c r="T5098">
        <v>-0.4571462</v>
      </c>
      <c r="U5098">
        <v>-2.1397400000000002</v>
      </c>
      <c r="V5098">
        <v>9.5122209999999999E-2</v>
      </c>
      <c r="W5098">
        <v>1.2113580000000001E-2</v>
      </c>
      <c r="X5098">
        <v>0.9953919</v>
      </c>
      <c r="Y5098">
        <v>0.4339112</v>
      </c>
      <c r="Z5098">
        <v>7.7592299999999998E-3</v>
      </c>
      <c r="AA5098">
        <v>0.90092220000000001</v>
      </c>
      <c r="AB5098">
        <v>23</v>
      </c>
      <c r="AC5098">
        <v>5.5856000000000003</v>
      </c>
      <c r="AD5098">
        <v>-1.1064493788650001</v>
      </c>
      <c r="AE5098">
        <v>-5.1114999999999702</v>
      </c>
      <c r="AF5098">
        <v>3.31237525497066</v>
      </c>
      <c r="AG5098">
        <v>-1.1064493788650001</v>
      </c>
      <c r="AH5098">
        <v>6.63191723005645</v>
      </c>
      <c r="AI5098">
        <v>98.489061011695696</v>
      </c>
      <c r="AJ5098">
        <v>63.459720637288498</v>
      </c>
      <c r="AK5098">
        <v>7.4952242264025903</v>
      </c>
      <c r="AL5098">
        <v>89.305926018760701</v>
      </c>
      <c r="AM5098">
        <v>84.541244502675198</v>
      </c>
      <c r="AN5098">
        <v>1.00000000412065</v>
      </c>
    </row>
    <row r="5099" spans="1:40" x14ac:dyDescent="0.25">
      <c r="A5099" t="str">
        <f>"20190312154026354"</f>
        <v>20190312154026354</v>
      </c>
      <c r="B5099" t="str">
        <f>"1552376426341541"</f>
        <v>1552376426341541</v>
      </c>
      <c r="C5099" t="s">
        <v>40</v>
      </c>
      <c r="D5099">
        <v>4.4950669999999997</v>
      </c>
      <c r="E5099">
        <v>0.64466239999999997</v>
      </c>
      <c r="F5099" t="s">
        <v>54</v>
      </c>
      <c r="G5099">
        <v>-198.285</v>
      </c>
      <c r="H5099" s="1">
        <v>3.642934E-6</v>
      </c>
      <c r="I5099">
        <v>206.93190000000001</v>
      </c>
      <c r="J5099">
        <v>-203.7088</v>
      </c>
      <c r="K5099">
        <v>1.1062149999999999</v>
      </c>
      <c r="L5099">
        <v>212.0196</v>
      </c>
      <c r="M5099">
        <v>0.95978439999999998</v>
      </c>
      <c r="N5099">
        <v>0</v>
      </c>
      <c r="O5099">
        <v>-0.28039049999999999</v>
      </c>
      <c r="P5099">
        <v>0.92713909999999999</v>
      </c>
      <c r="Q5099">
        <v>-4.1072169999999998E-3</v>
      </c>
      <c r="R5099">
        <v>-0.37469459999999999</v>
      </c>
      <c r="S5099">
        <v>2.3723450000000001</v>
      </c>
      <c r="T5099">
        <v>-0.46533980000000003</v>
      </c>
      <c r="U5099">
        <v>-2.1688230000000002</v>
      </c>
      <c r="V5099">
        <v>9.9766320000000006E-2</v>
      </c>
      <c r="W5099">
        <v>8.8059409999999994E-3</v>
      </c>
      <c r="X5099">
        <v>0.99497190000000002</v>
      </c>
      <c r="Y5099">
        <v>0.43908219999999998</v>
      </c>
      <c r="Z5099">
        <v>8.4129240000000004E-3</v>
      </c>
      <c r="AA5099">
        <v>0.89840750000000003</v>
      </c>
      <c r="AB5099">
        <v>23</v>
      </c>
      <c r="AC5099">
        <v>5.4238</v>
      </c>
      <c r="AD5099">
        <v>-1.1062113570659999</v>
      </c>
      <c r="AE5099">
        <v>-5.0876999999999803</v>
      </c>
      <c r="AF5099">
        <v>3.2898449331074602</v>
      </c>
      <c r="AG5099">
        <v>-1.1062113570659999</v>
      </c>
      <c r="AH5099">
        <v>6.4892766532582602</v>
      </c>
      <c r="AI5099">
        <v>98.645312260473602</v>
      </c>
      <c r="AJ5099">
        <v>63.116525207707298</v>
      </c>
      <c r="AK5099">
        <v>7.3591775853635504</v>
      </c>
      <c r="AL5099">
        <v>89.495450211186693</v>
      </c>
      <c r="AM5099">
        <v>84.274062780409807</v>
      </c>
      <c r="AN5099">
        <v>0.99999997249642303</v>
      </c>
    </row>
    <row r="5100" spans="1:40" x14ac:dyDescent="0.25">
      <c r="A5100" t="str">
        <f>"20190312154026376"</f>
        <v>20190312154026376</v>
      </c>
      <c r="B5100" t="str">
        <f>"1552376426370821"</f>
        <v>1552376426370821</v>
      </c>
      <c r="C5100" t="s">
        <v>40</v>
      </c>
      <c r="D5100">
        <v>4.482183</v>
      </c>
      <c r="E5100">
        <v>0.64465130000000004</v>
      </c>
      <c r="F5100" t="s">
        <v>54</v>
      </c>
      <c r="G5100">
        <v>-198.2697</v>
      </c>
      <c r="H5100" s="1">
        <v>3.6470870000000001E-6</v>
      </c>
      <c r="I5100">
        <v>206.9265</v>
      </c>
      <c r="J5100">
        <v>-203.4923</v>
      </c>
      <c r="K5100">
        <v>1.105985</v>
      </c>
      <c r="L5100">
        <v>211.9486</v>
      </c>
      <c r="M5100">
        <v>0.95788969999999996</v>
      </c>
      <c r="N5100">
        <v>0</v>
      </c>
      <c r="O5100">
        <v>-0.28679549999999998</v>
      </c>
      <c r="P5100">
        <v>0.92258569999999995</v>
      </c>
      <c r="Q5100">
        <v>-5.2439319999999998E-3</v>
      </c>
      <c r="R5100">
        <v>-0.38575690000000001</v>
      </c>
      <c r="S5100">
        <v>2.345901</v>
      </c>
      <c r="T5100">
        <v>-0.47711599999999998</v>
      </c>
      <c r="U5100">
        <v>-2.1966860000000001</v>
      </c>
      <c r="V5100">
        <v>0.10501389999999999</v>
      </c>
      <c r="W5100">
        <v>7.581941E-3</v>
      </c>
      <c r="X5100">
        <v>0.99444189999999999</v>
      </c>
      <c r="Y5100">
        <v>0.44374170000000002</v>
      </c>
      <c r="Z5100">
        <v>9.2481000000000004E-3</v>
      </c>
      <c r="AA5100">
        <v>0.89610699999999999</v>
      </c>
      <c r="AB5100">
        <v>23</v>
      </c>
      <c r="AC5100">
        <v>5.2225999999999999</v>
      </c>
      <c r="AD5100">
        <v>-1.105981352913</v>
      </c>
      <c r="AE5100">
        <v>-5.0220999999999902</v>
      </c>
      <c r="AF5100">
        <v>3.2376849230253502</v>
      </c>
      <c r="AG5100">
        <v>-1.105981352913</v>
      </c>
      <c r="AH5100">
        <v>6.29690139959179</v>
      </c>
      <c r="AI5100">
        <v>98.877912009311402</v>
      </c>
      <c r="AJ5100">
        <v>62.7890805497141</v>
      </c>
      <c r="AK5100">
        <v>7.1663634885454996</v>
      </c>
      <c r="AL5100">
        <v>89.565582639152197</v>
      </c>
      <c r="AM5100">
        <v>83.971858985078399</v>
      </c>
      <c r="AN5100">
        <v>1.0000000487490699</v>
      </c>
    </row>
    <row r="5101" spans="1:40" x14ac:dyDescent="0.25">
      <c r="A5101" t="str">
        <f>"20190312154026400"</f>
        <v>20190312154026400</v>
      </c>
      <c r="B5101" t="str">
        <f>"1552376426391317"</f>
        <v>1552376426391317</v>
      </c>
      <c r="C5101" t="s">
        <v>40</v>
      </c>
      <c r="D5101">
        <v>4.4812969999999996</v>
      </c>
      <c r="E5101">
        <v>0.64461299999999999</v>
      </c>
      <c r="F5101" t="s">
        <v>54</v>
      </c>
      <c r="G5101">
        <v>-198.13</v>
      </c>
      <c r="H5101" s="1">
        <v>3.704214E-6</v>
      </c>
      <c r="I5101">
        <v>206.80430000000001</v>
      </c>
      <c r="J5101">
        <v>-203.26400000000001</v>
      </c>
      <c r="K5101">
        <v>1.1057440000000001</v>
      </c>
      <c r="L5101">
        <v>211.87139999999999</v>
      </c>
      <c r="M5101">
        <v>0.95571479999999998</v>
      </c>
      <c r="N5101">
        <v>0</v>
      </c>
      <c r="O5101">
        <v>-0.29396040000000001</v>
      </c>
      <c r="P5101">
        <v>0.91706299999999996</v>
      </c>
      <c r="Q5101">
        <v>-4.9108199999999998E-3</v>
      </c>
      <c r="R5101">
        <v>-0.39871299999999998</v>
      </c>
      <c r="S5101">
        <v>2.318848</v>
      </c>
      <c r="T5101">
        <v>-0.47826649999999998</v>
      </c>
      <c r="U5101">
        <v>-2.2245789999999999</v>
      </c>
      <c r="V5101">
        <v>0.1115787</v>
      </c>
      <c r="W5101">
        <v>7.8060480000000003E-3</v>
      </c>
      <c r="X5101">
        <v>0.99372490000000002</v>
      </c>
      <c r="Y5101">
        <v>0.44787929999999998</v>
      </c>
      <c r="Z5101">
        <v>1.0062160000000001E-2</v>
      </c>
      <c r="AA5101">
        <v>0.89403739999999998</v>
      </c>
      <c r="AB5101">
        <v>23</v>
      </c>
      <c r="AC5101">
        <v>5.1340000000000101</v>
      </c>
      <c r="AD5101">
        <v>-1.1057402957860001</v>
      </c>
      <c r="AE5101">
        <v>-5.0670999999999804</v>
      </c>
      <c r="AF5101">
        <v>3.2572986288779902</v>
      </c>
      <c r="AG5101">
        <v>-1.1057402957860001</v>
      </c>
      <c r="AH5101">
        <v>6.2499365221886096</v>
      </c>
      <c r="AI5101">
        <v>98.916518870748604</v>
      </c>
      <c r="AJ5101">
        <v>62.472687464937103</v>
      </c>
      <c r="AK5101">
        <v>7.1340284896264903</v>
      </c>
      <c r="AL5101">
        <v>89.552741834175094</v>
      </c>
      <c r="AM5101">
        <v>83.593475014164198</v>
      </c>
      <c r="AN5101">
        <v>0.99999995877953796</v>
      </c>
    </row>
    <row r="5102" spans="1:40" x14ac:dyDescent="0.25">
      <c r="A5102" t="str">
        <f>"20190312154026431"</f>
        <v>20190312154026431</v>
      </c>
      <c r="B5102" t="str">
        <f>"1552376426421573"</f>
        <v>1552376426421573</v>
      </c>
      <c r="C5102" t="s">
        <v>40</v>
      </c>
      <c r="D5102">
        <v>4.4914120000000004</v>
      </c>
      <c r="E5102">
        <v>0.64444619999999997</v>
      </c>
      <c r="F5102" t="s">
        <v>54</v>
      </c>
      <c r="G5102">
        <v>-197.91669999999999</v>
      </c>
      <c r="H5102" s="1">
        <v>3.7980060000000001E-6</v>
      </c>
      <c r="I5102">
        <v>206.59299999999999</v>
      </c>
      <c r="J5102">
        <v>-202.95650000000001</v>
      </c>
      <c r="K5102">
        <v>1.105443</v>
      </c>
      <c r="L5102">
        <v>211.76339999999999</v>
      </c>
      <c r="M5102">
        <v>0.95248809999999995</v>
      </c>
      <c r="N5102">
        <v>0</v>
      </c>
      <c r="O5102">
        <v>-0.30425039999999998</v>
      </c>
      <c r="P5102">
        <v>0.91067220000000004</v>
      </c>
      <c r="Q5102">
        <v>-3.0235560000000002E-3</v>
      </c>
      <c r="R5102">
        <v>-0.41311900000000001</v>
      </c>
      <c r="S5102">
        <v>2.2871860000000002</v>
      </c>
      <c r="T5102">
        <v>-0.47295670000000001</v>
      </c>
      <c r="U5102">
        <v>-2.2577060000000002</v>
      </c>
      <c r="V5102">
        <v>0.116550399999999</v>
      </c>
      <c r="W5102">
        <v>9.5950730000000008E-3</v>
      </c>
      <c r="X5102">
        <v>0.99313839999999998</v>
      </c>
      <c r="Y5102">
        <v>0.45108559999999998</v>
      </c>
      <c r="Z5102">
        <v>1.130364E-2</v>
      </c>
      <c r="AA5102">
        <v>0.89240909999999996</v>
      </c>
      <c r="AB5102">
        <v>22</v>
      </c>
      <c r="AC5102">
        <v>5.0398000000000103</v>
      </c>
      <c r="AD5102">
        <v>-1.105439201994</v>
      </c>
      <c r="AE5102">
        <v>-5.1703999999999999</v>
      </c>
      <c r="AF5102">
        <v>3.3140377913025101</v>
      </c>
      <c r="AG5102">
        <v>-1.105439201994</v>
      </c>
      <c r="AH5102">
        <v>6.2280899314926099</v>
      </c>
      <c r="AI5102">
        <v>98.905292052180997</v>
      </c>
      <c r="AJ5102">
        <v>61.982047043110597</v>
      </c>
      <c r="AK5102">
        <v>7.1410045866282701</v>
      </c>
      <c r="AL5102">
        <v>89.450234361279996</v>
      </c>
      <c r="AM5102">
        <v>83.3066324465657</v>
      </c>
      <c r="AN5102">
        <v>0.99999997136029695</v>
      </c>
    </row>
    <row r="5103" spans="1:40" x14ac:dyDescent="0.25">
      <c r="A5103" t="str">
        <f>"20190312154026453"</f>
        <v>20190312154026453</v>
      </c>
      <c r="B5103" t="str">
        <f>"1552376426450853"</f>
        <v>1552376426450853</v>
      </c>
      <c r="C5103" t="s">
        <v>40</v>
      </c>
      <c r="D5103">
        <v>4.4644000000000004</v>
      </c>
      <c r="E5103">
        <v>0.64381599999999894</v>
      </c>
      <c r="F5103" t="s">
        <v>54</v>
      </c>
      <c r="G5103">
        <v>-197.58670000000001</v>
      </c>
      <c r="H5103" s="1">
        <v>3.9355989999999998E-6</v>
      </c>
      <c r="I5103">
        <v>206.2945</v>
      </c>
      <c r="J5103">
        <v>-202.7433</v>
      </c>
      <c r="K5103">
        <v>1.1052580000000001</v>
      </c>
      <c r="L5103">
        <v>211.68600000000001</v>
      </c>
      <c r="M5103">
        <v>0.9500613</v>
      </c>
      <c r="N5103">
        <v>0</v>
      </c>
      <c r="O5103">
        <v>-0.31174400000000002</v>
      </c>
      <c r="P5103">
        <v>0.90629859999999896</v>
      </c>
      <c r="Q5103">
        <v>-3.370867E-3</v>
      </c>
      <c r="R5103">
        <v>-0.42262480000000002</v>
      </c>
      <c r="S5103">
        <v>2.2521969999999998</v>
      </c>
      <c r="T5103">
        <v>-0.46363789999999999</v>
      </c>
      <c r="U5103">
        <v>-2.2937470000000002</v>
      </c>
      <c r="V5103">
        <v>0.11911869999999999</v>
      </c>
      <c r="W5103">
        <v>9.1954989999999993E-3</v>
      </c>
      <c r="X5103">
        <v>0.99283739999999998</v>
      </c>
      <c r="Y5103">
        <v>0.45804630000000002</v>
      </c>
      <c r="Z5103">
        <v>1.1675130000000001E-2</v>
      </c>
      <c r="AA5103">
        <v>0.88885159999999996</v>
      </c>
      <c r="AB5103">
        <v>22</v>
      </c>
      <c r="AC5103">
        <v>5.1565999999999903</v>
      </c>
      <c r="AD5103">
        <v>-1.105254064401</v>
      </c>
      <c r="AE5103">
        <v>-5.3914999999999704</v>
      </c>
      <c r="AF5103">
        <v>3.4395754969260701</v>
      </c>
      <c r="AG5103">
        <v>-1.105254064401</v>
      </c>
      <c r="AH5103">
        <v>6.4391836102417104</v>
      </c>
      <c r="AI5103">
        <v>98.609160238508693</v>
      </c>
      <c r="AJ5103">
        <v>61.890503616821398</v>
      </c>
      <c r="AK5103">
        <v>7.3834512060644499</v>
      </c>
      <c r="AL5103">
        <v>89.4731292716572</v>
      </c>
      <c r="AM5103">
        <v>83.158466107992993</v>
      </c>
      <c r="AN5103">
        <v>0.99999996236515298</v>
      </c>
    </row>
    <row r="5104" spans="1:40" x14ac:dyDescent="0.25">
      <c r="A5104" t="str">
        <f>"20190312154026476"</f>
        <v>20190312154026476</v>
      </c>
      <c r="B5104" t="str">
        <f>"1552376426471350"</f>
        <v>1552376426471350</v>
      </c>
      <c r="C5104" t="s">
        <v>40</v>
      </c>
      <c r="D5104">
        <v>4.4799800000000003</v>
      </c>
      <c r="E5104">
        <v>0.64409150000000004</v>
      </c>
      <c r="F5104" t="s">
        <v>54</v>
      </c>
      <c r="G5104">
        <v>-197.45009999999999</v>
      </c>
      <c r="H5104" s="1">
        <v>3.9853639999999998E-6</v>
      </c>
      <c r="I5104">
        <v>206.19810000000001</v>
      </c>
      <c r="J5104">
        <v>-202.5308</v>
      </c>
      <c r="K5104">
        <v>1.105075</v>
      </c>
      <c r="L5104">
        <v>211.60650000000001</v>
      </c>
      <c r="M5104">
        <v>0.94746509999999995</v>
      </c>
      <c r="N5104">
        <v>0</v>
      </c>
      <c r="O5104">
        <v>-0.31954569999999999</v>
      </c>
      <c r="P5104">
        <v>0.90205139999999995</v>
      </c>
      <c r="Q5104">
        <v>-4.7094809999999997E-3</v>
      </c>
      <c r="R5104">
        <v>-0.4316026</v>
      </c>
      <c r="S5104">
        <v>2.2301790000000001</v>
      </c>
      <c r="T5104">
        <v>-0.4656749</v>
      </c>
      <c r="U5104">
        <v>-2.312195</v>
      </c>
      <c r="V5104">
        <v>0.1208021</v>
      </c>
      <c r="W5104">
        <v>7.8146299999999995E-3</v>
      </c>
      <c r="X5104">
        <v>0.99264589999999997</v>
      </c>
      <c r="Y5104">
        <v>0.45871119999999999</v>
      </c>
      <c r="Z5104">
        <v>1.2894879999999999E-2</v>
      </c>
      <c r="AA5104">
        <v>0.88849179999999905</v>
      </c>
      <c r="AB5104">
        <v>22</v>
      </c>
      <c r="AC5104">
        <v>5.0807000000000002</v>
      </c>
      <c r="AD5104">
        <v>-1.1050710146359899</v>
      </c>
      <c r="AE5104">
        <v>-5.4084000000000003</v>
      </c>
      <c r="AF5104">
        <v>3.4251445586838898</v>
      </c>
      <c r="AG5104">
        <v>-1.1050710146359899</v>
      </c>
      <c r="AH5104">
        <v>6.4007213766474402</v>
      </c>
      <c r="AI5104">
        <v>98.655312253487196</v>
      </c>
      <c r="AJ5104">
        <v>61.847939430626198</v>
      </c>
      <c r="AK5104">
        <v>7.3431622164257</v>
      </c>
      <c r="AL5104">
        <v>89.552250147306594</v>
      </c>
      <c r="AM5104">
        <v>83.061391136934105</v>
      </c>
      <c r="AN5104">
        <v>1.0000000492966199</v>
      </c>
    </row>
    <row r="5105" spans="1:40" x14ac:dyDescent="0.25">
      <c r="A5105" t="str">
        <f>"20190312154026499"</f>
        <v>20190312154026499</v>
      </c>
      <c r="B5105" t="str">
        <f>"1552376426490869"</f>
        <v>1552376426490869</v>
      </c>
      <c r="C5105" t="s">
        <v>40</v>
      </c>
      <c r="D5105">
        <v>4.3855399999999998</v>
      </c>
      <c r="E5105">
        <v>0.67548160000000002</v>
      </c>
      <c r="F5105" t="s">
        <v>54</v>
      </c>
      <c r="G5105">
        <v>-197.3655</v>
      </c>
      <c r="H5105" s="1">
        <v>4.0164990000000002E-6</v>
      </c>
      <c r="I5105">
        <v>206.1371</v>
      </c>
      <c r="J5105">
        <v>-202.315</v>
      </c>
      <c r="K5105">
        <v>1.1048770000000001</v>
      </c>
      <c r="L5105">
        <v>211.5232</v>
      </c>
      <c r="M5105">
        <v>0.94461949999999995</v>
      </c>
      <c r="N5105">
        <v>0</v>
      </c>
      <c r="O5105">
        <v>-0.32786079999999901</v>
      </c>
      <c r="P5105">
        <v>0.89711450000000004</v>
      </c>
      <c r="Q5105">
        <v>-4.8762909999999996E-3</v>
      </c>
      <c r="R5105">
        <v>-0.44177119999999998</v>
      </c>
      <c r="S5105">
        <v>2.2057799999999999</v>
      </c>
      <c r="T5105">
        <v>-0.47191080000000002</v>
      </c>
      <c r="U5105">
        <v>-2.3356479999999999</v>
      </c>
      <c r="V5105">
        <v>0.1232994</v>
      </c>
      <c r="W5105">
        <v>7.5914769999999897E-3</v>
      </c>
      <c r="X5105">
        <v>0.99234040000000001</v>
      </c>
      <c r="Y5105">
        <v>0.46028479999999999</v>
      </c>
      <c r="Z5105">
        <v>1.4251059999999999E-2</v>
      </c>
      <c r="AA5105">
        <v>0.88765689999999997</v>
      </c>
      <c r="AB5105">
        <v>22</v>
      </c>
      <c r="AC5105">
        <v>4.9494999999999996</v>
      </c>
      <c r="AD5105">
        <v>-1.104872983501</v>
      </c>
      <c r="AE5105">
        <v>-5.3860999999999901</v>
      </c>
      <c r="AF5105">
        <v>3.3881189639145699</v>
      </c>
      <c r="AG5105">
        <v>-1.104872983501</v>
      </c>
      <c r="AH5105">
        <v>6.2982430364744202</v>
      </c>
      <c r="AI5105">
        <v>98.782215078480704</v>
      </c>
      <c r="AJ5105">
        <v>61.722117577612202</v>
      </c>
      <c r="AK5105">
        <v>7.2365709952854402</v>
      </c>
      <c r="AL5105">
        <v>89.565036195341094</v>
      </c>
      <c r="AM5105">
        <v>82.9172354312674</v>
      </c>
      <c r="AN5105">
        <v>0.99999992101777702</v>
      </c>
    </row>
    <row r="5106" spans="1:40" x14ac:dyDescent="0.25">
      <c r="A5106" t="str">
        <f>"20190312154026521"</f>
        <v>20190312154026521</v>
      </c>
      <c r="B5106" t="str">
        <f>"1552376426511365"</f>
        <v>1552376426511365</v>
      </c>
      <c r="C5106" t="s">
        <v>40</v>
      </c>
      <c r="D5106">
        <v>4.4208480000000003</v>
      </c>
      <c r="E5106">
        <v>0.67729139999999999</v>
      </c>
      <c r="F5106" t="s">
        <v>54</v>
      </c>
      <c r="G5106">
        <v>-198.4265</v>
      </c>
      <c r="H5106" s="1">
        <v>3.689208E-6</v>
      </c>
      <c r="I5106">
        <v>206.66239999999999</v>
      </c>
      <c r="J5106">
        <v>-202.11060000000001</v>
      </c>
      <c r="K5106">
        <v>1.1046830000000001</v>
      </c>
      <c r="L5106">
        <v>211.4418</v>
      </c>
      <c r="M5106">
        <v>0.94172599999999995</v>
      </c>
      <c r="N5106">
        <v>0</v>
      </c>
      <c r="O5106">
        <v>-0.33607979999999998</v>
      </c>
      <c r="P5106">
        <v>0.89186500000000002</v>
      </c>
      <c r="Q5106">
        <v>-4.6418070000000004E-3</v>
      </c>
      <c r="R5106">
        <v>-0.45227820000000002</v>
      </c>
      <c r="S5106">
        <v>2.067917</v>
      </c>
      <c r="T5106">
        <v>-0.5875764</v>
      </c>
      <c r="U5106">
        <v>-2.584991</v>
      </c>
      <c r="V5106">
        <v>0.12631439999999999</v>
      </c>
      <c r="W5106">
        <v>7.7631339999999997E-3</v>
      </c>
      <c r="X5106">
        <v>0.99195990000000001</v>
      </c>
      <c r="Y5106">
        <v>0.52265969999999995</v>
      </c>
      <c r="Z5106">
        <v>1.239927E-2</v>
      </c>
      <c r="AA5106">
        <v>0.85245130000000002</v>
      </c>
      <c r="AB5106">
        <v>22</v>
      </c>
      <c r="AC5106">
        <v>3.6840999999999999</v>
      </c>
      <c r="AD5106">
        <v>-1.1046793107920001</v>
      </c>
      <c r="AE5106">
        <v>-4.7794000000000096</v>
      </c>
      <c r="AF5106">
        <v>3.1572606992952599</v>
      </c>
      <c r="AG5106">
        <v>-1.1046793107920001</v>
      </c>
      <c r="AH5106">
        <v>4.9115935213955302</v>
      </c>
      <c r="AI5106">
        <v>100.713445232723</v>
      </c>
      <c r="AJ5106">
        <v>57.266360868957797</v>
      </c>
      <c r="AK5106">
        <v>5.9424205861265698</v>
      </c>
      <c r="AL5106">
        <v>89.555200726450707</v>
      </c>
      <c r="AM5106">
        <v>82.743113228829102</v>
      </c>
      <c r="AN5106">
        <v>1.00000001855243</v>
      </c>
    </row>
    <row r="5107" spans="1:40" x14ac:dyDescent="0.25">
      <c r="A5107" t="str">
        <f>"20190312154026543"</f>
        <v>20190312154026543</v>
      </c>
      <c r="B5107" t="str">
        <f>"1552376426530887"</f>
        <v>1552376426530887</v>
      </c>
      <c r="C5107" t="s">
        <v>40</v>
      </c>
      <c r="D5107">
        <v>4.4534880000000001</v>
      </c>
      <c r="E5107">
        <v>0.6767012</v>
      </c>
      <c r="F5107" t="s">
        <v>54</v>
      </c>
      <c r="G5107">
        <v>-198.285</v>
      </c>
      <c r="H5107" s="1">
        <v>3.7555069999999999E-6</v>
      </c>
      <c r="I5107">
        <v>206.5068</v>
      </c>
      <c r="J5107">
        <v>-201.90029999999999</v>
      </c>
      <c r="K5107">
        <v>1.1044830000000001</v>
      </c>
      <c r="L5107">
        <v>211.3554</v>
      </c>
      <c r="M5107">
        <v>0.93855540000000004</v>
      </c>
      <c r="N5107">
        <v>0</v>
      </c>
      <c r="O5107">
        <v>-0.34483350000000002</v>
      </c>
      <c r="P5107">
        <v>0.88635469999999905</v>
      </c>
      <c r="Q5107">
        <v>-6.2866869999999896E-3</v>
      </c>
      <c r="R5107">
        <v>-0.46296470000000001</v>
      </c>
      <c r="S5107">
        <v>2.031647</v>
      </c>
      <c r="T5107">
        <v>-0.58664930000000004</v>
      </c>
      <c r="U5107">
        <v>-2.620743</v>
      </c>
      <c r="V5107">
        <v>0.1289845</v>
      </c>
      <c r="W5107">
        <v>6.0627719999999897E-3</v>
      </c>
      <c r="X5107">
        <v>0.99162810000000001</v>
      </c>
      <c r="Y5107">
        <v>0.52779350000000003</v>
      </c>
      <c r="Z5107">
        <v>1.3515569999999999E-2</v>
      </c>
      <c r="AA5107">
        <v>0.84926520000000005</v>
      </c>
      <c r="AB5107">
        <v>22</v>
      </c>
      <c r="AC5107">
        <v>3.6152999999999902</v>
      </c>
      <c r="AD5107">
        <v>-1.1044792444930001</v>
      </c>
      <c r="AE5107">
        <v>-4.8486000000000002</v>
      </c>
      <c r="AF5107">
        <v>3.1977002873896798</v>
      </c>
      <c r="AG5107">
        <v>-1.1044792444930001</v>
      </c>
      <c r="AH5107">
        <v>4.9021540974255604</v>
      </c>
      <c r="AI5107">
        <v>100.686416121655</v>
      </c>
      <c r="AJ5107">
        <v>56.883383489571102</v>
      </c>
      <c r="AK5107">
        <v>5.9561964645563901</v>
      </c>
      <c r="AL5107">
        <v>89.652626632338894</v>
      </c>
      <c r="AM5107">
        <v>82.588948797875801</v>
      </c>
      <c r="AN5107">
        <v>1.0000000235770901</v>
      </c>
    </row>
    <row r="5108" spans="1:40" x14ac:dyDescent="0.25">
      <c r="A5108" t="str">
        <f>"20190312154026566"</f>
        <v>20190312154026566</v>
      </c>
      <c r="B5108" t="str">
        <f>"1552376426561144"</f>
        <v>1552376426561144</v>
      </c>
      <c r="C5108" t="s">
        <v>40</v>
      </c>
      <c r="D5108">
        <v>4.4242920000000003</v>
      </c>
      <c r="E5108">
        <v>0.676369</v>
      </c>
      <c r="F5108" t="s">
        <v>54</v>
      </c>
      <c r="G5108">
        <v>-198.19139999999999</v>
      </c>
      <c r="H5108" s="1">
        <v>3.7827990000000002E-6</v>
      </c>
      <c r="I5108">
        <v>206.4665</v>
      </c>
      <c r="J5108">
        <v>-201.69110000000001</v>
      </c>
      <c r="K5108">
        <v>1.1042989999999999</v>
      </c>
      <c r="L5108">
        <v>211.26679999999999</v>
      </c>
      <c r="M5108">
        <v>0.9352026</v>
      </c>
      <c r="N5108">
        <v>0</v>
      </c>
      <c r="O5108">
        <v>-0.3538229</v>
      </c>
      <c r="P5108">
        <v>0.88045569999999895</v>
      </c>
      <c r="Q5108">
        <v>-8.7394059999999999E-3</v>
      </c>
      <c r="R5108">
        <v>-0.47404790000000002</v>
      </c>
      <c r="S5108">
        <v>2.002014</v>
      </c>
      <c r="T5108">
        <v>-0.59618870000000002</v>
      </c>
      <c r="U5108">
        <v>-2.639008</v>
      </c>
      <c r="V5108">
        <v>0.13188440000000001</v>
      </c>
      <c r="W5108">
        <v>3.5517779999999998E-3</v>
      </c>
      <c r="X5108">
        <v>0.99125870000000005</v>
      </c>
      <c r="Y5108">
        <v>0.52853640000000002</v>
      </c>
      <c r="Z5108">
        <v>1.5442259999999999E-2</v>
      </c>
      <c r="AA5108">
        <v>0.84877019999999903</v>
      </c>
      <c r="AB5108">
        <v>22</v>
      </c>
      <c r="AC5108">
        <v>3.49970000000001</v>
      </c>
      <c r="AD5108">
        <v>-1.1042952172010001</v>
      </c>
      <c r="AE5108">
        <v>-4.8002999999999902</v>
      </c>
      <c r="AF5108">
        <v>3.1427169106669801</v>
      </c>
      <c r="AG5108">
        <v>-1.1042952172010001</v>
      </c>
      <c r="AH5108">
        <v>4.8058305790499203</v>
      </c>
      <c r="AI5108">
        <v>100.88580670040299</v>
      </c>
      <c r="AJ5108">
        <v>56.817788116119999</v>
      </c>
      <c r="AK5108">
        <v>5.8474049852782102</v>
      </c>
      <c r="AL5108">
        <v>89.796497674865293</v>
      </c>
      <c r="AM5108">
        <v>82.421453434141796</v>
      </c>
      <c r="AN5108">
        <v>0.99999996020800397</v>
      </c>
    </row>
    <row r="5109" spans="1:40" x14ac:dyDescent="0.25">
      <c r="A5109" t="str">
        <f>"20190312154026589"</f>
        <v>20190312154026589</v>
      </c>
      <c r="B5109" t="str">
        <f>"1552376426581638"</f>
        <v>1552376426581638</v>
      </c>
      <c r="C5109" t="s">
        <v>40</v>
      </c>
      <c r="D5109">
        <v>4.4401409999999997</v>
      </c>
      <c r="E5109">
        <v>0.67586000000000002</v>
      </c>
      <c r="F5109" t="s">
        <v>54</v>
      </c>
      <c r="G5109">
        <v>-198.11940000000001</v>
      </c>
      <c r="H5109" s="1">
        <v>3.8017150000000002E-6</v>
      </c>
      <c r="I5109">
        <v>206.44329999999999</v>
      </c>
      <c r="J5109">
        <v>-201.47829999999999</v>
      </c>
      <c r="K5109">
        <v>1.104125</v>
      </c>
      <c r="L5109">
        <v>211.1739</v>
      </c>
      <c r="M5109">
        <v>0.93157259999999997</v>
      </c>
      <c r="N5109">
        <v>0</v>
      </c>
      <c r="O5109">
        <v>-0.36327150000000002</v>
      </c>
      <c r="P5109">
        <v>0.87450969999999995</v>
      </c>
      <c r="Q5109">
        <v>-9.2910879999999994E-3</v>
      </c>
      <c r="R5109">
        <v>-0.4849193</v>
      </c>
      <c r="S5109">
        <v>1.9693149999999999</v>
      </c>
      <c r="T5109">
        <v>-0.60887749999999996</v>
      </c>
      <c r="U5109">
        <v>-2.6595759999999999</v>
      </c>
      <c r="V5109">
        <v>0.13412579999999999</v>
      </c>
      <c r="W5109">
        <v>2.9523959999999999E-3</v>
      </c>
      <c r="X5109">
        <v>0.9909599</v>
      </c>
      <c r="Y5109">
        <v>0.52980729999999998</v>
      </c>
      <c r="Z5109">
        <v>1.7554480000000001E-2</v>
      </c>
      <c r="AA5109">
        <v>0.84793639999999904</v>
      </c>
      <c r="AB5109">
        <v>22</v>
      </c>
      <c r="AC5109">
        <v>3.35889999999997</v>
      </c>
      <c r="AD5109">
        <v>-1.1041211982850001</v>
      </c>
      <c r="AE5109">
        <v>-4.7306000000000097</v>
      </c>
      <c r="AF5109">
        <v>3.0756437114263702</v>
      </c>
      <c r="AG5109">
        <v>-1.1041211982850001</v>
      </c>
      <c r="AH5109">
        <v>4.6786076123223204</v>
      </c>
      <c r="AI5109">
        <v>101.15554965460301</v>
      </c>
      <c r="AJ5109">
        <v>56.679704312693701</v>
      </c>
      <c r="AK5109">
        <v>5.7068412497825101</v>
      </c>
      <c r="AL5109">
        <v>89.830839921482607</v>
      </c>
      <c r="AM5109">
        <v>82.291893898309297</v>
      </c>
      <c r="AN5109">
        <v>0.99999998513789501</v>
      </c>
    </row>
    <row r="5110" spans="1:40" x14ac:dyDescent="0.25">
      <c r="A5110" t="str">
        <f>"20190312154026610"</f>
        <v>20190312154026610</v>
      </c>
      <c r="B5110" t="str">
        <f>"1552376426601157"</f>
        <v>1552376426601157</v>
      </c>
      <c r="C5110" t="s">
        <v>40</v>
      </c>
      <c r="D5110">
        <v>4.433281</v>
      </c>
      <c r="E5110">
        <v>0.67512479999999997</v>
      </c>
      <c r="F5110" t="s">
        <v>54</v>
      </c>
      <c r="G5110">
        <v>-197.95650000000001</v>
      </c>
      <c r="H5110" s="1">
        <v>3.8674789999999999E-6</v>
      </c>
      <c r="I5110">
        <v>206.304</v>
      </c>
      <c r="J5110">
        <v>-201.27459999999999</v>
      </c>
      <c r="K5110">
        <v>1.1039840000000001</v>
      </c>
      <c r="L5110">
        <v>211.0822</v>
      </c>
      <c r="M5110">
        <v>0.92787830000000004</v>
      </c>
      <c r="N5110">
        <v>0</v>
      </c>
      <c r="O5110">
        <v>-0.37260470000000001</v>
      </c>
      <c r="P5110">
        <v>0.86863559999999995</v>
      </c>
      <c r="Q5110">
        <v>-7.9685950000000002E-3</v>
      </c>
      <c r="R5110">
        <v>-0.49538739999999998</v>
      </c>
      <c r="S5110">
        <v>1.9380189999999999</v>
      </c>
      <c r="T5110">
        <v>-0.60759649999999998</v>
      </c>
      <c r="U5110">
        <v>-2.6798709999999999</v>
      </c>
      <c r="V5110">
        <v>0.1360961</v>
      </c>
      <c r="W5110">
        <v>4.235557E-3</v>
      </c>
      <c r="X5110">
        <v>0.99068659999999997</v>
      </c>
      <c r="Y5110">
        <v>0.53096119999999902</v>
      </c>
      <c r="Z5110">
        <v>1.9296270000000001E-2</v>
      </c>
      <c r="AA5110">
        <v>0.84717640000000005</v>
      </c>
      <c r="AB5110">
        <v>22</v>
      </c>
      <c r="AC5110">
        <v>3.3180999999999798</v>
      </c>
      <c r="AD5110">
        <v>-1.1039801325209999</v>
      </c>
      <c r="AE5110">
        <v>-4.7781999999999902</v>
      </c>
      <c r="AF5110">
        <v>3.0864237985098302</v>
      </c>
      <c r="AG5110">
        <v>-1.1039801325209999</v>
      </c>
      <c r="AH5110">
        <v>4.6907416652567901</v>
      </c>
      <c r="AI5110">
        <v>101.123051084149</v>
      </c>
      <c r="AJ5110">
        <v>56.6558014747242</v>
      </c>
      <c r="AK5110">
        <v>5.7225729673971797</v>
      </c>
      <c r="AL5110">
        <v>89.757319737770501</v>
      </c>
      <c r="AM5110">
        <v>82.177922697985494</v>
      </c>
      <c r="AN5110">
        <v>1.00000001389893</v>
      </c>
    </row>
    <row r="5111" spans="1:40" x14ac:dyDescent="0.25">
      <c r="A5111" t="str">
        <f>"20190312154026633"</f>
        <v>20190312154026633</v>
      </c>
      <c r="B5111" t="str">
        <f>"1552376426621653"</f>
        <v>1552376426621653</v>
      </c>
      <c r="C5111" t="s">
        <v>40</v>
      </c>
      <c r="D5111">
        <v>4.5023269999999904</v>
      </c>
      <c r="E5111">
        <v>0.67457529999999999</v>
      </c>
      <c r="F5111" t="s">
        <v>54</v>
      </c>
      <c r="G5111">
        <v>-197.75919999999999</v>
      </c>
      <c r="H5111" s="1">
        <v>3.9539780000000004E-6</v>
      </c>
      <c r="I5111">
        <v>206.1095</v>
      </c>
      <c r="J5111">
        <v>-201.07409999999999</v>
      </c>
      <c r="K5111">
        <v>1.103853</v>
      </c>
      <c r="L5111">
        <v>210.98920000000001</v>
      </c>
      <c r="M5111">
        <v>0.9240273</v>
      </c>
      <c r="N5111">
        <v>0</v>
      </c>
      <c r="O5111">
        <v>-0.38205319999999998</v>
      </c>
      <c r="P5111">
        <v>0.86285100000000003</v>
      </c>
      <c r="Q5111">
        <v>-6.9555850000000002E-3</v>
      </c>
      <c r="R5111">
        <v>-0.50541059999999904</v>
      </c>
      <c r="S5111">
        <v>1.908539</v>
      </c>
      <c r="T5111">
        <v>-0.59936579999999995</v>
      </c>
      <c r="U5111">
        <v>-2.699722</v>
      </c>
      <c r="V5111">
        <v>0.137470799999999</v>
      </c>
      <c r="W5111">
        <v>5.2221230000000004E-3</v>
      </c>
      <c r="X5111">
        <v>0.99049200000000004</v>
      </c>
      <c r="Y5111">
        <v>0.53160529999999995</v>
      </c>
      <c r="Z5111">
        <v>2.0872430000000001E-2</v>
      </c>
      <c r="AA5111">
        <v>0.84673500000000002</v>
      </c>
      <c r="AB5111">
        <v>22</v>
      </c>
      <c r="AC5111">
        <v>3.31489999999999</v>
      </c>
      <c r="AD5111">
        <v>-1.1038490460220001</v>
      </c>
      <c r="AE5111">
        <v>-4.8797000000000104</v>
      </c>
      <c r="AF5111">
        <v>3.13314323217047</v>
      </c>
      <c r="AG5111">
        <v>-1.1038490460220001</v>
      </c>
      <c r="AH5111">
        <v>4.7611709796485204</v>
      </c>
      <c r="AI5111">
        <v>100.96086881305099</v>
      </c>
      <c r="AJ5111">
        <v>56.652625353517301</v>
      </c>
      <c r="AK5111">
        <v>5.8054989731414599</v>
      </c>
      <c r="AL5111">
        <v>89.700793016132096</v>
      </c>
      <c r="AM5111">
        <v>82.098372489642301</v>
      </c>
      <c r="AN5111">
        <v>0.99999994674263204</v>
      </c>
    </row>
    <row r="5112" spans="1:40" x14ac:dyDescent="0.25">
      <c r="A5112" t="str">
        <f>"20190312154026655"</f>
        <v>20190312154026655</v>
      </c>
      <c r="B5112" t="str">
        <f>"1552376426650934"</f>
        <v>1552376426650934</v>
      </c>
      <c r="C5112" t="s">
        <v>40</v>
      </c>
      <c r="D5112">
        <v>4.517436</v>
      </c>
      <c r="E5112">
        <v>0.67338629999999999</v>
      </c>
      <c r="F5112" t="s">
        <v>54</v>
      </c>
      <c r="G5112">
        <v>-197.53</v>
      </c>
      <c r="H5112" s="1">
        <v>4.0605149999999997E-6</v>
      </c>
      <c r="I5112">
        <v>205.86080000000001</v>
      </c>
      <c r="J5112">
        <v>-200.86789999999999</v>
      </c>
      <c r="K5112">
        <v>1.103715</v>
      </c>
      <c r="L5112">
        <v>210.89060000000001</v>
      </c>
      <c r="M5112">
        <v>0.91984160000000004</v>
      </c>
      <c r="N5112">
        <v>0</v>
      </c>
      <c r="O5112">
        <v>-0.39202150000000002</v>
      </c>
      <c r="P5112">
        <v>0.8563847</v>
      </c>
      <c r="Q5112">
        <v>-6.5972130000000002E-3</v>
      </c>
      <c r="R5112">
        <v>-0.51629670000000005</v>
      </c>
      <c r="S5112">
        <v>1.8793029999999999</v>
      </c>
      <c r="T5112">
        <v>-0.58531359999999999</v>
      </c>
      <c r="U5112">
        <v>-2.7193299999999998</v>
      </c>
      <c r="V5112">
        <v>0.13931060000000001</v>
      </c>
      <c r="W5112">
        <v>5.5468440000000004E-3</v>
      </c>
      <c r="X5112">
        <v>0.99023320000000004</v>
      </c>
      <c r="Y5112">
        <v>0.53170169999999894</v>
      </c>
      <c r="Z5112">
        <v>2.2345719999999999E-2</v>
      </c>
      <c r="AA5112">
        <v>0.84663690000000003</v>
      </c>
      <c r="AB5112">
        <v>22</v>
      </c>
      <c r="AC5112">
        <v>3.3378999999999901</v>
      </c>
      <c r="AD5112">
        <v>-1.103710939485</v>
      </c>
      <c r="AE5112">
        <v>-5.0297999999999901</v>
      </c>
      <c r="AF5112">
        <v>3.21109556715952</v>
      </c>
      <c r="AG5112">
        <v>-1.103710939485</v>
      </c>
      <c r="AH5112">
        <v>4.8795405334348603</v>
      </c>
      <c r="AI5112">
        <v>100.69982538479999</v>
      </c>
      <c r="AJ5112">
        <v>56.652151010667403</v>
      </c>
      <c r="AK5112">
        <v>5.9446806808107198</v>
      </c>
      <c r="AL5112">
        <v>89.682187619634107</v>
      </c>
      <c r="AM5112">
        <v>81.991920385840302</v>
      </c>
      <c r="AN5112">
        <v>1.00000000056648</v>
      </c>
    </row>
    <row r="5113" spans="1:40" x14ac:dyDescent="0.25">
      <c r="A5113" t="str">
        <f>"20190312154026678"</f>
        <v>20190312154026678</v>
      </c>
      <c r="B5113" t="str">
        <f>"1552376426671429"</f>
        <v>1552376426671429</v>
      </c>
      <c r="C5113" t="s">
        <v>40</v>
      </c>
      <c r="D5113">
        <v>4.508095</v>
      </c>
      <c r="E5113">
        <v>0.67223310000000003</v>
      </c>
      <c r="F5113" t="s">
        <v>54</v>
      </c>
      <c r="G5113">
        <v>-197.33269999999999</v>
      </c>
      <c r="H5113" s="1">
        <v>4.1711359999999999E-6</v>
      </c>
      <c r="I5113">
        <v>205.66390000000001</v>
      </c>
      <c r="J5113">
        <v>-200.66560000000001</v>
      </c>
      <c r="K5113">
        <v>1.1035870000000001</v>
      </c>
      <c r="L5113">
        <v>210.79089999999999</v>
      </c>
      <c r="M5113">
        <v>0.91551280000000002</v>
      </c>
      <c r="N5113">
        <v>0</v>
      </c>
      <c r="O5113">
        <v>-0.40202549999999998</v>
      </c>
      <c r="P5113">
        <v>0.84905399999999998</v>
      </c>
      <c r="Q5113">
        <v>-5.7847230000000003E-3</v>
      </c>
      <c r="R5113">
        <v>-0.52827449999999998</v>
      </c>
      <c r="S5113">
        <v>1.849823</v>
      </c>
      <c r="T5113">
        <v>-0.57752169999999903</v>
      </c>
      <c r="U5113">
        <v>-2.734909</v>
      </c>
      <c r="V5113">
        <v>0.1424368</v>
      </c>
      <c r="W5113">
        <v>6.303571E-3</v>
      </c>
      <c r="X5113">
        <v>0.98978379999999999</v>
      </c>
      <c r="Y5113">
        <v>0.53114519999999998</v>
      </c>
      <c r="Z5113">
        <v>2.4084319999999999E-2</v>
      </c>
      <c r="AA5113">
        <v>0.84693839999999998</v>
      </c>
      <c r="AB5113">
        <v>22</v>
      </c>
      <c r="AC5113">
        <v>3.33290000000002</v>
      </c>
      <c r="AD5113">
        <v>-1.1035828288639999</v>
      </c>
      <c r="AE5113">
        <v>-5.1269999999999802</v>
      </c>
      <c r="AF5113">
        <v>3.2484790144292401</v>
      </c>
      <c r="AG5113">
        <v>-1.1035828288639999</v>
      </c>
      <c r="AH5113">
        <v>4.9517650478422404</v>
      </c>
      <c r="AI5113">
        <v>100.555790084641</v>
      </c>
      <c r="AJ5113">
        <v>56.734145276495497</v>
      </c>
      <c r="AK5113">
        <v>6.02415870112854</v>
      </c>
      <c r="AL5113">
        <v>89.638829584523705</v>
      </c>
      <c r="AM5113">
        <v>81.810957975529206</v>
      </c>
      <c r="AN5113">
        <v>0.999999973872015</v>
      </c>
    </row>
    <row r="5114" spans="1:40" x14ac:dyDescent="0.25">
      <c r="A5114" t="str">
        <f>"20190312154026699"</f>
        <v>20190312154026699</v>
      </c>
      <c r="B5114" t="str">
        <f>"1552376426690949"</f>
        <v>1552376426690949</v>
      </c>
      <c r="C5114" t="s">
        <v>40</v>
      </c>
      <c r="D5114">
        <v>4.4719920000000002</v>
      </c>
      <c r="E5114">
        <v>0.67109980000000002</v>
      </c>
      <c r="F5114" t="s">
        <v>54</v>
      </c>
      <c r="G5114">
        <v>-197.19820000000001</v>
      </c>
      <c r="H5114" s="1">
        <v>4.2435390000000001E-6</v>
      </c>
      <c r="I5114">
        <v>205.54349999999999</v>
      </c>
      <c r="J5114">
        <v>-200.46860000000001</v>
      </c>
      <c r="K5114">
        <v>1.1034900000000001</v>
      </c>
      <c r="L5114">
        <v>210.69059999999999</v>
      </c>
      <c r="M5114">
        <v>0.91108069999999997</v>
      </c>
      <c r="N5114">
        <v>0</v>
      </c>
      <c r="O5114">
        <v>-0.41197010000000001</v>
      </c>
      <c r="P5114">
        <v>0.84102149999999998</v>
      </c>
      <c r="Q5114">
        <v>-4.4614720000000002E-3</v>
      </c>
      <c r="R5114">
        <v>-0.5409834</v>
      </c>
      <c r="S5114">
        <v>1.817795</v>
      </c>
      <c r="T5114">
        <v>-0.5785479</v>
      </c>
      <c r="U5114">
        <v>-2.750931</v>
      </c>
      <c r="V5114">
        <v>0.14656369999999999</v>
      </c>
      <c r="W5114">
        <v>7.5547610000000001E-3</v>
      </c>
      <c r="X5114">
        <v>0.98917239999999995</v>
      </c>
      <c r="Y5114">
        <v>0.53115109999999999</v>
      </c>
      <c r="Z5114">
        <v>2.61084E-2</v>
      </c>
      <c r="AA5114">
        <v>0.84687479999999904</v>
      </c>
      <c r="AB5114">
        <v>22</v>
      </c>
      <c r="AC5114">
        <v>3.2703999999999902</v>
      </c>
      <c r="AD5114">
        <v>-1.1034857564609999</v>
      </c>
      <c r="AE5114">
        <v>-5.1470999999999902</v>
      </c>
      <c r="AF5114">
        <v>3.23649663171267</v>
      </c>
      <c r="AG5114">
        <v>-1.1034857564609999</v>
      </c>
      <c r="AH5114">
        <v>4.9388744060929</v>
      </c>
      <c r="AI5114">
        <v>100.585195881071</v>
      </c>
      <c r="AJ5114">
        <v>56.762750640274099</v>
      </c>
      <c r="AK5114">
        <v>6.00708512183399</v>
      </c>
      <c r="AL5114">
        <v>89.567139968247901</v>
      </c>
      <c r="AM5114">
        <v>81.571917764900704</v>
      </c>
      <c r="AN5114">
        <v>1.0000000147465999</v>
      </c>
    </row>
    <row r="5115" spans="1:40" x14ac:dyDescent="0.25">
      <c r="A5115" t="str">
        <f>"20190312154026722"</f>
        <v>20190312154026722</v>
      </c>
      <c r="B5115" t="str">
        <f>"1552376426711445"</f>
        <v>1552376426711445</v>
      </c>
      <c r="C5115" t="s">
        <v>40</v>
      </c>
      <c r="D5115">
        <v>4.449325</v>
      </c>
      <c r="E5115">
        <v>0.65796739999999998</v>
      </c>
      <c r="F5115" t="s">
        <v>54</v>
      </c>
      <c r="G5115">
        <v>-197.04390000000001</v>
      </c>
      <c r="H5115" s="1">
        <v>4.3388629999999997E-6</v>
      </c>
      <c r="I5115">
        <v>205.3706</v>
      </c>
      <c r="J5115">
        <v>-200.2739</v>
      </c>
      <c r="K5115">
        <v>1.1034349999999999</v>
      </c>
      <c r="L5115">
        <v>210.58869999999999</v>
      </c>
      <c r="M5115">
        <v>0.90650730000000002</v>
      </c>
      <c r="N5115">
        <v>0</v>
      </c>
      <c r="O5115">
        <v>-0.42193740000000002</v>
      </c>
      <c r="P5115">
        <v>0.83274699999999902</v>
      </c>
      <c r="Q5115">
        <v>-4.0312050000000004E-3</v>
      </c>
      <c r="R5115">
        <v>-0.55363949999999995</v>
      </c>
      <c r="S5115">
        <v>1.7827</v>
      </c>
      <c r="T5115">
        <v>-0.57441089999999995</v>
      </c>
      <c r="U5115">
        <v>-2.7693180000000002</v>
      </c>
      <c r="V5115">
        <v>0.1506797</v>
      </c>
      <c r="W5115">
        <v>7.9181010000000003E-3</v>
      </c>
      <c r="X5115">
        <v>0.98855090000000001</v>
      </c>
      <c r="Y5115">
        <v>0.53212399999999904</v>
      </c>
      <c r="Z5115">
        <v>2.7805819999999998E-2</v>
      </c>
      <c r="AA5115">
        <v>0.84620969999999995</v>
      </c>
      <c r="AB5115">
        <v>22</v>
      </c>
      <c r="AC5115">
        <v>3.22999999999998</v>
      </c>
      <c r="AD5115">
        <v>-1.1034306611369999</v>
      </c>
      <c r="AE5115">
        <v>-5.21809999999999</v>
      </c>
      <c r="AF5115">
        <v>3.2622807887284599</v>
      </c>
      <c r="AG5115">
        <v>-1.1034306611369999</v>
      </c>
      <c r="AH5115">
        <v>4.9696145317220699</v>
      </c>
      <c r="AI5115">
        <v>100.51532082353</v>
      </c>
      <c r="AJ5115">
        <v>56.717285735198601</v>
      </c>
      <c r="AK5115">
        <v>6.0462470808218898</v>
      </c>
      <c r="AL5115">
        <v>89.5463214788996</v>
      </c>
      <c r="AM5115">
        <v>81.333407793944602</v>
      </c>
      <c r="AN5115">
        <v>0.99999997510317196</v>
      </c>
    </row>
    <row r="5116" spans="1:40" x14ac:dyDescent="0.25">
      <c r="A5116" t="str">
        <f>"20190312154026744"</f>
        <v>20190312154026744</v>
      </c>
      <c r="B5116" t="str">
        <f>"1552376426741701"</f>
        <v>1552376426741701</v>
      </c>
      <c r="C5116" t="s">
        <v>40</v>
      </c>
      <c r="D5116">
        <v>4.5108519999999999</v>
      </c>
      <c r="E5116">
        <v>0.65668549999999903</v>
      </c>
      <c r="F5116" t="s">
        <v>54</v>
      </c>
      <c r="G5116">
        <v>-196.4451</v>
      </c>
      <c r="H5116" s="1">
        <v>4.6658600000000003E-6</v>
      </c>
      <c r="I5116">
        <v>204.8211</v>
      </c>
      <c r="J5116">
        <v>-200.07730000000001</v>
      </c>
      <c r="K5116">
        <v>1.1034010000000001</v>
      </c>
      <c r="L5116">
        <v>210.48269999999999</v>
      </c>
      <c r="M5116">
        <v>0.90169469999999996</v>
      </c>
      <c r="N5116">
        <v>0</v>
      </c>
      <c r="O5116">
        <v>-0.43212499999999998</v>
      </c>
      <c r="P5116">
        <v>0.82330029999999998</v>
      </c>
      <c r="Q5116">
        <v>-3.8953350000000002E-3</v>
      </c>
      <c r="R5116">
        <v>-0.56759269999999995</v>
      </c>
      <c r="S5116">
        <v>1.798691</v>
      </c>
      <c r="T5116">
        <v>-0.51837179999999905</v>
      </c>
      <c r="U5116">
        <v>-2.7094879999999999</v>
      </c>
      <c r="V5116">
        <v>0.15619849999999999</v>
      </c>
      <c r="W5116">
        <v>7.9643530000000004E-3</v>
      </c>
      <c r="X5116">
        <v>0.98769359999999995</v>
      </c>
      <c r="Y5116">
        <v>0.51112740000000001</v>
      </c>
      <c r="Z5116">
        <v>2.9169489999999999E-2</v>
      </c>
      <c r="AA5116">
        <v>0.85900989999999999</v>
      </c>
      <c r="AB5116">
        <v>22</v>
      </c>
      <c r="AC5116">
        <v>3.6322000000000099</v>
      </c>
      <c r="AD5116">
        <v>-1.1033963341399999</v>
      </c>
      <c r="AE5116">
        <v>-5.6615999999999902</v>
      </c>
      <c r="AF5116">
        <v>3.4432010432931901</v>
      </c>
      <c r="AG5116">
        <v>-1.1033963341399999</v>
      </c>
      <c r="AH5116">
        <v>5.5723297765247803</v>
      </c>
      <c r="AI5116">
        <v>99.561687987271</v>
      </c>
      <c r="AJ5116">
        <v>58.287645928444</v>
      </c>
      <c r="AK5116">
        <v>6.6425880523387697</v>
      </c>
      <c r="AL5116">
        <v>89.543671373600006</v>
      </c>
      <c r="AM5116">
        <v>81.013400914772902</v>
      </c>
      <c r="AN5116">
        <v>1.00000002490095</v>
      </c>
    </row>
    <row r="5117" spans="1:40" x14ac:dyDescent="0.25">
      <c r="A5117" t="str">
        <f>"20190312154026768"</f>
        <v>20190312154026768</v>
      </c>
      <c r="B5117" t="str">
        <f>"1552376426761221"</f>
        <v>1552376426761221</v>
      </c>
      <c r="C5117" t="s">
        <v>40</v>
      </c>
      <c r="D5117">
        <v>4.4813369999999999</v>
      </c>
      <c r="E5117">
        <v>0.67759009999999997</v>
      </c>
      <c r="F5117" t="s">
        <v>54</v>
      </c>
      <c r="G5117">
        <v>-196.33449999999999</v>
      </c>
      <c r="H5117" s="1">
        <v>4.7427070000000003E-6</v>
      </c>
      <c r="I5117">
        <v>204.67310000000001</v>
      </c>
      <c r="J5117">
        <v>-199.87280000000001</v>
      </c>
      <c r="K5117">
        <v>1.1033790000000001</v>
      </c>
      <c r="L5117">
        <v>210.36940000000001</v>
      </c>
      <c r="M5117">
        <v>0.89648649999999996</v>
      </c>
      <c r="N5117">
        <v>0</v>
      </c>
      <c r="O5117">
        <v>-0.442828</v>
      </c>
      <c r="P5117">
        <v>0.81284509999999999</v>
      </c>
      <c r="Q5117">
        <v>-4.8073639999999997E-3</v>
      </c>
      <c r="R5117">
        <v>-0.58246030000000004</v>
      </c>
      <c r="S5117">
        <v>1.759064</v>
      </c>
      <c r="T5117">
        <v>-0.51858199999999999</v>
      </c>
      <c r="U5117">
        <v>-2.730423</v>
      </c>
      <c r="V5117">
        <v>0.16237389999999999</v>
      </c>
      <c r="W5117">
        <v>6.9534849999999997E-3</v>
      </c>
      <c r="X5117">
        <v>0.98670480000000005</v>
      </c>
      <c r="Y5117">
        <v>0.51277249999999996</v>
      </c>
      <c r="Z5117">
        <v>3.0993119999999999E-2</v>
      </c>
      <c r="AA5117">
        <v>0.85796489999999903</v>
      </c>
      <c r="AB5117">
        <v>22</v>
      </c>
      <c r="AC5117">
        <v>3.53830000000002</v>
      </c>
      <c r="AD5117">
        <v>-1.1033742572930001</v>
      </c>
      <c r="AE5117">
        <v>-5.6962999999999999</v>
      </c>
      <c r="AF5117">
        <v>3.44685958314128</v>
      </c>
      <c r="AG5117">
        <v>-1.1033742572930001</v>
      </c>
      <c r="AH5117">
        <v>5.5450084842616203</v>
      </c>
      <c r="AI5117">
        <v>99.592108375294501</v>
      </c>
      <c r="AJ5117">
        <v>58.134302409257202</v>
      </c>
      <c r="AK5117">
        <v>6.6215855222207303</v>
      </c>
      <c r="AL5117">
        <v>89.601591445318405</v>
      </c>
      <c r="AM5117">
        <v>80.655059226064196</v>
      </c>
      <c r="AN5117">
        <v>0.99999999834894704</v>
      </c>
    </row>
    <row r="5118" spans="1:40" x14ac:dyDescent="0.25">
      <c r="A5118" t="str">
        <f>"20190312154026790"</f>
        <v>20190312154026790</v>
      </c>
      <c r="B5118" t="str">
        <f>"1552376426781717"</f>
        <v>1552376426781717</v>
      </c>
      <c r="C5118" t="s">
        <v>40</v>
      </c>
      <c r="D5118">
        <v>4.49878</v>
      </c>
      <c r="E5118">
        <v>0.68047259999999998</v>
      </c>
      <c r="F5118" t="s">
        <v>54</v>
      </c>
      <c r="G5118">
        <v>-196.6591</v>
      </c>
      <c r="H5118" s="1">
        <v>4.6953190000000001E-6</v>
      </c>
      <c r="I5118">
        <v>204.5993</v>
      </c>
      <c r="J5118">
        <v>-199.67930000000001</v>
      </c>
      <c r="K5118">
        <v>1.1033679999999999</v>
      </c>
      <c r="L5118">
        <v>210.25909999999999</v>
      </c>
      <c r="M5118">
        <v>0.89136800000000005</v>
      </c>
      <c r="N5118">
        <v>0</v>
      </c>
      <c r="O5118">
        <v>-0.45304220000000001</v>
      </c>
      <c r="P5118">
        <v>0.80241909999999905</v>
      </c>
      <c r="Q5118">
        <v>-7.7628430000000002E-3</v>
      </c>
      <c r="R5118">
        <v>-0.59671079999999999</v>
      </c>
      <c r="S5118">
        <v>1.6126560000000001</v>
      </c>
      <c r="T5118">
        <v>-0.55368859999999998</v>
      </c>
      <c r="U5118">
        <v>-2.8954930000000001</v>
      </c>
      <c r="V5118">
        <v>0.16846639999999999</v>
      </c>
      <c r="W5118">
        <v>3.8984359999999999E-3</v>
      </c>
      <c r="X5118">
        <v>0.98569969999999996</v>
      </c>
      <c r="Y5118">
        <v>0.55675319999999995</v>
      </c>
      <c r="Z5118">
        <v>3.0167639999999999E-2</v>
      </c>
      <c r="AA5118">
        <v>0.83012999999999904</v>
      </c>
      <c r="AB5118">
        <v>22</v>
      </c>
      <c r="AC5118">
        <v>3.0202000000000102</v>
      </c>
      <c r="AD5118">
        <v>-1.1033633046809901</v>
      </c>
      <c r="AE5118">
        <v>-5.65979999999999</v>
      </c>
      <c r="AF5118">
        <v>3.5714362394057502</v>
      </c>
      <c r="AG5118">
        <v>-1.1033633046809901</v>
      </c>
      <c r="AH5118">
        <v>5.1057706883410097</v>
      </c>
      <c r="AI5118">
        <v>100.041806693735</v>
      </c>
      <c r="AJ5118">
        <v>55.027590528543499</v>
      </c>
      <c r="AK5118">
        <v>6.3278323078428302</v>
      </c>
      <c r="AL5118">
        <v>89.776635507435998</v>
      </c>
      <c r="AM5118">
        <v>80.301261432621203</v>
      </c>
      <c r="AN5118">
        <v>1.0000000121561401</v>
      </c>
    </row>
    <row r="5119" spans="1:40" x14ac:dyDescent="0.25">
      <c r="A5119" t="str">
        <f>"20190312154026812"</f>
        <v>20190312154026812</v>
      </c>
      <c r="B5119" t="str">
        <f>"1552376426801237"</f>
        <v>1552376426801237</v>
      </c>
      <c r="C5119" t="s">
        <v>40</v>
      </c>
      <c r="D5119">
        <v>4.4897609999999997</v>
      </c>
      <c r="E5119">
        <v>0.6844015</v>
      </c>
      <c r="F5119" t="s">
        <v>54</v>
      </c>
      <c r="G5119">
        <v>-196.69200000000001</v>
      </c>
      <c r="H5119" s="1">
        <v>4.6939190000000004E-6</v>
      </c>
      <c r="I5119">
        <v>204.5771</v>
      </c>
      <c r="J5119">
        <v>-199.4864</v>
      </c>
      <c r="K5119">
        <v>1.103353</v>
      </c>
      <c r="L5119">
        <v>210.14609999999999</v>
      </c>
      <c r="M5119">
        <v>0.88607569999999902</v>
      </c>
      <c r="N5119">
        <v>0</v>
      </c>
      <c r="O5119">
        <v>-0.46330719999999997</v>
      </c>
      <c r="P5119">
        <v>0.79246740000000004</v>
      </c>
      <c r="Q5119">
        <v>-9.9976470000000001E-3</v>
      </c>
      <c r="R5119">
        <v>-0.60983259999999995</v>
      </c>
      <c r="S5119">
        <v>1.5461579999999999</v>
      </c>
      <c r="T5119">
        <v>-0.57108059999999905</v>
      </c>
      <c r="U5119">
        <v>-2.940903</v>
      </c>
      <c r="V5119">
        <v>0.173271799999999</v>
      </c>
      <c r="W5119">
        <v>1.5857849999999999E-3</v>
      </c>
      <c r="X5119">
        <v>0.98487279999999999</v>
      </c>
      <c r="Y5119">
        <v>0.56703970000000004</v>
      </c>
      <c r="Z5119">
        <v>3.2018430000000001E-2</v>
      </c>
      <c r="AA5119">
        <v>0.82306800000000002</v>
      </c>
      <c r="AB5119">
        <v>22</v>
      </c>
      <c r="AC5119">
        <v>2.7943999999999898</v>
      </c>
      <c r="AD5119">
        <v>-1.1033483060809901</v>
      </c>
      <c r="AE5119">
        <v>-5.5689999999999804</v>
      </c>
      <c r="AF5119">
        <v>3.5296038077943299</v>
      </c>
      <c r="AG5119">
        <v>-1.1033483060809901</v>
      </c>
      <c r="AH5119">
        <v>4.9030081657506397</v>
      </c>
      <c r="AI5119">
        <v>100.350061361062</v>
      </c>
      <c r="AJ5119">
        <v>54.250438770605001</v>
      </c>
      <c r="AK5119">
        <v>6.1412514683853701</v>
      </c>
      <c r="AL5119">
        <v>89.909141177091996</v>
      </c>
      <c r="AM5119">
        <v>80.021884433112604</v>
      </c>
      <c r="AN5119">
        <v>1.0000000317845701</v>
      </c>
    </row>
    <row r="5120" spans="1:40" x14ac:dyDescent="0.25">
      <c r="A5120" t="str">
        <f>"20190312154026834"</f>
        <v>20190312154026834</v>
      </c>
      <c r="B5120" t="str">
        <f>"1552376426831493"</f>
        <v>1552376426831493</v>
      </c>
      <c r="C5120" t="s">
        <v>40</v>
      </c>
      <c r="D5120">
        <v>4.5346330000000004</v>
      </c>
      <c r="E5120">
        <v>0.68415340000000002</v>
      </c>
      <c r="F5120" t="s">
        <v>54</v>
      </c>
      <c r="G5120">
        <v>-196.86850000000001</v>
      </c>
      <c r="H5120" s="1">
        <v>4.5647410000000002E-6</v>
      </c>
      <c r="I5120">
        <v>204.8416</v>
      </c>
      <c r="J5120">
        <v>-199.30250000000001</v>
      </c>
      <c r="K5120">
        <v>1.10334</v>
      </c>
      <c r="L5120">
        <v>210.03550000000001</v>
      </c>
      <c r="M5120">
        <v>0.88084269999999998</v>
      </c>
      <c r="N5120">
        <v>0</v>
      </c>
      <c r="O5120">
        <v>-0.47317940000000003</v>
      </c>
      <c r="P5120">
        <v>0.78249460000000004</v>
      </c>
      <c r="Q5120">
        <v>-8.2295489999999992E-3</v>
      </c>
      <c r="R5120">
        <v>-0.62260289999999996</v>
      </c>
      <c r="S5120">
        <v>1.476089</v>
      </c>
      <c r="T5120">
        <v>-0.62213619999999903</v>
      </c>
      <c r="U5120">
        <v>-2.9910130000000001</v>
      </c>
      <c r="V5120">
        <v>0.17825469999999999</v>
      </c>
      <c r="W5120">
        <v>3.2652010000000001E-3</v>
      </c>
      <c r="X5120">
        <v>0.98397900000000005</v>
      </c>
      <c r="Y5120">
        <v>0.57848980000000005</v>
      </c>
      <c r="Z5120">
        <v>3.5569940000000001E-2</v>
      </c>
      <c r="AA5120">
        <v>0.81491369999999996</v>
      </c>
      <c r="AB5120">
        <v>22</v>
      </c>
      <c r="AC5120">
        <v>2.4339999999999899</v>
      </c>
      <c r="AD5120">
        <v>-1.1033354352589999</v>
      </c>
      <c r="AE5120">
        <v>-5.19390000000001</v>
      </c>
      <c r="AF5120">
        <v>3.3015053178016598</v>
      </c>
      <c r="AG5120">
        <v>-1.1033354352589999</v>
      </c>
      <c r="AH5120">
        <v>4.4379132266753398</v>
      </c>
      <c r="AI5120">
        <v>101.280848899567</v>
      </c>
      <c r="AJ5120">
        <v>53.353263379213203</v>
      </c>
      <c r="AK5120">
        <v>5.6402446980313501</v>
      </c>
      <c r="AL5120">
        <v>89.812917437745497</v>
      </c>
      <c r="AM5120">
        <v>79.731827549202293</v>
      </c>
      <c r="AN5120">
        <v>1.0000000360253201</v>
      </c>
    </row>
    <row r="5121" spans="1:40" x14ac:dyDescent="0.25">
      <c r="A5121" t="str">
        <f>"20190312154026856"</f>
        <v>20190312154026856</v>
      </c>
      <c r="B5121" t="str">
        <f>"1552376426851017"</f>
        <v>1552376426851017</v>
      </c>
      <c r="C5121" t="s">
        <v>40</v>
      </c>
      <c r="D5121">
        <v>4.5227060000000003</v>
      </c>
      <c r="E5121">
        <v>0.68285069999999903</v>
      </c>
      <c r="F5121" t="s">
        <v>54</v>
      </c>
      <c r="G5121">
        <v>-196.6276</v>
      </c>
      <c r="H5121" s="1">
        <v>4.7564099999999997E-6</v>
      </c>
      <c r="I5121">
        <v>204.39500000000001</v>
      </c>
      <c r="J5121">
        <v>-199.10900000000001</v>
      </c>
      <c r="K5121">
        <v>1.103305</v>
      </c>
      <c r="L5121">
        <v>209.916</v>
      </c>
      <c r="M5121">
        <v>0.87511890000000003</v>
      </c>
      <c r="N5121">
        <v>0</v>
      </c>
      <c r="O5121">
        <v>-0.48368299999999997</v>
      </c>
      <c r="P5121">
        <v>0.7717794</v>
      </c>
      <c r="Q5121">
        <v>-4.9211350000000001E-3</v>
      </c>
      <c r="R5121">
        <v>-0.63587130000000003</v>
      </c>
      <c r="S5121">
        <v>1.4293979999999999</v>
      </c>
      <c r="T5121">
        <v>-0.58959790000000001</v>
      </c>
      <c r="U5121">
        <v>-3.0141909999999998</v>
      </c>
      <c r="V5121">
        <v>0.18332300000000001</v>
      </c>
      <c r="W5121">
        <v>6.4752289999999999E-3</v>
      </c>
      <c r="X5121">
        <v>0.9830314</v>
      </c>
      <c r="Y5121">
        <v>0.581746599999999</v>
      </c>
      <c r="Z5121">
        <v>3.555556E-2</v>
      </c>
      <c r="AA5121">
        <v>0.8125926</v>
      </c>
      <c r="AB5121">
        <v>22</v>
      </c>
      <c r="AC5121">
        <v>2.4813999999999998</v>
      </c>
      <c r="AD5121">
        <v>-1.1033002435899999</v>
      </c>
      <c r="AE5121">
        <v>-5.5209999999999804</v>
      </c>
      <c r="AF5121">
        <v>3.5149369574380702</v>
      </c>
      <c r="AG5121">
        <v>-1.1033002435899999</v>
      </c>
      <c r="AH5121">
        <v>4.6867503368188501</v>
      </c>
      <c r="AI5121">
        <v>100.665540069486</v>
      </c>
      <c r="AJ5121">
        <v>53.131086592702502</v>
      </c>
      <c r="AK5121">
        <v>5.9613490052119396</v>
      </c>
      <c r="AL5121">
        <v>89.628994111351403</v>
      </c>
      <c r="AM5121">
        <v>79.436400586223598</v>
      </c>
      <c r="AN5121">
        <v>0.99999999215278101</v>
      </c>
    </row>
    <row r="5122" spans="1:40" x14ac:dyDescent="0.25">
      <c r="A5122" t="str">
        <f>"20190312154026879"</f>
        <v>20190312154026879</v>
      </c>
      <c r="B5122" t="str">
        <f>"1552376426871509"</f>
        <v>1552376426871509</v>
      </c>
      <c r="C5122" t="s">
        <v>40</v>
      </c>
      <c r="D5122">
        <v>4.545566</v>
      </c>
      <c r="E5122">
        <v>0.68152429999999997</v>
      </c>
      <c r="F5122" t="s">
        <v>54</v>
      </c>
      <c r="G5122">
        <v>-196.5027</v>
      </c>
      <c r="H5122" s="1">
        <v>4.8311100000000001E-6</v>
      </c>
      <c r="I5122">
        <v>204.2175</v>
      </c>
      <c r="J5122">
        <v>-198.923</v>
      </c>
      <c r="K5122">
        <v>1.103237</v>
      </c>
      <c r="L5122">
        <v>209.79759999999999</v>
      </c>
      <c r="M5122">
        <v>0.86937149999999996</v>
      </c>
      <c r="N5122">
        <v>0</v>
      </c>
      <c r="O5122">
        <v>-0.49393809999999999</v>
      </c>
      <c r="P5122">
        <v>0.76173519999999995</v>
      </c>
      <c r="Q5122">
        <v>-3.236381E-3</v>
      </c>
      <c r="R5122">
        <v>-0.64788059999999903</v>
      </c>
      <c r="S5122">
        <v>1.3862460000000001</v>
      </c>
      <c r="T5122">
        <v>-0.58681660000000002</v>
      </c>
      <c r="U5122">
        <v>-3.030869</v>
      </c>
      <c r="V5122">
        <v>0.1871854</v>
      </c>
      <c r="W5122">
        <v>8.0749759999999993E-3</v>
      </c>
      <c r="X5122">
        <v>0.98229140000000004</v>
      </c>
      <c r="Y5122">
        <v>0.58353440000000001</v>
      </c>
      <c r="Z5122">
        <v>3.7346579999999997E-2</v>
      </c>
      <c r="AA5122">
        <v>0.81122919999999998</v>
      </c>
      <c r="AB5122">
        <v>22</v>
      </c>
      <c r="AC5122">
        <v>2.4202999999999899</v>
      </c>
      <c r="AD5122">
        <v>-1.10323216889</v>
      </c>
      <c r="AE5122">
        <v>-5.5800999999999803</v>
      </c>
      <c r="AF5122">
        <v>3.5396487776542198</v>
      </c>
      <c r="AG5122">
        <v>-1.10323216889</v>
      </c>
      <c r="AH5122">
        <v>4.7060682579596902</v>
      </c>
      <c r="AI5122">
        <v>100.611293359847</v>
      </c>
      <c r="AJ5122">
        <v>53.051503803234503</v>
      </c>
      <c r="AK5122">
        <v>5.9911028313824204</v>
      </c>
      <c r="AL5122">
        <v>89.537332921306401</v>
      </c>
      <c r="AM5122">
        <v>79.211071160302296</v>
      </c>
      <c r="AN5122">
        <v>0.99999998686225999</v>
      </c>
    </row>
    <row r="5123" spans="1:40" x14ac:dyDescent="0.25">
      <c r="A5123" t="str">
        <f>"20190312154026900"</f>
        <v>20190312154026900</v>
      </c>
      <c r="B5123" t="str">
        <f>"1552376426891030"</f>
        <v>1552376426891030</v>
      </c>
      <c r="C5123" t="s">
        <v>40</v>
      </c>
      <c r="D5123">
        <v>4.575793</v>
      </c>
      <c r="E5123">
        <v>0.67972060000000001</v>
      </c>
      <c r="F5123" t="s">
        <v>54</v>
      </c>
      <c r="G5123">
        <v>-196.36019999999999</v>
      </c>
      <c r="H5123" s="1">
        <v>4.9206979999999997E-6</v>
      </c>
      <c r="I5123">
        <v>203.99850000000001</v>
      </c>
      <c r="J5123">
        <v>-198.74199999999999</v>
      </c>
      <c r="K5123">
        <v>1.103154</v>
      </c>
      <c r="L5123">
        <v>209.67910000000001</v>
      </c>
      <c r="M5123">
        <v>0.86352499999999999</v>
      </c>
      <c r="N5123">
        <v>0</v>
      </c>
      <c r="O5123">
        <v>-0.50408850000000005</v>
      </c>
      <c r="P5123">
        <v>0.75189890000000004</v>
      </c>
      <c r="Q5123">
        <v>-2.9555179999999999E-3</v>
      </c>
      <c r="R5123">
        <v>-0.65927199999999997</v>
      </c>
      <c r="S5123">
        <v>1.345825</v>
      </c>
      <c r="T5123">
        <v>-0.57933519999999905</v>
      </c>
      <c r="U5123">
        <v>-3.045258</v>
      </c>
      <c r="V5123">
        <v>0.19046759999999999</v>
      </c>
      <c r="W5123">
        <v>8.2761919999999999E-3</v>
      </c>
      <c r="X5123">
        <v>0.98165860000000005</v>
      </c>
      <c r="Y5123">
        <v>0.58456839999999999</v>
      </c>
      <c r="Z5123">
        <v>3.8882939999999998E-2</v>
      </c>
      <c r="AA5123">
        <v>0.81041219999999903</v>
      </c>
      <c r="AB5123">
        <v>22</v>
      </c>
      <c r="AC5123">
        <v>2.3818000000000201</v>
      </c>
      <c r="AD5123">
        <v>-1.103149079302</v>
      </c>
      <c r="AE5123">
        <v>-5.6805999999999903</v>
      </c>
      <c r="AF5123">
        <v>3.58996583404998</v>
      </c>
      <c r="AG5123">
        <v>-1.103149079302</v>
      </c>
      <c r="AH5123">
        <v>4.76788603412417</v>
      </c>
      <c r="AI5123">
        <v>100.472063455846</v>
      </c>
      <c r="AJ5123">
        <v>53.022188034335102</v>
      </c>
      <c r="AK5123">
        <v>6.06939287039547</v>
      </c>
      <c r="AL5123">
        <v>89.525803716605097</v>
      </c>
      <c r="AM5123">
        <v>79.019545265198005</v>
      </c>
      <c r="AN5123">
        <v>1.0000000044788699</v>
      </c>
    </row>
    <row r="5124" spans="1:40" x14ac:dyDescent="0.25">
      <c r="A5124" t="str">
        <f>"20190312154026923"</f>
        <v>20190312154026923</v>
      </c>
      <c r="B5124" t="str">
        <f>"1552376426911526"</f>
        <v>1552376426911526</v>
      </c>
      <c r="C5124" t="s">
        <v>40</v>
      </c>
      <c r="D5124">
        <v>4.5343669999999996</v>
      </c>
      <c r="E5124">
        <v>0.67793239999999999</v>
      </c>
      <c r="F5124" t="s">
        <v>54</v>
      </c>
      <c r="G5124">
        <v>-196.23259999999999</v>
      </c>
      <c r="H5124" s="1">
        <v>4.9953640000000003E-6</v>
      </c>
      <c r="I5124">
        <v>203.82329999999999</v>
      </c>
      <c r="J5124">
        <v>-198.55930000000001</v>
      </c>
      <c r="K5124">
        <v>1.103064</v>
      </c>
      <c r="L5124">
        <v>209.55619999999999</v>
      </c>
      <c r="M5124">
        <v>0.85736919999999905</v>
      </c>
      <c r="N5124">
        <v>0</v>
      </c>
      <c r="O5124">
        <v>-0.51448779999999905</v>
      </c>
      <c r="P5124">
        <v>0.74269989999999997</v>
      </c>
      <c r="Q5124">
        <v>-1.843807E-3</v>
      </c>
      <c r="R5124">
        <v>-0.66962200000000005</v>
      </c>
      <c r="S5124">
        <v>1.309097</v>
      </c>
      <c r="T5124">
        <v>-0.57550140000000005</v>
      </c>
      <c r="U5124">
        <v>-3.0548860000000002</v>
      </c>
      <c r="V5124">
        <v>0.19221849999999999</v>
      </c>
      <c r="W5124">
        <v>9.3395000000000006E-3</v>
      </c>
      <c r="X5124">
        <v>0.9813077</v>
      </c>
      <c r="Y5124">
        <v>0.58403130000000003</v>
      </c>
      <c r="Z5124">
        <v>4.0871579999999998E-2</v>
      </c>
      <c r="AA5124">
        <v>0.81070149999999996</v>
      </c>
      <c r="AB5124">
        <v>22</v>
      </c>
      <c r="AC5124">
        <v>2.32670000000001</v>
      </c>
      <c r="AD5124">
        <v>-1.103059004636</v>
      </c>
      <c r="AE5124">
        <v>-5.7328999999999999</v>
      </c>
      <c r="AF5124">
        <v>3.6040076177667699</v>
      </c>
      <c r="AG5124">
        <v>-1.103059004636</v>
      </c>
      <c r="AH5124">
        <v>4.7925589304222296</v>
      </c>
      <c r="AI5124">
        <v>100.4231374268</v>
      </c>
      <c r="AJ5124">
        <v>53.056808917065098</v>
      </c>
      <c r="AK5124">
        <v>6.0970674244426197</v>
      </c>
      <c r="AL5124">
        <v>89.464878282271499</v>
      </c>
      <c r="AM5124">
        <v>78.917228689615001</v>
      </c>
      <c r="AN5124">
        <v>0.99999999004089501</v>
      </c>
    </row>
    <row r="5125" spans="1:40" x14ac:dyDescent="0.25">
      <c r="A5125" t="str">
        <f>"20190312154026946"</f>
        <v>20190312154026946</v>
      </c>
      <c r="B5125" t="str">
        <f>"1552376426940806"</f>
        <v>1552376426940806</v>
      </c>
      <c r="C5125" t="s">
        <v>40</v>
      </c>
      <c r="D5125">
        <v>4.5864589999999996</v>
      </c>
      <c r="E5125">
        <v>0.67551680000000003</v>
      </c>
      <c r="F5125" t="s">
        <v>54</v>
      </c>
      <c r="G5125">
        <v>-196.14529999999999</v>
      </c>
      <c r="H5125" s="1">
        <v>5.0292129999999998E-6</v>
      </c>
      <c r="I5125">
        <v>203.76859999999999</v>
      </c>
      <c r="J5125">
        <v>-198.3732</v>
      </c>
      <c r="K5125">
        <v>1.1029869999999999</v>
      </c>
      <c r="L5125">
        <v>209.4273</v>
      </c>
      <c r="M5125">
        <v>0.85080239999999996</v>
      </c>
      <c r="N5125">
        <v>0</v>
      </c>
      <c r="O5125">
        <v>-0.52527519999999905</v>
      </c>
      <c r="P5125">
        <v>0.73120810000000003</v>
      </c>
      <c r="Q5125">
        <v>9.2579900000000004E-4</v>
      </c>
      <c r="R5125">
        <v>-0.68215369999999997</v>
      </c>
      <c r="S5125">
        <v>1.277161</v>
      </c>
      <c r="T5125">
        <v>-0.58359050000000001</v>
      </c>
      <c r="U5125">
        <v>-3.0619960000000002</v>
      </c>
      <c r="V5125">
        <v>0.1965597</v>
      </c>
      <c r="W5125">
        <v>1.200582E-2</v>
      </c>
      <c r="X5125">
        <v>0.98041829999999996</v>
      </c>
      <c r="Y5125">
        <v>0.58172740000000001</v>
      </c>
      <c r="Z5125">
        <v>4.39832E-2</v>
      </c>
      <c r="AA5125">
        <v>0.81219379999999997</v>
      </c>
      <c r="AB5125">
        <v>22</v>
      </c>
      <c r="AC5125">
        <v>2.2279</v>
      </c>
      <c r="AD5125">
        <v>-1.1029819707870001</v>
      </c>
      <c r="AE5125">
        <v>-5.6586999999999996</v>
      </c>
      <c r="AF5125">
        <v>3.5285109289029299</v>
      </c>
      <c r="AG5125">
        <v>-1.1029819707870001</v>
      </c>
      <c r="AH5125">
        <v>4.7133738406379297</v>
      </c>
      <c r="AI5125">
        <v>100.610423279716</v>
      </c>
      <c r="AJ5125">
        <v>53.180856334269698</v>
      </c>
      <c r="AK5125">
        <v>5.9902296754697604</v>
      </c>
      <c r="AL5125">
        <v>89.312100623165705</v>
      </c>
      <c r="AM5125">
        <v>78.6633201767023</v>
      </c>
      <c r="AN5125">
        <v>0.99999994917642399</v>
      </c>
    </row>
    <row r="5126" spans="1:40" x14ac:dyDescent="0.25">
      <c r="A5126" t="str">
        <f>"20190312154026969"</f>
        <v>20190312154026969</v>
      </c>
      <c r="B5126" t="str">
        <f>"1552376426961659"</f>
        <v>1552376426961659</v>
      </c>
      <c r="C5126" t="s">
        <v>40</v>
      </c>
      <c r="D5126">
        <v>4.5770629999999999</v>
      </c>
      <c r="E5126">
        <v>0.67415800000000004</v>
      </c>
      <c r="F5126" t="s">
        <v>54</v>
      </c>
      <c r="G5126">
        <v>-195.9615</v>
      </c>
      <c r="H5126" s="1">
        <v>5.1524279999999999E-6</v>
      </c>
      <c r="I5126">
        <v>203.4572</v>
      </c>
      <c r="J5126">
        <v>-198.18790000000001</v>
      </c>
      <c r="K5126">
        <v>1.1029059999999999</v>
      </c>
      <c r="L5126">
        <v>209.2953</v>
      </c>
      <c r="M5126">
        <v>0.84394290000000005</v>
      </c>
      <c r="N5126">
        <v>0</v>
      </c>
      <c r="O5126">
        <v>-0.53622590000000003</v>
      </c>
      <c r="P5126">
        <v>0.72013879999999997</v>
      </c>
      <c r="Q5126">
        <v>4.3966259999999998E-3</v>
      </c>
      <c r="R5126">
        <v>-0.69381590000000004</v>
      </c>
      <c r="S5126">
        <v>1.23996</v>
      </c>
      <c r="T5126">
        <v>-0.56709370000000003</v>
      </c>
      <c r="U5126">
        <v>-3.0694889999999999</v>
      </c>
      <c r="V5126">
        <v>0.19971739999999999</v>
      </c>
      <c r="W5126">
        <v>1.539391E-2</v>
      </c>
      <c r="X5126">
        <v>0.97973259999999995</v>
      </c>
      <c r="Y5126">
        <v>0.58053549999999998</v>
      </c>
      <c r="Z5126">
        <v>4.5196E-2</v>
      </c>
      <c r="AA5126">
        <v>0.81297959999999903</v>
      </c>
      <c r="AB5126">
        <v>22</v>
      </c>
      <c r="AC5126">
        <v>2.2264000000000101</v>
      </c>
      <c r="AD5126">
        <v>-1.1029008475719999</v>
      </c>
      <c r="AE5126">
        <v>-5.8380999999999901</v>
      </c>
      <c r="AF5126">
        <v>3.62077092960826</v>
      </c>
      <c r="AG5126">
        <v>-1.1029008475719999</v>
      </c>
      <c r="AH5126">
        <v>4.8586683589659998</v>
      </c>
      <c r="AI5126">
        <v>100.31571147659299</v>
      </c>
      <c r="AJ5126">
        <v>53.305828907738103</v>
      </c>
      <c r="AK5126">
        <v>6.1589796741577896</v>
      </c>
      <c r="AL5126">
        <v>89.117959078992399</v>
      </c>
      <c r="AM5126">
        <v>78.478182076897596</v>
      </c>
      <c r="AN5126">
        <v>0.99999998991530303</v>
      </c>
    </row>
    <row r="5127" spans="1:40" x14ac:dyDescent="0.25">
      <c r="A5127" t="str">
        <f>"20190312154026991"</f>
        <v>20190312154026991</v>
      </c>
      <c r="B5127" t="str">
        <f>"1552376426981179"</f>
        <v>1552376426981179</v>
      </c>
      <c r="C5127" t="s">
        <v>40</v>
      </c>
      <c r="D5127">
        <v>4.7599549999999997</v>
      </c>
      <c r="E5127">
        <v>0.67455120000000002</v>
      </c>
      <c r="F5127" t="s">
        <v>54</v>
      </c>
      <c r="G5127">
        <v>-195.77770000000001</v>
      </c>
      <c r="H5127" s="1">
        <v>5.2904199999999897E-6</v>
      </c>
      <c r="I5127">
        <v>203.09</v>
      </c>
      <c r="J5127">
        <v>-198.01179999999999</v>
      </c>
      <c r="K5127">
        <v>1.1028150000000001</v>
      </c>
      <c r="L5127">
        <v>209.1662</v>
      </c>
      <c r="M5127">
        <v>0.83708939999999998</v>
      </c>
      <c r="N5127">
        <v>0</v>
      </c>
      <c r="O5127">
        <v>-0.54686210000000002</v>
      </c>
      <c r="P5127">
        <v>0.71014049999999995</v>
      </c>
      <c r="Q5127">
        <v>7.38208099999999E-3</v>
      </c>
      <c r="R5127">
        <v>-0.70402169999999997</v>
      </c>
      <c r="S5127">
        <v>1.1978759999999999</v>
      </c>
      <c r="T5127">
        <v>-0.54814430000000003</v>
      </c>
      <c r="U5127">
        <v>-3.0840610000000002</v>
      </c>
      <c r="V5127">
        <v>0.201373</v>
      </c>
      <c r="W5127">
        <v>1.8326039999999998E-2</v>
      </c>
      <c r="X5127">
        <v>0.97934319999999997</v>
      </c>
      <c r="Y5127">
        <v>0.581323699999999</v>
      </c>
      <c r="Z5127">
        <v>4.5765750000000001E-2</v>
      </c>
      <c r="AA5127">
        <v>0.81238429999999995</v>
      </c>
      <c r="AB5127">
        <v>22</v>
      </c>
      <c r="AC5127">
        <v>2.2340999999999802</v>
      </c>
      <c r="AD5127">
        <v>-1.10280970957999</v>
      </c>
      <c r="AE5127">
        <v>-6.0762</v>
      </c>
      <c r="AF5127">
        <v>3.75601686098494</v>
      </c>
      <c r="AG5127">
        <v>-1.10280970957999</v>
      </c>
      <c r="AH5127">
        <v>5.0471070702583596</v>
      </c>
      <c r="AI5127">
        <v>99.942373928390197</v>
      </c>
      <c r="AJ5127">
        <v>53.343670913007401</v>
      </c>
      <c r="AK5127">
        <v>6.3872640225842403</v>
      </c>
      <c r="AL5127">
        <v>88.949936487945394</v>
      </c>
      <c r="AM5127">
        <v>78.380761888839601</v>
      </c>
      <c r="AN5127">
        <v>1.00000001612866</v>
      </c>
    </row>
    <row r="5128" spans="1:40" x14ac:dyDescent="0.25">
      <c r="A5128" t="str">
        <f>"20190312154027014"</f>
        <v>20190312154027014</v>
      </c>
      <c r="B5128" t="str">
        <f>"1552376427011436"</f>
        <v>1552376427011436</v>
      </c>
      <c r="C5128" t="s">
        <v>40</v>
      </c>
      <c r="D5128">
        <v>4.7482620000000004</v>
      </c>
      <c r="E5128">
        <v>0.69629929999999995</v>
      </c>
      <c r="F5128" t="s">
        <v>54</v>
      </c>
      <c r="G5128">
        <v>-195.6123</v>
      </c>
      <c r="H5128" s="1">
        <v>5.4333649999999996E-6</v>
      </c>
      <c r="I5128">
        <v>202.68870000000001</v>
      </c>
      <c r="J5128">
        <v>-197.8398</v>
      </c>
      <c r="K5128">
        <v>1.1026959999999999</v>
      </c>
      <c r="L5128">
        <v>209.03630000000001</v>
      </c>
      <c r="M5128">
        <v>0.83004990000000001</v>
      </c>
      <c r="N5128">
        <v>0</v>
      </c>
      <c r="O5128">
        <v>-0.55748779999999998</v>
      </c>
      <c r="P5128">
        <v>0.70083580000000001</v>
      </c>
      <c r="Q5128">
        <v>7.8369069999999902E-3</v>
      </c>
      <c r="R5128">
        <v>-0.71327980000000002</v>
      </c>
      <c r="S5128">
        <v>1.150665</v>
      </c>
      <c r="T5128">
        <v>-0.52882779999999996</v>
      </c>
      <c r="U5128">
        <v>-3.1061100000000001</v>
      </c>
      <c r="V5128">
        <v>0.2017582</v>
      </c>
      <c r="W5128">
        <v>1.8751299999999999E-2</v>
      </c>
      <c r="X5128">
        <v>0.97925589999999996</v>
      </c>
      <c r="Y5128">
        <v>0.58383660000000004</v>
      </c>
      <c r="Z5128">
        <v>4.5939489999999999E-2</v>
      </c>
      <c r="AA5128">
        <v>0.81057040000000002</v>
      </c>
      <c r="AB5128">
        <v>21</v>
      </c>
      <c r="AC5128">
        <v>2.2274999999999898</v>
      </c>
      <c r="AD5128">
        <v>-1.102690566635</v>
      </c>
      <c r="AE5128">
        <v>-6.3475999999999999</v>
      </c>
      <c r="AF5128">
        <v>3.9220899511864298</v>
      </c>
      <c r="AG5128">
        <v>-1.102690566635</v>
      </c>
      <c r="AH5128">
        <v>5.2472616441428599</v>
      </c>
      <c r="AI5128">
        <v>99.554586358421105</v>
      </c>
      <c r="AJ5128">
        <v>53.223553798238399</v>
      </c>
      <c r="AK5128">
        <v>6.6432274410136101</v>
      </c>
      <c r="AL5128">
        <v>88.925566733372506</v>
      </c>
      <c r="AM5128">
        <v>78.358132427645302</v>
      </c>
      <c r="AN5128">
        <v>1.00000005010186</v>
      </c>
    </row>
    <row r="5129" spans="1:40" x14ac:dyDescent="0.25">
      <c r="A5129" t="str">
        <f>"20190312154027035"</f>
        <v>20190312154027035</v>
      </c>
      <c r="B5129" t="str">
        <f>"1552376427030955"</f>
        <v>1552376427030955</v>
      </c>
      <c r="C5129" t="s">
        <v>40</v>
      </c>
      <c r="D5129">
        <v>4.7116259999999999</v>
      </c>
      <c r="E5129">
        <v>0.69603090000000001</v>
      </c>
      <c r="F5129" t="s">
        <v>54</v>
      </c>
      <c r="G5129">
        <v>-196.5283</v>
      </c>
      <c r="H5129" s="1">
        <v>4.6879910000000002E-6</v>
      </c>
      <c r="I5129">
        <v>204.7064</v>
      </c>
      <c r="J5129">
        <v>-197.6687</v>
      </c>
      <c r="K5129">
        <v>1.102544</v>
      </c>
      <c r="L5129">
        <v>208.9034</v>
      </c>
      <c r="M5129">
        <v>0.82268529999999995</v>
      </c>
      <c r="N5129">
        <v>0</v>
      </c>
      <c r="O5129">
        <v>-0.56829839999999998</v>
      </c>
      <c r="P5129">
        <v>0.69046619999999903</v>
      </c>
      <c r="Q5129">
        <v>7.3002419999999898E-3</v>
      </c>
      <c r="R5129">
        <v>-0.72332819999999998</v>
      </c>
      <c r="S5129">
        <v>0.98387150000000001</v>
      </c>
      <c r="T5129">
        <v>-0.82722689999999999</v>
      </c>
      <c r="U5129">
        <v>-3.2482760000000002</v>
      </c>
      <c r="V5129">
        <v>0.20308580000000001</v>
      </c>
      <c r="W5129">
        <v>1.816013E-2</v>
      </c>
      <c r="X5129">
        <v>0.97899250000000004</v>
      </c>
      <c r="Y5129">
        <v>0.61987680000000001</v>
      </c>
      <c r="Z5129">
        <v>6.762435E-2</v>
      </c>
      <c r="AA5129">
        <v>0.78177980000000002</v>
      </c>
      <c r="AB5129">
        <v>21</v>
      </c>
      <c r="AC5129">
        <v>1.1403999999999901</v>
      </c>
      <c r="AD5129">
        <v>-1.1025393120089999</v>
      </c>
      <c r="AE5129">
        <v>-4.1970000000000001</v>
      </c>
      <c r="AF5129">
        <v>2.6356588600662101</v>
      </c>
      <c r="AG5129">
        <v>-1.1025393120089999</v>
      </c>
      <c r="AH5129">
        <v>3.1230135744919099</v>
      </c>
      <c r="AI5129">
        <v>105.09872995553999</v>
      </c>
      <c r="AJ5129">
        <v>49.8373977647544</v>
      </c>
      <c r="AK5129">
        <v>4.2326710653713198</v>
      </c>
      <c r="AL5129">
        <v>88.959443968732302</v>
      </c>
      <c r="AM5129">
        <v>78.2805731466743</v>
      </c>
      <c r="AN5129">
        <v>0.99999997376975303</v>
      </c>
    </row>
    <row r="5130" spans="1:40" x14ac:dyDescent="0.25">
      <c r="A5130" t="str">
        <f>"20190312154027059"</f>
        <v>20190312154027059</v>
      </c>
      <c r="B5130" t="str">
        <f>"1552376427051451"</f>
        <v>1552376427051451</v>
      </c>
      <c r="C5130" t="s">
        <v>40</v>
      </c>
      <c r="D5130">
        <v>4.7427840000000003</v>
      </c>
      <c r="E5130">
        <v>0.69450889999999998</v>
      </c>
      <c r="F5130" t="s">
        <v>54</v>
      </c>
      <c r="G5130">
        <v>-196.48330000000001</v>
      </c>
      <c r="H5130" s="1">
        <v>4.6723790000000004E-6</v>
      </c>
      <c r="I5130">
        <v>204.77879999999999</v>
      </c>
      <c r="J5130">
        <v>-197.48949999999999</v>
      </c>
      <c r="K5130">
        <v>1.102373</v>
      </c>
      <c r="L5130">
        <v>208.75960000000001</v>
      </c>
      <c r="M5130">
        <v>0.81453390000000003</v>
      </c>
      <c r="N5130">
        <v>0</v>
      </c>
      <c r="O5130">
        <v>-0.57991959999999998</v>
      </c>
      <c r="P5130">
        <v>0.67858079999999998</v>
      </c>
      <c r="Q5130">
        <v>7.8961810000000004E-3</v>
      </c>
      <c r="R5130">
        <v>-0.73448340000000001</v>
      </c>
      <c r="S5130">
        <v>0.93737789999999999</v>
      </c>
      <c r="T5130">
        <v>-0.87182530000000003</v>
      </c>
      <c r="U5130">
        <v>-3.2615050000000001</v>
      </c>
      <c r="V5130">
        <v>0.20516470000000001</v>
      </c>
      <c r="W5130">
        <v>1.8679310000000001E-2</v>
      </c>
      <c r="X5130">
        <v>0.97854920000000001</v>
      </c>
      <c r="Y5130">
        <v>0.61978140000000004</v>
      </c>
      <c r="Z5130">
        <v>7.4766199999999894E-2</v>
      </c>
      <c r="AA5130">
        <v>0.78120489999999998</v>
      </c>
      <c r="AB5130">
        <v>21</v>
      </c>
      <c r="AC5130">
        <v>1.00619999999997</v>
      </c>
      <c r="AD5130">
        <v>-1.1023683276209999</v>
      </c>
      <c r="AE5130">
        <v>-3.9808000000000101</v>
      </c>
      <c r="AF5130">
        <v>2.4804899866563401</v>
      </c>
      <c r="AG5130">
        <v>-1.1023683276209999</v>
      </c>
      <c r="AH5130">
        <v>2.9181437401652399</v>
      </c>
      <c r="AI5130">
        <v>106.057384608501</v>
      </c>
      <c r="AJ5130">
        <v>49.634690515746101</v>
      </c>
      <c r="AK5130">
        <v>3.9854246187714901</v>
      </c>
      <c r="AL5130">
        <v>88.929692129312102</v>
      </c>
      <c r="AM5130">
        <v>78.1587635484034</v>
      </c>
      <c r="AN5130">
        <v>1.0000000037843999</v>
      </c>
    </row>
    <row r="5131" spans="1:40" x14ac:dyDescent="0.25">
      <c r="A5131" t="str">
        <f>"20190312154027080"</f>
        <v>20190312154027080</v>
      </c>
      <c r="B5131" t="str">
        <f>"1552376427070972"</f>
        <v>1552376427070972</v>
      </c>
      <c r="C5131" t="s">
        <v>40</v>
      </c>
      <c r="D5131">
        <v>4.8812889999999998</v>
      </c>
      <c r="E5131">
        <v>0.69478890000000004</v>
      </c>
      <c r="F5131" t="s">
        <v>54</v>
      </c>
      <c r="G5131">
        <v>-196.3655</v>
      </c>
      <c r="H5131" s="1">
        <v>4.7443480000000001E-6</v>
      </c>
      <c r="I5131">
        <v>204.649</v>
      </c>
      <c r="J5131">
        <v>-197.3253</v>
      </c>
      <c r="K5131">
        <v>1.10222</v>
      </c>
      <c r="L5131">
        <v>208.62350000000001</v>
      </c>
      <c r="M5131">
        <v>0.80663669999999899</v>
      </c>
      <c r="N5131">
        <v>0</v>
      </c>
      <c r="O5131">
        <v>-0.59085359999999998</v>
      </c>
      <c r="P5131">
        <v>0.66633619999999905</v>
      </c>
      <c r="Q5131">
        <v>9.2519079999999997E-3</v>
      </c>
      <c r="R5131">
        <v>-0.74559430000000004</v>
      </c>
      <c r="S5131">
        <v>0.8936615</v>
      </c>
      <c r="T5131">
        <v>-0.87648139999999997</v>
      </c>
      <c r="U5131">
        <v>-3.2682799999999999</v>
      </c>
      <c r="V5131">
        <v>0.20817720000000001</v>
      </c>
      <c r="W5131">
        <v>1.993841E-2</v>
      </c>
      <c r="X5131">
        <v>0.97788790000000003</v>
      </c>
      <c r="Y5131">
        <v>0.61948389999999998</v>
      </c>
      <c r="Z5131">
        <v>7.8744019999999998E-2</v>
      </c>
      <c r="AA5131">
        <v>0.78104989999999996</v>
      </c>
      <c r="AB5131">
        <v>21</v>
      </c>
      <c r="AC5131">
        <v>0.95980000000000099</v>
      </c>
      <c r="AD5131">
        <v>-1.102215255652</v>
      </c>
      <c r="AE5131">
        <v>-3.9744999999999999</v>
      </c>
      <c r="AF5131">
        <v>2.46038402118814</v>
      </c>
      <c r="AG5131">
        <v>-1.102215255652</v>
      </c>
      <c r="AH5131">
        <v>2.9113493242969102</v>
      </c>
      <c r="AI5131">
        <v>106.127884376086</v>
      </c>
      <c r="AJ5131">
        <v>49.798816411842203</v>
      </c>
      <c r="AK5131">
        <v>3.9679116534512202</v>
      </c>
      <c r="AL5131">
        <v>88.8575375706248</v>
      </c>
      <c r="AM5131">
        <v>77.982022626319306</v>
      </c>
      <c r="AN5131">
        <v>1.0000000158797799</v>
      </c>
    </row>
    <row r="5132" spans="1:40" x14ac:dyDescent="0.25">
      <c r="A5132" t="str">
        <f>"20190312154027103"</f>
        <v>20190312154027103</v>
      </c>
      <c r="B5132" t="str">
        <f>"1552376427091467"</f>
        <v>1552376427091467</v>
      </c>
      <c r="C5132" t="s">
        <v>40</v>
      </c>
      <c r="D5132">
        <v>4.6469500000000004</v>
      </c>
      <c r="E5132">
        <v>0.69368490000000005</v>
      </c>
      <c r="F5132" t="s">
        <v>54</v>
      </c>
      <c r="G5132">
        <v>-196.29390000000001</v>
      </c>
      <c r="H5132" s="1">
        <v>4.7801269999999999E-6</v>
      </c>
      <c r="I5132">
        <v>204.5848</v>
      </c>
      <c r="J5132">
        <v>-197.16139999999999</v>
      </c>
      <c r="K5132">
        <v>1.102074</v>
      </c>
      <c r="L5132">
        <v>208.48339999999999</v>
      </c>
      <c r="M5132">
        <v>0.7983441</v>
      </c>
      <c r="N5132">
        <v>0</v>
      </c>
      <c r="O5132">
        <v>-0.60200980000000004</v>
      </c>
      <c r="P5132">
        <v>0.65228609999999998</v>
      </c>
      <c r="Q5132">
        <v>9.9831280000000008E-3</v>
      </c>
      <c r="R5132">
        <v>-0.75790760000000001</v>
      </c>
      <c r="S5132">
        <v>0.83894349999999995</v>
      </c>
      <c r="T5132">
        <v>-0.89653050000000001</v>
      </c>
      <c r="U5132">
        <v>-3.2850039999999998</v>
      </c>
      <c r="V5132">
        <v>0.2128718</v>
      </c>
      <c r="W5132">
        <v>2.053957E-2</v>
      </c>
      <c r="X5132">
        <v>0.97686419999999996</v>
      </c>
      <c r="Y5132">
        <v>0.62177179999999999</v>
      </c>
      <c r="Z5132">
        <v>8.3683270000000004E-2</v>
      </c>
      <c r="AA5132">
        <v>0.77871489999999999</v>
      </c>
      <c r="AB5132">
        <v>21</v>
      </c>
      <c r="AC5132">
        <v>0.86749999999997796</v>
      </c>
      <c r="AD5132">
        <v>-1.102069219873</v>
      </c>
      <c r="AE5132">
        <v>-3.8985999999999801</v>
      </c>
      <c r="AF5132">
        <v>2.4071961543015901</v>
      </c>
      <c r="AG5132">
        <v>-1.102069219873</v>
      </c>
      <c r="AH5132">
        <v>2.8248277136187001</v>
      </c>
      <c r="AI5132">
        <v>106.53848602909299</v>
      </c>
      <c r="AJ5132">
        <v>49.563797663134402</v>
      </c>
      <c r="AK5132">
        <v>3.8715373564391902</v>
      </c>
      <c r="AL5132">
        <v>88.823086530683298</v>
      </c>
      <c r="AM5132">
        <v>77.706665349645505</v>
      </c>
      <c r="AN5132">
        <v>0.99999997120633199</v>
      </c>
    </row>
    <row r="5133" spans="1:40" x14ac:dyDescent="0.25">
      <c r="A5133" t="str">
        <f>"20190312154027125"</f>
        <v>20190312154027125</v>
      </c>
      <c r="B5133" t="str">
        <f>"1552376427120749"</f>
        <v>1552376427120749</v>
      </c>
      <c r="C5133" t="s">
        <v>40</v>
      </c>
      <c r="D5133">
        <v>4.5905120000000004</v>
      </c>
      <c r="E5133">
        <v>0.69264969999999904</v>
      </c>
      <c r="F5133" t="s">
        <v>54</v>
      </c>
      <c r="G5133">
        <v>-196.18780000000001</v>
      </c>
      <c r="H5133" s="1">
        <v>4.8536070000000004E-6</v>
      </c>
      <c r="I5133">
        <v>204.39619999999999</v>
      </c>
      <c r="J5133">
        <v>-196.99770000000001</v>
      </c>
      <c r="K5133">
        <v>1.101939</v>
      </c>
      <c r="L5133">
        <v>208.3391</v>
      </c>
      <c r="M5133">
        <v>0.78962980000000005</v>
      </c>
      <c r="N5133">
        <v>0</v>
      </c>
      <c r="O5133">
        <v>-0.61339370000000004</v>
      </c>
      <c r="P5133">
        <v>0.63746780000000003</v>
      </c>
      <c r="Q5133">
        <v>8.3363869999999902E-3</v>
      </c>
      <c r="R5133">
        <v>-0.77043189999999995</v>
      </c>
      <c r="S5133">
        <v>0.78477479999999999</v>
      </c>
      <c r="T5133">
        <v>-0.88832809999999995</v>
      </c>
      <c r="U5133">
        <v>-3.294556</v>
      </c>
      <c r="V5133">
        <v>0.21779419999999999</v>
      </c>
      <c r="W5133">
        <v>1.876131E-2</v>
      </c>
      <c r="X5133">
        <v>0.97581439999999997</v>
      </c>
      <c r="Y5133">
        <v>0.6233668</v>
      </c>
      <c r="Z5133">
        <v>8.6476529999999996E-2</v>
      </c>
      <c r="AA5133">
        <v>0.77713299999999996</v>
      </c>
      <c r="AB5133">
        <v>21</v>
      </c>
      <c r="AC5133">
        <v>0.80989999999999895</v>
      </c>
      <c r="AD5133">
        <v>-1.1019341463929999</v>
      </c>
      <c r="AE5133">
        <v>-3.9428999999999998</v>
      </c>
      <c r="AF5133">
        <v>2.4344995281775401</v>
      </c>
      <c r="AG5133">
        <v>-1.1019341463929999</v>
      </c>
      <c r="AH5133">
        <v>2.8451992339991001</v>
      </c>
      <c r="AI5133">
        <v>106.39777058097</v>
      </c>
      <c r="AJ5133">
        <v>49.447993969035402</v>
      </c>
      <c r="AK5133">
        <v>3.9033582332182402</v>
      </c>
      <c r="AL5133">
        <v>88.924993071284902</v>
      </c>
      <c r="AM5133">
        <v>77.418240788490905</v>
      </c>
      <c r="AN5133">
        <v>1.00000002177695</v>
      </c>
    </row>
    <row r="5134" spans="1:40" x14ac:dyDescent="0.25">
      <c r="A5134" t="str">
        <f>"20190312154027147"</f>
        <v>20190312154027147</v>
      </c>
      <c r="B5134" t="str">
        <f>"1552376427141247"</f>
        <v>1552376427141247</v>
      </c>
      <c r="C5134" t="s">
        <v>40</v>
      </c>
      <c r="D5134">
        <v>4.6144249999999998</v>
      </c>
      <c r="E5134">
        <v>0.68061130000000003</v>
      </c>
      <c r="F5134" t="s">
        <v>54</v>
      </c>
      <c r="G5134">
        <v>-196.0557</v>
      </c>
      <c r="H5134" s="1">
        <v>4.9691329999999998E-6</v>
      </c>
      <c r="I5134">
        <v>204.07050000000001</v>
      </c>
      <c r="J5134">
        <v>-196.83840000000001</v>
      </c>
      <c r="K5134">
        <v>1.1018049999999999</v>
      </c>
      <c r="L5134">
        <v>208.1943</v>
      </c>
      <c r="M5134">
        <v>0.78070600000000001</v>
      </c>
      <c r="N5134">
        <v>0</v>
      </c>
      <c r="O5134">
        <v>-0.62471069999999995</v>
      </c>
      <c r="P5134">
        <v>0.62262249999999997</v>
      </c>
      <c r="Q5134">
        <v>5.8339869999999997E-3</v>
      </c>
      <c r="R5134">
        <v>-0.78250069999999905</v>
      </c>
      <c r="S5134">
        <v>0.72833249999999905</v>
      </c>
      <c r="T5134">
        <v>-0.85201930000000003</v>
      </c>
      <c r="U5134">
        <v>-3.300522</v>
      </c>
      <c r="V5134">
        <v>0.222355</v>
      </c>
      <c r="W5134">
        <v>1.6137680000000001E-2</v>
      </c>
      <c r="X5134">
        <v>0.97483220000000004</v>
      </c>
      <c r="Y5134">
        <v>0.62538669999999996</v>
      </c>
      <c r="Z5134">
        <v>8.6505929999999995E-2</v>
      </c>
      <c r="AA5134">
        <v>0.77550509999999995</v>
      </c>
      <c r="AB5134">
        <v>21</v>
      </c>
      <c r="AC5134">
        <v>0.78270000000000495</v>
      </c>
      <c r="AD5134">
        <v>-1.101800030867</v>
      </c>
      <c r="AE5134">
        <v>-4.1237999999999797</v>
      </c>
      <c r="AF5134">
        <v>2.5548004487477498</v>
      </c>
      <c r="AG5134">
        <v>-1.101800030867</v>
      </c>
      <c r="AH5134">
        <v>2.9821354635086301</v>
      </c>
      <c r="AI5134">
        <v>105.67312432376301</v>
      </c>
      <c r="AJ5134">
        <v>49.413280460263302</v>
      </c>
      <c r="AK5134">
        <v>4.0784924376117297</v>
      </c>
      <c r="AL5134">
        <v>89.075338902671703</v>
      </c>
      <c r="AM5134">
        <v>77.150906854842603</v>
      </c>
      <c r="AN5134">
        <v>0.99999999444881105</v>
      </c>
    </row>
    <row r="5135" spans="1:40" x14ac:dyDescent="0.25">
      <c r="A5135" t="str">
        <f>"20190312154027170"</f>
        <v>20190312154027170</v>
      </c>
      <c r="B5135" t="str">
        <f>"1552376427160763"</f>
        <v>1552376427160763</v>
      </c>
      <c r="C5135" t="s">
        <v>40</v>
      </c>
      <c r="D5135">
        <v>4.6229259999999996</v>
      </c>
      <c r="E5135">
        <v>0.67866289999999996</v>
      </c>
      <c r="F5135" t="s">
        <v>54</v>
      </c>
      <c r="G5135">
        <v>-195.42060000000001</v>
      </c>
      <c r="H5135" s="1">
        <v>5.664027E-6</v>
      </c>
      <c r="I5135">
        <v>201.97810000000001</v>
      </c>
      <c r="J5135">
        <v>-196.6755</v>
      </c>
      <c r="K5135">
        <v>1.10168</v>
      </c>
      <c r="L5135">
        <v>208.04130000000001</v>
      </c>
      <c r="M5135">
        <v>0.77110040000000002</v>
      </c>
      <c r="N5135">
        <v>0</v>
      </c>
      <c r="O5135">
        <v>-0.63652769999999903</v>
      </c>
      <c r="P5135">
        <v>0.60730090000000003</v>
      </c>
      <c r="Q5135">
        <v>5.3261589999999996E-3</v>
      </c>
      <c r="R5135">
        <v>-0.7944542</v>
      </c>
      <c r="S5135">
        <v>0.74093629999999999</v>
      </c>
      <c r="T5135">
        <v>-0.575808599999999</v>
      </c>
      <c r="U5135">
        <v>-3.2486109999999999</v>
      </c>
      <c r="V5135">
        <v>0.22644549999999999</v>
      </c>
      <c r="W5135">
        <v>1.5522630000000001E-2</v>
      </c>
      <c r="X5135">
        <v>0.97390010000000005</v>
      </c>
      <c r="Y5135">
        <v>0.60940459999999996</v>
      </c>
      <c r="Z5135">
        <v>6.4048859999999999E-2</v>
      </c>
      <c r="AA5135">
        <v>0.79026809999999903</v>
      </c>
      <c r="AB5135">
        <v>21</v>
      </c>
      <c r="AC5135">
        <v>1.2548999999999899</v>
      </c>
      <c r="AD5135">
        <v>-1.1016743359729999</v>
      </c>
      <c r="AE5135">
        <v>-6.0631999999999904</v>
      </c>
      <c r="AF5135">
        <v>3.75804318758775</v>
      </c>
      <c r="AG5135">
        <v>-1.1016743359729999</v>
      </c>
      <c r="AH5135">
        <v>4.6794760665092401</v>
      </c>
      <c r="AI5135">
        <v>100.40144567927101</v>
      </c>
      <c r="AJ5135">
        <v>51.232380220994997</v>
      </c>
      <c r="AK5135">
        <v>6.1019727301381002</v>
      </c>
      <c r="AL5135">
        <v>89.110583058809993</v>
      </c>
      <c r="AM5135">
        <v>76.910501065594303</v>
      </c>
      <c r="AN5135">
        <v>0.99999996064618701</v>
      </c>
    </row>
    <row r="5136" spans="1:40" x14ac:dyDescent="0.25">
      <c r="A5136" t="str">
        <f>"20190312154027192"</f>
        <v>20190312154027192</v>
      </c>
      <c r="B5136" t="str">
        <f>"1552376427181259"</f>
        <v>1552376427181259</v>
      </c>
      <c r="C5136" t="s">
        <v>40</v>
      </c>
      <c r="D5136">
        <v>4.6502910000000002</v>
      </c>
      <c r="E5136">
        <v>0.67636269999999998</v>
      </c>
      <c r="F5136" t="s">
        <v>54</v>
      </c>
      <c r="G5136">
        <v>-195.35059999999999</v>
      </c>
      <c r="H5136" s="1">
        <v>5.7394219999999998E-6</v>
      </c>
      <c r="I5136">
        <v>201.79419999999999</v>
      </c>
      <c r="J5136">
        <v>-196.5188</v>
      </c>
      <c r="K5136">
        <v>1.101577</v>
      </c>
      <c r="L5136">
        <v>207.88939999999999</v>
      </c>
      <c r="M5136">
        <v>0.76138629999999996</v>
      </c>
      <c r="N5136">
        <v>0</v>
      </c>
      <c r="O5136">
        <v>-0.64811470000000004</v>
      </c>
      <c r="P5136">
        <v>0.59301079999999995</v>
      </c>
      <c r="Q5136">
        <v>6.8069979999999999E-3</v>
      </c>
      <c r="R5136">
        <v>-0.80516580000000004</v>
      </c>
      <c r="S5136">
        <v>0.68983459999999996</v>
      </c>
      <c r="T5136">
        <v>-0.57360880000000003</v>
      </c>
      <c r="U5136">
        <v>-3.2527010000000001</v>
      </c>
      <c r="V5136">
        <v>0.2291454</v>
      </c>
      <c r="W5136">
        <v>1.6933409999999999E-2</v>
      </c>
      <c r="X5136">
        <v>0.97324489999999997</v>
      </c>
      <c r="Y5136">
        <v>0.60955700000000002</v>
      </c>
      <c r="Z5136">
        <v>6.6458450000000002E-2</v>
      </c>
      <c r="AA5136">
        <v>0.78995159999999998</v>
      </c>
      <c r="AB5136">
        <v>21</v>
      </c>
      <c r="AC5136">
        <v>1.1682000000000099</v>
      </c>
      <c r="AD5136">
        <v>-1.1015712605779999</v>
      </c>
      <c r="AE5136">
        <v>-6.0952000000000002</v>
      </c>
      <c r="AF5136">
        <v>3.7655039211760202</v>
      </c>
      <c r="AG5136">
        <v>-1.1015712605779999</v>
      </c>
      <c r="AH5136">
        <v>4.6925762493815402</v>
      </c>
      <c r="AI5136">
        <v>100.375320392178</v>
      </c>
      <c r="AJ5136">
        <v>51.2550999368163</v>
      </c>
      <c r="AK5136">
        <v>6.1165963475435499</v>
      </c>
      <c r="AL5136">
        <v>89.029740696907893</v>
      </c>
      <c r="AM5136">
        <v>76.751302635104807</v>
      </c>
      <c r="AN5136">
        <v>0.99999999504569903</v>
      </c>
    </row>
    <row r="5137" spans="1:40" x14ac:dyDescent="0.25">
      <c r="A5137" t="str">
        <f>"20190312154027215"</f>
        <v>20190312154027215</v>
      </c>
      <c r="B5137" t="str">
        <f>"1552376427211516"</f>
        <v>1552376427211516</v>
      </c>
      <c r="C5137" t="s">
        <v>40</v>
      </c>
      <c r="D5137">
        <v>4.6206500000000004</v>
      </c>
      <c r="E5137">
        <v>0.67369899999999905</v>
      </c>
      <c r="F5137" t="s">
        <v>54</v>
      </c>
      <c r="G5137">
        <v>-195.2611</v>
      </c>
      <c r="H5137" s="1">
        <v>5.8457870000000003E-6</v>
      </c>
      <c r="I5137">
        <v>201.56059999999999</v>
      </c>
      <c r="J5137">
        <v>-196.36760000000001</v>
      </c>
      <c r="K5137">
        <v>1.101475</v>
      </c>
      <c r="L5137">
        <v>207.7379</v>
      </c>
      <c r="M5137">
        <v>0.75154259999999995</v>
      </c>
      <c r="N5137">
        <v>0</v>
      </c>
      <c r="O5137">
        <v>-0.659502699999999</v>
      </c>
      <c r="P5137">
        <v>0.57888229999999996</v>
      </c>
      <c r="Q5137">
        <v>8.7972480000000006E-3</v>
      </c>
      <c r="R5137">
        <v>-0.81536390000000003</v>
      </c>
      <c r="S5137">
        <v>0.64674379999999998</v>
      </c>
      <c r="T5137">
        <v>-0.5664536</v>
      </c>
      <c r="U5137">
        <v>-3.25441</v>
      </c>
      <c r="V5137">
        <v>0.2314966</v>
      </c>
      <c r="W5137">
        <v>1.8864289999999999E-2</v>
      </c>
      <c r="X5137">
        <v>0.97265279999999998</v>
      </c>
      <c r="Y5137">
        <v>0.60785059999999902</v>
      </c>
      <c r="Z5137">
        <v>6.8413500000000002E-2</v>
      </c>
      <c r="AA5137">
        <v>0.79109879999999999</v>
      </c>
      <c r="AB5137">
        <v>21</v>
      </c>
      <c r="AC5137">
        <v>1.10650000000001</v>
      </c>
      <c r="AD5137">
        <v>-1.101469154213</v>
      </c>
      <c r="AE5137">
        <v>-6.1772999999999998</v>
      </c>
      <c r="AF5137">
        <v>3.79628637264973</v>
      </c>
      <c r="AG5137">
        <v>-1.101469154213</v>
      </c>
      <c r="AH5137">
        <v>4.7594966211660896</v>
      </c>
      <c r="AI5137">
        <v>100.25516461510099</v>
      </c>
      <c r="AJ5137">
        <v>51.423314381874</v>
      </c>
      <c r="AK5137">
        <v>6.18690816221965</v>
      </c>
      <c r="AL5137">
        <v>88.919091687658394</v>
      </c>
      <c r="AM5137">
        <v>76.612374587394697</v>
      </c>
      <c r="AN5137">
        <v>1.0000000032983001</v>
      </c>
    </row>
    <row r="5138" spans="1:40" x14ac:dyDescent="0.25">
      <c r="A5138" t="str">
        <f>"20190312154027236"</f>
        <v>20190312154027236</v>
      </c>
      <c r="B5138" t="str">
        <f>"1552376427231035"</f>
        <v>1552376427231035</v>
      </c>
      <c r="C5138" t="s">
        <v>40</v>
      </c>
      <c r="D5138">
        <v>4.604368</v>
      </c>
      <c r="E5138">
        <v>0.6710566</v>
      </c>
      <c r="F5138" t="s">
        <v>54</v>
      </c>
      <c r="G5138">
        <v>-195.19450000000001</v>
      </c>
      <c r="H5138" s="1">
        <v>5.8961140000000001E-6</v>
      </c>
      <c r="I5138">
        <v>201.4684</v>
      </c>
      <c r="J5138">
        <v>-196.21780000000001</v>
      </c>
      <c r="K5138">
        <v>1.1013820000000001</v>
      </c>
      <c r="L5138">
        <v>207.583</v>
      </c>
      <c r="M5138">
        <v>0.74132159999999903</v>
      </c>
      <c r="N5138">
        <v>0</v>
      </c>
      <c r="O5138">
        <v>-0.67096990000000001</v>
      </c>
      <c r="P5138">
        <v>0.56342389999999998</v>
      </c>
      <c r="Q5138">
        <v>9.4261589999999999E-3</v>
      </c>
      <c r="R5138">
        <v>-0.82611449999999997</v>
      </c>
      <c r="S5138">
        <v>0.6087494</v>
      </c>
      <c r="T5138">
        <v>-0.57156319999999905</v>
      </c>
      <c r="U5138">
        <v>-3.2533259999999999</v>
      </c>
      <c r="V5138">
        <v>0.23488519999999999</v>
      </c>
      <c r="W5138">
        <v>1.9407790000000001E-2</v>
      </c>
      <c r="X5138">
        <v>0.97182939999999995</v>
      </c>
      <c r="Y5138">
        <v>0.60458599999999996</v>
      </c>
      <c r="Z5138">
        <v>7.2015389999999999E-2</v>
      </c>
      <c r="AA5138">
        <v>0.79327769999999898</v>
      </c>
      <c r="AB5138">
        <v>21</v>
      </c>
      <c r="AC5138">
        <v>1.0233000000000001</v>
      </c>
      <c r="AD5138">
        <v>-1.1013761038859999</v>
      </c>
      <c r="AE5138">
        <v>-6.1145999999999896</v>
      </c>
      <c r="AF5138">
        <v>3.7290568364607699</v>
      </c>
      <c r="AG5138">
        <v>-1.1013761038859999</v>
      </c>
      <c r="AH5138">
        <v>4.7131468733627404</v>
      </c>
      <c r="AI5138">
        <v>100.384708282685</v>
      </c>
      <c r="AJ5138">
        <v>51.648842588668302</v>
      </c>
      <c r="AK5138">
        <v>6.1100448166650096</v>
      </c>
      <c r="AL5138">
        <v>88.887945781213702</v>
      </c>
      <c r="AM5138">
        <v>76.412536653487507</v>
      </c>
      <c r="AN5138">
        <v>1.00000005109804</v>
      </c>
    </row>
    <row r="5139" spans="1:40" x14ac:dyDescent="0.25">
      <c r="A5139" t="str">
        <f>"20190312154027254"</f>
        <v>20190312154027254</v>
      </c>
      <c r="B5139" t="str">
        <f>"1552376427240795"</f>
        <v>1552376427240795</v>
      </c>
      <c r="C5139" t="s">
        <v>40</v>
      </c>
      <c r="D5139">
        <v>4.6174720000000002</v>
      </c>
      <c r="E5139">
        <v>0.66983909999999902</v>
      </c>
      <c r="F5139" t="s">
        <v>54</v>
      </c>
      <c r="G5139">
        <v>-195.10470000000001</v>
      </c>
      <c r="H5139" s="1">
        <v>6.0155579999999997E-6</v>
      </c>
      <c r="I5139">
        <v>201.19810000000001</v>
      </c>
      <c r="J5139">
        <v>-196.1052</v>
      </c>
      <c r="K5139">
        <v>1.101321</v>
      </c>
      <c r="L5139">
        <v>207.46260000000001</v>
      </c>
      <c r="M5139">
        <v>0.73328519999999997</v>
      </c>
      <c r="N5139">
        <v>0</v>
      </c>
      <c r="O5139">
        <v>-0.67974230000000002</v>
      </c>
      <c r="P5139">
        <v>0.55283789999999999</v>
      </c>
      <c r="Q5139">
        <v>9.3720609999999992E-3</v>
      </c>
      <c r="R5139">
        <v>-0.83323619999999898</v>
      </c>
      <c r="S5139">
        <v>0.56680299999999995</v>
      </c>
      <c r="T5139">
        <v>-0.56083280000000002</v>
      </c>
      <c r="U5139">
        <v>-3.2512660000000002</v>
      </c>
      <c r="V5139">
        <v>0.23572419999999999</v>
      </c>
      <c r="W5139">
        <v>1.933675E-2</v>
      </c>
      <c r="X5139">
        <v>0.97162760000000004</v>
      </c>
      <c r="Y5139">
        <v>0.60500379999999998</v>
      </c>
      <c r="Z5139">
        <v>7.2775960000000001E-2</v>
      </c>
      <c r="AA5139">
        <v>0.79288970000000003</v>
      </c>
      <c r="AB5139">
        <v>21</v>
      </c>
      <c r="AC5139">
        <v>1.00049999999998</v>
      </c>
      <c r="AD5139">
        <v>-1.101314984442</v>
      </c>
      <c r="AE5139">
        <v>-6.2644999999999902</v>
      </c>
      <c r="AF5139">
        <v>3.7995489265832401</v>
      </c>
      <c r="AG5139">
        <v>-1.101314984442</v>
      </c>
      <c r="AH5139">
        <v>4.8464434991202303</v>
      </c>
      <c r="AI5139">
        <v>100.13927386785601</v>
      </c>
      <c r="AJ5139">
        <v>51.904013562955498</v>
      </c>
      <c r="AK5139">
        <v>6.2559956306427402</v>
      </c>
      <c r="AL5139">
        <v>88.892016781337006</v>
      </c>
      <c r="AM5139">
        <v>76.363085315492199</v>
      </c>
      <c r="AN5139">
        <v>1.00000000072398</v>
      </c>
    </row>
    <row r="5140" spans="1:40" x14ac:dyDescent="0.25">
      <c r="A5140" t="str">
        <f>"20190312154027270"</f>
        <v>20190312154027270</v>
      </c>
      <c r="B5140" t="str">
        <f>"1552376427261291"</f>
        <v>1552376427261291</v>
      </c>
      <c r="C5140" t="s">
        <v>40</v>
      </c>
      <c r="D5140">
        <v>4.6348979999999997</v>
      </c>
      <c r="E5140">
        <v>0.66731660000000004</v>
      </c>
      <c r="F5140" t="s">
        <v>54</v>
      </c>
      <c r="G5140">
        <v>-195.0522</v>
      </c>
      <c r="H5140" s="1">
        <v>6.0816729999999899E-6</v>
      </c>
      <c r="I5140">
        <v>201.0506</v>
      </c>
      <c r="J5140">
        <v>-195.999</v>
      </c>
      <c r="K5140">
        <v>1.1012710000000001</v>
      </c>
      <c r="L5140">
        <v>207.34630000000001</v>
      </c>
      <c r="M5140">
        <v>0.72545289999999996</v>
      </c>
      <c r="N5140">
        <v>0</v>
      </c>
      <c r="O5140">
        <v>-0.68809439999999999</v>
      </c>
      <c r="P5140">
        <v>0.54120809999999997</v>
      </c>
      <c r="Q5140">
        <v>9.2527619999999994E-3</v>
      </c>
      <c r="R5140">
        <v>-0.84083779999999997</v>
      </c>
      <c r="S5140">
        <v>0.53408809999999995</v>
      </c>
      <c r="T5140">
        <v>-0.55861380000000005</v>
      </c>
      <c r="U5140">
        <v>-3.252335</v>
      </c>
      <c r="V5140">
        <v>0.2380979</v>
      </c>
      <c r="W5140">
        <v>1.916226E-2</v>
      </c>
      <c r="X5140">
        <v>0.97105209999999997</v>
      </c>
      <c r="Y5140">
        <v>0.60374550000000005</v>
      </c>
      <c r="Z5140">
        <v>7.4530650000000004E-2</v>
      </c>
      <c r="AA5140">
        <v>0.79368539999999999</v>
      </c>
      <c r="AB5140">
        <v>21</v>
      </c>
      <c r="AC5140">
        <v>0.94680000000002396</v>
      </c>
      <c r="AD5140">
        <v>-1.10126491832699</v>
      </c>
      <c r="AE5140">
        <v>-6.2957000000000098</v>
      </c>
      <c r="AF5140">
        <v>3.8024494030185001</v>
      </c>
      <c r="AG5140">
        <v>-1.10126491832699</v>
      </c>
      <c r="AH5140">
        <v>4.8736800123658401</v>
      </c>
      <c r="AI5140">
        <v>100.101489330711</v>
      </c>
      <c r="AJ5140">
        <v>52.038614135352802</v>
      </c>
      <c r="AK5140">
        <v>6.2788663583315598</v>
      </c>
      <c r="AL5140">
        <v>88.902016164616001</v>
      </c>
      <c r="AM5140">
        <v>76.223116345018994</v>
      </c>
      <c r="AN5140">
        <v>0.99999999155356301</v>
      </c>
    </row>
    <row r="5141" spans="1:40" x14ac:dyDescent="0.25">
      <c r="A5141" t="str">
        <f>"20190312154027293"</f>
        <v>20190312154027293</v>
      </c>
      <c r="B5141" t="str">
        <f>"1552376427280812"</f>
        <v>1552376427280812</v>
      </c>
      <c r="C5141" t="s">
        <v>40</v>
      </c>
      <c r="D5141">
        <v>4.6385630000000004</v>
      </c>
      <c r="E5141">
        <v>0.66499949999999997</v>
      </c>
      <c r="F5141" t="s">
        <v>54</v>
      </c>
      <c r="G5141">
        <v>-194.99250000000001</v>
      </c>
      <c r="H5141" s="1">
        <v>6.156453E-6</v>
      </c>
      <c r="I5141">
        <v>200.88399999999999</v>
      </c>
      <c r="J5141">
        <v>-195.8546</v>
      </c>
      <c r="K5141">
        <v>1.1012200000000001</v>
      </c>
      <c r="L5141">
        <v>207.184</v>
      </c>
      <c r="M5141">
        <v>0.71440019999999904</v>
      </c>
      <c r="N5141">
        <v>0</v>
      </c>
      <c r="O5141">
        <v>-0.69956180000000001</v>
      </c>
      <c r="P5141">
        <v>0.52671800000000002</v>
      </c>
      <c r="Q5141">
        <v>9.3386349999999996E-3</v>
      </c>
      <c r="R5141">
        <v>-0.84998909999999905</v>
      </c>
      <c r="S5141">
        <v>0.50593569999999999</v>
      </c>
      <c r="T5141">
        <v>-0.55355500000000002</v>
      </c>
      <c r="U5141">
        <v>-3.2483219999999999</v>
      </c>
      <c r="V5141">
        <v>0.23927770000000001</v>
      </c>
      <c r="W5141">
        <v>1.9232349999999999E-2</v>
      </c>
      <c r="X5141">
        <v>0.97076070000000003</v>
      </c>
      <c r="Y5141">
        <v>0.59769569999999905</v>
      </c>
      <c r="Z5141">
        <v>7.7072589999999996E-2</v>
      </c>
      <c r="AA5141">
        <v>0.79800979999999999</v>
      </c>
      <c r="AB5141">
        <v>21</v>
      </c>
      <c r="AC5141">
        <v>0.86209999999999798</v>
      </c>
      <c r="AD5141">
        <v>-1.101213843547</v>
      </c>
      <c r="AE5141">
        <v>-6.3000000000000096</v>
      </c>
      <c r="AF5141">
        <v>3.78460020492449</v>
      </c>
      <c r="AG5141">
        <v>-1.101213843547</v>
      </c>
      <c r="AH5141">
        <v>4.8774562754993296</v>
      </c>
      <c r="AI5141">
        <v>100.11381862767099</v>
      </c>
      <c r="AJ5141">
        <v>52.190779794312299</v>
      </c>
      <c r="AK5141">
        <v>6.27100074627183</v>
      </c>
      <c r="AL5141">
        <v>88.897999593261702</v>
      </c>
      <c r="AM5141">
        <v>76.153474629563604</v>
      </c>
      <c r="AN5141">
        <v>1.00000001883415</v>
      </c>
    </row>
    <row r="5142" spans="1:40" x14ac:dyDescent="0.25">
      <c r="A5142" t="str">
        <f>"20190312154027314"</f>
        <v>20190312154027314</v>
      </c>
      <c r="B5142" t="str">
        <f>"1552376427311068"</f>
        <v>1552376427311068</v>
      </c>
      <c r="C5142" t="s">
        <v>40</v>
      </c>
      <c r="D5142">
        <v>4.5936450000000004</v>
      </c>
      <c r="E5142">
        <v>0.69155290000000003</v>
      </c>
      <c r="F5142" t="s">
        <v>54</v>
      </c>
      <c r="G5142">
        <v>-194.9144</v>
      </c>
      <c r="H5142" s="1">
        <v>6.2669820000000002E-6</v>
      </c>
      <c r="I5142">
        <v>200.6301</v>
      </c>
      <c r="J5142">
        <v>-195.71619999999999</v>
      </c>
      <c r="K5142">
        <v>1.101194</v>
      </c>
      <c r="L5142">
        <v>207.023</v>
      </c>
      <c r="M5142">
        <v>0.70333330000000005</v>
      </c>
      <c r="N5142">
        <v>0</v>
      </c>
      <c r="O5142">
        <v>-0.7106865</v>
      </c>
      <c r="P5142">
        <v>0.51219820000000005</v>
      </c>
      <c r="Q5142">
        <v>9.2654820000000002E-3</v>
      </c>
      <c r="R5142">
        <v>-0.85881759999999996</v>
      </c>
      <c r="S5142">
        <v>0.46578979999999998</v>
      </c>
      <c r="T5142">
        <v>-0.54554119999999995</v>
      </c>
      <c r="U5142">
        <v>-3.2467959999999998</v>
      </c>
      <c r="V5142">
        <v>0.24054059999999999</v>
      </c>
      <c r="W5142">
        <v>1.9146529999999998E-2</v>
      </c>
      <c r="X5142">
        <v>0.97045020000000004</v>
      </c>
      <c r="Y5142">
        <v>0.5947964</v>
      </c>
      <c r="Z5142">
        <v>7.8804669999999993E-2</v>
      </c>
      <c r="AA5142">
        <v>0.80000450000000001</v>
      </c>
      <c r="AB5142">
        <v>21</v>
      </c>
      <c r="AC5142">
        <v>0.80179999999998497</v>
      </c>
      <c r="AD5142">
        <v>-1.101187733018</v>
      </c>
      <c r="AE5142">
        <v>-6.3928999999999903</v>
      </c>
      <c r="AF5142">
        <v>3.8155397030580702</v>
      </c>
      <c r="AG5142">
        <v>-1.101187733018</v>
      </c>
      <c r="AH5142">
        <v>4.9629380693528997</v>
      </c>
      <c r="AI5142">
        <v>99.976562012870204</v>
      </c>
      <c r="AJ5142">
        <v>52.446678435299397</v>
      </c>
      <c r="AK5142">
        <v>6.3562340996217399</v>
      </c>
      <c r="AL5142">
        <v>88.902917580232497</v>
      </c>
      <c r="AM5142">
        <v>76.0789472151327</v>
      </c>
      <c r="AN5142">
        <v>0.99999998026972003</v>
      </c>
    </row>
    <row r="5143" spans="1:40" x14ac:dyDescent="0.25">
      <c r="A5143" t="str">
        <f>"20190312154027338"</f>
        <v>20190312154027338</v>
      </c>
      <c r="B5143" t="str">
        <f>"1552376427331563"</f>
        <v>1552376427331563</v>
      </c>
      <c r="C5143" t="s">
        <v>40</v>
      </c>
      <c r="D5143">
        <v>4.6272320000000002</v>
      </c>
      <c r="E5143">
        <v>0.69231359999999997</v>
      </c>
      <c r="F5143" t="s">
        <v>54</v>
      </c>
      <c r="G5143">
        <v>-195.2363</v>
      </c>
      <c r="H5143" s="1">
        <v>6.4152279999999999E-6</v>
      </c>
      <c r="I5143">
        <v>199.9684</v>
      </c>
      <c r="J5143">
        <v>-195.57380000000001</v>
      </c>
      <c r="K5143">
        <v>1.101183</v>
      </c>
      <c r="L5143">
        <v>206.85169999999999</v>
      </c>
      <c r="M5143">
        <v>0.69145230000000002</v>
      </c>
      <c r="N5143">
        <v>0</v>
      </c>
      <c r="O5143">
        <v>-0.72225030000000001</v>
      </c>
      <c r="P5143">
        <v>0.4970579</v>
      </c>
      <c r="Q5143">
        <v>9.0482329999999993E-3</v>
      </c>
      <c r="R5143">
        <v>-0.86767039999999995</v>
      </c>
      <c r="S5143">
        <v>0.22874449999999999</v>
      </c>
      <c r="T5143">
        <v>-0.52485660000000001</v>
      </c>
      <c r="U5143">
        <v>-3.3624109999999998</v>
      </c>
      <c r="V5143">
        <v>0.24146690000000001</v>
      </c>
      <c r="W5143">
        <v>1.893247E-2</v>
      </c>
      <c r="X5143">
        <v>0.97022439999999999</v>
      </c>
      <c r="Y5143">
        <v>0.64000889999999999</v>
      </c>
      <c r="Z5143">
        <v>7.2830740000000005E-2</v>
      </c>
      <c r="AA5143">
        <v>0.76490800000000003</v>
      </c>
      <c r="AB5143">
        <v>21</v>
      </c>
      <c r="AC5143">
        <v>0.33750000000000502</v>
      </c>
      <c r="AD5143">
        <v>-1.1011765847720001</v>
      </c>
      <c r="AE5143">
        <v>-6.8832999999999904</v>
      </c>
      <c r="AF5143">
        <v>4.4038377536744902</v>
      </c>
      <c r="AG5143">
        <v>-1.1011765847720001</v>
      </c>
      <c r="AH5143">
        <v>5.0758814590616996</v>
      </c>
      <c r="AI5143">
        <v>99.306101927544006</v>
      </c>
      <c r="AJ5143">
        <v>49.0550732041443</v>
      </c>
      <c r="AK5143">
        <v>6.8096218263560901</v>
      </c>
      <c r="AL5143">
        <v>88.915184608117798</v>
      </c>
      <c r="AM5143">
        <v>76.024310653195201</v>
      </c>
      <c r="AN5143">
        <v>1.0000000442856301</v>
      </c>
    </row>
    <row r="5144" spans="1:40" x14ac:dyDescent="0.25">
      <c r="A5144" t="str">
        <f>"20190312154027360"</f>
        <v>20190312154027360</v>
      </c>
      <c r="B5144" t="str">
        <f>"1552376427351087"</f>
        <v>1552376427351087</v>
      </c>
      <c r="C5144" t="s">
        <v>40</v>
      </c>
      <c r="D5144">
        <v>4.616015</v>
      </c>
      <c r="E5144">
        <v>0.69027269999999996</v>
      </c>
      <c r="F5144" t="s">
        <v>54</v>
      </c>
      <c r="G5144">
        <v>-195.23840000000001</v>
      </c>
      <c r="H5144" s="1">
        <v>6.4020690000000003E-6</v>
      </c>
      <c r="I5144">
        <v>200.00409999999999</v>
      </c>
      <c r="J5144">
        <v>-195.43940000000001</v>
      </c>
      <c r="K5144">
        <v>1.101186</v>
      </c>
      <c r="L5144">
        <v>206.68389999999999</v>
      </c>
      <c r="M5144">
        <v>0.67973909999999904</v>
      </c>
      <c r="N5144">
        <v>0</v>
      </c>
      <c r="O5144">
        <v>-0.73328419999999905</v>
      </c>
      <c r="P5144">
        <v>0.48323179999999999</v>
      </c>
      <c r="Q5144">
        <v>8.9751650000000002E-3</v>
      </c>
      <c r="R5144">
        <v>-0.87544659999999996</v>
      </c>
      <c r="S5144">
        <v>0.16499330000000001</v>
      </c>
      <c r="T5144">
        <v>-0.54172030000000004</v>
      </c>
      <c r="U5144">
        <v>-3.368668</v>
      </c>
      <c r="V5144">
        <v>0.24124280000000001</v>
      </c>
      <c r="W5144">
        <v>1.8895760000000001E-2</v>
      </c>
      <c r="X5144">
        <v>0.97028080000000005</v>
      </c>
      <c r="Y5144">
        <v>0.64213450000000005</v>
      </c>
      <c r="Z5144">
        <v>7.7318860000000003E-2</v>
      </c>
      <c r="AA5144">
        <v>0.76268279999999999</v>
      </c>
      <c r="AB5144">
        <v>21</v>
      </c>
      <c r="AC5144">
        <v>0.20099999999999299</v>
      </c>
      <c r="AD5144">
        <v>-1.101179597931</v>
      </c>
      <c r="AE5144">
        <v>-6.6798000000000002</v>
      </c>
      <c r="AF5144">
        <v>4.2775360544710503</v>
      </c>
      <c r="AG5144">
        <v>-1.101179597931</v>
      </c>
      <c r="AH5144">
        <v>4.9023397581662298</v>
      </c>
      <c r="AI5144">
        <v>99.606363520837107</v>
      </c>
      <c r="AJ5144">
        <v>48.893678991155099</v>
      </c>
      <c r="AK5144">
        <v>6.59870034997018</v>
      </c>
      <c r="AL5144">
        <v>88.917288247758805</v>
      </c>
      <c r="AM5144">
        <v>76.037553352316195</v>
      </c>
      <c r="AN5144">
        <v>0.99999998457322803</v>
      </c>
    </row>
    <row r="5145" spans="1:40" x14ac:dyDescent="0.25">
      <c r="A5145" t="str">
        <f>"20190312154027375"</f>
        <v>20190312154027375</v>
      </c>
      <c r="B5145" t="str">
        <f>"1552376427371192"</f>
        <v>1552376427371192</v>
      </c>
      <c r="C5145" t="s">
        <v>40</v>
      </c>
      <c r="D5145">
        <v>4.8954230000000001</v>
      </c>
      <c r="E5145">
        <v>0.68932169999999904</v>
      </c>
      <c r="F5145" t="s">
        <v>54</v>
      </c>
      <c r="G5145">
        <v>-195.18879999999999</v>
      </c>
      <c r="H5145" s="1">
        <v>6.4274159999999899E-6</v>
      </c>
      <c r="I5145">
        <v>199.96969999999999</v>
      </c>
      <c r="J5145">
        <v>-195.3509</v>
      </c>
      <c r="K5145">
        <v>1.1011949999999999</v>
      </c>
      <c r="L5145">
        <v>206.57050000000001</v>
      </c>
      <c r="M5145">
        <v>0.67177529999999996</v>
      </c>
      <c r="N5145">
        <v>0</v>
      </c>
      <c r="O5145">
        <v>-0.74058649999999904</v>
      </c>
      <c r="P5145">
        <v>0.47403420000000002</v>
      </c>
      <c r="Q5145">
        <v>8.8873559999999904E-3</v>
      </c>
      <c r="R5145">
        <v>-0.88046179999999996</v>
      </c>
      <c r="S5145">
        <v>0.12553410000000001</v>
      </c>
      <c r="T5145">
        <v>-0.55158379999999996</v>
      </c>
      <c r="U5145">
        <v>-3.3631739999999999</v>
      </c>
      <c r="V5145">
        <v>0.24092089999999999</v>
      </c>
      <c r="W5145">
        <v>1.8838549999999999E-2</v>
      </c>
      <c r="X5145">
        <v>0.9703619</v>
      </c>
      <c r="Y5145">
        <v>0.64270509999999903</v>
      </c>
      <c r="Z5145">
        <v>8.0462320000000004E-2</v>
      </c>
      <c r="AA5145">
        <v>0.76187660000000001</v>
      </c>
      <c r="AB5145">
        <v>21</v>
      </c>
      <c r="AC5145">
        <v>0.16210000000000899</v>
      </c>
      <c r="AD5145">
        <v>-1.1011885725839901</v>
      </c>
      <c r="AE5145">
        <v>-6.60080000000002</v>
      </c>
      <c r="AF5145">
        <v>4.1979798589840103</v>
      </c>
      <c r="AG5145">
        <v>-1.1011885725839901</v>
      </c>
      <c r="AH5145">
        <v>4.8627284156365196</v>
      </c>
      <c r="AI5145">
        <v>99.726824149563001</v>
      </c>
      <c r="AJ5145">
        <v>49.196048418284001</v>
      </c>
      <c r="AK5145">
        <v>6.517804754138</v>
      </c>
      <c r="AL5145">
        <v>88.920566733100202</v>
      </c>
      <c r="AM5145">
        <v>76.056576489722701</v>
      </c>
      <c r="AN5145">
        <v>0.99999999399726103</v>
      </c>
    </row>
    <row r="5146" spans="1:40" x14ac:dyDescent="0.25">
      <c r="A5146" t="str">
        <f>"20190312154027392"</f>
        <v>20190312154027392</v>
      </c>
      <c r="B5146" t="str">
        <f>"1552376427380950"</f>
        <v>1552376427380950</v>
      </c>
      <c r="C5146" t="s">
        <v>40</v>
      </c>
      <c r="D5146">
        <v>5.100206</v>
      </c>
      <c r="E5146">
        <v>0.68957809999999997</v>
      </c>
      <c r="F5146" t="s">
        <v>54</v>
      </c>
      <c r="G5146">
        <v>-195.16669999999999</v>
      </c>
      <c r="H5146" s="1">
        <v>6.3741950000000004E-6</v>
      </c>
      <c r="I5146">
        <v>200.1369</v>
      </c>
      <c r="J5146">
        <v>-195.2501</v>
      </c>
      <c r="K5146">
        <v>1.10121</v>
      </c>
      <c r="L5146">
        <v>206.43780000000001</v>
      </c>
      <c r="M5146">
        <v>0.66243989999999997</v>
      </c>
      <c r="N5146">
        <v>0</v>
      </c>
      <c r="O5146">
        <v>-0.7489479</v>
      </c>
      <c r="P5146">
        <v>0.46479369999999998</v>
      </c>
      <c r="Q5146">
        <v>8.8253729999999992E-3</v>
      </c>
      <c r="R5146">
        <v>-0.88537500000000002</v>
      </c>
      <c r="S5146">
        <v>9.6191410000000005E-2</v>
      </c>
      <c r="T5146">
        <v>-0.57532450000000002</v>
      </c>
      <c r="U5146">
        <v>-3.3612980000000001</v>
      </c>
      <c r="V5146">
        <v>0.23891190000000001</v>
      </c>
      <c r="W5146">
        <v>1.8855710000000001E-2</v>
      </c>
      <c r="X5146">
        <v>0.9708582</v>
      </c>
      <c r="Y5146">
        <v>0.6396809</v>
      </c>
      <c r="Z5146">
        <v>8.6145340000000001E-2</v>
      </c>
      <c r="AA5146">
        <v>0.76379799999999998</v>
      </c>
      <c r="AB5146">
        <v>21</v>
      </c>
      <c r="AC5146">
        <v>8.3400000000011604E-2</v>
      </c>
      <c r="AD5146">
        <v>-1.101203625805</v>
      </c>
      <c r="AE5146">
        <v>-6.3009000000000102</v>
      </c>
      <c r="AF5146">
        <v>3.9901647955308102</v>
      </c>
      <c r="AG5146">
        <v>-1.101203625805</v>
      </c>
      <c r="AH5146">
        <v>4.6333923103476904</v>
      </c>
      <c r="AI5146">
        <v>100.209010212132</v>
      </c>
      <c r="AJ5146">
        <v>49.265768894879997</v>
      </c>
      <c r="AK5146">
        <v>6.2130820711277099</v>
      </c>
      <c r="AL5146">
        <v>88.919583411621304</v>
      </c>
      <c r="AM5146">
        <v>76.175165158054099</v>
      </c>
      <c r="AN5146">
        <v>1.0000000391342201</v>
      </c>
    </row>
    <row r="5147" spans="1:40" x14ac:dyDescent="0.25">
      <c r="A5147" t="str">
        <f>"20190312154027417"</f>
        <v>20190312154027417</v>
      </c>
      <c r="B5147" t="str">
        <f>"1552376427411207"</f>
        <v>1552376427411207</v>
      </c>
      <c r="C5147" t="s">
        <v>40</v>
      </c>
      <c r="D5147">
        <v>4.6312160000000002</v>
      </c>
      <c r="E5147">
        <v>0.67131010000000002</v>
      </c>
      <c r="F5147" t="s">
        <v>54</v>
      </c>
      <c r="G5147">
        <v>-195.13839999999999</v>
      </c>
      <c r="H5147" s="1">
        <v>6.4215530000000002E-6</v>
      </c>
      <c r="I5147">
        <v>200.02420000000001</v>
      </c>
      <c r="J5147">
        <v>-195.11600000000001</v>
      </c>
      <c r="K5147">
        <v>1.101227</v>
      </c>
      <c r="L5147">
        <v>206.25620000000001</v>
      </c>
      <c r="M5147">
        <v>0.64960059999999997</v>
      </c>
      <c r="N5147">
        <v>0</v>
      </c>
      <c r="O5147">
        <v>-0.76011119999999899</v>
      </c>
      <c r="P5147">
        <v>0.45168639999999999</v>
      </c>
      <c r="Q5147">
        <v>8.955289E-3</v>
      </c>
      <c r="R5147">
        <v>-0.89213229999999999</v>
      </c>
      <c r="S5147">
        <v>5.8547969999999998E-2</v>
      </c>
      <c r="T5147">
        <v>-0.57749379999999995</v>
      </c>
      <c r="U5147">
        <v>-3.3634490000000001</v>
      </c>
      <c r="V5147">
        <v>0.23671059999999999</v>
      </c>
      <c r="W5147">
        <v>1.9079309999999999E-2</v>
      </c>
      <c r="X5147">
        <v>0.9713929</v>
      </c>
      <c r="Y5147">
        <v>0.63520989999999999</v>
      </c>
      <c r="Z5147">
        <v>8.9458529999999994E-2</v>
      </c>
      <c r="AA5147">
        <v>0.76714110000000002</v>
      </c>
      <c r="AB5147">
        <v>21</v>
      </c>
      <c r="AC5147">
        <v>-2.24000000000046E-2</v>
      </c>
      <c r="AD5147">
        <v>-1.1012205784469999</v>
      </c>
      <c r="AE5147">
        <v>-6.2319999999999904</v>
      </c>
      <c r="AF5147">
        <v>3.9427378100281198</v>
      </c>
      <c r="AG5147">
        <v>-1.1012205784469999</v>
      </c>
      <c r="AH5147">
        <v>4.5800452206119298</v>
      </c>
      <c r="AI5147">
        <v>100.327154527218</v>
      </c>
      <c r="AJ5147">
        <v>49.276442706242101</v>
      </c>
      <c r="AK5147">
        <v>6.1428562105807698</v>
      </c>
      <c r="AL5147">
        <v>88.906769779445597</v>
      </c>
      <c r="AM5147">
        <v>76.304980964676901</v>
      </c>
      <c r="AN5147">
        <v>1.0000000471964201</v>
      </c>
    </row>
    <row r="5148" spans="1:40" x14ac:dyDescent="0.25">
      <c r="A5148" t="str">
        <f>"20190312154027450"</f>
        <v>20190312154027450</v>
      </c>
      <c r="B5148" t="str">
        <f>"1552376427441462"</f>
        <v>1552376427441462</v>
      </c>
      <c r="C5148" t="s">
        <v>40</v>
      </c>
      <c r="D5148">
        <v>4.6738200000000001</v>
      </c>
      <c r="E5148">
        <v>0.66845049999999995</v>
      </c>
      <c r="F5148" t="s">
        <v>42</v>
      </c>
      <c r="G5148">
        <v>-194.76070000000001</v>
      </c>
      <c r="H5148" s="1">
        <v>-4.5268429999999997E-6</v>
      </c>
      <c r="I5148">
        <v>197.80760000000001</v>
      </c>
      <c r="J5148">
        <v>-194.9341</v>
      </c>
      <c r="K5148">
        <v>1.101286</v>
      </c>
      <c r="L5148">
        <v>205.9982</v>
      </c>
      <c r="M5148">
        <v>0.63131510000000002</v>
      </c>
      <c r="N5148">
        <v>0</v>
      </c>
      <c r="O5148">
        <v>-0.77536430000000001</v>
      </c>
      <c r="P5148">
        <v>0.4324498</v>
      </c>
      <c r="Q5148">
        <v>7.24335E-3</v>
      </c>
      <c r="R5148">
        <v>-0.90162889999999996</v>
      </c>
      <c r="S5148">
        <v>0.1386261</v>
      </c>
      <c r="T5148">
        <v>-0.42972640000000001</v>
      </c>
      <c r="U5148">
        <v>-3.2968440000000001</v>
      </c>
      <c r="V5148">
        <v>0.2343789</v>
      </c>
      <c r="W5148">
        <v>1.7475979999999999E-2</v>
      </c>
      <c r="X5148">
        <v>0.97198830000000003</v>
      </c>
      <c r="Y5148">
        <v>0.59779950000000004</v>
      </c>
      <c r="Z5148">
        <v>7.3188069999999994E-2</v>
      </c>
      <c r="AA5148">
        <v>0.79829759999999905</v>
      </c>
      <c r="AB5148">
        <v>21</v>
      </c>
      <c r="AC5148">
        <v>0.17339999999998601</v>
      </c>
      <c r="AD5148">
        <v>-1.101290526843</v>
      </c>
      <c r="AE5148">
        <v>-8.1905999999999892</v>
      </c>
      <c r="AF5148">
        <v>4.9476269443609802</v>
      </c>
      <c r="AG5148">
        <v>-1.101290526843</v>
      </c>
      <c r="AH5148">
        <v>6.3462984292160796</v>
      </c>
      <c r="AI5148">
        <v>97.792913251851203</v>
      </c>
      <c r="AJ5148">
        <v>52.0597251606046</v>
      </c>
      <c r="AK5148">
        <v>8.1220291157906708</v>
      </c>
      <c r="AL5148">
        <v>88.998649195412696</v>
      </c>
      <c r="AM5148">
        <v>76.442877120081206</v>
      </c>
      <c r="AN5148">
        <v>1.0000000669895199</v>
      </c>
    </row>
    <row r="5149" spans="1:40" x14ac:dyDescent="0.25">
      <c r="A5149" t="str">
        <f>"20190312154027471"</f>
        <v>20190312154027471</v>
      </c>
      <c r="B5149" t="str">
        <f>"1552376427460983"</f>
        <v>1552376427460983</v>
      </c>
      <c r="C5149" t="s">
        <v>40</v>
      </c>
      <c r="D5149">
        <v>4.6673640000000001</v>
      </c>
      <c r="E5149">
        <v>0.66722530000000002</v>
      </c>
      <c r="F5149" t="s">
        <v>42</v>
      </c>
      <c r="G5149">
        <v>-194.71190000000001</v>
      </c>
      <c r="H5149" s="1">
        <v>-4.4859919999999997E-6</v>
      </c>
      <c r="I5149">
        <v>197.71299999999999</v>
      </c>
      <c r="J5149">
        <v>-194.8167</v>
      </c>
      <c r="K5149">
        <v>1.1013219999999999</v>
      </c>
      <c r="L5149">
        <v>205.8246</v>
      </c>
      <c r="M5149">
        <v>0.61897250000000004</v>
      </c>
      <c r="N5149">
        <v>0</v>
      </c>
      <c r="O5149">
        <v>-0.78525279999999997</v>
      </c>
      <c r="P5149">
        <v>0.41908990000000002</v>
      </c>
      <c r="Q5149">
        <v>5.442161E-3</v>
      </c>
      <c r="R5149">
        <v>-0.90792850000000003</v>
      </c>
      <c r="S5149">
        <v>8.8211059999999994E-2</v>
      </c>
      <c r="T5149">
        <v>-0.4371139</v>
      </c>
      <c r="U5149">
        <v>-3.2884829999999998</v>
      </c>
      <c r="V5149">
        <v>0.23332310000000001</v>
      </c>
      <c r="W5149">
        <v>1.573242E-2</v>
      </c>
      <c r="X5149">
        <v>0.97227200000000003</v>
      </c>
      <c r="Y5149">
        <v>0.59726060000000003</v>
      </c>
      <c r="Z5149">
        <v>7.6521919999999993E-2</v>
      </c>
      <c r="AA5149">
        <v>0.79838849999999995</v>
      </c>
      <c r="AB5149">
        <v>21</v>
      </c>
      <c r="AC5149">
        <v>0.104799999999983</v>
      </c>
      <c r="AD5149">
        <v>-1.101326485992</v>
      </c>
      <c r="AE5149">
        <v>-8.1116000000000099</v>
      </c>
      <c r="AF5149">
        <v>4.8497968145999701</v>
      </c>
      <c r="AG5149">
        <v>-1.101326485992</v>
      </c>
      <c r="AH5149">
        <v>6.31887039564812</v>
      </c>
      <c r="AI5149">
        <v>97.871958024364204</v>
      </c>
      <c r="AJ5149">
        <v>52.493397302738401</v>
      </c>
      <c r="AK5149">
        <v>8.0412419593399793</v>
      </c>
      <c r="AL5149">
        <v>89.098561553192994</v>
      </c>
      <c r="AM5149">
        <v>76.5055026017573</v>
      </c>
      <c r="AN5149">
        <v>1.0000000100083299</v>
      </c>
    </row>
    <row r="5150" spans="1:40" x14ac:dyDescent="0.25">
      <c r="A5150" t="str">
        <f>"20190312154027493"</f>
        <v>20190312154027493</v>
      </c>
      <c r="B5150" t="str">
        <f>"1552376427481478"</f>
        <v>1552376427481478</v>
      </c>
      <c r="C5150" t="s">
        <v>40</v>
      </c>
      <c r="D5150">
        <v>4.6207390000000004</v>
      </c>
      <c r="E5150">
        <v>0.66553209999999996</v>
      </c>
      <c r="F5150" t="s">
        <v>42</v>
      </c>
      <c r="G5150">
        <v>-194.69460000000001</v>
      </c>
      <c r="H5150" s="1">
        <v>-4.4030029999999999E-6</v>
      </c>
      <c r="I5150">
        <v>197.47810000000001</v>
      </c>
      <c r="J5150">
        <v>-194.70359999999999</v>
      </c>
      <c r="K5150">
        <v>1.1013599999999999</v>
      </c>
      <c r="L5150">
        <v>205.65180000000001</v>
      </c>
      <c r="M5150">
        <v>0.60666189999999998</v>
      </c>
      <c r="N5150">
        <v>0</v>
      </c>
      <c r="O5150">
        <v>-0.79480200000000001</v>
      </c>
      <c r="P5150">
        <v>0.40533370000000002</v>
      </c>
      <c r="Q5150">
        <v>3.820403E-3</v>
      </c>
      <c r="R5150">
        <v>-0.91416109999999995</v>
      </c>
      <c r="S5150">
        <v>4.8034670000000002E-2</v>
      </c>
      <c r="T5150">
        <v>-0.43341469999999999</v>
      </c>
      <c r="U5150">
        <v>-3.2846679999999999</v>
      </c>
      <c r="V5150">
        <v>0.23282140000000001</v>
      </c>
      <c r="W5150">
        <v>1.4150930000000001E-2</v>
      </c>
      <c r="X5150">
        <v>0.97241659999999996</v>
      </c>
      <c r="Y5150">
        <v>0.59453009999999995</v>
      </c>
      <c r="Z5150">
        <v>7.7918370000000001E-2</v>
      </c>
      <c r="AA5150">
        <v>0.80028920000000003</v>
      </c>
      <c r="AB5150">
        <v>21</v>
      </c>
      <c r="AC5150">
        <v>8.9999999999861302E-3</v>
      </c>
      <c r="AD5150">
        <v>-1.1013644030030001</v>
      </c>
      <c r="AE5150">
        <v>-8.1736999999999895</v>
      </c>
      <c r="AF5150">
        <v>4.8638324320412103</v>
      </c>
      <c r="AG5150">
        <v>-1.1013644030030001</v>
      </c>
      <c r="AH5150">
        <v>6.3867899782508797</v>
      </c>
      <c r="AI5150">
        <v>97.811715053517801</v>
      </c>
      <c r="AJ5150">
        <v>52.709070653795102</v>
      </c>
      <c r="AK5150">
        <v>8.1031448031899291</v>
      </c>
      <c r="AL5150">
        <v>89.189184411824201</v>
      </c>
      <c r="AM5150">
        <v>76.535390610593396</v>
      </c>
      <c r="AN5150">
        <v>1.00000004853669</v>
      </c>
    </row>
    <row r="5151" spans="1:40" x14ac:dyDescent="0.25">
      <c r="A5151" t="str">
        <f>"20190312154027516"</f>
        <v>20190312154027516</v>
      </c>
      <c r="B5151" t="str">
        <f>"1552376427510762"</f>
        <v>1552376427510762</v>
      </c>
      <c r="C5151" t="s">
        <v>40</v>
      </c>
      <c r="D5151">
        <v>4.5770460000000002</v>
      </c>
      <c r="E5151">
        <v>0.65072030000000003</v>
      </c>
      <c r="F5151" t="s">
        <v>42</v>
      </c>
      <c r="G5151">
        <v>-194.6771</v>
      </c>
      <c r="H5151" s="1">
        <v>-4.3458110000000001E-6</v>
      </c>
      <c r="I5151">
        <v>197.3192</v>
      </c>
      <c r="J5151">
        <v>-194.58799999999999</v>
      </c>
      <c r="K5151">
        <v>1.1014010000000001</v>
      </c>
      <c r="L5151">
        <v>205.46899999999999</v>
      </c>
      <c r="M5151">
        <v>0.59362230000000005</v>
      </c>
      <c r="N5151">
        <v>0</v>
      </c>
      <c r="O5151">
        <v>-0.80458779999999996</v>
      </c>
      <c r="P5151">
        <v>0.39089560000000001</v>
      </c>
      <c r="Q5151">
        <v>2.5999420000000001E-3</v>
      </c>
      <c r="R5151">
        <v>-0.92043160000000002</v>
      </c>
      <c r="S5151">
        <v>1.0406489999999999E-2</v>
      </c>
      <c r="T5151">
        <v>-0.43339169999999999</v>
      </c>
      <c r="U5151">
        <v>-3.278915</v>
      </c>
      <c r="V5151">
        <v>0.23224539999999999</v>
      </c>
      <c r="W5151">
        <v>1.297134E-2</v>
      </c>
      <c r="X5151">
        <v>0.97257070000000001</v>
      </c>
      <c r="Y5151">
        <v>0.59060109999999999</v>
      </c>
      <c r="Z5151">
        <v>8.0108509999999994E-2</v>
      </c>
      <c r="AA5151">
        <v>0.80297759999999996</v>
      </c>
      <c r="AB5151">
        <v>21</v>
      </c>
      <c r="AC5151">
        <v>-8.91000000000019E-2</v>
      </c>
      <c r="AD5151">
        <v>-1.101405345811</v>
      </c>
      <c r="AE5151">
        <v>-8.1498000000000204</v>
      </c>
      <c r="AF5151">
        <v>4.8221460793117599</v>
      </c>
      <c r="AG5151">
        <v>-1.101405345811</v>
      </c>
      <c r="AH5151">
        <v>6.38848785167258</v>
      </c>
      <c r="AI5151">
        <v>97.834973759118597</v>
      </c>
      <c r="AJ5151">
        <v>52.953835259965203</v>
      </c>
      <c r="AK5151">
        <v>8.0795398122028601</v>
      </c>
      <c r="AL5151">
        <v>89.256776101107505</v>
      </c>
      <c r="AM5151">
        <v>76.569544601497299</v>
      </c>
      <c r="AN5151">
        <v>0.99999997399052198</v>
      </c>
    </row>
    <row r="5152" spans="1:40" x14ac:dyDescent="0.25">
      <c r="A5152" t="str">
        <f>"20190312154027539"</f>
        <v>20190312154027539</v>
      </c>
      <c r="B5152" t="str">
        <f>"1552376427531258"</f>
        <v>1552376427531258</v>
      </c>
      <c r="C5152" t="s">
        <v>40</v>
      </c>
      <c r="D5152">
        <v>4.5916030000000001</v>
      </c>
      <c r="E5152">
        <v>0.64919039999999995</v>
      </c>
      <c r="F5152" t="s">
        <v>42</v>
      </c>
      <c r="G5152">
        <v>-194.40860000000001</v>
      </c>
      <c r="H5152" s="1">
        <v>-4.1527239999999999E-6</v>
      </c>
      <c r="I5152">
        <v>196.89179999999999</v>
      </c>
      <c r="J5152">
        <v>-194.477</v>
      </c>
      <c r="K5152">
        <v>1.1014459999999999</v>
      </c>
      <c r="L5152">
        <v>205.2867</v>
      </c>
      <c r="M5152">
        <v>0.58060109999999998</v>
      </c>
      <c r="N5152">
        <v>0</v>
      </c>
      <c r="O5152">
        <v>-0.81403389999999998</v>
      </c>
      <c r="P5152">
        <v>0.37618279999999998</v>
      </c>
      <c r="Q5152">
        <v>1.5034549999999999E-3</v>
      </c>
      <c r="R5152">
        <v>-0.92654460000000005</v>
      </c>
      <c r="S5152">
        <v>6.7596439999999994E-2</v>
      </c>
      <c r="T5152">
        <v>-0.41499229999999998</v>
      </c>
      <c r="U5152">
        <v>-3.2317809999999998</v>
      </c>
      <c r="V5152">
        <v>0.23206850000000001</v>
      </c>
      <c r="W5152">
        <v>1.190188E-2</v>
      </c>
      <c r="X5152">
        <v>0.97262660000000001</v>
      </c>
      <c r="Y5152">
        <v>0.56314799999999998</v>
      </c>
      <c r="Z5152">
        <v>8.0953750000000005E-2</v>
      </c>
      <c r="AA5152">
        <v>0.82238120000000003</v>
      </c>
      <c r="AB5152">
        <v>21</v>
      </c>
      <c r="AC5152">
        <v>6.8399999999996894E-2</v>
      </c>
      <c r="AD5152">
        <v>-1.1014501527239999</v>
      </c>
      <c r="AE5152">
        <v>-8.3948999999999998</v>
      </c>
      <c r="AF5152">
        <v>4.7374650232838196</v>
      </c>
      <c r="AG5152">
        <v>-1.1014501527239999</v>
      </c>
      <c r="AH5152">
        <v>6.75798100104016</v>
      </c>
      <c r="AI5152">
        <v>97.601703202942005</v>
      </c>
      <c r="AJ5152">
        <v>54.968860215134001</v>
      </c>
      <c r="AK5152">
        <v>8.3262881583688397</v>
      </c>
      <c r="AL5152">
        <v>89.318056388737304</v>
      </c>
      <c r="AM5152">
        <v>76.580147698945396</v>
      </c>
      <c r="AN5152">
        <v>0.99999997323367096</v>
      </c>
    </row>
    <row r="5153" spans="1:40" x14ac:dyDescent="0.25">
      <c r="A5153" t="str">
        <f>"20190312154027560"</f>
        <v>20190312154027560</v>
      </c>
      <c r="B5153" t="str">
        <f>"1552376427550775"</f>
        <v>1552376427550775</v>
      </c>
      <c r="C5153" t="s">
        <v>40</v>
      </c>
      <c r="D5153">
        <v>4.6163550000000004</v>
      </c>
      <c r="E5153">
        <v>0.64835129999999996</v>
      </c>
      <c r="F5153" t="s">
        <v>42</v>
      </c>
      <c r="G5153">
        <v>-194.4008</v>
      </c>
      <c r="H5153" s="1">
        <v>-3.9779270000000002E-6</v>
      </c>
      <c r="I5153">
        <v>196.38220000000001</v>
      </c>
      <c r="J5153">
        <v>-194.37029999999999</v>
      </c>
      <c r="K5153">
        <v>1.101486</v>
      </c>
      <c r="L5153">
        <v>205.10480000000001</v>
      </c>
      <c r="M5153">
        <v>0.56758999999999904</v>
      </c>
      <c r="N5153">
        <v>0</v>
      </c>
      <c r="O5153">
        <v>-0.82315890000000003</v>
      </c>
      <c r="P5153">
        <v>0.3617592</v>
      </c>
      <c r="Q5153">
        <v>8.0518199999999999E-4</v>
      </c>
      <c r="R5153">
        <v>-0.93227150000000003</v>
      </c>
      <c r="S5153">
        <v>2.7618409999999999E-2</v>
      </c>
      <c r="T5153">
        <v>-0.39920230000000001</v>
      </c>
      <c r="U5153">
        <v>-3.2272949999999998</v>
      </c>
      <c r="V5153">
        <v>0.23168759999999999</v>
      </c>
      <c r="W5153">
        <v>1.123244E-2</v>
      </c>
      <c r="X5153">
        <v>0.97272539999999996</v>
      </c>
      <c r="Y5153">
        <v>0.56022109999999903</v>
      </c>
      <c r="Z5153">
        <v>7.9779859999999994E-2</v>
      </c>
      <c r="AA5153">
        <v>0.82449229999999996</v>
      </c>
      <c r="AB5153">
        <v>20</v>
      </c>
      <c r="AC5153">
        <v>-3.05000000000177E-2</v>
      </c>
      <c r="AD5153">
        <v>-1.101489977927</v>
      </c>
      <c r="AE5153">
        <v>-8.7225999999999999</v>
      </c>
      <c r="AF5153">
        <v>4.89847821203879</v>
      </c>
      <c r="AG5153">
        <v>-1.101489977927</v>
      </c>
      <c r="AH5153">
        <v>7.0512314123711404</v>
      </c>
      <c r="AI5153">
        <v>97.310709284553198</v>
      </c>
      <c r="AJ5153">
        <v>55.212358577986102</v>
      </c>
      <c r="AK5153">
        <v>8.6561095993582402</v>
      </c>
      <c r="AL5153">
        <v>89.356415065599705</v>
      </c>
      <c r="AM5153">
        <v>76.602690983824999</v>
      </c>
      <c r="AN5153">
        <v>1.00000000775363</v>
      </c>
    </row>
    <row r="5154" spans="1:40" x14ac:dyDescent="0.25">
      <c r="A5154" t="str">
        <f>"20190312154027582"</f>
        <v>20190312154027582</v>
      </c>
      <c r="B5154" t="str">
        <f>"1552376427571271"</f>
        <v>1552376427571271</v>
      </c>
      <c r="C5154" t="s">
        <v>40</v>
      </c>
      <c r="D5154">
        <v>4.5983299999999998</v>
      </c>
      <c r="E5154">
        <v>0.63594779999999995</v>
      </c>
      <c r="F5154" t="s">
        <v>42</v>
      </c>
      <c r="G5154">
        <v>-194.41550000000001</v>
      </c>
      <c r="H5154" s="1">
        <v>-3.9283899999999997E-6</v>
      </c>
      <c r="I5154">
        <v>196.22900000000001</v>
      </c>
      <c r="J5154">
        <v>-194.2662</v>
      </c>
      <c r="K5154">
        <v>1.1015269999999999</v>
      </c>
      <c r="L5154">
        <v>204.9205</v>
      </c>
      <c r="M5154">
        <v>0.55439819999999995</v>
      </c>
      <c r="N5154">
        <v>0</v>
      </c>
      <c r="O5154">
        <v>-0.83210059999999997</v>
      </c>
      <c r="P5154">
        <v>0.34709679999999998</v>
      </c>
      <c r="Q5154" s="1">
        <v>-3.18150299999999E-5</v>
      </c>
      <c r="R5154">
        <v>-0.93782960000000004</v>
      </c>
      <c r="S5154">
        <v>-1.64032E-2</v>
      </c>
      <c r="T5154">
        <v>-0.40017829999999999</v>
      </c>
      <c r="U5154">
        <v>-3.2246250000000001</v>
      </c>
      <c r="V5154">
        <v>0.2314175</v>
      </c>
      <c r="W5154">
        <v>1.0419009999999999E-2</v>
      </c>
      <c r="X5154">
        <v>0.97279879999999996</v>
      </c>
      <c r="Y5154">
        <v>0.55827979999999999</v>
      </c>
      <c r="Z5154">
        <v>8.1722399999999903E-2</v>
      </c>
      <c r="AA5154">
        <v>0.82561799999999996</v>
      </c>
      <c r="AB5154">
        <v>20</v>
      </c>
      <c r="AC5154">
        <v>-0.14930000000001001</v>
      </c>
      <c r="AD5154">
        <v>-1.1015309283900001</v>
      </c>
      <c r="AE5154">
        <v>-8.6914999999999907</v>
      </c>
      <c r="AF5154">
        <v>4.8652816969515804</v>
      </c>
      <c r="AG5154">
        <v>-1.1015309283900001</v>
      </c>
      <c r="AH5154">
        <v>7.03732761720463</v>
      </c>
      <c r="AI5154">
        <v>97.336620328203693</v>
      </c>
      <c r="AJ5154">
        <v>55.341817295557902</v>
      </c>
      <c r="AK5154">
        <v>8.6260255256266607</v>
      </c>
      <c r="AL5154">
        <v>89.403023935022901</v>
      </c>
      <c r="AM5154">
        <v>76.618720728311402</v>
      </c>
      <c r="AN5154">
        <v>1.0000000601785299</v>
      </c>
    </row>
    <row r="5155" spans="1:40" x14ac:dyDescent="0.25">
      <c r="A5155" t="str">
        <f>"20190312154027606"</f>
        <v>20190312154027606</v>
      </c>
      <c r="B5155" t="str">
        <f>"1552376427601527"</f>
        <v>1552376427601527</v>
      </c>
      <c r="C5155" t="s">
        <v>40</v>
      </c>
      <c r="D5155">
        <v>4.5484960000000001</v>
      </c>
      <c r="E5155">
        <v>0.63360590000000006</v>
      </c>
      <c r="F5155" t="s">
        <v>42</v>
      </c>
      <c r="G5155">
        <v>-194.1996</v>
      </c>
      <c r="H5155" s="1">
        <v>-4.0459770000000003E-6</v>
      </c>
      <c r="I5155">
        <v>196.68700000000001</v>
      </c>
      <c r="J5155">
        <v>-194.16399999999999</v>
      </c>
      <c r="K5155">
        <v>1.101567</v>
      </c>
      <c r="L5155">
        <v>204.7329</v>
      </c>
      <c r="M5155">
        <v>0.54093819999999904</v>
      </c>
      <c r="N5155">
        <v>0</v>
      </c>
      <c r="O5155">
        <v>-0.84091319999999903</v>
      </c>
      <c r="P5155">
        <v>0.33153339999999998</v>
      </c>
      <c r="Q5155">
        <v>7.8741100000000001E-4</v>
      </c>
      <c r="R5155">
        <v>-0.94344309999999998</v>
      </c>
      <c r="S5155">
        <v>2.5772090000000001E-2</v>
      </c>
      <c r="T5155">
        <v>-0.42668479999999998</v>
      </c>
      <c r="U5155">
        <v>-3.1893009999999999</v>
      </c>
      <c r="V5155">
        <v>0.23187579999999999</v>
      </c>
      <c r="W5155">
        <v>1.124198E-2</v>
      </c>
      <c r="X5155">
        <v>0.9726804</v>
      </c>
      <c r="Y5155">
        <v>0.53382830000000003</v>
      </c>
      <c r="Z5155">
        <v>9.0852859999999994E-2</v>
      </c>
      <c r="AA5155">
        <v>0.84069799999999995</v>
      </c>
      <c r="AB5155">
        <v>20</v>
      </c>
      <c r="AC5155">
        <v>-3.5599999999988002E-2</v>
      </c>
      <c r="AD5155">
        <v>-1.1015710459770001</v>
      </c>
      <c r="AE5155">
        <v>-8.0458999999999801</v>
      </c>
      <c r="AF5155">
        <v>4.3021799448926696</v>
      </c>
      <c r="AG5155">
        <v>-1.1015710459770001</v>
      </c>
      <c r="AH5155">
        <v>6.6233431176542696</v>
      </c>
      <c r="AI5155">
        <v>97.940149837473697</v>
      </c>
      <c r="AJ5155">
        <v>56.994337890537402</v>
      </c>
      <c r="AK5155">
        <v>7.9743893246912503</v>
      </c>
      <c r="AL5155">
        <v>89.355868401582399</v>
      </c>
      <c r="AM5155">
        <v>76.591603258973706</v>
      </c>
      <c r="AN5155">
        <v>0.99999996464205898</v>
      </c>
    </row>
    <row r="5156" spans="1:40" x14ac:dyDescent="0.25">
      <c r="A5156" t="str">
        <f>"20190312154027629"</f>
        <v>20190312154027629</v>
      </c>
      <c r="B5156" t="str">
        <f>"1552376427621565"</f>
        <v>1552376427621565</v>
      </c>
      <c r="C5156" t="s">
        <v>40</v>
      </c>
      <c r="D5156">
        <v>4.6034430000000004</v>
      </c>
      <c r="E5156">
        <v>0.6310384</v>
      </c>
      <c r="F5156" t="s">
        <v>42</v>
      </c>
      <c r="G5156">
        <v>-194.18899999999999</v>
      </c>
      <c r="H5156" s="1">
        <v>-3.8691879999999998E-6</v>
      </c>
      <c r="I5156">
        <v>196.173</v>
      </c>
      <c r="J5156">
        <v>-194.0641</v>
      </c>
      <c r="K5156">
        <v>1.10161</v>
      </c>
      <c r="L5156">
        <v>204.54220000000001</v>
      </c>
      <c r="M5156">
        <v>0.52723319999999996</v>
      </c>
      <c r="N5156">
        <v>0</v>
      </c>
      <c r="O5156">
        <v>-0.84957320000000003</v>
      </c>
      <c r="P5156">
        <v>0.31540249999999997</v>
      </c>
      <c r="Q5156">
        <v>1.9940040000000002E-3</v>
      </c>
      <c r="R5156">
        <v>-0.94895620000000003</v>
      </c>
      <c r="S5156">
        <v>-9.3078610000000006E-3</v>
      </c>
      <c r="T5156">
        <v>-0.4096783</v>
      </c>
      <c r="U5156">
        <v>-3.1834560000000001</v>
      </c>
      <c r="V5156">
        <v>0.2327101</v>
      </c>
      <c r="W5156">
        <v>1.244114E-2</v>
      </c>
      <c r="X5156">
        <v>0.97246659999999996</v>
      </c>
      <c r="Y5156">
        <v>0.52941240000000001</v>
      </c>
      <c r="Z5156">
        <v>8.9243160000000002E-2</v>
      </c>
      <c r="AA5156">
        <v>0.84365759999999901</v>
      </c>
      <c r="AB5156">
        <v>20</v>
      </c>
      <c r="AC5156">
        <v>-0.124900000000025</v>
      </c>
      <c r="AD5156">
        <v>-1.101613869188</v>
      </c>
      <c r="AE5156">
        <v>-8.3691999999999993</v>
      </c>
      <c r="AF5156">
        <v>4.4422499531771704</v>
      </c>
      <c r="AG5156">
        <v>-1.101613869188</v>
      </c>
      <c r="AH5156">
        <v>6.9253198566488603</v>
      </c>
      <c r="AI5156">
        <v>97.626105650866293</v>
      </c>
      <c r="AJ5156">
        <v>57.321837115703197</v>
      </c>
      <c r="AK5156">
        <v>8.3010356510609498</v>
      </c>
      <c r="AL5156">
        <v>89.287156817293905</v>
      </c>
      <c r="AM5156">
        <v>76.542259934019498</v>
      </c>
      <c r="AN5156">
        <v>1.0000000303610299</v>
      </c>
    </row>
    <row r="5157" spans="1:40" x14ac:dyDescent="0.25">
      <c r="A5157" t="str">
        <f>"20190312154027650"</f>
        <v>20190312154027650</v>
      </c>
      <c r="B5157" t="str">
        <f>"1552376427641085"</f>
        <v>1552376427641085</v>
      </c>
      <c r="C5157" t="s">
        <v>40</v>
      </c>
      <c r="D5157">
        <v>4.5433300000000001</v>
      </c>
      <c r="E5157">
        <v>0.62890760000000001</v>
      </c>
      <c r="F5157" t="s">
        <v>42</v>
      </c>
      <c r="G5157">
        <v>-194.18690000000001</v>
      </c>
      <c r="H5157" s="1">
        <v>-3.6948670000000001E-6</v>
      </c>
      <c r="I5157">
        <v>195.6619</v>
      </c>
      <c r="J5157">
        <v>-193.97149999999999</v>
      </c>
      <c r="K5157">
        <v>1.101647</v>
      </c>
      <c r="L5157">
        <v>204.3586</v>
      </c>
      <c r="M5157">
        <v>0.51400920000000005</v>
      </c>
      <c r="N5157">
        <v>0</v>
      </c>
      <c r="O5157">
        <v>-0.85763899999999904</v>
      </c>
      <c r="P5157">
        <v>0.30086239999999997</v>
      </c>
      <c r="Q5157">
        <v>2.9757799999999999E-3</v>
      </c>
      <c r="R5157">
        <v>-0.95366320000000004</v>
      </c>
      <c r="S5157">
        <v>-4.3930049999999998E-2</v>
      </c>
      <c r="T5157">
        <v>-0.39408270000000001</v>
      </c>
      <c r="U5157">
        <v>-3.1767729999999998</v>
      </c>
      <c r="V5157">
        <v>0.23252639999999999</v>
      </c>
      <c r="W5157">
        <v>1.34386E-2</v>
      </c>
      <c r="X5157">
        <v>0.97249719999999995</v>
      </c>
      <c r="Y5157">
        <v>0.52550819999999998</v>
      </c>
      <c r="Z5157">
        <v>8.7676530000000003E-2</v>
      </c>
      <c r="AA5157">
        <v>0.84625879999999998</v>
      </c>
      <c r="AB5157">
        <v>20</v>
      </c>
      <c r="AC5157">
        <v>-0.215400000000016</v>
      </c>
      <c r="AD5157">
        <v>-1.101650694867</v>
      </c>
      <c r="AE5157">
        <v>-8.6966999999999892</v>
      </c>
      <c r="AF5157">
        <v>4.5820208913085798</v>
      </c>
      <c r="AG5157">
        <v>-1.101650694867</v>
      </c>
      <c r="AH5157">
        <v>7.2328395477171004</v>
      </c>
      <c r="AI5157">
        <v>97.331767261736999</v>
      </c>
      <c r="AJ5157">
        <v>57.6456451829809</v>
      </c>
      <c r="AK5157">
        <v>8.6326425632543007</v>
      </c>
      <c r="AL5157">
        <v>89.230001731587706</v>
      </c>
      <c r="AM5157">
        <v>76.552905157616195</v>
      </c>
      <c r="AN5157">
        <v>0.99999996333737895</v>
      </c>
    </row>
    <row r="5158" spans="1:40" x14ac:dyDescent="0.25">
      <c r="A5158" t="str">
        <f>"20190312154027672"</f>
        <v>20190312154027672</v>
      </c>
      <c r="B5158" t="str">
        <f>"1552376427661404"</f>
        <v>1552376427661404</v>
      </c>
      <c r="C5158" t="s">
        <v>40</v>
      </c>
      <c r="D5158">
        <v>4.5443680000000004</v>
      </c>
      <c r="E5158">
        <v>0.62798859999999901</v>
      </c>
      <c r="F5158" t="s">
        <v>42</v>
      </c>
      <c r="G5158">
        <v>-194.18940000000001</v>
      </c>
      <c r="H5158" s="1">
        <v>-3.568377E-6</v>
      </c>
      <c r="I5158">
        <v>195.30869999999999</v>
      </c>
      <c r="J5158">
        <v>-193.88300000000001</v>
      </c>
      <c r="K5158">
        <v>1.1016820000000001</v>
      </c>
      <c r="L5158">
        <v>204.1763</v>
      </c>
      <c r="M5158">
        <v>0.50085809999999997</v>
      </c>
      <c r="N5158">
        <v>0</v>
      </c>
      <c r="O5158">
        <v>-0.86538510000000002</v>
      </c>
      <c r="P5158">
        <v>0.2866552</v>
      </c>
      <c r="Q5158">
        <v>3.3114899999999998E-3</v>
      </c>
      <c r="R5158">
        <v>-0.95802810000000005</v>
      </c>
      <c r="S5158">
        <v>-7.6370240000000006E-2</v>
      </c>
      <c r="T5158">
        <v>-0.38601730000000001</v>
      </c>
      <c r="U5158">
        <v>-3.1710820000000002</v>
      </c>
      <c r="V5158">
        <v>0.23214119999999999</v>
      </c>
      <c r="W5158">
        <v>1.3794290000000001E-2</v>
      </c>
      <c r="X5158">
        <v>0.97258429999999996</v>
      </c>
      <c r="Y5158">
        <v>0.52121909999999905</v>
      </c>
      <c r="Z5158">
        <v>8.7589940000000005E-2</v>
      </c>
      <c r="AA5158">
        <v>0.84891620000000001</v>
      </c>
      <c r="AB5158">
        <v>20</v>
      </c>
      <c r="AC5158">
        <v>-0.30640000000002399</v>
      </c>
      <c r="AD5158">
        <v>-1.1016855683769999</v>
      </c>
      <c r="AE5158">
        <v>-8.8676000000000101</v>
      </c>
      <c r="AF5158">
        <v>4.6356853208725797</v>
      </c>
      <c r="AG5158">
        <v>-1.1016855683769999</v>
      </c>
      <c r="AH5158">
        <v>7.4071729800519197</v>
      </c>
      <c r="AI5158">
        <v>97.185779691772197</v>
      </c>
      <c r="AJ5158">
        <v>57.960130777479698</v>
      </c>
      <c r="AK5158">
        <v>8.8073549401698905</v>
      </c>
      <c r="AL5158">
        <v>89.209620350096003</v>
      </c>
      <c r="AM5158">
        <v>76.575533107227301</v>
      </c>
      <c r="AN5158">
        <v>1.0000000198902601</v>
      </c>
    </row>
    <row r="5159" spans="1:40" x14ac:dyDescent="0.25">
      <c r="A5159" t="str">
        <f>"20190312154027694"</f>
        <v>20190312154027694</v>
      </c>
      <c r="B5159" t="str">
        <f>"1552376427691660"</f>
        <v>1552376427691660</v>
      </c>
      <c r="C5159" t="s">
        <v>40</v>
      </c>
      <c r="D5159">
        <v>4.4794839999999896</v>
      </c>
      <c r="E5159">
        <v>0.6106142</v>
      </c>
      <c r="F5159" t="s">
        <v>42</v>
      </c>
      <c r="G5159">
        <v>-194.21979999999999</v>
      </c>
      <c r="H5159" s="1">
        <v>-3.4526569999999999E-6</v>
      </c>
      <c r="I5159">
        <v>195.02010000000001</v>
      </c>
      <c r="J5159">
        <v>-193.79570000000001</v>
      </c>
      <c r="K5159">
        <v>1.101718</v>
      </c>
      <c r="L5159">
        <v>203.9889</v>
      </c>
      <c r="M5159">
        <v>0.48731720000000001</v>
      </c>
      <c r="N5159">
        <v>0</v>
      </c>
      <c r="O5159">
        <v>-0.87308189999999997</v>
      </c>
      <c r="P5159">
        <v>0.27323120000000001</v>
      </c>
      <c r="Q5159">
        <v>3.4717760000000002E-3</v>
      </c>
      <c r="R5159">
        <v>-0.96194219999999997</v>
      </c>
      <c r="S5159">
        <v>-0.1165161</v>
      </c>
      <c r="T5159">
        <v>-0.38113000000000002</v>
      </c>
      <c r="U5159">
        <v>-3.1676030000000002</v>
      </c>
      <c r="V5159">
        <v>0.2305922</v>
      </c>
      <c r="W5159">
        <v>1.400265E-2</v>
      </c>
      <c r="X5159">
        <v>0.97294970000000003</v>
      </c>
      <c r="Y5159">
        <v>0.51871469999999997</v>
      </c>
      <c r="Z5159">
        <v>8.8018540000000006E-2</v>
      </c>
      <c r="AA5159">
        <v>0.85040459999999995</v>
      </c>
      <c r="AB5159">
        <v>20</v>
      </c>
      <c r="AC5159">
        <v>-0.42409999999998099</v>
      </c>
      <c r="AD5159">
        <v>-1.1017214526570001</v>
      </c>
      <c r="AE5159">
        <v>-8.9687999999999803</v>
      </c>
      <c r="AF5159">
        <v>4.6711884689292198</v>
      </c>
      <c r="AG5159">
        <v>-1.1017214526570001</v>
      </c>
      <c r="AH5159">
        <v>7.5116839583219202</v>
      </c>
      <c r="AI5159">
        <v>97.099607040314794</v>
      </c>
      <c r="AJ5159">
        <v>58.124322245690102</v>
      </c>
      <c r="AK5159">
        <v>8.9139883195578005</v>
      </c>
      <c r="AL5159">
        <v>89.197681014737697</v>
      </c>
      <c r="AM5159">
        <v>76.666728829996103</v>
      </c>
      <c r="AN5159">
        <v>0.99999997781897598</v>
      </c>
    </row>
    <row r="5160" spans="1:40" x14ac:dyDescent="0.25">
      <c r="A5160" t="str">
        <f>"20190312154027718"</f>
        <v>20190312154027718</v>
      </c>
      <c r="B5160" t="str">
        <f>"1552376427711183"</f>
        <v>1552376427711183</v>
      </c>
      <c r="C5160" t="s">
        <v>40</v>
      </c>
      <c r="D5160">
        <v>4.4805330000000003</v>
      </c>
      <c r="E5160">
        <v>0.60837839999999999</v>
      </c>
      <c r="F5160" t="s">
        <v>42</v>
      </c>
      <c r="G5160">
        <v>-193.8887</v>
      </c>
      <c r="H5160" s="1">
        <v>-2.717646E-6</v>
      </c>
      <c r="I5160">
        <v>193.51220000000001</v>
      </c>
      <c r="J5160">
        <v>-193.70509999999999</v>
      </c>
      <c r="K5160">
        <v>1.101747</v>
      </c>
      <c r="L5160">
        <v>203.78630000000001</v>
      </c>
      <c r="M5160">
        <v>0.47264270000000003</v>
      </c>
      <c r="N5160">
        <v>0</v>
      </c>
      <c r="O5160">
        <v>-0.88111260000000002</v>
      </c>
      <c r="P5160">
        <v>0.25932529999999998</v>
      </c>
      <c r="Q5160">
        <v>3.1497930000000001E-3</v>
      </c>
      <c r="R5160">
        <v>-0.96578509999999995</v>
      </c>
      <c r="S5160">
        <v>-2.7755740000000001E-2</v>
      </c>
      <c r="T5160">
        <v>-0.32890940000000002</v>
      </c>
      <c r="U5160">
        <v>-3.1277469999999998</v>
      </c>
      <c r="V5160">
        <v>0.2283433</v>
      </c>
      <c r="W5160">
        <v>1.3745179999999999E-2</v>
      </c>
      <c r="X5160">
        <v>0.9734836</v>
      </c>
      <c r="Y5160">
        <v>0.48030129999999999</v>
      </c>
      <c r="Z5160">
        <v>7.9538479999999995E-2</v>
      </c>
      <c r="AA5160">
        <v>0.87348969999999904</v>
      </c>
      <c r="AB5160">
        <v>20</v>
      </c>
      <c r="AC5160">
        <v>-0.183600000000012</v>
      </c>
      <c r="AD5160">
        <v>-1.101749717646</v>
      </c>
      <c r="AE5160">
        <v>-10.274100000000001</v>
      </c>
      <c r="AF5160">
        <v>4.9613419747856797</v>
      </c>
      <c r="AG5160">
        <v>-1.101749717646</v>
      </c>
      <c r="AH5160">
        <v>8.8650691363061807</v>
      </c>
      <c r="AI5160">
        <v>96.189598686771802</v>
      </c>
      <c r="AJ5160">
        <v>60.766412331030601</v>
      </c>
      <c r="AK5160">
        <v>10.2185232505774</v>
      </c>
      <c r="AL5160">
        <v>89.212434362283105</v>
      </c>
      <c r="AM5160">
        <v>76.799175298622302</v>
      </c>
      <c r="AN5160">
        <v>0.99999995604853997</v>
      </c>
    </row>
    <row r="5161" spans="1:40" x14ac:dyDescent="0.25">
      <c r="A5161" t="str">
        <f>"20190312154027739"</f>
        <v>20190312154027739</v>
      </c>
      <c r="B5161" t="str">
        <f>"1552376427731676"</f>
        <v>1552376427731676</v>
      </c>
      <c r="C5161" t="s">
        <v>40</v>
      </c>
      <c r="D5161">
        <v>4.51227</v>
      </c>
      <c r="E5161">
        <v>0.60610799999999998</v>
      </c>
      <c r="F5161" t="s">
        <v>42</v>
      </c>
      <c r="G5161">
        <v>-193.89930000000001</v>
      </c>
      <c r="H5161" s="1">
        <v>-2.506758E-6</v>
      </c>
      <c r="I5161">
        <v>193.01390000000001</v>
      </c>
      <c r="J5161">
        <v>-193.62649999999999</v>
      </c>
      <c r="K5161">
        <v>1.1017680000000001</v>
      </c>
      <c r="L5161">
        <v>203.602</v>
      </c>
      <c r="M5161">
        <v>0.45928099999999999</v>
      </c>
      <c r="N5161">
        <v>0</v>
      </c>
      <c r="O5161">
        <v>-0.88815089999999997</v>
      </c>
      <c r="P5161">
        <v>0.2476391</v>
      </c>
      <c r="Q5161">
        <v>2.9167640000000001E-3</v>
      </c>
      <c r="R5161">
        <v>-0.96884809999999999</v>
      </c>
      <c r="S5161">
        <v>-5.628967E-2</v>
      </c>
      <c r="T5161">
        <v>-0.31934899999999999</v>
      </c>
      <c r="U5161">
        <v>-3.1224210000000001</v>
      </c>
      <c r="V5161">
        <v>0.22539380000000001</v>
      </c>
      <c r="W5161">
        <v>1.359308E-2</v>
      </c>
      <c r="X5161">
        <v>0.97417290000000001</v>
      </c>
      <c r="Y5161">
        <v>0.47506019999999999</v>
      </c>
      <c r="Z5161">
        <v>7.8580510000000006E-2</v>
      </c>
      <c r="AA5161">
        <v>0.87643769999999999</v>
      </c>
      <c r="AB5161">
        <v>20</v>
      </c>
      <c r="AC5161">
        <v>-0.27280000000001697</v>
      </c>
      <c r="AD5161">
        <v>-1.1017705067579999</v>
      </c>
      <c r="AE5161">
        <v>-10.588099999999899</v>
      </c>
      <c r="AF5161">
        <v>5.0511786655555397</v>
      </c>
      <c r="AG5161">
        <v>-1.1017705067579999</v>
      </c>
      <c r="AH5161">
        <v>9.1803553320247993</v>
      </c>
      <c r="AI5161">
        <v>96.0025095911937</v>
      </c>
      <c r="AJ5161">
        <v>61.179704158759499</v>
      </c>
      <c r="AK5161">
        <v>10.535996781660501</v>
      </c>
      <c r="AL5161">
        <v>89.221149889886803</v>
      </c>
      <c r="AM5161">
        <v>76.972738981952602</v>
      </c>
      <c r="AN5161">
        <v>0.99999998799836798</v>
      </c>
    </row>
    <row r="5162" spans="1:40" x14ac:dyDescent="0.25">
      <c r="A5162" t="str">
        <f>"20190312154027761"</f>
        <v>20190312154027761</v>
      </c>
      <c r="B5162" t="str">
        <f>"1552376427751197"</f>
        <v>1552376427751197</v>
      </c>
      <c r="C5162" t="s">
        <v>40</v>
      </c>
      <c r="D5162">
        <v>4.4810040000000004</v>
      </c>
      <c r="E5162">
        <v>0.59537739999999995</v>
      </c>
      <c r="F5162" t="s">
        <v>42</v>
      </c>
      <c r="G5162">
        <v>-193.9</v>
      </c>
      <c r="H5162" s="1">
        <v>-2.2937620000000002E-6</v>
      </c>
      <c r="I5162">
        <v>192.5171</v>
      </c>
      <c r="J5162">
        <v>-193.54830000000001</v>
      </c>
      <c r="K5162">
        <v>1.101801</v>
      </c>
      <c r="L5162">
        <v>203.41059999999999</v>
      </c>
      <c r="M5162">
        <v>0.44538109999999997</v>
      </c>
      <c r="N5162">
        <v>0</v>
      </c>
      <c r="O5162">
        <v>-0.89520200000000005</v>
      </c>
      <c r="P5162">
        <v>0.23511389999999999</v>
      </c>
      <c r="Q5162">
        <v>3.387265E-3</v>
      </c>
      <c r="R5162">
        <v>-0.97196199999999999</v>
      </c>
      <c r="S5162">
        <v>-7.6889040000000006E-2</v>
      </c>
      <c r="T5162">
        <v>-0.30981429999999999</v>
      </c>
      <c r="U5162">
        <v>-3.1170499999999999</v>
      </c>
      <c r="V5162">
        <v>0.2227893</v>
      </c>
      <c r="W5162">
        <v>1.413472E-2</v>
      </c>
      <c r="X5162">
        <v>0.97476419999999997</v>
      </c>
      <c r="Y5162">
        <v>0.4671632</v>
      </c>
      <c r="Z5162">
        <v>7.7627950000000001E-2</v>
      </c>
      <c r="AA5162">
        <v>0.88075669999999995</v>
      </c>
      <c r="AB5162">
        <v>20</v>
      </c>
      <c r="AC5162">
        <v>-0.35169999999999302</v>
      </c>
      <c r="AD5162">
        <v>-1.1018032937619999</v>
      </c>
      <c r="AE5162">
        <v>-10.8934999999999</v>
      </c>
      <c r="AF5162">
        <v>5.1149736508493504</v>
      </c>
      <c r="AG5162">
        <v>-1.1018032937619999</v>
      </c>
      <c r="AH5162">
        <v>9.4993608065276707</v>
      </c>
      <c r="AI5162">
        <v>95.831035560466603</v>
      </c>
      <c r="AJ5162">
        <v>61.699556502715801</v>
      </c>
      <c r="AK5162">
        <v>10.845034886049101</v>
      </c>
      <c r="AL5162">
        <v>89.190113273732194</v>
      </c>
      <c r="AM5162">
        <v>77.125777459918595</v>
      </c>
      <c r="AN5162">
        <v>1.0000000540528</v>
      </c>
    </row>
    <row r="5163" spans="1:40" x14ac:dyDescent="0.25">
      <c r="A5163" t="str">
        <f>"20190312154027784"</f>
        <v>20190312154027784</v>
      </c>
      <c r="B5163" t="str">
        <f>"1552376427771692"</f>
        <v>1552376427771692</v>
      </c>
      <c r="C5163" t="s">
        <v>40</v>
      </c>
      <c r="D5163">
        <v>4.2606909999999996</v>
      </c>
      <c r="E5163">
        <v>0.59561090000000005</v>
      </c>
      <c r="F5163" t="s">
        <v>42</v>
      </c>
      <c r="G5163">
        <v>-193.68620000000001</v>
      </c>
      <c r="H5163" s="1">
        <v>-1.5466409999999901E-6</v>
      </c>
      <c r="I5163">
        <v>190.90809999999999</v>
      </c>
      <c r="J5163">
        <v>-193.4736</v>
      </c>
      <c r="K5163">
        <v>1.1018479999999999</v>
      </c>
      <c r="L5163">
        <v>203.2192</v>
      </c>
      <c r="M5163">
        <v>0.4314559</v>
      </c>
      <c r="N5163">
        <v>0</v>
      </c>
      <c r="O5163">
        <v>-0.90199640000000003</v>
      </c>
      <c r="P5163">
        <v>0.22247140000000001</v>
      </c>
      <c r="Q5163">
        <v>5.5243999999999996E-3</v>
      </c>
      <c r="R5163">
        <v>-0.97492380000000001</v>
      </c>
      <c r="S5163">
        <v>-3.414917E-2</v>
      </c>
      <c r="T5163">
        <v>-0.27281460000000002</v>
      </c>
      <c r="U5163">
        <v>-3.0957340000000002</v>
      </c>
      <c r="V5163">
        <v>0.22038199999999999</v>
      </c>
      <c r="W5163">
        <v>1.6337930000000001E-2</v>
      </c>
      <c r="X5163">
        <v>0.97527680000000005</v>
      </c>
      <c r="Y5163">
        <v>0.44131369999999998</v>
      </c>
      <c r="Z5163">
        <v>7.0392560000000007E-2</v>
      </c>
      <c r="AA5163">
        <v>0.89458769999999999</v>
      </c>
      <c r="AB5163">
        <v>20</v>
      </c>
      <c r="AC5163">
        <v>-0.212600000000008</v>
      </c>
      <c r="AD5163">
        <v>-1.1018495466410001</v>
      </c>
      <c r="AE5163">
        <v>-12.3111</v>
      </c>
      <c r="AF5163">
        <v>5.4604177935537397</v>
      </c>
      <c r="AG5163">
        <v>-1.1018495466410001</v>
      </c>
      <c r="AH5163">
        <v>10.9267073268082</v>
      </c>
      <c r="AI5163">
        <v>95.154345221452104</v>
      </c>
      <c r="AJ5163">
        <v>63.447265875050199</v>
      </c>
      <c r="AK5163">
        <v>12.2647123043843</v>
      </c>
      <c r="AL5163">
        <v>89.063863910606699</v>
      </c>
      <c r="AM5163">
        <v>77.266801188772504</v>
      </c>
      <c r="AN5163">
        <v>0.99999999524946204</v>
      </c>
    </row>
    <row r="5164" spans="1:40" x14ac:dyDescent="0.25">
      <c r="A5164" t="str">
        <f>"20190312154027806"</f>
        <v>20190312154027806</v>
      </c>
      <c r="B5164" t="str">
        <f>"1552376427791212"</f>
        <v>1552376427791212</v>
      </c>
      <c r="C5164" t="s">
        <v>40</v>
      </c>
      <c r="D5164">
        <v>4.302664</v>
      </c>
      <c r="E5164">
        <v>0.59378980000000003</v>
      </c>
      <c r="F5164" t="s">
        <v>42</v>
      </c>
      <c r="G5164">
        <v>-193.80070000000001</v>
      </c>
      <c r="H5164" s="1">
        <v>-1.1326660000000001E-6</v>
      </c>
      <c r="I5164">
        <v>189.87209999999999</v>
      </c>
      <c r="J5164">
        <v>-193.4008</v>
      </c>
      <c r="K5164">
        <v>1.1018889999999999</v>
      </c>
      <c r="L5164">
        <v>203.0241</v>
      </c>
      <c r="M5164">
        <v>0.41724119999999998</v>
      </c>
      <c r="N5164">
        <v>0</v>
      </c>
      <c r="O5164">
        <v>-0.9086592</v>
      </c>
      <c r="P5164">
        <v>0.20931279999999999</v>
      </c>
      <c r="Q5164">
        <v>7.26515699999999E-3</v>
      </c>
      <c r="R5164">
        <v>-0.97782190000000002</v>
      </c>
      <c r="S5164">
        <v>-7.5881959999999998E-2</v>
      </c>
      <c r="T5164">
        <v>-0.25557770000000002</v>
      </c>
      <c r="U5164">
        <v>-3.095917</v>
      </c>
      <c r="V5164">
        <v>0.21824199999999999</v>
      </c>
      <c r="W5164">
        <v>1.813915E-2</v>
      </c>
      <c r="X5164">
        <v>0.97572610000000004</v>
      </c>
      <c r="Y5164">
        <v>0.43930000000000002</v>
      </c>
      <c r="Z5164">
        <v>6.6814349999999995E-2</v>
      </c>
      <c r="AA5164">
        <v>0.89585230000000005</v>
      </c>
      <c r="AB5164">
        <v>20</v>
      </c>
      <c r="AC5164">
        <v>-0.39990000000000198</v>
      </c>
      <c r="AD5164">
        <v>-1.101890132666</v>
      </c>
      <c r="AE5164">
        <v>-13.151999999999999</v>
      </c>
      <c r="AF5164">
        <v>5.8109046954042602</v>
      </c>
      <c r="AG5164">
        <v>-1.101890132666</v>
      </c>
      <c r="AH5164">
        <v>11.703221529396</v>
      </c>
      <c r="AI5164">
        <v>94.820333824332906</v>
      </c>
      <c r="AJ5164">
        <v>63.594599175489002</v>
      </c>
      <c r="AK5164">
        <v>13.112824615987799</v>
      </c>
      <c r="AL5164">
        <v>88.960646270717504</v>
      </c>
      <c r="AM5164">
        <v>77.392093497970706</v>
      </c>
      <c r="AN5164">
        <v>1.0000000107739599</v>
      </c>
    </row>
    <row r="5165" spans="1:40" x14ac:dyDescent="0.25">
      <c r="A5165" t="str">
        <f>"20190312154027830"</f>
        <v>20190312154027830</v>
      </c>
      <c r="B5165" t="str">
        <f>"1552376427821468"</f>
        <v>1552376427821468</v>
      </c>
      <c r="C5165" t="s">
        <v>40</v>
      </c>
      <c r="D5165">
        <v>4.260008</v>
      </c>
      <c r="E5165">
        <v>0.59050609999999903</v>
      </c>
      <c r="F5165" t="s">
        <v>42</v>
      </c>
      <c r="G5165">
        <v>-193.86189999999999</v>
      </c>
      <c r="H5165" s="1">
        <v>-4.8400859999999997E-6</v>
      </c>
      <c r="I5165">
        <v>189.19659999999999</v>
      </c>
      <c r="J5165">
        <v>-193.3288</v>
      </c>
      <c r="K5165">
        <v>1.101925</v>
      </c>
      <c r="L5165">
        <v>202.82140000000001</v>
      </c>
      <c r="M5165">
        <v>0.40246419999999999</v>
      </c>
      <c r="N5165">
        <v>0</v>
      </c>
      <c r="O5165">
        <v>-0.91530040000000001</v>
      </c>
      <c r="P5165">
        <v>0.19611680000000001</v>
      </c>
      <c r="Q5165">
        <v>5.4949029999999998E-3</v>
      </c>
      <c r="R5165">
        <v>-0.98056540000000003</v>
      </c>
      <c r="S5165">
        <v>-0.1031189</v>
      </c>
      <c r="T5165">
        <v>-0.24639330000000001</v>
      </c>
      <c r="U5165">
        <v>-3.0919490000000001</v>
      </c>
      <c r="V5165">
        <v>0.21554709999999999</v>
      </c>
      <c r="W5165">
        <v>1.6443289999999999E-2</v>
      </c>
      <c r="X5165">
        <v>0.97635499999999997</v>
      </c>
      <c r="Y5165">
        <v>0.4326603</v>
      </c>
      <c r="Z5165">
        <v>6.5415730000000005E-2</v>
      </c>
      <c r="AA5165">
        <v>0.89918069999999894</v>
      </c>
      <c r="AB5165">
        <v>20</v>
      </c>
      <c r="AC5165">
        <v>-0.53309999999999003</v>
      </c>
      <c r="AD5165">
        <v>-1.101929840086</v>
      </c>
      <c r="AE5165">
        <v>-13.6248</v>
      </c>
      <c r="AF5165">
        <v>5.9334291677627604</v>
      </c>
      <c r="AG5165">
        <v>-1.101929840086</v>
      </c>
      <c r="AH5165">
        <v>12.178213157271699</v>
      </c>
      <c r="AI5165">
        <v>94.6503571969821</v>
      </c>
      <c r="AJ5165">
        <v>64.023881607948297</v>
      </c>
      <c r="AK5165">
        <v>13.591493912196499</v>
      </c>
      <c r="AL5165">
        <v>89.0578264301583</v>
      </c>
      <c r="AM5165">
        <v>77.550663555064205</v>
      </c>
      <c r="AN5165">
        <v>1.00000001006471</v>
      </c>
    </row>
    <row r="5166" spans="1:40" x14ac:dyDescent="0.25">
      <c r="A5166" t="str">
        <f>"20190312154027852"</f>
        <v>20190312154027852</v>
      </c>
      <c r="B5166" t="str">
        <f>"1552376427840989"</f>
        <v>1552376427840989</v>
      </c>
      <c r="C5166" t="s">
        <v>40</v>
      </c>
      <c r="D5166">
        <v>4.3180379999999996</v>
      </c>
      <c r="E5166">
        <v>0.58884530000000002</v>
      </c>
      <c r="F5166" t="s">
        <v>42</v>
      </c>
      <c r="G5166">
        <v>-193.87899999999999</v>
      </c>
      <c r="H5166" s="1">
        <v>-4.6508030000000003E-6</v>
      </c>
      <c r="I5166">
        <v>188.63149999999999</v>
      </c>
      <c r="J5166">
        <v>-193.26259999999999</v>
      </c>
      <c r="K5166">
        <v>1.10197099999999</v>
      </c>
      <c r="L5166">
        <v>202.62520000000001</v>
      </c>
      <c r="M5166">
        <v>0.38817410000000002</v>
      </c>
      <c r="N5166">
        <v>0</v>
      </c>
      <c r="O5166">
        <v>-0.92145189999999999</v>
      </c>
      <c r="P5166">
        <v>0.18340000000000001</v>
      </c>
      <c r="Q5166">
        <v>4.14635E-3</v>
      </c>
      <c r="R5166">
        <v>-0.98302990000000001</v>
      </c>
      <c r="S5166">
        <v>-0.1196136</v>
      </c>
      <c r="T5166">
        <v>-0.2395476</v>
      </c>
      <c r="U5166">
        <v>-3.0847319999999998</v>
      </c>
      <c r="V5166">
        <v>0.21297369999999999</v>
      </c>
      <c r="W5166">
        <v>1.5167430000000001E-2</v>
      </c>
      <c r="X5166">
        <v>0.97694020000000004</v>
      </c>
      <c r="Y5166">
        <v>0.42349389999999998</v>
      </c>
      <c r="Z5166">
        <v>6.4631159999999993E-2</v>
      </c>
      <c r="AA5166">
        <v>0.90359049999999996</v>
      </c>
      <c r="AB5166">
        <v>20</v>
      </c>
      <c r="AC5166">
        <v>-0.61640000000002704</v>
      </c>
      <c r="AD5166">
        <v>-1.1019756508030001</v>
      </c>
      <c r="AE5166">
        <v>-13.9937</v>
      </c>
      <c r="AF5166">
        <v>5.9638053814447796</v>
      </c>
      <c r="AG5166">
        <v>-1.1019756508030001</v>
      </c>
      <c r="AH5166">
        <v>12.5789616587907</v>
      </c>
      <c r="AI5166">
        <v>94.526016880646097</v>
      </c>
      <c r="AJ5166">
        <v>64.633924949288399</v>
      </c>
      <c r="AK5166">
        <v>13.964655433487801</v>
      </c>
      <c r="AL5166">
        <v>89.130936952263099</v>
      </c>
      <c r="AM5166">
        <v>77.701887374926102</v>
      </c>
      <c r="AN5166">
        <v>1.0000000011002601</v>
      </c>
    </row>
    <row r="5167" spans="1:40" x14ac:dyDescent="0.25">
      <c r="A5167" t="str">
        <f>"20190312154027873"</f>
        <v>20190312154027873</v>
      </c>
      <c r="B5167" t="str">
        <f>"1552376427861484"</f>
        <v>1552376427861484</v>
      </c>
      <c r="C5167" t="s">
        <v>40</v>
      </c>
      <c r="D5167">
        <v>4.2914120000000002</v>
      </c>
      <c r="E5167">
        <v>0.57492790000000005</v>
      </c>
      <c r="F5167" t="s">
        <v>42</v>
      </c>
      <c r="G5167">
        <v>-193.93639999999999</v>
      </c>
      <c r="H5167" s="1">
        <v>-4.6044049999999998E-6</v>
      </c>
      <c r="I5167">
        <v>188.46520000000001</v>
      </c>
      <c r="J5167">
        <v>-193.20330000000001</v>
      </c>
      <c r="K5167">
        <v>1.102034</v>
      </c>
      <c r="L5167">
        <v>202.44069999999999</v>
      </c>
      <c r="M5167">
        <v>0.3747492</v>
      </c>
      <c r="N5167">
        <v>0</v>
      </c>
      <c r="O5167">
        <v>-0.92699299999999996</v>
      </c>
      <c r="P5167">
        <v>0.17130200000000001</v>
      </c>
      <c r="Q5167">
        <v>5.0201940000000004E-3</v>
      </c>
      <c r="R5167">
        <v>-0.98520609999999997</v>
      </c>
      <c r="S5167">
        <v>-0.14657590000000001</v>
      </c>
      <c r="T5167">
        <v>-0.23970630000000001</v>
      </c>
      <c r="U5167">
        <v>-3.0801539999999998</v>
      </c>
      <c r="V5167">
        <v>0.2108062</v>
      </c>
      <c r="W5167">
        <v>1.6107170000000001E-2</v>
      </c>
      <c r="X5167">
        <v>0.97739520000000002</v>
      </c>
      <c r="Y5167">
        <v>0.41827720000000002</v>
      </c>
      <c r="Z5167">
        <v>6.5492419999999996E-2</v>
      </c>
      <c r="AA5167">
        <v>0.90595530000000002</v>
      </c>
      <c r="AB5167">
        <v>20</v>
      </c>
      <c r="AC5167">
        <v>-0.73309999999997899</v>
      </c>
      <c r="AD5167">
        <v>-1.1020386044049999</v>
      </c>
      <c r="AE5167">
        <v>-13.975499999999901</v>
      </c>
      <c r="AF5167">
        <v>5.8811476132717999</v>
      </c>
      <c r="AG5167">
        <v>-1.1020386044049999</v>
      </c>
      <c r="AH5167">
        <v>12.603871167680801</v>
      </c>
      <c r="AI5167">
        <v>94.5303709531876</v>
      </c>
      <c r="AJ5167">
        <v>64.985566321341196</v>
      </c>
      <c r="AK5167">
        <v>13.952059157923101</v>
      </c>
      <c r="AL5167">
        <v>89.077087262442106</v>
      </c>
      <c r="AM5167">
        <v>77.828795506842695</v>
      </c>
      <c r="AN5167">
        <v>1.00000003593344</v>
      </c>
    </row>
    <row r="5168" spans="1:40" x14ac:dyDescent="0.25">
      <c r="A5168" t="str">
        <f>"20190312154027896"</f>
        <v>20190312154027896</v>
      </c>
      <c r="B5168" t="str">
        <f>"1552376427881005"</f>
        <v>1552376427881005</v>
      </c>
      <c r="C5168" t="s">
        <v>40</v>
      </c>
      <c r="D5168">
        <v>4.239935</v>
      </c>
      <c r="E5168">
        <v>0.57363809999999904</v>
      </c>
      <c r="F5168" t="s">
        <v>42</v>
      </c>
      <c r="G5168">
        <v>-193.5461</v>
      </c>
      <c r="H5168" s="1">
        <v>-4.5344129999999999E-6</v>
      </c>
      <c r="I5168">
        <v>188.46299999999999</v>
      </c>
      <c r="J5168">
        <v>-193.14179999999999</v>
      </c>
      <c r="K5168">
        <v>1.102128</v>
      </c>
      <c r="L5168">
        <v>202.2388</v>
      </c>
      <c r="M5168">
        <v>0.36012529999999998</v>
      </c>
      <c r="N5168">
        <v>0</v>
      </c>
      <c r="O5168">
        <v>-0.93277209999999999</v>
      </c>
      <c r="P5168">
        <v>0.15863239999999901</v>
      </c>
      <c r="Q5168">
        <v>6.141011E-3</v>
      </c>
      <c r="R5168">
        <v>-0.98731880000000005</v>
      </c>
      <c r="S5168">
        <v>-7.5012209999999996E-2</v>
      </c>
      <c r="T5168">
        <v>-0.24120810000000001</v>
      </c>
      <c r="U5168">
        <v>-3.0593569999999999</v>
      </c>
      <c r="V5168">
        <v>0.20800650000000001</v>
      </c>
      <c r="W5168">
        <v>1.731483E-2</v>
      </c>
      <c r="X5168">
        <v>0.97797420000000002</v>
      </c>
      <c r="Y5168">
        <v>0.382824</v>
      </c>
      <c r="Z5168">
        <v>6.7677790000000002E-2</v>
      </c>
      <c r="AA5168">
        <v>0.92133900000000002</v>
      </c>
      <c r="AB5168">
        <v>20</v>
      </c>
      <c r="AC5168">
        <v>-0.40430000000000599</v>
      </c>
      <c r="AD5168">
        <v>-1.102132534413</v>
      </c>
      <c r="AE5168">
        <v>-13.7758</v>
      </c>
      <c r="AF5168">
        <v>5.3048643870371501</v>
      </c>
      <c r="AG5168">
        <v>-1.102132534413</v>
      </c>
      <c r="AH5168">
        <v>12.624906081427</v>
      </c>
      <c r="AI5168">
        <v>94.601359792697394</v>
      </c>
      <c r="AJ5168">
        <v>67.208321398931503</v>
      </c>
      <c r="AK5168">
        <v>13.738432801928999</v>
      </c>
      <c r="AL5168">
        <v>89.007883761962006</v>
      </c>
      <c r="AM5168">
        <v>77.992619803890605</v>
      </c>
      <c r="AN5168">
        <v>1.0000000216228999</v>
      </c>
    </row>
    <row r="5169" spans="1:40" x14ac:dyDescent="0.25">
      <c r="A5169" t="str">
        <f>"20190312154027920"</f>
        <v>20190312154027920</v>
      </c>
      <c r="B5169" t="str">
        <f>"1552376427911263"</f>
        <v>1552376427911263</v>
      </c>
      <c r="C5169" t="s">
        <v>40</v>
      </c>
      <c r="D5169">
        <v>4.2630350000000004</v>
      </c>
      <c r="E5169">
        <v>0.57188149999999904</v>
      </c>
      <c r="F5169" t="s">
        <v>42</v>
      </c>
      <c r="G5169">
        <v>-193.65710000000001</v>
      </c>
      <c r="H5169" s="1">
        <v>-4.0984469999999998E-6</v>
      </c>
      <c r="I5169">
        <v>187.124</v>
      </c>
      <c r="J5169">
        <v>-193.08269999999999</v>
      </c>
      <c r="K5169">
        <v>1.10225</v>
      </c>
      <c r="L5169">
        <v>202.03370000000001</v>
      </c>
      <c r="M5169">
        <v>0.3453812</v>
      </c>
      <c r="N5169">
        <v>0</v>
      </c>
      <c r="O5169">
        <v>-0.9383319</v>
      </c>
      <c r="P5169">
        <v>0.14629339999999999</v>
      </c>
      <c r="Q5169">
        <v>6.3055890000000003E-3</v>
      </c>
      <c r="R5169">
        <v>-0.98922140000000003</v>
      </c>
      <c r="S5169">
        <v>-0.1042175</v>
      </c>
      <c r="T5169">
        <v>-0.2228832</v>
      </c>
      <c r="U5169">
        <v>-3.0566559999999998</v>
      </c>
      <c r="V5169">
        <v>0.2048006</v>
      </c>
      <c r="W5169">
        <v>1.7582770000000001E-2</v>
      </c>
      <c r="X5169">
        <v>0.97864580000000001</v>
      </c>
      <c r="Y5169">
        <v>0.37709359999999997</v>
      </c>
      <c r="Z5169">
        <v>6.3298579999999993E-2</v>
      </c>
      <c r="AA5169">
        <v>0.92400959999999999</v>
      </c>
      <c r="AB5169">
        <v>20</v>
      </c>
      <c r="AC5169">
        <v>-0.574400000000025</v>
      </c>
      <c r="AD5169">
        <v>-1.102254098447</v>
      </c>
      <c r="AE5169">
        <v>-14.9096999999999</v>
      </c>
      <c r="AF5169">
        <v>5.6583256524322696</v>
      </c>
      <c r="AG5169">
        <v>-1.102254098447</v>
      </c>
      <c r="AH5169">
        <v>13.7186828722008</v>
      </c>
      <c r="AI5169">
        <v>94.247958605554302</v>
      </c>
      <c r="AJ5169">
        <v>67.5861048143733</v>
      </c>
      <c r="AK5169">
        <v>14.8806543214515</v>
      </c>
      <c r="AL5169">
        <v>88.992529592617203</v>
      </c>
      <c r="AM5169">
        <v>78.180320080889899</v>
      </c>
      <c r="AN5169">
        <v>1.0000000207094299</v>
      </c>
    </row>
    <row r="5170" spans="1:40" x14ac:dyDescent="0.25">
      <c r="A5170" t="str">
        <f>"20190312154027941"</f>
        <v>20190312154027941</v>
      </c>
      <c r="B5170" t="str">
        <f>"1552376427931756"</f>
        <v>1552376427931756</v>
      </c>
      <c r="C5170" t="s">
        <v>40</v>
      </c>
      <c r="D5170">
        <v>4.2352109999999996</v>
      </c>
      <c r="E5170">
        <v>0.57026659999999996</v>
      </c>
      <c r="F5170" t="s">
        <v>42</v>
      </c>
      <c r="G5170">
        <v>-193.7029</v>
      </c>
      <c r="H5170" s="1">
        <v>-4.1699450000000003E-6</v>
      </c>
      <c r="I5170">
        <v>187.31020000000001</v>
      </c>
      <c r="J5170">
        <v>-193.03110000000001</v>
      </c>
      <c r="K5170">
        <v>1.102384</v>
      </c>
      <c r="L5170">
        <v>201.84399999999999</v>
      </c>
      <c r="M5170">
        <v>0.33188040000000002</v>
      </c>
      <c r="N5170">
        <v>0</v>
      </c>
      <c r="O5170">
        <v>-0.94319219999999904</v>
      </c>
      <c r="P5170">
        <v>0.13381870000000001</v>
      </c>
      <c r="Q5170">
        <v>5.9448259999999899E-3</v>
      </c>
      <c r="R5170">
        <v>-0.99098810000000004</v>
      </c>
      <c r="S5170">
        <v>-0.1286011</v>
      </c>
      <c r="T5170">
        <v>-0.22856850000000001</v>
      </c>
      <c r="U5170">
        <v>-3.053131</v>
      </c>
      <c r="V5170">
        <v>0.20307310000000001</v>
      </c>
      <c r="W5170">
        <v>1.729385E-2</v>
      </c>
      <c r="X5170">
        <v>0.97901079999999996</v>
      </c>
      <c r="Y5170">
        <v>0.37119479999999999</v>
      </c>
      <c r="Z5170">
        <v>6.5600220000000001E-2</v>
      </c>
      <c r="AA5170">
        <v>0.92623480000000002</v>
      </c>
      <c r="AB5170">
        <v>20</v>
      </c>
      <c r="AC5170">
        <v>-0.67179999999998996</v>
      </c>
      <c r="AD5170">
        <v>-1.102388169945</v>
      </c>
      <c r="AE5170">
        <v>-14.533799999999999</v>
      </c>
      <c r="AF5170">
        <v>5.42663140120625</v>
      </c>
      <c r="AG5170">
        <v>-1.102388169945</v>
      </c>
      <c r="AH5170">
        <v>13.4098687960573</v>
      </c>
      <c r="AI5170">
        <v>94.357748084457597</v>
      </c>
      <c r="AJ5170">
        <v>67.968078166394093</v>
      </c>
      <c r="AK5170">
        <v>14.5082104054657</v>
      </c>
      <c r="AL5170">
        <v>89.009085940244205</v>
      </c>
      <c r="AM5170">
        <v>78.281498745992806</v>
      </c>
      <c r="AN5170">
        <v>0.99999995385403495</v>
      </c>
    </row>
    <row r="5171" spans="1:40" x14ac:dyDescent="0.25">
      <c r="A5171" t="str">
        <f>"20190312154027962"</f>
        <v>20190312154027962</v>
      </c>
      <c r="B5171" t="str">
        <f>"1552376427951276"</f>
        <v>1552376427951276</v>
      </c>
      <c r="C5171" t="s">
        <v>40</v>
      </c>
      <c r="D5171">
        <v>4.1732170000000002</v>
      </c>
      <c r="E5171">
        <v>0.56937729999999998</v>
      </c>
      <c r="F5171" t="s">
        <v>42</v>
      </c>
      <c r="G5171">
        <v>-193.76580000000001</v>
      </c>
      <c r="H5171" s="1">
        <v>-4.1912919999999998E-6</v>
      </c>
      <c r="I5171">
        <v>187.34020000000001</v>
      </c>
      <c r="J5171">
        <v>-192.98169999999999</v>
      </c>
      <c r="K5171">
        <v>1.102533</v>
      </c>
      <c r="L5171">
        <v>201.6525</v>
      </c>
      <c r="M5171">
        <v>0.31837690000000002</v>
      </c>
      <c r="N5171">
        <v>0</v>
      </c>
      <c r="O5171">
        <v>-0.94783609999999896</v>
      </c>
      <c r="P5171">
        <v>0.12287380000000001</v>
      </c>
      <c r="Q5171">
        <v>6.0221090000000003E-3</v>
      </c>
      <c r="R5171">
        <v>-0.99240399999999995</v>
      </c>
      <c r="S5171">
        <v>-0.15446470000000001</v>
      </c>
      <c r="T5171">
        <v>-0.23178299999999999</v>
      </c>
      <c r="U5171">
        <v>-3.049515</v>
      </c>
      <c r="V5171">
        <v>0.19988929999999999</v>
      </c>
      <c r="W5171">
        <v>1.747406E-2</v>
      </c>
      <c r="X5171">
        <v>0.9796627</v>
      </c>
      <c r="Y5171">
        <v>0.36580950000000001</v>
      </c>
      <c r="Z5171">
        <v>6.7190070000000005E-2</v>
      </c>
      <c r="AA5171">
        <v>0.92826120000000001</v>
      </c>
      <c r="AB5171">
        <v>20</v>
      </c>
      <c r="AC5171">
        <v>-0.784100000000023</v>
      </c>
      <c r="AD5171">
        <v>-1.1025371912919999</v>
      </c>
      <c r="AE5171">
        <v>-14.312299999999899</v>
      </c>
      <c r="AF5171">
        <v>5.2693713978651404</v>
      </c>
      <c r="AG5171">
        <v>-1.1025371912919999</v>
      </c>
      <c r="AH5171">
        <v>13.2393617611318</v>
      </c>
      <c r="AI5171">
        <v>94.424387845679504</v>
      </c>
      <c r="AJ5171">
        <v>68.297050591167206</v>
      </c>
      <c r="AK5171">
        <v>14.2920454459444</v>
      </c>
      <c r="AL5171">
        <v>88.9987591934769</v>
      </c>
      <c r="AM5171">
        <v>78.4677298518112</v>
      </c>
      <c r="AN5171">
        <v>1.0000000403993301</v>
      </c>
    </row>
    <row r="5172" spans="1:40" x14ac:dyDescent="0.25">
      <c r="A5172" t="str">
        <f>"20190312154027977"</f>
        <v>20190312154027977</v>
      </c>
      <c r="B5172" t="str">
        <f>"1552376427971773"</f>
        <v>1552376427971773</v>
      </c>
      <c r="C5172" t="s">
        <v>40</v>
      </c>
      <c r="D5172">
        <v>4.1719189999999999</v>
      </c>
      <c r="E5172">
        <v>0.55131219999999903</v>
      </c>
      <c r="F5172" t="s">
        <v>42</v>
      </c>
      <c r="G5172">
        <v>-193.84139999999999</v>
      </c>
      <c r="H5172" s="1">
        <v>-4.144904E-6</v>
      </c>
      <c r="I5172">
        <v>187.1644</v>
      </c>
      <c r="J5172">
        <v>-192.9495</v>
      </c>
      <c r="K5172">
        <v>1.102633</v>
      </c>
      <c r="L5172">
        <v>201.5224</v>
      </c>
      <c r="M5172">
        <v>0.30928020000000001</v>
      </c>
      <c r="N5172">
        <v>0</v>
      </c>
      <c r="O5172">
        <v>-0.95084380000000002</v>
      </c>
      <c r="P5172">
        <v>0.11489240000000001</v>
      </c>
      <c r="Q5172">
        <v>6.0590919999999899E-3</v>
      </c>
      <c r="R5172">
        <v>-0.99335960000000001</v>
      </c>
      <c r="S5172">
        <v>-0.18078610000000001</v>
      </c>
      <c r="T5172">
        <v>-0.23185900000000001</v>
      </c>
      <c r="U5172">
        <v>-3.0467680000000001</v>
      </c>
      <c r="V5172">
        <v>0.1983723</v>
      </c>
      <c r="W5172">
        <v>1.7567510000000001E-2</v>
      </c>
      <c r="X5172">
        <v>0.97996930000000004</v>
      </c>
      <c r="Y5172">
        <v>0.3649288</v>
      </c>
      <c r="Z5172">
        <v>6.7609820000000001E-2</v>
      </c>
      <c r="AA5172">
        <v>0.9285774</v>
      </c>
      <c r="AB5172">
        <v>20</v>
      </c>
      <c r="AC5172">
        <v>-0.89189999999999203</v>
      </c>
      <c r="AD5172">
        <v>-1.102637144904</v>
      </c>
      <c r="AE5172">
        <v>-14.358000000000001</v>
      </c>
      <c r="AF5172">
        <v>5.2584491196577003</v>
      </c>
      <c r="AG5172">
        <v>-1.102637144904</v>
      </c>
      <c r="AH5172">
        <v>13.299849884925001</v>
      </c>
      <c r="AI5172">
        <v>94.408701516340699</v>
      </c>
      <c r="AJ5172">
        <v>68.427318298408395</v>
      </c>
      <c r="AK5172">
        <v>14.344096443446301</v>
      </c>
      <c r="AL5172">
        <v>88.993404048343606</v>
      </c>
      <c r="AM5172">
        <v>78.556418567382394</v>
      </c>
      <c r="AN5172">
        <v>1.0000000078786899</v>
      </c>
    </row>
    <row r="5173" spans="1:40" x14ac:dyDescent="0.25">
      <c r="A5173" t="str">
        <f>"20190312154027991"</f>
        <v>20190312154027991</v>
      </c>
      <c r="B5173" t="str">
        <f>"1552376427981533"</f>
        <v>1552376427981533</v>
      </c>
      <c r="C5173" t="s">
        <v>40</v>
      </c>
      <c r="D5173">
        <v>4.1992139999999996</v>
      </c>
      <c r="E5173">
        <v>0.54800090000000001</v>
      </c>
      <c r="F5173" t="s">
        <v>55</v>
      </c>
      <c r="G5173">
        <v>-194.5403</v>
      </c>
      <c r="H5173" s="1">
        <v>-3.303646E-6</v>
      </c>
      <c r="I5173">
        <v>123.62949999999999</v>
      </c>
      <c r="J5173">
        <v>-192.91890000000001</v>
      </c>
      <c r="K5173">
        <v>1.1027469999999999</v>
      </c>
      <c r="L5173">
        <v>201.39250000000001</v>
      </c>
      <c r="M5173">
        <v>0.30032890000000001</v>
      </c>
      <c r="N5173">
        <v>0</v>
      </c>
      <c r="O5173">
        <v>-0.95370949999999999</v>
      </c>
      <c r="P5173">
        <v>0.1072475</v>
      </c>
      <c r="Q5173">
        <v>6.3974720000000004E-3</v>
      </c>
      <c r="R5173">
        <v>-0.99421159999999997</v>
      </c>
      <c r="S5173">
        <v>-6.1828609999999999E-2</v>
      </c>
      <c r="T5173">
        <v>-4.285622E-2</v>
      </c>
      <c r="U5173">
        <v>-3.027466</v>
      </c>
      <c r="V5173">
        <v>0.19669880000000001</v>
      </c>
      <c r="W5173">
        <v>1.7965129999999999E-2</v>
      </c>
      <c r="X5173">
        <v>0.98029940000000004</v>
      </c>
      <c r="Y5173">
        <v>0.31977539999999999</v>
      </c>
      <c r="Z5173">
        <v>1.280007E-2</v>
      </c>
      <c r="AA5173">
        <v>0.94740690000000005</v>
      </c>
      <c r="AB5173">
        <v>20</v>
      </c>
      <c r="AC5173">
        <v>-1.62139999999999</v>
      </c>
      <c r="AD5173">
        <v>-1.102750303646</v>
      </c>
      <c r="AE5173">
        <v>-77.763000000000005</v>
      </c>
      <c r="AF5173">
        <v>24.8988137721756</v>
      </c>
      <c r="AG5173">
        <v>-1.102750303646</v>
      </c>
      <c r="AH5173">
        <v>73.670420090837595</v>
      </c>
      <c r="AI5173">
        <v>90.812438712475995</v>
      </c>
      <c r="AJ5173">
        <v>71.325994908129005</v>
      </c>
      <c r="AK5173">
        <v>77.772088707030093</v>
      </c>
      <c r="AL5173">
        <v>88.970618535960298</v>
      </c>
      <c r="AM5173">
        <v>78.654165202793905</v>
      </c>
      <c r="AN5173">
        <v>1.0000000387288499</v>
      </c>
    </row>
    <row r="5174" spans="1:40" x14ac:dyDescent="0.25">
      <c r="A5174" t="str">
        <f>"20190312154028008"</f>
        <v>20190312154028008</v>
      </c>
      <c r="B5174" t="str">
        <f>"1552376428001052"</f>
        <v>1552376428001052</v>
      </c>
      <c r="C5174" t="s">
        <v>40</v>
      </c>
      <c r="D5174">
        <v>4.1838769999999998</v>
      </c>
      <c r="E5174">
        <v>0.54417649999999995</v>
      </c>
      <c r="F5174" t="s">
        <v>42</v>
      </c>
      <c r="G5174">
        <v>-194.5352</v>
      </c>
      <c r="H5174" s="1">
        <v>-4.6456729999999997E-6</v>
      </c>
      <c r="I5174">
        <v>118.2743</v>
      </c>
      <c r="J5174">
        <v>-192.8862</v>
      </c>
      <c r="K5174">
        <v>1.1028929999999999</v>
      </c>
      <c r="L5174">
        <v>201.24860000000001</v>
      </c>
      <c r="M5174">
        <v>0.2905278</v>
      </c>
      <c r="N5174">
        <v>0</v>
      </c>
      <c r="O5174">
        <v>-0.95674150000000002</v>
      </c>
      <c r="P5174">
        <v>9.9609639999999999E-2</v>
      </c>
      <c r="Q5174">
        <v>6.242348E-3</v>
      </c>
      <c r="R5174">
        <v>-0.99500699999999997</v>
      </c>
      <c r="S5174">
        <v>-5.8807369999999998E-2</v>
      </c>
      <c r="T5174">
        <v>-4.0121080000000003E-2</v>
      </c>
      <c r="U5174">
        <v>-3.0240629999999999</v>
      </c>
      <c r="V5174">
        <v>0.1941582</v>
      </c>
      <c r="W5174">
        <v>1.7890759999999999E-2</v>
      </c>
      <c r="X5174">
        <v>0.98080710000000004</v>
      </c>
      <c r="Y5174">
        <v>0.30910949999999998</v>
      </c>
      <c r="Z5174">
        <v>1.2080789999999999E-2</v>
      </c>
      <c r="AA5174">
        <v>0.95094970000000001</v>
      </c>
      <c r="AB5174">
        <v>20</v>
      </c>
      <c r="AC5174">
        <v>-1.649</v>
      </c>
      <c r="AD5174">
        <v>-1.102897645673</v>
      </c>
      <c r="AE5174">
        <v>-82.974299999999999</v>
      </c>
      <c r="AF5174">
        <v>25.682545449964401</v>
      </c>
      <c r="AG5174">
        <v>-1.102897645673</v>
      </c>
      <c r="AH5174">
        <v>78.901384009319898</v>
      </c>
      <c r="AI5174">
        <v>90.761517024084199</v>
      </c>
      <c r="AJ5174">
        <v>71.969835989367397</v>
      </c>
      <c r="AK5174">
        <v>82.983359311325003</v>
      </c>
      <c r="AL5174">
        <v>88.974880295496504</v>
      </c>
      <c r="AM5174">
        <v>78.802632789796306</v>
      </c>
      <c r="AN5174">
        <v>1.00000002666551</v>
      </c>
    </row>
    <row r="5175" spans="1:40" x14ac:dyDescent="0.25">
      <c r="A5175" t="str">
        <f>"20190312154028024"</f>
        <v>20190312154028024</v>
      </c>
      <c r="B5175" t="str">
        <f>"1552376428011788"</f>
        <v>1552376428011788</v>
      </c>
      <c r="C5175" t="s">
        <v>40</v>
      </c>
      <c r="D5175">
        <v>4.2106839999999996</v>
      </c>
      <c r="E5175">
        <v>0.54269829999999997</v>
      </c>
      <c r="F5175" t="s">
        <v>42</v>
      </c>
      <c r="G5175">
        <v>-194.58699999999999</v>
      </c>
      <c r="H5175" s="1">
        <v>-2.0875579999999998E-6</v>
      </c>
      <c r="I5175">
        <v>101.6103</v>
      </c>
      <c r="J5175">
        <v>-192.85579999999999</v>
      </c>
      <c r="K5175">
        <v>1.1030409999999999</v>
      </c>
      <c r="L5175">
        <v>201.1097</v>
      </c>
      <c r="M5175">
        <v>0.28120980000000001</v>
      </c>
      <c r="N5175">
        <v>0</v>
      </c>
      <c r="O5175">
        <v>-0.95952219999999999</v>
      </c>
      <c r="P5175">
        <v>9.1573080000000001E-2</v>
      </c>
      <c r="Q5175">
        <v>6.0272290000000003E-3</v>
      </c>
      <c r="R5175">
        <v>-0.9957802</v>
      </c>
      <c r="S5175">
        <v>-5.155945E-2</v>
      </c>
      <c r="T5175">
        <v>-3.3433440000000002E-2</v>
      </c>
      <c r="U5175">
        <v>-3.0204620000000002</v>
      </c>
      <c r="V5175">
        <v>0.19252730000000001</v>
      </c>
      <c r="W5175">
        <v>1.773771E-2</v>
      </c>
      <c r="X5175">
        <v>0.98113130000000004</v>
      </c>
      <c r="Y5175">
        <v>0.2975797</v>
      </c>
      <c r="Z5175">
        <v>1.0146179999999999E-2</v>
      </c>
      <c r="AA5175">
        <v>0.95464309999999997</v>
      </c>
      <c r="AB5175">
        <v>20</v>
      </c>
      <c r="AC5175">
        <v>-1.7312000000000201</v>
      </c>
      <c r="AD5175">
        <v>-1.103043087558</v>
      </c>
      <c r="AE5175">
        <v>-99.499399999999994</v>
      </c>
      <c r="AF5175">
        <v>29.641220324506399</v>
      </c>
      <c r="AG5175">
        <v>-1.103043087558</v>
      </c>
      <c r="AH5175">
        <v>94.984697460956895</v>
      </c>
      <c r="AI5175">
        <v>90.635132719220294</v>
      </c>
      <c r="AJ5175">
        <v>72.668782982652502</v>
      </c>
      <c r="AK5175">
        <v>99.508348384085096</v>
      </c>
      <c r="AL5175">
        <v>88.9836507868268</v>
      </c>
      <c r="AM5175">
        <v>78.897919846722999</v>
      </c>
      <c r="AN5175">
        <v>1.00000000772051</v>
      </c>
    </row>
    <row r="5176" spans="1:40" x14ac:dyDescent="0.25">
      <c r="A5176" t="str">
        <f>"20190312154028038"</f>
        <v>20190312154028038</v>
      </c>
      <c r="B5176" t="str">
        <f>"1552376428031308"</f>
        <v>1552376428031308</v>
      </c>
      <c r="C5176" t="s">
        <v>40</v>
      </c>
      <c r="D5176">
        <v>4.2405010000000001</v>
      </c>
      <c r="E5176">
        <v>0.53934950000000004</v>
      </c>
      <c r="F5176" t="s">
        <v>42</v>
      </c>
      <c r="G5176">
        <v>-195.21170000000001</v>
      </c>
      <c r="H5176" s="1">
        <v>-1.6440599999999901E-6</v>
      </c>
      <c r="I5176">
        <v>90.189009999999996</v>
      </c>
      <c r="J5176">
        <v>-192.82929999999999</v>
      </c>
      <c r="K5176">
        <v>1.103191</v>
      </c>
      <c r="L5176">
        <v>200.98400000000001</v>
      </c>
      <c r="M5176">
        <v>0.27289409999999997</v>
      </c>
      <c r="N5176">
        <v>0</v>
      </c>
      <c r="O5176">
        <v>-0.96192100000000003</v>
      </c>
      <c r="P5176">
        <v>8.4603559999999994E-2</v>
      </c>
      <c r="Q5176">
        <v>5.7378489999999997E-3</v>
      </c>
      <c r="R5176">
        <v>-0.99639840000000002</v>
      </c>
      <c r="S5176">
        <v>-6.4117430000000003E-2</v>
      </c>
      <c r="T5176">
        <v>-3.0020359999999999E-2</v>
      </c>
      <c r="U5176">
        <v>-3.0188139999999999</v>
      </c>
      <c r="V5176">
        <v>0.19088730000000001</v>
      </c>
      <c r="W5176">
        <v>1.7509340000000002E-2</v>
      </c>
      <c r="X5176">
        <v>0.98145579999999999</v>
      </c>
      <c r="Y5176">
        <v>0.2932921</v>
      </c>
      <c r="Z5176">
        <v>9.1574110000000007E-3</v>
      </c>
      <c r="AA5176">
        <v>0.95597900000000002</v>
      </c>
      <c r="AB5176">
        <v>20</v>
      </c>
      <c r="AC5176">
        <v>-2.3824000000000098</v>
      </c>
      <c r="AD5176">
        <v>-1.1031926440599999</v>
      </c>
      <c r="AE5176">
        <v>-110.794989999999</v>
      </c>
      <c r="AF5176">
        <v>32.527608151228002</v>
      </c>
      <c r="AG5176">
        <v>-1.1031926440599999</v>
      </c>
      <c r="AH5176">
        <v>105.927931352249</v>
      </c>
      <c r="AI5176">
        <v>90.570403491667193</v>
      </c>
      <c r="AJ5176">
        <v>72.929691285320999</v>
      </c>
      <c r="AK5176">
        <v>110.815111634725</v>
      </c>
      <c r="AL5176">
        <v>88.996737461482596</v>
      </c>
      <c r="AM5176">
        <v>78.993721285056793</v>
      </c>
      <c r="AN5176">
        <v>1.00000001282108</v>
      </c>
    </row>
    <row r="5177" spans="1:40" x14ac:dyDescent="0.25">
      <c r="A5177" t="str">
        <f>"20190312154028053"</f>
        <v>20190312154028053</v>
      </c>
      <c r="B5177" t="str">
        <f>"1552376428041068"</f>
        <v>1552376428041068</v>
      </c>
      <c r="C5177" t="s">
        <v>40</v>
      </c>
      <c r="D5177">
        <v>4.2420200000000001</v>
      </c>
      <c r="E5177">
        <v>0.53804830000000003</v>
      </c>
      <c r="F5177" t="s">
        <v>42</v>
      </c>
      <c r="G5177">
        <v>-194.73490000000001</v>
      </c>
      <c r="H5177" s="1">
        <v>-2.612794E-6</v>
      </c>
      <c r="I5177">
        <v>102.74290000000001</v>
      </c>
      <c r="J5177">
        <v>-192.80109999999999</v>
      </c>
      <c r="K5177">
        <v>1.103375</v>
      </c>
      <c r="L5177">
        <v>200.8442</v>
      </c>
      <c r="M5177">
        <v>0.26386769999999998</v>
      </c>
      <c r="N5177">
        <v>0</v>
      </c>
      <c r="O5177">
        <v>-0.96443690000000004</v>
      </c>
      <c r="P5177">
        <v>7.8186759999999994E-2</v>
      </c>
      <c r="Q5177">
        <v>5.2898590000000001E-3</v>
      </c>
      <c r="R5177">
        <v>-0.9969247</v>
      </c>
      <c r="S5177">
        <v>-5.85021999999999E-2</v>
      </c>
      <c r="T5177">
        <v>-3.386807E-2</v>
      </c>
      <c r="U5177">
        <v>-3.016006</v>
      </c>
      <c r="V5177">
        <v>0.18799150000000001</v>
      </c>
      <c r="W5177">
        <v>1.7152250000000001E-2</v>
      </c>
      <c r="X5177">
        <v>0.98202089999999997</v>
      </c>
      <c r="Y5177">
        <v>0.28255380000000002</v>
      </c>
      <c r="Z5177">
        <v>1.040139E-2</v>
      </c>
      <c r="AA5177">
        <v>0.95919509999999997</v>
      </c>
      <c r="AB5177">
        <v>20</v>
      </c>
      <c r="AC5177">
        <v>-1.93380000000001</v>
      </c>
      <c r="AD5177">
        <v>-1.103377612794</v>
      </c>
      <c r="AE5177">
        <v>-98.101299999999995</v>
      </c>
      <c r="AF5177">
        <v>27.750548823486099</v>
      </c>
      <c r="AG5177">
        <v>-1.103377612794</v>
      </c>
      <c r="AH5177">
        <v>94.101420082713204</v>
      </c>
      <c r="AI5177">
        <v>90.644353632870704</v>
      </c>
      <c r="AJ5177">
        <v>73.569189368711903</v>
      </c>
      <c r="AK5177">
        <v>98.1141562861567</v>
      </c>
      <c r="AL5177">
        <v>89.017200297386594</v>
      </c>
      <c r="AM5177">
        <v>79.162793148524599</v>
      </c>
      <c r="AN5177">
        <v>1.0000000258945601</v>
      </c>
    </row>
    <row r="5178" spans="1:40" x14ac:dyDescent="0.25">
      <c r="A5178" t="str">
        <f>"20190312154028077"</f>
        <v>20190312154028077</v>
      </c>
      <c r="B5178" t="str">
        <f>"1552376428071326"</f>
        <v>1552376428071326</v>
      </c>
      <c r="C5178" t="s">
        <v>40</v>
      </c>
      <c r="D5178">
        <v>4.1876249999999997</v>
      </c>
      <c r="E5178">
        <v>0.53476040000000002</v>
      </c>
      <c r="F5178" t="s">
        <v>42</v>
      </c>
      <c r="G5178">
        <v>-194.72489999999999</v>
      </c>
      <c r="H5178" s="1">
        <v>-3.567924E-6</v>
      </c>
      <c r="I5178">
        <v>115.0085</v>
      </c>
      <c r="J5178">
        <v>-192.762</v>
      </c>
      <c r="K5178">
        <v>1.1036699999999999</v>
      </c>
      <c r="L5178">
        <v>200.64080000000001</v>
      </c>
      <c r="M5178">
        <v>0.25102239999999998</v>
      </c>
      <c r="N5178">
        <v>0</v>
      </c>
      <c r="O5178">
        <v>-0.96786119999999998</v>
      </c>
      <c r="P5178">
        <v>6.766643E-2</v>
      </c>
      <c r="Q5178">
        <v>4.3920139999999996E-3</v>
      </c>
      <c r="R5178">
        <v>-0.99769850000000004</v>
      </c>
      <c r="S5178">
        <v>-6.7565920000000002E-2</v>
      </c>
      <c r="T5178">
        <v>-3.8753269999999999E-2</v>
      </c>
      <c r="U5178">
        <v>-3.0147550000000001</v>
      </c>
      <c r="V5178">
        <v>0.18526580000000001</v>
      </c>
      <c r="W5178">
        <v>1.6355560000000002E-2</v>
      </c>
      <c r="X5178">
        <v>0.98255230000000005</v>
      </c>
      <c r="Y5178">
        <v>0.272675</v>
      </c>
      <c r="Z5178">
        <v>1.199038E-2</v>
      </c>
      <c r="AA5178">
        <v>0.96203150000000004</v>
      </c>
      <c r="AB5178">
        <v>20</v>
      </c>
      <c r="AC5178">
        <v>-1.9628999999999901</v>
      </c>
      <c r="AD5178">
        <v>-1.103673567924</v>
      </c>
      <c r="AE5178">
        <v>-85.632300000000001</v>
      </c>
      <c r="AF5178">
        <v>23.3942757739444</v>
      </c>
      <c r="AG5178">
        <v>-1.103673567924</v>
      </c>
      <c r="AH5178">
        <v>82.383348175455495</v>
      </c>
      <c r="AI5178">
        <v>90.738345538962605</v>
      </c>
      <c r="AJ5178">
        <v>74.147123714773997</v>
      </c>
      <c r="AK5178">
        <v>85.647687014479402</v>
      </c>
      <c r="AL5178">
        <v>89.062853628869306</v>
      </c>
      <c r="AM5178">
        <v>79.321925109198304</v>
      </c>
      <c r="AN5178">
        <v>0.99999997161392096</v>
      </c>
    </row>
    <row r="5179" spans="1:40" x14ac:dyDescent="0.25">
      <c r="A5179" t="str">
        <f>"20190312154028098"</f>
        <v>20190312154028098</v>
      </c>
      <c r="B5179" t="str">
        <f>"1552376428091823"</f>
        <v>1552376428091823</v>
      </c>
      <c r="C5179" t="s">
        <v>40</v>
      </c>
      <c r="D5179">
        <v>4.1992200000000004</v>
      </c>
      <c r="E5179">
        <v>0.5337229</v>
      </c>
      <c r="F5179" t="s">
        <v>55</v>
      </c>
      <c r="G5179">
        <v>-194.65190000000001</v>
      </c>
      <c r="H5179" s="1">
        <v>-2.8746669999999999E-6</v>
      </c>
      <c r="I5179">
        <v>122.6421</v>
      </c>
      <c r="J5179">
        <v>-192.72730000000001</v>
      </c>
      <c r="K5179">
        <v>1.103966</v>
      </c>
      <c r="L5179">
        <v>200.44919999999999</v>
      </c>
      <c r="M5179">
        <v>0.23934059999999999</v>
      </c>
      <c r="N5179">
        <v>0</v>
      </c>
      <c r="O5179">
        <v>-0.97081740000000005</v>
      </c>
      <c r="P5179">
        <v>5.8559470000000002E-2</v>
      </c>
      <c r="Q5179">
        <v>4.0642849999999999E-3</v>
      </c>
      <c r="R5179">
        <v>-0.99827580000000005</v>
      </c>
      <c r="S5179">
        <v>-7.2982790000000006E-2</v>
      </c>
      <c r="T5179">
        <v>-4.2620419999999999E-2</v>
      </c>
      <c r="U5179">
        <v>-3.01207</v>
      </c>
      <c r="V5179">
        <v>0.1823717</v>
      </c>
      <c r="W5179">
        <v>1.6130530000000001E-2</v>
      </c>
      <c r="X5179">
        <v>0.98309729999999995</v>
      </c>
      <c r="Y5179">
        <v>0.262814099999999</v>
      </c>
      <c r="Z5179">
        <v>1.328027E-2</v>
      </c>
      <c r="AA5179">
        <v>0.96475509999999998</v>
      </c>
      <c r="AB5179">
        <v>20</v>
      </c>
      <c r="AC5179">
        <v>-1.9245999999999901</v>
      </c>
      <c r="AD5179">
        <v>-1.103968874667</v>
      </c>
      <c r="AE5179">
        <v>-77.807099999999906</v>
      </c>
      <c r="AF5179">
        <v>20.489064237874601</v>
      </c>
      <c r="AG5179">
        <v>-1.103968874667</v>
      </c>
      <c r="AH5179">
        <v>75.069370472125001</v>
      </c>
      <c r="AI5179">
        <v>90.812803650548403</v>
      </c>
      <c r="AJ5179">
        <v>74.733799979056798</v>
      </c>
      <c r="AK5179">
        <v>77.823074237022695</v>
      </c>
      <c r="AL5179">
        <v>89.075748594636195</v>
      </c>
      <c r="AM5179">
        <v>79.490681579628003</v>
      </c>
      <c r="AN5179">
        <v>0.99999996611312902</v>
      </c>
    </row>
    <row r="5180" spans="1:40" x14ac:dyDescent="0.25">
      <c r="A5180" t="str">
        <f>"20190312154028113"</f>
        <v>20190312154028113</v>
      </c>
      <c r="B5180" t="str">
        <f>"1552376428101581"</f>
        <v>1552376428101581</v>
      </c>
      <c r="C5180" t="s">
        <v>40</v>
      </c>
      <c r="D5180">
        <v>4.2051730000000003</v>
      </c>
      <c r="E5180">
        <v>0.51725559999999904</v>
      </c>
      <c r="F5180" t="s">
        <v>55</v>
      </c>
      <c r="G5180">
        <v>-194.9933</v>
      </c>
      <c r="H5180" s="1">
        <v>-4.635366E-6</v>
      </c>
      <c r="I5180">
        <v>126.459</v>
      </c>
      <c r="J5180">
        <v>-192.70349999999999</v>
      </c>
      <c r="K5180">
        <v>1.1041909999999999</v>
      </c>
      <c r="L5180">
        <v>200.3115</v>
      </c>
      <c r="M5180">
        <v>0.2312266</v>
      </c>
      <c r="N5180">
        <v>0</v>
      </c>
      <c r="O5180">
        <v>-0.97278290000000001</v>
      </c>
      <c r="P5180">
        <v>5.2116089999999997E-2</v>
      </c>
      <c r="Q5180">
        <v>3.9205250000000002E-3</v>
      </c>
      <c r="R5180">
        <v>-0.9986334</v>
      </c>
      <c r="S5180">
        <v>-9.2208860000000004E-2</v>
      </c>
      <c r="T5180">
        <v>-4.4921759999999998E-2</v>
      </c>
      <c r="U5180">
        <v>-3.010742</v>
      </c>
      <c r="V5180">
        <v>0.1804953</v>
      </c>
      <c r="W5180">
        <v>1.6055679999999999E-2</v>
      </c>
      <c r="X5180">
        <v>0.98344480000000001</v>
      </c>
      <c r="Y5180">
        <v>0.26092349999999997</v>
      </c>
      <c r="Z5180">
        <v>1.4049839999999999E-2</v>
      </c>
      <c r="AA5180">
        <v>0.96525720000000004</v>
      </c>
      <c r="AB5180">
        <v>20</v>
      </c>
      <c r="AC5180">
        <v>-2.2898000000000098</v>
      </c>
      <c r="AD5180">
        <v>-1.1041956353660001</v>
      </c>
      <c r="AE5180">
        <v>-73.852499999999907</v>
      </c>
      <c r="AF5180">
        <v>19.302028110707301</v>
      </c>
      <c r="AG5180">
        <v>-1.1041956353660001</v>
      </c>
      <c r="AH5180">
        <v>71.305181941685206</v>
      </c>
      <c r="AI5180">
        <v>90.856366064857298</v>
      </c>
      <c r="AJ5180">
        <v>74.853262663802496</v>
      </c>
      <c r="AK5180">
        <v>73.879743562931594</v>
      </c>
      <c r="AL5180">
        <v>89.080037776412695</v>
      </c>
      <c r="AM5180">
        <v>79.600033637027195</v>
      </c>
      <c r="AN5180">
        <v>1.0000000064146899</v>
      </c>
    </row>
    <row r="5181" spans="1:40" x14ac:dyDescent="0.25">
      <c r="A5181" t="str">
        <f>"20190312154028132"</f>
        <v>20190312154028132</v>
      </c>
      <c r="B5181" t="str">
        <f>"1552376428121101"</f>
        <v>1552376428121101</v>
      </c>
      <c r="C5181" t="s">
        <v>40</v>
      </c>
      <c r="D5181">
        <v>4.1743509999999997</v>
      </c>
      <c r="E5181">
        <v>0.51625120000000002</v>
      </c>
      <c r="F5181" t="s">
        <v>42</v>
      </c>
      <c r="G5181">
        <v>-192.45529999999999</v>
      </c>
      <c r="H5181" s="1">
        <v>-2.18832E-6</v>
      </c>
      <c r="I5181">
        <v>162.839</v>
      </c>
      <c r="J5181">
        <v>-192.67660000000001</v>
      </c>
      <c r="K5181">
        <v>1.1044210000000001</v>
      </c>
      <c r="L5181">
        <v>200.14869999999999</v>
      </c>
      <c r="M5181">
        <v>0.22185489999999999</v>
      </c>
      <c r="N5181">
        <v>0</v>
      </c>
      <c r="O5181">
        <v>-0.97496400000000005</v>
      </c>
      <c r="P5181">
        <v>4.6252179999999997E-2</v>
      </c>
      <c r="Q5181">
        <v>3.4067479999999998E-3</v>
      </c>
      <c r="R5181">
        <v>-0.99892389999999998</v>
      </c>
      <c r="S5181">
        <v>1.9897459999999999E-2</v>
      </c>
      <c r="T5181">
        <v>-8.8500860000000001E-2</v>
      </c>
      <c r="U5181">
        <v>-3.0034179999999999</v>
      </c>
      <c r="V5181">
        <v>0.17678640000000001</v>
      </c>
      <c r="W5181">
        <v>1.5635159999999999E-2</v>
      </c>
      <c r="X5181">
        <v>0.98412509999999997</v>
      </c>
      <c r="Y5181">
        <v>0.21541689999999999</v>
      </c>
      <c r="Z5181">
        <v>2.8007049999999999E-2</v>
      </c>
      <c r="AA5181">
        <v>0.97612049999999995</v>
      </c>
      <c r="AB5181">
        <v>20</v>
      </c>
      <c r="AC5181">
        <v>0.22130000000001299</v>
      </c>
      <c r="AD5181">
        <v>-1.10442318832</v>
      </c>
      <c r="AE5181">
        <v>-37.3096999999999</v>
      </c>
      <c r="AF5181">
        <v>8.0554314225989092</v>
      </c>
      <c r="AG5181">
        <v>-1.10442318832</v>
      </c>
      <c r="AH5181">
        <v>36.396928631121597</v>
      </c>
      <c r="AI5181">
        <v>91.697001017829606</v>
      </c>
      <c r="AJ5181">
        <v>77.520367771049905</v>
      </c>
      <c r="AK5181">
        <v>37.294049656239402</v>
      </c>
      <c r="AL5181">
        <v>89.104134862839999</v>
      </c>
      <c r="AM5181">
        <v>79.816110066657004</v>
      </c>
      <c r="AN5181">
        <v>1.0000000509515901</v>
      </c>
    </row>
    <row r="5182" spans="1:40" x14ac:dyDescent="0.25">
      <c r="A5182" t="str">
        <f>"20190312154028153"</f>
        <v>20190312154028153</v>
      </c>
      <c r="B5182" t="str">
        <f>"1552376428141596"</f>
        <v>1552376428141596</v>
      </c>
      <c r="C5182" t="s">
        <v>40</v>
      </c>
      <c r="D5182">
        <v>4.2049940000000001</v>
      </c>
      <c r="E5182">
        <v>0.5167041</v>
      </c>
      <c r="F5182" t="s">
        <v>55</v>
      </c>
      <c r="G5182">
        <v>-192.52209999999999</v>
      </c>
      <c r="H5182" s="1">
        <v>-1.28745E-5</v>
      </c>
      <c r="I5182">
        <v>153.8792</v>
      </c>
      <c r="J5182">
        <v>-192.64709999999999</v>
      </c>
      <c r="K5182">
        <v>1.1046609999999999</v>
      </c>
      <c r="L5182">
        <v>199.96119999999999</v>
      </c>
      <c r="M5182">
        <v>0.2113823</v>
      </c>
      <c r="N5182">
        <v>0</v>
      </c>
      <c r="O5182">
        <v>-0.97728950000000003</v>
      </c>
      <c r="P5182">
        <v>3.8861680000000003E-2</v>
      </c>
      <c r="Q5182">
        <v>2.3566770000000002E-3</v>
      </c>
      <c r="R5182">
        <v>-0.99924230000000003</v>
      </c>
      <c r="S5182">
        <v>1.0025020000000001E-2</v>
      </c>
      <c r="T5182">
        <v>-7.1680549999999996E-2</v>
      </c>
      <c r="U5182">
        <v>-3.0030060000000001</v>
      </c>
      <c r="V5182">
        <v>0.17348189999999999</v>
      </c>
      <c r="W5182">
        <v>1.466395E-2</v>
      </c>
      <c r="X5182">
        <v>0.98472789999999999</v>
      </c>
      <c r="Y5182">
        <v>0.20814199999999999</v>
      </c>
      <c r="Z5182">
        <v>2.2792590000000001E-2</v>
      </c>
      <c r="AA5182">
        <v>0.97783299999999995</v>
      </c>
      <c r="AB5182">
        <v>20</v>
      </c>
      <c r="AC5182">
        <v>0.125</v>
      </c>
      <c r="AD5182">
        <v>-1.1046738745</v>
      </c>
      <c r="AE5182">
        <v>-46.082000000000001</v>
      </c>
      <c r="AF5182">
        <v>9.6143046138265191</v>
      </c>
      <c r="AG5182">
        <v>-1.1046738745</v>
      </c>
      <c r="AH5182">
        <v>45.041014522125401</v>
      </c>
      <c r="AI5182">
        <v>91.374010429856</v>
      </c>
      <c r="AJ5182">
        <v>77.950666406403002</v>
      </c>
      <c r="AK5182">
        <v>46.068949920296198</v>
      </c>
      <c r="AL5182">
        <v>89.159787456161695</v>
      </c>
      <c r="AM5182">
        <v>80.0085887130261</v>
      </c>
      <c r="AN5182">
        <v>1.00000001904781</v>
      </c>
    </row>
    <row r="5183" spans="1:40" x14ac:dyDescent="0.25">
      <c r="A5183" t="str">
        <f>"20190312154028254"</f>
        <v>20190312154028254</v>
      </c>
      <c r="B5183" t="str">
        <f>"1552376428251886"</f>
        <v>1552376428251886</v>
      </c>
      <c r="C5183" t="s">
        <v>40</v>
      </c>
      <c r="D5183">
        <v>2.781218</v>
      </c>
      <c r="E5183">
        <v>0.5167041</v>
      </c>
      <c r="F5183" t="s">
        <v>55</v>
      </c>
      <c r="G5183">
        <v>-192.8837</v>
      </c>
      <c r="H5183" s="1">
        <v>-1.314817E-5</v>
      </c>
      <c r="I5183">
        <v>154.74719999999999</v>
      </c>
      <c r="J5183">
        <v>-192.52690000000001</v>
      </c>
      <c r="K5183">
        <v>1.1056859999999999</v>
      </c>
      <c r="L5183">
        <v>199.06110000000001</v>
      </c>
      <c r="M5183">
        <v>0.16602890000000001</v>
      </c>
      <c r="N5183">
        <v>0</v>
      </c>
      <c r="O5183">
        <v>-0.98601360000000005</v>
      </c>
      <c r="P5183">
        <v>8.8155750000000008E-3</v>
      </c>
      <c r="Q5183">
        <v>1.3724710000000001E-3</v>
      </c>
      <c r="R5183">
        <v>-0.99996039999999997</v>
      </c>
      <c r="S5183">
        <v>-1.5716549999999999E-2</v>
      </c>
      <c r="T5183">
        <v>-7.3370930000000001E-2</v>
      </c>
      <c r="U5183">
        <v>-3.0030519999999998</v>
      </c>
      <c r="V5183">
        <v>0.1575146</v>
      </c>
      <c r="W5183">
        <v>1.395354E-2</v>
      </c>
      <c r="X5183">
        <v>0.98741809999999997</v>
      </c>
      <c r="Y5183">
        <v>0.1712031</v>
      </c>
      <c r="Z5183">
        <v>2.3735740000000002E-2</v>
      </c>
      <c r="AA5183">
        <v>0.98494979999999999</v>
      </c>
      <c r="AB5183">
        <v>19</v>
      </c>
      <c r="AC5183">
        <v>-0.35679999999999201</v>
      </c>
      <c r="AD5183">
        <v>-1.10569914817</v>
      </c>
      <c r="AE5183">
        <v>-44.313899999999997</v>
      </c>
      <c r="AF5183">
        <v>7.7052166388865997</v>
      </c>
      <c r="AG5183">
        <v>-1.10569914817</v>
      </c>
      <c r="AH5183">
        <v>43.612335596496202</v>
      </c>
      <c r="AI5183">
        <v>91.430163296929507</v>
      </c>
      <c r="AJ5183">
        <v>79.980653147638293</v>
      </c>
      <c r="AK5183">
        <v>44.301566002116097</v>
      </c>
      <c r="AL5183">
        <v>89.200495125065004</v>
      </c>
      <c r="AM5183">
        <v>80.936446384926398</v>
      </c>
      <c r="AN5183">
        <v>1.0000000273496501</v>
      </c>
    </row>
    <row r="5184" spans="1:40" x14ac:dyDescent="0.25">
      <c r="A5184" t="str">
        <f>"20190312154028277"</f>
        <v>20190312154028277</v>
      </c>
      <c r="B5184" t="str">
        <f>"1552376428271405"</f>
        <v>1552376428271405</v>
      </c>
      <c r="C5184" t="s">
        <v>40</v>
      </c>
      <c r="D5184">
        <v>4.083412</v>
      </c>
      <c r="E5184">
        <v>0.55021919999999902</v>
      </c>
      <c r="F5184" t="s">
        <v>55</v>
      </c>
      <c r="G5184">
        <v>-194.06729999999999</v>
      </c>
      <c r="H5184" s="1">
        <v>-1.3581770000000001E-5</v>
      </c>
      <c r="I5184">
        <v>155.51320000000001</v>
      </c>
      <c r="J5184">
        <v>-192.5052</v>
      </c>
      <c r="K5184">
        <v>1.1058699999999999</v>
      </c>
      <c r="L5184">
        <v>198.8674</v>
      </c>
      <c r="M5184">
        <v>0.15716739999999901</v>
      </c>
      <c r="N5184">
        <v>0</v>
      </c>
      <c r="O5184">
        <v>-0.98746599999999995</v>
      </c>
      <c r="P5184">
        <v>3.4648000000000001E-3</v>
      </c>
      <c r="Q5184">
        <v>4.184244E-4</v>
      </c>
      <c r="R5184">
        <v>-0.99999389999999999</v>
      </c>
      <c r="S5184">
        <v>-0.106155399999999</v>
      </c>
      <c r="T5184">
        <v>-7.6200840000000006E-2</v>
      </c>
      <c r="U5184">
        <v>-3.00116</v>
      </c>
      <c r="V5184">
        <v>0.15391189999999999</v>
      </c>
      <c r="W5184">
        <v>1.304811E-2</v>
      </c>
      <c r="X5184">
        <v>0.98799840000000005</v>
      </c>
      <c r="Y5184">
        <v>0.19198419999999999</v>
      </c>
      <c r="Z5184">
        <v>2.466482E-2</v>
      </c>
      <c r="AA5184">
        <v>0.98108799999999996</v>
      </c>
      <c r="AB5184">
        <v>19</v>
      </c>
      <c r="AC5184">
        <v>-1.5620999999999801</v>
      </c>
      <c r="AD5184">
        <v>-1.1058835817699999</v>
      </c>
      <c r="AE5184">
        <v>-43.354199999999899</v>
      </c>
      <c r="AF5184">
        <v>8.3518350064354401</v>
      </c>
      <c r="AG5184">
        <v>-1.1058835817699999</v>
      </c>
      <c r="AH5184">
        <v>42.542097869824602</v>
      </c>
      <c r="AI5184">
        <v>91.461191355529493</v>
      </c>
      <c r="AJ5184">
        <v>78.892987615862594</v>
      </c>
      <c r="AK5184">
        <v>43.368262792471697</v>
      </c>
      <c r="AL5184">
        <v>89.252377137903594</v>
      </c>
      <c r="AM5184">
        <v>81.145544520038101</v>
      </c>
      <c r="AN5184">
        <v>0.99999998226937103</v>
      </c>
    </row>
    <row r="5185" spans="1:40" x14ac:dyDescent="0.25">
      <c r="A5185" t="str">
        <f>"20190312154028290"</f>
        <v>20190312154028290</v>
      </c>
      <c r="B5185" t="str">
        <f>"1552376428281165"</f>
        <v>1552376428281165</v>
      </c>
      <c r="C5185" t="s">
        <v>40</v>
      </c>
      <c r="D5185">
        <v>4.1845569999999999</v>
      </c>
      <c r="E5185">
        <v>0.55037899999999995</v>
      </c>
      <c r="F5185" t="s">
        <v>41</v>
      </c>
      <c r="G5185">
        <v>-192.5967</v>
      </c>
      <c r="H5185">
        <v>0.94381119999999996</v>
      </c>
      <c r="I5185">
        <v>198.154</v>
      </c>
      <c r="J5185">
        <v>-192.4923</v>
      </c>
      <c r="K5185">
        <v>1.105985</v>
      </c>
      <c r="L5185">
        <v>198.74459999999999</v>
      </c>
      <c r="M5185">
        <v>0.15174360000000001</v>
      </c>
      <c r="N5185">
        <v>0</v>
      </c>
      <c r="O5185">
        <v>-0.98831480000000005</v>
      </c>
      <c r="P5185" s="1">
        <v>-6.7201300000000003E-5</v>
      </c>
      <c r="Q5185" s="1">
        <v>5.4462429999999998E-5</v>
      </c>
      <c r="R5185">
        <v>-1</v>
      </c>
      <c r="S5185">
        <v>-0.384552</v>
      </c>
      <c r="T5185">
        <v>-0.68152639999999998</v>
      </c>
      <c r="U5185">
        <v>-3.001617</v>
      </c>
      <c r="V5185">
        <v>0.15196870000000001</v>
      </c>
      <c r="W5185">
        <v>1.270815E-2</v>
      </c>
      <c r="X5185">
        <v>0.98830359999999995</v>
      </c>
      <c r="Y5185">
        <v>0.27312330000000001</v>
      </c>
      <c r="Z5185">
        <v>0.212529</v>
      </c>
      <c r="AA5185">
        <v>0.9382085</v>
      </c>
      <c r="AB5185">
        <v>19</v>
      </c>
      <c r="AC5185">
        <v>-0.10439999999999799</v>
      </c>
      <c r="AD5185">
        <v>-0.16217380000000001</v>
      </c>
      <c r="AE5185">
        <v>-0.59059999999996604</v>
      </c>
      <c r="AF5185">
        <v>0.17968224146460801</v>
      </c>
      <c r="AG5185">
        <v>-0.16217380000000001</v>
      </c>
      <c r="AH5185">
        <v>0.52922121312600801</v>
      </c>
      <c r="AI5185">
        <v>106.181140450223</v>
      </c>
      <c r="AJ5185">
        <v>71.246520133737405</v>
      </c>
      <c r="AK5185">
        <v>0.58194599554146698</v>
      </c>
      <c r="AL5185">
        <v>89.271857035717304</v>
      </c>
      <c r="AM5185">
        <v>81.258255632934507</v>
      </c>
      <c r="AN5185">
        <v>0.99999999431453601</v>
      </c>
    </row>
    <row r="5186" spans="1:40" x14ac:dyDescent="0.25">
      <c r="A5186" t="str">
        <f>"20190312154028310"</f>
        <v>20190312154028310</v>
      </c>
      <c r="B5186" t="str">
        <f>"1552376428301660"</f>
        <v>1552376428301660</v>
      </c>
      <c r="C5186" t="s">
        <v>40</v>
      </c>
      <c r="D5186">
        <v>4.0839040000000004</v>
      </c>
      <c r="E5186">
        <v>0.54916019999999999</v>
      </c>
      <c r="F5186" t="s">
        <v>41</v>
      </c>
      <c r="G5186">
        <v>-192.5949</v>
      </c>
      <c r="H5186">
        <v>0.95659910000000004</v>
      </c>
      <c r="I5186">
        <v>197.97040000000001</v>
      </c>
      <c r="J5186">
        <v>-192.4752</v>
      </c>
      <c r="K5186">
        <v>1.1061350000000001</v>
      </c>
      <c r="L5186">
        <v>198.57419999999999</v>
      </c>
      <c r="M5186">
        <v>0.1444049</v>
      </c>
      <c r="N5186">
        <v>0</v>
      </c>
      <c r="O5186">
        <v>-0.98941449999999997</v>
      </c>
      <c r="P5186">
        <v>-1.879304E-3</v>
      </c>
      <c r="Q5186">
        <v>-1.5091080000000001E-3</v>
      </c>
      <c r="R5186">
        <v>-0.99999709999999997</v>
      </c>
      <c r="S5186">
        <v>-0.39726260000000002</v>
      </c>
      <c r="T5186">
        <v>-0.57870540000000004</v>
      </c>
      <c r="U5186">
        <v>-3</v>
      </c>
      <c r="V5186">
        <v>0.14640069999999999</v>
      </c>
      <c r="W5186">
        <v>1.12148E-2</v>
      </c>
      <c r="X5186">
        <v>0.98916179999999998</v>
      </c>
      <c r="Y5186">
        <v>0.27080080000000001</v>
      </c>
      <c r="Z5186">
        <v>0.1821189</v>
      </c>
      <c r="AA5186">
        <v>0.94525110000000001</v>
      </c>
      <c r="AB5186">
        <v>19</v>
      </c>
      <c r="AC5186">
        <v>-0.11969999999999401</v>
      </c>
      <c r="AD5186">
        <v>-0.1495359</v>
      </c>
      <c r="AE5186">
        <v>-0.60379999999997802</v>
      </c>
      <c r="AF5186">
        <v>0.19418588747316701</v>
      </c>
      <c r="AG5186">
        <v>-0.1495359</v>
      </c>
      <c r="AH5186">
        <v>0.547851488776811</v>
      </c>
      <c r="AI5186">
        <v>104.42743835482899</v>
      </c>
      <c r="AJ5186">
        <v>70.483135053250606</v>
      </c>
      <c r="AK5186">
        <v>0.60017530608774605</v>
      </c>
      <c r="AL5186">
        <v>89.357425822878099</v>
      </c>
      <c r="AM5186">
        <v>81.581067678813199</v>
      </c>
      <c r="AN5186">
        <v>1.00000000163938</v>
      </c>
    </row>
    <row r="5187" spans="1:40" x14ac:dyDescent="0.25">
      <c r="A5187" t="str">
        <f>"20190312154028323"</f>
        <v>20190312154028323</v>
      </c>
      <c r="B5187" t="str">
        <f>"1552376428311421"</f>
        <v>1552376428311421</v>
      </c>
      <c r="C5187" t="s">
        <v>40</v>
      </c>
      <c r="D5187">
        <v>4.0373510000000001</v>
      </c>
      <c r="E5187">
        <v>0.54916019999999999</v>
      </c>
      <c r="F5187" t="s">
        <v>42</v>
      </c>
      <c r="G5187">
        <v>-193.53030000000001</v>
      </c>
      <c r="H5187" s="1">
        <v>-1.3592390000000001E-6</v>
      </c>
      <c r="I5187">
        <v>190.56800000000001</v>
      </c>
      <c r="J5187">
        <v>-192.46430000000001</v>
      </c>
      <c r="K5187">
        <v>1.1062399999999999</v>
      </c>
      <c r="L5187">
        <v>198.46090000000001</v>
      </c>
      <c r="M5187">
        <v>0.13966389999999901</v>
      </c>
      <c r="N5187">
        <v>0</v>
      </c>
      <c r="O5187">
        <v>-0.99009530000000001</v>
      </c>
      <c r="P5187">
        <v>-3.6145460000000002E-3</v>
      </c>
      <c r="Q5187">
        <v>-2.2282169999999998E-3</v>
      </c>
      <c r="R5187">
        <v>-0.99999119999999997</v>
      </c>
      <c r="S5187">
        <v>-0.39517210000000003</v>
      </c>
      <c r="T5187">
        <v>-0.41429310000000003</v>
      </c>
      <c r="U5187">
        <v>-2.9986570000000001</v>
      </c>
      <c r="V5187">
        <v>0.14336750000000001</v>
      </c>
      <c r="W5187">
        <v>1.053249E-2</v>
      </c>
      <c r="X5187">
        <v>0.98961350000000003</v>
      </c>
      <c r="Y5187">
        <v>0.26667879999999999</v>
      </c>
      <c r="Z5187">
        <v>0.13180410000000001</v>
      </c>
      <c r="AA5187">
        <v>0.95473039999999998</v>
      </c>
      <c r="AB5187">
        <v>19</v>
      </c>
      <c r="AC5187">
        <v>-1.0660000000000001</v>
      </c>
      <c r="AD5187">
        <v>-1.1062413592389999</v>
      </c>
      <c r="AE5187">
        <v>-7.8929000000000196</v>
      </c>
      <c r="AF5187">
        <v>2.11717193340152</v>
      </c>
      <c r="AG5187">
        <v>-1.1062413592389999</v>
      </c>
      <c r="AH5187">
        <v>7.52152360516531</v>
      </c>
      <c r="AI5187">
        <v>98.058098998766098</v>
      </c>
      <c r="AJ5187">
        <v>74.279055796346</v>
      </c>
      <c r="AK5187">
        <v>7.8917364555294798</v>
      </c>
      <c r="AL5187">
        <v>89.396521633167097</v>
      </c>
      <c r="AM5187">
        <v>81.756783662010903</v>
      </c>
      <c r="AN5187">
        <v>1.0000000263920401</v>
      </c>
    </row>
    <row r="5188" spans="1:40" x14ac:dyDescent="0.25">
      <c r="A5188" t="str">
        <f>"20190312154028335"</f>
        <v>20190312154028335</v>
      </c>
      <c r="B5188" t="str">
        <f>"1552376428331916"</f>
        <v>1552376428331916</v>
      </c>
      <c r="C5188" t="s">
        <v>40</v>
      </c>
      <c r="D5188">
        <v>4.0231859999999999</v>
      </c>
      <c r="E5188">
        <v>0.54662599999999995</v>
      </c>
      <c r="F5188" t="s">
        <v>42</v>
      </c>
      <c r="G5188">
        <v>-193.53059999999999</v>
      </c>
      <c r="H5188" s="1">
        <v>-1.3254649999999999E-6</v>
      </c>
      <c r="I5188">
        <v>190.489</v>
      </c>
      <c r="J5188">
        <v>-192.4537</v>
      </c>
      <c r="K5188">
        <v>1.106344</v>
      </c>
      <c r="L5188">
        <v>198.34710000000001</v>
      </c>
      <c r="M5188">
        <v>0.13499639999999999</v>
      </c>
      <c r="N5188">
        <v>0</v>
      </c>
      <c r="O5188">
        <v>-0.99074329999999999</v>
      </c>
      <c r="P5188">
        <v>-5.3809089999999997E-3</v>
      </c>
      <c r="Q5188">
        <v>-2.7784609999999999E-3</v>
      </c>
      <c r="R5188">
        <v>-0.99998189999999998</v>
      </c>
      <c r="S5188">
        <v>-0.40097050000000001</v>
      </c>
      <c r="T5188">
        <v>-0.41597329999999999</v>
      </c>
      <c r="U5188">
        <v>-2.99762</v>
      </c>
      <c r="V5188">
        <v>0.1404424</v>
      </c>
      <c r="W5188">
        <v>1.001705E-2</v>
      </c>
      <c r="X5188">
        <v>0.99003819999999998</v>
      </c>
      <c r="Y5188">
        <v>0.26398349999999998</v>
      </c>
      <c r="Z5188">
        <v>0.13254060000000001</v>
      </c>
      <c r="AA5188">
        <v>0.95537729999999998</v>
      </c>
      <c r="AB5188">
        <v>19</v>
      </c>
      <c r="AC5188">
        <v>-1.07689999999999</v>
      </c>
      <c r="AD5188">
        <v>-1.106345325465</v>
      </c>
      <c r="AE5188">
        <v>-7.8581000000000003</v>
      </c>
      <c r="AF5188">
        <v>2.0873507831060998</v>
      </c>
      <c r="AG5188">
        <v>-1.106345325465</v>
      </c>
      <c r="AH5188">
        <v>7.4949350232630998</v>
      </c>
      <c r="AI5188">
        <v>98.093235090453504</v>
      </c>
      <c r="AJ5188">
        <v>74.437399353692001</v>
      </c>
      <c r="AK5188">
        <v>7.8584403206900904</v>
      </c>
      <c r="AL5188">
        <v>89.426055726505894</v>
      </c>
      <c r="AM5188">
        <v>81.926145576729994</v>
      </c>
      <c r="AN5188">
        <v>1.00000002323385</v>
      </c>
    </row>
    <row r="5189" spans="1:40" x14ac:dyDescent="0.25">
      <c r="A5189" t="str">
        <f>"20190312154028348"</f>
        <v>20190312154028348</v>
      </c>
      <c r="B5189" t="str">
        <f>"1552376428341677"</f>
        <v>1552376428341677</v>
      </c>
      <c r="C5189" t="s">
        <v>40</v>
      </c>
      <c r="D5189">
        <v>3.984896</v>
      </c>
      <c r="E5189">
        <v>0.54657990000000001</v>
      </c>
      <c r="F5189" t="s">
        <v>59</v>
      </c>
      <c r="G5189">
        <v>-212.2261</v>
      </c>
      <c r="H5189">
        <v>2.8563239999999999</v>
      </c>
      <c r="I5189">
        <v>45.632109999999997</v>
      </c>
      <c r="J5189">
        <v>-192.44460000000001</v>
      </c>
      <c r="K5189">
        <v>1.106444</v>
      </c>
      <c r="L5189">
        <v>198.2441</v>
      </c>
      <c r="M5189">
        <v>0.1309053</v>
      </c>
      <c r="N5189">
        <v>0</v>
      </c>
      <c r="O5189">
        <v>-0.99129230000000002</v>
      </c>
      <c r="P5189">
        <v>-6.6390140000000004E-3</v>
      </c>
      <c r="Q5189">
        <v>-3.3478240000000001E-3</v>
      </c>
      <c r="R5189">
        <v>-0.99997230000000004</v>
      </c>
      <c r="S5189">
        <v>-0.38816830000000002</v>
      </c>
      <c r="T5189">
        <v>3.4355400000000001E-2</v>
      </c>
      <c r="U5189">
        <v>-2.998062</v>
      </c>
      <c r="V5189">
        <v>0.13759199999999999</v>
      </c>
      <c r="W5189">
        <v>9.4806360000000006E-3</v>
      </c>
      <c r="X5189">
        <v>0.99044359999999998</v>
      </c>
      <c r="Y5189">
        <v>0.25712309999999999</v>
      </c>
      <c r="Z5189">
        <v>-1.1071279999999999E-2</v>
      </c>
      <c r="AA5189">
        <v>0.96631529999999999</v>
      </c>
      <c r="AB5189">
        <v>19</v>
      </c>
      <c r="AC5189">
        <v>-19.781499999999902</v>
      </c>
      <c r="AD5189">
        <v>1.7498800000000001</v>
      </c>
      <c r="AE5189">
        <v>-152.61198999999999</v>
      </c>
      <c r="AF5189">
        <v>39.585874639768001</v>
      </c>
      <c r="AG5189">
        <v>1.7498800000000001</v>
      </c>
      <c r="AH5189">
        <v>148.68948446536001</v>
      </c>
      <c r="AI5189">
        <v>89.348429157274794</v>
      </c>
      <c r="AJ5189">
        <v>75.091845191163202</v>
      </c>
      <c r="AK5189">
        <v>153.87873908238399</v>
      </c>
      <c r="AL5189">
        <v>89.456791423090706</v>
      </c>
      <c r="AM5189">
        <v>82.091112618850204</v>
      </c>
      <c r="AN5189">
        <v>0.99999998285196201</v>
      </c>
    </row>
    <row r="5190" spans="1:40" x14ac:dyDescent="0.25">
      <c r="A5190" t="str">
        <f>"20190312154028361"</f>
        <v>20190312154028361</v>
      </c>
      <c r="B5190" t="str">
        <f>"1552376428351437"</f>
        <v>1552376428351437</v>
      </c>
      <c r="C5190" t="s">
        <v>40</v>
      </c>
      <c r="D5190">
        <v>4.0285539999999997</v>
      </c>
      <c r="E5190">
        <v>0.54581219999999997</v>
      </c>
      <c r="F5190" t="s">
        <v>59</v>
      </c>
      <c r="G5190">
        <v>-212.226</v>
      </c>
      <c r="H5190">
        <v>2.416525</v>
      </c>
      <c r="I5190">
        <v>46.795589999999997</v>
      </c>
      <c r="J5190">
        <v>-192.43440000000001</v>
      </c>
      <c r="K5190">
        <v>1.106555</v>
      </c>
      <c r="L5190">
        <v>198.12450000000001</v>
      </c>
      <c r="M5190">
        <v>0.1262335</v>
      </c>
      <c r="N5190">
        <v>0</v>
      </c>
      <c r="O5190">
        <v>-0.99189879999999997</v>
      </c>
      <c r="P5190">
        <v>-8.7610659999999996E-3</v>
      </c>
      <c r="Q5190">
        <v>-3.3094980000000001E-3</v>
      </c>
      <c r="R5190">
        <v>-0.99995639999999997</v>
      </c>
      <c r="S5190">
        <v>-0.39152530000000002</v>
      </c>
      <c r="T5190">
        <v>2.5930169999999999E-2</v>
      </c>
      <c r="U5190">
        <v>-2.9975589999999999</v>
      </c>
      <c r="V5190">
        <v>0.13502420000000001</v>
      </c>
      <c r="W5190">
        <v>9.5483440000000003E-3</v>
      </c>
      <c r="X5190">
        <v>0.99079629999999996</v>
      </c>
      <c r="Y5190">
        <v>0.25365670000000001</v>
      </c>
      <c r="Z5190">
        <v>-8.3690099999999996E-3</v>
      </c>
      <c r="AA5190">
        <v>0.96725810000000001</v>
      </c>
      <c r="AB5190">
        <v>19</v>
      </c>
      <c r="AC5190">
        <v>-19.791599999999899</v>
      </c>
      <c r="AD5190">
        <v>1.3099700000000001</v>
      </c>
      <c r="AE5190">
        <v>-151.32891000000001</v>
      </c>
      <c r="AF5190">
        <v>38.735098778649899</v>
      </c>
      <c r="AG5190">
        <v>1.3099700000000001</v>
      </c>
      <c r="AH5190">
        <v>147.608627428734</v>
      </c>
      <c r="AI5190">
        <v>89.508186376514999</v>
      </c>
      <c r="AJ5190">
        <v>75.296114093788404</v>
      </c>
      <c r="AK5190">
        <v>152.61202701683601</v>
      </c>
      <c r="AL5190">
        <v>89.452911877869795</v>
      </c>
      <c r="AM5190">
        <v>82.239624846454305</v>
      </c>
      <c r="AN5190">
        <v>1.00000000677623</v>
      </c>
    </row>
    <row r="5191" spans="1:40" x14ac:dyDescent="0.25">
      <c r="A5191" t="str">
        <f>"20190312154028377"</f>
        <v>20190312154028377</v>
      </c>
      <c r="B5191" t="str">
        <f>"1552376428370956"</f>
        <v>1552376428370956</v>
      </c>
      <c r="C5191" t="s">
        <v>40</v>
      </c>
      <c r="D5191">
        <v>4.0538230000000004</v>
      </c>
      <c r="E5191">
        <v>0.54238160000000002</v>
      </c>
      <c r="F5191" t="s">
        <v>59</v>
      </c>
      <c r="G5191">
        <v>-212.2259</v>
      </c>
      <c r="H5191">
        <v>2.097178</v>
      </c>
      <c r="I5191">
        <v>46.732300000000002</v>
      </c>
      <c r="J5191">
        <v>-192.42269999999999</v>
      </c>
      <c r="K5191">
        <v>1.1066990000000001</v>
      </c>
      <c r="L5191">
        <v>197.98330000000001</v>
      </c>
      <c r="M5191">
        <v>0.12087349999999999</v>
      </c>
      <c r="N5191">
        <v>0</v>
      </c>
      <c r="O5191">
        <v>-0.99256659999999997</v>
      </c>
      <c r="P5191">
        <v>-7.0418549999999996E-3</v>
      </c>
      <c r="Q5191">
        <v>-2.8684190000000001E-3</v>
      </c>
      <c r="R5191">
        <v>-0.99997119999999995</v>
      </c>
      <c r="S5191">
        <v>-0.39176939999999999</v>
      </c>
      <c r="T5191">
        <v>1.960945E-2</v>
      </c>
      <c r="U5191">
        <v>-2.9967800000000002</v>
      </c>
      <c r="V5191">
        <v>0.1279653</v>
      </c>
      <c r="W5191">
        <v>1.0068550000000001E-2</v>
      </c>
      <c r="X5191">
        <v>0.99172749999999998</v>
      </c>
      <c r="Y5191">
        <v>0.2485395</v>
      </c>
      <c r="Z5191">
        <v>-6.3415590000000001E-3</v>
      </c>
      <c r="AA5191">
        <v>0.96860100000000005</v>
      </c>
      <c r="AB5191">
        <v>19</v>
      </c>
      <c r="AC5191">
        <v>-19.8032</v>
      </c>
      <c r="AD5191">
        <v>0.990479</v>
      </c>
      <c r="AE5191">
        <v>-151.251</v>
      </c>
      <c r="AF5191">
        <v>37.940449082825303</v>
      </c>
      <c r="AG5191">
        <v>0.990479</v>
      </c>
      <c r="AH5191">
        <v>147.741639632887</v>
      </c>
      <c r="AI5191">
        <v>89.627958870060198</v>
      </c>
      <c r="AJ5191">
        <v>75.597510216197804</v>
      </c>
      <c r="AK5191">
        <v>152.53868626243599</v>
      </c>
      <c r="AL5191">
        <v>89.423104810931093</v>
      </c>
      <c r="AM5191">
        <v>82.647594426100198</v>
      </c>
      <c r="AN5191">
        <v>0.99999996397972002</v>
      </c>
    </row>
    <row r="5192" spans="1:40" x14ac:dyDescent="0.25">
      <c r="A5192" t="str">
        <f>"20190312154028392"</f>
        <v>20190312154028392</v>
      </c>
      <c r="B5192" t="str">
        <f>"1552376428381693"</f>
        <v>1552376428381693</v>
      </c>
      <c r="C5192" t="s">
        <v>40</v>
      </c>
      <c r="D5192">
        <v>4.0479200000000004</v>
      </c>
      <c r="E5192">
        <v>0.54139630000000005</v>
      </c>
      <c r="F5192" t="s">
        <v>59</v>
      </c>
      <c r="G5192">
        <v>-211.35910000000001</v>
      </c>
      <c r="H5192">
        <v>1.468944</v>
      </c>
      <c r="I5192">
        <v>40.019779999999997</v>
      </c>
      <c r="J5192">
        <v>-192.4126</v>
      </c>
      <c r="K5192">
        <v>1.106833</v>
      </c>
      <c r="L5192">
        <v>197.8528</v>
      </c>
      <c r="M5192">
        <v>0.1161228</v>
      </c>
      <c r="N5192">
        <v>0</v>
      </c>
      <c r="O5192">
        <v>-0.99313439999999997</v>
      </c>
      <c r="P5192">
        <v>-9.9347399999999992E-3</v>
      </c>
      <c r="Q5192">
        <v>-2.5084899999999999E-3</v>
      </c>
      <c r="R5192">
        <v>-0.99994769999999999</v>
      </c>
      <c r="S5192">
        <v>-0.35934450000000001</v>
      </c>
      <c r="T5192">
        <v>6.8743229999999999E-3</v>
      </c>
      <c r="U5192">
        <v>-2.9975740000000002</v>
      </c>
      <c r="V5192">
        <v>0.12608829999999999</v>
      </c>
      <c r="W5192">
        <v>1.0449999999999999E-2</v>
      </c>
      <c r="X5192">
        <v>0.99196399999999996</v>
      </c>
      <c r="Y5192">
        <v>0.2335294</v>
      </c>
      <c r="Z5192">
        <v>-2.2302699999999999E-3</v>
      </c>
      <c r="AA5192">
        <v>0.97234719999999997</v>
      </c>
      <c r="AB5192">
        <v>19</v>
      </c>
      <c r="AC5192">
        <v>-18.9465</v>
      </c>
      <c r="AD5192">
        <v>0.36211100000000002</v>
      </c>
      <c r="AE5192">
        <v>-157.83302</v>
      </c>
      <c r="AF5192">
        <v>37.147947173068196</v>
      </c>
      <c r="AG5192">
        <v>0.36211100000000002</v>
      </c>
      <c r="AH5192">
        <v>154.56390212040401</v>
      </c>
      <c r="AI5192">
        <v>89.869484756671099</v>
      </c>
      <c r="AJ5192">
        <v>76.485827889992393</v>
      </c>
      <c r="AK5192">
        <v>158.96572253865</v>
      </c>
      <c r="AL5192">
        <v>89.401248217952798</v>
      </c>
      <c r="AM5192">
        <v>82.7559944124488</v>
      </c>
      <c r="AN5192">
        <v>1.00000001959644</v>
      </c>
    </row>
    <row r="5193" spans="1:40" x14ac:dyDescent="0.25">
      <c r="A5193" t="str">
        <f>"20190312154028410"</f>
        <v>20190312154028410</v>
      </c>
      <c r="B5193" t="str">
        <f>"1552376428401216"</f>
        <v>1552376428401216</v>
      </c>
      <c r="C5193" t="s">
        <v>40</v>
      </c>
      <c r="D5193">
        <v>4.0250440000000003</v>
      </c>
      <c r="E5193">
        <v>0.53887689999999999</v>
      </c>
      <c r="F5193" t="s">
        <v>59</v>
      </c>
      <c r="G5193">
        <v>-211.35910000000001</v>
      </c>
      <c r="H5193">
        <v>1.3635029999999999</v>
      </c>
      <c r="I5193">
        <v>40.156970000000001</v>
      </c>
      <c r="J5193">
        <v>-192.4007</v>
      </c>
      <c r="K5193">
        <v>1.106981</v>
      </c>
      <c r="L5193">
        <v>197.6925</v>
      </c>
      <c r="M5193">
        <v>0.1104589</v>
      </c>
      <c r="N5193">
        <v>0</v>
      </c>
      <c r="O5193">
        <v>-0.99378089999999997</v>
      </c>
      <c r="P5193">
        <v>-1.1976550000000001E-2</v>
      </c>
      <c r="Q5193">
        <v>-1.5968390000000001E-3</v>
      </c>
      <c r="R5193">
        <v>-0.99992700000000001</v>
      </c>
      <c r="S5193">
        <v>-0.36003109999999999</v>
      </c>
      <c r="T5193">
        <v>4.8775670000000002E-3</v>
      </c>
      <c r="U5193">
        <v>-2.996613</v>
      </c>
      <c r="V5193">
        <v>0.1224606</v>
      </c>
      <c r="W5193">
        <v>1.1399319999999999E-2</v>
      </c>
      <c r="X5193">
        <v>0.99240790000000001</v>
      </c>
      <c r="Y5193">
        <v>0.228239</v>
      </c>
      <c r="Z5193">
        <v>-1.585532E-3</v>
      </c>
      <c r="AA5193">
        <v>0.97360380000000002</v>
      </c>
      <c r="AB5193">
        <v>19</v>
      </c>
      <c r="AC5193">
        <v>-18.958400000000001</v>
      </c>
      <c r="AD5193">
        <v>0.25652199999999997</v>
      </c>
      <c r="AE5193">
        <v>-157.53552999999999</v>
      </c>
      <c r="AF5193">
        <v>36.245197318316698</v>
      </c>
      <c r="AG5193">
        <v>0.25652199999999997</v>
      </c>
      <c r="AH5193">
        <v>154.47659436866201</v>
      </c>
      <c r="AI5193">
        <v>89.907370954639902</v>
      </c>
      <c r="AJ5193">
        <v>76.795415990373598</v>
      </c>
      <c r="AK5193">
        <v>158.67198347509299</v>
      </c>
      <c r="AL5193">
        <v>89.346852923140403</v>
      </c>
      <c r="AM5193">
        <v>82.965408397116903</v>
      </c>
      <c r="AN5193">
        <v>0.99999999151561603</v>
      </c>
    </row>
    <row r="5194" spans="1:40" x14ac:dyDescent="0.25">
      <c r="A5194" t="str">
        <f>"20190312154028432"</f>
        <v>20190312154028432</v>
      </c>
      <c r="B5194" t="str">
        <f>"1552376428421709"</f>
        <v>1552376428421709</v>
      </c>
      <c r="C5194" t="s">
        <v>40</v>
      </c>
      <c r="D5194">
        <v>4.0770819999999999</v>
      </c>
      <c r="E5194">
        <v>0.53650779999999998</v>
      </c>
      <c r="F5194" t="s">
        <v>58</v>
      </c>
      <c r="G5194">
        <v>-211.9409</v>
      </c>
      <c r="H5194">
        <v>1.3319289999999999</v>
      </c>
      <c r="I5194">
        <v>28.494990000000001</v>
      </c>
      <c r="J5194">
        <v>-192.38759999999999</v>
      </c>
      <c r="K5194">
        <v>1.107165</v>
      </c>
      <c r="L5194">
        <v>197.50540000000001</v>
      </c>
      <c r="M5194">
        <v>0.1041464</v>
      </c>
      <c r="N5194">
        <v>0</v>
      </c>
      <c r="O5194">
        <v>-0.99446310000000004</v>
      </c>
      <c r="P5194">
        <v>-1.5872799999999999E-2</v>
      </c>
      <c r="Q5194">
        <v>-2.1740700000000002E-3</v>
      </c>
      <c r="R5194">
        <v>-0.99987170000000003</v>
      </c>
      <c r="S5194">
        <v>-0.34600829999999999</v>
      </c>
      <c r="T5194">
        <v>3.9831399999999996E-3</v>
      </c>
      <c r="U5194">
        <v>-2.9960629999999999</v>
      </c>
      <c r="V5194">
        <v>0.1200155</v>
      </c>
      <c r="W5194">
        <v>1.084766E-2</v>
      </c>
      <c r="X5194">
        <v>0.9927127</v>
      </c>
      <c r="Y5194">
        <v>0.21756990000000001</v>
      </c>
      <c r="Z5194">
        <v>-1.29835E-3</v>
      </c>
      <c r="AA5194">
        <v>0.97604389999999996</v>
      </c>
      <c r="AB5194">
        <v>19</v>
      </c>
      <c r="AC5194">
        <v>-19.5533</v>
      </c>
      <c r="AD5194">
        <v>0.22476399999999999</v>
      </c>
      <c r="AE5194">
        <v>-169.01041000000001</v>
      </c>
      <c r="AF5194">
        <v>37.050439978265601</v>
      </c>
      <c r="AG5194">
        <v>0.22476399999999999</v>
      </c>
      <c r="AH5194">
        <v>166.054250440114</v>
      </c>
      <c r="AI5194">
        <v>89.924308130305704</v>
      </c>
      <c r="AJ5194">
        <v>77.422046789779998</v>
      </c>
      <c r="AK5194">
        <v>170.13759052798099</v>
      </c>
      <c r="AL5194">
        <v>89.378462642337993</v>
      </c>
      <c r="AM5194">
        <v>83.106594953769502</v>
      </c>
      <c r="AN5194">
        <v>0.99999994835450601</v>
      </c>
    </row>
    <row r="5195" spans="1:40" x14ac:dyDescent="0.25">
      <c r="A5195" t="str">
        <f>"20190312154028455"</f>
        <v>20190312154028455</v>
      </c>
      <c r="B5195" t="str">
        <f>"1552376428441229"</f>
        <v>1552376428441229</v>
      </c>
      <c r="C5195" t="s">
        <v>40</v>
      </c>
      <c r="D5195">
        <v>4.0448050000000002</v>
      </c>
      <c r="E5195">
        <v>0.53485280000000002</v>
      </c>
      <c r="F5195" t="s">
        <v>58</v>
      </c>
      <c r="G5195">
        <v>-211.46799999999999</v>
      </c>
      <c r="H5195">
        <v>0.48814679999999999</v>
      </c>
      <c r="I5195">
        <v>28.79354</v>
      </c>
      <c r="J5195">
        <v>-192.37450000000001</v>
      </c>
      <c r="K5195">
        <v>1.1073710000000001</v>
      </c>
      <c r="L5195">
        <v>197.30420000000001</v>
      </c>
      <c r="M5195">
        <v>9.7746559999999996E-2</v>
      </c>
      <c r="N5195">
        <v>0</v>
      </c>
      <c r="O5195">
        <v>-0.99511329999999998</v>
      </c>
      <c r="P5195">
        <v>-2.0800909999999999E-2</v>
      </c>
      <c r="Q5195">
        <v>-2.6440560000000001E-3</v>
      </c>
      <c r="R5195">
        <v>-0.99978040000000001</v>
      </c>
      <c r="S5195">
        <v>-0.33871459999999998</v>
      </c>
      <c r="T5195">
        <v>-1.098883E-2</v>
      </c>
      <c r="U5195">
        <v>-2.99498</v>
      </c>
      <c r="V5195">
        <v>0.11851250000000001</v>
      </c>
      <c r="W5195">
        <v>1.039707E-2</v>
      </c>
      <c r="X5195">
        <v>0.99289810000000001</v>
      </c>
      <c r="Y5195">
        <v>0.20897560000000001</v>
      </c>
      <c r="Z5195">
        <v>3.590701E-3</v>
      </c>
      <c r="AA5195">
        <v>0.97791430000000001</v>
      </c>
      <c r="AB5195">
        <v>19</v>
      </c>
      <c r="AC5195">
        <v>-19.093499999999899</v>
      </c>
      <c r="AD5195">
        <v>-0.619224199999999</v>
      </c>
      <c r="AE5195">
        <v>-168.51066</v>
      </c>
      <c r="AF5195">
        <v>35.474521469242802</v>
      </c>
      <c r="AG5195">
        <v>-0.619224199999999</v>
      </c>
      <c r="AH5195">
        <v>165.834844771929</v>
      </c>
      <c r="AI5195">
        <v>90.209207341097496</v>
      </c>
      <c r="AJ5195">
        <v>77.925565325391403</v>
      </c>
      <c r="AK5195">
        <v>169.58779688589499</v>
      </c>
      <c r="AL5195">
        <v>89.404281021312599</v>
      </c>
      <c r="AM5195">
        <v>83.193367676883497</v>
      </c>
      <c r="AN5195">
        <v>0.99999997435222199</v>
      </c>
    </row>
    <row r="5196" spans="1:40" x14ac:dyDescent="0.25">
      <c r="A5196" t="str">
        <f>"20190312154028481"</f>
        <v>20190312154028481</v>
      </c>
      <c r="B5196" t="str">
        <f>"1552376428471484"</f>
        <v>1552376428471484</v>
      </c>
      <c r="C5196" t="s">
        <v>40</v>
      </c>
      <c r="D5196">
        <v>4.061115</v>
      </c>
      <c r="E5196">
        <v>0.53328929999999997</v>
      </c>
      <c r="F5196" t="s">
        <v>43</v>
      </c>
      <c r="G5196">
        <v>-211.36940000000001</v>
      </c>
      <c r="H5196">
        <v>-0.05</v>
      </c>
      <c r="I5196">
        <v>30.10023</v>
      </c>
      <c r="J5196">
        <v>-192.3614</v>
      </c>
      <c r="K5196">
        <v>1.107629</v>
      </c>
      <c r="L5196">
        <v>197.09059999999999</v>
      </c>
      <c r="M5196">
        <v>9.1450340000000005E-2</v>
      </c>
      <c r="N5196">
        <v>0</v>
      </c>
      <c r="O5196">
        <v>-0.9957125</v>
      </c>
      <c r="P5196">
        <v>-2.590862E-2</v>
      </c>
      <c r="Q5196">
        <v>-2.4709319999999999E-3</v>
      </c>
      <c r="R5196">
        <v>-0.99966129999999997</v>
      </c>
      <c r="S5196">
        <v>-0.340072599999999</v>
      </c>
      <c r="T5196">
        <v>-2.0720840000000001E-2</v>
      </c>
      <c r="U5196">
        <v>-2.9935149999999999</v>
      </c>
      <c r="V5196">
        <v>0.1172993</v>
      </c>
      <c r="W5196">
        <v>1.0593999999999999E-2</v>
      </c>
      <c r="X5196">
        <v>0.99304009999999998</v>
      </c>
      <c r="Y5196">
        <v>0.20327600000000001</v>
      </c>
      <c r="Z5196">
        <v>6.7840770000000003E-3</v>
      </c>
      <c r="AA5196">
        <v>0.97909800000000002</v>
      </c>
      <c r="AB5196">
        <v>19</v>
      </c>
      <c r="AC5196">
        <v>-19.007999999999999</v>
      </c>
      <c r="AD5196">
        <v>-1.157629</v>
      </c>
      <c r="AE5196">
        <v>-166.99036999999899</v>
      </c>
      <c r="AF5196">
        <v>34.199515122372397</v>
      </c>
      <c r="AG5196">
        <v>-1.157629</v>
      </c>
      <c r="AH5196">
        <v>164.544221664113</v>
      </c>
      <c r="AI5196">
        <v>90.3946561962224</v>
      </c>
      <c r="AJ5196">
        <v>78.258588874350394</v>
      </c>
      <c r="AK5196">
        <v>168.06471319868299</v>
      </c>
      <c r="AL5196">
        <v>89.392997156845396</v>
      </c>
      <c r="AM5196">
        <v>83.263357202200496</v>
      </c>
      <c r="AN5196">
        <v>0.99999999941224904</v>
      </c>
    </row>
    <row r="5197" spans="1:40" x14ac:dyDescent="0.25">
      <c r="A5197" t="str">
        <f>"20190312154028499"</f>
        <v>20190312154028499</v>
      </c>
      <c r="B5197" t="str">
        <f>"1552376428491008"</f>
        <v>1552376428491008</v>
      </c>
      <c r="C5197" t="s">
        <v>40</v>
      </c>
      <c r="D5197">
        <v>4.1744379999999897</v>
      </c>
      <c r="E5197">
        <v>0.53207309999999997</v>
      </c>
      <c r="F5197" t="s">
        <v>43</v>
      </c>
      <c r="G5197">
        <v>-213.5324</v>
      </c>
      <c r="H5197">
        <v>-0.05</v>
      </c>
      <c r="I5197">
        <v>12.393879999999999</v>
      </c>
      <c r="J5197">
        <v>-192.35140000000001</v>
      </c>
      <c r="K5197">
        <v>1.1078479999999999</v>
      </c>
      <c r="L5197">
        <v>196.91849999999999</v>
      </c>
      <c r="M5197">
        <v>8.6738969999999999E-2</v>
      </c>
      <c r="N5197">
        <v>0</v>
      </c>
      <c r="O5197">
        <v>-0.99613470000000004</v>
      </c>
      <c r="P5197">
        <v>-2.9526009999999998E-2</v>
      </c>
      <c r="Q5197">
        <v>-2.383221E-3</v>
      </c>
      <c r="R5197">
        <v>-0.99956149999999999</v>
      </c>
      <c r="S5197">
        <v>-0.34297179999999999</v>
      </c>
      <c r="T5197">
        <v>-1.875365E-2</v>
      </c>
      <c r="U5197">
        <v>-2.9920960000000001</v>
      </c>
      <c r="V5197">
        <v>0.1161896</v>
      </c>
      <c r="W5197">
        <v>1.070748E-2</v>
      </c>
      <c r="X5197">
        <v>0.99316930000000003</v>
      </c>
      <c r="Y5197">
        <v>0.1996318</v>
      </c>
      <c r="Z5197">
        <v>6.148896E-3</v>
      </c>
      <c r="AA5197">
        <v>0.97985169999999999</v>
      </c>
      <c r="AB5197">
        <v>19</v>
      </c>
      <c r="AC5197">
        <v>-21.180999999999901</v>
      </c>
      <c r="AD5197">
        <v>-1.157848</v>
      </c>
      <c r="AE5197">
        <v>-184.52462</v>
      </c>
      <c r="AF5197">
        <v>37.106725319983397</v>
      </c>
      <c r="AG5197">
        <v>-1.157848</v>
      </c>
      <c r="AH5197">
        <v>181.984559827124</v>
      </c>
      <c r="AI5197">
        <v>90.357181257422198</v>
      </c>
      <c r="AJ5197">
        <v>78.475348142800996</v>
      </c>
      <c r="AK5197">
        <v>185.732683422805</v>
      </c>
      <c r="AL5197">
        <v>89.386494842384494</v>
      </c>
      <c r="AM5197">
        <v>83.327371409373001</v>
      </c>
      <c r="AN5197">
        <v>0.99999996586929896</v>
      </c>
    </row>
    <row r="5198" spans="1:40" x14ac:dyDescent="0.25">
      <c r="A5198" t="str">
        <f>"20190312154028522"</f>
        <v>20190312154028522</v>
      </c>
      <c r="B5198" t="str">
        <f>"1552376428511500"</f>
        <v>1552376428511500</v>
      </c>
      <c r="C5198" t="s">
        <v>40</v>
      </c>
      <c r="D5198">
        <v>4.1041550000000004</v>
      </c>
      <c r="E5198">
        <v>0.530999</v>
      </c>
      <c r="F5198" t="s">
        <v>43</v>
      </c>
      <c r="G5198">
        <v>-208.3742</v>
      </c>
      <c r="H5198">
        <v>-0.05</v>
      </c>
      <c r="I5198">
        <v>57.640259999999998</v>
      </c>
      <c r="J5198">
        <v>-192.34100000000001</v>
      </c>
      <c r="K5198">
        <v>1.1080719999999999</v>
      </c>
      <c r="L5198">
        <v>196.7295</v>
      </c>
      <c r="M5198">
        <v>8.1888710000000003E-2</v>
      </c>
      <c r="N5198">
        <v>0</v>
      </c>
      <c r="O5198">
        <v>-0.99654560000000003</v>
      </c>
      <c r="P5198">
        <v>-3.317523E-2</v>
      </c>
      <c r="Q5198">
        <v>-3.1915680000000001E-3</v>
      </c>
      <c r="R5198">
        <v>-0.99944440000000001</v>
      </c>
      <c r="S5198">
        <v>-0.34410099999999999</v>
      </c>
      <c r="T5198">
        <v>-2.486551E-2</v>
      </c>
      <c r="U5198">
        <v>-2.9910890000000001</v>
      </c>
      <c r="V5198">
        <v>0.11497019999999999</v>
      </c>
      <c r="W5198">
        <v>9.9245510000000002E-3</v>
      </c>
      <c r="X5198">
        <v>0.99331939999999996</v>
      </c>
      <c r="Y5198">
        <v>0.1952604</v>
      </c>
      <c r="Z5198">
        <v>8.1640299999999992E-3</v>
      </c>
      <c r="AA5198">
        <v>0.98071750000000002</v>
      </c>
      <c r="AB5198">
        <v>19</v>
      </c>
      <c r="AC5198">
        <v>-16.033200000000001</v>
      </c>
      <c r="AD5198">
        <v>-1.158072</v>
      </c>
      <c r="AE5198">
        <v>-139.08923999999999</v>
      </c>
      <c r="AF5198">
        <v>27.3683963842639</v>
      </c>
      <c r="AG5198">
        <v>-1.158072</v>
      </c>
      <c r="AH5198">
        <v>137.29955964638799</v>
      </c>
      <c r="AI5198">
        <v>90.473934208423799</v>
      </c>
      <c r="AJ5198">
        <v>78.726793272419101</v>
      </c>
      <c r="AK5198">
        <v>140.005497500975</v>
      </c>
      <c r="AL5198">
        <v>89.431355799991394</v>
      </c>
      <c r="AM5198">
        <v>83.397767407614694</v>
      </c>
      <c r="AN5198">
        <v>1.0000000370084701</v>
      </c>
    </row>
    <row r="5199" spans="1:40" x14ac:dyDescent="0.25">
      <c r="A5199" t="str">
        <f>"20190312154028544"</f>
        <v>20190312154028544</v>
      </c>
      <c r="B5199" t="str">
        <f>"1552376428531020"</f>
        <v>1552376428531020</v>
      </c>
      <c r="C5199" t="s">
        <v>40</v>
      </c>
      <c r="D5199">
        <v>4.1407949999999998</v>
      </c>
      <c r="E5199">
        <v>0.52992620000000001</v>
      </c>
      <c r="F5199" t="s">
        <v>42</v>
      </c>
      <c r="G5199">
        <v>-204.22409999999999</v>
      </c>
      <c r="H5199">
        <v>7.9985650000000005E-2</v>
      </c>
      <c r="I5199">
        <v>94.207800000000006</v>
      </c>
      <c r="J5199">
        <v>-192.33070000000001</v>
      </c>
      <c r="K5199">
        <v>1.108266</v>
      </c>
      <c r="L5199">
        <v>196.535</v>
      </c>
      <c r="M5199">
        <v>7.7252539999999995E-2</v>
      </c>
      <c r="N5199">
        <v>0</v>
      </c>
      <c r="O5199">
        <v>-0.99691640000000004</v>
      </c>
      <c r="P5199">
        <v>-3.7954189999999999E-2</v>
      </c>
      <c r="Q5199">
        <v>-3.1455659999999998E-3</v>
      </c>
      <c r="R5199">
        <v>-0.99927469999999996</v>
      </c>
      <c r="S5199">
        <v>-0.34657290000000002</v>
      </c>
      <c r="T5199">
        <v>-2.998435E-2</v>
      </c>
      <c r="U5199">
        <v>-2.9900669999999998</v>
      </c>
      <c r="V5199">
        <v>0.115095</v>
      </c>
      <c r="W5199">
        <v>9.9836769999999998E-3</v>
      </c>
      <c r="X5199">
        <v>0.99330430000000003</v>
      </c>
      <c r="Y5199">
        <v>0.1915335</v>
      </c>
      <c r="Z5199">
        <v>9.8566439999999995E-3</v>
      </c>
      <c r="AA5199">
        <v>0.98143659999999999</v>
      </c>
      <c r="AB5199">
        <v>19</v>
      </c>
      <c r="AC5199">
        <v>-11.8933999999999</v>
      </c>
      <c r="AD5199">
        <v>-1.02828035</v>
      </c>
      <c r="AE5199">
        <v>-102.3272</v>
      </c>
      <c r="AF5199">
        <v>19.761667693652299</v>
      </c>
      <c r="AG5199">
        <v>-1.02828035</v>
      </c>
      <c r="AH5199">
        <v>101.092387984548</v>
      </c>
      <c r="AI5199">
        <v>90.571950010413005</v>
      </c>
      <c r="AJ5199">
        <v>78.939229160453706</v>
      </c>
      <c r="AK5199">
        <v>103.010930385717</v>
      </c>
      <c r="AL5199">
        <v>89.427967930895804</v>
      </c>
      <c r="AM5199">
        <v>83.390564482130003</v>
      </c>
      <c r="AN5199">
        <v>0.99999998261496503</v>
      </c>
    </row>
    <row r="5200" spans="1:40" x14ac:dyDescent="0.25">
      <c r="A5200" t="str">
        <f>"20190312154028567"</f>
        <v>20190312154028567</v>
      </c>
      <c r="B5200" t="str">
        <f>"1552376428561276"</f>
        <v>1552376428561276</v>
      </c>
      <c r="C5200" t="s">
        <v>40</v>
      </c>
      <c r="D5200">
        <v>4.1747230000000002</v>
      </c>
      <c r="E5200">
        <v>0.52856590000000003</v>
      </c>
      <c r="F5200" t="s">
        <v>42</v>
      </c>
      <c r="G5200">
        <v>-204.30099999999999</v>
      </c>
      <c r="H5200">
        <v>7.9986890000000005E-2</v>
      </c>
      <c r="I5200">
        <v>94.985129999999998</v>
      </c>
      <c r="J5200">
        <v>-192.321</v>
      </c>
      <c r="K5200">
        <v>1.1084459999999901</v>
      </c>
      <c r="L5200">
        <v>196.34110000000001</v>
      </c>
      <c r="M5200">
        <v>7.3015330000000003E-2</v>
      </c>
      <c r="N5200">
        <v>0</v>
      </c>
      <c r="O5200">
        <v>-0.99723609999999896</v>
      </c>
      <c r="P5200">
        <v>-4.237486E-2</v>
      </c>
      <c r="Q5200">
        <v>-3.1820849999999999E-3</v>
      </c>
      <c r="R5200">
        <v>-0.99909689999999995</v>
      </c>
      <c r="S5200">
        <v>-0.35229490000000002</v>
      </c>
      <c r="T5200">
        <v>-3.026307E-2</v>
      </c>
      <c r="U5200">
        <v>-2.988693</v>
      </c>
      <c r="V5200">
        <v>0.1152635</v>
      </c>
      <c r="W5200">
        <v>9.9588820000000005E-3</v>
      </c>
      <c r="X5200">
        <v>0.99328499999999997</v>
      </c>
      <c r="Y5200">
        <v>0.1892672</v>
      </c>
      <c r="Z5200">
        <v>9.9587510000000001E-3</v>
      </c>
      <c r="AA5200">
        <v>0.9818751</v>
      </c>
      <c r="AB5200">
        <v>19</v>
      </c>
      <c r="AC5200">
        <v>-11.979999999999899</v>
      </c>
      <c r="AD5200">
        <v>-1.02845910999999</v>
      </c>
      <c r="AE5200">
        <v>-101.35597</v>
      </c>
      <c r="AF5200">
        <v>19.347291333512601</v>
      </c>
      <c r="AG5200">
        <v>-1.02845910999999</v>
      </c>
      <c r="AH5200">
        <v>100.200400391347</v>
      </c>
      <c r="AI5200">
        <v>90.577400348833706</v>
      </c>
      <c r="AJ5200">
        <v>79.071477526437306</v>
      </c>
      <c r="AK5200">
        <v>102.056335661589</v>
      </c>
      <c r="AL5200">
        <v>89.429388644628503</v>
      </c>
      <c r="AM5200">
        <v>83.380846546100301</v>
      </c>
      <c r="AN5200">
        <v>0.99999997249396899</v>
      </c>
    </row>
    <row r="5201" spans="1:40" x14ac:dyDescent="0.25">
      <c r="A5201" t="str">
        <f>"20190312154028589"</f>
        <v>20190312154028589</v>
      </c>
      <c r="B5201" t="str">
        <f>"1552376428581773"</f>
        <v>1552376428581773</v>
      </c>
      <c r="C5201" t="s">
        <v>40</v>
      </c>
      <c r="D5201">
        <v>4.2007529999999997</v>
      </c>
      <c r="E5201">
        <v>0.52771849999999998</v>
      </c>
      <c r="F5201" t="s">
        <v>42</v>
      </c>
      <c r="G5201">
        <v>-203.34559999999999</v>
      </c>
      <c r="H5201">
        <v>7.9985840000000002E-2</v>
      </c>
      <c r="I5201">
        <v>103.4636</v>
      </c>
      <c r="J5201">
        <v>-192.3115</v>
      </c>
      <c r="K5201">
        <v>1.10863</v>
      </c>
      <c r="L5201">
        <v>196.1446</v>
      </c>
      <c r="M5201">
        <v>6.913793E-2</v>
      </c>
      <c r="N5201">
        <v>0</v>
      </c>
      <c r="O5201">
        <v>-0.99751299999999998</v>
      </c>
      <c r="P5201">
        <v>-4.615855E-2</v>
      </c>
      <c r="Q5201">
        <v>-4.5045739999999999E-3</v>
      </c>
      <c r="R5201">
        <v>-0.99892420000000004</v>
      </c>
      <c r="S5201">
        <v>-0.35462949999999999</v>
      </c>
      <c r="T5201">
        <v>-3.308237E-2</v>
      </c>
      <c r="U5201">
        <v>-2.9875790000000002</v>
      </c>
      <c r="V5201">
        <v>0.1151533</v>
      </c>
      <c r="W5201">
        <v>8.6543119999999904E-3</v>
      </c>
      <c r="X5201">
        <v>0.99331000000000003</v>
      </c>
      <c r="Y5201">
        <v>0.186247</v>
      </c>
      <c r="Z5201">
        <v>1.08977E-2</v>
      </c>
      <c r="AA5201">
        <v>0.9824425</v>
      </c>
      <c r="AB5201">
        <v>19</v>
      </c>
      <c r="AC5201">
        <v>-11.034099999999899</v>
      </c>
      <c r="AD5201">
        <v>-1.02864416</v>
      </c>
      <c r="AE5201">
        <v>-92.680999999999997</v>
      </c>
      <c r="AF5201">
        <v>17.413950679579798</v>
      </c>
      <c r="AG5201">
        <v>-1.02864416</v>
      </c>
      <c r="AH5201">
        <v>91.685100280347697</v>
      </c>
      <c r="AI5201">
        <v>90.631503860752602</v>
      </c>
      <c r="AJ5201">
        <v>79.245783543243405</v>
      </c>
      <c r="AK5201">
        <v>93.329852675851498</v>
      </c>
      <c r="AL5201">
        <v>89.504138241972001</v>
      </c>
      <c r="AM5201">
        <v>83.387283806014594</v>
      </c>
      <c r="AN5201">
        <v>0.99999996785854095</v>
      </c>
    </row>
    <row r="5202" spans="1:40" x14ac:dyDescent="0.25">
      <c r="A5202" t="str">
        <f>"20190312154028611"</f>
        <v>20190312154028611</v>
      </c>
      <c r="B5202" t="str">
        <f>"1552376428601297"</f>
        <v>1552376428601297</v>
      </c>
      <c r="C5202" t="s">
        <v>40</v>
      </c>
      <c r="D5202">
        <v>4.2243879999999896</v>
      </c>
      <c r="E5202">
        <v>0.52692519999999998</v>
      </c>
      <c r="F5202" t="s">
        <v>42</v>
      </c>
      <c r="G5202">
        <v>-201.95859999999999</v>
      </c>
      <c r="H5202">
        <v>7.998653E-2</v>
      </c>
      <c r="I5202">
        <v>115.9344</v>
      </c>
      <c r="J5202">
        <v>-192.30279999999999</v>
      </c>
      <c r="K5202">
        <v>1.108824</v>
      </c>
      <c r="L5202">
        <v>195.9581</v>
      </c>
      <c r="M5202">
        <v>6.5849539999999998E-2</v>
      </c>
      <c r="N5202">
        <v>0</v>
      </c>
      <c r="O5202">
        <v>-0.99773610000000001</v>
      </c>
      <c r="P5202">
        <v>-4.8834889999999999E-2</v>
      </c>
      <c r="Q5202">
        <v>-6.5295609999999997E-3</v>
      </c>
      <c r="R5202">
        <v>-0.99878599999999995</v>
      </c>
      <c r="S5202">
        <v>-0.35919190000000001</v>
      </c>
      <c r="T5202">
        <v>-3.8299680000000003E-2</v>
      </c>
      <c r="U5202">
        <v>-2.9864809999999999</v>
      </c>
      <c r="V5202">
        <v>0.1145283</v>
      </c>
      <c r="W5202">
        <v>6.6564229999999999E-3</v>
      </c>
      <c r="X5202">
        <v>0.99339770000000005</v>
      </c>
      <c r="Y5202">
        <v>0.18452769999999999</v>
      </c>
      <c r="Z5202">
        <v>1.2625890000000001E-2</v>
      </c>
      <c r="AA5202">
        <v>0.98274620000000001</v>
      </c>
      <c r="AB5202">
        <v>19</v>
      </c>
      <c r="AC5202">
        <v>-9.6557999999999993</v>
      </c>
      <c r="AD5202">
        <v>-1.02883747</v>
      </c>
      <c r="AE5202">
        <v>-80.023700000000005</v>
      </c>
      <c r="AF5202">
        <v>14.902426178356601</v>
      </c>
      <c r="AG5202">
        <v>-1.02883747</v>
      </c>
      <c r="AH5202">
        <v>79.201188333874697</v>
      </c>
      <c r="AI5202">
        <v>90.731407192990005</v>
      </c>
      <c r="AJ5202">
        <v>79.343866672923298</v>
      </c>
      <c r="AK5202">
        <v>80.597574690798993</v>
      </c>
      <c r="AL5202">
        <v>89.618612244680506</v>
      </c>
      <c r="AM5202">
        <v>83.423434884846102</v>
      </c>
      <c r="AN5202">
        <v>1.0000000149166599</v>
      </c>
    </row>
    <row r="5203" spans="1:40" x14ac:dyDescent="0.25">
      <c r="A5203" t="str">
        <f>"20190312154028633"</f>
        <v>20190312154028633</v>
      </c>
      <c r="B5203" t="str">
        <f>"1552376428621789"</f>
        <v>1552376428621789</v>
      </c>
      <c r="C5203" t="s">
        <v>40</v>
      </c>
      <c r="D5203">
        <v>4.2572869999999998</v>
      </c>
      <c r="E5203">
        <v>0.52651949999999903</v>
      </c>
      <c r="F5203" t="s">
        <v>55</v>
      </c>
      <c r="G5203">
        <v>-200.5086</v>
      </c>
      <c r="H5203">
        <v>7.832944E-2</v>
      </c>
      <c r="I5203">
        <v>128.0667</v>
      </c>
      <c r="J5203">
        <v>-192.29419999999999</v>
      </c>
      <c r="K5203">
        <v>1.109043</v>
      </c>
      <c r="L5203">
        <v>195.77160000000001</v>
      </c>
      <c r="M5203">
        <v>6.2941449999999996E-2</v>
      </c>
      <c r="N5203">
        <v>0</v>
      </c>
      <c r="O5203">
        <v>-0.99792420000000004</v>
      </c>
      <c r="P5203">
        <v>-5.2625190000000002E-2</v>
      </c>
      <c r="Q5203">
        <v>-8.2208809999999993E-3</v>
      </c>
      <c r="R5203">
        <v>-0.99858080000000005</v>
      </c>
      <c r="S5203">
        <v>-0.36087039999999998</v>
      </c>
      <c r="T5203">
        <v>-4.531872E-2</v>
      </c>
      <c r="U5203">
        <v>-2.985703</v>
      </c>
      <c r="V5203">
        <v>0.1153936</v>
      </c>
      <c r="W5203">
        <v>4.9941959999999898E-3</v>
      </c>
      <c r="X5203">
        <v>0.9933073</v>
      </c>
      <c r="Y5203">
        <v>0.1822339</v>
      </c>
      <c r="Z5203">
        <v>1.495017E-2</v>
      </c>
      <c r="AA5203">
        <v>0.9831415</v>
      </c>
      <c r="AB5203">
        <v>19</v>
      </c>
      <c r="AC5203">
        <v>-8.2144000000000101</v>
      </c>
      <c r="AD5203">
        <v>-1.0307135599999999</v>
      </c>
      <c r="AE5203">
        <v>-67.704899999999995</v>
      </c>
      <c r="AF5203">
        <v>12.457104708612601</v>
      </c>
      <c r="AG5203">
        <v>-1.0307135599999999</v>
      </c>
      <c r="AH5203">
        <v>67.038245654750497</v>
      </c>
      <c r="AI5203">
        <v>90.866031100750007</v>
      </c>
      <c r="AJ5203">
        <v>79.473312919335001</v>
      </c>
      <c r="AK5203">
        <v>68.193608268156495</v>
      </c>
      <c r="AL5203">
        <v>89.713852460068793</v>
      </c>
      <c r="AM5203">
        <v>83.373589241155003</v>
      </c>
      <c r="AN5203">
        <v>1.00000000857396</v>
      </c>
    </row>
    <row r="5204" spans="1:40" x14ac:dyDescent="0.25">
      <c r="A5204" t="str">
        <f>"20190312154028656"</f>
        <v>20190312154028656</v>
      </c>
      <c r="B5204" t="str">
        <f>"1552376428651068"</f>
        <v>1552376428651068</v>
      </c>
      <c r="C5204" t="s">
        <v>40</v>
      </c>
      <c r="D5204">
        <v>4.2872779999999997</v>
      </c>
      <c r="E5204">
        <v>0.51169100000000001</v>
      </c>
      <c r="F5204" t="s">
        <v>55</v>
      </c>
      <c r="G5204">
        <v>-200.3458</v>
      </c>
      <c r="H5204" s="1">
        <v>-6.5801750000000001E-6</v>
      </c>
      <c r="I5204">
        <v>130.63409999999999</v>
      </c>
      <c r="J5204">
        <v>-192.285</v>
      </c>
      <c r="K5204">
        <v>1.1093010000000001</v>
      </c>
      <c r="L5204">
        <v>195.57069999999999</v>
      </c>
      <c r="M5204">
        <v>6.0234139999999999E-2</v>
      </c>
      <c r="N5204">
        <v>0</v>
      </c>
      <c r="O5204">
        <v>-0.99809159999999997</v>
      </c>
      <c r="P5204">
        <v>-5.6168549999999998E-2</v>
      </c>
      <c r="Q5204">
        <v>-9.1959020000000006E-3</v>
      </c>
      <c r="R5204">
        <v>-0.99837920000000002</v>
      </c>
      <c r="S5204">
        <v>-0.36889650000000002</v>
      </c>
      <c r="T5204">
        <v>-5.0813079999999997E-2</v>
      </c>
      <c r="U5204">
        <v>-2.9843899999999999</v>
      </c>
      <c r="V5204">
        <v>0.1162179</v>
      </c>
      <c r="W5204">
        <v>4.0591289999999999E-3</v>
      </c>
      <c r="X5204">
        <v>0.99321539999999997</v>
      </c>
      <c r="Y5204">
        <v>0.18221960000000001</v>
      </c>
      <c r="Z5204">
        <v>1.6771080000000001E-2</v>
      </c>
      <c r="AA5204">
        <v>0.98311479999999996</v>
      </c>
      <c r="AB5204">
        <v>19</v>
      </c>
      <c r="AC5204">
        <v>-8.0608000000000004</v>
      </c>
      <c r="AD5204">
        <v>-1.1093075801750001</v>
      </c>
      <c r="AE5204">
        <v>-64.936599999999999</v>
      </c>
      <c r="AF5204">
        <v>11.9544875256368</v>
      </c>
      <c r="AG5204">
        <v>-1.1093075801750001</v>
      </c>
      <c r="AH5204">
        <v>64.314607035747301</v>
      </c>
      <c r="AI5204">
        <v>90.971510985572905</v>
      </c>
      <c r="AJ5204">
        <v>79.470306132993699</v>
      </c>
      <c r="AK5204">
        <v>65.425599068488694</v>
      </c>
      <c r="AL5204">
        <v>89.767428390391501</v>
      </c>
      <c r="AM5204">
        <v>83.326067824725797</v>
      </c>
      <c r="AN5204">
        <v>0.99999995380290296</v>
      </c>
    </row>
    <row r="5205" spans="1:40" x14ac:dyDescent="0.25">
      <c r="A5205" t="str">
        <f>"20190312154028680"</f>
        <v>20190312154028680</v>
      </c>
      <c r="B5205" t="str">
        <f>"1552376428671565"</f>
        <v>1552376428671565</v>
      </c>
      <c r="C5205" t="s">
        <v>40</v>
      </c>
      <c r="D5205">
        <v>4.2932449999999998</v>
      </c>
      <c r="E5205">
        <v>0.51118699999999995</v>
      </c>
      <c r="F5205" t="s">
        <v>55</v>
      </c>
      <c r="G5205">
        <v>-195.93190000000001</v>
      </c>
      <c r="H5205" s="1">
        <v>-1.3177969999999999E-5</v>
      </c>
      <c r="I5205">
        <v>153.88339999999999</v>
      </c>
      <c r="J5205">
        <v>-192.27600000000001</v>
      </c>
      <c r="K5205">
        <v>1.109548</v>
      </c>
      <c r="L5205">
        <v>195.37459999999999</v>
      </c>
      <c r="M5205">
        <v>5.807665E-2</v>
      </c>
      <c r="N5205">
        <v>0</v>
      </c>
      <c r="O5205">
        <v>-0.99822</v>
      </c>
      <c r="P5205">
        <v>-5.8881160000000002E-2</v>
      </c>
      <c r="Q5205">
        <v>-1.061697E-2</v>
      </c>
      <c r="R5205">
        <v>-0.99820880000000001</v>
      </c>
      <c r="S5205">
        <v>-0.26152039999999999</v>
      </c>
      <c r="T5205">
        <v>-7.9549789999999995E-2</v>
      </c>
      <c r="U5205">
        <v>-2.9894259999999999</v>
      </c>
      <c r="V5205">
        <v>0.1167642</v>
      </c>
      <c r="W5205">
        <v>2.6806009999999999E-3</v>
      </c>
      <c r="X5205">
        <v>0.99315609999999999</v>
      </c>
      <c r="Y5205">
        <v>0.1448325</v>
      </c>
      <c r="Z5205">
        <v>2.634305E-2</v>
      </c>
      <c r="AA5205">
        <v>0.98910549999999997</v>
      </c>
      <c r="AB5205">
        <v>19</v>
      </c>
      <c r="AC5205">
        <v>-3.6559000000000301</v>
      </c>
      <c r="AD5205">
        <v>-1.1095611779700001</v>
      </c>
      <c r="AE5205">
        <v>-41.4911999999999</v>
      </c>
      <c r="AF5205">
        <v>6.0553226737263302</v>
      </c>
      <c r="AG5205">
        <v>-1.1095611779700001</v>
      </c>
      <c r="AH5205">
        <v>41.179591013080397</v>
      </c>
      <c r="AI5205">
        <v>91.527016533538998</v>
      </c>
      <c r="AJ5205">
        <v>81.634794197819105</v>
      </c>
      <c r="AK5205">
        <v>41.637204213241503</v>
      </c>
      <c r="AL5205">
        <v>89.846412700113405</v>
      </c>
      <c r="AM5205">
        <v>83.294584262544703</v>
      </c>
      <c r="AN5205">
        <v>1.00000005149528</v>
      </c>
    </row>
    <row r="5206" spans="1:40" x14ac:dyDescent="0.25">
      <c r="A5206" t="str">
        <f>"20190312154028700"</f>
        <v>20190312154028700</v>
      </c>
      <c r="B5206" t="str">
        <f>"1552376428691088"</f>
        <v>1552376428691088</v>
      </c>
      <c r="C5206" t="s">
        <v>40</v>
      </c>
      <c r="D5206">
        <v>4.2937779999999997</v>
      </c>
      <c r="E5206">
        <v>0.51043850000000002</v>
      </c>
      <c r="F5206" t="s">
        <v>55</v>
      </c>
      <c r="G5206">
        <v>-195.75919999999999</v>
      </c>
      <c r="H5206" s="1">
        <v>-1.401472E-5</v>
      </c>
      <c r="I5206">
        <v>156.17269999999999</v>
      </c>
      <c r="J5206">
        <v>-192.26750000000001</v>
      </c>
      <c r="K5206">
        <v>1.109753</v>
      </c>
      <c r="L5206">
        <v>195.19210000000001</v>
      </c>
      <c r="M5206">
        <v>5.6470640000000003E-2</v>
      </c>
      <c r="N5206">
        <v>0</v>
      </c>
      <c r="O5206">
        <v>-0.99831250000000005</v>
      </c>
      <c r="P5206">
        <v>-5.9932569999999998E-2</v>
      </c>
      <c r="Q5206">
        <v>-1.3429679999999999E-2</v>
      </c>
      <c r="R5206">
        <v>-0.99811240000000001</v>
      </c>
      <c r="S5206">
        <v>-0.26556400000000002</v>
      </c>
      <c r="T5206">
        <v>-8.4595080000000003E-2</v>
      </c>
      <c r="U5206">
        <v>-2.9888309999999998</v>
      </c>
      <c r="V5206">
        <v>0.11620610000000001</v>
      </c>
      <c r="W5206" s="1">
        <v>-9.2140049999999999E-5</v>
      </c>
      <c r="X5206">
        <v>0.99322509999999997</v>
      </c>
      <c r="Y5206">
        <v>0.1445815</v>
      </c>
      <c r="Z5206">
        <v>2.802083E-2</v>
      </c>
      <c r="AA5206">
        <v>0.98909599999999998</v>
      </c>
      <c r="AB5206">
        <v>19</v>
      </c>
      <c r="AC5206">
        <v>-3.4916999999999798</v>
      </c>
      <c r="AD5206">
        <v>-1.1097670147200001</v>
      </c>
      <c r="AE5206">
        <v>-39.019399999999997</v>
      </c>
      <c r="AF5206">
        <v>5.6852171901263198</v>
      </c>
      <c r="AG5206">
        <v>-1.1097670147200001</v>
      </c>
      <c r="AH5206">
        <v>38.728847735496601</v>
      </c>
      <c r="AI5206">
        <v>91.623954929280302</v>
      </c>
      <c r="AJ5206">
        <v>81.648887277701505</v>
      </c>
      <c r="AK5206">
        <v>39.159633862501103</v>
      </c>
      <c r="AL5206">
        <v>90.005279236087802</v>
      </c>
      <c r="AM5206">
        <v>83.326803924349704</v>
      </c>
      <c r="AN5206">
        <v>0.99999998271850399</v>
      </c>
    </row>
    <row r="5207" spans="1:40" x14ac:dyDescent="0.25">
      <c r="A5207" t="str">
        <f>"20190312154028722"</f>
        <v>20190312154028722</v>
      </c>
      <c r="B5207" t="str">
        <f>"1552376428711581"</f>
        <v>1552376428711581</v>
      </c>
      <c r="C5207" t="s">
        <v>40</v>
      </c>
      <c r="D5207">
        <v>4.3241120000000004</v>
      </c>
      <c r="E5207">
        <v>0.5102293</v>
      </c>
      <c r="F5207" t="s">
        <v>55</v>
      </c>
      <c r="G5207">
        <v>-195.42859999999999</v>
      </c>
      <c r="H5207" s="1">
        <v>-1.488317E-5</v>
      </c>
      <c r="I5207">
        <v>159.2414</v>
      </c>
      <c r="J5207">
        <v>-192.25890000000001</v>
      </c>
      <c r="K5207">
        <v>1.109912</v>
      </c>
      <c r="L5207">
        <v>195.01</v>
      </c>
      <c r="M5207">
        <v>5.518969E-2</v>
      </c>
      <c r="N5207">
        <v>0</v>
      </c>
      <c r="O5207">
        <v>-0.99838419999999894</v>
      </c>
      <c r="P5207">
        <v>-6.0441599999999901E-2</v>
      </c>
      <c r="Q5207">
        <v>-1.515243E-2</v>
      </c>
      <c r="R5207">
        <v>-0.99805679999999997</v>
      </c>
      <c r="S5207">
        <v>-0.26278689999999999</v>
      </c>
      <c r="T5207">
        <v>-9.2257500000000006E-2</v>
      </c>
      <c r="U5207">
        <v>-2.9886629999999998</v>
      </c>
      <c r="V5207">
        <v>0.11543580000000001</v>
      </c>
      <c r="W5207">
        <v>-1.785869E-3</v>
      </c>
      <c r="X5207">
        <v>0.99331329999999995</v>
      </c>
      <c r="Y5207">
        <v>0.14239789999999999</v>
      </c>
      <c r="Z5207">
        <v>3.056772E-2</v>
      </c>
      <c r="AA5207">
        <v>0.98933740000000003</v>
      </c>
      <c r="AB5207">
        <v>19</v>
      </c>
      <c r="AC5207">
        <v>-3.16969999999997</v>
      </c>
      <c r="AD5207">
        <v>-1.10992688317</v>
      </c>
      <c r="AE5207">
        <v>-35.7685999999999</v>
      </c>
      <c r="AF5207">
        <v>5.1342015747505201</v>
      </c>
      <c r="AG5207">
        <v>-1.10992688317</v>
      </c>
      <c r="AH5207">
        <v>35.505202004423303</v>
      </c>
      <c r="AI5207">
        <v>91.772118216237004</v>
      </c>
      <c r="AJ5207">
        <v>81.771824324072497</v>
      </c>
      <c r="AK5207">
        <v>35.891661049205503</v>
      </c>
      <c r="AL5207">
        <v>90.102322814679994</v>
      </c>
      <c r="AM5207">
        <v>83.3712271775224</v>
      </c>
      <c r="AN5207">
        <v>0.99999996260330604</v>
      </c>
    </row>
    <row r="5208" spans="1:40" x14ac:dyDescent="0.25">
      <c r="A5208" t="str">
        <f>"20190312154028744"</f>
        <v>20190312154028744</v>
      </c>
      <c r="B5208" t="str">
        <f>"1552376428741837"</f>
        <v>1552376428741837</v>
      </c>
      <c r="C5208" t="s">
        <v>40</v>
      </c>
      <c r="D5208">
        <v>4.2971810000000001</v>
      </c>
      <c r="E5208">
        <v>0.50309179999999998</v>
      </c>
      <c r="F5208" t="s">
        <v>42</v>
      </c>
      <c r="G5208">
        <v>-195.25659999999999</v>
      </c>
      <c r="H5208" s="1">
        <v>-2.0205930000000002E-6</v>
      </c>
      <c r="I5208">
        <v>160.90729999999999</v>
      </c>
      <c r="J5208">
        <v>-192.2499</v>
      </c>
      <c r="K5208">
        <v>1.110047</v>
      </c>
      <c r="L5208">
        <v>194.821</v>
      </c>
      <c r="M5208">
        <v>5.4165100000000001E-2</v>
      </c>
      <c r="N5208">
        <v>0</v>
      </c>
      <c r="O5208">
        <v>-0.99844060000000001</v>
      </c>
      <c r="P5208">
        <v>-6.1260719999999998E-2</v>
      </c>
      <c r="Q5208">
        <v>-1.490503E-2</v>
      </c>
      <c r="R5208">
        <v>-0.99801059999999997</v>
      </c>
      <c r="S5208">
        <v>-0.26269530000000002</v>
      </c>
      <c r="T5208">
        <v>-9.7263219999999997E-2</v>
      </c>
      <c r="U5208">
        <v>-2.988464</v>
      </c>
      <c r="V5208">
        <v>0.1152325</v>
      </c>
      <c r="W5208">
        <v>-1.519336E-3</v>
      </c>
      <c r="X5208">
        <v>0.99333740000000004</v>
      </c>
      <c r="Y5208">
        <v>0.14135320000000001</v>
      </c>
      <c r="Z5208">
        <v>3.2231900000000001E-2</v>
      </c>
      <c r="AA5208">
        <v>0.98943440000000005</v>
      </c>
      <c r="AB5208">
        <v>19</v>
      </c>
      <c r="AC5208">
        <v>-3.0066999999999902</v>
      </c>
      <c r="AD5208">
        <v>-1.110049020593</v>
      </c>
      <c r="AE5208">
        <v>-33.913699999999999</v>
      </c>
      <c r="AF5208">
        <v>4.83425312702476</v>
      </c>
      <c r="AG5208">
        <v>-1.110049020593</v>
      </c>
      <c r="AH5208">
        <v>33.665246109058302</v>
      </c>
      <c r="AI5208">
        <v>91.869376385055304</v>
      </c>
      <c r="AJ5208">
        <v>81.828317753607394</v>
      </c>
      <c r="AK5208">
        <v>34.028679194287498</v>
      </c>
      <c r="AL5208">
        <v>90.087051572749004</v>
      </c>
      <c r="AM5208">
        <v>83.382956950884306</v>
      </c>
      <c r="AN5208">
        <v>1.0000000138384399</v>
      </c>
    </row>
    <row r="5209" spans="1:40" x14ac:dyDescent="0.25">
      <c r="A5209" t="str">
        <f>"20190312154028768"</f>
        <v>20190312154028768</v>
      </c>
      <c r="B5209" t="str">
        <f>"1552376428761357"</f>
        <v>1552376428761357</v>
      </c>
      <c r="C5209" t="s">
        <v>40</v>
      </c>
      <c r="D5209">
        <v>4.2309289999999997</v>
      </c>
      <c r="E5209">
        <v>0.50342529999999996</v>
      </c>
      <c r="F5209" t="s">
        <v>42</v>
      </c>
      <c r="G5209">
        <v>-194.16829999999999</v>
      </c>
      <c r="H5209" s="1">
        <v>-4.5717499999999999E-6</v>
      </c>
      <c r="I5209">
        <v>167.26580000000001</v>
      </c>
      <c r="J5209">
        <v>-192.24019999999999</v>
      </c>
      <c r="K5209">
        <v>1.110158</v>
      </c>
      <c r="L5209">
        <v>194.62219999999999</v>
      </c>
      <c r="M5209">
        <v>5.338735E-2</v>
      </c>
      <c r="N5209">
        <v>0</v>
      </c>
      <c r="O5209">
        <v>-0.9984828</v>
      </c>
      <c r="P5209">
        <v>-6.1607200000000001E-2</v>
      </c>
      <c r="Q5209">
        <v>-1.4511980000000001E-2</v>
      </c>
      <c r="R5209">
        <v>-0.99799510000000002</v>
      </c>
      <c r="S5209">
        <v>-0.20826720000000001</v>
      </c>
      <c r="T5209">
        <v>-0.12050710000000001</v>
      </c>
      <c r="U5209">
        <v>-2.9913940000000001</v>
      </c>
      <c r="V5209">
        <v>0.1148044</v>
      </c>
      <c r="W5209">
        <v>-1.111426E-3</v>
      </c>
      <c r="X5209">
        <v>0.99338749999999998</v>
      </c>
      <c r="Y5209">
        <v>0.1225625</v>
      </c>
      <c r="Z5209">
        <v>3.9965750000000001E-2</v>
      </c>
      <c r="AA5209">
        <v>0.99165579999999998</v>
      </c>
      <c r="AB5209">
        <v>19</v>
      </c>
      <c r="AC5209">
        <v>-1.9280999999999999</v>
      </c>
      <c r="AD5209">
        <v>-1.1101625717500001</v>
      </c>
      <c r="AE5209">
        <v>-27.356399999999901</v>
      </c>
      <c r="AF5209">
        <v>3.3804287804428701</v>
      </c>
      <c r="AG5209">
        <v>-1.1101625717500001</v>
      </c>
      <c r="AH5209">
        <v>27.169910115815</v>
      </c>
      <c r="AI5209">
        <v>92.321921413632396</v>
      </c>
      <c r="AJ5209">
        <v>82.907813095746405</v>
      </c>
      <c r="AK5209">
        <v>27.40189364582</v>
      </c>
      <c r="AL5209">
        <v>90.063680031811202</v>
      </c>
      <c r="AM5209">
        <v>83.4076526727643</v>
      </c>
      <c r="AN5209">
        <v>1.00000000534168</v>
      </c>
    </row>
    <row r="5210" spans="1:40" x14ac:dyDescent="0.25">
      <c r="A5210" t="str">
        <f>"20190312154028789"</f>
        <v>20190312154028789</v>
      </c>
      <c r="B5210" t="str">
        <f>"1552376428781856"</f>
        <v>1552376428781856</v>
      </c>
      <c r="C5210" t="s">
        <v>40</v>
      </c>
      <c r="D5210">
        <v>4.1996330000000004</v>
      </c>
      <c r="E5210">
        <v>0.50021979999999999</v>
      </c>
      <c r="F5210" t="s">
        <v>42</v>
      </c>
      <c r="G5210">
        <v>-194.2174</v>
      </c>
      <c r="H5210" s="1">
        <v>-4.381973E-6</v>
      </c>
      <c r="I5210">
        <v>166.74889999999999</v>
      </c>
      <c r="J5210">
        <v>-192.2313</v>
      </c>
      <c r="K5210">
        <v>1.1102459999999901</v>
      </c>
      <c r="L5210">
        <v>194.44</v>
      </c>
      <c r="M5210">
        <v>5.2912420000000002E-2</v>
      </c>
      <c r="N5210">
        <v>0</v>
      </c>
      <c r="O5210">
        <v>-0.99850819999999996</v>
      </c>
      <c r="P5210">
        <v>-6.0929539999999997E-2</v>
      </c>
      <c r="Q5210">
        <v>-1.48892E-2</v>
      </c>
      <c r="R5210">
        <v>-0.99803129999999995</v>
      </c>
      <c r="S5210">
        <v>-0.21217349999999999</v>
      </c>
      <c r="T5210">
        <v>-0.1191354</v>
      </c>
      <c r="U5210">
        <v>-2.9911799999999999</v>
      </c>
      <c r="V5210">
        <v>0.11365739999999901</v>
      </c>
      <c r="W5210">
        <v>-1.474384E-3</v>
      </c>
      <c r="X5210">
        <v>0.99351889999999998</v>
      </c>
      <c r="Y5210">
        <v>0.1233852</v>
      </c>
      <c r="Z5210">
        <v>3.9512020000000002E-2</v>
      </c>
      <c r="AA5210">
        <v>0.99157189999999995</v>
      </c>
      <c r="AB5210">
        <v>19</v>
      </c>
      <c r="AC5210">
        <v>-1.98609999999999</v>
      </c>
      <c r="AD5210">
        <v>-1.1102503819730001</v>
      </c>
      <c r="AE5210">
        <v>-27.691099999999999</v>
      </c>
      <c r="AF5210">
        <v>3.4431468240002201</v>
      </c>
      <c r="AG5210">
        <v>-1.1102503819730001</v>
      </c>
      <c r="AH5210">
        <v>27.503216942076399</v>
      </c>
      <c r="AI5210">
        <v>92.293776365201296</v>
      </c>
      <c r="AJ5210">
        <v>82.864226018064997</v>
      </c>
      <c r="AK5210">
        <v>27.740130823866199</v>
      </c>
      <c r="AL5210">
        <v>90.084476011903703</v>
      </c>
      <c r="AM5210">
        <v>83.473800821448904</v>
      </c>
      <c r="AN5210">
        <v>0.99999999152007402</v>
      </c>
    </row>
    <row r="5211" spans="1:40" x14ac:dyDescent="0.25">
      <c r="A5211" t="str">
        <f>"20190312154028812"</f>
        <v>20190312154028812</v>
      </c>
      <c r="B5211" t="str">
        <f>"1552376428801373"</f>
        <v>1552376428801373</v>
      </c>
      <c r="C5211" t="s">
        <v>40</v>
      </c>
      <c r="D5211">
        <v>4.1560680000000003</v>
      </c>
      <c r="E5211">
        <v>0.47318290000000002</v>
      </c>
      <c r="F5211" t="s">
        <v>42</v>
      </c>
      <c r="G5211">
        <v>-194.09229999999999</v>
      </c>
      <c r="H5211" s="1">
        <v>-3.3104449999999999E-6</v>
      </c>
      <c r="I5211">
        <v>164.29130000000001</v>
      </c>
      <c r="J5211">
        <v>-192.22219999999999</v>
      </c>
      <c r="K5211">
        <v>1.1103259999999999</v>
      </c>
      <c r="L5211">
        <v>194.25810000000001</v>
      </c>
      <c r="M5211">
        <v>5.263408E-2</v>
      </c>
      <c r="N5211">
        <v>0</v>
      </c>
      <c r="O5211">
        <v>-0.99852300000000005</v>
      </c>
      <c r="P5211">
        <v>-6.0206200000000001E-2</v>
      </c>
      <c r="Q5211">
        <v>-1.631024E-2</v>
      </c>
      <c r="R5211">
        <v>-0.99805270000000001</v>
      </c>
      <c r="S5211">
        <v>-0.18475340000000001</v>
      </c>
      <c r="T5211">
        <v>-0.110218899999999</v>
      </c>
      <c r="U5211">
        <v>-2.9929809999999999</v>
      </c>
      <c r="V5211">
        <v>0.1126602</v>
      </c>
      <c r="W5211">
        <v>-2.879824E-3</v>
      </c>
      <c r="X5211">
        <v>0.9936294</v>
      </c>
      <c r="Y5211">
        <v>0.11402370000000001</v>
      </c>
      <c r="Z5211">
        <v>3.6569499999999998E-2</v>
      </c>
      <c r="AA5211">
        <v>0.99280480000000004</v>
      </c>
      <c r="AB5211">
        <v>19</v>
      </c>
      <c r="AC5211">
        <v>-1.8701000000000001</v>
      </c>
      <c r="AD5211">
        <v>-1.1103293104449901</v>
      </c>
      <c r="AE5211">
        <v>-29.966799999999999</v>
      </c>
      <c r="AF5211">
        <v>3.4402208210343499</v>
      </c>
      <c r="AG5211">
        <v>-1.1103293104449901</v>
      </c>
      <c r="AH5211">
        <v>29.786081366432398</v>
      </c>
      <c r="AI5211">
        <v>92.120728849617805</v>
      </c>
      <c r="AJ5211">
        <v>83.411667110467505</v>
      </c>
      <c r="AK5211">
        <v>30.004642868110398</v>
      </c>
      <c r="AL5211">
        <v>90.165001989127802</v>
      </c>
      <c r="AM5211">
        <v>83.531285769750198</v>
      </c>
      <c r="AN5211">
        <v>0.99999999929733496</v>
      </c>
    </row>
    <row r="5212" spans="1:40" x14ac:dyDescent="0.25">
      <c r="A5212" t="str">
        <f>"20190312154028834"</f>
        <v>20190312154028834</v>
      </c>
      <c r="B5212" t="str">
        <f>"1552376428821869"</f>
        <v>1552376428821869</v>
      </c>
      <c r="C5212" t="s">
        <v>40</v>
      </c>
      <c r="D5212">
        <v>4.1075619999999997</v>
      </c>
      <c r="E5212">
        <v>0.47284530000000002</v>
      </c>
      <c r="F5212" t="s">
        <v>55</v>
      </c>
      <c r="G5212">
        <v>-191.7296</v>
      </c>
      <c r="H5212" s="1">
        <v>-1.084773E-5</v>
      </c>
      <c r="I5212">
        <v>149.03200000000001</v>
      </c>
      <c r="J5212">
        <v>-192.21260000000001</v>
      </c>
      <c r="K5212">
        <v>1.110417</v>
      </c>
      <c r="L5212">
        <v>194.06950000000001</v>
      </c>
      <c r="M5212">
        <v>5.2519400000000001E-2</v>
      </c>
      <c r="N5212">
        <v>0</v>
      </c>
      <c r="O5212">
        <v>-0.998529</v>
      </c>
      <c r="P5212">
        <v>-5.9480900000000003E-2</v>
      </c>
      <c r="Q5212">
        <v>-1.6704770000000001E-2</v>
      </c>
      <c r="R5212">
        <v>-0.99808969999999997</v>
      </c>
      <c r="S5212">
        <v>3.2745360000000001E-2</v>
      </c>
      <c r="T5212">
        <v>-7.381451E-2</v>
      </c>
      <c r="U5212">
        <v>-3.0066069999999998</v>
      </c>
      <c r="V5212">
        <v>0.1118246</v>
      </c>
      <c r="W5212">
        <v>-3.2575970000000001E-3</v>
      </c>
      <c r="X5212">
        <v>0.99372260000000001</v>
      </c>
      <c r="Y5212">
        <v>4.1648869999999998E-2</v>
      </c>
      <c r="Z5212">
        <v>2.448119E-2</v>
      </c>
      <c r="AA5212">
        <v>0.99883230000000001</v>
      </c>
      <c r="AB5212">
        <v>19</v>
      </c>
      <c r="AC5212">
        <v>0.48300000000000398</v>
      </c>
      <c r="AD5212">
        <v>-1.11042784772999</v>
      </c>
      <c r="AE5212">
        <v>-45.037500000000001</v>
      </c>
      <c r="AF5212">
        <v>1.8820799419527401</v>
      </c>
      <c r="AG5212">
        <v>-1.11042784772999</v>
      </c>
      <c r="AH5212">
        <v>44.973365639741502</v>
      </c>
      <c r="AI5212">
        <v>91.4131541867701</v>
      </c>
      <c r="AJ5212">
        <v>87.603640497002203</v>
      </c>
      <c r="AK5212">
        <v>45.026424373680797</v>
      </c>
      <c r="AL5212">
        <v>90.186646893409502</v>
      </c>
      <c r="AM5212">
        <v>83.579459185793198</v>
      </c>
      <c r="AN5212">
        <v>0.99999997942706698</v>
      </c>
    </row>
    <row r="5213" spans="1:40" x14ac:dyDescent="0.25">
      <c r="A5213" t="str">
        <f>"20190312154028859"</f>
        <v>20190312154028859</v>
      </c>
      <c r="B5213" t="str">
        <f>"1552376428851150"</f>
        <v>1552376428851150</v>
      </c>
      <c r="C5213" t="s">
        <v>40</v>
      </c>
      <c r="D5213">
        <v>4.0892470000000003</v>
      </c>
      <c r="E5213">
        <v>0.47285450000000001</v>
      </c>
      <c r="F5213" t="s">
        <v>55</v>
      </c>
      <c r="G5213">
        <v>-191.64519999999999</v>
      </c>
      <c r="H5213" s="1">
        <v>-1.0719420000000001E-5</v>
      </c>
      <c r="I5213">
        <v>148.60220000000001</v>
      </c>
      <c r="J5213">
        <v>-192.20169999999999</v>
      </c>
      <c r="K5213">
        <v>1.1105020000000001</v>
      </c>
      <c r="L5213">
        <v>193.86269999999999</v>
      </c>
      <c r="M5213">
        <v>5.2554799999999999E-2</v>
      </c>
      <c r="N5213">
        <v>0</v>
      </c>
      <c r="O5213">
        <v>-0.99852759999999996</v>
      </c>
      <c r="P5213">
        <v>-5.8460249999999998E-2</v>
      </c>
      <c r="Q5213">
        <v>-1.693064E-2</v>
      </c>
      <c r="R5213">
        <v>-0.99814650000000005</v>
      </c>
      <c r="S5213">
        <v>3.7521359999999997E-2</v>
      </c>
      <c r="T5213">
        <v>-7.3432090000000005E-2</v>
      </c>
      <c r="U5213">
        <v>-3.006729</v>
      </c>
      <c r="V5213">
        <v>0.1108444</v>
      </c>
      <c r="W5213">
        <v>-3.4706889999999999E-3</v>
      </c>
      <c r="X5213">
        <v>0.99383169999999998</v>
      </c>
      <c r="Y5213">
        <v>4.009824E-2</v>
      </c>
      <c r="Z5213">
        <v>2.4353929999999999E-2</v>
      </c>
      <c r="AA5213">
        <v>0.99889890000000003</v>
      </c>
      <c r="AB5213">
        <v>19</v>
      </c>
      <c r="AC5213">
        <v>0.556499999999999</v>
      </c>
      <c r="AD5213">
        <v>-1.11051271942</v>
      </c>
      <c r="AE5213">
        <v>-45.260499999999901</v>
      </c>
      <c r="AF5213">
        <v>1.8220438412359199</v>
      </c>
      <c r="AG5213">
        <v>-1.11051271942</v>
      </c>
      <c r="AH5213">
        <v>45.199982930391897</v>
      </c>
      <c r="AI5213">
        <v>91.406268053954904</v>
      </c>
      <c r="AJ5213">
        <v>87.691615691663102</v>
      </c>
      <c r="AK5213">
        <v>45.250320873636802</v>
      </c>
      <c r="AL5213">
        <v>90.198856233453995</v>
      </c>
      <c r="AM5213">
        <v>83.635967625165407</v>
      </c>
      <c r="AN5213">
        <v>0.99999998730919204</v>
      </c>
    </row>
    <row r="5214" spans="1:40" x14ac:dyDescent="0.25">
      <c r="A5214" t="str">
        <f>"20190312154028880"</f>
        <v>20190312154028880</v>
      </c>
      <c r="B5214" t="str">
        <f>"1552376428871645"</f>
        <v>1552376428871645</v>
      </c>
      <c r="C5214" t="s">
        <v>40</v>
      </c>
      <c r="D5214">
        <v>4.1135679999999999</v>
      </c>
      <c r="E5214">
        <v>0.4729524</v>
      </c>
      <c r="F5214" t="s">
        <v>55</v>
      </c>
      <c r="G5214">
        <v>-191.5307</v>
      </c>
      <c r="H5214" s="1">
        <v>-9.5006619999999997E-6</v>
      </c>
      <c r="I5214">
        <v>144.05779999999999</v>
      </c>
      <c r="J5214">
        <v>-192.19210000000001</v>
      </c>
      <c r="K5214">
        <v>1.1105370000000001</v>
      </c>
      <c r="L5214">
        <v>193.68299999999999</v>
      </c>
      <c r="M5214">
        <v>5.2687070000000003E-2</v>
      </c>
      <c r="N5214">
        <v>0</v>
      </c>
      <c r="O5214">
        <v>-0.99852070000000004</v>
      </c>
      <c r="P5214">
        <v>-5.7518710000000001E-2</v>
      </c>
      <c r="Q5214">
        <v>-1.7348280000000001E-2</v>
      </c>
      <c r="R5214">
        <v>-0.99819420000000003</v>
      </c>
      <c r="S5214">
        <v>4.0512079999999999E-2</v>
      </c>
      <c r="T5214">
        <v>-6.7043069999999996E-2</v>
      </c>
      <c r="U5214">
        <v>-3.0067900000000001</v>
      </c>
      <c r="V5214">
        <v>0.1100389</v>
      </c>
      <c r="W5214">
        <v>-3.8868549999999998E-3</v>
      </c>
      <c r="X5214">
        <v>0.99391969999999996</v>
      </c>
      <c r="Y5214">
        <v>3.9236769999999997E-2</v>
      </c>
      <c r="Z5214">
        <v>2.2235649999999999E-2</v>
      </c>
      <c r="AA5214">
        <v>0.9989825</v>
      </c>
      <c r="AB5214">
        <v>19</v>
      </c>
      <c r="AC5214">
        <v>0.66140000000001398</v>
      </c>
      <c r="AD5214">
        <v>-1.1105465006619999</v>
      </c>
      <c r="AE5214">
        <v>-49.6252</v>
      </c>
      <c r="AF5214">
        <v>1.95338307797598</v>
      </c>
      <c r="AG5214">
        <v>-1.1105465006619999</v>
      </c>
      <c r="AH5214">
        <v>49.5662934248192</v>
      </c>
      <c r="AI5214">
        <v>91.2825178023907</v>
      </c>
      <c r="AJ5214">
        <v>87.743169587456194</v>
      </c>
      <c r="AK5214">
        <v>49.617199264516401</v>
      </c>
      <c r="AL5214">
        <v>90.222700943686803</v>
      </c>
      <c r="AM5214">
        <v>83.682394213479995</v>
      </c>
      <c r="AN5214">
        <v>1.0000000186015401</v>
      </c>
    </row>
    <row r="5215" spans="1:40" x14ac:dyDescent="0.25">
      <c r="A5215" t="str">
        <f>"20190312154028901"</f>
        <v>20190312154028901</v>
      </c>
      <c r="B5215" t="str">
        <f>"1552376428891165"</f>
        <v>1552376428891165</v>
      </c>
      <c r="C5215" t="s">
        <v>40</v>
      </c>
      <c r="D5215">
        <v>4.0552609999999998</v>
      </c>
      <c r="E5215">
        <v>0.47303200000000001</v>
      </c>
      <c r="F5215" t="s">
        <v>55</v>
      </c>
      <c r="G5215">
        <v>-191.47989999999999</v>
      </c>
      <c r="H5215" s="1">
        <v>-9.3126479999999992E-6</v>
      </c>
      <c r="I5215">
        <v>143.37899999999999</v>
      </c>
      <c r="J5215">
        <v>-192.1825</v>
      </c>
      <c r="K5215">
        <v>1.1105290000000001</v>
      </c>
      <c r="L5215">
        <v>193.506</v>
      </c>
      <c r="M5215">
        <v>5.2869869999999999E-2</v>
      </c>
      <c r="N5215">
        <v>0</v>
      </c>
      <c r="O5215">
        <v>-0.99851120000000004</v>
      </c>
      <c r="P5215">
        <v>-5.5088730000000002E-2</v>
      </c>
      <c r="Q5215">
        <v>-1.8166069999999999E-2</v>
      </c>
      <c r="R5215">
        <v>-0.99831650000000005</v>
      </c>
      <c r="S5215">
        <v>4.2572020000000002E-2</v>
      </c>
      <c r="T5215">
        <v>-6.6378709999999994E-2</v>
      </c>
      <c r="U5215">
        <v>-3.006729</v>
      </c>
      <c r="V5215">
        <v>0.10780140000000001</v>
      </c>
      <c r="W5215">
        <v>-4.711682E-3</v>
      </c>
      <c r="X5215">
        <v>0.99416130000000003</v>
      </c>
      <c r="Y5215">
        <v>3.8735079999999998E-2</v>
      </c>
      <c r="Z5215">
        <v>2.2015659999999999E-2</v>
      </c>
      <c r="AA5215">
        <v>0.99900699999999998</v>
      </c>
      <c r="AB5215">
        <v>19</v>
      </c>
      <c r="AC5215">
        <v>0.70260000000001799</v>
      </c>
      <c r="AD5215">
        <v>-1.110538312648</v>
      </c>
      <c r="AE5215">
        <v>-50.126999999999903</v>
      </c>
      <c r="AF5215">
        <v>1.94787369246993</v>
      </c>
      <c r="AG5215">
        <v>-1.110538312648</v>
      </c>
      <c r="AH5215">
        <v>50.069459629503697</v>
      </c>
      <c r="AI5215">
        <v>91.269649309434001</v>
      </c>
      <c r="AJ5215">
        <v>87.772121175840695</v>
      </c>
      <c r="AK5215">
        <v>50.119639811716198</v>
      </c>
      <c r="AL5215">
        <v>90.269960487518105</v>
      </c>
      <c r="AM5215">
        <v>83.811339770708202</v>
      </c>
      <c r="AN5215">
        <v>1.0000000161034499</v>
      </c>
    </row>
    <row r="5216" spans="1:40" x14ac:dyDescent="0.25">
      <c r="A5216" t="str">
        <f>"20190312154028912"</f>
        <v>20190312154028912</v>
      </c>
      <c r="B5216" t="str">
        <f>"1552376428901902"</f>
        <v>1552376428901902</v>
      </c>
      <c r="C5216" t="s">
        <v>40</v>
      </c>
      <c r="D5216">
        <v>4.1022550000000004</v>
      </c>
      <c r="E5216">
        <v>0.47303679999999898</v>
      </c>
      <c r="F5216" t="s">
        <v>55</v>
      </c>
      <c r="G5216">
        <v>-191.36269999999999</v>
      </c>
      <c r="H5216" s="1">
        <v>-9.3417840000000005E-6</v>
      </c>
      <c r="I5216">
        <v>143.56829999999999</v>
      </c>
      <c r="J5216">
        <v>-192.1773</v>
      </c>
      <c r="K5216">
        <v>1.1105149999999999</v>
      </c>
      <c r="L5216">
        <v>193.40969999999999</v>
      </c>
      <c r="M5216">
        <v>5.2983269999999999E-2</v>
      </c>
      <c r="N5216">
        <v>0</v>
      </c>
      <c r="O5216">
        <v>-0.99850519999999998</v>
      </c>
      <c r="P5216">
        <v>-5.3598840000000002E-2</v>
      </c>
      <c r="Q5216">
        <v>-1.867073E-2</v>
      </c>
      <c r="R5216">
        <v>-0.99838850000000001</v>
      </c>
      <c r="S5216">
        <v>4.9362179999999999E-2</v>
      </c>
      <c r="T5216">
        <v>-6.6861989999999996E-2</v>
      </c>
      <c r="U5216">
        <v>-3.0065919999999999</v>
      </c>
      <c r="V5216">
        <v>0.1064305</v>
      </c>
      <c r="W5216">
        <v>-5.2230949999999996E-3</v>
      </c>
      <c r="X5216">
        <v>0.99430640000000003</v>
      </c>
      <c r="Y5216">
        <v>3.6592220000000002E-2</v>
      </c>
      <c r="Z5216">
        <v>2.2177189999999999E-2</v>
      </c>
      <c r="AA5216">
        <v>0.99908419999999998</v>
      </c>
      <c r="AB5216">
        <v>19</v>
      </c>
      <c r="AC5216">
        <v>0.81460000000001198</v>
      </c>
      <c r="AD5216">
        <v>-1.1105243417839901</v>
      </c>
      <c r="AE5216">
        <v>-49.841399999999901</v>
      </c>
      <c r="AF5216">
        <v>1.8266360387476499</v>
      </c>
      <c r="AG5216">
        <v>-1.1105243417839901</v>
      </c>
      <c r="AH5216">
        <v>49.789832640134698</v>
      </c>
      <c r="AI5216">
        <v>91.276868209811198</v>
      </c>
      <c r="AJ5216">
        <v>87.898936114430498</v>
      </c>
      <c r="AK5216">
        <v>49.835703043745298</v>
      </c>
      <c r="AL5216">
        <v>90.299262667801301</v>
      </c>
      <c r="AM5216">
        <v>83.890326143255606</v>
      </c>
      <c r="AN5216">
        <v>0.99999997456629397</v>
      </c>
    </row>
    <row r="5217" spans="1:40" x14ac:dyDescent="0.25">
      <c r="A5217" t="str">
        <f>"20190312154028925"</f>
        <v>20190312154028925</v>
      </c>
      <c r="B5217" t="str">
        <f>"1552376428921421"</f>
        <v>1552376428921421</v>
      </c>
      <c r="C5217" t="s">
        <v>40</v>
      </c>
      <c r="D5217">
        <v>4.0595299999999996</v>
      </c>
      <c r="E5217">
        <v>0.47298059999999997</v>
      </c>
      <c r="F5217" t="s">
        <v>55</v>
      </c>
      <c r="G5217">
        <v>-191.29939999999999</v>
      </c>
      <c r="H5217" s="1">
        <v>-9.5150520000000001E-6</v>
      </c>
      <c r="I5217">
        <v>144.2679</v>
      </c>
      <c r="J5217">
        <v>-192.172</v>
      </c>
      <c r="K5217">
        <v>1.110493</v>
      </c>
      <c r="L5217">
        <v>193.3135</v>
      </c>
      <c r="M5217">
        <v>5.3098159999999998E-2</v>
      </c>
      <c r="N5217">
        <v>0</v>
      </c>
      <c r="O5217">
        <v>-0.99849900000000003</v>
      </c>
      <c r="P5217">
        <v>-5.2006730000000001E-2</v>
      </c>
      <c r="Q5217">
        <v>-1.8570730000000001E-2</v>
      </c>
      <c r="R5217">
        <v>-0.99847419999999998</v>
      </c>
      <c r="S5217">
        <v>5.3710939999999999E-2</v>
      </c>
      <c r="T5217">
        <v>-6.7940710000000001E-2</v>
      </c>
      <c r="U5217">
        <v>-3.0064389999999999</v>
      </c>
      <c r="V5217">
        <v>0.1049592</v>
      </c>
      <c r="W5217">
        <v>-5.1308789999999996E-3</v>
      </c>
      <c r="X5217">
        <v>0.99446330000000005</v>
      </c>
      <c r="Y5217">
        <v>3.5261769999999998E-2</v>
      </c>
      <c r="Z5217">
        <v>2.2536009999999999E-2</v>
      </c>
      <c r="AA5217">
        <v>0.99912400000000001</v>
      </c>
      <c r="AB5217">
        <v>19</v>
      </c>
      <c r="AC5217">
        <v>0.87260000000000504</v>
      </c>
      <c r="AD5217">
        <v>-1.110502515052</v>
      </c>
      <c r="AE5217">
        <v>-49.0456</v>
      </c>
      <c r="AF5217">
        <v>1.73220938954106</v>
      </c>
      <c r="AG5217">
        <v>-1.110502515052</v>
      </c>
      <c r="AH5217">
        <v>48.997624675966399</v>
      </c>
      <c r="AI5217">
        <v>91.297542739320093</v>
      </c>
      <c r="AJ5217">
        <v>87.975269799692995</v>
      </c>
      <c r="AK5217">
        <v>49.040809425334999</v>
      </c>
      <c r="AL5217">
        <v>90.293978999629203</v>
      </c>
      <c r="AM5217">
        <v>83.975104541180301</v>
      </c>
      <c r="AN5217">
        <v>1.00000000731542</v>
      </c>
    </row>
    <row r="5218" spans="1:40" x14ac:dyDescent="0.25">
      <c r="A5218" t="str">
        <f>"20190312154028936"</f>
        <v>20190312154028936</v>
      </c>
      <c r="B5218" t="str">
        <f>"1552376428931182"</f>
        <v>1552376428931182</v>
      </c>
      <c r="C5218" t="s">
        <v>40</v>
      </c>
      <c r="D5218">
        <v>4.0393559999999997</v>
      </c>
      <c r="E5218">
        <v>0.4730143</v>
      </c>
      <c r="F5218" t="s">
        <v>55</v>
      </c>
      <c r="G5218">
        <v>-191.21100000000001</v>
      </c>
      <c r="H5218" s="1">
        <v>-9.546822E-6</v>
      </c>
      <c r="I5218">
        <v>144.4478</v>
      </c>
      <c r="J5218">
        <v>-192.16650000000001</v>
      </c>
      <c r="K5218">
        <v>1.110465</v>
      </c>
      <c r="L5218">
        <v>193.21279999999999</v>
      </c>
      <c r="M5218">
        <v>5.3219660000000002E-2</v>
      </c>
      <c r="N5218">
        <v>0</v>
      </c>
      <c r="O5218">
        <v>-0.99849250000000001</v>
      </c>
      <c r="P5218">
        <v>-5.028784E-2</v>
      </c>
      <c r="Q5218">
        <v>-1.8559659999999999E-2</v>
      </c>
      <c r="R5218">
        <v>-0.99856259999999997</v>
      </c>
      <c r="S5218">
        <v>5.9127810000000003E-2</v>
      </c>
      <c r="T5218">
        <v>-6.8322179999999996E-2</v>
      </c>
      <c r="U5218">
        <v>-3.0063930000000001</v>
      </c>
      <c r="V5218">
        <v>0.1033681</v>
      </c>
      <c r="W5218">
        <v>-5.1285549999999999E-3</v>
      </c>
      <c r="X5218">
        <v>0.99462989999999996</v>
      </c>
      <c r="Y5218">
        <v>3.3583540000000002E-2</v>
      </c>
      <c r="Z5218">
        <v>2.2662870000000002E-2</v>
      </c>
      <c r="AA5218">
        <v>0.99917889999999998</v>
      </c>
      <c r="AB5218">
        <v>19</v>
      </c>
      <c r="AC5218">
        <v>0.95550000000002899</v>
      </c>
      <c r="AD5218">
        <v>-1.1104745468220001</v>
      </c>
      <c r="AE5218">
        <v>-48.764999999999901</v>
      </c>
      <c r="AF5218">
        <v>1.64049481631663</v>
      </c>
      <c r="AG5218">
        <v>-1.1104745468220001</v>
      </c>
      <c r="AH5218">
        <v>48.721479769285203</v>
      </c>
      <c r="AI5218">
        <v>91.3049372326183</v>
      </c>
      <c r="AJ5218">
        <v>88.071529582247706</v>
      </c>
      <c r="AK5218">
        <v>48.761736719177399</v>
      </c>
      <c r="AL5218">
        <v>90.293845858719195</v>
      </c>
      <c r="AM5218">
        <v>84.066767452494005</v>
      </c>
      <c r="AN5218">
        <v>0.99999995207400205</v>
      </c>
    </row>
    <row r="5219" spans="1:40" x14ac:dyDescent="0.25">
      <c r="A5219" t="str">
        <f>"20190312154028947"</f>
        <v>20190312154028947</v>
      </c>
      <c r="B5219" t="str">
        <f>"1552376428941918"</f>
        <v>1552376428941918</v>
      </c>
      <c r="C5219" t="s">
        <v>40</v>
      </c>
      <c r="D5219">
        <v>4.0236809999999998</v>
      </c>
      <c r="E5219">
        <v>0.47305619999999998</v>
      </c>
      <c r="F5219" t="s">
        <v>55</v>
      </c>
      <c r="G5219">
        <v>-191.1173</v>
      </c>
      <c r="H5219" s="1">
        <v>-9.3639860000000005E-6</v>
      </c>
      <c r="I5219">
        <v>143.8175</v>
      </c>
      <c r="J5219">
        <v>-192.1617</v>
      </c>
      <c r="K5219">
        <v>1.1104339999999999</v>
      </c>
      <c r="L5219">
        <v>193.1249</v>
      </c>
      <c r="M5219">
        <v>5.3316009999999997E-2</v>
      </c>
      <c r="N5219">
        <v>0</v>
      </c>
      <c r="O5219">
        <v>-0.99848749999999997</v>
      </c>
      <c r="P5219">
        <v>-4.835863E-2</v>
      </c>
      <c r="Q5219">
        <v>-1.856704E-2</v>
      </c>
      <c r="R5219">
        <v>-0.99865749999999998</v>
      </c>
      <c r="S5219">
        <v>6.3858029999999996E-2</v>
      </c>
      <c r="T5219">
        <v>-6.7585229999999996E-2</v>
      </c>
      <c r="U5219">
        <v>-3.0062709999999999</v>
      </c>
      <c r="V5219">
        <v>0.1015423</v>
      </c>
      <c r="W5219">
        <v>-5.1436269999999996E-3</v>
      </c>
      <c r="X5219">
        <v>0.99481790000000003</v>
      </c>
      <c r="Y5219">
        <v>3.2107520000000001E-2</v>
      </c>
      <c r="Z5219">
        <v>2.241947E-2</v>
      </c>
      <c r="AA5219">
        <v>0.99923289999999998</v>
      </c>
      <c r="AB5219">
        <v>19</v>
      </c>
      <c r="AC5219">
        <v>1.04439999999999</v>
      </c>
      <c r="AD5219">
        <v>-1.1104433639860001</v>
      </c>
      <c r="AE5219">
        <v>-49.307400000000001</v>
      </c>
      <c r="AF5219">
        <v>1.5853926112514301</v>
      </c>
      <c r="AG5219">
        <v>-1.1104433639860001</v>
      </c>
      <c r="AH5219">
        <v>49.267968311734997</v>
      </c>
      <c r="AI5219">
        <v>91.290494646209396</v>
      </c>
      <c r="AJ5219">
        <v>88.156916657555996</v>
      </c>
      <c r="AK5219">
        <v>49.305975862592497</v>
      </c>
      <c r="AL5219">
        <v>90.294709425420294</v>
      </c>
      <c r="AM5219">
        <v>84.171932598598403</v>
      </c>
      <c r="AN5219">
        <v>0.999999974874207</v>
      </c>
    </row>
    <row r="5220" spans="1:40" x14ac:dyDescent="0.25">
      <c r="A5220" t="str">
        <f>"20190312154028969"</f>
        <v>20190312154028969</v>
      </c>
      <c r="B5220" t="str">
        <f>"1552376428961437"</f>
        <v>1552376428961437</v>
      </c>
      <c r="C5220" t="s">
        <v>40</v>
      </c>
      <c r="D5220">
        <v>4.0426169999999999</v>
      </c>
      <c r="E5220">
        <v>0.47309119999999999</v>
      </c>
      <c r="F5220" t="s">
        <v>55</v>
      </c>
      <c r="G5220">
        <v>-191.00810000000001</v>
      </c>
      <c r="H5220" s="1">
        <v>-9.1780560000000007E-6</v>
      </c>
      <c r="I5220">
        <v>143.1859</v>
      </c>
      <c r="J5220">
        <v>-192.1516</v>
      </c>
      <c r="K5220">
        <v>1.1103689999999999</v>
      </c>
      <c r="L5220">
        <v>192.941</v>
      </c>
      <c r="M5220">
        <v>5.3494640000000003E-2</v>
      </c>
      <c r="N5220">
        <v>0</v>
      </c>
      <c r="O5220">
        <v>-0.99847790000000003</v>
      </c>
      <c r="P5220">
        <v>-4.4852299999999998E-2</v>
      </c>
      <c r="Q5220">
        <v>-1.9088339999999999E-2</v>
      </c>
      <c r="R5220">
        <v>-0.99881160000000002</v>
      </c>
      <c r="S5220">
        <v>6.9442749999999998E-2</v>
      </c>
      <c r="T5220">
        <v>-6.6845420000000003E-2</v>
      </c>
      <c r="U5220">
        <v>-3.0061800000000001</v>
      </c>
      <c r="V5220">
        <v>9.8226750000000002E-2</v>
      </c>
      <c r="W5220">
        <v>-5.6803299999999999E-3</v>
      </c>
      <c r="X5220">
        <v>0.99514780000000003</v>
      </c>
      <c r="Y5220">
        <v>3.043011E-2</v>
      </c>
      <c r="Z5220">
        <v>2.2174659999999999E-2</v>
      </c>
      <c r="AA5220">
        <v>0.99929089999999998</v>
      </c>
      <c r="AB5220">
        <v>19</v>
      </c>
      <c r="AC5220">
        <v>1.14349999999998</v>
      </c>
      <c r="AD5220">
        <v>-1.110378178056</v>
      </c>
      <c r="AE5220">
        <v>-49.755099999999899</v>
      </c>
      <c r="AF5220">
        <v>1.5192523948571801</v>
      </c>
      <c r="AG5220">
        <v>-1.110378178056</v>
      </c>
      <c r="AH5220">
        <v>49.720271529833802</v>
      </c>
      <c r="AI5220">
        <v>91.278748957279205</v>
      </c>
      <c r="AJ5220">
        <v>88.249814979233605</v>
      </c>
      <c r="AK5220">
        <v>49.755868684387202</v>
      </c>
      <c r="AL5220">
        <v>90.325460701040299</v>
      </c>
      <c r="AM5220">
        <v>84.362840504894393</v>
      </c>
      <c r="AN5220">
        <v>0.99999995220465399</v>
      </c>
    </row>
    <row r="5221" spans="1:40" x14ac:dyDescent="0.25">
      <c r="A5221" t="str">
        <f>"20190312154028982"</f>
        <v>20190312154028982</v>
      </c>
      <c r="B5221" t="str">
        <f>"1552376428971198"</f>
        <v>1552376428971198</v>
      </c>
      <c r="C5221" t="s">
        <v>40</v>
      </c>
      <c r="D5221">
        <v>4.0237220000000002</v>
      </c>
      <c r="E5221">
        <v>0.47312019999999999</v>
      </c>
      <c r="F5221" t="s">
        <v>55</v>
      </c>
      <c r="G5221">
        <v>-190.83510000000001</v>
      </c>
      <c r="H5221" s="1">
        <v>-9.1658589999999993E-6</v>
      </c>
      <c r="I5221">
        <v>143.2561</v>
      </c>
      <c r="J5221">
        <v>-192.1456</v>
      </c>
      <c r="K5221">
        <v>1.1103270000000001</v>
      </c>
      <c r="L5221">
        <v>192.83</v>
      </c>
      <c r="M5221">
        <v>5.3580860000000001E-2</v>
      </c>
      <c r="N5221">
        <v>0</v>
      </c>
      <c r="O5221">
        <v>-0.99847359999999996</v>
      </c>
      <c r="P5221">
        <v>-4.3448069999999998E-2</v>
      </c>
      <c r="Q5221">
        <v>-2.005881E-2</v>
      </c>
      <c r="R5221">
        <v>-0.99885489999999999</v>
      </c>
      <c r="S5221">
        <v>7.9650879999999993E-2</v>
      </c>
      <c r="T5221">
        <v>-6.7176100000000002E-2</v>
      </c>
      <c r="U5221">
        <v>-3.0058590000000001</v>
      </c>
      <c r="V5221">
        <v>9.6912739999999997E-2</v>
      </c>
      <c r="W5221">
        <v>-6.659758E-3</v>
      </c>
      <c r="X5221">
        <v>0.99527060000000001</v>
      </c>
      <c r="Y5221">
        <v>2.712227E-2</v>
      </c>
      <c r="Z5221">
        <v>2.2286650000000002E-2</v>
      </c>
      <c r="AA5221">
        <v>0.99938360000000004</v>
      </c>
      <c r="AB5221">
        <v>19</v>
      </c>
      <c r="AC5221">
        <v>1.31049999999999</v>
      </c>
      <c r="AD5221">
        <v>-1.1103361658589901</v>
      </c>
      <c r="AE5221">
        <v>-49.573900000000002</v>
      </c>
      <c r="AF5221">
        <v>1.34715822465528</v>
      </c>
      <c r="AG5221">
        <v>-1.1103361658589901</v>
      </c>
      <c r="AH5221">
        <v>49.5480604688195</v>
      </c>
      <c r="AI5221">
        <v>91.283268008088001</v>
      </c>
      <c r="AJ5221">
        <v>88.442573360067399</v>
      </c>
      <c r="AK5221">
        <v>49.578805732946698</v>
      </c>
      <c r="AL5221">
        <v>90.3815788469023</v>
      </c>
      <c r="AM5221">
        <v>84.438456461575598</v>
      </c>
      <c r="AN5221">
        <v>0.99999999938764295</v>
      </c>
    </row>
    <row r="5222" spans="1:40" x14ac:dyDescent="0.25">
      <c r="A5222" t="str">
        <f>"20190312154028995"</f>
        <v>20190312154028995</v>
      </c>
      <c r="B5222" t="str">
        <f>"1552376428991693"</f>
        <v>1552376428991693</v>
      </c>
      <c r="C5222" t="s">
        <v>40</v>
      </c>
      <c r="D5222">
        <v>3.995018</v>
      </c>
      <c r="E5222">
        <v>0.4733</v>
      </c>
      <c r="F5222" t="s">
        <v>55</v>
      </c>
      <c r="G5222">
        <v>-190.80940000000001</v>
      </c>
      <c r="H5222" s="1">
        <v>-9.5760930000000005E-6</v>
      </c>
      <c r="I5222">
        <v>144.8289</v>
      </c>
      <c r="J5222">
        <v>-192.1395</v>
      </c>
      <c r="K5222">
        <v>1.110295</v>
      </c>
      <c r="L5222">
        <v>192.71899999999999</v>
      </c>
      <c r="M5222">
        <v>5.3651499999999998E-2</v>
      </c>
      <c r="N5222">
        <v>0</v>
      </c>
      <c r="O5222">
        <v>-0.99846979999999996</v>
      </c>
      <c r="P5222">
        <v>-4.2823449999999999E-2</v>
      </c>
      <c r="Q5222">
        <v>-2.105951E-2</v>
      </c>
      <c r="R5222">
        <v>-0.9988612</v>
      </c>
      <c r="S5222">
        <v>8.3663940000000006E-2</v>
      </c>
      <c r="T5222">
        <v>-6.9526080000000004E-2</v>
      </c>
      <c r="U5222">
        <v>-3.0056919999999998</v>
      </c>
      <c r="V5222">
        <v>9.6359650000000005E-2</v>
      </c>
      <c r="W5222">
        <v>-7.669375E-3</v>
      </c>
      <c r="X5222">
        <v>0.99531700000000001</v>
      </c>
      <c r="Y5222">
        <v>2.5858639999999999E-2</v>
      </c>
      <c r="Z5222">
        <v>2.3067009999999999E-2</v>
      </c>
      <c r="AA5222">
        <v>0.99939940000000005</v>
      </c>
      <c r="AB5222">
        <v>19</v>
      </c>
      <c r="AC5222">
        <v>1.3300999999999801</v>
      </c>
      <c r="AD5222">
        <v>-1.1103045760929999</v>
      </c>
      <c r="AE5222">
        <v>-47.890099999999997</v>
      </c>
      <c r="AF5222">
        <v>1.24075607413313</v>
      </c>
      <c r="AG5222">
        <v>-1.1103045760929999</v>
      </c>
      <c r="AH5222">
        <v>47.866771364323597</v>
      </c>
      <c r="AI5222">
        <v>91.328332980797796</v>
      </c>
      <c r="AJ5222">
        <v>88.515166804934793</v>
      </c>
      <c r="AK5222">
        <v>47.895720609795802</v>
      </c>
      <c r="AL5222">
        <v>90.439427141826997</v>
      </c>
      <c r="AM5222">
        <v>84.470255598873607</v>
      </c>
      <c r="AN5222">
        <v>0.99999996597500596</v>
      </c>
    </row>
    <row r="5223" spans="1:40" x14ac:dyDescent="0.25">
      <c r="A5223" t="str">
        <f>"20190312154029013"</f>
        <v>20190312154029013</v>
      </c>
      <c r="B5223" t="str">
        <f>"1552376429001453"</f>
        <v>1552376429001453</v>
      </c>
      <c r="C5223" t="s">
        <v>40</v>
      </c>
      <c r="D5223">
        <v>4.0032779999999999</v>
      </c>
      <c r="E5223">
        <v>0.47338740000000001</v>
      </c>
      <c r="F5223" t="s">
        <v>55</v>
      </c>
      <c r="G5223">
        <v>-190.82669999999999</v>
      </c>
      <c r="H5223" s="1">
        <v>-9.8373990000000006E-6</v>
      </c>
      <c r="I5223">
        <v>145.8081</v>
      </c>
      <c r="J5223">
        <v>-192.1318</v>
      </c>
      <c r="K5223">
        <v>1.1102479999999999</v>
      </c>
      <c r="L5223">
        <v>192.57910000000001</v>
      </c>
      <c r="M5223">
        <v>5.3714499999999998E-2</v>
      </c>
      <c r="N5223">
        <v>0</v>
      </c>
      <c r="O5223">
        <v>-0.99846650000000003</v>
      </c>
      <c r="P5223">
        <v>-4.2119629999999998E-2</v>
      </c>
      <c r="Q5223">
        <v>-2.2735559999999998E-2</v>
      </c>
      <c r="R5223">
        <v>-0.99885449999999998</v>
      </c>
      <c r="S5223">
        <v>8.4106449999999999E-2</v>
      </c>
      <c r="T5223">
        <v>-7.1135879999999999E-2</v>
      </c>
      <c r="U5223">
        <v>-3.0055239999999999</v>
      </c>
      <c r="V5223">
        <v>9.5719139999999994E-2</v>
      </c>
      <c r="W5223">
        <v>-9.355281E-3</v>
      </c>
      <c r="X5223">
        <v>0.99536440000000004</v>
      </c>
      <c r="Y5223">
        <v>2.577349E-2</v>
      </c>
      <c r="Z5223">
        <v>2.3601980000000002E-2</v>
      </c>
      <c r="AA5223">
        <v>0.99938919999999998</v>
      </c>
      <c r="AB5223">
        <v>19</v>
      </c>
      <c r="AC5223">
        <v>1.3051000000000099</v>
      </c>
      <c r="AD5223">
        <v>-1.110257837399</v>
      </c>
      <c r="AE5223">
        <v>-46.771000000000001</v>
      </c>
      <c r="AF5223">
        <v>1.2086102064192401</v>
      </c>
      <c r="AG5223">
        <v>-1.110257837399</v>
      </c>
      <c r="AH5223">
        <v>46.747253653017303</v>
      </c>
      <c r="AI5223">
        <v>91.360077619211395</v>
      </c>
      <c r="AJ5223">
        <v>88.518996618665696</v>
      </c>
      <c r="AK5223">
        <v>46.776053010018998</v>
      </c>
      <c r="AL5223">
        <v>90.536025946292696</v>
      </c>
      <c r="AM5223">
        <v>84.5070466513627</v>
      </c>
      <c r="AN5223">
        <v>0.99999998191614403</v>
      </c>
    </row>
    <row r="5224" spans="1:40" x14ac:dyDescent="0.25">
      <c r="A5224" t="str">
        <f>"20190312154029024"</f>
        <v>20190312154029024</v>
      </c>
      <c r="B5224" t="str">
        <f>"1552376429020973"</f>
        <v>1552376429020973</v>
      </c>
      <c r="C5224" t="s">
        <v>40</v>
      </c>
      <c r="D5224">
        <v>3.9738920000000002</v>
      </c>
      <c r="E5224">
        <v>0.47360740000000001</v>
      </c>
      <c r="F5224" t="s">
        <v>55</v>
      </c>
      <c r="G5224">
        <v>-190.87010000000001</v>
      </c>
      <c r="H5224" s="1">
        <v>-1.049991E-5</v>
      </c>
      <c r="I5224">
        <v>148.2911</v>
      </c>
      <c r="J5224">
        <v>-192.1267</v>
      </c>
      <c r="K5224">
        <v>1.1102259999999999</v>
      </c>
      <c r="L5224">
        <v>192.4846</v>
      </c>
      <c r="M5224">
        <v>5.3748039999999997E-2</v>
      </c>
      <c r="N5224">
        <v>0</v>
      </c>
      <c r="O5224">
        <v>-0.99846460000000004</v>
      </c>
      <c r="P5224">
        <v>-4.2401029999999999E-2</v>
      </c>
      <c r="Q5224">
        <v>-2.3369069999999999E-2</v>
      </c>
      <c r="R5224">
        <v>-0.99882780000000004</v>
      </c>
      <c r="S5224">
        <v>8.5617070000000003E-2</v>
      </c>
      <c r="T5224">
        <v>-7.5341580000000005E-2</v>
      </c>
      <c r="U5224">
        <v>-3.0053559999999999</v>
      </c>
      <c r="V5224">
        <v>9.6031859999999997E-2</v>
      </c>
      <c r="W5224">
        <v>-9.9954190000000002E-3</v>
      </c>
      <c r="X5224">
        <v>0.99532810000000005</v>
      </c>
      <c r="Y5224">
        <v>2.530454E-2</v>
      </c>
      <c r="Z5224">
        <v>2.4997829999999999E-2</v>
      </c>
      <c r="AA5224">
        <v>0.99936720000000001</v>
      </c>
      <c r="AB5224">
        <v>19</v>
      </c>
      <c r="AC5224">
        <v>1.2565999999999899</v>
      </c>
      <c r="AD5224">
        <v>-1.1102364999099901</v>
      </c>
      <c r="AE5224">
        <v>-44.1935</v>
      </c>
      <c r="AF5224">
        <v>1.12003772068404</v>
      </c>
      <c r="AG5224">
        <v>-1.1102364999099901</v>
      </c>
      <c r="AH5224">
        <v>44.169300210818797</v>
      </c>
      <c r="AI5224">
        <v>91.439417070719699</v>
      </c>
      <c r="AJ5224">
        <v>88.547414508224904</v>
      </c>
      <c r="AK5224">
        <v>44.197445522280098</v>
      </c>
      <c r="AL5224">
        <v>90.572704844542201</v>
      </c>
      <c r="AM5224">
        <v>84.489011403219394</v>
      </c>
      <c r="AN5224">
        <v>1.0000000265928199</v>
      </c>
    </row>
    <row r="5225" spans="1:40" x14ac:dyDescent="0.25">
      <c r="A5225" t="str">
        <f>"20190312154029036"</f>
        <v>20190312154029036</v>
      </c>
      <c r="B5225" t="str">
        <f>"1552376429031710"</f>
        <v>1552376429031710</v>
      </c>
      <c r="C5225" t="s">
        <v>40</v>
      </c>
      <c r="D5225">
        <v>3.9731679999999998</v>
      </c>
      <c r="E5225">
        <v>0.47371469999999999</v>
      </c>
      <c r="F5225" t="s">
        <v>55</v>
      </c>
      <c r="G5225">
        <v>-190.91800000000001</v>
      </c>
      <c r="H5225" s="1">
        <v>-1.0614179999999999E-5</v>
      </c>
      <c r="I5225">
        <v>148.69229999999999</v>
      </c>
      <c r="J5225">
        <v>-192.12090000000001</v>
      </c>
      <c r="K5225">
        <v>1.1102050000000001</v>
      </c>
      <c r="L5225">
        <v>192.3793</v>
      </c>
      <c r="M5225">
        <v>5.3780229999999998E-2</v>
      </c>
      <c r="N5225">
        <v>0</v>
      </c>
      <c r="O5225">
        <v>-0.99846290000000004</v>
      </c>
      <c r="P5225">
        <v>-4.2609149999999998E-2</v>
      </c>
      <c r="Q5225">
        <v>-2.3925720000000001E-2</v>
      </c>
      <c r="R5225">
        <v>-0.99880590000000002</v>
      </c>
      <c r="S5225">
        <v>8.2946779999999998E-2</v>
      </c>
      <c r="T5225">
        <v>-7.6190469999999996E-2</v>
      </c>
      <c r="U5225">
        <v>-3.0052639999999999</v>
      </c>
      <c r="V5225">
        <v>9.6270220000000004E-2</v>
      </c>
      <c r="W5225">
        <v>-1.0558929999999999E-2</v>
      </c>
      <c r="X5225">
        <v>0.99529920000000005</v>
      </c>
      <c r="Y5225">
        <v>2.6223360000000001E-2</v>
      </c>
      <c r="Z5225">
        <v>2.528002E-2</v>
      </c>
      <c r="AA5225">
        <v>0.99933640000000001</v>
      </c>
      <c r="AB5225">
        <v>19</v>
      </c>
      <c r="AC5225">
        <v>1.2028999999999901</v>
      </c>
      <c r="AD5225">
        <v>-1.1102156141799999</v>
      </c>
      <c r="AE5225">
        <v>-43.686999999999998</v>
      </c>
      <c r="AF5225">
        <v>1.14780827259419</v>
      </c>
      <c r="AG5225">
        <v>-1.1102156141799999</v>
      </c>
      <c r="AH5225">
        <v>43.6602874516838</v>
      </c>
      <c r="AI5225">
        <v>91.456128929385997</v>
      </c>
      <c r="AJ5225">
        <v>88.494067973361496</v>
      </c>
      <c r="AK5225">
        <v>43.689480918228597</v>
      </c>
      <c r="AL5225">
        <v>90.604993384421704</v>
      </c>
      <c r="AM5225">
        <v>84.475257717376095</v>
      </c>
      <c r="AN5225">
        <v>0.999999971891116</v>
      </c>
    </row>
    <row r="5226" spans="1:40" x14ac:dyDescent="0.25">
      <c r="A5226" t="str">
        <f>"20190312154029049"</f>
        <v>20190312154029049</v>
      </c>
      <c r="B5226" t="str">
        <f>"1552376429041470"</f>
        <v>1552376429041470</v>
      </c>
      <c r="C5226" t="s">
        <v>40</v>
      </c>
      <c r="D5226">
        <v>3.9830990000000002</v>
      </c>
      <c r="E5226">
        <v>0.47378900000000002</v>
      </c>
      <c r="F5226" t="s">
        <v>55</v>
      </c>
      <c r="G5226">
        <v>-190.9468</v>
      </c>
      <c r="H5226" s="1">
        <v>-1.072236E-5</v>
      </c>
      <c r="I5226">
        <v>149.0831</v>
      </c>
      <c r="J5226">
        <v>-192.1156</v>
      </c>
      <c r="K5226">
        <v>1.1101920000000001</v>
      </c>
      <c r="L5226">
        <v>192.2808</v>
      </c>
      <c r="M5226">
        <v>5.3804270000000001E-2</v>
      </c>
      <c r="N5226">
        <v>0</v>
      </c>
      <c r="O5226">
        <v>-0.9984615</v>
      </c>
      <c r="P5226">
        <v>-4.2709410000000003E-2</v>
      </c>
      <c r="Q5226">
        <v>-2.40503E-2</v>
      </c>
      <c r="R5226">
        <v>-0.99879839999999998</v>
      </c>
      <c r="S5226">
        <v>8.1497189999999997E-2</v>
      </c>
      <c r="T5226">
        <v>-7.7060820000000002E-2</v>
      </c>
      <c r="U5226">
        <v>-3.0052189999999999</v>
      </c>
      <c r="V5226">
        <v>9.639354E-2</v>
      </c>
      <c r="W5226">
        <v>-1.0688799999999899E-2</v>
      </c>
      <c r="X5226">
        <v>0.99528589999999995</v>
      </c>
      <c r="Y5226">
        <v>2.672888E-2</v>
      </c>
      <c r="Z5226">
        <v>2.556895E-2</v>
      </c>
      <c r="AA5226">
        <v>0.99931570000000003</v>
      </c>
      <c r="AB5226">
        <v>19</v>
      </c>
      <c r="AC5226">
        <v>1.1688000000000001</v>
      </c>
      <c r="AD5226">
        <v>-1.1102027223599999</v>
      </c>
      <c r="AE5226">
        <v>-43.197699999999998</v>
      </c>
      <c r="AF5226">
        <v>1.1565595553107</v>
      </c>
      <c r="AG5226">
        <v>-1.1102027223599999</v>
      </c>
      <c r="AH5226">
        <v>43.169515713983699</v>
      </c>
      <c r="AI5226">
        <v>91.4726389765177</v>
      </c>
      <c r="AJ5226">
        <v>88.465349157639096</v>
      </c>
      <c r="AK5226">
        <v>43.199273918314901</v>
      </c>
      <c r="AL5226">
        <v>90.612434794016494</v>
      </c>
      <c r="AM5226">
        <v>84.468151052798106</v>
      </c>
      <c r="AN5226">
        <v>0.99999999386898997</v>
      </c>
    </row>
    <row r="5227" spans="1:40" x14ac:dyDescent="0.25">
      <c r="A5227" t="str">
        <f>"20190312154029063"</f>
        <v>20190312154029063</v>
      </c>
      <c r="B5227" t="str">
        <f>"1552376429051230"</f>
        <v>1552376429051230</v>
      </c>
      <c r="C5227" t="s">
        <v>40</v>
      </c>
      <c r="D5227">
        <v>4.0308190000000002</v>
      </c>
      <c r="E5227">
        <v>0.47378920000000002</v>
      </c>
      <c r="F5227" t="s">
        <v>55</v>
      </c>
      <c r="G5227">
        <v>-190.953</v>
      </c>
      <c r="H5227" s="1">
        <v>-1.069486E-5</v>
      </c>
      <c r="I5227">
        <v>148.97460000000001</v>
      </c>
      <c r="J5227">
        <v>-192.10890000000001</v>
      </c>
      <c r="K5227">
        <v>1.110177</v>
      </c>
      <c r="L5227">
        <v>192.1591</v>
      </c>
      <c r="M5227">
        <v>5.383305E-2</v>
      </c>
      <c r="N5227">
        <v>0</v>
      </c>
      <c r="O5227">
        <v>-0.99846009999999996</v>
      </c>
      <c r="P5227">
        <v>-4.3052939999999998E-2</v>
      </c>
      <c r="Q5227">
        <v>-2.4538899999999999E-2</v>
      </c>
      <c r="R5227">
        <v>-0.99877199999999999</v>
      </c>
      <c r="S5227">
        <v>8.0673220000000004E-2</v>
      </c>
      <c r="T5227">
        <v>-7.7041860000000004E-2</v>
      </c>
      <c r="U5227">
        <v>-3.0052029999999998</v>
      </c>
      <c r="V5227">
        <v>9.6763500000000002E-2</v>
      </c>
      <c r="W5227">
        <v>-1.1183780000000001E-2</v>
      </c>
      <c r="X5227">
        <v>0.99524460000000003</v>
      </c>
      <c r="Y5227">
        <v>2.7031349999999999E-2</v>
      </c>
      <c r="Z5227">
        <v>2.5562729999999999E-2</v>
      </c>
      <c r="AA5227">
        <v>0.99930770000000002</v>
      </c>
      <c r="AB5227">
        <v>19</v>
      </c>
      <c r="AC5227">
        <v>1.1558999999999999</v>
      </c>
      <c r="AD5227">
        <v>-1.11018769486</v>
      </c>
      <c r="AE5227">
        <v>-43.1844999999999</v>
      </c>
      <c r="AF5227">
        <v>1.1699656774759699</v>
      </c>
      <c r="AG5227">
        <v>-1.11018769486</v>
      </c>
      <c r="AH5227">
        <v>43.155599077731097</v>
      </c>
      <c r="AI5227">
        <v>91.473081065595096</v>
      </c>
      <c r="AJ5227">
        <v>88.4470687142814</v>
      </c>
      <c r="AK5227">
        <v>43.185727597924704</v>
      </c>
      <c r="AL5227">
        <v>90.640796730575204</v>
      </c>
      <c r="AM5227">
        <v>84.446823182036994</v>
      </c>
      <c r="AN5227">
        <v>1.0000000328482399</v>
      </c>
    </row>
    <row r="5228" spans="1:40" x14ac:dyDescent="0.25">
      <c r="A5228" t="str">
        <f>"20190312154029082"</f>
        <v>20190312154029082</v>
      </c>
      <c r="B5228" t="str">
        <f>"1552376429071726"</f>
        <v>1552376429071726</v>
      </c>
      <c r="C5228" t="s">
        <v>40</v>
      </c>
      <c r="D5228">
        <v>3.9625849999999998</v>
      </c>
      <c r="E5228">
        <v>0.47402460000000002</v>
      </c>
      <c r="F5228" t="s">
        <v>55</v>
      </c>
      <c r="G5228">
        <v>-191.00239999999999</v>
      </c>
      <c r="H5228" s="1">
        <v>-1.1197529999999999E-5</v>
      </c>
      <c r="I5228">
        <v>150.3732</v>
      </c>
      <c r="J5228">
        <v>-192.101</v>
      </c>
      <c r="K5228">
        <v>1.1101650000000001</v>
      </c>
      <c r="L5228">
        <v>192.0127</v>
      </c>
      <c r="M5228">
        <v>5.3866890000000001E-2</v>
      </c>
      <c r="N5228">
        <v>0</v>
      </c>
      <c r="O5228">
        <v>-0.99845819999999996</v>
      </c>
      <c r="P5228">
        <v>-4.3462750000000001E-2</v>
      </c>
      <c r="Q5228">
        <v>-2.4099289999999999E-2</v>
      </c>
      <c r="R5228">
        <v>-0.99876450000000006</v>
      </c>
      <c r="S5228">
        <v>7.9574580000000006E-2</v>
      </c>
      <c r="T5228">
        <v>-7.9842330000000003E-2</v>
      </c>
      <c r="U5228">
        <v>-3.0051570000000001</v>
      </c>
      <c r="V5228">
        <v>9.7205620000000006E-2</v>
      </c>
      <c r="W5228">
        <v>-1.0750620000000001E-2</v>
      </c>
      <c r="X5228">
        <v>0.99520620000000004</v>
      </c>
      <c r="Y5228">
        <v>2.7430530000000002E-2</v>
      </c>
      <c r="Z5228">
        <v>2.6491600000000001E-2</v>
      </c>
      <c r="AA5228">
        <v>0.99927259999999996</v>
      </c>
      <c r="AB5228">
        <v>19</v>
      </c>
      <c r="AC5228">
        <v>1.0986</v>
      </c>
      <c r="AD5228">
        <v>-1.11017619753</v>
      </c>
      <c r="AE5228">
        <v>-41.639499999999998</v>
      </c>
      <c r="AF5228">
        <v>1.14537349624579</v>
      </c>
      <c r="AG5228">
        <v>-1.11017619753</v>
      </c>
      <c r="AH5228">
        <v>41.608660677666002</v>
      </c>
      <c r="AI5228">
        <v>91.527788998526006</v>
      </c>
      <c r="AJ5228">
        <v>88.423200892931803</v>
      </c>
      <c r="AK5228">
        <v>41.639224476743202</v>
      </c>
      <c r="AL5228">
        <v>90.615977053096302</v>
      </c>
      <c r="AM5228">
        <v>84.421396077991503</v>
      </c>
      <c r="AN5228">
        <v>0.99999994445420204</v>
      </c>
    </row>
    <row r="5229" spans="1:40" x14ac:dyDescent="0.25">
      <c r="A5229" t="str">
        <f>"20190312154029103"</f>
        <v>20190312154029103</v>
      </c>
      <c r="B5229" t="str">
        <f>"1552376429091245"</f>
        <v>1552376429091245</v>
      </c>
      <c r="C5229" t="s">
        <v>40</v>
      </c>
      <c r="D5229">
        <v>3.9829439999999998</v>
      </c>
      <c r="E5229">
        <v>0.474161</v>
      </c>
      <c r="F5229" t="s">
        <v>55</v>
      </c>
      <c r="G5229">
        <v>-191.00530000000001</v>
      </c>
      <c r="H5229" s="1">
        <v>-1.069781E-5</v>
      </c>
      <c r="I5229">
        <v>148.95070000000001</v>
      </c>
      <c r="J5229">
        <v>-192.0909</v>
      </c>
      <c r="K5229">
        <v>1.110155</v>
      </c>
      <c r="L5229">
        <v>191.8288</v>
      </c>
      <c r="M5229">
        <v>5.3912300000000003E-2</v>
      </c>
      <c r="N5229">
        <v>0</v>
      </c>
      <c r="O5229">
        <v>-0.99845589999999995</v>
      </c>
      <c r="P5229">
        <v>-4.3964719999999999E-2</v>
      </c>
      <c r="Q5229">
        <v>-2.3578129999999999E-2</v>
      </c>
      <c r="R5229">
        <v>-0.99875530000000001</v>
      </c>
      <c r="S5229">
        <v>7.6461790000000002E-2</v>
      </c>
      <c r="T5229">
        <v>-7.7475429999999998E-2</v>
      </c>
      <c r="U5229">
        <v>-3.0051570000000001</v>
      </c>
      <c r="V5229">
        <v>9.7751260000000006E-2</v>
      </c>
      <c r="W5229">
        <v>-1.023584E-2</v>
      </c>
      <c r="X5229">
        <v>0.99515830000000005</v>
      </c>
      <c r="Y5229">
        <v>2.850981E-2</v>
      </c>
      <c r="Z5229">
        <v>2.5706650000000001E-2</v>
      </c>
      <c r="AA5229">
        <v>0.99926289999999995</v>
      </c>
      <c r="AB5229">
        <v>18</v>
      </c>
      <c r="AC5229">
        <v>1.0855999999999899</v>
      </c>
      <c r="AD5229">
        <v>-1.1101656978100001</v>
      </c>
      <c r="AE5229">
        <v>-42.878099999999897</v>
      </c>
      <c r="AF5229">
        <v>1.2270213218254999</v>
      </c>
      <c r="AG5229">
        <v>-1.1101656978100001</v>
      </c>
      <c r="AH5229">
        <v>42.845559217559199</v>
      </c>
      <c r="AI5229">
        <v>91.483643361507902</v>
      </c>
      <c r="AJ5229">
        <v>88.3595981900487</v>
      </c>
      <c r="AK5229">
        <v>42.877499855590699</v>
      </c>
      <c r="AL5229">
        <v>90.586480637080797</v>
      </c>
      <c r="AM5229">
        <v>84.390012840103594</v>
      </c>
      <c r="AN5229">
        <v>1.0000000616554801</v>
      </c>
    </row>
    <row r="5230" spans="1:40" x14ac:dyDescent="0.25">
      <c r="A5230" t="str">
        <f>"20190312154029119"</f>
        <v>20190312154029119</v>
      </c>
      <c r="B5230" t="str">
        <f>"1552376429111742"</f>
        <v>1552376429111742</v>
      </c>
      <c r="C5230" t="s">
        <v>40</v>
      </c>
      <c r="D5230">
        <v>4.0970129999999996</v>
      </c>
      <c r="E5230">
        <v>0.47433690000000001</v>
      </c>
      <c r="F5230" t="s">
        <v>55</v>
      </c>
      <c r="G5230">
        <v>-190.99690000000001</v>
      </c>
      <c r="H5230" s="1">
        <v>-1.0278510000000001E-5</v>
      </c>
      <c r="I5230">
        <v>147.3663</v>
      </c>
      <c r="J5230">
        <v>-192.0839</v>
      </c>
      <c r="K5230">
        <v>1.1101430000000001</v>
      </c>
      <c r="L5230">
        <v>191.7002</v>
      </c>
      <c r="M5230">
        <v>5.394707E-2</v>
      </c>
      <c r="N5230">
        <v>0</v>
      </c>
      <c r="O5230">
        <v>-0.99845379999999995</v>
      </c>
      <c r="P5230">
        <v>-4.389771E-2</v>
      </c>
      <c r="Q5230">
        <v>-2.3436249999999999E-2</v>
      </c>
      <c r="R5230">
        <v>-0.99876089999999995</v>
      </c>
      <c r="S5230">
        <v>7.3944090000000004E-2</v>
      </c>
      <c r="T5230">
        <v>-7.5036409999999998E-2</v>
      </c>
      <c r="U5230">
        <v>-3.0052340000000002</v>
      </c>
      <c r="V5230">
        <v>9.7719219999999996E-2</v>
      </c>
      <c r="W5230">
        <v>-1.009706E-2</v>
      </c>
      <c r="X5230">
        <v>0.99516280000000001</v>
      </c>
      <c r="Y5230">
        <v>2.938139E-2</v>
      </c>
      <c r="Z5230">
        <v>2.4897140000000002E-2</v>
      </c>
      <c r="AA5230">
        <v>0.99925819999999999</v>
      </c>
      <c r="AB5230">
        <v>18</v>
      </c>
      <c r="AC5230">
        <v>1.08699999999998</v>
      </c>
      <c r="AD5230">
        <v>-1.1101532785099999</v>
      </c>
      <c r="AE5230">
        <v>-44.3339</v>
      </c>
      <c r="AF5230">
        <v>1.3056639244114401</v>
      </c>
      <c r="AG5230">
        <v>-1.1101532785099999</v>
      </c>
      <c r="AH5230">
        <v>44.300213705547399</v>
      </c>
      <c r="AI5230">
        <v>91.434895929334104</v>
      </c>
      <c r="AJ5230">
        <v>88.3118053822609</v>
      </c>
      <c r="AK5230">
        <v>44.333352376539999</v>
      </c>
      <c r="AL5230">
        <v>90.5785287554246</v>
      </c>
      <c r="AM5230">
        <v>84.391865103344898</v>
      </c>
      <c r="AN5230">
        <v>0.99999999754094504</v>
      </c>
    </row>
    <row r="5231" spans="1:40" x14ac:dyDescent="0.25">
      <c r="A5231" t="str">
        <f>"20190312154029133"</f>
        <v>20190312154029133</v>
      </c>
      <c r="B5231" t="str">
        <f>"1552376429121502"</f>
        <v>1552376429121502</v>
      </c>
      <c r="C5231" t="s">
        <v>40</v>
      </c>
      <c r="D5231">
        <v>3.982208</v>
      </c>
      <c r="E5231">
        <v>0.47446080000000002</v>
      </c>
      <c r="F5231" t="s">
        <v>55</v>
      </c>
      <c r="G5231">
        <v>-190.98390000000001</v>
      </c>
      <c r="H5231" s="1">
        <v>-9.9873360000000002E-6</v>
      </c>
      <c r="I5231">
        <v>146.27099999999999</v>
      </c>
      <c r="J5231">
        <v>-192.0778</v>
      </c>
      <c r="K5231">
        <v>1.110142</v>
      </c>
      <c r="L5231">
        <v>191.5872</v>
      </c>
      <c r="M5231">
        <v>5.3981029999999999E-2</v>
      </c>
      <c r="N5231">
        <v>0</v>
      </c>
      <c r="O5231">
        <v>-0.99845209999999995</v>
      </c>
      <c r="P5231">
        <v>-4.3830349999999997E-2</v>
      </c>
      <c r="Q5231">
        <v>-2.331797E-2</v>
      </c>
      <c r="R5231">
        <v>-0.99876699999999996</v>
      </c>
      <c r="S5231">
        <v>7.2769169999999994E-2</v>
      </c>
      <c r="T5231">
        <v>-7.343769E-2</v>
      </c>
      <c r="U5231">
        <v>-3.005188</v>
      </c>
      <c r="V5231">
        <v>9.7686060000000005E-2</v>
      </c>
      <c r="W5231">
        <v>-9.9808310000000008E-3</v>
      </c>
      <c r="X5231">
        <v>0.99516729999999998</v>
      </c>
      <c r="Y5231">
        <v>2.9805129999999999E-2</v>
      </c>
      <c r="Z5231">
        <v>2.4367260000000002E-2</v>
      </c>
      <c r="AA5231">
        <v>0.99925870000000006</v>
      </c>
      <c r="AB5231">
        <v>18</v>
      </c>
      <c r="AC5231">
        <v>1.0938999999999901</v>
      </c>
      <c r="AD5231">
        <v>-1.110151987336</v>
      </c>
      <c r="AE5231">
        <v>-45.316199999999903</v>
      </c>
      <c r="AF5231">
        <v>1.3533181885133301</v>
      </c>
      <c r="AG5231">
        <v>-1.110151987336</v>
      </c>
      <c r="AH5231">
        <v>45.2820104514864</v>
      </c>
      <c r="AI5231">
        <v>91.403778517842298</v>
      </c>
      <c r="AJ5231">
        <v>88.288142552058702</v>
      </c>
      <c r="AK5231">
        <v>45.315829222059598</v>
      </c>
      <c r="AL5231">
        <v>90.571868947700906</v>
      </c>
      <c r="AM5231">
        <v>84.393781229093605</v>
      </c>
      <c r="AN5231">
        <v>1.0000000691475199</v>
      </c>
    </row>
    <row r="5232" spans="1:40" x14ac:dyDescent="0.25">
      <c r="A5232" t="str">
        <f>"20190312154029148"</f>
        <v>20190312154029148</v>
      </c>
      <c r="B5232" t="str">
        <f>"1552376429141021"</f>
        <v>1552376429141021</v>
      </c>
      <c r="C5232" t="s">
        <v>40</v>
      </c>
      <c r="D5232">
        <v>4.0040550000000001</v>
      </c>
      <c r="E5232">
        <v>0.47452309999999998</v>
      </c>
      <c r="F5232" t="s">
        <v>55</v>
      </c>
      <c r="G5232">
        <v>-190.97319999999999</v>
      </c>
      <c r="H5232" s="1">
        <v>-9.7762880000000004E-6</v>
      </c>
      <c r="I5232">
        <v>145.47790000000001</v>
      </c>
      <c r="J5232">
        <v>-192.07069999999999</v>
      </c>
      <c r="K5232">
        <v>1.1101479999999999</v>
      </c>
      <c r="L5232">
        <v>191.45699999999999</v>
      </c>
      <c r="M5232">
        <v>5.402378E-2</v>
      </c>
      <c r="N5232">
        <v>0</v>
      </c>
      <c r="O5232">
        <v>-0.9984497</v>
      </c>
      <c r="P5232">
        <v>-4.380626E-2</v>
      </c>
      <c r="Q5232">
        <v>-2.3018569999999999E-2</v>
      </c>
      <c r="R5232">
        <v>-0.99877490000000002</v>
      </c>
      <c r="S5232">
        <v>7.1990970000000001E-2</v>
      </c>
      <c r="T5232">
        <v>-7.2354080000000001E-2</v>
      </c>
      <c r="U5232">
        <v>-3.0051730000000001</v>
      </c>
      <c r="V5232">
        <v>9.7705050000000002E-2</v>
      </c>
      <c r="W5232">
        <v>-9.6832689999999996E-3</v>
      </c>
      <c r="X5232">
        <v>0.99516830000000001</v>
      </c>
      <c r="Y5232">
        <v>3.0106210000000001E-2</v>
      </c>
      <c r="Z5232">
        <v>2.4007919999999999E-2</v>
      </c>
      <c r="AA5232">
        <v>0.99925830000000004</v>
      </c>
      <c r="AB5232">
        <v>18</v>
      </c>
      <c r="AC5232">
        <v>1.0974999999999899</v>
      </c>
      <c r="AD5232">
        <v>-1.1101577762879999</v>
      </c>
      <c r="AE5232">
        <v>-45.979099999999903</v>
      </c>
      <c r="AF5232">
        <v>1.38748252631791</v>
      </c>
      <c r="AG5232">
        <v>-1.1101577762879999</v>
      </c>
      <c r="AH5232">
        <v>45.944469604935897</v>
      </c>
      <c r="AI5232">
        <v>91.383540024562294</v>
      </c>
      <c r="AJ5232">
        <v>88.270243620208007</v>
      </c>
      <c r="AK5232">
        <v>45.9788195295178</v>
      </c>
      <c r="AL5232">
        <v>90.5548191196998</v>
      </c>
      <c r="AM5232">
        <v>84.392703933346297</v>
      </c>
      <c r="AN5232">
        <v>0.99999999390945904</v>
      </c>
    </row>
    <row r="5233" spans="1:40" x14ac:dyDescent="0.25">
      <c r="A5233" t="str">
        <f>"20190312154029160"</f>
        <v>20190312154029160</v>
      </c>
      <c r="B5233" t="str">
        <f>"1552376429151758"</f>
        <v>1552376429151758</v>
      </c>
      <c r="C5233" t="s">
        <v>40</v>
      </c>
      <c r="D5233">
        <v>4.0345409999999999</v>
      </c>
      <c r="E5233">
        <v>0.47453780000000001</v>
      </c>
      <c r="F5233" t="s">
        <v>55</v>
      </c>
      <c r="G5233">
        <v>-190.97800000000001</v>
      </c>
      <c r="H5233" s="1">
        <v>-9.7815820000000004E-6</v>
      </c>
      <c r="I5233">
        <v>145.49469999999999</v>
      </c>
      <c r="J5233">
        <v>-192.06549999999999</v>
      </c>
      <c r="K5233">
        <v>1.1101529999999999</v>
      </c>
      <c r="L5233">
        <v>191.36070000000001</v>
      </c>
      <c r="M5233">
        <v>5.4057389999999997E-2</v>
      </c>
      <c r="N5233">
        <v>0</v>
      </c>
      <c r="O5233">
        <v>-0.99844809999999995</v>
      </c>
      <c r="P5233">
        <v>-4.3880950000000002E-2</v>
      </c>
      <c r="Q5233">
        <v>-2.3214140000000001E-2</v>
      </c>
      <c r="R5233">
        <v>-0.99876699999999996</v>
      </c>
      <c r="S5233">
        <v>7.1441649999999995E-2</v>
      </c>
      <c r="T5233">
        <v>-7.2585230000000001E-2</v>
      </c>
      <c r="U5233">
        <v>-3.0051420000000002</v>
      </c>
      <c r="V5233">
        <v>9.7812709999999997E-2</v>
      </c>
      <c r="W5233">
        <v>-9.8801800000000006E-3</v>
      </c>
      <c r="X5233">
        <v>0.99515580000000003</v>
      </c>
      <c r="Y5233">
        <v>3.0322209999999999E-2</v>
      </c>
      <c r="Z5233">
        <v>2.4084729999999999E-2</v>
      </c>
      <c r="AA5233">
        <v>0.99924990000000002</v>
      </c>
      <c r="AB5233">
        <v>18</v>
      </c>
      <c r="AC5233">
        <v>1.0874999999999999</v>
      </c>
      <c r="AD5233">
        <v>-1.1101627815819901</v>
      </c>
      <c r="AE5233">
        <v>-45.866</v>
      </c>
      <c r="AF5233">
        <v>1.3928932383653001</v>
      </c>
      <c r="AG5233">
        <v>-1.1101627815819901</v>
      </c>
      <c r="AH5233">
        <v>45.830881522239501</v>
      </c>
      <c r="AI5233">
        <v>91.386965833172198</v>
      </c>
      <c r="AJ5233">
        <v>88.259201155505707</v>
      </c>
      <c r="AK5233">
        <v>45.865480637192199</v>
      </c>
      <c r="AL5233">
        <v>90.566101822405102</v>
      </c>
      <c r="AM5233">
        <v>84.386494703612101</v>
      </c>
      <c r="AN5233">
        <v>1.0000000052339999</v>
      </c>
    </row>
    <row r="5234" spans="1:40" x14ac:dyDescent="0.25">
      <c r="A5234" t="str">
        <f>"20190312154029173"</f>
        <v>20190312154029173</v>
      </c>
      <c r="B5234" t="str">
        <f>"1552376429161518"</f>
        <v>1552376429161518</v>
      </c>
      <c r="C5234" t="s">
        <v>40</v>
      </c>
      <c r="D5234">
        <v>4.0133470000000004</v>
      </c>
      <c r="E5234">
        <v>0.47453200000000001</v>
      </c>
      <c r="F5234" t="s">
        <v>55</v>
      </c>
      <c r="G5234">
        <v>-190.9915</v>
      </c>
      <c r="H5234" s="1">
        <v>-9.9382469999999994E-6</v>
      </c>
      <c r="I5234">
        <v>146.0797</v>
      </c>
      <c r="J5234">
        <v>-192.0599</v>
      </c>
      <c r="K5234">
        <v>1.1101570000000001</v>
      </c>
      <c r="L5234">
        <v>191.25909999999999</v>
      </c>
      <c r="M5234">
        <v>5.4095549999999999E-2</v>
      </c>
      <c r="N5234">
        <v>0</v>
      </c>
      <c r="O5234">
        <v>-0.9984459</v>
      </c>
      <c r="P5234">
        <v>-4.3814800000000001E-2</v>
      </c>
      <c r="Q5234">
        <v>-2.2812019999999999E-2</v>
      </c>
      <c r="R5234">
        <v>-0.99877910000000003</v>
      </c>
      <c r="S5234">
        <v>7.1273799999999998E-2</v>
      </c>
      <c r="T5234">
        <v>-7.3677300000000001E-2</v>
      </c>
      <c r="U5234">
        <v>-3.0051269999999999</v>
      </c>
      <c r="V5234">
        <v>9.778539E-2</v>
      </c>
      <c r="W5234">
        <v>-9.4789569999999997E-3</v>
      </c>
      <c r="X5234">
        <v>0.9951624</v>
      </c>
      <c r="Y5234">
        <v>3.041628E-2</v>
      </c>
      <c r="Z5234">
        <v>2.4446909999999999E-2</v>
      </c>
      <c r="AA5234">
        <v>0.99923830000000002</v>
      </c>
      <c r="AB5234">
        <v>18</v>
      </c>
      <c r="AC5234">
        <v>1.06839999999999</v>
      </c>
      <c r="AD5234">
        <v>-1.1101669382470001</v>
      </c>
      <c r="AE5234">
        <v>-45.179400000000001</v>
      </c>
      <c r="AF5234">
        <v>1.3765577822153701</v>
      </c>
      <c r="AG5234">
        <v>-1.1101669382470001</v>
      </c>
      <c r="AH5234">
        <v>45.143792926595602</v>
      </c>
      <c r="AI5234">
        <v>91.408067979098504</v>
      </c>
      <c r="AJ5234">
        <v>88.253436081165404</v>
      </c>
      <c r="AK5234">
        <v>45.178417654427598</v>
      </c>
      <c r="AL5234">
        <v>90.543112354017595</v>
      </c>
      <c r="AM5234">
        <v>84.388089579126003</v>
      </c>
      <c r="AN5234">
        <v>1.0000000177485</v>
      </c>
    </row>
    <row r="5235" spans="1:40" x14ac:dyDescent="0.25">
      <c r="A5235" t="str">
        <f>"20190312154029185"</f>
        <v>20190312154029185</v>
      </c>
      <c r="B5235" t="str">
        <f>"1552376429181038"</f>
        <v>1552376429181038</v>
      </c>
      <c r="C5235" t="s">
        <v>40</v>
      </c>
      <c r="D5235">
        <v>4.0096530000000001</v>
      </c>
      <c r="E5235">
        <v>0.47459259999999898</v>
      </c>
      <c r="F5235" t="s">
        <v>55</v>
      </c>
      <c r="G5235">
        <v>-190.97659999999999</v>
      </c>
      <c r="H5235" s="1">
        <v>-9.8331400000000002E-6</v>
      </c>
      <c r="I5235">
        <v>145.69120000000001</v>
      </c>
      <c r="J5235">
        <v>-192.05430000000001</v>
      </c>
      <c r="K5235">
        <v>1.11016</v>
      </c>
      <c r="L5235">
        <v>191.1558</v>
      </c>
      <c r="M5235">
        <v>5.4136610000000002E-2</v>
      </c>
      <c r="N5235">
        <v>0</v>
      </c>
      <c r="O5235">
        <v>-0.998444</v>
      </c>
      <c r="P5235">
        <v>-4.4164109999999999E-2</v>
      </c>
      <c r="Q5235">
        <v>-2.2448940000000001E-2</v>
      </c>
      <c r="R5235">
        <v>-0.99877249999999995</v>
      </c>
      <c r="S5235">
        <v>7.1441649999999995E-2</v>
      </c>
      <c r="T5235">
        <v>-7.321358E-2</v>
      </c>
      <c r="U5235">
        <v>-3.0051269999999999</v>
      </c>
      <c r="V5235">
        <v>9.8174719999999993E-2</v>
      </c>
      <c r="W5235">
        <v>-9.1172409999999999E-3</v>
      </c>
      <c r="X5235">
        <v>0.9951274</v>
      </c>
      <c r="Y5235">
        <v>3.040149E-2</v>
      </c>
      <c r="Z5235">
        <v>2.4293039999999998E-2</v>
      </c>
      <c r="AA5235">
        <v>0.99924250000000003</v>
      </c>
      <c r="AB5235">
        <v>18</v>
      </c>
      <c r="AC5235">
        <v>1.0777000000000201</v>
      </c>
      <c r="AD5235">
        <v>-1.1101698331400001</v>
      </c>
      <c r="AE5235">
        <v>-45.464599999999898</v>
      </c>
      <c r="AF5235">
        <v>1.38457498862477</v>
      </c>
      <c r="AG5235">
        <v>-1.1101698331400001</v>
      </c>
      <c r="AH5235">
        <v>45.429192047170702</v>
      </c>
      <c r="AI5235">
        <v>91.399229912749703</v>
      </c>
      <c r="AJ5235">
        <v>88.254299704463193</v>
      </c>
      <c r="AK5235">
        <v>45.463842941575599</v>
      </c>
      <c r="AL5235">
        <v>90.522386682585903</v>
      </c>
      <c r="AM5235">
        <v>84.365692493423396</v>
      </c>
      <c r="AN5235">
        <v>0.99999997098064397</v>
      </c>
    </row>
    <row r="5236" spans="1:40" x14ac:dyDescent="0.25">
      <c r="A5236" t="str">
        <f>"20190312154029198"</f>
        <v>20190312154029198</v>
      </c>
      <c r="B5236" t="str">
        <f>"1552376429191773"</f>
        <v>1552376429191773</v>
      </c>
      <c r="C5236" t="s">
        <v>40</v>
      </c>
      <c r="D5236">
        <v>4.0408119999999998</v>
      </c>
      <c r="E5236">
        <v>0.47463149999999998</v>
      </c>
      <c r="F5236" t="s">
        <v>55</v>
      </c>
      <c r="G5236">
        <v>-190.99189999999999</v>
      </c>
      <c r="H5236" s="1">
        <v>-9.793718E-6</v>
      </c>
      <c r="I5236">
        <v>145.53139999999999</v>
      </c>
      <c r="J5236">
        <v>-192.0488</v>
      </c>
      <c r="K5236">
        <v>1.1101620000000001</v>
      </c>
      <c r="L5236">
        <v>191.05459999999999</v>
      </c>
      <c r="M5236">
        <v>5.4178039999999997E-2</v>
      </c>
      <c r="N5236">
        <v>0</v>
      </c>
      <c r="O5236">
        <v>-0.99844140000000003</v>
      </c>
      <c r="P5236">
        <v>-4.4338519999999999E-2</v>
      </c>
      <c r="Q5236">
        <v>-2.2136940000000001E-2</v>
      </c>
      <c r="R5236">
        <v>-0.99877110000000002</v>
      </c>
      <c r="S5236">
        <v>6.997681E-2</v>
      </c>
      <c r="T5236">
        <v>-7.3123930000000004E-2</v>
      </c>
      <c r="U5236">
        <v>-3.0051570000000001</v>
      </c>
      <c r="V5236">
        <v>9.8390169999999999E-2</v>
      </c>
      <c r="W5236">
        <v>-8.8063210000000006E-3</v>
      </c>
      <c r="X5236">
        <v>0.99510900000000002</v>
      </c>
      <c r="Y5236">
        <v>3.0930019999999999E-2</v>
      </c>
      <c r="Z5236">
        <v>2.426292E-2</v>
      </c>
      <c r="AA5236">
        <v>0.99922699999999998</v>
      </c>
      <c r="AB5236">
        <v>18</v>
      </c>
      <c r="AC5236">
        <v>1.0569000000000099</v>
      </c>
      <c r="AD5236">
        <v>-1.110171793718</v>
      </c>
      <c r="AE5236">
        <v>-45.523200000000003</v>
      </c>
      <c r="AF5236">
        <v>1.41039336453886</v>
      </c>
      <c r="AG5236">
        <v>-1.110171793718</v>
      </c>
      <c r="AH5236">
        <v>45.486556251429903</v>
      </c>
      <c r="AI5236">
        <v>91.3974457738681</v>
      </c>
      <c r="AJ5236">
        <v>88.224009214247999</v>
      </c>
      <c r="AK5236">
        <v>45.521956136229399</v>
      </c>
      <c r="AL5236">
        <v>90.504571523269306</v>
      </c>
      <c r="AM5236">
        <v>84.3533037718597</v>
      </c>
      <c r="AN5236">
        <v>1.0000000493615899</v>
      </c>
    </row>
    <row r="5237" spans="1:40" x14ac:dyDescent="0.25">
      <c r="A5237" t="str">
        <f>"20190312154029213"</f>
        <v>20190312154029213</v>
      </c>
      <c r="B5237" t="str">
        <f>"1552376429201533"</f>
        <v>1552376429201533</v>
      </c>
      <c r="C5237" t="s">
        <v>40</v>
      </c>
      <c r="D5237">
        <v>4.0284050000000002</v>
      </c>
      <c r="E5237">
        <v>0.47465990000000002</v>
      </c>
      <c r="F5237" t="s">
        <v>55</v>
      </c>
      <c r="G5237">
        <v>-190.9983</v>
      </c>
      <c r="H5237" s="1">
        <v>-9.7245070000000006E-6</v>
      </c>
      <c r="I5237">
        <v>145.2646</v>
      </c>
      <c r="J5237">
        <v>-192.04179999999999</v>
      </c>
      <c r="K5237">
        <v>1.1101669999999999</v>
      </c>
      <c r="L5237">
        <v>190.9271</v>
      </c>
      <c r="M5237">
        <v>5.4233120000000003E-2</v>
      </c>
      <c r="N5237">
        <v>0</v>
      </c>
      <c r="O5237">
        <v>-0.99843879999999996</v>
      </c>
      <c r="P5237">
        <v>-4.492703E-2</v>
      </c>
      <c r="Q5237">
        <v>-2.1247820000000001E-2</v>
      </c>
      <c r="R5237">
        <v>-0.9987644</v>
      </c>
      <c r="S5237">
        <v>6.8939210000000001E-2</v>
      </c>
      <c r="T5237">
        <v>-7.2859409999999999E-2</v>
      </c>
      <c r="U5237">
        <v>-3.0051420000000002</v>
      </c>
      <c r="V5237">
        <v>9.9032300000000004E-2</v>
      </c>
      <c r="W5237">
        <v>-7.9189559999999996E-3</v>
      </c>
      <c r="X5237">
        <v>0.99505270000000001</v>
      </c>
      <c r="Y5237">
        <v>3.1329790000000003E-2</v>
      </c>
      <c r="Z5237">
        <v>2.4175160000000001E-2</v>
      </c>
      <c r="AA5237">
        <v>0.99921669999999996</v>
      </c>
      <c r="AB5237">
        <v>18</v>
      </c>
      <c r="AC5237">
        <v>1.0434999999999901</v>
      </c>
      <c r="AD5237">
        <v>-1.110176724507</v>
      </c>
      <c r="AE5237">
        <v>-45.662500000000001</v>
      </c>
      <c r="AF5237">
        <v>1.4338300686326899</v>
      </c>
      <c r="AG5237">
        <v>-1.110176724507</v>
      </c>
      <c r="AH5237">
        <v>45.624928798334302</v>
      </c>
      <c r="AI5237">
        <v>91.393197194203296</v>
      </c>
      <c r="AJ5237">
        <v>88.199988811817207</v>
      </c>
      <c r="AK5237">
        <v>45.660951467073303</v>
      </c>
      <c r="AL5237">
        <v>90.453727503296705</v>
      </c>
      <c r="AM5237">
        <v>84.316372405989895</v>
      </c>
      <c r="AN5237">
        <v>0.99999999104235504</v>
      </c>
    </row>
    <row r="5238" spans="1:40" x14ac:dyDescent="0.25">
      <c r="A5238" t="str">
        <f>"20190312154029227"</f>
        <v>20190312154029227</v>
      </c>
      <c r="B5238" t="str">
        <f>"1552376429221053"</f>
        <v>1552376429221053</v>
      </c>
      <c r="C5238" t="s">
        <v>40</v>
      </c>
      <c r="D5238">
        <v>4.0172739999999996</v>
      </c>
      <c r="E5238">
        <v>0.4747362</v>
      </c>
      <c r="F5238" t="s">
        <v>55</v>
      </c>
      <c r="G5238">
        <v>-190.9828</v>
      </c>
      <c r="H5238" s="1">
        <v>-9.2633100000000006E-6</v>
      </c>
      <c r="I5238">
        <v>143.52619999999999</v>
      </c>
      <c r="J5238">
        <v>-192.03579999999999</v>
      </c>
      <c r="K5238">
        <v>1.110171</v>
      </c>
      <c r="L5238">
        <v>190.81729999999999</v>
      </c>
      <c r="M5238">
        <v>5.4281450000000002E-2</v>
      </c>
      <c r="N5238">
        <v>0</v>
      </c>
      <c r="O5238">
        <v>-0.9984362</v>
      </c>
      <c r="P5238">
        <v>-4.496124E-2</v>
      </c>
      <c r="Q5238">
        <v>-2.065521E-2</v>
      </c>
      <c r="R5238">
        <v>-0.99877539999999998</v>
      </c>
      <c r="S5238">
        <v>6.7138669999999998E-2</v>
      </c>
      <c r="T5238">
        <v>-7.0385219999999998E-2</v>
      </c>
      <c r="U5238">
        <v>-3.0052189999999999</v>
      </c>
      <c r="V5238">
        <v>9.9115220000000004E-2</v>
      </c>
      <c r="W5238">
        <v>-7.3273890000000001E-3</v>
      </c>
      <c r="X5238">
        <v>0.99504899999999996</v>
      </c>
      <c r="Y5238">
        <v>3.1976669999999999E-2</v>
      </c>
      <c r="Z5238">
        <v>2.3353909999999999E-2</v>
      </c>
      <c r="AA5238">
        <v>0.99921570000000004</v>
      </c>
      <c r="AB5238">
        <v>18</v>
      </c>
      <c r="AC5238">
        <v>1.0529999999999899</v>
      </c>
      <c r="AD5238">
        <v>-1.11018026331</v>
      </c>
      <c r="AE5238">
        <v>-47.2911</v>
      </c>
      <c r="AF5238">
        <v>1.5149771033300199</v>
      </c>
      <c r="AG5238">
        <v>-1.11018026331</v>
      </c>
      <c r="AH5238">
        <v>47.2525007521281</v>
      </c>
      <c r="AI5238">
        <v>91.345204870817994</v>
      </c>
      <c r="AJ5238">
        <v>88.163651255679596</v>
      </c>
      <c r="AK5238">
        <v>47.289813735840902</v>
      </c>
      <c r="AL5238">
        <v>90.419832215180904</v>
      </c>
      <c r="AM5238">
        <v>84.311623673760906</v>
      </c>
      <c r="AN5238">
        <v>1.0000000149331001</v>
      </c>
    </row>
    <row r="5239" spans="1:40" x14ac:dyDescent="0.25">
      <c r="A5239" t="str">
        <f>"20190312154029240"</f>
        <v>20190312154029240</v>
      </c>
      <c r="B5239" t="str">
        <f>"1552376429231789"</f>
        <v>1552376429231789</v>
      </c>
      <c r="C5239" t="s">
        <v>40</v>
      </c>
      <c r="D5239">
        <v>4.0511379999999999</v>
      </c>
      <c r="E5239">
        <v>0.4747362</v>
      </c>
      <c r="F5239" t="s">
        <v>55</v>
      </c>
      <c r="G5239">
        <v>-190.97110000000001</v>
      </c>
      <c r="H5239" s="1">
        <v>-9.0175979999999994E-6</v>
      </c>
      <c r="I5239">
        <v>142.60239999999999</v>
      </c>
      <c r="J5239">
        <v>-192.0301</v>
      </c>
      <c r="K5239">
        <v>1.110169</v>
      </c>
      <c r="L5239">
        <v>190.7133</v>
      </c>
      <c r="M5239">
        <v>5.4327519999999997E-2</v>
      </c>
      <c r="N5239">
        <v>0</v>
      </c>
      <c r="O5239">
        <v>-0.99843349999999997</v>
      </c>
      <c r="P5239">
        <v>-4.5316149999999999E-2</v>
      </c>
      <c r="Q5239">
        <v>-2.0232179999999999E-2</v>
      </c>
      <c r="R5239">
        <v>-0.99876799999999999</v>
      </c>
      <c r="S5239">
        <v>6.6360470000000005E-2</v>
      </c>
      <c r="T5239">
        <v>-6.9197770000000006E-2</v>
      </c>
      <c r="U5239">
        <v>-3.0052490000000001</v>
      </c>
      <c r="V5239">
        <v>9.9515080000000006E-2</v>
      </c>
      <c r="W5239">
        <v>-6.9058349999999999E-3</v>
      </c>
      <c r="X5239">
        <v>0.99501209999999995</v>
      </c>
      <c r="Y5239">
        <v>3.2281440000000002E-2</v>
      </c>
      <c r="Z5239">
        <v>2.2959759999999999E-2</v>
      </c>
      <c r="AA5239">
        <v>0.99921510000000002</v>
      </c>
      <c r="AB5239">
        <v>18</v>
      </c>
      <c r="AC5239">
        <v>1.0589999999999899</v>
      </c>
      <c r="AD5239">
        <v>-1.1101780175980001</v>
      </c>
      <c r="AE5239">
        <v>-48.110900000000001</v>
      </c>
      <c r="AF5239">
        <v>1.5557161972523601</v>
      </c>
      <c r="AG5239">
        <v>-1.1101780175980001</v>
      </c>
      <c r="AH5239">
        <v>48.071789054783203</v>
      </c>
      <c r="AI5239">
        <v>91.3222712536312</v>
      </c>
      <c r="AJ5239">
        <v>88.146420686716695</v>
      </c>
      <c r="AK5239">
        <v>48.109766690815803</v>
      </c>
      <c r="AL5239">
        <v>90.395678340451099</v>
      </c>
      <c r="AM5239">
        <v>84.288616095097893</v>
      </c>
      <c r="AN5239">
        <v>1.0000000104254301</v>
      </c>
    </row>
    <row r="5240" spans="1:40" x14ac:dyDescent="0.25">
      <c r="A5240" t="str">
        <f>"20190312154029254"</f>
        <v>20190312154029254</v>
      </c>
      <c r="B5240" t="str">
        <f>"1552376429241551"</f>
        <v>1552376429241551</v>
      </c>
      <c r="C5240" t="s">
        <v>40</v>
      </c>
      <c r="D5240">
        <v>4.0365729999999997</v>
      </c>
      <c r="E5240">
        <v>0.4744738</v>
      </c>
      <c r="F5240" t="s">
        <v>55</v>
      </c>
      <c r="G5240">
        <v>-190.95760000000001</v>
      </c>
      <c r="H5240" s="1">
        <v>-8.7210379999999905E-6</v>
      </c>
      <c r="I5240">
        <v>141.48689999999999</v>
      </c>
      <c r="J5240">
        <v>-192.02379999999999</v>
      </c>
      <c r="K5240">
        <v>1.1101719999999999</v>
      </c>
      <c r="L5240">
        <v>190.59880000000001</v>
      </c>
      <c r="M5240">
        <v>5.4378210000000003E-2</v>
      </c>
      <c r="N5240">
        <v>0</v>
      </c>
      <c r="O5240">
        <v>-0.99843090000000001</v>
      </c>
      <c r="P5240">
        <v>-4.5515880000000002E-2</v>
      </c>
      <c r="Q5240">
        <v>-1.9830730000000001E-2</v>
      </c>
      <c r="R5240">
        <v>-0.99876690000000001</v>
      </c>
      <c r="S5240">
        <v>6.5475459999999999E-2</v>
      </c>
      <c r="T5240">
        <v>-6.7776920000000004E-2</v>
      </c>
      <c r="U5240">
        <v>-3.0052949999999998</v>
      </c>
      <c r="V5240">
        <v>9.9764939999999996E-2</v>
      </c>
      <c r="W5240">
        <v>-6.505823E-3</v>
      </c>
      <c r="X5240">
        <v>0.99498980000000004</v>
      </c>
      <c r="Y5240">
        <v>3.2626380000000003E-2</v>
      </c>
      <c r="Z5240">
        <v>2.2488069999999999E-2</v>
      </c>
      <c r="AA5240">
        <v>0.99921459999999995</v>
      </c>
      <c r="AB5240">
        <v>18</v>
      </c>
      <c r="AC5240">
        <v>1.0661999999999801</v>
      </c>
      <c r="AD5240">
        <v>-1.1101807210379999</v>
      </c>
      <c r="AE5240">
        <v>-49.111899999999999</v>
      </c>
      <c r="AF5240">
        <v>1.60541378148698</v>
      </c>
      <c r="AG5240">
        <v>-1.1101807210379999</v>
      </c>
      <c r="AH5240">
        <v>49.072141133152698</v>
      </c>
      <c r="AI5240">
        <v>91.2953138836844</v>
      </c>
      <c r="AJ5240">
        <v>88.1262150686468</v>
      </c>
      <c r="AK5240">
        <v>49.110944707215801</v>
      </c>
      <c r="AL5240">
        <v>90.372758816489096</v>
      </c>
      <c r="AM5240">
        <v>84.274243781654206</v>
      </c>
      <c r="AN5240">
        <v>1.00000003554507</v>
      </c>
    </row>
    <row r="5241" spans="1:40" x14ac:dyDescent="0.25">
      <c r="A5241" t="str">
        <f>"20190312154029272"</f>
        <v>20190312154029272</v>
      </c>
      <c r="B5241" t="str">
        <f>"1552376429261069"</f>
        <v>1552376429261069</v>
      </c>
      <c r="C5241" t="s">
        <v>40</v>
      </c>
      <c r="D5241">
        <v>4.0363009999999999</v>
      </c>
      <c r="E5241">
        <v>0.47409390000000001</v>
      </c>
      <c r="F5241" t="s">
        <v>55</v>
      </c>
      <c r="G5241">
        <v>-190.8612</v>
      </c>
      <c r="H5241" s="1">
        <v>-7.7341409999999999E-6</v>
      </c>
      <c r="I5241">
        <v>138.22210000000001</v>
      </c>
      <c r="J5241">
        <v>-192.01580000000001</v>
      </c>
      <c r="K5241">
        <v>1.1101749999999999</v>
      </c>
      <c r="L5241">
        <v>190.45339999999999</v>
      </c>
      <c r="M5241">
        <v>5.4441040000000003E-2</v>
      </c>
      <c r="N5241">
        <v>0</v>
      </c>
      <c r="O5241">
        <v>-0.99842759999999997</v>
      </c>
      <c r="P5241">
        <v>-4.5848260000000002E-2</v>
      </c>
      <c r="Q5241">
        <v>-1.9596880000000001E-2</v>
      </c>
      <c r="R5241">
        <v>-0.99875630000000004</v>
      </c>
      <c r="S5241">
        <v>6.6711430000000002E-2</v>
      </c>
      <c r="T5241">
        <v>-6.3704250000000004E-2</v>
      </c>
      <c r="U5241">
        <v>-3.0054780000000001</v>
      </c>
      <c r="V5241">
        <v>0.1001589</v>
      </c>
      <c r="W5241">
        <v>-6.274071E-3</v>
      </c>
      <c r="X5241">
        <v>0.99495169999999999</v>
      </c>
      <c r="Y5241">
        <v>3.2279229999999999E-2</v>
      </c>
      <c r="Z5241">
        <v>2.113603E-2</v>
      </c>
      <c r="AA5241">
        <v>0.99925540000000002</v>
      </c>
      <c r="AB5241">
        <v>18</v>
      </c>
      <c r="AC5241">
        <v>1.1546000000000101</v>
      </c>
      <c r="AD5241">
        <v>-1.110182734141</v>
      </c>
      <c r="AE5241">
        <v>-52.231299999999898</v>
      </c>
      <c r="AF5241">
        <v>1.69012951087123</v>
      </c>
      <c r="AG5241">
        <v>-1.110182734141</v>
      </c>
      <c r="AH5241">
        <v>52.193121388980302</v>
      </c>
      <c r="AI5241">
        <v>91.2178977591294</v>
      </c>
      <c r="AJ5241">
        <v>88.145283164356997</v>
      </c>
      <c r="AK5241">
        <v>52.232278945031098</v>
      </c>
      <c r="AL5241">
        <v>90.359480137314307</v>
      </c>
      <c r="AM5241">
        <v>84.251565918588</v>
      </c>
      <c r="AN5241">
        <v>1.0000000272745</v>
      </c>
    </row>
    <row r="5242" spans="1:40" x14ac:dyDescent="0.25">
      <c r="A5242" t="str">
        <f>"20190312154029293"</f>
        <v>20190312154029293</v>
      </c>
      <c r="B5242" t="str">
        <f>"1552376429281019"</f>
        <v>1552376429281019</v>
      </c>
      <c r="C5242" t="s">
        <v>40</v>
      </c>
      <c r="D5242">
        <v>4.0338760000000002</v>
      </c>
      <c r="E5242">
        <v>0.47376180000000001</v>
      </c>
      <c r="F5242" t="s">
        <v>55</v>
      </c>
      <c r="G5242">
        <v>-190.76320000000001</v>
      </c>
      <c r="H5242" s="1">
        <v>-6.9319289999999998E-6</v>
      </c>
      <c r="I5242">
        <v>135.75829999999999</v>
      </c>
      <c r="J5242">
        <v>-192.00649999999999</v>
      </c>
      <c r="K5242">
        <v>1.1101840000000001</v>
      </c>
      <c r="L5242">
        <v>190.28319999999999</v>
      </c>
      <c r="M5242">
        <v>5.4511480000000001E-2</v>
      </c>
      <c r="N5242">
        <v>0</v>
      </c>
      <c r="O5242">
        <v>-0.99842350000000002</v>
      </c>
      <c r="P5242">
        <v>-4.5602839999999999E-2</v>
      </c>
      <c r="Q5242">
        <v>-1.9451929999999999E-2</v>
      </c>
      <c r="R5242">
        <v>-0.99877020000000005</v>
      </c>
      <c r="S5242">
        <v>6.8832400000000002E-2</v>
      </c>
      <c r="T5242">
        <v>-6.1008449999999999E-2</v>
      </c>
      <c r="U5242">
        <v>-3.0056919999999998</v>
      </c>
      <c r="V5242">
        <v>9.9984749999999997E-2</v>
      </c>
      <c r="W5242">
        <v>-6.1311859999999899E-3</v>
      </c>
      <c r="X5242">
        <v>0.99497009999999997</v>
      </c>
      <c r="Y5242">
        <v>3.1646130000000001E-2</v>
      </c>
      <c r="Z5242">
        <v>2.024047E-2</v>
      </c>
      <c r="AA5242">
        <v>0.99929420000000002</v>
      </c>
      <c r="AB5242">
        <v>18</v>
      </c>
      <c r="AC5242">
        <v>1.2432999999999701</v>
      </c>
      <c r="AD5242">
        <v>-1.110190931929</v>
      </c>
      <c r="AE5242">
        <v>-54.524900000000002</v>
      </c>
      <c r="AF5242">
        <v>1.7303310221599799</v>
      </c>
      <c r="AG5242">
        <v>-1.110190931929</v>
      </c>
      <c r="AH5242">
        <v>54.4890168100872</v>
      </c>
      <c r="AI5242">
        <v>91.166628139864997</v>
      </c>
      <c r="AJ5242">
        <v>88.181149787328593</v>
      </c>
      <c r="AK5242">
        <v>54.527786698907498</v>
      </c>
      <c r="AL5242">
        <v>90.351293274868496</v>
      </c>
      <c r="AM5242">
        <v>84.261599583744797</v>
      </c>
      <c r="AN5242">
        <v>1.0000000207841599</v>
      </c>
    </row>
    <row r="5243" spans="1:40" x14ac:dyDescent="0.25">
      <c r="A5243" t="str">
        <f>"20190312154029308"</f>
        <v>20190312154029308</v>
      </c>
      <c r="B5243" t="str">
        <f>"1552376429301517"</f>
        <v>1552376429301517</v>
      </c>
      <c r="C5243" t="s">
        <v>40</v>
      </c>
      <c r="D5243">
        <v>3.963552</v>
      </c>
      <c r="E5243">
        <v>0.47343809999999897</v>
      </c>
      <c r="F5243" t="s">
        <v>55</v>
      </c>
      <c r="G5243">
        <v>-190.62309999999999</v>
      </c>
      <c r="H5243" s="1">
        <v>-5.93115E-6</v>
      </c>
      <c r="I5243">
        <v>132.6926</v>
      </c>
      <c r="J5243">
        <v>-191.99979999999999</v>
      </c>
      <c r="K5243">
        <v>1.1101810000000001</v>
      </c>
      <c r="L5243">
        <v>190.16159999999999</v>
      </c>
      <c r="M5243">
        <v>5.4558040000000002E-2</v>
      </c>
      <c r="N5243">
        <v>0</v>
      </c>
      <c r="O5243">
        <v>-0.99842089999999994</v>
      </c>
      <c r="P5243">
        <v>-4.5601059999999999E-2</v>
      </c>
      <c r="Q5243">
        <v>-1.9002060000000001E-2</v>
      </c>
      <c r="R5243">
        <v>-0.99877879999999997</v>
      </c>
      <c r="S5243">
        <v>7.2204589999999999E-2</v>
      </c>
      <c r="T5243">
        <v>-5.794477E-2</v>
      </c>
      <c r="U5243">
        <v>-3.0058590000000001</v>
      </c>
      <c r="V5243">
        <v>0.1000298</v>
      </c>
      <c r="W5243">
        <v>-5.6833319999999897E-3</v>
      </c>
      <c r="X5243">
        <v>0.99496819999999997</v>
      </c>
      <c r="Y5243">
        <v>3.0573059999999999E-2</v>
      </c>
      <c r="Z5243">
        <v>1.9223359999999998E-2</v>
      </c>
      <c r="AA5243">
        <v>0.99934769999999995</v>
      </c>
      <c r="AB5243">
        <v>18</v>
      </c>
      <c r="AC5243">
        <v>1.37669999999999</v>
      </c>
      <c r="AD5243">
        <v>-1.1101869311499999</v>
      </c>
      <c r="AE5243">
        <v>-57.469000000000001</v>
      </c>
      <c r="AF5243">
        <v>1.7603711098830599</v>
      </c>
      <c r="AG5243">
        <v>-1.1101869311499999</v>
      </c>
      <c r="AH5243">
        <v>57.437084760589698</v>
      </c>
      <c r="AI5243">
        <v>91.106798213649995</v>
      </c>
      <c r="AJ5243">
        <v>88.244509241162007</v>
      </c>
      <c r="AK5243">
        <v>57.474778183667397</v>
      </c>
      <c r="AL5243">
        <v>90.325632693421198</v>
      </c>
      <c r="AM5243">
        <v>84.259020417287203</v>
      </c>
      <c r="AN5243">
        <v>0.99999999008095097</v>
      </c>
    </row>
    <row r="5244" spans="1:40" x14ac:dyDescent="0.25">
      <c r="A5244" t="str">
        <f>"20190312154029321"</f>
        <v>20190312154029321</v>
      </c>
      <c r="B5244" t="str">
        <f>"1552376429311276"</f>
        <v>1552376429311276</v>
      </c>
      <c r="C5244" t="s">
        <v>40</v>
      </c>
      <c r="D5244">
        <v>4.0332339999999904</v>
      </c>
      <c r="E5244">
        <v>0.4732867</v>
      </c>
      <c r="F5244" t="s">
        <v>55</v>
      </c>
      <c r="G5244">
        <v>-190.4616</v>
      </c>
      <c r="H5244" s="1">
        <v>-4.4648760000000004E-6</v>
      </c>
      <c r="I5244">
        <v>128.43549999999999</v>
      </c>
      <c r="J5244">
        <v>-191.994</v>
      </c>
      <c r="K5244">
        <v>1.110179</v>
      </c>
      <c r="L5244">
        <v>190.05770000000001</v>
      </c>
      <c r="M5244">
        <v>5.4595409999999997E-2</v>
      </c>
      <c r="N5244">
        <v>0</v>
      </c>
      <c r="O5244">
        <v>-0.99841919999999995</v>
      </c>
      <c r="P5244">
        <v>-4.5593950000000001E-2</v>
      </c>
      <c r="Q5244">
        <v>-1.8538389999999998E-2</v>
      </c>
      <c r="R5244">
        <v>-0.99878820000000001</v>
      </c>
      <c r="S5244">
        <v>7.4905399999999997E-2</v>
      </c>
      <c r="T5244">
        <v>-5.4065469999999997E-2</v>
      </c>
      <c r="U5244">
        <v>-3.006027</v>
      </c>
      <c r="V5244">
        <v>0.1000603</v>
      </c>
      <c r="W5244">
        <v>-5.2215569999999999E-3</v>
      </c>
      <c r="X5244">
        <v>0.99496770000000001</v>
      </c>
      <c r="Y5244">
        <v>2.971385E-2</v>
      </c>
      <c r="Z5244">
        <v>1.7935799999999998E-2</v>
      </c>
      <c r="AA5244">
        <v>0.99939750000000005</v>
      </c>
      <c r="AB5244">
        <v>18</v>
      </c>
      <c r="AC5244">
        <v>1.53240000000002</v>
      </c>
      <c r="AD5244">
        <v>-1.1101834648760001</v>
      </c>
      <c r="AE5244">
        <v>-61.622199999999999</v>
      </c>
      <c r="AF5244">
        <v>1.8338805093427799</v>
      </c>
      <c r="AG5244">
        <v>-1.1101834648760001</v>
      </c>
      <c r="AH5244">
        <v>61.593967635550001</v>
      </c>
      <c r="AI5244">
        <v>91.032142864959297</v>
      </c>
      <c r="AJ5244">
        <v>88.294596280584798</v>
      </c>
      <c r="AK5244">
        <v>61.631262149475802</v>
      </c>
      <c r="AL5244">
        <v>90.299174530250298</v>
      </c>
      <c r="AM5244">
        <v>84.257278771704406</v>
      </c>
      <c r="AN5244">
        <v>1.0000000261684401</v>
      </c>
    </row>
    <row r="5245" spans="1:40" x14ac:dyDescent="0.25">
      <c r="A5245" t="str">
        <f>"20190312154029338"</f>
        <v>20190312154029338</v>
      </c>
      <c r="B5245" t="str">
        <f>"1552376429331772"</f>
        <v>1552376429331772</v>
      </c>
      <c r="C5245" t="s">
        <v>40</v>
      </c>
      <c r="D5245">
        <v>4.0373429999999999</v>
      </c>
      <c r="E5245">
        <v>0.4730028</v>
      </c>
      <c r="F5245" t="s">
        <v>55</v>
      </c>
      <c r="G5245">
        <v>-190.3587</v>
      </c>
      <c r="H5245" s="1">
        <v>-3.2649510000000002E-6</v>
      </c>
      <c r="I5245">
        <v>125.6469</v>
      </c>
      <c r="J5245">
        <v>-191.9863</v>
      </c>
      <c r="K5245">
        <v>1.110182</v>
      </c>
      <c r="L5245">
        <v>189.9169</v>
      </c>
      <c r="M5245">
        <v>5.4640630000000003E-2</v>
      </c>
      <c r="N5245">
        <v>0</v>
      </c>
      <c r="O5245">
        <v>-0.99841659999999999</v>
      </c>
      <c r="P5245">
        <v>-4.5225349999999997E-2</v>
      </c>
      <c r="Q5245">
        <v>-1.7598260000000001E-2</v>
      </c>
      <c r="R5245">
        <v>-0.99882190000000004</v>
      </c>
      <c r="S5245">
        <v>7.6324459999999997E-2</v>
      </c>
      <c r="T5245">
        <v>-5.1814199999999901E-2</v>
      </c>
      <c r="U5245">
        <v>-3.0061650000000002</v>
      </c>
      <c r="V5245">
        <v>9.9739069999999999E-2</v>
      </c>
      <c r="W5245">
        <v>-4.2837719999999999E-3</v>
      </c>
      <c r="X5245">
        <v>0.99500440000000001</v>
      </c>
      <c r="Y5245">
        <v>2.9288439999999999E-2</v>
      </c>
      <c r="Z5245">
        <v>1.718834E-2</v>
      </c>
      <c r="AA5245">
        <v>0.99942319999999996</v>
      </c>
      <c r="AB5245">
        <v>18</v>
      </c>
      <c r="AC5245">
        <v>1.6275999999999999</v>
      </c>
      <c r="AD5245">
        <v>-1.110185264951</v>
      </c>
      <c r="AE5245">
        <v>-64.27</v>
      </c>
      <c r="AF5245">
        <v>1.8863365382858801</v>
      </c>
      <c r="AG5245">
        <v>-1.110185264951</v>
      </c>
      <c r="AH5245">
        <v>64.243752970353995</v>
      </c>
      <c r="AI5245">
        <v>90.989593581376297</v>
      </c>
      <c r="AJ5245">
        <v>88.318154314509499</v>
      </c>
      <c r="AK5245">
        <v>64.281028092074393</v>
      </c>
      <c r="AL5245">
        <v>90.245442808048494</v>
      </c>
      <c r="AM5245">
        <v>84.275802099578598</v>
      </c>
      <c r="AN5245">
        <v>0.99999999440318599</v>
      </c>
    </row>
    <row r="5246" spans="1:40" x14ac:dyDescent="0.25">
      <c r="A5246" t="str">
        <f>"20190312154029350"</f>
        <v>20190312154029350</v>
      </c>
      <c r="B5246" t="str">
        <f>"1552376429341531"</f>
        <v>1552376429341531</v>
      </c>
      <c r="C5246" t="s">
        <v>40</v>
      </c>
      <c r="D5246">
        <v>4.0214509999999999</v>
      </c>
      <c r="E5246">
        <v>0.47287489999999999</v>
      </c>
      <c r="F5246" t="s">
        <v>42</v>
      </c>
      <c r="G5246">
        <v>-190.11070000000001</v>
      </c>
      <c r="H5246" s="1">
        <v>-4.0794549999999999E-6</v>
      </c>
      <c r="I5246">
        <v>119.02979999999999</v>
      </c>
      <c r="J5246">
        <v>-191.98050000000001</v>
      </c>
      <c r="K5246">
        <v>1.1101799999999999</v>
      </c>
      <c r="L5246">
        <v>189.81270000000001</v>
      </c>
      <c r="M5246">
        <v>5.4668420000000002E-2</v>
      </c>
      <c r="N5246">
        <v>0</v>
      </c>
      <c r="O5246">
        <v>-0.99841519999999995</v>
      </c>
      <c r="P5246">
        <v>-4.5344780000000001E-2</v>
      </c>
      <c r="Q5246">
        <v>-1.737646E-2</v>
      </c>
      <c r="R5246">
        <v>-0.99882040000000005</v>
      </c>
      <c r="S5246">
        <v>7.9544069999999995E-2</v>
      </c>
      <c r="T5246">
        <v>-4.7083140000000002E-2</v>
      </c>
      <c r="U5246">
        <v>-3.006332</v>
      </c>
      <c r="V5246">
        <v>9.9885870000000002E-2</v>
      </c>
      <c r="W5246">
        <v>-4.0644490000000004E-3</v>
      </c>
      <c r="X5246">
        <v>0.99499059999999995</v>
      </c>
      <c r="Y5246">
        <v>2.8247379999999999E-2</v>
      </c>
      <c r="Z5246">
        <v>1.5618419999999999E-2</v>
      </c>
      <c r="AA5246">
        <v>0.99947889999999995</v>
      </c>
      <c r="AB5246">
        <v>18</v>
      </c>
      <c r="AC5246">
        <v>1.8697999999999899</v>
      </c>
      <c r="AD5246">
        <v>-1.110184079455</v>
      </c>
      <c r="AE5246">
        <v>-70.782899999999998</v>
      </c>
      <c r="AF5246">
        <v>2.00243903240314</v>
      </c>
      <c r="AG5246">
        <v>-1.110184079455</v>
      </c>
      <c r="AH5246">
        <v>70.761862706167094</v>
      </c>
      <c r="AI5246">
        <v>90.898481107759494</v>
      </c>
      <c r="AJ5246">
        <v>88.379060552122695</v>
      </c>
      <c r="AK5246">
        <v>70.798894655320794</v>
      </c>
      <c r="AL5246">
        <v>90.232876414825597</v>
      </c>
      <c r="AM5246">
        <v>84.267354088009299</v>
      </c>
      <c r="AN5246">
        <v>1.0000000004298399</v>
      </c>
    </row>
    <row r="5247" spans="1:40" x14ac:dyDescent="0.25">
      <c r="A5247" t="str">
        <f>"20190312154029363"</f>
        <v>20190312154029363</v>
      </c>
      <c r="B5247" t="str">
        <f>"1552376429351292"</f>
        <v>1552376429351292</v>
      </c>
      <c r="C5247" t="s">
        <v>40</v>
      </c>
      <c r="D5247">
        <v>4.0166139999999997</v>
      </c>
      <c r="E5247">
        <v>0.47273749999999998</v>
      </c>
      <c r="F5247" t="s">
        <v>42</v>
      </c>
      <c r="G5247">
        <v>-190.03049999999999</v>
      </c>
      <c r="H5247" s="1">
        <v>-3.0817769999999999E-6</v>
      </c>
      <c r="I5247">
        <v>116.7539</v>
      </c>
      <c r="J5247">
        <v>-191.97499999999999</v>
      </c>
      <c r="K5247">
        <v>1.1101760000000001</v>
      </c>
      <c r="L5247">
        <v>189.7124</v>
      </c>
      <c r="M5247">
        <v>5.4692030000000003E-2</v>
      </c>
      <c r="N5247">
        <v>0</v>
      </c>
      <c r="O5247">
        <v>-0.99841369999999896</v>
      </c>
      <c r="P5247">
        <v>-4.5055079999999997E-2</v>
      </c>
      <c r="Q5247">
        <v>-1.7095229999999999E-2</v>
      </c>
      <c r="R5247">
        <v>-0.99883820000000001</v>
      </c>
      <c r="S5247">
        <v>8.024597E-2</v>
      </c>
      <c r="T5247">
        <v>-4.5684580000000002E-2</v>
      </c>
      <c r="U5247">
        <v>-3.0064090000000001</v>
      </c>
      <c r="V5247">
        <v>9.9621050000000003E-2</v>
      </c>
      <c r="W5247">
        <v>-3.785138E-3</v>
      </c>
      <c r="X5247">
        <v>0.99501819999999996</v>
      </c>
      <c r="Y5247">
        <v>2.8038319999999999E-2</v>
      </c>
      <c r="Z5247">
        <v>1.515419E-2</v>
      </c>
      <c r="AA5247">
        <v>0.99949200000000005</v>
      </c>
      <c r="AB5247">
        <v>18</v>
      </c>
      <c r="AC5247">
        <v>1.9444999999999999</v>
      </c>
      <c r="AD5247">
        <v>-1.1101790817770001</v>
      </c>
      <c r="AE5247">
        <v>-72.958500000000001</v>
      </c>
      <c r="AF5247">
        <v>2.04854229665942</v>
      </c>
      <c r="AG5247">
        <v>-1.1101790817770001</v>
      </c>
      <c r="AH5247">
        <v>72.938762925030105</v>
      </c>
      <c r="AI5247">
        <v>90.871670906110396</v>
      </c>
      <c r="AJ5247">
        <v>88.391226064482893</v>
      </c>
      <c r="AK5247">
        <v>72.975969744625999</v>
      </c>
      <c r="AL5247">
        <v>90.216872961072895</v>
      </c>
      <c r="AM5247">
        <v>84.282609340473996</v>
      </c>
      <c r="AN5247">
        <v>0.999999949602009</v>
      </c>
    </row>
    <row r="5248" spans="1:40" x14ac:dyDescent="0.25">
      <c r="A5248" t="str">
        <f>"20190312154029375"</f>
        <v>20190312154029375</v>
      </c>
      <c r="B5248" t="str">
        <f>"1552376429371318"</f>
        <v>1552376429371318</v>
      </c>
      <c r="C5248" t="s">
        <v>40</v>
      </c>
      <c r="D5248">
        <v>4.0322050000000003</v>
      </c>
      <c r="E5248">
        <v>0.47249790000000003</v>
      </c>
      <c r="F5248" t="s">
        <v>42</v>
      </c>
      <c r="G5248">
        <v>-189.91460000000001</v>
      </c>
      <c r="H5248" s="1">
        <v>-1.9726450000000002E-6</v>
      </c>
      <c r="I5248">
        <v>114.1957</v>
      </c>
      <c r="J5248">
        <v>-191.96950000000001</v>
      </c>
      <c r="K5248">
        <v>1.110168</v>
      </c>
      <c r="L5248">
        <v>189.6122</v>
      </c>
      <c r="M5248">
        <v>5.4712259999999999E-2</v>
      </c>
      <c r="N5248">
        <v>0</v>
      </c>
      <c r="O5248">
        <v>-0.99841250000000004</v>
      </c>
      <c r="P5248">
        <v>-4.5123959999999998E-2</v>
      </c>
      <c r="Q5248">
        <v>-1.6945470000000001E-2</v>
      </c>
      <c r="R5248">
        <v>-0.99883759999999999</v>
      </c>
      <c r="S5248">
        <v>8.203125E-2</v>
      </c>
      <c r="T5248">
        <v>-4.4197920000000002E-2</v>
      </c>
      <c r="U5248">
        <v>-3.0064389999999999</v>
      </c>
      <c r="V5248">
        <v>9.9709919999999994E-2</v>
      </c>
      <c r="W5248">
        <v>-3.637857E-3</v>
      </c>
      <c r="X5248">
        <v>0.9950099</v>
      </c>
      <c r="Y5248">
        <v>2.746556E-2</v>
      </c>
      <c r="Z5248">
        <v>1.4660970000000001E-2</v>
      </c>
      <c r="AA5248">
        <v>0.99951520000000005</v>
      </c>
      <c r="AB5248">
        <v>18</v>
      </c>
      <c r="AC5248">
        <v>2.0548999999999999</v>
      </c>
      <c r="AD5248">
        <v>-1.1101699726450001</v>
      </c>
      <c r="AE5248">
        <v>-75.416499999999999</v>
      </c>
      <c r="AF5248">
        <v>2.0743059037146101</v>
      </c>
      <c r="AG5248">
        <v>-1.1101699726450001</v>
      </c>
      <c r="AH5248">
        <v>75.399629885869501</v>
      </c>
      <c r="AI5248">
        <v>90.843232337619</v>
      </c>
      <c r="AJ5248">
        <v>88.424143406845801</v>
      </c>
      <c r="AK5248">
        <v>75.436326854350796</v>
      </c>
      <c r="AL5248">
        <v>90.208434311971999</v>
      </c>
      <c r="AM5248">
        <v>84.277495385240897</v>
      </c>
      <c r="AN5248">
        <v>1.0000000016239801</v>
      </c>
    </row>
    <row r="5249" spans="1:40" x14ac:dyDescent="0.25">
      <c r="A5249" t="str">
        <f>"20190312154029389"</f>
        <v>20190312154029389</v>
      </c>
      <c r="B5249" t="str">
        <f>"1552376429381079"</f>
        <v>1552376429381079</v>
      </c>
      <c r="C5249" t="s">
        <v>40</v>
      </c>
      <c r="D5249">
        <v>4.0307700000000004</v>
      </c>
      <c r="E5249">
        <v>0.4723791</v>
      </c>
      <c r="F5249" t="s">
        <v>42</v>
      </c>
      <c r="G5249">
        <v>-189.7533</v>
      </c>
      <c r="H5249" s="1">
        <v>-2.633823E-7</v>
      </c>
      <c r="I5249">
        <v>110.1447</v>
      </c>
      <c r="J5249">
        <v>-191.96350000000001</v>
      </c>
      <c r="K5249">
        <v>1.110163</v>
      </c>
      <c r="L5249">
        <v>189.50360000000001</v>
      </c>
      <c r="M5249">
        <v>5.4726329999999997E-2</v>
      </c>
      <c r="N5249">
        <v>0</v>
      </c>
      <c r="O5249">
        <v>-0.99841179999999996</v>
      </c>
      <c r="P5249">
        <v>-4.5100960000000002E-2</v>
      </c>
      <c r="Q5249">
        <v>-1.6552620000000001E-2</v>
      </c>
      <c r="R5249">
        <v>-0.99884530000000005</v>
      </c>
      <c r="S5249">
        <v>8.3847050000000006E-2</v>
      </c>
      <c r="T5249">
        <v>-4.2001959999999998E-2</v>
      </c>
      <c r="U5249">
        <v>-3.006561</v>
      </c>
      <c r="V5249">
        <v>9.9701339999999999E-2</v>
      </c>
      <c r="W5249">
        <v>-3.247635E-3</v>
      </c>
      <c r="X5249">
        <v>0.99501209999999995</v>
      </c>
      <c r="Y5249">
        <v>2.6877270000000002E-2</v>
      </c>
      <c r="Z5249">
        <v>1.3932109999999999E-2</v>
      </c>
      <c r="AA5249">
        <v>0.99954160000000003</v>
      </c>
      <c r="AB5249">
        <v>18</v>
      </c>
      <c r="AC5249">
        <v>2.2102000000000102</v>
      </c>
      <c r="AD5249">
        <v>-1.1101632633823</v>
      </c>
      <c r="AE5249">
        <v>-79.358900000000006</v>
      </c>
      <c r="AF5249">
        <v>2.1361050131783199</v>
      </c>
      <c r="AG5249">
        <v>-1.1101632633823</v>
      </c>
      <c r="AH5249">
        <v>79.345402176152504</v>
      </c>
      <c r="AI5249">
        <v>90.801312793445504</v>
      </c>
      <c r="AJ5249">
        <v>88.457878552557005</v>
      </c>
      <c r="AK5249">
        <v>79.381913894753595</v>
      </c>
      <c r="AL5249">
        <v>90.186076107532102</v>
      </c>
      <c r="AM5249">
        <v>84.277997104382806</v>
      </c>
      <c r="AN5249">
        <v>0.99999999173864895</v>
      </c>
    </row>
    <row r="5250" spans="1:40" x14ac:dyDescent="0.25">
      <c r="A5250" t="str">
        <f>"20190312154029404"</f>
        <v>20190312154029404</v>
      </c>
      <c r="B5250" t="str">
        <f>"1552376429391815"</f>
        <v>1552376429391815</v>
      </c>
      <c r="C5250" t="s">
        <v>40</v>
      </c>
      <c r="D5250">
        <v>4.0174379999999896</v>
      </c>
      <c r="E5250">
        <v>0.47224129999999997</v>
      </c>
      <c r="F5250" t="s">
        <v>42</v>
      </c>
      <c r="G5250">
        <v>-189.61420000000001</v>
      </c>
      <c r="H5250" s="1">
        <v>-2.9295749999999998E-6</v>
      </c>
      <c r="I5250">
        <v>106.3021</v>
      </c>
      <c r="J5250">
        <v>-191.9571</v>
      </c>
      <c r="K5250">
        <v>1.110163</v>
      </c>
      <c r="L5250">
        <v>189.3853</v>
      </c>
      <c r="M5250">
        <v>5.4736529999999999E-2</v>
      </c>
      <c r="N5250">
        <v>0</v>
      </c>
      <c r="O5250">
        <v>-0.99841159999999995</v>
      </c>
      <c r="P5250">
        <v>-4.4978549999999999E-2</v>
      </c>
      <c r="Q5250">
        <v>-1.6469040000000001E-2</v>
      </c>
      <c r="R5250">
        <v>-0.99885250000000003</v>
      </c>
      <c r="S5250">
        <v>8.4899899999999903E-2</v>
      </c>
      <c r="T5250">
        <v>-4.0118099999999997E-2</v>
      </c>
      <c r="U5250">
        <v>-3.006653</v>
      </c>
      <c r="V5250">
        <v>9.9589559999999994E-2</v>
      </c>
      <c r="W5250">
        <v>-3.1667650000000002E-3</v>
      </c>
      <c r="X5250">
        <v>0.99502349999999995</v>
      </c>
      <c r="Y5250">
        <v>2.6538320000000001E-2</v>
      </c>
      <c r="Z5250">
        <v>1.330692E-2</v>
      </c>
      <c r="AA5250">
        <v>0.99955919999999998</v>
      </c>
      <c r="AB5250">
        <v>18</v>
      </c>
      <c r="AC5250">
        <v>2.3428999999999802</v>
      </c>
      <c r="AD5250">
        <v>-1.1101659295749999</v>
      </c>
      <c r="AE5250">
        <v>-83.083200000000005</v>
      </c>
      <c r="AF5250">
        <v>2.2083103531315298</v>
      </c>
      <c r="AG5250">
        <v>-1.1101659295749999</v>
      </c>
      <c r="AH5250">
        <v>83.072055414117401</v>
      </c>
      <c r="AI5250">
        <v>90.765378647914602</v>
      </c>
      <c r="AJ5250">
        <v>88.477260839654605</v>
      </c>
      <c r="AK5250">
        <v>83.108817184057699</v>
      </c>
      <c r="AL5250">
        <v>90.181442583867096</v>
      </c>
      <c r="AM5250">
        <v>84.284434870313802</v>
      </c>
      <c r="AN5250">
        <v>0.99999993720690195</v>
      </c>
    </row>
    <row r="5251" spans="1:40" x14ac:dyDescent="0.25">
      <c r="A5251" t="str">
        <f>"20190312154029416"</f>
        <v>20190312154029416</v>
      </c>
      <c r="B5251" t="str">
        <f>"1552376429411334"</f>
        <v>1552376429411334</v>
      </c>
      <c r="C5251" t="s">
        <v>40</v>
      </c>
      <c r="D5251">
        <v>4.0615629999999996</v>
      </c>
      <c r="E5251">
        <v>0.4719583</v>
      </c>
      <c r="F5251" t="s">
        <v>42</v>
      </c>
      <c r="G5251">
        <v>-189.50739999999999</v>
      </c>
      <c r="H5251" s="1">
        <v>-1.902184E-6</v>
      </c>
      <c r="I5251">
        <v>103.8631</v>
      </c>
      <c r="J5251">
        <v>-191.95150000000001</v>
      </c>
      <c r="K5251">
        <v>1.110158</v>
      </c>
      <c r="L5251">
        <v>189.2842</v>
      </c>
      <c r="M5251">
        <v>5.4741030000000003E-2</v>
      </c>
      <c r="N5251">
        <v>0</v>
      </c>
      <c r="O5251">
        <v>-0.99841139999999995</v>
      </c>
      <c r="P5251">
        <v>-4.5233889999999999E-2</v>
      </c>
      <c r="Q5251">
        <v>-1.6242989999999999E-2</v>
      </c>
      <c r="R5251">
        <v>-0.99884459999999997</v>
      </c>
      <c r="S5251">
        <v>8.612061E-2</v>
      </c>
      <c r="T5251">
        <v>-3.9030189999999999E-2</v>
      </c>
      <c r="U5251">
        <v>-3.0067140000000001</v>
      </c>
      <c r="V5251">
        <v>9.9848580000000006E-2</v>
      </c>
      <c r="W5251">
        <v>-2.9434330000000001E-3</v>
      </c>
      <c r="X5251">
        <v>0.9949983</v>
      </c>
      <c r="Y5251">
        <v>2.6137779999999999E-2</v>
      </c>
      <c r="Z5251">
        <v>1.294586E-2</v>
      </c>
      <c r="AA5251">
        <v>0.99957450000000003</v>
      </c>
      <c r="AB5251">
        <v>18</v>
      </c>
      <c r="AC5251">
        <v>2.4441000000000201</v>
      </c>
      <c r="AD5251">
        <v>-1.1101599021840001</v>
      </c>
      <c r="AE5251">
        <v>-85.421099999999996</v>
      </c>
      <c r="AF5251">
        <v>2.2356435160622898</v>
      </c>
      <c r="AG5251">
        <v>-1.1101599021840001</v>
      </c>
      <c r="AH5251">
        <v>85.412385295822006</v>
      </c>
      <c r="AI5251">
        <v>90.744413364073196</v>
      </c>
      <c r="AJ5251">
        <v>88.500642538567206</v>
      </c>
      <c r="AK5251">
        <v>85.448850892573603</v>
      </c>
      <c r="AL5251">
        <v>90.168646530036398</v>
      </c>
      <c r="AM5251">
        <v>84.269524039445997</v>
      </c>
      <c r="AN5251">
        <v>1.00000000986436</v>
      </c>
    </row>
    <row r="5252" spans="1:40" x14ac:dyDescent="0.25">
      <c r="A5252" t="str">
        <f>"20190312154029438"</f>
        <v>20190312154029438</v>
      </c>
      <c r="B5252" t="str">
        <f>"1552376429430857"</f>
        <v>1552376429430857</v>
      </c>
      <c r="C5252" t="s">
        <v>40</v>
      </c>
      <c r="D5252">
        <v>4.0195369999999997</v>
      </c>
      <c r="E5252">
        <v>0.47164489999999998</v>
      </c>
      <c r="F5252" t="s">
        <v>42</v>
      </c>
      <c r="G5252">
        <v>-189.33439999999999</v>
      </c>
      <c r="H5252" s="1">
        <v>-4.3845839999999999E-6</v>
      </c>
      <c r="I5252">
        <v>99.578119999999998</v>
      </c>
      <c r="J5252">
        <v>-191.9418</v>
      </c>
      <c r="K5252">
        <v>1.110147</v>
      </c>
      <c r="L5252">
        <v>189.1062</v>
      </c>
      <c r="M5252">
        <v>5.4738790000000002E-2</v>
      </c>
      <c r="N5252">
        <v>0</v>
      </c>
      <c r="O5252">
        <v>-0.99841139999999995</v>
      </c>
      <c r="P5252">
        <v>-4.5367699999999997E-2</v>
      </c>
      <c r="Q5252">
        <v>-1.5729750000000001E-2</v>
      </c>
      <c r="R5252">
        <v>-0.99884669999999998</v>
      </c>
      <c r="S5252">
        <v>8.772278E-2</v>
      </c>
      <c r="T5252">
        <v>-3.7211059999999997E-2</v>
      </c>
      <c r="U5252">
        <v>-3.006821</v>
      </c>
      <c r="V5252">
        <v>9.9980040000000006E-2</v>
      </c>
      <c r="W5252">
        <v>-2.4341110000000001E-3</v>
      </c>
      <c r="X5252">
        <v>0.9949865</v>
      </c>
      <c r="Y5252">
        <v>2.5604149999999999E-2</v>
      </c>
      <c r="Z5252">
        <v>1.234213E-2</v>
      </c>
      <c r="AA5252">
        <v>0.99959589999999998</v>
      </c>
      <c r="AB5252">
        <v>18</v>
      </c>
      <c r="AC5252">
        <v>2.6074000000000099</v>
      </c>
      <c r="AD5252">
        <v>-1.1101513845839901</v>
      </c>
      <c r="AE5252">
        <v>-89.528080000000003</v>
      </c>
      <c r="AF5252">
        <v>2.2972528456298398</v>
      </c>
      <c r="AG5252">
        <v>-1.1101513845839901</v>
      </c>
      <c r="AH5252">
        <v>89.522812558138</v>
      </c>
      <c r="AI5252">
        <v>90.710241313837699</v>
      </c>
      <c r="AJ5252">
        <v>88.5300505052641</v>
      </c>
      <c r="AK5252">
        <v>89.559163545965305</v>
      </c>
      <c r="AL5252">
        <v>90.139464420110201</v>
      </c>
      <c r="AM5252">
        <v>84.261962048097104</v>
      </c>
      <c r="AN5252">
        <v>1.0000000342385</v>
      </c>
    </row>
    <row r="5253" spans="1:40" x14ac:dyDescent="0.25">
      <c r="A5253" t="str">
        <f>"20190312154029450"</f>
        <v>20190312154029450</v>
      </c>
      <c r="B5253" t="str">
        <f>"1552376429441590"</f>
        <v>1552376429441590</v>
      </c>
      <c r="C5253" t="s">
        <v>40</v>
      </c>
      <c r="D5253">
        <v>3.9950990000000002</v>
      </c>
      <c r="E5253">
        <v>0.47149259999999898</v>
      </c>
      <c r="F5253" t="s">
        <v>42</v>
      </c>
      <c r="G5253">
        <v>-189.0446</v>
      </c>
      <c r="H5253" s="1">
        <v>-1.2095400000000001E-6</v>
      </c>
      <c r="I5253">
        <v>92.057190000000006</v>
      </c>
      <c r="J5253">
        <v>-191.9366</v>
      </c>
      <c r="K5253">
        <v>1.110144</v>
      </c>
      <c r="L5253">
        <v>189.01159999999999</v>
      </c>
      <c r="M5253">
        <v>5.4733829999999997E-2</v>
      </c>
      <c r="N5253">
        <v>0</v>
      </c>
      <c r="O5253">
        <v>-0.99841170000000001</v>
      </c>
      <c r="P5253">
        <v>-4.5175989999999999E-2</v>
      </c>
      <c r="Q5253">
        <v>-1.541731E-2</v>
      </c>
      <c r="R5253">
        <v>-0.99886019999999998</v>
      </c>
      <c r="S5253">
        <v>8.9767459999999993E-2</v>
      </c>
      <c r="T5253">
        <v>-3.43976E-2</v>
      </c>
      <c r="U5253">
        <v>-3.007034</v>
      </c>
      <c r="V5253">
        <v>9.9784429999999993E-2</v>
      </c>
      <c r="W5253">
        <v>-2.1229650000000001E-3</v>
      </c>
      <c r="X5253">
        <v>0.99500679999999997</v>
      </c>
      <c r="Y5253">
        <v>2.4921829999999999E-2</v>
      </c>
      <c r="Z5253">
        <v>1.140826E-2</v>
      </c>
      <c r="AA5253">
        <v>0.99962430000000002</v>
      </c>
      <c r="AB5253">
        <v>18</v>
      </c>
      <c r="AC5253">
        <v>2.8919999999999901</v>
      </c>
      <c r="AD5253">
        <v>-1.11014520954</v>
      </c>
      <c r="AE5253">
        <v>-96.954409999999896</v>
      </c>
      <c r="AF5253">
        <v>2.4191783597284102</v>
      </c>
      <c r="AG5253">
        <v>-1.11014520954</v>
      </c>
      <c r="AH5253">
        <v>96.954651760294098</v>
      </c>
      <c r="AI5253">
        <v>90.655812444850099</v>
      </c>
      <c r="AJ5253">
        <v>88.570672444246497</v>
      </c>
      <c r="AK5253">
        <v>96.991181786192996</v>
      </c>
      <c r="AL5253">
        <v>90.121637027656803</v>
      </c>
      <c r="AM5253">
        <v>84.273229831923899</v>
      </c>
      <c r="AN5253">
        <v>0.999999985748528</v>
      </c>
    </row>
    <row r="5254" spans="1:40" x14ac:dyDescent="0.25">
      <c r="A5254" t="str">
        <f>"20190312154029465"</f>
        <v>20190312154029465</v>
      </c>
      <c r="B5254" t="str">
        <f>"1552376429461112"</f>
        <v>1552376429461112</v>
      </c>
      <c r="C5254" t="s">
        <v>40</v>
      </c>
      <c r="D5254">
        <v>3.7043870000000001</v>
      </c>
      <c r="E5254">
        <v>0.47134979999999999</v>
      </c>
      <c r="F5254" t="s">
        <v>42</v>
      </c>
      <c r="G5254">
        <v>-188.773</v>
      </c>
      <c r="H5254" s="1">
        <v>-2.6012729999999999E-6</v>
      </c>
      <c r="I5254">
        <v>85.189040000000006</v>
      </c>
      <c r="J5254">
        <v>-191.93029999999999</v>
      </c>
      <c r="K5254">
        <v>1.110141</v>
      </c>
      <c r="L5254">
        <v>188.89570000000001</v>
      </c>
      <c r="M5254">
        <v>5.4726570000000002E-2</v>
      </c>
      <c r="N5254">
        <v>0</v>
      </c>
      <c r="O5254">
        <v>-0.99841190000000002</v>
      </c>
      <c r="P5254">
        <v>-4.5152350000000001E-2</v>
      </c>
      <c r="Q5254">
        <v>-1.5305320000000001E-2</v>
      </c>
      <c r="R5254">
        <v>-0.99886269999999999</v>
      </c>
      <c r="S5254">
        <v>9.162903E-2</v>
      </c>
      <c r="T5254">
        <v>-3.2153729999999998E-2</v>
      </c>
      <c r="U5254">
        <v>-3.0070649999999999</v>
      </c>
      <c r="V5254">
        <v>9.9753770000000005E-2</v>
      </c>
      <c r="W5254">
        <v>-2.0126480000000001E-3</v>
      </c>
      <c r="X5254">
        <v>0.99501010000000001</v>
      </c>
      <c r="Y5254">
        <v>2.429634E-2</v>
      </c>
      <c r="Z5254">
        <v>1.066403E-2</v>
      </c>
      <c r="AA5254">
        <v>0.99964790000000003</v>
      </c>
      <c r="AB5254">
        <v>18</v>
      </c>
      <c r="AC5254">
        <v>3.15729999999999</v>
      </c>
      <c r="AD5254">
        <v>-1.1101436012729999</v>
      </c>
      <c r="AE5254">
        <v>-103.70666</v>
      </c>
      <c r="AF5254">
        <v>2.5231604916241999</v>
      </c>
      <c r="AG5254">
        <v>-1.1101436012729999</v>
      </c>
      <c r="AH5254">
        <v>103.712145471773</v>
      </c>
      <c r="AI5254">
        <v>90.613094064495897</v>
      </c>
      <c r="AJ5254">
        <v>88.606354782441997</v>
      </c>
      <c r="AK5254">
        <v>103.748772889322</v>
      </c>
      <c r="AL5254">
        <v>90.115316315946302</v>
      </c>
      <c r="AM5254">
        <v>84.274996623491106</v>
      </c>
      <c r="AN5254">
        <v>0.99999998224159703</v>
      </c>
    </row>
    <row r="5255" spans="1:40" x14ac:dyDescent="0.25">
      <c r="A5255" t="str">
        <f>"20190312154029596"</f>
        <v>20190312154029596</v>
      </c>
      <c r="B5255" t="str">
        <f>"1552376429591424"</f>
        <v>1552376429591424</v>
      </c>
      <c r="C5255" t="s">
        <v>40</v>
      </c>
      <c r="D5255">
        <v>3.476467</v>
      </c>
      <c r="E5255">
        <v>0.46607300000000002</v>
      </c>
      <c r="F5255" t="s">
        <v>42</v>
      </c>
      <c r="G5255">
        <v>-188.5865</v>
      </c>
      <c r="H5255" s="1">
        <v>-6.9394639999999895E-7</v>
      </c>
      <c r="I5255">
        <v>80.582070000000002</v>
      </c>
      <c r="J5255">
        <v>-191.87289999999999</v>
      </c>
      <c r="K5255">
        <v>1.1101080000000001</v>
      </c>
      <c r="L5255">
        <v>187.84200000000001</v>
      </c>
      <c r="M5255">
        <v>5.4418330000000001E-2</v>
      </c>
      <c r="N5255">
        <v>0</v>
      </c>
      <c r="O5255">
        <v>-0.99842889999999995</v>
      </c>
      <c r="P5255">
        <v>-4.6794809999999999E-2</v>
      </c>
      <c r="Q5255">
        <v>-1.2900729999999999E-2</v>
      </c>
      <c r="R5255">
        <v>-0.99882090000000001</v>
      </c>
      <c r="S5255">
        <v>9.2834470000000002E-2</v>
      </c>
      <c r="T5255">
        <v>-3.0821319999999999E-2</v>
      </c>
      <c r="U5255">
        <v>-3.0071560000000002</v>
      </c>
      <c r="V5255">
        <v>0.1010846</v>
      </c>
      <c r="W5255">
        <v>3.6603610000000001E-4</v>
      </c>
      <c r="X5255">
        <v>0.99487780000000003</v>
      </c>
      <c r="Y5255">
        <v>2.3588129999999999E-2</v>
      </c>
      <c r="Z5255">
        <v>1.0222149999999999E-2</v>
      </c>
      <c r="AA5255">
        <v>0.99966949999999999</v>
      </c>
      <c r="AB5255">
        <v>18</v>
      </c>
      <c r="AC5255">
        <v>3.28639999999998</v>
      </c>
      <c r="AD5255">
        <v>-1.11010869394639</v>
      </c>
      <c r="AE5255">
        <v>-107.25993</v>
      </c>
      <c r="AF5255">
        <v>2.55562400388752</v>
      </c>
      <c r="AG5255">
        <v>-1.11010869394639</v>
      </c>
      <c r="AH5255">
        <v>107.268343454511</v>
      </c>
      <c r="AI5255">
        <v>90.592758578004606</v>
      </c>
      <c r="AJ5255">
        <v>88.635209888220402</v>
      </c>
      <c r="AK5255">
        <v>107.30452489451</v>
      </c>
      <c r="AL5255">
        <v>89.979027676557607</v>
      </c>
      <c r="AM5255">
        <v>84.198369827178496</v>
      </c>
      <c r="AN5255">
        <v>1.00000003363621</v>
      </c>
    </row>
    <row r="5256" spans="1:40" x14ac:dyDescent="0.25">
      <c r="A5256" t="str">
        <f>"20190312154029609"</f>
        <v>20190312154029609</v>
      </c>
      <c r="B5256" t="str">
        <f>"1552376429601184"</f>
        <v>1552376429601184</v>
      </c>
      <c r="C5256" t="s">
        <v>40</v>
      </c>
      <c r="D5256">
        <v>3.5731540000000002</v>
      </c>
      <c r="E5256">
        <v>0.47267949999999997</v>
      </c>
      <c r="F5256" t="s">
        <v>41</v>
      </c>
      <c r="G5256">
        <v>-191.84229999999999</v>
      </c>
      <c r="H5256">
        <v>0.96640190000000004</v>
      </c>
      <c r="I5256">
        <v>187.1437</v>
      </c>
      <c r="J5256">
        <v>-191.8674</v>
      </c>
      <c r="K5256">
        <v>1.1100969999999999</v>
      </c>
      <c r="L5256">
        <v>187.7381</v>
      </c>
      <c r="M5256">
        <v>5.4341729999999998E-2</v>
      </c>
      <c r="N5256">
        <v>0</v>
      </c>
      <c r="O5256">
        <v>-0.99843320000000002</v>
      </c>
      <c r="P5256">
        <v>-4.6784020000000003E-2</v>
      </c>
      <c r="Q5256">
        <v>-1.253567E-2</v>
      </c>
      <c r="R5256">
        <v>-0.99882629999999994</v>
      </c>
      <c r="S5256">
        <v>0.13238529999999901</v>
      </c>
      <c r="T5256">
        <v>-0.61784799999999995</v>
      </c>
      <c r="U5256">
        <v>-3.0017399999999999</v>
      </c>
      <c r="V5256">
        <v>0.1009979</v>
      </c>
      <c r="W5256">
        <v>7.274785E-4</v>
      </c>
      <c r="X5256">
        <v>0.99488639999999995</v>
      </c>
      <c r="Y5256">
        <v>1.12E-2</v>
      </c>
      <c r="Z5256">
        <v>0.2010624</v>
      </c>
      <c r="AA5256">
        <v>0.97951440000000001</v>
      </c>
      <c r="AB5256">
        <v>18</v>
      </c>
      <c r="AC5256">
        <v>2.5100000000009001E-2</v>
      </c>
      <c r="AD5256">
        <v>-0.14369509999999899</v>
      </c>
      <c r="AE5256">
        <v>-0.59440000000000703</v>
      </c>
      <c r="AF5256">
        <v>6.8415713257585099E-3</v>
      </c>
      <c r="AG5256">
        <v>-0.14369509999999899</v>
      </c>
      <c r="AH5256">
        <v>0.56209412799452496</v>
      </c>
      <c r="AI5256">
        <v>104.33908856614001</v>
      </c>
      <c r="AJ5256">
        <v>89.302654507792496</v>
      </c>
      <c r="AK5256">
        <v>0.58021108020111201</v>
      </c>
      <c r="AL5256">
        <v>89.958318549710995</v>
      </c>
      <c r="AM5256">
        <v>84.203361736667304</v>
      </c>
      <c r="AN5256">
        <v>1.0000000269671601</v>
      </c>
    </row>
    <row r="5257" spans="1:40" x14ac:dyDescent="0.25">
      <c r="A5257" t="str">
        <f>"20190312154029623"</f>
        <v>20190312154029623</v>
      </c>
      <c r="B5257" t="str">
        <f>"1552376429610945"</f>
        <v>1552376429610945</v>
      </c>
      <c r="C5257" t="s">
        <v>40</v>
      </c>
      <c r="D5257">
        <v>4.0375160000000001</v>
      </c>
      <c r="E5257">
        <v>0.47696840000000001</v>
      </c>
      <c r="F5257" t="s">
        <v>41</v>
      </c>
      <c r="G5257">
        <v>-191.84739999999999</v>
      </c>
      <c r="H5257">
        <v>0.96744350000000001</v>
      </c>
      <c r="I5257">
        <v>186.9838</v>
      </c>
      <c r="J5257">
        <v>-191.86179999999999</v>
      </c>
      <c r="K5257">
        <v>1.1100890000000001</v>
      </c>
      <c r="L5257">
        <v>187.6335</v>
      </c>
      <c r="M5257">
        <v>5.4255919999999999E-2</v>
      </c>
      <c r="N5257">
        <v>0</v>
      </c>
      <c r="O5257">
        <v>-0.99843769999999998</v>
      </c>
      <c r="P5257">
        <v>-4.6712940000000001E-2</v>
      </c>
      <c r="Q5257">
        <v>-1.244309E-2</v>
      </c>
      <c r="R5257">
        <v>-0.99883089999999997</v>
      </c>
      <c r="S5257">
        <v>7.9833979999999999E-2</v>
      </c>
      <c r="T5257">
        <v>-0.56748520000000002</v>
      </c>
      <c r="U5257">
        <v>-3.0001530000000001</v>
      </c>
      <c r="V5257">
        <v>0.10084170000000001</v>
      </c>
      <c r="W5257">
        <v>8.1664719999999995E-4</v>
      </c>
      <c r="X5257">
        <v>0.99490210000000001</v>
      </c>
      <c r="Y5257">
        <v>2.8141780000000002E-2</v>
      </c>
      <c r="Z5257">
        <v>0.18538099999999999</v>
      </c>
      <c r="AA5257">
        <v>0.98226369999999996</v>
      </c>
      <c r="AB5257">
        <v>18</v>
      </c>
      <c r="AC5257">
        <v>1.4399999999994801E-2</v>
      </c>
      <c r="AD5257">
        <v>-0.14264549999999901</v>
      </c>
      <c r="AE5257">
        <v>-0.64969999999999495</v>
      </c>
      <c r="AF5257">
        <v>1.99149079103479E-2</v>
      </c>
      <c r="AG5257">
        <v>-0.14264549999999901</v>
      </c>
      <c r="AH5257">
        <v>0.61966790691301599</v>
      </c>
      <c r="AI5257">
        <v>102.957003566521</v>
      </c>
      <c r="AJ5257">
        <v>88.159259886028295</v>
      </c>
      <c r="AK5257">
        <v>0.63618602396255597</v>
      </c>
      <c r="AL5257">
        <v>89.953209554640907</v>
      </c>
      <c r="AM5257">
        <v>84.212356430383096</v>
      </c>
      <c r="AN5257">
        <v>0.99999995197797298</v>
      </c>
    </row>
    <row r="5258" spans="1:40" x14ac:dyDescent="0.25">
      <c r="A5258" t="str">
        <f>"20190312154029639"</f>
        <v>20190312154029639</v>
      </c>
      <c r="B5258" t="str">
        <f>"1552376429631440"</f>
        <v>1552376429631440</v>
      </c>
      <c r="C5258" t="s">
        <v>40</v>
      </c>
      <c r="D5258">
        <v>4.1533220000000002</v>
      </c>
      <c r="E5258">
        <v>0.48104629999999998</v>
      </c>
      <c r="F5258" t="s">
        <v>41</v>
      </c>
      <c r="G5258">
        <v>-191.84960000000001</v>
      </c>
      <c r="H5258">
        <v>0.97294460000000005</v>
      </c>
      <c r="I5258">
        <v>186.8219</v>
      </c>
      <c r="J5258">
        <v>-191.85489999999999</v>
      </c>
      <c r="K5258">
        <v>1.1100810000000001</v>
      </c>
      <c r="L5258">
        <v>187.50409999999999</v>
      </c>
      <c r="M5258">
        <v>5.4133880000000002E-2</v>
      </c>
      <c r="N5258">
        <v>0</v>
      </c>
      <c r="O5258">
        <v>-0.99844440000000001</v>
      </c>
      <c r="P5258">
        <v>-4.6441099999999999E-2</v>
      </c>
      <c r="Q5258">
        <v>-1.1601240000000001E-2</v>
      </c>
      <c r="R5258">
        <v>-0.99885369999999996</v>
      </c>
      <c r="S5258">
        <v>4.5898439999999999E-2</v>
      </c>
      <c r="T5258">
        <v>-0.50695249999999903</v>
      </c>
      <c r="U5258">
        <v>-2.9993590000000001</v>
      </c>
      <c r="V5258">
        <v>0.1004501</v>
      </c>
      <c r="W5258">
        <v>1.6544489999999999E-3</v>
      </c>
      <c r="X5258">
        <v>0.99494070000000001</v>
      </c>
      <c r="Y5258">
        <v>3.9066740000000003E-2</v>
      </c>
      <c r="Z5258">
        <v>0.16621910000000001</v>
      </c>
      <c r="AA5258">
        <v>0.98531469999999999</v>
      </c>
      <c r="AB5258">
        <v>18</v>
      </c>
      <c r="AC5258">
        <v>5.2999999999769898E-3</v>
      </c>
      <c r="AD5258">
        <v>-0.13713639999999899</v>
      </c>
      <c r="AE5258">
        <v>-0.68219999999999403</v>
      </c>
      <c r="AF5258">
        <v>3.0412329748731499E-2</v>
      </c>
      <c r="AG5258">
        <v>-0.13713639999999899</v>
      </c>
      <c r="AH5258">
        <v>0.65501912607321999</v>
      </c>
      <c r="AI5258">
        <v>101.81242067829599</v>
      </c>
      <c r="AJ5258">
        <v>87.341684269255197</v>
      </c>
      <c r="AK5258">
        <v>0.66991145499045701</v>
      </c>
      <c r="AL5258">
        <v>89.905207009564805</v>
      </c>
      <c r="AM5258">
        <v>84.234902139677303</v>
      </c>
      <c r="AN5258">
        <v>0.99999997815399599</v>
      </c>
    </row>
    <row r="5259" spans="1:40" x14ac:dyDescent="0.25">
      <c r="A5259" t="str">
        <f>"20190312154029651"</f>
        <v>20190312154029651</v>
      </c>
      <c r="B5259" t="str">
        <f>"1552376429641201"</f>
        <v>1552376429641201</v>
      </c>
      <c r="C5259" t="s">
        <v>40</v>
      </c>
      <c r="D5259">
        <v>3.9756680000000002</v>
      </c>
      <c r="E5259">
        <v>0.48252529999999999</v>
      </c>
      <c r="F5259" t="s">
        <v>41</v>
      </c>
      <c r="G5259">
        <v>-191.8511</v>
      </c>
      <c r="H5259">
        <v>0.99983529999999998</v>
      </c>
      <c r="I5259">
        <v>186.6497</v>
      </c>
      <c r="J5259">
        <v>-191.8493</v>
      </c>
      <c r="K5259">
        <v>1.1100730000000001</v>
      </c>
      <c r="L5259">
        <v>187.39859999999999</v>
      </c>
      <c r="M5259">
        <v>5.4018669999999998E-2</v>
      </c>
      <c r="N5259">
        <v>0</v>
      </c>
      <c r="O5259">
        <v>-0.99845090000000003</v>
      </c>
      <c r="P5259">
        <v>-4.6816730000000001E-2</v>
      </c>
      <c r="Q5259">
        <v>-1.134375E-2</v>
      </c>
      <c r="R5259">
        <v>-0.99883940000000004</v>
      </c>
      <c r="S5259">
        <v>1.38855E-2</v>
      </c>
      <c r="T5259">
        <v>-0.38711879999999999</v>
      </c>
      <c r="U5259">
        <v>-2.999603</v>
      </c>
      <c r="V5259">
        <v>0.1007098</v>
      </c>
      <c r="W5259">
        <v>1.9081269999999999E-3</v>
      </c>
      <c r="X5259">
        <v>0.99491399999999997</v>
      </c>
      <c r="Y5259">
        <v>4.9438240000000001E-2</v>
      </c>
      <c r="Z5259">
        <v>0.12763669999999999</v>
      </c>
      <c r="AA5259">
        <v>0.99058809999999997</v>
      </c>
      <c r="AB5259">
        <v>18</v>
      </c>
      <c r="AC5259">
        <v>-1.8000000000029099E-3</v>
      </c>
      <c r="AD5259">
        <v>-0.11023769999999899</v>
      </c>
      <c r="AE5259">
        <v>-0.74889999999999102</v>
      </c>
      <c r="AF5259">
        <v>4.13593925759825E-2</v>
      </c>
      <c r="AG5259">
        <v>-0.11023769999999899</v>
      </c>
      <c r="AH5259">
        <v>0.731851669611713</v>
      </c>
      <c r="AI5259">
        <v>98.552534681963905</v>
      </c>
      <c r="AJ5259">
        <v>86.765463837602297</v>
      </c>
      <c r="AK5259">
        <v>0.74126231265928799</v>
      </c>
      <c r="AL5259">
        <v>89.890672308260406</v>
      </c>
      <c r="AM5259">
        <v>84.219943989973899</v>
      </c>
      <c r="AN5259">
        <v>0.99999998608034302</v>
      </c>
    </row>
    <row r="5260" spans="1:40" x14ac:dyDescent="0.25">
      <c r="A5260" t="str">
        <f>"20190312154029667"</f>
        <v>20190312154029667</v>
      </c>
      <c r="B5260" t="str">
        <f>"1552376429661697"</f>
        <v>1552376429661697</v>
      </c>
      <c r="C5260" t="s">
        <v>40</v>
      </c>
      <c r="D5260">
        <v>3.9361619999999999</v>
      </c>
      <c r="E5260">
        <v>0.48416199999999998</v>
      </c>
      <c r="F5260" t="s">
        <v>41</v>
      </c>
      <c r="G5260">
        <v>-191.8492</v>
      </c>
      <c r="H5260">
        <v>1.025795</v>
      </c>
      <c r="I5260">
        <v>186.637</v>
      </c>
      <c r="J5260">
        <v>-191.8433</v>
      </c>
      <c r="K5260">
        <v>1.110063</v>
      </c>
      <c r="L5260">
        <v>187.28450000000001</v>
      </c>
      <c r="M5260">
        <v>5.388312E-2</v>
      </c>
      <c r="N5260">
        <v>0</v>
      </c>
      <c r="O5260">
        <v>-0.99845810000000002</v>
      </c>
      <c r="P5260">
        <v>-4.6659810000000003E-2</v>
      </c>
      <c r="Q5260">
        <v>-1.102292E-2</v>
      </c>
      <c r="R5260">
        <v>-0.99885020000000002</v>
      </c>
      <c r="S5260">
        <v>7.7819819999999998E-4</v>
      </c>
      <c r="T5260">
        <v>-0.33201649999999999</v>
      </c>
      <c r="U5260">
        <v>-2.9997410000000002</v>
      </c>
      <c r="V5260">
        <v>0.1004187</v>
      </c>
      <c r="W5260">
        <v>2.2252219999999998E-3</v>
      </c>
      <c r="X5260">
        <v>0.99494280000000002</v>
      </c>
      <c r="Y5260">
        <v>5.3630200000000003E-2</v>
      </c>
      <c r="Z5260">
        <v>0.1096915</v>
      </c>
      <c r="AA5260">
        <v>0.99251780000000001</v>
      </c>
      <c r="AB5260">
        <v>18</v>
      </c>
      <c r="AC5260">
        <v>-5.8999999999968999E-3</v>
      </c>
      <c r="AD5260">
        <v>-8.4267999999999996E-2</v>
      </c>
      <c r="AE5260">
        <v>-0.64750000000000696</v>
      </c>
      <c r="AF5260">
        <v>4.0104643011864803E-2</v>
      </c>
      <c r="AG5260">
        <v>-8.4267999999999996E-2</v>
      </c>
      <c r="AH5260">
        <v>0.63547879543474695</v>
      </c>
      <c r="AI5260">
        <v>97.538842700273705</v>
      </c>
      <c r="AJ5260">
        <v>86.388890575771299</v>
      </c>
      <c r="AK5260">
        <v>0.64229493043484798</v>
      </c>
      <c r="AL5260">
        <v>89.872504068391507</v>
      </c>
      <c r="AM5260">
        <v>84.236704218230599</v>
      </c>
      <c r="AN5260">
        <v>1.00000002109723</v>
      </c>
    </row>
    <row r="5261" spans="1:40" x14ac:dyDescent="0.25">
      <c r="A5261" t="str">
        <f>"20190312154029681"</f>
        <v>20190312154029681</v>
      </c>
      <c r="B5261" t="str">
        <f>"1552376429671456"</f>
        <v>1552376429671456</v>
      </c>
      <c r="C5261" t="s">
        <v>40</v>
      </c>
      <c r="D5261">
        <v>3.9348740000000002</v>
      </c>
      <c r="E5261">
        <v>0.4848787</v>
      </c>
      <c r="F5261" t="s">
        <v>41</v>
      </c>
      <c r="G5261">
        <v>-191.8467</v>
      </c>
      <c r="H5261">
        <v>1.0402439999999999</v>
      </c>
      <c r="I5261">
        <v>186.47110000000001</v>
      </c>
      <c r="J5261">
        <v>-191.8372</v>
      </c>
      <c r="K5261">
        <v>1.1100559999999999</v>
      </c>
      <c r="L5261">
        <v>187.16890000000001</v>
      </c>
      <c r="M5261">
        <v>5.3735379999999999E-2</v>
      </c>
      <c r="N5261">
        <v>0</v>
      </c>
      <c r="O5261">
        <v>-0.99846630000000003</v>
      </c>
      <c r="P5261">
        <v>-4.65555E-2</v>
      </c>
      <c r="Q5261">
        <v>-1.103519E-2</v>
      </c>
      <c r="R5261">
        <v>-0.99885520000000005</v>
      </c>
      <c r="S5261">
        <v>-1.2191769999999999E-2</v>
      </c>
      <c r="T5261">
        <v>-0.25761010000000001</v>
      </c>
      <c r="U5261">
        <v>-3.0000610000000001</v>
      </c>
      <c r="V5261">
        <v>0.1001677</v>
      </c>
      <c r="W5261">
        <v>2.2099630000000001E-3</v>
      </c>
      <c r="X5261">
        <v>0.99496810000000002</v>
      </c>
      <c r="Y5261">
        <v>5.778266E-2</v>
      </c>
      <c r="Z5261">
        <v>8.5296419999999998E-2</v>
      </c>
      <c r="AA5261">
        <v>0.99467870000000003</v>
      </c>
      <c r="AB5261">
        <v>18</v>
      </c>
      <c r="AC5261">
        <v>-9.5000000000027198E-3</v>
      </c>
      <c r="AD5261">
        <v>-6.9811999999999902E-2</v>
      </c>
      <c r="AE5261">
        <v>-0.69779999999999998</v>
      </c>
      <c r="AF5261">
        <v>4.6520603039197098E-2</v>
      </c>
      <c r="AG5261">
        <v>-6.9811999999999902E-2</v>
      </c>
      <c r="AH5261">
        <v>0.68938224742748999</v>
      </c>
      <c r="AI5261">
        <v>95.769453442637399</v>
      </c>
      <c r="AJ5261">
        <v>86.139443213033303</v>
      </c>
      <c r="AK5261">
        <v>0.69446797256555204</v>
      </c>
      <c r="AL5261">
        <v>89.873378342383205</v>
      </c>
      <c r="AM5261">
        <v>84.251158366473206</v>
      </c>
      <c r="AN5261">
        <v>0.99999998603868001</v>
      </c>
    </row>
    <row r="5262" spans="1:40" x14ac:dyDescent="0.25">
      <c r="A5262" t="str">
        <f>"20190312154029694"</f>
        <v>20190312154029694</v>
      </c>
      <c r="B5262" t="str">
        <f>"1552376429690976"</f>
        <v>1552376429690976</v>
      </c>
      <c r="C5262" t="s">
        <v>40</v>
      </c>
      <c r="D5262">
        <v>3.9420600000000001</v>
      </c>
      <c r="E5262">
        <v>0.48574689999999998</v>
      </c>
      <c r="F5262" t="s">
        <v>41</v>
      </c>
      <c r="G5262">
        <v>-191.8424</v>
      </c>
      <c r="H5262">
        <v>1.043199</v>
      </c>
      <c r="I5262">
        <v>186.31120000000001</v>
      </c>
      <c r="J5262">
        <v>-191.83160000000001</v>
      </c>
      <c r="K5262">
        <v>1.1100479999999999</v>
      </c>
      <c r="L5262">
        <v>187.06120000000001</v>
      </c>
      <c r="M5262">
        <v>5.3586010000000003E-2</v>
      </c>
      <c r="N5262">
        <v>0</v>
      </c>
      <c r="O5262">
        <v>-0.99847390000000003</v>
      </c>
      <c r="P5262">
        <v>-4.6964890000000002E-2</v>
      </c>
      <c r="Q5262">
        <v>-1.0828580000000001E-2</v>
      </c>
      <c r="R5262">
        <v>-0.99883759999999999</v>
      </c>
      <c r="S5262">
        <v>-1.7761229999999999E-2</v>
      </c>
      <c r="T5262">
        <v>-0.23393639999999999</v>
      </c>
      <c r="U5262">
        <v>-3.0000309999999999</v>
      </c>
      <c r="V5262">
        <v>0.1004269</v>
      </c>
      <c r="W5262">
        <v>2.413096E-3</v>
      </c>
      <c r="X5262">
        <v>0.99494150000000003</v>
      </c>
      <c r="Y5262">
        <v>5.9483620000000001E-2</v>
      </c>
      <c r="Z5262">
        <v>7.7505099999999993E-2</v>
      </c>
      <c r="AA5262">
        <v>0.99521590000000004</v>
      </c>
      <c r="AB5262">
        <v>18</v>
      </c>
      <c r="AC5262">
        <v>-1.0799999999989001E-2</v>
      </c>
      <c r="AD5262">
        <v>-6.6848999999999895E-2</v>
      </c>
      <c r="AE5262">
        <v>-0.75</v>
      </c>
      <c r="AF5262">
        <v>5.0575856024285E-2</v>
      </c>
      <c r="AG5262">
        <v>-6.6848999999999895E-2</v>
      </c>
      <c r="AH5262">
        <v>0.74244630346282403</v>
      </c>
      <c r="AI5262">
        <v>95.133139358511201</v>
      </c>
      <c r="AJ5262">
        <v>86.103000015365595</v>
      </c>
      <c r="AK5262">
        <v>0.74716344901179499</v>
      </c>
      <c r="AL5262">
        <v>89.861739647639197</v>
      </c>
      <c r="AM5262">
        <v>84.236229286646704</v>
      </c>
      <c r="AN5262">
        <v>0.99999998684908198</v>
      </c>
    </row>
    <row r="5263" spans="1:40" x14ac:dyDescent="0.25">
      <c r="A5263" t="str">
        <f>"20190312154029710"</f>
        <v>20190312154029710</v>
      </c>
      <c r="B5263" t="str">
        <f>"1552376429701713"</f>
        <v>1552376429701713</v>
      </c>
      <c r="C5263" t="s">
        <v>40</v>
      </c>
      <c r="D5263">
        <v>3.938132</v>
      </c>
      <c r="E5263">
        <v>0.4860408</v>
      </c>
      <c r="F5263" t="s">
        <v>42</v>
      </c>
      <c r="G5263">
        <v>-191.9778</v>
      </c>
      <c r="H5263" s="1">
        <v>-8.239015E-7</v>
      </c>
      <c r="I5263">
        <v>170.28299999999999</v>
      </c>
      <c r="J5263">
        <v>-191.82509999999999</v>
      </c>
      <c r="K5263">
        <v>1.1100399999999999</v>
      </c>
      <c r="L5263">
        <v>186.93700000000001</v>
      </c>
      <c r="M5263">
        <v>5.3398870000000001E-2</v>
      </c>
      <c r="N5263">
        <v>0</v>
      </c>
      <c r="O5263">
        <v>-0.99848440000000005</v>
      </c>
      <c r="P5263">
        <v>-4.6949619999999997E-2</v>
      </c>
      <c r="Q5263">
        <v>-1.107142E-2</v>
      </c>
      <c r="R5263">
        <v>-0.99883630000000001</v>
      </c>
      <c r="S5263">
        <v>-2.6138310000000001E-2</v>
      </c>
      <c r="T5263">
        <v>-0.1984872</v>
      </c>
      <c r="U5263">
        <v>-3.0001069999999999</v>
      </c>
      <c r="V5263">
        <v>0.10022499999999999</v>
      </c>
      <c r="W5263">
        <v>2.1665719999999999E-3</v>
      </c>
      <c r="X5263">
        <v>0.99496249999999997</v>
      </c>
      <c r="Y5263">
        <v>6.208226E-2</v>
      </c>
      <c r="Z5263">
        <v>6.5809580000000006E-2</v>
      </c>
      <c r="AA5263">
        <v>0.99589899999999998</v>
      </c>
      <c r="AB5263">
        <v>18</v>
      </c>
      <c r="AC5263">
        <v>-0.15270000000000999</v>
      </c>
      <c r="AD5263">
        <v>-1.1100408239014901</v>
      </c>
      <c r="AE5263">
        <v>-16.654</v>
      </c>
      <c r="AF5263">
        <v>1.0372580266041</v>
      </c>
      <c r="AG5263">
        <v>-1.1100408239014901</v>
      </c>
      <c r="AH5263">
        <v>16.548567074946799</v>
      </c>
      <c r="AI5263">
        <v>93.830030154347099</v>
      </c>
      <c r="AJ5263">
        <v>86.413413865353405</v>
      </c>
      <c r="AK5263">
        <v>16.618157752244901</v>
      </c>
      <c r="AL5263">
        <v>89.875864478786795</v>
      </c>
      <c r="AM5263">
        <v>84.2478596831875</v>
      </c>
      <c r="AN5263">
        <v>1.0000000605327299</v>
      </c>
    </row>
    <row r="5264" spans="1:40" x14ac:dyDescent="0.25">
      <c r="A5264" t="str">
        <f>"20190312154029724"</f>
        <v>20190312154029724</v>
      </c>
      <c r="B5264" t="str">
        <f>"1552376429711472"</f>
        <v>1552376429711472</v>
      </c>
      <c r="C5264" t="s">
        <v>40</v>
      </c>
      <c r="D5264">
        <v>3.939127</v>
      </c>
      <c r="E5264">
        <v>0.48650320000000002</v>
      </c>
      <c r="F5264" t="s">
        <v>42</v>
      </c>
      <c r="G5264">
        <v>-191.99520000000001</v>
      </c>
      <c r="H5264" s="1">
        <v>-4.8167720000000003E-6</v>
      </c>
      <c r="I5264">
        <v>168.9076</v>
      </c>
      <c r="J5264">
        <v>-191.81989999999999</v>
      </c>
      <c r="K5264">
        <v>1.1100319999999999</v>
      </c>
      <c r="L5264">
        <v>186.8356</v>
      </c>
      <c r="M5264">
        <v>5.3236810000000002E-2</v>
      </c>
      <c r="N5264">
        <v>0</v>
      </c>
      <c r="O5264">
        <v>-0.99849279999999996</v>
      </c>
      <c r="P5264">
        <v>-4.7094150000000001E-2</v>
      </c>
      <c r="Q5264">
        <v>-1.085941E-2</v>
      </c>
      <c r="R5264">
        <v>-0.99883160000000004</v>
      </c>
      <c r="S5264">
        <v>-2.8305049999999998E-2</v>
      </c>
      <c r="T5264">
        <v>-0.18471460000000001</v>
      </c>
      <c r="U5264">
        <v>-3.0001370000000001</v>
      </c>
      <c r="V5264">
        <v>0.1002077</v>
      </c>
      <c r="W5264">
        <v>2.3754259999999999E-3</v>
      </c>
      <c r="X5264">
        <v>0.99496370000000001</v>
      </c>
      <c r="Y5264">
        <v>6.2642110000000001E-2</v>
      </c>
      <c r="Z5264">
        <v>6.1259969999999997E-2</v>
      </c>
      <c r="AA5264">
        <v>0.99615419999999999</v>
      </c>
      <c r="AB5264">
        <v>18</v>
      </c>
      <c r="AC5264">
        <v>-0.17530000000002099</v>
      </c>
      <c r="AD5264">
        <v>-1.1100368167719901</v>
      </c>
      <c r="AE5264">
        <v>-17.927999999999901</v>
      </c>
      <c r="AF5264">
        <v>1.12525243874642</v>
      </c>
      <c r="AG5264">
        <v>-1.1100368167719901</v>
      </c>
      <c r="AH5264">
        <v>17.824911089637201</v>
      </c>
      <c r="AI5264">
        <v>93.556401185152296</v>
      </c>
      <c r="AJ5264">
        <v>86.387820641142895</v>
      </c>
      <c r="AK5264">
        <v>17.894854851016898</v>
      </c>
      <c r="AL5264">
        <v>89.863897986984796</v>
      </c>
      <c r="AM5264">
        <v>84.248852802958496</v>
      </c>
      <c r="AN5264">
        <v>0.99999999505282999</v>
      </c>
    </row>
    <row r="5265" spans="1:40" x14ac:dyDescent="0.25">
      <c r="A5265" t="str">
        <f>"20190312154029739"</f>
        <v>20190312154029739</v>
      </c>
      <c r="B5265" t="str">
        <f>"1552376429730992"</f>
        <v>1552376429730992</v>
      </c>
      <c r="C5265" t="s">
        <v>40</v>
      </c>
      <c r="D5265">
        <v>3.9326620000000001</v>
      </c>
      <c r="E5265">
        <v>0.4868731</v>
      </c>
      <c r="F5265" t="s">
        <v>42</v>
      </c>
      <c r="G5265">
        <v>-192.02950000000001</v>
      </c>
      <c r="H5265" s="1">
        <v>-4.2878860000000001E-6</v>
      </c>
      <c r="I5265">
        <v>167.52019999999999</v>
      </c>
      <c r="J5265">
        <v>-191.81319999999999</v>
      </c>
      <c r="K5265">
        <v>1.110023</v>
      </c>
      <c r="L5265">
        <v>186.7072</v>
      </c>
      <c r="M5265">
        <v>5.301931E-2</v>
      </c>
      <c r="N5265">
        <v>0</v>
      </c>
      <c r="O5265">
        <v>-0.99850450000000002</v>
      </c>
      <c r="P5265">
        <v>-4.7294389999999999E-2</v>
      </c>
      <c r="Q5265">
        <v>-1.0618239999999999E-2</v>
      </c>
      <c r="R5265">
        <v>-0.99882479999999996</v>
      </c>
      <c r="S5265">
        <v>-3.2562260000000003E-2</v>
      </c>
      <c r="T5265">
        <v>-0.17241409999999999</v>
      </c>
      <c r="U5265">
        <v>-3.0001220000000002</v>
      </c>
      <c r="V5265">
        <v>0.1001908</v>
      </c>
      <c r="W5265">
        <v>2.6124130000000001E-3</v>
      </c>
      <c r="X5265">
        <v>0.99496479999999998</v>
      </c>
      <c r="Y5265">
        <v>6.3840750000000002E-2</v>
      </c>
      <c r="Z5265">
        <v>5.7193130000000002E-2</v>
      </c>
      <c r="AA5265">
        <v>0.99631990000000004</v>
      </c>
      <c r="AB5265">
        <v>18</v>
      </c>
      <c r="AC5265">
        <v>-0.21630000000001801</v>
      </c>
      <c r="AD5265">
        <v>-1.110027287886</v>
      </c>
      <c r="AE5265">
        <v>-19.187000000000001</v>
      </c>
      <c r="AF5265">
        <v>1.2292538582483901</v>
      </c>
      <c r="AG5265">
        <v>-1.110027287886</v>
      </c>
      <c r="AH5265">
        <v>19.084671440551499</v>
      </c>
      <c r="AI5265">
        <v>93.321892547569504</v>
      </c>
      <c r="AJ5265">
        <v>86.314639186895505</v>
      </c>
      <c r="AK5265">
        <v>19.156406490301698</v>
      </c>
      <c r="AL5265">
        <v>89.850319588580504</v>
      </c>
      <c r="AM5265">
        <v>84.249822546678104</v>
      </c>
      <c r="AN5265">
        <v>0.99999998717268102</v>
      </c>
    </row>
    <row r="5266" spans="1:40" x14ac:dyDescent="0.25">
      <c r="A5266" t="str">
        <f>"20190312154029752"</f>
        <v>20190312154029752</v>
      </c>
      <c r="B5266" t="str">
        <f>"1552376429741729"</f>
        <v>1552376429741729</v>
      </c>
      <c r="C5266" t="s">
        <v>40</v>
      </c>
      <c r="D5266">
        <v>3.9415170000000002</v>
      </c>
      <c r="E5266">
        <v>0.48707640000000002</v>
      </c>
      <c r="F5266" t="s">
        <v>42</v>
      </c>
      <c r="G5266">
        <v>-192.07980000000001</v>
      </c>
      <c r="H5266" s="1">
        <v>-2.9122650000000001E-6</v>
      </c>
      <c r="I5266">
        <v>164.58179999999999</v>
      </c>
      <c r="J5266">
        <v>-191.80779999999999</v>
      </c>
      <c r="K5266">
        <v>1.110015</v>
      </c>
      <c r="L5266">
        <v>186.601</v>
      </c>
      <c r="M5266">
        <v>5.2827329999999999E-2</v>
      </c>
      <c r="N5266">
        <v>0</v>
      </c>
      <c r="O5266">
        <v>-0.99851480000000004</v>
      </c>
      <c r="P5266">
        <v>-4.7302450000000003E-2</v>
      </c>
      <c r="Q5266">
        <v>-1.047326E-2</v>
      </c>
      <c r="R5266">
        <v>-0.99882610000000005</v>
      </c>
      <c r="S5266">
        <v>-3.6148069999999997E-2</v>
      </c>
      <c r="T5266">
        <v>-0.15052009999999999</v>
      </c>
      <c r="U5266">
        <v>-3.0002140000000002</v>
      </c>
      <c r="V5266">
        <v>0.1000077</v>
      </c>
      <c r="W5266">
        <v>2.754987E-3</v>
      </c>
      <c r="X5266">
        <v>0.99498279999999995</v>
      </c>
      <c r="Y5266">
        <v>6.4843860000000003E-2</v>
      </c>
      <c r="Z5266">
        <v>4.9947310000000002E-2</v>
      </c>
      <c r="AA5266">
        <v>0.99664459999999999</v>
      </c>
      <c r="AB5266">
        <v>18</v>
      </c>
      <c r="AC5266">
        <v>-0.272000000000019</v>
      </c>
      <c r="AD5266">
        <v>-1.110017912265</v>
      </c>
      <c r="AE5266">
        <v>-22.019200000000001</v>
      </c>
      <c r="AF5266">
        <v>1.43130208230141</v>
      </c>
      <c r="AG5266">
        <v>-1.110017912265</v>
      </c>
      <c r="AH5266">
        <v>21.9183851603355</v>
      </c>
      <c r="AI5266">
        <v>92.893015489933205</v>
      </c>
      <c r="AJ5266">
        <v>86.263807868186504</v>
      </c>
      <c r="AK5266">
        <v>21.993098314088598</v>
      </c>
      <c r="AL5266">
        <v>89.842150664897702</v>
      </c>
      <c r="AM5266">
        <v>84.260363986207594</v>
      </c>
      <c r="AN5266">
        <v>0.999999951154249</v>
      </c>
    </row>
    <row r="5267" spans="1:40" x14ac:dyDescent="0.25">
      <c r="A5267" t="str">
        <f>"20190312154029766"</f>
        <v>20190312154029766</v>
      </c>
      <c r="B5267" t="str">
        <f>"1552376429751488"</f>
        <v>1552376429751488</v>
      </c>
      <c r="C5267" t="s">
        <v>40</v>
      </c>
      <c r="D5267">
        <v>3.9451369999999999</v>
      </c>
      <c r="E5267">
        <v>0.48729889999999998</v>
      </c>
      <c r="F5267" t="s">
        <v>42</v>
      </c>
      <c r="G5267">
        <v>-192.10599999999999</v>
      </c>
      <c r="H5267" s="1">
        <v>-2.171435E-6</v>
      </c>
      <c r="I5267">
        <v>162.99979999999999</v>
      </c>
      <c r="J5267">
        <v>-191.8031</v>
      </c>
      <c r="K5267">
        <v>1.110007</v>
      </c>
      <c r="L5267">
        <v>186.5077</v>
      </c>
      <c r="M5267">
        <v>5.2650969999999998E-2</v>
      </c>
      <c r="N5267">
        <v>0</v>
      </c>
      <c r="O5267">
        <v>-0.99852379999999996</v>
      </c>
      <c r="P5267">
        <v>-4.7712810000000001E-2</v>
      </c>
      <c r="Q5267">
        <v>-1.0153260000000001E-2</v>
      </c>
      <c r="R5267">
        <v>-0.99880979999999997</v>
      </c>
      <c r="S5267">
        <v>-3.7902829999999998E-2</v>
      </c>
      <c r="T5267">
        <v>-0.14110980000000001</v>
      </c>
      <c r="U5267">
        <v>-3.0002749999999998</v>
      </c>
      <c r="V5267">
        <v>0.1002411</v>
      </c>
      <c r="W5267">
        <v>3.0711290000000001E-3</v>
      </c>
      <c r="X5267">
        <v>0.99495849999999997</v>
      </c>
      <c r="Y5267">
        <v>6.5252119999999997E-2</v>
      </c>
      <c r="Z5267">
        <v>4.683068E-2</v>
      </c>
      <c r="AA5267">
        <v>0.99676929999999997</v>
      </c>
      <c r="AB5267">
        <v>18</v>
      </c>
      <c r="AC5267">
        <v>-0.30289999999999301</v>
      </c>
      <c r="AD5267">
        <v>-1.110009171435</v>
      </c>
      <c r="AE5267">
        <v>-23.507899999999999</v>
      </c>
      <c r="AF5267">
        <v>1.53687772190511</v>
      </c>
      <c r="AG5267">
        <v>-1.110009171435</v>
      </c>
      <c r="AH5267">
        <v>23.4071590021776</v>
      </c>
      <c r="AI5267">
        <v>92.709209179509202</v>
      </c>
      <c r="AJ5267">
        <v>86.243440089822499</v>
      </c>
      <c r="AK5267">
        <v>23.483807315807699</v>
      </c>
      <c r="AL5267">
        <v>89.824037004496006</v>
      </c>
      <c r="AM5267">
        <v>84.246918891633598</v>
      </c>
      <c r="AN5267">
        <v>1.00000006334239</v>
      </c>
    </row>
    <row r="5268" spans="1:40" x14ac:dyDescent="0.25">
      <c r="A5268" t="str">
        <f>"20190312154029779"</f>
        <v>20190312154029779</v>
      </c>
      <c r="B5268" t="str">
        <f>"1552376429771008"</f>
        <v>1552376429771008</v>
      </c>
      <c r="C5268" t="s">
        <v>40</v>
      </c>
      <c r="D5268">
        <v>3.9824670000000002</v>
      </c>
      <c r="E5268">
        <v>0.4872147</v>
      </c>
      <c r="F5268" t="s">
        <v>42</v>
      </c>
      <c r="G5268">
        <v>-192.14660000000001</v>
      </c>
      <c r="H5268" s="1">
        <v>-1.400372E-6</v>
      </c>
      <c r="I5268">
        <v>161.3458</v>
      </c>
      <c r="J5268">
        <v>-191.79740000000001</v>
      </c>
      <c r="K5268">
        <v>1.109996</v>
      </c>
      <c r="L5268">
        <v>186.39490000000001</v>
      </c>
      <c r="M5268">
        <v>5.2430879999999999E-2</v>
      </c>
      <c r="N5268">
        <v>0</v>
      </c>
      <c r="O5268">
        <v>-0.99853550000000002</v>
      </c>
      <c r="P5268">
        <v>-4.7917019999999998E-2</v>
      </c>
      <c r="Q5268">
        <v>-1.0188569999999999E-2</v>
      </c>
      <c r="R5268">
        <v>-0.99879960000000001</v>
      </c>
      <c r="S5268">
        <v>-4.0954589999999999E-2</v>
      </c>
      <c r="T5268">
        <v>-0.13235569999999999</v>
      </c>
      <c r="U5268">
        <v>-3.0002589999999998</v>
      </c>
      <c r="V5268">
        <v>0.1002253</v>
      </c>
      <c r="W5268">
        <v>3.032982E-3</v>
      </c>
      <c r="X5268">
        <v>0.99496010000000001</v>
      </c>
      <c r="Y5268">
        <v>6.6047709999999996E-2</v>
      </c>
      <c r="Z5268">
        <v>4.3930799999999999E-2</v>
      </c>
      <c r="AA5268">
        <v>0.99684890000000004</v>
      </c>
      <c r="AB5268">
        <v>18</v>
      </c>
      <c r="AC5268">
        <v>-0.34919999999999601</v>
      </c>
      <c r="AD5268">
        <v>-1.1099974003719999</v>
      </c>
      <c r="AE5268">
        <v>-25.049099999999999</v>
      </c>
      <c r="AF5268">
        <v>1.65892589189364</v>
      </c>
      <c r="AG5268">
        <v>-1.1099974003719999</v>
      </c>
      <c r="AH5268">
        <v>24.947351876499301</v>
      </c>
      <c r="AI5268">
        <v>92.542008393405794</v>
      </c>
      <c r="AJ5268">
        <v>86.195599250525106</v>
      </c>
      <c r="AK5268">
        <v>25.027075238499201</v>
      </c>
      <c r="AL5268">
        <v>89.826222657839907</v>
      </c>
      <c r="AM5268">
        <v>84.247828798900997</v>
      </c>
      <c r="AN5268">
        <v>0.99999995516595497</v>
      </c>
    </row>
    <row r="5269" spans="1:40" x14ac:dyDescent="0.25">
      <c r="A5269" t="str">
        <f>"20190312154029794"</f>
        <v>20190312154029794</v>
      </c>
      <c r="B5269" t="str">
        <f>"1552376429781745"</f>
        <v>1552376429781745</v>
      </c>
      <c r="C5269" t="s">
        <v>40</v>
      </c>
      <c r="D5269">
        <v>3.9808319999999999</v>
      </c>
      <c r="E5269">
        <v>0.48730380000000001</v>
      </c>
      <c r="F5269" t="s">
        <v>55</v>
      </c>
      <c r="G5269">
        <v>-192.17150000000001</v>
      </c>
      <c r="H5269" s="1">
        <v>-1.4813370000000001E-5</v>
      </c>
      <c r="I5269">
        <v>158.964</v>
      </c>
      <c r="J5269">
        <v>-191.79140000000001</v>
      </c>
      <c r="K5269">
        <v>1.1099870000000001</v>
      </c>
      <c r="L5269">
        <v>186.27500000000001</v>
      </c>
      <c r="M5269">
        <v>5.2183050000000002E-2</v>
      </c>
      <c r="N5269">
        <v>0</v>
      </c>
      <c r="O5269">
        <v>-0.9985484</v>
      </c>
      <c r="P5269">
        <v>-4.8304569999999998E-2</v>
      </c>
      <c r="Q5269">
        <v>-1.0046920000000001E-2</v>
      </c>
      <c r="R5269">
        <v>-0.99878219999999995</v>
      </c>
      <c r="S5269">
        <v>-4.092407E-2</v>
      </c>
      <c r="T5269">
        <v>-0.1214138</v>
      </c>
      <c r="U5269">
        <v>-3.0004119999999999</v>
      </c>
      <c r="V5269">
        <v>0.1003646</v>
      </c>
      <c r="W5269">
        <v>3.170787E-3</v>
      </c>
      <c r="X5269">
        <v>0.99494559999999999</v>
      </c>
      <c r="Y5269">
        <v>6.5791349999999998E-2</v>
      </c>
      <c r="Z5269">
        <v>4.0304300000000001E-2</v>
      </c>
      <c r="AA5269">
        <v>0.99701910000000005</v>
      </c>
      <c r="AB5269">
        <v>18</v>
      </c>
      <c r="AC5269">
        <v>-0.380099999999998</v>
      </c>
      <c r="AD5269">
        <v>-1.11000181337</v>
      </c>
      <c r="AE5269">
        <v>-27.311</v>
      </c>
      <c r="AF5269">
        <v>1.8019042769864899</v>
      </c>
      <c r="AG5269">
        <v>-1.11000181337</v>
      </c>
      <c r="AH5269">
        <v>27.2090099252611</v>
      </c>
      <c r="AI5269">
        <v>92.331007230771505</v>
      </c>
      <c r="AJ5269">
        <v>86.211145575358401</v>
      </c>
      <c r="AK5269">
        <v>27.291192428365399</v>
      </c>
      <c r="AL5269">
        <v>89.818326969462106</v>
      </c>
      <c r="AM5269">
        <v>84.239804377503006</v>
      </c>
      <c r="AN5269">
        <v>0.99999992689135697</v>
      </c>
    </row>
    <row r="5270" spans="1:40" x14ac:dyDescent="0.25">
      <c r="A5270" t="str">
        <f>"20190312154029818"</f>
        <v>20190312154029818</v>
      </c>
      <c r="B5270" t="str">
        <f>"1552376429811028"</f>
        <v>1552376429811028</v>
      </c>
      <c r="C5270" t="s">
        <v>40</v>
      </c>
      <c r="D5270">
        <v>3.9725609999999998</v>
      </c>
      <c r="E5270">
        <v>0.4872705</v>
      </c>
      <c r="F5270" t="s">
        <v>55</v>
      </c>
      <c r="G5270">
        <v>-192.20150000000001</v>
      </c>
      <c r="H5270" s="1">
        <v>-1.430588E-5</v>
      </c>
      <c r="I5270">
        <v>157.58690000000001</v>
      </c>
      <c r="J5270">
        <v>-191.78219999999999</v>
      </c>
      <c r="K5270">
        <v>1.109972</v>
      </c>
      <c r="L5270">
        <v>186.0898</v>
      </c>
      <c r="M5270">
        <v>5.1777209999999997E-2</v>
      </c>
      <c r="N5270">
        <v>0</v>
      </c>
      <c r="O5270">
        <v>-0.9985697</v>
      </c>
      <c r="P5270">
        <v>-4.8951099999999997E-2</v>
      </c>
      <c r="Q5270">
        <v>-9.8508750000000003E-3</v>
      </c>
      <c r="R5270">
        <v>-0.9987528</v>
      </c>
      <c r="S5270">
        <v>-4.289246E-2</v>
      </c>
      <c r="T5270">
        <v>-0.11609179999999999</v>
      </c>
      <c r="U5270">
        <v>-3.0004119999999999</v>
      </c>
      <c r="V5270">
        <v>0.1006046</v>
      </c>
      <c r="W5270">
        <v>3.3610440000000001E-3</v>
      </c>
      <c r="X5270">
        <v>0.99492080000000005</v>
      </c>
      <c r="Y5270">
        <v>6.6040740000000001E-2</v>
      </c>
      <c r="Z5270">
        <v>3.8541069999999997E-2</v>
      </c>
      <c r="AA5270">
        <v>0.99707230000000002</v>
      </c>
      <c r="AB5270">
        <v>18</v>
      </c>
      <c r="AC5270">
        <v>-0.41930000000002099</v>
      </c>
      <c r="AD5270">
        <v>-1.1099863058799999</v>
      </c>
      <c r="AE5270">
        <v>-28.502899999999901</v>
      </c>
      <c r="AF5270">
        <v>1.8918008465115701</v>
      </c>
      <c r="AG5270">
        <v>-1.1099863058799999</v>
      </c>
      <c r="AH5270">
        <v>28.3998884545035</v>
      </c>
      <c r="AI5270">
        <v>92.233274919886</v>
      </c>
      <c r="AJ5270">
        <v>86.188988298587802</v>
      </c>
      <c r="AK5270">
        <v>28.484463208393901</v>
      </c>
      <c r="AL5270">
        <v>89.807425999584297</v>
      </c>
      <c r="AM5270">
        <v>84.225980132945296</v>
      </c>
      <c r="AN5270">
        <v>0.99999999021528496</v>
      </c>
    </row>
    <row r="5271" spans="1:40" x14ac:dyDescent="0.25">
      <c r="A5271" t="str">
        <f>"20190312154029830"</f>
        <v>20190312154029830</v>
      </c>
      <c r="B5271" t="str">
        <f>"1552376429821761"</f>
        <v>1552376429821761</v>
      </c>
      <c r="C5271" t="s">
        <v>40</v>
      </c>
      <c r="D5271">
        <v>4.0191540000000003</v>
      </c>
      <c r="E5271">
        <v>0.48725370000000001</v>
      </c>
      <c r="F5271" t="s">
        <v>55</v>
      </c>
      <c r="G5271">
        <v>-192.27189999999999</v>
      </c>
      <c r="H5271" s="1">
        <v>-1.262945E-5</v>
      </c>
      <c r="I5271">
        <v>153.18610000000001</v>
      </c>
      <c r="J5271">
        <v>-191.77760000000001</v>
      </c>
      <c r="K5271">
        <v>1.109966</v>
      </c>
      <c r="L5271">
        <v>185.99610000000001</v>
      </c>
      <c r="M5271">
        <v>5.1557310000000002E-2</v>
      </c>
      <c r="N5271">
        <v>0</v>
      </c>
      <c r="O5271">
        <v>-0.9985811</v>
      </c>
      <c r="P5271">
        <v>-4.9235189999999998E-2</v>
      </c>
      <c r="Q5271">
        <v>-9.8123050000000003E-3</v>
      </c>
      <c r="R5271">
        <v>-0.9987393</v>
      </c>
      <c r="S5271">
        <v>-4.4662479999999997E-2</v>
      </c>
      <c r="T5271">
        <v>-0.1012226</v>
      </c>
      <c r="U5271">
        <v>-3.0005799999999998</v>
      </c>
      <c r="V5271">
        <v>0.1006686</v>
      </c>
      <c r="W5271">
        <v>3.396806E-3</v>
      </c>
      <c r="X5271">
        <v>0.99491419999999997</v>
      </c>
      <c r="Y5271">
        <v>6.6410910000000004E-2</v>
      </c>
      <c r="Z5271">
        <v>3.3608850000000003E-2</v>
      </c>
      <c r="AA5271">
        <v>0.99722619999999895</v>
      </c>
      <c r="AB5271">
        <v>18</v>
      </c>
      <c r="AC5271">
        <v>-0.49429999999998098</v>
      </c>
      <c r="AD5271">
        <v>-1.10997862945</v>
      </c>
      <c r="AE5271">
        <v>-32.81</v>
      </c>
      <c r="AF5271">
        <v>2.1828903265659001</v>
      </c>
      <c r="AG5271">
        <v>-1.10997862945</v>
      </c>
      <c r="AH5271">
        <v>32.703448442867803</v>
      </c>
      <c r="AI5271">
        <v>91.939601227633005</v>
      </c>
      <c r="AJ5271">
        <v>86.181284794607905</v>
      </c>
      <c r="AK5271">
        <v>32.795008809130699</v>
      </c>
      <c r="AL5271">
        <v>89.805376975251207</v>
      </c>
      <c r="AM5271">
        <v>84.222293742099694</v>
      </c>
      <c r="AN5271">
        <v>0.99999998533930001</v>
      </c>
    </row>
    <row r="5272" spans="1:40" x14ac:dyDescent="0.25">
      <c r="A5272" t="str">
        <f>"20190312154029843"</f>
        <v>20190312154029843</v>
      </c>
      <c r="B5272" t="str">
        <f>"1552376429831520"</f>
        <v>1552376429831520</v>
      </c>
      <c r="C5272" t="s">
        <v>40</v>
      </c>
      <c r="D5272">
        <v>4.0217239999999999</v>
      </c>
      <c r="E5272">
        <v>0.48720380000000002</v>
      </c>
      <c r="F5272" t="s">
        <v>55</v>
      </c>
      <c r="G5272">
        <v>-192.2945</v>
      </c>
      <c r="H5272" s="1">
        <v>-1.2080019999999999E-5</v>
      </c>
      <c r="I5272">
        <v>151.89599999999999</v>
      </c>
      <c r="J5272">
        <v>-191.77279999999999</v>
      </c>
      <c r="K5272">
        <v>1.109958</v>
      </c>
      <c r="L5272">
        <v>185.898</v>
      </c>
      <c r="M5272">
        <v>5.1321550000000001E-2</v>
      </c>
      <c r="N5272">
        <v>0</v>
      </c>
      <c r="O5272">
        <v>-0.99859310000000001</v>
      </c>
      <c r="P5272">
        <v>-4.9598120000000002E-2</v>
      </c>
      <c r="Q5272">
        <v>-9.9178779999999998E-3</v>
      </c>
      <c r="R5272">
        <v>-0.99872000000000005</v>
      </c>
      <c r="S5272">
        <v>-4.5486449999999998E-2</v>
      </c>
      <c r="T5272">
        <v>-9.7670560000000003E-2</v>
      </c>
      <c r="U5272">
        <v>-3.0005799999999998</v>
      </c>
      <c r="V5272">
        <v>0.1007952</v>
      </c>
      <c r="W5272">
        <v>3.2885649999999998E-3</v>
      </c>
      <c r="X5272">
        <v>0.99490179999999995</v>
      </c>
      <c r="Y5272">
        <v>6.6449720000000004E-2</v>
      </c>
      <c r="Z5272">
        <v>3.24312E-2</v>
      </c>
      <c r="AA5272">
        <v>0.9972626</v>
      </c>
      <c r="AB5272">
        <v>18</v>
      </c>
      <c r="AC5272">
        <v>-0.52170000000000905</v>
      </c>
      <c r="AD5272">
        <v>-1.1099700800200001</v>
      </c>
      <c r="AE5272">
        <v>-34.001999999999903</v>
      </c>
      <c r="AF5272">
        <v>2.2637911369258701</v>
      </c>
      <c r="AG5272">
        <v>-1.1099700800200001</v>
      </c>
      <c r="AH5272">
        <v>33.894295827600203</v>
      </c>
      <c r="AI5272">
        <v>91.871484732087097</v>
      </c>
      <c r="AJ5272">
        <v>86.178904958136798</v>
      </c>
      <c r="AK5272">
        <v>33.987940119092897</v>
      </c>
      <c r="AL5272">
        <v>89.811578772635201</v>
      </c>
      <c r="AM5272">
        <v>84.215005383921195</v>
      </c>
      <c r="AN5272">
        <v>1.00000003932301</v>
      </c>
    </row>
    <row r="5273" spans="1:40" x14ac:dyDescent="0.25">
      <c r="A5273" t="str">
        <f>"20190312154029855"</f>
        <v>20190312154029855</v>
      </c>
      <c r="B5273" t="str">
        <f>"1552376429851041"</f>
        <v>1552376429851041</v>
      </c>
      <c r="C5273" t="s">
        <v>40</v>
      </c>
      <c r="D5273">
        <v>4.0024240000000004</v>
      </c>
      <c r="E5273">
        <v>0.48716399999999999</v>
      </c>
      <c r="F5273" t="s">
        <v>55</v>
      </c>
      <c r="G5273">
        <v>-192.30690000000001</v>
      </c>
      <c r="H5273" s="1">
        <v>-1.172517E-5</v>
      </c>
      <c r="I5273">
        <v>151.06370000000001</v>
      </c>
      <c r="J5273">
        <v>-191.7679</v>
      </c>
      <c r="K5273">
        <v>1.1099540000000001</v>
      </c>
      <c r="L5273">
        <v>185.7971</v>
      </c>
      <c r="M5273">
        <v>5.107167E-2</v>
      </c>
      <c r="N5273">
        <v>0</v>
      </c>
      <c r="O5273">
        <v>-0.9986062</v>
      </c>
      <c r="P5273">
        <v>-5.0160589999999998E-2</v>
      </c>
      <c r="Q5273">
        <v>-1.0148030000000001E-2</v>
      </c>
      <c r="R5273">
        <v>-0.99869010000000003</v>
      </c>
      <c r="S5273">
        <v>-4.6005249999999998E-2</v>
      </c>
      <c r="T5273">
        <v>-9.5612290000000003E-2</v>
      </c>
      <c r="U5273">
        <v>-3.00061</v>
      </c>
      <c r="V5273">
        <v>0.1011063</v>
      </c>
      <c r="W5273">
        <v>3.055393E-3</v>
      </c>
      <c r="X5273">
        <v>0.99487099999999995</v>
      </c>
      <c r="Y5273">
        <v>6.637258E-2</v>
      </c>
      <c r="Z5273">
        <v>3.1748789999999999E-2</v>
      </c>
      <c r="AA5273">
        <v>0.99728969999999995</v>
      </c>
      <c r="AB5273">
        <v>18</v>
      </c>
      <c r="AC5273">
        <v>-0.53900000000001502</v>
      </c>
      <c r="AD5273">
        <v>-1.1099657251699999</v>
      </c>
      <c r="AE5273">
        <v>-34.733399999999897</v>
      </c>
      <c r="AF5273">
        <v>2.3099880651054501</v>
      </c>
      <c r="AG5273">
        <v>-1.1099657251699999</v>
      </c>
      <c r="AH5273">
        <v>34.625182633243597</v>
      </c>
      <c r="AI5273">
        <v>91.832009664008098</v>
      </c>
      <c r="AJ5273">
        <v>86.183219192362202</v>
      </c>
      <c r="AK5273">
        <v>34.719898346012698</v>
      </c>
      <c r="AL5273">
        <v>89.824938614992604</v>
      </c>
      <c r="AM5273">
        <v>84.197093487666294</v>
      </c>
      <c r="AN5273">
        <v>1.0000000629835299</v>
      </c>
    </row>
    <row r="5274" spans="1:40" x14ac:dyDescent="0.25">
      <c r="A5274" t="str">
        <f>"20190312154029869"</f>
        <v>20190312154029869</v>
      </c>
      <c r="B5274" t="str">
        <f>"1552376429861777"</f>
        <v>1552376429861777</v>
      </c>
      <c r="C5274" t="s">
        <v>40</v>
      </c>
      <c r="D5274">
        <v>4.0239929999999999</v>
      </c>
      <c r="E5274">
        <v>0.48715779999999997</v>
      </c>
      <c r="F5274" t="s">
        <v>55</v>
      </c>
      <c r="G5274">
        <v>-192.34059999999999</v>
      </c>
      <c r="H5274" s="1">
        <v>-1.1132019999999999E-5</v>
      </c>
      <c r="I5274">
        <v>149.6671</v>
      </c>
      <c r="J5274">
        <v>-191.7627</v>
      </c>
      <c r="K5274">
        <v>1.109947</v>
      </c>
      <c r="L5274">
        <v>185.68879999999999</v>
      </c>
      <c r="M5274">
        <v>5.0789529999999999E-2</v>
      </c>
      <c r="N5274">
        <v>0</v>
      </c>
      <c r="O5274">
        <v>-0.99862070000000003</v>
      </c>
      <c r="P5274">
        <v>-5.0300699999999997E-2</v>
      </c>
      <c r="Q5274">
        <v>-1.022551E-2</v>
      </c>
      <c r="R5274">
        <v>-0.99868239999999997</v>
      </c>
      <c r="S5274">
        <v>-4.7561649999999997E-2</v>
      </c>
      <c r="T5274">
        <v>-9.2183109999999999E-2</v>
      </c>
      <c r="U5274">
        <v>-3.00061</v>
      </c>
      <c r="V5274">
        <v>0.10096479999999999</v>
      </c>
      <c r="W5274">
        <v>2.9748079999999998E-3</v>
      </c>
      <c r="X5274">
        <v>0.99488560000000004</v>
      </c>
      <c r="Y5274">
        <v>6.6608399999999998E-2</v>
      </c>
      <c r="Z5274">
        <v>3.0611490000000002E-2</v>
      </c>
      <c r="AA5274">
        <v>0.99730949999999996</v>
      </c>
      <c r="AB5274">
        <v>18</v>
      </c>
      <c r="AC5274">
        <v>-0.57789999999999897</v>
      </c>
      <c r="AD5274">
        <v>-1.10995813202</v>
      </c>
      <c r="AE5274">
        <v>-36.021699999999903</v>
      </c>
      <c r="AF5274">
        <v>2.4045587884852999</v>
      </c>
      <c r="AG5274">
        <v>-1.10995813202</v>
      </c>
      <c r="AH5274">
        <v>35.911758884448098</v>
      </c>
      <c r="AI5274">
        <v>91.766377702093493</v>
      </c>
      <c r="AJ5274">
        <v>86.169340154760206</v>
      </c>
      <c r="AK5274">
        <v>36.009281250767202</v>
      </c>
      <c r="AL5274">
        <v>89.829555813648497</v>
      </c>
      <c r="AM5274">
        <v>84.205243908357701</v>
      </c>
      <c r="AN5274">
        <v>1.00000004870451</v>
      </c>
    </row>
    <row r="5275" spans="1:40" x14ac:dyDescent="0.25">
      <c r="A5275" t="str">
        <f>"20190312154029885"</f>
        <v>20190312154029885</v>
      </c>
      <c r="B5275" t="str">
        <f>"1552376429871536"</f>
        <v>1552376429871536</v>
      </c>
      <c r="C5275" t="s">
        <v>40</v>
      </c>
      <c r="D5275">
        <v>4.0452680000000001</v>
      </c>
      <c r="E5275">
        <v>0.48714580000000002</v>
      </c>
      <c r="F5275" t="s">
        <v>55</v>
      </c>
      <c r="G5275">
        <v>-192.35040000000001</v>
      </c>
      <c r="H5275" s="1">
        <v>-1.094196E-5</v>
      </c>
      <c r="I5275">
        <v>148.9717</v>
      </c>
      <c r="J5275">
        <v>-191.7568</v>
      </c>
      <c r="K5275">
        <v>1.1099319999999999</v>
      </c>
      <c r="L5275">
        <v>185.56639999999999</v>
      </c>
      <c r="M5275">
        <v>5.0457410000000001E-2</v>
      </c>
      <c r="N5275">
        <v>0</v>
      </c>
      <c r="O5275">
        <v>-0.99863740000000001</v>
      </c>
      <c r="P5275">
        <v>-5.0546880000000002E-2</v>
      </c>
      <c r="Q5275">
        <v>-1.0154420000000001E-2</v>
      </c>
      <c r="R5275">
        <v>-0.99867030000000001</v>
      </c>
      <c r="S5275">
        <v>-4.8034670000000002E-2</v>
      </c>
      <c r="T5275">
        <v>-9.0707899999999994E-2</v>
      </c>
      <c r="U5275">
        <v>-3.0005950000000001</v>
      </c>
      <c r="V5275">
        <v>0.10087930000000001</v>
      </c>
      <c r="W5275">
        <v>3.042519E-3</v>
      </c>
      <c r="X5275">
        <v>0.99489399999999995</v>
      </c>
      <c r="Y5275">
        <v>6.6434060000000003E-2</v>
      </c>
      <c r="Z5275">
        <v>3.012312E-2</v>
      </c>
      <c r="AA5275">
        <v>0.997336</v>
      </c>
      <c r="AB5275">
        <v>18</v>
      </c>
      <c r="AC5275">
        <v>-0.59360000000000901</v>
      </c>
      <c r="AD5275">
        <v>-1.10994294196</v>
      </c>
      <c r="AE5275">
        <v>-36.594699999999897</v>
      </c>
      <c r="AF5275">
        <v>2.43723977298019</v>
      </c>
      <c r="AG5275">
        <v>-1.10994294196</v>
      </c>
      <c r="AH5275">
        <v>36.484568514364398</v>
      </c>
      <c r="AI5275">
        <v>91.738656846182906</v>
      </c>
      <c r="AJ5275">
        <v>86.178209226030503</v>
      </c>
      <c r="AK5275">
        <v>36.582726124836</v>
      </c>
      <c r="AL5275">
        <v>89.825676229889794</v>
      </c>
      <c r="AM5275">
        <v>84.210166280361705</v>
      </c>
      <c r="AN5275">
        <v>0.99999998066317697</v>
      </c>
    </row>
    <row r="5276" spans="1:40" x14ac:dyDescent="0.25">
      <c r="A5276" t="str">
        <f>"20190312154029899"</f>
        <v>20190312154029899</v>
      </c>
      <c r="B5276" t="str">
        <f>"1552376429892032"</f>
        <v>1552376429892032</v>
      </c>
      <c r="C5276" t="s">
        <v>40</v>
      </c>
      <c r="D5276">
        <v>4.1447010000000004</v>
      </c>
      <c r="E5276">
        <v>0.48736859999999999</v>
      </c>
      <c r="F5276" t="s">
        <v>55</v>
      </c>
      <c r="G5276">
        <v>-192.36500000000001</v>
      </c>
      <c r="H5276" s="1">
        <v>-1.069917E-5</v>
      </c>
      <c r="I5276">
        <v>148.0412</v>
      </c>
      <c r="J5276">
        <v>-191.7516</v>
      </c>
      <c r="K5276">
        <v>1.1099239999999999</v>
      </c>
      <c r="L5276">
        <v>185.45570000000001</v>
      </c>
      <c r="M5276">
        <v>5.0144429999999997E-2</v>
      </c>
      <c r="N5276">
        <v>0</v>
      </c>
      <c r="O5276">
        <v>-0.99865320000000002</v>
      </c>
      <c r="P5276">
        <v>-5.0692559999999998E-2</v>
      </c>
      <c r="Q5276">
        <v>-1.03532E-2</v>
      </c>
      <c r="R5276">
        <v>-0.99866069999999996</v>
      </c>
      <c r="S5276">
        <v>-4.8629760000000001E-2</v>
      </c>
      <c r="T5276">
        <v>-8.8753940000000003E-2</v>
      </c>
      <c r="U5276">
        <v>-3.00061</v>
      </c>
      <c r="V5276">
        <v>0.1007125</v>
      </c>
      <c r="W5276">
        <v>2.8403410000000001E-3</v>
      </c>
      <c r="X5276">
        <v>0.99491149999999995</v>
      </c>
      <c r="Y5276">
        <v>6.6319329999999996E-2</v>
      </c>
      <c r="Z5276">
        <v>2.9475419999999999E-2</v>
      </c>
      <c r="AA5276">
        <v>0.997363</v>
      </c>
      <c r="AB5276">
        <v>17</v>
      </c>
      <c r="AC5276">
        <v>-0.61340000000001205</v>
      </c>
      <c r="AD5276">
        <v>-1.1099346991700001</v>
      </c>
      <c r="AE5276">
        <v>-37.414499999999997</v>
      </c>
      <c r="AF5276">
        <v>2.4867354278399598</v>
      </c>
      <c r="AG5276">
        <v>-1.1099346991700001</v>
      </c>
      <c r="AH5276">
        <v>37.303841016278398</v>
      </c>
      <c r="AI5276">
        <v>91.700498095759698</v>
      </c>
      <c r="AJ5276">
        <v>86.186211581089907</v>
      </c>
      <c r="AK5276">
        <v>37.403106324104598</v>
      </c>
      <c r="AL5276">
        <v>89.837260226901506</v>
      </c>
      <c r="AM5276">
        <v>84.219775651559502</v>
      </c>
      <c r="AN5276">
        <v>0.99999998401274703</v>
      </c>
    </row>
    <row r="5277" spans="1:40" x14ac:dyDescent="0.25">
      <c r="A5277" t="str">
        <f>"20190312154029913"</f>
        <v>20190312154029913</v>
      </c>
      <c r="B5277" t="str">
        <f>"1552376429901792"</f>
        <v>1552376429901792</v>
      </c>
      <c r="C5277" t="s">
        <v>40</v>
      </c>
      <c r="D5277">
        <v>4.1534170000000001</v>
      </c>
      <c r="E5277">
        <v>0.48736859999999999</v>
      </c>
      <c r="F5277" t="s">
        <v>55</v>
      </c>
      <c r="G5277">
        <v>-192.40260000000001</v>
      </c>
      <c r="H5277" s="1">
        <v>-1.0443160000000001E-5</v>
      </c>
      <c r="I5277">
        <v>147.04519999999999</v>
      </c>
      <c r="J5277">
        <v>-191.7466</v>
      </c>
      <c r="K5277">
        <v>1.1099159999999999</v>
      </c>
      <c r="L5277">
        <v>185.34800000000001</v>
      </c>
      <c r="M5277">
        <v>4.9823480000000003E-2</v>
      </c>
      <c r="N5277">
        <v>0</v>
      </c>
      <c r="O5277">
        <v>-0.99866920000000003</v>
      </c>
      <c r="P5277">
        <v>-5.0652429999999998E-2</v>
      </c>
      <c r="Q5277">
        <v>-1.019627E-2</v>
      </c>
      <c r="R5277">
        <v>-0.99866460000000001</v>
      </c>
      <c r="S5277">
        <v>-5.085754E-2</v>
      </c>
      <c r="T5277">
        <v>-8.6706039999999998E-2</v>
      </c>
      <c r="U5277">
        <v>-3.0005649999999999</v>
      </c>
      <c r="V5277">
        <v>0.100353</v>
      </c>
      <c r="W5277">
        <v>2.9948349999999999E-3</v>
      </c>
      <c r="X5277">
        <v>0.99494740000000004</v>
      </c>
      <c r="Y5277">
        <v>6.673954E-2</v>
      </c>
      <c r="Z5277">
        <v>2.8796430000000001E-2</v>
      </c>
      <c r="AA5277">
        <v>0.99735479999999999</v>
      </c>
      <c r="AB5277">
        <v>17</v>
      </c>
      <c r="AC5277">
        <v>-0.65600000000000502</v>
      </c>
      <c r="AD5277">
        <v>-1.10992644316</v>
      </c>
      <c r="AE5277">
        <v>-38.302799999999898</v>
      </c>
      <c r="AF5277">
        <v>2.5615829157633301</v>
      </c>
      <c r="AG5277">
        <v>-1.10992644316</v>
      </c>
      <c r="AH5277">
        <v>38.190474498268401</v>
      </c>
      <c r="AI5277">
        <v>91.660983654653194</v>
      </c>
      <c r="AJ5277">
        <v>86.162698005909604</v>
      </c>
      <c r="AK5277">
        <v>38.292375039248299</v>
      </c>
      <c r="AL5277">
        <v>89.828408339582197</v>
      </c>
      <c r="AM5277">
        <v>84.240476006506299</v>
      </c>
      <c r="AN5277">
        <v>1.00000001120621</v>
      </c>
    </row>
    <row r="5278" spans="1:40" x14ac:dyDescent="0.25">
      <c r="A5278" t="str">
        <f>"20190312154029930"</f>
        <v>20190312154029930</v>
      </c>
      <c r="B5278" t="str">
        <f>"1552376429921316"</f>
        <v>1552376429921316</v>
      </c>
      <c r="C5278" t="s">
        <v>40</v>
      </c>
      <c r="D5278">
        <v>4.1299679999999999</v>
      </c>
      <c r="E5278">
        <v>0.52279529999999996</v>
      </c>
      <c r="F5278" t="s">
        <v>55</v>
      </c>
      <c r="G5278">
        <v>-192.40049999999999</v>
      </c>
      <c r="H5278" s="1">
        <v>-1.035773E-5</v>
      </c>
      <c r="I5278">
        <v>146.7227</v>
      </c>
      <c r="J5278">
        <v>-191.7405</v>
      </c>
      <c r="K5278">
        <v>1.1099049999999999</v>
      </c>
      <c r="L5278">
        <v>185.21729999999999</v>
      </c>
      <c r="M5278">
        <v>4.9418410000000003E-2</v>
      </c>
      <c r="N5278">
        <v>0</v>
      </c>
      <c r="O5278">
        <v>-0.99868950000000001</v>
      </c>
      <c r="P5278">
        <v>-5.0663390000000003E-2</v>
      </c>
      <c r="Q5278">
        <v>-9.8340979999999995E-3</v>
      </c>
      <c r="R5278">
        <v>-0.99866779999999999</v>
      </c>
      <c r="S5278">
        <v>-5.0796510000000003E-2</v>
      </c>
      <c r="T5278">
        <v>-8.6222649999999998E-2</v>
      </c>
      <c r="U5278">
        <v>-3.000534</v>
      </c>
      <c r="V5278">
        <v>9.9960950000000007E-2</v>
      </c>
      <c r="W5278">
        <v>3.3534150000000002E-3</v>
      </c>
      <c r="X5278">
        <v>0.99498569999999997</v>
      </c>
      <c r="Y5278">
        <v>6.6314789999999998E-2</v>
      </c>
      <c r="Z5278">
        <v>2.8637590000000001E-2</v>
      </c>
      <c r="AA5278">
        <v>0.99738769999999999</v>
      </c>
      <c r="AB5278">
        <v>17</v>
      </c>
      <c r="AC5278">
        <v>-0.65999999999999603</v>
      </c>
      <c r="AD5278">
        <v>-1.1099153577299901</v>
      </c>
      <c r="AE5278">
        <v>-38.494599999999899</v>
      </c>
      <c r="AF5278">
        <v>2.5595765887494499</v>
      </c>
      <c r="AG5278">
        <v>-1.1099153577299901</v>
      </c>
      <c r="AH5278">
        <v>38.383038451432299</v>
      </c>
      <c r="AI5278">
        <v>91.652681553805806</v>
      </c>
      <c r="AJ5278">
        <v>86.1848739387259</v>
      </c>
      <c r="AK5278">
        <v>38.484295305736502</v>
      </c>
      <c r="AL5278">
        <v>89.8078631115241</v>
      </c>
      <c r="AM5278">
        <v>84.263045767410105</v>
      </c>
      <c r="AN5278">
        <v>0.999999990060777</v>
      </c>
    </row>
    <row r="5279" spans="1:40" x14ac:dyDescent="0.25">
      <c r="A5279" t="str">
        <f>"20190312154029943"</f>
        <v>20190312154029943</v>
      </c>
      <c r="B5279" t="str">
        <f>"1552376429931072"</f>
        <v>1552376429931072</v>
      </c>
      <c r="C5279" t="s">
        <v>40</v>
      </c>
      <c r="D5279">
        <v>4.0906760000000002</v>
      </c>
      <c r="E5279">
        <v>0.52541169999999904</v>
      </c>
      <c r="F5279" t="s">
        <v>55</v>
      </c>
      <c r="G5279">
        <v>-196.1962</v>
      </c>
      <c r="H5279" s="1">
        <v>-1.0624080000000001E-5</v>
      </c>
      <c r="I5279">
        <v>145.25620000000001</v>
      </c>
      <c r="J5279">
        <v>-191.73580000000001</v>
      </c>
      <c r="K5279">
        <v>1.109901</v>
      </c>
      <c r="L5279">
        <v>185.1139</v>
      </c>
      <c r="M5279">
        <v>4.9085480000000001E-2</v>
      </c>
      <c r="N5279">
        <v>0</v>
      </c>
      <c r="O5279">
        <v>-0.99870570000000003</v>
      </c>
      <c r="P5279">
        <v>-5.070707E-2</v>
      </c>
      <c r="Q5279">
        <v>-9.7237560000000001E-3</v>
      </c>
      <c r="R5279">
        <v>-0.99866639999999995</v>
      </c>
      <c r="S5279">
        <v>-0.33297729999999998</v>
      </c>
      <c r="T5279">
        <v>-8.2944509999999999E-2</v>
      </c>
      <c r="U5279">
        <v>-2.986313</v>
      </c>
      <c r="V5279">
        <v>9.9673020000000001E-2</v>
      </c>
      <c r="W5279">
        <v>3.4611799999999999E-3</v>
      </c>
      <c r="X5279">
        <v>0.99501430000000002</v>
      </c>
      <c r="Y5279">
        <v>0.1594264</v>
      </c>
      <c r="Z5279">
        <v>2.7451369999999999E-2</v>
      </c>
      <c r="AA5279">
        <v>0.98682809999999999</v>
      </c>
      <c r="AB5279">
        <v>17</v>
      </c>
      <c r="AC5279">
        <v>-4.4603999999999902</v>
      </c>
      <c r="AD5279">
        <v>-1.10991162408</v>
      </c>
      <c r="AE5279">
        <v>-39.857700000000001</v>
      </c>
      <c r="AF5279">
        <v>6.4067237982274303</v>
      </c>
      <c r="AG5279">
        <v>-1.10991162408</v>
      </c>
      <c r="AH5279">
        <v>39.560388363777101</v>
      </c>
      <c r="AI5279">
        <v>91.586418391532703</v>
      </c>
      <c r="AJ5279">
        <v>80.800932834550906</v>
      </c>
      <c r="AK5279">
        <v>40.091175352350497</v>
      </c>
      <c r="AL5279">
        <v>89.8016886125734</v>
      </c>
      <c r="AM5279">
        <v>84.2796242130552</v>
      </c>
      <c r="AN5279">
        <v>1.0000000739436901</v>
      </c>
    </row>
    <row r="5280" spans="1:40" x14ac:dyDescent="0.25">
      <c r="A5280" t="str">
        <f>"20190312154029955"</f>
        <v>20190312154029955</v>
      </c>
      <c r="B5280" t="str">
        <f>"1552376429951569"</f>
        <v>1552376429951569</v>
      </c>
      <c r="C5280" t="s">
        <v>40</v>
      </c>
      <c r="D5280">
        <v>4.1238530000000004</v>
      </c>
      <c r="E5280">
        <v>0.52832939999999995</v>
      </c>
      <c r="F5280" t="s">
        <v>55</v>
      </c>
      <c r="G5280">
        <v>-196.67189999999999</v>
      </c>
      <c r="H5280" s="1">
        <v>-1.0165370000000001E-5</v>
      </c>
      <c r="I5280">
        <v>143.4847</v>
      </c>
      <c r="J5280">
        <v>-191.7312</v>
      </c>
      <c r="K5280">
        <v>1.109891</v>
      </c>
      <c r="L5280">
        <v>185.01320000000001</v>
      </c>
      <c r="M5280">
        <v>4.875198E-2</v>
      </c>
      <c r="N5280">
        <v>0</v>
      </c>
      <c r="O5280">
        <v>-0.99872229999999995</v>
      </c>
      <c r="P5280">
        <v>-5.0751119999999997E-2</v>
      </c>
      <c r="Q5280">
        <v>-9.5377010000000009E-3</v>
      </c>
      <c r="R5280">
        <v>-0.9986661</v>
      </c>
      <c r="S5280">
        <v>-0.35397339999999999</v>
      </c>
      <c r="T5280">
        <v>-7.9592940000000001E-2</v>
      </c>
      <c r="U5280">
        <v>-2.9852750000000001</v>
      </c>
      <c r="V5280">
        <v>9.938495E-2</v>
      </c>
      <c r="W5280">
        <v>3.6442839999999998E-3</v>
      </c>
      <c r="X5280">
        <v>0.99504239999999999</v>
      </c>
      <c r="Y5280">
        <v>0.1659844</v>
      </c>
      <c r="Z5280">
        <v>2.632777E-2</v>
      </c>
      <c r="AA5280">
        <v>0.98577680000000001</v>
      </c>
      <c r="AB5280">
        <v>17</v>
      </c>
      <c r="AC5280">
        <v>-4.9406999999999899</v>
      </c>
      <c r="AD5280">
        <v>-1.1099011653699999</v>
      </c>
      <c r="AE5280">
        <v>-41.528500000000001</v>
      </c>
      <c r="AF5280">
        <v>6.9547015030947499</v>
      </c>
      <c r="AG5280">
        <v>-1.1099011653699999</v>
      </c>
      <c r="AH5280">
        <v>41.209195515490997</v>
      </c>
      <c r="AI5280">
        <v>91.521291387270196</v>
      </c>
      <c r="AJ5280">
        <v>80.420698693641796</v>
      </c>
      <c r="AK5280">
        <v>41.806668710003699</v>
      </c>
      <c r="AL5280">
        <v>89.791197448080794</v>
      </c>
      <c r="AM5280">
        <v>84.296207801244506</v>
      </c>
      <c r="AN5280">
        <v>1.00000001344506</v>
      </c>
    </row>
    <row r="5281" spans="1:40" x14ac:dyDescent="0.25">
      <c r="A5281" t="str">
        <f>"20190312154029970"</f>
        <v>20190312154029970</v>
      </c>
      <c r="B5281" t="str">
        <f>"1552376429961329"</f>
        <v>1552376429961329</v>
      </c>
      <c r="C5281" t="s">
        <v>40</v>
      </c>
      <c r="D5281">
        <v>4.0767540000000002</v>
      </c>
      <c r="E5281">
        <v>0.52929110000000001</v>
      </c>
      <c r="F5281" t="s">
        <v>55</v>
      </c>
      <c r="G5281">
        <v>-197.59460000000001</v>
      </c>
      <c r="H5281" s="1">
        <v>-8.8354830000000005E-6</v>
      </c>
      <c r="I5281">
        <v>138.6422</v>
      </c>
      <c r="J5281">
        <v>-191.72630000000001</v>
      </c>
      <c r="K5281">
        <v>1.10988</v>
      </c>
      <c r="L5281">
        <v>184.90559999999999</v>
      </c>
      <c r="M5281">
        <v>4.8377660000000003E-2</v>
      </c>
      <c r="N5281">
        <v>0</v>
      </c>
      <c r="O5281">
        <v>-0.99874039999999997</v>
      </c>
      <c r="P5281">
        <v>-5.0901469999999997E-2</v>
      </c>
      <c r="Q5281">
        <v>-9.2832230000000002E-3</v>
      </c>
      <c r="R5281">
        <v>-0.99866069999999996</v>
      </c>
      <c r="S5281">
        <v>-0.37733460000000002</v>
      </c>
      <c r="T5281">
        <v>-7.1426149999999994E-2</v>
      </c>
      <c r="U5281">
        <v>-2.984146</v>
      </c>
      <c r="V5281">
        <v>9.9162260000000002E-2</v>
      </c>
      <c r="W5281">
        <v>3.8955750000000001E-3</v>
      </c>
      <c r="X5281">
        <v>0.9950637</v>
      </c>
      <c r="Y5281">
        <v>0.17326529999999901</v>
      </c>
      <c r="Z5281">
        <v>2.3611360000000001E-2</v>
      </c>
      <c r="AA5281">
        <v>0.98459209999999997</v>
      </c>
      <c r="AB5281">
        <v>17</v>
      </c>
      <c r="AC5281">
        <v>-5.8682999999999996</v>
      </c>
      <c r="AD5281">
        <v>-1.1098888354830001</v>
      </c>
      <c r="AE5281">
        <v>-46.263399999999898</v>
      </c>
      <c r="AF5281">
        <v>8.0951556586456093</v>
      </c>
      <c r="AG5281">
        <v>-1.1098888354830001</v>
      </c>
      <c r="AH5281">
        <v>45.899302441113498</v>
      </c>
      <c r="AI5281">
        <v>91.364150822920394</v>
      </c>
      <c r="AJ5281">
        <v>79.997735802123103</v>
      </c>
      <c r="AK5281">
        <v>46.620911219598</v>
      </c>
      <c r="AL5281">
        <v>89.776799439945705</v>
      </c>
      <c r="AM5281">
        <v>84.309025214477003</v>
      </c>
      <c r="AN5281">
        <v>1.00000004818528</v>
      </c>
    </row>
    <row r="5282" spans="1:40" x14ac:dyDescent="0.25">
      <c r="A5282" t="str">
        <f>"20190312154029983"</f>
        <v>20190312154029983</v>
      </c>
      <c r="B5282" t="str">
        <f>"1552376429971089"</f>
        <v>1552376429971089</v>
      </c>
      <c r="C5282" t="s">
        <v>40</v>
      </c>
      <c r="D5282">
        <v>4.0952310000000001</v>
      </c>
      <c r="E5282">
        <v>0.52993199999999996</v>
      </c>
      <c r="F5282" t="s">
        <v>55</v>
      </c>
      <c r="G5282">
        <v>-198.0163</v>
      </c>
      <c r="H5282" s="1">
        <v>-8.1430160000000002E-6</v>
      </c>
      <c r="I5282">
        <v>136.2313</v>
      </c>
      <c r="J5282">
        <v>-191.7217</v>
      </c>
      <c r="K5282">
        <v>1.109869</v>
      </c>
      <c r="L5282">
        <v>184.8014</v>
      </c>
      <c r="M5282">
        <v>4.8005579999999999E-2</v>
      </c>
      <c r="N5282">
        <v>0</v>
      </c>
      <c r="O5282">
        <v>-0.99875829999999999</v>
      </c>
      <c r="P5282">
        <v>-5.1256580000000003E-2</v>
      </c>
      <c r="Q5282">
        <v>-9.4434429999999993E-3</v>
      </c>
      <c r="R5282">
        <v>-0.99864109999999995</v>
      </c>
      <c r="S5282">
        <v>-0.38557429999999998</v>
      </c>
      <c r="T5282">
        <v>-6.803584E-2</v>
      </c>
      <c r="U5282">
        <v>-2.9837189999999998</v>
      </c>
      <c r="V5282">
        <v>9.9145239999999996E-2</v>
      </c>
      <c r="W5282">
        <v>3.7320209999999999E-3</v>
      </c>
      <c r="X5282">
        <v>0.99506600000000001</v>
      </c>
      <c r="Y5282">
        <v>0.175594</v>
      </c>
      <c r="Z5282">
        <v>2.248642E-2</v>
      </c>
      <c r="AA5282">
        <v>0.98420580000000002</v>
      </c>
      <c r="AB5282">
        <v>17</v>
      </c>
      <c r="AC5282">
        <v>-6.2946</v>
      </c>
      <c r="AD5282">
        <v>-1.1098771430159999</v>
      </c>
      <c r="AE5282">
        <v>-48.570099999999996</v>
      </c>
      <c r="AF5282">
        <v>8.6147599747715091</v>
      </c>
      <c r="AG5282">
        <v>-1.1098771430159999</v>
      </c>
      <c r="AH5282">
        <v>48.187143053907697</v>
      </c>
      <c r="AI5282">
        <v>91.298853771533103</v>
      </c>
      <c r="AJ5282">
        <v>79.863906173212797</v>
      </c>
      <c r="AK5282">
        <v>48.963728130048203</v>
      </c>
      <c r="AL5282">
        <v>89.786170456722303</v>
      </c>
      <c r="AM5282">
        <v>84.310008656762093</v>
      </c>
      <c r="AN5282">
        <v>1.0000000254757</v>
      </c>
    </row>
    <row r="5283" spans="1:40" x14ac:dyDescent="0.25">
      <c r="A5283" t="str">
        <f>"20190312154029996"</f>
        <v>20190312154029996</v>
      </c>
      <c r="B5283" t="str">
        <f>"1552376429991585"</f>
        <v>1552376429991585</v>
      </c>
      <c r="C5283" t="s">
        <v>40</v>
      </c>
      <c r="D5283">
        <v>4.1200150000000004</v>
      </c>
      <c r="E5283">
        <v>0.53097249999999996</v>
      </c>
      <c r="F5283" t="s">
        <v>55</v>
      </c>
      <c r="G5283">
        <v>-198.11019999999999</v>
      </c>
      <c r="H5283" s="1">
        <v>-8.1318900000000002E-6</v>
      </c>
      <c r="I5283">
        <v>136.1474</v>
      </c>
      <c r="J5283">
        <v>-191.71709999999999</v>
      </c>
      <c r="K5283">
        <v>1.1098589999999999</v>
      </c>
      <c r="L5283">
        <v>184.69569999999999</v>
      </c>
      <c r="M5283">
        <v>4.7617720000000002E-2</v>
      </c>
      <c r="N5283">
        <v>0</v>
      </c>
      <c r="O5283">
        <v>-0.99877689999999997</v>
      </c>
      <c r="P5283">
        <v>-5.1643759999999997E-2</v>
      </c>
      <c r="Q5283">
        <v>-9.6819439999999996E-3</v>
      </c>
      <c r="R5283">
        <v>-0.99861860000000002</v>
      </c>
      <c r="S5283">
        <v>-0.39172360000000001</v>
      </c>
      <c r="T5283">
        <v>-6.8054799999999999E-2</v>
      </c>
      <c r="U5283">
        <v>-2.9833370000000001</v>
      </c>
      <c r="V5283">
        <v>9.9144380000000004E-2</v>
      </c>
      <c r="W5283">
        <v>3.4907430000000001E-3</v>
      </c>
      <c r="X5283">
        <v>0.99506689999999998</v>
      </c>
      <c r="Y5283">
        <v>0.1772223</v>
      </c>
      <c r="Z5283">
        <v>2.248988E-2</v>
      </c>
      <c r="AA5283">
        <v>0.98391379999999995</v>
      </c>
      <c r="AB5283">
        <v>17</v>
      </c>
      <c r="AC5283">
        <v>-6.3930999999999996</v>
      </c>
      <c r="AD5283">
        <v>-1.10986713189</v>
      </c>
      <c r="AE5283">
        <v>-48.548299999999898</v>
      </c>
      <c r="AF5283">
        <v>8.6933449080390197</v>
      </c>
      <c r="AG5283">
        <v>-1.10986713189</v>
      </c>
      <c r="AH5283">
        <v>48.164023937188098</v>
      </c>
      <c r="AI5283">
        <v>91.299077124809997</v>
      </c>
      <c r="AJ5283">
        <v>79.768581035482995</v>
      </c>
      <c r="AK5283">
        <v>48.954869549030597</v>
      </c>
      <c r="AL5283">
        <v>89.799994745431405</v>
      </c>
      <c r="AM5283">
        <v>84.310062801263697</v>
      </c>
      <c r="AN5283">
        <v>0.99999996442394201</v>
      </c>
    </row>
    <row r="5284" spans="1:40" x14ac:dyDescent="0.25">
      <c r="A5284" t="str">
        <f>"20190312154030011"</f>
        <v>20190312154030011</v>
      </c>
      <c r="B5284" t="str">
        <f>"1552376430001344"</f>
        <v>1552376430001344</v>
      </c>
      <c r="C5284" t="s">
        <v>40</v>
      </c>
      <c r="D5284">
        <v>4.1221290000000002</v>
      </c>
      <c r="E5284">
        <v>0.53134040000000005</v>
      </c>
      <c r="F5284" t="s">
        <v>55</v>
      </c>
      <c r="G5284">
        <v>-198.2809</v>
      </c>
      <c r="H5284" s="1">
        <v>-8.0799689999999906E-6</v>
      </c>
      <c r="I5284">
        <v>135.89169999999999</v>
      </c>
      <c r="J5284">
        <v>-191.71250000000001</v>
      </c>
      <c r="K5284">
        <v>1.1098509999999999</v>
      </c>
      <c r="L5284">
        <v>184.58850000000001</v>
      </c>
      <c r="M5284">
        <v>4.7207520000000003E-2</v>
      </c>
      <c r="N5284">
        <v>0</v>
      </c>
      <c r="O5284">
        <v>-0.99879620000000002</v>
      </c>
      <c r="P5284">
        <v>-5.1891649999999998E-2</v>
      </c>
      <c r="Q5284">
        <v>-9.8726779999999993E-3</v>
      </c>
      <c r="R5284">
        <v>-0.99860380000000004</v>
      </c>
      <c r="S5284">
        <v>-0.4011536</v>
      </c>
      <c r="T5284">
        <v>-6.7831160000000001E-2</v>
      </c>
      <c r="U5284">
        <v>-2.9827270000000001</v>
      </c>
      <c r="V5284">
        <v>9.8982570000000006E-2</v>
      </c>
      <c r="W5284">
        <v>3.2976250000000002E-3</v>
      </c>
      <c r="X5284">
        <v>0.99508370000000002</v>
      </c>
      <c r="Y5284">
        <v>0.17990030000000001</v>
      </c>
      <c r="Z5284">
        <v>2.2411070000000002E-2</v>
      </c>
      <c r="AA5284">
        <v>0.98342960000000001</v>
      </c>
      <c r="AB5284">
        <v>17</v>
      </c>
      <c r="AC5284">
        <v>-6.5683999999999898</v>
      </c>
      <c r="AD5284">
        <v>-1.109859079969</v>
      </c>
      <c r="AE5284">
        <v>-48.696800000000003</v>
      </c>
      <c r="AF5284">
        <v>8.8556171774277299</v>
      </c>
      <c r="AG5284">
        <v>-1.109859079969</v>
      </c>
      <c r="AH5284">
        <v>48.307748475661803</v>
      </c>
      <c r="AI5284">
        <v>91.294560823001703</v>
      </c>
      <c r="AJ5284">
        <v>79.612064053169604</v>
      </c>
      <c r="AK5284">
        <v>49.125271557095203</v>
      </c>
      <c r="AL5284">
        <v>89.811059662034694</v>
      </c>
      <c r="AM5284">
        <v>84.319383637614905</v>
      </c>
      <c r="AN5284">
        <v>0.99999999675006701</v>
      </c>
    </row>
    <row r="5285" spans="1:40" x14ac:dyDescent="0.25">
      <c r="A5285" t="str">
        <f>"20190312154030030"</f>
        <v>20190312154030030</v>
      </c>
      <c r="B5285" t="str">
        <f>"1552376430021840"</f>
        <v>1552376430021840</v>
      </c>
      <c r="C5285" t="s">
        <v>40</v>
      </c>
      <c r="D5285">
        <v>4.1616160000000004</v>
      </c>
      <c r="E5285">
        <v>0.53157600000000005</v>
      </c>
      <c r="F5285" t="s">
        <v>55</v>
      </c>
      <c r="G5285">
        <v>-198.30850000000001</v>
      </c>
      <c r="H5285" s="1">
        <v>-8.1158029999999993E-6</v>
      </c>
      <c r="I5285">
        <v>135.99430000000001</v>
      </c>
      <c r="J5285">
        <v>-191.70609999999999</v>
      </c>
      <c r="K5285">
        <v>1.109842</v>
      </c>
      <c r="L5285">
        <v>184.4385</v>
      </c>
      <c r="M5285">
        <v>4.6617810000000003E-2</v>
      </c>
      <c r="N5285">
        <v>0</v>
      </c>
      <c r="O5285">
        <v>-0.99882400000000005</v>
      </c>
      <c r="P5285">
        <v>-5.3103820000000003E-2</v>
      </c>
      <c r="Q5285">
        <v>-9.7387540000000005E-3</v>
      </c>
      <c r="R5285">
        <v>-0.99854149999999997</v>
      </c>
      <c r="S5285">
        <v>-0.40483089999999999</v>
      </c>
      <c r="T5285">
        <v>-6.8117860000000002E-2</v>
      </c>
      <c r="U5285">
        <v>-2.9824830000000002</v>
      </c>
      <c r="V5285">
        <v>9.9603200000000003E-2</v>
      </c>
      <c r="W5285">
        <v>3.4258940000000001E-3</v>
      </c>
      <c r="X5285">
        <v>0.9950213</v>
      </c>
      <c r="Y5285">
        <v>0.18052070000000001</v>
      </c>
      <c r="Z5285">
        <v>2.250537E-2</v>
      </c>
      <c r="AA5285">
        <v>0.98331369999999896</v>
      </c>
      <c r="AB5285">
        <v>17</v>
      </c>
      <c r="AC5285">
        <v>-6.60240000000001</v>
      </c>
      <c r="AD5285">
        <v>-1.1098501158030001</v>
      </c>
      <c r="AE5285">
        <v>-48.444200000000002</v>
      </c>
      <c r="AF5285">
        <v>8.8492235182896799</v>
      </c>
      <c r="AG5285">
        <v>-1.1098501158030001</v>
      </c>
      <c r="AH5285">
        <v>48.058941008007999</v>
      </c>
      <c r="AI5285">
        <v>91.301061491989103</v>
      </c>
      <c r="AJ5285">
        <v>79.566836383584103</v>
      </c>
      <c r="AK5285">
        <v>48.879467416977803</v>
      </c>
      <c r="AL5285">
        <v>89.803710341083104</v>
      </c>
      <c r="AM5285">
        <v>84.283644683072694</v>
      </c>
      <c r="AN5285">
        <v>0.99999996082681297</v>
      </c>
    </row>
    <row r="5286" spans="1:40" x14ac:dyDescent="0.25">
      <c r="A5286" t="str">
        <f>"20190312154030043"</f>
        <v>20190312154030043</v>
      </c>
      <c r="B5286" t="str">
        <f>"1552376430031601"</f>
        <v>1552376430031601</v>
      </c>
      <c r="C5286" t="s">
        <v>40</v>
      </c>
      <c r="D5286">
        <v>4.1662949999999999</v>
      </c>
      <c r="E5286">
        <v>0.53169180000000005</v>
      </c>
      <c r="F5286" t="s">
        <v>55</v>
      </c>
      <c r="G5286">
        <v>-197.52420000000001</v>
      </c>
      <c r="H5286" s="1">
        <v>-9.8867109999999998E-6</v>
      </c>
      <c r="I5286">
        <v>142.13650000000001</v>
      </c>
      <c r="J5286">
        <v>-191.702</v>
      </c>
      <c r="K5286">
        <v>1.109836</v>
      </c>
      <c r="L5286">
        <v>184.3399</v>
      </c>
      <c r="M5286">
        <v>4.6219639999999999E-2</v>
      </c>
      <c r="N5286">
        <v>0</v>
      </c>
      <c r="O5286">
        <v>-0.99884289999999998</v>
      </c>
      <c r="P5286">
        <v>-5.3823349999999999E-2</v>
      </c>
      <c r="Q5286">
        <v>-9.8308249999999996E-3</v>
      </c>
      <c r="R5286">
        <v>-0.99850260000000002</v>
      </c>
      <c r="S5286">
        <v>-0.41011049999999899</v>
      </c>
      <c r="T5286">
        <v>-7.823157E-2</v>
      </c>
      <c r="U5286">
        <v>-2.9817960000000001</v>
      </c>
      <c r="V5286">
        <v>9.9923419999999999E-2</v>
      </c>
      <c r="W5286">
        <v>3.3310039999999998E-3</v>
      </c>
      <c r="X5286">
        <v>0.99498960000000003</v>
      </c>
      <c r="Y5286">
        <v>0.18185660000000001</v>
      </c>
      <c r="Z5286">
        <v>2.584502E-2</v>
      </c>
      <c r="AA5286">
        <v>0.98298540000000001</v>
      </c>
      <c r="AB5286">
        <v>17</v>
      </c>
      <c r="AC5286">
        <v>-5.8221999999999996</v>
      </c>
      <c r="AD5286">
        <v>-1.1098458867109999</v>
      </c>
      <c r="AE5286">
        <v>-42.203399999999903</v>
      </c>
      <c r="AF5286">
        <v>7.7615076374891201</v>
      </c>
      <c r="AG5286">
        <v>-1.1098458867109999</v>
      </c>
      <c r="AH5286">
        <v>41.860756960678202</v>
      </c>
      <c r="AI5286">
        <v>91.493276700583294</v>
      </c>
      <c r="AJ5286">
        <v>79.495931107390305</v>
      </c>
      <c r="AK5286">
        <v>42.5886807968974</v>
      </c>
      <c r="AL5286">
        <v>89.809147184866703</v>
      </c>
      <c r="AM5286">
        <v>84.265207656415399</v>
      </c>
      <c r="AN5286">
        <v>1.00000004478015</v>
      </c>
    </row>
    <row r="5287" spans="1:40" x14ac:dyDescent="0.25">
      <c r="A5287" t="str">
        <f>"20190312154030056"</f>
        <v>20190312154030056</v>
      </c>
      <c r="B5287" t="str">
        <f>"1552376430051121"</f>
        <v>1552376430051121</v>
      </c>
      <c r="C5287" t="s">
        <v>40</v>
      </c>
      <c r="D5287">
        <v>4.1449910000000001</v>
      </c>
      <c r="E5287">
        <v>0.5318927</v>
      </c>
      <c r="F5287" t="s">
        <v>55</v>
      </c>
      <c r="G5287">
        <v>-197.21799999999999</v>
      </c>
      <c r="H5287" s="1">
        <v>-1.055779E-5</v>
      </c>
      <c r="I5287">
        <v>144.5401</v>
      </c>
      <c r="J5287">
        <v>-191.69759999999999</v>
      </c>
      <c r="K5287">
        <v>1.109831</v>
      </c>
      <c r="L5287">
        <v>184.23660000000001</v>
      </c>
      <c r="M5287">
        <v>4.5795740000000001E-2</v>
      </c>
      <c r="N5287">
        <v>0</v>
      </c>
      <c r="O5287">
        <v>-0.99886200000000003</v>
      </c>
      <c r="P5287">
        <v>-5.4535880000000002E-2</v>
      </c>
      <c r="Q5287">
        <v>-1.01589E-2</v>
      </c>
      <c r="R5287">
        <v>-0.99846009999999996</v>
      </c>
      <c r="S5287">
        <v>-0.41320800000000002</v>
      </c>
      <c r="T5287">
        <v>-8.3138589999999998E-2</v>
      </c>
      <c r="U5287">
        <v>-2.9813999999999998</v>
      </c>
      <c r="V5287">
        <v>0.1002108</v>
      </c>
      <c r="W5287">
        <v>2.9996039999999999E-3</v>
      </c>
      <c r="X5287">
        <v>0.99496169999999995</v>
      </c>
      <c r="Y5287">
        <v>0.18245320000000001</v>
      </c>
      <c r="Z5287">
        <v>2.7465880000000002E-2</v>
      </c>
      <c r="AA5287">
        <v>0.9828308</v>
      </c>
      <c r="AB5287">
        <v>17</v>
      </c>
      <c r="AC5287">
        <v>-5.5203999999999898</v>
      </c>
      <c r="AD5287">
        <v>-1.10984155779</v>
      </c>
      <c r="AE5287">
        <v>-39.6965</v>
      </c>
      <c r="AF5287">
        <v>7.3270803974243499</v>
      </c>
      <c r="AG5287">
        <v>-1.10984155779</v>
      </c>
      <c r="AH5287">
        <v>39.371819305454999</v>
      </c>
      <c r="AI5287">
        <v>91.587427178400006</v>
      </c>
      <c r="AJ5287">
        <v>79.457875515591496</v>
      </c>
      <c r="AK5287">
        <v>40.063175246791303</v>
      </c>
      <c r="AL5287">
        <v>89.828135091701697</v>
      </c>
      <c r="AM5287">
        <v>84.248664596237603</v>
      </c>
      <c r="AN5287">
        <v>0.99999999326384303</v>
      </c>
    </row>
    <row r="5288" spans="1:40" x14ac:dyDescent="0.25">
      <c r="A5288" t="str">
        <f>"20190312154030070"</f>
        <v>20190312154030070</v>
      </c>
      <c r="B5288" t="str">
        <f>"1552376430061858"</f>
        <v>1552376430061858</v>
      </c>
      <c r="C5288" t="s">
        <v>40</v>
      </c>
      <c r="D5288">
        <v>4.1189830000000001</v>
      </c>
      <c r="E5288">
        <v>0.53182659999999904</v>
      </c>
      <c r="F5288" t="s">
        <v>55</v>
      </c>
      <c r="G5288">
        <v>-196.7492</v>
      </c>
      <c r="H5288" s="1">
        <v>-1.149438E-5</v>
      </c>
      <c r="I5288">
        <v>148.10769999999999</v>
      </c>
      <c r="J5288">
        <v>-191.69309999999999</v>
      </c>
      <c r="K5288">
        <v>1.1098239999999999</v>
      </c>
      <c r="L5288">
        <v>184.12639999999999</v>
      </c>
      <c r="M5288">
        <v>4.5332940000000002E-2</v>
      </c>
      <c r="N5288">
        <v>0</v>
      </c>
      <c r="O5288">
        <v>-0.99888319999999997</v>
      </c>
      <c r="P5288">
        <v>-5.5182000000000002E-2</v>
      </c>
      <c r="Q5288">
        <v>-1.005645E-2</v>
      </c>
      <c r="R5288">
        <v>-0.99842600000000004</v>
      </c>
      <c r="S5288">
        <v>-0.41679379999999999</v>
      </c>
      <c r="T5288">
        <v>-9.1571449999999999E-2</v>
      </c>
      <c r="U5288">
        <v>-2.9809420000000002</v>
      </c>
      <c r="V5288">
        <v>0.10039380000000001</v>
      </c>
      <c r="W5288">
        <v>3.0992620000000002E-3</v>
      </c>
      <c r="X5288">
        <v>0.99494300000000002</v>
      </c>
      <c r="Y5288">
        <v>0.18316669999999999</v>
      </c>
      <c r="Z5288">
        <v>3.0250329999999999E-2</v>
      </c>
      <c r="AA5288">
        <v>0.98261639999999995</v>
      </c>
      <c r="AB5288">
        <v>17</v>
      </c>
      <c r="AC5288">
        <v>-5.0561000000000096</v>
      </c>
      <c r="AD5288">
        <v>-1.10983549438</v>
      </c>
      <c r="AE5288">
        <v>-36.018699999999903</v>
      </c>
      <c r="AF5288">
        <v>6.6776619576535499</v>
      </c>
      <c r="AG5288">
        <v>-1.10983549438</v>
      </c>
      <c r="AH5288">
        <v>35.719178242114303</v>
      </c>
      <c r="AI5288">
        <v>91.749383943250507</v>
      </c>
      <c r="AJ5288">
        <v>79.4108497295463</v>
      </c>
      <c r="AK5288">
        <v>36.354952872163203</v>
      </c>
      <c r="AL5288">
        <v>89.822425091837601</v>
      </c>
      <c r="AM5288">
        <v>84.238124829167703</v>
      </c>
      <c r="AN5288">
        <v>1.00000004687619</v>
      </c>
    </row>
    <row r="5289" spans="1:40" x14ac:dyDescent="0.25">
      <c r="A5289" t="str">
        <f>"20190312154030086"</f>
        <v>20190312154030086</v>
      </c>
      <c r="B5289" t="str">
        <f>"1552376430081377"</f>
        <v>1552376430081377</v>
      </c>
      <c r="C5289" t="s">
        <v>40</v>
      </c>
      <c r="D5289">
        <v>4.1288049999999998</v>
      </c>
      <c r="E5289">
        <v>0.53193500000000005</v>
      </c>
      <c r="F5289" t="s">
        <v>55</v>
      </c>
      <c r="G5289">
        <v>-196.71979999999999</v>
      </c>
      <c r="H5289" s="1">
        <v>-1.153742E-5</v>
      </c>
      <c r="I5289">
        <v>148.29069999999999</v>
      </c>
      <c r="J5289">
        <v>-191.6883</v>
      </c>
      <c r="K5289">
        <v>1.109828</v>
      </c>
      <c r="L5289">
        <v>184.0059</v>
      </c>
      <c r="M5289">
        <v>4.4820110000000003E-2</v>
      </c>
      <c r="N5289">
        <v>0</v>
      </c>
      <c r="O5289">
        <v>-0.99890630000000002</v>
      </c>
      <c r="P5289">
        <v>-5.5732150000000001E-2</v>
      </c>
      <c r="Q5289">
        <v>-1.029209E-2</v>
      </c>
      <c r="R5289">
        <v>-0.99839290000000003</v>
      </c>
      <c r="S5289">
        <v>-0.41810609999999998</v>
      </c>
      <c r="T5289">
        <v>-9.2313049999999994E-2</v>
      </c>
      <c r="U5289">
        <v>-2.9807130000000002</v>
      </c>
      <c r="V5289">
        <v>0.10043100000000001</v>
      </c>
      <c r="W5289">
        <v>2.861798E-3</v>
      </c>
      <c r="X5289">
        <v>0.99493989999999999</v>
      </c>
      <c r="Y5289">
        <v>0.1830956</v>
      </c>
      <c r="Z5289">
        <v>3.0497759999999999E-2</v>
      </c>
      <c r="AA5289">
        <v>0.982622</v>
      </c>
      <c r="AB5289">
        <v>17</v>
      </c>
      <c r="AC5289">
        <v>-5.0314999999999896</v>
      </c>
      <c r="AD5289">
        <v>-1.1098395374200001</v>
      </c>
      <c r="AE5289">
        <v>-35.715200000000003</v>
      </c>
      <c r="AF5289">
        <v>6.6210748475804699</v>
      </c>
      <c r="AG5289">
        <v>-1.1098395374200001</v>
      </c>
      <c r="AH5289">
        <v>35.420232607338001</v>
      </c>
      <c r="AI5289">
        <v>91.764152109117902</v>
      </c>
      <c r="AJ5289">
        <v>79.411943104698807</v>
      </c>
      <c r="AK5289">
        <v>36.050842623911201</v>
      </c>
      <c r="AL5289">
        <v>89.836030827347301</v>
      </c>
      <c r="AM5289">
        <v>84.235986354088794</v>
      </c>
      <c r="AN5289">
        <v>0.99999999013040097</v>
      </c>
    </row>
    <row r="5290" spans="1:40" x14ac:dyDescent="0.25">
      <c r="A5290" t="str">
        <f>"20190312154030102"</f>
        <v>20190312154030102</v>
      </c>
      <c r="B5290" t="str">
        <f>"1552376430091137"</f>
        <v>1552376430091137</v>
      </c>
      <c r="C5290" t="s">
        <v>40</v>
      </c>
      <c r="D5290">
        <v>4.101127</v>
      </c>
      <c r="E5290">
        <v>0.53200859999999905</v>
      </c>
      <c r="F5290" t="s">
        <v>55</v>
      </c>
      <c r="G5290">
        <v>-196.48070000000001</v>
      </c>
      <c r="H5290" s="1">
        <v>-1.203225E-5</v>
      </c>
      <c r="I5290">
        <v>150.0538</v>
      </c>
      <c r="J5290">
        <v>-191.6833</v>
      </c>
      <c r="K5290">
        <v>1.109826</v>
      </c>
      <c r="L5290">
        <v>183.88149999999999</v>
      </c>
      <c r="M5290">
        <v>4.4283200000000002E-2</v>
      </c>
      <c r="N5290">
        <v>0</v>
      </c>
      <c r="O5290">
        <v>-0.9989304</v>
      </c>
      <c r="P5290">
        <v>-5.5939210000000003E-2</v>
      </c>
      <c r="Q5290">
        <v>-1.049396E-2</v>
      </c>
      <c r="R5290">
        <v>-0.99837929999999997</v>
      </c>
      <c r="S5290">
        <v>-0.42068480000000003</v>
      </c>
      <c r="T5290">
        <v>-9.7423079999999995E-2</v>
      </c>
      <c r="U5290">
        <v>-2.980362</v>
      </c>
      <c r="V5290">
        <v>0.10010230000000001</v>
      </c>
      <c r="W5290">
        <v>2.6591430000000001E-3</v>
      </c>
      <c r="X5290">
        <v>0.99497360000000001</v>
      </c>
      <c r="Y5290">
        <v>0.1834094</v>
      </c>
      <c r="Z5290">
        <v>3.2186279999999998E-2</v>
      </c>
      <c r="AA5290">
        <v>0.98250959999999998</v>
      </c>
      <c r="AB5290">
        <v>17</v>
      </c>
      <c r="AC5290">
        <v>-4.7973999999999997</v>
      </c>
      <c r="AD5290">
        <v>-1.1098380322500001</v>
      </c>
      <c r="AE5290">
        <v>-33.827699999999901</v>
      </c>
      <c r="AF5290">
        <v>6.2841934889379196</v>
      </c>
      <c r="AG5290">
        <v>-1.1098380322500001</v>
      </c>
      <c r="AH5290">
        <v>33.546648997624402</v>
      </c>
      <c r="AI5290">
        <v>91.862476208498904</v>
      </c>
      <c r="AJ5290">
        <v>79.389919939867994</v>
      </c>
      <c r="AK5290">
        <v>34.148213529173901</v>
      </c>
      <c r="AL5290">
        <v>89.847642149895606</v>
      </c>
      <c r="AM5290">
        <v>84.254918243243196</v>
      </c>
      <c r="AN5290">
        <v>1.0000000031018701</v>
      </c>
    </row>
    <row r="5291" spans="1:40" x14ac:dyDescent="0.25">
      <c r="A5291" t="str">
        <f>"20190312154030121"</f>
        <v>20190312154030121</v>
      </c>
      <c r="B5291" t="str">
        <f>"1552376430111632"</f>
        <v>1552376430111632</v>
      </c>
      <c r="C5291" t="s">
        <v>40</v>
      </c>
      <c r="D5291">
        <v>4.0933479999999998</v>
      </c>
      <c r="E5291">
        <v>0.53202019999999905</v>
      </c>
      <c r="F5291" t="s">
        <v>55</v>
      </c>
      <c r="G5291">
        <v>-196.36490000000001</v>
      </c>
      <c r="H5291" s="1">
        <v>-1.233316E-5</v>
      </c>
      <c r="I5291">
        <v>150.803</v>
      </c>
      <c r="J5291">
        <v>-191.67789999999999</v>
      </c>
      <c r="K5291">
        <v>1.1098159999999999</v>
      </c>
      <c r="L5291">
        <v>183.7431</v>
      </c>
      <c r="M5291">
        <v>4.3677559999999997E-2</v>
      </c>
      <c r="N5291">
        <v>0</v>
      </c>
      <c r="O5291">
        <v>-0.99895690000000004</v>
      </c>
      <c r="P5291">
        <v>-5.628445E-2</v>
      </c>
      <c r="Q5291">
        <v>-1.022111E-2</v>
      </c>
      <c r="R5291">
        <v>-0.99836250000000004</v>
      </c>
      <c r="S5291">
        <v>-0.42178339999999998</v>
      </c>
      <c r="T5291">
        <v>-9.9989889999999998E-2</v>
      </c>
      <c r="U5291">
        <v>-2.9801790000000001</v>
      </c>
      <c r="V5291">
        <v>9.9843559999999998E-2</v>
      </c>
      <c r="W5291">
        <v>2.930462E-3</v>
      </c>
      <c r="X5291">
        <v>0.99499879999999996</v>
      </c>
      <c r="Y5291">
        <v>0.1831729</v>
      </c>
      <c r="Z5291">
        <v>3.3036589999999998E-2</v>
      </c>
      <c r="AA5291">
        <v>0.98252550000000005</v>
      </c>
      <c r="AB5291">
        <v>17</v>
      </c>
      <c r="AC5291">
        <v>-4.68700000000001</v>
      </c>
      <c r="AD5291">
        <v>-1.1098283331599901</v>
      </c>
      <c r="AE5291">
        <v>-32.940100000000001</v>
      </c>
      <c r="AF5291">
        <v>6.1145937474014698</v>
      </c>
      <c r="AG5291">
        <v>-1.1098283331599901</v>
      </c>
      <c r="AH5291">
        <v>32.667576704819503</v>
      </c>
      <c r="AI5291">
        <v>91.912593444231405</v>
      </c>
      <c r="AJ5291">
        <v>79.398266581870303</v>
      </c>
      <c r="AK5291">
        <v>33.253429047093903</v>
      </c>
      <c r="AL5291">
        <v>89.832096649695202</v>
      </c>
      <c r="AM5291">
        <v>84.269813088596905</v>
      </c>
      <c r="AN5291">
        <v>0.99999996804122204</v>
      </c>
    </row>
    <row r="5292" spans="1:40" x14ac:dyDescent="0.25">
      <c r="A5292" t="str">
        <f>"20190312154030142"</f>
        <v>20190312154030142</v>
      </c>
      <c r="B5292" t="str">
        <f>"1552376430131152"</f>
        <v>1552376430131152</v>
      </c>
      <c r="C5292" t="s">
        <v>40</v>
      </c>
      <c r="D5292">
        <v>4.0992069999999998</v>
      </c>
      <c r="E5292">
        <v>0.53213900000000003</v>
      </c>
      <c r="F5292" t="s">
        <v>55</v>
      </c>
      <c r="G5292">
        <v>-196.20249999999999</v>
      </c>
      <c r="H5292" s="1">
        <v>-1.26906E-5</v>
      </c>
      <c r="I5292">
        <v>151.8511</v>
      </c>
      <c r="J5292">
        <v>-191.67140000000001</v>
      </c>
      <c r="K5292">
        <v>1.1098129999999999</v>
      </c>
      <c r="L5292">
        <v>183.57339999999999</v>
      </c>
      <c r="M5292">
        <v>4.2925919999999999E-2</v>
      </c>
      <c r="N5292">
        <v>0</v>
      </c>
      <c r="O5292">
        <v>-0.99898949999999997</v>
      </c>
      <c r="P5292">
        <v>-5.6695530000000001E-2</v>
      </c>
      <c r="Q5292">
        <v>-1.0270700000000001E-2</v>
      </c>
      <c r="R5292">
        <v>-0.99833850000000002</v>
      </c>
      <c r="S5292">
        <v>-0.42277530000000002</v>
      </c>
      <c r="T5292">
        <v>-0.10370360000000001</v>
      </c>
      <c r="U5292">
        <v>-2.9800260000000001</v>
      </c>
      <c r="V5292">
        <v>9.9504519999999999E-2</v>
      </c>
      <c r="W5292">
        <v>2.879918E-3</v>
      </c>
      <c r="X5292">
        <v>0.99503299999999995</v>
      </c>
      <c r="Y5292">
        <v>0.182755</v>
      </c>
      <c r="Z5292">
        <v>3.426614E-2</v>
      </c>
      <c r="AA5292">
        <v>0.98256120000000002</v>
      </c>
      <c r="AB5292">
        <v>17</v>
      </c>
      <c r="AC5292">
        <v>-4.5310999999999799</v>
      </c>
      <c r="AD5292">
        <v>-1.1098256905999999</v>
      </c>
      <c r="AE5292">
        <v>-31.722299999999901</v>
      </c>
      <c r="AF5292">
        <v>5.88169719216289</v>
      </c>
      <c r="AG5292">
        <v>-1.1098256905999999</v>
      </c>
      <c r="AH5292">
        <v>31.460798175523198</v>
      </c>
      <c r="AI5292">
        <v>91.985974623167706</v>
      </c>
      <c r="AJ5292">
        <v>79.410612510468894</v>
      </c>
      <c r="AK5292">
        <v>32.025113532426701</v>
      </c>
      <c r="AL5292">
        <v>89.8349926346106</v>
      </c>
      <c r="AM5292">
        <v>84.289337308269495</v>
      </c>
      <c r="AN5292">
        <v>1.0000000572585499</v>
      </c>
    </row>
    <row r="5293" spans="1:40" x14ac:dyDescent="0.25">
      <c r="A5293" t="str">
        <f>"20190312154030156"</f>
        <v>20190312154030156</v>
      </c>
      <c r="B5293" t="str">
        <f>"1552376430151650"</f>
        <v>1552376430151650</v>
      </c>
      <c r="C5293" t="s">
        <v>40</v>
      </c>
      <c r="D5293">
        <v>4.0541460000000002</v>
      </c>
      <c r="E5293">
        <v>0.53221189999999996</v>
      </c>
      <c r="F5293" t="s">
        <v>55</v>
      </c>
      <c r="G5293">
        <v>-196.05549999999999</v>
      </c>
      <c r="H5293" s="1">
        <v>-1.292124E-5</v>
      </c>
      <c r="I5293">
        <v>152.81950000000001</v>
      </c>
      <c r="J5293">
        <v>-191.66720000000001</v>
      </c>
      <c r="K5293">
        <v>1.1098140000000001</v>
      </c>
      <c r="L5293">
        <v>183.46199999999999</v>
      </c>
      <c r="M5293">
        <v>4.2429090000000003E-2</v>
      </c>
      <c r="N5293">
        <v>0</v>
      </c>
      <c r="O5293">
        <v>-0.99901070000000003</v>
      </c>
      <c r="P5293">
        <v>-5.7306919999999997E-2</v>
      </c>
      <c r="Q5293">
        <v>-1.0326790000000001E-2</v>
      </c>
      <c r="R5293">
        <v>-0.9983031</v>
      </c>
      <c r="S5293">
        <v>-0.42477419999999999</v>
      </c>
      <c r="T5293">
        <v>-0.1075315</v>
      </c>
      <c r="U5293">
        <v>-2.979752</v>
      </c>
      <c r="V5293">
        <v>9.9618960000000006E-2</v>
      </c>
      <c r="W5293">
        <v>2.8226979999999998E-3</v>
      </c>
      <c r="X5293">
        <v>0.99502159999999995</v>
      </c>
      <c r="Y5293">
        <v>0.18291850000000001</v>
      </c>
      <c r="Z5293">
        <v>3.553154E-2</v>
      </c>
      <c r="AA5293">
        <v>0.98248579999999996</v>
      </c>
      <c r="AB5293">
        <v>17</v>
      </c>
      <c r="AC5293">
        <v>-4.3882999999999797</v>
      </c>
      <c r="AD5293">
        <v>-1.10982692123999</v>
      </c>
      <c r="AE5293">
        <v>-30.642499999999998</v>
      </c>
      <c r="AF5293">
        <v>5.6772985559709204</v>
      </c>
      <c r="AG5293">
        <v>-1.10982692123999</v>
      </c>
      <c r="AH5293">
        <v>30.389629388122501</v>
      </c>
      <c r="AI5293">
        <v>92.055969701763303</v>
      </c>
      <c r="AJ5293">
        <v>79.418154892941899</v>
      </c>
      <c r="AK5293">
        <v>30.9353036034266</v>
      </c>
      <c r="AL5293">
        <v>89.838271094040394</v>
      </c>
      <c r="AM5293">
        <v>84.282747900394298</v>
      </c>
      <c r="AN5293">
        <v>0.99999994464101805</v>
      </c>
    </row>
    <row r="5294" spans="1:40" x14ac:dyDescent="0.25">
      <c r="A5294" t="str">
        <f>"20190312154030175"</f>
        <v>20190312154030175</v>
      </c>
      <c r="B5294" t="str">
        <f>"1552376430171169"</f>
        <v>1552376430171169</v>
      </c>
      <c r="C5294" t="s">
        <v>40</v>
      </c>
      <c r="D5294">
        <v>4.0463100000000001</v>
      </c>
      <c r="E5294">
        <v>0.53229320000000002</v>
      </c>
      <c r="F5294" t="s">
        <v>55</v>
      </c>
      <c r="G5294">
        <v>-195.99340000000001</v>
      </c>
      <c r="H5294" s="1">
        <v>-1.3033639999999999E-5</v>
      </c>
      <c r="I5294">
        <v>153.28809999999999</v>
      </c>
      <c r="J5294">
        <v>-191.66229999999999</v>
      </c>
      <c r="K5294">
        <v>1.1098239999999999</v>
      </c>
      <c r="L5294">
        <v>183.32910000000001</v>
      </c>
      <c r="M5294">
        <v>4.1834259999999998E-2</v>
      </c>
      <c r="N5294">
        <v>0</v>
      </c>
      <c r="O5294">
        <v>-0.99903600000000004</v>
      </c>
      <c r="P5294">
        <v>-5.8110219999999997E-2</v>
      </c>
      <c r="Q5294">
        <v>-1.0387189999999999E-2</v>
      </c>
      <c r="R5294">
        <v>-0.99825629999999999</v>
      </c>
      <c r="S5294">
        <v>-0.42718509999999998</v>
      </c>
      <c r="T5294">
        <v>-0.1095879</v>
      </c>
      <c r="U5294">
        <v>-2.9794619999999998</v>
      </c>
      <c r="V5294">
        <v>9.9827070000000004E-2</v>
      </c>
      <c r="W5294">
        <v>2.7607090000000001E-3</v>
      </c>
      <c r="X5294">
        <v>0.99500100000000002</v>
      </c>
      <c r="Y5294">
        <v>0.18312210000000001</v>
      </c>
      <c r="Z5294">
        <v>3.621224E-2</v>
      </c>
      <c r="AA5294">
        <v>0.98242300000000005</v>
      </c>
      <c r="AB5294">
        <v>17</v>
      </c>
      <c r="AC5294">
        <v>-4.3311000000000197</v>
      </c>
      <c r="AD5294">
        <v>-1.1098370336400001</v>
      </c>
      <c r="AE5294">
        <v>-30.041</v>
      </c>
      <c r="AF5294">
        <v>5.5767054872667501</v>
      </c>
      <c r="AG5294">
        <v>-1.1098370336400001</v>
      </c>
      <c r="AH5294">
        <v>29.793655694005501</v>
      </c>
      <c r="AI5294">
        <v>92.096942246478704</v>
      </c>
      <c r="AJ5294">
        <v>79.398189603635402</v>
      </c>
      <c r="AK5294">
        <v>30.3313913618531</v>
      </c>
      <c r="AL5294">
        <v>89.841822829293903</v>
      </c>
      <c r="AM5294">
        <v>84.270765763907505</v>
      </c>
      <c r="AN5294">
        <v>1.0000000277099801</v>
      </c>
    </row>
    <row r="5295" spans="1:40" x14ac:dyDescent="0.25">
      <c r="A5295" t="str">
        <f>"20190312154030189"</f>
        <v>20190312154030189</v>
      </c>
      <c r="B5295" t="str">
        <f>"1552376430181905"</f>
        <v>1552376430181905</v>
      </c>
      <c r="C5295" t="s">
        <v>40</v>
      </c>
      <c r="D5295">
        <v>4.0624779999999996</v>
      </c>
      <c r="E5295">
        <v>0.53235749999999904</v>
      </c>
      <c r="F5295" t="s">
        <v>55</v>
      </c>
      <c r="G5295">
        <v>-195.9255</v>
      </c>
      <c r="H5295" s="1">
        <v>-1.315645E-5</v>
      </c>
      <c r="I5295">
        <v>153.80019999999999</v>
      </c>
      <c r="J5295">
        <v>-191.65809999999999</v>
      </c>
      <c r="K5295">
        <v>1.109828</v>
      </c>
      <c r="L5295">
        <v>183.2141</v>
      </c>
      <c r="M5295">
        <v>4.1318210000000001E-2</v>
      </c>
      <c r="N5295">
        <v>0</v>
      </c>
      <c r="O5295">
        <v>-0.99905719999999998</v>
      </c>
      <c r="P5295">
        <v>-5.8991410000000001E-2</v>
      </c>
      <c r="Q5295">
        <v>-1.0389549999999999E-2</v>
      </c>
      <c r="R5295">
        <v>-0.99820439999999999</v>
      </c>
      <c r="S5295">
        <v>-0.43009950000000002</v>
      </c>
      <c r="T5295">
        <v>-0.1119666</v>
      </c>
      <c r="U5295">
        <v>-2.97905</v>
      </c>
      <c r="V5295">
        <v>0.1001914</v>
      </c>
      <c r="W5295">
        <v>2.7568940000000002E-3</v>
      </c>
      <c r="X5295">
        <v>0.99496439999999997</v>
      </c>
      <c r="Y5295">
        <v>0.18357080000000001</v>
      </c>
      <c r="Z5295">
        <v>3.6999299999999999E-2</v>
      </c>
      <c r="AA5295">
        <v>0.98230989999999996</v>
      </c>
      <c r="AB5295">
        <v>17</v>
      </c>
      <c r="AC5295">
        <v>-4.2674000000000003</v>
      </c>
      <c r="AD5295">
        <v>-1.1098411564499999</v>
      </c>
      <c r="AE5295">
        <v>-29.413900000000002</v>
      </c>
      <c r="AF5295">
        <v>5.47156349415779</v>
      </c>
      <c r="AG5295">
        <v>-1.1098411564499999</v>
      </c>
      <c r="AH5295">
        <v>29.171764721937699</v>
      </c>
      <c r="AI5295">
        <v>92.141462624222996</v>
      </c>
      <c r="AJ5295">
        <v>79.376820177136693</v>
      </c>
      <c r="AK5295">
        <v>29.701205555587102</v>
      </c>
      <c r="AL5295">
        <v>89.842041415014805</v>
      </c>
      <c r="AM5295">
        <v>84.249786045841503</v>
      </c>
      <c r="AN5295">
        <v>1.0000000371829201</v>
      </c>
    </row>
    <row r="5296" spans="1:40" x14ac:dyDescent="0.25">
      <c r="A5296" t="str">
        <f>"20190312154030202"</f>
        <v>20190312154030202</v>
      </c>
      <c r="B5296" t="str">
        <f>"1552376430191667"</f>
        <v>1552376430191667</v>
      </c>
      <c r="C5296" t="s">
        <v>40</v>
      </c>
      <c r="D5296">
        <v>4.0256939999999997</v>
      </c>
      <c r="E5296">
        <v>0.53238949999999996</v>
      </c>
      <c r="F5296" t="s">
        <v>55</v>
      </c>
      <c r="G5296">
        <v>-195.9221</v>
      </c>
      <c r="H5296" s="1">
        <v>-1.317899E-5</v>
      </c>
      <c r="I5296">
        <v>153.89089999999999</v>
      </c>
      <c r="J5296">
        <v>-191.65450000000001</v>
      </c>
      <c r="K5296">
        <v>1.109831</v>
      </c>
      <c r="L5296">
        <v>183.1156</v>
      </c>
      <c r="M5296">
        <v>4.0875729999999999E-2</v>
      </c>
      <c r="N5296">
        <v>0</v>
      </c>
      <c r="O5296">
        <v>-0.99907579999999996</v>
      </c>
      <c r="P5296">
        <v>-6.0035619999999998E-2</v>
      </c>
      <c r="Q5296">
        <v>-1.0396509999999999E-2</v>
      </c>
      <c r="R5296">
        <v>-0.99814219999999998</v>
      </c>
      <c r="S5296">
        <v>-0.43313600000000002</v>
      </c>
      <c r="T5296">
        <v>-0.1127367</v>
      </c>
      <c r="U5296">
        <v>-2.9786220000000001</v>
      </c>
      <c r="V5296">
        <v>0.10079150000000001</v>
      </c>
      <c r="W5296">
        <v>2.7483109999999998E-3</v>
      </c>
      <c r="X5296">
        <v>0.9949038</v>
      </c>
      <c r="Y5296">
        <v>0.18413479999999999</v>
      </c>
      <c r="Z5296">
        <v>3.7255040000000003E-2</v>
      </c>
      <c r="AA5296">
        <v>0.98219469999999998</v>
      </c>
      <c r="AB5296">
        <v>17</v>
      </c>
      <c r="AC5296">
        <v>-4.2675999999999803</v>
      </c>
      <c r="AD5296">
        <v>-1.10984417899</v>
      </c>
      <c r="AE5296">
        <v>-29.224699999999999</v>
      </c>
      <c r="AF5296">
        <v>5.4510218876689303</v>
      </c>
      <c r="AG5296">
        <v>-1.10984417899</v>
      </c>
      <c r="AH5296">
        <v>28.984885030629801</v>
      </c>
      <c r="AI5296">
        <v>92.155067018374396</v>
      </c>
      <c r="AJ5296">
        <v>79.349114410810799</v>
      </c>
      <c r="AK5296">
        <v>29.5138773115345</v>
      </c>
      <c r="AL5296">
        <v>89.842533184690794</v>
      </c>
      <c r="AM5296">
        <v>84.215227849823506</v>
      </c>
      <c r="AN5296">
        <v>1.0000000254700201</v>
      </c>
    </row>
    <row r="5297" spans="1:40" x14ac:dyDescent="0.25">
      <c r="A5297" t="str">
        <f>"20190312154030219"</f>
        <v>20190312154030219</v>
      </c>
      <c r="B5297" t="str">
        <f>"1552376430211188"</f>
        <v>1552376430211188</v>
      </c>
      <c r="C5297" t="s">
        <v>40</v>
      </c>
      <c r="D5297">
        <v>4.0229119999999998</v>
      </c>
      <c r="E5297">
        <v>0.53247519999999904</v>
      </c>
      <c r="F5297" t="s">
        <v>55</v>
      </c>
      <c r="G5297">
        <v>-195.90950000000001</v>
      </c>
      <c r="H5297" s="1">
        <v>-1.3227460000000001E-5</v>
      </c>
      <c r="I5297">
        <v>154.08799999999999</v>
      </c>
      <c r="J5297">
        <v>-191.6498</v>
      </c>
      <c r="K5297">
        <v>1.109829</v>
      </c>
      <c r="L5297">
        <v>182.98240000000001</v>
      </c>
      <c r="M5297">
        <v>4.0277199999999999E-2</v>
      </c>
      <c r="N5297">
        <v>0</v>
      </c>
      <c r="O5297">
        <v>-0.99910010000000005</v>
      </c>
      <c r="P5297">
        <v>-6.1521439999999997E-2</v>
      </c>
      <c r="Q5297">
        <v>-1.014319E-2</v>
      </c>
      <c r="R5297">
        <v>-0.99805460000000001</v>
      </c>
      <c r="S5297">
        <v>-0.436554</v>
      </c>
      <c r="T5297">
        <v>-0.11386739999999999</v>
      </c>
      <c r="U5297">
        <v>-2.9781650000000002</v>
      </c>
      <c r="V5297">
        <v>0.1016768</v>
      </c>
      <c r="W5297">
        <v>2.9986499999999998E-3</v>
      </c>
      <c r="X5297">
        <v>0.99481299999999995</v>
      </c>
      <c r="Y5297">
        <v>0.1846691</v>
      </c>
      <c r="Z5297">
        <v>3.7630249999999997E-2</v>
      </c>
      <c r="AA5297">
        <v>0.98208010000000001</v>
      </c>
      <c r="AB5297">
        <v>17</v>
      </c>
      <c r="AC5297">
        <v>-4.2596999999999996</v>
      </c>
      <c r="AD5297">
        <v>-1.1098422274599999</v>
      </c>
      <c r="AE5297">
        <v>-28.894400000000001</v>
      </c>
      <c r="AF5297">
        <v>5.4123160051860202</v>
      </c>
      <c r="AG5297">
        <v>-1.1098422274599999</v>
      </c>
      <c r="AH5297">
        <v>28.657984174334398</v>
      </c>
      <c r="AI5297">
        <v>92.179307512872001</v>
      </c>
      <c r="AJ5297">
        <v>79.305147085776795</v>
      </c>
      <c r="AK5297">
        <v>29.1856980599445</v>
      </c>
      <c r="AL5297">
        <v>89.828189759165895</v>
      </c>
      <c r="AM5297">
        <v>84.164237606705797</v>
      </c>
      <c r="AN5297">
        <v>1.0000000342645301</v>
      </c>
    </row>
    <row r="5298" spans="1:40" x14ac:dyDescent="0.25">
      <c r="A5298" t="str">
        <f>"20190312154030231"</f>
        <v>20190312154030231</v>
      </c>
      <c r="B5298" t="str">
        <f>"1552376430221921"</f>
        <v>1552376430221921</v>
      </c>
      <c r="C5298" t="s">
        <v>40</v>
      </c>
      <c r="D5298">
        <v>3.9783849999999998</v>
      </c>
      <c r="E5298">
        <v>0.53248819999999997</v>
      </c>
      <c r="F5298" t="s">
        <v>55</v>
      </c>
      <c r="G5298">
        <v>-195.9068</v>
      </c>
      <c r="H5298" s="1">
        <v>-1.3278050000000001E-5</v>
      </c>
      <c r="I5298">
        <v>154.29</v>
      </c>
      <c r="J5298">
        <v>-191.6464</v>
      </c>
      <c r="K5298">
        <v>1.1098319999999999</v>
      </c>
      <c r="L5298">
        <v>182.88640000000001</v>
      </c>
      <c r="M5298">
        <v>3.9846340000000001E-2</v>
      </c>
      <c r="N5298">
        <v>0</v>
      </c>
      <c r="O5298">
        <v>-0.99911749999999999</v>
      </c>
      <c r="P5298">
        <v>-6.2350679999999999E-2</v>
      </c>
      <c r="Q5298">
        <v>-9.9951160000000001E-3</v>
      </c>
      <c r="R5298">
        <v>-0.99800460000000002</v>
      </c>
      <c r="S5298">
        <v>-0.44175720000000002</v>
      </c>
      <c r="T5298">
        <v>-0.1151696</v>
      </c>
      <c r="U5298">
        <v>-2.9774479999999999</v>
      </c>
      <c r="V5298">
        <v>0.1020745</v>
      </c>
      <c r="W5298">
        <v>3.1459919999999998E-3</v>
      </c>
      <c r="X5298">
        <v>0.99477179999999998</v>
      </c>
      <c r="Y5298">
        <v>0.18595629999999999</v>
      </c>
      <c r="Z5298">
        <v>3.8060539999999997E-2</v>
      </c>
      <c r="AA5298">
        <v>0.98182060000000004</v>
      </c>
      <c r="AB5298">
        <v>17</v>
      </c>
      <c r="AC5298">
        <v>-4.2603999999999997</v>
      </c>
      <c r="AD5298">
        <v>-1.1098452780500001</v>
      </c>
      <c r="AE5298">
        <v>-28.596399999999999</v>
      </c>
      <c r="AF5298">
        <v>5.3886378346868096</v>
      </c>
      <c r="AG5298">
        <v>-1.1098452780500001</v>
      </c>
      <c r="AH5298">
        <v>28.362115662409</v>
      </c>
      <c r="AI5298">
        <v>92.201568787199307</v>
      </c>
      <c r="AJ5298">
        <v>79.242352948707406</v>
      </c>
      <c r="AK5298">
        <v>28.890807865175599</v>
      </c>
      <c r="AL5298">
        <v>89.819747641827604</v>
      </c>
      <c r="AM5298">
        <v>84.141329036302295</v>
      </c>
      <c r="AN5298">
        <v>1.0000000174455701</v>
      </c>
    </row>
    <row r="5299" spans="1:40" x14ac:dyDescent="0.25">
      <c r="A5299" t="str">
        <f>"20190312154030244"</f>
        <v>20190312154030244</v>
      </c>
      <c r="B5299" t="str">
        <f>"1552376430231680"</f>
        <v>1552376430231680</v>
      </c>
      <c r="C5299" t="s">
        <v>40</v>
      </c>
      <c r="D5299">
        <v>3.9877910000000001</v>
      </c>
      <c r="E5299">
        <v>0.53252270000000002</v>
      </c>
      <c r="F5299" t="s">
        <v>55</v>
      </c>
      <c r="G5299">
        <v>-195.9151</v>
      </c>
      <c r="H5299" s="1">
        <v>-1.3275360000000001E-5</v>
      </c>
      <c r="I5299">
        <v>154.2764</v>
      </c>
      <c r="J5299">
        <v>-191.64340000000001</v>
      </c>
      <c r="K5299">
        <v>1.109842</v>
      </c>
      <c r="L5299">
        <v>182.79769999999999</v>
      </c>
      <c r="M5299">
        <v>3.9448480000000001E-2</v>
      </c>
      <c r="N5299">
        <v>0</v>
      </c>
      <c r="O5299">
        <v>-0.99913300000000005</v>
      </c>
      <c r="P5299">
        <v>-6.3150659999999997E-2</v>
      </c>
      <c r="Q5299">
        <v>-1.005063E-2</v>
      </c>
      <c r="R5299">
        <v>-0.99795330000000004</v>
      </c>
      <c r="S5299">
        <v>-0.4441833</v>
      </c>
      <c r="T5299">
        <v>-0.1154882</v>
      </c>
      <c r="U5299">
        <v>-2.9770970000000001</v>
      </c>
      <c r="V5299">
        <v>0.1024757</v>
      </c>
      <c r="W5299">
        <v>3.0892480000000002E-3</v>
      </c>
      <c r="X5299">
        <v>0.99473069999999997</v>
      </c>
      <c r="Y5299">
        <v>0.1863641</v>
      </c>
      <c r="Z5299">
        <v>3.8167239999999998E-2</v>
      </c>
      <c r="AA5299">
        <v>0.98173909999999998</v>
      </c>
      <c r="AB5299">
        <v>17</v>
      </c>
      <c r="AC5299">
        <v>-4.2716999999999796</v>
      </c>
      <c r="AD5299">
        <v>-1.1098552753599999</v>
      </c>
      <c r="AE5299">
        <v>-28.5213</v>
      </c>
      <c r="AF5299">
        <v>5.3856197114781903</v>
      </c>
      <c r="AG5299">
        <v>-1.1098552753599999</v>
      </c>
      <c r="AH5299">
        <v>28.2886722824461</v>
      </c>
      <c r="AI5299">
        <v>92.207142283740097</v>
      </c>
      <c r="AJ5299">
        <v>79.220977026624098</v>
      </c>
      <c r="AK5299">
        <v>28.818148065282401</v>
      </c>
      <c r="AL5299">
        <v>89.822998844255096</v>
      </c>
      <c r="AM5299">
        <v>84.118221554650603</v>
      </c>
      <c r="AN5299">
        <v>0.99999998903309195</v>
      </c>
    </row>
    <row r="5300" spans="1:40" x14ac:dyDescent="0.25">
      <c r="A5300" t="str">
        <f>"20190312154030258"</f>
        <v>20190312154030258</v>
      </c>
      <c r="B5300" t="str">
        <f>"1552376430251201"</f>
        <v>1552376430251201</v>
      </c>
      <c r="C5300" t="s">
        <v>40</v>
      </c>
      <c r="D5300">
        <v>3.9428679999999998</v>
      </c>
      <c r="E5300">
        <v>0.53267039999999999</v>
      </c>
      <c r="F5300" t="s">
        <v>55</v>
      </c>
      <c r="G5300">
        <v>-195.9041</v>
      </c>
      <c r="H5300" s="1">
        <v>-1.330836E-5</v>
      </c>
      <c r="I5300">
        <v>154.41149999999999</v>
      </c>
      <c r="J5300">
        <v>-191.6397</v>
      </c>
      <c r="K5300">
        <v>1.10985</v>
      </c>
      <c r="L5300">
        <v>182.68879999999999</v>
      </c>
      <c r="M5300">
        <v>3.8960549999999997E-2</v>
      </c>
      <c r="N5300">
        <v>0</v>
      </c>
      <c r="O5300">
        <v>-0.99915229999999999</v>
      </c>
      <c r="P5300">
        <v>-6.3985260000000002E-2</v>
      </c>
      <c r="Q5300">
        <v>-1.0266239999999999E-2</v>
      </c>
      <c r="R5300">
        <v>-0.99789799999999995</v>
      </c>
      <c r="S5300">
        <v>-0.44679259999999899</v>
      </c>
      <c r="T5300">
        <v>-0.1163841</v>
      </c>
      <c r="U5300">
        <v>-2.9767000000000001</v>
      </c>
      <c r="V5300">
        <v>0.1028215</v>
      </c>
      <c r="W5300">
        <v>2.8727650000000002E-3</v>
      </c>
      <c r="X5300">
        <v>0.99469569999999996</v>
      </c>
      <c r="Y5300">
        <v>0.1867434</v>
      </c>
      <c r="Z5300">
        <v>3.8465190000000003E-2</v>
      </c>
      <c r="AA5300">
        <v>0.98165539999999996</v>
      </c>
      <c r="AB5300">
        <v>17</v>
      </c>
      <c r="AC5300">
        <v>-4.2643999999999904</v>
      </c>
      <c r="AD5300">
        <v>-1.10986330836</v>
      </c>
      <c r="AE5300">
        <v>-28.2773</v>
      </c>
      <c r="AF5300">
        <v>5.3548924183967799</v>
      </c>
      <c r="AG5300">
        <v>-1.10986330836</v>
      </c>
      <c r="AH5300">
        <v>28.047422194029501</v>
      </c>
      <c r="AI5300">
        <v>92.225902374359606</v>
      </c>
      <c r="AJ5300">
        <v>79.191011129946205</v>
      </c>
      <c r="AK5300">
        <v>28.5755938014591</v>
      </c>
      <c r="AL5300">
        <v>89.835402467621094</v>
      </c>
      <c r="AM5300">
        <v>84.098307396899997</v>
      </c>
      <c r="AN5300">
        <v>1.00000002461974</v>
      </c>
    </row>
    <row r="5301" spans="1:40" x14ac:dyDescent="0.25">
      <c r="A5301" t="str">
        <f>"20190312154030270"</f>
        <v>20190312154030270</v>
      </c>
      <c r="B5301" t="str">
        <f>"1552376430261938"</f>
        <v>1552376430261938</v>
      </c>
      <c r="C5301" t="s">
        <v>40</v>
      </c>
      <c r="D5301">
        <v>3.9523329999999999</v>
      </c>
      <c r="E5301">
        <v>0.53276420000000002</v>
      </c>
      <c r="F5301" t="s">
        <v>55</v>
      </c>
      <c r="G5301">
        <v>-196.0043</v>
      </c>
      <c r="H5301" s="1">
        <v>-1.317674E-5</v>
      </c>
      <c r="I5301">
        <v>153.85299999999901</v>
      </c>
      <c r="J5301">
        <v>-191.63650000000001</v>
      </c>
      <c r="K5301">
        <v>1.1098570000000001</v>
      </c>
      <c r="L5301">
        <v>182.59520000000001</v>
      </c>
      <c r="M5301">
        <v>3.854233E-2</v>
      </c>
      <c r="N5301">
        <v>0</v>
      </c>
      <c r="O5301">
        <v>-0.99916879999999997</v>
      </c>
      <c r="P5301">
        <v>-6.4603809999999998E-2</v>
      </c>
      <c r="Q5301">
        <v>-1.0324669999999999E-2</v>
      </c>
      <c r="R5301">
        <v>-0.99785800000000002</v>
      </c>
      <c r="S5301">
        <v>-0.45048519999999997</v>
      </c>
      <c r="T5301">
        <v>-0.11455360000000001</v>
      </c>
      <c r="U5301">
        <v>-2.9762569999999999</v>
      </c>
      <c r="V5301">
        <v>0.1030216</v>
      </c>
      <c r="W5301">
        <v>2.8136369999999999E-3</v>
      </c>
      <c r="X5301">
        <v>0.99467519999999998</v>
      </c>
      <c r="Y5301">
        <v>0.18754789999999999</v>
      </c>
      <c r="Z5301">
        <v>3.7861180000000001E-2</v>
      </c>
      <c r="AA5301">
        <v>0.98152550000000005</v>
      </c>
      <c r="AB5301">
        <v>17</v>
      </c>
      <c r="AC5301">
        <v>-4.3677999999999804</v>
      </c>
      <c r="AD5301">
        <v>-1.1098701767400001</v>
      </c>
      <c r="AE5301">
        <v>-28.7422</v>
      </c>
      <c r="AF5301">
        <v>5.4644788583174702</v>
      </c>
      <c r="AG5301">
        <v>-1.1098701767400001</v>
      </c>
      <c r="AH5301">
        <v>28.510927032938898</v>
      </c>
      <c r="AI5301">
        <v>92.189466077638798</v>
      </c>
      <c r="AJ5301">
        <v>79.150119235360194</v>
      </c>
      <c r="AK5301">
        <v>29.051080896926699</v>
      </c>
      <c r="AL5301">
        <v>89.838790271795204</v>
      </c>
      <c r="AM5301">
        <v>84.086782461955494</v>
      </c>
      <c r="AN5301">
        <v>1.00000006005738</v>
      </c>
    </row>
    <row r="5302" spans="1:40" x14ac:dyDescent="0.25">
      <c r="A5302" t="str">
        <f>"20190312154030284"</f>
        <v>20190312154030284</v>
      </c>
      <c r="B5302" t="str">
        <f>"1552376430271696"</f>
        <v>1552376430271696</v>
      </c>
      <c r="C5302" t="s">
        <v>40</v>
      </c>
      <c r="D5302">
        <v>3.945681</v>
      </c>
      <c r="E5302">
        <v>0.53282569999999996</v>
      </c>
      <c r="F5302" t="s">
        <v>55</v>
      </c>
      <c r="G5302">
        <v>-196.06909999999999</v>
      </c>
      <c r="H5302" s="1">
        <v>-1.308964E-5</v>
      </c>
      <c r="I5302">
        <v>153.48400000000001</v>
      </c>
      <c r="J5302">
        <v>-191.63310000000001</v>
      </c>
      <c r="K5302">
        <v>1.1098669999999999</v>
      </c>
      <c r="L5302">
        <v>182.4933</v>
      </c>
      <c r="M5302">
        <v>3.8086889999999998E-2</v>
      </c>
      <c r="N5302">
        <v>0</v>
      </c>
      <c r="O5302">
        <v>-0.99918589999999996</v>
      </c>
      <c r="P5302">
        <v>-6.5125089999999997E-2</v>
      </c>
      <c r="Q5302">
        <v>-1.031497E-2</v>
      </c>
      <c r="R5302">
        <v>-0.99782400000000004</v>
      </c>
      <c r="S5302">
        <v>-0.453125</v>
      </c>
      <c r="T5302">
        <v>-0.1134574</v>
      </c>
      <c r="U5302">
        <v>-2.9759220000000002</v>
      </c>
      <c r="V5302">
        <v>0.10308779999999999</v>
      </c>
      <c r="W5302">
        <v>2.8226979999999998E-3</v>
      </c>
      <c r="X5302">
        <v>0.9946682</v>
      </c>
      <c r="Y5302">
        <v>0.18796959999999999</v>
      </c>
      <c r="Z5302">
        <v>3.7500569999999997E-2</v>
      </c>
      <c r="AA5302">
        <v>0.98145870000000002</v>
      </c>
      <c r="AB5302">
        <v>17</v>
      </c>
      <c r="AC5302">
        <v>-4.4359999999999697</v>
      </c>
      <c r="AD5302">
        <v>-1.1098800896399901</v>
      </c>
      <c r="AE5302">
        <v>-29.0093</v>
      </c>
      <c r="AF5302">
        <v>5.5298430237469498</v>
      </c>
      <c r="AG5302">
        <v>-1.1098800896399901</v>
      </c>
      <c r="AH5302">
        <v>28.778117150991001</v>
      </c>
      <c r="AI5302">
        <v>92.168979599661796</v>
      </c>
      <c r="AJ5302">
        <v>79.122940673303404</v>
      </c>
      <c r="AK5302">
        <v>29.325603564749098</v>
      </c>
      <c r="AL5302">
        <v>89.838271094116607</v>
      </c>
      <c r="AM5302">
        <v>84.082968329019494</v>
      </c>
      <c r="AN5302">
        <v>0.99999994511203805</v>
      </c>
    </row>
    <row r="5303" spans="1:40" x14ac:dyDescent="0.25">
      <c r="A5303" t="str">
        <f>"20190312154030300"</f>
        <v>20190312154030300</v>
      </c>
      <c r="B5303" t="str">
        <f>"1552376430291217"</f>
        <v>1552376430291217</v>
      </c>
      <c r="C5303" t="s">
        <v>40</v>
      </c>
      <c r="D5303">
        <v>3.978475</v>
      </c>
      <c r="E5303">
        <v>0.53285249999999995</v>
      </c>
      <c r="F5303" t="s">
        <v>55</v>
      </c>
      <c r="G5303">
        <v>-196.12809999999999</v>
      </c>
      <c r="H5303" s="1">
        <v>-1.2999809999999999E-5</v>
      </c>
      <c r="I5303">
        <v>153.1062</v>
      </c>
      <c r="J5303">
        <v>-191.6293</v>
      </c>
      <c r="K5303">
        <v>1.1098699999999999</v>
      </c>
      <c r="L5303">
        <v>182.37559999999999</v>
      </c>
      <c r="M5303">
        <v>3.7562480000000002E-2</v>
      </c>
      <c r="N5303">
        <v>0</v>
      </c>
      <c r="O5303">
        <v>-0.99920589999999998</v>
      </c>
      <c r="P5303">
        <v>-6.5842499999999998E-2</v>
      </c>
      <c r="Q5303">
        <v>-9.9393599999999995E-3</v>
      </c>
      <c r="R5303">
        <v>-0.99778089999999997</v>
      </c>
      <c r="S5303">
        <v>-0.45515440000000001</v>
      </c>
      <c r="T5303">
        <v>-0.1123849</v>
      </c>
      <c r="U5303">
        <v>-2.9756930000000001</v>
      </c>
      <c r="V5303">
        <v>0.103281399999999</v>
      </c>
      <c r="W5303">
        <v>3.197489E-3</v>
      </c>
      <c r="X5303">
        <v>0.99464699999999995</v>
      </c>
      <c r="Y5303">
        <v>0.1881215</v>
      </c>
      <c r="Z5303">
        <v>3.714808E-2</v>
      </c>
      <c r="AA5303">
        <v>0.98144299999999995</v>
      </c>
      <c r="AB5303">
        <v>17</v>
      </c>
      <c r="AC5303">
        <v>-4.4987999999999797</v>
      </c>
      <c r="AD5303">
        <v>-1.1098829998099999</v>
      </c>
      <c r="AE5303">
        <v>-29.269399999999901</v>
      </c>
      <c r="AF5303">
        <v>5.5873043809581899</v>
      </c>
      <c r="AG5303">
        <v>-1.1098829998099999</v>
      </c>
      <c r="AH5303">
        <v>29.038948128841</v>
      </c>
      <c r="AI5303">
        <v>92.149420908793701</v>
      </c>
      <c r="AJ5303">
        <v>79.108971808479893</v>
      </c>
      <c r="AK5303">
        <v>29.592403061398301</v>
      </c>
      <c r="AL5303">
        <v>89.816797056317199</v>
      </c>
      <c r="AM5303">
        <v>84.071809688595593</v>
      </c>
      <c r="AN5303">
        <v>0.99999996306543104</v>
      </c>
    </row>
    <row r="5304" spans="1:40" x14ac:dyDescent="0.25">
      <c r="A5304" t="str">
        <f>"20190312154030321"</f>
        <v>20190312154030321</v>
      </c>
      <c r="B5304" t="str">
        <f>"1552376430311713"</f>
        <v>1552376430311713</v>
      </c>
      <c r="C5304" t="s">
        <v>40</v>
      </c>
      <c r="D5304">
        <v>3.9664739999999998</v>
      </c>
      <c r="E5304">
        <v>0.53288019999999903</v>
      </c>
      <c r="F5304" t="s">
        <v>55</v>
      </c>
      <c r="G5304">
        <v>-196.13849999999999</v>
      </c>
      <c r="H5304" s="1">
        <v>-1.298563E-5</v>
      </c>
      <c r="I5304">
        <v>153.0462</v>
      </c>
      <c r="J5304">
        <v>-191.62389999999999</v>
      </c>
      <c r="K5304">
        <v>1.1098760000000001</v>
      </c>
      <c r="L5304">
        <v>182.2088</v>
      </c>
      <c r="M5304">
        <v>3.6820180000000001E-2</v>
      </c>
      <c r="N5304">
        <v>0</v>
      </c>
      <c r="O5304">
        <v>-0.9992335</v>
      </c>
      <c r="P5304">
        <v>-6.6824469999999997E-2</v>
      </c>
      <c r="Q5304">
        <v>-1.120415E-2</v>
      </c>
      <c r="R5304">
        <v>-0.99770190000000003</v>
      </c>
      <c r="S5304">
        <v>-0.45744319999999999</v>
      </c>
      <c r="T5304">
        <v>-0.112593899999999</v>
      </c>
      <c r="U5304">
        <v>-2.9753720000000001</v>
      </c>
      <c r="V5304">
        <v>0.10351970000000001</v>
      </c>
      <c r="W5304">
        <v>1.9310149999999999E-3</v>
      </c>
      <c r="X5304">
        <v>0.99462550000000005</v>
      </c>
      <c r="Y5304">
        <v>0.18814500000000001</v>
      </c>
      <c r="Z5304">
        <v>3.7220339999999998E-2</v>
      </c>
      <c r="AA5304">
        <v>0.98143570000000002</v>
      </c>
      <c r="AB5304">
        <v>17</v>
      </c>
      <c r="AC5304">
        <v>-4.5145999999999997</v>
      </c>
      <c r="AD5304">
        <v>-1.1098889856299901</v>
      </c>
      <c r="AE5304">
        <v>-29.162600000000001</v>
      </c>
      <c r="AF5304">
        <v>5.5775154672099498</v>
      </c>
      <c r="AG5304">
        <v>-1.1098889856299901</v>
      </c>
      <c r="AH5304">
        <v>28.935647284296401</v>
      </c>
      <c r="AI5304">
        <v>92.156959272780199</v>
      </c>
      <c r="AJ5304">
        <v>79.089712864361204</v>
      </c>
      <c r="AK5304">
        <v>29.4891881222356</v>
      </c>
      <c r="AL5304">
        <v>89.8893609183758</v>
      </c>
      <c r="AM5304">
        <v>84.058101867162094</v>
      </c>
      <c r="AN5304">
        <v>0.99999997117863404</v>
      </c>
    </row>
    <row r="5305" spans="1:40" x14ac:dyDescent="0.25">
      <c r="A5305" t="str">
        <f>"20190312154030342"</f>
        <v>20190312154030342</v>
      </c>
      <c r="B5305" t="str">
        <f>"1552376430331233"</f>
        <v>1552376430331233</v>
      </c>
      <c r="C5305" t="s">
        <v>40</v>
      </c>
      <c r="D5305">
        <v>3.9931899999999998</v>
      </c>
      <c r="E5305">
        <v>0.53287259999999903</v>
      </c>
      <c r="F5305" t="s">
        <v>55</v>
      </c>
      <c r="G5305">
        <v>-195.9734</v>
      </c>
      <c r="H5305" s="1">
        <v>-1.324075E-5</v>
      </c>
      <c r="I5305">
        <v>154.1183</v>
      </c>
      <c r="J5305">
        <v>-191.6189</v>
      </c>
      <c r="K5305">
        <v>1.1098669999999999</v>
      </c>
      <c r="L5305">
        <v>182.04900000000001</v>
      </c>
      <c r="M5305">
        <v>3.6110549999999998E-2</v>
      </c>
      <c r="N5305">
        <v>0</v>
      </c>
      <c r="O5305">
        <v>-0.99925949999999997</v>
      </c>
      <c r="P5305">
        <v>-6.7524879999999995E-2</v>
      </c>
      <c r="Q5305">
        <v>-1.2119660000000001E-2</v>
      </c>
      <c r="R5305">
        <v>-0.99764419999999998</v>
      </c>
      <c r="S5305">
        <v>-0.46060180000000001</v>
      </c>
      <c r="T5305">
        <v>-0.1175353</v>
      </c>
      <c r="U5305">
        <v>-2.9747309999999998</v>
      </c>
      <c r="V5305">
        <v>0.1035104</v>
      </c>
      <c r="W5305">
        <v>1.0145340000000001E-3</v>
      </c>
      <c r="X5305">
        <v>0.99462779999999995</v>
      </c>
      <c r="Y5305">
        <v>0.1884875</v>
      </c>
      <c r="Z5305">
        <v>3.8856729999999999E-2</v>
      </c>
      <c r="AA5305">
        <v>0.98130660000000003</v>
      </c>
      <c r="AB5305">
        <v>17</v>
      </c>
      <c r="AC5305">
        <v>-4.3544999999999998</v>
      </c>
      <c r="AD5305">
        <v>-1.1098802407499999</v>
      </c>
      <c r="AE5305">
        <v>-27.930700000000002</v>
      </c>
      <c r="AF5305">
        <v>5.3520909085489103</v>
      </c>
      <c r="AG5305">
        <v>-1.1098802407499999</v>
      </c>
      <c r="AH5305">
        <v>27.7125028187791</v>
      </c>
      <c r="AI5305">
        <v>92.251890929692294</v>
      </c>
      <c r="AJ5305">
        <v>79.069094744199106</v>
      </c>
      <c r="AK5305">
        <v>28.2464072710676</v>
      </c>
      <c r="AL5305">
        <v>89.941871470537706</v>
      </c>
      <c r="AM5305">
        <v>84.058645497299693</v>
      </c>
      <c r="AN5305">
        <v>0.99999994636011702</v>
      </c>
    </row>
    <row r="5306" spans="1:40" x14ac:dyDescent="0.25">
      <c r="A5306" t="str">
        <f>"20190312154030353"</f>
        <v>20190312154030353</v>
      </c>
      <c r="B5306" t="str">
        <f>"1552376430341969"</f>
        <v>1552376430341969</v>
      </c>
      <c r="C5306" t="s">
        <v>40</v>
      </c>
      <c r="D5306">
        <v>3.9619759999999999</v>
      </c>
      <c r="E5306">
        <v>0.53286199999999995</v>
      </c>
      <c r="F5306" t="s">
        <v>55</v>
      </c>
      <c r="G5306">
        <v>-195.8372</v>
      </c>
      <c r="H5306" s="1">
        <v>-1.348349E-5</v>
      </c>
      <c r="I5306">
        <v>154.91820000000001</v>
      </c>
      <c r="J5306">
        <v>-191.61609999999999</v>
      </c>
      <c r="K5306">
        <v>1.1098650000000001</v>
      </c>
      <c r="L5306">
        <v>181.95869999999999</v>
      </c>
      <c r="M5306">
        <v>3.5709699999999997E-2</v>
      </c>
      <c r="N5306">
        <v>0</v>
      </c>
      <c r="O5306">
        <v>-0.99927379999999999</v>
      </c>
      <c r="P5306">
        <v>-6.7937300000000006E-2</v>
      </c>
      <c r="Q5306">
        <v>-1.287977E-2</v>
      </c>
      <c r="R5306">
        <v>-0.99760649999999995</v>
      </c>
      <c r="S5306">
        <v>-0.46244809999999997</v>
      </c>
      <c r="T5306">
        <v>-0.12167509999999999</v>
      </c>
      <c r="U5306">
        <v>-2.9743189999999999</v>
      </c>
      <c r="V5306">
        <v>0.10352160000000001</v>
      </c>
      <c r="W5306">
        <v>2.5350250000000002E-4</v>
      </c>
      <c r="X5306">
        <v>0.99462720000000004</v>
      </c>
      <c r="Y5306">
        <v>0.1887006</v>
      </c>
      <c r="Z5306">
        <v>4.0226770000000002E-2</v>
      </c>
      <c r="AA5306">
        <v>0.98121040000000004</v>
      </c>
      <c r="AB5306">
        <v>17</v>
      </c>
      <c r="AC5306">
        <v>-4.2210999999999999</v>
      </c>
      <c r="AD5306">
        <v>-1.10987848349</v>
      </c>
      <c r="AE5306">
        <v>-27.040499999999899</v>
      </c>
      <c r="AF5306">
        <v>5.17558891619404</v>
      </c>
      <c r="AG5306">
        <v>-1.10987848349</v>
      </c>
      <c r="AH5306">
        <v>26.8283806576123</v>
      </c>
      <c r="AI5306">
        <v>92.326110212571294</v>
      </c>
      <c r="AJ5306">
        <v>79.080938264757904</v>
      </c>
      <c r="AK5306">
        <v>27.3455766000151</v>
      </c>
      <c r="AL5306">
        <v>89.985475376882604</v>
      </c>
      <c r="AM5306">
        <v>84.058003673184501</v>
      </c>
      <c r="AN5306">
        <v>1.00000002645495</v>
      </c>
    </row>
    <row r="5307" spans="1:40" x14ac:dyDescent="0.25">
      <c r="A5307" t="str">
        <f>"20190312154030367"</f>
        <v>20190312154030367</v>
      </c>
      <c r="B5307" t="str">
        <f>"1552376430361489"</f>
        <v>1552376430361489</v>
      </c>
      <c r="C5307" t="s">
        <v>40</v>
      </c>
      <c r="D5307">
        <v>3.9382709999999999</v>
      </c>
      <c r="E5307">
        <v>0.53288139999999995</v>
      </c>
      <c r="F5307" t="s">
        <v>55</v>
      </c>
      <c r="G5307">
        <v>-195.75139999999999</v>
      </c>
      <c r="H5307" s="1">
        <v>-1.370021E-5</v>
      </c>
      <c r="I5307">
        <v>155.44110000000001</v>
      </c>
      <c r="J5307">
        <v>-191.61320000000001</v>
      </c>
      <c r="K5307">
        <v>1.109864</v>
      </c>
      <c r="L5307">
        <v>181.86529999999999</v>
      </c>
      <c r="M5307">
        <v>3.5294979999999997E-2</v>
      </c>
      <c r="N5307">
        <v>0</v>
      </c>
      <c r="O5307">
        <v>-0.99928859999999997</v>
      </c>
      <c r="P5307">
        <v>-6.8225259999999996E-2</v>
      </c>
      <c r="Q5307">
        <v>-1.384959E-2</v>
      </c>
      <c r="R5307">
        <v>-0.99757390000000001</v>
      </c>
      <c r="S5307">
        <v>-0.46379090000000001</v>
      </c>
      <c r="T5307">
        <v>-0.1244764</v>
      </c>
      <c r="U5307">
        <v>-2.97403</v>
      </c>
      <c r="V5307">
        <v>0.1033946</v>
      </c>
      <c r="W5307">
        <v>-7.1680089999999995E-4</v>
      </c>
      <c r="X5307">
        <v>0.99464019999999997</v>
      </c>
      <c r="Y5307">
        <v>0.18873419999999999</v>
      </c>
      <c r="Z5307">
        <v>4.1154620000000003E-2</v>
      </c>
      <c r="AA5307">
        <v>0.98116550000000002</v>
      </c>
      <c r="AB5307">
        <v>17</v>
      </c>
      <c r="AC5307">
        <v>-4.1381999999999799</v>
      </c>
      <c r="AD5307">
        <v>-1.10987770021</v>
      </c>
      <c r="AE5307">
        <v>-26.4241999999999</v>
      </c>
      <c r="AF5307">
        <v>5.0596326450833304</v>
      </c>
      <c r="AG5307">
        <v>-1.10987770021</v>
      </c>
      <c r="AH5307">
        <v>26.216518728989801</v>
      </c>
      <c r="AI5307">
        <v>92.380300300637302</v>
      </c>
      <c r="AJ5307">
        <v>79.076553760411002</v>
      </c>
      <c r="AK5307">
        <v>26.7233524334072</v>
      </c>
      <c r="AL5307">
        <v>90.0410696681015</v>
      </c>
      <c r="AM5307">
        <v>84.065318250850794</v>
      </c>
      <c r="AN5307">
        <v>1.00000004228436</v>
      </c>
    </row>
    <row r="5308" spans="1:40" x14ac:dyDescent="0.25">
      <c r="A5308" t="str">
        <f>"20190312154030379"</f>
        <v>20190312154030379</v>
      </c>
      <c r="B5308" t="str">
        <f>"1552376430371249"</f>
        <v>1552376430371249</v>
      </c>
      <c r="C5308" t="s">
        <v>40</v>
      </c>
      <c r="D5308">
        <v>3.994005</v>
      </c>
      <c r="E5308">
        <v>0.53289399999999998</v>
      </c>
      <c r="F5308" t="s">
        <v>55</v>
      </c>
      <c r="G5308">
        <v>-195.63339999999999</v>
      </c>
      <c r="H5308" s="1">
        <v>-1.39886E-5</v>
      </c>
      <c r="I5308">
        <v>156.1378</v>
      </c>
      <c r="J5308">
        <v>-191.6104</v>
      </c>
      <c r="K5308">
        <v>1.109861</v>
      </c>
      <c r="L5308">
        <v>181.7723</v>
      </c>
      <c r="M5308">
        <v>3.4881950000000002E-2</v>
      </c>
      <c r="N5308">
        <v>0</v>
      </c>
      <c r="O5308">
        <v>-0.9993031</v>
      </c>
      <c r="P5308">
        <v>-6.8333279999999996E-2</v>
      </c>
      <c r="Q5308">
        <v>-1.437824E-2</v>
      </c>
      <c r="R5308">
        <v>-0.99755899999999997</v>
      </c>
      <c r="S5308">
        <v>-0.46467589999999998</v>
      </c>
      <c r="T5308">
        <v>-0.12828699999999901</v>
      </c>
      <c r="U5308">
        <v>-2.9737550000000001</v>
      </c>
      <c r="V5308">
        <v>0.1030905</v>
      </c>
      <c r="W5308">
        <v>-1.245557E-3</v>
      </c>
      <c r="X5308">
        <v>0.99467119999999998</v>
      </c>
      <c r="Y5308">
        <v>0.18861910000000001</v>
      </c>
      <c r="Z5308">
        <v>4.2416519999999999E-2</v>
      </c>
      <c r="AA5308">
        <v>0.9811339</v>
      </c>
      <c r="AB5308">
        <v>17</v>
      </c>
      <c r="AC5308">
        <v>-4.0229999999999899</v>
      </c>
      <c r="AD5308">
        <v>-1.1098749885999999</v>
      </c>
      <c r="AE5308">
        <v>-25.634499999999999</v>
      </c>
      <c r="AF5308">
        <v>4.9058364139549404</v>
      </c>
      <c r="AG5308">
        <v>-1.1098749885999999</v>
      </c>
      <c r="AH5308">
        <v>25.432026811505999</v>
      </c>
      <c r="AI5308">
        <v>92.453673034828398</v>
      </c>
      <c r="AJ5308">
        <v>79.081753493502603</v>
      </c>
      <c r="AK5308">
        <v>25.9246415819383</v>
      </c>
      <c r="AL5308">
        <v>90.071365177741697</v>
      </c>
      <c r="AM5308">
        <v>84.082832174068798</v>
      </c>
      <c r="AN5308">
        <v>0.99999999935596495</v>
      </c>
    </row>
    <row r="5309" spans="1:40" x14ac:dyDescent="0.25">
      <c r="A5309" t="str">
        <f>"20190312154030391"</f>
        <v>20190312154030391</v>
      </c>
      <c r="B5309" t="str">
        <f>"1552376430381360"</f>
        <v>1552376430381360</v>
      </c>
      <c r="C5309" t="s">
        <v>40</v>
      </c>
      <c r="D5309">
        <v>4.0061450000000001</v>
      </c>
      <c r="E5309">
        <v>0.53292010000000001</v>
      </c>
      <c r="F5309" t="s">
        <v>55</v>
      </c>
      <c r="G5309">
        <v>-195.57040000000001</v>
      </c>
      <c r="H5309" s="1">
        <v>-1.41191E-5</v>
      </c>
      <c r="I5309">
        <v>156.45500000000001</v>
      </c>
      <c r="J5309">
        <v>-191.60759999999999</v>
      </c>
      <c r="K5309">
        <v>1.109864</v>
      </c>
      <c r="L5309">
        <v>181.67699999999999</v>
      </c>
      <c r="M5309">
        <v>3.4458290000000003E-2</v>
      </c>
      <c r="N5309">
        <v>0</v>
      </c>
      <c r="O5309">
        <v>-0.99931780000000003</v>
      </c>
      <c r="P5309">
        <v>-6.9137660000000004E-2</v>
      </c>
      <c r="Q5309">
        <v>-1.47391E-2</v>
      </c>
      <c r="R5309">
        <v>-0.99749829999999995</v>
      </c>
      <c r="S5309">
        <v>-0.46511839999999999</v>
      </c>
      <c r="T5309">
        <v>-0.1303579</v>
      </c>
      <c r="U5309">
        <v>-2.9735870000000002</v>
      </c>
      <c r="V5309">
        <v>0.1034703</v>
      </c>
      <c r="W5309">
        <v>-1.6080999999999999E-3</v>
      </c>
      <c r="X5309">
        <v>0.99463120000000005</v>
      </c>
      <c r="Y5309">
        <v>0.18834909999999999</v>
      </c>
      <c r="Z5309">
        <v>4.310394E-2</v>
      </c>
      <c r="AA5309">
        <v>0.98115580000000002</v>
      </c>
      <c r="AB5309">
        <v>17</v>
      </c>
      <c r="AC5309">
        <v>-3.9628000000000099</v>
      </c>
      <c r="AD5309">
        <v>-1.1098781191</v>
      </c>
      <c r="AE5309">
        <v>-25.222000000000001</v>
      </c>
      <c r="AF5309">
        <v>4.8205204435056999</v>
      </c>
      <c r="AG5309">
        <v>-1.1098781191</v>
      </c>
      <c r="AH5309">
        <v>25.023168415564701</v>
      </c>
      <c r="AI5309">
        <v>92.493840165406198</v>
      </c>
      <c r="AJ5309">
        <v>79.095986811641197</v>
      </c>
      <c r="AK5309">
        <v>25.5074146933637</v>
      </c>
      <c r="AL5309">
        <v>90.0921373867548</v>
      </c>
      <c r="AM5309">
        <v>84.060950883904994</v>
      </c>
      <c r="AN5309">
        <v>0.99999995649056805</v>
      </c>
    </row>
    <row r="5310" spans="1:40" x14ac:dyDescent="0.25">
      <c r="A5310" t="str">
        <f>"20190312154030402"</f>
        <v>20190312154030402</v>
      </c>
      <c r="B5310" t="str">
        <f>"1552376430391121"</f>
        <v>1552376430391121</v>
      </c>
      <c r="C5310" t="s">
        <v>40</v>
      </c>
      <c r="D5310">
        <v>3.9946009999999998</v>
      </c>
      <c r="E5310">
        <v>0.5329507</v>
      </c>
      <c r="F5310" t="s">
        <v>55</v>
      </c>
      <c r="G5310">
        <v>-195.54830000000001</v>
      </c>
      <c r="H5310" s="1">
        <v>-1.419015E-5</v>
      </c>
      <c r="I5310">
        <v>156.62520000000001</v>
      </c>
      <c r="J5310">
        <v>-191.60509999999999</v>
      </c>
      <c r="K5310">
        <v>1.1098680000000001</v>
      </c>
      <c r="L5310">
        <v>181.59039999999999</v>
      </c>
      <c r="M5310">
        <v>3.4072650000000003E-2</v>
      </c>
      <c r="N5310">
        <v>0</v>
      </c>
      <c r="O5310">
        <v>-0.99933110000000003</v>
      </c>
      <c r="P5310">
        <v>-6.9027950000000005E-2</v>
      </c>
      <c r="Q5310">
        <v>-1.4552239999999999E-2</v>
      </c>
      <c r="R5310">
        <v>-0.99750879999999997</v>
      </c>
      <c r="S5310">
        <v>-0.46768189999999998</v>
      </c>
      <c r="T5310">
        <v>-0.1317208</v>
      </c>
      <c r="U5310">
        <v>-2.97316</v>
      </c>
      <c r="V5310">
        <v>0.102977399999999</v>
      </c>
      <c r="W5310">
        <v>-1.4208789999999999E-3</v>
      </c>
      <c r="X5310">
        <v>0.99468270000000003</v>
      </c>
      <c r="Y5310">
        <v>0.18881419999999999</v>
      </c>
      <c r="Z5310">
        <v>4.355593E-2</v>
      </c>
      <c r="AA5310">
        <v>0.98104639999999999</v>
      </c>
      <c r="AB5310">
        <v>17</v>
      </c>
      <c r="AC5310">
        <v>-3.9432000000000098</v>
      </c>
      <c r="AD5310">
        <v>-1.10988219015</v>
      </c>
      <c r="AE5310">
        <v>-24.9651999999999</v>
      </c>
      <c r="AF5310">
        <v>4.78239352417721</v>
      </c>
      <c r="AG5310">
        <v>-1.10988219015</v>
      </c>
      <c r="AH5310">
        <v>24.768572433914901</v>
      </c>
      <c r="AI5310">
        <v>92.519244444638304</v>
      </c>
      <c r="AJ5310">
        <v>79.071634230459495</v>
      </c>
      <c r="AK5310">
        <v>25.2504516139849</v>
      </c>
      <c r="AL5310">
        <v>90.081410395766</v>
      </c>
      <c r="AM5310">
        <v>84.089345733299496</v>
      </c>
      <c r="AN5310">
        <v>1.00000001874359</v>
      </c>
    </row>
    <row r="5311" spans="1:40" x14ac:dyDescent="0.25">
      <c r="A5311" t="str">
        <f>"20190312154030415"</f>
        <v>20190312154030415</v>
      </c>
      <c r="B5311" t="str">
        <f>"1552376430411617"</f>
        <v>1552376430411617</v>
      </c>
      <c r="C5311" t="s">
        <v>40</v>
      </c>
      <c r="D5311">
        <v>3.9953180000000001</v>
      </c>
      <c r="E5311">
        <v>0.53296860000000001</v>
      </c>
      <c r="F5311" t="s">
        <v>55</v>
      </c>
      <c r="G5311">
        <v>-195.55119999999999</v>
      </c>
      <c r="H5311" s="1">
        <v>-1.413818E-5</v>
      </c>
      <c r="I5311">
        <v>156.5034</v>
      </c>
      <c r="J5311">
        <v>-191.60230000000001</v>
      </c>
      <c r="K5311">
        <v>1.1098730000000001</v>
      </c>
      <c r="L5311">
        <v>181.4958</v>
      </c>
      <c r="M5311">
        <v>3.3650880000000001E-2</v>
      </c>
      <c r="N5311">
        <v>0</v>
      </c>
      <c r="O5311">
        <v>-0.99934540000000005</v>
      </c>
      <c r="P5311">
        <v>-6.9158540000000004E-2</v>
      </c>
      <c r="Q5311">
        <v>-1.424015E-2</v>
      </c>
      <c r="R5311">
        <v>-0.99750450000000002</v>
      </c>
      <c r="S5311">
        <v>-0.46768189999999998</v>
      </c>
      <c r="T5311">
        <v>-0.13153960000000001</v>
      </c>
      <c r="U5311">
        <v>-2.9732210000000001</v>
      </c>
      <c r="V5311">
        <v>0.1026883</v>
      </c>
      <c r="W5311">
        <v>-1.109007E-3</v>
      </c>
      <c r="X5311">
        <v>0.99471290000000001</v>
      </c>
      <c r="Y5311">
        <v>0.18839710000000001</v>
      </c>
      <c r="Z5311">
        <v>4.3497960000000002E-2</v>
      </c>
      <c r="AA5311">
        <v>0.98112920000000003</v>
      </c>
      <c r="AB5311">
        <v>17</v>
      </c>
      <c r="AC5311">
        <v>-3.9488999999999801</v>
      </c>
      <c r="AD5311">
        <v>-1.10988713818</v>
      </c>
      <c r="AE5311">
        <v>-24.9924</v>
      </c>
      <c r="AF5311">
        <v>4.7785590477618003</v>
      </c>
      <c r="AG5311">
        <v>-1.10988713818</v>
      </c>
      <c r="AH5311">
        <v>24.797633676715702</v>
      </c>
      <c r="AI5311">
        <v>92.516485082438606</v>
      </c>
      <c r="AJ5311">
        <v>79.092675958934606</v>
      </c>
      <c r="AK5311">
        <v>25.278233957241302</v>
      </c>
      <c r="AL5311">
        <v>90.0635414376966</v>
      </c>
      <c r="AM5311">
        <v>84.106000079485696</v>
      </c>
      <c r="AN5311">
        <v>0.99999993513991103</v>
      </c>
    </row>
    <row r="5312" spans="1:40" x14ac:dyDescent="0.25">
      <c r="A5312" t="str">
        <f>"20190312154030432"</f>
        <v>20190312154030432</v>
      </c>
      <c r="B5312" t="str">
        <f>"1552376430421377"</f>
        <v>1552376430421377</v>
      </c>
      <c r="C5312" t="s">
        <v>40</v>
      </c>
      <c r="D5312">
        <v>3.9552999999999998</v>
      </c>
      <c r="E5312">
        <v>0.53296109999999997</v>
      </c>
      <c r="F5312" t="s">
        <v>55</v>
      </c>
      <c r="G5312">
        <v>-195.56139999999999</v>
      </c>
      <c r="H5312" s="1">
        <v>-1.4075889999999999E-5</v>
      </c>
      <c r="I5312">
        <v>156.3561</v>
      </c>
      <c r="J5312">
        <v>-191.59880000000001</v>
      </c>
      <c r="K5312">
        <v>1.1098859999999999</v>
      </c>
      <c r="L5312">
        <v>181.3725</v>
      </c>
      <c r="M5312">
        <v>3.3099249999999997E-2</v>
      </c>
      <c r="N5312">
        <v>0</v>
      </c>
      <c r="O5312">
        <v>-0.99936380000000002</v>
      </c>
      <c r="P5312">
        <v>-6.8740389999999998E-2</v>
      </c>
      <c r="Q5312">
        <v>-1.288604E-2</v>
      </c>
      <c r="R5312">
        <v>-0.99755159999999998</v>
      </c>
      <c r="S5312">
        <v>-0.46823120000000001</v>
      </c>
      <c r="T5312">
        <v>-0.1312622</v>
      </c>
      <c r="U5312">
        <v>-2.9731749999999999</v>
      </c>
      <c r="V5312">
        <v>0.1017241</v>
      </c>
      <c r="W5312">
        <v>2.4634990000000002E-4</v>
      </c>
      <c r="X5312">
        <v>0.99481260000000005</v>
      </c>
      <c r="Y5312">
        <v>0.1880348</v>
      </c>
      <c r="Z5312">
        <v>4.3409169999999997E-2</v>
      </c>
      <c r="AA5312">
        <v>0.98120260000000004</v>
      </c>
      <c r="AB5312">
        <v>17</v>
      </c>
      <c r="AC5312">
        <v>-3.9625999999999801</v>
      </c>
      <c r="AD5312">
        <v>-1.1099000758899999</v>
      </c>
      <c r="AE5312">
        <v>-25.016400000000001</v>
      </c>
      <c r="AF5312">
        <v>4.7793480184748196</v>
      </c>
      <c r="AG5312">
        <v>-1.1099000758899999</v>
      </c>
      <c r="AH5312">
        <v>24.823851882151299</v>
      </c>
      <c r="AI5312">
        <v>92.5139400070085</v>
      </c>
      <c r="AJ5312">
        <v>79.102164116988206</v>
      </c>
      <c r="AK5312">
        <v>25.3041037764064</v>
      </c>
      <c r="AL5312">
        <v>89.985885190037905</v>
      </c>
      <c r="AM5312">
        <v>84.161539231139898</v>
      </c>
      <c r="AN5312">
        <v>0.99999998116392097</v>
      </c>
    </row>
    <row r="5313" spans="1:40" x14ac:dyDescent="0.25">
      <c r="A5313" t="str">
        <f>"20190312154030443"</f>
        <v>20190312154030443</v>
      </c>
      <c r="B5313" t="str">
        <f>"1552376430431137"</f>
        <v>1552376430431137</v>
      </c>
      <c r="C5313" t="s">
        <v>40</v>
      </c>
      <c r="D5313">
        <v>3.9699249999999999</v>
      </c>
      <c r="E5313">
        <v>0.53298459999999903</v>
      </c>
      <c r="F5313" t="s">
        <v>55</v>
      </c>
      <c r="G5313">
        <v>-195.67269999999999</v>
      </c>
      <c r="H5313" s="1">
        <v>-1.3687790000000001E-5</v>
      </c>
      <c r="I5313">
        <v>155.42850000000001</v>
      </c>
      <c r="J5313">
        <v>-191.59630000000001</v>
      </c>
      <c r="K5313">
        <v>1.1098920000000001</v>
      </c>
      <c r="L5313">
        <v>181.2817</v>
      </c>
      <c r="M5313">
        <v>3.269176E-2</v>
      </c>
      <c r="N5313">
        <v>0</v>
      </c>
      <c r="O5313">
        <v>-0.99937710000000002</v>
      </c>
      <c r="P5313">
        <v>-6.8864149999999999E-2</v>
      </c>
      <c r="Q5313">
        <v>-1.2025940000000001E-2</v>
      </c>
      <c r="R5313">
        <v>-0.99755360000000004</v>
      </c>
      <c r="S5313">
        <v>-0.46691890000000003</v>
      </c>
      <c r="T5313">
        <v>-0.12720979999999901</v>
      </c>
      <c r="U5313">
        <v>-2.973541</v>
      </c>
      <c r="V5313">
        <v>0.10144300000000001</v>
      </c>
      <c r="W5313">
        <v>1.1056110000000001E-3</v>
      </c>
      <c r="X5313">
        <v>0.99484070000000002</v>
      </c>
      <c r="Y5313">
        <v>0.18720200000000001</v>
      </c>
      <c r="Z5313">
        <v>4.207205E-2</v>
      </c>
      <c r="AA5313">
        <v>0.98141999999999996</v>
      </c>
      <c r="AB5313">
        <v>17</v>
      </c>
      <c r="AC5313">
        <v>-4.0763999999999703</v>
      </c>
      <c r="AD5313">
        <v>-1.10990568779</v>
      </c>
      <c r="AE5313">
        <v>-25.853199999999902</v>
      </c>
      <c r="AF5313">
        <v>4.9106508247929597</v>
      </c>
      <c r="AG5313">
        <v>-1.10990568779</v>
      </c>
      <c r="AH5313">
        <v>25.659956053755099</v>
      </c>
      <c r="AI5313">
        <v>92.432658177878096</v>
      </c>
      <c r="AJ5313">
        <v>79.166065467167797</v>
      </c>
      <c r="AK5313">
        <v>26.149182144752999</v>
      </c>
      <c r="AL5313">
        <v>89.936653140572304</v>
      </c>
      <c r="AM5313">
        <v>84.177725315796195</v>
      </c>
      <c r="AN5313">
        <v>0.99999996150058501</v>
      </c>
    </row>
    <row r="5314" spans="1:40" x14ac:dyDescent="0.25">
      <c r="A5314" t="str">
        <f>"20190312154030465"</f>
        <v>20190312154030465</v>
      </c>
      <c r="B5314" t="str">
        <f>"1552376430461393"</f>
        <v>1552376430461393</v>
      </c>
      <c r="C5314" t="s">
        <v>40</v>
      </c>
      <c r="D5314">
        <v>3.9829859999999999</v>
      </c>
      <c r="E5314">
        <v>0.53313459999999901</v>
      </c>
      <c r="F5314" t="s">
        <v>55</v>
      </c>
      <c r="G5314">
        <v>-195.74760000000001</v>
      </c>
      <c r="H5314" s="1">
        <v>-1.3459670000000001E-5</v>
      </c>
      <c r="I5314">
        <v>154.88120000000001</v>
      </c>
      <c r="J5314">
        <v>-191.59200000000001</v>
      </c>
      <c r="K5314">
        <v>1.1098969999999999</v>
      </c>
      <c r="L5314">
        <v>181.12450000000001</v>
      </c>
      <c r="M5314">
        <v>3.198343E-2</v>
      </c>
      <c r="N5314">
        <v>0</v>
      </c>
      <c r="O5314">
        <v>-0.99940030000000002</v>
      </c>
      <c r="P5314">
        <v>-6.9199789999999997E-2</v>
      </c>
      <c r="Q5314">
        <v>-1.133258E-2</v>
      </c>
      <c r="R5314">
        <v>-0.9975387</v>
      </c>
      <c r="S5314">
        <v>-0.46757510000000002</v>
      </c>
      <c r="T5314">
        <v>-0.12501319999999999</v>
      </c>
      <c r="U5314">
        <v>-2.9735870000000002</v>
      </c>
      <c r="V5314">
        <v>0.1010735</v>
      </c>
      <c r="W5314">
        <v>1.7979770000000001E-3</v>
      </c>
      <c r="X5314">
        <v>0.99487729999999996</v>
      </c>
      <c r="Y5314">
        <v>0.18671950000000001</v>
      </c>
      <c r="Z5314">
        <v>4.1348849999999999E-2</v>
      </c>
      <c r="AA5314">
        <v>0.98154269999999999</v>
      </c>
      <c r="AB5314">
        <v>17</v>
      </c>
      <c r="AC5314">
        <v>-4.15559999999999</v>
      </c>
      <c r="AD5314">
        <v>-1.10991045967</v>
      </c>
      <c r="AE5314">
        <v>-26.243300000000001</v>
      </c>
      <c r="AF5314">
        <v>4.9842010865094801</v>
      </c>
      <c r="AG5314">
        <v>-1.10991045967</v>
      </c>
      <c r="AH5314">
        <v>26.051490882067601</v>
      </c>
      <c r="AI5314">
        <v>92.396173727367398</v>
      </c>
      <c r="AJ5314">
        <v>79.168991983680399</v>
      </c>
      <c r="AK5314">
        <v>26.5472096250754</v>
      </c>
      <c r="AL5314">
        <v>89.896983446983498</v>
      </c>
      <c r="AM5314">
        <v>84.198999657899705</v>
      </c>
      <c r="AN5314">
        <v>0.99999996358941501</v>
      </c>
    </row>
    <row r="5315" spans="1:40" x14ac:dyDescent="0.25">
      <c r="A5315" t="str">
        <f>"20190312154030477"</f>
        <v>20190312154030477</v>
      </c>
      <c r="B5315" t="str">
        <f>"1552376430471153"</f>
        <v>1552376430471153</v>
      </c>
      <c r="C5315" t="s">
        <v>40</v>
      </c>
      <c r="D5315">
        <v>4.0430229999999998</v>
      </c>
      <c r="E5315">
        <v>0.53314539999999999</v>
      </c>
      <c r="F5315" t="s">
        <v>55</v>
      </c>
      <c r="G5315">
        <v>-195.88399999999999</v>
      </c>
      <c r="H5315" s="1">
        <v>-1.319142E-5</v>
      </c>
      <c r="I5315">
        <v>153.9538</v>
      </c>
      <c r="J5315">
        <v>-191.58940000000001</v>
      </c>
      <c r="K5315">
        <v>1.1098969999999999</v>
      </c>
      <c r="L5315">
        <v>181.0264</v>
      </c>
      <c r="M5315">
        <v>3.153984E-2</v>
      </c>
      <c r="N5315">
        <v>0</v>
      </c>
      <c r="O5315">
        <v>-0.99941429999999998</v>
      </c>
      <c r="P5315">
        <v>-6.9396730000000004E-2</v>
      </c>
      <c r="Q5315">
        <v>-1.148218E-2</v>
      </c>
      <c r="R5315">
        <v>-0.99752320000000005</v>
      </c>
      <c r="S5315">
        <v>-0.469696</v>
      </c>
      <c r="T5315">
        <v>-0.12146319999999999</v>
      </c>
      <c r="U5315">
        <v>-2.9734340000000001</v>
      </c>
      <c r="V5315">
        <v>0.10082820000000001</v>
      </c>
      <c r="W5315">
        <v>1.647297E-3</v>
      </c>
      <c r="X5315">
        <v>0.99490250000000002</v>
      </c>
      <c r="Y5315">
        <v>0.18698190000000001</v>
      </c>
      <c r="Z5315">
        <v>4.017631E-2</v>
      </c>
      <c r="AA5315">
        <v>0.98154149999999996</v>
      </c>
      <c r="AB5315">
        <v>17</v>
      </c>
      <c r="AC5315">
        <v>-4.2946</v>
      </c>
      <c r="AD5315">
        <v>-1.10991019141999</v>
      </c>
      <c r="AE5315">
        <v>-27.072599999999898</v>
      </c>
      <c r="AF5315">
        <v>5.13797986081335</v>
      </c>
      <c r="AG5315">
        <v>-1.10991019141999</v>
      </c>
      <c r="AH5315">
        <v>26.879595749182901</v>
      </c>
      <c r="AI5315">
        <v>92.322508238855406</v>
      </c>
      <c r="AJ5315">
        <v>79.178564786722404</v>
      </c>
      <c r="AK5315">
        <v>27.3887459611175</v>
      </c>
      <c r="AL5315">
        <v>89.905616792742194</v>
      </c>
      <c r="AM5315">
        <v>84.213128292670405</v>
      </c>
      <c r="AN5315">
        <v>1.0000000120044401</v>
      </c>
    </row>
    <row r="5316" spans="1:40" x14ac:dyDescent="0.25">
      <c r="A5316" t="str">
        <f>"20190312154030492"</f>
        <v>20190312154030492</v>
      </c>
      <c r="B5316" t="str">
        <f>"1552376430481888"</f>
        <v>1552376430481888</v>
      </c>
      <c r="C5316" t="s">
        <v>40</v>
      </c>
      <c r="D5316">
        <v>4.0330079999999997</v>
      </c>
      <c r="E5316">
        <v>0.533169</v>
      </c>
      <c r="F5316" t="s">
        <v>55</v>
      </c>
      <c r="G5316">
        <v>-195.8509</v>
      </c>
      <c r="H5316" s="1">
        <v>-1.3224240000000001E-5</v>
      </c>
      <c r="I5316">
        <v>154.0959</v>
      </c>
      <c r="J5316">
        <v>-191.5864</v>
      </c>
      <c r="K5316">
        <v>1.1098950000000001</v>
      </c>
      <c r="L5316">
        <v>180.9135</v>
      </c>
      <c r="M5316">
        <v>3.102599E-2</v>
      </c>
      <c r="N5316">
        <v>0</v>
      </c>
      <c r="O5316">
        <v>-0.99943029999999999</v>
      </c>
      <c r="P5316">
        <v>-6.9844740000000002E-2</v>
      </c>
      <c r="Q5316">
        <v>-1.181046E-2</v>
      </c>
      <c r="R5316">
        <v>-0.99748789999999998</v>
      </c>
      <c r="S5316">
        <v>-0.4705048</v>
      </c>
      <c r="T5316">
        <v>-0.12254139999999999</v>
      </c>
      <c r="U5316">
        <v>-2.973312</v>
      </c>
      <c r="V5316">
        <v>0.10076309999999999</v>
      </c>
      <c r="W5316">
        <v>1.317803E-3</v>
      </c>
      <c r="X5316">
        <v>0.99490959999999995</v>
      </c>
      <c r="Y5316">
        <v>0.1867412</v>
      </c>
      <c r="Z5316">
        <v>4.0535069999999999E-2</v>
      </c>
      <c r="AA5316">
        <v>0.98157249999999996</v>
      </c>
      <c r="AB5316">
        <v>17</v>
      </c>
      <c r="AC5316">
        <v>-4.2644999999999902</v>
      </c>
      <c r="AD5316">
        <v>-1.10990822424</v>
      </c>
      <c r="AE5316">
        <v>-26.817599999999999</v>
      </c>
      <c r="AF5316">
        <v>5.0860655232619303</v>
      </c>
      <c r="AG5316">
        <v>-1.10990822424</v>
      </c>
      <c r="AH5316">
        <v>26.627878914718199</v>
      </c>
      <c r="AI5316">
        <v>92.344496275173398</v>
      </c>
      <c r="AJ5316">
        <v>79.186451610547394</v>
      </c>
      <c r="AK5316">
        <v>27.1319718094731</v>
      </c>
      <c r="AL5316">
        <v>89.924495429945793</v>
      </c>
      <c r="AM5316">
        <v>84.216880259595399</v>
      </c>
      <c r="AN5316">
        <v>1.00000002554925</v>
      </c>
    </row>
    <row r="5317" spans="1:40" x14ac:dyDescent="0.25">
      <c r="A5317" t="str">
        <f>"20190312154030508"</f>
        <v>20190312154030508</v>
      </c>
      <c r="B5317" t="str">
        <f>"1552376430501410"</f>
        <v>1552376430501410</v>
      </c>
      <c r="C5317" t="s">
        <v>40</v>
      </c>
      <c r="D5317">
        <v>4.0323270000000004</v>
      </c>
      <c r="E5317">
        <v>0.533188</v>
      </c>
      <c r="F5317" t="s">
        <v>55</v>
      </c>
      <c r="G5317">
        <v>-195.80629999999999</v>
      </c>
      <c r="H5317" s="1">
        <v>-1.327681E-5</v>
      </c>
      <c r="I5317">
        <v>154.32060000000001</v>
      </c>
      <c r="J5317">
        <v>-191.58369999999999</v>
      </c>
      <c r="K5317">
        <v>1.1098920000000001</v>
      </c>
      <c r="L5317">
        <v>180.8065</v>
      </c>
      <c r="M5317">
        <v>3.0537660000000001E-2</v>
      </c>
      <c r="N5317">
        <v>0</v>
      </c>
      <c r="O5317">
        <v>-0.99944560000000005</v>
      </c>
      <c r="P5317">
        <v>-7.0147870000000001E-2</v>
      </c>
      <c r="Q5317">
        <v>-1.2344859999999999E-2</v>
      </c>
      <c r="R5317">
        <v>-0.99746080000000004</v>
      </c>
      <c r="S5317">
        <v>-0.4717712</v>
      </c>
      <c r="T5317">
        <v>-0.1240861</v>
      </c>
      <c r="U5317">
        <v>-2.9730530000000002</v>
      </c>
      <c r="V5317">
        <v>0.10057869999999999</v>
      </c>
      <c r="W5317">
        <v>7.8231489999999997E-4</v>
      </c>
      <c r="X5317">
        <v>0.99492879999999995</v>
      </c>
      <c r="Y5317">
        <v>0.18667900000000001</v>
      </c>
      <c r="Z5317">
        <v>4.1048500000000002E-2</v>
      </c>
      <c r="AA5317">
        <v>0.98156299999999996</v>
      </c>
      <c r="AB5317">
        <v>17</v>
      </c>
      <c r="AC5317">
        <v>-4.2225999999999999</v>
      </c>
      <c r="AD5317">
        <v>-1.10990527681</v>
      </c>
      <c r="AE5317">
        <v>-26.485899999999901</v>
      </c>
      <c r="AF5317">
        <v>5.0209203295896598</v>
      </c>
      <c r="AG5317">
        <v>-1.10990527681</v>
      </c>
      <c r="AH5317">
        <v>26.299546455056799</v>
      </c>
      <c r="AI5317">
        <v>92.373766586375396</v>
      </c>
      <c r="AJ5317">
        <v>79.191563435083594</v>
      </c>
      <c r="AK5317">
        <v>26.797531125483701</v>
      </c>
      <c r="AL5317">
        <v>89.955176653496807</v>
      </c>
      <c r="AM5317">
        <v>84.227502679131206</v>
      </c>
      <c r="AN5317">
        <v>1.0000000019898601</v>
      </c>
    </row>
    <row r="5318" spans="1:40" x14ac:dyDescent="0.25">
      <c r="A5318" t="str">
        <f>"20190312154030521"</f>
        <v>20190312154030521</v>
      </c>
      <c r="B5318" t="str">
        <f>"1552376430511169"</f>
        <v>1552376430511169</v>
      </c>
      <c r="C5318" t="s">
        <v>40</v>
      </c>
      <c r="D5318">
        <v>4.0369190000000001</v>
      </c>
      <c r="E5318">
        <v>0.53318189999999999</v>
      </c>
      <c r="F5318" t="s">
        <v>55</v>
      </c>
      <c r="G5318">
        <v>-195.72800000000001</v>
      </c>
      <c r="H5318" s="1">
        <v>-1.340077E-5</v>
      </c>
      <c r="I5318">
        <v>154.74799999999999</v>
      </c>
      <c r="J5318">
        <v>-191.58090000000001</v>
      </c>
      <c r="K5318">
        <v>1.109882</v>
      </c>
      <c r="L5318">
        <v>180.69730000000001</v>
      </c>
      <c r="M5318">
        <v>3.0037080000000001E-2</v>
      </c>
      <c r="N5318">
        <v>0</v>
      </c>
      <c r="O5318">
        <v>-0.99946080000000004</v>
      </c>
      <c r="P5318">
        <v>-7.0980379999999996E-2</v>
      </c>
      <c r="Q5318">
        <v>-1.319067E-2</v>
      </c>
      <c r="R5318">
        <v>-0.99739089999999997</v>
      </c>
      <c r="S5318">
        <v>-0.47279359999999998</v>
      </c>
      <c r="T5318">
        <v>-0.126620699999999</v>
      </c>
      <c r="U5318">
        <v>-2.9728240000000001</v>
      </c>
      <c r="V5318">
        <v>0.1009097</v>
      </c>
      <c r="W5318" s="1">
        <v>-6.5771689999999998E-5</v>
      </c>
      <c r="X5318">
        <v>0.99489559999999999</v>
      </c>
      <c r="Y5318">
        <v>0.18652250000000001</v>
      </c>
      <c r="Z5318">
        <v>4.1889120000000002E-2</v>
      </c>
      <c r="AA5318">
        <v>0.98155729999999997</v>
      </c>
      <c r="AB5318">
        <v>17</v>
      </c>
      <c r="AC5318">
        <v>-4.14709999999996</v>
      </c>
      <c r="AD5318">
        <v>-1.1098954007699999</v>
      </c>
      <c r="AE5318">
        <v>-25.949300000000001</v>
      </c>
      <c r="AF5318">
        <v>4.9159688115347597</v>
      </c>
      <c r="AG5318">
        <v>-1.1098954007699999</v>
      </c>
      <c r="AH5318">
        <v>25.767046798612402</v>
      </c>
      <c r="AI5318">
        <v>92.4228001577669</v>
      </c>
      <c r="AJ5318">
        <v>79.198623103292604</v>
      </c>
      <c r="AK5318">
        <v>26.255272192047801</v>
      </c>
      <c r="AL5318">
        <v>90.003768440200702</v>
      </c>
      <c r="AM5318">
        <v>84.2084426221938</v>
      </c>
      <c r="AN5318">
        <v>1.00000001338968</v>
      </c>
    </row>
    <row r="5319" spans="1:40" x14ac:dyDescent="0.25">
      <c r="A5319" t="str">
        <f>"20190312154030537"</f>
        <v>20190312154030537</v>
      </c>
      <c r="B5319" t="str">
        <f>"1552376430531664"</f>
        <v>1552376430531664</v>
      </c>
      <c r="C5319" t="s">
        <v>40</v>
      </c>
      <c r="D5319">
        <v>4.0146829999999998</v>
      </c>
      <c r="E5319">
        <v>0.53323659999999995</v>
      </c>
      <c r="F5319" t="s">
        <v>55</v>
      </c>
      <c r="G5319">
        <v>-195.65440000000001</v>
      </c>
      <c r="H5319" s="1">
        <v>-1.360002E-5</v>
      </c>
      <c r="I5319">
        <v>155.2276</v>
      </c>
      <c r="J5319">
        <v>-191.57810000000001</v>
      </c>
      <c r="K5319">
        <v>1.1098809999999999</v>
      </c>
      <c r="L5319">
        <v>180.5822</v>
      </c>
      <c r="M5319">
        <v>2.950902E-2</v>
      </c>
      <c r="N5319">
        <v>0</v>
      </c>
      <c r="O5319">
        <v>-0.99947629999999998</v>
      </c>
      <c r="P5319">
        <v>-7.1618780000000007E-2</v>
      </c>
      <c r="Q5319">
        <v>-1.376957E-2</v>
      </c>
      <c r="R5319">
        <v>-0.99733720000000003</v>
      </c>
      <c r="S5319">
        <v>-0.47537230000000003</v>
      </c>
      <c r="T5319">
        <v>-0.12952420000000001</v>
      </c>
      <c r="U5319">
        <v>-2.9722900000000001</v>
      </c>
      <c r="V5319">
        <v>0.1010201</v>
      </c>
      <c r="W5319">
        <v>-6.4630949999999905E-4</v>
      </c>
      <c r="X5319">
        <v>0.9948842</v>
      </c>
      <c r="Y5319">
        <v>0.18685479999999999</v>
      </c>
      <c r="Z5319">
        <v>4.285224E-2</v>
      </c>
      <c r="AA5319">
        <v>0.98145249999999995</v>
      </c>
      <c r="AB5319">
        <v>17</v>
      </c>
      <c r="AC5319">
        <v>-4.0762999999999998</v>
      </c>
      <c r="AD5319">
        <v>-1.1098946000199901</v>
      </c>
      <c r="AE5319">
        <v>-25.354600000000001</v>
      </c>
      <c r="AF5319">
        <v>4.8137879374408401</v>
      </c>
      <c r="AG5319">
        <v>-1.1098946000199901</v>
      </c>
      <c r="AH5319">
        <v>25.176230110291801</v>
      </c>
      <c r="AI5319">
        <v>92.479393647913597</v>
      </c>
      <c r="AJ5319">
        <v>79.175484564685206</v>
      </c>
      <c r="AK5319">
        <v>25.656324422959798</v>
      </c>
      <c r="AL5319">
        <v>90.037030808266493</v>
      </c>
      <c r="AM5319">
        <v>84.202083543292403</v>
      </c>
      <c r="AN5319">
        <v>1.0000000248648</v>
      </c>
    </row>
    <row r="5320" spans="1:40" x14ac:dyDescent="0.25">
      <c r="A5320" t="str">
        <f>"20190312154030554"</f>
        <v>20190312154030554</v>
      </c>
      <c r="B5320" t="str">
        <f>"1552376430541425"</f>
        <v>1552376430541425</v>
      </c>
      <c r="C5320" t="s">
        <v>40</v>
      </c>
      <c r="D5320">
        <v>4.0326969999999998</v>
      </c>
      <c r="E5320">
        <v>0.53325549999999999</v>
      </c>
      <c r="F5320" t="s">
        <v>55</v>
      </c>
      <c r="G5320">
        <v>-195.6242</v>
      </c>
      <c r="H5320" s="1">
        <v>-1.3672390000000001E-5</v>
      </c>
      <c r="I5320">
        <v>155.40260000000001</v>
      </c>
      <c r="J5320">
        <v>-191.57509999999999</v>
      </c>
      <c r="K5320">
        <v>1.10988</v>
      </c>
      <c r="L5320">
        <v>180.45509999999999</v>
      </c>
      <c r="M5320">
        <v>2.8922900000000001E-2</v>
      </c>
      <c r="N5320">
        <v>0</v>
      </c>
      <c r="O5320">
        <v>-0.99949370000000004</v>
      </c>
      <c r="P5320">
        <v>-7.3018390000000002E-2</v>
      </c>
      <c r="Q5320">
        <v>-1.3949410000000001E-2</v>
      </c>
      <c r="R5320">
        <v>-0.99723329999999999</v>
      </c>
      <c r="S5320">
        <v>-0.47755429999999999</v>
      </c>
      <c r="T5320">
        <v>-0.13099959999999999</v>
      </c>
      <c r="U5320">
        <v>-2.971924</v>
      </c>
      <c r="V5320">
        <v>0.10183250000000001</v>
      </c>
      <c r="W5320">
        <v>-8.2918289999999904E-4</v>
      </c>
      <c r="X5320">
        <v>0.99480119999999905</v>
      </c>
      <c r="Y5320">
        <v>0.18699669999999999</v>
      </c>
      <c r="Z5320">
        <v>4.3342720000000001E-2</v>
      </c>
      <c r="AA5320">
        <v>0.9814039</v>
      </c>
      <c r="AB5320">
        <v>17</v>
      </c>
      <c r="AC5320">
        <v>-4.0491000000000099</v>
      </c>
      <c r="AD5320">
        <v>-1.1098936723899999</v>
      </c>
      <c r="AE5320">
        <v>-25.052499999999899</v>
      </c>
      <c r="AF5320">
        <v>4.7629499987528598</v>
      </c>
      <c r="AG5320">
        <v>-1.1098936723899999</v>
      </c>
      <c r="AH5320">
        <v>24.8773108926924</v>
      </c>
      <c r="AI5320">
        <v>92.509028007933296</v>
      </c>
      <c r="AJ5320">
        <v>79.161450530037101</v>
      </c>
      <c r="AK5320">
        <v>25.353464337370198</v>
      </c>
      <c r="AL5320">
        <v>90.047508686696901</v>
      </c>
      <c r="AM5320">
        <v>84.155294140996205</v>
      </c>
      <c r="AN5320">
        <v>0.99999998656098499</v>
      </c>
    </row>
    <row r="5321" spans="1:40" x14ac:dyDescent="0.25">
      <c r="A5321" t="str">
        <f>"20190312154030568"</f>
        <v>20190312154030568</v>
      </c>
      <c r="B5321" t="str">
        <f>"1552376430561921"</f>
        <v>1552376430561921</v>
      </c>
      <c r="C5321" t="s">
        <v>40</v>
      </c>
      <c r="D5321">
        <v>4.0542189999999998</v>
      </c>
      <c r="E5321">
        <v>0.5245377</v>
      </c>
      <c r="F5321" t="s">
        <v>55</v>
      </c>
      <c r="G5321">
        <v>-195.62280000000001</v>
      </c>
      <c r="H5321" s="1">
        <v>-1.371425E-5</v>
      </c>
      <c r="I5321">
        <v>155.50049999999999</v>
      </c>
      <c r="J5321">
        <v>-191.57259999999999</v>
      </c>
      <c r="K5321">
        <v>1.109882</v>
      </c>
      <c r="L5321">
        <v>180.34870000000001</v>
      </c>
      <c r="M5321">
        <v>2.8431939999999999E-2</v>
      </c>
      <c r="N5321">
        <v>0</v>
      </c>
      <c r="O5321">
        <v>-0.99950749999999999</v>
      </c>
      <c r="P5321">
        <v>-7.3804129999999996E-2</v>
      </c>
      <c r="Q5321">
        <v>-1.384492E-2</v>
      </c>
      <c r="R5321">
        <v>-0.99717679999999997</v>
      </c>
      <c r="S5321">
        <v>-0.48193359999999902</v>
      </c>
      <c r="T5321">
        <v>-0.1321473</v>
      </c>
      <c r="U5321">
        <v>-2.9711759999999998</v>
      </c>
      <c r="V5321">
        <v>0.1021278</v>
      </c>
      <c r="W5321">
        <v>-7.2629589999999896E-4</v>
      </c>
      <c r="X5321">
        <v>0.99477099999999996</v>
      </c>
      <c r="Y5321">
        <v>0.18795990000000001</v>
      </c>
      <c r="Z5321">
        <v>4.3724369999999999E-2</v>
      </c>
      <c r="AA5321">
        <v>0.98120300000000005</v>
      </c>
      <c r="AB5321">
        <v>17</v>
      </c>
      <c r="AC5321">
        <v>-4.05020000000001</v>
      </c>
      <c r="AD5321">
        <v>-1.1098957142499899</v>
      </c>
      <c r="AE5321">
        <v>-24.848199999999999</v>
      </c>
      <c r="AF5321">
        <v>4.7458835153994299</v>
      </c>
      <c r="AG5321">
        <v>-1.1098957142499899</v>
      </c>
      <c r="AH5321">
        <v>24.6750315060027</v>
      </c>
      <c r="AI5321">
        <v>92.529163965219098</v>
      </c>
      <c r="AJ5321">
        <v>79.112938765408501</v>
      </c>
      <c r="AK5321">
        <v>25.151788378969702</v>
      </c>
      <c r="AL5321">
        <v>90.041613694290902</v>
      </c>
      <c r="AM5321">
        <v>84.138286442848795</v>
      </c>
      <c r="AN5321">
        <v>0.99999997873978597</v>
      </c>
    </row>
    <row r="5322" spans="1:40" x14ac:dyDescent="0.25">
      <c r="A5322" t="str">
        <f>"20190312154030584"</f>
        <v>20190312154030584</v>
      </c>
      <c r="B5322" t="str">
        <f>"1552376430571681"</f>
        <v>1552376430571681</v>
      </c>
      <c r="C5322" t="s">
        <v>40</v>
      </c>
      <c r="D5322">
        <v>4.0639099999999999</v>
      </c>
      <c r="E5322">
        <v>0.52331669999999997</v>
      </c>
      <c r="F5322" t="s">
        <v>41</v>
      </c>
      <c r="G5322">
        <v>-191.68020000000001</v>
      </c>
      <c r="H5322">
        <v>1.0049939999999999</v>
      </c>
      <c r="I5322">
        <v>179.56870000000001</v>
      </c>
      <c r="J5322">
        <v>-191.56989999999999</v>
      </c>
      <c r="K5322">
        <v>1.10988</v>
      </c>
      <c r="L5322">
        <v>180.23390000000001</v>
      </c>
      <c r="M5322">
        <v>2.7901789999999999E-2</v>
      </c>
      <c r="N5322">
        <v>0</v>
      </c>
      <c r="O5322">
        <v>-0.99952260000000004</v>
      </c>
      <c r="P5322">
        <v>-7.4668280000000004E-2</v>
      </c>
      <c r="Q5322">
        <v>-1.364134E-2</v>
      </c>
      <c r="R5322">
        <v>-0.99711530000000004</v>
      </c>
      <c r="S5322">
        <v>-0.40971370000000001</v>
      </c>
      <c r="T5322">
        <v>-0.39972659999999999</v>
      </c>
      <c r="U5322">
        <v>-2.972626</v>
      </c>
      <c r="V5322">
        <v>0.1024625</v>
      </c>
      <c r="W5322">
        <v>-5.2436279999999995E-4</v>
      </c>
      <c r="X5322">
        <v>0.99473670000000003</v>
      </c>
      <c r="Y5322">
        <v>0.16293659999999999</v>
      </c>
      <c r="Z5322">
        <v>0.131689</v>
      </c>
      <c r="AA5322">
        <v>0.97780860000000003</v>
      </c>
      <c r="AB5322">
        <v>17</v>
      </c>
      <c r="AC5322">
        <v>-0.110300000000023</v>
      </c>
      <c r="AD5322">
        <v>-0.10488599999999999</v>
      </c>
      <c r="AE5322">
        <v>-0.66519999999999802</v>
      </c>
      <c r="AF5322">
        <v>0.12577563450287699</v>
      </c>
      <c r="AG5322">
        <v>-0.10488599999999999</v>
      </c>
      <c r="AH5322">
        <v>0.646226761715606</v>
      </c>
      <c r="AI5322">
        <v>99.052048013454495</v>
      </c>
      <c r="AJ5322">
        <v>78.986170864278193</v>
      </c>
      <c r="AK5322">
        <v>0.66665554133153404</v>
      </c>
      <c r="AL5322">
        <v>90.030043777633907</v>
      </c>
      <c r="AM5322">
        <v>84.119009106194696</v>
      </c>
      <c r="AN5322">
        <v>0.99999997059474199</v>
      </c>
    </row>
    <row r="5323" spans="1:40" x14ac:dyDescent="0.25">
      <c r="A5323" t="str">
        <f>"20190312154030600"</f>
        <v>20190312154030600</v>
      </c>
      <c r="B5323" t="str">
        <f>"1552376430591201"</f>
        <v>1552376430591201</v>
      </c>
      <c r="C5323" t="s">
        <v>40</v>
      </c>
      <c r="D5323">
        <v>4.0666500000000001</v>
      </c>
      <c r="E5323">
        <v>0.52161679999999999</v>
      </c>
      <c r="F5323" t="s">
        <v>41</v>
      </c>
      <c r="G5323">
        <v>-191.6789</v>
      </c>
      <c r="H5323">
        <v>0.98822580000000004</v>
      </c>
      <c r="I5323">
        <v>179.42789999999999</v>
      </c>
      <c r="J5323">
        <v>-191.56710000000001</v>
      </c>
      <c r="K5323">
        <v>1.109882</v>
      </c>
      <c r="L5323">
        <v>180.11019999999999</v>
      </c>
      <c r="M5323">
        <v>2.7330380000000001E-2</v>
      </c>
      <c r="N5323">
        <v>0</v>
      </c>
      <c r="O5323">
        <v>-0.99953829999999999</v>
      </c>
      <c r="P5323">
        <v>-7.5884519999999997E-2</v>
      </c>
      <c r="Q5323">
        <v>-1.296279E-2</v>
      </c>
      <c r="R5323">
        <v>-0.99703249999999999</v>
      </c>
      <c r="S5323">
        <v>-0.40155030000000003</v>
      </c>
      <c r="T5323">
        <v>-0.4486715</v>
      </c>
      <c r="U5323">
        <v>-2.972458</v>
      </c>
      <c r="V5323">
        <v>0.10310800000000001</v>
      </c>
      <c r="W5323">
        <v>1.519363E-4</v>
      </c>
      <c r="X5323">
        <v>0.99467019999999995</v>
      </c>
      <c r="Y5323">
        <v>0.1594431</v>
      </c>
      <c r="Z5323">
        <v>0.147557299999999</v>
      </c>
      <c r="AA5323">
        <v>0.97611720000000002</v>
      </c>
      <c r="AB5323">
        <v>17</v>
      </c>
      <c r="AC5323">
        <v>-0.11179999999998801</v>
      </c>
      <c r="AD5323">
        <v>-0.12165620000000001</v>
      </c>
      <c r="AE5323">
        <v>-0.68229999999999702</v>
      </c>
      <c r="AF5323">
        <v>0.12649113548934199</v>
      </c>
      <c r="AG5323">
        <v>-0.12165620000000001</v>
      </c>
      <c r="AH5323">
        <v>0.65859859359780404</v>
      </c>
      <c r="AI5323">
        <v>100.28189140159201</v>
      </c>
      <c r="AJ5323">
        <v>79.128101314553803</v>
      </c>
      <c r="AK5323">
        <v>0.68158076986137806</v>
      </c>
      <c r="AL5323">
        <v>89.991294691611301</v>
      </c>
      <c r="AM5323">
        <v>84.081828933591794</v>
      </c>
      <c r="AN5323">
        <v>1.0000000447583299</v>
      </c>
    </row>
    <row r="5324" spans="1:40" x14ac:dyDescent="0.25">
      <c r="A5324" t="str">
        <f>"20190312154030614"</f>
        <v>20190312154030614</v>
      </c>
      <c r="B5324" t="str">
        <f>"1552376430601937"</f>
        <v>1552376430601937</v>
      </c>
      <c r="C5324" t="s">
        <v>40</v>
      </c>
      <c r="D5324">
        <v>4.0610189999999999</v>
      </c>
      <c r="E5324">
        <v>0.52119309999999996</v>
      </c>
      <c r="F5324" t="s">
        <v>41</v>
      </c>
      <c r="G5324">
        <v>-191.67570000000001</v>
      </c>
      <c r="H5324">
        <v>0.97538150000000001</v>
      </c>
      <c r="I5324">
        <v>179.28550000000001</v>
      </c>
      <c r="J5324">
        <v>-191.56479999999999</v>
      </c>
      <c r="K5324">
        <v>1.109877</v>
      </c>
      <c r="L5324">
        <v>180.00389999999999</v>
      </c>
      <c r="M5324">
        <v>2.683955E-2</v>
      </c>
      <c r="N5324">
        <v>0</v>
      </c>
      <c r="O5324">
        <v>-0.99955179999999999</v>
      </c>
      <c r="P5324">
        <v>-7.6495679999999996E-2</v>
      </c>
      <c r="Q5324">
        <v>-1.308137E-2</v>
      </c>
      <c r="R5324">
        <v>-0.99698450000000005</v>
      </c>
      <c r="S5324">
        <v>-0.39083859999999998</v>
      </c>
      <c r="T5324">
        <v>-0.48488239999999999</v>
      </c>
      <c r="U5324">
        <v>-2.9729000000000001</v>
      </c>
      <c r="V5324">
        <v>0.1032291</v>
      </c>
      <c r="W5324" s="1">
        <v>3.2333540000000001E-5</v>
      </c>
      <c r="X5324">
        <v>0.99465760000000003</v>
      </c>
      <c r="Y5324">
        <v>0.15524549999999901</v>
      </c>
      <c r="Z5324">
        <v>0.15924199999999999</v>
      </c>
      <c r="AA5324">
        <v>0.97495679999999996</v>
      </c>
      <c r="AB5324">
        <v>17</v>
      </c>
      <c r="AC5324">
        <v>-0.110900000000015</v>
      </c>
      <c r="AD5324">
        <v>-0.13449549999999999</v>
      </c>
      <c r="AE5324">
        <v>-0.71839999999997395</v>
      </c>
      <c r="AF5324">
        <v>0.12583544683632</v>
      </c>
      <c r="AG5324">
        <v>-0.13449549999999999</v>
      </c>
      <c r="AH5324">
        <v>0.69149200091301599</v>
      </c>
      <c r="AI5324">
        <v>100.83303347318601</v>
      </c>
      <c r="AJ5324">
        <v>79.686360833693897</v>
      </c>
      <c r="AK5324">
        <v>0.71560099673451605</v>
      </c>
      <c r="AL5324">
        <v>89.998147424611105</v>
      </c>
      <c r="AM5324">
        <v>84.074852959353706</v>
      </c>
      <c r="AN5324">
        <v>0.99999999468501299</v>
      </c>
    </row>
    <row r="5325" spans="1:40" x14ac:dyDescent="0.25">
      <c r="A5325" t="str">
        <f>"20190312154030629"</f>
        <v>20190312154030629</v>
      </c>
      <c r="B5325" t="str">
        <f>"1552376430621456"</f>
        <v>1552376430621456</v>
      </c>
      <c r="C5325" t="s">
        <v>40</v>
      </c>
      <c r="D5325">
        <v>4.1158590000000004</v>
      </c>
      <c r="E5325">
        <v>0.52064109999999997</v>
      </c>
      <c r="F5325" t="s">
        <v>41</v>
      </c>
      <c r="G5325">
        <v>-191.65969999999999</v>
      </c>
      <c r="H5325">
        <v>0.98897429999999997</v>
      </c>
      <c r="I5325">
        <v>179.27969999999999</v>
      </c>
      <c r="J5325">
        <v>-191.5626</v>
      </c>
      <c r="K5325">
        <v>1.1098760000000001</v>
      </c>
      <c r="L5325">
        <v>179.89959999999999</v>
      </c>
      <c r="M5325">
        <v>2.6359E-2</v>
      </c>
      <c r="N5325">
        <v>0</v>
      </c>
      <c r="O5325">
        <v>-0.99956449999999997</v>
      </c>
      <c r="P5325">
        <v>-7.7047149999999995E-2</v>
      </c>
      <c r="Q5325">
        <v>-1.3441410000000001E-2</v>
      </c>
      <c r="R5325">
        <v>-0.99693719999999997</v>
      </c>
      <c r="S5325">
        <v>-0.38905329999999999</v>
      </c>
      <c r="T5325">
        <v>-0.49632310000000002</v>
      </c>
      <c r="U5325">
        <v>-2.9727329999999998</v>
      </c>
      <c r="V5325">
        <v>0.1033007</v>
      </c>
      <c r="W5325">
        <v>-3.2862530000000003E-4</v>
      </c>
      <c r="X5325">
        <v>0.99465009999999998</v>
      </c>
      <c r="Y5325">
        <v>0.15412390000000001</v>
      </c>
      <c r="Z5325">
        <v>0.16293189999999999</v>
      </c>
      <c r="AA5325">
        <v>0.97452499999999997</v>
      </c>
      <c r="AB5325">
        <v>17</v>
      </c>
      <c r="AC5325">
        <v>-9.7099999999983297E-2</v>
      </c>
      <c r="AD5325">
        <v>-0.1209017</v>
      </c>
      <c r="AE5325">
        <v>-0.61990000000000101</v>
      </c>
      <c r="AF5325">
        <v>0.10934783734499</v>
      </c>
      <c r="AG5325">
        <v>-0.1209017</v>
      </c>
      <c r="AH5325">
        <v>0.59503286560379598</v>
      </c>
      <c r="AI5325">
        <v>101.301040115601</v>
      </c>
      <c r="AJ5325">
        <v>79.587064445592105</v>
      </c>
      <c r="AK5325">
        <v>0.61695889793695402</v>
      </c>
      <c r="AL5325">
        <v>90.018828843408599</v>
      </c>
      <c r="AM5325">
        <v>84.070728138321201</v>
      </c>
      <c r="AN5325">
        <v>0.99999998202254303</v>
      </c>
    </row>
    <row r="5326" spans="1:40" x14ac:dyDescent="0.25">
      <c r="A5326" t="str">
        <f>"20190312154030643"</f>
        <v>20190312154030643</v>
      </c>
      <c r="B5326" t="str">
        <f>"1552376430631217"</f>
        <v>1552376430631217</v>
      </c>
      <c r="C5326" t="s">
        <v>40</v>
      </c>
      <c r="D5326">
        <v>4.1035690000000002</v>
      </c>
      <c r="E5326">
        <v>0.52047619999999895</v>
      </c>
      <c r="F5326" t="s">
        <v>41</v>
      </c>
      <c r="G5326">
        <v>-191.66200000000001</v>
      </c>
      <c r="H5326">
        <v>0.97892049999999997</v>
      </c>
      <c r="I5326">
        <v>179.136</v>
      </c>
      <c r="J5326">
        <v>-191.56030000000001</v>
      </c>
      <c r="K5326">
        <v>1.1098749999999999</v>
      </c>
      <c r="L5326">
        <v>179.791</v>
      </c>
      <c r="M5326">
        <v>2.5858450000000002E-2</v>
      </c>
      <c r="N5326">
        <v>0</v>
      </c>
      <c r="O5326">
        <v>-0.99957759999999996</v>
      </c>
      <c r="P5326">
        <v>-7.7933039999999995E-2</v>
      </c>
      <c r="Q5326">
        <v>-1.430767E-2</v>
      </c>
      <c r="R5326">
        <v>-0.99685590000000002</v>
      </c>
      <c r="S5326">
        <v>-0.38604739999999999</v>
      </c>
      <c r="T5326">
        <v>-0.50978599999999996</v>
      </c>
      <c r="U5326">
        <v>-2.9725039999999998</v>
      </c>
      <c r="V5326">
        <v>0.1036854</v>
      </c>
      <c r="W5326">
        <v>-1.1965890000000001E-3</v>
      </c>
      <c r="X5326">
        <v>0.99460939999999998</v>
      </c>
      <c r="Y5326">
        <v>0.15257599999999999</v>
      </c>
      <c r="Z5326">
        <v>0.16727429999999999</v>
      </c>
      <c r="AA5326">
        <v>0.97403280000000003</v>
      </c>
      <c r="AB5326">
        <v>17</v>
      </c>
      <c r="AC5326">
        <v>-0.101699999999993</v>
      </c>
      <c r="AD5326">
        <v>-0.130954499999999</v>
      </c>
      <c r="AE5326">
        <v>-0.65500000000000103</v>
      </c>
      <c r="AF5326">
        <v>0.114149368745274</v>
      </c>
      <c r="AG5326">
        <v>-0.130954499999999</v>
      </c>
      <c r="AH5326">
        <v>0.62765282434585601</v>
      </c>
      <c r="AI5326">
        <v>101.60021565900701</v>
      </c>
      <c r="AJ5326">
        <v>79.692443109809602</v>
      </c>
      <c r="AK5326">
        <v>0.65125051045241</v>
      </c>
      <c r="AL5326">
        <v>90.068559517498599</v>
      </c>
      <c r="AM5326">
        <v>84.0485634633676</v>
      </c>
      <c r="AN5326">
        <v>0.999999976283377</v>
      </c>
    </row>
    <row r="5327" spans="1:40" x14ac:dyDescent="0.25">
      <c r="A5327" t="str">
        <f>"20190312154030655"</f>
        <v>20190312154030655</v>
      </c>
      <c r="B5327" t="str">
        <f>"1552376430641953"</f>
        <v>1552376430641953</v>
      </c>
      <c r="C5327" t="s">
        <v>40</v>
      </c>
      <c r="D5327">
        <v>4.1230079999999996</v>
      </c>
      <c r="E5327">
        <v>0.5202793</v>
      </c>
      <c r="F5327" t="s">
        <v>41</v>
      </c>
      <c r="G5327">
        <v>-191.6645</v>
      </c>
      <c r="H5327">
        <v>0.97078920000000002</v>
      </c>
      <c r="I5327">
        <v>178.9914</v>
      </c>
      <c r="J5327">
        <v>-191.55850000000001</v>
      </c>
      <c r="K5327">
        <v>1.109874</v>
      </c>
      <c r="L5327">
        <v>179.70079999999999</v>
      </c>
      <c r="M5327">
        <v>2.544366E-2</v>
      </c>
      <c r="N5327">
        <v>0</v>
      </c>
      <c r="O5327">
        <v>-0.99958809999999998</v>
      </c>
      <c r="P5327">
        <v>-7.8685140000000001E-2</v>
      </c>
      <c r="Q5327">
        <v>-1.43147E-2</v>
      </c>
      <c r="R5327">
        <v>-0.99679680000000004</v>
      </c>
      <c r="S5327">
        <v>-0.38717649999999998</v>
      </c>
      <c r="T5327">
        <v>-0.51697269999999995</v>
      </c>
      <c r="U5327">
        <v>-2.9717709999999999</v>
      </c>
      <c r="V5327">
        <v>0.10402309999999999</v>
      </c>
      <c r="W5327">
        <v>-1.2049929999999999E-3</v>
      </c>
      <c r="X5327">
        <v>0.99457410000000002</v>
      </c>
      <c r="Y5327">
        <v>0.15250920000000001</v>
      </c>
      <c r="Z5327">
        <v>0.169604</v>
      </c>
      <c r="AA5327">
        <v>0.97364030000000001</v>
      </c>
      <c r="AB5327">
        <v>17</v>
      </c>
      <c r="AC5327">
        <v>-0.105999999999994</v>
      </c>
      <c r="AD5327">
        <v>-0.13908480000000001</v>
      </c>
      <c r="AE5327">
        <v>-0.70939999999998704</v>
      </c>
      <c r="AF5327">
        <v>0.11952294483871601</v>
      </c>
      <c r="AG5327">
        <v>-0.13908480000000001</v>
      </c>
      <c r="AH5327">
        <v>0.68087227370487802</v>
      </c>
      <c r="AI5327">
        <v>101.375914025046</v>
      </c>
      <c r="AJ5327">
        <v>80.043522534372201</v>
      </c>
      <c r="AK5327">
        <v>0.70513641874038002</v>
      </c>
      <c r="AL5327">
        <v>90.069041033481099</v>
      </c>
      <c r="AM5327">
        <v>84.029109242329397</v>
      </c>
      <c r="AN5327">
        <v>0.99999994886627297</v>
      </c>
    </row>
    <row r="5328" spans="1:40" x14ac:dyDescent="0.25">
      <c r="A5328" t="str">
        <f>"20190312154030667"</f>
        <v>20190312154030667</v>
      </c>
      <c r="B5328" t="str">
        <f>"1552376430661473"</f>
        <v>1552376430661473</v>
      </c>
      <c r="C5328" t="s">
        <v>40</v>
      </c>
      <c r="D5328">
        <v>4.1286079999999998</v>
      </c>
      <c r="E5328">
        <v>0.5200977</v>
      </c>
      <c r="F5328" t="s">
        <v>41</v>
      </c>
      <c r="G5328">
        <v>-191.65190000000001</v>
      </c>
      <c r="H5328">
        <v>0.98475579999999996</v>
      </c>
      <c r="I5328">
        <v>178.98519999999999</v>
      </c>
      <c r="J5328">
        <v>-191.55670000000001</v>
      </c>
      <c r="K5328">
        <v>1.1098760000000001</v>
      </c>
      <c r="L5328">
        <v>179.61429999999999</v>
      </c>
      <c r="M5328">
        <v>2.5046349999999998E-2</v>
      </c>
      <c r="N5328">
        <v>0</v>
      </c>
      <c r="O5328">
        <v>-0.99959830000000005</v>
      </c>
      <c r="P5328">
        <v>-7.9194959999999995E-2</v>
      </c>
      <c r="Q5328">
        <v>-1.4780099999999999E-2</v>
      </c>
      <c r="R5328">
        <v>-0.99674960000000001</v>
      </c>
      <c r="S5328">
        <v>-0.38800050000000003</v>
      </c>
      <c r="T5328">
        <v>-0.51959650000000002</v>
      </c>
      <c r="U5328">
        <v>-2.9715419999999999</v>
      </c>
      <c r="V5328">
        <v>0.1041358</v>
      </c>
      <c r="W5328">
        <v>-1.671271E-3</v>
      </c>
      <c r="X5328">
        <v>0.99456169999999999</v>
      </c>
      <c r="Y5328">
        <v>0.1523726</v>
      </c>
      <c r="Z5328">
        <v>0.17045370000000001</v>
      </c>
      <c r="AA5328">
        <v>0.97351330000000003</v>
      </c>
      <c r="AB5328">
        <v>17</v>
      </c>
      <c r="AC5328">
        <v>-9.5200000000005502E-2</v>
      </c>
      <c r="AD5328">
        <v>-0.12512019999999999</v>
      </c>
      <c r="AE5328">
        <v>-0.629099999999994</v>
      </c>
      <c r="AF5328">
        <v>0.10679821017353799</v>
      </c>
      <c r="AG5328">
        <v>-0.12512019999999999</v>
      </c>
      <c r="AH5328">
        <v>0.60319211141287199</v>
      </c>
      <c r="AI5328">
        <v>101.54406225628</v>
      </c>
      <c r="AJ5328">
        <v>79.959547548848306</v>
      </c>
      <c r="AK5328">
        <v>0.62522127716115805</v>
      </c>
      <c r="AL5328">
        <v>90.095756817715198</v>
      </c>
      <c r="AM5328">
        <v>84.022613125209901</v>
      </c>
      <c r="AN5328">
        <v>1.0000000165476399</v>
      </c>
    </row>
    <row r="5329" spans="1:40" x14ac:dyDescent="0.25">
      <c r="A5329" t="str">
        <f>"20190312154030680"</f>
        <v>20190312154030680</v>
      </c>
      <c r="B5329" t="str">
        <f>"1552376430671233"</f>
        <v>1552376430671233</v>
      </c>
      <c r="C5329" t="s">
        <v>40</v>
      </c>
      <c r="D5329">
        <v>4.1126579999999997</v>
      </c>
      <c r="E5329">
        <v>0.51998859999999902</v>
      </c>
      <c r="F5329" t="s">
        <v>41</v>
      </c>
      <c r="G5329">
        <v>-191.65780000000001</v>
      </c>
      <c r="H5329">
        <v>0.97296519999999997</v>
      </c>
      <c r="I5329">
        <v>178.8426</v>
      </c>
      <c r="J5329">
        <v>-191.55500000000001</v>
      </c>
      <c r="K5329">
        <v>1.10988</v>
      </c>
      <c r="L5329">
        <v>179.5249</v>
      </c>
      <c r="M5329">
        <v>2.4635609999999999E-2</v>
      </c>
      <c r="N5329">
        <v>0</v>
      </c>
      <c r="O5329">
        <v>-0.99960879999999996</v>
      </c>
      <c r="P5329">
        <v>-8.0049499999999996E-2</v>
      </c>
      <c r="Q5329">
        <v>-1.4796E-2</v>
      </c>
      <c r="R5329">
        <v>-0.9966815</v>
      </c>
      <c r="S5329">
        <v>-0.38810729999999999</v>
      </c>
      <c r="T5329">
        <v>-0.52706229999999998</v>
      </c>
      <c r="U5329">
        <v>-2.9711460000000001</v>
      </c>
      <c r="V5329">
        <v>0.1045798</v>
      </c>
      <c r="W5329">
        <v>-1.6887759999999999E-3</v>
      </c>
      <c r="X5329">
        <v>0.99451509999999999</v>
      </c>
      <c r="Y5329">
        <v>0.1519634</v>
      </c>
      <c r="Z5329">
        <v>0.17285909999999999</v>
      </c>
      <c r="AA5329">
        <v>0.97315309999999999</v>
      </c>
      <c r="AB5329">
        <v>17</v>
      </c>
      <c r="AC5329">
        <v>-0.102800000000001</v>
      </c>
      <c r="AD5329">
        <v>-0.1369148</v>
      </c>
      <c r="AE5329">
        <v>-0.68229999999999702</v>
      </c>
      <c r="AF5329">
        <v>0.115049277660195</v>
      </c>
      <c r="AG5329">
        <v>-0.1369148</v>
      </c>
      <c r="AH5329">
        <v>0.65381719444701503</v>
      </c>
      <c r="AI5329">
        <v>101.65327632573199</v>
      </c>
      <c r="AJ5329">
        <v>80.020087346124498</v>
      </c>
      <c r="AK5329">
        <v>0.67783399332265604</v>
      </c>
      <c r="AL5329">
        <v>90.096759779916994</v>
      </c>
      <c r="AM5329">
        <v>83.997034033222604</v>
      </c>
      <c r="AN5329">
        <v>1.0000000353302101</v>
      </c>
    </row>
    <row r="5330" spans="1:40" x14ac:dyDescent="0.25">
      <c r="A5330" t="str">
        <f>"20190312154030701"</f>
        <v>20190312154030701</v>
      </c>
      <c r="B5330" t="str">
        <f>"1552376430691728"</f>
        <v>1552376430691728</v>
      </c>
      <c r="C5330" t="s">
        <v>40</v>
      </c>
      <c r="D5330">
        <v>4.1445809999999996</v>
      </c>
      <c r="E5330">
        <v>0.51966140000000005</v>
      </c>
      <c r="F5330" t="s">
        <v>41</v>
      </c>
      <c r="G5330">
        <v>-191.6634</v>
      </c>
      <c r="H5330">
        <v>0.96300110000000005</v>
      </c>
      <c r="I5330">
        <v>178.69919999999999</v>
      </c>
      <c r="J5330">
        <v>-191.55189999999999</v>
      </c>
      <c r="K5330">
        <v>1.1098749999999999</v>
      </c>
      <c r="L5330">
        <v>179.36439999999999</v>
      </c>
      <c r="M5330">
        <v>2.3899179999999999E-2</v>
      </c>
      <c r="N5330">
        <v>0</v>
      </c>
      <c r="O5330">
        <v>-0.99962649999999997</v>
      </c>
      <c r="P5330">
        <v>-8.1411800000000006E-2</v>
      </c>
      <c r="Q5330">
        <v>-1.499109E-2</v>
      </c>
      <c r="R5330">
        <v>-0.99656800000000001</v>
      </c>
      <c r="S5330">
        <v>-0.38960270000000002</v>
      </c>
      <c r="T5330">
        <v>-0.52841660000000001</v>
      </c>
      <c r="U5330">
        <v>-2.9708559999999999</v>
      </c>
      <c r="V5330">
        <v>0.1052062</v>
      </c>
      <c r="W5330">
        <v>-1.886434E-3</v>
      </c>
      <c r="X5330">
        <v>0.99444869999999996</v>
      </c>
      <c r="Y5330">
        <v>0.15171899999999999</v>
      </c>
      <c r="Z5330">
        <v>0.17330860000000001</v>
      </c>
      <c r="AA5330">
        <v>0.97311119999999995</v>
      </c>
      <c r="AB5330">
        <v>17</v>
      </c>
      <c r="AC5330">
        <v>-0.111500000000006</v>
      </c>
      <c r="AD5330">
        <v>-0.146873899999999</v>
      </c>
      <c r="AE5330">
        <v>-0.66519999999999802</v>
      </c>
      <c r="AF5330">
        <v>0.12160109345698</v>
      </c>
      <c r="AG5330">
        <v>-0.146873899999999</v>
      </c>
      <c r="AH5330">
        <v>0.63235922368518804</v>
      </c>
      <c r="AI5330">
        <v>102.848489502848</v>
      </c>
      <c r="AJ5330">
        <v>79.115036477002405</v>
      </c>
      <c r="AK5330">
        <v>0.660482366313346</v>
      </c>
      <c r="AL5330">
        <v>90.108084764146099</v>
      </c>
      <c r="AM5330">
        <v>83.960942828238103</v>
      </c>
      <c r="AN5330">
        <v>1.0000000600416801</v>
      </c>
    </row>
    <row r="5331" spans="1:40" x14ac:dyDescent="0.25">
      <c r="A5331" t="str">
        <f>"20190312154030715"</f>
        <v>20190312154030715</v>
      </c>
      <c r="B5331" t="str">
        <f>"1552376430701488"</f>
        <v>1552376430701488</v>
      </c>
      <c r="C5331" t="s">
        <v>40</v>
      </c>
      <c r="D5331">
        <v>4.1084750000000003</v>
      </c>
      <c r="E5331">
        <v>0.51966140000000005</v>
      </c>
      <c r="F5331" t="s">
        <v>41</v>
      </c>
      <c r="G5331">
        <v>-191.6592</v>
      </c>
      <c r="H5331">
        <v>0.96422839999999999</v>
      </c>
      <c r="I5331">
        <v>178.55109999999999</v>
      </c>
      <c r="J5331">
        <v>-191.55</v>
      </c>
      <c r="K5331">
        <v>1.1098790000000001</v>
      </c>
      <c r="L5331">
        <v>179.2594</v>
      </c>
      <c r="M5331">
        <v>2.341787E-2</v>
      </c>
      <c r="N5331">
        <v>0</v>
      </c>
      <c r="O5331">
        <v>-0.99963769999999996</v>
      </c>
      <c r="P5331">
        <v>-8.2083059999999999E-2</v>
      </c>
      <c r="Q5331">
        <v>-1.546848E-2</v>
      </c>
      <c r="R5331">
        <v>-0.99650539999999999</v>
      </c>
      <c r="S5331">
        <v>-0.39085389999999998</v>
      </c>
      <c r="T5331">
        <v>-0.5319545</v>
      </c>
      <c r="U5331">
        <v>-2.9703979999999999</v>
      </c>
      <c r="V5331">
        <v>0.105396699999999</v>
      </c>
      <c r="W5331">
        <v>-2.365163E-3</v>
      </c>
      <c r="X5331">
        <v>0.99442739999999996</v>
      </c>
      <c r="Y5331">
        <v>0.1516391</v>
      </c>
      <c r="Z5331">
        <v>0.17445859999999999</v>
      </c>
      <c r="AA5331">
        <v>0.97291819999999896</v>
      </c>
      <c r="AB5331">
        <v>17</v>
      </c>
      <c r="AC5331">
        <v>-0.109199999999987</v>
      </c>
      <c r="AD5331">
        <v>-0.14565059999999999</v>
      </c>
      <c r="AE5331">
        <v>-0.70830000000000803</v>
      </c>
      <c r="AF5331">
        <v>0.12077014205117</v>
      </c>
      <c r="AG5331">
        <v>-0.14565059999999999</v>
      </c>
      <c r="AH5331">
        <v>0.67756248553694998</v>
      </c>
      <c r="AI5331">
        <v>101.949042112981</v>
      </c>
      <c r="AJ5331">
        <v>79.893616918653194</v>
      </c>
      <c r="AK5331">
        <v>0.70348450323971601</v>
      </c>
      <c r="AL5331">
        <v>90.135513990051294</v>
      </c>
      <c r="AM5331">
        <v>83.949960130017999</v>
      </c>
      <c r="AN5331">
        <v>0.99999995611883197</v>
      </c>
    </row>
    <row r="5332" spans="1:40" x14ac:dyDescent="0.25">
      <c r="A5332" t="str">
        <f>"20190312154030730"</f>
        <v>20190312154030730</v>
      </c>
      <c r="B5332" t="str">
        <f>"1552376430721985"</f>
        <v>1552376430721985</v>
      </c>
      <c r="C5332" t="s">
        <v>40</v>
      </c>
      <c r="D5332">
        <v>4.1329840000000004</v>
      </c>
      <c r="E5332">
        <v>0.52012689999999995</v>
      </c>
      <c r="F5332" t="s">
        <v>41</v>
      </c>
      <c r="G5332">
        <v>-191.64490000000001</v>
      </c>
      <c r="H5332">
        <v>0.98129120000000003</v>
      </c>
      <c r="I5332">
        <v>178.54349999999999</v>
      </c>
      <c r="J5332">
        <v>-191.548</v>
      </c>
      <c r="K5332">
        <v>1.10988</v>
      </c>
      <c r="L5332">
        <v>179.1491</v>
      </c>
      <c r="M5332">
        <v>2.2912129999999999E-2</v>
      </c>
      <c r="N5332">
        <v>0</v>
      </c>
      <c r="O5332">
        <v>-0.99964960000000003</v>
      </c>
      <c r="P5332">
        <v>-8.2773940000000004E-2</v>
      </c>
      <c r="Q5332">
        <v>-1.5392029999999999E-2</v>
      </c>
      <c r="R5332">
        <v>-0.99644960000000005</v>
      </c>
      <c r="S5332">
        <v>-0.39295960000000002</v>
      </c>
      <c r="T5332">
        <v>-0.53341249999999996</v>
      </c>
      <c r="U5332">
        <v>-2.9698639999999998</v>
      </c>
      <c r="V5332">
        <v>0.1055831</v>
      </c>
      <c r="W5332">
        <v>-2.2899420000000001E-3</v>
      </c>
      <c r="X5332">
        <v>0.99440779999999995</v>
      </c>
      <c r="Y5332">
        <v>0.15182860000000001</v>
      </c>
      <c r="Z5332">
        <v>0.17494489999999999</v>
      </c>
      <c r="AA5332">
        <v>0.97280129999999998</v>
      </c>
      <c r="AB5332">
        <v>17</v>
      </c>
      <c r="AC5332">
        <v>-9.6900000000005093E-2</v>
      </c>
      <c r="AD5332">
        <v>-0.128588799999999</v>
      </c>
      <c r="AE5332">
        <v>-0.60560000000000902</v>
      </c>
      <c r="AF5332">
        <v>0.10608776640346899</v>
      </c>
      <c r="AG5332">
        <v>-0.128588799999999</v>
      </c>
      <c r="AH5332">
        <v>0.57781977301389997</v>
      </c>
      <c r="AI5332">
        <v>102.34634740206999</v>
      </c>
      <c r="AJ5332">
        <v>79.596355470755896</v>
      </c>
      <c r="AK5332">
        <v>0.60138621845844797</v>
      </c>
      <c r="AL5332">
        <v>90.131204132664195</v>
      </c>
      <c r="AM5332">
        <v>83.939221292282397</v>
      </c>
      <c r="AN5332">
        <v>0.99999995377040496</v>
      </c>
    </row>
    <row r="5333" spans="1:40" x14ac:dyDescent="0.25">
      <c r="A5333" t="str">
        <f>"20190312154030744"</f>
        <v>20190312154030744</v>
      </c>
      <c r="B5333" t="str">
        <f>"1552376430731745"</f>
        <v>1552376430731745</v>
      </c>
      <c r="C5333" t="s">
        <v>40</v>
      </c>
      <c r="D5333">
        <v>4.1434040000000003</v>
      </c>
      <c r="E5333">
        <v>0.52042349999999904</v>
      </c>
      <c r="F5333" t="s">
        <v>41</v>
      </c>
      <c r="G5333">
        <v>-191.64680000000001</v>
      </c>
      <c r="H5333">
        <v>0.94979760000000002</v>
      </c>
      <c r="I5333">
        <v>178.41120000000001</v>
      </c>
      <c r="J5333">
        <v>-191.5462</v>
      </c>
      <c r="K5333">
        <v>1.109874</v>
      </c>
      <c r="L5333">
        <v>179.04660000000001</v>
      </c>
      <c r="M5333">
        <v>2.244237E-2</v>
      </c>
      <c r="N5333">
        <v>0</v>
      </c>
      <c r="O5333">
        <v>-0.99966029999999995</v>
      </c>
      <c r="P5333">
        <v>-8.3309060000000004E-2</v>
      </c>
      <c r="Q5333">
        <v>-1.5976239999999999E-2</v>
      </c>
      <c r="R5333">
        <v>-0.9963959</v>
      </c>
      <c r="S5333">
        <v>-0.39643859999999997</v>
      </c>
      <c r="T5333">
        <v>-0.64382519999999999</v>
      </c>
      <c r="U5333">
        <v>-2.967819</v>
      </c>
      <c r="V5333">
        <v>0.1056491</v>
      </c>
      <c r="W5333">
        <v>-2.8752040000000001E-3</v>
      </c>
      <c r="X5333">
        <v>0.99439929999999999</v>
      </c>
      <c r="Y5333">
        <v>0.15166579999999999</v>
      </c>
      <c r="Z5333">
        <v>0.20980480000000001</v>
      </c>
      <c r="AA5333">
        <v>0.96590860000000001</v>
      </c>
      <c r="AB5333">
        <v>16</v>
      </c>
      <c r="AC5333">
        <v>-0.100600000000014</v>
      </c>
      <c r="AD5333">
        <v>-0.16007639999999901</v>
      </c>
      <c r="AE5333">
        <v>-0.63540000000000396</v>
      </c>
      <c r="AF5333">
        <v>0.108140111188118</v>
      </c>
      <c r="AG5333">
        <v>-0.16007639999999901</v>
      </c>
      <c r="AH5333">
        <v>0.59607502588262595</v>
      </c>
      <c r="AI5333">
        <v>104.801397693604</v>
      </c>
      <c r="AJ5333">
        <v>79.717222413255996</v>
      </c>
      <c r="AK5333">
        <v>0.62659729808363496</v>
      </c>
      <c r="AL5333">
        <v>90.164737284135299</v>
      </c>
      <c r="AM5333">
        <v>83.935409471405606</v>
      </c>
      <c r="AN5333">
        <v>0.99999998348467001</v>
      </c>
    </row>
    <row r="5334" spans="1:40" x14ac:dyDescent="0.25">
      <c r="A5334" t="str">
        <f>"20190312154030756"</f>
        <v>20190312154030756</v>
      </c>
      <c r="B5334" t="str">
        <f>"1552376430751267"</f>
        <v>1552376430751267</v>
      </c>
      <c r="C5334" t="s">
        <v>40</v>
      </c>
      <c r="D5334">
        <v>4.1441350000000003</v>
      </c>
      <c r="E5334">
        <v>0.52046530000000002</v>
      </c>
      <c r="F5334" t="s">
        <v>41</v>
      </c>
      <c r="G5334">
        <v>-191.65129999999999</v>
      </c>
      <c r="H5334">
        <v>0.93925179999999997</v>
      </c>
      <c r="I5334">
        <v>178.2687</v>
      </c>
      <c r="J5334">
        <v>-191.5446</v>
      </c>
      <c r="K5334">
        <v>1.1098709999999901</v>
      </c>
      <c r="L5334">
        <v>178.95500000000001</v>
      </c>
      <c r="M5334">
        <v>2.202283E-2</v>
      </c>
      <c r="N5334">
        <v>0</v>
      </c>
      <c r="O5334">
        <v>-0.99966960000000005</v>
      </c>
      <c r="P5334">
        <v>-8.3309939999999999E-2</v>
      </c>
      <c r="Q5334">
        <v>-1.579417E-2</v>
      </c>
      <c r="R5334">
        <v>-0.99639869999999997</v>
      </c>
      <c r="S5334">
        <v>-0.400177</v>
      </c>
      <c r="T5334">
        <v>-0.65070340000000004</v>
      </c>
      <c r="U5334">
        <v>-2.9669340000000002</v>
      </c>
      <c r="V5334">
        <v>0.1052329</v>
      </c>
      <c r="W5334">
        <v>-2.692977E-3</v>
      </c>
      <c r="X5334">
        <v>0.99444399999999999</v>
      </c>
      <c r="Y5334">
        <v>0.1524218</v>
      </c>
      <c r="Z5334">
        <v>0.21197830000000001</v>
      </c>
      <c r="AA5334">
        <v>0.96531489999999998</v>
      </c>
      <c r="AB5334">
        <v>16</v>
      </c>
      <c r="AC5334">
        <v>-0.106699999999989</v>
      </c>
      <c r="AD5334">
        <v>-0.170619199999999</v>
      </c>
      <c r="AE5334">
        <v>-0.68630000000001701</v>
      </c>
      <c r="AF5334">
        <v>0.114858363709588</v>
      </c>
      <c r="AG5334">
        <v>-0.170619199999999</v>
      </c>
      <c r="AH5334">
        <v>0.644867692951822</v>
      </c>
      <c r="AI5334">
        <v>104.60001210666201</v>
      </c>
      <c r="AJ5334">
        <v>79.900867003677405</v>
      </c>
      <c r="AK5334">
        <v>0.67687347158511701</v>
      </c>
      <c r="AL5334">
        <v>90.154296396402998</v>
      </c>
      <c r="AM5334">
        <v>83.959393184076006</v>
      </c>
      <c r="AN5334">
        <v>1.0000000422517601</v>
      </c>
    </row>
    <row r="5335" spans="1:40" x14ac:dyDescent="0.25">
      <c r="A5335" t="str">
        <f>"20190312154030768"</f>
        <v>20190312154030768</v>
      </c>
      <c r="B5335" t="str">
        <f>"1552376430762000"</f>
        <v>1552376430762000</v>
      </c>
      <c r="C5335" t="s">
        <v>40</v>
      </c>
      <c r="D5335">
        <v>4.108193</v>
      </c>
      <c r="E5335">
        <v>0.52026620000000001</v>
      </c>
      <c r="F5335" t="s">
        <v>41</v>
      </c>
      <c r="G5335">
        <v>-191.63839999999999</v>
      </c>
      <c r="H5335">
        <v>0.95568319999999995</v>
      </c>
      <c r="I5335">
        <v>178.26150000000001</v>
      </c>
      <c r="J5335">
        <v>-191.54320000000001</v>
      </c>
      <c r="K5335">
        <v>1.1098709999999901</v>
      </c>
      <c r="L5335">
        <v>178.8674</v>
      </c>
      <c r="M5335">
        <v>2.1620960000000002E-2</v>
      </c>
      <c r="N5335">
        <v>0</v>
      </c>
      <c r="O5335">
        <v>-0.99967839999999997</v>
      </c>
      <c r="P5335">
        <v>-8.3746479999999998E-2</v>
      </c>
      <c r="Q5335">
        <v>-1.5996110000000001E-2</v>
      </c>
      <c r="R5335">
        <v>-0.99635890000000005</v>
      </c>
      <c r="S5335">
        <v>-0.40014650000000002</v>
      </c>
      <c r="T5335">
        <v>-0.65956899999999996</v>
      </c>
      <c r="U5335">
        <v>-2.9669340000000002</v>
      </c>
      <c r="V5335">
        <v>0.1052686</v>
      </c>
      <c r="W5335">
        <v>-2.8957240000000001E-3</v>
      </c>
      <c r="X5335">
        <v>0.99443959999999998</v>
      </c>
      <c r="Y5335">
        <v>0.15193409999999999</v>
      </c>
      <c r="Z5335">
        <v>0.2147435</v>
      </c>
      <c r="AA5335">
        <v>0.96478039999999998</v>
      </c>
      <c r="AB5335">
        <v>16</v>
      </c>
      <c r="AC5335">
        <v>-9.5199999999976997E-2</v>
      </c>
      <c r="AD5335">
        <v>-0.15418779999999899</v>
      </c>
      <c r="AE5335">
        <v>-0.605899999999991</v>
      </c>
      <c r="AF5335">
        <v>0.10184272441039</v>
      </c>
      <c r="AG5335">
        <v>-0.15418779999999899</v>
      </c>
      <c r="AH5335">
        <v>0.56781479738449503</v>
      </c>
      <c r="AI5335">
        <v>104.964263203107</v>
      </c>
      <c r="AJ5335">
        <v>79.831601297931797</v>
      </c>
      <c r="AK5335">
        <v>0.59712600204057897</v>
      </c>
      <c r="AL5335">
        <v>90.165912997246707</v>
      </c>
      <c r="AM5335">
        <v>83.957332543910894</v>
      </c>
      <c r="AN5335">
        <v>0.99999999070580203</v>
      </c>
    </row>
    <row r="5336" spans="1:40" x14ac:dyDescent="0.25">
      <c r="A5336" t="str">
        <f>"20190312154030781"</f>
        <v>20190312154030781</v>
      </c>
      <c r="B5336" t="str">
        <f>"1552376430771761"</f>
        <v>1552376430771761</v>
      </c>
      <c r="C5336" t="s">
        <v>40</v>
      </c>
      <c r="D5336">
        <v>4.1387960000000001</v>
      </c>
      <c r="E5336">
        <v>0.52012559999999997</v>
      </c>
      <c r="F5336" t="s">
        <v>41</v>
      </c>
      <c r="G5336">
        <v>-191.6439</v>
      </c>
      <c r="H5336">
        <v>0.94277</v>
      </c>
      <c r="I5336">
        <v>178.12029999999999</v>
      </c>
      <c r="J5336">
        <v>-191.54159999999999</v>
      </c>
      <c r="K5336">
        <v>1.1098699999999999</v>
      </c>
      <c r="L5336">
        <v>178.77099999999999</v>
      </c>
      <c r="M5336">
        <v>2.117871E-2</v>
      </c>
      <c r="N5336">
        <v>0</v>
      </c>
      <c r="O5336">
        <v>-0.99968769999999996</v>
      </c>
      <c r="P5336">
        <v>-8.4335649999999998E-2</v>
      </c>
      <c r="Q5336">
        <v>-1.639111E-2</v>
      </c>
      <c r="R5336">
        <v>-0.99630249999999998</v>
      </c>
      <c r="S5336">
        <v>-0.39981080000000002</v>
      </c>
      <c r="T5336">
        <v>-0.66355569999999997</v>
      </c>
      <c r="U5336">
        <v>-2.9667050000000001</v>
      </c>
      <c r="V5336">
        <v>0.1054162</v>
      </c>
      <c r="W5336">
        <v>-3.291913E-3</v>
      </c>
      <c r="X5336">
        <v>0.99442269999999999</v>
      </c>
      <c r="Y5336">
        <v>0.15136250000000001</v>
      </c>
      <c r="Z5336">
        <v>0.21601029999999999</v>
      </c>
      <c r="AA5336">
        <v>0.96458750000000004</v>
      </c>
      <c r="AB5336">
        <v>16</v>
      </c>
      <c r="AC5336">
        <v>-0.10230000000001301</v>
      </c>
      <c r="AD5336">
        <v>-0.1671</v>
      </c>
      <c r="AE5336">
        <v>-0.65069999999999995</v>
      </c>
      <c r="AF5336">
        <v>0.10904178205272901</v>
      </c>
      <c r="AG5336">
        <v>-0.1671</v>
      </c>
      <c r="AH5336">
        <v>0.60918282368415699</v>
      </c>
      <c r="AI5336">
        <v>105.110132929952</v>
      </c>
      <c r="AJ5336">
        <v>79.851710701864803</v>
      </c>
      <c r="AK5336">
        <v>0.64102748217610594</v>
      </c>
      <c r="AL5336">
        <v>90.188613069797498</v>
      </c>
      <c r="AM5336">
        <v>83.948820696651396</v>
      </c>
      <c r="AN5336">
        <v>0.99999995909446304</v>
      </c>
    </row>
    <row r="5337" spans="1:40" x14ac:dyDescent="0.25">
      <c r="A5337" t="str">
        <f>"20190312154030801"</f>
        <v>20190312154030801</v>
      </c>
      <c r="B5337" t="str">
        <f>"1552376430791284"</f>
        <v>1552376430791284</v>
      </c>
      <c r="C5337" t="s">
        <v>40</v>
      </c>
      <c r="D5337">
        <v>4.1833920000000004</v>
      </c>
      <c r="E5337">
        <v>0.5201403</v>
      </c>
      <c r="F5337" t="s">
        <v>41</v>
      </c>
      <c r="G5337">
        <v>-191.64869999999999</v>
      </c>
      <c r="H5337">
        <v>0.9319383</v>
      </c>
      <c r="I5337">
        <v>177.97829999999999</v>
      </c>
      <c r="J5337">
        <v>-191.5394</v>
      </c>
      <c r="K5337">
        <v>1.1098709999999901</v>
      </c>
      <c r="L5337">
        <v>178.63069999999999</v>
      </c>
      <c r="M5337">
        <v>2.0535339999999999E-2</v>
      </c>
      <c r="N5337">
        <v>0</v>
      </c>
      <c r="O5337">
        <v>-0.99970130000000001</v>
      </c>
      <c r="P5337">
        <v>-8.5534550000000001E-2</v>
      </c>
      <c r="Q5337">
        <v>-1.7027980000000002E-2</v>
      </c>
      <c r="R5337">
        <v>-0.99619020000000003</v>
      </c>
      <c r="S5337">
        <v>-0.40046690000000001</v>
      </c>
      <c r="T5337">
        <v>-0.66583700000000001</v>
      </c>
      <c r="U5337">
        <v>-2.9662929999999998</v>
      </c>
      <c r="V5337">
        <v>0.1059721</v>
      </c>
      <c r="W5337">
        <v>-3.9313439999999998E-3</v>
      </c>
      <c r="X5337">
        <v>0.9943613</v>
      </c>
      <c r="Y5337">
        <v>0.15093199999999901</v>
      </c>
      <c r="Z5337">
        <v>0.21675469999999999</v>
      </c>
      <c r="AA5337">
        <v>0.96448789999999995</v>
      </c>
      <c r="AB5337">
        <v>16</v>
      </c>
      <c r="AC5337">
        <v>-0.10929999999999</v>
      </c>
      <c r="AD5337">
        <v>-0.177932699999999</v>
      </c>
      <c r="AE5337">
        <v>-0.65239999999999998</v>
      </c>
      <c r="AF5337">
        <v>0.114398225575571</v>
      </c>
      <c r="AG5337">
        <v>-0.177932699999999</v>
      </c>
      <c r="AH5337">
        <v>0.60615969326202301</v>
      </c>
      <c r="AI5337">
        <v>106.090152031297</v>
      </c>
      <c r="AJ5337">
        <v>79.312488877922803</v>
      </c>
      <c r="AK5337">
        <v>0.64200979235494504</v>
      </c>
      <c r="AL5337">
        <v>90.225250006405602</v>
      </c>
      <c r="AM5337">
        <v>83.9167763385379</v>
      </c>
      <c r="AN5337">
        <v>0.999999968190872</v>
      </c>
    </row>
    <row r="5338" spans="1:40" x14ac:dyDescent="0.25">
      <c r="A5338" t="str">
        <f>"20190312154030812"</f>
        <v>20190312154030812</v>
      </c>
      <c r="B5338" t="str">
        <f>"1552376430801041"</f>
        <v>1552376430801041</v>
      </c>
      <c r="C5338" t="s">
        <v>40</v>
      </c>
      <c r="D5338">
        <v>4.1354579999999999</v>
      </c>
      <c r="E5338">
        <v>0.5200728</v>
      </c>
      <c r="F5338" t="s">
        <v>41</v>
      </c>
      <c r="G5338">
        <v>-191.6482</v>
      </c>
      <c r="H5338">
        <v>0.92929790000000001</v>
      </c>
      <c r="I5338">
        <v>177.8329</v>
      </c>
      <c r="J5338">
        <v>-191.53809999999999</v>
      </c>
      <c r="K5338">
        <v>1.1098699999999999</v>
      </c>
      <c r="L5338">
        <v>178.5429</v>
      </c>
      <c r="M5338">
        <v>2.013264E-2</v>
      </c>
      <c r="N5338">
        <v>0</v>
      </c>
      <c r="O5338">
        <v>-0.99970939999999997</v>
      </c>
      <c r="P5338">
        <v>-8.6251380000000002E-2</v>
      </c>
      <c r="Q5338">
        <v>-1.7341349999999998E-2</v>
      </c>
      <c r="R5338">
        <v>-0.99612250000000002</v>
      </c>
      <c r="S5338">
        <v>-0.40423579999999998</v>
      </c>
      <c r="T5338">
        <v>-0.67115150000000001</v>
      </c>
      <c r="U5338">
        <v>-2.965271</v>
      </c>
      <c r="V5338">
        <v>0.1062867</v>
      </c>
      <c r="W5338">
        <v>-4.2462460000000004E-3</v>
      </c>
      <c r="X5338">
        <v>0.9943265</v>
      </c>
      <c r="Y5338">
        <v>0.1517309</v>
      </c>
      <c r="Z5338">
        <v>0.2184441</v>
      </c>
      <c r="AA5338">
        <v>0.96398130000000004</v>
      </c>
      <c r="AB5338">
        <v>16</v>
      </c>
      <c r="AC5338">
        <v>-0.110100000000016</v>
      </c>
      <c r="AD5338">
        <v>-0.18057210000000001</v>
      </c>
      <c r="AE5338">
        <v>-0.71000000000000696</v>
      </c>
      <c r="AF5338">
        <v>0.116984015797451</v>
      </c>
      <c r="AG5338">
        <v>-0.18057210000000001</v>
      </c>
      <c r="AH5338">
        <v>0.66559791420016301</v>
      </c>
      <c r="AI5338">
        <v>104.95980786614901</v>
      </c>
      <c r="AJ5338">
        <v>80.031632141859404</v>
      </c>
      <c r="AK5338">
        <v>0.69950848932526599</v>
      </c>
      <c r="AL5338">
        <v>90.243292695745893</v>
      </c>
      <c r="AM5338">
        <v>83.898641124474594</v>
      </c>
      <c r="AN5338">
        <v>1.0000000409021099</v>
      </c>
    </row>
    <row r="5339" spans="1:40" x14ac:dyDescent="0.25">
      <c r="A5339" t="str">
        <f>"20190312154030823"</f>
        <v>20190312154030823</v>
      </c>
      <c r="B5339" t="str">
        <f>"1552376430811777"</f>
        <v>1552376430811777</v>
      </c>
      <c r="C5339" t="s">
        <v>40</v>
      </c>
      <c r="D5339">
        <v>4.1511250000000004</v>
      </c>
      <c r="E5339">
        <v>0.52034519999999995</v>
      </c>
      <c r="F5339" t="s">
        <v>41</v>
      </c>
      <c r="G5339">
        <v>-191.63640000000001</v>
      </c>
      <c r="H5339">
        <v>0.94690680000000005</v>
      </c>
      <c r="I5339">
        <v>177.8252</v>
      </c>
      <c r="J5339">
        <v>-191.5369</v>
      </c>
      <c r="K5339">
        <v>1.1098680000000001</v>
      </c>
      <c r="L5339">
        <v>178.46379999999999</v>
      </c>
      <c r="M5339">
        <v>1.976957E-2</v>
      </c>
      <c r="N5339">
        <v>0</v>
      </c>
      <c r="O5339">
        <v>-0.99971679999999996</v>
      </c>
      <c r="P5339">
        <v>-8.6842169999999996E-2</v>
      </c>
      <c r="Q5339">
        <v>-1.746149E-2</v>
      </c>
      <c r="R5339">
        <v>-0.99606950000000005</v>
      </c>
      <c r="S5339">
        <v>-0.40591430000000001</v>
      </c>
      <c r="T5339">
        <v>-0.67320690000000005</v>
      </c>
      <c r="U5339">
        <v>-2.9648279999999998</v>
      </c>
      <c r="V5339">
        <v>0.1065151</v>
      </c>
      <c r="W5339">
        <v>-4.3676359999999899E-3</v>
      </c>
      <c r="X5339">
        <v>0.99430149999999995</v>
      </c>
      <c r="Y5339">
        <v>0.15190709999999999</v>
      </c>
      <c r="Z5339">
        <v>0.21910289999999999</v>
      </c>
      <c r="AA5339">
        <v>0.96380399999999999</v>
      </c>
      <c r="AB5339">
        <v>16</v>
      </c>
      <c r="AC5339">
        <v>-9.9500000000006097E-2</v>
      </c>
      <c r="AD5339">
        <v>-0.162961199999999</v>
      </c>
      <c r="AE5339">
        <v>-0.63859999999999595</v>
      </c>
      <c r="AF5339">
        <v>0.105405259011796</v>
      </c>
      <c r="AG5339">
        <v>-0.162961199999999</v>
      </c>
      <c r="AH5339">
        <v>0.59846020889440599</v>
      </c>
      <c r="AI5339">
        <v>105.011968688807</v>
      </c>
      <c r="AJ5339">
        <v>80.011088989175093</v>
      </c>
      <c r="AK5339">
        <v>0.62914326108027296</v>
      </c>
      <c r="AL5339">
        <v>90.250247902924102</v>
      </c>
      <c r="AM5339">
        <v>83.885476525668906</v>
      </c>
      <c r="AN5339">
        <v>1.00000000783724</v>
      </c>
    </row>
    <row r="5340" spans="1:40" x14ac:dyDescent="0.25">
      <c r="A5340" t="str">
        <f>"20190312154030844"</f>
        <v>20190312154030844</v>
      </c>
      <c r="B5340" t="str">
        <f>"1552376430831297"</f>
        <v>1552376430831297</v>
      </c>
      <c r="C5340" t="s">
        <v>40</v>
      </c>
      <c r="D5340">
        <v>4.1783020000000004</v>
      </c>
      <c r="E5340">
        <v>0.52019259999999901</v>
      </c>
      <c r="F5340" t="s">
        <v>41</v>
      </c>
      <c r="G5340">
        <v>-191.6447</v>
      </c>
      <c r="H5340">
        <v>0.93225369999999996</v>
      </c>
      <c r="I5340">
        <v>177.68520000000001</v>
      </c>
      <c r="J5340">
        <v>-191.53469999999999</v>
      </c>
      <c r="K5340">
        <v>1.1098629999999901</v>
      </c>
      <c r="L5340">
        <v>178.30799999999999</v>
      </c>
      <c r="M5340">
        <v>1.9054689999999999E-2</v>
      </c>
      <c r="N5340">
        <v>0</v>
      </c>
      <c r="O5340">
        <v>-0.99973080000000003</v>
      </c>
      <c r="P5340">
        <v>-8.7999040000000001E-2</v>
      </c>
      <c r="Q5340">
        <v>-1.760426E-2</v>
      </c>
      <c r="R5340">
        <v>-0.99596560000000001</v>
      </c>
      <c r="S5340">
        <v>-0.40972900000000001</v>
      </c>
      <c r="T5340">
        <v>-0.6762456</v>
      </c>
      <c r="U5340">
        <v>-2.964264</v>
      </c>
      <c r="V5340">
        <v>0.1069587</v>
      </c>
      <c r="W5340">
        <v>-4.5128470000000004E-3</v>
      </c>
      <c r="X5340">
        <v>0.99425319999999995</v>
      </c>
      <c r="Y5340">
        <v>0.1524131</v>
      </c>
      <c r="Z5340">
        <v>0.2200607</v>
      </c>
      <c r="AA5340">
        <v>0.96350590000000003</v>
      </c>
      <c r="AB5340">
        <v>16</v>
      </c>
      <c r="AC5340">
        <v>-0.110000000000013</v>
      </c>
      <c r="AD5340">
        <v>-0.177609299999999</v>
      </c>
      <c r="AE5340">
        <v>-0.62279999999998303</v>
      </c>
      <c r="AF5340">
        <v>0.112941046049907</v>
      </c>
      <c r="AG5340">
        <v>-0.177609299999999</v>
      </c>
      <c r="AH5340">
        <v>0.57522467335127503</v>
      </c>
      <c r="AI5340">
        <v>106.855775525968</v>
      </c>
      <c r="AJ5340">
        <v>78.891708280744794</v>
      </c>
      <c r="AK5340">
        <v>0.61252278991186804</v>
      </c>
      <c r="AL5340">
        <v>90.258567970167306</v>
      </c>
      <c r="AM5340">
        <v>83.859909679436697</v>
      </c>
      <c r="AN5340">
        <v>0.99999997750198699</v>
      </c>
    </row>
    <row r="5341" spans="1:40" x14ac:dyDescent="0.25">
      <c r="A5341" t="str">
        <f>"20190312154030858"</f>
        <v>20190312154030858</v>
      </c>
      <c r="B5341" t="str">
        <f>"1552376430851793"</f>
        <v>1552376430851793</v>
      </c>
      <c r="C5341" t="s">
        <v>40</v>
      </c>
      <c r="D5341">
        <v>4.1343319999999997</v>
      </c>
      <c r="E5341">
        <v>0.51988009999999996</v>
      </c>
      <c r="F5341" t="s">
        <v>41</v>
      </c>
      <c r="G5341">
        <v>-191.64169999999999</v>
      </c>
      <c r="H5341">
        <v>0.93408440000000004</v>
      </c>
      <c r="I5341">
        <v>177.53829999999999</v>
      </c>
      <c r="J5341">
        <v>-191.5334</v>
      </c>
      <c r="K5341">
        <v>1.1098619999999999</v>
      </c>
      <c r="L5341">
        <v>178.21119999999999</v>
      </c>
      <c r="M5341">
        <v>1.8610120000000001E-2</v>
      </c>
      <c r="N5341">
        <v>0</v>
      </c>
      <c r="O5341">
        <v>-0.99973889999999999</v>
      </c>
      <c r="P5341">
        <v>-8.8634770000000002E-2</v>
      </c>
      <c r="Q5341">
        <v>-1.746197E-2</v>
      </c>
      <c r="R5341">
        <v>-0.9959112</v>
      </c>
      <c r="S5341">
        <v>-0.41188049999999998</v>
      </c>
      <c r="T5341">
        <v>-0.67683509999999902</v>
      </c>
      <c r="U5341">
        <v>-2.9638059999999999</v>
      </c>
      <c r="V5341">
        <v>0.10715139999999999</v>
      </c>
      <c r="W5341">
        <v>-4.3718759999999898E-3</v>
      </c>
      <c r="X5341">
        <v>0.99423309999999998</v>
      </c>
      <c r="Y5341">
        <v>0.15267410000000001</v>
      </c>
      <c r="Z5341">
        <v>0.22026319999999999</v>
      </c>
      <c r="AA5341">
        <v>0.9634182</v>
      </c>
      <c r="AB5341">
        <v>16</v>
      </c>
      <c r="AC5341">
        <v>-0.10829999999998501</v>
      </c>
      <c r="AD5341">
        <v>-0.17577759999999901</v>
      </c>
      <c r="AE5341">
        <v>-0.67289999999999806</v>
      </c>
      <c r="AF5341">
        <v>0.11327087964928199</v>
      </c>
      <c r="AG5341">
        <v>-0.17577759999999901</v>
      </c>
      <c r="AH5341">
        <v>0.62893423428267703</v>
      </c>
      <c r="AI5341">
        <v>105.37942383859</v>
      </c>
      <c r="AJ5341">
        <v>79.790492134485106</v>
      </c>
      <c r="AK5341">
        <v>0.66278678916452405</v>
      </c>
      <c r="AL5341">
        <v>90.250490842191994</v>
      </c>
      <c r="AM5341">
        <v>83.8488088345958</v>
      </c>
      <c r="AN5341">
        <v>0.999999996478664</v>
      </c>
    </row>
    <row r="5342" spans="1:40" x14ac:dyDescent="0.25">
      <c r="A5342" t="str">
        <f>"20190312154030870"</f>
        <v>20190312154030870</v>
      </c>
      <c r="B5342" t="str">
        <f>"1552376430861553"</f>
        <v>1552376430861553</v>
      </c>
      <c r="C5342" t="s">
        <v>40</v>
      </c>
      <c r="D5342">
        <v>4.1515459999999997</v>
      </c>
      <c r="E5342">
        <v>0.51970399999999894</v>
      </c>
      <c r="F5342" t="s">
        <v>41</v>
      </c>
      <c r="G5342">
        <v>-191.64670000000001</v>
      </c>
      <c r="H5342">
        <v>0.92412539999999999</v>
      </c>
      <c r="I5342">
        <v>177.39670000000001</v>
      </c>
      <c r="J5342">
        <v>-191.53210000000001</v>
      </c>
      <c r="K5342">
        <v>1.1098619999999999</v>
      </c>
      <c r="L5342">
        <v>178.1155</v>
      </c>
      <c r="M5342">
        <v>1.8170829999999999E-2</v>
      </c>
      <c r="N5342">
        <v>0</v>
      </c>
      <c r="O5342">
        <v>-0.99974730000000001</v>
      </c>
      <c r="P5342">
        <v>-8.9092340000000006E-2</v>
      </c>
      <c r="Q5342">
        <v>-1.7038499999999901E-2</v>
      </c>
      <c r="R5342">
        <v>-0.99587800000000004</v>
      </c>
      <c r="S5342">
        <v>-0.41162109999999902</v>
      </c>
      <c r="T5342">
        <v>-0.67581650000000004</v>
      </c>
      <c r="U5342">
        <v>-2.9638520000000002</v>
      </c>
      <c r="V5342">
        <v>0.1071718</v>
      </c>
      <c r="W5342">
        <v>-3.9494090000000001E-3</v>
      </c>
      <c r="X5342">
        <v>0.99423269999999997</v>
      </c>
      <c r="Y5342">
        <v>0.15216489999999999</v>
      </c>
      <c r="Z5342">
        <v>0.2199575</v>
      </c>
      <c r="AA5342">
        <v>0.9635686</v>
      </c>
      <c r="AB5342">
        <v>16</v>
      </c>
      <c r="AC5342">
        <v>-0.114599999999995</v>
      </c>
      <c r="AD5342">
        <v>-0.1857366</v>
      </c>
      <c r="AE5342">
        <v>-0.718799999999987</v>
      </c>
      <c r="AF5342">
        <v>0.119840086810459</v>
      </c>
      <c r="AG5342">
        <v>-0.1857366</v>
      </c>
      <c r="AH5342">
        <v>0.67279034580964003</v>
      </c>
      <c r="AI5342">
        <v>105.20517719017801</v>
      </c>
      <c r="AJ5342">
        <v>79.900175542588698</v>
      </c>
      <c r="AK5342">
        <v>0.70817129312120097</v>
      </c>
      <c r="AL5342">
        <v>90.226285049389702</v>
      </c>
      <c r="AM5342">
        <v>83.847644265328498</v>
      </c>
      <c r="AN5342">
        <v>1.0000000271479801</v>
      </c>
    </row>
    <row r="5343" spans="1:40" x14ac:dyDescent="0.25">
      <c r="A5343" t="str">
        <f>"20190312154030883"</f>
        <v>20190312154030883</v>
      </c>
      <c r="B5343" t="str">
        <f>"1552376430871313"</f>
        <v>1552376430871313</v>
      </c>
      <c r="C5343" t="s">
        <v>40</v>
      </c>
      <c r="D5343">
        <v>4.1457119999999996</v>
      </c>
      <c r="E5343">
        <v>0.51958210000000005</v>
      </c>
      <c r="F5343" t="s">
        <v>41</v>
      </c>
      <c r="G5343">
        <v>-191.63339999999999</v>
      </c>
      <c r="H5343">
        <v>0.94423270000000004</v>
      </c>
      <c r="I5343">
        <v>177.38800000000001</v>
      </c>
      <c r="J5343">
        <v>-191.53110000000001</v>
      </c>
      <c r="K5343">
        <v>1.109869</v>
      </c>
      <c r="L5343">
        <v>178.03569999999999</v>
      </c>
      <c r="M5343">
        <v>1.7804219999999999E-2</v>
      </c>
      <c r="N5343">
        <v>0</v>
      </c>
      <c r="O5343">
        <v>-0.99975400000000003</v>
      </c>
      <c r="P5343">
        <v>-8.9270489999999994E-2</v>
      </c>
      <c r="Q5343">
        <v>-1.6817289999999999E-2</v>
      </c>
      <c r="R5343">
        <v>-0.99586609999999998</v>
      </c>
      <c r="S5343">
        <v>-0.41157529999999998</v>
      </c>
      <c r="T5343">
        <v>-0.67474880000000004</v>
      </c>
      <c r="U5343">
        <v>-2.9640499999999999</v>
      </c>
      <c r="V5343">
        <v>0.10698539999999999</v>
      </c>
      <c r="W5343">
        <v>-3.7285360000000002E-3</v>
      </c>
      <c r="X5343">
        <v>0.99425359999999996</v>
      </c>
      <c r="Y5343">
        <v>0.1517898</v>
      </c>
      <c r="Z5343">
        <v>0.21962190000000001</v>
      </c>
      <c r="AA5343">
        <v>0.96370429999999996</v>
      </c>
      <c r="AB5343">
        <v>16</v>
      </c>
      <c r="AC5343">
        <v>-0.102299999999985</v>
      </c>
      <c r="AD5343">
        <v>-0.16563629999999999</v>
      </c>
      <c r="AE5343">
        <v>-0.64769999999998595</v>
      </c>
      <c r="AF5343">
        <v>0.10698997119261699</v>
      </c>
      <c r="AG5343">
        <v>-0.16563629999999999</v>
      </c>
      <c r="AH5343">
        <v>0.60704275484557502</v>
      </c>
      <c r="AI5343">
        <v>105.040985556509</v>
      </c>
      <c r="AJ5343">
        <v>80.004398045466502</v>
      </c>
      <c r="AK5343">
        <v>0.63826573151313104</v>
      </c>
      <c r="AL5343">
        <v>90.213629871660999</v>
      </c>
      <c r="AM5343">
        <v>83.8583910988214</v>
      </c>
      <c r="AN5343">
        <v>0.999999999453411</v>
      </c>
    </row>
    <row r="5344" spans="1:40" x14ac:dyDescent="0.25">
      <c r="A5344" t="str">
        <f>"20190312154030896"</f>
        <v>20190312154030896</v>
      </c>
      <c r="B5344" t="str">
        <f>"1552376430882050"</f>
        <v>1552376430882050</v>
      </c>
      <c r="C5344" t="s">
        <v>40</v>
      </c>
      <c r="D5344">
        <v>4.1539260000000002</v>
      </c>
      <c r="E5344">
        <v>0.51948490000000003</v>
      </c>
      <c r="F5344" t="s">
        <v>41</v>
      </c>
      <c r="G5344">
        <v>-191.6403</v>
      </c>
      <c r="H5344">
        <v>0.930809</v>
      </c>
      <c r="I5344">
        <v>177.24809999999999</v>
      </c>
      <c r="J5344">
        <v>-191.52979999999999</v>
      </c>
      <c r="K5344">
        <v>1.1098699999999999</v>
      </c>
      <c r="L5344">
        <v>177.93299999999999</v>
      </c>
      <c r="M5344">
        <v>1.7332770000000001E-2</v>
      </c>
      <c r="N5344">
        <v>0</v>
      </c>
      <c r="O5344">
        <v>-0.99976209999999999</v>
      </c>
      <c r="P5344">
        <v>-8.966731E-2</v>
      </c>
      <c r="Q5344">
        <v>-1.6401740000000001E-2</v>
      </c>
      <c r="R5344">
        <v>-0.99583690000000002</v>
      </c>
      <c r="S5344">
        <v>-0.41108699999999998</v>
      </c>
      <c r="T5344">
        <v>-0.67399019999999898</v>
      </c>
      <c r="U5344">
        <v>-2.9642330000000001</v>
      </c>
      <c r="V5344">
        <v>0.1069132</v>
      </c>
      <c r="W5344">
        <v>-3.313697E-3</v>
      </c>
      <c r="X5344">
        <v>0.9942628</v>
      </c>
      <c r="Y5344">
        <v>0.15116729999999901</v>
      </c>
      <c r="Z5344">
        <v>0.2193899</v>
      </c>
      <c r="AA5344">
        <v>0.96385500000000002</v>
      </c>
      <c r="AB5344">
        <v>16</v>
      </c>
      <c r="AC5344">
        <v>-0.110500000000001</v>
      </c>
      <c r="AD5344">
        <v>-0.179061</v>
      </c>
      <c r="AE5344">
        <v>-0.68489999999999895</v>
      </c>
      <c r="AF5344">
        <v>0.114713721694805</v>
      </c>
      <c r="AG5344">
        <v>-0.179061</v>
      </c>
      <c r="AH5344">
        <v>0.64023111821299294</v>
      </c>
      <c r="AI5344">
        <v>105.392105845138</v>
      </c>
      <c r="AJ5344">
        <v>79.841791446899805</v>
      </c>
      <c r="AK5344">
        <v>0.674624313521483</v>
      </c>
      <c r="AL5344">
        <v>90.189861206949203</v>
      </c>
      <c r="AM5344">
        <v>83.862560528949402</v>
      </c>
      <c r="AN5344">
        <v>0.99999996419294301</v>
      </c>
    </row>
    <row r="5345" spans="1:40" x14ac:dyDescent="0.25">
      <c r="A5345" t="str">
        <f>"20190312154030913"</f>
        <v>20190312154030913</v>
      </c>
      <c r="B5345" t="str">
        <f>"1552376430901569"</f>
        <v>1552376430901569</v>
      </c>
      <c r="C5345" t="s">
        <v>40</v>
      </c>
      <c r="D5345">
        <v>4.1573520000000004</v>
      </c>
      <c r="E5345">
        <v>0.51936669999999996</v>
      </c>
      <c r="F5345" t="s">
        <v>41</v>
      </c>
      <c r="G5345">
        <v>-191.62610000000001</v>
      </c>
      <c r="H5345">
        <v>0.95226049999999995</v>
      </c>
      <c r="I5345">
        <v>177.23869999999999</v>
      </c>
      <c r="J5345">
        <v>-191.5284</v>
      </c>
      <c r="K5345">
        <v>1.1098790000000001</v>
      </c>
      <c r="L5345">
        <v>177.8125</v>
      </c>
      <c r="M5345">
        <v>1.6779099999999901E-2</v>
      </c>
      <c r="N5345">
        <v>0</v>
      </c>
      <c r="O5345">
        <v>-0.99977139999999998</v>
      </c>
      <c r="P5345">
        <v>-8.9173020000000006E-2</v>
      </c>
      <c r="Q5345">
        <v>-1.5658490000000001E-2</v>
      </c>
      <c r="R5345">
        <v>-0.99589289999999997</v>
      </c>
      <c r="S5345">
        <v>-0.41133120000000001</v>
      </c>
      <c r="T5345">
        <v>-0.67290340000000004</v>
      </c>
      <c r="U5345">
        <v>-2.9644170000000001</v>
      </c>
      <c r="V5345">
        <v>0.10587000000000001</v>
      </c>
      <c r="W5345">
        <v>-2.5691220000000001E-3</v>
      </c>
      <c r="X5345">
        <v>0.9943767</v>
      </c>
      <c r="Y5345">
        <v>0.15070049999999999</v>
      </c>
      <c r="Z5345">
        <v>0.21905050000000001</v>
      </c>
      <c r="AA5345">
        <v>0.96400529999999995</v>
      </c>
      <c r="AB5345">
        <v>16</v>
      </c>
      <c r="AC5345">
        <v>-9.7700000000003201E-2</v>
      </c>
      <c r="AD5345">
        <v>-0.15761849999999999</v>
      </c>
      <c r="AE5345">
        <v>-0.57380000000000497</v>
      </c>
      <c r="AF5345">
        <v>9.9983172289536196E-2</v>
      </c>
      <c r="AG5345">
        <v>-0.15761849999999999</v>
      </c>
      <c r="AH5345">
        <v>0.53299521513054404</v>
      </c>
      <c r="AI5345">
        <v>106.20663785695101</v>
      </c>
      <c r="AJ5345">
        <v>79.375508708479501</v>
      </c>
      <c r="AK5345">
        <v>0.56473367673212505</v>
      </c>
      <c r="AL5345">
        <v>90.147200003785002</v>
      </c>
      <c r="AM5345">
        <v>83.922686821959005</v>
      </c>
      <c r="AN5345">
        <v>1.0000000393953601</v>
      </c>
    </row>
    <row r="5346" spans="1:40" x14ac:dyDescent="0.25">
      <c r="A5346" t="str">
        <f>"20190312154030926"</f>
        <v>20190312154030926</v>
      </c>
      <c r="B5346" t="str">
        <f>"1552376430921089"</f>
        <v>1552376430921089</v>
      </c>
      <c r="C5346" t="s">
        <v>40</v>
      </c>
      <c r="D5346">
        <v>4.1538209999999998</v>
      </c>
      <c r="E5346">
        <v>0.51933660000000004</v>
      </c>
      <c r="F5346" t="s">
        <v>41</v>
      </c>
      <c r="G5346">
        <v>-191.62739999999999</v>
      </c>
      <c r="H5346">
        <v>0.94748900000000003</v>
      </c>
      <c r="I5346">
        <v>177.09540000000001</v>
      </c>
      <c r="J5346">
        <v>-191.52719999999999</v>
      </c>
      <c r="K5346">
        <v>1.10988</v>
      </c>
      <c r="L5346">
        <v>177.7098</v>
      </c>
      <c r="M5346">
        <v>1.6307430000000001E-2</v>
      </c>
      <c r="N5346">
        <v>0</v>
      </c>
      <c r="O5346">
        <v>-0.99977939999999998</v>
      </c>
      <c r="P5346">
        <v>-8.9137560000000005E-2</v>
      </c>
      <c r="Q5346">
        <v>-1.5011E-2</v>
      </c>
      <c r="R5346">
        <v>-0.99590639999999997</v>
      </c>
      <c r="S5346">
        <v>-0.4087982</v>
      </c>
      <c r="T5346">
        <v>-0.67144320000000002</v>
      </c>
      <c r="U5346">
        <v>-2.9652250000000002</v>
      </c>
      <c r="V5346">
        <v>0.10536619999999999</v>
      </c>
      <c r="W5346">
        <v>-1.9213979999999999E-3</v>
      </c>
      <c r="X5346">
        <v>0.99443159999999997</v>
      </c>
      <c r="Y5346">
        <v>0.14940510000000001</v>
      </c>
      <c r="Z5346">
        <v>0.21857840000000001</v>
      </c>
      <c r="AA5346">
        <v>0.964314</v>
      </c>
      <c r="AB5346">
        <v>16</v>
      </c>
      <c r="AC5346">
        <v>-0.1002</v>
      </c>
      <c r="AD5346">
        <v>-0.16239100000000001</v>
      </c>
      <c r="AE5346">
        <v>-0.61439999999998895</v>
      </c>
      <c r="AF5346">
        <v>0.10318519141094699</v>
      </c>
      <c r="AG5346">
        <v>-0.16239100000000001</v>
      </c>
      <c r="AH5346">
        <v>0.57364798865876399</v>
      </c>
      <c r="AI5346">
        <v>105.568546359827</v>
      </c>
      <c r="AJ5346">
        <v>79.802938534650096</v>
      </c>
      <c r="AK5346">
        <v>0.60505374595961203</v>
      </c>
      <c r="AL5346">
        <v>90.110088067482096</v>
      </c>
      <c r="AM5346">
        <v>83.951723284278799</v>
      </c>
      <c r="AN5346">
        <v>0.99999996747563602</v>
      </c>
    </row>
    <row r="5347" spans="1:40" x14ac:dyDescent="0.25">
      <c r="A5347" t="str">
        <f>"20190312154030941"</f>
        <v>20190312154030941</v>
      </c>
      <c r="B5347" t="str">
        <f>"1552376430931825"</f>
        <v>1552376430931825</v>
      </c>
      <c r="C5347" t="s">
        <v>40</v>
      </c>
      <c r="D5347">
        <v>4.1611330000000004</v>
      </c>
      <c r="E5347">
        <v>0.52016399999999996</v>
      </c>
      <c r="F5347" t="s">
        <v>41</v>
      </c>
      <c r="G5347">
        <v>-191.63159999999999</v>
      </c>
      <c r="H5347">
        <v>0.93919929999999996</v>
      </c>
      <c r="I5347">
        <v>176.9537</v>
      </c>
      <c r="J5347">
        <v>-191.52610000000001</v>
      </c>
      <c r="K5347">
        <v>1.109882</v>
      </c>
      <c r="L5347">
        <v>177.60749999999999</v>
      </c>
      <c r="M5347">
        <v>1.5837839999999999E-2</v>
      </c>
      <c r="N5347">
        <v>0</v>
      </c>
      <c r="O5347">
        <v>-0.99978679999999998</v>
      </c>
      <c r="P5347">
        <v>-8.9173649999999993E-2</v>
      </c>
      <c r="Q5347">
        <v>-1.4723730000000001E-2</v>
      </c>
      <c r="R5347">
        <v>-0.9959074</v>
      </c>
      <c r="S5347">
        <v>-0.40866089999999999</v>
      </c>
      <c r="T5347">
        <v>-0.66949639999999999</v>
      </c>
      <c r="U5347">
        <v>-2.965668</v>
      </c>
      <c r="V5347">
        <v>0.1049356</v>
      </c>
      <c r="W5347">
        <v>-1.6341070000000001E-3</v>
      </c>
      <c r="X5347">
        <v>0.99447770000000002</v>
      </c>
      <c r="Y5347">
        <v>0.14889669999999999</v>
      </c>
      <c r="Z5347">
        <v>0.21795610000000001</v>
      </c>
      <c r="AA5347">
        <v>0.96453350000000004</v>
      </c>
      <c r="AB5347">
        <v>16</v>
      </c>
      <c r="AC5347">
        <v>-0.105499999999977</v>
      </c>
      <c r="AD5347">
        <v>-0.17068269999999899</v>
      </c>
      <c r="AE5347">
        <v>-0.65379999999998895</v>
      </c>
      <c r="AF5347">
        <v>0.108627005058308</v>
      </c>
      <c r="AG5347">
        <v>-0.17068269999999899</v>
      </c>
      <c r="AH5347">
        <v>0.61143306483582405</v>
      </c>
      <c r="AI5347">
        <v>105.368158736609</v>
      </c>
      <c r="AJ5347">
        <v>79.925961127349296</v>
      </c>
      <c r="AK5347">
        <v>0.64403633677127003</v>
      </c>
      <c r="AL5347">
        <v>90.093627473876595</v>
      </c>
      <c r="AM5347">
        <v>83.976535853223893</v>
      </c>
      <c r="AN5347">
        <v>1.00000002312516</v>
      </c>
    </row>
    <row r="5348" spans="1:40" x14ac:dyDescent="0.25">
      <c r="A5348" t="str">
        <f>"20190312154030957"</f>
        <v>20190312154030957</v>
      </c>
      <c r="B5348" t="str">
        <f>"1552376430951344"</f>
        <v>1552376430951344</v>
      </c>
      <c r="C5348" t="s">
        <v>40</v>
      </c>
      <c r="D5348">
        <v>4.1383340000000004</v>
      </c>
      <c r="E5348">
        <v>0.52556000000000003</v>
      </c>
      <c r="F5348" t="s">
        <v>41</v>
      </c>
      <c r="G5348">
        <v>-191.64070000000001</v>
      </c>
      <c r="H5348">
        <v>0.96553350000000004</v>
      </c>
      <c r="I5348">
        <v>176.7955</v>
      </c>
      <c r="J5348">
        <v>-191.5249</v>
      </c>
      <c r="K5348">
        <v>1.1098870000000001</v>
      </c>
      <c r="L5348">
        <v>177.49180000000001</v>
      </c>
      <c r="M5348">
        <v>1.530597E-2</v>
      </c>
      <c r="N5348">
        <v>0</v>
      </c>
      <c r="O5348">
        <v>-0.99979510000000005</v>
      </c>
      <c r="P5348">
        <v>-8.9478820000000001E-2</v>
      </c>
      <c r="Q5348">
        <v>-1.442469E-2</v>
      </c>
      <c r="R5348">
        <v>-0.9958844</v>
      </c>
      <c r="S5348">
        <v>-0.41796879999999997</v>
      </c>
      <c r="T5348">
        <v>-0.52746280000000001</v>
      </c>
      <c r="U5348">
        <v>-2.9670869999999998</v>
      </c>
      <c r="V5348">
        <v>0.1047116</v>
      </c>
      <c r="W5348">
        <v>-1.335641E-3</v>
      </c>
      <c r="X5348">
        <v>0.99450170000000004</v>
      </c>
      <c r="Y5348">
        <v>0.1525241</v>
      </c>
      <c r="Z5348">
        <v>0.1731425</v>
      </c>
      <c r="AA5348">
        <v>0.97301499999999996</v>
      </c>
      <c r="AB5348">
        <v>16</v>
      </c>
      <c r="AC5348">
        <v>-0.11580000000000699</v>
      </c>
      <c r="AD5348">
        <v>-0.1443535</v>
      </c>
      <c r="AE5348">
        <v>-0.69630000000000702</v>
      </c>
      <c r="AF5348">
        <v>0.121368925834744</v>
      </c>
      <c r="AG5348">
        <v>-0.1443535</v>
      </c>
      <c r="AH5348">
        <v>0.66656808581952898</v>
      </c>
      <c r="AI5348">
        <v>102.02755506030999</v>
      </c>
      <c r="AJ5348">
        <v>79.680615789122996</v>
      </c>
      <c r="AK5348">
        <v>0.69273469824575695</v>
      </c>
      <c r="AL5348">
        <v>90.076526617507199</v>
      </c>
      <c r="AM5348">
        <v>83.989443559019605</v>
      </c>
      <c r="AN5348">
        <v>0.999999967207165</v>
      </c>
    </row>
    <row r="5349" spans="1:40" x14ac:dyDescent="0.25">
      <c r="A5349" t="str">
        <f>"20190312154030969"</f>
        <v>20190312154030969</v>
      </c>
      <c r="B5349" t="str">
        <f>"1552376430961106"</f>
        <v>1552376430961106</v>
      </c>
      <c r="C5349" t="s">
        <v>40</v>
      </c>
      <c r="D5349">
        <v>4.1439399999999997</v>
      </c>
      <c r="E5349">
        <v>0.52695340000000002</v>
      </c>
      <c r="F5349" t="s">
        <v>41</v>
      </c>
      <c r="G5349">
        <v>-191.63820000000001</v>
      </c>
      <c r="H5349">
        <v>1.0182359999999999</v>
      </c>
      <c r="I5349">
        <v>176.77</v>
      </c>
      <c r="J5349">
        <v>-191.524</v>
      </c>
      <c r="K5349">
        <v>1.10989</v>
      </c>
      <c r="L5349">
        <v>177.4032</v>
      </c>
      <c r="M5349">
        <v>1.489916E-2</v>
      </c>
      <c r="N5349">
        <v>0</v>
      </c>
      <c r="O5349">
        <v>-0.99980159999999996</v>
      </c>
      <c r="P5349">
        <v>-8.9601319999999998E-2</v>
      </c>
      <c r="Q5349">
        <v>-1.468972E-2</v>
      </c>
      <c r="R5349">
        <v>-0.99586980000000003</v>
      </c>
      <c r="S5349">
        <v>-0.46479799999999899</v>
      </c>
      <c r="T5349">
        <v>-0.37655149999999998</v>
      </c>
      <c r="U5349">
        <v>-2.965179</v>
      </c>
      <c r="V5349">
        <v>0.10442899999999999</v>
      </c>
      <c r="W5349">
        <v>-1.6009119999999999E-3</v>
      </c>
      <c r="X5349">
        <v>0.99453100000000005</v>
      </c>
      <c r="Y5349">
        <v>0.1683624</v>
      </c>
      <c r="Z5349">
        <v>0.1243117</v>
      </c>
      <c r="AA5349">
        <v>0.97785509999999998</v>
      </c>
      <c r="AB5349">
        <v>16</v>
      </c>
      <c r="AC5349">
        <v>-0.11420000000001</v>
      </c>
      <c r="AD5349">
        <v>-9.1653999999999902E-2</v>
      </c>
      <c r="AE5349">
        <v>-0.633199999999987</v>
      </c>
      <c r="AF5349">
        <v>0.121163671940555</v>
      </c>
      <c r="AG5349">
        <v>-9.1653999999999902E-2</v>
      </c>
      <c r="AH5349">
        <v>0.61887011543881698</v>
      </c>
      <c r="AI5349">
        <v>98.2694455501356</v>
      </c>
      <c r="AJ5349">
        <v>78.922629522032807</v>
      </c>
      <c r="AK5349">
        <v>0.63724509483978997</v>
      </c>
      <c r="AL5349">
        <v>90.091725545247101</v>
      </c>
      <c r="AM5349">
        <v>84.005722142352596</v>
      </c>
      <c r="AN5349">
        <v>0.99999994446061402</v>
      </c>
    </row>
    <row r="5350" spans="1:40" x14ac:dyDescent="0.25">
      <c r="A5350" t="str">
        <f>"20190312154030991"</f>
        <v>20190312154030991</v>
      </c>
      <c r="B5350" t="str">
        <f>"1552376430981292"</f>
        <v>1552376430981292</v>
      </c>
      <c r="C5350" t="s">
        <v>40</v>
      </c>
      <c r="D5350">
        <v>4.2051249999999998</v>
      </c>
      <c r="E5350">
        <v>0.52821240000000003</v>
      </c>
      <c r="F5350" t="s">
        <v>41</v>
      </c>
      <c r="G5350">
        <v>-191.6497</v>
      </c>
      <c r="H5350">
        <v>1.022473</v>
      </c>
      <c r="I5350">
        <v>176.62260000000001</v>
      </c>
      <c r="J5350">
        <v>-191.52250000000001</v>
      </c>
      <c r="K5350">
        <v>1.1098859999999999</v>
      </c>
      <c r="L5350">
        <v>177.2458</v>
      </c>
      <c r="M5350">
        <v>1.4175979999999999E-2</v>
      </c>
      <c r="N5350">
        <v>0</v>
      </c>
      <c r="O5350">
        <v>-0.99981209999999998</v>
      </c>
      <c r="P5350">
        <v>-9.0459289999999998E-2</v>
      </c>
      <c r="Q5350">
        <v>-1.485653E-2</v>
      </c>
      <c r="R5350">
        <v>-0.99578960000000005</v>
      </c>
      <c r="S5350">
        <v>-0.47691349999999999</v>
      </c>
      <c r="T5350">
        <v>-0.33206069999999999</v>
      </c>
      <c r="U5350">
        <v>-2.9646300000000001</v>
      </c>
      <c r="V5350">
        <v>0.1045663</v>
      </c>
      <c r="W5350">
        <v>-1.7696089999999999E-3</v>
      </c>
      <c r="X5350">
        <v>0.99451639999999997</v>
      </c>
      <c r="Y5350">
        <v>0.17184659999999999</v>
      </c>
      <c r="Z5350">
        <v>0.1097694</v>
      </c>
      <c r="AA5350">
        <v>0.978989</v>
      </c>
      <c r="AB5350">
        <v>16</v>
      </c>
      <c r="AC5350">
        <v>-0.12719999999998699</v>
      </c>
      <c r="AD5350">
        <v>-8.7413000000000102E-2</v>
      </c>
      <c r="AE5350">
        <v>-0.62319999999999698</v>
      </c>
      <c r="AF5350">
        <v>0.133500978626786</v>
      </c>
      <c r="AG5350">
        <v>-8.7413000000000102E-2</v>
      </c>
      <c r="AH5350">
        <v>0.60981620901476097</v>
      </c>
      <c r="AI5350">
        <v>97.971127169265102</v>
      </c>
      <c r="AJ5350">
        <v>77.651616303717901</v>
      </c>
      <c r="AK5350">
        <v>0.63034859612792304</v>
      </c>
      <c r="AL5350">
        <v>90.101391174304098</v>
      </c>
      <c r="AM5350">
        <v>83.997811075543197</v>
      </c>
      <c r="AN5350">
        <v>1.00000005624032</v>
      </c>
    </row>
    <row r="5351" spans="1:40" x14ac:dyDescent="0.25">
      <c r="A5351" t="str">
        <f>"20190312154031003"</f>
        <v>20190312154031003</v>
      </c>
      <c r="B5351" t="str">
        <f>"1552376430992027"</f>
        <v>1552376430992027</v>
      </c>
      <c r="C5351" t="s">
        <v>40</v>
      </c>
      <c r="D5351">
        <v>4.2000129999999896</v>
      </c>
      <c r="E5351">
        <v>0.52871639999999998</v>
      </c>
      <c r="F5351" t="s">
        <v>41</v>
      </c>
      <c r="G5351">
        <v>-191.65100000000001</v>
      </c>
      <c r="H5351">
        <v>1.0339179999999999</v>
      </c>
      <c r="I5351">
        <v>176.4708</v>
      </c>
      <c r="J5351">
        <v>-191.52170000000001</v>
      </c>
      <c r="K5351">
        <v>1.109885</v>
      </c>
      <c r="L5351">
        <v>177.15469999999999</v>
      </c>
      <c r="M5351">
        <v>1.375769E-2</v>
      </c>
      <c r="N5351">
        <v>0</v>
      </c>
      <c r="O5351">
        <v>-0.99981779999999998</v>
      </c>
      <c r="P5351">
        <v>-9.1048530000000003E-2</v>
      </c>
      <c r="Q5351">
        <v>-1.5316969999999999E-2</v>
      </c>
      <c r="R5351">
        <v>-0.99572879999999997</v>
      </c>
      <c r="S5351">
        <v>-0.4904327</v>
      </c>
      <c r="T5351">
        <v>-0.29065079999999999</v>
      </c>
      <c r="U5351">
        <v>-2.9637910000000001</v>
      </c>
      <c r="V5351">
        <v>0.1047382</v>
      </c>
      <c r="W5351">
        <v>-2.2313620000000002E-3</v>
      </c>
      <c r="X5351">
        <v>0.99449730000000003</v>
      </c>
      <c r="Y5351">
        <v>0.1760563</v>
      </c>
      <c r="Z5351">
        <v>9.6174990000000002E-2</v>
      </c>
      <c r="AA5351">
        <v>0.97967059999999995</v>
      </c>
      <c r="AB5351">
        <v>16</v>
      </c>
      <c r="AC5351">
        <v>-0.12929999999997199</v>
      </c>
      <c r="AD5351">
        <v>-7.5966999999999896E-2</v>
      </c>
      <c r="AE5351">
        <v>-0.68389999999999396</v>
      </c>
      <c r="AF5351">
        <v>0.13706465182782401</v>
      </c>
      <c r="AG5351">
        <v>-7.5966999999999896E-2</v>
      </c>
      <c r="AH5351">
        <v>0.67402672655718199</v>
      </c>
      <c r="AI5351">
        <v>96.302532511348701</v>
      </c>
      <c r="AJ5351">
        <v>78.505520959382295</v>
      </c>
      <c r="AK5351">
        <v>0.69200414159387302</v>
      </c>
      <c r="AL5351">
        <v>90.127847734503703</v>
      </c>
      <c r="AM5351">
        <v>83.987901467817693</v>
      </c>
      <c r="AN5351">
        <v>0.99999997461145196</v>
      </c>
    </row>
    <row r="5352" spans="1:40" x14ac:dyDescent="0.25">
      <c r="A5352" t="str">
        <f>"20190312154031015"</f>
        <v>20190312154031015</v>
      </c>
      <c r="B5352" t="str">
        <f>"1552376431011548"</f>
        <v>1552376431011548</v>
      </c>
      <c r="C5352" t="s">
        <v>40</v>
      </c>
      <c r="D5352">
        <v>4.1620720000000002</v>
      </c>
      <c r="E5352">
        <v>0.52942670000000003</v>
      </c>
      <c r="F5352" t="s">
        <v>41</v>
      </c>
      <c r="G5352">
        <v>-191.66030000000001</v>
      </c>
      <c r="H5352">
        <v>1.0304879999999901</v>
      </c>
      <c r="I5352">
        <v>176.32749999999999</v>
      </c>
      <c r="J5352">
        <v>-191.52099999999999</v>
      </c>
      <c r="K5352">
        <v>1.10989</v>
      </c>
      <c r="L5352">
        <v>177.0711</v>
      </c>
      <c r="M5352">
        <v>1.337353E-2</v>
      </c>
      <c r="N5352">
        <v>0</v>
      </c>
      <c r="O5352">
        <v>-0.99982300000000002</v>
      </c>
      <c r="P5352">
        <v>-9.1806139999999994E-2</v>
      </c>
      <c r="Q5352">
        <v>-1.582443E-2</v>
      </c>
      <c r="R5352">
        <v>-0.99565130000000002</v>
      </c>
      <c r="S5352">
        <v>-0.49638369999999998</v>
      </c>
      <c r="T5352">
        <v>-0.28440650000000001</v>
      </c>
      <c r="U5352">
        <v>-2.963104</v>
      </c>
      <c r="V5352">
        <v>0.1051122</v>
      </c>
      <c r="W5352">
        <v>-2.7405060000000002E-3</v>
      </c>
      <c r="X5352">
        <v>0.99445660000000002</v>
      </c>
      <c r="Y5352">
        <v>0.17766129999999999</v>
      </c>
      <c r="Z5352">
        <v>9.4120670000000003E-2</v>
      </c>
      <c r="AA5352">
        <v>0.97958040000000002</v>
      </c>
      <c r="AB5352">
        <v>16</v>
      </c>
      <c r="AC5352">
        <v>-0.13930000000001899</v>
      </c>
      <c r="AD5352">
        <v>-7.9402000000000195E-2</v>
      </c>
      <c r="AE5352">
        <v>-0.74360000000001403</v>
      </c>
      <c r="AF5352">
        <v>0.14760700147292199</v>
      </c>
      <c r="AG5352">
        <v>-7.9402000000000195E-2</v>
      </c>
      <c r="AH5352">
        <v>0.733589529065521</v>
      </c>
      <c r="AI5352">
        <v>96.057043460492395</v>
      </c>
      <c r="AJ5352">
        <v>78.623312610172604</v>
      </c>
      <c r="AK5352">
        <v>0.75249325687503699</v>
      </c>
      <c r="AL5352">
        <v>90.157019622958202</v>
      </c>
      <c r="AM5352">
        <v>83.966346383036495</v>
      </c>
      <c r="AN5352">
        <v>1.0000000071227599</v>
      </c>
    </row>
    <row r="5353" spans="1:40" x14ac:dyDescent="0.25">
      <c r="A5353" t="str">
        <f>"20190312154031034"</f>
        <v>20190312154031034</v>
      </c>
      <c r="B5353" t="str">
        <f>"1552376431021307"</f>
        <v>1552376431021307</v>
      </c>
      <c r="C5353" t="s">
        <v>40</v>
      </c>
      <c r="D5353">
        <v>4.1577449999999896</v>
      </c>
      <c r="E5353">
        <v>0.5299585</v>
      </c>
      <c r="F5353" t="s">
        <v>42</v>
      </c>
      <c r="G5353">
        <v>-193.60900000000001</v>
      </c>
      <c r="H5353" s="1">
        <v>-3.4291610000000001E-6</v>
      </c>
      <c r="I5353">
        <v>164.81450000000001</v>
      </c>
      <c r="J5353">
        <v>-191.51990000000001</v>
      </c>
      <c r="K5353">
        <v>1.109888</v>
      </c>
      <c r="L5353">
        <v>176.9297</v>
      </c>
      <c r="M5353">
        <v>1.272388E-2</v>
      </c>
      <c r="N5353">
        <v>0</v>
      </c>
      <c r="O5353">
        <v>-0.99983160000000004</v>
      </c>
      <c r="P5353">
        <v>-9.2533550000000006E-2</v>
      </c>
      <c r="Q5353">
        <v>-1.603307E-2</v>
      </c>
      <c r="R5353">
        <v>-0.99558089999999999</v>
      </c>
      <c r="S5353">
        <v>-0.50465389999999999</v>
      </c>
      <c r="T5353">
        <v>-0.26825080000000001</v>
      </c>
      <c r="U5353">
        <v>-2.9623110000000001</v>
      </c>
      <c r="V5353">
        <v>0.10519240000000001</v>
      </c>
      <c r="W5353">
        <v>-2.9506490000000001E-3</v>
      </c>
      <c r="X5353">
        <v>0.99444750000000004</v>
      </c>
      <c r="Y5353">
        <v>0.179805399999999</v>
      </c>
      <c r="Z5353">
        <v>8.8804980000000006E-2</v>
      </c>
      <c r="AA5353">
        <v>0.97968549999999999</v>
      </c>
      <c r="AB5353">
        <v>16</v>
      </c>
      <c r="AC5353">
        <v>-2.0891000000000002</v>
      </c>
      <c r="AD5353">
        <v>-1.109891429161</v>
      </c>
      <c r="AE5353">
        <v>-12.1151999999999</v>
      </c>
      <c r="AF5353">
        <v>2.2249625290525801</v>
      </c>
      <c r="AG5353">
        <v>-1.109891429161</v>
      </c>
      <c r="AH5353">
        <v>11.9899136670607</v>
      </c>
      <c r="AI5353">
        <v>95.200443031135904</v>
      </c>
      <c r="AJ5353">
        <v>79.487233799043395</v>
      </c>
      <c r="AK5353">
        <v>12.2450131475545</v>
      </c>
      <c r="AL5353">
        <v>90.169059981733596</v>
      </c>
      <c r="AM5353">
        <v>83.961721891977803</v>
      </c>
      <c r="AN5353">
        <v>0.99999998880176499</v>
      </c>
    </row>
    <row r="5354" spans="1:40" x14ac:dyDescent="0.25">
      <c r="A5354" t="str">
        <f>"20190312154031046"</f>
        <v>20190312154031046</v>
      </c>
      <c r="B5354" t="str">
        <f>"1552376431041803"</f>
        <v>1552376431041803</v>
      </c>
      <c r="C5354" t="s">
        <v>40</v>
      </c>
      <c r="D5354">
        <v>4.1897250000000001</v>
      </c>
      <c r="E5354">
        <v>0.53052339999999998</v>
      </c>
      <c r="F5354" t="s">
        <v>42</v>
      </c>
      <c r="G5354">
        <v>-193.70740000000001</v>
      </c>
      <c r="H5354" s="1">
        <v>-3.193622E-6</v>
      </c>
      <c r="I5354">
        <v>164.26079999999999</v>
      </c>
      <c r="J5354">
        <v>-191.51929999999999</v>
      </c>
      <c r="K5354">
        <v>1.1098870000000001</v>
      </c>
      <c r="L5354">
        <v>176.84360000000001</v>
      </c>
      <c r="M5354">
        <v>1.232862E-2</v>
      </c>
      <c r="N5354">
        <v>0</v>
      </c>
      <c r="O5354">
        <v>-0.99983639999999996</v>
      </c>
      <c r="P5354">
        <v>-9.3062030000000004E-2</v>
      </c>
      <c r="Q5354">
        <v>-1.587392E-2</v>
      </c>
      <c r="R5354">
        <v>-0.99553389999999997</v>
      </c>
      <c r="S5354">
        <v>-0.51136780000000004</v>
      </c>
      <c r="T5354">
        <v>-0.25946089999999999</v>
      </c>
      <c r="U5354">
        <v>-2.9616090000000002</v>
      </c>
      <c r="V5354">
        <v>0.1053273</v>
      </c>
      <c r="W5354">
        <v>-2.7926510000000002E-3</v>
      </c>
      <c r="X5354">
        <v>0.99443369999999998</v>
      </c>
      <c r="Y5354">
        <v>0.18165529999999999</v>
      </c>
      <c r="Z5354">
        <v>8.590689E-2</v>
      </c>
      <c r="AA5354">
        <v>0.97960259999999999</v>
      </c>
      <c r="AB5354">
        <v>16</v>
      </c>
      <c r="AC5354">
        <v>-2.1881000000000199</v>
      </c>
      <c r="AD5354">
        <v>-1.109890193622</v>
      </c>
      <c r="AE5354">
        <v>-12.582800000000001</v>
      </c>
      <c r="AF5354">
        <v>2.3255133401905899</v>
      </c>
      <c r="AG5354">
        <v>-1.109890193622</v>
      </c>
      <c r="AH5354">
        <v>12.4607601506679</v>
      </c>
      <c r="AI5354">
        <v>95.004002344102304</v>
      </c>
      <c r="AJ5354">
        <v>79.428677000628795</v>
      </c>
      <c r="AK5354">
        <v>12.7244022283869</v>
      </c>
      <c r="AL5354">
        <v>90.160007322115803</v>
      </c>
      <c r="AM5354">
        <v>83.953952369855003</v>
      </c>
      <c r="AN5354">
        <v>1.00000001136029</v>
      </c>
    </row>
    <row r="5355" spans="1:40" x14ac:dyDescent="0.25">
      <c r="A5355" t="str">
        <f>"20190312154031060"</f>
        <v>20190312154031060</v>
      </c>
      <c r="B5355" t="str">
        <f>"1552376431051564"</f>
        <v>1552376431051564</v>
      </c>
      <c r="C5355" t="s">
        <v>40</v>
      </c>
      <c r="D5355">
        <v>4.1918980000000001</v>
      </c>
      <c r="E5355">
        <v>0.53074160000000004</v>
      </c>
      <c r="F5355" t="s">
        <v>42</v>
      </c>
      <c r="G5355">
        <v>-193.89</v>
      </c>
      <c r="H5355" s="1">
        <v>-2.7794739999999999E-6</v>
      </c>
      <c r="I5355">
        <v>163.28190000000001</v>
      </c>
      <c r="J5355">
        <v>-191.5187</v>
      </c>
      <c r="K5355">
        <v>1.1098889999999999</v>
      </c>
      <c r="L5355">
        <v>176.75049999999999</v>
      </c>
      <c r="M5355">
        <v>1.1900930000000001E-2</v>
      </c>
      <c r="N5355">
        <v>0</v>
      </c>
      <c r="O5355">
        <v>-0.99984139999999999</v>
      </c>
      <c r="P5355">
        <v>-9.3309749999999997E-2</v>
      </c>
      <c r="Q5355">
        <v>-1.5907459999999998E-2</v>
      </c>
      <c r="R5355">
        <v>-0.99550989999999995</v>
      </c>
      <c r="S5355">
        <v>-0.51765439999999996</v>
      </c>
      <c r="T5355">
        <v>-0.24234600000000001</v>
      </c>
      <c r="U5355">
        <v>-2.9612120000000002</v>
      </c>
      <c r="V5355">
        <v>0.1051494</v>
      </c>
      <c r="W5355">
        <v>-2.8267499999999998E-3</v>
      </c>
      <c r="X5355">
        <v>0.99445240000000001</v>
      </c>
      <c r="Y5355">
        <v>0.1833564</v>
      </c>
      <c r="Z5355">
        <v>8.026266E-2</v>
      </c>
      <c r="AA5355">
        <v>0.97976439999999998</v>
      </c>
      <c r="AB5355">
        <v>16</v>
      </c>
      <c r="AC5355">
        <v>-2.37129999999999</v>
      </c>
      <c r="AD5355">
        <v>-1.109891779474</v>
      </c>
      <c r="AE5355">
        <v>-13.468599999999901</v>
      </c>
      <c r="AF5355">
        <v>2.5148706265947101</v>
      </c>
      <c r="AG5355">
        <v>-1.109891779474</v>
      </c>
      <c r="AH5355">
        <v>13.3514825017663</v>
      </c>
      <c r="AI5355">
        <v>94.670246358268997</v>
      </c>
      <c r="AJ5355">
        <v>79.332811826524804</v>
      </c>
      <c r="AK5355">
        <v>13.6315266579215</v>
      </c>
      <c r="AL5355">
        <v>90.161961063451599</v>
      </c>
      <c r="AM5355">
        <v>83.964201484170005</v>
      </c>
      <c r="AN5355">
        <v>0.99999998135084101</v>
      </c>
    </row>
    <row r="5356" spans="1:40" x14ac:dyDescent="0.25">
      <c r="A5356" t="str">
        <f>"20190312154031073"</f>
        <v>20190312154031073</v>
      </c>
      <c r="B5356" t="str">
        <f>"1552376431061325"</f>
        <v>1552376431061325</v>
      </c>
      <c r="C5356" t="s">
        <v>40</v>
      </c>
      <c r="D5356">
        <v>4.1946269999999997</v>
      </c>
      <c r="E5356">
        <v>0.53094819999999998</v>
      </c>
      <c r="F5356" t="s">
        <v>42</v>
      </c>
      <c r="G5356">
        <v>-193.97</v>
      </c>
      <c r="H5356" s="1">
        <v>-2.572235E-6</v>
      </c>
      <c r="I5356">
        <v>162.79849999999999</v>
      </c>
      <c r="J5356">
        <v>-191.518</v>
      </c>
      <c r="K5356">
        <v>1.1098870000000001</v>
      </c>
      <c r="L5356">
        <v>176.6515</v>
      </c>
      <c r="M5356">
        <v>1.14462E-2</v>
      </c>
      <c r="N5356">
        <v>0</v>
      </c>
      <c r="O5356">
        <v>-0.99984689999999998</v>
      </c>
      <c r="P5356">
        <v>-9.358197E-2</v>
      </c>
      <c r="Q5356">
        <v>-1.5844799999999999E-2</v>
      </c>
      <c r="R5356">
        <v>-0.99548550000000002</v>
      </c>
      <c r="S5356">
        <v>-0.52024840000000006</v>
      </c>
      <c r="T5356">
        <v>-0.2355497</v>
      </c>
      <c r="U5356">
        <v>-2.9609990000000002</v>
      </c>
      <c r="V5356">
        <v>0.1049692</v>
      </c>
      <c r="W5356">
        <v>-2.7646160000000001E-3</v>
      </c>
      <c r="X5356">
        <v>0.99447160000000001</v>
      </c>
      <c r="Y5356">
        <v>0.1837848</v>
      </c>
      <c r="Z5356">
        <v>7.8023110000000007E-2</v>
      </c>
      <c r="AA5356">
        <v>0.97986510000000004</v>
      </c>
      <c r="AB5356">
        <v>16</v>
      </c>
      <c r="AC5356">
        <v>-2.4519999999999902</v>
      </c>
      <c r="AD5356">
        <v>-1.109889572235</v>
      </c>
      <c r="AE5356">
        <v>-13.853</v>
      </c>
      <c r="AF5356">
        <v>2.5942705189317099</v>
      </c>
      <c r="AG5356">
        <v>-1.109889572235</v>
      </c>
      <c r="AH5356">
        <v>13.7385143225607</v>
      </c>
      <c r="AI5356">
        <v>94.5388387934902</v>
      </c>
      <c r="AJ5356">
        <v>79.306638988068102</v>
      </c>
      <c r="AK5356">
        <v>14.025293942700801</v>
      </c>
      <c r="AL5356">
        <v>90.158401035364804</v>
      </c>
      <c r="AM5356">
        <v>83.974584660707905</v>
      </c>
      <c r="AN5356">
        <v>0.99999996962841298</v>
      </c>
    </row>
    <row r="5357" spans="1:40" x14ac:dyDescent="0.25">
      <c r="A5357" t="str">
        <f>"20190312154031086"</f>
        <v>20190312154031086</v>
      </c>
      <c r="B5357" t="str">
        <f>"1552376431072059"</f>
        <v>1552376431072059</v>
      </c>
      <c r="C5357" t="s">
        <v>40</v>
      </c>
      <c r="D5357">
        <v>4.1684299999999999</v>
      </c>
      <c r="E5357">
        <v>0.53097859999999997</v>
      </c>
      <c r="F5357" t="s">
        <v>42</v>
      </c>
      <c r="G5357">
        <v>-194.0428</v>
      </c>
      <c r="H5357" s="1">
        <v>-2.3809349999999998E-6</v>
      </c>
      <c r="I5357">
        <v>162.3528</v>
      </c>
      <c r="J5357">
        <v>-191.51750000000001</v>
      </c>
      <c r="K5357">
        <v>1.109885</v>
      </c>
      <c r="L5357">
        <v>176.56099999999901</v>
      </c>
      <c r="M5357">
        <v>1.1030740000000001E-2</v>
      </c>
      <c r="N5357">
        <v>0</v>
      </c>
      <c r="O5357">
        <v>-0.99985139999999995</v>
      </c>
      <c r="P5357">
        <v>-9.3949199999999997E-2</v>
      </c>
      <c r="Q5357">
        <v>-1.5984419999999999E-2</v>
      </c>
      <c r="R5357">
        <v>-0.99544869999999996</v>
      </c>
      <c r="S5357">
        <v>-0.5228119</v>
      </c>
      <c r="T5357">
        <v>-0.22982449999999999</v>
      </c>
      <c r="U5357">
        <v>-2.9608150000000002</v>
      </c>
      <c r="V5357">
        <v>0.1049226</v>
      </c>
      <c r="W5357">
        <v>-2.9050289999999999E-3</v>
      </c>
      <c r="X5357">
        <v>0.99447609999999997</v>
      </c>
      <c r="Y5357">
        <v>0.18423500000000001</v>
      </c>
      <c r="Z5357">
        <v>7.6134300000000002E-2</v>
      </c>
      <c r="AA5357">
        <v>0.9799291</v>
      </c>
      <c r="AB5357">
        <v>16</v>
      </c>
      <c r="AC5357">
        <v>-2.5252999999999801</v>
      </c>
      <c r="AD5357">
        <v>-1.1098873809350001</v>
      </c>
      <c r="AE5357">
        <v>-14.2081999999999</v>
      </c>
      <c r="AF5357">
        <v>2.6661163198078799</v>
      </c>
      <c r="AG5357">
        <v>-1.1098873809350001</v>
      </c>
      <c r="AH5357">
        <v>14.09609520529</v>
      </c>
      <c r="AI5357">
        <v>94.423908121984994</v>
      </c>
      <c r="AJ5357">
        <v>79.289673005869801</v>
      </c>
      <c r="AK5357">
        <v>14.388882036687299</v>
      </c>
      <c r="AL5357">
        <v>90.166446143110406</v>
      </c>
      <c r="AM5357">
        <v>83.977266969391195</v>
      </c>
      <c r="AN5357">
        <v>0.99999995232772898</v>
      </c>
    </row>
    <row r="5358" spans="1:40" x14ac:dyDescent="0.25">
      <c r="A5358" t="str">
        <f>"20190312154031103"</f>
        <v>20190312154031103</v>
      </c>
      <c r="B5358" t="str">
        <f>"1552376431092087"</f>
        <v>1552376431092087</v>
      </c>
      <c r="C5358" t="s">
        <v>40</v>
      </c>
      <c r="D5358">
        <v>4.1740409999999999</v>
      </c>
      <c r="E5358">
        <v>0.53112369999999898</v>
      </c>
      <c r="F5358" t="s">
        <v>42</v>
      </c>
      <c r="G5358">
        <v>-194.11779999999999</v>
      </c>
      <c r="H5358" s="1">
        <v>-2.1743559999999999E-6</v>
      </c>
      <c r="I5358">
        <v>161.87360000000001</v>
      </c>
      <c r="J5358">
        <v>-191.51679999999999</v>
      </c>
      <c r="K5358">
        <v>1.1098870000000001</v>
      </c>
      <c r="L5358">
        <v>176.4342</v>
      </c>
      <c r="M5358">
        <v>1.044814E-2</v>
      </c>
      <c r="N5358">
        <v>0</v>
      </c>
      <c r="O5358">
        <v>-0.99985809999999997</v>
      </c>
      <c r="P5358">
        <v>-9.4302639999999993E-2</v>
      </c>
      <c r="Q5358">
        <v>-1.6237390000000001E-2</v>
      </c>
      <c r="R5358">
        <v>-0.9954115</v>
      </c>
      <c r="S5358">
        <v>-0.52415469999999997</v>
      </c>
      <c r="T5358">
        <v>-0.22372600000000001</v>
      </c>
      <c r="U5358">
        <v>-2.9606170000000001</v>
      </c>
      <c r="V5358">
        <v>0.104696</v>
      </c>
      <c r="W5358">
        <v>-3.158723E-3</v>
      </c>
      <c r="X5358">
        <v>0.99449929999999997</v>
      </c>
      <c r="Y5358">
        <v>0.18413099999999999</v>
      </c>
      <c r="Z5358">
        <v>7.4128929999999996E-2</v>
      </c>
      <c r="AA5358">
        <v>0.98010240000000004</v>
      </c>
      <c r="AB5358">
        <v>16</v>
      </c>
      <c r="AC5358">
        <v>-2.6009999999999902</v>
      </c>
      <c r="AD5358">
        <v>-1.109889174356</v>
      </c>
      <c r="AE5358">
        <v>-14.5605999999999</v>
      </c>
      <c r="AF5358">
        <v>2.73758805817645</v>
      </c>
      <c r="AG5358">
        <v>-1.109889174356</v>
      </c>
      <c r="AH5358">
        <v>14.451257050363401</v>
      </c>
      <c r="AI5358">
        <v>94.315373026169397</v>
      </c>
      <c r="AJ5358">
        <v>79.273226077606594</v>
      </c>
      <c r="AK5358">
        <v>14.750087209616799</v>
      </c>
      <c r="AL5358">
        <v>90.180981789578993</v>
      </c>
      <c r="AM5358">
        <v>83.990318064976094</v>
      </c>
      <c r="AN5358">
        <v>1.00000004382373</v>
      </c>
    </row>
    <row r="5359" spans="1:40" x14ac:dyDescent="0.25">
      <c r="A5359" t="str">
        <f>"20190312154031125"</f>
        <v>20190312154031125</v>
      </c>
      <c r="B5359" t="str">
        <f>"1552376431111607"</f>
        <v>1552376431111607</v>
      </c>
      <c r="C5359" t="s">
        <v>40</v>
      </c>
      <c r="D5359">
        <v>4.1631580000000001</v>
      </c>
      <c r="E5359">
        <v>0.53122449999999999</v>
      </c>
      <c r="F5359" t="s">
        <v>42</v>
      </c>
      <c r="G5359">
        <v>-194.22450000000001</v>
      </c>
      <c r="H5359" s="1">
        <v>-1.8898690000000001E-6</v>
      </c>
      <c r="I5359">
        <v>161.21170000000001</v>
      </c>
      <c r="J5359">
        <v>-191.51599999999999</v>
      </c>
      <c r="K5359">
        <v>1.109888</v>
      </c>
      <c r="L5359">
        <v>176.27850000000001</v>
      </c>
      <c r="M5359">
        <v>9.7332730000000006E-3</v>
      </c>
      <c r="N5359">
        <v>0</v>
      </c>
      <c r="O5359">
        <v>-0.99986520000000001</v>
      </c>
      <c r="P5359">
        <v>-9.5335359999999994E-2</v>
      </c>
      <c r="Q5359">
        <v>-1.5840460000000001E-2</v>
      </c>
      <c r="R5359">
        <v>-0.99531950000000002</v>
      </c>
      <c r="S5359">
        <v>-0.52658079999999996</v>
      </c>
      <c r="T5359">
        <v>-0.21584709999999999</v>
      </c>
      <c r="U5359">
        <v>-2.9604029999999999</v>
      </c>
      <c r="V5359">
        <v>0.1050172</v>
      </c>
      <c r="W5359">
        <v>-2.763915E-3</v>
      </c>
      <c r="X5359">
        <v>0.99446650000000003</v>
      </c>
      <c r="Y5359">
        <v>0.18425240000000001</v>
      </c>
      <c r="Z5359">
        <v>7.1532139999999994E-2</v>
      </c>
      <c r="AA5359">
        <v>0.98027249999999999</v>
      </c>
      <c r="AB5359">
        <v>16</v>
      </c>
      <c r="AC5359">
        <v>-2.7085000000000101</v>
      </c>
      <c r="AD5359">
        <v>-1.1098898898689999</v>
      </c>
      <c r="AE5359">
        <v>-15.066800000000001</v>
      </c>
      <c r="AF5359">
        <v>2.8401044766354002</v>
      </c>
      <c r="AG5359">
        <v>-1.1098898898689999</v>
      </c>
      <c r="AH5359">
        <v>14.9610768588781</v>
      </c>
      <c r="AI5359">
        <v>94.168549011752006</v>
      </c>
      <c r="AJ5359">
        <v>79.251274218700104</v>
      </c>
      <c r="AK5359">
        <v>15.2686564498352</v>
      </c>
      <c r="AL5359">
        <v>90.158360876261895</v>
      </c>
      <c r="AM5359">
        <v>83.971818973196406</v>
      </c>
      <c r="AN5359">
        <v>0.99999993557210598</v>
      </c>
    </row>
    <row r="5360" spans="1:40" x14ac:dyDescent="0.25">
      <c r="A5360" t="str">
        <f>"20190312154031139"</f>
        <v>20190312154031139</v>
      </c>
      <c r="B5360" t="str">
        <f>"1552376431132103"</f>
        <v>1552376431132103</v>
      </c>
      <c r="C5360" t="s">
        <v>40</v>
      </c>
      <c r="D5360">
        <v>4.179856</v>
      </c>
      <c r="E5360">
        <v>0.5312173</v>
      </c>
      <c r="F5360" t="s">
        <v>42</v>
      </c>
      <c r="G5360">
        <v>-194.3751</v>
      </c>
      <c r="H5360" s="1">
        <v>-1.509872E-6</v>
      </c>
      <c r="I5360">
        <v>160.32310000000001</v>
      </c>
      <c r="J5360">
        <v>-191.51560000000001</v>
      </c>
      <c r="K5360">
        <v>1.109891</v>
      </c>
      <c r="L5360">
        <v>176.18010000000001</v>
      </c>
      <c r="M5360">
        <v>9.2810319999999998E-3</v>
      </c>
      <c r="N5360">
        <v>0</v>
      </c>
      <c r="O5360">
        <v>-0.99986949999999997</v>
      </c>
      <c r="P5360">
        <v>-9.5921099999999995E-2</v>
      </c>
      <c r="Q5360">
        <v>-1.5606800000000001E-2</v>
      </c>
      <c r="R5360">
        <v>-0.99526700000000001</v>
      </c>
      <c r="S5360">
        <v>-0.53041079999999996</v>
      </c>
      <c r="T5360">
        <v>-0.20590559999999999</v>
      </c>
      <c r="U5360">
        <v>-2.9600369999999998</v>
      </c>
      <c r="V5360">
        <v>0.10515289999999999</v>
      </c>
      <c r="W5360">
        <v>-2.5315379999999998E-3</v>
      </c>
      <c r="X5360">
        <v>0.99445280000000003</v>
      </c>
      <c r="Y5360">
        <v>0.1850985</v>
      </c>
      <c r="Z5360">
        <v>6.8249110000000002E-2</v>
      </c>
      <c r="AA5360">
        <v>0.98034719999999997</v>
      </c>
      <c r="AB5360">
        <v>16</v>
      </c>
      <c r="AC5360">
        <v>-2.8594999999999899</v>
      </c>
      <c r="AD5360">
        <v>-1.1098925098720001</v>
      </c>
      <c r="AE5360">
        <v>-15.856999999999999</v>
      </c>
      <c r="AF5360">
        <v>2.9923607354028601</v>
      </c>
      <c r="AG5360">
        <v>-1.1098925098720001</v>
      </c>
      <c r="AH5360">
        <v>15.755020418687799</v>
      </c>
      <c r="AI5360">
        <v>93.959107423630002</v>
      </c>
      <c r="AJ5360">
        <v>79.245869851076804</v>
      </c>
      <c r="AK5360">
        <v>16.075035071424299</v>
      </c>
      <c r="AL5360">
        <v>90.14504660435</v>
      </c>
      <c r="AM5360">
        <v>83.964004469846998</v>
      </c>
      <c r="AN5360">
        <v>0.99999995624544602</v>
      </c>
    </row>
    <row r="5361" spans="1:40" x14ac:dyDescent="0.25">
      <c r="A5361" t="str">
        <f>"20190312154031152"</f>
        <v>20190312154031152</v>
      </c>
      <c r="B5361" t="str">
        <f>"1552376431141862"</f>
        <v>1552376431141862</v>
      </c>
      <c r="C5361" t="s">
        <v>40</v>
      </c>
      <c r="D5361">
        <v>4.1887169999999996</v>
      </c>
      <c r="E5361">
        <v>0.53122950000000002</v>
      </c>
      <c r="F5361" t="s">
        <v>42</v>
      </c>
      <c r="G5361">
        <v>-194.47030000000001</v>
      </c>
      <c r="H5361" s="1">
        <v>-1.263621E-6</v>
      </c>
      <c r="I5361">
        <v>159.74860000000001</v>
      </c>
      <c r="J5361">
        <v>-191.51519999999999</v>
      </c>
      <c r="K5361">
        <v>1.1098920000000001</v>
      </c>
      <c r="L5361">
        <v>176.07929999999999</v>
      </c>
      <c r="M5361">
        <v>8.8179179999999992E-3</v>
      </c>
      <c r="N5361">
        <v>0</v>
      </c>
      <c r="O5361">
        <v>-0.99987380000000003</v>
      </c>
      <c r="P5361">
        <v>-9.6716280000000002E-2</v>
      </c>
      <c r="Q5361">
        <v>-1.54019E-2</v>
      </c>
      <c r="R5361">
        <v>-0.9951932</v>
      </c>
      <c r="S5361">
        <v>-0.53224179999999999</v>
      </c>
      <c r="T5361">
        <v>-0.19992799999999999</v>
      </c>
      <c r="U5361">
        <v>-2.959854</v>
      </c>
      <c r="V5361">
        <v>0.105486999999999</v>
      </c>
      <c r="W5361">
        <v>-2.3282659999999998E-3</v>
      </c>
      <c r="X5361">
        <v>0.99441800000000002</v>
      </c>
      <c r="Y5361">
        <v>0.18526490000000001</v>
      </c>
      <c r="Z5361">
        <v>6.6276589999999996E-2</v>
      </c>
      <c r="AA5361">
        <v>0.98045110000000002</v>
      </c>
      <c r="AB5361">
        <v>16</v>
      </c>
      <c r="AC5361">
        <v>-2.9551000000000101</v>
      </c>
      <c r="AD5361">
        <v>-1.1098932636209999</v>
      </c>
      <c r="AE5361">
        <v>-16.330699999999901</v>
      </c>
      <c r="AF5361">
        <v>3.08520156609845</v>
      </c>
      <c r="AG5361">
        <v>-1.1098932636209999</v>
      </c>
      <c r="AH5361">
        <v>16.231408273892701</v>
      </c>
      <c r="AI5361">
        <v>93.843162494454404</v>
      </c>
      <c r="AJ5361">
        <v>79.237828823880307</v>
      </c>
      <c r="AK5361">
        <v>16.5592556086884</v>
      </c>
      <c r="AL5361">
        <v>90.133399930122906</v>
      </c>
      <c r="AM5361">
        <v>83.944758359448002</v>
      </c>
      <c r="AN5361">
        <v>1.00000004335778</v>
      </c>
    </row>
    <row r="5362" spans="1:40" x14ac:dyDescent="0.25">
      <c r="A5362" t="str">
        <f>"20190312154031170"</f>
        <v>20190312154031170</v>
      </c>
      <c r="B5362" t="str">
        <f>"1552376431161383"</f>
        <v>1552376431161383</v>
      </c>
      <c r="C5362" t="s">
        <v>40</v>
      </c>
      <c r="D5362">
        <v>4.1125970000000001</v>
      </c>
      <c r="E5362">
        <v>0.53127749999999996</v>
      </c>
      <c r="F5362" t="s">
        <v>55</v>
      </c>
      <c r="G5362">
        <v>-194.51050000000001</v>
      </c>
      <c r="H5362" s="1">
        <v>-1.4949780000000001E-5</v>
      </c>
      <c r="I5362">
        <v>159.50620000000001</v>
      </c>
      <c r="J5362">
        <v>-191.51480000000001</v>
      </c>
      <c r="K5362">
        <v>1.1098950000000001</v>
      </c>
      <c r="L5362">
        <v>175.95849999999999</v>
      </c>
      <c r="M5362">
        <v>8.2630099999999995E-3</v>
      </c>
      <c r="N5362">
        <v>0</v>
      </c>
      <c r="O5362">
        <v>-0.9998785</v>
      </c>
      <c r="P5362">
        <v>-9.7470719999999997E-2</v>
      </c>
      <c r="Q5362">
        <v>-1.471303E-2</v>
      </c>
      <c r="R5362">
        <v>-0.99512990000000001</v>
      </c>
      <c r="S5362">
        <v>-0.53486630000000002</v>
      </c>
      <c r="T5362">
        <v>-0.19819519999999999</v>
      </c>
      <c r="U5362">
        <v>-2.9594420000000001</v>
      </c>
      <c r="V5362">
        <v>0.10568950000000001</v>
      </c>
      <c r="W5362">
        <v>-1.6408939999999999E-3</v>
      </c>
      <c r="X5362">
        <v>0.9943978</v>
      </c>
      <c r="Y5362">
        <v>0.18559220000000001</v>
      </c>
      <c r="Z5362">
        <v>6.5706959999999995E-2</v>
      </c>
      <c r="AA5362">
        <v>0.98042750000000001</v>
      </c>
      <c r="AB5362">
        <v>16</v>
      </c>
      <c r="AC5362">
        <v>-2.9956999999999998</v>
      </c>
      <c r="AD5362">
        <v>-1.10990994977999</v>
      </c>
      <c r="AE5362">
        <v>-16.452299999999902</v>
      </c>
      <c r="AF5362">
        <v>3.1178207581127499</v>
      </c>
      <c r="AG5362">
        <v>-1.10990994977999</v>
      </c>
      <c r="AH5362">
        <v>16.3549372418268</v>
      </c>
      <c r="AI5362">
        <v>93.813887869780999</v>
      </c>
      <c r="AJ5362">
        <v>79.206930979159296</v>
      </c>
      <c r="AK5362">
        <v>16.686421981971801</v>
      </c>
      <c r="AL5362">
        <v>90.094016345482501</v>
      </c>
      <c r="AM5362">
        <v>83.933098593497206</v>
      </c>
      <c r="AN5362">
        <v>0.99999997379410399</v>
      </c>
    </row>
    <row r="5363" spans="1:40" x14ac:dyDescent="0.25">
      <c r="A5363" t="str">
        <f>"20190312154031183"</f>
        <v>20190312154031183</v>
      </c>
      <c r="B5363" t="str">
        <f>"1552376431171143"</f>
        <v>1552376431171143</v>
      </c>
      <c r="C5363" t="s">
        <v>40</v>
      </c>
      <c r="D5363">
        <v>4.1084680000000002</v>
      </c>
      <c r="E5363">
        <v>0.531398699999999</v>
      </c>
      <c r="F5363" t="s">
        <v>55</v>
      </c>
      <c r="G5363">
        <v>-194.6481</v>
      </c>
      <c r="H5363" s="1">
        <v>-1.47489899999999E-5</v>
      </c>
      <c r="I5363">
        <v>158.7081</v>
      </c>
      <c r="J5363">
        <v>-191.5145</v>
      </c>
      <c r="K5363">
        <v>1.1098920000000001</v>
      </c>
      <c r="L5363">
        <v>175.86490000000001</v>
      </c>
      <c r="M5363">
        <v>7.8328219999999997E-3</v>
      </c>
      <c r="N5363">
        <v>0</v>
      </c>
      <c r="O5363">
        <v>-0.99988189999999999</v>
      </c>
      <c r="P5363">
        <v>-9.8138080000000003E-2</v>
      </c>
      <c r="Q5363">
        <v>-1.4563359999999999E-2</v>
      </c>
      <c r="R5363">
        <v>-0.99506640000000002</v>
      </c>
      <c r="S5363">
        <v>-0.53750609999999999</v>
      </c>
      <c r="T5363">
        <v>-0.1904005</v>
      </c>
      <c r="U5363">
        <v>-2.9592290000000001</v>
      </c>
      <c r="V5363">
        <v>0.1059287</v>
      </c>
      <c r="W5363">
        <v>-1.492609E-3</v>
      </c>
      <c r="X5363">
        <v>0.99437260000000005</v>
      </c>
      <c r="Y5363">
        <v>0.18605840000000001</v>
      </c>
      <c r="Z5363">
        <v>6.3130560000000002E-2</v>
      </c>
      <c r="AA5363">
        <v>0.98050839999999995</v>
      </c>
      <c r="AB5363">
        <v>16</v>
      </c>
      <c r="AC5363">
        <v>-3.1335999999999999</v>
      </c>
      <c r="AD5363">
        <v>-1.1099067489899901</v>
      </c>
      <c r="AE5363">
        <v>-17.1568</v>
      </c>
      <c r="AF5363">
        <v>3.25472032476867</v>
      </c>
      <c r="AG5363">
        <v>-1.1099067489899901</v>
      </c>
      <c r="AH5363">
        <v>17.062623822446199</v>
      </c>
      <c r="AI5363">
        <v>93.656053228956793</v>
      </c>
      <c r="AJ5363">
        <v>79.200483567576796</v>
      </c>
      <c r="AK5363">
        <v>17.405695306141201</v>
      </c>
      <c r="AL5363">
        <v>90.085520228559602</v>
      </c>
      <c r="AM5363">
        <v>83.919317587360396</v>
      </c>
      <c r="AN5363">
        <v>0.99999999249803795</v>
      </c>
    </row>
    <row r="5364" spans="1:40" x14ac:dyDescent="0.25">
      <c r="A5364" t="str">
        <f>"20190312154031197"</f>
        <v>20190312154031197</v>
      </c>
      <c r="B5364" t="str">
        <f>"1552376431191171"</f>
        <v>1552376431191171</v>
      </c>
      <c r="C5364" t="s">
        <v>40</v>
      </c>
      <c r="D5364">
        <v>4.084816</v>
      </c>
      <c r="E5364">
        <v>0.53161049999999999</v>
      </c>
      <c r="F5364" t="s">
        <v>55</v>
      </c>
      <c r="G5364">
        <v>-194.70820000000001</v>
      </c>
      <c r="H5364" s="1">
        <v>-1.466789E-5</v>
      </c>
      <c r="I5364">
        <v>158.38579999999999</v>
      </c>
      <c r="J5364">
        <v>-191.51429999999999</v>
      </c>
      <c r="K5364">
        <v>1.1098950000000001</v>
      </c>
      <c r="L5364">
        <v>175.76509999999999</v>
      </c>
      <c r="M5364">
        <v>7.3746059999999997E-3</v>
      </c>
      <c r="N5364">
        <v>0</v>
      </c>
      <c r="O5364">
        <v>-0.99988520000000003</v>
      </c>
      <c r="P5364">
        <v>-9.8614129999999994E-2</v>
      </c>
      <c r="Q5364">
        <v>-1.448432E-2</v>
      </c>
      <c r="R5364">
        <v>-0.99502029999999997</v>
      </c>
      <c r="S5364">
        <v>-0.54061890000000001</v>
      </c>
      <c r="T5364">
        <v>-0.18788179999999999</v>
      </c>
      <c r="U5364">
        <v>-2.9588009999999998</v>
      </c>
      <c r="V5364">
        <v>0.1059489</v>
      </c>
      <c r="W5364">
        <v>-1.414514E-3</v>
      </c>
      <c r="X5364">
        <v>0.99437059999999999</v>
      </c>
      <c r="Y5364">
        <v>0.1866408</v>
      </c>
      <c r="Z5364">
        <v>6.2298630000000001E-2</v>
      </c>
      <c r="AA5364">
        <v>0.98045099999999996</v>
      </c>
      <c r="AB5364">
        <v>16</v>
      </c>
      <c r="AC5364">
        <v>-3.19390000000001</v>
      </c>
      <c r="AD5364">
        <v>-1.10990966789</v>
      </c>
      <c r="AE5364">
        <v>-17.379300000000001</v>
      </c>
      <c r="AF5364">
        <v>3.3089349548696201</v>
      </c>
      <c r="AG5364">
        <v>-1.10990966789</v>
      </c>
      <c r="AH5364">
        <v>17.2870680195166</v>
      </c>
      <c r="AI5364">
        <v>93.608283515502904</v>
      </c>
      <c r="AJ5364">
        <v>79.164025663567699</v>
      </c>
      <c r="AK5364">
        <v>17.635863197411901</v>
      </c>
      <c r="AL5364">
        <v>90.081045706841095</v>
      </c>
      <c r="AM5364">
        <v>83.918154584657302</v>
      </c>
      <c r="AN5364">
        <v>1.0000000302027101</v>
      </c>
    </row>
    <row r="5365" spans="1:40" x14ac:dyDescent="0.25">
      <c r="A5365" t="str">
        <f>"20190312154031209"</f>
        <v>20190312154031209</v>
      </c>
      <c r="B5365" t="str">
        <f>"1552376431201907"</f>
        <v>1552376431201907</v>
      </c>
      <c r="C5365" t="s">
        <v>40</v>
      </c>
      <c r="D5365">
        <v>4.116295</v>
      </c>
      <c r="E5365">
        <v>0.53161639999999999</v>
      </c>
      <c r="F5365" t="s">
        <v>55</v>
      </c>
      <c r="G5365">
        <v>-194.78579999999999</v>
      </c>
      <c r="H5365" s="1">
        <v>-1.4561300000000001E-5</v>
      </c>
      <c r="I5365">
        <v>157.9622</v>
      </c>
      <c r="J5365">
        <v>-191.51410000000001</v>
      </c>
      <c r="K5365">
        <v>1.1098950000000001</v>
      </c>
      <c r="L5365">
        <v>175.67789999999999</v>
      </c>
      <c r="M5365">
        <v>6.9740619999999996E-3</v>
      </c>
      <c r="N5365">
        <v>0</v>
      </c>
      <c r="O5365">
        <v>-0.99988829999999995</v>
      </c>
      <c r="P5365">
        <v>-9.9225209999999994E-2</v>
      </c>
      <c r="Q5365">
        <v>-1.409841E-2</v>
      </c>
      <c r="R5365">
        <v>-0.99496530000000005</v>
      </c>
      <c r="S5365">
        <v>-0.54365540000000001</v>
      </c>
      <c r="T5365">
        <v>-0.1844422</v>
      </c>
      <c r="U5365">
        <v>-2.95845</v>
      </c>
      <c r="V5365">
        <v>0.10616159999999999</v>
      </c>
      <c r="W5365">
        <v>-1.0298919999999999E-3</v>
      </c>
      <c r="X5365">
        <v>0.99434829999999996</v>
      </c>
      <c r="Y5365">
        <v>0.18725420000000001</v>
      </c>
      <c r="Z5365">
        <v>6.116067E-2</v>
      </c>
      <c r="AA5365">
        <v>0.98040559999999999</v>
      </c>
      <c r="AB5365">
        <v>16</v>
      </c>
      <c r="AC5365">
        <v>-3.2716999999999801</v>
      </c>
      <c r="AD5365">
        <v>-1.1099095612999901</v>
      </c>
      <c r="AE5365">
        <v>-17.715699999999998</v>
      </c>
      <c r="AF5365">
        <v>3.3823431999814502</v>
      </c>
      <c r="AG5365">
        <v>-1.1099095612999901</v>
      </c>
      <c r="AH5365">
        <v>17.625548517496</v>
      </c>
      <c r="AI5365">
        <v>93.538848526864797</v>
      </c>
      <c r="AJ5365">
        <v>79.136999256471796</v>
      </c>
      <c r="AK5365">
        <v>17.9814377984445</v>
      </c>
      <c r="AL5365">
        <v>90.0590084786989</v>
      </c>
      <c r="AM5365">
        <v>83.905900987153998</v>
      </c>
      <c r="AN5365">
        <v>0.99999994385248903</v>
      </c>
    </row>
    <row r="5366" spans="1:40" x14ac:dyDescent="0.25">
      <c r="A5366" t="str">
        <f>"20190312154031225"</f>
        <v>20190312154031225</v>
      </c>
      <c r="B5366" t="str">
        <f>"1552376431221427"</f>
        <v>1552376431221427</v>
      </c>
      <c r="C5366" t="s">
        <v>40</v>
      </c>
      <c r="D5366">
        <v>4.0639149999999997</v>
      </c>
      <c r="E5366">
        <v>0.53156380000000003</v>
      </c>
      <c r="F5366" t="s">
        <v>55</v>
      </c>
      <c r="G5366">
        <v>-194.8295</v>
      </c>
      <c r="H5366" s="1">
        <v>-1.4494970000000001E-5</v>
      </c>
      <c r="I5366">
        <v>157.6986</v>
      </c>
      <c r="J5366">
        <v>-191.51390000000001</v>
      </c>
      <c r="K5366">
        <v>1.109899</v>
      </c>
      <c r="L5366">
        <v>175.56710000000001</v>
      </c>
      <c r="M5366">
        <v>6.4650799999999998E-3</v>
      </c>
      <c r="N5366">
        <v>0</v>
      </c>
      <c r="O5366">
        <v>-0.99989159999999999</v>
      </c>
      <c r="P5366">
        <v>-9.947773E-2</v>
      </c>
      <c r="Q5366">
        <v>-1.3826049999999999E-2</v>
      </c>
      <c r="R5366">
        <v>-0.99494380000000004</v>
      </c>
      <c r="S5366">
        <v>-0.54550169999999998</v>
      </c>
      <c r="T5366">
        <v>-0.18261720000000001</v>
      </c>
      <c r="U5366">
        <v>-2.9582060000000001</v>
      </c>
      <c r="V5366">
        <v>0.105908</v>
      </c>
      <c r="W5366">
        <v>-7.5801820000000002E-4</v>
      </c>
      <c r="X5366">
        <v>0.99437560000000003</v>
      </c>
      <c r="Y5366">
        <v>0.18736710000000001</v>
      </c>
      <c r="Z5366">
        <v>6.0558969999999997E-2</v>
      </c>
      <c r="AA5366">
        <v>0.9804214</v>
      </c>
      <c r="AB5366">
        <v>16</v>
      </c>
      <c r="AC5366">
        <v>-3.3155999999999799</v>
      </c>
      <c r="AD5366">
        <v>-1.10991349497</v>
      </c>
      <c r="AE5366">
        <v>-17.868500000000001</v>
      </c>
      <c r="AF5366">
        <v>3.4183120244950298</v>
      </c>
      <c r="AG5366">
        <v>-1.10991349497</v>
      </c>
      <c r="AH5366">
        <v>17.7803694880742</v>
      </c>
      <c r="AI5366">
        <v>93.507895846158704</v>
      </c>
      <c r="AJ5366">
        <v>79.117548776700104</v>
      </c>
      <c r="AK5366">
        <v>18.139964283194299</v>
      </c>
      <c r="AL5366">
        <v>90.043431249704</v>
      </c>
      <c r="AM5366">
        <v>83.920515145314099</v>
      </c>
      <c r="AN5366">
        <v>0.99999995646547402</v>
      </c>
    </row>
    <row r="5367" spans="1:40" x14ac:dyDescent="0.25">
      <c r="A5367" t="str">
        <f>"20190312154031238"</f>
        <v>20190312154031238</v>
      </c>
      <c r="B5367" t="str">
        <f>"1552376431231188"</f>
        <v>1552376431231188</v>
      </c>
      <c r="C5367" t="s">
        <v>40</v>
      </c>
      <c r="D5367">
        <v>4.0568280000000003</v>
      </c>
      <c r="E5367">
        <v>0.53153189999999995</v>
      </c>
      <c r="F5367" t="s">
        <v>55</v>
      </c>
      <c r="G5367">
        <v>-194.86269999999999</v>
      </c>
      <c r="H5367" s="1">
        <v>-1.442519E-5</v>
      </c>
      <c r="I5367">
        <v>157.4212</v>
      </c>
      <c r="J5367">
        <v>-191.5138</v>
      </c>
      <c r="K5367">
        <v>1.1099000000000001</v>
      </c>
      <c r="L5367">
        <v>175.4769</v>
      </c>
      <c r="M5367">
        <v>6.0503759999999997E-3</v>
      </c>
      <c r="N5367">
        <v>0</v>
      </c>
      <c r="O5367">
        <v>-0.99989450000000002</v>
      </c>
      <c r="P5367">
        <v>-9.9765870000000006E-2</v>
      </c>
      <c r="Q5367">
        <v>-1.3849409999999999E-2</v>
      </c>
      <c r="R5367">
        <v>-0.99491490000000005</v>
      </c>
      <c r="S5367">
        <v>-0.54591369999999995</v>
      </c>
      <c r="T5367">
        <v>-0.18093919999999999</v>
      </c>
      <c r="U5367">
        <v>-2.9581599999999999</v>
      </c>
      <c r="V5367">
        <v>0.10578360000000001</v>
      </c>
      <c r="W5367">
        <v>-7.8196389999999998E-4</v>
      </c>
      <c r="X5367">
        <v>0.99438890000000002</v>
      </c>
      <c r="Y5367">
        <v>0.1871005</v>
      </c>
      <c r="Z5367">
        <v>6.0006490000000003E-2</v>
      </c>
      <c r="AA5367">
        <v>0.98050630000000005</v>
      </c>
      <c r="AB5367">
        <v>16</v>
      </c>
      <c r="AC5367">
        <v>-3.34889999999998</v>
      </c>
      <c r="AD5367">
        <v>-1.1099144251899999</v>
      </c>
      <c r="AE5367">
        <v>-18.055700000000002</v>
      </c>
      <c r="AF5367">
        <v>3.4455052263227701</v>
      </c>
      <c r="AG5367">
        <v>-1.1099144251899999</v>
      </c>
      <c r="AH5367">
        <v>17.969461393534299</v>
      </c>
      <c r="AI5367">
        <v>93.471402892579903</v>
      </c>
      <c r="AJ5367">
        <v>79.145717452466002</v>
      </c>
      <c r="AK5367">
        <v>18.3304380490369</v>
      </c>
      <c r="AL5367">
        <v>90.044803234290299</v>
      </c>
      <c r="AM5367">
        <v>83.927683361668599</v>
      </c>
      <c r="AN5367">
        <v>1.00000003296985</v>
      </c>
    </row>
    <row r="5368" spans="1:40" x14ac:dyDescent="0.25">
      <c r="A5368" t="str">
        <f>"20190312154031249"</f>
        <v>20190312154031249</v>
      </c>
      <c r="B5368" t="str">
        <f>"1552376431241923"</f>
        <v>1552376431241923</v>
      </c>
      <c r="C5368" t="s">
        <v>40</v>
      </c>
      <c r="D5368">
        <v>4.0718300000000003</v>
      </c>
      <c r="E5368">
        <v>0.53152180000000004</v>
      </c>
      <c r="F5368" t="s">
        <v>55</v>
      </c>
      <c r="G5368">
        <v>-194.8724</v>
      </c>
      <c r="H5368" s="1">
        <v>-1.439483E-5</v>
      </c>
      <c r="I5368">
        <v>157.3006</v>
      </c>
      <c r="J5368">
        <v>-191.5138</v>
      </c>
      <c r="K5368">
        <v>1.1098980000000001</v>
      </c>
      <c r="L5368">
        <v>175.38650000000001</v>
      </c>
      <c r="M5368">
        <v>5.6353109999999996E-3</v>
      </c>
      <c r="N5368">
        <v>0</v>
      </c>
      <c r="O5368">
        <v>-0.99989689999999998</v>
      </c>
      <c r="P5368">
        <v>-0.1002123</v>
      </c>
      <c r="Q5368">
        <v>-1.3691480000000001E-2</v>
      </c>
      <c r="R5368">
        <v>-0.99487230000000004</v>
      </c>
      <c r="S5368">
        <v>-0.54658509999999905</v>
      </c>
      <c r="T5368">
        <v>-0.1806276</v>
      </c>
      <c r="U5368">
        <v>-2.958008</v>
      </c>
      <c r="V5368">
        <v>0.1058172</v>
      </c>
      <c r="W5368">
        <v>-6.2502140000000005E-4</v>
      </c>
      <c r="X5368">
        <v>0.99438539999999997</v>
      </c>
      <c r="Y5368">
        <v>0.1869181</v>
      </c>
      <c r="Z5368">
        <v>5.9906599999999997E-2</v>
      </c>
      <c r="AA5368">
        <v>0.98054719999999995</v>
      </c>
      <c r="AB5368">
        <v>16</v>
      </c>
      <c r="AC5368">
        <v>-3.3585999999999898</v>
      </c>
      <c r="AD5368">
        <v>-1.10991239483</v>
      </c>
      <c r="AE5368">
        <v>-18.085899999999999</v>
      </c>
      <c r="AF5368">
        <v>3.4479227213343302</v>
      </c>
      <c r="AG5368">
        <v>-1.10991239483</v>
      </c>
      <c r="AH5368">
        <v>18.001149414242899</v>
      </c>
      <c r="AI5368">
        <v>93.465430517383794</v>
      </c>
      <c r="AJ5368">
        <v>79.156949373145906</v>
      </c>
      <c r="AK5368">
        <v>18.361956781628301</v>
      </c>
      <c r="AL5368">
        <v>90.035811090760802</v>
      </c>
      <c r="AM5368">
        <v>83.925747811369504</v>
      </c>
      <c r="AN5368">
        <v>0.99999999710037502</v>
      </c>
    </row>
    <row r="5369" spans="1:40" x14ac:dyDescent="0.25">
      <c r="A5369" t="str">
        <f>"20190312154031262"</f>
        <v>20190312154031262</v>
      </c>
      <c r="B5369" t="str">
        <f>"1552376431251682"</f>
        <v>1552376431251682</v>
      </c>
      <c r="C5369" t="s">
        <v>40</v>
      </c>
      <c r="D5369">
        <v>4.0664480000000003</v>
      </c>
      <c r="E5369">
        <v>0.53149990000000003</v>
      </c>
      <c r="F5369" t="s">
        <v>55</v>
      </c>
      <c r="G5369">
        <v>-194.88800000000001</v>
      </c>
      <c r="H5369" s="1">
        <v>-1.43603399999999E-5</v>
      </c>
      <c r="I5369">
        <v>157.1635</v>
      </c>
      <c r="J5369">
        <v>-191.5137</v>
      </c>
      <c r="K5369">
        <v>1.109899</v>
      </c>
      <c r="L5369">
        <v>175.3057</v>
      </c>
      <c r="M5369">
        <v>5.2641060000000002E-3</v>
      </c>
      <c r="N5369">
        <v>0</v>
      </c>
      <c r="O5369">
        <v>-0.99989879999999998</v>
      </c>
      <c r="P5369">
        <v>-0.1005297</v>
      </c>
      <c r="Q5369">
        <v>-1.3244809999999999E-2</v>
      </c>
      <c r="R5369">
        <v>-0.99484600000000001</v>
      </c>
      <c r="S5369">
        <v>-0.5476837</v>
      </c>
      <c r="T5369">
        <v>-0.18015320000000001</v>
      </c>
      <c r="U5369">
        <v>-2.9578250000000001</v>
      </c>
      <c r="V5369">
        <v>0.1057656</v>
      </c>
      <c r="W5369">
        <v>-1.789893E-4</v>
      </c>
      <c r="X5369">
        <v>0.99439109999999997</v>
      </c>
      <c r="Y5369">
        <v>0.1869181</v>
      </c>
      <c r="Z5369">
        <v>5.9751659999999998E-2</v>
      </c>
      <c r="AA5369">
        <v>0.98055669999999995</v>
      </c>
      <c r="AB5369">
        <v>16</v>
      </c>
      <c r="AC5369">
        <v>-3.3742999999999999</v>
      </c>
      <c r="AD5369">
        <v>-1.10991336034</v>
      </c>
      <c r="AE5369">
        <v>-18.142199999999999</v>
      </c>
      <c r="AF5369">
        <v>3.4572568367766698</v>
      </c>
      <c r="AG5369">
        <v>-1.10991336034</v>
      </c>
      <c r="AH5369">
        <v>18.058853420401601</v>
      </c>
      <c r="AI5369">
        <v>93.454447748850896</v>
      </c>
      <c r="AJ5369">
        <v>79.162208701292798</v>
      </c>
      <c r="AK5369">
        <v>18.420280110857501</v>
      </c>
      <c r="AL5369">
        <v>90.0102553312461</v>
      </c>
      <c r="AM5369">
        <v>83.928722233208006</v>
      </c>
      <c r="AN5369">
        <v>1.0000000269698599</v>
      </c>
    </row>
    <row r="5370" spans="1:40" x14ac:dyDescent="0.25">
      <c r="A5370" t="str">
        <f>"20190312154031274"</f>
        <v>20190312154031274</v>
      </c>
      <c r="B5370" t="str">
        <f>"1552376431261444"</f>
        <v>1552376431261444</v>
      </c>
      <c r="C5370" t="s">
        <v>40</v>
      </c>
      <c r="D5370">
        <v>4.0561509999999998</v>
      </c>
      <c r="E5370">
        <v>0.53147009999999995</v>
      </c>
      <c r="F5370" t="s">
        <v>55</v>
      </c>
      <c r="G5370">
        <v>-194.91820000000001</v>
      </c>
      <c r="H5370" s="1">
        <v>-1.4273100000000001E-5</v>
      </c>
      <c r="I5370">
        <v>156.94880000000001</v>
      </c>
      <c r="J5370">
        <v>-191.5137</v>
      </c>
      <c r="K5370">
        <v>1.1099000000000001</v>
      </c>
      <c r="L5370">
        <v>175.2182</v>
      </c>
      <c r="M5370">
        <v>4.8620080000000001E-3</v>
      </c>
      <c r="N5370">
        <v>0</v>
      </c>
      <c r="O5370">
        <v>-0.99990089999999998</v>
      </c>
      <c r="P5370">
        <v>-0.1009186</v>
      </c>
      <c r="Q5370">
        <v>-1.3005279999999999E-2</v>
      </c>
      <c r="R5370">
        <v>-0.99480990000000002</v>
      </c>
      <c r="S5370">
        <v>-0.54853819999999998</v>
      </c>
      <c r="T5370">
        <v>-0.17883370000000001</v>
      </c>
      <c r="U5370">
        <v>-2.9577330000000002</v>
      </c>
      <c r="V5370">
        <v>0.10575469999999999</v>
      </c>
      <c r="W5370" s="1">
        <v>5.9790329999999998E-5</v>
      </c>
      <c r="X5370">
        <v>0.99439219999999895</v>
      </c>
      <c r="Y5370">
        <v>0.18680720000000001</v>
      </c>
      <c r="Z5370">
        <v>5.9316679999999997E-2</v>
      </c>
      <c r="AA5370">
        <v>0.98060420000000004</v>
      </c>
      <c r="AB5370">
        <v>16</v>
      </c>
      <c r="AC5370">
        <v>-3.4045000000000099</v>
      </c>
      <c r="AD5370">
        <v>-1.1099142731</v>
      </c>
      <c r="AE5370">
        <v>-18.269399999999901</v>
      </c>
      <c r="AF5370">
        <v>3.4808771374260501</v>
      </c>
      <c r="AG5370">
        <v>-1.1099142731</v>
      </c>
      <c r="AH5370">
        <v>18.187753898594099</v>
      </c>
      <c r="AI5370">
        <v>93.430063534268299</v>
      </c>
      <c r="AJ5370">
        <v>79.165420528397107</v>
      </c>
      <c r="AK5370">
        <v>18.551086416038</v>
      </c>
      <c r="AL5370">
        <v>89.996574266274905</v>
      </c>
      <c r="AM5370">
        <v>83.929349920250104</v>
      </c>
      <c r="AN5370">
        <v>0.99999995378390505</v>
      </c>
    </row>
    <row r="5371" spans="1:40" x14ac:dyDescent="0.25">
      <c r="A5371" t="str">
        <f>"20190312154031286"</f>
        <v>20190312154031286</v>
      </c>
      <c r="B5371" t="str">
        <f>"1552376431280963"</f>
        <v>1552376431280963</v>
      </c>
      <c r="C5371" t="s">
        <v>40</v>
      </c>
      <c r="D5371">
        <v>4.0580179999999997</v>
      </c>
      <c r="E5371">
        <v>0.53144099999999905</v>
      </c>
      <c r="F5371" t="s">
        <v>55</v>
      </c>
      <c r="G5371">
        <v>-194.9367</v>
      </c>
      <c r="H5371" s="1">
        <v>-1.420831E-5</v>
      </c>
      <c r="I5371">
        <v>156.79399999999899</v>
      </c>
      <c r="J5371">
        <v>-191.5138</v>
      </c>
      <c r="K5371">
        <v>1.1098939999999999</v>
      </c>
      <c r="L5371">
        <v>175.13059999999999</v>
      </c>
      <c r="M5371">
        <v>4.4592670000000003E-3</v>
      </c>
      <c r="N5371">
        <v>0</v>
      </c>
      <c r="O5371">
        <v>-0.99990279999999998</v>
      </c>
      <c r="P5371">
        <v>-0.1015901</v>
      </c>
      <c r="Q5371">
        <v>-1.2858690000000001E-2</v>
      </c>
      <c r="R5371">
        <v>-0.99474379999999996</v>
      </c>
      <c r="S5371">
        <v>-0.54946899999999999</v>
      </c>
      <c r="T5371">
        <v>-0.17816969999999999</v>
      </c>
      <c r="U5371">
        <v>-2.9575650000000002</v>
      </c>
      <c r="V5371">
        <v>0.10602549999999999</v>
      </c>
      <c r="W5371">
        <v>2.0534199999999999E-4</v>
      </c>
      <c r="X5371">
        <v>0.99436340000000001</v>
      </c>
      <c r="Y5371">
        <v>0.1867222</v>
      </c>
      <c r="Z5371">
        <v>5.9099470000000001E-2</v>
      </c>
      <c r="AA5371">
        <v>0.98063350000000005</v>
      </c>
      <c r="AB5371">
        <v>16</v>
      </c>
      <c r="AC5371">
        <v>-3.4228999999999901</v>
      </c>
      <c r="AD5371">
        <v>-1.10990820831</v>
      </c>
      <c r="AE5371">
        <v>-18.336600000000001</v>
      </c>
      <c r="AF5371">
        <v>3.4922765937067002</v>
      </c>
      <c r="AG5371">
        <v>-1.10990820831</v>
      </c>
      <c r="AH5371">
        <v>18.2565160608338</v>
      </c>
      <c r="AI5371">
        <v>93.417217117160007</v>
      </c>
      <c r="AJ5371">
        <v>79.170750936985499</v>
      </c>
      <c r="AK5371">
        <v>18.620640985672502</v>
      </c>
      <c r="AL5371">
        <v>89.988234770078606</v>
      </c>
      <c r="AM5371">
        <v>83.913746723188297</v>
      </c>
      <c r="AN5371">
        <v>1.0000000100375701</v>
      </c>
    </row>
    <row r="5372" spans="1:40" x14ac:dyDescent="0.25">
      <c r="A5372" t="str">
        <f>"20190312154031304"</f>
        <v>20190312154031304</v>
      </c>
      <c r="B5372" t="str">
        <f>"1552376431291699"</f>
        <v>1552376431291699</v>
      </c>
      <c r="C5372" t="s">
        <v>40</v>
      </c>
      <c r="D5372">
        <v>4.055974</v>
      </c>
      <c r="E5372">
        <v>0.53141949999999905</v>
      </c>
      <c r="F5372" t="s">
        <v>55</v>
      </c>
      <c r="G5372">
        <v>-194.95349999999999</v>
      </c>
      <c r="H5372" s="1">
        <v>-1.416182E-5</v>
      </c>
      <c r="I5372">
        <v>156.68209999999999</v>
      </c>
      <c r="J5372">
        <v>-191.51390000000001</v>
      </c>
      <c r="K5372">
        <v>1.1099019999999999</v>
      </c>
      <c r="L5372">
        <v>175.00659999999999</v>
      </c>
      <c r="M5372">
        <v>3.8894229999999999E-3</v>
      </c>
      <c r="N5372">
        <v>0</v>
      </c>
      <c r="O5372">
        <v>-0.99990520000000005</v>
      </c>
      <c r="P5372">
        <v>-0.1023694</v>
      </c>
      <c r="Q5372">
        <v>-1.2828839999999999E-2</v>
      </c>
      <c r="R5372">
        <v>-0.99466429999999995</v>
      </c>
      <c r="S5372">
        <v>-0.55137630000000004</v>
      </c>
      <c r="T5372">
        <v>-0.17791689999999999</v>
      </c>
      <c r="U5372">
        <v>-2.9572600000000002</v>
      </c>
      <c r="V5372">
        <v>0.10623779999999999</v>
      </c>
      <c r="W5372">
        <v>2.334754E-4</v>
      </c>
      <c r="X5372">
        <v>0.99434069999999997</v>
      </c>
      <c r="Y5372">
        <v>0.18679270000000001</v>
      </c>
      <c r="Z5372">
        <v>5.9018269999999998E-2</v>
      </c>
      <c r="AA5372">
        <v>0.98062499999999997</v>
      </c>
      <c r="AB5372">
        <v>16</v>
      </c>
      <c r="AC5372">
        <v>-3.43959999999998</v>
      </c>
      <c r="AD5372">
        <v>-1.10991616182</v>
      </c>
      <c r="AE5372">
        <v>-18.3245</v>
      </c>
      <c r="AF5372">
        <v>3.4984538593393602</v>
      </c>
      <c r="AG5372">
        <v>-1.10991616182</v>
      </c>
      <c r="AH5372">
        <v>18.246319542576</v>
      </c>
      <c r="AI5372">
        <v>93.418865977882604</v>
      </c>
      <c r="AJ5372">
        <v>79.146131715329702</v>
      </c>
      <c r="AK5372">
        <v>18.6118045912262</v>
      </c>
      <c r="AL5372">
        <v>89.986622844519502</v>
      </c>
      <c r="AM5372">
        <v>83.901513493079094</v>
      </c>
      <c r="AN5372">
        <v>0.99999997616804503</v>
      </c>
    </row>
    <row r="5373" spans="1:40" x14ac:dyDescent="0.25">
      <c r="A5373" t="str">
        <f>"20190312154031319"</f>
        <v>20190312154031319</v>
      </c>
      <c r="B5373" t="str">
        <f>"1552376431311218"</f>
        <v>1552376431311218</v>
      </c>
      <c r="C5373" t="s">
        <v>40</v>
      </c>
      <c r="D5373">
        <v>4.0305669999999996</v>
      </c>
      <c r="E5373">
        <v>0.53134289999999995</v>
      </c>
      <c r="F5373" t="s">
        <v>55</v>
      </c>
      <c r="G5373">
        <v>-194.96639999999999</v>
      </c>
      <c r="H5373" s="1">
        <v>-1.4108289999999999E-5</v>
      </c>
      <c r="I5373">
        <v>156.5547</v>
      </c>
      <c r="J5373">
        <v>-191.51410000000001</v>
      </c>
      <c r="K5373">
        <v>1.109904</v>
      </c>
      <c r="L5373">
        <v>174.90350000000001</v>
      </c>
      <c r="M5373">
        <v>3.4154290000000002E-3</v>
      </c>
      <c r="N5373">
        <v>0</v>
      </c>
      <c r="O5373">
        <v>-0.99990690000000004</v>
      </c>
      <c r="P5373">
        <v>-0.10281659999999999</v>
      </c>
      <c r="Q5373">
        <v>-1.299079E-2</v>
      </c>
      <c r="R5373">
        <v>-0.99461569999999999</v>
      </c>
      <c r="S5373">
        <v>-0.553253199999999</v>
      </c>
      <c r="T5373">
        <v>-0.17786089999999999</v>
      </c>
      <c r="U5373">
        <v>-2.9568629999999998</v>
      </c>
      <c r="V5373">
        <v>0.1062135</v>
      </c>
      <c r="W5373" s="1">
        <v>7.0560609999999896E-5</v>
      </c>
      <c r="X5373">
        <v>0.99434330000000004</v>
      </c>
      <c r="Y5373">
        <v>0.18695229999999999</v>
      </c>
      <c r="Z5373">
        <v>5.900333E-2</v>
      </c>
      <c r="AA5373">
        <v>0.98059549999999995</v>
      </c>
      <c r="AB5373">
        <v>16</v>
      </c>
      <c r="AC5373">
        <v>-3.4522999999999802</v>
      </c>
      <c r="AD5373">
        <v>-1.10991810829</v>
      </c>
      <c r="AE5373">
        <v>-18.348800000000001</v>
      </c>
      <c r="AF5373">
        <v>3.50257647961875</v>
      </c>
      <c r="AG5373">
        <v>-1.10991810829</v>
      </c>
      <c r="AH5373">
        <v>18.272327646021701</v>
      </c>
      <c r="AI5373">
        <v>93.414046973297005</v>
      </c>
      <c r="AJ5373">
        <v>79.148744995330802</v>
      </c>
      <c r="AK5373">
        <v>18.638077095190301</v>
      </c>
      <c r="AL5373">
        <v>89.995957174663502</v>
      </c>
      <c r="AM5373">
        <v>83.902913727428299</v>
      </c>
      <c r="AN5373">
        <v>0.99999995540796804</v>
      </c>
    </row>
    <row r="5374" spans="1:40" x14ac:dyDescent="0.25">
      <c r="A5374" t="str">
        <f>"20190312154031331"</f>
        <v>20190312154031331</v>
      </c>
      <c r="B5374" t="str">
        <f>"1552376431321957"</f>
        <v>1552376431321957</v>
      </c>
      <c r="C5374" t="s">
        <v>40</v>
      </c>
      <c r="D5374">
        <v>4.0347460000000002</v>
      </c>
      <c r="E5374">
        <v>0.53130599999999994</v>
      </c>
      <c r="F5374" t="s">
        <v>55</v>
      </c>
      <c r="G5374">
        <v>-194.97290000000001</v>
      </c>
      <c r="H5374" s="1">
        <v>-1.4062299999999999E-5</v>
      </c>
      <c r="I5374">
        <v>156.4461</v>
      </c>
      <c r="J5374">
        <v>-191.51429999999999</v>
      </c>
      <c r="K5374">
        <v>1.10991</v>
      </c>
      <c r="L5374">
        <v>174.8075</v>
      </c>
      <c r="M5374">
        <v>2.9737079999999998E-3</v>
      </c>
      <c r="N5374">
        <v>0</v>
      </c>
      <c r="O5374">
        <v>-0.99990829999999997</v>
      </c>
      <c r="P5374">
        <v>-0.1034278</v>
      </c>
      <c r="Q5374">
        <v>-1.296631E-2</v>
      </c>
      <c r="R5374">
        <v>-0.99455289999999996</v>
      </c>
      <c r="S5374">
        <v>-0.5540619</v>
      </c>
      <c r="T5374">
        <v>-0.1777956</v>
      </c>
      <c r="U5374">
        <v>-2.9566499999999998</v>
      </c>
      <c r="V5374">
        <v>0.1063852</v>
      </c>
      <c r="W5374" s="1">
        <v>9.5872669999999999E-5</v>
      </c>
      <c r="X5374">
        <v>0.99432500000000001</v>
      </c>
      <c r="Y5374">
        <v>0.1867906</v>
      </c>
      <c r="Z5374">
        <v>5.8985540000000003E-2</v>
      </c>
      <c r="AA5374">
        <v>0.98062740000000004</v>
      </c>
      <c r="AB5374">
        <v>16</v>
      </c>
      <c r="AC5374">
        <v>-3.4586000000000099</v>
      </c>
      <c r="AD5374">
        <v>-1.1099240623</v>
      </c>
      <c r="AE5374">
        <v>-18.3614</v>
      </c>
      <c r="AF5374">
        <v>3.5008369888946298</v>
      </c>
      <c r="AG5374">
        <v>-1.1099240623</v>
      </c>
      <c r="AH5374">
        <v>18.286502734361299</v>
      </c>
      <c r="AI5374">
        <v>93.411578299741393</v>
      </c>
      <c r="AJ5374">
        <v>79.1622144868183</v>
      </c>
      <c r="AK5374">
        <v>18.651648004953501</v>
      </c>
      <c r="AL5374">
        <v>89.994506900700202</v>
      </c>
      <c r="AM5374">
        <v>83.893020324276193</v>
      </c>
      <c r="AN5374">
        <v>1.0000000127977999</v>
      </c>
    </row>
    <row r="5375" spans="1:40" x14ac:dyDescent="0.25">
      <c r="A5375" t="str">
        <f>"20190312154031350"</f>
        <v>20190312154031350</v>
      </c>
      <c r="B5375" t="str">
        <f>"1552376431341475"</f>
        <v>1552376431341475</v>
      </c>
      <c r="C5375" t="s">
        <v>40</v>
      </c>
      <c r="D5375">
        <v>4.0234829999999997</v>
      </c>
      <c r="E5375">
        <v>0.53126439999999997</v>
      </c>
      <c r="F5375" t="s">
        <v>55</v>
      </c>
      <c r="G5375">
        <v>-194.98330000000001</v>
      </c>
      <c r="H5375" s="1">
        <v>-1.40211E-5</v>
      </c>
      <c r="I5375">
        <v>156.34790000000001</v>
      </c>
      <c r="J5375">
        <v>-191.5146</v>
      </c>
      <c r="K5375">
        <v>1.109885</v>
      </c>
      <c r="L5375">
        <v>174.6824</v>
      </c>
      <c r="M5375">
        <v>2.3930039999999998E-3</v>
      </c>
      <c r="N5375">
        <v>0</v>
      </c>
      <c r="O5375">
        <v>-0.99991180000000002</v>
      </c>
      <c r="P5375">
        <v>-0.10431319999999999</v>
      </c>
      <c r="Q5375">
        <v>-1.3042379999999999E-2</v>
      </c>
      <c r="R5375">
        <v>-0.99445919999999999</v>
      </c>
      <c r="S5375">
        <v>-0.55557250000000002</v>
      </c>
      <c r="T5375">
        <v>-0.17775729999999901</v>
      </c>
      <c r="U5375">
        <v>-2.9563449999999998</v>
      </c>
      <c r="V5375">
        <v>0.1066928</v>
      </c>
      <c r="W5375">
        <v>-1.3119809999999999E-4</v>
      </c>
      <c r="X5375">
        <v>0.99429199999999995</v>
      </c>
      <c r="Y5375">
        <v>0.18672250000000001</v>
      </c>
      <c r="Z5375">
        <v>5.8976609999999999E-2</v>
      </c>
      <c r="AA5375">
        <v>0.98064079999999998</v>
      </c>
      <c r="AB5375">
        <v>16</v>
      </c>
      <c r="AC5375">
        <v>-3.4687000000000099</v>
      </c>
      <c r="AD5375">
        <v>-1.1098990210999999</v>
      </c>
      <c r="AE5375">
        <v>-18.334499999999899</v>
      </c>
      <c r="AF5375">
        <v>3.5001847436798399</v>
      </c>
      <c r="AG5375">
        <v>-1.1098990210999999</v>
      </c>
      <c r="AH5375">
        <v>18.261537139328802</v>
      </c>
      <c r="AI5375">
        <v>93.4160120629479</v>
      </c>
      <c r="AJ5375">
        <v>79.1497234987296</v>
      </c>
      <c r="AK5375">
        <v>18.627047746973101</v>
      </c>
      <c r="AL5375">
        <v>90.007517097611895</v>
      </c>
      <c r="AM5375">
        <v>83.875295010056902</v>
      </c>
      <c r="AN5375">
        <v>0.99999997602438995</v>
      </c>
    </row>
    <row r="5376" spans="1:40" x14ac:dyDescent="0.25">
      <c r="A5376" t="str">
        <f>"20190312154031363"</f>
        <v>20190312154031363</v>
      </c>
      <c r="B5376" t="str">
        <f>"1552376431351234"</f>
        <v>1552376431351234</v>
      </c>
      <c r="C5376" t="s">
        <v>40</v>
      </c>
      <c r="D5376">
        <v>4.0177069999999997</v>
      </c>
      <c r="E5376">
        <v>0.53125199999999995</v>
      </c>
      <c r="F5376" t="s">
        <v>55</v>
      </c>
      <c r="G5376">
        <v>-194.99889999999999</v>
      </c>
      <c r="H5376" s="1">
        <v>-1.396774E-5</v>
      </c>
      <c r="I5376">
        <v>156.22030000000001</v>
      </c>
      <c r="J5376">
        <v>-191.51499999999999</v>
      </c>
      <c r="K5376">
        <v>1.109847</v>
      </c>
      <c r="L5376">
        <v>174.58690000000001</v>
      </c>
      <c r="M5376">
        <v>1.9465680000000001E-3</v>
      </c>
      <c r="N5376">
        <v>0</v>
      </c>
      <c r="O5376">
        <v>-0.99991509999999995</v>
      </c>
      <c r="P5376">
        <v>-0.1050176</v>
      </c>
      <c r="Q5376">
        <v>-1.25386E-2</v>
      </c>
      <c r="R5376">
        <v>-0.99439140000000004</v>
      </c>
      <c r="S5376">
        <v>-0.55784609999999901</v>
      </c>
      <c r="T5376">
        <v>-0.1777</v>
      </c>
      <c r="U5376">
        <v>-2.9558719999999998</v>
      </c>
      <c r="V5376">
        <v>0.1069534</v>
      </c>
      <c r="W5376">
        <v>1.929442E-4</v>
      </c>
      <c r="X5376">
        <v>0.99426400000000004</v>
      </c>
      <c r="Y5376">
        <v>0.18704100000000001</v>
      </c>
      <c r="Z5376">
        <v>5.8961060000000003E-2</v>
      </c>
      <c r="AA5376">
        <v>0.98058109999999998</v>
      </c>
      <c r="AB5376">
        <v>16</v>
      </c>
      <c r="AC5376">
        <v>-3.4839000000000002</v>
      </c>
      <c r="AD5376">
        <v>-1.10986096774</v>
      </c>
      <c r="AE5376">
        <v>-18.366599999999998</v>
      </c>
      <c r="AF5376">
        <v>3.5072859105876799</v>
      </c>
      <c r="AG5376">
        <v>-1.10986096774</v>
      </c>
      <c r="AH5376">
        <v>18.295296714862001</v>
      </c>
      <c r="AI5376">
        <v>93.409585217513296</v>
      </c>
      <c r="AJ5376">
        <v>79.147819000117906</v>
      </c>
      <c r="AK5376">
        <v>18.6614771042155</v>
      </c>
      <c r="AL5376">
        <v>89.988945111416797</v>
      </c>
      <c r="AM5376">
        <v>83.860277791166993</v>
      </c>
      <c r="AN5376">
        <v>0.99999998434751203</v>
      </c>
    </row>
    <row r="5377" spans="1:40" x14ac:dyDescent="0.25">
      <c r="A5377" t="str">
        <f>"20190312154031375"</f>
        <v>20190312154031375</v>
      </c>
      <c r="B5377" t="str">
        <f>"1552376431371732"</f>
        <v>1552376431371732</v>
      </c>
      <c r="C5377" t="s">
        <v>40</v>
      </c>
      <c r="D5377">
        <v>3.9902220000000002</v>
      </c>
      <c r="E5377">
        <v>0.53120900000000004</v>
      </c>
      <c r="F5377" t="s">
        <v>55</v>
      </c>
      <c r="G5377">
        <v>-195.04589999999999</v>
      </c>
      <c r="H5377" s="1">
        <v>-1.3857160000000001E-5</v>
      </c>
      <c r="I5377">
        <v>155.9529</v>
      </c>
      <c r="J5377">
        <v>-191.51519999999999</v>
      </c>
      <c r="K5377">
        <v>1.1098159999999999</v>
      </c>
      <c r="L5377">
        <v>174.4991</v>
      </c>
      <c r="M5377">
        <v>1.53574299999999E-3</v>
      </c>
      <c r="N5377">
        <v>0</v>
      </c>
      <c r="O5377">
        <v>-0.99991850000000004</v>
      </c>
      <c r="P5377">
        <v>-0.1053234</v>
      </c>
      <c r="Q5377">
        <v>-1.254911E-2</v>
      </c>
      <c r="R5377">
        <v>-0.9943594</v>
      </c>
      <c r="S5377">
        <v>-0.56004330000000002</v>
      </c>
      <c r="T5377">
        <v>-0.17603650000000001</v>
      </c>
      <c r="U5377">
        <v>-2.9555660000000001</v>
      </c>
      <c r="V5377">
        <v>0.1068505</v>
      </c>
      <c r="W5377" s="1">
        <v>-1.2925590000000001E-6</v>
      </c>
      <c r="X5377">
        <v>0.99427509999999997</v>
      </c>
      <c r="Y5377">
        <v>0.18736559999999999</v>
      </c>
      <c r="Z5377">
        <v>5.841118E-2</v>
      </c>
      <c r="AA5377">
        <v>0.98055199999999998</v>
      </c>
      <c r="AB5377">
        <v>16</v>
      </c>
      <c r="AC5377">
        <v>-3.5306999999999902</v>
      </c>
      <c r="AD5377">
        <v>-1.1098298571599901</v>
      </c>
      <c r="AE5377">
        <v>-18.546199999999999</v>
      </c>
      <c r="AF5377">
        <v>3.54692305698596</v>
      </c>
      <c r="AG5377">
        <v>-1.1098298571599901</v>
      </c>
      <c r="AH5377">
        <v>18.476903964302299</v>
      </c>
      <c r="AI5377">
        <v>93.375893654746605</v>
      </c>
      <c r="AJ5377">
        <v>79.133396204015696</v>
      </c>
      <c r="AK5377">
        <v>18.846972318918301</v>
      </c>
      <c r="AL5377">
        <v>90.000074058175301</v>
      </c>
      <c r="AM5377">
        <v>83.866207729701699</v>
      </c>
      <c r="AN5377">
        <v>1.0000000019159601</v>
      </c>
    </row>
    <row r="5378" spans="1:40" x14ac:dyDescent="0.25">
      <c r="A5378" t="str">
        <f>"20190312154031387"</f>
        <v>20190312154031387</v>
      </c>
      <c r="B5378" t="str">
        <f>"1552376431381820"</f>
        <v>1552376431381820</v>
      </c>
      <c r="C5378" t="s">
        <v>40</v>
      </c>
      <c r="D5378">
        <v>4.0545809999999998</v>
      </c>
      <c r="E5378">
        <v>0.53120900000000004</v>
      </c>
      <c r="F5378" t="s">
        <v>55</v>
      </c>
      <c r="G5378">
        <v>-195.05459999999999</v>
      </c>
      <c r="H5378" s="1">
        <v>-1.38090799999999E-5</v>
      </c>
      <c r="I5378">
        <v>155.839</v>
      </c>
      <c r="J5378">
        <v>-191.51560000000001</v>
      </c>
      <c r="K5378">
        <v>1.1098059999999901</v>
      </c>
      <c r="L5378">
        <v>174.41370000000001</v>
      </c>
      <c r="M5378">
        <v>1.1335480000000001E-3</v>
      </c>
      <c r="N5378">
        <v>0</v>
      </c>
      <c r="O5378">
        <v>-0.99992009999999998</v>
      </c>
      <c r="P5378">
        <v>-0.1059382</v>
      </c>
      <c r="Q5378">
        <v>-1.235261E-2</v>
      </c>
      <c r="R5378">
        <v>-0.99429630000000002</v>
      </c>
      <c r="S5378">
        <v>-0.56056209999999995</v>
      </c>
      <c r="T5378">
        <v>-0.17577670000000001</v>
      </c>
      <c r="U5378">
        <v>-2.9554290000000001</v>
      </c>
      <c r="V5378">
        <v>0.10706540000000001</v>
      </c>
      <c r="W5378" s="1">
        <v>9.5996659999999999E-5</v>
      </c>
      <c r="X5378">
        <v>0.99425200000000002</v>
      </c>
      <c r="Y5378">
        <v>0.18714600000000001</v>
      </c>
      <c r="Z5378">
        <v>5.8328270000000002E-2</v>
      </c>
      <c r="AA5378">
        <v>0.98059890000000005</v>
      </c>
      <c r="AB5378">
        <v>16</v>
      </c>
      <c r="AC5378">
        <v>-3.5389999999999802</v>
      </c>
      <c r="AD5378">
        <v>-1.10981980907999</v>
      </c>
      <c r="AE5378">
        <v>-18.5747</v>
      </c>
      <c r="AF5378">
        <v>3.5478328126070799</v>
      </c>
      <c r="AG5378">
        <v>-1.10981980907999</v>
      </c>
      <c r="AH5378">
        <v>18.506921797137199</v>
      </c>
      <c r="AI5378">
        <v>93.370563356856394</v>
      </c>
      <c r="AJ5378">
        <v>79.147886257767695</v>
      </c>
      <c r="AK5378">
        <v>18.876572042619099</v>
      </c>
      <c r="AL5378">
        <v>89.994499796659795</v>
      </c>
      <c r="AM5378">
        <v>83.853823936654905</v>
      </c>
      <c r="AN5378">
        <v>1.0000000242982501</v>
      </c>
    </row>
    <row r="5379" spans="1:40" x14ac:dyDescent="0.25">
      <c r="A5379" t="str">
        <f>"20190312154031403"</f>
        <v>20190312154031403</v>
      </c>
      <c r="B5379" t="str">
        <f>"1552376431391580"</f>
        <v>1552376431391580</v>
      </c>
      <c r="C5379" t="s">
        <v>40</v>
      </c>
      <c r="D5379">
        <v>4.0857539999999997</v>
      </c>
      <c r="E5379">
        <v>0.50840320000000006</v>
      </c>
      <c r="F5379" t="s">
        <v>55</v>
      </c>
      <c r="G5379">
        <v>-195.07749999999999</v>
      </c>
      <c r="H5379" s="1">
        <v>-1.3750170000000001E-5</v>
      </c>
      <c r="I5379">
        <v>155.6969</v>
      </c>
      <c r="J5379">
        <v>-191.51609999999999</v>
      </c>
      <c r="K5379">
        <v>1.1098170000000001</v>
      </c>
      <c r="L5379">
        <v>174.30090000000001</v>
      </c>
      <c r="M5379">
        <v>6.0380739999999996E-4</v>
      </c>
      <c r="N5379">
        <v>0</v>
      </c>
      <c r="O5379">
        <v>-0.99992159999999997</v>
      </c>
      <c r="P5379">
        <v>-0.10666109999999999</v>
      </c>
      <c r="Q5379">
        <v>-1.25519E-2</v>
      </c>
      <c r="R5379">
        <v>-0.9942164</v>
      </c>
      <c r="S5379">
        <v>-0.56236269999999999</v>
      </c>
      <c r="T5379">
        <v>-0.17522449999999901</v>
      </c>
      <c r="U5379">
        <v>-2.9551090000000002</v>
      </c>
      <c r="V5379">
        <v>0.1072613</v>
      </c>
      <c r="W5379">
        <v>-1.711955E-4</v>
      </c>
      <c r="X5379">
        <v>0.99423090000000003</v>
      </c>
      <c r="Y5379">
        <v>0.18722369999999999</v>
      </c>
      <c r="Z5379">
        <v>5.8148190000000002E-2</v>
      </c>
      <c r="AA5379">
        <v>0.98059479999999999</v>
      </c>
      <c r="AB5379">
        <v>16</v>
      </c>
      <c r="AC5379">
        <v>-3.5613999999999901</v>
      </c>
      <c r="AD5379">
        <v>-1.10983075017</v>
      </c>
      <c r="AE5379">
        <v>-18.603999999999999</v>
      </c>
      <c r="AF5379">
        <v>3.5604106713314398</v>
      </c>
      <c r="AG5379">
        <v>-1.10983075017</v>
      </c>
      <c r="AH5379">
        <v>18.538204897790699</v>
      </c>
      <c r="AI5379">
        <v>93.364701182862007</v>
      </c>
      <c r="AJ5379">
        <v>79.128269345382904</v>
      </c>
      <c r="AK5379">
        <v>18.9096083850255</v>
      </c>
      <c r="AL5379">
        <v>90.009808779187395</v>
      </c>
      <c r="AM5379">
        <v>83.842534775190799</v>
      </c>
      <c r="AN5379">
        <v>1.0000000491501899</v>
      </c>
    </row>
    <row r="5380" spans="1:40" x14ac:dyDescent="0.25">
      <c r="A5380" t="str">
        <f>"20190312154031416"</f>
        <v>20190312154031416</v>
      </c>
      <c r="B5380" t="str">
        <f>"1552376431411100"</f>
        <v>1552376431411100</v>
      </c>
      <c r="C5380" t="s">
        <v>40</v>
      </c>
      <c r="D5380">
        <v>4.0748540000000002</v>
      </c>
      <c r="E5380">
        <v>0.48608699999999999</v>
      </c>
      <c r="F5380" t="s">
        <v>55</v>
      </c>
      <c r="G5380">
        <v>-194.8784</v>
      </c>
      <c r="H5380" s="1">
        <v>-1.1211449999999999E-5</v>
      </c>
      <c r="I5380">
        <v>148.29320000000001</v>
      </c>
      <c r="J5380">
        <v>-191.51660000000001</v>
      </c>
      <c r="K5380">
        <v>1.109842</v>
      </c>
      <c r="L5380">
        <v>174.20509999999999</v>
      </c>
      <c r="M5380">
        <v>1.5681129999999999E-4</v>
      </c>
      <c r="N5380">
        <v>0</v>
      </c>
      <c r="O5380">
        <v>-0.99992170000000002</v>
      </c>
      <c r="P5380">
        <v>-0.1073143</v>
      </c>
      <c r="Q5380">
        <v>-1.2537799999999899E-2</v>
      </c>
      <c r="R5380">
        <v>-0.99414619999999998</v>
      </c>
      <c r="S5380">
        <v>-0.384552</v>
      </c>
      <c r="T5380">
        <v>-0.12693470000000001</v>
      </c>
      <c r="U5380">
        <v>-2.9745789999999999</v>
      </c>
      <c r="V5380">
        <v>0.1074702</v>
      </c>
      <c r="W5380">
        <v>-1.543901E-4</v>
      </c>
      <c r="X5380">
        <v>0.99420830000000004</v>
      </c>
      <c r="Y5380">
        <v>0.12825339999999999</v>
      </c>
      <c r="Z5380">
        <v>4.2282699999999999E-2</v>
      </c>
      <c r="AA5380">
        <v>0.99083969999999999</v>
      </c>
      <c r="AB5380">
        <v>16</v>
      </c>
      <c r="AC5380">
        <v>-3.3617999999999801</v>
      </c>
      <c r="AD5380">
        <v>-1.1098532114499999</v>
      </c>
      <c r="AE5380">
        <v>-25.9118999999999</v>
      </c>
      <c r="AF5380">
        <v>3.3598018216249899</v>
      </c>
      <c r="AG5380">
        <v>-1.1098532114499999</v>
      </c>
      <c r="AH5380">
        <v>25.864707524800099</v>
      </c>
      <c r="AI5380">
        <v>92.4366051569517</v>
      </c>
      <c r="AJ5380">
        <v>82.598773899305598</v>
      </c>
      <c r="AK5380">
        <v>26.105615062185599</v>
      </c>
      <c r="AL5380">
        <v>90.008845901112807</v>
      </c>
      <c r="AM5380">
        <v>83.830495846963203</v>
      </c>
      <c r="AN5380">
        <v>1.0000000057566101</v>
      </c>
    </row>
    <row r="5381" spans="1:40" x14ac:dyDescent="0.25">
      <c r="A5381" t="str">
        <f>"20190312154031430"</f>
        <v>20190312154031430</v>
      </c>
      <c r="B5381" t="str">
        <f>"1552376431421837"</f>
        <v>1552376431421837</v>
      </c>
      <c r="C5381" t="s">
        <v>40</v>
      </c>
      <c r="D5381">
        <v>4.0114580000000002</v>
      </c>
      <c r="E5381">
        <v>0.4782013</v>
      </c>
      <c r="F5381" t="s">
        <v>55</v>
      </c>
      <c r="G5381">
        <v>-193.34950000000001</v>
      </c>
      <c r="H5381" s="1">
        <v>-1.08690899999999E-5</v>
      </c>
      <c r="I5381">
        <v>148.02340000000001</v>
      </c>
      <c r="J5381">
        <v>-191.517</v>
      </c>
      <c r="K5381">
        <v>1.1098600000000001</v>
      </c>
      <c r="L5381">
        <v>174.1146</v>
      </c>
      <c r="M5381">
        <v>-2.625274E-4</v>
      </c>
      <c r="N5381">
        <v>0</v>
      </c>
      <c r="O5381">
        <v>-0.99992170000000002</v>
      </c>
      <c r="P5381">
        <v>-0.1075908</v>
      </c>
      <c r="Q5381">
        <v>-1.2364099999999999E-2</v>
      </c>
      <c r="R5381">
        <v>-0.99411859999999996</v>
      </c>
      <c r="S5381">
        <v>-0.20956420000000001</v>
      </c>
      <c r="T5381">
        <v>-0.12689329999999999</v>
      </c>
      <c r="U5381">
        <v>-2.993439</v>
      </c>
      <c r="V5381">
        <v>0.1073298</v>
      </c>
      <c r="W5381" s="1">
        <v>2.6753869999999999E-5</v>
      </c>
      <c r="X5381">
        <v>0.99422350000000004</v>
      </c>
      <c r="Y5381">
        <v>6.9512649999999995E-2</v>
      </c>
      <c r="Z5381">
        <v>4.2249599999999998E-2</v>
      </c>
      <c r="AA5381">
        <v>0.99668599999999996</v>
      </c>
      <c r="AB5381">
        <v>16</v>
      </c>
      <c r="AC5381">
        <v>-1.83250000000001</v>
      </c>
      <c r="AD5381">
        <v>-1.1098708690899901</v>
      </c>
      <c r="AE5381">
        <v>-26.091199999999901</v>
      </c>
      <c r="AF5381">
        <v>1.8223683704392</v>
      </c>
      <c r="AG5381">
        <v>-1.1098708690899901</v>
      </c>
      <c r="AH5381">
        <v>26.044783712457299</v>
      </c>
      <c r="AI5381">
        <v>92.434178357828301</v>
      </c>
      <c r="AJ5381">
        <v>85.9975050366358</v>
      </c>
      <c r="AK5381">
        <v>26.132041605131299</v>
      </c>
      <c r="AL5381">
        <v>89.998467116205006</v>
      </c>
      <c r="AM5381">
        <v>83.838587179285199</v>
      </c>
      <c r="AN5381">
        <v>1.0000000273180201</v>
      </c>
    </row>
    <row r="5382" spans="1:40" x14ac:dyDescent="0.25">
      <c r="A5382" t="str">
        <f>"20190312154031442"</f>
        <v>20190312154031442</v>
      </c>
      <c r="B5382" t="str">
        <f>"1552376431431595"</f>
        <v>1552376431431595</v>
      </c>
      <c r="C5382" t="s">
        <v>40</v>
      </c>
      <c r="D5382">
        <v>4.0265829999999996</v>
      </c>
      <c r="E5382">
        <v>0.47314119999999998</v>
      </c>
      <c r="F5382" t="s">
        <v>55</v>
      </c>
      <c r="G5382">
        <v>-192.69</v>
      </c>
      <c r="H5382" s="1">
        <v>-1.1456370000000001E-5</v>
      </c>
      <c r="I5382">
        <v>150.27869999999999</v>
      </c>
      <c r="J5382">
        <v>-191.51750000000001</v>
      </c>
      <c r="K5382">
        <v>1.1098699999999999</v>
      </c>
      <c r="L5382">
        <v>174.02670000000001</v>
      </c>
      <c r="M5382">
        <v>-6.7281019999999999E-4</v>
      </c>
      <c r="N5382">
        <v>0</v>
      </c>
      <c r="O5382">
        <v>-0.99992150000000002</v>
      </c>
      <c r="P5382">
        <v>-0.1079846</v>
      </c>
      <c r="Q5382">
        <v>-1.230709E-2</v>
      </c>
      <c r="R5382">
        <v>-0.99407650000000003</v>
      </c>
      <c r="S5382">
        <v>-0.14762879999999901</v>
      </c>
      <c r="T5382">
        <v>-0.13969139999999999</v>
      </c>
      <c r="U5382">
        <v>-3.0000460000000002</v>
      </c>
      <c r="V5382">
        <v>0.1073158</v>
      </c>
      <c r="W5382" s="1">
        <v>7.4429899999999997E-5</v>
      </c>
      <c r="X5382">
        <v>0.99422500000000003</v>
      </c>
      <c r="Y5382">
        <v>4.8424259999999997E-2</v>
      </c>
      <c r="Z5382">
        <v>4.645734E-2</v>
      </c>
      <c r="AA5382">
        <v>0.99774589999999996</v>
      </c>
      <c r="AB5382">
        <v>16</v>
      </c>
      <c r="AC5382">
        <v>-1.1724999999999799</v>
      </c>
      <c r="AD5382">
        <v>-1.1098814563699999</v>
      </c>
      <c r="AE5382">
        <v>-23.748000000000001</v>
      </c>
      <c r="AF5382">
        <v>1.15400609760444</v>
      </c>
      <c r="AG5382">
        <v>-1.1098814563699999</v>
      </c>
      <c r="AH5382">
        <v>23.697149309200299</v>
      </c>
      <c r="AI5382">
        <v>92.678380407440798</v>
      </c>
      <c r="AJ5382">
        <v>87.212007039391906</v>
      </c>
      <c r="AK5382">
        <v>23.751177914011599</v>
      </c>
      <c r="AL5382">
        <v>89.995735480935494</v>
      </c>
      <c r="AM5382">
        <v>83.839393910913799</v>
      </c>
      <c r="AN5382">
        <v>1.00000001854722</v>
      </c>
    </row>
    <row r="5383" spans="1:40" x14ac:dyDescent="0.25">
      <c r="A5383" t="str">
        <f>"20190312154031455"</f>
        <v>20190312154031455</v>
      </c>
      <c r="B5383" t="str">
        <f>"1552376431451116"</f>
        <v>1552376431451116</v>
      </c>
      <c r="C5383" t="s">
        <v>40</v>
      </c>
      <c r="D5383">
        <v>4.0170870000000001</v>
      </c>
      <c r="E5383">
        <v>0.4666862</v>
      </c>
      <c r="F5383" t="s">
        <v>55</v>
      </c>
      <c r="G5383">
        <v>-192.37970000000001</v>
      </c>
      <c r="H5383" s="1">
        <v>-1.136138E-5</v>
      </c>
      <c r="I5383">
        <v>150.18559999999999</v>
      </c>
      <c r="J5383">
        <v>-191.5181</v>
      </c>
      <c r="K5383">
        <v>1.1098699999999999</v>
      </c>
      <c r="L5383">
        <v>173.9316</v>
      </c>
      <c r="M5383">
        <v>-1.120284E-3</v>
      </c>
      <c r="N5383">
        <v>0</v>
      </c>
      <c r="O5383">
        <v>-0.99992170000000002</v>
      </c>
      <c r="P5383">
        <v>-0.1084783</v>
      </c>
      <c r="Q5383">
        <v>-1.2413159999999999E-2</v>
      </c>
      <c r="R5383">
        <v>-0.99402179999999996</v>
      </c>
      <c r="S5383">
        <v>-0.10864260000000001</v>
      </c>
      <c r="T5383">
        <v>-0.1398634</v>
      </c>
      <c r="U5383">
        <v>-3.0043639999999998</v>
      </c>
      <c r="V5383">
        <v>0.1073646</v>
      </c>
      <c r="W5383" s="1">
        <v>-6.9996689999999898E-5</v>
      </c>
      <c r="X5383">
        <v>0.99421970000000004</v>
      </c>
      <c r="Y5383">
        <v>3.4979259999999998E-2</v>
      </c>
      <c r="Z5383">
        <v>4.6473609999999999E-2</v>
      </c>
      <c r="AA5383">
        <v>0.9983069</v>
      </c>
      <c r="AB5383">
        <v>16</v>
      </c>
      <c r="AC5383">
        <v>-0.86160000000000903</v>
      </c>
      <c r="AD5383">
        <v>-1.10988136138</v>
      </c>
      <c r="AE5383">
        <v>-23.745999999999999</v>
      </c>
      <c r="AF5383">
        <v>0.83317736174777401</v>
      </c>
      <c r="AG5383">
        <v>-1.10988136138</v>
      </c>
      <c r="AH5383">
        <v>23.695253785985098</v>
      </c>
      <c r="AI5383">
        <v>92.680109874235598</v>
      </c>
      <c r="AJ5383">
        <v>87.986183752204695</v>
      </c>
      <c r="AK5383">
        <v>23.735860488608999</v>
      </c>
      <c r="AL5383">
        <v>90.004010514972094</v>
      </c>
      <c r="AM5383">
        <v>83.836581435635296</v>
      </c>
      <c r="AN5383">
        <v>0.99999998705039295</v>
      </c>
    </row>
    <row r="5384" spans="1:40" x14ac:dyDescent="0.25">
      <c r="A5384" t="str">
        <f>"20190312154031470"</f>
        <v>20190312154031470</v>
      </c>
      <c r="B5384" t="str">
        <f>"1552376431461852"</f>
        <v>1552376431461852</v>
      </c>
      <c r="C5384" t="s">
        <v>40</v>
      </c>
      <c r="D5384">
        <v>4.0150709999999998</v>
      </c>
      <c r="E5384">
        <v>0.46440920000000002</v>
      </c>
      <c r="F5384" t="s">
        <v>55</v>
      </c>
      <c r="G5384">
        <v>-191.9802</v>
      </c>
      <c r="H5384" s="1">
        <v>-1.1368610000000001E-5</v>
      </c>
      <c r="I5384">
        <v>150.36770000000001</v>
      </c>
      <c r="J5384">
        <v>-191.5188</v>
      </c>
      <c r="K5384">
        <v>1.109861</v>
      </c>
      <c r="L5384">
        <v>173.82339999999999</v>
      </c>
      <c r="M5384">
        <v>-1.6294289999999999E-3</v>
      </c>
      <c r="N5384">
        <v>0</v>
      </c>
      <c r="O5384">
        <v>-0.99992199999999998</v>
      </c>
      <c r="P5384">
        <v>-0.1090401</v>
      </c>
      <c r="Q5384">
        <v>-1.2209960000000001E-2</v>
      </c>
      <c r="R5384">
        <v>-0.99396280000000004</v>
      </c>
      <c r="S5384">
        <v>-5.9020999999999997E-2</v>
      </c>
      <c r="T5384">
        <v>-0.14176629999999901</v>
      </c>
      <c r="U5384">
        <v>-3.0098419999999999</v>
      </c>
      <c r="V5384">
        <v>0.1074203</v>
      </c>
      <c r="W5384" s="1">
        <v>6.6814010000000002E-5</v>
      </c>
      <c r="X5384">
        <v>0.99421369999999998</v>
      </c>
      <c r="Y5384">
        <v>1.7954589999999999E-2</v>
      </c>
      <c r="Z5384">
        <v>4.7040360000000003E-2</v>
      </c>
      <c r="AA5384">
        <v>0.99873160000000005</v>
      </c>
      <c r="AB5384">
        <v>16</v>
      </c>
      <c r="AC5384">
        <v>-0.46139999999999698</v>
      </c>
      <c r="AD5384">
        <v>-1.10987236861</v>
      </c>
      <c r="AE5384">
        <v>-23.455699999999901</v>
      </c>
      <c r="AF5384">
        <v>0.422232057564359</v>
      </c>
      <c r="AG5384">
        <v>-1.10987236861</v>
      </c>
      <c r="AH5384">
        <v>23.4040399375492</v>
      </c>
      <c r="AI5384">
        <v>92.714619981100896</v>
      </c>
      <c r="AJ5384">
        <v>88.966439521172802</v>
      </c>
      <c r="AK5384">
        <v>23.4341456422768</v>
      </c>
      <c r="AL5384">
        <v>89.996171839224402</v>
      </c>
      <c r="AM5384">
        <v>83.833371598542399</v>
      </c>
      <c r="AN5384">
        <v>1.0000000032919401</v>
      </c>
    </row>
    <row r="5385" spans="1:40" x14ac:dyDescent="0.25">
      <c r="A5385" t="str">
        <f>"20190312154031483"</f>
        <v>20190312154031483</v>
      </c>
      <c r="B5385" t="str">
        <f>"1552376431471612"</f>
        <v>1552376431471612</v>
      </c>
      <c r="C5385" t="s">
        <v>40</v>
      </c>
      <c r="D5385">
        <v>4.032165</v>
      </c>
      <c r="E5385">
        <v>0.462696</v>
      </c>
      <c r="F5385" t="s">
        <v>55</v>
      </c>
      <c r="G5385">
        <v>-191.8546</v>
      </c>
      <c r="H5385" s="1">
        <v>-1.1231860000000001E-5</v>
      </c>
      <c r="I5385">
        <v>150.10079999999999</v>
      </c>
      <c r="J5385">
        <v>-191.51949999999999</v>
      </c>
      <c r="K5385">
        <v>1.1098509999999999</v>
      </c>
      <c r="L5385">
        <v>173.73699999999999</v>
      </c>
      <c r="M5385">
        <v>-2.033693E-3</v>
      </c>
      <c r="N5385">
        <v>0</v>
      </c>
      <c r="O5385">
        <v>-0.99992170000000002</v>
      </c>
      <c r="P5385">
        <v>-0.1096713</v>
      </c>
      <c r="Q5385">
        <v>-1.202105E-2</v>
      </c>
      <c r="R5385">
        <v>-0.99389539999999998</v>
      </c>
      <c r="S5385">
        <v>-4.263306E-2</v>
      </c>
      <c r="T5385">
        <v>-0.14090920000000001</v>
      </c>
      <c r="U5385">
        <v>-3.0118100000000001</v>
      </c>
      <c r="V5385">
        <v>0.1076497</v>
      </c>
      <c r="W5385">
        <v>2.0772609999999999E-4</v>
      </c>
      <c r="X5385">
        <v>0.99418879999999998</v>
      </c>
      <c r="Y5385">
        <v>1.2104739999999999E-2</v>
      </c>
      <c r="Z5385">
        <v>4.6730250000000001E-2</v>
      </c>
      <c r="AA5385">
        <v>0.99883420000000001</v>
      </c>
      <c r="AB5385">
        <v>16</v>
      </c>
      <c r="AC5385">
        <v>-0.335100000000011</v>
      </c>
      <c r="AD5385">
        <v>-1.10986223186</v>
      </c>
      <c r="AE5385">
        <v>-23.636199999999999</v>
      </c>
      <c r="AF5385">
        <v>0.28639552999450602</v>
      </c>
      <c r="AG5385">
        <v>-1.10986223186</v>
      </c>
      <c r="AH5385">
        <v>23.584841615388601</v>
      </c>
      <c r="AI5385">
        <v>92.694055254438993</v>
      </c>
      <c r="AJ5385">
        <v>89.304279887746503</v>
      </c>
      <c r="AK5385">
        <v>23.6126781750033</v>
      </c>
      <c r="AL5385">
        <v>89.988098170322601</v>
      </c>
      <c r="AM5385">
        <v>83.820150745821493</v>
      </c>
      <c r="AN5385">
        <v>0.99999993555282896</v>
      </c>
    </row>
    <row r="5386" spans="1:40" x14ac:dyDescent="0.25">
      <c r="A5386" t="str">
        <f>"20190312154031495"</f>
        <v>20190312154031495</v>
      </c>
      <c r="B5386" t="str">
        <f>"1552376431491132"</f>
        <v>1552376431491132</v>
      </c>
      <c r="C5386" t="s">
        <v>40</v>
      </c>
      <c r="D5386">
        <v>4.0438980000000004</v>
      </c>
      <c r="E5386">
        <v>0.4598488</v>
      </c>
      <c r="F5386" t="s">
        <v>55</v>
      </c>
      <c r="G5386">
        <v>-191.7647</v>
      </c>
      <c r="H5386" s="1">
        <v>-1.1098819999999999E-5</v>
      </c>
      <c r="I5386">
        <v>149.8279</v>
      </c>
      <c r="J5386">
        <v>-191.52010000000001</v>
      </c>
      <c r="K5386">
        <v>1.1098460000000001</v>
      </c>
      <c r="L5386">
        <v>173.6506</v>
      </c>
      <c r="M5386">
        <v>-2.43457E-3</v>
      </c>
      <c r="N5386">
        <v>0</v>
      </c>
      <c r="O5386">
        <v>-0.99992099999999995</v>
      </c>
      <c r="P5386">
        <v>-0.110138</v>
      </c>
      <c r="Q5386">
        <v>-1.1629489999999999E-2</v>
      </c>
      <c r="R5386">
        <v>-0.99384830000000002</v>
      </c>
      <c r="S5386">
        <v>-3.091431E-2</v>
      </c>
      <c r="T5386">
        <v>-0.13987949999999999</v>
      </c>
      <c r="U5386">
        <v>-3.0133359999999998</v>
      </c>
      <c r="V5386">
        <v>0.1077182</v>
      </c>
      <c r="W5386">
        <v>5.5963200000000001E-4</v>
      </c>
      <c r="X5386">
        <v>0.99418130000000005</v>
      </c>
      <c r="Y5386">
        <v>7.8129319999999999E-3</v>
      </c>
      <c r="Z5386">
        <v>4.6368069999999997E-2</v>
      </c>
      <c r="AA5386">
        <v>0.9988939</v>
      </c>
      <c r="AB5386">
        <v>16</v>
      </c>
      <c r="AC5386">
        <v>-0.24459999999999099</v>
      </c>
      <c r="AD5386">
        <v>-1.1098570988199901</v>
      </c>
      <c r="AE5386">
        <v>-23.822700000000001</v>
      </c>
      <c r="AF5386">
        <v>0.186192752301755</v>
      </c>
      <c r="AG5386">
        <v>-1.1098570988199901</v>
      </c>
      <c r="AH5386">
        <v>23.771634941103901</v>
      </c>
      <c r="AI5386">
        <v>92.673019223751695</v>
      </c>
      <c r="AJ5386">
        <v>89.551236557390695</v>
      </c>
      <c r="AK5386">
        <v>23.7982578835914</v>
      </c>
      <c r="AL5386">
        <v>89.967935446342295</v>
      </c>
      <c r="AM5386">
        <v>83.816202532445899</v>
      </c>
      <c r="AN5386">
        <v>0.99999999053445199</v>
      </c>
    </row>
    <row r="5387" spans="1:40" x14ac:dyDescent="0.25">
      <c r="A5387" t="str">
        <f>"20190312154031508"</f>
        <v>20190312154031508</v>
      </c>
      <c r="B5387" t="str">
        <f>"1552376431501867"</f>
        <v>1552376431501867</v>
      </c>
      <c r="C5387" t="s">
        <v>40</v>
      </c>
      <c r="D5387">
        <v>3.9458030000000002</v>
      </c>
      <c r="E5387">
        <v>0.45887460000000002</v>
      </c>
      <c r="F5387" t="s">
        <v>55</v>
      </c>
      <c r="G5387">
        <v>-191.59870000000001</v>
      </c>
      <c r="H5387" s="1">
        <v>-1.095331E-5</v>
      </c>
      <c r="I5387">
        <v>149.5204</v>
      </c>
      <c r="J5387">
        <v>-191.52080000000001</v>
      </c>
      <c r="K5387">
        <v>1.1098490000000001</v>
      </c>
      <c r="L5387">
        <v>173.5624</v>
      </c>
      <c r="M5387">
        <v>-2.8439619999999998E-3</v>
      </c>
      <c r="N5387">
        <v>0</v>
      </c>
      <c r="O5387">
        <v>-0.99992049999999999</v>
      </c>
      <c r="P5387">
        <v>-0.1108869</v>
      </c>
      <c r="Q5387">
        <v>-1.1151339999999999E-2</v>
      </c>
      <c r="R5387">
        <v>-0.99377079999999995</v>
      </c>
      <c r="S5387">
        <v>-9.8266599999999992E-3</v>
      </c>
      <c r="T5387">
        <v>-0.13871229999999901</v>
      </c>
      <c r="U5387">
        <v>-3.015854</v>
      </c>
      <c r="V5387">
        <v>0.10806060000000001</v>
      </c>
      <c r="W5387">
        <v>1.019303E-3</v>
      </c>
      <c r="X5387">
        <v>0.99414380000000002</v>
      </c>
      <c r="Y5387">
        <v>4.107014E-4</v>
      </c>
      <c r="Z5387">
        <v>4.5945390000000003E-2</v>
      </c>
      <c r="AA5387">
        <v>0.9989439</v>
      </c>
      <c r="AB5387">
        <v>16</v>
      </c>
      <c r="AC5387">
        <v>-7.7899999999999595E-2</v>
      </c>
      <c r="AD5387">
        <v>-1.10985995331</v>
      </c>
      <c r="AE5387">
        <v>-24.041999999999899</v>
      </c>
      <c r="AF5387">
        <v>9.4997465887913506E-3</v>
      </c>
      <c r="AG5387">
        <v>-1.10985995331</v>
      </c>
      <c r="AH5387">
        <v>23.990998657296</v>
      </c>
      <c r="AI5387">
        <v>92.648700935155105</v>
      </c>
      <c r="AJ5387">
        <v>89.977312517694202</v>
      </c>
      <c r="AK5387">
        <v>24.016658717138899</v>
      </c>
      <c r="AL5387">
        <v>89.941598230739999</v>
      </c>
      <c r="AM5387">
        <v>83.796467153148996</v>
      </c>
      <c r="AN5387">
        <v>1.0000000136647</v>
      </c>
    </row>
    <row r="5388" spans="1:40" x14ac:dyDescent="0.25">
      <c r="A5388" t="str">
        <f>"20190312154031527"</f>
        <v>20190312154031527</v>
      </c>
      <c r="B5388" t="str">
        <f>"1552376431521387"</f>
        <v>1552376431521387</v>
      </c>
      <c r="C5388" t="s">
        <v>40</v>
      </c>
      <c r="D5388">
        <v>3.994081</v>
      </c>
      <c r="E5388">
        <v>0.45705370000000001</v>
      </c>
      <c r="F5388" t="s">
        <v>55</v>
      </c>
      <c r="G5388">
        <v>-191.55609999999999</v>
      </c>
      <c r="H5388" s="1">
        <v>-1.076431E-5</v>
      </c>
      <c r="I5388">
        <v>148.83240000000001</v>
      </c>
      <c r="J5388">
        <v>-191.52199999999999</v>
      </c>
      <c r="K5388">
        <v>1.109853</v>
      </c>
      <c r="L5388">
        <v>173.42500000000001</v>
      </c>
      <c r="M5388">
        <v>-3.483763E-3</v>
      </c>
      <c r="N5388">
        <v>0</v>
      </c>
      <c r="O5388">
        <v>-0.99991839999999999</v>
      </c>
      <c r="P5388">
        <v>-0.11156969999999999</v>
      </c>
      <c r="Q5388">
        <v>-1.1652239999999999E-2</v>
      </c>
      <c r="R5388">
        <v>-0.99368829999999997</v>
      </c>
      <c r="S5388">
        <v>-4.3029790000000002E-3</v>
      </c>
      <c r="T5388">
        <v>-0.1353917</v>
      </c>
      <c r="U5388">
        <v>-3.0168149999999998</v>
      </c>
      <c r="V5388">
        <v>0.1081073</v>
      </c>
      <c r="W5388">
        <v>5.0574940000000003E-4</v>
      </c>
      <c r="X5388">
        <v>0.99413910000000005</v>
      </c>
      <c r="Y5388">
        <v>-2.059136E-3</v>
      </c>
      <c r="Z5388">
        <v>4.4833400000000002E-2</v>
      </c>
      <c r="AA5388">
        <v>0.9989924</v>
      </c>
      <c r="AB5388">
        <v>16</v>
      </c>
      <c r="AC5388">
        <v>-3.4099999999966699E-2</v>
      </c>
      <c r="AD5388">
        <v>-1.10986376431</v>
      </c>
      <c r="AE5388">
        <v>-24.592600000000001</v>
      </c>
      <c r="AF5388">
        <v>-5.1476625465370102E-2</v>
      </c>
      <c r="AG5388">
        <v>-1.10986376431</v>
      </c>
      <c r="AH5388">
        <v>24.542583373393398</v>
      </c>
      <c r="AI5388">
        <v>92.589257781314402</v>
      </c>
      <c r="AJ5388">
        <v>90.120174352179205</v>
      </c>
      <c r="AK5388">
        <v>24.567719594180101</v>
      </c>
      <c r="AL5388">
        <v>89.971022692570003</v>
      </c>
      <c r="AM5388">
        <v>83.793778008386099</v>
      </c>
      <c r="AN5388">
        <v>0.99999999712227705</v>
      </c>
    </row>
    <row r="5389" spans="1:40" x14ac:dyDescent="0.25">
      <c r="A5389" t="str">
        <f>"20190312154031550"</f>
        <v>20190312154031550</v>
      </c>
      <c r="B5389" t="str">
        <f>"1552376431541884"</f>
        <v>1552376431541884</v>
      </c>
      <c r="C5389" t="s">
        <v>40</v>
      </c>
      <c r="D5389">
        <v>4.0132949999999896</v>
      </c>
      <c r="E5389">
        <v>0.45558300000000002</v>
      </c>
      <c r="F5389" t="s">
        <v>55</v>
      </c>
      <c r="G5389">
        <v>-191.45590000000001</v>
      </c>
      <c r="H5389" s="1">
        <v>-1.07442E-5</v>
      </c>
      <c r="I5389">
        <v>148.8235</v>
      </c>
      <c r="J5389">
        <v>-191.52350000000001</v>
      </c>
      <c r="K5389">
        <v>1.109855</v>
      </c>
      <c r="L5389">
        <v>173.2593</v>
      </c>
      <c r="M5389">
        <v>-4.2576109999999997E-3</v>
      </c>
      <c r="N5389">
        <v>0</v>
      </c>
      <c r="O5389">
        <v>-0.99991549999999996</v>
      </c>
      <c r="P5389">
        <v>-0.11225690000000001</v>
      </c>
      <c r="Q5389">
        <v>-1.306417E-2</v>
      </c>
      <c r="R5389">
        <v>-0.99359350000000002</v>
      </c>
      <c r="S5389">
        <v>8.1024169999999902E-3</v>
      </c>
      <c r="T5389">
        <v>-0.13617000000000001</v>
      </c>
      <c r="U5389">
        <v>-3.0183719999999998</v>
      </c>
      <c r="V5389">
        <v>0.1080247</v>
      </c>
      <c r="W5389">
        <v>-9.1908340000000004E-4</v>
      </c>
      <c r="X5389">
        <v>0.99414780000000003</v>
      </c>
      <c r="Y5389">
        <v>-6.9395230000000004E-3</v>
      </c>
      <c r="Z5389">
        <v>4.506665E-2</v>
      </c>
      <c r="AA5389">
        <v>0.99895990000000001</v>
      </c>
      <c r="AB5389">
        <v>16</v>
      </c>
      <c r="AC5389">
        <v>6.7599999999998703E-2</v>
      </c>
      <c r="AD5389">
        <v>-1.1098657441999999</v>
      </c>
      <c r="AE5389">
        <v>-24.4358</v>
      </c>
      <c r="AF5389">
        <v>-0.17129200347719101</v>
      </c>
      <c r="AG5389">
        <v>-1.1098657441999999</v>
      </c>
      <c r="AH5389">
        <v>24.384986138144399</v>
      </c>
      <c r="AI5389">
        <v>92.605915012115602</v>
      </c>
      <c r="AJ5389">
        <v>90.402466804325599</v>
      </c>
      <c r="AK5389">
        <v>24.4108314458582</v>
      </c>
      <c r="AL5389">
        <v>90.052659606496704</v>
      </c>
      <c r="AM5389">
        <v>83.798536793464393</v>
      </c>
      <c r="AN5389">
        <v>1.0000000143846099</v>
      </c>
    </row>
    <row r="5390" spans="1:40" x14ac:dyDescent="0.25">
      <c r="A5390" t="str">
        <f>"20190312154031563"</f>
        <v>20190312154031563</v>
      </c>
      <c r="B5390" t="str">
        <f>"1552376431551644"</f>
        <v>1552376431551644</v>
      </c>
      <c r="C5390" t="s">
        <v>40</v>
      </c>
      <c r="D5390">
        <v>4.0064950000000001</v>
      </c>
      <c r="E5390">
        <v>0.45491110000000001</v>
      </c>
      <c r="F5390" t="s">
        <v>55</v>
      </c>
      <c r="G5390">
        <v>-191.38579999999999</v>
      </c>
      <c r="H5390" s="1">
        <v>-1.091658E-5</v>
      </c>
      <c r="I5390">
        <v>149.52430000000001</v>
      </c>
      <c r="J5390">
        <v>-191.52430000000001</v>
      </c>
      <c r="K5390">
        <v>1.1098539999999999</v>
      </c>
      <c r="L5390">
        <v>173.1712</v>
      </c>
      <c r="M5390">
        <v>-4.6674029999999997E-3</v>
      </c>
      <c r="N5390">
        <v>0</v>
      </c>
      <c r="O5390">
        <v>-0.99991410000000003</v>
      </c>
      <c r="P5390">
        <v>-0.11251750000000001</v>
      </c>
      <c r="Q5390">
        <v>-1.332561E-2</v>
      </c>
      <c r="R5390">
        <v>-0.99356069999999996</v>
      </c>
      <c r="S5390">
        <v>1.7517089999999999E-2</v>
      </c>
      <c r="T5390">
        <v>-0.1411927</v>
      </c>
      <c r="U5390">
        <v>-3.0194700000000001</v>
      </c>
      <c r="V5390">
        <v>0.1078778</v>
      </c>
      <c r="W5390">
        <v>-1.191927E-3</v>
      </c>
      <c r="X5390">
        <v>0.99416349999999998</v>
      </c>
      <c r="Y5390">
        <v>-1.0462559999999999E-2</v>
      </c>
      <c r="Z5390">
        <v>4.6707279999999997E-2</v>
      </c>
      <c r="AA5390">
        <v>0.99885380000000001</v>
      </c>
      <c r="AB5390">
        <v>16</v>
      </c>
      <c r="AC5390">
        <v>0.138500000000021</v>
      </c>
      <c r="AD5390">
        <v>-1.1098649165799901</v>
      </c>
      <c r="AE5390">
        <v>-23.646899999999899</v>
      </c>
      <c r="AF5390">
        <v>-0.24832936002525499</v>
      </c>
      <c r="AG5390">
        <v>-1.1098649165799901</v>
      </c>
      <c r="AH5390">
        <v>23.594022771511401</v>
      </c>
      <c r="AI5390">
        <v>92.693064274335796</v>
      </c>
      <c r="AJ5390">
        <v>90.603021326273193</v>
      </c>
      <c r="AK5390">
        <v>23.621417784432499</v>
      </c>
      <c r="AL5390">
        <v>90.068292399167404</v>
      </c>
      <c r="AM5390">
        <v>83.807001468964899</v>
      </c>
      <c r="AN5390">
        <v>1.0000000525775301</v>
      </c>
    </row>
    <row r="5391" spans="1:40" x14ac:dyDescent="0.25">
      <c r="A5391" t="str">
        <f>"20190312154031575"</f>
        <v>20190312154031575</v>
      </c>
      <c r="B5391" t="str">
        <f>"1552376431571164"</f>
        <v>1552376431571164</v>
      </c>
      <c r="C5391" t="s">
        <v>40</v>
      </c>
      <c r="D5391">
        <v>4.0263849999999897</v>
      </c>
      <c r="E5391">
        <v>0.45366069999999997</v>
      </c>
      <c r="F5391" t="s">
        <v>55</v>
      </c>
      <c r="G5391">
        <v>-191.35210000000001</v>
      </c>
      <c r="H5391" s="1">
        <v>-1.0946570000000001E-5</v>
      </c>
      <c r="I5391">
        <v>149.64359999999999</v>
      </c>
      <c r="J5391">
        <v>-191.52520000000001</v>
      </c>
      <c r="K5391">
        <v>1.109856</v>
      </c>
      <c r="L5391">
        <v>173.0838</v>
      </c>
      <c r="M5391">
        <v>-5.0729130000000001E-3</v>
      </c>
      <c r="N5391">
        <v>0</v>
      </c>
      <c r="O5391">
        <v>-0.99991220000000003</v>
      </c>
      <c r="P5391">
        <v>-0.1128513</v>
      </c>
      <c r="Q5391">
        <v>-1.344035E-2</v>
      </c>
      <c r="R5391">
        <v>-0.99352130000000005</v>
      </c>
      <c r="S5391">
        <v>2.210999E-2</v>
      </c>
      <c r="T5391">
        <v>-0.14246329999999999</v>
      </c>
      <c r="U5391">
        <v>-3.020035</v>
      </c>
      <c r="V5391">
        <v>0.10780869999999999</v>
      </c>
      <c r="W5391">
        <v>-1.32135E-3</v>
      </c>
      <c r="X5391">
        <v>0.99417080000000002</v>
      </c>
      <c r="Y5391">
        <v>-1.238584E-2</v>
      </c>
      <c r="Z5391">
        <v>4.7117010000000001E-2</v>
      </c>
      <c r="AA5391">
        <v>0.99881260000000005</v>
      </c>
      <c r="AB5391">
        <v>16</v>
      </c>
      <c r="AC5391">
        <v>0.173100000000005</v>
      </c>
      <c r="AD5391">
        <v>-1.10986694657</v>
      </c>
      <c r="AE5391">
        <v>-23.440200000000001</v>
      </c>
      <c r="AF5391">
        <v>-0.29136360153642998</v>
      </c>
      <c r="AG5391">
        <v>-1.10986694657</v>
      </c>
      <c r="AH5391">
        <v>23.386592254616701</v>
      </c>
      <c r="AI5391">
        <v>92.716859828405106</v>
      </c>
      <c r="AJ5391">
        <v>90.713786807827802</v>
      </c>
      <c r="AK5391">
        <v>23.414726021696001</v>
      </c>
      <c r="AL5391">
        <v>90.075707798725503</v>
      </c>
      <c r="AM5391">
        <v>83.810982626714605</v>
      </c>
      <c r="AN5391">
        <v>1.0000000206670701</v>
      </c>
    </row>
    <row r="5392" spans="1:40" x14ac:dyDescent="0.25">
      <c r="A5392" t="str">
        <f>"20190312154031587"</f>
        <v>20190312154031587</v>
      </c>
      <c r="B5392" t="str">
        <f>"1552376431581900"</f>
        <v>1552376431581900</v>
      </c>
      <c r="C5392" t="s">
        <v>40</v>
      </c>
      <c r="D5392">
        <v>4.01309</v>
      </c>
      <c r="E5392">
        <v>0.45310089999999997</v>
      </c>
      <c r="F5392" t="s">
        <v>55</v>
      </c>
      <c r="G5392">
        <v>-191.285</v>
      </c>
      <c r="H5392" s="1">
        <v>-1.094036E-5</v>
      </c>
      <c r="I5392">
        <v>149.6568</v>
      </c>
      <c r="J5392">
        <v>-191.52610000000001</v>
      </c>
      <c r="K5392">
        <v>1.1098570000000001</v>
      </c>
      <c r="L5392">
        <v>172.99889999999999</v>
      </c>
      <c r="M5392">
        <v>-5.4651219999999898E-3</v>
      </c>
      <c r="N5392">
        <v>0</v>
      </c>
      <c r="O5392">
        <v>-0.99991030000000003</v>
      </c>
      <c r="P5392">
        <v>-0.11311300000000001</v>
      </c>
      <c r="Q5392">
        <v>-1.3537510000000001E-2</v>
      </c>
      <c r="R5392">
        <v>-0.99349030000000005</v>
      </c>
      <c r="S5392">
        <v>3.0975340000000001E-2</v>
      </c>
      <c r="T5392">
        <v>-0.14312920000000001</v>
      </c>
      <c r="U5392">
        <v>-3.0211489999999999</v>
      </c>
      <c r="V5392">
        <v>0.1076805</v>
      </c>
      <c r="W5392">
        <v>-1.4314989999999999E-3</v>
      </c>
      <c r="X5392">
        <v>0.99418450000000003</v>
      </c>
      <c r="Y5392">
        <v>-1.5705899999999998E-2</v>
      </c>
      <c r="Z5392">
        <v>4.7317449999999997E-2</v>
      </c>
      <c r="AA5392">
        <v>0.99875639999999999</v>
      </c>
      <c r="AB5392">
        <v>16</v>
      </c>
      <c r="AC5392">
        <v>0.241100000000017</v>
      </c>
      <c r="AD5392">
        <v>-1.10986794035999</v>
      </c>
      <c r="AE5392">
        <v>-23.342099999999899</v>
      </c>
      <c r="AF5392">
        <v>-0.36784183214383398</v>
      </c>
      <c r="AG5392">
        <v>-1.10986794035999</v>
      </c>
      <c r="AH5392">
        <v>23.287790125642399</v>
      </c>
      <c r="AI5392">
        <v>92.728243200691395</v>
      </c>
      <c r="AJ5392">
        <v>90.904939106534599</v>
      </c>
      <c r="AK5392">
        <v>23.317124252241801</v>
      </c>
      <c r="AL5392">
        <v>90.0820188807579</v>
      </c>
      <c r="AM5392">
        <v>83.818369767024805</v>
      </c>
      <c r="AN5392">
        <v>0.99999997965494303</v>
      </c>
    </row>
    <row r="5393" spans="1:40" x14ac:dyDescent="0.25">
      <c r="A5393" t="str">
        <f>"20190312154031599"</f>
        <v>20190312154031599</v>
      </c>
      <c r="B5393" t="str">
        <f>"1552376431591660"</f>
        <v>1552376431591660</v>
      </c>
      <c r="C5393" t="s">
        <v>40</v>
      </c>
      <c r="D5393">
        <v>4.1678300000000004</v>
      </c>
      <c r="E5393">
        <v>0.45257930000000002</v>
      </c>
      <c r="F5393" t="s">
        <v>55</v>
      </c>
      <c r="G5393">
        <v>-191.25960000000001</v>
      </c>
      <c r="H5393" s="1">
        <v>-1.0962629999999999E-5</v>
      </c>
      <c r="I5393">
        <v>149.7193</v>
      </c>
      <c r="J5393">
        <v>-191.52709999999999</v>
      </c>
      <c r="K5393">
        <v>1.109858</v>
      </c>
      <c r="L5393">
        <v>172.91059999999999</v>
      </c>
      <c r="M5393">
        <v>-5.8736489999999999E-3</v>
      </c>
      <c r="N5393">
        <v>0</v>
      </c>
      <c r="O5393">
        <v>-0.99990809999999997</v>
      </c>
      <c r="P5393">
        <v>-0.1134771</v>
      </c>
      <c r="Q5393">
        <v>-1.3101659999999999E-2</v>
      </c>
      <c r="R5393">
        <v>-0.99345430000000001</v>
      </c>
      <c r="S5393">
        <v>3.4591669999999998E-2</v>
      </c>
      <c r="T5393">
        <v>-0.1440573</v>
      </c>
      <c r="U5393">
        <v>-3.0216219999999998</v>
      </c>
      <c r="V5393">
        <v>0.1076389</v>
      </c>
      <c r="W5393">
        <v>-1.008094E-3</v>
      </c>
      <c r="X5393">
        <v>0.99418960000000001</v>
      </c>
      <c r="Y5393">
        <v>-1.7307820000000002E-2</v>
      </c>
      <c r="Z5393">
        <v>4.7615060000000001E-2</v>
      </c>
      <c r="AA5393">
        <v>0.99871580000000004</v>
      </c>
      <c r="AB5393">
        <v>16</v>
      </c>
      <c r="AC5393">
        <v>0.26749999999998397</v>
      </c>
      <c r="AD5393">
        <v>-1.10986896263</v>
      </c>
      <c r="AE5393">
        <v>-23.191299999999899</v>
      </c>
      <c r="AF5393">
        <v>-0.40280069668011098</v>
      </c>
      <c r="AG5393">
        <v>-1.10986896263</v>
      </c>
      <c r="AH5393">
        <v>23.136346342349199</v>
      </c>
      <c r="AI5393">
        <v>92.746003294984803</v>
      </c>
      <c r="AJ5393">
        <v>90.997411096576698</v>
      </c>
      <c r="AK5393">
        <v>23.166453755130298</v>
      </c>
      <c r="AL5393">
        <v>90.057759538164603</v>
      </c>
      <c r="AM5393">
        <v>83.820770878935306</v>
      </c>
      <c r="AN5393">
        <v>1.0000000548974399</v>
      </c>
    </row>
    <row r="5394" spans="1:40" x14ac:dyDescent="0.25">
      <c r="A5394" t="str">
        <f>"20190312154031611"</f>
        <v>20190312154031611</v>
      </c>
      <c r="B5394" t="str">
        <f>"1552376431601420"</f>
        <v>1552376431601420</v>
      </c>
      <c r="C5394" t="s">
        <v>40</v>
      </c>
      <c r="D5394">
        <v>3.971101</v>
      </c>
      <c r="E5394">
        <v>0.45229900000000001</v>
      </c>
      <c r="F5394" t="s">
        <v>55</v>
      </c>
      <c r="G5394">
        <v>-191.2347</v>
      </c>
      <c r="H5394" s="1">
        <v>-1.0869E-5</v>
      </c>
      <c r="I5394">
        <v>149.44550000000001</v>
      </c>
      <c r="J5394">
        <v>-191.52809999999999</v>
      </c>
      <c r="K5394">
        <v>1.109864</v>
      </c>
      <c r="L5394">
        <v>172.8263</v>
      </c>
      <c r="M5394">
        <v>-6.2668439999999997E-3</v>
      </c>
      <c r="N5394">
        <v>0</v>
      </c>
      <c r="O5394">
        <v>-0.99990579999999996</v>
      </c>
      <c r="P5394">
        <v>-0.1138229</v>
      </c>
      <c r="Q5394">
        <v>-1.2983160000000001E-2</v>
      </c>
      <c r="R5394">
        <v>-0.99341650000000004</v>
      </c>
      <c r="S5394">
        <v>3.7658690000000002E-2</v>
      </c>
      <c r="T5394">
        <v>-0.14294509999999999</v>
      </c>
      <c r="U5394">
        <v>-3.0221710000000002</v>
      </c>
      <c r="V5394">
        <v>0.1075941</v>
      </c>
      <c r="W5394">
        <v>-8.9763750000000002E-4</v>
      </c>
      <c r="X5394">
        <v>0.99419449999999998</v>
      </c>
      <c r="Y5394">
        <v>-1.8712510000000002E-2</v>
      </c>
      <c r="Z5394">
        <v>4.7238639999999998E-2</v>
      </c>
      <c r="AA5394">
        <v>0.99870840000000005</v>
      </c>
      <c r="AB5394">
        <v>16</v>
      </c>
      <c r="AC5394">
        <v>0.293399999999991</v>
      </c>
      <c r="AD5394">
        <v>-1.109874869</v>
      </c>
      <c r="AE5394">
        <v>-23.380799999999901</v>
      </c>
      <c r="AF5394">
        <v>-0.438940058429585</v>
      </c>
      <c r="AG5394">
        <v>-1.109874869</v>
      </c>
      <c r="AH5394">
        <v>23.3259486477167</v>
      </c>
      <c r="AI5394">
        <v>92.723661615065893</v>
      </c>
      <c r="AJ5394">
        <v>91.078045969677802</v>
      </c>
      <c r="AK5394">
        <v>23.356463150820701</v>
      </c>
      <c r="AL5394">
        <v>90.051430847191</v>
      </c>
      <c r="AM5394">
        <v>83.823353037186294</v>
      </c>
      <c r="AN5394">
        <v>0.99999999996906996</v>
      </c>
    </row>
    <row r="5395" spans="1:40" x14ac:dyDescent="0.25">
      <c r="A5395" t="str">
        <f>"20190312154031627"</f>
        <v>20190312154031627</v>
      </c>
      <c r="B5395" t="str">
        <f>"1552376431621915"</f>
        <v>1552376431621915</v>
      </c>
      <c r="C5395" t="s">
        <v>40</v>
      </c>
      <c r="D5395">
        <v>4.0170649999999997</v>
      </c>
      <c r="E5395">
        <v>0.45156370000000001</v>
      </c>
      <c r="F5395" t="s">
        <v>55</v>
      </c>
      <c r="G5395">
        <v>-191.22659999999999</v>
      </c>
      <c r="H5395" s="1">
        <v>-1.082376E-5</v>
      </c>
      <c r="I5395">
        <v>149.27940000000001</v>
      </c>
      <c r="J5395">
        <v>-191.52940000000001</v>
      </c>
      <c r="K5395">
        <v>1.1098600000000001</v>
      </c>
      <c r="L5395">
        <v>172.71709999999999</v>
      </c>
      <c r="M5395">
        <v>-6.783E-3</v>
      </c>
      <c r="N5395">
        <v>0</v>
      </c>
      <c r="O5395">
        <v>-0.99990270000000003</v>
      </c>
      <c r="P5395">
        <v>-0.1140195</v>
      </c>
      <c r="Q5395">
        <v>-1.262606E-2</v>
      </c>
      <c r="R5395">
        <v>-0.99339849999999996</v>
      </c>
      <c r="S5395">
        <v>3.8696290000000001E-2</v>
      </c>
      <c r="T5395">
        <v>-0.14246239999999999</v>
      </c>
      <c r="U5395">
        <v>-3.0224609999999998</v>
      </c>
      <c r="V5395">
        <v>0.10727780000000001</v>
      </c>
      <c r="W5395">
        <v>-5.4975830000000001E-4</v>
      </c>
      <c r="X5395">
        <v>0.99422900000000003</v>
      </c>
      <c r="Y5395">
        <v>-1.9570319999999999E-2</v>
      </c>
      <c r="Z5395">
        <v>4.7074230000000002E-2</v>
      </c>
      <c r="AA5395">
        <v>0.99869969999999997</v>
      </c>
      <c r="AB5395">
        <v>16</v>
      </c>
      <c r="AC5395">
        <v>0.302800000000019</v>
      </c>
      <c r="AD5395">
        <v>-1.1098708237599999</v>
      </c>
      <c r="AE5395">
        <v>-23.4376999999999</v>
      </c>
      <c r="AF5395">
        <v>-0.460749747008322</v>
      </c>
      <c r="AG5395">
        <v>-1.1098708237599999</v>
      </c>
      <c r="AH5395">
        <v>23.3826819017115</v>
      </c>
      <c r="AI5395">
        <v>92.717006902169402</v>
      </c>
      <c r="AJ5395">
        <v>91.128852546193798</v>
      </c>
      <c r="AK5395">
        <v>23.413541306078201</v>
      </c>
      <c r="AL5395">
        <v>90.031498829833495</v>
      </c>
      <c r="AM5395">
        <v>83.841583172097302</v>
      </c>
      <c r="AN5395">
        <v>1.0000000665240101</v>
      </c>
    </row>
    <row r="5396" spans="1:40" x14ac:dyDescent="0.25">
      <c r="A5396" t="str">
        <f>"20190312154031650"</f>
        <v>20190312154031650</v>
      </c>
      <c r="B5396" t="str">
        <f>"1552376431641436"</f>
        <v>1552376431641436</v>
      </c>
      <c r="C5396" t="s">
        <v>40</v>
      </c>
      <c r="D5396">
        <v>4.0423939999999998</v>
      </c>
      <c r="E5396">
        <v>0.45090760000000002</v>
      </c>
      <c r="F5396" t="s">
        <v>55</v>
      </c>
      <c r="G5396">
        <v>-191.18530000000001</v>
      </c>
      <c r="H5396" s="1">
        <v>-1.073781E-5</v>
      </c>
      <c r="I5396">
        <v>148.9813</v>
      </c>
      <c r="J5396">
        <v>-191.53129999999999</v>
      </c>
      <c r="K5396">
        <v>1.110028</v>
      </c>
      <c r="L5396">
        <v>172.5591</v>
      </c>
      <c r="M5396">
        <v>-7.5012179999999996E-3</v>
      </c>
      <c r="N5396">
        <v>0</v>
      </c>
      <c r="O5396">
        <v>-0.99988969999999999</v>
      </c>
      <c r="P5396">
        <v>-0.11378720000000001</v>
      </c>
      <c r="Q5396">
        <v>-1.339075E-2</v>
      </c>
      <c r="R5396">
        <v>-0.99341500000000005</v>
      </c>
      <c r="S5396">
        <v>4.3823239999999999E-2</v>
      </c>
      <c r="T5396">
        <v>-0.1413615</v>
      </c>
      <c r="U5396">
        <v>-3.0231780000000001</v>
      </c>
      <c r="V5396">
        <v>0.1063311</v>
      </c>
      <c r="W5396">
        <v>-7.2152710000000005E-4</v>
      </c>
      <c r="X5396">
        <v>0.99433050000000001</v>
      </c>
      <c r="Y5396">
        <v>-2.197905E-2</v>
      </c>
      <c r="Z5396">
        <v>4.6698129999999997E-2</v>
      </c>
      <c r="AA5396">
        <v>0.99866719999999998</v>
      </c>
      <c r="AB5396">
        <v>16</v>
      </c>
      <c r="AC5396">
        <v>0.34599999999997499</v>
      </c>
      <c r="AD5396">
        <v>-1.1100387378100001</v>
      </c>
      <c r="AE5396">
        <v>-23.5778</v>
      </c>
      <c r="AF5396">
        <v>-0.52171088589925196</v>
      </c>
      <c r="AG5396">
        <v>-1.1100387378100001</v>
      </c>
      <c r="AH5396">
        <v>23.522414462580699</v>
      </c>
      <c r="AI5396">
        <v>92.701159065391295</v>
      </c>
      <c r="AJ5396">
        <v>91.270572453405805</v>
      </c>
      <c r="AK5396">
        <v>23.5543700912873</v>
      </c>
      <c r="AL5396">
        <v>90.041340461910394</v>
      </c>
      <c r="AM5396">
        <v>83.896135960806006</v>
      </c>
      <c r="AN5396">
        <v>0.99999998332940698</v>
      </c>
    </row>
    <row r="5397" spans="1:40" x14ac:dyDescent="0.25">
      <c r="A5397" t="str">
        <f>"20190312154031671"</f>
        <v>20190312154031671</v>
      </c>
      <c r="B5397" t="str">
        <f>"1552376431660960"</f>
        <v>1552376431660960</v>
      </c>
      <c r="C5397" t="s">
        <v>40</v>
      </c>
      <c r="D5397">
        <v>4.0386790000000001</v>
      </c>
      <c r="E5397">
        <v>0.45021679999999997</v>
      </c>
      <c r="F5397" t="s">
        <v>55</v>
      </c>
      <c r="G5397">
        <v>-191.15049999999999</v>
      </c>
      <c r="H5397" s="1">
        <v>-1.08498399999999E-5</v>
      </c>
      <c r="I5397">
        <v>149.42949999999999</v>
      </c>
      <c r="J5397">
        <v>-191.53319999999999</v>
      </c>
      <c r="K5397">
        <v>1.1104130000000001</v>
      </c>
      <c r="L5397">
        <v>172.41099999999901</v>
      </c>
      <c r="M5397">
        <v>-8.1242569999999993E-3</v>
      </c>
      <c r="N5397">
        <v>0</v>
      </c>
      <c r="O5397">
        <v>-0.99986660000000005</v>
      </c>
      <c r="P5397">
        <v>-0.1138776</v>
      </c>
      <c r="Q5397">
        <v>-1.5030170000000001E-2</v>
      </c>
      <c r="R5397">
        <v>-0.99338139999999997</v>
      </c>
      <c r="S5397">
        <v>4.9789430000000003E-2</v>
      </c>
      <c r="T5397">
        <v>-0.14511180000000001</v>
      </c>
      <c r="U5397">
        <v>-3.0236510000000001</v>
      </c>
      <c r="V5397">
        <v>0.10580199999999999</v>
      </c>
      <c r="W5397">
        <v>-9.786682000000001E-4</v>
      </c>
      <c r="X5397">
        <v>0.99438669999999996</v>
      </c>
      <c r="Y5397">
        <v>-2.4568929999999999E-2</v>
      </c>
      <c r="Z5397">
        <v>4.7924219999999997E-2</v>
      </c>
      <c r="AA5397">
        <v>0.99854869999999996</v>
      </c>
      <c r="AB5397">
        <v>16</v>
      </c>
      <c r="AC5397">
        <v>0.38269999999999899</v>
      </c>
      <c r="AD5397">
        <v>-1.1104238498400001</v>
      </c>
      <c r="AE5397">
        <v>-22.981499999999901</v>
      </c>
      <c r="AF5397">
        <v>-0.56808781041640399</v>
      </c>
      <c r="AG5397">
        <v>-1.1104238498400001</v>
      </c>
      <c r="AH5397">
        <v>22.924127082226899</v>
      </c>
      <c r="AI5397">
        <v>92.772338011558404</v>
      </c>
      <c r="AJ5397">
        <v>91.419568709600696</v>
      </c>
      <c r="AK5397">
        <v>22.9580349195816</v>
      </c>
      <c r="AL5397">
        <v>90.056073568313593</v>
      </c>
      <c r="AM5397">
        <v>83.926621699851196</v>
      </c>
      <c r="AN5397">
        <v>0.99999996506616695</v>
      </c>
    </row>
    <row r="5398" spans="1:40" x14ac:dyDescent="0.25">
      <c r="A5398" t="str">
        <f>"20190312154031693"</f>
        <v>20190312154031693</v>
      </c>
      <c r="B5398" t="str">
        <f>"1552376431681874"</f>
        <v>1552376431681874</v>
      </c>
      <c r="C5398" t="s">
        <v>40</v>
      </c>
      <c r="D5398">
        <v>3.9939010000000001</v>
      </c>
      <c r="E5398">
        <v>0.44966070000000002</v>
      </c>
      <c r="F5398" t="s">
        <v>55</v>
      </c>
      <c r="G5398">
        <v>-191.13030000000001</v>
      </c>
      <c r="H5398" s="1">
        <v>-1.115029E-5</v>
      </c>
      <c r="I5398">
        <v>150.21019999999999</v>
      </c>
      <c r="J5398">
        <v>-191.5351</v>
      </c>
      <c r="K5398">
        <v>1.1108209999999901</v>
      </c>
      <c r="L5398">
        <v>172.267</v>
      </c>
      <c r="M5398">
        <v>-8.6929219999999901E-3</v>
      </c>
      <c r="N5398">
        <v>0</v>
      </c>
      <c r="O5398">
        <v>-0.99983650000000002</v>
      </c>
      <c r="P5398">
        <v>-0.1136973</v>
      </c>
      <c r="Q5398">
        <v>-1.6644989999999998E-2</v>
      </c>
      <c r="R5398">
        <v>-0.99337629999999999</v>
      </c>
      <c r="S5398">
        <v>5.4885860000000002E-2</v>
      </c>
      <c r="T5398">
        <v>-0.15125169999999999</v>
      </c>
      <c r="U5398">
        <v>-3.023987</v>
      </c>
      <c r="V5398">
        <v>0.1050562</v>
      </c>
      <c r="W5398">
        <v>-9.0813150000000002E-4</v>
      </c>
      <c r="X5398">
        <v>0.99446590000000001</v>
      </c>
      <c r="Y5398">
        <v>-2.6816429999999999E-2</v>
      </c>
      <c r="Z5398">
        <v>4.9938940000000001E-2</v>
      </c>
      <c r="AA5398">
        <v>0.99839219999999895</v>
      </c>
      <c r="AB5398">
        <v>15</v>
      </c>
      <c r="AC5398">
        <v>0.404799999999994</v>
      </c>
      <c r="AD5398">
        <v>-1.1108321502899901</v>
      </c>
      <c r="AE5398">
        <v>-22.056799999999999</v>
      </c>
      <c r="AF5398">
        <v>-0.59503812360471997</v>
      </c>
      <c r="AG5398">
        <v>-1.1108321502899901</v>
      </c>
      <c r="AH5398">
        <v>21.996674230833399</v>
      </c>
      <c r="AI5398">
        <v>92.889925827507696</v>
      </c>
      <c r="AJ5398">
        <v>91.549546094345402</v>
      </c>
      <c r="AK5398">
        <v>22.032741446585099</v>
      </c>
      <c r="AL5398">
        <v>90.0520321078845</v>
      </c>
      <c r="AM5398">
        <v>83.969593182870696</v>
      </c>
      <c r="AN5398">
        <v>1.00000002806203</v>
      </c>
    </row>
    <row r="5399" spans="1:40" x14ac:dyDescent="0.25">
      <c r="A5399" t="str">
        <f>"20190312154031716"</f>
        <v>20190312154031716</v>
      </c>
      <c r="B5399" t="str">
        <f>"1552376431711124"</f>
        <v>1552376431711124</v>
      </c>
      <c r="C5399" t="s">
        <v>40</v>
      </c>
      <c r="D5399">
        <v>4.0258219999999998</v>
      </c>
      <c r="E5399">
        <v>0.44926709999999898</v>
      </c>
      <c r="F5399" t="s">
        <v>55</v>
      </c>
      <c r="G5399">
        <v>-191.1104</v>
      </c>
      <c r="H5399" s="1">
        <v>-1.1389730000000001E-5</v>
      </c>
      <c r="I5399">
        <v>150.7766</v>
      </c>
      <c r="J5399">
        <v>-191.53710000000001</v>
      </c>
      <c r="K5399">
        <v>1.1112029999999999</v>
      </c>
      <c r="L5399">
        <v>172.11539999999999</v>
      </c>
      <c r="M5399">
        <v>-9.2341699999999999E-3</v>
      </c>
      <c r="N5399">
        <v>0</v>
      </c>
      <c r="O5399">
        <v>-0.99979949999999995</v>
      </c>
      <c r="P5399">
        <v>-0.11374579999999999</v>
      </c>
      <c r="Q5399">
        <v>-1.8140509999999999E-2</v>
      </c>
      <c r="R5399">
        <v>-0.99334429999999996</v>
      </c>
      <c r="S5399">
        <v>5.9768679999999998E-2</v>
      </c>
      <c r="T5399">
        <v>-0.15632209999999999</v>
      </c>
      <c r="U5399">
        <v>-3.0242460000000002</v>
      </c>
      <c r="V5399">
        <v>0.1045667</v>
      </c>
      <c r="W5399">
        <v>-5.0060649999999996E-4</v>
      </c>
      <c r="X5399">
        <v>0.99451769999999995</v>
      </c>
      <c r="Y5399">
        <v>-2.8965959999999999E-2</v>
      </c>
      <c r="Z5399">
        <v>5.1601550000000003E-2</v>
      </c>
      <c r="AA5399">
        <v>0.99824760000000001</v>
      </c>
      <c r="AB5399">
        <v>15</v>
      </c>
      <c r="AC5399">
        <v>0.42670000000001002</v>
      </c>
      <c r="AD5399">
        <v>-1.11121438973</v>
      </c>
      <c r="AE5399">
        <v>-21.3387999999999</v>
      </c>
      <c r="AF5399">
        <v>-0.62207276326522198</v>
      </c>
      <c r="AG5399">
        <v>-1.11121438973</v>
      </c>
      <c r="AH5399">
        <v>21.276275386173101</v>
      </c>
      <c r="AI5399">
        <v>92.988444927724004</v>
      </c>
      <c r="AJ5399">
        <v>91.674728879294705</v>
      </c>
      <c r="AK5399">
        <v>21.314353526462298</v>
      </c>
      <c r="AL5399">
        <v>90.028682642264997</v>
      </c>
      <c r="AM5399">
        <v>83.997796071451006</v>
      </c>
      <c r="AN5399">
        <v>0.99999995048452195</v>
      </c>
    </row>
    <row r="5400" spans="1:40" x14ac:dyDescent="0.25">
      <c r="A5400" t="str">
        <f>"20190312154031740"</f>
        <v>20190312154031740</v>
      </c>
      <c r="B5400" t="str">
        <f>"1552376431731621"</f>
        <v>1552376431731621</v>
      </c>
      <c r="C5400" t="s">
        <v>40</v>
      </c>
      <c r="D5400">
        <v>4.281765</v>
      </c>
      <c r="E5400">
        <v>0.48410720000000002</v>
      </c>
      <c r="F5400" t="s">
        <v>55</v>
      </c>
      <c r="G5400">
        <v>-191.10059999999999</v>
      </c>
      <c r="H5400" s="1">
        <v>-1.1501900000000001E-5</v>
      </c>
      <c r="I5400">
        <v>151.0421</v>
      </c>
      <c r="J5400">
        <v>-191.53899999999999</v>
      </c>
      <c r="K5400">
        <v>1.1114889999999999</v>
      </c>
      <c r="L5400">
        <v>171.97489999999999</v>
      </c>
      <c r="M5400">
        <v>-9.7106029999999999E-3</v>
      </c>
      <c r="N5400">
        <v>0</v>
      </c>
      <c r="O5400">
        <v>-0.99976129999999996</v>
      </c>
      <c r="P5400">
        <v>-0.11458939999999999</v>
      </c>
      <c r="Q5400">
        <v>-1.8284600000000002E-2</v>
      </c>
      <c r="R5400">
        <v>-0.99324489999999999</v>
      </c>
      <c r="S5400">
        <v>6.2637330000000005E-2</v>
      </c>
      <c r="T5400">
        <v>-0.15947829999999999</v>
      </c>
      <c r="U5400">
        <v>-3.024384</v>
      </c>
      <c r="V5400">
        <v>0.1049375</v>
      </c>
      <c r="W5400">
        <v>1.1571089999999999E-3</v>
      </c>
      <c r="X5400">
        <v>0.99447819999999998</v>
      </c>
      <c r="Y5400">
        <v>-3.0387029999999999E-2</v>
      </c>
      <c r="Z5400">
        <v>5.2636179999999998E-2</v>
      </c>
      <c r="AA5400">
        <v>0.99815129999999996</v>
      </c>
      <c r="AB5400">
        <v>15</v>
      </c>
      <c r="AC5400">
        <v>0.43840000000002899</v>
      </c>
      <c r="AD5400">
        <v>-1.1115005018999999</v>
      </c>
      <c r="AE5400">
        <v>-20.932799999999901</v>
      </c>
      <c r="AF5400">
        <v>-0.63988504057102003</v>
      </c>
      <c r="AG5400">
        <v>-1.1115005018999999</v>
      </c>
      <c r="AH5400">
        <v>20.868742100218</v>
      </c>
      <c r="AI5400">
        <v>93.047348919502397</v>
      </c>
      <c r="AJ5400">
        <v>91.756273983370903</v>
      </c>
      <c r="AK5400">
        <v>20.908115244475798</v>
      </c>
      <c r="AL5400">
        <v>89.933702526651899</v>
      </c>
      <c r="AM5400">
        <v>83.9764305983919</v>
      </c>
      <c r="AN5400">
        <v>1.0000000540413601</v>
      </c>
    </row>
    <row r="5401" spans="1:40" x14ac:dyDescent="0.25">
      <c r="A5401" t="str">
        <f>"20190312154031760"</f>
        <v>20190312154031760</v>
      </c>
      <c r="B5401" t="str">
        <f>"1552376431751140"</f>
        <v>1552376431751140</v>
      </c>
      <c r="C5401" t="s">
        <v>40</v>
      </c>
      <c r="D5401">
        <v>3.9612620000000001</v>
      </c>
      <c r="E5401">
        <v>0.49716120000000003</v>
      </c>
      <c r="F5401" t="s">
        <v>55</v>
      </c>
      <c r="G5401">
        <v>-193.5153</v>
      </c>
      <c r="H5401" s="1">
        <v>-1.0017870000000001E-5</v>
      </c>
      <c r="I5401">
        <v>144.6841</v>
      </c>
      <c r="J5401">
        <v>-191.54089999999999</v>
      </c>
      <c r="K5401">
        <v>1.1116649999999999</v>
      </c>
      <c r="L5401">
        <v>171.8432</v>
      </c>
      <c r="M5401">
        <v>-1.022174E-2</v>
      </c>
      <c r="N5401">
        <v>0</v>
      </c>
      <c r="O5401">
        <v>-0.99972349999999999</v>
      </c>
      <c r="P5401">
        <v>-0.11479010000000001</v>
      </c>
      <c r="Q5401">
        <v>-1.9010450000000002E-2</v>
      </c>
      <c r="R5401">
        <v>-0.99320830000000004</v>
      </c>
      <c r="S5401">
        <v>-0.2167511</v>
      </c>
      <c r="T5401">
        <v>-0.1219041</v>
      </c>
      <c r="U5401">
        <v>-2.993134</v>
      </c>
      <c r="V5401">
        <v>0.10463020000000001</v>
      </c>
      <c r="W5401">
        <v>2.0263820000000002E-3</v>
      </c>
      <c r="X5401">
        <v>0.99450919999999998</v>
      </c>
      <c r="Y5401">
        <v>6.196633E-2</v>
      </c>
      <c r="Z5401">
        <v>4.0598820000000001E-2</v>
      </c>
      <c r="AA5401">
        <v>0.99725220000000003</v>
      </c>
      <c r="AB5401">
        <v>14</v>
      </c>
      <c r="AC5401">
        <v>-1.9743999999999999</v>
      </c>
      <c r="AD5401">
        <v>-1.1116750178699999</v>
      </c>
      <c r="AE5401">
        <v>-27.159099999999899</v>
      </c>
      <c r="AF5401">
        <v>1.6937983653825599</v>
      </c>
      <c r="AG5401">
        <v>-1.1116750178699999</v>
      </c>
      <c r="AH5401">
        <v>27.132647084219201</v>
      </c>
      <c r="AI5401">
        <v>92.341649124053902</v>
      </c>
      <c r="AJ5401">
        <v>86.427855928670795</v>
      </c>
      <c r="AK5401">
        <v>27.208184651768299</v>
      </c>
      <c r="AL5401">
        <v>89.883896792031805</v>
      </c>
      <c r="AM5401">
        <v>83.994126802213501</v>
      </c>
      <c r="AN5401">
        <v>1.0000000669303399</v>
      </c>
    </row>
    <row r="5402" spans="1:40" x14ac:dyDescent="0.25">
      <c r="A5402" t="str">
        <f>"20190312154031782"</f>
        <v>20190312154031782</v>
      </c>
      <c r="B5402" t="str">
        <f>"1552376431771640"</f>
        <v>1552376431771640</v>
      </c>
      <c r="C5402" t="s">
        <v>40</v>
      </c>
      <c r="D5402">
        <v>4.0229980000000003</v>
      </c>
      <c r="E5402">
        <v>0.55667519999999904</v>
      </c>
      <c r="F5402" t="s">
        <v>55</v>
      </c>
      <c r="G5402">
        <v>-194.32669999999999</v>
      </c>
      <c r="H5402" s="1">
        <v>-1.0496679999999999E-5</v>
      </c>
      <c r="I5402">
        <v>145.9539</v>
      </c>
      <c r="J5402">
        <v>-191.5428</v>
      </c>
      <c r="K5402">
        <v>1.1116029999999999</v>
      </c>
      <c r="L5402">
        <v>171.7176</v>
      </c>
      <c r="M5402">
        <v>-1.088424E-2</v>
      </c>
      <c r="N5402">
        <v>0</v>
      </c>
      <c r="O5402">
        <v>-0.99969580000000002</v>
      </c>
      <c r="P5402">
        <v>-0.11533119999999999</v>
      </c>
      <c r="Q5402">
        <v>-2.0296390000000001E-2</v>
      </c>
      <c r="R5402">
        <v>-0.99312009999999995</v>
      </c>
      <c r="S5402">
        <v>-0.32077030000000001</v>
      </c>
      <c r="T5402">
        <v>-0.12800339999999999</v>
      </c>
      <c r="U5402">
        <v>-2.9810029999999998</v>
      </c>
      <c r="V5402">
        <v>0.1045133</v>
      </c>
      <c r="W5402">
        <v>1.667324E-3</v>
      </c>
      <c r="X5402">
        <v>0.99452209999999996</v>
      </c>
      <c r="Y5402">
        <v>9.6059019999999995E-2</v>
      </c>
      <c r="Z5402">
        <v>4.267423E-2</v>
      </c>
      <c r="AA5402">
        <v>0.99446049999999997</v>
      </c>
      <c r="AB5402">
        <v>13</v>
      </c>
      <c r="AC5402">
        <v>-2.7838999999999801</v>
      </c>
      <c r="AD5402">
        <v>-1.11161349668</v>
      </c>
      <c r="AE5402">
        <v>-25.7637</v>
      </c>
      <c r="AF5402">
        <v>2.4986501608623901</v>
      </c>
      <c r="AG5402">
        <v>-1.11161349668</v>
      </c>
      <c r="AH5402">
        <v>25.745106718047101</v>
      </c>
      <c r="AI5402">
        <v>92.460813933716693</v>
      </c>
      <c r="AJ5402">
        <v>84.456611305517299</v>
      </c>
      <c r="AK5402">
        <v>25.889948959316499</v>
      </c>
      <c r="AL5402">
        <v>89.9044693282802</v>
      </c>
      <c r="AM5402">
        <v>84.000865258653604</v>
      </c>
      <c r="AN5402">
        <v>1.00000000861731</v>
      </c>
    </row>
    <row r="5403" spans="1:40" x14ac:dyDescent="0.25">
      <c r="A5403" t="str">
        <f>"20190312154031804"</f>
        <v>20190312154031804</v>
      </c>
      <c r="B5403" t="str">
        <f>"1552376431791156"</f>
        <v>1552376431791156</v>
      </c>
      <c r="C5403" t="s">
        <v>40</v>
      </c>
      <c r="D5403">
        <v>4.0503960000000001</v>
      </c>
      <c r="E5403">
        <v>0.56237510000000002</v>
      </c>
      <c r="F5403" t="s">
        <v>55</v>
      </c>
      <c r="G5403">
        <v>-197.79339999999999</v>
      </c>
      <c r="H5403" s="1">
        <v>-1.182964E-5</v>
      </c>
      <c r="I5403">
        <v>148.67670000000001</v>
      </c>
      <c r="J5403">
        <v>-191.5453</v>
      </c>
      <c r="K5403">
        <v>1.1111500000000001</v>
      </c>
      <c r="L5403">
        <v>171.5797</v>
      </c>
      <c r="M5403">
        <v>-1.181392E-2</v>
      </c>
      <c r="N5403">
        <v>0</v>
      </c>
      <c r="O5403">
        <v>-0.99969300000000005</v>
      </c>
      <c r="P5403">
        <v>-0.1162691</v>
      </c>
      <c r="Q5403">
        <v>-1.875901E-2</v>
      </c>
      <c r="R5403">
        <v>-0.99304099999999995</v>
      </c>
      <c r="S5403">
        <v>-0.79368590000000006</v>
      </c>
      <c r="T5403">
        <v>-0.1411521</v>
      </c>
      <c r="U5403">
        <v>-2.9257200000000001</v>
      </c>
      <c r="V5403">
        <v>0.104529</v>
      </c>
      <c r="W5403">
        <v>2.8203130000000001E-3</v>
      </c>
      <c r="X5403">
        <v>0.99451789999999995</v>
      </c>
      <c r="Y5403">
        <v>0.25010919999999998</v>
      </c>
      <c r="Z5403">
        <v>4.6578590000000003E-2</v>
      </c>
      <c r="AA5403">
        <v>0.96709659999999997</v>
      </c>
      <c r="AB5403">
        <v>13</v>
      </c>
      <c r="AC5403">
        <v>-6.2480999999999902</v>
      </c>
      <c r="AD5403">
        <v>-1.1111618296400001</v>
      </c>
      <c r="AE5403">
        <v>-22.902999999999899</v>
      </c>
      <c r="AF5403">
        <v>5.9639597643802</v>
      </c>
      <c r="AG5403">
        <v>-1.1111618296400001</v>
      </c>
      <c r="AH5403">
        <v>22.925009843721401</v>
      </c>
      <c r="AI5403">
        <v>92.6856656630722</v>
      </c>
      <c r="AJ5403">
        <v>75.417690724116596</v>
      </c>
      <c r="AK5403">
        <v>23.714121805740898</v>
      </c>
      <c r="AL5403">
        <v>89.838407763620907</v>
      </c>
      <c r="AM5403">
        <v>83.999945487334102</v>
      </c>
      <c r="AN5403">
        <v>1.00000005971341</v>
      </c>
    </row>
    <row r="5404" spans="1:40" x14ac:dyDescent="0.25">
      <c r="A5404" t="str">
        <f>"20190312154031828"</f>
        <v>20190312154031828</v>
      </c>
      <c r="B5404" t="str">
        <f>"1552376431821412"</f>
        <v>1552376431821412</v>
      </c>
      <c r="C5404" t="s">
        <v>40</v>
      </c>
      <c r="D5404">
        <v>4.0009600000000001</v>
      </c>
      <c r="E5404">
        <v>0.56563099999999999</v>
      </c>
      <c r="F5404" t="s">
        <v>55</v>
      </c>
      <c r="G5404">
        <v>-196.83949999999999</v>
      </c>
      <c r="H5404" s="1">
        <v>-1.308681E-5</v>
      </c>
      <c r="I5404">
        <v>153.2012</v>
      </c>
      <c r="J5404">
        <v>-191.54810000000001</v>
      </c>
      <c r="K5404">
        <v>1.1105719999999999</v>
      </c>
      <c r="L5404">
        <v>171.4376</v>
      </c>
      <c r="M5404">
        <v>-1.2808150000000001E-2</v>
      </c>
      <c r="N5404">
        <v>0</v>
      </c>
      <c r="O5404">
        <v>-0.99970510000000001</v>
      </c>
      <c r="P5404">
        <v>-0.1171719</v>
      </c>
      <c r="Q5404">
        <v>-1.5025470000000001E-2</v>
      </c>
      <c r="R5404">
        <v>-0.99299789999999999</v>
      </c>
      <c r="S5404">
        <v>-0.84094239999999998</v>
      </c>
      <c r="T5404">
        <v>-0.1764973</v>
      </c>
      <c r="U5404">
        <v>-2.9192499999999999</v>
      </c>
      <c r="V5404">
        <v>0.1044476</v>
      </c>
      <c r="W5404">
        <v>5.3642179999999996E-3</v>
      </c>
      <c r="X5404">
        <v>0.99451599999999996</v>
      </c>
      <c r="Y5404">
        <v>0.2640113</v>
      </c>
      <c r="Z5404">
        <v>5.8094699999999999E-2</v>
      </c>
      <c r="AA5404">
        <v>0.96276839999999997</v>
      </c>
      <c r="AB5404">
        <v>13</v>
      </c>
      <c r="AC5404">
        <v>-5.2913999999999799</v>
      </c>
      <c r="AD5404">
        <v>-1.11058508680999</v>
      </c>
      <c r="AE5404">
        <v>-18.2364</v>
      </c>
      <c r="AF5404">
        <v>5.0401006330186497</v>
      </c>
      <c r="AG5404">
        <v>-1.11058508680999</v>
      </c>
      <c r="AH5404">
        <v>18.240295665999099</v>
      </c>
      <c r="AI5404">
        <v>93.358673480300993</v>
      </c>
      <c r="AJ5404">
        <v>74.553628370967203</v>
      </c>
      <c r="AK5404">
        <v>18.956381500936899</v>
      </c>
      <c r="AL5404">
        <v>89.6926514973037</v>
      </c>
      <c r="AM5404">
        <v>84.004572501069504</v>
      </c>
      <c r="AN5404">
        <v>1.0000000751182501</v>
      </c>
    </row>
    <row r="5405" spans="1:40" x14ac:dyDescent="0.25">
      <c r="A5405" t="str">
        <f>"20190312154031851"</f>
        <v>20190312154031851</v>
      </c>
      <c r="B5405" t="str">
        <f>"1552376431840932"</f>
        <v>1552376431840932</v>
      </c>
      <c r="C5405" t="s">
        <v>40</v>
      </c>
      <c r="D5405">
        <v>3.9868649999999999</v>
      </c>
      <c r="E5405">
        <v>0.56709860000000001</v>
      </c>
      <c r="F5405" t="s">
        <v>55</v>
      </c>
      <c r="G5405">
        <v>-196.8468</v>
      </c>
      <c r="H5405" s="1">
        <v>-1.320307E-5</v>
      </c>
      <c r="I5405">
        <v>153.66069999999999</v>
      </c>
      <c r="J5405">
        <v>-191.55109999999999</v>
      </c>
      <c r="K5405">
        <v>1.1102069999999999</v>
      </c>
      <c r="L5405">
        <v>171.3</v>
      </c>
      <c r="M5405">
        <v>-1.376252E-2</v>
      </c>
      <c r="N5405">
        <v>0</v>
      </c>
      <c r="O5405">
        <v>-0.99971220000000005</v>
      </c>
      <c r="P5405">
        <v>-0.1184683</v>
      </c>
      <c r="Q5405">
        <v>-1.2212870000000001E-2</v>
      </c>
      <c r="R5405">
        <v>-0.99288310000000002</v>
      </c>
      <c r="S5405">
        <v>-0.86912540000000005</v>
      </c>
      <c r="T5405">
        <v>-0.1821634</v>
      </c>
      <c r="U5405">
        <v>-2.915848</v>
      </c>
      <c r="V5405">
        <v>0.1047995</v>
      </c>
      <c r="W5405">
        <v>7.1928529999999999E-3</v>
      </c>
      <c r="X5405">
        <v>0.9944674</v>
      </c>
      <c r="Y5405">
        <v>0.27191949999999998</v>
      </c>
      <c r="Z5405">
        <v>5.9871969999999997E-2</v>
      </c>
      <c r="AA5405">
        <v>0.96045570000000002</v>
      </c>
      <c r="AB5405">
        <v>14</v>
      </c>
      <c r="AC5405">
        <v>-5.2957000000000098</v>
      </c>
      <c r="AD5405">
        <v>-1.1102202030699999</v>
      </c>
      <c r="AE5405">
        <v>-17.639299999999999</v>
      </c>
      <c r="AF5405">
        <v>5.0340966288570197</v>
      </c>
      <c r="AG5405">
        <v>-1.1102202030699999</v>
      </c>
      <c r="AH5405">
        <v>17.6463993185445</v>
      </c>
      <c r="AI5405">
        <v>93.462238139234003</v>
      </c>
      <c r="AJ5405">
        <v>74.077816211583396</v>
      </c>
      <c r="AK5405">
        <v>18.383963845632</v>
      </c>
      <c r="AL5405">
        <v>89.587876343603696</v>
      </c>
      <c r="AM5405">
        <v>83.984229027600406</v>
      </c>
      <c r="AN5405">
        <v>1.00000004099864</v>
      </c>
    </row>
    <row r="5406" spans="1:40" x14ac:dyDescent="0.25">
      <c r="A5406" t="str">
        <f>"20190312154031873"</f>
        <v>20190312154031873</v>
      </c>
      <c r="B5406" t="str">
        <f>"1552376431861429"</f>
        <v>1552376431861429</v>
      </c>
      <c r="C5406" t="s">
        <v>40</v>
      </c>
      <c r="D5406">
        <v>3.9949080000000001</v>
      </c>
      <c r="E5406">
        <v>0.56774279999999999</v>
      </c>
      <c r="F5406" t="s">
        <v>55</v>
      </c>
      <c r="G5406">
        <v>-197.20099999999999</v>
      </c>
      <c r="H5406" s="1">
        <v>-1.2989800000000001E-5</v>
      </c>
      <c r="I5406">
        <v>152.68819999999999</v>
      </c>
      <c r="J5406">
        <v>-191.55420000000001</v>
      </c>
      <c r="K5406">
        <v>1.110085</v>
      </c>
      <c r="L5406">
        <v>171.16970000000001</v>
      </c>
      <c r="M5406">
        <v>-1.4698050000000001E-2</v>
      </c>
      <c r="N5406">
        <v>0</v>
      </c>
      <c r="O5406">
        <v>-0.99971010000000005</v>
      </c>
      <c r="P5406">
        <v>-0.119448</v>
      </c>
      <c r="Q5406">
        <v>-1.1522579999999999E-2</v>
      </c>
      <c r="R5406">
        <v>-0.99277380000000004</v>
      </c>
      <c r="S5406">
        <v>-0.88453669999999995</v>
      </c>
      <c r="T5406">
        <v>-0.1738142</v>
      </c>
      <c r="U5406">
        <v>-2.913834</v>
      </c>
      <c r="V5406">
        <v>0.10485029999999999</v>
      </c>
      <c r="W5406">
        <v>7.3034750000000002E-3</v>
      </c>
      <c r="X5406">
        <v>0.99446120000000005</v>
      </c>
      <c r="Y5406">
        <v>0.27590399999999998</v>
      </c>
      <c r="Z5406">
        <v>5.7098410000000002E-2</v>
      </c>
      <c r="AA5406">
        <v>0.9594878</v>
      </c>
      <c r="AB5406">
        <v>14</v>
      </c>
      <c r="AC5406">
        <v>-5.6467999999999803</v>
      </c>
      <c r="AD5406">
        <v>-1.1100979898000001</v>
      </c>
      <c r="AE5406">
        <v>-18.4815</v>
      </c>
      <c r="AF5406">
        <v>5.3568219370301797</v>
      </c>
      <c r="AG5406">
        <v>-1.1100979898000001</v>
      </c>
      <c r="AH5406">
        <v>18.501463776756999</v>
      </c>
      <c r="AI5406">
        <v>93.298503927384004</v>
      </c>
      <c r="AJ5406">
        <v>73.852417981045605</v>
      </c>
      <c r="AK5406">
        <v>19.293315440707801</v>
      </c>
      <c r="AL5406">
        <v>89.581537987418699</v>
      </c>
      <c r="AM5406">
        <v>83.981297123086506</v>
      </c>
      <c r="AN5406">
        <v>1.0000000022313</v>
      </c>
    </row>
    <row r="5407" spans="1:40" x14ac:dyDescent="0.25">
      <c r="A5407" t="str">
        <f>"20190312154031895"</f>
        <v>20190312154031895</v>
      </c>
      <c r="B5407" t="str">
        <f>"1552376431880949"</f>
        <v>1552376431880949</v>
      </c>
      <c r="C5407" t="s">
        <v>40</v>
      </c>
      <c r="D5407">
        <v>4.0123350000000002</v>
      </c>
      <c r="E5407">
        <v>0.56829169999999996</v>
      </c>
      <c r="F5407" t="s">
        <v>55</v>
      </c>
      <c r="G5407">
        <v>-197.2784</v>
      </c>
      <c r="H5407" s="1">
        <v>-1.29461999999999E-5</v>
      </c>
      <c r="I5407">
        <v>152.48769999999999</v>
      </c>
      <c r="J5407">
        <v>-191.5575</v>
      </c>
      <c r="K5407">
        <v>1.110058</v>
      </c>
      <c r="L5407">
        <v>171.03469999999999</v>
      </c>
      <c r="M5407">
        <v>-1.5763070000000001E-2</v>
      </c>
      <c r="N5407">
        <v>0</v>
      </c>
      <c r="O5407">
        <v>-0.99970320000000001</v>
      </c>
      <c r="P5407">
        <v>-0.1208864</v>
      </c>
      <c r="Q5407">
        <v>-1.213588E-2</v>
      </c>
      <c r="R5407">
        <v>-0.99259249999999999</v>
      </c>
      <c r="S5407">
        <v>-0.89237979999999995</v>
      </c>
      <c r="T5407">
        <v>-0.17306009999999999</v>
      </c>
      <c r="U5407">
        <v>-2.9124599999999998</v>
      </c>
      <c r="V5407">
        <v>0.1052298</v>
      </c>
      <c r="W5407">
        <v>6.2096360000000001E-3</v>
      </c>
      <c r="X5407">
        <v>0.9944286</v>
      </c>
      <c r="Y5407">
        <v>0.2773738</v>
      </c>
      <c r="Z5407">
        <v>5.6841660000000002E-2</v>
      </c>
      <c r="AA5407">
        <v>0.95907909999999996</v>
      </c>
      <c r="AB5407">
        <v>14</v>
      </c>
      <c r="AC5407">
        <v>-5.7209000000000003</v>
      </c>
      <c r="AD5407">
        <v>-1.1100709462</v>
      </c>
      <c r="AE5407">
        <v>-18.547000000000001</v>
      </c>
      <c r="AF5407">
        <v>5.4100843703330801</v>
      </c>
      <c r="AG5407">
        <v>-1.1100709462</v>
      </c>
      <c r="AH5407">
        <v>18.574133023902402</v>
      </c>
      <c r="AI5407">
        <v>93.284024572950798</v>
      </c>
      <c r="AJ5407">
        <v>73.7607525691961</v>
      </c>
      <c r="AK5407">
        <v>19.377814324359299</v>
      </c>
      <c r="AL5407">
        <v>89.644211798081201</v>
      </c>
      <c r="AM5407">
        <v>83.959476963287798</v>
      </c>
      <c r="AN5407">
        <v>1.0000000554426201</v>
      </c>
    </row>
    <row r="5408" spans="1:40" x14ac:dyDescent="0.25">
      <c r="A5408" t="str">
        <f>"20190312154031918"</f>
        <v>20190312154031918</v>
      </c>
      <c r="B5408" t="str">
        <f>"1552376431911208"</f>
        <v>1552376431911208</v>
      </c>
      <c r="C5408" t="s">
        <v>40</v>
      </c>
      <c r="D5408">
        <v>4.0176339999999904</v>
      </c>
      <c r="E5408">
        <v>0.56892259999999995</v>
      </c>
      <c r="F5408" t="s">
        <v>55</v>
      </c>
      <c r="G5408">
        <v>-197.18559999999999</v>
      </c>
      <c r="H5408" s="1">
        <v>-1.303059E-5</v>
      </c>
      <c r="I5408">
        <v>152.85579999999999</v>
      </c>
      <c r="J5408">
        <v>-191.56100000000001</v>
      </c>
      <c r="K5408">
        <v>1.110031</v>
      </c>
      <c r="L5408">
        <v>170.89840000000001</v>
      </c>
      <c r="M5408">
        <v>-1.692569E-2</v>
      </c>
      <c r="N5408">
        <v>0</v>
      </c>
      <c r="O5408">
        <v>-0.99969520000000001</v>
      </c>
      <c r="P5408">
        <v>-0.1220369</v>
      </c>
      <c r="Q5408">
        <v>-1.268529E-2</v>
      </c>
      <c r="R5408">
        <v>-0.99244469999999996</v>
      </c>
      <c r="S5408">
        <v>-0.90106200000000003</v>
      </c>
      <c r="T5408">
        <v>-0.17772289999999999</v>
      </c>
      <c r="U5408">
        <v>-2.9104610000000002</v>
      </c>
      <c r="V5408">
        <v>0.10522430000000001</v>
      </c>
      <c r="W5408">
        <v>5.0957620000000002E-3</v>
      </c>
      <c r="X5408">
        <v>0.99443539999999997</v>
      </c>
      <c r="Y5408">
        <v>0.279028</v>
      </c>
      <c r="Z5408">
        <v>5.8365069999999998E-2</v>
      </c>
      <c r="AA5408">
        <v>0.95850769999999996</v>
      </c>
      <c r="AB5408">
        <v>13</v>
      </c>
      <c r="AC5408">
        <v>-5.6246000000000098</v>
      </c>
      <c r="AD5408">
        <v>-1.1100440305899999</v>
      </c>
      <c r="AE5408">
        <v>-18.0426</v>
      </c>
      <c r="AF5408">
        <v>5.3000766165306699</v>
      </c>
      <c r="AG5408">
        <v>-1.1100440305899999</v>
      </c>
      <c r="AH5408">
        <v>18.0728809729126</v>
      </c>
      <c r="AI5408">
        <v>93.373012740707793</v>
      </c>
      <c r="AJ5408">
        <v>73.655628605735799</v>
      </c>
      <c r="AK5408">
        <v>18.866691192469599</v>
      </c>
      <c r="AL5408">
        <v>89.708033063606905</v>
      </c>
      <c r="AM5408">
        <v>83.959831344531295</v>
      </c>
      <c r="AN5408">
        <v>0.99999994243700296</v>
      </c>
    </row>
    <row r="5409" spans="1:40" x14ac:dyDescent="0.25">
      <c r="A5409" t="str">
        <f>"20190312154031940"</f>
        <v>20190312154031940</v>
      </c>
      <c r="B5409" t="str">
        <f>"1552376431931700"</f>
        <v>1552376431931700</v>
      </c>
      <c r="C5409" t="s">
        <v>40</v>
      </c>
      <c r="D5409">
        <v>3.9798369999999998</v>
      </c>
      <c r="E5409">
        <v>0.56940970000000002</v>
      </c>
      <c r="F5409" t="s">
        <v>55</v>
      </c>
      <c r="G5409">
        <v>-197.06479999999999</v>
      </c>
      <c r="H5409" s="1">
        <v>-1.31292299999999E-5</v>
      </c>
      <c r="I5409">
        <v>153.29040000000001</v>
      </c>
      <c r="J5409">
        <v>-191.56460000000001</v>
      </c>
      <c r="K5409">
        <v>1.109974</v>
      </c>
      <c r="L5409">
        <v>170.7594</v>
      </c>
      <c r="M5409">
        <v>-1.812503E-2</v>
      </c>
      <c r="N5409">
        <v>0</v>
      </c>
      <c r="O5409">
        <v>-0.99968520000000005</v>
      </c>
      <c r="P5409">
        <v>-0.1236075</v>
      </c>
      <c r="Q5409">
        <v>-1.207972E-2</v>
      </c>
      <c r="R5409">
        <v>-0.99225799999999997</v>
      </c>
      <c r="S5409">
        <v>-0.90919490000000003</v>
      </c>
      <c r="T5409">
        <v>-0.18337020000000001</v>
      </c>
      <c r="U5409">
        <v>-2.9087070000000002</v>
      </c>
      <c r="V5409">
        <v>0.1056049</v>
      </c>
      <c r="W5409">
        <v>5.0790729999999999E-3</v>
      </c>
      <c r="X5409">
        <v>0.99439520000000003</v>
      </c>
      <c r="Y5409">
        <v>0.28045009999999998</v>
      </c>
      <c r="Z5409">
        <v>6.0208310000000001E-2</v>
      </c>
      <c r="AA5409">
        <v>0.95797840000000001</v>
      </c>
      <c r="AB5409">
        <v>13</v>
      </c>
      <c r="AC5409">
        <v>-5.5001999999999702</v>
      </c>
      <c r="AD5409">
        <v>-1.1099871292299901</v>
      </c>
      <c r="AE5409">
        <v>-17.468999999999902</v>
      </c>
      <c r="AF5409">
        <v>5.1636550457769301</v>
      </c>
      <c r="AG5409">
        <v>-1.1099871292299901</v>
      </c>
      <c r="AH5409">
        <v>17.5015483784899</v>
      </c>
      <c r="AI5409">
        <v>93.481006394494401</v>
      </c>
      <c r="AJ5409">
        <v>73.561837830567796</v>
      </c>
      <c r="AK5409">
        <v>18.281126893697099</v>
      </c>
      <c r="AL5409">
        <v>89.708989302877299</v>
      </c>
      <c r="AM5409">
        <v>83.937902985425296</v>
      </c>
      <c r="AN5409">
        <v>1.00000000283479</v>
      </c>
    </row>
    <row r="5410" spans="1:40" x14ac:dyDescent="0.25">
      <c r="A5410" t="str">
        <f>"20190312154031961"</f>
        <v>20190312154031961</v>
      </c>
      <c r="B5410" t="str">
        <f>"1552376431951221"</f>
        <v>1552376431951221</v>
      </c>
      <c r="C5410" t="s">
        <v>40</v>
      </c>
      <c r="D5410">
        <v>4.0019600000000004</v>
      </c>
      <c r="E5410">
        <v>0.56985069999999904</v>
      </c>
      <c r="F5410" t="s">
        <v>55</v>
      </c>
      <c r="G5410">
        <v>-197.0821</v>
      </c>
      <c r="H5410" s="1">
        <v>-1.312831E-5</v>
      </c>
      <c r="I5410">
        <v>153.28059999999999</v>
      </c>
      <c r="J5410">
        <v>-191.56809999999999</v>
      </c>
      <c r="K5410">
        <v>1.1099270000000001</v>
      </c>
      <c r="L5410">
        <v>170.63239999999999</v>
      </c>
      <c r="M5410">
        <v>-1.9182689999999999E-2</v>
      </c>
      <c r="N5410">
        <v>0</v>
      </c>
      <c r="O5410">
        <v>-0.9996737</v>
      </c>
      <c r="P5410">
        <v>-0.124859</v>
      </c>
      <c r="Q5410">
        <v>-1.153123E-2</v>
      </c>
      <c r="R5410">
        <v>-0.99210770000000004</v>
      </c>
      <c r="S5410">
        <v>-0.91760249999999999</v>
      </c>
      <c r="T5410">
        <v>-0.1846005</v>
      </c>
      <c r="U5410">
        <v>-2.906876</v>
      </c>
      <c r="V5410">
        <v>0.10580730000000001</v>
      </c>
      <c r="W5410">
        <v>5.1362919999999998E-3</v>
      </c>
      <c r="X5410">
        <v>0.99437339999999996</v>
      </c>
      <c r="Y5410">
        <v>0.28212090000000001</v>
      </c>
      <c r="Z5410">
        <v>6.060451E-2</v>
      </c>
      <c r="AA5410">
        <v>0.9574627</v>
      </c>
      <c r="AB5410">
        <v>13</v>
      </c>
      <c r="AC5410">
        <v>-5.5140000000000002</v>
      </c>
      <c r="AD5410">
        <v>-1.1099401283100001</v>
      </c>
      <c r="AE5410">
        <v>-17.351799999999901</v>
      </c>
      <c r="AF5410">
        <v>5.1609032429262802</v>
      </c>
      <c r="AG5410">
        <v>-1.1099401283100001</v>
      </c>
      <c r="AH5410">
        <v>17.389766263811801</v>
      </c>
      <c r="AI5410">
        <v>93.501526565139699</v>
      </c>
      <c r="AJ5410">
        <v>73.470260154995401</v>
      </c>
      <c r="AK5410">
        <v>18.1733557738049</v>
      </c>
      <c r="AL5410">
        <v>89.705710855736399</v>
      </c>
      <c r="AM5410">
        <v>83.926239106851497</v>
      </c>
      <c r="AN5410">
        <v>1.00000001242817</v>
      </c>
    </row>
    <row r="5411" spans="1:40" x14ac:dyDescent="0.25">
      <c r="A5411" t="str">
        <f>"20190312154031985"</f>
        <v>20190312154031985</v>
      </c>
      <c r="B5411" t="str">
        <f>"1552376431971716"</f>
        <v>1552376431971716</v>
      </c>
      <c r="C5411" t="s">
        <v>40</v>
      </c>
      <c r="D5411">
        <v>3.9745629999999998</v>
      </c>
      <c r="E5411">
        <v>0.5702142</v>
      </c>
      <c r="F5411" t="s">
        <v>55</v>
      </c>
      <c r="G5411">
        <v>-197.13120000000001</v>
      </c>
      <c r="H5411" s="1">
        <v>-1.309916E-5</v>
      </c>
      <c r="I5411">
        <v>153.14750000000001</v>
      </c>
      <c r="J5411">
        <v>-191.57210000000001</v>
      </c>
      <c r="K5411">
        <v>1.1098889999999999</v>
      </c>
      <c r="L5411">
        <v>170.4948</v>
      </c>
      <c r="M5411">
        <v>-2.0299649999999999E-2</v>
      </c>
      <c r="N5411">
        <v>0</v>
      </c>
      <c r="O5411">
        <v>-0.99965850000000001</v>
      </c>
      <c r="P5411">
        <v>-0.1268193</v>
      </c>
      <c r="Q5411">
        <v>-1.0850780000000001E-2</v>
      </c>
      <c r="R5411">
        <v>-0.99186669999999999</v>
      </c>
      <c r="S5411">
        <v>-0.92439269999999996</v>
      </c>
      <c r="T5411">
        <v>-0.1844314</v>
      </c>
      <c r="U5411">
        <v>-2.9053650000000002</v>
      </c>
      <c r="V5411">
        <v>0.10666200000000001</v>
      </c>
      <c r="W5411">
        <v>5.3971189999999997E-3</v>
      </c>
      <c r="X5411">
        <v>0.99428070000000002</v>
      </c>
      <c r="Y5411">
        <v>0.28322649999999999</v>
      </c>
      <c r="Z5411">
        <v>6.0546229999999999E-2</v>
      </c>
      <c r="AA5411">
        <v>0.95713999999999999</v>
      </c>
      <c r="AB5411">
        <v>13</v>
      </c>
      <c r="AC5411">
        <v>-5.5590999999999999</v>
      </c>
      <c r="AD5411">
        <v>-1.1099020991599999</v>
      </c>
      <c r="AE5411">
        <v>-17.347299999999901</v>
      </c>
      <c r="AF5411">
        <v>5.1865081707582004</v>
      </c>
      <c r="AG5411">
        <v>-1.1099020991599999</v>
      </c>
      <c r="AH5411">
        <v>17.392022014413101</v>
      </c>
      <c r="AI5411">
        <v>93.499585726575702</v>
      </c>
      <c r="AJ5411">
        <v>73.394792592798794</v>
      </c>
      <c r="AK5411">
        <v>18.182798998638599</v>
      </c>
      <c r="AL5411">
        <v>89.690766361814298</v>
      </c>
      <c r="AM5411">
        <v>83.876980594255201</v>
      </c>
      <c r="AN5411">
        <v>1.00000001076499</v>
      </c>
    </row>
    <row r="5412" spans="1:40" x14ac:dyDescent="0.25">
      <c r="A5412" t="str">
        <f>"20190312154032007"</f>
        <v>20190312154032007</v>
      </c>
      <c r="B5412" t="str">
        <f>"1552376432000996"</f>
        <v>1552376432000996</v>
      </c>
      <c r="C5412" t="s">
        <v>40</v>
      </c>
      <c r="D5412">
        <v>3.9678279999999999</v>
      </c>
      <c r="E5412">
        <v>0.57061980000000001</v>
      </c>
      <c r="F5412" t="s">
        <v>55</v>
      </c>
      <c r="G5412">
        <v>-197.2277</v>
      </c>
      <c r="H5412" s="1">
        <v>-1.304435E-5</v>
      </c>
      <c r="I5412">
        <v>152.8956</v>
      </c>
      <c r="J5412">
        <v>-191.5762</v>
      </c>
      <c r="K5412">
        <v>1.109856</v>
      </c>
      <c r="L5412">
        <v>170.3596</v>
      </c>
      <c r="M5412">
        <v>-2.142546E-2</v>
      </c>
      <c r="N5412">
        <v>0</v>
      </c>
      <c r="O5412">
        <v>-0.99964050000000004</v>
      </c>
      <c r="P5412">
        <v>-0.12823219999999999</v>
      </c>
      <c r="Q5412">
        <v>-1.1311389999999999E-2</v>
      </c>
      <c r="R5412">
        <v>-0.99167950000000005</v>
      </c>
      <c r="S5412">
        <v>-0.93301389999999995</v>
      </c>
      <c r="T5412">
        <v>-0.1831005</v>
      </c>
      <c r="U5412">
        <v>-2.9033359999999999</v>
      </c>
      <c r="V5412">
        <v>0.1069585</v>
      </c>
      <c r="W5412">
        <v>4.5855519999999997E-3</v>
      </c>
      <c r="X5412">
        <v>0.9942529</v>
      </c>
      <c r="Y5412">
        <v>0.28492590000000001</v>
      </c>
      <c r="Z5412">
        <v>6.0106769999999997E-2</v>
      </c>
      <c r="AA5412">
        <v>0.95666309999999999</v>
      </c>
      <c r="AB5412">
        <v>13</v>
      </c>
      <c r="AC5412">
        <v>-5.6514999999999898</v>
      </c>
      <c r="AD5412">
        <v>-1.1098690443499999</v>
      </c>
      <c r="AE5412">
        <v>-17.463999999999999</v>
      </c>
      <c r="AF5412">
        <v>5.2567609310166903</v>
      </c>
      <c r="AG5412">
        <v>-1.1098690443499999</v>
      </c>
      <c r="AH5412">
        <v>17.517049951245401</v>
      </c>
      <c r="AI5412">
        <v>93.472774920919903</v>
      </c>
      <c r="AJ5412">
        <v>73.295816761500205</v>
      </c>
      <c r="AK5412">
        <v>18.322455724489998</v>
      </c>
      <c r="AL5412">
        <v>89.7372662998945</v>
      </c>
      <c r="AM5412">
        <v>83.859919234452605</v>
      </c>
      <c r="AN5412">
        <v>0.99999998858390204</v>
      </c>
    </row>
    <row r="5413" spans="1:40" x14ac:dyDescent="0.25">
      <c r="A5413" t="str">
        <f>"20190312154032029"</f>
        <v>20190312154032029</v>
      </c>
      <c r="B5413" t="str">
        <f>"1552376432021493"</f>
        <v>1552376432021493</v>
      </c>
      <c r="C5413" t="s">
        <v>40</v>
      </c>
      <c r="D5413">
        <v>3.9971950000000001</v>
      </c>
      <c r="E5413">
        <v>0.57084199999999996</v>
      </c>
      <c r="F5413" t="s">
        <v>55</v>
      </c>
      <c r="G5413">
        <v>-197.16149999999999</v>
      </c>
      <c r="H5413" s="1">
        <v>-1.3096069999999999E-5</v>
      </c>
      <c r="I5413">
        <v>153.12450000000001</v>
      </c>
      <c r="J5413">
        <v>-191.5804</v>
      </c>
      <c r="K5413">
        <v>1.109831</v>
      </c>
      <c r="L5413">
        <v>170.22810000000001</v>
      </c>
      <c r="M5413">
        <v>-2.2591590000000002E-2</v>
      </c>
      <c r="N5413">
        <v>0</v>
      </c>
      <c r="O5413">
        <v>-0.99961979999999995</v>
      </c>
      <c r="P5413">
        <v>-0.1296175</v>
      </c>
      <c r="Q5413">
        <v>-1.181332E-2</v>
      </c>
      <c r="R5413">
        <v>-0.99149350000000003</v>
      </c>
      <c r="S5413">
        <v>-0.94026180000000004</v>
      </c>
      <c r="T5413">
        <v>-0.1868416</v>
      </c>
      <c r="U5413">
        <v>-2.901443</v>
      </c>
      <c r="V5413">
        <v>0.1071872</v>
      </c>
      <c r="W5413">
        <v>3.7572930000000001E-3</v>
      </c>
      <c r="X5413">
        <v>0.9942318</v>
      </c>
      <c r="Y5413">
        <v>0.28613080000000002</v>
      </c>
      <c r="Z5413">
        <v>6.1331530000000002E-2</v>
      </c>
      <c r="AA5413">
        <v>0.95622569999999996</v>
      </c>
      <c r="AB5413">
        <v>13</v>
      </c>
      <c r="AC5413">
        <v>-5.5810999999999904</v>
      </c>
      <c r="AD5413">
        <v>-1.10984409607</v>
      </c>
      <c r="AE5413">
        <v>-17.1036</v>
      </c>
      <c r="AF5413">
        <v>5.17354177986312</v>
      </c>
      <c r="AG5413">
        <v>-1.10984409607</v>
      </c>
      <c r="AH5413">
        <v>17.160033767350399</v>
      </c>
      <c r="AI5413">
        <v>93.543405328208294</v>
      </c>
      <c r="AJ5413">
        <v>73.222578802931295</v>
      </c>
      <c r="AK5413">
        <v>17.957283963956701</v>
      </c>
      <c r="AL5413">
        <v>89.784722471356403</v>
      </c>
      <c r="AM5413">
        <v>83.846761459632603</v>
      </c>
      <c r="AN5413">
        <v>1.0000000426128799</v>
      </c>
    </row>
    <row r="5414" spans="1:40" x14ac:dyDescent="0.25">
      <c r="A5414" t="str">
        <f>"20190312154032051"</f>
        <v>20190312154032051</v>
      </c>
      <c r="B5414" t="str">
        <f>"1552376432041988"</f>
        <v>1552376432041988</v>
      </c>
      <c r="C5414" t="s">
        <v>40</v>
      </c>
      <c r="D5414">
        <v>3.9358620000000002</v>
      </c>
      <c r="E5414">
        <v>0.57109379999999998</v>
      </c>
      <c r="F5414" t="s">
        <v>55</v>
      </c>
      <c r="G5414">
        <v>-197.16</v>
      </c>
      <c r="H5414" s="1">
        <v>-1.309652E-5</v>
      </c>
      <c r="I5414">
        <v>153.1268</v>
      </c>
      <c r="J5414">
        <v>-191.5849</v>
      </c>
      <c r="K5414">
        <v>1.1098049999999999</v>
      </c>
      <c r="L5414">
        <v>170.09559999999999</v>
      </c>
      <c r="M5414">
        <v>-2.3855479999999998E-2</v>
      </c>
      <c r="N5414">
        <v>0</v>
      </c>
      <c r="O5414">
        <v>-0.99959529999999996</v>
      </c>
      <c r="P5414">
        <v>-0.1301505</v>
      </c>
      <c r="Q5414">
        <v>-1.219575E-2</v>
      </c>
      <c r="R5414">
        <v>-0.99141950000000001</v>
      </c>
      <c r="S5414">
        <v>-0.946106</v>
      </c>
      <c r="T5414">
        <v>-0.18819359999999999</v>
      </c>
      <c r="U5414">
        <v>-2.899826</v>
      </c>
      <c r="V5414">
        <v>0.106464</v>
      </c>
      <c r="W5414">
        <v>3.06493E-3</v>
      </c>
      <c r="X5414">
        <v>0.99431179999999997</v>
      </c>
      <c r="Y5414">
        <v>0.28681020000000002</v>
      </c>
      <c r="Z5414">
        <v>6.1778340000000001E-2</v>
      </c>
      <c r="AA5414">
        <v>0.95599339999999999</v>
      </c>
      <c r="AB5414">
        <v>13</v>
      </c>
      <c r="AC5414">
        <v>-5.5750999999999902</v>
      </c>
      <c r="AD5414">
        <v>-1.10981809652</v>
      </c>
      <c r="AE5414">
        <v>-16.968799999999899</v>
      </c>
      <c r="AF5414">
        <v>5.1487868576644402</v>
      </c>
      <c r="AG5414">
        <v>-1.10981809652</v>
      </c>
      <c r="AH5414">
        <v>17.031227437593699</v>
      </c>
      <c r="AI5414">
        <v>93.569237131590896</v>
      </c>
      <c r="AJ5414">
        <v>73.179172317855702</v>
      </c>
      <c r="AK5414">
        <v>17.8270695949745</v>
      </c>
      <c r="AL5414">
        <v>89.824392165650593</v>
      </c>
      <c r="AM5414">
        <v>83.888450557782207</v>
      </c>
      <c r="AN5414">
        <v>0.99999996635557098</v>
      </c>
    </row>
    <row r="5415" spans="1:40" x14ac:dyDescent="0.25">
      <c r="A5415" t="str">
        <f>"20190312154032074"</f>
        <v>20190312154032074</v>
      </c>
      <c r="B5415" t="str">
        <f>"1552376432061509"</f>
        <v>1552376432061509</v>
      </c>
      <c r="C5415" t="s">
        <v>40</v>
      </c>
      <c r="D5415">
        <v>3.9524659999999998</v>
      </c>
      <c r="E5415">
        <v>0.57131980000000004</v>
      </c>
      <c r="F5415" t="s">
        <v>55</v>
      </c>
      <c r="G5415">
        <v>-197.1584</v>
      </c>
      <c r="H5415" s="1">
        <v>-1.308596E-5</v>
      </c>
      <c r="I5415">
        <v>153.08539999999999</v>
      </c>
      <c r="J5415">
        <v>-191.58959999999999</v>
      </c>
      <c r="K5415">
        <v>1.1097900000000001</v>
      </c>
      <c r="L5415">
        <v>169.96700000000001</v>
      </c>
      <c r="M5415">
        <v>-2.5148589999999998E-2</v>
      </c>
      <c r="N5415">
        <v>0</v>
      </c>
      <c r="O5415">
        <v>-0.99956800000000001</v>
      </c>
      <c r="P5415">
        <v>-0.13039049999999999</v>
      </c>
      <c r="Q5415">
        <v>-1.290409E-2</v>
      </c>
      <c r="R5415">
        <v>-0.99137909999999996</v>
      </c>
      <c r="S5415">
        <v>-0.94985960000000003</v>
      </c>
      <c r="T5415">
        <v>-0.18914</v>
      </c>
      <c r="U5415">
        <v>-2.8989410000000002</v>
      </c>
      <c r="V5415">
        <v>0.1054175</v>
      </c>
      <c r="W5415">
        <v>2.0921849999999999E-3</v>
      </c>
      <c r="X5415">
        <v>0.99442580000000003</v>
      </c>
      <c r="Y5415">
        <v>0.28676960000000001</v>
      </c>
      <c r="Z5415">
        <v>6.2090979999999997E-2</v>
      </c>
      <c r="AA5415">
        <v>0.95598530000000004</v>
      </c>
      <c r="AB5415">
        <v>13</v>
      </c>
      <c r="AC5415">
        <v>-5.5688000000000004</v>
      </c>
      <c r="AD5415">
        <v>-1.1098030859600001</v>
      </c>
      <c r="AE5415">
        <v>-16.881599999999999</v>
      </c>
      <c r="AF5415">
        <v>5.1224750511313202</v>
      </c>
      <c r="AG5415">
        <v>-1.1098030859600001</v>
      </c>
      <c r="AH5415">
        <v>16.9502567216092</v>
      </c>
      <c r="AI5415">
        <v>93.5863016077125</v>
      </c>
      <c r="AJ5415">
        <v>73.184850172184198</v>
      </c>
      <c r="AK5415">
        <v>17.7421142051201</v>
      </c>
      <c r="AL5415">
        <v>89.880126535988296</v>
      </c>
      <c r="AM5415">
        <v>83.948765350834805</v>
      </c>
      <c r="AN5415">
        <v>0.99999994912498003</v>
      </c>
    </row>
    <row r="5416" spans="1:40" x14ac:dyDescent="0.25">
      <c r="A5416" t="str">
        <f>"20190312154032096"</f>
        <v>20190312154032096</v>
      </c>
      <c r="B5416" t="str">
        <f>"1552376432082005"</f>
        <v>1552376432082005</v>
      </c>
      <c r="C5416" t="s">
        <v>40</v>
      </c>
      <c r="D5416">
        <v>3.924785</v>
      </c>
      <c r="E5416">
        <v>0.57154459999999996</v>
      </c>
      <c r="F5416" t="s">
        <v>55</v>
      </c>
      <c r="G5416">
        <v>-197.11109999999999</v>
      </c>
      <c r="H5416" s="1">
        <v>-1.31016E-5</v>
      </c>
      <c r="I5416">
        <v>153.16419999999999</v>
      </c>
      <c r="J5416">
        <v>-191.59460000000001</v>
      </c>
      <c r="K5416">
        <v>1.1097809999999999</v>
      </c>
      <c r="L5416">
        <v>169.83279999999999</v>
      </c>
      <c r="M5416">
        <v>-2.6548950000000002E-2</v>
      </c>
      <c r="N5416">
        <v>0</v>
      </c>
      <c r="O5416">
        <v>-0.99953510000000001</v>
      </c>
      <c r="P5416">
        <v>-0.13066220000000001</v>
      </c>
      <c r="Q5416">
        <v>-1.3264979999999999E-2</v>
      </c>
      <c r="R5416">
        <v>-0.99133870000000002</v>
      </c>
      <c r="S5416">
        <v>-0.95242309999999997</v>
      </c>
      <c r="T5416">
        <v>-0.19143060000000001</v>
      </c>
      <c r="U5416">
        <v>-2.8983150000000002</v>
      </c>
      <c r="V5416">
        <v>0.1042964</v>
      </c>
      <c r="W5416">
        <v>1.501385E-3</v>
      </c>
      <c r="X5416">
        <v>0.99454509999999996</v>
      </c>
      <c r="Y5416">
        <v>0.28623739999999998</v>
      </c>
      <c r="Z5416">
        <v>6.2845940000000003E-2</v>
      </c>
      <c r="AA5416">
        <v>0.95609549999999999</v>
      </c>
      <c r="AB5416">
        <v>13</v>
      </c>
      <c r="AC5416">
        <v>-5.5164999999999704</v>
      </c>
      <c r="AD5416">
        <v>-1.1097941015999999</v>
      </c>
      <c r="AE5416">
        <v>-16.668599999999898</v>
      </c>
      <c r="AF5416">
        <v>5.0517881721842697</v>
      </c>
      <c r="AG5416">
        <v>-1.1097941015999999</v>
      </c>
      <c r="AH5416">
        <v>16.742306669878001</v>
      </c>
      <c r="AI5416">
        <v>93.631167462597205</v>
      </c>
      <c r="AJ5416">
        <v>73.209447806540297</v>
      </c>
      <c r="AK5416">
        <v>17.523043095102199</v>
      </c>
      <c r="AL5416">
        <v>89.913976941569999</v>
      </c>
      <c r="AM5416">
        <v>84.013362396574706</v>
      </c>
      <c r="AN5416">
        <v>0.99999997457194301</v>
      </c>
    </row>
    <row r="5417" spans="1:40" x14ac:dyDescent="0.25">
      <c r="A5417" t="str">
        <f>"20190312154032120"</f>
        <v>20190312154032120</v>
      </c>
      <c r="B5417" t="str">
        <f>"1552376432111287"</f>
        <v>1552376432111287</v>
      </c>
      <c r="C5417" t="s">
        <v>40</v>
      </c>
      <c r="D5417">
        <v>3.9499230000000001</v>
      </c>
      <c r="E5417">
        <v>0.57183530000000005</v>
      </c>
      <c r="F5417" t="s">
        <v>55</v>
      </c>
      <c r="G5417">
        <v>-197.11439999999999</v>
      </c>
      <c r="H5417" s="1">
        <v>-1.308206E-5</v>
      </c>
      <c r="I5417">
        <v>153.08539999999999</v>
      </c>
      <c r="J5417">
        <v>-191.6</v>
      </c>
      <c r="K5417">
        <v>1.109772</v>
      </c>
      <c r="L5417">
        <v>169.69640000000001</v>
      </c>
      <c r="M5417">
        <v>-2.8023369999999999E-2</v>
      </c>
      <c r="N5417">
        <v>0</v>
      </c>
      <c r="O5417">
        <v>-0.99949770000000004</v>
      </c>
      <c r="P5417">
        <v>-0.13149040000000001</v>
      </c>
      <c r="Q5417">
        <v>-1.3647640000000001E-2</v>
      </c>
      <c r="R5417">
        <v>-0.99122379999999999</v>
      </c>
      <c r="S5417">
        <v>-0.95509339999999998</v>
      </c>
      <c r="T5417">
        <v>-0.1920268</v>
      </c>
      <c r="U5417">
        <v>-2.8977810000000002</v>
      </c>
      <c r="V5417">
        <v>0.10365969999999999</v>
      </c>
      <c r="W5417">
        <v>9.2584269999999998E-4</v>
      </c>
      <c r="X5417">
        <v>0.99461239999999995</v>
      </c>
      <c r="Y5417">
        <v>0.28566760000000002</v>
      </c>
      <c r="Z5417">
        <v>6.3044639999999999E-2</v>
      </c>
      <c r="AA5417">
        <v>0.95625280000000001</v>
      </c>
      <c r="AB5417">
        <v>13</v>
      </c>
      <c r="AC5417">
        <v>-5.5143999999999904</v>
      </c>
      <c r="AD5417">
        <v>-1.1097850820599999</v>
      </c>
      <c r="AE5417">
        <v>-16.611000000000001</v>
      </c>
      <c r="AF5417">
        <v>5.02647758319302</v>
      </c>
      <c r="AG5417">
        <v>-1.1097850820599999</v>
      </c>
      <c r="AH5417">
        <v>16.691913661447799</v>
      </c>
      <c r="AI5417">
        <v>93.642678676630894</v>
      </c>
      <c r="AJ5417">
        <v>73.241244885835101</v>
      </c>
      <c r="AK5417">
        <v>17.4676009086518</v>
      </c>
      <c r="AL5417">
        <v>89.946953113664705</v>
      </c>
      <c r="AM5417">
        <v>84.050045851161201</v>
      </c>
      <c r="AN5417">
        <v>1.0000000084112699</v>
      </c>
    </row>
    <row r="5418" spans="1:40" x14ac:dyDescent="0.25">
      <c r="A5418" t="str">
        <f>"20190312154032142"</f>
        <v>20190312154032142</v>
      </c>
      <c r="B5418" t="str">
        <f>"1552376432131781"</f>
        <v>1552376432131781</v>
      </c>
      <c r="C5418" t="s">
        <v>40</v>
      </c>
      <c r="D5418">
        <v>3.958062</v>
      </c>
      <c r="E5418">
        <v>0.57193870000000002</v>
      </c>
      <c r="F5418" t="s">
        <v>55</v>
      </c>
      <c r="G5418">
        <v>-197.0975</v>
      </c>
      <c r="H5418" s="1">
        <v>-1.3085190000000001E-5</v>
      </c>
      <c r="I5418">
        <v>153.10380000000001</v>
      </c>
      <c r="J5418">
        <v>-191.60550000000001</v>
      </c>
      <c r="K5418">
        <v>1.1097699999999999</v>
      </c>
      <c r="L5418">
        <v>169.5635</v>
      </c>
      <c r="M5418">
        <v>-2.950755E-2</v>
      </c>
      <c r="N5418">
        <v>0</v>
      </c>
      <c r="O5418">
        <v>-0.99945720000000005</v>
      </c>
      <c r="P5418">
        <v>-0.13269120000000001</v>
      </c>
      <c r="Q5418">
        <v>-1.38516E-2</v>
      </c>
      <c r="R5418">
        <v>-0.99106070000000002</v>
      </c>
      <c r="S5418">
        <v>-0.95970149999999999</v>
      </c>
      <c r="T5418">
        <v>-0.19373570000000001</v>
      </c>
      <c r="U5418">
        <v>-2.8965610000000002</v>
      </c>
      <c r="V5418">
        <v>0.10338749999999999</v>
      </c>
      <c r="W5418">
        <v>5.567708E-4</v>
      </c>
      <c r="X5418">
        <v>0.994641</v>
      </c>
      <c r="Y5418">
        <v>0.2857249</v>
      </c>
      <c r="Z5418">
        <v>6.3608559999999995E-2</v>
      </c>
      <c r="AA5418">
        <v>0.95619829999999995</v>
      </c>
      <c r="AB5418">
        <v>13</v>
      </c>
      <c r="AC5418">
        <v>-5.4919999999999902</v>
      </c>
      <c r="AD5418">
        <v>-1.1097830851899999</v>
      </c>
      <c r="AE5418">
        <v>-16.459699999999899</v>
      </c>
      <c r="AF5418">
        <v>4.9834849615828603</v>
      </c>
      <c r="AG5418">
        <v>-1.1097830851899999</v>
      </c>
      <c r="AH5418">
        <v>16.5469169623364</v>
      </c>
      <c r="AI5418">
        <v>93.674463932250902</v>
      </c>
      <c r="AJ5418">
        <v>73.239115943231596</v>
      </c>
      <c r="AK5418">
        <v>17.3166740980176</v>
      </c>
      <c r="AL5418">
        <v>89.968099381420004</v>
      </c>
      <c r="AM5418">
        <v>84.065727609928402</v>
      </c>
      <c r="AN5418">
        <v>1.00000000201548</v>
      </c>
    </row>
    <row r="5419" spans="1:40" x14ac:dyDescent="0.25">
      <c r="A5419" t="str">
        <f>"20190312154032163"</f>
        <v>20190312154032163</v>
      </c>
      <c r="B5419" t="str">
        <f>"1552376432151302"</f>
        <v>1552376432151302</v>
      </c>
      <c r="C5419" t="s">
        <v>40</v>
      </c>
      <c r="D5419">
        <v>3.9556499999999999</v>
      </c>
      <c r="E5419">
        <v>0.57207889999999995</v>
      </c>
      <c r="F5419" t="s">
        <v>55</v>
      </c>
      <c r="G5419">
        <v>-197.11320000000001</v>
      </c>
      <c r="H5419" s="1">
        <v>-1.3066259999999999E-5</v>
      </c>
      <c r="I5419">
        <v>153.0231</v>
      </c>
      <c r="J5419">
        <v>-191.61080000000001</v>
      </c>
      <c r="K5419">
        <v>1.1097729999999999</v>
      </c>
      <c r="L5419">
        <v>169.43979999999999</v>
      </c>
      <c r="M5419">
        <v>-3.0924070000000001E-2</v>
      </c>
      <c r="N5419">
        <v>0</v>
      </c>
      <c r="O5419">
        <v>-0.99941650000000004</v>
      </c>
      <c r="P5419">
        <v>-0.13376579999999999</v>
      </c>
      <c r="Q5419">
        <v>-1.425211E-2</v>
      </c>
      <c r="R5419">
        <v>-0.99091050000000003</v>
      </c>
      <c r="S5419">
        <v>-0.96408079999999996</v>
      </c>
      <c r="T5419">
        <v>-0.19425780000000001</v>
      </c>
      <c r="U5419">
        <v>-2.8952640000000001</v>
      </c>
      <c r="V5419">
        <v>0.1030557</v>
      </c>
      <c r="W5419" s="1">
        <v>1.932448E-5</v>
      </c>
      <c r="X5419">
        <v>0.99467559999999999</v>
      </c>
      <c r="Y5419">
        <v>0.28579399999999999</v>
      </c>
      <c r="Z5419">
        <v>6.3786720000000005E-2</v>
      </c>
      <c r="AA5419">
        <v>0.95616590000000001</v>
      </c>
      <c r="AB5419">
        <v>13</v>
      </c>
      <c r="AC5419">
        <v>-5.50239999999999</v>
      </c>
      <c r="AD5419">
        <v>-1.1097860662600001</v>
      </c>
      <c r="AE5419">
        <v>-16.416699999999899</v>
      </c>
      <c r="AF5419">
        <v>4.97161802264716</v>
      </c>
      <c r="AG5419">
        <v>-1.1097860662600001</v>
      </c>
      <c r="AH5419">
        <v>16.511187293602301</v>
      </c>
      <c r="AI5419">
        <v>93.682471287277593</v>
      </c>
      <c r="AJ5419">
        <v>73.242635191058994</v>
      </c>
      <c r="AK5419">
        <v>17.279117938146801</v>
      </c>
      <c r="AL5419">
        <v>89.998892788869497</v>
      </c>
      <c r="AM5419">
        <v>84.084841432934198</v>
      </c>
      <c r="AN5419">
        <v>1.0000000134556399</v>
      </c>
    </row>
    <row r="5420" spans="1:40" x14ac:dyDescent="0.25">
      <c r="A5420" t="str">
        <f>"20190312154032174"</f>
        <v>20190312154032174</v>
      </c>
      <c r="B5420" t="str">
        <f>"1552376432162037"</f>
        <v>1552376432162037</v>
      </c>
      <c r="C5420" t="s">
        <v>40</v>
      </c>
      <c r="D5420">
        <v>3.9377629999999999</v>
      </c>
      <c r="E5420">
        <v>0.57219900000000001</v>
      </c>
      <c r="F5420" t="s">
        <v>55</v>
      </c>
      <c r="G5420">
        <v>-197.09809999999999</v>
      </c>
      <c r="H5420" s="1">
        <v>-1.306835E-5</v>
      </c>
      <c r="I5420">
        <v>153.0367</v>
      </c>
      <c r="J5420">
        <v>-191.6138</v>
      </c>
      <c r="K5420">
        <v>1.1097760000000001</v>
      </c>
      <c r="L5420">
        <v>169.3717</v>
      </c>
      <c r="M5420">
        <v>-3.1713110000000003E-2</v>
      </c>
      <c r="N5420">
        <v>0</v>
      </c>
      <c r="O5420">
        <v>-0.99939290000000003</v>
      </c>
      <c r="P5420">
        <v>-0.1349775</v>
      </c>
      <c r="Q5420">
        <v>-1.4400799999999899E-2</v>
      </c>
      <c r="R5420">
        <v>-0.99074419999999996</v>
      </c>
      <c r="S5420">
        <v>-0.96813959999999999</v>
      </c>
      <c r="T5420">
        <v>-0.19580049999999999</v>
      </c>
      <c r="U5420">
        <v>-2.894012</v>
      </c>
      <c r="V5420">
        <v>0.1034865</v>
      </c>
      <c r="W5420">
        <v>-2.0032930000000001E-4</v>
      </c>
      <c r="X5420">
        <v>0.99463080000000004</v>
      </c>
      <c r="Y5420">
        <v>0.28635759999999899</v>
      </c>
      <c r="Z5420">
        <v>6.4295580000000005E-2</v>
      </c>
      <c r="AA5420">
        <v>0.95596309999999995</v>
      </c>
      <c r="AB5420">
        <v>13</v>
      </c>
      <c r="AC5420">
        <v>-5.4842999999999904</v>
      </c>
      <c r="AD5420">
        <v>-1.10978906835</v>
      </c>
      <c r="AE5420">
        <v>-16.335000000000001</v>
      </c>
      <c r="AF5420">
        <v>4.9429491426605097</v>
      </c>
      <c r="AG5420">
        <v>-1.10978906835</v>
      </c>
      <c r="AH5420">
        <v>16.432559277980801</v>
      </c>
      <c r="AI5420">
        <v>93.700362094711707</v>
      </c>
      <c r="AJ5420">
        <v>73.258600175720801</v>
      </c>
      <c r="AK5420">
        <v>17.1957373330576</v>
      </c>
      <c r="AL5420">
        <v>90.011478023915004</v>
      </c>
      <c r="AM5420">
        <v>84.060025302896705</v>
      </c>
      <c r="AN5420">
        <v>0.99999996206135799</v>
      </c>
    </row>
    <row r="5421" spans="1:40" x14ac:dyDescent="0.25">
      <c r="A5421" t="str">
        <f>"20190312154032187"</f>
        <v>20190312154032187</v>
      </c>
      <c r="B5421" t="str">
        <f>"1552376432171796"</f>
        <v>1552376432171796</v>
      </c>
      <c r="C5421" t="s">
        <v>40</v>
      </c>
      <c r="D5421">
        <v>3.9350689999999999</v>
      </c>
      <c r="E5421">
        <v>0.57230249999999905</v>
      </c>
      <c r="F5421" t="s">
        <v>55</v>
      </c>
      <c r="G5421">
        <v>-197.1138</v>
      </c>
      <c r="H5421" s="1">
        <v>-1.3063449999999999E-5</v>
      </c>
      <c r="I5421">
        <v>153.01169999999999</v>
      </c>
      <c r="J5421">
        <v>-191.6172</v>
      </c>
      <c r="K5421">
        <v>1.1097790000000001</v>
      </c>
      <c r="L5421">
        <v>169.29750000000001</v>
      </c>
      <c r="M5421">
        <v>-3.2578429999999999E-2</v>
      </c>
      <c r="N5421">
        <v>0</v>
      </c>
      <c r="O5421">
        <v>-0.99936619999999998</v>
      </c>
      <c r="P5421">
        <v>-0.13601099999999999</v>
      </c>
      <c r="Q5421">
        <v>-1.480514E-2</v>
      </c>
      <c r="R5421">
        <v>-0.99059710000000001</v>
      </c>
      <c r="S5421">
        <v>-0.97248840000000003</v>
      </c>
      <c r="T5421">
        <v>-0.19622729999999999</v>
      </c>
      <c r="U5421">
        <v>-2.8927</v>
      </c>
      <c r="V5421">
        <v>0.1036625</v>
      </c>
      <c r="W5421">
        <v>-6.7332259999999995E-4</v>
      </c>
      <c r="X5421">
        <v>0.9946123</v>
      </c>
      <c r="Y5421">
        <v>0.28694750000000002</v>
      </c>
      <c r="Z5421">
        <v>6.4439220000000005E-2</v>
      </c>
      <c r="AA5421">
        <v>0.95577650000000003</v>
      </c>
      <c r="AB5421">
        <v>13</v>
      </c>
      <c r="AC5421">
        <v>-5.4965999999999999</v>
      </c>
      <c r="AD5421">
        <v>-1.10979206345</v>
      </c>
      <c r="AE5421">
        <v>-16.285799999999998</v>
      </c>
      <c r="AF5421">
        <v>4.9424570358800599</v>
      </c>
      <c r="AG5421">
        <v>-1.10979206345</v>
      </c>
      <c r="AH5421">
        <v>16.387924001998901</v>
      </c>
      <c r="AI5421">
        <v>93.709616186959806</v>
      </c>
      <c r="AJ5421">
        <v>73.217140312625403</v>
      </c>
      <c r="AK5421">
        <v>17.152946483648499</v>
      </c>
      <c r="AL5421">
        <v>90.038578546250307</v>
      </c>
      <c r="AM5421">
        <v>84.049885693271094</v>
      </c>
      <c r="AN5421">
        <v>0.99999999729043099</v>
      </c>
    </row>
    <row r="5422" spans="1:40" x14ac:dyDescent="0.25">
      <c r="A5422" t="str">
        <f>"20190312154032200"</f>
        <v>20190312154032200</v>
      </c>
      <c r="B5422" t="str">
        <f>"1552376432191317"</f>
        <v>1552376432191317</v>
      </c>
      <c r="C5422" t="s">
        <v>40</v>
      </c>
      <c r="D5422">
        <v>3.9064749999999999</v>
      </c>
      <c r="E5422">
        <v>0.57249300000000003</v>
      </c>
      <c r="F5422" t="s">
        <v>55</v>
      </c>
      <c r="G5422">
        <v>-197.07509999999999</v>
      </c>
      <c r="H5422" s="1">
        <v>-1.30906E-5</v>
      </c>
      <c r="I5422">
        <v>153.13319999999999</v>
      </c>
      <c r="J5422">
        <v>-191.62039999999999</v>
      </c>
      <c r="K5422">
        <v>1.1097809999999999</v>
      </c>
      <c r="L5422">
        <v>169.22819999999999</v>
      </c>
      <c r="M5422">
        <v>-3.3389269999999999E-2</v>
      </c>
      <c r="N5422">
        <v>0</v>
      </c>
      <c r="O5422">
        <v>-0.99934009999999995</v>
      </c>
      <c r="P5422">
        <v>-0.13730149999999999</v>
      </c>
      <c r="Q5422">
        <v>-1.5167099999999999E-2</v>
      </c>
      <c r="R5422">
        <v>-0.99041349999999995</v>
      </c>
      <c r="S5422">
        <v>-0.97630309999999998</v>
      </c>
      <c r="T5422">
        <v>-0.19851840000000001</v>
      </c>
      <c r="U5422">
        <v>-2.8914490000000002</v>
      </c>
      <c r="V5422">
        <v>0.1041508</v>
      </c>
      <c r="W5422">
        <v>-1.0971139999999999E-3</v>
      </c>
      <c r="X5422">
        <v>0.99456089999999997</v>
      </c>
      <c r="Y5422">
        <v>0.287412</v>
      </c>
      <c r="Z5422">
        <v>6.5194299999999997E-2</v>
      </c>
      <c r="AA5422">
        <v>0.95558569999999998</v>
      </c>
      <c r="AB5422">
        <v>13</v>
      </c>
      <c r="AC5422">
        <v>-5.4546999999999999</v>
      </c>
      <c r="AD5422">
        <v>-1.1097940905999999</v>
      </c>
      <c r="AE5422">
        <v>-16.094999999999999</v>
      </c>
      <c r="AF5422">
        <v>4.8933343367924698</v>
      </c>
      <c r="AG5422">
        <v>-1.1097940905999999</v>
      </c>
      <c r="AH5422">
        <v>16.1990875905338</v>
      </c>
      <c r="AI5422">
        <v>93.752243751125505</v>
      </c>
      <c r="AJ5422">
        <v>73.191762271230502</v>
      </c>
      <c r="AK5422">
        <v>16.958384434283499</v>
      </c>
      <c r="AL5422">
        <v>90.062860015190196</v>
      </c>
      <c r="AM5422">
        <v>84.021753587444806</v>
      </c>
      <c r="AN5422">
        <v>0.99999998830428904</v>
      </c>
    </row>
    <row r="5423" spans="1:40" x14ac:dyDescent="0.25">
      <c r="A5423" t="str">
        <f>"20190312154032210"</f>
        <v>20190312154032210</v>
      </c>
      <c r="B5423" t="str">
        <f>"1552376432202052"</f>
        <v>1552376432202052</v>
      </c>
      <c r="C5423" t="s">
        <v>40</v>
      </c>
      <c r="D5423">
        <v>3.9324300000000001</v>
      </c>
      <c r="E5423">
        <v>0.57260630000000001</v>
      </c>
      <c r="F5423" t="s">
        <v>55</v>
      </c>
      <c r="G5423">
        <v>-197.0564</v>
      </c>
      <c r="H5423" s="1">
        <v>-1.3111390000000001E-5</v>
      </c>
      <c r="I5423">
        <v>153.22239999999999</v>
      </c>
      <c r="J5423">
        <v>-191.62389999999999</v>
      </c>
      <c r="K5423">
        <v>1.109782</v>
      </c>
      <c r="L5423">
        <v>169.1542</v>
      </c>
      <c r="M5423">
        <v>-3.4256170000000002E-2</v>
      </c>
      <c r="N5423">
        <v>0</v>
      </c>
      <c r="O5423">
        <v>-0.99931170000000002</v>
      </c>
      <c r="P5423">
        <v>-0.1386066</v>
      </c>
      <c r="Q5423">
        <v>-1.5647089999999999E-2</v>
      </c>
      <c r="R5423">
        <v>-0.9902242</v>
      </c>
      <c r="S5423">
        <v>-0.98150630000000005</v>
      </c>
      <c r="T5423">
        <v>-0.20037930000000001</v>
      </c>
      <c r="U5423">
        <v>-2.889923</v>
      </c>
      <c r="V5423">
        <v>0.1045982</v>
      </c>
      <c r="W5423">
        <v>-1.6348529999999999E-3</v>
      </c>
      <c r="X5423">
        <v>0.99451319999999999</v>
      </c>
      <c r="Y5423">
        <v>0.28826469999999998</v>
      </c>
      <c r="Z5423">
        <v>6.5805459999999996E-2</v>
      </c>
      <c r="AA5423">
        <v>0.95528690000000005</v>
      </c>
      <c r="AB5423">
        <v>13</v>
      </c>
      <c r="AC5423">
        <v>-5.4325000000000001</v>
      </c>
      <c r="AD5423">
        <v>-1.10979511139</v>
      </c>
      <c r="AE5423">
        <v>-15.931800000000001</v>
      </c>
      <c r="AF5423">
        <v>4.8623566749945297</v>
      </c>
      <c r="AG5423">
        <v>-1.10979511139</v>
      </c>
      <c r="AH5423">
        <v>16.038842659414598</v>
      </c>
      <c r="AI5423">
        <v>93.788489278599002</v>
      </c>
      <c r="AJ5423">
        <v>73.1347262309299</v>
      </c>
      <c r="AK5423">
        <v>16.796387453187201</v>
      </c>
      <c r="AL5423">
        <v>90.093670220569393</v>
      </c>
      <c r="AM5423">
        <v>83.995974185618294</v>
      </c>
      <c r="AN5423">
        <v>0.999999980580905</v>
      </c>
    </row>
    <row r="5424" spans="1:40" x14ac:dyDescent="0.25">
      <c r="A5424" t="str">
        <f>"20190312154032230"</f>
        <v>20190312154032230</v>
      </c>
      <c r="B5424" t="str">
        <f>"1552376432221572"</f>
        <v>1552376432221572</v>
      </c>
      <c r="C5424" t="s">
        <v>40</v>
      </c>
      <c r="D5424">
        <v>3.9140709999999999</v>
      </c>
      <c r="E5424">
        <v>0.57281930000000003</v>
      </c>
      <c r="F5424" t="s">
        <v>55</v>
      </c>
      <c r="G5424">
        <v>-197.0275</v>
      </c>
      <c r="H5424" s="1">
        <v>-1.31348E-5</v>
      </c>
      <c r="I5424">
        <v>153.32570000000001</v>
      </c>
      <c r="J5424">
        <v>-191.62909999999999</v>
      </c>
      <c r="K5424">
        <v>1.1097809999999999</v>
      </c>
      <c r="L5424">
        <v>169.0463</v>
      </c>
      <c r="M5424">
        <v>-3.5517880000000002E-2</v>
      </c>
      <c r="N5424">
        <v>0</v>
      </c>
      <c r="O5424">
        <v>-0.99926890000000002</v>
      </c>
      <c r="P5424">
        <v>-0.1413577</v>
      </c>
      <c r="Q5424">
        <v>-1.6819480000000001E-2</v>
      </c>
      <c r="R5424">
        <v>-0.98981600000000003</v>
      </c>
      <c r="S5424">
        <v>-0.98605350000000003</v>
      </c>
      <c r="T5424">
        <v>-0.2025158</v>
      </c>
      <c r="U5424">
        <v>-2.8883969999999999</v>
      </c>
      <c r="V5424">
        <v>0.1061047</v>
      </c>
      <c r="W5424">
        <v>-2.8862200000000001E-3</v>
      </c>
      <c r="X5424">
        <v>0.99435079999999998</v>
      </c>
      <c r="Y5424">
        <v>0.28854220000000003</v>
      </c>
      <c r="Z5424">
        <v>6.6513390000000006E-2</v>
      </c>
      <c r="AA5424">
        <v>0.95515410000000001</v>
      </c>
      <c r="AB5424">
        <v>13</v>
      </c>
      <c r="AC5424">
        <v>-5.3983999999999996</v>
      </c>
      <c r="AD5424">
        <v>-1.1097941348</v>
      </c>
      <c r="AE5424">
        <v>-15.7205999999999</v>
      </c>
      <c r="AF5424">
        <v>4.8151093513382603</v>
      </c>
      <c r="AG5424">
        <v>-1.1097941348</v>
      </c>
      <c r="AH5424">
        <v>15.831860195959001</v>
      </c>
      <c r="AI5424">
        <v>93.8368272851489</v>
      </c>
      <c r="AJ5424">
        <v>73.0833611755303</v>
      </c>
      <c r="AK5424">
        <v>16.5850751686983</v>
      </c>
      <c r="AL5424">
        <v>90.165368450116404</v>
      </c>
      <c r="AM5424">
        <v>83.909157913655704</v>
      </c>
      <c r="AN5424">
        <v>1.0000000255443</v>
      </c>
    </row>
    <row r="5425" spans="1:40" x14ac:dyDescent="0.25">
      <c r="A5425" t="str">
        <f>"20190312154032242"</f>
        <v>20190312154032242</v>
      </c>
      <c r="B5425" t="str">
        <f>"1552376432231334"</f>
        <v>1552376432231334</v>
      </c>
      <c r="C5425" t="s">
        <v>40</v>
      </c>
      <c r="D5425">
        <v>3.9305279999999998</v>
      </c>
      <c r="E5425">
        <v>0.57290549999999996</v>
      </c>
      <c r="F5425" t="s">
        <v>55</v>
      </c>
      <c r="G5425">
        <v>-196.9366</v>
      </c>
      <c r="H5425" s="1">
        <v>-1.3212889999999999E-5</v>
      </c>
      <c r="I5425">
        <v>153.66810000000001</v>
      </c>
      <c r="J5425">
        <v>-191.63239999999999</v>
      </c>
      <c r="K5425">
        <v>1.1097859999999999</v>
      </c>
      <c r="L5425">
        <v>168.97929999999999</v>
      </c>
      <c r="M5425">
        <v>-3.6300510000000001E-2</v>
      </c>
      <c r="N5425">
        <v>0</v>
      </c>
      <c r="O5425">
        <v>-0.99924120000000005</v>
      </c>
      <c r="P5425">
        <v>-0.14248229999999901</v>
      </c>
      <c r="Q5425">
        <v>-1.771141E-2</v>
      </c>
      <c r="R5425">
        <v>-0.98963909999999999</v>
      </c>
      <c r="S5425">
        <v>-0.99574280000000004</v>
      </c>
      <c r="T5425">
        <v>-0.2082099</v>
      </c>
      <c r="U5425">
        <v>-2.885132</v>
      </c>
      <c r="V5425">
        <v>0.10645490000000001</v>
      </c>
      <c r="W5425">
        <v>-3.8213309999999999E-3</v>
      </c>
      <c r="X5425">
        <v>0.99431020000000003</v>
      </c>
      <c r="Y5425">
        <v>0.29095019999999999</v>
      </c>
      <c r="Z5425">
        <v>6.8382869999999998E-2</v>
      </c>
      <c r="AA5425">
        <v>0.95429129999999995</v>
      </c>
      <c r="AB5425">
        <v>13</v>
      </c>
      <c r="AC5425">
        <v>-5.3041999999999998</v>
      </c>
      <c r="AD5425">
        <v>-1.1097992128899901</v>
      </c>
      <c r="AE5425">
        <v>-15.3111999999999</v>
      </c>
      <c r="AF5425">
        <v>4.7226903910397597</v>
      </c>
      <c r="AG5425">
        <v>-1.1097992128899901</v>
      </c>
      <c r="AH5425">
        <v>15.4213324511782</v>
      </c>
      <c r="AI5425">
        <v>93.936362082560095</v>
      </c>
      <c r="AJ5425">
        <v>72.973107452140695</v>
      </c>
      <c r="AK5425">
        <v>16.166414364116498</v>
      </c>
      <c r="AL5425">
        <v>90.218946668866195</v>
      </c>
      <c r="AM5425">
        <v>83.888959229810098</v>
      </c>
      <c r="AN5425">
        <v>1.0000000110643299</v>
      </c>
    </row>
    <row r="5426" spans="1:40" x14ac:dyDescent="0.25">
      <c r="A5426" t="str">
        <f>"20190312154032252"</f>
        <v>20190312154032252</v>
      </c>
      <c r="B5426" t="str">
        <f>"1552376432242069"</f>
        <v>1552376432242069</v>
      </c>
      <c r="C5426" t="s">
        <v>40</v>
      </c>
      <c r="D5426">
        <v>3.9389620000000001</v>
      </c>
      <c r="E5426">
        <v>0.57300699999999904</v>
      </c>
      <c r="F5426" t="s">
        <v>55</v>
      </c>
      <c r="G5426">
        <v>-196.8758</v>
      </c>
      <c r="H5426" s="1">
        <v>-1.32545E-5</v>
      </c>
      <c r="I5426">
        <v>153.85489999999999</v>
      </c>
      <c r="J5426">
        <v>-191.63579999999999</v>
      </c>
      <c r="K5426">
        <v>1.109793</v>
      </c>
      <c r="L5426">
        <v>168.91079999999999</v>
      </c>
      <c r="M5426">
        <v>-3.7097789999999999E-2</v>
      </c>
      <c r="N5426">
        <v>0</v>
      </c>
      <c r="O5426">
        <v>-0.99921260000000001</v>
      </c>
      <c r="P5426">
        <v>-0.14375779999999999</v>
      </c>
      <c r="Q5426">
        <v>-1.8757389999999999E-2</v>
      </c>
      <c r="R5426">
        <v>-0.98943539999999996</v>
      </c>
      <c r="S5426">
        <v>-0.99974059999999998</v>
      </c>
      <c r="T5426">
        <v>-0.21159919999999999</v>
      </c>
      <c r="U5426">
        <v>-2.8836819999999999</v>
      </c>
      <c r="V5426">
        <v>0.10694240000000001</v>
      </c>
      <c r="W5426">
        <v>-4.9083679999999998E-3</v>
      </c>
      <c r="X5426">
        <v>0.9942531</v>
      </c>
      <c r="Y5426">
        <v>0.29149120000000001</v>
      </c>
      <c r="Z5426">
        <v>6.9499099999999994E-2</v>
      </c>
      <c r="AA5426">
        <v>0.95404549999999999</v>
      </c>
      <c r="AB5426">
        <v>13</v>
      </c>
      <c r="AC5426">
        <v>-5.24</v>
      </c>
      <c r="AD5426">
        <v>-1.1098062545</v>
      </c>
      <c r="AE5426">
        <v>-15.055899999999999</v>
      </c>
      <c r="AF5426">
        <v>4.6552349385573804</v>
      </c>
      <c r="AG5426">
        <v>-1.1098062545</v>
      </c>
      <c r="AH5426">
        <v>15.1664420794765</v>
      </c>
      <c r="AI5426">
        <v>94.001547938519295</v>
      </c>
      <c r="AJ5426">
        <v>72.936492507981697</v>
      </c>
      <c r="AK5426">
        <v>15.903579710423999</v>
      </c>
      <c r="AL5426">
        <v>90.281229900523101</v>
      </c>
      <c r="AM5426">
        <v>83.860837641406604</v>
      </c>
      <c r="AN5426">
        <v>0.99999999792689598</v>
      </c>
    </row>
    <row r="5427" spans="1:40" x14ac:dyDescent="0.25">
      <c r="A5427" t="str">
        <f>"20190312154032264"</f>
        <v>20190312154032264</v>
      </c>
      <c r="B5427" t="str">
        <f>"1552376432251828"</f>
        <v>1552376432251828</v>
      </c>
      <c r="C5427" t="s">
        <v>40</v>
      </c>
      <c r="D5427">
        <v>3.9026900000000002</v>
      </c>
      <c r="E5427">
        <v>0.57309299999999996</v>
      </c>
      <c r="F5427" t="s">
        <v>55</v>
      </c>
      <c r="G5427">
        <v>-196.8175</v>
      </c>
      <c r="H5427" s="1">
        <v>-1.329598E-5</v>
      </c>
      <c r="I5427">
        <v>154.0403</v>
      </c>
      <c r="J5427">
        <v>-191.63910000000001</v>
      </c>
      <c r="K5427">
        <v>1.1097980000000001</v>
      </c>
      <c r="L5427">
        <v>168.8459</v>
      </c>
      <c r="M5427">
        <v>-3.7849470000000003E-2</v>
      </c>
      <c r="N5427">
        <v>0</v>
      </c>
      <c r="O5427">
        <v>-0.99918490000000004</v>
      </c>
      <c r="P5427">
        <v>-0.1447444</v>
      </c>
      <c r="Q5427">
        <v>-1.8971310000000002E-2</v>
      </c>
      <c r="R5427">
        <v>-0.98928729999999998</v>
      </c>
      <c r="S5427">
        <v>-1.0042719999999901</v>
      </c>
      <c r="T5427">
        <v>-0.2150917</v>
      </c>
      <c r="U5427">
        <v>-2.88205</v>
      </c>
      <c r="V5427">
        <v>0.1071858</v>
      </c>
      <c r="W5427">
        <v>-5.1575379999999997E-3</v>
      </c>
      <c r="X5427">
        <v>0.99422560000000004</v>
      </c>
      <c r="Y5427">
        <v>0.29225079999999998</v>
      </c>
      <c r="Z5427">
        <v>7.0648849999999999E-2</v>
      </c>
      <c r="AA5427">
        <v>0.95372860000000004</v>
      </c>
      <c r="AB5427">
        <v>13</v>
      </c>
      <c r="AC5427">
        <v>-5.1783999999999804</v>
      </c>
      <c r="AD5427">
        <v>-1.1098112959799999</v>
      </c>
      <c r="AE5427">
        <v>-14.805599999999901</v>
      </c>
      <c r="AF5427">
        <v>4.5912637167772603</v>
      </c>
      <c r="AG5427">
        <v>-1.1098112959799999</v>
      </c>
      <c r="AH5427">
        <v>14.9163309598797</v>
      </c>
      <c r="AI5427">
        <v>94.067462309510802</v>
      </c>
      <c r="AJ5427">
        <v>72.891574721351006</v>
      </c>
      <c r="AK5427">
        <v>15.646351425631</v>
      </c>
      <c r="AL5427">
        <v>90.295506479098805</v>
      </c>
      <c r="AM5427">
        <v>83.846803135361</v>
      </c>
      <c r="AN5427">
        <v>0.99999996980760997</v>
      </c>
    </row>
    <row r="5428" spans="1:40" x14ac:dyDescent="0.25">
      <c r="A5428" t="str">
        <f>"20190312154032277"</f>
        <v>20190312154032277</v>
      </c>
      <c r="B5428" t="str">
        <f>"1552376432271348"</f>
        <v>1552376432271348</v>
      </c>
      <c r="C5428" t="s">
        <v>40</v>
      </c>
      <c r="D5428">
        <v>3.910361</v>
      </c>
      <c r="E5428">
        <v>0.57298879999999996</v>
      </c>
      <c r="F5428" t="s">
        <v>55</v>
      </c>
      <c r="G5428">
        <v>-196.83340000000001</v>
      </c>
      <c r="H5428" s="1">
        <v>-1.3288050000000001E-5</v>
      </c>
      <c r="I5428">
        <v>154.00319999999999</v>
      </c>
      <c r="J5428">
        <v>-191.64279999999999</v>
      </c>
      <c r="K5428">
        <v>1.1098110000000001</v>
      </c>
      <c r="L5428">
        <v>168.7723</v>
      </c>
      <c r="M5428">
        <v>-3.8701260000000001E-2</v>
      </c>
      <c r="N5428">
        <v>0</v>
      </c>
      <c r="O5428">
        <v>-0.99915290000000001</v>
      </c>
      <c r="P5428">
        <v>-0.14581939999999999</v>
      </c>
      <c r="Q5428">
        <v>-1.9050480000000002E-2</v>
      </c>
      <c r="R5428">
        <v>-0.98912809999999995</v>
      </c>
      <c r="S5428">
        <v>-1.0081789999999999</v>
      </c>
      <c r="T5428">
        <v>-0.2154065</v>
      </c>
      <c r="U5428">
        <v>-2.8808750000000001</v>
      </c>
      <c r="V5428">
        <v>0.10741870000000001</v>
      </c>
      <c r="W5428">
        <v>-5.2748329999999996E-3</v>
      </c>
      <c r="X5428">
        <v>0.99419990000000003</v>
      </c>
      <c r="Y5428">
        <v>0.29270679999999999</v>
      </c>
      <c r="Z5428">
        <v>7.0754979999999995E-2</v>
      </c>
      <c r="AA5428">
        <v>0.95358089999999995</v>
      </c>
      <c r="AB5428">
        <v>13</v>
      </c>
      <c r="AC5428">
        <v>-5.1906000000000097</v>
      </c>
      <c r="AD5428">
        <v>-1.10982428805</v>
      </c>
      <c r="AE5428">
        <v>-14.7691</v>
      </c>
      <c r="AF5428">
        <v>4.5919925986009797</v>
      </c>
      <c r="AG5428">
        <v>-1.10982428805</v>
      </c>
      <c r="AH5428">
        <v>14.8841282987313</v>
      </c>
      <c r="AI5428">
        <v>94.075463116068605</v>
      </c>
      <c r="AJ5428">
        <v>72.854165510410795</v>
      </c>
      <c r="AK5428">
        <v>15.615869530354299</v>
      </c>
      <c r="AL5428">
        <v>90.302227063701196</v>
      </c>
      <c r="AM5428">
        <v>83.833377806155397</v>
      </c>
      <c r="AN5428">
        <v>1.0000000210664299</v>
      </c>
    </row>
    <row r="5429" spans="1:40" x14ac:dyDescent="0.25">
      <c r="A5429" t="str">
        <f>"20190312154032289"</f>
        <v>20190312154032289</v>
      </c>
      <c r="B5429" t="str">
        <f>"1552376432282085"</f>
        <v>1552376432282085</v>
      </c>
      <c r="C5429" t="s">
        <v>40</v>
      </c>
      <c r="D5429">
        <v>3.9361389999999998</v>
      </c>
      <c r="E5429">
        <v>0.5471686</v>
      </c>
      <c r="F5429" t="s">
        <v>55</v>
      </c>
      <c r="G5429">
        <v>-196.8648</v>
      </c>
      <c r="H5429" s="1">
        <v>-1.32620799999999E-5</v>
      </c>
      <c r="I5429">
        <v>153.88890000000001</v>
      </c>
      <c r="J5429">
        <v>-191.6465</v>
      </c>
      <c r="K5429">
        <v>1.1098209999999999</v>
      </c>
      <c r="L5429">
        <v>168.70150000000001</v>
      </c>
      <c r="M5429">
        <v>-3.9514729999999998E-2</v>
      </c>
      <c r="N5429">
        <v>0</v>
      </c>
      <c r="O5429">
        <v>-0.99912140000000005</v>
      </c>
      <c r="P5429">
        <v>-0.1467437</v>
      </c>
      <c r="Q5429">
        <v>-1.8825990000000001E-2</v>
      </c>
      <c r="R5429">
        <v>-0.98899559999999997</v>
      </c>
      <c r="S5429">
        <v>-1.0104219999999999</v>
      </c>
      <c r="T5429">
        <v>-0.2147453</v>
      </c>
      <c r="U5429">
        <v>-2.8798680000000001</v>
      </c>
      <c r="V5429">
        <v>0.1075386</v>
      </c>
      <c r="W5429">
        <v>-5.0824950000000002E-3</v>
      </c>
      <c r="X5429">
        <v>0.99418790000000001</v>
      </c>
      <c r="Y5429">
        <v>0.29269869999999998</v>
      </c>
      <c r="Z5429">
        <v>7.0549940000000005E-2</v>
      </c>
      <c r="AA5429">
        <v>0.95359859999999996</v>
      </c>
      <c r="AB5429">
        <v>13</v>
      </c>
      <c r="AC5429">
        <v>-5.2182999999999904</v>
      </c>
      <c r="AD5429">
        <v>-1.1098342620799999</v>
      </c>
      <c r="AE5429">
        <v>-14.8126</v>
      </c>
      <c r="AF5429">
        <v>4.6058491980382996</v>
      </c>
      <c r="AG5429">
        <v>-1.1098342620799999</v>
      </c>
      <c r="AH5429">
        <v>14.932675387518101</v>
      </c>
      <c r="AI5429">
        <v>94.062379946625995</v>
      </c>
      <c r="AJ5429">
        <v>72.858092835073606</v>
      </c>
      <c r="AK5429">
        <v>15.666217576471499</v>
      </c>
      <c r="AL5429">
        <v>90.291206772059297</v>
      </c>
      <c r="AM5429">
        <v>83.826473846634002</v>
      </c>
      <c r="AN5429">
        <v>0.99999998137589696</v>
      </c>
    </row>
    <row r="5430" spans="1:40" x14ac:dyDescent="0.25">
      <c r="A5430" t="str">
        <f>"20190312154032309"</f>
        <v>20190312154032309</v>
      </c>
      <c r="B5430" t="str">
        <f>"1552376432301605"</f>
        <v>1552376432301605</v>
      </c>
      <c r="C5430" t="s">
        <v>40</v>
      </c>
      <c r="D5430">
        <v>3.974478</v>
      </c>
      <c r="E5430">
        <v>0.53585769999999899</v>
      </c>
      <c r="F5430" t="s">
        <v>55</v>
      </c>
      <c r="G5430">
        <v>-197.8819</v>
      </c>
      <c r="H5430" s="1">
        <v>-1.1181540000000001E-5</v>
      </c>
      <c r="I5430">
        <v>146.31639999999999</v>
      </c>
      <c r="J5430">
        <v>-191.65270000000001</v>
      </c>
      <c r="K5430">
        <v>1.1098380000000001</v>
      </c>
      <c r="L5430">
        <v>168.5856</v>
      </c>
      <c r="M5430">
        <v>-4.0841019999999999E-2</v>
      </c>
      <c r="N5430">
        <v>0</v>
      </c>
      <c r="O5430">
        <v>-0.99906890000000004</v>
      </c>
      <c r="P5430">
        <v>-0.147322799999999</v>
      </c>
      <c r="Q5430">
        <v>-1.7837459999999999E-2</v>
      </c>
      <c r="R5430">
        <v>-0.98892800000000003</v>
      </c>
      <c r="S5430">
        <v>-0.81066890000000003</v>
      </c>
      <c r="T5430">
        <v>-0.14429239999999999</v>
      </c>
      <c r="U5430">
        <v>-2.910355</v>
      </c>
      <c r="V5430">
        <v>0.1068017</v>
      </c>
      <c r="W5430">
        <v>-4.1402139999999997E-3</v>
      </c>
      <c r="X5430">
        <v>0.99427169999999998</v>
      </c>
      <c r="Y5430">
        <v>0.22845270000000001</v>
      </c>
      <c r="Z5430">
        <v>4.7892289999999997E-2</v>
      </c>
      <c r="AA5430">
        <v>0.97237629999999997</v>
      </c>
      <c r="AB5430">
        <v>13</v>
      </c>
      <c r="AC5430">
        <v>-6.2291999999999899</v>
      </c>
      <c r="AD5430">
        <v>-1.10984918153999</v>
      </c>
      <c r="AE5430">
        <v>-22.269200000000001</v>
      </c>
      <c r="AF5430">
        <v>5.3022029362594001</v>
      </c>
      <c r="AG5430">
        <v>-1.10984918153999</v>
      </c>
      <c r="AH5430">
        <v>22.453324947362098</v>
      </c>
      <c r="AI5430">
        <v>92.754151975781696</v>
      </c>
      <c r="AJ5430">
        <v>76.713384966200806</v>
      </c>
      <c r="AK5430">
        <v>23.097552302676501</v>
      </c>
      <c r="AL5430">
        <v>90.237217471181296</v>
      </c>
      <c r="AM5430">
        <v>83.868966965348093</v>
      </c>
      <c r="AN5430">
        <v>0.99999997895787196</v>
      </c>
    </row>
    <row r="5431" spans="1:40" x14ac:dyDescent="0.25">
      <c r="A5431" t="str">
        <f>"20190312154032322"</f>
        <v>20190312154032322</v>
      </c>
      <c r="B5431" t="str">
        <f>"1552376432311365"</f>
        <v>1552376432311365</v>
      </c>
      <c r="C5431" t="s">
        <v>40</v>
      </c>
      <c r="D5431">
        <v>3.9772270000000001</v>
      </c>
      <c r="E5431">
        <v>0.53311769999999903</v>
      </c>
      <c r="F5431" t="s">
        <v>55</v>
      </c>
      <c r="G5431">
        <v>-197.2731</v>
      </c>
      <c r="H5431" s="1">
        <v>-1.0960760000000001E-5</v>
      </c>
      <c r="I5431">
        <v>145.8681</v>
      </c>
      <c r="J5431">
        <v>-191.65649999999999</v>
      </c>
      <c r="K5431">
        <v>1.109847</v>
      </c>
      <c r="L5431">
        <v>168.51580000000001</v>
      </c>
      <c r="M5431">
        <v>-4.1637069999999998E-2</v>
      </c>
      <c r="N5431">
        <v>0</v>
      </c>
      <c r="O5431">
        <v>-0.99903649999999999</v>
      </c>
      <c r="P5431">
        <v>-0.1477697</v>
      </c>
      <c r="Q5431">
        <v>-1.753004E-2</v>
      </c>
      <c r="R5431">
        <v>-0.98886680000000005</v>
      </c>
      <c r="S5431">
        <v>-0.72323609999999905</v>
      </c>
      <c r="T5431">
        <v>-0.1428152</v>
      </c>
      <c r="U5431">
        <v>-2.9232939999999998</v>
      </c>
      <c r="V5431">
        <v>0.1064591</v>
      </c>
      <c r="W5431">
        <v>-3.8585E-3</v>
      </c>
      <c r="X5431">
        <v>0.99430960000000002</v>
      </c>
      <c r="Y5431">
        <v>0.19926170000000001</v>
      </c>
      <c r="Z5431">
        <v>4.7528729999999998E-2</v>
      </c>
      <c r="AA5431">
        <v>0.97879300000000002</v>
      </c>
      <c r="AB5431">
        <v>13</v>
      </c>
      <c r="AC5431">
        <v>-5.6166</v>
      </c>
      <c r="AD5431">
        <v>-1.1098579607600001</v>
      </c>
      <c r="AE5431">
        <v>-22.6477</v>
      </c>
      <c r="AF5431">
        <v>4.6581153236017503</v>
      </c>
      <c r="AG5431">
        <v>-1.1098579607600001</v>
      </c>
      <c r="AH5431">
        <v>22.810331830928</v>
      </c>
      <c r="AI5431">
        <v>92.729342269633307</v>
      </c>
      <c r="AJ5431">
        <v>78.458276593489501</v>
      </c>
      <c r="AK5431">
        <v>23.3075322867541</v>
      </c>
      <c r="AL5431">
        <v>90.221076312862493</v>
      </c>
      <c r="AM5431">
        <v>83.888716293514307</v>
      </c>
      <c r="AN5431">
        <v>1.0000000043236099</v>
      </c>
    </row>
    <row r="5432" spans="1:40" x14ac:dyDescent="0.25">
      <c r="A5432" t="str">
        <f>"20190312154032335"</f>
        <v>20190312154032335</v>
      </c>
      <c r="B5432" t="str">
        <f>"1552376432331861"</f>
        <v>1552376432331861</v>
      </c>
      <c r="C5432" t="s">
        <v>40</v>
      </c>
      <c r="D5432">
        <v>3.9476019999999998</v>
      </c>
      <c r="E5432">
        <v>0.52995630000000005</v>
      </c>
      <c r="F5432" t="s">
        <v>55</v>
      </c>
      <c r="G5432">
        <v>-197.0394</v>
      </c>
      <c r="H5432" s="1">
        <v>-1.0997590000000001E-5</v>
      </c>
      <c r="I5432">
        <v>146.10470000000001</v>
      </c>
      <c r="J5432">
        <v>-191.66079999999999</v>
      </c>
      <c r="K5432">
        <v>1.1098520000000001</v>
      </c>
      <c r="L5432">
        <v>168.4367</v>
      </c>
      <c r="M5432">
        <v>-4.2533880000000003E-2</v>
      </c>
      <c r="N5432">
        <v>0</v>
      </c>
      <c r="O5432">
        <v>-0.99899899999999997</v>
      </c>
      <c r="P5432">
        <v>-0.1483217</v>
      </c>
      <c r="Q5432">
        <v>-1.7350810000000001E-2</v>
      </c>
      <c r="R5432">
        <v>-0.98878719999999998</v>
      </c>
      <c r="S5432">
        <v>-0.70283509999999905</v>
      </c>
      <c r="T5432">
        <v>-0.1449125</v>
      </c>
      <c r="U5432">
        <v>-2.9261780000000002</v>
      </c>
      <c r="V5432">
        <v>0.1061218</v>
      </c>
      <c r="W5432">
        <v>-3.706193E-3</v>
      </c>
      <c r="X5432">
        <v>0.99434630000000002</v>
      </c>
      <c r="Y5432">
        <v>0.1917017</v>
      </c>
      <c r="Z5432">
        <v>4.8252139999999999E-2</v>
      </c>
      <c r="AA5432">
        <v>0.98026639999999998</v>
      </c>
      <c r="AB5432">
        <v>13</v>
      </c>
      <c r="AC5432">
        <v>-5.3785999999999996</v>
      </c>
      <c r="AD5432">
        <v>-1.1098629975900001</v>
      </c>
      <c r="AE5432">
        <v>-22.331999999999901</v>
      </c>
      <c r="AF5432">
        <v>4.4134705527299101</v>
      </c>
      <c r="AG5432">
        <v>-1.1098629975900001</v>
      </c>
      <c r="AH5432">
        <v>22.4880823553199</v>
      </c>
      <c r="AI5432">
        <v>92.772640282383307</v>
      </c>
      <c r="AJ5432">
        <v>78.8963587100952</v>
      </c>
      <c r="AK5432">
        <v>22.943939640194401</v>
      </c>
      <c r="AL5432">
        <v>90.212349688591004</v>
      </c>
      <c r="AM5432">
        <v>83.908156322635605</v>
      </c>
      <c r="AN5432">
        <v>1.0000000683127299</v>
      </c>
    </row>
    <row r="5433" spans="1:40" x14ac:dyDescent="0.25">
      <c r="A5433" t="str">
        <f>"20190312154032348"</f>
        <v>20190312154032348</v>
      </c>
      <c r="B5433" t="str">
        <f>"1552376432341621"</f>
        <v>1552376432341621</v>
      </c>
      <c r="C5433" t="s">
        <v>40</v>
      </c>
      <c r="D5433">
        <v>3.9351799999999999</v>
      </c>
      <c r="E5433">
        <v>0.52914830000000002</v>
      </c>
      <c r="F5433" t="s">
        <v>55</v>
      </c>
      <c r="G5433">
        <v>-196.6754</v>
      </c>
      <c r="H5433" s="1">
        <v>-1.113952E-5</v>
      </c>
      <c r="I5433">
        <v>146.81180000000001</v>
      </c>
      <c r="J5433">
        <v>-191.66499999999999</v>
      </c>
      <c r="K5433">
        <v>1.109856</v>
      </c>
      <c r="L5433">
        <v>168.36320000000001</v>
      </c>
      <c r="M5433">
        <v>-4.3366019999999998E-2</v>
      </c>
      <c r="N5433">
        <v>0</v>
      </c>
      <c r="O5433">
        <v>-0.9989635</v>
      </c>
      <c r="P5433">
        <v>-0.14862539999999999</v>
      </c>
      <c r="Q5433">
        <v>-1.7791680000000001E-2</v>
      </c>
      <c r="R5433">
        <v>-0.98873339999999998</v>
      </c>
      <c r="S5433">
        <v>-0.67930599999999997</v>
      </c>
      <c r="T5433">
        <v>-0.15035090000000001</v>
      </c>
      <c r="U5433">
        <v>-2.9294889999999998</v>
      </c>
      <c r="V5433">
        <v>0.10559880000000001</v>
      </c>
      <c r="W5433">
        <v>-4.1692769999999999E-3</v>
      </c>
      <c r="X5433">
        <v>0.99440010000000001</v>
      </c>
      <c r="Y5433">
        <v>0.1831468</v>
      </c>
      <c r="Z5433">
        <v>5.0087520000000003E-2</v>
      </c>
      <c r="AA5433">
        <v>0.98180880000000004</v>
      </c>
      <c r="AB5433">
        <v>13</v>
      </c>
      <c r="AC5433">
        <v>-5.0103999999999997</v>
      </c>
      <c r="AD5433">
        <v>-1.1098671395199999</v>
      </c>
      <c r="AE5433">
        <v>-21.551400000000001</v>
      </c>
      <c r="AF5433">
        <v>4.0607803385886303</v>
      </c>
      <c r="AG5433">
        <v>-1.1098671395199999</v>
      </c>
      <c r="AH5433">
        <v>21.6938394482946</v>
      </c>
      <c r="AI5433">
        <v>92.878811716433603</v>
      </c>
      <c r="AJ5433">
        <v>79.397732445928398</v>
      </c>
      <c r="AK5433">
        <v>22.098516059546601</v>
      </c>
      <c r="AL5433">
        <v>90.2388826620316</v>
      </c>
      <c r="AM5433">
        <v>83.938280187416296</v>
      </c>
      <c r="AN5433">
        <v>1.00000002415607</v>
      </c>
    </row>
    <row r="5434" spans="1:40" x14ac:dyDescent="0.25">
      <c r="A5434" t="str">
        <f>"20190312154032365"</f>
        <v>20190312154032365</v>
      </c>
      <c r="B5434" t="str">
        <f>"1552376432362117"</f>
        <v>1552376432362117</v>
      </c>
      <c r="C5434" t="s">
        <v>40</v>
      </c>
      <c r="D5434">
        <v>3.9130500000000001</v>
      </c>
      <c r="E5434">
        <v>0.52795519999999996</v>
      </c>
      <c r="F5434" t="s">
        <v>55</v>
      </c>
      <c r="G5434">
        <v>-196.55279999999999</v>
      </c>
      <c r="H5434" s="1">
        <v>-1.11957E-5</v>
      </c>
      <c r="I5434">
        <v>147.10730000000001</v>
      </c>
      <c r="J5434">
        <v>-191.6703</v>
      </c>
      <c r="K5434">
        <v>1.1098520000000001</v>
      </c>
      <c r="L5434">
        <v>168.26920000000001</v>
      </c>
      <c r="M5434">
        <v>-4.4427670000000002E-2</v>
      </c>
      <c r="N5434">
        <v>0</v>
      </c>
      <c r="O5434">
        <v>-0.99891750000000001</v>
      </c>
      <c r="P5434">
        <v>-0.14890229999999999</v>
      </c>
      <c r="Q5434">
        <v>-1.892667E-2</v>
      </c>
      <c r="R5434">
        <v>-0.98867110000000002</v>
      </c>
      <c r="S5434">
        <v>-0.67378229999999995</v>
      </c>
      <c r="T5434">
        <v>-0.1529953</v>
      </c>
      <c r="U5434">
        <v>-2.9301300000000001</v>
      </c>
      <c r="V5434">
        <v>0.10482</v>
      </c>
      <c r="W5434">
        <v>-5.3305590000000003E-3</v>
      </c>
      <c r="X5434">
        <v>0.9944769</v>
      </c>
      <c r="Y5434">
        <v>0.1802868</v>
      </c>
      <c r="Z5434">
        <v>5.0975989999999999E-2</v>
      </c>
      <c r="AA5434">
        <v>0.98229230000000001</v>
      </c>
      <c r="AB5434">
        <v>13</v>
      </c>
      <c r="AC5434">
        <v>-4.8824999999999896</v>
      </c>
      <c r="AD5434">
        <v>-1.1098631957</v>
      </c>
      <c r="AE5434">
        <v>-21.161899999999999</v>
      </c>
      <c r="AF5434">
        <v>3.9271587380929902</v>
      </c>
      <c r="AG5434">
        <v>-1.1098631957</v>
      </c>
      <c r="AH5434">
        <v>21.302306608288401</v>
      </c>
      <c r="AI5434">
        <v>92.933110673701805</v>
      </c>
      <c r="AJ5434">
        <v>79.554591622579807</v>
      </c>
      <c r="AK5434">
        <v>21.689689691207601</v>
      </c>
      <c r="AL5434">
        <v>90.305419986914501</v>
      </c>
      <c r="AM5434">
        <v>83.9831179614078</v>
      </c>
      <c r="AN5434">
        <v>0.99999997594643097</v>
      </c>
    </row>
    <row r="5435" spans="1:40" x14ac:dyDescent="0.25">
      <c r="A5435" t="str">
        <f>"20190312154032378"</f>
        <v>20190312154032378</v>
      </c>
      <c r="B5435" t="str">
        <f>"1552376432371877"</f>
        <v>1552376432371877</v>
      </c>
      <c r="C5435" t="s">
        <v>40</v>
      </c>
      <c r="D5435">
        <v>3.9179210000000002</v>
      </c>
      <c r="E5435">
        <v>0.52753589999999995</v>
      </c>
      <c r="F5435" t="s">
        <v>55</v>
      </c>
      <c r="G5435">
        <v>-196.2433</v>
      </c>
      <c r="H5435" s="1">
        <v>-1.140713E-5</v>
      </c>
      <c r="I5435">
        <v>148.1172</v>
      </c>
      <c r="J5435">
        <v>-191.6747</v>
      </c>
      <c r="K5435">
        <v>1.10985</v>
      </c>
      <c r="L5435">
        <v>168.19290000000001</v>
      </c>
      <c r="M5435">
        <v>-4.528799E-2</v>
      </c>
      <c r="N5435">
        <v>0</v>
      </c>
      <c r="O5435">
        <v>-0.99887879999999996</v>
      </c>
      <c r="P5435">
        <v>-0.14939820000000001</v>
      </c>
      <c r="Q5435">
        <v>-1.983391E-2</v>
      </c>
      <c r="R5435">
        <v>-0.98857819999999996</v>
      </c>
      <c r="S5435">
        <v>-0.66513059999999902</v>
      </c>
      <c r="T5435">
        <v>-0.16142889999999999</v>
      </c>
      <c r="U5435">
        <v>-2.9310909999999999</v>
      </c>
      <c r="V5435">
        <v>0.1044621</v>
      </c>
      <c r="W5435">
        <v>-6.2584299999999997E-3</v>
      </c>
      <c r="X5435">
        <v>0.99450919999999998</v>
      </c>
      <c r="Y5435">
        <v>0.17657970000000001</v>
      </c>
      <c r="Z5435">
        <v>5.3793269999999997E-2</v>
      </c>
      <c r="AA5435">
        <v>0.98281529999999995</v>
      </c>
      <c r="AB5435">
        <v>13</v>
      </c>
      <c r="AC5435">
        <v>-4.5686</v>
      </c>
      <c r="AD5435">
        <v>-1.1098614071299999</v>
      </c>
      <c r="AE5435">
        <v>-20.075700000000001</v>
      </c>
      <c r="AF5435">
        <v>3.6440481161356799</v>
      </c>
      <c r="AG5435">
        <v>-1.1098614071299999</v>
      </c>
      <c r="AH5435">
        <v>20.203313137291801</v>
      </c>
      <c r="AI5435">
        <v>93.094526890749094</v>
      </c>
      <c r="AJ5435">
        <v>79.775557946173805</v>
      </c>
      <c r="AK5435">
        <v>20.559298157748898</v>
      </c>
      <c r="AL5435">
        <v>90.358583957780098</v>
      </c>
      <c r="AM5435">
        <v>84.003705544980903</v>
      </c>
      <c r="AN5435">
        <v>1.00000002358355</v>
      </c>
    </row>
    <row r="5436" spans="1:40" x14ac:dyDescent="0.25">
      <c r="A5436" t="str">
        <f>"20190312154032389"</f>
        <v>20190312154032389</v>
      </c>
      <c r="B5436" t="str">
        <f>"1552376432381637"</f>
        <v>1552376432381637</v>
      </c>
      <c r="C5436" t="s">
        <v>40</v>
      </c>
      <c r="D5436">
        <v>3.9252280000000002</v>
      </c>
      <c r="E5436">
        <v>0.52721309999999999</v>
      </c>
      <c r="F5436" t="s">
        <v>55</v>
      </c>
      <c r="G5436">
        <v>-196.1198</v>
      </c>
      <c r="H5436" s="1">
        <v>-1.149913E-5</v>
      </c>
      <c r="I5436">
        <v>148.54910000000001</v>
      </c>
      <c r="J5436">
        <v>-191.6788</v>
      </c>
      <c r="K5436">
        <v>1.109845</v>
      </c>
      <c r="L5436">
        <v>168.1224</v>
      </c>
      <c r="M5436">
        <v>-4.6081070000000002E-2</v>
      </c>
      <c r="N5436">
        <v>0</v>
      </c>
      <c r="O5436">
        <v>-0.99884280000000003</v>
      </c>
      <c r="P5436">
        <v>-0.15003830000000001</v>
      </c>
      <c r="Q5436">
        <v>-2.0646680000000001E-2</v>
      </c>
      <c r="R5436">
        <v>-0.98846469999999997</v>
      </c>
      <c r="S5436">
        <v>-0.663269</v>
      </c>
      <c r="T5436">
        <v>-0.16560569999999999</v>
      </c>
      <c r="U5436">
        <v>-2.9311069999999999</v>
      </c>
      <c r="V5436">
        <v>0.1043162</v>
      </c>
      <c r="W5436">
        <v>-7.0887249999999997E-3</v>
      </c>
      <c r="X5436">
        <v>0.99451889999999998</v>
      </c>
      <c r="Y5436">
        <v>0.1751865</v>
      </c>
      <c r="Z5436">
        <v>5.5188290000000001E-2</v>
      </c>
      <c r="AA5436">
        <v>0.98298730000000001</v>
      </c>
      <c r="AB5436">
        <v>13</v>
      </c>
      <c r="AC5436">
        <v>-4.4409999999999998</v>
      </c>
      <c r="AD5436">
        <v>-1.10985649913</v>
      </c>
      <c r="AE5436">
        <v>-19.5732999999999</v>
      </c>
      <c r="AF5436">
        <v>3.5234633817424501</v>
      </c>
      <c r="AG5436">
        <v>-1.10985649913</v>
      </c>
      <c r="AH5436">
        <v>19.696940128090102</v>
      </c>
      <c r="AI5436">
        <v>93.174725615543494</v>
      </c>
      <c r="AJ5436">
        <v>79.857985124008493</v>
      </c>
      <c r="AK5436">
        <v>20.040359928422099</v>
      </c>
      <c r="AL5436">
        <v>90.406157433951805</v>
      </c>
      <c r="AM5436">
        <v>84.012077530218093</v>
      </c>
      <c r="AN5436">
        <v>0.99999998103088705</v>
      </c>
    </row>
    <row r="5437" spans="1:40" x14ac:dyDescent="0.25">
      <c r="A5437" t="str">
        <f>"20190312154032402"</f>
        <v>20190312154032402</v>
      </c>
      <c r="B5437" t="str">
        <f>"1552376432391397"</f>
        <v>1552376432391397</v>
      </c>
      <c r="C5437" t="s">
        <v>40</v>
      </c>
      <c r="D5437">
        <v>3.9070330000000002</v>
      </c>
      <c r="E5437">
        <v>0.52690800000000004</v>
      </c>
      <c r="F5437" t="s">
        <v>55</v>
      </c>
      <c r="G5437">
        <v>-196.02709999999999</v>
      </c>
      <c r="H5437" s="1">
        <v>-1.1571640000000001E-5</v>
      </c>
      <c r="I5437">
        <v>148.88640000000001</v>
      </c>
      <c r="J5437">
        <v>-191.68289999999999</v>
      </c>
      <c r="K5437">
        <v>1.1098410000000001</v>
      </c>
      <c r="L5437">
        <v>168.05430000000001</v>
      </c>
      <c r="M5437">
        <v>-4.6847270000000003E-2</v>
      </c>
      <c r="N5437">
        <v>0</v>
      </c>
      <c r="O5437">
        <v>-0.99880749999999996</v>
      </c>
      <c r="P5437">
        <v>-0.15072060000000001</v>
      </c>
      <c r="Q5437">
        <v>-2.0950819999999998E-2</v>
      </c>
      <c r="R5437">
        <v>-0.98835450000000002</v>
      </c>
      <c r="S5437">
        <v>-0.66252140000000004</v>
      </c>
      <c r="T5437">
        <v>-0.16910510000000001</v>
      </c>
      <c r="U5437">
        <v>-2.9309229999999999</v>
      </c>
      <c r="V5437">
        <v>0.104239899999999</v>
      </c>
      <c r="W5437">
        <v>-7.4091039999999997E-3</v>
      </c>
      <c r="X5437">
        <v>0.99452459999999998</v>
      </c>
      <c r="Y5437">
        <v>0.1741914</v>
      </c>
      <c r="Z5437">
        <v>5.6357709999999998E-2</v>
      </c>
      <c r="AA5437">
        <v>0.98309769999999996</v>
      </c>
      <c r="AB5437">
        <v>13</v>
      </c>
      <c r="AC5437">
        <v>-4.3441999999999998</v>
      </c>
      <c r="AD5437">
        <v>-1.1098525716399901</v>
      </c>
      <c r="AE5437">
        <v>-19.167899999999999</v>
      </c>
      <c r="AF5437">
        <v>3.4304418210027201</v>
      </c>
      <c r="AG5437">
        <v>-1.1098525716399901</v>
      </c>
      <c r="AH5437">
        <v>19.288875582701898</v>
      </c>
      <c r="AI5437">
        <v>93.242315697082205</v>
      </c>
      <c r="AJ5437">
        <v>79.915634692716296</v>
      </c>
      <c r="AK5437">
        <v>19.622956583120001</v>
      </c>
      <c r="AL5437">
        <v>90.424514266470098</v>
      </c>
      <c r="AM5437">
        <v>84.016459535240998</v>
      </c>
      <c r="AN5437">
        <v>1.0000000157896201</v>
      </c>
    </row>
    <row r="5438" spans="1:40" x14ac:dyDescent="0.25">
      <c r="A5438" t="str">
        <f>"20190312154032412"</f>
        <v>20190312154032412</v>
      </c>
      <c r="B5438" t="str">
        <f>"1552376432401158"</f>
        <v>1552376432401158</v>
      </c>
      <c r="C5438" t="s">
        <v>40</v>
      </c>
      <c r="D5438">
        <v>3.9573839999999998</v>
      </c>
      <c r="E5438">
        <v>0.52669160000000004</v>
      </c>
      <c r="F5438" t="s">
        <v>55</v>
      </c>
      <c r="G5438">
        <v>-195.99029999999999</v>
      </c>
      <c r="H5438" s="1">
        <v>-1.1592830000000001E-5</v>
      </c>
      <c r="I5438">
        <v>148.9915</v>
      </c>
      <c r="J5438">
        <v>-191.68680000000001</v>
      </c>
      <c r="K5438">
        <v>1.1098380000000001</v>
      </c>
      <c r="L5438">
        <v>167.989</v>
      </c>
      <c r="M5438">
        <v>-4.7579730000000001E-2</v>
      </c>
      <c r="N5438">
        <v>0</v>
      </c>
      <c r="O5438">
        <v>-0.99877300000000002</v>
      </c>
      <c r="P5438">
        <v>-0.1513921</v>
      </c>
      <c r="Q5438">
        <v>-2.136294E-2</v>
      </c>
      <c r="R5438">
        <v>-0.98824279999999998</v>
      </c>
      <c r="S5438">
        <v>-0.66223140000000003</v>
      </c>
      <c r="T5438">
        <v>-0.17062939999999999</v>
      </c>
      <c r="U5438">
        <v>-2.9307249999999998</v>
      </c>
      <c r="V5438">
        <v>0.10418620000000001</v>
      </c>
      <c r="W5438">
        <v>-7.8356720000000001E-3</v>
      </c>
      <c r="X5438">
        <v>0.99452689999999999</v>
      </c>
      <c r="Y5438">
        <v>0.1733847</v>
      </c>
      <c r="Z5438">
        <v>5.6869540000000003E-2</v>
      </c>
      <c r="AA5438">
        <v>0.9832109</v>
      </c>
      <c r="AB5438">
        <v>13</v>
      </c>
      <c r="AC5438">
        <v>-4.3034999999999801</v>
      </c>
      <c r="AD5438">
        <v>-1.1098495928299901</v>
      </c>
      <c r="AE5438">
        <v>-18.997499999999999</v>
      </c>
      <c r="AF5438">
        <v>3.38365920813489</v>
      </c>
      <c r="AG5438">
        <v>-1.1098495928299901</v>
      </c>
      <c r="AH5438">
        <v>19.118691935626401</v>
      </c>
      <c r="AI5438">
        <v>93.271590798953994</v>
      </c>
      <c r="AJ5438">
        <v>79.963620804978902</v>
      </c>
      <c r="AK5438">
        <v>19.447501049874901</v>
      </c>
      <c r="AL5438">
        <v>90.448955548138102</v>
      </c>
      <c r="AM5438">
        <v>84.019533387559704</v>
      </c>
      <c r="AN5438">
        <v>0.999999958424869</v>
      </c>
    </row>
    <row r="5439" spans="1:40" x14ac:dyDescent="0.25">
      <c r="A5439" t="str">
        <f>"20190312154032424"</f>
        <v>20190312154032424</v>
      </c>
      <c r="B5439" t="str">
        <f>"1552376432411893"</f>
        <v>1552376432411893</v>
      </c>
      <c r="C5439" t="s">
        <v>40</v>
      </c>
      <c r="D5439">
        <v>3.8905289999999999</v>
      </c>
      <c r="E5439">
        <v>0.52667200000000003</v>
      </c>
      <c r="F5439" t="s">
        <v>55</v>
      </c>
      <c r="G5439">
        <v>-195.9579</v>
      </c>
      <c r="H5439" s="1">
        <v>-1.161203E-5</v>
      </c>
      <c r="I5439">
        <v>149.08609999999999</v>
      </c>
      <c r="J5439">
        <v>-191.69069999999999</v>
      </c>
      <c r="K5439">
        <v>1.1098380000000001</v>
      </c>
      <c r="L5439">
        <v>167.92590000000001</v>
      </c>
      <c r="M5439">
        <v>-4.828839E-2</v>
      </c>
      <c r="N5439">
        <v>0</v>
      </c>
      <c r="O5439">
        <v>-0.99873940000000005</v>
      </c>
      <c r="P5439">
        <v>-0.1519392</v>
      </c>
      <c r="Q5439">
        <v>-2.124059E-2</v>
      </c>
      <c r="R5439">
        <v>-0.98816190000000004</v>
      </c>
      <c r="S5439">
        <v>-0.6621399</v>
      </c>
      <c r="T5439">
        <v>-0.17205970000000001</v>
      </c>
      <c r="U5439">
        <v>-2.9305110000000001</v>
      </c>
      <c r="V5439">
        <v>0.10403129999999999</v>
      </c>
      <c r="W5439">
        <v>-7.7258739999999998E-3</v>
      </c>
      <c r="X5439">
        <v>0.99454399999999998</v>
      </c>
      <c r="Y5439">
        <v>0.17266599999999999</v>
      </c>
      <c r="Z5439">
        <v>5.7349629999999999E-2</v>
      </c>
      <c r="AA5439">
        <v>0.9833094</v>
      </c>
      <c r="AB5439">
        <v>13</v>
      </c>
      <c r="AC5439">
        <v>-4.2671999999999999</v>
      </c>
      <c r="AD5439">
        <v>-1.1098496120300001</v>
      </c>
      <c r="AE5439">
        <v>-18.8398</v>
      </c>
      <c r="AF5439">
        <v>3.3413621275427601</v>
      </c>
      <c r="AG5439">
        <v>-1.1098496120300001</v>
      </c>
      <c r="AH5439">
        <v>18.961301945763701</v>
      </c>
      <c r="AI5439">
        <v>93.299116625953999</v>
      </c>
      <c r="AJ5439">
        <v>80.005940431339596</v>
      </c>
      <c r="AK5439">
        <v>19.285420361172299</v>
      </c>
      <c r="AL5439">
        <v>90.442664384017107</v>
      </c>
      <c r="AM5439">
        <v>84.028462547803002</v>
      </c>
      <c r="AN5439">
        <v>0.99999998422237601</v>
      </c>
    </row>
    <row r="5440" spans="1:40" x14ac:dyDescent="0.25">
      <c r="A5440" t="str">
        <f>"20190312154032436"</f>
        <v>20190312154032436</v>
      </c>
      <c r="B5440" t="str">
        <f>"1552376432431413"</f>
        <v>1552376432431413</v>
      </c>
      <c r="C5440" t="s">
        <v>40</v>
      </c>
      <c r="D5440">
        <v>3.8756750000000002</v>
      </c>
      <c r="E5440">
        <v>0.52649840000000003</v>
      </c>
      <c r="F5440" t="s">
        <v>55</v>
      </c>
      <c r="G5440">
        <v>-196.05119999999999</v>
      </c>
      <c r="H5440" s="1">
        <v>-1.151988E-5</v>
      </c>
      <c r="I5440">
        <v>148.6739</v>
      </c>
      <c r="J5440">
        <v>-191.69489999999999</v>
      </c>
      <c r="K5440">
        <v>1.109842</v>
      </c>
      <c r="L5440">
        <v>167.8569</v>
      </c>
      <c r="M5440">
        <v>-4.906108E-2</v>
      </c>
      <c r="N5440">
        <v>0</v>
      </c>
      <c r="O5440">
        <v>-0.99870199999999998</v>
      </c>
      <c r="P5440">
        <v>-0.1528997</v>
      </c>
      <c r="Q5440">
        <v>-2.1232480000000001E-2</v>
      </c>
      <c r="R5440">
        <v>-0.98801399999999995</v>
      </c>
      <c r="S5440">
        <v>-0.66369630000000002</v>
      </c>
      <c r="T5440">
        <v>-0.16892499999999999</v>
      </c>
      <c r="U5440">
        <v>-2.9302519999999999</v>
      </c>
      <c r="V5440">
        <v>0.1042286</v>
      </c>
      <c r="W5440">
        <v>-7.7318469999999896E-3</v>
      </c>
      <c r="X5440">
        <v>0.9945233</v>
      </c>
      <c r="Y5440">
        <v>0.17243259999999999</v>
      </c>
      <c r="Z5440">
        <v>5.6307759999999998E-2</v>
      </c>
      <c r="AA5440">
        <v>0.98341060000000002</v>
      </c>
      <c r="AB5440">
        <v>13</v>
      </c>
      <c r="AC5440">
        <v>-4.3563000000000001</v>
      </c>
      <c r="AD5440">
        <v>-1.1098535198799999</v>
      </c>
      <c r="AE5440">
        <v>-19.183</v>
      </c>
      <c r="AF5440">
        <v>3.3990065982618298</v>
      </c>
      <c r="AG5440">
        <v>-1.1098535198799999</v>
      </c>
      <c r="AH5440">
        <v>19.3121660173923</v>
      </c>
      <c r="AI5440">
        <v>93.239438014745701</v>
      </c>
      <c r="AJ5440">
        <v>80.0179825717005</v>
      </c>
      <c r="AK5440">
        <v>19.640386375373101</v>
      </c>
      <c r="AL5440">
        <v>90.443006620093897</v>
      </c>
      <c r="AM5440">
        <v>84.017095704759797</v>
      </c>
      <c r="AN5440">
        <v>0.99999998837944004</v>
      </c>
    </row>
    <row r="5441" spans="1:40" x14ac:dyDescent="0.25">
      <c r="A5441" t="str">
        <f>"20190312154032448"</f>
        <v>20190312154032448</v>
      </c>
      <c r="B5441" t="str">
        <f>"1552376432441173"</f>
        <v>1552376432441173</v>
      </c>
      <c r="C5441" t="s">
        <v>40</v>
      </c>
      <c r="D5441">
        <v>3.8919700000000002</v>
      </c>
      <c r="E5441">
        <v>0.52638039999999997</v>
      </c>
      <c r="F5441" t="s">
        <v>55</v>
      </c>
      <c r="G5441">
        <v>-196.18809999999999</v>
      </c>
      <c r="H5441" s="1">
        <v>-1.1385030000000001E-5</v>
      </c>
      <c r="I5441">
        <v>148.07040000000001</v>
      </c>
      <c r="J5441">
        <v>-191.69900000000001</v>
      </c>
      <c r="K5441">
        <v>1.109842</v>
      </c>
      <c r="L5441">
        <v>167.79069999999999</v>
      </c>
      <c r="M5441">
        <v>-4.9802480000000003E-2</v>
      </c>
      <c r="N5441">
        <v>0</v>
      </c>
      <c r="O5441">
        <v>-0.99866549999999998</v>
      </c>
      <c r="P5441">
        <v>-0.153806</v>
      </c>
      <c r="Q5441">
        <v>-2.0883740000000001E-2</v>
      </c>
      <c r="R5441">
        <v>-0.98788069999999895</v>
      </c>
      <c r="S5441">
        <v>-0.66534419999999905</v>
      </c>
      <c r="T5441">
        <v>-0.1643424</v>
      </c>
      <c r="U5441">
        <v>-2.9299010000000001</v>
      </c>
      <c r="V5441">
        <v>0.1044027</v>
      </c>
      <c r="W5441">
        <v>-7.3950630000000003E-3</v>
      </c>
      <c r="X5441">
        <v>0.99450760000000005</v>
      </c>
      <c r="Y5441">
        <v>0.1722716</v>
      </c>
      <c r="Z5441">
        <v>5.4785739999999999E-2</v>
      </c>
      <c r="AA5441">
        <v>0.98352479999999998</v>
      </c>
      <c r="AB5441">
        <v>13</v>
      </c>
      <c r="AC5441">
        <v>-4.4890999999999703</v>
      </c>
      <c r="AD5441">
        <v>-1.1098533850299901</v>
      </c>
      <c r="AE5441">
        <v>-19.720299999999899</v>
      </c>
      <c r="AF5441">
        <v>3.49080464069722</v>
      </c>
      <c r="AG5441">
        <v>-1.1098533850299901</v>
      </c>
      <c r="AH5441">
        <v>19.859608964791398</v>
      </c>
      <c r="AI5441">
        <v>93.150445835425998</v>
      </c>
      <c r="AJ5441">
        <v>80.030726136460601</v>
      </c>
      <c r="AK5441">
        <v>20.194592340777699</v>
      </c>
      <c r="AL5441">
        <v>90.423709765926901</v>
      </c>
      <c r="AM5441">
        <v>84.007080809037404</v>
      </c>
      <c r="AN5441">
        <v>0.99999998859091199</v>
      </c>
    </row>
    <row r="5442" spans="1:40" x14ac:dyDescent="0.25">
      <c r="A5442" t="str">
        <f>"20190312154032464"</f>
        <v>20190312154032464</v>
      </c>
      <c r="B5442" t="str">
        <f>"1552376432451909"</f>
        <v>1552376432451909</v>
      </c>
      <c r="C5442" t="s">
        <v>40</v>
      </c>
      <c r="D5442">
        <v>3.8792580000000001</v>
      </c>
      <c r="E5442">
        <v>0.52633269999999999</v>
      </c>
      <c r="F5442" t="s">
        <v>55</v>
      </c>
      <c r="G5442">
        <v>-196.29849999999999</v>
      </c>
      <c r="H5442" s="1">
        <v>-1.1278890000000001E-5</v>
      </c>
      <c r="I5442">
        <v>147.59370000000001</v>
      </c>
      <c r="J5442">
        <v>-191.7047</v>
      </c>
      <c r="K5442">
        <v>1.1098479999999999</v>
      </c>
      <c r="L5442">
        <v>167.7003</v>
      </c>
      <c r="M5442">
        <v>-5.0813749999999998E-2</v>
      </c>
      <c r="N5442">
        <v>0</v>
      </c>
      <c r="O5442">
        <v>-0.99861489999999997</v>
      </c>
      <c r="P5442">
        <v>-0.15539229999999901</v>
      </c>
      <c r="Q5442">
        <v>-2.0003920000000001E-2</v>
      </c>
      <c r="R5442">
        <v>-0.98765060000000005</v>
      </c>
      <c r="S5442">
        <v>-0.66714479999999998</v>
      </c>
      <c r="T5442">
        <v>-0.16098119999999999</v>
      </c>
      <c r="U5442">
        <v>-2.9295200000000001</v>
      </c>
      <c r="V5442">
        <v>0.1049928</v>
      </c>
      <c r="W5442">
        <v>-6.5315750000000004E-3</v>
      </c>
      <c r="X5442">
        <v>0.99445150000000004</v>
      </c>
      <c r="Y5442">
        <v>0.17188999999999999</v>
      </c>
      <c r="Z5442">
        <v>5.3669420000000002E-2</v>
      </c>
      <c r="AA5442">
        <v>0.98365309999999995</v>
      </c>
      <c r="AB5442">
        <v>13</v>
      </c>
      <c r="AC5442">
        <v>-4.5937999999999803</v>
      </c>
      <c r="AD5442">
        <v>-1.1098592788899999</v>
      </c>
      <c r="AE5442">
        <v>-20.106599999999901</v>
      </c>
      <c r="AF5442">
        <v>3.5557808406012499</v>
      </c>
      <c r="AG5442">
        <v>-1.1098592788899999</v>
      </c>
      <c r="AH5442">
        <v>20.255415795300401</v>
      </c>
      <c r="AI5442">
        <v>93.089139631644798</v>
      </c>
      <c r="AJ5442">
        <v>80.043338588839802</v>
      </c>
      <c r="AK5442">
        <v>20.5950779082244</v>
      </c>
      <c r="AL5442">
        <v>90.374234354095705</v>
      </c>
      <c r="AM5442">
        <v>83.973119031477296</v>
      </c>
      <c r="AN5442">
        <v>0.99999996768803401</v>
      </c>
    </row>
    <row r="5443" spans="1:40" x14ac:dyDescent="0.25">
      <c r="A5443" t="str">
        <f>"20190312154032476"</f>
        <v>20190312154032476</v>
      </c>
      <c r="B5443" t="str">
        <f>"1552376432471429"</f>
        <v>1552376432471429</v>
      </c>
      <c r="C5443" t="s">
        <v>40</v>
      </c>
      <c r="D5443">
        <v>3.8830469999999999</v>
      </c>
      <c r="E5443">
        <v>0.52616580000000002</v>
      </c>
      <c r="F5443" t="s">
        <v>55</v>
      </c>
      <c r="G5443">
        <v>-196.44630000000001</v>
      </c>
      <c r="H5443" s="1">
        <v>-1.1153330000000001E-5</v>
      </c>
      <c r="I5443">
        <v>147.01820000000001</v>
      </c>
      <c r="J5443">
        <v>-191.70910000000001</v>
      </c>
      <c r="K5443">
        <v>1.1098479999999999</v>
      </c>
      <c r="L5443">
        <v>167.6311</v>
      </c>
      <c r="M5443">
        <v>-5.1587260000000003E-2</v>
      </c>
      <c r="N5443">
        <v>0</v>
      </c>
      <c r="O5443">
        <v>-0.99857510000000005</v>
      </c>
      <c r="P5443">
        <v>-0.15622800000000001</v>
      </c>
      <c r="Q5443">
        <v>-1.9840110000000001E-2</v>
      </c>
      <c r="R5443">
        <v>-0.98752209999999996</v>
      </c>
      <c r="S5443">
        <v>-0.67143249999999999</v>
      </c>
      <c r="T5443">
        <v>-0.15716079999999999</v>
      </c>
      <c r="U5443">
        <v>-2.9286799999999999</v>
      </c>
      <c r="V5443">
        <v>0.10506409999999999</v>
      </c>
      <c r="W5443">
        <v>-6.3786090000000004E-3</v>
      </c>
      <c r="X5443">
        <v>0.99444500000000002</v>
      </c>
      <c r="Y5443">
        <v>0.17257169999999999</v>
      </c>
      <c r="Z5443">
        <v>5.2399229999999998E-2</v>
      </c>
      <c r="AA5443">
        <v>0.98360219999999998</v>
      </c>
      <c r="AB5443">
        <v>13</v>
      </c>
      <c r="AC5443">
        <v>-4.7371999999999996</v>
      </c>
      <c r="AD5443">
        <v>-1.10985915333</v>
      </c>
      <c r="AE5443">
        <v>-20.6129</v>
      </c>
      <c r="AF5443">
        <v>3.6573579813047501</v>
      </c>
      <c r="AG5443">
        <v>-1.10985915333</v>
      </c>
      <c r="AH5443">
        <v>20.772650446736002</v>
      </c>
      <c r="AI5443">
        <v>93.012097789058899</v>
      </c>
      <c r="AJ5443">
        <v>80.014501490775203</v>
      </c>
      <c r="AK5443">
        <v>21.1213413713695</v>
      </c>
      <c r="AL5443">
        <v>90.365469851395204</v>
      </c>
      <c r="AM5443">
        <v>83.969017236327105</v>
      </c>
      <c r="AN5443">
        <v>1.00000000489329</v>
      </c>
    </row>
    <row r="5444" spans="1:40" x14ac:dyDescent="0.25">
      <c r="A5444" t="str">
        <f>"20190312154032487"</f>
        <v>20190312154032487</v>
      </c>
      <c r="B5444" t="str">
        <f>"1552376432481190"</f>
        <v>1552376432481190</v>
      </c>
      <c r="C5444" t="s">
        <v>40</v>
      </c>
      <c r="D5444">
        <v>3.885027</v>
      </c>
      <c r="E5444">
        <v>0.52606560000000002</v>
      </c>
      <c r="F5444" t="s">
        <v>55</v>
      </c>
      <c r="G5444">
        <v>-196.52010000000001</v>
      </c>
      <c r="H5444" s="1">
        <v>-1.10796699999999E-5</v>
      </c>
      <c r="I5444">
        <v>146.6893</v>
      </c>
      <c r="J5444">
        <v>-191.71299999999999</v>
      </c>
      <c r="K5444">
        <v>1.10985</v>
      </c>
      <c r="L5444">
        <v>167.57060000000001</v>
      </c>
      <c r="M5444">
        <v>-5.2261889999999998E-2</v>
      </c>
      <c r="N5444">
        <v>0</v>
      </c>
      <c r="O5444">
        <v>-0.99854030000000005</v>
      </c>
      <c r="P5444">
        <v>-0.15706639999999999</v>
      </c>
      <c r="Q5444">
        <v>-1.9749760000000002E-2</v>
      </c>
      <c r="R5444">
        <v>-0.98739089999999996</v>
      </c>
      <c r="S5444">
        <v>-0.67272949999999998</v>
      </c>
      <c r="T5444">
        <v>-0.1551951</v>
      </c>
      <c r="U5444">
        <v>-2.9283600000000001</v>
      </c>
      <c r="V5444">
        <v>0.1052365</v>
      </c>
      <c r="W5444">
        <v>-6.2972660000000001E-3</v>
      </c>
      <c r="X5444">
        <v>0.99442730000000001</v>
      </c>
      <c r="Y5444">
        <v>0.17235120000000001</v>
      </c>
      <c r="Z5444">
        <v>5.1746899999999998E-2</v>
      </c>
      <c r="AA5444">
        <v>0.98367539999999998</v>
      </c>
      <c r="AB5444">
        <v>13</v>
      </c>
      <c r="AC5444">
        <v>-4.8071000000000197</v>
      </c>
      <c r="AD5444">
        <v>-1.1098610796699999</v>
      </c>
      <c r="AE5444">
        <v>-20.8813</v>
      </c>
      <c r="AF5444">
        <v>3.6992073834575199</v>
      </c>
      <c r="AG5444">
        <v>-1.1098610796699999</v>
      </c>
      <c r="AH5444">
        <v>21.0475428580658</v>
      </c>
      <c r="AI5444">
        <v>92.972991903387594</v>
      </c>
      <c r="AJ5444">
        <v>80.031796260145398</v>
      </c>
      <c r="AK5444">
        <v>21.3989482742519</v>
      </c>
      <c r="AL5444">
        <v>90.360809143300798</v>
      </c>
      <c r="AM5444">
        <v>83.959087367124795</v>
      </c>
      <c r="AN5444">
        <v>1.0000000157383</v>
      </c>
    </row>
    <row r="5445" spans="1:40" x14ac:dyDescent="0.25">
      <c r="A5445" t="str">
        <f>"20190312154032498"</f>
        <v>20190312154032498</v>
      </c>
      <c r="B5445" t="str">
        <f>"1552376432491925"</f>
        <v>1552376432491925</v>
      </c>
      <c r="C5445" t="s">
        <v>40</v>
      </c>
      <c r="D5445">
        <v>3.9148369999999999</v>
      </c>
      <c r="E5445">
        <v>0.52592059999999996</v>
      </c>
      <c r="F5445" t="s">
        <v>55</v>
      </c>
      <c r="G5445">
        <v>-196.61240000000001</v>
      </c>
      <c r="H5445" s="1">
        <v>-1.0992679999999999E-5</v>
      </c>
      <c r="I5445">
        <v>146.29730000000001</v>
      </c>
      <c r="J5445">
        <v>-191.71719999999999</v>
      </c>
      <c r="K5445">
        <v>1.10985</v>
      </c>
      <c r="L5445">
        <v>167.50640000000001</v>
      </c>
      <c r="M5445">
        <v>-5.2977820000000002E-2</v>
      </c>
      <c r="N5445">
        <v>0</v>
      </c>
      <c r="O5445">
        <v>-0.99850260000000002</v>
      </c>
      <c r="P5445">
        <v>-0.1579853</v>
      </c>
      <c r="Q5445">
        <v>-1.974834E-2</v>
      </c>
      <c r="R5445">
        <v>-0.98724409999999896</v>
      </c>
      <c r="S5445">
        <v>-0.67433169999999898</v>
      </c>
      <c r="T5445">
        <v>-0.152757</v>
      </c>
      <c r="U5445">
        <v>-2.9279790000000001</v>
      </c>
      <c r="V5445">
        <v>0.1054491</v>
      </c>
      <c r="W5445">
        <v>-6.3053400000000004E-3</v>
      </c>
      <c r="X5445">
        <v>0.99440470000000003</v>
      </c>
      <c r="Y5445">
        <v>0.1721935</v>
      </c>
      <c r="Z5445">
        <v>5.0937330000000003E-2</v>
      </c>
      <c r="AA5445">
        <v>0.98374530000000004</v>
      </c>
      <c r="AB5445">
        <v>13</v>
      </c>
      <c r="AC5445">
        <v>-4.8952000000000098</v>
      </c>
      <c r="AD5445">
        <v>-1.1098609926799901</v>
      </c>
      <c r="AE5445">
        <v>-21.209099999999999</v>
      </c>
      <c r="AF5445">
        <v>3.75484587183215</v>
      </c>
      <c r="AG5445">
        <v>-1.1098609926799901</v>
      </c>
      <c r="AH5445">
        <v>21.383078117832699</v>
      </c>
      <c r="AI5445">
        <v>92.926499944967901</v>
      </c>
      <c r="AJ5445">
        <v>80.040460816866002</v>
      </c>
      <c r="AK5445">
        <v>21.738599051862199</v>
      </c>
      <c r="AL5445">
        <v>90.361271768372703</v>
      </c>
      <c r="AM5445">
        <v>83.946837410353893</v>
      </c>
      <c r="AN5445">
        <v>0.99999998869270701</v>
      </c>
    </row>
    <row r="5446" spans="1:40" x14ac:dyDescent="0.25">
      <c r="A5446" t="str">
        <f>"20190312154032510"</f>
        <v>20190312154032510</v>
      </c>
      <c r="B5446" t="str">
        <f>"1552376432501685"</f>
        <v>1552376432501685</v>
      </c>
      <c r="C5446" t="s">
        <v>40</v>
      </c>
      <c r="D5446">
        <v>3.9250039999999999</v>
      </c>
      <c r="E5446">
        <v>0.5257676</v>
      </c>
      <c r="F5446" t="s">
        <v>55</v>
      </c>
      <c r="G5446">
        <v>-196.6746</v>
      </c>
      <c r="H5446" s="1">
        <v>-1.0925720000000001E-5</v>
      </c>
      <c r="I5446">
        <v>146.03919999999999</v>
      </c>
      <c r="J5446">
        <v>-191.72200000000001</v>
      </c>
      <c r="K5446">
        <v>1.109847</v>
      </c>
      <c r="L5446">
        <v>167.4342</v>
      </c>
      <c r="M5446">
        <v>-5.3780630000000003E-2</v>
      </c>
      <c r="N5446">
        <v>0</v>
      </c>
      <c r="O5446">
        <v>-0.99845969999999995</v>
      </c>
      <c r="P5446">
        <v>-0.15873519999999999</v>
      </c>
      <c r="Q5446">
        <v>-1.9844529999999999E-2</v>
      </c>
      <c r="R5446">
        <v>-0.9871219</v>
      </c>
      <c r="S5446">
        <v>-0.67605590000000004</v>
      </c>
      <c r="T5446">
        <v>-0.151355399999999</v>
      </c>
      <c r="U5446">
        <v>-2.9275509999999998</v>
      </c>
      <c r="V5446">
        <v>0.1054049</v>
      </c>
      <c r="W5446">
        <v>-6.4106090000000003E-3</v>
      </c>
      <c r="X5446">
        <v>0.99440870000000003</v>
      </c>
      <c r="Y5446">
        <v>0.17198829999999901</v>
      </c>
      <c r="Z5446">
        <v>5.0472669999999997E-2</v>
      </c>
      <c r="AA5446">
        <v>0.98380509999999999</v>
      </c>
      <c r="AB5446">
        <v>13</v>
      </c>
      <c r="AC5446">
        <v>-4.9525999999999897</v>
      </c>
      <c r="AD5446">
        <v>-1.1098579257200001</v>
      </c>
      <c r="AE5446">
        <v>-21.395</v>
      </c>
      <c r="AF5446">
        <v>3.7850202273958602</v>
      </c>
      <c r="AG5446">
        <v>-1.1098579257200001</v>
      </c>
      <c r="AH5446">
        <v>21.575303722809402</v>
      </c>
      <c r="AI5446">
        <v>92.900544769423803</v>
      </c>
      <c r="AJ5446">
        <v>80.049684471868801</v>
      </c>
      <c r="AK5446">
        <v>21.932895236802501</v>
      </c>
      <c r="AL5446">
        <v>90.367303364524801</v>
      </c>
      <c r="AM5446">
        <v>83.949379983892101</v>
      </c>
      <c r="AN5446">
        <v>0.99999997574372501</v>
      </c>
    </row>
    <row r="5447" spans="1:40" x14ac:dyDescent="0.25">
      <c r="A5447" t="str">
        <f>"20190312154032523"</f>
        <v>20190312154032523</v>
      </c>
      <c r="B5447" t="str">
        <f>"1552376432511445"</f>
        <v>1552376432511445</v>
      </c>
      <c r="C5447" t="s">
        <v>40</v>
      </c>
      <c r="D5447">
        <v>3.9152089999999999</v>
      </c>
      <c r="E5447">
        <v>0.52560640000000003</v>
      </c>
      <c r="F5447" t="s">
        <v>55</v>
      </c>
      <c r="G5447">
        <v>-196.7182</v>
      </c>
      <c r="H5447" s="1">
        <v>-1.086926E-5</v>
      </c>
      <c r="I5447">
        <v>145.82839999999999</v>
      </c>
      <c r="J5447">
        <v>-191.72649999999999</v>
      </c>
      <c r="K5447">
        <v>1.1098479999999999</v>
      </c>
      <c r="L5447">
        <v>167.36609999999999</v>
      </c>
      <c r="M5447">
        <v>-5.453653E-2</v>
      </c>
      <c r="N5447">
        <v>0</v>
      </c>
      <c r="O5447">
        <v>-0.99841869999999999</v>
      </c>
      <c r="P5447">
        <v>-0.15922610000000001</v>
      </c>
      <c r="Q5447">
        <v>-2.016805E-2</v>
      </c>
      <c r="R5447">
        <v>-0.98703620000000003</v>
      </c>
      <c r="S5447">
        <v>-0.67691040000000002</v>
      </c>
      <c r="T5447">
        <v>-0.150368899999999</v>
      </c>
      <c r="U5447">
        <v>-2.9272610000000001</v>
      </c>
      <c r="V5447">
        <v>0.105146699999999</v>
      </c>
      <c r="W5447">
        <v>-6.7417359999999999E-3</v>
      </c>
      <c r="X5447">
        <v>0.99443389999999998</v>
      </c>
      <c r="Y5447">
        <v>0.1715402</v>
      </c>
      <c r="Z5447">
        <v>5.0146650000000001E-2</v>
      </c>
      <c r="AA5447">
        <v>0.9839</v>
      </c>
      <c r="AB5447">
        <v>13</v>
      </c>
      <c r="AC5447">
        <v>-4.9916999999999998</v>
      </c>
      <c r="AD5447">
        <v>-1.10985886926</v>
      </c>
      <c r="AE5447">
        <v>-21.537700000000001</v>
      </c>
      <c r="AF5447">
        <v>3.79999298497258</v>
      </c>
      <c r="AG5447">
        <v>-1.10985886926</v>
      </c>
      <c r="AH5447">
        <v>21.7231524293476</v>
      </c>
      <c r="AI5447">
        <v>92.881086091929603</v>
      </c>
      <c r="AJ5447">
        <v>80.077743494805901</v>
      </c>
      <c r="AK5447">
        <v>22.080921286580999</v>
      </c>
      <c r="AL5447">
        <v>90.386275933753495</v>
      </c>
      <c r="AM5447">
        <v>83.964243870289295</v>
      </c>
      <c r="AN5447">
        <v>1.0000000304971901</v>
      </c>
    </row>
    <row r="5448" spans="1:40" x14ac:dyDescent="0.25">
      <c r="A5448" t="str">
        <f>"20190312154032536"</f>
        <v>20190312154032536</v>
      </c>
      <c r="B5448" t="str">
        <f>"1552376432531942"</f>
        <v>1552376432531942</v>
      </c>
      <c r="C5448" t="s">
        <v>40</v>
      </c>
      <c r="D5448">
        <v>3.9248910000000001</v>
      </c>
      <c r="E5448">
        <v>0.52537829999999996</v>
      </c>
      <c r="F5448" t="s">
        <v>55</v>
      </c>
      <c r="G5448">
        <v>-196.71729999999999</v>
      </c>
      <c r="H5448" s="1">
        <v>-1.086156E-5</v>
      </c>
      <c r="I5448">
        <v>145.80289999999999</v>
      </c>
      <c r="J5448">
        <v>-191.73169999999999</v>
      </c>
      <c r="K5448">
        <v>1.1098479999999999</v>
      </c>
      <c r="L5448">
        <v>167.28919999999999</v>
      </c>
      <c r="M5448">
        <v>-5.5390479999999999E-2</v>
      </c>
      <c r="N5448">
        <v>0</v>
      </c>
      <c r="O5448">
        <v>-0.99837200000000004</v>
      </c>
      <c r="P5448">
        <v>-0.159802</v>
      </c>
      <c r="Q5448">
        <v>-2.0308090000000001E-2</v>
      </c>
      <c r="R5448">
        <v>-0.98694040000000005</v>
      </c>
      <c r="S5448">
        <v>-0.6774597</v>
      </c>
      <c r="T5448">
        <v>-0.15065519999999999</v>
      </c>
      <c r="U5448">
        <v>-2.9270480000000001</v>
      </c>
      <c r="V5448">
        <v>0.10487639999999999</v>
      </c>
      <c r="W5448">
        <v>-6.8899069999999998E-3</v>
      </c>
      <c r="X5448">
        <v>0.99446140000000005</v>
      </c>
      <c r="Y5448">
        <v>0.1708875</v>
      </c>
      <c r="Z5448">
        <v>5.0243709999999997E-2</v>
      </c>
      <c r="AA5448">
        <v>0.98400869999999996</v>
      </c>
      <c r="AB5448">
        <v>13</v>
      </c>
      <c r="AC5448">
        <v>-4.9855999999999998</v>
      </c>
      <c r="AD5448">
        <v>-1.10985886156</v>
      </c>
      <c r="AE5448">
        <v>-21.4863</v>
      </c>
      <c r="AF5448">
        <v>3.7781321663627101</v>
      </c>
      <c r="AG5448">
        <v>-1.10985886156</v>
      </c>
      <c r="AH5448">
        <v>21.674611036765601</v>
      </c>
      <c r="AI5448">
        <v>92.887828822855099</v>
      </c>
      <c r="AJ5448">
        <v>80.112039512364802</v>
      </c>
      <c r="AK5448">
        <v>22.029408365958599</v>
      </c>
      <c r="AL5448">
        <v>90.394765714467297</v>
      </c>
      <c r="AM5448">
        <v>83.979811112672806</v>
      </c>
      <c r="AN5448">
        <v>1.0000000030926901</v>
      </c>
    </row>
    <row r="5449" spans="1:40" x14ac:dyDescent="0.25">
      <c r="A5449" t="str">
        <f>"20190312154032551"</f>
        <v>20190312154032551</v>
      </c>
      <c r="B5449" t="str">
        <f>"1552376432541702"</f>
        <v>1552376432541702</v>
      </c>
      <c r="C5449" t="s">
        <v>40</v>
      </c>
      <c r="D5449">
        <v>3.9405869999999998</v>
      </c>
      <c r="E5449">
        <v>0.52528969999999997</v>
      </c>
      <c r="F5449" t="s">
        <v>55</v>
      </c>
      <c r="G5449">
        <v>-196.71809999999999</v>
      </c>
      <c r="H5449" s="1">
        <v>-1.0843969999999999E-5</v>
      </c>
      <c r="I5449">
        <v>145.74340000000001</v>
      </c>
      <c r="J5449">
        <v>-191.7373</v>
      </c>
      <c r="K5449">
        <v>1.1098509999999999</v>
      </c>
      <c r="L5449">
        <v>167.20760000000001</v>
      </c>
      <c r="M5449">
        <v>-5.6294089999999998E-2</v>
      </c>
      <c r="N5449">
        <v>0</v>
      </c>
      <c r="O5449">
        <v>-0.99832169999999998</v>
      </c>
      <c r="P5449">
        <v>-0.1602721</v>
      </c>
      <c r="Q5449">
        <v>-2.0457929999999999E-2</v>
      </c>
      <c r="R5449">
        <v>-0.98686110000000005</v>
      </c>
      <c r="S5449">
        <v>-0.67738339999999997</v>
      </c>
      <c r="T5449">
        <v>-0.15076979999999901</v>
      </c>
      <c r="U5449">
        <v>-2.9269099999999999</v>
      </c>
      <c r="V5449">
        <v>0.10445020000000001</v>
      </c>
      <c r="W5449">
        <v>-7.0471900000000001E-3</v>
      </c>
      <c r="X5449">
        <v>0.99450519999999998</v>
      </c>
      <c r="Y5449">
        <v>0.1699811</v>
      </c>
      <c r="Z5449">
        <v>5.0284420000000003E-2</v>
      </c>
      <c r="AA5449">
        <v>0.98416360000000003</v>
      </c>
      <c r="AB5449">
        <v>13</v>
      </c>
      <c r="AC5449">
        <v>-4.9807999999999799</v>
      </c>
      <c r="AD5449">
        <v>-1.1098618439700001</v>
      </c>
      <c r="AE5449">
        <v>-21.464200000000002</v>
      </c>
      <c r="AF5449">
        <v>3.7549543540897101</v>
      </c>
      <c r="AG5449">
        <v>-1.1098618439700001</v>
      </c>
      <c r="AH5449">
        <v>21.655630335650599</v>
      </c>
      <c r="AI5449">
        <v>92.890810202996903</v>
      </c>
      <c r="AJ5449">
        <v>80.163066681745704</v>
      </c>
      <c r="AK5449">
        <v>22.006767158043601</v>
      </c>
      <c r="AL5449">
        <v>90.4037775664126</v>
      </c>
      <c r="AM5449">
        <v>84.004359709078201</v>
      </c>
      <c r="AN5449">
        <v>1.0000000499969799</v>
      </c>
    </row>
    <row r="5450" spans="1:40" x14ac:dyDescent="0.25">
      <c r="A5450" t="str">
        <f>"20190312154032566"</f>
        <v>20190312154032566</v>
      </c>
      <c r="B5450" t="str">
        <f>"1552376432561221"</f>
        <v>1552376432561221</v>
      </c>
      <c r="C5450" t="s">
        <v>40</v>
      </c>
      <c r="D5450">
        <v>3.9188519999999998</v>
      </c>
      <c r="E5450">
        <v>0.52511580000000002</v>
      </c>
      <c r="F5450" t="s">
        <v>55</v>
      </c>
      <c r="G5450">
        <v>-196.7285</v>
      </c>
      <c r="H5450" s="1">
        <v>-1.0821009999999999E-5</v>
      </c>
      <c r="I5450">
        <v>145.66120000000001</v>
      </c>
      <c r="J5450">
        <v>-191.74270000000001</v>
      </c>
      <c r="K5450">
        <v>1.1098509999999999</v>
      </c>
      <c r="L5450">
        <v>167.12970000000001</v>
      </c>
      <c r="M5450">
        <v>-5.7155119999999997E-2</v>
      </c>
      <c r="N5450">
        <v>0</v>
      </c>
      <c r="O5450">
        <v>-0.99827259999999995</v>
      </c>
      <c r="P5450">
        <v>-0.1603801</v>
      </c>
      <c r="Q5450">
        <v>-2.0092229999999999E-2</v>
      </c>
      <c r="R5450">
        <v>-0.98685080000000003</v>
      </c>
      <c r="S5450">
        <v>-0.67796330000000005</v>
      </c>
      <c r="T5450">
        <v>-0.150755</v>
      </c>
      <c r="U5450">
        <v>-2.9266969999999999</v>
      </c>
      <c r="V5450">
        <v>0.1037014</v>
      </c>
      <c r="W5450">
        <v>-6.6871269999999898E-3</v>
      </c>
      <c r="X5450">
        <v>0.99458599999999997</v>
      </c>
      <c r="Y5450">
        <v>0.16933190000000001</v>
      </c>
      <c r="Z5450">
        <v>5.0281079999999999E-2</v>
      </c>
      <c r="AA5450">
        <v>0.98427560000000003</v>
      </c>
      <c r="AB5450">
        <v>13</v>
      </c>
      <c r="AC5450">
        <v>-4.9857999999999798</v>
      </c>
      <c r="AD5450">
        <v>-1.10986182101</v>
      </c>
      <c r="AE5450">
        <v>-21.468499999999999</v>
      </c>
      <c r="AF5450">
        <v>3.7410133869613098</v>
      </c>
      <c r="AG5450">
        <v>-1.10986182101</v>
      </c>
      <c r="AH5450">
        <v>21.663454606570099</v>
      </c>
      <c r="AI5450">
        <v>92.890110110638702</v>
      </c>
      <c r="AJ5450">
        <v>80.202349833351306</v>
      </c>
      <c r="AK5450">
        <v>22.012093038011699</v>
      </c>
      <c r="AL5450">
        <v>90.3831470079719</v>
      </c>
      <c r="AM5450">
        <v>84.047512635147399</v>
      </c>
      <c r="AN5450">
        <v>1.00000000471273</v>
      </c>
    </row>
    <row r="5451" spans="1:40" x14ac:dyDescent="0.25">
      <c r="A5451" t="str">
        <f>"20190312154032579"</f>
        <v>20190312154032579</v>
      </c>
      <c r="B5451" t="str">
        <f>"1552376432571957"</f>
        <v>1552376432571957</v>
      </c>
      <c r="C5451" t="s">
        <v>40</v>
      </c>
      <c r="D5451">
        <v>3.9494120000000001</v>
      </c>
      <c r="E5451">
        <v>0.52503690000000003</v>
      </c>
      <c r="F5451" t="s">
        <v>55</v>
      </c>
      <c r="G5451">
        <v>-196.77440000000001</v>
      </c>
      <c r="H5451" s="1">
        <v>-1.0742719999999999E-5</v>
      </c>
      <c r="I5451">
        <v>145.3759</v>
      </c>
      <c r="J5451">
        <v>-191.7483</v>
      </c>
      <c r="K5451">
        <v>1.1098509999999999</v>
      </c>
      <c r="L5451">
        <v>167.05119999999999</v>
      </c>
      <c r="M5451">
        <v>-5.8021089999999997E-2</v>
      </c>
      <c r="N5451">
        <v>0</v>
      </c>
      <c r="O5451">
        <v>-0.99822299999999997</v>
      </c>
      <c r="P5451">
        <v>-0.16117909999999999</v>
      </c>
      <c r="Q5451">
        <v>-1.9621799999999998E-2</v>
      </c>
      <c r="R5451">
        <v>-0.98673069999999896</v>
      </c>
      <c r="S5451">
        <v>-0.67700199999999999</v>
      </c>
      <c r="T5451">
        <v>-0.1493292</v>
      </c>
      <c r="U5451">
        <v>-2.9269259999999999</v>
      </c>
      <c r="V5451">
        <v>0.103643899999999</v>
      </c>
      <c r="W5451">
        <v>-6.2236829999999998E-3</v>
      </c>
      <c r="X5451">
        <v>0.99459500000000001</v>
      </c>
      <c r="Y5451">
        <v>0.16815859999999999</v>
      </c>
      <c r="Z5451">
        <v>4.9806049999999998E-2</v>
      </c>
      <c r="AA5451">
        <v>0.98450090000000001</v>
      </c>
      <c r="AB5451">
        <v>13</v>
      </c>
      <c r="AC5451">
        <v>-5.0261000000000102</v>
      </c>
      <c r="AD5451">
        <v>-1.1098617427199999</v>
      </c>
      <c r="AE5451">
        <v>-21.6753</v>
      </c>
      <c r="AF5451">
        <v>3.7505591143143602</v>
      </c>
      <c r="AG5451">
        <v>-1.1098617427199999</v>
      </c>
      <c r="AH5451">
        <v>21.8759958721682</v>
      </c>
      <c r="AI5451">
        <v>92.862670155944301</v>
      </c>
      <c r="AJ5451">
        <v>80.271433245237006</v>
      </c>
      <c r="AK5451">
        <v>22.222908949033599</v>
      </c>
      <c r="AL5451">
        <v>90.356593069895695</v>
      </c>
      <c r="AM5451">
        <v>84.050842919814798</v>
      </c>
      <c r="AN5451">
        <v>1.00000000313114</v>
      </c>
    </row>
    <row r="5452" spans="1:40" x14ac:dyDescent="0.25">
      <c r="A5452" t="str">
        <f>"20190312154032593"</f>
        <v>20190312154032593</v>
      </c>
      <c r="B5452" t="str">
        <f>"1552376432581717"</f>
        <v>1552376432581717</v>
      </c>
      <c r="C5452" t="s">
        <v>40</v>
      </c>
      <c r="D5452">
        <v>3.9559139999999999</v>
      </c>
      <c r="E5452">
        <v>0.52495849999999999</v>
      </c>
      <c r="F5452" t="s">
        <v>55</v>
      </c>
      <c r="G5452">
        <v>-196.84530000000001</v>
      </c>
      <c r="H5452" s="1">
        <v>-1.0664E-5</v>
      </c>
      <c r="I5452">
        <v>145.077</v>
      </c>
      <c r="J5452">
        <v>-191.75380000000001</v>
      </c>
      <c r="K5452">
        <v>1.1098509999999999</v>
      </c>
      <c r="L5452">
        <v>166.9734</v>
      </c>
      <c r="M5452">
        <v>-5.8877209999999999E-2</v>
      </c>
      <c r="N5452">
        <v>0</v>
      </c>
      <c r="O5452">
        <v>-0.99817279999999997</v>
      </c>
      <c r="P5452">
        <v>-0.161747</v>
      </c>
      <c r="Q5452">
        <v>-1.9477970000000001E-2</v>
      </c>
      <c r="R5452">
        <v>-0.98664019999999997</v>
      </c>
      <c r="S5452">
        <v>-0.67883300000000002</v>
      </c>
      <c r="T5452">
        <v>-0.14781250000000001</v>
      </c>
      <c r="U5452">
        <v>-2.9265439999999998</v>
      </c>
      <c r="V5452">
        <v>0.10336339999999999</v>
      </c>
      <c r="W5452">
        <v>-6.0855179999999998E-3</v>
      </c>
      <c r="X5452">
        <v>0.99462499999999998</v>
      </c>
      <c r="Y5452">
        <v>0.16793150000000001</v>
      </c>
      <c r="Z5452">
        <v>4.930151E-2</v>
      </c>
      <c r="AA5452">
        <v>0.98456509999999997</v>
      </c>
      <c r="AB5452">
        <v>13</v>
      </c>
      <c r="AC5452">
        <v>-5.0914999999999901</v>
      </c>
      <c r="AD5452">
        <v>-1.1098616640000001</v>
      </c>
      <c r="AE5452">
        <v>-21.8964</v>
      </c>
      <c r="AF5452">
        <v>3.7841245384061901</v>
      </c>
      <c r="AG5452">
        <v>-1.1098616640000001</v>
      </c>
      <c r="AH5452">
        <v>22.104332125696899</v>
      </c>
      <c r="AI5452">
        <v>92.8332660811854</v>
      </c>
      <c r="AJ5452">
        <v>80.285489538021295</v>
      </c>
      <c r="AK5452">
        <v>22.453349196912701</v>
      </c>
      <c r="AL5452">
        <v>90.348676664232201</v>
      </c>
      <c r="AM5452">
        <v>84.067006283603504</v>
      </c>
      <c r="AN5452">
        <v>0.99999995830694299</v>
      </c>
    </row>
    <row r="5453" spans="1:40" x14ac:dyDescent="0.25">
      <c r="A5453" t="str">
        <f>"20190312154032605"</f>
        <v>20190312154032605</v>
      </c>
      <c r="B5453" t="str">
        <f>"1552376432601238"</f>
        <v>1552376432601238</v>
      </c>
      <c r="C5453" t="s">
        <v>40</v>
      </c>
      <c r="D5453">
        <v>4.0291069999999998</v>
      </c>
      <c r="E5453">
        <v>0.524841</v>
      </c>
      <c r="F5453" t="s">
        <v>55</v>
      </c>
      <c r="G5453">
        <v>-196.8783</v>
      </c>
      <c r="H5453" s="1">
        <v>-1.061954E-5</v>
      </c>
      <c r="I5453">
        <v>144.9117</v>
      </c>
      <c r="J5453">
        <v>-191.75839999999999</v>
      </c>
      <c r="K5453">
        <v>1.10985</v>
      </c>
      <c r="L5453">
        <v>166.90940000000001</v>
      </c>
      <c r="M5453">
        <v>-5.9580399999999999E-2</v>
      </c>
      <c r="N5453">
        <v>0</v>
      </c>
      <c r="O5453">
        <v>-0.99813130000000005</v>
      </c>
      <c r="P5453">
        <v>-0.16246479999999999</v>
      </c>
      <c r="Q5453">
        <v>-1.947275E-2</v>
      </c>
      <c r="R5453">
        <v>-0.98652240000000002</v>
      </c>
      <c r="S5453">
        <v>-0.67971800000000004</v>
      </c>
      <c r="T5453">
        <v>-0.1472118</v>
      </c>
      <c r="U5453">
        <v>-2.9262700000000001</v>
      </c>
      <c r="V5453">
        <v>0.1033864</v>
      </c>
      <c r="W5453">
        <v>-6.085264E-3</v>
      </c>
      <c r="X5453">
        <v>0.99462260000000002</v>
      </c>
      <c r="Y5453">
        <v>0.1675422</v>
      </c>
      <c r="Z5453">
        <v>4.9103000000000001E-2</v>
      </c>
      <c r="AA5453">
        <v>0.98464130000000005</v>
      </c>
      <c r="AB5453">
        <v>13</v>
      </c>
      <c r="AC5453">
        <v>-5.1199000000000003</v>
      </c>
      <c r="AD5453">
        <v>-1.10986061954</v>
      </c>
      <c r="AE5453">
        <v>-21.997699999999998</v>
      </c>
      <c r="AF5453">
        <v>3.79089641159594</v>
      </c>
      <c r="AG5453">
        <v>-1.10986061954</v>
      </c>
      <c r="AH5453">
        <v>22.2100562638174</v>
      </c>
      <c r="AI5453">
        <v>92.820036838246494</v>
      </c>
      <c r="AJ5453">
        <v>80.313881579473204</v>
      </c>
      <c r="AK5453">
        <v>22.5585745436229</v>
      </c>
      <c r="AL5453">
        <v>90.348662114676401</v>
      </c>
      <c r="AM5453">
        <v>84.065681301185805</v>
      </c>
      <c r="AN5453">
        <v>0.99999994728683295</v>
      </c>
    </row>
    <row r="5454" spans="1:40" x14ac:dyDescent="0.25">
      <c r="A5454" t="str">
        <f>"20190312154032621"</f>
        <v>20190312154032621</v>
      </c>
      <c r="B5454" t="str">
        <f>"1552376432611973"</f>
        <v>1552376432611973</v>
      </c>
      <c r="C5454" t="s">
        <v>40</v>
      </c>
      <c r="D5454">
        <v>4.0420540000000003</v>
      </c>
      <c r="E5454">
        <v>0.524841</v>
      </c>
      <c r="F5454" t="s">
        <v>55</v>
      </c>
      <c r="G5454">
        <v>-196.88910000000001</v>
      </c>
      <c r="H5454" s="1">
        <v>-1.060661E-5</v>
      </c>
      <c r="I5454">
        <v>144.863</v>
      </c>
      <c r="J5454">
        <v>-191.76519999999999</v>
      </c>
      <c r="K5454">
        <v>1.10985</v>
      </c>
      <c r="L5454">
        <v>166.81540000000001</v>
      </c>
      <c r="M5454">
        <v>-6.061018E-2</v>
      </c>
      <c r="N5454">
        <v>0</v>
      </c>
      <c r="O5454">
        <v>-0.99806950000000005</v>
      </c>
      <c r="P5454">
        <v>-0.16360259999999999</v>
      </c>
      <c r="Q5454">
        <v>-1.9636529999999999E-2</v>
      </c>
      <c r="R5454">
        <v>-0.98633119999999996</v>
      </c>
      <c r="S5454">
        <v>-0.68093870000000001</v>
      </c>
      <c r="T5454">
        <v>-0.14729800000000001</v>
      </c>
      <c r="U5454">
        <v>-2.9259490000000001</v>
      </c>
      <c r="V5454">
        <v>0.1035075</v>
      </c>
      <c r="W5454">
        <v>-6.2560569999999998E-3</v>
      </c>
      <c r="X5454">
        <v>0.99460899999999997</v>
      </c>
      <c r="Y5454">
        <v>0.16693820000000001</v>
      </c>
      <c r="Z5454">
        <v>4.9132580000000002E-2</v>
      </c>
      <c r="AA5454">
        <v>0.98474240000000002</v>
      </c>
      <c r="AB5454">
        <v>12</v>
      </c>
      <c r="AC5454">
        <v>-5.1239000000000097</v>
      </c>
      <c r="AD5454">
        <v>-1.1098606066100001</v>
      </c>
      <c r="AE5454">
        <v>-21.952400000000001</v>
      </c>
      <c r="AF5454">
        <v>3.7746670831378202</v>
      </c>
      <c r="AG5454">
        <v>-1.1098606066100001</v>
      </c>
      <c r="AH5454">
        <v>22.1688847939065</v>
      </c>
      <c r="AI5454">
        <v>92.825459594735406</v>
      </c>
      <c r="AJ5454">
        <v>80.336992680940099</v>
      </c>
      <c r="AK5454">
        <v>22.515313792175402</v>
      </c>
      <c r="AL5454">
        <v>90.358448000029696</v>
      </c>
      <c r="AM5454">
        <v>84.05869926618</v>
      </c>
      <c r="AN5454">
        <v>1.00000000184321</v>
      </c>
    </row>
    <row r="5455" spans="1:40" x14ac:dyDescent="0.25">
      <c r="A5455" t="str">
        <f>"20190312154032634"</f>
        <v>20190312154032634</v>
      </c>
      <c r="B5455" t="str">
        <f>"1552376432621735"</f>
        <v>1552376432621735</v>
      </c>
      <c r="C5455" t="s">
        <v>40</v>
      </c>
      <c r="D5455">
        <v>4.0513760000000003</v>
      </c>
      <c r="E5455">
        <v>0.54940990000000001</v>
      </c>
      <c r="F5455" t="s">
        <v>55</v>
      </c>
      <c r="G5455">
        <v>-196.90440000000001</v>
      </c>
      <c r="H5455" s="1">
        <v>-1.060392E-5</v>
      </c>
      <c r="I5455">
        <v>144.8466</v>
      </c>
      <c r="J5455">
        <v>-191.7705</v>
      </c>
      <c r="K5455">
        <v>1.1098520000000001</v>
      </c>
      <c r="L5455">
        <v>166.7433</v>
      </c>
      <c r="M5455">
        <v>-6.1397359999999998E-2</v>
      </c>
      <c r="N5455">
        <v>0</v>
      </c>
      <c r="O5455">
        <v>-0.99802139999999995</v>
      </c>
      <c r="P5455">
        <v>-0.1647035</v>
      </c>
      <c r="Q5455">
        <v>-1.980297E-2</v>
      </c>
      <c r="R5455">
        <v>-0.98614469999999999</v>
      </c>
      <c r="S5455">
        <v>-0.68428040000000001</v>
      </c>
      <c r="T5455">
        <v>-0.147778399999999</v>
      </c>
      <c r="U5455">
        <v>-2.9251559999999999</v>
      </c>
      <c r="V5455">
        <v>0.1038333</v>
      </c>
      <c r="W5455">
        <v>-6.4279589999999996E-3</v>
      </c>
      <c r="X5455">
        <v>0.99457399999999996</v>
      </c>
      <c r="Y5455">
        <v>0.16728460000000001</v>
      </c>
      <c r="Z5455">
        <v>4.9294089999999999E-2</v>
      </c>
      <c r="AA5455">
        <v>0.98467550000000004</v>
      </c>
      <c r="AB5455">
        <v>12</v>
      </c>
      <c r="AC5455">
        <v>-5.1339000000000103</v>
      </c>
      <c r="AD5455">
        <v>-1.1098626039199999</v>
      </c>
      <c r="AE5455">
        <v>-21.896699999999999</v>
      </c>
      <c r="AF5455">
        <v>3.77050751606928</v>
      </c>
      <c r="AG5455">
        <v>-1.1098626039199999</v>
      </c>
      <c r="AH5455">
        <v>22.1167595538186</v>
      </c>
      <c r="AI5455">
        <v>92.8320131400029</v>
      </c>
      <c r="AJ5455">
        <v>80.325120706877499</v>
      </c>
      <c r="AK5455">
        <v>22.463293950125401</v>
      </c>
      <c r="AL5455">
        <v>90.368297436819702</v>
      </c>
      <c r="AM5455">
        <v>84.039924611317801</v>
      </c>
      <c r="AN5455">
        <v>1.00000005716089</v>
      </c>
    </row>
    <row r="5456" spans="1:40" x14ac:dyDescent="0.25">
      <c r="A5456" t="str">
        <f>"20190312154032648"</f>
        <v>20190312154032648</v>
      </c>
      <c r="B5456" t="str">
        <f>"1552376432631494"</f>
        <v>1552376432631494</v>
      </c>
      <c r="C5456" t="s">
        <v>40</v>
      </c>
      <c r="D5456">
        <v>4.0101339999999999</v>
      </c>
      <c r="E5456">
        <v>0.55763909999999905</v>
      </c>
      <c r="F5456" t="s">
        <v>55</v>
      </c>
      <c r="G5456">
        <v>-197.7242</v>
      </c>
      <c r="H5456" s="1">
        <v>-1.14195E-5</v>
      </c>
      <c r="I5456">
        <v>147.19239999999999</v>
      </c>
      <c r="J5456">
        <v>-191.7758</v>
      </c>
      <c r="K5456">
        <v>1.1098520000000001</v>
      </c>
      <c r="L5456">
        <v>166.67259999999999</v>
      </c>
      <c r="M5456">
        <v>-6.2165629999999999E-2</v>
      </c>
      <c r="N5456">
        <v>0</v>
      </c>
      <c r="O5456">
        <v>-0.99797369999999996</v>
      </c>
      <c r="P5456">
        <v>-0.16537299999999999</v>
      </c>
      <c r="Q5456">
        <v>-1.9770989999999999E-2</v>
      </c>
      <c r="R5456">
        <v>-0.98603300000000005</v>
      </c>
      <c r="S5456">
        <v>-0.88061520000000004</v>
      </c>
      <c r="T5456">
        <v>-0.1641609</v>
      </c>
      <c r="U5456">
        <v>-2.8917999999999999</v>
      </c>
      <c r="V5456">
        <v>0.1037429</v>
      </c>
      <c r="W5456">
        <v>-6.3998939999999997E-3</v>
      </c>
      <c r="X5456">
        <v>0.99458349999999995</v>
      </c>
      <c r="Y5456">
        <v>0.23084250000000001</v>
      </c>
      <c r="Z5456">
        <v>5.4515689999999999E-2</v>
      </c>
      <c r="AA5456">
        <v>0.97146270000000001</v>
      </c>
      <c r="AB5456">
        <v>12</v>
      </c>
      <c r="AC5456">
        <v>-5.9483999999999897</v>
      </c>
      <c r="AD5456">
        <v>-1.1098634194999999</v>
      </c>
      <c r="AE5456">
        <v>-19.4802</v>
      </c>
      <c r="AF5456">
        <v>4.7117923391844299</v>
      </c>
      <c r="AG5456">
        <v>-1.1098634194999999</v>
      </c>
      <c r="AH5456">
        <v>19.7536832746597</v>
      </c>
      <c r="AI5456">
        <v>93.1282127247826</v>
      </c>
      <c r="AJ5456">
        <v>76.584078370260599</v>
      </c>
      <c r="AK5456">
        <v>20.3381608503107</v>
      </c>
      <c r="AL5456">
        <v>90.366689439568901</v>
      </c>
      <c r="AM5456">
        <v>84.045132777366007</v>
      </c>
      <c r="AN5456">
        <v>0.99999994320793395</v>
      </c>
    </row>
    <row r="5457" spans="1:40" x14ac:dyDescent="0.25">
      <c r="A5457" t="str">
        <f>"20190312154032659"</f>
        <v>20190312154032659</v>
      </c>
      <c r="B5457" t="str">
        <f>"1552376432651989"</f>
        <v>1552376432651989</v>
      </c>
      <c r="C5457" t="s">
        <v>40</v>
      </c>
      <c r="D5457">
        <v>4.0547529999999998</v>
      </c>
      <c r="E5457">
        <v>0.56714189999999998</v>
      </c>
      <c r="F5457" t="s">
        <v>55</v>
      </c>
      <c r="G5457">
        <v>-197.84729999999999</v>
      </c>
      <c r="H5457" s="1">
        <v>-1.1715489999999999E-5</v>
      </c>
      <c r="I5457">
        <v>148.20760000000001</v>
      </c>
      <c r="J5457">
        <v>-191.78100000000001</v>
      </c>
      <c r="K5457">
        <v>1.1098570000000001</v>
      </c>
      <c r="L5457">
        <v>166.60249999999999</v>
      </c>
      <c r="M5457">
        <v>-6.2925780000000001E-2</v>
      </c>
      <c r="N5457">
        <v>0</v>
      </c>
      <c r="O5457">
        <v>-0.99792639999999999</v>
      </c>
      <c r="P5457">
        <v>-0.16611219999999999</v>
      </c>
      <c r="Q5457">
        <v>-1.9960289999999999E-2</v>
      </c>
      <c r="R5457">
        <v>-0.98590509999999998</v>
      </c>
      <c r="S5457">
        <v>-0.94703669999999995</v>
      </c>
      <c r="T5457">
        <v>-0.17311689999999999</v>
      </c>
      <c r="U5457">
        <v>-2.880188</v>
      </c>
      <c r="V5457">
        <v>0.1037312</v>
      </c>
      <c r="W5457">
        <v>-6.5930989999999998E-3</v>
      </c>
      <c r="X5457">
        <v>0.99458349999999995</v>
      </c>
      <c r="Y5457">
        <v>0.25144309999999997</v>
      </c>
      <c r="Z5457">
        <v>5.7351800000000001E-2</v>
      </c>
      <c r="AA5457">
        <v>0.96617140000000001</v>
      </c>
      <c r="AB5457">
        <v>12</v>
      </c>
      <c r="AC5457">
        <v>-6.0663000000000098</v>
      </c>
      <c r="AD5457">
        <v>-1.10986871548999</v>
      </c>
      <c r="AE5457">
        <v>-18.3948999999999</v>
      </c>
      <c r="AF5457">
        <v>4.8806315123447899</v>
      </c>
      <c r="AG5457">
        <v>-1.10986871548999</v>
      </c>
      <c r="AH5457">
        <v>18.6788715117601</v>
      </c>
      <c r="AI5457">
        <v>93.290217998304996</v>
      </c>
      <c r="AJ5457">
        <v>75.356490300511993</v>
      </c>
      <c r="AK5457">
        <v>19.337854417637899</v>
      </c>
      <c r="AL5457">
        <v>90.377759489249698</v>
      </c>
      <c r="AM5457">
        <v>84.045799535172506</v>
      </c>
      <c r="AN5457">
        <v>0.99999998464005602</v>
      </c>
    </row>
    <row r="5458" spans="1:40" x14ac:dyDescent="0.25">
      <c r="A5458" t="str">
        <f>"20190312154032671"</f>
        <v>20190312154032671</v>
      </c>
      <c r="B5458" t="str">
        <f>"1552376432661750"</f>
        <v>1552376432661750</v>
      </c>
      <c r="C5458" t="s">
        <v>40</v>
      </c>
      <c r="D5458">
        <v>4.038386</v>
      </c>
      <c r="E5458">
        <v>0.56967419999999902</v>
      </c>
      <c r="F5458" t="s">
        <v>55</v>
      </c>
      <c r="G5458">
        <v>-197.8862</v>
      </c>
      <c r="H5458" s="1">
        <v>-1.2065510000000001E-5</v>
      </c>
      <c r="I5458">
        <v>149.5086</v>
      </c>
      <c r="J5458">
        <v>-191.78630000000001</v>
      </c>
      <c r="K5458">
        <v>1.109861</v>
      </c>
      <c r="L5458">
        <v>166.5333</v>
      </c>
      <c r="M5458">
        <v>-6.3672329999999999E-2</v>
      </c>
      <c r="N5458">
        <v>0</v>
      </c>
      <c r="O5458">
        <v>-0.99787890000000001</v>
      </c>
      <c r="P5458">
        <v>-0.16695879999999999</v>
      </c>
      <c r="Q5458">
        <v>-2.006956E-2</v>
      </c>
      <c r="R5458">
        <v>-0.98575970000000002</v>
      </c>
      <c r="S5458">
        <v>-1.0238339999999999</v>
      </c>
      <c r="T5458">
        <v>-0.18612210000000001</v>
      </c>
      <c r="U5458">
        <v>-2.8666079999999998</v>
      </c>
      <c r="V5458">
        <v>0.1038413</v>
      </c>
      <c r="W5458">
        <v>-6.7061169999999897E-3</v>
      </c>
      <c r="X5458">
        <v>0.99457130000000005</v>
      </c>
      <c r="Y5458">
        <v>0.27506429999999998</v>
      </c>
      <c r="Z5458">
        <v>6.1452729999999997E-2</v>
      </c>
      <c r="AA5458">
        <v>0.95945979999999997</v>
      </c>
      <c r="AB5458">
        <v>12</v>
      </c>
      <c r="AC5458">
        <v>-6.0998999999999901</v>
      </c>
      <c r="AD5458">
        <v>-1.10987306551</v>
      </c>
      <c r="AE5458">
        <v>-17.0246999999999</v>
      </c>
      <c r="AF5458">
        <v>4.9846438887573798</v>
      </c>
      <c r="AG5458">
        <v>-1.10987306551</v>
      </c>
      <c r="AH5458">
        <v>17.313368481480001</v>
      </c>
      <c r="AI5458">
        <v>93.525117692031202</v>
      </c>
      <c r="AJ5458">
        <v>73.938508030012798</v>
      </c>
      <c r="AK5458">
        <v>18.050795580660001</v>
      </c>
      <c r="AL5458">
        <v>90.384235069813002</v>
      </c>
      <c r="AM5458">
        <v>84.039452648988103</v>
      </c>
      <c r="AN5458">
        <v>1.0000000291872899</v>
      </c>
    </row>
    <row r="5459" spans="1:40" x14ac:dyDescent="0.25">
      <c r="A5459" t="str">
        <f>"20190312154032689"</f>
        <v>20190312154032689</v>
      </c>
      <c r="B5459" t="str">
        <f>"1552376432681272"</f>
        <v>1552376432681272</v>
      </c>
      <c r="C5459" t="s">
        <v>40</v>
      </c>
      <c r="D5459">
        <v>4.0087919999999997</v>
      </c>
      <c r="E5459">
        <v>0.57278200000000001</v>
      </c>
      <c r="F5459" t="s">
        <v>55</v>
      </c>
      <c r="G5459">
        <v>-198.0735</v>
      </c>
      <c r="H5459" s="1">
        <v>-1.205185E-5</v>
      </c>
      <c r="I5459">
        <v>149.33080000000001</v>
      </c>
      <c r="J5459">
        <v>-191.7929</v>
      </c>
      <c r="K5459">
        <v>1.1098570000000001</v>
      </c>
      <c r="L5459">
        <v>166.44669999999999</v>
      </c>
      <c r="M5459">
        <v>-6.4602649999999998E-2</v>
      </c>
      <c r="N5459">
        <v>0</v>
      </c>
      <c r="O5459">
        <v>-0.99781929999999996</v>
      </c>
      <c r="P5459">
        <v>-0.16813330000000001</v>
      </c>
      <c r="Q5459">
        <v>-2.0498209999999999E-2</v>
      </c>
      <c r="R5459">
        <v>-0.98555139999999997</v>
      </c>
      <c r="S5459">
        <v>-1.0461579999999999</v>
      </c>
      <c r="T5459">
        <v>-0.18467649999999999</v>
      </c>
      <c r="U5459">
        <v>-2.8623959999999999</v>
      </c>
      <c r="V5459">
        <v>0.10409930000000001</v>
      </c>
      <c r="W5459">
        <v>-7.1395869999999898E-3</v>
      </c>
      <c r="X5459">
        <v>0.99454129999999996</v>
      </c>
      <c r="Y5459">
        <v>0.28123819999999999</v>
      </c>
      <c r="Z5459">
        <v>6.092202E-2</v>
      </c>
      <c r="AA5459">
        <v>0.95770219999999995</v>
      </c>
      <c r="AB5459">
        <v>12</v>
      </c>
      <c r="AC5459">
        <v>-6.28059999999999</v>
      </c>
      <c r="AD5459">
        <v>-1.1098690518499901</v>
      </c>
      <c r="AE5459">
        <v>-17.1158999999999</v>
      </c>
      <c r="AF5459">
        <v>5.14258665647304</v>
      </c>
      <c r="AG5459">
        <v>-1.1098690518499901</v>
      </c>
      <c r="AH5459">
        <v>17.421359883950501</v>
      </c>
      <c r="AI5459">
        <v>93.496477524354503</v>
      </c>
      <c r="AJ5459">
        <v>73.554000943002904</v>
      </c>
      <c r="AK5459">
        <v>18.1984006725237</v>
      </c>
      <c r="AL5459">
        <v>90.409071670698694</v>
      </c>
      <c r="AM5459">
        <v>84.024571383192495</v>
      </c>
      <c r="AN5459">
        <v>1.00000001768435</v>
      </c>
    </row>
    <row r="5460" spans="1:40" x14ac:dyDescent="0.25">
      <c r="A5460" t="str">
        <f>"20190312154032700"</f>
        <v>20190312154032700</v>
      </c>
      <c r="B5460" t="str">
        <f>"1552376432692005"</f>
        <v>1552376432692005</v>
      </c>
      <c r="C5460" t="s">
        <v>40</v>
      </c>
      <c r="D5460">
        <v>4.013649</v>
      </c>
      <c r="E5460">
        <v>0.57378339999999906</v>
      </c>
      <c r="F5460" t="s">
        <v>55</v>
      </c>
      <c r="G5460">
        <v>-198.24189999999999</v>
      </c>
      <c r="H5460" s="1">
        <v>-1.2071490000000001E-5</v>
      </c>
      <c r="I5460">
        <v>149.2921</v>
      </c>
      <c r="J5460">
        <v>-191.79820000000001</v>
      </c>
      <c r="K5460">
        <v>1.1098589999999999</v>
      </c>
      <c r="L5460">
        <v>166.37809999999999</v>
      </c>
      <c r="M5460">
        <v>-6.5336820000000004E-2</v>
      </c>
      <c r="N5460">
        <v>0</v>
      </c>
      <c r="O5460">
        <v>-0.99777159999999998</v>
      </c>
      <c r="P5460">
        <v>-0.16913880000000001</v>
      </c>
      <c r="Q5460">
        <v>-2.054607E-2</v>
      </c>
      <c r="R5460">
        <v>-0.98537819999999998</v>
      </c>
      <c r="S5460">
        <v>-1.0740050000000001</v>
      </c>
      <c r="T5460">
        <v>-0.1848359</v>
      </c>
      <c r="U5460">
        <v>-2.856903</v>
      </c>
      <c r="V5460">
        <v>0.1043823</v>
      </c>
      <c r="W5460">
        <v>-7.1912629999999998E-3</v>
      </c>
      <c r="X5460">
        <v>0.99451120000000004</v>
      </c>
      <c r="Y5460">
        <v>0.28932160000000001</v>
      </c>
      <c r="Z5460">
        <v>6.0904809999999997E-2</v>
      </c>
      <c r="AA5460">
        <v>0.95529240000000004</v>
      </c>
      <c r="AB5460">
        <v>12</v>
      </c>
      <c r="AC5460">
        <v>-6.4436999999999696</v>
      </c>
      <c r="AD5460">
        <v>-1.10987107149</v>
      </c>
      <c r="AE5460">
        <v>-17.085999999999899</v>
      </c>
      <c r="AF5460">
        <v>5.2939255927795301</v>
      </c>
      <c r="AG5460">
        <v>-1.10987107149</v>
      </c>
      <c r="AH5460">
        <v>17.406233779499399</v>
      </c>
      <c r="AI5460">
        <v>93.490933507142799</v>
      </c>
      <c r="AJ5460">
        <v>73.083404789214498</v>
      </c>
      <c r="AK5460">
        <v>18.227299206514498</v>
      </c>
      <c r="AL5460">
        <v>90.412032590066403</v>
      </c>
      <c r="AM5460">
        <v>84.008264820898404</v>
      </c>
      <c r="AN5460">
        <v>0.99999995287113097</v>
      </c>
    </row>
    <row r="5461" spans="1:40" x14ac:dyDescent="0.25">
      <c r="A5461" t="str">
        <f>"20190312154032713"</f>
        <v>20190312154032713</v>
      </c>
      <c r="B5461" t="str">
        <f>"1552376432701765"</f>
        <v>1552376432701765</v>
      </c>
      <c r="C5461" t="s">
        <v>40</v>
      </c>
      <c r="D5461">
        <v>4.0145660000000003</v>
      </c>
      <c r="E5461">
        <v>0.57495859999999999</v>
      </c>
      <c r="F5461" t="s">
        <v>55</v>
      </c>
      <c r="G5461">
        <v>-198.3372</v>
      </c>
      <c r="H5461" s="1">
        <v>-1.2056890000000001E-5</v>
      </c>
      <c r="I5461">
        <v>149.17259999999999</v>
      </c>
      <c r="J5461">
        <v>-191.80359999999999</v>
      </c>
      <c r="K5461">
        <v>1.1098589999999999</v>
      </c>
      <c r="L5461">
        <v>166.3083</v>
      </c>
      <c r="M5461">
        <v>-6.6079470000000001E-2</v>
      </c>
      <c r="N5461">
        <v>0</v>
      </c>
      <c r="O5461">
        <v>-0.99772269999999996</v>
      </c>
      <c r="P5461">
        <v>-0.17010449999999999</v>
      </c>
      <c r="Q5461">
        <v>-2.0660560000000001E-2</v>
      </c>
      <c r="R5461">
        <v>-0.98521000000000003</v>
      </c>
      <c r="S5461">
        <v>-1.084854</v>
      </c>
      <c r="T5461">
        <v>-0.1841324</v>
      </c>
      <c r="U5461">
        <v>-2.8544619999999998</v>
      </c>
      <c r="V5461">
        <v>0.1046168</v>
      </c>
      <c r="W5461">
        <v>-7.3093169999999897E-3</v>
      </c>
      <c r="X5461">
        <v>0.99448570000000003</v>
      </c>
      <c r="Y5461">
        <v>0.29205920000000002</v>
      </c>
      <c r="Z5461">
        <v>6.0652600000000001E-2</v>
      </c>
      <c r="AA5461">
        <v>0.95447510000000002</v>
      </c>
      <c r="AB5461">
        <v>12</v>
      </c>
      <c r="AC5461">
        <v>-6.5335999999999999</v>
      </c>
      <c r="AD5461">
        <v>-1.1098710568900001</v>
      </c>
      <c r="AE5461">
        <v>-17.1357</v>
      </c>
      <c r="AF5461">
        <v>5.3672375942710104</v>
      </c>
      <c r="AG5461">
        <v>-1.1098710568900001</v>
      </c>
      <c r="AH5461">
        <v>17.466045509523902</v>
      </c>
      <c r="AI5461">
        <v>93.475947525673405</v>
      </c>
      <c r="AJ5461">
        <v>72.918041229313104</v>
      </c>
      <c r="AK5461">
        <v>18.3057859404353</v>
      </c>
      <c r="AL5461">
        <v>90.418796763561801</v>
      </c>
      <c r="AM5461">
        <v>83.994749488504297</v>
      </c>
      <c r="AN5461">
        <v>0.99999995423086696</v>
      </c>
    </row>
    <row r="5462" spans="1:40" x14ac:dyDescent="0.25">
      <c r="A5462" t="str">
        <f>"20190312154032725"</f>
        <v>20190312154032725</v>
      </c>
      <c r="B5462" t="str">
        <f>"1552376432711525"</f>
        <v>1552376432711525</v>
      </c>
      <c r="C5462" t="s">
        <v>40</v>
      </c>
      <c r="D5462">
        <v>4.0386540000000002</v>
      </c>
      <c r="E5462">
        <v>0.57576039999999995</v>
      </c>
      <c r="F5462" t="s">
        <v>55</v>
      </c>
      <c r="G5462">
        <v>-198.4494</v>
      </c>
      <c r="H5462" s="1">
        <v>-1.203933E-5</v>
      </c>
      <c r="I5462">
        <v>149.03049999999999</v>
      </c>
      <c r="J5462">
        <v>-191.80869999999999</v>
      </c>
      <c r="K5462">
        <v>1.1098589999999999</v>
      </c>
      <c r="L5462">
        <v>166.2439</v>
      </c>
      <c r="M5462">
        <v>-6.6762630000000003E-2</v>
      </c>
      <c r="N5462">
        <v>0</v>
      </c>
      <c r="O5462">
        <v>-0.99767729999999999</v>
      </c>
      <c r="P5462">
        <v>-0.17078289999999999</v>
      </c>
      <c r="Q5462">
        <v>-2.0961879999999999E-2</v>
      </c>
      <c r="R5462">
        <v>-0.98508609999999996</v>
      </c>
      <c r="S5462">
        <v>-1.096924</v>
      </c>
      <c r="T5462">
        <v>-0.18319050000000001</v>
      </c>
      <c r="U5462">
        <v>-2.851791</v>
      </c>
      <c r="V5462">
        <v>0.1046208</v>
      </c>
      <c r="W5462">
        <v>-7.6133569999999899E-3</v>
      </c>
      <c r="X5462">
        <v>0.99448309999999995</v>
      </c>
      <c r="Y5462">
        <v>0.29523090000000002</v>
      </c>
      <c r="Z5462">
        <v>6.0317860000000001E-2</v>
      </c>
      <c r="AA5462">
        <v>0.95352009999999998</v>
      </c>
      <c r="AB5462">
        <v>12</v>
      </c>
      <c r="AC5462">
        <v>-6.6407000000000096</v>
      </c>
      <c r="AD5462">
        <v>-1.10987103933</v>
      </c>
      <c r="AE5462">
        <v>-17.2134</v>
      </c>
      <c r="AF5462">
        <v>5.4568175363619398</v>
      </c>
      <c r="AG5462">
        <v>-1.10987103933</v>
      </c>
      <c r="AH5462">
        <v>17.5548528767807</v>
      </c>
      <c r="AI5462">
        <v>93.454954062316105</v>
      </c>
      <c r="AJ5462">
        <v>72.732465817933004</v>
      </c>
      <c r="AK5462">
        <v>18.416881681612299</v>
      </c>
      <c r="AL5462">
        <v>90.436217413938493</v>
      </c>
      <c r="AM5462">
        <v>83.9945059709476</v>
      </c>
      <c r="AN5462">
        <v>1.0000000555915201</v>
      </c>
    </row>
    <row r="5463" spans="1:40" x14ac:dyDescent="0.25">
      <c r="A5463" t="str">
        <f>"20190312154032738"</f>
        <v>20190312154032738</v>
      </c>
      <c r="B5463" t="str">
        <f>"1552376432732022"</f>
        <v>1552376432732022</v>
      </c>
      <c r="C5463" t="s">
        <v>40</v>
      </c>
      <c r="D5463">
        <v>4.0190419999999998</v>
      </c>
      <c r="E5463">
        <v>0.57716460000000003</v>
      </c>
      <c r="F5463" t="s">
        <v>55</v>
      </c>
      <c r="G5463">
        <v>-198.53139999999999</v>
      </c>
      <c r="H5463" s="1">
        <v>-1.202208E-5</v>
      </c>
      <c r="I5463">
        <v>148.91</v>
      </c>
      <c r="J5463">
        <v>-191.81469999999999</v>
      </c>
      <c r="K5463">
        <v>1.1098589999999999</v>
      </c>
      <c r="L5463">
        <v>166.1678</v>
      </c>
      <c r="M5463">
        <v>-6.7566669999999995E-2</v>
      </c>
      <c r="N5463">
        <v>0</v>
      </c>
      <c r="O5463">
        <v>-0.99762309999999998</v>
      </c>
      <c r="P5463">
        <v>-0.17166219999999999</v>
      </c>
      <c r="Q5463">
        <v>-2.1244079999999999E-2</v>
      </c>
      <c r="R5463">
        <v>-0.984927</v>
      </c>
      <c r="S5463">
        <v>-1.1053010000000001</v>
      </c>
      <c r="T5463">
        <v>-0.182477</v>
      </c>
      <c r="U5463">
        <v>-2.8499150000000002</v>
      </c>
      <c r="V5463">
        <v>0.1047073</v>
      </c>
      <c r="W5463">
        <v>-7.8989049999999995E-3</v>
      </c>
      <c r="X5463">
        <v>0.99447169999999896</v>
      </c>
      <c r="Y5463">
        <v>0.29711510000000002</v>
      </c>
      <c r="Z5463">
        <v>6.0067040000000002E-2</v>
      </c>
      <c r="AA5463">
        <v>0.95295050000000003</v>
      </c>
      <c r="AB5463">
        <v>12</v>
      </c>
      <c r="AC5463">
        <v>-6.7167000000000003</v>
      </c>
      <c r="AD5463">
        <v>-1.1098710220800001</v>
      </c>
      <c r="AE5463">
        <v>-17.2578</v>
      </c>
      <c r="AF5463">
        <v>5.51537872281546</v>
      </c>
      <c r="AG5463">
        <v>-1.1098710220800001</v>
      </c>
      <c r="AH5463">
        <v>17.608972148655301</v>
      </c>
      <c r="AI5463">
        <v>93.442046113134893</v>
      </c>
      <c r="AJ5463">
        <v>72.608707081672193</v>
      </c>
      <c r="AK5463">
        <v>18.4858626056199</v>
      </c>
      <c r="AL5463">
        <v>90.452578631627603</v>
      </c>
      <c r="AM5463">
        <v>83.989508592352607</v>
      </c>
      <c r="AN5463">
        <v>0.99999998673718904</v>
      </c>
    </row>
    <row r="5464" spans="1:40" x14ac:dyDescent="0.25">
      <c r="A5464" t="str">
        <f>"20190312154032755"</f>
        <v>20190312154032755</v>
      </c>
      <c r="B5464" t="str">
        <f>"1552376432741780"</f>
        <v>1552376432741780</v>
      </c>
      <c r="C5464" t="s">
        <v>40</v>
      </c>
      <c r="D5464">
        <v>4.03322</v>
      </c>
      <c r="E5464">
        <v>0.57772579999999996</v>
      </c>
      <c r="F5464" t="s">
        <v>55</v>
      </c>
      <c r="G5464">
        <v>-198.76310000000001</v>
      </c>
      <c r="H5464" s="1">
        <v>-1.19521699999999E-5</v>
      </c>
      <c r="I5464">
        <v>148.489</v>
      </c>
      <c r="J5464">
        <v>-191.822</v>
      </c>
      <c r="K5464">
        <v>1.1098589999999999</v>
      </c>
      <c r="L5464">
        <v>166.07679999999999</v>
      </c>
      <c r="M5464">
        <v>-6.8524310000000005E-2</v>
      </c>
      <c r="N5464">
        <v>0</v>
      </c>
      <c r="O5464">
        <v>-0.9975581</v>
      </c>
      <c r="P5464">
        <v>-0.17207739999999999</v>
      </c>
      <c r="Q5464">
        <v>-2.2246910000000002E-2</v>
      </c>
      <c r="R5464">
        <v>-0.98483259999999995</v>
      </c>
      <c r="S5464">
        <v>-1.1189880000000001</v>
      </c>
      <c r="T5464">
        <v>-0.1787357</v>
      </c>
      <c r="U5464">
        <v>-2.8470309999999999</v>
      </c>
      <c r="V5464">
        <v>0.1041726</v>
      </c>
      <c r="W5464">
        <v>-8.9042630000000008E-3</v>
      </c>
      <c r="X5464">
        <v>0.99451940000000005</v>
      </c>
      <c r="Y5464">
        <v>0.30052440000000002</v>
      </c>
      <c r="Z5464">
        <v>5.8807789999999999E-2</v>
      </c>
      <c r="AA5464">
        <v>0.95195940000000001</v>
      </c>
      <c r="AB5464">
        <v>12</v>
      </c>
      <c r="AC5464">
        <v>-6.9410999999999996</v>
      </c>
      <c r="AD5464">
        <v>-1.1098709521700001</v>
      </c>
      <c r="AE5464">
        <v>-17.587799999999898</v>
      </c>
      <c r="AF5464">
        <v>5.6998408678202104</v>
      </c>
      <c r="AG5464">
        <v>-1.1098709521700001</v>
      </c>
      <c r="AH5464">
        <v>17.960246090032602</v>
      </c>
      <c r="AI5464">
        <v>93.370882395900693</v>
      </c>
      <c r="AJ5464">
        <v>72.3927100140709</v>
      </c>
      <c r="AK5464">
        <v>18.875657314739399</v>
      </c>
      <c r="AL5464">
        <v>90.510183417812001</v>
      </c>
      <c r="AM5464">
        <v>84.020263626053406</v>
      </c>
      <c r="AN5464">
        <v>1.00000002673334</v>
      </c>
    </row>
    <row r="5465" spans="1:40" x14ac:dyDescent="0.25">
      <c r="A5465" t="str">
        <f>"20190312154032769"</f>
        <v>20190312154032769</v>
      </c>
      <c r="B5465" t="str">
        <f>"1552376432761301"</f>
        <v>1552376432761301</v>
      </c>
      <c r="C5465" t="s">
        <v>40</v>
      </c>
      <c r="D5465">
        <v>4.0309660000000003</v>
      </c>
      <c r="E5465">
        <v>0.57881369999999999</v>
      </c>
      <c r="F5465" t="s">
        <v>55</v>
      </c>
      <c r="G5465">
        <v>-198.74959999999999</v>
      </c>
      <c r="H5465" s="1">
        <v>-1.1965259999999999E-5</v>
      </c>
      <c r="I5465">
        <v>148.5478</v>
      </c>
      <c r="J5465">
        <v>-191.828</v>
      </c>
      <c r="K5465">
        <v>1.1098589999999999</v>
      </c>
      <c r="L5465">
        <v>166.0025</v>
      </c>
      <c r="M5465">
        <v>-6.9301680000000004E-2</v>
      </c>
      <c r="N5465">
        <v>0</v>
      </c>
      <c r="O5465">
        <v>-0.99750430000000001</v>
      </c>
      <c r="P5465">
        <v>-0.17285780000000001</v>
      </c>
      <c r="Q5465">
        <v>-2.2522E-2</v>
      </c>
      <c r="R5465">
        <v>-0.9846895</v>
      </c>
      <c r="S5465">
        <v>-1.124619</v>
      </c>
      <c r="T5465">
        <v>-0.18017569999999999</v>
      </c>
      <c r="U5465">
        <v>-2.8456419999999998</v>
      </c>
      <c r="V5465">
        <v>0.1041858</v>
      </c>
      <c r="W5465">
        <v>-9.1823600000000005E-3</v>
      </c>
      <c r="X5465">
        <v>0.9945155</v>
      </c>
      <c r="Y5465">
        <v>0.30155939999999998</v>
      </c>
      <c r="Z5465">
        <v>5.927118E-2</v>
      </c>
      <c r="AA5465">
        <v>0.95160330000000004</v>
      </c>
      <c r="AB5465">
        <v>12</v>
      </c>
      <c r="AC5465">
        <v>-6.9215999999999802</v>
      </c>
      <c r="AD5465">
        <v>-1.1098709652599901</v>
      </c>
      <c r="AE5465">
        <v>-17.454699999999999</v>
      </c>
      <c r="AF5465">
        <v>5.6753768765691603</v>
      </c>
      <c r="AG5465">
        <v>-1.1098709652599901</v>
      </c>
      <c r="AH5465">
        <v>17.830154793173602</v>
      </c>
      <c r="AI5465">
        <v>93.394497103538697</v>
      </c>
      <c r="AJ5465">
        <v>72.343614530326505</v>
      </c>
      <c r="AK5465">
        <v>18.7444961575166</v>
      </c>
      <c r="AL5465">
        <v>90.526117847384597</v>
      </c>
      <c r="AM5465">
        <v>84.019488125642695</v>
      </c>
      <c r="AN5465">
        <v>1.0000000381985199</v>
      </c>
    </row>
    <row r="5466" spans="1:40" x14ac:dyDescent="0.25">
      <c r="A5466" t="str">
        <f>"20190312154032783"</f>
        <v>20190312154032783</v>
      </c>
      <c r="B5466" t="str">
        <f>"1552376432772037"</f>
        <v>1552376432772037</v>
      </c>
      <c r="C5466" t="s">
        <v>40</v>
      </c>
      <c r="D5466">
        <v>4.05389</v>
      </c>
      <c r="E5466">
        <v>0.57922580000000001</v>
      </c>
      <c r="F5466" t="s">
        <v>55</v>
      </c>
      <c r="G5466">
        <v>-198.8348</v>
      </c>
      <c r="H5466" s="1">
        <v>-1.195645E-5</v>
      </c>
      <c r="I5466">
        <v>148.46119999999999</v>
      </c>
      <c r="J5466">
        <v>-191.83439999999999</v>
      </c>
      <c r="K5466">
        <v>1.1098570000000001</v>
      </c>
      <c r="L5466">
        <v>165.9239</v>
      </c>
      <c r="M5466">
        <v>-7.0123790000000005E-2</v>
      </c>
      <c r="N5466">
        <v>0</v>
      </c>
      <c r="O5466">
        <v>-0.99744679999999997</v>
      </c>
      <c r="P5466">
        <v>-0.17341219999999999</v>
      </c>
      <c r="Q5466">
        <v>-2.2507880000000001E-2</v>
      </c>
      <c r="R5466">
        <v>-0.98459240000000003</v>
      </c>
      <c r="S5466">
        <v>-1.13569599999999</v>
      </c>
      <c r="T5466">
        <v>-0.179894</v>
      </c>
      <c r="U5466">
        <v>-2.8432010000000001</v>
      </c>
      <c r="V5466">
        <v>0.1039262</v>
      </c>
      <c r="W5466">
        <v>-9.1707139999999999E-3</v>
      </c>
      <c r="X5466">
        <v>0.9945427</v>
      </c>
      <c r="Y5466">
        <v>0.30425619999999998</v>
      </c>
      <c r="Z5466">
        <v>5.9153810000000001E-2</v>
      </c>
      <c r="AA5466">
        <v>0.95075180000000004</v>
      </c>
      <c r="AB5466">
        <v>12</v>
      </c>
      <c r="AC5466">
        <v>-7.0004000000000097</v>
      </c>
      <c r="AD5466">
        <v>-1.1098689564499999</v>
      </c>
      <c r="AE5466">
        <v>-17.462700000000002</v>
      </c>
      <c r="AF5466">
        <v>5.7385304350136801</v>
      </c>
      <c r="AG5466">
        <v>-1.1098689564499999</v>
      </c>
      <c r="AH5466">
        <v>17.848527753547899</v>
      </c>
      <c r="AI5466">
        <v>93.387854154535404</v>
      </c>
      <c r="AJ5466">
        <v>72.176736284154401</v>
      </c>
      <c r="AK5466">
        <v>18.7811736487164</v>
      </c>
      <c r="AL5466">
        <v>90.525450588720602</v>
      </c>
      <c r="AM5466">
        <v>84.034444160981394</v>
      </c>
      <c r="AN5466">
        <v>0.99999996958249904</v>
      </c>
    </row>
    <row r="5467" spans="1:40" x14ac:dyDescent="0.25">
      <c r="A5467" t="str">
        <f>"20190312154032795"</f>
        <v>20190312154032795</v>
      </c>
      <c r="B5467" t="str">
        <f>"1552376432781797"</f>
        <v>1552376432781797</v>
      </c>
      <c r="C5467" t="s">
        <v>40</v>
      </c>
      <c r="D5467">
        <v>4.0445960000000003</v>
      </c>
      <c r="E5467">
        <v>0.57955140000000005</v>
      </c>
      <c r="F5467" t="s">
        <v>55</v>
      </c>
      <c r="G5467">
        <v>-198.8862</v>
      </c>
      <c r="H5467" s="1">
        <v>-1.193086E-5</v>
      </c>
      <c r="I5467">
        <v>148.3503</v>
      </c>
      <c r="J5467">
        <v>-191.84</v>
      </c>
      <c r="K5467">
        <v>1.109856</v>
      </c>
      <c r="L5467">
        <v>165.8561</v>
      </c>
      <c r="M5467">
        <v>-7.0830729999999995E-2</v>
      </c>
      <c r="N5467">
        <v>0</v>
      </c>
      <c r="O5467">
        <v>-0.99739690000000003</v>
      </c>
      <c r="P5467">
        <v>-0.17378460000000001</v>
      </c>
      <c r="Q5467">
        <v>-2.2415770000000002E-2</v>
      </c>
      <c r="R5467">
        <v>-0.98452899999999999</v>
      </c>
      <c r="S5467">
        <v>-1.1404110000000001</v>
      </c>
      <c r="T5467">
        <v>-0.1794888</v>
      </c>
      <c r="U5467">
        <v>-2.8420100000000001</v>
      </c>
      <c r="V5467">
        <v>0.1035976</v>
      </c>
      <c r="W5467">
        <v>-9.0805109999999994E-3</v>
      </c>
      <c r="X5467">
        <v>0.99457779999999996</v>
      </c>
      <c r="Y5467">
        <v>0.30508069999999998</v>
      </c>
      <c r="Z5467">
        <v>5.9013940000000001E-2</v>
      </c>
      <c r="AA5467">
        <v>0.95049629999999996</v>
      </c>
      <c r="AB5467">
        <v>12</v>
      </c>
      <c r="AC5467">
        <v>-7.04619999999999</v>
      </c>
      <c r="AD5467">
        <v>-1.1098679308599999</v>
      </c>
      <c r="AE5467">
        <v>-17.505799999999901</v>
      </c>
      <c r="AF5467">
        <v>5.7684834683115804</v>
      </c>
      <c r="AG5467">
        <v>-1.1098679308599999</v>
      </c>
      <c r="AH5467">
        <v>17.899041236439899</v>
      </c>
      <c r="AI5467">
        <v>93.377559192046206</v>
      </c>
      <c r="AJ5467">
        <v>72.136963606254994</v>
      </c>
      <c r="AK5467">
        <v>18.838335529762499</v>
      </c>
      <c r="AL5467">
        <v>90.5202821274858</v>
      </c>
      <c r="AM5467">
        <v>84.053379390087102</v>
      </c>
      <c r="AN5467">
        <v>0.99999995932930896</v>
      </c>
    </row>
    <row r="5468" spans="1:40" x14ac:dyDescent="0.25">
      <c r="A5468" t="str">
        <f>"20190312154032811"</f>
        <v>20190312154032811</v>
      </c>
      <c r="B5468" t="str">
        <f>"1552376432801317"</f>
        <v>1552376432801317</v>
      </c>
      <c r="C5468" t="s">
        <v>40</v>
      </c>
      <c r="D5468">
        <v>4.0443189999999998</v>
      </c>
      <c r="E5468">
        <v>0.58006359999999901</v>
      </c>
      <c r="F5468" t="s">
        <v>55</v>
      </c>
      <c r="G5468">
        <v>-198.91909999999999</v>
      </c>
      <c r="H5468" s="1">
        <v>-1.191419E-5</v>
      </c>
      <c r="I5468">
        <v>148.2784</v>
      </c>
      <c r="J5468">
        <v>-191.84700000000001</v>
      </c>
      <c r="K5468">
        <v>1.109855</v>
      </c>
      <c r="L5468">
        <v>165.77189999999999</v>
      </c>
      <c r="M5468">
        <v>-7.1708519999999998E-2</v>
      </c>
      <c r="N5468">
        <v>0</v>
      </c>
      <c r="O5468">
        <v>-0.99733419999999895</v>
      </c>
      <c r="P5468">
        <v>-0.17391609999999999</v>
      </c>
      <c r="Q5468">
        <v>-2.2196049999999998E-2</v>
      </c>
      <c r="R5468">
        <v>-0.98451029999999995</v>
      </c>
      <c r="S5468">
        <v>-1.1442110000000001</v>
      </c>
      <c r="T5468">
        <v>-0.179390299999999</v>
      </c>
      <c r="U5468">
        <v>-2.8411249999999999</v>
      </c>
      <c r="V5468">
        <v>0.1028551</v>
      </c>
      <c r="W5468">
        <v>-8.8624129999999995E-3</v>
      </c>
      <c r="X5468">
        <v>0.99465689999999995</v>
      </c>
      <c r="Y5468">
        <v>0.30544009999999999</v>
      </c>
      <c r="Z5468">
        <v>5.8975420000000001E-2</v>
      </c>
      <c r="AA5468">
        <v>0.95038319999999998</v>
      </c>
      <c r="AB5468">
        <v>12</v>
      </c>
      <c r="AC5468">
        <v>-7.0720999999999696</v>
      </c>
      <c r="AD5468">
        <v>-1.1098669141899999</v>
      </c>
      <c r="AE5468">
        <v>-17.493499999999901</v>
      </c>
      <c r="AF5468">
        <v>5.7793478910900902</v>
      </c>
      <c r="AG5468">
        <v>-1.1098669141899999</v>
      </c>
      <c r="AH5468">
        <v>17.8937250458048</v>
      </c>
      <c r="AI5468">
        <v>93.377864966875507</v>
      </c>
      <c r="AJ5468">
        <v>72.100486604680597</v>
      </c>
      <c r="AK5468">
        <v>18.8366149461182</v>
      </c>
      <c r="AL5468">
        <v>90.507785492548294</v>
      </c>
      <c r="AM5468">
        <v>84.096163797275807</v>
      </c>
      <c r="AN5468">
        <v>1.0000000313388999</v>
      </c>
    </row>
    <row r="5469" spans="1:40" x14ac:dyDescent="0.25">
      <c r="A5469" t="str">
        <f>"20190312154032823"</f>
        <v>20190312154032823</v>
      </c>
      <c r="B5469" t="str">
        <f>"1552376432812053"</f>
        <v>1552376432812053</v>
      </c>
      <c r="C5469" t="s">
        <v>40</v>
      </c>
      <c r="D5469">
        <v>4.0339470000000004</v>
      </c>
      <c r="E5469">
        <v>0.58019200000000004</v>
      </c>
      <c r="F5469" t="s">
        <v>55</v>
      </c>
      <c r="G5469">
        <v>-198.97800000000001</v>
      </c>
      <c r="H5469" s="1">
        <v>-1.188046E-5</v>
      </c>
      <c r="I5469">
        <v>148.13659999999999</v>
      </c>
      <c r="J5469">
        <v>-191.8527</v>
      </c>
      <c r="K5469">
        <v>1.109856</v>
      </c>
      <c r="L5469">
        <v>165.70519999999999</v>
      </c>
      <c r="M5469">
        <v>-7.2402569999999999E-2</v>
      </c>
      <c r="N5469">
        <v>0</v>
      </c>
      <c r="O5469">
        <v>-0.99728410000000001</v>
      </c>
      <c r="P5469">
        <v>-0.17395849999999999</v>
      </c>
      <c r="Q5469">
        <v>-2.236436E-2</v>
      </c>
      <c r="R5469">
        <v>-0.98449909999999996</v>
      </c>
      <c r="S5469">
        <v>-1.1484829999999999</v>
      </c>
      <c r="T5469">
        <v>-0.1787513</v>
      </c>
      <c r="U5469">
        <v>-2.840271</v>
      </c>
      <c r="V5469">
        <v>0.1022059</v>
      </c>
      <c r="W5469">
        <v>-9.0319560000000007E-3</v>
      </c>
      <c r="X5469">
        <v>0.9947222</v>
      </c>
      <c r="Y5469">
        <v>0.30611070000000001</v>
      </c>
      <c r="Z5469">
        <v>5.8755580000000002E-2</v>
      </c>
      <c r="AA5469">
        <v>0.95018100000000005</v>
      </c>
      <c r="AB5469">
        <v>12</v>
      </c>
      <c r="AC5469">
        <v>-7.1252999999999798</v>
      </c>
      <c r="AD5469">
        <v>-1.10986788046</v>
      </c>
      <c r="AE5469">
        <v>-17.5686</v>
      </c>
      <c r="AF5469">
        <v>5.8145410937075397</v>
      </c>
      <c r="AG5469">
        <v>-1.10986788046</v>
      </c>
      <c r="AH5469">
        <v>17.976810385663899</v>
      </c>
      <c r="AI5469">
        <v>93.361835550946097</v>
      </c>
      <c r="AJ5469">
        <v>72.076367169666995</v>
      </c>
      <c r="AK5469">
        <v>18.926341603294699</v>
      </c>
      <c r="AL5469">
        <v>90.5175000273846</v>
      </c>
      <c r="AM5469">
        <v>84.133549293525604</v>
      </c>
      <c r="AN5469">
        <v>0.99999993869841597</v>
      </c>
    </row>
    <row r="5470" spans="1:40" x14ac:dyDescent="0.25">
      <c r="A5470" t="str">
        <f>"20190312154032835"</f>
        <v>20190312154032835</v>
      </c>
      <c r="B5470" t="str">
        <f>"1552376432821814"</f>
        <v>1552376432821814</v>
      </c>
      <c r="C5470" t="s">
        <v>40</v>
      </c>
      <c r="D5470">
        <v>4.0052089999999998</v>
      </c>
      <c r="E5470">
        <v>0.58045760000000002</v>
      </c>
      <c r="F5470" t="s">
        <v>55</v>
      </c>
      <c r="G5470">
        <v>-198.92339999999999</v>
      </c>
      <c r="H5470" s="1">
        <v>-1.19027E-5</v>
      </c>
      <c r="I5470">
        <v>148.23769999999999</v>
      </c>
      <c r="J5470">
        <v>-191.85830000000001</v>
      </c>
      <c r="K5470">
        <v>1.1098539999999999</v>
      </c>
      <c r="L5470">
        <v>165.63810000000001</v>
      </c>
      <c r="M5470">
        <v>-7.3100979999999996E-2</v>
      </c>
      <c r="N5470">
        <v>0</v>
      </c>
      <c r="O5470">
        <v>-0.99723329999999999</v>
      </c>
      <c r="P5470">
        <v>-0.17436969999999999</v>
      </c>
      <c r="Q5470">
        <v>-2.2129840000000001E-2</v>
      </c>
      <c r="R5470">
        <v>-0.98443199999999997</v>
      </c>
      <c r="S5470">
        <v>-1.1496120000000001</v>
      </c>
      <c r="T5470">
        <v>-0.18045050000000001</v>
      </c>
      <c r="U5470">
        <v>-2.8399960000000002</v>
      </c>
      <c r="V5470">
        <v>0.10192469999999999</v>
      </c>
      <c r="W5470">
        <v>-8.7994839999999998E-3</v>
      </c>
      <c r="X5470">
        <v>0.9947532</v>
      </c>
      <c r="Y5470">
        <v>0.30578850000000002</v>
      </c>
      <c r="Z5470">
        <v>5.931165E-2</v>
      </c>
      <c r="AA5470">
        <v>0.95025029999999999</v>
      </c>
      <c r="AB5470">
        <v>12</v>
      </c>
      <c r="AC5470">
        <v>-7.06509999999997</v>
      </c>
      <c r="AD5470">
        <v>-1.1098659027</v>
      </c>
      <c r="AE5470">
        <v>-17.400400000000001</v>
      </c>
      <c r="AF5470">
        <v>5.7539957533863504</v>
      </c>
      <c r="AG5470">
        <v>-1.1098659027</v>
      </c>
      <c r="AH5470">
        <v>17.8081535572787</v>
      </c>
      <c r="AI5470">
        <v>93.393928154609398</v>
      </c>
      <c r="AJ5470">
        <v>72.093826971354403</v>
      </c>
      <c r="AK5470">
        <v>18.747549241743101</v>
      </c>
      <c r="AL5470">
        <v>90.504179800669405</v>
      </c>
      <c r="AM5470">
        <v>84.149758657909103</v>
      </c>
      <c r="AN5470">
        <v>1.0000000021494899</v>
      </c>
    </row>
    <row r="5471" spans="1:40" x14ac:dyDescent="0.25">
      <c r="A5471" t="str">
        <f>"20190312154032848"</f>
        <v>20190312154032848</v>
      </c>
      <c r="B5471" t="str">
        <f>"1552376432841333"</f>
        <v>1552376432841333</v>
      </c>
      <c r="C5471" t="s">
        <v>40</v>
      </c>
      <c r="D5471">
        <v>4.0511269999999904</v>
      </c>
      <c r="E5471">
        <v>0.58078399999999997</v>
      </c>
      <c r="F5471" t="s">
        <v>55</v>
      </c>
      <c r="G5471">
        <v>-198.94829999999999</v>
      </c>
      <c r="H5471" s="1">
        <v>-1.1889679999999999E-5</v>
      </c>
      <c r="I5471">
        <v>148.18190000000001</v>
      </c>
      <c r="J5471">
        <v>-191.8639</v>
      </c>
      <c r="K5471">
        <v>1.109858</v>
      </c>
      <c r="L5471">
        <v>165.57329999999999</v>
      </c>
      <c r="M5471">
        <v>-7.3775499999999994E-2</v>
      </c>
      <c r="N5471">
        <v>0</v>
      </c>
      <c r="O5471">
        <v>-0.99718340000000005</v>
      </c>
      <c r="P5471">
        <v>-0.17465910000000001</v>
      </c>
      <c r="Q5471">
        <v>-2.196269E-2</v>
      </c>
      <c r="R5471">
        <v>-0.98438400000000004</v>
      </c>
      <c r="S5471">
        <v>-1.1531370000000001</v>
      </c>
      <c r="T5471">
        <v>-0.1805129</v>
      </c>
      <c r="U5471">
        <v>-2.8391419999999998</v>
      </c>
      <c r="V5471">
        <v>0.1015442</v>
      </c>
      <c r="W5471">
        <v>-8.6340289999999997E-3</v>
      </c>
      <c r="X5471">
        <v>0.9947935</v>
      </c>
      <c r="Y5471">
        <v>0.3062568</v>
      </c>
      <c r="Z5471">
        <v>5.9326209999999997E-2</v>
      </c>
      <c r="AA5471">
        <v>0.95009849999999996</v>
      </c>
      <c r="AB5471">
        <v>12</v>
      </c>
      <c r="AC5471">
        <v>-7.08439999999998</v>
      </c>
      <c r="AD5471">
        <v>-1.1098698896799899</v>
      </c>
      <c r="AE5471">
        <v>-17.391399999999901</v>
      </c>
      <c r="AF5471">
        <v>5.7617882742366504</v>
      </c>
      <c r="AG5471">
        <v>-1.1098698896799899</v>
      </c>
      <c r="AH5471">
        <v>17.804508957521598</v>
      </c>
      <c r="AI5471">
        <v>93.394133964004396</v>
      </c>
      <c r="AJ5471">
        <v>72.067693279456705</v>
      </c>
      <c r="AK5471">
        <v>18.746481123336601</v>
      </c>
      <c r="AL5471">
        <v>90.494699598389303</v>
      </c>
      <c r="AM5471">
        <v>84.171682330226801</v>
      </c>
      <c r="AN5471">
        <v>0.99999993932632902</v>
      </c>
    </row>
    <row r="5472" spans="1:40" x14ac:dyDescent="0.25">
      <c r="A5472" t="str">
        <f>"20190312154032859"</f>
        <v>20190312154032859</v>
      </c>
      <c r="B5472" t="str">
        <f>"1552376432852069"</f>
        <v>1552376432852069</v>
      </c>
      <c r="C5472" t="s">
        <v>40</v>
      </c>
      <c r="D5472">
        <v>4.0548149999999996</v>
      </c>
      <c r="E5472">
        <v>0.58094849999999998</v>
      </c>
      <c r="F5472" t="s">
        <v>55</v>
      </c>
      <c r="G5472">
        <v>-198.93719999999999</v>
      </c>
      <c r="H5472" s="1">
        <v>-1.189688E-5</v>
      </c>
      <c r="I5472">
        <v>148.2115</v>
      </c>
      <c r="J5472">
        <v>-191.86940000000001</v>
      </c>
      <c r="K5472">
        <v>1.1098589999999999</v>
      </c>
      <c r="L5472">
        <v>165.50899999999999</v>
      </c>
      <c r="M5472">
        <v>-7.4445609999999995E-2</v>
      </c>
      <c r="N5472">
        <v>0</v>
      </c>
      <c r="O5472">
        <v>-0.99713399999999996</v>
      </c>
      <c r="P5472">
        <v>-0.17497480000000001</v>
      </c>
      <c r="Q5472">
        <v>-2.2309720000000002E-2</v>
      </c>
      <c r="R5472">
        <v>-0.98432030000000004</v>
      </c>
      <c r="S5472">
        <v>-1.156372</v>
      </c>
      <c r="T5472">
        <v>-0.18144550000000001</v>
      </c>
      <c r="U5472">
        <v>-2.8383790000000002</v>
      </c>
      <c r="V5472">
        <v>0.10119499999999999</v>
      </c>
      <c r="W5472">
        <v>-8.9828759999999903E-3</v>
      </c>
      <c r="X5472">
        <v>0.99482610000000005</v>
      </c>
      <c r="Y5472">
        <v>0.30662859999999997</v>
      </c>
      <c r="Z5472">
        <v>5.9625869999999997E-2</v>
      </c>
      <c r="AA5472">
        <v>0.94995980000000002</v>
      </c>
      <c r="AB5472">
        <v>12</v>
      </c>
      <c r="AC5472">
        <v>-7.0677999999999699</v>
      </c>
      <c r="AD5472">
        <v>-1.10987089688</v>
      </c>
      <c r="AE5472">
        <v>-17.297499999999999</v>
      </c>
      <c r="AF5472">
        <v>5.7400930908004302</v>
      </c>
      <c r="AG5472">
        <v>-1.10987089688</v>
      </c>
      <c r="AH5472">
        <v>17.713214950857299</v>
      </c>
      <c r="AI5472">
        <v>93.411147224141203</v>
      </c>
      <c r="AJ5472">
        <v>72.044714897035107</v>
      </c>
      <c r="AK5472">
        <v>18.653108748786899</v>
      </c>
      <c r="AL5472">
        <v>90.514687781729094</v>
      </c>
      <c r="AM5472">
        <v>84.191777075451</v>
      </c>
      <c r="AN5472">
        <v>1.0000000446637101</v>
      </c>
    </row>
    <row r="5473" spans="1:40" x14ac:dyDescent="0.25">
      <c r="A5473" t="str">
        <f>"20190312154032870"</f>
        <v>20190312154032870</v>
      </c>
      <c r="B5473" t="str">
        <f>"1552376432861830"</f>
        <v>1552376432861830</v>
      </c>
      <c r="C5473" t="s">
        <v>40</v>
      </c>
      <c r="D5473">
        <v>4.2362390000000003</v>
      </c>
      <c r="E5473">
        <v>0.58106179999999996</v>
      </c>
      <c r="F5473" t="s">
        <v>55</v>
      </c>
      <c r="G5473">
        <v>-198.92580000000001</v>
      </c>
      <c r="H5473" s="1">
        <v>-1.189901E-5</v>
      </c>
      <c r="I5473">
        <v>148.22409999999999</v>
      </c>
      <c r="J5473">
        <v>-191.87469999999999</v>
      </c>
      <c r="K5473">
        <v>1.109858</v>
      </c>
      <c r="L5473">
        <v>165.4477</v>
      </c>
      <c r="M5473">
        <v>-7.5085299999999994E-2</v>
      </c>
      <c r="N5473">
        <v>0</v>
      </c>
      <c r="O5473">
        <v>-0.99708560000000002</v>
      </c>
      <c r="P5473">
        <v>-0.1754365</v>
      </c>
      <c r="Q5473">
        <v>-2.20582E-2</v>
      </c>
      <c r="R5473">
        <v>-0.9842436</v>
      </c>
      <c r="S5473">
        <v>-1.1584779999999999</v>
      </c>
      <c r="T5473">
        <v>-0.1822116</v>
      </c>
      <c r="U5473">
        <v>-2.837723</v>
      </c>
      <c r="V5473">
        <v>0.1010233</v>
      </c>
      <c r="W5473">
        <v>-8.7333099999999993E-3</v>
      </c>
      <c r="X5473">
        <v>0.99484570000000005</v>
      </c>
      <c r="Y5473">
        <v>0.30669360000000001</v>
      </c>
      <c r="Z5473">
        <v>5.9876409999999998E-2</v>
      </c>
      <c r="AA5473">
        <v>0.94992310000000002</v>
      </c>
      <c r="AB5473">
        <v>12</v>
      </c>
      <c r="AC5473">
        <v>-7.0511000000000204</v>
      </c>
      <c r="AD5473">
        <v>-1.10986989901</v>
      </c>
      <c r="AE5473">
        <v>-17.223600000000001</v>
      </c>
      <c r="AF5473">
        <v>5.7175013309567104</v>
      </c>
      <c r="AG5473">
        <v>-1.10986989901</v>
      </c>
      <c r="AH5473">
        <v>17.6417131961229</v>
      </c>
      <c r="AI5473">
        <v>93.424903785501201</v>
      </c>
      <c r="AJ5473">
        <v>72.043013492831093</v>
      </c>
      <c r="AK5473">
        <v>18.578258184137599</v>
      </c>
      <c r="AL5473">
        <v>90.500388178990406</v>
      </c>
      <c r="AM5473">
        <v>84.201678280244096</v>
      </c>
      <c r="AN5473">
        <v>0.99999997232746696</v>
      </c>
    </row>
    <row r="5474" spans="1:40" x14ac:dyDescent="0.25">
      <c r="A5474" t="str">
        <f>"20190312154032882"</f>
        <v>20190312154032882</v>
      </c>
      <c r="B5474" t="str">
        <f>"1552376432871590"</f>
        <v>1552376432871590</v>
      </c>
      <c r="C5474" t="s">
        <v>40</v>
      </c>
      <c r="D5474">
        <v>4.0317600000000002</v>
      </c>
      <c r="E5474">
        <v>0.58122839999999998</v>
      </c>
      <c r="F5474" t="s">
        <v>55</v>
      </c>
      <c r="G5474">
        <v>-199.02459999999999</v>
      </c>
      <c r="H5474" s="1">
        <v>-1.1838070000000001E-5</v>
      </c>
      <c r="I5474">
        <v>147.9716</v>
      </c>
      <c r="J5474">
        <v>-191.87989999999999</v>
      </c>
      <c r="K5474">
        <v>1.1098629999999901</v>
      </c>
      <c r="L5474">
        <v>165.38829999999999</v>
      </c>
      <c r="M5474">
        <v>-7.5705129999999995E-2</v>
      </c>
      <c r="N5474">
        <v>0</v>
      </c>
      <c r="O5474">
        <v>-0.99703909999999996</v>
      </c>
      <c r="P5474">
        <v>-0.1762387</v>
      </c>
      <c r="Q5474">
        <v>-2.2162660000000001E-2</v>
      </c>
      <c r="R5474">
        <v>-0.98409809999999998</v>
      </c>
      <c r="S5474">
        <v>-1.1607209999999999</v>
      </c>
      <c r="T5474">
        <v>-0.18017920000000001</v>
      </c>
      <c r="U5474">
        <v>-2.8371119999999999</v>
      </c>
      <c r="V5474">
        <v>0.10121570000000001</v>
      </c>
      <c r="W5474">
        <v>-8.8405329999999994E-3</v>
      </c>
      <c r="X5474">
        <v>0.99482519999999997</v>
      </c>
      <c r="Y5474">
        <v>0.30683199999999999</v>
      </c>
      <c r="Z5474">
        <v>5.9208660000000003E-2</v>
      </c>
      <c r="AA5474">
        <v>0.94992019999999999</v>
      </c>
      <c r="AB5474">
        <v>12</v>
      </c>
      <c r="AC5474">
        <v>-7.1447000000000003</v>
      </c>
      <c r="AD5474">
        <v>-1.1098748380700001</v>
      </c>
      <c r="AE5474">
        <v>-17.416699999999899</v>
      </c>
      <c r="AF5474">
        <v>5.7854297247206601</v>
      </c>
      <c r="AG5474">
        <v>-1.1098748380700001</v>
      </c>
      <c r="AH5474">
        <v>17.8456191097664</v>
      </c>
      <c r="AI5474">
        <v>93.385774662092999</v>
      </c>
      <c r="AJ5474">
        <v>72.037654403351596</v>
      </c>
      <c r="AK5474">
        <v>18.792794913655701</v>
      </c>
      <c r="AL5474">
        <v>90.506531839975693</v>
      </c>
      <c r="AM5474">
        <v>84.190591876827298</v>
      </c>
      <c r="AN5474">
        <v>0.999999975752626</v>
      </c>
    </row>
    <row r="5475" spans="1:40" x14ac:dyDescent="0.25">
      <c r="A5475" t="str">
        <f>"20190312154032893"</f>
        <v>20190312154032893</v>
      </c>
      <c r="B5475" t="str">
        <f>"1552376432881349"</f>
        <v>1552376432881349</v>
      </c>
      <c r="C5475" t="s">
        <v>40</v>
      </c>
      <c r="D5475">
        <v>3.988175</v>
      </c>
      <c r="E5475">
        <v>0.58131709999999903</v>
      </c>
      <c r="F5475" t="s">
        <v>55</v>
      </c>
      <c r="G5475">
        <v>-199.10040000000001</v>
      </c>
      <c r="H5475" s="1">
        <v>-1.179902E-5</v>
      </c>
      <c r="I5475">
        <v>147.80369999999999</v>
      </c>
      <c r="J5475">
        <v>-191.8854</v>
      </c>
      <c r="K5475">
        <v>1.1098629999999901</v>
      </c>
      <c r="L5475">
        <v>165.3263</v>
      </c>
      <c r="M5475">
        <v>-7.6352329999999996E-2</v>
      </c>
      <c r="N5475">
        <v>0</v>
      </c>
      <c r="O5475">
        <v>-0.99698980000000004</v>
      </c>
      <c r="P5475">
        <v>-0.17676029999999901</v>
      </c>
      <c r="Q5475">
        <v>-2.2028180000000001E-2</v>
      </c>
      <c r="R5475">
        <v>-0.98400759999999998</v>
      </c>
      <c r="S5475">
        <v>-1.1644589999999999</v>
      </c>
      <c r="T5475">
        <v>-0.17899179999999901</v>
      </c>
      <c r="U5475">
        <v>-2.8358919999999999</v>
      </c>
      <c r="V5475">
        <v>0.1010973</v>
      </c>
      <c r="W5475">
        <v>-8.7080609999999996E-3</v>
      </c>
      <c r="X5475">
        <v>0.99483840000000001</v>
      </c>
      <c r="Y5475">
        <v>0.3074384</v>
      </c>
      <c r="Z5475">
        <v>5.8818799999999997E-2</v>
      </c>
      <c r="AA5475">
        <v>0.94974840000000005</v>
      </c>
      <c r="AB5475">
        <v>12</v>
      </c>
      <c r="AC5475">
        <v>-7.2149999999999999</v>
      </c>
      <c r="AD5475">
        <v>-1.10987479901999</v>
      </c>
      <c r="AE5475">
        <v>-17.522600000000001</v>
      </c>
      <c r="AF5475">
        <v>5.8359029422062596</v>
      </c>
      <c r="AG5475">
        <v>-1.10987479901999</v>
      </c>
      <c r="AH5475">
        <v>17.960761325432198</v>
      </c>
      <c r="AI5475">
        <v>93.363397948300801</v>
      </c>
      <c r="AJ5475">
        <v>71.9997177239281</v>
      </c>
      <c r="AK5475">
        <v>18.9176777805705</v>
      </c>
      <c r="AL5475">
        <v>90.498941464833095</v>
      </c>
      <c r="AM5475">
        <v>84.197417668010701</v>
      </c>
      <c r="AN5475">
        <v>0.99999996825411397</v>
      </c>
    </row>
    <row r="5476" spans="1:40" x14ac:dyDescent="0.25">
      <c r="A5476" t="str">
        <f>"20190312154032904"</f>
        <v>20190312154032904</v>
      </c>
      <c r="B5476" t="str">
        <f>"1552376432892086"</f>
        <v>1552376432892086</v>
      </c>
      <c r="C5476" t="s">
        <v>40</v>
      </c>
      <c r="D5476">
        <v>4.019272</v>
      </c>
      <c r="E5476">
        <v>0.58147530000000003</v>
      </c>
      <c r="F5476" t="s">
        <v>55</v>
      </c>
      <c r="G5476">
        <v>-199.1875</v>
      </c>
      <c r="H5476" s="1">
        <v>-1.1745030000000001E-5</v>
      </c>
      <c r="I5476">
        <v>147.58019999999999</v>
      </c>
      <c r="J5476">
        <v>-191.89070000000001</v>
      </c>
      <c r="K5476">
        <v>1.109864</v>
      </c>
      <c r="L5476">
        <v>165.26669999999999</v>
      </c>
      <c r="M5476">
        <v>-7.6975600000000005E-2</v>
      </c>
      <c r="N5476">
        <v>0</v>
      </c>
      <c r="O5476">
        <v>-0.99694170000000004</v>
      </c>
      <c r="P5476">
        <v>-0.17767820000000001</v>
      </c>
      <c r="Q5476">
        <v>-2.1739029999999999E-2</v>
      </c>
      <c r="R5476">
        <v>-0.98384830000000001</v>
      </c>
      <c r="S5476">
        <v>-1.166641</v>
      </c>
      <c r="T5476">
        <v>-0.17732139999999999</v>
      </c>
      <c r="U5476">
        <v>-2.8352360000000001</v>
      </c>
      <c r="V5476">
        <v>0.1014031</v>
      </c>
      <c r="W5476">
        <v>-8.4217049999999998E-3</v>
      </c>
      <c r="X5476">
        <v>0.99480970000000002</v>
      </c>
      <c r="Y5476">
        <v>0.30755840000000001</v>
      </c>
      <c r="Z5476">
        <v>5.8270700000000002E-2</v>
      </c>
      <c r="AA5476">
        <v>0.94974329999999996</v>
      </c>
      <c r="AB5476">
        <v>12</v>
      </c>
      <c r="AC5476">
        <v>-7.2967999999999904</v>
      </c>
      <c r="AD5476">
        <v>-1.1098757450300001</v>
      </c>
      <c r="AE5476">
        <v>-17.686499999999899</v>
      </c>
      <c r="AF5476">
        <v>5.8937601575337801</v>
      </c>
      <c r="AG5476">
        <v>-1.1098757450300001</v>
      </c>
      <c r="AH5476">
        <v>18.134715204116699</v>
      </c>
      <c r="AI5476">
        <v>93.331139092118704</v>
      </c>
      <c r="AJ5476">
        <v>71.995902072690399</v>
      </c>
      <c r="AK5476">
        <v>19.1006839798569</v>
      </c>
      <c r="AL5476">
        <v>90.4825338923429</v>
      </c>
      <c r="AM5476">
        <v>84.179819518568195</v>
      </c>
      <c r="AN5476">
        <v>0.99999992650939995</v>
      </c>
    </row>
    <row r="5477" spans="1:40" x14ac:dyDescent="0.25">
      <c r="A5477" t="str">
        <f>"20190312154032916"</f>
        <v>20190312154032916</v>
      </c>
      <c r="B5477" t="str">
        <f>"1552376432911605"</f>
        <v>1552376432911605</v>
      </c>
      <c r="C5477" t="s">
        <v>40</v>
      </c>
      <c r="D5477">
        <v>4.0351350000000004</v>
      </c>
      <c r="E5477">
        <v>0.58174090000000001</v>
      </c>
      <c r="F5477" t="s">
        <v>55</v>
      </c>
      <c r="G5477">
        <v>-199.3022</v>
      </c>
      <c r="H5477" s="1">
        <v>-1.1685099999999999E-5</v>
      </c>
      <c r="I5477">
        <v>147.32339999999999</v>
      </c>
      <c r="J5477">
        <v>-191.8965</v>
      </c>
      <c r="K5477">
        <v>1.1098669999999999</v>
      </c>
      <c r="L5477">
        <v>165.20150000000001</v>
      </c>
      <c r="M5477">
        <v>-7.7656810000000007E-2</v>
      </c>
      <c r="N5477">
        <v>0</v>
      </c>
      <c r="O5477">
        <v>-0.99688900000000003</v>
      </c>
      <c r="P5477">
        <v>-0.17855560000000001</v>
      </c>
      <c r="Q5477">
        <v>-2.1628560000000002E-2</v>
      </c>
      <c r="R5477">
        <v>-0.98369229999999996</v>
      </c>
      <c r="S5477">
        <v>-1.1705779999999999</v>
      </c>
      <c r="T5477">
        <v>-0.17529420000000001</v>
      </c>
      <c r="U5477">
        <v>-2.8339690000000002</v>
      </c>
      <c r="V5477">
        <v>0.10161050000000001</v>
      </c>
      <c r="W5477">
        <v>-8.3139500000000005E-3</v>
      </c>
      <c r="X5477">
        <v>0.99478949999999999</v>
      </c>
      <c r="Y5477">
        <v>0.30819990000000003</v>
      </c>
      <c r="Z5477">
        <v>5.7605160000000002E-2</v>
      </c>
      <c r="AA5477">
        <v>0.94957599999999998</v>
      </c>
      <c r="AB5477">
        <v>12</v>
      </c>
      <c r="AC5477">
        <v>-7.4056999999999897</v>
      </c>
      <c r="AD5477">
        <v>-1.1098786851</v>
      </c>
      <c r="AE5477">
        <v>-17.8781</v>
      </c>
      <c r="AF5477">
        <v>5.9751938926083703</v>
      </c>
      <c r="AG5477">
        <v>-1.1098786851</v>
      </c>
      <c r="AH5477">
        <v>18.338929956864501</v>
      </c>
      <c r="AI5477">
        <v>93.293341389181705</v>
      </c>
      <c r="AJ5477">
        <v>71.953343995680896</v>
      </c>
      <c r="AK5477">
        <v>19.3197081942944</v>
      </c>
      <c r="AL5477">
        <v>90.476359742382101</v>
      </c>
      <c r="AM5477">
        <v>84.167879852365203</v>
      </c>
      <c r="AN5477">
        <v>0.99999998239255095</v>
      </c>
    </row>
    <row r="5478" spans="1:40" x14ac:dyDescent="0.25">
      <c r="A5478" t="str">
        <f>"20190312154032933"</f>
        <v>20190312154032933</v>
      </c>
      <c r="B5478" t="str">
        <f>"1552376432921365"</f>
        <v>1552376432921365</v>
      </c>
      <c r="C5478" t="s">
        <v>40</v>
      </c>
      <c r="D5478">
        <v>4.0418900000000004</v>
      </c>
      <c r="E5478">
        <v>0.58189080000000004</v>
      </c>
      <c r="F5478" t="s">
        <v>55</v>
      </c>
      <c r="G5478">
        <v>-199.43539999999999</v>
      </c>
      <c r="H5478" s="1">
        <v>-1.1617099999999999E-5</v>
      </c>
      <c r="I5478">
        <v>147.03049999999999</v>
      </c>
      <c r="J5478">
        <v>-191.90459999999999</v>
      </c>
      <c r="K5478">
        <v>1.109869</v>
      </c>
      <c r="L5478">
        <v>165.11189999999999</v>
      </c>
      <c r="M5478">
        <v>-7.8594849999999994E-2</v>
      </c>
      <c r="N5478">
        <v>0</v>
      </c>
      <c r="O5478">
        <v>-0.99681569999999997</v>
      </c>
      <c r="P5478">
        <v>-0.18020320000000001</v>
      </c>
      <c r="Q5478">
        <v>-2.1449530000000001E-2</v>
      </c>
      <c r="R5478">
        <v>-0.98339580000000004</v>
      </c>
      <c r="S5478">
        <v>-1.175217</v>
      </c>
      <c r="T5478">
        <v>-0.1730159</v>
      </c>
      <c r="U5478">
        <v>-2.8326259999999999</v>
      </c>
      <c r="V5478">
        <v>0.1023405</v>
      </c>
      <c r="W5478">
        <v>-8.1395389999999995E-3</v>
      </c>
      <c r="X5478">
        <v>0.99471609999999999</v>
      </c>
      <c r="Y5478">
        <v>0.30880750000000001</v>
      </c>
      <c r="Z5478">
        <v>5.6854639999999998E-2</v>
      </c>
      <c r="AA5478">
        <v>0.94942369999999998</v>
      </c>
      <c r="AB5478">
        <v>12</v>
      </c>
      <c r="AC5478">
        <v>-7.5307999999999904</v>
      </c>
      <c r="AD5478">
        <v>-1.1098806171</v>
      </c>
      <c r="AE5478">
        <v>-18.081399999999999</v>
      </c>
      <c r="AF5478">
        <v>6.0667871034353098</v>
      </c>
      <c r="AG5478">
        <v>-1.1098806171</v>
      </c>
      <c r="AH5478">
        <v>18.557807357488802</v>
      </c>
      <c r="AI5478">
        <v>93.253541669493003</v>
      </c>
      <c r="AJ5478">
        <v>71.896762412976798</v>
      </c>
      <c r="AK5478">
        <v>19.555816389511499</v>
      </c>
      <c r="AL5478">
        <v>90.466366393348395</v>
      </c>
      <c r="AM5478">
        <v>84.125841692271706</v>
      </c>
      <c r="AN5478">
        <v>0.99999997481729597</v>
      </c>
    </row>
    <row r="5479" spans="1:40" x14ac:dyDescent="0.25">
      <c r="A5479" t="str">
        <f>"20190312154032955"</f>
        <v>20190312154032955</v>
      </c>
      <c r="B5479" t="str">
        <f>"1552376432941861"</f>
        <v>1552376432941861</v>
      </c>
      <c r="C5479" t="s">
        <v>40</v>
      </c>
      <c r="D5479">
        <v>4.0142199999999999</v>
      </c>
      <c r="E5479">
        <v>0.58204140000000004</v>
      </c>
      <c r="F5479" t="s">
        <v>55</v>
      </c>
      <c r="G5479">
        <v>-199.54759999999999</v>
      </c>
      <c r="H5479" s="1">
        <v>-1.1564649999999999E-5</v>
      </c>
      <c r="I5479">
        <v>146.80009999999999</v>
      </c>
      <c r="J5479">
        <v>-191.91550000000001</v>
      </c>
      <c r="K5479">
        <v>1.1098650000000001</v>
      </c>
      <c r="L5479">
        <v>164.99260000000001</v>
      </c>
      <c r="M5479">
        <v>-7.9846490000000006E-2</v>
      </c>
      <c r="N5479">
        <v>0</v>
      </c>
      <c r="O5479">
        <v>-0.99671600000000005</v>
      </c>
      <c r="P5479">
        <v>-0.1817869</v>
      </c>
      <c r="Q5479">
        <v>-2.1299559999999999E-2</v>
      </c>
      <c r="R5479">
        <v>-0.98310739999999996</v>
      </c>
      <c r="S5479">
        <v>-1.1813659999999999</v>
      </c>
      <c r="T5479">
        <v>-0.17155300000000001</v>
      </c>
      <c r="U5479">
        <v>-2.830444</v>
      </c>
      <c r="V5479">
        <v>0.1026934</v>
      </c>
      <c r="W5479">
        <v>-7.9941159999999904E-3</v>
      </c>
      <c r="X5479">
        <v>0.99468089999999998</v>
      </c>
      <c r="Y5479">
        <v>0.30964079999999999</v>
      </c>
      <c r="Z5479">
        <v>5.6376549999999997E-2</v>
      </c>
      <c r="AA5479">
        <v>0.94918080000000005</v>
      </c>
      <c r="AB5479">
        <v>12</v>
      </c>
      <c r="AC5479">
        <v>-7.6320999999999799</v>
      </c>
      <c r="AD5479">
        <v>-1.10987656465</v>
      </c>
      <c r="AE5479">
        <v>-18.192499999999999</v>
      </c>
      <c r="AF5479">
        <v>6.1355698786682602</v>
      </c>
      <c r="AG5479">
        <v>-1.10987656465</v>
      </c>
      <c r="AH5479">
        <v>18.684720591143002</v>
      </c>
      <c r="AI5479">
        <v>93.230084300766705</v>
      </c>
      <c r="AJ5479">
        <v>71.8211826614492</v>
      </c>
      <c r="AK5479">
        <v>19.697609684778101</v>
      </c>
      <c r="AL5479">
        <v>90.458034001655193</v>
      </c>
      <c r="AM5479">
        <v>84.1055211249015</v>
      </c>
      <c r="AN5479">
        <v>0.99999996655949497</v>
      </c>
    </row>
    <row r="5480" spans="1:40" x14ac:dyDescent="0.25">
      <c r="A5480" t="str">
        <f>"20190312154032979"</f>
        <v>20190312154032979</v>
      </c>
      <c r="B5480" t="str">
        <f>"1552376432971141"</f>
        <v>1552376432971141</v>
      </c>
      <c r="C5480" t="s">
        <v>40</v>
      </c>
      <c r="D5480">
        <v>3.9940349999999998</v>
      </c>
      <c r="E5480">
        <v>0.58235619999999999</v>
      </c>
      <c r="F5480" t="s">
        <v>55</v>
      </c>
      <c r="G5480">
        <v>-199.72040000000001</v>
      </c>
      <c r="H5480" s="1">
        <v>-1.146891E-5</v>
      </c>
      <c r="I5480">
        <v>146.3948</v>
      </c>
      <c r="J5480">
        <v>-191.9272</v>
      </c>
      <c r="K5480">
        <v>1.1098619999999999</v>
      </c>
      <c r="L5480">
        <v>164.86619999999999</v>
      </c>
      <c r="M5480">
        <v>-8.1172149999999998E-2</v>
      </c>
      <c r="N5480">
        <v>0</v>
      </c>
      <c r="O5480">
        <v>-0.99660910000000003</v>
      </c>
      <c r="P5480">
        <v>-0.18319199999999999</v>
      </c>
      <c r="Q5480">
        <v>-2.206371E-2</v>
      </c>
      <c r="R5480">
        <v>-0.98282970000000003</v>
      </c>
      <c r="S5480">
        <v>-1.1869959999999999</v>
      </c>
      <c r="T5480">
        <v>-0.16879359999999999</v>
      </c>
      <c r="U5480">
        <v>-2.8283999999999998</v>
      </c>
      <c r="V5480">
        <v>0.1027928</v>
      </c>
      <c r="W5480">
        <v>-8.7623760000000005E-3</v>
      </c>
      <c r="X5480">
        <v>0.9946642</v>
      </c>
      <c r="Y5480">
        <v>0.31024740000000001</v>
      </c>
      <c r="Z5480">
        <v>5.5474450000000002E-2</v>
      </c>
      <c r="AA5480">
        <v>0.94903590000000004</v>
      </c>
      <c r="AB5480">
        <v>12</v>
      </c>
      <c r="AC5480">
        <v>-7.7932000000000103</v>
      </c>
      <c r="AD5480">
        <v>-1.10987346891</v>
      </c>
      <c r="AE5480">
        <v>-18.4713999999999</v>
      </c>
      <c r="AF5480">
        <v>6.2488279448177302</v>
      </c>
      <c r="AG5480">
        <v>-1.10987346891</v>
      </c>
      <c r="AH5480">
        <v>18.984898602957202</v>
      </c>
      <c r="AI5480">
        <v>93.1783807292707</v>
      </c>
      <c r="AJ5480">
        <v>71.781179873811993</v>
      </c>
      <c r="AK5480">
        <v>20.0176433369538</v>
      </c>
      <c r="AL5480">
        <v>90.502053585553</v>
      </c>
      <c r="AM5480">
        <v>84.0997575510563</v>
      </c>
      <c r="AN5480">
        <v>1.00000000486332</v>
      </c>
    </row>
    <row r="5481" spans="1:40" x14ac:dyDescent="0.25">
      <c r="A5481" t="str">
        <f>"20190312154032994"</f>
        <v>20190312154032994</v>
      </c>
      <c r="B5481" t="str">
        <f>"1552376432981877"</f>
        <v>1552376432981877</v>
      </c>
      <c r="C5481" t="s">
        <v>40</v>
      </c>
      <c r="D5481">
        <v>4.001627</v>
      </c>
      <c r="E5481">
        <v>0.58245930000000001</v>
      </c>
      <c r="F5481" t="s">
        <v>55</v>
      </c>
      <c r="G5481">
        <v>-199.80879999999999</v>
      </c>
      <c r="H5481" s="1">
        <v>-1.142565E-5</v>
      </c>
      <c r="I5481">
        <v>146.20679999999999</v>
      </c>
      <c r="J5481">
        <v>-191.9348</v>
      </c>
      <c r="K5481">
        <v>1.1098650000000001</v>
      </c>
      <c r="L5481">
        <v>164.7852</v>
      </c>
      <c r="M5481">
        <v>-8.2022230000000002E-2</v>
      </c>
      <c r="N5481">
        <v>0</v>
      </c>
      <c r="O5481">
        <v>-0.99653959999999997</v>
      </c>
      <c r="P5481">
        <v>-0.1836362</v>
      </c>
      <c r="Q5481">
        <v>-2.2613350000000001E-2</v>
      </c>
      <c r="R5481">
        <v>-0.98273460000000001</v>
      </c>
      <c r="S5481">
        <v>-1.1937260000000001</v>
      </c>
      <c r="T5481">
        <v>-0.16809930000000001</v>
      </c>
      <c r="U5481">
        <v>-2.8261259999999999</v>
      </c>
      <c r="V5481">
        <v>0.1023945</v>
      </c>
      <c r="W5481">
        <v>-9.3134670000000006E-3</v>
      </c>
      <c r="X5481">
        <v>0.99470029999999998</v>
      </c>
      <c r="Y5481">
        <v>0.31163289999999999</v>
      </c>
      <c r="Z5481">
        <v>5.5244649999999999E-2</v>
      </c>
      <c r="AA5481">
        <v>0.94859530000000003</v>
      </c>
      <c r="AB5481">
        <v>12</v>
      </c>
      <c r="AC5481">
        <v>-7.8739999999999899</v>
      </c>
      <c r="AD5481">
        <v>-1.10987642564999</v>
      </c>
      <c r="AE5481">
        <v>-18.578399999999998</v>
      </c>
      <c r="AF5481">
        <v>6.3044103101901499</v>
      </c>
      <c r="AG5481">
        <v>-1.10987642564999</v>
      </c>
      <c r="AH5481">
        <v>19.103892727075401</v>
      </c>
      <c r="AI5481">
        <v>93.157826725298804</v>
      </c>
      <c r="AJ5481">
        <v>71.736770058339005</v>
      </c>
      <c r="AK5481">
        <v>20.147856768575899</v>
      </c>
      <c r="AL5481">
        <v>90.533630050187696</v>
      </c>
      <c r="AM5481">
        <v>84.122671179775907</v>
      </c>
      <c r="AN5481">
        <v>1.00000003055894</v>
      </c>
    </row>
    <row r="5482" spans="1:40" x14ac:dyDescent="0.25">
      <c r="A5482" t="str">
        <f>"20190312154033007"</f>
        <v>20190312154033007</v>
      </c>
      <c r="B5482" t="str">
        <f>"1552376433001397"</f>
        <v>1552376433001397</v>
      </c>
      <c r="C5482" t="s">
        <v>40</v>
      </c>
      <c r="D5482">
        <v>3.9725139999999999</v>
      </c>
      <c r="E5482">
        <v>0.5826344</v>
      </c>
      <c r="F5482" t="s">
        <v>55</v>
      </c>
      <c r="G5482">
        <v>-199.786</v>
      </c>
      <c r="H5482" s="1">
        <v>-1.1430899999999999E-5</v>
      </c>
      <c r="I5482">
        <v>146.2354</v>
      </c>
      <c r="J5482">
        <v>-191.9408</v>
      </c>
      <c r="K5482">
        <v>1.1098650000000001</v>
      </c>
      <c r="L5482">
        <v>164.72210000000001</v>
      </c>
      <c r="M5482">
        <v>-8.2685049999999996E-2</v>
      </c>
      <c r="N5482">
        <v>0</v>
      </c>
      <c r="O5482">
        <v>-0.99648479999999995</v>
      </c>
      <c r="P5482">
        <v>-0.18412619999999999</v>
      </c>
      <c r="Q5482">
        <v>-2.2588589999999999E-2</v>
      </c>
      <c r="R5482">
        <v>-0.98264339999999994</v>
      </c>
      <c r="S5482">
        <v>-1.1958310000000001</v>
      </c>
      <c r="T5482">
        <v>-0.16904739999999999</v>
      </c>
      <c r="U5482">
        <v>-2.8253629999999998</v>
      </c>
      <c r="V5482">
        <v>0.1022289</v>
      </c>
      <c r="W5482">
        <v>-9.2900919999999998E-3</v>
      </c>
      <c r="X5482">
        <v>0.99471750000000003</v>
      </c>
      <c r="Y5482">
        <v>0.31168580000000001</v>
      </c>
      <c r="Z5482">
        <v>5.555616E-2</v>
      </c>
      <c r="AA5482">
        <v>0.94855970000000001</v>
      </c>
      <c r="AB5482">
        <v>12</v>
      </c>
      <c r="AC5482">
        <v>-7.84519999999997</v>
      </c>
      <c r="AD5482">
        <v>-1.1098764309</v>
      </c>
      <c r="AE5482">
        <v>-18.486699999999999</v>
      </c>
      <c r="AF5482">
        <v>6.2704667360192703</v>
      </c>
      <c r="AG5482">
        <v>-1.1098764309</v>
      </c>
      <c r="AH5482">
        <v>19.014049459782701</v>
      </c>
      <c r="AI5482">
        <v>93.172930150116102</v>
      </c>
      <c r="AJ5482">
        <v>71.748441283034694</v>
      </c>
      <c r="AK5482">
        <v>20.052048664374801</v>
      </c>
      <c r="AL5482">
        <v>90.532290730721499</v>
      </c>
      <c r="AM5482">
        <v>84.132210810190003</v>
      </c>
      <c r="AN5482">
        <v>0.99999997930541396</v>
      </c>
    </row>
    <row r="5483" spans="1:40" x14ac:dyDescent="0.25">
      <c r="A5483" t="str">
        <f>"20190312154033019"</f>
        <v>20190312154033019</v>
      </c>
      <c r="B5483" t="str">
        <f>"1552376433011158"</f>
        <v>1552376433011158</v>
      </c>
      <c r="C5483" t="s">
        <v>40</v>
      </c>
      <c r="D5483">
        <v>3.9594290000000001</v>
      </c>
      <c r="E5483">
        <v>0.58265040000000001</v>
      </c>
      <c r="F5483" t="s">
        <v>55</v>
      </c>
      <c r="G5483">
        <v>-199.87180000000001</v>
      </c>
      <c r="H5483" s="1">
        <v>-1.138286E-5</v>
      </c>
      <c r="I5483">
        <v>146.0325</v>
      </c>
      <c r="J5483">
        <v>-191.94749999999999</v>
      </c>
      <c r="K5483">
        <v>1.1098669999999999</v>
      </c>
      <c r="L5483">
        <v>164.65119999999999</v>
      </c>
      <c r="M5483">
        <v>-8.3428459999999996E-2</v>
      </c>
      <c r="N5483">
        <v>0</v>
      </c>
      <c r="O5483">
        <v>-0.99642299999999995</v>
      </c>
      <c r="P5483">
        <v>-0.1842096</v>
      </c>
      <c r="Q5483">
        <v>-2.2500949999999999E-2</v>
      </c>
      <c r="R5483">
        <v>-0.9826298</v>
      </c>
      <c r="S5483">
        <v>-1.1986079999999999</v>
      </c>
      <c r="T5483">
        <v>-0.16773450000000001</v>
      </c>
      <c r="U5483">
        <v>-2.8245390000000001</v>
      </c>
      <c r="V5483">
        <v>0.1015713</v>
      </c>
      <c r="W5483">
        <v>-9.2028449999999994E-3</v>
      </c>
      <c r="X5483">
        <v>0.99478569999999999</v>
      </c>
      <c r="Y5483">
        <v>0.3118763</v>
      </c>
      <c r="Z5483">
        <v>5.5123720000000001E-2</v>
      </c>
      <c r="AA5483">
        <v>0.94852230000000004</v>
      </c>
      <c r="AB5483">
        <v>12</v>
      </c>
      <c r="AC5483">
        <v>-7.9243000000000103</v>
      </c>
      <c r="AD5483">
        <v>-1.1098783828599901</v>
      </c>
      <c r="AE5483">
        <v>-18.618699999999901</v>
      </c>
      <c r="AF5483">
        <v>6.3241728247759896</v>
      </c>
      <c r="AG5483">
        <v>-1.1098783828599901</v>
      </c>
      <c r="AH5483">
        <v>19.1573163999463</v>
      </c>
      <c r="AI5483">
        <v>93.148939725446695</v>
      </c>
      <c r="AJ5483">
        <v>71.731019127015301</v>
      </c>
      <c r="AK5483">
        <v>20.204696572580001</v>
      </c>
      <c r="AL5483">
        <v>90.527291618413699</v>
      </c>
      <c r="AM5483">
        <v>84.170092191299503</v>
      </c>
      <c r="AN5483">
        <v>1.0000000051321301</v>
      </c>
    </row>
    <row r="5484" spans="1:40" x14ac:dyDescent="0.25">
      <c r="A5484" t="str">
        <f>"20190312154033033"</f>
        <v>20190312154033033</v>
      </c>
      <c r="B5484" t="str">
        <f>"1552376433021894"</f>
        <v>1552376433021894</v>
      </c>
      <c r="C5484" t="s">
        <v>40</v>
      </c>
      <c r="D5484">
        <v>3.977776</v>
      </c>
      <c r="E5484">
        <v>0.58264579999999999</v>
      </c>
      <c r="F5484" t="s">
        <v>55</v>
      </c>
      <c r="G5484">
        <v>-199.898</v>
      </c>
      <c r="H5484" s="1">
        <v>-1.135352E-5</v>
      </c>
      <c r="I5484">
        <v>145.9212</v>
      </c>
      <c r="J5484">
        <v>-191.9547</v>
      </c>
      <c r="K5484">
        <v>1.1098680000000001</v>
      </c>
      <c r="L5484">
        <v>164.57669999999999</v>
      </c>
      <c r="M5484">
        <v>-8.4210339999999995E-2</v>
      </c>
      <c r="N5484">
        <v>0</v>
      </c>
      <c r="O5484">
        <v>-0.9963573</v>
      </c>
      <c r="P5484">
        <v>-0.18400440000000001</v>
      </c>
      <c r="Q5484">
        <v>-2.222298E-2</v>
      </c>
      <c r="R5484">
        <v>-0.98267459999999995</v>
      </c>
      <c r="S5484">
        <v>-1.198914</v>
      </c>
      <c r="T5484">
        <v>-0.16736699999999999</v>
      </c>
      <c r="U5484">
        <v>-2.8244479999999998</v>
      </c>
      <c r="V5484">
        <v>0.1005829</v>
      </c>
      <c r="W5484">
        <v>-8.924497E-3</v>
      </c>
      <c r="X5484">
        <v>0.99488869999999896</v>
      </c>
      <c r="Y5484">
        <v>0.31123129999999999</v>
      </c>
      <c r="Z5484">
        <v>5.5004320000000002E-2</v>
      </c>
      <c r="AA5484">
        <v>0.9487411</v>
      </c>
      <c r="AB5484">
        <v>12</v>
      </c>
      <c r="AC5484">
        <v>-7.94329999999999</v>
      </c>
      <c r="AD5484">
        <v>-1.10987935352</v>
      </c>
      <c r="AE5484">
        <v>-18.6554999999999</v>
      </c>
      <c r="AF5484">
        <v>6.3250009744657696</v>
      </c>
      <c r="AG5484">
        <v>-1.10987935352</v>
      </c>
      <c r="AH5484">
        <v>19.200662020897202</v>
      </c>
      <c r="AI5484">
        <v>93.142502821363195</v>
      </c>
      <c r="AJ5484">
        <v>71.767301600459305</v>
      </c>
      <c r="AK5484">
        <v>20.246058666987199</v>
      </c>
      <c r="AL5484">
        <v>90.511342776847201</v>
      </c>
      <c r="AM5484">
        <v>84.2270321526684</v>
      </c>
      <c r="AN5484">
        <v>1.0000000459034</v>
      </c>
    </row>
    <row r="5485" spans="1:40" x14ac:dyDescent="0.25">
      <c r="A5485" t="str">
        <f>"20190312154033048"</f>
        <v>20190312154033048</v>
      </c>
      <c r="B5485" t="str">
        <f>"1552376433031654"</f>
        <v>1552376433031654</v>
      </c>
      <c r="C5485" t="s">
        <v>40</v>
      </c>
      <c r="D5485">
        <v>3.9721419999999998</v>
      </c>
      <c r="E5485">
        <v>0.58264939999999998</v>
      </c>
      <c r="F5485" t="s">
        <v>55</v>
      </c>
      <c r="G5485">
        <v>-199.91569999999999</v>
      </c>
      <c r="H5485" s="1">
        <v>-1.132269E-5</v>
      </c>
      <c r="I5485">
        <v>145.809</v>
      </c>
      <c r="J5485">
        <v>-191.96039999999999</v>
      </c>
      <c r="K5485">
        <v>1.1098680000000001</v>
      </c>
      <c r="L5485">
        <v>164.518</v>
      </c>
      <c r="M5485">
        <v>-8.4827109999999997E-2</v>
      </c>
      <c r="N5485">
        <v>0</v>
      </c>
      <c r="O5485">
        <v>-0.99630490000000005</v>
      </c>
      <c r="P5485">
        <v>-0.18447769999999999</v>
      </c>
      <c r="Q5485">
        <v>-2.196965E-2</v>
      </c>
      <c r="R5485">
        <v>-0.9825914</v>
      </c>
      <c r="S5485">
        <v>-1.1982269999999999</v>
      </c>
      <c r="T5485">
        <v>-0.16704949999999999</v>
      </c>
      <c r="U5485">
        <v>-2.8247529999999998</v>
      </c>
      <c r="V5485">
        <v>0.1004461</v>
      </c>
      <c r="W5485">
        <v>-8.6723289999999995E-3</v>
      </c>
      <c r="X5485">
        <v>0.99490469999999998</v>
      </c>
      <c r="Y5485">
        <v>0.31041289999999999</v>
      </c>
      <c r="Z5485">
        <v>5.4900530000000003E-2</v>
      </c>
      <c r="AA5485">
        <v>0.9490151</v>
      </c>
      <c r="AB5485">
        <v>12</v>
      </c>
      <c r="AC5485">
        <v>-7.9552999999999896</v>
      </c>
      <c r="AD5485">
        <v>-1.1098793226899999</v>
      </c>
      <c r="AE5485">
        <v>-18.709</v>
      </c>
      <c r="AF5485">
        <v>6.3206095912347404</v>
      </c>
      <c r="AG5485">
        <v>-1.1098793226899999</v>
      </c>
      <c r="AH5485">
        <v>19.259041503906399</v>
      </c>
      <c r="AI5485">
        <v>93.134134136140304</v>
      </c>
      <c r="AJ5485">
        <v>71.830722237896794</v>
      </c>
      <c r="AK5485">
        <v>20.300064467014199</v>
      </c>
      <c r="AL5485">
        <v>90.4968940812808</v>
      </c>
      <c r="AM5485">
        <v>84.2349229708975</v>
      </c>
      <c r="AN5485">
        <v>0.99999999518879201</v>
      </c>
    </row>
    <row r="5486" spans="1:40" x14ac:dyDescent="0.25">
      <c r="A5486" t="str">
        <f>"20190312154033061"</f>
        <v>20190312154033061</v>
      </c>
      <c r="B5486" t="str">
        <f>"1552376433052149"</f>
        <v>1552376433052149</v>
      </c>
      <c r="C5486" t="s">
        <v>40</v>
      </c>
      <c r="D5486">
        <v>3.8678520000000001</v>
      </c>
      <c r="E5486">
        <v>0.58288139999999999</v>
      </c>
      <c r="F5486" t="s">
        <v>55</v>
      </c>
      <c r="G5486">
        <v>-199.9931</v>
      </c>
      <c r="H5486" s="1">
        <v>-1.125227E-5</v>
      </c>
      <c r="I5486">
        <v>145.60470000000001</v>
      </c>
      <c r="J5486">
        <v>-191.96899999999999</v>
      </c>
      <c r="K5486">
        <v>1.109869</v>
      </c>
      <c r="L5486">
        <v>164.4298</v>
      </c>
      <c r="M5486">
        <v>-8.5751759999999996E-2</v>
      </c>
      <c r="N5486">
        <v>0</v>
      </c>
      <c r="O5486">
        <v>-0.99622580000000005</v>
      </c>
      <c r="P5486">
        <v>-0.1850222</v>
      </c>
      <c r="Q5486">
        <v>-2.19945E-2</v>
      </c>
      <c r="R5486">
        <v>-0.98248849999999999</v>
      </c>
      <c r="S5486">
        <v>-1.1994929999999999</v>
      </c>
      <c r="T5486">
        <v>-0.16573399999999999</v>
      </c>
      <c r="U5486">
        <v>-2.824249</v>
      </c>
      <c r="V5486">
        <v>0.1000741</v>
      </c>
      <c r="W5486">
        <v>-8.6985499999999993E-3</v>
      </c>
      <c r="X5486">
        <v>0.99494190000000005</v>
      </c>
      <c r="Y5486">
        <v>0.3099613</v>
      </c>
      <c r="Z5486">
        <v>5.4471430000000001E-2</v>
      </c>
      <c r="AA5486">
        <v>0.94918749999999996</v>
      </c>
      <c r="AB5486">
        <v>12</v>
      </c>
      <c r="AC5486">
        <v>-8.0240999999999705</v>
      </c>
      <c r="AD5486">
        <v>-1.10988025227</v>
      </c>
      <c r="AE5486">
        <v>-18.8250999999999</v>
      </c>
      <c r="AF5486">
        <v>6.3613943902204904</v>
      </c>
      <c r="AG5486">
        <v>-1.10988025227</v>
      </c>
      <c r="AH5486">
        <v>19.3868613216951</v>
      </c>
      <c r="AI5486">
        <v>93.113569106167603</v>
      </c>
      <c r="AJ5486">
        <v>71.833828636115101</v>
      </c>
      <c r="AK5486">
        <v>20.434029574925901</v>
      </c>
      <c r="AL5486">
        <v>90.498396519435005</v>
      </c>
      <c r="AM5486">
        <v>84.256344108509893</v>
      </c>
      <c r="AN5486">
        <v>0.99999993731925896</v>
      </c>
    </row>
    <row r="5487" spans="1:40" x14ac:dyDescent="0.25">
      <c r="A5487" t="str">
        <f>"20190312154033075"</f>
        <v>20190312154033075</v>
      </c>
      <c r="B5487" t="str">
        <f>"1552376433071670"</f>
        <v>1552376433071670</v>
      </c>
      <c r="C5487" t="s">
        <v>40</v>
      </c>
      <c r="D5487">
        <v>3.7897780000000001</v>
      </c>
      <c r="E5487">
        <v>0.58288139999999999</v>
      </c>
      <c r="F5487" t="s">
        <v>55</v>
      </c>
      <c r="G5487">
        <v>-200.0573</v>
      </c>
      <c r="H5487" s="1">
        <v>-1.117787E-5</v>
      </c>
      <c r="I5487">
        <v>145.4502</v>
      </c>
      <c r="J5487">
        <v>-191.97630000000001</v>
      </c>
      <c r="K5487">
        <v>1.109869</v>
      </c>
      <c r="L5487">
        <v>164.35579999999999</v>
      </c>
      <c r="M5487">
        <v>-8.6528259999999996E-2</v>
      </c>
      <c r="N5487">
        <v>0</v>
      </c>
      <c r="O5487">
        <v>-0.99615849999999995</v>
      </c>
      <c r="P5487">
        <v>-0.1857789</v>
      </c>
      <c r="Q5487">
        <v>-2.1950810000000001E-2</v>
      </c>
      <c r="R5487">
        <v>-0.98234659999999996</v>
      </c>
      <c r="S5487">
        <v>-1.203125</v>
      </c>
      <c r="T5487">
        <v>-0.1650935</v>
      </c>
      <c r="U5487">
        <v>-2.8231959999999998</v>
      </c>
      <c r="V5487">
        <v>0.100064899999999</v>
      </c>
      <c r="W5487">
        <v>-8.6566939999999995E-3</v>
      </c>
      <c r="X5487">
        <v>0.99494329999999997</v>
      </c>
      <c r="Y5487">
        <v>0.310386</v>
      </c>
      <c r="Z5487">
        <v>5.4257619999999999E-2</v>
      </c>
      <c r="AA5487">
        <v>0.94906089999999999</v>
      </c>
      <c r="AB5487">
        <v>12</v>
      </c>
      <c r="AC5487">
        <v>-8.08099999999998</v>
      </c>
      <c r="AD5487">
        <v>-1.10988017787</v>
      </c>
      <c r="AE5487">
        <v>-18.9056</v>
      </c>
      <c r="AF5487">
        <v>6.3960307828527103</v>
      </c>
      <c r="AG5487">
        <v>-1.10988017787</v>
      </c>
      <c r="AH5487">
        <v>19.477220584709698</v>
      </c>
      <c r="AI5487">
        <v>93.098917898333696</v>
      </c>
      <c r="AJ5487">
        <v>71.820585767077802</v>
      </c>
      <c r="AK5487">
        <v>20.530542260005301</v>
      </c>
      <c r="AL5487">
        <v>90.495998202739798</v>
      </c>
      <c r="AM5487">
        <v>84.256876630911293</v>
      </c>
      <c r="AN5487">
        <v>1.00000004638895</v>
      </c>
    </row>
    <row r="5488" spans="1:40" x14ac:dyDescent="0.25">
      <c r="A5488" t="str">
        <f>"20190312154033247"</f>
        <v>20190312154033247</v>
      </c>
      <c r="B5488" t="str">
        <f>"1552376433241494"</f>
        <v>1552376433241494</v>
      </c>
      <c r="C5488" t="s">
        <v>40</v>
      </c>
      <c r="D5488">
        <v>3.5444710000000001</v>
      </c>
      <c r="E5488">
        <v>0.58288139999999999</v>
      </c>
      <c r="F5488" t="s">
        <v>55</v>
      </c>
      <c r="G5488">
        <v>-200.07810000000001</v>
      </c>
      <c r="H5488" s="1">
        <v>-1.1148460000000001E-5</v>
      </c>
      <c r="I5488">
        <v>145.38249999999999</v>
      </c>
      <c r="J5488">
        <v>-192.06880000000001</v>
      </c>
      <c r="K5488">
        <v>1.1098760000000001</v>
      </c>
      <c r="L5488">
        <v>163.46260000000001</v>
      </c>
      <c r="M5488">
        <v>-9.5939780000000002E-2</v>
      </c>
      <c r="N5488">
        <v>0</v>
      </c>
      <c r="O5488">
        <v>-0.99529670000000003</v>
      </c>
      <c r="P5488">
        <v>-0.19213259999999999</v>
      </c>
      <c r="Q5488">
        <v>-1.97599E-2</v>
      </c>
      <c r="R5488">
        <v>-0.98117030000000005</v>
      </c>
      <c r="S5488">
        <v>-1.2051540000000001</v>
      </c>
      <c r="T5488">
        <v>-0.1650953</v>
      </c>
      <c r="U5488">
        <v>-2.8222960000000001</v>
      </c>
      <c r="V5488">
        <v>9.7098039999999997E-2</v>
      </c>
      <c r="W5488">
        <v>-6.4825009999999999E-3</v>
      </c>
      <c r="X5488">
        <v>0.99525370000000002</v>
      </c>
      <c r="Y5488">
        <v>0.30207709999999999</v>
      </c>
      <c r="Z5488">
        <v>5.4269959999999999E-2</v>
      </c>
      <c r="AA5488">
        <v>0.95173750000000001</v>
      </c>
      <c r="AB5488">
        <v>12</v>
      </c>
      <c r="AC5488">
        <v>-8.0092999999999908</v>
      </c>
      <c r="AD5488">
        <v>-1.1098871484599999</v>
      </c>
      <c r="AE5488">
        <v>-18.080100000000002</v>
      </c>
      <c r="AF5488">
        <v>6.2180026368324697</v>
      </c>
      <c r="AG5488">
        <v>-1.1098871484599999</v>
      </c>
      <c r="AH5488">
        <v>18.706235317189002</v>
      </c>
      <c r="AI5488">
        <v>93.222546174127203</v>
      </c>
      <c r="AJ5488">
        <v>71.613055143696201</v>
      </c>
      <c r="AK5488">
        <v>19.743825516247401</v>
      </c>
      <c r="AL5488">
        <v>90.371422553187699</v>
      </c>
      <c r="AM5488">
        <v>84.427795464158706</v>
      </c>
      <c r="AN5488">
        <v>0.99999998977737303</v>
      </c>
    </row>
    <row r="5489" spans="1:40" x14ac:dyDescent="0.25">
      <c r="A5489" t="str">
        <f>"20190312154033258"</f>
        <v>20190312154033258</v>
      </c>
      <c r="B5489" t="str">
        <f>"1552376433252230"</f>
        <v>1552376433252230</v>
      </c>
      <c r="C5489" t="s">
        <v>40</v>
      </c>
      <c r="D5489">
        <v>3.742667</v>
      </c>
      <c r="E5489">
        <v>0.53944019999999904</v>
      </c>
      <c r="F5489" t="s">
        <v>55</v>
      </c>
      <c r="G5489">
        <v>-200.7226</v>
      </c>
      <c r="H5489" s="1">
        <v>-1.031998E-5</v>
      </c>
      <c r="I5489">
        <v>143.5582</v>
      </c>
      <c r="J5489">
        <v>-192.07509999999999</v>
      </c>
      <c r="K5489">
        <v>1.1098749999999999</v>
      </c>
      <c r="L5489">
        <v>163.40369999999999</v>
      </c>
      <c r="M5489">
        <v>-9.6571420000000005E-2</v>
      </c>
      <c r="N5489">
        <v>0</v>
      </c>
      <c r="O5489">
        <v>-0.99523550000000005</v>
      </c>
      <c r="P5489">
        <v>-0.1927092</v>
      </c>
      <c r="Q5489">
        <v>-1.9738749999999999E-2</v>
      </c>
      <c r="R5489">
        <v>-0.98105750000000003</v>
      </c>
      <c r="S5489">
        <v>-1.22377</v>
      </c>
      <c r="T5489">
        <v>-0.15695379999999901</v>
      </c>
      <c r="U5489">
        <v>-2.8147579999999999</v>
      </c>
      <c r="V5489">
        <v>9.7051310000000002E-2</v>
      </c>
      <c r="W5489">
        <v>-6.4633340000000003E-3</v>
      </c>
      <c r="X5489">
        <v>0.99525839999999999</v>
      </c>
      <c r="Y5489">
        <v>0.30774980000000002</v>
      </c>
      <c r="Z5489">
        <v>5.1610280000000001E-2</v>
      </c>
      <c r="AA5489">
        <v>0.95006659999999998</v>
      </c>
      <c r="AB5489">
        <v>12</v>
      </c>
      <c r="AC5489">
        <v>-8.6475000000000009</v>
      </c>
      <c r="AD5489">
        <v>-1.1098853199799901</v>
      </c>
      <c r="AE5489">
        <v>-19.845499999999902</v>
      </c>
      <c r="AF5489">
        <v>6.6728533192025798</v>
      </c>
      <c r="AG5489">
        <v>-1.1098853199799901</v>
      </c>
      <c r="AH5489">
        <v>20.5339266718075</v>
      </c>
      <c r="AI5489">
        <v>92.942706096257297</v>
      </c>
      <c r="AJ5489">
        <v>71.997536499540303</v>
      </c>
      <c r="AK5489">
        <v>21.619457935070098</v>
      </c>
      <c r="AL5489">
        <v>90.370324335542904</v>
      </c>
      <c r="AM5489">
        <v>84.430486448346201</v>
      </c>
      <c r="AN5489">
        <v>1.0000000071148301</v>
      </c>
    </row>
    <row r="5490" spans="1:40" x14ac:dyDescent="0.25">
      <c r="A5490" t="str">
        <f>"20190312154033269"</f>
        <v>20190312154033269</v>
      </c>
      <c r="B5490" t="str">
        <f>"1552376433261990"</f>
        <v>1552376433261990</v>
      </c>
      <c r="C5490" t="s">
        <v>40</v>
      </c>
      <c r="D5490">
        <v>4.2315050000000003</v>
      </c>
      <c r="E5490">
        <v>0.53741819999999996</v>
      </c>
      <c r="F5490" t="s">
        <v>41</v>
      </c>
      <c r="G5490">
        <v>-192.30969999999999</v>
      </c>
      <c r="H5490">
        <v>0.94759130000000003</v>
      </c>
      <c r="I5490">
        <v>162.63759999999999</v>
      </c>
      <c r="J5490">
        <v>-192.08189999999999</v>
      </c>
      <c r="K5490">
        <v>1.109874</v>
      </c>
      <c r="L5490">
        <v>163.34190000000001</v>
      </c>
      <c r="M5490">
        <v>-9.7239539999999999E-2</v>
      </c>
      <c r="N5490">
        <v>0</v>
      </c>
      <c r="O5490">
        <v>-0.99517040000000001</v>
      </c>
      <c r="P5490">
        <v>-0.1928906</v>
      </c>
      <c r="Q5490">
        <v>-1.971904E-2</v>
      </c>
      <c r="R5490">
        <v>-0.98102219999999996</v>
      </c>
      <c r="S5490">
        <v>-0.87893679999999996</v>
      </c>
      <c r="T5490">
        <v>-0.60846789999999995</v>
      </c>
      <c r="U5490">
        <v>-2.8730319999999998</v>
      </c>
      <c r="V5490">
        <v>9.6567219999999995E-2</v>
      </c>
      <c r="W5490">
        <v>-6.4446740000000001E-3</v>
      </c>
      <c r="X5490">
        <v>0.99530560000000001</v>
      </c>
      <c r="Y5490">
        <v>0.19227469999999999</v>
      </c>
      <c r="Z5490">
        <v>0.19946249999999999</v>
      </c>
      <c r="AA5490">
        <v>0.96085640000000005</v>
      </c>
      <c r="AB5490">
        <v>12</v>
      </c>
      <c r="AC5490">
        <v>-0.227800000000001</v>
      </c>
      <c r="AD5490">
        <v>-0.1622827</v>
      </c>
      <c r="AE5490">
        <v>-0.70430000000001702</v>
      </c>
      <c r="AF5490">
        <v>0.150971986802348</v>
      </c>
      <c r="AG5490">
        <v>-0.1622827</v>
      </c>
      <c r="AH5490">
        <v>0.68995310439623103</v>
      </c>
      <c r="AI5490">
        <v>102.940350573155</v>
      </c>
      <c r="AJ5490">
        <v>77.657366678495407</v>
      </c>
      <c r="AK5490">
        <v>0.724681655476621</v>
      </c>
      <c r="AL5490">
        <v>90.369255176813297</v>
      </c>
      <c r="AM5490">
        <v>84.458354871252496</v>
      </c>
      <c r="AN5490">
        <v>0.99999999959642705</v>
      </c>
    </row>
    <row r="5491" spans="1:40" x14ac:dyDescent="0.25">
      <c r="A5491" t="str">
        <f>"20190312154033282"</f>
        <v>20190312154033282</v>
      </c>
      <c r="B5491" t="str">
        <f>"1552376433271750"</f>
        <v>1552376433271750</v>
      </c>
      <c r="C5491" t="s">
        <v>40</v>
      </c>
      <c r="D5491">
        <v>3.949811</v>
      </c>
      <c r="E5491">
        <v>0.53695139999999997</v>
      </c>
      <c r="F5491" t="s">
        <v>41</v>
      </c>
      <c r="G5491">
        <v>-192.29810000000001</v>
      </c>
      <c r="H5491">
        <v>0.97600410000000004</v>
      </c>
      <c r="I5491">
        <v>162.6234</v>
      </c>
      <c r="J5491">
        <v>-192.08879999999999</v>
      </c>
      <c r="K5491">
        <v>1.1098779999999999</v>
      </c>
      <c r="L5491">
        <v>163.27940000000001</v>
      </c>
      <c r="M5491">
        <v>-9.7915820000000001E-2</v>
      </c>
      <c r="N5491">
        <v>0</v>
      </c>
      <c r="O5491">
        <v>-0.99510430000000005</v>
      </c>
      <c r="P5491">
        <v>-0.1934931</v>
      </c>
      <c r="Q5491">
        <v>-1.9477999999999999E-2</v>
      </c>
      <c r="R5491">
        <v>-0.98090849999999996</v>
      </c>
      <c r="S5491">
        <v>-0.86488339999999997</v>
      </c>
      <c r="T5491">
        <v>-0.53599619999999903</v>
      </c>
      <c r="U5491">
        <v>-2.877243</v>
      </c>
      <c r="V5491">
        <v>9.650185E-2</v>
      </c>
      <c r="W5491">
        <v>-6.205571E-3</v>
      </c>
      <c r="X5491">
        <v>0.99531349999999996</v>
      </c>
      <c r="Y5491">
        <v>0.18818280000000001</v>
      </c>
      <c r="Z5491">
        <v>0.17644489999999999</v>
      </c>
      <c r="AA5491">
        <v>0.96615450000000003</v>
      </c>
      <c r="AB5491">
        <v>12</v>
      </c>
      <c r="AC5491">
        <v>-0.209300000000013</v>
      </c>
      <c r="AD5491">
        <v>-0.13387389999999999</v>
      </c>
      <c r="AE5491">
        <v>-0.65600000000000502</v>
      </c>
      <c r="AF5491">
        <v>0.13880865201404499</v>
      </c>
      <c r="AG5491">
        <v>-0.13387389999999999</v>
      </c>
      <c r="AH5491">
        <v>0.64881796060494801</v>
      </c>
      <c r="AI5491">
        <v>101.407366872865</v>
      </c>
      <c r="AJ5491">
        <v>77.924137225138097</v>
      </c>
      <c r="AK5491">
        <v>0.676871338570877</v>
      </c>
      <c r="AL5491">
        <v>90.355555295689399</v>
      </c>
      <c r="AM5491">
        <v>84.462126574503003</v>
      </c>
      <c r="AN5491">
        <v>1.00000003972355</v>
      </c>
    </row>
    <row r="5492" spans="1:40" x14ac:dyDescent="0.25">
      <c r="A5492" t="str">
        <f>"20190312154033294"</f>
        <v>20190312154033294</v>
      </c>
      <c r="B5492" t="str">
        <f>"1552376433291270"</f>
        <v>1552376433291270</v>
      </c>
      <c r="C5492" t="s">
        <v>40</v>
      </c>
      <c r="D5492">
        <v>3.872627</v>
      </c>
      <c r="E5492">
        <v>0.53674319999999998</v>
      </c>
      <c r="F5492" t="s">
        <v>41</v>
      </c>
      <c r="G5492">
        <v>-192.31800000000001</v>
      </c>
      <c r="H5492">
        <v>0.98613810000000002</v>
      </c>
      <c r="I5492">
        <v>162.51650000000001</v>
      </c>
      <c r="J5492">
        <v>-192.096</v>
      </c>
      <c r="K5492">
        <v>1.1098760000000001</v>
      </c>
      <c r="L5492">
        <v>163.21520000000001</v>
      </c>
      <c r="M5492">
        <v>-9.8614110000000005E-2</v>
      </c>
      <c r="N5492">
        <v>0</v>
      </c>
      <c r="O5492">
        <v>-0.995035</v>
      </c>
      <c r="P5492">
        <v>-0.19396050000000001</v>
      </c>
      <c r="Q5492">
        <v>-1.9013760000000001E-2</v>
      </c>
      <c r="R5492">
        <v>-0.9808249</v>
      </c>
      <c r="S5492">
        <v>-0.86408999999999903</v>
      </c>
      <c r="T5492">
        <v>-0.46683829999999998</v>
      </c>
      <c r="U5492">
        <v>-2.8786619999999998</v>
      </c>
      <c r="V5492">
        <v>9.6277210000000002E-2</v>
      </c>
      <c r="W5492">
        <v>-5.7428469999999997E-3</v>
      </c>
      <c r="X5492">
        <v>0.99533799999999995</v>
      </c>
      <c r="Y5492">
        <v>0.18819259999999999</v>
      </c>
      <c r="Z5492">
        <v>0.15419169999999999</v>
      </c>
      <c r="AA5492">
        <v>0.96995279999999995</v>
      </c>
      <c r="AB5492">
        <v>12</v>
      </c>
      <c r="AC5492">
        <v>-0.222000000000008</v>
      </c>
      <c r="AD5492">
        <v>-0.1237379</v>
      </c>
      <c r="AE5492">
        <v>-0.69870000000000199</v>
      </c>
      <c r="AF5492">
        <v>0.14779938020399899</v>
      </c>
      <c r="AG5492">
        <v>-0.1237379</v>
      </c>
      <c r="AH5492">
        <v>0.69732304561334801</v>
      </c>
      <c r="AI5492">
        <v>99.847877981150702</v>
      </c>
      <c r="AJ5492">
        <v>78.033116778682995</v>
      </c>
      <c r="AK5492">
        <v>0.72347436349090599</v>
      </c>
      <c r="AL5492">
        <v>90.329042701577094</v>
      </c>
      <c r="AM5492">
        <v>84.475073105235694</v>
      </c>
      <c r="AN5492">
        <v>1.00000000785052</v>
      </c>
    </row>
    <row r="5493" spans="1:40" x14ac:dyDescent="0.25">
      <c r="A5493" t="str">
        <f>"20190312154033307"</f>
        <v>20190312154033307</v>
      </c>
      <c r="B5493" t="str">
        <f>"1552376433302005"</f>
        <v>1552376433302005</v>
      </c>
      <c r="C5493" t="s">
        <v>40</v>
      </c>
      <c r="D5493">
        <v>3.8259569999999998</v>
      </c>
      <c r="E5493">
        <v>0.53739939999999997</v>
      </c>
      <c r="F5493" t="s">
        <v>41</v>
      </c>
      <c r="G5493">
        <v>-192.31190000000001</v>
      </c>
      <c r="H5493">
        <v>1.0257320000000001</v>
      </c>
      <c r="I5493">
        <v>162.49690000000001</v>
      </c>
      <c r="J5493">
        <v>-192.10329999999999</v>
      </c>
      <c r="K5493">
        <v>1.1098760000000001</v>
      </c>
      <c r="L5493">
        <v>163.15020000000001</v>
      </c>
      <c r="M5493">
        <v>-9.9323330000000001E-2</v>
      </c>
      <c r="N5493">
        <v>0</v>
      </c>
      <c r="O5493">
        <v>-0.99496479999999998</v>
      </c>
      <c r="P5493">
        <v>-0.19446140000000001</v>
      </c>
      <c r="Q5493">
        <v>-1.8285880000000001E-2</v>
      </c>
      <c r="R5493">
        <v>-0.98073999999999995</v>
      </c>
      <c r="S5493">
        <v>-0.86557009999999901</v>
      </c>
      <c r="T5493">
        <v>-0.33743980000000001</v>
      </c>
      <c r="U5493">
        <v>-2.8809360000000002</v>
      </c>
      <c r="V5493">
        <v>9.6075499999999994E-2</v>
      </c>
      <c r="W5493">
        <v>-5.0162779999999999E-3</v>
      </c>
      <c r="X5493">
        <v>0.99536139999999995</v>
      </c>
      <c r="Y5493">
        <v>0.18937329999999999</v>
      </c>
      <c r="Z5493">
        <v>0.11198950000000001</v>
      </c>
      <c r="AA5493">
        <v>0.97549790000000003</v>
      </c>
      <c r="AB5493">
        <v>12</v>
      </c>
      <c r="AC5493">
        <v>-0.20860000000001799</v>
      </c>
      <c r="AD5493">
        <v>-8.4144000000000205E-2</v>
      </c>
      <c r="AE5493">
        <v>-0.65330000000000099</v>
      </c>
      <c r="AF5493">
        <v>0.14055856514829901</v>
      </c>
      <c r="AG5493">
        <v>-8.4144000000000205E-2</v>
      </c>
      <c r="AH5493">
        <v>0.66084126336830296</v>
      </c>
      <c r="AI5493">
        <v>97.099212793830901</v>
      </c>
      <c r="AJ5493">
        <v>77.992333796470803</v>
      </c>
      <c r="AK5493">
        <v>0.68084366659517603</v>
      </c>
      <c r="AL5493">
        <v>90.287412766315697</v>
      </c>
      <c r="AM5493">
        <v>84.486705776752103</v>
      </c>
      <c r="AN5493">
        <v>0.99999999067759104</v>
      </c>
    </row>
    <row r="5494" spans="1:40" x14ac:dyDescent="0.25">
      <c r="A5494" t="str">
        <f>"20190312154033319"</f>
        <v>20190312154033319</v>
      </c>
      <c r="B5494" t="str">
        <f>"1552376433311766"</f>
        <v>1552376433311766</v>
      </c>
      <c r="C5494" t="s">
        <v>40</v>
      </c>
      <c r="D5494">
        <v>3.790009</v>
      </c>
      <c r="E5494">
        <v>0.53750959999999903</v>
      </c>
      <c r="F5494" t="s">
        <v>41</v>
      </c>
      <c r="G5494">
        <v>-192.3356</v>
      </c>
      <c r="H5494">
        <v>1.034038</v>
      </c>
      <c r="I5494">
        <v>162.38380000000001</v>
      </c>
      <c r="J5494">
        <v>-192.11060000000001</v>
      </c>
      <c r="K5494">
        <v>1.109877</v>
      </c>
      <c r="L5494">
        <v>163.08459999999999</v>
      </c>
      <c r="M5494">
        <v>-0.10003919999999999</v>
      </c>
      <c r="N5494">
        <v>0</v>
      </c>
      <c r="O5494">
        <v>-0.99489329999999998</v>
      </c>
      <c r="P5494">
        <v>-0.19500709999999999</v>
      </c>
      <c r="Q5494">
        <v>-1.7958709999999999E-2</v>
      </c>
      <c r="R5494">
        <v>-0.98063789999999995</v>
      </c>
      <c r="S5494">
        <v>-0.87286379999999997</v>
      </c>
      <c r="T5494">
        <v>-0.28503529999999999</v>
      </c>
      <c r="U5494">
        <v>-2.8805390000000002</v>
      </c>
      <c r="V5494">
        <v>9.5912940000000002E-2</v>
      </c>
      <c r="W5494">
        <v>-4.6904269999999996E-3</v>
      </c>
      <c r="X5494">
        <v>0.99537869999999995</v>
      </c>
      <c r="Y5494">
        <v>0.1914891</v>
      </c>
      <c r="Z5494">
        <v>9.4720750000000006E-2</v>
      </c>
      <c r="AA5494">
        <v>0.97691349999999999</v>
      </c>
      <c r="AB5494">
        <v>12</v>
      </c>
      <c r="AC5494">
        <v>-0.22499999999999401</v>
      </c>
      <c r="AD5494">
        <v>-7.5838999999999906E-2</v>
      </c>
      <c r="AE5494">
        <v>-0.70079999999998599</v>
      </c>
      <c r="AF5494">
        <v>0.15214207236913399</v>
      </c>
      <c r="AG5494">
        <v>-7.5838999999999906E-2</v>
      </c>
      <c r="AH5494">
        <v>0.71223307314620199</v>
      </c>
      <c r="AI5494">
        <v>95.944859362049698</v>
      </c>
      <c r="AJ5494">
        <v>77.9421126874213</v>
      </c>
      <c r="AK5494">
        <v>0.73223951995850201</v>
      </c>
      <c r="AL5494">
        <v>90.268742650087106</v>
      </c>
      <c r="AM5494">
        <v>84.496072027180404</v>
      </c>
      <c r="AN5494">
        <v>1.0000000242892799</v>
      </c>
    </row>
    <row r="5495" spans="1:40" x14ac:dyDescent="0.25">
      <c r="A5495" t="str">
        <f>"20190312154033335"</f>
        <v>20190312154033335</v>
      </c>
      <c r="B5495" t="str">
        <f>"1552376433331286"</f>
        <v>1552376433331286</v>
      </c>
      <c r="C5495" t="s">
        <v>40</v>
      </c>
      <c r="D5495">
        <v>3.8594300000000001</v>
      </c>
      <c r="E5495">
        <v>0.53672969999999998</v>
      </c>
      <c r="F5495" t="s">
        <v>55</v>
      </c>
      <c r="G5495">
        <v>-195.9837</v>
      </c>
      <c r="H5495" s="1">
        <v>-1.206952E-5</v>
      </c>
      <c r="I5495">
        <v>150.34610000000001</v>
      </c>
      <c r="J5495">
        <v>-192.11969999999999</v>
      </c>
      <c r="K5495">
        <v>1.1098760000000001</v>
      </c>
      <c r="L5495">
        <v>163.00479999999999</v>
      </c>
      <c r="M5495">
        <v>-0.1009144</v>
      </c>
      <c r="N5495">
        <v>0</v>
      </c>
      <c r="O5495">
        <v>-0.99480469999999999</v>
      </c>
      <c r="P5495">
        <v>-0.19516049999999999</v>
      </c>
      <c r="Q5495">
        <v>-1.7670430000000001E-2</v>
      </c>
      <c r="R5495">
        <v>-0.98061229999999999</v>
      </c>
      <c r="S5495">
        <v>-0.8757935</v>
      </c>
      <c r="T5495">
        <v>-0.25097170000000002</v>
      </c>
      <c r="U5495">
        <v>-2.8804780000000001</v>
      </c>
      <c r="V5495">
        <v>9.5192849999999996E-2</v>
      </c>
      <c r="W5495">
        <v>-4.4022159999999996E-3</v>
      </c>
      <c r="X5495">
        <v>0.99544909999999998</v>
      </c>
      <c r="Y5495">
        <v>0.1918348</v>
      </c>
      <c r="Z5495">
        <v>8.3462960000000003E-2</v>
      </c>
      <c r="AA5495">
        <v>0.97787179999999996</v>
      </c>
      <c r="AB5495">
        <v>11</v>
      </c>
      <c r="AC5495">
        <v>-3.8639999999999999</v>
      </c>
      <c r="AD5495">
        <v>-1.10988806952</v>
      </c>
      <c r="AE5495">
        <v>-12.6586999999999</v>
      </c>
      <c r="AF5495">
        <v>2.5487875576040602</v>
      </c>
      <c r="AG5495">
        <v>-1.10988806952</v>
      </c>
      <c r="AH5495">
        <v>12.893366780199001</v>
      </c>
      <c r="AI5495">
        <v>94.827053972699403</v>
      </c>
      <c r="AJ5495">
        <v>78.817823356834793</v>
      </c>
      <c r="AK5495">
        <v>13.189657936027</v>
      </c>
      <c r="AL5495">
        <v>90.252229215912706</v>
      </c>
      <c r="AM5495">
        <v>84.537527216493601</v>
      </c>
      <c r="AN5495">
        <v>0.99999998444382099</v>
      </c>
    </row>
    <row r="5496" spans="1:40" x14ac:dyDescent="0.25">
      <c r="A5496" t="str">
        <f>"20190312154033348"</f>
        <v>20190312154033348</v>
      </c>
      <c r="B5496" t="str">
        <f>"1552376433342022"</f>
        <v>1552376433342022</v>
      </c>
      <c r="C5496" t="s">
        <v>40</v>
      </c>
      <c r="D5496">
        <v>3.863518</v>
      </c>
      <c r="E5496">
        <v>0.5365084</v>
      </c>
      <c r="F5496" t="s">
        <v>55</v>
      </c>
      <c r="G5496">
        <v>-196.83959999999999</v>
      </c>
      <c r="H5496" s="1">
        <v>-1.1318779999999999E-5</v>
      </c>
      <c r="I5496">
        <v>147.3811</v>
      </c>
      <c r="J5496">
        <v>-192.12719999999999</v>
      </c>
      <c r="K5496">
        <v>1.1098779999999999</v>
      </c>
      <c r="L5496">
        <v>162.93889999999999</v>
      </c>
      <c r="M5496">
        <v>-0.10163850000000001</v>
      </c>
      <c r="N5496">
        <v>0</v>
      </c>
      <c r="O5496">
        <v>-0.99473089999999997</v>
      </c>
      <c r="P5496">
        <v>-0.1956108</v>
      </c>
      <c r="Q5496">
        <v>-1.7787500000000001E-2</v>
      </c>
      <c r="R5496">
        <v>-0.98052030000000001</v>
      </c>
      <c r="S5496">
        <v>-0.87074280000000004</v>
      </c>
      <c r="T5496">
        <v>-0.2047561</v>
      </c>
      <c r="U5496">
        <v>-2.8823240000000001</v>
      </c>
      <c r="V5496">
        <v>9.4925519999999999E-2</v>
      </c>
      <c r="W5496">
        <v>-4.5200529999999996E-3</v>
      </c>
      <c r="X5496">
        <v>0.99547410000000003</v>
      </c>
      <c r="Y5496">
        <v>0.1897133</v>
      </c>
      <c r="Z5496">
        <v>6.8156869999999994E-2</v>
      </c>
      <c r="AA5496">
        <v>0.97947099999999998</v>
      </c>
      <c r="AB5496">
        <v>11</v>
      </c>
      <c r="AC5496">
        <v>-4.7123999999999997</v>
      </c>
      <c r="AD5496">
        <v>-1.1098893187799901</v>
      </c>
      <c r="AE5496">
        <v>-15.557799999999901</v>
      </c>
      <c r="AF5496">
        <v>3.09216348487403</v>
      </c>
      <c r="AG5496">
        <v>-1.1098893187799901</v>
      </c>
      <c r="AH5496">
        <v>15.8821847367012</v>
      </c>
      <c r="AI5496">
        <v>93.924039292346606</v>
      </c>
      <c r="AJ5496">
        <v>78.982691226961293</v>
      </c>
      <c r="AK5496">
        <v>16.218419199411301</v>
      </c>
      <c r="AL5496">
        <v>90.258980845962796</v>
      </c>
      <c r="AM5496">
        <v>84.552911052232702</v>
      </c>
      <c r="AN5496">
        <v>0.99999998449860095</v>
      </c>
    </row>
    <row r="5497" spans="1:40" x14ac:dyDescent="0.25">
      <c r="A5497" t="str">
        <f>"20190312154033363"</f>
        <v>20190312154033363</v>
      </c>
      <c r="B5497" t="str">
        <f>"1552376433351782"</f>
        <v>1552376433351782</v>
      </c>
      <c r="C5497" t="s">
        <v>40</v>
      </c>
      <c r="D5497">
        <v>3.9045269999999999</v>
      </c>
      <c r="E5497">
        <v>0.53593579999999996</v>
      </c>
      <c r="F5497" t="s">
        <v>55</v>
      </c>
      <c r="G5497">
        <v>-197.1808</v>
      </c>
      <c r="H5497" s="1">
        <v>-1.104807E-5</v>
      </c>
      <c r="I5497">
        <v>146.2062</v>
      </c>
      <c r="J5497">
        <v>-192.13570000000001</v>
      </c>
      <c r="K5497">
        <v>1.109882</v>
      </c>
      <c r="L5497">
        <v>162.86500000000001</v>
      </c>
      <c r="M5497">
        <v>-0.1024513</v>
      </c>
      <c r="N5497">
        <v>0</v>
      </c>
      <c r="O5497">
        <v>-0.99464759999999997</v>
      </c>
      <c r="P5497">
        <v>-0.1961154</v>
      </c>
      <c r="Q5497">
        <v>-1.7869349999999999E-2</v>
      </c>
      <c r="R5497">
        <v>-0.98041800000000001</v>
      </c>
      <c r="S5497">
        <v>-0.8705444</v>
      </c>
      <c r="T5497">
        <v>-0.1911948</v>
      </c>
      <c r="U5497">
        <v>-2.8824619999999999</v>
      </c>
      <c r="V5497">
        <v>9.4624509999999995E-2</v>
      </c>
      <c r="W5497">
        <v>-4.6026799999999996E-3</v>
      </c>
      <c r="X5497">
        <v>0.99550240000000001</v>
      </c>
      <c r="Y5497">
        <v>0.18892229999999999</v>
      </c>
      <c r="Z5497">
        <v>6.3656779999999996E-2</v>
      </c>
      <c r="AA5497">
        <v>0.97992659999999998</v>
      </c>
      <c r="AB5497">
        <v>11</v>
      </c>
      <c r="AC5497">
        <v>-5.0450999999999899</v>
      </c>
      <c r="AD5497">
        <v>-1.10989304807</v>
      </c>
      <c r="AE5497">
        <v>-16.658799999999999</v>
      </c>
      <c r="AF5497">
        <v>3.2982680895657701</v>
      </c>
      <c r="AG5497">
        <v>-1.10989304807</v>
      </c>
      <c r="AH5497">
        <v>17.018851283691198</v>
      </c>
      <c r="AI5497">
        <v>93.663319616538203</v>
      </c>
      <c r="AJ5497">
        <v>79.031994469556494</v>
      </c>
      <c r="AK5497">
        <v>17.371002676448999</v>
      </c>
      <c r="AL5497">
        <v>90.263715068128604</v>
      </c>
      <c r="AM5497">
        <v>84.570233878248303</v>
      </c>
      <c r="AN5497">
        <v>1.00000000548084</v>
      </c>
    </row>
    <row r="5498" spans="1:40" x14ac:dyDescent="0.25">
      <c r="A5498" t="str">
        <f>"20190312154033376"</f>
        <v>20190312154033376</v>
      </c>
      <c r="B5498" t="str">
        <f>"1552376433371302"</f>
        <v>1552376433371302</v>
      </c>
      <c r="C5498" t="s">
        <v>40</v>
      </c>
      <c r="D5498">
        <v>3.93207</v>
      </c>
      <c r="E5498">
        <v>0.53566499999999995</v>
      </c>
      <c r="F5498" t="s">
        <v>55</v>
      </c>
      <c r="G5498">
        <v>-197.43</v>
      </c>
      <c r="H5498" s="1">
        <v>-1.0806869999999999E-5</v>
      </c>
      <c r="I5498">
        <v>145.27500000000001</v>
      </c>
      <c r="J5498">
        <v>-192.1438</v>
      </c>
      <c r="K5498">
        <v>1.109885</v>
      </c>
      <c r="L5498">
        <v>162.79519999999999</v>
      </c>
      <c r="M5498">
        <v>-0.1032203</v>
      </c>
      <c r="N5498">
        <v>0</v>
      </c>
      <c r="O5498">
        <v>-0.99456800000000001</v>
      </c>
      <c r="P5498">
        <v>-0.19616259999999999</v>
      </c>
      <c r="Q5498">
        <v>-1.7809510000000001E-2</v>
      </c>
      <c r="R5498">
        <v>-0.98041</v>
      </c>
      <c r="S5498">
        <v>-0.86773679999999997</v>
      </c>
      <c r="T5498">
        <v>-0.18191270000000001</v>
      </c>
      <c r="U5498">
        <v>-2.8830110000000002</v>
      </c>
      <c r="V5498">
        <v>9.3902830000000007E-2</v>
      </c>
      <c r="W5498">
        <v>-4.5424899999999997E-3</v>
      </c>
      <c r="X5498">
        <v>0.99557099999999998</v>
      </c>
      <c r="Y5498">
        <v>0.18729180000000001</v>
      </c>
      <c r="Z5498">
        <v>6.0577899999999997E-2</v>
      </c>
      <c r="AA5498">
        <v>0.98043469999999999</v>
      </c>
      <c r="AB5498">
        <v>11</v>
      </c>
      <c r="AC5498">
        <v>-5.2862</v>
      </c>
      <c r="AD5498">
        <v>-1.10989580687</v>
      </c>
      <c r="AE5498">
        <v>-17.5201999999999</v>
      </c>
      <c r="AF5498">
        <v>3.4367143477394002</v>
      </c>
      <c r="AG5498">
        <v>-1.10989580687</v>
      </c>
      <c r="AH5498">
        <v>17.906426297999101</v>
      </c>
      <c r="AI5498">
        <v>93.483416433820196</v>
      </c>
      <c r="AJ5498">
        <v>79.135546659394393</v>
      </c>
      <c r="AK5498">
        <v>18.266991459343799</v>
      </c>
      <c r="AL5498">
        <v>90.260266401626197</v>
      </c>
      <c r="AM5498">
        <v>84.611769916976201</v>
      </c>
      <c r="AN5498">
        <v>0.99999999586920396</v>
      </c>
    </row>
    <row r="5499" spans="1:40" x14ac:dyDescent="0.25">
      <c r="A5499" t="str">
        <f>"20190312154033392"</f>
        <v>20190312154033392</v>
      </c>
      <c r="B5499" t="str">
        <f>"1552376433382037"</f>
        <v>1552376433382037</v>
      </c>
      <c r="C5499" t="s">
        <v>40</v>
      </c>
      <c r="D5499">
        <v>3.9574980000000002</v>
      </c>
      <c r="E5499">
        <v>0.53502130000000003</v>
      </c>
      <c r="F5499" t="s">
        <v>55</v>
      </c>
      <c r="G5499">
        <v>-197.79339999999999</v>
      </c>
      <c r="H5499" s="1">
        <v>-1.047601E-5</v>
      </c>
      <c r="I5499">
        <v>143.98750000000001</v>
      </c>
      <c r="J5499">
        <v>-192.1532</v>
      </c>
      <c r="K5499">
        <v>1.109888</v>
      </c>
      <c r="L5499">
        <v>162.7148</v>
      </c>
      <c r="M5499">
        <v>-0.1041087</v>
      </c>
      <c r="N5499">
        <v>0</v>
      </c>
      <c r="O5499">
        <v>-0.99447540000000001</v>
      </c>
      <c r="P5499">
        <v>-0.19677210000000001</v>
      </c>
      <c r="Q5499">
        <v>-1.74424E-2</v>
      </c>
      <c r="R5499">
        <v>-0.9802942</v>
      </c>
      <c r="S5499">
        <v>-0.86618039999999996</v>
      </c>
      <c r="T5499">
        <v>-0.17016579999999901</v>
      </c>
      <c r="U5499">
        <v>-2.8835449999999998</v>
      </c>
      <c r="V5499">
        <v>9.3632209999999993E-2</v>
      </c>
      <c r="W5499">
        <v>-4.1763920000000001E-3</v>
      </c>
      <c r="X5499">
        <v>0.99559810000000004</v>
      </c>
      <c r="Y5499">
        <v>0.18594469999999999</v>
      </c>
      <c r="Z5499">
        <v>5.6673139999999997E-2</v>
      </c>
      <c r="AA5499">
        <v>0.98092440000000003</v>
      </c>
      <c r="AB5499">
        <v>11</v>
      </c>
      <c r="AC5499">
        <v>-5.6401999999999903</v>
      </c>
      <c r="AD5499">
        <v>-1.1098984760099999</v>
      </c>
      <c r="AE5499">
        <v>-18.7272999999999</v>
      </c>
      <c r="AF5499">
        <v>3.64794697984604</v>
      </c>
      <c r="AG5499">
        <v>-1.1098984760099999</v>
      </c>
      <c r="AH5499">
        <v>19.151088881697401</v>
      </c>
      <c r="AI5499">
        <v>93.258401215775294</v>
      </c>
      <c r="AJ5499">
        <v>79.215354169912501</v>
      </c>
      <c r="AK5499">
        <v>19.526996623892</v>
      </c>
      <c r="AL5499">
        <v>90.239290329659198</v>
      </c>
      <c r="AM5499">
        <v>84.627352728724205</v>
      </c>
      <c r="AN5499">
        <v>1.00000000486161</v>
      </c>
    </row>
    <row r="5500" spans="1:40" x14ac:dyDescent="0.25">
      <c r="A5500" t="str">
        <f>"20190312154033406"</f>
        <v>20190312154033406</v>
      </c>
      <c r="B5500" t="str">
        <f>"1552376433401558"</f>
        <v>1552376433401558</v>
      </c>
      <c r="C5500" t="s">
        <v>40</v>
      </c>
      <c r="D5500">
        <v>3.9463059999999999</v>
      </c>
      <c r="E5500">
        <v>0.53345209999999998</v>
      </c>
      <c r="F5500" t="s">
        <v>55</v>
      </c>
      <c r="G5500">
        <v>-198.00489999999999</v>
      </c>
      <c r="H5500" s="1">
        <v>-1.0259479999999999E-5</v>
      </c>
      <c r="I5500">
        <v>143.1575</v>
      </c>
      <c r="J5500">
        <v>-192.1609</v>
      </c>
      <c r="K5500">
        <v>1.1098889999999999</v>
      </c>
      <c r="L5500">
        <v>162.65</v>
      </c>
      <c r="M5500">
        <v>-0.10482519999999999</v>
      </c>
      <c r="N5500">
        <v>0</v>
      </c>
      <c r="O5500">
        <v>-0.99440019999999996</v>
      </c>
      <c r="P5500">
        <v>-0.19738259999999999</v>
      </c>
      <c r="Q5500">
        <v>-1.7465560000000002E-2</v>
      </c>
      <c r="R5500">
        <v>-0.98017100000000001</v>
      </c>
      <c r="S5500">
        <v>-0.86296079999999997</v>
      </c>
      <c r="T5500">
        <v>-0.16367860000000001</v>
      </c>
      <c r="U5500">
        <v>-2.8841399999999999</v>
      </c>
      <c r="V5500">
        <v>9.3534980000000004E-2</v>
      </c>
      <c r="W5500">
        <v>-4.2008180000000003E-3</v>
      </c>
      <c r="X5500">
        <v>0.99560709999999997</v>
      </c>
      <c r="Y5500">
        <v>0.1842105</v>
      </c>
      <c r="Z5500">
        <v>5.4519949999999998E-2</v>
      </c>
      <c r="AA5500">
        <v>0.98137350000000001</v>
      </c>
      <c r="AB5500">
        <v>11</v>
      </c>
      <c r="AC5500">
        <v>-5.8439999999999896</v>
      </c>
      <c r="AD5500">
        <v>-1.1098992594799999</v>
      </c>
      <c r="AE5500">
        <v>-19.4925</v>
      </c>
      <c r="AF5500">
        <v>3.7571320141418001</v>
      </c>
      <c r="AG5500">
        <v>-1.1098992594799999</v>
      </c>
      <c r="AH5500">
        <v>19.9384314503979</v>
      </c>
      <c r="AI5500">
        <v>93.131163523148302</v>
      </c>
      <c r="AJ5500">
        <v>79.328507882739103</v>
      </c>
      <c r="AK5500">
        <v>20.3196694372743</v>
      </c>
      <c r="AL5500">
        <v>90.240689857400596</v>
      </c>
      <c r="AM5500">
        <v>84.632947455848907</v>
      </c>
      <c r="AN5500">
        <v>0.99999996846293904</v>
      </c>
    </row>
    <row r="5501" spans="1:40" x14ac:dyDescent="0.25">
      <c r="A5501" t="str">
        <f>"20190312154033419"</f>
        <v>20190312154033419</v>
      </c>
      <c r="B5501" t="str">
        <f>"1552376433411319"</f>
        <v>1552376433411319</v>
      </c>
      <c r="C5501" t="s">
        <v>40</v>
      </c>
      <c r="D5501">
        <v>3.9655109999999998</v>
      </c>
      <c r="E5501">
        <v>0.53293869999999999</v>
      </c>
      <c r="F5501" t="s">
        <v>55</v>
      </c>
      <c r="G5501">
        <v>-198.26929999999999</v>
      </c>
      <c r="H5501" s="1">
        <v>-9.9453430000000004E-6</v>
      </c>
      <c r="I5501">
        <v>141.97399999999999</v>
      </c>
      <c r="J5501">
        <v>-192.1688</v>
      </c>
      <c r="K5501">
        <v>1.10989</v>
      </c>
      <c r="L5501">
        <v>162.5829</v>
      </c>
      <c r="M5501">
        <v>-0.1055681</v>
      </c>
      <c r="N5501">
        <v>0</v>
      </c>
      <c r="O5501">
        <v>-0.99432160000000003</v>
      </c>
      <c r="P5501">
        <v>-0.1987756</v>
      </c>
      <c r="Q5501">
        <v>-1.750753E-2</v>
      </c>
      <c r="R5501">
        <v>-0.97988889999999995</v>
      </c>
      <c r="S5501">
        <v>-0.85269169999999905</v>
      </c>
      <c r="T5501">
        <v>-0.1549343</v>
      </c>
      <c r="U5501">
        <v>-2.8862299999999999</v>
      </c>
      <c r="V5501">
        <v>9.420626E-2</v>
      </c>
      <c r="W5501">
        <v>-4.2459350000000002E-3</v>
      </c>
      <c r="X5501">
        <v>0.99554370000000003</v>
      </c>
      <c r="Y5501">
        <v>0.18011489999999999</v>
      </c>
      <c r="Z5501">
        <v>5.1618999999999998E-2</v>
      </c>
      <c r="AA5501">
        <v>0.98229029999999995</v>
      </c>
      <c r="AB5501">
        <v>11</v>
      </c>
      <c r="AC5501">
        <v>-6.1004999999999798</v>
      </c>
      <c r="AD5501">
        <v>-1.1098999453430001</v>
      </c>
      <c r="AE5501">
        <v>-20.608899999999998</v>
      </c>
      <c r="AF5501">
        <v>3.8802190342708802</v>
      </c>
      <c r="AG5501">
        <v>-1.1098999453430001</v>
      </c>
      <c r="AH5501">
        <v>21.081575469318899</v>
      </c>
      <c r="AI5501">
        <v>92.964021013289496</v>
      </c>
      <c r="AJ5501">
        <v>79.571012884102103</v>
      </c>
      <c r="AK5501">
        <v>21.4644077931626</v>
      </c>
      <c r="AL5501">
        <v>90.243274873655807</v>
      </c>
      <c r="AM5501">
        <v>84.594314440619002</v>
      </c>
      <c r="AN5501">
        <v>1.0000000529984401</v>
      </c>
    </row>
    <row r="5502" spans="1:40" x14ac:dyDescent="0.25">
      <c r="A5502" t="str">
        <f>"20190312154033429"</f>
        <v>20190312154033429</v>
      </c>
      <c r="B5502" t="str">
        <f>"1552376433421078"</f>
        <v>1552376433421078</v>
      </c>
      <c r="C5502" t="s">
        <v>40</v>
      </c>
      <c r="D5502">
        <v>3.922965</v>
      </c>
      <c r="E5502">
        <v>0.53262129999999996</v>
      </c>
      <c r="F5502" t="s">
        <v>55</v>
      </c>
      <c r="G5502">
        <v>-198.45760000000001</v>
      </c>
      <c r="H5502" s="1">
        <v>-9.7718640000000003E-6</v>
      </c>
      <c r="I5502">
        <v>141.29990000000001</v>
      </c>
      <c r="J5502">
        <v>-192.17590000000001</v>
      </c>
      <c r="K5502">
        <v>1.1098889999999999</v>
      </c>
      <c r="L5502">
        <v>162.523</v>
      </c>
      <c r="M5502">
        <v>-0.10623249999999999</v>
      </c>
      <c r="N5502">
        <v>0</v>
      </c>
      <c r="O5502">
        <v>-0.994251</v>
      </c>
      <c r="P5502">
        <v>-0.19997770000000001</v>
      </c>
      <c r="Q5502">
        <v>-1.7509810000000001E-2</v>
      </c>
      <c r="R5502">
        <v>-0.97964379999999995</v>
      </c>
      <c r="S5502">
        <v>-0.85273739999999998</v>
      </c>
      <c r="T5502">
        <v>-0.15049860000000001</v>
      </c>
      <c r="U5502">
        <v>-2.8858950000000001</v>
      </c>
      <c r="V5502">
        <v>9.4762319999999997E-2</v>
      </c>
      <c r="W5502">
        <v>-4.2510669999999999E-3</v>
      </c>
      <c r="X5502">
        <v>0.99549080000000001</v>
      </c>
      <c r="Y5502">
        <v>0.17952409999999999</v>
      </c>
      <c r="Z5502">
        <v>5.0147890000000001E-2</v>
      </c>
      <c r="AA5502">
        <v>0.98247459999999998</v>
      </c>
      <c r="AB5502">
        <v>11</v>
      </c>
      <c r="AC5502">
        <v>-6.2816999999999998</v>
      </c>
      <c r="AD5502">
        <v>-1.1098987718640001</v>
      </c>
      <c r="AE5502">
        <v>-21.223099999999899</v>
      </c>
      <c r="AF5502">
        <v>3.9813502900118598</v>
      </c>
      <c r="AG5502">
        <v>-1.1098987718640001</v>
      </c>
      <c r="AH5502">
        <v>21.715756720389798</v>
      </c>
      <c r="AI5502">
        <v>92.877971775132096</v>
      </c>
      <c r="AJ5502">
        <v>79.610814872915</v>
      </c>
      <c r="AK5502">
        <v>22.105590138123802</v>
      </c>
      <c r="AL5502">
        <v>90.243568943108997</v>
      </c>
      <c r="AM5502">
        <v>84.562310413334004</v>
      </c>
      <c r="AN5502">
        <v>0.999999950873529</v>
      </c>
    </row>
    <row r="5503" spans="1:40" x14ac:dyDescent="0.25">
      <c r="A5503" t="str">
        <f>"20190312154033441"</f>
        <v>20190312154033441</v>
      </c>
      <c r="B5503" t="str">
        <f>"1552376433431814"</f>
        <v>1552376433431814</v>
      </c>
      <c r="C5503" t="s">
        <v>40</v>
      </c>
      <c r="D5503">
        <v>4.0064190000000002</v>
      </c>
      <c r="E5503">
        <v>0.53199049999999903</v>
      </c>
      <c r="F5503" t="s">
        <v>55</v>
      </c>
      <c r="G5503">
        <v>-198.7114</v>
      </c>
      <c r="H5503" s="1">
        <v>-9.5524390000000002E-6</v>
      </c>
      <c r="I5503">
        <v>140.43979999999999</v>
      </c>
      <c r="J5503">
        <v>-192.18289999999999</v>
      </c>
      <c r="K5503">
        <v>1.10989</v>
      </c>
      <c r="L5503">
        <v>162.46520000000001</v>
      </c>
      <c r="M5503">
        <v>-0.1068746</v>
      </c>
      <c r="N5503">
        <v>0</v>
      </c>
      <c r="O5503">
        <v>-0.99418240000000002</v>
      </c>
      <c r="P5503">
        <v>-0.20147290000000001</v>
      </c>
      <c r="Q5503">
        <v>-1.7884870000000001E-2</v>
      </c>
      <c r="R5503">
        <v>-0.9793309</v>
      </c>
      <c r="S5503">
        <v>-0.85392760000000001</v>
      </c>
      <c r="T5503">
        <v>-0.14502129999999999</v>
      </c>
      <c r="U5503">
        <v>-2.8854220000000002</v>
      </c>
      <c r="V5503">
        <v>9.563924E-2</v>
      </c>
      <c r="W5503">
        <v>-4.6297400000000002E-3</v>
      </c>
      <c r="X5503">
        <v>0.99540530000000005</v>
      </c>
      <c r="Y5503">
        <v>0.17933089999999999</v>
      </c>
      <c r="Z5503">
        <v>4.8327870000000002E-2</v>
      </c>
      <c r="AA5503">
        <v>0.98260099999999995</v>
      </c>
      <c r="AB5503">
        <v>11</v>
      </c>
      <c r="AC5503">
        <v>-6.5285000000000002</v>
      </c>
      <c r="AD5503">
        <v>-1.1098995524390001</v>
      </c>
      <c r="AE5503">
        <v>-22.025400000000001</v>
      </c>
      <c r="AF5503">
        <v>4.1273004600662402</v>
      </c>
      <c r="AG5503">
        <v>-1.1098995524390001</v>
      </c>
      <c r="AH5503">
        <v>22.544396067587201</v>
      </c>
      <c r="AI5503">
        <v>92.772489456893297</v>
      </c>
      <c r="AJ5503">
        <v>79.625499452667199</v>
      </c>
      <c r="AK5503">
        <v>22.945942564131201</v>
      </c>
      <c r="AL5503">
        <v>90.265265508562393</v>
      </c>
      <c r="AM5503">
        <v>84.511827931207407</v>
      </c>
      <c r="AN5503">
        <v>1.00000000499416</v>
      </c>
    </row>
    <row r="5504" spans="1:40" x14ac:dyDescent="0.25">
      <c r="A5504" t="str">
        <f>"20190312154033453"</f>
        <v>20190312154033453</v>
      </c>
      <c r="B5504" t="str">
        <f>"1552376433441575"</f>
        <v>1552376433441575</v>
      </c>
      <c r="C5504" t="s">
        <v>40</v>
      </c>
      <c r="D5504">
        <v>4.0130889999999999</v>
      </c>
      <c r="E5504">
        <v>0.53140489999999996</v>
      </c>
      <c r="F5504" t="s">
        <v>55</v>
      </c>
      <c r="G5504">
        <v>-198.76410000000001</v>
      </c>
      <c r="H5504" s="1">
        <v>-9.4925439999999997E-6</v>
      </c>
      <c r="I5504">
        <v>140.21299999999999</v>
      </c>
      <c r="J5504">
        <v>-192.19</v>
      </c>
      <c r="K5504">
        <v>1.1098889999999999</v>
      </c>
      <c r="L5504">
        <v>162.4059</v>
      </c>
      <c r="M5504">
        <v>-0.10753450000000001</v>
      </c>
      <c r="N5504">
        <v>0</v>
      </c>
      <c r="O5504">
        <v>-0.99411110000000003</v>
      </c>
      <c r="P5504">
        <v>-0.20306460000000001</v>
      </c>
      <c r="Q5504">
        <v>-1.801109E-2</v>
      </c>
      <c r="R5504">
        <v>-0.97899990000000003</v>
      </c>
      <c r="S5504">
        <v>-0.853302</v>
      </c>
      <c r="T5504">
        <v>-0.14390639999999999</v>
      </c>
      <c r="U5504">
        <v>-2.8851469999999999</v>
      </c>
      <c r="V5504">
        <v>9.6596609999999999E-2</v>
      </c>
      <c r="W5504">
        <v>-4.7598409999999999E-3</v>
      </c>
      <c r="X5504">
        <v>0.99531219999999998</v>
      </c>
      <c r="Y5504">
        <v>0.17851239999999999</v>
      </c>
      <c r="Z5504">
        <v>4.7961490000000002E-2</v>
      </c>
      <c r="AA5504">
        <v>0.98276810000000003</v>
      </c>
      <c r="AB5504">
        <v>11</v>
      </c>
      <c r="AC5504">
        <v>-6.5741000000000103</v>
      </c>
      <c r="AD5504">
        <v>-1.1098984925440001</v>
      </c>
      <c r="AE5504">
        <v>-22.192900000000002</v>
      </c>
      <c r="AF5504">
        <v>4.1397368891377502</v>
      </c>
      <c r="AG5504">
        <v>-1.1098984925440001</v>
      </c>
      <c r="AH5504">
        <v>22.718954685980801</v>
      </c>
      <c r="AI5504">
        <v>92.751634777827206</v>
      </c>
      <c r="AJ5504">
        <v>79.673140363245807</v>
      </c>
      <c r="AK5504">
        <v>23.119692865578699</v>
      </c>
      <c r="AL5504">
        <v>90.272719838896606</v>
      </c>
      <c r="AM5504">
        <v>84.4567153177276</v>
      </c>
      <c r="AN5504">
        <v>0.99999996830933802</v>
      </c>
    </row>
    <row r="5505" spans="1:40" x14ac:dyDescent="0.25">
      <c r="A5505" t="str">
        <f>"20190312154033469"</f>
        <v>20190312154033469</v>
      </c>
      <c r="B5505" t="str">
        <f>"1552376433461098"</f>
        <v>1552376433461098</v>
      </c>
      <c r="C5505" t="s">
        <v>40</v>
      </c>
      <c r="D5505">
        <v>4.0324999999999998</v>
      </c>
      <c r="E5505">
        <v>0.53060379999999996</v>
      </c>
      <c r="F5505" t="s">
        <v>55</v>
      </c>
      <c r="G5505">
        <v>-198.85489999999999</v>
      </c>
      <c r="H5505" s="1">
        <v>-9.4071599999999992E-6</v>
      </c>
      <c r="I5505">
        <v>139.88220000000001</v>
      </c>
      <c r="J5505">
        <v>-192.19990000000001</v>
      </c>
      <c r="K5505">
        <v>1.1098840000000001</v>
      </c>
      <c r="L5505">
        <v>162.3245</v>
      </c>
      <c r="M5505">
        <v>-0.1084441</v>
      </c>
      <c r="N5505">
        <v>0</v>
      </c>
      <c r="O5505">
        <v>-0.99401240000000002</v>
      </c>
      <c r="P5505">
        <v>-0.20575550000000001</v>
      </c>
      <c r="Q5505">
        <v>-1.8373239999999999E-2</v>
      </c>
      <c r="R5505">
        <v>-0.9784313</v>
      </c>
      <c r="S5505">
        <v>-0.85359189999999996</v>
      </c>
      <c r="T5505">
        <v>-0.14214860000000001</v>
      </c>
      <c r="U5505">
        <v>-2.8846889999999998</v>
      </c>
      <c r="V5505">
        <v>9.8422170000000003E-2</v>
      </c>
      <c r="W5505">
        <v>-5.1286429999999996E-3</v>
      </c>
      <c r="X5505">
        <v>0.99513160000000001</v>
      </c>
      <c r="Y5505">
        <v>0.17775299999999999</v>
      </c>
      <c r="Z5505">
        <v>4.7379780000000003E-2</v>
      </c>
      <c r="AA5505">
        <v>0.98293390000000003</v>
      </c>
      <c r="AB5505">
        <v>11</v>
      </c>
      <c r="AC5505">
        <v>-6.6549999999999701</v>
      </c>
      <c r="AD5505">
        <v>-1.10989340716</v>
      </c>
      <c r="AE5505">
        <v>-22.4422999999999</v>
      </c>
      <c r="AF5505">
        <v>4.1724120561281897</v>
      </c>
      <c r="AG5505">
        <v>-1.10989340716</v>
      </c>
      <c r="AH5505">
        <v>22.980021509400601</v>
      </c>
      <c r="AI5505">
        <v>92.720719350846494</v>
      </c>
      <c r="AJ5505">
        <v>79.709088914812796</v>
      </c>
      <c r="AK5505">
        <v>23.3820930267992</v>
      </c>
      <c r="AL5505">
        <v>90.293850867947299</v>
      </c>
      <c r="AM5505">
        <v>84.351606590371603</v>
      </c>
      <c r="AN5505">
        <v>1.0000000639225399</v>
      </c>
    </row>
    <row r="5506" spans="1:40" x14ac:dyDescent="0.25">
      <c r="A5506" t="str">
        <f>"20190312154033482"</f>
        <v>20190312154033482</v>
      </c>
      <c r="B5506" t="str">
        <f>"1552376433471829"</f>
        <v>1552376433471829</v>
      </c>
      <c r="C5506" t="s">
        <v>40</v>
      </c>
      <c r="D5506">
        <v>4.0157170000000004</v>
      </c>
      <c r="E5506">
        <v>0.53022829999999999</v>
      </c>
      <c r="F5506" t="s">
        <v>55</v>
      </c>
      <c r="G5506">
        <v>-198.9931</v>
      </c>
      <c r="H5506" s="1">
        <v>-9.2862549999999997E-6</v>
      </c>
      <c r="I5506">
        <v>139.42359999999999</v>
      </c>
      <c r="J5506">
        <v>-192.20760000000001</v>
      </c>
      <c r="K5506">
        <v>1.1098840000000001</v>
      </c>
      <c r="L5506">
        <v>162.26150000000001</v>
      </c>
      <c r="M5506">
        <v>-0.109151</v>
      </c>
      <c r="N5506">
        <v>0</v>
      </c>
      <c r="O5506">
        <v>-0.99393480000000001</v>
      </c>
      <c r="P5506">
        <v>-0.20725589999999999</v>
      </c>
      <c r="Q5506">
        <v>-1.8738020000000001E-2</v>
      </c>
      <c r="R5506">
        <v>-0.97810739999999996</v>
      </c>
      <c r="S5506">
        <v>-0.85537719999999995</v>
      </c>
      <c r="T5506">
        <v>-0.13975479999999901</v>
      </c>
      <c r="U5506">
        <v>-2.8836210000000002</v>
      </c>
      <c r="V5506">
        <v>9.9240930000000005E-2</v>
      </c>
      <c r="W5506">
        <v>-5.4973239999999996E-3</v>
      </c>
      <c r="X5506">
        <v>0.99504820000000005</v>
      </c>
      <c r="Y5506">
        <v>0.1777222</v>
      </c>
      <c r="Z5506">
        <v>4.6590859999999998E-2</v>
      </c>
      <c r="AA5506">
        <v>0.9829772</v>
      </c>
      <c r="AB5506">
        <v>11</v>
      </c>
      <c r="AC5506">
        <v>-6.7854999999999803</v>
      </c>
      <c r="AD5506">
        <v>-1.1098932862549999</v>
      </c>
      <c r="AE5506">
        <v>-22.837900000000001</v>
      </c>
      <c r="AF5506">
        <v>4.2427391415991398</v>
      </c>
      <c r="AG5506">
        <v>-1.1098932862549999</v>
      </c>
      <c r="AH5506">
        <v>23.391368541424001</v>
      </c>
      <c r="AI5506">
        <v>92.673031481425994</v>
      </c>
      <c r="AJ5506">
        <v>79.7194278279988</v>
      </c>
      <c r="AK5506">
        <v>23.798924781831001</v>
      </c>
      <c r="AL5506">
        <v>90.314975065547401</v>
      </c>
      <c r="AM5506">
        <v>84.304451837385201</v>
      </c>
      <c r="AN5506">
        <v>0.99999995154083099</v>
      </c>
    </row>
    <row r="5507" spans="1:40" x14ac:dyDescent="0.25">
      <c r="A5507" t="str">
        <f>"20190312154033494"</f>
        <v>20190312154033494</v>
      </c>
      <c r="B5507" t="str">
        <f>"1552376433481591"</f>
        <v>1552376433481591</v>
      </c>
      <c r="C5507" t="s">
        <v>40</v>
      </c>
      <c r="D5507">
        <v>4.0221019999999896</v>
      </c>
      <c r="E5507">
        <v>0.52992119999999998</v>
      </c>
      <c r="F5507" t="s">
        <v>55</v>
      </c>
      <c r="G5507">
        <v>-199.02189999999999</v>
      </c>
      <c r="H5507" s="1">
        <v>-9.2626520000000006E-6</v>
      </c>
      <c r="I5507">
        <v>139.33690000000001</v>
      </c>
      <c r="J5507">
        <v>-192.2149</v>
      </c>
      <c r="K5507">
        <v>1.109882</v>
      </c>
      <c r="L5507">
        <v>162.202</v>
      </c>
      <c r="M5507">
        <v>-0.1098206</v>
      </c>
      <c r="N5507">
        <v>0</v>
      </c>
      <c r="O5507">
        <v>-0.99386099999999999</v>
      </c>
      <c r="P5507">
        <v>-0.20860860000000001</v>
      </c>
      <c r="Q5507">
        <v>-1.9253570000000001E-2</v>
      </c>
      <c r="R5507">
        <v>-0.97780979999999995</v>
      </c>
      <c r="S5507">
        <v>-0.85693359999999996</v>
      </c>
      <c r="T5507">
        <v>-0.13957549999999999</v>
      </c>
      <c r="U5507">
        <v>-2.8829039999999999</v>
      </c>
      <c r="V5507">
        <v>9.9947229999999998E-2</v>
      </c>
      <c r="W5507">
        <v>-6.0165009999999996E-3</v>
      </c>
      <c r="X5507">
        <v>0.99497460000000004</v>
      </c>
      <c r="Y5507">
        <v>0.17761440000000001</v>
      </c>
      <c r="Z5507">
        <v>4.6534079999999999E-2</v>
      </c>
      <c r="AA5507">
        <v>0.98299930000000002</v>
      </c>
      <c r="AB5507">
        <v>11</v>
      </c>
      <c r="AC5507">
        <v>-6.80699999999998</v>
      </c>
      <c r="AD5507">
        <v>-1.1098912626520001</v>
      </c>
      <c r="AE5507">
        <v>-22.865099999999899</v>
      </c>
      <c r="AF5507">
        <v>4.2453466284457502</v>
      </c>
      <c r="AG5507">
        <v>-1.1098912626520001</v>
      </c>
      <c r="AH5507">
        <v>23.423691797686299</v>
      </c>
      <c r="AI5507">
        <v>92.669408368639495</v>
      </c>
      <c r="AJ5507">
        <v>79.727137113819197</v>
      </c>
      <c r="AK5507">
        <v>23.831159519493799</v>
      </c>
      <c r="AL5507">
        <v>90.344722176951095</v>
      </c>
      <c r="AM5507">
        <v>84.263764367310401</v>
      </c>
      <c r="AN5507">
        <v>1.0000000508570499</v>
      </c>
    </row>
    <row r="5508" spans="1:40" x14ac:dyDescent="0.25">
      <c r="A5508" t="str">
        <f>"20190312154033506"</f>
        <v>20190312154033506</v>
      </c>
      <c r="B5508" t="str">
        <f>"1552376433501110"</f>
        <v>1552376433501110</v>
      </c>
      <c r="C5508" t="s">
        <v>40</v>
      </c>
      <c r="D5508">
        <v>4.0701210000000003</v>
      </c>
      <c r="E5508">
        <v>0.52924150000000003</v>
      </c>
      <c r="F5508" t="s">
        <v>55</v>
      </c>
      <c r="G5508">
        <v>-199.01750000000001</v>
      </c>
      <c r="H5508" s="1">
        <v>-9.2701579999999999E-6</v>
      </c>
      <c r="I5508">
        <v>139.3623</v>
      </c>
      <c r="J5508">
        <v>-192.22229999999999</v>
      </c>
      <c r="K5508">
        <v>1.109877</v>
      </c>
      <c r="L5508">
        <v>162.1429</v>
      </c>
      <c r="M5508">
        <v>-0.11049109999999999</v>
      </c>
      <c r="N5508">
        <v>0</v>
      </c>
      <c r="O5508">
        <v>-0.99378699999999998</v>
      </c>
      <c r="P5508">
        <v>-0.209619</v>
      </c>
      <c r="Q5508">
        <v>-1.921117E-2</v>
      </c>
      <c r="R5508">
        <v>-0.97759470000000004</v>
      </c>
      <c r="S5508">
        <v>-0.858429</v>
      </c>
      <c r="T5508">
        <v>-0.14005989999999999</v>
      </c>
      <c r="U5508">
        <v>-2.8822019999999999</v>
      </c>
      <c r="V5508">
        <v>0.10030409999999999</v>
      </c>
      <c r="W5508">
        <v>-5.9769000000000003E-3</v>
      </c>
      <c r="X5508">
        <v>0.99493889999999996</v>
      </c>
      <c r="Y5508">
        <v>0.17748229999999901</v>
      </c>
      <c r="Z5508">
        <v>4.6698040000000003E-2</v>
      </c>
      <c r="AA5508">
        <v>0.98301539999999998</v>
      </c>
      <c r="AB5508">
        <v>11</v>
      </c>
      <c r="AC5508">
        <v>-6.7952000000000199</v>
      </c>
      <c r="AD5508">
        <v>-1.1098862701579999</v>
      </c>
      <c r="AE5508">
        <v>-22.7806</v>
      </c>
      <c r="AF5508">
        <v>4.2270932415947096</v>
      </c>
      <c r="AG5508">
        <v>-1.1098862701579999</v>
      </c>
      <c r="AH5508">
        <v>23.3410903580134</v>
      </c>
      <c r="AI5508">
        <v>92.678895318677505</v>
      </c>
      <c r="AJ5508">
        <v>79.734938825507896</v>
      </c>
      <c r="AK5508">
        <v>23.746719013513601</v>
      </c>
      <c r="AL5508">
        <v>90.342453174866094</v>
      </c>
      <c r="AM5508">
        <v>84.243214801708106</v>
      </c>
      <c r="AN5508">
        <v>1.00000002527181</v>
      </c>
    </row>
    <row r="5509" spans="1:40" x14ac:dyDescent="0.25">
      <c r="A5509" t="str">
        <f>"20190312154033518"</f>
        <v>20190312154033518</v>
      </c>
      <c r="B5509" t="str">
        <f>"1552376433511846"</f>
        <v>1552376433511846</v>
      </c>
      <c r="C5509" t="s">
        <v>40</v>
      </c>
      <c r="D5509">
        <v>4.0785530000000003</v>
      </c>
      <c r="E5509">
        <v>0.52894619999999903</v>
      </c>
      <c r="F5509" t="s">
        <v>55</v>
      </c>
      <c r="G5509">
        <v>-199.1026</v>
      </c>
      <c r="H5509" s="1">
        <v>-9.1604990000000004E-6</v>
      </c>
      <c r="I5509">
        <v>138.9813</v>
      </c>
      <c r="J5509">
        <v>-192.2304</v>
      </c>
      <c r="K5509">
        <v>1.109874</v>
      </c>
      <c r="L5509">
        <v>162.07749999999999</v>
      </c>
      <c r="M5509">
        <v>-0.1112358</v>
      </c>
      <c r="N5509">
        <v>0</v>
      </c>
      <c r="O5509">
        <v>-0.99370389999999997</v>
      </c>
      <c r="P5509">
        <v>-0.2104413</v>
      </c>
      <c r="Q5509">
        <v>-1.9253739999999998E-2</v>
      </c>
      <c r="R5509">
        <v>-0.97741710000000004</v>
      </c>
      <c r="S5509">
        <v>-0.85624690000000003</v>
      </c>
      <c r="T5509">
        <v>-0.13812349999999901</v>
      </c>
      <c r="U5509">
        <v>-2.882431</v>
      </c>
      <c r="V5509">
        <v>0.1003956</v>
      </c>
      <c r="W5509">
        <v>-6.0219219999999999E-3</v>
      </c>
      <c r="X5509">
        <v>0.99492939999999996</v>
      </c>
      <c r="Y5509">
        <v>0.17604810000000001</v>
      </c>
      <c r="Z5509">
        <v>4.6055440000000003E-2</v>
      </c>
      <c r="AA5509">
        <v>0.98330360000000006</v>
      </c>
      <c r="AB5509">
        <v>11</v>
      </c>
      <c r="AC5509">
        <v>-6.8721999999999897</v>
      </c>
      <c r="AD5509">
        <v>-1.109883160499</v>
      </c>
      <c r="AE5509">
        <v>-23.0961999999999</v>
      </c>
      <c r="AF5509">
        <v>4.2511706762672601</v>
      </c>
      <c r="AG5509">
        <v>-1.109883160499</v>
      </c>
      <c r="AH5509">
        <v>23.667134841894299</v>
      </c>
      <c r="AI5509">
        <v>92.642716467460801</v>
      </c>
      <c r="AJ5509">
        <v>79.816929362070994</v>
      </c>
      <c r="AK5509">
        <v>24.071509391251698</v>
      </c>
      <c r="AL5509">
        <v>90.345032791727107</v>
      </c>
      <c r="AM5509">
        <v>84.237943985052695</v>
      </c>
      <c r="AN5509">
        <v>1.0000000255141399</v>
      </c>
    </row>
    <row r="5510" spans="1:40" x14ac:dyDescent="0.25">
      <c r="A5510" t="str">
        <f>"20190312154033530"</f>
        <v>20190312154033530</v>
      </c>
      <c r="B5510" t="str">
        <f>"1552376433521606"</f>
        <v>1552376433521606</v>
      </c>
      <c r="C5510" t="s">
        <v>40</v>
      </c>
      <c r="D5510">
        <v>4.0661060000000004</v>
      </c>
      <c r="E5510">
        <v>0.52861029999999998</v>
      </c>
      <c r="F5510" t="s">
        <v>55</v>
      </c>
      <c r="G5510">
        <v>-199.15369999999999</v>
      </c>
      <c r="H5510" s="1">
        <v>-9.1030599999999999E-6</v>
      </c>
      <c r="I5510">
        <v>138.7774</v>
      </c>
      <c r="J5510">
        <v>-192.238</v>
      </c>
      <c r="K5510">
        <v>1.1098680000000001</v>
      </c>
      <c r="L5510">
        <v>162.01730000000001</v>
      </c>
      <c r="M5510">
        <v>-0.1119276</v>
      </c>
      <c r="N5510">
        <v>0</v>
      </c>
      <c r="O5510">
        <v>-0.99362609999999996</v>
      </c>
      <c r="P5510">
        <v>-0.21117730000000001</v>
      </c>
      <c r="Q5510">
        <v>-1.9271880000000002E-2</v>
      </c>
      <c r="R5510">
        <v>-0.97725759999999995</v>
      </c>
      <c r="S5510">
        <v>-0.85641480000000003</v>
      </c>
      <c r="T5510">
        <v>-0.137293</v>
      </c>
      <c r="U5510">
        <v>-2.8822329999999998</v>
      </c>
      <c r="V5510">
        <v>0.100452</v>
      </c>
      <c r="W5510">
        <v>-6.0424229999999999E-3</v>
      </c>
      <c r="X5510">
        <v>0.99492349999999996</v>
      </c>
      <c r="Y5510">
        <v>0.17543739999999999</v>
      </c>
      <c r="Z5510">
        <v>4.5778899999999997E-2</v>
      </c>
      <c r="AA5510">
        <v>0.98342569999999996</v>
      </c>
      <c r="AB5510">
        <v>11</v>
      </c>
      <c r="AC5510">
        <v>-6.9156999999999798</v>
      </c>
      <c r="AD5510">
        <v>-1.1098771030600001</v>
      </c>
      <c r="AE5510">
        <v>-23.239899999999999</v>
      </c>
      <c r="AF5510">
        <v>4.2618872346021703</v>
      </c>
      <c r="AG5510">
        <v>-1.1098771030600001</v>
      </c>
      <c r="AH5510">
        <v>23.818065468050701</v>
      </c>
      <c r="AI5510">
        <v>92.626292803295001</v>
      </c>
      <c r="AJ5510">
        <v>79.855138297807201</v>
      </c>
      <c r="AK5510">
        <v>24.221803248823399</v>
      </c>
      <c r="AL5510">
        <v>90.3462074624059</v>
      </c>
      <c r="AM5510">
        <v>84.234694832068399</v>
      </c>
      <c r="AN5510">
        <v>0.99999994301597805</v>
      </c>
    </row>
    <row r="5511" spans="1:40" x14ac:dyDescent="0.25">
      <c r="A5511" t="str">
        <f>"20190312154033543"</f>
        <v>20190312154033543</v>
      </c>
      <c r="B5511" t="str">
        <f>"1552376433531367"</f>
        <v>1552376433531367</v>
      </c>
      <c r="C5511" t="s">
        <v>40</v>
      </c>
      <c r="D5511">
        <v>4.0986919999999998</v>
      </c>
      <c r="E5511">
        <v>0.52828819999999999</v>
      </c>
      <c r="F5511" t="s">
        <v>55</v>
      </c>
      <c r="G5511">
        <v>-199.16980000000001</v>
      </c>
      <c r="H5511" s="1">
        <v>-9.0740899999999994E-6</v>
      </c>
      <c r="I5511">
        <v>138.67490000000001</v>
      </c>
      <c r="J5511">
        <v>-192.24510000000001</v>
      </c>
      <c r="K5511">
        <v>1.109866</v>
      </c>
      <c r="L5511">
        <v>161.9606</v>
      </c>
      <c r="M5511">
        <v>-0.1125833</v>
      </c>
      <c r="N5511">
        <v>0</v>
      </c>
      <c r="O5511">
        <v>-0.99355230000000005</v>
      </c>
      <c r="P5511">
        <v>-0.21210870000000001</v>
      </c>
      <c r="Q5511">
        <v>-1.916443E-2</v>
      </c>
      <c r="R5511">
        <v>-0.97705850000000005</v>
      </c>
      <c r="S5511">
        <v>-0.85589599999999899</v>
      </c>
      <c r="T5511">
        <v>-0.1370392</v>
      </c>
      <c r="U5511">
        <v>-2.8821409999999998</v>
      </c>
      <c r="V5511">
        <v>0.1007436</v>
      </c>
      <c r="W5511">
        <v>-5.9378080000000001E-3</v>
      </c>
      <c r="X5511">
        <v>0.99489470000000002</v>
      </c>
      <c r="Y5511">
        <v>0.1746347</v>
      </c>
      <c r="Z5511">
        <v>4.5695189999999997E-2</v>
      </c>
      <c r="AA5511">
        <v>0.98357240000000001</v>
      </c>
      <c r="AB5511">
        <v>11</v>
      </c>
      <c r="AC5511">
        <v>-6.9246999999999996</v>
      </c>
      <c r="AD5511">
        <v>-1.1098750740899901</v>
      </c>
      <c r="AE5511">
        <v>-23.285699999999899</v>
      </c>
      <c r="AF5511">
        <v>4.2499808569353199</v>
      </c>
      <c r="AG5511">
        <v>-1.1098750740899901</v>
      </c>
      <c r="AH5511">
        <v>23.8674884259284</v>
      </c>
      <c r="AI5511">
        <v>92.621250921647203</v>
      </c>
      <c r="AJ5511">
        <v>79.903411894457903</v>
      </c>
      <c r="AK5511">
        <v>24.268316046364401</v>
      </c>
      <c r="AL5511">
        <v>90.340213338081</v>
      </c>
      <c r="AM5511">
        <v>84.217905836727994</v>
      </c>
      <c r="AN5511">
        <v>0.99999999729644695</v>
      </c>
    </row>
    <row r="5512" spans="1:40" x14ac:dyDescent="0.25">
      <c r="A5512" t="str">
        <f>"20190312154033556"</f>
        <v>20190312154033556</v>
      </c>
      <c r="B5512" t="str">
        <f>"1552376433551861"</f>
        <v>1552376433551861</v>
      </c>
      <c r="C5512" t="s">
        <v>40</v>
      </c>
      <c r="D5512">
        <v>4.1067669999999996</v>
      </c>
      <c r="E5512">
        <v>0.52770499999999998</v>
      </c>
      <c r="F5512" t="s">
        <v>55</v>
      </c>
      <c r="G5512">
        <v>-199.2319</v>
      </c>
      <c r="H5512" s="1">
        <v>-9.0126930000000001E-6</v>
      </c>
      <c r="I5512">
        <v>138.4436</v>
      </c>
      <c r="J5512">
        <v>-192.2544</v>
      </c>
      <c r="K5512">
        <v>1.1098600000000001</v>
      </c>
      <c r="L5512">
        <v>161.887</v>
      </c>
      <c r="M5512">
        <v>-0.1134389</v>
      </c>
      <c r="N5512">
        <v>0</v>
      </c>
      <c r="O5512">
        <v>-0.99345459999999997</v>
      </c>
      <c r="P5512">
        <v>-0.21258750000000001</v>
      </c>
      <c r="Q5512">
        <v>-1.9315349999999998E-2</v>
      </c>
      <c r="R5512">
        <v>-0.97695109999999996</v>
      </c>
      <c r="S5512">
        <v>-0.856201199999999</v>
      </c>
      <c r="T5512">
        <v>-0.13600979999999999</v>
      </c>
      <c r="U5512">
        <v>-2.8818969999999999</v>
      </c>
      <c r="V5512">
        <v>0.10037450000000001</v>
      </c>
      <c r="W5512">
        <v>-6.0907510000000002E-3</v>
      </c>
      <c r="X5512">
        <v>0.99493109999999996</v>
      </c>
      <c r="Y5512">
        <v>0.17390949999999999</v>
      </c>
      <c r="Z5512">
        <v>4.5351959999999997E-2</v>
      </c>
      <c r="AA5512">
        <v>0.98371679999999995</v>
      </c>
      <c r="AB5512">
        <v>11</v>
      </c>
      <c r="AC5512">
        <v>-6.9774999999999903</v>
      </c>
      <c r="AD5512">
        <v>-1.109869012693</v>
      </c>
      <c r="AE5512">
        <v>-23.4434</v>
      </c>
      <c r="AF5512">
        <v>4.2640402939896296</v>
      </c>
      <c r="AG5512">
        <v>-1.109869012693</v>
      </c>
      <c r="AH5512">
        <v>24.034151524380398</v>
      </c>
      <c r="AI5512">
        <v>92.603375995024507</v>
      </c>
      <c r="AJ5512">
        <v>79.939502873101304</v>
      </c>
      <c r="AK5512">
        <v>24.434694357633798</v>
      </c>
      <c r="AL5512">
        <v>90.348976478613594</v>
      </c>
      <c r="AM5512">
        <v>84.2391566191896</v>
      </c>
      <c r="AN5512">
        <v>1.0000000156226001</v>
      </c>
    </row>
    <row r="5513" spans="1:40" x14ac:dyDescent="0.25">
      <c r="A5513" t="str">
        <f>"20190312154033572"</f>
        <v>20190312154033572</v>
      </c>
      <c r="B5513" t="str">
        <f>"1552376433561622"</f>
        <v>1552376433561622</v>
      </c>
      <c r="C5513" t="s">
        <v>40</v>
      </c>
      <c r="D5513">
        <v>4.1258879999999998</v>
      </c>
      <c r="E5513">
        <v>0.52745120000000001</v>
      </c>
      <c r="F5513" t="s">
        <v>55</v>
      </c>
      <c r="G5513">
        <v>-199.21090000000001</v>
      </c>
      <c r="H5513" s="1">
        <v>-8.9898460000000007E-6</v>
      </c>
      <c r="I5513">
        <v>138.37989999999999</v>
      </c>
      <c r="J5513">
        <v>-192.26419999999999</v>
      </c>
      <c r="K5513">
        <v>1.1098440000000001</v>
      </c>
      <c r="L5513">
        <v>161.81139999999999</v>
      </c>
      <c r="M5513">
        <v>-0.11433069999999999</v>
      </c>
      <c r="N5513">
        <v>0</v>
      </c>
      <c r="O5513">
        <v>-0.99335249999999997</v>
      </c>
      <c r="P5513">
        <v>-0.2130117</v>
      </c>
      <c r="Q5513">
        <v>-2.050824E-2</v>
      </c>
      <c r="R5513">
        <v>-0.97683450000000005</v>
      </c>
      <c r="S5513">
        <v>-0.85301209999999905</v>
      </c>
      <c r="T5513">
        <v>-0.13609370000000001</v>
      </c>
      <c r="U5513">
        <v>-2.8824770000000002</v>
      </c>
      <c r="V5513">
        <v>9.991498E-2</v>
      </c>
      <c r="W5513">
        <v>-7.2859140000000001E-3</v>
      </c>
      <c r="X5513">
        <v>0.99496929999999995</v>
      </c>
      <c r="Y5513">
        <v>0.1719704</v>
      </c>
      <c r="Z5513">
        <v>4.5378960000000003E-2</v>
      </c>
      <c r="AA5513">
        <v>0.98405640000000005</v>
      </c>
      <c r="AB5513">
        <v>11</v>
      </c>
      <c r="AC5513">
        <v>-6.9467000000000203</v>
      </c>
      <c r="AD5513">
        <v>-1.1098529898459999</v>
      </c>
      <c r="AE5513">
        <v>-23.4315</v>
      </c>
      <c r="AF5513">
        <v>4.2132716542252604</v>
      </c>
      <c r="AG5513">
        <v>-1.1098529898459999</v>
      </c>
      <c r="AH5513">
        <v>24.022577455751499</v>
      </c>
      <c r="AI5513">
        <v>92.605493541130699</v>
      </c>
      <c r="AJ5513">
        <v>80.052186111126701</v>
      </c>
      <c r="AK5513">
        <v>24.4144969087824</v>
      </c>
      <c r="AL5513">
        <v>90.417455816453995</v>
      </c>
      <c r="AM5513">
        <v>84.265572600217197</v>
      </c>
      <c r="AN5513">
        <v>0.99999999785685301</v>
      </c>
    </row>
    <row r="5514" spans="1:40" x14ac:dyDescent="0.25">
      <c r="A5514" t="str">
        <f>"20190312154033586"</f>
        <v>20190312154033586</v>
      </c>
      <c r="B5514" t="str">
        <f>"1552376433581143"</f>
        <v>1552376433581143</v>
      </c>
      <c r="C5514" t="s">
        <v>40</v>
      </c>
      <c r="D5514">
        <v>4.154299</v>
      </c>
      <c r="E5514">
        <v>0.52692669999999997</v>
      </c>
      <c r="F5514" t="s">
        <v>55</v>
      </c>
      <c r="G5514">
        <v>-199.0445</v>
      </c>
      <c r="H5514" s="1">
        <v>-9.1186930000000005E-6</v>
      </c>
      <c r="I5514">
        <v>138.8767</v>
      </c>
      <c r="J5514">
        <v>-192.2731</v>
      </c>
      <c r="K5514">
        <v>1.109834</v>
      </c>
      <c r="L5514">
        <v>161.7424</v>
      </c>
      <c r="M5514">
        <v>-0.1151529</v>
      </c>
      <c r="N5514">
        <v>0</v>
      </c>
      <c r="O5514">
        <v>-0.99325779999999997</v>
      </c>
      <c r="P5514">
        <v>-0.2137442</v>
      </c>
      <c r="Q5514">
        <v>-2.0571369999999999E-2</v>
      </c>
      <c r="R5514">
        <v>-0.97667340000000002</v>
      </c>
      <c r="S5514">
        <v>-0.85214230000000002</v>
      </c>
      <c r="T5514">
        <v>-0.13948479999999999</v>
      </c>
      <c r="U5514">
        <v>-2.8824010000000002</v>
      </c>
      <c r="V5514">
        <v>9.9837499999999996E-2</v>
      </c>
      <c r="W5514">
        <v>-7.3518339999999998E-3</v>
      </c>
      <c r="X5514">
        <v>0.99497659999999999</v>
      </c>
      <c r="Y5514">
        <v>0.1708742</v>
      </c>
      <c r="Z5514">
        <v>4.6508140000000003E-2</v>
      </c>
      <c r="AA5514">
        <v>0.98419460000000003</v>
      </c>
      <c r="AB5514">
        <v>11</v>
      </c>
      <c r="AC5514">
        <v>-6.7713999999999999</v>
      </c>
      <c r="AD5514">
        <v>-1.109843118693</v>
      </c>
      <c r="AE5514">
        <v>-22.8657</v>
      </c>
      <c r="AF5514">
        <v>4.0842138862549398</v>
      </c>
      <c r="AG5514">
        <v>-1.109843118693</v>
      </c>
      <c r="AH5514">
        <v>23.442605839087399</v>
      </c>
      <c r="AI5514">
        <v>92.670365160583998</v>
      </c>
      <c r="AJ5514">
        <v>80.117020723745796</v>
      </c>
      <c r="AK5514">
        <v>23.821593635682799</v>
      </c>
      <c r="AL5514">
        <v>90.421232852313096</v>
      </c>
      <c r="AM5514">
        <v>84.270031573746394</v>
      </c>
      <c r="AN5514">
        <v>1.0000000052084801</v>
      </c>
    </row>
    <row r="5515" spans="1:40" x14ac:dyDescent="0.25">
      <c r="A5515" t="str">
        <f>"20190312154033600"</f>
        <v>20190312154033600</v>
      </c>
      <c r="B5515" t="str">
        <f>"1552376433591878"</f>
        <v>1552376433591878</v>
      </c>
      <c r="C5515" t="s">
        <v>40</v>
      </c>
      <c r="D5515">
        <v>4.1424099999999999</v>
      </c>
      <c r="E5515">
        <v>0.5266923</v>
      </c>
      <c r="F5515" t="s">
        <v>55</v>
      </c>
      <c r="G5515">
        <v>-199.0384</v>
      </c>
      <c r="H5515" s="1">
        <v>-9.0957880000000007E-6</v>
      </c>
      <c r="I5515">
        <v>138.80779999999999</v>
      </c>
      <c r="J5515">
        <v>-192.28229999999999</v>
      </c>
      <c r="K5515">
        <v>1.109828</v>
      </c>
      <c r="L5515">
        <v>161.6711</v>
      </c>
      <c r="M5515">
        <v>-0.1160118</v>
      </c>
      <c r="N5515">
        <v>0</v>
      </c>
      <c r="O5515">
        <v>-0.99315759999999997</v>
      </c>
      <c r="P5515">
        <v>-0.21438679999999999</v>
      </c>
      <c r="Q5515">
        <v>-2.124765E-2</v>
      </c>
      <c r="R5515">
        <v>-0.97651759999999999</v>
      </c>
      <c r="S5515">
        <v>-0.85032649999999999</v>
      </c>
      <c r="T5515">
        <v>-0.13949510000000001</v>
      </c>
      <c r="U5515">
        <v>-2.8826290000000001</v>
      </c>
      <c r="V5515">
        <v>9.9632579999999998E-2</v>
      </c>
      <c r="W5515">
        <v>-8.0309449999999994E-3</v>
      </c>
      <c r="X5515">
        <v>0.99499190000000004</v>
      </c>
      <c r="Y5515">
        <v>0.16943039999999901</v>
      </c>
      <c r="Z5515">
        <v>4.6510959999999997E-2</v>
      </c>
      <c r="AA5515">
        <v>0.98444399999999999</v>
      </c>
      <c r="AB5515">
        <v>11</v>
      </c>
      <c r="AC5515">
        <v>-6.7561</v>
      </c>
      <c r="AD5515">
        <v>-1.1098370957879999</v>
      </c>
      <c r="AE5515">
        <v>-22.863299999999999</v>
      </c>
      <c r="AF5515">
        <v>4.0490483815965401</v>
      </c>
      <c r="AG5515">
        <v>-1.1098370957879999</v>
      </c>
      <c r="AH5515">
        <v>23.4419514854896</v>
      </c>
      <c r="AI5515">
        <v>92.671096669199997</v>
      </c>
      <c r="AJ5515">
        <v>80.200189223759693</v>
      </c>
      <c r="AK5515">
        <v>23.8149453206121</v>
      </c>
      <c r="AL5515">
        <v>90.460144193866896</v>
      </c>
      <c r="AM5515">
        <v>84.2818018624926</v>
      </c>
      <c r="AN5515">
        <v>1.00000001407032</v>
      </c>
    </row>
    <row r="5516" spans="1:40" x14ac:dyDescent="0.25">
      <c r="A5516" t="str">
        <f>"20190312154033614"</f>
        <v>20190312154033614</v>
      </c>
      <c r="B5516" t="str">
        <f>"1552376433601638"</f>
        <v>1552376433601638</v>
      </c>
      <c r="C5516" t="s">
        <v>40</v>
      </c>
      <c r="D5516">
        <v>4.1904640000000004</v>
      </c>
      <c r="E5516">
        <v>0.52644899999999994</v>
      </c>
      <c r="F5516" t="s">
        <v>55</v>
      </c>
      <c r="G5516">
        <v>-198.96600000000001</v>
      </c>
      <c r="H5516" s="1">
        <v>-9.1529860000000003E-6</v>
      </c>
      <c r="I5516">
        <v>139.01910000000001</v>
      </c>
      <c r="J5516">
        <v>-192.2912</v>
      </c>
      <c r="K5516">
        <v>1.10982</v>
      </c>
      <c r="L5516">
        <v>161.60310000000001</v>
      </c>
      <c r="M5516">
        <v>-0.1168433</v>
      </c>
      <c r="N5516">
        <v>0</v>
      </c>
      <c r="O5516">
        <v>-0.99306030000000001</v>
      </c>
      <c r="P5516">
        <v>-0.2150077</v>
      </c>
      <c r="Q5516">
        <v>-2.1196340000000001E-2</v>
      </c>
      <c r="R5516">
        <v>-0.97638250000000004</v>
      </c>
      <c r="S5516">
        <v>-0.85046390000000005</v>
      </c>
      <c r="T5516">
        <v>-0.14122129999999999</v>
      </c>
      <c r="U5516">
        <v>-2.882355</v>
      </c>
      <c r="V5516">
        <v>9.9432069999999997E-2</v>
      </c>
      <c r="W5516">
        <v>-7.9824200000000005E-3</v>
      </c>
      <c r="X5516">
        <v>0.99501229999999996</v>
      </c>
      <c r="Y5516">
        <v>0.16866619999999999</v>
      </c>
      <c r="Z5516">
        <v>4.7085389999999998E-2</v>
      </c>
      <c r="AA5516">
        <v>0.98454799999999998</v>
      </c>
      <c r="AB5516">
        <v>11</v>
      </c>
      <c r="AC5516">
        <v>-6.6747999999999701</v>
      </c>
      <c r="AD5516">
        <v>-1.109829152986</v>
      </c>
      <c r="AE5516">
        <v>-22.584</v>
      </c>
      <c r="AF5516">
        <v>3.9812046110235002</v>
      </c>
      <c r="AG5516">
        <v>-1.109829152986</v>
      </c>
      <c r="AH5516">
        <v>23.1578229104095</v>
      </c>
      <c r="AI5516">
        <v>92.704167475989806</v>
      </c>
      <c r="AJ5516">
        <v>80.245282951770506</v>
      </c>
      <c r="AK5516">
        <v>23.5237427475634</v>
      </c>
      <c r="AL5516">
        <v>90.457363848903299</v>
      </c>
      <c r="AM5516">
        <v>84.293349898860896</v>
      </c>
      <c r="AN5516">
        <v>0.99999996636241495</v>
      </c>
    </row>
    <row r="5517" spans="1:40" x14ac:dyDescent="0.25">
      <c r="A5517" t="str">
        <f>"20190312154033626"</f>
        <v>20190312154033626</v>
      </c>
      <c r="B5517" t="str">
        <f>"1552376433621159"</f>
        <v>1552376433621159</v>
      </c>
      <c r="C5517" t="s">
        <v>40</v>
      </c>
      <c r="D5517">
        <v>4.1812279999999999</v>
      </c>
      <c r="E5517">
        <v>0.52596140000000002</v>
      </c>
      <c r="F5517" t="s">
        <v>55</v>
      </c>
      <c r="G5517">
        <v>-198.99010000000001</v>
      </c>
      <c r="H5517" s="1">
        <v>-9.1183030000000003E-6</v>
      </c>
      <c r="I5517">
        <v>138.8999</v>
      </c>
      <c r="J5517">
        <v>-192.2988</v>
      </c>
      <c r="K5517">
        <v>1.10981</v>
      </c>
      <c r="L5517">
        <v>161.5462</v>
      </c>
      <c r="M5517">
        <v>-0.1175476</v>
      </c>
      <c r="N5517">
        <v>0</v>
      </c>
      <c r="O5517">
        <v>-0.992977</v>
      </c>
      <c r="P5517">
        <v>-0.21552099999999999</v>
      </c>
      <c r="Q5517">
        <v>-2.1090959999999999E-2</v>
      </c>
      <c r="R5517">
        <v>-0.97627160000000002</v>
      </c>
      <c r="S5517">
        <v>-0.85043329999999995</v>
      </c>
      <c r="T5517">
        <v>-0.14089599999999999</v>
      </c>
      <c r="U5517">
        <v>-2.8822329999999998</v>
      </c>
      <c r="V5517">
        <v>9.9249160000000003E-2</v>
      </c>
      <c r="W5517">
        <v>-7.8792889999999994E-3</v>
      </c>
      <c r="X5517">
        <v>0.99503140000000001</v>
      </c>
      <c r="Y5517">
        <v>0.16797019999999999</v>
      </c>
      <c r="Z5517">
        <v>4.6976080000000003E-2</v>
      </c>
      <c r="AA5517">
        <v>0.98467210000000005</v>
      </c>
      <c r="AB5517">
        <v>11</v>
      </c>
      <c r="AC5517">
        <v>-6.6913000000000098</v>
      </c>
      <c r="AD5517">
        <v>-1.109819118303</v>
      </c>
      <c r="AE5517">
        <v>-22.6463</v>
      </c>
      <c r="AF5517">
        <v>3.9738681821135899</v>
      </c>
      <c r="AG5517">
        <v>-1.109819118303</v>
      </c>
      <c r="AH5517">
        <v>23.224588519821602</v>
      </c>
      <c r="AI5517">
        <v>92.696744157360001</v>
      </c>
      <c r="AJ5517">
        <v>80.290372588398498</v>
      </c>
      <c r="AK5517">
        <v>23.5882351760193</v>
      </c>
      <c r="AL5517">
        <v>90.451454684325498</v>
      </c>
      <c r="AM5517">
        <v>84.303887075758595</v>
      </c>
      <c r="AN5517">
        <v>0.99999998297090498</v>
      </c>
    </row>
    <row r="5518" spans="1:40" x14ac:dyDescent="0.25">
      <c r="A5518" t="str">
        <f>"20190312154033638"</f>
        <v>20190312154033638</v>
      </c>
      <c r="B5518" t="str">
        <f>"1552376433631894"</f>
        <v>1552376433631894</v>
      </c>
      <c r="C5518" t="s">
        <v>40</v>
      </c>
      <c r="D5518">
        <v>4.2303110000000004</v>
      </c>
      <c r="E5518">
        <v>0.52577289999999999</v>
      </c>
      <c r="F5518" t="s">
        <v>55</v>
      </c>
      <c r="G5518">
        <v>-198.98699999999999</v>
      </c>
      <c r="H5518" s="1">
        <v>-9.091011E-6</v>
      </c>
      <c r="I5518">
        <v>138.8159</v>
      </c>
      <c r="J5518">
        <v>-192.30690000000001</v>
      </c>
      <c r="K5518">
        <v>1.1097999999999999</v>
      </c>
      <c r="L5518">
        <v>161.4855</v>
      </c>
      <c r="M5518">
        <v>-0.1183058</v>
      </c>
      <c r="N5518">
        <v>0</v>
      </c>
      <c r="O5518">
        <v>-0.99288719999999997</v>
      </c>
      <c r="P5518">
        <v>-0.2159297</v>
      </c>
      <c r="Q5518">
        <v>-2.1278249999999999E-2</v>
      </c>
      <c r="R5518">
        <v>-0.97617750000000003</v>
      </c>
      <c r="S5518">
        <v>-0.84819029999999995</v>
      </c>
      <c r="T5518">
        <v>-0.14074429999999999</v>
      </c>
      <c r="U5518">
        <v>-2.8825989999999999</v>
      </c>
      <c r="V5518">
        <v>9.890612E-2</v>
      </c>
      <c r="W5518">
        <v>-8.0686839999999996E-3</v>
      </c>
      <c r="X5518">
        <v>0.99506410000000001</v>
      </c>
      <c r="Y5518">
        <v>0.16647899999999999</v>
      </c>
      <c r="Z5518">
        <v>4.6924590000000002E-2</v>
      </c>
      <c r="AA5518">
        <v>0.98492780000000002</v>
      </c>
      <c r="AB5518">
        <v>11</v>
      </c>
      <c r="AC5518">
        <v>-6.6800999999999799</v>
      </c>
      <c r="AD5518">
        <v>-1.1098090910109999</v>
      </c>
      <c r="AE5518">
        <v>-22.669599999999999</v>
      </c>
      <c r="AF5518">
        <v>3.9423002167436101</v>
      </c>
      <c r="AG5518">
        <v>-1.1098090910109999</v>
      </c>
      <c r="AH5518">
        <v>23.2494632431013</v>
      </c>
      <c r="AI5518">
        <v>92.694525018933504</v>
      </c>
      <c r="AJ5518">
        <v>80.376168091313403</v>
      </c>
      <c r="AK5518">
        <v>23.6074341746355</v>
      </c>
      <c r="AL5518">
        <v>90.462306535635307</v>
      </c>
      <c r="AM5518">
        <v>84.323631369319003</v>
      </c>
      <c r="AN5518">
        <v>1.0000000436718699</v>
      </c>
    </row>
    <row r="5519" spans="1:40" x14ac:dyDescent="0.25">
      <c r="A5519" t="str">
        <f>"20190312154033651"</f>
        <v>20190312154033651</v>
      </c>
      <c r="B5519" t="str">
        <f>"1552376433641654"</f>
        <v>1552376433641654</v>
      </c>
      <c r="C5519" t="s">
        <v>40</v>
      </c>
      <c r="D5519">
        <v>4.3233649999999999</v>
      </c>
      <c r="E5519">
        <v>0.52596509999999996</v>
      </c>
      <c r="F5519" t="s">
        <v>55</v>
      </c>
      <c r="G5519">
        <v>-198.9701</v>
      </c>
      <c r="H5519" s="1">
        <v>-9.093913E-6</v>
      </c>
      <c r="I5519">
        <v>138.83260000000001</v>
      </c>
      <c r="J5519">
        <v>-192.31540000000001</v>
      </c>
      <c r="K5519">
        <v>1.1097889999999999</v>
      </c>
      <c r="L5519">
        <v>161.422</v>
      </c>
      <c r="M5519">
        <v>-0.1191125</v>
      </c>
      <c r="N5519">
        <v>0</v>
      </c>
      <c r="O5519">
        <v>-0.99279059999999997</v>
      </c>
      <c r="P5519">
        <v>-0.2163938</v>
      </c>
      <c r="Q5519">
        <v>-2.1582400000000002E-2</v>
      </c>
      <c r="R5519">
        <v>-0.97606769999999998</v>
      </c>
      <c r="S5519">
        <v>-0.8479004</v>
      </c>
      <c r="T5519">
        <v>-0.1412236</v>
      </c>
      <c r="U5519">
        <v>-2.882584</v>
      </c>
      <c r="V5519">
        <v>9.8571190000000003E-2</v>
      </c>
      <c r="W5519">
        <v>-8.3752129999999994E-3</v>
      </c>
      <c r="X5519">
        <v>0.99509479999999995</v>
      </c>
      <c r="Y5519">
        <v>0.16558599999999901</v>
      </c>
      <c r="Z5519">
        <v>4.7081669999999999E-2</v>
      </c>
      <c r="AA5519">
        <v>0.98507089999999997</v>
      </c>
      <c r="AB5519">
        <v>11</v>
      </c>
      <c r="AC5519">
        <v>-6.6546999999999903</v>
      </c>
      <c r="AD5519">
        <v>-1.1097980939130001</v>
      </c>
      <c r="AE5519">
        <v>-22.589399999999898</v>
      </c>
      <c r="AF5519">
        <v>3.90771554447169</v>
      </c>
      <c r="AG5519">
        <v>-1.1097980939130001</v>
      </c>
      <c r="AH5519">
        <v>23.169822227535601</v>
      </c>
      <c r="AI5519">
        <v>92.704150227329805</v>
      </c>
      <c r="AJ5519">
        <v>80.426847487948294</v>
      </c>
      <c r="AK5519">
        <v>23.5232343575742</v>
      </c>
      <c r="AL5519">
        <v>90.479869947232203</v>
      </c>
      <c r="AM5519">
        <v>84.342902000249197</v>
      </c>
      <c r="AN5519">
        <v>1.0000000423389199</v>
      </c>
    </row>
    <row r="5520" spans="1:40" x14ac:dyDescent="0.25">
      <c r="A5520" t="str">
        <f>"20190312154033664"</f>
        <v>20190312154033664</v>
      </c>
      <c r="B5520" t="str">
        <f>"1552376433651414"</f>
        <v>1552376433651414</v>
      </c>
      <c r="C5520" t="s">
        <v>40</v>
      </c>
      <c r="D5520">
        <v>4.5085940000000004</v>
      </c>
      <c r="E5520">
        <v>0.52596509999999996</v>
      </c>
      <c r="F5520" t="s">
        <v>55</v>
      </c>
      <c r="G5520">
        <v>-198.9546</v>
      </c>
      <c r="H5520" s="1">
        <v>-9.1241749999999998E-6</v>
      </c>
      <c r="I5520">
        <v>138.9341</v>
      </c>
      <c r="J5520">
        <v>-192.3237</v>
      </c>
      <c r="K5520">
        <v>1.10978</v>
      </c>
      <c r="L5520">
        <v>161.36019999999999</v>
      </c>
      <c r="M5520">
        <v>-0.119907399999999</v>
      </c>
      <c r="N5520">
        <v>0</v>
      </c>
      <c r="O5520">
        <v>-0.99269490000000005</v>
      </c>
      <c r="P5520">
        <v>-0.2169807</v>
      </c>
      <c r="Q5520">
        <v>-2.2152000000000002E-2</v>
      </c>
      <c r="R5520">
        <v>-0.97592489999999998</v>
      </c>
      <c r="S5520">
        <v>-0.85081479999999998</v>
      </c>
      <c r="T5520">
        <v>-0.14221909999999999</v>
      </c>
      <c r="U5520">
        <v>-2.8817900000000001</v>
      </c>
      <c r="V5520">
        <v>9.8373470000000005E-2</v>
      </c>
      <c r="W5520">
        <v>-8.9474350000000001E-3</v>
      </c>
      <c r="X5520">
        <v>0.99510929999999997</v>
      </c>
      <c r="Y5520">
        <v>0.16578199999999901</v>
      </c>
      <c r="Z5520">
        <v>4.7411000000000002E-2</v>
      </c>
      <c r="AA5520">
        <v>0.98502210000000001</v>
      </c>
      <c r="AB5520">
        <v>11</v>
      </c>
      <c r="AC5520">
        <v>-6.6308999999999898</v>
      </c>
      <c r="AD5520">
        <v>-1.109789124175</v>
      </c>
      <c r="AE5520">
        <v>-22.426099999999899</v>
      </c>
      <c r="AF5520">
        <v>3.8850047320427601</v>
      </c>
      <c r="AG5520">
        <v>-1.109789124175</v>
      </c>
      <c r="AH5520">
        <v>23.007619749732299</v>
      </c>
      <c r="AI5520">
        <v>92.723073684894203</v>
      </c>
      <c r="AJ5520">
        <v>80.415599130704095</v>
      </c>
      <c r="AK5520">
        <v>23.359697348561699</v>
      </c>
      <c r="AL5520">
        <v>90.5126571251391</v>
      </c>
      <c r="AM5520">
        <v>84.354257697844503</v>
      </c>
      <c r="AN5520">
        <v>0.99999995756970395</v>
      </c>
    </row>
    <row r="5521" spans="1:40" x14ac:dyDescent="0.25">
      <c r="A5521" t="str">
        <f>"20190312154033676"</f>
        <v>20190312154033676</v>
      </c>
      <c r="B5521" t="str">
        <f>"1552376433671911"</f>
        <v>1552376433671911</v>
      </c>
      <c r="C5521" t="s">
        <v>40</v>
      </c>
      <c r="D5521">
        <v>4.2361890000000004</v>
      </c>
      <c r="E5521">
        <v>0.57713959999999997</v>
      </c>
      <c r="F5521" t="s">
        <v>55</v>
      </c>
      <c r="G5521">
        <v>-198.89760000000001</v>
      </c>
      <c r="H5521" s="1">
        <v>-9.1830899999999995E-6</v>
      </c>
      <c r="I5521">
        <v>139.14400000000001</v>
      </c>
      <c r="J5521">
        <v>-192.33250000000001</v>
      </c>
      <c r="K5521">
        <v>1.1097680000000001</v>
      </c>
      <c r="L5521">
        <v>161.29580000000001</v>
      </c>
      <c r="M5521">
        <v>-0.1207429</v>
      </c>
      <c r="N5521">
        <v>0</v>
      </c>
      <c r="O5521">
        <v>-0.99259359999999996</v>
      </c>
      <c r="P5521">
        <v>-0.21788950000000001</v>
      </c>
      <c r="Q5521">
        <v>-2.2448920000000001E-2</v>
      </c>
      <c r="R5521">
        <v>-0.9757152</v>
      </c>
      <c r="S5521">
        <v>-0.85255429999999999</v>
      </c>
      <c r="T5521">
        <v>-0.143927799999999</v>
      </c>
      <c r="U5521">
        <v>-2.8812099999999998</v>
      </c>
      <c r="V5521">
        <v>9.8462919999999995E-2</v>
      </c>
      <c r="W5521">
        <v>-9.2477389999999996E-3</v>
      </c>
      <c r="X5521">
        <v>0.99509780000000003</v>
      </c>
      <c r="Y5521">
        <v>0.16554489999999999</v>
      </c>
      <c r="Z5521">
        <v>4.7978159999999999E-2</v>
      </c>
      <c r="AA5521">
        <v>0.98503450000000004</v>
      </c>
      <c r="AB5521">
        <v>11</v>
      </c>
      <c r="AC5521">
        <v>-6.5651000000000002</v>
      </c>
      <c r="AD5521">
        <v>-1.1097771830900001</v>
      </c>
      <c r="AE5521">
        <v>-22.151800000000001</v>
      </c>
      <c r="AF5521">
        <v>3.8333034359135501</v>
      </c>
      <c r="AG5521">
        <v>-1.1097771830900001</v>
      </c>
      <c r="AH5521">
        <v>22.7300209824934</v>
      </c>
      <c r="AI5521">
        <v>92.756345526877098</v>
      </c>
      <c r="AJ5521">
        <v>80.427428999974794</v>
      </c>
      <c r="AK5521">
        <v>23.0776878064611</v>
      </c>
      <c r="AL5521">
        <v>90.529863941117995</v>
      </c>
      <c r="AM5521">
        <v>84.349092409708703</v>
      </c>
      <c r="AN5521">
        <v>1.00000004942818</v>
      </c>
    </row>
    <row r="5522" spans="1:40" x14ac:dyDescent="0.25">
      <c r="A5522" t="str">
        <f>"20190312154033689"</f>
        <v>20190312154033689</v>
      </c>
      <c r="B5522" t="str">
        <f>"1552376433681670"</f>
        <v>1552376433681670</v>
      </c>
      <c r="C5522" t="s">
        <v>40</v>
      </c>
      <c r="D5522">
        <v>4.388852</v>
      </c>
      <c r="E5522">
        <v>0.57713959999999997</v>
      </c>
      <c r="F5522" t="s">
        <v>55</v>
      </c>
      <c r="G5522">
        <v>-200.90860000000001</v>
      </c>
      <c r="H5522" s="1">
        <v>-9.8333109999999996E-6</v>
      </c>
      <c r="I5522">
        <v>142.1996</v>
      </c>
      <c r="J5522">
        <v>-192.34059999999999</v>
      </c>
      <c r="K5522">
        <v>1.1097570000000001</v>
      </c>
      <c r="L5522">
        <v>161.23670000000001</v>
      </c>
      <c r="M5522">
        <v>-0.12152739999999999</v>
      </c>
      <c r="N5522">
        <v>0</v>
      </c>
      <c r="O5522">
        <v>-0.99249790000000004</v>
      </c>
      <c r="P5522">
        <v>-0.21888769999999999</v>
      </c>
      <c r="Q5522">
        <v>-2.3056449999999999E-2</v>
      </c>
      <c r="R5522">
        <v>-0.97547759999999994</v>
      </c>
      <c r="S5522">
        <v>-1.2534479999999999</v>
      </c>
      <c r="T5522">
        <v>-0.16220019999999999</v>
      </c>
      <c r="U5522">
        <v>-2.7910159999999999</v>
      </c>
      <c r="V5522">
        <v>9.8695279999999996E-2</v>
      </c>
      <c r="W5522">
        <v>-9.8587420000000002E-3</v>
      </c>
      <c r="X5522">
        <v>0.99506879999999998</v>
      </c>
      <c r="Y5522">
        <v>0.29518719999999998</v>
      </c>
      <c r="Z5522">
        <v>5.3520060000000001E-2</v>
      </c>
      <c r="AA5522">
        <v>0.95393930000000005</v>
      </c>
      <c r="AB5522">
        <v>11</v>
      </c>
      <c r="AC5522">
        <v>-8.5680000000000103</v>
      </c>
      <c r="AD5522">
        <v>-1.10976683331099</v>
      </c>
      <c r="AE5522">
        <v>-19.037099999999999</v>
      </c>
      <c r="AF5522">
        <v>6.17330182389985</v>
      </c>
      <c r="AG5522">
        <v>-1.10976683331099</v>
      </c>
      <c r="AH5522">
        <v>19.881131302898901</v>
      </c>
      <c r="AI5522">
        <v>93.051508160174606</v>
      </c>
      <c r="AJ5522">
        <v>72.749877864187695</v>
      </c>
      <c r="AK5522">
        <v>20.8470770065347</v>
      </c>
      <c r="AL5522">
        <v>90.564873495388596</v>
      </c>
      <c r="AM5522">
        <v>84.335679597102299</v>
      </c>
      <c r="AN5522">
        <v>0.999999934910768</v>
      </c>
    </row>
    <row r="5523" spans="1:40" x14ac:dyDescent="0.25">
      <c r="A5523" t="str">
        <f>"20190312154033705"</f>
        <v>20190312154033705</v>
      </c>
      <c r="B5523" t="str">
        <f>"1552376433691431"</f>
        <v>1552376433691431</v>
      </c>
      <c r="C5523" t="s">
        <v>40</v>
      </c>
      <c r="D5523">
        <v>4.2682209999999996</v>
      </c>
      <c r="E5523">
        <v>0.60433349999999997</v>
      </c>
      <c r="F5523" t="s">
        <v>55</v>
      </c>
      <c r="G5523">
        <v>-200.83920000000001</v>
      </c>
      <c r="H5523" s="1">
        <v>-9.9128809999999993E-6</v>
      </c>
      <c r="I5523">
        <v>142.3638</v>
      </c>
      <c r="J5523">
        <v>-192.351</v>
      </c>
      <c r="K5523">
        <v>1.1097429999999999</v>
      </c>
      <c r="L5523">
        <v>161.1617</v>
      </c>
      <c r="M5523">
        <v>-0.1225325</v>
      </c>
      <c r="N5523">
        <v>0</v>
      </c>
      <c r="O5523">
        <v>-0.99237439999999999</v>
      </c>
      <c r="P5523">
        <v>-0.22064210000000001</v>
      </c>
      <c r="Q5523">
        <v>-2.3980310000000001E-2</v>
      </c>
      <c r="R5523">
        <v>-0.97506020000000004</v>
      </c>
      <c r="S5523">
        <v>-1.25621</v>
      </c>
      <c r="T5523">
        <v>-0.16403760000000001</v>
      </c>
      <c r="U5523">
        <v>-2.7896580000000002</v>
      </c>
      <c r="V5523">
        <v>9.9478759999999999E-2</v>
      </c>
      <c r="W5523">
        <v>-1.0788280000000001E-2</v>
      </c>
      <c r="X5523">
        <v>0.99498120000000001</v>
      </c>
      <c r="Y5523">
        <v>0.29516530000000002</v>
      </c>
      <c r="Z5523">
        <v>5.4127969999999997E-2</v>
      </c>
      <c r="AA5523">
        <v>0.95391179999999998</v>
      </c>
      <c r="AB5523">
        <v>11</v>
      </c>
      <c r="AC5523">
        <v>-8.4882000000000009</v>
      </c>
      <c r="AD5523">
        <v>-1.109752912881</v>
      </c>
      <c r="AE5523">
        <v>-18.797899999999998</v>
      </c>
      <c r="AF5523">
        <v>6.1029980190570896</v>
      </c>
      <c r="AG5523">
        <v>-1.109752912881</v>
      </c>
      <c r="AH5523">
        <v>19.6395404874186</v>
      </c>
      <c r="AI5523">
        <v>93.0887250157636</v>
      </c>
      <c r="AJ5523">
        <v>72.737339061323297</v>
      </c>
      <c r="AK5523">
        <v>20.595865772169301</v>
      </c>
      <c r="AL5523">
        <v>90.618134903376898</v>
      </c>
      <c r="AM5523">
        <v>84.290510668050104</v>
      </c>
      <c r="AN5523">
        <v>0.99999999951496799</v>
      </c>
    </row>
    <row r="5524" spans="1:40" x14ac:dyDescent="0.25">
      <c r="A5524" t="str">
        <f>"20190312154033715"</f>
        <v>20190312154033715</v>
      </c>
      <c r="B5524" t="str">
        <f>"1552376433711926"</f>
        <v>1552376433711926</v>
      </c>
      <c r="C5524" t="s">
        <v>40</v>
      </c>
      <c r="D5524">
        <v>4.2284290000000002</v>
      </c>
      <c r="E5524">
        <v>0.60479839999999996</v>
      </c>
      <c r="F5524" t="s">
        <v>55</v>
      </c>
      <c r="G5524">
        <v>-195.68369999999999</v>
      </c>
      <c r="H5524" s="1">
        <v>-1.3492730000000001E-5</v>
      </c>
      <c r="I5524">
        <v>154.97149999999999</v>
      </c>
      <c r="J5524">
        <v>-192.3587</v>
      </c>
      <c r="K5524">
        <v>1.109734</v>
      </c>
      <c r="L5524">
        <v>161.10659999999999</v>
      </c>
      <c r="M5524">
        <v>-0.123279399999999</v>
      </c>
      <c r="N5524">
        <v>0</v>
      </c>
      <c r="O5524">
        <v>-0.99228190000000005</v>
      </c>
      <c r="P5524">
        <v>-0.22178980000000001</v>
      </c>
      <c r="Q5524">
        <v>-2.463065E-2</v>
      </c>
      <c r="R5524">
        <v>-0.97478339999999997</v>
      </c>
      <c r="S5524">
        <v>-1.470825</v>
      </c>
      <c r="T5524">
        <v>-0.48975970000000002</v>
      </c>
      <c r="U5524">
        <v>-2.7318570000000002</v>
      </c>
      <c r="V5524">
        <v>9.9902099999999994E-2</v>
      </c>
      <c r="W5524">
        <v>-1.14423999999999E-2</v>
      </c>
      <c r="X5524">
        <v>0.99493149999999997</v>
      </c>
      <c r="Y5524">
        <v>0.35590830000000001</v>
      </c>
      <c r="Z5524">
        <v>0.1583099</v>
      </c>
      <c r="AA5524">
        <v>0.92101420000000001</v>
      </c>
      <c r="AB5524">
        <v>11</v>
      </c>
      <c r="AC5524">
        <v>-3.3249999999999802</v>
      </c>
      <c r="AD5524">
        <v>-1.10974749273</v>
      </c>
      <c r="AE5524">
        <v>-6.1350999999999898</v>
      </c>
      <c r="AF5524">
        <v>2.4804993546118399</v>
      </c>
      <c r="AG5524">
        <v>-1.10974749273</v>
      </c>
      <c r="AH5524">
        <v>6.3379418387731699</v>
      </c>
      <c r="AI5524">
        <v>99.260751459379406</v>
      </c>
      <c r="AJ5524">
        <v>68.625966305039896</v>
      </c>
      <c r="AK5524">
        <v>6.8959352735884698</v>
      </c>
      <c r="AL5524">
        <v>90.655615518824803</v>
      </c>
      <c r="AM5524">
        <v>84.266090511081799</v>
      </c>
      <c r="AN5524">
        <v>1.0000000238972</v>
      </c>
    </row>
    <row r="5525" spans="1:40" x14ac:dyDescent="0.25">
      <c r="A5525" t="str">
        <f>"20190312154033727"</f>
        <v>20190312154033727</v>
      </c>
      <c r="B5525" t="str">
        <f>"1552376433721687"</f>
        <v>1552376433721687</v>
      </c>
      <c r="C5525" t="s">
        <v>40</v>
      </c>
      <c r="D5525">
        <v>4.2255229999999999</v>
      </c>
      <c r="E5525">
        <v>0.60538159999999996</v>
      </c>
      <c r="F5525" t="s">
        <v>55</v>
      </c>
      <c r="G5525">
        <v>-195.8854</v>
      </c>
      <c r="H5525" s="1">
        <v>-1.335256E-5</v>
      </c>
      <c r="I5525">
        <v>154.59370000000001</v>
      </c>
      <c r="J5525">
        <v>-192.3664</v>
      </c>
      <c r="K5525">
        <v>1.109728</v>
      </c>
      <c r="L5525">
        <v>161.0515</v>
      </c>
      <c r="M5525">
        <v>-0.1240378</v>
      </c>
      <c r="N5525">
        <v>0</v>
      </c>
      <c r="O5525">
        <v>-0.99218729999999999</v>
      </c>
      <c r="P5525">
        <v>-0.2231823</v>
      </c>
      <c r="Q5525">
        <v>-2.4886040000000002E-2</v>
      </c>
      <c r="R5525">
        <v>-0.97445910000000002</v>
      </c>
      <c r="S5525">
        <v>-1.478073</v>
      </c>
      <c r="T5525">
        <v>-0.46509440000000002</v>
      </c>
      <c r="U5525">
        <v>-2.7295379999999998</v>
      </c>
      <c r="V5525">
        <v>0.10056329999999999</v>
      </c>
      <c r="W5525">
        <v>-1.170188E-2</v>
      </c>
      <c r="X5525">
        <v>0.99486180000000002</v>
      </c>
      <c r="Y5525">
        <v>0.35799779999999998</v>
      </c>
      <c r="Z5525">
        <v>0.15047489999999999</v>
      </c>
      <c r="AA5525">
        <v>0.9215177</v>
      </c>
      <c r="AB5525">
        <v>11</v>
      </c>
      <c r="AC5525">
        <v>-3.5190000000000001</v>
      </c>
      <c r="AD5525">
        <v>-1.1097413525599999</v>
      </c>
      <c r="AE5525">
        <v>-6.45779999999999</v>
      </c>
      <c r="AF5525">
        <v>2.6308337333312002</v>
      </c>
      <c r="AG5525">
        <v>-1.1097413525599999</v>
      </c>
      <c r="AH5525">
        <v>6.6920732677523898</v>
      </c>
      <c r="AI5525">
        <v>98.7733329959012</v>
      </c>
      <c r="AJ5525">
        <v>68.538877555470407</v>
      </c>
      <c r="AK5525">
        <v>7.2757581476421596</v>
      </c>
      <c r="AL5525">
        <v>90.670483668330803</v>
      </c>
      <c r="AM5525">
        <v>84.227994490135799</v>
      </c>
      <c r="AN5525">
        <v>0.99999995620083104</v>
      </c>
    </row>
    <row r="5526" spans="1:40" x14ac:dyDescent="0.25">
      <c r="A5526" t="str">
        <f>"20190312154033739"</f>
        <v>20190312154033739</v>
      </c>
      <c r="B5526" t="str">
        <f>"1552376433731447"</f>
        <v>1552376433731447</v>
      </c>
      <c r="C5526" t="s">
        <v>40</v>
      </c>
      <c r="D5526">
        <v>4.2309239999999999</v>
      </c>
      <c r="E5526">
        <v>0.60560019999999903</v>
      </c>
      <c r="F5526" t="s">
        <v>55</v>
      </c>
      <c r="G5526">
        <v>-195.9238</v>
      </c>
      <c r="H5526" s="1">
        <v>-1.333924E-5</v>
      </c>
      <c r="I5526">
        <v>154.52719999999999</v>
      </c>
      <c r="J5526">
        <v>-192.37459999999999</v>
      </c>
      <c r="K5526">
        <v>1.10972</v>
      </c>
      <c r="L5526">
        <v>160.99340000000001</v>
      </c>
      <c r="M5526">
        <v>-0.1248425</v>
      </c>
      <c r="N5526">
        <v>0</v>
      </c>
      <c r="O5526">
        <v>-0.99208649999999998</v>
      </c>
      <c r="P5526">
        <v>-0.2243571</v>
      </c>
      <c r="Q5526">
        <v>-2.4906339999999999E-2</v>
      </c>
      <c r="R5526">
        <v>-0.97418890000000002</v>
      </c>
      <c r="S5526">
        <v>-1.486542</v>
      </c>
      <c r="T5526">
        <v>-0.46372730000000001</v>
      </c>
      <c r="U5526">
        <v>-2.7263030000000001</v>
      </c>
      <c r="V5526">
        <v>0.1009558</v>
      </c>
      <c r="W5526">
        <v>-1.1725579999999999E-2</v>
      </c>
      <c r="X5526">
        <v>0.99482179999999998</v>
      </c>
      <c r="Y5526">
        <v>0.3599425</v>
      </c>
      <c r="Z5526">
        <v>0.1500127</v>
      </c>
      <c r="AA5526">
        <v>0.92083530000000002</v>
      </c>
      <c r="AB5526">
        <v>11</v>
      </c>
      <c r="AC5526">
        <v>-3.5492000000000101</v>
      </c>
      <c r="AD5526">
        <v>-1.1097333392399999</v>
      </c>
      <c r="AE5526">
        <v>-6.4662000000000104</v>
      </c>
      <c r="AF5526">
        <v>2.6540269352457999</v>
      </c>
      <c r="AG5526">
        <v>-1.1097333392399999</v>
      </c>
      <c r="AH5526">
        <v>6.7069260687549903</v>
      </c>
      <c r="AI5526">
        <v>98.746534675257607</v>
      </c>
      <c r="AJ5526">
        <v>68.410583236718793</v>
      </c>
      <c r="AK5526">
        <v>7.2978232610125797</v>
      </c>
      <c r="AL5526">
        <v>90.67184164999</v>
      </c>
      <c r="AM5526">
        <v>84.205387869728597</v>
      </c>
      <c r="AN5526">
        <v>0.99999998826760805</v>
      </c>
    </row>
    <row r="5527" spans="1:40" x14ac:dyDescent="0.25">
      <c r="A5527" t="str">
        <f>"20190312154033750"</f>
        <v>20190312154033750</v>
      </c>
      <c r="B5527" t="str">
        <f>"1552376433741207"</f>
        <v>1552376433741207</v>
      </c>
      <c r="C5527" t="s">
        <v>40</v>
      </c>
      <c r="D5527">
        <v>4.2077210000000003</v>
      </c>
      <c r="E5527">
        <v>0.60587429999999998</v>
      </c>
      <c r="F5527" t="s">
        <v>55</v>
      </c>
      <c r="G5527">
        <v>-195.98599999999999</v>
      </c>
      <c r="H5527" s="1">
        <v>-1.331196E-5</v>
      </c>
      <c r="I5527">
        <v>154.39689999999999</v>
      </c>
      <c r="J5527">
        <v>-192.38300000000001</v>
      </c>
      <c r="K5527">
        <v>1.1097170000000001</v>
      </c>
      <c r="L5527">
        <v>160.93459999999999</v>
      </c>
      <c r="M5527">
        <v>-0.12566910000000001</v>
      </c>
      <c r="N5527">
        <v>0</v>
      </c>
      <c r="O5527">
        <v>-0.99198209999999998</v>
      </c>
      <c r="P5527">
        <v>-0.22560069999999999</v>
      </c>
      <c r="Q5527">
        <v>-2.4878819999999999E-2</v>
      </c>
      <c r="R5527">
        <v>-0.97390200000000005</v>
      </c>
      <c r="S5527">
        <v>-1.4914700000000001</v>
      </c>
      <c r="T5527">
        <v>-0.45830710000000002</v>
      </c>
      <c r="U5527">
        <v>-2.7242890000000002</v>
      </c>
      <c r="V5527">
        <v>0.10139670000000001</v>
      </c>
      <c r="W5527">
        <v>-1.170126E-2</v>
      </c>
      <c r="X5527">
        <v>0.99477729999999998</v>
      </c>
      <c r="Y5527">
        <v>0.36086049999999997</v>
      </c>
      <c r="Z5527">
        <v>0.14828520000000001</v>
      </c>
      <c r="AA5527">
        <v>0.92075580000000001</v>
      </c>
      <c r="AB5527">
        <v>11</v>
      </c>
      <c r="AC5527">
        <v>-3.6030000000000002</v>
      </c>
      <c r="AD5527">
        <v>-1.1097303119599999</v>
      </c>
      <c r="AE5527">
        <v>-6.5377000000000001</v>
      </c>
      <c r="AF5527">
        <v>2.69324894955168</v>
      </c>
      <c r="AG5527">
        <v>-1.1097303119599999</v>
      </c>
      <c r="AH5527">
        <v>6.7886557058805597</v>
      </c>
      <c r="AI5527">
        <v>98.639856174880194</v>
      </c>
      <c r="AJ5527">
        <v>68.360392454910993</v>
      </c>
      <c r="AK5527">
        <v>7.3872144657190502</v>
      </c>
      <c r="AL5527">
        <v>90.670448084031094</v>
      </c>
      <c r="AM5527">
        <v>84.179996083647893</v>
      </c>
      <c r="AN5527">
        <v>1.00000004342588</v>
      </c>
    </row>
    <row r="5528" spans="1:40" x14ac:dyDescent="0.25">
      <c r="A5528" t="str">
        <f>"20190312154033764"</f>
        <v>20190312154033764</v>
      </c>
      <c r="B5528" t="str">
        <f>"1552376433751942"</f>
        <v>1552376433751942</v>
      </c>
      <c r="C5528" t="s">
        <v>40</v>
      </c>
      <c r="D5528">
        <v>4.1901679999999999</v>
      </c>
      <c r="E5528">
        <v>0.60622739999999997</v>
      </c>
      <c r="F5528" t="s">
        <v>55</v>
      </c>
      <c r="G5528">
        <v>-196.0282</v>
      </c>
      <c r="H5528" s="1">
        <v>-1.3293309999999999E-5</v>
      </c>
      <c r="I5528">
        <v>154.30789999999999</v>
      </c>
      <c r="J5528">
        <v>-192.39230000000001</v>
      </c>
      <c r="K5528">
        <v>1.1097159999999999</v>
      </c>
      <c r="L5528">
        <v>160.86949999999999</v>
      </c>
      <c r="M5528">
        <v>-0.12658949999999999</v>
      </c>
      <c r="N5528">
        <v>0</v>
      </c>
      <c r="O5528">
        <v>-0.99186529999999995</v>
      </c>
      <c r="P5528">
        <v>-0.22657479999999999</v>
      </c>
      <c r="Q5528">
        <v>-2.4777649999999998E-2</v>
      </c>
      <c r="R5528">
        <v>-0.97367890000000001</v>
      </c>
      <c r="S5528">
        <v>-1.497269</v>
      </c>
      <c r="T5528">
        <v>-0.45581630000000001</v>
      </c>
      <c r="U5528">
        <v>-2.7218930000000001</v>
      </c>
      <c r="V5528">
        <v>0.1014684</v>
      </c>
      <c r="W5528">
        <v>-1.160227E-2</v>
      </c>
      <c r="X5528">
        <v>0.99477110000000002</v>
      </c>
      <c r="Y5528">
        <v>0.36190309999999998</v>
      </c>
      <c r="Z5528">
        <v>0.147483</v>
      </c>
      <c r="AA5528">
        <v>0.92047540000000005</v>
      </c>
      <c r="AB5528">
        <v>11</v>
      </c>
      <c r="AC5528">
        <v>-3.6358999999999901</v>
      </c>
      <c r="AD5528">
        <v>-1.10972929331</v>
      </c>
      <c r="AE5528">
        <v>-6.5615999999999897</v>
      </c>
      <c r="AF5528">
        <v>2.7164935938492798</v>
      </c>
      <c r="AG5528">
        <v>-1.10972929331</v>
      </c>
      <c r="AH5528">
        <v>6.81986666349367</v>
      </c>
      <c r="AI5528">
        <v>98.596269893333599</v>
      </c>
      <c r="AJ5528">
        <v>68.281587438037903</v>
      </c>
      <c r="AK5528">
        <v>7.4243799645281401</v>
      </c>
      <c r="AL5528">
        <v>90.664776022122396</v>
      </c>
      <c r="AM5528">
        <v>84.175872852491395</v>
      </c>
      <c r="AN5528">
        <v>0.99999999513146098</v>
      </c>
    </row>
    <row r="5529" spans="1:40" x14ac:dyDescent="0.25">
      <c r="A5529" t="str">
        <f>"20190312154033778"</f>
        <v>20190312154033778</v>
      </c>
      <c r="B5529" t="str">
        <f>"1552376433771463"</f>
        <v>1552376433771463</v>
      </c>
      <c r="C5529" t="s">
        <v>40</v>
      </c>
      <c r="D5529">
        <v>4.1623640000000002</v>
      </c>
      <c r="E5529">
        <v>0.60653599999999996</v>
      </c>
      <c r="F5529" t="s">
        <v>55</v>
      </c>
      <c r="G5529">
        <v>-196.05250000000001</v>
      </c>
      <c r="H5529" s="1">
        <v>-1.3279480000000001E-5</v>
      </c>
      <c r="I5529">
        <v>154.24440000000001</v>
      </c>
      <c r="J5529">
        <v>-192.4016</v>
      </c>
      <c r="K5529">
        <v>1.1097189999999999</v>
      </c>
      <c r="L5529">
        <v>160.80520000000001</v>
      </c>
      <c r="M5529">
        <v>-0.12750539999999999</v>
      </c>
      <c r="N5529">
        <v>0</v>
      </c>
      <c r="O5529">
        <v>-0.99174799999999996</v>
      </c>
      <c r="P5529">
        <v>-0.22776189999999999</v>
      </c>
      <c r="Q5529">
        <v>-2.458084E-2</v>
      </c>
      <c r="R5529">
        <v>-0.97340700000000002</v>
      </c>
      <c r="S5529">
        <v>-1.5026250000000001</v>
      </c>
      <c r="T5529">
        <v>-0.45558179999999998</v>
      </c>
      <c r="U5529">
        <v>-2.719849</v>
      </c>
      <c r="V5529">
        <v>0.1017623</v>
      </c>
      <c r="W5529">
        <v>-1.140793E-2</v>
      </c>
      <c r="X5529">
        <v>0.9947433</v>
      </c>
      <c r="Y5529">
        <v>0.36273270000000002</v>
      </c>
      <c r="Z5529">
        <v>0.14738850000000001</v>
      </c>
      <c r="AA5529">
        <v>0.92016390000000003</v>
      </c>
      <c r="AB5529">
        <v>11</v>
      </c>
      <c r="AC5529">
        <v>-3.6509</v>
      </c>
      <c r="AD5529">
        <v>-1.10973227948</v>
      </c>
      <c r="AE5529">
        <v>-6.5608000000000004</v>
      </c>
      <c r="AF5529">
        <v>2.7249552751668298</v>
      </c>
      <c r="AG5529">
        <v>-1.10973227948</v>
      </c>
      <c r="AH5529">
        <v>6.8237229859869197</v>
      </c>
      <c r="AI5529">
        <v>98.588551956361201</v>
      </c>
      <c r="AJ5529">
        <v>68.231416403018301</v>
      </c>
      <c r="AK5529">
        <v>7.4310216237921001</v>
      </c>
      <c r="AL5529">
        <v>90.653640439844196</v>
      </c>
      <c r="AM5529">
        <v>84.158957812373899</v>
      </c>
      <c r="AN5529">
        <v>0.99999996973153205</v>
      </c>
    </row>
    <row r="5530" spans="1:40" x14ac:dyDescent="0.25">
      <c r="A5530" t="str">
        <f>"20190312154033793"</f>
        <v>20190312154033793</v>
      </c>
      <c r="B5530" t="str">
        <f>"1552376433781223"</f>
        <v>1552376433781223</v>
      </c>
      <c r="C5530" t="s">
        <v>40</v>
      </c>
      <c r="D5530">
        <v>4.1514170000000004</v>
      </c>
      <c r="E5530">
        <v>0.60652950000000005</v>
      </c>
      <c r="F5530" t="s">
        <v>55</v>
      </c>
      <c r="G5530">
        <v>-196.12549999999999</v>
      </c>
      <c r="H5530" s="1">
        <v>-1.324837E-5</v>
      </c>
      <c r="I5530">
        <v>154.095</v>
      </c>
      <c r="J5530">
        <v>-192.41329999999999</v>
      </c>
      <c r="K5530">
        <v>1.1097239999999999</v>
      </c>
      <c r="L5530">
        <v>160.72489999999999</v>
      </c>
      <c r="M5530">
        <v>-0.1286571</v>
      </c>
      <c r="N5530">
        <v>0</v>
      </c>
      <c r="O5530">
        <v>-0.99159909999999996</v>
      </c>
      <c r="P5530">
        <v>-0.23021939999999999</v>
      </c>
      <c r="Q5530">
        <v>-2.4410910000000001E-2</v>
      </c>
      <c r="R5530">
        <v>-0.9728329</v>
      </c>
      <c r="S5530">
        <v>-1.50824</v>
      </c>
      <c r="T5530">
        <v>-0.44945550000000001</v>
      </c>
      <c r="U5530">
        <v>-2.7177120000000001</v>
      </c>
      <c r="V5530">
        <v>0.1031184</v>
      </c>
      <c r="W5530">
        <v>-1.1242820000000001E-2</v>
      </c>
      <c r="X5530">
        <v>0.99460550000000003</v>
      </c>
      <c r="Y5530">
        <v>0.3635544</v>
      </c>
      <c r="Z5530">
        <v>0.1454261</v>
      </c>
      <c r="AA5530">
        <v>0.92015190000000002</v>
      </c>
      <c r="AB5530">
        <v>11</v>
      </c>
      <c r="AC5530">
        <v>-3.71219999999999</v>
      </c>
      <c r="AD5530">
        <v>-1.1097372483700001</v>
      </c>
      <c r="AE5530">
        <v>-6.6298999999999904</v>
      </c>
      <c r="AF5530">
        <v>2.76921527711306</v>
      </c>
      <c r="AG5530">
        <v>-1.1097372483700001</v>
      </c>
      <c r="AH5530">
        <v>6.9051457888451697</v>
      </c>
      <c r="AI5530">
        <v>98.483894061541406</v>
      </c>
      <c r="AJ5530">
        <v>68.147414651172795</v>
      </c>
      <c r="AK5530">
        <v>7.5220415032504597</v>
      </c>
      <c r="AL5530">
        <v>90.644179737399497</v>
      </c>
      <c r="AM5530">
        <v>84.080853946586004</v>
      </c>
      <c r="AN5530">
        <v>0.99999995302517997</v>
      </c>
    </row>
    <row r="5531" spans="1:40" x14ac:dyDescent="0.25">
      <c r="A5531" t="str">
        <f>"20190312154033807"</f>
        <v>20190312154033807</v>
      </c>
      <c r="B5531" t="str">
        <f>"1552376433801718"</f>
        <v>1552376433801718</v>
      </c>
      <c r="C5531" t="s">
        <v>40</v>
      </c>
      <c r="D5531">
        <v>4.1435019999999998</v>
      </c>
      <c r="E5531">
        <v>0.60668059999999902</v>
      </c>
      <c r="F5531" t="s">
        <v>55</v>
      </c>
      <c r="G5531">
        <v>-196.16470000000001</v>
      </c>
      <c r="H5531" s="1">
        <v>-1.322932E-5</v>
      </c>
      <c r="I5531">
        <v>154.00540000000001</v>
      </c>
      <c r="J5531">
        <v>-192.42269999999999</v>
      </c>
      <c r="K5531">
        <v>1.109728</v>
      </c>
      <c r="L5531">
        <v>160.66120000000001</v>
      </c>
      <c r="M5531">
        <v>-0.12957370000000001</v>
      </c>
      <c r="N5531">
        <v>0</v>
      </c>
      <c r="O5531">
        <v>-0.99147969999999996</v>
      </c>
      <c r="P5531">
        <v>-0.23180190000000001</v>
      </c>
      <c r="Q5531">
        <v>-2.4192149999999999E-2</v>
      </c>
      <c r="R5531">
        <v>-0.97246239999999995</v>
      </c>
      <c r="S5531">
        <v>-1.515198</v>
      </c>
      <c r="T5531">
        <v>-0.44822109999999898</v>
      </c>
      <c r="U5531">
        <v>-2.713959</v>
      </c>
      <c r="V5531">
        <v>0.1038167</v>
      </c>
      <c r="W5531">
        <v>-1.1026309999999999E-2</v>
      </c>
      <c r="X5531">
        <v>0.99453530000000001</v>
      </c>
      <c r="Y5531">
        <v>0.36506169999999999</v>
      </c>
      <c r="Z5531">
        <v>0.1450534</v>
      </c>
      <c r="AA5531">
        <v>0.91961380000000004</v>
      </c>
      <c r="AB5531">
        <v>11</v>
      </c>
      <c r="AC5531">
        <v>-3.7420000000000102</v>
      </c>
      <c r="AD5531">
        <v>-1.10974122932</v>
      </c>
      <c r="AE5531">
        <v>-6.6557999999999904</v>
      </c>
      <c r="AF5531">
        <v>2.7890415451749</v>
      </c>
      <c r="AG5531">
        <v>-1.10974122932</v>
      </c>
      <c r="AH5531">
        <v>6.9380352667154401</v>
      </c>
      <c r="AI5531">
        <v>98.441535409812502</v>
      </c>
      <c r="AJ5531">
        <v>68.100218607369101</v>
      </c>
      <c r="AK5531">
        <v>7.5595377966481196</v>
      </c>
      <c r="AL5531">
        <v>90.631773844739499</v>
      </c>
      <c r="AM5531">
        <v>84.040640384390301</v>
      </c>
      <c r="AN5531">
        <v>0.99999997482859704</v>
      </c>
    </row>
    <row r="5532" spans="1:40" x14ac:dyDescent="0.25">
      <c r="A5532" t="str">
        <f>"20190312154033820"</f>
        <v>20190312154033820</v>
      </c>
      <c r="B5532" t="str">
        <f>"1552376433811479"</f>
        <v>1552376433811479</v>
      </c>
      <c r="C5532" t="s">
        <v>40</v>
      </c>
      <c r="D5532">
        <v>4.1144740000000004</v>
      </c>
      <c r="E5532">
        <v>0.60652899999999998</v>
      </c>
      <c r="F5532" t="s">
        <v>55</v>
      </c>
      <c r="G5532">
        <v>-196.2099</v>
      </c>
      <c r="H5532" s="1">
        <v>-1.320886E-5</v>
      </c>
      <c r="I5532">
        <v>153.90819999999999</v>
      </c>
      <c r="J5532">
        <v>-192.43129999999999</v>
      </c>
      <c r="K5532">
        <v>1.1097330000000001</v>
      </c>
      <c r="L5532">
        <v>160.6026</v>
      </c>
      <c r="M5532">
        <v>-0.13041710000000001</v>
      </c>
      <c r="N5532">
        <v>0</v>
      </c>
      <c r="O5532">
        <v>-0.9913691</v>
      </c>
      <c r="P5532">
        <v>-0.23331669999999999</v>
      </c>
      <c r="Q5532">
        <v>-2.4E-2</v>
      </c>
      <c r="R5532">
        <v>-0.97210450000000004</v>
      </c>
      <c r="S5532">
        <v>-1.520615</v>
      </c>
      <c r="T5532">
        <v>-0.44557959999999902</v>
      </c>
      <c r="U5532">
        <v>-2.7114259999999999</v>
      </c>
      <c r="V5532">
        <v>0.10451969999999999</v>
      </c>
      <c r="W5532">
        <v>-1.0836139999999999E-2</v>
      </c>
      <c r="X5532">
        <v>0.99446380000000001</v>
      </c>
      <c r="Y5532">
        <v>0.36609560000000002</v>
      </c>
      <c r="Z5532">
        <v>0.1442136</v>
      </c>
      <c r="AA5532">
        <v>0.91933480000000001</v>
      </c>
      <c r="AB5532">
        <v>11</v>
      </c>
      <c r="AC5532">
        <v>-3.7786000000000102</v>
      </c>
      <c r="AD5532">
        <v>-1.1097462088600001</v>
      </c>
      <c r="AE5532">
        <v>-6.6943999999999999</v>
      </c>
      <c r="AF5532">
        <v>2.81452307409694</v>
      </c>
      <c r="AG5532">
        <v>-1.1097462088600001</v>
      </c>
      <c r="AH5532">
        <v>6.9844906038095003</v>
      </c>
      <c r="AI5532">
        <v>98.383436980806906</v>
      </c>
      <c r="AJ5532">
        <v>68.052164676364598</v>
      </c>
      <c r="AK5532">
        <v>7.6115823438629704</v>
      </c>
      <c r="AL5532">
        <v>90.620877227236903</v>
      </c>
      <c r="AM5532">
        <v>84.000151421119995</v>
      </c>
      <c r="AN5532">
        <v>1.0000000195643099</v>
      </c>
    </row>
    <row r="5533" spans="1:40" x14ac:dyDescent="0.25">
      <c r="A5533" t="str">
        <f>"20190312154033831"</f>
        <v>20190312154033831</v>
      </c>
      <c r="B5533" t="str">
        <f>"1552376433821239"</f>
        <v>1552376433821239</v>
      </c>
      <c r="C5533" t="s">
        <v>40</v>
      </c>
      <c r="D5533">
        <v>4.1302539999999999</v>
      </c>
      <c r="E5533">
        <v>0.60659949999999996</v>
      </c>
      <c r="F5533" t="s">
        <v>55</v>
      </c>
      <c r="G5533">
        <v>-196.2518</v>
      </c>
      <c r="H5533" s="1">
        <v>-1.3187360000000001E-5</v>
      </c>
      <c r="I5533">
        <v>153.80799999999999</v>
      </c>
      <c r="J5533">
        <v>-192.44</v>
      </c>
      <c r="K5533">
        <v>1.1097399999999999</v>
      </c>
      <c r="L5533">
        <v>160.54429999999999</v>
      </c>
      <c r="M5533">
        <v>-0.13125819999999999</v>
      </c>
      <c r="N5533">
        <v>0</v>
      </c>
      <c r="O5533">
        <v>-0.99125799999999997</v>
      </c>
      <c r="P5533">
        <v>-0.23475489999999999</v>
      </c>
      <c r="Q5533">
        <v>-2.3765359999999999E-2</v>
      </c>
      <c r="R5533">
        <v>-0.97176410000000002</v>
      </c>
      <c r="S5533">
        <v>-1.523514</v>
      </c>
      <c r="T5533">
        <v>-0.44253779999999998</v>
      </c>
      <c r="U5533">
        <v>-2.7095180000000001</v>
      </c>
      <c r="V5533">
        <v>0.105147</v>
      </c>
      <c r="W5533">
        <v>-1.0602790000000001E-2</v>
      </c>
      <c r="X5533">
        <v>0.99440010000000001</v>
      </c>
      <c r="Y5533">
        <v>0.36639850000000002</v>
      </c>
      <c r="Z5533">
        <v>0.1432696</v>
      </c>
      <c r="AA5533">
        <v>0.91936169999999995</v>
      </c>
      <c r="AB5533">
        <v>11</v>
      </c>
      <c r="AC5533">
        <v>-3.8117999999999999</v>
      </c>
      <c r="AD5533">
        <v>-1.1097531873599999</v>
      </c>
      <c r="AE5533">
        <v>-6.7363</v>
      </c>
      <c r="AF5533">
        <v>2.8362354747898002</v>
      </c>
      <c r="AG5533">
        <v>-1.1097531873599999</v>
      </c>
      <c r="AH5533">
        <v>7.03378592045941</v>
      </c>
      <c r="AI5533">
        <v>98.324813011904695</v>
      </c>
      <c r="AJ5533">
        <v>68.039215450694897</v>
      </c>
      <c r="AK5533">
        <v>7.66485017336705</v>
      </c>
      <c r="AL5533">
        <v>90.607506540584694</v>
      </c>
      <c r="AM5533">
        <v>83.964023132977601</v>
      </c>
      <c r="AN5533">
        <v>0.99999993482239402</v>
      </c>
    </row>
    <row r="5534" spans="1:40" x14ac:dyDescent="0.25">
      <c r="A5534" t="str">
        <f>"20190312154033842"</f>
        <v>20190312154033842</v>
      </c>
      <c r="B5534" t="str">
        <f>"1552376433831975"</f>
        <v>1552376433831975</v>
      </c>
      <c r="C5534" t="s">
        <v>40</v>
      </c>
      <c r="D5534">
        <v>4.088889</v>
      </c>
      <c r="E5534">
        <v>0.60657179999999999</v>
      </c>
      <c r="F5534" t="s">
        <v>55</v>
      </c>
      <c r="G5534">
        <v>-196.27760000000001</v>
      </c>
      <c r="H5534" s="1">
        <v>-1.317377E-5</v>
      </c>
      <c r="I5534">
        <v>153.7448</v>
      </c>
      <c r="J5534">
        <v>-192.4478</v>
      </c>
      <c r="K5534">
        <v>1.1097459999999999</v>
      </c>
      <c r="L5534">
        <v>160.49189999999999</v>
      </c>
      <c r="M5534">
        <v>-0.13201360000000001</v>
      </c>
      <c r="N5534">
        <v>0</v>
      </c>
      <c r="O5534">
        <v>-0.99115779999999998</v>
      </c>
      <c r="P5534">
        <v>-0.23607259999999999</v>
      </c>
      <c r="Q5534">
        <v>-2.3236920000000001E-2</v>
      </c>
      <c r="R5534">
        <v>-0.97145769999999998</v>
      </c>
      <c r="S5534">
        <v>-1.5279849999999999</v>
      </c>
      <c r="T5534">
        <v>-0.44185669999999999</v>
      </c>
      <c r="U5534">
        <v>-2.7072449999999999</v>
      </c>
      <c r="V5534">
        <v>0.1057367</v>
      </c>
      <c r="W5534">
        <v>-1.007537E-2</v>
      </c>
      <c r="X5534">
        <v>0.99434310000000004</v>
      </c>
      <c r="Y5534">
        <v>0.36718780000000001</v>
      </c>
      <c r="Z5534">
        <v>0.1430583</v>
      </c>
      <c r="AA5534">
        <v>0.91907969999999894</v>
      </c>
      <c r="AB5534">
        <v>11</v>
      </c>
      <c r="AC5534">
        <v>-3.8298000000000001</v>
      </c>
      <c r="AD5534">
        <v>-1.1097591737700001</v>
      </c>
      <c r="AE5534">
        <v>-6.7470999999999801</v>
      </c>
      <c r="AF5534">
        <v>2.8472293886186799</v>
      </c>
      <c r="AG5534">
        <v>-1.1097591737700001</v>
      </c>
      <c r="AH5534">
        <v>7.0494302504263704</v>
      </c>
      <c r="AI5534">
        <v>98.304751384117196</v>
      </c>
      <c r="AJ5534">
        <v>68.006465576756796</v>
      </c>
      <c r="AK5534">
        <v>7.6832771309387899</v>
      </c>
      <c r="AL5534">
        <v>90.577285955912402</v>
      </c>
      <c r="AM5534">
        <v>83.930077986295302</v>
      </c>
      <c r="AN5534">
        <v>0.99999998166256798</v>
      </c>
    </row>
    <row r="5535" spans="1:40" x14ac:dyDescent="0.25">
      <c r="A5535" t="str">
        <f>"20190312154033854"</f>
        <v>20190312154033854</v>
      </c>
      <c r="B5535" t="str">
        <f>"1552376433841734"</f>
        <v>1552376433841734</v>
      </c>
      <c r="C5535" t="s">
        <v>40</v>
      </c>
      <c r="D5535">
        <v>4.091907</v>
      </c>
      <c r="E5535">
        <v>0.60635790000000001</v>
      </c>
      <c r="F5535" t="s">
        <v>55</v>
      </c>
      <c r="G5535">
        <v>-196.31360000000001</v>
      </c>
      <c r="H5535" s="1">
        <v>-1.3156529999999901E-5</v>
      </c>
      <c r="I5535">
        <v>153.66370000000001</v>
      </c>
      <c r="J5535">
        <v>-192.45650000000001</v>
      </c>
      <c r="K5535">
        <v>1.1097549999999901</v>
      </c>
      <c r="L5535">
        <v>160.434</v>
      </c>
      <c r="M5535">
        <v>-0.1328471</v>
      </c>
      <c r="N5535">
        <v>0</v>
      </c>
      <c r="O5535">
        <v>-0.99104650000000005</v>
      </c>
      <c r="P5535">
        <v>-0.23740600000000001</v>
      </c>
      <c r="Q5535">
        <v>-2.2796719999999999E-2</v>
      </c>
      <c r="R5535">
        <v>-0.97114319999999998</v>
      </c>
      <c r="S5535">
        <v>-1.5316620000000001</v>
      </c>
      <c r="T5535">
        <v>-0.43970379999999998</v>
      </c>
      <c r="U5535">
        <v>-2.7054290000000001</v>
      </c>
      <c r="V5535">
        <v>0.10626480000000001</v>
      </c>
      <c r="W5535">
        <v>-9.6358580000000006E-3</v>
      </c>
      <c r="X5535">
        <v>0.99429120000000004</v>
      </c>
      <c r="Y5535">
        <v>0.3676663</v>
      </c>
      <c r="Z5535">
        <v>0.14237629999999901</v>
      </c>
      <c r="AA5535">
        <v>0.91899430000000004</v>
      </c>
      <c r="AB5535">
        <v>11</v>
      </c>
      <c r="AC5535">
        <v>-3.8571</v>
      </c>
      <c r="AD5535">
        <v>-1.1097681565299899</v>
      </c>
      <c r="AE5535">
        <v>-6.77029999999999</v>
      </c>
      <c r="AF5535">
        <v>2.8652893274872802</v>
      </c>
      <c r="AG5535">
        <v>-1.1097681565299899</v>
      </c>
      <c r="AH5535">
        <v>7.0791312990493402</v>
      </c>
      <c r="AI5535">
        <v>98.268029652164003</v>
      </c>
      <c r="AJ5535">
        <v>67.964283096907806</v>
      </c>
      <c r="AK5535">
        <v>7.7172254237284399</v>
      </c>
      <c r="AL5535">
        <v>90.552102526160198</v>
      </c>
      <c r="AM5535">
        <v>83.899673871044499</v>
      </c>
      <c r="AN5535">
        <v>1.0000000239379301</v>
      </c>
    </row>
    <row r="5536" spans="1:40" x14ac:dyDescent="0.25">
      <c r="A5536" t="str">
        <f>"20190312154033871"</f>
        <v>20190312154033871</v>
      </c>
      <c r="B5536" t="str">
        <f>"1552376433861258"</f>
        <v>1552376433861258</v>
      </c>
      <c r="C5536" t="s">
        <v>40</v>
      </c>
      <c r="D5536">
        <v>4.0952840000000004</v>
      </c>
      <c r="E5536">
        <v>0.6060683</v>
      </c>
      <c r="F5536" t="s">
        <v>55</v>
      </c>
      <c r="G5536">
        <v>-196.33959999999999</v>
      </c>
      <c r="H5536" s="1">
        <v>-1.314011E-5</v>
      </c>
      <c r="I5536">
        <v>153.58930000000001</v>
      </c>
      <c r="J5536">
        <v>-192.46889999999999</v>
      </c>
      <c r="K5536">
        <v>1.109764</v>
      </c>
      <c r="L5536">
        <v>160.3526</v>
      </c>
      <c r="M5536">
        <v>-0.13401679999999999</v>
      </c>
      <c r="N5536">
        <v>0</v>
      </c>
      <c r="O5536">
        <v>-0.99088929999999997</v>
      </c>
      <c r="P5536">
        <v>-0.23956630000000001</v>
      </c>
      <c r="Q5536">
        <v>-2.1837800000000001E-2</v>
      </c>
      <c r="R5536">
        <v>-0.97063489999999997</v>
      </c>
      <c r="S5536">
        <v>-1.5339050000000001</v>
      </c>
      <c r="T5536">
        <v>-0.43838949999999999</v>
      </c>
      <c r="U5536">
        <v>-2.7038730000000002</v>
      </c>
      <c r="V5536">
        <v>0.10730149999999999</v>
      </c>
      <c r="W5536">
        <v>-8.6786109999999993E-3</v>
      </c>
      <c r="X5536">
        <v>0.99418870000000004</v>
      </c>
      <c r="Y5536">
        <v>0.36740250000000002</v>
      </c>
      <c r="Z5536">
        <v>0.14197670000000001</v>
      </c>
      <c r="AA5536">
        <v>0.91916160000000002</v>
      </c>
      <c r="AB5536">
        <v>11</v>
      </c>
      <c r="AC5536">
        <v>-3.8706999999999998</v>
      </c>
      <c r="AD5536">
        <v>-1.1097771401100001</v>
      </c>
      <c r="AE5536">
        <v>-6.7632999999999797</v>
      </c>
      <c r="AF5536">
        <v>2.8710693918749399</v>
      </c>
      <c r="AG5536">
        <v>-1.1097771401100001</v>
      </c>
      <c r="AH5536">
        <v>7.0775176887730602</v>
      </c>
      <c r="AI5536">
        <v>98.267374849099397</v>
      </c>
      <c r="AJ5536">
        <v>67.919548607480394</v>
      </c>
      <c r="AK5536">
        <v>7.7178948806373002</v>
      </c>
      <c r="AL5536">
        <v>90.497253999311596</v>
      </c>
      <c r="AM5536">
        <v>83.839985331815996</v>
      </c>
      <c r="AN5536">
        <v>1.00000005069941</v>
      </c>
    </row>
    <row r="5537" spans="1:40" x14ac:dyDescent="0.25">
      <c r="A5537" t="str">
        <f>"20190312154033883"</f>
        <v>20190312154033883</v>
      </c>
      <c r="B5537" t="str">
        <f>"1552376433871991"</f>
        <v>1552376433871991</v>
      </c>
      <c r="C5537" t="s">
        <v>40</v>
      </c>
      <c r="D5537">
        <v>4.0787149999999999</v>
      </c>
      <c r="E5537">
        <v>0.60589269999999995</v>
      </c>
      <c r="F5537" t="s">
        <v>55</v>
      </c>
      <c r="G5537">
        <v>-196.3937</v>
      </c>
      <c r="H5537" s="1">
        <v>-1.31120799999999E-5</v>
      </c>
      <c r="I5537">
        <v>153.4588</v>
      </c>
      <c r="J5537">
        <v>-192.4777</v>
      </c>
      <c r="K5537">
        <v>1.109772</v>
      </c>
      <c r="L5537">
        <v>160.29480000000001</v>
      </c>
      <c r="M5537">
        <v>-0.1348451</v>
      </c>
      <c r="N5537">
        <v>0</v>
      </c>
      <c r="O5537">
        <v>-0.99077669999999995</v>
      </c>
      <c r="P5537">
        <v>-0.24070559999999999</v>
      </c>
      <c r="Q5537">
        <v>-2.191334E-2</v>
      </c>
      <c r="R5537">
        <v>-0.97035099999999996</v>
      </c>
      <c r="S5537">
        <v>-1.5379640000000001</v>
      </c>
      <c r="T5537">
        <v>-0.4348727</v>
      </c>
      <c r="U5537">
        <v>-2.7013850000000001</v>
      </c>
      <c r="V5537">
        <v>0.10763789999999999</v>
      </c>
      <c r="W5537">
        <v>-8.7546050000000004E-3</v>
      </c>
      <c r="X5537">
        <v>0.99415160000000002</v>
      </c>
      <c r="Y5537">
        <v>0.36811070000000001</v>
      </c>
      <c r="Z5537">
        <v>0.14088020000000001</v>
      </c>
      <c r="AA5537">
        <v>0.9190469</v>
      </c>
      <c r="AB5537">
        <v>11</v>
      </c>
      <c r="AC5537">
        <v>-3.9159999999999902</v>
      </c>
      <c r="AD5537">
        <v>-1.10978511208</v>
      </c>
      <c r="AE5537">
        <v>-6.8360000000000101</v>
      </c>
      <c r="AF5537">
        <v>2.9007817751382698</v>
      </c>
      <c r="AG5537">
        <v>-1.10978511208</v>
      </c>
      <c r="AH5537">
        <v>7.1595808768226403</v>
      </c>
      <c r="AI5537">
        <v>98.175362784664202</v>
      </c>
      <c r="AJ5537">
        <v>67.944136278896394</v>
      </c>
      <c r="AK5537">
        <v>7.8042140048651403</v>
      </c>
      <c r="AL5537">
        <v>90.501608334340403</v>
      </c>
      <c r="AM5537">
        <v>83.820593479243598</v>
      </c>
      <c r="AN5537">
        <v>0.99999998220383701</v>
      </c>
    </row>
    <row r="5538" spans="1:40" x14ac:dyDescent="0.25">
      <c r="A5538" t="str">
        <f>"20190312154033894"</f>
        <v>20190312154033894</v>
      </c>
      <c r="B5538" t="str">
        <f>"1552376433881750"</f>
        <v>1552376433881750</v>
      </c>
      <c r="C5538" t="s">
        <v>40</v>
      </c>
      <c r="D5538">
        <v>4.080864</v>
      </c>
      <c r="E5538">
        <v>0.60578259999999995</v>
      </c>
      <c r="F5538" t="s">
        <v>55</v>
      </c>
      <c r="G5538">
        <v>-196.4058</v>
      </c>
      <c r="H5538" s="1">
        <v>-1.310029E-5</v>
      </c>
      <c r="I5538">
        <v>153.40770000000001</v>
      </c>
      <c r="J5538">
        <v>-192.48570000000001</v>
      </c>
      <c r="K5538">
        <v>1.109782</v>
      </c>
      <c r="L5538">
        <v>160.24209999999999</v>
      </c>
      <c r="M5538">
        <v>-0.1355999</v>
      </c>
      <c r="N5538">
        <v>0</v>
      </c>
      <c r="O5538">
        <v>-0.99067369999999999</v>
      </c>
      <c r="P5538">
        <v>-0.2410881</v>
      </c>
      <c r="Q5538">
        <v>-2.2281140000000001E-2</v>
      </c>
      <c r="R5538">
        <v>-0.97024759999999999</v>
      </c>
      <c r="S5538">
        <v>-1.5398860000000001</v>
      </c>
      <c r="T5538">
        <v>-0.43504979999999999</v>
      </c>
      <c r="U5538">
        <v>-2.6998600000000001</v>
      </c>
      <c r="V5538">
        <v>0.1072733</v>
      </c>
      <c r="W5538">
        <v>-9.121255E-3</v>
      </c>
      <c r="X5538">
        <v>0.99418770000000001</v>
      </c>
      <c r="Y5538">
        <v>0.36811529999999998</v>
      </c>
      <c r="Z5538">
        <v>0.1409591</v>
      </c>
      <c r="AA5538">
        <v>0.91903299999999999</v>
      </c>
      <c r="AB5538">
        <v>11</v>
      </c>
      <c r="AC5538">
        <v>-3.9200999999999899</v>
      </c>
      <c r="AD5538">
        <v>-1.1097951002899999</v>
      </c>
      <c r="AE5538">
        <v>-6.83439999999998</v>
      </c>
      <c r="AF5538">
        <v>2.8995304598334699</v>
      </c>
      <c r="AG5538">
        <v>-1.1097951002899999</v>
      </c>
      <c r="AH5538">
        <v>7.16080012461215</v>
      </c>
      <c r="AI5538">
        <v>98.174746054869999</v>
      </c>
      <c r="AJ5538">
        <v>67.956132895092907</v>
      </c>
      <c r="AK5538">
        <v>7.8048690236784397</v>
      </c>
      <c r="AL5538">
        <v>90.522616677661802</v>
      </c>
      <c r="AM5538">
        <v>83.841585662124501</v>
      </c>
      <c r="AN5538">
        <v>0.999999970508477</v>
      </c>
    </row>
    <row r="5539" spans="1:40" x14ac:dyDescent="0.25">
      <c r="A5539" t="str">
        <f>"20190312154033906"</f>
        <v>20190312154033906</v>
      </c>
      <c r="B5539" t="str">
        <f>"1552376433901270"</f>
        <v>1552376433901270</v>
      </c>
      <c r="C5539" t="s">
        <v>40</v>
      </c>
      <c r="D5539">
        <v>4.074738</v>
      </c>
      <c r="E5539">
        <v>0.60546469999999997</v>
      </c>
      <c r="F5539" t="s">
        <v>55</v>
      </c>
      <c r="G5539">
        <v>-196.39789999999999</v>
      </c>
      <c r="H5539" s="1">
        <v>-1.3093860000000001E-5</v>
      </c>
      <c r="I5539">
        <v>153.38489999999999</v>
      </c>
      <c r="J5539">
        <v>-192.49369999999999</v>
      </c>
      <c r="K5539">
        <v>1.1097919999999999</v>
      </c>
      <c r="L5539">
        <v>160.19030000000001</v>
      </c>
      <c r="M5539">
        <v>-0.13633799999999999</v>
      </c>
      <c r="N5539">
        <v>0</v>
      </c>
      <c r="O5539">
        <v>-0.99057229999999996</v>
      </c>
      <c r="P5539">
        <v>-0.2419654</v>
      </c>
      <c r="Q5539">
        <v>-2.2438039999999999E-2</v>
      </c>
      <c r="R5539">
        <v>-0.97002560000000004</v>
      </c>
      <c r="S5539">
        <v>-1.5399929999999999</v>
      </c>
      <c r="T5539">
        <v>-0.436861</v>
      </c>
      <c r="U5539">
        <v>-2.699265</v>
      </c>
      <c r="V5539">
        <v>0.1074319</v>
      </c>
      <c r="W5539">
        <v>-9.2785390000000006E-3</v>
      </c>
      <c r="X5539">
        <v>0.99416919999999998</v>
      </c>
      <c r="Y5539">
        <v>0.36749599999999999</v>
      </c>
      <c r="Z5539">
        <v>0.14155470000000001</v>
      </c>
      <c r="AA5539">
        <v>0.91918929999999999</v>
      </c>
      <c r="AB5539">
        <v>11</v>
      </c>
      <c r="AC5539">
        <v>-3.9041999999999999</v>
      </c>
      <c r="AD5539">
        <v>-1.1098050938599999</v>
      </c>
      <c r="AE5539">
        <v>-6.8054000000000103</v>
      </c>
      <c r="AF5539">
        <v>2.8821516627233601</v>
      </c>
      <c r="AG5539">
        <v>-1.1098050938599999</v>
      </c>
      <c r="AH5539">
        <v>7.1314880824312796</v>
      </c>
      <c r="AI5539">
        <v>98.210136959322497</v>
      </c>
      <c r="AJ5539">
        <v>67.994174747407996</v>
      </c>
      <c r="AK5539">
        <v>7.7715241634544201</v>
      </c>
      <c r="AL5539">
        <v>90.531628725746899</v>
      </c>
      <c r="AM5539">
        <v>83.832436887590305</v>
      </c>
      <c r="AN5539">
        <v>1.00000005132611</v>
      </c>
    </row>
    <row r="5540" spans="1:40" x14ac:dyDescent="0.25">
      <c r="A5540" t="str">
        <f>"20190312154033918"</f>
        <v>20190312154033918</v>
      </c>
      <c r="B5540" t="str">
        <f>"1552376433912007"</f>
        <v>1552376433912007</v>
      </c>
      <c r="C5540" t="s">
        <v>40</v>
      </c>
      <c r="D5540">
        <v>4.0552169999999998</v>
      </c>
      <c r="E5540">
        <v>0.60532159999999902</v>
      </c>
      <c r="F5540" t="s">
        <v>55</v>
      </c>
      <c r="G5540">
        <v>-196.4118</v>
      </c>
      <c r="H5540" s="1">
        <v>-1.3079790000000001E-5</v>
      </c>
      <c r="I5540">
        <v>153.32409999999999</v>
      </c>
      <c r="J5540">
        <v>-192.50299999999999</v>
      </c>
      <c r="K5540">
        <v>1.1097969999999999</v>
      </c>
      <c r="L5540">
        <v>160.13030000000001</v>
      </c>
      <c r="M5540">
        <v>-0.13719149999999999</v>
      </c>
      <c r="N5540">
        <v>0</v>
      </c>
      <c r="O5540">
        <v>-0.99045439999999996</v>
      </c>
      <c r="P5540">
        <v>-0.2429886</v>
      </c>
      <c r="Q5540">
        <v>-2.256095E-2</v>
      </c>
      <c r="R5540">
        <v>-0.96976700000000005</v>
      </c>
      <c r="S5540">
        <v>-1.539871</v>
      </c>
      <c r="T5540">
        <v>-0.43616779999999999</v>
      </c>
      <c r="U5540">
        <v>-2.698502</v>
      </c>
      <c r="V5540">
        <v>0.107624499999999</v>
      </c>
      <c r="W5540">
        <v>-9.4020000000000006E-3</v>
      </c>
      <c r="X5540">
        <v>0.99414720000000001</v>
      </c>
      <c r="Y5540">
        <v>0.36678959999999999</v>
      </c>
      <c r="Z5540">
        <v>0.14136550000000001</v>
      </c>
      <c r="AA5540">
        <v>0.91950050000000005</v>
      </c>
      <c r="AB5540">
        <v>11</v>
      </c>
      <c r="AC5540">
        <v>-3.90880000000001</v>
      </c>
      <c r="AD5540">
        <v>-1.1098100797899999</v>
      </c>
      <c r="AE5540">
        <v>-6.8062000000000102</v>
      </c>
      <c r="AF5540">
        <v>2.8804074714949599</v>
      </c>
      <c r="AG5540">
        <v>-1.1098100797899999</v>
      </c>
      <c r="AH5540">
        <v>7.1354697241673497</v>
      </c>
      <c r="AI5540">
        <v>98.206975403131594</v>
      </c>
      <c r="AJ5540">
        <v>68.017324473107607</v>
      </c>
      <c r="AK5540">
        <v>7.7745323846232903</v>
      </c>
      <c r="AL5540">
        <v>90.538702832723899</v>
      </c>
      <c r="AM5540">
        <v>83.8213296775657</v>
      </c>
      <c r="AN5540">
        <v>1.0000000429360401</v>
      </c>
    </row>
    <row r="5541" spans="1:40" x14ac:dyDescent="0.25">
      <c r="A5541" t="str">
        <f>"20190312154033929"</f>
        <v>20190312154033929</v>
      </c>
      <c r="B5541" t="str">
        <f>"1552376433921766"</f>
        <v>1552376433921766</v>
      </c>
      <c r="C5541" t="s">
        <v>40</v>
      </c>
      <c r="D5541">
        <v>4.0869019999999896</v>
      </c>
      <c r="E5541">
        <v>0.60522030000000004</v>
      </c>
      <c r="F5541" t="s">
        <v>55</v>
      </c>
      <c r="G5541">
        <v>-196.43440000000001</v>
      </c>
      <c r="H5541" s="1">
        <v>-1.3063739999999999E-5</v>
      </c>
      <c r="I5541">
        <v>153.25229999999999</v>
      </c>
      <c r="J5541">
        <v>-192.51140000000001</v>
      </c>
      <c r="K5541">
        <v>1.109799</v>
      </c>
      <c r="L5541">
        <v>160.0762</v>
      </c>
      <c r="M5541">
        <v>-0.1379589</v>
      </c>
      <c r="N5541">
        <v>0</v>
      </c>
      <c r="O5541">
        <v>-0.99034809999999995</v>
      </c>
      <c r="P5541">
        <v>-0.24378849999999999</v>
      </c>
      <c r="Q5541">
        <v>-2.2628269999999999E-2</v>
      </c>
      <c r="R5541">
        <v>-0.96956450000000005</v>
      </c>
      <c r="S5541">
        <v>-1.5416719999999999</v>
      </c>
      <c r="T5541">
        <v>-0.43519550000000001</v>
      </c>
      <c r="U5541">
        <v>-2.6971129999999999</v>
      </c>
      <c r="V5541">
        <v>0.1076746</v>
      </c>
      <c r="W5541">
        <v>-9.4698509999999996E-3</v>
      </c>
      <c r="X5541">
        <v>0.9941411</v>
      </c>
      <c r="Y5541">
        <v>0.36675720000000001</v>
      </c>
      <c r="Z5541">
        <v>0.1410757</v>
      </c>
      <c r="AA5541">
        <v>0.91955799999999999</v>
      </c>
      <c r="AB5541">
        <v>11</v>
      </c>
      <c r="AC5541">
        <v>-3.923</v>
      </c>
      <c r="AD5541">
        <v>-1.10981206374</v>
      </c>
      <c r="AE5541">
        <v>-6.8239000000000001</v>
      </c>
      <c r="AF5541">
        <v>2.8865940580594298</v>
      </c>
      <c r="AG5541">
        <v>-1.10981206374</v>
      </c>
      <c r="AH5541">
        <v>7.1576048650352098</v>
      </c>
      <c r="AI5541">
        <v>98.183029262093697</v>
      </c>
      <c r="AJ5541">
        <v>68.036247679026104</v>
      </c>
      <c r="AK5541">
        <v>7.79714149395934</v>
      </c>
      <c r="AL5541">
        <v>90.542590598285699</v>
      </c>
      <c r="AM5541">
        <v>83.818438087059405</v>
      </c>
      <c r="AN5541">
        <v>1.0000000121361601</v>
      </c>
    </row>
    <row r="5542" spans="1:40" x14ac:dyDescent="0.25">
      <c r="A5542" t="str">
        <f>"20190312154033941"</f>
        <v>20190312154033941</v>
      </c>
      <c r="B5542" t="str">
        <f>"1552376433931527"</f>
        <v>1552376433931527</v>
      </c>
      <c r="C5542" t="s">
        <v>40</v>
      </c>
      <c r="D5542">
        <v>4.0686749999999998</v>
      </c>
      <c r="E5542">
        <v>0.60511680000000001</v>
      </c>
      <c r="F5542" t="s">
        <v>55</v>
      </c>
      <c r="G5542">
        <v>-196.43809999999999</v>
      </c>
      <c r="H5542" s="1">
        <v>-1.3054779999999999E-5</v>
      </c>
      <c r="I5542">
        <v>153.21539999999999</v>
      </c>
      <c r="J5542">
        <v>-192.5197</v>
      </c>
      <c r="K5542">
        <v>1.109804</v>
      </c>
      <c r="L5542">
        <v>160.02260000000001</v>
      </c>
      <c r="M5542">
        <v>-0.13871810000000001</v>
      </c>
      <c r="N5542">
        <v>0</v>
      </c>
      <c r="O5542">
        <v>-0.99024199999999996</v>
      </c>
      <c r="P5542">
        <v>-0.24483250000000001</v>
      </c>
      <c r="Q5542">
        <v>-2.2904939999999999E-2</v>
      </c>
      <c r="R5542">
        <v>-0.96929529999999997</v>
      </c>
      <c r="S5542">
        <v>-1.5430299999999999</v>
      </c>
      <c r="T5542">
        <v>-0.43610779999999899</v>
      </c>
      <c r="U5542">
        <v>-2.695999</v>
      </c>
      <c r="V5542">
        <v>0.10798339999999899</v>
      </c>
      <c r="W5542">
        <v>-9.7478410000000001E-3</v>
      </c>
      <c r="X5542">
        <v>0.99410489999999996</v>
      </c>
      <c r="Y5542">
        <v>0.36653599999999997</v>
      </c>
      <c r="Z5542">
        <v>0.14138210000000001</v>
      </c>
      <c r="AA5542">
        <v>0.9195991</v>
      </c>
      <c r="AB5542">
        <v>11</v>
      </c>
      <c r="AC5542">
        <v>-3.9183999999999899</v>
      </c>
      <c r="AD5542">
        <v>-1.1098170547799999</v>
      </c>
      <c r="AE5542">
        <v>-6.8072000000000203</v>
      </c>
      <c r="AF5542">
        <v>2.87867040923383</v>
      </c>
      <c r="AG5542">
        <v>-1.1098170547799999</v>
      </c>
      <c r="AH5542">
        <v>7.1423775153420301</v>
      </c>
      <c r="AI5542">
        <v>98.200974753204505</v>
      </c>
      <c r="AJ5542">
        <v>68.048548261296901</v>
      </c>
      <c r="AK5542">
        <v>7.7802309600514103</v>
      </c>
      <c r="AL5542">
        <v>90.558518997570701</v>
      </c>
      <c r="AM5542">
        <v>83.800623837510997</v>
      </c>
      <c r="AN5542">
        <v>0.99999999364186498</v>
      </c>
    </row>
    <row r="5543" spans="1:40" x14ac:dyDescent="0.25">
      <c r="A5543" t="str">
        <f>"20190312154033953"</f>
        <v>20190312154033953</v>
      </c>
      <c r="B5543" t="str">
        <f>"1552376433941287"</f>
        <v>1552376433941287</v>
      </c>
      <c r="C5543" t="s">
        <v>40</v>
      </c>
      <c r="D5543">
        <v>4.073518</v>
      </c>
      <c r="E5543">
        <v>0.60505949999999997</v>
      </c>
      <c r="F5543" t="s">
        <v>55</v>
      </c>
      <c r="G5543">
        <v>-196.44990000000001</v>
      </c>
      <c r="H5543" s="1">
        <v>-1.304406E-5</v>
      </c>
      <c r="I5543">
        <v>153.1686</v>
      </c>
      <c r="J5543">
        <v>-192.52869999999999</v>
      </c>
      <c r="K5543">
        <v>1.109807</v>
      </c>
      <c r="L5543">
        <v>159.96530000000001</v>
      </c>
      <c r="M5543">
        <v>-0.1395286</v>
      </c>
      <c r="N5543">
        <v>0</v>
      </c>
      <c r="O5543">
        <v>-0.99012829999999996</v>
      </c>
      <c r="P5543">
        <v>-0.2456477</v>
      </c>
      <c r="Q5543">
        <v>-2.3319179999999998E-2</v>
      </c>
      <c r="R5543">
        <v>-0.96907909999999997</v>
      </c>
      <c r="S5543">
        <v>-1.5450440000000001</v>
      </c>
      <c r="T5543">
        <v>-0.43629410000000002</v>
      </c>
      <c r="U5543">
        <v>-2.694458</v>
      </c>
      <c r="V5543">
        <v>0.10800700000000001</v>
      </c>
      <c r="W5543">
        <v>-1.0162930000000001E-2</v>
      </c>
      <c r="X5543">
        <v>0.99409820000000004</v>
      </c>
      <c r="Y5543">
        <v>0.36651430000000002</v>
      </c>
      <c r="Z5543">
        <v>0.1414619</v>
      </c>
      <c r="AA5543">
        <v>0.91959539999999995</v>
      </c>
      <c r="AB5543">
        <v>11</v>
      </c>
      <c r="AC5543">
        <v>-3.9212000000000198</v>
      </c>
      <c r="AD5543">
        <v>-1.1098200440599999</v>
      </c>
      <c r="AE5543">
        <v>-6.7967000000000102</v>
      </c>
      <c r="AF5543">
        <v>2.8768673077666</v>
      </c>
      <c r="AG5543">
        <v>-1.1098200440599999</v>
      </c>
      <c r="AH5543">
        <v>7.1346456972202699</v>
      </c>
      <c r="AI5543">
        <v>98.209246055630004</v>
      </c>
      <c r="AJ5543">
        <v>68.039477129784501</v>
      </c>
      <c r="AK5543">
        <v>7.7724664850713401</v>
      </c>
      <c r="AL5543">
        <v>90.582303012375505</v>
      </c>
      <c r="AM5543">
        <v>83.799238038104505</v>
      </c>
      <c r="AN5543">
        <v>1.00000001421921</v>
      </c>
    </row>
    <row r="5544" spans="1:40" x14ac:dyDescent="0.25">
      <c r="A5544" t="str">
        <f>"20190312154033965"</f>
        <v>20190312154033965</v>
      </c>
      <c r="B5544" t="str">
        <f>"1552376433961782"</f>
        <v>1552376433961782</v>
      </c>
      <c r="C5544" t="s">
        <v>40</v>
      </c>
      <c r="D5544">
        <v>4.0857039999999998</v>
      </c>
      <c r="E5544">
        <v>0.60493469999999905</v>
      </c>
      <c r="F5544" t="s">
        <v>55</v>
      </c>
      <c r="G5544">
        <v>-196.45760000000001</v>
      </c>
      <c r="H5544" s="1">
        <v>-1.3033639999999999E-5</v>
      </c>
      <c r="I5544">
        <v>153.12450000000001</v>
      </c>
      <c r="J5544">
        <v>-192.53749999999999</v>
      </c>
      <c r="K5544">
        <v>1.10981</v>
      </c>
      <c r="L5544">
        <v>159.91</v>
      </c>
      <c r="M5544">
        <v>-0.1403105</v>
      </c>
      <c r="N5544">
        <v>0</v>
      </c>
      <c r="O5544">
        <v>-0.99001779999999995</v>
      </c>
      <c r="P5544">
        <v>-0.2463969</v>
      </c>
      <c r="Q5544">
        <v>-2.3646090000000002E-2</v>
      </c>
      <c r="R5544">
        <v>-0.96888090000000004</v>
      </c>
      <c r="S5544">
        <v>-1.5467379999999999</v>
      </c>
      <c r="T5544">
        <v>-0.43692059999999999</v>
      </c>
      <c r="U5544">
        <v>-2.69313</v>
      </c>
      <c r="V5544">
        <v>0.1079913</v>
      </c>
      <c r="W5544">
        <v>-1.049068E-2</v>
      </c>
      <c r="X5544">
        <v>0.99409650000000005</v>
      </c>
      <c r="Y5544">
        <v>0.3663959</v>
      </c>
      <c r="Z5544">
        <v>0.14167929999999901</v>
      </c>
      <c r="AA5544">
        <v>0.91960909999999996</v>
      </c>
      <c r="AB5544">
        <v>11</v>
      </c>
      <c r="AC5544">
        <v>-3.9201000000000099</v>
      </c>
      <c r="AD5544">
        <v>-1.1098230336399999</v>
      </c>
      <c r="AE5544">
        <v>-6.7854999999999803</v>
      </c>
      <c r="AF5544">
        <v>2.8715572163132599</v>
      </c>
      <c r="AG5544">
        <v>-1.1098230336399999</v>
      </c>
      <c r="AH5544">
        <v>7.1255258641231602</v>
      </c>
      <c r="AI5544">
        <v>98.220275495774302</v>
      </c>
      <c r="AJ5544">
        <v>68.050770729636994</v>
      </c>
      <c r="AK5544">
        <v>7.76213030377916</v>
      </c>
      <c r="AL5544">
        <v>90.601082705881197</v>
      </c>
      <c r="AM5544">
        <v>83.800121846980105</v>
      </c>
      <c r="AN5544">
        <v>1.0000000132774001</v>
      </c>
    </row>
    <row r="5545" spans="1:40" x14ac:dyDescent="0.25">
      <c r="A5545" t="str">
        <f>"20190312154033980"</f>
        <v>20190312154033980</v>
      </c>
      <c r="B5545" t="str">
        <f>"1552376433971542"</f>
        <v>1552376433971542</v>
      </c>
      <c r="C5545" t="s">
        <v>40</v>
      </c>
      <c r="D5545">
        <v>4.0787849999999999</v>
      </c>
      <c r="E5545">
        <v>0.60493719999999995</v>
      </c>
      <c r="F5545" t="s">
        <v>55</v>
      </c>
      <c r="G5545">
        <v>-196.4701</v>
      </c>
      <c r="H5545" s="1">
        <v>-1.3021160000000001E-5</v>
      </c>
      <c r="I5545">
        <v>153.07050000000001</v>
      </c>
      <c r="J5545">
        <v>-192.54839999999999</v>
      </c>
      <c r="K5545">
        <v>1.1098110000000001</v>
      </c>
      <c r="L5545">
        <v>159.84110000000001</v>
      </c>
      <c r="M5545">
        <v>-0.141283399999999</v>
      </c>
      <c r="N5545">
        <v>0</v>
      </c>
      <c r="O5545">
        <v>-0.98987939999999996</v>
      </c>
      <c r="P5545">
        <v>-0.24750849999999999</v>
      </c>
      <c r="Q5545">
        <v>-2.3918789999999999E-2</v>
      </c>
      <c r="R5545">
        <v>-0.96859070000000003</v>
      </c>
      <c r="S5545">
        <v>-1.547882</v>
      </c>
      <c r="T5545">
        <v>-0.43682919999999997</v>
      </c>
      <c r="U5545">
        <v>-2.6920320000000002</v>
      </c>
      <c r="V5545">
        <v>0.1081558</v>
      </c>
      <c r="W5545">
        <v>-1.076498E-2</v>
      </c>
      <c r="X5545">
        <v>0.99407570000000001</v>
      </c>
      <c r="Y5545">
        <v>0.36593959999999998</v>
      </c>
      <c r="Z5545">
        <v>0.14166909999999999</v>
      </c>
      <c r="AA5545">
        <v>0.91979239999999995</v>
      </c>
      <c r="AB5545">
        <v>11</v>
      </c>
      <c r="AC5545">
        <v>-3.9217000000000102</v>
      </c>
      <c r="AD5545">
        <v>-1.1098240211599999</v>
      </c>
      <c r="AE5545">
        <v>-6.7706</v>
      </c>
      <c r="AF5545">
        <v>2.8679951089757201</v>
      </c>
      <c r="AG5545">
        <v>-1.1098240211599999</v>
      </c>
      <c r="AH5545">
        <v>7.1136726167575901</v>
      </c>
      <c r="AI5545">
        <v>98.233311398187098</v>
      </c>
      <c r="AJ5545">
        <v>68.042354548770106</v>
      </c>
      <c r="AK5545">
        <v>7.7499318320524102</v>
      </c>
      <c r="AL5545">
        <v>90.616799815630003</v>
      </c>
      <c r="AM5545">
        <v>83.790622561019504</v>
      </c>
      <c r="AN5545">
        <v>1.0000000295992599</v>
      </c>
    </row>
    <row r="5546" spans="1:40" x14ac:dyDescent="0.25">
      <c r="A5546" t="str">
        <f>"20190312154033995"</f>
        <v>20190312154033995</v>
      </c>
      <c r="B5546" t="str">
        <f>"1552376433992038"</f>
        <v>1552376433992038</v>
      </c>
      <c r="C5546" t="s">
        <v>40</v>
      </c>
      <c r="D5546">
        <v>4.089753</v>
      </c>
      <c r="E5546">
        <v>0.60482170000000002</v>
      </c>
      <c r="F5546" t="s">
        <v>55</v>
      </c>
      <c r="G5546">
        <v>-196.48660000000001</v>
      </c>
      <c r="H5546" s="1">
        <v>-1.300725E-5</v>
      </c>
      <c r="I5546">
        <v>153.0094</v>
      </c>
      <c r="J5546">
        <v>-192.56059999999999</v>
      </c>
      <c r="K5546">
        <v>1.1098030000000001</v>
      </c>
      <c r="L5546">
        <v>159.7647</v>
      </c>
      <c r="M5546">
        <v>-0.14236209999999999</v>
      </c>
      <c r="N5546">
        <v>0</v>
      </c>
      <c r="O5546">
        <v>-0.98972499999999997</v>
      </c>
      <c r="P5546">
        <v>-0.24873609999999999</v>
      </c>
      <c r="Q5546">
        <v>-2.54144E-2</v>
      </c>
      <c r="R5546">
        <v>-0.9682383</v>
      </c>
      <c r="S5546">
        <v>-1.5508120000000001</v>
      </c>
      <c r="T5546">
        <v>-0.43703009999999898</v>
      </c>
      <c r="U5546">
        <v>-2.6902010000000001</v>
      </c>
      <c r="V5546">
        <v>0.1083364</v>
      </c>
      <c r="W5546">
        <v>-1.2262830000000001E-2</v>
      </c>
      <c r="X5546">
        <v>0.99403859999999999</v>
      </c>
      <c r="Y5546">
        <v>0.3659442</v>
      </c>
      <c r="Z5546">
        <v>0.14174600000000001</v>
      </c>
      <c r="AA5546">
        <v>0.91977869999999995</v>
      </c>
      <c r="AB5546">
        <v>11</v>
      </c>
      <c r="AC5546">
        <v>-3.9260000000000099</v>
      </c>
      <c r="AD5546">
        <v>-1.1098160072499901</v>
      </c>
      <c r="AE5546">
        <v>-6.7553000000000001</v>
      </c>
      <c r="AF5546">
        <v>2.8663890457852701</v>
      </c>
      <c r="AG5546">
        <v>-1.1098160072499901</v>
      </c>
      <c r="AH5546">
        <v>7.1021532110146302</v>
      </c>
      <c r="AI5546">
        <v>98.245216316565703</v>
      </c>
      <c r="AJ5546">
        <v>68.0212744817361</v>
      </c>
      <c r="AK5546">
        <v>7.73876333560289</v>
      </c>
      <c r="AL5546">
        <v>90.702626052781497</v>
      </c>
      <c r="AM5546">
        <v>83.780104941178806</v>
      </c>
      <c r="AN5546">
        <v>0.999999945427262</v>
      </c>
    </row>
    <row r="5547" spans="1:40" x14ac:dyDescent="0.25">
      <c r="A5547" t="str">
        <f>"20190312154034019"</f>
        <v>20190312154034019</v>
      </c>
      <c r="B5547" t="str">
        <f>"1552376434011558"</f>
        <v>1552376434011558</v>
      </c>
      <c r="C5547" t="s">
        <v>40</v>
      </c>
      <c r="D5547">
        <v>4.0701150000000004</v>
      </c>
      <c r="E5547">
        <v>0.60465970000000002</v>
      </c>
      <c r="F5547" t="s">
        <v>55</v>
      </c>
      <c r="G5547">
        <v>-196.47559999999999</v>
      </c>
      <c r="H5547" s="1">
        <v>-1.300134E-5</v>
      </c>
      <c r="I5547">
        <v>152.9898</v>
      </c>
      <c r="J5547">
        <v>-192.57759999999999</v>
      </c>
      <c r="K5547">
        <v>1.109791</v>
      </c>
      <c r="L5547">
        <v>159.6593</v>
      </c>
      <c r="M5547">
        <v>-0.14385149999999999</v>
      </c>
      <c r="N5547">
        <v>0</v>
      </c>
      <c r="O5547">
        <v>-0.98950930000000004</v>
      </c>
      <c r="P5547">
        <v>-0.2509883</v>
      </c>
      <c r="Q5547">
        <v>-2.7601469999999999E-2</v>
      </c>
      <c r="R5547">
        <v>-0.96759649999999997</v>
      </c>
      <c r="S5547">
        <v>-1.553223</v>
      </c>
      <c r="T5547">
        <v>-0.4402992</v>
      </c>
      <c r="U5547">
        <v>-2.6878359999999999</v>
      </c>
      <c r="V5547">
        <v>0.1091594</v>
      </c>
      <c r="W5547">
        <v>-1.445481E-2</v>
      </c>
      <c r="X5547">
        <v>0.99391910000000006</v>
      </c>
      <c r="Y5547">
        <v>0.36543680000000001</v>
      </c>
      <c r="Z5547">
        <v>0.14282829999999999</v>
      </c>
      <c r="AA5547">
        <v>0.91981299999999999</v>
      </c>
      <c r="AB5547">
        <v>11</v>
      </c>
      <c r="AC5547">
        <v>-3.8979999999999899</v>
      </c>
      <c r="AD5547">
        <v>-1.1098040013399999</v>
      </c>
      <c r="AE5547">
        <v>-6.6694999999999904</v>
      </c>
      <c r="AF5547">
        <v>2.8393465142724299</v>
      </c>
      <c r="AG5547">
        <v>-1.1098040013399999</v>
      </c>
      <c r="AH5547">
        <v>7.0160979853890604</v>
      </c>
      <c r="AI5547">
        <v>98.3417107848136</v>
      </c>
      <c r="AJ5547">
        <v>67.967300264487093</v>
      </c>
      <c r="AK5547">
        <v>7.6497832969360502</v>
      </c>
      <c r="AL5547">
        <v>90.828228494370293</v>
      </c>
      <c r="AM5547">
        <v>83.732481291760394</v>
      </c>
      <c r="AN5547">
        <v>0.99999994674265102</v>
      </c>
    </row>
    <row r="5548" spans="1:40" x14ac:dyDescent="0.25">
      <c r="A5548" t="str">
        <f>"20190312154034030"</f>
        <v>20190312154034030</v>
      </c>
      <c r="B5548" t="str">
        <f>"1552376434021320"</f>
        <v>1552376434021320</v>
      </c>
      <c r="C5548" t="s">
        <v>40</v>
      </c>
      <c r="D5548">
        <v>4.0297190000000001</v>
      </c>
      <c r="E5548">
        <v>0.6047863</v>
      </c>
      <c r="F5548" t="s">
        <v>55</v>
      </c>
      <c r="G5548">
        <v>-196.44470000000001</v>
      </c>
      <c r="H5548" s="1">
        <v>-1.300003E-5</v>
      </c>
      <c r="I5548">
        <v>152.99549999999999</v>
      </c>
      <c r="J5548">
        <v>-192.58680000000001</v>
      </c>
      <c r="K5548">
        <v>1.109785</v>
      </c>
      <c r="L5548">
        <v>159.6026</v>
      </c>
      <c r="M5548">
        <v>-0.1446566</v>
      </c>
      <c r="N5548">
        <v>0</v>
      </c>
      <c r="O5548">
        <v>-0.98939200000000005</v>
      </c>
      <c r="P5548">
        <v>-0.25232670000000001</v>
      </c>
      <c r="Q5548">
        <v>-2.937772E-2</v>
      </c>
      <c r="R5548">
        <v>-0.96719639999999996</v>
      </c>
      <c r="S5548">
        <v>-1.557404</v>
      </c>
      <c r="T5548">
        <v>-0.4469534</v>
      </c>
      <c r="U5548">
        <v>-2.6837309999999999</v>
      </c>
      <c r="V5548">
        <v>0.1097311</v>
      </c>
      <c r="W5548">
        <v>-1.623453E-2</v>
      </c>
      <c r="X5548">
        <v>0.99382870000000001</v>
      </c>
      <c r="Y5548">
        <v>0.36620209999999997</v>
      </c>
      <c r="Z5548">
        <v>0.1450254</v>
      </c>
      <c r="AA5548">
        <v>0.91916469999999995</v>
      </c>
      <c r="AB5548">
        <v>11</v>
      </c>
      <c r="AC5548">
        <v>-3.8578999999999999</v>
      </c>
      <c r="AD5548">
        <v>-1.1097980000299901</v>
      </c>
      <c r="AE5548">
        <v>-6.6071</v>
      </c>
      <c r="AF5548">
        <v>2.8025032782761699</v>
      </c>
      <c r="AG5548">
        <v>-1.1097980000299901</v>
      </c>
      <c r="AH5548">
        <v>6.9494930493150298</v>
      </c>
      <c r="AI5548">
        <v>98.424575796617802</v>
      </c>
      <c r="AJ5548">
        <v>68.037391232221296</v>
      </c>
      <c r="AK5548">
        <v>7.5750333245535701</v>
      </c>
      <c r="AL5548">
        <v>90.930210934460405</v>
      </c>
      <c r="AM5548">
        <v>83.699351253949999</v>
      </c>
      <c r="AN5548">
        <v>0.99999997960761</v>
      </c>
    </row>
    <row r="5549" spans="1:40" x14ac:dyDescent="0.25">
      <c r="A5549" t="str">
        <f>"20190312154034042"</f>
        <v>20190312154034042</v>
      </c>
      <c r="B5549" t="str">
        <f>"1552376434032056"</f>
        <v>1552376434032056</v>
      </c>
      <c r="C5549" t="s">
        <v>40</v>
      </c>
      <c r="D5549">
        <v>4.0401819999999997</v>
      </c>
      <c r="E5549">
        <v>0.60490819999999901</v>
      </c>
      <c r="F5549" t="s">
        <v>55</v>
      </c>
      <c r="G5549">
        <v>-196.4572</v>
      </c>
      <c r="H5549" s="1">
        <v>-1.299158E-5</v>
      </c>
      <c r="I5549">
        <v>152.95750000000001</v>
      </c>
      <c r="J5549">
        <v>-192.5958</v>
      </c>
      <c r="K5549">
        <v>1.10978</v>
      </c>
      <c r="L5549">
        <v>159.54740000000001</v>
      </c>
      <c r="M5549">
        <v>-0.145440299999999</v>
      </c>
      <c r="N5549">
        <v>0</v>
      </c>
      <c r="O5549">
        <v>-0.98927719999999997</v>
      </c>
      <c r="P5549">
        <v>-0.25360890000000003</v>
      </c>
      <c r="Q5549">
        <v>-3.1159949999999999E-2</v>
      </c>
      <c r="R5549">
        <v>-0.96680500000000003</v>
      </c>
      <c r="S5549">
        <v>-1.561447</v>
      </c>
      <c r="T5549">
        <v>-0.44772260000000003</v>
      </c>
      <c r="U5549">
        <v>-2.6808010000000002</v>
      </c>
      <c r="V5549">
        <v>0.1102677</v>
      </c>
      <c r="W5549">
        <v>-1.802024E-2</v>
      </c>
      <c r="X5549">
        <v>0.99373849999999997</v>
      </c>
      <c r="Y5549">
        <v>0.36691760000000001</v>
      </c>
      <c r="Z5549">
        <v>0.14530650000000001</v>
      </c>
      <c r="AA5549">
        <v>0.91883490000000001</v>
      </c>
      <c r="AB5549">
        <v>11</v>
      </c>
      <c r="AC5549">
        <v>-3.8614000000000002</v>
      </c>
      <c r="AD5549">
        <v>-1.10979299158</v>
      </c>
      <c r="AE5549">
        <v>-6.5899000000000001</v>
      </c>
      <c r="AF5549">
        <v>2.8026416833753598</v>
      </c>
      <c r="AG5549">
        <v>-1.10979299158</v>
      </c>
      <c r="AH5549">
        <v>6.9350544325483803</v>
      </c>
      <c r="AI5549">
        <v>98.439343373220794</v>
      </c>
      <c r="AJ5549">
        <v>67.995044019138703</v>
      </c>
      <c r="AK5549">
        <v>7.5618397808973796</v>
      </c>
      <c r="AL5549">
        <v>91.032539636622005</v>
      </c>
      <c r="AM5549">
        <v>83.668219814869104</v>
      </c>
      <c r="AN5549">
        <v>0.99999995054759705</v>
      </c>
    </row>
    <row r="5550" spans="1:40" x14ac:dyDescent="0.25">
      <c r="A5550" t="str">
        <f>"20190312154034055"</f>
        <v>20190312154034055</v>
      </c>
      <c r="B5550" t="str">
        <f>"1552376434051576"</f>
        <v>1552376434051576</v>
      </c>
      <c r="C5550" t="s">
        <v>40</v>
      </c>
      <c r="D5550">
        <v>4.0312449999999904</v>
      </c>
      <c r="E5550">
        <v>0.60486569999999995</v>
      </c>
      <c r="F5550" t="s">
        <v>55</v>
      </c>
      <c r="G5550">
        <v>-196.47739999999999</v>
      </c>
      <c r="H5550" s="1">
        <v>-1.298085E-5</v>
      </c>
      <c r="I5550">
        <v>152.90770000000001</v>
      </c>
      <c r="J5550">
        <v>-192.6062</v>
      </c>
      <c r="K5550">
        <v>1.1097729999999999</v>
      </c>
      <c r="L5550">
        <v>159.48400000000001</v>
      </c>
      <c r="M5550">
        <v>-0.14634320000000001</v>
      </c>
      <c r="N5550">
        <v>0</v>
      </c>
      <c r="O5550">
        <v>-0.98914409999999997</v>
      </c>
      <c r="P5550">
        <v>-0.25500589999999901</v>
      </c>
      <c r="Q5550">
        <v>-3.2963529999999998E-2</v>
      </c>
      <c r="R5550">
        <v>-0.96637770000000001</v>
      </c>
      <c r="S5550">
        <v>-1.5655520000000001</v>
      </c>
      <c r="T5550">
        <v>-0.44760359999999999</v>
      </c>
      <c r="U5550">
        <v>-2.6779169999999999</v>
      </c>
      <c r="V5550">
        <v>0.110803399999999</v>
      </c>
      <c r="W5550">
        <v>-1.982772E-2</v>
      </c>
      <c r="X5550">
        <v>0.99364450000000004</v>
      </c>
      <c r="Y5550">
        <v>0.36755110000000002</v>
      </c>
      <c r="Z5550">
        <v>0.14530129999999999</v>
      </c>
      <c r="AA5550">
        <v>0.91858240000000002</v>
      </c>
      <c r="AB5550">
        <v>11</v>
      </c>
      <c r="AC5550">
        <v>-3.87119999999998</v>
      </c>
      <c r="AD5550">
        <v>-1.1097859808499999</v>
      </c>
      <c r="AE5550">
        <v>-6.5762999999999998</v>
      </c>
      <c r="AF5550">
        <v>2.8076517233475702</v>
      </c>
      <c r="AG5550">
        <v>-1.1097859808499999</v>
      </c>
      <c r="AH5550">
        <v>6.9255867210803999</v>
      </c>
      <c r="AI5550">
        <v>98.446966495865297</v>
      </c>
      <c r="AJ5550">
        <v>67.932232375530006</v>
      </c>
      <c r="AK5550">
        <v>7.5550171776186499</v>
      </c>
      <c r="AL5550">
        <v>91.136119166685901</v>
      </c>
      <c r="AM5550">
        <v>83.6371136027185</v>
      </c>
      <c r="AN5550">
        <v>0.99999996215610298</v>
      </c>
    </row>
    <row r="5551" spans="1:40" x14ac:dyDescent="0.25">
      <c r="A5551" t="str">
        <f>"20190312154034069"</f>
        <v>20190312154034069</v>
      </c>
      <c r="B5551" t="str">
        <f>"1552376434061335"</f>
        <v>1552376434061335</v>
      </c>
      <c r="C5551" t="s">
        <v>40</v>
      </c>
      <c r="D5551">
        <v>4.0318259999999997</v>
      </c>
      <c r="E5551">
        <v>0.60477579999999997</v>
      </c>
      <c r="F5551" t="s">
        <v>55</v>
      </c>
      <c r="G5551">
        <v>-196.4837</v>
      </c>
      <c r="H5551" s="1">
        <v>-1.2972730000000001E-5</v>
      </c>
      <c r="I5551">
        <v>152.8732</v>
      </c>
      <c r="J5551">
        <v>-192.61619999999999</v>
      </c>
      <c r="K5551">
        <v>1.1097669999999999</v>
      </c>
      <c r="L5551">
        <v>159.423</v>
      </c>
      <c r="M5551">
        <v>-0.14721600000000001</v>
      </c>
      <c r="N5551">
        <v>0</v>
      </c>
      <c r="O5551">
        <v>-0.98901450000000002</v>
      </c>
      <c r="P5551">
        <v>-0.25656509999999999</v>
      </c>
      <c r="Q5551">
        <v>-3.4877390000000001E-2</v>
      </c>
      <c r="R5551">
        <v>-0.96589760000000002</v>
      </c>
      <c r="S5551">
        <v>-1.5690459999999999</v>
      </c>
      <c r="T5551">
        <v>-0.44907639999999999</v>
      </c>
      <c r="U5551">
        <v>-2.6750340000000001</v>
      </c>
      <c r="V5551">
        <v>0.1115376</v>
      </c>
      <c r="W5551">
        <v>-2.1746189999999999E-2</v>
      </c>
      <c r="X5551">
        <v>0.99352220000000002</v>
      </c>
      <c r="Y5551">
        <v>0.36801850000000003</v>
      </c>
      <c r="Z5551">
        <v>0.14581429999999901</v>
      </c>
      <c r="AA5551">
        <v>0.91831399999999996</v>
      </c>
      <c r="AB5551">
        <v>11</v>
      </c>
      <c r="AC5551">
        <v>-3.8675000000000002</v>
      </c>
      <c r="AD5551">
        <v>-1.10977997273</v>
      </c>
      <c r="AE5551">
        <v>-6.5498000000000003</v>
      </c>
      <c r="AF5551">
        <v>2.8013991335651101</v>
      </c>
      <c r="AG5551">
        <v>-1.10977997273</v>
      </c>
      <c r="AH5551">
        <v>6.9009313534104697</v>
      </c>
      <c r="AI5551">
        <v>98.475084495280498</v>
      </c>
      <c r="AJ5551">
        <v>67.905548972821407</v>
      </c>
      <c r="AK5551">
        <v>7.5300931095103696</v>
      </c>
      <c r="AL5551">
        <v>91.246063196024807</v>
      </c>
      <c r="AM5551">
        <v>83.594519513867397</v>
      </c>
      <c r="AN5551">
        <v>0.99999994744305598</v>
      </c>
    </row>
    <row r="5552" spans="1:40" x14ac:dyDescent="0.25">
      <c r="A5552" t="str">
        <f>"20190312154034083"</f>
        <v>20190312154034083</v>
      </c>
      <c r="B5552" t="str">
        <f>"1552376434072073"</f>
        <v>1552376434072073</v>
      </c>
      <c r="C5552" t="s">
        <v>40</v>
      </c>
      <c r="D5552">
        <v>4.0300849999999997</v>
      </c>
      <c r="E5552">
        <v>0.60468290000000002</v>
      </c>
      <c r="F5552" t="s">
        <v>55</v>
      </c>
      <c r="G5552">
        <v>-196.4589</v>
      </c>
      <c r="H5552" s="1">
        <v>-1.2975809999999999E-5</v>
      </c>
      <c r="I5552">
        <v>152.89420000000001</v>
      </c>
      <c r="J5552">
        <v>-192.6277</v>
      </c>
      <c r="K5552">
        <v>1.109756</v>
      </c>
      <c r="L5552">
        <v>159.35390000000001</v>
      </c>
      <c r="M5552">
        <v>-0.14821019999999999</v>
      </c>
      <c r="N5552">
        <v>0</v>
      </c>
      <c r="O5552">
        <v>-0.98886609999999997</v>
      </c>
      <c r="P5552">
        <v>-0.25834390000000002</v>
      </c>
      <c r="Q5552">
        <v>-3.7241400000000001E-2</v>
      </c>
      <c r="R5552">
        <v>-0.9653351</v>
      </c>
      <c r="S5552">
        <v>-1.57254</v>
      </c>
      <c r="T5552">
        <v>-0.45416190000000001</v>
      </c>
      <c r="U5552">
        <v>-2.671799</v>
      </c>
      <c r="V5552">
        <v>0.11237900000000001</v>
      </c>
      <c r="W5552">
        <v>-2.4115950000000001E-2</v>
      </c>
      <c r="X5552">
        <v>0.9933727</v>
      </c>
      <c r="Y5552">
        <v>0.36833700000000003</v>
      </c>
      <c r="Z5552">
        <v>0.1474897</v>
      </c>
      <c r="AA5552">
        <v>0.91791860000000003</v>
      </c>
      <c r="AB5552">
        <v>11</v>
      </c>
      <c r="AC5552">
        <v>-3.8311999999999902</v>
      </c>
      <c r="AD5552">
        <v>-1.10976897581</v>
      </c>
      <c r="AE5552">
        <v>-6.45969999999999</v>
      </c>
      <c r="AF5552">
        <v>2.7709008179430898</v>
      </c>
      <c r="AG5552">
        <v>-1.10976897581</v>
      </c>
      <c r="AH5552">
        <v>6.8075794963268104</v>
      </c>
      <c r="AI5552">
        <v>98.586289917550204</v>
      </c>
      <c r="AJ5552">
        <v>67.852117522212595</v>
      </c>
      <c r="AK5552">
        <v>7.4332104182080903</v>
      </c>
      <c r="AL5552">
        <v>91.381876162667993</v>
      </c>
      <c r="AM5552">
        <v>83.545641951215003</v>
      </c>
      <c r="AN5552">
        <v>0.99999996989534501</v>
      </c>
    </row>
    <row r="5553" spans="1:40" x14ac:dyDescent="0.25">
      <c r="A5553" t="str">
        <f>"20190312154034099"</f>
        <v>20190312154034099</v>
      </c>
      <c r="B5553" t="str">
        <f>"1552376434091590"</f>
        <v>1552376434091590</v>
      </c>
      <c r="C5553" t="s">
        <v>40</v>
      </c>
      <c r="D5553">
        <v>4.017277</v>
      </c>
      <c r="E5553">
        <v>0.60451730000000004</v>
      </c>
      <c r="F5553" t="s">
        <v>55</v>
      </c>
      <c r="G5553">
        <v>-196.43090000000001</v>
      </c>
      <c r="H5553" s="1">
        <v>-1.2979340000000001E-5</v>
      </c>
      <c r="I5553">
        <v>152.91810000000001</v>
      </c>
      <c r="J5553">
        <v>-192.63839999999999</v>
      </c>
      <c r="K5553">
        <v>1.1097509999999999</v>
      </c>
      <c r="L5553">
        <v>159.28970000000001</v>
      </c>
      <c r="M5553">
        <v>-0.149139299999999</v>
      </c>
      <c r="N5553">
        <v>0</v>
      </c>
      <c r="O5553">
        <v>-0.98872640000000001</v>
      </c>
      <c r="P5553">
        <v>-0.25974589999999997</v>
      </c>
      <c r="Q5553">
        <v>-3.7825780000000003E-2</v>
      </c>
      <c r="R5553">
        <v>-0.96493609999999996</v>
      </c>
      <c r="S5553">
        <v>-1.5766450000000001</v>
      </c>
      <c r="T5553">
        <v>-0.46006229999999998</v>
      </c>
      <c r="U5553">
        <v>-2.668015</v>
      </c>
      <c r="V5553">
        <v>0.1128908</v>
      </c>
      <c r="W5553">
        <v>-2.4704759999999999E-2</v>
      </c>
      <c r="X5553">
        <v>0.99330030000000002</v>
      </c>
      <c r="Y5553">
        <v>0.3689326</v>
      </c>
      <c r="Z5553">
        <v>0.1494347</v>
      </c>
      <c r="AA5553">
        <v>0.91736470000000003</v>
      </c>
      <c r="AB5553">
        <v>10</v>
      </c>
      <c r="AC5553">
        <v>-3.7925000000000102</v>
      </c>
      <c r="AD5553">
        <v>-1.10976397934</v>
      </c>
      <c r="AE5553">
        <v>-6.3715999999999999</v>
      </c>
      <c r="AF5553">
        <v>2.7383965998328201</v>
      </c>
      <c r="AG5553">
        <v>-1.10976397934</v>
      </c>
      <c r="AH5553">
        <v>6.7155590400775802</v>
      </c>
      <c r="AI5553">
        <v>98.699909399064296</v>
      </c>
      <c r="AJ5553">
        <v>67.815889345399</v>
      </c>
      <c r="AK5553">
        <v>7.3368334619632902</v>
      </c>
      <c r="AL5553">
        <v>91.415622403278107</v>
      </c>
      <c r="AM5553">
        <v>83.516028489595598</v>
      </c>
      <c r="AN5553">
        <v>1.0000000719356901</v>
      </c>
    </row>
    <row r="5554" spans="1:40" x14ac:dyDescent="0.25">
      <c r="A5554" t="str">
        <f>"20190312154034113"</f>
        <v>20190312154034113</v>
      </c>
      <c r="B5554" t="str">
        <f>"1552376434101350"</f>
        <v>1552376434101350</v>
      </c>
      <c r="C5554" t="s">
        <v>40</v>
      </c>
      <c r="D5554">
        <v>4.0448389999999996</v>
      </c>
      <c r="E5554">
        <v>0.60442359999999995</v>
      </c>
      <c r="F5554" t="s">
        <v>55</v>
      </c>
      <c r="G5554">
        <v>-196.45930000000001</v>
      </c>
      <c r="H5554" s="1">
        <v>-1.2962539999999999E-5</v>
      </c>
      <c r="I5554">
        <v>152.84139999999999</v>
      </c>
      <c r="J5554">
        <v>-192.65020000000001</v>
      </c>
      <c r="K5554">
        <v>1.1097440000000001</v>
      </c>
      <c r="L5554">
        <v>159.21960000000001</v>
      </c>
      <c r="M5554">
        <v>-0.150169</v>
      </c>
      <c r="N5554">
        <v>0</v>
      </c>
      <c r="O5554">
        <v>-0.98857059999999997</v>
      </c>
      <c r="P5554">
        <v>-0.26120919999999997</v>
      </c>
      <c r="Q5554">
        <v>-3.7904229999999997E-2</v>
      </c>
      <c r="R5554">
        <v>-0.96453789999999995</v>
      </c>
      <c r="S5554">
        <v>-1.57959</v>
      </c>
      <c r="T5554">
        <v>-0.45878819999999998</v>
      </c>
      <c r="U5554">
        <v>-2.6658330000000001</v>
      </c>
      <c r="V5554">
        <v>0.11336259999999999</v>
      </c>
      <c r="W5554">
        <v>-2.4788009999999999E-2</v>
      </c>
      <c r="X5554">
        <v>0.99324440000000003</v>
      </c>
      <c r="Y5554">
        <v>0.36907499999999999</v>
      </c>
      <c r="Z5554">
        <v>0.14905550000000001</v>
      </c>
      <c r="AA5554">
        <v>0.91736910000000005</v>
      </c>
      <c r="AB5554">
        <v>10</v>
      </c>
      <c r="AC5554">
        <v>-3.8090999999999999</v>
      </c>
      <c r="AD5554">
        <v>-1.1097569625399999</v>
      </c>
      <c r="AE5554">
        <v>-6.3782000000000201</v>
      </c>
      <c r="AF5554">
        <v>2.7467135501628102</v>
      </c>
      <c r="AG5554">
        <v>-1.1097569625399999</v>
      </c>
      <c r="AH5554">
        <v>6.7277916773214796</v>
      </c>
      <c r="AI5554">
        <v>98.682798348640404</v>
      </c>
      <c r="AJ5554">
        <v>67.791585814845106</v>
      </c>
      <c r="AK5554">
        <v>7.3511343815760997</v>
      </c>
      <c r="AL5554">
        <v>91.420393866477099</v>
      </c>
      <c r="AM5554">
        <v>83.488799203218605</v>
      </c>
      <c r="AN5554">
        <v>0.99999998132493995</v>
      </c>
    </row>
    <row r="5555" spans="1:40" x14ac:dyDescent="0.25">
      <c r="A5555" t="str">
        <f>"20190312154034130"</f>
        <v>20190312154034130</v>
      </c>
      <c r="B5555" t="str">
        <f>"1552376434121847"</f>
        <v>1552376434121847</v>
      </c>
      <c r="C5555" t="s">
        <v>40</v>
      </c>
      <c r="D5555">
        <v>4.0496749999999997</v>
      </c>
      <c r="E5555">
        <v>0.60428009999999999</v>
      </c>
      <c r="F5555" t="s">
        <v>55</v>
      </c>
      <c r="G5555">
        <v>-196.49260000000001</v>
      </c>
      <c r="H5555" s="1">
        <v>-1.2943740000000001E-5</v>
      </c>
      <c r="I5555">
        <v>152.75489999999999</v>
      </c>
      <c r="J5555">
        <v>-192.6634</v>
      </c>
      <c r="K5555">
        <v>1.1097379999999999</v>
      </c>
      <c r="L5555">
        <v>159.14169999999999</v>
      </c>
      <c r="M5555">
        <v>-0.15132509999999999</v>
      </c>
      <c r="N5555">
        <v>0</v>
      </c>
      <c r="O5555">
        <v>-0.98839429999999995</v>
      </c>
      <c r="P5555">
        <v>-0.26326949999999999</v>
      </c>
      <c r="Q5555">
        <v>-3.7646390000000002E-2</v>
      </c>
      <c r="R5555">
        <v>-0.96398759999999994</v>
      </c>
      <c r="S5555">
        <v>-1.583115</v>
      </c>
      <c r="T5555">
        <v>-0.45724229999999999</v>
      </c>
      <c r="U5555">
        <v>-2.663589</v>
      </c>
      <c r="V5555">
        <v>0.1143208</v>
      </c>
      <c r="W5555">
        <v>-2.4537010000000001E-2</v>
      </c>
      <c r="X5555">
        <v>0.99314080000000005</v>
      </c>
      <c r="Y5555">
        <v>0.36926320000000001</v>
      </c>
      <c r="Z5555">
        <v>0.14857919999999999</v>
      </c>
      <c r="AA5555">
        <v>0.91737069999999998</v>
      </c>
      <c r="AB5555">
        <v>10</v>
      </c>
      <c r="AC5555">
        <v>-3.8292000000000099</v>
      </c>
      <c r="AD5555">
        <v>-1.1097509437399999</v>
      </c>
      <c r="AE5555">
        <v>-6.3867999999999903</v>
      </c>
      <c r="AF5555">
        <v>2.7572911835549299</v>
      </c>
      <c r="AG5555">
        <v>-1.1097509437399999</v>
      </c>
      <c r="AH5555">
        <v>6.7429908931197398</v>
      </c>
      <c r="AI5555">
        <v>98.661540790773699</v>
      </c>
      <c r="AJ5555">
        <v>67.759748652950194</v>
      </c>
      <c r="AK5555">
        <v>7.3689977617541302</v>
      </c>
      <c r="AL5555">
        <v>91.406008252606995</v>
      </c>
      <c r="AM5555">
        <v>83.433562764103002</v>
      </c>
      <c r="AN5555">
        <v>0.99999997939851004</v>
      </c>
    </row>
    <row r="5556" spans="1:40" x14ac:dyDescent="0.25">
      <c r="A5556" t="str">
        <f>"20190312154034144"</f>
        <v>20190312154034144</v>
      </c>
      <c r="B5556" t="str">
        <f>"1552376434131607"</f>
        <v>1552376434131607</v>
      </c>
      <c r="C5556" t="s">
        <v>40</v>
      </c>
      <c r="D5556">
        <v>4.0488720000000002</v>
      </c>
      <c r="E5556">
        <v>0.60419009999999995</v>
      </c>
      <c r="F5556" t="s">
        <v>55</v>
      </c>
      <c r="G5556">
        <v>-196.54230000000001</v>
      </c>
      <c r="H5556" s="1">
        <v>-1.292007E-5</v>
      </c>
      <c r="I5556">
        <v>152.64330000000001</v>
      </c>
      <c r="J5556">
        <v>-192.6747</v>
      </c>
      <c r="K5556">
        <v>1.1097269999999999</v>
      </c>
      <c r="L5556">
        <v>159.07599999999999</v>
      </c>
      <c r="M5556">
        <v>-0.15231439999999999</v>
      </c>
      <c r="N5556">
        <v>0</v>
      </c>
      <c r="O5556">
        <v>-0.98824250000000002</v>
      </c>
      <c r="P5556">
        <v>-0.2646268</v>
      </c>
      <c r="Q5556">
        <v>-3.7383029999999998E-2</v>
      </c>
      <c r="R5556">
        <v>-0.96362650000000005</v>
      </c>
      <c r="S5556">
        <v>-1.588104</v>
      </c>
      <c r="T5556">
        <v>-0.45435789999999998</v>
      </c>
      <c r="U5556">
        <v>-2.6606139999999998</v>
      </c>
      <c r="V5556">
        <v>0.1147232</v>
      </c>
      <c r="W5556">
        <v>-2.4278790000000001E-2</v>
      </c>
      <c r="X5556">
        <v>0.99310080000000001</v>
      </c>
      <c r="Y5556">
        <v>0.37012410000000001</v>
      </c>
      <c r="Z5556">
        <v>0.147677799999999</v>
      </c>
      <c r="AA5556">
        <v>0.91716920000000002</v>
      </c>
      <c r="AB5556">
        <v>10</v>
      </c>
      <c r="AC5556">
        <v>-3.8675999999999999</v>
      </c>
      <c r="AD5556">
        <v>-1.10973992007</v>
      </c>
      <c r="AE5556">
        <v>-6.4326999999999801</v>
      </c>
      <c r="AF5556">
        <v>2.7817771432704399</v>
      </c>
      <c r="AG5556">
        <v>-1.10973992007</v>
      </c>
      <c r="AH5556">
        <v>6.7981688708561698</v>
      </c>
      <c r="AI5556">
        <v>98.591369043637002</v>
      </c>
      <c r="AJ5556">
        <v>67.745864451076201</v>
      </c>
      <c r="AK5556">
        <v>7.4286544381669</v>
      </c>
      <c r="AL5556">
        <v>91.391208848882599</v>
      </c>
      <c r="AM5556">
        <v>83.410389276771895</v>
      </c>
      <c r="AN5556">
        <v>1.0000000356113701</v>
      </c>
    </row>
    <row r="5557" spans="1:40" x14ac:dyDescent="0.25">
      <c r="A5557" t="str">
        <f>"20190312154034156"</f>
        <v>20190312154034156</v>
      </c>
      <c r="B5557" t="str">
        <f>"1552376434152103"</f>
        <v>1552376434152103</v>
      </c>
      <c r="C5557" t="s">
        <v>40</v>
      </c>
      <c r="D5557">
        <v>4.0613060000000001</v>
      </c>
      <c r="E5557">
        <v>0.60401930000000004</v>
      </c>
      <c r="F5557" t="s">
        <v>55</v>
      </c>
      <c r="G5557">
        <v>-196.5795</v>
      </c>
      <c r="H5557" s="1">
        <v>-1.2900469999999999E-5</v>
      </c>
      <c r="I5557">
        <v>152.5523</v>
      </c>
      <c r="J5557">
        <v>-192.6848</v>
      </c>
      <c r="K5557">
        <v>1.1097159999999999</v>
      </c>
      <c r="L5557">
        <v>159.017</v>
      </c>
      <c r="M5557">
        <v>-0.15321290000000001</v>
      </c>
      <c r="N5557">
        <v>0</v>
      </c>
      <c r="O5557">
        <v>-0.98810350000000002</v>
      </c>
      <c r="P5557">
        <v>-0.2659069</v>
      </c>
      <c r="Q5557">
        <v>-3.7110150000000001E-2</v>
      </c>
      <c r="R5557">
        <v>-0.96328460000000005</v>
      </c>
      <c r="S5557">
        <v>-1.591385</v>
      </c>
      <c r="T5557">
        <v>-0.4522661</v>
      </c>
      <c r="U5557">
        <v>-2.6586759999999998</v>
      </c>
      <c r="V5557">
        <v>0.11513760000000001</v>
      </c>
      <c r="W5557">
        <v>-2.401095E-2</v>
      </c>
      <c r="X5557">
        <v>0.99305929999999998</v>
      </c>
      <c r="Y5557">
        <v>0.37045939999999999</v>
      </c>
      <c r="Z5557">
        <v>0.14702029999999999</v>
      </c>
      <c r="AA5557">
        <v>0.9171395</v>
      </c>
      <c r="AB5557">
        <v>10</v>
      </c>
      <c r="AC5557">
        <v>-3.8946999999999998</v>
      </c>
      <c r="AD5557">
        <v>-1.1097289004699999</v>
      </c>
      <c r="AE5557">
        <v>-6.4646999999999899</v>
      </c>
      <c r="AF5557">
        <v>2.7976591998087801</v>
      </c>
      <c r="AG5557">
        <v>-1.1097289004699999</v>
      </c>
      <c r="AH5557">
        <v>6.8373075004122104</v>
      </c>
      <c r="AI5557">
        <v>98.5428912998713</v>
      </c>
      <c r="AJ5557">
        <v>67.746821121698005</v>
      </c>
      <c r="AK5557">
        <v>7.4704196057521504</v>
      </c>
      <c r="AL5557">
        <v>91.3758583450674</v>
      </c>
      <c r="AM5557">
        <v>83.386523015965594</v>
      </c>
      <c r="AN5557">
        <v>0.99999998298507597</v>
      </c>
    </row>
    <row r="5558" spans="1:40" x14ac:dyDescent="0.25">
      <c r="A5558" t="str">
        <f>"20190312154034170"</f>
        <v>20190312154034170</v>
      </c>
      <c r="B5558" t="str">
        <f>"1552376434161863"</f>
        <v>1552376434161863</v>
      </c>
      <c r="C5558" t="s">
        <v>40</v>
      </c>
      <c r="D5558">
        <v>4.0578469999999998</v>
      </c>
      <c r="E5558">
        <v>0.60395750000000004</v>
      </c>
      <c r="F5558" t="s">
        <v>55</v>
      </c>
      <c r="G5558">
        <v>-196.6163</v>
      </c>
      <c r="H5558" s="1">
        <v>-1.288123E-5</v>
      </c>
      <c r="I5558">
        <v>152.46279999999999</v>
      </c>
      <c r="J5558">
        <v>-192.69540000000001</v>
      </c>
      <c r="K5558">
        <v>1.109701</v>
      </c>
      <c r="L5558">
        <v>158.9563</v>
      </c>
      <c r="M5558">
        <v>-0.154158399999999</v>
      </c>
      <c r="N5558">
        <v>0</v>
      </c>
      <c r="O5558">
        <v>-0.98795639999999996</v>
      </c>
      <c r="P5558">
        <v>-0.26702429999999999</v>
      </c>
      <c r="Q5558">
        <v>-3.6913260000000003E-2</v>
      </c>
      <c r="R5558">
        <v>-0.96298280000000003</v>
      </c>
      <c r="S5558">
        <v>-1.593842</v>
      </c>
      <c r="T5558">
        <v>-0.44988299999999998</v>
      </c>
      <c r="U5558">
        <v>-2.6570429999999998</v>
      </c>
      <c r="V5558">
        <v>0.1153377</v>
      </c>
      <c r="W5558">
        <v>-2.3819099999999999E-2</v>
      </c>
      <c r="X5558">
        <v>0.9930407</v>
      </c>
      <c r="Y5558">
        <v>0.37050139999999998</v>
      </c>
      <c r="Z5558">
        <v>0.1462734</v>
      </c>
      <c r="AA5558">
        <v>0.91724190000000005</v>
      </c>
      <c r="AB5558">
        <v>10</v>
      </c>
      <c r="AC5558">
        <v>-3.9208999999999801</v>
      </c>
      <c r="AD5558">
        <v>-1.10971388123</v>
      </c>
      <c r="AE5558">
        <v>-6.4935000000000098</v>
      </c>
      <c r="AF5558">
        <v>2.8127071264104502</v>
      </c>
      <c r="AG5558">
        <v>-1.10971388123</v>
      </c>
      <c r="AH5558">
        <v>6.8732538746079799</v>
      </c>
      <c r="AI5558">
        <v>98.498608708203406</v>
      </c>
      <c r="AJ5558">
        <v>67.744396602758798</v>
      </c>
      <c r="AK5558">
        <v>7.5089549940033802</v>
      </c>
      <c r="AL5558">
        <v>91.3648630045315</v>
      </c>
      <c r="AM5558">
        <v>83.375008416403304</v>
      </c>
      <c r="AN5558">
        <v>0.99999998321129402</v>
      </c>
    </row>
    <row r="5559" spans="1:40" x14ac:dyDescent="0.25">
      <c r="A5559" t="str">
        <f>"20190312154034186"</f>
        <v>20190312154034186</v>
      </c>
      <c r="B5559" t="str">
        <f>"1552376434171622"</f>
        <v>1552376434171622</v>
      </c>
      <c r="C5559" t="s">
        <v>40</v>
      </c>
      <c r="D5559">
        <v>4.0179999999999998</v>
      </c>
      <c r="E5559">
        <v>0.60387599999999997</v>
      </c>
      <c r="F5559" t="s">
        <v>55</v>
      </c>
      <c r="G5559">
        <v>-196.64830000000001</v>
      </c>
      <c r="H5559" s="1">
        <v>-1.286377E-5</v>
      </c>
      <c r="I5559">
        <v>152.38220000000001</v>
      </c>
      <c r="J5559">
        <v>-192.7079</v>
      </c>
      <c r="K5559">
        <v>1.1096809999999999</v>
      </c>
      <c r="L5559">
        <v>158.8844</v>
      </c>
      <c r="M5559">
        <v>-0.1552972</v>
      </c>
      <c r="N5559">
        <v>0</v>
      </c>
      <c r="O5559">
        <v>-0.98777809999999999</v>
      </c>
      <c r="P5559">
        <v>-0.26892640000000001</v>
      </c>
      <c r="Q5559">
        <v>-3.6894969999999999E-2</v>
      </c>
      <c r="R5559">
        <v>-0.96245429999999998</v>
      </c>
      <c r="S5559">
        <v>-1.596649</v>
      </c>
      <c r="T5559">
        <v>-0.44823420000000003</v>
      </c>
      <c r="U5559">
        <v>-2.655411</v>
      </c>
      <c r="V5559">
        <v>0.11615350000000001</v>
      </c>
      <c r="W5559">
        <v>-2.3808719999999998E-2</v>
      </c>
      <c r="X5559">
        <v>0.99294579999999999</v>
      </c>
      <c r="Y5559">
        <v>0.37043379999999998</v>
      </c>
      <c r="Z5559">
        <v>0.1457513</v>
      </c>
      <c r="AA5559">
        <v>0.91735239999999996</v>
      </c>
      <c r="AB5559">
        <v>10</v>
      </c>
      <c r="AC5559">
        <v>-3.9404000000000101</v>
      </c>
      <c r="AD5559">
        <v>-1.10969386377</v>
      </c>
      <c r="AE5559">
        <v>-6.5021999999999798</v>
      </c>
      <c r="AF5559">
        <v>2.8225934351641699</v>
      </c>
      <c r="AG5559">
        <v>-1.10969386377</v>
      </c>
      <c r="AH5559">
        <v>6.8885414610203402</v>
      </c>
      <c r="AI5559">
        <v>98.478327474257895</v>
      </c>
      <c r="AJ5559">
        <v>67.718537863892294</v>
      </c>
      <c r="AK5559">
        <v>7.5266498278926797</v>
      </c>
      <c r="AL5559">
        <v>91.364268183382706</v>
      </c>
      <c r="AM5559">
        <v>83.327937973357393</v>
      </c>
      <c r="AN5559">
        <v>0.99999992622396106</v>
      </c>
    </row>
    <row r="5560" spans="1:40" x14ac:dyDescent="0.25">
      <c r="A5560" t="str">
        <f>"20190312154034199"</f>
        <v>20190312154034199</v>
      </c>
      <c r="B5560" t="str">
        <f>"1552376434192118"</f>
        <v>1552376434192118</v>
      </c>
      <c r="C5560" t="s">
        <v>40</v>
      </c>
      <c r="D5560">
        <v>4.0910320000000002</v>
      </c>
      <c r="E5560">
        <v>0.60369530000000005</v>
      </c>
      <c r="F5560" t="s">
        <v>55</v>
      </c>
      <c r="G5560">
        <v>-196.684</v>
      </c>
      <c r="H5560" s="1">
        <v>-1.284617E-5</v>
      </c>
      <c r="I5560">
        <v>152.2996</v>
      </c>
      <c r="J5560">
        <v>-192.71889999999999</v>
      </c>
      <c r="K5560">
        <v>1.109664</v>
      </c>
      <c r="L5560">
        <v>158.82210000000001</v>
      </c>
      <c r="M5560">
        <v>-0.1562984</v>
      </c>
      <c r="N5560">
        <v>0</v>
      </c>
      <c r="O5560">
        <v>-0.9876201</v>
      </c>
      <c r="P5560">
        <v>-0.27026699999999998</v>
      </c>
      <c r="Q5560">
        <v>-3.6867860000000002E-2</v>
      </c>
      <c r="R5560">
        <v>-0.96207929999999997</v>
      </c>
      <c r="S5560">
        <v>-1.6015779999999999</v>
      </c>
      <c r="T5560">
        <v>-0.44699220000000001</v>
      </c>
      <c r="U5560">
        <v>-2.652374</v>
      </c>
      <c r="V5560">
        <v>0.1165291</v>
      </c>
      <c r="W5560">
        <v>-2.378769E-2</v>
      </c>
      <c r="X5560">
        <v>0.99290239999999996</v>
      </c>
      <c r="Y5560">
        <v>0.37123660000000003</v>
      </c>
      <c r="Z5560">
        <v>0.14537340000000001</v>
      </c>
      <c r="AA5560">
        <v>0.91708769999999995</v>
      </c>
      <c r="AB5560">
        <v>10</v>
      </c>
      <c r="AC5560">
        <v>-3.9651000000000298</v>
      </c>
      <c r="AD5560">
        <v>-1.10967684617</v>
      </c>
      <c r="AE5560">
        <v>-6.5225</v>
      </c>
      <c r="AF5560">
        <v>2.8368583916682901</v>
      </c>
      <c r="AG5560">
        <v>-1.10967684617</v>
      </c>
      <c r="AH5560">
        <v>6.9159542174025201</v>
      </c>
      <c r="AI5560">
        <v>98.443799018847898</v>
      </c>
      <c r="AJ5560">
        <v>67.697029679837101</v>
      </c>
      <c r="AK5560">
        <v>7.5570874663796497</v>
      </c>
      <c r="AL5560">
        <v>91.363062769352297</v>
      </c>
      <c r="AM5560">
        <v>83.306268381338796</v>
      </c>
      <c r="AN5560">
        <v>1.00000003063405</v>
      </c>
    </row>
    <row r="5561" spans="1:40" x14ac:dyDescent="0.25">
      <c r="A5561" t="str">
        <f>"20190312154034213"</f>
        <v>20190312154034213</v>
      </c>
      <c r="B5561" t="str">
        <f>"1552376434201879"</f>
        <v>1552376434201879</v>
      </c>
      <c r="C5561" t="s">
        <v>40</v>
      </c>
      <c r="D5561">
        <v>4.0610369999999998</v>
      </c>
      <c r="E5561">
        <v>0.60361189999999998</v>
      </c>
      <c r="F5561" t="s">
        <v>55</v>
      </c>
      <c r="G5561">
        <v>-196.71080000000001</v>
      </c>
      <c r="H5561" s="1">
        <v>-1.2829830000000001E-5</v>
      </c>
      <c r="I5561">
        <v>152.2253</v>
      </c>
      <c r="J5561">
        <v>-192.73089999999999</v>
      </c>
      <c r="K5561">
        <v>1.1096429999999999</v>
      </c>
      <c r="L5561">
        <v>158.75450000000001</v>
      </c>
      <c r="M5561">
        <v>-0.15741269999999999</v>
      </c>
      <c r="N5561">
        <v>0</v>
      </c>
      <c r="O5561">
        <v>-0.98744330000000002</v>
      </c>
      <c r="P5561">
        <v>-0.27175359999999998</v>
      </c>
      <c r="Q5561">
        <v>-3.6652049999999999E-2</v>
      </c>
      <c r="R5561">
        <v>-0.96166870000000004</v>
      </c>
      <c r="S5561">
        <v>-1.603928</v>
      </c>
      <c r="T5561">
        <v>-0.44586140000000002</v>
      </c>
      <c r="U5561">
        <v>-2.6505890000000001</v>
      </c>
      <c r="V5561">
        <v>0.1169413</v>
      </c>
      <c r="W5561">
        <v>-2.3578289999999998E-2</v>
      </c>
      <c r="X5561">
        <v>0.99285889999999999</v>
      </c>
      <c r="Y5561">
        <v>0.37108560000000002</v>
      </c>
      <c r="Z5561">
        <v>0.1450311</v>
      </c>
      <c r="AA5561">
        <v>0.91720310000000005</v>
      </c>
      <c r="AB5561">
        <v>10</v>
      </c>
      <c r="AC5561">
        <v>-3.97990000000001</v>
      </c>
      <c r="AD5561">
        <v>-1.1096558298300001</v>
      </c>
      <c r="AE5561">
        <v>-6.5292000000000003</v>
      </c>
      <c r="AF5561">
        <v>2.8425416015387301</v>
      </c>
      <c r="AG5561">
        <v>-1.1096558298300001</v>
      </c>
      <c r="AH5561">
        <v>6.9284202078815502</v>
      </c>
      <c r="AI5561">
        <v>98.428427679339606</v>
      </c>
      <c r="AJ5561">
        <v>67.692996527144899</v>
      </c>
      <c r="AK5561">
        <v>7.5706264862384796</v>
      </c>
      <c r="AL5561">
        <v>91.351061709647695</v>
      </c>
      <c r="AM5561">
        <v>83.282514930942696</v>
      </c>
      <c r="AN5561">
        <v>0.99999999935711203</v>
      </c>
    </row>
    <row r="5562" spans="1:40" x14ac:dyDescent="0.25">
      <c r="A5562" t="str">
        <f>"20190312154034230"</f>
        <v>20190312154034230</v>
      </c>
      <c r="B5562" t="str">
        <f>"1552376434221402"</f>
        <v>1552376434221402</v>
      </c>
      <c r="C5562" t="s">
        <v>40</v>
      </c>
      <c r="D5562">
        <v>4.0502659999999997</v>
      </c>
      <c r="E5562">
        <v>0.60344169999999997</v>
      </c>
      <c r="F5562" t="s">
        <v>55</v>
      </c>
      <c r="G5562">
        <v>-196.74209999999999</v>
      </c>
      <c r="H5562" s="1">
        <v>-1.28125E-5</v>
      </c>
      <c r="I5562">
        <v>152.1454</v>
      </c>
      <c r="J5562">
        <v>-192.74369999999999</v>
      </c>
      <c r="K5562">
        <v>1.1096280000000001</v>
      </c>
      <c r="L5562">
        <v>158.6833</v>
      </c>
      <c r="M5562">
        <v>-0.15861059999999999</v>
      </c>
      <c r="N5562">
        <v>0</v>
      </c>
      <c r="O5562">
        <v>-0.98725149999999995</v>
      </c>
      <c r="P5562">
        <v>-0.27383059999999998</v>
      </c>
      <c r="Q5562">
        <v>-3.6140470000000001E-2</v>
      </c>
      <c r="R5562">
        <v>-0.96109880000000003</v>
      </c>
      <c r="S5562">
        <v>-1.6073459999999999</v>
      </c>
      <c r="T5562">
        <v>-0.44466410000000001</v>
      </c>
      <c r="U5562">
        <v>-2.6484380000000001</v>
      </c>
      <c r="V5562">
        <v>0.11787789999999999</v>
      </c>
      <c r="W5562">
        <v>-2.3074529999999999E-2</v>
      </c>
      <c r="X5562">
        <v>0.99275999999999998</v>
      </c>
      <c r="Y5562">
        <v>0.37118479999999998</v>
      </c>
      <c r="Z5562">
        <v>0.1446597</v>
      </c>
      <c r="AA5562">
        <v>0.91722150000000002</v>
      </c>
      <c r="AB5562">
        <v>10</v>
      </c>
      <c r="AC5562">
        <v>-3.9984000000000002</v>
      </c>
      <c r="AD5562">
        <v>-1.1096408124999999</v>
      </c>
      <c r="AE5562">
        <v>-6.5378999999999996</v>
      </c>
      <c r="AF5562">
        <v>2.8509341431442401</v>
      </c>
      <c r="AG5562">
        <v>-1.1096408124999999</v>
      </c>
      <c r="AH5562">
        <v>6.9437915700002302</v>
      </c>
      <c r="AI5562">
        <v>98.409050013082293</v>
      </c>
      <c r="AJ5562">
        <v>67.678264913945497</v>
      </c>
      <c r="AK5562">
        <v>7.58784354009211</v>
      </c>
      <c r="AL5562">
        <v>91.322190497185801</v>
      </c>
      <c r="AM5562">
        <v>83.228542886882394</v>
      </c>
      <c r="AN5562">
        <v>1.00000002542156</v>
      </c>
    </row>
    <row r="5563" spans="1:40" x14ac:dyDescent="0.25">
      <c r="A5563" t="str">
        <f>"20190312154034241"</f>
        <v>20190312154034241</v>
      </c>
      <c r="B5563" t="str">
        <f>"1552376434232135"</f>
        <v>1552376434232135</v>
      </c>
      <c r="C5563" t="s">
        <v>40</v>
      </c>
      <c r="D5563">
        <v>4.0671530000000002</v>
      </c>
      <c r="E5563">
        <v>0.60334809999999905</v>
      </c>
      <c r="F5563" t="s">
        <v>55</v>
      </c>
      <c r="G5563">
        <v>-196.77699999999999</v>
      </c>
      <c r="H5563" s="1">
        <v>-1.279459E-5</v>
      </c>
      <c r="I5563">
        <v>152.06190000000001</v>
      </c>
      <c r="J5563">
        <v>-192.75380000000001</v>
      </c>
      <c r="K5563">
        <v>1.109621</v>
      </c>
      <c r="L5563">
        <v>158.6276</v>
      </c>
      <c r="M5563">
        <v>-0.15956310000000001</v>
      </c>
      <c r="N5563">
        <v>0</v>
      </c>
      <c r="O5563">
        <v>-0.98709769999999997</v>
      </c>
      <c r="P5563">
        <v>-0.2752098</v>
      </c>
      <c r="Q5563">
        <v>-3.5344449999999999E-2</v>
      </c>
      <c r="R5563">
        <v>-0.96073430000000004</v>
      </c>
      <c r="S5563">
        <v>-1.6115109999999999</v>
      </c>
      <c r="T5563">
        <v>-0.44336029999999998</v>
      </c>
      <c r="U5563">
        <v>-2.6456300000000001</v>
      </c>
      <c r="V5563">
        <v>0.1183404</v>
      </c>
      <c r="W5563">
        <v>-2.2283560000000001E-2</v>
      </c>
      <c r="X5563">
        <v>0.99272300000000002</v>
      </c>
      <c r="Y5563">
        <v>0.37180629999999998</v>
      </c>
      <c r="Z5563">
        <v>0.14426710000000001</v>
      </c>
      <c r="AA5563">
        <v>0.91703170000000001</v>
      </c>
      <c r="AB5563">
        <v>10</v>
      </c>
      <c r="AC5563">
        <v>-4.0232000000000001</v>
      </c>
      <c r="AD5563">
        <v>-1.1096337945900001</v>
      </c>
      <c r="AE5563">
        <v>-6.5656999999999899</v>
      </c>
      <c r="AF5563">
        <v>2.8644263523522402</v>
      </c>
      <c r="AG5563">
        <v>-1.1096337945900001</v>
      </c>
      <c r="AH5563">
        <v>6.9786587075275097</v>
      </c>
      <c r="AI5563">
        <v>98.367922312983893</v>
      </c>
      <c r="AJ5563">
        <v>67.684049496225299</v>
      </c>
      <c r="AK5563">
        <v>7.6248214957660299</v>
      </c>
      <c r="AL5563">
        <v>91.276859651905696</v>
      </c>
      <c r="AM5563">
        <v>83.201971877797803</v>
      </c>
      <c r="AN5563">
        <v>0.99999998102371601</v>
      </c>
    </row>
    <row r="5564" spans="1:40" x14ac:dyDescent="0.25">
      <c r="A5564" t="str">
        <f>"20190312154034254"</f>
        <v>20190312154034254</v>
      </c>
      <c r="B5564" t="str">
        <f>"1552376434241895"</f>
        <v>1552376434241895</v>
      </c>
      <c r="C5564" t="s">
        <v>40</v>
      </c>
      <c r="D5564">
        <v>4.0781080000000003</v>
      </c>
      <c r="E5564">
        <v>0.60326840000000004</v>
      </c>
      <c r="F5564" t="s">
        <v>55</v>
      </c>
      <c r="G5564">
        <v>-196.8159</v>
      </c>
      <c r="H5564" s="1">
        <v>-1.2776360000000001E-5</v>
      </c>
      <c r="I5564">
        <v>151.97569999999999</v>
      </c>
      <c r="J5564">
        <v>-192.7647</v>
      </c>
      <c r="K5564">
        <v>1.1096109999999999</v>
      </c>
      <c r="L5564">
        <v>158.56819999999999</v>
      </c>
      <c r="M5564">
        <v>-0.16059709999999999</v>
      </c>
      <c r="N5564">
        <v>0</v>
      </c>
      <c r="O5564">
        <v>-0.98693019999999998</v>
      </c>
      <c r="P5564">
        <v>-0.27676400000000001</v>
      </c>
      <c r="Q5564">
        <v>-3.4396450000000002E-2</v>
      </c>
      <c r="R5564">
        <v>-0.96032240000000002</v>
      </c>
      <c r="S5564">
        <v>-1.6145480000000001</v>
      </c>
      <c r="T5564">
        <v>-0.44103759999999997</v>
      </c>
      <c r="U5564">
        <v>-2.6439059999999999</v>
      </c>
      <c r="V5564">
        <v>0.1189017</v>
      </c>
      <c r="W5564">
        <v>-2.1340959999999999E-2</v>
      </c>
      <c r="X5564">
        <v>0.99267669999999997</v>
      </c>
      <c r="Y5564">
        <v>0.37192500000000001</v>
      </c>
      <c r="Z5564">
        <v>0.1435273</v>
      </c>
      <c r="AA5564">
        <v>0.91709969999999996</v>
      </c>
      <c r="AB5564">
        <v>10</v>
      </c>
      <c r="AC5564">
        <v>-4.0511999999999899</v>
      </c>
      <c r="AD5564">
        <v>-1.1096237763600001</v>
      </c>
      <c r="AE5564">
        <v>-6.5925000000000002</v>
      </c>
      <c r="AF5564">
        <v>2.8805390543544398</v>
      </c>
      <c r="AG5564">
        <v>-1.1096237763600001</v>
      </c>
      <c r="AH5564">
        <v>7.0133567669209897</v>
      </c>
      <c r="AI5564">
        <v>98.326261019263995</v>
      </c>
      <c r="AJ5564">
        <v>67.670971461275002</v>
      </c>
      <c r="AK5564">
        <v>7.6626329227518797</v>
      </c>
      <c r="AL5564">
        <v>91.222839721855905</v>
      </c>
      <c r="AM5564">
        <v>83.169716498720703</v>
      </c>
      <c r="AN5564">
        <v>1.00000004077974</v>
      </c>
    </row>
    <row r="5565" spans="1:40" x14ac:dyDescent="0.25">
      <c r="A5565" t="str">
        <f>"20190312154034266"</f>
        <v>20190312154034266</v>
      </c>
      <c r="B5565" t="str">
        <f>"1552376434261415"</f>
        <v>1552376434261415</v>
      </c>
      <c r="C5565" t="s">
        <v>40</v>
      </c>
      <c r="D5565">
        <v>4.0631599999999999</v>
      </c>
      <c r="E5565">
        <v>0.60309729999999995</v>
      </c>
      <c r="F5565" t="s">
        <v>55</v>
      </c>
      <c r="G5565">
        <v>-196.86490000000001</v>
      </c>
      <c r="H5565" s="1">
        <v>-1.275519E-5</v>
      </c>
      <c r="I5565">
        <v>151.87430000000001</v>
      </c>
      <c r="J5565">
        <v>-192.77420000000001</v>
      </c>
      <c r="K5565">
        <v>1.1096090000000001</v>
      </c>
      <c r="L5565">
        <v>158.5164</v>
      </c>
      <c r="M5565">
        <v>-0.16152079999999999</v>
      </c>
      <c r="N5565">
        <v>0</v>
      </c>
      <c r="O5565">
        <v>-0.98677950000000003</v>
      </c>
      <c r="P5565">
        <v>-0.27835409999999999</v>
      </c>
      <c r="Q5565">
        <v>-3.3568630000000002E-2</v>
      </c>
      <c r="R5565">
        <v>-0.95989190000000002</v>
      </c>
      <c r="S5565">
        <v>-1.6182399999999999</v>
      </c>
      <c r="T5565">
        <v>-0.43793169999999998</v>
      </c>
      <c r="U5565">
        <v>-2.6418910000000002</v>
      </c>
      <c r="V5565">
        <v>0.1196122</v>
      </c>
      <c r="W5565">
        <v>-2.0518339999999999E-2</v>
      </c>
      <c r="X5565">
        <v>0.99260870000000001</v>
      </c>
      <c r="Y5565">
        <v>0.3723764</v>
      </c>
      <c r="Z5565">
        <v>0.14253629999999901</v>
      </c>
      <c r="AA5565">
        <v>0.91707099999999997</v>
      </c>
      <c r="AB5565">
        <v>10</v>
      </c>
      <c r="AC5565">
        <v>-4.0906999999999902</v>
      </c>
      <c r="AD5565">
        <v>-1.1096217551899901</v>
      </c>
      <c r="AE5565">
        <v>-6.6420999999999903</v>
      </c>
      <c r="AF5565">
        <v>2.9052595189960702</v>
      </c>
      <c r="AG5565">
        <v>-1.1096217551899901</v>
      </c>
      <c r="AH5565">
        <v>7.0725552827826004</v>
      </c>
      <c r="AI5565">
        <v>98.257354511817596</v>
      </c>
      <c r="AJ5565">
        <v>67.668154856672402</v>
      </c>
      <c r="AK5565">
        <v>7.726113611663</v>
      </c>
      <c r="AL5565">
        <v>91.175696723790693</v>
      </c>
      <c r="AM5565">
        <v>83.128824795525603</v>
      </c>
      <c r="AN5565">
        <v>1.0000000559904401</v>
      </c>
    </row>
    <row r="5566" spans="1:40" x14ac:dyDescent="0.25">
      <c r="A5566" t="str">
        <f>"20190312154034278"</f>
        <v>20190312154034278</v>
      </c>
      <c r="B5566" t="str">
        <f>"1552376434272150"</f>
        <v>1552376434272150</v>
      </c>
      <c r="C5566" t="s">
        <v>40</v>
      </c>
      <c r="D5566">
        <v>4.0255010000000002</v>
      </c>
      <c r="E5566">
        <v>0.60304309999999905</v>
      </c>
      <c r="F5566" t="s">
        <v>55</v>
      </c>
      <c r="G5566">
        <v>-196.90710000000001</v>
      </c>
      <c r="H5566" s="1">
        <v>-1.273692E-5</v>
      </c>
      <c r="I5566">
        <v>151.7868</v>
      </c>
      <c r="J5566">
        <v>-192.78469999999999</v>
      </c>
      <c r="K5566">
        <v>1.1096010000000001</v>
      </c>
      <c r="L5566">
        <v>158.45959999999999</v>
      </c>
      <c r="M5566">
        <v>-0.16254179999999999</v>
      </c>
      <c r="N5566">
        <v>0</v>
      </c>
      <c r="O5566">
        <v>-0.98661180000000004</v>
      </c>
      <c r="P5566">
        <v>-0.2799857</v>
      </c>
      <c r="Q5566">
        <v>-3.2585549999999998E-2</v>
      </c>
      <c r="R5566">
        <v>-0.95945130000000001</v>
      </c>
      <c r="S5566">
        <v>-1.6213070000000001</v>
      </c>
      <c r="T5566">
        <v>-0.43529430000000002</v>
      </c>
      <c r="U5566">
        <v>-2.6399689999999998</v>
      </c>
      <c r="V5566">
        <v>0.12026779999999999</v>
      </c>
      <c r="W5566">
        <v>-1.954057E-2</v>
      </c>
      <c r="X5566">
        <v>0.99254909999999996</v>
      </c>
      <c r="Y5566">
        <v>0.37255199999999999</v>
      </c>
      <c r="Z5566">
        <v>0.14170239999999901</v>
      </c>
      <c r="AA5566">
        <v>0.91712890000000002</v>
      </c>
      <c r="AB5566">
        <v>10</v>
      </c>
      <c r="AC5566">
        <v>-4.1224000000000203</v>
      </c>
      <c r="AD5566">
        <v>-1.1096137369200001</v>
      </c>
      <c r="AE5566">
        <v>-6.6727999999999899</v>
      </c>
      <c r="AF5566">
        <v>2.92433764505116</v>
      </c>
      <c r="AG5566">
        <v>-1.1096137369200001</v>
      </c>
      <c r="AH5566">
        <v>7.1118356140607002</v>
      </c>
      <c r="AI5566">
        <v>98.211134133217001</v>
      </c>
      <c r="AJ5566">
        <v>67.647873923212998</v>
      </c>
      <c r="AK5566">
        <v>7.7692470104152997</v>
      </c>
      <c r="AL5566">
        <v>91.119663511857098</v>
      </c>
      <c r="AM5566">
        <v>83.091115727843302</v>
      </c>
      <c r="AN5566">
        <v>0.99999994675178605</v>
      </c>
    </row>
    <row r="5567" spans="1:40" x14ac:dyDescent="0.25">
      <c r="A5567" t="str">
        <f>"20190312154034290"</f>
        <v>20190312154034290</v>
      </c>
      <c r="B5567" t="str">
        <f>"1552376434281911"</f>
        <v>1552376434281911</v>
      </c>
      <c r="C5567" t="s">
        <v>40</v>
      </c>
      <c r="D5567">
        <v>4.0328660000000003</v>
      </c>
      <c r="E5567">
        <v>0.60296629999999996</v>
      </c>
      <c r="F5567" t="s">
        <v>55</v>
      </c>
      <c r="G5567">
        <v>-196.96209999999999</v>
      </c>
      <c r="H5567" s="1">
        <v>-1.271535E-5</v>
      </c>
      <c r="I5567">
        <v>151.68170000000001</v>
      </c>
      <c r="J5567">
        <v>-192.7953</v>
      </c>
      <c r="K5567">
        <v>1.1095930000000001</v>
      </c>
      <c r="L5567">
        <v>158.40260000000001</v>
      </c>
      <c r="M5567">
        <v>-0.1635925</v>
      </c>
      <c r="N5567">
        <v>0</v>
      </c>
      <c r="O5567">
        <v>-0.98643809999999998</v>
      </c>
      <c r="P5567">
        <v>-0.28169470000000002</v>
      </c>
      <c r="Q5567">
        <v>-3.1286429999999997E-2</v>
      </c>
      <c r="R5567">
        <v>-0.95899400000000001</v>
      </c>
      <c r="S5567">
        <v>-1.6256870000000001</v>
      </c>
      <c r="T5567">
        <v>-0.43181809999999998</v>
      </c>
      <c r="U5567">
        <v>-2.6376949999999999</v>
      </c>
      <c r="V5567">
        <v>0.12097330000000001</v>
      </c>
      <c r="W5567">
        <v>-1.8246809999999999E-2</v>
      </c>
      <c r="X5567">
        <v>0.99248800000000004</v>
      </c>
      <c r="Y5567">
        <v>0.37310589999999999</v>
      </c>
      <c r="Z5567">
        <v>0.140587299999999</v>
      </c>
      <c r="AA5567">
        <v>0.91707530000000004</v>
      </c>
      <c r="AB5567">
        <v>10</v>
      </c>
      <c r="AC5567">
        <v>-4.1667999999999896</v>
      </c>
      <c r="AD5567">
        <v>-1.1096057153499901</v>
      </c>
      <c r="AE5567">
        <v>-6.7209000000000003</v>
      </c>
      <c r="AF5567">
        <v>2.9529274435343198</v>
      </c>
      <c r="AG5567">
        <v>-1.1096057153499901</v>
      </c>
      <c r="AH5567">
        <v>7.1708682446852201</v>
      </c>
      <c r="AI5567">
        <v>98.1426885179594</v>
      </c>
      <c r="AJ5567">
        <v>67.618382543264701</v>
      </c>
      <c r="AK5567">
        <v>7.83405110482121</v>
      </c>
      <c r="AL5567">
        <v>91.045523269354902</v>
      </c>
      <c r="AM5567">
        <v>83.050559205034503</v>
      </c>
      <c r="AN5567">
        <v>0.99999995776603201</v>
      </c>
    </row>
    <row r="5568" spans="1:40" x14ac:dyDescent="0.25">
      <c r="A5568" t="str">
        <f>"20190312154034304"</f>
        <v>20190312154034304</v>
      </c>
      <c r="B5568" t="str">
        <f>"1552376434291670"</f>
        <v>1552376434291670</v>
      </c>
      <c r="C5568" t="s">
        <v>40</v>
      </c>
      <c r="D5568">
        <v>4.0303699999999996</v>
      </c>
      <c r="E5568">
        <v>0.6029217</v>
      </c>
      <c r="F5568" t="s">
        <v>55</v>
      </c>
      <c r="G5568">
        <v>-197.02690000000001</v>
      </c>
      <c r="H5568" s="1">
        <v>-1.26907199999999E-5</v>
      </c>
      <c r="I5568">
        <v>151.5609</v>
      </c>
      <c r="J5568">
        <v>-192.80590000000001</v>
      </c>
      <c r="K5568">
        <v>1.1095870000000001</v>
      </c>
      <c r="L5568">
        <v>158.3467</v>
      </c>
      <c r="M5568">
        <v>-0.16463849999999999</v>
      </c>
      <c r="N5568">
        <v>0</v>
      </c>
      <c r="O5568">
        <v>-0.98626420000000004</v>
      </c>
      <c r="P5568">
        <v>-0.28308640000000002</v>
      </c>
      <c r="Q5568">
        <v>-3.0457720000000001E-2</v>
      </c>
      <c r="R5568">
        <v>-0.95861099999999999</v>
      </c>
      <c r="S5568">
        <v>-1.630066</v>
      </c>
      <c r="T5568">
        <v>-0.42743370000000003</v>
      </c>
      <c r="U5568">
        <v>-2.635513</v>
      </c>
      <c r="V5568">
        <v>0.1213577</v>
      </c>
      <c r="W5568">
        <v>-1.7422449999999999E-2</v>
      </c>
      <c r="X5568">
        <v>0.992456</v>
      </c>
      <c r="Y5568">
        <v>0.37367109999999998</v>
      </c>
      <c r="Z5568">
        <v>0.13917769999999999</v>
      </c>
      <c r="AA5568">
        <v>0.91706030000000005</v>
      </c>
      <c r="AB5568">
        <v>10</v>
      </c>
      <c r="AC5568">
        <v>-4.2210000000000001</v>
      </c>
      <c r="AD5568">
        <v>-1.1095996907200001</v>
      </c>
      <c r="AE5568">
        <v>-6.7857999999999903</v>
      </c>
      <c r="AF5568">
        <v>2.9884731979905599</v>
      </c>
      <c r="AG5568">
        <v>-1.1095996907200001</v>
      </c>
      <c r="AH5568">
        <v>7.2484445713710199</v>
      </c>
      <c r="AI5568">
        <v>98.055257764318796</v>
      </c>
      <c r="AJ5568">
        <v>67.594054789790604</v>
      </c>
      <c r="AK5568">
        <v>7.9184677957918099</v>
      </c>
      <c r="AL5568">
        <v>90.998283289163098</v>
      </c>
      <c r="AM5568">
        <v>83.028471325897797</v>
      </c>
      <c r="AN5568">
        <v>1.0000000725246401</v>
      </c>
    </row>
    <row r="5569" spans="1:40" x14ac:dyDescent="0.25">
      <c r="A5569" t="str">
        <f>"20190312154034319"</f>
        <v>20190312154034319</v>
      </c>
      <c r="B5569" t="str">
        <f>"1552376434312166"</f>
        <v>1552376434312166</v>
      </c>
      <c r="C5569" t="s">
        <v>40</v>
      </c>
      <c r="D5569">
        <v>4.0357430000000001</v>
      </c>
      <c r="E5569">
        <v>0.60307619999999995</v>
      </c>
      <c r="F5569" t="s">
        <v>55</v>
      </c>
      <c r="G5569">
        <v>-197.07480000000001</v>
      </c>
      <c r="H5569" s="1">
        <v>-1.267082E-5</v>
      </c>
      <c r="I5569">
        <v>151.465</v>
      </c>
      <c r="J5569">
        <v>-192.81950000000001</v>
      </c>
      <c r="K5569">
        <v>1.1095839999999999</v>
      </c>
      <c r="L5569">
        <v>158.2748</v>
      </c>
      <c r="M5569">
        <v>-0.1660035</v>
      </c>
      <c r="N5569">
        <v>0</v>
      </c>
      <c r="O5569">
        <v>-0.98603529999999995</v>
      </c>
      <c r="P5569">
        <v>-0.28573009999999999</v>
      </c>
      <c r="Q5569">
        <v>-2.8992529999999999E-2</v>
      </c>
      <c r="R5569">
        <v>-0.95787180000000005</v>
      </c>
      <c r="S5569">
        <v>-1.6336980000000001</v>
      </c>
      <c r="T5569">
        <v>-0.42463459999999997</v>
      </c>
      <c r="U5569">
        <v>-2.633575</v>
      </c>
      <c r="V5569">
        <v>0.1227157</v>
      </c>
      <c r="W5569">
        <v>-1.5965340000000001E-2</v>
      </c>
      <c r="X5569">
        <v>0.99231340000000001</v>
      </c>
      <c r="Y5569">
        <v>0.37367159999999999</v>
      </c>
      <c r="Z5569">
        <v>0.13827629999999999</v>
      </c>
      <c r="AA5569">
        <v>0.91719640000000002</v>
      </c>
      <c r="AB5569">
        <v>10</v>
      </c>
      <c r="AC5569">
        <v>-4.2553000000000001</v>
      </c>
      <c r="AD5569">
        <v>-1.10959667081999</v>
      </c>
      <c r="AE5569">
        <v>-6.8097999999999903</v>
      </c>
      <c r="AF5569">
        <v>3.0082571339069601</v>
      </c>
      <c r="AG5569">
        <v>-1.10959667081999</v>
      </c>
      <c r="AH5569">
        <v>7.2826990991678899</v>
      </c>
      <c r="AI5569">
        <v>98.015672885615302</v>
      </c>
      <c r="AJ5569">
        <v>67.555998147049905</v>
      </c>
      <c r="AK5569">
        <v>7.9572936306647497</v>
      </c>
      <c r="AL5569">
        <v>90.914785502312</v>
      </c>
      <c r="AM5569">
        <v>82.950237233962994</v>
      </c>
      <c r="AN5569">
        <v>0.99999995946368103</v>
      </c>
    </row>
    <row r="5570" spans="1:40" x14ac:dyDescent="0.25">
      <c r="A5570" t="str">
        <f>"20190312154034332"</f>
        <v>20190312154034332</v>
      </c>
      <c r="B5570" t="str">
        <f>"1552376434321927"</f>
        <v>1552376434321927</v>
      </c>
      <c r="C5570" t="s">
        <v>40</v>
      </c>
      <c r="D5570">
        <v>4.0764209999999999</v>
      </c>
      <c r="E5570">
        <v>0.60300810000000005</v>
      </c>
      <c r="F5570" t="s">
        <v>55</v>
      </c>
      <c r="G5570">
        <v>-197.23230000000001</v>
      </c>
      <c r="H5570" s="1">
        <v>-1.26210999999999E-5</v>
      </c>
      <c r="I5570">
        <v>151.21190000000001</v>
      </c>
      <c r="J5570">
        <v>-192.8306</v>
      </c>
      <c r="K5570">
        <v>1.109578</v>
      </c>
      <c r="L5570">
        <v>158.2167</v>
      </c>
      <c r="M5570">
        <v>-0.16713129999999901</v>
      </c>
      <c r="N5570">
        <v>0</v>
      </c>
      <c r="O5570">
        <v>-0.98584490000000002</v>
      </c>
      <c r="P5570">
        <v>-0.28744199999999998</v>
      </c>
      <c r="Q5570">
        <v>-2.8018459999999999E-2</v>
      </c>
      <c r="R5570">
        <v>-0.95738829999999997</v>
      </c>
      <c r="S5570">
        <v>-1.64279199999999</v>
      </c>
      <c r="T5570">
        <v>-0.4130799</v>
      </c>
      <c r="U5570">
        <v>-2.6293950000000001</v>
      </c>
      <c r="V5570">
        <v>0.1233508</v>
      </c>
      <c r="W5570">
        <v>-1.4996249999999999E-2</v>
      </c>
      <c r="X5570">
        <v>0.99224979999999996</v>
      </c>
      <c r="Y5570">
        <v>0.37582280000000001</v>
      </c>
      <c r="Z5570">
        <v>0.13455529999999999</v>
      </c>
      <c r="AA5570">
        <v>0.91687079999999999</v>
      </c>
      <c r="AB5570">
        <v>10</v>
      </c>
      <c r="AC5570">
        <v>-4.4016999999999999</v>
      </c>
      <c r="AD5570">
        <v>-1.1095906211</v>
      </c>
      <c r="AE5570">
        <v>-7.0047999999999799</v>
      </c>
      <c r="AF5570">
        <v>3.1129543232410199</v>
      </c>
      <c r="AG5570">
        <v>-1.1095906211</v>
      </c>
      <c r="AH5570">
        <v>7.5069436488299397</v>
      </c>
      <c r="AI5570">
        <v>97.774802096005899</v>
      </c>
      <c r="AJ5570">
        <v>67.477355889127907</v>
      </c>
      <c r="AK5570">
        <v>8.2021874467562803</v>
      </c>
      <c r="AL5570">
        <v>90.859254053104607</v>
      </c>
      <c r="AM5570">
        <v>82.913672435203907</v>
      </c>
      <c r="AN5570">
        <v>0.99999998648737098</v>
      </c>
    </row>
    <row r="5571" spans="1:40" x14ac:dyDescent="0.25">
      <c r="A5571" t="str">
        <f>"20190312154034345"</f>
        <v>20190312154034345</v>
      </c>
      <c r="B5571" t="str">
        <f>"1552376434331687"</f>
        <v>1552376434331687</v>
      </c>
      <c r="C5571" t="s">
        <v>40</v>
      </c>
      <c r="D5571">
        <v>4.0468460000000004</v>
      </c>
      <c r="E5571">
        <v>0.60291649999999997</v>
      </c>
      <c r="F5571" t="s">
        <v>55</v>
      </c>
      <c r="G5571">
        <v>-197.2876</v>
      </c>
      <c r="H5571" s="1">
        <v>-1.259979E-5</v>
      </c>
      <c r="I5571">
        <v>151.10769999999999</v>
      </c>
      <c r="J5571">
        <v>-192.8415</v>
      </c>
      <c r="K5571">
        <v>1.109572</v>
      </c>
      <c r="L5571">
        <v>158.16059999999999</v>
      </c>
      <c r="M5571">
        <v>-0.16823479999999999</v>
      </c>
      <c r="N5571">
        <v>0</v>
      </c>
      <c r="O5571">
        <v>-0.98565689999999995</v>
      </c>
      <c r="P5571">
        <v>-0.28912149999999998</v>
      </c>
      <c r="Q5571">
        <v>-2.732646E-2</v>
      </c>
      <c r="R5571">
        <v>-0.95690240000000004</v>
      </c>
      <c r="S5571">
        <v>-1.6470180000000001</v>
      </c>
      <c r="T5571">
        <v>-0.4100336</v>
      </c>
      <c r="U5571">
        <v>-2.6270449999999999</v>
      </c>
      <c r="V5571">
        <v>0.1239783</v>
      </c>
      <c r="W5571">
        <v>-1.4308980000000001E-2</v>
      </c>
      <c r="X5571">
        <v>0.9921818</v>
      </c>
      <c r="Y5571">
        <v>0.3762858</v>
      </c>
      <c r="Z5571">
        <v>0.13357859999999999</v>
      </c>
      <c r="AA5571">
        <v>0.91682370000000002</v>
      </c>
      <c r="AB5571">
        <v>10</v>
      </c>
      <c r="AC5571">
        <v>-4.4461000000000004</v>
      </c>
      <c r="AD5571">
        <v>-1.10958459979</v>
      </c>
      <c r="AE5571">
        <v>-7.0528999999999904</v>
      </c>
      <c r="AF5571">
        <v>3.14044624728432</v>
      </c>
      <c r="AG5571">
        <v>-1.10958459979</v>
      </c>
      <c r="AH5571">
        <v>7.5663963155870002</v>
      </c>
      <c r="AI5571">
        <v>97.713397180566901</v>
      </c>
      <c r="AJ5571">
        <v>67.459019188549703</v>
      </c>
      <c r="AK5571">
        <v>8.2670389995875695</v>
      </c>
      <c r="AL5571">
        <v>90.819872105565295</v>
      </c>
      <c r="AM5571">
        <v>82.877509618973093</v>
      </c>
      <c r="AN5571">
        <v>1.0000000450153801</v>
      </c>
    </row>
    <row r="5572" spans="1:40" x14ac:dyDescent="0.25">
      <c r="A5572" t="str">
        <f>"20190312154034358"</f>
        <v>20190312154034358</v>
      </c>
      <c r="B5572" t="str">
        <f>"1552376434341447"</f>
        <v>1552376434341447</v>
      </c>
      <c r="C5572" t="s">
        <v>40</v>
      </c>
      <c r="D5572">
        <v>4.066262</v>
      </c>
      <c r="E5572">
        <v>0.6028481</v>
      </c>
      <c r="F5572" t="s">
        <v>55</v>
      </c>
      <c r="G5572">
        <v>-197.33080000000001</v>
      </c>
      <c r="H5572" s="1">
        <v>-1.258249E-5</v>
      </c>
      <c r="I5572">
        <v>151.02369999999999</v>
      </c>
      <c r="J5572">
        <v>-192.8527</v>
      </c>
      <c r="K5572">
        <v>1.1095660000000001</v>
      </c>
      <c r="L5572">
        <v>158.10290000000001</v>
      </c>
      <c r="M5572">
        <v>-0.16938020000000001</v>
      </c>
      <c r="N5572">
        <v>0</v>
      </c>
      <c r="O5572">
        <v>-0.98546060000000002</v>
      </c>
      <c r="P5572">
        <v>-0.29120649999999998</v>
      </c>
      <c r="Q5572">
        <v>-2.6530379999999999E-2</v>
      </c>
      <c r="R5572">
        <v>-0.95629229999999998</v>
      </c>
      <c r="S5572">
        <v>-1.6509860000000001</v>
      </c>
      <c r="T5572">
        <v>-0.40805829999999998</v>
      </c>
      <c r="U5572">
        <v>-2.6246640000000001</v>
      </c>
      <c r="V5572">
        <v>0.1249846</v>
      </c>
      <c r="W5572">
        <v>-1.3518830000000001E-2</v>
      </c>
      <c r="X5572">
        <v>0.99206660000000002</v>
      </c>
      <c r="Y5572">
        <v>0.3766236</v>
      </c>
      <c r="Z5572">
        <v>0.13294990000000001</v>
      </c>
      <c r="AA5572">
        <v>0.91677640000000005</v>
      </c>
      <c r="AB5572">
        <v>10</v>
      </c>
      <c r="AC5572">
        <v>-4.4781000000000102</v>
      </c>
      <c r="AD5572">
        <v>-1.10957858249</v>
      </c>
      <c r="AE5572">
        <v>-7.0792000000000099</v>
      </c>
      <c r="AF5572">
        <v>3.1587770757995699</v>
      </c>
      <c r="AG5572">
        <v>-1.10957858249</v>
      </c>
      <c r="AH5572">
        <v>7.6020768421339397</v>
      </c>
      <c r="AI5572">
        <v>97.676341251742798</v>
      </c>
      <c r="AJ5572">
        <v>67.436381731940202</v>
      </c>
      <c r="AK5572">
        <v>8.3066605539787499</v>
      </c>
      <c r="AL5572">
        <v>90.774595479667596</v>
      </c>
      <c r="AM5572">
        <v>82.819474082000795</v>
      </c>
      <c r="AN5572">
        <v>1.00000002391864</v>
      </c>
    </row>
    <row r="5573" spans="1:40" x14ac:dyDescent="0.25">
      <c r="A5573" t="str">
        <f>"20190312154034370"</f>
        <v>20190312154034370</v>
      </c>
      <c r="B5573" t="str">
        <f>"1552376434361942"</f>
        <v>1552376434361942</v>
      </c>
      <c r="C5573" t="s">
        <v>40</v>
      </c>
      <c r="D5573">
        <v>4.0430890000000002</v>
      </c>
      <c r="E5573">
        <v>0.60273100000000002</v>
      </c>
      <c r="F5573" t="s">
        <v>55</v>
      </c>
      <c r="G5573">
        <v>-197.3794</v>
      </c>
      <c r="H5573" s="1">
        <v>-1.2565070000000001E-5</v>
      </c>
      <c r="I5573">
        <v>150.93729999999999</v>
      </c>
      <c r="J5573">
        <v>-192.86449999999999</v>
      </c>
      <c r="K5573">
        <v>1.109559</v>
      </c>
      <c r="L5573">
        <v>158.04239999999999</v>
      </c>
      <c r="M5573">
        <v>-0.17060910000000001</v>
      </c>
      <c r="N5573">
        <v>0</v>
      </c>
      <c r="O5573">
        <v>-0.98524880000000004</v>
      </c>
      <c r="P5573">
        <v>-0.29290840000000001</v>
      </c>
      <c r="Q5573">
        <v>-2.593022E-2</v>
      </c>
      <c r="R5573">
        <v>-0.955789</v>
      </c>
      <c r="S5573">
        <v>-1.6561129999999999</v>
      </c>
      <c r="T5573">
        <v>-0.40593859999999998</v>
      </c>
      <c r="U5573">
        <v>-2.6215359999999999</v>
      </c>
      <c r="V5573">
        <v>0.12551129999999999</v>
      </c>
      <c r="W5573">
        <v>-1.292309E-2</v>
      </c>
      <c r="X5573">
        <v>0.992008</v>
      </c>
      <c r="Y5573">
        <v>0.37729380000000001</v>
      </c>
      <c r="Z5573">
        <v>0.13227939999999999</v>
      </c>
      <c r="AA5573">
        <v>0.91659780000000002</v>
      </c>
      <c r="AB5573">
        <v>10</v>
      </c>
      <c r="AC5573">
        <v>-4.5149000000000097</v>
      </c>
      <c r="AD5573">
        <v>-1.10957156507</v>
      </c>
      <c r="AE5573">
        <v>-7.1050999999999904</v>
      </c>
      <c r="AF5573">
        <v>3.18112721302716</v>
      </c>
      <c r="AG5573">
        <v>-1.10957156507</v>
      </c>
      <c r="AH5573">
        <v>7.6385607365865198</v>
      </c>
      <c r="AI5573">
        <v>97.637543370478099</v>
      </c>
      <c r="AJ5573">
        <v>67.390402921930999</v>
      </c>
      <c r="AK5573">
        <v>8.3485525410094397</v>
      </c>
      <c r="AL5573">
        <v>90.740459139513106</v>
      </c>
      <c r="AM5573">
        <v>82.789110855486896</v>
      </c>
      <c r="AN5573">
        <v>0.99999998237341803</v>
      </c>
    </row>
    <row r="5574" spans="1:40" x14ac:dyDescent="0.25">
      <c r="A5574" t="str">
        <f>"20190312154034386"</f>
        <v>20190312154034386</v>
      </c>
      <c r="B5574" t="str">
        <f>"1552376434381463"</f>
        <v>1552376434381463</v>
      </c>
      <c r="C5574" t="s">
        <v>40</v>
      </c>
      <c r="D5574">
        <v>4.0410079999999997</v>
      </c>
      <c r="E5574">
        <v>0.60269150000000005</v>
      </c>
      <c r="F5574" t="s">
        <v>55</v>
      </c>
      <c r="G5574">
        <v>-197.42</v>
      </c>
      <c r="H5574" s="1">
        <v>-1.254285E-5</v>
      </c>
      <c r="I5574">
        <v>150.85560000000001</v>
      </c>
      <c r="J5574">
        <v>-192.87780000000001</v>
      </c>
      <c r="K5574">
        <v>1.1095539999999999</v>
      </c>
      <c r="L5574">
        <v>157.9759</v>
      </c>
      <c r="M5574">
        <v>-0.171980299999999</v>
      </c>
      <c r="N5574">
        <v>0</v>
      </c>
      <c r="O5574">
        <v>-0.98501030000000001</v>
      </c>
      <c r="P5574">
        <v>-0.29545979999999999</v>
      </c>
      <c r="Q5574">
        <v>-2.5281419999999999E-2</v>
      </c>
      <c r="R5574">
        <v>-0.9550206</v>
      </c>
      <c r="S5574">
        <v>-1.66010999999999</v>
      </c>
      <c r="T5574">
        <v>-0.4043506</v>
      </c>
      <c r="U5574">
        <v>-2.619049</v>
      </c>
      <c r="V5574">
        <v>0.126777</v>
      </c>
      <c r="W5574">
        <v>-1.228135E-2</v>
      </c>
      <c r="X5574">
        <v>0.99185520000000005</v>
      </c>
      <c r="Y5574">
        <v>0.37743470000000001</v>
      </c>
      <c r="Z5574">
        <v>0.1317749</v>
      </c>
      <c r="AA5574">
        <v>0.91661250000000005</v>
      </c>
      <c r="AB5574">
        <v>10</v>
      </c>
      <c r="AC5574">
        <v>-4.5421999999999798</v>
      </c>
      <c r="AD5574">
        <v>-1.1095665428499999</v>
      </c>
      <c r="AE5574">
        <v>-7.1202999999999799</v>
      </c>
      <c r="AF5574">
        <v>3.1947111499461598</v>
      </c>
      <c r="AG5574">
        <v>-1.1095665428499999</v>
      </c>
      <c r="AH5574">
        <v>7.6631657257640002</v>
      </c>
      <c r="AI5574">
        <v>97.612111532043201</v>
      </c>
      <c r="AJ5574">
        <v>67.369143651094404</v>
      </c>
      <c r="AK5574">
        <v>8.3762417697393694</v>
      </c>
      <c r="AL5574">
        <v>90.703687220259297</v>
      </c>
      <c r="AM5574">
        <v>82.716060704666603</v>
      </c>
      <c r="AN5574">
        <v>0.99999998852693095</v>
      </c>
    </row>
    <row r="5575" spans="1:40" x14ac:dyDescent="0.25">
      <c r="A5575" t="str">
        <f>"20190312154034400"</f>
        <v>20190312154034400</v>
      </c>
      <c r="B5575" t="str">
        <f>"1552376434392200"</f>
        <v>1552376434392200</v>
      </c>
      <c r="C5575" t="s">
        <v>40</v>
      </c>
      <c r="D5575">
        <v>4.0329940000000004</v>
      </c>
      <c r="E5575">
        <v>0.60276079999999999</v>
      </c>
      <c r="F5575" t="s">
        <v>55</v>
      </c>
      <c r="G5575">
        <v>-197.51240000000001</v>
      </c>
      <c r="H5575" s="1">
        <v>-1.2495209999999999E-5</v>
      </c>
      <c r="I5575">
        <v>150.7063</v>
      </c>
      <c r="J5575">
        <v>-192.89</v>
      </c>
      <c r="K5575">
        <v>1.1095459999999999</v>
      </c>
      <c r="L5575">
        <v>157.9144</v>
      </c>
      <c r="M5575">
        <v>-0.1732631</v>
      </c>
      <c r="N5575">
        <v>0</v>
      </c>
      <c r="O5575">
        <v>-0.98478540000000003</v>
      </c>
      <c r="P5575">
        <v>-0.29733979999999999</v>
      </c>
      <c r="Q5575">
        <v>-2.5251309999999999E-2</v>
      </c>
      <c r="R5575">
        <v>-0.95443789999999995</v>
      </c>
      <c r="S5575">
        <v>-1.6671450000000001</v>
      </c>
      <c r="T5575">
        <v>-0.39912819999999999</v>
      </c>
      <c r="U5575">
        <v>-2.6149749999999998</v>
      </c>
      <c r="V5575">
        <v>0.12743769999999999</v>
      </c>
      <c r="W5575">
        <v>-1.225618E-2</v>
      </c>
      <c r="X5575">
        <v>0.99177090000000001</v>
      </c>
      <c r="Y5575">
        <v>0.37874999999999998</v>
      </c>
      <c r="Z5575">
        <v>0.13010630000000001</v>
      </c>
      <c r="AA5575">
        <v>0.91630820000000002</v>
      </c>
      <c r="AB5575">
        <v>10</v>
      </c>
      <c r="AC5575">
        <v>-4.6224000000000203</v>
      </c>
      <c r="AD5575">
        <v>-1.1095584952099999</v>
      </c>
      <c r="AE5575">
        <v>-7.2081</v>
      </c>
      <c r="AF5575">
        <v>3.2489173661220501</v>
      </c>
      <c r="AG5575">
        <v>-1.1095584952099999</v>
      </c>
      <c r="AH5575">
        <v>7.7695711669423799</v>
      </c>
      <c r="AI5575">
        <v>97.505662251661207</v>
      </c>
      <c r="AJ5575">
        <v>67.307309962876502</v>
      </c>
      <c r="AK5575">
        <v>8.4942816190873103</v>
      </c>
      <c r="AL5575">
        <v>90.702244933956806</v>
      </c>
      <c r="AM5575">
        <v>82.677895623842005</v>
      </c>
      <c r="AN5575">
        <v>1.00000004970814</v>
      </c>
    </row>
    <row r="5576" spans="1:40" x14ac:dyDescent="0.25">
      <c r="A5576" t="str">
        <f>"20190312154034413"</f>
        <v>20190312154034413</v>
      </c>
      <c r="B5576" t="str">
        <f>"1552376434401960"</f>
        <v>1552376434401960</v>
      </c>
      <c r="C5576" t="s">
        <v>40</v>
      </c>
      <c r="D5576">
        <v>4.0452909999999997</v>
      </c>
      <c r="E5576">
        <v>0.60279300000000002</v>
      </c>
      <c r="F5576" t="s">
        <v>55</v>
      </c>
      <c r="G5576">
        <v>-197.578</v>
      </c>
      <c r="H5576" s="1">
        <v>-1.2459900000000001E-5</v>
      </c>
      <c r="I5576">
        <v>150.59690000000001</v>
      </c>
      <c r="J5576">
        <v>-192.90199999999999</v>
      </c>
      <c r="K5576">
        <v>1.1095410000000001</v>
      </c>
      <c r="L5576">
        <v>157.85509999999999</v>
      </c>
      <c r="M5576">
        <v>-0.1745263</v>
      </c>
      <c r="N5576">
        <v>0</v>
      </c>
      <c r="O5576">
        <v>-0.98456239999999995</v>
      </c>
      <c r="P5576">
        <v>-0.29923280000000002</v>
      </c>
      <c r="Q5576">
        <v>-2.5210059999999999E-2</v>
      </c>
      <c r="R5576">
        <v>-0.95384720000000001</v>
      </c>
      <c r="S5576">
        <v>-1.673065</v>
      </c>
      <c r="T5576">
        <v>-0.39598349999999999</v>
      </c>
      <c r="U5576">
        <v>-2.6115110000000001</v>
      </c>
      <c r="V5576">
        <v>0.12813260000000001</v>
      </c>
      <c r="W5576">
        <v>-1.2220140000000001E-2</v>
      </c>
      <c r="X5576">
        <v>0.99168179999999995</v>
      </c>
      <c r="Y5576">
        <v>0.37966090000000002</v>
      </c>
      <c r="Z5576">
        <v>0.1291011</v>
      </c>
      <c r="AA5576">
        <v>0.91607340000000004</v>
      </c>
      <c r="AB5576">
        <v>10</v>
      </c>
      <c r="AC5576">
        <v>-4.6759999999999797</v>
      </c>
      <c r="AD5576">
        <v>-1.1095534599000001</v>
      </c>
      <c r="AE5576">
        <v>-7.25819999999998</v>
      </c>
      <c r="AF5576">
        <v>3.2831431341922599</v>
      </c>
      <c r="AG5576">
        <v>-1.1095534599000001</v>
      </c>
      <c r="AH5576">
        <v>7.8335735641626796</v>
      </c>
      <c r="AI5576">
        <v>97.442498679845997</v>
      </c>
      <c r="AJ5576">
        <v>67.260867066092402</v>
      </c>
      <c r="AK5576">
        <v>8.5659215794401398</v>
      </c>
      <c r="AL5576">
        <v>90.700179843700198</v>
      </c>
      <c r="AM5576">
        <v>82.637751838617106</v>
      </c>
      <c r="AN5576">
        <v>1.0000000437278</v>
      </c>
    </row>
    <row r="5577" spans="1:40" x14ac:dyDescent="0.25">
      <c r="A5577" t="str">
        <f>"20190312154034426"</f>
        <v>20190312154034426</v>
      </c>
      <c r="B5577" t="str">
        <f>"1552376434421479"</f>
        <v>1552376434421479</v>
      </c>
      <c r="C5577" t="s">
        <v>40</v>
      </c>
      <c r="D5577">
        <v>4.0459610000000001</v>
      </c>
      <c r="E5577">
        <v>0.60284850000000001</v>
      </c>
      <c r="F5577" t="s">
        <v>55</v>
      </c>
      <c r="G5577">
        <v>-197.63390000000001</v>
      </c>
      <c r="H5577" s="1">
        <v>-1.242933E-5</v>
      </c>
      <c r="I5577">
        <v>150.5025</v>
      </c>
      <c r="J5577">
        <v>-192.9136</v>
      </c>
      <c r="K5577">
        <v>1.1095330000000001</v>
      </c>
      <c r="L5577">
        <v>157.7979</v>
      </c>
      <c r="M5577">
        <v>-0.17576439999999999</v>
      </c>
      <c r="N5577">
        <v>0</v>
      </c>
      <c r="O5577">
        <v>-0.9843423</v>
      </c>
      <c r="P5577">
        <v>-0.30132730000000002</v>
      </c>
      <c r="Q5577">
        <v>-2.5074240000000001E-2</v>
      </c>
      <c r="R5577">
        <v>-0.95319140000000002</v>
      </c>
      <c r="S5577">
        <v>-1.6785429999999999</v>
      </c>
      <c r="T5577">
        <v>-0.39359309999999997</v>
      </c>
      <c r="U5577">
        <v>-2.6082000000000001</v>
      </c>
      <c r="V5577">
        <v>0.12906280000000001</v>
      </c>
      <c r="W5577">
        <v>-1.2090460000000001E-2</v>
      </c>
      <c r="X5577">
        <v>0.99156270000000002</v>
      </c>
      <c r="Y5577">
        <v>0.38044270000000002</v>
      </c>
      <c r="Z5577">
        <v>0.1283398</v>
      </c>
      <c r="AA5577">
        <v>0.915856</v>
      </c>
      <c r="AB5577">
        <v>10</v>
      </c>
      <c r="AC5577">
        <v>-4.7202999999999999</v>
      </c>
      <c r="AD5577">
        <v>-1.10954542933</v>
      </c>
      <c r="AE5577">
        <v>-7.2953999999999999</v>
      </c>
      <c r="AF5577">
        <v>3.3104407113277601</v>
      </c>
      <c r="AG5577">
        <v>-1.10954542933</v>
      </c>
      <c r="AH5577">
        <v>7.8830088868572803</v>
      </c>
      <c r="AI5577">
        <v>97.394114026334606</v>
      </c>
      <c r="AJ5577">
        <v>67.220207910941497</v>
      </c>
      <c r="AK5577">
        <v>8.6215971764652899</v>
      </c>
      <c r="AL5577">
        <v>90.692749217806295</v>
      </c>
      <c r="AM5577">
        <v>82.584016322236394</v>
      </c>
      <c r="AN5577">
        <v>0.99999998679906998</v>
      </c>
    </row>
    <row r="5578" spans="1:40" x14ac:dyDescent="0.25">
      <c r="A5578" t="str">
        <f>"20190312154034441"</f>
        <v>20190312154034441</v>
      </c>
      <c r="B5578" t="str">
        <f>"1552376434432215"</f>
        <v>1552376434432215</v>
      </c>
      <c r="C5578" t="s">
        <v>40</v>
      </c>
      <c r="D5578">
        <v>4.0660170000000004</v>
      </c>
      <c r="E5578">
        <v>0.60286799999999996</v>
      </c>
      <c r="F5578" t="s">
        <v>55</v>
      </c>
      <c r="G5578">
        <v>-197.72380000000001</v>
      </c>
      <c r="H5578" s="1">
        <v>-1.238475E-5</v>
      </c>
      <c r="I5578">
        <v>150.3614</v>
      </c>
      <c r="J5578">
        <v>-192.92760000000001</v>
      </c>
      <c r="K5578">
        <v>1.1095219999999999</v>
      </c>
      <c r="L5578">
        <v>157.72970000000001</v>
      </c>
      <c r="M5578">
        <v>-0.17726420000000001</v>
      </c>
      <c r="N5578">
        <v>0</v>
      </c>
      <c r="O5578">
        <v>-0.98407319999999998</v>
      </c>
      <c r="P5578">
        <v>-0.30485519999999999</v>
      </c>
      <c r="Q5578">
        <v>-2.4969950000000001E-2</v>
      </c>
      <c r="R5578">
        <v>-0.95207120000000001</v>
      </c>
      <c r="S5578">
        <v>-1.6846920000000001</v>
      </c>
      <c r="T5578">
        <v>-0.38860090000000003</v>
      </c>
      <c r="U5578">
        <v>-2.6045229999999999</v>
      </c>
      <c r="V5578">
        <v>0.13122229999999999</v>
      </c>
      <c r="W5578">
        <v>-1.1997560000000001E-2</v>
      </c>
      <c r="X5578">
        <v>0.99128039999999995</v>
      </c>
      <c r="Y5578">
        <v>0.3812622</v>
      </c>
      <c r="Z5578">
        <v>0.12674059999999901</v>
      </c>
      <c r="AA5578">
        <v>0.91573789999999999</v>
      </c>
      <c r="AB5578">
        <v>10</v>
      </c>
      <c r="AC5578">
        <v>-4.79619999999999</v>
      </c>
      <c r="AD5578">
        <v>-1.1095343847500001</v>
      </c>
      <c r="AE5578">
        <v>-7.3682999999999996</v>
      </c>
      <c r="AF5578">
        <v>3.3604575385929998</v>
      </c>
      <c r="AG5578">
        <v>-1.1095343847500001</v>
      </c>
      <c r="AH5578">
        <v>7.9748459195366497</v>
      </c>
      <c r="AI5578">
        <v>97.306109168795302</v>
      </c>
      <c r="AJ5578">
        <v>67.150311909271196</v>
      </c>
      <c r="AK5578">
        <v>8.7247870380874897</v>
      </c>
      <c r="AL5578">
        <v>90.687426022340304</v>
      </c>
      <c r="AM5578">
        <v>82.459224297895901</v>
      </c>
      <c r="AN5578">
        <v>1.0000000324436999</v>
      </c>
    </row>
    <row r="5579" spans="1:40" x14ac:dyDescent="0.25">
      <c r="A5579" t="str">
        <f>"20190312154034452"</f>
        <v>20190312154034452</v>
      </c>
      <c r="B5579" t="str">
        <f>"1552376434441975"</f>
        <v>1552376434441975</v>
      </c>
      <c r="C5579" t="s">
        <v>40</v>
      </c>
      <c r="D5579">
        <v>4.0305540000000004</v>
      </c>
      <c r="E5579">
        <v>0.6028985</v>
      </c>
      <c r="F5579" t="s">
        <v>55</v>
      </c>
      <c r="G5579">
        <v>-197.79150000000001</v>
      </c>
      <c r="H5579" s="1">
        <v>-1.235854E-5</v>
      </c>
      <c r="I5579">
        <v>150.2723</v>
      </c>
      <c r="J5579">
        <v>-192.9383</v>
      </c>
      <c r="K5579">
        <v>1.109515</v>
      </c>
      <c r="L5579">
        <v>157.67789999999999</v>
      </c>
      <c r="M5579">
        <v>-0.17842469999999999</v>
      </c>
      <c r="N5579">
        <v>0</v>
      </c>
      <c r="O5579">
        <v>-0.9838635</v>
      </c>
      <c r="P5579">
        <v>-0.30714370000000002</v>
      </c>
      <c r="Q5579">
        <v>-2.467285E-2</v>
      </c>
      <c r="R5579">
        <v>-0.95134370000000001</v>
      </c>
      <c r="S5579">
        <v>-1.6946410000000001</v>
      </c>
      <c r="T5579">
        <v>-0.38657819999999998</v>
      </c>
      <c r="U5579">
        <v>-2.5982509999999999</v>
      </c>
      <c r="V5579">
        <v>0.13243529999999901</v>
      </c>
      <c r="W5579">
        <v>-1.1708029999999999E-2</v>
      </c>
      <c r="X5579">
        <v>0.99112250000000002</v>
      </c>
      <c r="Y5579">
        <v>0.38368799999999997</v>
      </c>
      <c r="Z5579">
        <v>0.12611739999999999</v>
      </c>
      <c r="AA5579">
        <v>0.91481040000000002</v>
      </c>
      <c r="AB5579">
        <v>10</v>
      </c>
      <c r="AC5579">
        <v>-4.85320000000001</v>
      </c>
      <c r="AD5579">
        <v>-1.1095273585400001</v>
      </c>
      <c r="AE5579">
        <v>-7.40559999999999</v>
      </c>
      <c r="AF5579">
        <v>3.4004535279461998</v>
      </c>
      <c r="AG5579">
        <v>-1.1095273585400001</v>
      </c>
      <c r="AH5579">
        <v>8.0267102747623298</v>
      </c>
      <c r="AI5579">
        <v>97.253543626770394</v>
      </c>
      <c r="AJ5579">
        <v>67.040432287929605</v>
      </c>
      <c r="AK5579">
        <v>8.7876170256813992</v>
      </c>
      <c r="AL5579">
        <v>90.670836033268401</v>
      </c>
      <c r="AM5579">
        <v>82.389133495253603</v>
      </c>
      <c r="AN5579">
        <v>0.99999999832941</v>
      </c>
    </row>
    <row r="5580" spans="1:40" x14ac:dyDescent="0.25">
      <c r="A5580" t="str">
        <f>"20190312154034465"</f>
        <v>20190312154034465</v>
      </c>
      <c r="B5580" t="str">
        <f>"1552376434451734"</f>
        <v>1552376434451734</v>
      </c>
      <c r="C5580" t="s">
        <v>40</v>
      </c>
      <c r="D5580">
        <v>4.070481</v>
      </c>
      <c r="E5580">
        <v>0.60290029999999994</v>
      </c>
      <c r="F5580" t="s">
        <v>55</v>
      </c>
      <c r="G5580">
        <v>-197.85120000000001</v>
      </c>
      <c r="H5580" s="1">
        <v>-1.2331629999999999E-5</v>
      </c>
      <c r="I5580">
        <v>150.1849</v>
      </c>
      <c r="J5580">
        <v>-192.94900000000001</v>
      </c>
      <c r="K5580">
        <v>1.109504</v>
      </c>
      <c r="L5580">
        <v>157.62700000000001</v>
      </c>
      <c r="M5580">
        <v>-0.17958440000000001</v>
      </c>
      <c r="N5580">
        <v>0</v>
      </c>
      <c r="O5580">
        <v>-0.98365239999999998</v>
      </c>
      <c r="P5580">
        <v>-0.30916460000000001</v>
      </c>
      <c r="Q5580">
        <v>-2.402021E-2</v>
      </c>
      <c r="R5580">
        <v>-0.95070549999999998</v>
      </c>
      <c r="S5580">
        <v>-1.7009890000000001</v>
      </c>
      <c r="T5580">
        <v>-0.3841541</v>
      </c>
      <c r="U5580">
        <v>-2.5942989999999999</v>
      </c>
      <c r="V5580">
        <v>0.13337079999999901</v>
      </c>
      <c r="W5580">
        <v>-1.106206E-2</v>
      </c>
      <c r="X5580">
        <v>0.99100449999999995</v>
      </c>
      <c r="Y5580">
        <v>0.38485910000000001</v>
      </c>
      <c r="Z5580">
        <v>0.12534890000000001</v>
      </c>
      <c r="AA5580">
        <v>0.91442389999999996</v>
      </c>
      <c r="AB5580">
        <v>10</v>
      </c>
      <c r="AC5580">
        <v>-4.9021999999999899</v>
      </c>
      <c r="AD5580">
        <v>-1.1095163316299901</v>
      </c>
      <c r="AE5580">
        <v>-7.4421000000000097</v>
      </c>
      <c r="AF5580">
        <v>3.4326753612488101</v>
      </c>
      <c r="AG5580">
        <v>-1.1095163316299901</v>
      </c>
      <c r="AH5580">
        <v>8.0763351568786295</v>
      </c>
      <c r="AI5580">
        <v>97.205817907665704</v>
      </c>
      <c r="AJ5580">
        <v>66.973108411223706</v>
      </c>
      <c r="AK5580">
        <v>8.8454211992483494</v>
      </c>
      <c r="AL5580">
        <v>90.633822259351405</v>
      </c>
      <c r="AM5580">
        <v>82.335106732165997</v>
      </c>
      <c r="AN5580">
        <v>1.00000002924216</v>
      </c>
    </row>
    <row r="5581" spans="1:40" x14ac:dyDescent="0.25">
      <c r="A5581" t="str">
        <f>"20190312154034478"</f>
        <v>20190312154034478</v>
      </c>
      <c r="B5581" t="str">
        <f>"1552376434472231"</f>
        <v>1552376434472231</v>
      </c>
      <c r="C5581" t="s">
        <v>40</v>
      </c>
      <c r="D5581">
        <v>4.0554410000000001</v>
      </c>
      <c r="E5581">
        <v>0.60290379999999999</v>
      </c>
      <c r="F5581" t="s">
        <v>55</v>
      </c>
      <c r="G5581">
        <v>-197.9263</v>
      </c>
      <c r="H5581" s="1">
        <v>-1.2295930000000001E-5</v>
      </c>
      <c r="I5581">
        <v>150.07060000000001</v>
      </c>
      <c r="J5581">
        <v>-192.96090000000001</v>
      </c>
      <c r="K5581">
        <v>1.1094919999999999</v>
      </c>
      <c r="L5581">
        <v>157.57</v>
      </c>
      <c r="M5581">
        <v>-0.18089350000000001</v>
      </c>
      <c r="N5581">
        <v>0</v>
      </c>
      <c r="O5581">
        <v>-0.98341270000000003</v>
      </c>
      <c r="P5581">
        <v>-0.31150679999999997</v>
      </c>
      <c r="Q5581">
        <v>-2.3756989999999999E-2</v>
      </c>
      <c r="R5581">
        <v>-0.9499474</v>
      </c>
      <c r="S5581">
        <v>-1.70665</v>
      </c>
      <c r="T5581">
        <v>-0.38043660000000001</v>
      </c>
      <c r="U5581">
        <v>-2.5909420000000001</v>
      </c>
      <c r="V5581">
        <v>0.13449269999999999</v>
      </c>
      <c r="W5581">
        <v>-1.080689E-2</v>
      </c>
      <c r="X5581">
        <v>0.99085559999999995</v>
      </c>
      <c r="Y5581">
        <v>0.38565329999999998</v>
      </c>
      <c r="Z5581">
        <v>0.1241543</v>
      </c>
      <c r="AA5581">
        <v>0.91425230000000002</v>
      </c>
      <c r="AB5581">
        <v>10</v>
      </c>
      <c r="AC5581">
        <v>-4.9653999999999803</v>
      </c>
      <c r="AD5581">
        <v>-1.1095042959300001</v>
      </c>
      <c r="AE5581">
        <v>-7.4993999999999801</v>
      </c>
      <c r="AF5581">
        <v>3.4738944908358098</v>
      </c>
      <c r="AG5581">
        <v>-1.1095042959300001</v>
      </c>
      <c r="AH5581">
        <v>8.1499283804726392</v>
      </c>
      <c r="AI5581">
        <v>97.138242546124602</v>
      </c>
      <c r="AJ5581">
        <v>66.913947002513595</v>
      </c>
      <c r="AK5581">
        <v>8.9286211322342393</v>
      </c>
      <c r="AL5581">
        <v>90.619201272120407</v>
      </c>
      <c r="AM5581">
        <v>82.270259227491096</v>
      </c>
      <c r="AN5581">
        <v>0.99999994763805899</v>
      </c>
    </row>
    <row r="5582" spans="1:40" x14ac:dyDescent="0.25">
      <c r="A5582" t="str">
        <f>"20190312154034489"</f>
        <v>20190312154034489</v>
      </c>
      <c r="B5582" t="str">
        <f>"1552376434481991"</f>
        <v>1552376434481991</v>
      </c>
      <c r="C5582" t="s">
        <v>40</v>
      </c>
      <c r="D5582">
        <v>4.0668480000000002</v>
      </c>
      <c r="E5582">
        <v>0.59578790000000004</v>
      </c>
      <c r="F5582" t="s">
        <v>55</v>
      </c>
      <c r="G5582">
        <v>-197.995</v>
      </c>
      <c r="H5582" s="1">
        <v>-1.2264350000000001E-5</v>
      </c>
      <c r="I5582">
        <v>149.96870000000001</v>
      </c>
      <c r="J5582">
        <v>-192.9726</v>
      </c>
      <c r="K5582">
        <v>1.10948</v>
      </c>
      <c r="L5582">
        <v>157.5153</v>
      </c>
      <c r="M5582">
        <v>-0.1821847</v>
      </c>
      <c r="N5582">
        <v>0</v>
      </c>
      <c r="O5582">
        <v>-0.98317429999999995</v>
      </c>
      <c r="P5582">
        <v>-0.31331920000000002</v>
      </c>
      <c r="Q5582">
        <v>-2.3062539999999999E-2</v>
      </c>
      <c r="R5582">
        <v>-0.94936810000000005</v>
      </c>
      <c r="S5582">
        <v>-1.713165</v>
      </c>
      <c r="T5582">
        <v>-0.3775829</v>
      </c>
      <c r="U5582">
        <v>-2.5868679999999999</v>
      </c>
      <c r="V5582">
        <v>0.13508039999999999</v>
      </c>
      <c r="W5582">
        <v>-1.011862E-2</v>
      </c>
      <c r="X5582">
        <v>0.99078299999999997</v>
      </c>
      <c r="Y5582">
        <v>0.38677</v>
      </c>
      <c r="Z5582">
        <v>0.1232454</v>
      </c>
      <c r="AA5582">
        <v>0.91390349999999998</v>
      </c>
      <c r="AB5582">
        <v>10</v>
      </c>
      <c r="AC5582">
        <v>-5.0224000000000002</v>
      </c>
      <c r="AD5582">
        <v>-1.10949226435</v>
      </c>
      <c r="AE5582">
        <v>-7.5465999999999802</v>
      </c>
      <c r="AF5582">
        <v>3.5107448047307201</v>
      </c>
      <c r="AG5582">
        <v>-1.10949226435</v>
      </c>
      <c r="AH5582">
        <v>8.2123463516085202</v>
      </c>
      <c r="AI5582">
        <v>97.081307656331404</v>
      </c>
      <c r="AJ5582">
        <v>66.853488354321996</v>
      </c>
      <c r="AK5582">
        <v>8.9999408202150999</v>
      </c>
      <c r="AL5582">
        <v>90.579764098456096</v>
      </c>
      <c r="AM5582">
        <v>82.236331248115604</v>
      </c>
      <c r="AN5582">
        <v>1.00000002701193</v>
      </c>
    </row>
    <row r="5583" spans="1:40" x14ac:dyDescent="0.25">
      <c r="A5583" t="str">
        <f>"20190312154034502"</f>
        <v>20190312154034502</v>
      </c>
      <c r="B5583" t="str">
        <f>"1552376434491751"</f>
        <v>1552376434491751</v>
      </c>
      <c r="C5583" t="s">
        <v>40</v>
      </c>
      <c r="D5583">
        <v>4.0853919999999997</v>
      </c>
      <c r="E5583">
        <v>0.59557450000000001</v>
      </c>
      <c r="F5583" t="s">
        <v>55</v>
      </c>
      <c r="G5583">
        <v>-196.92920000000001</v>
      </c>
      <c r="H5583" s="1">
        <v>-1.262531E-5</v>
      </c>
      <c r="I5583">
        <v>151.33539999999999</v>
      </c>
      <c r="J5583">
        <v>-192.98429999999999</v>
      </c>
      <c r="K5583">
        <v>1.109469</v>
      </c>
      <c r="L5583">
        <v>157.4605</v>
      </c>
      <c r="M5583">
        <v>-0.1834942</v>
      </c>
      <c r="N5583">
        <v>0</v>
      </c>
      <c r="O5583">
        <v>-0.98293050000000004</v>
      </c>
      <c r="P5583">
        <v>-0.31530180000000002</v>
      </c>
      <c r="Q5583">
        <v>-2.2720790000000001E-2</v>
      </c>
      <c r="R5583">
        <v>-0.94871950000000005</v>
      </c>
      <c r="S5583">
        <v>-1.6642300000000001</v>
      </c>
      <c r="T5583">
        <v>-0.46667969999999998</v>
      </c>
      <c r="U5583">
        <v>-2.5994109999999999</v>
      </c>
      <c r="V5583">
        <v>0.1358289</v>
      </c>
      <c r="W5583">
        <v>-9.7837150000000001E-3</v>
      </c>
      <c r="X5583">
        <v>0.99068400000000001</v>
      </c>
      <c r="Y5583">
        <v>0.36916359999999998</v>
      </c>
      <c r="Z5583">
        <v>0.1522762</v>
      </c>
      <c r="AA5583">
        <v>0.91680430000000002</v>
      </c>
      <c r="AB5583">
        <v>10</v>
      </c>
      <c r="AC5583">
        <v>-3.9449000000000098</v>
      </c>
      <c r="AD5583">
        <v>-1.1094816253099999</v>
      </c>
      <c r="AE5583">
        <v>-6.1250999999999998</v>
      </c>
      <c r="AF5583">
        <v>2.69146916247885</v>
      </c>
      <c r="AG5583">
        <v>-1.1094816253099999</v>
      </c>
      <c r="AH5583">
        <v>6.5921352929397798</v>
      </c>
      <c r="AI5583">
        <v>98.856443912884799</v>
      </c>
      <c r="AJ5583">
        <v>67.790548821686698</v>
      </c>
      <c r="AK5583">
        <v>7.2063307896527604</v>
      </c>
      <c r="AL5583">
        <v>90.560574521111803</v>
      </c>
      <c r="AM5583">
        <v>82.193070134122607</v>
      </c>
      <c r="AN5583">
        <v>0.99999999950520502</v>
      </c>
    </row>
    <row r="5584" spans="1:40" x14ac:dyDescent="0.25">
      <c r="A5584" t="str">
        <f>"20190312154034515"</f>
        <v>20190312154034515</v>
      </c>
      <c r="B5584" t="str">
        <f>"1552376434501398"</f>
        <v>1552376434501398</v>
      </c>
      <c r="C5584" t="s">
        <v>40</v>
      </c>
      <c r="D5584">
        <v>4.0898450000000004</v>
      </c>
      <c r="E5584">
        <v>0.59571560000000001</v>
      </c>
      <c r="F5584" t="s">
        <v>55</v>
      </c>
      <c r="G5584">
        <v>-196.94390000000001</v>
      </c>
      <c r="H5584" s="1">
        <v>-1.261689E-5</v>
      </c>
      <c r="I5584">
        <v>151.29679999999999</v>
      </c>
      <c r="J5584">
        <v>-192.99590000000001</v>
      </c>
      <c r="K5584">
        <v>1.1094520000000001</v>
      </c>
      <c r="L5584">
        <v>157.4068</v>
      </c>
      <c r="M5584">
        <v>-0.18479590000000001</v>
      </c>
      <c r="N5584">
        <v>0</v>
      </c>
      <c r="O5584">
        <v>-0.98268679999999997</v>
      </c>
      <c r="P5584">
        <v>-0.31702829999999999</v>
      </c>
      <c r="Q5584">
        <v>-2.2324489999999999E-2</v>
      </c>
      <c r="R5584">
        <v>-0.94815340000000004</v>
      </c>
      <c r="S5584">
        <v>-1.668045</v>
      </c>
      <c r="T5584">
        <v>-0.4673851</v>
      </c>
      <c r="U5584">
        <v>-2.5965579999999999</v>
      </c>
      <c r="V5584">
        <v>0.13631879999999999</v>
      </c>
      <c r="W5584">
        <v>-9.3931399999999995E-3</v>
      </c>
      <c r="X5584">
        <v>0.99062050000000001</v>
      </c>
      <c r="Y5584">
        <v>0.36932599999999999</v>
      </c>
      <c r="Z5584">
        <v>0.15252199999999999</v>
      </c>
      <c r="AA5584">
        <v>0.91669800000000001</v>
      </c>
      <c r="AB5584">
        <v>10</v>
      </c>
      <c r="AC5584">
        <v>-3.948</v>
      </c>
      <c r="AD5584">
        <v>-1.10946461689</v>
      </c>
      <c r="AE5584">
        <v>-6.1100000000000101</v>
      </c>
      <c r="AF5584">
        <v>2.6882582487128199</v>
      </c>
      <c r="AG5584">
        <v>-1.10946461689</v>
      </c>
      <c r="AH5584">
        <v>6.5813033656098696</v>
      </c>
      <c r="AI5584">
        <v>98.870092471940097</v>
      </c>
      <c r="AJ5584">
        <v>67.781508507750004</v>
      </c>
      <c r="AK5584">
        <v>7.1952205065648496</v>
      </c>
      <c r="AL5584">
        <v>90.538195187089698</v>
      </c>
      <c r="AM5584">
        <v>82.164765636386505</v>
      </c>
      <c r="AN5584">
        <v>1.00000001066637</v>
      </c>
    </row>
    <row r="5585" spans="1:40" x14ac:dyDescent="0.25">
      <c r="A5585" t="str">
        <f>"20190312154034531"</f>
        <v>20190312154034531</v>
      </c>
      <c r="B5585" t="str">
        <f>"1552376434521894"</f>
        <v>1552376434521894</v>
      </c>
      <c r="C5585" t="s">
        <v>40</v>
      </c>
      <c r="D5585">
        <v>4.0315180000000002</v>
      </c>
      <c r="E5585">
        <v>0.59559229999999996</v>
      </c>
      <c r="F5585" t="s">
        <v>55</v>
      </c>
      <c r="G5585">
        <v>-196.9522</v>
      </c>
      <c r="H5585" s="1">
        <v>-1.261291E-5</v>
      </c>
      <c r="I5585">
        <v>151.27799999999999</v>
      </c>
      <c r="J5585">
        <v>-193.012</v>
      </c>
      <c r="K5585">
        <v>1.1094360000000001</v>
      </c>
      <c r="L5585">
        <v>157.3331</v>
      </c>
      <c r="M5585">
        <v>-0.1866276</v>
      </c>
      <c r="N5585">
        <v>0</v>
      </c>
      <c r="O5585">
        <v>-0.98234030000000006</v>
      </c>
      <c r="P5585">
        <v>-0.31998949999999998</v>
      </c>
      <c r="Q5585">
        <v>-2.2069740000000001E-2</v>
      </c>
      <c r="R5585">
        <v>-0.94716389999999995</v>
      </c>
      <c r="S5585">
        <v>-1.67404199999999</v>
      </c>
      <c r="T5585">
        <v>-0.46944340000000001</v>
      </c>
      <c r="U5585">
        <v>-2.5932620000000002</v>
      </c>
      <c r="V5585">
        <v>0.1375661</v>
      </c>
      <c r="W5585">
        <v>-9.1484059999999996E-3</v>
      </c>
      <c r="X5585">
        <v>0.99045030000000001</v>
      </c>
      <c r="Y5585">
        <v>0.36957030000000002</v>
      </c>
      <c r="Z5585">
        <v>0.15316160000000001</v>
      </c>
      <c r="AA5585">
        <v>0.91649290000000005</v>
      </c>
      <c r="AB5585">
        <v>10</v>
      </c>
      <c r="AC5585">
        <v>-3.9401999999999999</v>
      </c>
      <c r="AD5585">
        <v>-1.1094486129100001</v>
      </c>
      <c r="AE5585">
        <v>-6.0551000000000004</v>
      </c>
      <c r="AF5585">
        <v>2.6776599235876501</v>
      </c>
      <c r="AG5585">
        <v>-1.1094486129100001</v>
      </c>
      <c r="AH5585">
        <v>6.5301015805537697</v>
      </c>
      <c r="AI5585">
        <v>98.933527592386</v>
      </c>
      <c r="AJ5585">
        <v>67.703980176352502</v>
      </c>
      <c r="AK5585">
        <v>7.1444359849764396</v>
      </c>
      <c r="AL5585">
        <v>90.524172385318195</v>
      </c>
      <c r="AM5585">
        <v>82.092635349511895</v>
      </c>
      <c r="AN5585">
        <v>0.999999960985819</v>
      </c>
    </row>
    <row r="5586" spans="1:40" x14ac:dyDescent="0.25">
      <c r="A5586" t="str">
        <f>"20190312154034544"</f>
        <v>20190312154034544</v>
      </c>
      <c r="B5586" t="str">
        <f>"1552376434531655"</f>
        <v>1552376434531655</v>
      </c>
      <c r="C5586" t="s">
        <v>40</v>
      </c>
      <c r="D5586">
        <v>4.0471529999999998</v>
      </c>
      <c r="E5586">
        <v>0.59536060000000002</v>
      </c>
      <c r="F5586" t="s">
        <v>55</v>
      </c>
      <c r="G5586">
        <v>-197.00360000000001</v>
      </c>
      <c r="H5586" s="1">
        <v>-1.2594540000000001E-5</v>
      </c>
      <c r="I5586">
        <v>151.18690000000001</v>
      </c>
      <c r="J5586">
        <v>-193.024</v>
      </c>
      <c r="K5586">
        <v>1.109421</v>
      </c>
      <c r="L5586">
        <v>157.27879999999999</v>
      </c>
      <c r="M5586">
        <v>-0.18800210000000001</v>
      </c>
      <c r="N5586">
        <v>0</v>
      </c>
      <c r="O5586">
        <v>-0.98207860000000002</v>
      </c>
      <c r="P5586">
        <v>-0.32200040000000002</v>
      </c>
      <c r="Q5586">
        <v>-2.220331E-2</v>
      </c>
      <c r="R5586">
        <v>-0.94647959999999998</v>
      </c>
      <c r="S5586">
        <v>-1.6810909999999999</v>
      </c>
      <c r="T5586">
        <v>-0.46725369999999999</v>
      </c>
      <c r="U5586">
        <v>-2.5885009999999999</v>
      </c>
      <c r="V5586">
        <v>0.138283399999999</v>
      </c>
      <c r="W5586">
        <v>-9.2886589999999995E-3</v>
      </c>
      <c r="X5586">
        <v>0.99034909999999998</v>
      </c>
      <c r="Y5586">
        <v>0.37085509999999999</v>
      </c>
      <c r="Z5586">
        <v>0.15249190000000001</v>
      </c>
      <c r="AA5586">
        <v>0.91608560000000006</v>
      </c>
      <c r="AB5586">
        <v>10</v>
      </c>
      <c r="AC5586">
        <v>-3.9796</v>
      </c>
      <c r="AD5586">
        <v>-1.10943359454</v>
      </c>
      <c r="AE5586">
        <v>-6.0918999999999803</v>
      </c>
      <c r="AF5586">
        <v>2.7004593031655899</v>
      </c>
      <c r="AG5586">
        <v>-1.10943359454</v>
      </c>
      <c r="AH5586">
        <v>6.5785672429224498</v>
      </c>
      <c r="AI5586">
        <v>98.867281223902594</v>
      </c>
      <c r="AJ5586">
        <v>67.682167088551793</v>
      </c>
      <c r="AK5586">
        <v>7.19728214803337</v>
      </c>
      <c r="AL5586">
        <v>90.532208633192695</v>
      </c>
      <c r="AM5586">
        <v>82.051128374425602</v>
      </c>
      <c r="AN5586">
        <v>0.99999995888619297</v>
      </c>
    </row>
    <row r="5587" spans="1:40" x14ac:dyDescent="0.25">
      <c r="A5587" t="str">
        <f>"20190312154034556"</f>
        <v>20190312154034556</v>
      </c>
      <c r="B5587" t="str">
        <f>"1552376434541414"</f>
        <v>1552376434541414</v>
      </c>
      <c r="C5587" t="s">
        <v>40</v>
      </c>
      <c r="D5587">
        <v>4.0647929999999999</v>
      </c>
      <c r="E5587">
        <v>0.59525779999999995</v>
      </c>
      <c r="F5587" t="s">
        <v>55</v>
      </c>
      <c r="G5587">
        <v>-197.0138</v>
      </c>
      <c r="H5587" s="1">
        <v>-1.2587499999999999E-5</v>
      </c>
      <c r="I5587">
        <v>151.15530000000001</v>
      </c>
      <c r="J5587">
        <v>-193.03540000000001</v>
      </c>
      <c r="K5587">
        <v>1.1094059999999999</v>
      </c>
      <c r="L5587">
        <v>157.22730000000001</v>
      </c>
      <c r="M5587">
        <v>-0.1893244</v>
      </c>
      <c r="N5587">
        <v>0</v>
      </c>
      <c r="O5587">
        <v>-0.98182449999999999</v>
      </c>
      <c r="P5587">
        <v>-0.32411380000000001</v>
      </c>
      <c r="Q5587">
        <v>-2.216452E-2</v>
      </c>
      <c r="R5587">
        <v>-0.94575880000000001</v>
      </c>
      <c r="S5587">
        <v>-1.684647</v>
      </c>
      <c r="T5587">
        <v>-0.46844150000000001</v>
      </c>
      <c r="U5587">
        <v>-2.585556</v>
      </c>
      <c r="V5587">
        <v>0.13916139999999999</v>
      </c>
      <c r="W5587">
        <v>-9.2569920000000003E-3</v>
      </c>
      <c r="X5587">
        <v>0.99022639999999995</v>
      </c>
      <c r="Y5587">
        <v>0.37093350000000003</v>
      </c>
      <c r="Z5587">
        <v>0.152898799999999</v>
      </c>
      <c r="AA5587">
        <v>0.91598599999999997</v>
      </c>
      <c r="AB5587">
        <v>10</v>
      </c>
      <c r="AC5587">
        <v>-3.9783999999999899</v>
      </c>
      <c r="AD5587">
        <v>-1.1094185875</v>
      </c>
      <c r="AE5587">
        <v>-6.0720000000000001</v>
      </c>
      <c r="AF5587">
        <v>2.69383830131473</v>
      </c>
      <c r="AG5587">
        <v>-1.1094185875</v>
      </c>
      <c r="AH5587">
        <v>6.5621718206700903</v>
      </c>
      <c r="AI5587">
        <v>98.888913077723998</v>
      </c>
      <c r="AJ5587">
        <v>67.681351039930902</v>
      </c>
      <c r="AK5587">
        <v>7.1798101228317499</v>
      </c>
      <c r="AL5587">
        <v>90.530394171610993</v>
      </c>
      <c r="AM5587">
        <v>82.000331637563804</v>
      </c>
      <c r="AN5587">
        <v>0.99999995520390295</v>
      </c>
    </row>
    <row r="5588" spans="1:40" x14ac:dyDescent="0.25">
      <c r="A5588" t="str">
        <f>"20190312154034568"</f>
        <v>20190312154034568</v>
      </c>
      <c r="B5588" t="str">
        <f>"1552376434561910"</f>
        <v>1552376434561910</v>
      </c>
      <c r="C5588" t="s">
        <v>40</v>
      </c>
      <c r="D5588">
        <v>4.0724</v>
      </c>
      <c r="E5588">
        <v>0.59534619999999905</v>
      </c>
      <c r="F5588" t="s">
        <v>55</v>
      </c>
      <c r="G5588">
        <v>-197.02160000000001</v>
      </c>
      <c r="H5588" s="1">
        <v>-1.25827399999999E-5</v>
      </c>
      <c r="I5588">
        <v>151.1337</v>
      </c>
      <c r="J5588">
        <v>-193.04810000000001</v>
      </c>
      <c r="K5588">
        <v>1.1093900000000001</v>
      </c>
      <c r="L5588">
        <v>157.17070000000001</v>
      </c>
      <c r="M5588">
        <v>-0.1908175</v>
      </c>
      <c r="N5588">
        <v>0</v>
      </c>
      <c r="O5588">
        <v>-0.98153509999999999</v>
      </c>
      <c r="P5588">
        <v>-0.32633970000000001</v>
      </c>
      <c r="Q5588">
        <v>-2.2308379999999999E-2</v>
      </c>
      <c r="R5588">
        <v>-0.94498950000000004</v>
      </c>
      <c r="S5588">
        <v>-1.6891480000000001</v>
      </c>
      <c r="T5588">
        <v>-0.47011160000000002</v>
      </c>
      <c r="U5588">
        <v>-2.5821689999999999</v>
      </c>
      <c r="V5588">
        <v>0.13998669999999999</v>
      </c>
      <c r="W5588">
        <v>-9.4080629999999995E-3</v>
      </c>
      <c r="X5588">
        <v>0.99010869999999995</v>
      </c>
      <c r="Y5588">
        <v>0.371145</v>
      </c>
      <c r="Z5588">
        <v>0.15345429999999999</v>
      </c>
      <c r="AA5588">
        <v>0.91580740000000005</v>
      </c>
      <c r="AB5588">
        <v>10</v>
      </c>
      <c r="AC5588">
        <v>-3.9735</v>
      </c>
      <c r="AD5588">
        <v>-1.10940258273999</v>
      </c>
      <c r="AE5588">
        <v>-6.0369999999999999</v>
      </c>
      <c r="AF5588">
        <v>2.6851393957972798</v>
      </c>
      <c r="AG5588">
        <v>-1.10940258273999</v>
      </c>
      <c r="AH5588">
        <v>6.53045905340693</v>
      </c>
      <c r="AI5588">
        <v>98.929214965844295</v>
      </c>
      <c r="AJ5588">
        <v>67.648926290133403</v>
      </c>
      <c r="AK5588">
        <v>7.1475620398620698</v>
      </c>
      <c r="AL5588">
        <v>90.539050248619105</v>
      </c>
      <c r="AM5588">
        <v>81.952564955002899</v>
      </c>
      <c r="AN5588">
        <v>1.00000001282099</v>
      </c>
    </row>
    <row r="5589" spans="1:40" x14ac:dyDescent="0.25">
      <c r="A5589" t="str">
        <f>"20190312154034582"</f>
        <v>20190312154034582</v>
      </c>
      <c r="B5589" t="str">
        <f>"1552376434571670"</f>
        <v>1552376434571670</v>
      </c>
      <c r="C5589" t="s">
        <v>40</v>
      </c>
      <c r="D5589">
        <v>4.0564080000000002</v>
      </c>
      <c r="E5589">
        <v>0.59526519999999905</v>
      </c>
      <c r="F5589" t="s">
        <v>55</v>
      </c>
      <c r="G5589">
        <v>-197.02930000000001</v>
      </c>
      <c r="H5589" s="1">
        <v>-1.2579600000000001E-5</v>
      </c>
      <c r="I5589">
        <v>151.11850000000001</v>
      </c>
      <c r="J5589">
        <v>-193.06059999999999</v>
      </c>
      <c r="K5589">
        <v>1.1093740000000001</v>
      </c>
      <c r="L5589">
        <v>157.1156</v>
      </c>
      <c r="M5589">
        <v>-0.1922875</v>
      </c>
      <c r="N5589">
        <v>0</v>
      </c>
      <c r="O5589">
        <v>-0.98124840000000002</v>
      </c>
      <c r="P5589">
        <v>-0.328580599999999</v>
      </c>
      <c r="Q5589">
        <v>-2.277821E-2</v>
      </c>
      <c r="R5589">
        <v>-0.94420159999999997</v>
      </c>
      <c r="S5589">
        <v>-1.69574</v>
      </c>
      <c r="T5589">
        <v>-0.47253620000000002</v>
      </c>
      <c r="U5589">
        <v>-2.5778660000000002</v>
      </c>
      <c r="V5589">
        <v>0.14085300000000001</v>
      </c>
      <c r="W5589">
        <v>-9.8852330000000002E-3</v>
      </c>
      <c r="X5589">
        <v>0.98998120000000001</v>
      </c>
      <c r="Y5589">
        <v>0.37202550000000001</v>
      </c>
      <c r="Z5589">
        <v>0.1542422</v>
      </c>
      <c r="AA5589">
        <v>0.91531770000000001</v>
      </c>
      <c r="AB5589">
        <v>10</v>
      </c>
      <c r="AC5589">
        <v>-3.9687000000000099</v>
      </c>
      <c r="AD5589">
        <v>-1.1093865796</v>
      </c>
      <c r="AE5589">
        <v>-5.9970999999999801</v>
      </c>
      <c r="AF5589">
        <v>2.6776332690331701</v>
      </c>
      <c r="AG5589">
        <v>-1.1093865796</v>
      </c>
      <c r="AH5589">
        <v>6.4938240910254796</v>
      </c>
      <c r="AI5589">
        <v>98.9750253438052</v>
      </c>
      <c r="AJ5589">
        <v>67.591914647394901</v>
      </c>
      <c r="AK5589">
        <v>7.1112734324882103</v>
      </c>
      <c r="AL5589">
        <v>90.566391337580995</v>
      </c>
      <c r="AM5589">
        <v>81.9023932707412</v>
      </c>
      <c r="AN5589">
        <v>1.0000000308969501</v>
      </c>
    </row>
    <row r="5590" spans="1:40" x14ac:dyDescent="0.25">
      <c r="A5590" t="str">
        <f>"20190312154034600"</f>
        <v>20190312154034600</v>
      </c>
      <c r="B5590" t="str">
        <f>"1552376434592166"</f>
        <v>1552376434592166</v>
      </c>
      <c r="C5590" t="s">
        <v>40</v>
      </c>
      <c r="D5590">
        <v>4.032565</v>
      </c>
      <c r="E5590">
        <v>0.59491169999999904</v>
      </c>
      <c r="F5590" t="s">
        <v>55</v>
      </c>
      <c r="G5590">
        <v>-197.04300000000001</v>
      </c>
      <c r="H5590" s="1">
        <v>-1.2573500000000001E-5</v>
      </c>
      <c r="I5590">
        <v>151.08940000000001</v>
      </c>
      <c r="J5590">
        <v>-193.07859999999999</v>
      </c>
      <c r="K5590">
        <v>1.109354</v>
      </c>
      <c r="L5590">
        <v>157.0376</v>
      </c>
      <c r="M5590">
        <v>-0.19441410000000001</v>
      </c>
      <c r="N5590">
        <v>0</v>
      </c>
      <c r="O5590">
        <v>-0.98082919999999996</v>
      </c>
      <c r="P5590">
        <v>-0.33213090000000001</v>
      </c>
      <c r="Q5590">
        <v>-2.3131860000000001E-2</v>
      </c>
      <c r="R5590">
        <v>-0.94295010000000001</v>
      </c>
      <c r="S5590">
        <v>-1.700958</v>
      </c>
      <c r="T5590">
        <v>-0.47384890000000002</v>
      </c>
      <c r="U5590">
        <v>-2.573944</v>
      </c>
      <c r="V5590">
        <v>0.1424319</v>
      </c>
      <c r="W5590">
        <v>-1.0250530000000001E-2</v>
      </c>
      <c r="X5590">
        <v>0.98975150000000001</v>
      </c>
      <c r="Y5590">
        <v>0.37191220000000003</v>
      </c>
      <c r="Z5590">
        <v>0.15467890000000001</v>
      </c>
      <c r="AA5590">
        <v>0.91528989999999999</v>
      </c>
      <c r="AB5590">
        <v>10</v>
      </c>
      <c r="AC5590">
        <v>-3.9644000000000101</v>
      </c>
      <c r="AD5590">
        <v>-1.1093665735</v>
      </c>
      <c r="AE5590">
        <v>-5.9481999999999804</v>
      </c>
      <c r="AF5590">
        <v>2.6679689314913002</v>
      </c>
      <c r="AG5590">
        <v>-1.1093665735</v>
      </c>
      <c r="AH5590">
        <v>6.4501361515625</v>
      </c>
      <c r="AI5590">
        <v>99.030597845803797</v>
      </c>
      <c r="AJ5590">
        <v>67.528551720857905</v>
      </c>
      <c r="AK5590">
        <v>7.0677442502891603</v>
      </c>
      <c r="AL5590">
        <v>90.587322406716794</v>
      </c>
      <c r="AM5590">
        <v>81.810972256504499</v>
      </c>
      <c r="AN5590">
        <v>0.99999997562757004</v>
      </c>
    </row>
    <row r="5591" spans="1:40" x14ac:dyDescent="0.25">
      <c r="A5591" t="str">
        <f>"20190312154034614"</f>
        <v>20190312154034614</v>
      </c>
      <c r="B5591" t="str">
        <f>"1552376434601459"</f>
        <v>1552376434601459</v>
      </c>
      <c r="C5591" t="s">
        <v>40</v>
      </c>
      <c r="D5591">
        <v>4.0381369999999999</v>
      </c>
      <c r="E5591">
        <v>0.59471490000000005</v>
      </c>
      <c r="F5591" t="s">
        <v>55</v>
      </c>
      <c r="G5591">
        <v>-197.07499999999999</v>
      </c>
      <c r="H5591" s="1">
        <v>-1.255627E-5</v>
      </c>
      <c r="I5591">
        <v>151.02950000000001</v>
      </c>
      <c r="J5591">
        <v>-193.0925</v>
      </c>
      <c r="K5591">
        <v>1.1093459999999999</v>
      </c>
      <c r="L5591">
        <v>156.97749999999999</v>
      </c>
      <c r="M5591">
        <v>-0.1960857</v>
      </c>
      <c r="N5591">
        <v>0</v>
      </c>
      <c r="O5591">
        <v>-0.98049620000000004</v>
      </c>
      <c r="P5591">
        <v>-0.33429530000000002</v>
      </c>
      <c r="Q5591">
        <v>-2.305428E-2</v>
      </c>
      <c r="R5591">
        <v>-0.94218630000000003</v>
      </c>
      <c r="S5591">
        <v>-1.708313</v>
      </c>
      <c r="T5591">
        <v>-0.47420220000000002</v>
      </c>
      <c r="U5591">
        <v>-2.5681609999999999</v>
      </c>
      <c r="V5591">
        <v>0.143016899999999</v>
      </c>
      <c r="W5591">
        <v>-1.0178690000000001E-2</v>
      </c>
      <c r="X5591">
        <v>0.98966790000000004</v>
      </c>
      <c r="Y5591">
        <v>0.37308550000000001</v>
      </c>
      <c r="Z5591">
        <v>0.15484790000000001</v>
      </c>
      <c r="AA5591">
        <v>0.91478380000000004</v>
      </c>
      <c r="AB5591">
        <v>10</v>
      </c>
      <c r="AC5591">
        <v>-3.9824999999999799</v>
      </c>
      <c r="AD5591">
        <v>-1.1093585562699999</v>
      </c>
      <c r="AE5591">
        <v>-5.9479999999999702</v>
      </c>
      <c r="AF5591">
        <v>2.6745141713869498</v>
      </c>
      <c r="AG5591">
        <v>-1.1093585562699999</v>
      </c>
      <c r="AH5591">
        <v>6.4583706058468504</v>
      </c>
      <c r="AI5591">
        <v>99.017685589094796</v>
      </c>
      <c r="AJ5591">
        <v>67.5047747126426</v>
      </c>
      <c r="AK5591">
        <v>7.0777293916753896</v>
      </c>
      <c r="AL5591">
        <v>90.583206051267595</v>
      </c>
      <c r="AM5591">
        <v>81.777111960698605</v>
      </c>
      <c r="AN5591">
        <v>0.99999999585306798</v>
      </c>
    </row>
    <row r="5592" spans="1:40" x14ac:dyDescent="0.25">
      <c r="A5592" t="str">
        <f>"20190312154034627"</f>
        <v>20190312154034627</v>
      </c>
      <c r="B5592" t="str">
        <f>"1552376434621955"</f>
        <v>1552376434621955</v>
      </c>
      <c r="C5592" t="s">
        <v>40</v>
      </c>
      <c r="D5592">
        <v>4.1250330000000002</v>
      </c>
      <c r="E5592">
        <v>0.60865380000000002</v>
      </c>
      <c r="F5592" t="s">
        <v>55</v>
      </c>
      <c r="G5592">
        <v>-197.1113</v>
      </c>
      <c r="H5592" s="1">
        <v>-1.2532670000000001E-5</v>
      </c>
      <c r="I5592">
        <v>150.95949999999999</v>
      </c>
      <c r="J5592">
        <v>-193.1062</v>
      </c>
      <c r="K5592">
        <v>1.1093360000000001</v>
      </c>
      <c r="L5592">
        <v>156.91890000000001</v>
      </c>
      <c r="M5592">
        <v>-0.19774410000000001</v>
      </c>
      <c r="N5592">
        <v>0</v>
      </c>
      <c r="O5592">
        <v>-0.98016329999999996</v>
      </c>
      <c r="P5592">
        <v>-0.33665279999999997</v>
      </c>
      <c r="Q5592">
        <v>-2.2989300000000001E-2</v>
      </c>
      <c r="R5592">
        <v>-0.94134839999999997</v>
      </c>
      <c r="S5592">
        <v>-1.7127840000000001</v>
      </c>
      <c r="T5592">
        <v>-0.47279520000000003</v>
      </c>
      <c r="U5592">
        <v>-2.564819</v>
      </c>
      <c r="V5592">
        <v>0.14381949999999999</v>
      </c>
      <c r="W5592">
        <v>-1.0119410000000001E-2</v>
      </c>
      <c r="X5592">
        <v>0.98955219999999999</v>
      </c>
      <c r="Y5592">
        <v>0.37320999999999999</v>
      </c>
      <c r="Z5592">
        <v>0.15441450000000001</v>
      </c>
      <c r="AA5592">
        <v>0.91480620000000001</v>
      </c>
      <c r="AB5592">
        <v>10</v>
      </c>
      <c r="AC5592">
        <v>-4.0050999999999899</v>
      </c>
      <c r="AD5592">
        <v>-1.1093485326700001</v>
      </c>
      <c r="AE5592">
        <v>-5.9594000000000102</v>
      </c>
      <c r="AF5592">
        <v>2.6834048238055099</v>
      </c>
      <c r="AG5592">
        <v>-1.1093485326700001</v>
      </c>
      <c r="AH5592">
        <v>6.4790979539632199</v>
      </c>
      <c r="AI5592">
        <v>98.989080772943694</v>
      </c>
      <c r="AJ5592">
        <v>67.502456357784496</v>
      </c>
      <c r="AK5592">
        <v>7.1000018248173804</v>
      </c>
      <c r="AL5592">
        <v>90.579809377907694</v>
      </c>
      <c r="AM5592">
        <v>81.730648628346799</v>
      </c>
      <c r="AN5592">
        <v>1.0000000037819099</v>
      </c>
    </row>
    <row r="5593" spans="1:40" x14ac:dyDescent="0.25">
      <c r="A5593" t="str">
        <f>"20190312154034641"</f>
        <v>20190312154034641</v>
      </c>
      <c r="B5593" t="str">
        <f>"1552376434631718"</f>
        <v>1552376434631718</v>
      </c>
      <c r="C5593" t="s">
        <v>40</v>
      </c>
      <c r="D5593">
        <v>4.1254280000000003</v>
      </c>
      <c r="E5593">
        <v>0.6167842</v>
      </c>
      <c r="F5593" t="s">
        <v>55</v>
      </c>
      <c r="G5593">
        <v>-197.74860000000001</v>
      </c>
      <c r="H5593" s="1">
        <v>-1.244662E-5</v>
      </c>
      <c r="I5593">
        <v>150.49539999999999</v>
      </c>
      <c r="J5593">
        <v>-193.12139999999999</v>
      </c>
      <c r="K5593">
        <v>1.109332</v>
      </c>
      <c r="L5593">
        <v>156.85470000000001</v>
      </c>
      <c r="M5593">
        <v>-0.1995836</v>
      </c>
      <c r="N5593">
        <v>0</v>
      </c>
      <c r="O5593">
        <v>-0.9797901</v>
      </c>
      <c r="P5593">
        <v>-0.33968169999999998</v>
      </c>
      <c r="Q5593">
        <v>-2.3043560000000001E-2</v>
      </c>
      <c r="R5593">
        <v>-0.94025809999999999</v>
      </c>
      <c r="S5593">
        <v>-1.8240970000000001</v>
      </c>
      <c r="T5593">
        <v>-0.43588939999999998</v>
      </c>
      <c r="U5593">
        <v>-2.5239410000000002</v>
      </c>
      <c r="V5593">
        <v>0.1451472</v>
      </c>
      <c r="W5593">
        <v>-1.0181290000000001E-2</v>
      </c>
      <c r="X5593">
        <v>0.98935770000000001</v>
      </c>
      <c r="Y5593">
        <v>0.40623749999999997</v>
      </c>
      <c r="Z5593">
        <v>0.1417696</v>
      </c>
      <c r="AA5593">
        <v>0.90270289999999997</v>
      </c>
      <c r="AB5593">
        <v>10</v>
      </c>
      <c r="AC5593">
        <v>-4.62720000000001</v>
      </c>
      <c r="AD5593">
        <v>-1.10934444662</v>
      </c>
      <c r="AE5593">
        <v>-6.3593000000000099</v>
      </c>
      <c r="AF5593">
        <v>3.2010721107111602</v>
      </c>
      <c r="AG5593">
        <v>-1.10934444662</v>
      </c>
      <c r="AH5593">
        <v>7.0153459956336501</v>
      </c>
      <c r="AI5593">
        <v>98.186531404816904</v>
      </c>
      <c r="AJ5593">
        <v>65.472990565385501</v>
      </c>
      <c r="AK5593">
        <v>7.7905447304840401</v>
      </c>
      <c r="AL5593">
        <v>90.583355017753902</v>
      </c>
      <c r="AM5593">
        <v>81.653761130609894</v>
      </c>
      <c r="AN5593">
        <v>1.0000000134415901</v>
      </c>
    </row>
    <row r="5594" spans="1:40" x14ac:dyDescent="0.25">
      <c r="A5594" t="str">
        <f>"20190312154034665"</f>
        <v>20190312154034665</v>
      </c>
      <c r="B5594" t="str">
        <f>"1552376434661971"</f>
        <v>1552376434661971</v>
      </c>
      <c r="C5594" t="s">
        <v>40</v>
      </c>
      <c r="D5594">
        <v>4.0874839999999999</v>
      </c>
      <c r="E5594">
        <v>0.63683040000000002</v>
      </c>
      <c r="F5594" t="s">
        <v>55</v>
      </c>
      <c r="G5594">
        <v>-197.7133</v>
      </c>
      <c r="H5594" s="1">
        <v>-1.2560569999999999E-5</v>
      </c>
      <c r="I5594">
        <v>150.80170000000001</v>
      </c>
      <c r="J5594">
        <v>-193.14519999999999</v>
      </c>
      <c r="K5594">
        <v>1.109324</v>
      </c>
      <c r="L5594">
        <v>156.75559999999999</v>
      </c>
      <c r="M5594">
        <v>-0.20248240000000001</v>
      </c>
      <c r="N5594">
        <v>0</v>
      </c>
      <c r="O5594">
        <v>-0.97919520000000004</v>
      </c>
      <c r="P5594">
        <v>-0.34365309999999999</v>
      </c>
      <c r="Q5594">
        <v>-2.3068869999999998E-2</v>
      </c>
      <c r="R5594">
        <v>-0.93881349999999997</v>
      </c>
      <c r="S5594">
        <v>-1.8931119999999999</v>
      </c>
      <c r="T5594">
        <v>-0.4573566</v>
      </c>
      <c r="U5594">
        <v>-2.4954830000000001</v>
      </c>
      <c r="V5594">
        <v>0.14640069999999999</v>
      </c>
      <c r="W5594">
        <v>-1.0214229999999999E-2</v>
      </c>
      <c r="X5594">
        <v>0.98917259999999996</v>
      </c>
      <c r="Y5594">
        <v>0.42382760000000003</v>
      </c>
      <c r="Z5594">
        <v>0.14807149999999999</v>
      </c>
      <c r="AA5594">
        <v>0.8935575</v>
      </c>
      <c r="AB5594">
        <v>10</v>
      </c>
      <c r="AC5594">
        <v>-4.56810000000001</v>
      </c>
      <c r="AD5594">
        <v>-1.1093365605700001</v>
      </c>
      <c r="AE5594">
        <v>-5.9538999999999698</v>
      </c>
      <c r="AF5594">
        <v>3.1979111181715698</v>
      </c>
      <c r="AG5594">
        <v>-1.1093365605700001</v>
      </c>
      <c r="AH5594">
        <v>6.6111238943397401</v>
      </c>
      <c r="AI5594">
        <v>98.589844865609095</v>
      </c>
      <c r="AJ5594">
        <v>64.186169899290306</v>
      </c>
      <c r="AK5594">
        <v>7.4272620978832098</v>
      </c>
      <c r="AL5594">
        <v>90.585242467771806</v>
      </c>
      <c r="AM5594">
        <v>81.5811582811763</v>
      </c>
      <c r="AN5594">
        <v>0.99999996402286995</v>
      </c>
    </row>
    <row r="5595" spans="1:40" x14ac:dyDescent="0.25">
      <c r="A5595" t="str">
        <f>"20190312154034676"</f>
        <v>20190312154034676</v>
      </c>
      <c r="B5595" t="str">
        <f>"1552376434671733"</f>
        <v>1552376434671733</v>
      </c>
      <c r="C5595" t="s">
        <v>40</v>
      </c>
      <c r="D5595">
        <v>4.0720749999999999</v>
      </c>
      <c r="E5595">
        <v>0.64073740000000001</v>
      </c>
      <c r="F5595" t="s">
        <v>55</v>
      </c>
      <c r="G5595">
        <v>-198.185</v>
      </c>
      <c r="H5595" s="1">
        <v>-1.259846E-5</v>
      </c>
      <c r="I5595">
        <v>150.7861</v>
      </c>
      <c r="J5595">
        <v>-193.15770000000001</v>
      </c>
      <c r="K5595">
        <v>1.109321</v>
      </c>
      <c r="L5595">
        <v>156.70429999999999</v>
      </c>
      <c r="M5595">
        <v>-0.2040052</v>
      </c>
      <c r="N5595">
        <v>0</v>
      </c>
      <c r="O5595">
        <v>-0.9788791</v>
      </c>
      <c r="P5595">
        <v>-0.3456149</v>
      </c>
      <c r="Q5595">
        <v>-2.3031090000000001E-2</v>
      </c>
      <c r="R5595">
        <v>-0.93809390000000004</v>
      </c>
      <c r="S5595">
        <v>-2.0537260000000002</v>
      </c>
      <c r="T5595">
        <v>-0.45206449999999998</v>
      </c>
      <c r="U5595">
        <v>-2.4326479999999999</v>
      </c>
      <c r="V5595">
        <v>0.1469297</v>
      </c>
      <c r="W5595">
        <v>-1.017961E-2</v>
      </c>
      <c r="X5595">
        <v>0.98909460000000005</v>
      </c>
      <c r="Y5595">
        <v>0.46878900000000001</v>
      </c>
      <c r="Z5595">
        <v>0.14484810000000001</v>
      </c>
      <c r="AA5595">
        <v>0.87135289999999999</v>
      </c>
      <c r="AB5595">
        <v>10</v>
      </c>
      <c r="AC5595">
        <v>-5.0272999999999897</v>
      </c>
      <c r="AD5595">
        <v>-1.1093335984599999</v>
      </c>
      <c r="AE5595">
        <v>-5.9181999999999801</v>
      </c>
      <c r="AF5595">
        <v>3.6398210989105499</v>
      </c>
      <c r="AG5595">
        <v>-1.1093335984599999</v>
      </c>
      <c r="AH5595">
        <v>6.6830115766439198</v>
      </c>
      <c r="AI5595">
        <v>98.293849772261197</v>
      </c>
      <c r="AJ5595">
        <v>61.425615986559599</v>
      </c>
      <c r="AK5595">
        <v>7.6903551542372401</v>
      </c>
      <c r="AL5595">
        <v>90.583258737755699</v>
      </c>
      <c r="AM5595">
        <v>81.550519524506697</v>
      </c>
      <c r="AN5595">
        <v>1.0000000444754999</v>
      </c>
    </row>
    <row r="5596" spans="1:40" x14ac:dyDescent="0.25">
      <c r="A5596" t="str">
        <f>"20190312154034688"</f>
        <v>20190312154034688</v>
      </c>
      <c r="B5596" t="str">
        <f>"1552376434681492"</f>
        <v>1552376434681492</v>
      </c>
      <c r="C5596" t="s">
        <v>40</v>
      </c>
      <c r="D5596">
        <v>4.0579219999999996</v>
      </c>
      <c r="E5596">
        <v>0.64345980000000003</v>
      </c>
      <c r="F5596" t="s">
        <v>55</v>
      </c>
      <c r="G5596">
        <v>-198.3485</v>
      </c>
      <c r="H5596" s="1">
        <v>-1.258995E-5</v>
      </c>
      <c r="I5596">
        <v>150.69460000000001</v>
      </c>
      <c r="J5596">
        <v>-193.16909999999999</v>
      </c>
      <c r="K5596">
        <v>1.109318</v>
      </c>
      <c r="L5596">
        <v>156.65799999999999</v>
      </c>
      <c r="M5596">
        <v>-0.205404</v>
      </c>
      <c r="N5596">
        <v>0</v>
      </c>
      <c r="O5596">
        <v>-0.97858670000000003</v>
      </c>
      <c r="P5596">
        <v>-0.34752359999999999</v>
      </c>
      <c r="Q5596">
        <v>-2.2828830000000001E-2</v>
      </c>
      <c r="R5596">
        <v>-0.93739360000000005</v>
      </c>
      <c r="S5596">
        <v>-2.0882420000000002</v>
      </c>
      <c r="T5596">
        <v>-0.44627489999999997</v>
      </c>
      <c r="U5596">
        <v>-2.4176639999999998</v>
      </c>
      <c r="V5596">
        <v>0.14752850000000001</v>
      </c>
      <c r="W5596">
        <v>-9.9802480000000006E-3</v>
      </c>
      <c r="X5596">
        <v>0.98900750000000004</v>
      </c>
      <c r="Y5596">
        <v>0.47754720000000001</v>
      </c>
      <c r="Z5596">
        <v>0.14270279999999999</v>
      </c>
      <c r="AA5596">
        <v>0.86693980000000004</v>
      </c>
      <c r="AB5596">
        <v>10</v>
      </c>
      <c r="AC5596">
        <v>-5.17940000000001</v>
      </c>
      <c r="AD5596">
        <v>-1.1093305899499999</v>
      </c>
      <c r="AE5596">
        <v>-5.9633999999999698</v>
      </c>
      <c r="AF5596">
        <v>3.7695713793099399</v>
      </c>
      <c r="AG5596">
        <v>-1.1093305899499999</v>
      </c>
      <c r="AH5596">
        <v>6.76671113678014</v>
      </c>
      <c r="AI5596">
        <v>98.150267572371007</v>
      </c>
      <c r="AJ5596">
        <v>60.878876246836697</v>
      </c>
      <c r="AK5596">
        <v>7.8248745900580303</v>
      </c>
      <c r="AL5596">
        <v>90.571835553916003</v>
      </c>
      <c r="AM5596">
        <v>81.515848192841304</v>
      </c>
      <c r="AN5596">
        <v>1.00000004935931</v>
      </c>
    </row>
    <row r="5597" spans="1:40" x14ac:dyDescent="0.25">
      <c r="A5597" t="str">
        <f>"20190312154034699"</f>
        <v>20190312154034699</v>
      </c>
      <c r="B5597" t="str">
        <f>"1552376434692227"</f>
        <v>1552376434692227</v>
      </c>
      <c r="C5597" t="s">
        <v>40</v>
      </c>
      <c r="D5597">
        <v>4.0721990000000003</v>
      </c>
      <c r="E5597">
        <v>0.64551230000000004</v>
      </c>
      <c r="F5597" t="s">
        <v>55</v>
      </c>
      <c r="G5597">
        <v>-198.45660000000001</v>
      </c>
      <c r="H5597" s="1">
        <v>-1.258555E-5</v>
      </c>
      <c r="I5597">
        <v>150.63900000000001</v>
      </c>
      <c r="J5597">
        <v>-193.1807</v>
      </c>
      <c r="K5597">
        <v>1.1093170000000001</v>
      </c>
      <c r="L5597">
        <v>156.61080000000001</v>
      </c>
      <c r="M5597">
        <v>-0.2068313</v>
      </c>
      <c r="N5597">
        <v>0</v>
      </c>
      <c r="O5597">
        <v>-0.97828579999999998</v>
      </c>
      <c r="P5597">
        <v>-0.35014640000000002</v>
      </c>
      <c r="Q5597">
        <v>-2.272186E-2</v>
      </c>
      <c r="R5597">
        <v>-0.93641940000000001</v>
      </c>
      <c r="S5597">
        <v>-2.1136170000000001</v>
      </c>
      <c r="T5597">
        <v>-0.44343510000000003</v>
      </c>
      <c r="U5597">
        <v>-2.4059750000000002</v>
      </c>
      <c r="V5597">
        <v>0.14885370000000001</v>
      </c>
      <c r="W5597">
        <v>-9.879344E-3</v>
      </c>
      <c r="X5597">
        <v>0.98880990000000002</v>
      </c>
      <c r="Y5597">
        <v>0.48363489999999998</v>
      </c>
      <c r="Z5597">
        <v>0.14158479999999901</v>
      </c>
      <c r="AA5597">
        <v>0.86374249999999997</v>
      </c>
      <c r="AB5597">
        <v>10</v>
      </c>
      <c r="AC5597">
        <v>-5.2759</v>
      </c>
      <c r="AD5597">
        <v>-1.1093295855500001</v>
      </c>
      <c r="AE5597">
        <v>-5.9718</v>
      </c>
      <c r="AF5597">
        <v>3.8518805156685398</v>
      </c>
      <c r="AG5597">
        <v>-1.1093295855500001</v>
      </c>
      <c r="AH5597">
        <v>6.80213589390977</v>
      </c>
      <c r="AI5597">
        <v>98.077015028889406</v>
      </c>
      <c r="AJ5597">
        <v>60.478200480755</v>
      </c>
      <c r="AK5597">
        <v>7.8953561259501903</v>
      </c>
      <c r="AL5597">
        <v>90.566053911367504</v>
      </c>
      <c r="AM5597">
        <v>81.439076615510103</v>
      </c>
      <c r="AN5597">
        <v>1.00000002188978</v>
      </c>
    </row>
    <row r="5598" spans="1:40" x14ac:dyDescent="0.25">
      <c r="A5598" t="str">
        <f>"20190312154034721"</f>
        <v>20190312154034721</v>
      </c>
      <c r="B5598" t="str">
        <f>"1552376434712253"</f>
        <v>1552376434712253</v>
      </c>
      <c r="C5598" t="s">
        <v>40</v>
      </c>
      <c r="D5598">
        <v>4.0752389999999998</v>
      </c>
      <c r="E5598">
        <v>0.64867379999999997</v>
      </c>
      <c r="F5598" t="s">
        <v>55</v>
      </c>
      <c r="G5598">
        <v>-198.55080000000001</v>
      </c>
      <c r="H5598" s="1">
        <v>-1.2581540000000001E-5</v>
      </c>
      <c r="I5598">
        <v>150.5899</v>
      </c>
      <c r="J5598">
        <v>-193.20419999999999</v>
      </c>
      <c r="K5598">
        <v>1.1093170000000001</v>
      </c>
      <c r="L5598">
        <v>156.51660000000001</v>
      </c>
      <c r="M5598">
        <v>-0.2097349</v>
      </c>
      <c r="N5598">
        <v>0</v>
      </c>
      <c r="O5598">
        <v>-0.97766750000000002</v>
      </c>
      <c r="P5598">
        <v>-0.35415069999999998</v>
      </c>
      <c r="Q5598">
        <v>-2.2394710000000002E-2</v>
      </c>
      <c r="R5598">
        <v>-0.93492050000000004</v>
      </c>
      <c r="S5598">
        <v>-2.135605</v>
      </c>
      <c r="T5598">
        <v>-0.44116300000000003</v>
      </c>
      <c r="U5598">
        <v>-2.3944239999999999</v>
      </c>
      <c r="V5598">
        <v>0.15014810000000001</v>
      </c>
      <c r="W5598">
        <v>-9.5588779999999998E-3</v>
      </c>
      <c r="X5598">
        <v>0.98861730000000003</v>
      </c>
      <c r="Y5598">
        <v>0.48762519999999998</v>
      </c>
      <c r="Z5598">
        <v>0.1407061</v>
      </c>
      <c r="AA5598">
        <v>0.86163999999999996</v>
      </c>
      <c r="AB5598">
        <v>10</v>
      </c>
      <c r="AC5598">
        <v>-5.34660000000002</v>
      </c>
      <c r="AD5598">
        <v>-1.1093295815399999</v>
      </c>
      <c r="AE5598">
        <v>-5.9267000000000101</v>
      </c>
      <c r="AF5598">
        <v>3.90901134918676</v>
      </c>
      <c r="AG5598">
        <v>-1.1093295815399999</v>
      </c>
      <c r="AH5598">
        <v>6.7852653697551402</v>
      </c>
      <c r="AI5598">
        <v>98.063084054382003</v>
      </c>
      <c r="AJ5598">
        <v>60.053628840450898</v>
      </c>
      <c r="AK5598">
        <v>7.9089068768413897</v>
      </c>
      <c r="AL5598">
        <v>90.547691709878904</v>
      </c>
      <c r="AM5598">
        <v>81.364093126700794</v>
      </c>
      <c r="AN5598">
        <v>0.99999999497075898</v>
      </c>
    </row>
    <row r="5599" spans="1:40" x14ac:dyDescent="0.25">
      <c r="A5599" t="str">
        <f>"20190312154034731"</f>
        <v>20190312154034731</v>
      </c>
      <c r="B5599" t="str">
        <f>"1552376434722014"</f>
        <v>1552376434722014</v>
      </c>
      <c r="C5599" t="s">
        <v>40</v>
      </c>
      <c r="D5599">
        <v>4.0829069999999996</v>
      </c>
      <c r="E5599">
        <v>0.64970689999999998</v>
      </c>
      <c r="F5599" t="s">
        <v>55</v>
      </c>
      <c r="G5599">
        <v>-198.77170000000001</v>
      </c>
      <c r="H5599" s="1">
        <v>-1.2558099999999999E-5</v>
      </c>
      <c r="I5599">
        <v>150.4188</v>
      </c>
      <c r="J5599">
        <v>-193.2165</v>
      </c>
      <c r="K5599">
        <v>1.1093150000000001</v>
      </c>
      <c r="L5599">
        <v>156.46809999999999</v>
      </c>
      <c r="M5599">
        <v>-0.21124809999999999</v>
      </c>
      <c r="N5599">
        <v>0</v>
      </c>
      <c r="O5599">
        <v>-0.97734169999999998</v>
      </c>
      <c r="P5599">
        <v>-0.35622569999999998</v>
      </c>
      <c r="Q5599">
        <v>-2.2334429999999999E-2</v>
      </c>
      <c r="R5599">
        <v>-0.93413330000000006</v>
      </c>
      <c r="S5599">
        <v>-2.1698759999999999</v>
      </c>
      <c r="T5599">
        <v>-0.43235220000000002</v>
      </c>
      <c r="U5599">
        <v>-2.376541</v>
      </c>
      <c r="V5599">
        <v>0.15081249999999999</v>
      </c>
      <c r="W5599">
        <v>-9.5021399999999992E-3</v>
      </c>
      <c r="X5599">
        <v>0.98851670000000003</v>
      </c>
      <c r="Y5599">
        <v>0.49657950000000001</v>
      </c>
      <c r="Z5599">
        <v>0.1377015</v>
      </c>
      <c r="AA5599">
        <v>0.85699890000000001</v>
      </c>
      <c r="AB5599">
        <v>10</v>
      </c>
      <c r="AC5599">
        <v>-5.5552000000000099</v>
      </c>
      <c r="AD5599">
        <v>-1.1093275580999999</v>
      </c>
      <c r="AE5599">
        <v>-6.0492999999999801</v>
      </c>
      <c r="AF5599">
        <v>4.0774073332120304</v>
      </c>
      <c r="AG5599">
        <v>-1.1093275580999999</v>
      </c>
      <c r="AH5599">
        <v>6.9594225346611998</v>
      </c>
      <c r="AI5599">
        <v>97.830928961917706</v>
      </c>
      <c r="AJ5599">
        <v>59.634687740936698</v>
      </c>
      <c r="AK5599">
        <v>8.1418315020664505</v>
      </c>
      <c r="AL5599">
        <v>90.544440720521294</v>
      </c>
      <c r="AM5599">
        <v>81.3255901716702</v>
      </c>
      <c r="AN5599">
        <v>0.99999998349985897</v>
      </c>
    </row>
    <row r="5600" spans="1:40" x14ac:dyDescent="0.25">
      <c r="A5600" t="str">
        <f>"20190312154034743"</f>
        <v>20190312154034743</v>
      </c>
      <c r="B5600" t="str">
        <f>"1552376434731775"</f>
        <v>1552376434731775</v>
      </c>
      <c r="C5600" t="s">
        <v>40</v>
      </c>
      <c r="D5600">
        <v>4.091818</v>
      </c>
      <c r="E5600">
        <v>0.65069869999999996</v>
      </c>
      <c r="F5600" t="s">
        <v>55</v>
      </c>
      <c r="G5600">
        <v>-198.8391</v>
      </c>
      <c r="H5600" s="1">
        <v>-1.2550809999999999E-5</v>
      </c>
      <c r="I5600">
        <v>150.36609999999999</v>
      </c>
      <c r="J5600">
        <v>-193.2285</v>
      </c>
      <c r="K5600">
        <v>1.1093139999999999</v>
      </c>
      <c r="L5600">
        <v>156.42099999999999</v>
      </c>
      <c r="M5600">
        <v>-0.212731</v>
      </c>
      <c r="N5600">
        <v>0</v>
      </c>
      <c r="O5600">
        <v>-0.97702</v>
      </c>
      <c r="P5600">
        <v>-0.35832269999999999</v>
      </c>
      <c r="Q5600">
        <v>-2.217951E-2</v>
      </c>
      <c r="R5600">
        <v>-0.93333460000000001</v>
      </c>
      <c r="S5600">
        <v>-2.1827700000000001</v>
      </c>
      <c r="T5600">
        <v>-0.43065690000000001</v>
      </c>
      <c r="U5600">
        <v>-2.368881</v>
      </c>
      <c r="V5600">
        <v>0.15153169999999999</v>
      </c>
      <c r="W5600">
        <v>-9.3508879999999999E-3</v>
      </c>
      <c r="X5600">
        <v>0.98840810000000001</v>
      </c>
      <c r="Y5600">
        <v>0.49923020000000001</v>
      </c>
      <c r="Z5600">
        <v>0.1370989</v>
      </c>
      <c r="AA5600">
        <v>0.85555429999999999</v>
      </c>
      <c r="AB5600">
        <v>10</v>
      </c>
      <c r="AC5600">
        <v>-5.6105999999999998</v>
      </c>
      <c r="AD5600">
        <v>-1.1093265508100001</v>
      </c>
      <c r="AE5600">
        <v>-6.0548999999999999</v>
      </c>
      <c r="AF5600">
        <v>4.1195769169337497</v>
      </c>
      <c r="AG5600">
        <v>-1.1093265508100001</v>
      </c>
      <c r="AH5600">
        <v>6.9838116387464799</v>
      </c>
      <c r="AI5600">
        <v>97.790480083941503</v>
      </c>
      <c r="AJ5600">
        <v>59.464701834987899</v>
      </c>
      <c r="AK5600">
        <v>8.1838343321670592</v>
      </c>
      <c r="AL5600">
        <v>90.535774260763901</v>
      </c>
      <c r="AM5600">
        <v>81.283914126270602</v>
      </c>
      <c r="AN5600">
        <v>0.99999993367844198</v>
      </c>
    </row>
    <row r="5601" spans="1:40" x14ac:dyDescent="0.25">
      <c r="A5601" t="str">
        <f>"20190312154034754"</f>
        <v>20190312154034754</v>
      </c>
      <c r="B5601" t="str">
        <f>"1552376434752270"</f>
        <v>1552376434752270</v>
      </c>
      <c r="C5601" t="s">
        <v>40</v>
      </c>
      <c r="D5601">
        <v>4.0501149999999999</v>
      </c>
      <c r="E5601">
        <v>0.65201160000000002</v>
      </c>
      <c r="F5601" t="s">
        <v>55</v>
      </c>
      <c r="G5601">
        <v>-198.89879999999999</v>
      </c>
      <c r="H5601" s="1">
        <v>-1.2545360000000001E-5</v>
      </c>
      <c r="I5601">
        <v>150.32339999999999</v>
      </c>
      <c r="J5601">
        <v>-193.24100000000001</v>
      </c>
      <c r="K5601">
        <v>1.109313</v>
      </c>
      <c r="L5601">
        <v>156.3723</v>
      </c>
      <c r="M5601">
        <v>-0.21427160000000001</v>
      </c>
      <c r="N5601">
        <v>0</v>
      </c>
      <c r="O5601">
        <v>-0.97668339999999998</v>
      </c>
      <c r="P5601">
        <v>-0.3603925</v>
      </c>
      <c r="Q5601">
        <v>-2.2222570000000001E-2</v>
      </c>
      <c r="R5601">
        <v>-0.93253620000000004</v>
      </c>
      <c r="S5601">
        <v>-2.1957089999999999</v>
      </c>
      <c r="T5601">
        <v>-0.42955939999999998</v>
      </c>
      <c r="U5601">
        <v>-2.3611300000000002</v>
      </c>
      <c r="V5601">
        <v>0.15216579999999999</v>
      </c>
      <c r="W5601">
        <v>-9.397252E-3</v>
      </c>
      <c r="X5601">
        <v>0.98831029999999997</v>
      </c>
      <c r="Y5601">
        <v>0.50182559999999998</v>
      </c>
      <c r="Z5601">
        <v>0.13668250000000001</v>
      </c>
      <c r="AA5601">
        <v>0.85410119999999901</v>
      </c>
      <c r="AB5601">
        <v>10</v>
      </c>
      <c r="AC5601">
        <v>-5.6577999999999999</v>
      </c>
      <c r="AD5601">
        <v>-1.1093255453599999</v>
      </c>
      <c r="AE5601">
        <v>-6.0488999999999997</v>
      </c>
      <c r="AF5601">
        <v>4.1556000191820397</v>
      </c>
      <c r="AG5601">
        <v>-1.1093255453599999</v>
      </c>
      <c r="AH5601">
        <v>6.9953092671330701</v>
      </c>
      <c r="AI5601">
        <v>97.7637605014271</v>
      </c>
      <c r="AJ5601">
        <v>59.287349357349001</v>
      </c>
      <c r="AK5601">
        <v>8.2118187040296906</v>
      </c>
      <c r="AL5601">
        <v>90.538430806672807</v>
      </c>
      <c r="AM5601">
        <v>81.247151673101598</v>
      </c>
      <c r="AN5601">
        <v>0.99999999406044005</v>
      </c>
    </row>
    <row r="5602" spans="1:40" x14ac:dyDescent="0.25">
      <c r="A5602" t="str">
        <f>"20190312154034765"</f>
        <v>20190312154034765</v>
      </c>
      <c r="B5602" t="str">
        <f>"1552376434762030"</f>
        <v>1552376434762030</v>
      </c>
      <c r="C5602" t="s">
        <v>40</v>
      </c>
      <c r="D5602">
        <v>4.0707370000000003</v>
      </c>
      <c r="E5602">
        <v>0.65259299999999998</v>
      </c>
      <c r="F5602" t="s">
        <v>55</v>
      </c>
      <c r="G5602">
        <v>-198.96039999999999</v>
      </c>
      <c r="H5602" s="1">
        <v>-1.254143E-5</v>
      </c>
      <c r="I5602">
        <v>150.2861</v>
      </c>
      <c r="J5602">
        <v>-193.25299999999999</v>
      </c>
      <c r="K5602">
        <v>1.1093109999999999</v>
      </c>
      <c r="L5602">
        <v>156.32579999999999</v>
      </c>
      <c r="M5602">
        <v>-0.215757</v>
      </c>
      <c r="N5602">
        <v>0</v>
      </c>
      <c r="O5602">
        <v>-0.97635609999999995</v>
      </c>
      <c r="P5602">
        <v>-0.36233159999999998</v>
      </c>
      <c r="Q5602">
        <v>-2.1910889999999999E-2</v>
      </c>
      <c r="R5602">
        <v>-0.93179140000000005</v>
      </c>
      <c r="S5602">
        <v>-2.210693</v>
      </c>
      <c r="T5602">
        <v>-0.42878080000000002</v>
      </c>
      <c r="U5602">
        <v>-2.3524479999999999</v>
      </c>
      <c r="V5602">
        <v>0.1527172</v>
      </c>
      <c r="W5602">
        <v>-9.0883769999999999E-3</v>
      </c>
      <c r="X5602">
        <v>0.98822810000000005</v>
      </c>
      <c r="Y5602">
        <v>0.50501220000000002</v>
      </c>
      <c r="Z5602">
        <v>0.1363442</v>
      </c>
      <c r="AA5602">
        <v>0.85227520000000001</v>
      </c>
      <c r="AB5602">
        <v>10</v>
      </c>
      <c r="AC5602">
        <v>-5.7073999999999998</v>
      </c>
      <c r="AD5602">
        <v>-1.10932354143</v>
      </c>
      <c r="AE5602">
        <v>-6.0396999999999803</v>
      </c>
      <c r="AF5602">
        <v>4.1949671131745898</v>
      </c>
      <c r="AG5602">
        <v>-1.10932354143</v>
      </c>
      <c r="AH5602">
        <v>7.0041207478079404</v>
      </c>
      <c r="AI5602">
        <v>97.737692928522705</v>
      </c>
      <c r="AJ5602">
        <v>59.081408828401202</v>
      </c>
      <c r="AK5602">
        <v>8.2392994392764205</v>
      </c>
      <c r="AL5602">
        <v>90.520732834510397</v>
      </c>
      <c r="AM5602">
        <v>81.215208701689903</v>
      </c>
      <c r="AN5602">
        <v>0.999999959700971</v>
      </c>
    </row>
    <row r="5603" spans="1:40" x14ac:dyDescent="0.25">
      <c r="A5603" t="str">
        <f>"20190312154034776"</f>
        <v>20190312154034776</v>
      </c>
      <c r="B5603" t="str">
        <f>"1552376434771791"</f>
        <v>1552376434771791</v>
      </c>
      <c r="C5603" t="s">
        <v>40</v>
      </c>
      <c r="D5603">
        <v>4.0927129999999998</v>
      </c>
      <c r="E5603">
        <v>0.65307380000000004</v>
      </c>
      <c r="F5603" t="s">
        <v>55</v>
      </c>
      <c r="G5603">
        <v>-199.0155</v>
      </c>
      <c r="H5603" s="1">
        <v>-1.25336E-5</v>
      </c>
      <c r="I5603">
        <v>150.2355</v>
      </c>
      <c r="J5603">
        <v>-193.2654</v>
      </c>
      <c r="K5603">
        <v>1.10931</v>
      </c>
      <c r="L5603">
        <v>156.27809999999999</v>
      </c>
      <c r="M5603">
        <v>-0.21728720000000001</v>
      </c>
      <c r="N5603">
        <v>0</v>
      </c>
      <c r="O5603">
        <v>-0.97601680000000002</v>
      </c>
      <c r="P5603">
        <v>-0.36432639999999999</v>
      </c>
      <c r="Q5603">
        <v>-2.2037569999999999E-2</v>
      </c>
      <c r="R5603">
        <v>-0.93101069999999997</v>
      </c>
      <c r="S5603">
        <v>-2.2200319999999998</v>
      </c>
      <c r="T5603">
        <v>-0.42736940000000001</v>
      </c>
      <c r="U5603">
        <v>-2.346298</v>
      </c>
      <c r="V5603">
        <v>0.1532849</v>
      </c>
      <c r="W5603">
        <v>-9.2180509999999997E-3</v>
      </c>
      <c r="X5603">
        <v>0.98813899999999999</v>
      </c>
      <c r="Y5603">
        <v>0.50661639999999997</v>
      </c>
      <c r="Z5603">
        <v>0.13586199999999901</v>
      </c>
      <c r="AA5603">
        <v>0.85139969999999998</v>
      </c>
      <c r="AB5603">
        <v>10</v>
      </c>
      <c r="AC5603">
        <v>-5.7500999999999998</v>
      </c>
      <c r="AD5603">
        <v>-1.1093225336000001</v>
      </c>
      <c r="AE5603">
        <v>-6.0425999999999904</v>
      </c>
      <c r="AF5603">
        <v>4.22487119423094</v>
      </c>
      <c r="AG5603">
        <v>-1.1093225336000001</v>
      </c>
      <c r="AH5603">
        <v>7.0235123007457396</v>
      </c>
      <c r="AI5603">
        <v>97.707825142727003</v>
      </c>
      <c r="AJ5603">
        <v>58.9717223575717</v>
      </c>
      <c r="AK5603">
        <v>8.2710252163877396</v>
      </c>
      <c r="AL5603">
        <v>90.528162919790404</v>
      </c>
      <c r="AM5603">
        <v>81.182282397252493</v>
      </c>
      <c r="AN5603">
        <v>0.99999995817662302</v>
      </c>
    </row>
    <row r="5604" spans="1:40" x14ac:dyDescent="0.25">
      <c r="A5604" t="str">
        <f>"20190312154034790"</f>
        <v>20190312154034790</v>
      </c>
      <c r="B5604" t="str">
        <f>"1552376434781550"</f>
        <v>1552376434781550</v>
      </c>
      <c r="C5604" t="s">
        <v>40</v>
      </c>
      <c r="D5604">
        <v>4.0730190000000004</v>
      </c>
      <c r="E5604">
        <v>0.65343999999999902</v>
      </c>
      <c r="F5604" t="s">
        <v>55</v>
      </c>
      <c r="G5604">
        <v>-199.0532</v>
      </c>
      <c r="H5604" s="1">
        <v>-1.2528310000000001E-5</v>
      </c>
      <c r="I5604">
        <v>150.2012</v>
      </c>
      <c r="J5604">
        <v>-193.27959999999999</v>
      </c>
      <c r="K5604">
        <v>1.1093059999999999</v>
      </c>
      <c r="L5604">
        <v>156.22389999999999</v>
      </c>
      <c r="M5604">
        <v>-0.21904750000000001</v>
      </c>
      <c r="N5604">
        <v>0</v>
      </c>
      <c r="O5604">
        <v>-0.97562329999999997</v>
      </c>
      <c r="P5604">
        <v>-0.36701420000000001</v>
      </c>
      <c r="Q5604">
        <v>-2.1853339999999999E-2</v>
      </c>
      <c r="R5604">
        <v>-0.92995890000000003</v>
      </c>
      <c r="S5604">
        <v>-2.228729</v>
      </c>
      <c r="T5604">
        <v>-0.42717189999999999</v>
      </c>
      <c r="U5604">
        <v>-2.340042</v>
      </c>
      <c r="V5604">
        <v>0.15435579999999999</v>
      </c>
      <c r="W5604">
        <v>-9.039165E-3</v>
      </c>
      <c r="X5604">
        <v>0.98797400000000002</v>
      </c>
      <c r="Y5604">
        <v>0.5078722</v>
      </c>
      <c r="Z5604">
        <v>0.13577500000000001</v>
      </c>
      <c r="AA5604">
        <v>0.850665</v>
      </c>
      <c r="AB5604">
        <v>10</v>
      </c>
      <c r="AC5604">
        <v>-5.7736000000000098</v>
      </c>
      <c r="AD5604">
        <v>-1.10931852831</v>
      </c>
      <c r="AE5604">
        <v>-6.02269999999998</v>
      </c>
      <c r="AF5604">
        <v>4.2390419541419604</v>
      </c>
      <c r="AG5604">
        <v>-1.10931852831</v>
      </c>
      <c r="AH5604">
        <v>7.0171562479983001</v>
      </c>
      <c r="AI5604">
        <v>97.706058407803297</v>
      </c>
      <c r="AJ5604">
        <v>58.863958352834302</v>
      </c>
      <c r="AK5604">
        <v>8.2728801571791895</v>
      </c>
      <c r="AL5604">
        <v>90.517913046357194</v>
      </c>
      <c r="AM5604">
        <v>81.120197801991907</v>
      </c>
      <c r="AN5604">
        <v>1.00000002208676</v>
      </c>
    </row>
    <row r="5605" spans="1:40" x14ac:dyDescent="0.25">
      <c r="A5605" t="str">
        <f>"20190312154034804"</f>
        <v>20190312154034804</v>
      </c>
      <c r="B5605" t="str">
        <f>"1552376434801581"</f>
        <v>1552376434801581</v>
      </c>
      <c r="C5605" t="s">
        <v>40</v>
      </c>
      <c r="D5605">
        <v>4.101108</v>
      </c>
      <c r="E5605">
        <v>0.65412799999999904</v>
      </c>
      <c r="F5605" t="s">
        <v>55</v>
      </c>
      <c r="G5605">
        <v>-199.11060000000001</v>
      </c>
      <c r="H5605" s="1">
        <v>-1.251987E-5</v>
      </c>
      <c r="I5605">
        <v>150.1474</v>
      </c>
      <c r="J5605">
        <v>-193.2953</v>
      </c>
      <c r="K5605">
        <v>1.1093029999999999</v>
      </c>
      <c r="L5605">
        <v>156.16489999999999</v>
      </c>
      <c r="M5605">
        <v>-0.22098090000000001</v>
      </c>
      <c r="N5605">
        <v>0</v>
      </c>
      <c r="O5605">
        <v>-0.97518709999999997</v>
      </c>
      <c r="P5605">
        <v>-0.36980809999999997</v>
      </c>
      <c r="Q5605">
        <v>-2.1921110000000001E-2</v>
      </c>
      <c r="R5605">
        <v>-0.92884979999999995</v>
      </c>
      <c r="S5605">
        <v>-2.238327</v>
      </c>
      <c r="T5605">
        <v>-0.42583149999999997</v>
      </c>
      <c r="U5605">
        <v>-2.3325650000000002</v>
      </c>
      <c r="V5605">
        <v>0.15536739999999999</v>
      </c>
      <c r="W5605">
        <v>-9.1122219999999997E-3</v>
      </c>
      <c r="X5605">
        <v>0.98781470000000005</v>
      </c>
      <c r="Y5605">
        <v>0.50939709999999905</v>
      </c>
      <c r="Z5605">
        <v>0.13534589999999999</v>
      </c>
      <c r="AA5605">
        <v>0.84982119999999906</v>
      </c>
      <c r="AB5605">
        <v>10</v>
      </c>
      <c r="AC5605">
        <v>-5.8152999999999997</v>
      </c>
      <c r="AD5605">
        <v>-1.10931551987</v>
      </c>
      <c r="AE5605">
        <v>-6.0174999999999796</v>
      </c>
      <c r="AF5605">
        <v>4.2666617110347103</v>
      </c>
      <c r="AG5605">
        <v>-1.10931551987</v>
      </c>
      <c r="AH5605">
        <v>7.03035154802311</v>
      </c>
      <c r="AI5605">
        <v>97.682342786815497</v>
      </c>
      <c r="AJ5605">
        <v>58.746785613859899</v>
      </c>
      <c r="AK5605">
        <v>8.2982423420761293</v>
      </c>
      <c r="AL5605">
        <v>90.522099102814707</v>
      </c>
      <c r="AM5605">
        <v>81.061520740515604</v>
      </c>
      <c r="AN5605">
        <v>0.99999997155431297</v>
      </c>
    </row>
    <row r="5606" spans="1:40" x14ac:dyDescent="0.25">
      <c r="A5606" t="str">
        <f>"20190312154034823"</f>
        <v>20190312154034823</v>
      </c>
      <c r="B5606" t="str">
        <f>"1552376434811342"</f>
        <v>1552376434811342</v>
      </c>
      <c r="C5606" t="s">
        <v>40</v>
      </c>
      <c r="D5606">
        <v>4.084479</v>
      </c>
      <c r="E5606">
        <v>0.65440169999999998</v>
      </c>
      <c r="F5606" t="s">
        <v>55</v>
      </c>
      <c r="G5606">
        <v>-199.14750000000001</v>
      </c>
      <c r="H5606" s="1">
        <v>-1.2516590000000001E-5</v>
      </c>
      <c r="I5606">
        <v>150.12139999999999</v>
      </c>
      <c r="J5606">
        <v>-193.31610000000001</v>
      </c>
      <c r="K5606">
        <v>1.109297</v>
      </c>
      <c r="L5606">
        <v>156.0872</v>
      </c>
      <c r="M5606">
        <v>-0.2235472</v>
      </c>
      <c r="N5606">
        <v>0</v>
      </c>
      <c r="O5606">
        <v>-0.97460190000000002</v>
      </c>
      <c r="P5606">
        <v>-0.37604880000000002</v>
      </c>
      <c r="Q5606">
        <v>-2.1444680000000001E-2</v>
      </c>
      <c r="R5606">
        <v>-0.92635149999999999</v>
      </c>
      <c r="S5606">
        <v>-2.2502900000000001</v>
      </c>
      <c r="T5606">
        <v>-0.42655310000000002</v>
      </c>
      <c r="U5606">
        <v>-2.3238219999999998</v>
      </c>
      <c r="V5606">
        <v>0.159409299999999</v>
      </c>
      <c r="W5606">
        <v>-8.6546920000000003E-3</v>
      </c>
      <c r="X5606">
        <v>0.98717460000000001</v>
      </c>
      <c r="Y5606">
        <v>0.51097979999999998</v>
      </c>
      <c r="Z5606">
        <v>0.13553470000000001</v>
      </c>
      <c r="AA5606">
        <v>0.84884040000000005</v>
      </c>
      <c r="AB5606">
        <v>10</v>
      </c>
      <c r="AC5606">
        <v>-5.8314000000000004</v>
      </c>
      <c r="AD5606">
        <v>-1.10930951659</v>
      </c>
      <c r="AE5606">
        <v>-5.9657999999999998</v>
      </c>
      <c r="AF5606">
        <v>4.2744630517466096</v>
      </c>
      <c r="AG5606">
        <v>-1.10930951659</v>
      </c>
      <c r="AH5606">
        <v>6.9948263443934096</v>
      </c>
      <c r="AI5606">
        <v>97.706638274826304</v>
      </c>
      <c r="AJ5606">
        <v>58.571347155376898</v>
      </c>
      <c r="AK5606">
        <v>8.2721942417090393</v>
      </c>
      <c r="AL5606">
        <v>90.495883535260006</v>
      </c>
      <c r="AM5606">
        <v>80.827041556746494</v>
      </c>
      <c r="AN5606">
        <v>0.99999995975263101</v>
      </c>
    </row>
    <row r="5607" spans="1:40" x14ac:dyDescent="0.25">
      <c r="A5607" t="str">
        <f>"20190312154034836"</f>
        <v>20190312154034836</v>
      </c>
      <c r="B5607" t="str">
        <f>"1552376434831838"</f>
        <v>1552376434831838</v>
      </c>
      <c r="C5607" t="s">
        <v>40</v>
      </c>
      <c r="D5607">
        <v>4.1388569999999998</v>
      </c>
      <c r="E5607">
        <v>0.65510049999999997</v>
      </c>
      <c r="F5607" t="s">
        <v>55</v>
      </c>
      <c r="G5607">
        <v>-199.21010000000001</v>
      </c>
      <c r="H5607" s="1">
        <v>-1.251406E-5</v>
      </c>
      <c r="I5607">
        <v>150.08930000000001</v>
      </c>
      <c r="J5607">
        <v>-193.3314</v>
      </c>
      <c r="K5607">
        <v>1.1093</v>
      </c>
      <c r="L5607">
        <v>156.03059999999999</v>
      </c>
      <c r="M5607">
        <v>-0.22543679999999999</v>
      </c>
      <c r="N5607">
        <v>0</v>
      </c>
      <c r="O5607">
        <v>-0.97416670000000005</v>
      </c>
      <c r="P5607">
        <v>-0.38041249999999999</v>
      </c>
      <c r="Q5607">
        <v>-2.0336980000000001E-2</v>
      </c>
      <c r="R5607">
        <v>-0.92459369999999996</v>
      </c>
      <c r="S5607">
        <v>-2.26796</v>
      </c>
      <c r="T5607">
        <v>-0.42685220000000001</v>
      </c>
      <c r="U5607">
        <v>-2.3079679999999998</v>
      </c>
      <c r="V5607">
        <v>0.16214519999999999</v>
      </c>
      <c r="W5607">
        <v>-7.5596469999999897E-3</v>
      </c>
      <c r="X5607">
        <v>0.986738</v>
      </c>
      <c r="Y5607">
        <v>0.51552249999999999</v>
      </c>
      <c r="Z5607">
        <v>0.1356842</v>
      </c>
      <c r="AA5607">
        <v>0.84606519999999996</v>
      </c>
      <c r="AB5607">
        <v>10</v>
      </c>
      <c r="AC5607">
        <v>-5.8787000000000003</v>
      </c>
      <c r="AD5607">
        <v>-1.10931251406</v>
      </c>
      <c r="AE5607">
        <v>-5.9412999999999796</v>
      </c>
      <c r="AF5607">
        <v>4.3118803564792803</v>
      </c>
      <c r="AG5607">
        <v>-1.10931251406</v>
      </c>
      <c r="AH5607">
        <v>6.9905818864835103</v>
      </c>
      <c r="AI5607">
        <v>97.691863098172206</v>
      </c>
      <c r="AJ5607">
        <v>58.333183438595498</v>
      </c>
      <c r="AK5607">
        <v>8.28801071271468</v>
      </c>
      <c r="AL5607">
        <v>90.4331399727795</v>
      </c>
      <c r="AM5607">
        <v>80.668298125309903</v>
      </c>
      <c r="AN5607">
        <v>1.0000000473949</v>
      </c>
    </row>
    <row r="5608" spans="1:40" x14ac:dyDescent="0.25">
      <c r="A5608" t="str">
        <f>"20190312154034849"</f>
        <v>20190312154034849</v>
      </c>
      <c r="B5608" t="str">
        <f>"1552376434841598"</f>
        <v>1552376434841598</v>
      </c>
      <c r="C5608" t="s">
        <v>40</v>
      </c>
      <c r="D5608">
        <v>4.0934980000000003</v>
      </c>
      <c r="E5608">
        <v>0.65521890000000005</v>
      </c>
      <c r="F5608" t="s">
        <v>55</v>
      </c>
      <c r="G5608">
        <v>-199.32589999999999</v>
      </c>
      <c r="H5608" s="1">
        <v>-1.250336E-5</v>
      </c>
      <c r="I5608">
        <v>150.0059</v>
      </c>
      <c r="J5608">
        <v>-193.34549999999999</v>
      </c>
      <c r="K5608">
        <v>1.109302</v>
      </c>
      <c r="L5608">
        <v>155.97899999999899</v>
      </c>
      <c r="M5608">
        <v>-0.2271717</v>
      </c>
      <c r="N5608">
        <v>0</v>
      </c>
      <c r="O5608">
        <v>-0.97376359999999995</v>
      </c>
      <c r="P5608">
        <v>-0.3847179</v>
      </c>
      <c r="Q5608">
        <v>-1.9013559999999999E-2</v>
      </c>
      <c r="R5608">
        <v>-0.92283839999999995</v>
      </c>
      <c r="S5608">
        <v>-2.284119</v>
      </c>
      <c r="T5608">
        <v>-0.42268539999999999</v>
      </c>
      <c r="U5608">
        <v>-2.2955930000000002</v>
      </c>
      <c r="V5608">
        <v>0.1649822</v>
      </c>
      <c r="W5608">
        <v>-6.2489879999999996E-3</v>
      </c>
      <c r="X5608">
        <v>0.98627670000000001</v>
      </c>
      <c r="Y5608">
        <v>0.51940419999999998</v>
      </c>
      <c r="Z5608">
        <v>0.13435949999999999</v>
      </c>
      <c r="AA5608">
        <v>0.84389979999999998</v>
      </c>
      <c r="AB5608">
        <v>10</v>
      </c>
      <c r="AC5608">
        <v>-5.9804000000000004</v>
      </c>
      <c r="AD5608">
        <v>-1.10931450336</v>
      </c>
      <c r="AE5608">
        <v>-5.9730999999999801</v>
      </c>
      <c r="AF5608">
        <v>4.3913339928101696</v>
      </c>
      <c r="AG5608">
        <v>-1.10931450336</v>
      </c>
      <c r="AH5608">
        <v>7.0540977651810604</v>
      </c>
      <c r="AI5608">
        <v>97.604200588580596</v>
      </c>
      <c r="AJ5608">
        <v>58.096810500594401</v>
      </c>
      <c r="AK5608">
        <v>8.3829999513603397</v>
      </c>
      <c r="AL5608">
        <v>90.358042985891601</v>
      </c>
      <c r="AM5608">
        <v>80.503611978374593</v>
      </c>
      <c r="AN5608">
        <v>0.99999995256537499</v>
      </c>
    </row>
    <row r="5609" spans="1:40" x14ac:dyDescent="0.25">
      <c r="A5609" t="str">
        <f>"20190312154034861"</f>
        <v>20190312154034861</v>
      </c>
      <c r="B5609" t="str">
        <f>"1552376434851358"</f>
        <v>1552376434851358</v>
      </c>
      <c r="C5609" t="s">
        <v>40</v>
      </c>
      <c r="D5609">
        <v>4.154598</v>
      </c>
      <c r="E5609">
        <v>0.65545390000000003</v>
      </c>
      <c r="F5609" t="s">
        <v>55</v>
      </c>
      <c r="G5609">
        <v>-199.42070000000001</v>
      </c>
      <c r="H5609" s="1">
        <v>-1.2493390000000001E-5</v>
      </c>
      <c r="I5609">
        <v>149.93289999999999</v>
      </c>
      <c r="J5609">
        <v>-193.35990000000001</v>
      </c>
      <c r="K5609">
        <v>1.1093139999999999</v>
      </c>
      <c r="L5609">
        <v>155.92660000000001</v>
      </c>
      <c r="M5609">
        <v>-0.2289428</v>
      </c>
      <c r="N5609">
        <v>0</v>
      </c>
      <c r="O5609">
        <v>-0.97334889999999996</v>
      </c>
      <c r="P5609">
        <v>-0.38963560000000003</v>
      </c>
      <c r="Q5609">
        <v>-1.709447E-2</v>
      </c>
      <c r="R5609">
        <v>-0.92081080000000004</v>
      </c>
      <c r="S5609">
        <v>-2.2960210000000001</v>
      </c>
      <c r="T5609">
        <v>-0.41924240000000002</v>
      </c>
      <c r="U5609">
        <v>-2.2850190000000001</v>
      </c>
      <c r="V5609">
        <v>0.1684437</v>
      </c>
      <c r="W5609">
        <v>-4.3454390000000004E-3</v>
      </c>
      <c r="X5609">
        <v>0.98570170000000001</v>
      </c>
      <c r="Y5609">
        <v>0.52209689999999997</v>
      </c>
      <c r="Z5609">
        <v>0.1333057</v>
      </c>
      <c r="AA5609">
        <v>0.84240389999999998</v>
      </c>
      <c r="AB5609">
        <v>10</v>
      </c>
      <c r="AC5609">
        <v>-6.0608000000000004</v>
      </c>
      <c r="AD5609">
        <v>-1.10932649339</v>
      </c>
      <c r="AE5609">
        <v>-5.9937000000000102</v>
      </c>
      <c r="AF5609">
        <v>4.4520549789124004</v>
      </c>
      <c r="AG5609">
        <v>-1.10932649339</v>
      </c>
      <c r="AH5609">
        <v>7.1018925535874002</v>
      </c>
      <c r="AI5609">
        <v>97.5390832786305</v>
      </c>
      <c r="AJ5609">
        <v>57.917104325228699</v>
      </c>
      <c r="AK5609">
        <v>8.4550740178247903</v>
      </c>
      <c r="AL5609">
        <v>90.248976097864002</v>
      </c>
      <c r="AM5609">
        <v>80.302562774627106</v>
      </c>
      <c r="AN5609">
        <v>1.00000000214634</v>
      </c>
    </row>
    <row r="5610" spans="1:40" x14ac:dyDescent="0.25">
      <c r="A5610" t="str">
        <f>"20190312154034877"</f>
        <v>20190312154034877</v>
      </c>
      <c r="B5610" t="str">
        <f>"1552376434871856"</f>
        <v>1552376434871856</v>
      </c>
      <c r="C5610" t="s">
        <v>40</v>
      </c>
      <c r="D5610">
        <v>4.07484</v>
      </c>
      <c r="E5610">
        <v>0.65571869999999999</v>
      </c>
      <c r="F5610" t="s">
        <v>55</v>
      </c>
      <c r="G5610">
        <v>-199.5599</v>
      </c>
      <c r="H5610" s="1">
        <v>-1.247946E-5</v>
      </c>
      <c r="I5610">
        <v>149.82849999999999</v>
      </c>
      <c r="J5610">
        <v>-193.37870000000001</v>
      </c>
      <c r="K5610">
        <v>1.109334</v>
      </c>
      <c r="L5610">
        <v>155.8588</v>
      </c>
      <c r="M5610">
        <v>-0.23124720000000001</v>
      </c>
      <c r="N5610">
        <v>0</v>
      </c>
      <c r="O5610">
        <v>-0.972804</v>
      </c>
      <c r="P5610">
        <v>-0.39704040000000002</v>
      </c>
      <c r="Q5610">
        <v>-1.373739E-2</v>
      </c>
      <c r="R5610">
        <v>-0.91769880000000004</v>
      </c>
      <c r="S5610">
        <v>-2.3105929999999999</v>
      </c>
      <c r="T5610">
        <v>-0.41342099999999998</v>
      </c>
      <c r="U5610">
        <v>-2.2726289999999998</v>
      </c>
      <c r="V5610">
        <v>0.1740408</v>
      </c>
      <c r="W5610">
        <v>-1.013613E-3</v>
      </c>
      <c r="X5610">
        <v>0.98473790000000005</v>
      </c>
      <c r="Y5610">
        <v>0.5252116</v>
      </c>
      <c r="Z5610">
        <v>0.13148940000000001</v>
      </c>
      <c r="AA5610">
        <v>0.84075159999999904</v>
      </c>
      <c r="AB5610">
        <v>10</v>
      </c>
      <c r="AC5610">
        <v>-6.1811999999999898</v>
      </c>
      <c r="AD5610">
        <v>-1.1093464794600001</v>
      </c>
      <c r="AE5610">
        <v>-6.0303000000000102</v>
      </c>
      <c r="AF5610">
        <v>4.5440255833372696</v>
      </c>
      <c r="AG5610">
        <v>-1.1093464794600001</v>
      </c>
      <c r="AH5610">
        <v>7.1778755987648397</v>
      </c>
      <c r="AI5610">
        <v>97.439792104405896</v>
      </c>
      <c r="AJ5610">
        <v>57.663737285282899</v>
      </c>
      <c r="AK5610">
        <v>8.5674217956662808</v>
      </c>
      <c r="AL5610">
        <v>90.0580757580897</v>
      </c>
      <c r="AM5610">
        <v>79.977151154201806</v>
      </c>
      <c r="AN5610">
        <v>0.99999997958618103</v>
      </c>
    </row>
    <row r="5611" spans="1:40" x14ac:dyDescent="0.25">
      <c r="A5611" t="str">
        <f>"20190312154034889"</f>
        <v>20190312154034889</v>
      </c>
      <c r="B5611" t="str">
        <f>"1552376434881614"</f>
        <v>1552376434881614</v>
      </c>
      <c r="C5611" t="s">
        <v>40</v>
      </c>
      <c r="D5611">
        <v>4.1038579999999998</v>
      </c>
      <c r="E5611">
        <v>0.65576800000000002</v>
      </c>
      <c r="F5611" t="s">
        <v>55</v>
      </c>
      <c r="G5611">
        <v>-199.8116</v>
      </c>
      <c r="H5611" s="1">
        <v>-1.2445900000000001E-5</v>
      </c>
      <c r="I5611">
        <v>149.64070000000001</v>
      </c>
      <c r="J5611">
        <v>-193.39250000000001</v>
      </c>
      <c r="K5611">
        <v>1.1093420000000001</v>
      </c>
      <c r="L5611">
        <v>155.80950000000001</v>
      </c>
      <c r="M5611">
        <v>-0.2329389</v>
      </c>
      <c r="N5611">
        <v>0</v>
      </c>
      <c r="O5611">
        <v>-0.97240020000000005</v>
      </c>
      <c r="P5611">
        <v>-0.40107100000000001</v>
      </c>
      <c r="Q5611">
        <v>-1.2678450000000001E-2</v>
      </c>
      <c r="R5611">
        <v>-0.91595939999999998</v>
      </c>
      <c r="S5611">
        <v>-2.3319549999999998</v>
      </c>
      <c r="T5611">
        <v>-0.40214440000000001</v>
      </c>
      <c r="U5611">
        <v>-2.254105</v>
      </c>
      <c r="V5611">
        <v>0.17665520000000001</v>
      </c>
      <c r="W5611" s="1">
        <v>3.3732210000000003E-5</v>
      </c>
      <c r="X5611">
        <v>0.98427279999999995</v>
      </c>
      <c r="Y5611">
        <v>0.5313658</v>
      </c>
      <c r="Z5611">
        <v>0.1279855</v>
      </c>
      <c r="AA5611">
        <v>0.83741869999999996</v>
      </c>
      <c r="AB5611">
        <v>9</v>
      </c>
      <c r="AC5611">
        <v>-6.4190999999999798</v>
      </c>
      <c r="AD5611">
        <v>-1.1093544459</v>
      </c>
      <c r="AE5611">
        <v>-6.1688000000000001</v>
      </c>
      <c r="AF5611">
        <v>4.7319331563535201</v>
      </c>
      <c r="AG5611">
        <v>-1.1093544459</v>
      </c>
      <c r="AH5611">
        <v>7.3798763150735498</v>
      </c>
      <c r="AI5611">
        <v>97.212040876863696</v>
      </c>
      <c r="AJ5611">
        <v>57.332246829829899</v>
      </c>
      <c r="AK5611">
        <v>8.8365396569369494</v>
      </c>
      <c r="AL5611">
        <v>89.998067286738404</v>
      </c>
      <c r="AM5611">
        <v>79.825005095117305</v>
      </c>
      <c r="AN5611">
        <v>1.0000000028223699</v>
      </c>
    </row>
    <row r="5612" spans="1:40" x14ac:dyDescent="0.25">
      <c r="A5612" t="str">
        <f>"20190312154034900"</f>
        <v>20190312154034900</v>
      </c>
      <c r="B5612" t="str">
        <f>"1552376434891374"</f>
        <v>1552376434891374</v>
      </c>
      <c r="C5612" t="s">
        <v>40</v>
      </c>
      <c r="D5612">
        <v>4.1052770000000001</v>
      </c>
      <c r="E5612">
        <v>0.65620859999999903</v>
      </c>
      <c r="F5612" t="s">
        <v>55</v>
      </c>
      <c r="G5612">
        <v>-199.90620000000001</v>
      </c>
      <c r="H5612" s="1">
        <v>-1.243996E-5</v>
      </c>
      <c r="I5612">
        <v>149.56979999999999</v>
      </c>
      <c r="J5612">
        <v>-193.4049</v>
      </c>
      <c r="K5612">
        <v>1.1093459999999999</v>
      </c>
      <c r="L5612">
        <v>155.7655</v>
      </c>
      <c r="M5612">
        <v>-0.23444909999999999</v>
      </c>
      <c r="N5612">
        <v>0</v>
      </c>
      <c r="O5612">
        <v>-0.97203729999999999</v>
      </c>
      <c r="P5612">
        <v>-0.40416540000000001</v>
      </c>
      <c r="Q5612">
        <v>-1.1805919999999999E-2</v>
      </c>
      <c r="R5612">
        <v>-0.91460980000000003</v>
      </c>
      <c r="S5612">
        <v>-2.3425449999999999</v>
      </c>
      <c r="T5612">
        <v>-0.39896219999999999</v>
      </c>
      <c r="U5612">
        <v>-2.2440030000000002</v>
      </c>
      <c r="V5612">
        <v>0.17845269999999999</v>
      </c>
      <c r="W5612">
        <v>8.9866309999999999E-4</v>
      </c>
      <c r="X5612">
        <v>0.98394809999999999</v>
      </c>
      <c r="Y5612">
        <v>0.53391880000000003</v>
      </c>
      <c r="Z5612">
        <v>0.1270192</v>
      </c>
      <c r="AA5612">
        <v>0.83594069999999898</v>
      </c>
      <c r="AB5612">
        <v>9</v>
      </c>
      <c r="AC5612">
        <v>-6.5013000000000103</v>
      </c>
      <c r="AD5612">
        <v>-1.1093584399600001</v>
      </c>
      <c r="AE5612">
        <v>-6.1957000000000102</v>
      </c>
      <c r="AF5612">
        <v>4.7942070634115002</v>
      </c>
      <c r="AG5612">
        <v>-1.1093584399600001</v>
      </c>
      <c r="AH5612">
        <v>7.4339113329224302</v>
      </c>
      <c r="AI5612">
        <v>97.148220010765897</v>
      </c>
      <c r="AJ5612">
        <v>57.181607695450403</v>
      </c>
      <c r="AK5612">
        <v>8.9150510498217397</v>
      </c>
      <c r="AL5612">
        <v>89.948510391193693</v>
      </c>
      <c r="AM5612">
        <v>79.720349081672794</v>
      </c>
      <c r="AN5612">
        <v>1.0000000186131299</v>
      </c>
    </row>
    <row r="5613" spans="1:40" x14ac:dyDescent="0.25">
      <c r="A5613" t="str">
        <f>"20190312154034911"</f>
        <v>20190312154034911</v>
      </c>
      <c r="B5613" t="str">
        <f>"1552376434901602"</f>
        <v>1552376434901602</v>
      </c>
      <c r="C5613" t="s">
        <v>40</v>
      </c>
      <c r="D5613">
        <v>4.1140270000000001</v>
      </c>
      <c r="E5613">
        <v>0.65620859999999903</v>
      </c>
      <c r="F5613" t="s">
        <v>55</v>
      </c>
      <c r="G5613">
        <v>-199.97540000000001</v>
      </c>
      <c r="H5613" s="1">
        <v>-1.2426720000000001E-5</v>
      </c>
      <c r="I5613">
        <v>149.52610000000001</v>
      </c>
      <c r="J5613">
        <v>-193.4188</v>
      </c>
      <c r="K5613">
        <v>1.1093550000000001</v>
      </c>
      <c r="L5613">
        <v>155.71639999999999</v>
      </c>
      <c r="M5613">
        <v>-0.23614450000000001</v>
      </c>
      <c r="N5613">
        <v>0</v>
      </c>
      <c r="O5613">
        <v>-0.97162680000000001</v>
      </c>
      <c r="P5613">
        <v>-0.40798079999999998</v>
      </c>
      <c r="Q5613">
        <v>-1.162964E-2</v>
      </c>
      <c r="R5613">
        <v>-0.91291650000000002</v>
      </c>
      <c r="S5613">
        <v>-2.3535159999999999</v>
      </c>
      <c r="T5613">
        <v>-0.39736680000000002</v>
      </c>
      <c r="U5613">
        <v>-2.2349239999999999</v>
      </c>
      <c r="V5613">
        <v>0.1808437</v>
      </c>
      <c r="W5613">
        <v>1.064125E-3</v>
      </c>
      <c r="X5613">
        <v>0.98351129999999998</v>
      </c>
      <c r="Y5613">
        <v>0.53613940000000004</v>
      </c>
      <c r="Z5613">
        <v>0.1265056</v>
      </c>
      <c r="AA5613">
        <v>0.83459619999999901</v>
      </c>
      <c r="AB5613">
        <v>9</v>
      </c>
      <c r="AC5613">
        <v>-6.5566000000000004</v>
      </c>
      <c r="AD5613">
        <v>-1.10936742671999</v>
      </c>
      <c r="AE5613">
        <v>-6.1902999999999704</v>
      </c>
      <c r="AF5613">
        <v>4.8359997584822203</v>
      </c>
      <c r="AG5613">
        <v>-1.10936742671999</v>
      </c>
      <c r="AH5613">
        <v>7.4508595925380003</v>
      </c>
      <c r="AI5613">
        <v>97.118862308354494</v>
      </c>
      <c r="AJ5613">
        <v>57.014308733290399</v>
      </c>
      <c r="AK5613">
        <v>8.9516980746237795</v>
      </c>
      <c r="AL5613">
        <v>89.939030118747397</v>
      </c>
      <c r="AM5613">
        <v>79.581087524903594</v>
      </c>
      <c r="AN5613">
        <v>1.00000002670969</v>
      </c>
    </row>
    <row r="5614" spans="1:40" x14ac:dyDescent="0.25">
      <c r="A5614" t="str">
        <f>"20190312154034924"</f>
        <v>20190312154034924</v>
      </c>
      <c r="B5614" t="str">
        <f>"1552376434912338"</f>
        <v>1552376434912338</v>
      </c>
      <c r="C5614" t="s">
        <v>40</v>
      </c>
      <c r="D5614">
        <v>4.2327570000000003</v>
      </c>
      <c r="E5614">
        <v>0.65822449999999999</v>
      </c>
      <c r="F5614" t="s">
        <v>55</v>
      </c>
      <c r="G5614">
        <v>-200.03540000000001</v>
      </c>
      <c r="H5614" s="1">
        <v>-1.238821E-5</v>
      </c>
      <c r="I5614">
        <v>149.48609999999999</v>
      </c>
      <c r="J5614">
        <v>-193.43219999999999</v>
      </c>
      <c r="K5614">
        <v>1.109361</v>
      </c>
      <c r="L5614">
        <v>155.6696</v>
      </c>
      <c r="M5614">
        <v>-0.23776430000000001</v>
      </c>
      <c r="N5614">
        <v>0</v>
      </c>
      <c r="O5614">
        <v>-0.97123159999999997</v>
      </c>
      <c r="P5614">
        <v>-0.41159370000000001</v>
      </c>
      <c r="Q5614">
        <v>-1.164632E-2</v>
      </c>
      <c r="R5614">
        <v>-0.91129320000000003</v>
      </c>
      <c r="S5614">
        <v>-2.3630369999999998</v>
      </c>
      <c r="T5614">
        <v>-0.39619919999999997</v>
      </c>
      <c r="U5614">
        <v>-2.225082</v>
      </c>
      <c r="V5614">
        <v>0.18309880000000001</v>
      </c>
      <c r="W5614">
        <v>1.0383759999999999E-3</v>
      </c>
      <c r="X5614">
        <v>0.98309400000000002</v>
      </c>
      <c r="Y5614">
        <v>0.53828730000000002</v>
      </c>
      <c r="Z5614">
        <v>0.12618309999999999</v>
      </c>
      <c r="AA5614">
        <v>0.83326139999999904</v>
      </c>
      <c r="AB5614">
        <v>9</v>
      </c>
      <c r="AC5614">
        <v>-6.60320000000001</v>
      </c>
      <c r="AD5614">
        <v>-1.1093733882100001</v>
      </c>
      <c r="AE5614">
        <v>-6.1835000000000004</v>
      </c>
      <c r="AF5614">
        <v>4.8702190731148596</v>
      </c>
      <c r="AG5614">
        <v>-1.1093733882100001</v>
      </c>
      <c r="AH5614">
        <v>7.4640405201880098</v>
      </c>
      <c r="AI5614">
        <v>97.095409414936796</v>
      </c>
      <c r="AJ5614">
        <v>56.875914576320497</v>
      </c>
      <c r="AK5614">
        <v>8.9811827740898806</v>
      </c>
      <c r="AL5614">
        <v>89.940505428793998</v>
      </c>
      <c r="AM5614">
        <v>79.449686139213398</v>
      </c>
      <c r="AN5614">
        <v>1.0000000308110699</v>
      </c>
    </row>
    <row r="5615" spans="1:40" x14ac:dyDescent="0.25">
      <c r="A5615" t="str">
        <f>"20190312154034934"</f>
        <v>20190312154034934</v>
      </c>
      <c r="B5615" t="str">
        <f>"1552376434931858"</f>
        <v>1552376434931858</v>
      </c>
      <c r="C5615" t="s">
        <v>40</v>
      </c>
      <c r="D5615">
        <v>4.2975009999999996</v>
      </c>
      <c r="E5615">
        <v>0.66036280000000003</v>
      </c>
      <c r="F5615" t="s">
        <v>55</v>
      </c>
      <c r="G5615">
        <v>-200.02099999999999</v>
      </c>
      <c r="H5615" s="1">
        <v>-1.241979E-5</v>
      </c>
      <c r="I5615">
        <v>149.57079999999999</v>
      </c>
      <c r="J5615">
        <v>-193.44569999999999</v>
      </c>
      <c r="K5615">
        <v>1.1093660000000001</v>
      </c>
      <c r="L5615">
        <v>155.62270000000001</v>
      </c>
      <c r="M5615">
        <v>-0.23939250000000001</v>
      </c>
      <c r="N5615">
        <v>0</v>
      </c>
      <c r="O5615">
        <v>-0.97083149999999996</v>
      </c>
      <c r="P5615">
        <v>-0.41533890000000001</v>
      </c>
      <c r="Q5615">
        <v>-1.1671590000000001E-2</v>
      </c>
      <c r="R5615">
        <v>-0.90959190000000001</v>
      </c>
      <c r="S5615">
        <v>-2.3864749999999999</v>
      </c>
      <c r="T5615">
        <v>-0.40181889999999998</v>
      </c>
      <c r="U5615">
        <v>-2.209015</v>
      </c>
      <c r="V5615">
        <v>0.18549379999999999</v>
      </c>
      <c r="W5615">
        <v>1.002614E-3</v>
      </c>
      <c r="X5615">
        <v>0.98264490000000004</v>
      </c>
      <c r="Y5615">
        <v>0.54382869999999905</v>
      </c>
      <c r="Z5615">
        <v>0.1278251</v>
      </c>
      <c r="AA5615">
        <v>0.82940409999999998</v>
      </c>
      <c r="AB5615">
        <v>9</v>
      </c>
      <c r="AC5615">
        <v>-6.5752999999999897</v>
      </c>
      <c r="AD5615">
        <v>-1.1093784197900001</v>
      </c>
      <c r="AE5615">
        <v>-6.0519000000000096</v>
      </c>
      <c r="AF5615">
        <v>4.8602653636638697</v>
      </c>
      <c r="AG5615">
        <v>-1.1093784197900001</v>
      </c>
      <c r="AH5615">
        <v>7.33704273130461</v>
      </c>
      <c r="AI5615">
        <v>97.184470994033106</v>
      </c>
      <c r="AJ5615">
        <v>56.478378500771001</v>
      </c>
      <c r="AK5615">
        <v>8.8704619904780699</v>
      </c>
      <c r="AL5615">
        <v>89.942554438390005</v>
      </c>
      <c r="AM5615">
        <v>79.310070950362999</v>
      </c>
      <c r="AN5615">
        <v>0.99999997728464096</v>
      </c>
    </row>
    <row r="5616" spans="1:40" x14ac:dyDescent="0.25">
      <c r="A5616" t="str">
        <f>"20190312154034945"</f>
        <v>20190312154034945</v>
      </c>
      <c r="B5616" t="str">
        <f>"1552376434941619"</f>
        <v>1552376434941619</v>
      </c>
      <c r="C5616" t="s">
        <v>40</v>
      </c>
      <c r="D5616">
        <v>4.2193449999999997</v>
      </c>
      <c r="E5616">
        <v>0.66134919999999997</v>
      </c>
      <c r="F5616" t="s">
        <v>55</v>
      </c>
      <c r="G5616">
        <v>-199.7698</v>
      </c>
      <c r="H5616" s="1">
        <v>-1.250965E-5</v>
      </c>
      <c r="I5616">
        <v>149.87450000000001</v>
      </c>
      <c r="J5616">
        <v>-193.45840000000001</v>
      </c>
      <c r="K5616">
        <v>1.109367</v>
      </c>
      <c r="L5616">
        <v>155.5788</v>
      </c>
      <c r="M5616">
        <v>-0.24092179999999999</v>
      </c>
      <c r="N5616">
        <v>0</v>
      </c>
      <c r="O5616">
        <v>-0.97045320000000002</v>
      </c>
      <c r="P5616">
        <v>-0.4184293</v>
      </c>
      <c r="Q5616">
        <v>-1.166702E-2</v>
      </c>
      <c r="R5616">
        <v>-0.9081747</v>
      </c>
      <c r="S5616">
        <v>-2.4112849999999999</v>
      </c>
      <c r="T5616">
        <v>-0.42298980000000003</v>
      </c>
      <c r="U5616">
        <v>-2.1917110000000002</v>
      </c>
      <c r="V5616">
        <v>0.18728629999999999</v>
      </c>
      <c r="W5616">
        <v>9.9927580000000005E-4</v>
      </c>
      <c r="X5616">
        <v>0.98230490000000004</v>
      </c>
      <c r="Y5616">
        <v>0.54938240000000005</v>
      </c>
      <c r="Z5616">
        <v>0.13431560000000001</v>
      </c>
      <c r="AA5616">
        <v>0.82470489999999996</v>
      </c>
      <c r="AB5616">
        <v>9</v>
      </c>
      <c r="AC5616">
        <v>-6.3113999999999901</v>
      </c>
      <c r="AD5616">
        <v>-1.1093795096500001</v>
      </c>
      <c r="AE5616">
        <v>-5.7042999999999804</v>
      </c>
      <c r="AF5616">
        <v>4.6716070562685603</v>
      </c>
      <c r="AG5616">
        <v>-1.1093795096500001</v>
      </c>
      <c r="AH5616">
        <v>6.93893671499211</v>
      </c>
      <c r="AI5616">
        <v>97.554596518363994</v>
      </c>
      <c r="AJ5616">
        <v>56.049771094325799</v>
      </c>
      <c r="AK5616">
        <v>8.4382153397075097</v>
      </c>
      <c r="AL5616">
        <v>89.942745706659693</v>
      </c>
      <c r="AM5616">
        <v>79.205536995646995</v>
      </c>
      <c r="AN5616">
        <v>1.00000003664191</v>
      </c>
    </row>
    <row r="5617" spans="1:40" x14ac:dyDescent="0.25">
      <c r="A5617" t="str">
        <f>"20190312154034958"</f>
        <v>20190312154034958</v>
      </c>
      <c r="B5617" t="str">
        <f>"1552376434951378"</f>
        <v>1552376434951378</v>
      </c>
      <c r="C5617" t="s">
        <v>40</v>
      </c>
      <c r="D5617">
        <v>4.0323019999999996</v>
      </c>
      <c r="E5617">
        <v>0.66226739999999995</v>
      </c>
      <c r="F5617" t="s">
        <v>55</v>
      </c>
      <c r="G5617">
        <v>-199.68010000000001</v>
      </c>
      <c r="H5617" s="1">
        <v>-1.252994E-5</v>
      </c>
      <c r="I5617">
        <v>149.98670000000001</v>
      </c>
      <c r="J5617">
        <v>-193.47239999999999</v>
      </c>
      <c r="K5617">
        <v>1.109369</v>
      </c>
      <c r="L5617">
        <v>155.53049999999999</v>
      </c>
      <c r="M5617">
        <v>-0.24260660000000001</v>
      </c>
      <c r="N5617">
        <v>0</v>
      </c>
      <c r="O5617">
        <v>-0.9700337</v>
      </c>
      <c r="P5617">
        <v>-0.42101939999999999</v>
      </c>
      <c r="Q5617">
        <v>-1.2399840000000001E-2</v>
      </c>
      <c r="R5617">
        <v>-0.90696730000000003</v>
      </c>
      <c r="S5617">
        <v>-2.4256440000000001</v>
      </c>
      <c r="T5617">
        <v>-0.43250919999999998</v>
      </c>
      <c r="U5617">
        <v>-2.1801759999999999</v>
      </c>
      <c r="V5617">
        <v>0.18838440000000001</v>
      </c>
      <c r="W5617">
        <v>2.6256240000000001E-4</v>
      </c>
      <c r="X5617">
        <v>0.9820953</v>
      </c>
      <c r="Y5617">
        <v>0.55223599999999995</v>
      </c>
      <c r="Z5617">
        <v>0.13724229999999901</v>
      </c>
      <c r="AA5617">
        <v>0.82231379999999998</v>
      </c>
      <c r="AB5617">
        <v>9</v>
      </c>
      <c r="AC5617">
        <v>-6.2077000000000098</v>
      </c>
      <c r="AD5617">
        <v>-1.1093815299400001</v>
      </c>
      <c r="AE5617">
        <v>-5.5437999999999699</v>
      </c>
      <c r="AF5617">
        <v>4.5954796308603996</v>
      </c>
      <c r="AG5617">
        <v>-1.1093815299400001</v>
      </c>
      <c r="AH5617">
        <v>6.7641296388171304</v>
      </c>
      <c r="AI5617">
        <v>97.7257119253686</v>
      </c>
      <c r="AJ5617">
        <v>55.808217942999804</v>
      </c>
      <c r="AK5617">
        <v>8.2524305624070102</v>
      </c>
      <c r="AL5617">
        <v>89.984956281917107</v>
      </c>
      <c r="AM5617">
        <v>79.141484608629199</v>
      </c>
      <c r="AN5617">
        <v>0.99999996469223096</v>
      </c>
    </row>
    <row r="5618" spans="1:40" x14ac:dyDescent="0.25">
      <c r="A5618" t="str">
        <f>"20190312154034968"</f>
        <v>20190312154034968</v>
      </c>
      <c r="B5618" t="str">
        <f>"1552376434962115"</f>
        <v>1552376434962115</v>
      </c>
      <c r="C5618" t="s">
        <v>40</v>
      </c>
      <c r="D5618">
        <v>4.0499919999999996</v>
      </c>
      <c r="E5618">
        <v>0.66312199999999999</v>
      </c>
      <c r="F5618" t="s">
        <v>55</v>
      </c>
      <c r="G5618">
        <v>-199.75989999999999</v>
      </c>
      <c r="H5618" s="1">
        <v>-1.252397E-5</v>
      </c>
      <c r="I5618">
        <v>149.9348</v>
      </c>
      <c r="J5618">
        <v>-193.48740000000001</v>
      </c>
      <c r="K5618">
        <v>1.109369</v>
      </c>
      <c r="L5618">
        <v>155.47980000000001</v>
      </c>
      <c r="M5618">
        <v>-0.24438360000000001</v>
      </c>
      <c r="N5618">
        <v>0</v>
      </c>
      <c r="O5618">
        <v>-0.96958739999999999</v>
      </c>
      <c r="P5618">
        <v>-0.42378929999999998</v>
      </c>
      <c r="Q5618">
        <v>-1.2871870000000001E-2</v>
      </c>
      <c r="R5618">
        <v>-0.90566959999999996</v>
      </c>
      <c r="S5618">
        <v>-2.4382779999999999</v>
      </c>
      <c r="T5618">
        <v>-0.43021579999999898</v>
      </c>
      <c r="U5618">
        <v>-2.1699830000000002</v>
      </c>
      <c r="V5618">
        <v>0.1895868</v>
      </c>
      <c r="W5618">
        <v>-2.143154E-4</v>
      </c>
      <c r="X5618">
        <v>0.98186399999999996</v>
      </c>
      <c r="Y5618">
        <v>0.55483059999999995</v>
      </c>
      <c r="Z5618">
        <v>0.13648569999999999</v>
      </c>
      <c r="AA5618">
        <v>0.82069159999999997</v>
      </c>
      <c r="AB5618">
        <v>9</v>
      </c>
      <c r="AC5618">
        <v>-6.2724999999999804</v>
      </c>
      <c r="AD5618">
        <v>-1.10938152397</v>
      </c>
      <c r="AE5618">
        <v>-5.5450000000000097</v>
      </c>
      <c r="AF5618">
        <v>4.6454785044705904</v>
      </c>
      <c r="AG5618">
        <v>-1.10938152397</v>
      </c>
      <c r="AH5618">
        <v>6.79063336790768</v>
      </c>
      <c r="AI5618">
        <v>97.679265294382205</v>
      </c>
      <c r="AJ5618">
        <v>55.623933161833001</v>
      </c>
      <c r="AK5618">
        <v>8.3020418836913592</v>
      </c>
      <c r="AL5618">
        <v>90.012279367291598</v>
      </c>
      <c r="AM5618">
        <v>79.071329075049704</v>
      </c>
      <c r="AN5618">
        <v>1.00000005758066</v>
      </c>
    </row>
    <row r="5619" spans="1:40" x14ac:dyDescent="0.25">
      <c r="A5619" t="str">
        <f>"20190312154034981"</f>
        <v>20190312154034981</v>
      </c>
      <c r="B5619" t="str">
        <f>"1552376434971874"</f>
        <v>1552376434971874</v>
      </c>
      <c r="C5619" t="s">
        <v>40</v>
      </c>
      <c r="D5619">
        <v>4.2162819999999996</v>
      </c>
      <c r="E5619">
        <v>0.66378149999999903</v>
      </c>
      <c r="F5619" t="s">
        <v>55</v>
      </c>
      <c r="G5619">
        <v>-199.8296</v>
      </c>
      <c r="H5619" s="1">
        <v>-1.25196E-5</v>
      </c>
      <c r="I5619">
        <v>149.8929</v>
      </c>
      <c r="J5619">
        <v>-193.50129999999999</v>
      </c>
      <c r="K5619">
        <v>1.109375</v>
      </c>
      <c r="L5619">
        <v>155.43270000000001</v>
      </c>
      <c r="M5619">
        <v>-0.2460339</v>
      </c>
      <c r="N5619">
        <v>0</v>
      </c>
      <c r="O5619">
        <v>-0.96916999999999998</v>
      </c>
      <c r="P5619">
        <v>-0.42573490000000003</v>
      </c>
      <c r="Q5619">
        <v>-1.357969E-2</v>
      </c>
      <c r="R5619">
        <v>-0.90474650000000001</v>
      </c>
      <c r="S5619">
        <v>-2.451279</v>
      </c>
      <c r="T5619">
        <v>-0.42877890000000002</v>
      </c>
      <c r="U5619">
        <v>-2.159332</v>
      </c>
      <c r="V5619">
        <v>0.19002640000000001</v>
      </c>
      <c r="W5619">
        <v>-9.2325760000000002E-4</v>
      </c>
      <c r="X5619">
        <v>0.98177859999999995</v>
      </c>
      <c r="Y5619">
        <v>0.55763999999999903</v>
      </c>
      <c r="Z5619">
        <v>0.135998799999999</v>
      </c>
      <c r="AA5619">
        <v>0.81886630000000005</v>
      </c>
      <c r="AB5619">
        <v>9</v>
      </c>
      <c r="AC5619">
        <v>-6.3283000000000103</v>
      </c>
      <c r="AD5619">
        <v>-1.1093875196</v>
      </c>
      <c r="AE5619">
        <v>-5.5398000000000103</v>
      </c>
      <c r="AF5619">
        <v>4.68905737075535</v>
      </c>
      <c r="AG5619">
        <v>-1.1093875196</v>
      </c>
      <c r="AH5619">
        <v>6.8081426664922997</v>
      </c>
      <c r="AI5619">
        <v>97.643416702224002</v>
      </c>
      <c r="AJ5619">
        <v>55.443162851775597</v>
      </c>
      <c r="AK5619">
        <v>8.3407917047599405</v>
      </c>
      <c r="AL5619">
        <v>90.052898768634094</v>
      </c>
      <c r="AM5619">
        <v>79.045670976812204</v>
      </c>
      <c r="AN5619">
        <v>1.0000000522597501</v>
      </c>
    </row>
    <row r="5620" spans="1:40" x14ac:dyDescent="0.25">
      <c r="A5620" t="str">
        <f>"20190312154034997"</f>
        <v>20190312154034997</v>
      </c>
      <c r="B5620" t="str">
        <f>"1552376434991394"</f>
        <v>1552376434991394</v>
      </c>
      <c r="C5620" t="s">
        <v>40</v>
      </c>
      <c r="D5620">
        <v>4.0643469999999997</v>
      </c>
      <c r="E5620">
        <v>0.66520599999999996</v>
      </c>
      <c r="F5620" t="s">
        <v>55</v>
      </c>
      <c r="G5620">
        <v>-199.74590000000001</v>
      </c>
      <c r="H5620" s="1">
        <v>-1.253212E-5</v>
      </c>
      <c r="I5620">
        <v>149.97219999999999</v>
      </c>
      <c r="J5620">
        <v>-193.52019999999999</v>
      </c>
      <c r="K5620">
        <v>1.109378</v>
      </c>
      <c r="L5620">
        <v>155.3691</v>
      </c>
      <c r="M5620">
        <v>-0.2482704</v>
      </c>
      <c r="N5620">
        <v>0</v>
      </c>
      <c r="O5620">
        <v>-0.9685994</v>
      </c>
      <c r="P5620">
        <v>-0.42835519999999999</v>
      </c>
      <c r="Q5620">
        <v>-1.452109E-2</v>
      </c>
      <c r="R5620">
        <v>-0.90349409999999997</v>
      </c>
      <c r="S5620">
        <v>-2.46048</v>
      </c>
      <c r="T5620">
        <v>-0.43711260000000002</v>
      </c>
      <c r="U5620">
        <v>-2.1515200000000001</v>
      </c>
      <c r="V5620">
        <v>0.1906071</v>
      </c>
      <c r="W5620">
        <v>-1.8660930000000001E-3</v>
      </c>
      <c r="X5620">
        <v>0.98166469999999995</v>
      </c>
      <c r="Y5620">
        <v>0.55845599999999995</v>
      </c>
      <c r="Z5620">
        <v>0.13856060000000001</v>
      </c>
      <c r="AA5620">
        <v>0.8178801</v>
      </c>
      <c r="AB5620">
        <v>9</v>
      </c>
      <c r="AC5620">
        <v>-6.2257000000000096</v>
      </c>
      <c r="AD5620">
        <v>-1.1093905321199999</v>
      </c>
      <c r="AE5620">
        <v>-5.3969000000000102</v>
      </c>
      <c r="AF5620">
        <v>4.6072068689346697</v>
      </c>
      <c r="AG5620">
        <v>-1.1093905321199999</v>
      </c>
      <c r="AH5620">
        <v>6.6530727571588502</v>
      </c>
      <c r="AI5620">
        <v>97.805879104594297</v>
      </c>
      <c r="AJ5620">
        <v>55.297666526556199</v>
      </c>
      <c r="AK5620">
        <v>8.1682605001288699</v>
      </c>
      <c r="AL5620">
        <v>90.106919308071198</v>
      </c>
      <c r="AM5620">
        <v>79.011765392155795</v>
      </c>
      <c r="AN5620">
        <v>1.0000000660497901</v>
      </c>
    </row>
    <row r="5621" spans="1:40" x14ac:dyDescent="0.25">
      <c r="A5621" t="str">
        <f>"20190312154035013"</f>
        <v>20190312154035013</v>
      </c>
      <c r="B5621" t="str">
        <f>"1552376435001553"</f>
        <v>1552376435001553</v>
      </c>
      <c r="C5621" t="s">
        <v>40</v>
      </c>
      <c r="D5621">
        <v>4.0691499999999996</v>
      </c>
      <c r="E5621">
        <v>0.66586129999999999</v>
      </c>
      <c r="F5621" t="s">
        <v>55</v>
      </c>
      <c r="G5621">
        <v>-199.68709999999999</v>
      </c>
      <c r="H5621" s="1">
        <v>-1.2544800000000001E-5</v>
      </c>
      <c r="I5621">
        <v>150.04329999999999</v>
      </c>
      <c r="J5621">
        <v>-193.5393</v>
      </c>
      <c r="K5621">
        <v>1.1093759999999999</v>
      </c>
      <c r="L5621">
        <v>155.30539999999999</v>
      </c>
      <c r="M5621">
        <v>-0.25051129999999999</v>
      </c>
      <c r="N5621">
        <v>0</v>
      </c>
      <c r="O5621">
        <v>-0.9680221</v>
      </c>
      <c r="P5621">
        <v>-0.43082389999999998</v>
      </c>
      <c r="Q5621">
        <v>-1.6108730000000002E-2</v>
      </c>
      <c r="R5621">
        <v>-0.90229210000000004</v>
      </c>
      <c r="S5621">
        <v>-2.4768370000000002</v>
      </c>
      <c r="T5621">
        <v>-0.44556459999999998</v>
      </c>
      <c r="U5621">
        <v>-2.138992</v>
      </c>
      <c r="V5621">
        <v>0.19102250000000001</v>
      </c>
      <c r="W5621">
        <v>-3.4547089999999998E-3</v>
      </c>
      <c r="X5621">
        <v>0.98157950000000005</v>
      </c>
      <c r="Y5621">
        <v>0.56131730000000002</v>
      </c>
      <c r="Z5621">
        <v>0.14110120000000001</v>
      </c>
      <c r="AA5621">
        <v>0.81548350000000003</v>
      </c>
      <c r="AB5621">
        <v>9</v>
      </c>
      <c r="AC5621">
        <v>-6.1477999999999797</v>
      </c>
      <c r="AD5621">
        <v>-1.1093885447999901</v>
      </c>
      <c r="AE5621">
        <v>-5.2621000000000002</v>
      </c>
      <c r="AF5621">
        <v>4.5479267389816798</v>
      </c>
      <c r="AG5621">
        <v>-1.1093885447999901</v>
      </c>
      <c r="AH5621">
        <v>6.5121203450451697</v>
      </c>
      <c r="AI5621">
        <v>97.950986561464703</v>
      </c>
      <c r="AJ5621">
        <v>55.070368492242203</v>
      </c>
      <c r="AK5621">
        <v>8.0201054827744809</v>
      </c>
      <c r="AL5621">
        <v>90.197940654191299</v>
      </c>
      <c r="AM5621">
        <v>78.987470461730197</v>
      </c>
      <c r="AN5621">
        <v>0.99999992267038396</v>
      </c>
    </row>
    <row r="5622" spans="1:40" x14ac:dyDescent="0.25">
      <c r="A5622" t="str">
        <f>"20190312154035027"</f>
        <v>20190312154035027</v>
      </c>
      <c r="B5622" t="str">
        <f>"1552376435022048"</f>
        <v>1552376435022048</v>
      </c>
      <c r="C5622" t="s">
        <v>40</v>
      </c>
      <c r="D5622">
        <v>4.0894570000000003</v>
      </c>
      <c r="E5622">
        <v>0.66696089999999997</v>
      </c>
      <c r="F5622" t="s">
        <v>55</v>
      </c>
      <c r="G5622">
        <v>-199.69030000000001</v>
      </c>
      <c r="H5622" s="1">
        <v>-1.2543980000000001E-5</v>
      </c>
      <c r="I5622">
        <v>150.03890000000001</v>
      </c>
      <c r="J5622">
        <v>-193.5565</v>
      </c>
      <c r="K5622">
        <v>1.1093770000000001</v>
      </c>
      <c r="L5622">
        <v>155.24870000000001</v>
      </c>
      <c r="M5622">
        <v>-0.25251259999999998</v>
      </c>
      <c r="N5622">
        <v>0</v>
      </c>
      <c r="O5622">
        <v>-0.96750210000000003</v>
      </c>
      <c r="P5622">
        <v>-0.43265379999999998</v>
      </c>
      <c r="Q5622">
        <v>-1.6580689999999999E-2</v>
      </c>
      <c r="R5622">
        <v>-0.90140750000000003</v>
      </c>
      <c r="S5622">
        <v>-2.4870000000000001</v>
      </c>
      <c r="T5622">
        <v>-0.44855450000000002</v>
      </c>
      <c r="U5622">
        <v>-2.1293790000000001</v>
      </c>
      <c r="V5622">
        <v>0.19098560000000001</v>
      </c>
      <c r="W5622">
        <v>-3.9256680000000002E-3</v>
      </c>
      <c r="X5622">
        <v>0.98158500000000004</v>
      </c>
      <c r="Y5622">
        <v>0.56298000000000004</v>
      </c>
      <c r="Z5622">
        <v>0.14202339999999999</v>
      </c>
      <c r="AA5622">
        <v>0.81417620000000002</v>
      </c>
      <c r="AB5622">
        <v>9</v>
      </c>
      <c r="AC5622">
        <v>-6.1337999999999999</v>
      </c>
      <c r="AD5622">
        <v>-1.1093895439799999</v>
      </c>
      <c r="AE5622">
        <v>-5.2098000000000004</v>
      </c>
      <c r="AF5622">
        <v>4.53318863156953</v>
      </c>
      <c r="AG5622">
        <v>-1.1093895439799999</v>
      </c>
      <c r="AH5622">
        <v>6.4670438684096503</v>
      </c>
      <c r="AI5622">
        <v>97.996093912702904</v>
      </c>
      <c r="AJ5622">
        <v>54.970786616463698</v>
      </c>
      <c r="AK5622">
        <v>7.9751614858646098</v>
      </c>
      <c r="AL5622">
        <v>90.224924783355902</v>
      </c>
      <c r="AM5622">
        <v>78.989605956757202</v>
      </c>
      <c r="AN5622">
        <v>1.0000000112508001</v>
      </c>
    </row>
    <row r="5623" spans="1:40" x14ac:dyDescent="0.25">
      <c r="A5623" t="str">
        <f>"20190312154035040"</f>
        <v>20190312154035040</v>
      </c>
      <c r="B5623" t="str">
        <f>"1552376435031808"</f>
        <v>1552376435031808</v>
      </c>
      <c r="C5623" t="s">
        <v>40</v>
      </c>
      <c r="D5623">
        <v>4.101057</v>
      </c>
      <c r="E5623">
        <v>0.66749890000000001</v>
      </c>
      <c r="F5623" t="s">
        <v>55</v>
      </c>
      <c r="G5623">
        <v>-199.75909999999999</v>
      </c>
      <c r="H5623" s="1">
        <v>-1.2536719999999999E-5</v>
      </c>
      <c r="I5623">
        <v>149.98580000000001</v>
      </c>
      <c r="J5623">
        <v>-193.57419999999999</v>
      </c>
      <c r="K5623">
        <v>1.109378</v>
      </c>
      <c r="L5623">
        <v>155.19069999999999</v>
      </c>
      <c r="M5623">
        <v>-0.2545596</v>
      </c>
      <c r="N5623">
        <v>0</v>
      </c>
      <c r="O5623">
        <v>-0.96696550000000003</v>
      </c>
      <c r="P5623">
        <v>-0.43416739999999998</v>
      </c>
      <c r="Q5623">
        <v>-1.7190649999999998E-2</v>
      </c>
      <c r="R5623">
        <v>-0.90066829999999998</v>
      </c>
      <c r="S5623">
        <v>-2.4990389999999998</v>
      </c>
      <c r="T5623">
        <v>-0.44697769999999998</v>
      </c>
      <c r="U5623">
        <v>-2.120422</v>
      </c>
      <c r="V5623">
        <v>0.1905588</v>
      </c>
      <c r="W5623">
        <v>-4.5330450000000003E-3</v>
      </c>
      <c r="X5623">
        <v>0.98166529999999996</v>
      </c>
      <c r="Y5623">
        <v>0.56493819999999995</v>
      </c>
      <c r="Z5623">
        <v>0.14144949999999901</v>
      </c>
      <c r="AA5623">
        <v>0.81291880000000005</v>
      </c>
      <c r="AB5623">
        <v>9</v>
      </c>
      <c r="AC5623">
        <v>-6.1848999999999901</v>
      </c>
      <c r="AD5623">
        <v>-1.1093905367200001</v>
      </c>
      <c r="AE5623">
        <v>-5.2048999999999799</v>
      </c>
      <c r="AF5623">
        <v>4.5699651933689198</v>
      </c>
      <c r="AG5623">
        <v>-1.1093905367200001</v>
      </c>
      <c r="AH5623">
        <v>6.4858100655760902</v>
      </c>
      <c r="AI5623">
        <v>97.959788416488607</v>
      </c>
      <c r="AJ5623">
        <v>54.831101109849598</v>
      </c>
      <c r="AK5623">
        <v>8.0113083474732996</v>
      </c>
      <c r="AL5623">
        <v>90.259725240760005</v>
      </c>
      <c r="AM5623">
        <v>79.014488622628605</v>
      </c>
      <c r="AN5623">
        <v>0.99999998298924997</v>
      </c>
    </row>
    <row r="5624" spans="1:40" x14ac:dyDescent="0.25">
      <c r="A5624" t="str">
        <f>"20190312154035056"</f>
        <v>20190312154035056</v>
      </c>
      <c r="B5624" t="str">
        <f>"1552376435052305"</f>
        <v>1552376435052305</v>
      </c>
      <c r="C5624" t="s">
        <v>40</v>
      </c>
      <c r="D5624">
        <v>4.112546</v>
      </c>
      <c r="E5624">
        <v>0.66833169999999897</v>
      </c>
      <c r="F5624" t="s">
        <v>55</v>
      </c>
      <c r="G5624">
        <v>-199.7971</v>
      </c>
      <c r="H5624" s="1">
        <v>-1.2529E-5</v>
      </c>
      <c r="I5624">
        <v>149.9418</v>
      </c>
      <c r="J5624">
        <v>-193.5932</v>
      </c>
      <c r="K5624">
        <v>1.1093710000000001</v>
      </c>
      <c r="L5624">
        <v>155.12860000000001</v>
      </c>
      <c r="M5624">
        <v>-0.25675759999999997</v>
      </c>
      <c r="N5624">
        <v>0</v>
      </c>
      <c r="O5624">
        <v>-0.96638440000000003</v>
      </c>
      <c r="P5624">
        <v>-0.43448740000000002</v>
      </c>
      <c r="Q5624">
        <v>-1.7669540000000001E-2</v>
      </c>
      <c r="R5624">
        <v>-0.90050469999999905</v>
      </c>
      <c r="S5624">
        <v>-2.5063780000000002</v>
      </c>
      <c r="T5624">
        <v>-0.4468241</v>
      </c>
      <c r="U5624">
        <v>-2.1141049999999999</v>
      </c>
      <c r="V5624">
        <v>0.18867700000000001</v>
      </c>
      <c r="W5624">
        <v>-5.0029690000000003E-3</v>
      </c>
      <c r="X5624">
        <v>0.98202650000000002</v>
      </c>
      <c r="Y5624">
        <v>0.56545279999999998</v>
      </c>
      <c r="Z5624">
        <v>0.14136389999999999</v>
      </c>
      <c r="AA5624">
        <v>0.81257579999999996</v>
      </c>
      <c r="AB5624">
        <v>9</v>
      </c>
      <c r="AC5624">
        <v>-6.2039</v>
      </c>
      <c r="AD5624">
        <v>-1.10938352899999</v>
      </c>
      <c r="AE5624">
        <v>-5.1867999999999999</v>
      </c>
      <c r="AF5624">
        <v>4.5778540227807998</v>
      </c>
      <c r="AG5624">
        <v>-1.10938352899999</v>
      </c>
      <c r="AH5624">
        <v>6.4838912387029</v>
      </c>
      <c r="AI5624">
        <v>97.956789642190898</v>
      </c>
      <c r="AJ5624">
        <v>54.776570785008502</v>
      </c>
      <c r="AK5624">
        <v>8.0142575990315592</v>
      </c>
      <c r="AL5624">
        <v>90.286650192107203</v>
      </c>
      <c r="AM5624">
        <v>79.124277213396596</v>
      </c>
      <c r="AN5624">
        <v>1.00000004336503</v>
      </c>
    </row>
    <row r="5625" spans="1:40" x14ac:dyDescent="0.25">
      <c r="A5625" t="str">
        <f>"20190312154035069"</f>
        <v>20190312154035069</v>
      </c>
      <c r="B5625" t="str">
        <f>"1552376435062066"</f>
        <v>1552376435062066</v>
      </c>
      <c r="C5625" t="s">
        <v>40</v>
      </c>
      <c r="D5625">
        <v>4.2268039999999996</v>
      </c>
      <c r="E5625">
        <v>0.6688269</v>
      </c>
      <c r="F5625" t="s">
        <v>55</v>
      </c>
      <c r="G5625">
        <v>-199.87950000000001</v>
      </c>
      <c r="H5625" s="1">
        <v>-1.2513519999999999E-5</v>
      </c>
      <c r="I5625">
        <v>149.85120000000001</v>
      </c>
      <c r="J5625">
        <v>-193.60890000000001</v>
      </c>
      <c r="K5625">
        <v>1.1093710000000001</v>
      </c>
      <c r="L5625">
        <v>155.078</v>
      </c>
      <c r="M5625">
        <v>-0.25855470000000003</v>
      </c>
      <c r="N5625">
        <v>0</v>
      </c>
      <c r="O5625">
        <v>-0.96590509999999996</v>
      </c>
      <c r="P5625">
        <v>-0.43500759999999999</v>
      </c>
      <c r="Q5625">
        <v>-1.772497E-2</v>
      </c>
      <c r="R5625">
        <v>-0.90025250000000001</v>
      </c>
      <c r="S5625">
        <v>-2.5134120000000002</v>
      </c>
      <c r="T5625">
        <v>-0.44355909999999898</v>
      </c>
      <c r="U5625">
        <v>-2.1100620000000001</v>
      </c>
      <c r="V5625">
        <v>0.187418</v>
      </c>
      <c r="W5625">
        <v>-5.0528760000000004E-3</v>
      </c>
      <c r="X5625">
        <v>0.98226729999999995</v>
      </c>
      <c r="Y5625">
        <v>0.56593700000000002</v>
      </c>
      <c r="Z5625">
        <v>0.14025379999999901</v>
      </c>
      <c r="AA5625">
        <v>0.81243100000000001</v>
      </c>
      <c r="AB5625">
        <v>9</v>
      </c>
      <c r="AC5625">
        <v>-6.2706</v>
      </c>
      <c r="AD5625">
        <v>-1.1093835135200001</v>
      </c>
      <c r="AE5625">
        <v>-5.2267999999999901</v>
      </c>
      <c r="AF5625">
        <v>4.6204740643184197</v>
      </c>
      <c r="AG5625">
        <v>-1.1093835135200001</v>
      </c>
      <c r="AH5625">
        <v>6.5495164867548796</v>
      </c>
      <c r="AI5625">
        <v>97.880147880808494</v>
      </c>
      <c r="AJ5625">
        <v>54.798256876281599</v>
      </c>
      <c r="AK5625">
        <v>8.0917043056072693</v>
      </c>
      <c r="AL5625">
        <v>90.289509688567094</v>
      </c>
      <c r="AM5625">
        <v>79.197721088184807</v>
      </c>
      <c r="AN5625">
        <v>1.0000000434645699</v>
      </c>
    </row>
    <row r="5626" spans="1:40" x14ac:dyDescent="0.25">
      <c r="A5626" t="str">
        <f>"20190312154035090"</f>
        <v>20190312154035090</v>
      </c>
      <c r="B5626" t="str">
        <f>"1552376435081585"</f>
        <v>1552376435081585</v>
      </c>
      <c r="C5626" t="s">
        <v>40</v>
      </c>
      <c r="D5626">
        <v>4.1368539999999996</v>
      </c>
      <c r="E5626">
        <v>0.66964990000000002</v>
      </c>
      <c r="F5626" t="s">
        <v>55</v>
      </c>
      <c r="G5626">
        <v>-199.95859999999999</v>
      </c>
      <c r="H5626" s="1">
        <v>-1.249893E-5</v>
      </c>
      <c r="I5626">
        <v>149.76730000000001</v>
      </c>
      <c r="J5626">
        <v>-193.636</v>
      </c>
      <c r="K5626">
        <v>1.109367</v>
      </c>
      <c r="L5626">
        <v>154.9914</v>
      </c>
      <c r="M5626">
        <v>-0.2616386</v>
      </c>
      <c r="N5626">
        <v>0</v>
      </c>
      <c r="O5626">
        <v>-0.9650744</v>
      </c>
      <c r="P5626">
        <v>-0.4358959</v>
      </c>
      <c r="Q5626">
        <v>-1.8497099999999999E-2</v>
      </c>
      <c r="R5626">
        <v>-0.89980740000000003</v>
      </c>
      <c r="S5626">
        <v>-2.5187379999999999</v>
      </c>
      <c r="T5626">
        <v>-0.4400597</v>
      </c>
      <c r="U5626">
        <v>-2.1066280000000002</v>
      </c>
      <c r="V5626">
        <v>0.18525230000000001</v>
      </c>
      <c r="W5626">
        <v>-5.8165409999999997E-3</v>
      </c>
      <c r="X5626">
        <v>0.98267380000000004</v>
      </c>
      <c r="Y5626">
        <v>0.56494100000000003</v>
      </c>
      <c r="Z5626">
        <v>0.13908219999999999</v>
      </c>
      <c r="AA5626">
        <v>0.81332519999999997</v>
      </c>
      <c r="AB5626">
        <v>9</v>
      </c>
      <c r="AC5626">
        <v>-6.3225999999999898</v>
      </c>
      <c r="AD5626">
        <v>-1.1093794989299901</v>
      </c>
      <c r="AE5626">
        <v>-5.2240999999999902</v>
      </c>
      <c r="AF5626">
        <v>4.6502887212663602</v>
      </c>
      <c r="AG5626">
        <v>-1.1093794989299901</v>
      </c>
      <c r="AH5626">
        <v>6.5761540670485701</v>
      </c>
      <c r="AI5626">
        <v>97.842479220171498</v>
      </c>
      <c r="AJ5626">
        <v>54.734183869274801</v>
      </c>
      <c r="AK5626">
        <v>8.1302958357825297</v>
      </c>
      <c r="AL5626">
        <v>90.333265122528303</v>
      </c>
      <c r="AM5626">
        <v>79.323975131682303</v>
      </c>
      <c r="AN5626">
        <v>1.0000000220054599</v>
      </c>
    </row>
    <row r="5627" spans="1:40" x14ac:dyDescent="0.25">
      <c r="A5627" t="str">
        <f>"20190312154035103"</f>
        <v>20190312154035103</v>
      </c>
      <c r="B5627" t="str">
        <f>"1552376435092321"</f>
        <v>1552376435092321</v>
      </c>
      <c r="C5627" t="s">
        <v>40</v>
      </c>
      <c r="D5627">
        <v>4.1408909999999999</v>
      </c>
      <c r="E5627">
        <v>0.66998930000000001</v>
      </c>
      <c r="F5627" t="s">
        <v>55</v>
      </c>
      <c r="G5627">
        <v>-200.03479999999999</v>
      </c>
      <c r="H5627" s="1">
        <v>-1.2438660000000001E-5</v>
      </c>
      <c r="I5627">
        <v>149.67150000000001</v>
      </c>
      <c r="J5627">
        <v>-193.6516</v>
      </c>
      <c r="K5627">
        <v>1.109369</v>
      </c>
      <c r="L5627">
        <v>154.94220000000001</v>
      </c>
      <c r="M5627">
        <v>-0.26339770000000001</v>
      </c>
      <c r="N5627">
        <v>0</v>
      </c>
      <c r="O5627">
        <v>-0.96459589999999995</v>
      </c>
      <c r="P5627">
        <v>-0.43716529999999998</v>
      </c>
      <c r="Q5627">
        <v>-1.9080300000000001E-2</v>
      </c>
      <c r="R5627">
        <v>-0.89917879999999994</v>
      </c>
      <c r="S5627">
        <v>-2.5269780000000002</v>
      </c>
      <c r="T5627">
        <v>-0.43810870000000002</v>
      </c>
      <c r="U5627">
        <v>-2.1009060000000002</v>
      </c>
      <c r="V5627">
        <v>0.1848495</v>
      </c>
      <c r="W5627">
        <v>-6.3993549999999998E-3</v>
      </c>
      <c r="X5627">
        <v>0.98274600000000001</v>
      </c>
      <c r="Y5627">
        <v>0.56591359999999902</v>
      </c>
      <c r="Z5627">
        <v>0.13839760000000001</v>
      </c>
      <c r="AA5627">
        <v>0.81276569999999904</v>
      </c>
      <c r="AB5627">
        <v>9</v>
      </c>
      <c r="AC5627">
        <v>-6.38319999999998</v>
      </c>
      <c r="AD5627">
        <v>-1.1093814386600001</v>
      </c>
      <c r="AE5627">
        <v>-5.2706999999999997</v>
      </c>
      <c r="AF5627">
        <v>4.6851923116931804</v>
      </c>
      <c r="AG5627">
        <v>-1.1093814386600001</v>
      </c>
      <c r="AH5627">
        <v>6.6466381252997504</v>
      </c>
      <c r="AI5627">
        <v>97.768467999608703</v>
      </c>
      <c r="AJ5627">
        <v>54.8201227616347</v>
      </c>
      <c r="AK5627">
        <v>8.2072865517587701</v>
      </c>
      <c r="AL5627">
        <v>90.366658537535699</v>
      </c>
      <c r="AM5627">
        <v>79.347421225187603</v>
      </c>
      <c r="AN5627">
        <v>0.99999999495533298</v>
      </c>
    </row>
    <row r="5628" spans="1:40" x14ac:dyDescent="0.25">
      <c r="A5628" t="str">
        <f>"20190312154035116"</f>
        <v>20190312154035116</v>
      </c>
      <c r="B5628" t="str">
        <f>"1552376435111371"</f>
        <v>1552376435111371</v>
      </c>
      <c r="C5628" t="s">
        <v>40</v>
      </c>
      <c r="D5628">
        <v>4.1544530000000002</v>
      </c>
      <c r="E5628">
        <v>0.67057929999999999</v>
      </c>
      <c r="F5628" t="s">
        <v>55</v>
      </c>
      <c r="G5628">
        <v>-200.0455</v>
      </c>
      <c r="H5628" s="1">
        <v>-1.242943E-5</v>
      </c>
      <c r="I5628">
        <v>149.6498</v>
      </c>
      <c r="J5628">
        <v>-193.66839999999999</v>
      </c>
      <c r="K5628">
        <v>1.1093729999999999</v>
      </c>
      <c r="L5628">
        <v>154.88900000000001</v>
      </c>
      <c r="M5628">
        <v>-0.26530300000000001</v>
      </c>
      <c r="N5628">
        <v>0</v>
      </c>
      <c r="O5628">
        <v>-0.96407350000000003</v>
      </c>
      <c r="P5628">
        <v>-0.43837280000000001</v>
      </c>
      <c r="Q5628">
        <v>-1.9456979999999999E-2</v>
      </c>
      <c r="R5628">
        <v>-0.89858259999999901</v>
      </c>
      <c r="S5628">
        <v>-2.5321959999999999</v>
      </c>
      <c r="T5628">
        <v>-0.43934909999999999</v>
      </c>
      <c r="U5628">
        <v>-2.0959469999999998</v>
      </c>
      <c r="V5628">
        <v>0.18422939999999999</v>
      </c>
      <c r="W5628">
        <v>-6.7750700000000002E-3</v>
      </c>
      <c r="X5628">
        <v>0.98285990000000001</v>
      </c>
      <c r="Y5628">
        <v>0.56602069999999904</v>
      </c>
      <c r="Z5628">
        <v>0.13876069999999999</v>
      </c>
      <c r="AA5628">
        <v>0.81262909999999999</v>
      </c>
      <c r="AB5628">
        <v>9</v>
      </c>
      <c r="AC5628">
        <v>-6.3771000000000102</v>
      </c>
      <c r="AD5628">
        <v>-1.1093854294299901</v>
      </c>
      <c r="AE5628">
        <v>-5.2392000000000101</v>
      </c>
      <c r="AF5628">
        <v>4.6739878883627402</v>
      </c>
      <c r="AG5628">
        <v>-1.1093854294299901</v>
      </c>
      <c r="AH5628">
        <v>6.6237546524121704</v>
      </c>
      <c r="AI5628">
        <v>97.792308107404907</v>
      </c>
      <c r="AJ5628">
        <v>54.791666420523804</v>
      </c>
      <c r="AK5628">
        <v>8.18236057057773</v>
      </c>
      <c r="AL5628">
        <v>90.388185895125702</v>
      </c>
      <c r="AM5628">
        <v>79.3835452167135</v>
      </c>
      <c r="AN5628">
        <v>0.99999997821293696</v>
      </c>
    </row>
    <row r="5629" spans="1:40" x14ac:dyDescent="0.25">
      <c r="A5629" t="str">
        <f>"20190312154035128"</f>
        <v>20190312154035128</v>
      </c>
      <c r="B5629" t="str">
        <f>"1552376435122108"</f>
        <v>1552376435122108</v>
      </c>
      <c r="C5629" t="s">
        <v>40</v>
      </c>
      <c r="D5629">
        <v>4.2119049999999998</v>
      </c>
      <c r="E5629">
        <v>0.67096129999999998</v>
      </c>
      <c r="F5629" t="s">
        <v>55</v>
      </c>
      <c r="G5629">
        <v>-200.07320000000001</v>
      </c>
      <c r="H5629" s="1">
        <v>-1.241005E-5</v>
      </c>
      <c r="I5629">
        <v>149.61580000000001</v>
      </c>
      <c r="J5629">
        <v>-193.6841</v>
      </c>
      <c r="K5629">
        <v>1.1093770000000001</v>
      </c>
      <c r="L5629">
        <v>154.84020000000001</v>
      </c>
      <c r="M5629">
        <v>-0.26706370000000001</v>
      </c>
      <c r="N5629">
        <v>0</v>
      </c>
      <c r="O5629">
        <v>-0.96358719999999998</v>
      </c>
      <c r="P5629">
        <v>-0.4398842</v>
      </c>
      <c r="Q5629">
        <v>-1.9301820000000001E-2</v>
      </c>
      <c r="R5629">
        <v>-0.89784719999999996</v>
      </c>
      <c r="S5629">
        <v>-2.5390009999999998</v>
      </c>
      <c r="T5629">
        <v>-0.43978909999999999</v>
      </c>
      <c r="U5629">
        <v>-2.0904389999999999</v>
      </c>
      <c r="V5629">
        <v>0.1840871</v>
      </c>
      <c r="W5629">
        <v>-6.6213259999999899E-3</v>
      </c>
      <c r="X5629">
        <v>0.98288759999999997</v>
      </c>
      <c r="Y5629">
        <v>0.56663330000000001</v>
      </c>
      <c r="Z5629">
        <v>0.1388489</v>
      </c>
      <c r="AA5629">
        <v>0.81218699999999999</v>
      </c>
      <c r="AB5629">
        <v>9</v>
      </c>
      <c r="AC5629">
        <v>-6.3891000000000098</v>
      </c>
      <c r="AD5629">
        <v>-1.1093894100499999</v>
      </c>
      <c r="AE5629">
        <v>-5.2244000000000002</v>
      </c>
      <c r="AF5629">
        <v>4.6771188692739099</v>
      </c>
      <c r="AG5629">
        <v>-1.1093894100499999</v>
      </c>
      <c r="AH5629">
        <v>6.6214171817494396</v>
      </c>
      <c r="AI5629">
        <v>97.792434220123198</v>
      </c>
      <c r="AJ5629">
        <v>54.764060851544997</v>
      </c>
      <c r="AK5629">
        <v>8.1822583236668702</v>
      </c>
      <c r="AL5629">
        <v>90.379376818748895</v>
      </c>
      <c r="AM5629">
        <v>79.3918514220519</v>
      </c>
      <c r="AN5629">
        <v>0.999999968289083</v>
      </c>
    </row>
    <row r="5630" spans="1:40" x14ac:dyDescent="0.25">
      <c r="A5630" t="str">
        <f>"20190312154035142"</f>
        <v>20190312154035142</v>
      </c>
      <c r="B5630" t="str">
        <f>"1552376435131867"</f>
        <v>1552376435131867</v>
      </c>
      <c r="C5630" t="s">
        <v>40</v>
      </c>
      <c r="D5630">
        <v>4.2214260000000001</v>
      </c>
      <c r="E5630">
        <v>0.67129349999999999</v>
      </c>
      <c r="F5630" t="s">
        <v>55</v>
      </c>
      <c r="G5630">
        <v>-200.0651</v>
      </c>
      <c r="H5630" s="1">
        <v>-1.241277E-5</v>
      </c>
      <c r="I5630">
        <v>149.613</v>
      </c>
      <c r="J5630">
        <v>-193.70179999999999</v>
      </c>
      <c r="K5630">
        <v>1.109378</v>
      </c>
      <c r="L5630">
        <v>154.78540000000001</v>
      </c>
      <c r="M5630">
        <v>-0.26904240000000001</v>
      </c>
      <c r="N5630">
        <v>0</v>
      </c>
      <c r="O5630">
        <v>-0.96303680000000003</v>
      </c>
      <c r="P5630">
        <v>-0.4415828</v>
      </c>
      <c r="Q5630">
        <v>-1.863136E-2</v>
      </c>
      <c r="R5630">
        <v>-0.89702709999999997</v>
      </c>
      <c r="S5630">
        <v>-2.5450900000000001</v>
      </c>
      <c r="T5630">
        <v>-0.44248399999999999</v>
      </c>
      <c r="U5630">
        <v>-2.0848849999999999</v>
      </c>
      <c r="V5630">
        <v>0.18392620000000001</v>
      </c>
      <c r="W5630">
        <v>-5.9526589999999999E-3</v>
      </c>
      <c r="X5630">
        <v>0.98292199999999996</v>
      </c>
      <c r="Y5630">
        <v>0.56687469999999995</v>
      </c>
      <c r="Z5630">
        <v>0.13965259999999999</v>
      </c>
      <c r="AA5630">
        <v>0.81188070000000001</v>
      </c>
      <c r="AB5630">
        <v>9</v>
      </c>
      <c r="AC5630">
        <v>-6.3632999999999997</v>
      </c>
      <c r="AD5630">
        <v>-1.1093904127700001</v>
      </c>
      <c r="AE5630">
        <v>-5.1723999999999997</v>
      </c>
      <c r="AF5630">
        <v>4.6517763256518103</v>
      </c>
      <c r="AG5630">
        <v>-1.1093904127700001</v>
      </c>
      <c r="AH5630">
        <v>6.5734888766078896</v>
      </c>
      <c r="AI5630">
        <v>97.8438217642681</v>
      </c>
      <c r="AJ5630">
        <v>54.714593685765799</v>
      </c>
      <c r="AK5630">
        <v>8.1289929316446194</v>
      </c>
      <c r="AL5630">
        <v>90.341064262175905</v>
      </c>
      <c r="AM5630">
        <v>79.401275760854503</v>
      </c>
      <c r="AN5630">
        <v>0.99999996963980398</v>
      </c>
    </row>
    <row r="5631" spans="1:40" x14ac:dyDescent="0.25">
      <c r="A5631" t="str">
        <f>"20190312154035156"</f>
        <v>20190312154035156</v>
      </c>
      <c r="B5631" t="str">
        <f>"1552376435151387"</f>
        <v>1552376435151387</v>
      </c>
      <c r="C5631" t="s">
        <v>40</v>
      </c>
      <c r="D5631">
        <v>4.2029370000000004</v>
      </c>
      <c r="E5631">
        <v>0.67175010000000002</v>
      </c>
      <c r="F5631" t="s">
        <v>55</v>
      </c>
      <c r="G5631">
        <v>-200.1405</v>
      </c>
      <c r="H5631" s="1">
        <v>-1.235719E-5</v>
      </c>
      <c r="I5631">
        <v>149.5386</v>
      </c>
      <c r="J5631">
        <v>-193.71940000000001</v>
      </c>
      <c r="K5631">
        <v>1.1093900000000001</v>
      </c>
      <c r="L5631">
        <v>154.7312</v>
      </c>
      <c r="M5631">
        <v>-0.27101009999999998</v>
      </c>
      <c r="N5631">
        <v>0</v>
      </c>
      <c r="O5631">
        <v>-0.96248489999999998</v>
      </c>
      <c r="P5631">
        <v>-0.44311820000000002</v>
      </c>
      <c r="Q5631">
        <v>-1.6160310000000001E-2</v>
      </c>
      <c r="R5631">
        <v>-0.89631779999999905</v>
      </c>
      <c r="S5631">
        <v>-2.5515289999999999</v>
      </c>
      <c r="T5631">
        <v>-0.43962610000000002</v>
      </c>
      <c r="U5631">
        <v>-2.0792079999999999</v>
      </c>
      <c r="V5631">
        <v>0.18359259999999999</v>
      </c>
      <c r="W5631">
        <v>-3.4827629999999998E-3</v>
      </c>
      <c r="X5631">
        <v>0.98299619999999999</v>
      </c>
      <c r="Y5631">
        <v>0.56739110000000004</v>
      </c>
      <c r="Z5631">
        <v>0.13872870000000001</v>
      </c>
      <c r="AA5631">
        <v>0.81167829999999996</v>
      </c>
      <c r="AB5631">
        <v>9</v>
      </c>
      <c r="AC5631">
        <v>-6.4210999999999903</v>
      </c>
      <c r="AD5631">
        <v>-1.10940235718999</v>
      </c>
      <c r="AE5631">
        <v>-5.1925999999999899</v>
      </c>
      <c r="AF5631">
        <v>4.68876182697029</v>
      </c>
      <c r="AG5631">
        <v>-1.10940235718999</v>
      </c>
      <c r="AH5631">
        <v>6.6191130006396701</v>
      </c>
      <c r="AI5631">
        <v>97.787929035144899</v>
      </c>
      <c r="AJ5631">
        <v>54.687498590787598</v>
      </c>
      <c r="AK5631">
        <v>8.1870579560321595</v>
      </c>
      <c r="AL5631">
        <v>90.199548034168302</v>
      </c>
      <c r="AM5631">
        <v>79.420845607608896</v>
      </c>
      <c r="AN5631">
        <v>0.999999950813655</v>
      </c>
    </row>
    <row r="5632" spans="1:40" x14ac:dyDescent="0.25">
      <c r="A5632" t="str">
        <f>"20190312154035168"</f>
        <v>20190312154035168</v>
      </c>
      <c r="B5632" t="str">
        <f>"1552376435162123"</f>
        <v>1552376435162123</v>
      </c>
      <c r="C5632" t="s">
        <v>40</v>
      </c>
      <c r="D5632">
        <v>4.2527339999999896</v>
      </c>
      <c r="E5632">
        <v>0.67204019999999898</v>
      </c>
      <c r="F5632" t="s">
        <v>55</v>
      </c>
      <c r="G5632">
        <v>-200.3475</v>
      </c>
      <c r="H5632" s="1">
        <v>-1.22123E-5</v>
      </c>
      <c r="I5632">
        <v>149.36000000000001</v>
      </c>
      <c r="J5632">
        <v>-193.7355</v>
      </c>
      <c r="K5632">
        <v>1.1093900000000001</v>
      </c>
      <c r="L5632">
        <v>154.68199999999999</v>
      </c>
      <c r="M5632">
        <v>-0.27281319999999998</v>
      </c>
      <c r="N5632">
        <v>0</v>
      </c>
      <c r="O5632">
        <v>-0.96197529999999998</v>
      </c>
      <c r="P5632">
        <v>-0.4448027</v>
      </c>
      <c r="Q5632">
        <v>-1.5006469999999999E-2</v>
      </c>
      <c r="R5632">
        <v>-0.89550319999999894</v>
      </c>
      <c r="S5632">
        <v>-2.5593569999999999</v>
      </c>
      <c r="T5632">
        <v>-0.42837969999999997</v>
      </c>
      <c r="U5632">
        <v>-2.0740050000000001</v>
      </c>
      <c r="V5632">
        <v>0.1835958</v>
      </c>
      <c r="W5632">
        <v>-2.3318229999999998E-3</v>
      </c>
      <c r="X5632">
        <v>0.98299910000000001</v>
      </c>
      <c r="Y5632">
        <v>0.56845690000000004</v>
      </c>
      <c r="Z5632">
        <v>0.13515360000000001</v>
      </c>
      <c r="AA5632">
        <v>0.81153580000000003</v>
      </c>
      <c r="AB5632">
        <v>9</v>
      </c>
      <c r="AC5632">
        <v>-6.6119999999999903</v>
      </c>
      <c r="AD5632">
        <v>-1.10940221229999</v>
      </c>
      <c r="AE5632">
        <v>-5.3220000000000001</v>
      </c>
      <c r="AF5632">
        <v>4.8266433982569898</v>
      </c>
      <c r="AG5632">
        <v>-1.10940221229999</v>
      </c>
      <c r="AH5632">
        <v>6.8077799573207596</v>
      </c>
      <c r="AI5632">
        <v>97.572441468141406</v>
      </c>
      <c r="AJ5632">
        <v>54.663765778531904</v>
      </c>
      <c r="AK5632">
        <v>8.4186179216004398</v>
      </c>
      <c r="AL5632">
        <v>90.133603731817701</v>
      </c>
      <c r="AM5632">
        <v>79.420695882720807</v>
      </c>
      <c r="AN5632">
        <v>1.0000000428884701</v>
      </c>
    </row>
    <row r="5633" spans="1:40" x14ac:dyDescent="0.25">
      <c r="A5633" t="str">
        <f>"20190312154035181"</f>
        <v>20190312154035181</v>
      </c>
      <c r="B5633" t="str">
        <f>"1552376435171883"</f>
        <v>1552376435171883</v>
      </c>
      <c r="C5633" t="s">
        <v>40</v>
      </c>
      <c r="D5633">
        <v>4.2219239999999996</v>
      </c>
      <c r="E5633">
        <v>0.67222859999999995</v>
      </c>
      <c r="F5633" t="s">
        <v>55</v>
      </c>
      <c r="G5633">
        <v>-200.45140000000001</v>
      </c>
      <c r="H5633" s="1">
        <v>-1.213883E-5</v>
      </c>
      <c r="I5633">
        <v>149.268</v>
      </c>
      <c r="J5633">
        <v>-193.7516</v>
      </c>
      <c r="K5633">
        <v>1.1093930000000001</v>
      </c>
      <c r="L5633">
        <v>154.63339999999999</v>
      </c>
      <c r="M5633">
        <v>-0.2745997</v>
      </c>
      <c r="N5633">
        <v>0</v>
      </c>
      <c r="O5633">
        <v>-0.96146679999999995</v>
      </c>
      <c r="P5633">
        <v>-0.44656180000000001</v>
      </c>
      <c r="Q5633">
        <v>-1.386255E-2</v>
      </c>
      <c r="R5633">
        <v>-0.89464580000000005</v>
      </c>
      <c r="S5633">
        <v>-2.5658720000000002</v>
      </c>
      <c r="T5633">
        <v>-0.42385980000000001</v>
      </c>
      <c r="U5633">
        <v>-2.0684809999999998</v>
      </c>
      <c r="V5633">
        <v>0.183699</v>
      </c>
      <c r="W5633">
        <v>-1.191393E-3</v>
      </c>
      <c r="X5633">
        <v>0.98298180000000002</v>
      </c>
      <c r="Y5633">
        <v>0.56915740000000004</v>
      </c>
      <c r="Z5633">
        <v>0.13370850000000001</v>
      </c>
      <c r="AA5633">
        <v>0.81128409999999995</v>
      </c>
      <c r="AB5633">
        <v>9</v>
      </c>
      <c r="AC5633">
        <v>-6.6997999999999998</v>
      </c>
      <c r="AD5633">
        <v>-1.1094051388299999</v>
      </c>
      <c r="AE5633">
        <v>-5.3653999999999904</v>
      </c>
      <c r="AF5633">
        <v>4.8870951046482496</v>
      </c>
      <c r="AG5633">
        <v>-1.1094051388299999</v>
      </c>
      <c r="AH5633">
        <v>6.8840334055834598</v>
      </c>
      <c r="AI5633">
        <v>97.486297310031503</v>
      </c>
      <c r="AJ5633">
        <v>54.628394722598401</v>
      </c>
      <c r="AK5633">
        <v>8.51495121848202</v>
      </c>
      <c r="AL5633">
        <v>90.068261808116105</v>
      </c>
      <c r="AM5633">
        <v>79.414701479615303</v>
      </c>
      <c r="AN5633">
        <v>0.99999998057476003</v>
      </c>
    </row>
    <row r="5634" spans="1:40" x14ac:dyDescent="0.25">
      <c r="A5634" t="str">
        <f>"20190312154035193"</f>
        <v>20190312154035193</v>
      </c>
      <c r="B5634" t="str">
        <f>"1552376435181645"</f>
        <v>1552376435181645</v>
      </c>
      <c r="C5634" t="s">
        <v>40</v>
      </c>
      <c r="D5634">
        <v>4.2239620000000002</v>
      </c>
      <c r="E5634">
        <v>0.67245080000000002</v>
      </c>
      <c r="F5634" t="s">
        <v>55</v>
      </c>
      <c r="G5634">
        <v>-200.54339999999999</v>
      </c>
      <c r="H5634" s="1">
        <v>-1.207294E-5</v>
      </c>
      <c r="I5634">
        <v>149.18360000000001</v>
      </c>
      <c r="J5634">
        <v>-193.76759999999999</v>
      </c>
      <c r="K5634">
        <v>1.1093919999999999</v>
      </c>
      <c r="L5634">
        <v>154.58500000000001</v>
      </c>
      <c r="M5634">
        <v>-0.27638810000000003</v>
      </c>
      <c r="N5634">
        <v>0</v>
      </c>
      <c r="O5634">
        <v>-0.96095419999999998</v>
      </c>
      <c r="P5634">
        <v>-0.44843889999999997</v>
      </c>
      <c r="Q5634">
        <v>-1.359573E-2</v>
      </c>
      <c r="R5634">
        <v>-0.89371029999999996</v>
      </c>
      <c r="S5634">
        <v>-2.5713810000000001</v>
      </c>
      <c r="T5634">
        <v>-0.42001949999999999</v>
      </c>
      <c r="U5634">
        <v>-2.0632630000000001</v>
      </c>
      <c r="V5634">
        <v>0.18393309999999999</v>
      </c>
      <c r="W5634">
        <v>-9.2908680000000003E-4</v>
      </c>
      <c r="X5634">
        <v>0.98293830000000004</v>
      </c>
      <c r="Y5634">
        <v>0.56961439999999997</v>
      </c>
      <c r="Z5634">
        <v>0.13249159999999999</v>
      </c>
      <c r="AA5634">
        <v>0.81116309999999903</v>
      </c>
      <c r="AB5634">
        <v>9</v>
      </c>
      <c r="AC5634">
        <v>-6.7758000000000003</v>
      </c>
      <c r="AD5634">
        <v>-1.1094040729400001</v>
      </c>
      <c r="AE5634">
        <v>-5.40139999999999</v>
      </c>
      <c r="AF5634">
        <v>4.9378555048084101</v>
      </c>
      <c r="AG5634">
        <v>-1.1094040729400001</v>
      </c>
      <c r="AH5634">
        <v>6.9499526838030397</v>
      </c>
      <c r="AI5634">
        <v>97.414104008358507</v>
      </c>
      <c r="AJ5634">
        <v>54.606676595740701</v>
      </c>
      <c r="AK5634">
        <v>8.5973854566678405</v>
      </c>
      <c r="AL5634">
        <v>90.053232761428305</v>
      </c>
      <c r="AM5634">
        <v>79.401058940238798</v>
      </c>
      <c r="AN5634">
        <v>0.99999997504239002</v>
      </c>
    </row>
    <row r="5635" spans="1:40" x14ac:dyDescent="0.25">
      <c r="A5635" t="str">
        <f>"20190312154035207"</f>
        <v>20190312154035207</v>
      </c>
      <c r="B5635" t="str">
        <f>"1552376435201669"</f>
        <v>1552376435201669</v>
      </c>
      <c r="C5635" t="s">
        <v>40</v>
      </c>
      <c r="D5635">
        <v>4.2633720000000004</v>
      </c>
      <c r="E5635">
        <v>0.67284489999999997</v>
      </c>
      <c r="F5635" t="s">
        <v>55</v>
      </c>
      <c r="G5635">
        <v>-200.5932</v>
      </c>
      <c r="H5635" s="1">
        <v>-1.2037200000000001E-5</v>
      </c>
      <c r="I5635">
        <v>149.1378</v>
      </c>
      <c r="J5635">
        <v>-193.7861</v>
      </c>
      <c r="K5635">
        <v>1.1093839999999999</v>
      </c>
      <c r="L5635">
        <v>154.5299</v>
      </c>
      <c r="M5635">
        <v>-0.27844380000000002</v>
      </c>
      <c r="N5635">
        <v>0</v>
      </c>
      <c r="O5635">
        <v>-0.96036080000000001</v>
      </c>
      <c r="P5635">
        <v>-0.45085419999999998</v>
      </c>
      <c r="Q5635">
        <v>-1.3236660000000001E-2</v>
      </c>
      <c r="R5635">
        <v>-0.89249959999999995</v>
      </c>
      <c r="S5635">
        <v>-2.5776059999999998</v>
      </c>
      <c r="T5635">
        <v>-0.4189523</v>
      </c>
      <c r="U5635">
        <v>-2.0570680000000001</v>
      </c>
      <c r="V5635">
        <v>0.18448709999999999</v>
      </c>
      <c r="W5635">
        <v>-5.7660440000000001E-4</v>
      </c>
      <c r="X5635">
        <v>0.98283480000000001</v>
      </c>
      <c r="Y5635">
        <v>0.57004769999999905</v>
      </c>
      <c r="Z5635">
        <v>0.13213839999999999</v>
      </c>
      <c r="AA5635">
        <v>0.81091619999999998</v>
      </c>
      <c r="AB5635">
        <v>9</v>
      </c>
      <c r="AC5635">
        <v>-6.8070999999999904</v>
      </c>
      <c r="AD5635">
        <v>-1.1093960372</v>
      </c>
      <c r="AE5635">
        <v>-5.3920999999999903</v>
      </c>
      <c r="AF5635">
        <v>4.9554429953519898</v>
      </c>
      <c r="AG5635">
        <v>-1.1093960372</v>
      </c>
      <c r="AH5635">
        <v>6.9607753580415297</v>
      </c>
      <c r="AI5635">
        <v>97.397736467815605</v>
      </c>
      <c r="AJ5635">
        <v>54.552570127050998</v>
      </c>
      <c r="AK5635">
        <v>8.6162386476151198</v>
      </c>
      <c r="AL5635">
        <v>90.033036999298702</v>
      </c>
      <c r="AM5635">
        <v>79.368767883668099</v>
      </c>
      <c r="AN5635">
        <v>1.0000000333150401</v>
      </c>
    </row>
    <row r="5636" spans="1:40" x14ac:dyDescent="0.25">
      <c r="A5636" t="str">
        <f>"20190312154035221"</f>
        <v>20190312154035221</v>
      </c>
      <c r="B5636" t="str">
        <f>"1552376435211429"</f>
        <v>1552376435211429</v>
      </c>
      <c r="C5636" t="s">
        <v>40</v>
      </c>
      <c r="D5636">
        <v>4.2223940000000004</v>
      </c>
      <c r="E5636">
        <v>0.67303440000000003</v>
      </c>
      <c r="F5636" t="s">
        <v>55</v>
      </c>
      <c r="G5636">
        <v>-200.64959999999999</v>
      </c>
      <c r="H5636" s="1">
        <v>-1.199895E-5</v>
      </c>
      <c r="I5636">
        <v>149.09309999999999</v>
      </c>
      <c r="J5636">
        <v>-193.80369999999999</v>
      </c>
      <c r="K5636">
        <v>1.1093759999999999</v>
      </c>
      <c r="L5636">
        <v>154.4776</v>
      </c>
      <c r="M5636">
        <v>-0.2804024</v>
      </c>
      <c r="N5636">
        <v>0</v>
      </c>
      <c r="O5636">
        <v>-0.95979060000000005</v>
      </c>
      <c r="P5636">
        <v>-0.45269490000000001</v>
      </c>
      <c r="Q5636">
        <v>-1.333607E-2</v>
      </c>
      <c r="R5636">
        <v>-0.89156589999999902</v>
      </c>
      <c r="S5636">
        <v>-2.586319</v>
      </c>
      <c r="T5636">
        <v>-0.41804829999999998</v>
      </c>
      <c r="U5636">
        <v>-2.0486909999999998</v>
      </c>
      <c r="V5636">
        <v>0.18451029999999999</v>
      </c>
      <c r="W5636">
        <v>-6.8004380000000002E-4</v>
      </c>
      <c r="X5636">
        <v>0.98283030000000005</v>
      </c>
      <c r="Y5636">
        <v>0.57135669999999905</v>
      </c>
      <c r="Z5636">
        <v>0.1318318</v>
      </c>
      <c r="AA5636">
        <v>0.8100444</v>
      </c>
      <c r="AB5636">
        <v>9</v>
      </c>
      <c r="AC5636">
        <v>-6.8459000000000003</v>
      </c>
      <c r="AD5636">
        <v>-1.10938799895</v>
      </c>
      <c r="AE5636">
        <v>-5.3845000000000001</v>
      </c>
      <c r="AF5636">
        <v>4.9804474865088997</v>
      </c>
      <c r="AG5636">
        <v>-1.10938799895</v>
      </c>
      <c r="AH5636">
        <v>6.9750612298595902</v>
      </c>
      <c r="AI5636">
        <v>97.375362968583801</v>
      </c>
      <c r="AJ5636">
        <v>54.471782756121499</v>
      </c>
      <c r="AK5636">
        <v>8.6421685969655506</v>
      </c>
      <c r="AL5636">
        <v>90.038963644344193</v>
      </c>
      <c r="AM5636">
        <v>79.3674138715851</v>
      </c>
      <c r="AN5636">
        <v>0.99999995593187396</v>
      </c>
    </row>
    <row r="5637" spans="1:40" x14ac:dyDescent="0.25">
      <c r="A5637" t="str">
        <f>"20190312154035235"</f>
        <v>20190312154035235</v>
      </c>
      <c r="B5637" t="str">
        <f>"1552376435231925"</f>
        <v>1552376435231925</v>
      </c>
      <c r="C5637" t="s">
        <v>40</v>
      </c>
      <c r="D5637">
        <v>4.268573</v>
      </c>
      <c r="E5637">
        <v>0.67344369999999998</v>
      </c>
      <c r="F5637" t="s">
        <v>55</v>
      </c>
      <c r="G5637">
        <v>-200.68960000000001</v>
      </c>
      <c r="H5637" s="1">
        <v>-1.196876E-5</v>
      </c>
      <c r="I5637">
        <v>149.0514</v>
      </c>
      <c r="J5637">
        <v>-193.8235</v>
      </c>
      <c r="K5637">
        <v>1.109367</v>
      </c>
      <c r="L5637">
        <v>154.4196</v>
      </c>
      <c r="M5637">
        <v>-0.2825973</v>
      </c>
      <c r="N5637">
        <v>0</v>
      </c>
      <c r="O5637">
        <v>-0.95914679999999997</v>
      </c>
      <c r="P5637">
        <v>-0.45541300000000001</v>
      </c>
      <c r="Q5637">
        <v>-1.304168E-2</v>
      </c>
      <c r="R5637">
        <v>-0.89018489999999995</v>
      </c>
      <c r="S5637">
        <v>-2.59198</v>
      </c>
      <c r="T5637">
        <v>-0.41759489999999999</v>
      </c>
      <c r="U5637">
        <v>-2.0425420000000001</v>
      </c>
      <c r="V5637">
        <v>0.18525990000000001</v>
      </c>
      <c r="W5637">
        <v>-3.9363350000000001E-4</v>
      </c>
      <c r="X5637">
        <v>0.98268949999999999</v>
      </c>
      <c r="Y5637">
        <v>0.57155009999999995</v>
      </c>
      <c r="Z5637">
        <v>0.1316775</v>
      </c>
      <c r="AA5637">
        <v>0.80993309999999996</v>
      </c>
      <c r="AB5637">
        <v>9</v>
      </c>
      <c r="AC5637">
        <v>-6.8661000000000101</v>
      </c>
      <c r="AD5637">
        <v>-1.10937896876</v>
      </c>
      <c r="AE5637">
        <v>-5.3681999999999999</v>
      </c>
      <c r="AF5637">
        <v>4.9881867600826597</v>
      </c>
      <c r="AG5637">
        <v>-1.10937896876</v>
      </c>
      <c r="AH5637">
        <v>6.9768190389442699</v>
      </c>
      <c r="AI5637">
        <v>97.370260699854995</v>
      </c>
      <c r="AJ5637">
        <v>54.4365300029447</v>
      </c>
      <c r="AK5637">
        <v>8.6480479156839891</v>
      </c>
      <c r="AL5637">
        <v>90.022553538368598</v>
      </c>
      <c r="AM5637">
        <v>79.323713866533296</v>
      </c>
      <c r="AN5637">
        <v>1.00000001945279</v>
      </c>
    </row>
    <row r="5638" spans="1:40" x14ac:dyDescent="0.25">
      <c r="A5638" t="str">
        <f>"20190312154035249"</f>
        <v>20190312154035249</v>
      </c>
      <c r="B5638" t="str">
        <f>"1552376435241686"</f>
        <v>1552376435241686</v>
      </c>
      <c r="C5638" t="s">
        <v>40</v>
      </c>
      <c r="D5638">
        <v>4.2828530000000002</v>
      </c>
      <c r="E5638">
        <v>0.67360980000000004</v>
      </c>
      <c r="F5638" t="s">
        <v>55</v>
      </c>
      <c r="G5638">
        <v>-200.7818</v>
      </c>
      <c r="H5638" s="1">
        <v>-1.1907670000000001E-5</v>
      </c>
      <c r="I5638">
        <v>148.98349999999999</v>
      </c>
      <c r="J5638">
        <v>-193.8409</v>
      </c>
      <c r="K5638">
        <v>1.109354</v>
      </c>
      <c r="L5638">
        <v>154.3689</v>
      </c>
      <c r="M5638">
        <v>-0.284533799999999</v>
      </c>
      <c r="N5638">
        <v>0</v>
      </c>
      <c r="O5638">
        <v>-0.95857409999999998</v>
      </c>
      <c r="P5638">
        <v>-0.4572504</v>
      </c>
      <c r="Q5638">
        <v>-1.294243E-2</v>
      </c>
      <c r="R5638">
        <v>-0.88924409999999898</v>
      </c>
      <c r="S5638">
        <v>-2.6020509999999999</v>
      </c>
      <c r="T5638">
        <v>-0.4148483</v>
      </c>
      <c r="U5638">
        <v>-2.0328059999999999</v>
      </c>
      <c r="V5638">
        <v>0.18530460000000001</v>
      </c>
      <c r="W5638">
        <v>-2.9819599999999998E-4</v>
      </c>
      <c r="X5638">
        <v>0.98268109999999997</v>
      </c>
      <c r="Y5638">
        <v>0.57339770000000001</v>
      </c>
      <c r="Z5638">
        <v>0.13079869999999999</v>
      </c>
      <c r="AA5638">
        <v>0.80876870000000001</v>
      </c>
      <c r="AB5638">
        <v>9</v>
      </c>
      <c r="AC5638">
        <v>-6.9408999999999903</v>
      </c>
      <c r="AD5638">
        <v>-1.10936590767</v>
      </c>
      <c r="AE5638">
        <v>-5.3853999999999997</v>
      </c>
      <c r="AF5638">
        <v>5.0411042942718396</v>
      </c>
      <c r="AG5638">
        <v>-1.10936590767</v>
      </c>
      <c r="AH5638">
        <v>7.0258205755860699</v>
      </c>
      <c r="AI5638">
        <v>97.310612356456204</v>
      </c>
      <c r="AJ5638">
        <v>54.340140321286697</v>
      </c>
      <c r="AK5638">
        <v>8.7181179151899002</v>
      </c>
      <c r="AL5638">
        <v>90.017085372281699</v>
      </c>
      <c r="AM5638">
        <v>79.321107916521399</v>
      </c>
      <c r="AN5638">
        <v>1.0000000139996099</v>
      </c>
    </row>
    <row r="5639" spans="1:40" x14ac:dyDescent="0.25">
      <c r="A5639" t="str">
        <f>"20190312154035261"</f>
        <v>20190312154035261</v>
      </c>
      <c r="B5639" t="str">
        <f>"1552376435251446"</f>
        <v>1552376435251446</v>
      </c>
      <c r="C5639" t="s">
        <v>40</v>
      </c>
      <c r="D5639">
        <v>4.2423489999999999</v>
      </c>
      <c r="E5639">
        <v>0.67392559999999901</v>
      </c>
      <c r="F5639" t="s">
        <v>55</v>
      </c>
      <c r="G5639">
        <v>-200.8271</v>
      </c>
      <c r="H5639" s="1">
        <v>-1.187444E-5</v>
      </c>
      <c r="I5639">
        <v>148.9393</v>
      </c>
      <c r="J5639">
        <v>-193.8578</v>
      </c>
      <c r="K5639">
        <v>1.1093440000000001</v>
      </c>
      <c r="L5639">
        <v>154.32</v>
      </c>
      <c r="M5639">
        <v>-0.28641139999999998</v>
      </c>
      <c r="N5639">
        <v>0</v>
      </c>
      <c r="O5639">
        <v>-0.95801449999999999</v>
      </c>
      <c r="P5639">
        <v>-0.45915250000000002</v>
      </c>
      <c r="Q5639">
        <v>-1.289387E-2</v>
      </c>
      <c r="R5639">
        <v>-0.8882639</v>
      </c>
      <c r="S5639">
        <v>-2.607758</v>
      </c>
      <c r="T5639">
        <v>-0.41409439999999997</v>
      </c>
      <c r="U5639">
        <v>-2.0267179999999998</v>
      </c>
      <c r="V5639">
        <v>0.18548220000000001</v>
      </c>
      <c r="W5639">
        <v>-2.5388409999999999E-4</v>
      </c>
      <c r="X5639">
        <v>0.98264759999999995</v>
      </c>
      <c r="Y5639">
        <v>0.57386099999999995</v>
      </c>
      <c r="Z5639">
        <v>0.130551</v>
      </c>
      <c r="AA5639">
        <v>0.80848009999999904</v>
      </c>
      <c r="AB5639">
        <v>9</v>
      </c>
      <c r="AC5639">
        <v>-6.9692999999999996</v>
      </c>
      <c r="AD5639">
        <v>-1.1093558744399901</v>
      </c>
      <c r="AE5639">
        <v>-5.3806999999999903</v>
      </c>
      <c r="AF5639">
        <v>5.0557903692645301</v>
      </c>
      <c r="AG5639">
        <v>-1.1093558744399901</v>
      </c>
      <c r="AH5639">
        <v>7.0397522451654604</v>
      </c>
      <c r="AI5639">
        <v>97.293957876926299</v>
      </c>
      <c r="AJ5639">
        <v>54.314949953107799</v>
      </c>
      <c r="AK5639">
        <v>8.7378371687400307</v>
      </c>
      <c r="AL5639">
        <v>90.014546487449806</v>
      </c>
      <c r="AM5639">
        <v>79.310752742673699</v>
      </c>
      <c r="AN5639">
        <v>1.0000000083798599</v>
      </c>
    </row>
    <row r="5640" spans="1:40" x14ac:dyDescent="0.25">
      <c r="A5640" t="str">
        <f>"20190312154035271"</f>
        <v>20190312154035271</v>
      </c>
      <c r="B5640" t="str">
        <f>"1552376435262182"</f>
        <v>1552376435262182</v>
      </c>
      <c r="C5640" t="s">
        <v>40</v>
      </c>
      <c r="D5640">
        <v>4.3218839999999998</v>
      </c>
      <c r="E5640">
        <v>0.67415959999999997</v>
      </c>
      <c r="F5640" t="s">
        <v>55</v>
      </c>
      <c r="G5640">
        <v>-200.99529999999999</v>
      </c>
      <c r="H5640" s="1">
        <v>-1.175998E-5</v>
      </c>
      <c r="I5640">
        <v>148.80520000000001</v>
      </c>
      <c r="J5640">
        <v>-193.8734</v>
      </c>
      <c r="K5640">
        <v>1.109335</v>
      </c>
      <c r="L5640">
        <v>154.27529999999999</v>
      </c>
      <c r="M5640">
        <v>-0.28814519999999999</v>
      </c>
      <c r="N5640">
        <v>0</v>
      </c>
      <c r="O5640">
        <v>-0.95749470000000003</v>
      </c>
      <c r="P5640">
        <v>-0.46089360000000001</v>
      </c>
      <c r="Q5640">
        <v>-1.2998249999999999E-2</v>
      </c>
      <c r="R5640">
        <v>-0.8873605</v>
      </c>
      <c r="S5640">
        <v>-2.6144259999999999</v>
      </c>
      <c r="T5640">
        <v>-0.40635139999999997</v>
      </c>
      <c r="U5640">
        <v>-2.0200499999999999</v>
      </c>
      <c r="V5640">
        <v>0.1856305</v>
      </c>
      <c r="W5640">
        <v>-3.6198259999999999E-4</v>
      </c>
      <c r="X5640">
        <v>0.98261949999999998</v>
      </c>
      <c r="Y5640">
        <v>0.57492909999999997</v>
      </c>
      <c r="Z5640">
        <v>0.12812680000000001</v>
      </c>
      <c r="AA5640">
        <v>0.80810890000000002</v>
      </c>
      <c r="AB5640">
        <v>9</v>
      </c>
      <c r="AC5640">
        <v>-7.1218999999999797</v>
      </c>
      <c r="AD5640">
        <v>-1.10934675998</v>
      </c>
      <c r="AE5640">
        <v>-5.4700999999999702</v>
      </c>
      <c r="AF5640">
        <v>5.1646460356069204</v>
      </c>
      <c r="AG5640">
        <v>-1.10934675998</v>
      </c>
      <c r="AH5640">
        <v>7.1807938400973201</v>
      </c>
      <c r="AI5640">
        <v>97.148601691287396</v>
      </c>
      <c r="AJ5640">
        <v>54.275159413406698</v>
      </c>
      <c r="AK5640">
        <v>8.9144836687812798</v>
      </c>
      <c r="AL5640">
        <v>90.020740076775397</v>
      </c>
      <c r="AM5640">
        <v>79.302104591576196</v>
      </c>
      <c r="AN5640">
        <v>0.99999994767095002</v>
      </c>
    </row>
    <row r="5641" spans="1:40" x14ac:dyDescent="0.25">
      <c r="A5641" t="str">
        <f>"20190312154035284"</f>
        <v>20190312154035284</v>
      </c>
      <c r="B5641" t="str">
        <f>"1552376435281702"</f>
        <v>1552376435281702</v>
      </c>
      <c r="C5641" t="s">
        <v>40</v>
      </c>
      <c r="D5641">
        <v>4.3293860000000004</v>
      </c>
      <c r="E5641">
        <v>0.67449199999999998</v>
      </c>
      <c r="F5641" t="s">
        <v>55</v>
      </c>
      <c r="G5641">
        <v>-201.0137</v>
      </c>
      <c r="H5641" s="1">
        <v>-1.174628E-5</v>
      </c>
      <c r="I5641">
        <v>148.78659999999999</v>
      </c>
      <c r="J5641">
        <v>-193.88900000000001</v>
      </c>
      <c r="K5641">
        <v>1.109326</v>
      </c>
      <c r="L5641">
        <v>154.23070000000001</v>
      </c>
      <c r="M5641">
        <v>-0.28988449999999999</v>
      </c>
      <c r="N5641">
        <v>0</v>
      </c>
      <c r="O5641">
        <v>-0.95696939999999997</v>
      </c>
      <c r="P5641">
        <v>-0.46287149999999999</v>
      </c>
      <c r="Q5641">
        <v>-1.371735E-2</v>
      </c>
      <c r="R5641">
        <v>-0.88631930000000003</v>
      </c>
      <c r="S5641">
        <v>-2.6200260000000002</v>
      </c>
      <c r="T5641">
        <v>-0.40705859999999999</v>
      </c>
      <c r="U5641">
        <v>-2.013992</v>
      </c>
      <c r="V5641">
        <v>0.18603810000000001</v>
      </c>
      <c r="W5641">
        <v>-1.085728E-3</v>
      </c>
      <c r="X5641">
        <v>0.98254189999999997</v>
      </c>
      <c r="Y5641">
        <v>0.57543679999999997</v>
      </c>
      <c r="Z5641">
        <v>0.1283349</v>
      </c>
      <c r="AA5641">
        <v>0.8077145</v>
      </c>
      <c r="AB5641">
        <v>9</v>
      </c>
      <c r="AC5641">
        <v>-7.12469999999999</v>
      </c>
      <c r="AD5641">
        <v>-1.10933774627999</v>
      </c>
      <c r="AE5641">
        <v>-5.4441000000000104</v>
      </c>
      <c r="AF5641">
        <v>5.1614193911754596</v>
      </c>
      <c r="AG5641">
        <v>-1.10933774627999</v>
      </c>
      <c r="AH5641">
        <v>7.16613161616469</v>
      </c>
      <c r="AI5641">
        <v>97.159586923752101</v>
      </c>
      <c r="AJ5641">
        <v>54.236611350504703</v>
      </c>
      <c r="AK5641">
        <v>8.90080461009671</v>
      </c>
      <c r="AL5641">
        <v>90.062207646227193</v>
      </c>
      <c r="AM5641">
        <v>79.278331372133593</v>
      </c>
      <c r="AN5641">
        <v>0.99999996935625401</v>
      </c>
    </row>
    <row r="5642" spans="1:40" x14ac:dyDescent="0.25">
      <c r="A5642" t="str">
        <f>"20190312154035296"</f>
        <v>20190312154035296</v>
      </c>
      <c r="B5642" t="str">
        <f>"1552376435291462"</f>
        <v>1552376435291462</v>
      </c>
      <c r="C5642" t="s">
        <v>40</v>
      </c>
      <c r="D5642">
        <v>4.3333209999999998</v>
      </c>
      <c r="E5642">
        <v>0.67460750000000003</v>
      </c>
      <c r="F5642" t="s">
        <v>55</v>
      </c>
      <c r="G5642">
        <v>-200.99019999999999</v>
      </c>
      <c r="H5642" s="1">
        <v>-1.176245E-5</v>
      </c>
      <c r="I5642">
        <v>148.80600000000001</v>
      </c>
      <c r="J5642">
        <v>-193.90549999999999</v>
      </c>
      <c r="K5642">
        <v>1.109318</v>
      </c>
      <c r="L5642">
        <v>154.18379999999999</v>
      </c>
      <c r="M5642">
        <v>-0.291720599999999</v>
      </c>
      <c r="N5642">
        <v>0</v>
      </c>
      <c r="O5642">
        <v>-0.95641140000000002</v>
      </c>
      <c r="P5642">
        <v>-0.4648487</v>
      </c>
      <c r="Q5642">
        <v>-1.451059E-2</v>
      </c>
      <c r="R5642">
        <v>-0.88527140000000004</v>
      </c>
      <c r="S5642">
        <v>-2.62677</v>
      </c>
      <c r="T5642">
        <v>-0.41034929999999997</v>
      </c>
      <c r="U5642">
        <v>-2.0066069999999998</v>
      </c>
      <c r="V5642">
        <v>0.18634729999999999</v>
      </c>
      <c r="W5642">
        <v>-1.8830920000000001E-3</v>
      </c>
      <c r="X5642">
        <v>0.98248210000000002</v>
      </c>
      <c r="Y5642">
        <v>0.57620289999999996</v>
      </c>
      <c r="Z5642">
        <v>0.12934780000000001</v>
      </c>
      <c r="AA5642">
        <v>0.80700640000000001</v>
      </c>
      <c r="AB5642">
        <v>9</v>
      </c>
      <c r="AC5642">
        <v>-7.08469999999999</v>
      </c>
      <c r="AD5642">
        <v>-1.10932976245</v>
      </c>
      <c r="AE5642">
        <v>-5.3777999999999704</v>
      </c>
      <c r="AF5642">
        <v>5.1277695551027396</v>
      </c>
      <c r="AG5642">
        <v>-1.10932976245</v>
      </c>
      <c r="AH5642">
        <v>7.10033234878951</v>
      </c>
      <c r="AI5642">
        <v>97.218624432545198</v>
      </c>
      <c r="AJ5642">
        <v>54.163663611713098</v>
      </c>
      <c r="AK5642">
        <v>8.8283267154859395</v>
      </c>
      <c r="AL5642">
        <v>90.107893291087194</v>
      </c>
      <c r="AM5642">
        <v>79.260287338210404</v>
      </c>
      <c r="AN5642">
        <v>0.99999996953658898</v>
      </c>
    </row>
    <row r="5643" spans="1:40" x14ac:dyDescent="0.25">
      <c r="A5643" t="str">
        <f>"20190312154035308"</f>
        <v>20190312154035308</v>
      </c>
      <c r="B5643" t="str">
        <f>"1552376435302198"</f>
        <v>1552376435302198</v>
      </c>
      <c r="C5643" t="s">
        <v>40</v>
      </c>
      <c r="D5643">
        <v>4.3115220000000001</v>
      </c>
      <c r="E5643">
        <v>0.67470399999999997</v>
      </c>
      <c r="F5643" t="s">
        <v>55</v>
      </c>
      <c r="G5643">
        <v>-200.96100000000001</v>
      </c>
      <c r="H5643" s="1">
        <v>-1.178023E-5</v>
      </c>
      <c r="I5643">
        <v>148.82230000000001</v>
      </c>
      <c r="J5643">
        <v>-193.92099999999999</v>
      </c>
      <c r="K5643">
        <v>1.1093090000000001</v>
      </c>
      <c r="L5643">
        <v>154.1404</v>
      </c>
      <c r="M5643">
        <v>-0.2934387</v>
      </c>
      <c r="N5643">
        <v>0</v>
      </c>
      <c r="O5643">
        <v>-0.9558856</v>
      </c>
      <c r="P5643">
        <v>-0.46677000000000002</v>
      </c>
      <c r="Q5643">
        <v>-1.544685E-2</v>
      </c>
      <c r="R5643">
        <v>-0.88424400000000003</v>
      </c>
      <c r="S5643">
        <v>-2.6319119999999998</v>
      </c>
      <c r="T5643">
        <v>-0.41381269999999998</v>
      </c>
      <c r="U5643">
        <v>-2.0000149999999999</v>
      </c>
      <c r="V5643">
        <v>0.18671779999999999</v>
      </c>
      <c r="W5643">
        <v>-2.8232600000000002E-3</v>
      </c>
      <c r="X5643">
        <v>0.98240950000000005</v>
      </c>
      <c r="Y5643">
        <v>0.57666649999999997</v>
      </c>
      <c r="Z5643">
        <v>0.130436</v>
      </c>
      <c r="AA5643">
        <v>0.80649999999999999</v>
      </c>
      <c r="AB5643">
        <v>9</v>
      </c>
      <c r="AC5643">
        <v>-7.0399999999999903</v>
      </c>
      <c r="AD5643">
        <v>-1.10932078022999</v>
      </c>
      <c r="AE5643">
        <v>-5.3180999999999798</v>
      </c>
      <c r="AF5643">
        <v>5.0889064403711401</v>
      </c>
      <c r="AG5643">
        <v>-1.10932078022999</v>
      </c>
      <c r="AH5643">
        <v>7.0386638507516501</v>
      </c>
      <c r="AI5643">
        <v>97.278379984349201</v>
      </c>
      <c r="AJ5643">
        <v>54.133324815404599</v>
      </c>
      <c r="AK5643">
        <v>8.7561606972564796</v>
      </c>
      <c r="AL5643">
        <v>90.161761102755506</v>
      </c>
      <c r="AM5643">
        <v>79.238655852994</v>
      </c>
      <c r="AN5643">
        <v>0.99999996666205804</v>
      </c>
    </row>
    <row r="5644" spans="1:40" x14ac:dyDescent="0.25">
      <c r="A5644" t="str">
        <f>"20190312154035319"</f>
        <v>20190312154035319</v>
      </c>
      <c r="B5644" t="str">
        <f>"1552376435311958"</f>
        <v>1552376435311958</v>
      </c>
      <c r="C5644" t="s">
        <v>40</v>
      </c>
      <c r="D5644">
        <v>4.3329420000000001</v>
      </c>
      <c r="E5644">
        <v>0.67483409999999999</v>
      </c>
      <c r="F5644" t="s">
        <v>55</v>
      </c>
      <c r="G5644">
        <v>-200.93860000000001</v>
      </c>
      <c r="H5644" s="1">
        <v>-1.179399E-5</v>
      </c>
      <c r="I5644">
        <v>148.83510000000001</v>
      </c>
      <c r="J5644">
        <v>-193.9366</v>
      </c>
      <c r="K5644">
        <v>1.1092949999999999</v>
      </c>
      <c r="L5644">
        <v>154.0967</v>
      </c>
      <c r="M5644">
        <v>-0.29517579999999999</v>
      </c>
      <c r="N5644">
        <v>0</v>
      </c>
      <c r="O5644">
        <v>-0.9553507</v>
      </c>
      <c r="P5644">
        <v>-0.46887440000000002</v>
      </c>
      <c r="Q5644">
        <v>-1.620943E-2</v>
      </c>
      <c r="R5644">
        <v>-0.88311640000000002</v>
      </c>
      <c r="S5644">
        <v>-2.636917</v>
      </c>
      <c r="T5644">
        <v>-0.4168327</v>
      </c>
      <c r="U5644">
        <v>-1.993484</v>
      </c>
      <c r="V5644">
        <v>0.18727350000000001</v>
      </c>
      <c r="W5644">
        <v>-3.59064E-3</v>
      </c>
      <c r="X5644">
        <v>0.98230119999999999</v>
      </c>
      <c r="Y5644">
        <v>0.57709359999999998</v>
      </c>
      <c r="Z5644">
        <v>0.131386999999999</v>
      </c>
      <c r="AA5644">
        <v>0.80603999999999998</v>
      </c>
      <c r="AB5644">
        <v>9</v>
      </c>
      <c r="AC5644">
        <v>-7.0019999999999998</v>
      </c>
      <c r="AD5644">
        <v>-1.1093067939899901</v>
      </c>
      <c r="AE5644">
        <v>-5.2615999999999801</v>
      </c>
      <c r="AF5644">
        <v>5.05562300972593</v>
      </c>
      <c r="AG5644">
        <v>-1.1093067939899901</v>
      </c>
      <c r="AH5644">
        <v>6.9821177937540799</v>
      </c>
      <c r="AI5644">
        <v>97.332844347646699</v>
      </c>
      <c r="AJ5644">
        <v>54.092394331748103</v>
      </c>
      <c r="AK5644">
        <v>8.6913666627015491</v>
      </c>
      <c r="AL5644">
        <v>90.205728969692302</v>
      </c>
      <c r="AM5644">
        <v>79.206217705378407</v>
      </c>
      <c r="AN5644">
        <v>0.99999995200964797</v>
      </c>
    </row>
    <row r="5645" spans="1:40" x14ac:dyDescent="0.25">
      <c r="A5645" t="str">
        <f>"20190312154035335"</f>
        <v>20190312154035335</v>
      </c>
      <c r="B5645" t="str">
        <f>"1552376435331478"</f>
        <v>1552376435331478</v>
      </c>
      <c r="C5645" t="s">
        <v>40</v>
      </c>
      <c r="D5645">
        <v>4.3718490000000001</v>
      </c>
      <c r="E5645">
        <v>0.67503649999999904</v>
      </c>
      <c r="F5645" t="s">
        <v>55</v>
      </c>
      <c r="G5645">
        <v>-200.9246</v>
      </c>
      <c r="H5645" s="1">
        <v>-1.18027E-5</v>
      </c>
      <c r="I5645">
        <v>148.8434</v>
      </c>
      <c r="J5645">
        <v>-193.95859999999999</v>
      </c>
      <c r="K5645">
        <v>1.1092850000000001</v>
      </c>
      <c r="L5645">
        <v>154.03559999999999</v>
      </c>
      <c r="M5645">
        <v>-0.2976239</v>
      </c>
      <c r="N5645">
        <v>0</v>
      </c>
      <c r="O5645">
        <v>-0.95459099999999997</v>
      </c>
      <c r="P5645">
        <v>-0.47249039999999998</v>
      </c>
      <c r="Q5645">
        <v>-1.7261140000000001E-2</v>
      </c>
      <c r="R5645">
        <v>-0.88116679999999903</v>
      </c>
      <c r="S5645">
        <v>-2.642395</v>
      </c>
      <c r="T5645">
        <v>-0.41947000000000001</v>
      </c>
      <c r="U5645">
        <v>-1.98645</v>
      </c>
      <c r="V5645">
        <v>0.18878500000000001</v>
      </c>
      <c r="W5645">
        <v>-4.6523830000000004E-3</v>
      </c>
      <c r="X5645">
        <v>0.98200739999999997</v>
      </c>
      <c r="Y5645">
        <v>0.57709460000000001</v>
      </c>
      <c r="Z5645">
        <v>0.13220499999999999</v>
      </c>
      <c r="AA5645">
        <v>0.8059056</v>
      </c>
      <c r="AB5645">
        <v>9</v>
      </c>
      <c r="AC5645">
        <v>-6.9660000000000002</v>
      </c>
      <c r="AD5645">
        <v>-1.1092968026999901</v>
      </c>
      <c r="AE5645">
        <v>-5.1921999999999802</v>
      </c>
      <c r="AF5645">
        <v>5.0229238806382099</v>
      </c>
      <c r="AG5645">
        <v>-1.1092968026999901</v>
      </c>
      <c r="AH5645">
        <v>6.9175250227856298</v>
      </c>
      <c r="AI5645">
        <v>97.393422249614702</v>
      </c>
      <c r="AJ5645">
        <v>54.016007611315402</v>
      </c>
      <c r="AK5645">
        <v>8.6204672813039203</v>
      </c>
      <c r="AL5645">
        <v>90.266562878253097</v>
      </c>
      <c r="AM5645">
        <v>79.117993863145799</v>
      </c>
      <c r="AN5645">
        <v>0.99999997727366896</v>
      </c>
    </row>
    <row r="5646" spans="1:40" x14ac:dyDescent="0.25">
      <c r="A5646" t="str">
        <f>"20190312154035347"</f>
        <v>20190312154035347</v>
      </c>
      <c r="B5646" t="str">
        <f>"1552376435342215"</f>
        <v>1552376435342215</v>
      </c>
      <c r="C5646" t="s">
        <v>40</v>
      </c>
      <c r="D5646">
        <v>4.3611649999999997</v>
      </c>
      <c r="E5646">
        <v>0.67513259999999997</v>
      </c>
      <c r="F5646" t="s">
        <v>55</v>
      </c>
      <c r="G5646">
        <v>-200.88839999999999</v>
      </c>
      <c r="H5646" s="1">
        <v>-1.18285E-5</v>
      </c>
      <c r="I5646">
        <v>148.87620000000001</v>
      </c>
      <c r="J5646">
        <v>-193.97399999999999</v>
      </c>
      <c r="K5646">
        <v>1.109286</v>
      </c>
      <c r="L5646">
        <v>153.99350000000001</v>
      </c>
      <c r="M5646">
        <v>-0.29932589999999998</v>
      </c>
      <c r="N5646">
        <v>0</v>
      </c>
      <c r="O5646">
        <v>-0.95405859999999998</v>
      </c>
      <c r="P5646">
        <v>-0.47441939999999999</v>
      </c>
      <c r="Q5646">
        <v>-1.7256759999999999E-2</v>
      </c>
      <c r="R5646">
        <v>-0.88012999999999997</v>
      </c>
      <c r="S5646">
        <v>-2.6517789999999999</v>
      </c>
      <c r="T5646">
        <v>-0.42448829999999999</v>
      </c>
      <c r="U5646">
        <v>-1.9743189999999999</v>
      </c>
      <c r="V5646">
        <v>0.18918450000000001</v>
      </c>
      <c r="W5646">
        <v>-4.6514209999999898E-3</v>
      </c>
      <c r="X5646">
        <v>0.98193059999999999</v>
      </c>
      <c r="Y5646">
        <v>0.57920629999999995</v>
      </c>
      <c r="Z5646">
        <v>0.1338116</v>
      </c>
      <c r="AA5646">
        <v>0.80412340000000004</v>
      </c>
      <c r="AB5646">
        <v>9</v>
      </c>
      <c r="AC5646">
        <v>-6.9143999999999703</v>
      </c>
      <c r="AD5646">
        <v>-1.1092978284999999</v>
      </c>
      <c r="AE5646">
        <v>-5.1173000000000002</v>
      </c>
      <c r="AF5646">
        <v>4.9825886200660303</v>
      </c>
      <c r="AG5646">
        <v>-1.1092978284999999</v>
      </c>
      <c r="AH5646">
        <v>6.8387478270296302</v>
      </c>
      <c r="AI5646">
        <v>97.468968923739894</v>
      </c>
      <c r="AJ5646">
        <v>53.923592497760197</v>
      </c>
      <c r="AK5646">
        <v>8.5337683862891893</v>
      </c>
      <c r="AL5646">
        <v>90.266507737871194</v>
      </c>
      <c r="AM5646">
        <v>79.094684825909994</v>
      </c>
      <c r="AN5646">
        <v>1.00000005698696</v>
      </c>
    </row>
    <row r="5647" spans="1:40" x14ac:dyDescent="0.25">
      <c r="A5647" t="str">
        <f>"20190312154035358"</f>
        <v>20190312154035358</v>
      </c>
      <c r="B5647" t="str">
        <f>"1552376435351974"</f>
        <v>1552376435351974</v>
      </c>
      <c r="C5647" t="s">
        <v>40</v>
      </c>
      <c r="D5647">
        <v>4.2709869999999999</v>
      </c>
      <c r="E5647">
        <v>0.67520829999999998</v>
      </c>
      <c r="F5647" t="s">
        <v>55</v>
      </c>
      <c r="G5647">
        <v>-200.88800000000001</v>
      </c>
      <c r="H5647" s="1">
        <v>-1.182712E-5</v>
      </c>
      <c r="I5647">
        <v>148.87090000000001</v>
      </c>
      <c r="J5647">
        <v>-193.9914</v>
      </c>
      <c r="K5647">
        <v>1.109281</v>
      </c>
      <c r="L5647">
        <v>153.94579999999999</v>
      </c>
      <c r="M5647">
        <v>-0.30126239999999999</v>
      </c>
      <c r="N5647">
        <v>0</v>
      </c>
      <c r="O5647">
        <v>-0.95344870000000004</v>
      </c>
      <c r="P5647">
        <v>-0.4765298</v>
      </c>
      <c r="Q5647">
        <v>-1.6978170000000001E-2</v>
      </c>
      <c r="R5647">
        <v>-0.87899450000000001</v>
      </c>
      <c r="S5647">
        <v>-2.6565400000000001</v>
      </c>
      <c r="T5647">
        <v>-0.42622199999999999</v>
      </c>
      <c r="U5647">
        <v>-1.9682459999999999</v>
      </c>
      <c r="V5647">
        <v>0.18954570000000001</v>
      </c>
      <c r="W5647">
        <v>-4.3761299999999998E-3</v>
      </c>
      <c r="X5647">
        <v>0.98186209999999996</v>
      </c>
      <c r="Y5647">
        <v>0.57937559999999999</v>
      </c>
      <c r="Z5647">
        <v>0.134349</v>
      </c>
      <c r="AA5647">
        <v>0.80391179999999995</v>
      </c>
      <c r="AB5647">
        <v>9</v>
      </c>
      <c r="AC5647">
        <v>-6.8966000000000003</v>
      </c>
      <c r="AD5647">
        <v>-1.10929282712</v>
      </c>
      <c r="AE5647">
        <v>-5.07489999999998</v>
      </c>
      <c r="AF5647">
        <v>4.9638129341158699</v>
      </c>
      <c r="AG5647">
        <v>-1.10929282712</v>
      </c>
      <c r="AH5647">
        <v>6.8027789589519099</v>
      </c>
      <c r="AI5647">
        <v>97.504118864311394</v>
      </c>
      <c r="AJ5647">
        <v>53.882731780730502</v>
      </c>
      <c r="AK5647">
        <v>8.49398439988882</v>
      </c>
      <c r="AL5647">
        <v>90.250734591632195</v>
      </c>
      <c r="AM5647">
        <v>79.073620607085701</v>
      </c>
      <c r="AN5647">
        <v>0.99999995315933699</v>
      </c>
    </row>
    <row r="5648" spans="1:40" x14ac:dyDescent="0.25">
      <c r="A5648" t="str">
        <f>"20190312154035369"</f>
        <v>20190312154035369</v>
      </c>
      <c r="B5648" t="str">
        <f>"1552376435361734"</f>
        <v>1552376435361734</v>
      </c>
      <c r="C5648" t="s">
        <v>40</v>
      </c>
      <c r="D5648">
        <v>4.3501560000000001</v>
      </c>
      <c r="E5648">
        <v>0.67528129999999997</v>
      </c>
      <c r="F5648" t="s">
        <v>55</v>
      </c>
      <c r="G5648">
        <v>-200.88839999999999</v>
      </c>
      <c r="H5648" s="1">
        <v>-1.182474E-5</v>
      </c>
      <c r="I5648">
        <v>148.86349999999999</v>
      </c>
      <c r="J5648">
        <v>-194.00700000000001</v>
      </c>
      <c r="K5648">
        <v>1.109278</v>
      </c>
      <c r="L5648">
        <v>153.9034</v>
      </c>
      <c r="M5648">
        <v>-0.30299999999999999</v>
      </c>
      <c r="N5648">
        <v>0</v>
      </c>
      <c r="O5648">
        <v>-0.95289809999999997</v>
      </c>
      <c r="P5648">
        <v>-0.47850700000000002</v>
      </c>
      <c r="Q5648">
        <v>-1.6307410000000001E-2</v>
      </c>
      <c r="R5648">
        <v>-0.87793259999999995</v>
      </c>
      <c r="S5648">
        <v>-2.6620029999999999</v>
      </c>
      <c r="T5648">
        <v>-0.42814999999999998</v>
      </c>
      <c r="U5648">
        <v>-1.9615940000000001</v>
      </c>
      <c r="V5648">
        <v>0.1899634</v>
      </c>
      <c r="W5648">
        <v>-3.7085360000000001E-3</v>
      </c>
      <c r="X5648">
        <v>0.9817842</v>
      </c>
      <c r="Y5648">
        <v>0.57992080000000001</v>
      </c>
      <c r="Z5648">
        <v>0.1349465</v>
      </c>
      <c r="AA5648">
        <v>0.80341850000000004</v>
      </c>
      <c r="AB5648">
        <v>9</v>
      </c>
      <c r="AC5648">
        <v>-6.8813999999999798</v>
      </c>
      <c r="AD5648">
        <v>-1.10928982473999</v>
      </c>
      <c r="AE5648">
        <v>-5.03990000000001</v>
      </c>
      <c r="AF5648">
        <v>4.9469565367945201</v>
      </c>
      <c r="AG5648">
        <v>-1.10928982473999</v>
      </c>
      <c r="AH5648">
        <v>6.7736171605192501</v>
      </c>
      <c r="AI5648">
        <v>97.533719205967202</v>
      </c>
      <c r="AJ5648">
        <v>53.858329638668899</v>
      </c>
      <c r="AK5648">
        <v>8.4607796525785108</v>
      </c>
      <c r="AL5648">
        <v>90.212483941449705</v>
      </c>
      <c r="AM5648">
        <v>79.049275835542602</v>
      </c>
      <c r="AN5648">
        <v>1.0000000309742301</v>
      </c>
    </row>
    <row r="5649" spans="1:40" x14ac:dyDescent="0.25">
      <c r="A5649" t="str">
        <f>"20190312154035380"</f>
        <v>20190312154035380</v>
      </c>
      <c r="B5649" t="str">
        <f>"1552376435371494"</f>
        <v>1552376435371494</v>
      </c>
      <c r="C5649" t="s">
        <v>40</v>
      </c>
      <c r="D5649">
        <v>4.3638219999999999</v>
      </c>
      <c r="E5649">
        <v>0.67532740000000002</v>
      </c>
      <c r="F5649" t="s">
        <v>55</v>
      </c>
      <c r="G5649">
        <v>-200.9299</v>
      </c>
      <c r="H5649" s="1">
        <v>-1.1795429999999999E-5</v>
      </c>
      <c r="I5649">
        <v>148.82689999999999</v>
      </c>
      <c r="J5649">
        <v>-194.02199999999999</v>
      </c>
      <c r="K5649">
        <v>1.109273</v>
      </c>
      <c r="L5649">
        <v>153.8631</v>
      </c>
      <c r="M5649">
        <v>-0.30465799999999998</v>
      </c>
      <c r="N5649">
        <v>0</v>
      </c>
      <c r="O5649">
        <v>-0.95236929999999997</v>
      </c>
      <c r="P5649">
        <v>-0.48012500000000002</v>
      </c>
      <c r="Q5649">
        <v>-1.5937299999999901E-2</v>
      </c>
      <c r="R5649">
        <v>-0.87705529999999998</v>
      </c>
      <c r="S5649">
        <v>-2.6668850000000002</v>
      </c>
      <c r="T5649">
        <v>-0.42732880000000001</v>
      </c>
      <c r="U5649">
        <v>-1.955597</v>
      </c>
      <c r="V5649">
        <v>0.1900638</v>
      </c>
      <c r="W5649">
        <v>-3.33994E-3</v>
      </c>
      <c r="X5649">
        <v>0.98176600000000003</v>
      </c>
      <c r="Y5649">
        <v>0.58041509999999996</v>
      </c>
      <c r="Z5649">
        <v>0.13469049999999999</v>
      </c>
      <c r="AA5649">
        <v>0.8031045</v>
      </c>
      <c r="AB5649">
        <v>9</v>
      </c>
      <c r="AC5649">
        <v>-6.9078999999999802</v>
      </c>
      <c r="AD5649">
        <v>-1.10928479543</v>
      </c>
      <c r="AE5649">
        <v>-5.0362</v>
      </c>
      <c r="AF5649">
        <v>4.9614600343556203</v>
      </c>
      <c r="AG5649">
        <v>-1.10928479543</v>
      </c>
      <c r="AH5649">
        <v>6.7871990346324003</v>
      </c>
      <c r="AI5649">
        <v>97.516391348074393</v>
      </c>
      <c r="AJ5649">
        <v>53.833099775992999</v>
      </c>
      <c r="AK5649">
        <v>8.4801337940857593</v>
      </c>
      <c r="AL5649">
        <v>90.191364832901598</v>
      </c>
      <c r="AM5649">
        <v>79.043429961981602</v>
      </c>
      <c r="AN5649">
        <v>0.99999994101281997</v>
      </c>
    </row>
    <row r="5650" spans="1:40" x14ac:dyDescent="0.25">
      <c r="A5650" t="str">
        <f>"20190312154035391"</f>
        <v>20190312154035391</v>
      </c>
      <c r="B5650" t="str">
        <f>"1552376435382232"</f>
        <v>1552376435382232</v>
      </c>
      <c r="C5650" t="s">
        <v>40</v>
      </c>
      <c r="D5650">
        <v>4.3193349999999997</v>
      </c>
      <c r="E5650">
        <v>0.67538750000000003</v>
      </c>
      <c r="F5650" t="s">
        <v>55</v>
      </c>
      <c r="G5650">
        <v>-200.95820000000001</v>
      </c>
      <c r="H5650" s="1">
        <v>-1.177386E-5</v>
      </c>
      <c r="I5650">
        <v>148.79660000000001</v>
      </c>
      <c r="J5650">
        <v>-194.03790000000001</v>
      </c>
      <c r="K5650">
        <v>1.1092709999999999</v>
      </c>
      <c r="L5650">
        <v>153.8203</v>
      </c>
      <c r="M5650">
        <v>-0.30642459999999999</v>
      </c>
      <c r="N5650">
        <v>0</v>
      </c>
      <c r="O5650">
        <v>-0.95180229999999999</v>
      </c>
      <c r="P5650">
        <v>-0.48165210000000003</v>
      </c>
      <c r="Q5650">
        <v>-1.5213910000000001E-2</v>
      </c>
      <c r="R5650">
        <v>-0.87623079999999998</v>
      </c>
      <c r="S5650">
        <v>-2.6707000000000001</v>
      </c>
      <c r="T5650">
        <v>-0.4271142</v>
      </c>
      <c r="U5650">
        <v>-1.95076</v>
      </c>
      <c r="V5650">
        <v>0.18995000000000001</v>
      </c>
      <c r="W5650">
        <v>-2.616808E-3</v>
      </c>
      <c r="X5650">
        <v>0.9817903</v>
      </c>
      <c r="Y5650">
        <v>0.58041450000000006</v>
      </c>
      <c r="Z5650">
        <v>0.13461589999999901</v>
      </c>
      <c r="AA5650">
        <v>0.80311739999999998</v>
      </c>
      <c r="AB5650">
        <v>9</v>
      </c>
      <c r="AC5650">
        <v>-6.9202999999999903</v>
      </c>
      <c r="AD5650">
        <v>-1.10928277386</v>
      </c>
      <c r="AE5650">
        <v>-5.0236999999999901</v>
      </c>
      <c r="AF5650">
        <v>4.9642845349435198</v>
      </c>
      <c r="AG5650">
        <v>-1.10928277386</v>
      </c>
      <c r="AH5650">
        <v>6.7884996690173498</v>
      </c>
      <c r="AI5650">
        <v>97.513977263850506</v>
      </c>
      <c r="AJ5650">
        <v>53.822794232045197</v>
      </c>
      <c r="AK5650">
        <v>8.4828271803986794</v>
      </c>
      <c r="AL5650">
        <v>90.149932222060698</v>
      </c>
      <c r="AM5650">
        <v>79.050096014984405</v>
      </c>
      <c r="AN5650">
        <v>1.0000000216790901</v>
      </c>
    </row>
    <row r="5651" spans="1:40" x14ac:dyDescent="0.25">
      <c r="A5651" t="str">
        <f>"20190312154035404"</f>
        <v>20190312154035404</v>
      </c>
      <c r="B5651" t="str">
        <f>"1552376435401749"</f>
        <v>1552376435401749</v>
      </c>
      <c r="C5651" t="s">
        <v>40</v>
      </c>
      <c r="D5651">
        <v>4.3608419999999999</v>
      </c>
      <c r="E5651">
        <v>0.67546949999999994</v>
      </c>
      <c r="F5651" t="s">
        <v>55</v>
      </c>
      <c r="G5651">
        <v>-200.96690000000001</v>
      </c>
      <c r="H5651" s="1">
        <v>-1.1764430000000001E-5</v>
      </c>
      <c r="I5651">
        <v>148.77789999999999</v>
      </c>
      <c r="J5651">
        <v>-194.05600000000001</v>
      </c>
      <c r="K5651">
        <v>1.109272</v>
      </c>
      <c r="L5651">
        <v>153.7723</v>
      </c>
      <c r="M5651">
        <v>-0.30842170000000002</v>
      </c>
      <c r="N5651">
        <v>0</v>
      </c>
      <c r="O5651">
        <v>-0.95115700000000003</v>
      </c>
      <c r="P5651">
        <v>-0.4835487</v>
      </c>
      <c r="Q5651">
        <v>-1.4955980000000001E-2</v>
      </c>
      <c r="R5651">
        <v>-0.87518969999999896</v>
      </c>
      <c r="S5651">
        <v>-2.674423</v>
      </c>
      <c r="T5651">
        <v>-0.42815579999999998</v>
      </c>
      <c r="U5651">
        <v>-1.9462429999999999</v>
      </c>
      <c r="V5651">
        <v>0.19001489999999999</v>
      </c>
      <c r="W5651">
        <v>-2.360053E-3</v>
      </c>
      <c r="X5651">
        <v>0.98177840000000005</v>
      </c>
      <c r="Y5651">
        <v>0.58009809999999995</v>
      </c>
      <c r="Z5651">
        <v>0.13491739999999999</v>
      </c>
      <c r="AA5651">
        <v>0.80329539999999999</v>
      </c>
      <c r="AB5651">
        <v>9</v>
      </c>
      <c r="AC5651">
        <v>-6.9109000000000202</v>
      </c>
      <c r="AD5651">
        <v>-1.10928376443</v>
      </c>
      <c r="AE5651">
        <v>-4.9944000000000104</v>
      </c>
      <c r="AF5651">
        <v>4.9496418708699901</v>
      </c>
      <c r="AG5651">
        <v>-1.10928376443</v>
      </c>
      <c r="AH5651">
        <v>6.7679902733004402</v>
      </c>
      <c r="AI5651">
        <v>97.536306159764294</v>
      </c>
      <c r="AJ5651">
        <v>53.820833813718998</v>
      </c>
      <c r="AK5651">
        <v>8.4578459113054691</v>
      </c>
      <c r="AL5651">
        <v>90.135221197880199</v>
      </c>
      <c r="AM5651">
        <v>79.046315696644996</v>
      </c>
      <c r="AN5651">
        <v>1.0000000293893601</v>
      </c>
    </row>
    <row r="5652" spans="1:40" x14ac:dyDescent="0.25">
      <c r="A5652" t="str">
        <f>"20190312154035419"</f>
        <v>20190312154035419</v>
      </c>
      <c r="B5652" t="str">
        <f>"1552376435411510"</f>
        <v>1552376435411510</v>
      </c>
      <c r="C5652" t="s">
        <v>40</v>
      </c>
      <c r="D5652">
        <v>4.4307919999999896</v>
      </c>
      <c r="E5652">
        <v>0.67557109999999998</v>
      </c>
      <c r="F5652" t="s">
        <v>55</v>
      </c>
      <c r="G5652">
        <v>-200.9597</v>
      </c>
      <c r="H5652" s="1">
        <v>-1.1766489999999999E-5</v>
      </c>
      <c r="I5652">
        <v>148.7741</v>
      </c>
      <c r="J5652">
        <v>-194.07570000000001</v>
      </c>
      <c r="K5652">
        <v>1.1092770000000001</v>
      </c>
      <c r="L5652">
        <v>153.7201</v>
      </c>
      <c r="M5652">
        <v>-0.310604299999999</v>
      </c>
      <c r="N5652">
        <v>0</v>
      </c>
      <c r="O5652">
        <v>-0.95044680000000004</v>
      </c>
      <c r="P5652">
        <v>-0.48546709999999899</v>
      </c>
      <c r="Q5652">
        <v>-1.461075E-2</v>
      </c>
      <c r="R5652">
        <v>-0.87413299999999905</v>
      </c>
      <c r="S5652">
        <v>-2.6795960000000001</v>
      </c>
      <c r="T5652">
        <v>-0.43055339999999998</v>
      </c>
      <c r="U5652">
        <v>-1.940002</v>
      </c>
      <c r="V5652">
        <v>0.18991359999999999</v>
      </c>
      <c r="W5652">
        <v>-2.01512E-3</v>
      </c>
      <c r="X5652">
        <v>0.98179879999999997</v>
      </c>
      <c r="Y5652">
        <v>0.58011979999999996</v>
      </c>
      <c r="Z5652">
        <v>0.1356415</v>
      </c>
      <c r="AA5652">
        <v>0.80315780000000003</v>
      </c>
      <c r="AB5652">
        <v>9</v>
      </c>
      <c r="AC5652">
        <v>-6.8839999999999799</v>
      </c>
      <c r="AD5652">
        <v>-1.10928876649</v>
      </c>
      <c r="AE5652">
        <v>-4.94599999999999</v>
      </c>
      <c r="AF5652">
        <v>4.9227614720565303</v>
      </c>
      <c r="AG5652">
        <v>-1.10928876649</v>
      </c>
      <c r="AH5652">
        <v>6.7245487312076699</v>
      </c>
      <c r="AI5652">
        <v>97.581863413336606</v>
      </c>
      <c r="AJ5652">
        <v>53.793698720779098</v>
      </c>
      <c r="AK5652">
        <v>8.4073573563047699</v>
      </c>
      <c r="AL5652">
        <v>90.115457942433494</v>
      </c>
      <c r="AM5652">
        <v>79.052236123652307</v>
      </c>
      <c r="AN5652">
        <v>1.0000000599275001</v>
      </c>
    </row>
    <row r="5653" spans="1:40" x14ac:dyDescent="0.25">
      <c r="A5653" t="str">
        <f>"20190312154035432"</f>
        <v>20190312154035432</v>
      </c>
      <c r="B5653" t="str">
        <f>"1552376435421270"</f>
        <v>1552376435421270</v>
      </c>
      <c r="C5653" t="s">
        <v>40</v>
      </c>
      <c r="D5653">
        <v>4.3710550000000001</v>
      </c>
      <c r="E5653">
        <v>0.67561599999999999</v>
      </c>
      <c r="F5653" t="s">
        <v>55</v>
      </c>
      <c r="G5653">
        <v>-201.01400000000001</v>
      </c>
      <c r="H5653" s="1">
        <v>-1.172701E-5</v>
      </c>
      <c r="I5653">
        <v>148.72219999999999</v>
      </c>
      <c r="J5653">
        <v>-194.0951</v>
      </c>
      <c r="K5653">
        <v>1.1092799999999901</v>
      </c>
      <c r="L5653">
        <v>153.66909999999999</v>
      </c>
      <c r="M5653">
        <v>-0.31275219999999998</v>
      </c>
      <c r="N5653">
        <v>0</v>
      </c>
      <c r="O5653">
        <v>-0.94974190000000003</v>
      </c>
      <c r="P5653">
        <v>-0.48744169999999998</v>
      </c>
      <c r="Q5653">
        <v>-1.439648E-2</v>
      </c>
      <c r="R5653">
        <v>-0.87303699999999995</v>
      </c>
      <c r="S5653">
        <v>-2.684647</v>
      </c>
      <c r="T5653">
        <v>-0.42922090000000002</v>
      </c>
      <c r="U5653">
        <v>-1.9338379999999999</v>
      </c>
      <c r="V5653">
        <v>0.18991259999999999</v>
      </c>
      <c r="W5653">
        <v>-1.801689E-3</v>
      </c>
      <c r="X5653">
        <v>0.98179939999999999</v>
      </c>
      <c r="Y5653">
        <v>0.58026699999999998</v>
      </c>
      <c r="Z5653">
        <v>0.13521140000000001</v>
      </c>
      <c r="AA5653">
        <v>0.80312399999999995</v>
      </c>
      <c r="AB5653">
        <v>9</v>
      </c>
      <c r="AC5653">
        <v>-6.9188999999999998</v>
      </c>
      <c r="AD5653">
        <v>-1.10929172700999</v>
      </c>
      <c r="AE5653">
        <v>-4.9468999999999896</v>
      </c>
      <c r="AF5653">
        <v>4.9404236971795497</v>
      </c>
      <c r="AG5653">
        <v>-1.10929172700999</v>
      </c>
      <c r="AH5653">
        <v>6.7480035804979099</v>
      </c>
      <c r="AI5653">
        <v>97.555575651237803</v>
      </c>
      <c r="AJ5653">
        <v>53.7909794571394</v>
      </c>
      <c r="AK5653">
        <v>8.4364605591254094</v>
      </c>
      <c r="AL5653">
        <v>90.103229226198295</v>
      </c>
      <c r="AM5653">
        <v>79.052298905550899</v>
      </c>
      <c r="AN5653">
        <v>1.00000005178118</v>
      </c>
    </row>
    <row r="5654" spans="1:40" x14ac:dyDescent="0.25">
      <c r="A5654" t="str">
        <f>"20190312154035448"</f>
        <v>20190312154035448</v>
      </c>
      <c r="B5654" t="str">
        <f>"1552376435441768"</f>
        <v>1552376435441768</v>
      </c>
      <c r="C5654" t="s">
        <v>40</v>
      </c>
      <c r="D5654">
        <v>4.3823699999999999</v>
      </c>
      <c r="E5654">
        <v>0.67568779999999995</v>
      </c>
      <c r="F5654" t="s">
        <v>55</v>
      </c>
      <c r="G5654">
        <v>-201.0582</v>
      </c>
      <c r="H5654" s="1">
        <v>-1.169436E-5</v>
      </c>
      <c r="I5654">
        <v>148.67840000000001</v>
      </c>
      <c r="J5654">
        <v>-194.11770000000001</v>
      </c>
      <c r="K5654">
        <v>1.1092839999999999</v>
      </c>
      <c r="L5654">
        <v>153.6104</v>
      </c>
      <c r="M5654">
        <v>-0.3152432</v>
      </c>
      <c r="N5654">
        <v>0</v>
      </c>
      <c r="O5654">
        <v>-0.94891789999999998</v>
      </c>
      <c r="P5654">
        <v>-0.48952190000000001</v>
      </c>
      <c r="Q5654">
        <v>-1.3644730000000001E-2</v>
      </c>
      <c r="R5654">
        <v>-0.87188399999999999</v>
      </c>
      <c r="S5654">
        <v>-2.6894230000000001</v>
      </c>
      <c r="T5654">
        <v>-0.4284541</v>
      </c>
      <c r="U5654">
        <v>-1.9276279999999999</v>
      </c>
      <c r="V5654">
        <v>0.18967539999999999</v>
      </c>
      <c r="W5654">
        <v>-1.0495000000000001E-3</v>
      </c>
      <c r="X5654">
        <v>0.98184629999999995</v>
      </c>
      <c r="Y5654">
        <v>0.58006939999999996</v>
      </c>
      <c r="Z5654">
        <v>0.13495579999999999</v>
      </c>
      <c r="AA5654">
        <v>0.80330970000000002</v>
      </c>
      <c r="AB5654">
        <v>9</v>
      </c>
      <c r="AC5654">
        <v>-6.9404999999999797</v>
      </c>
      <c r="AD5654">
        <v>-1.1092956943600001</v>
      </c>
      <c r="AE5654">
        <v>-4.93199999999998</v>
      </c>
      <c r="AF5654">
        <v>4.9476477467475002</v>
      </c>
      <c r="AG5654">
        <v>-1.1092956943600001</v>
      </c>
      <c r="AH5654">
        <v>6.7539725408471201</v>
      </c>
      <c r="AI5654">
        <v>97.547499075786803</v>
      </c>
      <c r="AJ5654">
        <v>53.775220328020701</v>
      </c>
      <c r="AK5654">
        <v>8.4454662539103307</v>
      </c>
      <c r="AL5654">
        <v>90.060131931167504</v>
      </c>
      <c r="AM5654">
        <v>79.066152465381194</v>
      </c>
      <c r="AN5654">
        <v>1.0000000078195499</v>
      </c>
    </row>
    <row r="5655" spans="1:40" x14ac:dyDescent="0.25">
      <c r="A5655" t="str">
        <f>"20190312154035461"</f>
        <v>20190312154035461</v>
      </c>
      <c r="B5655" t="str">
        <f>"1552376435451527"</f>
        <v>1552376435451527</v>
      </c>
      <c r="C5655" t="s">
        <v>40</v>
      </c>
      <c r="D5655">
        <v>4.3613819999999999</v>
      </c>
      <c r="E5655">
        <v>0.6757107</v>
      </c>
      <c r="F5655" t="s">
        <v>55</v>
      </c>
      <c r="G5655">
        <v>-201.12049999999999</v>
      </c>
      <c r="H5655" s="1">
        <v>-1.164883E-5</v>
      </c>
      <c r="I5655">
        <v>148.6183</v>
      </c>
      <c r="J5655">
        <v>-194.13659999999999</v>
      </c>
      <c r="K5655">
        <v>1.1092869999999999</v>
      </c>
      <c r="L5655">
        <v>153.5617</v>
      </c>
      <c r="M5655">
        <v>-0.3173184</v>
      </c>
      <c r="N5655">
        <v>0</v>
      </c>
      <c r="O5655">
        <v>-0.94822600000000001</v>
      </c>
      <c r="P5655">
        <v>-0.49121540000000002</v>
      </c>
      <c r="Q5655">
        <v>-1.311845E-2</v>
      </c>
      <c r="R5655">
        <v>-0.87093929999999997</v>
      </c>
      <c r="S5655">
        <v>-2.6948850000000002</v>
      </c>
      <c r="T5655">
        <v>-0.42689009999999999</v>
      </c>
      <c r="U5655">
        <v>-1.921127</v>
      </c>
      <c r="V5655">
        <v>0.1894342</v>
      </c>
      <c r="W5655">
        <v>-5.2260640000000003E-4</v>
      </c>
      <c r="X5655">
        <v>0.98189329999999997</v>
      </c>
      <c r="Y5655">
        <v>0.58040789999999998</v>
      </c>
      <c r="Z5655">
        <v>0.13445070000000001</v>
      </c>
      <c r="AA5655">
        <v>0.80314989999999997</v>
      </c>
      <c r="AB5655">
        <v>9</v>
      </c>
      <c r="AC5655">
        <v>-6.9839000000000002</v>
      </c>
      <c r="AD5655">
        <v>-1.1092986488299901</v>
      </c>
      <c r="AE5655">
        <v>-4.9433999999999898</v>
      </c>
      <c r="AF5655">
        <v>4.9705845389016599</v>
      </c>
      <c r="AG5655">
        <v>-1.1092986488299901</v>
      </c>
      <c r="AH5655">
        <v>6.79006273149633</v>
      </c>
      <c r="AI5655">
        <v>97.509686138299998</v>
      </c>
      <c r="AJ5655">
        <v>53.794451388399999</v>
      </c>
      <c r="AK5655">
        <v>8.4877680251241401</v>
      </c>
      <c r="AL5655">
        <v>90.029943141803201</v>
      </c>
      <c r="AM5655">
        <v>79.0802321145581</v>
      </c>
      <c r="AN5655">
        <v>1.0000000209159801</v>
      </c>
    </row>
    <row r="5656" spans="1:40" x14ac:dyDescent="0.25">
      <c r="A5656" t="str">
        <f>"20190312154035472"</f>
        <v>20190312154035472</v>
      </c>
      <c r="B5656" t="str">
        <f>"1552376435461286"</f>
        <v>1552376435461286</v>
      </c>
      <c r="C5656" t="s">
        <v>40</v>
      </c>
      <c r="D5656">
        <v>4.377732</v>
      </c>
      <c r="E5656">
        <v>0.67574499999999904</v>
      </c>
      <c r="F5656" t="s">
        <v>55</v>
      </c>
      <c r="G5656">
        <v>-201.17</v>
      </c>
      <c r="H5656" s="1">
        <v>-1.16121E-5</v>
      </c>
      <c r="I5656">
        <v>148.5686</v>
      </c>
      <c r="J5656">
        <v>-194.154</v>
      </c>
      <c r="K5656">
        <v>1.109289</v>
      </c>
      <c r="L5656">
        <v>153.5172</v>
      </c>
      <c r="M5656">
        <v>-0.31923210000000002</v>
      </c>
      <c r="N5656">
        <v>0</v>
      </c>
      <c r="O5656">
        <v>-0.94758330000000002</v>
      </c>
      <c r="P5656">
        <v>-0.49248609999999998</v>
      </c>
      <c r="Q5656">
        <v>-1.241926E-2</v>
      </c>
      <c r="R5656">
        <v>-0.87023189999999995</v>
      </c>
      <c r="S5656">
        <v>-2.6988530000000002</v>
      </c>
      <c r="T5656">
        <v>-0.42565760000000002</v>
      </c>
      <c r="U5656">
        <v>-1.9159550000000001</v>
      </c>
      <c r="V5656">
        <v>0.1888833</v>
      </c>
      <c r="W5656">
        <v>1.79116E-4</v>
      </c>
      <c r="X5656">
        <v>0.98199950000000003</v>
      </c>
      <c r="Y5656">
        <v>0.58039700000000005</v>
      </c>
      <c r="Z5656">
        <v>0.1340558</v>
      </c>
      <c r="AA5656">
        <v>0.80322369999999899</v>
      </c>
      <c r="AB5656">
        <v>9</v>
      </c>
      <c r="AC5656">
        <v>-7.01599999999996</v>
      </c>
      <c r="AD5656">
        <v>-1.1093006121</v>
      </c>
      <c r="AE5656">
        <v>-4.9485999999999901</v>
      </c>
      <c r="AF5656">
        <v>4.9857100542862698</v>
      </c>
      <c r="AG5656">
        <v>-1.1093006121</v>
      </c>
      <c r="AH5656">
        <v>6.8157744521958801</v>
      </c>
      <c r="AI5656">
        <v>97.483603404338595</v>
      </c>
      <c r="AJ5656">
        <v>53.814688407016099</v>
      </c>
      <c r="AK5656">
        <v>8.5171963683258305</v>
      </c>
      <c r="AL5656">
        <v>89.9897374088509</v>
      </c>
      <c r="AM5656">
        <v>79.112377513336</v>
      </c>
      <c r="AN5656">
        <v>0.99999997555083997</v>
      </c>
    </row>
    <row r="5657" spans="1:40" x14ac:dyDescent="0.25">
      <c r="A5657" t="str">
        <f>"20190312154035484"</f>
        <v>20190312154035484</v>
      </c>
      <c r="B5657" t="str">
        <f>"1552376435481782"</f>
        <v>1552376435481782</v>
      </c>
      <c r="C5657" t="s">
        <v>40</v>
      </c>
      <c r="D5657">
        <v>4.380026</v>
      </c>
      <c r="E5657">
        <v>0.67575560000000001</v>
      </c>
      <c r="F5657" t="s">
        <v>55</v>
      </c>
      <c r="G5657">
        <v>-201.22819999999999</v>
      </c>
      <c r="H5657" s="1">
        <v>-1.1569319999999999E-5</v>
      </c>
      <c r="I5657">
        <v>148.51150000000001</v>
      </c>
      <c r="J5657">
        <v>-194.1705</v>
      </c>
      <c r="K5657">
        <v>1.1092919999999999</v>
      </c>
      <c r="L5657">
        <v>153.4751</v>
      </c>
      <c r="M5657">
        <v>-0.32104640000000001</v>
      </c>
      <c r="N5657">
        <v>0</v>
      </c>
      <c r="O5657">
        <v>-0.94697030000000004</v>
      </c>
      <c r="P5657">
        <v>-0.49371959999999998</v>
      </c>
      <c r="Q5657">
        <v>-1.1369819999999999E-2</v>
      </c>
      <c r="R5657">
        <v>-0.86954709999999902</v>
      </c>
      <c r="S5657">
        <v>-2.7022249999999999</v>
      </c>
      <c r="T5657">
        <v>-0.42373169999999999</v>
      </c>
      <c r="U5657">
        <v>-1.912048</v>
      </c>
      <c r="V5657">
        <v>0.1883929</v>
      </c>
      <c r="W5657">
        <v>1.230065E-3</v>
      </c>
      <c r="X5657">
        <v>0.98209299999999999</v>
      </c>
      <c r="Y5657">
        <v>0.5801615</v>
      </c>
      <c r="Z5657">
        <v>0.13342860000000001</v>
      </c>
      <c r="AA5657">
        <v>0.80349820000000005</v>
      </c>
      <c r="AB5657">
        <v>9</v>
      </c>
      <c r="AC5657">
        <v>-7.0576999999999801</v>
      </c>
      <c r="AD5657">
        <v>-1.10930356932</v>
      </c>
      <c r="AE5657">
        <v>-4.96359999999998</v>
      </c>
      <c r="AF5657">
        <v>5.0075657364363897</v>
      </c>
      <c r="AG5657">
        <v>-1.10930356932</v>
      </c>
      <c r="AH5657">
        <v>6.8535634957736198</v>
      </c>
      <c r="AI5657">
        <v>97.445785069265796</v>
      </c>
      <c r="AJ5657">
        <v>53.846215931853898</v>
      </c>
      <c r="AK5657">
        <v>8.5602337353742008</v>
      </c>
      <c r="AL5657">
        <v>89.929522451261107</v>
      </c>
      <c r="AM5657">
        <v>79.1409814885928</v>
      </c>
      <c r="AN5657">
        <v>1.00000002923965</v>
      </c>
    </row>
    <row r="5658" spans="1:40" x14ac:dyDescent="0.25">
      <c r="A5658" t="str">
        <f>"20190312154035496"</f>
        <v>20190312154035496</v>
      </c>
      <c r="B5658" t="str">
        <f>"1552376435491542"</f>
        <v>1552376435491542</v>
      </c>
      <c r="C5658" t="s">
        <v>40</v>
      </c>
      <c r="D5658">
        <v>4.3705020000000001</v>
      </c>
      <c r="E5658">
        <v>0.67576979999999998</v>
      </c>
      <c r="F5658" t="s">
        <v>55</v>
      </c>
      <c r="G5658">
        <v>-201.2912</v>
      </c>
      <c r="H5658" s="1">
        <v>-1.1523649999999999E-5</v>
      </c>
      <c r="I5658">
        <v>148.45189999999999</v>
      </c>
      <c r="J5658">
        <v>-194.18860000000001</v>
      </c>
      <c r="K5658">
        <v>1.1092930000000001</v>
      </c>
      <c r="L5658">
        <v>153.42930000000001</v>
      </c>
      <c r="M5658">
        <v>-0.32302930000000002</v>
      </c>
      <c r="N5658">
        <v>0</v>
      </c>
      <c r="O5658">
        <v>-0.94629569999999996</v>
      </c>
      <c r="P5658">
        <v>-0.49514760000000002</v>
      </c>
      <c r="Q5658">
        <v>-1.054125E-2</v>
      </c>
      <c r="R5658">
        <v>-0.86874479999999998</v>
      </c>
      <c r="S5658">
        <v>-2.7053989999999999</v>
      </c>
      <c r="T5658">
        <v>-0.42146149999999999</v>
      </c>
      <c r="U5658">
        <v>-1.908463</v>
      </c>
      <c r="V5658">
        <v>0.18794820000000001</v>
      </c>
      <c r="W5658">
        <v>2.0602369999999999E-3</v>
      </c>
      <c r="X5658">
        <v>0.98217679999999996</v>
      </c>
      <c r="Y5658">
        <v>0.57970129999999997</v>
      </c>
      <c r="Z5658">
        <v>0.13268629999999901</v>
      </c>
      <c r="AA5658">
        <v>0.80395319999999904</v>
      </c>
      <c r="AB5658">
        <v>9</v>
      </c>
      <c r="AC5658">
        <v>-7.10259999999999</v>
      </c>
      <c r="AD5658">
        <v>-1.1093045236499901</v>
      </c>
      <c r="AE5658">
        <v>-4.97740000000001</v>
      </c>
      <c r="AF5658">
        <v>5.0314549844800203</v>
      </c>
      <c r="AG5658">
        <v>-1.1093045236499901</v>
      </c>
      <c r="AH5658">
        <v>6.8923063484348202</v>
      </c>
      <c r="AI5658">
        <v>97.406639008816498</v>
      </c>
      <c r="AJ5658">
        <v>53.870168922825698</v>
      </c>
      <c r="AK5658">
        <v>8.6052299555394907</v>
      </c>
      <c r="AL5658">
        <v>89.881957033775095</v>
      </c>
      <c r="AM5658">
        <v>79.166909282915896</v>
      </c>
      <c r="AN5658">
        <v>1.0000000184589799</v>
      </c>
    </row>
    <row r="5659" spans="1:40" x14ac:dyDescent="0.25">
      <c r="A5659" t="str">
        <f>"20190312154035508"</f>
        <v>20190312154035508</v>
      </c>
      <c r="B5659" t="str">
        <f>"1552376435501303"</f>
        <v>1552376435501303</v>
      </c>
      <c r="C5659" t="s">
        <v>40</v>
      </c>
      <c r="D5659">
        <v>4.3576800000000002</v>
      </c>
      <c r="E5659">
        <v>0.67577710000000002</v>
      </c>
      <c r="F5659" t="s">
        <v>55</v>
      </c>
      <c r="G5659">
        <v>-201.36279999999999</v>
      </c>
      <c r="H5659" s="1">
        <v>-1.14724E-5</v>
      </c>
      <c r="I5659">
        <v>148.38640000000001</v>
      </c>
      <c r="J5659">
        <v>-194.20490000000001</v>
      </c>
      <c r="K5659">
        <v>1.1092930000000001</v>
      </c>
      <c r="L5659">
        <v>153.38829999999999</v>
      </c>
      <c r="M5659">
        <v>-0.32481599999999999</v>
      </c>
      <c r="N5659">
        <v>0</v>
      </c>
      <c r="O5659">
        <v>-0.94568399999999997</v>
      </c>
      <c r="P5659">
        <v>-0.49653310000000001</v>
      </c>
      <c r="Q5659">
        <v>-9.5527749999999995E-3</v>
      </c>
      <c r="R5659">
        <v>-0.86796530000000005</v>
      </c>
      <c r="S5659">
        <v>-2.7089690000000002</v>
      </c>
      <c r="T5659">
        <v>-0.41887069999999998</v>
      </c>
      <c r="U5659">
        <v>-1.904175</v>
      </c>
      <c r="V5659">
        <v>0.18765879999999999</v>
      </c>
      <c r="W5659">
        <v>3.0496719999999998E-3</v>
      </c>
      <c r="X5659">
        <v>0.98222949999999998</v>
      </c>
      <c r="Y5659">
        <v>0.57961229999999997</v>
      </c>
      <c r="Z5659">
        <v>0.13185749999999999</v>
      </c>
      <c r="AA5659">
        <v>0.80415369999999997</v>
      </c>
      <c r="AB5659">
        <v>9</v>
      </c>
      <c r="AC5659">
        <v>-7.1578999999999802</v>
      </c>
      <c r="AD5659">
        <v>-1.1093044723999901</v>
      </c>
      <c r="AE5659">
        <v>-5.0018999999999698</v>
      </c>
      <c r="AF5659">
        <v>5.0631613034618104</v>
      </c>
      <c r="AG5659">
        <v>-1.1093044723999901</v>
      </c>
      <c r="AH5659">
        <v>6.9437841695709199</v>
      </c>
      <c r="AI5659">
        <v>97.355261554814504</v>
      </c>
      <c r="AJ5659">
        <v>53.901794973332102</v>
      </c>
      <c r="AK5659">
        <v>8.6650041772028903</v>
      </c>
      <c r="AL5659">
        <v>89.825266387343405</v>
      </c>
      <c r="AM5659">
        <v>79.183762769956701</v>
      </c>
      <c r="AN5659">
        <v>0.99999995819349796</v>
      </c>
    </row>
    <row r="5660" spans="1:40" x14ac:dyDescent="0.25">
      <c r="A5660" t="str">
        <f>"20190312154035519"</f>
        <v>20190312154035519</v>
      </c>
      <c r="B5660" t="str">
        <f>"1552376435512038"</f>
        <v>1552376435512038</v>
      </c>
      <c r="C5660" t="s">
        <v>40</v>
      </c>
      <c r="D5660">
        <v>4.3601510000000001</v>
      </c>
      <c r="E5660">
        <v>0.67577690000000001</v>
      </c>
      <c r="F5660" t="s">
        <v>55</v>
      </c>
      <c r="G5660">
        <v>-201.43260000000001</v>
      </c>
      <c r="H5660" s="1">
        <v>-1.142314E-5</v>
      </c>
      <c r="I5660">
        <v>148.32490000000001</v>
      </c>
      <c r="J5660">
        <v>-194.22319999999999</v>
      </c>
      <c r="K5660">
        <v>1.109297</v>
      </c>
      <c r="L5660">
        <v>153.34270000000001</v>
      </c>
      <c r="M5660">
        <v>-0.32680799999999999</v>
      </c>
      <c r="N5660">
        <v>0</v>
      </c>
      <c r="O5660">
        <v>-0.94499739999999999</v>
      </c>
      <c r="P5660">
        <v>-0.49766660000000001</v>
      </c>
      <c r="Q5660">
        <v>-8.0303509999999998E-3</v>
      </c>
      <c r="R5660">
        <v>-0.86733169999999904</v>
      </c>
      <c r="S5660">
        <v>-2.7123569999999999</v>
      </c>
      <c r="T5660">
        <v>-0.4162901</v>
      </c>
      <c r="U5660">
        <v>-1.9001459999999999</v>
      </c>
      <c r="V5660">
        <v>0.1868708</v>
      </c>
      <c r="W5660">
        <v>4.5760159999999996E-3</v>
      </c>
      <c r="X5660">
        <v>0.98237379999999996</v>
      </c>
      <c r="Y5660">
        <v>0.57926829999999996</v>
      </c>
      <c r="Z5660">
        <v>0.13102349999999999</v>
      </c>
      <c r="AA5660">
        <v>0.80453779999999997</v>
      </c>
      <c r="AB5660">
        <v>9</v>
      </c>
      <c r="AC5660">
        <v>-7.2094000000000102</v>
      </c>
      <c r="AD5660">
        <v>-1.1093084231400001</v>
      </c>
      <c r="AE5660">
        <v>-5.0177999999999896</v>
      </c>
      <c r="AF5660">
        <v>5.09224467391254</v>
      </c>
      <c r="AG5660">
        <v>-1.1093084231400001</v>
      </c>
      <c r="AH5660">
        <v>6.9870832338501803</v>
      </c>
      <c r="AI5660">
        <v>97.311427375644399</v>
      </c>
      <c r="AJ5660">
        <v>53.9151215086044</v>
      </c>
      <c r="AK5660">
        <v>8.7166996686469709</v>
      </c>
      <c r="AL5660">
        <v>89.737812670527305</v>
      </c>
      <c r="AM5660">
        <v>79.229661747142899</v>
      </c>
      <c r="AN5660">
        <v>0.99999995937075503</v>
      </c>
    </row>
    <row r="5661" spans="1:40" x14ac:dyDescent="0.25">
      <c r="A5661" t="str">
        <f>"20190312154035536"</f>
        <v>20190312154035536</v>
      </c>
      <c r="B5661" t="str">
        <f>"1552376435531559"</f>
        <v>1552376435531559</v>
      </c>
      <c r="C5661" t="s">
        <v>40</v>
      </c>
      <c r="D5661">
        <v>4.3564030000000002</v>
      </c>
      <c r="E5661">
        <v>0.67576879999999995</v>
      </c>
      <c r="F5661" t="s">
        <v>55</v>
      </c>
      <c r="G5661">
        <v>-201.53749999999999</v>
      </c>
      <c r="H5661" s="1">
        <v>-1.134908E-5</v>
      </c>
      <c r="I5661">
        <v>148.23230000000001</v>
      </c>
      <c r="J5661">
        <v>-194.2483</v>
      </c>
      <c r="K5661">
        <v>1.1093</v>
      </c>
      <c r="L5661">
        <v>153.28049999999999</v>
      </c>
      <c r="M5661">
        <v>-0.32954430000000001</v>
      </c>
      <c r="N5661">
        <v>0</v>
      </c>
      <c r="O5661">
        <v>-0.94404670000000002</v>
      </c>
      <c r="P5661">
        <v>-0.49923380000000001</v>
      </c>
      <c r="Q5661">
        <v>-6.9081960000000001E-3</v>
      </c>
      <c r="R5661">
        <v>-0.86643969999999904</v>
      </c>
      <c r="S5661">
        <v>-2.7152250000000002</v>
      </c>
      <c r="T5661">
        <v>-0.4117961</v>
      </c>
      <c r="U5661">
        <v>-1.897095</v>
      </c>
      <c r="V5661">
        <v>0.1858004</v>
      </c>
      <c r="W5661">
        <v>5.7022899999999996E-3</v>
      </c>
      <c r="X5661">
        <v>0.98257090000000002</v>
      </c>
      <c r="Y5661">
        <v>0.57808349999999997</v>
      </c>
      <c r="Z5661">
        <v>0.1295636</v>
      </c>
      <c r="AA5661">
        <v>0.8056257</v>
      </c>
      <c r="AB5661">
        <v>9</v>
      </c>
      <c r="AC5661">
        <v>-7.2891999999999904</v>
      </c>
      <c r="AD5661">
        <v>-1.10931134908</v>
      </c>
      <c r="AE5661">
        <v>-5.04819999999998</v>
      </c>
      <c r="AF5661">
        <v>5.1377793074541698</v>
      </c>
      <c r="AG5661">
        <v>-1.10931134908</v>
      </c>
      <c r="AH5661">
        <v>7.05800560524857</v>
      </c>
      <c r="AI5661">
        <v>97.241733072727897</v>
      </c>
      <c r="AJ5661">
        <v>53.947763021977003</v>
      </c>
      <c r="AK5661">
        <v>8.8001585784019891</v>
      </c>
      <c r="AL5661">
        <v>89.673281058934606</v>
      </c>
      <c r="AM5661">
        <v>79.292022162230396</v>
      </c>
      <c r="AN5661">
        <v>0.99999993913910501</v>
      </c>
    </row>
    <row r="5662" spans="1:40" x14ac:dyDescent="0.25">
      <c r="A5662" t="str">
        <f>"20190312154035548"</f>
        <v>20190312154035548</v>
      </c>
      <c r="B5662" t="str">
        <f>"1552376435541318"</f>
        <v>1552376435541318</v>
      </c>
      <c r="C5662" t="s">
        <v>40</v>
      </c>
      <c r="D5662">
        <v>4.403219</v>
      </c>
      <c r="E5662">
        <v>0.67577310000000002</v>
      </c>
      <c r="F5662" t="s">
        <v>55</v>
      </c>
      <c r="G5662">
        <v>-201.62309999999999</v>
      </c>
      <c r="H5662" s="1">
        <v>-1.128573E-5</v>
      </c>
      <c r="I5662">
        <v>148.14699999999999</v>
      </c>
      <c r="J5662">
        <v>-194.26499999999999</v>
      </c>
      <c r="K5662">
        <v>1.1093010000000001</v>
      </c>
      <c r="L5662">
        <v>153.23939999999999</v>
      </c>
      <c r="M5662">
        <v>-0.33136209999999899</v>
      </c>
      <c r="N5662">
        <v>0</v>
      </c>
      <c r="O5662">
        <v>-0.94341019999999998</v>
      </c>
      <c r="P5662">
        <v>-0.50064220000000004</v>
      </c>
      <c r="Q5662">
        <v>-6.9373830000000001E-3</v>
      </c>
      <c r="R5662">
        <v>-0.86562680000000003</v>
      </c>
      <c r="S5662">
        <v>-2.7189030000000001</v>
      </c>
      <c r="T5662">
        <v>-0.40897129999999998</v>
      </c>
      <c r="U5662">
        <v>-1.8925780000000001</v>
      </c>
      <c r="V5662">
        <v>0.18550559999999999</v>
      </c>
      <c r="W5662">
        <v>5.6746339999999996E-3</v>
      </c>
      <c r="X5662">
        <v>0.98262680000000002</v>
      </c>
      <c r="Y5662">
        <v>0.57802969999999998</v>
      </c>
      <c r="Z5662">
        <v>0.12866230000000001</v>
      </c>
      <c r="AA5662">
        <v>0.80580869999999905</v>
      </c>
      <c r="AB5662">
        <v>9</v>
      </c>
      <c r="AC5662">
        <v>-7.3581000000000003</v>
      </c>
      <c r="AD5662">
        <v>-1.10931228573</v>
      </c>
      <c r="AE5662">
        <v>-5.0923999999999596</v>
      </c>
      <c r="AF5662">
        <v>5.1752093799741896</v>
      </c>
      <c r="AG5662">
        <v>-1.10931228573</v>
      </c>
      <c r="AH5662">
        <v>7.1334302583779099</v>
      </c>
      <c r="AI5662">
        <v>97.174235349589907</v>
      </c>
      <c r="AJ5662">
        <v>54.039610871114</v>
      </c>
      <c r="AK5662">
        <v>8.8825217773437508</v>
      </c>
      <c r="AL5662">
        <v>89.674865669574302</v>
      </c>
      <c r="AM5662">
        <v>79.309214212500393</v>
      </c>
      <c r="AN5662">
        <v>0.99999997859031597</v>
      </c>
    </row>
    <row r="5663" spans="1:40" x14ac:dyDescent="0.25">
      <c r="A5663" t="str">
        <f>"20190312154035559"</f>
        <v>20190312154035559</v>
      </c>
      <c r="B5663" t="str">
        <f>"1552376435552054"</f>
        <v>1552376435552054</v>
      </c>
      <c r="C5663" t="s">
        <v>40</v>
      </c>
      <c r="D5663">
        <v>4.3577260000000004</v>
      </c>
      <c r="E5663">
        <v>0.67575730000000001</v>
      </c>
      <c r="F5663" t="s">
        <v>55</v>
      </c>
      <c r="G5663">
        <v>-201.63290000000001</v>
      </c>
      <c r="H5663" s="1">
        <v>-1.12760199999999E-5</v>
      </c>
      <c r="I5663">
        <v>148.12899999999999</v>
      </c>
      <c r="J5663">
        <v>-194.28319999999999</v>
      </c>
      <c r="K5663">
        <v>1.1093</v>
      </c>
      <c r="L5663">
        <v>153.19489999999999</v>
      </c>
      <c r="M5663">
        <v>-0.33333590000000002</v>
      </c>
      <c r="N5663">
        <v>0</v>
      </c>
      <c r="O5663">
        <v>-0.94271459999999996</v>
      </c>
      <c r="P5663">
        <v>-0.50183459999999902</v>
      </c>
      <c r="Q5663">
        <v>-7.232095E-3</v>
      </c>
      <c r="R5663">
        <v>-0.86493349999999902</v>
      </c>
      <c r="S5663">
        <v>-2.7221069999999998</v>
      </c>
      <c r="T5663">
        <v>-0.40983809999999898</v>
      </c>
      <c r="U5663">
        <v>-1.888077</v>
      </c>
      <c r="V5663">
        <v>0.1848031</v>
      </c>
      <c r="W5663">
        <v>5.3837679999999997E-3</v>
      </c>
      <c r="X5663">
        <v>0.98276079999999999</v>
      </c>
      <c r="Y5663">
        <v>0.57764510000000002</v>
      </c>
      <c r="Z5663">
        <v>0.12891130000000001</v>
      </c>
      <c r="AA5663">
        <v>0.80604469999999995</v>
      </c>
      <c r="AB5663">
        <v>9</v>
      </c>
      <c r="AC5663">
        <v>-7.3497000000000101</v>
      </c>
      <c r="AD5663">
        <v>-1.1093112760199999</v>
      </c>
      <c r="AE5663">
        <v>-5.0658999999999903</v>
      </c>
      <c r="AF5663">
        <v>5.1607839887766902</v>
      </c>
      <c r="AG5663">
        <v>-1.1093112760199999</v>
      </c>
      <c r="AH5663">
        <v>7.11635161296938</v>
      </c>
      <c r="AI5663">
        <v>97.192233641764105</v>
      </c>
      <c r="AJ5663">
        <v>54.050347122306398</v>
      </c>
      <c r="AK5663">
        <v>8.8604019753807393</v>
      </c>
      <c r="AL5663">
        <v>89.691531319496903</v>
      </c>
      <c r="AM5663">
        <v>79.350190724319006</v>
      </c>
      <c r="AN5663">
        <v>0.99999998037206295</v>
      </c>
    </row>
    <row r="5664" spans="1:40" x14ac:dyDescent="0.25">
      <c r="A5664" t="str">
        <f>"20190312154035571"</f>
        <v>20190312154035571</v>
      </c>
      <c r="B5664" t="str">
        <f>"1552376435561814"</f>
        <v>1552376435561814</v>
      </c>
      <c r="C5664" t="s">
        <v>40</v>
      </c>
      <c r="D5664">
        <v>4.3834239999999998</v>
      </c>
      <c r="E5664">
        <v>0.67576899999999995</v>
      </c>
      <c r="F5664" t="s">
        <v>55</v>
      </c>
      <c r="G5664">
        <v>-201.6225</v>
      </c>
      <c r="H5664" s="1">
        <v>-1.1278040000000001E-5</v>
      </c>
      <c r="I5664">
        <v>148.12020000000001</v>
      </c>
      <c r="J5664">
        <v>-194.30090000000001</v>
      </c>
      <c r="K5664">
        <v>1.109302</v>
      </c>
      <c r="L5664">
        <v>153.15199999999999</v>
      </c>
      <c r="M5664">
        <v>-0.33524789999999999</v>
      </c>
      <c r="N5664">
        <v>0</v>
      </c>
      <c r="O5664">
        <v>-0.94203650000000005</v>
      </c>
      <c r="P5664">
        <v>-0.50329990000000002</v>
      </c>
      <c r="Q5664">
        <v>-7.3895580000000001E-3</v>
      </c>
      <c r="R5664">
        <v>-0.86408069999999904</v>
      </c>
      <c r="S5664">
        <v>-2.7248380000000001</v>
      </c>
      <c r="T5664">
        <v>-0.41184929999999997</v>
      </c>
      <c r="U5664">
        <v>-1.8840479999999999</v>
      </c>
      <c r="V5664">
        <v>0.184475</v>
      </c>
      <c r="W5664">
        <v>5.2283219999999997E-3</v>
      </c>
      <c r="X5664">
        <v>0.98282329999999996</v>
      </c>
      <c r="Y5664">
        <v>0.57711279999999998</v>
      </c>
      <c r="Z5664">
        <v>0.12951499999999999</v>
      </c>
      <c r="AA5664">
        <v>0.80632919999999997</v>
      </c>
      <c r="AB5664">
        <v>9</v>
      </c>
      <c r="AC5664">
        <v>-7.3215999999999797</v>
      </c>
      <c r="AD5664">
        <v>-1.1093132780399999</v>
      </c>
      <c r="AE5664">
        <v>-5.0317999999999996</v>
      </c>
      <c r="AF5664">
        <v>5.1307750900639402</v>
      </c>
      <c r="AG5664">
        <v>-1.1093132780399999</v>
      </c>
      <c r="AH5664">
        <v>7.08485847605444</v>
      </c>
      <c r="AI5664">
        <v>97.227317803422395</v>
      </c>
      <c r="AJ5664">
        <v>54.088365346399797</v>
      </c>
      <c r="AK5664">
        <v>8.8176328228939607</v>
      </c>
      <c r="AL5664">
        <v>89.700437850681098</v>
      </c>
      <c r="AM5664">
        <v>79.369327711234305</v>
      </c>
      <c r="AN5664">
        <v>0.99999999999941203</v>
      </c>
    </row>
    <row r="5665" spans="1:40" x14ac:dyDescent="0.25">
      <c r="A5665" t="str">
        <f>"20190312154035583"</f>
        <v>20190312154035583</v>
      </c>
      <c r="B5665" t="str">
        <f>"1552376435571575"</f>
        <v>1552376435571575</v>
      </c>
      <c r="C5665" t="s">
        <v>40</v>
      </c>
      <c r="D5665">
        <v>4.4061370000000002</v>
      </c>
      <c r="E5665">
        <v>0.6757725</v>
      </c>
      <c r="F5665" t="s">
        <v>55</v>
      </c>
      <c r="G5665">
        <v>-201.64080000000001</v>
      </c>
      <c r="H5665" s="1">
        <v>-1.126263E-5</v>
      </c>
      <c r="I5665">
        <v>148.09559999999999</v>
      </c>
      <c r="J5665">
        <v>-194.31800000000001</v>
      </c>
      <c r="K5665">
        <v>1.1093059999999999</v>
      </c>
      <c r="L5665">
        <v>153.11070000000001</v>
      </c>
      <c r="M5665">
        <v>-0.33709040000000001</v>
      </c>
      <c r="N5665">
        <v>0</v>
      </c>
      <c r="O5665">
        <v>-0.94137870000000001</v>
      </c>
      <c r="P5665">
        <v>-0.5045077</v>
      </c>
      <c r="Q5665">
        <v>-7.5204989999999999E-3</v>
      </c>
      <c r="R5665">
        <v>-0.86337450000000004</v>
      </c>
      <c r="S5665">
        <v>-2.7280880000000001</v>
      </c>
      <c r="T5665">
        <v>-0.41231020000000002</v>
      </c>
      <c r="U5665">
        <v>-1.8793489999999999</v>
      </c>
      <c r="V5665">
        <v>0.18392639999999999</v>
      </c>
      <c r="W5665">
        <v>5.1010070000000003E-3</v>
      </c>
      <c r="X5665">
        <v>0.98292679999999999</v>
      </c>
      <c r="Y5665">
        <v>0.57689769999999996</v>
      </c>
      <c r="Z5665">
        <v>0.12964389999999901</v>
      </c>
      <c r="AA5665">
        <v>0.80646229999999997</v>
      </c>
      <c r="AB5665">
        <v>9</v>
      </c>
      <c r="AC5665">
        <v>-7.3228000000000204</v>
      </c>
      <c r="AD5665">
        <v>-1.1093172626300001</v>
      </c>
      <c r="AE5665">
        <v>-5.0151000000000101</v>
      </c>
      <c r="AF5665">
        <v>5.1234085588634599</v>
      </c>
      <c r="AG5665">
        <v>-1.1093172626300001</v>
      </c>
      <c r="AH5665">
        <v>7.0795929178787897</v>
      </c>
      <c r="AI5665">
        <v>97.234368263802295</v>
      </c>
      <c r="AJ5665">
        <v>54.107233675892303</v>
      </c>
      <c r="AK5665">
        <v>8.8091166375002601</v>
      </c>
      <c r="AL5665">
        <v>89.7077325652659</v>
      </c>
      <c r="AM5665">
        <v>79.401315081942798</v>
      </c>
      <c r="AN5665">
        <v>1.0000000175238</v>
      </c>
    </row>
    <row r="5666" spans="1:40" x14ac:dyDescent="0.25">
      <c r="A5666" t="str">
        <f>"20190312154035594"</f>
        <v>20190312154035594</v>
      </c>
      <c r="B5666" t="str">
        <f>"1552376435592070"</f>
        <v>1552376435592070</v>
      </c>
      <c r="C5666" t="s">
        <v>40</v>
      </c>
      <c r="D5666">
        <v>4.3857799999999996</v>
      </c>
      <c r="E5666">
        <v>0.67579369999999905</v>
      </c>
      <c r="F5666" t="s">
        <v>55</v>
      </c>
      <c r="G5666">
        <v>-201.66329999999999</v>
      </c>
      <c r="H5666" s="1">
        <v>-1.124427E-5</v>
      </c>
      <c r="I5666">
        <v>148.0675</v>
      </c>
      <c r="J5666">
        <v>-194.33539999999999</v>
      </c>
      <c r="K5666">
        <v>1.10931</v>
      </c>
      <c r="L5666">
        <v>153.06890000000001</v>
      </c>
      <c r="M5666">
        <v>-0.33895979999999998</v>
      </c>
      <c r="N5666">
        <v>0</v>
      </c>
      <c r="O5666">
        <v>-0.94070719999999997</v>
      </c>
      <c r="P5666">
        <v>-0.50570090000000001</v>
      </c>
      <c r="Q5666">
        <v>-7.3136809999999998E-3</v>
      </c>
      <c r="R5666">
        <v>-0.86267799999999994</v>
      </c>
      <c r="S5666">
        <v>-2.7311709999999998</v>
      </c>
      <c r="T5666">
        <v>-0.41247289999999998</v>
      </c>
      <c r="U5666">
        <v>-1.875183</v>
      </c>
      <c r="V5666">
        <v>0.18333250000000001</v>
      </c>
      <c r="W5666">
        <v>5.3112899999999998E-3</v>
      </c>
      <c r="X5666">
        <v>0.98303660000000004</v>
      </c>
      <c r="Y5666">
        <v>0.57653940000000004</v>
      </c>
      <c r="Z5666">
        <v>0.1296688</v>
      </c>
      <c r="AA5666">
        <v>0.8067145</v>
      </c>
      <c r="AB5666">
        <v>9</v>
      </c>
      <c r="AC5666">
        <v>-7.3278999999999996</v>
      </c>
      <c r="AD5666">
        <v>-1.10932124427</v>
      </c>
      <c r="AE5666">
        <v>-5.0014000000000101</v>
      </c>
      <c r="AF5666">
        <v>5.1185685669006196</v>
      </c>
      <c r="AG5666">
        <v>-1.10932124427</v>
      </c>
      <c r="AH5666">
        <v>7.0786811320870999</v>
      </c>
      <c r="AI5666">
        <v>97.237323711159704</v>
      </c>
      <c r="AJ5666">
        <v>54.129445153092</v>
      </c>
      <c r="AK5666">
        <v>8.8055700761970908</v>
      </c>
      <c r="AL5666">
        <v>89.695684064221197</v>
      </c>
      <c r="AM5666">
        <v>79.435920114532905</v>
      </c>
      <c r="AN5666">
        <v>0.99999998614863705</v>
      </c>
    </row>
    <row r="5667" spans="1:40" x14ac:dyDescent="0.25">
      <c r="A5667" t="str">
        <f>"20190312154035607"</f>
        <v>20190312154035607</v>
      </c>
      <c r="B5667" t="str">
        <f>"1552376435601831"</f>
        <v>1552376435601831</v>
      </c>
      <c r="C5667" t="s">
        <v>40</v>
      </c>
      <c r="D5667">
        <v>4.4081440000000001</v>
      </c>
      <c r="E5667">
        <v>0.67581869999999999</v>
      </c>
      <c r="F5667" t="s">
        <v>55</v>
      </c>
      <c r="G5667">
        <v>-201.6842</v>
      </c>
      <c r="H5667" s="1">
        <v>-1.12266899999999E-5</v>
      </c>
      <c r="I5667">
        <v>148.03960000000001</v>
      </c>
      <c r="J5667">
        <v>-194.35480000000001</v>
      </c>
      <c r="K5667">
        <v>1.1093150000000001</v>
      </c>
      <c r="L5667">
        <v>153.02279999999999</v>
      </c>
      <c r="M5667">
        <v>-0.34102959999999999</v>
      </c>
      <c r="N5667">
        <v>0</v>
      </c>
      <c r="O5667">
        <v>-0.93995879999999998</v>
      </c>
      <c r="P5667">
        <v>-0.50739880000000004</v>
      </c>
      <c r="Q5667">
        <v>-6.8688990000000004E-3</v>
      </c>
      <c r="R5667">
        <v>-0.86168409999999995</v>
      </c>
      <c r="S5667">
        <v>-2.7342529999999998</v>
      </c>
      <c r="T5667">
        <v>-0.41274179999999999</v>
      </c>
      <c r="U5667">
        <v>-1.8712310000000001</v>
      </c>
      <c r="V5667">
        <v>0.1831045</v>
      </c>
      <c r="W5667">
        <v>5.7580790000000001E-3</v>
      </c>
      <c r="X5667">
        <v>0.98307659999999997</v>
      </c>
      <c r="Y5667">
        <v>0.57596059999999905</v>
      </c>
      <c r="Z5667">
        <v>0.12971359999999901</v>
      </c>
      <c r="AA5667">
        <v>0.80712069999999903</v>
      </c>
      <c r="AB5667">
        <v>9</v>
      </c>
      <c r="AC5667">
        <v>-7.3293999999999899</v>
      </c>
      <c r="AD5667">
        <v>-1.1093262266899999</v>
      </c>
      <c r="AE5667">
        <v>-4.9831999999999796</v>
      </c>
      <c r="AF5667">
        <v>5.11031440989073</v>
      </c>
      <c r="AG5667">
        <v>-1.1093262266899999</v>
      </c>
      <c r="AH5667">
        <v>7.07336660395368</v>
      </c>
      <c r="AI5667">
        <v>97.244857855934001</v>
      </c>
      <c r="AJ5667">
        <v>54.152915715366099</v>
      </c>
      <c r="AK5667">
        <v>8.7965011884888895</v>
      </c>
      <c r="AL5667">
        <v>89.6700845545476</v>
      </c>
      <c r="AM5667">
        <v>79.449182526211601</v>
      </c>
      <c r="AN5667">
        <v>1.00000000743079</v>
      </c>
    </row>
    <row r="5668" spans="1:40" x14ac:dyDescent="0.25">
      <c r="A5668" t="str">
        <f>"20190312154035621"</f>
        <v>20190312154035621</v>
      </c>
      <c r="B5668" t="str">
        <f>"1552376435611592"</f>
        <v>1552376435611592</v>
      </c>
      <c r="C5668" t="s">
        <v>40</v>
      </c>
      <c r="D5668">
        <v>4.376093</v>
      </c>
      <c r="E5668">
        <v>0.67581759999999902</v>
      </c>
      <c r="F5668" t="s">
        <v>55</v>
      </c>
      <c r="G5668">
        <v>-201.73150000000001</v>
      </c>
      <c r="H5668" s="1">
        <v>-1.1192999999999999E-5</v>
      </c>
      <c r="I5668">
        <v>147.99680000000001</v>
      </c>
      <c r="J5668">
        <v>-194.3751</v>
      </c>
      <c r="K5668">
        <v>1.109326</v>
      </c>
      <c r="L5668">
        <v>152.97450000000001</v>
      </c>
      <c r="M5668">
        <v>-0.34319809999999901</v>
      </c>
      <c r="N5668">
        <v>0</v>
      </c>
      <c r="O5668">
        <v>-0.93916940000000004</v>
      </c>
      <c r="P5668">
        <v>-0.50920549999999998</v>
      </c>
      <c r="Q5668">
        <v>-6.5015669999999998E-3</v>
      </c>
      <c r="R5668">
        <v>-0.86062099999999897</v>
      </c>
      <c r="S5668">
        <v>-2.7384029999999999</v>
      </c>
      <c r="T5668">
        <v>-0.41180870000000003</v>
      </c>
      <c r="U5668">
        <v>-1.8657680000000001</v>
      </c>
      <c r="V5668">
        <v>0.1828977</v>
      </c>
      <c r="W5668">
        <v>6.1280989999999997E-3</v>
      </c>
      <c r="X5668">
        <v>0.98311289999999996</v>
      </c>
      <c r="Y5668">
        <v>0.57578609999999997</v>
      </c>
      <c r="Z5668">
        <v>0.1293946</v>
      </c>
      <c r="AA5668">
        <v>0.80729640000000003</v>
      </c>
      <c r="AB5668">
        <v>9</v>
      </c>
      <c r="AC5668">
        <v>-7.3563999999999998</v>
      </c>
      <c r="AD5668">
        <v>-1.109337193</v>
      </c>
      <c r="AE5668">
        <v>-4.9776999999999898</v>
      </c>
      <c r="AF5668">
        <v>5.1211439423851903</v>
      </c>
      <c r="AG5668">
        <v>-1.109337193</v>
      </c>
      <c r="AH5668">
        <v>7.0896514742294396</v>
      </c>
      <c r="AI5668">
        <v>97.228911543681505</v>
      </c>
      <c r="AJ5668">
        <v>54.157885325469501</v>
      </c>
      <c r="AK5668">
        <v>8.8158891957899108</v>
      </c>
      <c r="AL5668">
        <v>89.648883610149795</v>
      </c>
      <c r="AM5668">
        <v>79.461212024181094</v>
      </c>
      <c r="AN5668">
        <v>1.0000000482045199</v>
      </c>
    </row>
    <row r="5669" spans="1:40" x14ac:dyDescent="0.25">
      <c r="A5669" t="str">
        <f>"20190312154035634"</f>
        <v>20190312154035634</v>
      </c>
      <c r="B5669" t="str">
        <f>"1552376435632086"</f>
        <v>1552376435632086</v>
      </c>
      <c r="C5669" t="s">
        <v>40</v>
      </c>
      <c r="D5669">
        <v>4.4250769999999999</v>
      </c>
      <c r="E5669">
        <v>0.67588419999999905</v>
      </c>
      <c r="F5669" t="s">
        <v>55</v>
      </c>
      <c r="G5669">
        <v>-201.76750000000001</v>
      </c>
      <c r="H5669" s="1">
        <v>-1.1166140000000001E-5</v>
      </c>
      <c r="I5669">
        <v>147.96019999999999</v>
      </c>
      <c r="J5669">
        <v>-194.3964</v>
      </c>
      <c r="K5669">
        <v>1.1093360000000001</v>
      </c>
      <c r="L5669">
        <v>152.9246</v>
      </c>
      <c r="M5669">
        <v>-0.34544649999999999</v>
      </c>
      <c r="N5669">
        <v>0</v>
      </c>
      <c r="O5669">
        <v>-0.93834459999999997</v>
      </c>
      <c r="P5669">
        <v>-0.51075590000000004</v>
      </c>
      <c r="Q5669">
        <v>-5.8152809999999899E-3</v>
      </c>
      <c r="R5669">
        <v>-0.85970599999999997</v>
      </c>
      <c r="S5669">
        <v>-2.7423549999999999</v>
      </c>
      <c r="T5669">
        <v>-0.41153260000000003</v>
      </c>
      <c r="U5669">
        <v>-1.860168</v>
      </c>
      <c r="V5669">
        <v>0.182315</v>
      </c>
      <c r="W5669">
        <v>6.8185440000000002E-3</v>
      </c>
      <c r="X5669">
        <v>0.98321650000000005</v>
      </c>
      <c r="Y5669">
        <v>0.57551719999999995</v>
      </c>
      <c r="Z5669">
        <v>0.12928399999999901</v>
      </c>
      <c r="AA5669">
        <v>0.80750580000000005</v>
      </c>
      <c r="AB5669">
        <v>9</v>
      </c>
      <c r="AC5669">
        <v>-7.37110000000001</v>
      </c>
      <c r="AD5669">
        <v>-1.1093471661399901</v>
      </c>
      <c r="AE5669">
        <v>-4.9644000000000101</v>
      </c>
      <c r="AF5669">
        <v>5.1223384918813899</v>
      </c>
      <c r="AG5669">
        <v>-1.1093471661399901</v>
      </c>
      <c r="AH5669">
        <v>7.0947223194451299</v>
      </c>
      <c r="AI5669">
        <v>97.225044014608997</v>
      </c>
      <c r="AJ5669">
        <v>54.170986527398</v>
      </c>
      <c r="AK5669">
        <v>8.8206625346662904</v>
      </c>
      <c r="AL5669">
        <v>89.609323166894498</v>
      </c>
      <c r="AM5669">
        <v>79.495121556321905</v>
      </c>
      <c r="AN5669">
        <v>0.99999996881976405</v>
      </c>
    </row>
    <row r="5670" spans="1:40" x14ac:dyDescent="0.25">
      <c r="A5670" t="str">
        <f>"20190312154035648"</f>
        <v>20190312154035648</v>
      </c>
      <c r="B5670" t="str">
        <f>"1552376435641846"</f>
        <v>1552376435641846</v>
      </c>
      <c r="C5670" t="s">
        <v>40</v>
      </c>
      <c r="D5670">
        <v>4.4423719999999998</v>
      </c>
      <c r="E5670">
        <v>0.67592099999999999</v>
      </c>
      <c r="F5670" t="s">
        <v>55</v>
      </c>
      <c r="G5670">
        <v>-201.79560000000001</v>
      </c>
      <c r="H5670" s="1">
        <v>-1.11437E-5</v>
      </c>
      <c r="I5670">
        <v>147.92660000000001</v>
      </c>
      <c r="J5670">
        <v>-194.4179</v>
      </c>
      <c r="K5670">
        <v>1.109345</v>
      </c>
      <c r="L5670">
        <v>152.87440000000001</v>
      </c>
      <c r="M5670">
        <v>-0.34770859999999998</v>
      </c>
      <c r="N5670">
        <v>0</v>
      </c>
      <c r="O5670">
        <v>-0.93750860000000003</v>
      </c>
      <c r="P5670">
        <v>-0.51233249999999997</v>
      </c>
      <c r="Q5670">
        <v>-4.8869109999999999E-3</v>
      </c>
      <c r="R5670">
        <v>-0.85877340000000002</v>
      </c>
      <c r="S5670">
        <v>-2.7464140000000001</v>
      </c>
      <c r="T5670">
        <v>-0.41176459999999998</v>
      </c>
      <c r="U5670">
        <v>-1.8551329999999999</v>
      </c>
      <c r="V5670">
        <v>0.18174760000000001</v>
      </c>
      <c r="W5670">
        <v>7.7512129999999999E-3</v>
      </c>
      <c r="X5670">
        <v>0.98331460000000004</v>
      </c>
      <c r="Y5670">
        <v>0.57511990000000002</v>
      </c>
      <c r="Z5670">
        <v>0.12931029999999999</v>
      </c>
      <c r="AA5670">
        <v>0.80778459999999996</v>
      </c>
      <c r="AB5670">
        <v>9</v>
      </c>
      <c r="AC5670">
        <v>-7.3776999999999999</v>
      </c>
      <c r="AD5670">
        <v>-1.1093561436999999</v>
      </c>
      <c r="AE5670">
        <v>-4.9478</v>
      </c>
      <c r="AF5670">
        <v>5.1169211367606797</v>
      </c>
      <c r="AG5670">
        <v>-1.1093561436999999</v>
      </c>
      <c r="AH5670">
        <v>7.0938961818066</v>
      </c>
      <c r="AI5670">
        <v>97.2282403439159</v>
      </c>
      <c r="AJ5670">
        <v>54.196589932689299</v>
      </c>
      <c r="AK5670">
        <v>8.8168540881452504</v>
      </c>
      <c r="AL5670">
        <v>89.555883733753006</v>
      </c>
      <c r="AM5670">
        <v>79.528112060046993</v>
      </c>
      <c r="AN5670">
        <v>0.99999993699094303</v>
      </c>
    </row>
    <row r="5671" spans="1:40" x14ac:dyDescent="0.25">
      <c r="A5671" t="str">
        <f>"20190312154035671"</f>
        <v>20190312154035671</v>
      </c>
      <c r="B5671" t="str">
        <f>"1552376435661367"</f>
        <v>1552376435661367</v>
      </c>
      <c r="C5671" t="s">
        <v>40</v>
      </c>
      <c r="D5671">
        <v>4.3763899999999998</v>
      </c>
      <c r="E5671">
        <v>0.67596259999999997</v>
      </c>
      <c r="F5671" t="s">
        <v>55</v>
      </c>
      <c r="G5671">
        <v>-201.86089999999999</v>
      </c>
      <c r="H5671" s="1">
        <v>-1.1097099999999999E-5</v>
      </c>
      <c r="I5671">
        <v>147.8674</v>
      </c>
      <c r="J5671">
        <v>-194.45240000000001</v>
      </c>
      <c r="K5671">
        <v>1.1093599999999999</v>
      </c>
      <c r="L5671">
        <v>152.7944</v>
      </c>
      <c r="M5671">
        <v>-0.35131580000000001</v>
      </c>
      <c r="N5671">
        <v>0</v>
      </c>
      <c r="O5671">
        <v>-0.93616279999999996</v>
      </c>
      <c r="P5671">
        <v>-0.51503379999999999</v>
      </c>
      <c r="Q5671">
        <v>-4.9036549999999998E-3</v>
      </c>
      <c r="R5671">
        <v>-0.85715580000000002</v>
      </c>
      <c r="S5671">
        <v>-2.7503660000000001</v>
      </c>
      <c r="T5671">
        <v>-0.40992970000000001</v>
      </c>
      <c r="U5671">
        <v>-1.8501890000000001</v>
      </c>
      <c r="V5671">
        <v>0.1810572</v>
      </c>
      <c r="W5671">
        <v>7.7411989999999998E-3</v>
      </c>
      <c r="X5671">
        <v>0.98344209999999999</v>
      </c>
      <c r="Y5671">
        <v>0.5735905</v>
      </c>
      <c r="Z5671">
        <v>0.12865399999999999</v>
      </c>
      <c r="AA5671">
        <v>0.80897589999999997</v>
      </c>
      <c r="AB5671">
        <v>9</v>
      </c>
      <c r="AC5671">
        <v>-7.4084999999999699</v>
      </c>
      <c r="AD5671">
        <v>-1.1093710970999999</v>
      </c>
      <c r="AE5671">
        <v>-4.9269999999999898</v>
      </c>
      <c r="AF5671">
        <v>5.1254046230077002</v>
      </c>
      <c r="AG5671">
        <v>-1.1093710970999999</v>
      </c>
      <c r="AH5671">
        <v>7.1053679464614996</v>
      </c>
      <c r="AI5671">
        <v>97.216690049772495</v>
      </c>
      <c r="AJ5671">
        <v>54.195482720962801</v>
      </c>
      <c r="AK5671">
        <v>8.83100959320236</v>
      </c>
      <c r="AL5671">
        <v>89.556457538862404</v>
      </c>
      <c r="AM5671">
        <v>79.568339166098298</v>
      </c>
      <c r="AN5671">
        <v>0.99999999994310296</v>
      </c>
    </row>
    <row r="5672" spans="1:40" x14ac:dyDescent="0.25">
      <c r="A5672" t="str">
        <f>"20190312154035681"</f>
        <v>20190312154035681</v>
      </c>
      <c r="B5672" t="str">
        <f>"1552376435672103"</f>
        <v>1552376435672103</v>
      </c>
      <c r="C5672" t="s">
        <v>40</v>
      </c>
      <c r="D5672">
        <v>4.4193569999999998</v>
      </c>
      <c r="E5672">
        <v>0.6759906</v>
      </c>
      <c r="F5672" t="s">
        <v>55</v>
      </c>
      <c r="G5672">
        <v>-201.88050000000001</v>
      </c>
      <c r="H5672" s="1">
        <v>-1.107823E-5</v>
      </c>
      <c r="I5672">
        <v>147.8331</v>
      </c>
      <c r="J5672">
        <v>-194.46950000000001</v>
      </c>
      <c r="K5672">
        <v>1.1093660000000001</v>
      </c>
      <c r="L5672">
        <v>152.755</v>
      </c>
      <c r="M5672">
        <v>-0.35309499999999999</v>
      </c>
      <c r="N5672">
        <v>0</v>
      </c>
      <c r="O5672">
        <v>-0.93549340000000003</v>
      </c>
      <c r="P5672">
        <v>-0.51634349999999996</v>
      </c>
      <c r="Q5672">
        <v>-4.661508E-3</v>
      </c>
      <c r="R5672">
        <v>-0.85636880000000004</v>
      </c>
      <c r="S5672">
        <v>-2.756653</v>
      </c>
      <c r="T5672">
        <v>-0.41170020000000002</v>
      </c>
      <c r="U5672">
        <v>-1.8412170000000001</v>
      </c>
      <c r="V5672">
        <v>0.18069080000000001</v>
      </c>
      <c r="W5672">
        <v>7.9862860000000004E-3</v>
      </c>
      <c r="X5672">
        <v>0.98350749999999998</v>
      </c>
      <c r="Y5672">
        <v>0.5746502</v>
      </c>
      <c r="Z5672">
        <v>0.12921289999999999</v>
      </c>
      <c r="AA5672">
        <v>0.80813440000000003</v>
      </c>
      <c r="AB5672">
        <v>9</v>
      </c>
      <c r="AC5672">
        <v>-7.4109999999999996</v>
      </c>
      <c r="AD5672">
        <v>-1.1093770782300001</v>
      </c>
      <c r="AE5672">
        <v>-4.9218999999999902</v>
      </c>
      <c r="AF5672">
        <v>5.1159497746416198</v>
      </c>
      <c r="AG5672">
        <v>-1.1093770782300001</v>
      </c>
      <c r="AH5672">
        <v>7.1112507550204702</v>
      </c>
      <c r="AI5672">
        <v>97.217342478358205</v>
      </c>
      <c r="AJ5672">
        <v>54.268143998868098</v>
      </c>
      <c r="AK5672">
        <v>8.8302631274009595</v>
      </c>
      <c r="AL5672">
        <v>89.542414642159798</v>
      </c>
      <c r="AM5672">
        <v>79.589664504327999</v>
      </c>
      <c r="AN5672">
        <v>0.999999974262481</v>
      </c>
    </row>
    <row r="5673" spans="1:40" x14ac:dyDescent="0.25">
      <c r="A5673" t="str">
        <f>"20190312154035692"</f>
        <v>20190312154035692</v>
      </c>
      <c r="B5673" t="str">
        <f>"1552376435681862"</f>
        <v>1552376435681862</v>
      </c>
      <c r="C5673" t="s">
        <v>40</v>
      </c>
      <c r="D5673">
        <v>4.3870889999999996</v>
      </c>
      <c r="E5673">
        <v>0.6759868</v>
      </c>
      <c r="F5673" t="s">
        <v>55</v>
      </c>
      <c r="G5673">
        <v>-201.9076</v>
      </c>
      <c r="H5673" s="1">
        <v>-1.105786E-5</v>
      </c>
      <c r="I5673">
        <v>147.80500000000001</v>
      </c>
      <c r="J5673">
        <v>-194.48670000000001</v>
      </c>
      <c r="K5673">
        <v>1.1093770000000001</v>
      </c>
      <c r="L5673">
        <v>152.71559999999999</v>
      </c>
      <c r="M5673">
        <v>-0.3548714</v>
      </c>
      <c r="N5673">
        <v>0</v>
      </c>
      <c r="O5673">
        <v>-0.93482100000000001</v>
      </c>
      <c r="P5673">
        <v>-0.51769350000000003</v>
      </c>
      <c r="Q5673">
        <v>-5.1815239999999999E-3</v>
      </c>
      <c r="R5673">
        <v>-0.85555059999999905</v>
      </c>
      <c r="S5673">
        <v>-2.7600250000000002</v>
      </c>
      <c r="T5673">
        <v>-0.41165459999999898</v>
      </c>
      <c r="U5673">
        <v>-1.8367770000000001</v>
      </c>
      <c r="V5673">
        <v>0.18037329999999999</v>
      </c>
      <c r="W5673">
        <v>7.4689329999999996E-3</v>
      </c>
      <c r="X5673">
        <v>0.9835699</v>
      </c>
      <c r="Y5673">
        <v>0.57446309999999901</v>
      </c>
      <c r="Z5673">
        <v>0.12916749999999999</v>
      </c>
      <c r="AA5673">
        <v>0.80827469999999901</v>
      </c>
      <c r="AB5673">
        <v>9</v>
      </c>
      <c r="AC5673">
        <v>-7.4208999999999801</v>
      </c>
      <c r="AD5673">
        <v>-1.1093880578599999</v>
      </c>
      <c r="AE5673">
        <v>-4.9105999999999801</v>
      </c>
      <c r="AF5673">
        <v>5.11552886807306</v>
      </c>
      <c r="AG5673">
        <v>-1.1093880578599999</v>
      </c>
      <c r="AH5673">
        <v>7.1140600908793097</v>
      </c>
      <c r="AI5673">
        <v>97.215754688101498</v>
      </c>
      <c r="AJ5673">
        <v>54.281106045659698</v>
      </c>
      <c r="AK5673">
        <v>8.8322833083893393</v>
      </c>
      <c r="AL5673">
        <v>89.572057695725505</v>
      </c>
      <c r="AM5673">
        <v>79.608203017002197</v>
      </c>
      <c r="AN5673">
        <v>1.00000003024952</v>
      </c>
    </row>
    <row r="5674" spans="1:40" x14ac:dyDescent="0.25">
      <c r="A5674" t="str">
        <f>"20190312154035703"</f>
        <v>20190312154035703</v>
      </c>
      <c r="B5674" t="str">
        <f>"1552376435691622"</f>
        <v>1552376435691622</v>
      </c>
      <c r="C5674" t="s">
        <v>40</v>
      </c>
      <c r="D5674">
        <v>4.4091420000000001</v>
      </c>
      <c r="E5674">
        <v>0.6759984</v>
      </c>
      <c r="F5674" t="s">
        <v>55</v>
      </c>
      <c r="G5674">
        <v>-201.87739999999999</v>
      </c>
      <c r="H5674" s="1">
        <v>-1.1073900000000001E-5</v>
      </c>
      <c r="I5674">
        <v>147.81389999999999</v>
      </c>
      <c r="J5674">
        <v>-194.50319999999999</v>
      </c>
      <c r="K5674">
        <v>1.109383</v>
      </c>
      <c r="L5674">
        <v>152.67830000000001</v>
      </c>
      <c r="M5674">
        <v>-0.35655300000000001</v>
      </c>
      <c r="N5674">
        <v>0</v>
      </c>
      <c r="O5674">
        <v>-0.93418089999999998</v>
      </c>
      <c r="P5674">
        <v>-0.51906379999999996</v>
      </c>
      <c r="Q5674">
        <v>-4.4261819999999999E-3</v>
      </c>
      <c r="R5674">
        <v>-0.85472429999999999</v>
      </c>
      <c r="S5674">
        <v>-2.76268</v>
      </c>
      <c r="T5674">
        <v>-0.41469820000000002</v>
      </c>
      <c r="U5674">
        <v>-1.8322909999999999</v>
      </c>
      <c r="V5674">
        <v>0.18017949999999999</v>
      </c>
      <c r="W5674">
        <v>8.2266030000000007E-3</v>
      </c>
      <c r="X5674">
        <v>0.98359940000000001</v>
      </c>
      <c r="Y5674">
        <v>0.57415989999999995</v>
      </c>
      <c r="Z5674">
        <v>0.1300991</v>
      </c>
      <c r="AA5674">
        <v>0.80834069999999902</v>
      </c>
      <c r="AB5674">
        <v>9</v>
      </c>
      <c r="AC5674">
        <v>-7.3742000000000001</v>
      </c>
      <c r="AD5674">
        <v>-1.1093940739000001</v>
      </c>
      <c r="AE5674">
        <v>-4.8644000000000096</v>
      </c>
      <c r="AF5674">
        <v>5.0748408545798602</v>
      </c>
      <c r="AG5674">
        <v>-1.1093940739000001</v>
      </c>
      <c r="AH5674">
        <v>7.0627700888405496</v>
      </c>
      <c r="AI5674">
        <v>97.269473242087599</v>
      </c>
      <c r="AJ5674">
        <v>54.301467509529303</v>
      </c>
      <c r="AK5674">
        <v>8.7674104636624595</v>
      </c>
      <c r="AL5674">
        <v>89.528645077285702</v>
      </c>
      <c r="AM5674">
        <v>79.619430064249897</v>
      </c>
      <c r="AN5674">
        <v>1.0000000544487599</v>
      </c>
    </row>
    <row r="5675" spans="1:40" x14ac:dyDescent="0.25">
      <c r="A5675" t="str">
        <f>"20190312154035715"</f>
        <v>20190312154035715</v>
      </c>
      <c r="B5675" t="str">
        <f>"1552376435712118"</f>
        <v>1552376435712118</v>
      </c>
      <c r="C5675" t="s">
        <v>40</v>
      </c>
      <c r="D5675">
        <v>4.4722140000000001</v>
      </c>
      <c r="E5675">
        <v>0.67607550000000005</v>
      </c>
      <c r="F5675" t="s">
        <v>55</v>
      </c>
      <c r="G5675">
        <v>-201.92949999999999</v>
      </c>
      <c r="H5675" s="1">
        <v>-1.103778E-5</v>
      </c>
      <c r="I5675">
        <v>147.77019999999999</v>
      </c>
      <c r="J5675">
        <v>-194.52080000000001</v>
      </c>
      <c r="K5675">
        <v>1.1093919999999999</v>
      </c>
      <c r="L5675">
        <v>152.63839999999999</v>
      </c>
      <c r="M5675">
        <v>-0.35835329999999999</v>
      </c>
      <c r="N5675">
        <v>0</v>
      </c>
      <c r="O5675">
        <v>-0.93349190000000004</v>
      </c>
      <c r="P5675">
        <v>-0.52050659999999904</v>
      </c>
      <c r="Q5675">
        <v>-4.1531809999999997E-3</v>
      </c>
      <c r="R5675">
        <v>-0.85384729999999998</v>
      </c>
      <c r="S5675">
        <v>-2.76593</v>
      </c>
      <c r="T5675">
        <v>-0.41319139999999999</v>
      </c>
      <c r="U5675">
        <v>-1.8280179999999999</v>
      </c>
      <c r="V5675">
        <v>0.17994460000000001</v>
      </c>
      <c r="W5675">
        <v>8.5017300000000007E-3</v>
      </c>
      <c r="X5675">
        <v>0.98363999999999996</v>
      </c>
      <c r="Y5675">
        <v>0.57395019999999997</v>
      </c>
      <c r="Z5675">
        <v>0.12959879999999999</v>
      </c>
      <c r="AA5675">
        <v>0.80857000000000001</v>
      </c>
      <c r="AB5675">
        <v>9</v>
      </c>
      <c r="AC5675">
        <v>-7.4086999999999801</v>
      </c>
      <c r="AD5675">
        <v>-1.1094030377799999</v>
      </c>
      <c r="AE5675">
        <v>-4.8681999999999999</v>
      </c>
      <c r="AF5675">
        <v>5.0921322740613402</v>
      </c>
      <c r="AG5675">
        <v>-1.1094030377799999</v>
      </c>
      <c r="AH5675">
        <v>7.0889693962816596</v>
      </c>
      <c r="AI5675">
        <v>97.243685230986799</v>
      </c>
      <c r="AJ5675">
        <v>54.309643395814703</v>
      </c>
      <c r="AK5675">
        <v>8.7985267686238604</v>
      </c>
      <c r="AL5675">
        <v>89.512880881303303</v>
      </c>
      <c r="AM5675">
        <v>79.633088201163304</v>
      </c>
      <c r="AN5675">
        <v>0.99999999404107598</v>
      </c>
    </row>
    <row r="5676" spans="1:40" x14ac:dyDescent="0.25">
      <c r="A5676" t="str">
        <f>"20190312154035726"</f>
        <v>20190312154035726</v>
      </c>
      <c r="B5676" t="str">
        <f>"1552376435721879"</f>
        <v>1552376435721879</v>
      </c>
      <c r="C5676" t="s">
        <v>40</v>
      </c>
      <c r="D5676">
        <v>4.4253819999999999</v>
      </c>
      <c r="E5676">
        <v>0.67605939999999998</v>
      </c>
      <c r="F5676" t="s">
        <v>55</v>
      </c>
      <c r="G5676">
        <v>-201.93260000000001</v>
      </c>
      <c r="H5676" s="1">
        <v>-1.103326E-5</v>
      </c>
      <c r="I5676">
        <v>147.75960000000001</v>
      </c>
      <c r="J5676">
        <v>-194.53870000000001</v>
      </c>
      <c r="K5676">
        <v>1.1093999999999999</v>
      </c>
      <c r="L5676">
        <v>152.59809999999999</v>
      </c>
      <c r="M5676">
        <v>-0.36016910000000002</v>
      </c>
      <c r="N5676">
        <v>0</v>
      </c>
      <c r="O5676">
        <v>-0.93279279999999998</v>
      </c>
      <c r="P5676">
        <v>-0.52217000000000002</v>
      </c>
      <c r="Q5676">
        <v>-3.2096780000000001E-3</v>
      </c>
      <c r="R5676">
        <v>-0.85283560000000003</v>
      </c>
      <c r="S5676">
        <v>-2.7696529999999999</v>
      </c>
      <c r="T5676">
        <v>-0.4145624</v>
      </c>
      <c r="U5676">
        <v>-1.823105</v>
      </c>
      <c r="V5676">
        <v>0.17994830000000001</v>
      </c>
      <c r="W5676">
        <v>9.4463069999999993E-3</v>
      </c>
      <c r="X5676">
        <v>0.98363069999999997</v>
      </c>
      <c r="Y5676">
        <v>0.57381870000000001</v>
      </c>
      <c r="Z5676">
        <v>0.1299892</v>
      </c>
      <c r="AA5676">
        <v>0.808600599999999</v>
      </c>
      <c r="AB5676">
        <v>9</v>
      </c>
      <c r="AC5676">
        <v>-7.3939000000000004</v>
      </c>
      <c r="AD5676">
        <v>-1.10941103326</v>
      </c>
      <c r="AE5676">
        <v>-4.8384999999999803</v>
      </c>
      <c r="AF5676">
        <v>5.0747579399263598</v>
      </c>
      <c r="AG5676">
        <v>-1.10941103326</v>
      </c>
      <c r="AH5676">
        <v>7.0656273029255301</v>
      </c>
      <c r="AI5676">
        <v>97.267704757697004</v>
      </c>
      <c r="AJ5676">
        <v>54.3128919922924</v>
      </c>
      <c r="AK5676">
        <v>8.7696664801696596</v>
      </c>
      <c r="AL5676">
        <v>89.458758421178302</v>
      </c>
      <c r="AM5676">
        <v>79.632783766802007</v>
      </c>
      <c r="AN5676">
        <v>0.99999998868565898</v>
      </c>
    </row>
    <row r="5677" spans="1:40" x14ac:dyDescent="0.25">
      <c r="A5677" t="str">
        <f>"20190312154035739"</f>
        <v>20190312154035739</v>
      </c>
      <c r="B5677" t="str">
        <f>"1552376435731639"</f>
        <v>1552376435731639</v>
      </c>
      <c r="C5677" t="s">
        <v>40</v>
      </c>
      <c r="D5677">
        <v>4.5250180000000002</v>
      </c>
      <c r="E5677">
        <v>0.67611589999999999</v>
      </c>
      <c r="F5677" t="s">
        <v>55</v>
      </c>
      <c r="G5677">
        <v>-201.98929999999999</v>
      </c>
      <c r="H5677" s="1">
        <v>-1.0994250000000001E-5</v>
      </c>
      <c r="I5677">
        <v>147.7131</v>
      </c>
      <c r="J5677">
        <v>-194.5583</v>
      </c>
      <c r="K5677">
        <v>1.1094029999999999</v>
      </c>
      <c r="L5677">
        <v>152.554</v>
      </c>
      <c r="M5677">
        <v>-0.36215419999999998</v>
      </c>
      <c r="N5677">
        <v>0</v>
      </c>
      <c r="O5677">
        <v>-0.93202390000000002</v>
      </c>
      <c r="P5677">
        <v>-0.52412740000000002</v>
      </c>
      <c r="Q5677">
        <v>-2.8397320000000002E-3</v>
      </c>
      <c r="R5677">
        <v>-0.85163559999999905</v>
      </c>
      <c r="S5677">
        <v>-2.7731319999999999</v>
      </c>
      <c r="T5677">
        <v>-0.41292269999999998</v>
      </c>
      <c r="U5677">
        <v>-1.8182069999999999</v>
      </c>
      <c r="V5677">
        <v>0.180113299999999</v>
      </c>
      <c r="W5677">
        <v>9.8163139999999996E-3</v>
      </c>
      <c r="X5677">
        <v>0.9835969</v>
      </c>
      <c r="Y5677">
        <v>0.57360699999999998</v>
      </c>
      <c r="Z5677">
        <v>0.1294505</v>
      </c>
      <c r="AA5677">
        <v>0.80883719999999903</v>
      </c>
      <c r="AB5677">
        <v>9</v>
      </c>
      <c r="AC5677">
        <v>-7.4309999999999796</v>
      </c>
      <c r="AD5677">
        <v>-1.1094139942499901</v>
      </c>
      <c r="AE5677">
        <v>-4.8409000000000004</v>
      </c>
      <c r="AF5677">
        <v>5.0934681233990098</v>
      </c>
      <c r="AG5677">
        <v>-1.1094139942499901</v>
      </c>
      <c r="AH5677">
        <v>7.0926479318254598</v>
      </c>
      <c r="AI5677">
        <v>97.240664201651498</v>
      </c>
      <c r="AJ5677">
        <v>54.3166059823618</v>
      </c>
      <c r="AK5677">
        <v>8.8022651414023905</v>
      </c>
      <c r="AL5677">
        <v>89.437557610692295</v>
      </c>
      <c r="AM5677">
        <v>79.623135332543796</v>
      </c>
      <c r="AN5677">
        <v>1.0000000112735199</v>
      </c>
    </row>
    <row r="5678" spans="1:40" x14ac:dyDescent="0.25">
      <c r="A5678" t="str">
        <f>"20190312154035750"</f>
        <v>20190312154035750</v>
      </c>
      <c r="B5678" t="str">
        <f>"1552376435741402"</f>
        <v>1552376435741402</v>
      </c>
      <c r="C5678" t="s">
        <v>40</v>
      </c>
      <c r="D5678">
        <v>4.4014499999999996</v>
      </c>
      <c r="E5678">
        <v>0.67615400000000003</v>
      </c>
      <c r="F5678" t="s">
        <v>55</v>
      </c>
      <c r="G5678">
        <v>-202.0239</v>
      </c>
      <c r="H5678" s="1">
        <v>-1.097058E-5</v>
      </c>
      <c r="I5678">
        <v>147.68510000000001</v>
      </c>
      <c r="J5678">
        <v>-194.57749999999999</v>
      </c>
      <c r="K5678">
        <v>1.10941</v>
      </c>
      <c r="L5678">
        <v>152.51140000000001</v>
      </c>
      <c r="M5678">
        <v>-0.36407279999999997</v>
      </c>
      <c r="N5678">
        <v>0</v>
      </c>
      <c r="O5678">
        <v>-0.93127629999999995</v>
      </c>
      <c r="P5678">
        <v>-0.52597389999999999</v>
      </c>
      <c r="Q5678">
        <v>-2.5130539999999998E-3</v>
      </c>
      <c r="R5678">
        <v>-0.85049739999999996</v>
      </c>
      <c r="S5678">
        <v>-2.777847</v>
      </c>
      <c r="T5678">
        <v>-0.41279729999999998</v>
      </c>
      <c r="U5678">
        <v>-1.8116760000000001</v>
      </c>
      <c r="V5678">
        <v>0.18022199999999999</v>
      </c>
      <c r="W5678">
        <v>1.014293E-2</v>
      </c>
      <c r="X5678">
        <v>0.9835737</v>
      </c>
      <c r="Y5678">
        <v>0.57389609999999902</v>
      </c>
      <c r="Z5678">
        <v>0.1293898</v>
      </c>
      <c r="AA5678">
        <v>0.80864179999999997</v>
      </c>
      <c r="AB5678">
        <v>8</v>
      </c>
      <c r="AC5678">
        <v>-7.4464000000000103</v>
      </c>
      <c r="AD5678">
        <v>-1.10942097058</v>
      </c>
      <c r="AE5678">
        <v>-4.8262999999999998</v>
      </c>
      <c r="AF5678">
        <v>5.0982942356673</v>
      </c>
      <c r="AG5678">
        <v>-1.10942097058</v>
      </c>
      <c r="AH5678">
        <v>7.09537507450551</v>
      </c>
      <c r="AI5678">
        <v>97.236584492976107</v>
      </c>
      <c r="AJ5678">
        <v>54.301331237303103</v>
      </c>
      <c r="AK5678">
        <v>8.8072564656262404</v>
      </c>
      <c r="AL5678">
        <v>89.418842974819896</v>
      </c>
      <c r="AM5678">
        <v>79.616769388991599</v>
      </c>
      <c r="AN5678">
        <v>1.00000003582233</v>
      </c>
    </row>
    <row r="5679" spans="1:40" x14ac:dyDescent="0.25">
      <c r="A5679" t="str">
        <f>"20190312154035762"</f>
        <v>20190312154035762</v>
      </c>
      <c r="B5679" t="str">
        <f>"1552376435752135"</f>
        <v>1552376435752135</v>
      </c>
      <c r="C5679" t="s">
        <v>40</v>
      </c>
      <c r="D5679">
        <v>4.5403529999999996</v>
      </c>
      <c r="E5679">
        <v>0.67615400000000003</v>
      </c>
      <c r="F5679" t="s">
        <v>55</v>
      </c>
      <c r="G5679">
        <v>-202.04830000000001</v>
      </c>
      <c r="H5679" s="1">
        <v>-1.0953230000000001E-5</v>
      </c>
      <c r="I5679">
        <v>147.66309999999999</v>
      </c>
      <c r="J5679">
        <v>-194.596</v>
      </c>
      <c r="K5679">
        <v>1.1094139999999999</v>
      </c>
      <c r="L5679">
        <v>152.47059999999999</v>
      </c>
      <c r="M5679">
        <v>-0.36591360000000001</v>
      </c>
      <c r="N5679">
        <v>0</v>
      </c>
      <c r="O5679">
        <v>-0.93055460000000001</v>
      </c>
      <c r="P5679">
        <v>-0.52823640000000005</v>
      </c>
      <c r="Q5679">
        <v>-1.8308980000000001E-3</v>
      </c>
      <c r="R5679">
        <v>-0.84909570000000001</v>
      </c>
      <c r="S5679">
        <v>-2.7821349999999998</v>
      </c>
      <c r="T5679">
        <v>-0.41315010000000002</v>
      </c>
      <c r="U5679">
        <v>-1.805542</v>
      </c>
      <c r="V5679">
        <v>0.18089649999999999</v>
      </c>
      <c r="W5679">
        <v>1.0821910000000001E-2</v>
      </c>
      <c r="X5679">
        <v>0.98344259999999994</v>
      </c>
      <c r="Y5679">
        <v>0.57409690000000002</v>
      </c>
      <c r="Z5679">
        <v>0.12947929999999999</v>
      </c>
      <c r="AA5679">
        <v>0.80848489999999995</v>
      </c>
      <c r="AB5679">
        <v>8</v>
      </c>
      <c r="AC5679">
        <v>-7.4523000000000303</v>
      </c>
      <c r="AD5679">
        <v>-1.10942495323</v>
      </c>
      <c r="AE5679">
        <v>-4.8075000000000001</v>
      </c>
      <c r="AF5679">
        <v>5.0963405550166296</v>
      </c>
      <c r="AG5679">
        <v>-1.10942495323</v>
      </c>
      <c r="AH5679">
        <v>7.0902115738875802</v>
      </c>
      <c r="AI5679">
        <v>97.240983252406593</v>
      </c>
      <c r="AJ5679">
        <v>54.2919712815428</v>
      </c>
      <c r="AK5679">
        <v>8.80196631111742</v>
      </c>
      <c r="AL5679">
        <v>89.379938128900093</v>
      </c>
      <c r="AM5679">
        <v>79.577400131133999</v>
      </c>
      <c r="AN5679">
        <v>1.0000000024715201</v>
      </c>
    </row>
    <row r="5680" spans="1:40" x14ac:dyDescent="0.25">
      <c r="A5680" t="str">
        <f>"20190312154035773"</f>
        <v>20190312154035773</v>
      </c>
      <c r="B5680" t="str">
        <f>"1552376435761893"</f>
        <v>1552376435761893</v>
      </c>
      <c r="C5680" t="s">
        <v>40</v>
      </c>
      <c r="D5680">
        <v>4.5507239999999998</v>
      </c>
      <c r="E5680">
        <v>0.6981522</v>
      </c>
      <c r="F5680" t="s">
        <v>55</v>
      </c>
      <c r="G5680">
        <v>-202.13229999999999</v>
      </c>
      <c r="H5680" s="1">
        <v>-1.0899780000000001E-5</v>
      </c>
      <c r="I5680">
        <v>147.6086</v>
      </c>
      <c r="J5680">
        <v>-194.61429999999999</v>
      </c>
      <c r="K5680">
        <v>1.1094189999999999</v>
      </c>
      <c r="L5680">
        <v>152.43</v>
      </c>
      <c r="M5680">
        <v>-0.3677395</v>
      </c>
      <c r="N5680">
        <v>0</v>
      </c>
      <c r="O5680">
        <v>-0.9298343</v>
      </c>
      <c r="P5680">
        <v>-0.53022190000000002</v>
      </c>
      <c r="Q5680">
        <v>-1.6943920000000001E-3</v>
      </c>
      <c r="R5680">
        <v>-0.84785719999999998</v>
      </c>
      <c r="S5680">
        <v>-2.7873380000000001</v>
      </c>
      <c r="T5680">
        <v>-0.41032560000000001</v>
      </c>
      <c r="U5680">
        <v>-1.7982180000000001</v>
      </c>
      <c r="V5680">
        <v>0.1812675</v>
      </c>
      <c r="W5680">
        <v>1.095637E-2</v>
      </c>
      <c r="X5680">
        <v>0.98337280000000005</v>
      </c>
      <c r="Y5680">
        <v>0.57478450000000003</v>
      </c>
      <c r="Z5680">
        <v>0.12859499999999999</v>
      </c>
      <c r="AA5680">
        <v>0.80813740000000001</v>
      </c>
      <c r="AB5680">
        <v>8</v>
      </c>
      <c r="AC5680">
        <v>-7.5179999999999998</v>
      </c>
      <c r="AD5680">
        <v>-1.1094298997799901</v>
      </c>
      <c r="AE5680">
        <v>-4.8214000000000103</v>
      </c>
      <c r="AF5680">
        <v>5.1386418660417101</v>
      </c>
      <c r="AG5680">
        <v>-1.1094298997799901</v>
      </c>
      <c r="AH5680">
        <v>7.1382588599945302</v>
      </c>
      <c r="AI5680">
        <v>97.189118831089999</v>
      </c>
      <c r="AJ5680">
        <v>54.250894476399303</v>
      </c>
      <c r="AK5680">
        <v>8.8651686099167293</v>
      </c>
      <c r="AL5680">
        <v>89.372233683949602</v>
      </c>
      <c r="AM5680">
        <v>79.555769338427993</v>
      </c>
      <c r="AN5680">
        <v>1.00000000618983</v>
      </c>
    </row>
    <row r="5681" spans="1:40" x14ac:dyDescent="0.25">
      <c r="A5681" t="str">
        <f>"20190312154035786"</f>
        <v>20190312154035786</v>
      </c>
      <c r="B5681" t="str">
        <f>"1552376435781415"</f>
        <v>1552376435781415</v>
      </c>
      <c r="C5681" t="s">
        <v>40</v>
      </c>
      <c r="D5681">
        <v>4.5583119999999999</v>
      </c>
      <c r="E5681">
        <v>0.71224600000000005</v>
      </c>
      <c r="F5681" t="s">
        <v>55</v>
      </c>
      <c r="G5681">
        <v>-198.04480000000001</v>
      </c>
      <c r="H5681" s="1">
        <v>-1.248715E-5</v>
      </c>
      <c r="I5681">
        <v>150.4674</v>
      </c>
      <c r="J5681">
        <v>-194.63329999999999</v>
      </c>
      <c r="K5681">
        <v>1.109423</v>
      </c>
      <c r="L5681">
        <v>152.38849999999999</v>
      </c>
      <c r="M5681">
        <v>-0.36960799999999999</v>
      </c>
      <c r="N5681">
        <v>0</v>
      </c>
      <c r="O5681">
        <v>-0.92909350000000002</v>
      </c>
      <c r="P5681">
        <v>-0.5325145</v>
      </c>
      <c r="Q5681">
        <v>-1.9785689999999999E-3</v>
      </c>
      <c r="R5681">
        <v>-0.84641869999999997</v>
      </c>
      <c r="S5681">
        <v>-2.953217</v>
      </c>
      <c r="T5681">
        <v>-0.95507220000000004</v>
      </c>
      <c r="U5681">
        <v>-1.6895450000000001</v>
      </c>
      <c r="V5681">
        <v>0.18195140000000001</v>
      </c>
      <c r="W5681">
        <v>1.066886E-2</v>
      </c>
      <c r="X5681">
        <v>0.9832497</v>
      </c>
      <c r="Y5681">
        <v>0.58546690000000001</v>
      </c>
      <c r="Z5681">
        <v>0.28529860000000001</v>
      </c>
      <c r="AA5681">
        <v>0.75883669999999903</v>
      </c>
      <c r="AB5681">
        <v>8</v>
      </c>
      <c r="AC5681">
        <v>-3.41150000000001</v>
      </c>
      <c r="AD5681">
        <v>-1.1094354871500001</v>
      </c>
      <c r="AE5681">
        <v>-1.92109999999999</v>
      </c>
      <c r="AF5681">
        <v>2.2769361774338699</v>
      </c>
      <c r="AG5681">
        <v>-1.1094354871500001</v>
      </c>
      <c r="AH5681">
        <v>2.81965990527058</v>
      </c>
      <c r="AI5681">
        <v>107.020272773988</v>
      </c>
      <c r="AJ5681">
        <v>51.078377424990897</v>
      </c>
      <c r="AK5681">
        <v>3.7902199721975798</v>
      </c>
      <c r="AL5681">
        <v>89.388707786072999</v>
      </c>
      <c r="AM5681">
        <v>79.515953128400099</v>
      </c>
      <c r="AN5681">
        <v>1.00000005454287</v>
      </c>
    </row>
    <row r="5682" spans="1:40" x14ac:dyDescent="0.25">
      <c r="A5682" t="str">
        <f>"20190312154035798"</f>
        <v>20190312154035798</v>
      </c>
      <c r="B5682" t="str">
        <f>"1552376435792150"</f>
        <v>1552376435792150</v>
      </c>
      <c r="C5682" t="s">
        <v>40</v>
      </c>
      <c r="D5682">
        <v>4.6099399999999999</v>
      </c>
      <c r="E5682">
        <v>0.71553059999999902</v>
      </c>
      <c r="F5682" t="s">
        <v>55</v>
      </c>
      <c r="G5682">
        <v>-197.93539999999999</v>
      </c>
      <c r="H5682" s="1">
        <v>-1.2538820000000001E-5</v>
      </c>
      <c r="I5682">
        <v>150.637</v>
      </c>
      <c r="J5682">
        <v>-194.65170000000001</v>
      </c>
      <c r="K5682">
        <v>1.109423</v>
      </c>
      <c r="L5682">
        <v>152.34819999999999</v>
      </c>
      <c r="M5682">
        <v>-0.37142180000000002</v>
      </c>
      <c r="N5682">
        <v>0</v>
      </c>
      <c r="O5682">
        <v>-0.92836980000000002</v>
      </c>
      <c r="P5682">
        <v>-0.53461040000000004</v>
      </c>
      <c r="Q5682">
        <v>-1.993833E-3</v>
      </c>
      <c r="R5682">
        <v>-0.84509650000000003</v>
      </c>
      <c r="S5682">
        <v>-3.0545960000000001</v>
      </c>
      <c r="T5682">
        <v>-1.0262819999999999</v>
      </c>
      <c r="U5682">
        <v>-1.620193</v>
      </c>
      <c r="V5682">
        <v>0.18246760000000001</v>
      </c>
      <c r="W5682">
        <v>1.0650740000000001E-2</v>
      </c>
      <c r="X5682">
        <v>0.98315419999999998</v>
      </c>
      <c r="Y5682">
        <v>0.60332450000000004</v>
      </c>
      <c r="Z5682">
        <v>0.30199330000000002</v>
      </c>
      <c r="AA5682">
        <v>0.73810549999999997</v>
      </c>
      <c r="AB5682">
        <v>8</v>
      </c>
      <c r="AC5682">
        <v>-3.2836999999999801</v>
      </c>
      <c r="AD5682">
        <v>-1.1094355388199999</v>
      </c>
      <c r="AE5682">
        <v>-1.7111999999999901</v>
      </c>
      <c r="AF5682">
        <v>2.21433807810355</v>
      </c>
      <c r="AG5682">
        <v>-1.1094355388199999</v>
      </c>
      <c r="AH5682">
        <v>2.57715533742231</v>
      </c>
      <c r="AI5682">
        <v>108.082696978494</v>
      </c>
      <c r="AJ5682">
        <v>49.330237271678598</v>
      </c>
      <c r="AK5682">
        <v>3.57433489927014</v>
      </c>
      <c r="AL5682">
        <v>89.389746024760498</v>
      </c>
      <c r="AM5682">
        <v>79.485873446162898</v>
      </c>
      <c r="AN5682">
        <v>1.0000000221449701</v>
      </c>
    </row>
    <row r="5683" spans="1:40" x14ac:dyDescent="0.25">
      <c r="A5683" t="str">
        <f>"20190312154035809"</f>
        <v>20190312154035809</v>
      </c>
      <c r="B5683" t="str">
        <f>"1552376435801910"</f>
        <v>1552376435801910</v>
      </c>
      <c r="C5683" t="s">
        <v>40</v>
      </c>
      <c r="D5683">
        <v>4.5972390000000001</v>
      </c>
      <c r="E5683">
        <v>0.71787709999999905</v>
      </c>
      <c r="F5683" t="s">
        <v>55</v>
      </c>
      <c r="G5683">
        <v>-197.8527</v>
      </c>
      <c r="H5683" s="1">
        <v>-1.2544440000000001E-5</v>
      </c>
      <c r="I5683">
        <v>150.6885</v>
      </c>
      <c r="J5683">
        <v>-194.67140000000001</v>
      </c>
      <c r="K5683">
        <v>1.109426</v>
      </c>
      <c r="L5683">
        <v>152.3057</v>
      </c>
      <c r="M5683">
        <v>-0.37334010000000001</v>
      </c>
      <c r="N5683">
        <v>0</v>
      </c>
      <c r="O5683">
        <v>-0.92759999999999998</v>
      </c>
      <c r="P5683">
        <v>-0.53716609999999998</v>
      </c>
      <c r="Q5683">
        <v>-2.4755200000000002E-3</v>
      </c>
      <c r="R5683">
        <v>-0.84347280000000002</v>
      </c>
      <c r="S5683">
        <v>-3.0816650000000001</v>
      </c>
      <c r="T5683">
        <v>-1.0680730000000001</v>
      </c>
      <c r="U5683">
        <v>-1.5978699999999999</v>
      </c>
      <c r="V5683">
        <v>0.18341080000000001</v>
      </c>
      <c r="W5683">
        <v>1.0163429999999999E-2</v>
      </c>
      <c r="X5683">
        <v>0.98298379999999996</v>
      </c>
      <c r="Y5683">
        <v>0.60550579999999998</v>
      </c>
      <c r="Z5683">
        <v>0.3124633</v>
      </c>
      <c r="AA5683">
        <v>0.73193540000000001</v>
      </c>
      <c r="AB5683">
        <v>8</v>
      </c>
      <c r="AC5683">
        <v>-3.18129999999999</v>
      </c>
      <c r="AD5683">
        <v>-1.1094385444399999</v>
      </c>
      <c r="AE5683">
        <v>-1.61719999999999</v>
      </c>
      <c r="AF5683">
        <v>2.1405441856098202</v>
      </c>
      <c r="AG5683">
        <v>-1.1094385444399999</v>
      </c>
      <c r="AH5683">
        <v>2.4511675969076001</v>
      </c>
      <c r="AI5683">
        <v>108.825256833322</v>
      </c>
      <c r="AJ5683">
        <v>48.870089538906697</v>
      </c>
      <c r="AK5683">
        <v>3.4381689723698798</v>
      </c>
      <c r="AL5683">
        <v>89.417668320636395</v>
      </c>
      <c r="AM5683">
        <v>79.430955009960897</v>
      </c>
      <c r="AN5683">
        <v>0.99999998396422196</v>
      </c>
    </row>
    <row r="5684" spans="1:40" x14ac:dyDescent="0.25">
      <c r="A5684" t="str">
        <f>"20190312154035822"</f>
        <v>20190312154035822</v>
      </c>
      <c r="B5684" t="str">
        <f>"1552376435811670"</f>
        <v>1552376435811670</v>
      </c>
      <c r="C5684" t="s">
        <v>40</v>
      </c>
      <c r="D5684">
        <v>4.5823359999999997</v>
      </c>
      <c r="E5684">
        <v>0.71978109999999995</v>
      </c>
      <c r="F5684" t="s">
        <v>55</v>
      </c>
      <c r="G5684">
        <v>-197.815</v>
      </c>
      <c r="H5684" s="1">
        <v>-1.254574E-5</v>
      </c>
      <c r="I5684">
        <v>150.70699999999999</v>
      </c>
      <c r="J5684">
        <v>-194.6918</v>
      </c>
      <c r="K5684">
        <v>1.109426</v>
      </c>
      <c r="L5684">
        <v>152.26169999999999</v>
      </c>
      <c r="M5684">
        <v>-0.3753264</v>
      </c>
      <c r="N5684">
        <v>0</v>
      </c>
      <c r="O5684">
        <v>-0.92679820000000002</v>
      </c>
      <c r="P5684">
        <v>-0.53968549999999904</v>
      </c>
      <c r="Q5684">
        <v>-2.947454E-3</v>
      </c>
      <c r="R5684">
        <v>-0.84186149999999904</v>
      </c>
      <c r="S5684">
        <v>-3.1023559999999999</v>
      </c>
      <c r="T5684">
        <v>-1.0948690000000001</v>
      </c>
      <c r="U5684">
        <v>-1.577744</v>
      </c>
      <c r="V5684">
        <v>0.1842434</v>
      </c>
      <c r="W5684">
        <v>9.6870989999999994E-3</v>
      </c>
      <c r="X5684">
        <v>0.98283290000000001</v>
      </c>
      <c r="Y5684">
        <v>0.60757629999999996</v>
      </c>
      <c r="Z5684">
        <v>0.31911519999999999</v>
      </c>
      <c r="AA5684">
        <v>0.72733530000000002</v>
      </c>
      <c r="AB5684">
        <v>8</v>
      </c>
      <c r="AC5684">
        <v>-3.12319999999999</v>
      </c>
      <c r="AD5684">
        <v>-1.10943854574</v>
      </c>
      <c r="AE5684">
        <v>-1.55469999999999</v>
      </c>
      <c r="AF5684">
        <v>2.0989953384156301</v>
      </c>
      <c r="AG5684">
        <v>-1.10943854574</v>
      </c>
      <c r="AH5684">
        <v>2.37333525217469</v>
      </c>
      <c r="AI5684">
        <v>109.298306094632</v>
      </c>
      <c r="AJ5684">
        <v>48.510216454577403</v>
      </c>
      <c r="AK5684">
        <v>3.3569860793097299</v>
      </c>
      <c r="AL5684">
        <v>89.444961424904093</v>
      </c>
      <c r="AM5684">
        <v>79.382471749225999</v>
      </c>
      <c r="AN5684">
        <v>0.99999998982650296</v>
      </c>
    </row>
    <row r="5685" spans="1:40" x14ac:dyDescent="0.25">
      <c r="A5685" t="str">
        <f>"20190312154035838"</f>
        <v>20190312154035838</v>
      </c>
      <c r="B5685" t="str">
        <f>"1552376435832166"</f>
        <v>1552376435832166</v>
      </c>
      <c r="C5685" t="s">
        <v>40</v>
      </c>
      <c r="D5685">
        <v>4.6205059999999998</v>
      </c>
      <c r="E5685">
        <v>0.72195640000000005</v>
      </c>
      <c r="F5685" t="s">
        <v>55</v>
      </c>
      <c r="G5685">
        <v>-197.80179999999999</v>
      </c>
      <c r="H5685" s="1">
        <v>-1.25444E-5</v>
      </c>
      <c r="I5685">
        <v>150.7063</v>
      </c>
      <c r="J5685">
        <v>-194.71860000000001</v>
      </c>
      <c r="K5685">
        <v>1.109426</v>
      </c>
      <c r="L5685">
        <v>152.20410000000001</v>
      </c>
      <c r="M5685">
        <v>-0.3779304</v>
      </c>
      <c r="N5685">
        <v>0</v>
      </c>
      <c r="O5685">
        <v>-0.92573939999999999</v>
      </c>
      <c r="P5685">
        <v>-0.54336340000000005</v>
      </c>
      <c r="Q5685">
        <v>-3.2661109999999999E-3</v>
      </c>
      <c r="R5685">
        <v>-0.83949149999999995</v>
      </c>
      <c r="S5685">
        <v>-3.119278</v>
      </c>
      <c r="T5685">
        <v>-1.112749</v>
      </c>
      <c r="U5685">
        <v>-1.560028</v>
      </c>
      <c r="V5685">
        <v>0.18577979999999999</v>
      </c>
      <c r="W5685">
        <v>9.3585730000000002E-3</v>
      </c>
      <c r="X5685">
        <v>0.9825469</v>
      </c>
      <c r="Y5685">
        <v>0.6089601</v>
      </c>
      <c r="Z5685">
        <v>0.32342850000000001</v>
      </c>
      <c r="AA5685">
        <v>0.72426630000000003</v>
      </c>
      <c r="AB5685">
        <v>8</v>
      </c>
      <c r="AC5685">
        <v>-3.08319999999997</v>
      </c>
      <c r="AD5685">
        <v>-1.1094385443999999</v>
      </c>
      <c r="AE5685">
        <v>-1.49780000000001</v>
      </c>
      <c r="AF5685">
        <v>2.0713826467018399</v>
      </c>
      <c r="AG5685">
        <v>-1.1094385443999999</v>
      </c>
      <c r="AH5685">
        <v>2.3100367900633598</v>
      </c>
      <c r="AI5685">
        <v>109.675485735875</v>
      </c>
      <c r="AJ5685">
        <v>48.117796920176197</v>
      </c>
      <c r="AK5685">
        <v>3.29511000185185</v>
      </c>
      <c r="AL5685">
        <v>89.463785471669198</v>
      </c>
      <c r="AM5685">
        <v>79.292926444252004</v>
      </c>
      <c r="AN5685">
        <v>1.0000000638381199</v>
      </c>
    </row>
    <row r="5686" spans="1:40" x14ac:dyDescent="0.25">
      <c r="A5686" t="str">
        <f>"20190312154035852"</f>
        <v>20190312154035852</v>
      </c>
      <c r="B5686" t="str">
        <f>"1552376435841929"</f>
        <v>1552376435841929</v>
      </c>
      <c r="C5686" t="s">
        <v>40</v>
      </c>
      <c r="D5686">
        <v>4.5990539999999998</v>
      </c>
      <c r="E5686">
        <v>0.72250530000000002</v>
      </c>
      <c r="F5686" t="s">
        <v>55</v>
      </c>
      <c r="G5686">
        <v>-197.79130000000001</v>
      </c>
      <c r="H5686" s="1">
        <v>-1.2542309999999999E-5</v>
      </c>
      <c r="I5686">
        <v>150.70169999999999</v>
      </c>
      <c r="J5686">
        <v>-194.74039999999999</v>
      </c>
      <c r="K5686">
        <v>1.109424</v>
      </c>
      <c r="L5686">
        <v>152.15790000000001</v>
      </c>
      <c r="M5686">
        <v>-0.38002399999999997</v>
      </c>
      <c r="N5686">
        <v>0</v>
      </c>
      <c r="O5686">
        <v>-0.92488190000000003</v>
      </c>
      <c r="P5686">
        <v>-0.54579290000000003</v>
      </c>
      <c r="Q5686">
        <v>-3.0655669999999999E-3</v>
      </c>
      <c r="R5686">
        <v>-0.83791459999999995</v>
      </c>
      <c r="S5686">
        <v>-3.1412659999999999</v>
      </c>
      <c r="T5686">
        <v>-1.134198</v>
      </c>
      <c r="U5686">
        <v>-1.5359499999999999</v>
      </c>
      <c r="V5686">
        <v>0.18640309999999999</v>
      </c>
      <c r="W5686">
        <v>9.5535889999999995E-3</v>
      </c>
      <c r="X5686">
        <v>0.98242689999999999</v>
      </c>
      <c r="Y5686">
        <v>0.61205299999999996</v>
      </c>
      <c r="Z5686">
        <v>0.32866899999999999</v>
      </c>
      <c r="AA5686">
        <v>0.7192828</v>
      </c>
      <c r="AB5686">
        <v>8</v>
      </c>
      <c r="AC5686">
        <v>-3.0509000000000102</v>
      </c>
      <c r="AD5686">
        <v>-1.1094365423100001</v>
      </c>
      <c r="AE5686">
        <v>-1.4562000000000199</v>
      </c>
      <c r="AF5686">
        <v>2.0479644185925201</v>
      </c>
      <c r="AG5686">
        <v>-1.1094365423100001</v>
      </c>
      <c r="AH5686">
        <v>2.2627498925445901</v>
      </c>
      <c r="AI5686">
        <v>109.97728074631399</v>
      </c>
      <c r="AJ5686">
        <v>47.852458184845702</v>
      </c>
      <c r="AK5686">
        <v>3.2473134707700102</v>
      </c>
      <c r="AL5686">
        <v>89.452611344254393</v>
      </c>
      <c r="AM5686">
        <v>79.256556697644896</v>
      </c>
      <c r="AN5686">
        <v>1.0000000002980001</v>
      </c>
    </row>
    <row r="5687" spans="1:40" x14ac:dyDescent="0.25">
      <c r="A5687" t="str">
        <f>"20190312154035864"</f>
        <v>20190312154035864</v>
      </c>
      <c r="B5687" t="str">
        <f>"1552376435851686"</f>
        <v>1552376435851686</v>
      </c>
      <c r="C5687" t="s">
        <v>40</v>
      </c>
      <c r="D5687">
        <v>4.5734409999999999</v>
      </c>
      <c r="E5687">
        <v>0.72280259999999996</v>
      </c>
      <c r="F5687" t="s">
        <v>55</v>
      </c>
      <c r="G5687">
        <v>-197.81460000000001</v>
      </c>
      <c r="H5687" s="1">
        <v>-1.253353E-5</v>
      </c>
      <c r="I5687">
        <v>150.67070000000001</v>
      </c>
      <c r="J5687">
        <v>-194.7593</v>
      </c>
      <c r="K5687">
        <v>1.109423</v>
      </c>
      <c r="L5687">
        <v>152.11799999999999</v>
      </c>
      <c r="M5687">
        <v>-0.38184230000000002</v>
      </c>
      <c r="N5687">
        <v>0</v>
      </c>
      <c r="O5687">
        <v>-0.92413279999999998</v>
      </c>
      <c r="P5687">
        <v>-0.54799069999999905</v>
      </c>
      <c r="Q5687">
        <v>-2.498615E-3</v>
      </c>
      <c r="R5687">
        <v>-0.83648080000000002</v>
      </c>
      <c r="S5687">
        <v>-3.1504059999999998</v>
      </c>
      <c r="T5687">
        <v>-1.1369260000000001</v>
      </c>
      <c r="U5687">
        <v>-1.5240940000000001</v>
      </c>
      <c r="V5687">
        <v>0.1870503</v>
      </c>
      <c r="W5687">
        <v>1.011575E-2</v>
      </c>
      <c r="X5687">
        <v>0.98229829999999996</v>
      </c>
      <c r="Y5687">
        <v>0.61339089999999996</v>
      </c>
      <c r="Z5687">
        <v>0.32924249999999999</v>
      </c>
      <c r="AA5687">
        <v>0.7178795</v>
      </c>
      <c r="AB5687">
        <v>8</v>
      </c>
      <c r="AC5687">
        <v>-3.0553000000000101</v>
      </c>
      <c r="AD5687">
        <v>-1.1094355335299999</v>
      </c>
      <c r="AE5687">
        <v>-1.44729999999998</v>
      </c>
      <c r="AF5687">
        <v>2.0502678931045599</v>
      </c>
      <c r="AG5687">
        <v>-1.1094355335299999</v>
      </c>
      <c r="AH5687">
        <v>2.2608845865446301</v>
      </c>
      <c r="AI5687">
        <v>109.97627432509</v>
      </c>
      <c r="AJ5687">
        <v>47.796899652701697</v>
      </c>
      <c r="AK5687">
        <v>3.24746743636168</v>
      </c>
      <c r="AL5687">
        <v>89.420400360228797</v>
      </c>
      <c r="AM5687">
        <v>79.218749388854306</v>
      </c>
      <c r="AN5687">
        <v>1.0000000466555199</v>
      </c>
    </row>
    <row r="5688" spans="1:40" x14ac:dyDescent="0.25">
      <c r="A5688" t="str">
        <f>"20190312154035875"</f>
        <v>20190312154035875</v>
      </c>
      <c r="B5688" t="str">
        <f>"1552376435872183"</f>
        <v>1552376435872183</v>
      </c>
      <c r="C5688" t="s">
        <v>40</v>
      </c>
      <c r="D5688">
        <v>4.5664870000000004</v>
      </c>
      <c r="E5688">
        <v>0.72328709999999996</v>
      </c>
      <c r="F5688" t="s">
        <v>55</v>
      </c>
      <c r="G5688">
        <v>-197.8416</v>
      </c>
      <c r="H5688" s="1">
        <v>-1.25248399999999E-5</v>
      </c>
      <c r="I5688">
        <v>150.63929999999999</v>
      </c>
      <c r="J5688">
        <v>-194.77770000000001</v>
      </c>
      <c r="K5688">
        <v>1.109421</v>
      </c>
      <c r="L5688">
        <v>152.07910000000001</v>
      </c>
      <c r="M5688">
        <v>-0.38361089999999998</v>
      </c>
      <c r="N5688">
        <v>0</v>
      </c>
      <c r="O5688">
        <v>-0.9234002</v>
      </c>
      <c r="P5688">
        <v>-0.55016960000000004</v>
      </c>
      <c r="Q5688">
        <v>-2.0945540000000002E-3</v>
      </c>
      <c r="R5688">
        <v>-0.83505069999999904</v>
      </c>
      <c r="S5688">
        <v>-3.1572879999999999</v>
      </c>
      <c r="T5688">
        <v>-1.136431</v>
      </c>
      <c r="U5688">
        <v>-1.514664</v>
      </c>
      <c r="V5688">
        <v>0.18773100000000001</v>
      </c>
      <c r="W5688">
        <v>1.051389E-2</v>
      </c>
      <c r="X5688">
        <v>0.98216420000000004</v>
      </c>
      <c r="Y5688">
        <v>0.61437449999999905</v>
      </c>
      <c r="Z5688">
        <v>0.32900170000000001</v>
      </c>
      <c r="AA5688">
        <v>0.71714849999999997</v>
      </c>
      <c r="AB5688">
        <v>8</v>
      </c>
      <c r="AC5688">
        <v>-3.0638999999999799</v>
      </c>
      <c r="AD5688">
        <v>-1.10943352484</v>
      </c>
      <c r="AE5688">
        <v>-1.43980000000001</v>
      </c>
      <c r="AF5688">
        <v>2.0562440745848498</v>
      </c>
      <c r="AG5688">
        <v>-1.10943352484</v>
      </c>
      <c r="AH5688">
        <v>2.2621266371345898</v>
      </c>
      <c r="AI5688">
        <v>109.946527420942</v>
      </c>
      <c r="AJ5688">
        <v>47.729565681069097</v>
      </c>
      <c r="AK5688">
        <v>3.2521069113327199</v>
      </c>
      <c r="AL5688">
        <v>89.397587373534606</v>
      </c>
      <c r="AM5688">
        <v>79.178997131741696</v>
      </c>
      <c r="AN5688">
        <v>0.99999999300278597</v>
      </c>
    </row>
    <row r="5689" spans="1:40" x14ac:dyDescent="0.25">
      <c r="A5689" t="str">
        <f>"20190312154035886"</f>
        <v>20190312154035886</v>
      </c>
      <c r="B5689" t="str">
        <f>"1552376435881943"</f>
        <v>1552376435881943</v>
      </c>
      <c r="C5689" t="s">
        <v>40</v>
      </c>
      <c r="D5689">
        <v>4.5475719999999997</v>
      </c>
      <c r="E5689">
        <v>0.72329180000000004</v>
      </c>
      <c r="F5689" t="s">
        <v>55</v>
      </c>
      <c r="G5689">
        <v>-197.86799999999999</v>
      </c>
      <c r="H5689" s="1">
        <v>-1.251714E-5</v>
      </c>
      <c r="I5689">
        <v>150.6104</v>
      </c>
      <c r="J5689">
        <v>-194.79669999999999</v>
      </c>
      <c r="K5689">
        <v>1.109418</v>
      </c>
      <c r="L5689">
        <v>152.0395</v>
      </c>
      <c r="M5689">
        <v>-0.38542520000000002</v>
      </c>
      <c r="N5689">
        <v>0</v>
      </c>
      <c r="O5689">
        <v>-0.92264409999999997</v>
      </c>
      <c r="P5689">
        <v>-0.55245699999999998</v>
      </c>
      <c r="Q5689">
        <v>-1.529978E-3</v>
      </c>
      <c r="R5689">
        <v>-0.83353999999999995</v>
      </c>
      <c r="S5689">
        <v>-3.1652830000000001</v>
      </c>
      <c r="T5689">
        <v>-1.1363430000000001</v>
      </c>
      <c r="U5689">
        <v>-1.5043489999999999</v>
      </c>
      <c r="V5689">
        <v>0.1884941</v>
      </c>
      <c r="W5689">
        <v>1.1072240000000001E-2</v>
      </c>
      <c r="X5689">
        <v>0.98201190000000005</v>
      </c>
      <c r="Y5689">
        <v>0.61555579999999999</v>
      </c>
      <c r="Z5689">
        <v>0.32883000000000001</v>
      </c>
      <c r="AA5689">
        <v>0.71621360000000001</v>
      </c>
      <c r="AB5689">
        <v>8</v>
      </c>
      <c r="AC5689">
        <v>-3.0712999999999999</v>
      </c>
      <c r="AD5689">
        <v>-1.1094305171400001</v>
      </c>
      <c r="AE5689">
        <v>-1.4291</v>
      </c>
      <c r="AF5689">
        <v>2.0619410741126001</v>
      </c>
      <c r="AG5689">
        <v>-1.1094305171400001</v>
      </c>
      <c r="AH5689">
        <v>2.2601064315527499</v>
      </c>
      <c r="AI5689">
        <v>109.93241021374099</v>
      </c>
      <c r="AJ5689">
        <v>47.625166066729101</v>
      </c>
      <c r="AK5689">
        <v>3.2543076294997499</v>
      </c>
      <c r="AL5689">
        <v>89.365594412809003</v>
      </c>
      <c r="AM5689">
        <v>79.134411175904901</v>
      </c>
      <c r="AN5689">
        <v>0.99999999598751799</v>
      </c>
    </row>
    <row r="5690" spans="1:40" x14ac:dyDescent="0.25">
      <c r="A5690" t="str">
        <f>"20190312154035898"</f>
        <v>20190312154035898</v>
      </c>
      <c r="B5690" t="str">
        <f>"1552376435891702"</f>
        <v>1552376435891702</v>
      </c>
      <c r="C5690" t="s">
        <v>40</v>
      </c>
      <c r="D5690">
        <v>4.5343559999999998</v>
      </c>
      <c r="E5690">
        <v>0.72340760000000004</v>
      </c>
      <c r="F5690" t="s">
        <v>55</v>
      </c>
      <c r="G5690">
        <v>-197.89949999999999</v>
      </c>
      <c r="H5690" s="1">
        <v>-1.2507609999999999E-5</v>
      </c>
      <c r="I5690">
        <v>150.5752</v>
      </c>
      <c r="J5690">
        <v>-194.8159</v>
      </c>
      <c r="K5690">
        <v>1.109418</v>
      </c>
      <c r="L5690">
        <v>151.99950000000001</v>
      </c>
      <c r="M5690">
        <v>-0.38726179999999999</v>
      </c>
      <c r="N5690">
        <v>0</v>
      </c>
      <c r="O5690">
        <v>-0.92187490000000005</v>
      </c>
      <c r="P5690">
        <v>-0.55486179999999996</v>
      </c>
      <c r="Q5690">
        <v>-9.1963910000000002E-4</v>
      </c>
      <c r="R5690">
        <v>-0.83194239999999997</v>
      </c>
      <c r="S5690">
        <v>-3.1699980000000001</v>
      </c>
      <c r="T5690">
        <v>-1.1334599999999999</v>
      </c>
      <c r="U5690">
        <v>-1.4960020000000001</v>
      </c>
      <c r="V5690">
        <v>0.1893754</v>
      </c>
      <c r="W5690">
        <v>1.1675400000000001E-2</v>
      </c>
      <c r="X5690">
        <v>0.98183540000000002</v>
      </c>
      <c r="Y5690">
        <v>0.61625949999999996</v>
      </c>
      <c r="Z5690">
        <v>0.32804519999999998</v>
      </c>
      <c r="AA5690">
        <v>0.7159683</v>
      </c>
      <c r="AB5690">
        <v>8</v>
      </c>
      <c r="AC5690">
        <v>-3.0835999999999899</v>
      </c>
      <c r="AD5690">
        <v>-1.1094305076099999</v>
      </c>
      <c r="AE5690">
        <v>-1.4243000000000099</v>
      </c>
      <c r="AF5690">
        <v>2.0704347773057798</v>
      </c>
      <c r="AG5690">
        <v>-1.1094305076099999</v>
      </c>
      <c r="AH5690">
        <v>2.26569319167365</v>
      </c>
      <c r="AI5690">
        <v>109.873439985787</v>
      </c>
      <c r="AJ5690">
        <v>47.578321143223199</v>
      </c>
      <c r="AK5690">
        <v>3.2635719475889302</v>
      </c>
      <c r="AL5690">
        <v>89.331033693654305</v>
      </c>
      <c r="AM5690">
        <v>79.082911854012295</v>
      </c>
      <c r="AN5690">
        <v>1.0000000548917301</v>
      </c>
    </row>
    <row r="5691" spans="1:40" x14ac:dyDescent="0.25">
      <c r="A5691" t="str">
        <f>"20190312154035910"</f>
        <v>20190312154035910</v>
      </c>
      <c r="B5691" t="str">
        <f>"1552376435901462"</f>
        <v>1552376435901462</v>
      </c>
      <c r="C5691" t="s">
        <v>40</v>
      </c>
      <c r="D5691">
        <v>4.5188949999999997</v>
      </c>
      <c r="E5691">
        <v>0.72335569999999905</v>
      </c>
      <c r="F5691" t="s">
        <v>55</v>
      </c>
      <c r="G5691">
        <v>-197.9254</v>
      </c>
      <c r="H5691" s="1">
        <v>-1.249876E-5</v>
      </c>
      <c r="I5691">
        <v>150.54390000000001</v>
      </c>
      <c r="J5691">
        <v>-194.83510000000001</v>
      </c>
      <c r="K5691">
        <v>1.1094139999999999</v>
      </c>
      <c r="L5691">
        <v>151.9597</v>
      </c>
      <c r="M5691">
        <v>-0.38909569999999999</v>
      </c>
      <c r="N5691">
        <v>0</v>
      </c>
      <c r="O5691">
        <v>-0.92110230000000004</v>
      </c>
      <c r="P5691">
        <v>-0.55715340000000002</v>
      </c>
      <c r="Q5691">
        <v>-4.1728469999999999E-4</v>
      </c>
      <c r="R5691">
        <v>-0.83040959999999997</v>
      </c>
      <c r="S5691">
        <v>-3.1757970000000002</v>
      </c>
      <c r="T5691">
        <v>-1.1331039999999999</v>
      </c>
      <c r="U5691">
        <v>-1.486664</v>
      </c>
      <c r="V5691">
        <v>0.19012950000000001</v>
      </c>
      <c r="W5691">
        <v>1.2170800000000001E-2</v>
      </c>
      <c r="X5691">
        <v>0.98168359999999999</v>
      </c>
      <c r="Y5691">
        <v>0.61703490000000005</v>
      </c>
      <c r="Z5691">
        <v>0.32789249999999998</v>
      </c>
      <c r="AA5691">
        <v>0.71537019999999996</v>
      </c>
      <c r="AB5691">
        <v>8</v>
      </c>
      <c r="AC5691">
        <v>-3.0902999999999801</v>
      </c>
      <c r="AD5691">
        <v>-1.10942649876</v>
      </c>
      <c r="AE5691">
        <v>-1.41579999999999</v>
      </c>
      <c r="AF5691">
        <v>2.0747868582431699</v>
      </c>
      <c r="AG5691">
        <v>-1.10942649876</v>
      </c>
      <c r="AH5691">
        <v>2.2654169515207698</v>
      </c>
      <c r="AI5691">
        <v>109.85707111812</v>
      </c>
      <c r="AJ5691">
        <v>47.514924381139402</v>
      </c>
      <c r="AK5691">
        <v>3.26614170352835</v>
      </c>
      <c r="AL5691">
        <v>89.302647325611503</v>
      </c>
      <c r="AM5691">
        <v>79.0388365781684</v>
      </c>
      <c r="AN5691">
        <v>1.00000002282592</v>
      </c>
    </row>
    <row r="5692" spans="1:40" x14ac:dyDescent="0.25">
      <c r="A5692" t="str">
        <f>"20190312154035921"</f>
        <v>20190312154035921</v>
      </c>
      <c r="B5692" t="str">
        <f>"1552376435912198"</f>
        <v>1552376435912198</v>
      </c>
      <c r="C5692" t="s">
        <v>40</v>
      </c>
      <c r="D5692">
        <v>4.5121070000000003</v>
      </c>
      <c r="E5692">
        <v>0.72334670000000001</v>
      </c>
      <c r="F5692" t="s">
        <v>55</v>
      </c>
      <c r="G5692">
        <v>-197.9546</v>
      </c>
      <c r="H5692" s="1">
        <v>-1.248927E-5</v>
      </c>
      <c r="I5692">
        <v>150.50960000000001</v>
      </c>
      <c r="J5692">
        <v>-194.85390000000001</v>
      </c>
      <c r="K5692">
        <v>1.1094079999999999</v>
      </c>
      <c r="L5692">
        <v>151.9211</v>
      </c>
      <c r="M5692">
        <v>-0.39088729999999999</v>
      </c>
      <c r="N5692">
        <v>0</v>
      </c>
      <c r="O5692">
        <v>-0.92034340000000003</v>
      </c>
      <c r="P5692">
        <v>-0.55965189999999998</v>
      </c>
      <c r="Q5692">
        <v>7.8159659999999995E-4</v>
      </c>
      <c r="R5692">
        <v>-0.82872769999999996</v>
      </c>
      <c r="S5692">
        <v>-3.1802519999999999</v>
      </c>
      <c r="T5692">
        <v>-1.1310359999999999</v>
      </c>
      <c r="U5692">
        <v>-1.478348</v>
      </c>
      <c r="V5692">
        <v>0.19117870000000001</v>
      </c>
      <c r="W5692">
        <v>1.3361359999999999E-2</v>
      </c>
      <c r="X5692">
        <v>0.98146429999999996</v>
      </c>
      <c r="Y5692">
        <v>0.61766909999999997</v>
      </c>
      <c r="Z5692">
        <v>0.32733269999999998</v>
      </c>
      <c r="AA5692">
        <v>0.71507909999999997</v>
      </c>
      <c r="AB5692">
        <v>8</v>
      </c>
      <c r="AC5692">
        <v>-3.1006999999999798</v>
      </c>
      <c r="AD5692">
        <v>-1.1094204892699999</v>
      </c>
      <c r="AE5692">
        <v>-1.41149999999998</v>
      </c>
      <c r="AF5692">
        <v>2.08144858795304</v>
      </c>
      <c r="AG5692">
        <v>-1.1094204892699999</v>
      </c>
      <c r="AH5692">
        <v>2.2705332782938501</v>
      </c>
      <c r="AI5692">
        <v>109.807794746166</v>
      </c>
      <c r="AJ5692">
        <v>47.487819509155798</v>
      </c>
      <c r="AK5692">
        <v>3.2739217177787898</v>
      </c>
      <c r="AL5692">
        <v>89.234427680698602</v>
      </c>
      <c r="AM5692">
        <v>78.977423920451599</v>
      </c>
      <c r="AN5692">
        <v>0.99999999672461404</v>
      </c>
    </row>
    <row r="5693" spans="1:40" x14ac:dyDescent="0.25">
      <c r="A5693" t="str">
        <f>"20190312154035932"</f>
        <v>20190312154035932</v>
      </c>
      <c r="B5693" t="str">
        <f>"1552376435921959"</f>
        <v>1552376435921959</v>
      </c>
      <c r="C5693" t="s">
        <v>40</v>
      </c>
      <c r="D5693">
        <v>4.5231659999999998</v>
      </c>
      <c r="E5693">
        <v>0.72324409999999995</v>
      </c>
      <c r="F5693" t="s">
        <v>55</v>
      </c>
      <c r="G5693">
        <v>-197.99019999999999</v>
      </c>
      <c r="H5693" s="1">
        <v>-1.24804E-5</v>
      </c>
      <c r="I5693">
        <v>150.4742</v>
      </c>
      <c r="J5693">
        <v>-194.8723</v>
      </c>
      <c r="K5693">
        <v>1.1094029999999999</v>
      </c>
      <c r="L5693">
        <v>151.8835</v>
      </c>
      <c r="M5693">
        <v>-0.39263809999999999</v>
      </c>
      <c r="N5693">
        <v>0</v>
      </c>
      <c r="O5693">
        <v>-0.91959800000000003</v>
      </c>
      <c r="P5693">
        <v>-0.56182679999999996</v>
      </c>
      <c r="Q5693">
        <v>1.6284019999999999E-3</v>
      </c>
      <c r="R5693">
        <v>-0.82725349999999997</v>
      </c>
      <c r="S5693">
        <v>-3.1857600000000001</v>
      </c>
      <c r="T5693">
        <v>-1.1269119999999999</v>
      </c>
      <c r="U5693">
        <v>-1.4696659999999999</v>
      </c>
      <c r="V5693">
        <v>0.1918916</v>
      </c>
      <c r="W5693">
        <v>1.420099E-2</v>
      </c>
      <c r="X5693">
        <v>0.9813134</v>
      </c>
      <c r="Y5693">
        <v>0.61868769999999995</v>
      </c>
      <c r="Z5693">
        <v>0.32618589999999997</v>
      </c>
      <c r="AA5693">
        <v>0.71472250000000004</v>
      </c>
      <c r="AB5693">
        <v>8</v>
      </c>
      <c r="AC5693">
        <v>-3.1178999999999899</v>
      </c>
      <c r="AD5693">
        <v>-1.1094154804</v>
      </c>
      <c r="AE5693">
        <v>-1.4093</v>
      </c>
      <c r="AF5693">
        <v>2.0939363438035499</v>
      </c>
      <c r="AG5693">
        <v>-1.1094154804</v>
      </c>
      <c r="AH5693">
        <v>2.2806511089008601</v>
      </c>
      <c r="AI5693">
        <v>109.713862329836</v>
      </c>
      <c r="AJ5693">
        <v>47.443997054220297</v>
      </c>
      <c r="AK5693">
        <v>3.2888815120924102</v>
      </c>
      <c r="AL5693">
        <v>89.186315875117003</v>
      </c>
      <c r="AM5693">
        <v>78.935674013708294</v>
      </c>
      <c r="AN5693">
        <v>1.0000000216435401</v>
      </c>
    </row>
    <row r="5694" spans="1:40" x14ac:dyDescent="0.25">
      <c r="A5694" t="str">
        <f>"20190312154035944"</f>
        <v>20190312154035944</v>
      </c>
      <c r="B5694" t="str">
        <f>"1552376435941478"</f>
        <v>1552376435941478</v>
      </c>
      <c r="C5694" t="s">
        <v>40</v>
      </c>
      <c r="D5694">
        <v>4.4685560000000004</v>
      </c>
      <c r="E5694">
        <v>0.72292679999999998</v>
      </c>
      <c r="F5694" t="s">
        <v>55</v>
      </c>
      <c r="G5694">
        <v>-198.02799999999999</v>
      </c>
      <c r="H5694" s="1">
        <v>-1.2470940000000001E-5</v>
      </c>
      <c r="I5694">
        <v>150.4366</v>
      </c>
      <c r="J5694">
        <v>-194.8904</v>
      </c>
      <c r="K5694">
        <v>1.1093959999999901</v>
      </c>
      <c r="L5694">
        <v>151.8466</v>
      </c>
      <c r="M5694">
        <v>-0.39436670000000001</v>
      </c>
      <c r="N5694">
        <v>0</v>
      </c>
      <c r="O5694">
        <v>-0.91885790000000001</v>
      </c>
      <c r="P5694">
        <v>-0.56409790000000004</v>
      </c>
      <c r="Q5694">
        <v>2.5906309999999999E-3</v>
      </c>
      <c r="R5694">
        <v>-0.82570399999999999</v>
      </c>
      <c r="S5694">
        <v>-3.189575</v>
      </c>
      <c r="T5694">
        <v>-1.12131</v>
      </c>
      <c r="U5694">
        <v>-1.4624790000000001</v>
      </c>
      <c r="V5694">
        <v>0.192746</v>
      </c>
      <c r="W5694">
        <v>1.5155989999999999E-2</v>
      </c>
      <c r="X5694">
        <v>0.98113159999999999</v>
      </c>
      <c r="Y5694">
        <v>0.61941190000000002</v>
      </c>
      <c r="Z5694">
        <v>0.32468930000000001</v>
      </c>
      <c r="AA5694">
        <v>0.71477679999999999</v>
      </c>
      <c r="AB5694">
        <v>8</v>
      </c>
      <c r="AC5694">
        <v>-3.1375999999999902</v>
      </c>
      <c r="AD5694">
        <v>-1.1094084709399901</v>
      </c>
      <c r="AE5694">
        <v>-1.4099999999999899</v>
      </c>
      <c r="AF5694">
        <v>2.1078992628568201</v>
      </c>
      <c r="AG5694">
        <v>-1.1094084709399901</v>
      </c>
      <c r="AH5694">
        <v>2.2945098458672999</v>
      </c>
      <c r="AI5694">
        <v>109.598908772356</v>
      </c>
      <c r="AJ5694">
        <v>47.427216956260303</v>
      </c>
      <c r="AK5694">
        <v>3.3073859603208899</v>
      </c>
      <c r="AL5694">
        <v>89.131592464784902</v>
      </c>
      <c r="AM5694">
        <v>78.885625658507706</v>
      </c>
      <c r="AN5694">
        <v>0.99999997053371903</v>
      </c>
    </row>
    <row r="5695" spans="1:40" x14ac:dyDescent="0.25">
      <c r="A5695" t="str">
        <f>"20190312154035956"</f>
        <v>20190312154035956</v>
      </c>
      <c r="B5695" t="str">
        <f>"1552376435952214"</f>
        <v>1552376435952214</v>
      </c>
      <c r="C5695" t="s">
        <v>40</v>
      </c>
      <c r="D5695">
        <v>4.5003919999999997</v>
      </c>
      <c r="E5695">
        <v>0.72287360000000001</v>
      </c>
      <c r="F5695" t="s">
        <v>55</v>
      </c>
      <c r="G5695">
        <v>-198.0712</v>
      </c>
      <c r="H5695" s="1">
        <v>-1.246141E-5</v>
      </c>
      <c r="I5695">
        <v>150.3965</v>
      </c>
      <c r="J5695">
        <v>-194.9102</v>
      </c>
      <c r="K5695">
        <v>1.1093919999999999</v>
      </c>
      <c r="L5695">
        <v>151.8065</v>
      </c>
      <c r="M5695">
        <v>-0.39624930000000003</v>
      </c>
      <c r="N5695">
        <v>0</v>
      </c>
      <c r="O5695">
        <v>-0.91804790000000003</v>
      </c>
      <c r="P5695">
        <v>-0.56631860000000001</v>
      </c>
      <c r="Q5695">
        <v>3.5117709999999999E-3</v>
      </c>
      <c r="R5695">
        <v>-0.82417929999999995</v>
      </c>
      <c r="S5695">
        <v>-3.1927340000000002</v>
      </c>
      <c r="T5695">
        <v>-1.113575</v>
      </c>
      <c r="U5695">
        <v>-1.4555659999999999</v>
      </c>
      <c r="V5695">
        <v>0.19337979999999999</v>
      </c>
      <c r="W5695">
        <v>1.607045E-2</v>
      </c>
      <c r="X5695">
        <v>0.98099239999999999</v>
      </c>
      <c r="Y5695">
        <v>0.62007609999999902</v>
      </c>
      <c r="Z5695">
        <v>0.32264789999999999</v>
      </c>
      <c r="AA5695">
        <v>0.71512519999999902</v>
      </c>
      <c r="AB5695">
        <v>8</v>
      </c>
      <c r="AC5695">
        <v>-3.161</v>
      </c>
      <c r="AD5695">
        <v>-1.10940446141</v>
      </c>
      <c r="AE5695">
        <v>-1.4099999999999899</v>
      </c>
      <c r="AF5695">
        <v>2.12511665131081</v>
      </c>
      <c r="AG5695">
        <v>-1.10940446141</v>
      </c>
      <c r="AH5695">
        <v>2.3099038352377201</v>
      </c>
      <c r="AI5695">
        <v>109.46614742748901</v>
      </c>
      <c r="AJ5695">
        <v>47.385875209913003</v>
      </c>
      <c r="AK5695">
        <v>3.3290471262391002</v>
      </c>
      <c r="AL5695">
        <v>89.079191446515694</v>
      </c>
      <c r="AM5695">
        <v>78.848450450052198</v>
      </c>
      <c r="AN5695">
        <v>1.0000000476344999</v>
      </c>
    </row>
    <row r="5696" spans="1:40" x14ac:dyDescent="0.25">
      <c r="A5696" t="str">
        <f>"20190312154035966"</f>
        <v>20190312154035966</v>
      </c>
      <c r="B5696" t="str">
        <f>"1552376435961976"</f>
        <v>1552376435961976</v>
      </c>
      <c r="C5696" t="s">
        <v>40</v>
      </c>
      <c r="D5696">
        <v>4.4991539999999999</v>
      </c>
      <c r="E5696">
        <v>0.72272449999999999</v>
      </c>
      <c r="F5696" t="s">
        <v>55</v>
      </c>
      <c r="G5696">
        <v>-198.10230000000001</v>
      </c>
      <c r="H5696" s="1">
        <v>-1.2451719999999999E-5</v>
      </c>
      <c r="I5696">
        <v>150.36099999999999</v>
      </c>
      <c r="J5696">
        <v>-194.928</v>
      </c>
      <c r="K5696">
        <v>1.109391</v>
      </c>
      <c r="L5696">
        <v>151.77080000000001</v>
      </c>
      <c r="M5696">
        <v>-0.39794370000000001</v>
      </c>
      <c r="N5696">
        <v>0</v>
      </c>
      <c r="O5696">
        <v>-0.91731450000000003</v>
      </c>
      <c r="P5696">
        <v>-0.56847300000000001</v>
      </c>
      <c r="Q5696">
        <v>4.6140189999999996E-3</v>
      </c>
      <c r="R5696">
        <v>-0.82268940000000002</v>
      </c>
      <c r="S5696">
        <v>-3.1972200000000002</v>
      </c>
      <c r="T5696">
        <v>-1.1111740000000001</v>
      </c>
      <c r="U5696">
        <v>-1.4478150000000001</v>
      </c>
      <c r="V5696">
        <v>0.19414000000000001</v>
      </c>
      <c r="W5696">
        <v>1.7166549999999999E-2</v>
      </c>
      <c r="X5696">
        <v>0.98082360000000002</v>
      </c>
      <c r="Y5696">
        <v>0.62072099999999997</v>
      </c>
      <c r="Z5696">
        <v>0.32196469999999999</v>
      </c>
      <c r="AA5696">
        <v>0.71487349999999905</v>
      </c>
      <c r="AB5696">
        <v>8</v>
      </c>
      <c r="AC5696">
        <v>-3.1743000000000099</v>
      </c>
      <c r="AD5696">
        <v>-1.10940345172</v>
      </c>
      <c r="AE5696">
        <v>-1.4098000000000099</v>
      </c>
      <c r="AF5696">
        <v>2.1333639242053999</v>
      </c>
      <c r="AG5696">
        <v>-1.10940345172</v>
      </c>
      <c r="AH5696">
        <v>2.3199573740177302</v>
      </c>
      <c r="AI5696">
        <v>109.391941606776</v>
      </c>
      <c r="AJ5696">
        <v>47.399280594047497</v>
      </c>
      <c r="AK5696">
        <v>3.3412901503833199</v>
      </c>
      <c r="AL5696">
        <v>89.016380804105594</v>
      </c>
      <c r="AM5696">
        <v>78.803839483208293</v>
      </c>
      <c r="AN5696">
        <v>0.99999998217793096</v>
      </c>
    </row>
    <row r="5697" spans="1:40" x14ac:dyDescent="0.25">
      <c r="A5697" t="str">
        <f>"20190312154035984"</f>
        <v>20190312154035984</v>
      </c>
      <c r="B5697" t="str">
        <f>"1552376435971734"</f>
        <v>1552376435971734</v>
      </c>
      <c r="C5697" t="s">
        <v>40</v>
      </c>
      <c r="D5697">
        <v>4.509131</v>
      </c>
      <c r="E5697">
        <v>0.72247649999999997</v>
      </c>
      <c r="F5697" t="s">
        <v>55</v>
      </c>
      <c r="G5697">
        <v>-198.13659999999999</v>
      </c>
      <c r="H5697" s="1">
        <v>-1.244304E-5</v>
      </c>
      <c r="I5697">
        <v>150.32660000000001</v>
      </c>
      <c r="J5697">
        <v>-194.95679999999999</v>
      </c>
      <c r="K5697">
        <v>1.1093930000000001</v>
      </c>
      <c r="L5697">
        <v>151.7132</v>
      </c>
      <c r="M5697">
        <v>-0.40068290000000001</v>
      </c>
      <c r="N5697">
        <v>0</v>
      </c>
      <c r="O5697">
        <v>-0.91612139999999997</v>
      </c>
      <c r="P5697">
        <v>-0.57189009999999996</v>
      </c>
      <c r="Q5697">
        <v>6.4838259999999998E-3</v>
      </c>
      <c r="R5697">
        <v>-0.82030460000000005</v>
      </c>
      <c r="S5697">
        <v>-3.2011569999999998</v>
      </c>
      <c r="T5697">
        <v>-1.106808</v>
      </c>
      <c r="U5697">
        <v>-1.4408110000000001</v>
      </c>
      <c r="V5697">
        <v>0.1952989</v>
      </c>
      <c r="W5697">
        <v>1.902591E-2</v>
      </c>
      <c r="X5697">
        <v>0.98055919999999996</v>
      </c>
      <c r="Y5697">
        <v>0.62050760000000005</v>
      </c>
      <c r="Z5697">
        <v>0.32066860000000003</v>
      </c>
      <c r="AA5697">
        <v>0.71564099999999997</v>
      </c>
      <c r="AB5697">
        <v>8</v>
      </c>
      <c r="AC5697">
        <v>-3.1798000000000002</v>
      </c>
      <c r="AD5697">
        <v>-1.10940544304</v>
      </c>
      <c r="AE5697">
        <v>-1.3865999999999801</v>
      </c>
      <c r="AF5697">
        <v>2.1389377187287799</v>
      </c>
      <c r="AG5697">
        <v>-1.10940544304</v>
      </c>
      <c r="AH5697">
        <v>2.3085011091910701</v>
      </c>
      <c r="AI5697">
        <v>109.418413305545</v>
      </c>
      <c r="AJ5697">
        <v>47.183405718994699</v>
      </c>
      <c r="AK5697">
        <v>3.33691659661788</v>
      </c>
      <c r="AL5697">
        <v>88.909829872650207</v>
      </c>
      <c r="AM5697">
        <v>78.735749316963805</v>
      </c>
      <c r="AN5697">
        <v>0.99999999514858895</v>
      </c>
    </row>
    <row r="5698" spans="1:40" x14ac:dyDescent="0.25">
      <c r="A5698" t="str">
        <f>"20190312154035997"</f>
        <v>20190312154035997</v>
      </c>
      <c r="B5698" t="str">
        <f>"1552376435991255"</f>
        <v>1552376435991255</v>
      </c>
      <c r="C5698" t="s">
        <v>40</v>
      </c>
      <c r="D5698">
        <v>4.5092189999999999</v>
      </c>
      <c r="E5698">
        <v>0.72208779999999995</v>
      </c>
      <c r="F5698" t="s">
        <v>55</v>
      </c>
      <c r="G5698">
        <v>-198.19470000000001</v>
      </c>
      <c r="H5698" s="1">
        <v>-1.242911E-5</v>
      </c>
      <c r="I5698">
        <v>150.27010000000001</v>
      </c>
      <c r="J5698">
        <v>-194.9786</v>
      </c>
      <c r="K5698">
        <v>1.10938799999999</v>
      </c>
      <c r="L5698">
        <v>151.66980000000001</v>
      </c>
      <c r="M5698">
        <v>-0.40276010000000001</v>
      </c>
      <c r="N5698">
        <v>0</v>
      </c>
      <c r="O5698">
        <v>-0.91520999999999997</v>
      </c>
      <c r="P5698">
        <v>-0.57382650000000002</v>
      </c>
      <c r="Q5698">
        <v>7.2193739999999998E-3</v>
      </c>
      <c r="R5698">
        <v>-0.81894529999999999</v>
      </c>
      <c r="S5698">
        <v>-3.2076419999999999</v>
      </c>
      <c r="T5698">
        <v>-1.0990420000000001</v>
      </c>
      <c r="U5698">
        <v>-1.4295960000000001</v>
      </c>
      <c r="V5698">
        <v>0.19539529999999999</v>
      </c>
      <c r="W5698">
        <v>1.9758680000000001E-2</v>
      </c>
      <c r="X5698">
        <v>0.98052550000000005</v>
      </c>
      <c r="Y5698">
        <v>0.62210120000000002</v>
      </c>
      <c r="Z5698">
        <v>0.31858150000000002</v>
      </c>
      <c r="AA5698">
        <v>0.71518939999999998</v>
      </c>
      <c r="AB5698">
        <v>8</v>
      </c>
      <c r="AC5698">
        <v>-3.2161000000000102</v>
      </c>
      <c r="AD5698">
        <v>-1.1094004291099999</v>
      </c>
      <c r="AE5698">
        <v>-1.39969999999999</v>
      </c>
      <c r="AF5698">
        <v>2.1634361162051499</v>
      </c>
      <c r="AG5698">
        <v>-1.1094004291099999</v>
      </c>
      <c r="AH5698">
        <v>2.3422381396449898</v>
      </c>
      <c r="AI5698">
        <v>109.184727102312</v>
      </c>
      <c r="AJ5698">
        <v>47.272518623086697</v>
      </c>
      <c r="AK5698">
        <v>3.37598943182853</v>
      </c>
      <c r="AL5698">
        <v>88.867837343446297</v>
      </c>
      <c r="AM5698">
        <v>78.729954104879198</v>
      </c>
      <c r="AN5698">
        <v>0.99999999242384097</v>
      </c>
    </row>
    <row r="5699" spans="1:40" x14ac:dyDescent="0.25">
      <c r="A5699" t="str">
        <f>"20190312154036008"</f>
        <v>20190312154036008</v>
      </c>
      <c r="B5699" t="str">
        <f>"1552376436001991"</f>
        <v>1552376436001991</v>
      </c>
      <c r="C5699" t="s">
        <v>40</v>
      </c>
      <c r="D5699">
        <v>4.449058</v>
      </c>
      <c r="E5699">
        <v>0.72196009999999999</v>
      </c>
      <c r="F5699" t="s">
        <v>55</v>
      </c>
      <c r="G5699">
        <v>-198.22819999999999</v>
      </c>
      <c r="H5699" s="1">
        <v>-1.241683E-5</v>
      </c>
      <c r="I5699">
        <v>150.2276</v>
      </c>
      <c r="J5699">
        <v>-194.99760000000001</v>
      </c>
      <c r="K5699">
        <v>1.10938799999999</v>
      </c>
      <c r="L5699">
        <v>151.6326</v>
      </c>
      <c r="M5699">
        <v>-0.404553</v>
      </c>
      <c r="N5699">
        <v>0</v>
      </c>
      <c r="O5699">
        <v>-0.91441890000000003</v>
      </c>
      <c r="P5699">
        <v>-0.57542649999999995</v>
      </c>
      <c r="Q5699">
        <v>7.7485280000000002E-3</v>
      </c>
      <c r="R5699">
        <v>-0.81781719999999902</v>
      </c>
      <c r="S5699">
        <v>-3.2092130000000001</v>
      </c>
      <c r="T5699">
        <v>-1.095626</v>
      </c>
      <c r="U5699">
        <v>-1.4242250000000001</v>
      </c>
      <c r="V5699">
        <v>0.19539390000000001</v>
      </c>
      <c r="W5699">
        <v>2.0286419999999999E-2</v>
      </c>
      <c r="X5699">
        <v>0.98051500000000003</v>
      </c>
      <c r="Y5699">
        <v>0.62203540000000002</v>
      </c>
      <c r="Z5699">
        <v>0.31768740000000001</v>
      </c>
      <c r="AA5699">
        <v>0.71564419999999995</v>
      </c>
      <c r="AB5699">
        <v>8</v>
      </c>
      <c r="AC5699">
        <v>-3.2305999999999799</v>
      </c>
      <c r="AD5699">
        <v>-1.10940041682999</v>
      </c>
      <c r="AE5699">
        <v>-1.405</v>
      </c>
      <c r="AF5699">
        <v>2.1706698469977099</v>
      </c>
      <c r="AG5699">
        <v>-1.10940041682999</v>
      </c>
      <c r="AH5699">
        <v>2.3580848169214299</v>
      </c>
      <c r="AI5699">
        <v>109.092831469552</v>
      </c>
      <c r="AJ5699">
        <v>47.369738247294002</v>
      </c>
      <c r="AK5699">
        <v>3.3916280564535701</v>
      </c>
      <c r="AL5699">
        <v>88.837594002571805</v>
      </c>
      <c r="AM5699">
        <v>78.729915190313605</v>
      </c>
      <c r="AN5699">
        <v>0.99999999010931295</v>
      </c>
    </row>
    <row r="5700" spans="1:40" x14ac:dyDescent="0.25">
      <c r="A5700" t="str">
        <f>"20190312154036021"</f>
        <v>20190312154036021</v>
      </c>
      <c r="B5700" t="str">
        <f>"1552376436011750"</f>
        <v>1552376436011750</v>
      </c>
      <c r="C5700" t="s">
        <v>40</v>
      </c>
      <c r="D5700">
        <v>4.4819909999999998</v>
      </c>
      <c r="E5700">
        <v>0.72170129999999999</v>
      </c>
      <c r="F5700" t="s">
        <v>55</v>
      </c>
      <c r="G5700">
        <v>-198.25620000000001</v>
      </c>
      <c r="H5700" s="1">
        <v>-1.2406869999999999E-5</v>
      </c>
      <c r="I5700">
        <v>150.19280000000001</v>
      </c>
      <c r="J5700">
        <v>-195.01990000000001</v>
      </c>
      <c r="K5700">
        <v>1.1093869999999999</v>
      </c>
      <c r="L5700">
        <v>151.58879999999999</v>
      </c>
      <c r="M5700">
        <v>-0.40666950000000002</v>
      </c>
      <c r="N5700">
        <v>0</v>
      </c>
      <c r="O5700">
        <v>-0.91347940000000005</v>
      </c>
      <c r="P5700">
        <v>-0.57738819999999902</v>
      </c>
      <c r="Q5700">
        <v>8.1594249999999997E-3</v>
      </c>
      <c r="R5700">
        <v>-0.81642890000000001</v>
      </c>
      <c r="S5700">
        <v>-3.2115629999999999</v>
      </c>
      <c r="T5700">
        <v>-1.0933790000000001</v>
      </c>
      <c r="U5700">
        <v>-1.4189449999999999</v>
      </c>
      <c r="V5700">
        <v>0.19547999999999999</v>
      </c>
      <c r="W5700">
        <v>2.0695459999999999E-2</v>
      </c>
      <c r="X5700">
        <v>0.98048930000000001</v>
      </c>
      <c r="Y5700">
        <v>0.62167609999999995</v>
      </c>
      <c r="Z5700">
        <v>0.3170095</v>
      </c>
      <c r="AA5700">
        <v>0.71625689999999997</v>
      </c>
      <c r="AB5700">
        <v>8</v>
      </c>
      <c r="AC5700">
        <v>-3.2363</v>
      </c>
      <c r="AD5700">
        <v>-1.1093994068699999</v>
      </c>
      <c r="AE5700">
        <v>-1.3959999999999799</v>
      </c>
      <c r="AF5700">
        <v>2.1734549270335899</v>
      </c>
      <c r="AG5700">
        <v>-1.1093994068699999</v>
      </c>
      <c r="AH5700">
        <v>2.3579342146068698</v>
      </c>
      <c r="AI5700">
        <v>109.08300555294601</v>
      </c>
      <c r="AJ5700">
        <v>47.331305142240303</v>
      </c>
      <c r="AK5700">
        <v>3.3933062231728801</v>
      </c>
      <c r="AL5700">
        <v>88.814152826439596</v>
      </c>
      <c r="AM5700">
        <v>78.724788275677298</v>
      </c>
      <c r="AN5700">
        <v>0.99999999993955002</v>
      </c>
    </row>
    <row r="5701" spans="1:40" x14ac:dyDescent="0.25">
      <c r="A5701" t="str">
        <f>"20190312154036041"</f>
        <v>20190312154036041</v>
      </c>
      <c r="B5701" t="str">
        <f>"1552376436031270"</f>
        <v>1552376436031270</v>
      </c>
      <c r="C5701" t="s">
        <v>40</v>
      </c>
      <c r="D5701">
        <v>4.4464899999999998</v>
      </c>
      <c r="E5701">
        <v>0.72137280000000004</v>
      </c>
      <c r="F5701" t="s">
        <v>55</v>
      </c>
      <c r="G5701">
        <v>-198.2799</v>
      </c>
      <c r="H5701" s="1">
        <v>-1.2395000000000001E-5</v>
      </c>
      <c r="I5701">
        <v>150.15539999999999</v>
      </c>
      <c r="J5701">
        <v>-195.05279999999999</v>
      </c>
      <c r="K5701">
        <v>1.109383</v>
      </c>
      <c r="L5701">
        <v>151.5247</v>
      </c>
      <c r="M5701">
        <v>-0.40978350000000002</v>
      </c>
      <c r="N5701">
        <v>0</v>
      </c>
      <c r="O5701">
        <v>-0.91208699999999998</v>
      </c>
      <c r="P5701">
        <v>-0.58016959999999995</v>
      </c>
      <c r="Q5701">
        <v>9.2291249999999995E-3</v>
      </c>
      <c r="R5701">
        <v>-0.8144439</v>
      </c>
      <c r="S5701">
        <v>-3.2133790000000002</v>
      </c>
      <c r="T5701">
        <v>-1.093542</v>
      </c>
      <c r="U5701">
        <v>-1.4129179999999999</v>
      </c>
      <c r="V5701">
        <v>0.19548660000000001</v>
      </c>
      <c r="W5701">
        <v>2.1764769999999999E-2</v>
      </c>
      <c r="X5701">
        <v>0.98046480000000003</v>
      </c>
      <c r="Y5701">
        <v>0.6203805</v>
      </c>
      <c r="Z5701">
        <v>0.31693779999999999</v>
      </c>
      <c r="AA5701">
        <v>0.71741089999999996</v>
      </c>
      <c r="AB5701">
        <v>8</v>
      </c>
      <c r="AC5701">
        <v>-3.2271000000000001</v>
      </c>
      <c r="AD5701">
        <v>-1.109395395</v>
      </c>
      <c r="AE5701">
        <v>-1.3693</v>
      </c>
      <c r="AF5701">
        <v>2.1656026879630002</v>
      </c>
      <c r="AG5701">
        <v>-1.109395395</v>
      </c>
      <c r="AH5701">
        <v>2.3374612417604701</v>
      </c>
      <c r="AI5701">
        <v>109.19600418560999</v>
      </c>
      <c r="AJ5701">
        <v>47.185621469020703</v>
      </c>
      <c r="AK5701">
        <v>3.3740655300826901</v>
      </c>
      <c r="AL5701">
        <v>88.7528720244743</v>
      </c>
      <c r="AM5701">
        <v>78.724142806031793</v>
      </c>
      <c r="AN5701">
        <v>0.99999997001587604</v>
      </c>
    </row>
    <row r="5702" spans="1:40" x14ac:dyDescent="0.25">
      <c r="A5702" t="str">
        <f>"20190312154036053"</f>
        <v>20190312154036053</v>
      </c>
      <c r="B5702" t="str">
        <f>"1552376436042007"</f>
        <v>1552376436042007</v>
      </c>
      <c r="C5702" t="s">
        <v>40</v>
      </c>
      <c r="D5702">
        <v>4.4687590000000004</v>
      </c>
      <c r="E5702">
        <v>0.72118190000000004</v>
      </c>
      <c r="F5702" t="s">
        <v>55</v>
      </c>
      <c r="G5702">
        <v>-198.31399999999999</v>
      </c>
      <c r="H5702" s="1">
        <v>-1.23770699999999E-5</v>
      </c>
      <c r="I5702">
        <v>150.09950000000001</v>
      </c>
      <c r="J5702">
        <v>-195.0761</v>
      </c>
      <c r="K5702">
        <v>1.1093850000000001</v>
      </c>
      <c r="L5702">
        <v>151.47980000000001</v>
      </c>
      <c r="M5702">
        <v>-0.41197810000000001</v>
      </c>
      <c r="N5702">
        <v>0</v>
      </c>
      <c r="O5702">
        <v>-0.91109779999999996</v>
      </c>
      <c r="P5702">
        <v>-0.58201119999999995</v>
      </c>
      <c r="Q5702">
        <v>9.1221089999999998E-3</v>
      </c>
      <c r="R5702">
        <v>-0.81312969999999996</v>
      </c>
      <c r="S5702">
        <v>-3.2155149999999999</v>
      </c>
      <c r="T5702">
        <v>-1.0938749999999999</v>
      </c>
      <c r="U5702">
        <v>-1.4053040000000001</v>
      </c>
      <c r="V5702">
        <v>0.19534409999999999</v>
      </c>
      <c r="W5702">
        <v>2.1658940000000002E-2</v>
      </c>
      <c r="X5702">
        <v>0.98049560000000002</v>
      </c>
      <c r="Y5702">
        <v>0.62011709999999998</v>
      </c>
      <c r="Z5702">
        <v>0.31705309999999998</v>
      </c>
      <c r="AA5702">
        <v>0.71758769999999905</v>
      </c>
      <c r="AB5702">
        <v>8</v>
      </c>
      <c r="AC5702">
        <v>-3.2379000000000202</v>
      </c>
      <c r="AD5702">
        <v>-1.1093973770700001</v>
      </c>
      <c r="AE5702">
        <v>-1.3803000000000001</v>
      </c>
      <c r="AF5702">
        <v>2.1663865951197399</v>
      </c>
      <c r="AG5702">
        <v>-1.1093973770700001</v>
      </c>
      <c r="AH5702">
        <v>2.3575559327183502</v>
      </c>
      <c r="AI5702">
        <v>109.110972782844</v>
      </c>
      <c r="AJ5702">
        <v>47.419722070068303</v>
      </c>
      <c r="AK5702">
        <v>3.3885193515250598</v>
      </c>
      <c r="AL5702">
        <v>88.758937134164398</v>
      </c>
      <c r="AM5702">
        <v>78.732496871974703</v>
      </c>
      <c r="AN5702">
        <v>1.00000002435304</v>
      </c>
    </row>
    <row r="5703" spans="1:40" x14ac:dyDescent="0.25">
      <c r="A5703" t="str">
        <f>"20190312154036068"</f>
        <v>20190312154036068</v>
      </c>
      <c r="B5703" t="str">
        <f>"1552376436061527"</f>
        <v>1552376436061527</v>
      </c>
      <c r="C5703" t="s">
        <v>40</v>
      </c>
      <c r="D5703">
        <v>4.482246</v>
      </c>
      <c r="E5703">
        <v>0.7206863</v>
      </c>
      <c r="F5703" t="s">
        <v>55</v>
      </c>
      <c r="G5703">
        <v>-198.33349999999999</v>
      </c>
      <c r="H5703" s="1">
        <v>-1.236499E-5</v>
      </c>
      <c r="I5703">
        <v>150.0633</v>
      </c>
      <c r="J5703">
        <v>-195.09960000000001</v>
      </c>
      <c r="K5703">
        <v>1.109389</v>
      </c>
      <c r="L5703">
        <v>151.4348</v>
      </c>
      <c r="M5703">
        <v>-0.41418719999999998</v>
      </c>
      <c r="N5703">
        <v>0</v>
      </c>
      <c r="O5703">
        <v>-0.91009549999999995</v>
      </c>
      <c r="P5703">
        <v>-0.58380069999999995</v>
      </c>
      <c r="Q5703">
        <v>8.8563970000000002E-3</v>
      </c>
      <c r="R5703">
        <v>-0.81184869999999898</v>
      </c>
      <c r="S5703">
        <v>-3.2170869999999998</v>
      </c>
      <c r="T5703">
        <v>-1.0956520000000001</v>
      </c>
      <c r="U5703">
        <v>-1.399033</v>
      </c>
      <c r="V5703">
        <v>0.19512299999999999</v>
      </c>
      <c r="W5703">
        <v>2.139483E-2</v>
      </c>
      <c r="X5703">
        <v>0.98054540000000001</v>
      </c>
      <c r="Y5703">
        <v>0.61942759999999997</v>
      </c>
      <c r="Z5703">
        <v>0.31751190000000001</v>
      </c>
      <c r="AA5703">
        <v>0.71798019999999996</v>
      </c>
      <c r="AB5703">
        <v>8</v>
      </c>
      <c r="AC5703">
        <v>-3.23389999999997</v>
      </c>
      <c r="AD5703">
        <v>-1.1094013649900001</v>
      </c>
      <c r="AE5703">
        <v>-1.3714999999999899</v>
      </c>
      <c r="AF5703">
        <v>2.1598707987036998</v>
      </c>
      <c r="AG5703">
        <v>-1.1094013649900001</v>
      </c>
      <c r="AH5703">
        <v>2.3531468734001999</v>
      </c>
      <c r="AI5703">
        <v>109.153503298046</v>
      </c>
      <c r="AJ5703">
        <v>47.452270610054804</v>
      </c>
      <c r="AK5703">
        <v>3.3812887282111599</v>
      </c>
      <c r="AL5703">
        <v>88.774073003026302</v>
      </c>
      <c r="AM5703">
        <v>78.745481283393602</v>
      </c>
      <c r="AN5703">
        <v>1.0000000026704401</v>
      </c>
    </row>
    <row r="5704" spans="1:40" x14ac:dyDescent="0.25">
      <c r="A5704" t="str">
        <f>"20190312154036084"</f>
        <v>20190312154036084</v>
      </c>
      <c r="B5704" t="str">
        <f>"1552376436082023"</f>
        <v>1552376436082023</v>
      </c>
      <c r="C5704" t="s">
        <v>40</v>
      </c>
      <c r="D5704">
        <v>4.4783169999999997</v>
      </c>
      <c r="E5704">
        <v>0.72008680000000003</v>
      </c>
      <c r="F5704" t="s">
        <v>55</v>
      </c>
      <c r="G5704">
        <v>-198.3536</v>
      </c>
      <c r="H5704" s="1">
        <v>-1.235206E-5</v>
      </c>
      <c r="I5704">
        <v>150.0248</v>
      </c>
      <c r="J5704">
        <v>-195.1285</v>
      </c>
      <c r="K5704">
        <v>1.1093999999999999</v>
      </c>
      <c r="L5704">
        <v>151.37979999999999</v>
      </c>
      <c r="M5704">
        <v>-0.41689419999999999</v>
      </c>
      <c r="N5704">
        <v>0</v>
      </c>
      <c r="O5704">
        <v>-0.90885879999999997</v>
      </c>
      <c r="P5704">
        <v>-0.58565009999999995</v>
      </c>
      <c r="Q5704">
        <v>8.3696329999999996E-3</v>
      </c>
      <c r="R5704">
        <v>-0.81052100000000005</v>
      </c>
      <c r="S5704">
        <v>-3.2169340000000002</v>
      </c>
      <c r="T5704">
        <v>-1.096768</v>
      </c>
      <c r="U5704">
        <v>-1.3939360000000001</v>
      </c>
      <c r="V5704">
        <v>0.19443640000000001</v>
      </c>
      <c r="W5704">
        <v>2.0912859999999998E-2</v>
      </c>
      <c r="X5704">
        <v>0.98069209999999996</v>
      </c>
      <c r="Y5704">
        <v>0.61800730000000004</v>
      </c>
      <c r="Z5704">
        <v>0.31780000000000003</v>
      </c>
      <c r="AA5704">
        <v>0.71907589999999999</v>
      </c>
      <c r="AB5704">
        <v>8</v>
      </c>
      <c r="AC5704">
        <v>-3.2250999999999901</v>
      </c>
      <c r="AD5704">
        <v>-1.1094123520600001</v>
      </c>
      <c r="AE5704">
        <v>-1.35499999999998</v>
      </c>
      <c r="AF5704">
        <v>2.1502129354440802</v>
      </c>
      <c r="AG5704">
        <v>-1.1094123520600001</v>
      </c>
      <c r="AH5704">
        <v>2.3408207230028699</v>
      </c>
      <c r="AI5704">
        <v>109.240853234125</v>
      </c>
      <c r="AJ5704">
        <v>47.430280486097402</v>
      </c>
      <c r="AK5704">
        <v>3.3665491370087</v>
      </c>
      <c r="AL5704">
        <v>88.801693941488793</v>
      </c>
      <c r="AM5704">
        <v>78.785713312836094</v>
      </c>
      <c r="AN5704">
        <v>0.99999992818037198</v>
      </c>
    </row>
    <row r="5705" spans="1:40" x14ac:dyDescent="0.25">
      <c r="A5705" t="str">
        <f>"20190312154036098"</f>
        <v>20190312154036098</v>
      </c>
      <c r="B5705" t="str">
        <f>"1552376436091782"</f>
        <v>1552376436091782</v>
      </c>
      <c r="C5705" t="s">
        <v>40</v>
      </c>
      <c r="D5705">
        <v>4.4243040000000002</v>
      </c>
      <c r="E5705">
        <v>0.71977340000000001</v>
      </c>
      <c r="F5705" t="s">
        <v>55</v>
      </c>
      <c r="G5705">
        <v>-198.3811</v>
      </c>
      <c r="H5705" s="1">
        <v>-1.2335529999999999E-5</v>
      </c>
      <c r="I5705">
        <v>149.97489999999999</v>
      </c>
      <c r="J5705">
        <v>-195.15029999999999</v>
      </c>
      <c r="K5705">
        <v>1.1094029999999999</v>
      </c>
      <c r="L5705">
        <v>151.33850000000001</v>
      </c>
      <c r="M5705">
        <v>-0.41893219999999998</v>
      </c>
      <c r="N5705">
        <v>0</v>
      </c>
      <c r="O5705">
        <v>-0.90792119999999998</v>
      </c>
      <c r="P5705">
        <v>-0.5871556</v>
      </c>
      <c r="Q5705">
        <v>8.3599690000000001E-3</v>
      </c>
      <c r="R5705">
        <v>-0.80943120000000002</v>
      </c>
      <c r="S5705">
        <v>-3.2158359999999999</v>
      </c>
      <c r="T5705">
        <v>-1.0968709999999999</v>
      </c>
      <c r="U5705">
        <v>-1.389038</v>
      </c>
      <c r="V5705">
        <v>0.1940587</v>
      </c>
      <c r="W5705">
        <v>2.0905710000000001E-2</v>
      </c>
      <c r="X5705">
        <v>0.9807671</v>
      </c>
      <c r="Y5705">
        <v>0.61708059999999998</v>
      </c>
      <c r="Z5705">
        <v>0.31794029999999901</v>
      </c>
      <c r="AA5705">
        <v>0.71980940000000004</v>
      </c>
      <c r="AB5705">
        <v>8</v>
      </c>
      <c r="AC5705">
        <v>-3.2308000000000101</v>
      </c>
      <c r="AD5705">
        <v>-1.1094153355299901</v>
      </c>
      <c r="AE5705">
        <v>-1.3636000000000099</v>
      </c>
      <c r="AF5705">
        <v>2.14734385111892</v>
      </c>
      <c r="AG5705">
        <v>-1.1094153355299901</v>
      </c>
      <c r="AH5705">
        <v>2.3559564041929102</v>
      </c>
      <c r="AI5705">
        <v>109.189269640417</v>
      </c>
      <c r="AJ5705">
        <v>47.652294819830601</v>
      </c>
      <c r="AK5705">
        <v>3.3752657051119699</v>
      </c>
      <c r="AL5705">
        <v>88.802103741353093</v>
      </c>
      <c r="AM5705">
        <v>78.807781273744297</v>
      </c>
      <c r="AN5705">
        <v>0.99999996609935105</v>
      </c>
    </row>
    <row r="5706" spans="1:40" x14ac:dyDescent="0.25">
      <c r="A5706" t="str">
        <f>"20190312154036110"</f>
        <v>20190312154036110</v>
      </c>
      <c r="B5706" t="str">
        <f>"1552376436101543"</f>
        <v>1552376436101543</v>
      </c>
      <c r="C5706" t="s">
        <v>40</v>
      </c>
      <c r="D5706">
        <v>4.4723750000000004</v>
      </c>
      <c r="E5706">
        <v>0.71953400000000001</v>
      </c>
      <c r="F5706" t="s">
        <v>55</v>
      </c>
      <c r="G5706">
        <v>-198.40690000000001</v>
      </c>
      <c r="H5706" s="1">
        <v>-1.232355E-5</v>
      </c>
      <c r="I5706">
        <v>149.93629999999999</v>
      </c>
      <c r="J5706">
        <v>-195.17320000000001</v>
      </c>
      <c r="K5706">
        <v>1.1094120000000001</v>
      </c>
      <c r="L5706">
        <v>151.2955</v>
      </c>
      <c r="M5706">
        <v>-0.42106779999999999</v>
      </c>
      <c r="N5706">
        <v>0</v>
      </c>
      <c r="O5706">
        <v>-0.90693279999999998</v>
      </c>
      <c r="P5706">
        <v>-0.58917120000000001</v>
      </c>
      <c r="Q5706">
        <v>8.8116140000000006E-3</v>
      </c>
      <c r="R5706">
        <v>-0.80796020000000002</v>
      </c>
      <c r="S5706">
        <v>-3.2160799999999998</v>
      </c>
      <c r="T5706">
        <v>-1.095604</v>
      </c>
      <c r="U5706">
        <v>-1.384735</v>
      </c>
      <c r="V5706">
        <v>0.19419739999999999</v>
      </c>
      <c r="W5706">
        <v>2.1361939999999999E-2</v>
      </c>
      <c r="X5706">
        <v>0.98072979999999998</v>
      </c>
      <c r="Y5706">
        <v>0.61622710000000003</v>
      </c>
      <c r="Z5706">
        <v>0.3175888</v>
      </c>
      <c r="AA5706">
        <v>0.72069510000000003</v>
      </c>
      <c r="AB5706">
        <v>8</v>
      </c>
      <c r="AC5706">
        <v>-3.23369999999999</v>
      </c>
      <c r="AD5706">
        <v>-1.1094243235500001</v>
      </c>
      <c r="AE5706">
        <v>-1.35920000000001</v>
      </c>
      <c r="AF5706">
        <v>2.1459728261189501</v>
      </c>
      <c r="AG5706">
        <v>-1.1094243235500001</v>
      </c>
      <c r="AH5706">
        <v>2.35860039530764</v>
      </c>
      <c r="AI5706">
        <v>109.183658587029</v>
      </c>
      <c r="AJ5706">
        <v>47.702503832557703</v>
      </c>
      <c r="AK5706">
        <v>3.37624310808192</v>
      </c>
      <c r="AL5706">
        <v>88.775957829501195</v>
      </c>
      <c r="AM5706">
        <v>78.799568793220999</v>
      </c>
      <c r="AN5706">
        <v>0.99999995162767996</v>
      </c>
    </row>
    <row r="5707" spans="1:40" x14ac:dyDescent="0.25">
      <c r="A5707" t="str">
        <f>"20190312154036123"</f>
        <v>20190312154036123</v>
      </c>
      <c r="B5707" t="str">
        <f>"1552376436122038"</f>
        <v>1552376436122038</v>
      </c>
      <c r="C5707" t="s">
        <v>40</v>
      </c>
      <c r="D5707">
        <v>4.3637730000000001</v>
      </c>
      <c r="E5707">
        <v>0.71937850000000003</v>
      </c>
      <c r="F5707" t="s">
        <v>55</v>
      </c>
      <c r="G5707">
        <v>-198.43559999999999</v>
      </c>
      <c r="H5707" s="1">
        <v>-1.2312279999999999E-5</v>
      </c>
      <c r="I5707">
        <v>149.8982</v>
      </c>
      <c r="J5707">
        <v>-195.19560000000001</v>
      </c>
      <c r="K5707">
        <v>1.1093919999999999</v>
      </c>
      <c r="L5707">
        <v>151.25370000000001</v>
      </c>
      <c r="M5707">
        <v>-0.42316179999999898</v>
      </c>
      <c r="N5707">
        <v>0</v>
      </c>
      <c r="O5707">
        <v>-0.90595870000000001</v>
      </c>
      <c r="P5707">
        <v>-0.59101130000000002</v>
      </c>
      <c r="Q5707">
        <v>8.7862449999999998E-3</v>
      </c>
      <c r="R5707">
        <v>-0.80661579999999999</v>
      </c>
      <c r="S5707">
        <v>-3.2180939999999998</v>
      </c>
      <c r="T5707">
        <v>-1.094371</v>
      </c>
      <c r="U5707">
        <v>-1.378342</v>
      </c>
      <c r="V5707">
        <v>0.19416749999999999</v>
      </c>
      <c r="W5707">
        <v>2.1268019999999999E-2</v>
      </c>
      <c r="X5707">
        <v>0.98073779999999999</v>
      </c>
      <c r="Y5707">
        <v>0.61595230000000001</v>
      </c>
      <c r="Z5707">
        <v>0.31723410000000002</v>
      </c>
      <c r="AA5707">
        <v>0.72108619999999901</v>
      </c>
      <c r="AB5707">
        <v>8</v>
      </c>
      <c r="AC5707">
        <v>-3.2399999999999798</v>
      </c>
      <c r="AD5707">
        <v>-1.1094043122799999</v>
      </c>
      <c r="AE5707">
        <v>-1.3554999999999999</v>
      </c>
      <c r="AF5707">
        <v>2.1476256236521398</v>
      </c>
      <c r="AG5707">
        <v>-1.1094043122799999</v>
      </c>
      <c r="AH5707">
        <v>2.36347017368014</v>
      </c>
      <c r="AI5707">
        <v>109.15708050310801</v>
      </c>
      <c r="AJ5707">
        <v>47.739369250300101</v>
      </c>
      <c r="AK5707">
        <v>3.3806900197072598</v>
      </c>
      <c r="AL5707">
        <v>88.781340318421698</v>
      </c>
      <c r="AM5707">
        <v>78.801338742182196</v>
      </c>
      <c r="AN5707">
        <v>0.99999998953990499</v>
      </c>
    </row>
    <row r="5708" spans="1:40" x14ac:dyDescent="0.25">
      <c r="A5708" t="str">
        <f>"20190312154036331"</f>
        <v>20190312154036331</v>
      </c>
      <c r="B5708" t="str">
        <f>"1552376436322119"</f>
        <v>1552376436322119</v>
      </c>
      <c r="C5708" t="s">
        <v>40</v>
      </c>
      <c r="D5708">
        <v>4.3209299999999997</v>
      </c>
      <c r="E5708">
        <v>0.71937850000000003</v>
      </c>
      <c r="F5708" t="s">
        <v>55</v>
      </c>
      <c r="G5708">
        <v>-198.518</v>
      </c>
      <c r="H5708" s="1">
        <v>-1.230088E-5</v>
      </c>
      <c r="I5708">
        <v>149.83750000000001</v>
      </c>
      <c r="J5708">
        <v>-195.57560000000001</v>
      </c>
      <c r="K5708">
        <v>1.1093500000000001</v>
      </c>
      <c r="L5708">
        <v>150.5789</v>
      </c>
      <c r="M5708">
        <v>-0.4574454</v>
      </c>
      <c r="N5708">
        <v>0</v>
      </c>
      <c r="O5708">
        <v>-0.88915149999999998</v>
      </c>
      <c r="P5708">
        <v>-0.63228989999999996</v>
      </c>
      <c r="Q5708">
        <v>3.3247319999999999E-3</v>
      </c>
      <c r="R5708">
        <v>-0.77472489999999905</v>
      </c>
      <c r="S5708">
        <v>-3.2192539999999998</v>
      </c>
      <c r="T5708">
        <v>-1.0749679999999999</v>
      </c>
      <c r="U5708">
        <v>-1.3721920000000001</v>
      </c>
      <c r="V5708">
        <v>0.2078546</v>
      </c>
      <c r="W5708">
        <v>1.5017249999999999E-2</v>
      </c>
      <c r="X5708">
        <v>0.97804449999999998</v>
      </c>
      <c r="Y5708">
        <v>0.59026440000000002</v>
      </c>
      <c r="Z5708">
        <v>0.3083572</v>
      </c>
      <c r="AA5708">
        <v>0.74599179999999998</v>
      </c>
      <c r="AB5708">
        <v>8</v>
      </c>
      <c r="AC5708">
        <v>-2.9423999999999899</v>
      </c>
      <c r="AD5708">
        <v>-1.10936230088</v>
      </c>
      <c r="AE5708">
        <v>-0.74139999999999795</v>
      </c>
      <c r="AF5708">
        <v>2.0087667681594499</v>
      </c>
      <c r="AG5708">
        <v>-1.10936230088</v>
      </c>
      <c r="AH5708">
        <v>1.7689194707687801</v>
      </c>
      <c r="AI5708">
        <v>112.512346040308</v>
      </c>
      <c r="AJ5708">
        <v>41.367136832192699</v>
      </c>
      <c r="AK5708">
        <v>2.8973961996144899</v>
      </c>
      <c r="AL5708">
        <v>89.139542653159495</v>
      </c>
      <c r="AM5708">
        <v>78.001971620955004</v>
      </c>
      <c r="AN5708">
        <v>1.00000004825948</v>
      </c>
    </row>
    <row r="5709" spans="1:40" x14ac:dyDescent="0.25">
      <c r="A5709" t="str">
        <f>"20190312154036343"</f>
        <v>20190312154036343</v>
      </c>
      <c r="B5709" t="str">
        <f>"1552376436331879"</f>
        <v>1552376436331879</v>
      </c>
      <c r="C5709" t="s">
        <v>40</v>
      </c>
      <c r="D5709">
        <v>4.240075</v>
      </c>
      <c r="E5709">
        <v>0.65229979999999999</v>
      </c>
      <c r="F5709" t="s">
        <v>55</v>
      </c>
      <c r="G5709">
        <v>-198.8381</v>
      </c>
      <c r="H5709" s="1">
        <v>-1.219942E-5</v>
      </c>
      <c r="I5709">
        <v>149.37610000000001</v>
      </c>
      <c r="J5709">
        <v>-195.59639999999999</v>
      </c>
      <c r="K5709">
        <v>1.1093489999999999</v>
      </c>
      <c r="L5709">
        <v>150.54349999999999</v>
      </c>
      <c r="M5709">
        <v>-0.45924369999999998</v>
      </c>
      <c r="N5709">
        <v>0</v>
      </c>
      <c r="O5709">
        <v>-0.88822409999999996</v>
      </c>
      <c r="P5709">
        <v>-0.63450099999999998</v>
      </c>
      <c r="Q5709">
        <v>3.477894E-3</v>
      </c>
      <c r="R5709">
        <v>-0.7729144</v>
      </c>
      <c r="S5709">
        <v>-3.2723390000000001</v>
      </c>
      <c r="T5709">
        <v>-1.112681</v>
      </c>
      <c r="U5709">
        <v>-1.2064060000000001</v>
      </c>
      <c r="V5709">
        <v>0.20867069999999999</v>
      </c>
      <c r="W5709">
        <v>1.5156940000000001E-2</v>
      </c>
      <c r="X5709">
        <v>0.97786850000000003</v>
      </c>
      <c r="Y5709">
        <v>0.62054560000000003</v>
      </c>
      <c r="Z5709">
        <v>0.32266070000000002</v>
      </c>
      <c r="AA5709">
        <v>0.71471200000000001</v>
      </c>
      <c r="AB5709">
        <v>8</v>
      </c>
      <c r="AC5709">
        <v>-3.2416999999999998</v>
      </c>
      <c r="AD5709">
        <v>-1.1093611994200001</v>
      </c>
      <c r="AE5709">
        <v>-1.16739999999998</v>
      </c>
      <c r="AF5709">
        <v>2.1232975711660602</v>
      </c>
      <c r="AG5709">
        <v>-1.1093611994200001</v>
      </c>
      <c r="AH5709">
        <v>2.2885847833309798</v>
      </c>
      <c r="AI5709">
        <v>109.562801092981</v>
      </c>
      <c r="AJ5709">
        <v>47.145531531025497</v>
      </c>
      <c r="AK5709">
        <v>3.3131095902478598</v>
      </c>
      <c r="AL5709">
        <v>89.131538051899199</v>
      </c>
      <c r="AM5709">
        <v>77.954132243955399</v>
      </c>
      <c r="AN5709">
        <v>0.99999999858045097</v>
      </c>
    </row>
    <row r="5710" spans="1:40" x14ac:dyDescent="0.25">
      <c r="A5710" t="str">
        <f>"20190312154036356"</f>
        <v>20190312154036356</v>
      </c>
      <c r="B5710" t="str">
        <f>"1552376436352375"</f>
        <v>1552376436352375</v>
      </c>
      <c r="C5710" t="s">
        <v>40</v>
      </c>
      <c r="D5710">
        <v>4.2551750000000004</v>
      </c>
      <c r="E5710">
        <v>0.65371499999999905</v>
      </c>
      <c r="F5710" t="s">
        <v>55</v>
      </c>
      <c r="G5710">
        <v>-206.04859999999999</v>
      </c>
      <c r="H5710" s="1">
        <v>-8.5084229999999993E-6</v>
      </c>
      <c r="I5710">
        <v>144.87379999999999</v>
      </c>
      <c r="J5710">
        <v>-195.6191</v>
      </c>
      <c r="K5710">
        <v>1.109353</v>
      </c>
      <c r="L5710">
        <v>150.5052</v>
      </c>
      <c r="M5710">
        <v>-0.4611942</v>
      </c>
      <c r="N5710">
        <v>0</v>
      </c>
      <c r="O5710">
        <v>-0.88721309999999998</v>
      </c>
      <c r="P5710">
        <v>-0.63663979999999998</v>
      </c>
      <c r="Q5710">
        <v>3.240246E-3</v>
      </c>
      <c r="R5710">
        <v>-0.77115469999999997</v>
      </c>
      <c r="S5710">
        <v>-2.8479160000000001</v>
      </c>
      <c r="T5710">
        <v>-0.3022687</v>
      </c>
      <c r="U5710">
        <v>-1.5448299999999999</v>
      </c>
      <c r="V5710">
        <v>0.2092301</v>
      </c>
      <c r="W5710">
        <v>1.4905679999999999E-2</v>
      </c>
      <c r="X5710">
        <v>0.97775279999999998</v>
      </c>
      <c r="Y5710">
        <v>0.55564999999999998</v>
      </c>
      <c r="Z5710">
        <v>9.551163E-2</v>
      </c>
      <c r="AA5710">
        <v>0.82591190000000003</v>
      </c>
      <c r="AB5710">
        <v>8</v>
      </c>
      <c r="AC5710">
        <v>-10.4294999999999</v>
      </c>
      <c r="AD5710">
        <v>-1.109361508423</v>
      </c>
      <c r="AE5710">
        <v>-5.63140000000001</v>
      </c>
      <c r="AF5710">
        <v>6.5987231209466497</v>
      </c>
      <c r="AG5710">
        <v>-1.109361508423</v>
      </c>
      <c r="AH5710">
        <v>9.7218615786733409</v>
      </c>
      <c r="AI5710">
        <v>95.393613630545801</v>
      </c>
      <c r="AJ5710">
        <v>55.833261808128697</v>
      </c>
      <c r="AK5710">
        <v>11.802051615637399</v>
      </c>
      <c r="AL5710">
        <v>89.145935796819401</v>
      </c>
      <c r="AM5710">
        <v>77.921399625125304</v>
      </c>
      <c r="AN5710">
        <v>0.99999997597505597</v>
      </c>
    </row>
    <row r="5711" spans="1:40" x14ac:dyDescent="0.25">
      <c r="A5711" t="str">
        <f>"20190312154036367"</f>
        <v>20190312154036367</v>
      </c>
      <c r="B5711" t="str">
        <f>"1552376436362135"</f>
        <v>1552376436362135</v>
      </c>
      <c r="C5711" t="s">
        <v>40</v>
      </c>
      <c r="D5711">
        <v>4.2702640000000001</v>
      </c>
      <c r="E5711">
        <v>0.65431989999999995</v>
      </c>
      <c r="F5711" t="s">
        <v>55</v>
      </c>
      <c r="G5711">
        <v>-205.9539</v>
      </c>
      <c r="H5711" s="1">
        <v>-8.5782299999999905E-6</v>
      </c>
      <c r="I5711">
        <v>144.97919999999999</v>
      </c>
      <c r="J5711">
        <v>-195.6412</v>
      </c>
      <c r="K5711">
        <v>1.1093550000000001</v>
      </c>
      <c r="L5711">
        <v>150.46809999999999</v>
      </c>
      <c r="M5711">
        <v>-0.4630763</v>
      </c>
      <c r="N5711">
        <v>0</v>
      </c>
      <c r="O5711">
        <v>-0.88623240000000003</v>
      </c>
      <c r="P5711">
        <v>-0.63855930000000005</v>
      </c>
      <c r="Q5711">
        <v>3.3250060000000001E-3</v>
      </c>
      <c r="R5711">
        <v>-0.76956569999999902</v>
      </c>
      <c r="S5711">
        <v>-2.8608859999999998</v>
      </c>
      <c r="T5711">
        <v>-0.30709570000000003</v>
      </c>
      <c r="U5711">
        <v>-1.529709</v>
      </c>
      <c r="V5711">
        <v>0.20959140000000001</v>
      </c>
      <c r="W5711">
        <v>1.4980540000000001E-2</v>
      </c>
      <c r="X5711">
        <v>0.9776743</v>
      </c>
      <c r="Y5711">
        <v>0.55871110000000002</v>
      </c>
      <c r="Z5711">
        <v>9.6950700000000001E-2</v>
      </c>
      <c r="AA5711">
        <v>0.82367619999999897</v>
      </c>
      <c r="AB5711">
        <v>8</v>
      </c>
      <c r="AC5711">
        <v>-10.3127</v>
      </c>
      <c r="AD5711">
        <v>-1.10936357822999</v>
      </c>
      <c r="AE5711">
        <v>-5.4889000000000001</v>
      </c>
      <c r="AF5711">
        <v>6.53920603519843</v>
      </c>
      <c r="AG5711">
        <v>-1.10936357822999</v>
      </c>
      <c r="AH5711">
        <v>9.5545858450995809</v>
      </c>
      <c r="AI5711">
        <v>95.473147984078906</v>
      </c>
      <c r="AJ5711">
        <v>55.612067620087899</v>
      </c>
      <c r="AK5711">
        <v>11.6310796485475</v>
      </c>
      <c r="AL5711">
        <v>89.141646179937695</v>
      </c>
      <c r="AM5711">
        <v>77.9002134086262</v>
      </c>
      <c r="AN5711">
        <v>1.00000000420657</v>
      </c>
    </row>
    <row r="5712" spans="1:40" x14ac:dyDescent="0.25">
      <c r="A5712" t="str">
        <f>"20190312154036379"</f>
        <v>20190312154036379</v>
      </c>
      <c r="B5712" t="str">
        <f>"1552376436371895"</f>
        <v>1552376436371895</v>
      </c>
      <c r="C5712" t="s">
        <v>40</v>
      </c>
      <c r="D5712">
        <v>4.4238670000000004</v>
      </c>
      <c r="E5712">
        <v>0.65492299999999903</v>
      </c>
      <c r="F5712" t="s">
        <v>55</v>
      </c>
      <c r="G5712">
        <v>-206.10339999999999</v>
      </c>
      <c r="H5712" s="1">
        <v>-8.4978059999999999E-6</v>
      </c>
      <c r="I5712">
        <v>144.92570000000001</v>
      </c>
      <c r="J5712">
        <v>-195.66419999999999</v>
      </c>
      <c r="K5712">
        <v>1.109361</v>
      </c>
      <c r="L5712">
        <v>150.4297</v>
      </c>
      <c r="M5712">
        <v>-0.46502959999999899</v>
      </c>
      <c r="N5712">
        <v>0</v>
      </c>
      <c r="O5712">
        <v>-0.88520900000000002</v>
      </c>
      <c r="P5712">
        <v>-0.64059239999999995</v>
      </c>
      <c r="Q5712">
        <v>3.349655E-3</v>
      </c>
      <c r="R5712">
        <v>-0.7678739</v>
      </c>
      <c r="S5712">
        <v>-2.8683779999999999</v>
      </c>
      <c r="T5712">
        <v>-0.3041507</v>
      </c>
      <c r="U5712">
        <v>-1.519547</v>
      </c>
      <c r="V5712">
        <v>0.21002100000000001</v>
      </c>
      <c r="W5712">
        <v>1.4994840000000001E-2</v>
      </c>
      <c r="X5712">
        <v>0.9775819</v>
      </c>
      <c r="Y5712">
        <v>0.56014609999999998</v>
      </c>
      <c r="Z5712">
        <v>9.5975350000000001E-2</v>
      </c>
      <c r="AA5712">
        <v>0.82281539999999997</v>
      </c>
      <c r="AB5712">
        <v>8</v>
      </c>
      <c r="AC5712">
        <v>-10.4392</v>
      </c>
      <c r="AD5712">
        <v>-1.109369497806</v>
      </c>
      <c r="AE5712">
        <v>-5.5039999999999898</v>
      </c>
      <c r="AF5712">
        <v>6.6233317244524397</v>
      </c>
      <c r="AG5712">
        <v>-1.109369497806</v>
      </c>
      <c r="AH5712">
        <v>9.6422629125180208</v>
      </c>
      <c r="AI5712">
        <v>95.417421419741203</v>
      </c>
      <c r="AJ5712">
        <v>55.514579799260403</v>
      </c>
      <c r="AK5712">
        <v>11.750423732313701</v>
      </c>
      <c r="AL5712">
        <v>89.140826770483102</v>
      </c>
      <c r="AM5712">
        <v>77.875033411915794</v>
      </c>
      <c r="AN5712">
        <v>1.0000000184376101</v>
      </c>
    </row>
    <row r="5713" spans="1:40" x14ac:dyDescent="0.25">
      <c r="A5713" t="str">
        <f>"20190312154036391"</f>
        <v>20190312154036391</v>
      </c>
      <c r="B5713" t="str">
        <f>"1552376436381656"</f>
        <v>1552376436381656</v>
      </c>
      <c r="C5713" t="s">
        <v>40</v>
      </c>
      <c r="D5713">
        <v>4.342028</v>
      </c>
      <c r="E5713">
        <v>0.65407689999999996</v>
      </c>
      <c r="F5713" t="s">
        <v>55</v>
      </c>
      <c r="G5713">
        <v>-206.20760000000001</v>
      </c>
      <c r="H5713" s="1">
        <v>-8.4441249999999994E-6</v>
      </c>
      <c r="I5713">
        <v>144.8974</v>
      </c>
      <c r="J5713">
        <v>-195.68690000000001</v>
      </c>
      <c r="K5713">
        <v>1.1093649999999999</v>
      </c>
      <c r="L5713">
        <v>150.39189999999999</v>
      </c>
      <c r="M5713">
        <v>-0.466947</v>
      </c>
      <c r="N5713">
        <v>0</v>
      </c>
      <c r="O5713">
        <v>-0.88419939999999997</v>
      </c>
      <c r="P5713">
        <v>-0.64215610000000001</v>
      </c>
      <c r="Q5713">
        <v>3.2543020000000001E-3</v>
      </c>
      <c r="R5713">
        <v>-0.76656749999999996</v>
      </c>
      <c r="S5713">
        <v>-2.8758849999999998</v>
      </c>
      <c r="T5713">
        <v>-0.30260049999999999</v>
      </c>
      <c r="U5713">
        <v>-1.5090479999999999</v>
      </c>
      <c r="V5713">
        <v>0.2098942</v>
      </c>
      <c r="W5713">
        <v>1.4895190000000001E-2</v>
      </c>
      <c r="X5713">
        <v>0.9776106</v>
      </c>
      <c r="Y5713">
        <v>0.56164349999999996</v>
      </c>
      <c r="Z5713">
        <v>9.5443040000000007E-2</v>
      </c>
      <c r="AA5713">
        <v>0.82185599999999903</v>
      </c>
      <c r="AB5713">
        <v>8</v>
      </c>
      <c r="AC5713">
        <v>-10.5207</v>
      </c>
      <c r="AD5713">
        <v>-1.1093734441249901</v>
      </c>
      <c r="AE5713">
        <v>-5.49449999999998</v>
      </c>
      <c r="AF5713">
        <v>6.6789197290365498</v>
      </c>
      <c r="AG5713">
        <v>-1.1093734441249901</v>
      </c>
      <c r="AH5713">
        <v>9.6869579661105494</v>
      </c>
      <c r="AI5713">
        <v>95.386164443539101</v>
      </c>
      <c r="AJ5713">
        <v>55.414690084751598</v>
      </c>
      <c r="AK5713">
        <v>11.8184530638589</v>
      </c>
      <c r="AL5713">
        <v>89.146536885693294</v>
      </c>
      <c r="AM5713">
        <v>77.882482667097094</v>
      </c>
      <c r="AN5713">
        <v>0.99999996355556697</v>
      </c>
    </row>
    <row r="5714" spans="1:40" x14ac:dyDescent="0.25">
      <c r="A5714" t="str">
        <f>"20190312154036408"</f>
        <v>20190312154036408</v>
      </c>
      <c r="B5714" t="str">
        <f>"1552376436402151"</f>
        <v>1552376436402151</v>
      </c>
      <c r="C5714" t="s">
        <v>40</v>
      </c>
      <c r="D5714">
        <v>4.4594829999999996</v>
      </c>
      <c r="E5714">
        <v>0.65140940000000003</v>
      </c>
      <c r="F5714" t="s">
        <v>55</v>
      </c>
      <c r="G5714">
        <v>-206.10390000000001</v>
      </c>
      <c r="H5714" s="1">
        <v>-8.4983510000000008E-6</v>
      </c>
      <c r="I5714">
        <v>144.92859999999999</v>
      </c>
      <c r="J5714">
        <v>-195.71899999999999</v>
      </c>
      <c r="K5714">
        <v>1.109367</v>
      </c>
      <c r="L5714">
        <v>150.3389</v>
      </c>
      <c r="M5714">
        <v>-0.46964109999999998</v>
      </c>
      <c r="N5714">
        <v>0</v>
      </c>
      <c r="O5714">
        <v>-0.88277139999999998</v>
      </c>
      <c r="P5714">
        <v>-0.64441769999999998</v>
      </c>
      <c r="Q5714">
        <v>3.3636859999999998E-3</v>
      </c>
      <c r="R5714">
        <v>-0.76466659999999997</v>
      </c>
      <c r="S5714">
        <v>-2.8739469999999998</v>
      </c>
      <c r="T5714">
        <v>-0.30606689999999998</v>
      </c>
      <c r="U5714">
        <v>-1.5072939999999999</v>
      </c>
      <c r="V5714">
        <v>0.20980119999999999</v>
      </c>
      <c r="W5714">
        <v>1.5000080000000001E-2</v>
      </c>
      <c r="X5714">
        <v>0.97762899999999997</v>
      </c>
      <c r="Y5714">
        <v>0.55918979999999996</v>
      </c>
      <c r="Z5714">
        <v>9.6476229999999996E-2</v>
      </c>
      <c r="AA5714">
        <v>0.82340709999999995</v>
      </c>
      <c r="AB5714">
        <v>8</v>
      </c>
      <c r="AC5714">
        <v>-10.384899999999901</v>
      </c>
      <c r="AD5714">
        <v>-1.109375498351</v>
      </c>
      <c r="AE5714">
        <v>-5.4103000000000003</v>
      </c>
      <c r="AF5714">
        <v>6.5681436545519398</v>
      </c>
      <c r="AG5714">
        <v>-1.109375498351</v>
      </c>
      <c r="AH5714">
        <v>9.5680876928666194</v>
      </c>
      <c r="AI5714">
        <v>95.460317100585101</v>
      </c>
      <c r="AJ5714">
        <v>55.531820227860699</v>
      </c>
      <c r="AK5714">
        <v>11.6584530346679</v>
      </c>
      <c r="AL5714">
        <v>89.140526494236099</v>
      </c>
      <c r="AM5714">
        <v>77.887914365673893</v>
      </c>
      <c r="AN5714">
        <v>1.00000000378122</v>
      </c>
    </row>
    <row r="5715" spans="1:40" x14ac:dyDescent="0.25">
      <c r="A5715" t="str">
        <f>"20190312154036420"</f>
        <v>20190312154036420</v>
      </c>
      <c r="B5715" t="str">
        <f>"1552376436411911"</f>
        <v>1552376436411911</v>
      </c>
      <c r="C5715" t="s">
        <v>40</v>
      </c>
      <c r="D5715">
        <v>4.4512960000000001</v>
      </c>
      <c r="E5715">
        <v>0.6499568</v>
      </c>
      <c r="F5715" t="s">
        <v>55</v>
      </c>
      <c r="G5715">
        <v>-205.9873</v>
      </c>
      <c r="H5715" s="1">
        <v>-8.5461710000000003E-6</v>
      </c>
      <c r="I5715">
        <v>144.91390000000001</v>
      </c>
      <c r="J5715">
        <v>-195.74189999999999</v>
      </c>
      <c r="K5715">
        <v>1.1093710000000001</v>
      </c>
      <c r="L5715">
        <v>150.3013</v>
      </c>
      <c r="M5715">
        <v>-0.47155340000000001</v>
      </c>
      <c r="N5715">
        <v>0</v>
      </c>
      <c r="O5715">
        <v>-0.88175139999999996</v>
      </c>
      <c r="P5715">
        <v>-0.64545929999999996</v>
      </c>
      <c r="Q5715">
        <v>3.4014370000000002E-3</v>
      </c>
      <c r="R5715">
        <v>-0.763787199999999</v>
      </c>
      <c r="S5715">
        <v>-2.8624420000000002</v>
      </c>
      <c r="T5715">
        <v>-0.30925540000000001</v>
      </c>
      <c r="U5715">
        <v>-1.5123139999999999</v>
      </c>
      <c r="V5715">
        <v>0.20901449999999999</v>
      </c>
      <c r="W5715">
        <v>1.5037750000000001E-2</v>
      </c>
      <c r="X5715">
        <v>0.97779689999999997</v>
      </c>
      <c r="Y5715">
        <v>0.55479519999999904</v>
      </c>
      <c r="Z5715">
        <v>9.7537380000000007E-2</v>
      </c>
      <c r="AA5715">
        <v>0.82624979999999904</v>
      </c>
      <c r="AB5715">
        <v>8</v>
      </c>
      <c r="AC5715">
        <v>-10.2454</v>
      </c>
      <c r="AD5715">
        <v>-1.1093795461710001</v>
      </c>
      <c r="AE5715">
        <v>-5.38739999999998</v>
      </c>
      <c r="AF5715">
        <v>6.43483794433621</v>
      </c>
      <c r="AG5715">
        <v>-1.1093795461710001</v>
      </c>
      <c r="AH5715">
        <v>9.4951154109261697</v>
      </c>
      <c r="AI5715">
        <v>95.524397444133896</v>
      </c>
      <c r="AJ5715">
        <v>55.874513931431103</v>
      </c>
      <c r="AK5715">
        <v>11.523674718341301</v>
      </c>
      <c r="AL5715">
        <v>89.138367903779795</v>
      </c>
      <c r="AM5715">
        <v>77.934009274179303</v>
      </c>
      <c r="AN5715">
        <v>0.99999998639246102</v>
      </c>
    </row>
    <row r="5716" spans="1:40" x14ac:dyDescent="0.25">
      <c r="A5716" t="str">
        <f>"20190312154036435"</f>
        <v>20190312154036435</v>
      </c>
      <c r="B5716" t="str">
        <f>"1552376436421671"</f>
        <v>1552376436421671</v>
      </c>
      <c r="C5716" t="s">
        <v>40</v>
      </c>
      <c r="D5716">
        <v>4.435924</v>
      </c>
      <c r="E5716">
        <v>0.64882759999999995</v>
      </c>
      <c r="F5716" t="s">
        <v>55</v>
      </c>
      <c r="G5716">
        <v>-205.38659999999999</v>
      </c>
      <c r="H5716" s="1">
        <v>-8.8834569999999996E-6</v>
      </c>
      <c r="I5716">
        <v>145.1825</v>
      </c>
      <c r="J5716">
        <v>-195.76949999999999</v>
      </c>
      <c r="K5716">
        <v>1.1093729999999999</v>
      </c>
      <c r="L5716">
        <v>150.25620000000001</v>
      </c>
      <c r="M5716">
        <v>-0.47384939999999998</v>
      </c>
      <c r="N5716">
        <v>0</v>
      </c>
      <c r="O5716">
        <v>-0.88051999999999997</v>
      </c>
      <c r="P5716">
        <v>-0.64711750000000001</v>
      </c>
      <c r="Q5716">
        <v>3.4992299999999999E-3</v>
      </c>
      <c r="R5716">
        <v>-0.76238260000000002</v>
      </c>
      <c r="S5716">
        <v>-2.8559420000000002</v>
      </c>
      <c r="T5716">
        <v>-0.32850240000000003</v>
      </c>
      <c r="U5716">
        <v>-1.515747</v>
      </c>
      <c r="V5716">
        <v>0.20859169999999999</v>
      </c>
      <c r="W5716">
        <v>1.5132629999999999E-2</v>
      </c>
      <c r="X5716">
        <v>0.97788569999999997</v>
      </c>
      <c r="Y5716">
        <v>0.55048889999999995</v>
      </c>
      <c r="Z5716">
        <v>0.103503399999999</v>
      </c>
      <c r="AA5716">
        <v>0.82840139999999995</v>
      </c>
      <c r="AB5716">
        <v>8</v>
      </c>
      <c r="AC5716">
        <v>-9.61709999999999</v>
      </c>
      <c r="AD5716">
        <v>-1.109381883457</v>
      </c>
      <c r="AE5716">
        <v>-5.0736999999999997</v>
      </c>
      <c r="AF5716">
        <v>6.0018614185714103</v>
      </c>
      <c r="AG5716">
        <v>-1.109381883457</v>
      </c>
      <c r="AH5716">
        <v>8.9322536105961508</v>
      </c>
      <c r="AI5716">
        <v>95.885778833864094</v>
      </c>
      <c r="AJ5716">
        <v>56.101608188338503</v>
      </c>
      <c r="AK5716">
        <v>10.818420550851499</v>
      </c>
      <c r="AL5716">
        <v>89.132931045575404</v>
      </c>
      <c r="AM5716">
        <v>77.9587651403845</v>
      </c>
      <c r="AN5716">
        <v>0.99999996803204705</v>
      </c>
    </row>
    <row r="5717" spans="1:40" x14ac:dyDescent="0.25">
      <c r="A5717" t="str">
        <f>"20190312154036448"</f>
        <v>20190312154036448</v>
      </c>
      <c r="B5717" t="str">
        <f>"1552376436442166"</f>
        <v>1552376436442166</v>
      </c>
      <c r="C5717" t="s">
        <v>40</v>
      </c>
      <c r="D5717">
        <v>4.4349749999999997</v>
      </c>
      <c r="E5717">
        <v>0.64663440000000005</v>
      </c>
      <c r="F5717" t="s">
        <v>55</v>
      </c>
      <c r="G5717">
        <v>-204.97900000000001</v>
      </c>
      <c r="H5717" s="1">
        <v>-9.1122269999999995E-6</v>
      </c>
      <c r="I5717">
        <v>145.36449999999999</v>
      </c>
      <c r="J5717">
        <v>-195.79480000000001</v>
      </c>
      <c r="K5717">
        <v>1.10938</v>
      </c>
      <c r="L5717">
        <v>150.21510000000001</v>
      </c>
      <c r="M5717">
        <v>-0.47594229999999998</v>
      </c>
      <c r="N5717">
        <v>0</v>
      </c>
      <c r="O5717">
        <v>-0.87939040000000002</v>
      </c>
      <c r="P5717">
        <v>-0.64854060000000002</v>
      </c>
      <c r="Q5717">
        <v>3.6929520000000002E-3</v>
      </c>
      <c r="R5717">
        <v>-0.76117100000000004</v>
      </c>
      <c r="S5717">
        <v>-2.8526760000000002</v>
      </c>
      <c r="T5717">
        <v>-0.3436323</v>
      </c>
      <c r="U5717">
        <v>-1.5152129999999999</v>
      </c>
      <c r="V5717">
        <v>0.20809340000000001</v>
      </c>
      <c r="W5717">
        <v>1.532334E-2</v>
      </c>
      <c r="X5717">
        <v>0.97798890000000005</v>
      </c>
      <c r="Y5717">
        <v>0.54774869999999898</v>
      </c>
      <c r="Z5717">
        <v>0.1081916</v>
      </c>
      <c r="AA5717">
        <v>0.82961790000000002</v>
      </c>
      <c r="AB5717">
        <v>8</v>
      </c>
      <c r="AC5717">
        <v>-9.1842000000000006</v>
      </c>
      <c r="AD5717">
        <v>-1.1093891122270001</v>
      </c>
      <c r="AE5717">
        <v>-4.8506000000000098</v>
      </c>
      <c r="AF5717">
        <v>5.7032617132899004</v>
      </c>
      <c r="AG5717">
        <v>-1.1093891122270001</v>
      </c>
      <c r="AH5717">
        <v>8.5399449170405699</v>
      </c>
      <c r="AI5717">
        <v>96.165752335547793</v>
      </c>
      <c r="AJ5717">
        <v>56.263671524765897</v>
      </c>
      <c r="AK5717">
        <v>10.329017260063599</v>
      </c>
      <c r="AL5717">
        <v>89.122002908878997</v>
      </c>
      <c r="AM5717">
        <v>77.987924405122897</v>
      </c>
      <c r="AN5717">
        <v>0.99999997819776199</v>
      </c>
    </row>
    <row r="5718" spans="1:40" x14ac:dyDescent="0.25">
      <c r="A5718" t="str">
        <f>"20190312154036465"</f>
        <v>20190312154036465</v>
      </c>
      <c r="B5718" t="str">
        <f>"1552376436461686"</f>
        <v>1552376436461686</v>
      </c>
      <c r="C5718" t="s">
        <v>40</v>
      </c>
      <c r="D5718">
        <v>4.4504140000000003</v>
      </c>
      <c r="E5718">
        <v>0.64490230000000004</v>
      </c>
      <c r="F5718" t="s">
        <v>55</v>
      </c>
      <c r="G5718">
        <v>-204.49180000000001</v>
      </c>
      <c r="H5718" s="1">
        <v>-9.3488740000000001E-6</v>
      </c>
      <c r="I5718">
        <v>145.5607</v>
      </c>
      <c r="J5718">
        <v>-195.82679999999999</v>
      </c>
      <c r="K5718">
        <v>1.1093839999999999</v>
      </c>
      <c r="L5718">
        <v>150.16329999999999</v>
      </c>
      <c r="M5718">
        <v>-0.47857919999999998</v>
      </c>
      <c r="N5718">
        <v>0</v>
      </c>
      <c r="O5718">
        <v>-0.87795829999999997</v>
      </c>
      <c r="P5718">
        <v>-0.64997159999999998</v>
      </c>
      <c r="Q5718">
        <v>4.0954839999999999E-3</v>
      </c>
      <c r="R5718">
        <v>-0.75994779999999995</v>
      </c>
      <c r="S5718">
        <v>-2.8424529999999999</v>
      </c>
      <c r="T5718">
        <v>-0.36258170000000001</v>
      </c>
      <c r="U5718">
        <v>-1.5211939999999999</v>
      </c>
      <c r="V5718">
        <v>0.20700009999999999</v>
      </c>
      <c r="W5718">
        <v>1.5724309999999998E-2</v>
      </c>
      <c r="X5718">
        <v>0.97821460000000005</v>
      </c>
      <c r="Y5718">
        <v>0.54200099999999996</v>
      </c>
      <c r="Z5718">
        <v>0.1140473</v>
      </c>
      <c r="AA5718">
        <v>0.83260330000000005</v>
      </c>
      <c r="AB5718">
        <v>8</v>
      </c>
      <c r="AC5718">
        <v>-8.6650000000000098</v>
      </c>
      <c r="AD5718">
        <v>-1.109393348874</v>
      </c>
      <c r="AE5718">
        <v>-4.60259999999999</v>
      </c>
      <c r="AF5718">
        <v>5.3369758896504704</v>
      </c>
      <c r="AG5718">
        <v>-1.109393348874</v>
      </c>
      <c r="AH5718">
        <v>8.0850322257740608</v>
      </c>
      <c r="AI5718">
        <v>96.532822748763905</v>
      </c>
      <c r="AJ5718">
        <v>56.57097030141</v>
      </c>
      <c r="AK5718">
        <v>9.7509902748921604</v>
      </c>
      <c r="AL5718">
        <v>89.099026315020097</v>
      </c>
      <c r="AM5718">
        <v>78.051893495585404</v>
      </c>
      <c r="AN5718">
        <v>1.00000004948907</v>
      </c>
    </row>
    <row r="5719" spans="1:40" x14ac:dyDescent="0.25">
      <c r="A5719" t="str">
        <f>"20190312154036482"</f>
        <v>20190312154036482</v>
      </c>
      <c r="B5719" t="str">
        <f>"1552376436471447"</f>
        <v>1552376436471447</v>
      </c>
      <c r="C5719" t="s">
        <v>40</v>
      </c>
      <c r="D5719">
        <v>4.4317859999999998</v>
      </c>
      <c r="E5719">
        <v>0.64408619999999905</v>
      </c>
      <c r="F5719" t="s">
        <v>55</v>
      </c>
      <c r="G5719">
        <v>-204.15170000000001</v>
      </c>
      <c r="H5719" s="1">
        <v>-9.5097419999999997E-6</v>
      </c>
      <c r="I5719">
        <v>145.68510000000001</v>
      </c>
      <c r="J5719">
        <v>-195.8603</v>
      </c>
      <c r="K5719">
        <v>1.1093820000000001</v>
      </c>
      <c r="L5719">
        <v>150.1095</v>
      </c>
      <c r="M5719">
        <v>-0.48132130000000001</v>
      </c>
      <c r="N5719">
        <v>0</v>
      </c>
      <c r="O5719">
        <v>-0.87645810000000002</v>
      </c>
      <c r="P5719">
        <v>-0.65178769999999997</v>
      </c>
      <c r="Q5719">
        <v>4.5856539999999998E-3</v>
      </c>
      <c r="R5719">
        <v>-0.7583879</v>
      </c>
      <c r="S5719">
        <v>-2.834946</v>
      </c>
      <c r="T5719">
        <v>-0.37779049999999997</v>
      </c>
      <c r="U5719">
        <v>-1.5250090000000001</v>
      </c>
      <c r="V5719">
        <v>0.20628460000000001</v>
      </c>
      <c r="W5719">
        <v>1.6211099999999999E-2</v>
      </c>
      <c r="X5719">
        <v>0.9783577</v>
      </c>
      <c r="Y5719">
        <v>0.53705319999999901</v>
      </c>
      <c r="Z5719">
        <v>0.1186976</v>
      </c>
      <c r="AA5719">
        <v>0.83515550000000005</v>
      </c>
      <c r="AB5719">
        <v>8</v>
      </c>
      <c r="AC5719">
        <v>-8.2914000000000101</v>
      </c>
      <c r="AD5719">
        <v>-1.109391509742</v>
      </c>
      <c r="AE5719">
        <v>-4.4243999999999897</v>
      </c>
      <c r="AF5719">
        <v>5.06728358262803</v>
      </c>
      <c r="AG5719">
        <v>-1.109391509742</v>
      </c>
      <c r="AH5719">
        <v>7.7610745520243603</v>
      </c>
      <c r="AI5719">
        <v>96.825278213486797</v>
      </c>
      <c r="AJ5719">
        <v>56.8590765558749</v>
      </c>
      <c r="AK5719">
        <v>9.3350088714869095</v>
      </c>
      <c r="AL5719">
        <v>89.071131666526199</v>
      </c>
      <c r="AM5719">
        <v>78.093703395582693</v>
      </c>
      <c r="AN5719">
        <v>0.99999996255482904</v>
      </c>
    </row>
    <row r="5720" spans="1:40" x14ac:dyDescent="0.25">
      <c r="A5720" t="str">
        <f>"20190312154036497"</f>
        <v>20190312154036497</v>
      </c>
      <c r="B5720" t="str">
        <f>"1552376436491943"</f>
        <v>1552376436491943</v>
      </c>
      <c r="C5720" t="s">
        <v>40</v>
      </c>
      <c r="D5720">
        <v>4.4396940000000003</v>
      </c>
      <c r="E5720">
        <v>0.64286650000000001</v>
      </c>
      <c r="F5720" t="s">
        <v>55</v>
      </c>
      <c r="G5720">
        <v>-204.08009999999999</v>
      </c>
      <c r="H5720" s="1">
        <v>-9.538991E-6</v>
      </c>
      <c r="I5720">
        <v>145.69380000000001</v>
      </c>
      <c r="J5720">
        <v>-195.89150000000001</v>
      </c>
      <c r="K5720">
        <v>1.109381</v>
      </c>
      <c r="L5720">
        <v>150.0598</v>
      </c>
      <c r="M5720">
        <v>-0.48385980000000001</v>
      </c>
      <c r="N5720">
        <v>0</v>
      </c>
      <c r="O5720">
        <v>-0.87505919999999904</v>
      </c>
      <c r="P5720">
        <v>-0.65380229999999995</v>
      </c>
      <c r="Q5720">
        <v>4.9397670000000003E-3</v>
      </c>
      <c r="R5720">
        <v>-0.75664969999999998</v>
      </c>
      <c r="S5720">
        <v>-2.8340299999999998</v>
      </c>
      <c r="T5720">
        <v>-0.38249670000000002</v>
      </c>
      <c r="U5720">
        <v>-1.5224610000000001</v>
      </c>
      <c r="V5720">
        <v>0.2060524</v>
      </c>
      <c r="W5720">
        <v>1.6560579999999998E-2</v>
      </c>
      <c r="X5720">
        <v>0.97840079999999996</v>
      </c>
      <c r="Y5720">
        <v>0.53491759999999999</v>
      </c>
      <c r="Z5720">
        <v>0.1200792</v>
      </c>
      <c r="AA5720">
        <v>0.83632779999999995</v>
      </c>
      <c r="AB5720">
        <v>8</v>
      </c>
      <c r="AC5720">
        <v>-8.1885999999999797</v>
      </c>
      <c r="AD5720">
        <v>-1.1093905389909999</v>
      </c>
      <c r="AE5720">
        <v>-4.3659999999999801</v>
      </c>
      <c r="AF5720">
        <v>4.9821552660955097</v>
      </c>
      <c r="AG5720">
        <v>-1.1093905389909999</v>
      </c>
      <c r="AH5720">
        <v>7.6735611892283204</v>
      </c>
      <c r="AI5720">
        <v>96.913774928215801</v>
      </c>
      <c r="AJ5720">
        <v>57.005848990801603</v>
      </c>
      <c r="AK5720">
        <v>9.2160815853765801</v>
      </c>
      <c r="AL5720">
        <v>89.051105269168701</v>
      </c>
      <c r="AM5720">
        <v>78.107232587588499</v>
      </c>
      <c r="AN5720">
        <v>0.99999998489816799</v>
      </c>
    </row>
    <row r="5721" spans="1:40" x14ac:dyDescent="0.25">
      <c r="A5721" t="str">
        <f>"20190312154036509"</f>
        <v>20190312154036509</v>
      </c>
      <c r="B5721" t="str">
        <f>"1552376436501703"</f>
        <v>1552376436501703</v>
      </c>
      <c r="C5721" t="s">
        <v>40</v>
      </c>
      <c r="D5721">
        <v>4.4331120000000004</v>
      </c>
      <c r="E5721">
        <v>0.64231870000000002</v>
      </c>
      <c r="F5721" t="s">
        <v>55</v>
      </c>
      <c r="G5721">
        <v>-203.8963</v>
      </c>
      <c r="H5721" s="1">
        <v>-9.6252379999999995E-6</v>
      </c>
      <c r="I5721">
        <v>145.7585</v>
      </c>
      <c r="J5721">
        <v>-195.91460000000001</v>
      </c>
      <c r="K5721">
        <v>1.1093839999999999</v>
      </c>
      <c r="L5721">
        <v>150.0231</v>
      </c>
      <c r="M5721">
        <v>-0.48573240000000001</v>
      </c>
      <c r="N5721">
        <v>0</v>
      </c>
      <c r="O5721">
        <v>-0.874021099999999</v>
      </c>
      <c r="P5721">
        <v>-0.65537829999999997</v>
      </c>
      <c r="Q5721">
        <v>4.8210019999999996E-3</v>
      </c>
      <c r="R5721">
        <v>-0.7552856</v>
      </c>
      <c r="S5721">
        <v>-2.8310089999999999</v>
      </c>
      <c r="T5721">
        <v>-0.39234999999999998</v>
      </c>
      <c r="U5721">
        <v>-1.52121</v>
      </c>
      <c r="V5721">
        <v>0.20599680000000001</v>
      </c>
      <c r="W5721">
        <v>1.6437569999999999E-2</v>
      </c>
      <c r="X5721">
        <v>0.97841460000000002</v>
      </c>
      <c r="Y5721">
        <v>0.53266159999999996</v>
      </c>
      <c r="Z5721">
        <v>0.1231163</v>
      </c>
      <c r="AA5721">
        <v>0.83732549999999994</v>
      </c>
      <c r="AB5721">
        <v>8</v>
      </c>
      <c r="AC5721">
        <v>-7.9816999999999796</v>
      </c>
      <c r="AD5721">
        <v>-1.1093936252379999</v>
      </c>
      <c r="AE5721">
        <v>-4.2645999999999997</v>
      </c>
      <c r="AF5721">
        <v>4.8324655390551197</v>
      </c>
      <c r="AG5721">
        <v>-1.1093936252379999</v>
      </c>
      <c r="AH5721">
        <v>7.4922970071881201</v>
      </c>
      <c r="AI5721">
        <v>97.093049710873998</v>
      </c>
      <c r="AJ5721">
        <v>57.178340525613898</v>
      </c>
      <c r="AK5721">
        <v>8.9843192199406001</v>
      </c>
      <c r="AL5721">
        <v>89.058154199099206</v>
      </c>
      <c r="AM5721">
        <v>78.110513240525705</v>
      </c>
      <c r="AN5721">
        <v>1.0000000024054501</v>
      </c>
    </row>
    <row r="5722" spans="1:40" x14ac:dyDescent="0.25">
      <c r="A5722" t="str">
        <f>"20190312154036522"</f>
        <v>20190312154036522</v>
      </c>
      <c r="B5722" t="str">
        <f>"1552376436511463"</f>
        <v>1552376436511463</v>
      </c>
      <c r="C5722" t="s">
        <v>40</v>
      </c>
      <c r="D5722">
        <v>4.4471179999999997</v>
      </c>
      <c r="E5722">
        <v>0.6417986</v>
      </c>
      <c r="F5722" t="s">
        <v>55</v>
      </c>
      <c r="G5722">
        <v>-203.84389999999999</v>
      </c>
      <c r="H5722" s="1">
        <v>-9.6482119999999997E-6</v>
      </c>
      <c r="I5722">
        <v>145.77080000000001</v>
      </c>
      <c r="J5722">
        <v>-195.9391</v>
      </c>
      <c r="K5722">
        <v>1.1093789999999999</v>
      </c>
      <c r="L5722">
        <v>149.9846</v>
      </c>
      <c r="M5722">
        <v>-0.48770449999999999</v>
      </c>
      <c r="N5722">
        <v>0</v>
      </c>
      <c r="O5722">
        <v>-0.87292239999999999</v>
      </c>
      <c r="P5722">
        <v>-0.65724799999999906</v>
      </c>
      <c r="Q5722">
        <v>5.1044790000000003E-3</v>
      </c>
      <c r="R5722">
        <v>-0.75365689999999996</v>
      </c>
      <c r="S5722">
        <v>-2.8308260000000001</v>
      </c>
      <c r="T5722">
        <v>-0.396063</v>
      </c>
      <c r="U5722">
        <v>-1.518127</v>
      </c>
      <c r="V5722">
        <v>0.20621419999999999</v>
      </c>
      <c r="W5722">
        <v>1.6714099999999999E-2</v>
      </c>
      <c r="X5722">
        <v>0.97836409999999996</v>
      </c>
      <c r="Y5722">
        <v>0.53130429999999995</v>
      </c>
      <c r="Z5722">
        <v>0.124214</v>
      </c>
      <c r="AA5722">
        <v>0.83802549999999898</v>
      </c>
      <c r="AB5722">
        <v>8</v>
      </c>
      <c r="AC5722">
        <v>-7.9047999999999901</v>
      </c>
      <c r="AD5722">
        <v>-1.1093886482119999</v>
      </c>
      <c r="AE5722">
        <v>-4.2137999999999902</v>
      </c>
      <c r="AF5722">
        <v>4.7723552480935902</v>
      </c>
      <c r="AG5722">
        <v>-1.1093886482119999</v>
      </c>
      <c r="AH5722">
        <v>7.42028350042344</v>
      </c>
      <c r="AI5722">
        <v>97.167086683922605</v>
      </c>
      <c r="AJ5722">
        <v>57.252902931022</v>
      </c>
      <c r="AK5722">
        <v>8.8919472003293194</v>
      </c>
      <c r="AL5722">
        <v>89.042308003226495</v>
      </c>
      <c r="AM5722">
        <v>78.097726455488697</v>
      </c>
      <c r="AN5722">
        <v>0.99999998479462904</v>
      </c>
    </row>
    <row r="5723" spans="1:40" x14ac:dyDescent="0.25">
      <c r="A5723" t="str">
        <f>"20190312154036533"</f>
        <v>20190312154036533</v>
      </c>
      <c r="B5723" t="str">
        <f>"1552376436531959"</f>
        <v>1552376436531959</v>
      </c>
      <c r="C5723" t="s">
        <v>40</v>
      </c>
      <c r="D5723">
        <v>4.4419440000000003</v>
      </c>
      <c r="E5723">
        <v>0.64081849999999996</v>
      </c>
      <c r="F5723" t="s">
        <v>55</v>
      </c>
      <c r="G5723">
        <v>-203.8177</v>
      </c>
      <c r="H5723" s="1">
        <v>-9.6585549999999995E-6</v>
      </c>
      <c r="I5723">
        <v>145.77260000000001</v>
      </c>
      <c r="J5723">
        <v>-195.964</v>
      </c>
      <c r="K5723">
        <v>1.1093740000000001</v>
      </c>
      <c r="L5723">
        <v>149.94550000000001</v>
      </c>
      <c r="M5723">
        <v>-0.48970370000000002</v>
      </c>
      <c r="N5723">
        <v>0</v>
      </c>
      <c r="O5723">
        <v>-0.87180239999999998</v>
      </c>
      <c r="P5723">
        <v>-0.65913339999999998</v>
      </c>
      <c r="Q5723">
        <v>5.2983400000000003E-3</v>
      </c>
      <c r="R5723">
        <v>-0.75200749999999905</v>
      </c>
      <c r="S5723">
        <v>-2.83168</v>
      </c>
      <c r="T5723">
        <v>-0.39872930000000001</v>
      </c>
      <c r="U5723">
        <v>-1.513855</v>
      </c>
      <c r="V5723">
        <v>0.20642360000000001</v>
      </c>
      <c r="W5723">
        <v>1.6901469999999998E-2</v>
      </c>
      <c r="X5723">
        <v>0.97831670000000004</v>
      </c>
      <c r="Y5723">
        <v>0.53035849999999995</v>
      </c>
      <c r="Z5723">
        <v>0.1249864</v>
      </c>
      <c r="AA5723">
        <v>0.83850959999999997</v>
      </c>
      <c r="AB5723">
        <v>8</v>
      </c>
      <c r="AC5723">
        <v>-7.8536999999999697</v>
      </c>
      <c r="AD5723">
        <v>-1.1093836585549901</v>
      </c>
      <c r="AE5723">
        <v>-4.1728999999999896</v>
      </c>
      <c r="AF5723">
        <v>4.7301491400982698</v>
      </c>
      <c r="AG5723">
        <v>-1.1093836585549901</v>
      </c>
      <c r="AH5723">
        <v>7.3698172272501399</v>
      </c>
      <c r="AI5723">
        <v>97.219913182692594</v>
      </c>
      <c r="AJ5723">
        <v>57.306548720345198</v>
      </c>
      <c r="AK5723">
        <v>8.8271880546703105</v>
      </c>
      <c r="AL5723">
        <v>89.031570955893898</v>
      </c>
      <c r="AM5723">
        <v>78.085424784366197</v>
      </c>
      <c r="AN5723">
        <v>0.99999996391200396</v>
      </c>
    </row>
    <row r="5724" spans="1:40" x14ac:dyDescent="0.25">
      <c r="A5724" t="str">
        <f>"20190312154036546"</f>
        <v>20190312154036546</v>
      </c>
      <c r="B5724" t="str">
        <f>"1552376436541719"</f>
        <v>1552376436541719</v>
      </c>
      <c r="C5724" t="s">
        <v>40</v>
      </c>
      <c r="D5724">
        <v>4.471349</v>
      </c>
      <c r="E5724">
        <v>0.64037390000000005</v>
      </c>
      <c r="F5724" t="s">
        <v>55</v>
      </c>
      <c r="G5724">
        <v>-203.70060000000001</v>
      </c>
      <c r="H5724" s="1">
        <v>-9.7128910000000002E-6</v>
      </c>
      <c r="I5724">
        <v>145.81139999999999</v>
      </c>
      <c r="J5724">
        <v>-195.98580000000001</v>
      </c>
      <c r="K5724">
        <v>1.109372</v>
      </c>
      <c r="L5724">
        <v>149.91139999999999</v>
      </c>
      <c r="M5724">
        <v>-0.49145070000000002</v>
      </c>
      <c r="N5724">
        <v>0</v>
      </c>
      <c r="O5724">
        <v>-0.8708188</v>
      </c>
      <c r="P5724">
        <v>-0.66081610000000002</v>
      </c>
      <c r="Q5724">
        <v>5.147179E-3</v>
      </c>
      <c r="R5724">
        <v>-0.75053049999999999</v>
      </c>
      <c r="S5724">
        <v>-2.8296199999999998</v>
      </c>
      <c r="T5724">
        <v>-0.40574959999999999</v>
      </c>
      <c r="U5724">
        <v>-1.512024</v>
      </c>
      <c r="V5724">
        <v>0.20665249999999999</v>
      </c>
      <c r="W5724">
        <v>1.674366E-2</v>
      </c>
      <c r="X5724">
        <v>0.97827109999999995</v>
      </c>
      <c r="Y5724">
        <v>0.52856059999999905</v>
      </c>
      <c r="Z5724">
        <v>0.12713469999999999</v>
      </c>
      <c r="AA5724">
        <v>0.8393214</v>
      </c>
      <c r="AB5724">
        <v>8</v>
      </c>
      <c r="AC5724">
        <v>-7.7147999999999897</v>
      </c>
      <c r="AD5724">
        <v>-1.109381712891</v>
      </c>
      <c r="AE5724">
        <v>-4.0999999999999899</v>
      </c>
      <c r="AF5724">
        <v>4.6289615795414196</v>
      </c>
      <c r="AG5724">
        <v>-1.109381712891</v>
      </c>
      <c r="AH5724">
        <v>7.2455280661447903</v>
      </c>
      <c r="AI5724">
        <v>97.352164189877101</v>
      </c>
      <c r="AJ5724">
        <v>57.426649288948802</v>
      </c>
      <c r="AK5724">
        <v>8.6692381468650108</v>
      </c>
      <c r="AL5724">
        <v>89.040614094001</v>
      </c>
      <c r="AM5724">
        <v>78.072051050867401</v>
      </c>
      <c r="AN5724">
        <v>0.99999997550082698</v>
      </c>
    </row>
    <row r="5725" spans="1:40" x14ac:dyDescent="0.25">
      <c r="A5725" t="str">
        <f>"20190312154036559"</f>
        <v>20190312154036559</v>
      </c>
      <c r="B5725" t="str">
        <f>"1552376436551479"</f>
        <v>1552376436551479</v>
      </c>
      <c r="C5725" t="s">
        <v>40</v>
      </c>
      <c r="D5725">
        <v>4.4500080000000004</v>
      </c>
      <c r="E5725">
        <v>0.63994510000000004</v>
      </c>
      <c r="F5725" t="s">
        <v>55</v>
      </c>
      <c r="G5725">
        <v>-203.6463</v>
      </c>
      <c r="H5725" s="1">
        <v>-9.7383729999999993E-6</v>
      </c>
      <c r="I5725">
        <v>145.8305</v>
      </c>
      <c r="J5725">
        <v>-196.01159999999999</v>
      </c>
      <c r="K5725">
        <v>1.109367</v>
      </c>
      <c r="L5725">
        <v>149.87129999999999</v>
      </c>
      <c r="M5725">
        <v>-0.49350810000000001</v>
      </c>
      <c r="N5725">
        <v>0</v>
      </c>
      <c r="O5725">
        <v>-0.869654699999999</v>
      </c>
      <c r="P5725">
        <v>-0.66262299999999996</v>
      </c>
      <c r="Q5725">
        <v>5.0194389999999997E-3</v>
      </c>
      <c r="R5725">
        <v>-0.74893659999999995</v>
      </c>
      <c r="S5725">
        <v>-2.830444</v>
      </c>
      <c r="T5725">
        <v>-0.40989969999999998</v>
      </c>
      <c r="U5725">
        <v>-1.507843</v>
      </c>
      <c r="V5725">
        <v>0.20669699999999999</v>
      </c>
      <c r="W5725">
        <v>1.6609209999999999E-2</v>
      </c>
      <c r="X5725">
        <v>0.97826400000000002</v>
      </c>
      <c r="Y5725">
        <v>0.52746899999999997</v>
      </c>
      <c r="Z5725">
        <v>0.12835250000000001</v>
      </c>
      <c r="AA5725">
        <v>0.83982269999999903</v>
      </c>
      <c r="AB5725">
        <v>8</v>
      </c>
      <c r="AC5725">
        <v>-7.6346999999999996</v>
      </c>
      <c r="AD5725">
        <v>-1.109376738373</v>
      </c>
      <c r="AE5725">
        <v>-4.0407999999999902</v>
      </c>
      <c r="AF5725">
        <v>4.5703520174027004</v>
      </c>
      <c r="AG5725">
        <v>-1.109376738373</v>
      </c>
      <c r="AH5725">
        <v>7.1642685087476501</v>
      </c>
      <c r="AI5725">
        <v>97.437710767132501</v>
      </c>
      <c r="AJ5725">
        <v>57.464689579456603</v>
      </c>
      <c r="AK5725">
        <v>8.5700395317672502</v>
      </c>
      <c r="AL5725">
        <v>89.048318591885504</v>
      </c>
      <c r="AM5725">
        <v>78.069472006433102</v>
      </c>
      <c r="AN5725">
        <v>0.999999984680912</v>
      </c>
    </row>
    <row r="5726" spans="1:40" x14ac:dyDescent="0.25">
      <c r="A5726" t="str">
        <f>"20190312154036576"</f>
        <v>20190312154036576</v>
      </c>
      <c r="B5726" t="str">
        <f>"1552376436571975"</f>
        <v>1552376436571975</v>
      </c>
      <c r="C5726" t="s">
        <v>40</v>
      </c>
      <c r="D5726">
        <v>4.4680939999999998</v>
      </c>
      <c r="E5726">
        <v>0.63015480000000001</v>
      </c>
      <c r="F5726" t="s">
        <v>55</v>
      </c>
      <c r="G5726">
        <v>-203.59360000000001</v>
      </c>
      <c r="H5726" s="1">
        <v>-9.7623639999999998E-6</v>
      </c>
      <c r="I5726">
        <v>145.84620000000001</v>
      </c>
      <c r="J5726">
        <v>-196.04679999999999</v>
      </c>
      <c r="K5726">
        <v>1.109351</v>
      </c>
      <c r="L5726">
        <v>149.8169</v>
      </c>
      <c r="M5726">
        <v>-0.49631059999999999</v>
      </c>
      <c r="N5726">
        <v>0</v>
      </c>
      <c r="O5726">
        <v>-0.86805829999999995</v>
      </c>
      <c r="P5726">
        <v>-0.66505780000000003</v>
      </c>
      <c r="Q5726">
        <v>5.0410029999999996E-3</v>
      </c>
      <c r="R5726">
        <v>-0.74677519999999997</v>
      </c>
      <c r="S5726">
        <v>-2.8315890000000001</v>
      </c>
      <c r="T5726">
        <v>-0.41430840000000002</v>
      </c>
      <c r="U5726">
        <v>-1.50322</v>
      </c>
      <c r="V5726">
        <v>0.2067271</v>
      </c>
      <c r="W5726">
        <v>1.6622560000000002E-2</v>
      </c>
      <c r="X5726">
        <v>0.97825740000000005</v>
      </c>
      <c r="Y5726">
        <v>0.52578219999999898</v>
      </c>
      <c r="Z5726">
        <v>0.12959289999999901</v>
      </c>
      <c r="AA5726">
        <v>0.84068949999999998</v>
      </c>
      <c r="AB5726">
        <v>8</v>
      </c>
      <c r="AC5726">
        <v>-7.5468000000000099</v>
      </c>
      <c r="AD5726">
        <v>-1.1093607623639901</v>
      </c>
      <c r="AE5726">
        <v>-3.9706999999999901</v>
      </c>
      <c r="AF5726">
        <v>4.5044756790709197</v>
      </c>
      <c r="AG5726">
        <v>-1.1093607623639901</v>
      </c>
      <c r="AH5726">
        <v>7.0731949151872797</v>
      </c>
      <c r="AI5726">
        <v>97.535989388922502</v>
      </c>
      <c r="AJ5726">
        <v>57.5094876754818</v>
      </c>
      <c r="AK5726">
        <v>8.4587864822706997</v>
      </c>
      <c r="AL5726">
        <v>89.047553575541201</v>
      </c>
      <c r="AM5726">
        <v>78.067706238942506</v>
      </c>
      <c r="AN5726">
        <v>0.99999997201506097</v>
      </c>
    </row>
    <row r="5727" spans="1:40" x14ac:dyDescent="0.25">
      <c r="A5727" t="str">
        <f>"20190312154036588"</f>
        <v>20190312154036588</v>
      </c>
      <c r="B5727" t="str">
        <f>"1552376436581735"</f>
        <v>1552376436581735</v>
      </c>
      <c r="C5727" t="s">
        <v>40</v>
      </c>
      <c r="D5727">
        <v>4.4749030000000003</v>
      </c>
      <c r="E5727">
        <v>0.63068729999999995</v>
      </c>
      <c r="F5727" t="s">
        <v>55</v>
      </c>
      <c r="G5727">
        <v>-202.10560000000001</v>
      </c>
      <c r="H5727" s="1">
        <v>-1.0566830000000001E-5</v>
      </c>
      <c r="I5727">
        <v>146.44970000000001</v>
      </c>
      <c r="J5727">
        <v>-196.0703</v>
      </c>
      <c r="K5727">
        <v>1.1093489999999999</v>
      </c>
      <c r="L5727">
        <v>149.7809</v>
      </c>
      <c r="M5727">
        <v>-0.49816549999999998</v>
      </c>
      <c r="N5727">
        <v>0</v>
      </c>
      <c r="O5727">
        <v>-0.86699499999999996</v>
      </c>
      <c r="P5727">
        <v>-0.66661749999999997</v>
      </c>
      <c r="Q5727">
        <v>4.6628640000000001E-3</v>
      </c>
      <c r="R5727">
        <v>-0.74538530000000003</v>
      </c>
      <c r="S5727">
        <v>-2.7799529999999999</v>
      </c>
      <c r="T5727">
        <v>-0.50900859999999903</v>
      </c>
      <c r="U5727">
        <v>-1.5449679999999999</v>
      </c>
      <c r="V5727">
        <v>0.20667869999999999</v>
      </c>
      <c r="W5727">
        <v>1.624018E-2</v>
      </c>
      <c r="X5727">
        <v>0.97827410000000004</v>
      </c>
      <c r="Y5727">
        <v>0.50354209999999899</v>
      </c>
      <c r="Z5727">
        <v>0.15875120000000001</v>
      </c>
      <c r="AA5727">
        <v>0.84926060000000003</v>
      </c>
      <c r="AB5727">
        <v>8</v>
      </c>
      <c r="AC5727">
        <v>-6.0353000000000003</v>
      </c>
      <c r="AD5727">
        <v>-1.10935956682999</v>
      </c>
      <c r="AE5727">
        <v>-3.3311999999999902</v>
      </c>
      <c r="AF5727">
        <v>3.4831516820535202</v>
      </c>
      <c r="AG5727">
        <v>-1.10935956682999</v>
      </c>
      <c r="AH5727">
        <v>5.7463424929852103</v>
      </c>
      <c r="AI5727">
        <v>99.374600741091299</v>
      </c>
      <c r="AJ5727">
        <v>58.777806355279601</v>
      </c>
      <c r="AK5727">
        <v>6.8105415596262997</v>
      </c>
      <c r="AL5727">
        <v>89.069465340779303</v>
      </c>
      <c r="AM5727">
        <v>78.070617650761804</v>
      </c>
      <c r="AN5727">
        <v>1.0000000216054601</v>
      </c>
    </row>
    <row r="5728" spans="1:40" x14ac:dyDescent="0.25">
      <c r="A5728" t="str">
        <f>"20190312154036600"</f>
        <v>20190312154036600</v>
      </c>
      <c r="B5728" t="str">
        <f>"1552376436591495"</f>
        <v>1552376436591495</v>
      </c>
      <c r="C5728" t="s">
        <v>40</v>
      </c>
      <c r="D5728">
        <v>4.5118839999999896</v>
      </c>
      <c r="E5728">
        <v>0.63069419999999898</v>
      </c>
      <c r="F5728" t="s">
        <v>55</v>
      </c>
      <c r="G5728">
        <v>-202.07329999999999</v>
      </c>
      <c r="H5728" s="1">
        <v>-1.058758E-5</v>
      </c>
      <c r="I5728">
        <v>146.47130000000001</v>
      </c>
      <c r="J5728">
        <v>-196.09350000000001</v>
      </c>
      <c r="K5728">
        <v>1.109343</v>
      </c>
      <c r="L5728">
        <v>149.74549999999999</v>
      </c>
      <c r="M5728">
        <v>-0.49999900000000003</v>
      </c>
      <c r="N5728">
        <v>0</v>
      </c>
      <c r="O5728">
        <v>-0.86593920000000002</v>
      </c>
      <c r="P5728">
        <v>-0.66817309999999996</v>
      </c>
      <c r="Q5728">
        <v>4.5485650000000001E-3</v>
      </c>
      <c r="R5728">
        <v>-0.74399199999999999</v>
      </c>
      <c r="S5728">
        <v>-2.78627</v>
      </c>
      <c r="T5728">
        <v>-0.51490329999999995</v>
      </c>
      <c r="U5728">
        <v>-1.536179</v>
      </c>
      <c r="V5728">
        <v>0.20665159999999999</v>
      </c>
      <c r="W5728">
        <v>1.6121469999999999E-2</v>
      </c>
      <c r="X5728">
        <v>0.97828170000000003</v>
      </c>
      <c r="Y5728">
        <v>0.50432129999999997</v>
      </c>
      <c r="Z5728">
        <v>0.16044320000000001</v>
      </c>
      <c r="AA5728">
        <v>0.84847980000000001</v>
      </c>
      <c r="AB5728">
        <v>8</v>
      </c>
      <c r="AC5728">
        <v>-5.9797999999999796</v>
      </c>
      <c r="AD5728">
        <v>-1.10935358757999</v>
      </c>
      <c r="AE5728">
        <v>-3.2741999999999698</v>
      </c>
      <c r="AF5728">
        <v>3.4499637282895899</v>
      </c>
      <c r="AG5728">
        <v>-1.10935358757999</v>
      </c>
      <c r="AH5728">
        <v>5.6753176248525303</v>
      </c>
      <c r="AI5728">
        <v>99.482569353144399</v>
      </c>
      <c r="AJ5728">
        <v>58.705038024531099</v>
      </c>
      <c r="AK5728">
        <v>6.7336576428975201</v>
      </c>
      <c r="AL5728">
        <v>89.076267733243199</v>
      </c>
      <c r="AM5728">
        <v>78.072227051500604</v>
      </c>
      <c r="AN5728">
        <v>0.99999993506620299</v>
      </c>
    </row>
    <row r="5729" spans="1:40" x14ac:dyDescent="0.25">
      <c r="A5729" t="str">
        <f>"20190312154036611"</f>
        <v>20190312154036611</v>
      </c>
      <c r="B5729" t="str">
        <f>"1552376436602231"</f>
        <v>1552376436602231</v>
      </c>
      <c r="C5729" t="s">
        <v>40</v>
      </c>
      <c r="D5729">
        <v>4.5000679999999997</v>
      </c>
      <c r="E5729">
        <v>0.63057669999999999</v>
      </c>
      <c r="F5729" t="s">
        <v>55</v>
      </c>
      <c r="G5729">
        <v>-202.4922</v>
      </c>
      <c r="H5729" s="1">
        <v>-1.033108E-5</v>
      </c>
      <c r="I5729">
        <v>146.23349999999999</v>
      </c>
      <c r="J5729">
        <v>-196.11760000000001</v>
      </c>
      <c r="K5729">
        <v>1.109343</v>
      </c>
      <c r="L5729">
        <v>149.7089</v>
      </c>
      <c r="M5729">
        <v>-0.50189549999999905</v>
      </c>
      <c r="N5729">
        <v>0</v>
      </c>
      <c r="O5729">
        <v>-0.86484130000000004</v>
      </c>
      <c r="P5729">
        <v>-0.66974609999999901</v>
      </c>
      <c r="Q5729">
        <v>4.4920409999999996E-3</v>
      </c>
      <c r="R5729">
        <v>-0.74257680000000004</v>
      </c>
      <c r="S5729">
        <v>-2.788834</v>
      </c>
      <c r="T5729">
        <v>-0.4835024</v>
      </c>
      <c r="U5729">
        <v>-1.53064</v>
      </c>
      <c r="V5729">
        <v>0.20657780000000001</v>
      </c>
      <c r="W5729">
        <v>1.6060439999999999E-2</v>
      </c>
      <c r="X5729">
        <v>0.97829840000000001</v>
      </c>
      <c r="Y5729">
        <v>0.50553820000000005</v>
      </c>
      <c r="Z5729">
        <v>0.15082590000000001</v>
      </c>
      <c r="AA5729">
        <v>0.84951909999999897</v>
      </c>
      <c r="AB5729">
        <v>8</v>
      </c>
      <c r="AC5729">
        <v>-6.3745999999999796</v>
      </c>
      <c r="AD5729">
        <v>-1.1093533310799999</v>
      </c>
      <c r="AE5729">
        <v>-3.4754</v>
      </c>
      <c r="AF5729">
        <v>3.6830288638668498</v>
      </c>
      <c r="AG5729">
        <v>-1.1093533310799999</v>
      </c>
      <c r="AH5729">
        <v>6.0639496927401497</v>
      </c>
      <c r="AI5729">
        <v>98.886893348285497</v>
      </c>
      <c r="AJ5729">
        <v>58.726982870252797</v>
      </c>
      <c r="AK5729">
        <v>7.18100635714368</v>
      </c>
      <c r="AL5729">
        <v>89.079765046372998</v>
      </c>
      <c r="AM5729">
        <v>78.076562500802396</v>
      </c>
      <c r="AN5729">
        <v>1.0000000423141899</v>
      </c>
    </row>
    <row r="5730" spans="1:40" x14ac:dyDescent="0.25">
      <c r="A5730" t="str">
        <f>"20190312154036625"</f>
        <v>20190312154036625</v>
      </c>
      <c r="B5730" t="str">
        <f>"1552376436621909"</f>
        <v>1552376436621909</v>
      </c>
      <c r="C5730" t="s">
        <v>40</v>
      </c>
      <c r="D5730">
        <v>4.5276620000000003</v>
      </c>
      <c r="E5730">
        <v>0.63013929999999996</v>
      </c>
      <c r="F5730" t="s">
        <v>55</v>
      </c>
      <c r="G5730">
        <v>-202.78880000000001</v>
      </c>
      <c r="H5730" s="1">
        <v>-1.014855E-5</v>
      </c>
      <c r="I5730">
        <v>146.06209999999999</v>
      </c>
      <c r="J5730">
        <v>-196.1438</v>
      </c>
      <c r="K5730">
        <v>1.1093390000000001</v>
      </c>
      <c r="L5730">
        <v>149.66929999999999</v>
      </c>
      <c r="M5730">
        <v>-0.5039515</v>
      </c>
      <c r="N5730">
        <v>0</v>
      </c>
      <c r="O5730">
        <v>-0.86364479999999999</v>
      </c>
      <c r="P5730">
        <v>-0.67121909999999996</v>
      </c>
      <c r="Q5730">
        <v>4.1720109999999998E-3</v>
      </c>
      <c r="R5730">
        <v>-0.7412474</v>
      </c>
      <c r="S5730">
        <v>-2.7909090000000001</v>
      </c>
      <c r="T5730">
        <v>-0.46409660000000003</v>
      </c>
      <c r="U5730">
        <v>-1.5256350000000001</v>
      </c>
      <c r="V5730">
        <v>0.2061914</v>
      </c>
      <c r="W5730">
        <v>1.5737660000000001E-2</v>
      </c>
      <c r="X5730">
        <v>0.97838510000000001</v>
      </c>
      <c r="Y5730">
        <v>0.50580609999999904</v>
      </c>
      <c r="Z5730">
        <v>0.14481949999999999</v>
      </c>
      <c r="AA5730">
        <v>0.8504043</v>
      </c>
      <c r="AB5730">
        <v>8</v>
      </c>
      <c r="AC5730">
        <v>-6.6449999999999996</v>
      </c>
      <c r="AD5730">
        <v>-1.10934914854999</v>
      </c>
      <c r="AE5730">
        <v>-3.6072000000000002</v>
      </c>
      <c r="AF5730">
        <v>3.8387246808784199</v>
      </c>
      <c r="AG5730">
        <v>-1.10934914854999</v>
      </c>
      <c r="AH5730">
        <v>6.3283532066651</v>
      </c>
      <c r="AI5730">
        <v>98.524007442803807</v>
      </c>
      <c r="AJ5730">
        <v>58.759359734339199</v>
      </c>
      <c r="AK5730">
        <v>7.4842846697117498</v>
      </c>
      <c r="AL5730">
        <v>89.098261264160797</v>
      </c>
      <c r="AM5730">
        <v>78.099253056940199</v>
      </c>
      <c r="AN5730">
        <v>0.99999998563912196</v>
      </c>
    </row>
    <row r="5731" spans="1:40" x14ac:dyDescent="0.25">
      <c r="A5731" t="str">
        <f>"20190312154036639"</f>
        <v>20190312154036639</v>
      </c>
      <c r="B5731" t="str">
        <f>"1552376436631670"</f>
        <v>1552376436631670</v>
      </c>
      <c r="C5731" t="s">
        <v>40</v>
      </c>
      <c r="D5731">
        <v>4.5064419999999998</v>
      </c>
      <c r="E5731">
        <v>0.62981540000000003</v>
      </c>
      <c r="F5731" t="s">
        <v>55</v>
      </c>
      <c r="G5731">
        <v>-203.1405</v>
      </c>
      <c r="H5731" s="1">
        <v>-9.9345449999999993E-6</v>
      </c>
      <c r="I5731">
        <v>145.85239999999999</v>
      </c>
      <c r="J5731">
        <v>-196.1729</v>
      </c>
      <c r="K5731">
        <v>1.109332</v>
      </c>
      <c r="L5731">
        <v>149.62549999999999</v>
      </c>
      <c r="M5731">
        <v>-0.50622840000000002</v>
      </c>
      <c r="N5731">
        <v>0</v>
      </c>
      <c r="O5731">
        <v>-0.86231229999999903</v>
      </c>
      <c r="P5731">
        <v>-0.67294189999999998</v>
      </c>
      <c r="Q5731">
        <v>4.2797629999999998E-3</v>
      </c>
      <c r="R5731">
        <v>-0.73968310000000004</v>
      </c>
      <c r="S5731">
        <v>-2.7908940000000002</v>
      </c>
      <c r="T5731">
        <v>-0.44250450000000002</v>
      </c>
      <c r="U5731">
        <v>-1.5225219999999999</v>
      </c>
      <c r="V5731">
        <v>0.20588719999999999</v>
      </c>
      <c r="W5731">
        <v>1.5841600000000001E-2</v>
      </c>
      <c r="X5731">
        <v>0.97844750000000003</v>
      </c>
      <c r="Y5731">
        <v>0.50519859999999905</v>
      </c>
      <c r="Z5731">
        <v>0.1381232</v>
      </c>
      <c r="AA5731">
        <v>0.85187819999999903</v>
      </c>
      <c r="AB5731">
        <v>8</v>
      </c>
      <c r="AC5731">
        <v>-6.9676</v>
      </c>
      <c r="AD5731">
        <v>-1.109341934545</v>
      </c>
      <c r="AE5731">
        <v>-3.7730999999999999</v>
      </c>
      <c r="AF5731">
        <v>4.0197134286904204</v>
      </c>
      <c r="AG5731">
        <v>-1.109341934545</v>
      </c>
      <c r="AH5731">
        <v>6.6509306462084199</v>
      </c>
      <c r="AI5731">
        <v>98.124014284314796</v>
      </c>
      <c r="AJ5731">
        <v>58.8519226566914</v>
      </c>
      <c r="AK5731">
        <v>7.8500709574632896</v>
      </c>
      <c r="AL5731">
        <v>89.092305213853294</v>
      </c>
      <c r="AM5731">
        <v>78.117047322888894</v>
      </c>
      <c r="AN5731">
        <v>1.00000000283532</v>
      </c>
    </row>
    <row r="5732" spans="1:40" x14ac:dyDescent="0.25">
      <c r="A5732" t="str">
        <f>"20190312154036655"</f>
        <v>20190312154036655</v>
      </c>
      <c r="B5732" t="str">
        <f>"1552376436641430"</f>
        <v>1552376436641430</v>
      </c>
      <c r="C5732" t="s">
        <v>40</v>
      </c>
      <c r="D5732">
        <v>4.5283670000000003</v>
      </c>
      <c r="E5732">
        <v>0.6295153</v>
      </c>
      <c r="F5732" t="s">
        <v>55</v>
      </c>
      <c r="G5732">
        <v>-203.27950000000001</v>
      </c>
      <c r="H5732" s="1">
        <v>-9.8586739999999999E-6</v>
      </c>
      <c r="I5732">
        <v>145.76310000000001</v>
      </c>
      <c r="J5732">
        <v>-196.20529999999999</v>
      </c>
      <c r="K5732">
        <v>1.1093299999999999</v>
      </c>
      <c r="L5732">
        <v>149.5771</v>
      </c>
      <c r="M5732">
        <v>-0.50875789999999999</v>
      </c>
      <c r="N5732">
        <v>0</v>
      </c>
      <c r="O5732">
        <v>-0.86082250000000005</v>
      </c>
      <c r="P5732">
        <v>-0.67465710000000001</v>
      </c>
      <c r="Q5732">
        <v>4.0785589999999998E-3</v>
      </c>
      <c r="R5732">
        <v>-0.73812009999999995</v>
      </c>
      <c r="S5732">
        <v>-2.7925719999999998</v>
      </c>
      <c r="T5732">
        <v>-0.43592219999999998</v>
      </c>
      <c r="U5732">
        <v>-1.51774599999999</v>
      </c>
      <c r="V5732">
        <v>0.20528489999999999</v>
      </c>
      <c r="W5732">
        <v>1.5638019999999999E-2</v>
      </c>
      <c r="X5732">
        <v>0.97857729999999998</v>
      </c>
      <c r="Y5732">
        <v>0.50429609999999903</v>
      </c>
      <c r="Z5732">
        <v>0.13598550000000001</v>
      </c>
      <c r="AA5732">
        <v>0.85275639999999997</v>
      </c>
      <c r="AB5732">
        <v>8</v>
      </c>
      <c r="AC5732">
        <v>-7.07420000000001</v>
      </c>
      <c r="AD5732">
        <v>-1.109339858674</v>
      </c>
      <c r="AE5732">
        <v>-3.8139999999999898</v>
      </c>
      <c r="AF5732">
        <v>4.0719571523000599</v>
      </c>
      <c r="AG5732">
        <v>-1.109339858674</v>
      </c>
      <c r="AH5732">
        <v>6.7540648801711303</v>
      </c>
      <c r="AI5732">
        <v>98.006786303972703</v>
      </c>
      <c r="AJ5732">
        <v>58.914651523820901</v>
      </c>
      <c r="AK5732">
        <v>7.9642239030411197</v>
      </c>
      <c r="AL5732">
        <v>89.103970917743993</v>
      </c>
      <c r="AM5732">
        <v>78.152352741470906</v>
      </c>
      <c r="AN5732">
        <v>0.99999998495640996</v>
      </c>
    </row>
    <row r="5733" spans="1:40" x14ac:dyDescent="0.25">
      <c r="A5733" t="str">
        <f>"20190312154036669"</f>
        <v>20190312154036669</v>
      </c>
      <c r="B5733" t="str">
        <f>"1552376436661925"</f>
        <v>1552376436661925</v>
      </c>
      <c r="C5733" t="s">
        <v>40</v>
      </c>
      <c r="D5733">
        <v>4.4524339999999896</v>
      </c>
      <c r="E5733">
        <v>0.62905089999999997</v>
      </c>
      <c r="F5733" t="s">
        <v>55</v>
      </c>
      <c r="G5733">
        <v>-203.37700000000001</v>
      </c>
      <c r="H5733" s="1">
        <v>-9.8037310000000005E-6</v>
      </c>
      <c r="I5733">
        <v>145.69409999999999</v>
      </c>
      <c r="J5733">
        <v>-196.23249999999999</v>
      </c>
      <c r="K5733">
        <v>1.1093249999999999</v>
      </c>
      <c r="L5733">
        <v>149.5367</v>
      </c>
      <c r="M5733">
        <v>-0.51087260000000001</v>
      </c>
      <c r="N5733">
        <v>0</v>
      </c>
      <c r="O5733">
        <v>-0.85956909999999898</v>
      </c>
      <c r="P5733">
        <v>-0.67619229999999997</v>
      </c>
      <c r="Q5733">
        <v>4.2128840000000001E-3</v>
      </c>
      <c r="R5733">
        <v>-0.73671309999999901</v>
      </c>
      <c r="S5733">
        <v>-2.7941590000000001</v>
      </c>
      <c r="T5733">
        <v>-0.43220700000000001</v>
      </c>
      <c r="U5733">
        <v>-1.5128330000000001</v>
      </c>
      <c r="V5733">
        <v>0.2049174</v>
      </c>
      <c r="W5733">
        <v>1.576961E-2</v>
      </c>
      <c r="X5733">
        <v>0.97865219999999997</v>
      </c>
      <c r="Y5733">
        <v>0.50370059999999905</v>
      </c>
      <c r="Z5733">
        <v>0.13476640000000001</v>
      </c>
      <c r="AA5733">
        <v>0.85330159999999999</v>
      </c>
      <c r="AB5733">
        <v>8</v>
      </c>
      <c r="AC5733">
        <v>-7.1445000000000203</v>
      </c>
      <c r="AD5733">
        <v>-1.10933480373099</v>
      </c>
      <c r="AE5733">
        <v>-3.8426</v>
      </c>
      <c r="AF5733">
        <v>4.1017246525981701</v>
      </c>
      <c r="AG5733">
        <v>-1.10933480373099</v>
      </c>
      <c r="AH5733">
        <v>6.8257906330863802</v>
      </c>
      <c r="AI5733">
        <v>97.9305156749584</v>
      </c>
      <c r="AJ5733">
        <v>58.9976819381544</v>
      </c>
      <c r="AK5733">
        <v>8.0402852312110404</v>
      </c>
      <c r="AL5733">
        <v>89.096430427160399</v>
      </c>
      <c r="AM5733">
        <v>78.173844131935198</v>
      </c>
      <c r="AN5733">
        <v>0.99999997499357496</v>
      </c>
    </row>
    <row r="5734" spans="1:40" x14ac:dyDescent="0.25">
      <c r="A5734" t="str">
        <f>"20190312154036685"</f>
        <v>20190312154036685</v>
      </c>
      <c r="B5734" t="str">
        <f>"1552376436671686"</f>
        <v>1552376436671686</v>
      </c>
      <c r="C5734" t="s">
        <v>40</v>
      </c>
      <c r="D5734">
        <v>4.4662230000000003</v>
      </c>
      <c r="E5734">
        <v>0.62872649999999997</v>
      </c>
      <c r="F5734" t="s">
        <v>55</v>
      </c>
      <c r="G5734">
        <v>-203.14500000000001</v>
      </c>
      <c r="H5734" s="1">
        <v>-9.9200020000000004E-6</v>
      </c>
      <c r="I5734">
        <v>145.80359999999999</v>
      </c>
      <c r="J5734">
        <v>-196.2664</v>
      </c>
      <c r="K5734">
        <v>1.109321</v>
      </c>
      <c r="L5734">
        <v>149.48679999999999</v>
      </c>
      <c r="M5734">
        <v>-0.51349560000000005</v>
      </c>
      <c r="N5734">
        <v>0</v>
      </c>
      <c r="O5734">
        <v>-0.85800480000000001</v>
      </c>
      <c r="P5734">
        <v>-0.67832239999999999</v>
      </c>
      <c r="Q5734">
        <v>4.2061169999999997E-3</v>
      </c>
      <c r="R5734">
        <v>-0.73475249999999903</v>
      </c>
      <c r="S5734">
        <v>-2.7948759999999999</v>
      </c>
      <c r="T5734">
        <v>-0.4485325</v>
      </c>
      <c r="U5734">
        <v>-1.5093989999999999</v>
      </c>
      <c r="V5734">
        <v>0.20476159999999999</v>
      </c>
      <c r="W5734">
        <v>1.575959E-2</v>
      </c>
      <c r="X5734">
        <v>0.97868500000000003</v>
      </c>
      <c r="Y5734">
        <v>0.50130200000000003</v>
      </c>
      <c r="Z5734">
        <v>0.13960020000000001</v>
      </c>
      <c r="AA5734">
        <v>0.8539369</v>
      </c>
      <c r="AB5734">
        <v>8</v>
      </c>
      <c r="AC5734">
        <v>-6.8785999999999996</v>
      </c>
      <c r="AD5734">
        <v>-1.1093309200020001</v>
      </c>
      <c r="AE5734">
        <v>-3.6831999999999998</v>
      </c>
      <c r="AF5734">
        <v>3.93139871056378</v>
      </c>
      <c r="AG5734">
        <v>-1.1093309200020001</v>
      </c>
      <c r="AH5734">
        <v>6.5602315043775201</v>
      </c>
      <c r="AI5734">
        <v>98.2530649960799</v>
      </c>
      <c r="AJ5734">
        <v>59.066694283028603</v>
      </c>
      <c r="AK5734">
        <v>7.7280753297649998</v>
      </c>
      <c r="AL5734">
        <v>89.097004627862006</v>
      </c>
      <c r="AM5734">
        <v>78.182967618571894</v>
      </c>
      <c r="AN5734">
        <v>1.0000000033682599</v>
      </c>
    </row>
    <row r="5735" spans="1:40" x14ac:dyDescent="0.25">
      <c r="A5735" t="str">
        <f>"20190312154036700"</f>
        <v>20190312154036700</v>
      </c>
      <c r="B5735" t="str">
        <f>"1552376436692181"</f>
        <v>1552376436692181</v>
      </c>
      <c r="C5735" t="s">
        <v>40</v>
      </c>
      <c r="D5735">
        <v>4.4069599999999998</v>
      </c>
      <c r="E5735">
        <v>0.62824619999999998</v>
      </c>
      <c r="F5735" t="s">
        <v>55</v>
      </c>
      <c r="G5735">
        <v>-203.08459999999999</v>
      </c>
      <c r="H5735" s="1">
        <v>-9.9478589999999996E-6</v>
      </c>
      <c r="I5735">
        <v>145.82299999999901</v>
      </c>
      <c r="J5735">
        <v>-196.2998</v>
      </c>
      <c r="K5735">
        <v>1.1093170000000001</v>
      </c>
      <c r="L5735">
        <v>149.43780000000001</v>
      </c>
      <c r="M5735">
        <v>-0.51607550000000002</v>
      </c>
      <c r="N5735">
        <v>0</v>
      </c>
      <c r="O5735">
        <v>-0.85645559999999998</v>
      </c>
      <c r="P5735">
        <v>-0.68062230000000001</v>
      </c>
      <c r="Q5735">
        <v>4.4707649999999998E-3</v>
      </c>
      <c r="R5735">
        <v>-0.73262109999999903</v>
      </c>
      <c r="S5735">
        <v>-2.7973180000000002</v>
      </c>
      <c r="T5735">
        <v>-0.45512859999999999</v>
      </c>
      <c r="U5735">
        <v>-1.5031429999999999</v>
      </c>
      <c r="V5735">
        <v>0.20488580000000001</v>
      </c>
      <c r="W5735">
        <v>1.6019439999999999E-2</v>
      </c>
      <c r="X5735">
        <v>0.97865480000000005</v>
      </c>
      <c r="Y5735">
        <v>0.50022540000000004</v>
      </c>
      <c r="Z5735">
        <v>0.14148929999999901</v>
      </c>
      <c r="AA5735">
        <v>0.85425720000000005</v>
      </c>
      <c r="AB5735">
        <v>8</v>
      </c>
      <c r="AC5735">
        <v>-6.78479999999999</v>
      </c>
      <c r="AD5735">
        <v>-1.109326947859</v>
      </c>
      <c r="AE5735">
        <v>-3.61480000000003</v>
      </c>
      <c r="AF5735">
        <v>3.86518377668799</v>
      </c>
      <c r="AG5735">
        <v>-1.109326947859</v>
      </c>
      <c r="AH5735">
        <v>6.4632982431997803</v>
      </c>
      <c r="AI5735">
        <v>98.3796431140415</v>
      </c>
      <c r="AJ5735">
        <v>59.119718140697401</v>
      </c>
      <c r="AK5735">
        <v>7.6121269094365296</v>
      </c>
      <c r="AL5735">
        <v>89.082114450897706</v>
      </c>
      <c r="AM5735">
        <v>78.175647009243207</v>
      </c>
      <c r="AN5735">
        <v>1.00000001553129</v>
      </c>
    </row>
    <row r="5736" spans="1:40" x14ac:dyDescent="0.25">
      <c r="A5736" t="str">
        <f>"20190312154036714"</f>
        <v>20190312154036714</v>
      </c>
      <c r="B5736" t="str">
        <f>"1552376436701941"</f>
        <v>1552376436701941</v>
      </c>
      <c r="C5736" t="s">
        <v>40</v>
      </c>
      <c r="D5736">
        <v>4.4073180000000001</v>
      </c>
      <c r="E5736">
        <v>0.62801070000000003</v>
      </c>
      <c r="F5736" t="s">
        <v>55</v>
      </c>
      <c r="G5736">
        <v>-202.983</v>
      </c>
      <c r="H5736" s="1">
        <v>-1.0002660000000001E-5</v>
      </c>
      <c r="I5736">
        <v>145.8612</v>
      </c>
      <c r="J5736">
        <v>-196.32589999999999</v>
      </c>
      <c r="K5736">
        <v>1.109308</v>
      </c>
      <c r="L5736">
        <v>149.3999</v>
      </c>
      <c r="M5736">
        <v>-0.51807519999999996</v>
      </c>
      <c r="N5736">
        <v>0</v>
      </c>
      <c r="O5736">
        <v>-0.85524750000000005</v>
      </c>
      <c r="P5736">
        <v>-0.68237749999999997</v>
      </c>
      <c r="Q5736">
        <v>4.3552449999999998E-3</v>
      </c>
      <c r="R5736">
        <v>-0.73098730000000001</v>
      </c>
      <c r="S5736">
        <v>-2.7986599999999999</v>
      </c>
      <c r="T5736">
        <v>-0.4645398</v>
      </c>
      <c r="U5736">
        <v>-1.4977259999999999</v>
      </c>
      <c r="V5736">
        <v>0.20494589999999999</v>
      </c>
      <c r="W5736">
        <v>1.5901200000000001E-2</v>
      </c>
      <c r="X5736">
        <v>0.97864410000000002</v>
      </c>
      <c r="Y5736">
        <v>0.49925639999999999</v>
      </c>
      <c r="Z5736">
        <v>0.14428959999999999</v>
      </c>
      <c r="AA5736">
        <v>0.85435559999999999</v>
      </c>
      <c r="AB5736">
        <v>8</v>
      </c>
      <c r="AC5736">
        <v>-6.6571000000000096</v>
      </c>
      <c r="AD5736">
        <v>-1.10931800266</v>
      </c>
      <c r="AE5736">
        <v>-3.5387</v>
      </c>
      <c r="AF5736">
        <v>3.7786361847158898</v>
      </c>
      <c r="AG5736">
        <v>-1.10931800266</v>
      </c>
      <c r="AH5736">
        <v>6.3385956571822204</v>
      </c>
      <c r="AI5736">
        <v>98.549023299314896</v>
      </c>
      <c r="AJ5736">
        <v>59.199501004798897</v>
      </c>
      <c r="AK5736">
        <v>7.4623369498247101</v>
      </c>
      <c r="AL5736">
        <v>89.088889927377494</v>
      </c>
      <c r="AM5736">
        <v>78.172150535585402</v>
      </c>
      <c r="AN5736">
        <v>0.99999997227652904</v>
      </c>
    </row>
    <row r="5737" spans="1:40" x14ac:dyDescent="0.25">
      <c r="A5737" t="str">
        <f>"20190312154036725"</f>
        <v>20190312154036725</v>
      </c>
      <c r="B5737" t="str">
        <f>"1552376436721950"</f>
        <v>1552376436721950</v>
      </c>
      <c r="C5737" t="s">
        <v>40</v>
      </c>
      <c r="D5737">
        <v>4.3539099999999999</v>
      </c>
      <c r="E5737">
        <v>0.62779099999999999</v>
      </c>
      <c r="F5737" t="s">
        <v>55</v>
      </c>
      <c r="G5737">
        <v>-202.97900000000001</v>
      </c>
      <c r="H5737" s="1">
        <v>-1.000273E-5</v>
      </c>
      <c r="I5737">
        <v>145.8554</v>
      </c>
      <c r="J5737">
        <v>-196.3503</v>
      </c>
      <c r="K5737">
        <v>1.1093029999999999</v>
      </c>
      <c r="L5737">
        <v>149.3646</v>
      </c>
      <c r="M5737">
        <v>-0.51994289999999999</v>
      </c>
      <c r="N5737">
        <v>0</v>
      </c>
      <c r="O5737">
        <v>-0.85411309999999996</v>
      </c>
      <c r="P5737">
        <v>-0.68409500000000001</v>
      </c>
      <c r="Q5737">
        <v>4.3904490000000003E-3</v>
      </c>
      <c r="R5737">
        <v>-0.72937969999999996</v>
      </c>
      <c r="S5737">
        <v>-2.8009029999999999</v>
      </c>
      <c r="T5737">
        <v>-0.46701029999999999</v>
      </c>
      <c r="U5737">
        <v>-1.4922029999999999</v>
      </c>
      <c r="V5737">
        <v>0.2051095</v>
      </c>
      <c r="W5737">
        <v>1.5934090000000001E-2</v>
      </c>
      <c r="X5737">
        <v>0.97860930000000002</v>
      </c>
      <c r="Y5737">
        <v>0.49886219999999998</v>
      </c>
      <c r="Z5737">
        <v>0.14496339999999999</v>
      </c>
      <c r="AA5737">
        <v>0.85447189999999995</v>
      </c>
      <c r="AB5737">
        <v>8</v>
      </c>
      <c r="AC5737">
        <v>-6.6287000000000003</v>
      </c>
      <c r="AD5737">
        <v>-1.10931300273</v>
      </c>
      <c r="AE5737">
        <v>-3.5091999999999901</v>
      </c>
      <c r="AF5737">
        <v>3.7552176219142099</v>
      </c>
      <c r="AG5737">
        <v>-1.10931300273</v>
      </c>
      <c r="AH5737">
        <v>6.3063303999088296</v>
      </c>
      <c r="AI5737">
        <v>98.594543223521299</v>
      </c>
      <c r="AJ5737">
        <v>59.227557232703397</v>
      </c>
      <c r="AK5737">
        <v>7.4230746890203898</v>
      </c>
      <c r="AL5737">
        <v>89.087005239354994</v>
      </c>
      <c r="AM5737">
        <v>78.162566058359303</v>
      </c>
      <c r="AN5737">
        <v>0.99999998213043395</v>
      </c>
    </row>
    <row r="5738" spans="1:40" x14ac:dyDescent="0.25">
      <c r="A5738" t="str">
        <f>"20190312154036738"</f>
        <v>20190312154036738</v>
      </c>
      <c r="B5738" t="str">
        <f>"1552376436731708"</f>
        <v>1552376436731708</v>
      </c>
      <c r="C5738" t="s">
        <v>40</v>
      </c>
      <c r="D5738">
        <v>4.3542920000000001</v>
      </c>
      <c r="E5738">
        <v>0.62750069999999902</v>
      </c>
      <c r="F5738" t="s">
        <v>55</v>
      </c>
      <c r="G5738">
        <v>-202.94880000000001</v>
      </c>
      <c r="H5738" s="1">
        <v>-1.001876E-5</v>
      </c>
      <c r="I5738">
        <v>145.86429999999999</v>
      </c>
      <c r="J5738">
        <v>-196.37700000000001</v>
      </c>
      <c r="K5738">
        <v>1.109299</v>
      </c>
      <c r="L5738">
        <v>149.32589999999999</v>
      </c>
      <c r="M5738">
        <v>-0.52198829999999996</v>
      </c>
      <c r="N5738">
        <v>0</v>
      </c>
      <c r="O5738">
        <v>-0.85286469999999903</v>
      </c>
      <c r="P5738">
        <v>-0.68623919999999905</v>
      </c>
      <c r="Q5738">
        <v>4.1325709999999998E-3</v>
      </c>
      <c r="R5738">
        <v>-0.72736449999999997</v>
      </c>
      <c r="S5738">
        <v>-2.8030400000000002</v>
      </c>
      <c r="T5738">
        <v>-0.47123110000000001</v>
      </c>
      <c r="U5738">
        <v>-1.486923</v>
      </c>
      <c r="V5738">
        <v>0.20564370000000001</v>
      </c>
      <c r="W5738">
        <v>1.567234E-2</v>
      </c>
      <c r="X5738">
        <v>0.97850139999999997</v>
      </c>
      <c r="Y5738">
        <v>0.49813809999999897</v>
      </c>
      <c r="Z5738">
        <v>0.1461433</v>
      </c>
      <c r="AA5738">
        <v>0.85469329999999999</v>
      </c>
      <c r="AB5738">
        <v>8</v>
      </c>
      <c r="AC5738">
        <v>-6.5717999999999899</v>
      </c>
      <c r="AD5738">
        <v>-1.1093090187600001</v>
      </c>
      <c r="AE5738">
        <v>-3.4615999999999998</v>
      </c>
      <c r="AF5738">
        <v>3.7153572751845898</v>
      </c>
      <c r="AG5738">
        <v>-1.1093090187600001</v>
      </c>
      <c r="AH5738">
        <v>6.2438911208883603</v>
      </c>
      <c r="AI5738">
        <v>98.680768442924304</v>
      </c>
      <c r="AJ5738">
        <v>59.245714036143397</v>
      </c>
      <c r="AK5738">
        <v>7.3498722785418398</v>
      </c>
      <c r="AL5738">
        <v>89.102004273642507</v>
      </c>
      <c r="AM5738">
        <v>78.131337533238195</v>
      </c>
      <c r="AN5738">
        <v>0.99999997169636201</v>
      </c>
    </row>
    <row r="5739" spans="1:40" x14ac:dyDescent="0.25">
      <c r="A5739" t="str">
        <f>"20190312154036755"</f>
        <v>20190312154036755</v>
      </c>
      <c r="B5739" t="str">
        <f>"1552376436752204"</f>
        <v>1552376436752204</v>
      </c>
      <c r="C5739" t="s">
        <v>40</v>
      </c>
      <c r="D5739">
        <v>4.3175309999999998</v>
      </c>
      <c r="E5739">
        <v>0.62719799999999903</v>
      </c>
      <c r="F5739" t="s">
        <v>55</v>
      </c>
      <c r="G5739">
        <v>-202.94470000000001</v>
      </c>
      <c r="H5739" s="1">
        <v>-1.001956E-5</v>
      </c>
      <c r="I5739">
        <v>145.86089999999999</v>
      </c>
      <c r="J5739">
        <v>-196.41210000000001</v>
      </c>
      <c r="K5739">
        <v>1.1092979999999999</v>
      </c>
      <c r="L5739">
        <v>149.2758</v>
      </c>
      <c r="M5739">
        <v>-0.52464739999999999</v>
      </c>
      <c r="N5739">
        <v>0</v>
      </c>
      <c r="O5739">
        <v>-0.85123179999999998</v>
      </c>
      <c r="P5739">
        <v>-0.68930639999999999</v>
      </c>
      <c r="Q5739">
        <v>2.66519E-3</v>
      </c>
      <c r="R5739">
        <v>-0.72446499999999903</v>
      </c>
      <c r="S5739">
        <v>-2.8055880000000002</v>
      </c>
      <c r="T5739">
        <v>-0.4738773</v>
      </c>
      <c r="U5739">
        <v>-1.4802249999999999</v>
      </c>
      <c r="V5739">
        <v>0.20671780000000001</v>
      </c>
      <c r="W5739">
        <v>1.4199079999999999E-2</v>
      </c>
      <c r="X5739">
        <v>0.97829759999999999</v>
      </c>
      <c r="Y5739">
        <v>0.49724980000000002</v>
      </c>
      <c r="Z5739">
        <v>0.14681359999999999</v>
      </c>
      <c r="AA5739">
        <v>0.85509559999999996</v>
      </c>
      <c r="AB5739">
        <v>8</v>
      </c>
      <c r="AC5739">
        <v>-6.5326000000000004</v>
      </c>
      <c r="AD5739">
        <v>-1.10930801955999</v>
      </c>
      <c r="AE5739">
        <v>-3.41490000000001</v>
      </c>
      <c r="AF5739">
        <v>3.6859441768410601</v>
      </c>
      <c r="AG5739">
        <v>-1.10930801955999</v>
      </c>
      <c r="AH5739">
        <v>6.1943718816444404</v>
      </c>
      <c r="AI5739">
        <v>98.749054919690906</v>
      </c>
      <c r="AJ5739">
        <v>59.245353574640099</v>
      </c>
      <c r="AK5739">
        <v>7.2929412286920297</v>
      </c>
      <c r="AL5739">
        <v>89.186425326616401</v>
      </c>
      <c r="AM5739">
        <v>78.0687038950649</v>
      </c>
      <c r="AN5739">
        <v>1.00000002843772</v>
      </c>
    </row>
    <row r="5740" spans="1:40" x14ac:dyDescent="0.25">
      <c r="A5740" t="str">
        <f>"20190312154036767"</f>
        <v>20190312154036767</v>
      </c>
      <c r="B5740" t="str">
        <f>"1552376436761965"</f>
        <v>1552376436761965</v>
      </c>
      <c r="C5740" t="s">
        <v>40</v>
      </c>
      <c r="D5740">
        <v>4.2949120000000001</v>
      </c>
      <c r="E5740">
        <v>0.62692530000000002</v>
      </c>
      <c r="F5740" t="s">
        <v>55</v>
      </c>
      <c r="G5740">
        <v>-202.9033</v>
      </c>
      <c r="H5740" s="1">
        <v>-1.004327E-5</v>
      </c>
      <c r="I5740">
        <v>145.87880000000001</v>
      </c>
      <c r="J5740">
        <v>-196.43719999999999</v>
      </c>
      <c r="K5740">
        <v>1.109299</v>
      </c>
      <c r="L5740">
        <v>149.24</v>
      </c>
      <c r="M5740">
        <v>-0.52654190000000001</v>
      </c>
      <c r="N5740">
        <v>0</v>
      </c>
      <c r="O5740">
        <v>-0.85006090000000001</v>
      </c>
      <c r="P5740">
        <v>-0.69138730000000004</v>
      </c>
      <c r="Q5740">
        <v>2.1598699999999999E-3</v>
      </c>
      <c r="R5740">
        <v>-0.72248129999999999</v>
      </c>
      <c r="S5740">
        <v>-2.8090670000000002</v>
      </c>
      <c r="T5740">
        <v>-0.4800526</v>
      </c>
      <c r="U5740">
        <v>-1.4700470000000001</v>
      </c>
      <c r="V5740">
        <v>0.2073507</v>
      </c>
      <c r="W5740">
        <v>1.369035E-2</v>
      </c>
      <c r="X5740">
        <v>0.97817089999999995</v>
      </c>
      <c r="Y5740">
        <v>0.49790180000000001</v>
      </c>
      <c r="Z5740">
        <v>0.14870559999999999</v>
      </c>
      <c r="AA5740">
        <v>0.85438890000000001</v>
      </c>
      <c r="AB5740">
        <v>8</v>
      </c>
      <c r="AC5740">
        <v>-6.4661000000000097</v>
      </c>
      <c r="AD5740">
        <v>-1.1093090432699999</v>
      </c>
      <c r="AE5740">
        <v>-3.36119999999999</v>
      </c>
      <c r="AF5740">
        <v>3.64264230785429</v>
      </c>
      <c r="AG5740">
        <v>-1.1093090432699999</v>
      </c>
      <c r="AH5740">
        <v>6.1205482238347102</v>
      </c>
      <c r="AI5740">
        <v>98.852536717103405</v>
      </c>
      <c r="AJ5740">
        <v>59.241021194980199</v>
      </c>
      <c r="AK5740">
        <v>7.2083645923841004</v>
      </c>
      <c r="AL5740">
        <v>89.215576238973398</v>
      </c>
      <c r="AM5740">
        <v>78.031720542760894</v>
      </c>
      <c r="AN5740">
        <v>1.00000002404021</v>
      </c>
    </row>
    <row r="5741" spans="1:40" x14ac:dyDescent="0.25">
      <c r="A5741" t="str">
        <f>"20190312154036780"</f>
        <v>20190312154036780</v>
      </c>
      <c r="B5741" t="str">
        <f>"1552376436771724"</f>
        <v>1552376436771724</v>
      </c>
      <c r="C5741" t="s">
        <v>40</v>
      </c>
      <c r="D5741">
        <v>4.3012689999999996</v>
      </c>
      <c r="E5741">
        <v>0.62667969999999995</v>
      </c>
      <c r="F5741" t="s">
        <v>55</v>
      </c>
      <c r="G5741">
        <v>-202.88030000000001</v>
      </c>
      <c r="H5741" s="1">
        <v>-1.005552E-5</v>
      </c>
      <c r="I5741">
        <v>145.88570000000001</v>
      </c>
      <c r="J5741">
        <v>-196.4631</v>
      </c>
      <c r="K5741">
        <v>1.109299</v>
      </c>
      <c r="L5741">
        <v>149.20320000000001</v>
      </c>
      <c r="M5741">
        <v>-0.52849429999999997</v>
      </c>
      <c r="N5741">
        <v>0</v>
      </c>
      <c r="O5741">
        <v>-0.84884859999999895</v>
      </c>
      <c r="P5741">
        <v>-0.69353529999999997</v>
      </c>
      <c r="Q5741">
        <v>1.6340969999999999E-3</v>
      </c>
      <c r="R5741">
        <v>-0.72042090000000003</v>
      </c>
      <c r="S5741">
        <v>-2.8112339999999998</v>
      </c>
      <c r="T5741">
        <v>-0.48400870000000001</v>
      </c>
      <c r="U5741">
        <v>-1.4635469999999999</v>
      </c>
      <c r="V5741">
        <v>0.2080128</v>
      </c>
      <c r="W5741">
        <v>1.3161580000000001E-2</v>
      </c>
      <c r="X5741">
        <v>0.9780375</v>
      </c>
      <c r="Y5741">
        <v>0.49756089999999997</v>
      </c>
      <c r="Z5741">
        <v>0.14984140000000001</v>
      </c>
      <c r="AA5741">
        <v>0.85438910000000001</v>
      </c>
      <c r="AB5741">
        <v>8</v>
      </c>
      <c r="AC5741">
        <v>-6.4172000000000002</v>
      </c>
      <c r="AD5741">
        <v>-1.10930905552</v>
      </c>
      <c r="AE5741">
        <v>-3.3174999999999901</v>
      </c>
      <c r="AF5741">
        <v>3.60912400920289</v>
      </c>
      <c r="AG5741">
        <v>-1.10930905552</v>
      </c>
      <c r="AH5741">
        <v>6.0649604818878</v>
      </c>
      <c r="AI5741">
        <v>98.932648473173401</v>
      </c>
      <c r="AJ5741">
        <v>59.2440577780825</v>
      </c>
      <c r="AK5741">
        <v>7.1442346224997504</v>
      </c>
      <c r="AL5741">
        <v>89.245875204355499</v>
      </c>
      <c r="AM5741">
        <v>77.993021288682101</v>
      </c>
      <c r="AN5741">
        <v>0.99999995177909196</v>
      </c>
    </row>
    <row r="5742" spans="1:40" x14ac:dyDescent="0.25">
      <c r="A5742" t="str">
        <f>"20190312154036791"</f>
        <v>20190312154036791</v>
      </c>
      <c r="B5742" t="str">
        <f>"1552376436781485"</f>
        <v>1552376436781485</v>
      </c>
      <c r="C5742" t="s">
        <v>40</v>
      </c>
      <c r="D5742">
        <v>4.2896599999999996</v>
      </c>
      <c r="E5742">
        <v>0.62648429999999999</v>
      </c>
      <c r="F5742" t="s">
        <v>55</v>
      </c>
      <c r="G5742">
        <v>-202.87719999999999</v>
      </c>
      <c r="H5742" s="1">
        <v>-1.0056109999999999E-5</v>
      </c>
      <c r="I5742">
        <v>145.88310000000001</v>
      </c>
      <c r="J5742">
        <v>-196.48859999999999</v>
      </c>
      <c r="K5742">
        <v>1.1093</v>
      </c>
      <c r="L5742">
        <v>149.16730000000001</v>
      </c>
      <c r="M5742">
        <v>-0.53040089999999995</v>
      </c>
      <c r="N5742">
        <v>0</v>
      </c>
      <c r="O5742">
        <v>-0.84765859999999904</v>
      </c>
      <c r="P5742">
        <v>-0.69566669999999997</v>
      </c>
      <c r="Q5742">
        <v>1.2265449999999999E-3</v>
      </c>
      <c r="R5742">
        <v>-0.71836369999999905</v>
      </c>
      <c r="S5742">
        <v>-2.8137819999999998</v>
      </c>
      <c r="T5742">
        <v>-0.4866413</v>
      </c>
      <c r="U5742">
        <v>-1.4564969999999999</v>
      </c>
      <c r="V5742">
        <v>0.20871100000000001</v>
      </c>
      <c r="W5742">
        <v>1.275106E-2</v>
      </c>
      <c r="X5742">
        <v>0.97789420000000005</v>
      </c>
      <c r="Y5742">
        <v>0.49750260000000002</v>
      </c>
      <c r="Z5742">
        <v>0.1505842</v>
      </c>
      <c r="AA5742">
        <v>0.85429249999999901</v>
      </c>
      <c r="AB5742">
        <v>8</v>
      </c>
      <c r="AC5742">
        <v>-6.3885999999999896</v>
      </c>
      <c r="AD5742">
        <v>-1.10931005611</v>
      </c>
      <c r="AE5742">
        <v>-3.28419999999999</v>
      </c>
      <c r="AF5742">
        <v>3.5881143468427901</v>
      </c>
      <c r="AG5742">
        <v>-1.10931005611</v>
      </c>
      <c r="AH5742">
        <v>6.0290794871073103</v>
      </c>
      <c r="AI5742">
        <v>98.984732211665104</v>
      </c>
      <c r="AJ5742">
        <v>59.241655390794598</v>
      </c>
      <c r="AK5742">
        <v>7.1031635788896201</v>
      </c>
      <c r="AL5742">
        <v>89.269398255885505</v>
      </c>
      <c r="AM5742">
        <v>77.952181211258804</v>
      </c>
      <c r="AN5742">
        <v>0.99999996872288099</v>
      </c>
    </row>
    <row r="5743" spans="1:40" x14ac:dyDescent="0.25">
      <c r="A5743" t="str">
        <f>"20190312154036802"</f>
        <v>20190312154036802</v>
      </c>
      <c r="B5743" t="str">
        <f>"1552376436792221"</f>
        <v>1552376436792221</v>
      </c>
      <c r="C5743" t="s">
        <v>40</v>
      </c>
      <c r="D5743">
        <v>4.248494</v>
      </c>
      <c r="E5743">
        <v>0.62628019999999995</v>
      </c>
      <c r="F5743" t="s">
        <v>55</v>
      </c>
      <c r="G5743">
        <v>-202.89850000000001</v>
      </c>
      <c r="H5743" s="1">
        <v>-1.0042500000000001E-5</v>
      </c>
      <c r="I5743">
        <v>145.869</v>
      </c>
      <c r="J5743">
        <v>-196.51230000000001</v>
      </c>
      <c r="K5743">
        <v>1.109299</v>
      </c>
      <c r="L5743">
        <v>149.13409999999999</v>
      </c>
      <c r="M5743">
        <v>-0.53216280000000005</v>
      </c>
      <c r="N5743">
        <v>0</v>
      </c>
      <c r="O5743">
        <v>-0.84655360000000002</v>
      </c>
      <c r="P5743">
        <v>-0.69753129999999997</v>
      </c>
      <c r="Q5743">
        <v>8.0296649999999996E-4</v>
      </c>
      <c r="R5743">
        <v>-0.71655429999999998</v>
      </c>
      <c r="S5743">
        <v>-2.8166660000000001</v>
      </c>
      <c r="T5743">
        <v>-0.4874618</v>
      </c>
      <c r="U5743">
        <v>-1.449341</v>
      </c>
      <c r="V5743">
        <v>0.20921699999999999</v>
      </c>
      <c r="W5743">
        <v>1.2325279999999999E-2</v>
      </c>
      <c r="X5743">
        <v>0.97779150000000004</v>
      </c>
      <c r="Y5743">
        <v>0.49774069999999998</v>
      </c>
      <c r="Z5743">
        <v>0.1507848</v>
      </c>
      <c r="AA5743">
        <v>0.8541183</v>
      </c>
      <c r="AB5743">
        <v>8</v>
      </c>
      <c r="AC5743">
        <v>-6.3861999999999997</v>
      </c>
      <c r="AD5743">
        <v>-1.1093090425000001</v>
      </c>
      <c r="AE5743">
        <v>-3.2650999999999799</v>
      </c>
      <c r="AF5743">
        <v>3.58325794643339</v>
      </c>
      <c r="AG5743">
        <v>-1.1093090425000001</v>
      </c>
      <c r="AH5743">
        <v>6.0190638690691598</v>
      </c>
      <c r="AI5743">
        <v>98.998716343040599</v>
      </c>
      <c r="AJ5743">
        <v>59.233893910424001</v>
      </c>
      <c r="AK5743">
        <v>7.0922093823000001</v>
      </c>
      <c r="AL5743">
        <v>89.2937955524134</v>
      </c>
      <c r="AM5743">
        <v>77.922597661503602</v>
      </c>
      <c r="AN5743">
        <v>0.99999994154416205</v>
      </c>
    </row>
    <row r="5744" spans="1:40" x14ac:dyDescent="0.25">
      <c r="A5744" t="str">
        <f>"20190312154036814"</f>
        <v>20190312154036814</v>
      </c>
      <c r="B5744" t="str">
        <f>"1552376436801981"</f>
        <v>1552376436801981</v>
      </c>
      <c r="C5744" t="s">
        <v>40</v>
      </c>
      <c r="D5744">
        <v>4.2531819999999998</v>
      </c>
      <c r="E5744">
        <v>0.62605049999999995</v>
      </c>
      <c r="F5744" t="s">
        <v>55</v>
      </c>
      <c r="G5744">
        <v>-202.92150000000001</v>
      </c>
      <c r="H5744" s="1">
        <v>-1.002733E-5</v>
      </c>
      <c r="I5744">
        <v>145.85239999999999</v>
      </c>
      <c r="J5744">
        <v>-196.53819999999999</v>
      </c>
      <c r="K5744">
        <v>1.109299</v>
      </c>
      <c r="L5744">
        <v>149.09780000000001</v>
      </c>
      <c r="M5744">
        <v>-0.53408710000000004</v>
      </c>
      <c r="N5744">
        <v>0</v>
      </c>
      <c r="O5744">
        <v>-0.84534100000000001</v>
      </c>
      <c r="P5744">
        <v>-0.69967400000000002</v>
      </c>
      <c r="Q5744">
        <v>2.7449890000000001E-4</v>
      </c>
      <c r="R5744">
        <v>-0.7144625</v>
      </c>
      <c r="S5744">
        <v>-2.8188170000000001</v>
      </c>
      <c r="T5744">
        <v>-0.48787950000000002</v>
      </c>
      <c r="U5744">
        <v>-1.443298</v>
      </c>
      <c r="V5744">
        <v>0.20991950000000001</v>
      </c>
      <c r="W5744">
        <v>1.1793639999999999E-2</v>
      </c>
      <c r="X5744">
        <v>0.9776475</v>
      </c>
      <c r="Y5744">
        <v>0.49747609999999998</v>
      </c>
      <c r="Z5744">
        <v>0.15083350000000001</v>
      </c>
      <c r="AA5744">
        <v>0.85426389999999996</v>
      </c>
      <c r="AB5744">
        <v>8</v>
      </c>
      <c r="AC5744">
        <v>-6.38330000000001</v>
      </c>
      <c r="AD5744">
        <v>-1.1093090273299999</v>
      </c>
      <c r="AE5744">
        <v>-3.2454000000000098</v>
      </c>
      <c r="AF5744">
        <v>3.57717005310543</v>
      </c>
      <c r="AG5744">
        <v>-1.1093090273299999</v>
      </c>
      <c r="AH5744">
        <v>6.0089683544444998</v>
      </c>
      <c r="AI5744">
        <v>99.013637215014199</v>
      </c>
      <c r="AJ5744">
        <v>59.2344419818997</v>
      </c>
      <c r="AK5744">
        <v>7.0805658525053996</v>
      </c>
      <c r="AL5744">
        <v>89.324258510678007</v>
      </c>
      <c r="AM5744">
        <v>77.881509124707307</v>
      </c>
      <c r="AN5744">
        <v>0.999999960340474</v>
      </c>
    </row>
    <row r="5745" spans="1:40" x14ac:dyDescent="0.25">
      <c r="A5745" t="str">
        <f>"20190312154036834"</f>
        <v>20190312154036834</v>
      </c>
      <c r="B5745" t="str">
        <f>"1552376436821500"</f>
        <v>1552376436821500</v>
      </c>
      <c r="C5745" t="s">
        <v>40</v>
      </c>
      <c r="D5745">
        <v>4.3566120000000002</v>
      </c>
      <c r="E5745">
        <v>0.60766989999999999</v>
      </c>
      <c r="F5745" t="s">
        <v>55</v>
      </c>
      <c r="G5745">
        <v>-202.9451</v>
      </c>
      <c r="H5745" s="1">
        <v>-1.00123399999999E-5</v>
      </c>
      <c r="I5745">
        <v>145.83709999999999</v>
      </c>
      <c r="J5745">
        <v>-196.57849999999999</v>
      </c>
      <c r="K5745">
        <v>1.109297</v>
      </c>
      <c r="L5745">
        <v>149.04179999999999</v>
      </c>
      <c r="M5745">
        <v>-0.53705419999999904</v>
      </c>
      <c r="N5745">
        <v>0</v>
      </c>
      <c r="O5745">
        <v>-0.84345899999999996</v>
      </c>
      <c r="P5745">
        <v>-0.70269669999999995</v>
      </c>
      <c r="Q5745">
        <v>-1.0513E-3</v>
      </c>
      <c r="R5745">
        <v>-0.71148900000000004</v>
      </c>
      <c r="S5745">
        <v>-2.8215330000000001</v>
      </c>
      <c r="T5745">
        <v>-0.48853390000000002</v>
      </c>
      <c r="U5745">
        <v>-1.435989</v>
      </c>
      <c r="V5745">
        <v>0.21062629999999999</v>
      </c>
      <c r="W5745">
        <v>1.0465729999999999E-2</v>
      </c>
      <c r="X5745">
        <v>0.97751060000000001</v>
      </c>
      <c r="Y5745">
        <v>0.49651289999999998</v>
      </c>
      <c r="Z5745">
        <v>0.1508621</v>
      </c>
      <c r="AA5745">
        <v>0.854819</v>
      </c>
      <c r="AB5745">
        <v>8</v>
      </c>
      <c r="AC5745">
        <v>-6.3666</v>
      </c>
      <c r="AD5745">
        <v>-1.10930701234</v>
      </c>
      <c r="AE5745">
        <v>-3.2046999999999999</v>
      </c>
      <c r="AF5745">
        <v>3.5628428064051798</v>
      </c>
      <c r="AG5745">
        <v>-1.10930701234</v>
      </c>
      <c r="AH5745">
        <v>5.9779044340382796</v>
      </c>
      <c r="AI5745">
        <v>99.056956164056302</v>
      </c>
      <c r="AJ5745">
        <v>59.204974689325702</v>
      </c>
      <c r="AK5745">
        <v>7.0469675984266003</v>
      </c>
      <c r="AL5745">
        <v>89.400346877188795</v>
      </c>
      <c r="AM5745">
        <v>77.840265970986295</v>
      </c>
      <c r="AN5745">
        <v>0.99999997143424102</v>
      </c>
    </row>
    <row r="5746" spans="1:40" x14ac:dyDescent="0.25">
      <c r="A5746" t="str">
        <f>"20190312154036848"</f>
        <v>20190312154036848</v>
      </c>
      <c r="B5746" t="str">
        <f>"1552376436841996"</f>
        <v>1552376436841996</v>
      </c>
      <c r="C5746" t="s">
        <v>40</v>
      </c>
      <c r="D5746">
        <v>4.0740339999999904</v>
      </c>
      <c r="E5746">
        <v>0.59537779999999996</v>
      </c>
      <c r="F5746" t="s">
        <v>55</v>
      </c>
      <c r="G5746">
        <v>-205.55369999999999</v>
      </c>
      <c r="H5746" s="1">
        <v>-8.4979349999999995E-6</v>
      </c>
      <c r="I5746">
        <v>144.00280000000001</v>
      </c>
      <c r="J5746">
        <v>-196.60929999999999</v>
      </c>
      <c r="K5746">
        <v>1.1092949999999999</v>
      </c>
      <c r="L5746">
        <v>148.99940000000001</v>
      </c>
      <c r="M5746">
        <v>-0.53930159999999905</v>
      </c>
      <c r="N5746">
        <v>0</v>
      </c>
      <c r="O5746">
        <v>-0.84202399999999999</v>
      </c>
      <c r="P5746">
        <v>-0.70481090000000002</v>
      </c>
      <c r="Q5746">
        <v>-1.6896089999999999E-3</v>
      </c>
      <c r="R5746">
        <v>-0.70939350000000001</v>
      </c>
      <c r="S5746">
        <v>-2.721619</v>
      </c>
      <c r="T5746">
        <v>-0.33638559999999901</v>
      </c>
      <c r="U5746">
        <v>-1.528046</v>
      </c>
      <c r="V5746">
        <v>0.2109277</v>
      </c>
      <c r="W5746">
        <v>9.8263280000000005E-3</v>
      </c>
      <c r="X5746">
        <v>0.97745230000000005</v>
      </c>
      <c r="Y5746">
        <v>0.46474529999999997</v>
      </c>
      <c r="Z5746">
        <v>0.1046231</v>
      </c>
      <c r="AA5746">
        <v>0.87924159999999996</v>
      </c>
      <c r="AB5746">
        <v>8</v>
      </c>
      <c r="AC5746">
        <v>-8.9443999999999999</v>
      </c>
      <c r="AD5746">
        <v>-1.109303497935</v>
      </c>
      <c r="AE5746">
        <v>-4.9965999999999999</v>
      </c>
      <c r="AF5746">
        <v>4.7810377575134204</v>
      </c>
      <c r="AG5746">
        <v>-1.109303497935</v>
      </c>
      <c r="AH5746">
        <v>8.9270086497673606</v>
      </c>
      <c r="AI5746">
        <v>96.251402247856007</v>
      </c>
      <c r="AJ5746">
        <v>61.827835084954401</v>
      </c>
      <c r="AK5746">
        <v>10.1872645848785</v>
      </c>
      <c r="AL5746">
        <v>89.436983830852199</v>
      </c>
      <c r="AM5746">
        <v>77.822680014565606</v>
      </c>
      <c r="AN5746">
        <v>1.00000002506227</v>
      </c>
    </row>
    <row r="5747" spans="1:40" x14ac:dyDescent="0.25">
      <c r="A5747" t="str">
        <f>"20190312154036865"</f>
        <v>20190312154036865</v>
      </c>
      <c r="B5747" t="str">
        <f>"1552376436851757"</f>
        <v>1552376436851757</v>
      </c>
      <c r="C5747" t="s">
        <v>40</v>
      </c>
      <c r="D5747">
        <v>4.0717559999999997</v>
      </c>
      <c r="E5747">
        <v>0.58885900000000002</v>
      </c>
      <c r="F5747" t="s">
        <v>55</v>
      </c>
      <c r="G5747">
        <v>-203.46559999999999</v>
      </c>
      <c r="H5747" s="1">
        <v>-9.5611859999999992E-6</v>
      </c>
      <c r="I5747">
        <v>144.9016</v>
      </c>
      <c r="J5747">
        <v>-196.64349999999999</v>
      </c>
      <c r="K5747">
        <v>1.1092959999999901</v>
      </c>
      <c r="L5747">
        <v>148.95249999999999</v>
      </c>
      <c r="M5747">
        <v>-0.54178749999999998</v>
      </c>
      <c r="N5747">
        <v>0</v>
      </c>
      <c r="O5747">
        <v>-0.84042640000000002</v>
      </c>
      <c r="P5747">
        <v>-0.70700680000000005</v>
      </c>
      <c r="Q5747">
        <v>-2.4862959999999998E-3</v>
      </c>
      <c r="R5747">
        <v>-0.70720240000000001</v>
      </c>
      <c r="S5747">
        <v>-2.6570429999999998</v>
      </c>
      <c r="T5747">
        <v>-0.42989159999999998</v>
      </c>
      <c r="U5747">
        <v>-1.5880430000000001</v>
      </c>
      <c r="V5747">
        <v>0.21106920000000001</v>
      </c>
      <c r="W5747">
        <v>9.0290920000000007E-3</v>
      </c>
      <c r="X5747">
        <v>0.9774294</v>
      </c>
      <c r="Y5747">
        <v>0.43470049999999999</v>
      </c>
      <c r="Z5747">
        <v>0.13295979999999999</v>
      </c>
      <c r="AA5747">
        <v>0.890706</v>
      </c>
      <c r="AB5747">
        <v>8</v>
      </c>
      <c r="AC5747">
        <v>-6.8220999999999998</v>
      </c>
      <c r="AD5747">
        <v>-1.1093055611860001</v>
      </c>
      <c r="AE5747">
        <v>-4.05089999999998</v>
      </c>
      <c r="AF5747">
        <v>3.47115704272032</v>
      </c>
      <c r="AG5747">
        <v>-1.1093055611860001</v>
      </c>
      <c r="AH5747">
        <v>6.9649923910956302</v>
      </c>
      <c r="AI5747">
        <v>98.112687030123098</v>
      </c>
      <c r="AJ5747">
        <v>63.509620386314303</v>
      </c>
      <c r="AK5747">
        <v>7.8607002901347798</v>
      </c>
      <c r="AL5747">
        <v>89.482664096747399</v>
      </c>
      <c r="AM5747">
        <v>77.814477981023401</v>
      </c>
      <c r="AN5747">
        <v>0.99999998183767203</v>
      </c>
    </row>
    <row r="5748" spans="1:40" x14ac:dyDescent="0.25">
      <c r="A5748" t="str">
        <f>"20190312154036879"</f>
        <v>20190312154036879</v>
      </c>
      <c r="B5748" t="str">
        <f>"1552376436872252"</f>
        <v>1552376436872252</v>
      </c>
      <c r="C5748" t="s">
        <v>40</v>
      </c>
      <c r="D5748">
        <v>4.124066</v>
      </c>
      <c r="E5748">
        <v>0.58051119999999901</v>
      </c>
      <c r="F5748" t="s">
        <v>55</v>
      </c>
      <c r="G5748">
        <v>-202.7698</v>
      </c>
      <c r="H5748" s="1">
        <v>-9.8970539999999997E-6</v>
      </c>
      <c r="I5748">
        <v>145.18170000000001</v>
      </c>
      <c r="J5748">
        <v>-196.67339999999999</v>
      </c>
      <c r="K5748">
        <v>1.109294</v>
      </c>
      <c r="L5748">
        <v>148.9117</v>
      </c>
      <c r="M5748">
        <v>-0.54394690000000001</v>
      </c>
      <c r="N5748">
        <v>0</v>
      </c>
      <c r="O5748">
        <v>-0.83903059999999996</v>
      </c>
      <c r="P5748">
        <v>-0.70861019999999997</v>
      </c>
      <c r="Q5748">
        <v>-3.1740570000000001E-3</v>
      </c>
      <c r="R5748">
        <v>-0.70559309999999997</v>
      </c>
      <c r="S5748">
        <v>-2.6252439999999999</v>
      </c>
      <c r="T5748">
        <v>-0.47536050000000002</v>
      </c>
      <c r="U5748">
        <v>-1.615875</v>
      </c>
      <c r="V5748">
        <v>0.2107743</v>
      </c>
      <c r="W5748">
        <v>8.3429490000000005E-3</v>
      </c>
      <c r="X5748">
        <v>0.97749909999999995</v>
      </c>
      <c r="Y5748">
        <v>0.4188152</v>
      </c>
      <c r="Z5748">
        <v>0.1464715</v>
      </c>
      <c r="AA5748">
        <v>0.89618069999999905</v>
      </c>
      <c r="AB5748">
        <v>8</v>
      </c>
      <c r="AC5748">
        <v>-6.0964000000000098</v>
      </c>
      <c r="AD5748">
        <v>-1.1093038970539999</v>
      </c>
      <c r="AE5748">
        <v>-3.72999999999998</v>
      </c>
      <c r="AF5748">
        <v>3.01376943267244</v>
      </c>
      <c r="AG5748">
        <v>-1.1093038970539999</v>
      </c>
      <c r="AH5748">
        <v>6.2945404938101799</v>
      </c>
      <c r="AI5748">
        <v>99.031761524122601</v>
      </c>
      <c r="AJ5748">
        <v>64.415319269679102</v>
      </c>
      <c r="AK5748">
        <v>7.0664419163781496</v>
      </c>
      <c r="AL5748">
        <v>89.521978664367197</v>
      </c>
      <c r="AM5748">
        <v>77.831837363075394</v>
      </c>
      <c r="AN5748">
        <v>0.99999995041965695</v>
      </c>
    </row>
    <row r="5749" spans="1:40" x14ac:dyDescent="0.25">
      <c r="A5749" t="str">
        <f>"20190312154036901"</f>
        <v>20190312154036901</v>
      </c>
      <c r="B5749" t="str">
        <f>"1552376436891776"</f>
        <v>1552376436891776</v>
      </c>
      <c r="C5749" t="s">
        <v>40</v>
      </c>
      <c r="D5749">
        <v>4.0959300000000001</v>
      </c>
      <c r="E5749">
        <v>0.57606429999999997</v>
      </c>
      <c r="F5749" t="s">
        <v>55</v>
      </c>
      <c r="G5749">
        <v>-201.98390000000001</v>
      </c>
      <c r="H5749" s="1">
        <v>-1.033938E-5</v>
      </c>
      <c r="I5749">
        <v>145.50370000000001</v>
      </c>
      <c r="J5749">
        <v>-196.7225</v>
      </c>
      <c r="K5749">
        <v>1.1092979999999999</v>
      </c>
      <c r="L5749">
        <v>148.8451</v>
      </c>
      <c r="M5749">
        <v>-0.54747349999999995</v>
      </c>
      <c r="N5749">
        <v>0</v>
      </c>
      <c r="O5749">
        <v>-0.83673369999999903</v>
      </c>
      <c r="P5749">
        <v>-0.71150729999999995</v>
      </c>
      <c r="Q5749">
        <v>-3.40011E-3</v>
      </c>
      <c r="R5749">
        <v>-0.70267060000000003</v>
      </c>
      <c r="S5749">
        <v>-2.581604</v>
      </c>
      <c r="T5749">
        <v>-0.53926049999999903</v>
      </c>
      <c r="U5749">
        <v>-1.6567080000000001</v>
      </c>
      <c r="V5749">
        <v>0.21068190000000001</v>
      </c>
      <c r="W5749">
        <v>8.1159809999999995E-3</v>
      </c>
      <c r="X5749">
        <v>0.97752099999999997</v>
      </c>
      <c r="Y5749">
        <v>0.39514359999999998</v>
      </c>
      <c r="Z5749">
        <v>0.16497419999999999</v>
      </c>
      <c r="AA5749">
        <v>0.90368409999999999</v>
      </c>
      <c r="AB5749">
        <v>8</v>
      </c>
      <c r="AC5749">
        <v>-5.2614000000000001</v>
      </c>
      <c r="AD5749">
        <v>-1.1093083393799901</v>
      </c>
      <c r="AE5749">
        <v>-3.3413999999999899</v>
      </c>
      <c r="AF5749">
        <v>2.4942449024804199</v>
      </c>
      <c r="AG5749">
        <v>-1.1093083393799901</v>
      </c>
      <c r="AH5749">
        <v>5.5024619340745797</v>
      </c>
      <c r="AI5749">
        <v>100.404647135942</v>
      </c>
      <c r="AJ5749">
        <v>65.615395383226399</v>
      </c>
      <c r="AK5749">
        <v>6.1423863409352002</v>
      </c>
      <c r="AL5749">
        <v>89.534983445692504</v>
      </c>
      <c r="AM5749">
        <v>77.837277213931102</v>
      </c>
      <c r="AN5749">
        <v>1.0000000187881</v>
      </c>
    </row>
    <row r="5750" spans="1:40" x14ac:dyDescent="0.25">
      <c r="A5750" t="str">
        <f>"20190312154036914"</f>
        <v>20190312154036914</v>
      </c>
      <c r="B5750" t="str">
        <f>"1552376436902509"</f>
        <v>1552376436902509</v>
      </c>
      <c r="C5750" t="s">
        <v>40</v>
      </c>
      <c r="D5750">
        <v>4.0566420000000001</v>
      </c>
      <c r="E5750">
        <v>0.57450459999999903</v>
      </c>
      <c r="F5750" t="s">
        <v>55</v>
      </c>
      <c r="G5750">
        <v>-201.66300000000001</v>
      </c>
      <c r="H5750" s="1">
        <v>-1.0517239999999999E-5</v>
      </c>
      <c r="I5750">
        <v>145.6232</v>
      </c>
      <c r="J5750">
        <v>-196.75020000000001</v>
      </c>
      <c r="K5750">
        <v>1.109302</v>
      </c>
      <c r="L5750">
        <v>148.80779999999999</v>
      </c>
      <c r="M5750">
        <v>-0.54944749999999998</v>
      </c>
      <c r="N5750">
        <v>0</v>
      </c>
      <c r="O5750">
        <v>-0.83543889999999998</v>
      </c>
      <c r="P5750">
        <v>-0.71313970000000004</v>
      </c>
      <c r="Q5750">
        <v>-3.584772E-3</v>
      </c>
      <c r="R5750">
        <v>-0.70101340000000001</v>
      </c>
      <c r="S5750">
        <v>-2.5629879999999998</v>
      </c>
      <c r="T5750">
        <v>-0.57547729999999997</v>
      </c>
      <c r="U5750">
        <v>-1.671432</v>
      </c>
      <c r="V5750">
        <v>0.21064749999999999</v>
      </c>
      <c r="W5750">
        <v>7.9314520000000003E-3</v>
      </c>
      <c r="X5750">
        <v>0.97752989999999995</v>
      </c>
      <c r="Y5750">
        <v>0.38453959999999998</v>
      </c>
      <c r="Z5750">
        <v>0.17541609999999999</v>
      </c>
      <c r="AA5750">
        <v>0.90628830000000005</v>
      </c>
      <c r="AB5750">
        <v>8</v>
      </c>
      <c r="AC5750">
        <v>-4.9127999999999696</v>
      </c>
      <c r="AD5750">
        <v>-1.10931251724</v>
      </c>
      <c r="AE5750">
        <v>-3.1845999999999801</v>
      </c>
      <c r="AF5750">
        <v>2.2731423663532002</v>
      </c>
      <c r="AG5750">
        <v>-1.10931251724</v>
      </c>
      <c r="AH5750">
        <v>5.1744970831238204</v>
      </c>
      <c r="AI5750">
        <v>101.104663461874</v>
      </c>
      <c r="AJ5750">
        <v>66.284247742475998</v>
      </c>
      <c r="AK5750">
        <v>5.7596154855920902</v>
      </c>
      <c r="AL5750">
        <v>89.545556506263097</v>
      </c>
      <c r="AM5750">
        <v>77.8393114476996</v>
      </c>
      <c r="AN5750">
        <v>0.99999999129054395</v>
      </c>
    </row>
    <row r="5751" spans="1:40" x14ac:dyDescent="0.25">
      <c r="A5751" t="str">
        <f>"20190312154036927"</f>
        <v>20190312154036927</v>
      </c>
      <c r="B5751" t="str">
        <f>"1552376436922028"</f>
        <v>1552376436922028</v>
      </c>
      <c r="C5751" t="s">
        <v>40</v>
      </c>
      <c r="D5751">
        <v>4.0813980000000001</v>
      </c>
      <c r="E5751">
        <v>0.57234469999999904</v>
      </c>
      <c r="F5751" t="s">
        <v>55</v>
      </c>
      <c r="G5751">
        <v>-201.5907</v>
      </c>
      <c r="H5751" s="1">
        <v>-1.055415E-5</v>
      </c>
      <c r="I5751">
        <v>145.6395</v>
      </c>
      <c r="J5751">
        <v>-196.77809999999999</v>
      </c>
      <c r="K5751">
        <v>1.1093029999999999</v>
      </c>
      <c r="L5751">
        <v>148.7705</v>
      </c>
      <c r="M5751">
        <v>-0.55142740000000001</v>
      </c>
      <c r="N5751">
        <v>0</v>
      </c>
      <c r="O5751">
        <v>-0.83413320000000002</v>
      </c>
      <c r="P5751">
        <v>-0.7146884</v>
      </c>
      <c r="Q5751">
        <v>-3.346478E-3</v>
      </c>
      <c r="R5751">
        <v>-0.69943509999999998</v>
      </c>
      <c r="S5751">
        <v>-2.5579679999999998</v>
      </c>
      <c r="T5751">
        <v>-0.58621480000000004</v>
      </c>
      <c r="U5751">
        <v>-1.67430099999999</v>
      </c>
      <c r="V5751">
        <v>0.21049100000000001</v>
      </c>
      <c r="W5751">
        <v>8.1693870000000002E-3</v>
      </c>
      <c r="X5751">
        <v>0.97756169999999998</v>
      </c>
      <c r="Y5751">
        <v>0.38029449999999998</v>
      </c>
      <c r="Z5751">
        <v>0.17832879999999901</v>
      </c>
      <c r="AA5751">
        <v>0.90751029999999999</v>
      </c>
      <c r="AB5751">
        <v>8</v>
      </c>
      <c r="AC5751">
        <v>-4.8125999999999998</v>
      </c>
      <c r="AD5751">
        <v>-1.1093135541500001</v>
      </c>
      <c r="AE5751">
        <v>-3.1309999999999998</v>
      </c>
      <c r="AF5751">
        <v>2.2056627021812898</v>
      </c>
      <c r="AG5751">
        <v>-1.1093135541500001</v>
      </c>
      <c r="AH5751">
        <v>5.0763608955885697</v>
      </c>
      <c r="AI5751">
        <v>101.33328937448999</v>
      </c>
      <c r="AJ5751">
        <v>66.515206651591896</v>
      </c>
      <c r="AK5751">
        <v>5.6449060629451902</v>
      </c>
      <c r="AL5751">
        <v>89.531923415192395</v>
      </c>
      <c r="AM5751">
        <v>77.848461146380799</v>
      </c>
      <c r="AN5751">
        <v>1.00000003863592</v>
      </c>
    </row>
    <row r="5752" spans="1:40" x14ac:dyDescent="0.25">
      <c r="A5752" t="str">
        <f>"20190312154036941"</f>
        <v>20190312154036941</v>
      </c>
      <c r="B5752" t="str">
        <f>"1552376436931789"</f>
        <v>1552376436931789</v>
      </c>
      <c r="C5752" t="s">
        <v>40</v>
      </c>
      <c r="D5752">
        <v>3.984146</v>
      </c>
      <c r="E5752">
        <v>0.57108999999999999</v>
      </c>
      <c r="F5752" t="s">
        <v>55</v>
      </c>
      <c r="G5752">
        <v>-201.49160000000001</v>
      </c>
      <c r="H5752" s="1">
        <v>-1.0605049999999999E-5</v>
      </c>
      <c r="I5752">
        <v>145.6628</v>
      </c>
      <c r="J5752">
        <v>-196.80889999999999</v>
      </c>
      <c r="K5752">
        <v>1.109305</v>
      </c>
      <c r="L5752">
        <v>148.7294</v>
      </c>
      <c r="M5752">
        <v>-0.55360419999999999</v>
      </c>
      <c r="N5752">
        <v>0</v>
      </c>
      <c r="O5752">
        <v>-0.83269029999999999</v>
      </c>
      <c r="P5752">
        <v>-0.71660449999999998</v>
      </c>
      <c r="Q5752">
        <v>-3.4161859999999999E-3</v>
      </c>
      <c r="R5752">
        <v>-0.69747179999999998</v>
      </c>
      <c r="S5752">
        <v>-2.549652</v>
      </c>
      <c r="T5752">
        <v>-0.60006359999999903</v>
      </c>
      <c r="U5752">
        <v>-1.68104599999999</v>
      </c>
      <c r="V5752">
        <v>0.21061959999999999</v>
      </c>
      <c r="W5752">
        <v>8.0973859999999998E-3</v>
      </c>
      <c r="X5752">
        <v>0.97753460000000003</v>
      </c>
      <c r="Y5752">
        <v>0.37415510000000002</v>
      </c>
      <c r="Z5752">
        <v>0.18204380000000001</v>
      </c>
      <c r="AA5752">
        <v>0.90932290000000005</v>
      </c>
      <c r="AB5752">
        <v>8</v>
      </c>
      <c r="AC5752">
        <v>-4.6827000000000103</v>
      </c>
      <c r="AD5752">
        <v>-1.1093156050499999</v>
      </c>
      <c r="AE5752">
        <v>-3.06659999999999</v>
      </c>
      <c r="AF5752">
        <v>2.11851401032275</v>
      </c>
      <c r="AG5752">
        <v>-1.1093156050499999</v>
      </c>
      <c r="AH5752">
        <v>4.9517886024425897</v>
      </c>
      <c r="AI5752">
        <v>101.638188880024</v>
      </c>
      <c r="AJ5752">
        <v>66.837402953422298</v>
      </c>
      <c r="AK5752">
        <v>5.4989901879182899</v>
      </c>
      <c r="AL5752">
        <v>89.536048905025098</v>
      </c>
      <c r="AM5752">
        <v>77.8409309096009</v>
      </c>
      <c r="AN5752">
        <v>1.00000003888067</v>
      </c>
    </row>
    <row r="5753" spans="1:40" x14ac:dyDescent="0.25">
      <c r="A5753" t="str">
        <f>"20190312154036956"</f>
        <v>20190312154036956</v>
      </c>
      <c r="B5753" t="str">
        <f>"1552376436941549"</f>
        <v>1552376436941549</v>
      </c>
      <c r="C5753" t="s">
        <v>40</v>
      </c>
      <c r="D5753">
        <v>4.0561429999999996</v>
      </c>
      <c r="E5753">
        <v>0.57108999999999999</v>
      </c>
      <c r="F5753" t="s">
        <v>55</v>
      </c>
      <c r="G5753">
        <v>-201.50380000000001</v>
      </c>
      <c r="H5753" s="1">
        <v>-1.0590109999999999E-5</v>
      </c>
      <c r="I5753">
        <v>145.63079999999999</v>
      </c>
      <c r="J5753">
        <v>-196.8409</v>
      </c>
      <c r="K5753">
        <v>1.109307</v>
      </c>
      <c r="L5753">
        <v>148.68709999999999</v>
      </c>
      <c r="M5753">
        <v>-0.55585469999999904</v>
      </c>
      <c r="N5753">
        <v>0</v>
      </c>
      <c r="O5753">
        <v>-0.83118950000000003</v>
      </c>
      <c r="P5753">
        <v>-0.7184431</v>
      </c>
      <c r="Q5753">
        <v>-3.1318740000000002E-3</v>
      </c>
      <c r="R5753">
        <v>-0.69557899999999995</v>
      </c>
      <c r="S5753">
        <v>-2.5472260000000002</v>
      </c>
      <c r="T5753">
        <v>-0.60186830000000002</v>
      </c>
      <c r="U5753">
        <v>-1.6812130000000001</v>
      </c>
      <c r="V5753">
        <v>0.2105554</v>
      </c>
      <c r="W5753">
        <v>8.3806179999999994E-3</v>
      </c>
      <c r="X5753">
        <v>0.97754600000000003</v>
      </c>
      <c r="Y5753">
        <v>0.37114249999999999</v>
      </c>
      <c r="Z5753">
        <v>0.1823013</v>
      </c>
      <c r="AA5753">
        <v>0.91050509999999996</v>
      </c>
      <c r="AB5753">
        <v>8</v>
      </c>
      <c r="AC5753">
        <v>-4.6628999999999996</v>
      </c>
      <c r="AD5753">
        <v>-1.1093175901100001</v>
      </c>
      <c r="AE5753">
        <v>-3.05629999999999</v>
      </c>
      <c r="AF5753">
        <v>2.0941511443442198</v>
      </c>
      <c r="AG5753">
        <v>-1.1093175901100001</v>
      </c>
      <c r="AH5753">
        <v>4.9371824444989496</v>
      </c>
      <c r="AI5753">
        <v>101.686721789527</v>
      </c>
      <c r="AJ5753">
        <v>67.015326477721302</v>
      </c>
      <c r="AK5753">
        <v>5.47647925417</v>
      </c>
      <c r="AL5753">
        <v>89.519820336294799</v>
      </c>
      <c r="AM5753">
        <v>77.844664486350098</v>
      </c>
      <c r="AN5753">
        <v>0.99999999667160999</v>
      </c>
    </row>
    <row r="5754" spans="1:40" x14ac:dyDescent="0.25">
      <c r="A5754" t="str">
        <f>"20190312154036968"</f>
        <v>20190312154036968</v>
      </c>
      <c r="B5754" t="str">
        <f>"1552376436962046"</f>
        <v>1552376436962046</v>
      </c>
      <c r="C5754" t="s">
        <v>40</v>
      </c>
      <c r="D5754">
        <v>4.1982540000000004</v>
      </c>
      <c r="E5754">
        <v>0.52479509999999996</v>
      </c>
      <c r="F5754" t="s">
        <v>55</v>
      </c>
      <c r="G5754">
        <v>-201.5514</v>
      </c>
      <c r="H5754" s="1">
        <v>-1.055871E-5</v>
      </c>
      <c r="I5754">
        <v>145.59610000000001</v>
      </c>
      <c r="J5754">
        <v>-196.86859999999999</v>
      </c>
      <c r="K5754">
        <v>1.109305</v>
      </c>
      <c r="L5754">
        <v>148.6506</v>
      </c>
      <c r="M5754">
        <v>-0.55779609999999902</v>
      </c>
      <c r="N5754">
        <v>0</v>
      </c>
      <c r="O5754">
        <v>-0.82988809999999902</v>
      </c>
      <c r="P5754">
        <v>-0.72000209999999998</v>
      </c>
      <c r="Q5754">
        <v>-3.1393969999999999E-3</v>
      </c>
      <c r="R5754">
        <v>-0.6939651</v>
      </c>
      <c r="S5754">
        <v>-2.5518800000000001</v>
      </c>
      <c r="T5754">
        <v>-0.60096819999999995</v>
      </c>
      <c r="U5754">
        <v>-1.6745000000000001</v>
      </c>
      <c r="V5754">
        <v>0.21046409999999999</v>
      </c>
      <c r="W5754">
        <v>8.3715579999999994E-3</v>
      </c>
      <c r="X5754">
        <v>0.97756580000000004</v>
      </c>
      <c r="Y5754">
        <v>0.37148029999999999</v>
      </c>
      <c r="Z5754">
        <v>0.18187039999999999</v>
      </c>
      <c r="AA5754">
        <v>0.91045339999999997</v>
      </c>
      <c r="AB5754">
        <v>8</v>
      </c>
      <c r="AC5754">
        <v>-4.6828000000000101</v>
      </c>
      <c r="AD5754">
        <v>-1.1093155587100001</v>
      </c>
      <c r="AE5754">
        <v>-3.0544999999999898</v>
      </c>
      <c r="AF5754">
        <v>2.09990605952015</v>
      </c>
      <c r="AG5754">
        <v>-1.1093155587100001</v>
      </c>
      <c r="AH5754">
        <v>4.9523614622230596</v>
      </c>
      <c r="AI5754">
        <v>101.65242422392799</v>
      </c>
      <c r="AJ5754">
        <v>67.022027795753999</v>
      </c>
      <c r="AK5754">
        <v>5.4923647475488799</v>
      </c>
      <c r="AL5754">
        <v>89.5203394831358</v>
      </c>
      <c r="AM5754">
        <v>77.850017372997499</v>
      </c>
      <c r="AN5754">
        <v>1.00000005685089</v>
      </c>
    </row>
    <row r="5755" spans="1:40" x14ac:dyDescent="0.25">
      <c r="A5755" t="str">
        <f>"20190312154036984"</f>
        <v>20190312154036984</v>
      </c>
      <c r="B5755" t="str">
        <f>"1552376436971806"</f>
        <v>1552376436971806</v>
      </c>
      <c r="C5755" t="s">
        <v>40</v>
      </c>
      <c r="D5755">
        <v>4.1619769999999896</v>
      </c>
      <c r="E5755">
        <v>0.51539159999999995</v>
      </c>
      <c r="F5755" t="s">
        <v>41</v>
      </c>
      <c r="G5755">
        <v>-197.4453</v>
      </c>
      <c r="H5755">
        <v>0.96098640000000002</v>
      </c>
      <c r="I5755">
        <v>148.1653</v>
      </c>
      <c r="J5755">
        <v>-196.90110000000001</v>
      </c>
      <c r="K5755">
        <v>1.1092930000000001</v>
      </c>
      <c r="L5755">
        <v>148.608</v>
      </c>
      <c r="M5755">
        <v>-0.56006869999999997</v>
      </c>
      <c r="N5755">
        <v>0</v>
      </c>
      <c r="O5755">
        <v>-0.82835590000000003</v>
      </c>
      <c r="P5755">
        <v>-0.72178379999999998</v>
      </c>
      <c r="Q5755">
        <v>-3.2113089999999999E-3</v>
      </c>
      <c r="R5755">
        <v>-0.69211140000000004</v>
      </c>
      <c r="S5755">
        <v>-2.299347</v>
      </c>
      <c r="T5755">
        <v>-0.59155480000000005</v>
      </c>
      <c r="U5755">
        <v>-1.9346920000000001</v>
      </c>
      <c r="V5755">
        <v>0.2102977</v>
      </c>
      <c r="W5755">
        <v>8.2976509999999996E-3</v>
      </c>
      <c r="X5755">
        <v>0.97760219999999998</v>
      </c>
      <c r="Y5755">
        <v>0.25921929999999999</v>
      </c>
      <c r="Z5755">
        <v>0.17493149999999999</v>
      </c>
      <c r="AA5755">
        <v>0.94984440000000003</v>
      </c>
      <c r="AB5755">
        <v>8</v>
      </c>
      <c r="AC5755">
        <v>-0.54419999999998903</v>
      </c>
      <c r="AD5755">
        <v>-0.14830660000000001</v>
      </c>
      <c r="AE5755">
        <v>-0.44270000000000198</v>
      </c>
      <c r="AF5755">
        <v>0.19418539943212401</v>
      </c>
      <c r="AG5755">
        <v>-0.14830660000000001</v>
      </c>
      <c r="AH5755">
        <v>0.64282335595690598</v>
      </c>
      <c r="AI5755">
        <v>102.45410193466699</v>
      </c>
      <c r="AJ5755">
        <v>73.1913755686478</v>
      </c>
      <c r="AK5755">
        <v>0.68769519695855996</v>
      </c>
      <c r="AL5755">
        <v>89.524574170468995</v>
      </c>
      <c r="AM5755">
        <v>77.859777116799506</v>
      </c>
      <c r="AN5755">
        <v>1.0000000175411199</v>
      </c>
    </row>
    <row r="5756" spans="1:40" x14ac:dyDescent="0.25">
      <c r="A5756" t="str">
        <f>"20190312154037001"</f>
        <v>20190312154037001</v>
      </c>
      <c r="B5756" t="str">
        <f>"1552376436992300"</f>
        <v>1552376436992300</v>
      </c>
      <c r="C5756" t="s">
        <v>40</v>
      </c>
      <c r="D5756">
        <v>4.1560269999999999</v>
      </c>
      <c r="E5756">
        <v>0.50232330000000003</v>
      </c>
      <c r="F5756" t="s">
        <v>41</v>
      </c>
      <c r="G5756">
        <v>-197.476</v>
      </c>
      <c r="H5756">
        <v>0.95838570000000001</v>
      </c>
      <c r="I5756">
        <v>148.10230000000001</v>
      </c>
      <c r="J5756">
        <v>-196.9408</v>
      </c>
      <c r="K5756">
        <v>1.1092879999999901</v>
      </c>
      <c r="L5756">
        <v>148.55629999999999</v>
      </c>
      <c r="M5756">
        <v>-0.56283640000000001</v>
      </c>
      <c r="N5756">
        <v>0</v>
      </c>
      <c r="O5756">
        <v>-0.82647780000000004</v>
      </c>
      <c r="P5756">
        <v>-0.72401450000000001</v>
      </c>
      <c r="Q5756">
        <v>-3.06215E-3</v>
      </c>
      <c r="R5756">
        <v>-0.68977809999999995</v>
      </c>
      <c r="S5756">
        <v>-2.2525330000000001</v>
      </c>
      <c r="T5756">
        <v>-0.590615</v>
      </c>
      <c r="U5756">
        <v>-1.9827269999999999</v>
      </c>
      <c r="V5756">
        <v>0.21018400000000001</v>
      </c>
      <c r="W5756">
        <v>8.4435589999999998E-3</v>
      </c>
      <c r="X5756">
        <v>0.97762539999999998</v>
      </c>
      <c r="Y5756">
        <v>0.23494709999999999</v>
      </c>
      <c r="Z5756">
        <v>0.17320369999999999</v>
      </c>
      <c r="AA5756">
        <v>0.95645199999999997</v>
      </c>
      <c r="AB5756">
        <v>8</v>
      </c>
      <c r="AC5756">
        <v>-0.53520000000000301</v>
      </c>
      <c r="AD5756">
        <v>-0.15090229999999899</v>
      </c>
      <c r="AE5756">
        <v>-0.45399999999997898</v>
      </c>
      <c r="AF5756">
        <v>0.17856200097982899</v>
      </c>
      <c r="AG5756">
        <v>-0.15090229999999899</v>
      </c>
      <c r="AH5756">
        <v>0.646607991604364</v>
      </c>
      <c r="AI5756">
        <v>102.67794552556001</v>
      </c>
      <c r="AJ5756">
        <v>74.562410100316598</v>
      </c>
      <c r="AK5756">
        <v>0.6875738412315</v>
      </c>
      <c r="AL5756">
        <v>89.516213963954399</v>
      </c>
      <c r="AM5756">
        <v>77.866425742228799</v>
      </c>
      <c r="AN5756">
        <v>1.00000001513487</v>
      </c>
    </row>
    <row r="5757" spans="1:40" x14ac:dyDescent="0.25">
      <c r="A5757" t="str">
        <f>"20190312154037013"</f>
        <v>20190312154037013</v>
      </c>
      <c r="B5757" t="str">
        <f>"1552376437002060"</f>
        <v>1552376437002060</v>
      </c>
      <c r="C5757" t="s">
        <v>40</v>
      </c>
      <c r="D5757">
        <v>4.231026</v>
      </c>
      <c r="E5757">
        <v>0.49918750000000001</v>
      </c>
      <c r="F5757" t="s">
        <v>41</v>
      </c>
      <c r="G5757">
        <v>-197.4982</v>
      </c>
      <c r="H5757">
        <v>0.95634149999999996</v>
      </c>
      <c r="I5757">
        <v>148.03370000000001</v>
      </c>
      <c r="J5757">
        <v>-196.9676</v>
      </c>
      <c r="K5757">
        <v>1.1092900000000001</v>
      </c>
      <c r="L5757">
        <v>148.52170000000001</v>
      </c>
      <c r="M5757">
        <v>-0.56469320000000001</v>
      </c>
      <c r="N5757">
        <v>0</v>
      </c>
      <c r="O5757">
        <v>-0.82521049999999996</v>
      </c>
      <c r="P5757">
        <v>-0.72534160000000003</v>
      </c>
      <c r="Q5757">
        <v>-2.7519240000000002E-3</v>
      </c>
      <c r="R5757">
        <v>-0.688384</v>
      </c>
      <c r="S5757">
        <v>-2.1871489999999998</v>
      </c>
      <c r="T5757">
        <v>-0.59993180000000002</v>
      </c>
      <c r="U5757">
        <v>-2.050888</v>
      </c>
      <c r="V5757">
        <v>0.20986879999999999</v>
      </c>
      <c r="W5757">
        <v>8.7525369999999995E-3</v>
      </c>
      <c r="X5757">
        <v>0.97769039999999996</v>
      </c>
      <c r="Y5757">
        <v>0.20235919999999999</v>
      </c>
      <c r="Z5757">
        <v>0.1738933</v>
      </c>
      <c r="AA5757">
        <v>0.96374890000000002</v>
      </c>
      <c r="AB5757">
        <v>8</v>
      </c>
      <c r="AC5757">
        <v>-0.53059999999999197</v>
      </c>
      <c r="AD5757">
        <v>-0.15294849999999899</v>
      </c>
      <c r="AE5757">
        <v>-0.48799999999999899</v>
      </c>
      <c r="AF5757">
        <v>0.15530740651889399</v>
      </c>
      <c r="AG5757">
        <v>-0.15294849999999899</v>
      </c>
      <c r="AH5757">
        <v>0.67212581609606903</v>
      </c>
      <c r="AI5757">
        <v>102.50123288407001</v>
      </c>
      <c r="AJ5757">
        <v>76.989079918096394</v>
      </c>
      <c r="AK5757">
        <v>0.706588102669923</v>
      </c>
      <c r="AL5757">
        <v>89.498510176419501</v>
      </c>
      <c r="AM5757">
        <v>77.884865430894394</v>
      </c>
      <c r="AN5757">
        <v>1.00000001918476</v>
      </c>
    </row>
    <row r="5758" spans="1:40" x14ac:dyDescent="0.25">
      <c r="A5758" t="str">
        <f>"20190312154037035"</f>
        <v>20190312154037035</v>
      </c>
      <c r="B5758" t="str">
        <f>"1552376437021580"</f>
        <v>1552376437021580</v>
      </c>
      <c r="C5758" t="s">
        <v>40</v>
      </c>
      <c r="D5758">
        <v>4.1549050000000003</v>
      </c>
      <c r="E5758">
        <v>0.49486160000000001</v>
      </c>
      <c r="F5758" t="s">
        <v>41</v>
      </c>
      <c r="G5758">
        <v>-197.4907</v>
      </c>
      <c r="H5758">
        <v>0.96418680000000001</v>
      </c>
      <c r="I5758">
        <v>148.0247</v>
      </c>
      <c r="J5758">
        <v>-197.0145</v>
      </c>
      <c r="K5758">
        <v>1.1092820000000001</v>
      </c>
      <c r="L5758">
        <v>148.4614</v>
      </c>
      <c r="M5758">
        <v>-0.56794270000000002</v>
      </c>
      <c r="N5758">
        <v>0</v>
      </c>
      <c r="O5758">
        <v>-0.82297730000000002</v>
      </c>
      <c r="P5758">
        <v>-0.72821440000000004</v>
      </c>
      <c r="Q5758">
        <v>-1.9678E-3</v>
      </c>
      <c r="R5758">
        <v>-0.68534669999999998</v>
      </c>
      <c r="S5758">
        <v>-2.173584</v>
      </c>
      <c r="T5758">
        <v>-0.60269249999999996</v>
      </c>
      <c r="U5758">
        <v>-2.0653380000000001</v>
      </c>
      <c r="V5758">
        <v>0.21010329999999999</v>
      </c>
      <c r="W5758">
        <v>9.5316570000000007E-3</v>
      </c>
      <c r="X5758">
        <v>0.97763270000000002</v>
      </c>
      <c r="Y5758">
        <v>0.1921079</v>
      </c>
      <c r="Z5758">
        <v>0.1736963</v>
      </c>
      <c r="AA5758">
        <v>0.96587999999999996</v>
      </c>
      <c r="AB5758">
        <v>8</v>
      </c>
      <c r="AC5758">
        <v>-0.47620000000000501</v>
      </c>
      <c r="AD5758">
        <v>-0.14509519999999901</v>
      </c>
      <c r="AE5758">
        <v>-0.43670000000000098</v>
      </c>
      <c r="AF5758">
        <v>0.13698404544259099</v>
      </c>
      <c r="AG5758">
        <v>-0.14509519999999901</v>
      </c>
      <c r="AH5758">
        <v>0.59965574194210303</v>
      </c>
      <c r="AI5758">
        <v>103.272739541688</v>
      </c>
      <c r="AJ5758">
        <v>77.132274224664798</v>
      </c>
      <c r="AK5758">
        <v>0.63198437845645505</v>
      </c>
      <c r="AL5758">
        <v>89.453867997399399</v>
      </c>
      <c r="AM5758">
        <v>77.871034341729199</v>
      </c>
      <c r="AN5758">
        <v>0.99999997263267204</v>
      </c>
    </row>
    <row r="5759" spans="1:40" x14ac:dyDescent="0.25">
      <c r="A5759" t="str">
        <f>"20190312154037050"</f>
        <v>20190312154037050</v>
      </c>
      <c r="B5759" t="str">
        <f>"1552376437042077"</f>
        <v>1552376437042077</v>
      </c>
      <c r="C5759" t="s">
        <v>40</v>
      </c>
      <c r="D5759">
        <v>4.1783449999999904</v>
      </c>
      <c r="E5759">
        <v>0.49199480000000001</v>
      </c>
      <c r="F5759" t="s">
        <v>41</v>
      </c>
      <c r="G5759">
        <v>-197.52940000000001</v>
      </c>
      <c r="H5759">
        <v>0.96436379999999999</v>
      </c>
      <c r="I5759">
        <v>147.9649</v>
      </c>
      <c r="J5759">
        <v>-197.04830000000001</v>
      </c>
      <c r="K5759">
        <v>1.109275</v>
      </c>
      <c r="L5759">
        <v>148.41829999999999</v>
      </c>
      <c r="M5759">
        <v>-0.5702779</v>
      </c>
      <c r="N5759">
        <v>0</v>
      </c>
      <c r="O5759">
        <v>-0.82136109999999896</v>
      </c>
      <c r="P5759">
        <v>-0.73019049999999996</v>
      </c>
      <c r="Q5759">
        <v>-1.8148280000000001E-3</v>
      </c>
      <c r="R5759">
        <v>-0.68324149999999995</v>
      </c>
      <c r="S5759">
        <v>-2.158569</v>
      </c>
      <c r="T5759">
        <v>-0.60680690000000004</v>
      </c>
      <c r="U5759">
        <v>-2.0820159999999999</v>
      </c>
      <c r="V5759">
        <v>0.21015</v>
      </c>
      <c r="W5759">
        <v>9.6813779999999992E-3</v>
      </c>
      <c r="X5759">
        <v>0.97762119999999997</v>
      </c>
      <c r="Y5759">
        <v>0.1820167</v>
      </c>
      <c r="Z5759">
        <v>0.17393900000000001</v>
      </c>
      <c r="AA5759">
        <v>0.9677888</v>
      </c>
      <c r="AB5759">
        <v>8</v>
      </c>
      <c r="AC5759">
        <v>-0.48109999999999697</v>
      </c>
      <c r="AD5759">
        <v>-0.14491119999999899</v>
      </c>
      <c r="AE5759">
        <v>-0.45339999999998698</v>
      </c>
      <c r="AF5759">
        <v>0.13034015529690801</v>
      </c>
      <c r="AG5759">
        <v>-0.14491119999999899</v>
      </c>
      <c r="AH5759">
        <v>0.61715948300775203</v>
      </c>
      <c r="AI5759">
        <v>102.93839492656301</v>
      </c>
      <c r="AJ5759">
        <v>78.074734940366199</v>
      </c>
      <c r="AK5759">
        <v>0.64720448038827605</v>
      </c>
      <c r="AL5759">
        <v>89.445289224612296</v>
      </c>
      <c r="AM5759">
        <v>77.868279785578594</v>
      </c>
      <c r="AN5759">
        <v>0.999999981134709</v>
      </c>
    </row>
    <row r="5760" spans="1:40" x14ac:dyDescent="0.25">
      <c r="A5760" t="str">
        <f>"20190312154037070"</f>
        <v>20190312154037070</v>
      </c>
      <c r="B5760" t="str">
        <f>"1552376437061596"</f>
        <v>1552376437061596</v>
      </c>
      <c r="C5760" t="s">
        <v>40</v>
      </c>
      <c r="D5760">
        <v>4.1508859999999999</v>
      </c>
      <c r="E5760">
        <v>0.49003170000000001</v>
      </c>
      <c r="F5760" t="s">
        <v>41</v>
      </c>
      <c r="G5760">
        <v>-197.5711</v>
      </c>
      <c r="H5760">
        <v>0.96031060000000001</v>
      </c>
      <c r="I5760">
        <v>147.9093</v>
      </c>
      <c r="J5760">
        <v>-197.0915</v>
      </c>
      <c r="K5760">
        <v>1.109267</v>
      </c>
      <c r="L5760">
        <v>148.36369999999999</v>
      </c>
      <c r="M5760">
        <v>-0.57324390000000003</v>
      </c>
      <c r="N5760">
        <v>0</v>
      </c>
      <c r="O5760">
        <v>-0.81929379999999996</v>
      </c>
      <c r="P5760">
        <v>-0.73282349999999996</v>
      </c>
      <c r="Q5760">
        <v>-1.8278700000000001E-3</v>
      </c>
      <c r="R5760">
        <v>-0.68041660000000004</v>
      </c>
      <c r="S5760">
        <v>-2.1490629999999999</v>
      </c>
      <c r="T5760">
        <v>-0.61231069999999999</v>
      </c>
      <c r="U5760">
        <v>-2.0924839999999998</v>
      </c>
      <c r="V5760">
        <v>0.21039060000000001</v>
      </c>
      <c r="W5760">
        <v>9.6646890000000006E-3</v>
      </c>
      <c r="X5760">
        <v>0.97756960000000004</v>
      </c>
      <c r="Y5760">
        <v>0.17375940000000001</v>
      </c>
      <c r="Z5760">
        <v>0.17459359999999999</v>
      </c>
      <c r="AA5760">
        <v>0.96918769999999999</v>
      </c>
      <c r="AB5760">
        <v>8</v>
      </c>
      <c r="AC5760">
        <v>-0.47960000000000402</v>
      </c>
      <c r="AD5760">
        <v>-0.14895639999999999</v>
      </c>
      <c r="AE5760">
        <v>-0.45439999999999198</v>
      </c>
      <c r="AF5760">
        <v>0.126053578323302</v>
      </c>
      <c r="AG5760">
        <v>-0.14895639999999999</v>
      </c>
      <c r="AH5760">
        <v>0.61595291676222197</v>
      </c>
      <c r="AI5760">
        <v>103.328783899653</v>
      </c>
      <c r="AJ5760">
        <v>78.434225756318995</v>
      </c>
      <c r="AK5760">
        <v>0.64612344747498396</v>
      </c>
      <c r="AL5760">
        <v>89.446245470701896</v>
      </c>
      <c r="AM5760">
        <v>77.8541803002759</v>
      </c>
      <c r="AN5760">
        <v>0.99999996681299197</v>
      </c>
    </row>
    <row r="5761" spans="1:40" x14ac:dyDescent="0.25">
      <c r="A5761" t="str">
        <f>"20190312154037092"</f>
        <v>20190312154037092</v>
      </c>
      <c r="B5761" t="str">
        <f>"1552376437082093"</f>
        <v>1552376437082093</v>
      </c>
      <c r="C5761" t="s">
        <v>40</v>
      </c>
      <c r="D5761">
        <v>4.1322950000000001</v>
      </c>
      <c r="E5761">
        <v>0.48853489999999999</v>
      </c>
      <c r="F5761" t="s">
        <v>41</v>
      </c>
      <c r="G5761">
        <v>-197.61420000000001</v>
      </c>
      <c r="H5761">
        <v>0.95892440000000001</v>
      </c>
      <c r="I5761">
        <v>147.85329999999999</v>
      </c>
      <c r="J5761">
        <v>-197.14320000000001</v>
      </c>
      <c r="K5761">
        <v>1.109251</v>
      </c>
      <c r="L5761">
        <v>148.2987</v>
      </c>
      <c r="M5761">
        <v>-0.57678509999999905</v>
      </c>
      <c r="N5761">
        <v>0</v>
      </c>
      <c r="O5761">
        <v>-0.81680469999999905</v>
      </c>
      <c r="P5761">
        <v>-0.736234099999999</v>
      </c>
      <c r="Q5761">
        <v>-3.3537770000000001E-3</v>
      </c>
      <c r="R5761">
        <v>-0.67671899999999996</v>
      </c>
      <c r="S5761">
        <v>-2.146255</v>
      </c>
      <c r="T5761">
        <v>-0.61693889999999996</v>
      </c>
      <c r="U5761">
        <v>-2.0958559999999999</v>
      </c>
      <c r="V5761">
        <v>0.21107229999999999</v>
      </c>
      <c r="W5761">
        <v>8.1326719999999901E-3</v>
      </c>
      <c r="X5761">
        <v>0.97743659999999999</v>
      </c>
      <c r="Y5761">
        <v>0.16796949999999999</v>
      </c>
      <c r="Z5761">
        <v>0.17506859999999999</v>
      </c>
      <c r="AA5761">
        <v>0.97012229999999999</v>
      </c>
      <c r="AB5761">
        <v>8</v>
      </c>
      <c r="AC5761">
        <v>-0.47100000000000303</v>
      </c>
      <c r="AD5761">
        <v>-0.15032659999999901</v>
      </c>
      <c r="AE5761">
        <v>-0.44540000000000601</v>
      </c>
      <c r="AF5761">
        <v>0.121301293576283</v>
      </c>
      <c r="AG5761">
        <v>-0.15032659999999901</v>
      </c>
      <c r="AH5761">
        <v>0.60308608051440105</v>
      </c>
      <c r="AI5761">
        <v>103.73215179427601</v>
      </c>
      <c r="AJ5761">
        <v>78.627590495191001</v>
      </c>
      <c r="AK5761">
        <v>0.63326527695829204</v>
      </c>
      <c r="AL5761">
        <v>89.534027072963298</v>
      </c>
      <c r="AM5761">
        <v>77.814391438929803</v>
      </c>
      <c r="AN5761">
        <v>0.99999998160035397</v>
      </c>
    </row>
    <row r="5762" spans="1:40" x14ac:dyDescent="0.25">
      <c r="A5762" t="str">
        <f>"20190312154037115"</f>
        <v>20190312154037115</v>
      </c>
      <c r="B5762" t="str">
        <f>"1552376437101612"</f>
        <v>1552376437101612</v>
      </c>
      <c r="C5762" t="s">
        <v>40</v>
      </c>
      <c r="D5762">
        <v>4.0978430000000001</v>
      </c>
      <c r="E5762">
        <v>0.48748989999999998</v>
      </c>
      <c r="F5762" t="s">
        <v>41</v>
      </c>
      <c r="G5762">
        <v>-197.65809999999999</v>
      </c>
      <c r="H5762">
        <v>0.95919759999999998</v>
      </c>
      <c r="I5762">
        <v>147.79679999999999</v>
      </c>
      <c r="J5762">
        <v>-197.19120000000001</v>
      </c>
      <c r="K5762">
        <v>1.1092420000000001</v>
      </c>
      <c r="L5762">
        <v>148.239</v>
      </c>
      <c r="M5762">
        <v>-0.58005899999999999</v>
      </c>
      <c r="N5762">
        <v>0</v>
      </c>
      <c r="O5762">
        <v>-0.81448259999999995</v>
      </c>
      <c r="P5762">
        <v>-0.73930790000000002</v>
      </c>
      <c r="Q5762">
        <v>-5.3498169999999998E-3</v>
      </c>
      <c r="R5762">
        <v>-0.67334620000000001</v>
      </c>
      <c r="S5762">
        <v>-2.1477810000000002</v>
      </c>
      <c r="T5762">
        <v>-0.62572399999999995</v>
      </c>
      <c r="U5762">
        <v>-2.0933989999999998</v>
      </c>
      <c r="V5762">
        <v>0.21160290000000001</v>
      </c>
      <c r="W5762">
        <v>6.1328669999999898E-3</v>
      </c>
      <c r="X5762">
        <v>0.97733650000000005</v>
      </c>
      <c r="Y5762">
        <v>0.1646058</v>
      </c>
      <c r="Z5762">
        <v>0.1768952</v>
      </c>
      <c r="AA5762">
        <v>0.97036750000000005</v>
      </c>
      <c r="AB5762">
        <v>8</v>
      </c>
      <c r="AC5762">
        <v>-0.466899999999981</v>
      </c>
      <c r="AD5762">
        <v>-0.150044399999999</v>
      </c>
      <c r="AE5762">
        <v>-0.44220000000001303</v>
      </c>
      <c r="AF5762">
        <v>0.11739784736280801</v>
      </c>
      <c r="AG5762">
        <v>-0.150044399999999</v>
      </c>
      <c r="AH5762">
        <v>0.59846022252507802</v>
      </c>
      <c r="AI5762">
        <v>103.821871409708</v>
      </c>
      <c r="AJ5762">
        <v>78.901417915694097</v>
      </c>
      <c r="AK5762">
        <v>0.62805271632367499</v>
      </c>
      <c r="AL5762">
        <v>89.648610407713406</v>
      </c>
      <c r="AM5762">
        <v>77.783464080916005</v>
      </c>
      <c r="AN5762">
        <v>1.0000000167891401</v>
      </c>
    </row>
    <row r="5763" spans="1:40" x14ac:dyDescent="0.25">
      <c r="A5763" t="str">
        <f>"20190312154037130"</f>
        <v>20190312154037130</v>
      </c>
      <c r="B5763" t="str">
        <f>"1552376437122108"</f>
        <v>1552376437122108</v>
      </c>
      <c r="C5763" t="s">
        <v>40</v>
      </c>
      <c r="D5763">
        <v>4.1134969999999997</v>
      </c>
      <c r="E5763">
        <v>0.48664550000000001</v>
      </c>
      <c r="F5763" t="s">
        <v>41</v>
      </c>
      <c r="G5763">
        <v>-197.70310000000001</v>
      </c>
      <c r="H5763">
        <v>0.95805629999999997</v>
      </c>
      <c r="I5763">
        <v>147.74189999999999</v>
      </c>
      <c r="J5763">
        <v>-197.22800000000001</v>
      </c>
      <c r="K5763">
        <v>1.1092379999999999</v>
      </c>
      <c r="L5763">
        <v>148.1936</v>
      </c>
      <c r="M5763">
        <v>-0.5825515</v>
      </c>
      <c r="N5763">
        <v>0</v>
      </c>
      <c r="O5763">
        <v>-0.81270180000000003</v>
      </c>
      <c r="P5763">
        <v>-0.7415351</v>
      </c>
      <c r="Q5763">
        <v>-6.0596779999999998E-3</v>
      </c>
      <c r="R5763">
        <v>-0.67088689999999995</v>
      </c>
      <c r="S5763">
        <v>-2.1508180000000001</v>
      </c>
      <c r="T5763">
        <v>-0.63501759999999996</v>
      </c>
      <c r="U5763">
        <v>-2.0887910000000001</v>
      </c>
      <c r="V5763">
        <v>0.21184910000000001</v>
      </c>
      <c r="W5763">
        <v>5.4209610000000002E-3</v>
      </c>
      <c r="X5763">
        <v>0.97728740000000003</v>
      </c>
      <c r="Y5763">
        <v>0.1629669</v>
      </c>
      <c r="Z5763">
        <v>0.179067899999999</v>
      </c>
      <c r="AA5763">
        <v>0.97024560000000004</v>
      </c>
      <c r="AB5763">
        <v>8</v>
      </c>
      <c r="AC5763">
        <v>-0.475100000000026</v>
      </c>
      <c r="AD5763">
        <v>-0.151181699999999</v>
      </c>
      <c r="AE5763">
        <v>-0.45170000000001598</v>
      </c>
      <c r="AF5763">
        <v>0.116774777948537</v>
      </c>
      <c r="AG5763">
        <v>-0.151181699999999</v>
      </c>
      <c r="AH5763">
        <v>0.61139921264935004</v>
      </c>
      <c r="AI5763">
        <v>103.651723769535</v>
      </c>
      <c r="AJ5763">
        <v>79.186967072920297</v>
      </c>
      <c r="AK5763">
        <v>0.64054761915728398</v>
      </c>
      <c r="AL5763">
        <v>89.689400306532406</v>
      </c>
      <c r="AM5763">
        <v>77.769081789180404</v>
      </c>
      <c r="AN5763">
        <v>1.00000004509386</v>
      </c>
    </row>
    <row r="5764" spans="1:40" x14ac:dyDescent="0.25">
      <c r="A5764" t="str">
        <f>"20190312154037145"</f>
        <v>20190312154037145</v>
      </c>
      <c r="B5764" t="str">
        <f>"1552376437131868"</f>
        <v>1552376437131868</v>
      </c>
      <c r="C5764" t="s">
        <v>40</v>
      </c>
      <c r="D5764">
        <v>4.0919400000000001</v>
      </c>
      <c r="E5764">
        <v>0.48627189999999998</v>
      </c>
      <c r="F5764" t="s">
        <v>41</v>
      </c>
      <c r="G5764">
        <v>-197.74879999999999</v>
      </c>
      <c r="H5764">
        <v>0.95457840000000005</v>
      </c>
      <c r="I5764">
        <v>147.68889999999999</v>
      </c>
      <c r="J5764">
        <v>-197.2637</v>
      </c>
      <c r="K5764">
        <v>1.109237</v>
      </c>
      <c r="L5764">
        <v>148.1497</v>
      </c>
      <c r="M5764">
        <v>-0.58496539999999997</v>
      </c>
      <c r="N5764">
        <v>0</v>
      </c>
      <c r="O5764">
        <v>-0.81096630000000003</v>
      </c>
      <c r="P5764">
        <v>-0.74357549999999994</v>
      </c>
      <c r="Q5764">
        <v>-6.8940049999999999E-3</v>
      </c>
      <c r="R5764">
        <v>-0.66861660000000001</v>
      </c>
      <c r="S5764">
        <v>-2.1528320000000001</v>
      </c>
      <c r="T5764">
        <v>-0.63882430000000001</v>
      </c>
      <c r="U5764">
        <v>-2.0864259999999999</v>
      </c>
      <c r="V5764">
        <v>0.21192359999999999</v>
      </c>
      <c r="W5764">
        <v>4.5865050000000003E-3</v>
      </c>
      <c r="X5764">
        <v>0.97727549999999996</v>
      </c>
      <c r="Y5764">
        <v>0.1609138</v>
      </c>
      <c r="Z5764">
        <v>0.17966989999999999</v>
      </c>
      <c r="AA5764">
        <v>0.97047689999999998</v>
      </c>
      <c r="AB5764">
        <v>8</v>
      </c>
      <c r="AC5764">
        <v>-0.48509999999998799</v>
      </c>
      <c r="AD5764">
        <v>-0.15465860000000001</v>
      </c>
      <c r="AE5764">
        <v>-0.46080000000000598</v>
      </c>
      <c r="AF5764">
        <v>0.117574685430667</v>
      </c>
      <c r="AG5764">
        <v>-0.15465860000000001</v>
      </c>
      <c r="AH5764">
        <v>0.62415897687747401</v>
      </c>
      <c r="AI5764">
        <v>103.685441613482</v>
      </c>
      <c r="AJ5764">
        <v>79.332033123834606</v>
      </c>
      <c r="AK5764">
        <v>0.65369527887603396</v>
      </c>
      <c r="AL5764">
        <v>89.7372117061647</v>
      </c>
      <c r="AM5764">
        <v>77.764765651726805</v>
      </c>
      <c r="AN5764">
        <v>1.00000002558266</v>
      </c>
    </row>
    <row r="5765" spans="1:40" x14ac:dyDescent="0.25">
      <c r="A5765" t="str">
        <f>"20190312154037158"</f>
        <v>20190312154037158</v>
      </c>
      <c r="B5765" t="str">
        <f>"1552376437152364"</f>
        <v>1552376437152364</v>
      </c>
      <c r="C5765" t="s">
        <v>40</v>
      </c>
      <c r="D5765">
        <v>4.1034980000000001</v>
      </c>
      <c r="E5765">
        <v>0.4855699</v>
      </c>
      <c r="F5765" t="s">
        <v>41</v>
      </c>
      <c r="G5765">
        <v>-197.79519999999999</v>
      </c>
      <c r="H5765">
        <v>0.95078839999999998</v>
      </c>
      <c r="I5765">
        <v>147.63669999999999</v>
      </c>
      <c r="J5765">
        <v>-197.2927</v>
      </c>
      <c r="K5765">
        <v>1.1092360000000001</v>
      </c>
      <c r="L5765">
        <v>148.11429999999999</v>
      </c>
      <c r="M5765">
        <v>-0.58691839999999995</v>
      </c>
      <c r="N5765">
        <v>0</v>
      </c>
      <c r="O5765">
        <v>-0.80955379999999999</v>
      </c>
      <c r="P5765">
        <v>-0.74532659999999995</v>
      </c>
      <c r="Q5765">
        <v>-7.1216999999999999E-3</v>
      </c>
      <c r="R5765">
        <v>-0.66666190000000003</v>
      </c>
      <c r="S5765">
        <v>-2.1565400000000001</v>
      </c>
      <c r="T5765">
        <v>-0.6426655</v>
      </c>
      <c r="U5765">
        <v>-2.0819549999999998</v>
      </c>
      <c r="V5765">
        <v>0.21213199999999999</v>
      </c>
      <c r="W5765">
        <v>4.3581030000000003E-3</v>
      </c>
      <c r="X5765">
        <v>0.97723130000000002</v>
      </c>
      <c r="Y5765">
        <v>0.1602652</v>
      </c>
      <c r="Z5765">
        <v>0.18043729999999999</v>
      </c>
      <c r="AA5765">
        <v>0.97044189999999997</v>
      </c>
      <c r="AB5765">
        <v>8</v>
      </c>
      <c r="AC5765">
        <v>-0.50249999999999695</v>
      </c>
      <c r="AD5765">
        <v>-0.15844759999999999</v>
      </c>
      <c r="AE5765">
        <v>-0.47759999999999497</v>
      </c>
      <c r="AF5765">
        <v>0.12021814323553499</v>
      </c>
      <c r="AG5765">
        <v>-0.15844759999999999</v>
      </c>
      <c r="AH5765">
        <v>0.64778197191397102</v>
      </c>
      <c r="AI5765">
        <v>103.52248058135</v>
      </c>
      <c r="AJ5765">
        <v>79.486416942741798</v>
      </c>
      <c r="AK5765">
        <v>0.67762786767186101</v>
      </c>
      <c r="AL5765">
        <v>89.750298300003394</v>
      </c>
      <c r="AM5765">
        <v>77.752559616797896</v>
      </c>
      <c r="AN5765">
        <v>0.99999999609272405</v>
      </c>
    </row>
    <row r="5766" spans="1:40" x14ac:dyDescent="0.25">
      <c r="A5766" t="str">
        <f>"20190312154037171"</f>
        <v>20190312154037171</v>
      </c>
      <c r="B5766" t="str">
        <f>"1552376437162125"</f>
        <v>1552376437162125</v>
      </c>
      <c r="C5766" t="s">
        <v>40</v>
      </c>
      <c r="D5766">
        <v>4.0636320000000001</v>
      </c>
      <c r="E5766">
        <v>0.4852921</v>
      </c>
      <c r="F5766" t="s">
        <v>41</v>
      </c>
      <c r="G5766">
        <v>-197.8415</v>
      </c>
      <c r="H5766">
        <v>0.94536109999999896</v>
      </c>
      <c r="I5766">
        <v>147.58539999999999</v>
      </c>
      <c r="J5766">
        <v>-197.32499999999999</v>
      </c>
      <c r="K5766">
        <v>1.109235</v>
      </c>
      <c r="L5766">
        <v>148.07509999999999</v>
      </c>
      <c r="M5766">
        <v>-0.58908340000000003</v>
      </c>
      <c r="N5766">
        <v>0</v>
      </c>
      <c r="O5766">
        <v>-0.80797989999999997</v>
      </c>
      <c r="P5766">
        <v>-0.747251</v>
      </c>
      <c r="Q5766">
        <v>-7.2163239999999997E-3</v>
      </c>
      <c r="R5766">
        <v>-0.66450299999999995</v>
      </c>
      <c r="S5766">
        <v>-2.1581570000000001</v>
      </c>
      <c r="T5766">
        <v>-0.64417019999999903</v>
      </c>
      <c r="U5766">
        <v>-2.080368</v>
      </c>
      <c r="V5766">
        <v>0.21234210000000001</v>
      </c>
      <c r="W5766">
        <v>4.2627369999999999E-3</v>
      </c>
      <c r="X5766">
        <v>0.97718609999999995</v>
      </c>
      <c r="Y5766">
        <v>0.15833340000000001</v>
      </c>
      <c r="Z5766">
        <v>0.18042749999999999</v>
      </c>
      <c r="AA5766">
        <v>0.97076079999999998</v>
      </c>
      <c r="AB5766">
        <v>8</v>
      </c>
      <c r="AC5766">
        <v>-0.51650000000000695</v>
      </c>
      <c r="AD5766">
        <v>-0.16387389999999999</v>
      </c>
      <c r="AE5766">
        <v>-0.48969999999999902</v>
      </c>
      <c r="AF5766">
        <v>0.12237003060123</v>
      </c>
      <c r="AG5766">
        <v>-0.16387389999999999</v>
      </c>
      <c r="AH5766">
        <v>0.66474234235768703</v>
      </c>
      <c r="AI5766">
        <v>103.628314762378</v>
      </c>
      <c r="AJ5766">
        <v>79.569402813925507</v>
      </c>
      <c r="AK5766">
        <v>0.69549368164904302</v>
      </c>
      <c r="AL5766">
        <v>89.7557624225647</v>
      </c>
      <c r="AM5766">
        <v>77.7402462577639</v>
      </c>
      <c r="AN5766">
        <v>1.00000000619617</v>
      </c>
    </row>
    <row r="5767" spans="1:40" x14ac:dyDescent="0.25">
      <c r="A5767" t="str">
        <f>"20190312154037185"</f>
        <v>20190312154037185</v>
      </c>
      <c r="B5767" t="str">
        <f>"1552376437171886"</f>
        <v>1552376437171886</v>
      </c>
      <c r="C5767" t="s">
        <v>40</v>
      </c>
      <c r="D5767">
        <v>4.0595569999999999</v>
      </c>
      <c r="E5767">
        <v>0.48496679999999998</v>
      </c>
      <c r="F5767" t="s">
        <v>41</v>
      </c>
      <c r="G5767">
        <v>-197.84139999999999</v>
      </c>
      <c r="H5767">
        <v>0.95540250000000004</v>
      </c>
      <c r="I5767">
        <v>147.5796</v>
      </c>
      <c r="J5767">
        <v>-197.3554</v>
      </c>
      <c r="K5767">
        <v>1.1092390000000001</v>
      </c>
      <c r="L5767">
        <v>148.0385</v>
      </c>
      <c r="M5767">
        <v>-0.59110790000000002</v>
      </c>
      <c r="N5767">
        <v>0</v>
      </c>
      <c r="O5767">
        <v>-0.80649969999999904</v>
      </c>
      <c r="P5767">
        <v>-0.74891580000000002</v>
      </c>
      <c r="Q5767">
        <v>-7.4773130000000002E-3</v>
      </c>
      <c r="R5767">
        <v>-0.66262319999999997</v>
      </c>
      <c r="S5767">
        <v>-2.1625519999999998</v>
      </c>
      <c r="T5767">
        <v>-0.6440709</v>
      </c>
      <c r="U5767">
        <v>-2.0758209999999999</v>
      </c>
      <c r="V5767">
        <v>0.212344</v>
      </c>
      <c r="W5767">
        <v>4.0028620000000003E-3</v>
      </c>
      <c r="X5767">
        <v>0.97718680000000002</v>
      </c>
      <c r="Y5767">
        <v>0.157937299999999</v>
      </c>
      <c r="Z5767">
        <v>0.18010109999999999</v>
      </c>
      <c r="AA5767">
        <v>0.97088589999999997</v>
      </c>
      <c r="AB5767">
        <v>8</v>
      </c>
      <c r="AC5767">
        <v>-0.48599999999999</v>
      </c>
      <c r="AD5767">
        <v>-0.15383649999999899</v>
      </c>
      <c r="AE5767">
        <v>-0.45889999999999898</v>
      </c>
      <c r="AF5767">
        <v>0.114636326636381</v>
      </c>
      <c r="AG5767">
        <v>-0.15383649999999899</v>
      </c>
      <c r="AH5767">
        <v>0.62435882989484703</v>
      </c>
      <c r="AI5767">
        <v>103.622447696709</v>
      </c>
      <c r="AJ5767">
        <v>79.596001714556095</v>
      </c>
      <c r="AK5767">
        <v>0.65317004262641798</v>
      </c>
      <c r="AL5767">
        <v>89.770652293465105</v>
      </c>
      <c r="AM5767">
        <v>77.740148394092799</v>
      </c>
      <c r="AN5767">
        <v>1.0000000196672101</v>
      </c>
    </row>
    <row r="5768" spans="1:40" x14ac:dyDescent="0.25">
      <c r="A5768" t="str">
        <f>"20190312154037204"</f>
        <v>20190312154037204</v>
      </c>
      <c r="B5768" t="str">
        <f>"1552376437192381"</f>
        <v>1552376437192381</v>
      </c>
      <c r="C5768" t="s">
        <v>40</v>
      </c>
      <c r="D5768">
        <v>4.051323</v>
      </c>
      <c r="E5768">
        <v>0.48436360000000001</v>
      </c>
      <c r="F5768" t="s">
        <v>41</v>
      </c>
      <c r="G5768">
        <v>-197.88839999999999</v>
      </c>
      <c r="H5768">
        <v>0.95035119999999895</v>
      </c>
      <c r="I5768">
        <v>147.52869999999999</v>
      </c>
      <c r="J5768">
        <v>-197.3964</v>
      </c>
      <c r="K5768">
        <v>1.1092390000000001</v>
      </c>
      <c r="L5768">
        <v>147.98929999999999</v>
      </c>
      <c r="M5768">
        <v>-0.59382709999999905</v>
      </c>
      <c r="N5768">
        <v>0</v>
      </c>
      <c r="O5768">
        <v>-0.80449979999999999</v>
      </c>
      <c r="P5768">
        <v>-0.75107570000000001</v>
      </c>
      <c r="Q5768">
        <v>-8.2160589999999995E-3</v>
      </c>
      <c r="R5768">
        <v>-0.660165</v>
      </c>
      <c r="S5768">
        <v>-2.1659700000000002</v>
      </c>
      <c r="T5768">
        <v>-0.64523819999999998</v>
      </c>
      <c r="U5768">
        <v>-2.0721440000000002</v>
      </c>
      <c r="V5768">
        <v>0.21224000000000001</v>
      </c>
      <c r="W5768">
        <v>3.2656769999999998E-3</v>
      </c>
      <c r="X5768">
        <v>0.97721210000000003</v>
      </c>
      <c r="Y5768">
        <v>0.15622620000000001</v>
      </c>
      <c r="Z5768">
        <v>0.1799394</v>
      </c>
      <c r="AA5768">
        <v>0.97119270000000002</v>
      </c>
      <c r="AB5768">
        <v>8</v>
      </c>
      <c r="AC5768">
        <v>-0.49199999999999</v>
      </c>
      <c r="AD5768">
        <v>-0.1588878</v>
      </c>
      <c r="AE5768">
        <v>-0.46059999999999901</v>
      </c>
      <c r="AF5768">
        <v>0.11586642602053999</v>
      </c>
      <c r="AG5768">
        <v>-0.1588878</v>
      </c>
      <c r="AH5768">
        <v>0.62786817114124605</v>
      </c>
      <c r="AI5768">
        <v>103.97460392237601</v>
      </c>
      <c r="AJ5768">
        <v>79.544300148359298</v>
      </c>
      <c r="AK5768">
        <v>0.65794285618119297</v>
      </c>
      <c r="AL5768">
        <v>89.812890155321796</v>
      </c>
      <c r="AM5768">
        <v>77.746279108841904</v>
      </c>
      <c r="AN5768">
        <v>0.99999998531633905</v>
      </c>
    </row>
    <row r="5769" spans="1:40" x14ac:dyDescent="0.25">
      <c r="A5769" t="str">
        <f>"20190312154037224"</f>
        <v>20190312154037224</v>
      </c>
      <c r="B5769" t="str">
        <f>"1552376437211904"</f>
        <v>1552376437211904</v>
      </c>
      <c r="C5769" t="s">
        <v>40</v>
      </c>
      <c r="D5769">
        <v>4.0431010000000001</v>
      </c>
      <c r="E5769">
        <v>0.483817</v>
      </c>
      <c r="F5769" t="s">
        <v>41</v>
      </c>
      <c r="G5769">
        <v>-197.9349</v>
      </c>
      <c r="H5769">
        <v>0.94836739999999997</v>
      </c>
      <c r="I5769">
        <v>147.47569999999999</v>
      </c>
      <c r="J5769">
        <v>-197.44390000000001</v>
      </c>
      <c r="K5769">
        <v>1.109248</v>
      </c>
      <c r="L5769">
        <v>147.93270000000001</v>
      </c>
      <c r="M5769">
        <v>-0.59696090000000002</v>
      </c>
      <c r="N5769">
        <v>0</v>
      </c>
      <c r="O5769">
        <v>-0.80217729999999998</v>
      </c>
      <c r="P5769">
        <v>-0.75377450000000001</v>
      </c>
      <c r="Q5769">
        <v>-8.6420019999999993E-3</v>
      </c>
      <c r="R5769">
        <v>-0.65707649999999995</v>
      </c>
      <c r="S5769">
        <v>-2.1689449999999999</v>
      </c>
      <c r="T5769">
        <v>-0.64762580000000003</v>
      </c>
      <c r="U5769">
        <v>-2.0686040000000001</v>
      </c>
      <c r="V5769">
        <v>0.2124344</v>
      </c>
      <c r="W5769">
        <v>2.8403399999999998E-3</v>
      </c>
      <c r="X5769">
        <v>0.97717120000000002</v>
      </c>
      <c r="Y5769">
        <v>0.1538206</v>
      </c>
      <c r="Z5769">
        <v>0.18000910000000001</v>
      </c>
      <c r="AA5769">
        <v>0.97156359999999997</v>
      </c>
      <c r="AB5769">
        <v>8</v>
      </c>
      <c r="AC5769">
        <v>-0.490999999999985</v>
      </c>
      <c r="AD5769">
        <v>-0.16088059999999901</v>
      </c>
      <c r="AE5769">
        <v>-0.457000000000022</v>
      </c>
      <c r="AF5769">
        <v>0.11448133252588399</v>
      </c>
      <c r="AG5769">
        <v>-0.16088059999999901</v>
      </c>
      <c r="AH5769">
        <v>0.62386382443180499</v>
      </c>
      <c r="AI5769">
        <v>104.23250210812201</v>
      </c>
      <c r="AJ5769">
        <v>79.601697492192798</v>
      </c>
      <c r="AK5769">
        <v>0.654365810833619</v>
      </c>
      <c r="AL5769">
        <v>89.837260286469302</v>
      </c>
      <c r="AM5769">
        <v>77.734897158230694</v>
      </c>
      <c r="AN5769">
        <v>0.99999999797205696</v>
      </c>
    </row>
    <row r="5770" spans="1:40" x14ac:dyDescent="0.25">
      <c r="A5770" t="str">
        <f>"20190312154037238"</f>
        <v>20190312154037238</v>
      </c>
      <c r="B5770" t="str">
        <f>"1552376437232396"</f>
        <v>1552376437232396</v>
      </c>
      <c r="C5770" t="s">
        <v>40</v>
      </c>
      <c r="D5770">
        <v>4.0378740000000004</v>
      </c>
      <c r="E5770">
        <v>0.48330519999999999</v>
      </c>
      <c r="F5770" t="s">
        <v>41</v>
      </c>
      <c r="G5770">
        <v>-197.9821</v>
      </c>
      <c r="H5770">
        <v>0.94847199999999998</v>
      </c>
      <c r="I5770">
        <v>147.4222</v>
      </c>
      <c r="J5770">
        <v>-197.4751</v>
      </c>
      <c r="K5770">
        <v>1.1092489999999999</v>
      </c>
      <c r="L5770">
        <v>147.89570000000001</v>
      </c>
      <c r="M5770">
        <v>-0.59900549999999997</v>
      </c>
      <c r="N5770">
        <v>0</v>
      </c>
      <c r="O5770">
        <v>-0.80065180000000002</v>
      </c>
      <c r="P5770">
        <v>-0.75560850000000002</v>
      </c>
      <c r="Q5770">
        <v>-8.9090309999999995E-3</v>
      </c>
      <c r="R5770">
        <v>-0.65496330000000003</v>
      </c>
      <c r="S5770">
        <v>-2.1743320000000002</v>
      </c>
      <c r="T5770">
        <v>-0.64879549999999997</v>
      </c>
      <c r="U5770">
        <v>-2.0628359999999999</v>
      </c>
      <c r="V5770">
        <v>0.21267469999999999</v>
      </c>
      <c r="W5770">
        <v>2.5733119999999999E-3</v>
      </c>
      <c r="X5770">
        <v>0.97711970000000004</v>
      </c>
      <c r="Y5770">
        <v>0.15383089999999999</v>
      </c>
      <c r="Z5770">
        <v>0.18004210000000001</v>
      </c>
      <c r="AA5770">
        <v>0.97155590000000003</v>
      </c>
      <c r="AB5770">
        <v>8</v>
      </c>
      <c r="AC5770">
        <v>-0.507000000000005</v>
      </c>
      <c r="AD5770">
        <v>-0.160776999999999</v>
      </c>
      <c r="AE5770">
        <v>-0.47350000000000098</v>
      </c>
      <c r="AF5770">
        <v>0.116075749918956</v>
      </c>
      <c r="AG5770">
        <v>-0.160776999999999</v>
      </c>
      <c r="AH5770">
        <v>0.64804705099956195</v>
      </c>
      <c r="AI5770">
        <v>103.723492136997</v>
      </c>
      <c r="AJ5770">
        <v>79.845080535497502</v>
      </c>
      <c r="AK5770">
        <v>0.67770775689634599</v>
      </c>
      <c r="AL5770">
        <v>89.852559924588107</v>
      </c>
      <c r="AM5770">
        <v>77.720816353045706</v>
      </c>
      <c r="AN5770">
        <v>1.0000000290414099</v>
      </c>
    </row>
    <row r="5771" spans="1:40" x14ac:dyDescent="0.25">
      <c r="A5771" t="str">
        <f>"20190312154037253"</f>
        <v>20190312154037253</v>
      </c>
      <c r="B5771" t="str">
        <f>"1552376437242157"</f>
        <v>1552376437242157</v>
      </c>
      <c r="C5771" t="s">
        <v>40</v>
      </c>
      <c r="D5771">
        <v>4.066802</v>
      </c>
      <c r="E5771">
        <v>0.48311579999999898</v>
      </c>
      <c r="F5771" t="s">
        <v>41</v>
      </c>
      <c r="G5771">
        <v>-198.02930000000001</v>
      </c>
      <c r="H5771">
        <v>0.94374749999999996</v>
      </c>
      <c r="I5771">
        <v>147.3715</v>
      </c>
      <c r="J5771">
        <v>-197.512</v>
      </c>
      <c r="K5771">
        <v>1.1092470000000001</v>
      </c>
      <c r="L5771">
        <v>147.85239999999999</v>
      </c>
      <c r="M5771">
        <v>-0.60140439999999995</v>
      </c>
      <c r="N5771">
        <v>0</v>
      </c>
      <c r="O5771">
        <v>-0.79885130000000004</v>
      </c>
      <c r="P5771">
        <v>-0.75774129999999995</v>
      </c>
      <c r="Q5771">
        <v>-9.1910450000000001E-3</v>
      </c>
      <c r="R5771">
        <v>-0.65249049999999997</v>
      </c>
      <c r="S5771">
        <v>-2.1770480000000001</v>
      </c>
      <c r="T5771">
        <v>-0.64987620000000001</v>
      </c>
      <c r="U5771">
        <v>-2.0599669999999999</v>
      </c>
      <c r="V5771">
        <v>0.2129335</v>
      </c>
      <c r="W5771">
        <v>2.2915029999999999E-3</v>
      </c>
      <c r="X5771">
        <v>0.97706400000000004</v>
      </c>
      <c r="Y5771">
        <v>0.15214559999999999</v>
      </c>
      <c r="Z5771">
        <v>0.17988270000000001</v>
      </c>
      <c r="AA5771">
        <v>0.97185080000000001</v>
      </c>
      <c r="AB5771">
        <v>8</v>
      </c>
      <c r="AC5771">
        <v>-0.51730000000000498</v>
      </c>
      <c r="AD5771">
        <v>-0.16549949999999899</v>
      </c>
      <c r="AE5771">
        <v>-0.480899999999991</v>
      </c>
      <c r="AF5771">
        <v>0.11758374066982399</v>
      </c>
      <c r="AG5771">
        <v>-0.16549949999999899</v>
      </c>
      <c r="AH5771">
        <v>0.65913620248170701</v>
      </c>
      <c r="AI5771">
        <v>103.884243457922</v>
      </c>
      <c r="AJ5771">
        <v>79.885365998668306</v>
      </c>
      <c r="AK5771">
        <v>0.68969308680902697</v>
      </c>
      <c r="AL5771">
        <v>89.868706433568804</v>
      </c>
      <c r="AM5771">
        <v>77.705648663191496</v>
      </c>
      <c r="AN5771">
        <v>0.99999999325212396</v>
      </c>
    </row>
    <row r="5772" spans="1:40" x14ac:dyDescent="0.25">
      <c r="A5772" t="str">
        <f>"20190312154037270"</f>
        <v>20190312154037270</v>
      </c>
      <c r="B5772" t="str">
        <f>"1552376437261676"</f>
        <v>1552376437261676</v>
      </c>
      <c r="C5772" t="s">
        <v>40</v>
      </c>
      <c r="D5772">
        <v>4.1296549999999996</v>
      </c>
      <c r="E5772">
        <v>0.50407060000000004</v>
      </c>
      <c r="F5772" t="s">
        <v>41</v>
      </c>
      <c r="G5772">
        <v>-198.02959999999999</v>
      </c>
      <c r="H5772">
        <v>0.95490750000000002</v>
      </c>
      <c r="I5772">
        <v>147.36529999999999</v>
      </c>
      <c r="J5772">
        <v>-197.5515</v>
      </c>
      <c r="K5772">
        <v>1.1092470000000001</v>
      </c>
      <c r="L5772">
        <v>147.80619999999999</v>
      </c>
      <c r="M5772">
        <v>-0.6039641</v>
      </c>
      <c r="N5772">
        <v>0</v>
      </c>
      <c r="O5772">
        <v>-0.79691789999999996</v>
      </c>
      <c r="P5772">
        <v>-0.76033399999999995</v>
      </c>
      <c r="Q5772">
        <v>-9.5318529999999999E-3</v>
      </c>
      <c r="R5772">
        <v>-0.64946289999999995</v>
      </c>
      <c r="S5772">
        <v>-2.1824189999999999</v>
      </c>
      <c r="T5772">
        <v>-0.65040149999999997</v>
      </c>
      <c r="U5772">
        <v>-2.0541230000000001</v>
      </c>
      <c r="V5772">
        <v>0.2136922</v>
      </c>
      <c r="W5772">
        <v>1.948181E-3</v>
      </c>
      <c r="X5772">
        <v>0.97689910000000002</v>
      </c>
      <c r="Y5772">
        <v>0.15156249999999999</v>
      </c>
      <c r="Z5772">
        <v>0.1796267</v>
      </c>
      <c r="AA5772">
        <v>0.9719892</v>
      </c>
      <c r="AB5772">
        <v>8</v>
      </c>
      <c r="AC5772">
        <v>-0.47809999999998298</v>
      </c>
      <c r="AD5772">
        <v>-0.15433949999999899</v>
      </c>
      <c r="AE5772">
        <v>-0.44089999999999901</v>
      </c>
      <c r="AF5772">
        <v>0.108610578029062</v>
      </c>
      <c r="AG5772">
        <v>-0.15433949999999899</v>
      </c>
      <c r="AH5772">
        <v>0.60603388875389896</v>
      </c>
      <c r="AI5772">
        <v>104.072775790918</v>
      </c>
      <c r="AJ5772">
        <v>79.839578230340095</v>
      </c>
      <c r="AK5772">
        <v>0.63473932699827995</v>
      </c>
      <c r="AL5772">
        <v>89.888377380549301</v>
      </c>
      <c r="AM5772">
        <v>77.661163372872096</v>
      </c>
      <c r="AN5772">
        <v>1.00000000166542</v>
      </c>
    </row>
    <row r="5773" spans="1:40" x14ac:dyDescent="0.25">
      <c r="A5773" t="str">
        <f>"20190312154037291"</f>
        <v>20190312154037291</v>
      </c>
      <c r="B5773" t="str">
        <f>"1552376437282172"</f>
        <v>1552376437282172</v>
      </c>
      <c r="C5773" t="s">
        <v>40</v>
      </c>
      <c r="D5773">
        <v>4.22689</v>
      </c>
      <c r="E5773">
        <v>0.55456890000000003</v>
      </c>
      <c r="F5773" t="s">
        <v>41</v>
      </c>
      <c r="G5773">
        <v>-198.12039999999999</v>
      </c>
      <c r="H5773">
        <v>0.97376949999999995</v>
      </c>
      <c r="I5773">
        <v>147.33150000000001</v>
      </c>
      <c r="J5773">
        <v>-197.6026</v>
      </c>
      <c r="K5773">
        <v>1.109251</v>
      </c>
      <c r="L5773">
        <v>147.74680000000001</v>
      </c>
      <c r="M5773">
        <v>-0.60724800000000001</v>
      </c>
      <c r="N5773">
        <v>0</v>
      </c>
      <c r="O5773">
        <v>-0.79441830000000002</v>
      </c>
      <c r="P5773">
        <v>-0.76322319999999999</v>
      </c>
      <c r="Q5773">
        <v>-9.9231690000000008E-3</v>
      </c>
      <c r="R5773">
        <v>-0.64605900000000005</v>
      </c>
      <c r="S5773">
        <v>-2.2995299999999999</v>
      </c>
      <c r="T5773">
        <v>-0.54708669999999904</v>
      </c>
      <c r="U5773">
        <v>-1.9190830000000001</v>
      </c>
      <c r="V5773">
        <v>0.2140203</v>
      </c>
      <c r="W5773">
        <v>1.5576520000000001E-3</v>
      </c>
      <c r="X5773">
        <v>0.97682800000000003</v>
      </c>
      <c r="Y5773">
        <v>0.20930770000000001</v>
      </c>
      <c r="Z5773">
        <v>0.154856299999999</v>
      </c>
      <c r="AA5773">
        <v>0.96551010000000004</v>
      </c>
      <c r="AB5773">
        <v>8</v>
      </c>
      <c r="AC5773">
        <v>-0.51779999999999304</v>
      </c>
      <c r="AD5773">
        <v>-0.1354815</v>
      </c>
      <c r="AE5773">
        <v>-0.415300000000002</v>
      </c>
      <c r="AF5773">
        <v>0.15280563574512299</v>
      </c>
      <c r="AG5773">
        <v>-0.1354815</v>
      </c>
      <c r="AH5773">
        <v>0.61863062424727699</v>
      </c>
      <c r="AI5773">
        <v>102.003056262005</v>
      </c>
      <c r="AJ5773">
        <v>76.125308741999604</v>
      </c>
      <c r="AK5773">
        <v>0.65146653668035504</v>
      </c>
      <c r="AL5773">
        <v>89.910753080889194</v>
      </c>
      <c r="AM5773">
        <v>77.641928311617207</v>
      </c>
      <c r="AN5773">
        <v>1.00000002833792</v>
      </c>
    </row>
    <row r="5774" spans="1:40" x14ac:dyDescent="0.25">
      <c r="A5774" t="str">
        <f>"20190312154037306"</f>
        <v>20190312154037306</v>
      </c>
      <c r="B5774" t="str">
        <f>"1552376437291933"</f>
        <v>1552376437291933</v>
      </c>
      <c r="C5774" t="s">
        <v>40</v>
      </c>
      <c r="D5774">
        <v>3.9687730000000001</v>
      </c>
      <c r="E5774">
        <v>0.56619330000000001</v>
      </c>
      <c r="F5774" t="s">
        <v>55</v>
      </c>
      <c r="G5774">
        <v>-208.82300000000001</v>
      </c>
      <c r="H5774" s="1">
        <v>-6.187873E-6</v>
      </c>
      <c r="I5774">
        <v>140.7441</v>
      </c>
      <c r="J5774">
        <v>-197.63560000000001</v>
      </c>
      <c r="K5774">
        <v>1.109254</v>
      </c>
      <c r="L5774">
        <v>147.7089</v>
      </c>
      <c r="M5774">
        <v>-0.60935050000000002</v>
      </c>
      <c r="N5774">
        <v>0</v>
      </c>
      <c r="O5774">
        <v>-0.79280699999999904</v>
      </c>
      <c r="P5774">
        <v>-0.76505119999999904</v>
      </c>
      <c r="Q5774">
        <v>-1.020153E-2</v>
      </c>
      <c r="R5774">
        <v>-0.64388909999999999</v>
      </c>
      <c r="S5774">
        <v>-2.5697779999999999</v>
      </c>
      <c r="T5774">
        <v>-0.25404979999999999</v>
      </c>
      <c r="U5774">
        <v>-1.6038209999999999</v>
      </c>
      <c r="V5774">
        <v>0.2142029</v>
      </c>
      <c r="W5774">
        <v>1.2787020000000001E-3</v>
      </c>
      <c r="X5774">
        <v>0.97678830000000005</v>
      </c>
      <c r="Y5774">
        <v>0.347001</v>
      </c>
      <c r="Z5774">
        <v>7.5449089999999996E-2</v>
      </c>
      <c r="AA5774">
        <v>0.93482500000000002</v>
      </c>
      <c r="AB5774">
        <v>8</v>
      </c>
      <c r="AC5774">
        <v>-11.187399999999901</v>
      </c>
      <c r="AD5774">
        <v>-1.109260187873</v>
      </c>
      <c r="AE5774">
        <v>-6.9647999999999897</v>
      </c>
      <c r="AF5774">
        <v>4.5932453800077599</v>
      </c>
      <c r="AG5774">
        <v>-1.109260187873</v>
      </c>
      <c r="AH5774">
        <v>12.252895474689799</v>
      </c>
      <c r="AI5774">
        <v>94.845374743039997</v>
      </c>
      <c r="AJ5774">
        <v>69.450475149762994</v>
      </c>
      <c r="AK5774">
        <v>13.132471541908499</v>
      </c>
      <c r="AL5774">
        <v>89.926735748533304</v>
      </c>
      <c r="AM5774">
        <v>77.631221690900603</v>
      </c>
      <c r="AN5774">
        <v>0.99999995023205102</v>
      </c>
    </row>
    <row r="5775" spans="1:40" x14ac:dyDescent="0.25">
      <c r="A5775" t="str">
        <f>"20190312154037325"</f>
        <v>20190312154037325</v>
      </c>
      <c r="B5775" t="str">
        <f>"1552376437311453"</f>
        <v>1552376437311453</v>
      </c>
      <c r="C5775" t="s">
        <v>40</v>
      </c>
      <c r="D5775">
        <v>4.0672759999999997</v>
      </c>
      <c r="E5775">
        <v>0.58389630000000003</v>
      </c>
      <c r="F5775" t="s">
        <v>55</v>
      </c>
      <c r="G5775">
        <v>-209.22290000000001</v>
      </c>
      <c r="H5775" s="1">
        <v>-6.0774740000000004E-6</v>
      </c>
      <c r="I5775">
        <v>140.99770000000001</v>
      </c>
      <c r="J5775">
        <v>-197.67859999999999</v>
      </c>
      <c r="K5775">
        <v>1.109259</v>
      </c>
      <c r="L5775">
        <v>147.65950000000001</v>
      </c>
      <c r="M5775">
        <v>-0.61208260000000003</v>
      </c>
      <c r="N5775">
        <v>0</v>
      </c>
      <c r="O5775">
        <v>-0.7906995</v>
      </c>
      <c r="P5775">
        <v>-0.76696699999999995</v>
      </c>
      <c r="Q5775">
        <v>-1.058344E-2</v>
      </c>
      <c r="R5775">
        <v>-0.64159960000000005</v>
      </c>
      <c r="S5775">
        <v>-2.6339869999999999</v>
      </c>
      <c r="T5775">
        <v>-0.25215149999999997</v>
      </c>
      <c r="U5775">
        <v>-1.525558</v>
      </c>
      <c r="V5775">
        <v>0.21374689999999999</v>
      </c>
      <c r="W5775">
        <v>9.0009360000000002E-4</v>
      </c>
      <c r="X5775">
        <v>0.97688869999999906</v>
      </c>
      <c r="Y5775">
        <v>0.37447770000000002</v>
      </c>
      <c r="Z5775">
        <v>7.5168659999999998E-2</v>
      </c>
      <c r="AA5775">
        <v>0.92418400000000001</v>
      </c>
      <c r="AB5775">
        <v>8</v>
      </c>
      <c r="AC5775">
        <v>-11.5443</v>
      </c>
      <c r="AD5775">
        <v>-1.109265077474</v>
      </c>
      <c r="AE5775">
        <v>-6.6618000000000004</v>
      </c>
      <c r="AF5775">
        <v>5.0161336672384698</v>
      </c>
      <c r="AG5775">
        <v>-1.109265077474</v>
      </c>
      <c r="AH5775">
        <v>12.2496220601526</v>
      </c>
      <c r="AI5775">
        <v>94.790258865781198</v>
      </c>
      <c r="AJ5775">
        <v>67.731247101784803</v>
      </c>
      <c r="AK5775">
        <v>13.283271682694799</v>
      </c>
      <c r="AL5775">
        <v>89.948428430642593</v>
      </c>
      <c r="AM5775">
        <v>77.657974352492303</v>
      </c>
      <c r="AN5775">
        <v>1.0000000398078901</v>
      </c>
    </row>
    <row r="5776" spans="1:40" x14ac:dyDescent="0.25">
      <c r="A5776" t="str">
        <f>"20190312154037338"</f>
        <v>20190312154037338</v>
      </c>
      <c r="B5776" t="str">
        <f>"1552376437331949"</f>
        <v>1552376437331949</v>
      </c>
      <c r="C5776" t="s">
        <v>40</v>
      </c>
      <c r="D5776">
        <v>4.1043440000000002</v>
      </c>
      <c r="E5776">
        <v>0.59763440000000001</v>
      </c>
      <c r="F5776" t="s">
        <v>55</v>
      </c>
      <c r="G5776">
        <v>-207.13140000000001</v>
      </c>
      <c r="H5776" s="1">
        <v>-7.4755949999999997E-6</v>
      </c>
      <c r="I5776">
        <v>142.78039999999999</v>
      </c>
      <c r="J5776">
        <v>-197.7098</v>
      </c>
      <c r="K5776">
        <v>1.109262</v>
      </c>
      <c r="L5776">
        <v>147.62389999999999</v>
      </c>
      <c r="M5776">
        <v>-0.61405129999999997</v>
      </c>
      <c r="N5776">
        <v>0</v>
      </c>
      <c r="O5776">
        <v>-0.78917139999999997</v>
      </c>
      <c r="P5776">
        <v>-0.76834690000000005</v>
      </c>
      <c r="Q5776">
        <v>-1.0480140000000001E-2</v>
      </c>
      <c r="R5776">
        <v>-0.63994799999999996</v>
      </c>
      <c r="S5776">
        <v>-2.7288359999999998</v>
      </c>
      <c r="T5776">
        <v>-0.3202236</v>
      </c>
      <c r="U5776">
        <v>-1.408493</v>
      </c>
      <c r="V5776">
        <v>0.2134151</v>
      </c>
      <c r="W5776">
        <v>1.0054739999999999E-3</v>
      </c>
      <c r="X5776">
        <v>0.97696110000000003</v>
      </c>
      <c r="Y5776">
        <v>0.41465590000000002</v>
      </c>
      <c r="Z5776">
        <v>9.5825960000000002E-2</v>
      </c>
      <c r="AA5776">
        <v>0.90491869999999996</v>
      </c>
      <c r="AB5776">
        <v>8</v>
      </c>
      <c r="AC5776">
        <v>-9.4216000000000104</v>
      </c>
      <c r="AD5776">
        <v>-1.1092694755950001</v>
      </c>
      <c r="AE5776">
        <v>-4.8434999999999997</v>
      </c>
      <c r="AF5776">
        <v>4.4130473720349697</v>
      </c>
      <c r="AG5776">
        <v>-1.1092694755950001</v>
      </c>
      <c r="AH5776">
        <v>9.5042087756981708</v>
      </c>
      <c r="AI5776">
        <v>96.042745122680998</v>
      </c>
      <c r="AJ5776">
        <v>65.093351545988995</v>
      </c>
      <c r="AK5776">
        <v>10.5373360167249</v>
      </c>
      <c r="AL5776">
        <v>89.942390573878697</v>
      </c>
      <c r="AM5776">
        <v>77.677432414455296</v>
      </c>
      <c r="AN5776">
        <v>1.0000000033995899</v>
      </c>
    </row>
    <row r="5777" spans="1:40" x14ac:dyDescent="0.25">
      <c r="A5777" t="str">
        <f>"20190312154037351"</f>
        <v>20190312154037351</v>
      </c>
      <c r="B5777" t="str">
        <f>"1552376437341709"</f>
        <v>1552376437341709</v>
      </c>
      <c r="C5777" t="s">
        <v>40</v>
      </c>
      <c r="D5777">
        <v>4.0758960000000002</v>
      </c>
      <c r="E5777">
        <v>0.60164549999999895</v>
      </c>
      <c r="F5777" t="s">
        <v>55</v>
      </c>
      <c r="G5777">
        <v>-207.04519999999999</v>
      </c>
      <c r="H5777" s="1">
        <v>-7.6329359999999995E-6</v>
      </c>
      <c r="I5777">
        <v>143.23159999999999</v>
      </c>
      <c r="J5777">
        <v>-197.74350000000001</v>
      </c>
      <c r="K5777">
        <v>1.109262</v>
      </c>
      <c r="L5777">
        <v>147.58580000000001</v>
      </c>
      <c r="M5777">
        <v>-0.61616179999999998</v>
      </c>
      <c r="N5777">
        <v>0</v>
      </c>
      <c r="O5777">
        <v>-0.78752480000000002</v>
      </c>
      <c r="P5777">
        <v>-0.76973259999999999</v>
      </c>
      <c r="Q5777">
        <v>-1.025211E-2</v>
      </c>
      <c r="R5777">
        <v>-0.63828409999999902</v>
      </c>
      <c r="S5777">
        <v>-2.8019409999999998</v>
      </c>
      <c r="T5777">
        <v>-0.33293899999999998</v>
      </c>
      <c r="U5777">
        <v>-1.318314</v>
      </c>
      <c r="V5777">
        <v>0.2129163</v>
      </c>
      <c r="W5777">
        <v>1.2362639999999999E-3</v>
      </c>
      <c r="X5777">
        <v>0.97706970000000004</v>
      </c>
      <c r="Y5777">
        <v>0.44478689999999999</v>
      </c>
      <c r="Z5777">
        <v>9.9817829999999996E-2</v>
      </c>
      <c r="AA5777">
        <v>0.89005669999999903</v>
      </c>
      <c r="AB5777">
        <v>8</v>
      </c>
      <c r="AC5777">
        <v>-9.3016999999999808</v>
      </c>
      <c r="AD5777">
        <v>-1.1092696329359999</v>
      </c>
      <c r="AE5777">
        <v>-4.3542000000000201</v>
      </c>
      <c r="AF5777">
        <v>4.58923886274893</v>
      </c>
      <c r="AG5777">
        <v>-1.1092696329359999</v>
      </c>
      <c r="AH5777">
        <v>9.0554409643577891</v>
      </c>
      <c r="AI5777">
        <v>96.235778962308203</v>
      </c>
      <c r="AJ5777">
        <v>63.124403422200103</v>
      </c>
      <c r="AK5777">
        <v>10.2123750184219</v>
      </c>
      <c r="AL5777">
        <v>89.929167275148998</v>
      </c>
      <c r="AM5777">
        <v>77.706681092014406</v>
      </c>
      <c r="AN5777">
        <v>1.00000003890622</v>
      </c>
    </row>
    <row r="5778" spans="1:40" x14ac:dyDescent="0.25">
      <c r="A5778" t="str">
        <f>"20190312154037370"</f>
        <v>20190312154037370</v>
      </c>
      <c r="B5778" t="str">
        <f>"1552376437362205"</f>
        <v>1552376437362205</v>
      </c>
      <c r="C5778" t="s">
        <v>40</v>
      </c>
      <c r="D5778">
        <v>4.0557369999999997</v>
      </c>
      <c r="E5778">
        <v>0.60710339999999996</v>
      </c>
      <c r="F5778" t="s">
        <v>55</v>
      </c>
      <c r="G5778">
        <v>-206.7801</v>
      </c>
      <c r="H5778" s="1">
        <v>-7.8127409999999994E-6</v>
      </c>
      <c r="I5778">
        <v>143.4674</v>
      </c>
      <c r="J5778">
        <v>-197.7859</v>
      </c>
      <c r="K5778">
        <v>1.1092660000000001</v>
      </c>
      <c r="L5778">
        <v>147.53799999999899</v>
      </c>
      <c r="M5778">
        <v>-0.61880459999999904</v>
      </c>
      <c r="N5778">
        <v>0</v>
      </c>
      <c r="O5778">
        <v>-0.78544990000000003</v>
      </c>
      <c r="P5778">
        <v>-0.77109810000000001</v>
      </c>
      <c r="Q5778">
        <v>-9.8396119999999993E-3</v>
      </c>
      <c r="R5778">
        <v>-0.63664030000000005</v>
      </c>
      <c r="S5778">
        <v>-2.8251650000000001</v>
      </c>
      <c r="T5778">
        <v>-0.34679680000000002</v>
      </c>
      <c r="U5778">
        <v>-1.287552</v>
      </c>
      <c r="V5778">
        <v>0.21172279999999999</v>
      </c>
      <c r="W5778">
        <v>1.6549259999999999E-3</v>
      </c>
      <c r="X5778">
        <v>0.97732839999999999</v>
      </c>
      <c r="Y5778">
        <v>0.45212390000000002</v>
      </c>
      <c r="Z5778">
        <v>0.1038062</v>
      </c>
      <c r="AA5778">
        <v>0.88589409999999902</v>
      </c>
      <c r="AB5778">
        <v>8</v>
      </c>
      <c r="AC5778">
        <v>-8.9941999999999993</v>
      </c>
      <c r="AD5778">
        <v>-1.109273812741</v>
      </c>
      <c r="AE5778">
        <v>-4.0705999999999802</v>
      </c>
      <c r="AF5778">
        <v>4.4892506873605003</v>
      </c>
      <c r="AG5778">
        <v>-1.109273812741</v>
      </c>
      <c r="AH5778">
        <v>8.6542995935459501</v>
      </c>
      <c r="AI5778">
        <v>96.491141294234296</v>
      </c>
      <c r="AJ5778">
        <v>62.582845318351303</v>
      </c>
      <c r="AK5778">
        <v>9.8122760652383505</v>
      </c>
      <c r="AL5778">
        <v>89.905179685506596</v>
      </c>
      <c r="AM5778">
        <v>77.776651668768906</v>
      </c>
      <c r="AN5778">
        <v>1.00000004213323</v>
      </c>
    </row>
    <row r="5779" spans="1:40" x14ac:dyDescent="0.25">
      <c r="A5779" t="str">
        <f>"20190312154037382"</f>
        <v>20190312154037382</v>
      </c>
      <c r="B5779" t="str">
        <f>"1552376437371965"</f>
        <v>1552376437371965</v>
      </c>
      <c r="C5779" t="s">
        <v>40</v>
      </c>
      <c r="D5779">
        <v>4.0596310000000004</v>
      </c>
      <c r="E5779">
        <v>0.6090854</v>
      </c>
      <c r="F5779" t="s">
        <v>55</v>
      </c>
      <c r="G5779">
        <v>-206.77850000000001</v>
      </c>
      <c r="H5779" s="1">
        <v>-7.8506780000000007E-6</v>
      </c>
      <c r="I5779">
        <v>143.60839999999999</v>
      </c>
      <c r="J5779">
        <v>-197.81530000000001</v>
      </c>
      <c r="K5779">
        <v>1.1092679999999999</v>
      </c>
      <c r="L5779">
        <v>147.505</v>
      </c>
      <c r="M5779">
        <v>-0.62063219999999997</v>
      </c>
      <c r="N5779">
        <v>0</v>
      </c>
      <c r="O5779">
        <v>-0.7840068</v>
      </c>
      <c r="P5779">
        <v>-0.77208520000000003</v>
      </c>
      <c r="Q5779">
        <v>-9.7869859999999993E-3</v>
      </c>
      <c r="R5779">
        <v>-0.6354438</v>
      </c>
      <c r="S5779">
        <v>-2.8557429999999999</v>
      </c>
      <c r="T5779">
        <v>-0.3522671</v>
      </c>
      <c r="U5779">
        <v>-1.2479100000000001</v>
      </c>
      <c r="V5779">
        <v>0.21096309999999999</v>
      </c>
      <c r="W5779">
        <v>1.7107159999999999E-3</v>
      </c>
      <c r="X5779">
        <v>0.97749249999999999</v>
      </c>
      <c r="Y5779">
        <v>0.46368700000000002</v>
      </c>
      <c r="Z5779">
        <v>0.1054066</v>
      </c>
      <c r="AA5779">
        <v>0.87970669999999995</v>
      </c>
      <c r="AB5779">
        <v>8</v>
      </c>
      <c r="AC5779">
        <v>-8.9632000000000005</v>
      </c>
      <c r="AD5779">
        <v>-1.1092758506779901</v>
      </c>
      <c r="AE5779">
        <v>-3.8965999999999998</v>
      </c>
      <c r="AF5779">
        <v>4.5505784853704796</v>
      </c>
      <c r="AG5779">
        <v>-1.1092758506779901</v>
      </c>
      <c r="AH5779">
        <v>8.5088450570817198</v>
      </c>
      <c r="AI5779">
        <v>96.557916771079505</v>
      </c>
      <c r="AJ5779">
        <v>61.861876553708001</v>
      </c>
      <c r="AK5779">
        <v>9.7128112135384406</v>
      </c>
      <c r="AL5779">
        <v>89.901983142685097</v>
      </c>
      <c r="AM5779">
        <v>77.8211832300818</v>
      </c>
      <c r="AN5779">
        <v>0.99999997183354505</v>
      </c>
    </row>
    <row r="5780" spans="1:40" x14ac:dyDescent="0.25">
      <c r="A5780" t="str">
        <f>"20190312154037394"</f>
        <v>20190312154037394</v>
      </c>
      <c r="B5780" t="str">
        <f>"1552376437381725"</f>
        <v>1552376437381725</v>
      </c>
      <c r="C5780" t="s">
        <v>40</v>
      </c>
      <c r="D5780">
        <v>4.0714639999999997</v>
      </c>
      <c r="E5780">
        <v>0.6108886</v>
      </c>
      <c r="F5780" t="s">
        <v>55</v>
      </c>
      <c r="G5780">
        <v>-206.9716</v>
      </c>
      <c r="H5780" s="1">
        <v>-7.7560899999999995E-6</v>
      </c>
      <c r="I5780">
        <v>143.5746</v>
      </c>
      <c r="J5780">
        <v>-197.8441</v>
      </c>
      <c r="K5780">
        <v>1.1092679999999999</v>
      </c>
      <c r="L5780">
        <v>147.47290000000001</v>
      </c>
      <c r="M5780">
        <v>-0.62240960000000001</v>
      </c>
      <c r="N5780">
        <v>0</v>
      </c>
      <c r="O5780">
        <v>-0.78259630000000002</v>
      </c>
      <c r="P5780">
        <v>-0.77324680000000001</v>
      </c>
      <c r="Q5780">
        <v>-9.9162369999999996E-3</v>
      </c>
      <c r="R5780">
        <v>-0.63402799999999904</v>
      </c>
      <c r="S5780">
        <v>-2.86795</v>
      </c>
      <c r="T5780">
        <v>-0.34744819999999998</v>
      </c>
      <c r="U5780">
        <v>-1.2310939999999999</v>
      </c>
      <c r="V5780">
        <v>0.21053450000000001</v>
      </c>
      <c r="W5780">
        <v>1.5834009999999999E-3</v>
      </c>
      <c r="X5780">
        <v>0.97758509999999998</v>
      </c>
      <c r="Y5780">
        <v>0.46757599999999999</v>
      </c>
      <c r="Z5780">
        <v>0.1038828</v>
      </c>
      <c r="AA5780">
        <v>0.87782749999999998</v>
      </c>
      <c r="AB5780">
        <v>8</v>
      </c>
      <c r="AC5780">
        <v>-9.1274999999999906</v>
      </c>
      <c r="AD5780">
        <v>-1.10927575609</v>
      </c>
      <c r="AE5780">
        <v>-3.8982999999999999</v>
      </c>
      <c r="AF5780">
        <v>4.6589640780349804</v>
      </c>
      <c r="AG5780">
        <v>-1.10927575609</v>
      </c>
      <c r="AH5780">
        <v>8.6247563809553807</v>
      </c>
      <c r="AI5780">
        <v>96.4561580190109</v>
      </c>
      <c r="AJ5780">
        <v>61.622747414271203</v>
      </c>
      <c r="AK5780">
        <v>9.8652350004599398</v>
      </c>
      <c r="AL5780">
        <v>89.909277763458306</v>
      </c>
      <c r="AM5780">
        <v>77.846306839588493</v>
      </c>
      <c r="AN5780">
        <v>0.99999995529549202</v>
      </c>
    </row>
    <row r="5781" spans="1:40" x14ac:dyDescent="0.25">
      <c r="A5781" t="str">
        <f>"20190312154037406"</f>
        <v>20190312154037406</v>
      </c>
      <c r="B5781" t="str">
        <f>"1552376437402222"</f>
        <v>1552376437402222</v>
      </c>
      <c r="C5781" t="s">
        <v>40</v>
      </c>
      <c r="D5781">
        <v>4.0338859999999999</v>
      </c>
      <c r="E5781">
        <v>0.61320109999999906</v>
      </c>
      <c r="F5781" t="s">
        <v>55</v>
      </c>
      <c r="G5781">
        <v>-207.15119999999999</v>
      </c>
      <c r="H5781" s="1">
        <v>-7.6691239999999998E-6</v>
      </c>
      <c r="I5781">
        <v>143.54669999999999</v>
      </c>
      <c r="J5781">
        <v>-197.8715</v>
      </c>
      <c r="K5781">
        <v>1.109267</v>
      </c>
      <c r="L5781">
        <v>147.4425</v>
      </c>
      <c r="M5781">
        <v>-0.62409619999999999</v>
      </c>
      <c r="N5781">
        <v>0</v>
      </c>
      <c r="O5781">
        <v>-0.7812519</v>
      </c>
      <c r="P5781">
        <v>-0.77428439999999998</v>
      </c>
      <c r="Q5781">
        <v>-1.010258E-2</v>
      </c>
      <c r="R5781">
        <v>-0.63275749999999997</v>
      </c>
      <c r="S5781">
        <v>-2.8793489999999999</v>
      </c>
      <c r="T5781">
        <v>-0.34317950000000003</v>
      </c>
      <c r="U5781">
        <v>-1.2146760000000001</v>
      </c>
      <c r="V5781">
        <v>0.21002879999999999</v>
      </c>
      <c r="W5781">
        <v>1.399342E-3</v>
      </c>
      <c r="X5781">
        <v>0.97769419999999996</v>
      </c>
      <c r="Y5781">
        <v>0.47132590000000002</v>
      </c>
      <c r="Z5781">
        <v>0.10253950000000001</v>
      </c>
      <c r="AA5781">
        <v>0.87597809999999898</v>
      </c>
      <c r="AB5781">
        <v>8</v>
      </c>
      <c r="AC5781">
        <v>-9.2796999999999894</v>
      </c>
      <c r="AD5781">
        <v>-1.1092746691240001</v>
      </c>
      <c r="AE5781">
        <v>-3.8957999999999999</v>
      </c>
      <c r="AF5781">
        <v>4.7609523535524696</v>
      </c>
      <c r="AG5781">
        <v>-1.1092746691240001</v>
      </c>
      <c r="AH5781">
        <v>8.7296375059641491</v>
      </c>
      <c r="AI5781">
        <v>96.365468514575198</v>
      </c>
      <c r="AJ5781">
        <v>61.392919973277898</v>
      </c>
      <c r="AK5781">
        <v>10.0051850852392</v>
      </c>
      <c r="AL5781">
        <v>89.9198235832866</v>
      </c>
      <c r="AM5781">
        <v>77.875947968831497</v>
      </c>
      <c r="AN5781">
        <v>1.0000000018505499</v>
      </c>
    </row>
    <row r="5782" spans="1:40" x14ac:dyDescent="0.25">
      <c r="A5782" t="str">
        <f>"20190312154037425"</f>
        <v>20190312154037425</v>
      </c>
      <c r="B5782" t="str">
        <f>"1552376437421741"</f>
        <v>1552376437421741</v>
      </c>
      <c r="C5782" t="s">
        <v>40</v>
      </c>
      <c r="D5782">
        <v>4.0684670000000001</v>
      </c>
      <c r="E5782">
        <v>0.61486669999999999</v>
      </c>
      <c r="F5782" t="s">
        <v>55</v>
      </c>
      <c r="G5782">
        <v>-207.43719999999999</v>
      </c>
      <c r="H5782" s="1">
        <v>-7.5270589999999998E-6</v>
      </c>
      <c r="I5782">
        <v>143.489</v>
      </c>
      <c r="J5782">
        <v>-197.9177</v>
      </c>
      <c r="K5782">
        <v>1.1092649999999999</v>
      </c>
      <c r="L5782">
        <v>147.39150000000001</v>
      </c>
      <c r="M5782">
        <v>-0.62692139999999996</v>
      </c>
      <c r="N5782">
        <v>0</v>
      </c>
      <c r="O5782">
        <v>-0.77898679999999998</v>
      </c>
      <c r="P5782">
        <v>-0.77584980000000003</v>
      </c>
      <c r="Q5782">
        <v>-1.050192E-2</v>
      </c>
      <c r="R5782">
        <v>-0.63083040000000001</v>
      </c>
      <c r="S5782">
        <v>-2.893005</v>
      </c>
      <c r="T5782">
        <v>-0.3354857</v>
      </c>
      <c r="U5782">
        <v>-1.1956789999999999</v>
      </c>
      <c r="V5782">
        <v>0.20891380000000001</v>
      </c>
      <c r="W5782">
        <v>1.004521E-3</v>
      </c>
      <c r="X5782">
        <v>0.97793350000000001</v>
      </c>
      <c r="Y5782">
        <v>0.47479890000000002</v>
      </c>
      <c r="Z5782">
        <v>0.1000672</v>
      </c>
      <c r="AA5782">
        <v>0.87438700000000003</v>
      </c>
      <c r="AB5782">
        <v>8</v>
      </c>
      <c r="AC5782">
        <v>-9.5194999999999901</v>
      </c>
      <c r="AD5782">
        <v>-1.109272527059</v>
      </c>
      <c r="AE5782">
        <v>-3.9024999999999999</v>
      </c>
      <c r="AF5782">
        <v>4.9122706419853301</v>
      </c>
      <c r="AG5782">
        <v>-1.109272527059</v>
      </c>
      <c r="AH5782">
        <v>8.9051260109193304</v>
      </c>
      <c r="AI5782">
        <v>96.224732903776101</v>
      </c>
      <c r="AJ5782">
        <v>61.117869213954499</v>
      </c>
      <c r="AK5782">
        <v>10.2304524665212</v>
      </c>
      <c r="AL5782">
        <v>89.942445174151302</v>
      </c>
      <c r="AM5782">
        <v>77.941287554974807</v>
      </c>
      <c r="AN5782">
        <v>0.999999957657563</v>
      </c>
    </row>
    <row r="5783" spans="1:40" x14ac:dyDescent="0.25">
      <c r="A5783" t="str">
        <f>"20190312154037439"</f>
        <v>20190312154037439</v>
      </c>
      <c r="B5783" t="str">
        <f>"1552376437431501"</f>
        <v>1552376437431501</v>
      </c>
      <c r="C5783" t="s">
        <v>40</v>
      </c>
      <c r="D5783">
        <v>4.0123790000000001</v>
      </c>
      <c r="E5783">
        <v>0.61542149999999995</v>
      </c>
      <c r="F5783" t="s">
        <v>55</v>
      </c>
      <c r="G5783">
        <v>-207.3717</v>
      </c>
      <c r="H5783" s="1">
        <v>-7.5741699999999897E-6</v>
      </c>
      <c r="I5783">
        <v>143.5574</v>
      </c>
      <c r="J5783">
        <v>-197.9511</v>
      </c>
      <c r="K5783">
        <v>1.1092649999999999</v>
      </c>
      <c r="L5783">
        <v>147.35489999999999</v>
      </c>
      <c r="M5783">
        <v>-0.62895449999999997</v>
      </c>
      <c r="N5783">
        <v>0</v>
      </c>
      <c r="O5783">
        <v>-0.77734609999999904</v>
      </c>
      <c r="P5783">
        <v>-0.77723209999999998</v>
      </c>
      <c r="Q5783">
        <v>-1.036832E-2</v>
      </c>
      <c r="R5783">
        <v>-0.62912880000000004</v>
      </c>
      <c r="S5783">
        <v>-2.9043730000000001</v>
      </c>
      <c r="T5783">
        <v>-0.34078209999999998</v>
      </c>
      <c r="U5783">
        <v>-1.1778869999999999</v>
      </c>
      <c r="V5783">
        <v>0.20850350000000001</v>
      </c>
      <c r="W5783">
        <v>1.139943E-3</v>
      </c>
      <c r="X5783">
        <v>0.97802100000000003</v>
      </c>
      <c r="Y5783">
        <v>0.47812680000000002</v>
      </c>
      <c r="Z5783">
        <v>0.10152990000000001</v>
      </c>
      <c r="AA5783">
        <v>0.87240269999999998</v>
      </c>
      <c r="AB5783">
        <v>8</v>
      </c>
      <c r="AC5783">
        <v>-9.4206000000000092</v>
      </c>
      <c r="AD5783">
        <v>-1.10927257417</v>
      </c>
      <c r="AE5783">
        <v>-3.7974999999999799</v>
      </c>
      <c r="AF5783">
        <v>4.8768148974648797</v>
      </c>
      <c r="AG5783">
        <v>-1.10927257417</v>
      </c>
      <c r="AH5783">
        <v>8.7731267887341993</v>
      </c>
      <c r="AI5783">
        <v>96.306339038022003</v>
      </c>
      <c r="AJ5783">
        <v>60.931147037140398</v>
      </c>
      <c r="AK5783">
        <v>10.098592121634899</v>
      </c>
      <c r="AL5783">
        <v>89.9346860658585</v>
      </c>
      <c r="AM5783">
        <v>77.965324656768999</v>
      </c>
      <c r="AN5783">
        <v>1.00000004271164</v>
      </c>
    </row>
    <row r="5784" spans="1:40" x14ac:dyDescent="0.25">
      <c r="A5784" t="str">
        <f>"20190312154037460"</f>
        <v>20190312154037460</v>
      </c>
      <c r="B5784" t="str">
        <f>"1552376437451999"</f>
        <v>1552376437451999</v>
      </c>
      <c r="C5784" t="s">
        <v>40</v>
      </c>
      <c r="D5784">
        <v>4.0152140000000003</v>
      </c>
      <c r="E5784">
        <v>0.616309</v>
      </c>
      <c r="F5784" t="s">
        <v>55</v>
      </c>
      <c r="G5784">
        <v>-207.2457</v>
      </c>
      <c r="H5784" s="1">
        <v>-7.6475850000000001E-6</v>
      </c>
      <c r="I5784">
        <v>143.62389999999999</v>
      </c>
      <c r="J5784">
        <v>-198.00190000000001</v>
      </c>
      <c r="K5784">
        <v>1.10927</v>
      </c>
      <c r="L5784">
        <v>147.29949999999999</v>
      </c>
      <c r="M5784">
        <v>-0.63202559999999997</v>
      </c>
      <c r="N5784">
        <v>0</v>
      </c>
      <c r="O5784">
        <v>-0.77485109999999902</v>
      </c>
      <c r="P5784">
        <v>-0.77911919999999901</v>
      </c>
      <c r="Q5784">
        <v>-9.7022280000000002E-3</v>
      </c>
      <c r="R5784">
        <v>-0.62680069999999999</v>
      </c>
      <c r="S5784">
        <v>-2.9097900000000001</v>
      </c>
      <c r="T5784">
        <v>-0.34727419999999998</v>
      </c>
      <c r="U5784">
        <v>-1.168045</v>
      </c>
      <c r="V5784">
        <v>0.2075671</v>
      </c>
      <c r="W5784">
        <v>1.8098980000000001E-3</v>
      </c>
      <c r="X5784">
        <v>0.97821910000000001</v>
      </c>
      <c r="Y5784">
        <v>0.47755550000000002</v>
      </c>
      <c r="Z5784">
        <v>0.103192699999999</v>
      </c>
      <c r="AA5784">
        <v>0.87252050000000003</v>
      </c>
      <c r="AB5784">
        <v>8</v>
      </c>
      <c r="AC5784">
        <v>-9.2437999999999896</v>
      </c>
      <c r="AD5784">
        <v>-1.1092776475849999</v>
      </c>
      <c r="AE5784">
        <v>-3.6756000000000002</v>
      </c>
      <c r="AF5784">
        <v>4.7804145699443499</v>
      </c>
      <c r="AG5784">
        <v>-1.1092776475849999</v>
      </c>
      <c r="AH5784">
        <v>8.5842687051826907</v>
      </c>
      <c r="AI5784">
        <v>96.441242596473003</v>
      </c>
      <c r="AJ5784">
        <v>60.887405123225399</v>
      </c>
      <c r="AK5784">
        <v>9.8879992699608792</v>
      </c>
      <c r="AL5784">
        <v>89.896300425823398</v>
      </c>
      <c r="AM5784">
        <v>78.020163920416707</v>
      </c>
      <c r="AN5784">
        <v>0.99999999216899504</v>
      </c>
    </row>
    <row r="5785" spans="1:40" x14ac:dyDescent="0.25">
      <c r="A5785" t="str">
        <f>"20190312154037482"</f>
        <v>20190312154037482</v>
      </c>
      <c r="B5785" t="str">
        <f>"1552376437471517"</f>
        <v>1552376437471517</v>
      </c>
      <c r="C5785" t="s">
        <v>40</v>
      </c>
      <c r="D5785">
        <v>4.0130889999999999</v>
      </c>
      <c r="E5785">
        <v>0.61712860000000003</v>
      </c>
      <c r="F5785" t="s">
        <v>55</v>
      </c>
      <c r="G5785">
        <v>-207.07390000000001</v>
      </c>
      <c r="H5785" s="1">
        <v>-7.7471689999999995E-6</v>
      </c>
      <c r="I5785">
        <v>143.71250000000001</v>
      </c>
      <c r="J5785">
        <v>-198.05500000000001</v>
      </c>
      <c r="K5785">
        <v>1.109273</v>
      </c>
      <c r="L5785">
        <v>147.2422</v>
      </c>
      <c r="M5785">
        <v>-0.63521059999999996</v>
      </c>
      <c r="N5785">
        <v>0</v>
      </c>
      <c r="O5785">
        <v>-0.77224230000000005</v>
      </c>
      <c r="P5785">
        <v>-0.78121350000000001</v>
      </c>
      <c r="Q5785">
        <v>-9.0796330000000001E-3</v>
      </c>
      <c r="R5785">
        <v>-0.62419799999999903</v>
      </c>
      <c r="S5785">
        <v>-2.9178920000000002</v>
      </c>
      <c r="T5785">
        <v>-0.35678670000000001</v>
      </c>
      <c r="U5785">
        <v>-1.1537170000000001</v>
      </c>
      <c r="V5785">
        <v>0.2068101</v>
      </c>
      <c r="W5785">
        <v>2.435984E-3</v>
      </c>
      <c r="X5785">
        <v>0.97837810000000003</v>
      </c>
      <c r="Y5785">
        <v>0.4781628</v>
      </c>
      <c r="Z5785">
        <v>0.1057453</v>
      </c>
      <c r="AA5785">
        <v>0.87188199999999905</v>
      </c>
      <c r="AB5785">
        <v>8</v>
      </c>
      <c r="AC5785">
        <v>-9.0189000000000004</v>
      </c>
      <c r="AD5785">
        <v>-1.109280747169</v>
      </c>
      <c r="AE5785">
        <v>-3.5296999999999898</v>
      </c>
      <c r="AF5785">
        <v>4.6618692776088002</v>
      </c>
      <c r="AG5785">
        <v>-1.109280747169</v>
      </c>
      <c r="AH5785">
        <v>8.3458313060788001</v>
      </c>
      <c r="AI5785">
        <v>96.6189101424374</v>
      </c>
      <c r="AJ5785">
        <v>60.812860940068902</v>
      </c>
      <c r="AK5785">
        <v>9.6237429894546604</v>
      </c>
      <c r="AL5785">
        <v>89.860428263851801</v>
      </c>
      <c r="AM5785">
        <v>78.064483274453806</v>
      </c>
      <c r="AN5785">
        <v>1.0000000290198301</v>
      </c>
    </row>
    <row r="5786" spans="1:40" x14ac:dyDescent="0.25">
      <c r="A5786" t="str">
        <f>"20190312154037504"</f>
        <v>20190312154037504</v>
      </c>
      <c r="B5786" t="str">
        <f>"1552376437492013"</f>
        <v>1552376437492013</v>
      </c>
      <c r="C5786" t="s">
        <v>40</v>
      </c>
      <c r="D5786">
        <v>4.022405</v>
      </c>
      <c r="E5786">
        <v>0.61763849999999998</v>
      </c>
      <c r="F5786" t="s">
        <v>55</v>
      </c>
      <c r="G5786">
        <v>-206.9469</v>
      </c>
      <c r="H5786" s="1">
        <v>-7.8215699999999994E-6</v>
      </c>
      <c r="I5786">
        <v>143.78110000000001</v>
      </c>
      <c r="J5786">
        <v>-198.1079</v>
      </c>
      <c r="K5786">
        <v>1.1092709999999999</v>
      </c>
      <c r="L5786">
        <v>147.18549999999999</v>
      </c>
      <c r="M5786">
        <v>-0.63836040000000005</v>
      </c>
      <c r="N5786">
        <v>0</v>
      </c>
      <c r="O5786">
        <v>-0.76964089999999996</v>
      </c>
      <c r="P5786">
        <v>-0.78345100000000001</v>
      </c>
      <c r="Q5786">
        <v>-9.0758309999999995E-3</v>
      </c>
      <c r="R5786">
        <v>-0.62138740000000003</v>
      </c>
      <c r="S5786">
        <v>-2.9259339999999998</v>
      </c>
      <c r="T5786">
        <v>-0.36501689999999998</v>
      </c>
      <c r="U5786">
        <v>-1.1389009999999999</v>
      </c>
      <c r="V5786">
        <v>0.2063277</v>
      </c>
      <c r="W5786">
        <v>2.4417060000000001E-3</v>
      </c>
      <c r="X5786">
        <v>0.97847989999999996</v>
      </c>
      <c r="Y5786">
        <v>0.47894789999999998</v>
      </c>
      <c r="Z5786">
        <v>0.1079209</v>
      </c>
      <c r="AA5786">
        <v>0.87118419999999896</v>
      </c>
      <c r="AB5786">
        <v>8</v>
      </c>
      <c r="AC5786">
        <v>-8.8389999999999898</v>
      </c>
      <c r="AD5786">
        <v>-1.10927882156999</v>
      </c>
      <c r="AE5786">
        <v>-3.4043999999999799</v>
      </c>
      <c r="AF5786">
        <v>4.56732462096564</v>
      </c>
      <c r="AG5786">
        <v>-1.10927882156999</v>
      </c>
      <c r="AH5786">
        <v>8.1514493556659495</v>
      </c>
      <c r="AI5786">
        <v>96.770362180085201</v>
      </c>
      <c r="AJ5786">
        <v>60.737728783822</v>
      </c>
      <c r="AK5786">
        <v>9.4094144501796393</v>
      </c>
      <c r="AL5786">
        <v>89.860100412125604</v>
      </c>
      <c r="AM5786">
        <v>78.092731572138007</v>
      </c>
      <c r="AN5786">
        <v>0.99999999820974494</v>
      </c>
    </row>
    <row r="5787" spans="1:40" x14ac:dyDescent="0.25">
      <c r="A5787" t="str">
        <f>"20190312154037516"</f>
        <v>20190312154037516</v>
      </c>
      <c r="B5787" t="str">
        <f>"1552376437511533"</f>
        <v>1552376437511533</v>
      </c>
      <c r="C5787" t="s">
        <v>40</v>
      </c>
      <c r="D5787">
        <v>3.9648629999999998</v>
      </c>
      <c r="E5787">
        <v>0.61803260000000004</v>
      </c>
      <c r="F5787" t="s">
        <v>55</v>
      </c>
      <c r="G5787">
        <v>-206.99340000000001</v>
      </c>
      <c r="H5787" s="1">
        <v>-7.7998119999999904E-6</v>
      </c>
      <c r="I5787">
        <v>143.77680000000001</v>
      </c>
      <c r="J5787">
        <v>-198.13910000000001</v>
      </c>
      <c r="K5787">
        <v>1.10927</v>
      </c>
      <c r="L5787">
        <v>147.1523</v>
      </c>
      <c r="M5787">
        <v>-0.640204</v>
      </c>
      <c r="N5787">
        <v>0</v>
      </c>
      <c r="O5787">
        <v>-0.76810780000000001</v>
      </c>
      <c r="P5787">
        <v>-0.78498389999999996</v>
      </c>
      <c r="Q5787">
        <v>-9.1796280000000004E-3</v>
      </c>
      <c r="R5787">
        <v>-0.61944829999999995</v>
      </c>
      <c r="S5787">
        <v>-2.9326479999999999</v>
      </c>
      <c r="T5787">
        <v>-0.36611690000000002</v>
      </c>
      <c r="U5787">
        <v>-1.1250309999999999</v>
      </c>
      <c r="V5787">
        <v>0.2063999</v>
      </c>
      <c r="W5787">
        <v>2.3372789999999998E-3</v>
      </c>
      <c r="X5787">
        <v>0.97846500000000003</v>
      </c>
      <c r="Y5787">
        <v>0.4810701</v>
      </c>
      <c r="Z5787">
        <v>0.1081743</v>
      </c>
      <c r="AA5787">
        <v>0.869982699999999</v>
      </c>
      <c r="AB5787">
        <v>8</v>
      </c>
      <c r="AC5787">
        <v>-8.8542999999999896</v>
      </c>
      <c r="AD5787">
        <v>-1.109277799812</v>
      </c>
      <c r="AE5787">
        <v>-3.3754999999999802</v>
      </c>
      <c r="AF5787">
        <v>4.5776633538311096</v>
      </c>
      <c r="AG5787">
        <v>-1.109277799812</v>
      </c>
      <c r="AH5787">
        <v>8.1502338056500907</v>
      </c>
      <c r="AI5787">
        <v>96.767487103075496</v>
      </c>
      <c r="AJ5787">
        <v>60.678803850662398</v>
      </c>
      <c r="AK5787">
        <v>9.4133846253579492</v>
      </c>
      <c r="AL5787">
        <v>89.866083665055299</v>
      </c>
      <c r="AM5787">
        <v>78.088507672970096</v>
      </c>
      <c r="AN5787">
        <v>1.00000006890906</v>
      </c>
    </row>
    <row r="5788" spans="1:40" x14ac:dyDescent="0.25">
      <c r="A5788" t="str">
        <f>"20190312154037530"</f>
        <v>20190312154037530</v>
      </c>
      <c r="B5788" t="str">
        <f>"1552376437522269"</f>
        <v>1552376437522269</v>
      </c>
      <c r="C5788" t="s">
        <v>40</v>
      </c>
      <c r="D5788">
        <v>3.9742630000000001</v>
      </c>
      <c r="E5788">
        <v>0.61823809999999901</v>
      </c>
      <c r="F5788" t="s">
        <v>55</v>
      </c>
      <c r="G5788">
        <v>-206.98740000000001</v>
      </c>
      <c r="H5788" s="1">
        <v>-7.8066829999999995E-6</v>
      </c>
      <c r="I5788">
        <v>143.79259999999999</v>
      </c>
      <c r="J5788">
        <v>-198.16970000000001</v>
      </c>
      <c r="K5788">
        <v>1.1092690000000001</v>
      </c>
      <c r="L5788">
        <v>147.1199</v>
      </c>
      <c r="M5788">
        <v>-0.64200780000000002</v>
      </c>
      <c r="N5788">
        <v>0</v>
      </c>
      <c r="O5788">
        <v>-0.76660079999999997</v>
      </c>
      <c r="P5788">
        <v>-0.78629759999999904</v>
      </c>
      <c r="Q5788">
        <v>-9.4741970000000002E-3</v>
      </c>
      <c r="R5788">
        <v>-0.61777590000000004</v>
      </c>
      <c r="S5788">
        <v>-2.9373320000000001</v>
      </c>
      <c r="T5788">
        <v>-0.36824180000000001</v>
      </c>
      <c r="U5788">
        <v>-1.1152799999999901</v>
      </c>
      <c r="V5788">
        <v>0.20617969999999999</v>
      </c>
      <c r="W5788">
        <v>2.0435480000000001E-3</v>
      </c>
      <c r="X5788">
        <v>0.97851200000000005</v>
      </c>
      <c r="Y5788">
        <v>0.48192819999999997</v>
      </c>
      <c r="Z5788">
        <v>0.108684199999999</v>
      </c>
      <c r="AA5788">
        <v>0.86944399999999999</v>
      </c>
      <c r="AB5788">
        <v>8</v>
      </c>
      <c r="AC5788">
        <v>-8.8177000000000003</v>
      </c>
      <c r="AD5788">
        <v>-1.1092768066830001</v>
      </c>
      <c r="AE5788">
        <v>-3.3273000000000001</v>
      </c>
      <c r="AF5788">
        <v>4.5606676274597397</v>
      </c>
      <c r="AG5788">
        <v>-1.1092768066830001</v>
      </c>
      <c r="AH5788">
        <v>8.1001413763436592</v>
      </c>
      <c r="AI5788">
        <v>96.804978644014696</v>
      </c>
      <c r="AJ5788">
        <v>60.618941914494897</v>
      </c>
      <c r="AK5788">
        <v>9.3617559548814704</v>
      </c>
      <c r="AL5788">
        <v>89.8829132416395</v>
      </c>
      <c r="AM5788">
        <v>78.101408382790595</v>
      </c>
      <c r="AN5788">
        <v>0.99999998946225899</v>
      </c>
    </row>
    <row r="5789" spans="1:40" x14ac:dyDescent="0.25">
      <c r="A5789" t="str">
        <f>"20190312154037542"</f>
        <v>20190312154037542</v>
      </c>
      <c r="B5789" t="str">
        <f>"1552376437532030"</f>
        <v>1552376437532030</v>
      </c>
      <c r="C5789" t="s">
        <v>40</v>
      </c>
      <c r="D5789">
        <v>3.972172</v>
      </c>
      <c r="E5789">
        <v>0.61838979999999999</v>
      </c>
      <c r="F5789" t="s">
        <v>55</v>
      </c>
      <c r="G5789">
        <v>-206.93709999999999</v>
      </c>
      <c r="H5789" s="1">
        <v>-7.8357259999999997E-6</v>
      </c>
      <c r="I5789">
        <v>143.81819999999999</v>
      </c>
      <c r="J5789">
        <v>-198.20240000000001</v>
      </c>
      <c r="K5789">
        <v>1.1092660000000001</v>
      </c>
      <c r="L5789">
        <v>147.08539999999999</v>
      </c>
      <c r="M5789">
        <v>-0.64392240000000001</v>
      </c>
      <c r="N5789">
        <v>0</v>
      </c>
      <c r="O5789">
        <v>-0.76499329999999999</v>
      </c>
      <c r="P5789">
        <v>-0.78804459999999998</v>
      </c>
      <c r="Q5789">
        <v>-9.355759E-3</v>
      </c>
      <c r="R5789">
        <v>-0.61554770000000003</v>
      </c>
      <c r="S5789">
        <v>-2.9407809999999999</v>
      </c>
      <c r="T5789">
        <v>-0.37207849999999998</v>
      </c>
      <c r="U5789">
        <v>-1.1074679999999999</v>
      </c>
      <c r="V5789">
        <v>0.20650450000000001</v>
      </c>
      <c r="W5789">
        <v>2.1603730000000002E-3</v>
      </c>
      <c r="X5789">
        <v>0.97844330000000002</v>
      </c>
      <c r="Y5789">
        <v>0.48196889999999998</v>
      </c>
      <c r="Z5789">
        <v>0.1096617</v>
      </c>
      <c r="AA5789">
        <v>0.86929869999999898</v>
      </c>
      <c r="AB5789">
        <v>8</v>
      </c>
      <c r="AC5789">
        <v>-8.7346999999999699</v>
      </c>
      <c r="AD5789">
        <v>-1.1092738357259999</v>
      </c>
      <c r="AE5789">
        <v>-3.2671999999999999</v>
      </c>
      <c r="AF5789">
        <v>4.5146300579516403</v>
      </c>
      <c r="AG5789">
        <v>-1.1092738357259999</v>
      </c>
      <c r="AH5789">
        <v>8.0111159654611299</v>
      </c>
      <c r="AI5789">
        <v>96.878375156881503</v>
      </c>
      <c r="AJ5789">
        <v>60.596752777978502</v>
      </c>
      <c r="AK5789">
        <v>9.2623081364664692</v>
      </c>
      <c r="AL5789">
        <v>89.876219652790496</v>
      </c>
      <c r="AM5789">
        <v>78.082386945488295</v>
      </c>
      <c r="AN5789">
        <v>1.0000000335233099</v>
      </c>
    </row>
    <row r="5790" spans="1:40" x14ac:dyDescent="0.25">
      <c r="A5790" t="str">
        <f>"20190312154037560"</f>
        <v>20190312154037560</v>
      </c>
      <c r="B5790" t="str">
        <f>"1552376437551549"</f>
        <v>1552376437551549</v>
      </c>
      <c r="C5790" t="s">
        <v>40</v>
      </c>
      <c r="D5790">
        <v>3.9865759999999999</v>
      </c>
      <c r="E5790">
        <v>0.61848619999999899</v>
      </c>
      <c r="F5790" t="s">
        <v>55</v>
      </c>
      <c r="G5790">
        <v>-206.9222</v>
      </c>
      <c r="H5790" s="1">
        <v>-7.8462990000000003E-6</v>
      </c>
      <c r="I5790">
        <v>143.83320000000001</v>
      </c>
      <c r="J5790">
        <v>-198.2448</v>
      </c>
      <c r="K5790">
        <v>1.109264</v>
      </c>
      <c r="L5790">
        <v>147.04089999999999</v>
      </c>
      <c r="M5790">
        <v>-0.64639849999999999</v>
      </c>
      <c r="N5790">
        <v>0</v>
      </c>
      <c r="O5790">
        <v>-0.76290230000000003</v>
      </c>
      <c r="P5790">
        <v>-0.79006799999999999</v>
      </c>
      <c r="Q5790">
        <v>-9.3364859999999997E-3</v>
      </c>
      <c r="R5790">
        <v>-0.61294839999999995</v>
      </c>
      <c r="S5790">
        <v>-2.9445800000000002</v>
      </c>
      <c r="T5790">
        <v>-0.37458930000000001</v>
      </c>
      <c r="U5790">
        <v>-1.0982510000000001</v>
      </c>
      <c r="V5790">
        <v>0.2065563</v>
      </c>
      <c r="W5790">
        <v>2.1789689999999998E-3</v>
      </c>
      <c r="X5790">
        <v>0.97843230000000003</v>
      </c>
      <c r="Y5790">
        <v>0.48181089999999999</v>
      </c>
      <c r="Z5790">
        <v>0.1102051</v>
      </c>
      <c r="AA5790">
        <v>0.86931759999999902</v>
      </c>
      <c r="AB5790">
        <v>8</v>
      </c>
      <c r="AC5790">
        <v>-8.6774000000000004</v>
      </c>
      <c r="AD5790">
        <v>-1.1092718462989899</v>
      </c>
      <c r="AE5790">
        <v>-3.20769999999998</v>
      </c>
      <c r="AF5790">
        <v>4.48245037343791</v>
      </c>
      <c r="AG5790">
        <v>-1.1092718462989899</v>
      </c>
      <c r="AH5790">
        <v>7.9426288776348297</v>
      </c>
      <c r="AI5790">
        <v>96.934723777679693</v>
      </c>
      <c r="AJ5790">
        <v>60.561638074624</v>
      </c>
      <c r="AK5790">
        <v>9.1873934751464699</v>
      </c>
      <c r="AL5790">
        <v>89.875154174982001</v>
      </c>
      <c r="AM5790">
        <v>78.079352838346395</v>
      </c>
      <c r="AN5790">
        <v>1.0000000093294401</v>
      </c>
    </row>
    <row r="5791" spans="1:40" x14ac:dyDescent="0.25">
      <c r="A5791" t="str">
        <f>"20190312154037581"</f>
        <v>20190312154037581</v>
      </c>
      <c r="B5791" t="str">
        <f>"1552376437572048"</f>
        <v>1552376437572048</v>
      </c>
      <c r="C5791" t="s">
        <v>40</v>
      </c>
      <c r="D5791">
        <v>3.9586619999999999</v>
      </c>
      <c r="E5791">
        <v>0.61859310000000001</v>
      </c>
      <c r="F5791" t="s">
        <v>55</v>
      </c>
      <c r="G5791">
        <v>-206.8689</v>
      </c>
      <c r="H5791" s="1">
        <v>-7.8766940000000006E-6</v>
      </c>
      <c r="I5791">
        <v>143.8588</v>
      </c>
      <c r="J5791">
        <v>-198.2989</v>
      </c>
      <c r="K5791">
        <v>1.109264</v>
      </c>
      <c r="L5791">
        <v>146.9846</v>
      </c>
      <c r="M5791">
        <v>-0.64953260000000002</v>
      </c>
      <c r="N5791">
        <v>0</v>
      </c>
      <c r="O5791">
        <v>-0.76023569999999996</v>
      </c>
      <c r="P5791">
        <v>-0.79244150000000002</v>
      </c>
      <c r="Q5791">
        <v>-8.797048E-3</v>
      </c>
      <c r="R5791">
        <v>-0.60988439999999999</v>
      </c>
      <c r="S5791">
        <v>-2.9486080000000001</v>
      </c>
      <c r="T5791">
        <v>-0.37926530000000003</v>
      </c>
      <c r="U5791">
        <v>-1.087982</v>
      </c>
      <c r="V5791">
        <v>0.20632410000000001</v>
      </c>
      <c r="W5791">
        <v>2.7197010000000001E-3</v>
      </c>
      <c r="X5791">
        <v>0.97847989999999996</v>
      </c>
      <c r="Y5791">
        <v>0.481105</v>
      </c>
      <c r="Z5791">
        <v>0.11130520000000001</v>
      </c>
      <c r="AA5791">
        <v>0.86956829999999996</v>
      </c>
      <c r="AB5791">
        <v>8</v>
      </c>
      <c r="AC5791">
        <v>-8.5699999999999896</v>
      </c>
      <c r="AD5791">
        <v>-1.109271876694</v>
      </c>
      <c r="AE5791">
        <v>-3.1257999999999901</v>
      </c>
      <c r="AF5791">
        <v>4.4198896551037201</v>
      </c>
      <c r="AG5791">
        <v>-1.109271876694</v>
      </c>
      <c r="AH5791">
        <v>7.8276855268768504</v>
      </c>
      <c r="AI5791">
        <v>97.034662546299998</v>
      </c>
      <c r="AJ5791">
        <v>60.548827018295299</v>
      </c>
      <c r="AK5791">
        <v>9.0575145248238194</v>
      </c>
      <c r="AL5791">
        <v>89.844172414829202</v>
      </c>
      <c r="AM5791">
        <v>78.0929333994589</v>
      </c>
      <c r="AN5791">
        <v>0.99999997285917397</v>
      </c>
    </row>
    <row r="5792" spans="1:40" x14ac:dyDescent="0.25">
      <c r="A5792" t="str">
        <f>"20190312154037594"</f>
        <v>20190312154037594</v>
      </c>
      <c r="B5792" t="str">
        <f>"1552376437581805"</f>
        <v>1552376437581805</v>
      </c>
      <c r="C5792" t="s">
        <v>40</v>
      </c>
      <c r="D5792">
        <v>3.9943300000000002</v>
      </c>
      <c r="E5792">
        <v>0.61863900000000005</v>
      </c>
      <c r="F5792" t="s">
        <v>55</v>
      </c>
      <c r="G5792">
        <v>-206.88319999999999</v>
      </c>
      <c r="H5792" s="1">
        <v>-7.8700170000000007E-6</v>
      </c>
      <c r="I5792">
        <v>143.85759999999999</v>
      </c>
      <c r="J5792">
        <v>-198.32939999999999</v>
      </c>
      <c r="K5792">
        <v>1.1092679999999999</v>
      </c>
      <c r="L5792">
        <v>146.953</v>
      </c>
      <c r="M5792">
        <v>-0.65128809999999904</v>
      </c>
      <c r="N5792">
        <v>0</v>
      </c>
      <c r="O5792">
        <v>-0.75873250000000003</v>
      </c>
      <c r="P5792">
        <v>-0.79380450000000002</v>
      </c>
      <c r="Q5792">
        <v>-8.7746739999999997E-3</v>
      </c>
      <c r="R5792">
        <v>-0.60811019999999905</v>
      </c>
      <c r="S5792">
        <v>-2.9535369999999999</v>
      </c>
      <c r="T5792">
        <v>-0.38165890000000002</v>
      </c>
      <c r="U5792">
        <v>-1.0758669999999999</v>
      </c>
      <c r="V5792">
        <v>0.20625209999999999</v>
      </c>
      <c r="W5792">
        <v>2.742113E-3</v>
      </c>
      <c r="X5792">
        <v>0.97849509999999995</v>
      </c>
      <c r="Y5792">
        <v>0.4826105</v>
      </c>
      <c r="Z5792">
        <v>0.1119313</v>
      </c>
      <c r="AA5792">
        <v>0.86865329999999996</v>
      </c>
      <c r="AB5792">
        <v>8</v>
      </c>
      <c r="AC5792">
        <v>-8.5537999999999901</v>
      </c>
      <c r="AD5792">
        <v>-1.109275870017</v>
      </c>
      <c r="AE5792">
        <v>-3.0954000000000099</v>
      </c>
      <c r="AF5792">
        <v>4.4088217895932198</v>
      </c>
      <c r="AG5792">
        <v>-1.109275870017</v>
      </c>
      <c r="AH5792">
        <v>7.8041094693934996</v>
      </c>
      <c r="AI5792">
        <v>97.054865332170195</v>
      </c>
      <c r="AJ5792">
        <v>60.536334736212901</v>
      </c>
      <c r="AK5792">
        <v>9.0317399839937398</v>
      </c>
      <c r="AL5792">
        <v>89.842888309795697</v>
      </c>
      <c r="AM5792">
        <v>78.097149636934603</v>
      </c>
      <c r="AN5792">
        <v>1.0000000543310601</v>
      </c>
    </row>
    <row r="5793" spans="1:40" x14ac:dyDescent="0.25">
      <c r="A5793" t="str">
        <f>"20190312154037608"</f>
        <v>20190312154037608</v>
      </c>
      <c r="B5793" t="str">
        <f>"1552376437602301"</f>
        <v>1552376437602301</v>
      </c>
      <c r="C5793" t="s">
        <v>40</v>
      </c>
      <c r="D5793">
        <v>3.9951479999999999</v>
      </c>
      <c r="E5793">
        <v>0.61864300000000005</v>
      </c>
      <c r="F5793" t="s">
        <v>55</v>
      </c>
      <c r="G5793">
        <v>-206.86789999999999</v>
      </c>
      <c r="H5793" s="1">
        <v>-7.878875E-6</v>
      </c>
      <c r="I5793">
        <v>143.86539999999999</v>
      </c>
      <c r="J5793">
        <v>-198.3613</v>
      </c>
      <c r="K5793">
        <v>1.1092690000000001</v>
      </c>
      <c r="L5793">
        <v>146.9203</v>
      </c>
      <c r="M5793">
        <v>-0.65311160000000001</v>
      </c>
      <c r="N5793">
        <v>0</v>
      </c>
      <c r="O5793">
        <v>-0.75716329999999998</v>
      </c>
      <c r="P5793">
        <v>-0.79516929999999997</v>
      </c>
      <c r="Q5793">
        <v>-8.5009330000000004E-3</v>
      </c>
      <c r="R5793">
        <v>-0.60632819999999898</v>
      </c>
      <c r="S5793">
        <v>-2.9561160000000002</v>
      </c>
      <c r="T5793">
        <v>-0.38404389999999999</v>
      </c>
      <c r="U5793">
        <v>-1.06897</v>
      </c>
      <c r="V5793">
        <v>0.20609530000000001</v>
      </c>
      <c r="W5793">
        <v>3.0167689999999999E-3</v>
      </c>
      <c r="X5793">
        <v>0.97852729999999999</v>
      </c>
      <c r="Y5793">
        <v>0.48246119999999998</v>
      </c>
      <c r="Z5793">
        <v>0.11248180000000001</v>
      </c>
      <c r="AA5793">
        <v>0.86866509999999997</v>
      </c>
      <c r="AB5793">
        <v>8</v>
      </c>
      <c r="AC5793">
        <v>-8.5065999999999899</v>
      </c>
      <c r="AD5793">
        <v>-1.109276878875</v>
      </c>
      <c r="AE5793">
        <v>-3.0548999999999999</v>
      </c>
      <c r="AF5793">
        <v>4.3800529786587603</v>
      </c>
      <c r="AG5793">
        <v>-1.109276878875</v>
      </c>
      <c r="AH5793">
        <v>7.7526323734458504</v>
      </c>
      <c r="AI5793">
        <v>97.101117673213693</v>
      </c>
      <c r="AJ5793">
        <v>60.534584280368797</v>
      </c>
      <c r="AK5793">
        <v>8.9732194895513899</v>
      </c>
      <c r="AL5793">
        <v>89.827151610711894</v>
      </c>
      <c r="AM5793">
        <v>78.106321010602997</v>
      </c>
      <c r="AN5793">
        <v>1.00000002521128</v>
      </c>
    </row>
    <row r="5794" spans="1:40" x14ac:dyDescent="0.25">
      <c r="A5794" t="str">
        <f>"20190312154037626"</f>
        <v>20190312154037626</v>
      </c>
      <c r="B5794" t="str">
        <f>"1552376437621822"</f>
        <v>1552376437621822</v>
      </c>
      <c r="C5794" t="s">
        <v>40</v>
      </c>
      <c r="D5794">
        <v>3.9623339999999998</v>
      </c>
      <c r="E5794">
        <v>0.61862620000000001</v>
      </c>
      <c r="F5794" t="s">
        <v>55</v>
      </c>
      <c r="G5794">
        <v>-206.81829999999999</v>
      </c>
      <c r="H5794" s="1">
        <v>-7.9057439999999999E-6</v>
      </c>
      <c r="I5794">
        <v>143.88390000000001</v>
      </c>
      <c r="J5794">
        <v>-198.40870000000001</v>
      </c>
      <c r="K5794">
        <v>1.109275</v>
      </c>
      <c r="L5794">
        <v>146.87180000000001</v>
      </c>
      <c r="M5794">
        <v>-0.6558138</v>
      </c>
      <c r="N5794">
        <v>0</v>
      </c>
      <c r="O5794">
        <v>-0.75482389999999999</v>
      </c>
      <c r="P5794">
        <v>-0.79696089999999997</v>
      </c>
      <c r="Q5794">
        <v>-8.2250090000000001E-3</v>
      </c>
      <c r="R5794">
        <v>-0.60397469999999998</v>
      </c>
      <c r="S5794">
        <v>-2.9586489999999999</v>
      </c>
      <c r="T5794">
        <v>-0.3880748</v>
      </c>
      <c r="U5794">
        <v>-1.062271</v>
      </c>
      <c r="V5794">
        <v>0.20549300000000001</v>
      </c>
      <c r="W5794">
        <v>3.295241E-3</v>
      </c>
      <c r="X5794">
        <v>0.978653</v>
      </c>
      <c r="Y5794">
        <v>0.48117979999999999</v>
      </c>
      <c r="Z5794">
        <v>0.11338330000000001</v>
      </c>
      <c r="AA5794">
        <v>0.86925839999999999</v>
      </c>
      <c r="AB5794">
        <v>8</v>
      </c>
      <c r="AC5794">
        <v>-8.4095999999999798</v>
      </c>
      <c r="AD5794">
        <v>-1.1092829057439999</v>
      </c>
      <c r="AE5794">
        <v>-2.98789999999999</v>
      </c>
      <c r="AF5794">
        <v>4.3218198166575696</v>
      </c>
      <c r="AG5794">
        <v>-1.1092829057439999</v>
      </c>
      <c r="AH5794">
        <v>7.6528199618509198</v>
      </c>
      <c r="AI5794">
        <v>97.193542729955595</v>
      </c>
      <c r="AJ5794">
        <v>60.545036604501099</v>
      </c>
      <c r="AK5794">
        <v>8.8585714684216299</v>
      </c>
      <c r="AL5794">
        <v>89.811196249550306</v>
      </c>
      <c r="AM5794">
        <v>78.1415739210602</v>
      </c>
      <c r="AN5794">
        <v>0.999999963035623</v>
      </c>
    </row>
    <row r="5795" spans="1:40" x14ac:dyDescent="0.25">
      <c r="A5795" t="str">
        <f>"20190312154037640"</f>
        <v>20190312154037640</v>
      </c>
      <c r="B5795" t="str">
        <f>"1552376437631582"</f>
        <v>1552376437631582</v>
      </c>
      <c r="C5795" t="s">
        <v>40</v>
      </c>
      <c r="D5795">
        <v>3.9569749999999999</v>
      </c>
      <c r="E5795">
        <v>0.61857169999999995</v>
      </c>
      <c r="F5795" t="s">
        <v>55</v>
      </c>
      <c r="G5795">
        <v>-206.8038</v>
      </c>
      <c r="H5795" s="1">
        <v>-7.9126490000000001E-6</v>
      </c>
      <c r="I5795">
        <v>143.88570000000001</v>
      </c>
      <c r="J5795">
        <v>-198.4427</v>
      </c>
      <c r="K5795">
        <v>1.1092789999999999</v>
      </c>
      <c r="L5795">
        <v>146.8372</v>
      </c>
      <c r="M5795">
        <v>-0.65773809999999999</v>
      </c>
      <c r="N5795">
        <v>0</v>
      </c>
      <c r="O5795">
        <v>-0.75314789999999998</v>
      </c>
      <c r="P5795">
        <v>-0.79828409999999905</v>
      </c>
      <c r="Q5795">
        <v>-8.4960639999999994E-3</v>
      </c>
      <c r="R5795">
        <v>-0.60222140000000002</v>
      </c>
      <c r="S5795">
        <v>-2.9618530000000001</v>
      </c>
      <c r="T5795">
        <v>-0.39136209999999999</v>
      </c>
      <c r="U5795">
        <v>-1.0534969999999999</v>
      </c>
      <c r="V5795">
        <v>0.2051441</v>
      </c>
      <c r="W5795">
        <v>3.0258300000000002E-3</v>
      </c>
      <c r="X5795">
        <v>0.97872709999999996</v>
      </c>
      <c r="Y5795">
        <v>0.48141080000000003</v>
      </c>
      <c r="Z5795">
        <v>0.1141982</v>
      </c>
      <c r="AA5795">
        <v>0.86902380000000001</v>
      </c>
      <c r="AB5795">
        <v>8</v>
      </c>
      <c r="AC5795">
        <v>-8.3610999999999898</v>
      </c>
      <c r="AD5795">
        <v>-1.1092869126489999</v>
      </c>
      <c r="AE5795">
        <v>-2.9514999999999798</v>
      </c>
      <c r="AF5795">
        <v>4.28902504069403</v>
      </c>
      <c r="AG5795">
        <v>-1.1092869126489999</v>
      </c>
      <c r="AH5795">
        <v>7.6038918184009301</v>
      </c>
      <c r="AI5795">
        <v>97.241448931168094</v>
      </c>
      <c r="AJ5795">
        <v>60.574543314370601</v>
      </c>
      <c r="AK5795">
        <v>8.8003081787071196</v>
      </c>
      <c r="AL5795">
        <v>89.826632446379193</v>
      </c>
      <c r="AM5795">
        <v>78.162010331773899</v>
      </c>
      <c r="AN5795">
        <v>0.99999999684320395</v>
      </c>
    </row>
    <row r="5796" spans="1:40" x14ac:dyDescent="0.25">
      <c r="A5796" t="str">
        <f>"20190312154037655"</f>
        <v>20190312154037655</v>
      </c>
      <c r="B5796" t="str">
        <f>"1552376437642317"</f>
        <v>1552376437642317</v>
      </c>
      <c r="C5796" t="s">
        <v>40</v>
      </c>
      <c r="D5796">
        <v>3.9770859999999999</v>
      </c>
      <c r="E5796">
        <v>0.6185235</v>
      </c>
      <c r="F5796" t="s">
        <v>55</v>
      </c>
      <c r="G5796">
        <v>-206.79339999999999</v>
      </c>
      <c r="H5796" s="1">
        <v>-7.9175149999999994E-6</v>
      </c>
      <c r="I5796">
        <v>143.88669999999999</v>
      </c>
      <c r="J5796">
        <v>-198.47929999999999</v>
      </c>
      <c r="K5796">
        <v>1.1092789999999999</v>
      </c>
      <c r="L5796">
        <v>146.80019999999999</v>
      </c>
      <c r="M5796">
        <v>-0.65980079999999997</v>
      </c>
      <c r="N5796">
        <v>0</v>
      </c>
      <c r="O5796">
        <v>-0.7513415</v>
      </c>
      <c r="P5796">
        <v>-0.79979820000000001</v>
      </c>
      <c r="Q5796">
        <v>-8.6017139999999999E-3</v>
      </c>
      <c r="R5796">
        <v>-0.60020790000000002</v>
      </c>
      <c r="S5796">
        <v>-2.963867</v>
      </c>
      <c r="T5796">
        <v>-0.39371109999999998</v>
      </c>
      <c r="U5796">
        <v>-1.047226</v>
      </c>
      <c r="V5796">
        <v>0.20492589999999999</v>
      </c>
      <c r="W5796">
        <v>2.9209259999999999E-3</v>
      </c>
      <c r="X5796">
        <v>0.97877309999999995</v>
      </c>
      <c r="Y5796">
        <v>0.48075420000000002</v>
      </c>
      <c r="Z5796">
        <v>0.11469310000000001</v>
      </c>
      <c r="AA5796">
        <v>0.86932209999999999</v>
      </c>
      <c r="AB5796">
        <v>8</v>
      </c>
      <c r="AC5796">
        <v>-8.3140999999999892</v>
      </c>
      <c r="AD5796">
        <v>-1.109286917515</v>
      </c>
      <c r="AE5796">
        <v>-2.9134999999999902</v>
      </c>
      <c r="AF5796">
        <v>4.2572241205030004</v>
      </c>
      <c r="AG5796">
        <v>-1.109286917515</v>
      </c>
      <c r="AH5796">
        <v>7.5554658191883899</v>
      </c>
      <c r="AI5796">
        <v>97.289196217994203</v>
      </c>
      <c r="AJ5796">
        <v>60.600357293755302</v>
      </c>
      <c r="AK5796">
        <v>8.7429708007339499</v>
      </c>
      <c r="AL5796">
        <v>89.832643024730103</v>
      </c>
      <c r="AM5796">
        <v>78.174787110894499</v>
      </c>
      <c r="AN5796">
        <v>0.99999996879155795</v>
      </c>
    </row>
    <row r="5797" spans="1:40" x14ac:dyDescent="0.25">
      <c r="A5797" t="str">
        <f>"20190312154037673"</f>
        <v>20190312154037673</v>
      </c>
      <c r="B5797" t="str">
        <f>"1552376437661837"</f>
        <v>1552376437661837</v>
      </c>
      <c r="C5797" t="s">
        <v>40</v>
      </c>
      <c r="D5797">
        <v>3.9999069999999999</v>
      </c>
      <c r="E5797">
        <v>0.61843709999999996</v>
      </c>
      <c r="F5797" t="s">
        <v>55</v>
      </c>
      <c r="G5797">
        <v>-206.79679999999999</v>
      </c>
      <c r="H5797" s="1">
        <v>-7.9151779999999999E-6</v>
      </c>
      <c r="I5797">
        <v>143.8835</v>
      </c>
      <c r="J5797">
        <v>-198.52379999999999</v>
      </c>
      <c r="K5797">
        <v>1.1092770000000001</v>
      </c>
      <c r="L5797">
        <v>146.75550000000001</v>
      </c>
      <c r="M5797">
        <v>-0.66229439999999995</v>
      </c>
      <c r="N5797">
        <v>0</v>
      </c>
      <c r="O5797">
        <v>-0.74914429999999999</v>
      </c>
      <c r="P5797">
        <v>-0.80191389999999996</v>
      </c>
      <c r="Q5797">
        <v>-8.8092009999999991E-3</v>
      </c>
      <c r="R5797">
        <v>-0.59737499999999999</v>
      </c>
      <c r="S5797">
        <v>-2.9661249999999999</v>
      </c>
      <c r="T5797">
        <v>-0.39558480000000001</v>
      </c>
      <c r="U5797">
        <v>-1.0401309999999999</v>
      </c>
      <c r="V5797">
        <v>0.2051326</v>
      </c>
      <c r="W5797">
        <v>2.7115949999999998E-3</v>
      </c>
      <c r="X5797">
        <v>0.9787304</v>
      </c>
      <c r="Y5797">
        <v>0.47984850000000001</v>
      </c>
      <c r="Z5797">
        <v>0.1150022</v>
      </c>
      <c r="AA5797">
        <v>0.86978159999999904</v>
      </c>
      <c r="AB5797">
        <v>8</v>
      </c>
      <c r="AC5797">
        <v>-8.2729999999999908</v>
      </c>
      <c r="AD5797">
        <v>-1.109284915178</v>
      </c>
      <c r="AE5797">
        <v>-2.8720000000000101</v>
      </c>
      <c r="AF5797">
        <v>4.22804187938344</v>
      </c>
      <c r="AG5797">
        <v>-1.109284915178</v>
      </c>
      <c r="AH5797">
        <v>7.5107614589408298</v>
      </c>
      <c r="AI5797">
        <v>97.333746717622503</v>
      </c>
      <c r="AJ5797">
        <v>60.623482670858003</v>
      </c>
      <c r="AK5797">
        <v>8.6901316934769604</v>
      </c>
      <c r="AL5797">
        <v>89.844636855094095</v>
      </c>
      <c r="AM5797">
        <v>78.162694010002596</v>
      </c>
      <c r="AN5797">
        <v>0.999999966107181</v>
      </c>
    </row>
    <row r="5798" spans="1:40" x14ac:dyDescent="0.25">
      <c r="A5798" t="str">
        <f>"20190312154037695"</f>
        <v>20190312154037695</v>
      </c>
      <c r="B5798" t="str">
        <f>"1552376437682333"</f>
        <v>1552376437682333</v>
      </c>
      <c r="C5798" t="s">
        <v>40</v>
      </c>
      <c r="D5798">
        <v>4.0202359999999997</v>
      </c>
      <c r="E5798">
        <v>0.61826890000000001</v>
      </c>
      <c r="F5798" t="s">
        <v>55</v>
      </c>
      <c r="G5798">
        <v>-206.7816</v>
      </c>
      <c r="H5798" s="1">
        <v>-7.9237910000000007E-6</v>
      </c>
      <c r="I5798">
        <v>143.89060000000001</v>
      </c>
      <c r="J5798">
        <v>-198.57660000000001</v>
      </c>
      <c r="K5798">
        <v>1.1092709999999999</v>
      </c>
      <c r="L5798">
        <v>146.7028</v>
      </c>
      <c r="M5798">
        <v>-0.66523350000000003</v>
      </c>
      <c r="N5798">
        <v>0</v>
      </c>
      <c r="O5798">
        <v>-0.74653559999999997</v>
      </c>
      <c r="P5798">
        <v>-0.8042454</v>
      </c>
      <c r="Q5798">
        <v>-8.8867189999999995E-3</v>
      </c>
      <c r="R5798">
        <v>-0.59423090000000001</v>
      </c>
      <c r="S5798">
        <v>-2.969284</v>
      </c>
      <c r="T5798">
        <v>-0.398868</v>
      </c>
      <c r="U5798">
        <v>-1.0301359999999999</v>
      </c>
      <c r="V5798">
        <v>0.20511679999999999</v>
      </c>
      <c r="W5798">
        <v>2.630533E-3</v>
      </c>
      <c r="X5798">
        <v>0.97873399999999999</v>
      </c>
      <c r="Y5798">
        <v>0.4791955</v>
      </c>
      <c r="Z5798">
        <v>0.1156923</v>
      </c>
      <c r="AA5798">
        <v>0.87004999999999999</v>
      </c>
      <c r="AB5798">
        <v>8</v>
      </c>
      <c r="AC5798">
        <v>-8.2049999999999805</v>
      </c>
      <c r="AD5798">
        <v>-1.1092789237909999</v>
      </c>
      <c r="AE5798">
        <v>-2.81219999999999</v>
      </c>
      <c r="AF5798">
        <v>4.1863975492678502</v>
      </c>
      <c r="AG5798">
        <v>-1.1092789237909999</v>
      </c>
      <c r="AH5798">
        <v>7.4365757693281802</v>
      </c>
      <c r="AI5798">
        <v>97.406009486609193</v>
      </c>
      <c r="AJ5798">
        <v>60.622797522566401</v>
      </c>
      <c r="AK5798">
        <v>8.6057587314682404</v>
      </c>
      <c r="AL5798">
        <v>89.849281392239106</v>
      </c>
      <c r="AM5798">
        <v>78.163622346780102</v>
      </c>
      <c r="AN5798">
        <v>1.00000003205105</v>
      </c>
    </row>
    <row r="5799" spans="1:40" x14ac:dyDescent="0.25">
      <c r="A5799" t="str">
        <f>"20190312154037718"</f>
        <v>20190312154037718</v>
      </c>
      <c r="B5799" t="str">
        <f>"1552376437701853"</f>
        <v>1552376437701853</v>
      </c>
      <c r="C5799" t="s">
        <v>40</v>
      </c>
      <c r="D5799">
        <v>4.0395570000000003</v>
      </c>
      <c r="E5799">
        <v>0.61801819999999996</v>
      </c>
      <c r="F5799" t="s">
        <v>55</v>
      </c>
      <c r="G5799">
        <v>-206.79179999999999</v>
      </c>
      <c r="H5799" s="1">
        <v>-7.9177629999999994E-6</v>
      </c>
      <c r="I5799">
        <v>143.88489999999999</v>
      </c>
      <c r="J5799">
        <v>-198.63570000000001</v>
      </c>
      <c r="K5799">
        <v>1.1092649999999999</v>
      </c>
      <c r="L5799">
        <v>146.64420000000001</v>
      </c>
      <c r="M5799">
        <v>-0.66849959999999997</v>
      </c>
      <c r="N5799">
        <v>0</v>
      </c>
      <c r="O5799">
        <v>-0.74361239999999995</v>
      </c>
      <c r="P5799">
        <v>-0.80680609999999997</v>
      </c>
      <c r="Q5799">
        <v>-9.4690729999999997E-3</v>
      </c>
      <c r="R5799">
        <v>-0.59074069999999901</v>
      </c>
      <c r="S5799">
        <v>-2.9724270000000002</v>
      </c>
      <c r="T5799">
        <v>-0.40135910000000002</v>
      </c>
      <c r="U5799">
        <v>-1.0195620000000001</v>
      </c>
      <c r="V5799">
        <v>0.2050611</v>
      </c>
      <c r="W5799">
        <v>2.0416399999999999E-3</v>
      </c>
      <c r="X5799">
        <v>0.97874700000000003</v>
      </c>
      <c r="Y5799">
        <v>0.47833019999999998</v>
      </c>
      <c r="Z5799">
        <v>0.116116899999999</v>
      </c>
      <c r="AA5799">
        <v>0.87046950000000001</v>
      </c>
      <c r="AB5799">
        <v>8</v>
      </c>
      <c r="AC5799">
        <v>-8.1560999999999808</v>
      </c>
      <c r="AD5799">
        <v>-1.1092729177630001</v>
      </c>
      <c r="AE5799">
        <v>-2.7593000000000201</v>
      </c>
      <c r="AF5799">
        <v>4.1517899556757198</v>
      </c>
      <c r="AG5799">
        <v>-1.1092729177630001</v>
      </c>
      <c r="AH5799">
        <v>7.3822295177362003</v>
      </c>
      <c r="AI5799">
        <v>97.461592960783506</v>
      </c>
      <c r="AJ5799">
        <v>60.6464571287041</v>
      </c>
      <c r="AK5799">
        <v>8.5419645805088606</v>
      </c>
      <c r="AL5799">
        <v>89.883022558362299</v>
      </c>
      <c r="AM5799">
        <v>78.166898652373405</v>
      </c>
      <c r="AN5799">
        <v>0.99999995651804796</v>
      </c>
    </row>
    <row r="5800" spans="1:40" x14ac:dyDescent="0.25">
      <c r="A5800" t="str">
        <f>"20190312154037733"</f>
        <v>20190312154037733</v>
      </c>
      <c r="B5800" t="str">
        <f>"1552376437721373"</f>
        <v>1552376437721373</v>
      </c>
      <c r="C5800" t="s">
        <v>40</v>
      </c>
      <c r="D5800">
        <v>4.0556939999999999</v>
      </c>
      <c r="E5800">
        <v>0.61780419999999903</v>
      </c>
      <c r="F5800" t="s">
        <v>55</v>
      </c>
      <c r="G5800">
        <v>-206.7912</v>
      </c>
      <c r="H5800" s="1">
        <v>-7.9172389999999994E-6</v>
      </c>
      <c r="I5800">
        <v>143.8819</v>
      </c>
      <c r="J5800">
        <v>-198.67420000000001</v>
      </c>
      <c r="K5800">
        <v>1.1092610000000001</v>
      </c>
      <c r="L5800">
        <v>146.60640000000001</v>
      </c>
      <c r="M5800">
        <v>-0.67061169999999903</v>
      </c>
      <c r="N5800">
        <v>0</v>
      </c>
      <c r="O5800">
        <v>-0.74170819999999904</v>
      </c>
      <c r="P5800">
        <v>-0.80854340000000002</v>
      </c>
      <c r="Q5800">
        <v>-9.7539540000000004E-3</v>
      </c>
      <c r="R5800">
        <v>-0.58835569999999904</v>
      </c>
      <c r="S5800">
        <v>-2.9756469999999999</v>
      </c>
      <c r="T5800">
        <v>-0.40473559999999997</v>
      </c>
      <c r="U5800">
        <v>-1.007889</v>
      </c>
      <c r="V5800">
        <v>0.2051645</v>
      </c>
      <c r="W5800">
        <v>1.75077E-3</v>
      </c>
      <c r="X5800">
        <v>0.97872590000000004</v>
      </c>
      <c r="Y5800">
        <v>0.47905490000000001</v>
      </c>
      <c r="Z5800">
        <v>0.1169746</v>
      </c>
      <c r="AA5800">
        <v>0.86995599999999995</v>
      </c>
      <c r="AB5800">
        <v>8</v>
      </c>
      <c r="AC5800">
        <v>-8.1169999999999902</v>
      </c>
      <c r="AD5800">
        <v>-1.109268917239</v>
      </c>
      <c r="AE5800">
        <v>-2.7244999999999999</v>
      </c>
      <c r="AF5800">
        <v>4.1244476486303796</v>
      </c>
      <c r="AG5800">
        <v>-1.109268917239</v>
      </c>
      <c r="AH5800">
        <v>7.3414690609912201</v>
      </c>
      <c r="AI5800">
        <v>97.504429949396496</v>
      </c>
      <c r="AJ5800">
        <v>60.672661363645098</v>
      </c>
      <c r="AK5800">
        <v>8.4934512367197694</v>
      </c>
      <c r="AL5800">
        <v>89.899688213073503</v>
      </c>
      <c r="AM5800">
        <v>78.160852250565398</v>
      </c>
      <c r="AN5800">
        <v>0.999999962293325</v>
      </c>
    </row>
    <row r="5801" spans="1:40" x14ac:dyDescent="0.25">
      <c r="A5801" t="str">
        <f>"20190312154037750"</f>
        <v>20190312154037750</v>
      </c>
      <c r="B5801" t="str">
        <f>"1552376437741873"</f>
        <v>1552376437741873</v>
      </c>
      <c r="C5801" t="s">
        <v>40</v>
      </c>
      <c r="D5801">
        <v>4.1052780000000002</v>
      </c>
      <c r="E5801">
        <v>0.61758299999999999</v>
      </c>
      <c r="F5801" t="s">
        <v>55</v>
      </c>
      <c r="G5801">
        <v>-206.7766</v>
      </c>
      <c r="H5801" s="1">
        <v>-7.9244309999999997E-6</v>
      </c>
      <c r="I5801">
        <v>143.88460000000001</v>
      </c>
      <c r="J5801">
        <v>-198.71780000000001</v>
      </c>
      <c r="K5801">
        <v>1.109253</v>
      </c>
      <c r="L5801">
        <v>146.56379999999999</v>
      </c>
      <c r="M5801">
        <v>-0.67298950000000002</v>
      </c>
      <c r="N5801">
        <v>0</v>
      </c>
      <c r="O5801">
        <v>-0.73955170000000003</v>
      </c>
      <c r="P5801">
        <v>-0.8103051</v>
      </c>
      <c r="Q5801">
        <v>-1.0130810000000001E-2</v>
      </c>
      <c r="R5801">
        <v>-0.58592089999999997</v>
      </c>
      <c r="S5801">
        <v>-2.9775849999999999</v>
      </c>
      <c r="T5801">
        <v>-0.40765299999999999</v>
      </c>
      <c r="U5801">
        <v>-1.000259</v>
      </c>
      <c r="V5801">
        <v>0.20496249999999999</v>
      </c>
      <c r="W5801">
        <v>1.366917E-3</v>
      </c>
      <c r="X5801">
        <v>0.97876890000000005</v>
      </c>
      <c r="Y5801">
        <v>0.47831400000000002</v>
      </c>
      <c r="Z5801">
        <v>0.11759360000000001</v>
      </c>
      <c r="AA5801">
        <v>0.8702801</v>
      </c>
      <c r="AB5801">
        <v>8</v>
      </c>
      <c r="AC5801">
        <v>-8.0587999999999909</v>
      </c>
      <c r="AD5801">
        <v>-1.1092609244310001</v>
      </c>
      <c r="AE5801">
        <v>-2.6791999999999798</v>
      </c>
      <c r="AF5801">
        <v>4.08740027049177</v>
      </c>
      <c r="AG5801">
        <v>-1.1092609244310001</v>
      </c>
      <c r="AH5801">
        <v>7.2812213577820897</v>
      </c>
      <c r="AI5801">
        <v>97.567157603985507</v>
      </c>
      <c r="AJ5801">
        <v>60.691805566305199</v>
      </c>
      <c r="AK5801">
        <v>8.4233891772081702</v>
      </c>
      <c r="AL5801">
        <v>89.921681402699306</v>
      </c>
      <c r="AM5801">
        <v>78.172685273942307</v>
      </c>
      <c r="AN5801">
        <v>1.00000002723777</v>
      </c>
    </row>
    <row r="5802" spans="1:40" x14ac:dyDescent="0.25">
      <c r="A5802" t="str">
        <f>"20190312154037772"</f>
        <v>20190312154037772</v>
      </c>
      <c r="B5802" t="str">
        <f>"1552376437761390"</f>
        <v>1552376437761390</v>
      </c>
      <c r="C5802" t="s">
        <v>40</v>
      </c>
      <c r="D5802">
        <v>4.0619779999999999</v>
      </c>
      <c r="E5802">
        <v>0.57544390000000001</v>
      </c>
      <c r="F5802" t="s">
        <v>55</v>
      </c>
      <c r="G5802">
        <v>-206.87289999999999</v>
      </c>
      <c r="H5802" s="1">
        <v>-7.8718089999999994E-6</v>
      </c>
      <c r="I5802">
        <v>143.84700000000001</v>
      </c>
      <c r="J5802">
        <v>-198.774</v>
      </c>
      <c r="K5802">
        <v>1.1092379999999999</v>
      </c>
      <c r="L5802">
        <v>146.5093</v>
      </c>
      <c r="M5802">
        <v>-0.67603210000000002</v>
      </c>
      <c r="N5802">
        <v>0</v>
      </c>
      <c r="O5802">
        <v>-0.73677179999999998</v>
      </c>
      <c r="P5802">
        <v>-0.81253249999999999</v>
      </c>
      <c r="Q5802">
        <v>-1.0389529999999999E-2</v>
      </c>
      <c r="R5802">
        <v>-0.5828238</v>
      </c>
      <c r="S5802">
        <v>-2.9795069999999999</v>
      </c>
      <c r="T5802">
        <v>-0.4052771</v>
      </c>
      <c r="U5802">
        <v>-0.99259949999999997</v>
      </c>
      <c r="V5802">
        <v>0.20466139999999999</v>
      </c>
      <c r="W5802">
        <v>1.097981E-3</v>
      </c>
      <c r="X5802">
        <v>0.97883220000000004</v>
      </c>
      <c r="Y5802">
        <v>0.47700710000000002</v>
      </c>
      <c r="Z5802">
        <v>0.11661349999999999</v>
      </c>
      <c r="AA5802">
        <v>0.87112889999999998</v>
      </c>
      <c r="AB5802">
        <v>8</v>
      </c>
      <c r="AC5802">
        <v>-8.0988999999999791</v>
      </c>
      <c r="AD5802">
        <v>-1.1092458718089999</v>
      </c>
      <c r="AE5802">
        <v>-2.6622999999999801</v>
      </c>
      <c r="AF5802">
        <v>4.0981697049663497</v>
      </c>
      <c r="AG5802">
        <v>-1.1092458718089999</v>
      </c>
      <c r="AH5802">
        <v>7.3133634150932796</v>
      </c>
      <c r="AI5802">
        <v>97.537343002562494</v>
      </c>
      <c r="AJ5802">
        <v>60.735155546396498</v>
      </c>
      <c r="AK5802">
        <v>8.4564002847579403</v>
      </c>
      <c r="AL5802">
        <v>89.937090309129502</v>
      </c>
      <c r="AM5802">
        <v>78.190314149164195</v>
      </c>
      <c r="AN5802">
        <v>0.99999998498453802</v>
      </c>
    </row>
    <row r="5803" spans="1:40" x14ac:dyDescent="0.25">
      <c r="A5803" t="str">
        <f>"20190312154037793"</f>
        <v>20190312154037793</v>
      </c>
      <c r="B5803" t="str">
        <f>"1552376437781886"</f>
        <v>1552376437781886</v>
      </c>
      <c r="C5803" t="s">
        <v>40</v>
      </c>
      <c r="D5803">
        <v>4.0983099999999997</v>
      </c>
      <c r="E5803">
        <v>0.56178300000000003</v>
      </c>
      <c r="F5803" t="s">
        <v>55</v>
      </c>
      <c r="G5803">
        <v>-207.91679999999999</v>
      </c>
      <c r="H5803" s="1">
        <v>-7.024623E-6</v>
      </c>
      <c r="I5803">
        <v>142.3914</v>
      </c>
      <c r="J5803">
        <v>-198.828</v>
      </c>
      <c r="K5803">
        <v>1.1092329999999999</v>
      </c>
      <c r="L5803">
        <v>146.45740000000001</v>
      </c>
      <c r="M5803">
        <v>-0.67893440000000005</v>
      </c>
      <c r="N5803">
        <v>0</v>
      </c>
      <c r="O5803">
        <v>-0.73409799999999903</v>
      </c>
      <c r="P5803">
        <v>-0.81463799999999997</v>
      </c>
      <c r="Q5803">
        <v>-1.0655299999999999E-2</v>
      </c>
      <c r="R5803">
        <v>-0.57987239999999995</v>
      </c>
      <c r="S5803">
        <v>-2.7873079999999999</v>
      </c>
      <c r="T5803">
        <v>-0.33816929999999901</v>
      </c>
      <c r="U5803">
        <v>-1.255417</v>
      </c>
      <c r="V5803">
        <v>0.20434630000000001</v>
      </c>
      <c r="W5803">
        <v>8.2189239999999998E-4</v>
      </c>
      <c r="X5803">
        <v>0.9788983</v>
      </c>
      <c r="Y5803">
        <v>0.38503349999999997</v>
      </c>
      <c r="Z5803">
        <v>9.5853889999999997E-2</v>
      </c>
      <c r="AA5803">
        <v>0.91791140000000004</v>
      </c>
      <c r="AB5803">
        <v>8</v>
      </c>
      <c r="AC5803">
        <v>-9.0887999999999902</v>
      </c>
      <c r="AD5803">
        <v>-1.1092400246230001</v>
      </c>
      <c r="AE5803">
        <v>-4.0659999999999998</v>
      </c>
      <c r="AF5803">
        <v>3.8638580331977401</v>
      </c>
      <c r="AG5803">
        <v>-1.1092400246230001</v>
      </c>
      <c r="AH5803">
        <v>9.0439748609202493</v>
      </c>
      <c r="AI5803">
        <v>96.435052155773306</v>
      </c>
      <c r="AJ5803">
        <v>66.8663694341857</v>
      </c>
      <c r="AK5803">
        <v>9.89713562693216</v>
      </c>
      <c r="AL5803">
        <v>89.952909028200907</v>
      </c>
      <c r="AM5803">
        <v>78.208761010283496</v>
      </c>
      <c r="AN5803">
        <v>0.99999998378684796</v>
      </c>
    </row>
    <row r="5804" spans="1:40" x14ac:dyDescent="0.25">
      <c r="A5804" t="str">
        <f>"20190312154037808"</f>
        <v>20190312154037808</v>
      </c>
      <c r="B5804" t="str">
        <f>"1552376437801406"</f>
        <v>1552376437801406</v>
      </c>
      <c r="C5804" t="s">
        <v>40</v>
      </c>
      <c r="D5804">
        <v>4.0813410000000001</v>
      </c>
      <c r="E5804">
        <v>0.48953989999999997</v>
      </c>
      <c r="F5804" t="s">
        <v>55</v>
      </c>
      <c r="G5804">
        <v>-208.70650000000001</v>
      </c>
      <c r="H5804" s="1">
        <v>-6.4724650000000004E-6</v>
      </c>
      <c r="I5804">
        <v>141.62629999999999</v>
      </c>
      <c r="J5804">
        <v>-198.8631</v>
      </c>
      <c r="K5804">
        <v>1.109229</v>
      </c>
      <c r="L5804">
        <v>146.4239</v>
      </c>
      <c r="M5804">
        <v>-0.68080989999999997</v>
      </c>
      <c r="N5804">
        <v>0</v>
      </c>
      <c r="O5804">
        <v>-0.73235909999999904</v>
      </c>
      <c r="P5804">
        <v>-0.81609509999999996</v>
      </c>
      <c r="Q5804">
        <v>-1.084045E-2</v>
      </c>
      <c r="R5804">
        <v>-0.57781610000000005</v>
      </c>
      <c r="S5804">
        <v>-2.7287140000000001</v>
      </c>
      <c r="T5804">
        <v>-0.30640250000000002</v>
      </c>
      <c r="U5804">
        <v>-1.334473</v>
      </c>
      <c r="V5804">
        <v>0.20430880000000001</v>
      </c>
      <c r="W5804">
        <v>6.2925019999999999E-4</v>
      </c>
      <c r="X5804">
        <v>0.97890630000000001</v>
      </c>
      <c r="Y5804">
        <v>0.3544119</v>
      </c>
      <c r="Z5804">
        <v>8.6155679999999998E-2</v>
      </c>
      <c r="AA5804">
        <v>0.93111189999999999</v>
      </c>
      <c r="AB5804">
        <v>8</v>
      </c>
      <c r="AC5804">
        <v>-9.8434000000000008</v>
      </c>
      <c r="AD5804">
        <v>-1.109235472465</v>
      </c>
      <c r="AE5804">
        <v>-4.7976000000000099</v>
      </c>
      <c r="AF5804">
        <v>3.9028938473782202</v>
      </c>
      <c r="AG5804">
        <v>-1.109235472465</v>
      </c>
      <c r="AH5804">
        <v>10.112045614743501</v>
      </c>
      <c r="AI5804">
        <v>95.843108965093506</v>
      </c>
      <c r="AJ5804">
        <v>68.895166106340398</v>
      </c>
      <c r="AK5804">
        <v>10.8957078811765</v>
      </c>
      <c r="AL5804">
        <v>89.9639466173697</v>
      </c>
      <c r="AM5804">
        <v>78.210957929706197</v>
      </c>
      <c r="AN5804">
        <v>1.0000000129464699</v>
      </c>
    </row>
    <row r="5805" spans="1:40" x14ac:dyDescent="0.25">
      <c r="A5805" t="str">
        <f>"20190312154037821"</f>
        <v>20190312154037821</v>
      </c>
      <c r="B5805" t="str">
        <f>"1552376437812141"</f>
        <v>1552376437812141</v>
      </c>
      <c r="C5805" t="s">
        <v>40</v>
      </c>
      <c r="D5805">
        <v>4.1430119999999997</v>
      </c>
      <c r="E5805">
        <v>0.48424289999999998</v>
      </c>
      <c r="F5805" t="s">
        <v>41</v>
      </c>
      <c r="G5805">
        <v>-199.46250000000001</v>
      </c>
      <c r="H5805">
        <v>0.98695049999999995</v>
      </c>
      <c r="I5805">
        <v>145.9753</v>
      </c>
      <c r="J5805">
        <v>-198.8999</v>
      </c>
      <c r="K5805">
        <v>1.109224</v>
      </c>
      <c r="L5805">
        <v>146.3888</v>
      </c>
      <c r="M5805">
        <v>-0.68276789999999998</v>
      </c>
      <c r="N5805">
        <v>0</v>
      </c>
      <c r="O5805">
        <v>-0.73053400000000002</v>
      </c>
      <c r="P5805">
        <v>-0.81774910000000001</v>
      </c>
      <c r="Q5805">
        <v>-1.0907E-2</v>
      </c>
      <c r="R5805">
        <v>-0.57547179999999998</v>
      </c>
      <c r="S5805">
        <v>-2.398514</v>
      </c>
      <c r="T5805">
        <v>-0.48909819999999998</v>
      </c>
      <c r="U5805">
        <v>-1.7951809999999999</v>
      </c>
      <c r="V5805">
        <v>0.20449690000000001</v>
      </c>
      <c r="W5805">
        <v>5.5390989999999998E-4</v>
      </c>
      <c r="X5805">
        <v>0.97886709999999999</v>
      </c>
      <c r="Y5805">
        <v>0.16688819999999999</v>
      </c>
      <c r="Z5805">
        <v>0.1273928</v>
      </c>
      <c r="AA5805">
        <v>0.97771129999999995</v>
      </c>
      <c r="AB5805">
        <v>8</v>
      </c>
      <c r="AC5805">
        <v>-0.56260000000000299</v>
      </c>
      <c r="AD5805">
        <v>-0.12227349999999999</v>
      </c>
      <c r="AE5805">
        <v>-0.41349999999999898</v>
      </c>
      <c r="AF5805">
        <v>0.12485436281605</v>
      </c>
      <c r="AG5805">
        <v>-0.12227349999999999</v>
      </c>
      <c r="AH5805">
        <v>0.66583192972099503</v>
      </c>
      <c r="AI5805">
        <v>100.231403737535</v>
      </c>
      <c r="AJ5805">
        <v>79.379440617004704</v>
      </c>
      <c r="AK5805">
        <v>0.68838330844990403</v>
      </c>
      <c r="AL5805">
        <v>89.968263300279105</v>
      </c>
      <c r="AM5805">
        <v>78.199949047714995</v>
      </c>
      <c r="AN5805">
        <v>1.0000000441940899</v>
      </c>
    </row>
    <row r="5806" spans="1:40" x14ac:dyDescent="0.25">
      <c r="A5806" t="str">
        <f>"20190312154037840"</f>
        <v>20190312154037840</v>
      </c>
      <c r="B5806" t="str">
        <f>"1552376437831661"</f>
        <v>1552376437831661</v>
      </c>
      <c r="C5806" t="s">
        <v>40</v>
      </c>
      <c r="D5806">
        <v>4.1026740000000004</v>
      </c>
      <c r="E5806">
        <v>0.48002909999999999</v>
      </c>
      <c r="F5806" t="s">
        <v>41</v>
      </c>
      <c r="G5806">
        <v>-199.50540000000001</v>
      </c>
      <c r="H5806">
        <v>0.97950280000000001</v>
      </c>
      <c r="I5806">
        <v>145.92519999999999</v>
      </c>
      <c r="J5806">
        <v>-198.94479999999999</v>
      </c>
      <c r="K5806">
        <v>1.1092120000000001</v>
      </c>
      <c r="L5806">
        <v>146.34639999999999</v>
      </c>
      <c r="M5806">
        <v>-0.6851429</v>
      </c>
      <c r="N5806">
        <v>0</v>
      </c>
      <c r="O5806">
        <v>-0.72830740000000005</v>
      </c>
      <c r="P5806">
        <v>-0.81970540000000003</v>
      </c>
      <c r="Q5806">
        <v>-1.1285470000000001E-2</v>
      </c>
      <c r="R5806">
        <v>-0.57267449999999998</v>
      </c>
      <c r="S5806">
        <v>-2.3794249999999999</v>
      </c>
      <c r="T5806">
        <v>-0.50928419999999996</v>
      </c>
      <c r="U5806">
        <v>-1.8222959999999999</v>
      </c>
      <c r="V5806">
        <v>0.20464959999999999</v>
      </c>
      <c r="W5806">
        <v>1.6624129999999999E-4</v>
      </c>
      <c r="X5806">
        <v>0.97883529999999996</v>
      </c>
      <c r="Y5806">
        <v>0.15225929999999999</v>
      </c>
      <c r="Z5806">
        <v>0.1312912</v>
      </c>
      <c r="AA5806">
        <v>0.97958140000000005</v>
      </c>
      <c r="AB5806">
        <v>8</v>
      </c>
      <c r="AC5806">
        <v>-0.56060000000002197</v>
      </c>
      <c r="AD5806">
        <v>-0.1297092</v>
      </c>
      <c r="AE5806">
        <v>-0.42119999999999802</v>
      </c>
      <c r="AF5806">
        <v>0.115754845671956</v>
      </c>
      <c r="AG5806">
        <v>-0.1297092</v>
      </c>
      <c r="AH5806">
        <v>0.668045816297545</v>
      </c>
      <c r="AI5806">
        <v>100.83047054327901</v>
      </c>
      <c r="AJ5806">
        <v>80.169746876616401</v>
      </c>
      <c r="AK5806">
        <v>0.69029622158449599</v>
      </c>
      <c r="AL5806">
        <v>89.990475075232695</v>
      </c>
      <c r="AM5806">
        <v>78.191012279777297</v>
      </c>
      <c r="AN5806">
        <v>1.0000000154712001</v>
      </c>
    </row>
    <row r="5807" spans="1:40" x14ac:dyDescent="0.25">
      <c r="A5807" t="str">
        <f>"20190312154037854"</f>
        <v>20190312154037854</v>
      </c>
      <c r="B5807" t="str">
        <f>"1552376437841421"</f>
        <v>1552376437841421</v>
      </c>
      <c r="C5807" t="s">
        <v>40</v>
      </c>
      <c r="D5807">
        <v>4.0926410000000004</v>
      </c>
      <c r="E5807">
        <v>0.47865069999999998</v>
      </c>
      <c r="F5807" t="s">
        <v>41</v>
      </c>
      <c r="G5807">
        <v>-199.5488</v>
      </c>
      <c r="H5807">
        <v>0.97071180000000001</v>
      </c>
      <c r="I5807">
        <v>145.87639999999999</v>
      </c>
      <c r="J5807">
        <v>-198.98230000000001</v>
      </c>
      <c r="K5807">
        <v>1.109208</v>
      </c>
      <c r="L5807">
        <v>146.31120000000001</v>
      </c>
      <c r="M5807">
        <v>-0.68711330000000004</v>
      </c>
      <c r="N5807">
        <v>0</v>
      </c>
      <c r="O5807">
        <v>-0.72644880000000001</v>
      </c>
      <c r="P5807">
        <v>-0.82135639999999999</v>
      </c>
      <c r="Q5807">
        <v>-1.169743E-2</v>
      </c>
      <c r="R5807">
        <v>-0.57029560000000001</v>
      </c>
      <c r="S5807">
        <v>-2.3659970000000001</v>
      </c>
      <c r="T5807">
        <v>-0.54205499999999995</v>
      </c>
      <c r="U5807">
        <v>-1.8412930000000001</v>
      </c>
      <c r="V5807">
        <v>0.2048306</v>
      </c>
      <c r="W5807">
        <v>-2.5331440000000001E-4</v>
      </c>
      <c r="X5807">
        <v>0.97879740000000004</v>
      </c>
      <c r="Y5807">
        <v>0.14088419999999999</v>
      </c>
      <c r="Z5807">
        <v>0.13848550000000001</v>
      </c>
      <c r="AA5807">
        <v>0.98029250000000001</v>
      </c>
      <c r="AB5807">
        <v>8</v>
      </c>
      <c r="AC5807">
        <v>-0.56649999999999001</v>
      </c>
      <c r="AD5807">
        <v>-0.13849619999999899</v>
      </c>
      <c r="AE5807">
        <v>-0.434800000000024</v>
      </c>
      <c r="AF5807">
        <v>0.108696391769251</v>
      </c>
      <c r="AG5807">
        <v>-0.13849619999999899</v>
      </c>
      <c r="AH5807">
        <v>0.679600375400781</v>
      </c>
      <c r="AI5807">
        <v>101.377844732049</v>
      </c>
      <c r="AJ5807">
        <v>80.912983986810303</v>
      </c>
      <c r="AK5807">
        <v>0.70203473791755999</v>
      </c>
      <c r="AL5807">
        <v>90.0145138462441</v>
      </c>
      <c r="AM5807">
        <v>78.180416833868406</v>
      </c>
      <c r="AN5807">
        <v>0.99999999455565203</v>
      </c>
    </row>
    <row r="5808" spans="1:40" x14ac:dyDescent="0.25">
      <c r="A5808" t="str">
        <f>"20190312154037873"</f>
        <v>20190312154037873</v>
      </c>
      <c r="B5808" t="str">
        <f>"1552376437861917"</f>
        <v>1552376437861917</v>
      </c>
      <c r="C5808" t="s">
        <v>40</v>
      </c>
      <c r="D5808">
        <v>4.1155809999999997</v>
      </c>
      <c r="E5808">
        <v>0.47691090000000003</v>
      </c>
      <c r="F5808" t="s">
        <v>41</v>
      </c>
      <c r="G5808">
        <v>-199.5471</v>
      </c>
      <c r="H5808">
        <v>0.97692780000000001</v>
      </c>
      <c r="I5808">
        <v>145.87100000000001</v>
      </c>
      <c r="J5808">
        <v>-199.0316</v>
      </c>
      <c r="K5808">
        <v>1.109202</v>
      </c>
      <c r="L5808">
        <v>146.26519999999999</v>
      </c>
      <c r="M5808">
        <v>-0.68968960000000001</v>
      </c>
      <c r="N5808">
        <v>0</v>
      </c>
      <c r="O5808">
        <v>-0.72400330000000002</v>
      </c>
      <c r="P5808">
        <v>-0.8234321</v>
      </c>
      <c r="Q5808">
        <v>-1.2207340000000001E-2</v>
      </c>
      <c r="R5808">
        <v>-0.56728369999999995</v>
      </c>
      <c r="S5808">
        <v>-2.3647309999999999</v>
      </c>
      <c r="T5808">
        <v>-0.55324379999999995</v>
      </c>
      <c r="U5808">
        <v>-1.843323</v>
      </c>
      <c r="V5808">
        <v>0.2049318</v>
      </c>
      <c r="W5808">
        <v>-7.7079639999999897E-4</v>
      </c>
      <c r="X5808">
        <v>0.97877599999999998</v>
      </c>
      <c r="Y5808">
        <v>0.13623560000000001</v>
      </c>
      <c r="Z5808">
        <v>0.14055670000000001</v>
      </c>
      <c r="AA5808">
        <v>0.98065469999999999</v>
      </c>
      <c r="AB5808">
        <v>8</v>
      </c>
      <c r="AC5808">
        <v>-0.51550000000000296</v>
      </c>
      <c r="AD5808">
        <v>-0.13227420000000001</v>
      </c>
      <c r="AE5808">
        <v>-0.39419999999998301</v>
      </c>
      <c r="AF5808">
        <v>9.7312578364135899E-2</v>
      </c>
      <c r="AG5808">
        <v>-0.13227420000000001</v>
      </c>
      <c r="AH5808">
        <v>0.615416222601748</v>
      </c>
      <c r="AI5808">
        <v>101.985761776237</v>
      </c>
      <c r="AJ5808">
        <v>81.014511806139893</v>
      </c>
      <c r="AK5808">
        <v>0.63694845076734397</v>
      </c>
      <c r="AL5808">
        <v>90.044163382860205</v>
      </c>
      <c r="AM5808">
        <v>78.174490290123998</v>
      </c>
      <c r="AN5808">
        <v>1.00000004747716</v>
      </c>
    </row>
    <row r="5809" spans="1:40" x14ac:dyDescent="0.25">
      <c r="A5809" t="str">
        <f>"20190312154037895"</f>
        <v>20190312154037895</v>
      </c>
      <c r="B5809" t="str">
        <f>"1552376437892173"</f>
        <v>1552376437892173</v>
      </c>
      <c r="C5809" t="s">
        <v>40</v>
      </c>
      <c r="D5809">
        <v>4.0845310000000001</v>
      </c>
      <c r="E5809">
        <v>0.47657109999999903</v>
      </c>
      <c r="F5809" t="s">
        <v>41</v>
      </c>
      <c r="G5809">
        <v>-199.5966</v>
      </c>
      <c r="H5809">
        <v>0.97410490000000005</v>
      </c>
      <c r="I5809">
        <v>145.82390000000001</v>
      </c>
      <c r="J5809">
        <v>-199.08590000000001</v>
      </c>
      <c r="K5809">
        <v>1.1092010000000001</v>
      </c>
      <c r="L5809">
        <v>146.2148</v>
      </c>
      <c r="M5809">
        <v>-0.69251099999999999</v>
      </c>
      <c r="N5809">
        <v>0</v>
      </c>
      <c r="O5809">
        <v>-0.72130530000000004</v>
      </c>
      <c r="P5809">
        <v>-0.82562089999999999</v>
      </c>
      <c r="Q5809">
        <v>-1.234329E-2</v>
      </c>
      <c r="R5809">
        <v>-0.56409049999999905</v>
      </c>
      <c r="S5809">
        <v>-2.3630680000000002</v>
      </c>
      <c r="T5809">
        <v>-0.56445319999999899</v>
      </c>
      <c r="U5809">
        <v>-1.8461000000000001</v>
      </c>
      <c r="V5809">
        <v>0.20489950000000001</v>
      </c>
      <c r="W5809">
        <v>-9.1295429999999999E-4</v>
      </c>
      <c r="X5809">
        <v>0.97878259999999995</v>
      </c>
      <c r="Y5809">
        <v>0.13097049999999999</v>
      </c>
      <c r="Z5809">
        <v>0.142508</v>
      </c>
      <c r="AA5809">
        <v>0.98109029999999997</v>
      </c>
      <c r="AB5809">
        <v>8</v>
      </c>
      <c r="AC5809">
        <v>-0.51069999999998505</v>
      </c>
      <c r="AD5809">
        <v>-0.1350961</v>
      </c>
      <c r="AE5809">
        <v>-0.39089999999998698</v>
      </c>
      <c r="AF5809">
        <v>9.3547452600209496E-2</v>
      </c>
      <c r="AG5809">
        <v>-0.1350961</v>
      </c>
      <c r="AH5809">
        <v>0.60880665933668399</v>
      </c>
      <c r="AI5809">
        <v>102.370742577543</v>
      </c>
      <c r="AJ5809">
        <v>81.264420782456</v>
      </c>
      <c r="AK5809">
        <v>0.63059307843956902</v>
      </c>
      <c r="AL5809">
        <v>90.052308435109197</v>
      </c>
      <c r="AM5809">
        <v>78.1763791621715</v>
      </c>
      <c r="AN5809">
        <v>1.0000000083242799</v>
      </c>
    </row>
    <row r="5810" spans="1:40" x14ac:dyDescent="0.25">
      <c r="A5810" t="str">
        <f>"20190312154037907"</f>
        <v>20190312154037907</v>
      </c>
      <c r="B5810" t="str">
        <f>"1552376437901933"</f>
        <v>1552376437901933</v>
      </c>
      <c r="C5810" t="s">
        <v>40</v>
      </c>
      <c r="D5810">
        <v>4.1102280000000002</v>
      </c>
      <c r="E5810">
        <v>0.47636260000000002</v>
      </c>
      <c r="F5810" t="s">
        <v>41</v>
      </c>
      <c r="G5810">
        <v>-199.64830000000001</v>
      </c>
      <c r="H5810">
        <v>0.97201979999999999</v>
      </c>
      <c r="I5810">
        <v>145.7783</v>
      </c>
      <c r="J5810">
        <v>-199.12020000000001</v>
      </c>
      <c r="K5810">
        <v>1.109199</v>
      </c>
      <c r="L5810">
        <v>146.1833</v>
      </c>
      <c r="M5810">
        <v>-0.69428029999999996</v>
      </c>
      <c r="N5810">
        <v>0</v>
      </c>
      <c r="O5810">
        <v>-0.71960249999999903</v>
      </c>
      <c r="P5810">
        <v>-0.82684639999999998</v>
      </c>
      <c r="Q5810">
        <v>-1.2052709999999999E-2</v>
      </c>
      <c r="R5810">
        <v>-0.56229910000000005</v>
      </c>
      <c r="S5810">
        <v>-2.368576</v>
      </c>
      <c r="T5810">
        <v>-0.57757990000000003</v>
      </c>
      <c r="U5810">
        <v>-1.838913</v>
      </c>
      <c r="V5810">
        <v>0.20462169999999999</v>
      </c>
      <c r="W5810">
        <v>-6.2394060000000001E-4</v>
      </c>
      <c r="X5810">
        <v>0.97884090000000001</v>
      </c>
      <c r="Y5810">
        <v>0.13100699999999901</v>
      </c>
      <c r="Z5810">
        <v>0.14544290000000001</v>
      </c>
      <c r="AA5810">
        <v>0.98065469999999999</v>
      </c>
      <c r="AB5810">
        <v>8</v>
      </c>
      <c r="AC5810">
        <v>-0.52809999999999402</v>
      </c>
      <c r="AD5810">
        <v>-0.1371792</v>
      </c>
      <c r="AE5810">
        <v>-0.40500000000000103</v>
      </c>
      <c r="AF5810">
        <v>9.4817321674109806E-2</v>
      </c>
      <c r="AG5810">
        <v>-0.1371792</v>
      </c>
      <c r="AH5810">
        <v>0.63131417528931899</v>
      </c>
      <c r="AI5810">
        <v>102.127387798527</v>
      </c>
      <c r="AJ5810">
        <v>81.458566232582797</v>
      </c>
      <c r="AK5810">
        <v>0.65296710891386001</v>
      </c>
      <c r="AL5810">
        <v>90.035749166493801</v>
      </c>
      <c r="AM5810">
        <v>78.192642662640097</v>
      </c>
      <c r="AN5810">
        <v>0.99999996846278505</v>
      </c>
    </row>
    <row r="5811" spans="1:40" x14ac:dyDescent="0.25">
      <c r="A5811" t="str">
        <f>"20190312154037922"</f>
        <v>20190312154037922</v>
      </c>
      <c r="B5811" t="str">
        <f>"1552376437911694"</f>
        <v>1552376437911694</v>
      </c>
      <c r="C5811" t="s">
        <v>40</v>
      </c>
      <c r="D5811">
        <v>4.1005269999999996</v>
      </c>
      <c r="E5811">
        <v>0.47608339999999999</v>
      </c>
      <c r="F5811" t="s">
        <v>41</v>
      </c>
      <c r="G5811">
        <v>-199.7002</v>
      </c>
      <c r="H5811">
        <v>0.96761419999999998</v>
      </c>
      <c r="I5811">
        <v>145.7346</v>
      </c>
      <c r="J5811">
        <v>-199.1559</v>
      </c>
      <c r="K5811">
        <v>1.1092040000000001</v>
      </c>
      <c r="L5811">
        <v>146.15049999999999</v>
      </c>
      <c r="M5811">
        <v>-0.69611449999999997</v>
      </c>
      <c r="N5811">
        <v>0</v>
      </c>
      <c r="O5811">
        <v>-0.71782819999999903</v>
      </c>
      <c r="P5811">
        <v>-0.82822399999999996</v>
      </c>
      <c r="Q5811">
        <v>-1.2029059999999999E-2</v>
      </c>
      <c r="R5811">
        <v>-0.56026819999999999</v>
      </c>
      <c r="S5811">
        <v>-2.37175</v>
      </c>
      <c r="T5811">
        <v>-0.57887290000000002</v>
      </c>
      <c r="U5811">
        <v>-1.835251</v>
      </c>
      <c r="V5811">
        <v>0.20452600000000001</v>
      </c>
      <c r="W5811">
        <v>-6.021771E-4</v>
      </c>
      <c r="X5811">
        <v>0.97886099999999998</v>
      </c>
      <c r="Y5811">
        <v>0.1300452</v>
      </c>
      <c r="Z5811">
        <v>0.14537079999999999</v>
      </c>
      <c r="AA5811">
        <v>0.98079340000000004</v>
      </c>
      <c r="AB5811">
        <v>8</v>
      </c>
      <c r="AC5811">
        <v>-0.54429999999999201</v>
      </c>
      <c r="AD5811">
        <v>-0.14158979999999999</v>
      </c>
      <c r="AE5811">
        <v>-0.415899999999993</v>
      </c>
      <c r="AF5811">
        <v>9.7060496228915202E-2</v>
      </c>
      <c r="AG5811">
        <v>-0.14158979999999999</v>
      </c>
      <c r="AH5811">
        <v>0.64973058618017998</v>
      </c>
      <c r="AI5811">
        <v>102.162856612328</v>
      </c>
      <c r="AJ5811">
        <v>81.503656523264397</v>
      </c>
      <c r="AK5811">
        <v>0.67202548017934804</v>
      </c>
      <c r="AL5811">
        <v>90.034502206629895</v>
      </c>
      <c r="AM5811">
        <v>78.198245502624403</v>
      </c>
      <c r="AN5811">
        <v>1.00000005230712</v>
      </c>
    </row>
    <row r="5812" spans="1:40" x14ac:dyDescent="0.25">
      <c r="A5812" t="str">
        <f>"20190312154037939"</f>
        <v>20190312154037939</v>
      </c>
      <c r="B5812" t="str">
        <f>"1552376437932189"</f>
        <v>1552376437932189</v>
      </c>
      <c r="C5812" t="s">
        <v>40</v>
      </c>
      <c r="D5812">
        <v>4.1007040000000003</v>
      </c>
      <c r="E5812">
        <v>0.4760721</v>
      </c>
      <c r="F5812" t="s">
        <v>41</v>
      </c>
      <c r="G5812">
        <v>-199.75210000000001</v>
      </c>
      <c r="H5812">
        <v>0.96345460000000005</v>
      </c>
      <c r="I5812">
        <v>145.6908</v>
      </c>
      <c r="J5812">
        <v>-199.20439999999999</v>
      </c>
      <c r="K5812">
        <v>1.1092</v>
      </c>
      <c r="L5812">
        <v>146.10640000000001</v>
      </c>
      <c r="M5812">
        <v>-0.69858959999999903</v>
      </c>
      <c r="N5812">
        <v>0</v>
      </c>
      <c r="O5812">
        <v>-0.71541999999999994</v>
      </c>
      <c r="P5812">
        <v>-0.83001919999999996</v>
      </c>
      <c r="Q5812">
        <v>-1.136907E-2</v>
      </c>
      <c r="R5812">
        <v>-0.55761890000000003</v>
      </c>
      <c r="S5812">
        <v>-2.3750149999999999</v>
      </c>
      <c r="T5812">
        <v>-0.58077509999999999</v>
      </c>
      <c r="U5812">
        <v>-1.831207</v>
      </c>
      <c r="V5812">
        <v>0.2042812</v>
      </c>
      <c r="W5812" s="1">
        <v>5.7434279999999999E-5</v>
      </c>
      <c r="X5812">
        <v>0.97891220000000001</v>
      </c>
      <c r="Y5812">
        <v>0.12829789999999999</v>
      </c>
      <c r="Z5812">
        <v>0.1452869</v>
      </c>
      <c r="AA5812">
        <v>0.98103589999999996</v>
      </c>
      <c r="AB5812">
        <v>8</v>
      </c>
      <c r="AC5812">
        <v>-0.54770000000001995</v>
      </c>
      <c r="AD5812">
        <v>-0.145745399999999</v>
      </c>
      <c r="AE5812">
        <v>-0.41560000000001202</v>
      </c>
      <c r="AF5812">
        <v>9.7143783958537497E-2</v>
      </c>
      <c r="AG5812">
        <v>-0.145745399999999</v>
      </c>
      <c r="AH5812">
        <v>0.65075301349097903</v>
      </c>
      <c r="AI5812">
        <v>102.489900954261</v>
      </c>
      <c r="AJ5812">
        <v>81.509637745529105</v>
      </c>
      <c r="AK5812">
        <v>0.673912546960311</v>
      </c>
      <c r="AL5812">
        <v>89.996709258002198</v>
      </c>
      <c r="AM5812">
        <v>78.212575002378799</v>
      </c>
      <c r="AN5812">
        <v>0.99999995364048699</v>
      </c>
    </row>
    <row r="5813" spans="1:40" x14ac:dyDescent="0.25">
      <c r="A5813" t="str">
        <f>"20190312154037953"</f>
        <v>20190312154037953</v>
      </c>
      <c r="B5813" t="str">
        <f>"1552376437941949"</f>
        <v>1552376437941949</v>
      </c>
      <c r="C5813" t="s">
        <v>40</v>
      </c>
      <c r="D5813">
        <v>4.1085430000000001</v>
      </c>
      <c r="E5813">
        <v>0.47611530000000002</v>
      </c>
      <c r="F5813" t="s">
        <v>41</v>
      </c>
      <c r="G5813">
        <v>-199.80510000000001</v>
      </c>
      <c r="H5813">
        <v>0.96196400000000004</v>
      </c>
      <c r="I5813">
        <v>145.6464</v>
      </c>
      <c r="J5813">
        <v>-199.23820000000001</v>
      </c>
      <c r="K5813">
        <v>1.1092040000000001</v>
      </c>
      <c r="L5813">
        <v>146.07589999999999</v>
      </c>
      <c r="M5813">
        <v>-0.70030619999999999</v>
      </c>
      <c r="N5813">
        <v>0</v>
      </c>
      <c r="O5813">
        <v>-0.71373969999999998</v>
      </c>
      <c r="P5813">
        <v>-0.83126049999999996</v>
      </c>
      <c r="Q5813">
        <v>-1.099514E-2</v>
      </c>
      <c r="R5813">
        <v>-0.55577449999999995</v>
      </c>
      <c r="S5813">
        <v>-2.3809659999999999</v>
      </c>
      <c r="T5813">
        <v>-0.58284440000000004</v>
      </c>
      <c r="U5813">
        <v>-1.82402</v>
      </c>
      <c r="V5813">
        <v>0.2041076</v>
      </c>
      <c r="W5813">
        <v>4.3183959999999998E-4</v>
      </c>
      <c r="X5813">
        <v>0.97894840000000005</v>
      </c>
      <c r="Y5813">
        <v>0.12890470000000001</v>
      </c>
      <c r="Z5813">
        <v>0.1455185</v>
      </c>
      <c r="AA5813">
        <v>0.98092199999999996</v>
      </c>
      <c r="AB5813">
        <v>8</v>
      </c>
      <c r="AC5813">
        <v>-0.56690000000000396</v>
      </c>
      <c r="AD5813">
        <v>-0.14724000000000001</v>
      </c>
      <c r="AE5813">
        <v>-0.42949999999999</v>
      </c>
      <c r="AF5813">
        <v>9.95774440131873E-2</v>
      </c>
      <c r="AG5813">
        <v>-0.14724000000000001</v>
      </c>
      <c r="AH5813">
        <v>0.67469047086097</v>
      </c>
      <c r="AI5813">
        <v>102.18286787912299</v>
      </c>
      <c r="AJ5813">
        <v>81.604336419924394</v>
      </c>
      <c r="AK5813">
        <v>0.69771234504400004</v>
      </c>
      <c r="AL5813">
        <v>89.975257413574496</v>
      </c>
      <c r="AM5813">
        <v>78.2227355011524</v>
      </c>
      <c r="AN5813">
        <v>1.0000000343628701</v>
      </c>
    </row>
    <row r="5814" spans="1:40" x14ac:dyDescent="0.25">
      <c r="A5814" t="str">
        <f>"20190312154037974"</f>
        <v>20190312154037974</v>
      </c>
      <c r="B5814" t="str">
        <f>"1552376437961469"</f>
        <v>1552376437961469</v>
      </c>
      <c r="C5814" t="s">
        <v>40</v>
      </c>
      <c r="D5814">
        <v>4.1461439999999996</v>
      </c>
      <c r="E5814">
        <v>0.47644009999999998</v>
      </c>
      <c r="F5814" t="s">
        <v>41</v>
      </c>
      <c r="G5814">
        <v>-199.80670000000001</v>
      </c>
      <c r="H5814">
        <v>0.9699738</v>
      </c>
      <c r="I5814">
        <v>145.64269999999999</v>
      </c>
      <c r="J5814">
        <v>-199.29249999999999</v>
      </c>
      <c r="K5814">
        <v>1.1092139999999999</v>
      </c>
      <c r="L5814">
        <v>146.02699999999999</v>
      </c>
      <c r="M5814">
        <v>-0.70305090000000003</v>
      </c>
      <c r="N5814">
        <v>0</v>
      </c>
      <c r="O5814">
        <v>-0.71103619999999901</v>
      </c>
      <c r="P5814">
        <v>-0.83310409999999901</v>
      </c>
      <c r="Q5814">
        <v>-9.6456730000000004E-3</v>
      </c>
      <c r="R5814">
        <v>-0.55303219999999997</v>
      </c>
      <c r="S5814">
        <v>-2.3855740000000001</v>
      </c>
      <c r="T5814">
        <v>-0.58338789999999996</v>
      </c>
      <c r="U5814">
        <v>-1.818268</v>
      </c>
      <c r="V5814">
        <v>0.2035767</v>
      </c>
      <c r="W5814">
        <v>1.7860560000000001E-3</v>
      </c>
      <c r="X5814">
        <v>0.97905739999999997</v>
      </c>
      <c r="Y5814">
        <v>0.12752749999999999</v>
      </c>
      <c r="Z5814">
        <v>0.14506849999999999</v>
      </c>
      <c r="AA5814">
        <v>0.98116859999999995</v>
      </c>
      <c r="AB5814">
        <v>8</v>
      </c>
      <c r="AC5814">
        <v>-0.51420000000001598</v>
      </c>
      <c r="AD5814">
        <v>-0.13924019999999901</v>
      </c>
      <c r="AE5814">
        <v>-0.38430000000002401</v>
      </c>
      <c r="AF5814">
        <v>9.1150917375455401E-2</v>
      </c>
      <c r="AG5814">
        <v>-0.13924019999999901</v>
      </c>
      <c r="AH5814">
        <v>0.60628238718868999</v>
      </c>
      <c r="AI5814">
        <v>102.79539527581299</v>
      </c>
      <c r="AJ5814">
        <v>81.449959496589699</v>
      </c>
      <c r="AK5814">
        <v>0.62870872114966203</v>
      </c>
      <c r="AL5814">
        <v>89.897666477646794</v>
      </c>
      <c r="AM5814">
        <v>78.253788228954406</v>
      </c>
      <c r="AN5814">
        <v>1.0000000276368399</v>
      </c>
    </row>
    <row r="5815" spans="1:40" x14ac:dyDescent="0.25">
      <c r="A5815" t="str">
        <f>"20190312154037990"</f>
        <v>20190312154037990</v>
      </c>
      <c r="B5815" t="str">
        <f>"1552376437981965"</f>
        <v>1552376437981965</v>
      </c>
      <c r="C5815" t="s">
        <v>40</v>
      </c>
      <c r="D5815">
        <v>4.1759309999999896</v>
      </c>
      <c r="E5815">
        <v>0.47718870000000002</v>
      </c>
      <c r="F5815" t="s">
        <v>41</v>
      </c>
      <c r="G5815">
        <v>-199.8605</v>
      </c>
      <c r="H5815">
        <v>0.97047110000000003</v>
      </c>
      <c r="I5815">
        <v>145.59790000000001</v>
      </c>
      <c r="J5815">
        <v>-199.33430000000001</v>
      </c>
      <c r="K5815">
        <v>1.109219</v>
      </c>
      <c r="L5815">
        <v>145.9897</v>
      </c>
      <c r="M5815">
        <v>-0.70515159999999999</v>
      </c>
      <c r="N5815">
        <v>0</v>
      </c>
      <c r="O5815">
        <v>-0.7089531</v>
      </c>
      <c r="P5815">
        <v>-0.83464989999999994</v>
      </c>
      <c r="Q5815">
        <v>-8.9036740000000003E-3</v>
      </c>
      <c r="R5815">
        <v>-0.55070940000000002</v>
      </c>
      <c r="S5815">
        <v>-2.3936310000000001</v>
      </c>
      <c r="T5815">
        <v>-0.58441719999999997</v>
      </c>
      <c r="U5815">
        <v>-1.8086089999999999</v>
      </c>
      <c r="V5815">
        <v>0.20341509999999999</v>
      </c>
      <c r="W5815">
        <v>2.5313509999999998E-3</v>
      </c>
      <c r="X5815">
        <v>0.97908930000000005</v>
      </c>
      <c r="Y5815">
        <v>0.12868540000000001</v>
      </c>
      <c r="Z5815">
        <v>0.14499989999999999</v>
      </c>
      <c r="AA5815">
        <v>0.9810276</v>
      </c>
      <c r="AB5815">
        <v>8</v>
      </c>
      <c r="AC5815">
        <v>-0.52619999999998801</v>
      </c>
      <c r="AD5815">
        <v>-0.13874790000000001</v>
      </c>
      <c r="AE5815">
        <v>-0.39179999999998899</v>
      </c>
      <c r="AF5815">
        <v>9.2636316075143901E-2</v>
      </c>
      <c r="AG5815">
        <v>-0.13874790000000001</v>
      </c>
      <c r="AH5815">
        <v>0.62108579654774299</v>
      </c>
      <c r="AI5815">
        <v>102.459410375282</v>
      </c>
      <c r="AJ5815">
        <v>81.516746472152093</v>
      </c>
      <c r="AK5815">
        <v>0.64310188421721204</v>
      </c>
      <c r="AL5815">
        <v>89.854964114022394</v>
      </c>
      <c r="AM5815">
        <v>78.263225448987995</v>
      </c>
      <c r="AN5815">
        <v>0.99999998401019197</v>
      </c>
    </row>
    <row r="5816" spans="1:40" x14ac:dyDescent="0.25">
      <c r="A5816" t="str">
        <f>"20190312154038007"</f>
        <v>20190312154038007</v>
      </c>
      <c r="B5816" t="str">
        <f>"1552376438001485"</f>
        <v>1552376438001485</v>
      </c>
      <c r="C5816" t="s">
        <v>40</v>
      </c>
      <c r="D5816">
        <v>4.2037300000000002</v>
      </c>
      <c r="E5816">
        <v>0.4775971</v>
      </c>
      <c r="F5816" t="s">
        <v>41</v>
      </c>
      <c r="G5816">
        <v>-199.91419999999999</v>
      </c>
      <c r="H5816">
        <v>0.96652079999999996</v>
      </c>
      <c r="I5816">
        <v>145.55590000000001</v>
      </c>
      <c r="J5816">
        <v>-199.3777</v>
      </c>
      <c r="K5816">
        <v>1.109227</v>
      </c>
      <c r="L5816">
        <v>145.9512</v>
      </c>
      <c r="M5816">
        <v>-0.70732340000000005</v>
      </c>
      <c r="N5816">
        <v>0</v>
      </c>
      <c r="O5816">
        <v>-0.70678589999999997</v>
      </c>
      <c r="P5816">
        <v>-0.83616539999999995</v>
      </c>
      <c r="Q5816">
        <v>-8.3987409999999995E-3</v>
      </c>
      <c r="R5816">
        <v>-0.54841300000000004</v>
      </c>
      <c r="S5816">
        <v>-2.4022220000000001</v>
      </c>
      <c r="T5816">
        <v>-0.59066180000000001</v>
      </c>
      <c r="U5816">
        <v>-1.7971950000000001</v>
      </c>
      <c r="V5816">
        <v>0.2031067</v>
      </c>
      <c r="W5816">
        <v>3.0401339999999999E-3</v>
      </c>
      <c r="X5816">
        <v>0.97915189999999996</v>
      </c>
      <c r="Y5816">
        <v>0.13008110000000001</v>
      </c>
      <c r="Z5816">
        <v>0.14621529999999999</v>
      </c>
      <c r="AA5816">
        <v>0.98066310000000001</v>
      </c>
      <c r="AB5816">
        <v>8</v>
      </c>
      <c r="AC5816">
        <v>-0.53649999999998899</v>
      </c>
      <c r="AD5816">
        <v>-0.14270619999999901</v>
      </c>
      <c r="AE5816">
        <v>-0.39529999999999099</v>
      </c>
      <c r="AF5816">
        <v>9.5226194661638799E-2</v>
      </c>
      <c r="AG5816">
        <v>-0.14270619999999901</v>
      </c>
      <c r="AH5816">
        <v>0.630028466302756</v>
      </c>
      <c r="AI5816">
        <v>102.62385941975199</v>
      </c>
      <c r="AJ5816">
        <v>81.405036925677095</v>
      </c>
      <c r="AK5816">
        <v>0.65296933773338806</v>
      </c>
      <c r="AL5816">
        <v>89.825812885831198</v>
      </c>
      <c r="AM5816">
        <v>78.281255708607006</v>
      </c>
      <c r="AN5816">
        <v>1.0000000086366101</v>
      </c>
    </row>
    <row r="5817" spans="1:40" x14ac:dyDescent="0.25">
      <c r="A5817" t="str">
        <f>"20190312154038020"</f>
        <v>20190312154038020</v>
      </c>
      <c r="B5817" t="str">
        <f>"1552376438012222"</f>
        <v>1552376438012222</v>
      </c>
      <c r="C5817" t="s">
        <v>40</v>
      </c>
      <c r="D5817">
        <v>4.2163789999999999</v>
      </c>
      <c r="E5817">
        <v>0.47770849999999998</v>
      </c>
      <c r="F5817" t="s">
        <v>41</v>
      </c>
      <c r="G5817">
        <v>-199.9676</v>
      </c>
      <c r="H5817">
        <v>0.96289740000000001</v>
      </c>
      <c r="I5817">
        <v>145.5137</v>
      </c>
      <c r="J5817">
        <v>-199.41</v>
      </c>
      <c r="K5817">
        <v>1.1092310000000001</v>
      </c>
      <c r="L5817">
        <v>145.92269999999999</v>
      </c>
      <c r="M5817">
        <v>-0.70893709999999999</v>
      </c>
      <c r="N5817">
        <v>0</v>
      </c>
      <c r="O5817">
        <v>-0.70516749999999995</v>
      </c>
      <c r="P5817">
        <v>-0.83735839999999995</v>
      </c>
      <c r="Q5817">
        <v>-7.8607509999999992E-3</v>
      </c>
      <c r="R5817">
        <v>-0.54659829999999998</v>
      </c>
      <c r="S5817">
        <v>-2.409424</v>
      </c>
      <c r="T5817">
        <v>-0.5974526</v>
      </c>
      <c r="U5817">
        <v>-1.7875369999999999</v>
      </c>
      <c r="V5817">
        <v>0.20299739999999999</v>
      </c>
      <c r="W5817">
        <v>3.5803879999999999E-3</v>
      </c>
      <c r="X5817">
        <v>0.97917270000000001</v>
      </c>
      <c r="Y5817">
        <v>0.13148689999999999</v>
      </c>
      <c r="Z5817">
        <v>0.1476556</v>
      </c>
      <c r="AA5817">
        <v>0.98025969999999996</v>
      </c>
      <c r="AB5817">
        <v>8</v>
      </c>
      <c r="AC5817">
        <v>-0.55760000000000698</v>
      </c>
      <c r="AD5817">
        <v>-0.14633359999999901</v>
      </c>
      <c r="AE5817">
        <v>-0.40899999999999098</v>
      </c>
      <c r="AF5817">
        <v>9.8828229686870897E-2</v>
      </c>
      <c r="AG5817">
        <v>-0.14633359999999901</v>
      </c>
      <c r="AH5817">
        <v>0.65446063903899698</v>
      </c>
      <c r="AI5817">
        <v>102.466846083365</v>
      </c>
      <c r="AJ5817">
        <v>81.412807633766107</v>
      </c>
      <c r="AK5817">
        <v>0.67786375439562596</v>
      </c>
      <c r="AL5817">
        <v>89.794858434134795</v>
      </c>
      <c r="AM5817">
        <v>78.287629700886797</v>
      </c>
      <c r="AN5817">
        <v>0.99999997000513896</v>
      </c>
    </row>
    <row r="5818" spans="1:40" x14ac:dyDescent="0.25">
      <c r="A5818" t="str">
        <f>"20190312154038040"</f>
        <v>20190312154038040</v>
      </c>
      <c r="B5818" t="str">
        <f>"1552376438031741"</f>
        <v>1552376438031741</v>
      </c>
      <c r="C5818" t="s">
        <v>40</v>
      </c>
      <c r="D5818">
        <v>4.152139</v>
      </c>
      <c r="E5818">
        <v>0.47798089999999999</v>
      </c>
      <c r="F5818" t="s">
        <v>41</v>
      </c>
      <c r="G5818">
        <v>-200.0205</v>
      </c>
      <c r="H5818">
        <v>0.95748460000000002</v>
      </c>
      <c r="I5818">
        <v>145.47219999999999</v>
      </c>
      <c r="J5818">
        <v>-199.46709999999999</v>
      </c>
      <c r="K5818">
        <v>1.1092310000000001</v>
      </c>
      <c r="L5818">
        <v>145.87270000000001</v>
      </c>
      <c r="M5818">
        <v>-0.71177230000000002</v>
      </c>
      <c r="N5818">
        <v>0</v>
      </c>
      <c r="O5818">
        <v>-0.70230530000000002</v>
      </c>
      <c r="P5818">
        <v>-0.8395802</v>
      </c>
      <c r="Q5818">
        <v>-7.5728849999999997E-3</v>
      </c>
      <c r="R5818">
        <v>-0.54318319999999998</v>
      </c>
      <c r="S5818">
        <v>-2.414139</v>
      </c>
      <c r="T5818">
        <v>-0.59975239999999996</v>
      </c>
      <c r="U5818">
        <v>-1.7815700000000001</v>
      </c>
      <c r="V5818">
        <v>0.2030429</v>
      </c>
      <c r="W5818">
        <v>3.8707799999999999E-3</v>
      </c>
      <c r="X5818">
        <v>0.97916219999999998</v>
      </c>
      <c r="Y5818">
        <v>0.1299458</v>
      </c>
      <c r="Z5818">
        <v>0.1475649</v>
      </c>
      <c r="AA5818">
        <v>0.98047879999999998</v>
      </c>
      <c r="AB5818">
        <v>8</v>
      </c>
      <c r="AC5818">
        <v>-0.55340000000001</v>
      </c>
      <c r="AD5818">
        <v>-0.151746399999999</v>
      </c>
      <c r="AE5818">
        <v>-0.40050000000002201</v>
      </c>
      <c r="AF5818">
        <v>9.8726898884406805E-2</v>
      </c>
      <c r="AG5818">
        <v>-0.151746399999999</v>
      </c>
      <c r="AH5818">
        <v>0.64346597020530905</v>
      </c>
      <c r="AI5818">
        <v>103.12128387740999</v>
      </c>
      <c r="AJ5818">
        <v>81.2771391369009</v>
      </c>
      <c r="AK5818">
        <v>0.66844777304479897</v>
      </c>
      <c r="AL5818">
        <v>89.778220090538795</v>
      </c>
      <c r="AM5818">
        <v>78.284954877182201</v>
      </c>
      <c r="AN5818">
        <v>1.0000000080435201</v>
      </c>
    </row>
    <row r="5819" spans="1:40" x14ac:dyDescent="0.25">
      <c r="A5819" t="str">
        <f>"20190312154038064"</f>
        <v>20190312154038064</v>
      </c>
      <c r="B5819" t="str">
        <f>"1552376438052237"</f>
        <v>1552376438052237</v>
      </c>
      <c r="C5819" t="s">
        <v>40</v>
      </c>
      <c r="D5819">
        <v>4.1753720000000003</v>
      </c>
      <c r="E5819">
        <v>0.47828759999999998</v>
      </c>
      <c r="F5819" t="s">
        <v>41</v>
      </c>
      <c r="G5819">
        <v>-200.07480000000001</v>
      </c>
      <c r="H5819">
        <v>0.95720799999999995</v>
      </c>
      <c r="I5819">
        <v>145.4288</v>
      </c>
      <c r="J5819">
        <v>-199.5301</v>
      </c>
      <c r="K5819">
        <v>1.1092299999999999</v>
      </c>
      <c r="L5819">
        <v>145.81790000000001</v>
      </c>
      <c r="M5819">
        <v>-0.71489080000000005</v>
      </c>
      <c r="N5819">
        <v>0</v>
      </c>
      <c r="O5819">
        <v>-0.69913069999999999</v>
      </c>
      <c r="P5819">
        <v>-0.84213969999999905</v>
      </c>
      <c r="Q5819">
        <v>-7.6961569999999899E-3</v>
      </c>
      <c r="R5819">
        <v>-0.53920459999999903</v>
      </c>
      <c r="S5819">
        <v>-2.422806</v>
      </c>
      <c r="T5819">
        <v>-0.6056745</v>
      </c>
      <c r="U5819">
        <v>-1.76973</v>
      </c>
      <c r="V5819">
        <v>0.203317</v>
      </c>
      <c r="W5819">
        <v>3.748234E-3</v>
      </c>
      <c r="X5819">
        <v>0.97910580000000003</v>
      </c>
      <c r="Y5819">
        <v>0.1301331</v>
      </c>
      <c r="Z5819">
        <v>0.14841079999999901</v>
      </c>
      <c r="AA5819">
        <v>0.98032629999999998</v>
      </c>
      <c r="AB5819">
        <v>8</v>
      </c>
      <c r="AC5819">
        <v>-0.54470000000000596</v>
      </c>
      <c r="AD5819">
        <v>-0.15202199999999999</v>
      </c>
      <c r="AE5819">
        <v>-0.38910000000001299</v>
      </c>
      <c r="AF5819">
        <v>9.7625018632572599E-2</v>
      </c>
      <c r="AG5819">
        <v>-0.15202199999999999</v>
      </c>
      <c r="AH5819">
        <v>0.62903872984142495</v>
      </c>
      <c r="AI5819">
        <v>103.431494696775</v>
      </c>
      <c r="AJ5819">
        <v>81.178236450091603</v>
      </c>
      <c r="AK5819">
        <v>0.65447005767072597</v>
      </c>
      <c r="AL5819">
        <v>89.785241510381098</v>
      </c>
      <c r="AM5819">
        <v>78.268920994795906</v>
      </c>
      <c r="AN5819">
        <v>1.0000000096703701</v>
      </c>
    </row>
    <row r="5820" spans="1:40" x14ac:dyDescent="0.25">
      <c r="A5820" t="str">
        <f>"20190312154038087"</f>
        <v>20190312154038087</v>
      </c>
      <c r="B5820" t="str">
        <f>"1552376438081518"</f>
        <v>1552376438081518</v>
      </c>
      <c r="C5820" t="s">
        <v>40</v>
      </c>
      <c r="D5820">
        <v>4.1771880000000001</v>
      </c>
      <c r="E5820">
        <v>0.4788057</v>
      </c>
      <c r="F5820" t="s">
        <v>41</v>
      </c>
      <c r="G5820">
        <v>-200.12979999999999</v>
      </c>
      <c r="H5820">
        <v>0.95835219999999999</v>
      </c>
      <c r="I5820">
        <v>145.3853</v>
      </c>
      <c r="J5820">
        <v>-199.5881</v>
      </c>
      <c r="K5820">
        <v>1.1092280000000001</v>
      </c>
      <c r="L5820">
        <v>145.7681</v>
      </c>
      <c r="M5820">
        <v>-0.71774689999999997</v>
      </c>
      <c r="N5820">
        <v>0</v>
      </c>
      <c r="O5820">
        <v>-0.69619830000000005</v>
      </c>
      <c r="P5820">
        <v>-0.84435110000000002</v>
      </c>
      <c r="Q5820">
        <v>-7.4708980000000001E-3</v>
      </c>
      <c r="R5820">
        <v>-0.53573819999999905</v>
      </c>
      <c r="S5820">
        <v>-2.4326479999999999</v>
      </c>
      <c r="T5820">
        <v>-0.61146559999999905</v>
      </c>
      <c r="U5820">
        <v>-1.75567599999999</v>
      </c>
      <c r="V5820">
        <v>0.20333560000000001</v>
      </c>
      <c r="W5820">
        <v>3.9752059999999898E-3</v>
      </c>
      <c r="X5820">
        <v>0.97910109999999995</v>
      </c>
      <c r="Y5820">
        <v>0.1314688</v>
      </c>
      <c r="Z5820">
        <v>0.14935619999999999</v>
      </c>
      <c r="AA5820">
        <v>0.9800044</v>
      </c>
      <c r="AB5820">
        <v>8</v>
      </c>
      <c r="AC5820">
        <v>-0.54169999999999097</v>
      </c>
      <c r="AD5820">
        <v>-0.1508758</v>
      </c>
      <c r="AE5820">
        <v>-0.38280000000000303</v>
      </c>
      <c r="AF5820">
        <v>9.7348033967230393E-2</v>
      </c>
      <c r="AG5820">
        <v>-0.1508758</v>
      </c>
      <c r="AH5820">
        <v>0.62311749198383903</v>
      </c>
      <c r="AI5820">
        <v>103.453943356764</v>
      </c>
      <c r="AJ5820">
        <v>81.120604133467097</v>
      </c>
      <c r="AK5820">
        <v>0.64847170760115203</v>
      </c>
      <c r="AL5820">
        <v>89.772236888730703</v>
      </c>
      <c r="AM5820">
        <v>78.267822792700798</v>
      </c>
      <c r="AN5820">
        <v>1.0000000662556501</v>
      </c>
    </row>
    <row r="5821" spans="1:40" x14ac:dyDescent="0.25">
      <c r="A5821" t="str">
        <f>"20190312154038107"</f>
        <v>20190312154038107</v>
      </c>
      <c r="B5821" t="str">
        <f>"1552376438102014"</f>
        <v>1552376438102014</v>
      </c>
      <c r="C5821" t="s">
        <v>40</v>
      </c>
      <c r="D5821">
        <v>4.1771419999999999</v>
      </c>
      <c r="E5821">
        <v>0.47905019999999998</v>
      </c>
      <c r="F5821" t="s">
        <v>41</v>
      </c>
      <c r="G5821">
        <v>-200.1848</v>
      </c>
      <c r="H5821">
        <v>0.95815170000000005</v>
      </c>
      <c r="I5821">
        <v>145.34270000000001</v>
      </c>
      <c r="J5821">
        <v>-199.64429999999999</v>
      </c>
      <c r="K5821">
        <v>1.109227</v>
      </c>
      <c r="L5821">
        <v>145.7201</v>
      </c>
      <c r="M5821">
        <v>-0.72050909999999901</v>
      </c>
      <c r="N5821">
        <v>0</v>
      </c>
      <c r="O5821">
        <v>-0.69333889999999998</v>
      </c>
      <c r="P5821">
        <v>-0.84666059999999999</v>
      </c>
      <c r="Q5821">
        <v>-7.1830959999999999E-3</v>
      </c>
      <c r="R5821">
        <v>-0.53208509999999998</v>
      </c>
      <c r="S5821">
        <v>-2.4425659999999998</v>
      </c>
      <c r="T5821">
        <v>-0.61829499999999904</v>
      </c>
      <c r="U5821">
        <v>-1.7415309999999999</v>
      </c>
      <c r="V5821">
        <v>0.20367569999999999</v>
      </c>
      <c r="W5821">
        <v>4.2617829999999999E-3</v>
      </c>
      <c r="X5821">
        <v>0.97902909999999999</v>
      </c>
      <c r="Y5821">
        <v>0.13291210000000001</v>
      </c>
      <c r="Z5821">
        <v>0.1505551</v>
      </c>
      <c r="AA5821">
        <v>0.9796262</v>
      </c>
      <c r="AB5821">
        <v>8</v>
      </c>
      <c r="AC5821">
        <v>-0.54050000000000797</v>
      </c>
      <c r="AD5821">
        <v>-0.1510753</v>
      </c>
      <c r="AE5821">
        <v>-0.37739999999999402</v>
      </c>
      <c r="AF5821">
        <v>9.7705624710600902E-2</v>
      </c>
      <c r="AG5821">
        <v>-0.1510753</v>
      </c>
      <c r="AH5821">
        <v>0.61865739738652503</v>
      </c>
      <c r="AI5821">
        <v>103.561213549012</v>
      </c>
      <c r="AJ5821">
        <v>81.025306154968206</v>
      </c>
      <c r="AK5821">
        <v>0.64428806500760805</v>
      </c>
      <c r="AL5821">
        <v>89.755817073445101</v>
      </c>
      <c r="AM5821">
        <v>78.247904582629999</v>
      </c>
      <c r="AN5821">
        <v>0.99999996610581898</v>
      </c>
    </row>
    <row r="5822" spans="1:40" x14ac:dyDescent="0.25">
      <c r="A5822" t="str">
        <f>"20190312154038130"</f>
        <v>20190312154038130</v>
      </c>
      <c r="B5822" t="str">
        <f>"1552376438122180"</f>
        <v>1552376438122180</v>
      </c>
      <c r="C5822" t="s">
        <v>40</v>
      </c>
      <c r="D5822">
        <v>4.1569919999999998</v>
      </c>
      <c r="E5822">
        <v>0.4794718</v>
      </c>
      <c r="F5822" t="s">
        <v>41</v>
      </c>
      <c r="G5822">
        <v>-200.2398</v>
      </c>
      <c r="H5822">
        <v>0.95805200000000001</v>
      </c>
      <c r="I5822">
        <v>145.30009999999999</v>
      </c>
      <c r="J5822">
        <v>-199.70439999999999</v>
      </c>
      <c r="K5822">
        <v>1.109219</v>
      </c>
      <c r="L5822">
        <v>145.66929999999999</v>
      </c>
      <c r="M5822">
        <v>-0.72345660000000001</v>
      </c>
      <c r="N5822">
        <v>0</v>
      </c>
      <c r="O5822">
        <v>-0.69026309999999902</v>
      </c>
      <c r="P5822">
        <v>-0.848995099999999</v>
      </c>
      <c r="Q5822">
        <v>-6.860779E-3</v>
      </c>
      <c r="R5822">
        <v>-0.52835659999999995</v>
      </c>
      <c r="S5822">
        <v>-2.451279</v>
      </c>
      <c r="T5822">
        <v>-0.62206030000000001</v>
      </c>
      <c r="U5822">
        <v>-1.729279</v>
      </c>
      <c r="V5822">
        <v>0.2038131</v>
      </c>
      <c r="W5822">
        <v>4.5807850000000004E-3</v>
      </c>
      <c r="X5822">
        <v>0.97899910000000001</v>
      </c>
      <c r="Y5822">
        <v>0.133485299999999</v>
      </c>
      <c r="Z5822">
        <v>0.15090590000000001</v>
      </c>
      <c r="AA5822">
        <v>0.97949430000000004</v>
      </c>
      <c r="AB5822">
        <v>8</v>
      </c>
      <c r="AC5822">
        <v>-0.53540000000000898</v>
      </c>
      <c r="AD5822">
        <v>-0.151166999999999</v>
      </c>
      <c r="AE5822">
        <v>-0.36920000000000602</v>
      </c>
      <c r="AF5822">
        <v>9.7221622989219006E-2</v>
      </c>
      <c r="AG5822">
        <v>-0.151166999999999</v>
      </c>
      <c r="AH5822">
        <v>0.60931170046273697</v>
      </c>
      <c r="AI5822">
        <v>103.76606208878199</v>
      </c>
      <c r="AJ5822">
        <v>80.934319570167403</v>
      </c>
      <c r="AK5822">
        <v>0.63526707311685005</v>
      </c>
      <c r="AL5822">
        <v>89.737539434890905</v>
      </c>
      <c r="AM5822">
        <v>78.239846983931002</v>
      </c>
      <c r="AN5822">
        <v>1.0000000005618099</v>
      </c>
    </row>
    <row r="5823" spans="1:40" x14ac:dyDescent="0.25">
      <c r="A5823" t="str">
        <f>"20190312154038152"</f>
        <v>20190312154038152</v>
      </c>
      <c r="B5823" t="str">
        <f>"1552376438141701"</f>
        <v>1552376438141701</v>
      </c>
      <c r="C5823" t="s">
        <v>40</v>
      </c>
      <c r="D5823">
        <v>4.1236519999999999</v>
      </c>
      <c r="E5823">
        <v>0.4798366</v>
      </c>
      <c r="F5823" t="s">
        <v>41</v>
      </c>
      <c r="G5823">
        <v>-200.29519999999999</v>
      </c>
      <c r="H5823">
        <v>0.95921800000000002</v>
      </c>
      <c r="I5823">
        <v>145.25739999999999</v>
      </c>
      <c r="J5823">
        <v>-199.76230000000001</v>
      </c>
      <c r="K5823">
        <v>1.109199</v>
      </c>
      <c r="L5823">
        <v>145.62090000000001</v>
      </c>
      <c r="M5823">
        <v>-0.72628859999999995</v>
      </c>
      <c r="N5823">
        <v>0</v>
      </c>
      <c r="O5823">
        <v>-0.68728250000000002</v>
      </c>
      <c r="P5823">
        <v>-0.85119920000000004</v>
      </c>
      <c r="Q5823">
        <v>-7.1803800000000001E-3</v>
      </c>
      <c r="R5823">
        <v>-0.52479390000000004</v>
      </c>
      <c r="S5823">
        <v>-2.460785</v>
      </c>
      <c r="T5823">
        <v>-0.62452890000000005</v>
      </c>
      <c r="U5823">
        <v>-1.7157290000000001</v>
      </c>
      <c r="V5823">
        <v>0.20388800000000001</v>
      </c>
      <c r="W5823">
        <v>4.2551079999999996E-3</v>
      </c>
      <c r="X5823">
        <v>0.97898499999999999</v>
      </c>
      <c r="Y5823">
        <v>0.1347457</v>
      </c>
      <c r="Z5823">
        <v>0.15101709999999999</v>
      </c>
      <c r="AA5823">
        <v>0.97930459999999997</v>
      </c>
      <c r="AB5823">
        <v>8</v>
      </c>
      <c r="AC5823">
        <v>-0.53289999999998305</v>
      </c>
      <c r="AD5823">
        <v>-0.149981</v>
      </c>
      <c r="AE5823">
        <v>-0.36350000000001598</v>
      </c>
      <c r="AF5823">
        <v>9.7010309327376101E-2</v>
      </c>
      <c r="AG5823">
        <v>-0.149981</v>
      </c>
      <c r="AH5823">
        <v>0.60424894867121304</v>
      </c>
      <c r="AI5823">
        <v>103.770208322697</v>
      </c>
      <c r="AJ5823">
        <v>80.879171506504903</v>
      </c>
      <c r="AK5823">
        <v>0.63009689131677205</v>
      </c>
      <c r="AL5823">
        <v>89.7561995409433</v>
      </c>
      <c r="AM5823">
        <v>78.235480914629704</v>
      </c>
      <c r="AN5823">
        <v>1.0000000263565401</v>
      </c>
    </row>
    <row r="5824" spans="1:40" x14ac:dyDescent="0.25">
      <c r="A5824" t="str">
        <f>"20190312154038167"</f>
        <v>20190312154038167</v>
      </c>
      <c r="B5824" t="str">
        <f>"1552376438162194"</f>
        <v>1552376438162194</v>
      </c>
      <c r="C5824" t="s">
        <v>40</v>
      </c>
      <c r="D5824">
        <v>4.1635179999999998</v>
      </c>
      <c r="E5824">
        <v>0.48010599999999998</v>
      </c>
      <c r="F5824" t="s">
        <v>41</v>
      </c>
      <c r="G5824">
        <v>-200.35059999999999</v>
      </c>
      <c r="H5824">
        <v>0.95920430000000001</v>
      </c>
      <c r="I5824">
        <v>145.21539999999999</v>
      </c>
      <c r="J5824">
        <v>-199.8004</v>
      </c>
      <c r="K5824">
        <v>1.1091850000000001</v>
      </c>
      <c r="L5824">
        <v>145.58920000000001</v>
      </c>
      <c r="M5824">
        <v>-0.72815669999999899</v>
      </c>
      <c r="N5824">
        <v>0</v>
      </c>
      <c r="O5824">
        <v>-0.685303199999999</v>
      </c>
      <c r="P5824">
        <v>-0.85264869999999904</v>
      </c>
      <c r="Q5824">
        <v>-7.5491580000000003E-3</v>
      </c>
      <c r="R5824">
        <v>-0.52243050000000002</v>
      </c>
      <c r="S5824">
        <v>-2.4694980000000002</v>
      </c>
      <c r="T5824">
        <v>-0.6290869</v>
      </c>
      <c r="U5824">
        <v>-1.702499</v>
      </c>
      <c r="V5824">
        <v>0.20393600000000001</v>
      </c>
      <c r="W5824">
        <v>3.8803169999999999E-3</v>
      </c>
      <c r="X5824">
        <v>0.97897650000000003</v>
      </c>
      <c r="Y5824">
        <v>0.1370247</v>
      </c>
      <c r="Z5824">
        <v>0.1519016</v>
      </c>
      <c r="AA5824">
        <v>0.97885140000000004</v>
      </c>
      <c r="AB5824">
        <v>8</v>
      </c>
      <c r="AC5824">
        <v>-0.55019999999998903</v>
      </c>
      <c r="AD5824">
        <v>-0.14998069999999999</v>
      </c>
      <c r="AE5824">
        <v>-0.37380000000001701</v>
      </c>
      <c r="AF5824">
        <v>9.9802558683633399E-2</v>
      </c>
      <c r="AG5824">
        <v>-0.14998069999999999</v>
      </c>
      <c r="AH5824">
        <v>0.62506777318483797</v>
      </c>
      <c r="AI5824">
        <v>103.329943755304</v>
      </c>
      <c r="AJ5824">
        <v>80.928339582936104</v>
      </c>
      <c r="AK5824">
        <v>0.65051093931350701</v>
      </c>
      <c r="AL5824">
        <v>89.777673647743995</v>
      </c>
      <c r="AM5824">
        <v>78.232689169968495</v>
      </c>
      <c r="AN5824">
        <v>0.99999996825413395</v>
      </c>
    </row>
    <row r="5825" spans="1:40" x14ac:dyDescent="0.25">
      <c r="A5825" t="str">
        <f>"20190312154038185"</f>
        <v>20190312154038185</v>
      </c>
      <c r="B5825" t="str">
        <f>"1552376438171954"</f>
        <v>1552376438171954</v>
      </c>
      <c r="C5825" t="s">
        <v>40</v>
      </c>
      <c r="D5825">
        <v>4.1273809999999997</v>
      </c>
      <c r="E5825">
        <v>0.4802786</v>
      </c>
      <c r="F5825" t="s">
        <v>41</v>
      </c>
      <c r="G5825">
        <v>-200.40469999999999</v>
      </c>
      <c r="H5825">
        <v>0.9544089</v>
      </c>
      <c r="I5825">
        <v>145.1756</v>
      </c>
      <c r="J5825">
        <v>-199.84970000000001</v>
      </c>
      <c r="K5825">
        <v>1.109164</v>
      </c>
      <c r="L5825">
        <v>145.54849999999999</v>
      </c>
      <c r="M5825">
        <v>-0.73056569999999899</v>
      </c>
      <c r="N5825">
        <v>0</v>
      </c>
      <c r="O5825">
        <v>-0.68273450000000002</v>
      </c>
      <c r="P5825">
        <v>-0.85444339999999996</v>
      </c>
      <c r="Q5825">
        <v>-8.8071009999999995E-3</v>
      </c>
      <c r="R5825">
        <v>-0.51947049999999995</v>
      </c>
      <c r="S5825">
        <v>-2.4750519999999998</v>
      </c>
      <c r="T5825">
        <v>-0.63356539999999995</v>
      </c>
      <c r="U5825">
        <v>-1.6937709999999999</v>
      </c>
      <c r="V5825">
        <v>0.20387259999999999</v>
      </c>
      <c r="W5825">
        <v>2.6133670000000001E-3</v>
      </c>
      <c r="X5825">
        <v>0.97899400000000003</v>
      </c>
      <c r="Y5825">
        <v>0.13676189999999999</v>
      </c>
      <c r="Z5825">
        <v>0.152453799999999</v>
      </c>
      <c r="AA5825">
        <v>0.97880230000000001</v>
      </c>
      <c r="AB5825">
        <v>8</v>
      </c>
      <c r="AC5825">
        <v>-0.55499999999997796</v>
      </c>
      <c r="AD5825">
        <v>-0.15475510000000001</v>
      </c>
      <c r="AE5825">
        <v>-0.37289999999998702</v>
      </c>
      <c r="AF5825">
        <v>0.10108274646480001</v>
      </c>
      <c r="AG5825">
        <v>-0.15475510000000001</v>
      </c>
      <c r="AH5825">
        <v>0.62654172241772799</v>
      </c>
      <c r="AI5825">
        <v>103.703895542436</v>
      </c>
      <c r="AJ5825">
        <v>80.835190341488399</v>
      </c>
      <c r="AK5825">
        <v>0.65323915416870904</v>
      </c>
      <c r="AL5825">
        <v>89.850264939031106</v>
      </c>
      <c r="AM5825">
        <v>78.236449876238595</v>
      </c>
      <c r="AN5825">
        <v>1.0000000593769101</v>
      </c>
    </row>
    <row r="5826" spans="1:40" x14ac:dyDescent="0.25">
      <c r="A5826" t="str">
        <f>"20190312154038199"</f>
        <v>20190312154038199</v>
      </c>
      <c r="B5826" t="str">
        <f>"1552376438191475"</f>
        <v>1552376438191475</v>
      </c>
      <c r="C5826" t="s">
        <v>40</v>
      </c>
      <c r="D5826">
        <v>4.1423370000000004</v>
      </c>
      <c r="E5826">
        <v>0.48056500000000002</v>
      </c>
      <c r="F5826" t="s">
        <v>41</v>
      </c>
      <c r="G5826">
        <v>-200.45939999999999</v>
      </c>
      <c r="H5826">
        <v>0.95211979999999996</v>
      </c>
      <c r="I5826">
        <v>145.13470000000001</v>
      </c>
      <c r="J5826">
        <v>-199.88919999999999</v>
      </c>
      <c r="K5826">
        <v>1.1091489999999999</v>
      </c>
      <c r="L5826">
        <v>145.51609999999999</v>
      </c>
      <c r="M5826">
        <v>-0.7324967</v>
      </c>
      <c r="N5826">
        <v>0</v>
      </c>
      <c r="O5826">
        <v>-0.68066210000000005</v>
      </c>
      <c r="P5826">
        <v>-0.85594490000000001</v>
      </c>
      <c r="Q5826">
        <v>-9.6042750000000007E-3</v>
      </c>
      <c r="R5826">
        <v>-0.516978299999999</v>
      </c>
      <c r="S5826">
        <v>-2.4808810000000001</v>
      </c>
      <c r="T5826">
        <v>-0.63879719999999995</v>
      </c>
      <c r="U5826">
        <v>-1.683624</v>
      </c>
      <c r="V5826">
        <v>0.2039444</v>
      </c>
      <c r="W5826">
        <v>1.8070370000000001E-3</v>
      </c>
      <c r="X5826">
        <v>0.97898079999999998</v>
      </c>
      <c r="Y5826">
        <v>0.13755410000000001</v>
      </c>
      <c r="Z5826">
        <v>0.15337879999999901</v>
      </c>
      <c r="AA5826">
        <v>0.97854680000000005</v>
      </c>
      <c r="AB5826">
        <v>8</v>
      </c>
      <c r="AC5826">
        <v>-0.57019999999999904</v>
      </c>
      <c r="AD5826">
        <v>-0.15702919999999901</v>
      </c>
      <c r="AE5826">
        <v>-0.38139999999998497</v>
      </c>
      <c r="AF5826">
        <v>0.103332885495104</v>
      </c>
      <c r="AG5826">
        <v>-0.15702919999999901</v>
      </c>
      <c r="AH5826">
        <v>0.64360078825047096</v>
      </c>
      <c r="AI5826">
        <v>103.544493877009</v>
      </c>
      <c r="AJ5826">
        <v>80.878758452367293</v>
      </c>
      <c r="AK5826">
        <v>0.67049073782865298</v>
      </c>
      <c r="AL5826">
        <v>89.896464349633902</v>
      </c>
      <c r="AM5826">
        <v>78.232268243924693</v>
      </c>
      <c r="AN5826">
        <v>0.99999999522135896</v>
      </c>
    </row>
    <row r="5827" spans="1:40" x14ac:dyDescent="0.25">
      <c r="A5827" t="str">
        <f>"20190312154038219"</f>
        <v>20190312154038219</v>
      </c>
      <c r="B5827" t="str">
        <f>"1552376438211969"</f>
        <v>1552376438211969</v>
      </c>
      <c r="C5827" t="s">
        <v>40</v>
      </c>
      <c r="D5827">
        <v>4.1607510000000003</v>
      </c>
      <c r="E5827">
        <v>0.48083720000000002</v>
      </c>
      <c r="F5827" t="s">
        <v>41</v>
      </c>
      <c r="G5827">
        <v>-200.51400000000001</v>
      </c>
      <c r="H5827">
        <v>0.94743379999999999</v>
      </c>
      <c r="I5827">
        <v>145.09549999999999</v>
      </c>
      <c r="J5827">
        <v>-199.9425</v>
      </c>
      <c r="K5827">
        <v>1.109119</v>
      </c>
      <c r="L5827">
        <v>145.4727</v>
      </c>
      <c r="M5827">
        <v>-0.73509950000000002</v>
      </c>
      <c r="N5827">
        <v>0</v>
      </c>
      <c r="O5827">
        <v>-0.67785069999999903</v>
      </c>
      <c r="P5827">
        <v>-0.85812630000000001</v>
      </c>
      <c r="Q5827">
        <v>-1.0908259999999999E-2</v>
      </c>
      <c r="R5827">
        <v>-0.51332330000000004</v>
      </c>
      <c r="S5827">
        <v>-2.4866329999999999</v>
      </c>
      <c r="T5827">
        <v>-0.64375000000000004</v>
      </c>
      <c r="U5827">
        <v>-1.67395</v>
      </c>
      <c r="V5827">
        <v>0.2043547</v>
      </c>
      <c r="W5827">
        <v>4.8810640000000001E-4</v>
      </c>
      <c r="X5827">
        <v>0.97889680000000001</v>
      </c>
      <c r="Y5827">
        <v>0.13725809999999999</v>
      </c>
      <c r="Z5827">
        <v>0.153990299999999</v>
      </c>
      <c r="AA5827">
        <v>0.97849229999999998</v>
      </c>
      <c r="AB5827">
        <v>8</v>
      </c>
      <c r="AC5827">
        <v>-0.571500000000014</v>
      </c>
      <c r="AD5827">
        <v>-0.161685199999999</v>
      </c>
      <c r="AE5827">
        <v>-0.37720000000001602</v>
      </c>
      <c r="AF5827">
        <v>0.104304941050524</v>
      </c>
      <c r="AG5827">
        <v>-0.161685199999999</v>
      </c>
      <c r="AH5827">
        <v>0.64015392504032498</v>
      </c>
      <c r="AI5827">
        <v>103.997679057715</v>
      </c>
      <c r="AJ5827">
        <v>80.745705568220302</v>
      </c>
      <c r="AK5827">
        <v>0.66844496585068802</v>
      </c>
      <c r="AL5827">
        <v>89.972033562589601</v>
      </c>
      <c r="AM5827">
        <v>78.208272319162205</v>
      </c>
      <c r="AN5827">
        <v>1.0000000133550899</v>
      </c>
    </row>
    <row r="5828" spans="1:40" x14ac:dyDescent="0.25">
      <c r="A5828" t="str">
        <f>"20190312154038231"</f>
        <v>20190312154038231</v>
      </c>
      <c r="B5828" t="str">
        <f>"1552376438222086"</f>
        <v>1552376438222086</v>
      </c>
      <c r="C5828" t="s">
        <v>40</v>
      </c>
      <c r="D5828">
        <v>4.1686909999999999</v>
      </c>
      <c r="E5828">
        <v>0.48095900000000003</v>
      </c>
      <c r="F5828" t="s">
        <v>41</v>
      </c>
      <c r="G5828">
        <v>-200.5694</v>
      </c>
      <c r="H5828">
        <v>0.94555429999999996</v>
      </c>
      <c r="I5828">
        <v>145.05529999999999</v>
      </c>
      <c r="J5828">
        <v>-199.97800000000001</v>
      </c>
      <c r="K5828">
        <v>1.1091040000000001</v>
      </c>
      <c r="L5828">
        <v>145.44399999999999</v>
      </c>
      <c r="M5828">
        <v>-0.73683050000000005</v>
      </c>
      <c r="N5828">
        <v>0</v>
      </c>
      <c r="O5828">
        <v>-0.67596880000000004</v>
      </c>
      <c r="P5828">
        <v>-0.85956469999999896</v>
      </c>
      <c r="Q5828">
        <v>-1.173775E-2</v>
      </c>
      <c r="R5828">
        <v>-0.51089259999999903</v>
      </c>
      <c r="S5828">
        <v>-2.4941409999999999</v>
      </c>
      <c r="T5828">
        <v>-0.65031949999999905</v>
      </c>
      <c r="U5828">
        <v>-1.660995</v>
      </c>
      <c r="V5828">
        <v>0.2046125</v>
      </c>
      <c r="W5828">
        <v>-3.5330030000000002E-4</v>
      </c>
      <c r="X5828">
        <v>0.97884300000000002</v>
      </c>
      <c r="Y5828">
        <v>0.13930809999999999</v>
      </c>
      <c r="Z5828">
        <v>0.15535389999999999</v>
      </c>
      <c r="AA5828">
        <v>0.97798689999999999</v>
      </c>
      <c r="AB5828">
        <v>8</v>
      </c>
      <c r="AC5828">
        <v>-0.59140000000002102</v>
      </c>
      <c r="AD5828">
        <v>-0.16354969999999999</v>
      </c>
      <c r="AE5828">
        <v>-0.38869999999999999</v>
      </c>
      <c r="AF5828">
        <v>0.10762246127464201</v>
      </c>
      <c r="AG5828">
        <v>-0.16354969999999999</v>
      </c>
      <c r="AH5828">
        <v>0.66314530182693199</v>
      </c>
      <c r="AI5828">
        <v>103.68206661069</v>
      </c>
      <c r="AJ5828">
        <v>80.781785338767705</v>
      </c>
      <c r="AK5828">
        <v>0.69144254271489103</v>
      </c>
      <c r="AL5828">
        <v>90.020242616323301</v>
      </c>
      <c r="AM5828">
        <v>78.1931832508686</v>
      </c>
      <c r="AN5828">
        <v>1.00000000931317</v>
      </c>
    </row>
    <row r="5829" spans="1:40" x14ac:dyDescent="0.25">
      <c r="A5829" t="str">
        <f>"20190312154038254"</f>
        <v>20190312154038254</v>
      </c>
      <c r="B5829" t="str">
        <f>"1552376438241605"</f>
        <v>1552376438241605</v>
      </c>
      <c r="C5829" t="s">
        <v>40</v>
      </c>
      <c r="D5829">
        <v>4.1388720000000001</v>
      </c>
      <c r="E5829">
        <v>0.4812189</v>
      </c>
      <c r="F5829" t="s">
        <v>41</v>
      </c>
      <c r="G5829">
        <v>-200.57130000000001</v>
      </c>
      <c r="H5829">
        <v>0.95372970000000001</v>
      </c>
      <c r="I5829">
        <v>145.05170000000001</v>
      </c>
      <c r="J5829">
        <v>-200.036</v>
      </c>
      <c r="K5829">
        <v>1.109081</v>
      </c>
      <c r="L5829">
        <v>145.39760000000001</v>
      </c>
      <c r="M5829">
        <v>-0.73964819999999998</v>
      </c>
      <c r="N5829">
        <v>0</v>
      </c>
      <c r="O5829">
        <v>-0.67288440000000005</v>
      </c>
      <c r="P5829">
        <v>-0.86199499999999996</v>
      </c>
      <c r="Q5829">
        <v>-1.371373E-2</v>
      </c>
      <c r="R5829">
        <v>-0.5067315</v>
      </c>
      <c r="S5829">
        <v>-2.4989319999999999</v>
      </c>
      <c r="T5829">
        <v>-0.65392910000000004</v>
      </c>
      <c r="U5829">
        <v>-1.6526339999999999</v>
      </c>
      <c r="V5829">
        <v>0.20522989999999999</v>
      </c>
      <c r="W5829">
        <v>-2.3526210000000001E-3</v>
      </c>
      <c r="X5829">
        <v>0.97871090000000005</v>
      </c>
      <c r="Y5829">
        <v>0.13821629999999999</v>
      </c>
      <c r="Z5829">
        <v>0.1555193</v>
      </c>
      <c r="AA5829">
        <v>0.97811559999999997</v>
      </c>
      <c r="AB5829">
        <v>8</v>
      </c>
      <c r="AC5829">
        <v>-0.53530000000003497</v>
      </c>
      <c r="AD5829">
        <v>-0.1553513</v>
      </c>
      <c r="AE5829">
        <v>-0.34589999999999999</v>
      </c>
      <c r="AF5829">
        <v>9.8505652466434904E-2</v>
      </c>
      <c r="AG5829">
        <v>-0.1553513</v>
      </c>
      <c r="AH5829">
        <v>0.59346954498267201</v>
      </c>
      <c r="AI5829">
        <v>104.47944598896601</v>
      </c>
      <c r="AJ5829">
        <v>80.575813619927899</v>
      </c>
      <c r="AK5829">
        <v>0.62132398215541895</v>
      </c>
      <c r="AL5829">
        <v>90.134795387034899</v>
      </c>
      <c r="AM5829">
        <v>78.157008480880506</v>
      </c>
      <c r="AN5829">
        <v>0.99999993622919203</v>
      </c>
    </row>
    <row r="5830" spans="1:40" x14ac:dyDescent="0.25">
      <c r="A5830" t="str">
        <f>"20190312154038275"</f>
        <v>20190312154038275</v>
      </c>
      <c r="B5830" t="str">
        <f>"1552376438271861"</f>
        <v>1552376438271861</v>
      </c>
      <c r="C5830" t="s">
        <v>40</v>
      </c>
      <c r="D5830">
        <v>4.1440669999999997</v>
      </c>
      <c r="E5830">
        <v>0.48155199999999998</v>
      </c>
      <c r="F5830" t="s">
        <v>41</v>
      </c>
      <c r="G5830">
        <v>-200.62710000000001</v>
      </c>
      <c r="H5830">
        <v>0.95296990000000004</v>
      </c>
      <c r="I5830">
        <v>145.01130000000001</v>
      </c>
      <c r="J5830">
        <v>-200.09549999999999</v>
      </c>
      <c r="K5830">
        <v>1.109048</v>
      </c>
      <c r="L5830">
        <v>145.3503</v>
      </c>
      <c r="M5830">
        <v>-0.74253069999999999</v>
      </c>
      <c r="N5830">
        <v>0</v>
      </c>
      <c r="O5830">
        <v>-0.66970249999999998</v>
      </c>
      <c r="P5830">
        <v>-0.86421569999999903</v>
      </c>
      <c r="Q5830">
        <v>-1.515002E-2</v>
      </c>
      <c r="R5830">
        <v>-0.50289309999999998</v>
      </c>
      <c r="S5830">
        <v>-2.5067750000000002</v>
      </c>
      <c r="T5830">
        <v>-0.66211019999999998</v>
      </c>
      <c r="U5830">
        <v>-1.638123</v>
      </c>
      <c r="V5830">
        <v>0.20535970000000001</v>
      </c>
      <c r="W5830">
        <v>-3.8147670000000002E-3</v>
      </c>
      <c r="X5830">
        <v>0.97867910000000002</v>
      </c>
      <c r="Y5830">
        <v>0.1389967</v>
      </c>
      <c r="Z5830">
        <v>0.1568977</v>
      </c>
      <c r="AA5830">
        <v>0.97778480000000001</v>
      </c>
      <c r="AB5830">
        <v>8</v>
      </c>
      <c r="AC5830">
        <v>-0.53160000000002505</v>
      </c>
      <c r="AD5830">
        <v>-0.1560781</v>
      </c>
      <c r="AE5830">
        <v>-0.33899999999999803</v>
      </c>
      <c r="AF5830">
        <v>9.8280850592976698E-2</v>
      </c>
      <c r="AG5830">
        <v>-0.1560781</v>
      </c>
      <c r="AH5830">
        <v>0.58589960515280903</v>
      </c>
      <c r="AI5830">
        <v>104.72009408005</v>
      </c>
      <c r="AJ5830">
        <v>80.477657786393706</v>
      </c>
      <c r="AK5830">
        <v>0.61424575392191905</v>
      </c>
      <c r="AL5830">
        <v>90.218570585650696</v>
      </c>
      <c r="AM5830">
        <v>78.1493558079016</v>
      </c>
      <c r="AN5830">
        <v>0.99999996980408101</v>
      </c>
    </row>
    <row r="5831" spans="1:40" x14ac:dyDescent="0.25">
      <c r="A5831" t="str">
        <f>"20190312154038300"</f>
        <v>20190312154038300</v>
      </c>
      <c r="B5831" t="str">
        <f>"1552376438292357"</f>
        <v>1552376438292357</v>
      </c>
      <c r="C5831" t="s">
        <v>40</v>
      </c>
      <c r="D5831">
        <v>4.1452989999999996</v>
      </c>
      <c r="E5831">
        <v>0.48172429999999999</v>
      </c>
      <c r="F5831" t="s">
        <v>41</v>
      </c>
      <c r="G5831">
        <v>-200.68299999999999</v>
      </c>
      <c r="H5831">
        <v>0.95253460000000001</v>
      </c>
      <c r="I5831">
        <v>144.9709</v>
      </c>
      <c r="J5831">
        <v>-200.1593</v>
      </c>
      <c r="K5831">
        <v>1.1090199999999999</v>
      </c>
      <c r="L5831">
        <v>145.30000000000001</v>
      </c>
      <c r="M5831">
        <v>-0.74560649999999995</v>
      </c>
      <c r="N5831">
        <v>0</v>
      </c>
      <c r="O5831">
        <v>-0.6662766</v>
      </c>
      <c r="P5831">
        <v>-0.86672369999999899</v>
      </c>
      <c r="Q5831">
        <v>-1.6554289999999999E-2</v>
      </c>
      <c r="R5831">
        <v>-0.4985135</v>
      </c>
      <c r="S5831">
        <v>-2.514526</v>
      </c>
      <c r="T5831">
        <v>-0.66928160000000003</v>
      </c>
      <c r="U5831">
        <v>-1.6241300000000001</v>
      </c>
      <c r="V5831">
        <v>0.20578489999999999</v>
      </c>
      <c r="W5831">
        <v>-5.2527750000000003E-3</v>
      </c>
      <c r="X5831">
        <v>0.97858319999999999</v>
      </c>
      <c r="Y5831">
        <v>0.13937140000000001</v>
      </c>
      <c r="Z5831">
        <v>0.157932399999999</v>
      </c>
      <c r="AA5831">
        <v>0.97756480000000001</v>
      </c>
      <c r="AB5831">
        <v>8</v>
      </c>
      <c r="AC5831">
        <v>-0.52369999999999095</v>
      </c>
      <c r="AD5831">
        <v>-0.1564854</v>
      </c>
      <c r="AE5831">
        <v>-0.32910000000001099</v>
      </c>
      <c r="AF5831">
        <v>9.7327725916178803E-2</v>
      </c>
      <c r="AG5831">
        <v>-0.1564854</v>
      </c>
      <c r="AH5831">
        <v>0.57310664026272895</v>
      </c>
      <c r="AI5831">
        <v>105.066490341403</v>
      </c>
      <c r="AJ5831">
        <v>80.361710710417398</v>
      </c>
      <c r="AK5831">
        <v>0.60200630209193695</v>
      </c>
      <c r="AL5831">
        <v>90.300963207802695</v>
      </c>
      <c r="AM5831">
        <v>78.124384156387706</v>
      </c>
      <c r="AN5831">
        <v>1.00000004801772</v>
      </c>
    </row>
    <row r="5832" spans="1:40" x14ac:dyDescent="0.25">
      <c r="A5832" t="str">
        <f>"20190312154038319"</f>
        <v>20190312154038319</v>
      </c>
      <c r="B5832" t="str">
        <f>"1552376438311881"</f>
        <v>1552376438311881</v>
      </c>
      <c r="C5832" t="s">
        <v>40</v>
      </c>
      <c r="D5832">
        <v>4.1731319999999998</v>
      </c>
      <c r="E5832">
        <v>0.4818962</v>
      </c>
      <c r="F5832" t="s">
        <v>41</v>
      </c>
      <c r="G5832">
        <v>-200.79220000000001</v>
      </c>
      <c r="H5832">
        <v>0.93958209999999998</v>
      </c>
      <c r="I5832">
        <v>144.89619999999999</v>
      </c>
      <c r="J5832">
        <v>-200.21459999999999</v>
      </c>
      <c r="K5832">
        <v>1.1089990000000001</v>
      </c>
      <c r="L5832">
        <v>145.2569</v>
      </c>
      <c r="M5832">
        <v>-0.74825469999999905</v>
      </c>
      <c r="N5832">
        <v>0</v>
      </c>
      <c r="O5832">
        <v>-0.6633019</v>
      </c>
      <c r="P5832">
        <v>-0.86893619999999905</v>
      </c>
      <c r="Q5832">
        <v>-1.7907200000000002E-2</v>
      </c>
      <c r="R5832">
        <v>-0.4946005</v>
      </c>
      <c r="S5832">
        <v>-2.522491</v>
      </c>
      <c r="T5832">
        <v>-0.67523929999999999</v>
      </c>
      <c r="U5832">
        <v>-1.609802</v>
      </c>
      <c r="V5832">
        <v>0.2062783</v>
      </c>
      <c r="W5832">
        <v>-6.636711E-3</v>
      </c>
      <c r="X5832">
        <v>0.97847090000000003</v>
      </c>
      <c r="Y5832">
        <v>0.14052809999999999</v>
      </c>
      <c r="Z5832">
        <v>0.15883159999999999</v>
      </c>
      <c r="AA5832">
        <v>0.9772535</v>
      </c>
      <c r="AB5832">
        <v>8</v>
      </c>
      <c r="AC5832">
        <v>-0.57760000000001799</v>
      </c>
      <c r="AD5832">
        <v>-0.16941690000000001</v>
      </c>
      <c r="AE5832">
        <v>-0.36070000000000801</v>
      </c>
      <c r="AF5832">
        <v>0.106635780876062</v>
      </c>
      <c r="AG5832">
        <v>-0.16941690000000001</v>
      </c>
      <c r="AH5832">
        <v>0.632354519054111</v>
      </c>
      <c r="AI5832">
        <v>104.79855661648099</v>
      </c>
      <c r="AJ5832">
        <v>80.428100376425505</v>
      </c>
      <c r="AK5832">
        <v>0.66328388608258404</v>
      </c>
      <c r="AL5832">
        <v>90.380258305468899</v>
      </c>
      <c r="AM5832">
        <v>78.095394744032205</v>
      </c>
      <c r="AN5832">
        <v>1.00000004256529</v>
      </c>
    </row>
    <row r="5833" spans="1:40" x14ac:dyDescent="0.25">
      <c r="A5833" t="str">
        <f>"20190312154038342"</f>
        <v>20190312154038342</v>
      </c>
      <c r="B5833" t="str">
        <f>"1552376438331397"</f>
        <v>1552376438331397</v>
      </c>
      <c r="C5833" t="s">
        <v>40</v>
      </c>
      <c r="D5833">
        <v>4.2779249999999998</v>
      </c>
      <c r="E5833">
        <v>0.48210760000000003</v>
      </c>
      <c r="F5833" t="s">
        <v>41</v>
      </c>
      <c r="G5833">
        <v>-200.84829999999999</v>
      </c>
      <c r="H5833">
        <v>0.93836620000000004</v>
      </c>
      <c r="I5833">
        <v>144.8569</v>
      </c>
      <c r="J5833">
        <v>-200.27539999999999</v>
      </c>
      <c r="K5833">
        <v>1.108978</v>
      </c>
      <c r="L5833">
        <v>145.21</v>
      </c>
      <c r="M5833">
        <v>-0.75114579999999997</v>
      </c>
      <c r="N5833">
        <v>0</v>
      </c>
      <c r="O5833">
        <v>-0.66002700000000003</v>
      </c>
      <c r="P5833">
        <v>-0.87121729999999997</v>
      </c>
      <c r="Q5833">
        <v>-1.931414E-2</v>
      </c>
      <c r="R5833">
        <v>-0.49051790000000001</v>
      </c>
      <c r="S5833">
        <v>-2.5295719999999999</v>
      </c>
      <c r="T5833">
        <v>-0.68088749999999998</v>
      </c>
      <c r="U5833">
        <v>-1.5967709999999999</v>
      </c>
      <c r="V5833">
        <v>0.20657059999999999</v>
      </c>
      <c r="W5833">
        <v>-8.0796229999999993E-3</v>
      </c>
      <c r="X5833">
        <v>0.97839830000000005</v>
      </c>
      <c r="Y5833">
        <v>0.14082549999999999</v>
      </c>
      <c r="Z5833">
        <v>0.15951409999999999</v>
      </c>
      <c r="AA5833">
        <v>0.97709950000000001</v>
      </c>
      <c r="AB5833">
        <v>8</v>
      </c>
      <c r="AC5833">
        <v>-0.57290000000000396</v>
      </c>
      <c r="AD5833">
        <v>-0.17061179999999901</v>
      </c>
      <c r="AE5833">
        <v>-0.35310000000001202</v>
      </c>
      <c r="AF5833">
        <v>0.10608945814758799</v>
      </c>
      <c r="AG5833">
        <v>-0.17061179999999901</v>
      </c>
      <c r="AH5833">
        <v>0.62336965686970103</v>
      </c>
      <c r="AI5833">
        <v>105.09960563131</v>
      </c>
      <c r="AJ5833">
        <v>80.341537500615104</v>
      </c>
      <c r="AK5833">
        <v>0.65494510345153201</v>
      </c>
      <c r="AL5833">
        <v>90.462933351793396</v>
      </c>
      <c r="AM5833">
        <v>78.078148754218304</v>
      </c>
      <c r="AN5833">
        <v>0.99999996326753504</v>
      </c>
    </row>
    <row r="5834" spans="1:40" x14ac:dyDescent="0.25">
      <c r="A5834" t="str">
        <f>"20190312154038354"</f>
        <v>20190312154038354</v>
      </c>
      <c r="B5834" t="str">
        <f>"1552376438342133"</f>
        <v>1552376438342133</v>
      </c>
      <c r="C5834" t="s">
        <v>40</v>
      </c>
      <c r="D5834">
        <v>4.5405360000000003</v>
      </c>
      <c r="E5834">
        <v>0.48210760000000003</v>
      </c>
      <c r="F5834" t="s">
        <v>41</v>
      </c>
      <c r="G5834">
        <v>-200.9049</v>
      </c>
      <c r="H5834">
        <v>0.93861749999999999</v>
      </c>
      <c r="I5834">
        <v>144.81729999999999</v>
      </c>
      <c r="J5834">
        <v>-200.3117</v>
      </c>
      <c r="K5834">
        <v>1.1089659999999999</v>
      </c>
      <c r="L5834">
        <v>145.18209999999999</v>
      </c>
      <c r="M5834">
        <v>-0.75286059999999999</v>
      </c>
      <c r="N5834">
        <v>0</v>
      </c>
      <c r="O5834">
        <v>-0.6580703</v>
      </c>
      <c r="P5834">
        <v>-0.87269909999999995</v>
      </c>
      <c r="Q5834">
        <v>-2.006409E-2</v>
      </c>
      <c r="R5834">
        <v>-0.48784620000000001</v>
      </c>
      <c r="S5834">
        <v>-2.537048</v>
      </c>
      <c r="T5834">
        <v>-0.68605240000000001</v>
      </c>
      <c r="U5834">
        <v>-1.582886</v>
      </c>
      <c r="V5834">
        <v>0.20700930000000001</v>
      </c>
      <c r="W5834">
        <v>-8.8538490000000004E-3</v>
      </c>
      <c r="X5834">
        <v>0.97829889999999997</v>
      </c>
      <c r="Y5834">
        <v>0.14313979999999901</v>
      </c>
      <c r="Z5834">
        <v>0.16052949999999999</v>
      </c>
      <c r="AA5834">
        <v>0.97659680000000004</v>
      </c>
      <c r="AB5834">
        <v>8</v>
      </c>
      <c r="AC5834">
        <v>-0.59319999999999595</v>
      </c>
      <c r="AD5834">
        <v>-0.17034849999999899</v>
      </c>
      <c r="AE5834">
        <v>-0.36480000000000201</v>
      </c>
      <c r="AF5834">
        <v>0.109198083029587</v>
      </c>
      <c r="AG5834">
        <v>-0.17034849999999899</v>
      </c>
      <c r="AH5834">
        <v>0.64794008582203699</v>
      </c>
      <c r="AI5834">
        <v>104.534056871194</v>
      </c>
      <c r="AJ5834">
        <v>80.433769923126803</v>
      </c>
      <c r="AK5834">
        <v>0.67879981408708101</v>
      </c>
      <c r="AL5834">
        <v>90.507294813564698</v>
      </c>
      <c r="AM5834">
        <v>78.052377754355604</v>
      </c>
      <c r="AN5834">
        <v>0.99999998933490697</v>
      </c>
    </row>
    <row r="5835" spans="1:40" x14ac:dyDescent="0.25">
      <c r="A5835" t="str">
        <f>"20190312154038374"</f>
        <v>20190312154038374</v>
      </c>
      <c r="B5835" t="str">
        <f>"1552376438361654"</f>
        <v>1552376438361654</v>
      </c>
      <c r="C5835" t="s">
        <v>40</v>
      </c>
      <c r="D5835">
        <v>4.3480800000000004</v>
      </c>
      <c r="E5835">
        <v>0.5347326</v>
      </c>
      <c r="F5835" t="s">
        <v>41</v>
      </c>
      <c r="G5835">
        <v>-200.90690000000001</v>
      </c>
      <c r="H5835">
        <v>0.94762279999999999</v>
      </c>
      <c r="I5835">
        <v>144.8133</v>
      </c>
      <c r="J5835">
        <v>-200.36529999999999</v>
      </c>
      <c r="K5835">
        <v>1.1089420000000001</v>
      </c>
      <c r="L5835">
        <v>145.1412</v>
      </c>
      <c r="M5835">
        <v>-0.75537690000000002</v>
      </c>
      <c r="N5835">
        <v>0</v>
      </c>
      <c r="O5835">
        <v>-0.65518089999999995</v>
      </c>
      <c r="P5835">
        <v>-0.87483659999999996</v>
      </c>
      <c r="Q5835">
        <v>-2.0525640000000001E-2</v>
      </c>
      <c r="R5835">
        <v>-0.48398350000000001</v>
      </c>
      <c r="S5835">
        <v>-2.541382</v>
      </c>
      <c r="T5835">
        <v>-0.68830029999999998</v>
      </c>
      <c r="U5835">
        <v>-1.574951</v>
      </c>
      <c r="V5835">
        <v>0.2075767</v>
      </c>
      <c r="W5835">
        <v>-9.3553899999999999E-3</v>
      </c>
      <c r="X5835">
        <v>0.97817399999999999</v>
      </c>
      <c r="Y5835">
        <v>0.14226129999999901</v>
      </c>
      <c r="Z5835">
        <v>0.160382</v>
      </c>
      <c r="AA5835">
        <v>0.97674939999999999</v>
      </c>
      <c r="AB5835">
        <v>8</v>
      </c>
      <c r="AC5835">
        <v>-0.54160000000001596</v>
      </c>
      <c r="AD5835">
        <v>-0.1613192</v>
      </c>
      <c r="AE5835">
        <v>-0.32789999999999903</v>
      </c>
      <c r="AF5835">
        <v>0.100632346484194</v>
      </c>
      <c r="AG5835">
        <v>-0.1613192</v>
      </c>
      <c r="AH5835">
        <v>0.58594980436239097</v>
      </c>
      <c r="AI5835">
        <v>105.181097904426</v>
      </c>
      <c r="AJ5835">
        <v>80.254962168513302</v>
      </c>
      <c r="AK5835">
        <v>0.61602591396781303</v>
      </c>
      <c r="AL5835">
        <v>90.536032186405805</v>
      </c>
      <c r="AM5835">
        <v>78.019089450872201</v>
      </c>
      <c r="AN5835">
        <v>0.99999999199047096</v>
      </c>
    </row>
    <row r="5836" spans="1:40" x14ac:dyDescent="0.25">
      <c r="A5836" t="str">
        <f>"20190312154038387"</f>
        <v>20190312154038387</v>
      </c>
      <c r="B5836" t="str">
        <f>"1552376438382149"</f>
        <v>1552376438382149</v>
      </c>
      <c r="C5836" t="s">
        <v>40</v>
      </c>
      <c r="D5836">
        <v>4.167027</v>
      </c>
      <c r="E5836">
        <v>0.55293380000000003</v>
      </c>
      <c r="F5836" t="s">
        <v>55</v>
      </c>
      <c r="G5836">
        <v>-207.1833</v>
      </c>
      <c r="H5836" s="1">
        <v>-7.2906189999999996E-6</v>
      </c>
      <c r="I5836">
        <v>142.167</v>
      </c>
      <c r="J5836">
        <v>-200.40010000000001</v>
      </c>
      <c r="K5836">
        <v>1.1089290000000001</v>
      </c>
      <c r="L5836">
        <v>145.11490000000001</v>
      </c>
      <c r="M5836">
        <v>-0.75700149999999999</v>
      </c>
      <c r="N5836">
        <v>0</v>
      </c>
      <c r="O5836">
        <v>-0.65330359999999998</v>
      </c>
      <c r="P5836">
        <v>-0.87620489999999995</v>
      </c>
      <c r="Q5836">
        <v>-2.0575779999999998E-2</v>
      </c>
      <c r="R5836">
        <v>-0.48149920000000002</v>
      </c>
      <c r="S5836">
        <v>-2.7540589999999998</v>
      </c>
      <c r="T5836">
        <v>-0.44794349999999999</v>
      </c>
      <c r="U5836">
        <v>-1.201416</v>
      </c>
      <c r="V5836">
        <v>0.2079222</v>
      </c>
      <c r="W5836">
        <v>-9.4339330000000002E-3</v>
      </c>
      <c r="X5836">
        <v>0.97809990000000002</v>
      </c>
      <c r="Y5836">
        <v>0.28737760000000001</v>
      </c>
      <c r="Z5836">
        <v>0.1131506</v>
      </c>
      <c r="AA5836">
        <v>0.95111040000000002</v>
      </c>
      <c r="AB5836">
        <v>8</v>
      </c>
      <c r="AC5836">
        <v>-6.7831999999999901</v>
      </c>
      <c r="AD5836">
        <v>-1.1089362906189999</v>
      </c>
      <c r="AE5836">
        <v>-2.9479000000000002</v>
      </c>
      <c r="AF5836">
        <v>2.1517096867269401</v>
      </c>
      <c r="AG5836">
        <v>-1.1089362906189999</v>
      </c>
      <c r="AH5836">
        <v>6.9060191951831698</v>
      </c>
      <c r="AI5836">
        <v>98.715952722486094</v>
      </c>
      <c r="AJ5836">
        <v>72.694522892626793</v>
      </c>
      <c r="AK5836">
        <v>7.3179707157684701</v>
      </c>
      <c r="AL5836">
        <v>90.540532548338504</v>
      </c>
      <c r="AM5836">
        <v>77.998842741570996</v>
      </c>
      <c r="AN5836">
        <v>1.0000000273623399</v>
      </c>
    </row>
    <row r="5837" spans="1:40" x14ac:dyDescent="0.25">
      <c r="A5837" t="str">
        <f>"20190312154038401"</f>
        <v>20190312154038401</v>
      </c>
      <c r="B5837" t="str">
        <f>"1552376438391910"</f>
        <v>1552376438391910</v>
      </c>
      <c r="C5837" t="s">
        <v>40</v>
      </c>
      <c r="D5837">
        <v>4.2493069999999999</v>
      </c>
      <c r="E5837">
        <v>0.55939819999999996</v>
      </c>
      <c r="F5837" t="s">
        <v>55</v>
      </c>
      <c r="G5837">
        <v>-208.01499999999999</v>
      </c>
      <c r="H5837" s="1">
        <v>-6.9415130000000001E-6</v>
      </c>
      <c r="I5837">
        <v>142.24160000000001</v>
      </c>
      <c r="J5837">
        <v>-200.43899999999999</v>
      </c>
      <c r="K5837">
        <v>1.108922</v>
      </c>
      <c r="L5837">
        <v>145.0856</v>
      </c>
      <c r="M5837">
        <v>-0.75880709999999996</v>
      </c>
      <c r="N5837">
        <v>0</v>
      </c>
      <c r="O5837">
        <v>-0.65120579999999995</v>
      </c>
      <c r="P5837">
        <v>-0.87765799999999905</v>
      </c>
      <c r="Q5837">
        <v>-2.0522930000000002E-2</v>
      </c>
      <c r="R5837">
        <v>-0.47884779999999999</v>
      </c>
      <c r="S5837">
        <v>-2.82782</v>
      </c>
      <c r="T5837">
        <v>-0.41180800000000001</v>
      </c>
      <c r="U5837">
        <v>-1.0670170000000001</v>
      </c>
      <c r="V5837">
        <v>0.208173</v>
      </c>
      <c r="W5837">
        <v>-9.404595E-3</v>
      </c>
      <c r="X5837">
        <v>0.97804679999999999</v>
      </c>
      <c r="Y5837">
        <v>0.3336267</v>
      </c>
      <c r="Z5837">
        <v>0.10586619999999999</v>
      </c>
      <c r="AA5837">
        <v>0.93674199999999996</v>
      </c>
      <c r="AB5837">
        <v>8</v>
      </c>
      <c r="AC5837">
        <v>-7.5759999999999597</v>
      </c>
      <c r="AD5837">
        <v>-1.1089289415129999</v>
      </c>
      <c r="AE5837">
        <v>-2.8439999999999901</v>
      </c>
      <c r="AF5837">
        <v>2.72452223798222</v>
      </c>
      <c r="AG5837">
        <v>-1.1089289415129999</v>
      </c>
      <c r="AH5837">
        <v>7.4611813896353398</v>
      </c>
      <c r="AI5837">
        <v>97.9476787144403</v>
      </c>
      <c r="AJ5837">
        <v>69.939847370746605</v>
      </c>
      <c r="AK5837">
        <v>8.0200980387789294</v>
      </c>
      <c r="AL5837">
        <v>90.538851548390795</v>
      </c>
      <c r="AM5837">
        <v>77.984153772896804</v>
      </c>
      <c r="AN5837">
        <v>0.99999999366317605</v>
      </c>
    </row>
    <row r="5838" spans="1:40" x14ac:dyDescent="0.25">
      <c r="A5838" t="str">
        <f>"20190312154038414"</f>
        <v>20190312154038414</v>
      </c>
      <c r="B5838" t="str">
        <f>"1552376438401670"</f>
        <v>1552376438401670</v>
      </c>
      <c r="C5838" t="s">
        <v>40</v>
      </c>
      <c r="D5838">
        <v>4.3051629999999896</v>
      </c>
      <c r="E5838">
        <v>0.56460200000000005</v>
      </c>
      <c r="F5838" t="s">
        <v>55</v>
      </c>
      <c r="G5838">
        <v>-207.91890000000001</v>
      </c>
      <c r="H5838" s="1">
        <v>-7.0344970000000003E-6</v>
      </c>
      <c r="I5838">
        <v>142.4323</v>
      </c>
      <c r="J5838">
        <v>-200.4761</v>
      </c>
      <c r="K5838">
        <v>1.1089370000000001</v>
      </c>
      <c r="L5838">
        <v>145.05779999999999</v>
      </c>
      <c r="M5838">
        <v>-0.76051709999999995</v>
      </c>
      <c r="N5838">
        <v>0</v>
      </c>
      <c r="O5838">
        <v>-0.64920809999999995</v>
      </c>
      <c r="P5838">
        <v>-0.8789669</v>
      </c>
      <c r="Q5838">
        <v>-2.0068539999999999E-2</v>
      </c>
      <c r="R5838">
        <v>-0.47646050000000001</v>
      </c>
      <c r="S5838">
        <v>-2.8556210000000002</v>
      </c>
      <c r="T5838">
        <v>-0.42336240000000003</v>
      </c>
      <c r="U5838">
        <v>-1.012939</v>
      </c>
      <c r="V5838">
        <v>0.2082676</v>
      </c>
      <c r="W5838">
        <v>-8.9519119999999994E-3</v>
      </c>
      <c r="X5838">
        <v>0.97803090000000004</v>
      </c>
      <c r="Y5838">
        <v>0.34927989999999998</v>
      </c>
      <c r="Z5838">
        <v>0.1092114</v>
      </c>
      <c r="AA5838">
        <v>0.93063229999999997</v>
      </c>
      <c r="AB5838">
        <v>8</v>
      </c>
      <c r="AC5838">
        <v>-7.4428000000000001</v>
      </c>
      <c r="AD5838">
        <v>-1.1089440344970001</v>
      </c>
      <c r="AE5838">
        <v>-2.6254999999999802</v>
      </c>
      <c r="AF5838">
        <v>2.7804954677159199</v>
      </c>
      <c r="AG5838">
        <v>-1.1089440344970001</v>
      </c>
      <c r="AH5838">
        <v>7.2227985656472002</v>
      </c>
      <c r="AI5838">
        <v>98.154043226116499</v>
      </c>
      <c r="AJ5838">
        <v>68.945242522596601</v>
      </c>
      <c r="AK5838">
        <v>7.8185504434997801</v>
      </c>
      <c r="AL5838">
        <v>90.512913634227004</v>
      </c>
      <c r="AM5838">
        <v>77.978662473268898</v>
      </c>
      <c r="AN5838">
        <v>0.99999998564651205</v>
      </c>
    </row>
    <row r="5839" spans="1:40" x14ac:dyDescent="0.25">
      <c r="A5839" t="str">
        <f>"20190312154038431"</f>
        <v>20190312154038431</v>
      </c>
      <c r="B5839" t="str">
        <f>"1552376438422165"</f>
        <v>1552376438422165</v>
      </c>
      <c r="C5839" t="s">
        <v>40</v>
      </c>
      <c r="D5839">
        <v>4.3023439999999997</v>
      </c>
      <c r="E5839">
        <v>0.57157819999999904</v>
      </c>
      <c r="F5839" t="s">
        <v>55</v>
      </c>
      <c r="G5839">
        <v>-208.2593</v>
      </c>
      <c r="H5839" s="1">
        <v>-6.8850290000000003E-6</v>
      </c>
      <c r="I5839">
        <v>142.43799999999999</v>
      </c>
      <c r="J5839">
        <v>-200.5248</v>
      </c>
      <c r="K5839">
        <v>1.1087849999999999</v>
      </c>
      <c r="L5839">
        <v>145.02160000000001</v>
      </c>
      <c r="M5839">
        <v>-0.76283339999999999</v>
      </c>
      <c r="N5839">
        <v>0</v>
      </c>
      <c r="O5839">
        <v>-0.64649239999999997</v>
      </c>
      <c r="P5839">
        <v>-0.88050599999999901</v>
      </c>
      <c r="Q5839">
        <v>-1.8889059999999999E-2</v>
      </c>
      <c r="R5839">
        <v>-0.473659</v>
      </c>
      <c r="S5839">
        <v>-2.8785400000000001</v>
      </c>
      <c r="T5839">
        <v>-0.41013040000000001</v>
      </c>
      <c r="U5839">
        <v>-0.96888730000000001</v>
      </c>
      <c r="V5839">
        <v>0.20790910000000001</v>
      </c>
      <c r="W5839">
        <v>-8.186423E-3</v>
      </c>
      <c r="X5839">
        <v>0.97811389999999998</v>
      </c>
      <c r="Y5839">
        <v>0.36147230000000002</v>
      </c>
      <c r="Z5839">
        <v>0.1059746</v>
      </c>
      <c r="AA5839">
        <v>0.92634079999999996</v>
      </c>
      <c r="AB5839">
        <v>8</v>
      </c>
      <c r="AC5839">
        <v>-7.7344999999999899</v>
      </c>
      <c r="AD5839">
        <v>-1.1087918850289999</v>
      </c>
      <c r="AE5839">
        <v>-2.5836000000000099</v>
      </c>
      <c r="AF5839">
        <v>2.9746443870714798</v>
      </c>
      <c r="AG5839">
        <v>-1.1087918850289999</v>
      </c>
      <c r="AH5839">
        <v>7.43348353488014</v>
      </c>
      <c r="AI5839">
        <v>97.884471158146098</v>
      </c>
      <c r="AJ5839">
        <v>68.190278714646197</v>
      </c>
      <c r="AK5839">
        <v>8.0829825025899993</v>
      </c>
      <c r="AL5839">
        <v>90.469052723441393</v>
      </c>
      <c r="AM5839">
        <v>77.999743731779105</v>
      </c>
      <c r="AN5839">
        <v>1.00000000637877</v>
      </c>
    </row>
    <row r="5840" spans="1:40" x14ac:dyDescent="0.25">
      <c r="A5840" t="str">
        <f>"20190312154038453"</f>
        <v>20190312154038453</v>
      </c>
      <c r="B5840" t="str">
        <f>"1552376438441685"</f>
        <v>1552376438441685</v>
      </c>
      <c r="C5840" t="s">
        <v>40</v>
      </c>
      <c r="D5840">
        <v>4.2883959999999997</v>
      </c>
      <c r="E5840">
        <v>0.57536639999999994</v>
      </c>
      <c r="F5840" t="s">
        <v>55</v>
      </c>
      <c r="G5840">
        <v>-208.78880000000001</v>
      </c>
      <c r="H5840" s="1">
        <v>-6.6489009999999901E-6</v>
      </c>
      <c r="I5840">
        <v>142.43289999999999</v>
      </c>
      <c r="J5840">
        <v>-200.58770000000001</v>
      </c>
      <c r="K5840">
        <v>1.1084780000000001</v>
      </c>
      <c r="L5840">
        <v>144.9752</v>
      </c>
      <c r="M5840">
        <v>-0.76589589999999996</v>
      </c>
      <c r="N5840">
        <v>0</v>
      </c>
      <c r="O5840">
        <v>-0.64287530000000004</v>
      </c>
      <c r="P5840">
        <v>-0.88218529999999995</v>
      </c>
      <c r="Q5840">
        <v>-1.7043829999999999E-2</v>
      </c>
      <c r="R5840">
        <v>-0.47059410000000002</v>
      </c>
      <c r="S5840">
        <v>-2.9086460000000001</v>
      </c>
      <c r="T5840">
        <v>-0.39025949999999998</v>
      </c>
      <c r="U5840">
        <v>-0.91111759999999997</v>
      </c>
      <c r="V5840">
        <v>0.20669979999999999</v>
      </c>
      <c r="W5840">
        <v>-7.1956959999999997E-3</v>
      </c>
      <c r="X5840">
        <v>0.97837790000000002</v>
      </c>
      <c r="Y5840">
        <v>0.37730000000000002</v>
      </c>
      <c r="Z5840">
        <v>0.1010201</v>
      </c>
      <c r="AA5840">
        <v>0.92056479999999996</v>
      </c>
      <c r="AB5840">
        <v>8</v>
      </c>
      <c r="AC5840">
        <v>-8.2010999999999896</v>
      </c>
      <c r="AD5840">
        <v>-1.1084846489010001</v>
      </c>
      <c r="AE5840">
        <v>-2.5423000000000102</v>
      </c>
      <c r="AF5840">
        <v>3.2708224889788902</v>
      </c>
      <c r="AG5840">
        <v>-1.1084846489010001</v>
      </c>
      <c r="AH5840">
        <v>7.7862491743795301</v>
      </c>
      <c r="AI5840">
        <v>97.477545802691694</v>
      </c>
      <c r="AJ5840">
        <v>67.213854806113702</v>
      </c>
      <c r="AK5840">
        <v>8.5177869295249007</v>
      </c>
      <c r="AL5840">
        <v>90.412286589907097</v>
      </c>
      <c r="AM5840">
        <v>78.070664163111601</v>
      </c>
      <c r="AN5840">
        <v>0.99999995028468502</v>
      </c>
    </row>
    <row r="5841" spans="1:40" x14ac:dyDescent="0.25">
      <c r="A5841" t="str">
        <f>"20190312154038469"</f>
        <v>20190312154038469</v>
      </c>
      <c r="B5841" t="str">
        <f>"1552376438462181"</f>
        <v>1552376438462181</v>
      </c>
      <c r="C5841" t="s">
        <v>40</v>
      </c>
      <c r="D5841">
        <v>4.2627470000000001</v>
      </c>
      <c r="E5841">
        <v>0.57827530000000005</v>
      </c>
      <c r="F5841" t="s">
        <v>55</v>
      </c>
      <c r="G5841">
        <v>-209.2715</v>
      </c>
      <c r="H5841" s="1">
        <v>-6.4206760000000004E-6</v>
      </c>
      <c r="I5841">
        <v>142.3794</v>
      </c>
      <c r="J5841">
        <v>-200.63249999999999</v>
      </c>
      <c r="K5841">
        <v>1.1082689999999999</v>
      </c>
      <c r="L5841">
        <v>144.9425</v>
      </c>
      <c r="M5841">
        <v>-0.76808799999999999</v>
      </c>
      <c r="N5841">
        <v>0</v>
      </c>
      <c r="O5841">
        <v>-0.64026470000000002</v>
      </c>
      <c r="P5841">
        <v>-0.8833974</v>
      </c>
      <c r="Q5841">
        <v>-1.5891499999999999E-2</v>
      </c>
      <c r="R5841">
        <v>-0.46835549999999998</v>
      </c>
      <c r="S5841">
        <v>-2.9267430000000001</v>
      </c>
      <c r="T5841">
        <v>-0.37359730000000002</v>
      </c>
      <c r="U5841">
        <v>-0.87486269999999999</v>
      </c>
      <c r="V5841">
        <v>0.20585980000000001</v>
      </c>
      <c r="W5841">
        <v>-6.6796690000000001E-3</v>
      </c>
      <c r="X5841">
        <v>0.9785587</v>
      </c>
      <c r="Y5841">
        <v>0.38678489999999999</v>
      </c>
      <c r="Z5841">
        <v>9.6773869999999998E-2</v>
      </c>
      <c r="AA5841">
        <v>0.91707810000000001</v>
      </c>
      <c r="AB5841">
        <v>8</v>
      </c>
      <c r="AC5841">
        <v>-8.63900000000001</v>
      </c>
      <c r="AD5841">
        <v>-1.1082754206759999</v>
      </c>
      <c r="AE5841">
        <v>-2.5630999999999902</v>
      </c>
      <c r="AF5841">
        <v>3.5096542654173302</v>
      </c>
      <c r="AG5841">
        <v>-1.1082754206759999</v>
      </c>
      <c r="AH5841">
        <v>8.1536626641350196</v>
      </c>
      <c r="AI5841">
        <v>97.116494931328802</v>
      </c>
      <c r="AJ5841">
        <v>66.711071568027606</v>
      </c>
      <c r="AK5841">
        <v>8.9458460925362502</v>
      </c>
      <c r="AL5841">
        <v>90.382719687433706</v>
      </c>
      <c r="AM5841">
        <v>78.119895580020199</v>
      </c>
      <c r="AN5841">
        <v>1.0000000022898301</v>
      </c>
    </row>
    <row r="5842" spans="1:40" x14ac:dyDescent="0.25">
      <c r="A5842" t="str">
        <f>"20190312154038488"</f>
        <v>20190312154038488</v>
      </c>
      <c r="B5842" t="str">
        <f>"1552376438481701"</f>
        <v>1552376438481701</v>
      </c>
      <c r="C5842" t="s">
        <v>40</v>
      </c>
      <c r="D5842">
        <v>4.2457659999999997</v>
      </c>
      <c r="E5842">
        <v>0.58009650000000001</v>
      </c>
      <c r="F5842" t="s">
        <v>55</v>
      </c>
      <c r="G5842">
        <v>-209.6395</v>
      </c>
      <c r="H5842" s="1">
        <v>-6.2489499999999997E-6</v>
      </c>
      <c r="I5842">
        <v>142.34710000000001</v>
      </c>
      <c r="J5842">
        <v>-200.69390000000001</v>
      </c>
      <c r="K5842">
        <v>1.108066</v>
      </c>
      <c r="L5842">
        <v>144.8981</v>
      </c>
      <c r="M5842">
        <v>-0.77106109999999894</v>
      </c>
      <c r="N5842">
        <v>0</v>
      </c>
      <c r="O5842">
        <v>-0.63669249999999999</v>
      </c>
      <c r="P5842">
        <v>-0.88497139999999996</v>
      </c>
      <c r="Q5842">
        <v>-1.3889469999999999E-2</v>
      </c>
      <c r="R5842">
        <v>-0.46543869999999998</v>
      </c>
      <c r="S5842">
        <v>-2.940277</v>
      </c>
      <c r="T5842">
        <v>-0.36178589999999999</v>
      </c>
      <c r="U5842">
        <v>-0.84725949999999906</v>
      </c>
      <c r="V5842">
        <v>0.2045643</v>
      </c>
      <c r="W5842">
        <v>-5.4373919999999897E-3</v>
      </c>
      <c r="X5842">
        <v>0.97883799999999999</v>
      </c>
      <c r="Y5842">
        <v>0.39201979999999997</v>
      </c>
      <c r="Z5842">
        <v>9.3503069999999994E-2</v>
      </c>
      <c r="AA5842">
        <v>0.91519269999999997</v>
      </c>
      <c r="AB5842">
        <v>8</v>
      </c>
      <c r="AC5842">
        <v>-8.9455999999999793</v>
      </c>
      <c r="AD5842">
        <v>-1.1080722489499999</v>
      </c>
      <c r="AE5842">
        <v>-2.5509999999999802</v>
      </c>
      <c r="AF5842">
        <v>3.6766138136697402</v>
      </c>
      <c r="AG5842">
        <v>-1.1080722489499999</v>
      </c>
      <c r="AH5842">
        <v>8.4029469542338298</v>
      </c>
      <c r="AI5842">
        <v>96.888480137448198</v>
      </c>
      <c r="AJ5842">
        <v>66.368765029293002</v>
      </c>
      <c r="AK5842">
        <v>9.2387678160795801</v>
      </c>
      <c r="AL5842">
        <v>90.311541156353897</v>
      </c>
      <c r="AM5842">
        <v>78.1958279012144</v>
      </c>
      <c r="AN5842">
        <v>0.99999997415512498</v>
      </c>
    </row>
    <row r="5843" spans="1:40" x14ac:dyDescent="0.25">
      <c r="A5843" t="str">
        <f>"20190312154038510"</f>
        <v>20190312154038510</v>
      </c>
      <c r="B5843" t="str">
        <f>"1552376438502197"</f>
        <v>1552376438502197</v>
      </c>
      <c r="C5843" t="s">
        <v>40</v>
      </c>
      <c r="D5843">
        <v>4.1489929999999999</v>
      </c>
      <c r="E5843">
        <v>0.58152680000000001</v>
      </c>
      <c r="F5843" t="s">
        <v>55</v>
      </c>
      <c r="G5843">
        <v>-209.95650000000001</v>
      </c>
      <c r="H5843" s="1">
        <v>-6.098103E-6</v>
      </c>
      <c r="I5843">
        <v>142.3081</v>
      </c>
      <c r="J5843">
        <v>-200.75909999999999</v>
      </c>
      <c r="K5843">
        <v>1.107952</v>
      </c>
      <c r="L5843">
        <v>144.85159999999999</v>
      </c>
      <c r="M5843">
        <v>-0.77412429999999999</v>
      </c>
      <c r="N5843">
        <v>0</v>
      </c>
      <c r="O5843">
        <v>-0.63297340000000002</v>
      </c>
      <c r="P5843">
        <v>-0.88674549999999996</v>
      </c>
      <c r="Q5843">
        <v>-1.2215709999999999E-2</v>
      </c>
      <c r="R5843">
        <v>-0.46209679999999997</v>
      </c>
      <c r="S5843">
        <v>-2.9504999999999999</v>
      </c>
      <c r="T5843">
        <v>-0.35296490000000003</v>
      </c>
      <c r="U5843">
        <v>-0.82504270000000002</v>
      </c>
      <c r="V5843">
        <v>0.2035593</v>
      </c>
      <c r="W5843">
        <v>-4.3872290000000003E-3</v>
      </c>
      <c r="X5843">
        <v>0.97905279999999995</v>
      </c>
      <c r="Y5843">
        <v>0.39513799999999999</v>
      </c>
      <c r="Z5843">
        <v>9.0934150000000005E-2</v>
      </c>
      <c r="AA5843">
        <v>0.91410990000000003</v>
      </c>
      <c r="AB5843">
        <v>8</v>
      </c>
      <c r="AC5843">
        <v>-9.1974000000000107</v>
      </c>
      <c r="AD5843">
        <v>-1.1079580981029999</v>
      </c>
      <c r="AE5843">
        <v>-2.5434999999999901</v>
      </c>
      <c r="AF5843">
        <v>3.8016228359288999</v>
      </c>
      <c r="AG5843">
        <v>-1.1079580981029999</v>
      </c>
      <c r="AH5843">
        <v>8.6141075245699792</v>
      </c>
      <c r="AI5843">
        <v>96.711217713481602</v>
      </c>
      <c r="AJ5843">
        <v>66.186923074298903</v>
      </c>
      <c r="AK5843">
        <v>9.4806516536924494</v>
      </c>
      <c r="AL5843">
        <v>90.251370509136393</v>
      </c>
      <c r="AM5843">
        <v>78.254710652383693</v>
      </c>
      <c r="AN5843">
        <v>1.0000000107913101</v>
      </c>
    </row>
    <row r="5844" spans="1:40" x14ac:dyDescent="0.25">
      <c r="A5844" t="str">
        <f>"20190312154038532"</f>
        <v>20190312154038532</v>
      </c>
      <c r="B5844" t="str">
        <f>"1552376438521721"</f>
        <v>1552376438521721</v>
      </c>
      <c r="C5844" t="s">
        <v>40</v>
      </c>
      <c r="D5844">
        <v>4.2105839999999999</v>
      </c>
      <c r="E5844">
        <v>0.58228769999999996</v>
      </c>
      <c r="F5844" t="s">
        <v>42</v>
      </c>
      <c r="G5844">
        <v>-210.2362</v>
      </c>
      <c r="H5844" s="1">
        <v>-5.0923719999999998E-6</v>
      </c>
      <c r="I5844">
        <v>142.27600000000001</v>
      </c>
      <c r="J5844">
        <v>-200.8329</v>
      </c>
      <c r="K5844">
        <v>1.1079129999999999</v>
      </c>
      <c r="L5844">
        <v>144.79939999999999</v>
      </c>
      <c r="M5844">
        <v>-0.77747200000000005</v>
      </c>
      <c r="N5844">
        <v>0</v>
      </c>
      <c r="O5844">
        <v>-0.6288648</v>
      </c>
      <c r="P5844">
        <v>-0.88899059999999896</v>
      </c>
      <c r="Q5844">
        <v>-1.154909E-2</v>
      </c>
      <c r="R5844">
        <v>-0.45778020000000003</v>
      </c>
      <c r="S5844">
        <v>-2.9593050000000001</v>
      </c>
      <c r="T5844">
        <v>-0.34597030000000001</v>
      </c>
      <c r="U5844">
        <v>-0.80426030000000004</v>
      </c>
      <c r="V5844">
        <v>0.2031366</v>
      </c>
      <c r="W5844">
        <v>-4.2774980000000002E-3</v>
      </c>
      <c r="X5844">
        <v>0.97914109999999999</v>
      </c>
      <c r="Y5844">
        <v>0.39720739999999999</v>
      </c>
      <c r="Z5844">
        <v>8.8780429999999994E-2</v>
      </c>
      <c r="AA5844">
        <v>0.91342449999999997</v>
      </c>
      <c r="AB5844">
        <v>8</v>
      </c>
      <c r="AC5844">
        <v>-9.4032999999999998</v>
      </c>
      <c r="AD5844">
        <v>-1.107918092372</v>
      </c>
      <c r="AE5844">
        <v>-2.5233999999999801</v>
      </c>
      <c r="AF5844">
        <v>3.9011445719198998</v>
      </c>
      <c r="AG5844">
        <v>-1.107918092372</v>
      </c>
      <c r="AH5844">
        <v>8.7842233740899704</v>
      </c>
      <c r="AI5844">
        <v>96.575446386388606</v>
      </c>
      <c r="AJ5844">
        <v>66.053606394788304</v>
      </c>
      <c r="AK5844">
        <v>9.6751739910109098</v>
      </c>
      <c r="AL5844">
        <v>90.245083321210402</v>
      </c>
      <c r="AM5844">
        <v>78.279452574549396</v>
      </c>
      <c r="AN5844">
        <v>1.0000000344789499</v>
      </c>
    </row>
    <row r="5845" spans="1:40" x14ac:dyDescent="0.25">
      <c r="A5845" t="str">
        <f>"20190312154038555"</f>
        <v>20190312154038555</v>
      </c>
      <c r="B5845" t="str">
        <f>"1552376438542214"</f>
        <v>1552376438542214</v>
      </c>
      <c r="C5845" t="s">
        <v>40</v>
      </c>
      <c r="D5845">
        <v>4.2092260000000001</v>
      </c>
      <c r="E5845">
        <v>0.5832311</v>
      </c>
      <c r="F5845" t="s">
        <v>42</v>
      </c>
      <c r="G5845">
        <v>-210.3879</v>
      </c>
      <c r="H5845" s="1">
        <v>-5.0334869999999996E-6</v>
      </c>
      <c r="I5845">
        <v>142.27250000000001</v>
      </c>
      <c r="J5845">
        <v>-200.90180000000001</v>
      </c>
      <c r="K5845">
        <v>1.10792</v>
      </c>
      <c r="L5845">
        <v>144.75120000000001</v>
      </c>
      <c r="M5845">
        <v>-0.78051470000000001</v>
      </c>
      <c r="N5845">
        <v>0</v>
      </c>
      <c r="O5845">
        <v>-0.62509049999999999</v>
      </c>
      <c r="P5845">
        <v>-0.89106700000000005</v>
      </c>
      <c r="Q5845">
        <v>-1.124931E-2</v>
      </c>
      <c r="R5845">
        <v>-0.45373269999999999</v>
      </c>
      <c r="S5845">
        <v>-2.966202</v>
      </c>
      <c r="T5845">
        <v>-0.3439372</v>
      </c>
      <c r="U5845">
        <v>-0.78445430000000005</v>
      </c>
      <c r="V5845">
        <v>0.20284440000000001</v>
      </c>
      <c r="W5845">
        <v>-4.4222940000000002E-3</v>
      </c>
      <c r="X5845">
        <v>0.97920099999999999</v>
      </c>
      <c r="Y5845">
        <v>0.39907690000000001</v>
      </c>
      <c r="Z5845">
        <v>8.7961860000000003E-2</v>
      </c>
      <c r="AA5845">
        <v>0.91268850000000001</v>
      </c>
      <c r="AB5845">
        <v>8</v>
      </c>
      <c r="AC5845">
        <v>-9.4860999999999898</v>
      </c>
      <c r="AD5845">
        <v>-1.1079250334870001</v>
      </c>
      <c r="AE5845">
        <v>-2.4786999999999999</v>
      </c>
      <c r="AF5845">
        <v>3.94475527733987</v>
      </c>
      <c r="AG5845">
        <v>-1.1079250334870001</v>
      </c>
      <c r="AH5845">
        <v>8.8408252567482695</v>
      </c>
      <c r="AI5845">
        <v>96.528727366574202</v>
      </c>
      <c r="AJ5845">
        <v>65.9536845865332</v>
      </c>
      <c r="AK5845">
        <v>9.7441666292344404</v>
      </c>
      <c r="AL5845">
        <v>90.253379607126305</v>
      </c>
      <c r="AM5845">
        <v>78.296542676613399</v>
      </c>
      <c r="AN5845">
        <v>1.00000000284829</v>
      </c>
    </row>
    <row r="5846" spans="1:40" x14ac:dyDescent="0.25">
      <c r="A5846" t="str">
        <f>"20190312154038568"</f>
        <v>20190312154038568</v>
      </c>
      <c r="B5846" t="str">
        <f>"1552376438561734"</f>
        <v>1552376438561734</v>
      </c>
      <c r="C5846" t="s">
        <v>40</v>
      </c>
      <c r="D5846">
        <v>4.2311209999999999</v>
      </c>
      <c r="E5846">
        <v>0.58372729999999995</v>
      </c>
      <c r="F5846" t="s">
        <v>42</v>
      </c>
      <c r="G5846">
        <v>-210.52789999999999</v>
      </c>
      <c r="H5846" s="1">
        <v>-4.98065999999999E-6</v>
      </c>
      <c r="I5846">
        <v>142.27780000000001</v>
      </c>
      <c r="J5846">
        <v>-200.94919999999999</v>
      </c>
      <c r="K5846">
        <v>1.1079300000000001</v>
      </c>
      <c r="L5846">
        <v>144.7183</v>
      </c>
      <c r="M5846">
        <v>-0.78258589999999995</v>
      </c>
      <c r="N5846">
        <v>0</v>
      </c>
      <c r="O5846">
        <v>-0.62249880000000002</v>
      </c>
      <c r="P5846">
        <v>-0.89251849999999999</v>
      </c>
      <c r="Q5846">
        <v>-1.060705E-2</v>
      </c>
      <c r="R5846">
        <v>-0.45088640000000002</v>
      </c>
      <c r="S5846">
        <v>-2.9734039999999999</v>
      </c>
      <c r="T5846">
        <v>-0.3422248</v>
      </c>
      <c r="U5846">
        <v>-0.76400760000000001</v>
      </c>
      <c r="V5846">
        <v>0.2027274</v>
      </c>
      <c r="W5846">
        <v>-4.0553840000000004E-3</v>
      </c>
      <c r="X5846">
        <v>0.97922679999999995</v>
      </c>
      <c r="Y5846">
        <v>0.4025205</v>
      </c>
      <c r="Z5846">
        <v>8.7408029999999998E-2</v>
      </c>
      <c r="AA5846">
        <v>0.91122829999999999</v>
      </c>
      <c r="AB5846">
        <v>9</v>
      </c>
      <c r="AC5846">
        <v>-9.5786999999999907</v>
      </c>
      <c r="AD5846">
        <v>-1.1079349806599901</v>
      </c>
      <c r="AE5846">
        <v>-2.4404999999999801</v>
      </c>
      <c r="AF5846">
        <v>4.0026527652797697</v>
      </c>
      <c r="AG5846">
        <v>-1.1079349806599901</v>
      </c>
      <c r="AH5846">
        <v>8.9037501485397392</v>
      </c>
      <c r="AI5846">
        <v>96.475013150552499</v>
      </c>
      <c r="AJ5846">
        <v>65.793850039490394</v>
      </c>
      <c r="AK5846">
        <v>9.8247399857906306</v>
      </c>
      <c r="AL5846">
        <v>90.232357027809201</v>
      </c>
      <c r="AM5846">
        <v>78.303406829075698</v>
      </c>
      <c r="AN5846">
        <v>0.99999998534419299</v>
      </c>
    </row>
    <row r="5847" spans="1:40" x14ac:dyDescent="0.25">
      <c r="A5847" t="str">
        <f>"20190312154038588"</f>
        <v>20190312154038588</v>
      </c>
      <c r="B5847" t="str">
        <f>"1552376438582229"</f>
        <v>1552376438582229</v>
      </c>
      <c r="C5847" t="s">
        <v>40</v>
      </c>
      <c r="D5847">
        <v>4.218566</v>
      </c>
      <c r="E5847">
        <v>0.58397330000000003</v>
      </c>
      <c r="F5847" t="s">
        <v>42</v>
      </c>
      <c r="G5847">
        <v>-210.60050000000001</v>
      </c>
      <c r="H5847" s="1">
        <v>-4.9539189999999996E-6</v>
      </c>
      <c r="I5847">
        <v>142.2843</v>
      </c>
      <c r="J5847">
        <v>-201.01220000000001</v>
      </c>
      <c r="K5847">
        <v>1.107939</v>
      </c>
      <c r="L5847">
        <v>144.6748</v>
      </c>
      <c r="M5847">
        <v>-0.78531669999999998</v>
      </c>
      <c r="N5847">
        <v>0</v>
      </c>
      <c r="O5847">
        <v>-0.61905469999999996</v>
      </c>
      <c r="P5847">
        <v>-0.89440209999999998</v>
      </c>
      <c r="Q5847">
        <v>-9.7854080000000006E-3</v>
      </c>
      <c r="R5847">
        <v>-0.44715739999999998</v>
      </c>
      <c r="S5847">
        <v>-2.9778289999999998</v>
      </c>
      <c r="T5847">
        <v>-0.34184360000000003</v>
      </c>
      <c r="U5847">
        <v>-0.75099179999999999</v>
      </c>
      <c r="V5847">
        <v>0.2025179</v>
      </c>
      <c r="W5847">
        <v>-3.5686749999999999E-3</v>
      </c>
      <c r="X5847">
        <v>0.97927209999999998</v>
      </c>
      <c r="Y5847">
        <v>0.40260509999999999</v>
      </c>
      <c r="Z5847">
        <v>8.6967840000000005E-2</v>
      </c>
      <c r="AA5847">
        <v>0.91123310000000002</v>
      </c>
      <c r="AB5847">
        <v>9</v>
      </c>
      <c r="AC5847">
        <v>-9.5883000000000003</v>
      </c>
      <c r="AD5847">
        <v>-1.1079439539189999</v>
      </c>
      <c r="AE5847">
        <v>-2.3904999999999998</v>
      </c>
      <c r="AF5847">
        <v>4.0080969196731102</v>
      </c>
      <c r="AG5847">
        <v>-1.1079439539189999</v>
      </c>
      <c r="AH5847">
        <v>8.8980669932872996</v>
      </c>
      <c r="AI5847">
        <v>96.477004838366298</v>
      </c>
      <c r="AJ5847">
        <v>65.751017019060995</v>
      </c>
      <c r="AK5847">
        <v>9.8218112860891207</v>
      </c>
      <c r="AL5847">
        <v>90.204470441667596</v>
      </c>
      <c r="AM5847">
        <v>78.315687302171497</v>
      </c>
      <c r="AN5847">
        <v>1.00000004055003</v>
      </c>
    </row>
    <row r="5848" spans="1:40" x14ac:dyDescent="0.25">
      <c r="A5848" t="str">
        <f>"20190312154038601"</f>
        <v>20190312154038601</v>
      </c>
      <c r="B5848" t="str">
        <f>"1552376438591990"</f>
        <v>1552376438591990</v>
      </c>
      <c r="C5848" t="s">
        <v>40</v>
      </c>
      <c r="D5848">
        <v>4.0941369999999999</v>
      </c>
      <c r="E5848">
        <v>0.58458120000000002</v>
      </c>
      <c r="F5848" t="s">
        <v>42</v>
      </c>
      <c r="G5848">
        <v>-210.4365</v>
      </c>
      <c r="H5848" s="1">
        <v>-5.028046E-6</v>
      </c>
      <c r="I5848">
        <v>142.34700000000001</v>
      </c>
      <c r="J5848">
        <v>-201.0591</v>
      </c>
      <c r="K5848">
        <v>1.107931</v>
      </c>
      <c r="L5848">
        <v>144.64250000000001</v>
      </c>
      <c r="M5848">
        <v>-0.78734150000000003</v>
      </c>
      <c r="N5848">
        <v>0</v>
      </c>
      <c r="O5848">
        <v>-0.61647980000000002</v>
      </c>
      <c r="P5848">
        <v>-0.89579169999999997</v>
      </c>
      <c r="Q5848">
        <v>-9.3500500000000004E-3</v>
      </c>
      <c r="R5848">
        <v>-0.44437589999999999</v>
      </c>
      <c r="S5848">
        <v>-2.982132</v>
      </c>
      <c r="T5848">
        <v>-0.35058460000000002</v>
      </c>
      <c r="U5848">
        <v>-0.73655700000000002</v>
      </c>
      <c r="V5848">
        <v>0.20235639999999999</v>
      </c>
      <c r="W5848">
        <v>-3.3633069999999998E-3</v>
      </c>
      <c r="X5848">
        <v>0.97930620000000002</v>
      </c>
      <c r="Y5848">
        <v>0.40379510000000002</v>
      </c>
      <c r="Z5848">
        <v>8.8972999999999997E-2</v>
      </c>
      <c r="AA5848">
        <v>0.91051269999999995</v>
      </c>
      <c r="AB5848">
        <v>9</v>
      </c>
      <c r="AC5848">
        <v>-9.3773999999999909</v>
      </c>
      <c r="AD5848">
        <v>-1.107936028046</v>
      </c>
      <c r="AE5848">
        <v>-2.2955000000000001</v>
      </c>
      <c r="AF5848">
        <v>3.9220724540943599</v>
      </c>
      <c r="AG5848">
        <v>-1.107936028046</v>
      </c>
      <c r="AH5848">
        <v>8.6841761983580792</v>
      </c>
      <c r="AI5848">
        <v>96.632151770376893</v>
      </c>
      <c r="AJ5848">
        <v>65.694429103031794</v>
      </c>
      <c r="AK5848">
        <v>9.5929709069472899</v>
      </c>
      <c r="AL5848">
        <v>90.192703654042802</v>
      </c>
      <c r="AM5848">
        <v>78.325144559492003</v>
      </c>
      <c r="AN5848">
        <v>1.0000000289066799</v>
      </c>
    </row>
    <row r="5849" spans="1:40" x14ac:dyDescent="0.25">
      <c r="A5849" t="str">
        <f>"20190312154038614"</f>
        <v>20190312154038614</v>
      </c>
      <c r="B5849" t="str">
        <f>"1552376438601750"</f>
        <v>1552376438601750</v>
      </c>
      <c r="C5849" t="s">
        <v>40</v>
      </c>
      <c r="D5849">
        <v>4.0796380000000001</v>
      </c>
      <c r="E5849">
        <v>0.58512889999999995</v>
      </c>
      <c r="F5849" t="s">
        <v>42</v>
      </c>
      <c r="G5849">
        <v>-210.58090000000001</v>
      </c>
      <c r="H5849" s="1">
        <v>-4.9709299999999997E-6</v>
      </c>
      <c r="I5849">
        <v>142.33760000000001</v>
      </c>
      <c r="J5849">
        <v>-201.10390000000001</v>
      </c>
      <c r="K5849">
        <v>1.107915</v>
      </c>
      <c r="L5849">
        <v>144.61199999999999</v>
      </c>
      <c r="M5849">
        <v>-0.78926680000000005</v>
      </c>
      <c r="N5849">
        <v>0</v>
      </c>
      <c r="O5849">
        <v>-0.61401530000000004</v>
      </c>
      <c r="P5849">
        <v>-0.89701719999999896</v>
      </c>
      <c r="Q5849">
        <v>-9.3328209999999998E-3</v>
      </c>
      <c r="R5849">
        <v>-0.4418977</v>
      </c>
      <c r="S5849">
        <v>-2.986694</v>
      </c>
      <c r="T5849">
        <v>-0.34752529999999998</v>
      </c>
      <c r="U5849">
        <v>-0.72299190000000002</v>
      </c>
      <c r="V5849">
        <v>0.20200080000000001</v>
      </c>
      <c r="W5849">
        <v>-3.550802E-3</v>
      </c>
      <c r="X5849">
        <v>0.97937890000000005</v>
      </c>
      <c r="Y5849">
        <v>0.40527750000000001</v>
      </c>
      <c r="Z5849">
        <v>8.8012430000000003E-2</v>
      </c>
      <c r="AA5849">
        <v>0.90994730000000001</v>
      </c>
      <c r="AB5849">
        <v>9</v>
      </c>
      <c r="AC5849">
        <v>-9.4770000000000003</v>
      </c>
      <c r="AD5849">
        <v>-1.1079199709300001</v>
      </c>
      <c r="AE5849">
        <v>-2.27439999999998</v>
      </c>
      <c r="AF5849">
        <v>3.9726635924236802</v>
      </c>
      <c r="AG5849">
        <v>-1.1079199709300001</v>
      </c>
      <c r="AH5849">
        <v>8.76334272141351</v>
      </c>
      <c r="AI5849">
        <v>96.568528640238299</v>
      </c>
      <c r="AJ5849">
        <v>65.613909699734407</v>
      </c>
      <c r="AK5849">
        <v>9.6853352205024503</v>
      </c>
      <c r="AL5849">
        <v>90.203446399954302</v>
      </c>
      <c r="AM5849">
        <v>78.345940460327398</v>
      </c>
      <c r="AN5849">
        <v>0.999999980580346</v>
      </c>
    </row>
    <row r="5850" spans="1:40" x14ac:dyDescent="0.25">
      <c r="A5850" t="str">
        <f>"20190312154038632"</f>
        <v>20190312154038632</v>
      </c>
      <c r="B5850" t="str">
        <f>"1552376438622249"</f>
        <v>1552376438622249</v>
      </c>
      <c r="C5850" t="s">
        <v>40</v>
      </c>
      <c r="D5850">
        <v>4.0764589999999998</v>
      </c>
      <c r="E5850">
        <v>0.58575650000000001</v>
      </c>
      <c r="F5850" t="s">
        <v>42</v>
      </c>
      <c r="G5850">
        <v>-210.6747</v>
      </c>
      <c r="H5850" s="1">
        <v>-4.9347299999999999E-6</v>
      </c>
      <c r="I5850">
        <v>142.33670000000001</v>
      </c>
      <c r="J5850">
        <v>-201.1679</v>
      </c>
      <c r="K5850">
        <v>1.107864</v>
      </c>
      <c r="L5850">
        <v>144.5686</v>
      </c>
      <c r="M5850">
        <v>-0.79200490000000001</v>
      </c>
      <c r="N5850">
        <v>0</v>
      </c>
      <c r="O5850">
        <v>-0.61048230000000003</v>
      </c>
      <c r="P5850">
        <v>-0.89874359999999998</v>
      </c>
      <c r="Q5850">
        <v>-9.2692169999999997E-3</v>
      </c>
      <c r="R5850">
        <v>-0.43837720000000002</v>
      </c>
      <c r="S5850">
        <v>-2.9906009999999998</v>
      </c>
      <c r="T5850">
        <v>-0.34619030000000001</v>
      </c>
      <c r="U5850">
        <v>-0.7109375</v>
      </c>
      <c r="V5850">
        <v>0.20146259999999999</v>
      </c>
      <c r="W5850">
        <v>-3.7682319999999998E-3</v>
      </c>
      <c r="X5850">
        <v>0.97948900000000005</v>
      </c>
      <c r="Y5850">
        <v>0.40500720000000001</v>
      </c>
      <c r="Z5850">
        <v>8.7304859999999998E-2</v>
      </c>
      <c r="AA5850">
        <v>0.91013569999999999</v>
      </c>
      <c r="AB5850">
        <v>9</v>
      </c>
      <c r="AC5850">
        <v>-9.5067999999999895</v>
      </c>
      <c r="AD5850">
        <v>-1.1078689347299999</v>
      </c>
      <c r="AE5850">
        <v>-2.2318999999999898</v>
      </c>
      <c r="AF5850">
        <v>3.9848488632200998</v>
      </c>
      <c r="AG5850">
        <v>-1.1078689347299999</v>
      </c>
      <c r="AH5850">
        <v>8.7791484718557804</v>
      </c>
      <c r="AI5850">
        <v>96.555108479277393</v>
      </c>
      <c r="AJ5850">
        <v>65.5867378565015</v>
      </c>
      <c r="AK5850">
        <v>9.70462992236871</v>
      </c>
      <c r="AL5850">
        <v>90.215904292161696</v>
      </c>
      <c r="AM5850">
        <v>78.377415861957303</v>
      </c>
      <c r="AN5850">
        <v>1.00000003994608</v>
      </c>
    </row>
    <row r="5851" spans="1:40" x14ac:dyDescent="0.25">
      <c r="A5851" t="str">
        <f>"20190312154038654"</f>
        <v>20190312154038654</v>
      </c>
      <c r="B5851" t="str">
        <f>"1552376438641766"</f>
        <v>1552376438641766</v>
      </c>
      <c r="C5851" t="s">
        <v>40</v>
      </c>
      <c r="D5851">
        <v>4.0364760000000004</v>
      </c>
      <c r="E5851">
        <v>0.58626709999999904</v>
      </c>
      <c r="F5851" t="s">
        <v>42</v>
      </c>
      <c r="G5851">
        <v>-210.83330000000001</v>
      </c>
      <c r="H5851" s="1">
        <v>-4.8721250000000004E-6</v>
      </c>
      <c r="I5851">
        <v>142.327</v>
      </c>
      <c r="J5851">
        <v>-201.24170000000001</v>
      </c>
      <c r="K5851">
        <v>1.107775</v>
      </c>
      <c r="L5851">
        <v>144.51920000000001</v>
      </c>
      <c r="M5851">
        <v>-0.79514269999999998</v>
      </c>
      <c r="N5851">
        <v>0</v>
      </c>
      <c r="O5851">
        <v>-0.60639239999999905</v>
      </c>
      <c r="P5851">
        <v>-0.90073250000000005</v>
      </c>
      <c r="Q5851">
        <v>-9.2863110000000002E-3</v>
      </c>
      <c r="R5851">
        <v>-0.43427470000000001</v>
      </c>
      <c r="S5851">
        <v>-2.99559</v>
      </c>
      <c r="T5851">
        <v>-0.3433602</v>
      </c>
      <c r="U5851">
        <v>-0.69474789999999997</v>
      </c>
      <c r="V5851">
        <v>0.20087720000000001</v>
      </c>
      <c r="W5851">
        <v>-4.102886E-3</v>
      </c>
      <c r="X5851">
        <v>0.97960780000000003</v>
      </c>
      <c r="Y5851">
        <v>0.40542280000000003</v>
      </c>
      <c r="Z5851">
        <v>8.6205180000000006E-2</v>
      </c>
      <c r="AA5851">
        <v>0.91005550000000002</v>
      </c>
      <c r="AB5851">
        <v>9</v>
      </c>
      <c r="AC5851">
        <v>-9.5915999999999997</v>
      </c>
      <c r="AD5851">
        <v>-1.1077798721250001</v>
      </c>
      <c r="AE5851">
        <v>-2.1922000000000099</v>
      </c>
      <c r="AF5851">
        <v>4.0222461367664497</v>
      </c>
      <c r="AG5851">
        <v>-1.1077798721250001</v>
      </c>
      <c r="AH5851">
        <v>8.8440719453060606</v>
      </c>
      <c r="AI5851">
        <v>96.504706019540393</v>
      </c>
      <c r="AJ5851">
        <v>65.544162151746207</v>
      </c>
      <c r="AK5851">
        <v>9.7787140669705508</v>
      </c>
      <c r="AL5851">
        <v>90.235078719984699</v>
      </c>
      <c r="AM5851">
        <v>78.411640689135496</v>
      </c>
      <c r="AN5851">
        <v>0.99999996248710299</v>
      </c>
    </row>
    <row r="5852" spans="1:40" x14ac:dyDescent="0.25">
      <c r="A5852" t="str">
        <f>"20190312154038669"</f>
        <v>20190312154038669</v>
      </c>
      <c r="B5852" t="str">
        <f>"1552376438662261"</f>
        <v>1552376438662261</v>
      </c>
      <c r="C5852" t="s">
        <v>40</v>
      </c>
      <c r="D5852">
        <v>4.0000629999999999</v>
      </c>
      <c r="E5852">
        <v>0.58685799999999999</v>
      </c>
      <c r="F5852" t="s">
        <v>42</v>
      </c>
      <c r="G5852">
        <v>-211.01769999999999</v>
      </c>
      <c r="H5852" s="1">
        <v>-4.7986150000000003E-6</v>
      </c>
      <c r="I5852">
        <v>142.31200000000001</v>
      </c>
      <c r="J5852">
        <v>-201.2929</v>
      </c>
      <c r="K5852">
        <v>1.1077079999999999</v>
      </c>
      <c r="L5852">
        <v>144.48519999999999</v>
      </c>
      <c r="M5852">
        <v>-0.79730859999999903</v>
      </c>
      <c r="N5852">
        <v>0</v>
      </c>
      <c r="O5852">
        <v>-0.60354399999999997</v>
      </c>
      <c r="P5852">
        <v>-0.90229769999999998</v>
      </c>
      <c r="Q5852">
        <v>-9.0217609999999997E-3</v>
      </c>
      <c r="R5852">
        <v>-0.4310195</v>
      </c>
      <c r="S5852">
        <v>-3.0005039999999998</v>
      </c>
      <c r="T5852">
        <v>-0.34000249999999999</v>
      </c>
      <c r="U5852">
        <v>-0.67744450000000001</v>
      </c>
      <c r="V5852">
        <v>0.20091059999999999</v>
      </c>
      <c r="W5852">
        <v>-4.055665E-3</v>
      </c>
      <c r="X5852">
        <v>0.97960119999999895</v>
      </c>
      <c r="Y5852">
        <v>0.40758860000000002</v>
      </c>
      <c r="Z5852">
        <v>8.5189409999999993E-2</v>
      </c>
      <c r="AA5852">
        <v>0.90918330000000003</v>
      </c>
      <c r="AB5852">
        <v>9</v>
      </c>
      <c r="AC5852">
        <v>-9.7247999999999806</v>
      </c>
      <c r="AD5852">
        <v>-1.1077127986149999</v>
      </c>
      <c r="AE5852">
        <v>-2.17319999999998</v>
      </c>
      <c r="AF5852">
        <v>4.0862080850936398</v>
      </c>
      <c r="AG5852">
        <v>-1.1077127986149999</v>
      </c>
      <c r="AH5852">
        <v>8.9547826437856592</v>
      </c>
      <c r="AI5852">
        <v>96.420924969271496</v>
      </c>
      <c r="AJ5852">
        <v>65.472040520139998</v>
      </c>
      <c r="AK5852">
        <v>9.90516311608976</v>
      </c>
      <c r="AL5852">
        <v>90.232373121321203</v>
      </c>
      <c r="AM5852">
        <v>78.409690039574897</v>
      </c>
      <c r="AN5852">
        <v>1.00000001432619</v>
      </c>
    </row>
    <row r="5853" spans="1:40" x14ac:dyDescent="0.25">
      <c r="A5853" t="str">
        <f>"20190312154038683"</f>
        <v>20190312154038683</v>
      </c>
      <c r="B5853" t="str">
        <f>"1552376438672021"</f>
        <v>1552376438672021</v>
      </c>
      <c r="C5853" t="s">
        <v>40</v>
      </c>
      <c r="D5853">
        <v>4.0046980000000003</v>
      </c>
      <c r="E5853">
        <v>0.58711789999999997</v>
      </c>
      <c r="F5853" t="s">
        <v>42</v>
      </c>
      <c r="G5853">
        <v>-211.21350000000001</v>
      </c>
      <c r="H5853" s="1">
        <v>-4.7210290000000004E-6</v>
      </c>
      <c r="I5853">
        <v>142.29820000000001</v>
      </c>
      <c r="J5853">
        <v>-201.34819999999999</v>
      </c>
      <c r="K5853">
        <v>1.1076299999999999</v>
      </c>
      <c r="L5853">
        <v>144.4487</v>
      </c>
      <c r="M5853">
        <v>-0.79963280000000003</v>
      </c>
      <c r="N5853">
        <v>0</v>
      </c>
      <c r="O5853">
        <v>-0.60046319999999997</v>
      </c>
      <c r="P5853">
        <v>-0.90395400000000004</v>
      </c>
      <c r="Q5853">
        <v>-8.5657219999999996E-3</v>
      </c>
      <c r="R5853">
        <v>-0.42754389999999998</v>
      </c>
      <c r="S5853">
        <v>-3.0050659999999998</v>
      </c>
      <c r="T5853">
        <v>-0.3355397</v>
      </c>
      <c r="U5853">
        <v>-0.66244510000000001</v>
      </c>
      <c r="V5853">
        <v>0.200903</v>
      </c>
      <c r="W5853">
        <v>-3.8268809999999999E-3</v>
      </c>
      <c r="X5853">
        <v>0.97960360000000002</v>
      </c>
      <c r="Y5853">
        <v>0.40884789999999999</v>
      </c>
      <c r="Z5853">
        <v>8.3829529999999999E-2</v>
      </c>
      <c r="AA5853">
        <v>0.9087442</v>
      </c>
      <c r="AB5853">
        <v>9</v>
      </c>
      <c r="AC5853">
        <v>-9.8653000000000102</v>
      </c>
      <c r="AD5853">
        <v>-1.1076347210289901</v>
      </c>
      <c r="AE5853">
        <v>-2.1504999999999899</v>
      </c>
      <c r="AF5853">
        <v>4.1542132119160797</v>
      </c>
      <c r="AG5853">
        <v>-1.1076347210289901</v>
      </c>
      <c r="AH5853">
        <v>9.0708979405319194</v>
      </c>
      <c r="AI5853">
        <v>96.335026485519705</v>
      </c>
      <c r="AJ5853">
        <v>65.393567584365201</v>
      </c>
      <c r="AK5853">
        <v>10.0382036008856</v>
      </c>
      <c r="AL5853">
        <v>90.219264679052102</v>
      </c>
      <c r="AM5853">
        <v>78.410144239158299</v>
      </c>
      <c r="AN5853">
        <v>0.99999993678007204</v>
      </c>
    </row>
    <row r="5854" spans="1:40" x14ac:dyDescent="0.25">
      <c r="A5854" t="str">
        <f>"20190312154038700"</f>
        <v>20190312154038700</v>
      </c>
      <c r="B5854" t="str">
        <f>"1552376438692518"</f>
        <v>1552376438692518</v>
      </c>
      <c r="C5854" t="s">
        <v>40</v>
      </c>
      <c r="D5854">
        <v>4.0304339999999996</v>
      </c>
      <c r="E5854">
        <v>0.58757999999999999</v>
      </c>
      <c r="F5854" t="s">
        <v>42</v>
      </c>
      <c r="G5854">
        <v>-211.36529999999999</v>
      </c>
      <c r="H5854" s="1">
        <v>-4.6608030000000002E-6</v>
      </c>
      <c r="I5854">
        <v>142.28749999999999</v>
      </c>
      <c r="J5854">
        <v>-201.40989999999999</v>
      </c>
      <c r="K5854">
        <v>1.107553</v>
      </c>
      <c r="L5854">
        <v>144.4085</v>
      </c>
      <c r="M5854">
        <v>-0.80220590000000003</v>
      </c>
      <c r="N5854">
        <v>0</v>
      </c>
      <c r="O5854">
        <v>-0.59702330000000003</v>
      </c>
      <c r="P5854">
        <v>-0.90592720000000004</v>
      </c>
      <c r="Q5854">
        <v>-8.661874E-3</v>
      </c>
      <c r="R5854">
        <v>-0.42334529999999898</v>
      </c>
      <c r="S5854">
        <v>-3.008591</v>
      </c>
      <c r="T5854">
        <v>-0.33267180000000002</v>
      </c>
      <c r="U5854">
        <v>-0.64912409999999998</v>
      </c>
      <c r="V5854">
        <v>0.20123759999999999</v>
      </c>
      <c r="W5854">
        <v>-4.1650309999999996E-3</v>
      </c>
      <c r="X5854">
        <v>0.9795336</v>
      </c>
      <c r="Y5854">
        <v>0.40910879999999999</v>
      </c>
      <c r="Z5854">
        <v>8.2804199999999994E-2</v>
      </c>
      <c r="AA5854">
        <v>0.9087208</v>
      </c>
      <c r="AB5854">
        <v>9</v>
      </c>
      <c r="AC5854">
        <v>-9.9553999999999903</v>
      </c>
      <c r="AD5854">
        <v>-1.107557660803</v>
      </c>
      <c r="AE5854">
        <v>-2.121</v>
      </c>
      <c r="AF5854">
        <v>4.1925502038578601</v>
      </c>
      <c r="AG5854">
        <v>-1.107557660803</v>
      </c>
      <c r="AH5854">
        <v>9.1444342389099607</v>
      </c>
      <c r="AI5854">
        <v>96.282855167290293</v>
      </c>
      <c r="AJ5854">
        <v>65.369439312832498</v>
      </c>
      <c r="AK5854">
        <v>10.1205157345671</v>
      </c>
      <c r="AL5854">
        <v>90.238639388685101</v>
      </c>
      <c r="AM5854">
        <v>78.390558016563503</v>
      </c>
      <c r="AN5854">
        <v>0.99999999633297498</v>
      </c>
    </row>
    <row r="5855" spans="1:40" x14ac:dyDescent="0.25">
      <c r="A5855" t="str">
        <f>"20190312154038723"</f>
        <v>20190312154038723</v>
      </c>
      <c r="B5855" t="str">
        <f>"1552376438712038"</f>
        <v>1552376438712038</v>
      </c>
      <c r="C5855" t="s">
        <v>40</v>
      </c>
      <c r="D5855">
        <v>3.9824649999999999</v>
      </c>
      <c r="E5855">
        <v>0.58793660000000003</v>
      </c>
      <c r="F5855" t="s">
        <v>42</v>
      </c>
      <c r="G5855">
        <v>-211.52090000000001</v>
      </c>
      <c r="H5855" s="1">
        <v>-4.6011279999999998E-6</v>
      </c>
      <c r="I5855">
        <v>142.2878</v>
      </c>
      <c r="J5855">
        <v>-201.4975</v>
      </c>
      <c r="K5855">
        <v>1.1074619999999999</v>
      </c>
      <c r="L5855">
        <v>144.35210000000001</v>
      </c>
      <c r="M5855">
        <v>-0.80581800000000003</v>
      </c>
      <c r="N5855">
        <v>0</v>
      </c>
      <c r="O5855">
        <v>-0.59214119999999903</v>
      </c>
      <c r="P5855">
        <v>-0.90884299999999996</v>
      </c>
      <c r="Q5855">
        <v>-8.2403240000000003E-3</v>
      </c>
      <c r="R5855">
        <v>-0.41705710000000001</v>
      </c>
      <c r="S5855">
        <v>-3.0130460000000001</v>
      </c>
      <c r="T5855">
        <v>-0.33004939999999999</v>
      </c>
      <c r="U5855">
        <v>-0.63195800000000002</v>
      </c>
      <c r="V5855">
        <v>0.20207890000000001</v>
      </c>
      <c r="W5855">
        <v>-4.0531869999999998E-3</v>
      </c>
      <c r="X5855">
        <v>0.97936089999999998</v>
      </c>
      <c r="Y5855">
        <v>0.40891749999999999</v>
      </c>
      <c r="Z5855">
        <v>8.1687579999999996E-2</v>
      </c>
      <c r="AA5855">
        <v>0.90890789999999999</v>
      </c>
      <c r="AB5855">
        <v>10</v>
      </c>
      <c r="AC5855">
        <v>-10.023400000000001</v>
      </c>
      <c r="AD5855">
        <v>-1.1074666011280001</v>
      </c>
      <c r="AE5855">
        <v>-2.0642999999999998</v>
      </c>
      <c r="AF5855">
        <v>4.2224254160622596</v>
      </c>
      <c r="AG5855">
        <v>-1.1074666011280001</v>
      </c>
      <c r="AH5855">
        <v>9.1918696503932402</v>
      </c>
      <c r="AI5855">
        <v>96.248101501425495</v>
      </c>
      <c r="AJ5855">
        <v>65.327594353182207</v>
      </c>
      <c r="AK5855">
        <v>10.175746967011399</v>
      </c>
      <c r="AL5855">
        <v>90.232231134950595</v>
      </c>
      <c r="AM5855">
        <v>78.341349540417497</v>
      </c>
      <c r="AN5855">
        <v>1.0000000412994301</v>
      </c>
    </row>
    <row r="5856" spans="1:40" x14ac:dyDescent="0.25">
      <c r="A5856" t="str">
        <f>"20190312154038744"</f>
        <v>20190312154038744</v>
      </c>
      <c r="B5856" t="str">
        <f>"1552376438731558"</f>
        <v>1552376438731558</v>
      </c>
      <c r="C5856" t="s">
        <v>40</v>
      </c>
      <c r="D5856">
        <v>4.0291610000000002</v>
      </c>
      <c r="E5856">
        <v>0.58797429999999995</v>
      </c>
      <c r="F5856" t="s">
        <v>42</v>
      </c>
      <c r="G5856">
        <v>-211.76240000000001</v>
      </c>
      <c r="H5856" s="1">
        <v>-4.5074360000000004E-6</v>
      </c>
      <c r="I5856">
        <v>142.2826</v>
      </c>
      <c r="J5856">
        <v>-201.5763</v>
      </c>
      <c r="K5856">
        <v>1.107391</v>
      </c>
      <c r="L5856">
        <v>144.30189999999999</v>
      </c>
      <c r="M5856">
        <v>-0.80902700000000005</v>
      </c>
      <c r="N5856">
        <v>0</v>
      </c>
      <c r="O5856">
        <v>-0.58775109999999997</v>
      </c>
      <c r="P5856">
        <v>-0.9114177</v>
      </c>
      <c r="Q5856">
        <v>-8.227013E-3</v>
      </c>
      <c r="R5856">
        <v>-0.4114005</v>
      </c>
      <c r="S5856">
        <v>-3.0186769999999998</v>
      </c>
      <c r="T5856">
        <v>-0.32567869999999999</v>
      </c>
      <c r="U5856">
        <v>-0.6085815</v>
      </c>
      <c r="V5856">
        <v>0.20283860000000001</v>
      </c>
      <c r="W5856">
        <v>-4.2855690000000004E-3</v>
      </c>
      <c r="X5856">
        <v>0.97920280000000004</v>
      </c>
      <c r="Y5856">
        <v>0.4112055</v>
      </c>
      <c r="Z5856">
        <v>8.0314759999999999E-2</v>
      </c>
      <c r="AA5856">
        <v>0.90799750000000001</v>
      </c>
      <c r="AB5856">
        <v>10</v>
      </c>
      <c r="AC5856">
        <v>-10.1861</v>
      </c>
      <c r="AD5856">
        <v>-1.107395507436</v>
      </c>
      <c r="AE5856">
        <v>-2.0192999999999799</v>
      </c>
      <c r="AF5856">
        <v>4.3043252533802301</v>
      </c>
      <c r="AG5856">
        <v>-1.107395507436</v>
      </c>
      <c r="AH5856">
        <v>9.3217784330307598</v>
      </c>
      <c r="AI5856">
        <v>96.155773607085905</v>
      </c>
      <c r="AJ5856">
        <v>65.214898494235101</v>
      </c>
      <c r="AK5856">
        <v>10.3271048145786</v>
      </c>
      <c r="AL5856">
        <v>90.2455457696975</v>
      </c>
      <c r="AM5856">
        <v>78.2968890067026</v>
      </c>
      <c r="AN5856">
        <v>0.99999999363972603</v>
      </c>
    </row>
    <row r="5857" spans="1:40" x14ac:dyDescent="0.25">
      <c r="A5857" t="str">
        <f>"20190312154038756"</f>
        <v>20190312154038756</v>
      </c>
      <c r="B5857" t="str">
        <f>"1552376438752054"</f>
        <v>1552376438752054</v>
      </c>
      <c r="C5857" t="s">
        <v>40</v>
      </c>
      <c r="D5857">
        <v>4.2167629999999896</v>
      </c>
      <c r="E5857">
        <v>0.58622510000000005</v>
      </c>
      <c r="F5857" t="s">
        <v>42</v>
      </c>
      <c r="G5857">
        <v>-211.946</v>
      </c>
      <c r="H5857" s="1">
        <v>-4.4364460000000004E-6</v>
      </c>
      <c r="I5857">
        <v>142.27969999999999</v>
      </c>
      <c r="J5857">
        <v>-201.6268</v>
      </c>
      <c r="K5857">
        <v>1.1073489999999999</v>
      </c>
      <c r="L5857">
        <v>144.27000000000001</v>
      </c>
      <c r="M5857">
        <v>-0.81106069999999997</v>
      </c>
      <c r="N5857">
        <v>0</v>
      </c>
      <c r="O5857">
        <v>-0.58494269999999904</v>
      </c>
      <c r="P5857">
        <v>-0.91303880000000004</v>
      </c>
      <c r="Q5857">
        <v>-8.0867390000000008E-3</v>
      </c>
      <c r="R5857">
        <v>-0.40779260000000001</v>
      </c>
      <c r="S5857">
        <v>-3.022583</v>
      </c>
      <c r="T5857">
        <v>-0.32278770000000001</v>
      </c>
      <c r="U5857">
        <v>-0.58943179999999995</v>
      </c>
      <c r="V5857">
        <v>0.20331640000000001</v>
      </c>
      <c r="W5857">
        <v>-4.2886449999999998E-3</v>
      </c>
      <c r="X5857">
        <v>0.97910370000000002</v>
      </c>
      <c r="Y5857">
        <v>0.41390110000000002</v>
      </c>
      <c r="Z5857">
        <v>7.9488229999999993E-2</v>
      </c>
      <c r="AA5857">
        <v>0.90684489999999995</v>
      </c>
      <c r="AB5857">
        <v>10</v>
      </c>
      <c r="AC5857">
        <v>-10.319199999999899</v>
      </c>
      <c r="AD5857">
        <v>-1.10735343644599</v>
      </c>
      <c r="AE5857">
        <v>-1.99030000000001</v>
      </c>
      <c r="AF5857">
        <v>4.3733813780140496</v>
      </c>
      <c r="AG5857">
        <v>-1.10735343644599</v>
      </c>
      <c r="AH5857">
        <v>9.4291304425561897</v>
      </c>
      <c r="AI5857">
        <v>96.0812326661258</v>
      </c>
      <c r="AJ5857">
        <v>65.117376199657102</v>
      </c>
      <c r="AK5857">
        <v>10.452808101821599</v>
      </c>
      <c r="AL5857">
        <v>90.245722010794395</v>
      </c>
      <c r="AM5857">
        <v>78.2689301907904</v>
      </c>
      <c r="AN5857">
        <v>1.0000000031692899</v>
      </c>
    </row>
    <row r="5858" spans="1:40" x14ac:dyDescent="0.25">
      <c r="A5858" t="str">
        <f>"20190312154038780"</f>
        <v>20190312154038780</v>
      </c>
      <c r="B5858" t="str">
        <f>"1552376438771574"</f>
        <v>1552376438771574</v>
      </c>
      <c r="C5858" t="s">
        <v>40</v>
      </c>
      <c r="D5858">
        <v>4.0787570000000004</v>
      </c>
      <c r="E5858">
        <v>0.50457229999999997</v>
      </c>
      <c r="F5858" t="s">
        <v>42</v>
      </c>
      <c r="G5858">
        <v>-212.0429</v>
      </c>
      <c r="H5858" s="1">
        <v>-4.3910939999999996E-6</v>
      </c>
      <c r="I5858">
        <v>142.2338</v>
      </c>
      <c r="J5858">
        <v>-201.71170000000001</v>
      </c>
      <c r="K5858">
        <v>1.1072959999999901</v>
      </c>
      <c r="L5858">
        <v>144.21709999999999</v>
      </c>
      <c r="M5858">
        <v>-0.81443659999999996</v>
      </c>
      <c r="N5858">
        <v>0</v>
      </c>
      <c r="O5858">
        <v>-0.58023449999999999</v>
      </c>
      <c r="P5858">
        <v>-0.9156763</v>
      </c>
      <c r="Q5858">
        <v>-7.587445E-3</v>
      </c>
      <c r="R5858">
        <v>-0.40184550000000002</v>
      </c>
      <c r="S5858">
        <v>-3.0193020000000002</v>
      </c>
      <c r="T5858">
        <v>-0.32098759999999998</v>
      </c>
      <c r="U5858">
        <v>-0.59022519999999901</v>
      </c>
      <c r="V5858">
        <v>0.20401569999999999</v>
      </c>
      <c r="W5858">
        <v>-3.9847729999999996E-3</v>
      </c>
      <c r="X5858">
        <v>0.97895949999999998</v>
      </c>
      <c r="Y5858">
        <v>0.40830699999999998</v>
      </c>
      <c r="Z5858">
        <v>7.8440369999999995E-2</v>
      </c>
      <c r="AA5858">
        <v>0.90946819999999895</v>
      </c>
      <c r="AB5858">
        <v>10</v>
      </c>
      <c r="AC5858">
        <v>-10.3311999999999</v>
      </c>
      <c r="AD5858">
        <v>-1.10730039109399</v>
      </c>
      <c r="AE5858">
        <v>-1.9832999999999801</v>
      </c>
      <c r="AF5858">
        <v>4.3313046319366499</v>
      </c>
      <c r="AG5858">
        <v>-1.10730039109399</v>
      </c>
      <c r="AH5858">
        <v>9.4601746201471997</v>
      </c>
      <c r="AI5858">
        <v>96.074803836079496</v>
      </c>
      <c r="AJ5858">
        <v>65.399506675165</v>
      </c>
      <c r="AK5858">
        <v>10.4633272821999</v>
      </c>
      <c r="AL5858">
        <v>90.228311280919101</v>
      </c>
      <c r="AM5858">
        <v>78.228019987768803</v>
      </c>
      <c r="AN5858">
        <v>0.99999999345129997</v>
      </c>
    </row>
    <row r="5859" spans="1:40" x14ac:dyDescent="0.25">
      <c r="A5859" t="str">
        <f>"20190312154038799"</f>
        <v>20190312154038799</v>
      </c>
      <c r="B5859" t="str">
        <f>"1552376438792073"</f>
        <v>1552376438792073</v>
      </c>
      <c r="C5859" t="s">
        <v>40</v>
      </c>
      <c r="D5859">
        <v>4.1129879999999996</v>
      </c>
      <c r="E5859">
        <v>0.49387300000000001</v>
      </c>
      <c r="F5859" t="s">
        <v>41</v>
      </c>
      <c r="G5859">
        <v>-202.4546</v>
      </c>
      <c r="H5859">
        <v>0.97606859999999995</v>
      </c>
      <c r="I5859">
        <v>143.904</v>
      </c>
      <c r="J5859">
        <v>-201.8</v>
      </c>
      <c r="K5859">
        <v>1.1072599999999999</v>
      </c>
      <c r="L5859">
        <v>144.1628</v>
      </c>
      <c r="M5859">
        <v>-0.81788340000000004</v>
      </c>
      <c r="N5859">
        <v>0</v>
      </c>
      <c r="O5859">
        <v>-0.57536659999999995</v>
      </c>
      <c r="P5859">
        <v>-0.91831980000000002</v>
      </c>
      <c r="Q5859">
        <v>-7.21324599999999E-3</v>
      </c>
      <c r="R5859">
        <v>-0.39577370000000001</v>
      </c>
      <c r="S5859">
        <v>-2.7613530000000002</v>
      </c>
      <c r="T5859">
        <v>-0.4875159</v>
      </c>
      <c r="U5859">
        <v>-1.164093</v>
      </c>
      <c r="V5859">
        <v>0.20466100000000001</v>
      </c>
      <c r="W5859">
        <v>-3.7445669999999999E-3</v>
      </c>
      <c r="X5859">
        <v>0.97882570000000002</v>
      </c>
      <c r="Y5859">
        <v>0.2035353</v>
      </c>
      <c r="Z5859">
        <v>0.1064094</v>
      </c>
      <c r="AA5859">
        <v>0.97326789999999996</v>
      </c>
      <c r="AB5859">
        <v>10</v>
      </c>
      <c r="AC5859">
        <v>-0.65459999999998697</v>
      </c>
      <c r="AD5859">
        <v>-0.13119140000000001</v>
      </c>
      <c r="AE5859">
        <v>-0.25880000000000702</v>
      </c>
      <c r="AF5859">
        <v>0.15943035413474399</v>
      </c>
      <c r="AG5859">
        <v>-0.13119140000000001</v>
      </c>
      <c r="AH5859">
        <v>0.66132605875774597</v>
      </c>
      <c r="AI5859">
        <v>100.915562273643</v>
      </c>
      <c r="AJ5859">
        <v>76.445946344903007</v>
      </c>
      <c r="AK5859">
        <v>0.69280688308181804</v>
      </c>
      <c r="AL5859">
        <v>90.214548397573694</v>
      </c>
      <c r="AM5859">
        <v>78.190260361408804</v>
      </c>
      <c r="AN5859">
        <v>0.99999994884175203</v>
      </c>
    </row>
    <row r="5860" spans="1:40" x14ac:dyDescent="0.25">
      <c r="A5860" t="str">
        <f>"20190312154038822"</f>
        <v>20190312154038822</v>
      </c>
      <c r="B5860" t="str">
        <f>"1552376438811590"</f>
        <v>1552376438811590</v>
      </c>
      <c r="C5860" t="s">
        <v>40</v>
      </c>
      <c r="D5860">
        <v>4.0915650000000001</v>
      </c>
      <c r="E5860">
        <v>0.48919790000000002</v>
      </c>
      <c r="F5860" t="s">
        <v>41</v>
      </c>
      <c r="G5860">
        <v>-202.5198</v>
      </c>
      <c r="H5860">
        <v>0.96752550000000004</v>
      </c>
      <c r="I5860">
        <v>143.8409</v>
      </c>
      <c r="J5860">
        <v>-201.89019999999999</v>
      </c>
      <c r="K5860">
        <v>1.1072390000000001</v>
      </c>
      <c r="L5860">
        <v>144.108</v>
      </c>
      <c r="M5860">
        <v>-0.82134549999999995</v>
      </c>
      <c r="N5860">
        <v>0</v>
      </c>
      <c r="O5860">
        <v>-0.57041370000000002</v>
      </c>
      <c r="P5860">
        <v>-0.92088899999999996</v>
      </c>
      <c r="Q5860">
        <v>-7.3503819999999999E-3</v>
      </c>
      <c r="R5860">
        <v>-0.38975520000000002</v>
      </c>
      <c r="S5860">
        <v>-2.735382</v>
      </c>
      <c r="T5860">
        <v>-0.53071359999999901</v>
      </c>
      <c r="U5860">
        <v>-1.2234499999999999</v>
      </c>
      <c r="V5860">
        <v>0.2051501</v>
      </c>
      <c r="W5860">
        <v>-3.952044E-3</v>
      </c>
      <c r="X5860">
        <v>0.9787226</v>
      </c>
      <c r="Y5860">
        <v>0.17527579999999901</v>
      </c>
      <c r="Z5860">
        <v>0.1127659</v>
      </c>
      <c r="AA5860">
        <v>0.97804000000000002</v>
      </c>
      <c r="AB5860">
        <v>10</v>
      </c>
      <c r="AC5860">
        <v>-0.62960000000001004</v>
      </c>
      <c r="AD5860">
        <v>-0.13971349999999899</v>
      </c>
      <c r="AE5860">
        <v>-0.267099999999999</v>
      </c>
      <c r="AF5860">
        <v>0.134153897954778</v>
      </c>
      <c r="AG5860">
        <v>-0.13971349999999899</v>
      </c>
      <c r="AH5860">
        <v>0.64266335107766104</v>
      </c>
      <c r="AI5860">
        <v>102.01391747464599</v>
      </c>
      <c r="AJ5860">
        <v>78.209010198731406</v>
      </c>
      <c r="AK5860">
        <v>0.67121778376103902</v>
      </c>
      <c r="AL5860">
        <v>90.226436018643696</v>
      </c>
      <c r="AM5860">
        <v>78.161620972868207</v>
      </c>
      <c r="AN5860">
        <v>1.00000005496627</v>
      </c>
    </row>
    <row r="5861" spans="1:40" x14ac:dyDescent="0.25">
      <c r="A5861" t="str">
        <f>"20190312154038835"</f>
        <v>20190312154038835</v>
      </c>
      <c r="B5861" t="str">
        <f>"1552376438822326"</f>
        <v>1552376438822326</v>
      </c>
      <c r="C5861" t="s">
        <v>40</v>
      </c>
      <c r="D5861">
        <v>4.0957600000000003</v>
      </c>
      <c r="E5861">
        <v>0.48758829999999997</v>
      </c>
      <c r="F5861" t="s">
        <v>41</v>
      </c>
      <c r="G5861">
        <v>-202.59649999999999</v>
      </c>
      <c r="H5861">
        <v>0.96405229999999997</v>
      </c>
      <c r="I5861">
        <v>143.78710000000001</v>
      </c>
      <c r="J5861">
        <v>-201.94220000000001</v>
      </c>
      <c r="K5861">
        <v>1.1072340000000001</v>
      </c>
      <c r="L5861">
        <v>144.07669999999999</v>
      </c>
      <c r="M5861">
        <v>-0.82331900000000002</v>
      </c>
      <c r="N5861">
        <v>0</v>
      </c>
      <c r="O5861">
        <v>-0.56756189999999995</v>
      </c>
      <c r="P5861">
        <v>-0.92224300000000003</v>
      </c>
      <c r="Q5861">
        <v>-7.756153E-3</v>
      </c>
      <c r="R5861">
        <v>-0.38653320000000002</v>
      </c>
      <c r="S5861">
        <v>-2.7286069999999998</v>
      </c>
      <c r="T5861">
        <v>-0.55275479999999999</v>
      </c>
      <c r="U5861">
        <v>-1.2397769999999999</v>
      </c>
      <c r="V5861">
        <v>0.205174</v>
      </c>
      <c r="W5861">
        <v>-4.3719980000000002E-3</v>
      </c>
      <c r="X5861">
        <v>0.97871580000000002</v>
      </c>
      <c r="Y5861">
        <v>0.16541610000000001</v>
      </c>
      <c r="Z5861">
        <v>0.1160858</v>
      </c>
      <c r="AA5861">
        <v>0.97936800000000002</v>
      </c>
      <c r="AB5861">
        <v>10</v>
      </c>
      <c r="AC5861">
        <v>-0.65429999999997701</v>
      </c>
      <c r="AD5861">
        <v>-0.143181699999999</v>
      </c>
      <c r="AE5861">
        <v>-0.28959999999997799</v>
      </c>
      <c r="AF5861">
        <v>0.12780613189158499</v>
      </c>
      <c r="AG5861">
        <v>-0.143181699999999</v>
      </c>
      <c r="AH5861">
        <v>0.67600132443767802</v>
      </c>
      <c r="AI5861">
        <v>101.756569801494</v>
      </c>
      <c r="AJ5861">
        <v>79.293915219565605</v>
      </c>
      <c r="AK5861">
        <v>0.70271843380224097</v>
      </c>
      <c r="AL5861">
        <v>90.250497818709903</v>
      </c>
      <c r="AM5861">
        <v>78.160200787041802</v>
      </c>
      <c r="AN5861">
        <v>1.00000005090607</v>
      </c>
    </row>
    <row r="5862" spans="1:40" x14ac:dyDescent="0.25">
      <c r="A5862" t="str">
        <f>"20190312154038856"</f>
        <v>20190312154038856</v>
      </c>
      <c r="B5862" t="str">
        <f>"1552376438841846"</f>
        <v>1552376438841846</v>
      </c>
      <c r="C5862" t="s">
        <v>40</v>
      </c>
      <c r="D5862">
        <v>4.0829300000000002</v>
      </c>
      <c r="E5862">
        <v>0.48588789999999998</v>
      </c>
      <c r="F5862" t="s">
        <v>41</v>
      </c>
      <c r="G5862">
        <v>-202.59530000000001</v>
      </c>
      <c r="H5862">
        <v>0.97187880000000004</v>
      </c>
      <c r="I5862">
        <v>143.77940000000001</v>
      </c>
      <c r="J5862">
        <v>-202.02950000000001</v>
      </c>
      <c r="K5862">
        <v>1.1072310000000001</v>
      </c>
      <c r="L5862">
        <v>144.0247</v>
      </c>
      <c r="M5862">
        <v>-0.82659139999999998</v>
      </c>
      <c r="N5862">
        <v>0</v>
      </c>
      <c r="O5862">
        <v>-0.56278490000000003</v>
      </c>
      <c r="P5862">
        <v>-0.92451629999999996</v>
      </c>
      <c r="Q5862">
        <v>-8.6215189999999994E-3</v>
      </c>
      <c r="R5862">
        <v>-0.38104470000000001</v>
      </c>
      <c r="S5862">
        <v>-2.7276760000000002</v>
      </c>
      <c r="T5862">
        <v>-0.56491709999999995</v>
      </c>
      <c r="U5862">
        <v>-1.2419279999999999</v>
      </c>
      <c r="V5862">
        <v>0.20531540000000001</v>
      </c>
      <c r="W5862">
        <v>-5.2176119999999999E-3</v>
      </c>
      <c r="X5862">
        <v>0.97868200000000005</v>
      </c>
      <c r="Y5862">
        <v>0.15863079999999999</v>
      </c>
      <c r="Z5862">
        <v>0.11721280000000001</v>
      </c>
      <c r="AA5862">
        <v>0.9803558</v>
      </c>
      <c r="AB5862">
        <v>10</v>
      </c>
      <c r="AC5862">
        <v>-0.56579999999999497</v>
      </c>
      <c r="AD5862">
        <v>-0.13535219999999901</v>
      </c>
      <c r="AE5862">
        <v>-0.245299999999986</v>
      </c>
      <c r="AF5862">
        <v>0.11034627723785401</v>
      </c>
      <c r="AG5862">
        <v>-0.13535219999999901</v>
      </c>
      <c r="AH5862">
        <v>0.57790330227562003</v>
      </c>
      <c r="AI5862">
        <v>102.955826546143</v>
      </c>
      <c r="AJ5862">
        <v>79.189924484532497</v>
      </c>
      <c r="AK5862">
        <v>0.603712469414174</v>
      </c>
      <c r="AL5862">
        <v>90.298948489088005</v>
      </c>
      <c r="AM5862">
        <v>78.151874068828604</v>
      </c>
      <c r="AN5862">
        <v>1.0000000470380701</v>
      </c>
    </row>
    <row r="5863" spans="1:40" x14ac:dyDescent="0.25">
      <c r="A5863" t="str">
        <f>"20190312154038871"</f>
        <v>20190312154038871</v>
      </c>
      <c r="B5863" t="str">
        <f>"1552376438862342"</f>
        <v>1552376438862342</v>
      </c>
      <c r="C5863" t="s">
        <v>40</v>
      </c>
      <c r="D5863">
        <v>4.1175249999999997</v>
      </c>
      <c r="E5863">
        <v>0.4844967</v>
      </c>
      <c r="F5863" t="s">
        <v>41</v>
      </c>
      <c r="G5863">
        <v>-202.67760000000001</v>
      </c>
      <c r="H5863">
        <v>0.96887650000000003</v>
      </c>
      <c r="I5863">
        <v>143.73079999999999</v>
      </c>
      <c r="J5863">
        <v>-202.0932</v>
      </c>
      <c r="K5863">
        <v>1.107235</v>
      </c>
      <c r="L5863">
        <v>143.9872</v>
      </c>
      <c r="M5863">
        <v>-0.82895239999999903</v>
      </c>
      <c r="N5863">
        <v>0</v>
      </c>
      <c r="O5863">
        <v>-0.5593011</v>
      </c>
      <c r="P5863">
        <v>-0.92608279999999998</v>
      </c>
      <c r="Q5863">
        <v>-8.8486060000000002E-3</v>
      </c>
      <c r="R5863">
        <v>-0.37721710000000003</v>
      </c>
      <c r="S5863">
        <v>-2.7293850000000002</v>
      </c>
      <c r="T5863">
        <v>-0.58224109999999996</v>
      </c>
      <c r="U5863">
        <v>-1.2377469999999999</v>
      </c>
      <c r="V5863">
        <v>0.20524329999999999</v>
      </c>
      <c r="W5863">
        <v>-5.3924690000000004E-3</v>
      </c>
      <c r="X5863">
        <v>0.97869620000000002</v>
      </c>
      <c r="Y5863">
        <v>0.15537629999999999</v>
      </c>
      <c r="Z5863">
        <v>0.1198385</v>
      </c>
      <c r="AA5863">
        <v>0.98055950000000003</v>
      </c>
      <c r="AB5863">
        <v>11</v>
      </c>
      <c r="AC5863">
        <v>-0.58440000000001602</v>
      </c>
      <c r="AD5863">
        <v>-0.1383585</v>
      </c>
      <c r="AE5863">
        <v>-0.25640000000001301</v>
      </c>
      <c r="AF5863">
        <v>0.109181355494771</v>
      </c>
      <c r="AG5863">
        <v>-0.1383585</v>
      </c>
      <c r="AH5863">
        <v>0.59966427282271995</v>
      </c>
      <c r="AI5863">
        <v>102.789126593132</v>
      </c>
      <c r="AJ5863">
        <v>79.681143216408501</v>
      </c>
      <c r="AK5863">
        <v>0.62502870574872604</v>
      </c>
      <c r="AL5863">
        <v>90.308967190200505</v>
      </c>
      <c r="AM5863">
        <v>78.156084191973903</v>
      </c>
      <c r="AN5863">
        <v>1.0000000714056201</v>
      </c>
    </row>
    <row r="5864" spans="1:40" x14ac:dyDescent="0.25">
      <c r="A5864" t="str">
        <f>"20190312154038890"</f>
        <v>20190312154038890</v>
      </c>
      <c r="B5864" t="str">
        <f>"1552376438881862"</f>
        <v>1552376438881862</v>
      </c>
      <c r="C5864" t="s">
        <v>40</v>
      </c>
      <c r="D5864">
        <v>4.1197309999999998</v>
      </c>
      <c r="E5864">
        <v>0.48353360000000001</v>
      </c>
      <c r="F5864" t="s">
        <v>41</v>
      </c>
      <c r="G5864">
        <v>-202.76070000000001</v>
      </c>
      <c r="H5864">
        <v>0.96218559999999997</v>
      </c>
      <c r="I5864">
        <v>143.685</v>
      </c>
      <c r="J5864">
        <v>-202.17859999999999</v>
      </c>
      <c r="K5864">
        <v>1.1072310000000001</v>
      </c>
      <c r="L5864">
        <v>143.9375</v>
      </c>
      <c r="M5864">
        <v>-0.83208119999999997</v>
      </c>
      <c r="N5864">
        <v>0</v>
      </c>
      <c r="O5864">
        <v>-0.55463459999999998</v>
      </c>
      <c r="P5864">
        <v>-0.92815499999999995</v>
      </c>
      <c r="Q5864">
        <v>-9.4394809999999996E-3</v>
      </c>
      <c r="R5864">
        <v>-0.37207440000000003</v>
      </c>
      <c r="S5864">
        <v>-2.7301639999999998</v>
      </c>
      <c r="T5864">
        <v>-0.59281049999999902</v>
      </c>
      <c r="U5864">
        <v>-1.236389</v>
      </c>
      <c r="V5864">
        <v>0.2051674</v>
      </c>
      <c r="W5864">
        <v>-5.8830280000000002E-3</v>
      </c>
      <c r="X5864">
        <v>0.97870919999999895</v>
      </c>
      <c r="Y5864">
        <v>0.15007429999999999</v>
      </c>
      <c r="Z5864">
        <v>0.12065720000000001</v>
      </c>
      <c r="AA5864">
        <v>0.98128459999999995</v>
      </c>
      <c r="AB5864">
        <v>11</v>
      </c>
      <c r="AC5864">
        <v>-0.58210000000002504</v>
      </c>
      <c r="AD5864">
        <v>-0.14504539999999899</v>
      </c>
      <c r="AE5864">
        <v>-0.252499999999997</v>
      </c>
      <c r="AF5864">
        <v>0.107154038645627</v>
      </c>
      <c r="AG5864">
        <v>-0.14504539999999899</v>
      </c>
      <c r="AH5864">
        <v>0.59339766280835704</v>
      </c>
      <c r="AI5864">
        <v>103.525076122244</v>
      </c>
      <c r="AJ5864">
        <v>79.764000913981306</v>
      </c>
      <c r="AK5864">
        <v>0.62019427785626102</v>
      </c>
      <c r="AL5864">
        <v>90.337074624557602</v>
      </c>
      <c r="AM5864">
        <v>78.160493311379895</v>
      </c>
      <c r="AN5864">
        <v>0.99999998510292398</v>
      </c>
    </row>
    <row r="5865" spans="1:40" x14ac:dyDescent="0.25">
      <c r="A5865" t="str">
        <f>"20190312154038914"</f>
        <v>20190312154038914</v>
      </c>
      <c r="B5865" t="str">
        <f>"1552376438902358"</f>
        <v>1552376438902358</v>
      </c>
      <c r="C5865" t="s">
        <v>40</v>
      </c>
      <c r="D5865">
        <v>4.1341659999999996</v>
      </c>
      <c r="E5865">
        <v>0.48271180000000002</v>
      </c>
      <c r="F5865" t="s">
        <v>41</v>
      </c>
      <c r="G5865">
        <v>-202.84639999999999</v>
      </c>
      <c r="H5865">
        <v>0.9601229</v>
      </c>
      <c r="I5865">
        <v>143.63759999999999</v>
      </c>
      <c r="J5865">
        <v>-202.2783</v>
      </c>
      <c r="K5865">
        <v>1.107232</v>
      </c>
      <c r="L5865">
        <v>143.8802</v>
      </c>
      <c r="M5865">
        <v>-0.83569349999999998</v>
      </c>
      <c r="N5865">
        <v>0</v>
      </c>
      <c r="O5865">
        <v>-0.54917510000000003</v>
      </c>
      <c r="P5865">
        <v>-0.93046209999999996</v>
      </c>
      <c r="Q5865">
        <v>-9.9560949999999999E-3</v>
      </c>
      <c r="R5865">
        <v>-0.36625269999999999</v>
      </c>
      <c r="S5865">
        <v>-2.7339319999999998</v>
      </c>
      <c r="T5865">
        <v>-0.60206059999999995</v>
      </c>
      <c r="U5865">
        <v>-1.2277530000000001</v>
      </c>
      <c r="V5865">
        <v>0.2048864</v>
      </c>
      <c r="W5865">
        <v>-6.2504129999999998E-3</v>
      </c>
      <c r="X5865">
        <v>0.97876580000000002</v>
      </c>
      <c r="Y5865">
        <v>0.14647009999999999</v>
      </c>
      <c r="Z5865">
        <v>0.12117120000000001</v>
      </c>
      <c r="AA5865">
        <v>0.98176580000000002</v>
      </c>
      <c r="AB5865">
        <v>11</v>
      </c>
      <c r="AC5865">
        <v>-0.56809999999998695</v>
      </c>
      <c r="AD5865">
        <v>-0.14710909999999999</v>
      </c>
      <c r="AE5865">
        <v>-0.24260000000001</v>
      </c>
      <c r="AF5865">
        <v>0.103385153489814</v>
      </c>
      <c r="AG5865">
        <v>-0.14710909999999999</v>
      </c>
      <c r="AH5865">
        <v>0.57536399799985205</v>
      </c>
      <c r="AI5865">
        <v>104.125174592684</v>
      </c>
      <c r="AJ5865">
        <v>79.813424734406894</v>
      </c>
      <c r="AK5865">
        <v>0.60280453503544296</v>
      </c>
      <c r="AL5865">
        <v>90.358124617737104</v>
      </c>
      <c r="AM5865">
        <v>78.176916592431596</v>
      </c>
      <c r="AN5865">
        <v>0.99999999790863503</v>
      </c>
    </row>
    <row r="5866" spans="1:40" x14ac:dyDescent="0.25">
      <c r="A5866" t="str">
        <f>"20190312154038934"</f>
        <v>20190312154038934</v>
      </c>
      <c r="B5866" t="str">
        <f>"1552376438921878"</f>
        <v>1552376438921878</v>
      </c>
      <c r="C5866" t="s">
        <v>40</v>
      </c>
      <c r="D5866">
        <v>4.1087150000000001</v>
      </c>
      <c r="E5866">
        <v>0.48201070000000001</v>
      </c>
      <c r="F5866" t="s">
        <v>41</v>
      </c>
      <c r="G5866">
        <v>-202.9342</v>
      </c>
      <c r="H5866">
        <v>0.96156989999999998</v>
      </c>
      <c r="I5866">
        <v>143.5891</v>
      </c>
      <c r="J5866">
        <v>-202.3683</v>
      </c>
      <c r="K5866">
        <v>1.107221</v>
      </c>
      <c r="L5866">
        <v>143.82929999999999</v>
      </c>
      <c r="M5866">
        <v>-0.83892119999999903</v>
      </c>
      <c r="N5866">
        <v>0</v>
      </c>
      <c r="O5866">
        <v>-0.54423049999999995</v>
      </c>
      <c r="P5866">
        <v>-0.93256380000000005</v>
      </c>
      <c r="Q5866">
        <v>-1.0134550000000001E-2</v>
      </c>
      <c r="R5866">
        <v>-0.36086299999999999</v>
      </c>
      <c r="S5866">
        <v>-2.73909</v>
      </c>
      <c r="T5866">
        <v>-0.60767260000000001</v>
      </c>
      <c r="U5866">
        <v>-1.215927</v>
      </c>
      <c r="V5866">
        <v>0.20476829999999999</v>
      </c>
      <c r="W5866">
        <v>-6.2875459999999998E-3</v>
      </c>
      <c r="X5866">
        <v>0.9787903</v>
      </c>
      <c r="Y5866">
        <v>0.1447484</v>
      </c>
      <c r="Z5866">
        <v>0.1211935</v>
      </c>
      <c r="AA5866">
        <v>0.98201839999999996</v>
      </c>
      <c r="AB5866">
        <v>11</v>
      </c>
      <c r="AC5866">
        <v>-0.56589999999999896</v>
      </c>
      <c r="AD5866">
        <v>-0.14565109999999901</v>
      </c>
      <c r="AE5866">
        <v>-0.24019999999998701</v>
      </c>
      <c r="AF5866">
        <v>0.100813652671778</v>
      </c>
      <c r="AG5866">
        <v>-0.14565109999999901</v>
      </c>
      <c r="AH5866">
        <v>0.57329707796117502</v>
      </c>
      <c r="AI5866">
        <v>104.04807358589601</v>
      </c>
      <c r="AJ5866">
        <v>80.026568969072201</v>
      </c>
      <c r="AK5866">
        <v>0.60003931129139998</v>
      </c>
      <c r="AL5866">
        <v>90.360252215538694</v>
      </c>
      <c r="AM5866">
        <v>78.183827420058407</v>
      </c>
      <c r="AN5866">
        <v>1.00000002064684</v>
      </c>
    </row>
    <row r="5867" spans="1:40" x14ac:dyDescent="0.25">
      <c r="A5867" t="str">
        <f>"20190312154038948"</f>
        <v>20190312154038948</v>
      </c>
      <c r="B5867" t="str">
        <f>"1552376438942374"</f>
        <v>1552376438942374</v>
      </c>
      <c r="C5867" t="s">
        <v>40</v>
      </c>
      <c r="D5867">
        <v>4.1389120000000004</v>
      </c>
      <c r="E5867">
        <v>0.48136269999999998</v>
      </c>
      <c r="F5867" t="s">
        <v>41</v>
      </c>
      <c r="G5867">
        <v>-203.02289999999999</v>
      </c>
      <c r="H5867">
        <v>0.96121529999999999</v>
      </c>
      <c r="I5867">
        <v>143.54179999999999</v>
      </c>
      <c r="J5867">
        <v>-202.4308</v>
      </c>
      <c r="K5867">
        <v>1.1072070000000001</v>
      </c>
      <c r="L5867">
        <v>143.79429999999999</v>
      </c>
      <c r="M5867">
        <v>-0.84114829999999996</v>
      </c>
      <c r="N5867">
        <v>0</v>
      </c>
      <c r="O5867">
        <v>-0.54078099999999996</v>
      </c>
      <c r="P5867">
        <v>-0.93395090000000003</v>
      </c>
      <c r="Q5867">
        <v>-1.0148229999999999E-2</v>
      </c>
      <c r="R5867">
        <v>-0.3572572</v>
      </c>
      <c r="S5867">
        <v>-2.7439269999999998</v>
      </c>
      <c r="T5867">
        <v>-0.61169510000000005</v>
      </c>
      <c r="U5867">
        <v>-1.2051240000000001</v>
      </c>
      <c r="V5867">
        <v>0.20453089999999999</v>
      </c>
      <c r="W5867">
        <v>-6.2075029999999996E-3</v>
      </c>
      <c r="X5867">
        <v>0.97884040000000005</v>
      </c>
      <c r="Y5867">
        <v>0.14447360000000001</v>
      </c>
      <c r="Z5867">
        <v>0.1212915</v>
      </c>
      <c r="AA5867">
        <v>0.98204669999999905</v>
      </c>
      <c r="AB5867">
        <v>11</v>
      </c>
      <c r="AC5867">
        <v>-0.59209999999998697</v>
      </c>
      <c r="AD5867">
        <v>-0.1459917</v>
      </c>
      <c r="AE5867">
        <v>-0.252499999999997</v>
      </c>
      <c r="AF5867">
        <v>0.10253353221842799</v>
      </c>
      <c r="AG5867">
        <v>-0.1459917</v>
      </c>
      <c r="AH5867">
        <v>0.60355245336475105</v>
      </c>
      <c r="AI5867">
        <v>103.412851378328</v>
      </c>
      <c r="AJ5867">
        <v>80.358448829531198</v>
      </c>
      <c r="AK5867">
        <v>0.62936655905814298</v>
      </c>
      <c r="AL5867">
        <v>90.355666016137505</v>
      </c>
      <c r="AM5867">
        <v>78.197729277421402</v>
      </c>
      <c r="AN5867">
        <v>0.999999975410232</v>
      </c>
    </row>
    <row r="5868" spans="1:40" x14ac:dyDescent="0.25">
      <c r="A5868" t="str">
        <f>"20190312154038961"</f>
        <v>20190312154038961</v>
      </c>
      <c r="B5868" t="str">
        <f>"1552376438952134"</f>
        <v>1552376438952134</v>
      </c>
      <c r="C5868" t="s">
        <v>40</v>
      </c>
      <c r="D5868">
        <v>4.1688260000000001</v>
      </c>
      <c r="E5868">
        <v>0.48110829999999999</v>
      </c>
      <c r="F5868" t="s">
        <v>41</v>
      </c>
      <c r="G5868">
        <v>-203.11099999999999</v>
      </c>
      <c r="H5868">
        <v>0.95485229999999999</v>
      </c>
      <c r="I5868">
        <v>143.4974</v>
      </c>
      <c r="J5868">
        <v>-202.4933</v>
      </c>
      <c r="K5868">
        <v>1.1071869999999999</v>
      </c>
      <c r="L5868">
        <v>143.75970000000001</v>
      </c>
      <c r="M5868">
        <v>-0.84335959999999999</v>
      </c>
      <c r="N5868">
        <v>0</v>
      </c>
      <c r="O5868">
        <v>-0.53732489999999999</v>
      </c>
      <c r="P5868">
        <v>-0.93534989999999996</v>
      </c>
      <c r="Q5868">
        <v>-1.012974E-2</v>
      </c>
      <c r="R5868">
        <v>-0.35357929999999999</v>
      </c>
      <c r="S5868">
        <v>-2.7467190000000001</v>
      </c>
      <c r="T5868">
        <v>-0.61482879999999995</v>
      </c>
      <c r="U5868">
        <v>-1.199219</v>
      </c>
      <c r="V5868">
        <v>0.20436670000000001</v>
      </c>
      <c r="W5868">
        <v>-6.1010719999999999E-3</v>
      </c>
      <c r="X5868">
        <v>0.97887539999999995</v>
      </c>
      <c r="Y5868">
        <v>0.14252609999999999</v>
      </c>
      <c r="Z5868">
        <v>0.121057</v>
      </c>
      <c r="AA5868">
        <v>0.98236020000000002</v>
      </c>
      <c r="AB5868">
        <v>11</v>
      </c>
      <c r="AC5868">
        <v>-0.61769999999998404</v>
      </c>
      <c r="AD5868">
        <v>-0.15233469999999999</v>
      </c>
      <c r="AE5868">
        <v>-0.26230000000001003</v>
      </c>
      <c r="AF5868">
        <v>0.105269511347618</v>
      </c>
      <c r="AG5868">
        <v>-0.15233469999999999</v>
      </c>
      <c r="AH5868">
        <v>0.629457648758318</v>
      </c>
      <c r="AI5868">
        <v>103.42498563225</v>
      </c>
      <c r="AJ5868">
        <v>80.505806305639396</v>
      </c>
      <c r="AK5868">
        <v>0.656128388673899</v>
      </c>
      <c r="AL5868">
        <v>90.349567841319896</v>
      </c>
      <c r="AM5868">
        <v>78.207348696657604</v>
      </c>
      <c r="AN5868">
        <v>1.0000000099367901</v>
      </c>
    </row>
    <row r="5869" spans="1:40" x14ac:dyDescent="0.25">
      <c r="A5869" t="str">
        <f>"20190312154038978"</f>
        <v>20190312154038978</v>
      </c>
      <c r="B5869" t="str">
        <f>"1552376438971655"</f>
        <v>1552376438971655</v>
      </c>
      <c r="C5869" t="s">
        <v>40</v>
      </c>
      <c r="D5869">
        <v>4.1912039999999999</v>
      </c>
      <c r="E5869">
        <v>0.48061900000000002</v>
      </c>
      <c r="F5869" t="s">
        <v>41</v>
      </c>
      <c r="G5869">
        <v>-203.20060000000001</v>
      </c>
      <c r="H5869">
        <v>0.94870529999999997</v>
      </c>
      <c r="I5869">
        <v>143.45359999999999</v>
      </c>
      <c r="J5869">
        <v>-202.56639999999999</v>
      </c>
      <c r="K5869">
        <v>1.1071629999999999</v>
      </c>
      <c r="L5869">
        <v>143.71960000000001</v>
      </c>
      <c r="M5869">
        <v>-0.8459295</v>
      </c>
      <c r="N5869">
        <v>0</v>
      </c>
      <c r="O5869">
        <v>-0.53326850000000003</v>
      </c>
      <c r="P5869">
        <v>-0.93673079999999997</v>
      </c>
      <c r="Q5869">
        <v>-1.02573E-2</v>
      </c>
      <c r="R5869">
        <v>-0.34989999999999999</v>
      </c>
      <c r="S5869">
        <v>-2.7507630000000001</v>
      </c>
      <c r="T5869">
        <v>-0.61633159999999998</v>
      </c>
      <c r="U5869">
        <v>-1.1902469999999901</v>
      </c>
      <c r="V5869">
        <v>0.2035122</v>
      </c>
      <c r="W5869">
        <v>-6.1302529999999996E-3</v>
      </c>
      <c r="X5869">
        <v>0.97905319999999996</v>
      </c>
      <c r="Y5869">
        <v>0.14104149999999999</v>
      </c>
      <c r="Z5869">
        <v>0.1204293</v>
      </c>
      <c r="AA5869">
        <v>0.98265159999999996</v>
      </c>
      <c r="AB5869">
        <v>11</v>
      </c>
      <c r="AC5869">
        <v>-0.63420000000002097</v>
      </c>
      <c r="AD5869">
        <v>-0.15845769999999901</v>
      </c>
      <c r="AE5869">
        <v>-0.266000000000019</v>
      </c>
      <c r="AF5869">
        <v>0.10747744715462899</v>
      </c>
      <c r="AG5869">
        <v>-0.15845769999999901</v>
      </c>
      <c r="AH5869">
        <v>0.64415067350246502</v>
      </c>
      <c r="AI5869">
        <v>103.638695984984</v>
      </c>
      <c r="AJ5869">
        <v>80.527379252852597</v>
      </c>
      <c r="AK5869">
        <v>0.67200471316043997</v>
      </c>
      <c r="AL5869">
        <v>90.351239830528797</v>
      </c>
      <c r="AM5869">
        <v>78.257357495293803</v>
      </c>
      <c r="AN5869">
        <v>0.99999998199046103</v>
      </c>
    </row>
    <row r="5870" spans="1:40" x14ac:dyDescent="0.25">
      <c r="A5870" t="str">
        <f>"20190312154039001"</f>
        <v>20190312154039001</v>
      </c>
      <c r="B5870" t="str">
        <f>"1552376438992150"</f>
        <v>1552376438992150</v>
      </c>
      <c r="C5870" t="s">
        <v>40</v>
      </c>
      <c r="D5870">
        <v>4.2003170000000001</v>
      </c>
      <c r="E5870">
        <v>0.48016890000000001</v>
      </c>
      <c r="F5870" t="s">
        <v>41</v>
      </c>
      <c r="G5870">
        <v>-203.2911</v>
      </c>
      <c r="H5870">
        <v>0.94419730000000002</v>
      </c>
      <c r="I5870">
        <v>143.4084</v>
      </c>
      <c r="J5870">
        <v>-202.67580000000001</v>
      </c>
      <c r="K5870">
        <v>1.1071</v>
      </c>
      <c r="L5870">
        <v>143.66059999999999</v>
      </c>
      <c r="M5870">
        <v>-0.84974649999999996</v>
      </c>
      <c r="N5870">
        <v>0</v>
      </c>
      <c r="O5870">
        <v>-0.52716339999999995</v>
      </c>
      <c r="P5870">
        <v>-0.93905039999999995</v>
      </c>
      <c r="Q5870">
        <v>-1.078262E-2</v>
      </c>
      <c r="R5870">
        <v>-0.34361019999999998</v>
      </c>
      <c r="S5870">
        <v>-2.7540589999999998</v>
      </c>
      <c r="T5870">
        <v>-0.61880179999999996</v>
      </c>
      <c r="U5870">
        <v>-1.182755</v>
      </c>
      <c r="V5870">
        <v>0.20302249999999999</v>
      </c>
      <c r="W5870">
        <v>-6.5364689999999996E-3</v>
      </c>
      <c r="X5870">
        <v>0.97915229999999998</v>
      </c>
      <c r="Y5870">
        <v>0.1366869</v>
      </c>
      <c r="Z5870">
        <v>0.1193314</v>
      </c>
      <c r="AA5870">
        <v>0.98340059999999996</v>
      </c>
      <c r="AB5870">
        <v>11</v>
      </c>
      <c r="AC5870">
        <v>-0.61529999999998997</v>
      </c>
      <c r="AD5870">
        <v>-0.16290269999999901</v>
      </c>
      <c r="AE5870">
        <v>-0.25219999999998699</v>
      </c>
      <c r="AF5870">
        <v>0.103828251387834</v>
      </c>
      <c r="AG5870">
        <v>-0.16290269999999901</v>
      </c>
      <c r="AH5870">
        <v>0.61868099811246302</v>
      </c>
      <c r="AI5870">
        <v>104.55677676096199</v>
      </c>
      <c r="AJ5870">
        <v>80.473286032415302</v>
      </c>
      <c r="AK5870">
        <v>0.64813869879754804</v>
      </c>
      <c r="AL5870">
        <v>90.3745147371435</v>
      </c>
      <c r="AM5870">
        <v>78.285984213142498</v>
      </c>
      <c r="AN5870">
        <v>1.00000004376426</v>
      </c>
    </row>
    <row r="5871" spans="1:40" x14ac:dyDescent="0.25">
      <c r="A5871" t="str">
        <f>"20190312154039024"</f>
        <v>20190312154039024</v>
      </c>
      <c r="B5871" t="str">
        <f>"1552376439011670"</f>
        <v>1552376439011670</v>
      </c>
      <c r="C5871" t="s">
        <v>40</v>
      </c>
      <c r="D5871">
        <v>4.2184350000000004</v>
      </c>
      <c r="E5871">
        <v>0.4797997</v>
      </c>
      <c r="F5871" t="s">
        <v>41</v>
      </c>
      <c r="G5871">
        <v>-203.38499999999999</v>
      </c>
      <c r="H5871">
        <v>0.94699250000000001</v>
      </c>
      <c r="I5871">
        <v>143.36070000000001</v>
      </c>
      <c r="J5871">
        <v>-202.7756</v>
      </c>
      <c r="K5871">
        <v>1.1070390000000001</v>
      </c>
      <c r="L5871">
        <v>143.60769999999999</v>
      </c>
      <c r="M5871">
        <v>-0.8531917</v>
      </c>
      <c r="N5871">
        <v>0</v>
      </c>
      <c r="O5871">
        <v>-0.52156800000000003</v>
      </c>
      <c r="P5871">
        <v>-0.94112680000000004</v>
      </c>
      <c r="Q5871">
        <v>-1.0974390000000001E-2</v>
      </c>
      <c r="R5871">
        <v>-0.3378756</v>
      </c>
      <c r="S5871">
        <v>-2.7604679999999999</v>
      </c>
      <c r="T5871">
        <v>-0.62283619999999995</v>
      </c>
      <c r="U5871">
        <v>-1.167206</v>
      </c>
      <c r="V5871">
        <v>0.20255880000000001</v>
      </c>
      <c r="W5871">
        <v>-6.6407389999999997E-3</v>
      </c>
      <c r="X5871">
        <v>0.9792476</v>
      </c>
      <c r="Y5871">
        <v>0.13566139999999999</v>
      </c>
      <c r="Z5871">
        <v>0.1189139</v>
      </c>
      <c r="AA5871">
        <v>0.98359319999999895</v>
      </c>
      <c r="AB5871">
        <v>11</v>
      </c>
      <c r="AC5871">
        <v>-0.60939999999999295</v>
      </c>
      <c r="AD5871">
        <v>-0.16004649999999901</v>
      </c>
      <c r="AE5871">
        <v>-0.24699999999998501</v>
      </c>
      <c r="AF5871">
        <v>0.101116496372637</v>
      </c>
      <c r="AG5871">
        <v>-0.16004649999999901</v>
      </c>
      <c r="AH5871">
        <v>0.61248734072983002</v>
      </c>
      <c r="AI5871">
        <v>104.456944026413</v>
      </c>
      <c r="AJ5871">
        <v>80.625507484967699</v>
      </c>
      <c r="AK5871">
        <v>0.64107735146020095</v>
      </c>
      <c r="AL5871">
        <v>90.380489108627799</v>
      </c>
      <c r="AM5871">
        <v>78.313108121529993</v>
      </c>
      <c r="AN5871">
        <v>1.0000000144888299</v>
      </c>
    </row>
    <row r="5872" spans="1:40" x14ac:dyDescent="0.25">
      <c r="A5872" t="str">
        <f>"20190312154039044"</f>
        <v>20190312154039044</v>
      </c>
      <c r="B5872" t="str">
        <f>"1552376439041926"</f>
        <v>1552376439041926</v>
      </c>
      <c r="C5872" t="s">
        <v>40</v>
      </c>
      <c r="D5872">
        <v>4.2281380000000004</v>
      </c>
      <c r="E5872">
        <v>0.47980479999999998</v>
      </c>
      <c r="F5872" t="s">
        <v>41</v>
      </c>
      <c r="G5872">
        <v>-203.4795</v>
      </c>
      <c r="H5872">
        <v>0.94756390000000001</v>
      </c>
      <c r="I5872">
        <v>143.3142</v>
      </c>
      <c r="J5872">
        <v>-202.87479999999999</v>
      </c>
      <c r="K5872">
        <v>1.1069789999999999</v>
      </c>
      <c r="L5872">
        <v>143.55600000000001</v>
      </c>
      <c r="M5872">
        <v>-0.85658219999999996</v>
      </c>
      <c r="N5872">
        <v>0</v>
      </c>
      <c r="O5872">
        <v>-0.51597990000000005</v>
      </c>
      <c r="P5872">
        <v>-0.94341629999999999</v>
      </c>
      <c r="Q5872">
        <v>-1.0316189999999999E-2</v>
      </c>
      <c r="R5872">
        <v>-0.33145069999999999</v>
      </c>
      <c r="S5872">
        <v>-2.7661899999999999</v>
      </c>
      <c r="T5872">
        <v>-0.62596289999999999</v>
      </c>
      <c r="U5872">
        <v>-1.1536249999999999</v>
      </c>
      <c r="V5872">
        <v>0.2028423</v>
      </c>
      <c r="W5872">
        <v>-5.9277119999999999E-3</v>
      </c>
      <c r="X5872">
        <v>0.97919339999999999</v>
      </c>
      <c r="Y5872">
        <v>0.1340375</v>
      </c>
      <c r="Z5872">
        <v>0.1182515</v>
      </c>
      <c r="AA5872">
        <v>0.98389559999999998</v>
      </c>
      <c r="AB5872">
        <v>11</v>
      </c>
      <c r="AC5872">
        <v>-0.60470000000000801</v>
      </c>
      <c r="AD5872">
        <v>-0.1594151</v>
      </c>
      <c r="AE5872">
        <v>-0.24180000000001201</v>
      </c>
      <c r="AF5872">
        <v>9.8963397114719895E-2</v>
      </c>
      <c r="AG5872">
        <v>-0.1594151</v>
      </c>
      <c r="AH5872">
        <v>0.60641398744379205</v>
      </c>
      <c r="AI5872">
        <v>104.54466548602301</v>
      </c>
      <c r="AJ5872">
        <v>80.731352622212</v>
      </c>
      <c r="AK5872">
        <v>0.63477937288791597</v>
      </c>
      <c r="AL5872">
        <v>90.3396348940867</v>
      </c>
      <c r="AM5872">
        <v>78.296572167826696</v>
      </c>
      <c r="AN5872">
        <v>0.99999992552119898</v>
      </c>
    </row>
    <row r="5873" spans="1:40" x14ac:dyDescent="0.25">
      <c r="A5873" t="str">
        <f>"20190312154039069"</f>
        <v>20190312154039069</v>
      </c>
      <c r="B5873" t="str">
        <f>"1552376439062422"</f>
        <v>1552376439062422</v>
      </c>
      <c r="C5873" t="s">
        <v>40</v>
      </c>
      <c r="D5873">
        <v>4.2677829999999997</v>
      </c>
      <c r="E5873">
        <v>0.4798463</v>
      </c>
      <c r="F5873" t="s">
        <v>41</v>
      </c>
      <c r="G5873">
        <v>-203.57599999999999</v>
      </c>
      <c r="H5873">
        <v>0.94851549999999996</v>
      </c>
      <c r="I5873">
        <v>143.26900000000001</v>
      </c>
      <c r="J5873">
        <v>-202.98740000000001</v>
      </c>
      <c r="K5873">
        <v>1.106897</v>
      </c>
      <c r="L5873">
        <v>143.4983</v>
      </c>
      <c r="M5873">
        <v>-0.86039849999999996</v>
      </c>
      <c r="N5873">
        <v>0</v>
      </c>
      <c r="O5873">
        <v>-0.50959030000000005</v>
      </c>
      <c r="P5873">
        <v>-0.94602450000000005</v>
      </c>
      <c r="Q5873">
        <v>-1.028716E-2</v>
      </c>
      <c r="R5873">
        <v>-0.3239321</v>
      </c>
      <c r="S5873">
        <v>-2.774216</v>
      </c>
      <c r="T5873">
        <v>-0.62670939999999997</v>
      </c>
      <c r="U5873">
        <v>-1.1352690000000001</v>
      </c>
      <c r="V5873">
        <v>0.2033471</v>
      </c>
      <c r="W5873">
        <v>-5.886273E-3</v>
      </c>
      <c r="X5873">
        <v>0.97908899999999999</v>
      </c>
      <c r="Y5873">
        <v>0.13335159999999999</v>
      </c>
      <c r="Z5873">
        <v>0.11705359999999999</v>
      </c>
      <c r="AA5873">
        <v>0.98413200000000001</v>
      </c>
      <c r="AB5873">
        <v>11</v>
      </c>
      <c r="AC5873">
        <v>-0.58859999999998502</v>
      </c>
      <c r="AD5873">
        <v>-0.15838149999999901</v>
      </c>
      <c r="AE5873">
        <v>-0.22929999999999401</v>
      </c>
      <c r="AF5873">
        <v>9.6585341347853404E-2</v>
      </c>
      <c r="AG5873">
        <v>-0.15838149999999901</v>
      </c>
      <c r="AH5873">
        <v>0.586424391312381</v>
      </c>
      <c r="AI5873">
        <v>104.921949489074</v>
      </c>
      <c r="AJ5873">
        <v>80.647230539911206</v>
      </c>
      <c r="AK5873">
        <v>0.615066658527048</v>
      </c>
      <c r="AL5873">
        <v>90.337260554101306</v>
      </c>
      <c r="AM5873">
        <v>78.267036673471395</v>
      </c>
      <c r="AN5873">
        <v>0.99999998060462003</v>
      </c>
    </row>
    <row r="5874" spans="1:40" x14ac:dyDescent="0.25">
      <c r="A5874" t="str">
        <f>"20190312154039092"</f>
        <v>20190312154039092</v>
      </c>
      <c r="B5874" t="str">
        <f>"1552376439081943"</f>
        <v>1552376439081943</v>
      </c>
      <c r="C5874" t="s">
        <v>40</v>
      </c>
      <c r="D5874">
        <v>4.2485999999999997</v>
      </c>
      <c r="E5874">
        <v>0.47990859999999902</v>
      </c>
      <c r="F5874" t="s">
        <v>41</v>
      </c>
      <c r="G5874">
        <v>-203.6747</v>
      </c>
      <c r="H5874">
        <v>0.95158469999999995</v>
      </c>
      <c r="I5874">
        <v>143.2236</v>
      </c>
      <c r="J5874">
        <v>-203.10380000000001</v>
      </c>
      <c r="K5874">
        <v>1.106797</v>
      </c>
      <c r="L5874">
        <v>143.43969999999999</v>
      </c>
      <c r="M5874">
        <v>-0.86430790000000002</v>
      </c>
      <c r="N5874">
        <v>0</v>
      </c>
      <c r="O5874">
        <v>-0.50293100000000002</v>
      </c>
      <c r="P5874">
        <v>-0.94879559999999996</v>
      </c>
      <c r="Q5874">
        <v>-1.054282E-2</v>
      </c>
      <c r="R5874">
        <v>-0.3157143</v>
      </c>
      <c r="S5874">
        <v>-2.7834780000000001</v>
      </c>
      <c r="T5874">
        <v>-0.62842629999999999</v>
      </c>
      <c r="U5874">
        <v>-1.1123050000000001</v>
      </c>
      <c r="V5874">
        <v>0.2042746</v>
      </c>
      <c r="W5874">
        <v>-6.1958509999999996E-3</v>
      </c>
      <c r="X5874">
        <v>0.97889400000000004</v>
      </c>
      <c r="Y5874">
        <v>0.13388720000000001</v>
      </c>
      <c r="Z5874">
        <v>0.1161002</v>
      </c>
      <c r="AA5874">
        <v>0.98417220000000005</v>
      </c>
      <c r="AB5874">
        <v>12</v>
      </c>
      <c r="AC5874">
        <v>-0.57089999999999397</v>
      </c>
      <c r="AD5874">
        <v>-0.1552123</v>
      </c>
      <c r="AE5874">
        <v>-0.216099999999983</v>
      </c>
      <c r="AF5874">
        <v>9.4254300758840698E-2</v>
      </c>
      <c r="AG5874">
        <v>-0.1552123</v>
      </c>
      <c r="AH5874">
        <v>0.56556200942299995</v>
      </c>
      <c r="AI5874">
        <v>105.14724291257301</v>
      </c>
      <c r="AJ5874">
        <v>80.538272576516505</v>
      </c>
      <c r="AK5874">
        <v>0.59399925739466197</v>
      </c>
      <c r="AL5874">
        <v>90.354998390518105</v>
      </c>
      <c r="AM5874">
        <v>78.212732162152903</v>
      </c>
      <c r="AN5874">
        <v>0.99999998200538698</v>
      </c>
    </row>
    <row r="5875" spans="1:40" x14ac:dyDescent="0.25">
      <c r="A5875" t="str">
        <f>"20190312154039115"</f>
        <v>20190312154039115</v>
      </c>
      <c r="B5875" t="str">
        <f>"1552376439102438"</f>
        <v>1552376439102438</v>
      </c>
      <c r="C5875" t="s">
        <v>40</v>
      </c>
      <c r="D5875">
        <v>4.4838639999999996</v>
      </c>
      <c r="E5875">
        <v>0.48000080000000001</v>
      </c>
      <c r="F5875" t="s">
        <v>41</v>
      </c>
      <c r="G5875">
        <v>-203.77500000000001</v>
      </c>
      <c r="H5875">
        <v>0.95521840000000002</v>
      </c>
      <c r="I5875">
        <v>143.17840000000001</v>
      </c>
      <c r="J5875">
        <v>-203.2107</v>
      </c>
      <c r="K5875">
        <v>1.1066940000000001</v>
      </c>
      <c r="L5875">
        <v>143.387</v>
      </c>
      <c r="M5875">
        <v>-0.86786030000000003</v>
      </c>
      <c r="N5875">
        <v>0</v>
      </c>
      <c r="O5875">
        <v>-0.49677710000000003</v>
      </c>
      <c r="P5875">
        <v>-0.95124280000000005</v>
      </c>
      <c r="Q5875">
        <v>-1.093646E-2</v>
      </c>
      <c r="R5875">
        <v>-0.30824980000000002</v>
      </c>
      <c r="S5875">
        <v>-2.7930600000000001</v>
      </c>
      <c r="T5875">
        <v>-0.63074090000000005</v>
      </c>
      <c r="U5875">
        <v>-1.0873870000000001</v>
      </c>
      <c r="V5875">
        <v>0.2050042</v>
      </c>
      <c r="W5875">
        <v>-6.6987549999999998E-3</v>
      </c>
      <c r="X5875">
        <v>0.9787382</v>
      </c>
      <c r="Y5875">
        <v>0.13561479999999901</v>
      </c>
      <c r="Z5875">
        <v>0.115463</v>
      </c>
      <c r="AA5875">
        <v>0.98401059999999996</v>
      </c>
      <c r="AB5875">
        <v>12</v>
      </c>
      <c r="AC5875">
        <v>-0.56430000000000202</v>
      </c>
      <c r="AD5875">
        <v>-0.15147559999999899</v>
      </c>
      <c r="AE5875">
        <v>-0.20859999999998899</v>
      </c>
      <c r="AF5875">
        <v>9.3377739924546899E-2</v>
      </c>
      <c r="AG5875">
        <v>-0.15147559999999899</v>
      </c>
      <c r="AH5875">
        <v>0.557997549640463</v>
      </c>
      <c r="AI5875">
        <v>104.98880658976</v>
      </c>
      <c r="AJ5875">
        <v>80.4999027024014</v>
      </c>
      <c r="AK5875">
        <v>0.58568380984413204</v>
      </c>
      <c r="AL5875">
        <v>90.383813248610494</v>
      </c>
      <c r="AM5875">
        <v>78.169986178048006</v>
      </c>
      <c r="AN5875">
        <v>1.0000000297377101</v>
      </c>
    </row>
    <row r="5876" spans="1:40" x14ac:dyDescent="0.25">
      <c r="A5876" t="str">
        <f>"20190312154039136"</f>
        <v>20190312154039136</v>
      </c>
      <c r="B5876" t="str">
        <f>"1552376439131719"</f>
        <v>1552376439131719</v>
      </c>
      <c r="C5876" t="s">
        <v>40</v>
      </c>
      <c r="D5876">
        <v>4.28695</v>
      </c>
      <c r="E5876">
        <v>0.53673249999999995</v>
      </c>
      <c r="F5876" t="s">
        <v>41</v>
      </c>
      <c r="G5876">
        <v>-203.876</v>
      </c>
      <c r="H5876">
        <v>0.95653469999999996</v>
      </c>
      <c r="I5876">
        <v>143.13419999999999</v>
      </c>
      <c r="J5876">
        <v>-203.31950000000001</v>
      </c>
      <c r="K5876">
        <v>1.1065750000000001</v>
      </c>
      <c r="L5876">
        <v>143.33430000000001</v>
      </c>
      <c r="M5876">
        <v>-0.87144189999999999</v>
      </c>
      <c r="N5876">
        <v>0</v>
      </c>
      <c r="O5876">
        <v>-0.49046830000000002</v>
      </c>
      <c r="P5876">
        <v>-0.95383859999999998</v>
      </c>
      <c r="Q5876">
        <v>-1.019485E-2</v>
      </c>
      <c r="R5876">
        <v>-0.30014649999999998</v>
      </c>
      <c r="S5876">
        <v>-2.8015140000000001</v>
      </c>
      <c r="T5876">
        <v>-0.63171009999999905</v>
      </c>
      <c r="U5876">
        <v>-1.064575</v>
      </c>
      <c r="V5876">
        <v>0.20623620000000001</v>
      </c>
      <c r="W5876">
        <v>-6.1290270000000004E-3</v>
      </c>
      <c r="X5876">
        <v>0.97848299999999999</v>
      </c>
      <c r="Y5876">
        <v>0.136489</v>
      </c>
      <c r="Z5876">
        <v>0.11447359999999999</v>
      </c>
      <c r="AA5876">
        <v>0.98400529999999997</v>
      </c>
      <c r="AB5876">
        <v>12</v>
      </c>
      <c r="AC5876">
        <v>-0.55649999999997102</v>
      </c>
      <c r="AD5876">
        <v>-0.15004029999999999</v>
      </c>
      <c r="AE5876">
        <v>-0.20010000000002001</v>
      </c>
      <c r="AF5876">
        <v>9.2610278932341403E-2</v>
      </c>
      <c r="AG5876">
        <v>-0.15004029999999999</v>
      </c>
      <c r="AH5876">
        <v>0.54784436147428905</v>
      </c>
      <c r="AI5876">
        <v>105.111857296046</v>
      </c>
      <c r="AJ5876">
        <v>80.4051508475319</v>
      </c>
      <c r="AK5876">
        <v>0.57551906987274304</v>
      </c>
      <c r="AL5876">
        <v>90.351169592927704</v>
      </c>
      <c r="AM5876">
        <v>78.0978980754292</v>
      </c>
      <c r="AN5876">
        <v>0.99999995822570198</v>
      </c>
    </row>
    <row r="5877" spans="1:40" x14ac:dyDescent="0.25">
      <c r="A5877" t="str">
        <f>"20190312154039158"</f>
        <v>20190312154039158</v>
      </c>
      <c r="B5877" t="str">
        <f>"1552376439142455"</f>
        <v>1552376439142455</v>
      </c>
      <c r="C5877" t="s">
        <v>40</v>
      </c>
      <c r="D5877">
        <v>4.3476850000000002</v>
      </c>
      <c r="E5877">
        <v>0.54564799999999902</v>
      </c>
      <c r="F5877" t="s">
        <v>42</v>
      </c>
      <c r="G5877">
        <v>-212.8355</v>
      </c>
      <c r="H5877" s="1">
        <v>-3.8282909999999998E-6</v>
      </c>
      <c r="I5877">
        <v>141.3494</v>
      </c>
      <c r="J5877">
        <v>-203.42740000000001</v>
      </c>
      <c r="K5877">
        <v>1.1064579999999999</v>
      </c>
      <c r="L5877">
        <v>143.28299999999999</v>
      </c>
      <c r="M5877">
        <v>-0.8749538</v>
      </c>
      <c r="N5877">
        <v>0</v>
      </c>
      <c r="O5877">
        <v>-0.48417779999999999</v>
      </c>
      <c r="P5877">
        <v>-0.95632609999999996</v>
      </c>
      <c r="Q5877">
        <v>-1.00053E-2</v>
      </c>
      <c r="R5877">
        <v>-0.2921318</v>
      </c>
      <c r="S5877">
        <v>-2.9480439999999999</v>
      </c>
      <c r="T5877">
        <v>-0.34281420000000001</v>
      </c>
      <c r="U5877">
        <v>-0.61492919999999995</v>
      </c>
      <c r="V5877">
        <v>0.20739769999999999</v>
      </c>
      <c r="W5877">
        <v>-6.1583460000000003E-3</v>
      </c>
      <c r="X5877">
        <v>0.97823729999999998</v>
      </c>
      <c r="Y5877">
        <v>0.29064479999999998</v>
      </c>
      <c r="Z5877">
        <v>6.9660540000000007E-2</v>
      </c>
      <c r="AA5877">
        <v>0.95429189999999997</v>
      </c>
      <c r="AB5877">
        <v>12</v>
      </c>
      <c r="AC5877">
        <v>-9.4080999999999904</v>
      </c>
      <c r="AD5877">
        <v>-1.1064618282909999</v>
      </c>
      <c r="AE5877">
        <v>-1.93359999999998</v>
      </c>
      <c r="AF5877">
        <v>2.8259196039489098</v>
      </c>
      <c r="AG5877">
        <v>-1.1064618282909999</v>
      </c>
      <c r="AH5877">
        <v>9.0479119205484508</v>
      </c>
      <c r="AI5877">
        <v>96.657908163014795</v>
      </c>
      <c r="AJ5877">
        <v>72.654934467631705</v>
      </c>
      <c r="AK5877">
        <v>9.5433112443978594</v>
      </c>
      <c r="AL5877">
        <v>90.352849474394901</v>
      </c>
      <c r="AM5877">
        <v>78.029875070040106</v>
      </c>
      <c r="AN5877">
        <v>0.99999997315101696</v>
      </c>
    </row>
    <row r="5878" spans="1:40" x14ac:dyDescent="0.25">
      <c r="A5878" t="str">
        <f>"20190312154039181"</f>
        <v>20190312154039181</v>
      </c>
      <c r="B5878" t="str">
        <f>"1552376439171734"</f>
        <v>1552376439171734</v>
      </c>
      <c r="C5878" t="s">
        <v>40</v>
      </c>
      <c r="D5878">
        <v>4.2444119999999996</v>
      </c>
      <c r="E5878">
        <v>0.55668899999999999</v>
      </c>
      <c r="F5878" t="s">
        <v>42</v>
      </c>
      <c r="G5878">
        <v>-213.23390000000001</v>
      </c>
      <c r="H5878" s="1">
        <v>-3.6963000000000001E-6</v>
      </c>
      <c r="I5878">
        <v>141.56100000000001</v>
      </c>
      <c r="J5878">
        <v>-203.54920000000001</v>
      </c>
      <c r="K5878">
        <v>1.106328</v>
      </c>
      <c r="L5878">
        <v>143.22630000000001</v>
      </c>
      <c r="M5878">
        <v>-0.87885769999999996</v>
      </c>
      <c r="N5878">
        <v>0</v>
      </c>
      <c r="O5878">
        <v>-0.47705730000000002</v>
      </c>
      <c r="P5878">
        <v>-0.95900890000000005</v>
      </c>
      <c r="Q5878">
        <v>-9.9662110000000009E-3</v>
      </c>
      <c r="R5878">
        <v>-0.28320050000000002</v>
      </c>
      <c r="S5878">
        <v>-2.9739990000000001</v>
      </c>
      <c r="T5878">
        <v>-0.3355554</v>
      </c>
      <c r="U5878">
        <v>-0.52221679999999904</v>
      </c>
      <c r="V5878">
        <v>0.20857419999999999</v>
      </c>
      <c r="W5878">
        <v>-6.4086509999999996E-3</v>
      </c>
      <c r="X5878">
        <v>0.97798560000000001</v>
      </c>
      <c r="Y5878">
        <v>0.31329759999999901</v>
      </c>
      <c r="Z5878">
        <v>6.8480520000000003E-2</v>
      </c>
      <c r="AA5878">
        <v>0.94718270000000004</v>
      </c>
      <c r="AB5878">
        <v>12</v>
      </c>
      <c r="AC5878">
        <v>-9.6846999999999905</v>
      </c>
      <c r="AD5878">
        <v>-1.1063316963000001</v>
      </c>
      <c r="AE5878">
        <v>-1.6653</v>
      </c>
      <c r="AF5878">
        <v>3.1171261382269</v>
      </c>
      <c r="AG5878">
        <v>-1.1063316963000001</v>
      </c>
      <c r="AH5878">
        <v>9.1895587433837491</v>
      </c>
      <c r="AI5878">
        <v>96.504191149808506</v>
      </c>
      <c r="AJ5878">
        <v>71.262908246197597</v>
      </c>
      <c r="AK5878">
        <v>9.7667003169932496</v>
      </c>
      <c r="AL5878">
        <v>90.3671911495355</v>
      </c>
      <c r="AM5878">
        <v>77.960939883940597</v>
      </c>
      <c r="AN5878">
        <v>1.00000005076031</v>
      </c>
    </row>
    <row r="5879" spans="1:40" x14ac:dyDescent="0.25">
      <c r="A5879" t="str">
        <f>"20190312154039202"</f>
        <v>20190312154039202</v>
      </c>
      <c r="B5879" t="str">
        <f>"1552376439192230"</f>
        <v>1552376439192230</v>
      </c>
      <c r="C5879" t="s">
        <v>40</v>
      </c>
      <c r="D5879">
        <v>4.2461129999999896</v>
      </c>
      <c r="E5879">
        <v>0.56046669999999998</v>
      </c>
      <c r="F5879" t="s">
        <v>42</v>
      </c>
      <c r="G5879">
        <v>-214.8991</v>
      </c>
      <c r="H5879" s="1">
        <v>-2.9390609999999999E-6</v>
      </c>
      <c r="I5879">
        <v>141.67349999999999</v>
      </c>
      <c r="J5879">
        <v>-203.66560000000001</v>
      </c>
      <c r="K5879">
        <v>1.1062080000000001</v>
      </c>
      <c r="L5879">
        <v>143.17320000000001</v>
      </c>
      <c r="M5879">
        <v>-0.8825231</v>
      </c>
      <c r="N5879">
        <v>0</v>
      </c>
      <c r="O5879">
        <v>-0.47024490000000002</v>
      </c>
      <c r="P5879">
        <v>-0.96107659999999995</v>
      </c>
      <c r="Q5879">
        <v>-1.110417E-2</v>
      </c>
      <c r="R5879">
        <v>-0.27605970000000002</v>
      </c>
      <c r="S5879">
        <v>-3.0038299999999998</v>
      </c>
      <c r="T5879">
        <v>-0.292798</v>
      </c>
      <c r="U5879">
        <v>-0.41096500000000002</v>
      </c>
      <c r="V5879">
        <v>0.20826639999999999</v>
      </c>
      <c r="W5879">
        <v>-7.8301769999999903E-3</v>
      </c>
      <c r="X5879">
        <v>0.97804080000000004</v>
      </c>
      <c r="Y5879">
        <v>0.34269500000000003</v>
      </c>
      <c r="Z5879">
        <v>6.0325410000000003E-2</v>
      </c>
      <c r="AA5879">
        <v>0.93750789999999995</v>
      </c>
      <c r="AB5879">
        <v>12</v>
      </c>
      <c r="AC5879">
        <v>-11.2334999999999</v>
      </c>
      <c r="AD5879">
        <v>-1.106210939061</v>
      </c>
      <c r="AE5879">
        <v>-1.49970000000001</v>
      </c>
      <c r="AF5879">
        <v>3.9216580229751599</v>
      </c>
      <c r="AG5879">
        <v>-1.106210939061</v>
      </c>
      <c r="AH5879">
        <v>10.518952056796399</v>
      </c>
      <c r="AI5879">
        <v>95.627658384542897</v>
      </c>
      <c r="AJ5879">
        <v>69.553623327644203</v>
      </c>
      <c r="AK5879">
        <v>11.2805787379923</v>
      </c>
      <c r="AL5879">
        <v>90.4486406769241</v>
      </c>
      <c r="AM5879">
        <v>77.978847866093105</v>
      </c>
      <c r="AN5879">
        <v>1.0000000057527201</v>
      </c>
    </row>
    <row r="5880" spans="1:40" x14ac:dyDescent="0.25">
      <c r="A5880" t="str">
        <f>"20190312154039224"</f>
        <v>20190312154039224</v>
      </c>
      <c r="B5880" t="str">
        <f>"1552376439211750"</f>
        <v>1552376439211750</v>
      </c>
      <c r="C5880" t="s">
        <v>40</v>
      </c>
      <c r="D5880">
        <v>4.2744030000000004</v>
      </c>
      <c r="E5880">
        <v>0.56345210000000001</v>
      </c>
      <c r="F5880" t="s">
        <v>42</v>
      </c>
      <c r="G5880">
        <v>-215.28919999999999</v>
      </c>
      <c r="H5880" s="1">
        <v>-2.7850110000000001E-6</v>
      </c>
      <c r="I5880">
        <v>141.7876</v>
      </c>
      <c r="J5880">
        <v>-203.77940000000001</v>
      </c>
      <c r="K5880">
        <v>1.106093</v>
      </c>
      <c r="L5880">
        <v>143.1223</v>
      </c>
      <c r="M5880">
        <v>-0.88603909999999997</v>
      </c>
      <c r="N5880">
        <v>0</v>
      </c>
      <c r="O5880">
        <v>-0.46358850000000001</v>
      </c>
      <c r="P5880">
        <v>-0.96284239999999999</v>
      </c>
      <c r="Q5880">
        <v>-1.291394E-2</v>
      </c>
      <c r="R5880">
        <v>-0.26975500000000002</v>
      </c>
      <c r="S5880">
        <v>-3.0149379999999999</v>
      </c>
      <c r="T5880">
        <v>-0.28693039999999997</v>
      </c>
      <c r="U5880">
        <v>-0.35940549999999999</v>
      </c>
      <c r="V5880">
        <v>0.20728769999999999</v>
      </c>
      <c r="W5880">
        <v>-9.914829E-3</v>
      </c>
      <c r="X5880">
        <v>0.97822980000000004</v>
      </c>
      <c r="Y5880">
        <v>0.35199249999999999</v>
      </c>
      <c r="Z5880">
        <v>5.8895749999999997E-2</v>
      </c>
      <c r="AA5880">
        <v>0.93414810000000004</v>
      </c>
      <c r="AB5880">
        <v>13</v>
      </c>
      <c r="AC5880">
        <v>-11.509799999999901</v>
      </c>
      <c r="AD5880">
        <v>-1.106095785011</v>
      </c>
      <c r="AE5880">
        <v>-1.33469999999999</v>
      </c>
      <c r="AF5880">
        <v>4.1157511726881699</v>
      </c>
      <c r="AG5880">
        <v>-1.106095785011</v>
      </c>
      <c r="AH5880">
        <v>10.7193125575069</v>
      </c>
      <c r="AI5880">
        <v>95.502356589438406</v>
      </c>
      <c r="AJ5880">
        <v>68.995375969709002</v>
      </c>
      <c r="AK5880">
        <v>11.535446125166899</v>
      </c>
      <c r="AL5880">
        <v>90.568087153847799</v>
      </c>
      <c r="AM5880">
        <v>78.035951736972393</v>
      </c>
      <c r="AN5880">
        <v>1.0000000180067099</v>
      </c>
    </row>
    <row r="5881" spans="1:40" x14ac:dyDescent="0.25">
      <c r="A5881" t="str">
        <f>"20190312154039246"</f>
        <v>20190312154039246</v>
      </c>
      <c r="B5881" t="str">
        <f>"1552376439232245"</f>
        <v>1552376439232245</v>
      </c>
      <c r="C5881" t="s">
        <v>40</v>
      </c>
      <c r="D5881">
        <v>4.2988439999999999</v>
      </c>
      <c r="E5881">
        <v>0.56498019999999904</v>
      </c>
      <c r="F5881" t="s">
        <v>42</v>
      </c>
      <c r="G5881">
        <v>-215.67689999999999</v>
      </c>
      <c r="H5881" s="1">
        <v>-2.6252400000000001E-6</v>
      </c>
      <c r="I5881">
        <v>141.8759</v>
      </c>
      <c r="J5881">
        <v>-203.90090000000001</v>
      </c>
      <c r="K5881">
        <v>1.10598</v>
      </c>
      <c r="L5881">
        <v>143.06899999999999</v>
      </c>
      <c r="M5881">
        <v>-0.88971149999999999</v>
      </c>
      <c r="N5881">
        <v>0</v>
      </c>
      <c r="O5881">
        <v>-0.45650370000000001</v>
      </c>
      <c r="P5881">
        <v>-0.9644355</v>
      </c>
      <c r="Q5881">
        <v>-1.3922489999999999E-2</v>
      </c>
      <c r="R5881">
        <v>-0.26395200000000002</v>
      </c>
      <c r="S5881">
        <v>-3.0232700000000001</v>
      </c>
      <c r="T5881">
        <v>-0.28107090000000001</v>
      </c>
      <c r="U5881">
        <v>-0.31672670000000003</v>
      </c>
      <c r="V5881">
        <v>0.20535490000000001</v>
      </c>
      <c r="W5881">
        <v>-1.1203980000000001E-2</v>
      </c>
      <c r="X5881">
        <v>0.97862340000000003</v>
      </c>
      <c r="Y5881">
        <v>0.3580006</v>
      </c>
      <c r="Z5881">
        <v>5.7313639999999999E-2</v>
      </c>
      <c r="AA5881">
        <v>0.93196069999999998</v>
      </c>
      <c r="AB5881">
        <v>13</v>
      </c>
      <c r="AC5881">
        <v>-11.7759999999999</v>
      </c>
      <c r="AD5881">
        <v>-1.10598262523999</v>
      </c>
      <c r="AE5881">
        <v>-1.1930999999999801</v>
      </c>
      <c r="AF5881">
        <v>4.27696885469802</v>
      </c>
      <c r="AG5881">
        <v>-1.10598262523999</v>
      </c>
      <c r="AH5881">
        <v>10.9265949077888</v>
      </c>
      <c r="AI5881">
        <v>95.384553337462705</v>
      </c>
      <c r="AJ5881">
        <v>68.623262816252904</v>
      </c>
      <c r="AK5881">
        <v>11.7858447482693</v>
      </c>
      <c r="AL5881">
        <v>90.641954223557704</v>
      </c>
      <c r="AM5881">
        <v>78.148969557098496</v>
      </c>
      <c r="AN5881">
        <v>0.99999996157470405</v>
      </c>
    </row>
    <row r="5882" spans="1:40" x14ac:dyDescent="0.25">
      <c r="A5882" t="str">
        <f>"20190312154039270"</f>
        <v>20190312154039270</v>
      </c>
      <c r="B5882" t="str">
        <f>"1552376439262502"</f>
        <v>1552376439262502</v>
      </c>
      <c r="C5882" t="s">
        <v>40</v>
      </c>
      <c r="D5882">
        <v>4.3304669999999996</v>
      </c>
      <c r="E5882">
        <v>0.56635150000000001</v>
      </c>
      <c r="F5882" t="s">
        <v>42</v>
      </c>
      <c r="G5882">
        <v>-215.82429999999999</v>
      </c>
      <c r="H5882" s="1">
        <v>-2.5722929999999999E-6</v>
      </c>
      <c r="I5882">
        <v>141.93870000000001</v>
      </c>
      <c r="J5882">
        <v>-204.02969999999999</v>
      </c>
      <c r="K5882">
        <v>1.105877</v>
      </c>
      <c r="L5882">
        <v>143.0137</v>
      </c>
      <c r="M5882">
        <v>-0.89352030000000005</v>
      </c>
      <c r="N5882">
        <v>0</v>
      </c>
      <c r="O5882">
        <v>-0.44900509999999899</v>
      </c>
      <c r="P5882">
        <v>-0.9661111</v>
      </c>
      <c r="Q5882">
        <v>-1.3449600000000001E-2</v>
      </c>
      <c r="R5882">
        <v>-0.25777600000000001</v>
      </c>
      <c r="S5882">
        <v>-3.028</v>
      </c>
      <c r="T5882">
        <v>-0.28086860000000002</v>
      </c>
      <c r="U5882">
        <v>-0.28704829999999998</v>
      </c>
      <c r="V5882">
        <v>0.20338790000000001</v>
      </c>
      <c r="W5882">
        <v>-1.101768E-2</v>
      </c>
      <c r="X5882">
        <v>0.97903629999999997</v>
      </c>
      <c r="Y5882">
        <v>0.35938209999999998</v>
      </c>
      <c r="Z5882">
        <v>5.6677499999999999E-2</v>
      </c>
      <c r="AA5882">
        <v>0.93146779999999996</v>
      </c>
      <c r="AB5882">
        <v>13</v>
      </c>
      <c r="AC5882">
        <v>-11.794600000000001</v>
      </c>
      <c r="AD5882">
        <v>-1.1058795722929999</v>
      </c>
      <c r="AE5882">
        <v>-1.07499999999998</v>
      </c>
      <c r="AF5882">
        <v>4.2978634968977198</v>
      </c>
      <c r="AG5882">
        <v>-1.1058795722929999</v>
      </c>
      <c r="AH5882">
        <v>10.9262191479101</v>
      </c>
      <c r="AI5882">
        <v>95.380734674420495</v>
      </c>
      <c r="AJ5882">
        <v>68.527644865939394</v>
      </c>
      <c r="AK5882">
        <v>11.793085479828401</v>
      </c>
      <c r="AL5882">
        <v>90.631279303438902</v>
      </c>
      <c r="AM5882">
        <v>78.264133658196599</v>
      </c>
      <c r="AN5882">
        <v>1.0000000519283301</v>
      </c>
    </row>
    <row r="5883" spans="1:40" x14ac:dyDescent="0.25">
      <c r="A5883" t="str">
        <f>"20190312154039292"</f>
        <v>20190312154039292</v>
      </c>
      <c r="B5883" t="str">
        <f>"1552376439282022"</f>
        <v>1552376439282022</v>
      </c>
      <c r="C5883" t="s">
        <v>40</v>
      </c>
      <c r="D5883">
        <v>4.3576230000000002</v>
      </c>
      <c r="E5883">
        <v>0.56680680000000006</v>
      </c>
      <c r="F5883" t="s">
        <v>42</v>
      </c>
      <c r="G5883">
        <v>-216.35830000000001</v>
      </c>
      <c r="H5883" s="1">
        <v>-2.3274419999999998E-6</v>
      </c>
      <c r="I5883">
        <v>141.96719999999999</v>
      </c>
      <c r="J5883">
        <v>-204.1617</v>
      </c>
      <c r="K5883">
        <v>1.1057669999999999</v>
      </c>
      <c r="L5883">
        <v>142.95840000000001</v>
      </c>
      <c r="M5883">
        <v>-0.89732969999999901</v>
      </c>
      <c r="N5883">
        <v>0</v>
      </c>
      <c r="O5883">
        <v>-0.44134489999999998</v>
      </c>
      <c r="P5883">
        <v>-0.96792920000000005</v>
      </c>
      <c r="Q5883">
        <v>-1.2200910000000001E-2</v>
      </c>
      <c r="R5883">
        <v>-0.25092680000000001</v>
      </c>
      <c r="S5883">
        <v>-3.0327449999999998</v>
      </c>
      <c r="T5883">
        <v>-0.27203880000000003</v>
      </c>
      <c r="U5883">
        <v>-0.25744630000000002</v>
      </c>
      <c r="V5883">
        <v>0.2019591</v>
      </c>
      <c r="W5883">
        <v>-1.004916E-2</v>
      </c>
      <c r="X5883">
        <v>0.97934239999999995</v>
      </c>
      <c r="Y5883">
        <v>0.36079260000000002</v>
      </c>
      <c r="Z5883">
        <v>5.4309080000000003E-2</v>
      </c>
      <c r="AA5883">
        <v>0.93106350000000004</v>
      </c>
      <c r="AB5883">
        <v>13</v>
      </c>
      <c r="AC5883">
        <v>-12.1966</v>
      </c>
      <c r="AD5883">
        <v>-1.105769327442</v>
      </c>
      <c r="AE5883">
        <v>-0.99120000000001995</v>
      </c>
      <c r="AF5883">
        <v>4.4571103045805298</v>
      </c>
      <c r="AG5883">
        <v>-1.105769327442</v>
      </c>
      <c r="AH5883">
        <v>11.2897243315038</v>
      </c>
      <c r="AI5883">
        <v>95.205394661918206</v>
      </c>
      <c r="AJ5883">
        <v>68.456213219068701</v>
      </c>
      <c r="AK5883">
        <v>12.1879626498467</v>
      </c>
      <c r="AL5883">
        <v>90.575784146878505</v>
      </c>
      <c r="AM5883">
        <v>78.3478580911992</v>
      </c>
      <c r="AN5883">
        <v>1.00000000006363</v>
      </c>
    </row>
    <row r="5884" spans="1:40" x14ac:dyDescent="0.25">
      <c r="A5884" t="str">
        <f>"20190312154039315"</f>
        <v>20190312154039315</v>
      </c>
      <c r="B5884" t="str">
        <f>"1552376439302519"</f>
        <v>1552376439302519</v>
      </c>
      <c r="C5884" t="s">
        <v>40</v>
      </c>
      <c r="D5884">
        <v>4.2982089999999999</v>
      </c>
      <c r="E5884">
        <v>0.56691650000000005</v>
      </c>
      <c r="F5884" t="s">
        <v>42</v>
      </c>
      <c r="G5884">
        <v>-217.0001</v>
      </c>
      <c r="H5884" s="1">
        <v>-2.0259060000000001E-6</v>
      </c>
      <c r="I5884">
        <v>141.97409999999999</v>
      </c>
      <c r="J5884">
        <v>-204.28919999999999</v>
      </c>
      <c r="K5884">
        <v>1.105677</v>
      </c>
      <c r="L5884">
        <v>142.90610000000001</v>
      </c>
      <c r="M5884">
        <v>-0.90092410000000001</v>
      </c>
      <c r="N5884">
        <v>0</v>
      </c>
      <c r="O5884">
        <v>-0.43396269999999998</v>
      </c>
      <c r="P5884">
        <v>-0.96989879999999995</v>
      </c>
      <c r="Q5884">
        <v>-1.146843E-2</v>
      </c>
      <c r="R5884">
        <v>-0.24323890000000001</v>
      </c>
      <c r="S5884">
        <v>-3.0357509999999999</v>
      </c>
      <c r="T5884">
        <v>-0.26146970000000003</v>
      </c>
      <c r="U5884">
        <v>-0.23274230000000001</v>
      </c>
      <c r="V5884">
        <v>0.2016946</v>
      </c>
      <c r="W5884">
        <v>-9.5763170000000009E-3</v>
      </c>
      <c r="X5884">
        <v>0.97940159999999998</v>
      </c>
      <c r="Y5884">
        <v>0.36100710000000003</v>
      </c>
      <c r="Z5884">
        <v>5.1624419999999997E-2</v>
      </c>
      <c r="AA5884">
        <v>0.93113310000000005</v>
      </c>
      <c r="AB5884">
        <v>13</v>
      </c>
      <c r="AC5884">
        <v>-12.710900000000001</v>
      </c>
      <c r="AD5884">
        <v>-1.1056790259060001</v>
      </c>
      <c r="AE5884">
        <v>-0.93200000000001604</v>
      </c>
      <c r="AF5884">
        <v>4.6414907295632997</v>
      </c>
      <c r="AG5884">
        <v>-1.1056790259060001</v>
      </c>
      <c r="AH5884">
        <v>11.767516432543999</v>
      </c>
      <c r="AI5884">
        <v>94.995340532015504</v>
      </c>
      <c r="AJ5884">
        <v>68.474113218317896</v>
      </c>
      <c r="AK5884">
        <v>12.698047302288</v>
      </c>
      <c r="AL5884">
        <v>90.548690958211594</v>
      </c>
      <c r="AM5884">
        <v>78.363386288525604</v>
      </c>
      <c r="AN5884">
        <v>0.99999995579950096</v>
      </c>
    </row>
    <row r="5885" spans="1:40" x14ac:dyDescent="0.25">
      <c r="A5885" t="str">
        <f>"20190312154039335"</f>
        <v>20190312154039335</v>
      </c>
      <c r="B5885" t="str">
        <f>"1552376439322039"</f>
        <v>1552376439322039</v>
      </c>
      <c r="C5885" t="s">
        <v>40</v>
      </c>
      <c r="D5885">
        <v>4.3353679999999999</v>
      </c>
      <c r="E5885">
        <v>0.56691329999999995</v>
      </c>
      <c r="F5885" t="s">
        <v>42</v>
      </c>
      <c r="G5885">
        <v>-217.56739999999999</v>
      </c>
      <c r="H5885" s="1">
        <v>-1.7642169999999901E-6</v>
      </c>
      <c r="I5885">
        <v>141.99850000000001</v>
      </c>
      <c r="J5885">
        <v>-204.4102</v>
      </c>
      <c r="K5885">
        <v>1.1055870000000001</v>
      </c>
      <c r="L5885">
        <v>142.85759999999999</v>
      </c>
      <c r="M5885">
        <v>-0.90426329999999999</v>
      </c>
      <c r="N5885">
        <v>0</v>
      </c>
      <c r="O5885">
        <v>-0.42696269999999997</v>
      </c>
      <c r="P5885">
        <v>-0.9716766</v>
      </c>
      <c r="Q5885">
        <v>-1.0487099999999999E-2</v>
      </c>
      <c r="R5885">
        <v>-0.2360824</v>
      </c>
      <c r="S5885">
        <v>-3.0380400000000001</v>
      </c>
      <c r="T5885">
        <v>-0.25297819999999999</v>
      </c>
      <c r="U5885">
        <v>-0.20765690000000001</v>
      </c>
      <c r="V5885">
        <v>0.2013277</v>
      </c>
      <c r="W5885">
        <v>-8.8239479999999999E-3</v>
      </c>
      <c r="X5885">
        <v>0.97948420000000003</v>
      </c>
      <c r="Y5885">
        <v>0.36168299999999998</v>
      </c>
      <c r="Z5885">
        <v>4.9445999999999997E-2</v>
      </c>
      <c r="AA5885">
        <v>0.93098899999999996</v>
      </c>
      <c r="AB5885">
        <v>13</v>
      </c>
      <c r="AC5885">
        <v>-13.1571999999999</v>
      </c>
      <c r="AD5885">
        <v>-1.1055887642169999</v>
      </c>
      <c r="AE5885">
        <v>-0.85909999999998299</v>
      </c>
      <c r="AF5885">
        <v>4.8070092892417202</v>
      </c>
      <c r="AG5885">
        <v>-1.1055887642169999</v>
      </c>
      <c r="AH5885">
        <v>12.178814227521601</v>
      </c>
      <c r="AI5885">
        <v>94.826615859316405</v>
      </c>
      <c r="AJ5885">
        <v>68.460722969263102</v>
      </c>
      <c r="AK5885">
        <v>13.1397557363485</v>
      </c>
      <c r="AL5885">
        <v>90.505581539392296</v>
      </c>
      <c r="AM5885">
        <v>78.384931468450503</v>
      </c>
      <c r="AN5885">
        <v>1.00000000144761</v>
      </c>
    </row>
    <row r="5886" spans="1:40" x14ac:dyDescent="0.25">
      <c r="A5886" t="str">
        <f>"20190312154039359"</f>
        <v>20190312154039359</v>
      </c>
      <c r="B5886" t="str">
        <f>"1552376439352295"</f>
        <v>1552376439352295</v>
      </c>
      <c r="C5886" t="s">
        <v>40</v>
      </c>
      <c r="D5886">
        <v>4.307696</v>
      </c>
      <c r="E5886">
        <v>0.5666757</v>
      </c>
      <c r="F5886" t="s">
        <v>42</v>
      </c>
      <c r="G5886">
        <v>-218.1704</v>
      </c>
      <c r="H5886" s="1">
        <v>-1.4848449999999999E-6</v>
      </c>
      <c r="I5886">
        <v>142.0198</v>
      </c>
      <c r="J5886">
        <v>-204.54830000000001</v>
      </c>
      <c r="K5886">
        <v>1.105478</v>
      </c>
      <c r="L5886">
        <v>142.80350000000001</v>
      </c>
      <c r="M5886">
        <v>-0.9079912</v>
      </c>
      <c r="N5886">
        <v>0</v>
      </c>
      <c r="O5886">
        <v>-0.41897810000000002</v>
      </c>
      <c r="P5886">
        <v>-0.97375730000000005</v>
      </c>
      <c r="Q5886">
        <v>-9.2705470000000005E-3</v>
      </c>
      <c r="R5886">
        <v>-0.22740050000000001</v>
      </c>
      <c r="S5886">
        <v>-3.039841</v>
      </c>
      <c r="T5886">
        <v>-0.2442414</v>
      </c>
      <c r="U5886">
        <v>-0.18507390000000001</v>
      </c>
      <c r="V5886">
        <v>0.2014502</v>
      </c>
      <c r="W5886">
        <v>-7.855562E-3</v>
      </c>
      <c r="X5886">
        <v>0.97946730000000004</v>
      </c>
      <c r="Y5886">
        <v>0.36060429999999999</v>
      </c>
      <c r="Z5886">
        <v>4.7112019999999998E-2</v>
      </c>
      <c r="AA5886">
        <v>0.93152829999999998</v>
      </c>
      <c r="AB5886">
        <v>14</v>
      </c>
      <c r="AC5886">
        <v>-13.6220999999999</v>
      </c>
      <c r="AD5886">
        <v>-1.105479484845</v>
      </c>
      <c r="AE5886">
        <v>-0.78370000000001006</v>
      </c>
      <c r="AF5886">
        <v>4.9632129351660197</v>
      </c>
      <c r="AG5886">
        <v>-1.105479484845</v>
      </c>
      <c r="AH5886">
        <v>12.614356844100501</v>
      </c>
      <c r="AI5886">
        <v>94.662224245253995</v>
      </c>
      <c r="AJ5886">
        <v>68.5224723590742</v>
      </c>
      <c r="AK5886">
        <v>13.600645797958199</v>
      </c>
      <c r="AL5886">
        <v>90.450095158539497</v>
      </c>
      <c r="AM5886">
        <v>78.377861291930003</v>
      </c>
      <c r="AN5886">
        <v>1.00000004235183</v>
      </c>
    </row>
    <row r="5887" spans="1:40" x14ac:dyDescent="0.25">
      <c r="A5887" t="str">
        <f>"20190312154039381"</f>
        <v>20190312154039381</v>
      </c>
      <c r="B5887" t="str">
        <f>"1552376439371814"</f>
        <v>1552376439371814</v>
      </c>
      <c r="C5887" t="s">
        <v>40</v>
      </c>
      <c r="D5887">
        <v>4.3092300000000003</v>
      </c>
      <c r="E5887">
        <v>0.56650840000000002</v>
      </c>
      <c r="F5887" t="s">
        <v>42</v>
      </c>
      <c r="G5887">
        <v>-218.80439999999999</v>
      </c>
      <c r="H5887" s="1">
        <v>-1.194109E-6</v>
      </c>
      <c r="I5887">
        <v>142.05350000000001</v>
      </c>
      <c r="J5887">
        <v>-204.68819999999999</v>
      </c>
      <c r="K5887">
        <v>1.1053839999999999</v>
      </c>
      <c r="L5887">
        <v>142.75020000000001</v>
      </c>
      <c r="M5887">
        <v>-0.9116803</v>
      </c>
      <c r="N5887">
        <v>0</v>
      </c>
      <c r="O5887">
        <v>-0.41089009999999998</v>
      </c>
      <c r="P5887">
        <v>-0.97573759999999998</v>
      </c>
      <c r="Q5887">
        <v>-7.628162E-3</v>
      </c>
      <c r="R5887">
        <v>-0.21881059999999999</v>
      </c>
      <c r="S5887">
        <v>-3.0412599999999999</v>
      </c>
      <c r="T5887">
        <v>-0.2358325</v>
      </c>
      <c r="U5887">
        <v>-0.1600037</v>
      </c>
      <c r="V5887">
        <v>0.2013905</v>
      </c>
      <c r="W5887">
        <v>-6.4420939999999998E-3</v>
      </c>
      <c r="X5887">
        <v>0.97948990000000002</v>
      </c>
      <c r="Y5887">
        <v>0.36018670000000003</v>
      </c>
      <c r="Z5887">
        <v>4.4906920000000003E-2</v>
      </c>
      <c r="AA5887">
        <v>0.93179880000000004</v>
      </c>
      <c r="AB5887">
        <v>14</v>
      </c>
      <c r="AC5887">
        <v>-14.1161999999999</v>
      </c>
      <c r="AD5887">
        <v>-1.1053851941089901</v>
      </c>
      <c r="AE5887">
        <v>-0.69669999999999199</v>
      </c>
      <c r="AF5887">
        <v>5.13365840270178</v>
      </c>
      <c r="AG5887">
        <v>-1.1053851941089901</v>
      </c>
      <c r="AH5887">
        <v>13.0757995116968</v>
      </c>
      <c r="AI5887">
        <v>94.499296851951399</v>
      </c>
      <c r="AJ5887">
        <v>68.564650318825201</v>
      </c>
      <c r="AK5887">
        <v>14.090878535175801</v>
      </c>
      <c r="AL5887">
        <v>90.369107332348605</v>
      </c>
      <c r="AM5887">
        <v>78.381472657477502</v>
      </c>
      <c r="AN5887">
        <v>1.00000004913368</v>
      </c>
    </row>
    <row r="5888" spans="1:40" x14ac:dyDescent="0.25">
      <c r="A5888" t="str">
        <f>"20190312154039404"</f>
        <v>20190312154039404</v>
      </c>
      <c r="B5888" t="str">
        <f>"1552376439392310"</f>
        <v>1552376439392310</v>
      </c>
      <c r="C5888" t="s">
        <v>40</v>
      </c>
      <c r="D5888">
        <v>4.2774429999999999</v>
      </c>
      <c r="E5888">
        <v>0.56617959999999901</v>
      </c>
      <c r="F5888" t="s">
        <v>42</v>
      </c>
      <c r="G5888">
        <v>-219.46600000000001</v>
      </c>
      <c r="H5888" s="1">
        <v>-8.9284660000000001E-7</v>
      </c>
      <c r="I5888">
        <v>142.09649999999999</v>
      </c>
      <c r="J5888">
        <v>-204.8245</v>
      </c>
      <c r="K5888">
        <v>1.1052869999999999</v>
      </c>
      <c r="L5888">
        <v>142.6996</v>
      </c>
      <c r="M5888">
        <v>-0.91519090000000003</v>
      </c>
      <c r="N5888">
        <v>0</v>
      </c>
      <c r="O5888">
        <v>-0.40301160000000003</v>
      </c>
      <c r="P5888">
        <v>-0.97740830000000001</v>
      </c>
      <c r="Q5888">
        <v>-6.7354310000000001E-3</v>
      </c>
      <c r="R5888">
        <v>-0.21125340000000001</v>
      </c>
      <c r="S5888">
        <v>-3.0426329999999999</v>
      </c>
      <c r="T5888">
        <v>-0.22759090000000001</v>
      </c>
      <c r="U5888">
        <v>-0.13458249999999999</v>
      </c>
      <c r="V5888">
        <v>0.20052929999999999</v>
      </c>
      <c r="W5888">
        <v>-5.7472209999999899E-3</v>
      </c>
      <c r="X5888">
        <v>0.97967079999999995</v>
      </c>
      <c r="Y5888">
        <v>0.36010930000000002</v>
      </c>
      <c r="Z5888">
        <v>4.2798269999999999E-2</v>
      </c>
      <c r="AA5888">
        <v>0.93192790000000003</v>
      </c>
      <c r="AB5888">
        <v>14</v>
      </c>
      <c r="AC5888">
        <v>-14.641499999999899</v>
      </c>
      <c r="AD5888">
        <v>-1.1052878928465999</v>
      </c>
      <c r="AE5888">
        <v>-0.60310000000001196</v>
      </c>
      <c r="AF5888">
        <v>5.3185046483534801</v>
      </c>
      <c r="AG5888">
        <v>-1.1052878928465999</v>
      </c>
      <c r="AH5888">
        <v>13.565696846237</v>
      </c>
      <c r="AI5888">
        <v>94.337876495938801</v>
      </c>
      <c r="AJ5888">
        <v>68.592069427224203</v>
      </c>
      <c r="AK5888">
        <v>14.6128807544794</v>
      </c>
      <c r="AL5888">
        <v>90.329293335334796</v>
      </c>
      <c r="AM5888">
        <v>78.431893009241506</v>
      </c>
      <c r="AN5888">
        <v>0.99999995354017501</v>
      </c>
    </row>
    <row r="5889" spans="1:40" x14ac:dyDescent="0.25">
      <c r="A5889" t="str">
        <f>"20190312154039426"</f>
        <v>20190312154039426</v>
      </c>
      <c r="B5889" t="str">
        <f>"1552376439411830"</f>
        <v>1552376439411830</v>
      </c>
      <c r="C5889" t="s">
        <v>40</v>
      </c>
      <c r="D5889">
        <v>4.2316890000000003</v>
      </c>
      <c r="E5889">
        <v>0.56579820000000003</v>
      </c>
      <c r="F5889" t="s">
        <v>42</v>
      </c>
      <c r="G5889">
        <v>-220.04300000000001</v>
      </c>
      <c r="H5889" s="1">
        <v>-4.7076630000000003E-6</v>
      </c>
      <c r="I5889">
        <v>142.13220000000001</v>
      </c>
      <c r="J5889">
        <v>-204.96369999999999</v>
      </c>
      <c r="K5889">
        <v>1.1051899999999999</v>
      </c>
      <c r="L5889">
        <v>142.64920000000001</v>
      </c>
      <c r="M5889">
        <v>-0.91869210000000001</v>
      </c>
      <c r="N5889">
        <v>0</v>
      </c>
      <c r="O5889">
        <v>-0.39496609999999999</v>
      </c>
      <c r="P5889">
        <v>-0.97905419999999999</v>
      </c>
      <c r="Q5889">
        <v>-6.8724260000000001E-3</v>
      </c>
      <c r="R5889">
        <v>-0.20348479999999999</v>
      </c>
      <c r="S5889">
        <v>-3.0432890000000001</v>
      </c>
      <c r="T5889">
        <v>-0.22102859999999999</v>
      </c>
      <c r="U5889">
        <v>-0.1134491</v>
      </c>
      <c r="V5889">
        <v>0.1997092</v>
      </c>
      <c r="W5889">
        <v>-6.0703390000000001E-3</v>
      </c>
      <c r="X5889">
        <v>0.97983640000000005</v>
      </c>
      <c r="Y5889">
        <v>0.35853889999999999</v>
      </c>
      <c r="Z5889">
        <v>4.097667E-2</v>
      </c>
      <c r="AA5889">
        <v>0.93261499999999997</v>
      </c>
      <c r="AB5889">
        <v>14</v>
      </c>
      <c r="AC5889">
        <v>-15.0793</v>
      </c>
      <c r="AD5889">
        <v>-1.105194707663</v>
      </c>
      <c r="AE5889">
        <v>-0.51699999999999502</v>
      </c>
      <c r="AF5889">
        <v>5.4516162987850603</v>
      </c>
      <c r="AG5889">
        <v>-1.105194707663</v>
      </c>
      <c r="AH5889">
        <v>13.9824557121905</v>
      </c>
      <c r="AI5889">
        <v>94.2117816543863</v>
      </c>
      <c r="AJ5889">
        <v>68.699699009492505</v>
      </c>
      <c r="AK5889">
        <v>15.048277089235</v>
      </c>
      <c r="AL5889">
        <v>90.347806943715597</v>
      </c>
      <c r="AM5889">
        <v>78.479830385534797</v>
      </c>
      <c r="AN5889">
        <v>0.99999999217258695</v>
      </c>
    </row>
    <row r="5890" spans="1:40" x14ac:dyDescent="0.25">
      <c r="A5890" t="str">
        <f>"20190312154039447"</f>
        <v>20190312154039447</v>
      </c>
      <c r="B5890" t="str">
        <f>"1552376439442087"</f>
        <v>1552376439442087</v>
      </c>
      <c r="C5890" t="s">
        <v>40</v>
      </c>
      <c r="D5890">
        <v>4.2364030000000001</v>
      </c>
      <c r="E5890">
        <v>0.57932519999999998</v>
      </c>
      <c r="F5890" t="s">
        <v>42</v>
      </c>
      <c r="G5890">
        <v>-220.3297</v>
      </c>
      <c r="H5890" s="1">
        <v>-4.6191969999999999E-6</v>
      </c>
      <c r="I5890">
        <v>142.18340000000001</v>
      </c>
      <c r="J5890">
        <v>-205.10419999999999</v>
      </c>
      <c r="K5890">
        <v>1.105081</v>
      </c>
      <c r="L5890">
        <v>142.59970000000001</v>
      </c>
      <c r="M5890">
        <v>-0.92214240000000003</v>
      </c>
      <c r="N5890">
        <v>0</v>
      </c>
      <c r="O5890">
        <v>-0.38684289999999999</v>
      </c>
      <c r="P5890">
        <v>-0.98065590000000002</v>
      </c>
      <c r="Q5890">
        <v>-6.7332479999999998E-3</v>
      </c>
      <c r="R5890">
        <v>-0.19562379999999999</v>
      </c>
      <c r="S5890">
        <v>-3.043472</v>
      </c>
      <c r="T5890">
        <v>-0.21890129999999999</v>
      </c>
      <c r="U5890">
        <v>-9.2254639999999999E-2</v>
      </c>
      <c r="V5890">
        <v>0.1989214</v>
      </c>
      <c r="W5890">
        <v>-6.104819E-3</v>
      </c>
      <c r="X5890">
        <v>0.97999639999999999</v>
      </c>
      <c r="Y5890">
        <v>0.35685359999999899</v>
      </c>
      <c r="Z5890">
        <v>3.9991510000000001E-2</v>
      </c>
      <c r="AA5890">
        <v>0.93330389999999996</v>
      </c>
      <c r="AB5890">
        <v>15</v>
      </c>
      <c r="AC5890">
        <v>-15.2255</v>
      </c>
      <c r="AD5890">
        <v>-1.105085619197</v>
      </c>
      <c r="AE5890">
        <v>-0.416300000000006</v>
      </c>
      <c r="AF5890">
        <v>5.4771727265331496</v>
      </c>
      <c r="AG5890">
        <v>-1.105085619197</v>
      </c>
      <c r="AH5890">
        <v>14.126799273629199</v>
      </c>
      <c r="AI5890">
        <v>94.1715414142936</v>
      </c>
      <c r="AJ5890">
        <v>68.807938280368205</v>
      </c>
      <c r="AK5890">
        <v>15.191678413508001</v>
      </c>
      <c r="AL5890">
        <v>90.349782547234796</v>
      </c>
      <c r="AM5890">
        <v>78.525890376629704</v>
      </c>
      <c r="AN5890">
        <v>0.99999996810296998</v>
      </c>
    </row>
    <row r="5891" spans="1:40" x14ac:dyDescent="0.25">
      <c r="A5891" t="str">
        <f>"20190312154039471"</f>
        <v>20190312154039471</v>
      </c>
      <c r="B5891" t="str">
        <f>"1552376439461606"</f>
        <v>1552376439461606</v>
      </c>
      <c r="C5891" t="s">
        <v>40</v>
      </c>
      <c r="D5891">
        <v>4.1771250000000002</v>
      </c>
      <c r="E5891">
        <v>0.58372069999999998</v>
      </c>
      <c r="F5891" t="s">
        <v>42</v>
      </c>
      <c r="G5891">
        <v>-239.90090000000001</v>
      </c>
      <c r="H5891" s="1">
        <v>-9.2546280000000002E-7</v>
      </c>
      <c r="I5891">
        <v>143.00120000000001</v>
      </c>
      <c r="J5891">
        <v>-205.25630000000001</v>
      </c>
      <c r="K5891">
        <v>1.104978</v>
      </c>
      <c r="L5891">
        <v>142.54769999999999</v>
      </c>
      <c r="M5891">
        <v>-0.92578400000000005</v>
      </c>
      <c r="N5891">
        <v>0</v>
      </c>
      <c r="O5891">
        <v>-0.37804650000000001</v>
      </c>
      <c r="P5891">
        <v>-0.98244489999999995</v>
      </c>
      <c r="Q5891">
        <v>-6.6257669999999899E-3</v>
      </c>
      <c r="R5891">
        <v>-0.18643609999999999</v>
      </c>
      <c r="S5891">
        <v>-3.065582</v>
      </c>
      <c r="T5891">
        <v>-9.7357269999999996E-2</v>
      </c>
      <c r="U5891">
        <v>3.5369869999999998E-2</v>
      </c>
      <c r="V5891">
        <v>0.19876289999999999</v>
      </c>
      <c r="W5891">
        <v>-6.1778400000000004E-3</v>
      </c>
      <c r="X5891">
        <v>0.98002820000000002</v>
      </c>
      <c r="Y5891">
        <v>0.38832359999999999</v>
      </c>
      <c r="Z5891">
        <v>1.7942349999999999E-2</v>
      </c>
      <c r="AA5891">
        <v>0.92134839999999996</v>
      </c>
      <c r="AB5891">
        <v>15</v>
      </c>
      <c r="AC5891">
        <v>-34.644599999999997</v>
      </c>
      <c r="AD5891">
        <v>-1.1049789254628</v>
      </c>
      <c r="AE5891">
        <v>0.453500000000019</v>
      </c>
      <c r="AF5891">
        <v>13.5034111740275</v>
      </c>
      <c r="AG5891">
        <v>-1.1049789254628</v>
      </c>
      <c r="AH5891">
        <v>31.869634791430499</v>
      </c>
      <c r="AI5891">
        <v>91.828512324568607</v>
      </c>
      <c r="AJ5891">
        <v>67.037250215282896</v>
      </c>
      <c r="AK5891">
        <v>34.629997307243997</v>
      </c>
      <c r="AL5891">
        <v>90.353966387277694</v>
      </c>
      <c r="AM5891">
        <v>78.535152882405797</v>
      </c>
      <c r="AN5891">
        <v>1.0000000644593501</v>
      </c>
    </row>
    <row r="5892" spans="1:40" x14ac:dyDescent="0.25">
      <c r="A5892" t="str">
        <f>"20190312154039493"</f>
        <v>20190312154039493</v>
      </c>
      <c r="B5892" t="str">
        <f>"1552376439482106"</f>
        <v>1552376439482106</v>
      </c>
      <c r="C5892" t="s">
        <v>40</v>
      </c>
      <c r="D5892">
        <v>4.1654869999999997</v>
      </c>
      <c r="E5892">
        <v>0.58427180000000001</v>
      </c>
      <c r="F5892" t="s">
        <v>42</v>
      </c>
      <c r="G5892">
        <v>-249.9367</v>
      </c>
      <c r="H5892" s="1">
        <v>-1.169226E-6</v>
      </c>
      <c r="I5892">
        <v>143.97499999999999</v>
      </c>
      <c r="J5892">
        <v>-205.40729999999999</v>
      </c>
      <c r="K5892">
        <v>1.104873</v>
      </c>
      <c r="L5892">
        <v>142.49760000000001</v>
      </c>
      <c r="M5892">
        <v>-0.92930040000000003</v>
      </c>
      <c r="N5892">
        <v>0</v>
      </c>
      <c r="O5892">
        <v>-0.36931839999999999</v>
      </c>
      <c r="P5892">
        <v>-0.98408739999999995</v>
      </c>
      <c r="Q5892">
        <v>-4.8634159999999997E-3</v>
      </c>
      <c r="R5892">
        <v>-0.1776189</v>
      </c>
      <c r="S5892">
        <v>-3.0717159999999999</v>
      </c>
      <c r="T5892">
        <v>-7.5965759999999993E-2</v>
      </c>
      <c r="U5892">
        <v>9.8129270000000005E-2</v>
      </c>
      <c r="V5892">
        <v>0.19834679999999999</v>
      </c>
      <c r="W5892">
        <v>-4.577846E-3</v>
      </c>
      <c r="X5892">
        <v>0.98012120000000003</v>
      </c>
      <c r="Y5892">
        <v>0.39857229999999999</v>
      </c>
      <c r="Z5892">
        <v>1.390247E-2</v>
      </c>
      <c r="AA5892">
        <v>0.9170315</v>
      </c>
      <c r="AB5892">
        <v>15</v>
      </c>
      <c r="AC5892">
        <v>-44.529400000000003</v>
      </c>
      <c r="AD5892">
        <v>-1.104874169226</v>
      </c>
      <c r="AE5892">
        <v>1.4773999999999801</v>
      </c>
      <c r="AF5892">
        <v>17.807565796254998</v>
      </c>
      <c r="AG5892">
        <v>-1.104874169226</v>
      </c>
      <c r="AH5892">
        <v>40.810556624438398</v>
      </c>
      <c r="AI5892">
        <v>91.421436924006102</v>
      </c>
      <c r="AJ5892">
        <v>66.426092351997795</v>
      </c>
      <c r="AK5892">
        <v>44.540225398108099</v>
      </c>
      <c r="AL5892">
        <v>90.262292174285506</v>
      </c>
      <c r="AM5892">
        <v>78.559577344166399</v>
      </c>
      <c r="AN5892">
        <v>0.999999988216839</v>
      </c>
    </row>
    <row r="5893" spans="1:40" x14ac:dyDescent="0.25">
      <c r="A5893" t="str">
        <f>"20190312154039516"</f>
        <v>20190312154039516</v>
      </c>
      <c r="B5893" t="str">
        <f>"1552376439501623"</f>
        <v>1552376439501623</v>
      </c>
      <c r="C5893" t="s">
        <v>40</v>
      </c>
      <c r="D5893">
        <v>4.152844</v>
      </c>
      <c r="E5893">
        <v>0.58340599999999998</v>
      </c>
      <c r="F5893" t="s">
        <v>42</v>
      </c>
      <c r="G5893">
        <v>-260.56029999999998</v>
      </c>
      <c r="H5893" s="1">
        <v>-5.0101279999999996E-6</v>
      </c>
      <c r="I5893">
        <v>144.8296</v>
      </c>
      <c r="J5893">
        <v>-205.55719999999999</v>
      </c>
      <c r="K5893">
        <v>1.1047819999999999</v>
      </c>
      <c r="L5893">
        <v>142.44929999999999</v>
      </c>
      <c r="M5893">
        <v>-0.9326953</v>
      </c>
      <c r="N5893">
        <v>0</v>
      </c>
      <c r="O5893">
        <v>-0.36065950000000002</v>
      </c>
      <c r="P5893">
        <v>-0.98555979999999999</v>
      </c>
      <c r="Q5893">
        <v>-3.299223E-3</v>
      </c>
      <c r="R5893">
        <v>-0.16929520000000001</v>
      </c>
      <c r="S5893">
        <v>-3.0716399999999999</v>
      </c>
      <c r="T5893">
        <v>-6.153405E-2</v>
      </c>
      <c r="U5893">
        <v>0.12988279999999999</v>
      </c>
      <c r="V5893">
        <v>0.19753000000000001</v>
      </c>
      <c r="W5893">
        <v>-3.1560009999999999E-3</v>
      </c>
      <c r="X5893">
        <v>0.98029180000000005</v>
      </c>
      <c r="Y5893">
        <v>0.39959139999999999</v>
      </c>
      <c r="Z5893">
        <v>1.110951E-2</v>
      </c>
      <c r="AA5893">
        <v>0.91662600000000005</v>
      </c>
      <c r="AB5893">
        <v>15</v>
      </c>
      <c r="AC5893">
        <v>-55.003099999999897</v>
      </c>
      <c r="AD5893">
        <v>-1.104787010128</v>
      </c>
      <c r="AE5893">
        <v>2.3803000000000001</v>
      </c>
      <c r="AF5893">
        <v>22.0486527557259</v>
      </c>
      <c r="AG5893">
        <v>-1.104787010128</v>
      </c>
      <c r="AH5893">
        <v>50.422456449517803</v>
      </c>
      <c r="AI5893">
        <v>91.150069939865304</v>
      </c>
      <c r="AJ5893">
        <v>66.381278478141695</v>
      </c>
      <c r="AK5893">
        <v>55.043507855911997</v>
      </c>
      <c r="AL5893">
        <v>90.180825830895301</v>
      </c>
      <c r="AM5893">
        <v>78.607385740989798</v>
      </c>
      <c r="AN5893">
        <v>1.0000000371947699</v>
      </c>
    </row>
    <row r="5894" spans="1:40" x14ac:dyDescent="0.25">
      <c r="A5894" t="str">
        <f>"20190312154039538"</f>
        <v>20190312154039538</v>
      </c>
      <c r="B5894" t="str">
        <f>"1552376439531879"</f>
        <v>1552376439531879</v>
      </c>
      <c r="C5894" t="s">
        <v>40</v>
      </c>
      <c r="D5894">
        <v>4.1251439999999997</v>
      </c>
      <c r="E5894">
        <v>0.58222529999999995</v>
      </c>
      <c r="F5894" t="s">
        <v>42</v>
      </c>
      <c r="G5894">
        <v>-265.58949999999999</v>
      </c>
      <c r="H5894" s="1">
        <v>-3.3931519999999999E-6</v>
      </c>
      <c r="I5894">
        <v>145.3623</v>
      </c>
      <c r="J5894">
        <v>-205.70400000000001</v>
      </c>
      <c r="K5894">
        <v>1.1046860000000001</v>
      </c>
      <c r="L5894">
        <v>142.40360000000001</v>
      </c>
      <c r="M5894">
        <v>-0.93592390000000003</v>
      </c>
      <c r="N5894">
        <v>0</v>
      </c>
      <c r="O5894">
        <v>-0.35219709999999899</v>
      </c>
      <c r="P5894">
        <v>-0.98684899999999998</v>
      </c>
      <c r="Q5894">
        <v>-3.137875E-3</v>
      </c>
      <c r="R5894">
        <v>-0.16161449999999999</v>
      </c>
      <c r="S5894">
        <v>-3.0693820000000001</v>
      </c>
      <c r="T5894">
        <v>-5.6486370000000001E-2</v>
      </c>
      <c r="U5894">
        <v>0.14894099999999999</v>
      </c>
      <c r="V5894">
        <v>0.19628599999999999</v>
      </c>
      <c r="W5894">
        <v>-3.1142700000000001E-3</v>
      </c>
      <c r="X5894">
        <v>0.98054180000000002</v>
      </c>
      <c r="Y5894">
        <v>0.39702090000000001</v>
      </c>
      <c r="Z5894">
        <v>1.0034639999999999E-2</v>
      </c>
      <c r="AA5894">
        <v>0.91775469999999904</v>
      </c>
      <c r="AB5894">
        <v>15</v>
      </c>
      <c r="AC5894">
        <v>-59.885499999999901</v>
      </c>
      <c r="AD5894">
        <v>-1.1046893931520001</v>
      </c>
      <c r="AE5894">
        <v>2.9586999999999901</v>
      </c>
      <c r="AF5894">
        <v>23.852564296586699</v>
      </c>
      <c r="AG5894">
        <v>-1.1046893931520001</v>
      </c>
      <c r="AH5894">
        <v>54.987660045532103</v>
      </c>
      <c r="AI5894">
        <v>91.055868825519596</v>
      </c>
      <c r="AJ5894">
        <v>66.549749472856405</v>
      </c>
      <c r="AK5894">
        <v>59.9483771211628</v>
      </c>
      <c r="AL5894">
        <v>90.178434805522599</v>
      </c>
      <c r="AM5894">
        <v>78.680087106142395</v>
      </c>
      <c r="AN5894">
        <v>1.0000000570104299</v>
      </c>
    </row>
    <row r="5895" spans="1:40" x14ac:dyDescent="0.25">
      <c r="A5895" t="str">
        <f>"20190312154039561"</f>
        <v>20190312154039561</v>
      </c>
      <c r="B5895" t="str">
        <f>"1552376439552374"</f>
        <v>1552376439552374</v>
      </c>
      <c r="C5895" t="s">
        <v>40</v>
      </c>
      <c r="D5895">
        <v>4.1061870000000003</v>
      </c>
      <c r="E5895">
        <v>0.58103269999999996</v>
      </c>
      <c r="F5895" t="s">
        <v>42</v>
      </c>
      <c r="G5895">
        <v>-267.13299999999998</v>
      </c>
      <c r="H5895" s="1">
        <v>-2.8258269999999998E-6</v>
      </c>
      <c r="I5895">
        <v>145.68049999999999</v>
      </c>
      <c r="J5895">
        <v>-205.86689999999999</v>
      </c>
      <c r="K5895">
        <v>1.104584</v>
      </c>
      <c r="L5895">
        <v>142.3546</v>
      </c>
      <c r="M5895">
        <v>-0.93939110000000003</v>
      </c>
      <c r="N5895">
        <v>0</v>
      </c>
      <c r="O5895">
        <v>-0.3428426</v>
      </c>
      <c r="P5895">
        <v>-0.98812080000000002</v>
      </c>
      <c r="Q5895">
        <v>-2.9310019999999998E-3</v>
      </c>
      <c r="R5895">
        <v>-0.15365219999999999</v>
      </c>
      <c r="S5895">
        <v>-3.066589</v>
      </c>
      <c r="T5895">
        <v>-5.5147050000000003E-2</v>
      </c>
      <c r="U5895">
        <v>0.1635895</v>
      </c>
      <c r="V5895">
        <v>0.19441040000000001</v>
      </c>
      <c r="W5895">
        <v>-3.015799E-3</v>
      </c>
      <c r="X5895">
        <v>0.98091569999999995</v>
      </c>
      <c r="Y5895">
        <v>0.39228049999999998</v>
      </c>
      <c r="Z5895">
        <v>9.6028329999999999E-3</v>
      </c>
      <c r="AA5895">
        <v>0.91979549999999999</v>
      </c>
      <c r="AB5895">
        <v>16</v>
      </c>
      <c r="AC5895">
        <v>-61.266100000000002</v>
      </c>
      <c r="AD5895">
        <v>-1.104586825827</v>
      </c>
      <c r="AE5895">
        <v>3.3258999999999901</v>
      </c>
      <c r="AF5895">
        <v>24.121172131240399</v>
      </c>
      <c r="AG5895">
        <v>-1.104586825827</v>
      </c>
      <c r="AH5895">
        <v>56.394384797886701</v>
      </c>
      <c r="AI5895">
        <v>91.031708617389896</v>
      </c>
      <c r="AJ5895">
        <v>66.842493180082997</v>
      </c>
      <c r="AK5895">
        <v>61.3463747402634</v>
      </c>
      <c r="AL5895">
        <v>90.172792807054194</v>
      </c>
      <c r="AM5895">
        <v>78.789666112933403</v>
      </c>
      <c r="AN5895">
        <v>1.0000000545891199</v>
      </c>
    </row>
    <row r="5896" spans="1:40" x14ac:dyDescent="0.25">
      <c r="A5896" t="str">
        <f>"20190312154039582"</f>
        <v>20190312154039582</v>
      </c>
      <c r="B5896" t="str">
        <f>"1552376439571898"</f>
        <v>1552376439571898</v>
      </c>
      <c r="C5896" t="s">
        <v>40</v>
      </c>
      <c r="D5896">
        <v>4.0880619999999999</v>
      </c>
      <c r="E5896">
        <v>0.57979080000000005</v>
      </c>
      <c r="F5896" t="s">
        <v>42</v>
      </c>
      <c r="G5896">
        <v>-263.25110000000001</v>
      </c>
      <c r="H5896" s="1">
        <v>-4.2496150000000001E-6</v>
      </c>
      <c r="I5896">
        <v>145.70439999999999</v>
      </c>
      <c r="J5896">
        <v>-206.0187</v>
      </c>
      <c r="K5896">
        <v>1.1044989999999999</v>
      </c>
      <c r="L5896">
        <v>142.31039999999999</v>
      </c>
      <c r="M5896">
        <v>-0.94251390000000002</v>
      </c>
      <c r="N5896">
        <v>0</v>
      </c>
      <c r="O5896">
        <v>-0.33416190000000001</v>
      </c>
      <c r="P5896">
        <v>-0.98936749999999996</v>
      </c>
      <c r="Q5896">
        <v>-9.6080549999999997E-4</v>
      </c>
      <c r="R5896">
        <v>-0.14543399999999901</v>
      </c>
      <c r="S5896">
        <v>-3.0637050000000001</v>
      </c>
      <c r="T5896">
        <v>-5.8973310000000001E-2</v>
      </c>
      <c r="U5896">
        <v>0.17884829999999999</v>
      </c>
      <c r="V5896">
        <v>0.19353400000000001</v>
      </c>
      <c r="W5896">
        <v>-1.1413319999999999E-3</v>
      </c>
      <c r="X5896">
        <v>0.98109290000000005</v>
      </c>
      <c r="Y5896">
        <v>0.3883895</v>
      </c>
      <c r="Z5896">
        <v>1.0081390000000001E-2</v>
      </c>
      <c r="AA5896">
        <v>0.92144020000000004</v>
      </c>
      <c r="AB5896">
        <v>16</v>
      </c>
      <c r="AC5896">
        <v>-57.232399999999998</v>
      </c>
      <c r="AD5896">
        <v>-1.10450324961499</v>
      </c>
      <c r="AE5896">
        <v>3.3940000000000001</v>
      </c>
      <c r="AF5896">
        <v>22.315535396961401</v>
      </c>
      <c r="AG5896">
        <v>-1.10450324961499</v>
      </c>
      <c r="AH5896">
        <v>52.788684662827599</v>
      </c>
      <c r="AI5896">
        <v>91.104060199639704</v>
      </c>
      <c r="AJ5896">
        <v>67.084600246388405</v>
      </c>
      <c r="AK5896">
        <v>57.322319177724303</v>
      </c>
      <c r="AL5896">
        <v>90.065393521140194</v>
      </c>
      <c r="AM5896">
        <v>78.840895917537694</v>
      </c>
      <c r="AN5896">
        <v>0.99999999511257198</v>
      </c>
    </row>
    <row r="5897" spans="1:40" x14ac:dyDescent="0.25">
      <c r="A5897" t="str">
        <f>"20190312154039604"</f>
        <v>20190312154039604</v>
      </c>
      <c r="B5897" t="str">
        <f>"1552376439592390"</f>
        <v>1552376439592390</v>
      </c>
      <c r="C5897" t="s">
        <v>40</v>
      </c>
      <c r="D5897">
        <v>4.0352750000000004</v>
      </c>
      <c r="E5897">
        <v>0.57921029999999996</v>
      </c>
      <c r="F5897" t="s">
        <v>42</v>
      </c>
      <c r="G5897">
        <v>-264.92579999999998</v>
      </c>
      <c r="H5897" s="1">
        <v>-3.7417300000000001E-6</v>
      </c>
      <c r="I5897">
        <v>146.054</v>
      </c>
      <c r="J5897">
        <v>-206.17410000000001</v>
      </c>
      <c r="K5897">
        <v>1.1044290000000001</v>
      </c>
      <c r="L5897">
        <v>142.26669999999999</v>
      </c>
      <c r="M5897">
        <v>-0.94560259999999996</v>
      </c>
      <c r="N5897">
        <v>0</v>
      </c>
      <c r="O5897">
        <v>-0.32531969999999999</v>
      </c>
      <c r="P5897">
        <v>-0.99052899999999999</v>
      </c>
      <c r="Q5897">
        <v>2.2529690000000001E-3</v>
      </c>
      <c r="R5897">
        <v>-0.13728570000000001</v>
      </c>
      <c r="S5897">
        <v>-3.0608059999999999</v>
      </c>
      <c r="T5897">
        <v>-5.7389860000000001E-2</v>
      </c>
      <c r="U5897">
        <v>0.194519</v>
      </c>
      <c r="V5897">
        <v>0.19245180000000001</v>
      </c>
      <c r="W5897">
        <v>1.9910959999999999E-3</v>
      </c>
      <c r="X5897">
        <v>0.98130439999999997</v>
      </c>
      <c r="Y5897">
        <v>0.38451550000000001</v>
      </c>
      <c r="Z5897">
        <v>9.6245310000000004E-3</v>
      </c>
      <c r="AA5897">
        <v>0.92306829999999995</v>
      </c>
      <c r="AB5897">
        <v>16</v>
      </c>
      <c r="AC5897">
        <v>-58.7516999999999</v>
      </c>
      <c r="AD5897">
        <v>-1.1044327417299999</v>
      </c>
      <c r="AE5897">
        <v>3.7873000000000099</v>
      </c>
      <c r="AF5897">
        <v>22.686414425343202</v>
      </c>
      <c r="AG5897">
        <v>-1.1044327417299999</v>
      </c>
      <c r="AH5897">
        <v>54.304642881620097</v>
      </c>
      <c r="AI5897">
        <v>91.0750850600853</v>
      </c>
      <c r="AJ5897">
        <v>67.326683213204404</v>
      </c>
      <c r="AK5897">
        <v>58.863294247431703</v>
      </c>
      <c r="AL5897">
        <v>89.885918526374297</v>
      </c>
      <c r="AM5897">
        <v>78.904074502154202</v>
      </c>
      <c r="AN5897">
        <v>0.99999999262294004</v>
      </c>
    </row>
    <row r="5898" spans="1:40" x14ac:dyDescent="0.25">
      <c r="A5898" t="str">
        <f>"20190312154039626"</f>
        <v>20190312154039626</v>
      </c>
      <c r="B5898" t="str">
        <f>"1552376439611914"</f>
        <v>1552376439611914</v>
      </c>
      <c r="C5898" t="s">
        <v>40</v>
      </c>
      <c r="D5898">
        <v>4.0376820000000002</v>
      </c>
      <c r="E5898">
        <v>0.56682969999999999</v>
      </c>
      <c r="F5898" t="s">
        <v>42</v>
      </c>
      <c r="G5898">
        <v>-273.17849999999999</v>
      </c>
      <c r="H5898" s="1">
        <v>-4.4996780000000001E-6</v>
      </c>
      <c r="I5898">
        <v>146.97479999999999</v>
      </c>
      <c r="J5898">
        <v>-206.33670000000001</v>
      </c>
      <c r="K5898">
        <v>1.104373</v>
      </c>
      <c r="L5898">
        <v>142.2225</v>
      </c>
      <c r="M5898">
        <v>-0.94871059999999996</v>
      </c>
      <c r="N5898">
        <v>0</v>
      </c>
      <c r="O5898">
        <v>-0.31614170000000003</v>
      </c>
      <c r="P5898">
        <v>-0.99157379999999995</v>
      </c>
      <c r="Q5898">
        <v>2.4389300000000002E-3</v>
      </c>
      <c r="R5898">
        <v>-0.1295203</v>
      </c>
      <c r="S5898">
        <v>-3.0585939999999998</v>
      </c>
      <c r="T5898">
        <v>-5.0414800000000003E-2</v>
      </c>
      <c r="U5898">
        <v>0.21492</v>
      </c>
      <c r="V5898">
        <v>0.190633</v>
      </c>
      <c r="W5898">
        <v>2.1155499999999999E-3</v>
      </c>
      <c r="X5898">
        <v>0.98165910000000001</v>
      </c>
      <c r="Y5898">
        <v>0.38177050000000001</v>
      </c>
      <c r="Z5898">
        <v>8.2924920000000003E-3</v>
      </c>
      <c r="AA5898">
        <v>0.92422000000000004</v>
      </c>
      <c r="AB5898">
        <v>16</v>
      </c>
      <c r="AC5898">
        <v>-66.841799999999907</v>
      </c>
      <c r="AD5898">
        <v>-1.104377499678</v>
      </c>
      <c r="AE5898">
        <v>4.7522999999999902</v>
      </c>
      <c r="AF5898">
        <v>25.633109032505001</v>
      </c>
      <c r="AG5898">
        <v>-1.104377499678</v>
      </c>
      <c r="AH5898">
        <v>61.894393914061297</v>
      </c>
      <c r="AI5898">
        <v>90.944443023568596</v>
      </c>
      <c r="AJ5898">
        <v>67.503467490646202</v>
      </c>
      <c r="AK5898">
        <v>67.001432270684106</v>
      </c>
      <c r="AL5898">
        <v>89.878787823529905</v>
      </c>
      <c r="AM5898">
        <v>79.010247476893596</v>
      </c>
      <c r="AN5898">
        <v>1.0000000024268001</v>
      </c>
    </row>
    <row r="5899" spans="1:40" x14ac:dyDescent="0.25">
      <c r="A5899" t="str">
        <f>"20190312154039648"</f>
        <v>20190312154039648</v>
      </c>
      <c r="B5899" t="str">
        <f>"1552376439642166"</f>
        <v>1552376439642166</v>
      </c>
      <c r="C5899" t="s">
        <v>40</v>
      </c>
      <c r="D5899">
        <v>4.0391839999999997</v>
      </c>
      <c r="E5899">
        <v>0.56585379999999996</v>
      </c>
      <c r="F5899" t="s">
        <v>42</v>
      </c>
      <c r="G5899">
        <v>-268.94189999999998</v>
      </c>
      <c r="H5899" s="1">
        <v>-1.9002320000000001E-6</v>
      </c>
      <c r="I5899">
        <v>145.1183</v>
      </c>
      <c r="J5899">
        <v>-206.5035</v>
      </c>
      <c r="K5899">
        <v>1.1043240000000001</v>
      </c>
      <c r="L5899">
        <v>142.17869999999999</v>
      </c>
      <c r="M5899">
        <v>-0.9517603</v>
      </c>
      <c r="N5899">
        <v>0</v>
      </c>
      <c r="O5899">
        <v>-0.30683820000000001</v>
      </c>
      <c r="P5899">
        <v>-0.99256489999999997</v>
      </c>
      <c r="Q5899">
        <v>2.7169189999999999E-4</v>
      </c>
      <c r="R5899">
        <v>-0.12171750000000001</v>
      </c>
      <c r="S5899">
        <v>-3.044022</v>
      </c>
      <c r="T5899">
        <v>-5.3697469999999997E-2</v>
      </c>
      <c r="U5899">
        <v>0.14080809999999999</v>
      </c>
      <c r="V5899">
        <v>0.18872059999999999</v>
      </c>
      <c r="W5899" s="1">
        <v>-9.656179E-5</v>
      </c>
      <c r="X5899">
        <v>0.98203079999999998</v>
      </c>
      <c r="Y5899">
        <v>0.35038859999999999</v>
      </c>
      <c r="Z5899">
        <v>8.4407730000000004E-3</v>
      </c>
      <c r="AA5899">
        <v>0.93656640000000002</v>
      </c>
      <c r="AB5899">
        <v>16</v>
      </c>
      <c r="AC5899">
        <v>-62.438399999999902</v>
      </c>
      <c r="AD5899">
        <v>-1.1043259002320001</v>
      </c>
      <c r="AE5899">
        <v>2.9396000000000102</v>
      </c>
      <c r="AF5899">
        <v>21.9494589523038</v>
      </c>
      <c r="AG5899">
        <v>-1.1043259002320001</v>
      </c>
      <c r="AH5899">
        <v>58.506225006431897</v>
      </c>
      <c r="AI5899">
        <v>91.012459526543694</v>
      </c>
      <c r="AJ5899">
        <v>69.435691818811605</v>
      </c>
      <c r="AK5899">
        <v>62.497813149709799</v>
      </c>
      <c r="AL5899">
        <v>90.005532583130901</v>
      </c>
      <c r="AM5899">
        <v>79.121870471571697</v>
      </c>
      <c r="AN5899">
        <v>0.99999998316858896</v>
      </c>
    </row>
    <row r="5900" spans="1:40" x14ac:dyDescent="0.25">
      <c r="A5900" t="str">
        <f>"20190312154039673"</f>
        <v>20190312154039673</v>
      </c>
      <c r="B5900" t="str">
        <f>"1552376439661690"</f>
        <v>1552376439661690</v>
      </c>
      <c r="C5900" t="s">
        <v>40</v>
      </c>
      <c r="D5900">
        <v>4.0411539999999997</v>
      </c>
      <c r="E5900">
        <v>0.56457179999999996</v>
      </c>
      <c r="F5900" t="s">
        <v>42</v>
      </c>
      <c r="G5900">
        <v>-262.21100000000001</v>
      </c>
      <c r="H5900" s="1">
        <v>-4.4880970000000004E-6</v>
      </c>
      <c r="I5900">
        <v>145.05340000000001</v>
      </c>
      <c r="J5900">
        <v>-206.6825</v>
      </c>
      <c r="K5900">
        <v>1.1043019999999999</v>
      </c>
      <c r="L5900">
        <v>142.1335</v>
      </c>
      <c r="M5900">
        <v>-0.95486899999999997</v>
      </c>
      <c r="N5900">
        <v>0</v>
      </c>
      <c r="O5900">
        <v>-0.29702299999999998</v>
      </c>
      <c r="P5900">
        <v>-0.99351109999999998</v>
      </c>
      <c r="Q5900">
        <v>-1.3645279999999901E-3</v>
      </c>
      <c r="R5900">
        <v>-0.113728</v>
      </c>
      <c r="S5900">
        <v>-3.0417329999999998</v>
      </c>
      <c r="T5900">
        <v>-6.0298440000000002E-2</v>
      </c>
      <c r="U5900">
        <v>0.1569672</v>
      </c>
      <c r="V5900">
        <v>0.1864923</v>
      </c>
      <c r="W5900">
        <v>-1.76059999999999E-3</v>
      </c>
      <c r="X5900">
        <v>0.98245479999999996</v>
      </c>
      <c r="Y5900">
        <v>0.34571360000000001</v>
      </c>
      <c r="Z5900">
        <v>9.2510460000000006E-3</v>
      </c>
      <c r="AA5900">
        <v>0.93829450000000003</v>
      </c>
      <c r="AB5900">
        <v>17</v>
      </c>
      <c r="AC5900">
        <v>-55.528500000000001</v>
      </c>
      <c r="AD5900">
        <v>-1.1043064880969999</v>
      </c>
      <c r="AE5900">
        <v>2.9199000000000099</v>
      </c>
      <c r="AF5900">
        <v>19.2737862640708</v>
      </c>
      <c r="AG5900">
        <v>-1.1043064880969999</v>
      </c>
      <c r="AH5900">
        <v>52.134669346323598</v>
      </c>
      <c r="AI5900">
        <v>91.138179718976801</v>
      </c>
      <c r="AJ5900">
        <v>69.7110344163912</v>
      </c>
      <c r="AK5900">
        <v>55.594262991996203</v>
      </c>
      <c r="AL5900">
        <v>90.100875005977599</v>
      </c>
      <c r="AM5900">
        <v>79.251833478433099</v>
      </c>
      <c r="AN5900">
        <v>0.99999995585734403</v>
      </c>
    </row>
    <row r="5901" spans="1:40" x14ac:dyDescent="0.25">
      <c r="A5901" t="str">
        <f>"20190312154039694"</f>
        <v>20190312154039694</v>
      </c>
      <c r="B5901" t="str">
        <f>"1552376439682187"</f>
        <v>1552376439682187</v>
      </c>
      <c r="C5901" t="s">
        <v>40</v>
      </c>
      <c r="D5901">
        <v>4.0201859999999998</v>
      </c>
      <c r="E5901">
        <v>0.56326690000000001</v>
      </c>
      <c r="F5901" t="s">
        <v>42</v>
      </c>
      <c r="G5901">
        <v>-257.26609999999999</v>
      </c>
      <c r="H5901" s="1">
        <v>-2.581878E-6</v>
      </c>
      <c r="I5901">
        <v>144.97839999999999</v>
      </c>
      <c r="J5901">
        <v>-206.84610000000001</v>
      </c>
      <c r="K5901">
        <v>1.1043190000000001</v>
      </c>
      <c r="L5901">
        <v>142.09360000000001</v>
      </c>
      <c r="M5901">
        <v>-0.95755800000000002</v>
      </c>
      <c r="N5901">
        <v>0</v>
      </c>
      <c r="O5901">
        <v>-0.28823710000000002</v>
      </c>
      <c r="P5901">
        <v>-0.99419199999999996</v>
      </c>
      <c r="Q5901">
        <v>-1.767652E-3</v>
      </c>
      <c r="R5901">
        <v>-0.1076086</v>
      </c>
      <c r="S5901">
        <v>-3.0390929999999998</v>
      </c>
      <c r="T5901">
        <v>-6.6347240000000002E-2</v>
      </c>
      <c r="U5901">
        <v>0.170929</v>
      </c>
      <c r="V5901">
        <v>0.18350920000000001</v>
      </c>
      <c r="W5901">
        <v>-2.1634549999999999E-3</v>
      </c>
      <c r="X5901">
        <v>0.98301559999999999</v>
      </c>
      <c r="Y5901">
        <v>0.34140530000000002</v>
      </c>
      <c r="Z5901">
        <v>9.9547560000000004E-3</v>
      </c>
      <c r="AA5901">
        <v>0.93986340000000002</v>
      </c>
      <c r="AB5901">
        <v>17</v>
      </c>
      <c r="AC5901">
        <v>-50.419999999999902</v>
      </c>
      <c r="AD5901">
        <v>-1.1043215818779999</v>
      </c>
      <c r="AE5901">
        <v>2.8847999999999798</v>
      </c>
      <c r="AF5901">
        <v>17.287029805866801</v>
      </c>
      <c r="AG5901">
        <v>-1.1043215818779999</v>
      </c>
      <c r="AH5901">
        <v>47.425939816317403</v>
      </c>
      <c r="AI5901">
        <v>91.253268130530003</v>
      </c>
      <c r="AJ5901">
        <v>69.972908898290399</v>
      </c>
      <c r="AK5901">
        <v>50.490401990141599</v>
      </c>
      <c r="AL5901">
        <v>90.123956938797903</v>
      </c>
      <c r="AM5901">
        <v>79.425746935179703</v>
      </c>
      <c r="AN5901">
        <v>0.99999998843276805</v>
      </c>
    </row>
    <row r="5902" spans="1:40" x14ac:dyDescent="0.25">
      <c r="A5902" t="str">
        <f>"20190312154039718"</f>
        <v>20190312154039718</v>
      </c>
      <c r="B5902" t="str">
        <f>"1552376439712438"</f>
        <v>1552376439712438</v>
      </c>
      <c r="C5902" t="s">
        <v>40</v>
      </c>
      <c r="D5902">
        <v>3.9918640000000001</v>
      </c>
      <c r="E5902">
        <v>0.5617219</v>
      </c>
      <c r="F5902" t="s">
        <v>42</v>
      </c>
      <c r="G5902">
        <v>-257.05180000000001</v>
      </c>
      <c r="H5902" s="1">
        <v>-2.6936100000000002E-6</v>
      </c>
      <c r="I5902">
        <v>145.05279999999999</v>
      </c>
      <c r="J5902">
        <v>-207.02610000000001</v>
      </c>
      <c r="K5902">
        <v>1.104374</v>
      </c>
      <c r="L5902">
        <v>142.05119999999999</v>
      </c>
      <c r="M5902">
        <v>-0.96034010000000003</v>
      </c>
      <c r="N5902">
        <v>0</v>
      </c>
      <c r="O5902">
        <v>-0.27882750000000001</v>
      </c>
      <c r="P5902">
        <v>-0.99493529999999997</v>
      </c>
      <c r="Q5902">
        <v>-2.1574960000000001E-3</v>
      </c>
      <c r="R5902">
        <v>-0.1004963</v>
      </c>
      <c r="S5902">
        <v>-3.0368040000000001</v>
      </c>
      <c r="T5902">
        <v>-6.6797380000000003E-2</v>
      </c>
      <c r="U5902">
        <v>0.17900089999999999</v>
      </c>
      <c r="V5902">
        <v>0.1808883</v>
      </c>
      <c r="W5902">
        <v>-2.5448950000000001E-3</v>
      </c>
      <c r="X5902">
        <v>0.98350040000000005</v>
      </c>
      <c r="Y5902">
        <v>0.33470569999999999</v>
      </c>
      <c r="Z5902">
        <v>9.7551119999999998E-3</v>
      </c>
      <c r="AA5902">
        <v>0.9422722</v>
      </c>
      <c r="AB5902">
        <v>17</v>
      </c>
      <c r="AC5902">
        <v>-50.025700000000001</v>
      </c>
      <c r="AD5902">
        <v>-1.1043766936099999</v>
      </c>
      <c r="AE5902">
        <v>3.0015999999999901</v>
      </c>
      <c r="AF5902">
        <v>16.822946144709899</v>
      </c>
      <c r="AG5902">
        <v>-1.1043766936099999</v>
      </c>
      <c r="AH5902">
        <v>47.181895107852398</v>
      </c>
      <c r="AI5902">
        <v>91.263010113765901</v>
      </c>
      <c r="AJ5902">
        <v>70.376047121916102</v>
      </c>
      <c r="AK5902">
        <v>50.1035167511981</v>
      </c>
      <c r="AL5902">
        <v>90.145811893607402</v>
      </c>
      <c r="AM5902">
        <v>79.578461317191895</v>
      </c>
      <c r="AN5902">
        <v>1.0000000451838</v>
      </c>
    </row>
    <row r="5903" spans="1:40" x14ac:dyDescent="0.25">
      <c r="A5903" t="str">
        <f>"20190312154039739"</f>
        <v>20190312154039739</v>
      </c>
      <c r="B5903" t="str">
        <f>"1552376439731612"</f>
        <v>1552376439731612</v>
      </c>
      <c r="C5903" t="s">
        <v>40</v>
      </c>
      <c r="D5903">
        <v>4.0356500000000004</v>
      </c>
      <c r="E5903">
        <v>0.56086519999999995</v>
      </c>
      <c r="F5903" t="s">
        <v>42</v>
      </c>
      <c r="G5903">
        <v>-258.87740000000002</v>
      </c>
      <c r="H5903" s="1">
        <v>-1.9682360000000002E-6</v>
      </c>
      <c r="I5903">
        <v>145.26990000000001</v>
      </c>
      <c r="J5903">
        <v>-207.1968</v>
      </c>
      <c r="K5903">
        <v>1.104447</v>
      </c>
      <c r="L5903">
        <v>142.01249999999999</v>
      </c>
      <c r="M5903">
        <v>-0.96280319999999997</v>
      </c>
      <c r="N5903">
        <v>0</v>
      </c>
      <c r="O5903">
        <v>-0.27019949999999998</v>
      </c>
      <c r="P5903">
        <v>-0.99556199999999995</v>
      </c>
      <c r="Q5903">
        <v>-2.0876610000000002E-3</v>
      </c>
      <c r="R5903">
        <v>-9.4086000000000003E-2</v>
      </c>
      <c r="S5903">
        <v>-3.0341490000000002</v>
      </c>
      <c r="T5903">
        <v>-6.4624070000000006E-2</v>
      </c>
      <c r="U5903">
        <v>0.18835450000000001</v>
      </c>
      <c r="V5903">
        <v>0.17839869999999999</v>
      </c>
      <c r="W5903">
        <v>-2.450434E-3</v>
      </c>
      <c r="X5903">
        <v>0.98395520000000003</v>
      </c>
      <c r="Y5903">
        <v>0.3292001</v>
      </c>
      <c r="Z5903">
        <v>9.2084239999999998E-3</v>
      </c>
      <c r="AA5903">
        <v>0.94421529999999998</v>
      </c>
      <c r="AB5903">
        <v>17</v>
      </c>
      <c r="AC5903">
        <v>-51.680599999999998</v>
      </c>
      <c r="AD5903">
        <v>-1.1044489682359999</v>
      </c>
      <c r="AE5903">
        <v>3.2574000000000098</v>
      </c>
      <c r="AF5903">
        <v>17.0925511031841</v>
      </c>
      <c r="AG5903">
        <v>-1.1044489682359999</v>
      </c>
      <c r="AH5903">
        <v>48.855929184840399</v>
      </c>
      <c r="AI5903">
        <v>91.222394534425902</v>
      </c>
      <c r="AJ5903">
        <v>70.717292662216707</v>
      </c>
      <c r="AK5903">
        <v>51.771391011373602</v>
      </c>
      <c r="AL5903">
        <v>90.140399671148501</v>
      </c>
      <c r="AM5903">
        <v>79.723465994859595</v>
      </c>
      <c r="AN5903">
        <v>0.99999996819775805</v>
      </c>
    </row>
    <row r="5904" spans="1:40" x14ac:dyDescent="0.25">
      <c r="A5904" t="str">
        <f>"20190312154039761"</f>
        <v>20190312154039761</v>
      </c>
      <c r="B5904" t="str">
        <f>"1552376439752111"</f>
        <v>1552376439752111</v>
      </c>
      <c r="C5904" t="s">
        <v>40</v>
      </c>
      <c r="D5904">
        <v>4.028816</v>
      </c>
      <c r="E5904">
        <v>0.55246839999999997</v>
      </c>
      <c r="F5904" t="s">
        <v>42</v>
      </c>
      <c r="G5904">
        <v>-260.791</v>
      </c>
      <c r="H5904" s="1">
        <v>-5.0621229999999998E-6</v>
      </c>
      <c r="I5904">
        <v>145.56540000000001</v>
      </c>
      <c r="J5904">
        <v>-207.37450000000001</v>
      </c>
      <c r="K5904">
        <v>1.1045259999999999</v>
      </c>
      <c r="L5904">
        <v>141.9735</v>
      </c>
      <c r="M5904">
        <v>-0.96520669999999997</v>
      </c>
      <c r="N5904">
        <v>0</v>
      </c>
      <c r="O5904">
        <v>-0.26148449999999901</v>
      </c>
      <c r="P5904">
        <v>-0.99625050000000004</v>
      </c>
      <c r="Q5904">
        <v>-1.7725079999999999E-3</v>
      </c>
      <c r="R5904">
        <v>-8.6497959999999999E-2</v>
      </c>
      <c r="S5904">
        <v>-3.0322420000000001</v>
      </c>
      <c r="T5904">
        <v>-6.2487479999999998E-2</v>
      </c>
      <c r="U5904">
        <v>0.20101930000000001</v>
      </c>
      <c r="V5904">
        <v>0.17700350000000001</v>
      </c>
      <c r="W5904">
        <v>-2.113719E-3</v>
      </c>
      <c r="X5904">
        <v>0.98420790000000002</v>
      </c>
      <c r="Y5904">
        <v>0.32463589999999998</v>
      </c>
      <c r="Z5904">
        <v>8.6871429999999996E-3</v>
      </c>
      <c r="AA5904">
        <v>0.94579919999999995</v>
      </c>
      <c r="AB5904">
        <v>18</v>
      </c>
      <c r="AC5904">
        <v>-53.4164999999999</v>
      </c>
      <c r="AD5904">
        <v>-1.104531062123</v>
      </c>
      <c r="AE5904">
        <v>3.5918999999999999</v>
      </c>
      <c r="AF5904">
        <v>17.427111418954301</v>
      </c>
      <c r="AG5904">
        <v>-1.104531062123</v>
      </c>
      <c r="AH5904">
        <v>50.597248785613203</v>
      </c>
      <c r="AI5904">
        <v>91.182411490625697</v>
      </c>
      <c r="AJ5904">
        <v>70.994855835596795</v>
      </c>
      <c r="AK5904">
        <v>53.525748812595602</v>
      </c>
      <c r="AL5904">
        <v>90.121107274179707</v>
      </c>
      <c r="AM5904">
        <v>79.804705890564506</v>
      </c>
      <c r="AN5904">
        <v>0.99999994862133401</v>
      </c>
    </row>
    <row r="5905" spans="1:40" x14ac:dyDescent="0.25">
      <c r="A5905" t="str">
        <f>"20190312154039784"</f>
        <v>20190312154039784</v>
      </c>
      <c r="B5905" t="str">
        <f>"1552376439771628"</f>
        <v>1552376439771628</v>
      </c>
      <c r="C5905" t="s">
        <v>40</v>
      </c>
      <c r="D5905">
        <v>4.0003390000000003</v>
      </c>
      <c r="E5905">
        <v>0.55152950000000001</v>
      </c>
      <c r="F5905" t="s">
        <v>55</v>
      </c>
      <c r="G5905">
        <v>-311.34039999999999</v>
      </c>
      <c r="H5905" s="1">
        <v>-1.118403E-5</v>
      </c>
      <c r="I5905">
        <v>147.3837</v>
      </c>
      <c r="J5905">
        <v>-207.55160000000001</v>
      </c>
      <c r="K5905">
        <v>1.104608</v>
      </c>
      <c r="L5905">
        <v>141.93600000000001</v>
      </c>
      <c r="M5905">
        <v>-0.96744850000000004</v>
      </c>
      <c r="N5905">
        <v>0</v>
      </c>
      <c r="O5905">
        <v>-0.25306440000000002</v>
      </c>
      <c r="P5905">
        <v>-0.99679700000000004</v>
      </c>
      <c r="Q5905">
        <v>-1.3866430000000001E-4</v>
      </c>
      <c r="R5905">
        <v>-7.9972810000000005E-2</v>
      </c>
      <c r="S5905">
        <v>-3.024902</v>
      </c>
      <c r="T5905">
        <v>-3.2136680000000001E-2</v>
      </c>
      <c r="U5905">
        <v>0.15740970000000001</v>
      </c>
      <c r="V5905">
        <v>0.1748884</v>
      </c>
      <c r="W5905">
        <v>-4.4370580000000002E-4</v>
      </c>
      <c r="X5905">
        <v>0.98458809999999997</v>
      </c>
      <c r="Y5905">
        <v>0.3029676</v>
      </c>
      <c r="Z5905">
        <v>4.2771190000000002E-3</v>
      </c>
      <c r="AA5905">
        <v>0.95299120000000004</v>
      </c>
      <c r="AB5905">
        <v>18</v>
      </c>
      <c r="AC5905">
        <v>-103.788799999999</v>
      </c>
      <c r="AD5905">
        <v>-1.1046191840299999</v>
      </c>
      <c r="AE5905">
        <v>5.4476999999999904</v>
      </c>
      <c r="AF5905">
        <v>31.532086218307501</v>
      </c>
      <c r="AG5905">
        <v>-1.1046191840299999</v>
      </c>
      <c r="AH5905">
        <v>99.020604046863497</v>
      </c>
      <c r="AI5905">
        <v>90.609003796176395</v>
      </c>
      <c r="AJ5905">
        <v>72.336462338491003</v>
      </c>
      <c r="AK5905">
        <v>103.92580368044401</v>
      </c>
      <c r="AL5905">
        <v>90.025422472095897</v>
      </c>
      <c r="AM5905">
        <v>79.927834622148495</v>
      </c>
      <c r="AN5905">
        <v>0.99999993799550102</v>
      </c>
    </row>
    <row r="5906" spans="1:40" x14ac:dyDescent="0.25">
      <c r="A5906" t="str">
        <f>"20190312154039805"</f>
        <v>20190312154039805</v>
      </c>
      <c r="B5906" t="str">
        <f>"1552376439801884"</f>
        <v>1552376439801884</v>
      </c>
      <c r="C5906" t="s">
        <v>40</v>
      </c>
      <c r="D5906">
        <v>3.992092</v>
      </c>
      <c r="E5906">
        <v>0.55269239999999997</v>
      </c>
      <c r="F5906" t="s">
        <v>55</v>
      </c>
      <c r="G5906">
        <v>-302.64179999999999</v>
      </c>
      <c r="H5906" s="1">
        <v>-1.054551E-5</v>
      </c>
      <c r="I5906">
        <v>147.2724</v>
      </c>
      <c r="J5906">
        <v>-207.72319999999999</v>
      </c>
      <c r="K5906">
        <v>1.104684</v>
      </c>
      <c r="L5906">
        <v>141.9008</v>
      </c>
      <c r="M5906">
        <v>-0.96948310000000004</v>
      </c>
      <c r="N5906">
        <v>0</v>
      </c>
      <c r="O5906">
        <v>-0.24515419999999999</v>
      </c>
      <c r="P5906">
        <v>-0.99724049999999997</v>
      </c>
      <c r="Q5906">
        <v>2.4245719999999998E-3</v>
      </c>
      <c r="R5906">
        <v>-7.4200360000000007E-2</v>
      </c>
      <c r="S5906">
        <v>-3.0232389999999998</v>
      </c>
      <c r="T5906">
        <v>-3.5119530000000003E-2</v>
      </c>
      <c r="U5906">
        <v>0.16966249999999999</v>
      </c>
      <c r="V5906">
        <v>0.17257030000000001</v>
      </c>
      <c r="W5906">
        <v>2.1632330000000001E-3</v>
      </c>
      <c r="X5906">
        <v>0.98499479999999995</v>
      </c>
      <c r="Y5906">
        <v>0.299054299999999</v>
      </c>
      <c r="Z5906">
        <v>4.5639309999999898E-3</v>
      </c>
      <c r="AA5906">
        <v>0.9542252</v>
      </c>
      <c r="AB5906">
        <v>18</v>
      </c>
      <c r="AC5906">
        <v>-94.918599999999998</v>
      </c>
      <c r="AD5906">
        <v>-1.1046945455099999</v>
      </c>
      <c r="AE5906">
        <v>5.3715999999999999</v>
      </c>
      <c r="AF5906">
        <v>28.473551994136699</v>
      </c>
      <c r="AG5906">
        <v>-1.1046945455099999</v>
      </c>
      <c r="AH5906">
        <v>90.6929509030319</v>
      </c>
      <c r="AI5906">
        <v>90.665822204212006</v>
      </c>
      <c r="AJ5906">
        <v>72.570031548829803</v>
      </c>
      <c r="AK5906">
        <v>95.064056597125301</v>
      </c>
      <c r="AL5906">
        <v>89.876055778861101</v>
      </c>
      <c r="AM5906">
        <v>80.062680749722603</v>
      </c>
      <c r="AN5906">
        <v>0.99999997202307001</v>
      </c>
    </row>
    <row r="5907" spans="1:40" x14ac:dyDescent="0.25">
      <c r="A5907" t="str">
        <f>"20190312154039828"</f>
        <v>20190312154039828</v>
      </c>
      <c r="B5907" t="str">
        <f>"1552376439822380"</f>
        <v>1552376439822380</v>
      </c>
      <c r="C5907" t="s">
        <v>40</v>
      </c>
      <c r="D5907">
        <v>3.9441269999999999</v>
      </c>
      <c r="E5907">
        <v>0.5512688</v>
      </c>
      <c r="F5907" t="s">
        <v>82</v>
      </c>
      <c r="G5907">
        <v>-511.92590000000001</v>
      </c>
      <c r="H5907">
        <v>2.218175</v>
      </c>
      <c r="I5907">
        <v>161.67230000000001</v>
      </c>
      <c r="J5907">
        <v>-207.9059</v>
      </c>
      <c r="K5907">
        <v>1.1047629999999999</v>
      </c>
      <c r="L5907">
        <v>141.8646</v>
      </c>
      <c r="M5907">
        <v>-0.97150749999999997</v>
      </c>
      <c r="N5907">
        <v>0</v>
      </c>
      <c r="O5907">
        <v>-0.23700499999999999</v>
      </c>
      <c r="P5907">
        <v>-0.99764030000000004</v>
      </c>
      <c r="Q5907">
        <v>5.6177479999999997E-3</v>
      </c>
      <c r="R5907">
        <v>-6.8430459999999999E-2</v>
      </c>
      <c r="S5907">
        <v>-3.0229029999999999</v>
      </c>
      <c r="T5907">
        <v>1.106536E-2</v>
      </c>
      <c r="U5907">
        <v>0.19647220000000001</v>
      </c>
      <c r="V5907">
        <v>0.17002320000000001</v>
      </c>
      <c r="W5907">
        <v>5.413808E-3</v>
      </c>
      <c r="X5907">
        <v>0.9854252</v>
      </c>
      <c r="Y5907">
        <v>0.29951250000000001</v>
      </c>
      <c r="Z5907">
        <v>-1.4096579999999901E-3</v>
      </c>
      <c r="AA5907">
        <v>0.95409140000000003</v>
      </c>
      <c r="AB5907">
        <v>18</v>
      </c>
      <c r="AC5907">
        <v>-304.02</v>
      </c>
      <c r="AD5907">
        <v>1.1134120000000001</v>
      </c>
      <c r="AE5907">
        <v>19.807700000000001</v>
      </c>
      <c r="AF5907">
        <v>91.296452382918702</v>
      </c>
      <c r="AG5907">
        <v>1.1134120000000001</v>
      </c>
      <c r="AH5907">
        <v>290.65956691409502</v>
      </c>
      <c r="AI5907">
        <v>89.790607832463905</v>
      </c>
      <c r="AJ5907">
        <v>72.562445513141796</v>
      </c>
      <c r="AK5907">
        <v>304.66254404287702</v>
      </c>
      <c r="AL5907">
        <v>89.689810138764003</v>
      </c>
      <c r="AM5907">
        <v>80.210687283469994</v>
      </c>
      <c r="AN5907">
        <v>1.0000000113251699</v>
      </c>
    </row>
    <row r="5908" spans="1:40" x14ac:dyDescent="0.25">
      <c r="A5908" t="str">
        <f>"20190312154039851"</f>
        <v>20190312154039851</v>
      </c>
      <c r="B5908" t="str">
        <f>"1552376439841904"</f>
        <v>1552376439841904</v>
      </c>
      <c r="C5908" t="s">
        <v>40</v>
      </c>
      <c r="D5908">
        <v>3.9283039999999998</v>
      </c>
      <c r="E5908">
        <v>0.5507533</v>
      </c>
      <c r="F5908" t="s">
        <v>82</v>
      </c>
      <c r="G5908">
        <v>-511.92610000000002</v>
      </c>
      <c r="H5908">
        <v>2.8725719999999999</v>
      </c>
      <c r="I5908">
        <v>162.2577</v>
      </c>
      <c r="J5908">
        <v>-208.10759999999999</v>
      </c>
      <c r="K5908">
        <v>1.1048610000000001</v>
      </c>
      <c r="L5908">
        <v>141.8261</v>
      </c>
      <c r="M5908">
        <v>-0.97358549999999999</v>
      </c>
      <c r="N5908">
        <v>0</v>
      </c>
      <c r="O5908">
        <v>-0.2283182</v>
      </c>
      <c r="P5908">
        <v>-0.99800339999999998</v>
      </c>
      <c r="Q5908">
        <v>9.1191480000000005E-3</v>
      </c>
      <c r="R5908">
        <v>-6.2498909999999998E-2</v>
      </c>
      <c r="S5908">
        <v>-3.020905</v>
      </c>
      <c r="T5908">
        <v>1.756632E-2</v>
      </c>
      <c r="U5908">
        <v>0.2026367</v>
      </c>
      <c r="V5908">
        <v>0.167103799999999</v>
      </c>
      <c r="W5908">
        <v>8.9961920000000001E-3</v>
      </c>
      <c r="X5908">
        <v>0.98589830000000001</v>
      </c>
      <c r="Y5908">
        <v>0.29295769999999999</v>
      </c>
      <c r="Z5908">
        <v>-2.1706239999999999E-3</v>
      </c>
      <c r="AA5908">
        <v>0.9561229</v>
      </c>
      <c r="AB5908">
        <v>18</v>
      </c>
      <c r="AC5908">
        <v>-303.81849999999997</v>
      </c>
      <c r="AD5908">
        <v>1.76771099999999</v>
      </c>
      <c r="AE5908">
        <v>20.4316</v>
      </c>
      <c r="AF5908">
        <v>89.256287130454197</v>
      </c>
      <c r="AG5908">
        <v>1.76771099999999</v>
      </c>
      <c r="AH5908">
        <v>291.11887115067498</v>
      </c>
      <c r="AI5908">
        <v>89.667379042798899</v>
      </c>
      <c r="AJ5908">
        <v>72.954596969961699</v>
      </c>
      <c r="AK5908">
        <v>304.49960054906001</v>
      </c>
      <c r="AL5908">
        <v>89.484549231736295</v>
      </c>
      <c r="AM5908">
        <v>80.380137001534905</v>
      </c>
      <c r="AN5908">
        <v>1.00000003469391</v>
      </c>
    </row>
    <row r="5909" spans="1:40" x14ac:dyDescent="0.25">
      <c r="A5909" t="str">
        <f>"20190312154039874"</f>
        <v>20190312154039874</v>
      </c>
      <c r="B5909" t="str">
        <f>"1552376439862396"</f>
        <v>1552376439862396</v>
      </c>
      <c r="C5909" t="s">
        <v>40</v>
      </c>
      <c r="D5909">
        <v>3.9138250000000001</v>
      </c>
      <c r="E5909">
        <v>0.5455274</v>
      </c>
      <c r="F5909" t="s">
        <v>68</v>
      </c>
      <c r="G5909">
        <v>-472.84570000000002</v>
      </c>
      <c r="H5909">
        <v>3.4558840000000002</v>
      </c>
      <c r="I5909">
        <v>160.80549999999999</v>
      </c>
      <c r="J5909">
        <v>-208.2868</v>
      </c>
      <c r="K5909">
        <v>1.104948</v>
      </c>
      <c r="L5909">
        <v>141.79310000000001</v>
      </c>
      <c r="M5909">
        <v>-0.97529940000000004</v>
      </c>
      <c r="N5909">
        <v>0</v>
      </c>
      <c r="O5909">
        <v>-0.22088189999999999</v>
      </c>
      <c r="P5909">
        <v>-0.99819899999999995</v>
      </c>
      <c r="Q5909">
        <v>1.1637E-2</v>
      </c>
      <c r="R5909">
        <v>-5.8850619999999999E-2</v>
      </c>
      <c r="S5909">
        <v>-3.0193479999999999</v>
      </c>
      <c r="T5909">
        <v>2.6813509999999999E-2</v>
      </c>
      <c r="U5909">
        <v>0.21646119999999999</v>
      </c>
      <c r="V5909">
        <v>0.16319819999999999</v>
      </c>
      <c r="W5909">
        <v>1.1618659999999999E-2</v>
      </c>
      <c r="X5909">
        <v>0.98652490000000004</v>
      </c>
      <c r="Y5909">
        <v>0.29003830000000003</v>
      </c>
      <c r="Z5909">
        <v>-3.236821E-3</v>
      </c>
      <c r="AA5909">
        <v>0.95700960000000002</v>
      </c>
      <c r="AB5909">
        <v>18</v>
      </c>
      <c r="AC5909">
        <v>-264.55889999999999</v>
      </c>
      <c r="AD5909">
        <v>2.3509359999999999</v>
      </c>
      <c r="AE5909">
        <v>19.0123999999999</v>
      </c>
      <c r="AF5909">
        <v>76.973095065610494</v>
      </c>
      <c r="AG5909">
        <v>2.3509359999999999</v>
      </c>
      <c r="AH5909">
        <v>253.80499022138301</v>
      </c>
      <c r="AI5909">
        <v>89.492138568944995</v>
      </c>
      <c r="AJ5909">
        <v>73.128681217220205</v>
      </c>
      <c r="AK5909">
        <v>265.23076240385802</v>
      </c>
      <c r="AL5909">
        <v>89.334284847996301</v>
      </c>
      <c r="AM5909">
        <v>80.606780131009302</v>
      </c>
      <c r="AN5909">
        <v>1.0000000120317201</v>
      </c>
    </row>
    <row r="5910" spans="1:40" x14ac:dyDescent="0.25">
      <c r="A5910" t="str">
        <f>"20190312154039894"</f>
        <v>20190312154039894</v>
      </c>
      <c r="B5910" t="str">
        <f>"1552376439881917"</f>
        <v>1552376439881917</v>
      </c>
      <c r="C5910" t="s">
        <v>40</v>
      </c>
      <c r="D5910">
        <v>3.903</v>
      </c>
      <c r="E5910">
        <v>0.54426589999999997</v>
      </c>
      <c r="F5910" t="s">
        <v>82</v>
      </c>
      <c r="G5910">
        <v>-511.92619999999999</v>
      </c>
      <c r="H5910">
        <v>3.1543190000000001</v>
      </c>
      <c r="I5910">
        <v>160.50309999999999</v>
      </c>
      <c r="J5910">
        <v>-208.46539999999999</v>
      </c>
      <c r="K5910">
        <v>1.105048</v>
      </c>
      <c r="L5910">
        <v>141.76130000000001</v>
      </c>
      <c r="M5910">
        <v>-0.97689139999999997</v>
      </c>
      <c r="N5910">
        <v>0</v>
      </c>
      <c r="O5910">
        <v>-0.21373120000000001</v>
      </c>
      <c r="P5910">
        <v>-0.99836219999999998</v>
      </c>
      <c r="Q5910">
        <v>1.265E-2</v>
      </c>
      <c r="R5910">
        <v>-5.5794870000000003E-2</v>
      </c>
      <c r="S5910">
        <v>-3.0161289999999998</v>
      </c>
      <c r="T5910">
        <v>2.035737E-2</v>
      </c>
      <c r="U5910">
        <v>0.18585209999999999</v>
      </c>
      <c r="V5910">
        <v>0.158994</v>
      </c>
      <c r="W5910">
        <v>1.2761069999999999E-2</v>
      </c>
      <c r="X5910">
        <v>0.98719710000000005</v>
      </c>
      <c r="Y5910">
        <v>0.27339730000000001</v>
      </c>
      <c r="Z5910">
        <v>-2.3569160000000001E-3</v>
      </c>
      <c r="AA5910">
        <v>0.96189829999999998</v>
      </c>
      <c r="AB5910">
        <v>19</v>
      </c>
      <c r="AC5910">
        <v>-303.46080000000001</v>
      </c>
      <c r="AD5910">
        <v>2.0492710000000001</v>
      </c>
      <c r="AE5910">
        <v>18.741799999999898</v>
      </c>
      <c r="AF5910">
        <v>83.164056158554303</v>
      </c>
      <c r="AG5910">
        <v>2.0492710000000001</v>
      </c>
      <c r="AH5910">
        <v>292.42957018090198</v>
      </c>
      <c r="AI5910">
        <v>89.613805675927395</v>
      </c>
      <c r="AJ5910">
        <v>74.124776166087997</v>
      </c>
      <c r="AK5910">
        <v>304.03209249117401</v>
      </c>
      <c r="AL5910">
        <v>89.268824720033805</v>
      </c>
      <c r="AM5910">
        <v>80.850739635830905</v>
      </c>
      <c r="AN5910">
        <v>1.00000002559597</v>
      </c>
    </row>
    <row r="5911" spans="1:40" x14ac:dyDescent="0.25">
      <c r="A5911" t="str">
        <f>"20190312154039911"</f>
        <v>20190312154039911</v>
      </c>
      <c r="B5911" t="str">
        <f>"1552376439902412"</f>
        <v>1552376439902412</v>
      </c>
      <c r="C5911" t="s">
        <v>40</v>
      </c>
      <c r="D5911">
        <v>3.9224420000000002</v>
      </c>
      <c r="E5911">
        <v>0.54313239999999996</v>
      </c>
      <c r="F5911" t="s">
        <v>82</v>
      </c>
      <c r="G5911">
        <v>-511.92540000000002</v>
      </c>
      <c r="H5911">
        <v>0.526933599999999</v>
      </c>
      <c r="I5911">
        <v>160.3638</v>
      </c>
      <c r="J5911">
        <v>-208.60640000000001</v>
      </c>
      <c r="K5911">
        <v>1.1051329999999999</v>
      </c>
      <c r="L5911">
        <v>141.73689999999999</v>
      </c>
      <c r="M5911">
        <v>-0.97806499999999996</v>
      </c>
      <c r="N5911">
        <v>0</v>
      </c>
      <c r="O5911">
        <v>-0.20829410000000001</v>
      </c>
      <c r="P5911">
        <v>-0.99854299999999996</v>
      </c>
      <c r="Q5911">
        <v>1.319506E-2</v>
      </c>
      <c r="R5911">
        <v>-5.232738E-2</v>
      </c>
      <c r="S5911">
        <v>-3.0153349999999999</v>
      </c>
      <c r="T5911">
        <v>-5.7439800000000001E-3</v>
      </c>
      <c r="U5911">
        <v>0.18484500000000001</v>
      </c>
      <c r="V5911">
        <v>0.156932399999999</v>
      </c>
      <c r="W5911">
        <v>1.3418569999999999E-2</v>
      </c>
      <c r="X5911">
        <v>0.98751820000000001</v>
      </c>
      <c r="Y5911">
        <v>0.26774789999999998</v>
      </c>
      <c r="Z5911">
        <v>6.4962869999999999E-4</v>
      </c>
      <c r="AA5911">
        <v>0.96348880000000003</v>
      </c>
      <c r="AB5911">
        <v>19</v>
      </c>
      <c r="AC5911">
        <v>-303.31900000000002</v>
      </c>
      <c r="AD5911">
        <v>-0.57819940000000003</v>
      </c>
      <c r="AE5911">
        <v>18.626899999999999</v>
      </c>
      <c r="AF5911">
        <v>81.397681039546498</v>
      </c>
      <c r="AG5911">
        <v>-0.57819940000000003</v>
      </c>
      <c r="AH5911">
        <v>292.785119260751</v>
      </c>
      <c r="AI5911">
        <v>90.109014516215794</v>
      </c>
      <c r="AJ5911">
        <v>74.463448479604907</v>
      </c>
      <c r="AK5911">
        <v>303.88985316014498</v>
      </c>
      <c r="AL5911">
        <v>89.2311495098905</v>
      </c>
      <c r="AM5911">
        <v>80.970294023275898</v>
      </c>
      <c r="AN5911">
        <v>1.0000000157609199</v>
      </c>
    </row>
    <row r="5912" spans="1:40" x14ac:dyDescent="0.25">
      <c r="A5912" t="str">
        <f>"20190312154039929"</f>
        <v>20190312154039929</v>
      </c>
      <c r="B5912" t="str">
        <f>"1552376439921932"</f>
        <v>1552376439921932</v>
      </c>
      <c r="C5912" t="s">
        <v>40</v>
      </c>
      <c r="D5912">
        <v>3.9384070000000002</v>
      </c>
      <c r="E5912">
        <v>0.54251649999999996</v>
      </c>
      <c r="F5912" t="s">
        <v>55</v>
      </c>
      <c r="G5912">
        <v>-432.5206</v>
      </c>
      <c r="H5912">
        <v>7.9981189999999994E-2</v>
      </c>
      <c r="I5912">
        <v>155.5744</v>
      </c>
      <c r="J5912">
        <v>-208.7627</v>
      </c>
      <c r="K5912">
        <v>1.105246</v>
      </c>
      <c r="L5912">
        <v>141.7106</v>
      </c>
      <c r="M5912">
        <v>-0.97928939999999998</v>
      </c>
      <c r="N5912">
        <v>0</v>
      </c>
      <c r="O5912">
        <v>-0.20245930000000001</v>
      </c>
      <c r="P5912">
        <v>-0.9986216</v>
      </c>
      <c r="Q5912">
        <v>1.4072899999999999E-2</v>
      </c>
      <c r="R5912">
        <v>-5.0568259999999997E-2</v>
      </c>
      <c r="S5912">
        <v>-3.014313</v>
      </c>
      <c r="T5912">
        <v>-1.38005E-2</v>
      </c>
      <c r="U5912">
        <v>0.18627930000000001</v>
      </c>
      <c r="V5912">
        <v>0.15278620000000001</v>
      </c>
      <c r="W5912">
        <v>1.446561E-2</v>
      </c>
      <c r="X5912">
        <v>0.98815339999999996</v>
      </c>
      <c r="Y5912">
        <v>0.2624725</v>
      </c>
      <c r="Z5912">
        <v>1.5229110000000001E-3</v>
      </c>
      <c r="AA5912">
        <v>0.96493830000000003</v>
      </c>
      <c r="AB5912">
        <v>19</v>
      </c>
      <c r="AC5912">
        <v>-223.75790000000001</v>
      </c>
      <c r="AD5912">
        <v>-1.0252648099999999</v>
      </c>
      <c r="AE5912">
        <v>13.8637999999999</v>
      </c>
      <c r="AF5912">
        <v>58.877382468723297</v>
      </c>
      <c r="AG5912">
        <v>-1.0252648099999999</v>
      </c>
      <c r="AH5912">
        <v>216.31263099175001</v>
      </c>
      <c r="AI5912">
        <v>90.262032010496398</v>
      </c>
      <c r="AJ5912">
        <v>74.773723085073598</v>
      </c>
      <c r="AK5912">
        <v>224.18463743279099</v>
      </c>
      <c r="AL5912">
        <v>89.171152698375195</v>
      </c>
      <c r="AM5912">
        <v>81.210647537476603</v>
      </c>
      <c r="AN5912">
        <v>1.00000000935733</v>
      </c>
    </row>
    <row r="5913" spans="1:40" x14ac:dyDescent="0.25">
      <c r="A5913" t="str">
        <f>"20190312154039952"</f>
        <v>20190312154039952</v>
      </c>
      <c r="B5913" t="str">
        <f>"1552376439942428"</f>
        <v>1552376439942428</v>
      </c>
      <c r="C5913" t="s">
        <v>40</v>
      </c>
      <c r="D5913">
        <v>3.8543780000000001</v>
      </c>
      <c r="E5913">
        <v>0.54263229999999996</v>
      </c>
      <c r="F5913" t="s">
        <v>42</v>
      </c>
      <c r="G5913">
        <v>-499.96789999999999</v>
      </c>
      <c r="H5913">
        <v>6.0094219999999997E-2</v>
      </c>
      <c r="I5913">
        <v>159.7484</v>
      </c>
      <c r="J5913">
        <v>-208.95959999999999</v>
      </c>
      <c r="K5913">
        <v>1.105402</v>
      </c>
      <c r="L5913">
        <v>141.67840000000001</v>
      </c>
      <c r="M5913">
        <v>-0.98071989999999998</v>
      </c>
      <c r="N5913">
        <v>0</v>
      </c>
      <c r="O5913">
        <v>-0.19541049999999999</v>
      </c>
      <c r="P5913">
        <v>-0.99878979999999995</v>
      </c>
      <c r="Q5913">
        <v>1.4123439999999999E-2</v>
      </c>
      <c r="R5913">
        <v>-4.7114070000000001E-2</v>
      </c>
      <c r="S5913">
        <v>-3.0137330000000002</v>
      </c>
      <c r="T5913">
        <v>-1.081645E-2</v>
      </c>
      <c r="U5913">
        <v>0.18667600000000001</v>
      </c>
      <c r="V5913">
        <v>0.14909269999999999</v>
      </c>
      <c r="W5913">
        <v>1.476455E-2</v>
      </c>
      <c r="X5913">
        <v>0.98871299999999995</v>
      </c>
      <c r="Y5913">
        <v>0.25566559999999999</v>
      </c>
      <c r="Z5913">
        <v>1.1566770000000001E-3</v>
      </c>
      <c r="AA5913">
        <v>0.96676459999999997</v>
      </c>
      <c r="AB5913">
        <v>19</v>
      </c>
      <c r="AC5913">
        <v>-291.00830000000002</v>
      </c>
      <c r="AD5913">
        <v>-1.0453077799999999</v>
      </c>
      <c r="AE5913">
        <v>18.07</v>
      </c>
      <c r="AF5913">
        <v>74.586847202829304</v>
      </c>
      <c r="AG5913">
        <v>-1.0453077799999999</v>
      </c>
      <c r="AH5913">
        <v>281.863393328494</v>
      </c>
      <c r="AI5913">
        <v>90.205413750174202</v>
      </c>
      <c r="AJ5913">
        <v>75.178088964422003</v>
      </c>
      <c r="AK5913">
        <v>291.56690988976499</v>
      </c>
      <c r="AL5913">
        <v>89.154022869753504</v>
      </c>
      <c r="AM5913">
        <v>81.424707460926598</v>
      </c>
      <c r="AN5913">
        <v>1.00000001074949</v>
      </c>
    </row>
    <row r="5914" spans="1:40" x14ac:dyDescent="0.25">
      <c r="A5914" t="str">
        <f>"20190312154039972"</f>
        <v>20190312154039972</v>
      </c>
      <c r="B5914" t="str">
        <f>"1552376439961952"</f>
        <v>1552376439961952</v>
      </c>
      <c r="C5914" t="s">
        <v>40</v>
      </c>
      <c r="D5914">
        <v>3.8601390000000002</v>
      </c>
      <c r="E5914">
        <v>0.54372670000000001</v>
      </c>
      <c r="F5914" t="s">
        <v>82</v>
      </c>
      <c r="G5914">
        <v>-511.92520000000002</v>
      </c>
      <c r="H5914">
        <v>8.8169520000000001E-2</v>
      </c>
      <c r="I5914">
        <v>161.58690000000001</v>
      </c>
      <c r="J5914">
        <v>-209.1421</v>
      </c>
      <c r="K5914">
        <v>1.105569</v>
      </c>
      <c r="L5914">
        <v>141.64949999999999</v>
      </c>
      <c r="M5914">
        <v>-0.98194000000000004</v>
      </c>
      <c r="N5914">
        <v>0</v>
      </c>
      <c r="O5914">
        <v>-0.1891814</v>
      </c>
      <c r="P5914">
        <v>-0.99889790000000001</v>
      </c>
      <c r="Q5914">
        <v>1.2592829999999999E-2</v>
      </c>
      <c r="R5914">
        <v>-4.5215060000000001E-2</v>
      </c>
      <c r="S5914">
        <v>-3.0131230000000002</v>
      </c>
      <c r="T5914">
        <v>-1.011634E-2</v>
      </c>
      <c r="U5914">
        <v>0.19799800000000001</v>
      </c>
      <c r="V5914">
        <v>0.14468429999999999</v>
      </c>
      <c r="W5914">
        <v>1.3529670000000001E-2</v>
      </c>
      <c r="X5914">
        <v>0.98938539999999997</v>
      </c>
      <c r="Y5914">
        <v>0.25315850000000001</v>
      </c>
      <c r="Z5914">
        <v>1.0570969999999999E-3</v>
      </c>
      <c r="AA5914">
        <v>0.96742419999999996</v>
      </c>
      <c r="AB5914">
        <v>19</v>
      </c>
      <c r="AC5914">
        <v>-302.78309999999999</v>
      </c>
      <c r="AD5914">
        <v>-1.0173994799999999</v>
      </c>
      <c r="AE5914">
        <v>19.9374</v>
      </c>
      <c r="AF5914">
        <v>76.8575600039444</v>
      </c>
      <c r="AG5914">
        <v>-1.0173994799999999</v>
      </c>
      <c r="AH5914">
        <v>293.54037348568397</v>
      </c>
      <c r="AI5914">
        <v>90.1921083694278</v>
      </c>
      <c r="AJ5914">
        <v>75.3276366995443</v>
      </c>
      <c r="AK5914">
        <v>303.43709479491298</v>
      </c>
      <c r="AL5914">
        <v>89.2247833852485</v>
      </c>
      <c r="AM5914">
        <v>81.680235246589305</v>
      </c>
      <c r="AN5914">
        <v>1.00000003418497</v>
      </c>
    </row>
    <row r="5915" spans="1:40" x14ac:dyDescent="0.25">
      <c r="A5915" t="str">
        <f>"20190312154040120"</f>
        <v>20190312154040120</v>
      </c>
      <c r="B5915" t="str">
        <f>"1552376440111783"</f>
        <v>1552376440111783</v>
      </c>
      <c r="C5915" t="s">
        <v>40</v>
      </c>
      <c r="D5915">
        <v>3.9412959999999999</v>
      </c>
      <c r="E5915">
        <v>0.54163989999999995</v>
      </c>
      <c r="F5915" t="s">
        <v>82</v>
      </c>
      <c r="G5915">
        <v>-511.92540000000002</v>
      </c>
      <c r="H5915">
        <v>0.48479470000000002</v>
      </c>
      <c r="I5915">
        <v>162.9975</v>
      </c>
      <c r="J5915">
        <v>-210.44120000000001</v>
      </c>
      <c r="K5915">
        <v>1.1072310000000001</v>
      </c>
      <c r="L5915">
        <v>141.4641</v>
      </c>
      <c r="M5915">
        <v>-0.98806550000000004</v>
      </c>
      <c r="N5915">
        <v>0</v>
      </c>
      <c r="O5915">
        <v>-0.15395159999999999</v>
      </c>
      <c r="P5915">
        <v>-0.99894620000000001</v>
      </c>
      <c r="Q5915">
        <v>3.5510709999999998E-3</v>
      </c>
      <c r="R5915">
        <v>-4.5763409999999997E-2</v>
      </c>
      <c r="S5915">
        <v>-3.012985</v>
      </c>
      <c r="T5915">
        <v>-6.176829E-3</v>
      </c>
      <c r="U5915">
        <v>0.21243290000000001</v>
      </c>
      <c r="V5915">
        <v>0.10861419999999999</v>
      </c>
      <c r="W5915">
        <v>8.0501819999999995E-3</v>
      </c>
      <c r="X5915">
        <v>0.99405140000000003</v>
      </c>
      <c r="Y5915">
        <v>0.22306429999999999</v>
      </c>
      <c r="Z5915">
        <v>5.4307209999999995E-4</v>
      </c>
      <c r="AA5915">
        <v>0.97480359999999999</v>
      </c>
      <c r="AB5915">
        <v>20</v>
      </c>
      <c r="AC5915">
        <v>-301.48419999999999</v>
      </c>
      <c r="AD5915">
        <v>-0.62243629999999905</v>
      </c>
      <c r="AE5915">
        <v>21.5334</v>
      </c>
      <c r="AF5915">
        <v>67.690959677015599</v>
      </c>
      <c r="AG5915">
        <v>-0.62243629999999905</v>
      </c>
      <c r="AH5915">
        <v>294.57353800747001</v>
      </c>
      <c r="AI5915">
        <v>90.117991102680804</v>
      </c>
      <c r="AJ5915">
        <v>77.058496152516199</v>
      </c>
      <c r="AK5915">
        <v>302.25158848744098</v>
      </c>
      <c r="AL5915">
        <v>89.538753573354001</v>
      </c>
      <c r="AM5915">
        <v>83.764360817524704</v>
      </c>
      <c r="AN5915">
        <v>1.00000001785691</v>
      </c>
    </row>
    <row r="5916" spans="1:40" x14ac:dyDescent="0.25">
      <c r="A5916" t="str">
        <f>"20190312154040143"</f>
        <v>20190312154040143</v>
      </c>
      <c r="B5916" t="str">
        <f>"1552376440132279"</f>
        <v>1552376440132279</v>
      </c>
      <c r="C5916" t="s">
        <v>40</v>
      </c>
      <c r="D5916">
        <v>3.8028550000000001</v>
      </c>
      <c r="E5916">
        <v>0.54203869999999998</v>
      </c>
      <c r="F5916" t="s">
        <v>42</v>
      </c>
      <c r="G5916">
        <v>-269.28030000000001</v>
      </c>
      <c r="H5916" s="1">
        <v>-1.791648E-6</v>
      </c>
      <c r="I5916">
        <v>145.25579999999999</v>
      </c>
      <c r="J5916">
        <v>-210.65129999999999</v>
      </c>
      <c r="K5916">
        <v>1.107575</v>
      </c>
      <c r="L5916">
        <v>141.43639999999999</v>
      </c>
      <c r="M5916">
        <v>-0.98868509999999998</v>
      </c>
      <c r="N5916">
        <v>0</v>
      </c>
      <c r="O5916">
        <v>-0.14989439999999901</v>
      </c>
      <c r="P5916">
        <v>-0.99892879999999995</v>
      </c>
      <c r="Q5916">
        <v>2.0346219999999998E-3</v>
      </c>
      <c r="R5916">
        <v>-4.6227869999999997E-2</v>
      </c>
      <c r="S5916">
        <v>-3.012238</v>
      </c>
      <c r="T5916">
        <v>-5.668426E-2</v>
      </c>
      <c r="U5916">
        <v>0.1941223</v>
      </c>
      <c r="V5916">
        <v>0.1040633</v>
      </c>
      <c r="W5916">
        <v>7.3306550000000002E-3</v>
      </c>
      <c r="X5916">
        <v>0.99454370000000003</v>
      </c>
      <c r="Y5916">
        <v>0.21310709999999999</v>
      </c>
      <c r="Z5916">
        <v>4.8158580000000001E-3</v>
      </c>
      <c r="AA5916">
        <v>0.97701700000000002</v>
      </c>
      <c r="AB5916">
        <v>20</v>
      </c>
      <c r="AC5916">
        <v>-58.628999999999998</v>
      </c>
      <c r="AD5916">
        <v>-1.1075767916479999</v>
      </c>
      <c r="AE5916">
        <v>3.8193999999999999</v>
      </c>
      <c r="AF5916">
        <v>12.560089234246099</v>
      </c>
      <c r="AG5916">
        <v>-1.1075767916479999</v>
      </c>
      <c r="AH5916">
        <v>57.373682732617802</v>
      </c>
      <c r="AI5916">
        <v>91.080356839585406</v>
      </c>
      <c r="AJ5916">
        <v>77.651767559983497</v>
      </c>
      <c r="AK5916">
        <v>58.742846698340301</v>
      </c>
      <c r="AL5916">
        <v>89.579980662333796</v>
      </c>
      <c r="AM5916">
        <v>84.026637194598294</v>
      </c>
      <c r="AN5916">
        <v>1.00000004005965</v>
      </c>
    </row>
    <row r="5917" spans="1:40" x14ac:dyDescent="0.25">
      <c r="A5917" t="str">
        <f>"20190312154040163"</f>
        <v>20190312154040163</v>
      </c>
      <c r="B5917" t="str">
        <f>"1552376440151798"</f>
        <v>1552376440151798</v>
      </c>
      <c r="C5917" t="s">
        <v>40</v>
      </c>
      <c r="D5917">
        <v>3.796697</v>
      </c>
      <c r="E5917">
        <v>0.53527349999999996</v>
      </c>
      <c r="F5917" t="s">
        <v>41</v>
      </c>
      <c r="G5917">
        <v>-211.4633</v>
      </c>
      <c r="H5917">
        <v>0.91005020000000003</v>
      </c>
      <c r="I5917">
        <v>141.48779999999999</v>
      </c>
      <c r="J5917">
        <v>-210.83170000000001</v>
      </c>
      <c r="K5917">
        <v>1.1078440000000001</v>
      </c>
      <c r="L5917">
        <v>141.41299999999899</v>
      </c>
      <c r="M5917">
        <v>-0.9891607</v>
      </c>
      <c r="N5917">
        <v>0</v>
      </c>
      <c r="O5917">
        <v>-0.1466983</v>
      </c>
      <c r="P5917">
        <v>-0.9988456</v>
      </c>
      <c r="Q5917" s="1">
        <v>-5.2441839999999999E-5</v>
      </c>
      <c r="R5917">
        <v>-4.8037089999999998E-2</v>
      </c>
      <c r="S5917">
        <v>-3.0134889999999999</v>
      </c>
      <c r="T5917">
        <v>-0.73292760000000001</v>
      </c>
      <c r="U5917">
        <v>0.19010930000000001</v>
      </c>
      <c r="V5917">
        <v>9.9038139999999997E-2</v>
      </c>
      <c r="W5917">
        <v>5.9263999999999897E-3</v>
      </c>
      <c r="X5917">
        <v>0.99506600000000001</v>
      </c>
      <c r="Y5917">
        <v>0.19866120000000001</v>
      </c>
      <c r="Z5917">
        <v>5.8866229999999999E-2</v>
      </c>
      <c r="AA5917">
        <v>0.97829880000000002</v>
      </c>
      <c r="AB5917">
        <v>20</v>
      </c>
      <c r="AC5917">
        <v>-0.63159999999999095</v>
      </c>
      <c r="AD5917">
        <v>-0.19779379999999999</v>
      </c>
      <c r="AE5917">
        <v>7.48000000000104E-2</v>
      </c>
      <c r="AF5917">
        <v>0.15195134025990201</v>
      </c>
      <c r="AG5917">
        <v>-0.19779379999999999</v>
      </c>
      <c r="AH5917">
        <v>0.55966551296275202</v>
      </c>
      <c r="AI5917">
        <v>108.83281716332699</v>
      </c>
      <c r="AJ5917">
        <v>74.810145746228898</v>
      </c>
      <c r="AK5917">
        <v>0.612729208970065</v>
      </c>
      <c r="AL5917">
        <v>89.660440307945095</v>
      </c>
      <c r="AM5917">
        <v>84.316114907411404</v>
      </c>
      <c r="AN5917">
        <v>1.0000000098738</v>
      </c>
    </row>
    <row r="5918" spans="1:40" x14ac:dyDescent="0.25">
      <c r="A5918" t="str">
        <f>"20190312154040185"</f>
        <v>20190312154040185</v>
      </c>
      <c r="B5918" t="str">
        <f>"1552376440182055"</f>
        <v>1552376440182055</v>
      </c>
      <c r="C5918" t="s">
        <v>40</v>
      </c>
      <c r="D5918">
        <v>4.1193499999999998</v>
      </c>
      <c r="E5918">
        <v>0.53532809999999997</v>
      </c>
      <c r="F5918" t="s">
        <v>41</v>
      </c>
      <c r="G5918">
        <v>-211.6532</v>
      </c>
      <c r="H5918">
        <v>0.94465429999999995</v>
      </c>
      <c r="I5918">
        <v>141.44890000000001</v>
      </c>
      <c r="J5918">
        <v>-211.0248</v>
      </c>
      <c r="K5918">
        <v>1.1081019999999999</v>
      </c>
      <c r="L5918">
        <v>141.38820000000001</v>
      </c>
      <c r="M5918">
        <v>-0.98961200000000005</v>
      </c>
      <c r="N5918">
        <v>0</v>
      </c>
      <c r="O5918">
        <v>-0.14359129999999901</v>
      </c>
      <c r="P5918">
        <v>-0.99874220000000002</v>
      </c>
      <c r="Q5918">
        <v>-2.5174770000000002E-3</v>
      </c>
      <c r="R5918">
        <v>-5.0079739999999998E-2</v>
      </c>
      <c r="S5918">
        <v>-3.0097499999999999</v>
      </c>
      <c r="T5918">
        <v>-0.59782519999999995</v>
      </c>
      <c r="U5918">
        <v>0.13131709999999999</v>
      </c>
      <c r="V5918">
        <v>9.3868510000000002E-2</v>
      </c>
      <c r="W5918">
        <v>4.1907359999999996E-3</v>
      </c>
      <c r="X5918">
        <v>0.99557580000000001</v>
      </c>
      <c r="Y5918">
        <v>0.1802851</v>
      </c>
      <c r="Z5918">
        <v>4.5904479999999998E-2</v>
      </c>
      <c r="AA5918">
        <v>0.98254260000000004</v>
      </c>
      <c r="AB5918">
        <v>20</v>
      </c>
      <c r="AC5918">
        <v>-0.62839999999999896</v>
      </c>
      <c r="AD5918">
        <v>-0.1634477</v>
      </c>
      <c r="AE5918">
        <v>6.0699999999996999E-2</v>
      </c>
      <c r="AF5918">
        <v>0.14086420073261399</v>
      </c>
      <c r="AG5918">
        <v>-0.1634477</v>
      </c>
      <c r="AH5918">
        <v>0.57465389209623496</v>
      </c>
      <c r="AI5918">
        <v>105.442786878424</v>
      </c>
      <c r="AJ5918">
        <v>76.226739424952299</v>
      </c>
      <c r="AK5918">
        <v>0.61382812690905497</v>
      </c>
      <c r="AL5918">
        <v>89.759887815283705</v>
      </c>
      <c r="AM5918">
        <v>84.613753461972806</v>
      </c>
      <c r="AN5918">
        <v>1.00000001649174</v>
      </c>
    </row>
    <row r="5919" spans="1:40" x14ac:dyDescent="0.25">
      <c r="A5919" t="str">
        <f>"20190312154040207"</f>
        <v>20190312154040207</v>
      </c>
      <c r="B5919" t="str">
        <f>"1552376440201575"</f>
        <v>1552376440201575</v>
      </c>
      <c r="C5919" t="s">
        <v>40</v>
      </c>
      <c r="D5919">
        <v>3.954056</v>
      </c>
      <c r="E5919">
        <v>0.53577319999999995</v>
      </c>
      <c r="F5919" t="s">
        <v>41</v>
      </c>
      <c r="G5919">
        <v>-211.85480000000001</v>
      </c>
      <c r="H5919">
        <v>0.99735359999999995</v>
      </c>
      <c r="I5919">
        <v>141.4237</v>
      </c>
      <c r="J5919">
        <v>-211.21979999999999</v>
      </c>
      <c r="K5919">
        <v>1.108363</v>
      </c>
      <c r="L5919">
        <v>141.36340000000001</v>
      </c>
      <c r="M5919">
        <v>-0.99000840000000001</v>
      </c>
      <c r="N5919">
        <v>0</v>
      </c>
      <c r="O5919">
        <v>-0.1407948</v>
      </c>
      <c r="P5919">
        <v>-0.99863360000000001</v>
      </c>
      <c r="Q5919">
        <v>-4.5869980000000001E-3</v>
      </c>
      <c r="R5919">
        <v>-5.2058519999999997E-2</v>
      </c>
      <c r="S5919">
        <v>-3.0091860000000001</v>
      </c>
      <c r="T5919">
        <v>-0.40136899999999998</v>
      </c>
      <c r="U5919">
        <v>0.1280365</v>
      </c>
      <c r="V5919">
        <v>8.9075890000000005E-2</v>
      </c>
      <c r="W5919">
        <v>2.8823020000000002E-3</v>
      </c>
      <c r="X5919">
        <v>0.99602069999999998</v>
      </c>
      <c r="Y5919">
        <v>0.1799251</v>
      </c>
      <c r="Z5919">
        <v>3.0596870000000002E-2</v>
      </c>
      <c r="AA5919">
        <v>0.98320439999999998</v>
      </c>
      <c r="AB5919">
        <v>20</v>
      </c>
      <c r="AC5919">
        <v>-0.63500000000001899</v>
      </c>
      <c r="AD5919">
        <v>-0.11100939999999999</v>
      </c>
      <c r="AE5919">
        <v>6.0299999999983797E-2</v>
      </c>
      <c r="AF5919">
        <v>0.14472328543553301</v>
      </c>
      <c r="AG5919">
        <v>-0.11100939999999999</v>
      </c>
      <c r="AH5919">
        <v>0.60195203407285403</v>
      </c>
      <c r="AI5919">
        <v>100.165466904399</v>
      </c>
      <c r="AJ5919">
        <v>76.481337338956493</v>
      </c>
      <c r="AK5919">
        <v>0.628978670194834</v>
      </c>
      <c r="AL5919">
        <v>89.834856036136799</v>
      </c>
      <c r="AM5919">
        <v>84.889532900937198</v>
      </c>
      <c r="AN5919">
        <v>1.0000000283363</v>
      </c>
    </row>
    <row r="5920" spans="1:40" x14ac:dyDescent="0.25">
      <c r="A5920" t="str">
        <f>"20190312154040230"</f>
        <v>20190312154040230</v>
      </c>
      <c r="B5920" t="str">
        <f>"1552376440222074"</f>
        <v>1552376440222074</v>
      </c>
      <c r="C5920" t="s">
        <v>40</v>
      </c>
      <c r="D5920">
        <v>3.962358</v>
      </c>
      <c r="E5920">
        <v>0.53611589999999998</v>
      </c>
      <c r="F5920" t="s">
        <v>41</v>
      </c>
      <c r="G5920">
        <v>-212.04339999999999</v>
      </c>
      <c r="H5920">
        <v>1.0228139999999999</v>
      </c>
      <c r="I5920">
        <v>141.3981</v>
      </c>
      <c r="J5920">
        <v>-211.4254</v>
      </c>
      <c r="K5920">
        <v>1.108643</v>
      </c>
      <c r="L5920">
        <v>141.33750000000001</v>
      </c>
      <c r="M5920">
        <v>-0.99036570000000002</v>
      </c>
      <c r="N5920">
        <v>0</v>
      </c>
      <c r="O5920">
        <v>-0.138214</v>
      </c>
      <c r="P5920">
        <v>-0.99852510000000005</v>
      </c>
      <c r="Q5920">
        <v>-5.936551E-3</v>
      </c>
      <c r="R5920">
        <v>-5.3965480000000003E-2</v>
      </c>
      <c r="S5920">
        <v>-3.009277</v>
      </c>
      <c r="T5920">
        <v>-0.3126005</v>
      </c>
      <c r="U5920">
        <v>0.12661739999999999</v>
      </c>
      <c r="V5920">
        <v>8.4573819999999994E-2</v>
      </c>
      <c r="W5920">
        <v>2.3453850000000002E-3</v>
      </c>
      <c r="X5920">
        <v>0.99641449999999998</v>
      </c>
      <c r="Y5920">
        <v>0.1780342</v>
      </c>
      <c r="Z5920">
        <v>2.3507159999999999E-2</v>
      </c>
      <c r="AA5920">
        <v>0.98374349999999999</v>
      </c>
      <c r="AB5920">
        <v>20</v>
      </c>
      <c r="AC5920">
        <v>-0.617999999999995</v>
      </c>
      <c r="AD5920">
        <v>-8.58290000000001E-2</v>
      </c>
      <c r="AE5920">
        <v>6.0599999999993701E-2</v>
      </c>
      <c r="AF5920">
        <v>0.142711273617705</v>
      </c>
      <c r="AG5920">
        <v>-8.58290000000001E-2</v>
      </c>
      <c r="AH5920">
        <v>0.59237515174135302</v>
      </c>
      <c r="AI5920">
        <v>98.017906610509002</v>
      </c>
      <c r="AJ5920">
        <v>76.454778497190105</v>
      </c>
      <c r="AK5920">
        <v>0.615338480236023</v>
      </c>
      <c r="AL5920">
        <v>89.865619220856104</v>
      </c>
      <c r="AM5920">
        <v>85.148468528851097</v>
      </c>
      <c r="AN5920">
        <v>1.0000000438352099</v>
      </c>
    </row>
    <row r="5921" spans="1:40" x14ac:dyDescent="0.25">
      <c r="A5921" t="str">
        <f>"20190312154040253"</f>
        <v>20190312154040253</v>
      </c>
      <c r="B5921" t="str">
        <f>"1552376440241590"</f>
        <v>1552376440241590</v>
      </c>
      <c r="C5921" t="s">
        <v>40</v>
      </c>
      <c r="D5921">
        <v>3.974987</v>
      </c>
      <c r="E5921">
        <v>0.53640900000000002</v>
      </c>
      <c r="F5921" t="s">
        <v>41</v>
      </c>
      <c r="G5921">
        <v>-212.23060000000001</v>
      </c>
      <c r="H5921">
        <v>1.0404230000000001</v>
      </c>
      <c r="I5921">
        <v>141.3708</v>
      </c>
      <c r="J5921">
        <v>-211.6258</v>
      </c>
      <c r="K5921">
        <v>1.108914</v>
      </c>
      <c r="L5921">
        <v>141.3124</v>
      </c>
      <c r="M5921">
        <v>-0.99066120000000002</v>
      </c>
      <c r="N5921">
        <v>0</v>
      </c>
      <c r="O5921">
        <v>-0.13603409999999999</v>
      </c>
      <c r="P5921">
        <v>-0.99840870000000004</v>
      </c>
      <c r="Q5921">
        <v>-6.0424559999999999E-3</v>
      </c>
      <c r="R5921">
        <v>-5.6073100000000001E-2</v>
      </c>
      <c r="S5921">
        <v>-3.0096129999999999</v>
      </c>
      <c r="T5921">
        <v>-0.25491520000000001</v>
      </c>
      <c r="U5921">
        <v>0.1241913</v>
      </c>
      <c r="V5921">
        <v>8.02784E-2</v>
      </c>
      <c r="W5921">
        <v>2.9943579999999999E-3</v>
      </c>
      <c r="X5921">
        <v>0.99676799999999999</v>
      </c>
      <c r="Y5921">
        <v>0.17565729999999999</v>
      </c>
      <c r="Z5921">
        <v>1.8901020000000001E-2</v>
      </c>
      <c r="AA5921">
        <v>0.98426990000000003</v>
      </c>
      <c r="AB5921">
        <v>20</v>
      </c>
      <c r="AC5921">
        <v>-0.604800000000011</v>
      </c>
      <c r="AD5921">
        <v>-6.8490999999999996E-2</v>
      </c>
      <c r="AE5921">
        <v>5.8400000000005899E-2</v>
      </c>
      <c r="AF5921">
        <v>0.13837578243795101</v>
      </c>
      <c r="AG5921">
        <v>-6.8490999999999996E-2</v>
      </c>
      <c r="AH5921">
        <v>0.58381464569445796</v>
      </c>
      <c r="AI5921">
        <v>96.512333304350307</v>
      </c>
      <c r="AJ5921">
        <v>76.665814621045698</v>
      </c>
      <c r="AK5921">
        <v>0.60388609420457795</v>
      </c>
      <c r="AL5921">
        <v>89.828435670743204</v>
      </c>
      <c r="AM5921">
        <v>85.395411039576103</v>
      </c>
      <c r="AN5921">
        <v>1.0000000167551899</v>
      </c>
    </row>
    <row r="5922" spans="1:40" x14ac:dyDescent="0.25">
      <c r="A5922" t="str">
        <f>"20190312154040273"</f>
        <v>20190312154040273</v>
      </c>
      <c r="B5922" t="str">
        <f>"1552376440262087"</f>
        <v>1552376440262087</v>
      </c>
      <c r="C5922" t="s">
        <v>40</v>
      </c>
      <c r="D5922">
        <v>4.0385470000000003</v>
      </c>
      <c r="E5922">
        <v>0.53531119999999899</v>
      </c>
      <c r="F5922" t="s">
        <v>42</v>
      </c>
      <c r="G5922">
        <v>-227.34030000000001</v>
      </c>
      <c r="H5922" s="1">
        <v>-1.7422279999999999E-6</v>
      </c>
      <c r="I5922">
        <v>141.94229999999999</v>
      </c>
      <c r="J5922">
        <v>-211.8099</v>
      </c>
      <c r="K5922">
        <v>1.1091530000000001</v>
      </c>
      <c r="L5922">
        <v>141.2894</v>
      </c>
      <c r="M5922">
        <v>-0.99089099999999997</v>
      </c>
      <c r="N5922">
        <v>0</v>
      </c>
      <c r="O5922">
        <v>-0.1343068</v>
      </c>
      <c r="P5922">
        <v>-0.99826040000000005</v>
      </c>
      <c r="Q5922">
        <v>-5.2738269999999896E-3</v>
      </c>
      <c r="R5922">
        <v>-5.8723909999999997E-2</v>
      </c>
      <c r="S5922">
        <v>-3.0102690000000001</v>
      </c>
      <c r="T5922">
        <v>-0.21242539999999999</v>
      </c>
      <c r="U5922">
        <v>0.1206665</v>
      </c>
      <c r="V5922">
        <v>7.5895530000000003E-2</v>
      </c>
      <c r="W5922">
        <v>4.3948190000000003E-3</v>
      </c>
      <c r="X5922">
        <v>0.9971061</v>
      </c>
      <c r="Y5922">
        <v>0.17313249999999999</v>
      </c>
      <c r="Z5922">
        <v>1.5546010000000001E-2</v>
      </c>
      <c r="AA5922">
        <v>0.98477579999999998</v>
      </c>
      <c r="AB5922">
        <v>20</v>
      </c>
      <c r="AC5922">
        <v>-15.5304</v>
      </c>
      <c r="AD5922">
        <v>-1.1091547422279999</v>
      </c>
      <c r="AE5922">
        <v>0.65289999999998805</v>
      </c>
      <c r="AF5922">
        <v>2.7190788209777601</v>
      </c>
      <c r="AG5922">
        <v>-1.1091547422279999</v>
      </c>
      <c r="AH5922">
        <v>15.224468103141501</v>
      </c>
      <c r="AI5922">
        <v>94.102148433862695</v>
      </c>
      <c r="AJ5922">
        <v>79.873782700404007</v>
      </c>
      <c r="AK5922">
        <v>15.505097319929</v>
      </c>
      <c r="AL5922">
        <v>89.748194611581098</v>
      </c>
      <c r="AM5922">
        <v>85.647278868226095</v>
      </c>
      <c r="AN5922">
        <v>1.0000000102826101</v>
      </c>
    </row>
    <row r="5923" spans="1:40" x14ac:dyDescent="0.25">
      <c r="A5923" t="str">
        <f>"20190312154040297"</f>
        <v>20190312154040297</v>
      </c>
      <c r="B5923" t="str">
        <f>"1552376440292342"</f>
        <v>1552376440292342</v>
      </c>
      <c r="C5923" t="s">
        <v>40</v>
      </c>
      <c r="D5923">
        <v>4.0601629999999904</v>
      </c>
      <c r="E5923">
        <v>0.53365010000000002</v>
      </c>
      <c r="F5923" t="s">
        <v>42</v>
      </c>
      <c r="G5923">
        <v>-229.97800000000001</v>
      </c>
      <c r="H5923" s="1">
        <v>-4.6916920000000001E-6</v>
      </c>
      <c r="I5923">
        <v>141.91739999999999</v>
      </c>
      <c r="J5923">
        <v>-212.00919999999999</v>
      </c>
      <c r="K5923">
        <v>1.109367</v>
      </c>
      <c r="L5923">
        <v>141.2646</v>
      </c>
      <c r="M5923">
        <v>-0.99110169999999997</v>
      </c>
      <c r="N5923">
        <v>0</v>
      </c>
      <c r="O5923">
        <v>-0.13270109999999999</v>
      </c>
      <c r="P5923">
        <v>-0.99812409999999996</v>
      </c>
      <c r="Q5923">
        <v>-5.1944390000000003E-3</v>
      </c>
      <c r="R5923">
        <v>-6.1007169999999999E-2</v>
      </c>
      <c r="S5923">
        <v>-3.0103759999999999</v>
      </c>
      <c r="T5923">
        <v>-0.1837829</v>
      </c>
      <c r="U5923">
        <v>0.1040649</v>
      </c>
      <c r="V5923">
        <v>7.1998450000000005E-2</v>
      </c>
      <c r="W5923">
        <v>5.0833639999999999E-3</v>
      </c>
      <c r="X5923">
        <v>0.99739180000000005</v>
      </c>
      <c r="Y5923">
        <v>0.16631599999999999</v>
      </c>
      <c r="Z5923">
        <v>1.3149070000000001E-2</v>
      </c>
      <c r="AA5923">
        <v>0.98598490000000005</v>
      </c>
      <c r="AB5923">
        <v>20</v>
      </c>
      <c r="AC5923">
        <v>-17.968799999999899</v>
      </c>
      <c r="AD5923">
        <v>-1.109371691692</v>
      </c>
      <c r="AE5923">
        <v>0.65279999999998495</v>
      </c>
      <c r="AF5923">
        <v>3.02013756999153</v>
      </c>
      <c r="AG5923">
        <v>-1.109371691692</v>
      </c>
      <c r="AH5923">
        <v>17.656026247276198</v>
      </c>
      <c r="AI5923">
        <v>93.543969236509298</v>
      </c>
      <c r="AJ5923">
        <v>80.293259886985297</v>
      </c>
      <c r="AK5923">
        <v>17.946787994973</v>
      </c>
      <c r="AL5923">
        <v>89.708743445615596</v>
      </c>
      <c r="AM5923">
        <v>85.871166921256005</v>
      </c>
      <c r="AN5923">
        <v>1.00000001004959</v>
      </c>
    </row>
    <row r="5924" spans="1:40" x14ac:dyDescent="0.25">
      <c r="A5924" t="str">
        <f>"20190312154040320"</f>
        <v>20190312154040320</v>
      </c>
      <c r="B5924" t="str">
        <f>"1552376440311863"</f>
        <v>1552376440311863</v>
      </c>
      <c r="C5924" t="s">
        <v>40</v>
      </c>
      <c r="D5924">
        <v>4.0811190000000002</v>
      </c>
      <c r="E5924">
        <v>0.53244530000000001</v>
      </c>
      <c r="F5924" t="s">
        <v>42</v>
      </c>
      <c r="G5924">
        <v>-234.0189</v>
      </c>
      <c r="H5924" s="1">
        <v>-3.1507550000000002E-6</v>
      </c>
      <c r="I5924">
        <v>141.881</v>
      </c>
      <c r="J5924">
        <v>-212.2097</v>
      </c>
      <c r="K5924">
        <v>1.10955</v>
      </c>
      <c r="L5924">
        <v>141.23939999999999</v>
      </c>
      <c r="M5924">
        <v>-0.99127359999999998</v>
      </c>
      <c r="N5924">
        <v>0</v>
      </c>
      <c r="O5924">
        <v>-0.13136819999999999</v>
      </c>
      <c r="P5924">
        <v>-0.99797979999999997</v>
      </c>
      <c r="Q5924">
        <v>-6.6204360000000004E-3</v>
      </c>
      <c r="R5924">
        <v>-6.3186149999999996E-2</v>
      </c>
      <c r="S5924">
        <v>-3.0100099999999999</v>
      </c>
      <c r="T5924">
        <v>-0.15171579999999901</v>
      </c>
      <c r="U5924">
        <v>8.4304809999999994E-2</v>
      </c>
      <c r="V5924">
        <v>6.8476159999999994E-2</v>
      </c>
      <c r="W5924">
        <v>4.193596E-3</v>
      </c>
      <c r="X5924">
        <v>0.99764390000000003</v>
      </c>
      <c r="Y5924">
        <v>0.1587114</v>
      </c>
      <c r="Z5924">
        <v>1.060149E-2</v>
      </c>
      <c r="AA5924">
        <v>0.98726809999999998</v>
      </c>
      <c r="AB5924">
        <v>20</v>
      </c>
      <c r="AC5924">
        <v>-21.809200000000001</v>
      </c>
      <c r="AD5924">
        <v>-1.1095531507550001</v>
      </c>
      <c r="AE5924">
        <v>0.64160000000001005</v>
      </c>
      <c r="AF5924">
        <v>3.4922137746333699</v>
      </c>
      <c r="AG5924">
        <v>-1.1095531507550001</v>
      </c>
      <c r="AH5924">
        <v>21.480330540963099</v>
      </c>
      <c r="AI5924">
        <v>92.918696492761995</v>
      </c>
      <c r="AJ5924">
        <v>80.765799744688906</v>
      </c>
      <c r="AK5924">
        <v>21.790623336451802</v>
      </c>
      <c r="AL5924">
        <v>89.759723934576797</v>
      </c>
      <c r="AM5924">
        <v>86.073497689937994</v>
      </c>
      <c r="AN5924">
        <v>0.99999996097148203</v>
      </c>
    </row>
    <row r="5925" spans="1:40" x14ac:dyDescent="0.25">
      <c r="A5925" t="str">
        <f>"20190312154040344"</f>
        <v>20190312154040344</v>
      </c>
      <c r="B5925" t="str">
        <f>"1552376440332358"</f>
        <v>1552376440332358</v>
      </c>
      <c r="C5925" t="s">
        <v>40</v>
      </c>
      <c r="D5925">
        <v>4.03911</v>
      </c>
      <c r="E5925">
        <v>0.53148099999999998</v>
      </c>
      <c r="F5925" t="s">
        <v>42</v>
      </c>
      <c r="G5925">
        <v>-235.8817</v>
      </c>
      <c r="H5925" s="1">
        <v>-2.3242300000000001E-6</v>
      </c>
      <c r="I5925">
        <v>141.77789999999999</v>
      </c>
      <c r="J5925">
        <v>-212.4153</v>
      </c>
      <c r="K5925">
        <v>1.109693</v>
      </c>
      <c r="L5925">
        <v>141.21369999999999</v>
      </c>
      <c r="M5925">
        <v>-0.9914174</v>
      </c>
      <c r="N5925">
        <v>0</v>
      </c>
      <c r="O5925">
        <v>-0.13023950000000001</v>
      </c>
      <c r="P5925">
        <v>-0.99779030000000002</v>
      </c>
      <c r="Q5925">
        <v>-6.817236E-3</v>
      </c>
      <c r="R5925">
        <v>-6.6090979999999994E-2</v>
      </c>
      <c r="S5925">
        <v>-3.0094599999999998</v>
      </c>
      <c r="T5925">
        <v>-0.14105960000000001</v>
      </c>
      <c r="U5925">
        <v>6.8466189999999996E-2</v>
      </c>
      <c r="V5925">
        <v>6.4435119999999999E-2</v>
      </c>
      <c r="W5925">
        <v>4.4787409999999996E-3</v>
      </c>
      <c r="X5925">
        <v>0.99791189999999996</v>
      </c>
      <c r="Y5925">
        <v>0.15245520000000001</v>
      </c>
      <c r="Z5925">
        <v>9.6605809999999997E-3</v>
      </c>
      <c r="AA5925">
        <v>0.98826320000000001</v>
      </c>
      <c r="AB5925">
        <v>20</v>
      </c>
      <c r="AC5925">
        <v>-23.4664</v>
      </c>
      <c r="AD5925">
        <v>-1.1096953242299901</v>
      </c>
      <c r="AE5925">
        <v>0.56419999999999904</v>
      </c>
      <c r="AF5925">
        <v>3.6077803813896701</v>
      </c>
      <c r="AG5925">
        <v>-1.1096953242299901</v>
      </c>
      <c r="AH5925">
        <v>23.1412954648344</v>
      </c>
      <c r="AI5925">
        <v>92.712684552370604</v>
      </c>
      <c r="AJ5925">
        <v>81.138790792866999</v>
      </c>
      <c r="AK5925">
        <v>23.447111949741799</v>
      </c>
      <c r="AL5925">
        <v>89.743386198595402</v>
      </c>
      <c r="AM5925">
        <v>86.305543177150895</v>
      </c>
      <c r="AN5925">
        <v>1.00000005198598</v>
      </c>
    </row>
    <row r="5926" spans="1:40" x14ac:dyDescent="0.25">
      <c r="A5926" t="str">
        <f>"20190312154040364"</f>
        <v>20190312154040364</v>
      </c>
      <c r="B5926" t="str">
        <f>"1552376440351878"</f>
        <v>1552376440351878</v>
      </c>
      <c r="C5926" t="s">
        <v>40</v>
      </c>
      <c r="D5926">
        <v>4.0881689999999997</v>
      </c>
      <c r="E5926">
        <v>0.53080479999999997</v>
      </c>
      <c r="F5926" t="s">
        <v>42</v>
      </c>
      <c r="G5926">
        <v>-238.08940000000001</v>
      </c>
      <c r="H5926" s="1">
        <v>-1.3458629999999999E-6</v>
      </c>
      <c r="I5926">
        <v>141.66040000000001</v>
      </c>
      <c r="J5926">
        <v>-212.59479999999999</v>
      </c>
      <c r="K5926">
        <v>1.1097790000000001</v>
      </c>
      <c r="L5926">
        <v>141.19120000000001</v>
      </c>
      <c r="M5926">
        <v>-0.99152419999999997</v>
      </c>
      <c r="N5926">
        <v>0</v>
      </c>
      <c r="O5926">
        <v>-0.1293937</v>
      </c>
      <c r="P5926">
        <v>-0.99753199999999997</v>
      </c>
      <c r="Q5926">
        <v>-6.1305149999999996E-3</v>
      </c>
      <c r="R5926">
        <v>-6.9949789999999998E-2</v>
      </c>
      <c r="S5926">
        <v>-3.0092319999999999</v>
      </c>
      <c r="T5926">
        <v>-0.13006599999999999</v>
      </c>
      <c r="U5926">
        <v>5.2368159999999997E-2</v>
      </c>
      <c r="V5926">
        <v>5.9724600000000003E-2</v>
      </c>
      <c r="W5926">
        <v>5.53397E-3</v>
      </c>
      <c r="X5926">
        <v>0.99819959999999996</v>
      </c>
      <c r="Y5926">
        <v>0.1463795</v>
      </c>
      <c r="Z5926">
        <v>8.7415369999999902E-3</v>
      </c>
      <c r="AA5926">
        <v>0.98918989999999996</v>
      </c>
      <c r="AB5926">
        <v>20</v>
      </c>
      <c r="AC5926">
        <v>-25.494599999999998</v>
      </c>
      <c r="AD5926">
        <v>-1.109780345863</v>
      </c>
      <c r="AE5926">
        <v>0.46920000000000001</v>
      </c>
      <c r="AF5926">
        <v>3.7572047272637499</v>
      </c>
      <c r="AG5926">
        <v>-1.109780345863</v>
      </c>
      <c r="AH5926">
        <v>25.171848299396899</v>
      </c>
      <c r="AI5926">
        <v>92.496805801197297</v>
      </c>
      <c r="AJ5926">
        <v>81.510583096185698</v>
      </c>
      <c r="AK5926">
        <v>25.474892474483301</v>
      </c>
      <c r="AL5926">
        <v>89.682925271560904</v>
      </c>
      <c r="AM5926">
        <v>86.575942506698695</v>
      </c>
      <c r="AN5926">
        <v>1.00000004705463</v>
      </c>
    </row>
    <row r="5927" spans="1:40" x14ac:dyDescent="0.25">
      <c r="A5927" t="str">
        <f>"20190312154040386"</f>
        <v>20190312154040386</v>
      </c>
      <c r="B5927" t="str">
        <f>"1552376440372375"</f>
        <v>1552376440372375</v>
      </c>
      <c r="C5927" t="s">
        <v>40</v>
      </c>
      <c r="D5927">
        <v>4.1019639999999997</v>
      </c>
      <c r="E5927">
        <v>0.53023909999999996</v>
      </c>
      <c r="F5927" t="s">
        <v>42</v>
      </c>
      <c r="G5927">
        <v>-240.7046</v>
      </c>
      <c r="H5927" s="1">
        <v>-4.3743830000000002E-6</v>
      </c>
      <c r="I5927">
        <v>141.52260000000001</v>
      </c>
      <c r="J5927">
        <v>-212.78319999999999</v>
      </c>
      <c r="K5927">
        <v>1.109823</v>
      </c>
      <c r="L5927">
        <v>141.16759999999999</v>
      </c>
      <c r="M5927">
        <v>-0.991622</v>
      </c>
      <c r="N5927">
        <v>0</v>
      </c>
      <c r="O5927">
        <v>-0.128611999999999</v>
      </c>
      <c r="P5927">
        <v>-0.99730680000000005</v>
      </c>
      <c r="Q5927">
        <v>-5.0193420000000004E-3</v>
      </c>
      <c r="R5927">
        <v>-7.3175180000000006E-2</v>
      </c>
      <c r="S5927">
        <v>-3.0092159999999999</v>
      </c>
      <c r="T5927">
        <v>-0.1188046</v>
      </c>
      <c r="U5927">
        <v>3.5476679999999997E-2</v>
      </c>
      <c r="V5927">
        <v>5.5710830000000003E-2</v>
      </c>
      <c r="W5927">
        <v>6.9801869999999997E-3</v>
      </c>
      <c r="X5927">
        <v>0.99842260000000005</v>
      </c>
      <c r="Y5927">
        <v>0.140094</v>
      </c>
      <c r="Z5927">
        <v>7.830521E-3</v>
      </c>
      <c r="AA5927">
        <v>0.99010719999999997</v>
      </c>
      <c r="AB5927">
        <v>20</v>
      </c>
      <c r="AC5927">
        <v>-27.921399999999998</v>
      </c>
      <c r="AD5927">
        <v>-1.1098273743830001</v>
      </c>
      <c r="AE5927">
        <v>0.35500000000001802</v>
      </c>
      <c r="AF5927">
        <v>3.9371189934853601</v>
      </c>
      <c r="AG5927">
        <v>-1.1098273743830001</v>
      </c>
      <c r="AH5927">
        <v>27.600218988919501</v>
      </c>
      <c r="AI5927">
        <v>92.279617747584396</v>
      </c>
      <c r="AJ5927">
        <v>81.881635320189005</v>
      </c>
      <c r="AK5927">
        <v>27.901697278232099</v>
      </c>
      <c r="AL5927">
        <v>89.600061518494897</v>
      </c>
      <c r="AM5927">
        <v>86.806273379900603</v>
      </c>
      <c r="AN5927">
        <v>1.0000000538903</v>
      </c>
    </row>
    <row r="5928" spans="1:40" x14ac:dyDescent="0.25">
      <c r="A5928" t="str">
        <f>"20190312154040409"</f>
        <v>20190312154040409</v>
      </c>
      <c r="B5928" t="str">
        <f>"1552376440401654"</f>
        <v>1552376440401654</v>
      </c>
      <c r="C5928" t="s">
        <v>40</v>
      </c>
      <c r="D5928">
        <v>4.1346550000000004</v>
      </c>
      <c r="E5928">
        <v>0.52959000000000001</v>
      </c>
      <c r="F5928" t="s">
        <v>42</v>
      </c>
      <c r="G5928">
        <v>-243.52780000000001</v>
      </c>
      <c r="H5928" s="1">
        <v>-3.2294360000000001E-6</v>
      </c>
      <c r="I5928">
        <v>141.38480000000001</v>
      </c>
      <c r="J5928">
        <v>-212.9836</v>
      </c>
      <c r="K5928">
        <v>1.1098410000000001</v>
      </c>
      <c r="L5928">
        <v>141.14269999999999</v>
      </c>
      <c r="M5928">
        <v>-0.9917163</v>
      </c>
      <c r="N5928">
        <v>0</v>
      </c>
      <c r="O5928">
        <v>-0.12785389999999999</v>
      </c>
      <c r="P5928">
        <v>-0.99711760000000005</v>
      </c>
      <c r="Q5928">
        <v>-4.0724979999999999E-3</v>
      </c>
      <c r="R5928">
        <v>-7.5762780000000002E-2</v>
      </c>
      <c r="S5928">
        <v>-3.009125</v>
      </c>
      <c r="T5928">
        <v>-0.10862429999999999</v>
      </c>
      <c r="U5928">
        <v>2.1255489999999998E-2</v>
      </c>
      <c r="V5928">
        <v>5.2358090000000003E-2</v>
      </c>
      <c r="W5928">
        <v>8.2332789999999996E-3</v>
      </c>
      <c r="X5928">
        <v>0.99859450000000005</v>
      </c>
      <c r="Y5928">
        <v>0.13469529999999999</v>
      </c>
      <c r="Z5928">
        <v>7.0354299999999996E-3</v>
      </c>
      <c r="AA5928">
        <v>0.99086209999999997</v>
      </c>
      <c r="AB5928">
        <v>19</v>
      </c>
      <c r="AC5928">
        <v>-30.5442</v>
      </c>
      <c r="AD5928">
        <v>-1.109844229436</v>
      </c>
      <c r="AE5928">
        <v>0.24210000000002199</v>
      </c>
      <c r="AF5928">
        <v>4.1401392134812403</v>
      </c>
      <c r="AG5928">
        <v>-1.109844229436</v>
      </c>
      <c r="AH5928">
        <v>30.222630177120799</v>
      </c>
      <c r="AI5928">
        <v>92.0836449963967</v>
      </c>
      <c r="AJ5928">
        <v>82.199713698381501</v>
      </c>
      <c r="AK5928">
        <v>30.525069725450798</v>
      </c>
      <c r="AL5928">
        <v>89.528262563154001</v>
      </c>
      <c r="AM5928">
        <v>86.998628464478003</v>
      </c>
      <c r="AN5928">
        <v>1.0000000659508901</v>
      </c>
    </row>
    <row r="5929" spans="1:40" x14ac:dyDescent="0.25">
      <c r="A5929" t="str">
        <f>"20190312154040431"</f>
        <v>20190312154040431</v>
      </c>
      <c r="B5929" t="str">
        <f>"1552376440422155"</f>
        <v>1552376440422155</v>
      </c>
      <c r="C5929" t="s">
        <v>40</v>
      </c>
      <c r="D5929">
        <v>4.1545860000000001</v>
      </c>
      <c r="E5929">
        <v>0.52924359999999904</v>
      </c>
      <c r="F5929" t="s">
        <v>42</v>
      </c>
      <c r="G5929">
        <v>-247.0873</v>
      </c>
      <c r="H5929" s="1">
        <v>-1.6625420000000001E-6</v>
      </c>
      <c r="I5929">
        <v>141.23490000000001</v>
      </c>
      <c r="J5929">
        <v>-213.179</v>
      </c>
      <c r="K5929">
        <v>1.109834</v>
      </c>
      <c r="L5929">
        <v>141.11840000000001</v>
      </c>
      <c r="M5929">
        <v>-0.99180449999999998</v>
      </c>
      <c r="N5929">
        <v>0</v>
      </c>
      <c r="O5929">
        <v>-0.12714210000000001</v>
      </c>
      <c r="P5929">
        <v>-0.99697709999999995</v>
      </c>
      <c r="Q5929">
        <v>-4.5190859999999899E-3</v>
      </c>
      <c r="R5929">
        <v>-7.7565880000000004E-2</v>
      </c>
      <c r="S5929">
        <v>-3.008896</v>
      </c>
      <c r="T5929">
        <v>-9.7918870000000005E-2</v>
      </c>
      <c r="U5929">
        <v>8.1481929999999998E-3</v>
      </c>
      <c r="V5929">
        <v>4.9835539999999998E-2</v>
      </c>
      <c r="W5929">
        <v>8.0444599999999998E-3</v>
      </c>
      <c r="X5929">
        <v>0.99872510000000003</v>
      </c>
      <c r="Y5929">
        <v>0.12970200000000001</v>
      </c>
      <c r="Z5929">
        <v>6.2384650000000003E-3</v>
      </c>
      <c r="AA5929">
        <v>0.99153340000000001</v>
      </c>
      <c r="AB5929">
        <v>19</v>
      </c>
      <c r="AC5929">
        <v>-33.908299999999997</v>
      </c>
      <c r="AD5929">
        <v>-1.1098356625420001</v>
      </c>
      <c r="AE5929">
        <v>0.116500000000002</v>
      </c>
      <c r="AF5929">
        <v>4.4223315155323499</v>
      </c>
      <c r="AG5929">
        <v>-1.1098356625420001</v>
      </c>
      <c r="AH5929">
        <v>33.5822847292822</v>
      </c>
      <c r="AI5929">
        <v>91.876646116147498</v>
      </c>
      <c r="AJ5929">
        <v>82.4980883970359</v>
      </c>
      <c r="AK5929">
        <v>33.890390951856801</v>
      </c>
      <c r="AL5929">
        <v>89.539081449782799</v>
      </c>
      <c r="AM5929">
        <v>87.143358304794205</v>
      </c>
      <c r="AN5929">
        <v>1.0000000598768899</v>
      </c>
    </row>
    <row r="5930" spans="1:40" x14ac:dyDescent="0.25">
      <c r="A5930" t="str">
        <f>"20190312154040454"</f>
        <v>20190312154040454</v>
      </c>
      <c r="B5930" t="str">
        <f>"1552376440441671"</f>
        <v>1552376440441671</v>
      </c>
      <c r="C5930" t="s">
        <v>40</v>
      </c>
      <c r="D5930">
        <v>4.1904309999999896</v>
      </c>
      <c r="E5930">
        <v>0.52888819999999903</v>
      </c>
      <c r="F5930" t="s">
        <v>42</v>
      </c>
      <c r="G5930">
        <v>-248.3459</v>
      </c>
      <c r="H5930" s="1">
        <v>-1.0912170000000001E-6</v>
      </c>
      <c r="I5930">
        <v>141.11689999999999</v>
      </c>
      <c r="J5930">
        <v>-213.36770000000001</v>
      </c>
      <c r="K5930">
        <v>1.109809</v>
      </c>
      <c r="L5930">
        <v>141.095</v>
      </c>
      <c r="M5930">
        <v>-0.99189059999999996</v>
      </c>
      <c r="N5930">
        <v>0</v>
      </c>
      <c r="O5930">
        <v>-0.12644659999999999</v>
      </c>
      <c r="P5930">
        <v>-0.99680849999999999</v>
      </c>
      <c r="Q5930">
        <v>-6.7694209999999899E-3</v>
      </c>
      <c r="R5930">
        <v>-7.9544859999999995E-2</v>
      </c>
      <c r="S5930">
        <v>-3.0086520000000001</v>
      </c>
      <c r="T5930">
        <v>-9.4950320000000005E-2</v>
      </c>
      <c r="U5930">
        <v>-1.220703E-4</v>
      </c>
      <c r="V5930">
        <v>4.7150789999999998E-2</v>
      </c>
      <c r="W5930">
        <v>6.0103209999999999E-3</v>
      </c>
      <c r="X5930">
        <v>0.99886969999999997</v>
      </c>
      <c r="Y5930">
        <v>0.12629119999999999</v>
      </c>
      <c r="Z5930">
        <v>5.9741550000000001E-3</v>
      </c>
      <c r="AA5930">
        <v>0.99197519999999995</v>
      </c>
      <c r="AB5930">
        <v>19</v>
      </c>
      <c r="AC5930">
        <v>-34.978199999999902</v>
      </c>
      <c r="AD5930">
        <v>-1.1098100912169999</v>
      </c>
      <c r="AE5930">
        <v>2.1899999999987999E-2</v>
      </c>
      <c r="AF5930">
        <v>4.4404917601699001</v>
      </c>
      <c r="AG5930">
        <v>-1.1098100912169999</v>
      </c>
      <c r="AH5930">
        <v>34.659736665542901</v>
      </c>
      <c r="AI5930">
        <v>91.819134378385598</v>
      </c>
      <c r="AJ5930">
        <v>82.699224056052003</v>
      </c>
      <c r="AK5930">
        <v>34.960649182123099</v>
      </c>
      <c r="AL5930">
        <v>89.655631899584407</v>
      </c>
      <c r="AM5930">
        <v>87.297407866956704</v>
      </c>
      <c r="AN5930">
        <v>0.99999999926711802</v>
      </c>
    </row>
    <row r="5931" spans="1:40" x14ac:dyDescent="0.25">
      <c r="A5931" t="str">
        <f>"20190312154040475"</f>
        <v>20190312154040475</v>
      </c>
      <c r="B5931" t="str">
        <f>"1552376440471927"</f>
        <v>1552376440471927</v>
      </c>
      <c r="C5931" t="s">
        <v>40</v>
      </c>
      <c r="D5931">
        <v>4.202521</v>
      </c>
      <c r="E5931">
        <v>0.52853209999999995</v>
      </c>
      <c r="F5931" t="s">
        <v>42</v>
      </c>
      <c r="G5931">
        <v>-247.03819999999999</v>
      </c>
      <c r="H5931" s="1">
        <v>-1.6196769999999999E-6</v>
      </c>
      <c r="I5931">
        <v>140.99469999999999</v>
      </c>
      <c r="J5931">
        <v>-213.5538</v>
      </c>
      <c r="K5931">
        <v>1.109772</v>
      </c>
      <c r="L5931">
        <v>141.07220000000001</v>
      </c>
      <c r="M5931">
        <v>-0.99197829999999998</v>
      </c>
      <c r="N5931">
        <v>0</v>
      </c>
      <c r="O5931">
        <v>-0.1257375</v>
      </c>
      <c r="P5931">
        <v>-0.99661330000000004</v>
      </c>
      <c r="Q5931">
        <v>-9.1350790000000008E-3</v>
      </c>
      <c r="R5931">
        <v>-8.1722840000000005E-2</v>
      </c>
      <c r="S5931">
        <v>-3.0082239999999998</v>
      </c>
      <c r="T5931">
        <v>-9.915388E-2</v>
      </c>
      <c r="U5931">
        <v>-8.9569090000000007E-3</v>
      </c>
      <c r="V5931">
        <v>4.4250659999999997E-2</v>
      </c>
      <c r="W5931">
        <v>3.830249E-3</v>
      </c>
      <c r="X5931">
        <v>0.99901309999999999</v>
      </c>
      <c r="Y5931">
        <v>0.122659199999999</v>
      </c>
      <c r="Z5931">
        <v>6.1561189999999998E-3</v>
      </c>
      <c r="AA5931">
        <v>0.99242969999999997</v>
      </c>
      <c r="AB5931">
        <v>19</v>
      </c>
      <c r="AC5931">
        <v>-33.484399999999901</v>
      </c>
      <c r="AD5931">
        <v>-1.1097736196770001</v>
      </c>
      <c r="AE5931">
        <v>-7.7500000000014696E-2</v>
      </c>
      <c r="AF5931">
        <v>4.1291803063745203</v>
      </c>
      <c r="AG5931">
        <v>-1.1097736196770001</v>
      </c>
      <c r="AH5931">
        <v>33.191893245985703</v>
      </c>
      <c r="AI5931">
        <v>91.900337962339705</v>
      </c>
      <c r="AJ5931">
        <v>82.908649805216598</v>
      </c>
      <c r="AK5931">
        <v>33.466154615408001</v>
      </c>
      <c r="AL5931">
        <v>89.780542357445199</v>
      </c>
      <c r="AM5931">
        <v>87.463777122589505</v>
      </c>
      <c r="AN5931">
        <v>0.99999998284472302</v>
      </c>
    </row>
    <row r="5932" spans="1:40" x14ac:dyDescent="0.25">
      <c r="A5932" t="str">
        <f>"20190312154040498"</f>
        <v>20190312154040498</v>
      </c>
      <c r="B5932" t="str">
        <f>"1552376440492422"</f>
        <v>1552376440492422</v>
      </c>
      <c r="C5932" t="s">
        <v>40</v>
      </c>
      <c r="D5932">
        <v>4.2377339999999997</v>
      </c>
      <c r="E5932">
        <v>0.52829950000000003</v>
      </c>
      <c r="F5932" t="s">
        <v>42</v>
      </c>
      <c r="G5932">
        <v>-245.83090000000001</v>
      </c>
      <c r="H5932" s="1">
        <v>-2.1058709999999999E-6</v>
      </c>
      <c r="I5932">
        <v>140.87540000000001</v>
      </c>
      <c r="J5932">
        <v>-213.74930000000001</v>
      </c>
      <c r="K5932">
        <v>1.109739</v>
      </c>
      <c r="L5932">
        <v>141.04830000000001</v>
      </c>
      <c r="M5932">
        <v>-0.99207400000000001</v>
      </c>
      <c r="N5932">
        <v>0</v>
      </c>
      <c r="O5932">
        <v>-0.1249623</v>
      </c>
      <c r="P5932">
        <v>-0.99646990000000002</v>
      </c>
      <c r="Q5932">
        <v>-1.165304E-2</v>
      </c>
      <c r="R5932">
        <v>-8.3137890000000006E-2</v>
      </c>
      <c r="S5932">
        <v>-3.0077509999999998</v>
      </c>
      <c r="T5932">
        <v>-0.10341450000000001</v>
      </c>
      <c r="U5932">
        <v>-1.8325810000000001E-2</v>
      </c>
      <c r="V5932">
        <v>4.2047069999999999E-2</v>
      </c>
      <c r="W5932">
        <v>1.479927E-3</v>
      </c>
      <c r="X5932">
        <v>0.99911450000000002</v>
      </c>
      <c r="Y5932">
        <v>0.1187822</v>
      </c>
      <c r="Z5932">
        <v>6.3281429999999996E-3</v>
      </c>
      <c r="AA5932">
        <v>0.99290020000000001</v>
      </c>
      <c r="AB5932">
        <v>19</v>
      </c>
      <c r="AC5932">
        <v>-32.081600000000002</v>
      </c>
      <c r="AD5932">
        <v>-1.1097411058710001</v>
      </c>
      <c r="AE5932">
        <v>-0.172899999999998</v>
      </c>
      <c r="AF5932">
        <v>3.8332075719835599</v>
      </c>
      <c r="AG5932">
        <v>-1.1097411058710001</v>
      </c>
      <c r="AH5932">
        <v>31.813626571253199</v>
      </c>
      <c r="AI5932">
        <v>91.983479747972794</v>
      </c>
      <c r="AJ5932">
        <v>83.129580726322601</v>
      </c>
      <c r="AK5932">
        <v>32.062935630212003</v>
      </c>
      <c r="AL5932">
        <v>89.915206395008994</v>
      </c>
      <c r="AM5932">
        <v>87.5901671886553</v>
      </c>
      <c r="AN5932">
        <v>0.99999996519487899</v>
      </c>
    </row>
    <row r="5933" spans="1:40" x14ac:dyDescent="0.25">
      <c r="A5933" t="str">
        <f>"20190312154040521"</f>
        <v>20190312154040521</v>
      </c>
      <c r="B5933" t="str">
        <f>"1552376440511942"</f>
        <v>1552376440511942</v>
      </c>
      <c r="C5933" t="s">
        <v>40</v>
      </c>
      <c r="D5933">
        <v>4.2734819999999996</v>
      </c>
      <c r="E5933">
        <v>0.52809309999999998</v>
      </c>
      <c r="F5933" t="s">
        <v>42</v>
      </c>
      <c r="G5933">
        <v>-243.8399</v>
      </c>
      <c r="H5933" s="1">
        <v>-2.9411180000000002E-6</v>
      </c>
      <c r="I5933">
        <v>140.80439999999999</v>
      </c>
      <c r="J5933">
        <v>-213.9452</v>
      </c>
      <c r="K5933">
        <v>1.1097049999999999</v>
      </c>
      <c r="L5933">
        <v>141.02459999999999</v>
      </c>
      <c r="M5933">
        <v>-0.99217339999999998</v>
      </c>
      <c r="N5933">
        <v>0</v>
      </c>
      <c r="O5933">
        <v>-0.12415669999999999</v>
      </c>
      <c r="P5933">
        <v>-0.99652339999999995</v>
      </c>
      <c r="Q5933">
        <v>-1.1970730000000001E-2</v>
      </c>
      <c r="R5933">
        <v>-8.2450699999999905E-2</v>
      </c>
      <c r="S5933">
        <v>-3.0073089999999998</v>
      </c>
      <c r="T5933">
        <v>-0.1109096</v>
      </c>
      <c r="U5933">
        <v>-2.4368290000000001E-2</v>
      </c>
      <c r="V5933">
        <v>4.1924410000000002E-2</v>
      </c>
      <c r="W5933">
        <v>1.3030209999999999E-3</v>
      </c>
      <c r="X5933">
        <v>0.99911989999999995</v>
      </c>
      <c r="Y5933">
        <v>0.1159607</v>
      </c>
      <c r="Z5933">
        <v>6.7057599999999998E-3</v>
      </c>
      <c r="AA5933">
        <v>0.99323119999999998</v>
      </c>
      <c r="AB5933">
        <v>19</v>
      </c>
      <c r="AC5933">
        <v>-29.8947</v>
      </c>
      <c r="AD5933">
        <v>-1.109707941118</v>
      </c>
      <c r="AE5933">
        <v>-0.220200000000005</v>
      </c>
      <c r="AF5933">
        <v>3.4886531240437302</v>
      </c>
      <c r="AG5933">
        <v>-1.109707941118</v>
      </c>
      <c r="AH5933">
        <v>29.649840691873099</v>
      </c>
      <c r="AI5933">
        <v>92.128743990422805</v>
      </c>
      <c r="AJ5933">
        <v>83.289331072770395</v>
      </c>
      <c r="AK5933">
        <v>29.8749929772031</v>
      </c>
      <c r="AL5933">
        <v>89.925342372291098</v>
      </c>
      <c r="AM5933">
        <v>87.597201889200093</v>
      </c>
      <c r="AN5933">
        <v>0.99999996429679106</v>
      </c>
    </row>
    <row r="5934" spans="1:40" x14ac:dyDescent="0.25">
      <c r="A5934" t="str">
        <f>"20190312154040545"</f>
        <v>20190312154040545</v>
      </c>
      <c r="B5934" t="str">
        <f>"1552376440532439"</f>
        <v>1552376440532439</v>
      </c>
      <c r="C5934" t="s">
        <v>40</v>
      </c>
      <c r="D5934">
        <v>4.2626220000000004</v>
      </c>
      <c r="E5934">
        <v>0.52789980000000003</v>
      </c>
      <c r="F5934" t="s">
        <v>42</v>
      </c>
      <c r="G5934">
        <v>-243.73599999999999</v>
      </c>
      <c r="H5934" s="1">
        <v>-2.9808260000000002E-6</v>
      </c>
      <c r="I5934">
        <v>140.7861</v>
      </c>
      <c r="J5934">
        <v>-214.1413</v>
      </c>
      <c r="K5934">
        <v>1.109683</v>
      </c>
      <c r="L5934">
        <v>141.001</v>
      </c>
      <c r="M5934">
        <v>-0.99227520000000002</v>
      </c>
      <c r="N5934">
        <v>0</v>
      </c>
      <c r="O5934">
        <v>-0.1233262</v>
      </c>
      <c r="P5934">
        <v>-0.99659909999999996</v>
      </c>
      <c r="Q5934">
        <v>-1.2351799999999901E-2</v>
      </c>
      <c r="R5934">
        <v>-8.1473089999999998E-2</v>
      </c>
      <c r="S5934">
        <v>-3.0071409999999998</v>
      </c>
      <c r="T5934">
        <v>-0.1120162</v>
      </c>
      <c r="U5934">
        <v>-2.4063109999999999E-2</v>
      </c>
      <c r="V5934">
        <v>4.2067970000000003E-2</v>
      </c>
      <c r="W5934">
        <v>1.041714E-3</v>
      </c>
      <c r="X5934">
        <v>0.99911419999999995</v>
      </c>
      <c r="Y5934">
        <v>0.1152277</v>
      </c>
      <c r="Z5934">
        <v>6.7286319999999896E-3</v>
      </c>
      <c r="AA5934">
        <v>0.99331630000000004</v>
      </c>
      <c r="AB5934">
        <v>19</v>
      </c>
      <c r="AC5934">
        <v>-29.5946999999999</v>
      </c>
      <c r="AD5934">
        <v>-1.109685980826</v>
      </c>
      <c r="AE5934">
        <v>-0.21490000000000001</v>
      </c>
      <c r="AF5934">
        <v>3.4320472132903599</v>
      </c>
      <c r="AG5934">
        <v>-1.109685980826</v>
      </c>
      <c r="AH5934">
        <v>29.3539755396706</v>
      </c>
      <c r="AI5934">
        <v>92.150322051218495</v>
      </c>
      <c r="AJ5934">
        <v>83.331293106653703</v>
      </c>
      <c r="AK5934">
        <v>29.574756652149802</v>
      </c>
      <c r="AL5934">
        <v>89.940314173065204</v>
      </c>
      <c r="AM5934">
        <v>87.588970042485798</v>
      </c>
      <c r="AN5934">
        <v>0.99999999195480904</v>
      </c>
    </row>
    <row r="5935" spans="1:40" x14ac:dyDescent="0.25">
      <c r="A5935" t="str">
        <f>"20190312154040566"</f>
        <v>20190312154040566</v>
      </c>
      <c r="B5935" t="str">
        <f>"1552376440561719"</f>
        <v>1552376440561719</v>
      </c>
      <c r="C5935" t="s">
        <v>40</v>
      </c>
      <c r="D5935">
        <v>4.2532579999999998</v>
      </c>
      <c r="E5935">
        <v>0.52764560000000005</v>
      </c>
      <c r="F5935" t="s">
        <v>42</v>
      </c>
      <c r="G5935">
        <v>-243.62719999999999</v>
      </c>
      <c r="H5935" s="1">
        <v>-3.0252459999999999E-6</v>
      </c>
      <c r="I5935">
        <v>140.77770000000001</v>
      </c>
      <c r="J5935">
        <v>-214.32679999999999</v>
      </c>
      <c r="K5935">
        <v>1.109669</v>
      </c>
      <c r="L5935">
        <v>140.97899999999899</v>
      </c>
      <c r="M5935">
        <v>-0.99237330000000001</v>
      </c>
      <c r="N5935">
        <v>0</v>
      </c>
      <c r="O5935">
        <v>-0.12252300000000001</v>
      </c>
      <c r="P5935">
        <v>-0.99677059999999995</v>
      </c>
      <c r="Q5935">
        <v>-1.273259E-2</v>
      </c>
      <c r="R5935">
        <v>-7.9287040000000003E-2</v>
      </c>
      <c r="S5935">
        <v>-3.0069729999999999</v>
      </c>
      <c r="T5935">
        <v>-0.1131659</v>
      </c>
      <c r="U5935">
        <v>-2.2766109999999999E-2</v>
      </c>
      <c r="V5935">
        <v>4.3449799999999997E-2</v>
      </c>
      <c r="W5935">
        <v>7.579962E-4</v>
      </c>
      <c r="X5935">
        <v>0.99905529999999998</v>
      </c>
      <c r="Y5935">
        <v>0.1148492</v>
      </c>
      <c r="Z5935">
        <v>6.7609069999999896E-3</v>
      </c>
      <c r="AA5935">
        <v>0.99335989999999996</v>
      </c>
      <c r="AB5935">
        <v>19</v>
      </c>
      <c r="AC5935">
        <v>-29.3004</v>
      </c>
      <c r="AD5935">
        <v>-1.1096720252459999</v>
      </c>
      <c r="AE5935">
        <v>-0.201299999999974</v>
      </c>
      <c r="AF5935">
        <v>3.3856631486423598</v>
      </c>
      <c r="AG5935">
        <v>-1.1096720252459999</v>
      </c>
      <c r="AH5935">
        <v>29.062584038931998</v>
      </c>
      <c r="AI5935">
        <v>92.171939951698207</v>
      </c>
      <c r="AJ5935">
        <v>83.355244957984695</v>
      </c>
      <c r="AK5935">
        <v>29.280161850298398</v>
      </c>
      <c r="AL5935">
        <v>89.956570011654804</v>
      </c>
      <c r="AM5935">
        <v>87.509725085707899</v>
      </c>
      <c r="AN5935">
        <v>0.99999997606818403</v>
      </c>
    </row>
    <row r="5936" spans="1:40" x14ac:dyDescent="0.25">
      <c r="A5936" t="str">
        <f>"20190312154040587"</f>
        <v>20190312154040587</v>
      </c>
      <c r="B5936" t="str">
        <f>"1552376440582215"</f>
        <v>1552376440582215</v>
      </c>
      <c r="C5936" t="s">
        <v>40</v>
      </c>
      <c r="D5936">
        <v>4.1951739999999997</v>
      </c>
      <c r="E5936">
        <v>0.52747250000000001</v>
      </c>
      <c r="F5936" t="s">
        <v>42</v>
      </c>
      <c r="G5936">
        <v>-244.4161</v>
      </c>
      <c r="H5936" s="1">
        <v>-2.6914120000000001E-6</v>
      </c>
      <c r="I5936">
        <v>140.79490000000001</v>
      </c>
      <c r="J5936">
        <v>-214.50710000000001</v>
      </c>
      <c r="K5936">
        <v>1.1096600000000001</v>
      </c>
      <c r="L5936">
        <v>140.95760000000001</v>
      </c>
      <c r="M5936">
        <v>-0.99246979999999996</v>
      </c>
      <c r="N5936">
        <v>0</v>
      </c>
      <c r="O5936">
        <v>-0.1217295</v>
      </c>
      <c r="P5936">
        <v>-0.99705029999999994</v>
      </c>
      <c r="Q5936">
        <v>-1.2823579999999999E-2</v>
      </c>
      <c r="R5936">
        <v>-7.5674379999999999E-2</v>
      </c>
      <c r="S5936">
        <v>-3.0068510000000002</v>
      </c>
      <c r="T5936">
        <v>-0.1108908</v>
      </c>
      <c r="U5936">
        <v>-1.8386840000000002E-2</v>
      </c>
      <c r="V5936">
        <v>4.627121E-2</v>
      </c>
      <c r="W5936">
        <v>7.4559850000000005E-4</v>
      </c>
      <c r="X5936">
        <v>0.99892860000000006</v>
      </c>
      <c r="Y5936">
        <v>0.11550829999999999</v>
      </c>
      <c r="Z5936">
        <v>6.6085559999999998E-3</v>
      </c>
      <c r="AA5936">
        <v>0.99328450000000001</v>
      </c>
      <c r="AB5936">
        <v>19</v>
      </c>
      <c r="AC5936">
        <v>-29.908999999999899</v>
      </c>
      <c r="AD5936">
        <v>-1.109662691412</v>
      </c>
      <c r="AE5936">
        <v>-0.16270000000000001</v>
      </c>
      <c r="AF5936">
        <v>3.4748727070170302</v>
      </c>
      <c r="AG5936">
        <v>-1.109662691412</v>
      </c>
      <c r="AH5936">
        <v>29.665508335513099</v>
      </c>
      <c r="AI5936">
        <v>92.127663707138495</v>
      </c>
      <c r="AJ5936">
        <v>83.319096733763402</v>
      </c>
      <c r="AK5936">
        <v>29.8889356856861</v>
      </c>
      <c r="AL5936">
        <v>89.957280347257395</v>
      </c>
      <c r="AM5936">
        <v>87.347907181169901</v>
      </c>
      <c r="AN5936">
        <v>0.99999996434497296</v>
      </c>
    </row>
    <row r="5937" spans="1:40" x14ac:dyDescent="0.25">
      <c r="A5937" t="str">
        <f>"20190312154040610"</f>
        <v>20190312154040610</v>
      </c>
      <c r="B5937" t="str">
        <f>"1552376440601739"</f>
        <v>1552376440601739</v>
      </c>
      <c r="C5937" t="s">
        <v>40</v>
      </c>
      <c r="D5937">
        <v>4.1371390000000003</v>
      </c>
      <c r="E5937">
        <v>0.52735290000000001</v>
      </c>
      <c r="F5937" t="s">
        <v>42</v>
      </c>
      <c r="G5937">
        <v>-244.77199999999999</v>
      </c>
      <c r="H5937" s="1">
        <v>-2.557804E-6</v>
      </c>
      <c r="I5937">
        <v>140.86670000000001</v>
      </c>
      <c r="J5937">
        <v>-214.70060000000001</v>
      </c>
      <c r="K5937">
        <v>1.109667</v>
      </c>
      <c r="L5937">
        <v>140.935</v>
      </c>
      <c r="M5937">
        <v>-0.99257359999999994</v>
      </c>
      <c r="N5937">
        <v>0</v>
      </c>
      <c r="O5937">
        <v>-0.12087050000000001</v>
      </c>
      <c r="P5937">
        <v>-0.99737410000000004</v>
      </c>
      <c r="Q5937">
        <v>-1.2882589999999999E-2</v>
      </c>
      <c r="R5937">
        <v>-7.1267120000000003E-2</v>
      </c>
      <c r="S5937">
        <v>-3.0067750000000002</v>
      </c>
      <c r="T5937">
        <v>-0.11024340000000001</v>
      </c>
      <c r="U5937">
        <v>-9.0332030000000001E-3</v>
      </c>
      <c r="V5937">
        <v>4.9820740000000002E-2</v>
      </c>
      <c r="W5937">
        <v>7.579962E-4</v>
      </c>
      <c r="X5937">
        <v>0.99875789999999998</v>
      </c>
      <c r="Y5937">
        <v>0.117739</v>
      </c>
      <c r="Z5937">
        <v>6.5800009999999898E-3</v>
      </c>
      <c r="AA5937">
        <v>0.99302279999999998</v>
      </c>
      <c r="AB5937">
        <v>19</v>
      </c>
      <c r="AC5937">
        <v>-30.071400000000001</v>
      </c>
      <c r="AD5937">
        <v>-1.1096695578039999</v>
      </c>
      <c r="AE5937">
        <v>-6.8299999999993505E-2</v>
      </c>
      <c r="AF5937">
        <v>3.5624367359890399</v>
      </c>
      <c r="AG5937">
        <v>-1.1096695578039999</v>
      </c>
      <c r="AH5937">
        <v>29.8185361041274</v>
      </c>
      <c r="AI5937">
        <v>92.116191488407196</v>
      </c>
      <c r="AJ5937">
        <v>83.187133408555198</v>
      </c>
      <c r="AK5937">
        <v>30.051080137302701</v>
      </c>
      <c r="AL5937">
        <v>89.956570013204598</v>
      </c>
      <c r="AM5937">
        <v>87.1442988878904</v>
      </c>
      <c r="AN5937">
        <v>1.00000001175239</v>
      </c>
    </row>
    <row r="5938" spans="1:40" x14ac:dyDescent="0.25">
      <c r="A5938" t="str">
        <f>"20190312154040632"</f>
        <v>20190312154040632</v>
      </c>
      <c r="B5938" t="str">
        <f>"1552376440622234"</f>
        <v>1552376440622234</v>
      </c>
      <c r="C5938" t="s">
        <v>40</v>
      </c>
      <c r="D5938">
        <v>4.0857519999999896</v>
      </c>
      <c r="E5938">
        <v>0.52728980000000003</v>
      </c>
      <c r="F5938" t="s">
        <v>42</v>
      </c>
      <c r="G5938">
        <v>-245.33750000000001</v>
      </c>
      <c r="H5938" s="1">
        <v>-2.3423239999999998E-6</v>
      </c>
      <c r="I5938">
        <v>140.96850000000001</v>
      </c>
      <c r="J5938">
        <v>-214.8938</v>
      </c>
      <c r="K5938">
        <v>1.1096779999999999</v>
      </c>
      <c r="L5938">
        <v>140.91249999999999</v>
      </c>
      <c r="M5938">
        <v>-0.99267689999999997</v>
      </c>
      <c r="N5938">
        <v>0</v>
      </c>
      <c r="O5938">
        <v>-0.1200121</v>
      </c>
      <c r="P5938">
        <v>-0.99767229999999996</v>
      </c>
      <c r="Q5938">
        <v>-1.3077800000000001E-2</v>
      </c>
      <c r="R5938">
        <v>-6.6926620000000006E-2</v>
      </c>
      <c r="S5938">
        <v>-3.0067439999999999</v>
      </c>
      <c r="T5938">
        <v>-0.1089046</v>
      </c>
      <c r="U5938">
        <v>3.2958979999999998E-3</v>
      </c>
      <c r="V5938">
        <v>5.3302059999999998E-2</v>
      </c>
      <c r="W5938">
        <v>6.2257449999999896E-4</v>
      </c>
      <c r="X5938">
        <v>0.99857830000000003</v>
      </c>
      <c r="Y5938">
        <v>0.12095400000000001</v>
      </c>
      <c r="Z5938">
        <v>6.5277900000000003E-3</v>
      </c>
      <c r="AA5938">
        <v>0.99263670000000004</v>
      </c>
      <c r="AB5938">
        <v>19</v>
      </c>
      <c r="AC5938">
        <v>-30.4437</v>
      </c>
      <c r="AD5938">
        <v>-1.109680342324</v>
      </c>
      <c r="AE5938">
        <v>5.6000000000011603E-2</v>
      </c>
      <c r="AF5938">
        <v>3.7046320507338799</v>
      </c>
      <c r="AG5938">
        <v>-1.109680342324</v>
      </c>
      <c r="AH5938">
        <v>30.176809400415198</v>
      </c>
      <c r="AI5938">
        <v>92.090288577155206</v>
      </c>
      <c r="AJ5938">
        <v>83.001148922053005</v>
      </c>
      <c r="AK5938">
        <v>30.423601277338101</v>
      </c>
      <c r="AL5938">
        <v>89.964329108525405</v>
      </c>
      <c r="AM5938">
        <v>86.944568542277693</v>
      </c>
      <c r="AN5938">
        <v>1.00000005921506</v>
      </c>
    </row>
    <row r="5939" spans="1:40" x14ac:dyDescent="0.25">
      <c r="A5939" t="str">
        <f>"20190312154040656"</f>
        <v>20190312154040656</v>
      </c>
      <c r="B5939" t="str">
        <f>"1552376440652487"</f>
        <v>1552376440652487</v>
      </c>
      <c r="C5939" t="s">
        <v>40</v>
      </c>
      <c r="D5939">
        <v>4.0510339999999996</v>
      </c>
      <c r="E5939">
        <v>0.52714159999999999</v>
      </c>
      <c r="F5939" t="s">
        <v>42</v>
      </c>
      <c r="G5939">
        <v>-245.57499999999999</v>
      </c>
      <c r="H5939" s="1">
        <v>-2.268194E-6</v>
      </c>
      <c r="I5939">
        <v>141.0728</v>
      </c>
      <c r="J5939">
        <v>-215.08709999999999</v>
      </c>
      <c r="K5939">
        <v>1.109699</v>
      </c>
      <c r="L5939">
        <v>140.89009999999999</v>
      </c>
      <c r="M5939">
        <v>-0.99277930000000003</v>
      </c>
      <c r="N5939">
        <v>0</v>
      </c>
      <c r="O5939">
        <v>-0.1191559</v>
      </c>
      <c r="P5939">
        <v>-0.99790659999999998</v>
      </c>
      <c r="Q5939">
        <v>-1.283781E-2</v>
      </c>
      <c r="R5939">
        <v>-6.3387550000000001E-2</v>
      </c>
      <c r="S5939">
        <v>-3.0066380000000001</v>
      </c>
      <c r="T5939">
        <v>-0.1087447</v>
      </c>
      <c r="U5939">
        <v>1.5716549999999999E-2</v>
      </c>
      <c r="V5939">
        <v>5.598297E-2</v>
      </c>
      <c r="W5939">
        <v>9.1439880000000002E-4</v>
      </c>
      <c r="X5939">
        <v>0.99843130000000002</v>
      </c>
      <c r="Y5939">
        <v>0.1241968</v>
      </c>
      <c r="Z5939">
        <v>6.5465019999999896E-3</v>
      </c>
      <c r="AA5939">
        <v>0.99223600000000001</v>
      </c>
      <c r="AB5939">
        <v>19</v>
      </c>
      <c r="AC5939">
        <v>-30.4879</v>
      </c>
      <c r="AD5939">
        <v>-1.1097012681939999</v>
      </c>
      <c r="AE5939">
        <v>0.18270000000001099</v>
      </c>
      <c r="AF5939">
        <v>3.8095117638812002</v>
      </c>
      <c r="AG5939">
        <v>-1.1097012681939999</v>
      </c>
      <c r="AH5939">
        <v>30.208857269103099</v>
      </c>
      <c r="AI5939">
        <v>92.087258259329005</v>
      </c>
      <c r="AJ5939">
        <v>82.812609877054598</v>
      </c>
      <c r="AK5939">
        <v>30.4683257546066</v>
      </c>
      <c r="AL5939">
        <v>89.947608800401994</v>
      </c>
      <c r="AM5939">
        <v>86.790732887868899</v>
      </c>
      <c r="AN5939">
        <v>0.99999999493743796</v>
      </c>
    </row>
    <row r="5940" spans="1:40" x14ac:dyDescent="0.25">
      <c r="A5940" t="str">
        <f>"20190312154040676"</f>
        <v>20190312154040676</v>
      </c>
      <c r="B5940" t="str">
        <f>"1552376440672007"</f>
        <v>1552376440672007</v>
      </c>
      <c r="C5940" t="s">
        <v>40</v>
      </c>
      <c r="D5940">
        <v>4.0198340000000004</v>
      </c>
      <c r="E5940">
        <v>0.52699580000000001</v>
      </c>
      <c r="F5940" t="s">
        <v>42</v>
      </c>
      <c r="G5940">
        <v>-246.58600000000001</v>
      </c>
      <c r="H5940" s="1">
        <v>-1.855966E-6</v>
      </c>
      <c r="I5940">
        <v>141.15350000000001</v>
      </c>
      <c r="J5940">
        <v>-215.26519999999999</v>
      </c>
      <c r="K5940">
        <v>1.1097170000000001</v>
      </c>
      <c r="L5940">
        <v>140.86969999999999</v>
      </c>
      <c r="M5940">
        <v>-0.99287320000000001</v>
      </c>
      <c r="N5940">
        <v>0</v>
      </c>
      <c r="O5940">
        <v>-0.118365</v>
      </c>
      <c r="P5940">
        <v>-0.99808969999999997</v>
      </c>
      <c r="Q5940">
        <v>-1.2520430000000001E-2</v>
      </c>
      <c r="R5940">
        <v>-6.0501779999999998E-2</v>
      </c>
      <c r="S5940">
        <v>-3.0065460000000002</v>
      </c>
      <c r="T5940">
        <v>-0.1059203</v>
      </c>
      <c r="U5940">
        <v>2.5146479999999999E-2</v>
      </c>
      <c r="V5940">
        <v>5.8075340000000003E-2</v>
      </c>
      <c r="W5940">
        <v>1.2725029999999999E-3</v>
      </c>
      <c r="X5940">
        <v>0.99831139999999996</v>
      </c>
      <c r="Y5940">
        <v>0.12652539999999901</v>
      </c>
      <c r="Z5940">
        <v>6.3901899999999996E-3</v>
      </c>
      <c r="AA5940">
        <v>0.99194280000000001</v>
      </c>
      <c r="AB5940">
        <v>19</v>
      </c>
      <c r="AC5940">
        <v>-31.320799999999899</v>
      </c>
      <c r="AD5940">
        <v>-1.1097188559660001</v>
      </c>
      <c r="AE5940">
        <v>0.28380000000001299</v>
      </c>
      <c r="AF5940">
        <v>3.9844465683015402</v>
      </c>
      <c r="AG5940">
        <v>-1.1097188559660001</v>
      </c>
      <c r="AH5940">
        <v>31.0280343941868</v>
      </c>
      <c r="AI5940">
        <v>92.031644197569804</v>
      </c>
      <c r="AJ5940">
        <v>82.682444011803298</v>
      </c>
      <c r="AK5940">
        <v>31.302495248171098</v>
      </c>
      <c r="AL5940">
        <v>89.927090929579904</v>
      </c>
      <c r="AM5940">
        <v>86.670652154891599</v>
      </c>
      <c r="AN5940">
        <v>1.00000000787498</v>
      </c>
    </row>
    <row r="5941" spans="1:40" x14ac:dyDescent="0.25">
      <c r="A5941" t="str">
        <f>"20190312154040691"</f>
        <v>20190312154040691</v>
      </c>
      <c r="B5941" t="str">
        <f>"1552376440681767"</f>
        <v>1552376440681767</v>
      </c>
      <c r="C5941" t="s">
        <v>40</v>
      </c>
      <c r="D5941">
        <v>3.9879090000000001</v>
      </c>
      <c r="E5941">
        <v>0.52690859999999995</v>
      </c>
      <c r="F5941" t="s">
        <v>42</v>
      </c>
      <c r="G5941">
        <v>-247.36320000000001</v>
      </c>
      <c r="H5941" s="1">
        <v>-1.5397460000000001E-6</v>
      </c>
      <c r="I5941">
        <v>141.2183</v>
      </c>
      <c r="J5941">
        <v>-215.38579999999999</v>
      </c>
      <c r="K5941">
        <v>1.1097250000000001</v>
      </c>
      <c r="L5941">
        <v>140.85599999999999</v>
      </c>
      <c r="M5941">
        <v>-0.99293759999999998</v>
      </c>
      <c r="N5941">
        <v>0</v>
      </c>
      <c r="O5941">
        <v>-0.1178215</v>
      </c>
      <c r="P5941">
        <v>-0.99817199999999995</v>
      </c>
      <c r="Q5941">
        <v>-1.238298E-2</v>
      </c>
      <c r="R5941">
        <v>-5.9157330000000001E-2</v>
      </c>
      <c r="S5941">
        <v>-3.006424</v>
      </c>
      <c r="T5941">
        <v>-0.10394050000000001</v>
      </c>
      <c r="U5941">
        <v>3.2653809999999998E-2</v>
      </c>
      <c r="V5941">
        <v>5.8873889999999998E-2</v>
      </c>
      <c r="W5941">
        <v>1.433197E-3</v>
      </c>
      <c r="X5941">
        <v>0.99826440000000005</v>
      </c>
      <c r="Y5941">
        <v>0.12846399999999999</v>
      </c>
      <c r="Z5941">
        <v>6.2859580000000003E-3</v>
      </c>
      <c r="AA5941">
        <v>0.99169430000000003</v>
      </c>
      <c r="AB5941">
        <v>19</v>
      </c>
      <c r="AC5941">
        <v>-31.977399999999999</v>
      </c>
      <c r="AD5941">
        <v>-1.1097265397460001</v>
      </c>
      <c r="AE5941">
        <v>0.36230000000000401</v>
      </c>
      <c r="AF5941">
        <v>4.1228003330118703</v>
      </c>
      <c r="AG5941">
        <v>-1.1097265397460001</v>
      </c>
      <c r="AH5941">
        <v>31.673795875269001</v>
      </c>
      <c r="AI5941">
        <v>91.989828212577095</v>
      </c>
      <c r="AJ5941">
        <v>82.583825721481503</v>
      </c>
      <c r="AK5941">
        <v>31.960261587275902</v>
      </c>
      <c r="AL5941">
        <v>89.917883832629997</v>
      </c>
      <c r="AM5941">
        <v>86.6248193897422</v>
      </c>
      <c r="AN5941">
        <v>1.0000000006423599</v>
      </c>
    </row>
    <row r="5942" spans="1:40" x14ac:dyDescent="0.25">
      <c r="A5942" t="str">
        <f>"20190312154040712"</f>
        <v>20190312154040712</v>
      </c>
      <c r="B5942" t="str">
        <f>"1552376440702264"</f>
        <v>1552376440702264</v>
      </c>
      <c r="C5942" t="s">
        <v>40</v>
      </c>
      <c r="D5942">
        <v>3.963937</v>
      </c>
      <c r="E5942">
        <v>0.52675530000000004</v>
      </c>
      <c r="F5942" t="s">
        <v>42</v>
      </c>
      <c r="G5942">
        <v>-247.84460000000001</v>
      </c>
      <c r="H5942" s="1">
        <v>-1.3402249999999999E-6</v>
      </c>
      <c r="I5942">
        <v>141.24459999999999</v>
      </c>
      <c r="J5942">
        <v>-215.55869999999999</v>
      </c>
      <c r="K5942">
        <v>1.109726</v>
      </c>
      <c r="L5942">
        <v>140.8364</v>
      </c>
      <c r="M5942">
        <v>-0.99303110000000006</v>
      </c>
      <c r="N5942">
        <v>0</v>
      </c>
      <c r="O5942">
        <v>-0.1170255</v>
      </c>
      <c r="P5942">
        <v>-0.99825359999999996</v>
      </c>
      <c r="Q5942">
        <v>-1.219992E-2</v>
      </c>
      <c r="R5942">
        <v>-5.7800299999999999E-2</v>
      </c>
      <c r="S5942">
        <v>-3.0063629999999999</v>
      </c>
      <c r="T5942">
        <v>-0.10278370000000001</v>
      </c>
      <c r="U5942">
        <v>3.5995480000000003E-2</v>
      </c>
      <c r="V5942">
        <v>5.9431240000000003E-2</v>
      </c>
      <c r="W5942">
        <v>1.647297E-3</v>
      </c>
      <c r="X5942">
        <v>0.99823110000000004</v>
      </c>
      <c r="Y5942">
        <v>0.128775</v>
      </c>
      <c r="Z5942">
        <v>6.1944359999999898E-3</v>
      </c>
      <c r="AA5942">
        <v>0.99165449999999999</v>
      </c>
      <c r="AB5942">
        <v>19</v>
      </c>
      <c r="AC5942">
        <v>-32.285899999999998</v>
      </c>
      <c r="AD5942">
        <v>-1.1097273402249901</v>
      </c>
      <c r="AE5942">
        <v>0.40819999999999301</v>
      </c>
      <c r="AF5942">
        <v>4.1790988050049904</v>
      </c>
      <c r="AG5942">
        <v>-1.1097273402249901</v>
      </c>
      <c r="AH5942">
        <v>31.978468801527601</v>
      </c>
      <c r="AI5942">
        <v>91.970755269327398</v>
      </c>
      <c r="AJ5942">
        <v>82.554508928137395</v>
      </c>
      <c r="AK5942">
        <v>32.269472082479297</v>
      </c>
      <c r="AL5942">
        <v>89.905616797030703</v>
      </c>
      <c r="AM5942">
        <v>86.592828606867698</v>
      </c>
      <c r="AN5942">
        <v>1.00000005744127</v>
      </c>
    </row>
    <row r="5943" spans="1:40" x14ac:dyDescent="0.25">
      <c r="A5943" t="str">
        <f>"20190312154040735"</f>
        <v>20190312154040735</v>
      </c>
      <c r="B5943" t="str">
        <f>"1552376440721783"</f>
        <v>1552376440721783</v>
      </c>
      <c r="C5943" t="s">
        <v>40</v>
      </c>
      <c r="D5943">
        <v>3.9090039999999999</v>
      </c>
      <c r="E5943">
        <v>0.52662509999999996</v>
      </c>
      <c r="F5943" t="s">
        <v>42</v>
      </c>
      <c r="G5943">
        <v>-248.5822</v>
      </c>
      <c r="H5943" s="1">
        <v>-1.028846E-6</v>
      </c>
      <c r="I5943">
        <v>141.26349999999999</v>
      </c>
      <c r="J5943">
        <v>-215.74940000000001</v>
      </c>
      <c r="K5943">
        <v>1.1097140000000001</v>
      </c>
      <c r="L5943">
        <v>140.8151</v>
      </c>
      <c r="M5943">
        <v>-0.99313779999999996</v>
      </c>
      <c r="N5943">
        <v>0</v>
      </c>
      <c r="O5943">
        <v>-0.1161131</v>
      </c>
      <c r="P5943">
        <v>-0.99830850000000004</v>
      </c>
      <c r="Q5943">
        <v>-1.2262169999999999E-2</v>
      </c>
      <c r="R5943">
        <v>-5.6837239999999997E-2</v>
      </c>
      <c r="S5943">
        <v>-3.0062709999999999</v>
      </c>
      <c r="T5943">
        <v>-0.1010233</v>
      </c>
      <c r="U5943">
        <v>3.887939E-2</v>
      </c>
      <c r="V5943">
        <v>5.9477469999999998E-2</v>
      </c>
      <c r="W5943">
        <v>1.61391799999999E-3</v>
      </c>
      <c r="X5943">
        <v>0.99822840000000002</v>
      </c>
      <c r="Y5943">
        <v>0.12882080000000001</v>
      </c>
      <c r="Z5943">
        <v>6.0588719999999999E-3</v>
      </c>
      <c r="AA5943">
        <v>0.99164940000000001</v>
      </c>
      <c r="AB5943">
        <v>19</v>
      </c>
      <c r="AC5943">
        <v>-32.832799999999899</v>
      </c>
      <c r="AD5943">
        <v>-1.10971502884599</v>
      </c>
      <c r="AE5943">
        <v>0.44839999999999203</v>
      </c>
      <c r="AF5943">
        <v>4.2531986600223801</v>
      </c>
      <c r="AG5943">
        <v>-1.10971502884599</v>
      </c>
      <c r="AH5943">
        <v>32.521460573619002</v>
      </c>
      <c r="AI5943">
        <v>91.937830517727093</v>
      </c>
      <c r="AJ5943">
        <v>82.549071444256995</v>
      </c>
      <c r="AK5943">
        <v>32.8171687402847</v>
      </c>
      <c r="AL5943">
        <v>89.907529275188494</v>
      </c>
      <c r="AM5943">
        <v>86.590175307730206</v>
      </c>
      <c r="AN5943">
        <v>1.00000005636773</v>
      </c>
    </row>
    <row r="5944" spans="1:40" x14ac:dyDescent="0.25">
      <c r="A5944" t="str">
        <f>"20190312154040756"</f>
        <v>20190312154040756</v>
      </c>
      <c r="B5944" t="str">
        <f>"1552376440752381"</f>
        <v>1552376440752381</v>
      </c>
      <c r="C5944" t="s">
        <v>40</v>
      </c>
      <c r="D5944">
        <v>3.8832710000000001</v>
      </c>
      <c r="E5944">
        <v>0.51990170000000002</v>
      </c>
      <c r="F5944" t="s">
        <v>42</v>
      </c>
      <c r="G5944">
        <v>-249.54669999999999</v>
      </c>
      <c r="H5944" s="1">
        <v>-6.1786080000000005E-7</v>
      </c>
      <c r="I5944">
        <v>141.2739</v>
      </c>
      <c r="J5944">
        <v>-215.92920000000001</v>
      </c>
      <c r="K5944">
        <v>1.109683</v>
      </c>
      <c r="L5944">
        <v>140.79509999999999</v>
      </c>
      <c r="M5944">
        <v>-0.99324310000000005</v>
      </c>
      <c r="N5944">
        <v>0</v>
      </c>
      <c r="O5944">
        <v>-0.11520619999999999</v>
      </c>
      <c r="P5944">
        <v>-0.99831539999999996</v>
      </c>
      <c r="Q5944">
        <v>-1.2275380000000001E-2</v>
      </c>
      <c r="R5944">
        <v>-5.6708399999999999E-2</v>
      </c>
      <c r="S5944">
        <v>-3.0062259999999998</v>
      </c>
      <c r="T5944">
        <v>-9.8707909999999996E-2</v>
      </c>
      <c r="U5944">
        <v>4.0817260000000001E-2</v>
      </c>
      <c r="V5944">
        <v>5.8694740000000002E-2</v>
      </c>
      <c r="W5944">
        <v>1.622978E-3</v>
      </c>
      <c r="X5944">
        <v>0.99827469999999996</v>
      </c>
      <c r="Y5944">
        <v>0.1285616</v>
      </c>
      <c r="Z5944">
        <v>5.8862970000000004E-3</v>
      </c>
      <c r="AA5944">
        <v>0.99168409999999996</v>
      </c>
      <c r="AB5944">
        <v>19</v>
      </c>
      <c r="AC5944">
        <v>-33.6174999999999</v>
      </c>
      <c r="AD5944">
        <v>-1.1096836178608001</v>
      </c>
      <c r="AE5944">
        <v>0.478800000000006</v>
      </c>
      <c r="AF5944">
        <v>4.3442022487631</v>
      </c>
      <c r="AG5944">
        <v>-1.1096836178608001</v>
      </c>
      <c r="AH5944">
        <v>33.302172385467102</v>
      </c>
      <c r="AI5944">
        <v>91.892462274064698</v>
      </c>
      <c r="AJ5944">
        <v>82.567846610596803</v>
      </c>
      <c r="AK5944">
        <v>33.602651331424298</v>
      </c>
      <c r="AL5944">
        <v>89.907010173403293</v>
      </c>
      <c r="AM5944">
        <v>86.635100881451194</v>
      </c>
      <c r="AN5944">
        <v>1.00000004161067</v>
      </c>
    </row>
    <row r="5945" spans="1:40" x14ac:dyDescent="0.25">
      <c r="A5945" t="str">
        <f>"20190312154040778"</f>
        <v>20190312154040778</v>
      </c>
      <c r="B5945" t="str">
        <f>"1552376440771902"</f>
        <v>1552376440771902</v>
      </c>
      <c r="C5945" t="s">
        <v>40</v>
      </c>
      <c r="D5945">
        <v>3.7931729999999999</v>
      </c>
      <c r="E5945">
        <v>0.52071270000000003</v>
      </c>
      <c r="F5945" t="s">
        <v>50</v>
      </c>
      <c r="G5945">
        <v>0</v>
      </c>
      <c r="H5945">
        <v>0</v>
      </c>
      <c r="I5945">
        <v>0</v>
      </c>
      <c r="J5945">
        <v>-216.1105</v>
      </c>
      <c r="K5945">
        <v>1.1096469999999901</v>
      </c>
      <c r="L5945">
        <v>140.77529999999999</v>
      </c>
      <c r="M5945">
        <v>-0.99335560000000001</v>
      </c>
      <c r="N5945">
        <v>0</v>
      </c>
      <c r="O5945">
        <v>-0.11422930000000001</v>
      </c>
      <c r="P5945">
        <v>-0.99832670000000001</v>
      </c>
      <c r="Q5945">
        <v>-1.315646E-2</v>
      </c>
      <c r="R5945">
        <v>-5.6313920000000003E-2</v>
      </c>
      <c r="S5945">
        <v>-3.0046539999999999</v>
      </c>
      <c r="T5945">
        <v>1.8281700000000001E-2</v>
      </c>
      <c r="U5945">
        <v>-1.107788E-2</v>
      </c>
      <c r="V5945">
        <v>5.8105379999999998E-2</v>
      </c>
      <c r="W5945">
        <v>7.5942689999999998E-4</v>
      </c>
      <c r="X5945">
        <v>0.99831009999999998</v>
      </c>
      <c r="Y5945">
        <v>0.1105728</v>
      </c>
      <c r="Z5945">
        <v>-1.030289E-3</v>
      </c>
      <c r="AA5945">
        <v>0.99386750000000001</v>
      </c>
      <c r="AB5945">
        <v>19</v>
      </c>
      <c r="AC5945">
        <v>-3.0046539999999999</v>
      </c>
      <c r="AD5945">
        <v>1.8281700000000001E-2</v>
      </c>
      <c r="AE5945">
        <v>-1.107788E-2</v>
      </c>
      <c r="AF5945">
        <v>0.33223556449366398</v>
      </c>
      <c r="AG5945">
        <v>1.8281700000000001E-2</v>
      </c>
      <c r="AH5945">
        <v>2.9861378911285898</v>
      </c>
      <c r="AI5945">
        <v>89.651379831632994</v>
      </c>
      <c r="AJ5945">
        <v>83.651422226867098</v>
      </c>
      <c r="AK5945">
        <v>3.0046188103823099</v>
      </c>
      <c r="AL5945">
        <v>89.956488036720003</v>
      </c>
      <c r="AM5945">
        <v>86.668929568329204</v>
      </c>
      <c r="AN5945">
        <v>0.99999993383808305</v>
      </c>
    </row>
    <row r="5946" spans="1:40" x14ac:dyDescent="0.25">
      <c r="A5946" t="str">
        <f>"20190312154040800"</f>
        <v>20190312154040800</v>
      </c>
      <c r="B5946" t="str">
        <f>"1552376440792398"</f>
        <v>1552376440792398</v>
      </c>
      <c r="C5946" t="s">
        <v>40</v>
      </c>
      <c r="D5946">
        <v>3.816589</v>
      </c>
      <c r="E5946">
        <v>0.52096319999999996</v>
      </c>
      <c r="F5946" t="s">
        <v>50</v>
      </c>
      <c r="G5946">
        <v>0</v>
      </c>
      <c r="H5946">
        <v>0</v>
      </c>
      <c r="I5946">
        <v>0</v>
      </c>
      <c r="J5946">
        <v>-216.29429999999999</v>
      </c>
      <c r="K5946">
        <v>1.109594</v>
      </c>
      <c r="L5946">
        <v>140.75550000000001</v>
      </c>
      <c r="M5946">
        <v>-0.99347779999999997</v>
      </c>
      <c r="N5946">
        <v>0</v>
      </c>
      <c r="O5946">
        <v>-0.1131593</v>
      </c>
      <c r="P5946">
        <v>-0.99834020000000001</v>
      </c>
      <c r="Q5946">
        <v>-1.386662E-2</v>
      </c>
      <c r="R5946">
        <v>-5.5898910000000003E-2</v>
      </c>
      <c r="S5946">
        <v>-3.0051269999999999</v>
      </c>
      <c r="T5946">
        <v>2.122843E-2</v>
      </c>
      <c r="U5946">
        <v>-3.2501219999999998E-3</v>
      </c>
      <c r="V5946">
        <v>5.7442890000000003E-2</v>
      </c>
      <c r="W5946" s="1">
        <v>6.2986340000000007E-5</v>
      </c>
      <c r="X5946">
        <v>0.99834880000000004</v>
      </c>
      <c r="Y5946">
        <v>0.1120902</v>
      </c>
      <c r="Z5946">
        <v>-1.194035E-3</v>
      </c>
      <c r="AA5946">
        <v>0.99369730000000001</v>
      </c>
      <c r="AB5946">
        <v>19</v>
      </c>
      <c r="AC5946">
        <v>-3.0051269999999999</v>
      </c>
      <c r="AD5946">
        <v>2.122843E-2</v>
      </c>
      <c r="AE5946">
        <v>-3.2501219999999998E-3</v>
      </c>
      <c r="AF5946">
        <v>0.33684548930011499</v>
      </c>
      <c r="AG5946">
        <v>2.122843E-2</v>
      </c>
      <c r="AH5946">
        <v>2.98603964152157</v>
      </c>
      <c r="AI5946">
        <v>89.595245327747605</v>
      </c>
      <c r="AJ5946">
        <v>83.563856866854593</v>
      </c>
      <c r="AK5946">
        <v>3.00505378831068</v>
      </c>
      <c r="AL5946">
        <v>89.996391148577501</v>
      </c>
      <c r="AM5946">
        <v>86.706952160087695</v>
      </c>
      <c r="AN5946">
        <v>1.0000000080201299</v>
      </c>
    </row>
    <row r="5947" spans="1:40" x14ac:dyDescent="0.25">
      <c r="A5947" t="str">
        <f>"20190312154040822"</f>
        <v>20190312154040822</v>
      </c>
      <c r="B5947" t="str">
        <f>"1552376440811921"</f>
        <v>1552376440811921</v>
      </c>
      <c r="C5947" t="s">
        <v>40</v>
      </c>
      <c r="D5947">
        <v>3.75088</v>
      </c>
      <c r="E5947">
        <v>0.52098929999999999</v>
      </c>
      <c r="F5947" t="s">
        <v>50</v>
      </c>
      <c r="G5947">
        <v>0</v>
      </c>
      <c r="H5947">
        <v>0</v>
      </c>
      <c r="I5947">
        <v>0</v>
      </c>
      <c r="J5947">
        <v>-216.48429999999999</v>
      </c>
      <c r="K5947">
        <v>1.1095389999999901</v>
      </c>
      <c r="L5947">
        <v>140.73519999999999</v>
      </c>
      <c r="M5947">
        <v>-0.99361149999999998</v>
      </c>
      <c r="N5947">
        <v>0</v>
      </c>
      <c r="O5947">
        <v>-0.1119768</v>
      </c>
      <c r="P5947">
        <v>-0.99836959999999997</v>
      </c>
      <c r="Q5947">
        <v>-1.5056470000000001E-2</v>
      </c>
      <c r="R5947">
        <v>-5.5058459999999997E-2</v>
      </c>
      <c r="S5947">
        <v>-3.00528</v>
      </c>
      <c r="T5947">
        <v>2.0903109999999999E-2</v>
      </c>
      <c r="U5947" s="1">
        <v>7.6293949999999995E-5</v>
      </c>
      <c r="V5947">
        <v>5.7091320000000001E-2</v>
      </c>
      <c r="W5947">
        <v>-1.1159239999999999E-3</v>
      </c>
      <c r="X5947">
        <v>0.99836829999999999</v>
      </c>
      <c r="Y5947">
        <v>0.1120077</v>
      </c>
      <c r="Z5947">
        <v>-1.1672169999999999E-3</v>
      </c>
      <c r="AA5947">
        <v>0.9937066</v>
      </c>
      <c r="AB5947">
        <v>19</v>
      </c>
      <c r="AC5947">
        <v>-3.00528</v>
      </c>
      <c r="AD5947">
        <v>2.0903109999999999E-2</v>
      </c>
      <c r="AE5947" s="1">
        <v>7.6293949999999995E-5</v>
      </c>
      <c r="AF5947">
        <v>0.336614383449375</v>
      </c>
      <c r="AG5947">
        <v>2.0903109999999999E-2</v>
      </c>
      <c r="AH5947">
        <v>2.9862225008314001</v>
      </c>
      <c r="AI5947">
        <v>89.601468546572505</v>
      </c>
      <c r="AJ5947">
        <v>83.5686261606523</v>
      </c>
      <c r="AK5947">
        <v>3.00520731524872</v>
      </c>
      <c r="AL5947">
        <v>90.063937751075599</v>
      </c>
      <c r="AM5947">
        <v>86.727126569064694</v>
      </c>
      <c r="AN5947">
        <v>0.99999996327530205</v>
      </c>
    </row>
    <row r="5948" spans="1:40" x14ac:dyDescent="0.25">
      <c r="A5948" t="str">
        <f>"20190312154040844"</f>
        <v>20190312154040844</v>
      </c>
      <c r="B5948" t="str">
        <f>"1552376440832414"</f>
        <v>1552376440832414</v>
      </c>
      <c r="C5948" t="s">
        <v>40</v>
      </c>
      <c r="D5948">
        <v>3.7589929999999998</v>
      </c>
      <c r="E5948">
        <v>0.52091549999999998</v>
      </c>
      <c r="F5948" t="s">
        <v>50</v>
      </c>
      <c r="G5948">
        <v>0</v>
      </c>
      <c r="H5948">
        <v>0</v>
      </c>
      <c r="I5948">
        <v>0</v>
      </c>
      <c r="J5948">
        <v>-216.6593</v>
      </c>
      <c r="K5948">
        <v>1.109504</v>
      </c>
      <c r="L5948">
        <v>140.71690000000001</v>
      </c>
      <c r="M5948">
        <v>-0.99374119999999999</v>
      </c>
      <c r="N5948">
        <v>0</v>
      </c>
      <c r="O5948">
        <v>-0.1108185</v>
      </c>
      <c r="P5948">
        <v>-0.99838550000000004</v>
      </c>
      <c r="Q5948">
        <v>-1.6474340000000001E-2</v>
      </c>
      <c r="R5948">
        <v>-5.4359749999999998E-2</v>
      </c>
      <c r="S5948">
        <v>-3.0053559999999999</v>
      </c>
      <c r="T5948">
        <v>1.8586160000000001E-2</v>
      </c>
      <c r="U5948">
        <v>2.853394E-3</v>
      </c>
      <c r="V5948">
        <v>5.662143E-2</v>
      </c>
      <c r="W5948">
        <v>-2.5251980000000002E-3</v>
      </c>
      <c r="X5948">
        <v>0.99839250000000002</v>
      </c>
      <c r="Y5948">
        <v>0.111768699999999</v>
      </c>
      <c r="Z5948">
        <v>-1.0299560000000001E-3</v>
      </c>
      <c r="AA5948">
        <v>0.99373370000000005</v>
      </c>
      <c r="AB5948">
        <v>19</v>
      </c>
      <c r="AC5948">
        <v>-3.0053559999999999</v>
      </c>
      <c r="AD5948">
        <v>1.8586160000000001E-2</v>
      </c>
      <c r="AE5948">
        <v>2.853394E-3</v>
      </c>
      <c r="AF5948">
        <v>0.33590493702266799</v>
      </c>
      <c r="AG5948">
        <v>1.8586160000000001E-2</v>
      </c>
      <c r="AH5948">
        <v>2.98641086436943</v>
      </c>
      <c r="AI5948">
        <v>89.645654226480204</v>
      </c>
      <c r="AJ5948">
        <v>83.582469093804903</v>
      </c>
      <c r="AK5948">
        <v>3.0052998890099998</v>
      </c>
      <c r="AL5948">
        <v>90.144683345433293</v>
      </c>
      <c r="AM5948">
        <v>86.7540846189615</v>
      </c>
      <c r="AN5948">
        <v>0.99999997350821601</v>
      </c>
    </row>
    <row r="5949" spans="1:40" x14ac:dyDescent="0.25">
      <c r="A5949" t="str">
        <f>"20190312154040866"</f>
        <v>20190312154040866</v>
      </c>
      <c r="B5949" t="str">
        <f>"1552376440861693"</f>
        <v>1552376440861693</v>
      </c>
      <c r="C5949" t="s">
        <v>40</v>
      </c>
      <c r="D5949">
        <v>3.7879860000000001</v>
      </c>
      <c r="E5949">
        <v>0.52060450000000003</v>
      </c>
      <c r="F5949" t="s">
        <v>50</v>
      </c>
      <c r="G5949">
        <v>0</v>
      </c>
      <c r="H5949">
        <v>0</v>
      </c>
      <c r="I5949">
        <v>0</v>
      </c>
      <c r="J5949">
        <v>-216.84350000000001</v>
      </c>
      <c r="K5949">
        <v>1.109472</v>
      </c>
      <c r="L5949">
        <v>140.69799999999901</v>
      </c>
      <c r="M5949">
        <v>-0.99388489999999996</v>
      </c>
      <c r="N5949">
        <v>0</v>
      </c>
      <c r="O5949">
        <v>-0.10952199999999999</v>
      </c>
      <c r="P5949">
        <v>-0.99844759999999999</v>
      </c>
      <c r="Q5949">
        <v>-1.7101769999999999E-2</v>
      </c>
      <c r="R5949">
        <v>-5.3011929999999999E-2</v>
      </c>
      <c r="S5949">
        <v>-3.0053559999999999</v>
      </c>
      <c r="T5949">
        <v>1.542377E-2</v>
      </c>
      <c r="U5949">
        <v>4.5013429999999997E-3</v>
      </c>
      <c r="V5949">
        <v>5.6664409999999998E-2</v>
      </c>
      <c r="W5949">
        <v>-3.1552049999999999E-3</v>
      </c>
      <c r="X5949">
        <v>0.99838830000000001</v>
      </c>
      <c r="Y5949">
        <v>0.1110186</v>
      </c>
      <c r="Z5949">
        <v>-8.4616970000000004E-4</v>
      </c>
      <c r="AA5949">
        <v>0.99381799999999998</v>
      </c>
      <c r="AB5949">
        <v>19</v>
      </c>
      <c r="AC5949">
        <v>-3.0053559999999999</v>
      </c>
      <c r="AD5949">
        <v>1.542377E-2</v>
      </c>
      <c r="AE5949">
        <v>4.5013429999999997E-3</v>
      </c>
      <c r="AF5949">
        <v>0.33365061891614201</v>
      </c>
      <c r="AG5949">
        <v>1.542377E-2</v>
      </c>
      <c r="AH5949">
        <v>2.9867015998850701</v>
      </c>
      <c r="AI5949">
        <v>89.705947830963098</v>
      </c>
      <c r="AJ5949">
        <v>83.625797987129502</v>
      </c>
      <c r="AK5949">
        <v>3.0053197957854998</v>
      </c>
      <c r="AL5949">
        <v>90.180780229207201</v>
      </c>
      <c r="AM5949">
        <v>86.751612359189295</v>
      </c>
      <c r="AN5949">
        <v>1.0000000041280599</v>
      </c>
    </row>
    <row r="5950" spans="1:40" x14ac:dyDescent="0.25">
      <c r="A5950" t="str">
        <f>"20190312154040880"</f>
        <v>20190312154040880</v>
      </c>
      <c r="B5950" t="str">
        <f>"1552376440872429"</f>
        <v>1552376440872429</v>
      </c>
      <c r="C5950" t="s">
        <v>40</v>
      </c>
      <c r="D5950">
        <v>3.7775430000000001</v>
      </c>
      <c r="E5950">
        <v>0.52083380000000001</v>
      </c>
      <c r="F5950" t="s">
        <v>50</v>
      </c>
      <c r="G5950">
        <v>0</v>
      </c>
      <c r="H5950">
        <v>0</v>
      </c>
      <c r="I5950">
        <v>0</v>
      </c>
      <c r="J5950">
        <v>-216.96029999999999</v>
      </c>
      <c r="K5950">
        <v>1.109448</v>
      </c>
      <c r="L5950">
        <v>140.68610000000001</v>
      </c>
      <c r="M5950">
        <v>-0.99397959999999996</v>
      </c>
      <c r="N5950">
        <v>0</v>
      </c>
      <c r="O5950">
        <v>-0.1086612</v>
      </c>
      <c r="P5950">
        <v>-0.99849739999999998</v>
      </c>
      <c r="Q5950">
        <v>-1.7135810000000001E-2</v>
      </c>
      <c r="R5950">
        <v>-5.2053139999999998E-2</v>
      </c>
      <c r="S5950">
        <v>-3.0052189999999999</v>
      </c>
      <c r="T5950">
        <v>1.339483E-2</v>
      </c>
      <c r="U5950">
        <v>6.1035159999999998E-3</v>
      </c>
      <c r="V5950">
        <v>5.6758030000000001E-2</v>
      </c>
      <c r="W5950">
        <v>-3.208518E-3</v>
      </c>
      <c r="X5950">
        <v>0.99838280000000001</v>
      </c>
      <c r="Y5950">
        <v>0.1106885</v>
      </c>
      <c r="Z5950">
        <v>-7.3034100000000002E-4</v>
      </c>
      <c r="AA5950">
        <v>0.99385489999999999</v>
      </c>
      <c r="AB5950">
        <v>19</v>
      </c>
      <c r="AC5950">
        <v>-3.0052189999999999</v>
      </c>
      <c r="AD5950">
        <v>1.339483E-2</v>
      </c>
      <c r="AE5950">
        <v>6.1035159999999998E-3</v>
      </c>
      <c r="AF5950">
        <v>0.33264368204801897</v>
      </c>
      <c r="AG5950">
        <v>1.339483E-2</v>
      </c>
      <c r="AH5950">
        <v>2.9866984848514102</v>
      </c>
      <c r="AI5950">
        <v>89.744619008543907</v>
      </c>
      <c r="AJ5950">
        <v>83.644870733676299</v>
      </c>
      <c r="AK5950">
        <v>3.0051953480748801</v>
      </c>
      <c r="AL5950">
        <v>90.183834856790497</v>
      </c>
      <c r="AM5950">
        <v>86.7462390626131</v>
      </c>
      <c r="AN5950">
        <v>0.99999999194653799</v>
      </c>
    </row>
    <row r="5951" spans="1:40" x14ac:dyDescent="0.25">
      <c r="A5951" t="str">
        <f>"20190312154040900"</f>
        <v>20190312154040900</v>
      </c>
      <c r="B5951" t="str">
        <f>"1552376440891953"</f>
        <v>1552376440891953</v>
      </c>
      <c r="C5951" t="s">
        <v>40</v>
      </c>
      <c r="D5951">
        <v>3.73495</v>
      </c>
      <c r="E5951">
        <v>0.52173579999999997</v>
      </c>
      <c r="F5951" t="s">
        <v>50</v>
      </c>
      <c r="G5951">
        <v>0</v>
      </c>
      <c r="H5951">
        <v>0</v>
      </c>
      <c r="I5951">
        <v>0</v>
      </c>
      <c r="J5951">
        <v>-217.12960000000001</v>
      </c>
      <c r="K5951">
        <v>1.1094010000000001</v>
      </c>
      <c r="L5951">
        <v>140.66909999999999</v>
      </c>
      <c r="M5951">
        <v>-0.99412259999999997</v>
      </c>
      <c r="N5951">
        <v>0</v>
      </c>
      <c r="O5951">
        <v>-0.1073548</v>
      </c>
      <c r="P5951">
        <v>-0.99858369999999996</v>
      </c>
      <c r="Q5951">
        <v>-1.7256299999999999E-2</v>
      </c>
      <c r="R5951">
        <v>-5.032818E-2</v>
      </c>
      <c r="S5951">
        <v>-3.005188</v>
      </c>
      <c r="T5951">
        <v>7.2580580000000004E-3</v>
      </c>
      <c r="U5951">
        <v>1.075745E-2</v>
      </c>
      <c r="V5951">
        <v>5.7169459999999998E-2</v>
      </c>
      <c r="W5951">
        <v>-3.4176649999999999E-3</v>
      </c>
      <c r="X5951">
        <v>0.99835870000000004</v>
      </c>
      <c r="Y5951">
        <v>0.1109229</v>
      </c>
      <c r="Z5951">
        <v>-3.9289009999999999E-4</v>
      </c>
      <c r="AA5951">
        <v>0.99382899999999996</v>
      </c>
      <c r="AB5951">
        <v>19</v>
      </c>
      <c r="AC5951">
        <v>-3.005188</v>
      </c>
      <c r="AD5951">
        <v>7.2580580000000004E-3</v>
      </c>
      <c r="AE5951">
        <v>1.075745E-2</v>
      </c>
      <c r="AF5951">
        <v>0.333346173335965</v>
      </c>
      <c r="AG5951">
        <v>7.2580580000000004E-3</v>
      </c>
      <c r="AH5951">
        <v>2.98664454009959</v>
      </c>
      <c r="AI5951">
        <v>89.861620955608004</v>
      </c>
      <c r="AJ5951">
        <v>83.631445767260701</v>
      </c>
      <c r="AK5951">
        <v>3.0051984892167098</v>
      </c>
      <c r="AL5951">
        <v>90.195818149605898</v>
      </c>
      <c r="AM5951">
        <v>86.722625350657296</v>
      </c>
      <c r="AN5951">
        <v>1.00000006072821</v>
      </c>
    </row>
    <row r="5952" spans="1:40" x14ac:dyDescent="0.25">
      <c r="A5952" t="str">
        <f>"20190312154040923"</f>
        <v>20190312154040923</v>
      </c>
      <c r="B5952" t="str">
        <f>"1552376440912445"</f>
        <v>1552376440912445</v>
      </c>
      <c r="C5952" t="s">
        <v>40</v>
      </c>
      <c r="D5952">
        <v>3.7259120000000001</v>
      </c>
      <c r="E5952">
        <v>0.52240529999999996</v>
      </c>
      <c r="F5952" t="s">
        <v>50</v>
      </c>
      <c r="G5952">
        <v>0</v>
      </c>
      <c r="H5952">
        <v>0</v>
      </c>
      <c r="I5952">
        <v>0</v>
      </c>
      <c r="J5952">
        <v>-217.3142</v>
      </c>
      <c r="K5952">
        <v>1.1093299999999999</v>
      </c>
      <c r="L5952">
        <v>140.65100000000001</v>
      </c>
      <c r="M5952">
        <v>-0.99428340000000004</v>
      </c>
      <c r="N5952">
        <v>0</v>
      </c>
      <c r="O5952">
        <v>-0.1058789</v>
      </c>
      <c r="P5952">
        <v>-0.99872139999999998</v>
      </c>
      <c r="Q5952">
        <v>-1.786271E-2</v>
      </c>
      <c r="R5952">
        <v>-4.7293889999999998E-2</v>
      </c>
      <c r="S5952">
        <v>-3.0055540000000001</v>
      </c>
      <c r="T5952">
        <v>6.9411990000000003E-3</v>
      </c>
      <c r="U5952">
        <v>2.31781E-2</v>
      </c>
      <c r="V5952">
        <v>5.8717279999999997E-2</v>
      </c>
      <c r="W5952">
        <v>-4.2190389999999999E-3</v>
      </c>
      <c r="X5952">
        <v>0.99826570000000003</v>
      </c>
      <c r="Y5952">
        <v>0.113553399999999</v>
      </c>
      <c r="Z5952">
        <v>-3.7534370000000001E-4</v>
      </c>
      <c r="AA5952">
        <v>0.99353179999999996</v>
      </c>
      <c r="AB5952">
        <v>19</v>
      </c>
      <c r="AC5952">
        <v>-3.0055540000000001</v>
      </c>
      <c r="AD5952">
        <v>6.9411990000000003E-3</v>
      </c>
      <c r="AE5952">
        <v>2.31781E-2</v>
      </c>
      <c r="AF5952">
        <v>0.341300987091393</v>
      </c>
      <c r="AG5952">
        <v>6.9411990000000003E-3</v>
      </c>
      <c r="AH5952">
        <v>2.9861864221327101</v>
      </c>
      <c r="AI5952">
        <v>89.867681300657296</v>
      </c>
      <c r="AJ5952">
        <v>83.4797713727135</v>
      </c>
      <c r="AK5952">
        <v>3.0056353557547402</v>
      </c>
      <c r="AL5952">
        <v>90.241733854276504</v>
      </c>
      <c r="AM5952">
        <v>86.633781382591394</v>
      </c>
      <c r="AN5952">
        <v>0.999999963528585</v>
      </c>
    </row>
    <row r="5953" spans="1:40" x14ac:dyDescent="0.25">
      <c r="A5953" t="str">
        <f>"20190312154040946"</f>
        <v>20190312154040946</v>
      </c>
      <c r="B5953" t="str">
        <f>"1552376440941726"</f>
        <v>1552376440941726</v>
      </c>
      <c r="C5953" t="s">
        <v>40</v>
      </c>
      <c r="D5953">
        <v>3.7230880000000002</v>
      </c>
      <c r="E5953">
        <v>0.52334709999999995</v>
      </c>
      <c r="F5953" t="s">
        <v>50</v>
      </c>
      <c r="G5953">
        <v>0</v>
      </c>
      <c r="H5953">
        <v>0</v>
      </c>
      <c r="I5953">
        <v>0</v>
      </c>
      <c r="J5953">
        <v>-217.50229999999999</v>
      </c>
      <c r="K5953">
        <v>1.109251</v>
      </c>
      <c r="L5953">
        <v>140.63290000000001</v>
      </c>
      <c r="M5953">
        <v>-0.9944499</v>
      </c>
      <c r="N5953">
        <v>0</v>
      </c>
      <c r="O5953">
        <v>-0.10433919999999999</v>
      </c>
      <c r="P5953">
        <v>-0.99887649999999994</v>
      </c>
      <c r="Q5953">
        <v>-1.8196549999999999E-2</v>
      </c>
      <c r="R5953">
        <v>-4.3758379999999999E-2</v>
      </c>
      <c r="S5953">
        <v>-3.0057529999999999</v>
      </c>
      <c r="T5953">
        <v>5.8004859999999997E-3</v>
      </c>
      <c r="U5953">
        <v>3.7857059999999998E-2</v>
      </c>
      <c r="V5953">
        <v>6.0702270000000003E-2</v>
      </c>
      <c r="W5953">
        <v>-4.8298999999999998E-3</v>
      </c>
      <c r="X5953">
        <v>0.99814420000000004</v>
      </c>
      <c r="Y5953">
        <v>0.1168652</v>
      </c>
      <c r="Z5953">
        <v>-3.1387929999999997E-4</v>
      </c>
      <c r="AA5953">
        <v>0.99314769999999997</v>
      </c>
      <c r="AB5953">
        <v>19</v>
      </c>
      <c r="AC5953">
        <v>-3.0057529999999999</v>
      </c>
      <c r="AD5953">
        <v>5.8004859999999997E-3</v>
      </c>
      <c r="AE5953">
        <v>3.7857059999999998E-2</v>
      </c>
      <c r="AF5953">
        <v>0.35129560220427503</v>
      </c>
      <c r="AG5953">
        <v>5.8004859999999997E-3</v>
      </c>
      <c r="AH5953">
        <v>2.98538244835949</v>
      </c>
      <c r="AI5953">
        <v>89.8894394066795</v>
      </c>
      <c r="AJ5953">
        <v>83.288759762468004</v>
      </c>
      <c r="AK5953">
        <v>3.0059857964965202</v>
      </c>
      <c r="AL5953">
        <v>90.276733970062395</v>
      </c>
      <c r="AM5953">
        <v>86.519835895171795</v>
      </c>
      <c r="AN5953">
        <v>0.99999996875540098</v>
      </c>
    </row>
    <row r="5954" spans="1:40" x14ac:dyDescent="0.25">
      <c r="A5954" t="str">
        <f>"20190312154040969"</f>
        <v>20190312154040969</v>
      </c>
      <c r="B5954" t="str">
        <f>"1552376440962222"</f>
        <v>1552376440962222</v>
      </c>
      <c r="C5954" t="s">
        <v>40</v>
      </c>
      <c r="D5954">
        <v>3.6827529999999999</v>
      </c>
      <c r="E5954">
        <v>0.52370720000000004</v>
      </c>
      <c r="F5954" t="s">
        <v>50</v>
      </c>
      <c r="G5954">
        <v>0</v>
      </c>
      <c r="H5954">
        <v>0</v>
      </c>
      <c r="I5954">
        <v>0</v>
      </c>
      <c r="J5954">
        <v>-217.6892</v>
      </c>
      <c r="K5954">
        <v>1.1091899999999999</v>
      </c>
      <c r="L5954">
        <v>140.61510000000001</v>
      </c>
      <c r="M5954">
        <v>-0.99461630000000001</v>
      </c>
      <c r="N5954">
        <v>0</v>
      </c>
      <c r="O5954">
        <v>-0.10278329999999999</v>
      </c>
      <c r="P5954">
        <v>-0.9990639</v>
      </c>
      <c r="Q5954">
        <v>-1.8374769999999999E-2</v>
      </c>
      <c r="R5954">
        <v>-3.9164440000000002E-2</v>
      </c>
      <c r="S5954">
        <v>-3.0059969999999998</v>
      </c>
      <c r="T5954">
        <v>8.4581380000000005E-3</v>
      </c>
      <c r="U5954">
        <v>5.6259160000000002E-2</v>
      </c>
      <c r="V5954">
        <v>6.3728140000000003E-2</v>
      </c>
      <c r="W5954">
        <v>-5.3381929999999998E-3</v>
      </c>
      <c r="X5954">
        <v>0.99795299999999998</v>
      </c>
      <c r="Y5954">
        <v>0.1213866</v>
      </c>
      <c r="Z5954">
        <v>-4.5965250000000002E-4</v>
      </c>
      <c r="AA5954">
        <v>0.99260519999999997</v>
      </c>
      <c r="AB5954">
        <v>19</v>
      </c>
      <c r="AC5954">
        <v>-3.0059969999999998</v>
      </c>
      <c r="AD5954">
        <v>8.4581380000000005E-3</v>
      </c>
      <c r="AE5954">
        <v>5.6259160000000002E-2</v>
      </c>
      <c r="AF5954">
        <v>0.36495143467575403</v>
      </c>
      <c r="AG5954">
        <v>8.4581380000000005E-3</v>
      </c>
      <c r="AH5954">
        <v>2.98426715106452</v>
      </c>
      <c r="AI5954">
        <v>89.838811111815502</v>
      </c>
      <c r="AJ5954">
        <v>83.027814827666901</v>
      </c>
      <c r="AK5954">
        <v>3.0065115198004899</v>
      </c>
      <c r="AL5954">
        <v>90.305857387531304</v>
      </c>
      <c r="AM5954">
        <v>86.346118287327499</v>
      </c>
      <c r="AN5954">
        <v>0.99999998117068201</v>
      </c>
    </row>
    <row r="5955" spans="1:40" x14ac:dyDescent="0.25">
      <c r="A5955" t="str">
        <f>"20190312154040991"</f>
        <v>20190312154040991</v>
      </c>
      <c r="B5955" t="str">
        <f>"1552376440981742"</f>
        <v>1552376440981742</v>
      </c>
      <c r="C5955" t="s">
        <v>40</v>
      </c>
      <c r="D5955">
        <v>3.6940680000000001</v>
      </c>
      <c r="E5955">
        <v>0.52386330000000003</v>
      </c>
      <c r="F5955" t="s">
        <v>50</v>
      </c>
      <c r="G5955">
        <v>0</v>
      </c>
      <c r="H5955">
        <v>0</v>
      </c>
      <c r="I5955">
        <v>0</v>
      </c>
      <c r="J5955">
        <v>-217.8828</v>
      </c>
      <c r="K5955">
        <v>1.1091329999999999</v>
      </c>
      <c r="L5955">
        <v>140.59710000000001</v>
      </c>
      <c r="M5955">
        <v>-0.99478809999999995</v>
      </c>
      <c r="N5955">
        <v>0</v>
      </c>
      <c r="O5955">
        <v>-0.1011575</v>
      </c>
      <c r="P5955">
        <v>-0.99924939999999995</v>
      </c>
      <c r="Q5955">
        <v>-1.7230229999999999E-2</v>
      </c>
      <c r="R5955">
        <v>-3.4700410000000001E-2</v>
      </c>
      <c r="S5955">
        <v>-3.0058440000000002</v>
      </c>
      <c r="T5955">
        <v>9.0191360000000005E-3</v>
      </c>
      <c r="U5955">
        <v>7.3150629999999994E-2</v>
      </c>
      <c r="V5955">
        <v>6.6558409999999998E-2</v>
      </c>
      <c r="W5955">
        <v>-4.5828880000000002E-3</v>
      </c>
      <c r="X5955">
        <v>0.99777199999999999</v>
      </c>
      <c r="Y5955">
        <v>0.12533900000000001</v>
      </c>
      <c r="Z5955">
        <v>-4.9122279999999998E-4</v>
      </c>
      <c r="AA5955">
        <v>0.99211380000000005</v>
      </c>
      <c r="AB5955">
        <v>19</v>
      </c>
      <c r="AC5955">
        <v>-3.0058440000000002</v>
      </c>
      <c r="AD5955">
        <v>9.0191360000000005E-3</v>
      </c>
      <c r="AE5955">
        <v>7.3150629999999994E-2</v>
      </c>
      <c r="AF5955">
        <v>0.37686051543764398</v>
      </c>
      <c r="AG5955">
        <v>9.0191360000000005E-3</v>
      </c>
      <c r="AH5955">
        <v>2.98299558019733</v>
      </c>
      <c r="AI5955">
        <v>89.828131942308104</v>
      </c>
      <c r="AJ5955">
        <v>82.799611716340706</v>
      </c>
      <c r="AK5955">
        <v>3.0067204433380499</v>
      </c>
      <c r="AL5955">
        <v>90.262581061017599</v>
      </c>
      <c r="AM5955">
        <v>86.183622569656094</v>
      </c>
      <c r="AN5955">
        <v>0.99999999439407405</v>
      </c>
    </row>
    <row r="5956" spans="1:40" x14ac:dyDescent="0.25">
      <c r="A5956" t="str">
        <f>"20190312154041012"</f>
        <v>20190312154041012</v>
      </c>
      <c r="B5956" t="str">
        <f>"1552376441002242"</f>
        <v>1552376441002242</v>
      </c>
      <c r="C5956" t="s">
        <v>40</v>
      </c>
      <c r="D5956">
        <v>3.7062870000000001</v>
      </c>
      <c r="E5956">
        <v>0.52376750000000005</v>
      </c>
      <c r="F5956" t="s">
        <v>82</v>
      </c>
      <c r="G5956">
        <v>-550.16279999999995</v>
      </c>
      <c r="H5956">
        <v>2.6803650000000001</v>
      </c>
      <c r="I5956">
        <v>150.31389999999999</v>
      </c>
      <c r="J5956">
        <v>-218.0609</v>
      </c>
      <c r="K5956">
        <v>1.1090819999999999</v>
      </c>
      <c r="L5956">
        <v>140.58080000000001</v>
      </c>
      <c r="M5956">
        <v>-0.99494400000000005</v>
      </c>
      <c r="N5956">
        <v>0</v>
      </c>
      <c r="O5956">
        <v>-9.9662329999999993E-2</v>
      </c>
      <c r="P5956">
        <v>-0.99943510000000002</v>
      </c>
      <c r="Q5956">
        <v>-1.6074209999999998E-2</v>
      </c>
      <c r="R5956">
        <v>-2.951894E-2</v>
      </c>
      <c r="S5956">
        <v>-3.0055390000000002</v>
      </c>
      <c r="T5956">
        <v>1.4212489999999999E-2</v>
      </c>
      <c r="U5956">
        <v>8.7890629999999997E-2</v>
      </c>
      <c r="V5956">
        <v>7.0234279999999996E-2</v>
      </c>
      <c r="W5956">
        <v>-3.8356649999999998E-3</v>
      </c>
      <c r="X5956">
        <v>0.9975231</v>
      </c>
      <c r="Y5956">
        <v>0.12870970000000001</v>
      </c>
      <c r="Z5956">
        <v>-7.7504859999999996E-4</v>
      </c>
      <c r="AA5956">
        <v>0.99168199999999995</v>
      </c>
      <c r="AB5956">
        <v>19</v>
      </c>
      <c r="AC5956">
        <v>-332.10189999999898</v>
      </c>
      <c r="AD5956">
        <v>1.571283</v>
      </c>
      <c r="AE5956">
        <v>9.7330999999999808</v>
      </c>
      <c r="AF5956">
        <v>42.784273200775601</v>
      </c>
      <c r="AG5956">
        <v>1.571283</v>
      </c>
      <c r="AH5956">
        <v>329.47074754980298</v>
      </c>
      <c r="AI5956">
        <v>89.729027184137095</v>
      </c>
      <c r="AJ5956">
        <v>82.6011125986726</v>
      </c>
      <c r="AK5956">
        <v>332.24078084216399</v>
      </c>
      <c r="AL5956">
        <v>90.219767965840703</v>
      </c>
      <c r="AM5956">
        <v>85.972526532839495</v>
      </c>
      <c r="AN5956">
        <v>0.99999995072335901</v>
      </c>
    </row>
    <row r="5957" spans="1:40" x14ac:dyDescent="0.25">
      <c r="A5957" t="str">
        <f>"20190312154041046"</f>
        <v>20190312154041046</v>
      </c>
      <c r="B5957" t="str">
        <f>"1552376441042253"</f>
        <v>1552376441042253</v>
      </c>
      <c r="C5957" t="s">
        <v>40</v>
      </c>
      <c r="D5957">
        <v>3.7147730000000001</v>
      </c>
      <c r="E5957">
        <v>0.52342060000000001</v>
      </c>
      <c r="F5957" t="s">
        <v>82</v>
      </c>
      <c r="G5957">
        <v>-511.05959999999999</v>
      </c>
      <c r="H5957">
        <v>2.7774640000000002</v>
      </c>
      <c r="I5957">
        <v>150.5951</v>
      </c>
      <c r="J5957">
        <v>-218.33099999999999</v>
      </c>
      <c r="K5957">
        <v>1.1089880000000001</v>
      </c>
      <c r="L5957">
        <v>140.5565</v>
      </c>
      <c r="M5957">
        <v>-0.99517489999999997</v>
      </c>
      <c r="N5957">
        <v>0</v>
      </c>
      <c r="O5957">
        <v>-9.7417729999999994E-2</v>
      </c>
      <c r="P5957">
        <v>-0.9995617</v>
      </c>
      <c r="Q5957">
        <v>-1.481411E-2</v>
      </c>
      <c r="R5957">
        <v>-2.563445E-2</v>
      </c>
      <c r="S5957">
        <v>-3.0050050000000001</v>
      </c>
      <c r="T5957">
        <v>1.7111419999999999E-2</v>
      </c>
      <c r="U5957">
        <v>0.1027069</v>
      </c>
      <c r="V5957">
        <v>7.1862819999999994E-2</v>
      </c>
      <c r="W5957">
        <v>-3.2826550000000002E-3</v>
      </c>
      <c r="X5957">
        <v>0.99740910000000005</v>
      </c>
      <c r="Y5957">
        <v>0.13136</v>
      </c>
      <c r="Z5957">
        <v>-9.2805790000000002E-4</v>
      </c>
      <c r="AA5957">
        <v>0.9913343</v>
      </c>
      <c r="AB5957">
        <v>19</v>
      </c>
      <c r="AC5957">
        <v>-292.72859999999997</v>
      </c>
      <c r="AD5957">
        <v>1.6684760000000001</v>
      </c>
      <c r="AE5957">
        <v>10.038600000000001</v>
      </c>
      <c r="AF5957">
        <v>38.5085012270888</v>
      </c>
      <c r="AG5957">
        <v>1.6684760000000001</v>
      </c>
      <c r="AH5957">
        <v>290.34864340619998</v>
      </c>
      <c r="AI5957">
        <v>89.673613930060597</v>
      </c>
      <c r="AJ5957">
        <v>82.445039609224295</v>
      </c>
      <c r="AK5957">
        <v>292.89592555503401</v>
      </c>
      <c r="AL5957">
        <v>90.188082619263696</v>
      </c>
      <c r="AM5957">
        <v>85.878989188865901</v>
      </c>
      <c r="AN5957">
        <v>0.99999997674250496</v>
      </c>
    </row>
    <row r="5958" spans="1:40" x14ac:dyDescent="0.25">
      <c r="A5958" t="str">
        <f>"20190312154041069"</f>
        <v>20190312154041069</v>
      </c>
      <c r="B5958" t="str">
        <f>"1552376441061774"</f>
        <v>1552376441061774</v>
      </c>
      <c r="C5958" t="s">
        <v>40</v>
      </c>
      <c r="D5958">
        <v>3.7007910000000002</v>
      </c>
      <c r="E5958">
        <v>0.52323999999999904</v>
      </c>
      <c r="F5958" t="s">
        <v>82</v>
      </c>
      <c r="G5958">
        <v>-511.05959999999999</v>
      </c>
      <c r="H5958">
        <v>2.9769839999999999</v>
      </c>
      <c r="I5958">
        <v>151.4538</v>
      </c>
      <c r="J5958">
        <v>-218.5316</v>
      </c>
      <c r="K5958">
        <v>1.1089059999999999</v>
      </c>
      <c r="L5958">
        <v>140.53880000000001</v>
      </c>
      <c r="M5958">
        <v>-0.99534100000000003</v>
      </c>
      <c r="N5958">
        <v>0</v>
      </c>
      <c r="O5958">
        <v>-9.5774709999999999E-2</v>
      </c>
      <c r="P5958">
        <v>-0.99962130000000005</v>
      </c>
      <c r="Q5958">
        <v>-1.461847E-2</v>
      </c>
      <c r="R5958">
        <v>-2.331981E-2</v>
      </c>
      <c r="S5958">
        <v>-3.004486</v>
      </c>
      <c r="T5958">
        <v>1.9173030000000001E-2</v>
      </c>
      <c r="U5958">
        <v>0.1118469</v>
      </c>
      <c r="V5958">
        <v>7.2524829999999998E-2</v>
      </c>
      <c r="W5958">
        <v>-3.670904E-3</v>
      </c>
      <c r="X5958">
        <v>0.99735989999999997</v>
      </c>
      <c r="Y5958">
        <v>0.13273950000000001</v>
      </c>
      <c r="Z5958">
        <v>-1.0339570000000001E-3</v>
      </c>
      <c r="AA5958">
        <v>0.99115039999999999</v>
      </c>
      <c r="AB5958">
        <v>19</v>
      </c>
      <c r="AC5958">
        <v>-292.52800000000002</v>
      </c>
      <c r="AD5958">
        <v>1.8680779999999999</v>
      </c>
      <c r="AE5958">
        <v>10.9149999999999</v>
      </c>
      <c r="AF5958">
        <v>38.881749053324299</v>
      </c>
      <c r="AG5958">
        <v>1.8680779999999999</v>
      </c>
      <c r="AH5958">
        <v>290.125832347016</v>
      </c>
      <c r="AI5958">
        <v>89.6343547999424</v>
      </c>
      <c r="AJ5958">
        <v>82.366881739086196</v>
      </c>
      <c r="AK5958">
        <v>292.725603116483</v>
      </c>
      <c r="AL5958">
        <v>90.210327768417301</v>
      </c>
      <c r="AM5958">
        <v>85.840954042781505</v>
      </c>
      <c r="AN5958">
        <v>1.0000000483153499</v>
      </c>
    </row>
    <row r="5959" spans="1:40" x14ac:dyDescent="0.25">
      <c r="A5959" t="str">
        <f>"20190312154041091"</f>
        <v>20190312154041091</v>
      </c>
      <c r="B5959" t="str">
        <f>"1552376441082270"</f>
        <v>1552376441082270</v>
      </c>
      <c r="C5959" t="s">
        <v>40</v>
      </c>
      <c r="D5959">
        <v>3.7071879999999999</v>
      </c>
      <c r="E5959">
        <v>0.52296659999999995</v>
      </c>
      <c r="F5959" t="s">
        <v>82</v>
      </c>
      <c r="G5959">
        <v>-511.05970000000002</v>
      </c>
      <c r="H5959">
        <v>3.0103789999999999</v>
      </c>
      <c r="I5959">
        <v>151.9794</v>
      </c>
      <c r="J5959">
        <v>-218.72210000000001</v>
      </c>
      <c r="K5959">
        <v>1.108824</v>
      </c>
      <c r="L5959">
        <v>140.5222</v>
      </c>
      <c r="M5959">
        <v>-0.99549460000000001</v>
      </c>
      <c r="N5959">
        <v>0</v>
      </c>
      <c r="O5959">
        <v>-9.4232289999999996E-2</v>
      </c>
      <c r="P5959">
        <v>-0.99966469999999996</v>
      </c>
      <c r="Q5959">
        <v>-1.477527E-2</v>
      </c>
      <c r="R5959">
        <v>-2.127575E-2</v>
      </c>
      <c r="S5959">
        <v>-3.004181</v>
      </c>
      <c r="T5959">
        <v>1.9528029999999998E-2</v>
      </c>
      <c r="U5959">
        <v>0.11749270000000001</v>
      </c>
      <c r="V5959">
        <v>7.301639E-2</v>
      </c>
      <c r="W5959">
        <v>-4.404987E-3</v>
      </c>
      <c r="X5959">
        <v>0.99732100000000001</v>
      </c>
      <c r="Y5959">
        <v>0.13306670000000001</v>
      </c>
      <c r="Z5959">
        <v>-1.0442450000000001E-3</v>
      </c>
      <c r="AA5959">
        <v>0.99110659999999895</v>
      </c>
      <c r="AB5959">
        <v>19</v>
      </c>
      <c r="AC5959">
        <v>-292.33760000000001</v>
      </c>
      <c r="AD5959">
        <v>1.9015550000000001</v>
      </c>
      <c r="AE5959">
        <v>11.4572</v>
      </c>
      <c r="AF5959">
        <v>38.953734344601799</v>
      </c>
      <c r="AG5959">
        <v>1.9015550000000001</v>
      </c>
      <c r="AH5959">
        <v>289.94467579456898</v>
      </c>
      <c r="AI5959">
        <v>89.627586172609</v>
      </c>
      <c r="AJ5959">
        <v>82.348195650453306</v>
      </c>
      <c r="AK5959">
        <v>292.55584826221701</v>
      </c>
      <c r="AL5959">
        <v>90.2523879833943</v>
      </c>
      <c r="AM5959">
        <v>85.812701977643201</v>
      </c>
      <c r="AN5959">
        <v>0.999999987080051</v>
      </c>
    </row>
    <row r="5960" spans="1:40" x14ac:dyDescent="0.25">
      <c r="A5960" t="str">
        <f>"20190312154041114"</f>
        <v>20190312154041114</v>
      </c>
      <c r="B5960" t="str">
        <f>"1552376441101790"</f>
        <v>1552376441101790</v>
      </c>
      <c r="C5960" t="s">
        <v>40</v>
      </c>
      <c r="D5960">
        <v>3.681257</v>
      </c>
      <c r="E5960">
        <v>0.52265810000000001</v>
      </c>
      <c r="F5960" t="s">
        <v>82</v>
      </c>
      <c r="G5960">
        <v>-511.05970000000002</v>
      </c>
      <c r="H5960">
        <v>3.086541</v>
      </c>
      <c r="I5960">
        <v>152.3561</v>
      </c>
      <c r="J5960">
        <v>-218.9194</v>
      </c>
      <c r="K5960">
        <v>1.1087320000000001</v>
      </c>
      <c r="L5960">
        <v>140.50540000000001</v>
      </c>
      <c r="M5960">
        <v>-0.99565049999999999</v>
      </c>
      <c r="N5960">
        <v>0</v>
      </c>
      <c r="O5960">
        <v>-9.2639840000000001E-2</v>
      </c>
      <c r="P5960">
        <v>-0.99969589999999997</v>
      </c>
      <c r="Q5960">
        <v>-1.536974E-2</v>
      </c>
      <c r="R5960">
        <v>-1.9300979999999999E-2</v>
      </c>
      <c r="S5960">
        <v>-3.003876</v>
      </c>
      <c r="T5960">
        <v>2.0322199999999999E-2</v>
      </c>
      <c r="U5960">
        <v>0.12159730000000001</v>
      </c>
      <c r="V5960">
        <v>7.338741E-2</v>
      </c>
      <c r="W5960">
        <v>-5.6277559999999898E-3</v>
      </c>
      <c r="X5960">
        <v>0.99728760000000005</v>
      </c>
      <c r="Y5960">
        <v>0.1328365</v>
      </c>
      <c r="Z5960">
        <v>-1.0752769999999999E-3</v>
      </c>
      <c r="AA5960">
        <v>0.99113739999999995</v>
      </c>
      <c r="AB5960">
        <v>19</v>
      </c>
      <c r="AC5960">
        <v>-292.14030000000002</v>
      </c>
      <c r="AD5960">
        <v>1.9778089999999999</v>
      </c>
      <c r="AE5960">
        <v>11.8506999999999</v>
      </c>
      <c r="AF5960">
        <v>38.863111009613199</v>
      </c>
      <c r="AG5960">
        <v>1.9778089999999999</v>
      </c>
      <c r="AH5960">
        <v>289.772720692105</v>
      </c>
      <c r="AI5960">
        <v>89.612410744064704</v>
      </c>
      <c r="AJ5960">
        <v>82.361310120543706</v>
      </c>
      <c r="AK5960">
        <v>292.37387500098401</v>
      </c>
      <c r="AL5960">
        <v>90.322448378583701</v>
      </c>
      <c r="AM5960">
        <v>85.791360771045007</v>
      </c>
      <c r="AN5960">
        <v>0.99999997034893096</v>
      </c>
    </row>
    <row r="5961" spans="1:40" x14ac:dyDescent="0.25">
      <c r="A5961" t="str">
        <f>"20190312154041135"</f>
        <v>20190312154041135</v>
      </c>
      <c r="B5961" t="str">
        <f>"1552376441122287"</f>
        <v>1552376441122287</v>
      </c>
      <c r="C5961" t="s">
        <v>40</v>
      </c>
      <c r="D5961">
        <v>3.7168429999999999</v>
      </c>
      <c r="E5961">
        <v>0.52231879999999997</v>
      </c>
      <c r="F5961" t="s">
        <v>82</v>
      </c>
      <c r="G5961">
        <v>-511.05970000000002</v>
      </c>
      <c r="H5961">
        <v>3.0093179999999999</v>
      </c>
      <c r="I5961">
        <v>152.6825</v>
      </c>
      <c r="J5961">
        <v>-219.10570000000001</v>
      </c>
      <c r="K5961">
        <v>1.1086290000000001</v>
      </c>
      <c r="L5961">
        <v>140.48990000000001</v>
      </c>
      <c r="M5961">
        <v>-0.99579589999999996</v>
      </c>
      <c r="N5961">
        <v>0</v>
      </c>
      <c r="O5961">
        <v>-9.1128329999999994E-2</v>
      </c>
      <c r="P5961">
        <v>-0.99973650000000003</v>
      </c>
      <c r="Q5961">
        <v>-1.5366950000000001E-2</v>
      </c>
      <c r="R5961">
        <v>-1.7055589999999999E-2</v>
      </c>
      <c r="S5961">
        <v>-3.0036320000000001</v>
      </c>
      <c r="T5961">
        <v>1.9541260000000001E-2</v>
      </c>
      <c r="U5961">
        <v>0.12519839999999999</v>
      </c>
      <c r="V5961">
        <v>7.4111259999999998E-2</v>
      </c>
      <c r="W5961">
        <v>-6.2587199999999997E-3</v>
      </c>
      <c r="X5961">
        <v>0.99723039999999996</v>
      </c>
      <c r="Y5961">
        <v>0.13252139999999901</v>
      </c>
      <c r="Z5961">
        <v>-1.023188E-3</v>
      </c>
      <c r="AA5961">
        <v>0.99117960000000005</v>
      </c>
      <c r="AB5961">
        <v>19</v>
      </c>
      <c r="AC5961">
        <v>-291.95400000000001</v>
      </c>
      <c r="AD5961">
        <v>1.9006890000000001</v>
      </c>
      <c r="AE5961">
        <v>12.192600000000001</v>
      </c>
      <c r="AF5961">
        <v>38.746651378016203</v>
      </c>
      <c r="AG5961">
        <v>1.9006890000000001</v>
      </c>
      <c r="AH5961">
        <v>289.61572788596601</v>
      </c>
      <c r="AI5961">
        <v>89.627305380573404</v>
      </c>
      <c r="AJ5961">
        <v>82.379851648326294</v>
      </c>
      <c r="AK5961">
        <v>292.20230226779898</v>
      </c>
      <c r="AL5961">
        <v>90.358600560621397</v>
      </c>
      <c r="AM5961">
        <v>85.749757723961693</v>
      </c>
      <c r="AN5961">
        <v>1.0000000605594901</v>
      </c>
    </row>
    <row r="5962" spans="1:40" x14ac:dyDescent="0.25">
      <c r="A5962" t="str">
        <f>"20190312154041160"</f>
        <v>20190312154041160</v>
      </c>
      <c r="B5962" t="str">
        <f>"1552376441152542"</f>
        <v>1552376441152542</v>
      </c>
      <c r="C5962" t="s">
        <v>40</v>
      </c>
      <c r="D5962">
        <v>3.701343</v>
      </c>
      <c r="E5962">
        <v>0.52183670000000004</v>
      </c>
      <c r="F5962" t="s">
        <v>82</v>
      </c>
      <c r="G5962">
        <v>-511.05970000000002</v>
      </c>
      <c r="H5962">
        <v>3.1301389999999998</v>
      </c>
      <c r="I5962">
        <v>153.0625</v>
      </c>
      <c r="J5962">
        <v>-219.31989999999999</v>
      </c>
      <c r="K5962">
        <v>1.10849</v>
      </c>
      <c r="L5962">
        <v>140.47229999999999</v>
      </c>
      <c r="M5962">
        <v>-0.9959633</v>
      </c>
      <c r="N5962">
        <v>0</v>
      </c>
      <c r="O5962">
        <v>-8.9357729999999996E-2</v>
      </c>
      <c r="P5962">
        <v>-0.99974629999999998</v>
      </c>
      <c r="Q5962">
        <v>-1.6445069999999999E-2</v>
      </c>
      <c r="R5962">
        <v>-1.5400280000000001E-2</v>
      </c>
      <c r="S5962">
        <v>-3.0033110000000001</v>
      </c>
      <c r="T5962">
        <v>2.0795580000000001E-2</v>
      </c>
      <c r="U5962">
        <v>0.12933349999999999</v>
      </c>
      <c r="V5962">
        <v>7.3983209999999994E-2</v>
      </c>
      <c r="W5962">
        <v>-8.1059759999999904E-3</v>
      </c>
      <c r="X5962">
        <v>0.99722650000000002</v>
      </c>
      <c r="Y5962">
        <v>0.13212460000000001</v>
      </c>
      <c r="Z5962">
        <v>-1.075351E-3</v>
      </c>
      <c r="AA5962">
        <v>0.99123249999999996</v>
      </c>
      <c r="AB5962">
        <v>19</v>
      </c>
      <c r="AC5962">
        <v>-291.7398</v>
      </c>
      <c r="AD5962">
        <v>2.021649</v>
      </c>
      <c r="AE5962">
        <v>12.590199999999999</v>
      </c>
      <c r="AF5962">
        <v>38.6081287089646</v>
      </c>
      <c r="AG5962">
        <v>2.021649</v>
      </c>
      <c r="AH5962">
        <v>289.43369343592502</v>
      </c>
      <c r="AI5962">
        <v>89.603317955108693</v>
      </c>
      <c r="AJ5962">
        <v>82.402056065224699</v>
      </c>
      <c r="AK5962">
        <v>292.00434510987702</v>
      </c>
      <c r="AL5962">
        <v>90.464443319765905</v>
      </c>
      <c r="AM5962">
        <v>85.757057951021096</v>
      </c>
      <c r="AN5962">
        <v>0.99999995725553203</v>
      </c>
    </row>
    <row r="5963" spans="1:40" x14ac:dyDescent="0.25">
      <c r="A5963" t="str">
        <f>"20190312154041180"</f>
        <v>20190312154041180</v>
      </c>
      <c r="B5963" t="str">
        <f>"1552376441172062"</f>
        <v>1552376441172062</v>
      </c>
      <c r="C5963" t="s">
        <v>40</v>
      </c>
      <c r="D5963">
        <v>3.7370649999999999</v>
      </c>
      <c r="E5963">
        <v>0.52148099999999997</v>
      </c>
      <c r="F5963" t="s">
        <v>82</v>
      </c>
      <c r="G5963">
        <v>-511.05959999999999</v>
      </c>
      <c r="H5963">
        <v>2.980728</v>
      </c>
      <c r="I5963">
        <v>153.15219999999999</v>
      </c>
      <c r="J5963">
        <v>-219.50129999999999</v>
      </c>
      <c r="K5963">
        <v>1.108366</v>
      </c>
      <c r="L5963">
        <v>140.45769999999999</v>
      </c>
      <c r="M5963">
        <v>-0.99610529999999997</v>
      </c>
      <c r="N5963">
        <v>0</v>
      </c>
      <c r="O5963">
        <v>-8.7820919999999997E-2</v>
      </c>
      <c r="P5963">
        <v>-0.99974870000000005</v>
      </c>
      <c r="Q5963">
        <v>-1.6483370000000001E-2</v>
      </c>
      <c r="R5963">
        <v>-1.518572E-2</v>
      </c>
      <c r="S5963">
        <v>-3.003098</v>
      </c>
      <c r="T5963">
        <v>1.92728E-2</v>
      </c>
      <c r="U5963">
        <v>0.13052369999999999</v>
      </c>
      <c r="V5963">
        <v>7.2655769999999995E-2</v>
      </c>
      <c r="W5963">
        <v>-8.8069089999999999E-3</v>
      </c>
      <c r="X5963">
        <v>0.99731820000000004</v>
      </c>
      <c r="Y5963">
        <v>0.13099059999999901</v>
      </c>
      <c r="Z5963">
        <v>-9.8319509999999989E-4</v>
      </c>
      <c r="AA5963">
        <v>0.99138309999999996</v>
      </c>
      <c r="AB5963">
        <v>20</v>
      </c>
      <c r="AC5963">
        <v>-291.55829999999997</v>
      </c>
      <c r="AD5963">
        <v>1.8723619999999901</v>
      </c>
      <c r="AE5963">
        <v>12.6945</v>
      </c>
      <c r="AF5963">
        <v>38.2495828032825</v>
      </c>
      <c r="AG5963">
        <v>1.8723619999999901</v>
      </c>
      <c r="AH5963">
        <v>289.30494464922702</v>
      </c>
      <c r="AI5963">
        <v>89.632389682344794</v>
      </c>
      <c r="AJ5963">
        <v>82.468491811884903</v>
      </c>
      <c r="AK5963">
        <v>291.82852383304902</v>
      </c>
      <c r="AL5963">
        <v>90.504605235714607</v>
      </c>
      <c r="AM5963">
        <v>85.833297913371794</v>
      </c>
      <c r="AN5963">
        <v>1.0000000073058299</v>
      </c>
    </row>
    <row r="5964" spans="1:40" x14ac:dyDescent="0.25">
      <c r="A5964" t="str">
        <f>"20190312154041203"</f>
        <v>20190312154041203</v>
      </c>
      <c r="B5964" t="str">
        <f>"1552376441192558"</f>
        <v>1552376441192558</v>
      </c>
      <c r="C5964" t="s">
        <v>40</v>
      </c>
      <c r="D5964">
        <v>3.7253530000000001</v>
      </c>
      <c r="E5964">
        <v>0.5211517</v>
      </c>
      <c r="F5964" t="s">
        <v>82</v>
      </c>
      <c r="G5964">
        <v>-511.05970000000002</v>
      </c>
      <c r="H5964">
        <v>3.0674410000000001</v>
      </c>
      <c r="I5964">
        <v>152.90620000000001</v>
      </c>
      <c r="J5964">
        <v>-219.70269999999999</v>
      </c>
      <c r="K5964">
        <v>1.108231</v>
      </c>
      <c r="L5964">
        <v>140.4419</v>
      </c>
      <c r="M5964">
        <v>-0.99626360000000003</v>
      </c>
      <c r="N5964">
        <v>0</v>
      </c>
      <c r="O5964">
        <v>-8.6070789999999994E-2</v>
      </c>
      <c r="P5964">
        <v>-0.99976010000000004</v>
      </c>
      <c r="Q5964">
        <v>-1.5767449999999999E-2</v>
      </c>
      <c r="R5964">
        <v>-1.5217029999999999E-2</v>
      </c>
      <c r="S5964">
        <v>-3.0030519999999998</v>
      </c>
      <c r="T5964">
        <v>2.0178910000000001E-2</v>
      </c>
      <c r="U5964">
        <v>0.12821959999999999</v>
      </c>
      <c r="V5964">
        <v>7.0872279999999996E-2</v>
      </c>
      <c r="W5964">
        <v>-8.8142350000000001E-3</v>
      </c>
      <c r="X5964">
        <v>0.99744650000000001</v>
      </c>
      <c r="Y5964">
        <v>0.12848899999999999</v>
      </c>
      <c r="Z5964">
        <v>-1.0093109999999999E-3</v>
      </c>
      <c r="AA5964">
        <v>0.99171039999999999</v>
      </c>
      <c r="AB5964">
        <v>20</v>
      </c>
      <c r="AC5964">
        <v>-291.35700000000003</v>
      </c>
      <c r="AD5964">
        <v>1.9592099999999999</v>
      </c>
      <c r="AE5964">
        <v>12.4643</v>
      </c>
      <c r="AF5964">
        <v>37.494312988257299</v>
      </c>
      <c r="AG5964">
        <v>1.9592099999999999</v>
      </c>
      <c r="AH5964">
        <v>289.18983424232903</v>
      </c>
      <c r="AI5964">
        <v>89.615058987324105</v>
      </c>
      <c r="AJ5964">
        <v>82.612643190663604</v>
      </c>
      <c r="AK5964">
        <v>291.61691007105702</v>
      </c>
      <c r="AL5964">
        <v>90.505024981551699</v>
      </c>
      <c r="AM5964">
        <v>85.935752417974697</v>
      </c>
      <c r="AN5964">
        <v>1.00000004558664</v>
      </c>
    </row>
    <row r="5965" spans="1:40" x14ac:dyDescent="0.25">
      <c r="A5965" t="str">
        <f>"20190312154041223"</f>
        <v>20190312154041223</v>
      </c>
      <c r="B5965" t="str">
        <f>"1552376441212081"</f>
        <v>1552376441212081</v>
      </c>
      <c r="C5965" t="s">
        <v>40</v>
      </c>
      <c r="D5965">
        <v>3.7702149999999999</v>
      </c>
      <c r="E5965">
        <v>0.5208372</v>
      </c>
      <c r="F5965" t="s">
        <v>82</v>
      </c>
      <c r="G5965">
        <v>-511.0598</v>
      </c>
      <c r="H5965">
        <v>3.3493019999999998</v>
      </c>
      <c r="I5965">
        <v>152.6275</v>
      </c>
      <c r="J5965">
        <v>-219.88470000000001</v>
      </c>
      <c r="K5965">
        <v>1.1081160000000001</v>
      </c>
      <c r="L5965">
        <v>140.428</v>
      </c>
      <c r="M5965">
        <v>-0.9964073</v>
      </c>
      <c r="N5965">
        <v>0</v>
      </c>
      <c r="O5965">
        <v>-8.4440799999999996E-2</v>
      </c>
      <c r="P5965">
        <v>-0.99978080000000003</v>
      </c>
      <c r="Q5965">
        <v>-1.4302219999999999E-2</v>
      </c>
      <c r="R5965">
        <v>-1.53013E-2</v>
      </c>
      <c r="S5965">
        <v>-3.0029910000000002</v>
      </c>
      <c r="T5965">
        <v>2.309895E-2</v>
      </c>
      <c r="U5965">
        <v>0.12559509999999999</v>
      </c>
      <c r="V5965">
        <v>6.9158929999999993E-2</v>
      </c>
      <c r="W5965">
        <v>-7.9829900000000006E-3</v>
      </c>
      <c r="X5965">
        <v>0.99757370000000001</v>
      </c>
      <c r="Y5965">
        <v>0.12600020000000001</v>
      </c>
      <c r="Z5965">
        <v>-1.1333199999999999E-3</v>
      </c>
      <c r="AA5965">
        <v>0.99202950000000001</v>
      </c>
      <c r="AB5965">
        <v>20</v>
      </c>
      <c r="AC5965">
        <v>-291.17509999999999</v>
      </c>
      <c r="AD5965">
        <v>2.2411859999999999</v>
      </c>
      <c r="AE5965">
        <v>12.1995</v>
      </c>
      <c r="AF5965">
        <v>36.741332437276903</v>
      </c>
      <c r="AG5965">
        <v>2.2411859999999999</v>
      </c>
      <c r="AH5965">
        <v>289.087869362802</v>
      </c>
      <c r="AI5965">
        <v>89.559361362439503</v>
      </c>
      <c r="AJ5965">
        <v>82.756882939217405</v>
      </c>
      <c r="AK5965">
        <v>291.421935750687</v>
      </c>
      <c r="AL5965">
        <v>90.457396499406101</v>
      </c>
      <c r="AM5965">
        <v>86.034192995304096</v>
      </c>
      <c r="AN5965">
        <v>0.99999998632988696</v>
      </c>
    </row>
    <row r="5966" spans="1:40" x14ac:dyDescent="0.25">
      <c r="A5966" t="str">
        <f>"20190312154041246"</f>
        <v>20190312154041246</v>
      </c>
      <c r="B5966" t="str">
        <f>"1552376441242334"</f>
        <v>1552376441242334</v>
      </c>
      <c r="C5966" t="s">
        <v>40</v>
      </c>
      <c r="D5966">
        <v>3.764103</v>
      </c>
      <c r="E5966">
        <v>0.5203605</v>
      </c>
      <c r="F5966" t="s">
        <v>82</v>
      </c>
      <c r="G5966">
        <v>-511.05990000000003</v>
      </c>
      <c r="H5966">
        <v>3.8201890000000001</v>
      </c>
      <c r="I5966">
        <v>152.34129999999999</v>
      </c>
      <c r="J5966">
        <v>-220.09129999999999</v>
      </c>
      <c r="K5966">
        <v>1.107977</v>
      </c>
      <c r="L5966">
        <v>140.4126</v>
      </c>
      <c r="M5966">
        <v>-0.99657269999999998</v>
      </c>
      <c r="N5966">
        <v>0</v>
      </c>
      <c r="O5966">
        <v>-8.2518369999999994E-2</v>
      </c>
      <c r="P5966">
        <v>-0.99979399999999996</v>
      </c>
      <c r="Q5966">
        <v>-1.295173E-2</v>
      </c>
      <c r="R5966">
        <v>-1.562703E-2</v>
      </c>
      <c r="S5966">
        <v>-3.002945</v>
      </c>
      <c r="T5966">
        <v>2.797055E-2</v>
      </c>
      <c r="U5966">
        <v>0.1228638</v>
      </c>
      <c r="V5966">
        <v>6.6910860000000003E-2</v>
      </c>
      <c r="W5966">
        <v>-7.3249519999999896E-3</v>
      </c>
      <c r="X5966">
        <v>0.99773199999999995</v>
      </c>
      <c r="Y5966">
        <v>0.12318270000000001</v>
      </c>
      <c r="Z5966">
        <v>-1.3413829999999901E-3</v>
      </c>
      <c r="AA5966">
        <v>0.99238309999999996</v>
      </c>
      <c r="AB5966">
        <v>20</v>
      </c>
      <c r="AC5966">
        <v>-290.96859999999998</v>
      </c>
      <c r="AD5966">
        <v>2.7122120000000001</v>
      </c>
      <c r="AE5966">
        <v>11.9286999999999</v>
      </c>
      <c r="AF5966">
        <v>35.895560337971098</v>
      </c>
      <c r="AG5966">
        <v>2.7122120000000001</v>
      </c>
      <c r="AH5966">
        <v>288.96681218405701</v>
      </c>
      <c r="AI5966">
        <v>89.466344984141799</v>
      </c>
      <c r="AJ5966">
        <v>82.918970927492396</v>
      </c>
      <c r="AK5966">
        <v>291.20038785984798</v>
      </c>
      <c r="AL5966">
        <v>90.419692616862093</v>
      </c>
      <c r="AM5966">
        <v>86.163320363729198</v>
      </c>
      <c r="AN5966">
        <v>0.99999993096586803</v>
      </c>
    </row>
    <row r="5967" spans="1:40" x14ac:dyDescent="0.25">
      <c r="A5967" t="str">
        <f>"20190312154041268"</f>
        <v>20190312154041268</v>
      </c>
      <c r="B5967" t="str">
        <f>"1552376441261855"</f>
        <v>1552376441261855</v>
      </c>
      <c r="C5967" t="s">
        <v>40</v>
      </c>
      <c r="D5967">
        <v>3.7666089999999999</v>
      </c>
      <c r="E5967">
        <v>0.52025069999999995</v>
      </c>
      <c r="F5967" t="s">
        <v>82</v>
      </c>
      <c r="G5967">
        <v>-511.06009999999998</v>
      </c>
      <c r="H5967">
        <v>4.2442900000000003</v>
      </c>
      <c r="I5967">
        <v>151.87119999999999</v>
      </c>
      <c r="J5967">
        <v>-220.30109999999999</v>
      </c>
      <c r="K5967">
        <v>1.1078330000000001</v>
      </c>
      <c r="L5967">
        <v>140.3974</v>
      </c>
      <c r="M5967">
        <v>-0.99674309999999999</v>
      </c>
      <c r="N5967">
        <v>0</v>
      </c>
      <c r="O5967">
        <v>-8.0477419999999994E-2</v>
      </c>
      <c r="P5967">
        <v>-0.99980769999999997</v>
      </c>
      <c r="Q5967">
        <v>-1.251061E-2</v>
      </c>
      <c r="R5967">
        <v>-1.510012E-2</v>
      </c>
      <c r="S5967">
        <v>-3.002869</v>
      </c>
      <c r="T5967">
        <v>3.2367939999999998E-2</v>
      </c>
      <c r="U5967">
        <v>0.1182556</v>
      </c>
      <c r="V5967">
        <v>6.5391770000000002E-2</v>
      </c>
      <c r="W5967">
        <v>-7.5569610000000001E-3</v>
      </c>
      <c r="X5967">
        <v>0.99783100000000002</v>
      </c>
      <c r="Y5967">
        <v>0.11962730000000001</v>
      </c>
      <c r="Z5967">
        <v>-1.51122E-3</v>
      </c>
      <c r="AA5967">
        <v>0.99281770000000003</v>
      </c>
      <c r="AB5967">
        <v>20</v>
      </c>
      <c r="AC5967">
        <v>-290.75900000000001</v>
      </c>
      <c r="AD5967">
        <v>3.1364570000000001</v>
      </c>
      <c r="AE5967">
        <v>11.473799999999899</v>
      </c>
      <c r="AF5967">
        <v>34.832381203171103</v>
      </c>
      <c r="AG5967">
        <v>3.1364570000000001</v>
      </c>
      <c r="AH5967">
        <v>288.85892420064698</v>
      </c>
      <c r="AI5967">
        <v>89.382375444916903</v>
      </c>
      <c r="AJ5967">
        <v>83.124122561016605</v>
      </c>
      <c r="AK5967">
        <v>290.96840074680102</v>
      </c>
      <c r="AL5967">
        <v>90.432986115006699</v>
      </c>
      <c r="AM5967">
        <v>86.250544820639405</v>
      </c>
      <c r="AN5967">
        <v>0.99999994790214197</v>
      </c>
    </row>
    <row r="5968" spans="1:40" x14ac:dyDescent="0.25">
      <c r="A5968" t="str">
        <f>"20190312154041292"</f>
        <v>20190312154041292</v>
      </c>
      <c r="B5968" t="str">
        <f>"1552376441282350"</f>
        <v>1552376441282350</v>
      </c>
      <c r="C5968" t="s">
        <v>40</v>
      </c>
      <c r="D5968">
        <v>3.7511559999999999</v>
      </c>
      <c r="E5968">
        <v>0.50056210000000001</v>
      </c>
      <c r="F5968" t="s">
        <v>82</v>
      </c>
      <c r="G5968">
        <v>-511.06009999999998</v>
      </c>
      <c r="H5968">
        <v>4.4032960000000001</v>
      </c>
      <c r="I5968">
        <v>151.9263</v>
      </c>
      <c r="J5968">
        <v>-220.5198</v>
      </c>
      <c r="K5968">
        <v>1.107674</v>
      </c>
      <c r="L5968">
        <v>140.38220000000001</v>
      </c>
      <c r="M5968">
        <v>-0.99692349999999996</v>
      </c>
      <c r="N5968">
        <v>0</v>
      </c>
      <c r="O5968">
        <v>-7.8252849999999999E-2</v>
      </c>
      <c r="P5968">
        <v>-0.99983</v>
      </c>
      <c r="Q5968">
        <v>-1.154879E-2</v>
      </c>
      <c r="R5968">
        <v>-1.437138E-2</v>
      </c>
      <c r="S5968">
        <v>-3.0028079999999999</v>
      </c>
      <c r="T5968">
        <v>3.4034250000000002E-2</v>
      </c>
      <c r="U5968">
        <v>0.1190643</v>
      </c>
      <c r="V5968">
        <v>6.3892190000000001E-2</v>
      </c>
      <c r="W5968">
        <v>-7.2547760000000001E-3</v>
      </c>
      <c r="X5968">
        <v>0.9979304</v>
      </c>
      <c r="Y5968">
        <v>0.117678</v>
      </c>
      <c r="Z5968">
        <v>-1.552831E-3</v>
      </c>
      <c r="AA5968">
        <v>0.99305060000000001</v>
      </c>
      <c r="AB5968">
        <v>21</v>
      </c>
      <c r="AC5968">
        <v>-290.5403</v>
      </c>
      <c r="AD5968">
        <v>3.2956219999999998</v>
      </c>
      <c r="AE5968">
        <v>11.544099999999901</v>
      </c>
      <c r="AF5968">
        <v>34.2401354148612</v>
      </c>
      <c r="AG5968">
        <v>3.2956219999999998</v>
      </c>
      <c r="AH5968">
        <v>288.70889704331603</v>
      </c>
      <c r="AI5968">
        <v>89.350546165401298</v>
      </c>
      <c r="AJ5968">
        <v>83.236459816590994</v>
      </c>
      <c r="AK5968">
        <v>290.75088173479901</v>
      </c>
      <c r="AL5968">
        <v>90.415671707603806</v>
      </c>
      <c r="AM5968">
        <v>86.336655250199499</v>
      </c>
      <c r="AN5968">
        <v>0.99999996348098197</v>
      </c>
    </row>
    <row r="5969" spans="1:40" x14ac:dyDescent="0.25">
      <c r="A5969" t="str">
        <f>"20190312154041313"</f>
        <v>20190312154041313</v>
      </c>
      <c r="B5969" t="str">
        <f>"1552376441301873"</f>
        <v>1552376441301873</v>
      </c>
      <c r="C5969" t="s">
        <v>40</v>
      </c>
      <c r="D5969">
        <v>3.7974169999999998</v>
      </c>
      <c r="E5969">
        <v>0.4993688</v>
      </c>
      <c r="F5969" t="s">
        <v>50</v>
      </c>
      <c r="G5969">
        <v>0</v>
      </c>
      <c r="H5969">
        <v>0</v>
      </c>
      <c r="I5969">
        <v>0</v>
      </c>
      <c r="J5969">
        <v>-220.726</v>
      </c>
      <c r="K5969">
        <v>1.1075349999999999</v>
      </c>
      <c r="L5969">
        <v>140.3683</v>
      </c>
      <c r="M5969">
        <v>-0.99709530000000002</v>
      </c>
      <c r="N5969">
        <v>0</v>
      </c>
      <c r="O5969">
        <v>-7.6063829999999999E-2</v>
      </c>
      <c r="P5969">
        <v>-0.99985409999999997</v>
      </c>
      <c r="Q5969">
        <v>-1.107088E-2</v>
      </c>
      <c r="R5969">
        <v>-1.301677E-2</v>
      </c>
      <c r="S5969">
        <v>-3.0002439999999999</v>
      </c>
      <c r="T5969">
        <v>2.3515109999999999E-2</v>
      </c>
      <c r="U5969">
        <v>-3.6331179999999998E-2</v>
      </c>
      <c r="V5969">
        <v>6.3051689999999994E-2</v>
      </c>
      <c r="W5969">
        <v>-7.3552779999999998E-3</v>
      </c>
      <c r="X5969">
        <v>0.99798319999999996</v>
      </c>
      <c r="Y5969">
        <v>6.3981090000000004E-2</v>
      </c>
      <c r="Z5969">
        <v>-8.4636059999999998E-4</v>
      </c>
      <c r="AA5969">
        <v>0.99795069999999997</v>
      </c>
      <c r="AB5969">
        <v>21</v>
      </c>
      <c r="AC5969">
        <v>-3.0002439999999999</v>
      </c>
      <c r="AD5969">
        <v>2.3515109999999999E-2</v>
      </c>
      <c r="AE5969">
        <v>-3.6331179999999998E-2</v>
      </c>
      <c r="AF5969">
        <v>0.191974074025098</v>
      </c>
      <c r="AG5969">
        <v>2.3515109999999999E-2</v>
      </c>
      <c r="AH5969">
        <v>2.9941316187107798</v>
      </c>
      <c r="AI5969">
        <v>89.550945541146305</v>
      </c>
      <c r="AJ5969">
        <v>86.331400848760893</v>
      </c>
      <c r="AK5969">
        <v>3.0003718362329201</v>
      </c>
      <c r="AL5969">
        <v>90.4214301689736</v>
      </c>
      <c r="AM5969">
        <v>86.384908555231604</v>
      </c>
      <c r="AN5969">
        <v>1.00000004160427</v>
      </c>
    </row>
    <row r="5970" spans="1:40" x14ac:dyDescent="0.25">
      <c r="A5970" t="str">
        <f>"20190312154041335"</f>
        <v>20190312154041335</v>
      </c>
      <c r="B5970" t="str">
        <f>"1552376441322366"</f>
        <v>1552376441322366</v>
      </c>
      <c r="C5970" t="s">
        <v>40</v>
      </c>
      <c r="D5970">
        <v>3.8310789999999999</v>
      </c>
      <c r="E5970">
        <v>0.49861539999999999</v>
      </c>
      <c r="F5970" t="s">
        <v>50</v>
      </c>
      <c r="G5970">
        <v>0</v>
      </c>
      <c r="H5970">
        <v>0</v>
      </c>
      <c r="I5970">
        <v>0</v>
      </c>
      <c r="J5970">
        <v>-220.92609999999999</v>
      </c>
      <c r="K5970">
        <v>1.107402</v>
      </c>
      <c r="L5970">
        <v>140.3554</v>
      </c>
      <c r="M5970">
        <v>-0.9972628</v>
      </c>
      <c r="N5970">
        <v>0</v>
      </c>
      <c r="O5970">
        <v>-7.3861609999999994E-2</v>
      </c>
      <c r="P5970">
        <v>-0.99988540000000004</v>
      </c>
      <c r="Q5970">
        <v>-1.058664E-2</v>
      </c>
      <c r="R5970">
        <v>-1.084308E-2</v>
      </c>
      <c r="S5970">
        <v>-2.9998469999999999</v>
      </c>
      <c r="T5970">
        <v>-3.372192E-3</v>
      </c>
      <c r="U5970">
        <v>-4.2846679999999998E-2</v>
      </c>
      <c r="V5970">
        <v>6.3016169999999996E-2</v>
      </c>
      <c r="W5970">
        <v>-7.3909619999999896E-3</v>
      </c>
      <c r="X5970">
        <v>0.99798509999999996</v>
      </c>
      <c r="Y5970">
        <v>5.961193E-2</v>
      </c>
      <c r="Z5970">
        <v>1.164617E-4</v>
      </c>
      <c r="AA5970">
        <v>0.99822160000000004</v>
      </c>
      <c r="AB5970">
        <v>21</v>
      </c>
      <c r="AC5970">
        <v>-2.9998469999999999</v>
      </c>
      <c r="AD5970">
        <v>-3.372192E-3</v>
      </c>
      <c r="AE5970">
        <v>-4.2846679999999998E-2</v>
      </c>
      <c r="AF5970">
        <v>0.17884491991986001</v>
      </c>
      <c r="AG5970">
        <v>-3.372192E-3</v>
      </c>
      <c r="AH5970">
        <v>2.9948137859807198</v>
      </c>
      <c r="AI5970">
        <v>90.064400893481604</v>
      </c>
      <c r="AJ5970">
        <v>86.582457345492699</v>
      </c>
      <c r="AK5970">
        <v>3.0001510778226201</v>
      </c>
      <c r="AL5970">
        <v>90.423474800809203</v>
      </c>
      <c r="AM5970">
        <v>86.386946571555598</v>
      </c>
      <c r="AN5970">
        <v>0.99999996191138096</v>
      </c>
    </row>
    <row r="5971" spans="1:40" x14ac:dyDescent="0.25">
      <c r="A5971" t="str">
        <f>"20190312154041360"</f>
        <v>20190312154041360</v>
      </c>
      <c r="B5971" t="str">
        <f>"1552376441351646"</f>
        <v>1552376441351646</v>
      </c>
      <c r="C5971" t="s">
        <v>40</v>
      </c>
      <c r="D5971">
        <v>3.837024</v>
      </c>
      <c r="E5971">
        <v>0.49786839999999999</v>
      </c>
      <c r="F5971" t="s">
        <v>42</v>
      </c>
      <c r="G5971">
        <v>-464.9393</v>
      </c>
      <c r="H5971" s="1">
        <v>-1.9953409999999998E-6</v>
      </c>
      <c r="I5971">
        <v>136.87119999999999</v>
      </c>
      <c r="J5971">
        <v>-221.16200000000001</v>
      </c>
      <c r="K5971">
        <v>1.107254</v>
      </c>
      <c r="L5971">
        <v>140.3408</v>
      </c>
      <c r="M5971">
        <v>-0.9974594</v>
      </c>
      <c r="N5971">
        <v>0</v>
      </c>
      <c r="O5971">
        <v>-7.118054E-2</v>
      </c>
      <c r="P5971">
        <v>-0.99990809999999997</v>
      </c>
      <c r="Q5971">
        <v>-1.0944789999999999E-2</v>
      </c>
      <c r="R5971">
        <v>-8.0038799999999997E-3</v>
      </c>
      <c r="S5971">
        <v>-2.9997410000000002</v>
      </c>
      <c r="T5971">
        <v>-1.3613699999999999E-2</v>
      </c>
      <c r="U5971">
        <v>-4.2831420000000002E-2</v>
      </c>
      <c r="V5971">
        <v>6.3161919999999996E-2</v>
      </c>
      <c r="W5971">
        <v>-8.3089440000000004E-3</v>
      </c>
      <c r="X5971">
        <v>0.99796870000000004</v>
      </c>
      <c r="Y5971">
        <v>5.6931549999999997E-2</v>
      </c>
      <c r="Z5971">
        <v>4.5195400000000002E-4</v>
      </c>
      <c r="AA5971">
        <v>0.99837799999999999</v>
      </c>
      <c r="AB5971">
        <v>21</v>
      </c>
      <c r="AC5971">
        <v>-243.7773</v>
      </c>
      <c r="AD5971">
        <v>-1.1072559953409999</v>
      </c>
      <c r="AE5971">
        <v>-3.46960000000001</v>
      </c>
      <c r="AF5971">
        <v>13.8911842900027</v>
      </c>
      <c r="AG5971">
        <v>-1.1072559953409999</v>
      </c>
      <c r="AH5971">
        <v>243.400889814838</v>
      </c>
      <c r="AI5971">
        <v>90.260219237069506</v>
      </c>
      <c r="AJ5971">
        <v>86.733603578659</v>
      </c>
      <c r="AK5971">
        <v>243.79947534700099</v>
      </c>
      <c r="AL5971">
        <v>90.476072903112495</v>
      </c>
      <c r="AM5971">
        <v>86.378552805258593</v>
      </c>
      <c r="AN5971">
        <v>0.99999999643408499</v>
      </c>
    </row>
    <row r="5972" spans="1:40" x14ac:dyDescent="0.25">
      <c r="A5972" t="str">
        <f>"20190312154041381"</f>
        <v>20190312154041381</v>
      </c>
      <c r="B5972" t="str">
        <f>"1552376441372142"</f>
        <v>1552376441372142</v>
      </c>
      <c r="C5972" t="s">
        <v>40</v>
      </c>
      <c r="D5972">
        <v>3.7938700000000001</v>
      </c>
      <c r="E5972">
        <v>0.49784650000000003</v>
      </c>
      <c r="F5972" t="s">
        <v>42</v>
      </c>
      <c r="G5972">
        <v>-371.37079999999997</v>
      </c>
      <c r="H5972" s="1">
        <v>-3.9155610000000002E-6</v>
      </c>
      <c r="I5972">
        <v>138.31209999999999</v>
      </c>
      <c r="J5972">
        <v>-221.3801</v>
      </c>
      <c r="K5972">
        <v>1.107137</v>
      </c>
      <c r="L5972">
        <v>140.328</v>
      </c>
      <c r="M5972">
        <v>-0.99763829999999998</v>
      </c>
      <c r="N5972">
        <v>0</v>
      </c>
      <c r="O5972">
        <v>-6.8645659999999997E-2</v>
      </c>
      <c r="P5972">
        <v>-0.99992429999999999</v>
      </c>
      <c r="Q5972">
        <v>-1.138201E-2</v>
      </c>
      <c r="R5972">
        <v>-4.7204940000000004E-3</v>
      </c>
      <c r="S5972">
        <v>-2.9997099999999999</v>
      </c>
      <c r="T5972">
        <v>-2.211225E-2</v>
      </c>
      <c r="U5972">
        <v>-4.0512079999999999E-2</v>
      </c>
      <c r="V5972">
        <v>6.3897880000000004E-2</v>
      </c>
      <c r="W5972">
        <v>-9.2105720000000002E-3</v>
      </c>
      <c r="X5972">
        <v>0.99791399999999997</v>
      </c>
      <c r="Y5972">
        <v>5.5163990000000003E-2</v>
      </c>
      <c r="Z5972">
        <v>7.0894070000000005E-4</v>
      </c>
      <c r="AA5972">
        <v>0.99847699999999995</v>
      </c>
      <c r="AB5972">
        <v>22</v>
      </c>
      <c r="AC5972">
        <v>-149.99069999999901</v>
      </c>
      <c r="AD5972">
        <v>-1.1071409155609999</v>
      </c>
      <c r="AE5972">
        <v>-2.01590000000001</v>
      </c>
      <c r="AF5972">
        <v>8.2846434195637801</v>
      </c>
      <c r="AG5972">
        <v>-1.1071409155609999</v>
      </c>
      <c r="AH5972">
        <v>149.76711021116401</v>
      </c>
      <c r="AI5972">
        <v>90.422900063800398</v>
      </c>
      <c r="AJ5972">
        <v>86.833805313733706</v>
      </c>
      <c r="AK5972">
        <v>150.00016126190999</v>
      </c>
      <c r="AL5972">
        <v>90.527734331361899</v>
      </c>
      <c r="AM5972">
        <v>86.336269849104298</v>
      </c>
      <c r="AN5972">
        <v>1.0000000625505201</v>
      </c>
    </row>
    <row r="5973" spans="1:40" x14ac:dyDescent="0.25">
      <c r="A5973" t="str">
        <f>"20190312154041402"</f>
        <v>20190312154041402</v>
      </c>
      <c r="B5973" t="str">
        <f>"1552376441391662"</f>
        <v>1552376441391662</v>
      </c>
      <c r="C5973" t="s">
        <v>40</v>
      </c>
      <c r="D5973">
        <v>3.8416709999999998</v>
      </c>
      <c r="E5973">
        <v>0.49758970000000002</v>
      </c>
      <c r="F5973" t="s">
        <v>42</v>
      </c>
      <c r="G5973">
        <v>-350.90190000000001</v>
      </c>
      <c r="H5973" s="1">
        <v>-3.9956649999999998E-6</v>
      </c>
      <c r="I5973">
        <v>138.99440000000001</v>
      </c>
      <c r="J5973">
        <v>-221.5899</v>
      </c>
      <c r="K5973">
        <v>1.1070489999999999</v>
      </c>
      <c r="L5973">
        <v>140.31620000000001</v>
      </c>
      <c r="M5973">
        <v>-0.99780570000000002</v>
      </c>
      <c r="N5973">
        <v>0</v>
      </c>
      <c r="O5973">
        <v>-6.6180130000000004E-2</v>
      </c>
      <c r="P5973">
        <v>-0.99992449999999999</v>
      </c>
      <c r="Q5973">
        <v>-1.2194699999999999E-2</v>
      </c>
      <c r="R5973">
        <v>-1.661055E-3</v>
      </c>
      <c r="S5973">
        <v>-2.9997859999999998</v>
      </c>
      <c r="T5973">
        <v>-2.5641919999999999E-2</v>
      </c>
      <c r="U5973">
        <v>-3.0883790000000001E-2</v>
      </c>
      <c r="V5973">
        <v>6.4478820000000006E-2</v>
      </c>
      <c r="W5973">
        <v>-1.0424060000000001E-2</v>
      </c>
      <c r="X5973">
        <v>0.99786459999999999</v>
      </c>
      <c r="Y5973">
        <v>5.5900079999999998E-2</v>
      </c>
      <c r="Z5973">
        <v>8.0422320000000003E-4</v>
      </c>
      <c r="AA5973">
        <v>0.99843599999999999</v>
      </c>
      <c r="AB5973">
        <v>22</v>
      </c>
      <c r="AC5973">
        <v>-129.31200000000001</v>
      </c>
      <c r="AD5973">
        <v>-1.1070529956649999</v>
      </c>
      <c r="AE5973">
        <v>-1.3217999999999901</v>
      </c>
      <c r="AF5973">
        <v>7.2384693157875803</v>
      </c>
      <c r="AG5973">
        <v>-1.1070529956649999</v>
      </c>
      <c r="AH5973">
        <v>129.106522677801</v>
      </c>
      <c r="AI5973">
        <v>90.490513250155601</v>
      </c>
      <c r="AJ5973">
        <v>86.791021897163901</v>
      </c>
      <c r="AK5973">
        <v>129.31401781061601</v>
      </c>
      <c r="AL5973">
        <v>90.597265478464806</v>
      </c>
      <c r="AM5973">
        <v>86.302869782820395</v>
      </c>
      <c r="AN5973">
        <v>0.99999996959431703</v>
      </c>
    </row>
    <row r="5974" spans="1:40" x14ac:dyDescent="0.25">
      <c r="A5974" t="str">
        <f>"20190312154041424"</f>
        <v>20190312154041424</v>
      </c>
      <c r="B5974" t="str">
        <f>"1552376441412162"</f>
        <v>1552376441412162</v>
      </c>
      <c r="C5974" t="s">
        <v>40</v>
      </c>
      <c r="D5974">
        <v>3.836859</v>
      </c>
      <c r="E5974">
        <v>0.49724239999999997</v>
      </c>
      <c r="F5974" t="s">
        <v>42</v>
      </c>
      <c r="G5974">
        <v>-329.36840000000001</v>
      </c>
      <c r="H5974" s="1">
        <v>-2.8182119999999998E-7</v>
      </c>
      <c r="I5974">
        <v>139.4554</v>
      </c>
      <c r="J5974">
        <v>-221.80529999999999</v>
      </c>
      <c r="K5974">
        <v>1.1069819999999999</v>
      </c>
      <c r="L5974">
        <v>140.3047</v>
      </c>
      <c r="M5974">
        <v>-0.99797170000000002</v>
      </c>
      <c r="N5974">
        <v>0</v>
      </c>
      <c r="O5974">
        <v>-6.3637269999999996E-2</v>
      </c>
      <c r="P5974">
        <v>-0.99992749999999997</v>
      </c>
      <c r="Q5974">
        <v>-1.1753889999999999E-2</v>
      </c>
      <c r="R5974">
        <v>2.6121149999999999E-3</v>
      </c>
      <c r="S5974">
        <v>-2.9998320000000001</v>
      </c>
      <c r="T5974">
        <v>-3.0812860000000001E-2</v>
      </c>
      <c r="U5974">
        <v>-2.39563E-2</v>
      </c>
      <c r="V5974">
        <v>6.6199899999999895E-2</v>
      </c>
      <c r="W5974">
        <v>-1.035282E-2</v>
      </c>
      <c r="X5974">
        <v>0.99775270000000005</v>
      </c>
      <c r="Y5974">
        <v>5.5659599999999997E-2</v>
      </c>
      <c r="Z5974">
        <v>9.3909470000000004E-4</v>
      </c>
      <c r="AA5974">
        <v>0.99844940000000004</v>
      </c>
      <c r="AB5974">
        <v>22</v>
      </c>
      <c r="AC5974">
        <v>-107.56310000000001</v>
      </c>
      <c r="AD5974">
        <v>-1.1069822818211901</v>
      </c>
      <c r="AE5974">
        <v>-0.84929999999999894</v>
      </c>
      <c r="AF5974">
        <v>5.9968179106363202</v>
      </c>
      <c r="AG5974">
        <v>-1.1069822818211901</v>
      </c>
      <c r="AH5974">
        <v>107.387753197411</v>
      </c>
      <c r="AI5974">
        <v>90.589680970400806</v>
      </c>
      <c r="AJ5974">
        <v>86.803770819212403</v>
      </c>
      <c r="AK5974">
        <v>107.56075851170699</v>
      </c>
      <c r="AL5974">
        <v>90.593183471499302</v>
      </c>
      <c r="AM5974">
        <v>86.204045622043296</v>
      </c>
      <c r="AN5974">
        <v>1.00000002899962</v>
      </c>
    </row>
    <row r="5975" spans="1:40" x14ac:dyDescent="0.25">
      <c r="A5975" t="str">
        <f>"20190312154041447"</f>
        <v>20190312154041447</v>
      </c>
      <c r="B5975" t="str">
        <f>"1552376441442414"</f>
        <v>1552376441442414</v>
      </c>
      <c r="C5975" t="s">
        <v>40</v>
      </c>
      <c r="D5975">
        <v>3.8206120000000001</v>
      </c>
      <c r="E5975">
        <v>0.49703359999999902</v>
      </c>
      <c r="F5975" t="s">
        <v>42</v>
      </c>
      <c r="G5975">
        <v>-332.1585</v>
      </c>
      <c r="H5975" s="1">
        <v>-3.7347290000000002E-6</v>
      </c>
      <c r="I5975">
        <v>139.79499999999999</v>
      </c>
      <c r="J5975">
        <v>-222.03280000000001</v>
      </c>
      <c r="K5975">
        <v>1.10693</v>
      </c>
      <c r="L5975">
        <v>140.29310000000001</v>
      </c>
      <c r="M5975">
        <v>-0.99813969999999996</v>
      </c>
      <c r="N5975">
        <v>0</v>
      </c>
      <c r="O5975">
        <v>-6.0954729999999999E-2</v>
      </c>
      <c r="P5975">
        <v>-0.99991980000000003</v>
      </c>
      <c r="Q5975">
        <v>-1.091491E-2</v>
      </c>
      <c r="R5975">
        <v>6.4493369999999899E-3</v>
      </c>
      <c r="S5975">
        <v>-2.9998930000000001</v>
      </c>
      <c r="T5975">
        <v>-3.0092839999999999E-2</v>
      </c>
      <c r="U5975">
        <v>-1.3854979999999999E-2</v>
      </c>
      <c r="V5975">
        <v>6.7348909999999998E-2</v>
      </c>
      <c r="W5975">
        <v>-9.8530409999999999E-3</v>
      </c>
      <c r="X5975">
        <v>0.99768080000000003</v>
      </c>
      <c r="Y5975">
        <v>5.6338390000000002E-2</v>
      </c>
      <c r="Z5975">
        <v>8.9369630000000002E-4</v>
      </c>
      <c r="AA5975">
        <v>0.99841139999999995</v>
      </c>
      <c r="AB5975">
        <v>22</v>
      </c>
      <c r="AC5975">
        <v>-110.12569999999999</v>
      </c>
      <c r="AD5975">
        <v>-1.106933734729</v>
      </c>
      <c r="AE5975">
        <v>-0.49810000000002203</v>
      </c>
      <c r="AF5975">
        <v>6.2148861848540502</v>
      </c>
      <c r="AG5975">
        <v>-1.106933734729</v>
      </c>
      <c r="AH5975">
        <v>109.940178554319</v>
      </c>
      <c r="AI5975">
        <v>90.5759441592743</v>
      </c>
      <c r="AJ5975">
        <v>86.764529817096005</v>
      </c>
      <c r="AK5975">
        <v>110.121264854429</v>
      </c>
      <c r="AL5975">
        <v>90.564546817360096</v>
      </c>
      <c r="AM5975">
        <v>86.138080679131704</v>
      </c>
      <c r="AN5975">
        <v>0.99999996839188698</v>
      </c>
    </row>
    <row r="5976" spans="1:40" x14ac:dyDescent="0.25">
      <c r="A5976" t="str">
        <f>"20190312154041471"</f>
        <v>20190312154041471</v>
      </c>
      <c r="B5976" t="str">
        <f>"1552376441461938"</f>
        <v>1552376441461938</v>
      </c>
      <c r="C5976" t="s">
        <v>40</v>
      </c>
      <c r="D5976">
        <v>3.85745</v>
      </c>
      <c r="E5976">
        <v>0.4967935</v>
      </c>
      <c r="F5976" t="s">
        <v>42</v>
      </c>
      <c r="G5976">
        <v>-343.72899999999998</v>
      </c>
      <c r="H5976" s="1">
        <v>-2.808444E-6</v>
      </c>
      <c r="I5976">
        <v>140.12710000000001</v>
      </c>
      <c r="J5976">
        <v>-222.2826</v>
      </c>
      <c r="K5976">
        <v>1.1068830000000001</v>
      </c>
      <c r="L5976">
        <v>140.28110000000001</v>
      </c>
      <c r="M5976">
        <v>-0.9983147</v>
      </c>
      <c r="N5976">
        <v>0</v>
      </c>
      <c r="O5976">
        <v>-5.802355E-2</v>
      </c>
      <c r="P5976">
        <v>-0.99990179999999995</v>
      </c>
      <c r="Q5976">
        <v>-9.6068079999999997E-3</v>
      </c>
      <c r="R5976">
        <v>1.0209289999999999E-2</v>
      </c>
      <c r="S5976">
        <v>-2.9999690000000001</v>
      </c>
      <c r="T5976">
        <v>-2.728736E-2</v>
      </c>
      <c r="U5976">
        <v>-4.0893550000000002E-3</v>
      </c>
      <c r="V5976">
        <v>6.8174929999999995E-2</v>
      </c>
      <c r="W5976">
        <v>-8.8635480000000006E-3</v>
      </c>
      <c r="X5976">
        <v>0.99763400000000002</v>
      </c>
      <c r="Y5976">
        <v>5.6657939999999997E-2</v>
      </c>
      <c r="Z5976">
        <v>7.8520830000000002E-4</v>
      </c>
      <c r="AA5976">
        <v>0.99839339999999999</v>
      </c>
      <c r="AB5976">
        <v>22</v>
      </c>
      <c r="AC5976">
        <v>-121.4464</v>
      </c>
      <c r="AD5976">
        <v>-1.1068858084440001</v>
      </c>
      <c r="AE5976">
        <v>-0.153999999999996</v>
      </c>
      <c r="AF5976">
        <v>6.8924417960414299</v>
      </c>
      <c r="AG5976">
        <v>-1.1068858084440001</v>
      </c>
      <c r="AH5976">
        <v>121.24065303335099</v>
      </c>
      <c r="AI5976">
        <v>90.522233232190899</v>
      </c>
      <c r="AJ5976">
        <v>86.746279300762694</v>
      </c>
      <c r="AK5976">
        <v>121.44145461109299</v>
      </c>
      <c r="AL5976">
        <v>90.507850546418993</v>
      </c>
      <c r="AM5976">
        <v>86.090678218609099</v>
      </c>
      <c r="AN5976">
        <v>0.99999999075982604</v>
      </c>
    </row>
    <row r="5977" spans="1:40" x14ac:dyDescent="0.25">
      <c r="A5977" t="str">
        <f>"20190312154041492"</f>
        <v>20190312154041492</v>
      </c>
      <c r="B5977" t="str">
        <f>"1552376441482430"</f>
        <v>1552376441482430</v>
      </c>
      <c r="C5977" t="s">
        <v>40</v>
      </c>
      <c r="D5977">
        <v>3.8623949999999998</v>
      </c>
      <c r="E5977">
        <v>0.49640010000000001</v>
      </c>
      <c r="F5977" t="s">
        <v>42</v>
      </c>
      <c r="G5977">
        <v>-364.0772</v>
      </c>
      <c r="H5977" s="1">
        <v>-2.7668189999999998E-6</v>
      </c>
      <c r="I5977">
        <v>140.53200000000001</v>
      </c>
      <c r="J5977">
        <v>-222.4966</v>
      </c>
      <c r="K5977">
        <v>1.106849</v>
      </c>
      <c r="L5977">
        <v>140.2713</v>
      </c>
      <c r="M5977">
        <v>-0.99845700000000004</v>
      </c>
      <c r="N5977">
        <v>0</v>
      </c>
      <c r="O5977">
        <v>-5.5525570000000003E-2</v>
      </c>
      <c r="P5977">
        <v>-0.99987570000000003</v>
      </c>
      <c r="Q5977">
        <v>-8.9758759999999903E-3</v>
      </c>
      <c r="R5977">
        <v>1.2973220000000001E-2</v>
      </c>
      <c r="S5977">
        <v>-3.0000460000000002</v>
      </c>
      <c r="T5977">
        <v>-2.3419140000000001E-2</v>
      </c>
      <c r="U5977">
        <v>5.3100589999999998E-3</v>
      </c>
      <c r="V5977">
        <v>6.8438029999999997E-2</v>
      </c>
      <c r="W5977">
        <v>-8.4633380000000008E-3</v>
      </c>
      <c r="X5977">
        <v>0.99761949999999999</v>
      </c>
      <c r="Y5977">
        <v>5.7289319999999998E-2</v>
      </c>
      <c r="Z5977">
        <v>6.5688240000000005E-4</v>
      </c>
      <c r="AA5977">
        <v>0.99835739999999995</v>
      </c>
      <c r="AB5977">
        <v>23</v>
      </c>
      <c r="AC5977">
        <v>-141.5806</v>
      </c>
      <c r="AD5977">
        <v>-1.1068517668190001</v>
      </c>
      <c r="AE5977">
        <v>0.26070000000001398</v>
      </c>
      <c r="AF5977">
        <v>8.1211470597952093</v>
      </c>
      <c r="AG5977">
        <v>-1.1068517668190001</v>
      </c>
      <c r="AH5977">
        <v>141.33906471400101</v>
      </c>
      <c r="AI5977">
        <v>90.447945630047798</v>
      </c>
      <c r="AJ5977">
        <v>86.711479628469505</v>
      </c>
      <c r="AK5977">
        <v>141.57651417035601</v>
      </c>
      <c r="AL5977">
        <v>90.484919322822506</v>
      </c>
      <c r="AM5977">
        <v>86.075581592808305</v>
      </c>
      <c r="AN5977">
        <v>1.00000002941031</v>
      </c>
    </row>
    <row r="5978" spans="1:40" x14ac:dyDescent="0.25">
      <c r="A5978" t="str">
        <f>"20190312154041513"</f>
        <v>20190312154041513</v>
      </c>
      <c r="B5978" t="str">
        <f>"1552376441501954"</f>
        <v>1552376441501954</v>
      </c>
      <c r="C5978" t="s">
        <v>40</v>
      </c>
      <c r="D5978">
        <v>3.8875850000000001</v>
      </c>
      <c r="E5978">
        <v>0.49596230000000002</v>
      </c>
      <c r="F5978" t="s">
        <v>42</v>
      </c>
      <c r="G5978">
        <v>-371.94279999999998</v>
      </c>
      <c r="H5978" s="1">
        <v>-3.7506149999999999E-6</v>
      </c>
      <c r="I5978">
        <v>140.78809999999999</v>
      </c>
      <c r="J5978">
        <v>-222.7216</v>
      </c>
      <c r="K5978">
        <v>1.1068129999999901</v>
      </c>
      <c r="L5978">
        <v>140.26169999999999</v>
      </c>
      <c r="M5978">
        <v>-0.99859920000000002</v>
      </c>
      <c r="N5978">
        <v>0</v>
      </c>
      <c r="O5978">
        <v>-5.2910529999999997E-2</v>
      </c>
      <c r="P5978">
        <v>-0.99985769999999996</v>
      </c>
      <c r="Q5978">
        <v>-7.8171830000000001E-3</v>
      </c>
      <c r="R5978">
        <v>1.4955950000000001E-2</v>
      </c>
      <c r="S5978">
        <v>-3.0000460000000002</v>
      </c>
      <c r="T5978">
        <v>-2.221942E-2</v>
      </c>
      <c r="U5978">
        <v>1.037598E-2</v>
      </c>
      <c r="V5978">
        <v>6.7807859999999998E-2</v>
      </c>
      <c r="W5978">
        <v>-7.5079949999999999E-3</v>
      </c>
      <c r="X5978">
        <v>0.99767019999999995</v>
      </c>
      <c r="Y5978">
        <v>5.6360970000000003E-2</v>
      </c>
      <c r="Z5978">
        <v>6.0045080000000004E-4</v>
      </c>
      <c r="AA5978">
        <v>0.99841029999999997</v>
      </c>
      <c r="AB5978">
        <v>23</v>
      </c>
      <c r="AC5978">
        <v>-149.22119999999899</v>
      </c>
      <c r="AD5978">
        <v>-1.10681675061499</v>
      </c>
      <c r="AE5978">
        <v>0.52639999999999498</v>
      </c>
      <c r="AF5978">
        <v>8.4205726143947803</v>
      </c>
      <c r="AG5978">
        <v>-1.10681675061499</v>
      </c>
      <c r="AH5978">
        <v>148.97613130559199</v>
      </c>
      <c r="AI5978">
        <v>90.424992291056697</v>
      </c>
      <c r="AJ5978">
        <v>86.764914944545595</v>
      </c>
      <c r="AK5978">
        <v>149.21802433102599</v>
      </c>
      <c r="AL5978">
        <v>90.430180445380302</v>
      </c>
      <c r="AM5978">
        <v>86.111802846611695</v>
      </c>
      <c r="AN5978">
        <v>1.00000005191736</v>
      </c>
    </row>
    <row r="5979" spans="1:40" x14ac:dyDescent="0.25">
      <c r="A5979" t="str">
        <f>"20190312154041536"</f>
        <v>20190312154041536</v>
      </c>
      <c r="B5979" t="str">
        <f>"1552376441522446"</f>
        <v>1552376441522446</v>
      </c>
      <c r="C5979" t="s">
        <v>40</v>
      </c>
      <c r="D5979">
        <v>3.8907829999999999</v>
      </c>
      <c r="E5979">
        <v>0.49557380000000001</v>
      </c>
      <c r="F5979" t="s">
        <v>42</v>
      </c>
      <c r="G5979">
        <v>-391.94189999999998</v>
      </c>
      <c r="H5979" s="1">
        <v>-3.8042119999999998E-6</v>
      </c>
      <c r="I5979">
        <v>140.988</v>
      </c>
      <c r="J5979">
        <v>-222.95769999999999</v>
      </c>
      <c r="K5979">
        <v>1.106779</v>
      </c>
      <c r="L5979">
        <v>140.25210000000001</v>
      </c>
      <c r="M5979">
        <v>-0.99874030000000003</v>
      </c>
      <c r="N5979">
        <v>0</v>
      </c>
      <c r="O5979">
        <v>-5.0178889999999997E-2</v>
      </c>
      <c r="P5979">
        <v>-0.99983849999999996</v>
      </c>
      <c r="Q5979">
        <v>-6.647961E-3</v>
      </c>
      <c r="R5979">
        <v>1.6708520000000001E-2</v>
      </c>
      <c r="S5979">
        <v>-3.000076</v>
      </c>
      <c r="T5979">
        <v>-1.9622560000000001E-2</v>
      </c>
      <c r="U5979">
        <v>1.287842E-2</v>
      </c>
      <c r="V5979">
        <v>6.6831860000000007E-2</v>
      </c>
      <c r="W5979">
        <v>-6.5156709999999998E-3</v>
      </c>
      <c r="X5979">
        <v>0.99774300000000005</v>
      </c>
      <c r="Y5979">
        <v>5.4463440000000002E-2</v>
      </c>
      <c r="Z5979">
        <v>5.0621640000000001E-4</v>
      </c>
      <c r="AA5979">
        <v>0.99851570000000001</v>
      </c>
      <c r="AB5979">
        <v>23</v>
      </c>
      <c r="AC5979">
        <v>-168.98419999999999</v>
      </c>
      <c r="AD5979">
        <v>-1.106782804212</v>
      </c>
      <c r="AE5979">
        <v>0.73589999999998601</v>
      </c>
      <c r="AF5979">
        <v>9.2140168220826997</v>
      </c>
      <c r="AG5979">
        <v>-1.106782804212</v>
      </c>
      <c r="AH5979">
        <v>168.72715701312899</v>
      </c>
      <c r="AI5979">
        <v>90.375272928514306</v>
      </c>
      <c r="AJ5979">
        <v>86.874240986279304</v>
      </c>
      <c r="AK5979">
        <v>168.98217831448</v>
      </c>
      <c r="AL5979">
        <v>90.373323082036706</v>
      </c>
      <c r="AM5979">
        <v>86.167878854591606</v>
      </c>
      <c r="AN5979">
        <v>1.00000002276431</v>
      </c>
    </row>
    <row r="5980" spans="1:40" x14ac:dyDescent="0.25">
      <c r="A5980" t="str">
        <f>"20190312154041560"</f>
        <v>20190312154041560</v>
      </c>
      <c r="B5980" t="str">
        <f>"1552376441552219"</f>
        <v>1552376441552219</v>
      </c>
      <c r="C5980" t="s">
        <v>40</v>
      </c>
      <c r="D5980">
        <v>3.8645040000000002</v>
      </c>
      <c r="E5980">
        <v>0.4952452</v>
      </c>
      <c r="F5980" t="s">
        <v>55</v>
      </c>
      <c r="G5980">
        <v>-413.87079999999997</v>
      </c>
      <c r="H5980" s="1">
        <v>-1.0890559999999999E-5</v>
      </c>
      <c r="I5980">
        <v>141.20269999999999</v>
      </c>
      <c r="J5980">
        <v>-223.2064</v>
      </c>
      <c r="K5980">
        <v>1.106741</v>
      </c>
      <c r="L5980">
        <v>140.24270000000001</v>
      </c>
      <c r="M5980">
        <v>-0.99888030000000005</v>
      </c>
      <c r="N5980">
        <v>0</v>
      </c>
      <c r="O5980">
        <v>-4.731001E-2</v>
      </c>
      <c r="P5980">
        <v>-0.99981039999999999</v>
      </c>
      <c r="Q5980">
        <v>-5.8170590000000003E-3</v>
      </c>
      <c r="R5980">
        <v>1.858682E-2</v>
      </c>
      <c r="S5980">
        <v>-3.0001220000000002</v>
      </c>
      <c r="T5980">
        <v>-1.7392749999999998E-2</v>
      </c>
      <c r="U5980">
        <v>1.493835E-2</v>
      </c>
      <c r="V5980">
        <v>6.5843299999999993E-2</v>
      </c>
      <c r="W5980">
        <v>-5.8349409999999997E-3</v>
      </c>
      <c r="X5980">
        <v>0.9978129</v>
      </c>
      <c r="Y5980">
        <v>5.2281370000000001E-2</v>
      </c>
      <c r="Z5980">
        <v>4.2574440000000001E-4</v>
      </c>
      <c r="AA5980">
        <v>0.99863230000000003</v>
      </c>
      <c r="AB5980">
        <v>23</v>
      </c>
      <c r="AC5980">
        <v>-190.6644</v>
      </c>
      <c r="AD5980">
        <v>-1.10675189056</v>
      </c>
      <c r="AE5980">
        <v>0.95999999999997898</v>
      </c>
      <c r="AF5980">
        <v>9.9789230776282896</v>
      </c>
      <c r="AG5980">
        <v>-1.10675189056</v>
      </c>
      <c r="AH5980">
        <v>190.399071546805</v>
      </c>
      <c r="AI5980">
        <v>90.332588741475803</v>
      </c>
      <c r="AJ5980">
        <v>86.999840778646401</v>
      </c>
      <c r="AK5980">
        <v>190.663604947094</v>
      </c>
      <c r="AL5980">
        <v>90.334319395094198</v>
      </c>
      <c r="AM5980">
        <v>86.2246611739114</v>
      </c>
      <c r="AN5980">
        <v>0.99999998504888599</v>
      </c>
    </row>
    <row r="5981" spans="1:40" x14ac:dyDescent="0.25">
      <c r="A5981" t="str">
        <f>"20190312154041583"</f>
        <v>20190312154041583</v>
      </c>
      <c r="B5981" t="str">
        <f>"1552376441571740"</f>
        <v>1552376441571740</v>
      </c>
      <c r="C5981" t="s">
        <v>40</v>
      </c>
      <c r="D5981">
        <v>3.8608889999999998</v>
      </c>
      <c r="E5981">
        <v>0.49502489999999999</v>
      </c>
      <c r="F5981" t="s">
        <v>42</v>
      </c>
      <c r="G5981">
        <v>-451.27859999999998</v>
      </c>
      <c r="H5981" s="1">
        <v>-3.1817290000000001E-6</v>
      </c>
      <c r="I5981">
        <v>141.61250000000001</v>
      </c>
      <c r="J5981">
        <v>-223.4555</v>
      </c>
      <c r="K5981">
        <v>1.106703</v>
      </c>
      <c r="L5981">
        <v>140.23400000000001</v>
      </c>
      <c r="M5981">
        <v>-0.99901209999999996</v>
      </c>
      <c r="N5981">
        <v>0</v>
      </c>
      <c r="O5981">
        <v>-4.4440149999999998E-2</v>
      </c>
      <c r="P5981">
        <v>-0.99978129999999998</v>
      </c>
      <c r="Q5981">
        <v>-5.6887750000000001E-3</v>
      </c>
      <c r="R5981">
        <v>2.0131429999999999E-2</v>
      </c>
      <c r="S5981">
        <v>-3.0001530000000001</v>
      </c>
      <c r="T5981">
        <v>-1.455855E-2</v>
      </c>
      <c r="U5981">
        <v>1.8020629999999999E-2</v>
      </c>
      <c r="V5981">
        <v>6.4517870000000005E-2</v>
      </c>
      <c r="W5981">
        <v>-5.823824E-3</v>
      </c>
      <c r="X5981">
        <v>0.99789950000000005</v>
      </c>
      <c r="Y5981">
        <v>5.0438770000000001E-2</v>
      </c>
      <c r="Z5981">
        <v>3.3797900000000002E-4</v>
      </c>
      <c r="AA5981">
        <v>0.99872709999999998</v>
      </c>
      <c r="AB5981">
        <v>24</v>
      </c>
      <c r="AC5981">
        <v>-227.82310000000001</v>
      </c>
      <c r="AD5981">
        <v>-1.106706181729</v>
      </c>
      <c r="AE5981">
        <v>1.3785000000000001</v>
      </c>
      <c r="AF5981">
        <v>11.5013589303225</v>
      </c>
      <c r="AG5981">
        <v>-1.106706181729</v>
      </c>
      <c r="AH5981">
        <v>227.53139209386401</v>
      </c>
      <c r="AI5981">
        <v>90.278327483504896</v>
      </c>
      <c r="AJ5981">
        <v>87.106250194816198</v>
      </c>
      <c r="AK5981">
        <v>227.82458261563499</v>
      </c>
      <c r="AL5981">
        <v>90.333682441349893</v>
      </c>
      <c r="AM5981">
        <v>86.300765943519295</v>
      </c>
      <c r="AN5981">
        <v>0.99999994228778299</v>
      </c>
    </row>
    <row r="5982" spans="1:40" x14ac:dyDescent="0.25">
      <c r="A5982" t="str">
        <f>"20190312154041603"</f>
        <v>20190312154041603</v>
      </c>
      <c r="B5982" t="str">
        <f>"1552376441592235"</f>
        <v>1552376441592235</v>
      </c>
      <c r="C5982" t="s">
        <v>40</v>
      </c>
      <c r="D5982">
        <v>3.8528289999999998</v>
      </c>
      <c r="E5982">
        <v>0.49480079999999999</v>
      </c>
      <c r="F5982" t="s">
        <v>42</v>
      </c>
      <c r="G5982">
        <v>-449.38909999999998</v>
      </c>
      <c r="H5982" s="1">
        <v>1.8817079999999999E-7</v>
      </c>
      <c r="I5982">
        <v>141.79900000000001</v>
      </c>
      <c r="J5982">
        <v>-223.68530000000001</v>
      </c>
      <c r="K5982">
        <v>1.106665</v>
      </c>
      <c r="L5982">
        <v>140.22659999999999</v>
      </c>
      <c r="M5982">
        <v>-0.99912630000000002</v>
      </c>
      <c r="N5982">
        <v>0</v>
      </c>
      <c r="O5982">
        <v>-4.1794949999999997E-2</v>
      </c>
      <c r="P5982">
        <v>-0.99975480000000005</v>
      </c>
      <c r="Q5982">
        <v>-5.9369130000000003E-3</v>
      </c>
      <c r="R5982">
        <v>2.1336230000000001E-2</v>
      </c>
      <c r="S5982">
        <v>-3.0001679999999999</v>
      </c>
      <c r="T5982">
        <v>-1.469588E-2</v>
      </c>
      <c r="U5982">
        <v>2.0782470000000001E-2</v>
      </c>
      <c r="V5982">
        <v>6.3076469999999996E-2</v>
      </c>
      <c r="W5982">
        <v>-6.1562600000000002E-3</v>
      </c>
      <c r="X5982">
        <v>0.99798969999999998</v>
      </c>
      <c r="Y5982">
        <v>4.8713739999999998E-2</v>
      </c>
      <c r="Z5982">
        <v>3.2399179999999998E-4</v>
      </c>
      <c r="AA5982">
        <v>0.9988127</v>
      </c>
      <c r="AB5982">
        <v>24</v>
      </c>
      <c r="AC5982">
        <v>-225.7038</v>
      </c>
      <c r="AD5982">
        <v>-1.1066648118292</v>
      </c>
      <c r="AE5982">
        <v>1.57240000000001</v>
      </c>
      <c r="AF5982">
        <v>11.0040396964996</v>
      </c>
      <c r="AG5982">
        <v>-1.1066648118292</v>
      </c>
      <c r="AH5982">
        <v>225.43544433134099</v>
      </c>
      <c r="AI5982">
        <v>90.280928812666602</v>
      </c>
      <c r="AJ5982">
        <v>87.205474909247798</v>
      </c>
      <c r="AK5982">
        <v>225.70656427653299</v>
      </c>
      <c r="AL5982">
        <v>90.352729946849706</v>
      </c>
      <c r="AM5982">
        <v>86.3835150470629</v>
      </c>
      <c r="AN5982">
        <v>0.99999999095546899</v>
      </c>
    </row>
    <row r="5983" spans="1:40" x14ac:dyDescent="0.25">
      <c r="A5983" t="str">
        <f>"20190312154041626"</f>
        <v>20190312154041626</v>
      </c>
      <c r="B5983" t="str">
        <f>"1552376441611755"</f>
        <v>1552376441611755</v>
      </c>
      <c r="C5983" t="s">
        <v>40</v>
      </c>
      <c r="D5983">
        <v>3.8794430000000002</v>
      </c>
      <c r="E5983">
        <v>0.49463059999999998</v>
      </c>
      <c r="F5983" t="s">
        <v>55</v>
      </c>
      <c r="G5983">
        <v>-432.3972</v>
      </c>
      <c r="H5983" s="1">
        <v>-1.1083510000000001E-5</v>
      </c>
      <c r="I5983">
        <v>141.7987</v>
      </c>
      <c r="J5983">
        <v>-223.93049999999999</v>
      </c>
      <c r="K5983">
        <v>1.106619</v>
      </c>
      <c r="L5983">
        <v>140.2193</v>
      </c>
      <c r="M5983">
        <v>-0.99924029999999997</v>
      </c>
      <c r="N5983">
        <v>0</v>
      </c>
      <c r="O5983">
        <v>-3.8973319999999999E-2</v>
      </c>
      <c r="P5983">
        <v>-0.9997144</v>
      </c>
      <c r="Q5983">
        <v>-5.3226870000000004E-3</v>
      </c>
      <c r="R5983">
        <v>2.3303319999999999E-2</v>
      </c>
      <c r="S5983">
        <v>-3.0001679999999999</v>
      </c>
      <c r="T5983">
        <v>-1.5908120000000001E-2</v>
      </c>
      <c r="U5983">
        <v>2.259827E-2</v>
      </c>
      <c r="V5983">
        <v>6.2223849999999997E-2</v>
      </c>
      <c r="W5983">
        <v>-5.6133609999999999E-3</v>
      </c>
      <c r="X5983">
        <v>0.99804649999999995</v>
      </c>
      <c r="Y5983">
        <v>4.6497410000000003E-2</v>
      </c>
      <c r="Z5983">
        <v>3.2988800000000002E-4</v>
      </c>
      <c r="AA5983">
        <v>0.99891839999999998</v>
      </c>
      <c r="AB5983">
        <v>24</v>
      </c>
      <c r="AC5983">
        <v>-208.4667</v>
      </c>
      <c r="AD5983">
        <v>-1.10663008351</v>
      </c>
      <c r="AE5983">
        <v>1.5793999999999899</v>
      </c>
      <c r="AF5983">
        <v>9.7025656718969095</v>
      </c>
      <c r="AG5983">
        <v>-1.10663008351</v>
      </c>
      <c r="AH5983">
        <v>208.24089554135901</v>
      </c>
      <c r="AI5983">
        <v>90.304147399196097</v>
      </c>
      <c r="AJ5983">
        <v>87.332347690080297</v>
      </c>
      <c r="AK5983">
        <v>208.46974597438901</v>
      </c>
      <c r="AL5983">
        <v>90.321623561781195</v>
      </c>
      <c r="AM5983">
        <v>86.432475346731806</v>
      </c>
      <c r="AN5983">
        <v>1.00000006674639</v>
      </c>
    </row>
    <row r="5984" spans="1:40" x14ac:dyDescent="0.25">
      <c r="A5984" t="str">
        <f>"20190312154041648"</f>
        <v>20190312154041648</v>
      </c>
      <c r="B5984" t="str">
        <f>"1552376441642011"</f>
        <v>1552376441642011</v>
      </c>
      <c r="C5984" t="s">
        <v>40</v>
      </c>
      <c r="D5984">
        <v>3.879089</v>
      </c>
      <c r="E5984">
        <v>0.4943613</v>
      </c>
      <c r="F5984" t="s">
        <v>42</v>
      </c>
      <c r="G5984">
        <v>-450.96089999999998</v>
      </c>
      <c r="H5984" s="1">
        <v>-3.406244E-6</v>
      </c>
      <c r="I5984">
        <v>142.2688</v>
      </c>
      <c r="J5984">
        <v>-224.18100000000001</v>
      </c>
      <c r="K5984">
        <v>1.1065719999999999</v>
      </c>
      <c r="L5984">
        <v>140.21260000000001</v>
      </c>
      <c r="M5984">
        <v>-0.99934860000000003</v>
      </c>
      <c r="N5984">
        <v>0</v>
      </c>
      <c r="O5984">
        <v>-3.609325E-2</v>
      </c>
      <c r="P5984">
        <v>-0.99965789999999999</v>
      </c>
      <c r="Q5984">
        <v>-4.8393769999999997E-3</v>
      </c>
      <c r="R5984">
        <v>2.571375E-2</v>
      </c>
      <c r="S5984">
        <v>-3.0001530000000001</v>
      </c>
      <c r="T5984">
        <v>-1.462376E-2</v>
      </c>
      <c r="U5984">
        <v>2.708435E-2</v>
      </c>
      <c r="V5984">
        <v>6.1755619999999997E-2</v>
      </c>
      <c r="W5984">
        <v>-5.1848880000000003E-3</v>
      </c>
      <c r="X5984">
        <v>0.99807780000000001</v>
      </c>
      <c r="Y5984">
        <v>4.5112230000000003E-2</v>
      </c>
      <c r="Z5984">
        <v>2.8584790000000002E-4</v>
      </c>
      <c r="AA5984">
        <v>0.99898189999999998</v>
      </c>
      <c r="AB5984">
        <v>24</v>
      </c>
      <c r="AC5984">
        <v>-226.7799</v>
      </c>
      <c r="AD5984">
        <v>-1.1065754062440001</v>
      </c>
      <c r="AE5984">
        <v>2.0561999999999898</v>
      </c>
      <c r="AF5984">
        <v>10.239838653375999</v>
      </c>
      <c r="AG5984">
        <v>-1.1065754062440001</v>
      </c>
      <c r="AH5984">
        <v>226.55252763100799</v>
      </c>
      <c r="AI5984">
        <v>90.279568430717305</v>
      </c>
      <c r="AJ5984">
        <v>87.412076974620902</v>
      </c>
      <c r="AK5984">
        <v>226.78652204391599</v>
      </c>
      <c r="AL5984">
        <v>90.297073540425799</v>
      </c>
      <c r="AM5984">
        <v>86.459362916578002</v>
      </c>
      <c r="AN5984">
        <v>0.99999996725899798</v>
      </c>
    </row>
    <row r="5985" spans="1:40" x14ac:dyDescent="0.25">
      <c r="A5985" t="str">
        <f>"20190312154041671"</f>
        <v>20190312154041671</v>
      </c>
      <c r="B5985" t="str">
        <f>"1552376441662507"</f>
        <v>1552376441662507</v>
      </c>
      <c r="C5985" t="s">
        <v>40</v>
      </c>
      <c r="D5985">
        <v>3.8891260000000001</v>
      </c>
      <c r="E5985">
        <v>0.49425219999999997</v>
      </c>
      <c r="F5985" t="s">
        <v>42</v>
      </c>
      <c r="G5985">
        <v>-455.53089999999997</v>
      </c>
      <c r="H5985" s="1">
        <v>-1.7039229999999999E-6</v>
      </c>
      <c r="I5985">
        <v>142.6893</v>
      </c>
      <c r="J5985">
        <v>-224.43289999999999</v>
      </c>
      <c r="K5985">
        <v>1.1065290000000001</v>
      </c>
      <c r="L5985">
        <v>140.20650000000001</v>
      </c>
      <c r="M5985">
        <v>-0.99944869999999997</v>
      </c>
      <c r="N5985">
        <v>0</v>
      </c>
      <c r="O5985">
        <v>-3.3205150000000003E-2</v>
      </c>
      <c r="P5985">
        <v>-0.99958539999999996</v>
      </c>
      <c r="Q5985">
        <v>-5.107131E-3</v>
      </c>
      <c r="R5985">
        <v>2.8336150000000001E-2</v>
      </c>
      <c r="S5985">
        <v>-3.0001220000000002</v>
      </c>
      <c r="T5985">
        <v>-1.434994E-2</v>
      </c>
      <c r="U5985">
        <v>3.2119750000000002E-2</v>
      </c>
      <c r="V5985">
        <v>6.1487849999999997E-2</v>
      </c>
      <c r="W5985">
        <v>-5.4921409999999999E-3</v>
      </c>
      <c r="X5985">
        <v>0.99809270000000005</v>
      </c>
      <c r="Y5985">
        <v>4.3901990000000002E-2</v>
      </c>
      <c r="Z5985">
        <v>2.637944E-4</v>
      </c>
      <c r="AA5985">
        <v>0.99903580000000003</v>
      </c>
      <c r="AB5985">
        <v>25</v>
      </c>
      <c r="AC5985">
        <v>-231.09800000000001</v>
      </c>
      <c r="AD5985">
        <v>-1.1065307039229999</v>
      </c>
      <c r="AE5985">
        <v>2.4827999999999899</v>
      </c>
      <c r="AF5985">
        <v>10.1548407489251</v>
      </c>
      <c r="AG5985">
        <v>-1.1065307039229999</v>
      </c>
      <c r="AH5985">
        <v>230.88282823330101</v>
      </c>
      <c r="AI5985">
        <v>90.274328853989999</v>
      </c>
      <c r="AJ5985">
        <v>87.481602344494206</v>
      </c>
      <c r="AK5985">
        <v>231.10868779395199</v>
      </c>
      <c r="AL5985">
        <v>90.3146780885249</v>
      </c>
      <c r="AM5985">
        <v>86.474728677402894</v>
      </c>
      <c r="AN5985">
        <v>0.99999997855183798</v>
      </c>
    </row>
    <row r="5986" spans="1:40" x14ac:dyDescent="0.25">
      <c r="A5986" t="str">
        <f>"20190312154041692"</f>
        <v>20190312154041692</v>
      </c>
      <c r="B5986" t="str">
        <f>"1552376441682031"</f>
        <v>1552376441682031</v>
      </c>
      <c r="C5986" t="s">
        <v>40</v>
      </c>
      <c r="D5986">
        <v>3.9088099999999999</v>
      </c>
      <c r="E5986">
        <v>0.4942259</v>
      </c>
      <c r="F5986" t="s">
        <v>55</v>
      </c>
      <c r="G5986">
        <v>-436.15289999999999</v>
      </c>
      <c r="H5986" s="1">
        <v>-9.9988369999999994E-6</v>
      </c>
      <c r="I5986">
        <v>142.9633</v>
      </c>
      <c r="J5986">
        <v>-224.6721</v>
      </c>
      <c r="K5986">
        <v>1.1064969999999901</v>
      </c>
      <c r="L5986">
        <v>140.20140000000001</v>
      </c>
      <c r="M5986">
        <v>-0.99953539999999996</v>
      </c>
      <c r="N5986">
        <v>0</v>
      </c>
      <c r="O5986">
        <v>-3.0481620000000001E-2</v>
      </c>
      <c r="P5986">
        <v>-0.99952510000000006</v>
      </c>
      <c r="Q5986">
        <v>-5.3834969999999897E-3</v>
      </c>
      <c r="R5986">
        <v>3.034367E-2</v>
      </c>
      <c r="S5986">
        <v>-3.0000610000000001</v>
      </c>
      <c r="T5986">
        <v>-1.5679599999999998E-2</v>
      </c>
      <c r="U5986">
        <v>3.90625E-2</v>
      </c>
      <c r="V5986">
        <v>6.0771060000000002E-2</v>
      </c>
      <c r="W5986">
        <v>-5.7926360000000003E-3</v>
      </c>
      <c r="X5986">
        <v>0.99813490000000005</v>
      </c>
      <c r="Y5986">
        <v>4.3491429999999998E-2</v>
      </c>
      <c r="Z5986">
        <v>2.7293830000000002E-4</v>
      </c>
      <c r="AA5986">
        <v>0.99905379999999999</v>
      </c>
      <c r="AB5986">
        <v>25</v>
      </c>
      <c r="AC5986">
        <v>-211.48079999999999</v>
      </c>
      <c r="AD5986">
        <v>-1.10650699883699</v>
      </c>
      <c r="AE5986">
        <v>2.76189999999999</v>
      </c>
      <c r="AF5986">
        <v>9.2066415406277091</v>
      </c>
      <c r="AG5986">
        <v>-1.10650699883699</v>
      </c>
      <c r="AH5986">
        <v>211.29256020231199</v>
      </c>
      <c r="AI5986">
        <v>90.299762114976204</v>
      </c>
      <c r="AJ5986">
        <v>87.505031675736305</v>
      </c>
      <c r="AK5986">
        <v>211.49593992094401</v>
      </c>
      <c r="AL5986">
        <v>90.3318954586519</v>
      </c>
      <c r="AM5986">
        <v>86.515869374626504</v>
      </c>
      <c r="AN5986">
        <v>0.99999997748168001</v>
      </c>
    </row>
    <row r="5987" spans="1:40" x14ac:dyDescent="0.25">
      <c r="A5987" t="str">
        <f>"20190312154041715"</f>
        <v>20190312154041715</v>
      </c>
      <c r="B5987" t="str">
        <f>"1552376441702524"</f>
        <v>1552376441702524</v>
      </c>
      <c r="C5987" t="s">
        <v>40</v>
      </c>
      <c r="D5987">
        <v>3.8703660000000002</v>
      </c>
      <c r="E5987">
        <v>0.49648160000000002</v>
      </c>
      <c r="F5987" t="s">
        <v>55</v>
      </c>
      <c r="G5987">
        <v>-433.78919999999999</v>
      </c>
      <c r="H5987" s="1">
        <v>-1.110191E-5</v>
      </c>
      <c r="I5987">
        <v>143.34229999999999</v>
      </c>
      <c r="J5987">
        <v>-224.92099999999999</v>
      </c>
      <c r="K5987">
        <v>1.1064670000000001</v>
      </c>
      <c r="L5987">
        <v>140.19669999999999</v>
      </c>
      <c r="M5987">
        <v>-0.99961699999999998</v>
      </c>
      <c r="N5987">
        <v>0</v>
      </c>
      <c r="O5987">
        <v>-2.767495E-2</v>
      </c>
      <c r="P5987">
        <v>-0.9994653</v>
      </c>
      <c r="Q5987">
        <v>-5.2395849999999997E-3</v>
      </c>
      <c r="R5987">
        <v>3.227551E-2</v>
      </c>
      <c r="S5987">
        <v>-2.9999389999999999</v>
      </c>
      <c r="T5987">
        <v>-1.5873669999999999E-2</v>
      </c>
      <c r="U5987">
        <v>4.5059200000000001E-2</v>
      </c>
      <c r="V5987">
        <v>5.9898050000000001E-2</v>
      </c>
      <c r="W5987">
        <v>-5.6674689999999996E-3</v>
      </c>
      <c r="X5987">
        <v>0.99818839999999998</v>
      </c>
      <c r="Y5987">
        <v>4.2683440000000003E-2</v>
      </c>
      <c r="Z5987">
        <v>2.5934059999999998E-4</v>
      </c>
      <c r="AA5987">
        <v>0.99908859999999999</v>
      </c>
      <c r="AB5987">
        <v>25</v>
      </c>
      <c r="AC5987">
        <v>-208.8682</v>
      </c>
      <c r="AD5987">
        <v>-1.1064781019100001</v>
      </c>
      <c r="AE5987">
        <v>3.1456</v>
      </c>
      <c r="AF5987">
        <v>8.9245616085331392</v>
      </c>
      <c r="AG5987">
        <v>-1.1064781019100001</v>
      </c>
      <c r="AH5987">
        <v>208.695288605569</v>
      </c>
      <c r="AI5987">
        <v>90.303495327390394</v>
      </c>
      <c r="AJ5987">
        <v>87.551318196124399</v>
      </c>
      <c r="AK5987">
        <v>208.88895514089799</v>
      </c>
      <c r="AL5987">
        <v>90.324723796094702</v>
      </c>
      <c r="AM5987">
        <v>86.565983807878496</v>
      </c>
      <c r="AN5987">
        <v>0.99999998924661404</v>
      </c>
    </row>
    <row r="5988" spans="1:40" x14ac:dyDescent="0.25">
      <c r="A5988" t="str">
        <f>"20190312154041727"</f>
        <v>20190312154041727</v>
      </c>
      <c r="B5988" t="str">
        <f>"1552376441722044"</f>
        <v>1552376441722044</v>
      </c>
      <c r="C5988" t="s">
        <v>40</v>
      </c>
      <c r="D5988">
        <v>3.9001109999999999</v>
      </c>
      <c r="E5988">
        <v>0.4972838</v>
      </c>
      <c r="F5988" t="s">
        <v>50</v>
      </c>
      <c r="G5988">
        <v>0</v>
      </c>
      <c r="H5988">
        <v>0</v>
      </c>
      <c r="I5988">
        <v>0</v>
      </c>
      <c r="J5988">
        <v>-225.07259999999999</v>
      </c>
      <c r="K5988">
        <v>1.106452</v>
      </c>
      <c r="L5988">
        <v>140.1942</v>
      </c>
      <c r="M5988">
        <v>-0.99966239999999995</v>
      </c>
      <c r="N5988">
        <v>0</v>
      </c>
      <c r="O5988">
        <v>-2.5986749999999999E-2</v>
      </c>
      <c r="P5988">
        <v>-0.99941250000000004</v>
      </c>
      <c r="Q5988">
        <v>-5.2412250000000004E-3</v>
      </c>
      <c r="R5988">
        <v>3.3875099999999998E-2</v>
      </c>
      <c r="S5988">
        <v>-2.9995270000000001</v>
      </c>
      <c r="T5988">
        <v>4.4101120000000001E-2</v>
      </c>
      <c r="U5988">
        <v>7.1563719999999997E-2</v>
      </c>
      <c r="V5988">
        <v>5.9809759999999997E-2</v>
      </c>
      <c r="W5988">
        <v>-5.6822419999999997E-3</v>
      </c>
      <c r="X5988">
        <v>0.99819360000000001</v>
      </c>
      <c r="Y5988">
        <v>4.9814659999999997E-2</v>
      </c>
      <c r="Z5988">
        <v>-7.4813039999999998E-4</v>
      </c>
      <c r="AA5988">
        <v>0.99875820000000004</v>
      </c>
      <c r="AB5988">
        <v>25</v>
      </c>
      <c r="AC5988">
        <v>-2.9995270000000001</v>
      </c>
      <c r="AD5988">
        <v>4.4101120000000001E-2</v>
      </c>
      <c r="AE5988">
        <v>7.1563719999999997E-2</v>
      </c>
      <c r="AF5988">
        <v>0.14945521230242201</v>
      </c>
      <c r="AG5988">
        <v>4.4101120000000001E-2</v>
      </c>
      <c r="AH5988">
        <v>2.9960070380260402</v>
      </c>
      <c r="AI5988">
        <v>89.157716219959198</v>
      </c>
      <c r="AJ5988">
        <v>87.144178817596597</v>
      </c>
      <c r="AK5988">
        <v>3.00005665632687</v>
      </c>
      <c r="AL5988">
        <v>90.325570243563803</v>
      </c>
      <c r="AM5988">
        <v>86.571051297280306</v>
      </c>
      <c r="AN5988">
        <v>0.99999997917318095</v>
      </c>
    </row>
    <row r="5989" spans="1:40" x14ac:dyDescent="0.25">
      <c r="A5989" t="str">
        <f>"20190312154041749"</f>
        <v>20190312154041749</v>
      </c>
      <c r="B5989" t="str">
        <f>"1552376441742540"</f>
        <v>1552376441742540</v>
      </c>
      <c r="C5989" t="s">
        <v>40</v>
      </c>
      <c r="D5989">
        <v>3.8261530000000001</v>
      </c>
      <c r="E5989">
        <v>0.49768380000000001</v>
      </c>
      <c r="F5989" t="s">
        <v>82</v>
      </c>
      <c r="G5989">
        <v>-538.71889999999996</v>
      </c>
      <c r="H5989">
        <v>6.9314399999999896</v>
      </c>
      <c r="I5989">
        <v>148.9051</v>
      </c>
      <c r="J5989">
        <v>-225.31700000000001</v>
      </c>
      <c r="K5989">
        <v>1.10643</v>
      </c>
      <c r="L5989">
        <v>140.19059999999999</v>
      </c>
      <c r="M5989">
        <v>-0.99972859999999997</v>
      </c>
      <c r="N5989">
        <v>0</v>
      </c>
      <c r="O5989">
        <v>-2.3300049999999999E-2</v>
      </c>
      <c r="P5989">
        <v>-0.99933539999999998</v>
      </c>
      <c r="Q5989">
        <v>-5.2515230000000001E-3</v>
      </c>
      <c r="R5989">
        <v>3.6073620000000001E-2</v>
      </c>
      <c r="S5989">
        <v>-2.9992070000000002</v>
      </c>
      <c r="T5989">
        <v>5.5701140000000003E-2</v>
      </c>
      <c r="U5989">
        <v>8.329773E-2</v>
      </c>
      <c r="V5989">
        <v>5.932287E-2</v>
      </c>
      <c r="W5989">
        <v>-5.713419E-3</v>
      </c>
      <c r="X5989">
        <v>0.99822250000000001</v>
      </c>
      <c r="Y5989">
        <v>5.1033269999999999E-2</v>
      </c>
      <c r="Z5989">
        <v>-9.0637430000000004E-4</v>
      </c>
      <c r="AA5989">
        <v>0.99869660000000005</v>
      </c>
      <c r="AB5989">
        <v>25</v>
      </c>
      <c r="AC5989">
        <v>-313.40190000000001</v>
      </c>
      <c r="AD5989">
        <v>5.82500999999999</v>
      </c>
      <c r="AE5989">
        <v>8.7145000000000099</v>
      </c>
      <c r="AF5989">
        <v>16.008887435740199</v>
      </c>
      <c r="AG5989">
        <v>5.82500999999999</v>
      </c>
      <c r="AH5989">
        <v>313.00572294307602</v>
      </c>
      <c r="AI5989">
        <v>88.935244867612596</v>
      </c>
      <c r="AJ5989">
        <v>87.072120179822306</v>
      </c>
      <c r="AK5989">
        <v>313.46897424394001</v>
      </c>
      <c r="AL5989">
        <v>90.327356575386901</v>
      </c>
      <c r="AM5989">
        <v>86.598997591468802</v>
      </c>
      <c r="AN5989">
        <v>1.0000000027839699</v>
      </c>
    </row>
    <row r="5990" spans="1:40" x14ac:dyDescent="0.25">
      <c r="A5990" t="str">
        <f>"20190312154041772"</f>
        <v>20190312154041772</v>
      </c>
      <c r="B5990" t="str">
        <f>"1552376441762059"</f>
        <v>1552376441762059</v>
      </c>
      <c r="C5990" t="s">
        <v>40</v>
      </c>
      <c r="D5990">
        <v>3.8239070000000002</v>
      </c>
      <c r="E5990">
        <v>0.4978399</v>
      </c>
      <c r="F5990" t="s">
        <v>82</v>
      </c>
      <c r="G5990">
        <v>-510.17599999999999</v>
      </c>
      <c r="H5990">
        <v>6.9064959999999997</v>
      </c>
      <c r="I5990">
        <v>149.05629999999999</v>
      </c>
      <c r="J5990">
        <v>-225.59190000000001</v>
      </c>
      <c r="K5990">
        <v>1.1064210000000001</v>
      </c>
      <c r="L5990">
        <v>140.18709999999999</v>
      </c>
      <c r="M5990">
        <v>-0.99979289999999998</v>
      </c>
      <c r="N5990">
        <v>0</v>
      </c>
      <c r="O5990">
        <v>-2.0346980000000001E-2</v>
      </c>
      <c r="P5990">
        <v>-0.99924669999999904</v>
      </c>
      <c r="Q5990">
        <v>-5.658153E-3</v>
      </c>
      <c r="R5990">
        <v>3.8392129999999997E-2</v>
      </c>
      <c r="S5990">
        <v>-2.9989620000000001</v>
      </c>
      <c r="T5990">
        <v>6.1062810000000002E-2</v>
      </c>
      <c r="U5990">
        <v>9.3338009999999999E-2</v>
      </c>
      <c r="V5990">
        <v>5.8688299999999999E-2</v>
      </c>
      <c r="W5990">
        <v>-6.1461140000000003E-3</v>
      </c>
      <c r="X5990">
        <v>0.99825750000000002</v>
      </c>
      <c r="Y5990">
        <v>5.1424200000000003E-2</v>
      </c>
      <c r="Z5990">
        <v>-9.3751070000000004E-4</v>
      </c>
      <c r="AA5990">
        <v>0.99867649999999997</v>
      </c>
      <c r="AB5990">
        <v>26</v>
      </c>
      <c r="AC5990">
        <v>-284.58409999999998</v>
      </c>
      <c r="AD5990">
        <v>5.8000749999999996</v>
      </c>
      <c r="AE5990">
        <v>8.8691999999999993</v>
      </c>
      <c r="AF5990">
        <v>14.651711206628001</v>
      </c>
      <c r="AG5990">
        <v>5.8000749999999996</v>
      </c>
      <c r="AH5990">
        <v>284.22677593356201</v>
      </c>
      <c r="AI5990">
        <v>88.8325054236808</v>
      </c>
      <c r="AJ5990">
        <v>87.049050708215901</v>
      </c>
      <c r="AK5990">
        <v>284.66326364474099</v>
      </c>
      <c r="AL5990">
        <v>90.352148587218394</v>
      </c>
      <c r="AM5990">
        <v>86.635411392975598</v>
      </c>
      <c r="AN5990">
        <v>1.00000006379021</v>
      </c>
    </row>
    <row r="5991" spans="1:40" x14ac:dyDescent="0.25">
      <c r="A5991" t="str">
        <f>"20190312154041795"</f>
        <v>20190312154041795</v>
      </c>
      <c r="B5991" t="str">
        <f>"1552376441782556"</f>
        <v>1552376441782556</v>
      </c>
      <c r="C5991" t="s">
        <v>40</v>
      </c>
      <c r="D5991">
        <v>3.8116940000000001</v>
      </c>
      <c r="E5991">
        <v>0.49775520000000001</v>
      </c>
      <c r="F5991" t="s">
        <v>82</v>
      </c>
      <c r="G5991">
        <v>-510.17610000000002</v>
      </c>
      <c r="H5991">
        <v>7.1585089999999996</v>
      </c>
      <c r="I5991">
        <v>149.83000000000001</v>
      </c>
      <c r="J5991">
        <v>-225.85230000000001</v>
      </c>
      <c r="K5991">
        <v>1.106427</v>
      </c>
      <c r="L5991">
        <v>140.18459999999999</v>
      </c>
      <c r="M5991">
        <v>-0.99984459999999997</v>
      </c>
      <c r="N5991">
        <v>0</v>
      </c>
      <c r="O5991">
        <v>-1.7633010000000001E-2</v>
      </c>
      <c r="P5991">
        <v>-0.99914999999999998</v>
      </c>
      <c r="Q5991">
        <v>-6.0359669999999997E-3</v>
      </c>
      <c r="R5991">
        <v>4.0782970000000002E-2</v>
      </c>
      <c r="S5991">
        <v>-2.9987029999999999</v>
      </c>
      <c r="T5991">
        <v>6.3772079999999995E-2</v>
      </c>
      <c r="U5991">
        <v>0.1016083</v>
      </c>
      <c r="V5991">
        <v>5.8365809999999997E-2</v>
      </c>
      <c r="W5991">
        <v>-6.5539509999999997E-3</v>
      </c>
      <c r="X5991">
        <v>0.99827370000000004</v>
      </c>
      <c r="Y5991">
        <v>5.1466650000000003E-2</v>
      </c>
      <c r="Z5991">
        <v>-9.2189720000000004E-4</v>
      </c>
      <c r="AA5991">
        <v>0.99867430000000001</v>
      </c>
      <c r="AB5991">
        <v>26</v>
      </c>
      <c r="AC5991">
        <v>-284.32380000000001</v>
      </c>
      <c r="AD5991">
        <v>6.0520820000000004</v>
      </c>
      <c r="AE5991">
        <v>9.64540000000002</v>
      </c>
      <c r="AF5991">
        <v>14.650753975088399</v>
      </c>
      <c r="AG5991">
        <v>6.0520820000000004</v>
      </c>
      <c r="AH5991">
        <v>283.98099707911803</v>
      </c>
      <c r="AI5991">
        <v>88.780742587480901</v>
      </c>
      <c r="AJ5991">
        <v>87.046693868754204</v>
      </c>
      <c r="AK5991">
        <v>284.42306339434498</v>
      </c>
      <c r="AL5991">
        <v>90.375516438177499</v>
      </c>
      <c r="AM5991">
        <v>86.653911732979793</v>
      </c>
      <c r="AN5991">
        <v>0.99999995108117701</v>
      </c>
    </row>
    <row r="5992" spans="1:40" x14ac:dyDescent="0.25">
      <c r="A5992" t="str">
        <f>"20190312154041815"</f>
        <v>20190312154041815</v>
      </c>
      <c r="B5992" t="str">
        <f>"1552376441811836"</f>
        <v>1552376441811836</v>
      </c>
      <c r="C5992" t="s">
        <v>40</v>
      </c>
      <c r="D5992">
        <v>3.8699140000000001</v>
      </c>
      <c r="E5992">
        <v>0.4966179</v>
      </c>
      <c r="F5992" t="s">
        <v>82</v>
      </c>
      <c r="G5992">
        <v>-510.17619999999999</v>
      </c>
      <c r="H5992">
        <v>7.3118819999999998</v>
      </c>
      <c r="I5992">
        <v>150.44130000000001</v>
      </c>
      <c r="J5992">
        <v>-226.0943</v>
      </c>
      <c r="K5992">
        <v>1.1064419999999999</v>
      </c>
      <c r="L5992">
        <v>140.18279999999999</v>
      </c>
      <c r="M5992">
        <v>-0.99988440000000001</v>
      </c>
      <c r="N5992">
        <v>0</v>
      </c>
      <c r="O5992">
        <v>-1.520342E-2</v>
      </c>
      <c r="P5992">
        <v>-0.99907069999999998</v>
      </c>
      <c r="Q5992">
        <v>-5.9483519999999996E-3</v>
      </c>
      <c r="R5992">
        <v>4.2692399999999998E-2</v>
      </c>
      <c r="S5992">
        <v>-2.998535</v>
      </c>
      <c r="T5992">
        <v>6.5444349999999998E-2</v>
      </c>
      <c r="U5992">
        <v>0.1081696</v>
      </c>
      <c r="V5992">
        <v>5.78486E-2</v>
      </c>
      <c r="W5992">
        <v>-6.4956240000000002E-3</v>
      </c>
      <c r="X5992">
        <v>0.99830419999999997</v>
      </c>
      <c r="Y5992">
        <v>5.1224249999999999E-2</v>
      </c>
      <c r="Z5992">
        <v>-8.9043499999999997E-4</v>
      </c>
      <c r="AA5992">
        <v>0.99868679999999999</v>
      </c>
      <c r="AB5992">
        <v>26</v>
      </c>
      <c r="AC5992">
        <v>-284.08190000000002</v>
      </c>
      <c r="AD5992">
        <v>6.2054400000000003</v>
      </c>
      <c r="AE5992">
        <v>10.2585</v>
      </c>
      <c r="AF5992">
        <v>14.569388088599201</v>
      </c>
      <c r="AG5992">
        <v>6.2054400000000003</v>
      </c>
      <c r="AH5992">
        <v>283.757882189356</v>
      </c>
      <c r="AI5992">
        <v>88.748858179173197</v>
      </c>
      <c r="AJ5992">
        <v>87.060761626395106</v>
      </c>
      <c r="AK5992">
        <v>284.19941987881998</v>
      </c>
      <c r="AL5992">
        <v>90.372174470875706</v>
      </c>
      <c r="AM5992">
        <v>86.683597789182102</v>
      </c>
      <c r="AN5992">
        <v>0.999999964695374</v>
      </c>
    </row>
    <row r="5993" spans="1:40" x14ac:dyDescent="0.25">
      <c r="A5993" t="str">
        <f>"20190312154041839"</f>
        <v>20190312154041839</v>
      </c>
      <c r="B5993" t="str">
        <f>"1552376441832332"</f>
        <v>1552376441832332</v>
      </c>
      <c r="C5993" t="s">
        <v>40</v>
      </c>
      <c r="D5993">
        <v>3.8416419999999998</v>
      </c>
      <c r="E5993">
        <v>0.496008</v>
      </c>
      <c r="F5993" t="s">
        <v>82</v>
      </c>
      <c r="G5993">
        <v>-510.17599999999999</v>
      </c>
      <c r="H5993">
        <v>6.6838579999999999</v>
      </c>
      <c r="I5993">
        <v>150.09209999999999</v>
      </c>
      <c r="J5993">
        <v>-226.36930000000001</v>
      </c>
      <c r="K5993">
        <v>1.1064659999999999</v>
      </c>
      <c r="L5993">
        <v>140.18129999999999</v>
      </c>
      <c r="M5993">
        <v>-0.99992099999999995</v>
      </c>
      <c r="N5993">
        <v>0</v>
      </c>
      <c r="O5993">
        <v>-1.256882E-2</v>
      </c>
      <c r="P5993">
        <v>-0.99895129999999999</v>
      </c>
      <c r="Q5993">
        <v>-5.560214E-3</v>
      </c>
      <c r="R5993">
        <v>4.544774E-2</v>
      </c>
      <c r="S5993">
        <v>-2.998672</v>
      </c>
      <c r="T5993">
        <v>5.8873769999999999E-2</v>
      </c>
      <c r="U5993">
        <v>0.104599</v>
      </c>
      <c r="V5993">
        <v>5.7973820000000002E-2</v>
      </c>
      <c r="W5993">
        <v>-6.142888E-3</v>
      </c>
      <c r="X5993">
        <v>0.99829920000000005</v>
      </c>
      <c r="Y5993">
        <v>4.7407459999999998E-2</v>
      </c>
      <c r="Z5993">
        <v>-7.1187270000000003E-4</v>
      </c>
      <c r="AA5993">
        <v>0.99887539999999997</v>
      </c>
      <c r="AB5993">
        <v>26</v>
      </c>
      <c r="AC5993">
        <v>-283.80669999999998</v>
      </c>
      <c r="AD5993">
        <v>5.5773919999999997</v>
      </c>
      <c r="AE5993">
        <v>9.9107999999999894</v>
      </c>
      <c r="AF5993">
        <v>13.4719359168668</v>
      </c>
      <c r="AG5993">
        <v>5.5773919999999997</v>
      </c>
      <c r="AH5993">
        <v>283.55033986939901</v>
      </c>
      <c r="AI5993">
        <v>88.874415433995395</v>
      </c>
      <c r="AJ5993">
        <v>87.279830277420601</v>
      </c>
      <c r="AK5993">
        <v>283.92498234379002</v>
      </c>
      <c r="AL5993">
        <v>90.351963771486695</v>
      </c>
      <c r="AM5993">
        <v>86.676418518701297</v>
      </c>
      <c r="AN5993">
        <v>0.99999999579950605</v>
      </c>
    </row>
    <row r="5994" spans="1:40" x14ac:dyDescent="0.25">
      <c r="A5994" t="str">
        <f>"20190312154041861"</f>
        <v>20190312154041861</v>
      </c>
      <c r="B5994" t="str">
        <f>"1552376441851855"</f>
        <v>1552376441851855</v>
      </c>
      <c r="C5994" t="s">
        <v>40</v>
      </c>
      <c r="D5994">
        <v>3.8358560000000002</v>
      </c>
      <c r="E5994">
        <v>0.49542140000000001</v>
      </c>
      <c r="F5994" t="s">
        <v>82</v>
      </c>
      <c r="G5994">
        <v>-510.17590000000001</v>
      </c>
      <c r="H5994">
        <v>6.39269</v>
      </c>
      <c r="I5994">
        <v>150.38470000000001</v>
      </c>
      <c r="J5994">
        <v>-226.6473</v>
      </c>
      <c r="K5994">
        <v>1.1065100000000001</v>
      </c>
      <c r="L5994">
        <v>140.18049999999999</v>
      </c>
      <c r="M5994">
        <v>-0.99994930000000004</v>
      </c>
      <c r="N5994">
        <v>0</v>
      </c>
      <c r="O5994">
        <v>-1.0064679999999999E-2</v>
      </c>
      <c r="P5994">
        <v>-0.99883750000000004</v>
      </c>
      <c r="Q5994">
        <v>-5.2866060000000001E-3</v>
      </c>
      <c r="R5994">
        <v>4.7916550000000002E-2</v>
      </c>
      <c r="S5994">
        <v>-2.998535</v>
      </c>
      <c r="T5994">
        <v>5.5851579999999998E-2</v>
      </c>
      <c r="U5994">
        <v>0.1078033</v>
      </c>
      <c r="V5994">
        <v>5.7943010000000003E-2</v>
      </c>
      <c r="W5994">
        <v>-5.8991360000000001E-3</v>
      </c>
      <c r="X5994">
        <v>0.99830249999999998</v>
      </c>
      <c r="Y5994">
        <v>4.5975450000000001E-2</v>
      </c>
      <c r="Z5994">
        <v>-6.1539760000000005E-4</v>
      </c>
      <c r="AA5994">
        <v>0.99894240000000001</v>
      </c>
      <c r="AB5994">
        <v>27</v>
      </c>
      <c r="AC5994">
        <v>-283.52859999999998</v>
      </c>
      <c r="AD5994">
        <v>5.2861799999999999</v>
      </c>
      <c r="AE5994">
        <v>10.2042</v>
      </c>
      <c r="AF5994">
        <v>13.0527765433133</v>
      </c>
      <c r="AG5994">
        <v>5.2861799999999999</v>
      </c>
      <c r="AH5994">
        <v>283.31318259366202</v>
      </c>
      <c r="AI5994">
        <v>88.932206972625707</v>
      </c>
      <c r="AJ5994">
        <v>87.362139926984796</v>
      </c>
      <c r="AK5994">
        <v>283.66296569314699</v>
      </c>
      <c r="AL5994">
        <v>90.337997543509204</v>
      </c>
      <c r="AM5994">
        <v>86.678191824992695</v>
      </c>
      <c r="AN5994">
        <v>1.0000000368598201</v>
      </c>
    </row>
    <row r="5995" spans="1:40" x14ac:dyDescent="0.25">
      <c r="A5995" t="str">
        <f>"20190312154041884"</f>
        <v>20190312154041884</v>
      </c>
      <c r="B5995" t="str">
        <f>"1552376441872348"</f>
        <v>1552376441872348</v>
      </c>
      <c r="C5995" t="s">
        <v>40</v>
      </c>
      <c r="D5995">
        <v>3.8829440000000002</v>
      </c>
      <c r="E5995">
        <v>0.4948689</v>
      </c>
      <c r="F5995" t="s">
        <v>82</v>
      </c>
      <c r="G5995">
        <v>-510.17579999999998</v>
      </c>
      <c r="H5995">
        <v>6.188307</v>
      </c>
      <c r="I5995">
        <v>150.61510000000001</v>
      </c>
      <c r="J5995">
        <v>-226.91890000000001</v>
      </c>
      <c r="K5995">
        <v>1.106557</v>
      </c>
      <c r="L5995">
        <v>140.18010000000001</v>
      </c>
      <c r="M5995">
        <v>-0.99996989999999997</v>
      </c>
      <c r="N5995">
        <v>0</v>
      </c>
      <c r="O5995">
        <v>-7.7453180000000002E-3</v>
      </c>
      <c r="P5995">
        <v>-0.99873080000000003</v>
      </c>
      <c r="Q5995">
        <v>-4.8874670000000004E-3</v>
      </c>
      <c r="R5995">
        <v>5.0129670000000001E-2</v>
      </c>
      <c r="S5995">
        <v>-2.998459</v>
      </c>
      <c r="T5995">
        <v>5.3742999999999902E-2</v>
      </c>
      <c r="U5995">
        <v>0.11035159999999999</v>
      </c>
      <c r="V5995">
        <v>5.7841990000000003E-2</v>
      </c>
      <c r="W5995">
        <v>-5.5226269999999996E-3</v>
      </c>
      <c r="X5995">
        <v>0.99831040000000004</v>
      </c>
      <c r="Y5995">
        <v>4.450846E-2</v>
      </c>
      <c r="Z5995">
        <v>-5.374771E-4</v>
      </c>
      <c r="AA5995">
        <v>0.99900880000000003</v>
      </c>
      <c r="AB5995">
        <v>27</v>
      </c>
      <c r="AC5995">
        <v>-283.25689999999997</v>
      </c>
      <c r="AD5995">
        <v>5.0817500000000004</v>
      </c>
      <c r="AE5995">
        <v>10.435</v>
      </c>
      <c r="AF5995">
        <v>12.624544177713499</v>
      </c>
      <c r="AG5995">
        <v>5.0817500000000004</v>
      </c>
      <c r="AH5995">
        <v>283.07659393097299</v>
      </c>
      <c r="AI5995">
        <v>88.972565967675294</v>
      </c>
      <c r="AJ5995">
        <v>87.446436302896998</v>
      </c>
      <c r="AK5995">
        <v>283.403530906583</v>
      </c>
      <c r="AL5995">
        <v>90.316424851138294</v>
      </c>
      <c r="AM5995">
        <v>86.683996436355898</v>
      </c>
      <c r="AN5995">
        <v>0.99999992498214696</v>
      </c>
    </row>
    <row r="5996" spans="1:40" x14ac:dyDescent="0.25">
      <c r="A5996" t="str">
        <f>"20190312154041904"</f>
        <v>20190312154041904</v>
      </c>
      <c r="B5996" t="str">
        <f>"1552376441891868"</f>
        <v>1552376441891868</v>
      </c>
      <c r="C5996" t="s">
        <v>40</v>
      </c>
      <c r="D5996">
        <v>3.8559540000000001</v>
      </c>
      <c r="E5996">
        <v>0.49433009999999999</v>
      </c>
      <c r="F5996" t="s">
        <v>82</v>
      </c>
      <c r="G5996">
        <v>-510.17579999999998</v>
      </c>
      <c r="H5996">
        <v>6.0409879999999996</v>
      </c>
      <c r="I5996">
        <v>150.8168</v>
      </c>
      <c r="J5996">
        <v>-227.17490000000001</v>
      </c>
      <c r="K5996">
        <v>1.1066100000000001</v>
      </c>
      <c r="L5996">
        <v>140.18029999999999</v>
      </c>
      <c r="M5996">
        <v>-0.99998399999999998</v>
      </c>
      <c r="N5996">
        <v>0</v>
      </c>
      <c r="O5996">
        <v>-5.6784359999999898E-3</v>
      </c>
      <c r="P5996">
        <v>-0.9986235</v>
      </c>
      <c r="Q5996">
        <v>-4.3460629999999998E-3</v>
      </c>
      <c r="R5996">
        <v>5.2273790000000001E-2</v>
      </c>
      <c r="S5996">
        <v>-2.9984130000000002</v>
      </c>
      <c r="T5996">
        <v>5.223382E-2</v>
      </c>
      <c r="U5996">
        <v>0.1125946</v>
      </c>
      <c r="V5996">
        <v>5.7924459999999997E-2</v>
      </c>
      <c r="W5996">
        <v>-4.9957159999999999E-3</v>
      </c>
      <c r="X5996">
        <v>0.99830850000000004</v>
      </c>
      <c r="Y5996">
        <v>4.3191390000000003E-2</v>
      </c>
      <c r="Z5996">
        <v>-4.749275E-4</v>
      </c>
      <c r="AA5996">
        <v>0.99906669999999997</v>
      </c>
      <c r="AB5996">
        <v>27</v>
      </c>
      <c r="AC5996">
        <v>-283.0009</v>
      </c>
      <c r="AD5996">
        <v>4.9343779999999997</v>
      </c>
      <c r="AE5996">
        <v>10.6365</v>
      </c>
      <c r="AF5996">
        <v>12.2396150875513</v>
      </c>
      <c r="AG5996">
        <v>4.9343779999999997</v>
      </c>
      <c r="AH5996">
        <v>282.85007044197602</v>
      </c>
      <c r="AI5996">
        <v>89.001498873989803</v>
      </c>
      <c r="AJ5996">
        <v>87.522217117525599</v>
      </c>
      <c r="AK5996">
        <v>283.15776276268502</v>
      </c>
      <c r="AL5996">
        <v>90.286234624265902</v>
      </c>
      <c r="AM5996">
        <v>86.679272809102102</v>
      </c>
      <c r="AN5996">
        <v>1.00000003070844</v>
      </c>
    </row>
    <row r="5997" spans="1:40" x14ac:dyDescent="0.25">
      <c r="A5997" t="str">
        <f>"20190312154041927"</f>
        <v>20190312154041927</v>
      </c>
      <c r="B5997" t="str">
        <f>"1552376441922124"</f>
        <v>1552376441922124</v>
      </c>
      <c r="C5997" t="s">
        <v>40</v>
      </c>
      <c r="D5997">
        <v>3.8677239999999999</v>
      </c>
      <c r="E5997">
        <v>0.49358879999999999</v>
      </c>
      <c r="F5997" t="s">
        <v>82</v>
      </c>
      <c r="G5997">
        <v>-510.17579999999998</v>
      </c>
      <c r="H5997">
        <v>6.011565</v>
      </c>
      <c r="I5997">
        <v>151.00049999999999</v>
      </c>
      <c r="J5997">
        <v>-227.45410000000001</v>
      </c>
      <c r="K5997">
        <v>1.1066750000000001</v>
      </c>
      <c r="L5997">
        <v>140.18090000000001</v>
      </c>
      <c r="M5997">
        <v>-0.99999360000000004</v>
      </c>
      <c r="N5997">
        <v>0</v>
      </c>
      <c r="O5997">
        <v>-3.562501E-3</v>
      </c>
      <c r="P5997">
        <v>-0.99850879999999997</v>
      </c>
      <c r="Q5997">
        <v>-3.653463E-3</v>
      </c>
      <c r="R5997">
        <v>5.4469940000000001E-2</v>
      </c>
      <c r="S5997">
        <v>-2.998367</v>
      </c>
      <c r="T5997">
        <v>5.1967979999999997E-2</v>
      </c>
      <c r="U5997">
        <v>0.1146393</v>
      </c>
      <c r="V5997">
        <v>5.8011159999999999E-2</v>
      </c>
      <c r="W5997">
        <v>-4.3088290000000001E-3</v>
      </c>
      <c r="X5997">
        <v>0.99830660000000004</v>
      </c>
      <c r="Y5997">
        <v>4.175885E-2</v>
      </c>
      <c r="Z5997">
        <v>-4.2344419999999999E-4</v>
      </c>
      <c r="AA5997">
        <v>0.9991276</v>
      </c>
      <c r="AB5997">
        <v>27</v>
      </c>
      <c r="AC5997">
        <v>-282.72169999999898</v>
      </c>
      <c r="AD5997">
        <v>4.90489</v>
      </c>
      <c r="AE5997">
        <v>10.8195999999999</v>
      </c>
      <c r="AF5997">
        <v>11.8231743789833</v>
      </c>
      <c r="AG5997">
        <v>4.90489</v>
      </c>
      <c r="AH5997">
        <v>282.59642908817102</v>
      </c>
      <c r="AI5997">
        <v>89.006513554471496</v>
      </c>
      <c r="AJ5997">
        <v>87.604275607627898</v>
      </c>
      <c r="AK5997">
        <v>282.886173454436</v>
      </c>
      <c r="AL5997">
        <v>90.246878489123404</v>
      </c>
      <c r="AM5997">
        <v>86.674307253757505</v>
      </c>
      <c r="AN5997">
        <v>0.99999996414772696</v>
      </c>
    </row>
    <row r="5998" spans="1:40" x14ac:dyDescent="0.25">
      <c r="A5998" t="str">
        <f>"20190312154041950"</f>
        <v>20190312154041950</v>
      </c>
      <c r="B5998" t="str">
        <f>"1552376441941643"</f>
        <v>1552376441941643</v>
      </c>
      <c r="C5998" t="s">
        <v>40</v>
      </c>
      <c r="D5998">
        <v>3.786969</v>
      </c>
      <c r="E5998">
        <v>0.4932531</v>
      </c>
      <c r="F5998" t="s">
        <v>82</v>
      </c>
      <c r="G5998">
        <v>-510.17579999999998</v>
      </c>
      <c r="H5998">
        <v>6.3662780000000003</v>
      </c>
      <c r="I5998">
        <v>151.0608</v>
      </c>
      <c r="J5998">
        <v>-227.7474</v>
      </c>
      <c r="K5998">
        <v>1.1067450000000001</v>
      </c>
      <c r="L5998">
        <v>140.18199999999999</v>
      </c>
      <c r="M5998">
        <v>-0.99999879999999997</v>
      </c>
      <c r="N5998">
        <v>0</v>
      </c>
      <c r="O5998">
        <v>-1.4888379999999999E-3</v>
      </c>
      <c r="P5998">
        <v>-0.99840490000000004</v>
      </c>
      <c r="Q5998">
        <v>-3.1976140000000001E-3</v>
      </c>
      <c r="R5998">
        <v>5.636919E-2</v>
      </c>
      <c r="S5998">
        <v>-2.9983979999999999</v>
      </c>
      <c r="T5998">
        <v>5.5781009999999999E-2</v>
      </c>
      <c r="U5998">
        <v>0.115387</v>
      </c>
      <c r="V5998">
        <v>5.7842459999999998E-2</v>
      </c>
      <c r="W5998">
        <v>-3.8467240000000002E-3</v>
      </c>
      <c r="X5998">
        <v>0.99831829999999999</v>
      </c>
      <c r="Y5998">
        <v>3.9934940000000002E-2</v>
      </c>
      <c r="Z5998">
        <v>-3.989827E-4</v>
      </c>
      <c r="AA5998">
        <v>0.99920220000000004</v>
      </c>
      <c r="AB5998">
        <v>27</v>
      </c>
      <c r="AC5998">
        <v>-282.42840000000001</v>
      </c>
      <c r="AD5998">
        <v>5.2595330000000002</v>
      </c>
      <c r="AE5998">
        <v>10.878799999999901</v>
      </c>
      <c r="AF5998">
        <v>11.2953666988353</v>
      </c>
      <c r="AG5998">
        <v>5.2595330000000002</v>
      </c>
      <c r="AH5998">
        <v>282.31412904182798</v>
      </c>
      <c r="AI5998">
        <v>88.933551922463494</v>
      </c>
      <c r="AJ5998">
        <v>87.708822292622798</v>
      </c>
      <c r="AK5998">
        <v>282.58895139917399</v>
      </c>
      <c r="AL5998">
        <v>90.220401596402695</v>
      </c>
      <c r="AM5998">
        <v>86.683995734227906</v>
      </c>
      <c r="AN5998">
        <v>0.99999998778963595</v>
      </c>
    </row>
    <row r="5999" spans="1:40" x14ac:dyDescent="0.25">
      <c r="A5999" t="str">
        <f>"20190312154041973"</f>
        <v>20190312154041973</v>
      </c>
      <c r="B5999" t="str">
        <f>"1552376441962140"</f>
        <v>1552376441962140</v>
      </c>
      <c r="C5999" t="s">
        <v>40</v>
      </c>
      <c r="D5999">
        <v>3.827137</v>
      </c>
      <c r="E5999">
        <v>0.49283680000000002</v>
      </c>
      <c r="F5999" t="s">
        <v>82</v>
      </c>
      <c r="G5999">
        <v>-510.17590000000001</v>
      </c>
      <c r="H5999">
        <v>6.6243699999999999</v>
      </c>
      <c r="I5999">
        <v>151.33850000000001</v>
      </c>
      <c r="J5999">
        <v>-228.03370000000001</v>
      </c>
      <c r="K5999">
        <v>1.1068169999999999</v>
      </c>
      <c r="L5999">
        <v>140.18350000000001</v>
      </c>
      <c r="M5999">
        <v>-0.99999990000000005</v>
      </c>
      <c r="N5999">
        <v>0</v>
      </c>
      <c r="O5999">
        <v>3.9040389999999998E-4</v>
      </c>
      <c r="P5999">
        <v>-0.99832100000000001</v>
      </c>
      <c r="Q5999">
        <v>-3.7272999999999998E-3</v>
      </c>
      <c r="R5999">
        <v>5.780416E-2</v>
      </c>
      <c r="S5999">
        <v>-2.998291</v>
      </c>
      <c r="T5999">
        <v>5.8576110000000001E-2</v>
      </c>
      <c r="U5999">
        <v>0.11843869999999999</v>
      </c>
      <c r="V5999">
        <v>5.7400069999999997E-2</v>
      </c>
      <c r="W5999">
        <v>-4.358509E-3</v>
      </c>
      <c r="X5999">
        <v>0.9983417</v>
      </c>
      <c r="Y5999">
        <v>3.9073820000000002E-2</v>
      </c>
      <c r="Z5999">
        <v>-3.7387420000000002E-4</v>
      </c>
      <c r="AA5999">
        <v>0.99923629999999997</v>
      </c>
      <c r="AB5999">
        <v>28</v>
      </c>
      <c r="AC5999">
        <v>-282.1422</v>
      </c>
      <c r="AD5999">
        <v>5.5175530000000004</v>
      </c>
      <c r="AE5999">
        <v>11.154999999999999</v>
      </c>
      <c r="AF5999">
        <v>11.0406340038534</v>
      </c>
      <c r="AG5999">
        <v>5.5175530000000004</v>
      </c>
      <c r="AH5999">
        <v>282.03884044570299</v>
      </c>
      <c r="AI5999">
        <v>88.880117609822605</v>
      </c>
      <c r="AJ5999">
        <v>87.758255898220099</v>
      </c>
      <c r="AK5999">
        <v>282.30877866313699</v>
      </c>
      <c r="AL5999">
        <v>90.249724971992094</v>
      </c>
      <c r="AM5999">
        <v>86.709378169666806</v>
      </c>
      <c r="AN5999">
        <v>0.999999957297798</v>
      </c>
    </row>
    <row r="6000" spans="1:40" x14ac:dyDescent="0.25">
      <c r="A6000" t="str">
        <f>"20190312154041996"</f>
        <v>20190312154041996</v>
      </c>
      <c r="B6000" t="str">
        <f>"1552376441992396"</f>
        <v>1552376441992396</v>
      </c>
      <c r="C6000" t="s">
        <v>40</v>
      </c>
      <c r="D6000">
        <v>3.7970609999999998</v>
      </c>
      <c r="E6000">
        <v>0.49218889999999998</v>
      </c>
      <c r="F6000" t="s">
        <v>82</v>
      </c>
      <c r="G6000">
        <v>-510.17590000000001</v>
      </c>
      <c r="H6000">
        <v>6.463292</v>
      </c>
      <c r="I6000">
        <v>151.41470000000001</v>
      </c>
      <c r="J6000">
        <v>-228.3135</v>
      </c>
      <c r="K6000">
        <v>1.106887</v>
      </c>
      <c r="L6000">
        <v>140.18530000000001</v>
      </c>
      <c r="M6000">
        <v>-0.9999979</v>
      </c>
      <c r="N6000">
        <v>0</v>
      </c>
      <c r="O6000">
        <v>2.0954720000000001E-3</v>
      </c>
      <c r="P6000">
        <v>-0.99825830000000004</v>
      </c>
      <c r="Q6000">
        <v>-4.6726880000000004E-3</v>
      </c>
      <c r="R6000">
        <v>5.881028E-2</v>
      </c>
      <c r="S6000">
        <v>-2.9983219999999999</v>
      </c>
      <c r="T6000">
        <v>5.6923630000000003E-2</v>
      </c>
      <c r="U6000">
        <v>0.11935419999999999</v>
      </c>
      <c r="V6000">
        <v>5.670182E-2</v>
      </c>
      <c r="W6000">
        <v>-5.2757300000000002E-3</v>
      </c>
      <c r="X6000">
        <v>0.99837719999999996</v>
      </c>
      <c r="Y6000">
        <v>3.7675220000000002E-2</v>
      </c>
      <c r="Z6000">
        <v>-3.1769829999999999E-4</v>
      </c>
      <c r="AA6000">
        <v>0.99929000000000001</v>
      </c>
      <c r="AB6000">
        <v>28</v>
      </c>
      <c r="AC6000">
        <v>-281.86239999999998</v>
      </c>
      <c r="AD6000">
        <v>5.3564049999999996</v>
      </c>
      <c r="AE6000">
        <v>11.229399999999901</v>
      </c>
      <c r="AF6000">
        <v>10.634906058695099</v>
      </c>
      <c r="AG6000">
        <v>5.3564049999999996</v>
      </c>
      <c r="AH6000">
        <v>281.78371067591098</v>
      </c>
      <c r="AI6000">
        <v>88.911774641981197</v>
      </c>
      <c r="AJ6000">
        <v>87.838604071627898</v>
      </c>
      <c r="AK6000">
        <v>282.035196214385</v>
      </c>
      <c r="AL6000">
        <v>90.302278470659701</v>
      </c>
      <c r="AM6000">
        <v>86.749436299895194</v>
      </c>
      <c r="AN6000">
        <v>0.99999998159909198</v>
      </c>
    </row>
    <row r="6001" spans="1:40" x14ac:dyDescent="0.25">
      <c r="A6001" t="str">
        <f>"20190312154042017"</f>
        <v>20190312154042017</v>
      </c>
      <c r="B6001" t="str">
        <f>"1552376442011916"</f>
        <v>1552376442011916</v>
      </c>
      <c r="C6001" t="s">
        <v>40</v>
      </c>
      <c r="D6001">
        <v>3.7552289999999999</v>
      </c>
      <c r="E6001">
        <v>0.44144559999999999</v>
      </c>
      <c r="F6001" t="s">
        <v>82</v>
      </c>
      <c r="G6001">
        <v>-510.17590000000001</v>
      </c>
      <c r="H6001">
        <v>6.58908</v>
      </c>
      <c r="I6001">
        <v>151.21360000000001</v>
      </c>
      <c r="J6001">
        <v>-228.58969999999999</v>
      </c>
      <c r="K6001">
        <v>1.106949</v>
      </c>
      <c r="L6001">
        <v>140.1875</v>
      </c>
      <c r="M6001">
        <v>-0.99999329999999997</v>
      </c>
      <c r="N6001">
        <v>0</v>
      </c>
      <c r="O6001">
        <v>3.6578859999999999E-3</v>
      </c>
      <c r="P6001">
        <v>-0.99817920000000004</v>
      </c>
      <c r="Q6001">
        <v>-5.3625740000000002E-3</v>
      </c>
      <c r="R6001">
        <v>6.0079059999999997E-2</v>
      </c>
      <c r="S6001">
        <v>-2.998596</v>
      </c>
      <c r="T6001">
        <v>5.8322789999999999E-2</v>
      </c>
      <c r="U6001">
        <v>0.11732480000000001</v>
      </c>
      <c r="V6001">
        <v>5.6410019999999998E-2</v>
      </c>
      <c r="W6001">
        <v>-5.9304379999999997E-3</v>
      </c>
      <c r="X6001">
        <v>0.99839009999999995</v>
      </c>
      <c r="Y6001">
        <v>3.5435319999999999E-2</v>
      </c>
      <c r="Z6001">
        <v>-2.7333400000000002E-4</v>
      </c>
      <c r="AA6001">
        <v>0.99937189999999998</v>
      </c>
      <c r="AB6001">
        <v>28</v>
      </c>
      <c r="AC6001">
        <v>-281.58620000000002</v>
      </c>
      <c r="AD6001">
        <v>5.4821309999999999</v>
      </c>
      <c r="AE6001">
        <v>11.0261</v>
      </c>
      <c r="AF6001">
        <v>9.9922344252546598</v>
      </c>
      <c r="AG6001">
        <v>5.4821309999999999</v>
      </c>
      <c r="AH6001">
        <v>281.518107315919</v>
      </c>
      <c r="AI6001">
        <v>88.885095953488602</v>
      </c>
      <c r="AJ6001">
        <v>87.967190728150101</v>
      </c>
      <c r="AK6001">
        <v>281.74872360997102</v>
      </c>
      <c r="AL6001">
        <v>90.339791050957501</v>
      </c>
      <c r="AM6001">
        <v>86.766170513374902</v>
      </c>
      <c r="AN6001">
        <v>1.00000002611464</v>
      </c>
    </row>
    <row r="6002" spans="1:40" x14ac:dyDescent="0.25">
      <c r="A6002" t="str">
        <f>"20190312154042040"</f>
        <v>20190312154042040</v>
      </c>
      <c r="B6002" t="str">
        <f>"1552376442032412"</f>
        <v>1552376442032412</v>
      </c>
      <c r="C6002" t="s">
        <v>40</v>
      </c>
      <c r="D6002">
        <v>3.6583549999999998</v>
      </c>
      <c r="E6002">
        <v>0.42415900000000001</v>
      </c>
      <c r="F6002" t="s">
        <v>70</v>
      </c>
      <c r="G6002">
        <v>-450.29239999999999</v>
      </c>
      <c r="H6002">
        <v>9.9848909999999993</v>
      </c>
      <c r="I6002">
        <v>119.63030000000001</v>
      </c>
      <c r="J6002">
        <v>-228.88249999999999</v>
      </c>
      <c r="K6002">
        <v>1.107011</v>
      </c>
      <c r="L6002">
        <v>140.1901</v>
      </c>
      <c r="M6002">
        <v>-0.99998659999999995</v>
      </c>
      <c r="N6002">
        <v>0</v>
      </c>
      <c r="O6002">
        <v>5.1894690000000004E-3</v>
      </c>
      <c r="P6002">
        <v>-0.99811620000000001</v>
      </c>
      <c r="Q6002">
        <v>-6.2499309999999898E-3</v>
      </c>
      <c r="R6002">
        <v>6.1036119999999999E-2</v>
      </c>
      <c r="S6002">
        <v>-3.0229949999999999</v>
      </c>
      <c r="T6002">
        <v>0.1210542</v>
      </c>
      <c r="U6002">
        <v>-0.280304</v>
      </c>
      <c r="V6002">
        <v>5.5836820000000002E-2</v>
      </c>
      <c r="W6002">
        <v>-6.7714969999999996E-3</v>
      </c>
      <c r="X6002">
        <v>0.998417</v>
      </c>
      <c r="Y6002">
        <v>-9.7412410000000005E-2</v>
      </c>
      <c r="Z6002">
        <v>2.1527579999999998E-3</v>
      </c>
      <c r="AA6002">
        <v>0.99524179999999995</v>
      </c>
      <c r="AB6002">
        <v>28</v>
      </c>
      <c r="AC6002">
        <v>-221.40989999999999</v>
      </c>
      <c r="AD6002">
        <v>8.8778799999999993</v>
      </c>
      <c r="AE6002">
        <v>-20.559799999999999</v>
      </c>
      <c r="AF6002">
        <v>-21.6739739875756</v>
      </c>
      <c r="AG6002">
        <v>8.8778799999999993</v>
      </c>
      <c r="AH6002">
        <v>220.94802702834099</v>
      </c>
      <c r="AI6002">
        <v>87.710024229634101</v>
      </c>
      <c r="AJ6002">
        <v>95.602524944763502</v>
      </c>
      <c r="AK6002">
        <v>222.18597739152</v>
      </c>
      <c r="AL6002">
        <v>90.387981142903996</v>
      </c>
      <c r="AM6002">
        <v>86.799047855319898</v>
      </c>
      <c r="AN6002">
        <v>1.0000000547641601</v>
      </c>
    </row>
    <row r="6003" spans="1:40" x14ac:dyDescent="0.25">
      <c r="A6003" t="str">
        <f>"20190312154042073"</f>
        <v>20190312154042073</v>
      </c>
      <c r="B6003" t="str">
        <f>"1552376442061692"</f>
        <v>1552376442061692</v>
      </c>
      <c r="C6003" t="s">
        <v>40</v>
      </c>
      <c r="D6003">
        <v>3.7187459999999999</v>
      </c>
      <c r="E6003">
        <v>0.41415190000000002</v>
      </c>
      <c r="F6003" t="s">
        <v>83</v>
      </c>
      <c r="G6003">
        <v>-336.62040000000002</v>
      </c>
      <c r="H6003">
        <v>5.6478840000000003</v>
      </c>
      <c r="I6003">
        <v>125.45229999999999</v>
      </c>
      <c r="J6003">
        <v>-229.31139999999999</v>
      </c>
      <c r="K6003">
        <v>1.107092</v>
      </c>
      <c r="L6003">
        <v>140.19460000000001</v>
      </c>
      <c r="M6003">
        <v>-0.99997360000000002</v>
      </c>
      <c r="N6003">
        <v>0</v>
      </c>
      <c r="O6003">
        <v>7.2763810000000002E-3</v>
      </c>
      <c r="P6003">
        <v>-0.99797150000000001</v>
      </c>
      <c r="Q6003">
        <v>-7.1882079999999998E-3</v>
      </c>
      <c r="R6003">
        <v>6.3258499999999995E-2</v>
      </c>
      <c r="S6003">
        <v>-3.0318299999999998</v>
      </c>
      <c r="T6003">
        <v>0.12778390000000001</v>
      </c>
      <c r="U6003">
        <v>-0.41473389999999999</v>
      </c>
      <c r="V6003">
        <v>5.5975619999999997E-2</v>
      </c>
      <c r="W6003">
        <v>-7.633684E-3</v>
      </c>
      <c r="X6003">
        <v>0.99840300000000004</v>
      </c>
      <c r="Y6003">
        <v>-0.14260610000000001</v>
      </c>
      <c r="Z6003">
        <v>3.295166E-3</v>
      </c>
      <c r="AA6003">
        <v>0.98977400000000004</v>
      </c>
      <c r="AB6003">
        <v>29</v>
      </c>
      <c r="AC6003">
        <v>-107.309</v>
      </c>
      <c r="AD6003">
        <v>4.5407919999999997</v>
      </c>
      <c r="AE6003">
        <v>-14.7423</v>
      </c>
      <c r="AF6003">
        <v>-15.4954990501907</v>
      </c>
      <c r="AG6003">
        <v>4.5407919999999997</v>
      </c>
      <c r="AH6003">
        <v>107.010827805953</v>
      </c>
      <c r="AI6003">
        <v>87.595275345359397</v>
      </c>
      <c r="AJ6003">
        <v>98.239337402857103</v>
      </c>
      <c r="AK6003">
        <v>108.222209137113</v>
      </c>
      <c r="AL6003">
        <v>90.437382102879894</v>
      </c>
      <c r="AM6003">
        <v>86.791062586223902</v>
      </c>
      <c r="AN6003">
        <v>1.00000004678739</v>
      </c>
    </row>
    <row r="6004" spans="1:40" x14ac:dyDescent="0.25">
      <c r="A6004" t="str">
        <f>"20190312154042095"</f>
        <v>20190312154042095</v>
      </c>
      <c r="B6004" t="str">
        <f>"1552376442091949"</f>
        <v>1552376442091949</v>
      </c>
      <c r="C6004" t="s">
        <v>40</v>
      </c>
      <c r="D6004">
        <v>3.6537829999999998</v>
      </c>
      <c r="E6004">
        <v>0.41022639999999999</v>
      </c>
      <c r="F6004" t="s">
        <v>75</v>
      </c>
      <c r="G6004">
        <v>-360.8415</v>
      </c>
      <c r="H6004">
        <v>4.863607</v>
      </c>
      <c r="I6004">
        <v>119.0014</v>
      </c>
      <c r="J6004">
        <v>-229.60249999999999</v>
      </c>
      <c r="K6004">
        <v>1.1071359999999999</v>
      </c>
      <c r="L6004">
        <v>140.19799999999901</v>
      </c>
      <c r="M6004">
        <v>-0.99996309999999999</v>
      </c>
      <c r="N6004">
        <v>0</v>
      </c>
      <c r="O6004">
        <v>8.6066690000000008E-3</v>
      </c>
      <c r="P6004">
        <v>-0.99790690000000004</v>
      </c>
      <c r="Q6004">
        <v>-7.8064319999999899E-3</v>
      </c>
      <c r="R6004">
        <v>6.4196249999999996E-2</v>
      </c>
      <c r="S6004">
        <v>-3.0377809999999998</v>
      </c>
      <c r="T6004">
        <v>8.675969E-2</v>
      </c>
      <c r="U6004">
        <v>-0.4894714</v>
      </c>
      <c r="V6004">
        <v>5.5584700000000001E-2</v>
      </c>
      <c r="W6004">
        <v>-8.1923619999999999E-3</v>
      </c>
      <c r="X6004">
        <v>0.99842039999999999</v>
      </c>
      <c r="Y6004">
        <v>-0.16749739999999999</v>
      </c>
      <c r="Z6004">
        <v>2.6203039999999999E-3</v>
      </c>
      <c r="AA6004">
        <v>0.98586910000000005</v>
      </c>
      <c r="AB6004">
        <v>29</v>
      </c>
      <c r="AC6004">
        <v>-131.239</v>
      </c>
      <c r="AD6004">
        <v>3.7564709999999999</v>
      </c>
      <c r="AE6004">
        <v>-21.196599999999901</v>
      </c>
      <c r="AF6004">
        <v>-22.307533831319599</v>
      </c>
      <c r="AG6004">
        <v>3.7564709999999999</v>
      </c>
      <c r="AH6004">
        <v>130.94715164297</v>
      </c>
      <c r="AI6004">
        <v>88.380135140016606</v>
      </c>
      <c r="AJ6004">
        <v>99.667826369783398</v>
      </c>
      <c r="AK6004">
        <v>132.88677008421899</v>
      </c>
      <c r="AL6004">
        <v>90.469393001330403</v>
      </c>
      <c r="AM6004">
        <v>86.813482091661299</v>
      </c>
      <c r="AN6004">
        <v>1.00000003440269</v>
      </c>
    </row>
    <row r="6005" spans="1:40" x14ac:dyDescent="0.25">
      <c r="A6005" t="str">
        <f>"20190312154042119"</f>
        <v>20190312154042119</v>
      </c>
      <c r="B6005" t="str">
        <f>"1552376442112443"</f>
        <v>1552376442112443</v>
      </c>
      <c r="C6005" t="s">
        <v>40</v>
      </c>
      <c r="D6005">
        <v>3.6221939999999999</v>
      </c>
      <c r="E6005">
        <v>0.40840929999999998</v>
      </c>
      <c r="F6005" t="s">
        <v>75</v>
      </c>
      <c r="G6005">
        <v>-353.98020000000002</v>
      </c>
      <c r="H6005">
        <v>4.3896709999999999</v>
      </c>
      <c r="I6005">
        <v>119.0012</v>
      </c>
      <c r="J6005">
        <v>-229.9008</v>
      </c>
      <c r="K6005">
        <v>1.1071740000000001</v>
      </c>
      <c r="L6005">
        <v>140.20179999999999</v>
      </c>
      <c r="M6005">
        <v>-0.99995109999999998</v>
      </c>
      <c r="N6005">
        <v>0</v>
      </c>
      <c r="O6005">
        <v>9.9059969999999997E-3</v>
      </c>
      <c r="P6005">
        <v>-0.99784799999999996</v>
      </c>
      <c r="Q6005">
        <v>-8.3415139999999995E-3</v>
      </c>
      <c r="R6005">
        <v>6.5039050000000001E-2</v>
      </c>
      <c r="S6005">
        <v>-3.0402529999999999</v>
      </c>
      <c r="T6005">
        <v>8.0237509999999998E-2</v>
      </c>
      <c r="U6005">
        <v>-0.51812740000000002</v>
      </c>
      <c r="V6005">
        <v>5.5130169999999999E-2</v>
      </c>
      <c r="W6005">
        <v>-8.6612169999999902E-3</v>
      </c>
      <c r="X6005">
        <v>0.99844160000000004</v>
      </c>
      <c r="Y6005">
        <v>-0.17769370000000001</v>
      </c>
      <c r="Z6005">
        <v>2.5872149999999999E-3</v>
      </c>
      <c r="AA6005">
        <v>0.98408249999999997</v>
      </c>
      <c r="AB6005">
        <v>29</v>
      </c>
      <c r="AC6005">
        <v>-124.07940000000001</v>
      </c>
      <c r="AD6005">
        <v>3.2824970000000002</v>
      </c>
      <c r="AE6005">
        <v>-21.200599999999898</v>
      </c>
      <c r="AF6005">
        <v>-22.413448488865701</v>
      </c>
      <c r="AG6005">
        <v>3.2824970000000002</v>
      </c>
      <c r="AH6005">
        <v>123.77912852841401</v>
      </c>
      <c r="AI6005">
        <v>88.505226837711305</v>
      </c>
      <c r="AJ6005">
        <v>100.263686497565</v>
      </c>
      <c r="AK6005">
        <v>125.834852560694</v>
      </c>
      <c r="AL6005">
        <v>90.496257389006402</v>
      </c>
      <c r="AM6005">
        <v>86.839552975447106</v>
      </c>
      <c r="AN6005">
        <v>0.99999999046735499</v>
      </c>
    </row>
    <row r="6006" spans="1:40" x14ac:dyDescent="0.25">
      <c r="A6006" t="str">
        <f>"20190312154042140"</f>
        <v>20190312154042140</v>
      </c>
      <c r="B6006" t="str">
        <f>"1552376442131967"</f>
        <v>1552376442131967</v>
      </c>
      <c r="C6006" t="s">
        <v>40</v>
      </c>
      <c r="D6006">
        <v>3.6318570000000001</v>
      </c>
      <c r="E6006">
        <v>0.40736610000000001</v>
      </c>
      <c r="F6006" t="s">
        <v>75</v>
      </c>
      <c r="G6006">
        <v>-347.19619999999998</v>
      </c>
      <c r="H6006">
        <v>4.3543960000000004</v>
      </c>
      <c r="I6006">
        <v>119.7702</v>
      </c>
      <c r="J6006">
        <v>-230.19319999999999</v>
      </c>
      <c r="K6006">
        <v>1.1071949999999999</v>
      </c>
      <c r="L6006">
        <v>140.20590000000001</v>
      </c>
      <c r="M6006">
        <v>-0.99993810000000005</v>
      </c>
      <c r="N6006">
        <v>0</v>
      </c>
      <c r="O6006">
        <v>1.113067E-2</v>
      </c>
      <c r="P6006">
        <v>-0.99783060000000001</v>
      </c>
      <c r="Q6006">
        <v>-8.6005439999999999E-3</v>
      </c>
      <c r="R6006">
        <v>6.5271659999999995E-2</v>
      </c>
      <c r="S6006">
        <v>-3.0417019999999999</v>
      </c>
      <c r="T6006">
        <v>8.4207180000000006E-2</v>
      </c>
      <c r="U6006">
        <v>-0.52983089999999999</v>
      </c>
      <c r="V6006">
        <v>5.4140099999999997E-2</v>
      </c>
      <c r="W6006">
        <v>-8.8496519999999995E-3</v>
      </c>
      <c r="X6006">
        <v>0.99849410000000005</v>
      </c>
      <c r="Y6006">
        <v>-0.18248790000000001</v>
      </c>
      <c r="Z6006">
        <v>2.8125260000000001E-3</v>
      </c>
      <c r="AA6006">
        <v>0.98320410000000003</v>
      </c>
      <c r="AB6006">
        <v>29</v>
      </c>
      <c r="AC6006">
        <v>-117.003</v>
      </c>
      <c r="AD6006">
        <v>3.247201</v>
      </c>
      <c r="AE6006">
        <v>-20.435700000000001</v>
      </c>
      <c r="AF6006">
        <v>-21.7205210800103</v>
      </c>
      <c r="AG6006">
        <v>3.247201</v>
      </c>
      <c r="AH6006">
        <v>116.681077295694</v>
      </c>
      <c r="AI6006">
        <v>88.432795374036402</v>
      </c>
      <c r="AJ6006">
        <v>100.545075369209</v>
      </c>
      <c r="AK6006">
        <v>118.72994209215</v>
      </c>
      <c r="AL6006">
        <v>90.507054344951896</v>
      </c>
      <c r="AM6006">
        <v>86.896361604920898</v>
      </c>
      <c r="AN6006">
        <v>0.99999996725166995</v>
      </c>
    </row>
    <row r="6007" spans="1:40" x14ac:dyDescent="0.25">
      <c r="A6007" t="str">
        <f>"20190312154042162"</f>
        <v>20190312154042162</v>
      </c>
      <c r="B6007" t="str">
        <f>"1552376442152460"</f>
        <v>1552376442152460</v>
      </c>
      <c r="C6007" t="s">
        <v>40</v>
      </c>
      <c r="D6007">
        <v>3.4642080000000002</v>
      </c>
      <c r="E6007">
        <v>0.405829</v>
      </c>
      <c r="F6007" t="s">
        <v>75</v>
      </c>
      <c r="G6007">
        <v>-345.8537</v>
      </c>
      <c r="H6007">
        <v>4.3050860000000002</v>
      </c>
      <c r="I6007">
        <v>119.7702</v>
      </c>
      <c r="J6007">
        <v>-230.49100000000001</v>
      </c>
      <c r="K6007">
        <v>1.1072090000000001</v>
      </c>
      <c r="L6007">
        <v>140.21039999999999</v>
      </c>
      <c r="M6007">
        <v>-0.99992380000000003</v>
      </c>
      <c r="N6007">
        <v>0</v>
      </c>
      <c r="O6007">
        <v>1.234584E-2</v>
      </c>
      <c r="P6007">
        <v>-0.9978051</v>
      </c>
      <c r="Q6007">
        <v>-9.0316460000000008E-3</v>
      </c>
      <c r="R6007">
        <v>6.5601300000000001E-2</v>
      </c>
      <c r="S6007">
        <v>-3.0424039999999999</v>
      </c>
      <c r="T6007">
        <v>8.4119559999999996E-2</v>
      </c>
      <c r="U6007">
        <v>-0.53755189999999997</v>
      </c>
      <c r="V6007">
        <v>5.3255869999999997E-2</v>
      </c>
      <c r="W6007">
        <v>-9.2057100000000006E-3</v>
      </c>
      <c r="X6007">
        <v>0.9985385</v>
      </c>
      <c r="Y6007">
        <v>-0.18606230000000001</v>
      </c>
      <c r="Z6007">
        <v>2.8907270000000001E-3</v>
      </c>
      <c r="AA6007">
        <v>0.98253369999999995</v>
      </c>
      <c r="AB6007">
        <v>30</v>
      </c>
      <c r="AC6007">
        <v>-115.3627</v>
      </c>
      <c r="AD6007">
        <v>3.1978770000000001</v>
      </c>
      <c r="AE6007">
        <v>-20.440199999999901</v>
      </c>
      <c r="AF6007">
        <v>-21.846615433945399</v>
      </c>
      <c r="AG6007">
        <v>3.1978770000000001</v>
      </c>
      <c r="AH6007">
        <v>115.01586725660501</v>
      </c>
      <c r="AI6007">
        <v>88.435331842319897</v>
      </c>
      <c r="AJ6007">
        <v>100.754890260933</v>
      </c>
      <c r="AK6007">
        <v>117.11597134471</v>
      </c>
      <c r="AL6007">
        <v>90.527455762345397</v>
      </c>
      <c r="AM6007">
        <v>86.947089830378303</v>
      </c>
      <c r="AN6007">
        <v>1.00000003438415</v>
      </c>
    </row>
    <row r="6008" spans="1:40" x14ac:dyDescent="0.25">
      <c r="A6008" t="str">
        <f>"20190312154042319"</f>
        <v>20190312154042319</v>
      </c>
      <c r="B6008" t="str">
        <f>"1552376442312524"</f>
        <v>1552376442312524</v>
      </c>
      <c r="C6008" t="s">
        <v>40</v>
      </c>
      <c r="D6008">
        <v>2.7937630000000002</v>
      </c>
      <c r="E6008">
        <v>0.405829</v>
      </c>
      <c r="F6008" t="s">
        <v>75</v>
      </c>
      <c r="G6008">
        <v>-345.36520000000002</v>
      </c>
      <c r="H6008">
        <v>4.2440259999999999</v>
      </c>
      <c r="I6008">
        <v>119.49420000000001</v>
      </c>
      <c r="J6008">
        <v>-232.6378</v>
      </c>
      <c r="K6008">
        <v>1.1072029999999999</v>
      </c>
      <c r="L6008">
        <v>140.2525</v>
      </c>
      <c r="M6008">
        <v>-0.99978409999999995</v>
      </c>
      <c r="N6008">
        <v>0</v>
      </c>
      <c r="O6008">
        <v>2.0771870000000001E-2</v>
      </c>
      <c r="P6008">
        <v>-0.99757269999999998</v>
      </c>
      <c r="Q6008">
        <v>-8.5258690000000002E-3</v>
      </c>
      <c r="R6008">
        <v>6.9108580000000003E-2</v>
      </c>
      <c r="S6008">
        <v>-3.0434269999999999</v>
      </c>
      <c r="T6008">
        <v>8.3105799999999994E-2</v>
      </c>
      <c r="U6008">
        <v>-0.54884339999999998</v>
      </c>
      <c r="V6008">
        <v>4.835242E-2</v>
      </c>
      <c r="W6008">
        <v>-8.0924389999999999E-3</v>
      </c>
      <c r="X6008">
        <v>0.9987975</v>
      </c>
      <c r="Y6008">
        <v>-0.19779939999999999</v>
      </c>
      <c r="Z6008">
        <v>3.2413260000000001E-3</v>
      </c>
      <c r="AA6008">
        <v>0.98023720000000003</v>
      </c>
      <c r="AB6008">
        <v>31</v>
      </c>
      <c r="AC6008">
        <v>-112.7274</v>
      </c>
      <c r="AD6008">
        <v>3.1368230000000001</v>
      </c>
      <c r="AE6008">
        <v>-20.758299999999899</v>
      </c>
      <c r="AF6008">
        <v>-23.0780966799522</v>
      </c>
      <c r="AG6008">
        <v>3.1368230000000001</v>
      </c>
      <c r="AH6008">
        <v>112.187869004015</v>
      </c>
      <c r="AI6008">
        <v>88.431233063753098</v>
      </c>
      <c r="AJ6008">
        <v>101.62412591392101</v>
      </c>
      <c r="AK6008">
        <v>114.579911662406</v>
      </c>
      <c r="AL6008">
        <v>90.463667686985801</v>
      </c>
      <c r="AM6008">
        <v>87.228438782875401</v>
      </c>
      <c r="AN6008">
        <v>0.99999994504753598</v>
      </c>
    </row>
    <row r="6009" spans="1:40" x14ac:dyDescent="0.25">
      <c r="A6009" t="str">
        <f>"20190312154042340"</f>
        <v>20190312154042340</v>
      </c>
      <c r="B6009" t="str">
        <f>"1552376442332047"</f>
        <v>1552376442332047</v>
      </c>
      <c r="C6009" t="s">
        <v>40</v>
      </c>
      <c r="D6009">
        <v>3.8160409999999998</v>
      </c>
      <c r="E6009">
        <v>0.49948300000000001</v>
      </c>
      <c r="F6009" t="s">
        <v>75</v>
      </c>
      <c r="G6009">
        <v>-352.86500000000001</v>
      </c>
      <c r="H6009">
        <v>4.3987749999999997</v>
      </c>
      <c r="I6009">
        <v>119.0012</v>
      </c>
      <c r="J6009">
        <v>-232.9537</v>
      </c>
      <c r="K6009">
        <v>1.1071959999999901</v>
      </c>
      <c r="L6009">
        <v>140.26009999999999</v>
      </c>
      <c r="M6009">
        <v>-0.99975789999999998</v>
      </c>
      <c r="N6009">
        <v>0</v>
      </c>
      <c r="O6009">
        <v>2.1991569999999998E-2</v>
      </c>
      <c r="P6009">
        <v>-0.99750079999999997</v>
      </c>
      <c r="Q6009">
        <v>-8.9497399999999994E-3</v>
      </c>
      <c r="R6009">
        <v>7.0086460000000003E-2</v>
      </c>
      <c r="S6009">
        <v>-3.0453030000000001</v>
      </c>
      <c r="T6009">
        <v>8.3374500000000004E-2</v>
      </c>
      <c r="U6009">
        <v>-0.53828430000000005</v>
      </c>
      <c r="V6009">
        <v>4.8112130000000003E-2</v>
      </c>
      <c r="W6009">
        <v>-8.4211960000000006E-3</v>
      </c>
      <c r="X6009">
        <v>0.99880639999999998</v>
      </c>
      <c r="Y6009">
        <v>-0.1955953</v>
      </c>
      <c r="Z6009">
        <v>3.2540289999999999E-3</v>
      </c>
      <c r="AA6009">
        <v>0.98067930000000003</v>
      </c>
      <c r="AB6009">
        <v>31</v>
      </c>
      <c r="AC6009">
        <v>-119.9113</v>
      </c>
      <c r="AD6009">
        <v>3.291579</v>
      </c>
      <c r="AE6009">
        <v>-21.258900000000001</v>
      </c>
      <c r="AF6009">
        <v>-23.873356481773602</v>
      </c>
      <c r="AG6009">
        <v>3.291579</v>
      </c>
      <c r="AH6009">
        <v>119.327609063333</v>
      </c>
      <c r="AI6009">
        <v>88.450620006064995</v>
      </c>
      <c r="AJ6009">
        <v>101.313549599119</v>
      </c>
      <c r="AK6009">
        <v>121.736805965947</v>
      </c>
      <c r="AL6009">
        <v>90.482504712010893</v>
      </c>
      <c r="AM6009">
        <v>87.242215427707805</v>
      </c>
      <c r="AN6009">
        <v>0.99999995913808204</v>
      </c>
    </row>
    <row r="6010" spans="1:40" x14ac:dyDescent="0.25">
      <c r="A6010" t="str">
        <f>"20190312154042363"</f>
        <v>20190312154042363</v>
      </c>
      <c r="B6010" t="str">
        <f>"1552376442351564"</f>
        <v>1552376442351564</v>
      </c>
      <c r="C6010" t="s">
        <v>40</v>
      </c>
      <c r="D6010">
        <v>3.8111009999999998</v>
      </c>
      <c r="E6010">
        <v>0.50551689999999905</v>
      </c>
      <c r="F6010" t="s">
        <v>41</v>
      </c>
      <c r="G6010">
        <v>-233.875</v>
      </c>
      <c r="H6010">
        <v>0.97352550000000004</v>
      </c>
      <c r="I6010">
        <v>140.31909999999999</v>
      </c>
      <c r="J6010">
        <v>-233.2628</v>
      </c>
      <c r="K6010">
        <v>1.1071930000000001</v>
      </c>
      <c r="L6010">
        <v>140.2681</v>
      </c>
      <c r="M6010">
        <v>-0.99973120000000004</v>
      </c>
      <c r="N6010">
        <v>0</v>
      </c>
      <c r="O6010">
        <v>2.3178009999999999E-2</v>
      </c>
      <c r="P6010">
        <v>-0.99743999999999999</v>
      </c>
      <c r="Q6010">
        <v>-9.9688999999999993E-3</v>
      </c>
      <c r="R6010">
        <v>7.0812760000000002E-2</v>
      </c>
      <c r="S6010">
        <v>-2.9902340000000001</v>
      </c>
      <c r="T6010">
        <v>-0.43390699999999999</v>
      </c>
      <c r="U6010">
        <v>0.19081119999999999</v>
      </c>
      <c r="V6010">
        <v>4.7651880000000001E-2</v>
      </c>
      <c r="W6010">
        <v>-9.3456089999999995E-3</v>
      </c>
      <c r="X6010">
        <v>0.99882029999999999</v>
      </c>
      <c r="Y6010">
        <v>4.03547E-2</v>
      </c>
      <c r="Z6010">
        <v>-4.3187990000000001E-4</v>
      </c>
      <c r="AA6010">
        <v>0.99918530000000005</v>
      </c>
      <c r="AB6010">
        <v>31</v>
      </c>
      <c r="AC6010">
        <v>-0.61220000000000097</v>
      </c>
      <c r="AD6010">
        <v>-0.13366749999999999</v>
      </c>
      <c r="AE6010">
        <v>5.0999999999987701E-2</v>
      </c>
      <c r="AF6010">
        <v>3.51333779023522E-2</v>
      </c>
      <c r="AG6010">
        <v>-0.13366749999999999</v>
      </c>
      <c r="AH6010">
        <v>0.58549801871648299</v>
      </c>
      <c r="AI6010">
        <v>102.83773858488399</v>
      </c>
      <c r="AJ6010">
        <v>86.566028676612802</v>
      </c>
      <c r="AK6010">
        <v>0.60158896658765804</v>
      </c>
      <c r="AL6010">
        <v>90.535471738551493</v>
      </c>
      <c r="AM6010">
        <v>87.268594740505904</v>
      </c>
      <c r="AN6010">
        <v>1.0000000168836001</v>
      </c>
    </row>
    <row r="6011" spans="1:40" x14ac:dyDescent="0.25">
      <c r="A6011" t="str">
        <f>"20190312154042389"</f>
        <v>20190312154042389</v>
      </c>
      <c r="B6011" t="str">
        <f>"1552376442381820"</f>
        <v>1552376442381820</v>
      </c>
      <c r="C6011" t="s">
        <v>40</v>
      </c>
      <c r="D6011">
        <v>3.7748360000000001</v>
      </c>
      <c r="E6011">
        <v>0.50875300000000001</v>
      </c>
      <c r="F6011" t="s">
        <v>41</v>
      </c>
      <c r="G6011">
        <v>-234.18029999999999</v>
      </c>
      <c r="H6011">
        <v>1.0177240000000001</v>
      </c>
      <c r="I6011">
        <v>140.34360000000001</v>
      </c>
      <c r="J6011">
        <v>-233.6122</v>
      </c>
      <c r="K6011">
        <v>1.1071949999999999</v>
      </c>
      <c r="L6011">
        <v>140.2774</v>
      </c>
      <c r="M6011">
        <v>-0.99969949999999996</v>
      </c>
      <c r="N6011">
        <v>0</v>
      </c>
      <c r="O6011">
        <v>2.450246E-2</v>
      </c>
      <c r="P6011">
        <v>-0.99738450000000001</v>
      </c>
      <c r="Q6011">
        <v>-9.8946820000000001E-3</v>
      </c>
      <c r="R6011">
        <v>7.1599700000000002E-2</v>
      </c>
      <c r="S6011">
        <v>-2.9873050000000001</v>
      </c>
      <c r="T6011">
        <v>-0.29134860000000001</v>
      </c>
      <c r="U6011">
        <v>0.2462616</v>
      </c>
      <c r="V6011">
        <v>4.7116970000000001E-2</v>
      </c>
      <c r="W6011">
        <v>-9.163002E-3</v>
      </c>
      <c r="X6011">
        <v>0.99884740000000005</v>
      </c>
      <c r="Y6011">
        <v>5.755735E-2</v>
      </c>
      <c r="Z6011">
        <v>4.1614499999999998E-4</v>
      </c>
      <c r="AA6011">
        <v>0.99834210000000001</v>
      </c>
      <c r="AB6011">
        <v>32</v>
      </c>
      <c r="AC6011">
        <v>-0.56809999999998695</v>
      </c>
      <c r="AD6011">
        <v>-8.9470999999999995E-2</v>
      </c>
      <c r="AE6011">
        <v>6.6200000000009099E-2</v>
      </c>
      <c r="AF6011">
        <v>5.1011943796363098E-2</v>
      </c>
      <c r="AG6011">
        <v>-8.9470999999999995E-2</v>
      </c>
      <c r="AH6011">
        <v>0.55594675078629796</v>
      </c>
      <c r="AI6011">
        <v>99.104870992629003</v>
      </c>
      <c r="AJ6011">
        <v>84.757397743006607</v>
      </c>
      <c r="AK6011">
        <v>0.56540610888168297</v>
      </c>
      <c r="AL6011">
        <v>90.525008663405103</v>
      </c>
      <c r="AM6011">
        <v>87.299283288133296</v>
      </c>
      <c r="AN6011">
        <v>1.0000000489771901</v>
      </c>
    </row>
    <row r="6012" spans="1:40" x14ac:dyDescent="0.25">
      <c r="A6012" t="str">
        <f>"20190312154042409"</f>
        <v>20190312154042409</v>
      </c>
      <c r="B6012" t="str">
        <f>"1552376442402316"</f>
        <v>1552376442402316</v>
      </c>
      <c r="C6012" t="s">
        <v>40</v>
      </c>
      <c r="D6012">
        <v>3.7501739999999999</v>
      </c>
      <c r="E6012">
        <v>0.50947390000000004</v>
      </c>
      <c r="F6012" t="s">
        <v>42</v>
      </c>
      <c r="G6012">
        <v>-254.9246</v>
      </c>
      <c r="H6012" s="1">
        <v>-2.8663719999999999E-6</v>
      </c>
      <c r="I6012">
        <v>142.2724</v>
      </c>
      <c r="J6012">
        <v>-233.91059999999999</v>
      </c>
      <c r="K6012">
        <v>1.10721</v>
      </c>
      <c r="L6012">
        <v>140.28569999999999</v>
      </c>
      <c r="M6012">
        <v>-0.9996718</v>
      </c>
      <c r="N6012">
        <v>0</v>
      </c>
      <c r="O6012">
        <v>2.5606360000000002E-2</v>
      </c>
      <c r="P6012">
        <v>-0.99733669999999996</v>
      </c>
      <c r="Q6012">
        <v>-9.8768550000000004E-3</v>
      </c>
      <c r="R6012">
        <v>7.2264270000000005E-2</v>
      </c>
      <c r="S6012">
        <v>-2.9862519999999999</v>
      </c>
      <c r="T6012">
        <v>-0.15513840000000001</v>
      </c>
      <c r="U6012">
        <v>0.27954099999999998</v>
      </c>
      <c r="V6012">
        <v>4.6679930000000001E-2</v>
      </c>
      <c r="W6012">
        <v>-9.0513499999999997E-3</v>
      </c>
      <c r="X6012">
        <v>0.99886889999999995</v>
      </c>
      <c r="Y6012">
        <v>6.7620260000000001E-2</v>
      </c>
      <c r="Z6012">
        <v>4.2548320000000001E-4</v>
      </c>
      <c r="AA6012">
        <v>0.99771109999999996</v>
      </c>
      <c r="AB6012">
        <v>32</v>
      </c>
      <c r="AC6012">
        <v>-21.013999999999999</v>
      </c>
      <c r="AD6012">
        <v>-1.107212866372</v>
      </c>
      <c r="AE6012">
        <v>1.9867000000000099</v>
      </c>
      <c r="AF6012">
        <v>1.4439831373785601</v>
      </c>
      <c r="AG6012">
        <v>-1.107212866372</v>
      </c>
      <c r="AH6012">
        <v>21.000198273741301</v>
      </c>
      <c r="AI6012">
        <v>93.010967462872003</v>
      </c>
      <c r="AJ6012">
        <v>86.066507657371005</v>
      </c>
      <c r="AK6012">
        <v>21.0788836319418</v>
      </c>
      <c r="AL6012">
        <v>90.518611229677902</v>
      </c>
      <c r="AM6012">
        <v>87.324355094196505</v>
      </c>
      <c r="AN6012">
        <v>1.0000000110944101</v>
      </c>
    </row>
    <row r="6013" spans="1:40" x14ac:dyDescent="0.25">
      <c r="A6013" t="str">
        <f>"20190312154042431"</f>
        <v>20190312154042431</v>
      </c>
      <c r="B6013" t="str">
        <f>"1552376442421836"</f>
        <v>1552376442421836</v>
      </c>
      <c r="C6013" t="s">
        <v>40</v>
      </c>
      <c r="D6013">
        <v>3.8044250000000002</v>
      </c>
      <c r="E6013">
        <v>0.50958639999999999</v>
      </c>
      <c r="F6013" t="s">
        <v>42</v>
      </c>
      <c r="G6013">
        <v>-263.42529999999999</v>
      </c>
      <c r="H6013" s="1">
        <v>-3.73565E-6</v>
      </c>
      <c r="I6013">
        <v>143.14109999999999</v>
      </c>
      <c r="J6013">
        <v>-234.2415</v>
      </c>
      <c r="K6013">
        <v>1.107248</v>
      </c>
      <c r="L6013">
        <v>140.2953</v>
      </c>
      <c r="M6013">
        <v>-0.99964090000000005</v>
      </c>
      <c r="N6013">
        <v>0</v>
      </c>
      <c r="O6013">
        <v>2.6776890000000001E-2</v>
      </c>
      <c r="P6013">
        <v>-0.99719659999999999</v>
      </c>
      <c r="Q6013">
        <v>-9.7562740000000005E-3</v>
      </c>
      <c r="R6013">
        <v>7.4191090000000001E-2</v>
      </c>
      <c r="S6013">
        <v>-2.9859770000000001</v>
      </c>
      <c r="T6013">
        <v>-0.1120163</v>
      </c>
      <c r="U6013">
        <v>0.28887940000000001</v>
      </c>
      <c r="V6013">
        <v>4.7441400000000002E-2</v>
      </c>
      <c r="W6013">
        <v>-8.7979679999999998E-3</v>
      </c>
      <c r="X6013">
        <v>0.99883529999999998</v>
      </c>
      <c r="Y6013">
        <v>6.9578959999999995E-2</v>
      </c>
      <c r="Z6013">
        <v>3.0019330000000002E-4</v>
      </c>
      <c r="AA6013">
        <v>0.99757640000000003</v>
      </c>
      <c r="AB6013">
        <v>32</v>
      </c>
      <c r="AC6013">
        <v>-29.183799999999898</v>
      </c>
      <c r="AD6013">
        <v>-1.10725173565</v>
      </c>
      <c r="AE6013">
        <v>2.8457999999999899</v>
      </c>
      <c r="AF6013">
        <v>2.0603897972091199</v>
      </c>
      <c r="AG6013">
        <v>-1.10725173565</v>
      </c>
      <c r="AH6013">
        <v>29.207888930986002</v>
      </c>
      <c r="AI6013">
        <v>92.165628997336995</v>
      </c>
      <c r="AJ6013">
        <v>85.964911879585401</v>
      </c>
      <c r="AK6013">
        <v>29.301399084810999</v>
      </c>
      <c r="AL6013">
        <v>90.504092926091801</v>
      </c>
      <c r="AM6013">
        <v>87.280682078485995</v>
      </c>
      <c r="AN6013">
        <v>1.00000002360048</v>
      </c>
    </row>
    <row r="6014" spans="1:40" x14ac:dyDescent="0.25">
      <c r="A6014" t="str">
        <f>"20190312154042453"</f>
        <v>20190312154042453</v>
      </c>
      <c r="B6014" t="str">
        <f>"1552376442442331"</f>
        <v>1552376442442331</v>
      </c>
      <c r="C6014" t="s">
        <v>40</v>
      </c>
      <c r="D6014">
        <v>3.778111</v>
      </c>
      <c r="E6014">
        <v>0.50943329999999998</v>
      </c>
      <c r="F6014" t="s">
        <v>42</v>
      </c>
      <c r="G6014">
        <v>-273.21890000000002</v>
      </c>
      <c r="H6014" s="1">
        <v>-3.9879259999999998E-6</v>
      </c>
      <c r="I6014">
        <v>144.16739999999999</v>
      </c>
      <c r="J6014">
        <v>-234.5565</v>
      </c>
      <c r="K6014">
        <v>1.1073200000000001</v>
      </c>
      <c r="L6014">
        <v>140.3047</v>
      </c>
      <c r="M6014">
        <v>-0.99961239999999996</v>
      </c>
      <c r="N6014">
        <v>0</v>
      </c>
      <c r="O6014">
        <v>2.7810620000000001E-2</v>
      </c>
      <c r="P6014">
        <v>-0.99705860000000002</v>
      </c>
      <c r="Q6014">
        <v>-1.0447639999999999E-2</v>
      </c>
      <c r="R6014">
        <v>7.5926530000000006E-2</v>
      </c>
      <c r="S6014">
        <v>-2.985535</v>
      </c>
      <c r="T6014">
        <v>-8.4811570000000003E-2</v>
      </c>
      <c r="U6014">
        <v>0.29660029999999998</v>
      </c>
      <c r="V6014">
        <v>4.8146550000000003E-2</v>
      </c>
      <c r="W6014">
        <v>-9.2609149999999998E-3</v>
      </c>
      <c r="X6014">
        <v>0.99879739999999995</v>
      </c>
      <c r="Y6014">
        <v>7.1129230000000002E-2</v>
      </c>
      <c r="Z6014">
        <v>2.2003340000000001E-4</v>
      </c>
      <c r="AA6014">
        <v>0.99746710000000005</v>
      </c>
      <c r="AB6014">
        <v>32</v>
      </c>
      <c r="AC6014">
        <v>-38.662399999999998</v>
      </c>
      <c r="AD6014">
        <v>-1.107323987926</v>
      </c>
      <c r="AE6014">
        <v>3.8626999999999798</v>
      </c>
      <c r="AF6014">
        <v>2.7837188462727802</v>
      </c>
      <c r="AG6014">
        <v>-1.107323987926</v>
      </c>
      <c r="AH6014">
        <v>38.7234190899918</v>
      </c>
      <c r="AI6014">
        <v>91.633753910037996</v>
      </c>
      <c r="AJ6014">
        <v>85.888238989298401</v>
      </c>
      <c r="AK6014">
        <v>38.839135457016397</v>
      </c>
      <c r="AL6014">
        <v>90.530618902013302</v>
      </c>
      <c r="AM6014">
        <v>87.240220695052798</v>
      </c>
      <c r="AN6014">
        <v>1.0000000505351401</v>
      </c>
    </row>
    <row r="6015" spans="1:40" x14ac:dyDescent="0.25">
      <c r="A6015" t="str">
        <f>"20190312154042474"</f>
        <v>20190312154042474</v>
      </c>
      <c r="B6015" t="str">
        <f>"1552376442461853"</f>
        <v>1552376442461853</v>
      </c>
      <c r="C6015" t="s">
        <v>40</v>
      </c>
      <c r="D6015">
        <v>3.784945</v>
      </c>
      <c r="E6015">
        <v>0.50929020000000003</v>
      </c>
      <c r="F6015" t="s">
        <v>55</v>
      </c>
      <c r="G6015">
        <v>-284.01940000000002</v>
      </c>
      <c r="H6015" s="1">
        <v>-7.2386030000000003E-6</v>
      </c>
      <c r="I6015">
        <v>145.29830000000001</v>
      </c>
      <c r="J6015">
        <v>-234.8648</v>
      </c>
      <c r="K6015">
        <v>1.1074600000000001</v>
      </c>
      <c r="L6015">
        <v>140.3142</v>
      </c>
      <c r="M6015">
        <v>-0.99958599999999997</v>
      </c>
      <c r="N6015">
        <v>0</v>
      </c>
      <c r="O6015">
        <v>2.8723479999999999E-2</v>
      </c>
      <c r="P6015">
        <v>-0.99691890000000005</v>
      </c>
      <c r="Q6015">
        <v>-1.0880839999999999E-2</v>
      </c>
      <c r="R6015">
        <v>7.7685560000000001E-2</v>
      </c>
      <c r="S6015">
        <v>-2.985214</v>
      </c>
      <c r="T6015">
        <v>-6.6830039999999993E-2</v>
      </c>
      <c r="U6015">
        <v>0.30137629999999999</v>
      </c>
      <c r="V6015">
        <v>4.8998159999999999E-2</v>
      </c>
      <c r="W6015">
        <v>-9.3010160000000005E-3</v>
      </c>
      <c r="X6015">
        <v>0.99875559999999997</v>
      </c>
      <c r="Y6015">
        <v>7.1815409999999996E-2</v>
      </c>
      <c r="Z6015">
        <v>1.607026E-4</v>
      </c>
      <c r="AA6015">
        <v>0.99741789999999997</v>
      </c>
      <c r="AB6015">
        <v>32</v>
      </c>
      <c r="AC6015">
        <v>-49.154600000000002</v>
      </c>
      <c r="AD6015">
        <v>-1.107467238603</v>
      </c>
      <c r="AE6015">
        <v>4.9841000000000104</v>
      </c>
      <c r="AF6015">
        <v>3.5683574792663202</v>
      </c>
      <c r="AG6015">
        <v>-1.107467238603</v>
      </c>
      <c r="AH6015">
        <v>49.252732502839201</v>
      </c>
      <c r="AI6015">
        <v>91.284735050105795</v>
      </c>
      <c r="AJ6015">
        <v>85.856164454734397</v>
      </c>
      <c r="AK6015">
        <v>49.394243771725598</v>
      </c>
      <c r="AL6015">
        <v>90.532916625295897</v>
      </c>
      <c r="AM6015">
        <v>87.191366196548501</v>
      </c>
      <c r="AN6015">
        <v>1.0000000385566801</v>
      </c>
    </row>
    <row r="6016" spans="1:40" x14ac:dyDescent="0.25">
      <c r="A6016" t="str">
        <f>"20190312154042496"</f>
        <v>20190312154042496</v>
      </c>
      <c r="B6016" t="str">
        <f>"1552376442492108"</f>
        <v>1552376442492108</v>
      </c>
      <c r="C6016" t="s">
        <v>40</v>
      </c>
      <c r="D6016">
        <v>3.8353700000000002</v>
      </c>
      <c r="E6016">
        <v>0.50833790000000001</v>
      </c>
      <c r="F6016" t="s">
        <v>55</v>
      </c>
      <c r="G6016">
        <v>-300.13990000000001</v>
      </c>
      <c r="H6016" s="1">
        <v>-1.003251E-5</v>
      </c>
      <c r="I6016">
        <v>147.01</v>
      </c>
      <c r="J6016">
        <v>-235.19120000000001</v>
      </c>
      <c r="K6016">
        <v>1.1076760000000001</v>
      </c>
      <c r="L6016">
        <v>140.3244</v>
      </c>
      <c r="M6016">
        <v>-0.99956009999999995</v>
      </c>
      <c r="N6016">
        <v>0</v>
      </c>
      <c r="O6016">
        <v>2.9567030000000001E-2</v>
      </c>
      <c r="P6016">
        <v>-0.99679600000000002</v>
      </c>
      <c r="Q6016">
        <v>-1.204527E-2</v>
      </c>
      <c r="R6016">
        <v>7.9077679999999997E-2</v>
      </c>
      <c r="S6016">
        <v>-2.9848789999999998</v>
      </c>
      <c r="T6016">
        <v>-5.0642010000000001E-2</v>
      </c>
      <c r="U6016">
        <v>0.30618289999999998</v>
      </c>
      <c r="V6016">
        <v>4.9551079999999997E-2</v>
      </c>
      <c r="W6016">
        <v>-9.8115110000000002E-3</v>
      </c>
      <c r="X6016">
        <v>0.99872340000000004</v>
      </c>
      <c r="Y6016">
        <v>7.2579060000000001E-2</v>
      </c>
      <c r="Z6016">
        <v>1.1399090000000001E-4</v>
      </c>
      <c r="AA6016">
        <v>0.99736270000000005</v>
      </c>
      <c r="AB6016">
        <v>32</v>
      </c>
      <c r="AC6016">
        <v>-64.948700000000002</v>
      </c>
      <c r="AD6016">
        <v>-1.10768603251</v>
      </c>
      <c r="AE6016">
        <v>6.6855999999999902</v>
      </c>
      <c r="AF6016">
        <v>4.7609614141999597</v>
      </c>
      <c r="AG6016">
        <v>-1.10768603251</v>
      </c>
      <c r="AH6016">
        <v>65.099241530036906</v>
      </c>
      <c r="AI6016">
        <v>90.972217349980596</v>
      </c>
      <c r="AJ6016">
        <v>85.817182948792194</v>
      </c>
      <c r="AK6016">
        <v>65.282501252021603</v>
      </c>
      <c r="AL6016">
        <v>90.562167189365198</v>
      </c>
      <c r="AM6016">
        <v>87.159632338431607</v>
      </c>
      <c r="AN6016">
        <v>1.0000000024924101</v>
      </c>
    </row>
    <row r="6017" spans="1:40" x14ac:dyDescent="0.25">
      <c r="A6017" t="str">
        <f>"20190312154042520"</f>
        <v>20190312154042520</v>
      </c>
      <c r="B6017" t="str">
        <f>"1552376442512604"</f>
        <v>1552376442512604</v>
      </c>
      <c r="C6017" t="s">
        <v>40</v>
      </c>
      <c r="D6017">
        <v>3.8044500000000001</v>
      </c>
      <c r="E6017">
        <v>0.50800440000000002</v>
      </c>
      <c r="F6017" t="s">
        <v>55</v>
      </c>
      <c r="G6017">
        <v>-312.26530000000002</v>
      </c>
      <c r="H6017" s="1">
        <v>-1.1003380000000001E-5</v>
      </c>
      <c r="I6017">
        <v>148.15520000000001</v>
      </c>
      <c r="J6017">
        <v>-235.53129999999999</v>
      </c>
      <c r="K6017">
        <v>1.1079829999999999</v>
      </c>
      <c r="L6017">
        <v>140.33529999999999</v>
      </c>
      <c r="M6017">
        <v>-0.99953599999999998</v>
      </c>
      <c r="N6017">
        <v>0</v>
      </c>
      <c r="O6017">
        <v>3.0280910000000001E-2</v>
      </c>
      <c r="P6017">
        <v>-0.99669799999999997</v>
      </c>
      <c r="Q6017">
        <v>-1.354608E-2</v>
      </c>
      <c r="R6017">
        <v>8.0060640000000002E-2</v>
      </c>
      <c r="S6017">
        <v>-2.9850620000000001</v>
      </c>
      <c r="T6017">
        <v>-4.2900439999999998E-2</v>
      </c>
      <c r="U6017">
        <v>0.30328369999999999</v>
      </c>
      <c r="V6017">
        <v>4.9824529999999999E-2</v>
      </c>
      <c r="W6017">
        <v>-1.034464E-2</v>
      </c>
      <c r="X6017">
        <v>0.99870440000000005</v>
      </c>
      <c r="Y6017">
        <v>7.0903640000000004E-2</v>
      </c>
      <c r="Z6017" s="1">
        <v>7.4333949999999993E-5</v>
      </c>
      <c r="AA6017">
        <v>0.99748320000000001</v>
      </c>
      <c r="AB6017">
        <v>32</v>
      </c>
      <c r="AC6017">
        <v>-76.733999999999995</v>
      </c>
      <c r="AD6017">
        <v>-1.10799400338</v>
      </c>
      <c r="AE6017">
        <v>7.8199000000000103</v>
      </c>
      <c r="AF6017">
        <v>5.4915928099205802</v>
      </c>
      <c r="AG6017">
        <v>-1.10799400338</v>
      </c>
      <c r="AH6017">
        <v>76.919733870953806</v>
      </c>
      <c r="AI6017">
        <v>90.823167816054493</v>
      </c>
      <c r="AJ6017">
        <v>85.916364838992095</v>
      </c>
      <c r="AK6017">
        <v>77.123476977376001</v>
      </c>
      <c r="AL6017">
        <v>90.592714791848294</v>
      </c>
      <c r="AM6017">
        <v>87.143929270005302</v>
      </c>
      <c r="AN6017">
        <v>0.99999998697290504</v>
      </c>
    </row>
    <row r="6018" spans="1:40" x14ac:dyDescent="0.25">
      <c r="A6018" t="str">
        <f>"20190312154042541"</f>
        <v>20190312154042541</v>
      </c>
      <c r="B6018" t="str">
        <f>"1552376442532128"</f>
        <v>1552376442532128</v>
      </c>
      <c r="C6018" t="s">
        <v>40</v>
      </c>
      <c r="D6018">
        <v>3.787766</v>
      </c>
      <c r="E6018">
        <v>0.50758329999999996</v>
      </c>
      <c r="F6018" t="s">
        <v>55</v>
      </c>
      <c r="G6018">
        <v>-319.35219999999998</v>
      </c>
      <c r="H6018" s="1">
        <v>-8.0979010000000002E-6</v>
      </c>
      <c r="I6018">
        <v>148.86840000000001</v>
      </c>
      <c r="J6018">
        <v>-235.85210000000001</v>
      </c>
      <c r="K6018">
        <v>1.108206</v>
      </c>
      <c r="L6018">
        <v>140.34559999999999</v>
      </c>
      <c r="M6018">
        <v>-0.99951719999999999</v>
      </c>
      <c r="N6018">
        <v>0</v>
      </c>
      <c r="O6018">
        <v>3.0812699999999998E-2</v>
      </c>
      <c r="P6018">
        <v>-0.99660219999999999</v>
      </c>
      <c r="Q6018">
        <v>-1.3925450000000001E-2</v>
      </c>
      <c r="R6018">
        <v>8.1181210000000004E-2</v>
      </c>
      <c r="S6018">
        <v>-2.984985</v>
      </c>
      <c r="T6018">
        <v>-3.9457199999999998E-2</v>
      </c>
      <c r="U6018">
        <v>0.3038788</v>
      </c>
      <c r="V6018">
        <v>5.0419409999999998E-2</v>
      </c>
      <c r="W6018">
        <v>-9.9679209999999994E-3</v>
      </c>
      <c r="X6018">
        <v>0.99867839999999997</v>
      </c>
      <c r="Y6018">
        <v>7.0572940000000001E-2</v>
      </c>
      <c r="Z6018" s="1">
        <v>5.9185580000000003E-5</v>
      </c>
      <c r="AA6018">
        <v>0.99750660000000002</v>
      </c>
      <c r="AB6018">
        <v>32</v>
      </c>
      <c r="AC6018">
        <v>-83.500099999999904</v>
      </c>
      <c r="AD6018">
        <v>-1.108214097901</v>
      </c>
      <c r="AE6018">
        <v>8.5228000000000108</v>
      </c>
      <c r="AF6018">
        <v>5.9448326999260201</v>
      </c>
      <c r="AG6018">
        <v>-1.108214097901</v>
      </c>
      <c r="AH6018">
        <v>83.708471191399198</v>
      </c>
      <c r="AI6018">
        <v>90.756587563587004</v>
      </c>
      <c r="AJ6018">
        <v>85.9377718200126</v>
      </c>
      <c r="AK6018">
        <v>83.926618682740994</v>
      </c>
      <c r="AL6018">
        <v>90.571129255371602</v>
      </c>
      <c r="AM6018">
        <v>87.109811570427297</v>
      </c>
      <c r="AN6018">
        <v>1.0000000114901799</v>
      </c>
    </row>
    <row r="6019" spans="1:40" x14ac:dyDescent="0.25">
      <c r="A6019" t="str">
        <f>"20190312154042564"</f>
        <v>20190312154042564</v>
      </c>
      <c r="B6019" t="str">
        <f>"1552376442551644"</f>
        <v>1552376442551644</v>
      </c>
      <c r="C6019" t="s">
        <v>40</v>
      </c>
      <c r="D6019">
        <v>3.82355</v>
      </c>
      <c r="E6019">
        <v>0.50706289999999998</v>
      </c>
      <c r="F6019" t="s">
        <v>42</v>
      </c>
      <c r="G6019">
        <v>-327.12560000000002</v>
      </c>
      <c r="H6019">
        <v>7.9986000000000002E-2</v>
      </c>
      <c r="I6019">
        <v>149.64760000000001</v>
      </c>
      <c r="J6019">
        <v>-236.1748</v>
      </c>
      <c r="K6019">
        <v>1.10843</v>
      </c>
      <c r="L6019">
        <v>140.35599999999999</v>
      </c>
      <c r="M6019">
        <v>-0.99950159999999999</v>
      </c>
      <c r="N6019">
        <v>0</v>
      </c>
      <c r="O6019">
        <v>3.1197869999999999E-2</v>
      </c>
      <c r="P6019">
        <v>-0.99654480000000001</v>
      </c>
      <c r="Q6019">
        <v>-1.501215E-2</v>
      </c>
      <c r="R6019">
        <v>8.1691089999999994E-2</v>
      </c>
      <c r="S6019">
        <v>-2.984985</v>
      </c>
      <c r="T6019">
        <v>-3.3626679999999999E-2</v>
      </c>
      <c r="U6019">
        <v>0.3042145</v>
      </c>
      <c r="V6019">
        <v>5.0548070000000001E-2</v>
      </c>
      <c r="W6019">
        <v>-1.0256339999999999E-2</v>
      </c>
      <c r="X6019">
        <v>0.99866900000000003</v>
      </c>
      <c r="Y6019">
        <v>7.0300440000000006E-2</v>
      </c>
      <c r="Z6019" s="1">
        <v>4.4585320000000003E-5</v>
      </c>
      <c r="AA6019">
        <v>0.99752589999999997</v>
      </c>
      <c r="AB6019">
        <v>33</v>
      </c>
      <c r="AC6019">
        <v>-90.950800000000001</v>
      </c>
      <c r="AD6019">
        <v>-1.0284439999999999</v>
      </c>
      <c r="AE6019">
        <v>9.2916000000000096</v>
      </c>
      <c r="AF6019">
        <v>6.44875674392771</v>
      </c>
      <c r="AG6019">
        <v>-1.0284439999999999</v>
      </c>
      <c r="AH6019">
        <v>91.184869331490503</v>
      </c>
      <c r="AI6019">
        <v>90.644582941805993</v>
      </c>
      <c r="AJ6019">
        <v>85.954675541353296</v>
      </c>
      <c r="AK6019">
        <v>91.418403812386103</v>
      </c>
      <c r="AL6019">
        <v>90.587655277385593</v>
      </c>
      <c r="AM6019">
        <v>87.102421727463394</v>
      </c>
      <c r="AN6019">
        <v>1.00000003572595</v>
      </c>
    </row>
    <row r="6020" spans="1:40" x14ac:dyDescent="0.25">
      <c r="A6020" t="str">
        <f>"20190312154042587"</f>
        <v>20190312154042587</v>
      </c>
      <c r="B6020" t="str">
        <f>"1552376442581901"</f>
        <v>1552376442581901</v>
      </c>
      <c r="C6020" t="s">
        <v>40</v>
      </c>
      <c r="D6020">
        <v>3.8516140000000001</v>
      </c>
      <c r="E6020">
        <v>0.50630549999999996</v>
      </c>
      <c r="F6020" t="s">
        <v>42</v>
      </c>
      <c r="G6020">
        <v>-329.54680000000002</v>
      </c>
      <c r="H6020">
        <v>7.9986719999999997E-2</v>
      </c>
      <c r="I6020">
        <v>149.79589999999999</v>
      </c>
      <c r="J6020">
        <v>-236.5136</v>
      </c>
      <c r="K6020">
        <v>1.1086769999999999</v>
      </c>
      <c r="L6020">
        <v>140.36689999999999</v>
      </c>
      <c r="M6020">
        <v>-0.99948910000000002</v>
      </c>
      <c r="N6020">
        <v>0</v>
      </c>
      <c r="O6020">
        <v>3.144491E-2</v>
      </c>
      <c r="P6020">
        <v>-0.99647370000000002</v>
      </c>
      <c r="Q6020">
        <v>-1.6302179999999999E-2</v>
      </c>
      <c r="R6020">
        <v>8.2308580000000006E-2</v>
      </c>
      <c r="S6020">
        <v>-2.9851679999999998</v>
      </c>
      <c r="T6020">
        <v>-3.2880069999999997E-2</v>
      </c>
      <c r="U6020">
        <v>0.30180359999999901</v>
      </c>
      <c r="V6020">
        <v>5.0923070000000001E-2</v>
      </c>
      <c r="W6020">
        <v>-1.063746E-2</v>
      </c>
      <c r="X6020">
        <v>0.99864589999999998</v>
      </c>
      <c r="Y6020">
        <v>6.9250320000000004E-2</v>
      </c>
      <c r="Z6020" s="1">
        <v>3.5112520000000001E-5</v>
      </c>
      <c r="AA6020">
        <v>0.99759929999999997</v>
      </c>
      <c r="AB6020">
        <v>33</v>
      </c>
      <c r="AC6020">
        <v>-93.033199999999994</v>
      </c>
      <c r="AD6020">
        <v>-1.02869028</v>
      </c>
      <c r="AE6020">
        <v>9.4290000000000003</v>
      </c>
      <c r="AF6020">
        <v>6.4980821701567599</v>
      </c>
      <c r="AG6020">
        <v>-1.02869028</v>
      </c>
      <c r="AH6020">
        <v>93.272403464760899</v>
      </c>
      <c r="AI6020">
        <v>90.630354970210206</v>
      </c>
      <c r="AJ6020">
        <v>86.014768943771102</v>
      </c>
      <c r="AK6020">
        <v>93.5041417461035</v>
      </c>
      <c r="AL6020">
        <v>90.609493073481701</v>
      </c>
      <c r="AM6020">
        <v>87.080895155450406</v>
      </c>
      <c r="AN6020">
        <v>0.99999997410014196</v>
      </c>
    </row>
    <row r="6021" spans="1:40" x14ac:dyDescent="0.25">
      <c r="A6021" t="str">
        <f>"20190312154042610"</f>
        <v>20190312154042610</v>
      </c>
      <c r="B6021" t="str">
        <f>"1552376442602396"</f>
        <v>1552376442602396</v>
      </c>
      <c r="C6021" t="s">
        <v>40</v>
      </c>
      <c r="D6021">
        <v>3.8937599999999999</v>
      </c>
      <c r="E6021">
        <v>0.50573400000000002</v>
      </c>
      <c r="F6021" t="s">
        <v>42</v>
      </c>
      <c r="G6021">
        <v>-329.29039999999998</v>
      </c>
      <c r="H6021">
        <v>3.1144979999999999E-2</v>
      </c>
      <c r="I6021">
        <v>149.6164</v>
      </c>
      <c r="J6021">
        <v>-236.84559999999999</v>
      </c>
      <c r="K6021">
        <v>1.108897</v>
      </c>
      <c r="L6021">
        <v>140.3776</v>
      </c>
      <c r="M6021">
        <v>-0.99948040000000005</v>
      </c>
      <c r="N6021">
        <v>0</v>
      </c>
      <c r="O6021">
        <v>3.1556470000000003E-2</v>
      </c>
      <c r="P6021">
        <v>-0.99644849999999996</v>
      </c>
      <c r="Q6021">
        <v>-1.6844040000000001E-2</v>
      </c>
      <c r="R6021">
        <v>8.2504999999999995E-2</v>
      </c>
      <c r="S6021">
        <v>-2.9854430000000001</v>
      </c>
      <c r="T6021">
        <v>-3.467369E-2</v>
      </c>
      <c r="U6021">
        <v>0.29763790000000001</v>
      </c>
      <c r="V6021">
        <v>5.1011569999999999E-2</v>
      </c>
      <c r="W6021">
        <v>-1.031163E-2</v>
      </c>
      <c r="X6021">
        <v>0.9986448</v>
      </c>
      <c r="Y6021">
        <v>6.7751309999999995E-2</v>
      </c>
      <c r="Z6021" s="1">
        <v>2.7049100000000002E-5</v>
      </c>
      <c r="AA6021">
        <v>0.99770219999999998</v>
      </c>
      <c r="AB6021">
        <v>33</v>
      </c>
      <c r="AC6021">
        <v>-92.444800000000001</v>
      </c>
      <c r="AD6021">
        <v>-1.0777520199999999</v>
      </c>
      <c r="AE6021">
        <v>9.2387999999999906</v>
      </c>
      <c r="AF6021">
        <v>6.3160541853144299</v>
      </c>
      <c r="AG6021">
        <v>-1.0777520199999999</v>
      </c>
      <c r="AH6021">
        <v>92.677836088403396</v>
      </c>
      <c r="AI6021">
        <v>90.664721765910798</v>
      </c>
      <c r="AJ6021">
        <v>86.101284163091904</v>
      </c>
      <c r="AK6021">
        <v>92.899060231615906</v>
      </c>
      <c r="AL6021">
        <v>90.590823365351199</v>
      </c>
      <c r="AM6021">
        <v>87.075827579319395</v>
      </c>
      <c r="AN6021">
        <v>0.99999997327708001</v>
      </c>
    </row>
    <row r="6022" spans="1:40" x14ac:dyDescent="0.25">
      <c r="A6022" t="str">
        <f>"20190312154042632"</f>
        <v>20190312154042632</v>
      </c>
      <c r="B6022" t="str">
        <f>"1552376442621916"</f>
        <v>1552376442621916</v>
      </c>
      <c r="C6022" t="s">
        <v>40</v>
      </c>
      <c r="D6022">
        <v>3.9462269999999999</v>
      </c>
      <c r="E6022">
        <v>0.50537359999999998</v>
      </c>
      <c r="F6022" t="s">
        <v>42</v>
      </c>
      <c r="G6022">
        <v>-330.74279999999999</v>
      </c>
      <c r="H6022">
        <v>4.1167450000000001E-2</v>
      </c>
      <c r="I6022">
        <v>149.6163</v>
      </c>
      <c r="J6022">
        <v>-237.1696</v>
      </c>
      <c r="K6022">
        <v>1.1090819999999999</v>
      </c>
      <c r="L6022">
        <v>140.38800000000001</v>
      </c>
      <c r="M6022">
        <v>-0.9994748</v>
      </c>
      <c r="N6022">
        <v>0</v>
      </c>
      <c r="O6022">
        <v>3.1561159999999998E-2</v>
      </c>
      <c r="P6022">
        <v>-0.99642920000000001</v>
      </c>
      <c r="Q6022">
        <v>-1.7987599999999899E-2</v>
      </c>
      <c r="R6022">
        <v>8.249331E-2</v>
      </c>
      <c r="S6022">
        <v>-2.9857939999999998</v>
      </c>
      <c r="T6022">
        <v>-3.3952240000000002E-2</v>
      </c>
      <c r="U6022">
        <v>0.29377750000000002</v>
      </c>
      <c r="V6022">
        <v>5.0997870000000001E-2</v>
      </c>
      <c r="W6022">
        <v>-1.067746E-2</v>
      </c>
      <c r="X6022">
        <v>0.99864169999999997</v>
      </c>
      <c r="Y6022">
        <v>6.6457559999999999E-2</v>
      </c>
      <c r="Z6022" s="1">
        <v>1.9090099999999999E-5</v>
      </c>
      <c r="AA6022">
        <v>0.99778929999999999</v>
      </c>
      <c r="AB6022">
        <v>33</v>
      </c>
      <c r="AC6022">
        <v>-93.5732</v>
      </c>
      <c r="AD6022">
        <v>-1.06791454999999</v>
      </c>
      <c r="AE6022">
        <v>9.2282999999999902</v>
      </c>
      <c r="AF6022">
        <v>6.26953518916363</v>
      </c>
      <c r="AG6022">
        <v>-1.06791454999999</v>
      </c>
      <c r="AH6022">
        <v>93.805744844977099</v>
      </c>
      <c r="AI6022">
        <v>90.650793482492602</v>
      </c>
      <c r="AJ6022">
        <v>86.176305992124497</v>
      </c>
      <c r="AK6022">
        <v>94.021089543225401</v>
      </c>
      <c r="AL6022">
        <v>90.6117850080674</v>
      </c>
      <c r="AM6022">
        <v>87.076602492592002</v>
      </c>
      <c r="AN6022">
        <v>1.00000001793773</v>
      </c>
    </row>
    <row r="6023" spans="1:40" x14ac:dyDescent="0.25">
      <c r="A6023" t="str">
        <f>"20190312154042654"</f>
        <v>20190312154042654</v>
      </c>
      <c r="B6023" t="str">
        <f>"1552376442642412"</f>
        <v>1552376442642412</v>
      </c>
      <c r="C6023" t="s">
        <v>40</v>
      </c>
      <c r="D6023">
        <v>3.975346</v>
      </c>
      <c r="E6023">
        <v>0.50502420000000003</v>
      </c>
      <c r="F6023" t="s">
        <v>42</v>
      </c>
      <c r="G6023">
        <v>-331.82889999999998</v>
      </c>
      <c r="H6023">
        <v>1.7097230000000001E-2</v>
      </c>
      <c r="I6023">
        <v>149.6163</v>
      </c>
      <c r="J6023">
        <v>-237.47980000000001</v>
      </c>
      <c r="K6023">
        <v>1.1092310000000001</v>
      </c>
      <c r="L6023">
        <v>140.39779999999999</v>
      </c>
      <c r="M6023">
        <v>-0.99947209999999997</v>
      </c>
      <c r="N6023">
        <v>0</v>
      </c>
      <c r="O6023">
        <v>3.148331E-2</v>
      </c>
      <c r="P6023">
        <v>-0.99644189999999999</v>
      </c>
      <c r="Q6023">
        <v>-1.8776689999999999E-2</v>
      </c>
      <c r="R6023">
        <v>8.2165199999999994E-2</v>
      </c>
      <c r="S6023">
        <v>-2.9860229999999999</v>
      </c>
      <c r="T6023">
        <v>-3.4446600000000001E-2</v>
      </c>
      <c r="U6023">
        <v>0.29110720000000001</v>
      </c>
      <c r="V6023">
        <v>5.0749669999999997E-2</v>
      </c>
      <c r="W6023">
        <v>-1.0789999999999999E-2</v>
      </c>
      <c r="X6023">
        <v>0.99865309999999896</v>
      </c>
      <c r="Y6023">
        <v>6.5643809999999997E-2</v>
      </c>
      <c r="Z6023" s="1">
        <v>1.5576689999999999E-5</v>
      </c>
      <c r="AA6023">
        <v>0.99784309999999998</v>
      </c>
      <c r="AB6023">
        <v>33</v>
      </c>
      <c r="AC6023">
        <v>-94.349099999999893</v>
      </c>
      <c r="AD6023">
        <v>-1.09213376999999</v>
      </c>
      <c r="AE6023">
        <v>9.2185000000000006</v>
      </c>
      <c r="AF6023">
        <v>6.2425838481757001</v>
      </c>
      <c r="AG6023">
        <v>-1.09213376999999</v>
      </c>
      <c r="AH6023">
        <v>94.580011220414804</v>
      </c>
      <c r="AI6023">
        <v>90.660139863375704</v>
      </c>
      <c r="AJ6023">
        <v>86.223772191458096</v>
      </c>
      <c r="AK6023">
        <v>94.792094246972297</v>
      </c>
      <c r="AL6023">
        <v>90.618233467679801</v>
      </c>
      <c r="AM6023">
        <v>87.090838939705094</v>
      </c>
      <c r="AN6023">
        <v>0.99999998362235898</v>
      </c>
    </row>
    <row r="6024" spans="1:40" x14ac:dyDescent="0.25">
      <c r="A6024" t="str">
        <f>"20190312154042675"</f>
        <v>20190312154042675</v>
      </c>
      <c r="B6024" t="str">
        <f>"1552376442661932"</f>
        <v>1552376442661932</v>
      </c>
      <c r="C6024" t="s">
        <v>40</v>
      </c>
      <c r="D6024">
        <v>3.9621729999999999</v>
      </c>
      <c r="E6024">
        <v>0.50470150000000003</v>
      </c>
      <c r="F6024" t="s">
        <v>42</v>
      </c>
      <c r="G6024">
        <v>-332.80079999999998</v>
      </c>
      <c r="H6024" s="1">
        <v>-5.4009780000000003E-6</v>
      </c>
      <c r="I6024">
        <v>149.56780000000001</v>
      </c>
      <c r="J6024">
        <v>-237.79490000000001</v>
      </c>
      <c r="K6024">
        <v>1.1093649999999999</v>
      </c>
      <c r="L6024">
        <v>140.40770000000001</v>
      </c>
      <c r="M6024">
        <v>-0.99947180000000002</v>
      </c>
      <c r="N6024">
        <v>0</v>
      </c>
      <c r="O6024">
        <v>3.133818E-2</v>
      </c>
      <c r="P6024">
        <v>-0.99646760000000001</v>
      </c>
      <c r="Q6024">
        <v>-1.9710020000000002E-2</v>
      </c>
      <c r="R6024">
        <v>8.1633639999999993E-2</v>
      </c>
      <c r="S6024">
        <v>-2.9863740000000001</v>
      </c>
      <c r="T6024">
        <v>-3.475201E-2</v>
      </c>
      <c r="U6024">
        <v>0.28729250000000001</v>
      </c>
      <c r="V6024">
        <v>5.0364569999999997E-2</v>
      </c>
      <c r="W6024">
        <v>-1.110072E-2</v>
      </c>
      <c r="X6024">
        <v>0.99866920000000003</v>
      </c>
      <c r="Y6024">
        <v>6.4514450000000001E-2</v>
      </c>
      <c r="Z6024" s="1">
        <v>1.0837769999999999E-5</v>
      </c>
      <c r="AA6024">
        <v>0.99791680000000005</v>
      </c>
      <c r="AB6024">
        <v>33</v>
      </c>
      <c r="AC6024">
        <v>-95.005899999999897</v>
      </c>
      <c r="AD6024">
        <v>-1.1093704009780001</v>
      </c>
      <c r="AE6024">
        <v>9.1600999999999999</v>
      </c>
      <c r="AF6024">
        <v>6.17734384170127</v>
      </c>
      <c r="AG6024">
        <v>-1.1093704009780001</v>
      </c>
      <c r="AH6024">
        <v>95.233439417029501</v>
      </c>
      <c r="AI6024">
        <v>90.666006465228406</v>
      </c>
      <c r="AJ6024">
        <v>86.288692429127806</v>
      </c>
      <c r="AK6024">
        <v>95.440024428026007</v>
      </c>
      <c r="AL6024">
        <v>90.636037472894799</v>
      </c>
      <c r="AM6024">
        <v>87.112923287534997</v>
      </c>
      <c r="AN6024">
        <v>0.99999999346222102</v>
      </c>
    </row>
    <row r="6025" spans="1:40" x14ac:dyDescent="0.25">
      <c r="A6025" t="str">
        <f>"20190312154042699"</f>
        <v>20190312154042699</v>
      </c>
      <c r="B6025" t="str">
        <f>"1552376442692189"</f>
        <v>1552376442692189</v>
      </c>
      <c r="C6025" t="s">
        <v>40</v>
      </c>
      <c r="D6025">
        <v>3.9946679999999999</v>
      </c>
      <c r="E6025">
        <v>0.50432489999999996</v>
      </c>
      <c r="F6025" t="s">
        <v>42</v>
      </c>
      <c r="G6025">
        <v>-330.15019999999998</v>
      </c>
      <c r="H6025" s="1">
        <v>-6.3475309999999996E-6</v>
      </c>
      <c r="I6025">
        <v>149.16589999999999</v>
      </c>
      <c r="J6025">
        <v>-238.13079999999999</v>
      </c>
      <c r="K6025">
        <v>1.109483</v>
      </c>
      <c r="L6025">
        <v>140.41810000000001</v>
      </c>
      <c r="M6025">
        <v>-0.9994731</v>
      </c>
      <c r="N6025">
        <v>0</v>
      </c>
      <c r="O6025">
        <v>3.112587E-2</v>
      </c>
      <c r="P6025">
        <v>-0.9965096</v>
      </c>
      <c r="Q6025">
        <v>-2.0174729999999998E-2</v>
      </c>
      <c r="R6025">
        <v>8.1004549999999995E-2</v>
      </c>
      <c r="S6025">
        <v>-2.9867249999999999</v>
      </c>
      <c r="T6025">
        <v>-3.587651E-2</v>
      </c>
      <c r="U6025">
        <v>0.28323359999999997</v>
      </c>
      <c r="V6025">
        <v>4.994871E-2</v>
      </c>
      <c r="W6025">
        <v>-1.097412E-2</v>
      </c>
      <c r="X6025">
        <v>0.99869149999999995</v>
      </c>
      <c r="Y6025">
        <v>6.3371090000000005E-2</v>
      </c>
      <c r="Z6025" s="1">
        <v>6.8742080000000004E-6</v>
      </c>
      <c r="AA6025">
        <v>0.99799000000000004</v>
      </c>
      <c r="AB6025">
        <v>33</v>
      </c>
      <c r="AC6025">
        <v>-92.019400000000005</v>
      </c>
      <c r="AD6025">
        <v>-1.1094893475309999</v>
      </c>
      <c r="AE6025">
        <v>8.7477999999999803</v>
      </c>
      <c r="AF6025">
        <v>5.8784089862355096</v>
      </c>
      <c r="AG6025">
        <v>-1.1094893475309999</v>
      </c>
      <c r="AH6025">
        <v>92.233816399995504</v>
      </c>
      <c r="AI6025">
        <v>90.687787794926393</v>
      </c>
      <c r="AJ6025">
        <v>86.353256222313803</v>
      </c>
      <c r="AK6025">
        <v>92.427612467973105</v>
      </c>
      <c r="AL6025">
        <v>90.628783375788103</v>
      </c>
      <c r="AM6025">
        <v>87.136785859791502</v>
      </c>
      <c r="AN6025">
        <v>1.0000000085563401</v>
      </c>
    </row>
    <row r="6026" spans="1:40" x14ac:dyDescent="0.25">
      <c r="A6026" t="str">
        <f>"20190312154042721"</f>
        <v>20190312154042721</v>
      </c>
      <c r="B6026" t="str">
        <f>"1552376442712684"</f>
        <v>1552376442712684</v>
      </c>
      <c r="C6026" t="s">
        <v>40</v>
      </c>
      <c r="D6026">
        <v>4.0175979999999996</v>
      </c>
      <c r="E6026">
        <v>0.50413240000000004</v>
      </c>
      <c r="F6026" t="s">
        <v>42</v>
      </c>
      <c r="G6026">
        <v>-331.5813</v>
      </c>
      <c r="H6026" s="1">
        <v>-5.7911770000000001E-6</v>
      </c>
      <c r="I6026">
        <v>149.1275</v>
      </c>
      <c r="J6026">
        <v>-238.46129999999999</v>
      </c>
      <c r="K6026">
        <v>1.1095710000000001</v>
      </c>
      <c r="L6026">
        <v>140.4282</v>
      </c>
      <c r="M6026">
        <v>-0.99947620000000004</v>
      </c>
      <c r="N6026">
        <v>0</v>
      </c>
      <c r="O6026">
        <v>3.0875360000000001E-2</v>
      </c>
      <c r="P6026">
        <v>-0.99661239999999995</v>
      </c>
      <c r="Q6026">
        <v>-2.0721750000000001E-2</v>
      </c>
      <c r="R6026">
        <v>7.9589099999999996E-2</v>
      </c>
      <c r="S6026">
        <v>-2.987152</v>
      </c>
      <c r="T6026">
        <v>-3.5464879999999997E-2</v>
      </c>
      <c r="U6026">
        <v>0.27839659999999999</v>
      </c>
      <c r="V6026">
        <v>4.8782369999999999E-2</v>
      </c>
      <c r="W6026">
        <v>-1.1012289999999999E-2</v>
      </c>
      <c r="X6026">
        <v>0.99874870000000004</v>
      </c>
      <c r="Y6026">
        <v>6.2005869999999998E-2</v>
      </c>
      <c r="Z6026" s="1">
        <v>1.6689879999999999E-6</v>
      </c>
      <c r="AA6026">
        <v>0.99807579999999996</v>
      </c>
      <c r="AB6026">
        <v>32</v>
      </c>
      <c r="AC6026">
        <v>-93.12</v>
      </c>
      <c r="AD6026">
        <v>-1.10957679117699</v>
      </c>
      <c r="AE6026">
        <v>8.6992999999999903</v>
      </c>
      <c r="AF6026">
        <v>5.8190843867301698</v>
      </c>
      <c r="AG6026">
        <v>-1.10957679117699</v>
      </c>
      <c r="AH6026">
        <v>93.331070259838995</v>
      </c>
      <c r="AI6026">
        <v>90.679815203501605</v>
      </c>
      <c r="AJ6026">
        <v>86.432292579547195</v>
      </c>
      <c r="AK6026">
        <v>93.518883545530002</v>
      </c>
      <c r="AL6026">
        <v>90.630970507145094</v>
      </c>
      <c r="AM6026">
        <v>87.203696577144498</v>
      </c>
      <c r="AN6026">
        <v>0.99999997795277495</v>
      </c>
    </row>
    <row r="6027" spans="1:40" x14ac:dyDescent="0.25">
      <c r="A6027" t="str">
        <f>"20190312154042742"</f>
        <v>20190312154042742</v>
      </c>
      <c r="B6027" t="str">
        <f>"1552376442732208"</f>
        <v>1552376442732208</v>
      </c>
      <c r="C6027" t="s">
        <v>40</v>
      </c>
      <c r="D6027">
        <v>4.02705</v>
      </c>
      <c r="E6027">
        <v>0.48193180000000002</v>
      </c>
      <c r="F6027" t="s">
        <v>42</v>
      </c>
      <c r="G6027">
        <v>-329.31950000000001</v>
      </c>
      <c r="H6027" s="1">
        <v>-2.696373E-6</v>
      </c>
      <c r="I6027">
        <v>148.71950000000001</v>
      </c>
      <c r="J6027">
        <v>-238.77869999999999</v>
      </c>
      <c r="K6027">
        <v>1.1096280000000001</v>
      </c>
      <c r="L6027">
        <v>140.43780000000001</v>
      </c>
      <c r="M6027">
        <v>-0.99947989999999998</v>
      </c>
      <c r="N6027">
        <v>0</v>
      </c>
      <c r="O6027">
        <v>3.0614220000000001E-2</v>
      </c>
      <c r="P6027">
        <v>-0.99669779999999997</v>
      </c>
      <c r="Q6027">
        <v>-2.1559539999999999E-2</v>
      </c>
      <c r="R6027">
        <v>7.828678E-2</v>
      </c>
      <c r="S6027">
        <v>-2.9876710000000002</v>
      </c>
      <c r="T6027">
        <v>-3.6485910000000003E-2</v>
      </c>
      <c r="U6027">
        <v>0.272644</v>
      </c>
      <c r="V6027">
        <v>4.7740310000000001E-2</v>
      </c>
      <c r="W6027">
        <v>-1.142073E-2</v>
      </c>
      <c r="X6027">
        <v>0.99879450000000003</v>
      </c>
      <c r="Y6027">
        <v>6.034486E-2</v>
      </c>
      <c r="Z6027" s="1">
        <v>-5.229289E-6</v>
      </c>
      <c r="AA6027">
        <v>0.9981776</v>
      </c>
      <c r="AB6027">
        <v>32</v>
      </c>
      <c r="AC6027">
        <v>-90.540800000000004</v>
      </c>
      <c r="AD6027">
        <v>-1.109630696373</v>
      </c>
      <c r="AE6027">
        <v>8.2817000000000007</v>
      </c>
      <c r="AF6027">
        <v>5.5050194568925299</v>
      </c>
      <c r="AG6027">
        <v>-1.109630696373</v>
      </c>
      <c r="AH6027">
        <v>90.738391928911099</v>
      </c>
      <c r="AI6027">
        <v>90.699343676306</v>
      </c>
      <c r="AJ6027">
        <v>86.528170267998803</v>
      </c>
      <c r="AK6027">
        <v>90.912002999316698</v>
      </c>
      <c r="AL6027">
        <v>90.654373846126205</v>
      </c>
      <c r="AM6027">
        <v>87.263463052743802</v>
      </c>
      <c r="AN6027">
        <v>1.0000000117514301</v>
      </c>
    </row>
    <row r="6028" spans="1:40" x14ac:dyDescent="0.25">
      <c r="A6028" t="str">
        <f>"20190312154042764"</f>
        <v>20190312154042764</v>
      </c>
      <c r="B6028" t="str">
        <f>"1552376442752701"</f>
        <v>1552376442752701</v>
      </c>
      <c r="C6028" t="s">
        <v>40</v>
      </c>
      <c r="D6028">
        <v>4.051685</v>
      </c>
      <c r="E6028">
        <v>0.48049839999999999</v>
      </c>
      <c r="F6028" t="s">
        <v>82</v>
      </c>
      <c r="G6028">
        <v>-550.16300000000001</v>
      </c>
      <c r="H6028">
        <v>3.4004470000000002</v>
      </c>
      <c r="I6028">
        <v>150.2458</v>
      </c>
      <c r="J6028">
        <v>-239.0874</v>
      </c>
      <c r="K6028">
        <v>1.1096680000000001</v>
      </c>
      <c r="L6028">
        <v>140.4469</v>
      </c>
      <c r="M6028">
        <v>-0.99948419999999905</v>
      </c>
      <c r="N6028">
        <v>0</v>
      </c>
      <c r="O6028">
        <v>3.0349750000000002E-2</v>
      </c>
      <c r="P6028">
        <v>-0.99680239999999998</v>
      </c>
      <c r="Q6028">
        <v>-2.1947640000000001E-2</v>
      </c>
      <c r="R6028">
        <v>7.6834139999999995E-2</v>
      </c>
      <c r="S6028">
        <v>-3.0029910000000002</v>
      </c>
      <c r="T6028">
        <v>2.2093060000000001E-2</v>
      </c>
      <c r="U6028">
        <v>9.4589229999999996E-2</v>
      </c>
      <c r="V6028">
        <v>4.6549899999999998E-2</v>
      </c>
      <c r="W6028">
        <v>-1.144246E-2</v>
      </c>
      <c r="X6028">
        <v>0.99885040000000003</v>
      </c>
      <c r="Y6028">
        <v>1.132638E-3</v>
      </c>
      <c r="Z6028">
        <v>2.1901989999999999E-4</v>
      </c>
      <c r="AA6028">
        <v>0.99999930000000004</v>
      </c>
      <c r="AB6028">
        <v>32</v>
      </c>
      <c r="AC6028">
        <v>-311.07560000000001</v>
      </c>
      <c r="AD6028">
        <v>2.2907790000000001</v>
      </c>
      <c r="AE6028">
        <v>9.7988999999999997</v>
      </c>
      <c r="AF6028">
        <v>0.35277936867286402</v>
      </c>
      <c r="AG6028">
        <v>2.2907790000000001</v>
      </c>
      <c r="AH6028">
        <v>311.212834599183</v>
      </c>
      <c r="AI6028">
        <v>89.578264457046899</v>
      </c>
      <c r="AJ6028">
        <v>89.935051649483796</v>
      </c>
      <c r="AK6028">
        <v>311.22146542449201</v>
      </c>
      <c r="AL6028">
        <v>90.6556189906062</v>
      </c>
      <c r="AM6028">
        <v>87.331748145079999</v>
      </c>
      <c r="AN6028">
        <v>0.99999997233050997</v>
      </c>
    </row>
    <row r="6029" spans="1:40" x14ac:dyDescent="0.25">
      <c r="A6029" t="str">
        <f>"20190312154042779"</f>
        <v>20190312154042779</v>
      </c>
      <c r="B6029" t="str">
        <f>"1552376442772221"</f>
        <v>1552376442772221</v>
      </c>
      <c r="C6029" t="s">
        <v>40</v>
      </c>
      <c r="D6029">
        <v>3.9941040000000001</v>
      </c>
      <c r="E6029">
        <v>0.47958659999999997</v>
      </c>
      <c r="F6029" t="s">
        <v>50</v>
      </c>
      <c r="G6029">
        <v>0</v>
      </c>
      <c r="H6029">
        <v>0</v>
      </c>
      <c r="I6029">
        <v>0</v>
      </c>
      <c r="J6029">
        <v>-239.28659999999999</v>
      </c>
      <c r="K6029">
        <v>1.109688</v>
      </c>
      <c r="L6029">
        <v>140.4528</v>
      </c>
      <c r="M6029">
        <v>-0.99948720000000002</v>
      </c>
      <c r="N6029">
        <v>0</v>
      </c>
      <c r="O6029">
        <v>3.0176919999999999E-2</v>
      </c>
      <c r="P6029">
        <v>-0.99685190000000001</v>
      </c>
      <c r="Q6029">
        <v>-2.166245E-2</v>
      </c>
      <c r="R6029">
        <v>7.6269980000000001E-2</v>
      </c>
      <c r="S6029">
        <v>-3.0039370000000001</v>
      </c>
      <c r="T6029">
        <v>1.6338709999999999E-2</v>
      </c>
      <c r="U6029">
        <v>7.8674320000000006E-2</v>
      </c>
      <c r="V6029">
        <v>4.61571E-2</v>
      </c>
      <c r="W6029">
        <v>-1.094142E-2</v>
      </c>
      <c r="X6029">
        <v>0.99887420000000005</v>
      </c>
      <c r="Y6029">
        <v>-3.9982990000000003E-3</v>
      </c>
      <c r="Z6029">
        <v>1.74952E-4</v>
      </c>
      <c r="AA6029">
        <v>0.99999199999999999</v>
      </c>
      <c r="AB6029">
        <v>32</v>
      </c>
      <c r="AC6029">
        <v>-3.0039370000000001</v>
      </c>
      <c r="AD6029">
        <v>1.6338709999999999E-2</v>
      </c>
      <c r="AE6029">
        <v>7.8674320000000006E-2</v>
      </c>
      <c r="AF6029">
        <v>-1.2015924588892699E-2</v>
      </c>
      <c r="AG6029">
        <v>1.6338709999999999E-2</v>
      </c>
      <c r="AH6029">
        <v>3.0048542199146899</v>
      </c>
      <c r="AI6029">
        <v>89.688463284070096</v>
      </c>
      <c r="AJ6029">
        <v>90.2291153067263</v>
      </c>
      <c r="AK6029">
        <v>3.0049226643671401</v>
      </c>
      <c r="AL6029">
        <v>90.6269097405781</v>
      </c>
      <c r="AM6029">
        <v>87.354294360237901</v>
      </c>
      <c r="AN6029">
        <v>0.99999992998883003</v>
      </c>
    </row>
    <row r="6030" spans="1:40" x14ac:dyDescent="0.25">
      <c r="A6030" t="str">
        <f>"20190312154042800"</f>
        <v>20190312154042800</v>
      </c>
      <c r="B6030" t="str">
        <f>"1552376442792716"</f>
        <v>1552376442792716</v>
      </c>
      <c r="C6030" t="s">
        <v>40</v>
      </c>
      <c r="D6030">
        <v>3.9542259999999998</v>
      </c>
      <c r="E6030">
        <v>0.48002719999999999</v>
      </c>
      <c r="F6030" t="s">
        <v>50</v>
      </c>
      <c r="G6030">
        <v>0</v>
      </c>
      <c r="H6030">
        <v>0</v>
      </c>
      <c r="I6030">
        <v>0</v>
      </c>
      <c r="J6030">
        <v>-239.59979999999999</v>
      </c>
      <c r="K6030">
        <v>1.109712</v>
      </c>
      <c r="L6030">
        <v>140.46199999999999</v>
      </c>
      <c r="M6030">
        <v>-0.99949219999999905</v>
      </c>
      <c r="N6030">
        <v>0</v>
      </c>
      <c r="O6030">
        <v>2.990516E-2</v>
      </c>
      <c r="P6030">
        <v>-0.99691439999999998</v>
      </c>
      <c r="Q6030">
        <v>-2.1153290000000002E-2</v>
      </c>
      <c r="R6030">
        <v>7.5592670000000001E-2</v>
      </c>
      <c r="S6030">
        <v>-3.0044400000000002</v>
      </c>
      <c r="T6030">
        <v>1.5403989999999999E-2</v>
      </c>
      <c r="U6030">
        <v>6.9763179999999994E-2</v>
      </c>
      <c r="V6030">
        <v>4.5749289999999998E-2</v>
      </c>
      <c r="W6030">
        <v>-1.013674E-2</v>
      </c>
      <c r="X6030">
        <v>0.9989015</v>
      </c>
      <c r="Y6030">
        <v>-6.6950389999999999E-3</v>
      </c>
      <c r="Z6030">
        <v>1.7044360000000001E-4</v>
      </c>
      <c r="AA6030">
        <v>0.99997760000000002</v>
      </c>
      <c r="AB6030">
        <v>32</v>
      </c>
      <c r="AC6030">
        <v>-3.0044400000000002</v>
      </c>
      <c r="AD6030">
        <v>1.5403989999999999E-2</v>
      </c>
      <c r="AE6030">
        <v>6.9763179999999994E-2</v>
      </c>
      <c r="AF6030">
        <v>-2.0121193652328399E-2</v>
      </c>
      <c r="AG6030">
        <v>1.5403989999999999E-2</v>
      </c>
      <c r="AH6030">
        <v>3.0051035265586798</v>
      </c>
      <c r="AI6030">
        <v>89.706314243717699</v>
      </c>
      <c r="AJ6030">
        <v>90.383628130268093</v>
      </c>
      <c r="AK6030">
        <v>3.0052103671252901</v>
      </c>
      <c r="AL6030">
        <v>90.580802379164197</v>
      </c>
      <c r="AM6030">
        <v>87.377708651898303</v>
      </c>
      <c r="AN6030">
        <v>0.99999997886779002</v>
      </c>
    </row>
    <row r="6031" spans="1:40" x14ac:dyDescent="0.25">
      <c r="A6031" t="str">
        <f>"20190312154042822"</f>
        <v>20190312154042822</v>
      </c>
      <c r="B6031" t="str">
        <f>"1552376442812236"</f>
        <v>1552376442812236</v>
      </c>
      <c r="C6031" t="s">
        <v>40</v>
      </c>
      <c r="D6031">
        <v>3.9594</v>
      </c>
      <c r="E6031">
        <v>0.48007240000000001</v>
      </c>
      <c r="F6031" t="s">
        <v>50</v>
      </c>
      <c r="G6031">
        <v>0</v>
      </c>
      <c r="H6031">
        <v>0</v>
      </c>
      <c r="I6031">
        <v>0</v>
      </c>
      <c r="J6031">
        <v>-239.9299</v>
      </c>
      <c r="K6031">
        <v>1.109653</v>
      </c>
      <c r="L6031">
        <v>140.4716</v>
      </c>
      <c r="M6031">
        <v>-0.99950050000000001</v>
      </c>
      <c r="N6031">
        <v>0</v>
      </c>
      <c r="O6031">
        <v>2.9624370000000001E-2</v>
      </c>
      <c r="P6031">
        <v>-0.99693869999999896</v>
      </c>
      <c r="Q6031">
        <v>-2.088924E-2</v>
      </c>
      <c r="R6031">
        <v>7.5346659999999996E-2</v>
      </c>
      <c r="S6031">
        <v>-3.0042719999999998</v>
      </c>
      <c r="T6031">
        <v>2.010238E-2</v>
      </c>
      <c r="U6031">
        <v>7.1319579999999994E-2</v>
      </c>
      <c r="V6031">
        <v>4.578343E-2</v>
      </c>
      <c r="W6031">
        <v>-9.8737040000000005E-3</v>
      </c>
      <c r="X6031">
        <v>0.99890259999999997</v>
      </c>
      <c r="Y6031">
        <v>-5.8947390000000004E-3</v>
      </c>
      <c r="Z6031">
        <v>2.1788579999999999E-4</v>
      </c>
      <c r="AA6031">
        <v>0.99998260000000005</v>
      </c>
      <c r="AB6031">
        <v>32</v>
      </c>
      <c r="AC6031">
        <v>-3.0042719999999998</v>
      </c>
      <c r="AD6031">
        <v>2.010238E-2</v>
      </c>
      <c r="AE6031">
        <v>7.1319579999999994E-2</v>
      </c>
      <c r="AF6031">
        <v>-1.7715989888945901E-2</v>
      </c>
      <c r="AG6031">
        <v>2.010238E-2</v>
      </c>
      <c r="AH6031">
        <v>3.0049317328451202</v>
      </c>
      <c r="AI6031">
        <v>89.616715307606995</v>
      </c>
      <c r="AJ6031">
        <v>90.337791264643997</v>
      </c>
      <c r="AK6031">
        <v>3.0050511944123302</v>
      </c>
      <c r="AL6031">
        <v>90.565730755053494</v>
      </c>
      <c r="AM6031">
        <v>87.375757410715707</v>
      </c>
      <c r="AN6031">
        <v>1.00000000839</v>
      </c>
    </row>
    <row r="6032" spans="1:40" x14ac:dyDescent="0.25">
      <c r="A6032" t="str">
        <f>"20190312154042843"</f>
        <v>20190312154042843</v>
      </c>
      <c r="B6032" t="str">
        <f>"1552376442831760"</f>
        <v>1552376442831760</v>
      </c>
      <c r="C6032" t="s">
        <v>40</v>
      </c>
      <c r="D6032">
        <v>3.8695200000000001</v>
      </c>
      <c r="E6032">
        <v>0.48001719999999998</v>
      </c>
      <c r="F6032" t="s">
        <v>50</v>
      </c>
      <c r="G6032">
        <v>0</v>
      </c>
      <c r="H6032">
        <v>0</v>
      </c>
      <c r="I6032">
        <v>0</v>
      </c>
      <c r="J6032">
        <v>-240.2364</v>
      </c>
      <c r="K6032">
        <v>1.1093630000000001</v>
      </c>
      <c r="L6032">
        <v>140.4804</v>
      </c>
      <c r="M6032">
        <v>-0.9995174</v>
      </c>
      <c r="N6032">
        <v>0</v>
      </c>
      <c r="O6032">
        <v>2.9372329999999999E-2</v>
      </c>
      <c r="P6032">
        <v>-0.996923</v>
      </c>
      <c r="Q6032">
        <v>-2.024776E-2</v>
      </c>
      <c r="R6032">
        <v>7.572769E-2</v>
      </c>
      <c r="S6032">
        <v>-3.0042879999999998</v>
      </c>
      <c r="T6032">
        <v>2.0212770000000001E-2</v>
      </c>
      <c r="U6032">
        <v>7.0846560000000003E-2</v>
      </c>
      <c r="V6032">
        <v>4.6416560000000003E-2</v>
      </c>
      <c r="W6032">
        <v>-1.012383E-2</v>
      </c>
      <c r="X6032">
        <v>0.99887079999999995</v>
      </c>
      <c r="Y6032">
        <v>-5.7997839999999997E-3</v>
      </c>
      <c r="Z6032">
        <v>2.170657E-4</v>
      </c>
      <c r="AA6032">
        <v>0.99998310000000001</v>
      </c>
      <c r="AB6032">
        <v>32</v>
      </c>
      <c r="AC6032">
        <v>-3.0042879999999998</v>
      </c>
      <c r="AD6032">
        <v>2.0212770000000001E-2</v>
      </c>
      <c r="AE6032">
        <v>7.0846560000000003E-2</v>
      </c>
      <c r="AF6032">
        <v>-1.74306715900037E-2</v>
      </c>
      <c r="AG6032">
        <v>2.0212770000000001E-2</v>
      </c>
      <c r="AH6032">
        <v>3.00493672762008</v>
      </c>
      <c r="AI6032">
        <v>89.614611031915899</v>
      </c>
      <c r="AJ6032">
        <v>90.332350663430802</v>
      </c>
      <c r="AK6032">
        <v>3.0050552609533101</v>
      </c>
      <c r="AL6032">
        <v>90.5800626798449</v>
      </c>
      <c r="AM6032">
        <v>87.339434488524404</v>
      </c>
      <c r="AN6032">
        <v>0.99999993203436799</v>
      </c>
    </row>
    <row r="6033" spans="1:40" x14ac:dyDescent="0.25">
      <c r="A6033" t="str">
        <f>"20190312154042866"</f>
        <v>20190312154042866</v>
      </c>
      <c r="B6033" t="str">
        <f>"1552376442852252"</f>
        <v>1552376442852252</v>
      </c>
      <c r="C6033" t="s">
        <v>40</v>
      </c>
      <c r="D6033">
        <v>3.8812669999999998</v>
      </c>
      <c r="E6033">
        <v>0.47990759999999999</v>
      </c>
      <c r="F6033" t="s">
        <v>50</v>
      </c>
      <c r="G6033">
        <v>0</v>
      </c>
      <c r="H6033">
        <v>0</v>
      </c>
      <c r="I6033">
        <v>0</v>
      </c>
      <c r="J6033">
        <v>-240.57599999999999</v>
      </c>
      <c r="K6033">
        <v>1.10903</v>
      </c>
      <c r="L6033">
        <v>140.49010000000001</v>
      </c>
      <c r="M6033">
        <v>-0.99953720000000001</v>
      </c>
      <c r="N6033">
        <v>0</v>
      </c>
      <c r="O6033">
        <v>2.910132E-2</v>
      </c>
      <c r="P6033">
        <v>-0.99695809999999996</v>
      </c>
      <c r="Q6033">
        <v>-1.9042010000000002E-2</v>
      </c>
      <c r="R6033">
        <v>7.5577389999999994E-2</v>
      </c>
      <c r="S6033">
        <v>-3.0043030000000002</v>
      </c>
      <c r="T6033">
        <v>2.3127789999999999E-2</v>
      </c>
      <c r="U6033">
        <v>7.1533200000000005E-2</v>
      </c>
      <c r="V6033">
        <v>4.6535970000000003E-2</v>
      </c>
      <c r="W6033">
        <v>-1.0160890000000001E-2</v>
      </c>
      <c r="X6033">
        <v>0.99886490000000006</v>
      </c>
      <c r="Y6033">
        <v>-5.2997779999999998E-3</v>
      </c>
      <c r="Z6033">
        <v>2.4435530000000002E-4</v>
      </c>
      <c r="AA6033">
        <v>0.99998589999999998</v>
      </c>
      <c r="AB6033">
        <v>33</v>
      </c>
      <c r="AC6033">
        <v>-3.0043030000000002</v>
      </c>
      <c r="AD6033">
        <v>2.3127789999999999E-2</v>
      </c>
      <c r="AE6033">
        <v>7.1533200000000005E-2</v>
      </c>
      <c r="AF6033">
        <v>-1.5928770344704302E-2</v>
      </c>
      <c r="AG6033">
        <v>2.3127789999999999E-2</v>
      </c>
      <c r="AH6033">
        <v>3.00493429120877</v>
      </c>
      <c r="AI6033">
        <v>89.559031963034798</v>
      </c>
      <c r="AJ6033">
        <v>90.303714716201895</v>
      </c>
      <c r="AK6033">
        <v>3.0050655092488898</v>
      </c>
      <c r="AL6033">
        <v>90.582186152002706</v>
      </c>
      <c r="AM6033">
        <v>87.332584128829595</v>
      </c>
      <c r="AN6033">
        <v>0.99999996432072003</v>
      </c>
    </row>
    <row r="6034" spans="1:40" x14ac:dyDescent="0.25">
      <c r="A6034" t="str">
        <f>"20190312154042887"</f>
        <v>20190312154042887</v>
      </c>
      <c r="B6034" t="str">
        <f>"1552376442882508"</f>
        <v>1552376442882508</v>
      </c>
      <c r="C6034" t="s">
        <v>40</v>
      </c>
      <c r="D6034">
        <v>3.9108450000000001</v>
      </c>
      <c r="E6034">
        <v>0.5087178</v>
      </c>
      <c r="F6034" t="s">
        <v>50</v>
      </c>
      <c r="G6034">
        <v>0</v>
      </c>
      <c r="H6034">
        <v>0</v>
      </c>
      <c r="I6034">
        <v>0</v>
      </c>
      <c r="J6034">
        <v>-240.8938</v>
      </c>
      <c r="K6034">
        <v>1.108776</v>
      </c>
      <c r="L6034">
        <v>140.4992</v>
      </c>
      <c r="M6034">
        <v>-0.9995541</v>
      </c>
      <c r="N6034">
        <v>0</v>
      </c>
      <c r="O6034">
        <v>2.8853230000000001E-2</v>
      </c>
      <c r="P6034">
        <v>-0.99696200000000001</v>
      </c>
      <c r="Q6034">
        <v>-1.812658E-2</v>
      </c>
      <c r="R6034">
        <v>7.5751009999999994E-2</v>
      </c>
      <c r="S6034">
        <v>-3.0043030000000002</v>
      </c>
      <c r="T6034">
        <v>2.3534889999999999E-2</v>
      </c>
      <c r="U6034">
        <v>7.0007319999999998E-2</v>
      </c>
      <c r="V6034">
        <v>4.6957400000000003E-2</v>
      </c>
      <c r="W6034">
        <v>-1.0420830000000001E-2</v>
      </c>
      <c r="X6034">
        <v>0.99884249999999997</v>
      </c>
      <c r="Y6034">
        <v>-5.5588719999999899E-3</v>
      </c>
      <c r="Z6034">
        <v>2.4772850000000002E-4</v>
      </c>
      <c r="AA6034">
        <v>0.99998450000000005</v>
      </c>
      <c r="AB6034">
        <v>33</v>
      </c>
      <c r="AC6034">
        <v>-3.0043030000000002</v>
      </c>
      <c r="AD6034">
        <v>2.3534889999999999E-2</v>
      </c>
      <c r="AE6034">
        <v>7.0007319999999998E-2</v>
      </c>
      <c r="AF6034">
        <v>-1.6707210664258901E-2</v>
      </c>
      <c r="AG6034">
        <v>2.3534889999999999E-2</v>
      </c>
      <c r="AH6034">
        <v>3.0048878064893598</v>
      </c>
      <c r="AI6034">
        <v>89.551263959828603</v>
      </c>
      <c r="AJ6034">
        <v>90.318561908544794</v>
      </c>
      <c r="AK6034">
        <v>3.0050264144469598</v>
      </c>
      <c r="AL6034">
        <v>90.597080405507796</v>
      </c>
      <c r="AM6034">
        <v>87.308403087687097</v>
      </c>
      <c r="AN6034">
        <v>0.99999996545944803</v>
      </c>
    </row>
    <row r="6035" spans="1:40" x14ac:dyDescent="0.25">
      <c r="A6035" t="str">
        <f>"20190312154042911"</f>
        <v>20190312154042911</v>
      </c>
      <c r="B6035" t="str">
        <f>"1552376442902033"</f>
        <v>1552376442902033</v>
      </c>
      <c r="C6035" t="s">
        <v>40</v>
      </c>
      <c r="D6035">
        <v>3.8816090000000001</v>
      </c>
      <c r="E6035">
        <v>0.52533369999999902</v>
      </c>
      <c r="F6035" t="s">
        <v>68</v>
      </c>
      <c r="G6035">
        <v>-459.875</v>
      </c>
      <c r="H6035">
        <v>11.0357</v>
      </c>
      <c r="I6035">
        <v>162.77699999999999</v>
      </c>
      <c r="J6035">
        <v>-241.25239999999999</v>
      </c>
      <c r="K6035">
        <v>1.1085400000000001</v>
      </c>
      <c r="L6035">
        <v>140.5093</v>
      </c>
      <c r="M6035">
        <v>-0.99957110000000005</v>
      </c>
      <c r="N6035">
        <v>0</v>
      </c>
      <c r="O6035">
        <v>2.8582949999999999E-2</v>
      </c>
      <c r="P6035">
        <v>-0.99701589999999995</v>
      </c>
      <c r="Q6035">
        <v>-1.6552250000000001E-2</v>
      </c>
      <c r="R6035">
        <v>7.540355E-2</v>
      </c>
      <c r="S6035">
        <v>-2.9884949999999999</v>
      </c>
      <c r="T6035">
        <v>0.1354754</v>
      </c>
      <c r="U6035">
        <v>0.30403140000000001</v>
      </c>
      <c r="V6035">
        <v>4.6878499999999997E-2</v>
      </c>
      <c r="W6035">
        <v>-1.014293E-2</v>
      </c>
      <c r="X6035">
        <v>0.99884910000000005</v>
      </c>
      <c r="Y6035">
        <v>7.2688630000000004E-2</v>
      </c>
      <c r="Z6035">
        <v>-3.5132970000000002E-4</v>
      </c>
      <c r="AA6035">
        <v>0.99735459999999998</v>
      </c>
      <c r="AB6035">
        <v>33</v>
      </c>
      <c r="AC6035">
        <v>-218.62260000000001</v>
      </c>
      <c r="AD6035">
        <v>9.9271600000000007</v>
      </c>
      <c r="AE6035">
        <v>22.267700000000001</v>
      </c>
      <c r="AF6035">
        <v>15.9769916539459</v>
      </c>
      <c r="AG6035">
        <v>9.9271600000000007</v>
      </c>
      <c r="AH6035">
        <v>218.72341462372</v>
      </c>
      <c r="AI6035">
        <v>87.408206248627096</v>
      </c>
      <c r="AJ6035">
        <v>85.822160924093595</v>
      </c>
      <c r="AK6035">
        <v>219.53073787657999</v>
      </c>
      <c r="AL6035">
        <v>90.581157046765696</v>
      </c>
      <c r="AM6035">
        <v>87.312936728632906</v>
      </c>
      <c r="AN6035">
        <v>0.99999999868102196</v>
      </c>
    </row>
    <row r="6036" spans="1:40" x14ac:dyDescent="0.25">
      <c r="A6036" t="str">
        <f>"20190312154042933"</f>
        <v>20190312154042933</v>
      </c>
      <c r="B6036" t="str">
        <f>"1552376442922524"</f>
        <v>1552376442922524</v>
      </c>
      <c r="C6036" t="s">
        <v>40</v>
      </c>
      <c r="D6036">
        <v>3.8489239999999998</v>
      </c>
      <c r="E6036">
        <v>0.53501209999999999</v>
      </c>
      <c r="F6036" t="s">
        <v>68</v>
      </c>
      <c r="G6036">
        <v>-459.875</v>
      </c>
      <c r="H6036">
        <v>13.4094</v>
      </c>
      <c r="I6036">
        <v>172.53870000000001</v>
      </c>
      <c r="J6036">
        <v>-241.58080000000001</v>
      </c>
      <c r="K6036">
        <v>1.1083909999999999</v>
      </c>
      <c r="L6036">
        <v>140.51859999999999</v>
      </c>
      <c r="M6036">
        <v>-0.99958429999999998</v>
      </c>
      <c r="N6036">
        <v>0</v>
      </c>
      <c r="O6036">
        <v>2.834242E-2</v>
      </c>
      <c r="P6036">
        <v>-0.99708039999999998</v>
      </c>
      <c r="Q6036">
        <v>-1.435546E-2</v>
      </c>
      <c r="R6036">
        <v>7.4996779999999999E-2</v>
      </c>
      <c r="S6036">
        <v>-2.978745</v>
      </c>
      <c r="T6036">
        <v>0.16759979999999999</v>
      </c>
      <c r="U6036">
        <v>0.43640139999999999</v>
      </c>
      <c r="V6036">
        <v>4.6710309999999998E-2</v>
      </c>
      <c r="W6036">
        <v>-9.0629709999999995E-3</v>
      </c>
      <c r="X6036">
        <v>0.99886739999999996</v>
      </c>
      <c r="Y6036">
        <v>0.1167193</v>
      </c>
      <c r="Z6036">
        <v>-1.679608E-3</v>
      </c>
      <c r="AA6036">
        <v>0.99316349999999998</v>
      </c>
      <c r="AB6036">
        <v>34</v>
      </c>
      <c r="AC6036">
        <v>-218.29419999999999</v>
      </c>
      <c r="AD6036">
        <v>12.301009000000001</v>
      </c>
      <c r="AE6036">
        <v>32.020099999999999</v>
      </c>
      <c r="AF6036">
        <v>25.740150532091601</v>
      </c>
      <c r="AG6036">
        <v>12.301009000000001</v>
      </c>
      <c r="AH6036">
        <v>218.43503571383101</v>
      </c>
      <c r="AI6036">
        <v>86.798936327547096</v>
      </c>
      <c r="AJ6036">
        <v>83.279320196625406</v>
      </c>
      <c r="AK6036">
        <v>220.29011552753701</v>
      </c>
      <c r="AL6036">
        <v>90.519277077968596</v>
      </c>
      <c r="AM6036">
        <v>87.322612262529603</v>
      </c>
      <c r="AN6036">
        <v>1.0000000366432</v>
      </c>
    </row>
    <row r="6037" spans="1:40" x14ac:dyDescent="0.25">
      <c r="A6037" t="str">
        <f>"20190312154042954"</f>
        <v>20190312154042954</v>
      </c>
      <c r="B6037" t="str">
        <f>"1552376442942045"</f>
        <v>1552376442942045</v>
      </c>
      <c r="C6037" t="s">
        <v>40</v>
      </c>
      <c r="D6037">
        <v>3.7924370000000001</v>
      </c>
      <c r="E6037">
        <v>0.53997580000000001</v>
      </c>
      <c r="F6037" t="s">
        <v>68</v>
      </c>
      <c r="G6037">
        <v>-459.875</v>
      </c>
      <c r="H6037">
        <v>16.085470000000001</v>
      </c>
      <c r="I6037">
        <v>178.20689999999999</v>
      </c>
      <c r="J6037">
        <v>-241.9111</v>
      </c>
      <c r="K6037">
        <v>1.1083209999999999</v>
      </c>
      <c r="L6037">
        <v>140.52780000000001</v>
      </c>
      <c r="M6037">
        <v>-0.99959589999999998</v>
      </c>
      <c r="N6037">
        <v>0</v>
      </c>
      <c r="O6037">
        <v>2.8095740000000001E-2</v>
      </c>
      <c r="P6037">
        <v>-0.99716139999999998</v>
      </c>
      <c r="Q6037">
        <v>-1.2425729999999999E-2</v>
      </c>
      <c r="R6037">
        <v>7.4261289999999994E-2</v>
      </c>
      <c r="S6037">
        <v>-2.9731139999999998</v>
      </c>
      <c r="T6037">
        <v>0.2039841</v>
      </c>
      <c r="U6037">
        <v>0.51330569999999998</v>
      </c>
      <c r="V6037">
        <v>4.6219290000000003E-2</v>
      </c>
      <c r="W6037">
        <v>-8.0900499999999997E-3</v>
      </c>
      <c r="X6037">
        <v>0.99889859999999997</v>
      </c>
      <c r="Y6037">
        <v>0.14211860000000001</v>
      </c>
      <c r="Z6037">
        <v>-2.9240260000000001E-3</v>
      </c>
      <c r="AA6037">
        <v>0.98984530000000004</v>
      </c>
      <c r="AB6037">
        <v>34</v>
      </c>
      <c r="AC6037">
        <v>-217.9639</v>
      </c>
      <c r="AD6037">
        <v>14.977148999999899</v>
      </c>
      <c r="AE6037">
        <v>37.679099999999899</v>
      </c>
      <c r="AF6037">
        <v>31.396371509108501</v>
      </c>
      <c r="AG6037">
        <v>14.977148999999899</v>
      </c>
      <c r="AH6037">
        <v>217.93733177414899</v>
      </c>
      <c r="AI6037">
        <v>86.108731288379303</v>
      </c>
      <c r="AJ6037">
        <v>81.802286496854506</v>
      </c>
      <c r="AK6037">
        <v>220.69600747848099</v>
      </c>
      <c r="AL6037">
        <v>90.463530757762797</v>
      </c>
      <c r="AM6037">
        <v>87.350799351925403</v>
      </c>
      <c r="AN6037">
        <v>1.0000000423795301</v>
      </c>
    </row>
    <row r="6038" spans="1:40" x14ac:dyDescent="0.25">
      <c r="A6038" t="str">
        <f>"20190312154042977"</f>
        <v>20190312154042977</v>
      </c>
      <c r="B6038" t="str">
        <f>"1552376442972301"</f>
        <v>1552376442972301</v>
      </c>
      <c r="C6038" t="s">
        <v>40</v>
      </c>
      <c r="D6038">
        <v>3.7851240000000002</v>
      </c>
      <c r="E6038">
        <v>0.54434469999999902</v>
      </c>
      <c r="F6038" t="s">
        <v>68</v>
      </c>
      <c r="G6038">
        <v>-459.58620000000002</v>
      </c>
      <c r="H6038">
        <v>18.002759999999999</v>
      </c>
      <c r="I6038">
        <v>180.9307</v>
      </c>
      <c r="J6038">
        <v>-242.2526</v>
      </c>
      <c r="K6038">
        <v>1.1083590000000001</v>
      </c>
      <c r="L6038">
        <v>140.53710000000001</v>
      </c>
      <c r="M6038">
        <v>-0.99960610000000005</v>
      </c>
      <c r="N6038">
        <v>0</v>
      </c>
      <c r="O6038">
        <v>2.7820290000000001E-2</v>
      </c>
      <c r="P6038">
        <v>-0.99724950000000001</v>
      </c>
      <c r="Q6038">
        <v>-1.1430020000000001E-2</v>
      </c>
      <c r="R6038">
        <v>7.3230550000000005E-2</v>
      </c>
      <c r="S6038">
        <v>-2.9703520000000001</v>
      </c>
      <c r="T6038">
        <v>0.2305382</v>
      </c>
      <c r="U6038">
        <v>0.5513306</v>
      </c>
      <c r="V6038">
        <v>4.54624E-2</v>
      </c>
      <c r="W6038">
        <v>-7.7362469999999999E-3</v>
      </c>
      <c r="X6038">
        <v>0.99893609999999999</v>
      </c>
      <c r="Y6038">
        <v>0.154701799999999</v>
      </c>
      <c r="Z6038">
        <v>-3.807651E-3</v>
      </c>
      <c r="AA6038">
        <v>0.98795379999999999</v>
      </c>
      <c r="AB6038">
        <v>34</v>
      </c>
      <c r="AC6038">
        <v>-217.33359999999999</v>
      </c>
      <c r="AD6038">
        <v>16.894400999999998</v>
      </c>
      <c r="AE6038">
        <v>40.3935999999999</v>
      </c>
      <c r="AF6038">
        <v>34.132275293747703</v>
      </c>
      <c r="AG6038">
        <v>16.894400999999998</v>
      </c>
      <c r="AH6038">
        <v>217.10514856641899</v>
      </c>
      <c r="AI6038">
        <v>85.604177809411695</v>
      </c>
      <c r="AJ6038">
        <v>81.0653530603837</v>
      </c>
      <c r="AK6038">
        <v>220.42023168467099</v>
      </c>
      <c r="AL6038">
        <v>90.443258721430297</v>
      </c>
      <c r="AM6038">
        <v>87.394220219245</v>
      </c>
      <c r="AN6038">
        <v>1.0000000056073</v>
      </c>
    </row>
    <row r="6039" spans="1:40" x14ac:dyDescent="0.25">
      <c r="A6039" t="str">
        <f>"20190312154042992"</f>
        <v>20190312154042992</v>
      </c>
      <c r="B6039" t="str">
        <f>"1552376442982061"</f>
        <v>1552376442982061</v>
      </c>
      <c r="C6039" t="s">
        <v>40</v>
      </c>
      <c r="D6039">
        <v>3.7825980000000001</v>
      </c>
      <c r="E6039">
        <v>0.54529349999999999</v>
      </c>
      <c r="F6039" t="s">
        <v>82</v>
      </c>
      <c r="G6039">
        <v>-511.93329999999997</v>
      </c>
      <c r="H6039">
        <v>24.490459999999999</v>
      </c>
      <c r="I6039">
        <v>193.62739999999999</v>
      </c>
      <c r="J6039">
        <v>-242.49199999999999</v>
      </c>
      <c r="K6039">
        <v>1.1084799999999999</v>
      </c>
      <c r="L6039">
        <v>140.5436</v>
      </c>
      <c r="M6039">
        <v>-0.99961279999999997</v>
      </c>
      <c r="N6039">
        <v>0</v>
      </c>
      <c r="O6039">
        <v>2.7595749999999999E-2</v>
      </c>
      <c r="P6039">
        <v>-0.99729840000000003</v>
      </c>
      <c r="Q6039">
        <v>-1.1090819999999999E-2</v>
      </c>
      <c r="R6039">
        <v>7.2617520000000005E-2</v>
      </c>
      <c r="S6039">
        <v>-2.9683069999999998</v>
      </c>
      <c r="T6039">
        <v>0.25736130000000002</v>
      </c>
      <c r="U6039">
        <v>0.58435059999999905</v>
      </c>
      <c r="V6039">
        <v>4.5073490000000001E-2</v>
      </c>
      <c r="W6039">
        <v>-7.5092419999999898E-3</v>
      </c>
      <c r="X6039">
        <v>0.99895540000000005</v>
      </c>
      <c r="Y6039">
        <v>0.16550860000000001</v>
      </c>
      <c r="Z6039">
        <v>-4.7301319999999997E-3</v>
      </c>
      <c r="AA6039">
        <v>0.98619699999999999</v>
      </c>
      <c r="AB6039">
        <v>34</v>
      </c>
      <c r="AC6039">
        <v>-269.44130000000001</v>
      </c>
      <c r="AD6039">
        <v>23.381979999999999</v>
      </c>
      <c r="AE6039">
        <v>53.083799999999997</v>
      </c>
      <c r="AF6039">
        <v>45.299710234693599</v>
      </c>
      <c r="AG6039">
        <v>23.381979999999999</v>
      </c>
      <c r="AH6039">
        <v>268.85457463062198</v>
      </c>
      <c r="AI6039">
        <v>85.0983041755903</v>
      </c>
      <c r="AJ6039">
        <v>80.435978630440502</v>
      </c>
      <c r="AK6039">
        <v>273.64495799462497</v>
      </c>
      <c r="AL6039">
        <v>90.430251939206698</v>
      </c>
      <c r="AM6039">
        <v>87.416530985029695</v>
      </c>
      <c r="AN6039">
        <v>0.99999994970267603</v>
      </c>
    </row>
    <row r="6040" spans="1:40" x14ac:dyDescent="0.25">
      <c r="A6040" t="str">
        <f>"20190312154043012"</f>
        <v>20190312154043012</v>
      </c>
      <c r="B6040" t="str">
        <f>"1552376443002556"</f>
        <v>1552376443002556</v>
      </c>
      <c r="C6040" t="s">
        <v>40</v>
      </c>
      <c r="D6040">
        <v>3.791398</v>
      </c>
      <c r="E6040">
        <v>0.54660949999999997</v>
      </c>
      <c r="F6040" t="s">
        <v>71</v>
      </c>
      <c r="G6040">
        <v>-469.13040000000001</v>
      </c>
      <c r="H6040">
        <v>21.385200000000001</v>
      </c>
      <c r="I6040">
        <v>185.64500000000001</v>
      </c>
      <c r="J6040">
        <v>-242.80330000000001</v>
      </c>
      <c r="K6040">
        <v>1.1086959999999999</v>
      </c>
      <c r="L6040">
        <v>140.55189999999999</v>
      </c>
      <c r="M6040">
        <v>-0.9996218</v>
      </c>
      <c r="N6040">
        <v>0</v>
      </c>
      <c r="O6040">
        <v>2.7254230000000001E-2</v>
      </c>
      <c r="P6040">
        <v>-0.9973495</v>
      </c>
      <c r="Q6040">
        <v>-1.128031E-2</v>
      </c>
      <c r="R6040">
        <v>7.1880200000000005E-2</v>
      </c>
      <c r="S6040">
        <v>-2.9680789999999999</v>
      </c>
      <c r="T6040">
        <v>0.26554640000000002</v>
      </c>
      <c r="U6040">
        <v>0.59065249999999903</v>
      </c>
      <c r="V6040">
        <v>4.46772E-2</v>
      </c>
      <c r="W6040">
        <v>-7.5918890000000001E-3</v>
      </c>
      <c r="X6040">
        <v>0.99897270000000005</v>
      </c>
      <c r="Y6040">
        <v>0.16783229999999999</v>
      </c>
      <c r="Z6040">
        <v>-5.01228E-3</v>
      </c>
      <c r="AA6040">
        <v>0.98580279999999998</v>
      </c>
      <c r="AB6040">
        <v>35</v>
      </c>
      <c r="AC6040">
        <v>-226.3271</v>
      </c>
      <c r="AD6040">
        <v>20.276503999999999</v>
      </c>
      <c r="AE6040">
        <v>45.0931</v>
      </c>
      <c r="AF6040">
        <v>38.609875943848003</v>
      </c>
      <c r="AG6040">
        <v>20.276503999999999</v>
      </c>
      <c r="AH6040">
        <v>225.72942371957501</v>
      </c>
      <c r="AI6040">
        <v>84.940184120921501</v>
      </c>
      <c r="AJ6040">
        <v>80.293775707300597</v>
      </c>
      <c r="AK6040">
        <v>229.903527305766</v>
      </c>
      <c r="AL6040">
        <v>90.434987345455099</v>
      </c>
      <c r="AM6040">
        <v>87.439258984565896</v>
      </c>
      <c r="AN6040">
        <v>1.0000000721618501</v>
      </c>
    </row>
    <row r="6041" spans="1:40" x14ac:dyDescent="0.25">
      <c r="A6041" t="str">
        <f>"20190312154043034"</f>
        <v>20190312154043034</v>
      </c>
      <c r="B6041" t="str">
        <f>"1552376443022077"</f>
        <v>1552376443022077</v>
      </c>
      <c r="C6041" t="s">
        <v>40</v>
      </c>
      <c r="D6041">
        <v>3.7571750000000002</v>
      </c>
      <c r="E6041">
        <v>0.54746119999999898</v>
      </c>
      <c r="F6041" t="s">
        <v>71</v>
      </c>
      <c r="G6041">
        <v>-465.96280000000002</v>
      </c>
      <c r="H6041">
        <v>21.62857</v>
      </c>
      <c r="I6041">
        <v>185.64500000000001</v>
      </c>
      <c r="J6041">
        <v>-243.1524</v>
      </c>
      <c r="K6041">
        <v>1.1089610000000001</v>
      </c>
      <c r="L6041">
        <v>140.5609</v>
      </c>
      <c r="M6041">
        <v>-0.99963340000000001</v>
      </c>
      <c r="N6041">
        <v>0</v>
      </c>
      <c r="O6041">
        <v>2.678475E-2</v>
      </c>
      <c r="P6041">
        <v>-0.99738939999999998</v>
      </c>
      <c r="Q6041">
        <v>-1.1394929999999999E-2</v>
      </c>
      <c r="R6041">
        <v>7.1309369999999997E-2</v>
      </c>
      <c r="S6041">
        <v>-2.9678339999999999</v>
      </c>
      <c r="T6041">
        <v>0.27289770000000002</v>
      </c>
      <c r="U6041">
        <v>0.59970089999999998</v>
      </c>
      <c r="V6041">
        <v>4.4575919999999998E-2</v>
      </c>
      <c r="W6041">
        <v>-7.3652479999999996E-3</v>
      </c>
      <c r="X6041">
        <v>0.9989789</v>
      </c>
      <c r="Y6041">
        <v>0.1711539</v>
      </c>
      <c r="Z6041">
        <v>-5.342856E-3</v>
      </c>
      <c r="AA6041">
        <v>0.98522980000000004</v>
      </c>
      <c r="AB6041">
        <v>35</v>
      </c>
      <c r="AC6041">
        <v>-222.81039999999999</v>
      </c>
      <c r="AD6041">
        <v>20.519608999999999</v>
      </c>
      <c r="AE6041">
        <v>45.084099999999999</v>
      </c>
      <c r="AF6041">
        <v>38.783953169346297</v>
      </c>
      <c r="AG6041">
        <v>20.519608999999999</v>
      </c>
      <c r="AH6041">
        <v>222.128179235842</v>
      </c>
      <c r="AI6041">
        <v>84.8003689549559</v>
      </c>
      <c r="AJ6041">
        <v>80.095899913235499</v>
      </c>
      <c r="AK6041">
        <v>226.420355506269</v>
      </c>
      <c r="AL6041">
        <v>90.422001419344795</v>
      </c>
      <c r="AM6041">
        <v>87.445072135123695</v>
      </c>
      <c r="AN6041">
        <v>1.00000005108357</v>
      </c>
    </row>
    <row r="6042" spans="1:40" x14ac:dyDescent="0.25">
      <c r="A6042" t="str">
        <f>"20190312154043055"</f>
        <v>20190312154043055</v>
      </c>
      <c r="B6042" t="str">
        <f>"1552376443042573"</f>
        <v>1552376443042573</v>
      </c>
      <c r="C6042" t="s">
        <v>40</v>
      </c>
      <c r="D6042">
        <v>3.7362730000000002</v>
      </c>
      <c r="E6042">
        <v>0.54821869999999995</v>
      </c>
      <c r="F6042" t="s">
        <v>71</v>
      </c>
      <c r="G6042">
        <v>-463.83969999999999</v>
      </c>
      <c r="H6042">
        <v>21.695830000000001</v>
      </c>
      <c r="I6042">
        <v>185.56659999999999</v>
      </c>
      <c r="J6042">
        <v>-243.4616</v>
      </c>
      <c r="K6042">
        <v>1.1091789999999999</v>
      </c>
      <c r="L6042">
        <v>140.56870000000001</v>
      </c>
      <c r="M6042">
        <v>-0.99964509999999995</v>
      </c>
      <c r="N6042">
        <v>0</v>
      </c>
      <c r="O6042">
        <v>2.6279469999999999E-2</v>
      </c>
      <c r="P6042">
        <v>-0.99738640000000001</v>
      </c>
      <c r="Q6042">
        <v>-1.10618E-2</v>
      </c>
      <c r="R6042">
        <v>7.1400969999999994E-2</v>
      </c>
      <c r="S6042">
        <v>-2.967743</v>
      </c>
      <c r="T6042">
        <v>0.27684710000000001</v>
      </c>
      <c r="U6042">
        <v>0.6052246</v>
      </c>
      <c r="V6042">
        <v>4.5172900000000002E-2</v>
      </c>
      <c r="W6042">
        <v>-6.650853E-3</v>
      </c>
      <c r="X6042">
        <v>0.99895699999999998</v>
      </c>
      <c r="Y6042">
        <v>0.173390299999999</v>
      </c>
      <c r="Z6042">
        <v>-5.5685569999999896E-3</v>
      </c>
      <c r="AA6042">
        <v>0.98483750000000003</v>
      </c>
      <c r="AB6042">
        <v>35</v>
      </c>
      <c r="AC6042">
        <v>-220.37809999999999</v>
      </c>
      <c r="AD6042">
        <v>20.586651</v>
      </c>
      <c r="AE6042">
        <v>44.997899999999902</v>
      </c>
      <c r="AF6042">
        <v>38.865304313772903</v>
      </c>
      <c r="AG6042">
        <v>20.586651</v>
      </c>
      <c r="AH6042">
        <v>219.644528492213</v>
      </c>
      <c r="AI6042">
        <v>84.726915425858706</v>
      </c>
      <c r="AJ6042">
        <v>79.965584779630305</v>
      </c>
      <c r="AK6042">
        <v>224.00455570225401</v>
      </c>
      <c r="AL6042">
        <v>90.381068633107205</v>
      </c>
      <c r="AM6042">
        <v>87.410845006813702</v>
      </c>
      <c r="AN6042">
        <v>0.99999995629451699</v>
      </c>
    </row>
    <row r="6043" spans="1:40" x14ac:dyDescent="0.25">
      <c r="A6043" t="str">
        <f>"20190312154043090"</f>
        <v>20190312154043090</v>
      </c>
      <c r="B6043" t="str">
        <f>"1552376443082589"</f>
        <v>1552376443082589</v>
      </c>
      <c r="C6043" t="s">
        <v>40</v>
      </c>
      <c r="D6043">
        <v>3.749107</v>
      </c>
      <c r="E6043">
        <v>0.54944190000000004</v>
      </c>
      <c r="F6043" t="s">
        <v>71</v>
      </c>
      <c r="G6043">
        <v>-462.06630000000001</v>
      </c>
      <c r="H6043">
        <v>21.812100000000001</v>
      </c>
      <c r="I6043">
        <v>185.64500000000001</v>
      </c>
      <c r="J6043">
        <v>-244.01490000000001</v>
      </c>
      <c r="K6043">
        <v>1.10951</v>
      </c>
      <c r="L6043">
        <v>140.58199999999999</v>
      </c>
      <c r="M6043">
        <v>-0.99967130000000004</v>
      </c>
      <c r="N6043">
        <v>0</v>
      </c>
      <c r="O6043">
        <v>2.5132959999999999E-2</v>
      </c>
      <c r="P6043">
        <v>-0.99739809999999995</v>
      </c>
      <c r="Q6043">
        <v>-1.012623E-2</v>
      </c>
      <c r="R6043">
        <v>7.1379079999999998E-2</v>
      </c>
      <c r="S6043">
        <v>-2.9671780000000001</v>
      </c>
      <c r="T6043">
        <v>0.2810066</v>
      </c>
      <c r="U6043">
        <v>0.61183169999999898</v>
      </c>
      <c r="V6043">
        <v>4.6296080000000003E-2</v>
      </c>
      <c r="W6043">
        <v>-4.9897450000000003E-3</v>
      </c>
      <c r="X6043">
        <v>0.99891529999999995</v>
      </c>
      <c r="Y6043">
        <v>0.17662259999999999</v>
      </c>
      <c r="Z6043">
        <v>-5.9098650000000003E-3</v>
      </c>
      <c r="AA6043">
        <v>0.98426089999999999</v>
      </c>
      <c r="AB6043">
        <v>35</v>
      </c>
      <c r="AC6043">
        <v>-218.0514</v>
      </c>
      <c r="AD6043">
        <v>20.702590000000001</v>
      </c>
      <c r="AE6043">
        <v>45.063000000000002</v>
      </c>
      <c r="AF6043">
        <v>39.229277945319303</v>
      </c>
      <c r="AG6043">
        <v>20.702590000000001</v>
      </c>
      <c r="AH6043">
        <v>217.23707163933699</v>
      </c>
      <c r="AI6043">
        <v>84.642319977207507</v>
      </c>
      <c r="AJ6043">
        <v>79.763685716945602</v>
      </c>
      <c r="AK6043">
        <v>221.719369418311</v>
      </c>
      <c r="AL6043">
        <v>90.285892515527493</v>
      </c>
      <c r="AM6043">
        <v>87.346448482975603</v>
      </c>
      <c r="AN6043">
        <v>1.0000000005763101</v>
      </c>
    </row>
    <row r="6044" spans="1:40" x14ac:dyDescent="0.25">
      <c r="A6044" t="str">
        <f>"20190312154043112"</f>
        <v>20190312154043112</v>
      </c>
      <c r="B6044" t="str">
        <f>"1552376443102110"</f>
        <v>1552376443102110</v>
      </c>
      <c r="C6044" t="s">
        <v>40</v>
      </c>
      <c r="D6044">
        <v>3.7068560000000002</v>
      </c>
      <c r="E6044">
        <v>0.54987819999999898</v>
      </c>
      <c r="F6044" t="s">
        <v>71</v>
      </c>
      <c r="G6044">
        <v>-458.31639999999999</v>
      </c>
      <c r="H6044">
        <v>22.050409999999999</v>
      </c>
      <c r="I6044">
        <v>185.4923</v>
      </c>
      <c r="J6044">
        <v>-244.37260000000001</v>
      </c>
      <c r="K6044">
        <v>1.1096889999999999</v>
      </c>
      <c r="L6044">
        <v>140.59020000000001</v>
      </c>
      <c r="M6044">
        <v>-0.99969070000000004</v>
      </c>
      <c r="N6044">
        <v>0</v>
      </c>
      <c r="O6044">
        <v>2.424962E-2</v>
      </c>
      <c r="P6044">
        <v>-0.99742370000000002</v>
      </c>
      <c r="Q6044">
        <v>-9.6261609999999994E-3</v>
      </c>
      <c r="R6044">
        <v>7.1088460000000006E-2</v>
      </c>
      <c r="S6044">
        <v>-2.9662630000000001</v>
      </c>
      <c r="T6044">
        <v>0.28985490000000003</v>
      </c>
      <c r="U6044">
        <v>0.62162779999999995</v>
      </c>
      <c r="V6044">
        <v>4.6886839999999999E-2</v>
      </c>
      <c r="W6044">
        <v>-4.022688E-3</v>
      </c>
      <c r="X6044">
        <v>0.99889209999999995</v>
      </c>
      <c r="Y6044">
        <v>0.18060309999999999</v>
      </c>
      <c r="Z6044">
        <v>-6.3719680000000004E-3</v>
      </c>
      <c r="AA6044">
        <v>0.98353539999999995</v>
      </c>
      <c r="AB6044">
        <v>35</v>
      </c>
      <c r="AC6044">
        <v>-213.94380000000001</v>
      </c>
      <c r="AD6044">
        <v>20.940721</v>
      </c>
      <c r="AE6044">
        <v>44.902099999999898</v>
      </c>
      <c r="AF6044">
        <v>39.339770819295097</v>
      </c>
      <c r="AG6044">
        <v>20.940721</v>
      </c>
      <c r="AH6044">
        <v>213.015090165738</v>
      </c>
      <c r="AI6044">
        <v>84.478288284350199</v>
      </c>
      <c r="AJ6044">
        <v>79.536473335286701</v>
      </c>
      <c r="AK6044">
        <v>217.627112287123</v>
      </c>
      <c r="AL6044">
        <v>90.230483668018493</v>
      </c>
      <c r="AM6044">
        <v>87.312574905671298</v>
      </c>
      <c r="AN6044">
        <v>0.99999999261316996</v>
      </c>
    </row>
    <row r="6045" spans="1:40" x14ac:dyDescent="0.25">
      <c r="A6045" t="str">
        <f>"20190312154043133"</f>
        <v>20190312154043133</v>
      </c>
      <c r="B6045" t="str">
        <f>"1552376443122605"</f>
        <v>1552376443122605</v>
      </c>
      <c r="C6045" t="s">
        <v>40</v>
      </c>
      <c r="D6045">
        <v>3.7016149999999999</v>
      </c>
      <c r="E6045">
        <v>0.55027599999999999</v>
      </c>
      <c r="F6045" t="s">
        <v>71</v>
      </c>
      <c r="G6045">
        <v>-458.29559999999998</v>
      </c>
      <c r="H6045">
        <v>22.265519999999999</v>
      </c>
      <c r="I6045">
        <v>185.61349999999999</v>
      </c>
      <c r="J6045">
        <v>-244.69589999999999</v>
      </c>
      <c r="K6045">
        <v>1.1098269999999999</v>
      </c>
      <c r="L6045">
        <v>140.59719999999999</v>
      </c>
      <c r="M6045">
        <v>-0.99970959999999998</v>
      </c>
      <c r="N6045">
        <v>0</v>
      </c>
      <c r="O6045">
        <v>2.3358139999999999E-2</v>
      </c>
      <c r="P6045">
        <v>-0.99745479999999997</v>
      </c>
      <c r="Q6045">
        <v>-9.0845059999999991E-3</v>
      </c>
      <c r="R6045">
        <v>7.0721919999999994E-2</v>
      </c>
      <c r="S6045">
        <v>-2.9660639999999998</v>
      </c>
      <c r="T6045">
        <v>0.29332829999999999</v>
      </c>
      <c r="U6045">
        <v>0.62425229999999998</v>
      </c>
      <c r="V6045">
        <v>4.7409140000000002E-2</v>
      </c>
      <c r="W6045">
        <v>-3.0764540000000002E-3</v>
      </c>
      <c r="X6045">
        <v>0.99887079999999995</v>
      </c>
      <c r="Y6045">
        <v>0.1822973</v>
      </c>
      <c r="Z6045">
        <v>-6.6173630000000002E-3</v>
      </c>
      <c r="AA6045">
        <v>0.98322120000000002</v>
      </c>
      <c r="AB6045">
        <v>35</v>
      </c>
      <c r="AC6045">
        <v>-213.59970000000001</v>
      </c>
      <c r="AD6045">
        <v>21.155692999999999</v>
      </c>
      <c r="AE6045">
        <v>45.016300000000001</v>
      </c>
      <c r="AF6045">
        <v>39.642299030409497</v>
      </c>
      <c r="AG6045">
        <v>21.155692999999999</v>
      </c>
      <c r="AH6045">
        <v>212.59613264439901</v>
      </c>
      <c r="AI6045">
        <v>84.412816609847297</v>
      </c>
      <c r="AJ6045">
        <v>79.437496424525094</v>
      </c>
      <c r="AK6045">
        <v>217.29286880632301</v>
      </c>
      <c r="AL6045">
        <v>90.176268111094501</v>
      </c>
      <c r="AM6045">
        <v>87.282624867734199</v>
      </c>
      <c r="AN6045">
        <v>0.99999998310869598</v>
      </c>
    </row>
    <row r="6046" spans="1:40" x14ac:dyDescent="0.25">
      <c r="A6046" t="str">
        <f>"20190312154043155"</f>
        <v>20190312154043155</v>
      </c>
      <c r="B6046" t="str">
        <f>"1552376443142125"</f>
        <v>1552376443142125</v>
      </c>
      <c r="C6046" t="s">
        <v>40</v>
      </c>
      <c r="D6046">
        <v>3.7055669999999998</v>
      </c>
      <c r="E6046">
        <v>0.55064329999999995</v>
      </c>
      <c r="F6046" t="s">
        <v>71</v>
      </c>
      <c r="G6046">
        <v>-458.29559999999998</v>
      </c>
      <c r="H6046">
        <v>22.496739999999999</v>
      </c>
      <c r="I6046">
        <v>185.68700000000001</v>
      </c>
      <c r="J6046">
        <v>-245.03639999999999</v>
      </c>
      <c r="K6046">
        <v>1.109953</v>
      </c>
      <c r="L6046">
        <v>140.60429999999999</v>
      </c>
      <c r="M6046">
        <v>-0.99973089999999998</v>
      </c>
      <c r="N6046">
        <v>0</v>
      </c>
      <c r="O6046">
        <v>2.232723E-2</v>
      </c>
      <c r="P6046">
        <v>-0.99757779999999996</v>
      </c>
      <c r="Q6046">
        <v>-8.8131300000000006E-3</v>
      </c>
      <c r="R6046">
        <v>6.9000980000000003E-2</v>
      </c>
      <c r="S6046">
        <v>-2.9659580000000001</v>
      </c>
      <c r="T6046">
        <v>0.29697040000000002</v>
      </c>
      <c r="U6046">
        <v>0.62609859999999995</v>
      </c>
      <c r="V6046">
        <v>4.6715270000000003E-2</v>
      </c>
      <c r="W6046">
        <v>-2.4141560000000002E-3</v>
      </c>
      <c r="X6046">
        <v>0.9989053</v>
      </c>
      <c r="Y6046">
        <v>0.18387300000000001</v>
      </c>
      <c r="Z6046">
        <v>-6.8784909999999996E-3</v>
      </c>
      <c r="AA6046">
        <v>0.98292599999999997</v>
      </c>
      <c r="AB6046">
        <v>35</v>
      </c>
      <c r="AC6046">
        <v>-213.25919999999999</v>
      </c>
      <c r="AD6046">
        <v>21.386787000000002</v>
      </c>
      <c r="AE6046">
        <v>45.082700000000003</v>
      </c>
      <c r="AF6046">
        <v>39.925518973413702</v>
      </c>
      <c r="AG6046">
        <v>21.386787000000002</v>
      </c>
      <c r="AH6046">
        <v>212.17007855336499</v>
      </c>
      <c r="AI6046">
        <v>84.342648756982499</v>
      </c>
      <c r="AJ6046">
        <v>79.342880033084498</v>
      </c>
      <c r="AK6046">
        <v>216.95064866651299</v>
      </c>
      <c r="AL6046">
        <v>90.138321088189997</v>
      </c>
      <c r="AM6046">
        <v>87.322429821217796</v>
      </c>
      <c r="AN6046">
        <v>0.99999997148422703</v>
      </c>
    </row>
    <row r="6047" spans="1:40" x14ac:dyDescent="0.25">
      <c r="A6047" t="str">
        <f>"20190312154043179"</f>
        <v>20190312154043179</v>
      </c>
      <c r="B6047" t="str">
        <f>"1552376443172263"</f>
        <v>1552376443172263</v>
      </c>
      <c r="C6047" t="s">
        <v>40</v>
      </c>
      <c r="D6047">
        <v>3.6695690000000001</v>
      </c>
      <c r="E6047">
        <v>0.55120210000000003</v>
      </c>
      <c r="F6047" t="s">
        <v>71</v>
      </c>
      <c r="G6047">
        <v>-458.60359999999997</v>
      </c>
      <c r="H6047">
        <v>22.638190000000002</v>
      </c>
      <c r="I6047">
        <v>185.4923</v>
      </c>
      <c r="J6047">
        <v>-245.3938</v>
      </c>
      <c r="K6047">
        <v>1.11007099999999</v>
      </c>
      <c r="L6047">
        <v>140.6112</v>
      </c>
      <c r="M6047">
        <v>-0.99975409999999998</v>
      </c>
      <c r="N6047">
        <v>0</v>
      </c>
      <c r="O6047">
        <v>2.1150370000000002E-2</v>
      </c>
      <c r="P6047">
        <v>-0.99773199999999995</v>
      </c>
      <c r="Q6047">
        <v>-9.4131649999999994E-3</v>
      </c>
      <c r="R6047">
        <v>6.6651169999999996E-2</v>
      </c>
      <c r="S6047">
        <v>-2.9667819999999998</v>
      </c>
      <c r="T6047">
        <v>0.29906139999999998</v>
      </c>
      <c r="U6047">
        <v>0.623565699999999</v>
      </c>
      <c r="V6047">
        <v>4.553952E-2</v>
      </c>
      <c r="W6047">
        <v>-2.6531250000000001E-3</v>
      </c>
      <c r="X6047">
        <v>0.99895900000000004</v>
      </c>
      <c r="Y6047">
        <v>0.18415339999999999</v>
      </c>
      <c r="Z6047">
        <v>-7.0562630000000001E-3</v>
      </c>
      <c r="AA6047">
        <v>0.98287219999999997</v>
      </c>
      <c r="AB6047">
        <v>35</v>
      </c>
      <c r="AC6047">
        <v>-213.2098</v>
      </c>
      <c r="AD6047">
        <v>21.528119</v>
      </c>
      <c r="AE6047">
        <v>44.881100000000004</v>
      </c>
      <c r="AF6047">
        <v>39.971267940935803</v>
      </c>
      <c r="AG6047">
        <v>21.528119</v>
      </c>
      <c r="AH6047">
        <v>212.041291067457</v>
      </c>
      <c r="AI6047">
        <v>84.302411634876194</v>
      </c>
      <c r="AJ6047">
        <v>79.324617497197295</v>
      </c>
      <c r="AK6047">
        <v>216.84711500510801</v>
      </c>
      <c r="AL6047">
        <v>90.152013045591403</v>
      </c>
      <c r="AM6047">
        <v>87.389865774058194</v>
      </c>
      <c r="AN6047">
        <v>0.99999998531754797</v>
      </c>
    </row>
    <row r="6048" spans="1:40" x14ac:dyDescent="0.25">
      <c r="A6048" t="str">
        <f>"20190312154043202"</f>
        <v>20190312154043202</v>
      </c>
      <c r="B6048" t="str">
        <f>"1552376443191783"</f>
        <v>1552376443191783</v>
      </c>
      <c r="C6048" t="s">
        <v>40</v>
      </c>
      <c r="D6048">
        <v>3.6902539999999999</v>
      </c>
      <c r="E6048">
        <v>0.55149969999999904</v>
      </c>
      <c r="F6048" t="s">
        <v>71</v>
      </c>
      <c r="G6048">
        <v>-460.84829999999999</v>
      </c>
      <c r="H6048">
        <v>22.891950000000001</v>
      </c>
      <c r="I6048">
        <v>185.64500000000001</v>
      </c>
      <c r="J6048">
        <v>-245.76949999999999</v>
      </c>
      <c r="K6048">
        <v>1.110168</v>
      </c>
      <c r="L6048">
        <v>140.61779999999999</v>
      </c>
      <c r="M6048">
        <v>-0.99977930000000004</v>
      </c>
      <c r="N6048">
        <v>0</v>
      </c>
      <c r="O6048">
        <v>1.9822670000000001E-2</v>
      </c>
      <c r="P6048">
        <v>-0.99791269999999999</v>
      </c>
      <c r="Q6048">
        <v>-9.6927460000000003E-3</v>
      </c>
      <c r="R6048">
        <v>6.3844929999999994E-2</v>
      </c>
      <c r="S6048">
        <v>-2.9682010000000001</v>
      </c>
      <c r="T6048">
        <v>0.3000777</v>
      </c>
      <c r="U6048">
        <v>0.62040709999999999</v>
      </c>
      <c r="V6048">
        <v>4.4057159999999998E-2</v>
      </c>
      <c r="W6048">
        <v>-2.6208960000000002E-3</v>
      </c>
      <c r="X6048">
        <v>0.99902559999999996</v>
      </c>
      <c r="Y6048">
        <v>0.1843496</v>
      </c>
      <c r="Z6048">
        <v>-7.21967099999999E-3</v>
      </c>
      <c r="AA6048">
        <v>0.98283419999999999</v>
      </c>
      <c r="AB6048">
        <v>35</v>
      </c>
      <c r="AC6048">
        <v>-215.0788</v>
      </c>
      <c r="AD6048">
        <v>21.781782</v>
      </c>
      <c r="AE6048">
        <v>45.027200000000001</v>
      </c>
      <c r="AF6048">
        <v>40.358265634708999</v>
      </c>
      <c r="AG6048">
        <v>21.781782</v>
      </c>
      <c r="AH6048">
        <v>213.82811217538401</v>
      </c>
      <c r="AI6048">
        <v>84.283817745528395</v>
      </c>
      <c r="AJ6048">
        <v>79.311636337665206</v>
      </c>
      <c r="AK6048">
        <v>218.69087129696601</v>
      </c>
      <c r="AL6048">
        <v>90.150166447364299</v>
      </c>
      <c r="AM6048">
        <v>87.474884726229206</v>
      </c>
      <c r="AN6048">
        <v>1.0000000259492301</v>
      </c>
    </row>
    <row r="6049" spans="1:40" x14ac:dyDescent="0.25">
      <c r="A6049" t="str">
        <f>"20190312154043224"</f>
        <v>20190312154043224</v>
      </c>
      <c r="B6049" t="str">
        <f>"1552376443212280"</f>
        <v>1552376443212280</v>
      </c>
      <c r="C6049" t="s">
        <v>40</v>
      </c>
      <c r="D6049">
        <v>3.6824520000000001</v>
      </c>
      <c r="E6049">
        <v>0.55175920000000001</v>
      </c>
      <c r="F6049" t="s">
        <v>71</v>
      </c>
      <c r="G6049">
        <v>-463.64159999999998</v>
      </c>
      <c r="H6049">
        <v>23.171589999999998</v>
      </c>
      <c r="I6049">
        <v>185.64500000000001</v>
      </c>
      <c r="J6049">
        <v>-246.11699999999999</v>
      </c>
      <c r="K6049">
        <v>1.110239</v>
      </c>
      <c r="L6049">
        <v>140.62350000000001</v>
      </c>
      <c r="M6049">
        <v>-0.99980219999999997</v>
      </c>
      <c r="N6049">
        <v>0</v>
      </c>
      <c r="O6049">
        <v>1.8538519999999999E-2</v>
      </c>
      <c r="P6049">
        <v>-0.99809000000000003</v>
      </c>
      <c r="Q6049">
        <v>-9.1366799999999995E-3</v>
      </c>
      <c r="R6049">
        <v>6.1098800000000002E-2</v>
      </c>
      <c r="S6049">
        <v>-2.96991</v>
      </c>
      <c r="T6049">
        <v>0.30072929999999998</v>
      </c>
      <c r="U6049">
        <v>0.61378480000000002</v>
      </c>
      <c r="V6049">
        <v>4.2589790000000002E-2</v>
      </c>
      <c r="W6049">
        <v>-1.825307E-3</v>
      </c>
      <c r="X6049">
        <v>0.99909099999999995</v>
      </c>
      <c r="Y6049">
        <v>0.1833929</v>
      </c>
      <c r="Z6049">
        <v>-7.313211E-3</v>
      </c>
      <c r="AA6049">
        <v>0.98301249999999996</v>
      </c>
      <c r="AB6049">
        <v>35</v>
      </c>
      <c r="AC6049">
        <v>-217.52459999999999</v>
      </c>
      <c r="AD6049">
        <v>22.061350999999998</v>
      </c>
      <c r="AE6049">
        <v>45.021500000000003</v>
      </c>
      <c r="AF6049">
        <v>40.580805158626099</v>
      </c>
      <c r="AG6049">
        <v>22.061350999999998</v>
      </c>
      <c r="AH6049">
        <v>216.189485392335</v>
      </c>
      <c r="AI6049">
        <v>84.272687952749195</v>
      </c>
      <c r="AJ6049">
        <v>79.368753215868907</v>
      </c>
      <c r="AK6049">
        <v>221.06876430077199</v>
      </c>
      <c r="AL6049">
        <v>90.104582442966901</v>
      </c>
      <c r="AM6049">
        <v>87.5590424562116</v>
      </c>
      <c r="AN6049">
        <v>1.00000002411944</v>
      </c>
    </row>
    <row r="6050" spans="1:40" x14ac:dyDescent="0.25">
      <c r="A6050" t="str">
        <f>"20190312154043245"</f>
        <v>20190312154043245</v>
      </c>
      <c r="B6050" t="str">
        <f>"1552376443231799"</f>
        <v>1552376443231799</v>
      </c>
      <c r="C6050" t="s">
        <v>40</v>
      </c>
      <c r="D6050">
        <v>3.7074449999999999</v>
      </c>
      <c r="E6050">
        <v>0.55205090000000001</v>
      </c>
      <c r="F6050" t="s">
        <v>71</v>
      </c>
      <c r="G6050">
        <v>-466.6814</v>
      </c>
      <c r="H6050">
        <v>23.69286</v>
      </c>
      <c r="I6050">
        <v>185.64500000000001</v>
      </c>
      <c r="J6050">
        <v>-246.4427</v>
      </c>
      <c r="K6050">
        <v>1.110284</v>
      </c>
      <c r="L6050">
        <v>140.6284</v>
      </c>
      <c r="M6050">
        <v>-0.99982320000000002</v>
      </c>
      <c r="N6050">
        <v>0</v>
      </c>
      <c r="O6050">
        <v>1.7297650000000001E-2</v>
      </c>
      <c r="P6050">
        <v>-0.99832529999999997</v>
      </c>
      <c r="Q6050">
        <v>-7.1949939999999997E-3</v>
      </c>
      <c r="R6050">
        <v>5.7404370000000003E-2</v>
      </c>
      <c r="S6050">
        <v>-2.9714049999999999</v>
      </c>
      <c r="T6050">
        <v>0.30422969999999999</v>
      </c>
      <c r="U6050">
        <v>0.60652159999999999</v>
      </c>
      <c r="V6050">
        <v>4.0126040000000002E-2</v>
      </c>
      <c r="W6050">
        <v>2.9451059999999999E-4</v>
      </c>
      <c r="X6050">
        <v>0.99919460000000004</v>
      </c>
      <c r="Y6050">
        <v>0.18219009999999999</v>
      </c>
      <c r="Z6050">
        <v>-7.460571E-3</v>
      </c>
      <c r="AA6050">
        <v>0.98323499999999997</v>
      </c>
      <c r="AB6050">
        <v>35</v>
      </c>
      <c r="AC6050">
        <v>-220.23869999999999</v>
      </c>
      <c r="AD6050">
        <v>22.582576</v>
      </c>
      <c r="AE6050">
        <v>45.016599999999997</v>
      </c>
      <c r="AF6050">
        <v>40.788504870551797</v>
      </c>
      <c r="AG6050">
        <v>22.582576</v>
      </c>
      <c r="AH6050">
        <v>218.77652215789499</v>
      </c>
      <c r="AI6050">
        <v>84.205824318397603</v>
      </c>
      <c r="AJ6050">
        <v>79.439074916336807</v>
      </c>
      <c r="AK6050">
        <v>223.68916271441199</v>
      </c>
      <c r="AL6050">
        <v>89.9831257856452</v>
      </c>
      <c r="AM6050">
        <v>87.700329801432005</v>
      </c>
      <c r="AN6050">
        <v>1.0000000172458601</v>
      </c>
    </row>
    <row r="6051" spans="1:40" x14ac:dyDescent="0.25">
      <c r="A6051" t="str">
        <f>"20190312154043267"</f>
        <v>20190312154043267</v>
      </c>
      <c r="B6051" t="str">
        <f>"1552376443262296"</f>
        <v>1552376443262296</v>
      </c>
      <c r="C6051" t="s">
        <v>40</v>
      </c>
      <c r="D6051">
        <v>3.6662780000000001</v>
      </c>
      <c r="E6051">
        <v>0.55251289999999997</v>
      </c>
      <c r="F6051" t="s">
        <v>82</v>
      </c>
      <c r="G6051">
        <v>-511.9348</v>
      </c>
      <c r="H6051">
        <v>29.134080000000001</v>
      </c>
      <c r="I6051">
        <v>193.78059999999999</v>
      </c>
      <c r="J6051">
        <v>-246.79499999999999</v>
      </c>
      <c r="K6051">
        <v>1.1103069999999999</v>
      </c>
      <c r="L6051">
        <v>140.63319999999999</v>
      </c>
      <c r="M6051">
        <v>-0.99984490000000004</v>
      </c>
      <c r="N6051">
        <v>0</v>
      </c>
      <c r="O6051">
        <v>1.5925760000000001E-2</v>
      </c>
      <c r="P6051">
        <v>-0.99856440000000002</v>
      </c>
      <c r="Q6051">
        <v>-5.9650320000000003E-3</v>
      </c>
      <c r="R6051">
        <v>5.3232069999999999E-2</v>
      </c>
      <c r="S6051">
        <v>-2.973068</v>
      </c>
      <c r="T6051">
        <v>0.31381999999999999</v>
      </c>
      <c r="U6051">
        <v>0.59521480000000004</v>
      </c>
      <c r="V6051">
        <v>3.731752E-2</v>
      </c>
      <c r="W6051">
        <v>1.6611250000000001E-3</v>
      </c>
      <c r="X6051">
        <v>0.99930209999999997</v>
      </c>
      <c r="Y6051">
        <v>0.179790899999999</v>
      </c>
      <c r="Z6051">
        <v>-7.7109750000000001E-3</v>
      </c>
      <c r="AA6051">
        <v>0.98367459999999995</v>
      </c>
      <c r="AB6051">
        <v>35</v>
      </c>
      <c r="AC6051">
        <v>-265.13979999999998</v>
      </c>
      <c r="AD6051">
        <v>28.023772999999998</v>
      </c>
      <c r="AE6051">
        <v>53.147399999999998</v>
      </c>
      <c r="AF6051">
        <v>48.398201876721501</v>
      </c>
      <c r="AG6051">
        <v>28.023772999999998</v>
      </c>
      <c r="AH6051">
        <v>263.12669064032099</v>
      </c>
      <c r="AI6051">
        <v>84.0203120533873</v>
      </c>
      <c r="AJ6051">
        <v>79.577795039715397</v>
      </c>
      <c r="AK6051">
        <v>269.00441097755697</v>
      </c>
      <c r="AL6051">
        <v>89.904824506565603</v>
      </c>
      <c r="AM6051">
        <v>87.861364125130194</v>
      </c>
      <c r="AN6051">
        <v>1.00000002184981</v>
      </c>
    </row>
    <row r="6052" spans="1:40" x14ac:dyDescent="0.25">
      <c r="A6052" t="str">
        <f>"20190312154043290"</f>
        <v>20190312154043290</v>
      </c>
      <c r="B6052" t="str">
        <f>"1552376443281819"</f>
        <v>1552376443281819</v>
      </c>
      <c r="C6052" t="s">
        <v>40</v>
      </c>
      <c r="D6052">
        <v>3.673705</v>
      </c>
      <c r="E6052">
        <v>0.55284069999999996</v>
      </c>
      <c r="F6052" t="s">
        <v>82</v>
      </c>
      <c r="G6052">
        <v>-511.93509999999998</v>
      </c>
      <c r="H6052">
        <v>29.740860000000001</v>
      </c>
      <c r="I6052">
        <v>192.6721</v>
      </c>
      <c r="J6052">
        <v>-247.16630000000001</v>
      </c>
      <c r="K6052">
        <v>1.1103050000000001</v>
      </c>
      <c r="L6052">
        <v>140.6378</v>
      </c>
      <c r="M6052">
        <v>-0.99986660000000005</v>
      </c>
      <c r="N6052">
        <v>0</v>
      </c>
      <c r="O6052">
        <v>1.4459710000000001E-2</v>
      </c>
      <c r="P6052">
        <v>-0.99879879999999999</v>
      </c>
      <c r="Q6052">
        <v>-6.6725279999999996E-3</v>
      </c>
      <c r="R6052">
        <v>4.8546430000000002E-2</v>
      </c>
      <c r="S6052">
        <v>-2.9751129999999999</v>
      </c>
      <c r="T6052">
        <v>0.32126120000000002</v>
      </c>
      <c r="U6052">
        <v>0.58392330000000003</v>
      </c>
      <c r="V6052">
        <v>3.4095760000000003E-2</v>
      </c>
      <c r="W6052">
        <v>1.0355150000000001E-3</v>
      </c>
      <c r="X6052">
        <v>0.99941800000000003</v>
      </c>
      <c r="Y6052">
        <v>0.1774733</v>
      </c>
      <c r="Z6052">
        <v>-7.922999E-3</v>
      </c>
      <c r="AA6052">
        <v>0.98409369999999996</v>
      </c>
      <c r="AB6052">
        <v>35</v>
      </c>
      <c r="AC6052">
        <v>-264.76879999999898</v>
      </c>
      <c r="AD6052">
        <v>28.630555000000001</v>
      </c>
      <c r="AE6052">
        <v>52.034300000000002</v>
      </c>
      <c r="AF6052">
        <v>47.663663276057903</v>
      </c>
      <c r="AG6052">
        <v>28.630555000000001</v>
      </c>
      <c r="AH6052">
        <v>262.53784324238597</v>
      </c>
      <c r="AI6052">
        <v>83.875646661759902</v>
      </c>
      <c r="AJ6052">
        <v>79.710045576630193</v>
      </c>
      <c r="AK6052">
        <v>268.361048982272</v>
      </c>
      <c r="AL6052">
        <v>89.940669348252896</v>
      </c>
      <c r="AM6052">
        <v>88.046077034204401</v>
      </c>
      <c r="AN6052">
        <v>0.99999996593264495</v>
      </c>
    </row>
    <row r="6053" spans="1:40" x14ac:dyDescent="0.25">
      <c r="A6053" t="str">
        <f>"20190312154043313"</f>
        <v>20190312154043313</v>
      </c>
      <c r="B6053" t="str">
        <f>"1552376443302312"</f>
        <v>1552376443302312</v>
      </c>
      <c r="C6053" t="s">
        <v>40</v>
      </c>
      <c r="D6053">
        <v>3.671961</v>
      </c>
      <c r="E6053">
        <v>0.55314019999999897</v>
      </c>
      <c r="F6053" t="s">
        <v>82</v>
      </c>
      <c r="G6053">
        <v>-511.935</v>
      </c>
      <c r="H6053">
        <v>29.605589999999999</v>
      </c>
      <c r="I6053">
        <v>191.49879999999999</v>
      </c>
      <c r="J6053">
        <v>-247.51429999999999</v>
      </c>
      <c r="K6053">
        <v>1.110287</v>
      </c>
      <c r="L6053">
        <v>140.64160000000001</v>
      </c>
      <c r="M6053">
        <v>-0.99988540000000004</v>
      </c>
      <c r="N6053">
        <v>0</v>
      </c>
      <c r="O6053">
        <v>1.3076880000000001E-2</v>
      </c>
      <c r="P6053">
        <v>-0.99903889999999995</v>
      </c>
      <c r="Q6053">
        <v>-8.2301370000000002E-3</v>
      </c>
      <c r="R6053">
        <v>4.3057779999999997E-2</v>
      </c>
      <c r="S6053">
        <v>-2.977951</v>
      </c>
      <c r="T6053">
        <v>0.32049729999999998</v>
      </c>
      <c r="U6053">
        <v>0.572052</v>
      </c>
      <c r="V6053">
        <v>2.9991070000000002E-2</v>
      </c>
      <c r="W6053">
        <v>-5.0430750000000002E-4</v>
      </c>
      <c r="X6053">
        <v>0.99955000000000005</v>
      </c>
      <c r="Y6053">
        <v>0.1748875</v>
      </c>
      <c r="Z6053">
        <v>-7.9093059999999996E-3</v>
      </c>
      <c r="AA6053">
        <v>0.98455669999999995</v>
      </c>
      <c r="AB6053">
        <v>35</v>
      </c>
      <c r="AC6053">
        <v>-264.42070000000001</v>
      </c>
      <c r="AD6053">
        <v>28.495303</v>
      </c>
      <c r="AE6053">
        <v>50.857199999999899</v>
      </c>
      <c r="AF6053">
        <v>46.870054103491</v>
      </c>
      <c r="AG6053">
        <v>28.495303</v>
      </c>
      <c r="AH6053">
        <v>262.12758977036998</v>
      </c>
      <c r="AI6053">
        <v>83.891990314004801</v>
      </c>
      <c r="AJ6053">
        <v>79.862289783046606</v>
      </c>
      <c r="AK6053">
        <v>267.80526055988798</v>
      </c>
      <c r="AL6053">
        <v>90.028894693691299</v>
      </c>
      <c r="AM6053">
        <v>88.281380274337806</v>
      </c>
      <c r="AN6053">
        <v>0.99999996055289797</v>
      </c>
    </row>
    <row r="6054" spans="1:40" x14ac:dyDescent="0.25">
      <c r="A6054" t="str">
        <f>"20190312154043334"</f>
        <v>20190312154043334</v>
      </c>
      <c r="B6054" t="str">
        <f>"1552376443321832"</f>
        <v>1552376443321832</v>
      </c>
      <c r="C6054" t="s">
        <v>40</v>
      </c>
      <c r="D6054">
        <v>3.6881339999999998</v>
      </c>
      <c r="E6054">
        <v>0.55322680000000002</v>
      </c>
      <c r="F6054" t="s">
        <v>68</v>
      </c>
      <c r="G6054">
        <v>-459.58620000000002</v>
      </c>
      <c r="H6054">
        <v>23.520399999999999</v>
      </c>
      <c r="I6054">
        <v>180.40610000000001</v>
      </c>
      <c r="J6054">
        <v>-247.85390000000001</v>
      </c>
      <c r="K6054">
        <v>1.1102650000000001</v>
      </c>
      <c r="L6054">
        <v>140.6448</v>
      </c>
      <c r="M6054">
        <v>-0.99990219999999996</v>
      </c>
      <c r="N6054">
        <v>0</v>
      </c>
      <c r="O6054">
        <v>1.172663E-2</v>
      </c>
      <c r="P6054">
        <v>-0.9992432</v>
      </c>
      <c r="Q6054">
        <v>-9.6341889999999996E-3</v>
      </c>
      <c r="R6054">
        <v>3.7687869999999998E-2</v>
      </c>
      <c r="S6054">
        <v>-2.9813689999999999</v>
      </c>
      <c r="T6054">
        <v>0.3150481</v>
      </c>
      <c r="U6054">
        <v>0.55902099999999999</v>
      </c>
      <c r="V6054">
        <v>2.5973309999999999E-2</v>
      </c>
      <c r="W6054">
        <v>-1.9403269999999999E-3</v>
      </c>
      <c r="X6054">
        <v>0.99966069999999996</v>
      </c>
      <c r="Y6054">
        <v>0.1718932</v>
      </c>
      <c r="Z6054">
        <v>-7.7545259999999899E-3</v>
      </c>
      <c r="AA6054">
        <v>0.98508510000000005</v>
      </c>
      <c r="AB6054">
        <v>35</v>
      </c>
      <c r="AC6054">
        <v>-211.73230000000001</v>
      </c>
      <c r="AD6054">
        <v>22.410135</v>
      </c>
      <c r="AE6054">
        <v>39.761299999999999</v>
      </c>
      <c r="AF6054">
        <v>36.8765502549724</v>
      </c>
      <c r="AG6054">
        <v>22.410135</v>
      </c>
      <c r="AH6054">
        <v>209.912578749142</v>
      </c>
      <c r="AI6054">
        <v>83.9974549321024</v>
      </c>
      <c r="AJ6054">
        <v>80.036191533806601</v>
      </c>
      <c r="AK6054">
        <v>214.302087779239</v>
      </c>
      <c r="AL6054">
        <v>90.111172623691104</v>
      </c>
      <c r="AM6054">
        <v>88.511668702017701</v>
      </c>
      <c r="AN6054">
        <v>0.99999994641285495</v>
      </c>
    </row>
    <row r="6055" spans="1:40" x14ac:dyDescent="0.25">
      <c r="A6055" t="str">
        <f>"20190312154043356"</f>
        <v>20190312154043356</v>
      </c>
      <c r="B6055" t="str">
        <f>"1552376443352088"</f>
        <v>1552376443352088</v>
      </c>
      <c r="C6055" t="s">
        <v>40</v>
      </c>
      <c r="D6055">
        <v>3.758572</v>
      </c>
      <c r="E6055">
        <v>0.52141850000000001</v>
      </c>
      <c r="F6055" t="s">
        <v>68</v>
      </c>
      <c r="G6055">
        <v>-459.875</v>
      </c>
      <c r="H6055">
        <v>23.1065</v>
      </c>
      <c r="I6055">
        <v>179.30500000000001</v>
      </c>
      <c r="J6055">
        <v>-248.20849999999999</v>
      </c>
      <c r="K6055">
        <v>1.1102449999999999</v>
      </c>
      <c r="L6055">
        <v>140.64779999999999</v>
      </c>
      <c r="M6055">
        <v>-0.99991830000000004</v>
      </c>
      <c r="N6055">
        <v>0</v>
      </c>
      <c r="O6055">
        <v>1.031815E-2</v>
      </c>
      <c r="P6055">
        <v>-0.99940799999999996</v>
      </c>
      <c r="Q6055">
        <v>-9.5863919999999991E-3</v>
      </c>
      <c r="R6055">
        <v>3.3043570000000001E-2</v>
      </c>
      <c r="S6055">
        <v>-2.9847109999999999</v>
      </c>
      <c r="T6055">
        <v>0.30965029999999999</v>
      </c>
      <c r="U6055">
        <v>0.54423520000000003</v>
      </c>
      <c r="V6055">
        <v>2.2735470000000001E-2</v>
      </c>
      <c r="W6055">
        <v>-1.9672439999999999E-3</v>
      </c>
      <c r="X6055">
        <v>0.99973959999999995</v>
      </c>
      <c r="Y6055">
        <v>0.16840189999999999</v>
      </c>
      <c r="Z6055">
        <v>-7.582709E-3</v>
      </c>
      <c r="AA6055">
        <v>0.98568920000000004</v>
      </c>
      <c r="AB6055">
        <v>36</v>
      </c>
      <c r="AC6055">
        <v>-211.66650000000001</v>
      </c>
      <c r="AD6055">
        <v>21.996254999999898</v>
      </c>
      <c r="AE6055">
        <v>38.657200000000003</v>
      </c>
      <c r="AF6055">
        <v>36.093868313478801</v>
      </c>
      <c r="AG6055">
        <v>21.996254999999898</v>
      </c>
      <c r="AH6055">
        <v>209.86092797101</v>
      </c>
      <c r="AI6055">
        <v>84.102443881328597</v>
      </c>
      <c r="AJ6055">
        <v>80.241205109704893</v>
      </c>
      <c r="AK6055">
        <v>214.075247641359</v>
      </c>
      <c r="AL6055">
        <v>90.112714848951001</v>
      </c>
      <c r="AM6055">
        <v>88.697238778693105</v>
      </c>
      <c r="AN6055">
        <v>1.0000000197266099</v>
      </c>
    </row>
    <row r="6056" spans="1:40" x14ac:dyDescent="0.25">
      <c r="A6056" t="str">
        <f>"20190312154043380"</f>
        <v>20190312154043380</v>
      </c>
      <c r="B6056" t="str">
        <f>"1552376443372584"</f>
        <v>1552376443372584</v>
      </c>
      <c r="C6056" t="s">
        <v>40</v>
      </c>
      <c r="D6056">
        <v>3.7367189999999999</v>
      </c>
      <c r="E6056">
        <v>0.51310869999999997</v>
      </c>
      <c r="F6056" t="s">
        <v>68</v>
      </c>
      <c r="G6056">
        <v>-471.64449999999999</v>
      </c>
      <c r="H6056">
        <v>14.93479</v>
      </c>
      <c r="I6056">
        <v>161.0949</v>
      </c>
      <c r="J6056">
        <v>-248.5866</v>
      </c>
      <c r="K6056">
        <v>1.1102190000000001</v>
      </c>
      <c r="L6056">
        <v>140.65039999999999</v>
      </c>
      <c r="M6056">
        <v>-0.99993359999999998</v>
      </c>
      <c r="N6056">
        <v>0</v>
      </c>
      <c r="O6056">
        <v>8.8156490000000001E-3</v>
      </c>
      <c r="P6056">
        <v>-0.99950459999999997</v>
      </c>
      <c r="Q6056">
        <v>-9.2509940000000002E-3</v>
      </c>
      <c r="R6056">
        <v>3.0084409999999999E-2</v>
      </c>
      <c r="S6056">
        <v>-2.9944920000000002</v>
      </c>
      <c r="T6056">
        <v>0.18527660000000001</v>
      </c>
      <c r="U6056">
        <v>0.27403260000000002</v>
      </c>
      <c r="V6056">
        <v>2.1277319999999999E-2</v>
      </c>
      <c r="W6056">
        <v>-1.7525279999999999E-3</v>
      </c>
      <c r="X6056">
        <v>0.99977210000000005</v>
      </c>
      <c r="Y6056">
        <v>8.2209530000000003E-2</v>
      </c>
      <c r="Z6056">
        <v>-1.9917950000000002E-3</v>
      </c>
      <c r="AA6056">
        <v>0.99661310000000003</v>
      </c>
      <c r="AB6056">
        <v>36</v>
      </c>
      <c r="AC6056">
        <v>-223.05789999999999</v>
      </c>
      <c r="AD6056">
        <v>13.824571000000001</v>
      </c>
      <c r="AE6056">
        <v>20.444500000000001</v>
      </c>
      <c r="AF6056">
        <v>18.4071345552758</v>
      </c>
      <c r="AG6056">
        <v>13.824571000000001</v>
      </c>
      <c r="AH6056">
        <v>222.38236710253099</v>
      </c>
      <c r="AI6056">
        <v>86.454834150165794</v>
      </c>
      <c r="AJ6056">
        <v>85.268274100574402</v>
      </c>
      <c r="AK6056">
        <v>223.57070148835501</v>
      </c>
      <c r="AL6056">
        <v>90.100412506887096</v>
      </c>
      <c r="AM6056">
        <v>88.780805516287799</v>
      </c>
      <c r="AN6056">
        <v>1.0000000238195901</v>
      </c>
    </row>
    <row r="6057" spans="1:40" x14ac:dyDescent="0.25">
      <c r="A6057" t="str">
        <f>"20190312154043402"</f>
        <v>20190312154043402</v>
      </c>
      <c r="B6057" t="str">
        <f>"1552376443392108"</f>
        <v>1552376443392108</v>
      </c>
      <c r="C6057" t="s">
        <v>40</v>
      </c>
      <c r="D6057">
        <v>3.745727</v>
      </c>
      <c r="E6057">
        <v>0.50986790000000004</v>
      </c>
      <c r="F6057" t="s">
        <v>82</v>
      </c>
      <c r="G6057">
        <v>-511.92970000000003</v>
      </c>
      <c r="H6057">
        <v>13.791460000000001</v>
      </c>
      <c r="I6057">
        <v>158.05029999999999</v>
      </c>
      <c r="J6057">
        <v>-248.94839999999999</v>
      </c>
      <c r="K6057">
        <v>1.1101970000000001</v>
      </c>
      <c r="L6057">
        <v>140.6523</v>
      </c>
      <c r="M6057">
        <v>-0.99994629999999995</v>
      </c>
      <c r="N6057">
        <v>0</v>
      </c>
      <c r="O6057">
        <v>7.3732609999999999E-3</v>
      </c>
      <c r="P6057">
        <v>-0.99954710000000002</v>
      </c>
      <c r="Q6057">
        <v>-9.3937710000000004E-3</v>
      </c>
      <c r="R6057">
        <v>2.8591149999999999E-2</v>
      </c>
      <c r="S6057">
        <v>-2.9968720000000002</v>
      </c>
      <c r="T6057">
        <v>0.1443142</v>
      </c>
      <c r="U6057">
        <v>0.1980133</v>
      </c>
      <c r="V6057">
        <v>2.1226729999999999E-2</v>
      </c>
      <c r="W6057">
        <v>-2.0431770000000002E-3</v>
      </c>
      <c r="X6057">
        <v>0.99977260000000001</v>
      </c>
      <c r="Y6057">
        <v>5.851137E-2</v>
      </c>
      <c r="Z6057">
        <v>-1.0520060000000001E-3</v>
      </c>
      <c r="AA6057">
        <v>0.99828620000000001</v>
      </c>
      <c r="AB6057">
        <v>36</v>
      </c>
      <c r="AC6057">
        <v>-262.98129999999998</v>
      </c>
      <c r="AD6057">
        <v>12.681263</v>
      </c>
      <c r="AE6057">
        <v>17.3979999999999</v>
      </c>
      <c r="AF6057">
        <v>15.422739950892501</v>
      </c>
      <c r="AG6057">
        <v>12.681263</v>
      </c>
      <c r="AH6057">
        <v>262.49472046696002</v>
      </c>
      <c r="AI6057">
        <v>87.238914331177796</v>
      </c>
      <c r="AJ6057">
        <v>86.637482135711195</v>
      </c>
      <c r="AK6057">
        <v>263.25302203753603</v>
      </c>
      <c r="AL6057">
        <v>90.117065500327499</v>
      </c>
      <c r="AM6057">
        <v>88.7837040691673</v>
      </c>
      <c r="AN6057">
        <v>1.00000000017475</v>
      </c>
    </row>
    <row r="6058" spans="1:40" x14ac:dyDescent="0.25">
      <c r="A6058" t="str">
        <f>"20190312154043425"</f>
        <v>20190312154043425</v>
      </c>
      <c r="B6058" t="str">
        <f>"1552376443412600"</f>
        <v>1552376443412600</v>
      </c>
      <c r="C6058" t="s">
        <v>40</v>
      </c>
      <c r="D6058">
        <v>3.7545060000000001</v>
      </c>
      <c r="E6058">
        <v>0.50850039999999996</v>
      </c>
      <c r="F6058" t="s">
        <v>82</v>
      </c>
      <c r="G6058">
        <v>-511.92899999999997</v>
      </c>
      <c r="H6058">
        <v>11.362920000000001</v>
      </c>
      <c r="I6058">
        <v>155.33179999999999</v>
      </c>
      <c r="J6058">
        <v>-249.30340000000001</v>
      </c>
      <c r="K6058">
        <v>1.1101840000000001</v>
      </c>
      <c r="L6058">
        <v>140.65369999999999</v>
      </c>
      <c r="M6058">
        <v>-0.99995699999999998</v>
      </c>
      <c r="N6058">
        <v>0</v>
      </c>
      <c r="O6058">
        <v>5.9524419999999996E-3</v>
      </c>
      <c r="P6058">
        <v>-0.99954180000000004</v>
      </c>
      <c r="Q6058">
        <v>-9.3943659999999995E-3</v>
      </c>
      <c r="R6058">
        <v>2.8775419999999999E-2</v>
      </c>
      <c r="S6058">
        <v>-2.9976500000000001</v>
      </c>
      <c r="T6058">
        <v>0.1168686</v>
      </c>
      <c r="U6058">
        <v>0.1673279</v>
      </c>
      <c r="V6058">
        <v>2.2832140000000001E-2</v>
      </c>
      <c r="W6058">
        <v>-2.199552E-3</v>
      </c>
      <c r="X6058">
        <v>0.99973690000000004</v>
      </c>
      <c r="Y6058">
        <v>4.9755420000000002E-2</v>
      </c>
      <c r="Z6058">
        <v>-7.3698609999999995E-4</v>
      </c>
      <c r="AA6058">
        <v>0.99876120000000002</v>
      </c>
      <c r="AB6058">
        <v>36</v>
      </c>
      <c r="AC6058">
        <v>-262.62560000000002</v>
      </c>
      <c r="AD6058">
        <v>10.252736000000001</v>
      </c>
      <c r="AE6058">
        <v>14.678100000000001</v>
      </c>
      <c r="AF6058">
        <v>13.0946417438811</v>
      </c>
      <c r="AG6058">
        <v>10.252736000000001</v>
      </c>
      <c r="AH6058">
        <v>262.30978578974901</v>
      </c>
      <c r="AI6058">
        <v>87.764436678265696</v>
      </c>
      <c r="AJ6058">
        <v>87.142137121972198</v>
      </c>
      <c r="AK6058">
        <v>262.83647379873003</v>
      </c>
      <c r="AL6058">
        <v>90.126025147164697</v>
      </c>
      <c r="AM6058">
        <v>88.691697896855104</v>
      </c>
      <c r="AN6058">
        <v>1.00000000693379</v>
      </c>
    </row>
    <row r="6059" spans="1:40" x14ac:dyDescent="0.25">
      <c r="A6059" t="str">
        <f>"20190312154043445"</f>
        <v>20190312154043445</v>
      </c>
      <c r="B6059" t="str">
        <f>"1552376443442856"</f>
        <v>1552376443442856</v>
      </c>
      <c r="C6059" t="s">
        <v>40</v>
      </c>
      <c r="D6059">
        <v>3.7758620000000001</v>
      </c>
      <c r="E6059">
        <v>0.50726819999999995</v>
      </c>
      <c r="F6059" t="s">
        <v>82</v>
      </c>
      <c r="G6059">
        <v>-511.92849999999999</v>
      </c>
      <c r="H6059">
        <v>9.9635829999999999</v>
      </c>
      <c r="I6059">
        <v>154.37280000000001</v>
      </c>
      <c r="J6059">
        <v>-249.64349999999999</v>
      </c>
      <c r="K6059">
        <v>1.110166</v>
      </c>
      <c r="L6059">
        <v>140.65459999999999</v>
      </c>
      <c r="M6059">
        <v>-0.99996529999999995</v>
      </c>
      <c r="N6059">
        <v>0</v>
      </c>
      <c r="O6059">
        <v>4.5815400000000003E-3</v>
      </c>
      <c r="P6059">
        <v>-0.99950019999999995</v>
      </c>
      <c r="Q6059">
        <v>-9.711061E-3</v>
      </c>
      <c r="R6059">
        <v>3.0084E-2</v>
      </c>
      <c r="S6059">
        <v>-2.9978180000000001</v>
      </c>
      <c r="T6059">
        <v>0.10106039999999999</v>
      </c>
      <c r="U6059">
        <v>0.15660099999999999</v>
      </c>
      <c r="V6059">
        <v>2.5513170000000002E-2</v>
      </c>
      <c r="W6059">
        <v>-2.6690680000000001E-3</v>
      </c>
      <c r="X6059">
        <v>0.99967090000000003</v>
      </c>
      <c r="Y6059">
        <v>4.7566879999999999E-2</v>
      </c>
      <c r="Z6059">
        <v>-6.4669819999999998E-4</v>
      </c>
      <c r="AA6059">
        <v>0.99886790000000003</v>
      </c>
      <c r="AB6059">
        <v>36</v>
      </c>
      <c r="AC6059">
        <v>-262.28500000000003</v>
      </c>
      <c r="AD6059">
        <v>8.8534170000000003</v>
      </c>
      <c r="AE6059">
        <v>13.7182</v>
      </c>
      <c r="AF6059">
        <v>12.502151663019999</v>
      </c>
      <c r="AG6059">
        <v>8.8534170000000003</v>
      </c>
      <c r="AH6059">
        <v>262.04733779921997</v>
      </c>
      <c r="AI6059">
        <v>88.067162669584206</v>
      </c>
      <c r="AJ6059">
        <v>87.268517297563307</v>
      </c>
      <c r="AK6059">
        <v>262.494750493109</v>
      </c>
      <c r="AL6059">
        <v>90.152926516718196</v>
      </c>
      <c r="AM6059">
        <v>88.538039162434103</v>
      </c>
      <c r="AN6059">
        <v>0.99999997703712296</v>
      </c>
    </row>
    <row r="6060" spans="1:40" x14ac:dyDescent="0.25">
      <c r="A6060" t="str">
        <f>"20190312154043468"</f>
        <v>20190312154043468</v>
      </c>
      <c r="B6060" t="str">
        <f>"1552376443462375"</f>
        <v>1552376443462375</v>
      </c>
      <c r="C6060" t="s">
        <v>40</v>
      </c>
      <c r="D6060">
        <v>3.6926749999999999</v>
      </c>
      <c r="E6060">
        <v>0.50699050000000001</v>
      </c>
      <c r="F6060" t="s">
        <v>82</v>
      </c>
      <c r="G6060">
        <v>-511.92809999999997</v>
      </c>
      <c r="H6060">
        <v>8.7027000000000001</v>
      </c>
      <c r="I6060">
        <v>153.79910000000001</v>
      </c>
      <c r="J6060">
        <v>-250.01519999999999</v>
      </c>
      <c r="K6060">
        <v>1.1101559999999999</v>
      </c>
      <c r="L6060">
        <v>140.655</v>
      </c>
      <c r="M6060">
        <v>-0.99997239999999998</v>
      </c>
      <c r="N6060">
        <v>0</v>
      </c>
      <c r="O6060">
        <v>3.0627129999999999E-3</v>
      </c>
      <c r="P6060">
        <v>-0.99945629999999996</v>
      </c>
      <c r="Q6060">
        <v>-1.038217E-2</v>
      </c>
      <c r="R6060">
        <v>3.1295139999999999E-2</v>
      </c>
      <c r="S6060">
        <v>-2.997833</v>
      </c>
      <c r="T6060">
        <v>8.6780789999999997E-2</v>
      </c>
      <c r="U6060">
        <v>0.15023800000000001</v>
      </c>
      <c r="V6060">
        <v>2.8245610000000001E-2</v>
      </c>
      <c r="W6060">
        <v>-3.5119700000000001E-3</v>
      </c>
      <c r="X6060">
        <v>0.99959489999999995</v>
      </c>
      <c r="Y6060">
        <v>4.6975200000000002E-2</v>
      </c>
      <c r="Z6060">
        <v>-5.9076180000000003E-4</v>
      </c>
      <c r="AA6060">
        <v>0.99889589999999995</v>
      </c>
      <c r="AB6060">
        <v>36</v>
      </c>
      <c r="AC6060">
        <v>-261.91289999999998</v>
      </c>
      <c r="AD6060">
        <v>7.5925440000000002</v>
      </c>
      <c r="AE6060">
        <v>13.1441</v>
      </c>
      <c r="AF6060">
        <v>12.331519154146401</v>
      </c>
      <c r="AG6060">
        <v>7.5925440000000002</v>
      </c>
      <c r="AH6060">
        <v>261.73253435774399</v>
      </c>
      <c r="AI6060">
        <v>88.340224923737395</v>
      </c>
      <c r="AJ6060">
        <v>87.302506166027598</v>
      </c>
      <c r="AK6060">
        <v>262.13285301611597</v>
      </c>
      <c r="AL6060">
        <v>90.201221461098896</v>
      </c>
      <c r="AM6060">
        <v>88.381420595534493</v>
      </c>
      <c r="AN6060">
        <v>1.0000000562617699</v>
      </c>
    </row>
    <row r="6061" spans="1:40" x14ac:dyDescent="0.25">
      <c r="A6061" t="str">
        <f>"20190312154043490"</f>
        <v>20190312154043490</v>
      </c>
      <c r="B6061" t="str">
        <f>"1552376443481899"</f>
        <v>1552376443481899</v>
      </c>
      <c r="C6061" t="s">
        <v>40</v>
      </c>
      <c r="D6061">
        <v>3.7284760000000001</v>
      </c>
      <c r="E6061">
        <v>0.50719910000000001</v>
      </c>
      <c r="F6061" t="s">
        <v>82</v>
      </c>
      <c r="G6061">
        <v>-511.92790000000002</v>
      </c>
      <c r="H6061">
        <v>8.1300699999999999</v>
      </c>
      <c r="I6061">
        <v>153.8974</v>
      </c>
      <c r="J6061">
        <v>-250.3828</v>
      </c>
      <c r="K6061">
        <v>1.11016</v>
      </c>
      <c r="L6061">
        <v>140.65479999999999</v>
      </c>
      <c r="M6061">
        <v>-0.99997709999999995</v>
      </c>
      <c r="N6061">
        <v>0</v>
      </c>
      <c r="O6061">
        <v>1.532421E-3</v>
      </c>
      <c r="P6061">
        <v>-0.99942799999999998</v>
      </c>
      <c r="Q6061">
        <v>-1.0872959999999999E-2</v>
      </c>
      <c r="R6061">
        <v>3.2027989999999999E-2</v>
      </c>
      <c r="S6061">
        <v>-2.9977109999999998</v>
      </c>
      <c r="T6061">
        <v>8.0346580000000001E-2</v>
      </c>
      <c r="U6061">
        <v>0.15156559999999999</v>
      </c>
      <c r="V6061">
        <v>3.0510860000000001E-2</v>
      </c>
      <c r="W6061">
        <v>-4.1748509999999898E-3</v>
      </c>
      <c r="X6061">
        <v>0.99952569999999996</v>
      </c>
      <c r="Y6061">
        <v>4.894838E-2</v>
      </c>
      <c r="Z6061">
        <v>-6.1439699999999895E-4</v>
      </c>
      <c r="AA6061">
        <v>0.9988011</v>
      </c>
      <c r="AB6061">
        <v>36</v>
      </c>
      <c r="AC6061">
        <v>-261.54509999999999</v>
      </c>
      <c r="AD6061">
        <v>7.0199099999999897</v>
      </c>
      <c r="AE6061">
        <v>13.242599999999999</v>
      </c>
      <c r="AF6061">
        <v>12.8325576838087</v>
      </c>
      <c r="AG6061">
        <v>7.0199099999999897</v>
      </c>
      <c r="AH6061">
        <v>261.37727350780102</v>
      </c>
      <c r="AI6061">
        <v>88.463404945087802</v>
      </c>
      <c r="AJ6061">
        <v>87.189267886967201</v>
      </c>
      <c r="AK6061">
        <v>261.78623489306699</v>
      </c>
      <c r="AL6061">
        <v>90.239202041213105</v>
      </c>
      <c r="AM6061">
        <v>88.251569880118396</v>
      </c>
      <c r="AN6061">
        <v>0.99999998345965002</v>
      </c>
    </row>
    <row r="6062" spans="1:40" x14ac:dyDescent="0.25">
      <c r="A6062" t="str">
        <f>"20190312154043514"</f>
        <v>20190312154043514</v>
      </c>
      <c r="B6062" t="str">
        <f>"1552376443502392"</f>
        <v>1552376443502392</v>
      </c>
      <c r="C6062" t="s">
        <v>40</v>
      </c>
      <c r="D6062">
        <v>3.7852860000000002</v>
      </c>
      <c r="E6062">
        <v>0.50727529999999998</v>
      </c>
      <c r="F6062" t="s">
        <v>82</v>
      </c>
      <c r="G6062">
        <v>-511.92779999999999</v>
      </c>
      <c r="H6062">
        <v>7.835178</v>
      </c>
      <c r="I6062">
        <v>154.2055</v>
      </c>
      <c r="J6062">
        <v>-250.75579999999999</v>
      </c>
      <c r="K6062">
        <v>1.1101760000000001</v>
      </c>
      <c r="L6062">
        <v>140.6541</v>
      </c>
      <c r="M6062">
        <v>-0.99997959999999997</v>
      </c>
      <c r="N6062">
        <v>0</v>
      </c>
      <c r="O6062" s="1">
        <v>-5.4390859999999897E-5</v>
      </c>
      <c r="P6062">
        <v>-0.99941899999999995</v>
      </c>
      <c r="Q6062">
        <v>-1.0539939999999999E-2</v>
      </c>
      <c r="R6062">
        <v>3.2417010000000003E-2</v>
      </c>
      <c r="S6062">
        <v>-2.9975740000000002</v>
      </c>
      <c r="T6062">
        <v>7.7076080000000005E-2</v>
      </c>
      <c r="U6062">
        <v>0.155304</v>
      </c>
      <c r="V6062">
        <v>3.2485609999999998E-2</v>
      </c>
      <c r="W6062">
        <v>-4.0154860000000004E-3</v>
      </c>
      <c r="X6062">
        <v>0.99946420000000002</v>
      </c>
      <c r="Y6062">
        <v>5.1777719999999999E-2</v>
      </c>
      <c r="Z6062">
        <v>-6.665172E-4</v>
      </c>
      <c r="AA6062">
        <v>0.99865839999999995</v>
      </c>
      <c r="AB6062">
        <v>36</v>
      </c>
      <c r="AC6062">
        <v>-261.17200000000003</v>
      </c>
      <c r="AD6062">
        <v>6.7250019999999999</v>
      </c>
      <c r="AE6062">
        <v>13.551399999999999</v>
      </c>
      <c r="AF6062">
        <v>13.556641346168099</v>
      </c>
      <c r="AG6062">
        <v>6.7250019999999999</v>
      </c>
      <c r="AH6062">
        <v>260.998677840646</v>
      </c>
      <c r="AI6062">
        <v>88.526005498759901</v>
      </c>
      <c r="AJ6062">
        <v>87.026648008763203</v>
      </c>
      <c r="AK6062">
        <v>261.43702494301402</v>
      </c>
      <c r="AL6062">
        <v>90.230071004276894</v>
      </c>
      <c r="AM6062">
        <v>88.138369225775605</v>
      </c>
      <c r="AN6062">
        <v>1.0000000630332599</v>
      </c>
    </row>
    <row r="6063" spans="1:40" x14ac:dyDescent="0.25">
      <c r="A6063" t="str">
        <f>"20190312154043534"</f>
        <v>20190312154043534</v>
      </c>
      <c r="B6063" t="str">
        <f>"1552376443521915"</f>
        <v>1552376443521915</v>
      </c>
      <c r="C6063" t="s">
        <v>40</v>
      </c>
      <c r="D6063">
        <v>3.7946409999999999</v>
      </c>
      <c r="E6063">
        <v>0.50743479999999996</v>
      </c>
      <c r="F6063" t="s">
        <v>82</v>
      </c>
      <c r="G6063">
        <v>-511.92770000000002</v>
      </c>
      <c r="H6063">
        <v>7.7184899999999903</v>
      </c>
      <c r="I6063">
        <v>154.3535</v>
      </c>
      <c r="J6063">
        <v>-251.0986</v>
      </c>
      <c r="K6063">
        <v>1.110195</v>
      </c>
      <c r="L6063">
        <v>140.65289999999999</v>
      </c>
      <c r="M6063">
        <v>-0.99997939999999996</v>
      </c>
      <c r="N6063">
        <v>0</v>
      </c>
      <c r="O6063">
        <v>-1.546536E-3</v>
      </c>
      <c r="P6063">
        <v>-0.99943230000000005</v>
      </c>
      <c r="Q6063">
        <v>-9.8122439999999995E-3</v>
      </c>
      <c r="R6063">
        <v>3.2239909999999997E-2</v>
      </c>
      <c r="S6063">
        <v>-2.997452</v>
      </c>
      <c r="T6063">
        <v>7.5843569999999999E-2</v>
      </c>
      <c r="U6063">
        <v>0.15722659999999999</v>
      </c>
      <c r="V6063">
        <v>3.3798210000000002E-2</v>
      </c>
      <c r="W6063">
        <v>-3.4440619999999999E-3</v>
      </c>
      <c r="X6063">
        <v>0.9994227</v>
      </c>
      <c r="Y6063">
        <v>5.3908079999999997E-2</v>
      </c>
      <c r="Z6063">
        <v>-7.2053169999999997E-4</v>
      </c>
      <c r="AA6063">
        <v>0.99854560000000003</v>
      </c>
      <c r="AB6063">
        <v>37</v>
      </c>
      <c r="AC6063">
        <v>-260.82909999999998</v>
      </c>
      <c r="AD6063">
        <v>6.6082949999999903</v>
      </c>
      <c r="AE6063">
        <v>13.7006</v>
      </c>
      <c r="AF6063">
        <v>14.0949503939413</v>
      </c>
      <c r="AG6063">
        <v>6.6082949999999903</v>
      </c>
      <c r="AH6063">
        <v>260.64075446176599</v>
      </c>
      <c r="AI6063">
        <v>88.549750041369293</v>
      </c>
      <c r="AJ6063">
        <v>86.904569626008097</v>
      </c>
      <c r="AK6063">
        <v>261.10522797487903</v>
      </c>
      <c r="AL6063">
        <v>90.197330615592193</v>
      </c>
      <c r="AM6063">
        <v>88.063124764719703</v>
      </c>
      <c r="AN6063">
        <v>0.99999995691877597</v>
      </c>
    </row>
    <row r="6064" spans="1:40" x14ac:dyDescent="0.25">
      <c r="A6064" t="str">
        <f>"20190312154043558"</f>
        <v>20190312154043558</v>
      </c>
      <c r="B6064" t="str">
        <f>"1552376443552168"</f>
        <v>1552376443552168</v>
      </c>
      <c r="C6064" t="s">
        <v>40</v>
      </c>
      <c r="D6064">
        <v>3.8060800000000001</v>
      </c>
      <c r="E6064">
        <v>0.50768480000000005</v>
      </c>
      <c r="F6064" t="s">
        <v>82</v>
      </c>
      <c r="G6064">
        <v>-511.92779999999999</v>
      </c>
      <c r="H6064">
        <v>7.8809820000000004</v>
      </c>
      <c r="I6064">
        <v>154.39840000000001</v>
      </c>
      <c r="J6064">
        <v>-251.4736</v>
      </c>
      <c r="K6064">
        <v>1.1102190000000001</v>
      </c>
      <c r="L6064">
        <v>140.65100000000001</v>
      </c>
      <c r="M6064">
        <v>-0.99997639999999999</v>
      </c>
      <c r="N6064">
        <v>0</v>
      </c>
      <c r="O6064">
        <v>-3.2117579999999999E-3</v>
      </c>
      <c r="P6064">
        <v>-0.99947350000000001</v>
      </c>
      <c r="Q6064">
        <v>-9.0918500000000003E-3</v>
      </c>
      <c r="R6064">
        <v>3.1147299999999999E-2</v>
      </c>
      <c r="S6064">
        <v>-2.99736</v>
      </c>
      <c r="T6064">
        <v>7.7808020000000006E-2</v>
      </c>
      <c r="U6064">
        <v>0.15795899999999999</v>
      </c>
      <c r="V6064">
        <v>3.4368089999999997E-2</v>
      </c>
      <c r="W6064">
        <v>-2.893577E-3</v>
      </c>
      <c r="X6064">
        <v>0.99940499999999999</v>
      </c>
      <c r="Y6064">
        <v>5.581361E-2</v>
      </c>
      <c r="Z6064">
        <v>-8.0710959999999996E-4</v>
      </c>
      <c r="AA6064">
        <v>0.99844089999999996</v>
      </c>
      <c r="AB6064">
        <v>37</v>
      </c>
      <c r="AC6064">
        <v>-260.45420000000001</v>
      </c>
      <c r="AD6064">
        <v>6.7707629999999996</v>
      </c>
      <c r="AE6064">
        <v>13.747400000000001</v>
      </c>
      <c r="AF6064">
        <v>14.5740387369282</v>
      </c>
      <c r="AG6064">
        <v>6.7707629999999996</v>
      </c>
      <c r="AH6064">
        <v>260.23332768117001</v>
      </c>
      <c r="AI6064">
        <v>88.511942652178604</v>
      </c>
      <c r="AJ6064">
        <v>86.794570647147793</v>
      </c>
      <c r="AK6064">
        <v>260.72903688067203</v>
      </c>
      <c r="AL6064">
        <v>90.165789990068305</v>
      </c>
      <c r="AM6064">
        <v>88.030457284333195</v>
      </c>
      <c r="AN6064">
        <v>0.99999994621154997</v>
      </c>
    </row>
    <row r="6065" spans="1:40" x14ac:dyDescent="0.25">
      <c r="A6065" t="str">
        <f>"20190312154043580"</f>
        <v>20190312154043580</v>
      </c>
      <c r="B6065" t="str">
        <f>"1552376443572663"</f>
        <v>1552376443572663</v>
      </c>
      <c r="C6065" t="s">
        <v>40</v>
      </c>
      <c r="D6065">
        <v>3.8147579999999999</v>
      </c>
      <c r="E6065">
        <v>0.50781880000000001</v>
      </c>
      <c r="F6065" t="s">
        <v>82</v>
      </c>
      <c r="G6065">
        <v>-511.92790000000002</v>
      </c>
      <c r="H6065">
        <v>8.0162990000000001</v>
      </c>
      <c r="I6065">
        <v>154.273</v>
      </c>
      <c r="J6065">
        <v>-251.84880000000001</v>
      </c>
      <c r="K6065">
        <v>1.1102430000000001</v>
      </c>
      <c r="L6065">
        <v>140.64830000000001</v>
      </c>
      <c r="M6065">
        <v>-0.99997049999999998</v>
      </c>
      <c r="N6065">
        <v>0</v>
      </c>
      <c r="O6065">
        <v>-4.9071399999999999E-3</v>
      </c>
      <c r="P6065">
        <v>-0.99953720000000001</v>
      </c>
      <c r="Q6065">
        <v>-8.8751379999999994E-3</v>
      </c>
      <c r="R6065">
        <v>2.9098450000000001E-2</v>
      </c>
      <c r="S6065">
        <v>-2.9974210000000001</v>
      </c>
      <c r="T6065">
        <v>7.947862E-2</v>
      </c>
      <c r="U6065">
        <v>0.15676880000000001</v>
      </c>
      <c r="V6065">
        <v>3.401419E-2</v>
      </c>
      <c r="W6065">
        <v>-2.8409490000000002E-3</v>
      </c>
      <c r="X6065">
        <v>0.99941729999999995</v>
      </c>
      <c r="Y6065">
        <v>5.7107999999999999E-2</v>
      </c>
      <c r="Z6065">
        <v>-8.8648920000000003E-4</v>
      </c>
      <c r="AA6065">
        <v>0.99836760000000002</v>
      </c>
      <c r="AB6065">
        <v>37</v>
      </c>
      <c r="AC6065">
        <v>-260.07909999999998</v>
      </c>
      <c r="AD6065">
        <v>6.9060560000000004</v>
      </c>
      <c r="AE6065">
        <v>13.624699999999899</v>
      </c>
      <c r="AF6065">
        <v>14.890332385661999</v>
      </c>
      <c r="AG6065">
        <v>6.9060560000000004</v>
      </c>
      <c r="AH6065">
        <v>259.82640744350499</v>
      </c>
      <c r="AI6065">
        <v>88.479958215734399</v>
      </c>
      <c r="AJ6065">
        <v>86.720036875854703</v>
      </c>
      <c r="AK6065">
        <v>260.344344307744</v>
      </c>
      <c r="AL6065">
        <v>90.162774608452693</v>
      </c>
      <c r="AM6065">
        <v>88.050746584982804</v>
      </c>
      <c r="AN6065">
        <v>0.99999998782593302</v>
      </c>
    </row>
    <row r="6066" spans="1:40" x14ac:dyDescent="0.25">
      <c r="A6066" t="str">
        <f>"20190312154043602"</f>
        <v>20190312154043602</v>
      </c>
      <c r="B6066" t="str">
        <f>"1552376443592187"</f>
        <v>1552376443592187</v>
      </c>
      <c r="C6066" t="s">
        <v>40</v>
      </c>
      <c r="D6066">
        <v>3.8220529999999999</v>
      </c>
      <c r="E6066">
        <v>0.50798829999999995</v>
      </c>
      <c r="F6066" t="s">
        <v>82</v>
      </c>
      <c r="G6066">
        <v>-511.92790000000002</v>
      </c>
      <c r="H6066">
        <v>8.0655619999999999</v>
      </c>
      <c r="I6066">
        <v>153.8021</v>
      </c>
      <c r="J6066">
        <v>-252.22190000000001</v>
      </c>
      <c r="K6066">
        <v>1.1102609999999999</v>
      </c>
      <c r="L6066">
        <v>140.64510000000001</v>
      </c>
      <c r="M6066">
        <v>-0.99996169999999995</v>
      </c>
      <c r="N6066">
        <v>0</v>
      </c>
      <c r="O6066">
        <v>-6.6108790000000001E-3</v>
      </c>
      <c r="P6066">
        <v>-0.99958579999999997</v>
      </c>
      <c r="Q6066">
        <v>-8.5743239999999995E-3</v>
      </c>
      <c r="R6066">
        <v>2.7475179999999998E-2</v>
      </c>
      <c r="S6066">
        <v>-2.9976959999999999</v>
      </c>
      <c r="T6066">
        <v>8.0168130000000004E-2</v>
      </c>
      <c r="U6066">
        <v>0.15161129999999901</v>
      </c>
      <c r="V6066">
        <v>3.4093480000000002E-2</v>
      </c>
      <c r="W6066">
        <v>-2.6883290000000002E-3</v>
      </c>
      <c r="X6066">
        <v>0.99941500000000005</v>
      </c>
      <c r="Y6066">
        <v>5.7090120000000001E-2</v>
      </c>
      <c r="Z6066">
        <v>-9.3942530000000002E-4</v>
      </c>
      <c r="AA6066">
        <v>0.99836860000000005</v>
      </c>
      <c r="AB6066">
        <v>37</v>
      </c>
      <c r="AC6066">
        <v>-259.70599999999899</v>
      </c>
      <c r="AD6066">
        <v>6.9553010000000004</v>
      </c>
      <c r="AE6066">
        <v>13.156999999999901</v>
      </c>
      <c r="AF6066">
        <v>14.862992537507299</v>
      </c>
      <c r="AG6066">
        <v>6.9553010000000004</v>
      </c>
      <c r="AH6066">
        <v>259.42774686081498</v>
      </c>
      <c r="AI6066">
        <v>88.466771518011598</v>
      </c>
      <c r="AJ6066">
        <v>86.721025949602407</v>
      </c>
      <c r="AK6066">
        <v>259.94622636316501</v>
      </c>
      <c r="AL6066">
        <v>90.154030096202902</v>
      </c>
      <c r="AM6066">
        <v>88.046201732448793</v>
      </c>
      <c r="AN6066">
        <v>0.99999996735815999</v>
      </c>
    </row>
    <row r="6067" spans="1:40" x14ac:dyDescent="0.25">
      <c r="A6067" t="str">
        <f>"20190312154043625"</f>
        <v>20190312154043625</v>
      </c>
      <c r="B6067" t="str">
        <f>"1552376443612680"</f>
        <v>1552376443612680</v>
      </c>
      <c r="C6067" t="s">
        <v>40</v>
      </c>
      <c r="D6067">
        <v>3.8238370000000002</v>
      </c>
      <c r="E6067">
        <v>0.50807829999999998</v>
      </c>
      <c r="F6067" t="s">
        <v>82</v>
      </c>
      <c r="G6067">
        <v>-511.06130000000002</v>
      </c>
      <c r="H6067">
        <v>8.0812019999999993</v>
      </c>
      <c r="I6067">
        <v>153.4297</v>
      </c>
      <c r="J6067">
        <v>-252.59</v>
      </c>
      <c r="K6067">
        <v>1.1102719999999999</v>
      </c>
      <c r="L6067">
        <v>140.6413</v>
      </c>
      <c r="M6067">
        <v>-0.99994989999999995</v>
      </c>
      <c r="N6067">
        <v>0</v>
      </c>
      <c r="O6067">
        <v>-8.3032030000000003E-3</v>
      </c>
      <c r="P6067">
        <v>-0.99965090000000001</v>
      </c>
      <c r="Q6067">
        <v>-8.8973409999999996E-3</v>
      </c>
      <c r="R6067">
        <v>2.4884179999999999E-2</v>
      </c>
      <c r="S6067">
        <v>-2.9978940000000001</v>
      </c>
      <c r="T6067">
        <v>8.0738309999999994E-2</v>
      </c>
      <c r="U6067">
        <v>0.14807129999999999</v>
      </c>
      <c r="V6067">
        <v>3.3196330000000003E-2</v>
      </c>
      <c r="W6067">
        <v>-3.1456539999999999E-3</v>
      </c>
      <c r="X6067">
        <v>0.99944390000000005</v>
      </c>
      <c r="Y6067">
        <v>5.7599310000000001E-2</v>
      </c>
      <c r="Z6067">
        <v>-9.9846570000000005E-4</v>
      </c>
      <c r="AA6067">
        <v>0.99833930000000004</v>
      </c>
      <c r="AB6067">
        <v>37</v>
      </c>
      <c r="AC6067">
        <v>-258.47129999999999</v>
      </c>
      <c r="AD6067">
        <v>6.9709300000000001</v>
      </c>
      <c r="AE6067">
        <v>12.7883999999999</v>
      </c>
      <c r="AF6067">
        <v>14.923304063217699</v>
      </c>
      <c r="AG6067">
        <v>6.9709300000000001</v>
      </c>
      <c r="AH6067">
        <v>258.16887697836597</v>
      </c>
      <c r="AI6067">
        <v>88.455883895530505</v>
      </c>
      <c r="AJ6067">
        <v>86.691731701013396</v>
      </c>
      <c r="AK6067">
        <v>258.693772459831</v>
      </c>
      <c r="AL6067">
        <v>90.180232995183502</v>
      </c>
      <c r="AM6067">
        <v>88.0976314728223</v>
      </c>
      <c r="AN6067">
        <v>1.00000000035588</v>
      </c>
    </row>
    <row r="6068" spans="1:40" x14ac:dyDescent="0.25">
      <c r="A6068" t="str">
        <f>"20190312154043646"</f>
        <v>20190312154043646</v>
      </c>
      <c r="B6068" t="str">
        <f>"1552376443641960"</f>
        <v>1552376443641960</v>
      </c>
      <c r="C6068" t="s">
        <v>40</v>
      </c>
      <c r="D6068">
        <v>3.8236970000000001</v>
      </c>
      <c r="E6068">
        <v>0.50828180000000001</v>
      </c>
      <c r="F6068" t="s">
        <v>82</v>
      </c>
      <c r="G6068">
        <v>-511.06130000000002</v>
      </c>
      <c r="H6068">
        <v>7.9477019999999996</v>
      </c>
      <c r="I6068">
        <v>152.80099999999999</v>
      </c>
      <c r="J6068">
        <v>-252.9545</v>
      </c>
      <c r="K6068">
        <v>1.110285</v>
      </c>
      <c r="L6068">
        <v>140.637</v>
      </c>
      <c r="M6068">
        <v>-0.99993500000000002</v>
      </c>
      <c r="N6068">
        <v>0</v>
      </c>
      <c r="O6068">
        <v>-9.9845980000000008E-3</v>
      </c>
      <c r="P6068">
        <v>-0.99971310000000002</v>
      </c>
      <c r="Q6068">
        <v>-8.8875599999999992E-3</v>
      </c>
      <c r="R6068">
        <v>2.224489E-2</v>
      </c>
      <c r="S6068">
        <v>-2.9982600000000001</v>
      </c>
      <c r="T6068">
        <v>7.9314469999999998E-2</v>
      </c>
      <c r="U6068">
        <v>0.14105219999999999</v>
      </c>
      <c r="V6068">
        <v>3.2238889999999999E-2</v>
      </c>
      <c r="W6068">
        <v>-3.2537640000000001E-3</v>
      </c>
      <c r="X6068">
        <v>0.99947490000000005</v>
      </c>
      <c r="Y6068">
        <v>5.6940739999999997E-2</v>
      </c>
      <c r="Z6068">
        <v>-1.016545E-3</v>
      </c>
      <c r="AA6068">
        <v>0.99837699999999996</v>
      </c>
      <c r="AB6068">
        <v>37</v>
      </c>
      <c r="AC6068">
        <v>-258.10680000000002</v>
      </c>
      <c r="AD6068">
        <v>6.8374169999999896</v>
      </c>
      <c r="AE6068">
        <v>12.164</v>
      </c>
      <c r="AF6068">
        <v>14.730211241078701</v>
      </c>
      <c r="AG6068">
        <v>6.8374169999999896</v>
      </c>
      <c r="AH6068">
        <v>257.79197339812902</v>
      </c>
      <c r="AI6068">
        <v>88.483173145158602</v>
      </c>
      <c r="AJ6068">
        <v>86.7296801463267</v>
      </c>
      <c r="AK6068">
        <v>258.30298283786902</v>
      </c>
      <c r="AL6068">
        <v>90.186427272868301</v>
      </c>
      <c r="AM6068">
        <v>88.152517770357505</v>
      </c>
      <c r="AN6068">
        <v>1.0000000043693</v>
      </c>
    </row>
    <row r="6069" spans="1:40" x14ac:dyDescent="0.25">
      <c r="A6069" t="str">
        <f>"20190312154043670"</f>
        <v>20190312154043670</v>
      </c>
      <c r="B6069" t="str">
        <f>"1552376443662458"</f>
        <v>1552376443662458</v>
      </c>
      <c r="C6069" t="s">
        <v>40</v>
      </c>
      <c r="D6069">
        <v>3.8111359999999999</v>
      </c>
      <c r="E6069">
        <v>0.50837949999999998</v>
      </c>
      <c r="F6069" t="s">
        <v>82</v>
      </c>
      <c r="G6069">
        <v>-511.06119999999999</v>
      </c>
      <c r="H6069">
        <v>7.7952130000000004</v>
      </c>
      <c r="I6069">
        <v>152.22929999999999</v>
      </c>
      <c r="J6069">
        <v>-253.3441</v>
      </c>
      <c r="K6069">
        <v>1.1102939999999999</v>
      </c>
      <c r="L6069">
        <v>140.6317</v>
      </c>
      <c r="M6069">
        <v>-0.99991620000000003</v>
      </c>
      <c r="N6069">
        <v>0</v>
      </c>
      <c r="O6069">
        <v>-1.177973E-2</v>
      </c>
      <c r="P6069">
        <v>-0.99976220000000005</v>
      </c>
      <c r="Q6069">
        <v>-8.8005400000000008E-3</v>
      </c>
      <c r="R6069">
        <v>1.9963359999999999E-2</v>
      </c>
      <c r="S6069">
        <v>-2.9985499999999998</v>
      </c>
      <c r="T6069">
        <v>7.7662469999999997E-2</v>
      </c>
      <c r="U6069">
        <v>0.13467409999999999</v>
      </c>
      <c r="V6069">
        <v>3.1752509999999998E-2</v>
      </c>
      <c r="W6069">
        <v>-3.2744470000000002E-3</v>
      </c>
      <c r="X6069">
        <v>0.9994904</v>
      </c>
      <c r="Y6069">
        <v>5.660987E-2</v>
      </c>
      <c r="Z6069">
        <v>-1.0375149999999999E-3</v>
      </c>
      <c r="AA6069">
        <v>0.9983959</v>
      </c>
      <c r="AB6069">
        <v>37</v>
      </c>
      <c r="AC6069">
        <v>-257.71710000000002</v>
      </c>
      <c r="AD6069">
        <v>6.6849189999999998</v>
      </c>
      <c r="AE6069">
        <v>11.5976</v>
      </c>
      <c r="AF6069">
        <v>14.6228580897033</v>
      </c>
      <c r="AG6069">
        <v>6.6849189999999998</v>
      </c>
      <c r="AH6069">
        <v>257.38976987289902</v>
      </c>
      <c r="AI6069">
        <v>88.514644347986007</v>
      </c>
      <c r="AJ6069">
        <v>86.748400688156806</v>
      </c>
      <c r="AK6069">
        <v>257.89146894764099</v>
      </c>
      <c r="AL6069">
        <v>90.187612328267093</v>
      </c>
      <c r="AM6069">
        <v>88.180399587218005</v>
      </c>
      <c r="AN6069">
        <v>1.0000000017933</v>
      </c>
    </row>
    <row r="6070" spans="1:40" x14ac:dyDescent="0.25">
      <c r="A6070" t="str">
        <f>"20190312154043691"</f>
        <v>20190312154043691</v>
      </c>
      <c r="B6070" t="str">
        <f>"1552376443681979"</f>
        <v>1552376443681979</v>
      </c>
      <c r="C6070" t="s">
        <v>40</v>
      </c>
      <c r="D6070">
        <v>3.8891770000000001</v>
      </c>
      <c r="E6070">
        <v>0.49007590000000001</v>
      </c>
      <c r="F6070" t="s">
        <v>82</v>
      </c>
      <c r="G6070">
        <v>-511.06119999999999</v>
      </c>
      <c r="H6070">
        <v>7.6626300000000001</v>
      </c>
      <c r="I6070">
        <v>151.6902</v>
      </c>
      <c r="J6070">
        <v>-253.71610000000001</v>
      </c>
      <c r="K6070">
        <v>1.110298</v>
      </c>
      <c r="L6070">
        <v>140.6259</v>
      </c>
      <c r="M6070">
        <v>-0.99989510000000004</v>
      </c>
      <c r="N6070">
        <v>0</v>
      </c>
      <c r="O6070">
        <v>-1.3482620000000001E-2</v>
      </c>
      <c r="P6070">
        <v>-0.99979819999999997</v>
      </c>
      <c r="Q6070">
        <v>-8.73407E-3</v>
      </c>
      <c r="R6070">
        <v>1.8100729999999999E-2</v>
      </c>
      <c r="S6070">
        <v>-2.9988100000000002</v>
      </c>
      <c r="T6070">
        <v>7.6243759999999994E-2</v>
      </c>
      <c r="U6070">
        <v>0.1286774</v>
      </c>
      <c r="V6070">
        <v>3.1592910000000002E-2</v>
      </c>
      <c r="W6070">
        <v>-3.2950549999999999E-3</v>
      </c>
      <c r="X6070">
        <v>0.99949540000000003</v>
      </c>
      <c r="Y6070">
        <v>5.6314030000000001E-2</v>
      </c>
      <c r="Z6070">
        <v>-1.0580380000000001E-3</v>
      </c>
      <c r="AA6070">
        <v>0.99841250000000004</v>
      </c>
      <c r="AB6070">
        <v>38</v>
      </c>
      <c r="AC6070">
        <v>-257.3451</v>
      </c>
      <c r="AD6070">
        <v>6.5523319999999998</v>
      </c>
      <c r="AE6070">
        <v>11.064299999999999</v>
      </c>
      <c r="AF6070">
        <v>14.523631118376301</v>
      </c>
      <c r="AG6070">
        <v>6.5523319999999998</v>
      </c>
      <c r="AH6070">
        <v>257.006226636375</v>
      </c>
      <c r="AI6070">
        <v>88.541895119849499</v>
      </c>
      <c r="AJ6070">
        <v>86.765608902375106</v>
      </c>
      <c r="AK6070">
        <v>257.49964940824401</v>
      </c>
      <c r="AL6070">
        <v>90.188793084135</v>
      </c>
      <c r="AM6070">
        <v>88.189548528689997</v>
      </c>
      <c r="AN6070">
        <v>1.00000001198544</v>
      </c>
    </row>
    <row r="6071" spans="1:40" x14ac:dyDescent="0.25">
      <c r="A6071" t="str">
        <f>"20190312154043704"</f>
        <v>20190312154043704</v>
      </c>
      <c r="B6071" t="str">
        <f>"1552376443692712"</f>
        <v>1552376443692712</v>
      </c>
      <c r="C6071" t="s">
        <v>40</v>
      </c>
      <c r="D6071">
        <v>3.8647909999999999</v>
      </c>
      <c r="E6071">
        <v>0.48645379999999999</v>
      </c>
      <c r="F6071" t="s">
        <v>50</v>
      </c>
      <c r="G6071">
        <v>0</v>
      </c>
      <c r="H6071">
        <v>0</v>
      </c>
      <c r="I6071">
        <v>0</v>
      </c>
      <c r="J6071">
        <v>-253.9365</v>
      </c>
      <c r="K6071">
        <v>1.1102989999999999</v>
      </c>
      <c r="L6071">
        <v>140.6223</v>
      </c>
      <c r="M6071">
        <v>-0.99988140000000003</v>
      </c>
      <c r="N6071">
        <v>0</v>
      </c>
      <c r="O6071">
        <v>-1.448108E-2</v>
      </c>
      <c r="P6071">
        <v>-0.99981430000000004</v>
      </c>
      <c r="Q6071">
        <v>-8.9941220000000002E-3</v>
      </c>
      <c r="R6071">
        <v>1.7056729999999999E-2</v>
      </c>
      <c r="S6071">
        <v>-3.001328</v>
      </c>
      <c r="T6071">
        <v>3.8324709999999998E-2</v>
      </c>
      <c r="U6071">
        <v>-2.3574830000000001E-2</v>
      </c>
      <c r="V6071">
        <v>3.1548479999999997E-2</v>
      </c>
      <c r="W6071">
        <v>-3.6001029999999999E-3</v>
      </c>
      <c r="X6071">
        <v>0.99949569999999999</v>
      </c>
      <c r="Y6071">
        <v>6.6253739999999998E-3</v>
      </c>
      <c r="Z6071">
        <v>-2.271954E-4</v>
      </c>
      <c r="AA6071">
        <v>0.99997800000000003</v>
      </c>
      <c r="AB6071">
        <v>38</v>
      </c>
      <c r="AC6071">
        <v>-3.001328</v>
      </c>
      <c r="AD6071">
        <v>3.8324709999999998E-2</v>
      </c>
      <c r="AE6071">
        <v>-2.3574830000000001E-2</v>
      </c>
      <c r="AF6071">
        <v>1.9887467665194499E-2</v>
      </c>
      <c r="AG6071">
        <v>3.8324709999999998E-2</v>
      </c>
      <c r="AH6071">
        <v>3.0008654045627798</v>
      </c>
      <c r="AI6071">
        <v>89.268318883267398</v>
      </c>
      <c r="AJ6071">
        <v>89.620292439915403</v>
      </c>
      <c r="AK6071">
        <v>3.0011760146763198</v>
      </c>
      <c r="AL6071">
        <v>90.206271161365805</v>
      </c>
      <c r="AM6071">
        <v>88.192093469057994</v>
      </c>
      <c r="AN6071">
        <v>0.99999996082520404</v>
      </c>
    </row>
    <row r="6072" spans="1:40" x14ac:dyDescent="0.25">
      <c r="A6072" t="str">
        <f>"20190312154043724"</f>
        <v>20190312154043724</v>
      </c>
      <c r="B6072" t="str">
        <f>"1552376443712233"</f>
        <v>1552376443712233</v>
      </c>
      <c r="C6072" t="s">
        <v>40</v>
      </c>
      <c r="D6072">
        <v>3.8701669999999999</v>
      </c>
      <c r="E6072">
        <v>0.48486899999999999</v>
      </c>
      <c r="F6072" t="s">
        <v>50</v>
      </c>
      <c r="G6072">
        <v>0</v>
      </c>
      <c r="H6072">
        <v>0</v>
      </c>
      <c r="I6072">
        <v>0</v>
      </c>
      <c r="J6072">
        <v>-254.2741</v>
      </c>
      <c r="K6072">
        <v>1.110303</v>
      </c>
      <c r="L6072">
        <v>140.61619999999999</v>
      </c>
      <c r="M6072">
        <v>-0.99985869999999999</v>
      </c>
      <c r="N6072">
        <v>0</v>
      </c>
      <c r="O6072">
        <v>-1.5990589999999999E-2</v>
      </c>
      <c r="P6072">
        <v>-0.99982800000000005</v>
      </c>
      <c r="Q6072">
        <v>-9.4862709999999992E-3</v>
      </c>
      <c r="R6072">
        <v>1.593996E-2</v>
      </c>
      <c r="S6072">
        <v>-3.0016020000000001</v>
      </c>
      <c r="T6072">
        <v>1.111591E-2</v>
      </c>
      <c r="U6072">
        <v>-5.603027E-2</v>
      </c>
      <c r="V6072">
        <v>3.1943029999999997E-2</v>
      </c>
      <c r="W6072">
        <v>-4.1516590000000003E-3</v>
      </c>
      <c r="X6072">
        <v>0.99948110000000001</v>
      </c>
      <c r="Y6072">
        <v>-2.6732280000000001E-3</v>
      </c>
      <c r="Z6072" s="1">
        <v>-5.426021E-5</v>
      </c>
      <c r="AA6072">
        <v>0.99999640000000001</v>
      </c>
      <c r="AB6072">
        <v>38</v>
      </c>
      <c r="AC6072">
        <v>-3.0016020000000001</v>
      </c>
      <c r="AD6072">
        <v>1.111591E-2</v>
      </c>
      <c r="AE6072">
        <v>-5.603027E-2</v>
      </c>
      <c r="AF6072">
        <v>-8.0249638386567304E-3</v>
      </c>
      <c r="AG6072">
        <v>1.111591E-2</v>
      </c>
      <c r="AH6072">
        <v>3.0020730230438102</v>
      </c>
      <c r="AI6072">
        <v>89.787850083117206</v>
      </c>
      <c r="AJ6072">
        <v>90.153159320239297</v>
      </c>
      <c r="AK6072">
        <v>3.0021043284981199</v>
      </c>
      <c r="AL6072">
        <v>90.237873214565298</v>
      </c>
      <c r="AM6072">
        <v>88.169472086284699</v>
      </c>
      <c r="AN6072">
        <v>1.0000000313476201</v>
      </c>
    </row>
    <row r="6073" spans="1:40" x14ac:dyDescent="0.25">
      <c r="A6073" t="str">
        <f>"20190312154043747"</f>
        <v>20190312154043747</v>
      </c>
      <c r="B6073" t="str">
        <f>"1552376443742488"</f>
        <v>1552376443742488</v>
      </c>
      <c r="C6073" t="s">
        <v>40</v>
      </c>
      <c r="D6073">
        <v>3.8248169999999999</v>
      </c>
      <c r="E6073">
        <v>0.48436469999999998</v>
      </c>
      <c r="F6073" t="s">
        <v>50</v>
      </c>
      <c r="G6073">
        <v>0</v>
      </c>
      <c r="H6073">
        <v>0</v>
      </c>
      <c r="I6073">
        <v>0</v>
      </c>
      <c r="J6073">
        <v>-254.6566</v>
      </c>
      <c r="K6073">
        <v>1.1102970000000001</v>
      </c>
      <c r="L6073">
        <v>140.6088</v>
      </c>
      <c r="M6073">
        <v>-0.99983089999999997</v>
      </c>
      <c r="N6073">
        <v>0</v>
      </c>
      <c r="O6073">
        <v>-1.766057E-2</v>
      </c>
      <c r="P6073">
        <v>-0.99984790000000001</v>
      </c>
      <c r="Q6073">
        <v>-9.1032779999999994E-3</v>
      </c>
      <c r="R6073">
        <v>1.487701E-2</v>
      </c>
      <c r="S6073">
        <v>-3.0017550000000002</v>
      </c>
      <c r="T6073">
        <v>8.0748799999999996E-3</v>
      </c>
      <c r="U6073">
        <v>-7.1960449999999995E-2</v>
      </c>
      <c r="V6073">
        <v>3.254833E-2</v>
      </c>
      <c r="W6073">
        <v>-3.824633E-3</v>
      </c>
      <c r="X6073">
        <v>0.99946279999999998</v>
      </c>
      <c r="Y6073">
        <v>-6.3064840000000002E-3</v>
      </c>
      <c r="Z6073" s="1">
        <v>-3.9016079999999999E-5</v>
      </c>
      <c r="AA6073">
        <v>0.99998010000000004</v>
      </c>
      <c r="AB6073">
        <v>38</v>
      </c>
      <c r="AC6073">
        <v>-3.0017550000000002</v>
      </c>
      <c r="AD6073">
        <v>8.0748799999999996E-3</v>
      </c>
      <c r="AE6073">
        <v>-7.1960449999999995E-2</v>
      </c>
      <c r="AF6073">
        <v>-1.8935689017735201E-2</v>
      </c>
      <c r="AG6073">
        <v>8.0748799999999996E-3</v>
      </c>
      <c r="AH6073">
        <v>3.00253599813745</v>
      </c>
      <c r="AI6073">
        <v>89.845914843740104</v>
      </c>
      <c r="AJ6073">
        <v>90.361334778428102</v>
      </c>
      <c r="AK6073">
        <v>3.0026065649892999</v>
      </c>
      <c r="AL6073">
        <v>90.219135873175901</v>
      </c>
      <c r="AM6073">
        <v>88.134774898923595</v>
      </c>
      <c r="AN6073">
        <v>0.99999995509360495</v>
      </c>
    </row>
    <row r="6074" spans="1:40" x14ac:dyDescent="0.25">
      <c r="A6074" t="str">
        <f>"20190312154043760"</f>
        <v>20190312154043760</v>
      </c>
      <c r="B6074" t="str">
        <f>"1552376443752248"</f>
        <v>1552376443752248</v>
      </c>
      <c r="C6074" t="s">
        <v>40</v>
      </c>
      <c r="D6074">
        <v>3.8235920000000001</v>
      </c>
      <c r="E6074">
        <v>0.48432160000000002</v>
      </c>
      <c r="F6074" t="s">
        <v>50</v>
      </c>
      <c r="G6074">
        <v>0</v>
      </c>
      <c r="H6074">
        <v>0</v>
      </c>
      <c r="I6074">
        <v>0</v>
      </c>
      <c r="J6074">
        <v>-254.88409999999999</v>
      </c>
      <c r="K6074">
        <v>1.110285</v>
      </c>
      <c r="L6074">
        <v>140.60409999999999</v>
      </c>
      <c r="M6074">
        <v>-0.99981330000000002</v>
      </c>
      <c r="N6074">
        <v>0</v>
      </c>
      <c r="O6074">
        <v>-1.8632949999999999E-2</v>
      </c>
      <c r="P6074">
        <v>-0.99986920000000001</v>
      </c>
      <c r="Q6074">
        <v>-8.7419619999999903E-3</v>
      </c>
      <c r="R6074">
        <v>1.360448E-2</v>
      </c>
      <c r="S6074">
        <v>-3.0016780000000001</v>
      </c>
      <c r="T6074">
        <v>7.8345540000000005E-3</v>
      </c>
      <c r="U6074">
        <v>-7.9299930000000005E-2</v>
      </c>
      <c r="V6074">
        <v>3.2247230000000002E-2</v>
      </c>
      <c r="W6074">
        <v>-3.494774E-3</v>
      </c>
      <c r="X6074">
        <v>0.99947379999999997</v>
      </c>
      <c r="Y6074">
        <v>-7.7780710000000001E-3</v>
      </c>
      <c r="Z6074" s="1">
        <v>-3.8471230000000001E-5</v>
      </c>
      <c r="AA6074">
        <v>0.99996969999999996</v>
      </c>
      <c r="AB6074">
        <v>38</v>
      </c>
      <c r="AC6074">
        <v>-3.0016780000000001</v>
      </c>
      <c r="AD6074">
        <v>7.8345540000000005E-3</v>
      </c>
      <c r="AE6074">
        <v>-7.9299930000000005E-2</v>
      </c>
      <c r="AF6074">
        <v>-2.3355155322615499E-2</v>
      </c>
      <c r="AG6074">
        <v>7.8345540000000005E-3</v>
      </c>
      <c r="AH6074">
        <v>3.0026140398130798</v>
      </c>
      <c r="AI6074">
        <v>89.850506167141305</v>
      </c>
      <c r="AJ6074">
        <v>90.445653296208505</v>
      </c>
      <c r="AK6074">
        <v>3.0027150906469902</v>
      </c>
      <c r="AL6074">
        <v>90.200236210734701</v>
      </c>
      <c r="AM6074">
        <v>88.152038137134099</v>
      </c>
      <c r="AN6074">
        <v>0.99999998708721105</v>
      </c>
    </row>
    <row r="6075" spans="1:40" x14ac:dyDescent="0.25">
      <c r="A6075" t="str">
        <f>"20190312154043781"</f>
        <v>20190312154043781</v>
      </c>
      <c r="B6075" t="str">
        <f>"1552376443772744"</f>
        <v>1552376443772744</v>
      </c>
      <c r="C6075" t="s">
        <v>40</v>
      </c>
      <c r="D6075">
        <v>3.8157860000000001</v>
      </c>
      <c r="E6075">
        <v>0.48425560000000001</v>
      </c>
      <c r="F6075" t="s">
        <v>50</v>
      </c>
      <c r="G6075">
        <v>0</v>
      </c>
      <c r="H6075">
        <v>0</v>
      </c>
      <c r="I6075">
        <v>0</v>
      </c>
      <c r="J6075">
        <v>-255.24080000000001</v>
      </c>
      <c r="K6075">
        <v>1.1102590000000001</v>
      </c>
      <c r="L6075">
        <v>140.59630000000001</v>
      </c>
      <c r="M6075">
        <v>-0.99978489999999998</v>
      </c>
      <c r="N6075">
        <v>0</v>
      </c>
      <c r="O6075">
        <v>-2.0109249999999999E-2</v>
      </c>
      <c r="P6075">
        <v>-0.99990199999999996</v>
      </c>
      <c r="Q6075">
        <v>-8.2278430000000003E-3</v>
      </c>
      <c r="R6075">
        <v>1.13277E-2</v>
      </c>
      <c r="S6075">
        <v>-3.001617</v>
      </c>
      <c r="T6075">
        <v>8.5514779999999995E-3</v>
      </c>
      <c r="U6075">
        <v>-8.3419800000000002E-2</v>
      </c>
      <c r="V6075">
        <v>3.1445210000000001E-2</v>
      </c>
      <c r="W6075">
        <v>-3.0240829999999999E-3</v>
      </c>
      <c r="X6075">
        <v>0.99950090000000003</v>
      </c>
      <c r="Y6075">
        <v>-7.6735709999999997E-3</v>
      </c>
      <c r="Z6075" s="1">
        <v>-4.6344370000000001E-5</v>
      </c>
      <c r="AA6075">
        <v>0.99997060000000004</v>
      </c>
      <c r="AB6075">
        <v>38</v>
      </c>
      <c r="AC6075">
        <v>-3.001617</v>
      </c>
      <c r="AD6075">
        <v>8.5514779999999995E-3</v>
      </c>
      <c r="AE6075">
        <v>-8.3419800000000002E-2</v>
      </c>
      <c r="AF6075">
        <v>-2.3041699786169802E-2</v>
      </c>
      <c r="AG6075">
        <v>8.5514779999999995E-3</v>
      </c>
      <c r="AH6075">
        <v>3.0026632018958201</v>
      </c>
      <c r="AI6075">
        <v>89.836828903206296</v>
      </c>
      <c r="AJ6075">
        <v>90.439665106896697</v>
      </c>
      <c r="AK6075">
        <v>3.0027637855356302</v>
      </c>
      <c r="AL6075">
        <v>90.173267457286201</v>
      </c>
      <c r="AM6075">
        <v>88.198016885517902</v>
      </c>
      <c r="AN6075">
        <v>0.99999999770537196</v>
      </c>
    </row>
    <row r="6076" spans="1:40" x14ac:dyDescent="0.25">
      <c r="A6076" t="str">
        <f>"20190312154043794"</f>
        <v>20190312154043794</v>
      </c>
      <c r="B6076" t="str">
        <f>"1552376443782504"</f>
        <v>1552376443782504</v>
      </c>
      <c r="C6076" t="s">
        <v>40</v>
      </c>
      <c r="D6076">
        <v>3.8187959999999999</v>
      </c>
      <c r="E6076">
        <v>0.48425400000000002</v>
      </c>
      <c r="F6076" t="s">
        <v>50</v>
      </c>
      <c r="G6076">
        <v>0</v>
      </c>
      <c r="H6076">
        <v>0</v>
      </c>
      <c r="I6076">
        <v>0</v>
      </c>
      <c r="J6076">
        <v>-255.46170000000001</v>
      </c>
      <c r="K6076">
        <v>1.110233</v>
      </c>
      <c r="L6076">
        <v>140.59129999999999</v>
      </c>
      <c r="M6076">
        <v>-0.99976690000000001</v>
      </c>
      <c r="N6076">
        <v>0</v>
      </c>
      <c r="O6076">
        <v>-2.0992150000000001E-2</v>
      </c>
      <c r="P6076">
        <v>-0.99992110000000001</v>
      </c>
      <c r="Q6076">
        <v>-7.7818519999999997E-3</v>
      </c>
      <c r="R6076">
        <v>9.8751610000000004E-3</v>
      </c>
      <c r="S6076">
        <v>-3.001404</v>
      </c>
      <c r="T6076">
        <v>1.190972E-2</v>
      </c>
      <c r="U6076">
        <v>-9.0866089999999997E-2</v>
      </c>
      <c r="V6076">
        <v>3.087428E-2</v>
      </c>
      <c r="W6076">
        <v>-2.6018899999999999E-3</v>
      </c>
      <c r="X6076">
        <v>0.99951990000000002</v>
      </c>
      <c r="Y6076">
        <v>-9.2712880000000008E-3</v>
      </c>
      <c r="Z6076" s="1">
        <v>-6.4878179999999997E-5</v>
      </c>
      <c r="AA6076">
        <v>0.99995699999999998</v>
      </c>
      <c r="AB6076">
        <v>38</v>
      </c>
      <c r="AC6076">
        <v>-3.001404</v>
      </c>
      <c r="AD6076">
        <v>1.190972E-2</v>
      </c>
      <c r="AE6076">
        <v>-9.0866089999999997E-2</v>
      </c>
      <c r="AF6076">
        <v>-2.78389028121281E-2</v>
      </c>
      <c r="AG6076">
        <v>1.190972E-2</v>
      </c>
      <c r="AH6076">
        <v>3.00260286032817</v>
      </c>
      <c r="AI6076">
        <v>89.7727492387871</v>
      </c>
      <c r="AJ6076">
        <v>90.531207758451202</v>
      </c>
      <c r="AK6076">
        <v>3.0027555316394201</v>
      </c>
      <c r="AL6076">
        <v>90.149077482360397</v>
      </c>
      <c r="AM6076">
        <v>88.230746932246205</v>
      </c>
      <c r="AN6076">
        <v>1.0000000107465501</v>
      </c>
    </row>
    <row r="6077" spans="1:40" x14ac:dyDescent="0.25">
      <c r="A6077" t="str">
        <f>"20190312154043815"</f>
        <v>20190312154043815</v>
      </c>
      <c r="B6077" t="str">
        <f>"1552376443802024"</f>
        <v>1552376443802024</v>
      </c>
      <c r="C6077" t="s">
        <v>40</v>
      </c>
      <c r="D6077">
        <v>3.8770020000000001</v>
      </c>
      <c r="E6077">
        <v>0.48401349999999999</v>
      </c>
      <c r="F6077" t="s">
        <v>50</v>
      </c>
      <c r="G6077">
        <v>0</v>
      </c>
      <c r="H6077">
        <v>0</v>
      </c>
      <c r="I6077">
        <v>0</v>
      </c>
      <c r="J6077">
        <v>-255.82499999999999</v>
      </c>
      <c r="K6077">
        <v>1.1101810000000001</v>
      </c>
      <c r="L6077">
        <v>140.58260000000001</v>
      </c>
      <c r="M6077">
        <v>-0.99973690000000004</v>
      </c>
      <c r="N6077">
        <v>0</v>
      </c>
      <c r="O6077">
        <v>-2.2381149999999999E-2</v>
      </c>
      <c r="P6077">
        <v>-0.99994620000000001</v>
      </c>
      <c r="Q6077">
        <v>-7.9122180000000004E-3</v>
      </c>
      <c r="R6077">
        <v>6.7339540000000003E-3</v>
      </c>
      <c r="S6077">
        <v>-3.0012970000000001</v>
      </c>
      <c r="T6077">
        <v>1.3711569999999999E-2</v>
      </c>
      <c r="U6077">
        <v>-9.5138550000000002E-2</v>
      </c>
      <c r="V6077">
        <v>2.9123400000000001E-2</v>
      </c>
      <c r="W6077">
        <v>-2.7691479999999999E-3</v>
      </c>
      <c r="X6077">
        <v>0.99957200000000002</v>
      </c>
      <c r="Y6077">
        <v>-9.3052340000000008E-3</v>
      </c>
      <c r="Z6077" s="1">
        <v>-8.0958750000000005E-5</v>
      </c>
      <c r="AA6077">
        <v>0.99995670000000003</v>
      </c>
      <c r="AB6077">
        <v>38</v>
      </c>
      <c r="AC6077">
        <v>-3.0012970000000001</v>
      </c>
      <c r="AD6077">
        <v>1.3711569999999999E-2</v>
      </c>
      <c r="AE6077">
        <v>-9.5138550000000002E-2</v>
      </c>
      <c r="AF6077">
        <v>-2.79408103829956E-2</v>
      </c>
      <c r="AG6077">
        <v>1.3711569999999999E-2</v>
      </c>
      <c r="AH6077">
        <v>3.00261191872616</v>
      </c>
      <c r="AI6077">
        <v>89.738369246272498</v>
      </c>
      <c r="AJ6077">
        <v>90.533150586407999</v>
      </c>
      <c r="AK6077">
        <v>3.0027732232909501</v>
      </c>
      <c r="AL6077">
        <v>90.158660694133204</v>
      </c>
      <c r="AM6077">
        <v>88.331109740688206</v>
      </c>
      <c r="AN6077">
        <v>1.0000000118961001</v>
      </c>
    </row>
    <row r="6078" spans="1:40" x14ac:dyDescent="0.25">
      <c r="A6078" t="str">
        <f>"20190312154043837"</f>
        <v>20190312154043837</v>
      </c>
      <c r="B6078" t="str">
        <f>"1552376443832280"</f>
        <v>1552376443832280</v>
      </c>
      <c r="C6078" t="s">
        <v>40</v>
      </c>
      <c r="D6078">
        <v>3.8526940000000001</v>
      </c>
      <c r="E6078">
        <v>0.48397380000000001</v>
      </c>
      <c r="F6078" t="s">
        <v>50</v>
      </c>
      <c r="G6078">
        <v>0</v>
      </c>
      <c r="H6078">
        <v>0</v>
      </c>
      <c r="I6078">
        <v>0</v>
      </c>
      <c r="J6078">
        <v>-256.19850000000002</v>
      </c>
      <c r="K6078">
        <v>1.110106</v>
      </c>
      <c r="L6078">
        <v>140.57329999999999</v>
      </c>
      <c r="M6078">
        <v>-0.99970669999999995</v>
      </c>
      <c r="N6078">
        <v>0</v>
      </c>
      <c r="O6078">
        <v>-2.3697099999999999E-2</v>
      </c>
      <c r="P6078">
        <v>-0.99995789999999996</v>
      </c>
      <c r="Q6078">
        <v>-8.3170780000000003E-3</v>
      </c>
      <c r="R6078">
        <v>3.8525690000000001E-3</v>
      </c>
      <c r="S6078">
        <v>-3.0009769999999998</v>
      </c>
      <c r="T6078">
        <v>1.018488E-2</v>
      </c>
      <c r="U6078">
        <v>-0.10661320000000001</v>
      </c>
      <c r="V6078">
        <v>2.755956E-2</v>
      </c>
      <c r="W6078">
        <v>-3.205701E-3</v>
      </c>
      <c r="X6078">
        <v>0.99961500000000003</v>
      </c>
      <c r="Y6078">
        <v>-1.181141E-2</v>
      </c>
      <c r="Z6078" s="1">
        <v>-6.0349139999999997E-5</v>
      </c>
      <c r="AA6078">
        <v>0.99993030000000005</v>
      </c>
      <c r="AB6078">
        <v>38</v>
      </c>
      <c r="AC6078">
        <v>-3.0009769999999998</v>
      </c>
      <c r="AD6078">
        <v>1.018488E-2</v>
      </c>
      <c r="AE6078">
        <v>-0.10661320000000001</v>
      </c>
      <c r="AF6078">
        <v>-3.5467512940728599E-2</v>
      </c>
      <c r="AG6078">
        <v>1.018488E-2</v>
      </c>
      <c r="AH6078">
        <v>3.0026261712853399</v>
      </c>
      <c r="AI6078">
        <v>89.805667551779095</v>
      </c>
      <c r="AJ6078">
        <v>90.676755673344005</v>
      </c>
      <c r="AK6078">
        <v>3.0028529102742398</v>
      </c>
      <c r="AL6078">
        <v>90.183673456485195</v>
      </c>
      <c r="AM6078">
        <v>88.420745416765996</v>
      </c>
      <c r="AN6078">
        <v>0.99999997704564703</v>
      </c>
    </row>
    <row r="6079" spans="1:40" x14ac:dyDescent="0.25">
      <c r="A6079" t="str">
        <f>"20190312154043859"</f>
        <v>20190312154043859</v>
      </c>
      <c r="B6079" t="str">
        <f>"1552376443852775"</f>
        <v>1552376443852775</v>
      </c>
      <c r="C6079" t="s">
        <v>40</v>
      </c>
      <c r="D6079">
        <v>3.834387</v>
      </c>
      <c r="E6079">
        <v>0.48407860000000003</v>
      </c>
      <c r="F6079" t="s">
        <v>50</v>
      </c>
      <c r="G6079">
        <v>0</v>
      </c>
      <c r="H6079">
        <v>0</v>
      </c>
      <c r="I6079">
        <v>0</v>
      </c>
      <c r="J6079">
        <v>-256.5829</v>
      </c>
      <c r="K6079">
        <v>1.109999</v>
      </c>
      <c r="L6079">
        <v>140.56319999999999</v>
      </c>
      <c r="M6079">
        <v>-0.9996777</v>
      </c>
      <c r="N6079">
        <v>0</v>
      </c>
      <c r="O6079">
        <v>-2.4891050000000001E-2</v>
      </c>
      <c r="P6079">
        <v>-0.99996439999999998</v>
      </c>
      <c r="Q6079">
        <v>-8.4267149999999996E-3</v>
      </c>
      <c r="R6079">
        <v>6.5975639999999998E-4</v>
      </c>
      <c r="S6079">
        <v>-3.00061</v>
      </c>
      <c r="T6079">
        <v>4.9518349999999999E-3</v>
      </c>
      <c r="U6079">
        <v>-0.1156311</v>
      </c>
      <c r="V6079">
        <v>2.5561489999999999E-2</v>
      </c>
      <c r="W6079">
        <v>-3.3439490000000001E-3</v>
      </c>
      <c r="X6079">
        <v>0.99966759999999999</v>
      </c>
      <c r="Y6079">
        <v>-1.3622459999999999E-2</v>
      </c>
      <c r="Z6079" s="1">
        <v>-2.9818019999999999E-5</v>
      </c>
      <c r="AA6079">
        <v>0.9999072</v>
      </c>
      <c r="AB6079">
        <v>39</v>
      </c>
      <c r="AC6079">
        <v>-3.00061</v>
      </c>
      <c r="AD6079">
        <v>4.9518349999999999E-3</v>
      </c>
      <c r="AE6079">
        <v>-0.1156311</v>
      </c>
      <c r="AF6079">
        <v>-4.0905897250000302E-2</v>
      </c>
      <c r="AG6079">
        <v>4.9518349999999999E-3</v>
      </c>
      <c r="AH6079">
        <v>3.0025503475908</v>
      </c>
      <c r="AI6079">
        <v>89.905516101293699</v>
      </c>
      <c r="AJ6079">
        <v>90.7805332170784</v>
      </c>
      <c r="AK6079">
        <v>3.0028330627787798</v>
      </c>
      <c r="AL6079">
        <v>90.191594532955904</v>
      </c>
      <c r="AM6079">
        <v>88.535266691957702</v>
      </c>
      <c r="AN6079">
        <v>0.99999994112784496</v>
      </c>
    </row>
    <row r="6080" spans="1:40" x14ac:dyDescent="0.25">
      <c r="A6080" t="str">
        <f>"20190312154043872"</f>
        <v>20190312154043872</v>
      </c>
      <c r="B6080" t="str">
        <f>"1552376443862538"</f>
        <v>1552376443862538</v>
      </c>
      <c r="C6080" t="s">
        <v>40</v>
      </c>
      <c r="D6080">
        <v>3.8287529999999999</v>
      </c>
      <c r="E6080">
        <v>0.48414190000000001</v>
      </c>
      <c r="F6080" t="s">
        <v>50</v>
      </c>
      <c r="G6080">
        <v>0</v>
      </c>
      <c r="H6080">
        <v>0</v>
      </c>
      <c r="I6080">
        <v>0</v>
      </c>
      <c r="J6080">
        <v>-256.82040000000001</v>
      </c>
      <c r="K6080">
        <v>1.1099209999999999</v>
      </c>
      <c r="L6080">
        <v>140.55680000000001</v>
      </c>
      <c r="M6080">
        <v>-0.99966140000000003</v>
      </c>
      <c r="N6080">
        <v>0</v>
      </c>
      <c r="O6080">
        <v>-2.5539349999999999E-2</v>
      </c>
      <c r="P6080">
        <v>-0.99996160000000001</v>
      </c>
      <c r="Q6080">
        <v>-8.7420540000000008E-3</v>
      </c>
      <c r="R6080">
        <v>-8.8772489999999998E-4</v>
      </c>
      <c r="S6080">
        <v>-3.0001829999999998</v>
      </c>
      <c r="T6080">
        <v>-7.4470039999999997E-4</v>
      </c>
      <c r="U6080">
        <v>-0.12442019999999999</v>
      </c>
      <c r="V6080">
        <v>2.4663330000000001E-2</v>
      </c>
      <c r="W6080">
        <v>-3.6733030000000002E-3</v>
      </c>
      <c r="X6080">
        <v>0.99968900000000005</v>
      </c>
      <c r="Y6080">
        <v>-1.590399E-2</v>
      </c>
      <c r="Z6080" s="1">
        <v>4.3623539999999999E-6</v>
      </c>
      <c r="AA6080">
        <v>0.99987349999999997</v>
      </c>
      <c r="AB6080">
        <v>39</v>
      </c>
      <c r="AC6080">
        <v>-3.0001829999999998</v>
      </c>
      <c r="AD6080">
        <v>-7.4470039999999997E-4</v>
      </c>
      <c r="AE6080">
        <v>-0.12442019999999999</v>
      </c>
      <c r="AF6080">
        <v>-4.7755937502817598E-2</v>
      </c>
      <c r="AG6080">
        <v>-7.4470039999999997E-4</v>
      </c>
      <c r="AH6080">
        <v>3.0023818346327902</v>
      </c>
      <c r="AI6080">
        <v>90.014209649160193</v>
      </c>
      <c r="AJ6080">
        <v>90.911270816316502</v>
      </c>
      <c r="AK6080">
        <v>3.0027617063427501</v>
      </c>
      <c r="AL6080">
        <v>90.210465245790701</v>
      </c>
      <c r="AM6080">
        <v>88.586742353817499</v>
      </c>
      <c r="AN6080">
        <v>0.999999934861307</v>
      </c>
    </row>
    <row r="6081" spans="1:40" x14ac:dyDescent="0.25">
      <c r="A6081" t="str">
        <f>"20190312154043892"</f>
        <v>20190312154043892</v>
      </c>
      <c r="B6081" t="str">
        <f>"1552376443882056"</f>
        <v>1552376443882056</v>
      </c>
      <c r="C6081" t="s">
        <v>40</v>
      </c>
      <c r="D6081">
        <v>3.8612690000000001</v>
      </c>
      <c r="E6081">
        <v>0.4843886</v>
      </c>
      <c r="F6081" t="s">
        <v>50</v>
      </c>
      <c r="G6081">
        <v>0</v>
      </c>
      <c r="H6081">
        <v>0</v>
      </c>
      <c r="I6081">
        <v>0</v>
      </c>
      <c r="J6081">
        <v>-257.16969999999998</v>
      </c>
      <c r="K6081">
        <v>1.109804</v>
      </c>
      <c r="L6081">
        <v>140.54730000000001</v>
      </c>
      <c r="M6081">
        <v>-0.99963919999999995</v>
      </c>
      <c r="N6081">
        <v>0</v>
      </c>
      <c r="O6081">
        <v>-2.6397940000000002E-2</v>
      </c>
      <c r="P6081">
        <v>-0.99995679999999998</v>
      </c>
      <c r="Q6081">
        <v>-8.8155750000000008E-3</v>
      </c>
      <c r="R6081">
        <v>-3.017895E-3</v>
      </c>
      <c r="S6081">
        <v>-2.9999690000000001</v>
      </c>
      <c r="T6081">
        <v>-4.5697689999999996E-3</v>
      </c>
      <c r="U6081">
        <v>-0.1286621</v>
      </c>
      <c r="V6081">
        <v>2.3391499999999999E-2</v>
      </c>
      <c r="W6081">
        <v>-3.7634370000000001E-3</v>
      </c>
      <c r="X6081">
        <v>0.99971929999999998</v>
      </c>
      <c r="Y6081">
        <v>-1.645947E-2</v>
      </c>
      <c r="Z6081" s="1">
        <v>2.7653689999999998E-5</v>
      </c>
      <c r="AA6081">
        <v>0.99986450000000004</v>
      </c>
      <c r="AB6081">
        <v>39</v>
      </c>
      <c r="AC6081">
        <v>-2.9999690000000001</v>
      </c>
      <c r="AD6081">
        <v>-4.5697689999999996E-3</v>
      </c>
      <c r="AE6081">
        <v>-0.1286621</v>
      </c>
      <c r="AF6081">
        <v>-4.94231709510424E-2</v>
      </c>
      <c r="AG6081">
        <v>-4.5697689999999996E-3</v>
      </c>
      <c r="AH6081">
        <v>3.0023130285961499</v>
      </c>
      <c r="AI6081">
        <v>90.087197038925694</v>
      </c>
      <c r="AJ6081">
        <v>90.943100646608102</v>
      </c>
      <c r="AK6081">
        <v>3.0027232730129798</v>
      </c>
      <c r="AL6081">
        <v>90.215629565087795</v>
      </c>
      <c r="AM6081">
        <v>88.659634031639698</v>
      </c>
      <c r="AN6081">
        <v>1.00000000226139</v>
      </c>
    </row>
    <row r="6082" spans="1:40" x14ac:dyDescent="0.25">
      <c r="A6082" t="str">
        <f>"20190312154043905"</f>
        <v>20190312154043905</v>
      </c>
      <c r="B6082" t="str">
        <f>"1552376443902552"</f>
        <v>1552376443902552</v>
      </c>
      <c r="C6082" t="s">
        <v>40</v>
      </c>
      <c r="D6082">
        <v>3.85615</v>
      </c>
      <c r="E6082">
        <v>0.48467090000000002</v>
      </c>
      <c r="F6082" t="s">
        <v>50</v>
      </c>
      <c r="G6082">
        <v>0</v>
      </c>
      <c r="H6082">
        <v>0</v>
      </c>
      <c r="I6082">
        <v>0</v>
      </c>
      <c r="J6082">
        <v>-257.38850000000002</v>
      </c>
      <c r="K6082">
        <v>1.109726</v>
      </c>
      <c r="L6082">
        <v>140.5412</v>
      </c>
      <c r="M6082">
        <v>-0.99962689999999998</v>
      </c>
      <c r="N6082">
        <v>0</v>
      </c>
      <c r="O6082">
        <v>-2.6855670000000002E-2</v>
      </c>
      <c r="P6082">
        <v>-0.99995210000000001</v>
      </c>
      <c r="Q6082">
        <v>-8.8352420000000001E-3</v>
      </c>
      <c r="R6082">
        <v>-4.21603E-3</v>
      </c>
      <c r="S6082">
        <v>-2.999695</v>
      </c>
      <c r="T6082">
        <v>-1.0161160000000001E-2</v>
      </c>
      <c r="U6082">
        <v>-0.13327030000000001</v>
      </c>
      <c r="V6082">
        <v>2.2650770000000001E-2</v>
      </c>
      <c r="W6082">
        <v>-3.7911490000000002E-3</v>
      </c>
      <c r="X6082">
        <v>0.99973619999999996</v>
      </c>
      <c r="Y6082">
        <v>-1.7538669999999999E-2</v>
      </c>
      <c r="Z6082" s="1">
        <v>6.1214630000000004E-5</v>
      </c>
      <c r="AA6082">
        <v>0.99984620000000002</v>
      </c>
      <c r="AB6082">
        <v>39</v>
      </c>
      <c r="AC6082">
        <v>-2.999695</v>
      </c>
      <c r="AD6082">
        <v>-1.0161160000000001E-2</v>
      </c>
      <c r="AE6082">
        <v>-0.13327030000000001</v>
      </c>
      <c r="AF6082">
        <v>-5.2661808662376797E-2</v>
      </c>
      <c r="AG6082">
        <v>-1.0161160000000001E-2</v>
      </c>
      <c r="AH6082">
        <v>3.0021577748342101</v>
      </c>
      <c r="AI6082">
        <v>90.193893810930007</v>
      </c>
      <c r="AJ6082">
        <v>91.004940509148099</v>
      </c>
      <c r="AK6082">
        <v>3.00263681124801</v>
      </c>
      <c r="AL6082">
        <v>90.217217368429203</v>
      </c>
      <c r="AM6082">
        <v>88.702086082878495</v>
      </c>
      <c r="AN6082">
        <v>0.99999994989138496</v>
      </c>
    </row>
    <row r="6083" spans="1:40" x14ac:dyDescent="0.25">
      <c r="A6083" t="str">
        <f>"20190312154043926"</f>
        <v>20190312154043926</v>
      </c>
      <c r="B6083" t="str">
        <f>"1552376443922072"</f>
        <v>1552376443922072</v>
      </c>
      <c r="C6083" t="s">
        <v>40</v>
      </c>
      <c r="D6083">
        <v>3.8725839999999998</v>
      </c>
      <c r="E6083">
        <v>0.48498210000000003</v>
      </c>
      <c r="F6083" t="s">
        <v>69</v>
      </c>
      <c r="G6083">
        <v>-479.34300000000002</v>
      </c>
      <c r="H6083" s="1">
        <v>-1.8862099999999999E-6</v>
      </c>
      <c r="I6083">
        <v>130.56979999999999</v>
      </c>
      <c r="J6083">
        <v>-257.74889999999999</v>
      </c>
      <c r="K6083">
        <v>1.109585</v>
      </c>
      <c r="L6083">
        <v>140.53110000000001</v>
      </c>
      <c r="M6083">
        <v>-0.99961009999999995</v>
      </c>
      <c r="N6083">
        <v>0</v>
      </c>
      <c r="O6083">
        <v>-2.7479989999999999E-2</v>
      </c>
      <c r="P6083">
        <v>-0.99994119999999997</v>
      </c>
      <c r="Q6083">
        <v>-8.9475609999999997E-3</v>
      </c>
      <c r="R6083">
        <v>-6.165823E-3</v>
      </c>
      <c r="S6083">
        <v>-2.9994510000000001</v>
      </c>
      <c r="T6083">
        <v>-1.499665E-2</v>
      </c>
      <c r="U6083">
        <v>-0.13475039999999999</v>
      </c>
      <c r="V6083">
        <v>2.1324630000000001E-2</v>
      </c>
      <c r="W6083">
        <v>-3.9140599999999996E-3</v>
      </c>
      <c r="X6083">
        <v>0.99976489999999996</v>
      </c>
      <c r="Y6083">
        <v>-1.7410289999999998E-2</v>
      </c>
      <c r="Z6083" s="1">
        <v>9.3790039999999998E-5</v>
      </c>
      <c r="AA6083">
        <v>0.99984839999999997</v>
      </c>
      <c r="AB6083">
        <v>39</v>
      </c>
      <c r="AC6083">
        <v>-221.5941</v>
      </c>
      <c r="AD6083">
        <v>-1.10958688621</v>
      </c>
      <c r="AE6083">
        <v>-9.9613000000000191</v>
      </c>
      <c r="AF6083">
        <v>-3.86796303162946</v>
      </c>
      <c r="AG6083">
        <v>-1.10958688621</v>
      </c>
      <c r="AH6083">
        <v>221.778604109567</v>
      </c>
      <c r="AI6083">
        <v>90.286612177454401</v>
      </c>
      <c r="AJ6083">
        <v>90.999174341936595</v>
      </c>
      <c r="AK6083">
        <v>221.815106703444</v>
      </c>
      <c r="AL6083">
        <v>90.2242597009012</v>
      </c>
      <c r="AM6083">
        <v>88.778086668141299</v>
      </c>
      <c r="AN6083">
        <v>0.99999995749116399</v>
      </c>
    </row>
    <row r="6084" spans="1:40" x14ac:dyDescent="0.25">
      <c r="A6084" t="str">
        <f>"20190312154043939"</f>
        <v>20190312154043939</v>
      </c>
      <c r="B6084" t="str">
        <f>"1552376443932809"</f>
        <v>1552376443932809</v>
      </c>
      <c r="C6084" t="s">
        <v>40</v>
      </c>
      <c r="D6084">
        <v>3.8891990000000001</v>
      </c>
      <c r="E6084">
        <v>0.48516550000000003</v>
      </c>
      <c r="F6084" t="s">
        <v>55</v>
      </c>
      <c r="G6084">
        <v>-430.62639999999999</v>
      </c>
      <c r="H6084" s="1">
        <v>-8.2001719999999999E-6</v>
      </c>
      <c r="I6084">
        <v>132.56569999999999</v>
      </c>
      <c r="J6084">
        <v>-257.99009999999998</v>
      </c>
      <c r="K6084">
        <v>1.1094839999999999</v>
      </c>
      <c r="L6084">
        <v>140.52420000000001</v>
      </c>
      <c r="M6084">
        <v>-0.99960079999999996</v>
      </c>
      <c r="N6084">
        <v>0</v>
      </c>
      <c r="O6084">
        <v>-2.7811820000000001E-2</v>
      </c>
      <c r="P6084">
        <v>-0.99993569999999998</v>
      </c>
      <c r="Q6084">
        <v>-9.2393990000000006E-3</v>
      </c>
      <c r="R6084">
        <v>-6.5889130000000001E-3</v>
      </c>
      <c r="S6084">
        <v>-2.9991150000000002</v>
      </c>
      <c r="T6084">
        <v>-1.924944E-2</v>
      </c>
      <c r="U6084">
        <v>-0.13818359999999999</v>
      </c>
      <c r="V6084">
        <v>2.1232999999999998E-2</v>
      </c>
      <c r="W6084">
        <v>-4.2094020000000001E-3</v>
      </c>
      <c r="X6084">
        <v>0.99976569999999998</v>
      </c>
      <c r="Y6084">
        <v>-1.8225660000000001E-2</v>
      </c>
      <c r="Z6084">
        <v>1.199087E-4</v>
      </c>
      <c r="AA6084">
        <v>0.99983390000000005</v>
      </c>
      <c r="AB6084">
        <v>39</v>
      </c>
      <c r="AC6084">
        <v>-172.63630000000001</v>
      </c>
      <c r="AD6084">
        <v>-1.109492200172</v>
      </c>
      <c r="AE6084">
        <v>-7.9585000000000097</v>
      </c>
      <c r="AF6084">
        <v>-3.1539022963974901</v>
      </c>
      <c r="AG6084">
        <v>-1.109492200172</v>
      </c>
      <c r="AH6084">
        <v>172.78374028408399</v>
      </c>
      <c r="AI6084">
        <v>90.367845721335399</v>
      </c>
      <c r="AJ6084">
        <v>91.045730487251106</v>
      </c>
      <c r="AK6084">
        <v>172.816084260683</v>
      </c>
      <c r="AL6084">
        <v>90.241181679411298</v>
      </c>
      <c r="AM6084">
        <v>88.783336510506999</v>
      </c>
      <c r="AN6084">
        <v>1.0000000071253401</v>
      </c>
    </row>
    <row r="6085" spans="1:40" x14ac:dyDescent="0.25">
      <c r="A6085" t="str">
        <f>"20190312154043952"</f>
        <v>20190312154043952</v>
      </c>
      <c r="B6085" t="str">
        <f>"1552376443942569"</f>
        <v>1552376443942569</v>
      </c>
      <c r="C6085" t="s">
        <v>40</v>
      </c>
      <c r="D6085">
        <v>3.883785</v>
      </c>
      <c r="E6085">
        <v>0.48516550000000003</v>
      </c>
      <c r="F6085" t="s">
        <v>55</v>
      </c>
      <c r="G6085">
        <v>-410.62720000000002</v>
      </c>
      <c r="H6085" s="1">
        <v>-7.9463230000000001E-6</v>
      </c>
      <c r="I6085">
        <v>133.50309999999999</v>
      </c>
      <c r="J6085">
        <v>-258.22280000000001</v>
      </c>
      <c r="K6085">
        <v>1.1093839999999999</v>
      </c>
      <c r="L6085">
        <v>140.51759999999999</v>
      </c>
      <c r="M6085">
        <v>-0.99959399999999998</v>
      </c>
      <c r="N6085">
        <v>0</v>
      </c>
      <c r="O6085">
        <v>-2.8052529999999999E-2</v>
      </c>
      <c r="P6085">
        <v>-0.99992809999999999</v>
      </c>
      <c r="Q6085">
        <v>-9.6987110000000005E-3</v>
      </c>
      <c r="R6085">
        <v>-7.0644699999999998E-3</v>
      </c>
      <c r="S6085">
        <v>-2.9990839999999999</v>
      </c>
      <c r="T6085">
        <v>-2.1799800000000001E-2</v>
      </c>
      <c r="U6085">
        <v>-0.13795470000000001</v>
      </c>
      <c r="V6085">
        <v>2.0997999999999999E-2</v>
      </c>
      <c r="W6085">
        <v>-4.6704980000000004E-3</v>
      </c>
      <c r="X6085">
        <v>0.99976860000000001</v>
      </c>
      <c r="Y6085">
        <v>-1.7909290000000001E-2</v>
      </c>
      <c r="Z6085">
        <v>1.3869349999999999E-4</v>
      </c>
      <c r="AA6085">
        <v>0.99983960000000005</v>
      </c>
      <c r="AB6085">
        <v>39</v>
      </c>
      <c r="AC6085">
        <v>-152.40440000000001</v>
      </c>
      <c r="AD6085">
        <v>-1.109391946323</v>
      </c>
      <c r="AE6085">
        <v>-7.0144999999999902</v>
      </c>
      <c r="AF6085">
        <v>-2.7362124859321399</v>
      </c>
      <c r="AG6085">
        <v>-1.109391946323</v>
      </c>
      <c r="AH6085">
        <v>152.53313143405001</v>
      </c>
      <c r="AI6085">
        <v>90.416644770753905</v>
      </c>
      <c r="AJ6085">
        <v>91.027688955678798</v>
      </c>
      <c r="AK6085">
        <v>152.56170487489899</v>
      </c>
      <c r="AL6085">
        <v>90.267600798778602</v>
      </c>
      <c r="AM6085">
        <v>88.796801658284096</v>
      </c>
      <c r="AN6085">
        <v>0.99999999155076402</v>
      </c>
    </row>
    <row r="6086" spans="1:40" x14ac:dyDescent="0.25">
      <c r="A6086" t="str">
        <f>"20190312154043970"</f>
        <v>20190312154043970</v>
      </c>
      <c r="B6086" t="str">
        <f>"1552376443962092"</f>
        <v>1552376443962092</v>
      </c>
      <c r="C6086" t="s">
        <v>40</v>
      </c>
      <c r="D6086">
        <v>3.881872</v>
      </c>
      <c r="E6086">
        <v>0.4896701</v>
      </c>
      <c r="F6086" t="s">
        <v>55</v>
      </c>
      <c r="G6086">
        <v>-401.56849999999997</v>
      </c>
      <c r="H6086" s="1">
        <v>-3.2127670000000001E-6</v>
      </c>
      <c r="I6086">
        <v>133.8587</v>
      </c>
      <c r="J6086">
        <v>-258.53719999999998</v>
      </c>
      <c r="K6086">
        <v>1.109254</v>
      </c>
      <c r="L6086">
        <v>140.5086</v>
      </c>
      <c r="M6086">
        <v>-0.99958740000000001</v>
      </c>
      <c r="N6086">
        <v>0</v>
      </c>
      <c r="O6086">
        <v>-2.8285870000000001E-2</v>
      </c>
      <c r="P6086">
        <v>-0.99992009999999998</v>
      </c>
      <c r="Q6086">
        <v>-1.011953E-2</v>
      </c>
      <c r="R6086">
        <v>-7.5809780000000004E-3</v>
      </c>
      <c r="S6086">
        <v>-2.998993</v>
      </c>
      <c r="T6086">
        <v>-2.320993E-2</v>
      </c>
      <c r="U6086">
        <v>-0.13931270000000001</v>
      </c>
      <c r="V6086">
        <v>2.0714199999999999E-2</v>
      </c>
      <c r="W6086">
        <v>-5.0916599999999996E-3</v>
      </c>
      <c r="X6086">
        <v>0.99977249999999995</v>
      </c>
      <c r="Y6086">
        <v>-1.8129119999999999E-2</v>
      </c>
      <c r="Z6086">
        <v>1.4862100000000001E-4</v>
      </c>
      <c r="AA6086">
        <v>0.99983569999999999</v>
      </c>
      <c r="AB6086">
        <v>39</v>
      </c>
      <c r="AC6086">
        <v>-143.03129999999999</v>
      </c>
      <c r="AD6086">
        <v>-1.109257212767</v>
      </c>
      <c r="AE6086">
        <v>-6.6498999999999997</v>
      </c>
      <c r="AF6086">
        <v>-2.6012678157898601</v>
      </c>
      <c r="AG6086">
        <v>-1.109257212767</v>
      </c>
      <c r="AH6086">
        <v>143.15357723034199</v>
      </c>
      <c r="AI6086">
        <v>90.4438868828002</v>
      </c>
      <c r="AJ6086">
        <v>91.041016712745304</v>
      </c>
      <c r="AK6086">
        <v>143.18150620683201</v>
      </c>
      <c r="AL6086">
        <v>90.291731881250499</v>
      </c>
      <c r="AM6086">
        <v>88.813063517966498</v>
      </c>
      <c r="AN6086">
        <v>1.0000000274197201</v>
      </c>
    </row>
    <row r="6087" spans="1:40" x14ac:dyDescent="0.25">
      <c r="A6087" t="str">
        <f>"20190312154043994"</f>
        <v>20190312154043994</v>
      </c>
      <c r="B6087" t="str">
        <f>"1552376443982584"</f>
        <v>1552376443982584</v>
      </c>
      <c r="C6087" t="s">
        <v>40</v>
      </c>
      <c r="D6087">
        <v>3.9121320000000002</v>
      </c>
      <c r="E6087">
        <v>0.4901221</v>
      </c>
      <c r="F6087" t="s">
        <v>55</v>
      </c>
      <c r="G6087">
        <v>-298.3066</v>
      </c>
      <c r="H6087" s="1">
        <v>-8.0151129999999994E-6</v>
      </c>
      <c r="I6087">
        <v>139.10069999999999</v>
      </c>
      <c r="J6087">
        <v>-258.94420000000002</v>
      </c>
      <c r="K6087">
        <v>1.109089</v>
      </c>
      <c r="L6087">
        <v>140.49700000000001</v>
      </c>
      <c r="M6087">
        <v>-0.99958320000000001</v>
      </c>
      <c r="N6087">
        <v>0</v>
      </c>
      <c r="O6087">
        <v>-2.8435200000000001E-2</v>
      </c>
      <c r="P6087">
        <v>-0.9999207</v>
      </c>
      <c r="Q6087">
        <v>-9.9280329999999993E-3</v>
      </c>
      <c r="R6087">
        <v>-7.7742269999999999E-3</v>
      </c>
      <c r="S6087">
        <v>-2.998596</v>
      </c>
      <c r="T6087">
        <v>-8.3637829999999996E-2</v>
      </c>
      <c r="U6087">
        <v>-0.106155399999999</v>
      </c>
      <c r="V6087">
        <v>2.0668209999999999E-2</v>
      </c>
      <c r="W6087">
        <v>-4.8973790000000003E-3</v>
      </c>
      <c r="X6087">
        <v>0.99977439999999995</v>
      </c>
      <c r="Y6087">
        <v>-6.9558190000000002E-3</v>
      </c>
      <c r="Z6087">
        <v>6.9559389999999997E-4</v>
      </c>
      <c r="AA6087">
        <v>0.99997559999999996</v>
      </c>
      <c r="AB6087">
        <v>39</v>
      </c>
      <c r="AC6087">
        <v>-39.362399999999901</v>
      </c>
      <c r="AD6087">
        <v>-1.109097015113</v>
      </c>
      <c r="AE6087">
        <v>-1.3963000000000201</v>
      </c>
      <c r="AF6087">
        <v>-0.27622471836750601</v>
      </c>
      <c r="AG6087">
        <v>-1.109097015113</v>
      </c>
      <c r="AH6087">
        <v>39.354982124160898</v>
      </c>
      <c r="AI6087">
        <v>91.614235234775606</v>
      </c>
      <c r="AJ6087">
        <v>90.402140969786402</v>
      </c>
      <c r="AK6087">
        <v>39.371576222917298</v>
      </c>
      <c r="AL6087">
        <v>90.280600267631399</v>
      </c>
      <c r="AM6087">
        <v>88.815700272099804</v>
      </c>
      <c r="AN6087">
        <v>1.00000000506051</v>
      </c>
    </row>
    <row r="6088" spans="1:40" x14ac:dyDescent="0.25">
      <c r="A6088" t="str">
        <f>"20190312154044015"</f>
        <v>20190312154044015</v>
      </c>
      <c r="B6088" t="str">
        <f>"1552376444011865"</f>
        <v>1552376444011865</v>
      </c>
      <c r="C6088" t="s">
        <v>40</v>
      </c>
      <c r="D6088">
        <v>3.914825</v>
      </c>
      <c r="E6088">
        <v>0.49037389999999997</v>
      </c>
      <c r="F6088" t="s">
        <v>55</v>
      </c>
      <c r="G6088">
        <v>-298.66559999999998</v>
      </c>
      <c r="H6088" s="1">
        <v>-7.9934039999999997E-6</v>
      </c>
      <c r="I6088">
        <v>139.12880000000001</v>
      </c>
      <c r="J6088">
        <v>-259.33069999999998</v>
      </c>
      <c r="K6088">
        <v>1.1089389999999999</v>
      </c>
      <c r="L6088">
        <v>140.48609999999999</v>
      </c>
      <c r="M6088">
        <v>-0.99958369999999996</v>
      </c>
      <c r="N6088">
        <v>0</v>
      </c>
      <c r="O6088">
        <v>-2.8413130000000002E-2</v>
      </c>
      <c r="P6088">
        <v>-0.99993160000000003</v>
      </c>
      <c r="Q6088">
        <v>-8.9236419999999903E-3</v>
      </c>
      <c r="R6088">
        <v>-7.58149699999999E-3</v>
      </c>
      <c r="S6088">
        <v>-2.9986269999999999</v>
      </c>
      <c r="T6088">
        <v>-8.3727239999999994E-2</v>
      </c>
      <c r="U6088">
        <v>-0.1032867</v>
      </c>
      <c r="V6088">
        <v>2.083637E-2</v>
      </c>
      <c r="W6088">
        <v>-3.8873850000000001E-3</v>
      </c>
      <c r="X6088">
        <v>0.99977539999999998</v>
      </c>
      <c r="Y6088">
        <v>-6.0224320000000003E-3</v>
      </c>
      <c r="Z6088">
        <v>7.0875349999999996E-4</v>
      </c>
      <c r="AA6088">
        <v>0.99998160000000003</v>
      </c>
      <c r="AB6088">
        <v>40</v>
      </c>
      <c r="AC6088">
        <v>-39.334899999999998</v>
      </c>
      <c r="AD6088">
        <v>-1.1089469934039999</v>
      </c>
      <c r="AE6088">
        <v>-1.35729999999998</v>
      </c>
      <c r="AF6088">
        <v>-0.238920660473147</v>
      </c>
      <c r="AG6088">
        <v>-1.1089469934039999</v>
      </c>
      <c r="AH6088">
        <v>39.326364401819099</v>
      </c>
      <c r="AI6088">
        <v>91.615200867696402</v>
      </c>
      <c r="AJ6088">
        <v>90.348086513336696</v>
      </c>
      <c r="AK6088">
        <v>39.342722117068099</v>
      </c>
      <c r="AL6088">
        <v>90.2227313018453</v>
      </c>
      <c r="AM6088">
        <v>88.806068583925907</v>
      </c>
      <c r="AN6088">
        <v>1.00000005826103</v>
      </c>
    </row>
    <row r="6089" spans="1:40" x14ac:dyDescent="0.25">
      <c r="A6089" t="str">
        <f>"20190312154044049"</f>
        <v>20190312154044049</v>
      </c>
      <c r="B6089" t="str">
        <f>"1552376444042120"</f>
        <v>1552376444042120</v>
      </c>
      <c r="C6089" t="s">
        <v>40</v>
      </c>
      <c r="D6089">
        <v>3.9110230000000001</v>
      </c>
      <c r="E6089">
        <v>0.49070029999999998</v>
      </c>
      <c r="F6089" t="s">
        <v>55</v>
      </c>
      <c r="G6089">
        <v>-300.5308</v>
      </c>
      <c r="H6089" s="1">
        <v>-7.9680700000000004E-6</v>
      </c>
      <c r="I6089">
        <v>139.1018</v>
      </c>
      <c r="J6089">
        <v>-259.94040000000001</v>
      </c>
      <c r="K6089">
        <v>1.108706</v>
      </c>
      <c r="L6089">
        <v>140.46899999999999</v>
      </c>
      <c r="M6089">
        <v>-0.99959299999999995</v>
      </c>
      <c r="N6089">
        <v>0</v>
      </c>
      <c r="O6089">
        <v>-2.8079750000000001E-2</v>
      </c>
      <c r="P6089">
        <v>-0.99994450000000001</v>
      </c>
      <c r="Q6089">
        <v>-8.4276679999999993E-3</v>
      </c>
      <c r="R6089">
        <v>-6.3259859999999996E-3</v>
      </c>
      <c r="S6089">
        <v>-2.9987180000000002</v>
      </c>
      <c r="T6089">
        <v>-8.0713989999999999E-2</v>
      </c>
      <c r="U6089">
        <v>-0.1007538</v>
      </c>
      <c r="V6089">
        <v>2.1756069999999999E-2</v>
      </c>
      <c r="W6089">
        <v>-3.3775329999999998E-3</v>
      </c>
      <c r="X6089">
        <v>0.99975760000000002</v>
      </c>
      <c r="Y6089">
        <v>-5.5106510000000001E-3</v>
      </c>
      <c r="Z6089">
        <v>6.8116689999999996E-4</v>
      </c>
      <c r="AA6089">
        <v>0.9999846</v>
      </c>
      <c r="AB6089">
        <v>40</v>
      </c>
      <c r="AC6089">
        <v>-40.590399999999903</v>
      </c>
      <c r="AD6089">
        <v>-1.10871396807</v>
      </c>
      <c r="AE6089">
        <v>-1.36719999999999</v>
      </c>
      <c r="AF6089">
        <v>-0.22670918803461501</v>
      </c>
      <c r="AG6089">
        <v>-1.10871396807</v>
      </c>
      <c r="AH6089">
        <v>40.582541359123802</v>
      </c>
      <c r="AI6089">
        <v>91.564905523843507</v>
      </c>
      <c r="AJ6089">
        <v>90.320072230457399</v>
      </c>
      <c r="AK6089">
        <v>40.598316552339099</v>
      </c>
      <c r="AL6089">
        <v>90.193518754672894</v>
      </c>
      <c r="AM6089">
        <v>88.753363537106296</v>
      </c>
      <c r="AN6089">
        <v>0.99999999653438498</v>
      </c>
    </row>
    <row r="6090" spans="1:40" x14ac:dyDescent="0.25">
      <c r="A6090" t="str">
        <f>"20190312154044072"</f>
        <v>20190312154044072</v>
      </c>
      <c r="B6090" t="str">
        <f>"1552376444062616"</f>
        <v>1552376444062616</v>
      </c>
      <c r="C6090" t="s">
        <v>40</v>
      </c>
      <c r="D6090">
        <v>3.9214440000000002</v>
      </c>
      <c r="E6090">
        <v>0.49263240000000003</v>
      </c>
      <c r="F6090" t="s">
        <v>55</v>
      </c>
      <c r="G6090">
        <v>-301.01139999999998</v>
      </c>
      <c r="H6090" s="1">
        <v>-8.0603169999999996E-6</v>
      </c>
      <c r="I6090">
        <v>139.17439999999999</v>
      </c>
      <c r="J6090">
        <v>-260.34280000000001</v>
      </c>
      <c r="K6090">
        <v>1.1085670000000001</v>
      </c>
      <c r="L6090">
        <v>140.458</v>
      </c>
      <c r="M6090">
        <v>-0.99960309999999997</v>
      </c>
      <c r="N6090">
        <v>0</v>
      </c>
      <c r="O6090">
        <v>-2.7717370000000002E-2</v>
      </c>
      <c r="P6090">
        <v>-0.99995100000000003</v>
      </c>
      <c r="Q6090">
        <v>-8.7151069999999997E-3</v>
      </c>
      <c r="R6090">
        <v>-4.7290479999999996E-3</v>
      </c>
      <c r="S6090">
        <v>-2.998901</v>
      </c>
      <c r="T6090">
        <v>-8.0955509999999994E-2</v>
      </c>
      <c r="U6090">
        <v>-9.4528200000000007E-2</v>
      </c>
      <c r="V6090">
        <v>2.2988919999999999E-2</v>
      </c>
      <c r="W6090">
        <v>-3.6535880000000001E-3</v>
      </c>
      <c r="X6090">
        <v>0.99972899999999998</v>
      </c>
      <c r="Y6090">
        <v>-3.7979350000000001E-3</v>
      </c>
      <c r="Z6090">
        <v>6.9652530000000002E-4</v>
      </c>
      <c r="AA6090">
        <v>0.99999249999999995</v>
      </c>
      <c r="AB6090">
        <v>40</v>
      </c>
      <c r="AC6090">
        <v>-40.668599999999898</v>
      </c>
      <c r="AD6090">
        <v>-1.1085750603169999</v>
      </c>
      <c r="AE6090">
        <v>-1.2836000000000001</v>
      </c>
      <c r="AF6090">
        <v>-0.15575027090381999</v>
      </c>
      <c r="AG6090">
        <v>-1.1085750603169999</v>
      </c>
      <c r="AH6090">
        <v>40.658372489083099</v>
      </c>
      <c r="AI6090">
        <v>91.561805600407098</v>
      </c>
      <c r="AJ6090">
        <v>90.219482212014896</v>
      </c>
      <c r="AK6090">
        <v>40.6737808701413</v>
      </c>
      <c r="AL6090">
        <v>90.209335647357193</v>
      </c>
      <c r="AM6090">
        <v>88.682707011137595</v>
      </c>
      <c r="AN6090">
        <v>0.99999995629451899</v>
      </c>
    </row>
    <row r="6091" spans="1:40" x14ac:dyDescent="0.25">
      <c r="A6091" t="str">
        <f>"20190312154044094"</f>
        <v>20190312154044094</v>
      </c>
      <c r="B6091" t="str">
        <f>"1552376444082136"</f>
        <v>1552376444082136</v>
      </c>
      <c r="C6091" t="s">
        <v>40</v>
      </c>
      <c r="D6091">
        <v>3.9247890000000001</v>
      </c>
      <c r="E6091">
        <v>0.49427710000000002</v>
      </c>
      <c r="F6091" t="s">
        <v>55</v>
      </c>
      <c r="G6091">
        <v>-319.60390000000001</v>
      </c>
      <c r="H6091" s="1">
        <v>-5.3470020000000003E-6</v>
      </c>
      <c r="I6091">
        <v>139.0009</v>
      </c>
      <c r="J6091">
        <v>-260.7441</v>
      </c>
      <c r="K6091">
        <v>1.1084400000000001</v>
      </c>
      <c r="L6091">
        <v>140.44720000000001</v>
      </c>
      <c r="M6091">
        <v>-0.99961529999999998</v>
      </c>
      <c r="N6091">
        <v>0</v>
      </c>
      <c r="O6091">
        <v>-2.7269789999999999E-2</v>
      </c>
      <c r="P6091">
        <v>-0.99995560000000006</v>
      </c>
      <c r="Q6091">
        <v>-9.2095389999999992E-3</v>
      </c>
      <c r="R6091">
        <v>-2.0642780000000001E-3</v>
      </c>
      <c r="S6091">
        <v>-2.999298</v>
      </c>
      <c r="T6091">
        <v>-5.6106570000000001E-2</v>
      </c>
      <c r="U6091">
        <v>-7.3745729999999995E-2</v>
      </c>
      <c r="V6091">
        <v>2.5203980000000001E-2</v>
      </c>
      <c r="W6091">
        <v>-4.1333200000000002E-3</v>
      </c>
      <c r="X6091">
        <v>0.99967379999999995</v>
      </c>
      <c r="Y6091">
        <v>2.6855749999999999E-3</v>
      </c>
      <c r="Z6091">
        <v>5.3503190000000003E-4</v>
      </c>
      <c r="AA6091">
        <v>0.9999962</v>
      </c>
      <c r="AB6091">
        <v>40</v>
      </c>
      <c r="AC6091">
        <v>-58.8598</v>
      </c>
      <c r="AD6091">
        <v>-1.1084453470019999</v>
      </c>
      <c r="AE6091">
        <v>-1.4462999999999999</v>
      </c>
      <c r="AF6091">
        <v>0.159296358423311</v>
      </c>
      <c r="AG6091">
        <v>-1.1084453470019999</v>
      </c>
      <c r="AH6091">
        <v>58.856490449364102</v>
      </c>
      <c r="AI6091">
        <v>91.078920952465396</v>
      </c>
      <c r="AJ6091">
        <v>89.844928117970099</v>
      </c>
      <c r="AK6091">
        <v>58.867142740523597</v>
      </c>
      <c r="AL6091">
        <v>90.236822461993896</v>
      </c>
      <c r="AM6091">
        <v>88.555753068436601</v>
      </c>
      <c r="AN6091">
        <v>1.0000000156742499</v>
      </c>
    </row>
    <row r="6092" spans="1:40" x14ac:dyDescent="0.25">
      <c r="A6092" t="str">
        <f>"20190312154044116"</f>
        <v>20190312154044116</v>
      </c>
      <c r="B6092" t="str">
        <f>"1552376444112392"</f>
        <v>1552376444112392</v>
      </c>
      <c r="C6092" t="s">
        <v>40</v>
      </c>
      <c r="D6092">
        <v>3.9989279999999998</v>
      </c>
      <c r="E6092">
        <v>0.49583850000000002</v>
      </c>
      <c r="F6092" t="s">
        <v>42</v>
      </c>
      <c r="G6092">
        <v>-344.31389999999999</v>
      </c>
      <c r="H6092" s="1">
        <v>-2.5320180000000001E-6</v>
      </c>
      <c r="I6092">
        <v>138.9941</v>
      </c>
      <c r="J6092">
        <v>-261.12950000000001</v>
      </c>
      <c r="K6092">
        <v>1.1083350000000001</v>
      </c>
      <c r="L6092">
        <v>140.43700000000001</v>
      </c>
      <c r="M6092">
        <v>-0.99962819999999997</v>
      </c>
      <c r="N6092">
        <v>0</v>
      </c>
      <c r="O6092">
        <v>-2.6779109999999998E-2</v>
      </c>
      <c r="P6092">
        <v>-0.9999498</v>
      </c>
      <c r="Q6092">
        <v>-9.9227610000000004E-3</v>
      </c>
      <c r="R6092">
        <v>1.421556E-3</v>
      </c>
      <c r="S6092">
        <v>-2.9997250000000002</v>
      </c>
      <c r="T6092">
        <v>-3.9787410000000002E-2</v>
      </c>
      <c r="U6092">
        <v>-5.2154539999999999E-2</v>
      </c>
      <c r="V6092">
        <v>2.819642E-2</v>
      </c>
      <c r="W6092">
        <v>-4.826833E-3</v>
      </c>
      <c r="X6092">
        <v>0.9995908</v>
      </c>
      <c r="Y6092">
        <v>9.3946600000000009E-3</v>
      </c>
      <c r="Z6092">
        <v>4.1739579999999999E-4</v>
      </c>
      <c r="AA6092">
        <v>0.99995579999999995</v>
      </c>
      <c r="AB6092">
        <v>40</v>
      </c>
      <c r="AC6092">
        <v>-83.184399999999897</v>
      </c>
      <c r="AD6092">
        <v>-1.108337532018</v>
      </c>
      <c r="AE6092">
        <v>-1.4429000000000001</v>
      </c>
      <c r="AF6092">
        <v>0.785111675054878</v>
      </c>
      <c r="AG6092">
        <v>-1.108337532018</v>
      </c>
      <c r="AH6092">
        <v>83.1784454839663</v>
      </c>
      <c r="AI6092">
        <v>90.763376574542605</v>
      </c>
      <c r="AJ6092">
        <v>89.459207859243307</v>
      </c>
      <c r="AK6092">
        <v>83.189534230913594</v>
      </c>
      <c r="AL6092">
        <v>90.276558218849601</v>
      </c>
      <c r="AM6092">
        <v>88.384231247722894</v>
      </c>
      <c r="AN6092">
        <v>1.0000000519311301</v>
      </c>
    </row>
    <row r="6093" spans="1:40" x14ac:dyDescent="0.25">
      <c r="A6093" t="str">
        <f>"20190312154044138"</f>
        <v>20190312154044138</v>
      </c>
      <c r="B6093" t="str">
        <f>"1552376444131913"</f>
        <v>1552376444131913</v>
      </c>
      <c r="C6093" t="s">
        <v>40</v>
      </c>
      <c r="D6093">
        <v>3.964636</v>
      </c>
      <c r="E6093">
        <v>0.4965406</v>
      </c>
      <c r="F6093" t="s">
        <v>42</v>
      </c>
      <c r="G6093">
        <v>-373.92750000000001</v>
      </c>
      <c r="H6093" s="1">
        <v>-2.6343619999999999E-6</v>
      </c>
      <c r="I6093">
        <v>139.35140000000001</v>
      </c>
      <c r="J6093">
        <v>-261.53750000000002</v>
      </c>
      <c r="K6093">
        <v>1.10825</v>
      </c>
      <c r="L6093">
        <v>140.4264</v>
      </c>
      <c r="M6093">
        <v>-0.99964299999999995</v>
      </c>
      <c r="N6093">
        <v>0</v>
      </c>
      <c r="O6093">
        <v>-2.6216070000000001E-2</v>
      </c>
      <c r="P6093">
        <v>-0.99992780000000003</v>
      </c>
      <c r="Q6093">
        <v>-1.108813E-2</v>
      </c>
      <c r="R6093">
        <v>4.6475780000000003E-3</v>
      </c>
      <c r="S6093">
        <v>-2.9998779999999998</v>
      </c>
      <c r="T6093">
        <v>-2.94764E-2</v>
      </c>
      <c r="U6093">
        <v>-2.886963E-2</v>
      </c>
      <c r="V6093">
        <v>3.0855879999999999E-2</v>
      </c>
      <c r="W6093">
        <v>-5.9617319999999904E-3</v>
      </c>
      <c r="X6093">
        <v>0.99950609999999995</v>
      </c>
      <c r="Y6093">
        <v>1.659329E-2</v>
      </c>
      <c r="Z6093">
        <v>3.390744E-4</v>
      </c>
      <c r="AA6093">
        <v>0.99986229999999998</v>
      </c>
      <c r="AB6093">
        <v>40</v>
      </c>
      <c r="AC6093">
        <v>-112.39</v>
      </c>
      <c r="AD6093">
        <v>-1.1082526343619901</v>
      </c>
      <c r="AE6093">
        <v>-1.07499999999998</v>
      </c>
      <c r="AF6093">
        <v>1.8716507955500801</v>
      </c>
      <c r="AG6093">
        <v>-1.1082526343619901</v>
      </c>
      <c r="AH6093">
        <v>112.368628000416</v>
      </c>
      <c r="AI6093">
        <v>90.564991629627997</v>
      </c>
      <c r="AJ6093">
        <v>89.045749888175095</v>
      </c>
      <c r="AK6093">
        <v>112.389678615511</v>
      </c>
      <c r="AL6093">
        <v>90.341584093438399</v>
      </c>
      <c r="AM6093">
        <v>88.231776278446702</v>
      </c>
      <c r="AN6093">
        <v>1.00000003575811</v>
      </c>
    </row>
    <row r="6094" spans="1:40" x14ac:dyDescent="0.25">
      <c r="A6094" t="str">
        <f>"20190312154044161"</f>
        <v>20190312154044161</v>
      </c>
      <c r="B6094" t="str">
        <f>"1552376444152408"</f>
        <v>1552376444152408</v>
      </c>
      <c r="C6094" t="s">
        <v>40</v>
      </c>
      <c r="D6094">
        <v>4.0337829999999997</v>
      </c>
      <c r="E6094">
        <v>0.49710470000000001</v>
      </c>
      <c r="F6094" t="s">
        <v>42</v>
      </c>
      <c r="G6094">
        <v>-377.55590000000001</v>
      </c>
      <c r="H6094" s="1">
        <v>-1.1066379999999999E-6</v>
      </c>
      <c r="I6094">
        <v>139.90110000000001</v>
      </c>
      <c r="J6094">
        <v>-261.95</v>
      </c>
      <c r="K6094">
        <v>1.1081780000000001</v>
      </c>
      <c r="L6094">
        <v>140.416</v>
      </c>
      <c r="M6094">
        <v>-0.99965850000000001</v>
      </c>
      <c r="N6094">
        <v>0</v>
      </c>
      <c r="O6094">
        <v>-2.561654E-2</v>
      </c>
      <c r="P6094">
        <v>-0.99989260000000002</v>
      </c>
      <c r="Q6094">
        <v>-1.2741199999999999E-2</v>
      </c>
      <c r="R6094">
        <v>7.2690940000000002E-3</v>
      </c>
      <c r="S6094">
        <v>-2.9999690000000001</v>
      </c>
      <c r="T6094">
        <v>-2.8656839999999999E-2</v>
      </c>
      <c r="U6094">
        <v>-1.358032E-2</v>
      </c>
      <c r="V6094">
        <v>3.2873409999999999E-2</v>
      </c>
      <c r="W6094">
        <v>-7.5731039999999998E-3</v>
      </c>
      <c r="X6094">
        <v>0.99943079999999995</v>
      </c>
      <c r="Y6094">
        <v>2.1089199999999999E-2</v>
      </c>
      <c r="Z6094">
        <v>3.4539480000000001E-4</v>
      </c>
      <c r="AA6094">
        <v>0.99977760000000004</v>
      </c>
      <c r="AB6094">
        <v>40</v>
      </c>
      <c r="AC6094">
        <v>-115.60590000000001</v>
      </c>
      <c r="AD6094">
        <v>-1.108179106638</v>
      </c>
      <c r="AE6094">
        <v>-0.51489999999998204</v>
      </c>
      <c r="AF6094">
        <v>2.4465068342340999</v>
      </c>
      <c r="AG6094">
        <v>-1.108179106638</v>
      </c>
      <c r="AH6094">
        <v>115.57053282627901</v>
      </c>
      <c r="AI6094">
        <v>90.549256093394206</v>
      </c>
      <c r="AJ6094">
        <v>88.787289633354803</v>
      </c>
      <c r="AK6094">
        <v>115.60173664081501</v>
      </c>
      <c r="AL6094">
        <v>90.433911058358404</v>
      </c>
      <c r="AM6094">
        <v>88.116098842519094</v>
      </c>
      <c r="AN6094">
        <v>0.99999996848893102</v>
      </c>
    </row>
    <row r="6095" spans="1:40" x14ac:dyDescent="0.25">
      <c r="A6095" t="str">
        <f>"20190312154044182"</f>
        <v>20190312154044182</v>
      </c>
      <c r="B6095" t="str">
        <f>"1552376444171932"</f>
        <v>1552376444171932</v>
      </c>
      <c r="C6095" t="s">
        <v>40</v>
      </c>
      <c r="D6095">
        <v>4.024051</v>
      </c>
      <c r="E6095">
        <v>0.49750460000000002</v>
      </c>
      <c r="F6095" t="s">
        <v>42</v>
      </c>
      <c r="G6095">
        <v>-380.56200000000001</v>
      </c>
      <c r="H6095" s="1">
        <v>-4.2194549999999901E-6</v>
      </c>
      <c r="I6095">
        <v>140.37549999999999</v>
      </c>
      <c r="J6095">
        <v>-262.3442</v>
      </c>
      <c r="K6095">
        <v>1.1081219999999901</v>
      </c>
      <c r="L6095">
        <v>140.40629999999999</v>
      </c>
      <c r="M6095">
        <v>-0.99967289999999998</v>
      </c>
      <c r="N6095">
        <v>0</v>
      </c>
      <c r="O6095">
        <v>-2.5027819999999999E-2</v>
      </c>
      <c r="P6095">
        <v>-0.99986059999999999</v>
      </c>
      <c r="Q6095">
        <v>-1.411492E-2</v>
      </c>
      <c r="R6095">
        <v>8.92091699999999E-3</v>
      </c>
      <c r="S6095">
        <v>-2.9999690000000001</v>
      </c>
      <c r="T6095">
        <v>-2.802849E-2</v>
      </c>
      <c r="U6095">
        <v>-1.0223389999999999E-3</v>
      </c>
      <c r="V6095">
        <v>3.3933060000000001E-2</v>
      </c>
      <c r="W6095">
        <v>-8.8992310000000005E-3</v>
      </c>
      <c r="X6095">
        <v>0.99938450000000001</v>
      </c>
      <c r="Y6095">
        <v>2.4685329999999998E-2</v>
      </c>
      <c r="Z6095">
        <v>3.4912670000000003E-4</v>
      </c>
      <c r="AA6095">
        <v>0.99969520000000001</v>
      </c>
      <c r="AB6095">
        <v>41</v>
      </c>
      <c r="AC6095">
        <v>-118.217799999999</v>
      </c>
      <c r="AD6095">
        <v>-1.1081262194549999</v>
      </c>
      <c r="AE6095">
        <v>-3.07999999999992E-2</v>
      </c>
      <c r="AF6095">
        <v>2.9277272057051298</v>
      </c>
      <c r="AG6095">
        <v>-1.1081262194549999</v>
      </c>
      <c r="AH6095">
        <v>118.17115568145999</v>
      </c>
      <c r="AI6095">
        <v>90.537099083694201</v>
      </c>
      <c r="AJ6095">
        <v>88.580769543075704</v>
      </c>
      <c r="AK6095">
        <v>118.21261170197199</v>
      </c>
      <c r="AL6095">
        <v>90.509895100599294</v>
      </c>
      <c r="AM6095">
        <v>88.055328559955896</v>
      </c>
      <c r="AN6095">
        <v>1.0000000138567999</v>
      </c>
    </row>
    <row r="6096" spans="1:40" x14ac:dyDescent="0.25">
      <c r="A6096" t="str">
        <f>"20190312154044206"</f>
        <v>20190312154044206</v>
      </c>
      <c r="B6096" t="str">
        <f>"1552376444192425"</f>
        <v>1552376444192425</v>
      </c>
      <c r="C6096" t="s">
        <v>40</v>
      </c>
      <c r="D6096">
        <v>4.0006029999999999</v>
      </c>
      <c r="E6096">
        <v>0.49773899999999999</v>
      </c>
      <c r="F6096" t="s">
        <v>42</v>
      </c>
      <c r="G6096">
        <v>-380.54399999999998</v>
      </c>
      <c r="H6096" s="1">
        <v>-4.2817869999999997E-6</v>
      </c>
      <c r="I6096">
        <v>140.69239999999999</v>
      </c>
      <c r="J6096">
        <v>-262.75619999999998</v>
      </c>
      <c r="K6096">
        <v>1.1080719999999999</v>
      </c>
      <c r="L6096">
        <v>140.3965</v>
      </c>
      <c r="M6096">
        <v>-0.99968800000000002</v>
      </c>
      <c r="N6096">
        <v>0</v>
      </c>
      <c r="O6096">
        <v>-2.440401E-2</v>
      </c>
      <c r="P6096">
        <v>-0.99983719999999998</v>
      </c>
      <c r="Q6096">
        <v>-1.5217670000000001E-2</v>
      </c>
      <c r="R6096">
        <v>9.7121729999999993E-3</v>
      </c>
      <c r="S6096">
        <v>-2.9999690000000001</v>
      </c>
      <c r="T6096">
        <v>-2.812481E-2</v>
      </c>
      <c r="U6096">
        <v>7.2631839999999998E-3</v>
      </c>
      <c r="V6096">
        <v>3.4097549999999997E-2</v>
      </c>
      <c r="W6096">
        <v>-9.9387759999999999E-3</v>
      </c>
      <c r="X6096">
        <v>0.99936910000000001</v>
      </c>
      <c r="Y6096">
        <v>2.68224E-2</v>
      </c>
      <c r="Z6096">
        <v>3.5449839999999902E-4</v>
      </c>
      <c r="AA6096">
        <v>0.99964019999999998</v>
      </c>
      <c r="AB6096">
        <v>41</v>
      </c>
      <c r="AC6096">
        <v>-117.7878</v>
      </c>
      <c r="AD6096">
        <v>-1.108076281787</v>
      </c>
      <c r="AE6096">
        <v>0.29589999999998801</v>
      </c>
      <c r="AF6096">
        <v>3.1700667172574502</v>
      </c>
      <c r="AG6096">
        <v>-1.108076281787</v>
      </c>
      <c r="AH6096">
        <v>117.735078555676</v>
      </c>
      <c r="AI6096">
        <v>90.539034087725298</v>
      </c>
      <c r="AJ6096">
        <v>88.457659586009498</v>
      </c>
      <c r="AK6096">
        <v>117.782960900757</v>
      </c>
      <c r="AL6096">
        <v>90.569459287959802</v>
      </c>
      <c r="AM6096">
        <v>88.045878996296594</v>
      </c>
      <c r="AN6096">
        <v>1.0000000101095901</v>
      </c>
    </row>
    <row r="6097" spans="1:40" x14ac:dyDescent="0.25">
      <c r="A6097" t="str">
        <f>"20190312154044228"</f>
        <v>20190312154044228</v>
      </c>
      <c r="B6097" t="str">
        <f>"1552376444222681"</f>
        <v>1552376444222681</v>
      </c>
      <c r="C6097" t="s">
        <v>40</v>
      </c>
      <c r="D6097">
        <v>4.041315</v>
      </c>
      <c r="E6097">
        <v>0.49808989999999997</v>
      </c>
      <c r="F6097" t="s">
        <v>42</v>
      </c>
      <c r="G6097">
        <v>-383.18009999999998</v>
      </c>
      <c r="H6097" s="1">
        <v>-3.2397800000000002E-6</v>
      </c>
      <c r="I6097">
        <v>140.8631</v>
      </c>
      <c r="J6097">
        <v>-263.17160000000001</v>
      </c>
      <c r="K6097">
        <v>1.108033</v>
      </c>
      <c r="L6097">
        <v>140.38669999999999</v>
      </c>
      <c r="M6097">
        <v>-0.99970289999999995</v>
      </c>
      <c r="N6097">
        <v>0</v>
      </c>
      <c r="O6097">
        <v>-2.377133E-2</v>
      </c>
      <c r="P6097">
        <v>-0.99980740000000001</v>
      </c>
      <c r="Q6097">
        <v>-1.6454719999999999E-2</v>
      </c>
      <c r="R6097">
        <v>1.0703310000000001E-2</v>
      </c>
      <c r="S6097">
        <v>-2.9999690000000001</v>
      </c>
      <c r="T6097">
        <v>-2.7604099999999999E-2</v>
      </c>
      <c r="U6097">
        <v>1.1627200000000001E-2</v>
      </c>
      <c r="V6097">
        <v>3.4452650000000001E-2</v>
      </c>
      <c r="W6097">
        <v>-1.1092090000000001E-2</v>
      </c>
      <c r="X6097">
        <v>0.99934480000000003</v>
      </c>
      <c r="Y6097">
        <v>2.7643979999999999E-2</v>
      </c>
      <c r="Z6097">
        <v>3.4589519999999999E-4</v>
      </c>
      <c r="AA6097">
        <v>0.9996178</v>
      </c>
      <c r="AB6097">
        <v>41</v>
      </c>
      <c r="AC6097">
        <v>-120.008499999999</v>
      </c>
      <c r="AD6097">
        <v>-1.1080362397799901</v>
      </c>
      <c r="AE6097">
        <v>0.47640000000001198</v>
      </c>
      <c r="AF6097">
        <v>3.3287846813894402</v>
      </c>
      <c r="AG6097">
        <v>-1.1080362397799901</v>
      </c>
      <c r="AH6097">
        <v>119.953036839777</v>
      </c>
      <c r="AI6097">
        <v>90.529036755190702</v>
      </c>
      <c r="AJ6097">
        <v>88.410408094742607</v>
      </c>
      <c r="AK6097">
        <v>120.00433158369199</v>
      </c>
      <c r="AL6097">
        <v>90.6355429601943</v>
      </c>
      <c r="AM6097">
        <v>88.025496367221706</v>
      </c>
      <c r="AN6097">
        <v>1.00000002441981</v>
      </c>
    </row>
    <row r="6098" spans="1:40" x14ac:dyDescent="0.25">
      <c r="A6098" t="str">
        <f>"20190312154044250"</f>
        <v>20190312154044250</v>
      </c>
      <c r="B6098" t="str">
        <f>"1552376444242200"</f>
        <v>1552376444242200</v>
      </c>
      <c r="C6098" t="s">
        <v>40</v>
      </c>
      <c r="D6098">
        <v>4.0171769999999896</v>
      </c>
      <c r="E6098">
        <v>0.5129068</v>
      </c>
      <c r="F6098" t="s">
        <v>42</v>
      </c>
      <c r="G6098">
        <v>-385.52969999999999</v>
      </c>
      <c r="H6098" s="1">
        <v>-2.2971360000000001E-6</v>
      </c>
      <c r="I6098">
        <v>141.1086</v>
      </c>
      <c r="J6098">
        <v>-263.59410000000003</v>
      </c>
      <c r="K6098">
        <v>1.108001</v>
      </c>
      <c r="L6098">
        <v>140.37719999999999</v>
      </c>
      <c r="M6098">
        <v>-0.99971739999999998</v>
      </c>
      <c r="N6098">
        <v>0</v>
      </c>
      <c r="O6098">
        <v>-2.31261E-2</v>
      </c>
      <c r="P6098">
        <v>-0.99978049999999996</v>
      </c>
      <c r="Q6098">
        <v>-1.753045E-2</v>
      </c>
      <c r="R6098">
        <v>1.1483719999999999E-2</v>
      </c>
      <c r="S6098">
        <v>-2.9999389999999999</v>
      </c>
      <c r="T6098">
        <v>-2.7166490000000001E-2</v>
      </c>
      <c r="U6098">
        <v>1.7700199999999999E-2</v>
      </c>
      <c r="V6098">
        <v>3.4584799999999999E-2</v>
      </c>
      <c r="W6098">
        <v>-1.2053110000000001E-2</v>
      </c>
      <c r="X6098">
        <v>0.99932909999999997</v>
      </c>
      <c r="Y6098">
        <v>2.902242E-2</v>
      </c>
      <c r="Z6098">
        <v>3.4081429999999999E-4</v>
      </c>
      <c r="AA6098">
        <v>0.99957870000000004</v>
      </c>
      <c r="AB6098">
        <v>41</v>
      </c>
      <c r="AC6098">
        <v>-121.935599999999</v>
      </c>
      <c r="AD6098">
        <v>-1.1080032971359901</v>
      </c>
      <c r="AE6098">
        <v>0.73140000000000704</v>
      </c>
      <c r="AF6098">
        <v>3.5508488099695099</v>
      </c>
      <c r="AG6098">
        <v>-1.1080032971359901</v>
      </c>
      <c r="AH6098">
        <v>121.87601046759301</v>
      </c>
      <c r="AI6098">
        <v>90.520654055363295</v>
      </c>
      <c r="AJ6098">
        <v>88.331163666834698</v>
      </c>
      <c r="AK6098">
        <v>121.932760676016</v>
      </c>
      <c r="AL6098">
        <v>90.690609042933005</v>
      </c>
      <c r="AM6098">
        <v>88.017897680120399</v>
      </c>
      <c r="AN6098">
        <v>1.0000000179792601</v>
      </c>
    </row>
    <row r="6099" spans="1:40" x14ac:dyDescent="0.25">
      <c r="A6099" t="str">
        <f>"20190312154044272"</f>
        <v>20190312154044272</v>
      </c>
      <c r="B6099" t="str">
        <f>"1552376444261720"</f>
        <v>1552376444261720</v>
      </c>
      <c r="C6099" t="s">
        <v>40</v>
      </c>
      <c r="D6099">
        <v>4.0372629999999896</v>
      </c>
      <c r="E6099">
        <v>0.51945889999999995</v>
      </c>
      <c r="F6099" t="s">
        <v>41</v>
      </c>
      <c r="G6099">
        <v>-264.44139999999999</v>
      </c>
      <c r="H6099">
        <v>1.048284</v>
      </c>
      <c r="I6099">
        <v>140.4144</v>
      </c>
      <c r="J6099">
        <v>-263.9941</v>
      </c>
      <c r="K6099">
        <v>1.107993</v>
      </c>
      <c r="L6099">
        <v>140.3683</v>
      </c>
      <c r="M6099">
        <v>-0.99973040000000002</v>
      </c>
      <c r="N6099">
        <v>0</v>
      </c>
      <c r="O6099">
        <v>-2.2514240000000001E-2</v>
      </c>
      <c r="P6099">
        <v>-0.99975139999999996</v>
      </c>
      <c r="Q6099">
        <v>-1.8911460000000001E-2</v>
      </c>
      <c r="R6099">
        <v>1.1818220000000001E-2</v>
      </c>
      <c r="S6099">
        <v>-2.995422</v>
      </c>
      <c r="T6099">
        <v>-0.2111198</v>
      </c>
      <c r="U6099">
        <v>0.131546</v>
      </c>
      <c r="V6099">
        <v>3.4304300000000003E-2</v>
      </c>
      <c r="W6099">
        <v>-1.328668E-2</v>
      </c>
      <c r="X6099">
        <v>0.99932310000000002</v>
      </c>
      <c r="Y6099">
        <v>6.6135659999999999E-2</v>
      </c>
      <c r="Z6099">
        <v>3.9108600000000004E-3</v>
      </c>
      <c r="AA6099">
        <v>0.997803</v>
      </c>
      <c r="AB6099">
        <v>41</v>
      </c>
      <c r="AC6099">
        <v>-0.44729999999998399</v>
      </c>
      <c r="AD6099">
        <v>-5.9708999999999998E-2</v>
      </c>
      <c r="AE6099">
        <v>4.6099999999995499E-2</v>
      </c>
      <c r="AF6099">
        <v>5.5186074367030803E-2</v>
      </c>
      <c r="AG6099">
        <v>-5.9708999999999998E-2</v>
      </c>
      <c r="AH6099">
        <v>0.43841864637481198</v>
      </c>
      <c r="AI6099">
        <v>97.695506613484099</v>
      </c>
      <c r="AJ6099">
        <v>82.825610089788796</v>
      </c>
      <c r="AK6099">
        <v>0.44589413202481798</v>
      </c>
      <c r="AL6099">
        <v>90.761293096089204</v>
      </c>
      <c r="AM6099">
        <v>88.033949057413693</v>
      </c>
      <c r="AN6099">
        <v>0.99999998952876101</v>
      </c>
    </row>
    <row r="6100" spans="1:40" x14ac:dyDescent="0.25">
      <c r="A6100" t="str">
        <f>"20190312154044293"</f>
        <v>20190312154044293</v>
      </c>
      <c r="B6100" t="str">
        <f>"1552376444282217"</f>
        <v>1552376444282217</v>
      </c>
      <c r="C6100" t="s">
        <v>40</v>
      </c>
      <c r="D6100">
        <v>3.9862359999999999</v>
      </c>
      <c r="E6100">
        <v>0.52000040000000003</v>
      </c>
      <c r="F6100" t="s">
        <v>41</v>
      </c>
      <c r="G6100">
        <v>-264.76190000000003</v>
      </c>
      <c r="H6100">
        <v>0.95007560000000002</v>
      </c>
      <c r="I6100">
        <v>140.41200000000001</v>
      </c>
      <c r="J6100">
        <v>-264.38299999999998</v>
      </c>
      <c r="K6100">
        <v>1.1080019999999999</v>
      </c>
      <c r="L6100">
        <v>140.36000000000001</v>
      </c>
      <c r="M6100">
        <v>-0.99974260000000004</v>
      </c>
      <c r="N6100">
        <v>0</v>
      </c>
      <c r="O6100">
        <v>-2.191918E-2</v>
      </c>
      <c r="P6100">
        <v>-0.99972019999999995</v>
      </c>
      <c r="Q6100">
        <v>-2.0160069999999999E-2</v>
      </c>
      <c r="R6100">
        <v>1.2385210000000001E-2</v>
      </c>
      <c r="S6100">
        <v>-2.9871219999999998</v>
      </c>
      <c r="T6100">
        <v>-0.61439390000000005</v>
      </c>
      <c r="U6100">
        <v>0.16911319999999999</v>
      </c>
      <c r="V6100">
        <v>3.4273230000000002E-2</v>
      </c>
      <c r="W6100">
        <v>-1.4344030000000001E-2</v>
      </c>
      <c r="X6100">
        <v>0.99930949999999996</v>
      </c>
      <c r="Y6100">
        <v>7.6343469999999997E-2</v>
      </c>
      <c r="Z6100">
        <v>1.222254E-2</v>
      </c>
      <c r="AA6100">
        <v>0.99700670000000002</v>
      </c>
      <c r="AB6100">
        <v>41</v>
      </c>
      <c r="AC6100">
        <v>-0.37890000000004398</v>
      </c>
      <c r="AD6100">
        <v>-0.15792639999999999</v>
      </c>
      <c r="AE6100">
        <v>5.1999999999992497E-2</v>
      </c>
      <c r="AF6100">
        <v>5.15097611400804E-2</v>
      </c>
      <c r="AG6100">
        <v>-0.15792639999999999</v>
      </c>
      <c r="AH6100">
        <v>0.32265277429412997</v>
      </c>
      <c r="AI6100">
        <v>115.796421131741</v>
      </c>
      <c r="AJ6100">
        <v>80.929580889981395</v>
      </c>
      <c r="AK6100">
        <v>0.36290331504323098</v>
      </c>
      <c r="AL6100">
        <v>90.821880614049107</v>
      </c>
      <c r="AM6100">
        <v>88.035701636709703</v>
      </c>
      <c r="AN6100">
        <v>0.99999994114075996</v>
      </c>
    </row>
    <row r="6101" spans="1:40" x14ac:dyDescent="0.25">
      <c r="A6101" t="str">
        <f>"20190312154044317"</f>
        <v>20190312154044317</v>
      </c>
      <c r="B6101" t="str">
        <f>"1552376444312474"</f>
        <v>1552376444312474</v>
      </c>
      <c r="C6101" t="s">
        <v>40</v>
      </c>
      <c r="D6101">
        <v>4.0318440000000004</v>
      </c>
      <c r="E6101">
        <v>0.51988049999999997</v>
      </c>
      <c r="F6101" t="s">
        <v>41</v>
      </c>
      <c r="G6101">
        <v>-265.12619999999998</v>
      </c>
      <c r="H6101">
        <v>0.94072639999999996</v>
      </c>
      <c r="I6101">
        <v>140.40299999999999</v>
      </c>
      <c r="J6101">
        <v>-264.80380000000002</v>
      </c>
      <c r="K6101">
        <v>1.1080429999999999</v>
      </c>
      <c r="L6101">
        <v>140.35120000000001</v>
      </c>
      <c r="M6101">
        <v>-0.9997547</v>
      </c>
      <c r="N6101">
        <v>0</v>
      </c>
      <c r="O6101">
        <v>-2.1274749999999999E-2</v>
      </c>
      <c r="P6101">
        <v>-0.9997066</v>
      </c>
      <c r="Q6101">
        <v>-2.0377349999999999E-2</v>
      </c>
      <c r="R6101">
        <v>1.3093489999999999E-2</v>
      </c>
      <c r="S6101">
        <v>-2.9851679999999998</v>
      </c>
      <c r="T6101">
        <v>-0.67183909999999902</v>
      </c>
      <c r="U6101">
        <v>0.17214969999999999</v>
      </c>
      <c r="V6101">
        <v>3.4336230000000002E-2</v>
      </c>
      <c r="W6101">
        <v>-1.42775E-2</v>
      </c>
      <c r="X6101">
        <v>0.99930830000000004</v>
      </c>
      <c r="Y6101">
        <v>7.6364539999999995E-2</v>
      </c>
      <c r="Z6101">
        <v>1.3206020000000001E-2</v>
      </c>
      <c r="AA6101">
        <v>0.99699249999999995</v>
      </c>
      <c r="AB6101">
        <v>41</v>
      </c>
      <c r="AC6101">
        <v>-0.322399999999959</v>
      </c>
      <c r="AD6101">
        <v>-0.16731660000000001</v>
      </c>
      <c r="AE6101">
        <v>5.1799999999985802E-2</v>
      </c>
      <c r="AF6101">
        <v>4.6451378985189799E-2</v>
      </c>
      <c r="AG6101">
        <v>-0.16731660000000001</v>
      </c>
      <c r="AH6101">
        <v>0.254424694945876</v>
      </c>
      <c r="AI6101">
        <v>122.900175766432</v>
      </c>
      <c r="AJ6101">
        <v>79.653229940329098</v>
      </c>
      <c r="AK6101">
        <v>0.30803327846758299</v>
      </c>
      <c r="AL6101">
        <v>90.818068327093698</v>
      </c>
      <c r="AM6101">
        <v>88.032091398833998</v>
      </c>
      <c r="AN6101">
        <v>0.99999995107287498</v>
      </c>
    </row>
    <row r="6102" spans="1:40" x14ac:dyDescent="0.25">
      <c r="A6102" t="str">
        <f>"20190312154044339"</f>
        <v>20190312154044339</v>
      </c>
      <c r="B6102" t="str">
        <f>"1552376444331996"</f>
        <v>1552376444331996</v>
      </c>
      <c r="C6102" t="s">
        <v>40</v>
      </c>
      <c r="D6102">
        <v>4.0305650000000002</v>
      </c>
      <c r="E6102">
        <v>0.51955059999999997</v>
      </c>
      <c r="F6102" t="s">
        <v>41</v>
      </c>
      <c r="G6102">
        <v>-265.49900000000002</v>
      </c>
      <c r="H6102">
        <v>0.94802439999999999</v>
      </c>
      <c r="I6102">
        <v>140.39160000000001</v>
      </c>
      <c r="J6102">
        <v>-265.22199999999998</v>
      </c>
      <c r="K6102">
        <v>1.108115</v>
      </c>
      <c r="L6102">
        <v>140.34280000000001</v>
      </c>
      <c r="M6102">
        <v>-0.99976569999999998</v>
      </c>
      <c r="N6102">
        <v>0</v>
      </c>
      <c r="O6102">
        <v>-2.0633519999999999E-2</v>
      </c>
      <c r="P6102">
        <v>-0.99969799999999998</v>
      </c>
      <c r="Q6102">
        <v>-1.9804820000000001E-2</v>
      </c>
      <c r="R6102">
        <v>1.456024E-2</v>
      </c>
      <c r="S6102">
        <v>-2.9846189999999999</v>
      </c>
      <c r="T6102">
        <v>-0.68701639999999997</v>
      </c>
      <c r="U6102">
        <v>0.1720276</v>
      </c>
      <c r="V6102">
        <v>3.516275E-2</v>
      </c>
      <c r="W6102">
        <v>-1.3296779999999999E-2</v>
      </c>
      <c r="X6102">
        <v>0.99929310000000005</v>
      </c>
      <c r="Y6102">
        <v>7.562046E-2</v>
      </c>
      <c r="Z6102">
        <v>1.326922E-2</v>
      </c>
      <c r="AA6102">
        <v>0.99704839999999995</v>
      </c>
      <c r="AB6102">
        <v>41</v>
      </c>
      <c r="AC6102">
        <v>-0.27700000000004299</v>
      </c>
      <c r="AD6102">
        <v>-0.160090599999999</v>
      </c>
      <c r="AE6102">
        <v>4.8799999999999899E-2</v>
      </c>
      <c r="AF6102">
        <v>4.11681764418163E-2</v>
      </c>
      <c r="AG6102">
        <v>-0.160090599999999</v>
      </c>
      <c r="AH6102">
        <v>0.20841496875961099</v>
      </c>
      <c r="AI6102">
        <v>127.000695748344</v>
      </c>
      <c r="AJ6102">
        <v>78.826217969686596</v>
      </c>
      <c r="AK6102">
        <v>0.266008680615829</v>
      </c>
      <c r="AL6102">
        <v>90.761871855928604</v>
      </c>
      <c r="AM6102">
        <v>87.984729120295697</v>
      </c>
      <c r="AN6102">
        <v>0.99999996152676895</v>
      </c>
    </row>
    <row r="6103" spans="1:40" x14ac:dyDescent="0.25">
      <c r="A6103" t="str">
        <f>"20190312154044362"</f>
        <v>20190312154044362</v>
      </c>
      <c r="B6103" t="str">
        <f>"1552376444352488"</f>
        <v>1552376444352488</v>
      </c>
      <c r="C6103" t="s">
        <v>40</v>
      </c>
      <c r="D6103">
        <v>4.0086519999999997</v>
      </c>
      <c r="E6103">
        <v>0.51930200000000004</v>
      </c>
      <c r="F6103" t="s">
        <v>41</v>
      </c>
      <c r="G6103">
        <v>-266.20839999999998</v>
      </c>
      <c r="H6103">
        <v>0.88111349999999999</v>
      </c>
      <c r="I6103">
        <v>140.40029999999999</v>
      </c>
      <c r="J6103">
        <v>-265.63869999999997</v>
      </c>
      <c r="K6103">
        <v>1.1082019999999999</v>
      </c>
      <c r="L6103">
        <v>140.3347</v>
      </c>
      <c r="M6103">
        <v>-0.99977490000000002</v>
      </c>
      <c r="N6103">
        <v>0</v>
      </c>
      <c r="O6103">
        <v>-1.999161E-2</v>
      </c>
      <c r="P6103">
        <v>-0.99966969999999999</v>
      </c>
      <c r="Q6103">
        <v>-1.9822650000000001E-2</v>
      </c>
      <c r="R6103">
        <v>1.6358890000000001E-2</v>
      </c>
      <c r="S6103">
        <v>-2.984772</v>
      </c>
      <c r="T6103">
        <v>-0.68690499999999999</v>
      </c>
      <c r="U6103">
        <v>0.1733246</v>
      </c>
      <c r="V6103">
        <v>3.6319030000000002E-2</v>
      </c>
      <c r="W6103">
        <v>-1.277765E-2</v>
      </c>
      <c r="X6103">
        <v>0.9992586</v>
      </c>
      <c r="Y6103">
        <v>7.5432109999999997E-2</v>
      </c>
      <c r="Z6103">
        <v>1.309923E-2</v>
      </c>
      <c r="AA6103">
        <v>0.99706490000000003</v>
      </c>
      <c r="AB6103">
        <v>41</v>
      </c>
      <c r="AC6103">
        <v>-0.56970000000001098</v>
      </c>
      <c r="AD6103">
        <v>-0.2270885</v>
      </c>
      <c r="AE6103">
        <v>6.5599999999989195E-2</v>
      </c>
      <c r="AF6103">
        <v>6.6541879125958298E-2</v>
      </c>
      <c r="AG6103">
        <v>-0.2270885</v>
      </c>
      <c r="AH6103">
        <v>0.49124231643683902</v>
      </c>
      <c r="AI6103">
        <v>114.612060256145</v>
      </c>
      <c r="AJ6103">
        <v>82.285876232099596</v>
      </c>
      <c r="AK6103">
        <v>0.54526692726415704</v>
      </c>
      <c r="AL6103">
        <v>90.732125307234597</v>
      </c>
      <c r="AM6103">
        <v>87.918445197067996</v>
      </c>
      <c r="AN6103">
        <v>1.0000000449768101</v>
      </c>
    </row>
    <row r="6104" spans="1:40" x14ac:dyDescent="0.25">
      <c r="A6104" t="str">
        <f>"20190312154044383"</f>
        <v>20190312154044383</v>
      </c>
      <c r="B6104" t="str">
        <f>"1552376444372008"</f>
        <v>1552376444372008</v>
      </c>
      <c r="C6104" t="s">
        <v>40</v>
      </c>
      <c r="D6104">
        <v>4.0275439999999998</v>
      </c>
      <c r="E6104">
        <v>0.51915029999999995</v>
      </c>
      <c r="F6104" t="s">
        <v>41</v>
      </c>
      <c r="G6104">
        <v>-266.5813</v>
      </c>
      <c r="H6104">
        <v>0.8908083</v>
      </c>
      <c r="I6104">
        <v>140.3905</v>
      </c>
      <c r="J6104">
        <v>-266.03320000000002</v>
      </c>
      <c r="K6104">
        <v>1.1082799999999999</v>
      </c>
      <c r="L6104">
        <v>140.32740000000001</v>
      </c>
      <c r="M6104">
        <v>-0.99978250000000002</v>
      </c>
      <c r="N6104">
        <v>0</v>
      </c>
      <c r="O6104">
        <v>-1.9391459999999999E-2</v>
      </c>
      <c r="P6104">
        <v>-0.99962790000000001</v>
      </c>
      <c r="Q6104">
        <v>-2.051863E-2</v>
      </c>
      <c r="R6104">
        <v>1.798052E-2</v>
      </c>
      <c r="S6104">
        <v>-2.984467</v>
      </c>
      <c r="T6104">
        <v>-0.688316699999999</v>
      </c>
      <c r="U6104">
        <v>0.1763306</v>
      </c>
      <c r="V6104">
        <v>3.7339240000000003E-2</v>
      </c>
      <c r="W6104">
        <v>-1.289416E-2</v>
      </c>
      <c r="X6104">
        <v>0.99921950000000004</v>
      </c>
      <c r="Y6104">
        <v>7.5835189999999997E-2</v>
      </c>
      <c r="Z6104">
        <v>1.3035740000000001E-2</v>
      </c>
      <c r="AA6104">
        <v>0.99703509999999995</v>
      </c>
      <c r="AB6104">
        <v>41</v>
      </c>
      <c r="AC6104">
        <v>-0.54809999999997605</v>
      </c>
      <c r="AD6104">
        <v>-0.21747169999999899</v>
      </c>
      <c r="AE6104">
        <v>6.3099999999991496E-2</v>
      </c>
      <c r="AF6104">
        <v>6.3803712518449102E-2</v>
      </c>
      <c r="AG6104">
        <v>-0.21747169999999899</v>
      </c>
      <c r="AH6104">
        <v>0.473245117085698</v>
      </c>
      <c r="AI6104">
        <v>114.48511499656701</v>
      </c>
      <c r="AJ6104">
        <v>82.321585296974106</v>
      </c>
      <c r="AK6104">
        <v>0.52471496536451401</v>
      </c>
      <c r="AL6104">
        <v>90.738801389157402</v>
      </c>
      <c r="AM6104">
        <v>87.859943799301803</v>
      </c>
      <c r="AN6104">
        <v>1.0000000436930601</v>
      </c>
    </row>
    <row r="6105" spans="1:40" x14ac:dyDescent="0.25">
      <c r="A6105" t="str">
        <f>"20190312154044406"</f>
        <v>20190312154044406</v>
      </c>
      <c r="B6105" t="str">
        <f>"1552376444392504"</f>
        <v>1552376444392504</v>
      </c>
      <c r="C6105" t="s">
        <v>40</v>
      </c>
      <c r="D6105">
        <v>3.989039</v>
      </c>
      <c r="E6105">
        <v>0.51921220000000001</v>
      </c>
      <c r="F6105" t="s">
        <v>41</v>
      </c>
      <c r="G6105">
        <v>-266.95190000000002</v>
      </c>
      <c r="H6105">
        <v>0.89539419999999903</v>
      </c>
      <c r="I6105">
        <v>140.38310000000001</v>
      </c>
      <c r="J6105">
        <v>-266.44209999999998</v>
      </c>
      <c r="K6105">
        <v>1.1083730000000001</v>
      </c>
      <c r="L6105">
        <v>140.32</v>
      </c>
      <c r="M6105">
        <v>-0.99978869999999997</v>
      </c>
      <c r="N6105">
        <v>0</v>
      </c>
      <c r="O6105">
        <v>-1.877475E-2</v>
      </c>
      <c r="P6105">
        <v>-0.99959830000000005</v>
      </c>
      <c r="Q6105">
        <v>-2.094859E-2</v>
      </c>
      <c r="R6105">
        <v>1.9085270000000001E-2</v>
      </c>
      <c r="S6105">
        <v>-2.983673</v>
      </c>
      <c r="T6105">
        <v>-0.69139329999999999</v>
      </c>
      <c r="U6105">
        <v>0.18051149999999999</v>
      </c>
      <c r="V6105">
        <v>3.782696E-2</v>
      </c>
      <c r="W6105">
        <v>-1.265664E-2</v>
      </c>
      <c r="X6105">
        <v>0.99920419999999999</v>
      </c>
      <c r="Y6105">
        <v>7.6601030000000001E-2</v>
      </c>
      <c r="Z6105">
        <v>1.304196E-2</v>
      </c>
      <c r="AA6105">
        <v>0.99697650000000004</v>
      </c>
      <c r="AB6105">
        <v>41</v>
      </c>
      <c r="AC6105">
        <v>-0.509800000000041</v>
      </c>
      <c r="AD6105">
        <v>-0.2129788</v>
      </c>
      <c r="AE6105">
        <v>6.3100000000019904E-2</v>
      </c>
      <c r="AF6105">
        <v>6.2002492285141098E-2</v>
      </c>
      <c r="AG6105">
        <v>-0.2129788</v>
      </c>
      <c r="AH6105">
        <v>0.433933264109999</v>
      </c>
      <c r="AI6105">
        <v>115.913970068894</v>
      </c>
      <c r="AJ6105">
        <v>81.868341520087498</v>
      </c>
      <c r="AK6105">
        <v>0.48734213443962199</v>
      </c>
      <c r="AL6105">
        <v>90.725191379908395</v>
      </c>
      <c r="AM6105">
        <v>87.831984017528995</v>
      </c>
      <c r="AN6105">
        <v>1.0000000513682801</v>
      </c>
    </row>
    <row r="6106" spans="1:40" x14ac:dyDescent="0.25">
      <c r="A6106" t="str">
        <f>"20190312154044429"</f>
        <v>20190312154044429</v>
      </c>
      <c r="B6106" t="str">
        <f>"1552376444421784"</f>
        <v>1552376444421784</v>
      </c>
      <c r="C6106" t="s">
        <v>40</v>
      </c>
      <c r="D6106">
        <v>4.0028309999999996</v>
      </c>
      <c r="E6106">
        <v>0.53693900000000006</v>
      </c>
      <c r="F6106" t="s">
        <v>41</v>
      </c>
      <c r="G6106">
        <v>-267.32369999999997</v>
      </c>
      <c r="H6106">
        <v>0.90361579999999997</v>
      </c>
      <c r="I6106">
        <v>140.37469999999999</v>
      </c>
      <c r="J6106">
        <v>-266.87540000000001</v>
      </c>
      <c r="K6106">
        <v>1.1084689999999999</v>
      </c>
      <c r="L6106">
        <v>140.3125</v>
      </c>
      <c r="M6106">
        <v>-0.99979450000000003</v>
      </c>
      <c r="N6106">
        <v>0</v>
      </c>
      <c r="O6106">
        <v>-1.8116509999999999E-2</v>
      </c>
      <c r="P6106">
        <v>-0.99957669999999998</v>
      </c>
      <c r="Q6106">
        <v>-2.2046130000000001E-2</v>
      </c>
      <c r="R6106">
        <v>1.899818E-2</v>
      </c>
      <c r="S6106">
        <v>-2.9831539999999999</v>
      </c>
      <c r="T6106">
        <v>-0.69282049999999995</v>
      </c>
      <c r="U6106">
        <v>0.1849365</v>
      </c>
      <c r="V6106">
        <v>3.7081469999999998E-2</v>
      </c>
      <c r="W6106">
        <v>-1.300751E-2</v>
      </c>
      <c r="X6106">
        <v>0.99922759999999999</v>
      </c>
      <c r="Y6106">
        <v>7.7413650000000001E-2</v>
      </c>
      <c r="Z6106">
        <v>1.301215E-2</v>
      </c>
      <c r="AA6106">
        <v>0.99691410000000003</v>
      </c>
      <c r="AB6106">
        <v>41</v>
      </c>
      <c r="AC6106">
        <v>-0.44829999999996001</v>
      </c>
      <c r="AD6106">
        <v>-0.20485320000000001</v>
      </c>
      <c r="AE6106">
        <v>6.2199999999989999E-2</v>
      </c>
      <c r="AF6106">
        <v>5.8356560906468603E-2</v>
      </c>
      <c r="AG6106">
        <v>-0.20485320000000001</v>
      </c>
      <c r="AH6106">
        <v>0.37107862601564001</v>
      </c>
      <c r="AI6106">
        <v>118.605648172915</v>
      </c>
      <c r="AJ6106">
        <v>81.062749046737096</v>
      </c>
      <c r="AK6106">
        <v>0.42786641424249</v>
      </c>
      <c r="AL6106">
        <v>90.745296432572601</v>
      </c>
      <c r="AM6106">
        <v>87.874721211955702</v>
      </c>
      <c r="AN6106">
        <v>1.00000001366776</v>
      </c>
    </row>
    <row r="6107" spans="1:40" x14ac:dyDescent="0.25">
      <c r="A6107" t="str">
        <f>"20190312154044451"</f>
        <v>20190312154044451</v>
      </c>
      <c r="B6107" t="str">
        <f>"1552376444442281"</f>
        <v>1552376444442281</v>
      </c>
      <c r="C6107" t="s">
        <v>40</v>
      </c>
      <c r="D6107">
        <v>4.0333240000000004</v>
      </c>
      <c r="E6107">
        <v>0.53901969999999899</v>
      </c>
      <c r="F6107" t="s">
        <v>41</v>
      </c>
      <c r="G6107">
        <v>-267.70209999999997</v>
      </c>
      <c r="H6107">
        <v>0.92298570000000002</v>
      </c>
      <c r="I6107">
        <v>140.4034</v>
      </c>
      <c r="J6107">
        <v>-267.28710000000001</v>
      </c>
      <c r="K6107">
        <v>1.108563</v>
      </c>
      <c r="L6107">
        <v>140.3056</v>
      </c>
      <c r="M6107">
        <v>-0.9997992</v>
      </c>
      <c r="N6107">
        <v>0</v>
      </c>
      <c r="O6107">
        <v>-1.7482350000000001E-2</v>
      </c>
      <c r="P6107">
        <v>-0.99952839999999998</v>
      </c>
      <c r="Q6107">
        <v>-2.3572949999999999E-2</v>
      </c>
      <c r="R6107">
        <v>1.967994E-2</v>
      </c>
      <c r="S6107">
        <v>-2.9803160000000002</v>
      </c>
      <c r="T6107">
        <v>-0.66867319999999997</v>
      </c>
      <c r="U6107">
        <v>0.32656859999999999</v>
      </c>
      <c r="V6107">
        <v>3.7127260000000002E-2</v>
      </c>
      <c r="W6107">
        <v>-1.3842429999999999E-2</v>
      </c>
      <c r="X6107">
        <v>0.99921459999999995</v>
      </c>
      <c r="Y6107">
        <v>0.1228366</v>
      </c>
      <c r="Z6107">
        <v>1.743571E-2</v>
      </c>
      <c r="AA6107">
        <v>0.99227370000000004</v>
      </c>
      <c r="AB6107">
        <v>41</v>
      </c>
      <c r="AC6107">
        <v>-0.41499999999996301</v>
      </c>
      <c r="AD6107">
        <v>-0.185577299999999</v>
      </c>
      <c r="AE6107">
        <v>9.7800000000006507E-2</v>
      </c>
      <c r="AF6107">
        <v>8.8310676654037398E-2</v>
      </c>
      <c r="AG6107">
        <v>-0.185577299999999</v>
      </c>
      <c r="AH6107">
        <v>0.34741175663991197</v>
      </c>
      <c r="AI6107">
        <v>117.37091302311499</v>
      </c>
      <c r="AJ6107">
        <v>75.737710082913296</v>
      </c>
      <c r="AK6107">
        <v>0.403649152777525</v>
      </c>
      <c r="AL6107">
        <v>90.793138202097794</v>
      </c>
      <c r="AM6107">
        <v>87.872071566554695</v>
      </c>
      <c r="AN6107">
        <v>0.99999993157828304</v>
      </c>
    </row>
    <row r="6108" spans="1:40" x14ac:dyDescent="0.25">
      <c r="A6108" t="str">
        <f>"20190312154044473"</f>
        <v>20190312154044473</v>
      </c>
      <c r="B6108" t="str">
        <f>"1552376444461801"</f>
        <v>1552376444461801</v>
      </c>
      <c r="C6108" t="s">
        <v>40</v>
      </c>
      <c r="D6108">
        <v>4.041677</v>
      </c>
      <c r="E6108">
        <v>0.53987439999999998</v>
      </c>
      <c r="F6108" t="s">
        <v>41</v>
      </c>
      <c r="G6108">
        <v>-268.0727</v>
      </c>
      <c r="H6108">
        <v>0.92956070000000002</v>
      </c>
      <c r="I6108">
        <v>140.3965</v>
      </c>
      <c r="J6108">
        <v>-267.68920000000003</v>
      </c>
      <c r="K6108">
        <v>1.1086320000000001</v>
      </c>
      <c r="L6108">
        <v>140.29910000000001</v>
      </c>
      <c r="M6108">
        <v>-0.99980349999999996</v>
      </c>
      <c r="N6108">
        <v>0</v>
      </c>
      <c r="O6108">
        <v>-1.685973E-2</v>
      </c>
      <c r="P6108">
        <v>-0.99948219999999999</v>
      </c>
      <c r="Q6108">
        <v>-2.540545E-2</v>
      </c>
      <c r="R6108">
        <v>1.9750690000000001E-2</v>
      </c>
      <c r="S6108">
        <v>-2.9786380000000001</v>
      </c>
      <c r="T6108">
        <v>-0.67873660000000002</v>
      </c>
      <c r="U6108">
        <v>0.34494019999999997</v>
      </c>
      <c r="V6108">
        <v>3.6573120000000001E-2</v>
      </c>
      <c r="W6108">
        <v>-1.5044419999999999E-2</v>
      </c>
      <c r="X6108">
        <v>0.99921769999999999</v>
      </c>
      <c r="Y6108">
        <v>0.1280992</v>
      </c>
      <c r="Z6108">
        <v>1.8145950000000001E-2</v>
      </c>
      <c r="AA6108">
        <v>0.99159529999999996</v>
      </c>
      <c r="AB6108">
        <v>41</v>
      </c>
      <c r="AC6108">
        <v>-0.38349999999996898</v>
      </c>
      <c r="AD6108">
        <v>-0.17907129999999999</v>
      </c>
      <c r="AE6108">
        <v>9.73999999999932E-2</v>
      </c>
      <c r="AF6108">
        <v>8.6197232487691705E-2</v>
      </c>
      <c r="AG6108">
        <v>-0.17907129999999999</v>
      </c>
      <c r="AH6108">
        <v>0.31689632255015798</v>
      </c>
      <c r="AI6108">
        <v>118.60218679602001</v>
      </c>
      <c r="AJ6108">
        <v>74.783432087163206</v>
      </c>
      <c r="AK6108">
        <v>0.37405851496529402</v>
      </c>
      <c r="AL6108">
        <v>90.862014316583796</v>
      </c>
      <c r="AM6108">
        <v>87.903809745086903</v>
      </c>
      <c r="AN6108">
        <v>0.99999996983647998</v>
      </c>
    </row>
    <row r="6109" spans="1:40" x14ac:dyDescent="0.25">
      <c r="A6109" t="str">
        <f>"20190312154044494"</f>
        <v>20190312154044494</v>
      </c>
      <c r="B6109" t="str">
        <f>"1552376444482297"</f>
        <v>1552376444482297</v>
      </c>
      <c r="C6109" t="s">
        <v>40</v>
      </c>
      <c r="D6109">
        <v>4.0050019999999904</v>
      </c>
      <c r="E6109">
        <v>0.54011209999999998</v>
      </c>
      <c r="F6109" t="s">
        <v>41</v>
      </c>
      <c r="G6109">
        <v>-268.4418</v>
      </c>
      <c r="H6109">
        <v>0.9342144</v>
      </c>
      <c r="I6109">
        <v>140.38839999999999</v>
      </c>
      <c r="J6109">
        <v>-268.08300000000003</v>
      </c>
      <c r="K6109">
        <v>1.1086849999999999</v>
      </c>
      <c r="L6109">
        <v>140.29300000000001</v>
      </c>
      <c r="M6109">
        <v>-0.99980749999999996</v>
      </c>
      <c r="N6109">
        <v>0</v>
      </c>
      <c r="O6109">
        <v>-1.6252470000000001E-2</v>
      </c>
      <c r="P6109">
        <v>-0.9994265</v>
      </c>
      <c r="Q6109">
        <v>-2.678113E-2</v>
      </c>
      <c r="R6109">
        <v>2.0721429999999999E-2</v>
      </c>
      <c r="S6109">
        <v>-2.9770509999999999</v>
      </c>
      <c r="T6109">
        <v>-0.68991169999999902</v>
      </c>
      <c r="U6109">
        <v>0.3520355</v>
      </c>
      <c r="V6109">
        <v>3.6934849999999998E-2</v>
      </c>
      <c r="W6109">
        <v>-1.5859129999999999E-2</v>
      </c>
      <c r="X6109">
        <v>0.99919179999999996</v>
      </c>
      <c r="Y6109">
        <v>0.12973899999999999</v>
      </c>
      <c r="Z6109">
        <v>1.8492649999999999E-2</v>
      </c>
      <c r="AA6109">
        <v>0.99137569999999997</v>
      </c>
      <c r="AB6109">
        <v>41</v>
      </c>
      <c r="AC6109">
        <v>-0.35880000000002998</v>
      </c>
      <c r="AD6109">
        <v>-0.1744706</v>
      </c>
      <c r="AE6109">
        <v>9.5399999999983706E-2</v>
      </c>
      <c r="AF6109">
        <v>8.2909561204782295E-2</v>
      </c>
      <c r="AG6109">
        <v>-0.1744706</v>
      </c>
      <c r="AH6109">
        <v>0.29258758890869202</v>
      </c>
      <c r="AI6109">
        <v>119.84346217021501</v>
      </c>
      <c r="AJ6109">
        <v>74.179039688310198</v>
      </c>
      <c r="AK6109">
        <v>0.35060160123269701</v>
      </c>
      <c r="AL6109">
        <v>90.908699333403604</v>
      </c>
      <c r="AM6109">
        <v>87.883041119602396</v>
      </c>
      <c r="AN6109">
        <v>0.99999997416805897</v>
      </c>
    </row>
    <row r="6110" spans="1:40" x14ac:dyDescent="0.25">
      <c r="A6110" t="str">
        <f>"20190312154044518"</f>
        <v>20190312154044518</v>
      </c>
      <c r="B6110" t="str">
        <f>"1552376444512553"</f>
        <v>1552376444512553</v>
      </c>
      <c r="C6110" t="s">
        <v>40</v>
      </c>
      <c r="D6110">
        <v>4.0523899999999999</v>
      </c>
      <c r="E6110">
        <v>0.54006739999999998</v>
      </c>
      <c r="F6110" t="s">
        <v>41</v>
      </c>
      <c r="G6110">
        <v>-268.8109</v>
      </c>
      <c r="H6110">
        <v>0.93934859999999998</v>
      </c>
      <c r="I6110">
        <v>140.38050000000001</v>
      </c>
      <c r="J6110">
        <v>-268.50850000000003</v>
      </c>
      <c r="K6110">
        <v>1.108733</v>
      </c>
      <c r="L6110">
        <v>140.2867</v>
      </c>
      <c r="M6110">
        <v>-0.99981180000000003</v>
      </c>
      <c r="N6110">
        <v>0</v>
      </c>
      <c r="O6110">
        <v>-1.56019E-2</v>
      </c>
      <c r="P6110">
        <v>-0.99934639999999997</v>
      </c>
      <c r="Q6110">
        <v>-2.8713639999999999E-2</v>
      </c>
      <c r="R6110">
        <v>2.1964870000000001E-2</v>
      </c>
      <c r="S6110">
        <v>-2.9757690000000001</v>
      </c>
      <c r="T6110">
        <v>-0.69236679999999995</v>
      </c>
      <c r="U6110">
        <v>0.35691830000000002</v>
      </c>
      <c r="V6110">
        <v>3.7524519999999999E-2</v>
      </c>
      <c r="W6110">
        <v>-1.7246930000000001E-2</v>
      </c>
      <c r="X6110">
        <v>0.99914689999999995</v>
      </c>
      <c r="Y6110">
        <v>0.1307102</v>
      </c>
      <c r="Z6110">
        <v>1.8525010000000001E-2</v>
      </c>
      <c r="AA6110">
        <v>0.99124749999999995</v>
      </c>
      <c r="AB6110">
        <v>41</v>
      </c>
      <c r="AC6110">
        <v>-0.30239999999997702</v>
      </c>
      <c r="AD6110">
        <v>-0.16938439999999999</v>
      </c>
      <c r="AE6110">
        <v>9.3800000000015801E-2</v>
      </c>
      <c r="AF6110">
        <v>7.6586848350252104E-2</v>
      </c>
      <c r="AG6110">
        <v>-0.16938439999999999</v>
      </c>
      <c r="AH6110">
        <v>0.23394251832809199</v>
      </c>
      <c r="AI6110">
        <v>124.532151191672</v>
      </c>
      <c r="AJ6110">
        <v>71.872865514226405</v>
      </c>
      <c r="AK6110">
        <v>0.29880716555209003</v>
      </c>
      <c r="AL6110">
        <v>90.988225258486594</v>
      </c>
      <c r="AM6110">
        <v>87.849178508588807</v>
      </c>
      <c r="AN6110">
        <v>1.0000000369876301</v>
      </c>
    </row>
    <row r="6111" spans="1:40" x14ac:dyDescent="0.25">
      <c r="A6111" t="str">
        <f>"20190312154044540"</f>
        <v>20190312154044540</v>
      </c>
      <c r="B6111" t="str">
        <f>"1552376444532073"</f>
        <v>1552376444532073</v>
      </c>
      <c r="C6111" t="s">
        <v>40</v>
      </c>
      <c r="D6111">
        <v>4.0184730000000002</v>
      </c>
      <c r="E6111">
        <v>0.53997109999999904</v>
      </c>
      <c r="F6111" t="s">
        <v>41</v>
      </c>
      <c r="G6111">
        <v>-269.51569999999998</v>
      </c>
      <c r="H6111">
        <v>0.87263250000000003</v>
      </c>
      <c r="I6111">
        <v>140.4091</v>
      </c>
      <c r="J6111">
        <v>-268.91829999999999</v>
      </c>
      <c r="K6111">
        <v>1.108762</v>
      </c>
      <c r="L6111">
        <v>140.2809</v>
      </c>
      <c r="M6111">
        <v>-0.99981580000000003</v>
      </c>
      <c r="N6111">
        <v>0</v>
      </c>
      <c r="O6111">
        <v>-1.497826E-2</v>
      </c>
      <c r="P6111">
        <v>-0.99929259999999998</v>
      </c>
      <c r="Q6111">
        <v>-2.9536949999999999E-2</v>
      </c>
      <c r="R6111">
        <v>2.3282290000000001E-2</v>
      </c>
      <c r="S6111">
        <v>-2.9739689999999999</v>
      </c>
      <c r="T6111">
        <v>-0.69715260000000001</v>
      </c>
      <c r="U6111">
        <v>0.36073300000000003</v>
      </c>
      <c r="V6111">
        <v>3.8217420000000002E-2</v>
      </c>
      <c r="W6111">
        <v>-1.7606900000000002E-2</v>
      </c>
      <c r="X6111">
        <v>0.99911430000000001</v>
      </c>
      <c r="Y6111">
        <v>0.13135910000000001</v>
      </c>
      <c r="Z6111">
        <v>1.8590280000000001E-2</v>
      </c>
      <c r="AA6111">
        <v>0.9911605</v>
      </c>
      <c r="AB6111">
        <v>41</v>
      </c>
      <c r="AC6111">
        <v>-0.59739999999999305</v>
      </c>
      <c r="AD6111">
        <v>-0.23612949999999999</v>
      </c>
      <c r="AE6111">
        <v>0.12819999999999199</v>
      </c>
      <c r="AF6111">
        <v>0.11931421577682801</v>
      </c>
      <c r="AG6111">
        <v>-0.23612949999999999</v>
      </c>
      <c r="AH6111">
        <v>0.51804110233027301</v>
      </c>
      <c r="AI6111">
        <v>113.949995663661</v>
      </c>
      <c r="AJ6111">
        <v>77.029929403207603</v>
      </c>
      <c r="AK6111">
        <v>0.58168686297719896</v>
      </c>
      <c r="AL6111">
        <v>91.008853210355298</v>
      </c>
      <c r="AM6111">
        <v>87.809429965997296</v>
      </c>
      <c r="AN6111">
        <v>0.99999997929177797</v>
      </c>
    </row>
    <row r="6112" spans="1:40" x14ac:dyDescent="0.25">
      <c r="A6112" t="str">
        <f>"20190312154044562"</f>
        <v>20190312154044562</v>
      </c>
      <c r="B6112" t="str">
        <f>"1552376444552569"</f>
        <v>1552376444552569</v>
      </c>
      <c r="C6112" t="s">
        <v>40</v>
      </c>
      <c r="D6112">
        <v>4.0661610000000001</v>
      </c>
      <c r="E6112">
        <v>0.53987769999999902</v>
      </c>
      <c r="F6112" t="s">
        <v>41</v>
      </c>
      <c r="G6112">
        <v>-269.88459999999998</v>
      </c>
      <c r="H6112">
        <v>0.88164129999999996</v>
      </c>
      <c r="I6112">
        <v>140.3991</v>
      </c>
      <c r="J6112">
        <v>-269.31720000000001</v>
      </c>
      <c r="K6112">
        <v>1.108778</v>
      </c>
      <c r="L6112">
        <v>140.27549999999999</v>
      </c>
      <c r="M6112">
        <v>-0.99981980000000004</v>
      </c>
      <c r="N6112">
        <v>0</v>
      </c>
      <c r="O6112">
        <v>-1.43705E-2</v>
      </c>
      <c r="P6112">
        <v>-0.99922509999999998</v>
      </c>
      <c r="Q6112">
        <v>-3.105805E-2</v>
      </c>
      <c r="R6112">
        <v>2.4179099999999999E-2</v>
      </c>
      <c r="S6112">
        <v>-2.9729920000000001</v>
      </c>
      <c r="T6112">
        <v>-0.69878490000000004</v>
      </c>
      <c r="U6112">
        <v>0.36364750000000001</v>
      </c>
      <c r="V6112">
        <v>3.8504129999999998E-2</v>
      </c>
      <c r="W6112">
        <v>-1.872712E-2</v>
      </c>
      <c r="X6112">
        <v>0.9990829</v>
      </c>
      <c r="Y6112">
        <v>0.131739299999999</v>
      </c>
      <c r="Z6112">
        <v>1.854099E-2</v>
      </c>
      <c r="AA6112">
        <v>0.99111099999999996</v>
      </c>
      <c r="AB6112">
        <v>41</v>
      </c>
      <c r="AC6112">
        <v>-0.56739999999996305</v>
      </c>
      <c r="AD6112">
        <v>-0.2271367</v>
      </c>
      <c r="AE6112">
        <v>0.12360000000000999</v>
      </c>
      <c r="AF6112">
        <v>0.114260956071485</v>
      </c>
      <c r="AG6112">
        <v>-0.2271367</v>
      </c>
      <c r="AH6112">
        <v>0.49052056783077402</v>
      </c>
      <c r="AI6112">
        <v>114.27436830862101</v>
      </c>
      <c r="AJ6112">
        <v>76.887452536149198</v>
      </c>
      <c r="AK6112">
        <v>0.55250074573188102</v>
      </c>
      <c r="AL6112">
        <v>91.073047711283294</v>
      </c>
      <c r="AM6112">
        <v>87.792943038404701</v>
      </c>
      <c r="AN6112">
        <v>0.99999995706147904</v>
      </c>
    </row>
    <row r="6113" spans="1:40" x14ac:dyDescent="0.25">
      <c r="A6113" t="str">
        <f>"20190312154044575"</f>
        <v>20190312154044575</v>
      </c>
      <c r="B6113" t="str">
        <f>"1552376444562329"</f>
        <v>1552376444562329</v>
      </c>
      <c r="C6113" t="s">
        <v>40</v>
      </c>
      <c r="D6113">
        <v>4.0587519999999904</v>
      </c>
      <c r="E6113">
        <v>0.53995289999999996</v>
      </c>
      <c r="F6113" t="s">
        <v>41</v>
      </c>
      <c r="G6113">
        <v>-270.25189999999998</v>
      </c>
      <c r="H6113">
        <v>0.8878646</v>
      </c>
      <c r="I6113">
        <v>140.3905</v>
      </c>
      <c r="J6113">
        <v>-269.55829999999997</v>
      </c>
      <c r="K6113">
        <v>1.108786</v>
      </c>
      <c r="L6113">
        <v>140.2723</v>
      </c>
      <c r="M6113">
        <v>-0.99982210000000005</v>
      </c>
      <c r="N6113">
        <v>0</v>
      </c>
      <c r="O6113">
        <v>-1.4002529999999999E-2</v>
      </c>
      <c r="P6113">
        <v>-0.99919069999999999</v>
      </c>
      <c r="Q6113">
        <v>-3.1688010000000003E-2</v>
      </c>
      <c r="R6113">
        <v>2.4769469999999998E-2</v>
      </c>
      <c r="S6113">
        <v>-2.9716490000000002</v>
      </c>
      <c r="T6113">
        <v>-0.702291</v>
      </c>
      <c r="U6113">
        <v>0.365448</v>
      </c>
      <c r="V6113">
        <v>3.8725790000000003E-2</v>
      </c>
      <c r="W6113">
        <v>-1.9135240000000001E-2</v>
      </c>
      <c r="X6113">
        <v>0.99906669999999997</v>
      </c>
      <c r="Y6113">
        <v>0.1319816</v>
      </c>
      <c r="Z6113">
        <v>1.858168E-2</v>
      </c>
      <c r="AA6113">
        <v>0.99107800000000001</v>
      </c>
      <c r="AB6113">
        <v>41</v>
      </c>
      <c r="AC6113">
        <v>-0.69360000000000299</v>
      </c>
      <c r="AD6113">
        <v>-0.22092139999999999</v>
      </c>
      <c r="AE6113">
        <v>0.118200000000001</v>
      </c>
      <c r="AF6113">
        <v>0.116423378370426</v>
      </c>
      <c r="AG6113">
        <v>-0.22092139999999999</v>
      </c>
      <c r="AH6113">
        <v>0.62978722010412302</v>
      </c>
      <c r="AI6113">
        <v>109.031509752654</v>
      </c>
      <c r="AJ6113">
        <v>79.526457706797203</v>
      </c>
      <c r="AK6113">
        <v>0.67748993395889101</v>
      </c>
      <c r="AL6113">
        <v>91.0964353470372</v>
      </c>
      <c r="AM6113">
        <v>87.780214201713704</v>
      </c>
      <c r="AN6113">
        <v>1.0000000576349299</v>
      </c>
    </row>
    <row r="6114" spans="1:40" x14ac:dyDescent="0.25">
      <c r="A6114" t="str">
        <f>"20190312154044588"</f>
        <v>20190312154044588</v>
      </c>
      <c r="B6114" t="str">
        <f>"1552376444581849"</f>
        <v>1552376444581849</v>
      </c>
      <c r="C6114" t="s">
        <v>40</v>
      </c>
      <c r="D6114">
        <v>4.0668670000000002</v>
      </c>
      <c r="E6114">
        <v>0.54652489999999998</v>
      </c>
      <c r="F6114" t="s">
        <v>41</v>
      </c>
      <c r="G6114">
        <v>-270.27339999999998</v>
      </c>
      <c r="H6114">
        <v>0.93926759999999998</v>
      </c>
      <c r="I6114">
        <v>140.36089999999999</v>
      </c>
      <c r="J6114">
        <v>-269.78620000000001</v>
      </c>
      <c r="K6114">
        <v>1.1087929999999999</v>
      </c>
      <c r="L6114">
        <v>140.26949999999999</v>
      </c>
      <c r="M6114">
        <v>-0.99982459999999995</v>
      </c>
      <c r="N6114">
        <v>0</v>
      </c>
      <c r="O6114">
        <v>-1.365384E-2</v>
      </c>
      <c r="P6114">
        <v>-0.99915200000000004</v>
      </c>
      <c r="Q6114">
        <v>-3.2451979999999998E-2</v>
      </c>
      <c r="R6114">
        <v>2.5345139999999999E-2</v>
      </c>
      <c r="S6114">
        <v>-2.9709469999999998</v>
      </c>
      <c r="T6114">
        <v>-0.70435729999999996</v>
      </c>
      <c r="U6114">
        <v>0.36788939999999998</v>
      </c>
      <c r="V6114">
        <v>3.895183E-2</v>
      </c>
      <c r="W6114">
        <v>-1.9709299999999999E-2</v>
      </c>
      <c r="X6114">
        <v>0.99904669999999896</v>
      </c>
      <c r="Y6114">
        <v>0.13243940000000001</v>
      </c>
      <c r="Z6114">
        <v>1.8610310000000001E-2</v>
      </c>
      <c r="AA6114">
        <v>0.99101640000000002</v>
      </c>
      <c r="AB6114">
        <v>41</v>
      </c>
      <c r="AC6114">
        <v>-0.48719999999997199</v>
      </c>
      <c r="AD6114">
        <v>-0.16952539999999999</v>
      </c>
      <c r="AE6114">
        <v>9.1399999999993001E-2</v>
      </c>
      <c r="AF6114">
        <v>8.7777790200495504E-2</v>
      </c>
      <c r="AG6114">
        <v>-0.16952539999999999</v>
      </c>
      <c r="AH6114">
        <v>0.43502634945327301</v>
      </c>
      <c r="AI6114">
        <v>110.906428685978</v>
      </c>
      <c r="AJ6114">
        <v>78.592268410234496</v>
      </c>
      <c r="AK6114">
        <v>0.47507023314062002</v>
      </c>
      <c r="AL6114">
        <v>91.129332825476695</v>
      </c>
      <c r="AM6114">
        <v>87.7672258746408</v>
      </c>
      <c r="AN6114">
        <v>1.00000000517386</v>
      </c>
    </row>
    <row r="6115" spans="1:40" x14ac:dyDescent="0.25">
      <c r="A6115" t="str">
        <f>"20190312154044601"</f>
        <v>20190312154044601</v>
      </c>
      <c r="B6115" t="str">
        <f>"1552376444592586"</f>
        <v>1552376444592586</v>
      </c>
      <c r="C6115" t="s">
        <v>40</v>
      </c>
      <c r="D6115">
        <v>4.05349</v>
      </c>
      <c r="E6115">
        <v>0.54595389999999999</v>
      </c>
      <c r="F6115" t="s">
        <v>41</v>
      </c>
      <c r="G6115">
        <v>-270.62259999999998</v>
      </c>
      <c r="H6115">
        <v>0.90173320000000001</v>
      </c>
      <c r="I6115">
        <v>140.38829999999999</v>
      </c>
      <c r="J6115">
        <v>-270.02440000000001</v>
      </c>
      <c r="K6115">
        <v>1.1088020000000001</v>
      </c>
      <c r="L6115">
        <v>140.26650000000001</v>
      </c>
      <c r="M6115">
        <v>-0.99982709999999997</v>
      </c>
      <c r="N6115">
        <v>0</v>
      </c>
      <c r="O6115">
        <v>-1.328884E-2</v>
      </c>
      <c r="P6115">
        <v>-0.99912829999999997</v>
      </c>
      <c r="Q6115">
        <v>-3.2889340000000003E-2</v>
      </c>
      <c r="R6115">
        <v>2.5707310000000001E-2</v>
      </c>
      <c r="S6115">
        <v>-2.9679869999999999</v>
      </c>
      <c r="T6115">
        <v>-0.73478619999999994</v>
      </c>
      <c r="U6115">
        <v>0.42100520000000002</v>
      </c>
      <c r="V6115">
        <v>3.8948730000000001E-2</v>
      </c>
      <c r="W6115">
        <v>-1.9957369999999999E-2</v>
      </c>
      <c r="X6115">
        <v>0.99904190000000004</v>
      </c>
      <c r="Y6115">
        <v>0.14878839999999999</v>
      </c>
      <c r="Z6115">
        <v>2.1283980000000001E-2</v>
      </c>
      <c r="AA6115">
        <v>0.98863999999999996</v>
      </c>
      <c r="AB6115">
        <v>41</v>
      </c>
      <c r="AC6115">
        <v>-0.59819999999996298</v>
      </c>
      <c r="AD6115">
        <v>-0.2070688</v>
      </c>
      <c r="AE6115">
        <v>0.12179999999997899</v>
      </c>
      <c r="AF6115">
        <v>0.116352666709667</v>
      </c>
      <c r="AG6115">
        <v>-0.2070688</v>
      </c>
      <c r="AH6115">
        <v>0.53497803891211504</v>
      </c>
      <c r="AI6115">
        <v>110.717543109508</v>
      </c>
      <c r="AJ6115">
        <v>77.729796755401097</v>
      </c>
      <c r="AK6115">
        <v>0.58533488970173597</v>
      </c>
      <c r="AL6115">
        <v>91.1435489813244</v>
      </c>
      <c r="AM6115">
        <v>87.767392675325993</v>
      </c>
      <c r="AN6115">
        <v>1.0000000090707699</v>
      </c>
    </row>
    <row r="6116" spans="1:40" x14ac:dyDescent="0.25">
      <c r="A6116" t="str">
        <f>"20190312154044618"</f>
        <v>20190312154044618</v>
      </c>
      <c r="B6116" t="str">
        <f>"1552376444612105"</f>
        <v>1552376444612105</v>
      </c>
      <c r="C6116" t="s">
        <v>40</v>
      </c>
      <c r="D6116">
        <v>4.1046760000000004</v>
      </c>
      <c r="E6116">
        <v>0.54557749999999905</v>
      </c>
      <c r="F6116" t="s">
        <v>41</v>
      </c>
      <c r="G6116">
        <v>-270.97669999999999</v>
      </c>
      <c r="H6116">
        <v>0.87611839999999996</v>
      </c>
      <c r="I6116">
        <v>140.4007</v>
      </c>
      <c r="J6116">
        <v>-270.35300000000001</v>
      </c>
      <c r="K6116">
        <v>1.1088169999999999</v>
      </c>
      <c r="L6116">
        <v>140.26259999999999</v>
      </c>
      <c r="M6116">
        <v>-0.99983069999999996</v>
      </c>
      <c r="N6116">
        <v>0</v>
      </c>
      <c r="O6116">
        <v>-1.2784790000000001E-2</v>
      </c>
      <c r="P6116">
        <v>-0.999116</v>
      </c>
      <c r="Q6116">
        <v>-3.2952929999999998E-2</v>
      </c>
      <c r="R6116">
        <v>2.6110999999999999E-2</v>
      </c>
      <c r="S6116">
        <v>-2.9679570000000002</v>
      </c>
      <c r="T6116">
        <v>-0.7251187</v>
      </c>
      <c r="U6116">
        <v>0.41795349999999998</v>
      </c>
      <c r="V6116">
        <v>3.8849359999999999E-2</v>
      </c>
      <c r="W6116">
        <v>-1.9784010000000001E-2</v>
      </c>
      <c r="X6116">
        <v>0.99904919999999997</v>
      </c>
      <c r="Y6116">
        <v>0.1474704</v>
      </c>
      <c r="Z6116">
        <v>2.073477E-2</v>
      </c>
      <c r="AA6116">
        <v>0.98884910000000004</v>
      </c>
      <c r="AB6116">
        <v>41</v>
      </c>
      <c r="AC6116">
        <v>-0.62369999999998504</v>
      </c>
      <c r="AD6116">
        <v>-0.23269859999999901</v>
      </c>
      <c r="AE6116">
        <v>0.13810000000000799</v>
      </c>
      <c r="AF6116">
        <v>0.12895217855729499</v>
      </c>
      <c r="AG6116">
        <v>-0.23269859999999901</v>
      </c>
      <c r="AH6116">
        <v>0.54903054634738602</v>
      </c>
      <c r="AI6116">
        <v>112.421408000349</v>
      </c>
      <c r="AJ6116">
        <v>76.782371745021905</v>
      </c>
      <c r="AK6116">
        <v>0.61009166820990202</v>
      </c>
      <c r="AL6116">
        <v>91.133614242972897</v>
      </c>
      <c r="AM6116">
        <v>87.773099245929401</v>
      </c>
      <c r="AN6116">
        <v>0.999999991922364</v>
      </c>
    </row>
    <row r="6117" spans="1:40" x14ac:dyDescent="0.25">
      <c r="A6117" t="str">
        <f>"20190312154044642"</f>
        <v>20190312154044642</v>
      </c>
      <c r="B6117" t="str">
        <f>"1552376444632602"</f>
        <v>1552376444632602</v>
      </c>
      <c r="C6117" t="s">
        <v>40</v>
      </c>
      <c r="D6117">
        <v>4.0785489999999998</v>
      </c>
      <c r="E6117">
        <v>0.54502209999999995</v>
      </c>
      <c r="F6117" t="s">
        <v>41</v>
      </c>
      <c r="G6117">
        <v>-271.33710000000002</v>
      </c>
      <c r="H6117">
        <v>0.86807999999999996</v>
      </c>
      <c r="I6117">
        <v>140.4007</v>
      </c>
      <c r="J6117">
        <v>-270.76549999999997</v>
      </c>
      <c r="K6117">
        <v>1.1088290000000001</v>
      </c>
      <c r="L6117">
        <v>140.25790000000001</v>
      </c>
      <c r="M6117">
        <v>-0.99983500000000003</v>
      </c>
      <c r="N6117">
        <v>0</v>
      </c>
      <c r="O6117">
        <v>-1.2151449999999999E-2</v>
      </c>
      <c r="P6117">
        <v>-0.9991179</v>
      </c>
      <c r="Q6117">
        <v>-3.2420860000000003E-2</v>
      </c>
      <c r="R6117">
        <v>2.669382E-2</v>
      </c>
      <c r="S6117">
        <v>-2.9678339999999999</v>
      </c>
      <c r="T6117">
        <v>-0.72601039999999994</v>
      </c>
      <c r="U6117">
        <v>0.4161377</v>
      </c>
      <c r="V6117">
        <v>3.8800969999999997E-2</v>
      </c>
      <c r="W6117">
        <v>-1.8992149999999999E-2</v>
      </c>
      <c r="X6117">
        <v>0.99906649999999997</v>
      </c>
      <c r="Y6117">
        <v>0.14629690000000001</v>
      </c>
      <c r="Z6117">
        <v>2.0468400000000001E-2</v>
      </c>
      <c r="AA6117">
        <v>0.98902889999999999</v>
      </c>
      <c r="AB6117">
        <v>41</v>
      </c>
      <c r="AC6117">
        <v>-0.57160000000004596</v>
      </c>
      <c r="AD6117">
        <v>-0.24074899999999999</v>
      </c>
      <c r="AE6117">
        <v>0.14279999999999399</v>
      </c>
      <c r="AF6117">
        <v>0.12831111386871399</v>
      </c>
      <c r="AG6117">
        <v>-0.24074899999999999</v>
      </c>
      <c r="AH6117">
        <v>0.48829017277297398</v>
      </c>
      <c r="AI6117">
        <v>115.494418321967</v>
      </c>
      <c r="AJ6117">
        <v>75.2768836273803</v>
      </c>
      <c r="AK6117">
        <v>0.55933095370262798</v>
      </c>
      <c r="AL6117">
        <v>91.088235418838195</v>
      </c>
      <c r="AM6117">
        <v>87.775908717125802</v>
      </c>
      <c r="AN6117">
        <v>1.0000000442284001</v>
      </c>
    </row>
    <row r="6118" spans="1:40" x14ac:dyDescent="0.25">
      <c r="A6118" t="str">
        <f>"20190312154044662"</f>
        <v>20190312154044662</v>
      </c>
      <c r="B6118" t="str">
        <f>"1552376444652121"</f>
        <v>1552376444652121</v>
      </c>
      <c r="C6118" t="s">
        <v>40</v>
      </c>
      <c r="D6118">
        <v>4.0794040000000003</v>
      </c>
      <c r="E6118">
        <v>0.54473719999999903</v>
      </c>
      <c r="F6118" t="s">
        <v>41</v>
      </c>
      <c r="G6118">
        <v>-271.70519999999999</v>
      </c>
      <c r="H6118">
        <v>0.88058499999999995</v>
      </c>
      <c r="I6118">
        <v>140.38900000000001</v>
      </c>
      <c r="J6118">
        <v>-271.14960000000002</v>
      </c>
      <c r="K6118">
        <v>1.108846</v>
      </c>
      <c r="L6118">
        <v>140.25380000000001</v>
      </c>
      <c r="M6118">
        <v>-0.99983920000000004</v>
      </c>
      <c r="N6118">
        <v>0</v>
      </c>
      <c r="O6118">
        <v>-1.156136E-2</v>
      </c>
      <c r="P6118">
        <v>-0.99911019999999995</v>
      </c>
      <c r="Q6118">
        <v>-3.25014E-2</v>
      </c>
      <c r="R6118">
        <v>2.688221E-2</v>
      </c>
      <c r="S6118">
        <v>-2.9682010000000001</v>
      </c>
      <c r="T6118">
        <v>-0.72087819999999903</v>
      </c>
      <c r="U6118">
        <v>0.41345209999999999</v>
      </c>
      <c r="V6118">
        <v>3.8400259999999999E-2</v>
      </c>
      <c r="W6118">
        <v>-1.8860769999999999E-2</v>
      </c>
      <c r="X6118">
        <v>0.99908439999999998</v>
      </c>
      <c r="Y6118">
        <v>0.1449387</v>
      </c>
      <c r="Z6118">
        <v>2.002406E-2</v>
      </c>
      <c r="AA6118">
        <v>0.98923799999999995</v>
      </c>
      <c r="AB6118">
        <v>41</v>
      </c>
      <c r="AC6118">
        <v>-0.55559999999996901</v>
      </c>
      <c r="AD6118">
        <v>-0.22826099999999899</v>
      </c>
      <c r="AE6118">
        <v>0.13519999999999699</v>
      </c>
      <c r="AF6118">
        <v>0.122150279360961</v>
      </c>
      <c r="AG6118">
        <v>-0.22826099999999899</v>
      </c>
      <c r="AH6118">
        <v>0.47785319711917801</v>
      </c>
      <c r="AI6118">
        <v>114.834655032805</v>
      </c>
      <c r="AJ6118">
        <v>75.6609359562284</v>
      </c>
      <c r="AK6118">
        <v>0.54347718707042403</v>
      </c>
      <c r="AL6118">
        <v>91.080706627551507</v>
      </c>
      <c r="AM6118">
        <v>87.798894304771807</v>
      </c>
      <c r="AN6118">
        <v>0.99999997346820901</v>
      </c>
    </row>
    <row r="6119" spans="1:40" x14ac:dyDescent="0.25">
      <c r="A6119" t="str">
        <f>"20190312154044676"</f>
        <v>20190312154044676</v>
      </c>
      <c r="B6119" t="str">
        <f>"1552376444661881"</f>
        <v>1552376444661881</v>
      </c>
      <c r="C6119" t="s">
        <v>40</v>
      </c>
      <c r="D6119">
        <v>4.0908579999999999</v>
      </c>
      <c r="E6119">
        <v>0.54460790000000003</v>
      </c>
      <c r="F6119" t="s">
        <v>41</v>
      </c>
      <c r="G6119">
        <v>-272.06990000000002</v>
      </c>
      <c r="H6119">
        <v>0.88546919999999996</v>
      </c>
      <c r="I6119">
        <v>140.3817</v>
      </c>
      <c r="J6119">
        <v>-271.39839999999998</v>
      </c>
      <c r="K6119">
        <v>1.108857</v>
      </c>
      <c r="L6119">
        <v>140.25120000000001</v>
      </c>
      <c r="M6119">
        <v>-0.9998418</v>
      </c>
      <c r="N6119">
        <v>0</v>
      </c>
      <c r="O6119">
        <v>-1.11796E-2</v>
      </c>
      <c r="P6119">
        <v>-0.99909899999999996</v>
      </c>
      <c r="Q6119">
        <v>-3.252186E-2</v>
      </c>
      <c r="R6119">
        <v>2.727479E-2</v>
      </c>
      <c r="S6119">
        <v>-2.9681700000000002</v>
      </c>
      <c r="T6119">
        <v>-0.72047280000000002</v>
      </c>
      <c r="U6119">
        <v>0.41180420000000001</v>
      </c>
      <c r="V6119">
        <v>3.8411639999999997E-2</v>
      </c>
      <c r="W6119">
        <v>-1.8757139999999999E-2</v>
      </c>
      <c r="X6119">
        <v>0.99908600000000003</v>
      </c>
      <c r="Y6119">
        <v>0.144064</v>
      </c>
      <c r="Z6119">
        <v>1.981892E-2</v>
      </c>
      <c r="AA6119">
        <v>0.98936990000000002</v>
      </c>
      <c r="AB6119">
        <v>41</v>
      </c>
      <c r="AC6119">
        <v>-0.67150000000003696</v>
      </c>
      <c r="AD6119">
        <v>-0.2233878</v>
      </c>
      <c r="AE6119">
        <v>0.13049999999998299</v>
      </c>
      <c r="AF6119">
        <v>0.124701321820136</v>
      </c>
      <c r="AG6119">
        <v>-0.2233878</v>
      </c>
      <c r="AH6119">
        <v>0.60543448383777299</v>
      </c>
      <c r="AI6119">
        <v>109.86909773602299</v>
      </c>
      <c r="AJ6119">
        <v>78.361550192345206</v>
      </c>
      <c r="AK6119">
        <v>0.65726968823492804</v>
      </c>
      <c r="AL6119">
        <v>91.074767922299102</v>
      </c>
      <c r="AM6119">
        <v>87.798246166796105</v>
      </c>
      <c r="AN6119">
        <v>1.0000000598922301</v>
      </c>
    </row>
    <row r="6120" spans="1:40" x14ac:dyDescent="0.25">
      <c r="A6120" t="str">
        <f>"20190312154044696"</f>
        <v>20190312154044696</v>
      </c>
      <c r="B6120" t="str">
        <f>"1552376444682376"</f>
        <v>1552376444682376</v>
      </c>
      <c r="C6120" t="s">
        <v>40</v>
      </c>
      <c r="D6120">
        <v>4.1266920000000002</v>
      </c>
      <c r="E6120">
        <v>0.54490499999999997</v>
      </c>
      <c r="F6120" t="s">
        <v>41</v>
      </c>
      <c r="G6120">
        <v>-272.09269999999998</v>
      </c>
      <c r="H6120">
        <v>0.9405211</v>
      </c>
      <c r="I6120">
        <v>140.34780000000001</v>
      </c>
      <c r="J6120">
        <v>-271.7473</v>
      </c>
      <c r="K6120">
        <v>1.108868</v>
      </c>
      <c r="L6120">
        <v>140.24780000000001</v>
      </c>
      <c r="M6120">
        <v>-0.9998454</v>
      </c>
      <c r="N6120">
        <v>0</v>
      </c>
      <c r="O6120">
        <v>-1.0644259999999999E-2</v>
      </c>
      <c r="P6120">
        <v>-0.99906799999999996</v>
      </c>
      <c r="Q6120">
        <v>-3.3093640000000001E-2</v>
      </c>
      <c r="R6120">
        <v>2.7714030000000001E-2</v>
      </c>
      <c r="S6120">
        <v>-2.968048</v>
      </c>
      <c r="T6120">
        <v>-0.71952879999999997</v>
      </c>
      <c r="U6120">
        <v>0.41178890000000001</v>
      </c>
      <c r="V6120">
        <v>3.8315040000000002E-2</v>
      </c>
      <c r="W6120">
        <v>-1.9175399999999999E-2</v>
      </c>
      <c r="X6120">
        <v>0.99908169999999996</v>
      </c>
      <c r="Y6120">
        <v>0.14357529999999999</v>
      </c>
      <c r="Z6120">
        <v>1.960895E-2</v>
      </c>
      <c r="AA6120">
        <v>0.98944509999999997</v>
      </c>
      <c r="AB6120">
        <v>41</v>
      </c>
      <c r="AC6120">
        <v>-0.345399999999983</v>
      </c>
      <c r="AD6120">
        <v>-0.16834689999999999</v>
      </c>
      <c r="AE6120">
        <v>9.9999999999994302E-2</v>
      </c>
      <c r="AF6120">
        <v>8.50333215641908E-2</v>
      </c>
      <c r="AG6120">
        <v>-0.16834689999999999</v>
      </c>
      <c r="AH6120">
        <v>0.28241515973498399</v>
      </c>
      <c r="AI6120">
        <v>119.71710087424501</v>
      </c>
      <c r="AJ6120">
        <v>73.243302127281197</v>
      </c>
      <c r="AK6120">
        <v>0.33960221872653501</v>
      </c>
      <c r="AL6120">
        <v>91.098736841155798</v>
      </c>
      <c r="AM6120">
        <v>87.803768403194397</v>
      </c>
      <c r="AN6120">
        <v>0.99999999076512502</v>
      </c>
    </row>
    <row r="6121" spans="1:40" x14ac:dyDescent="0.25">
      <c r="A6121" t="str">
        <f>"20190312154044709"</f>
        <v>20190312154044709</v>
      </c>
      <c r="B6121" t="str">
        <f>"1552376444701897"</f>
        <v>1552376444701897</v>
      </c>
      <c r="C6121" t="s">
        <v>40</v>
      </c>
      <c r="D6121">
        <v>4.1302940000000001</v>
      </c>
      <c r="E6121">
        <v>0.54507629999999996</v>
      </c>
      <c r="F6121" t="s">
        <v>41</v>
      </c>
      <c r="G6121">
        <v>-272.45350000000002</v>
      </c>
      <c r="H6121">
        <v>0.9366276</v>
      </c>
      <c r="I6121">
        <v>140.3467</v>
      </c>
      <c r="J6121">
        <v>-271.9896</v>
      </c>
      <c r="K6121">
        <v>1.1088769999999999</v>
      </c>
      <c r="L6121">
        <v>140.2456</v>
      </c>
      <c r="M6121">
        <v>-0.99984799999999996</v>
      </c>
      <c r="N6121">
        <v>0</v>
      </c>
      <c r="O6121">
        <v>-1.027199E-2</v>
      </c>
      <c r="P6121">
        <v>-0.99903039999999999</v>
      </c>
      <c r="Q6121">
        <v>-3.3747880000000001E-2</v>
      </c>
      <c r="R6121">
        <v>2.827269E-2</v>
      </c>
      <c r="S6121">
        <v>-2.9673159999999998</v>
      </c>
      <c r="T6121">
        <v>-0.7236842</v>
      </c>
      <c r="U6121">
        <v>0.4153442</v>
      </c>
      <c r="V6121">
        <v>3.8500609999999998E-2</v>
      </c>
      <c r="W6121">
        <v>-1.9735849999999999E-2</v>
      </c>
      <c r="X6121">
        <v>0.9990637</v>
      </c>
      <c r="Y6121">
        <v>0.14434060000000001</v>
      </c>
      <c r="Z6121">
        <v>1.972461E-2</v>
      </c>
      <c r="AA6121">
        <v>0.98933139999999997</v>
      </c>
      <c r="AB6121">
        <v>41</v>
      </c>
      <c r="AC6121">
        <v>-0.46390000000002302</v>
      </c>
      <c r="AD6121">
        <v>-0.1722494</v>
      </c>
      <c r="AE6121">
        <v>0.10110000000000199</v>
      </c>
      <c r="AF6121">
        <v>9.3547767181640595E-2</v>
      </c>
      <c r="AG6121">
        <v>-0.1722494</v>
      </c>
      <c r="AH6121">
        <v>0.40900464647710899</v>
      </c>
      <c r="AI6121">
        <v>112.320181427447</v>
      </c>
      <c r="AJ6121">
        <v>77.116878961912604</v>
      </c>
      <c r="AK6121">
        <v>0.45354805851739199</v>
      </c>
      <c r="AL6121">
        <v>91.130854286440098</v>
      </c>
      <c r="AM6121">
        <v>87.793102235923698</v>
      </c>
      <c r="AN6121">
        <v>1.0000000387016399</v>
      </c>
    </row>
    <row r="6122" spans="1:40" x14ac:dyDescent="0.25">
      <c r="A6122" t="str">
        <f>"20190312154044722"</f>
        <v>20190312154044722</v>
      </c>
      <c r="B6122" t="str">
        <f>"1552376444712634"</f>
        <v>1552376444712634</v>
      </c>
      <c r="C6122" t="s">
        <v>40</v>
      </c>
      <c r="D6122">
        <v>4.1273369999999998</v>
      </c>
      <c r="E6122">
        <v>0.54518509999999998</v>
      </c>
      <c r="F6122" t="s">
        <v>41</v>
      </c>
      <c r="G6122">
        <v>-272.80369999999999</v>
      </c>
      <c r="H6122">
        <v>0.90950419999999998</v>
      </c>
      <c r="I6122">
        <v>140.3605</v>
      </c>
      <c r="J6122">
        <v>-272.22089999999997</v>
      </c>
      <c r="K6122">
        <v>1.1088830000000001</v>
      </c>
      <c r="L6122">
        <v>140.24350000000001</v>
      </c>
      <c r="M6122">
        <v>-0.99985029999999997</v>
      </c>
      <c r="N6122">
        <v>0</v>
      </c>
      <c r="O6122">
        <v>-9.916823E-3</v>
      </c>
      <c r="P6122">
        <v>-0.99902029999999997</v>
      </c>
      <c r="Q6122">
        <v>-3.3881199999999903E-2</v>
      </c>
      <c r="R6122">
        <v>2.8467180000000002E-2</v>
      </c>
      <c r="S6122">
        <v>-2.9665219999999999</v>
      </c>
      <c r="T6122">
        <v>-0.72642299999999904</v>
      </c>
      <c r="U6122">
        <v>0.4182129</v>
      </c>
      <c r="V6122">
        <v>3.8340180000000001E-2</v>
      </c>
      <c r="W6122">
        <v>-1.9784159999999999E-2</v>
      </c>
      <c r="X6122">
        <v>0.99906890000000004</v>
      </c>
      <c r="Y6122">
        <v>0.14492249999999901</v>
      </c>
      <c r="Z6122">
        <v>1.9785520000000001E-2</v>
      </c>
      <c r="AA6122">
        <v>0.98924520000000005</v>
      </c>
      <c r="AB6122">
        <v>41</v>
      </c>
      <c r="AC6122">
        <v>-0.58280000000001997</v>
      </c>
      <c r="AD6122">
        <v>-0.19937879999999999</v>
      </c>
      <c r="AE6122">
        <v>0.11699999999999</v>
      </c>
      <c r="AF6122">
        <v>0.11035879562631599</v>
      </c>
      <c r="AG6122">
        <v>-0.19937879999999999</v>
      </c>
      <c r="AH6122">
        <v>0.52279554763912905</v>
      </c>
      <c r="AI6122">
        <v>110.46292358955</v>
      </c>
      <c r="AJ6122">
        <v>78.080221820480304</v>
      </c>
      <c r="AK6122">
        <v>0.57030356328259801</v>
      </c>
      <c r="AL6122">
        <v>91.133622801895996</v>
      </c>
      <c r="AM6122">
        <v>87.802300653249603</v>
      </c>
      <c r="AN6122">
        <v>1.0000000246682701</v>
      </c>
    </row>
    <row r="6123" spans="1:40" x14ac:dyDescent="0.25">
      <c r="A6123" t="str">
        <f>"20190312154044734"</f>
        <v>20190312154044734</v>
      </c>
      <c r="B6123" t="str">
        <f>"1552376444722393"</f>
        <v>1552376444722393</v>
      </c>
      <c r="C6123" t="s">
        <v>40</v>
      </c>
      <c r="D6123">
        <v>4.1592000000000002</v>
      </c>
      <c r="E6123">
        <v>0.54527950000000003</v>
      </c>
      <c r="F6123" t="s">
        <v>41</v>
      </c>
      <c r="G6123">
        <v>-273.15370000000001</v>
      </c>
      <c r="H6123">
        <v>0.88009889999999902</v>
      </c>
      <c r="I6123">
        <v>140.37559999999999</v>
      </c>
      <c r="J6123">
        <v>-272.45049999999998</v>
      </c>
      <c r="K6123">
        <v>1.108887</v>
      </c>
      <c r="L6123">
        <v>140.2415</v>
      </c>
      <c r="M6123">
        <v>-0.99985270000000004</v>
      </c>
      <c r="N6123">
        <v>0</v>
      </c>
      <c r="O6123">
        <v>-9.5645929999999997E-3</v>
      </c>
      <c r="P6123">
        <v>-0.99901249999999997</v>
      </c>
      <c r="Q6123">
        <v>-3.3822280000000003E-2</v>
      </c>
      <c r="R6123">
        <v>2.881152E-2</v>
      </c>
      <c r="S6123">
        <v>-2.9663390000000001</v>
      </c>
      <c r="T6123">
        <v>-0.72755859999999895</v>
      </c>
      <c r="U6123">
        <v>0.4196472</v>
      </c>
      <c r="V6123">
        <v>3.8332949999999998E-2</v>
      </c>
      <c r="W6123">
        <v>-1.9648160000000001E-2</v>
      </c>
      <c r="X6123">
        <v>0.99907179999999995</v>
      </c>
      <c r="Y6123">
        <v>0.14504429999999999</v>
      </c>
      <c r="Z6123">
        <v>1.9746010000000001E-2</v>
      </c>
      <c r="AA6123">
        <v>0.98922810000000005</v>
      </c>
      <c r="AB6123">
        <v>40</v>
      </c>
      <c r="AC6123">
        <v>-0.70320000000003802</v>
      </c>
      <c r="AD6123">
        <v>-0.22878809999999999</v>
      </c>
      <c r="AE6123">
        <v>0.13409999999998901</v>
      </c>
      <c r="AF6123">
        <v>0.127769947861433</v>
      </c>
      <c r="AG6123">
        <v>-0.22878809999999999</v>
      </c>
      <c r="AH6123">
        <v>0.63683841338693303</v>
      </c>
      <c r="AI6123">
        <v>109.40413749173401</v>
      </c>
      <c r="AJ6123">
        <v>78.655272298325301</v>
      </c>
      <c r="AK6123">
        <v>0.68864527809555898</v>
      </c>
      <c r="AL6123">
        <v>91.125829130087794</v>
      </c>
      <c r="AM6123">
        <v>87.802721049973698</v>
      </c>
      <c r="AN6123">
        <v>0.99999996340116304</v>
      </c>
    </row>
    <row r="6124" spans="1:40" x14ac:dyDescent="0.25">
      <c r="A6124" t="str">
        <f>"20190312154044753"</f>
        <v>20190312154044753</v>
      </c>
      <c r="B6124" t="str">
        <f>"1552376444741913"</f>
        <v>1552376444741913</v>
      </c>
      <c r="C6124" t="s">
        <v>40</v>
      </c>
      <c r="D6124">
        <v>4.091863</v>
      </c>
      <c r="E6124">
        <v>0.54533920000000002</v>
      </c>
      <c r="F6124" t="s">
        <v>41</v>
      </c>
      <c r="G6124">
        <v>-273.1746</v>
      </c>
      <c r="H6124">
        <v>0.9310157</v>
      </c>
      <c r="I6124">
        <v>140.34450000000001</v>
      </c>
      <c r="J6124">
        <v>-272.78530000000001</v>
      </c>
      <c r="K6124">
        <v>1.108894</v>
      </c>
      <c r="L6124">
        <v>140.2388</v>
      </c>
      <c r="M6124">
        <v>-0.99985610000000003</v>
      </c>
      <c r="N6124">
        <v>0</v>
      </c>
      <c r="O6124">
        <v>-9.0501639999999994E-3</v>
      </c>
      <c r="P6124">
        <v>-0.9989787</v>
      </c>
      <c r="Q6124">
        <v>-3.4335440000000002E-2</v>
      </c>
      <c r="R6124">
        <v>2.937671E-2</v>
      </c>
      <c r="S6124">
        <v>-2.9661249999999999</v>
      </c>
      <c r="T6124">
        <v>-0.72870749999999995</v>
      </c>
      <c r="U6124">
        <v>0.42141719999999999</v>
      </c>
      <c r="V6124">
        <v>3.838358E-2</v>
      </c>
      <c r="W6124">
        <v>-2.0061300000000001E-2</v>
      </c>
      <c r="X6124">
        <v>0.99906170000000005</v>
      </c>
      <c r="Y6124">
        <v>0.1451228</v>
      </c>
      <c r="Z6124">
        <v>1.966236E-2</v>
      </c>
      <c r="AA6124">
        <v>0.98921820000000005</v>
      </c>
      <c r="AB6124">
        <v>40</v>
      </c>
      <c r="AC6124">
        <v>-0.38929999999999099</v>
      </c>
      <c r="AD6124">
        <v>-0.17787829999999999</v>
      </c>
      <c r="AE6124">
        <v>0.10570000000001301</v>
      </c>
      <c r="AF6124">
        <v>9.1439696120037398E-2</v>
      </c>
      <c r="AG6124">
        <v>-0.17787829999999999</v>
      </c>
      <c r="AH6124">
        <v>0.32511238869154502</v>
      </c>
      <c r="AI6124">
        <v>117.775468037732</v>
      </c>
      <c r="AJ6124">
        <v>74.291062193850493</v>
      </c>
      <c r="AK6124">
        <v>0.38170665820514199</v>
      </c>
      <c r="AL6124">
        <v>91.149504914149801</v>
      </c>
      <c r="AM6124">
        <v>87.799799522587094</v>
      </c>
      <c r="AN6124">
        <v>1.00000001768909</v>
      </c>
    </row>
    <row r="6125" spans="1:40" x14ac:dyDescent="0.25">
      <c r="A6125" t="str">
        <f>"20190312154044767"</f>
        <v>20190312154044767</v>
      </c>
      <c r="B6125" t="str">
        <f>"1552376444752649"</f>
        <v>1552376444752649</v>
      </c>
      <c r="C6125" t="s">
        <v>40</v>
      </c>
      <c r="D6125">
        <v>4.1161960000000004</v>
      </c>
      <c r="E6125">
        <v>0.54530979999999996</v>
      </c>
      <c r="F6125" t="s">
        <v>41</v>
      </c>
      <c r="G6125">
        <v>-273.53300000000002</v>
      </c>
      <c r="H6125">
        <v>0.92481939999999996</v>
      </c>
      <c r="I6125">
        <v>140.3459</v>
      </c>
      <c r="J6125">
        <v>-273.02809999999999</v>
      </c>
      <c r="K6125">
        <v>1.1089</v>
      </c>
      <c r="L6125">
        <v>140.23689999999999</v>
      </c>
      <c r="M6125">
        <v>-0.99985860000000004</v>
      </c>
      <c r="N6125">
        <v>0</v>
      </c>
      <c r="O6125">
        <v>-8.6768869999999994E-3</v>
      </c>
      <c r="P6125">
        <v>-0.99897630000000004</v>
      </c>
      <c r="Q6125">
        <v>-3.4297910000000001E-2</v>
      </c>
      <c r="R6125">
        <v>2.9506250000000001E-2</v>
      </c>
      <c r="S6125">
        <v>-2.9655149999999999</v>
      </c>
      <c r="T6125">
        <v>-0.73010399999999998</v>
      </c>
      <c r="U6125">
        <v>0.42390440000000001</v>
      </c>
      <c r="V6125">
        <v>3.8140519999999997E-2</v>
      </c>
      <c r="W6125">
        <v>-1.9958090000000001E-2</v>
      </c>
      <c r="X6125">
        <v>0.99907299999999999</v>
      </c>
      <c r="Y6125">
        <v>0.1455747</v>
      </c>
      <c r="Z6125">
        <v>1.9666159999999999E-2</v>
      </c>
      <c r="AA6125">
        <v>0.98915180000000003</v>
      </c>
      <c r="AB6125">
        <v>40</v>
      </c>
      <c r="AC6125">
        <v>-0.50490000000002</v>
      </c>
      <c r="AD6125">
        <v>-0.18408060000000001</v>
      </c>
      <c r="AE6125">
        <v>0.10900000000000799</v>
      </c>
      <c r="AF6125">
        <v>0.100600506744446</v>
      </c>
      <c r="AG6125">
        <v>-0.18408060000000001</v>
      </c>
      <c r="AH6125">
        <v>0.44714526356412299</v>
      </c>
      <c r="AI6125">
        <v>111.88237056068</v>
      </c>
      <c r="AJ6125">
        <v>77.320491903940606</v>
      </c>
      <c r="AK6125">
        <v>0.49390790232737602</v>
      </c>
      <c r="AL6125">
        <v>91.143590319243003</v>
      </c>
      <c r="AM6125">
        <v>87.813743202468203</v>
      </c>
      <c r="AN6125">
        <v>0.999999941975657</v>
      </c>
    </row>
    <row r="6126" spans="1:40" x14ac:dyDescent="0.25">
      <c r="A6126" t="str">
        <f>"20190312154044784"</f>
        <v>20190312154044784</v>
      </c>
      <c r="B6126" t="str">
        <f>"1552376444772169"</f>
        <v>1552376444772169</v>
      </c>
      <c r="C6126" t="s">
        <v>40</v>
      </c>
      <c r="D6126">
        <v>4.1558999999999999</v>
      </c>
      <c r="E6126">
        <v>0.5454521</v>
      </c>
      <c r="F6126" t="s">
        <v>41</v>
      </c>
      <c r="G6126">
        <v>-273.88299999999998</v>
      </c>
      <c r="H6126">
        <v>0.89876160000000005</v>
      </c>
      <c r="I6126">
        <v>140.35929999999999</v>
      </c>
      <c r="J6126">
        <v>-273.35939999999999</v>
      </c>
      <c r="K6126">
        <v>1.1089150000000001</v>
      </c>
      <c r="L6126">
        <v>140.2345</v>
      </c>
      <c r="M6126">
        <v>-0.99986149999999996</v>
      </c>
      <c r="N6126">
        <v>0</v>
      </c>
      <c r="O6126">
        <v>-8.1677039999999996E-3</v>
      </c>
      <c r="P6126">
        <v>-0.99894590000000005</v>
      </c>
      <c r="Q6126">
        <v>-3.4606890000000001E-2</v>
      </c>
      <c r="R6126">
        <v>3.015878E-2</v>
      </c>
      <c r="S6126">
        <v>-2.9654539999999998</v>
      </c>
      <c r="T6126">
        <v>-0.72888359999999996</v>
      </c>
      <c r="U6126">
        <v>0.42431639999999998</v>
      </c>
      <c r="V6126">
        <v>3.828376E-2</v>
      </c>
      <c r="W6126">
        <v>-2.0187090000000001E-2</v>
      </c>
      <c r="X6126">
        <v>0.99906300000000003</v>
      </c>
      <c r="Y6126">
        <v>0.14524809999999999</v>
      </c>
      <c r="Z6126">
        <v>1.9472300000000001E-2</v>
      </c>
      <c r="AA6126">
        <v>0.98920359999999996</v>
      </c>
      <c r="AB6126">
        <v>40</v>
      </c>
      <c r="AC6126">
        <v>-0.52359999999998696</v>
      </c>
      <c r="AD6126">
        <v>-0.21015339999999899</v>
      </c>
      <c r="AE6126">
        <v>0.124799999999993</v>
      </c>
      <c r="AF6126">
        <v>0.11200043625997901</v>
      </c>
      <c r="AG6126">
        <v>-0.21015339999999899</v>
      </c>
      <c r="AH6126">
        <v>0.45344372411863598</v>
      </c>
      <c r="AI6126">
        <v>114.224833295907</v>
      </c>
      <c r="AJ6126">
        <v>76.125666178617493</v>
      </c>
      <c r="AK6126">
        <v>0.51217161205650896</v>
      </c>
      <c r="AL6126">
        <v>91.156713605657501</v>
      </c>
      <c r="AM6126">
        <v>87.805518595831401</v>
      </c>
      <c r="AN6126">
        <v>1.0000000214257001</v>
      </c>
    </row>
    <row r="6127" spans="1:40" x14ac:dyDescent="0.25">
      <c r="A6127" t="str">
        <f>"20190312154044800"</f>
        <v>20190312154044800</v>
      </c>
      <c r="B6127" t="str">
        <f>"1552376444792666"</f>
        <v>1552376444792666</v>
      </c>
      <c r="C6127" t="s">
        <v>40</v>
      </c>
      <c r="D6127">
        <v>4.1626699999999897</v>
      </c>
      <c r="E6127">
        <v>0.54550699999999996</v>
      </c>
      <c r="F6127" t="s">
        <v>41</v>
      </c>
      <c r="G6127">
        <v>-274.24059999999997</v>
      </c>
      <c r="H6127">
        <v>0.89156219999999997</v>
      </c>
      <c r="I6127">
        <v>140.36170000000001</v>
      </c>
      <c r="J6127">
        <v>-273.6207</v>
      </c>
      <c r="K6127">
        <v>1.108922</v>
      </c>
      <c r="L6127">
        <v>140.23259999999999</v>
      </c>
      <c r="M6127">
        <v>-0.99986399999999998</v>
      </c>
      <c r="N6127">
        <v>0</v>
      </c>
      <c r="O6127">
        <v>-7.7660109999999997E-3</v>
      </c>
      <c r="P6127">
        <v>-0.99894689999999997</v>
      </c>
      <c r="Q6127">
        <v>-3.4214670000000003E-2</v>
      </c>
      <c r="R6127">
        <v>3.056826E-2</v>
      </c>
      <c r="S6127">
        <v>-2.9649350000000001</v>
      </c>
      <c r="T6127">
        <v>-0.73133630000000005</v>
      </c>
      <c r="U6127">
        <v>0.42738340000000002</v>
      </c>
      <c r="V6127">
        <v>3.8292550000000002E-2</v>
      </c>
      <c r="W6127">
        <v>-1.973745E-2</v>
      </c>
      <c r="X6127">
        <v>0.99907159999999995</v>
      </c>
      <c r="Y6127">
        <v>0.14584159999999999</v>
      </c>
      <c r="Z6127">
        <v>1.9512459999999999E-2</v>
      </c>
      <c r="AA6127">
        <v>0.98911550000000004</v>
      </c>
      <c r="AB6127">
        <v>40</v>
      </c>
      <c r="AC6127">
        <v>-0.61989999999997203</v>
      </c>
      <c r="AD6127">
        <v>-0.21735979999999999</v>
      </c>
      <c r="AE6127">
        <v>0.129100000000022</v>
      </c>
      <c r="AF6127">
        <v>0.11979470175913</v>
      </c>
      <c r="AG6127">
        <v>-0.21735979999999999</v>
      </c>
      <c r="AH6127">
        <v>0.55364015990596105</v>
      </c>
      <c r="AI6127">
        <v>110.99287102573</v>
      </c>
      <c r="AJ6127">
        <v>77.790759941144302</v>
      </c>
      <c r="AK6127">
        <v>0.60672356134099303</v>
      </c>
      <c r="AL6127">
        <v>91.130946050589202</v>
      </c>
      <c r="AM6127">
        <v>87.805034108821403</v>
      </c>
      <c r="AN6127">
        <v>0.99999997412228203</v>
      </c>
    </row>
    <row r="6128" spans="1:40" x14ac:dyDescent="0.25">
      <c r="A6128" t="str">
        <f>"20190312154044812"</f>
        <v>20190312154044812</v>
      </c>
      <c r="B6128" t="str">
        <f>"1552376444802426"</f>
        <v>1552376444802426</v>
      </c>
      <c r="C6128" t="s">
        <v>40</v>
      </c>
      <c r="D6128">
        <v>4.1321750000000002</v>
      </c>
      <c r="E6128">
        <v>0.54545959999999905</v>
      </c>
      <c r="F6128" t="s">
        <v>41</v>
      </c>
      <c r="G6128">
        <v>-274.59190000000001</v>
      </c>
      <c r="H6128">
        <v>0.86975460000000004</v>
      </c>
      <c r="I6128">
        <v>140.3733</v>
      </c>
      <c r="J6128">
        <v>-273.86279999999999</v>
      </c>
      <c r="K6128">
        <v>1.1089329999999999</v>
      </c>
      <c r="L6128">
        <v>140.2311</v>
      </c>
      <c r="M6128">
        <v>-0.99986609999999998</v>
      </c>
      <c r="N6128">
        <v>0</v>
      </c>
      <c r="O6128">
        <v>-7.393223E-3</v>
      </c>
      <c r="P6128">
        <v>-0.99894519999999998</v>
      </c>
      <c r="Q6128">
        <v>-3.4022120000000003E-2</v>
      </c>
      <c r="R6128">
        <v>3.0841750000000001E-2</v>
      </c>
      <c r="S6128">
        <v>-2.9650270000000001</v>
      </c>
      <c r="T6128">
        <v>-0.73017529999999997</v>
      </c>
      <c r="U6128">
        <v>0.4292145</v>
      </c>
      <c r="V6128">
        <v>3.819438E-2</v>
      </c>
      <c r="W6128">
        <v>-1.9497469999999999E-2</v>
      </c>
      <c r="X6128">
        <v>0.99908010000000003</v>
      </c>
      <c r="Y6128">
        <v>0.14608570000000001</v>
      </c>
      <c r="Z6128">
        <v>1.9420409999999999E-2</v>
      </c>
      <c r="AA6128">
        <v>0.98908130000000005</v>
      </c>
      <c r="AB6128">
        <v>40</v>
      </c>
      <c r="AC6128">
        <v>-0.72910000000001596</v>
      </c>
      <c r="AD6128">
        <v>-0.23917839999999899</v>
      </c>
      <c r="AE6128">
        <v>0.14220000000000199</v>
      </c>
      <c r="AF6128">
        <v>0.13372383714047001</v>
      </c>
      <c r="AG6128">
        <v>-0.23917839999999899</v>
      </c>
      <c r="AH6128">
        <v>0.65964296686311497</v>
      </c>
      <c r="AI6128">
        <v>109.563140128388</v>
      </c>
      <c r="AJ6128">
        <v>78.540211036114698</v>
      </c>
      <c r="AK6128">
        <v>0.71429490784836502</v>
      </c>
      <c r="AL6128">
        <v>91.117193528987599</v>
      </c>
      <c r="AM6128">
        <v>87.810674433375098</v>
      </c>
      <c r="AN6128">
        <v>1.0000000041079899</v>
      </c>
    </row>
    <row r="6129" spans="1:40" x14ac:dyDescent="0.25">
      <c r="A6129" t="str">
        <f>"20190312154044831"</f>
        <v>20190312154044831</v>
      </c>
      <c r="B6129" t="str">
        <f>"1552376444822154"</f>
        <v>1552376444822154</v>
      </c>
      <c r="C6129" t="s">
        <v>40</v>
      </c>
      <c r="D6129">
        <v>4.1361100000000004</v>
      </c>
      <c r="E6129">
        <v>0.54549019999999904</v>
      </c>
      <c r="F6129" t="s">
        <v>41</v>
      </c>
      <c r="G6129">
        <v>-274.6139</v>
      </c>
      <c r="H6129">
        <v>0.92426589999999997</v>
      </c>
      <c r="I6129">
        <v>140.34</v>
      </c>
      <c r="J6129">
        <v>-274.19740000000002</v>
      </c>
      <c r="K6129">
        <v>1.108946</v>
      </c>
      <c r="L6129">
        <v>140.22909999999999</v>
      </c>
      <c r="M6129">
        <v>-0.99986889999999995</v>
      </c>
      <c r="N6129">
        <v>0</v>
      </c>
      <c r="O6129">
        <v>-6.8784220000000004E-3</v>
      </c>
      <c r="P6129">
        <v>-0.9989363</v>
      </c>
      <c r="Q6129">
        <v>-3.4026559999999997E-2</v>
      </c>
      <c r="R6129">
        <v>3.1129489999999999E-2</v>
      </c>
      <c r="S6129">
        <v>-2.9650569999999998</v>
      </c>
      <c r="T6129">
        <v>-0.72909019999999902</v>
      </c>
      <c r="U6129">
        <v>0.42956539999999999</v>
      </c>
      <c r="V6129">
        <v>3.7968189999999999E-2</v>
      </c>
      <c r="W6129">
        <v>-1.9442939999999999E-2</v>
      </c>
      <c r="X6129">
        <v>0.99908980000000003</v>
      </c>
      <c r="Y6129">
        <v>0.14572879999999999</v>
      </c>
      <c r="Z6129">
        <v>1.9224850000000002E-2</v>
      </c>
      <c r="AA6129">
        <v>0.98913779999999996</v>
      </c>
      <c r="AB6129">
        <v>40</v>
      </c>
      <c r="AC6129">
        <v>-0.41649999999998399</v>
      </c>
      <c r="AD6129">
        <v>-0.18468010000000001</v>
      </c>
      <c r="AE6129">
        <v>0.110900000000015</v>
      </c>
      <c r="AF6129">
        <v>9.6116065006866799E-2</v>
      </c>
      <c r="AG6129">
        <v>-0.18468010000000001</v>
      </c>
      <c r="AH6129">
        <v>0.35124096830554002</v>
      </c>
      <c r="AI6129">
        <v>116.891736503622</v>
      </c>
      <c r="AJ6129">
        <v>74.695840273303801</v>
      </c>
      <c r="AK6129">
        <v>0.408307794567563</v>
      </c>
      <c r="AL6129">
        <v>91.114068580160406</v>
      </c>
      <c r="AM6129">
        <v>87.823648389431398</v>
      </c>
      <c r="AN6129">
        <v>1.0000000199158701</v>
      </c>
    </row>
    <row r="6130" spans="1:40" x14ac:dyDescent="0.25">
      <c r="A6130" t="str">
        <f>"20190312154044853"</f>
        <v>20190312154044853</v>
      </c>
      <c r="B6130" t="str">
        <f>"1552376444842650"</f>
        <v>1552376444842650</v>
      </c>
      <c r="C6130" t="s">
        <v>40</v>
      </c>
      <c r="D6130">
        <v>4.1253190000000002</v>
      </c>
      <c r="E6130">
        <v>0.54541899999999999</v>
      </c>
      <c r="F6130" t="s">
        <v>41</v>
      </c>
      <c r="G6130">
        <v>-274.97089999999997</v>
      </c>
      <c r="H6130">
        <v>0.91863189999999995</v>
      </c>
      <c r="I6130">
        <v>140.3417</v>
      </c>
      <c r="J6130">
        <v>-274.59089999999998</v>
      </c>
      <c r="K6130">
        <v>1.108959</v>
      </c>
      <c r="L6130">
        <v>140.2269</v>
      </c>
      <c r="M6130">
        <v>-0.99987199999999998</v>
      </c>
      <c r="N6130">
        <v>0</v>
      </c>
      <c r="O6130">
        <v>-6.2724460000000001E-3</v>
      </c>
      <c r="P6130">
        <v>-0.99893500000000002</v>
      </c>
      <c r="Q6130">
        <v>-3.3798910000000001E-2</v>
      </c>
      <c r="R6130">
        <v>3.1409680000000002E-2</v>
      </c>
      <c r="S6130">
        <v>-2.9649350000000001</v>
      </c>
      <c r="T6130">
        <v>-0.72942959999999901</v>
      </c>
      <c r="U6130">
        <v>0.43066409999999999</v>
      </c>
      <c r="V6130">
        <v>3.7643419999999997E-2</v>
      </c>
      <c r="W6130">
        <v>-1.9154460000000002E-2</v>
      </c>
      <c r="X6130">
        <v>0.99910770000000004</v>
      </c>
      <c r="Y6130">
        <v>0.14551430000000001</v>
      </c>
      <c r="Z6130">
        <v>1.9061749999999999E-2</v>
      </c>
      <c r="AA6130">
        <v>0.98917250000000001</v>
      </c>
      <c r="AB6130">
        <v>40</v>
      </c>
      <c r="AC6130">
        <v>-0.37999999999999501</v>
      </c>
      <c r="AD6130">
        <v>-0.1903271</v>
      </c>
      <c r="AE6130">
        <v>0.114800000000002</v>
      </c>
      <c r="AF6130">
        <v>9.5278764657974802E-2</v>
      </c>
      <c r="AG6130">
        <v>-0.1903271</v>
      </c>
      <c r="AH6130">
        <v>0.30838138962640199</v>
      </c>
      <c r="AI6130">
        <v>120.52688998029301</v>
      </c>
      <c r="AJ6130">
        <v>72.830730990693993</v>
      </c>
      <c r="AK6130">
        <v>0.374701920807821</v>
      </c>
      <c r="AL6130">
        <v>91.097536772991205</v>
      </c>
      <c r="AM6130">
        <v>87.842285283132796</v>
      </c>
      <c r="AN6130">
        <v>1.00000005830323</v>
      </c>
    </row>
    <row r="6131" spans="1:40" x14ac:dyDescent="0.25">
      <c r="A6131" t="str">
        <f>"20190312154044873"</f>
        <v>20190312154044873</v>
      </c>
      <c r="B6131" t="str">
        <f>"1552376444862170"</f>
        <v>1552376444862170</v>
      </c>
      <c r="C6131" t="s">
        <v>40</v>
      </c>
      <c r="D6131">
        <v>4.1353749999999998</v>
      </c>
      <c r="E6131">
        <v>0.54548379999999996</v>
      </c>
      <c r="F6131" t="s">
        <v>41</v>
      </c>
      <c r="G6131">
        <v>-275.33359999999999</v>
      </c>
      <c r="H6131">
        <v>0.92664150000000001</v>
      </c>
      <c r="I6131">
        <v>140.33500000000001</v>
      </c>
      <c r="J6131">
        <v>-274.95100000000002</v>
      </c>
      <c r="K6131">
        <v>1.1089659999999999</v>
      </c>
      <c r="L6131">
        <v>140.2251</v>
      </c>
      <c r="M6131">
        <v>-0.99987459999999995</v>
      </c>
      <c r="N6131">
        <v>0</v>
      </c>
      <c r="O6131">
        <v>-5.7181189999999998E-3</v>
      </c>
      <c r="P6131">
        <v>-0.99893259999999995</v>
      </c>
      <c r="Q6131">
        <v>-3.3825729999999998E-2</v>
      </c>
      <c r="R6131">
        <v>3.1461349999999999E-2</v>
      </c>
      <c r="S6131">
        <v>-2.9649960000000002</v>
      </c>
      <c r="T6131">
        <v>-0.72794190000000003</v>
      </c>
      <c r="U6131">
        <v>0.43118289999999998</v>
      </c>
      <c r="V6131">
        <v>3.7141670000000002E-2</v>
      </c>
      <c r="W6131">
        <v>-1.9132929999999999E-2</v>
      </c>
      <c r="X6131">
        <v>0.99912690000000004</v>
      </c>
      <c r="Y6131">
        <v>0.145177</v>
      </c>
      <c r="Z6131">
        <v>1.8849310000000001E-2</v>
      </c>
      <c r="AA6131">
        <v>0.98922619999999895</v>
      </c>
      <c r="AB6131">
        <v>40</v>
      </c>
      <c r="AC6131">
        <v>-0.38260000000002398</v>
      </c>
      <c r="AD6131">
        <v>-0.182324499999999</v>
      </c>
      <c r="AE6131">
        <v>0.10990000000001</v>
      </c>
      <c r="AF6131">
        <v>9.2649907415012403E-2</v>
      </c>
      <c r="AG6131">
        <v>-0.182324499999999</v>
      </c>
      <c r="AH6131">
        <v>0.315730637259383</v>
      </c>
      <c r="AI6131">
        <v>118.991011868635</v>
      </c>
      <c r="AJ6131">
        <v>73.645882268953898</v>
      </c>
      <c r="AK6131">
        <v>0.37618089258822801</v>
      </c>
      <c r="AL6131">
        <v>91.096302958762394</v>
      </c>
      <c r="AM6131">
        <v>87.871059742144396</v>
      </c>
      <c r="AN6131">
        <v>1.0000000674821801</v>
      </c>
    </row>
    <row r="6132" spans="1:40" x14ac:dyDescent="0.25">
      <c r="A6132" t="str">
        <f>"20190312154044897"</f>
        <v>20190312154044897</v>
      </c>
      <c r="B6132" t="str">
        <f>"1552376444892426"</f>
        <v>1552376444892426</v>
      </c>
      <c r="C6132" t="s">
        <v>40</v>
      </c>
      <c r="D6132">
        <v>4.1766670000000001</v>
      </c>
      <c r="E6132">
        <v>0.54557909999999998</v>
      </c>
      <c r="F6132" t="s">
        <v>41</v>
      </c>
      <c r="G6132">
        <v>-275.69240000000002</v>
      </c>
      <c r="H6132">
        <v>0.92680240000000003</v>
      </c>
      <c r="I6132">
        <v>140.33330000000001</v>
      </c>
      <c r="J6132">
        <v>-275.37049999999999</v>
      </c>
      <c r="K6132">
        <v>1.108981</v>
      </c>
      <c r="L6132">
        <v>140.22329999999999</v>
      </c>
      <c r="M6132">
        <v>-0.99987729999999997</v>
      </c>
      <c r="N6132">
        <v>0</v>
      </c>
      <c r="O6132">
        <v>-5.0717729999999999E-3</v>
      </c>
      <c r="P6132">
        <v>-0.99893509999999996</v>
      </c>
      <c r="Q6132">
        <v>-3.3655890000000001E-2</v>
      </c>
      <c r="R6132">
        <v>3.1559990000000003E-2</v>
      </c>
      <c r="S6132">
        <v>-2.9649350000000001</v>
      </c>
      <c r="T6132">
        <v>-0.72851599999999905</v>
      </c>
      <c r="U6132">
        <v>0.43188480000000001</v>
      </c>
      <c r="V6132">
        <v>3.6595009999999997E-2</v>
      </c>
      <c r="W6132">
        <v>-1.8914500000000001E-2</v>
      </c>
      <c r="X6132">
        <v>0.99915120000000002</v>
      </c>
      <c r="Y6132">
        <v>0.14479330000000001</v>
      </c>
      <c r="Z6132">
        <v>1.8661859999999999E-2</v>
      </c>
      <c r="AA6132">
        <v>0.98928590000000005</v>
      </c>
      <c r="AB6132">
        <v>40</v>
      </c>
      <c r="AC6132">
        <v>-0.321900000000027</v>
      </c>
      <c r="AD6132">
        <v>-0.1821786</v>
      </c>
      <c r="AE6132">
        <v>0.110000000000013</v>
      </c>
      <c r="AF6132">
        <v>8.6750757382234395E-2</v>
      </c>
      <c r="AG6132">
        <v>-0.1821786</v>
      </c>
      <c r="AH6132">
        <v>0.249717502638274</v>
      </c>
      <c r="AI6132">
        <v>124.57224324476201</v>
      </c>
      <c r="AJ6132">
        <v>70.842998874864406</v>
      </c>
      <c r="AK6132">
        <v>0.32105072391796302</v>
      </c>
      <c r="AL6132">
        <v>91.083785610522895</v>
      </c>
      <c r="AM6132">
        <v>87.9024167650484</v>
      </c>
      <c r="AN6132">
        <v>1.0000000367642901</v>
      </c>
    </row>
    <row r="6133" spans="1:40" x14ac:dyDescent="0.25">
      <c r="A6133" t="str">
        <f>"20190312154044910"</f>
        <v>20190312154044910</v>
      </c>
      <c r="B6133" t="str">
        <f>"1552376444902186"</f>
        <v>1552376444902186</v>
      </c>
      <c r="C6133" t="s">
        <v>40</v>
      </c>
      <c r="D6133">
        <v>4.1506509999999999</v>
      </c>
      <c r="E6133">
        <v>0.54563099999999998</v>
      </c>
      <c r="F6133" t="s">
        <v>41</v>
      </c>
      <c r="G6133">
        <v>-276.05680000000001</v>
      </c>
      <c r="H6133">
        <v>0.94028290000000003</v>
      </c>
      <c r="I6133">
        <v>140.3236</v>
      </c>
      <c r="J6133">
        <v>-275.61610000000002</v>
      </c>
      <c r="K6133">
        <v>1.1089910000000001</v>
      </c>
      <c r="L6133">
        <v>140.22239999999999</v>
      </c>
      <c r="M6133">
        <v>-0.99987899999999996</v>
      </c>
      <c r="N6133">
        <v>0</v>
      </c>
      <c r="O6133">
        <v>-4.6932329999999998E-3</v>
      </c>
      <c r="P6133">
        <v>-0.99893849999999995</v>
      </c>
      <c r="Q6133">
        <v>-3.328366E-2</v>
      </c>
      <c r="R6133">
        <v>3.1849660000000002E-2</v>
      </c>
      <c r="S6133">
        <v>-2.964966</v>
      </c>
      <c r="T6133">
        <v>-0.7287981</v>
      </c>
      <c r="U6133">
        <v>0.43292239999999999</v>
      </c>
      <c r="V6133">
        <v>3.6507209999999998E-2</v>
      </c>
      <c r="W6133">
        <v>-1.8518449999999999E-2</v>
      </c>
      <c r="X6133">
        <v>0.99916179999999999</v>
      </c>
      <c r="Y6133">
        <v>0.14476539999999999</v>
      </c>
      <c r="Z6133">
        <v>1.8573639999999999E-2</v>
      </c>
      <c r="AA6133">
        <v>0.9892917</v>
      </c>
      <c r="AB6133">
        <v>40</v>
      </c>
      <c r="AC6133">
        <v>-0.44069999999999199</v>
      </c>
      <c r="AD6133">
        <v>-0.1687081</v>
      </c>
      <c r="AE6133">
        <v>0.10120000000000499</v>
      </c>
      <c r="AF6133">
        <v>9.0648338627477995E-2</v>
      </c>
      <c r="AG6133">
        <v>-0.1687081</v>
      </c>
      <c r="AH6133">
        <v>0.38642607650856903</v>
      </c>
      <c r="AI6133">
        <v>113.027795654595</v>
      </c>
      <c r="AJ6133">
        <v>76.798184152527796</v>
      </c>
      <c r="AK6133">
        <v>0.43128257199582998</v>
      </c>
      <c r="AL6133">
        <v>91.061089674785705</v>
      </c>
      <c r="AM6133">
        <v>87.9074670591217</v>
      </c>
      <c r="AN6133">
        <v>1.0000000059758101</v>
      </c>
    </row>
    <row r="6134" spans="1:40" x14ac:dyDescent="0.25">
      <c r="A6134" t="str">
        <f>"20190312154044923"</f>
        <v>20190312154044923</v>
      </c>
      <c r="B6134" t="str">
        <f>"1552376444911948"</f>
        <v>1552376444911948</v>
      </c>
      <c r="C6134" t="s">
        <v>40</v>
      </c>
      <c r="D6134">
        <v>4.1306139999999996</v>
      </c>
      <c r="E6134">
        <v>0.54561660000000001</v>
      </c>
      <c r="F6134" t="s">
        <v>41</v>
      </c>
      <c r="G6134">
        <v>-276.40370000000001</v>
      </c>
      <c r="H6134">
        <v>0.91559140000000006</v>
      </c>
      <c r="I6134">
        <v>140.3381</v>
      </c>
      <c r="J6134">
        <v>-275.84160000000003</v>
      </c>
      <c r="K6134">
        <v>1.1089990000000001</v>
      </c>
      <c r="L6134">
        <v>140.2217</v>
      </c>
      <c r="M6134">
        <v>-0.99988010000000005</v>
      </c>
      <c r="N6134">
        <v>0</v>
      </c>
      <c r="O6134">
        <v>-4.3455439999999998E-3</v>
      </c>
      <c r="P6134">
        <v>-0.9989422</v>
      </c>
      <c r="Q6134">
        <v>-3.3077120000000002E-2</v>
      </c>
      <c r="R6134">
        <v>3.1945729999999999E-2</v>
      </c>
      <c r="S6134">
        <v>-2.9651179999999999</v>
      </c>
      <c r="T6134">
        <v>-0.72820079999999998</v>
      </c>
      <c r="U6134">
        <v>0.43434139999999999</v>
      </c>
      <c r="V6134">
        <v>3.6256400000000001E-2</v>
      </c>
      <c r="W6134">
        <v>-1.8291180000000001E-2</v>
      </c>
      <c r="X6134">
        <v>0.99917509999999998</v>
      </c>
      <c r="Y6134">
        <v>0.1448922</v>
      </c>
      <c r="Z6134">
        <v>1.8488850000000001E-2</v>
      </c>
      <c r="AA6134">
        <v>0.98927469999999995</v>
      </c>
      <c r="AB6134">
        <v>40</v>
      </c>
      <c r="AC6134">
        <v>-0.56209999999998606</v>
      </c>
      <c r="AD6134">
        <v>-0.19340760000000001</v>
      </c>
      <c r="AE6134">
        <v>0.11639999999999801</v>
      </c>
      <c r="AF6134">
        <v>0.10672593280710101</v>
      </c>
      <c r="AG6134">
        <v>-0.19340760000000001</v>
      </c>
      <c r="AH6134">
        <v>0.50433508783469805</v>
      </c>
      <c r="AI6134">
        <v>110.565167705441</v>
      </c>
      <c r="AJ6134">
        <v>78.051509768848504</v>
      </c>
      <c r="AK6134">
        <v>0.550591323299358</v>
      </c>
      <c r="AL6134">
        <v>91.048065876763204</v>
      </c>
      <c r="AM6134">
        <v>87.921858063285796</v>
      </c>
      <c r="AN6134">
        <v>0.99999998713338101</v>
      </c>
    </row>
    <row r="6135" spans="1:40" x14ac:dyDescent="0.25">
      <c r="A6135" t="str">
        <f>"20190312154044942"</f>
        <v>20190312154044942</v>
      </c>
      <c r="B6135" t="str">
        <f>"1552376444932442"</f>
        <v>1552376444932442</v>
      </c>
      <c r="C6135" t="s">
        <v>40</v>
      </c>
      <c r="D6135">
        <v>4.1013250000000001</v>
      </c>
      <c r="E6135">
        <v>0.54557990000000001</v>
      </c>
      <c r="F6135" t="s">
        <v>41</v>
      </c>
      <c r="G6135">
        <v>-276.74950000000001</v>
      </c>
      <c r="H6135">
        <v>0.8863046</v>
      </c>
      <c r="I6135">
        <v>140.35489999999999</v>
      </c>
      <c r="J6135">
        <v>-276.18509999999998</v>
      </c>
      <c r="K6135">
        <v>1.109013</v>
      </c>
      <c r="L6135">
        <v>140.22069999999999</v>
      </c>
      <c r="M6135">
        <v>-0.99988200000000005</v>
      </c>
      <c r="N6135">
        <v>0</v>
      </c>
      <c r="O6135">
        <v>-3.8156470000000001E-3</v>
      </c>
      <c r="P6135">
        <v>-0.99892060000000005</v>
      </c>
      <c r="Q6135">
        <v>-3.2966780000000001E-2</v>
      </c>
      <c r="R6135">
        <v>3.2732039999999997E-2</v>
      </c>
      <c r="S6135">
        <v>-2.9652099999999999</v>
      </c>
      <c r="T6135">
        <v>-0.72728130000000002</v>
      </c>
      <c r="U6135">
        <v>0.43464659999999999</v>
      </c>
      <c r="V6135">
        <v>3.6513579999999997E-2</v>
      </c>
      <c r="W6135">
        <v>-1.8154130000000001E-2</v>
      </c>
      <c r="X6135">
        <v>0.99916830000000001</v>
      </c>
      <c r="Y6135">
        <v>0.1445014</v>
      </c>
      <c r="Z6135">
        <v>1.829105E-2</v>
      </c>
      <c r="AA6135">
        <v>0.98933550000000003</v>
      </c>
      <c r="AB6135">
        <v>40</v>
      </c>
      <c r="AC6135">
        <v>-0.56440000000003399</v>
      </c>
      <c r="AD6135">
        <v>-0.2227084</v>
      </c>
      <c r="AE6135">
        <v>0.13419999999999199</v>
      </c>
      <c r="AF6135">
        <v>0.118839250922661</v>
      </c>
      <c r="AG6135">
        <v>-0.2227084</v>
      </c>
      <c r="AH6135">
        <v>0.49145686163835101</v>
      </c>
      <c r="AI6135">
        <v>113.771815439001</v>
      </c>
      <c r="AJ6135">
        <v>76.406242409144994</v>
      </c>
      <c r="AK6135">
        <v>0.55249583332531704</v>
      </c>
      <c r="AL6135">
        <v>91.040212117637793</v>
      </c>
      <c r="AM6135">
        <v>87.907115868968404</v>
      </c>
      <c r="AN6135">
        <v>1.00000005284268</v>
      </c>
    </row>
    <row r="6136" spans="1:40" x14ac:dyDescent="0.25">
      <c r="A6136" t="str">
        <f>"20190312154044955"</f>
        <v>20190312154044955</v>
      </c>
      <c r="B6136" t="str">
        <f>"1552376444942203"</f>
        <v>1552376444942203</v>
      </c>
      <c r="C6136" t="s">
        <v>40</v>
      </c>
      <c r="D6136">
        <v>4.1528729999999996</v>
      </c>
      <c r="E6136">
        <v>0.54553569999999996</v>
      </c>
      <c r="F6136" t="s">
        <v>41</v>
      </c>
      <c r="G6136">
        <v>-277.10550000000001</v>
      </c>
      <c r="H6136">
        <v>0.8835305</v>
      </c>
      <c r="I6136">
        <v>140.35659999999999</v>
      </c>
      <c r="J6136">
        <v>-276.4187</v>
      </c>
      <c r="K6136">
        <v>1.1090199999999999</v>
      </c>
      <c r="L6136">
        <v>140.2201</v>
      </c>
      <c r="M6136">
        <v>-0.99988319999999997</v>
      </c>
      <c r="N6136">
        <v>0</v>
      </c>
      <c r="O6136">
        <v>-3.4548230000000001E-3</v>
      </c>
      <c r="P6136">
        <v>-0.99890310000000004</v>
      </c>
      <c r="Q6136">
        <v>-3.3019140000000002E-2</v>
      </c>
      <c r="R6136">
        <v>3.32118E-2</v>
      </c>
      <c r="S6136">
        <v>-2.964966</v>
      </c>
      <c r="T6136">
        <v>-0.72630099999999997</v>
      </c>
      <c r="U6136">
        <v>0.4368744</v>
      </c>
      <c r="V6136">
        <v>3.6633029999999997E-2</v>
      </c>
      <c r="W6136">
        <v>-1.819028E-2</v>
      </c>
      <c r="X6136">
        <v>0.99916320000000003</v>
      </c>
      <c r="Y6136">
        <v>0.1448943</v>
      </c>
      <c r="Z6136">
        <v>1.8228089999999999E-2</v>
      </c>
      <c r="AA6136">
        <v>0.98927920000000003</v>
      </c>
      <c r="AB6136">
        <v>40</v>
      </c>
      <c r="AC6136">
        <v>-0.68680000000000496</v>
      </c>
      <c r="AD6136">
        <v>-0.22548950000000001</v>
      </c>
      <c r="AE6136">
        <v>0.136499999999983</v>
      </c>
      <c r="AF6136">
        <v>0.12582455841339599</v>
      </c>
      <c r="AG6136">
        <v>-0.22548950000000001</v>
      </c>
      <c r="AH6136">
        <v>0.62184105026088099</v>
      </c>
      <c r="AI6136">
        <v>109.565886911007</v>
      </c>
      <c r="AJ6136">
        <v>78.561100439763294</v>
      </c>
      <c r="AK6136">
        <v>0.673322824430994</v>
      </c>
      <c r="AL6136">
        <v>91.042283775147396</v>
      </c>
      <c r="AM6136">
        <v>87.900264648419906</v>
      </c>
      <c r="AN6136">
        <v>0.99999998270384904</v>
      </c>
    </row>
    <row r="6137" spans="1:40" x14ac:dyDescent="0.25">
      <c r="A6137" t="str">
        <f>"20190312154044969"</f>
        <v>20190312154044969</v>
      </c>
      <c r="B6137" t="str">
        <f>"1552376444962813"</f>
        <v>1552376444962813</v>
      </c>
      <c r="C6137" t="s">
        <v>40</v>
      </c>
      <c r="D6137">
        <v>4.1848650000000003</v>
      </c>
      <c r="E6137">
        <v>0.54565180000000002</v>
      </c>
      <c r="F6137" t="s">
        <v>41</v>
      </c>
      <c r="G6137">
        <v>-277.12720000000002</v>
      </c>
      <c r="H6137">
        <v>0.9354808</v>
      </c>
      <c r="I6137">
        <v>140.32499999999999</v>
      </c>
      <c r="J6137">
        <v>-276.65699999999998</v>
      </c>
      <c r="K6137">
        <v>1.109029</v>
      </c>
      <c r="L6137">
        <v>140.21960000000001</v>
      </c>
      <c r="M6137">
        <v>-0.99988410000000005</v>
      </c>
      <c r="N6137">
        <v>0</v>
      </c>
      <c r="O6137">
        <v>-3.0868340000000001E-3</v>
      </c>
      <c r="P6137">
        <v>-0.99888909999999997</v>
      </c>
      <c r="Q6137">
        <v>-3.3175219999999998E-2</v>
      </c>
      <c r="R6137">
        <v>3.3471069999999999E-2</v>
      </c>
      <c r="S6137">
        <v>-2.9647519999999998</v>
      </c>
      <c r="T6137">
        <v>-0.72614590000000001</v>
      </c>
      <c r="U6137">
        <v>0.43801879999999999</v>
      </c>
      <c r="V6137">
        <v>3.6524389999999997E-2</v>
      </c>
      <c r="W6137">
        <v>-1.8331460000000001E-2</v>
      </c>
      <c r="X6137">
        <v>0.99916459999999996</v>
      </c>
      <c r="Y6137">
        <v>0.14492569999999999</v>
      </c>
      <c r="Z6137">
        <v>1.814048E-2</v>
      </c>
      <c r="AA6137">
        <v>0.98927619999999905</v>
      </c>
      <c r="AB6137">
        <v>40</v>
      </c>
      <c r="AC6137">
        <v>-0.47020000000003298</v>
      </c>
      <c r="AD6137">
        <v>-0.17354819999999899</v>
      </c>
      <c r="AE6137">
        <v>0.105399999999974</v>
      </c>
      <c r="AF6137">
        <v>9.4582513969774601E-2</v>
      </c>
      <c r="AG6137">
        <v>-0.17354819999999899</v>
      </c>
      <c r="AH6137">
        <v>0.41592192224052099</v>
      </c>
      <c r="AI6137">
        <v>112.140119540532</v>
      </c>
      <c r="AJ6137">
        <v>77.188555310523</v>
      </c>
      <c r="AK6137">
        <v>0.46049524978259199</v>
      </c>
      <c r="AL6137">
        <v>91.050374139323694</v>
      </c>
      <c r="AM6137">
        <v>87.906489067465699</v>
      </c>
      <c r="AN6137">
        <v>0.99999998569188098</v>
      </c>
    </row>
    <row r="6138" spans="1:40" x14ac:dyDescent="0.25">
      <c r="A6138" t="str">
        <f>"20190312154044992"</f>
        <v>20190312154044992</v>
      </c>
      <c r="B6138" t="str">
        <f>"1552376444982333"</f>
        <v>1552376444982333</v>
      </c>
      <c r="C6138" t="s">
        <v>40</v>
      </c>
      <c r="D6138">
        <v>4.166029</v>
      </c>
      <c r="E6138">
        <v>0.54571550000000002</v>
      </c>
      <c r="F6138" t="s">
        <v>41</v>
      </c>
      <c r="G6138">
        <v>-277.47230000000002</v>
      </c>
      <c r="H6138">
        <v>0.90885519999999997</v>
      </c>
      <c r="I6138">
        <v>140.3407</v>
      </c>
      <c r="J6138">
        <v>-277.05900000000003</v>
      </c>
      <c r="K6138">
        <v>1.1090450000000001</v>
      </c>
      <c r="L6138">
        <v>140.21889999999999</v>
      </c>
      <c r="M6138">
        <v>-0.99988540000000004</v>
      </c>
      <c r="N6138">
        <v>0</v>
      </c>
      <c r="O6138">
        <v>-2.4659529999999999E-3</v>
      </c>
      <c r="P6138">
        <v>-0.99886240000000004</v>
      </c>
      <c r="Q6138">
        <v>-3.2693769999999997E-2</v>
      </c>
      <c r="R6138">
        <v>3.4714189999999999E-2</v>
      </c>
      <c r="S6138">
        <v>-2.9644170000000001</v>
      </c>
      <c r="T6138">
        <v>-0.72785230000000001</v>
      </c>
      <c r="U6138">
        <v>0.43974299999999999</v>
      </c>
      <c r="V6138">
        <v>3.7148090000000002E-2</v>
      </c>
      <c r="W6138">
        <v>-1.7829129999999999E-2</v>
      </c>
      <c r="X6138">
        <v>0.99915069999999995</v>
      </c>
      <c r="Y6138">
        <v>0.14488980000000001</v>
      </c>
      <c r="Z6138">
        <v>1.802935E-2</v>
      </c>
      <c r="AA6138">
        <v>0.98928349999999998</v>
      </c>
      <c r="AB6138">
        <v>40</v>
      </c>
      <c r="AC6138">
        <v>-0.41329999999999201</v>
      </c>
      <c r="AD6138">
        <v>-0.2001898</v>
      </c>
      <c r="AE6138">
        <v>0.121800000000007</v>
      </c>
      <c r="AF6138">
        <v>0.101013546053837</v>
      </c>
      <c r="AG6138">
        <v>-0.2001898</v>
      </c>
      <c r="AH6138">
        <v>0.339674277679895</v>
      </c>
      <c r="AI6138">
        <v>119.46244764644</v>
      </c>
      <c r="AJ6138">
        <v>73.438387594348001</v>
      </c>
      <c r="AK6138">
        <v>0.407011434025838</v>
      </c>
      <c r="AL6138">
        <v>91.021588039968293</v>
      </c>
      <c r="AM6138">
        <v>87.870742763870297</v>
      </c>
      <c r="AN6138">
        <v>0.99999998988884697</v>
      </c>
    </row>
    <row r="6139" spans="1:40" x14ac:dyDescent="0.25">
      <c r="A6139" t="str">
        <f>"20190312154045010"</f>
        <v>20190312154045010</v>
      </c>
      <c r="B6139" t="str">
        <f>"1552376445002829"</f>
        <v>1552376445002829</v>
      </c>
      <c r="C6139" t="s">
        <v>40</v>
      </c>
      <c r="D6139">
        <v>4.1955819999999999</v>
      </c>
      <c r="E6139">
        <v>0.54571139999999996</v>
      </c>
      <c r="F6139" t="s">
        <v>41</v>
      </c>
      <c r="G6139">
        <v>-277.8329</v>
      </c>
      <c r="H6139">
        <v>0.91908599999999996</v>
      </c>
      <c r="I6139">
        <v>140.33519999999999</v>
      </c>
      <c r="J6139">
        <v>-277.39190000000002</v>
      </c>
      <c r="K6139">
        <v>1.1090549999999999</v>
      </c>
      <c r="L6139">
        <v>140.21860000000001</v>
      </c>
      <c r="M6139">
        <v>-0.99988630000000001</v>
      </c>
      <c r="N6139">
        <v>0</v>
      </c>
      <c r="O6139">
        <v>-1.95195E-3</v>
      </c>
      <c r="P6139">
        <v>-0.99885570000000001</v>
      </c>
      <c r="Q6139">
        <v>-3.1909699999999999E-2</v>
      </c>
      <c r="R6139">
        <v>3.56309E-2</v>
      </c>
      <c r="S6139">
        <v>-2.964172</v>
      </c>
      <c r="T6139">
        <v>-0.72760579999999997</v>
      </c>
      <c r="U6139">
        <v>0.4438629</v>
      </c>
      <c r="V6139">
        <v>3.7552660000000002E-2</v>
      </c>
      <c r="W6139">
        <v>-1.703035E-2</v>
      </c>
      <c r="X6139">
        <v>0.99914950000000002</v>
      </c>
      <c r="Y6139">
        <v>0.1457321</v>
      </c>
      <c r="Z6139">
        <v>1.8000740000000001E-2</v>
      </c>
      <c r="AA6139">
        <v>0.98916029999999999</v>
      </c>
      <c r="AB6139">
        <v>40</v>
      </c>
      <c r="AC6139">
        <v>-0.44099999999997402</v>
      </c>
      <c r="AD6139">
        <v>-0.189968999999999</v>
      </c>
      <c r="AE6139">
        <v>0.116599999999976</v>
      </c>
      <c r="AF6139">
        <v>0.100099674363358</v>
      </c>
      <c r="AG6139">
        <v>-0.189968999999999</v>
      </c>
      <c r="AH6139">
        <v>0.37562430083430898</v>
      </c>
      <c r="AI6139">
        <v>116.04417065621</v>
      </c>
      <c r="AJ6139">
        <v>75.078096932705407</v>
      </c>
      <c r="AK6139">
        <v>0.43266821138825701</v>
      </c>
      <c r="AL6139">
        <v>90.975814372482802</v>
      </c>
      <c r="AM6139">
        <v>87.847572699128193</v>
      </c>
      <c r="AN6139">
        <v>0.99999997922222394</v>
      </c>
    </row>
    <row r="6140" spans="1:40" x14ac:dyDescent="0.25">
      <c r="A6140" t="str">
        <f>"20190312154045033"</f>
        <v>20190312154045033</v>
      </c>
      <c r="B6140" t="str">
        <f>"1552376445022355"</f>
        <v>1552376445022355</v>
      </c>
      <c r="C6140" t="s">
        <v>40</v>
      </c>
      <c r="D6140">
        <v>4.176749</v>
      </c>
      <c r="E6140">
        <v>0.54579899999999903</v>
      </c>
      <c r="F6140" t="s">
        <v>41</v>
      </c>
      <c r="G6140">
        <v>-278.18680000000001</v>
      </c>
      <c r="H6140">
        <v>0.91448949999999996</v>
      </c>
      <c r="I6140">
        <v>140.33860000000001</v>
      </c>
      <c r="J6140">
        <v>-277.7842</v>
      </c>
      <c r="K6140">
        <v>1.109067</v>
      </c>
      <c r="L6140">
        <v>140.2183</v>
      </c>
      <c r="M6140">
        <v>-0.99988710000000003</v>
      </c>
      <c r="N6140">
        <v>0</v>
      </c>
      <c r="O6140">
        <v>-1.345806E-3</v>
      </c>
      <c r="P6140">
        <v>-0.99887729999999997</v>
      </c>
      <c r="Q6140">
        <v>-3.0967149999999999E-2</v>
      </c>
      <c r="R6140">
        <v>3.5855119999999997E-2</v>
      </c>
      <c r="S6140">
        <v>-2.9642940000000002</v>
      </c>
      <c r="T6140">
        <v>-0.72557530000000003</v>
      </c>
      <c r="U6140">
        <v>0.44692989999999999</v>
      </c>
      <c r="V6140">
        <v>3.7173129999999999E-2</v>
      </c>
      <c r="W6140">
        <v>-1.6071240000000001E-2</v>
      </c>
      <c r="X6140">
        <v>0.99917959999999995</v>
      </c>
      <c r="Y6140">
        <v>0.1461577</v>
      </c>
      <c r="Z6140">
        <v>1.7855490000000002E-2</v>
      </c>
      <c r="AA6140">
        <v>0.98910019999999998</v>
      </c>
      <c r="AB6140">
        <v>40</v>
      </c>
      <c r="AC6140">
        <v>-0.40260000000000601</v>
      </c>
      <c r="AD6140">
        <v>-0.19457749999999999</v>
      </c>
      <c r="AE6140">
        <v>0.12030000000001401</v>
      </c>
      <c r="AF6140">
        <v>9.9504518190480298E-2</v>
      </c>
      <c r="AG6140">
        <v>-0.19457749999999999</v>
      </c>
      <c r="AH6140">
        <v>0.33137854600470301</v>
      </c>
      <c r="AI6140">
        <v>119.352096003577</v>
      </c>
      <c r="AJ6140">
        <v>73.286329212471799</v>
      </c>
      <c r="AK6140">
        <v>0.39695502692214502</v>
      </c>
      <c r="AL6140">
        <v>90.920853867136202</v>
      </c>
      <c r="AM6140">
        <v>87.869370412257993</v>
      </c>
      <c r="AN6140">
        <v>0.99999999970264697</v>
      </c>
    </row>
    <row r="6141" spans="1:40" x14ac:dyDescent="0.25">
      <c r="A6141" t="str">
        <f>"20190312154045055"</f>
        <v>20190312154045055</v>
      </c>
      <c r="B6141" t="str">
        <f>"1552376445041870"</f>
        <v>1552376445041870</v>
      </c>
      <c r="C6141" t="s">
        <v>40</v>
      </c>
      <c r="D6141">
        <v>4.2007960000000004</v>
      </c>
      <c r="E6141">
        <v>0.54578570000000004</v>
      </c>
      <c r="F6141" t="s">
        <v>41</v>
      </c>
      <c r="G6141">
        <v>-278.54610000000002</v>
      </c>
      <c r="H6141">
        <v>0.92297320000000005</v>
      </c>
      <c r="I6141">
        <v>140.3338</v>
      </c>
      <c r="J6141">
        <v>-278.1859</v>
      </c>
      <c r="K6141">
        <v>1.1090709999999999</v>
      </c>
      <c r="L6141">
        <v>140.2184</v>
      </c>
      <c r="M6141">
        <v>-0.99988750000000004</v>
      </c>
      <c r="N6141">
        <v>0</v>
      </c>
      <c r="O6141">
        <v>-7.2510529999999997E-4</v>
      </c>
      <c r="P6141">
        <v>-0.99885170000000001</v>
      </c>
      <c r="Q6141">
        <v>-3.1141990000000001E-2</v>
      </c>
      <c r="R6141">
        <v>3.6407370000000001E-2</v>
      </c>
      <c r="S6141">
        <v>-2.9648439999999998</v>
      </c>
      <c r="T6141">
        <v>-0.72425200000000001</v>
      </c>
      <c r="U6141">
        <v>0.44827270000000002</v>
      </c>
      <c r="V6141">
        <v>3.710492E-2</v>
      </c>
      <c r="W6141">
        <v>-1.6232900000000001E-2</v>
      </c>
      <c r="X6141">
        <v>0.9991795</v>
      </c>
      <c r="Y6141">
        <v>0.14599479999999901</v>
      </c>
      <c r="Z6141">
        <v>1.7651960000000001E-2</v>
      </c>
      <c r="AA6141">
        <v>0.98912789999999995</v>
      </c>
      <c r="AB6141">
        <v>40</v>
      </c>
      <c r="AC6141">
        <v>-0.36020000000002</v>
      </c>
      <c r="AD6141">
        <v>-0.18609779999999901</v>
      </c>
      <c r="AE6141">
        <v>0.11539999999999299</v>
      </c>
      <c r="AF6141">
        <v>9.3118875970321105E-2</v>
      </c>
      <c r="AG6141">
        <v>-0.18609779999999901</v>
      </c>
      <c r="AH6141">
        <v>0.28992974960406898</v>
      </c>
      <c r="AI6141">
        <v>121.430154273783</v>
      </c>
      <c r="AJ6141">
        <v>72.1941567881873</v>
      </c>
      <c r="AK6141">
        <v>0.35687921756848501</v>
      </c>
      <c r="AL6141">
        <v>90.930117531826795</v>
      </c>
      <c r="AM6141">
        <v>87.873276157234301</v>
      </c>
      <c r="AN6141">
        <v>0.99999997767543203</v>
      </c>
    </row>
    <row r="6142" spans="1:40" x14ac:dyDescent="0.25">
      <c r="A6142" t="str">
        <f>"20190312154045077"</f>
        <v>20190312154045077</v>
      </c>
      <c r="B6142" t="str">
        <f>"1552376445072634"</f>
        <v>1552376445072634</v>
      </c>
      <c r="C6142" t="s">
        <v>40</v>
      </c>
      <c r="D6142">
        <v>4.2177439999999997</v>
      </c>
      <c r="E6142">
        <v>0.54579619999999995</v>
      </c>
      <c r="F6142" t="s">
        <v>41</v>
      </c>
      <c r="G6142">
        <v>-278.90559999999999</v>
      </c>
      <c r="H6142">
        <v>0.93293820000000005</v>
      </c>
      <c r="I6142">
        <v>140.32740000000001</v>
      </c>
      <c r="J6142">
        <v>-278.58089999999999</v>
      </c>
      <c r="K6142">
        <v>1.109078</v>
      </c>
      <c r="L6142">
        <v>140.21860000000001</v>
      </c>
      <c r="M6142">
        <v>-0.99988770000000005</v>
      </c>
      <c r="N6142">
        <v>0</v>
      </c>
      <c r="O6142">
        <v>-1.146402E-4</v>
      </c>
      <c r="P6142">
        <v>-0.99881989999999998</v>
      </c>
      <c r="Q6142">
        <v>-3.1434299999999998E-2</v>
      </c>
      <c r="R6142">
        <v>3.7024380000000003E-2</v>
      </c>
      <c r="S6142">
        <v>-2.9644469999999998</v>
      </c>
      <c r="T6142">
        <v>-0.72551019999999999</v>
      </c>
      <c r="U6142">
        <v>0.44935609999999998</v>
      </c>
      <c r="V6142">
        <v>3.7111779999999997E-2</v>
      </c>
      <c r="W6142">
        <v>-1.6514750000000002E-2</v>
      </c>
      <c r="X6142">
        <v>0.99917469999999997</v>
      </c>
      <c r="Y6142">
        <v>0.14577290000000001</v>
      </c>
      <c r="Z6142">
        <v>1.7510520000000002E-2</v>
      </c>
      <c r="AA6142">
        <v>0.98916309999999996</v>
      </c>
      <c r="AB6142">
        <v>40</v>
      </c>
      <c r="AC6142">
        <v>-0.32470000000000698</v>
      </c>
      <c r="AD6142">
        <v>-0.17613980000000001</v>
      </c>
      <c r="AE6142">
        <v>0.10880000000000201</v>
      </c>
      <c r="AF6142">
        <v>8.6066729570781597E-2</v>
      </c>
      <c r="AG6142">
        <v>-0.17613980000000001</v>
      </c>
      <c r="AH6142">
        <v>0.25675767404620098</v>
      </c>
      <c r="AI6142">
        <v>123.04179969022501</v>
      </c>
      <c r="AJ6142">
        <v>71.468535834989098</v>
      </c>
      <c r="AK6142">
        <v>0.32304367237985798</v>
      </c>
      <c r="AL6142">
        <v>90.946268443364005</v>
      </c>
      <c r="AM6142">
        <v>87.872873118046002</v>
      </c>
      <c r="AN6142">
        <v>1.0000000511511999</v>
      </c>
    </row>
    <row r="6143" spans="1:40" x14ac:dyDescent="0.25">
      <c r="A6143" t="str">
        <f>"20190312154045099"</f>
        <v>20190312154045099</v>
      </c>
      <c r="B6143" t="str">
        <f>"1552376445092155"</f>
        <v>1552376445092155</v>
      </c>
      <c r="C6143" t="s">
        <v>40</v>
      </c>
      <c r="D6143">
        <v>4.2109059999999996</v>
      </c>
      <c r="E6143">
        <v>0.54581429999999997</v>
      </c>
      <c r="F6143" t="s">
        <v>41</v>
      </c>
      <c r="G6143">
        <v>-279.26420000000002</v>
      </c>
      <c r="H6143">
        <v>0.9412954</v>
      </c>
      <c r="I6143">
        <v>140.3229</v>
      </c>
      <c r="J6143">
        <v>-278.97710000000001</v>
      </c>
      <c r="K6143">
        <v>1.109084</v>
      </c>
      <c r="L6143">
        <v>140.2192</v>
      </c>
      <c r="M6143">
        <v>-0.99988730000000003</v>
      </c>
      <c r="N6143">
        <v>0</v>
      </c>
      <c r="O6143">
        <v>4.9852139999999995E-4</v>
      </c>
      <c r="P6143">
        <v>-0.99878310000000003</v>
      </c>
      <c r="Q6143">
        <v>-3.1894829999999999E-2</v>
      </c>
      <c r="R6143">
        <v>3.7618649999999997E-2</v>
      </c>
      <c r="S6143">
        <v>-2.9639280000000001</v>
      </c>
      <c r="T6143">
        <v>-0.72771839999999999</v>
      </c>
      <c r="U6143">
        <v>0.4512024</v>
      </c>
      <c r="V6143">
        <v>3.709283E-2</v>
      </c>
      <c r="W6143">
        <v>-1.6967099999999999E-2</v>
      </c>
      <c r="X6143">
        <v>0.99916780000000005</v>
      </c>
      <c r="Y6143">
        <v>0.14578579999999999</v>
      </c>
      <c r="Z6143">
        <v>1.741848E-2</v>
      </c>
      <c r="AA6143">
        <v>0.98916280000000001</v>
      </c>
      <c r="AB6143">
        <v>40</v>
      </c>
      <c r="AC6143">
        <v>-0.28710000000000901</v>
      </c>
      <c r="AD6143">
        <v>-0.16778859999999901</v>
      </c>
      <c r="AE6143">
        <v>0.103700000000003</v>
      </c>
      <c r="AF6143">
        <v>7.9528472306322096E-2</v>
      </c>
      <c r="AG6143">
        <v>-0.16778859999999901</v>
      </c>
      <c r="AH6143">
        <v>0.22052364834393501</v>
      </c>
      <c r="AI6143">
        <v>125.592923283088</v>
      </c>
      <c r="AJ6143">
        <v>70.168938503570004</v>
      </c>
      <c r="AK6143">
        <v>0.28828539969318101</v>
      </c>
      <c r="AL6143">
        <v>90.972189844651197</v>
      </c>
      <c r="AM6143">
        <v>87.873943605175299</v>
      </c>
      <c r="AN6143">
        <v>1.00000002653832</v>
      </c>
    </row>
    <row r="6144" spans="1:40" x14ac:dyDescent="0.25">
      <c r="A6144" t="str">
        <f>"20190312154045122"</f>
        <v>20190312154045122</v>
      </c>
      <c r="B6144" t="str">
        <f>"1552376445112649"</f>
        <v>1552376445112649</v>
      </c>
      <c r="C6144" t="s">
        <v>40</v>
      </c>
      <c r="D6144">
        <v>4.2114310000000001</v>
      </c>
      <c r="E6144">
        <v>0.54579109999999997</v>
      </c>
      <c r="F6144" t="s">
        <v>41</v>
      </c>
      <c r="G6144">
        <v>-279.94299999999998</v>
      </c>
      <c r="H6144">
        <v>0.87114319999999901</v>
      </c>
      <c r="I6144">
        <v>140.36699999999999</v>
      </c>
      <c r="J6144">
        <v>-279.38299999999998</v>
      </c>
      <c r="K6144">
        <v>1.1090979999999999</v>
      </c>
      <c r="L6144">
        <v>140.22</v>
      </c>
      <c r="M6144">
        <v>-0.99988679999999996</v>
      </c>
      <c r="N6144">
        <v>0</v>
      </c>
      <c r="O6144">
        <v>1.1265909999999999E-3</v>
      </c>
      <c r="P6144">
        <v>-0.99878480000000003</v>
      </c>
      <c r="Q6144">
        <v>-3.1627210000000003E-2</v>
      </c>
      <c r="R6144">
        <v>3.7799340000000001E-2</v>
      </c>
      <c r="S6144">
        <v>-2.9632869999999998</v>
      </c>
      <c r="T6144">
        <v>-0.73000810000000005</v>
      </c>
      <c r="U6144">
        <v>0.45298769999999999</v>
      </c>
      <c r="V6144">
        <v>3.6646659999999998E-2</v>
      </c>
      <c r="W6144">
        <v>-1.6691460000000002E-2</v>
      </c>
      <c r="X6144">
        <v>0.99918890000000005</v>
      </c>
      <c r="Y6144">
        <v>0.14577039999999999</v>
      </c>
      <c r="Z6144">
        <v>1.7321119999999999E-2</v>
      </c>
      <c r="AA6144">
        <v>0.98916680000000001</v>
      </c>
      <c r="AB6144">
        <v>40</v>
      </c>
      <c r="AC6144">
        <v>-0.56000000000000205</v>
      </c>
      <c r="AD6144">
        <v>-0.23795479999999999</v>
      </c>
      <c r="AE6144">
        <v>0.147000000000019</v>
      </c>
      <c r="AF6144">
        <v>0.12521757243622</v>
      </c>
      <c r="AG6144">
        <v>-0.23795479999999999</v>
      </c>
      <c r="AH6144">
        <v>0.47921733446117798</v>
      </c>
      <c r="AI6144">
        <v>115.660520368479</v>
      </c>
      <c r="AJ6144">
        <v>75.356252290298698</v>
      </c>
      <c r="AK6144">
        <v>0.54950084707663205</v>
      </c>
      <c r="AL6144">
        <v>90.956394605453497</v>
      </c>
      <c r="AM6144">
        <v>87.899538081213507</v>
      </c>
      <c r="AN6144">
        <v>1.00000002020464</v>
      </c>
    </row>
    <row r="6145" spans="1:40" x14ac:dyDescent="0.25">
      <c r="A6145" t="str">
        <f>"20190312154045144"</f>
        <v>20190312154045144</v>
      </c>
      <c r="B6145" t="str">
        <f>"1552376445132169"</f>
        <v>1552376445132169</v>
      </c>
      <c r="C6145" t="s">
        <v>40</v>
      </c>
      <c r="D6145">
        <v>4.2492809999999999</v>
      </c>
      <c r="E6145">
        <v>0.54578609999999905</v>
      </c>
      <c r="F6145" t="s">
        <v>41</v>
      </c>
      <c r="G6145">
        <v>-280.30119999999999</v>
      </c>
      <c r="H6145">
        <v>0.88301439999999998</v>
      </c>
      <c r="I6145">
        <v>140.36080000000001</v>
      </c>
      <c r="J6145">
        <v>-279.77140000000003</v>
      </c>
      <c r="K6145">
        <v>1.1091139999999999</v>
      </c>
      <c r="L6145">
        <v>140.221</v>
      </c>
      <c r="M6145">
        <v>-0.99988569999999999</v>
      </c>
      <c r="N6145">
        <v>0</v>
      </c>
      <c r="O6145">
        <v>1.7279109999999999E-3</v>
      </c>
      <c r="P6145">
        <v>-0.9987857</v>
      </c>
      <c r="Q6145">
        <v>-3.1070549999999999E-2</v>
      </c>
      <c r="R6145">
        <v>3.8233129999999997E-2</v>
      </c>
      <c r="S6145">
        <v>-2.9633479999999999</v>
      </c>
      <c r="T6145">
        <v>-0.72956100000000002</v>
      </c>
      <c r="U6145">
        <v>0.4539185</v>
      </c>
      <c r="V6145">
        <v>3.6480829999999999E-2</v>
      </c>
      <c r="W6145">
        <v>-1.612881E-2</v>
      </c>
      <c r="X6145">
        <v>0.99920419999999999</v>
      </c>
      <c r="Y6145">
        <v>0.1455072</v>
      </c>
      <c r="Z6145">
        <v>1.7133269999999999E-2</v>
      </c>
      <c r="AA6145">
        <v>0.9892088</v>
      </c>
      <c r="AB6145">
        <v>40</v>
      </c>
      <c r="AC6145">
        <v>-0.52979999999996596</v>
      </c>
      <c r="AD6145">
        <v>-0.22609960000000001</v>
      </c>
      <c r="AE6145">
        <v>0.139800000000008</v>
      </c>
      <c r="AF6145">
        <v>0.118676919002385</v>
      </c>
      <c r="AG6145">
        <v>-0.22609960000000001</v>
      </c>
      <c r="AH6145">
        <v>0.45292114165352498</v>
      </c>
      <c r="AI6145">
        <v>115.775935252669</v>
      </c>
      <c r="AJ6145">
        <v>75.317129731538401</v>
      </c>
      <c r="AK6145">
        <v>0.51994499784187898</v>
      </c>
      <c r="AL6145">
        <v>90.924152801957206</v>
      </c>
      <c r="AM6145">
        <v>87.909066425581202</v>
      </c>
      <c r="AN6145">
        <v>1.0000000113835701</v>
      </c>
    </row>
    <row r="6146" spans="1:40" x14ac:dyDescent="0.25">
      <c r="A6146" t="str">
        <f>"20190312154045165"</f>
        <v>20190312154045165</v>
      </c>
      <c r="B6146" t="str">
        <f>"1552376445152665"</f>
        <v>1552376445152665</v>
      </c>
      <c r="C6146" t="s">
        <v>40</v>
      </c>
      <c r="D6146">
        <v>4.2781019999999996</v>
      </c>
      <c r="E6146">
        <v>0.54578040000000005</v>
      </c>
      <c r="F6146" t="s">
        <v>41</v>
      </c>
      <c r="G6146">
        <v>-280.6576</v>
      </c>
      <c r="H6146">
        <v>0.89102049999999999</v>
      </c>
      <c r="I6146">
        <v>140.35740000000001</v>
      </c>
      <c r="J6146">
        <v>-280.12939999999998</v>
      </c>
      <c r="K6146">
        <v>1.109124</v>
      </c>
      <c r="L6146">
        <v>140.22210000000001</v>
      </c>
      <c r="M6146">
        <v>-0.99988469999999996</v>
      </c>
      <c r="N6146">
        <v>0</v>
      </c>
      <c r="O6146">
        <v>2.2822770000000001E-3</v>
      </c>
      <c r="P6146">
        <v>-0.99882269999999895</v>
      </c>
      <c r="Q6146">
        <v>-2.9775079999999999E-2</v>
      </c>
      <c r="R6146">
        <v>3.8299239999999998E-2</v>
      </c>
      <c r="S6146">
        <v>-2.9635009999999999</v>
      </c>
      <c r="T6146">
        <v>-0.72930289999999998</v>
      </c>
      <c r="U6146">
        <v>0.4552155</v>
      </c>
      <c r="V6146">
        <v>3.5995199999999998E-2</v>
      </c>
      <c r="W6146">
        <v>-1.482789E-2</v>
      </c>
      <c r="X6146">
        <v>0.99924190000000002</v>
      </c>
      <c r="Y6146">
        <v>0.14539750000000001</v>
      </c>
      <c r="Z6146">
        <v>1.6979089999999999E-2</v>
      </c>
      <c r="AA6146">
        <v>0.98922759999999998</v>
      </c>
      <c r="AB6146">
        <v>40</v>
      </c>
      <c r="AC6146">
        <v>-0.52820000000002598</v>
      </c>
      <c r="AD6146">
        <v>-0.21810349999999901</v>
      </c>
      <c r="AE6146">
        <v>0.1353</v>
      </c>
      <c r="AF6146">
        <v>0.11559797734939301</v>
      </c>
      <c r="AG6146">
        <v>-0.21810349999999901</v>
      </c>
      <c r="AH6146">
        <v>0.45560865090566999</v>
      </c>
      <c r="AI6146">
        <v>114.891571171781</v>
      </c>
      <c r="AJ6146">
        <v>75.763217851921098</v>
      </c>
      <c r="AK6146">
        <v>0.51818073281395305</v>
      </c>
      <c r="AL6146">
        <v>90.849606695750794</v>
      </c>
      <c r="AM6146">
        <v>87.936954328069604</v>
      </c>
      <c r="AN6146">
        <v>0.99999994773024903</v>
      </c>
    </row>
    <row r="6147" spans="1:40" x14ac:dyDescent="0.25">
      <c r="A6147" t="str">
        <f>"20190312154045187"</f>
        <v>20190312154045187</v>
      </c>
      <c r="B6147" t="str">
        <f>"1552376445181946"</f>
        <v>1552376445181946</v>
      </c>
      <c r="C6147" t="s">
        <v>40</v>
      </c>
      <c r="D6147">
        <v>4.2575469999999997</v>
      </c>
      <c r="E6147">
        <v>0.54576639999999998</v>
      </c>
      <c r="F6147" t="s">
        <v>41</v>
      </c>
      <c r="G6147">
        <v>-281.01100000000002</v>
      </c>
      <c r="H6147">
        <v>0.89287759999999905</v>
      </c>
      <c r="I6147">
        <v>140.35749999999999</v>
      </c>
      <c r="J6147">
        <v>-280.53120000000001</v>
      </c>
      <c r="K6147">
        <v>1.1091359999999999</v>
      </c>
      <c r="L6147">
        <v>140.2236</v>
      </c>
      <c r="M6147">
        <v>-0.99988299999999997</v>
      </c>
      <c r="N6147">
        <v>0</v>
      </c>
      <c r="O6147">
        <v>2.9048279999999999E-3</v>
      </c>
      <c r="P6147">
        <v>-0.99883330000000004</v>
      </c>
      <c r="Q6147">
        <v>-2.9204750000000002E-2</v>
      </c>
      <c r="R6147">
        <v>3.8461200000000001E-2</v>
      </c>
      <c r="S6147">
        <v>-2.9644170000000001</v>
      </c>
      <c r="T6147">
        <v>-0.72709919999999995</v>
      </c>
      <c r="U6147">
        <v>0.45491029999999999</v>
      </c>
      <c r="V6147">
        <v>3.5536180000000001E-2</v>
      </c>
      <c r="W6147">
        <v>-1.425304E-2</v>
      </c>
      <c r="X6147">
        <v>0.99926669999999995</v>
      </c>
      <c r="Y6147">
        <v>0.144702</v>
      </c>
      <c r="Z6147">
        <v>1.669114E-2</v>
      </c>
      <c r="AA6147">
        <v>0.98933450000000001</v>
      </c>
      <c r="AB6147">
        <v>39</v>
      </c>
      <c r="AC6147">
        <v>-0.47979999999995399</v>
      </c>
      <c r="AD6147">
        <v>-0.21625839999999999</v>
      </c>
      <c r="AE6147">
        <v>0.13389999999998201</v>
      </c>
      <c r="AF6147">
        <v>0.11149206248869099</v>
      </c>
      <c r="AG6147">
        <v>-0.21625839999999999</v>
      </c>
      <c r="AH6147">
        <v>0.404036206921007</v>
      </c>
      <c r="AI6147">
        <v>117.291981068562</v>
      </c>
      <c r="AJ6147">
        <v>74.573384806398707</v>
      </c>
      <c r="AK6147">
        <v>0.47163909090708001</v>
      </c>
      <c r="AL6147">
        <v>90.816666727671006</v>
      </c>
      <c r="AM6147">
        <v>87.963291019616307</v>
      </c>
      <c r="AN6147">
        <v>0.99999995348355997</v>
      </c>
    </row>
    <row r="6148" spans="1:40" x14ac:dyDescent="0.25">
      <c r="A6148" t="str">
        <f>"20190312154045211"</f>
        <v>20190312154045211</v>
      </c>
      <c r="B6148" t="str">
        <f>"1552376445202442"</f>
        <v>1552376445202442</v>
      </c>
      <c r="C6148" t="s">
        <v>40</v>
      </c>
      <c r="D6148">
        <v>4.2112259999999999</v>
      </c>
      <c r="E6148">
        <v>0.54573539999999998</v>
      </c>
      <c r="F6148" t="s">
        <v>41</v>
      </c>
      <c r="G6148">
        <v>-281.36770000000001</v>
      </c>
      <c r="H6148">
        <v>0.90389839999999999</v>
      </c>
      <c r="I6148">
        <v>140.35239999999999</v>
      </c>
      <c r="J6148">
        <v>-280.94400000000002</v>
      </c>
      <c r="K6148">
        <v>1.1091439999999999</v>
      </c>
      <c r="L6148">
        <v>140.22540000000001</v>
      </c>
      <c r="M6148">
        <v>-0.99988100000000002</v>
      </c>
      <c r="N6148">
        <v>0</v>
      </c>
      <c r="O6148">
        <v>3.5444920000000002E-3</v>
      </c>
      <c r="P6148">
        <v>-0.99882040000000005</v>
      </c>
      <c r="Q6148">
        <v>-2.8446119999999998E-2</v>
      </c>
      <c r="R6148">
        <v>3.9360390000000002E-2</v>
      </c>
      <c r="S6148">
        <v>-2.964661</v>
      </c>
      <c r="T6148">
        <v>-0.72727790000000003</v>
      </c>
      <c r="U6148">
        <v>0.4553528</v>
      </c>
      <c r="V6148">
        <v>3.579765E-2</v>
      </c>
      <c r="W6148">
        <v>-1.349234E-2</v>
      </c>
      <c r="X6148">
        <v>0.99926800000000005</v>
      </c>
      <c r="Y6148">
        <v>0.14423239999999901</v>
      </c>
      <c r="Z6148">
        <v>1.6483419999999999E-2</v>
      </c>
      <c r="AA6148">
        <v>0.98940649999999997</v>
      </c>
      <c r="AB6148">
        <v>39</v>
      </c>
      <c r="AC6148">
        <v>-0.42369999999999602</v>
      </c>
      <c r="AD6148">
        <v>-0.2052456</v>
      </c>
      <c r="AE6148">
        <v>0.12699999999998099</v>
      </c>
      <c r="AF6148">
        <v>0.103263465799453</v>
      </c>
      <c r="AG6148">
        <v>-0.2052456</v>
      </c>
      <c r="AH6148">
        <v>0.34900327582236401</v>
      </c>
      <c r="AI6148">
        <v>119.419696466151</v>
      </c>
      <c r="AJ6148">
        <v>73.517511277402505</v>
      </c>
      <c r="AK6148">
        <v>0.41784253759402701</v>
      </c>
      <c r="AL6148">
        <v>90.7730775749164</v>
      </c>
      <c r="AM6148">
        <v>87.948320640977698</v>
      </c>
      <c r="AN6148">
        <v>1.0000000254040899</v>
      </c>
    </row>
    <row r="6149" spans="1:40" x14ac:dyDescent="0.25">
      <c r="A6149" t="str">
        <f>"20190312154045232"</f>
        <v>20190312154045232</v>
      </c>
      <c r="B6149" t="str">
        <f>"1552376445221965"</f>
        <v>1552376445221965</v>
      </c>
      <c r="C6149" t="s">
        <v>40</v>
      </c>
      <c r="D6149">
        <v>4.2586409999999999</v>
      </c>
      <c r="E6149">
        <v>0.54570450000000004</v>
      </c>
      <c r="F6149" t="s">
        <v>41</v>
      </c>
      <c r="G6149">
        <v>-281.72559999999999</v>
      </c>
      <c r="H6149">
        <v>0.91811699999999996</v>
      </c>
      <c r="I6149">
        <v>140.34620000000001</v>
      </c>
      <c r="J6149">
        <v>-281.32310000000001</v>
      </c>
      <c r="K6149">
        <v>1.109154</v>
      </c>
      <c r="L6149">
        <v>140.22730000000001</v>
      </c>
      <c r="M6149">
        <v>-0.99987859999999995</v>
      </c>
      <c r="N6149">
        <v>0</v>
      </c>
      <c r="O6149">
        <v>4.132312E-3</v>
      </c>
      <c r="P6149">
        <v>-0.99878880000000003</v>
      </c>
      <c r="Q6149">
        <v>-2.820431E-2</v>
      </c>
      <c r="R6149">
        <v>4.0320380000000003E-2</v>
      </c>
      <c r="S6149">
        <v>-2.9649049999999999</v>
      </c>
      <c r="T6149">
        <v>-0.72467579999999998</v>
      </c>
      <c r="U6149">
        <v>0.45777889999999999</v>
      </c>
      <c r="V6149">
        <v>3.6170929999999997E-2</v>
      </c>
      <c r="W6149">
        <v>-1.324989E-2</v>
      </c>
      <c r="X6149">
        <v>0.99925779999999997</v>
      </c>
      <c r="Y6149">
        <v>0.14446979999999901</v>
      </c>
      <c r="Z6149">
        <v>1.631148E-2</v>
      </c>
      <c r="AA6149">
        <v>0.9893748</v>
      </c>
      <c r="AB6149">
        <v>39</v>
      </c>
      <c r="AC6149">
        <v>-0.40249999999997499</v>
      </c>
      <c r="AD6149">
        <v>-0.19103700000000001</v>
      </c>
      <c r="AE6149">
        <v>0.118899999999996</v>
      </c>
      <c r="AF6149">
        <v>9.7114420080895505E-2</v>
      </c>
      <c r="AG6149">
        <v>-0.19103700000000001</v>
      </c>
      <c r="AH6149">
        <v>0.33382317886135698</v>
      </c>
      <c r="AI6149">
        <v>118.788354843281</v>
      </c>
      <c r="AJ6149">
        <v>73.779454594454407</v>
      </c>
      <c r="AK6149">
        <v>0.39669164435585202</v>
      </c>
      <c r="AL6149">
        <v>90.759184973119204</v>
      </c>
      <c r="AM6149">
        <v>87.926924182029296</v>
      </c>
      <c r="AN6149">
        <v>1.0000000233114501</v>
      </c>
    </row>
    <row r="6150" spans="1:40" x14ac:dyDescent="0.25">
      <c r="A6150" t="str">
        <f>"20190312154045255"</f>
        <v>20190312154045255</v>
      </c>
      <c r="B6150" t="str">
        <f>"1552376445242458"</f>
        <v>1552376445242458</v>
      </c>
      <c r="C6150" t="s">
        <v>40</v>
      </c>
      <c r="D6150">
        <v>4.2251799999999999</v>
      </c>
      <c r="E6150">
        <v>0.54570790000000002</v>
      </c>
      <c r="F6150" t="s">
        <v>41</v>
      </c>
      <c r="G6150">
        <v>-282.08</v>
      </c>
      <c r="H6150">
        <v>0.92455830000000006</v>
      </c>
      <c r="I6150">
        <v>140.34520000000001</v>
      </c>
      <c r="J6150">
        <v>-281.72250000000003</v>
      </c>
      <c r="K6150">
        <v>1.109151</v>
      </c>
      <c r="L6150">
        <v>140.2295</v>
      </c>
      <c r="M6150">
        <v>-0.99987579999999998</v>
      </c>
      <c r="N6150">
        <v>0</v>
      </c>
      <c r="O6150">
        <v>4.7516049999999999E-3</v>
      </c>
      <c r="P6150">
        <v>-0.99877769999999999</v>
      </c>
      <c r="Q6150">
        <v>-2.741331E-2</v>
      </c>
      <c r="R6150">
        <v>4.1129350000000002E-2</v>
      </c>
      <c r="S6150">
        <v>-2.9646300000000001</v>
      </c>
      <c r="T6150">
        <v>-0.72296289999999996</v>
      </c>
      <c r="U6150">
        <v>0.46067809999999998</v>
      </c>
      <c r="V6150">
        <v>3.6362489999999997E-2</v>
      </c>
      <c r="W6150">
        <v>-1.2458530000000001E-2</v>
      </c>
      <c r="X6150">
        <v>0.99926099999999995</v>
      </c>
      <c r="Y6150">
        <v>0.144842</v>
      </c>
      <c r="Z6150">
        <v>1.6170770000000001E-2</v>
      </c>
      <c r="AA6150">
        <v>0.9893227</v>
      </c>
      <c r="AB6150">
        <v>39</v>
      </c>
      <c r="AC6150">
        <v>-0.35749999999995902</v>
      </c>
      <c r="AD6150">
        <v>-0.184592699999999</v>
      </c>
      <c r="AE6150">
        <v>0.11570000000000299</v>
      </c>
      <c r="AF6150">
        <v>9.18366020044456E-2</v>
      </c>
      <c r="AG6150">
        <v>-0.184592699999999</v>
      </c>
      <c r="AH6150">
        <v>0.28843653672513803</v>
      </c>
      <c r="AI6150">
        <v>121.375379078153</v>
      </c>
      <c r="AJ6150">
        <v>72.338811838993493</v>
      </c>
      <c r="AK6150">
        <v>0.35454768660788699</v>
      </c>
      <c r="AL6150">
        <v>90.713839658120307</v>
      </c>
      <c r="AM6150">
        <v>87.915961567460101</v>
      </c>
      <c r="AN6150">
        <v>0.99999999588487998</v>
      </c>
    </row>
    <row r="6151" spans="1:40" x14ac:dyDescent="0.25">
      <c r="A6151" t="str">
        <f>"20190312154045277"</f>
        <v>20190312154045277</v>
      </c>
      <c r="B6151" t="str">
        <f>"1552376445272713"</f>
        <v>1552376445272713</v>
      </c>
      <c r="C6151" t="s">
        <v>40</v>
      </c>
      <c r="D6151">
        <v>4.2204790000000001</v>
      </c>
      <c r="E6151">
        <v>0.54569540000000005</v>
      </c>
      <c r="F6151" t="s">
        <v>41</v>
      </c>
      <c r="G6151">
        <v>-282.43630000000002</v>
      </c>
      <c r="H6151">
        <v>0.93587569999999998</v>
      </c>
      <c r="I6151">
        <v>140.34129999999999</v>
      </c>
      <c r="J6151">
        <v>-282.11070000000001</v>
      </c>
      <c r="K6151">
        <v>1.1091580000000001</v>
      </c>
      <c r="L6151">
        <v>140.2319</v>
      </c>
      <c r="M6151">
        <v>-0.99987269999999995</v>
      </c>
      <c r="N6151">
        <v>0</v>
      </c>
      <c r="O6151">
        <v>5.3540949999999997E-3</v>
      </c>
      <c r="P6151">
        <v>-0.99874560000000001</v>
      </c>
      <c r="Q6151">
        <v>-2.7190189999999999E-2</v>
      </c>
      <c r="R6151">
        <v>4.2046340000000001E-2</v>
      </c>
      <c r="S6151">
        <v>-2.9648439999999998</v>
      </c>
      <c r="T6151">
        <v>-0.71972530000000001</v>
      </c>
      <c r="U6151">
        <v>0.46351619999999999</v>
      </c>
      <c r="V6151">
        <v>3.6677990000000001E-2</v>
      </c>
      <c r="W6151">
        <v>-1.2236169999999999E-2</v>
      </c>
      <c r="X6151">
        <v>0.99925220000000003</v>
      </c>
      <c r="Y6151">
        <v>0.14520339999999901</v>
      </c>
      <c r="Z6151">
        <v>1.59978E-2</v>
      </c>
      <c r="AA6151">
        <v>0.9892725</v>
      </c>
      <c r="AB6151">
        <v>39</v>
      </c>
      <c r="AC6151">
        <v>-0.32560000000000799</v>
      </c>
      <c r="AD6151">
        <v>-0.1732823</v>
      </c>
      <c r="AE6151">
        <v>0.109399999999993</v>
      </c>
      <c r="AF6151">
        <v>8.5815077673882495E-2</v>
      </c>
      <c r="AG6151">
        <v>-0.1732823</v>
      </c>
      <c r="AH6151">
        <v>0.26000905486319797</v>
      </c>
      <c r="AI6151">
        <v>122.32843399746</v>
      </c>
      <c r="AJ6151">
        <v>71.7347076507982</v>
      </c>
      <c r="AK6151">
        <v>0.32403038693974101</v>
      </c>
      <c r="AL6151">
        <v>90.701098409059099</v>
      </c>
      <c r="AM6151">
        <v>87.897877015625795</v>
      </c>
      <c r="AN6151">
        <v>0.99999997900577398</v>
      </c>
    </row>
    <row r="6152" spans="1:40" x14ac:dyDescent="0.25">
      <c r="A6152" t="str">
        <f>"20190312154045301"</f>
        <v>20190312154045301</v>
      </c>
      <c r="B6152" t="str">
        <f>"1552376445292237"</f>
        <v>1552376445292237</v>
      </c>
      <c r="C6152" t="s">
        <v>40</v>
      </c>
      <c r="D6152">
        <v>4.1955109999999998</v>
      </c>
      <c r="E6152">
        <v>0.54569330000000005</v>
      </c>
      <c r="F6152" t="s">
        <v>41</v>
      </c>
      <c r="G6152">
        <v>-283.1087</v>
      </c>
      <c r="H6152">
        <v>0.86715249999999999</v>
      </c>
      <c r="I6152">
        <v>140.38890000000001</v>
      </c>
      <c r="J6152">
        <v>-282.51900000000001</v>
      </c>
      <c r="K6152">
        <v>1.109162</v>
      </c>
      <c r="L6152">
        <v>140.2347</v>
      </c>
      <c r="M6152">
        <v>-0.99986920000000001</v>
      </c>
      <c r="N6152">
        <v>0</v>
      </c>
      <c r="O6152">
        <v>5.9874569999999998E-3</v>
      </c>
      <c r="P6152">
        <v>-0.99872329999999998</v>
      </c>
      <c r="Q6152">
        <v>-2.7072969999999998E-2</v>
      </c>
      <c r="R6152">
        <v>4.2647060000000001E-2</v>
      </c>
      <c r="S6152">
        <v>-2.9645999999999999</v>
      </c>
      <c r="T6152">
        <v>-0.71884619999999999</v>
      </c>
      <c r="U6152">
        <v>0.46574399999999999</v>
      </c>
      <c r="V6152">
        <v>3.6646400000000003E-2</v>
      </c>
      <c r="W6152">
        <v>-1.2119619999999999E-2</v>
      </c>
      <c r="X6152">
        <v>0.9992548</v>
      </c>
      <c r="Y6152">
        <v>0.14533879999999999</v>
      </c>
      <c r="Z6152">
        <v>1.5844779999999999E-2</v>
      </c>
      <c r="AA6152">
        <v>0.98925510000000005</v>
      </c>
      <c r="AB6152">
        <v>39</v>
      </c>
      <c r="AC6152">
        <v>-0.58969999999999301</v>
      </c>
      <c r="AD6152">
        <v>-0.24200949999999999</v>
      </c>
      <c r="AE6152">
        <v>0.154200000000003</v>
      </c>
      <c r="AF6152">
        <v>0.130148814678469</v>
      </c>
      <c r="AG6152">
        <v>-0.24200949999999999</v>
      </c>
      <c r="AH6152">
        <v>0.51018503498912804</v>
      </c>
      <c r="AI6152">
        <v>114.685226349614</v>
      </c>
      <c r="AJ6152">
        <v>75.689003965847803</v>
      </c>
      <c r="AK6152">
        <v>0.57947914714795301</v>
      </c>
      <c r="AL6152">
        <v>90.694420076310806</v>
      </c>
      <c r="AM6152">
        <v>87.899691368802706</v>
      </c>
      <c r="AN6152">
        <v>0.99999999957247199</v>
      </c>
    </row>
    <row r="6153" spans="1:40" x14ac:dyDescent="0.25">
      <c r="A6153" t="str">
        <f>"20190312154045323"</f>
        <v>20190312154045323</v>
      </c>
      <c r="B6153" t="str">
        <f>"1552376445312730"</f>
        <v>1552376445312730</v>
      </c>
      <c r="C6153" t="s">
        <v>40</v>
      </c>
      <c r="D6153">
        <v>4.1700710000000001</v>
      </c>
      <c r="E6153">
        <v>0.54567959999999904</v>
      </c>
      <c r="F6153" t="s">
        <v>41</v>
      </c>
      <c r="G6153">
        <v>-283.46390000000002</v>
      </c>
      <c r="H6153">
        <v>0.88023759999999995</v>
      </c>
      <c r="I6153">
        <v>140.38409999999999</v>
      </c>
      <c r="J6153">
        <v>-282.90859999999998</v>
      </c>
      <c r="K6153">
        <v>1.1091719999999901</v>
      </c>
      <c r="L6153">
        <v>140.23759999999999</v>
      </c>
      <c r="M6153">
        <v>-0.99986549999999996</v>
      </c>
      <c r="N6153">
        <v>0</v>
      </c>
      <c r="O6153">
        <v>6.5910179999999997E-3</v>
      </c>
      <c r="P6153">
        <v>-0.99870440000000005</v>
      </c>
      <c r="Q6153">
        <v>-2.7038820000000002E-2</v>
      </c>
      <c r="R6153">
        <v>4.311574E-2</v>
      </c>
      <c r="S6153">
        <v>-2.9643860000000002</v>
      </c>
      <c r="T6153">
        <v>-0.71821420000000002</v>
      </c>
      <c r="U6153">
        <v>0.467804</v>
      </c>
      <c r="V6153">
        <v>3.6512339999999997E-2</v>
      </c>
      <c r="W6153">
        <v>-1.2086309999999999E-2</v>
      </c>
      <c r="X6153">
        <v>0.99926009999999998</v>
      </c>
      <c r="Y6153">
        <v>0.1454445</v>
      </c>
      <c r="Z6153">
        <v>1.57007999999999E-2</v>
      </c>
      <c r="AA6153">
        <v>0.98924179999999995</v>
      </c>
      <c r="AB6153">
        <v>39</v>
      </c>
      <c r="AC6153">
        <v>-0.55530000000004498</v>
      </c>
      <c r="AD6153">
        <v>-0.22893439999999901</v>
      </c>
      <c r="AE6153">
        <v>0.14650000000000299</v>
      </c>
      <c r="AF6153">
        <v>0.123250906058558</v>
      </c>
      <c r="AG6153">
        <v>-0.22893439999999901</v>
      </c>
      <c r="AH6153">
        <v>0.47998099885489898</v>
      </c>
      <c r="AI6153">
        <v>114.795891022033</v>
      </c>
      <c r="AJ6153">
        <v>75.598574203191802</v>
      </c>
      <c r="AK6153">
        <v>0.54587865374033695</v>
      </c>
      <c r="AL6153">
        <v>90.692511421656604</v>
      </c>
      <c r="AM6153">
        <v>87.907378971604004</v>
      </c>
      <c r="AN6153">
        <v>0.99999998865685003</v>
      </c>
    </row>
    <row r="6154" spans="1:40" x14ac:dyDescent="0.25">
      <c r="A6154" t="str">
        <f>"20190312154045343"</f>
        <v>20190312154045343</v>
      </c>
      <c r="B6154" t="str">
        <f>"1552376445332249"</f>
        <v>1552376445332249</v>
      </c>
      <c r="C6154" t="s">
        <v>40</v>
      </c>
      <c r="D6154">
        <v>4.1769610000000004</v>
      </c>
      <c r="E6154">
        <v>0.54569060000000003</v>
      </c>
      <c r="F6154" t="s">
        <v>41</v>
      </c>
      <c r="G6154">
        <v>-283.81709999999998</v>
      </c>
      <c r="H6154">
        <v>0.88925919999999903</v>
      </c>
      <c r="I6154">
        <v>140.38159999999999</v>
      </c>
      <c r="J6154">
        <v>-283.26650000000001</v>
      </c>
      <c r="K6154">
        <v>1.1091850000000001</v>
      </c>
      <c r="L6154">
        <v>140.2405</v>
      </c>
      <c r="M6154">
        <v>-0.99986169999999996</v>
      </c>
      <c r="N6154">
        <v>0</v>
      </c>
      <c r="O6154">
        <v>7.1431919999999996E-3</v>
      </c>
      <c r="P6154">
        <v>-0.99872240000000001</v>
      </c>
      <c r="Q6154">
        <v>-2.6483130000000001E-2</v>
      </c>
      <c r="R6154">
        <v>4.3040450000000001E-2</v>
      </c>
      <c r="S6154">
        <v>-2.9642029999999999</v>
      </c>
      <c r="T6154">
        <v>-0.71752579999999999</v>
      </c>
      <c r="U6154">
        <v>0.46931460000000003</v>
      </c>
      <c r="V6154">
        <v>3.5886149999999999E-2</v>
      </c>
      <c r="W6154">
        <v>-1.1530439999999999E-2</v>
      </c>
      <c r="X6154">
        <v>0.99928939999999999</v>
      </c>
      <c r="Y6154">
        <v>0.14542330000000001</v>
      </c>
      <c r="Z6154">
        <v>1.5553030000000001E-2</v>
      </c>
      <c r="AA6154">
        <v>0.98924730000000005</v>
      </c>
      <c r="AB6154">
        <v>39</v>
      </c>
      <c r="AC6154">
        <v>-0.550599999999974</v>
      </c>
      <c r="AD6154">
        <v>-0.2199258</v>
      </c>
      <c r="AE6154">
        <v>0.14109999999999401</v>
      </c>
      <c r="AF6154">
        <v>0.119301987545054</v>
      </c>
      <c r="AG6154">
        <v>-0.2199258</v>
      </c>
      <c r="AH6154">
        <v>0.479767122483514</v>
      </c>
      <c r="AI6154">
        <v>113.98206538729301</v>
      </c>
      <c r="AJ6154">
        <v>76.035691293983902</v>
      </c>
      <c r="AK6154">
        <v>0.54108854502193204</v>
      </c>
      <c r="AL6154">
        <v>90.660660164018395</v>
      </c>
      <c r="AM6154">
        <v>87.943296777843003</v>
      </c>
      <c r="AN6154">
        <v>1.00000003588038</v>
      </c>
    </row>
    <row r="6155" spans="1:40" x14ac:dyDescent="0.25">
      <c r="A6155" t="str">
        <f>"20190312154045366"</f>
        <v>20190312154045366</v>
      </c>
      <c r="B6155" t="str">
        <f>"1552376445352746"</f>
        <v>1552376445352746</v>
      </c>
      <c r="C6155" t="s">
        <v>40</v>
      </c>
      <c r="D6155">
        <v>4.1855320000000003</v>
      </c>
      <c r="E6155">
        <v>0.54568539999999999</v>
      </c>
      <c r="F6155" t="s">
        <v>41</v>
      </c>
      <c r="G6155">
        <v>-284.16719999999998</v>
      </c>
      <c r="H6155">
        <v>0.891738699999999</v>
      </c>
      <c r="I6155">
        <v>140.38329999999999</v>
      </c>
      <c r="J6155">
        <v>-283.65719999999999</v>
      </c>
      <c r="K6155">
        <v>1.109192</v>
      </c>
      <c r="L6155">
        <v>140.2439</v>
      </c>
      <c r="M6155">
        <v>-0.99985740000000001</v>
      </c>
      <c r="N6155">
        <v>0</v>
      </c>
      <c r="O6155">
        <v>7.7411729999999996E-3</v>
      </c>
      <c r="P6155">
        <v>-0.99874010000000002</v>
      </c>
      <c r="Q6155">
        <v>-2.618556E-2</v>
      </c>
      <c r="R6155">
        <v>4.281343E-2</v>
      </c>
      <c r="S6155">
        <v>-2.964661</v>
      </c>
      <c r="T6155">
        <v>-0.71567219999999998</v>
      </c>
      <c r="U6155">
        <v>0.46943659999999998</v>
      </c>
      <c r="V6155">
        <v>3.5062089999999997E-2</v>
      </c>
      <c r="W6155">
        <v>-1.123274E-2</v>
      </c>
      <c r="X6155">
        <v>0.99932200000000004</v>
      </c>
      <c r="Y6155">
        <v>0.14490059999999999</v>
      </c>
      <c r="Z6155">
        <v>1.530834E-2</v>
      </c>
      <c r="AA6155">
        <v>0.98932779999999998</v>
      </c>
      <c r="AB6155">
        <v>39</v>
      </c>
      <c r="AC6155">
        <v>-0.50999999999999002</v>
      </c>
      <c r="AD6155">
        <v>-0.21745329999999999</v>
      </c>
      <c r="AE6155">
        <v>0.139399999999994</v>
      </c>
      <c r="AF6155">
        <v>0.115850078885988</v>
      </c>
      <c r="AG6155">
        <v>-0.21745329999999999</v>
      </c>
      <c r="AH6155">
        <v>0.43712030458126599</v>
      </c>
      <c r="AI6155">
        <v>115.681327208542</v>
      </c>
      <c r="AJ6155">
        <v>75.156156511368195</v>
      </c>
      <c r="AK6155">
        <v>0.50177817722176699</v>
      </c>
      <c r="AL6155">
        <v>90.643602134265507</v>
      </c>
      <c r="AM6155">
        <v>87.990551542978494</v>
      </c>
      <c r="AN6155">
        <v>0.99999999214353696</v>
      </c>
    </row>
    <row r="6156" spans="1:40" x14ac:dyDescent="0.25">
      <c r="A6156" t="str">
        <f>"20190312154045388"</f>
        <v>20190312154045388</v>
      </c>
      <c r="B6156" t="str">
        <f>"1552376445382029"</f>
        <v>1552376445382029</v>
      </c>
      <c r="C6156" t="s">
        <v>40</v>
      </c>
      <c r="D6156">
        <v>4.1428770000000004</v>
      </c>
      <c r="E6156">
        <v>0.54568050000000001</v>
      </c>
      <c r="F6156" t="s">
        <v>41</v>
      </c>
      <c r="G6156">
        <v>-284.51990000000001</v>
      </c>
      <c r="H6156">
        <v>0.9013293</v>
      </c>
      <c r="I6156">
        <v>140.38040000000001</v>
      </c>
      <c r="J6156">
        <v>-284.05680000000001</v>
      </c>
      <c r="K6156">
        <v>1.109202</v>
      </c>
      <c r="L6156">
        <v>140.2475</v>
      </c>
      <c r="M6156">
        <v>-0.99985250000000003</v>
      </c>
      <c r="N6156">
        <v>0</v>
      </c>
      <c r="O6156">
        <v>8.3426139999999999E-3</v>
      </c>
      <c r="P6156">
        <v>-0.99876690000000001</v>
      </c>
      <c r="Q6156">
        <v>-2.508376E-2</v>
      </c>
      <c r="R6156">
        <v>4.2844649999999998E-2</v>
      </c>
      <c r="S6156">
        <v>-2.9649350000000001</v>
      </c>
      <c r="T6156">
        <v>-0.71447859999999996</v>
      </c>
      <c r="U6156">
        <v>0.46900940000000002</v>
      </c>
      <c r="V6156">
        <v>3.4493940000000001E-2</v>
      </c>
      <c r="W6156">
        <v>-1.013127E-2</v>
      </c>
      <c r="X6156">
        <v>0.99935350000000001</v>
      </c>
      <c r="Y6156">
        <v>0.1442021</v>
      </c>
      <c r="Z6156">
        <v>1.505782E-2</v>
      </c>
      <c r="AA6156">
        <v>0.98943369999999997</v>
      </c>
      <c r="AB6156">
        <v>39</v>
      </c>
      <c r="AC6156">
        <v>-0.46309999999999701</v>
      </c>
      <c r="AD6156">
        <v>-0.20787269999999999</v>
      </c>
      <c r="AE6156">
        <v>0.13290000000000601</v>
      </c>
      <c r="AF6156">
        <v>0.10878128758918</v>
      </c>
      <c r="AG6156">
        <v>-0.20787269999999999</v>
      </c>
      <c r="AH6156">
        <v>0.39134237746660899</v>
      </c>
      <c r="AI6156">
        <v>117.10222142678199</v>
      </c>
      <c r="AJ6156">
        <v>74.465685726363304</v>
      </c>
      <c r="AK6156">
        <v>0.45628202280614499</v>
      </c>
      <c r="AL6156">
        <v>90.580488974086805</v>
      </c>
      <c r="AM6156">
        <v>88.023149083312006</v>
      </c>
      <c r="AN6156">
        <v>0.99999994624539101</v>
      </c>
    </row>
    <row r="6157" spans="1:40" x14ac:dyDescent="0.25">
      <c r="A6157" t="str">
        <f>"20190312154045411"</f>
        <v>20190312154045411</v>
      </c>
      <c r="B6157" t="str">
        <f>"1552376445402522"</f>
        <v>1552376445402522</v>
      </c>
      <c r="C6157" t="s">
        <v>40</v>
      </c>
      <c r="D6157">
        <v>4.1539830000000002</v>
      </c>
      <c r="E6157">
        <v>0.54567690000000002</v>
      </c>
      <c r="F6157" t="s">
        <v>41</v>
      </c>
      <c r="G6157">
        <v>-284.87310000000002</v>
      </c>
      <c r="H6157">
        <v>0.91340710000000003</v>
      </c>
      <c r="I6157">
        <v>140.3768</v>
      </c>
      <c r="J6157">
        <v>-284.45389999999998</v>
      </c>
      <c r="K6157">
        <v>1.1092139999999999</v>
      </c>
      <c r="L6157">
        <v>140.25139999999999</v>
      </c>
      <c r="M6157">
        <v>-0.9998475</v>
      </c>
      <c r="N6157">
        <v>0</v>
      </c>
      <c r="O6157">
        <v>8.9235319999999996E-3</v>
      </c>
      <c r="P6157">
        <v>-0.99876410000000004</v>
      </c>
      <c r="Q6157">
        <v>-2.4826150000000002E-2</v>
      </c>
      <c r="R6157">
        <v>4.3063539999999997E-2</v>
      </c>
      <c r="S6157">
        <v>-2.9657589999999998</v>
      </c>
      <c r="T6157">
        <v>-0.71135569999999904</v>
      </c>
      <c r="U6157">
        <v>0.46861269999999999</v>
      </c>
      <c r="V6157">
        <v>3.4133360000000001E-2</v>
      </c>
      <c r="W6157">
        <v>-9.8744569999999997E-3</v>
      </c>
      <c r="X6157">
        <v>0.99936849999999999</v>
      </c>
      <c r="Y6157">
        <v>0.14352529999999999</v>
      </c>
      <c r="Z6157">
        <v>1.477384E-2</v>
      </c>
      <c r="AA6157">
        <v>0.98953630000000004</v>
      </c>
      <c r="AB6157">
        <v>39</v>
      </c>
      <c r="AC6157">
        <v>-0.41920000000004598</v>
      </c>
      <c r="AD6157">
        <v>-0.19580689999999901</v>
      </c>
      <c r="AE6157">
        <v>0.125400000000013</v>
      </c>
      <c r="AF6157">
        <v>0.101356325755837</v>
      </c>
      <c r="AG6157">
        <v>-0.19580689999999901</v>
      </c>
      <c r="AH6157">
        <v>0.35017646252074702</v>
      </c>
      <c r="AI6157">
        <v>118.241114729678</v>
      </c>
      <c r="AJ6157">
        <v>73.857253199442695</v>
      </c>
      <c r="AK6157">
        <v>0.41380792858749998</v>
      </c>
      <c r="AL6157">
        <v>90.565773908466298</v>
      </c>
      <c r="AM6157">
        <v>88.0438271553394</v>
      </c>
      <c r="AN6157">
        <v>0.99999999497909198</v>
      </c>
    </row>
    <row r="6158" spans="1:40" x14ac:dyDescent="0.25">
      <c r="A6158" t="str">
        <f>"20190312154045433"</f>
        <v>20190312154045433</v>
      </c>
      <c r="B6158" t="str">
        <f>"1552376445422042"</f>
        <v>1552376445422042</v>
      </c>
      <c r="C6158" t="s">
        <v>40</v>
      </c>
      <c r="D6158">
        <v>4.1001050000000001</v>
      </c>
      <c r="E6158">
        <v>0.54565489999999905</v>
      </c>
      <c r="F6158" t="s">
        <v>41</v>
      </c>
      <c r="G6158">
        <v>-285.22579999999999</v>
      </c>
      <c r="H6158">
        <v>0.92419720000000005</v>
      </c>
      <c r="I6158">
        <v>140.37350000000001</v>
      </c>
      <c r="J6158">
        <v>-284.83019999999999</v>
      </c>
      <c r="K6158">
        <v>1.1092249999999999</v>
      </c>
      <c r="L6158">
        <v>140.25530000000001</v>
      </c>
      <c r="M6158">
        <v>-0.99984260000000003</v>
      </c>
      <c r="N6158">
        <v>0</v>
      </c>
      <c r="O6158">
        <v>9.4502990000000005E-3</v>
      </c>
      <c r="P6158">
        <v>-0.99869260000000004</v>
      </c>
      <c r="Q6158">
        <v>-2.557094E-2</v>
      </c>
      <c r="R6158">
        <v>4.4265489999999998E-2</v>
      </c>
      <c r="S6158">
        <v>-2.9657589999999998</v>
      </c>
      <c r="T6158">
        <v>-0.71089399999999903</v>
      </c>
      <c r="U6158">
        <v>0.46871950000000001</v>
      </c>
      <c r="V6158">
        <v>3.4808779999999998E-2</v>
      </c>
      <c r="W6158">
        <v>-1.062213E-2</v>
      </c>
      <c r="X6158">
        <v>0.99933760000000005</v>
      </c>
      <c r="Y6158">
        <v>0.143071</v>
      </c>
      <c r="Z6158">
        <v>1.4587370000000001E-2</v>
      </c>
      <c r="AA6158">
        <v>0.98960490000000001</v>
      </c>
      <c r="AB6158">
        <v>39</v>
      </c>
      <c r="AC6158">
        <v>-0.39560000000000101</v>
      </c>
      <c r="AD6158">
        <v>-0.18502779999999999</v>
      </c>
      <c r="AE6158">
        <v>0.118200000000001</v>
      </c>
      <c r="AF6158">
        <v>9.5314025985201403E-2</v>
      </c>
      <c r="AG6158">
        <v>-0.18502779999999999</v>
      </c>
      <c r="AH6158">
        <v>0.33035492892356699</v>
      </c>
      <c r="AI6158">
        <v>118.28635128051</v>
      </c>
      <c r="AJ6158">
        <v>73.906087904358699</v>
      </c>
      <c r="AK6158">
        <v>0.39045413224403502</v>
      </c>
      <c r="AL6158">
        <v>90.608614627376099</v>
      </c>
      <c r="AM6158">
        <v>88.005088372244998</v>
      </c>
      <c r="AN6158">
        <v>1.00000005979229</v>
      </c>
    </row>
    <row r="6159" spans="1:40" x14ac:dyDescent="0.25">
      <c r="A6159" t="str">
        <f>"20190312154045456"</f>
        <v>20190312154045456</v>
      </c>
      <c r="B6159" t="str">
        <f>"1552376445442538"</f>
        <v>1552376445442538</v>
      </c>
      <c r="C6159" t="s">
        <v>40</v>
      </c>
      <c r="D6159">
        <v>4.1298029999999999</v>
      </c>
      <c r="E6159">
        <v>0.54567699999999997</v>
      </c>
      <c r="F6159" t="s">
        <v>41</v>
      </c>
      <c r="G6159">
        <v>-285.57600000000002</v>
      </c>
      <c r="H6159">
        <v>0.92989889999999997</v>
      </c>
      <c r="I6159">
        <v>140.37430000000001</v>
      </c>
      <c r="J6159">
        <v>-285.23140000000001</v>
      </c>
      <c r="K6159">
        <v>1.109248</v>
      </c>
      <c r="L6159">
        <v>140.25960000000001</v>
      </c>
      <c r="M6159">
        <v>-0.99983759999999999</v>
      </c>
      <c r="N6159">
        <v>0</v>
      </c>
      <c r="O6159">
        <v>9.9766190000000008E-3</v>
      </c>
      <c r="P6159">
        <v>-0.99858499999999994</v>
      </c>
      <c r="Q6159">
        <v>-2.6516809999999998E-2</v>
      </c>
      <c r="R6159">
        <v>4.6094780000000002E-2</v>
      </c>
      <c r="S6159">
        <v>-2.9647519999999998</v>
      </c>
      <c r="T6159">
        <v>-0.71292290000000003</v>
      </c>
      <c r="U6159">
        <v>0.47227479999999999</v>
      </c>
      <c r="V6159">
        <v>3.6112449999999997E-2</v>
      </c>
      <c r="W6159">
        <v>-1.15717999999999E-2</v>
      </c>
      <c r="X6159">
        <v>0.99928079999999997</v>
      </c>
      <c r="Y6159">
        <v>0.14373359999999999</v>
      </c>
      <c r="Z6159">
        <v>1.458541E-2</v>
      </c>
      <c r="AA6159">
        <v>0.98950890000000002</v>
      </c>
      <c r="AB6159">
        <v>39</v>
      </c>
      <c r="AC6159">
        <v>-0.344599999999957</v>
      </c>
      <c r="AD6159">
        <v>-0.17934910000000001</v>
      </c>
      <c r="AE6159">
        <v>0.114699999999999</v>
      </c>
      <c r="AF6159">
        <v>8.9444289170903996E-2</v>
      </c>
      <c r="AG6159">
        <v>-0.17934910000000001</v>
      </c>
      <c r="AH6159">
        <v>0.27794764377515402</v>
      </c>
      <c r="AI6159">
        <v>121.559953424645</v>
      </c>
      <c r="AJ6159">
        <v>72.161686954627598</v>
      </c>
      <c r="AK6159">
        <v>0.34266787596192599</v>
      </c>
      <c r="AL6159">
        <v>90.663030055233605</v>
      </c>
      <c r="AM6159">
        <v>87.930320543742397</v>
      </c>
      <c r="AN6159">
        <v>1.00000006642443</v>
      </c>
    </row>
    <row r="6160" spans="1:40" x14ac:dyDescent="0.25">
      <c r="A6160" t="str">
        <f>"20190312154045478"</f>
        <v>20190312154045478</v>
      </c>
      <c r="B6160" t="str">
        <f>"1552376445472793"</f>
        <v>1552376445472793</v>
      </c>
      <c r="C6160" t="s">
        <v>40</v>
      </c>
      <c r="D6160">
        <v>4.127885</v>
      </c>
      <c r="E6160">
        <v>0.54573169999999904</v>
      </c>
      <c r="F6160" t="s">
        <v>41</v>
      </c>
      <c r="G6160">
        <v>-285.9282</v>
      </c>
      <c r="H6160">
        <v>0.94091829999999999</v>
      </c>
      <c r="I6160">
        <v>140.37190000000001</v>
      </c>
      <c r="J6160">
        <v>-285.61649999999997</v>
      </c>
      <c r="K6160">
        <v>1.1092879999999901</v>
      </c>
      <c r="L6160">
        <v>140.26390000000001</v>
      </c>
      <c r="M6160">
        <v>-0.99983299999999997</v>
      </c>
      <c r="N6160">
        <v>0</v>
      </c>
      <c r="O6160">
        <v>1.043504E-2</v>
      </c>
      <c r="P6160">
        <v>-0.99850499999999998</v>
      </c>
      <c r="Q6160">
        <v>-2.6258420000000001E-2</v>
      </c>
      <c r="R6160">
        <v>4.7942140000000001E-2</v>
      </c>
      <c r="S6160">
        <v>-2.963165</v>
      </c>
      <c r="T6160">
        <v>-0.71581349999999999</v>
      </c>
      <c r="U6160">
        <v>0.47761540000000002</v>
      </c>
      <c r="V6160">
        <v>3.7503790000000002E-2</v>
      </c>
      <c r="W6160">
        <v>-1.131628E-2</v>
      </c>
      <c r="X6160">
        <v>0.99923240000000002</v>
      </c>
      <c r="Y6160">
        <v>0.145044799999999</v>
      </c>
      <c r="Z6160">
        <v>1.469518E-2</v>
      </c>
      <c r="AA6160">
        <v>0.98931590000000003</v>
      </c>
      <c r="AB6160">
        <v>39</v>
      </c>
      <c r="AC6160">
        <v>-0.31170000000003001</v>
      </c>
      <c r="AD6160">
        <v>-0.16836969999999901</v>
      </c>
      <c r="AE6160">
        <v>0.108000000000004</v>
      </c>
      <c r="AF6160">
        <v>8.3094611551778802E-2</v>
      </c>
      <c r="AG6160">
        <v>-0.16836969999999901</v>
      </c>
      <c r="AH6160">
        <v>0.248162605425257</v>
      </c>
      <c r="AI6160">
        <v>122.755501481587</v>
      </c>
      <c r="AJ6160">
        <v>71.487425479281697</v>
      </c>
      <c r="AK6160">
        <v>0.31118764287561701</v>
      </c>
      <c r="AL6160">
        <v>90.648388928819699</v>
      </c>
      <c r="AM6160">
        <v>87.850549353171402</v>
      </c>
      <c r="AN6160">
        <v>0.99999999083358104</v>
      </c>
    </row>
    <row r="6161" spans="1:40" x14ac:dyDescent="0.25">
      <c r="A6161" t="str">
        <f>"20190312154045501"</f>
        <v>20190312154045501</v>
      </c>
      <c r="B6161" t="str">
        <f>"1552376445492330"</f>
        <v>1552376445492330</v>
      </c>
      <c r="C6161" t="s">
        <v>40</v>
      </c>
      <c r="D6161">
        <v>4.1464359999999996</v>
      </c>
      <c r="E6161">
        <v>0.54580609999999996</v>
      </c>
      <c r="F6161" t="s">
        <v>41</v>
      </c>
      <c r="G6161">
        <v>-286.59269999999998</v>
      </c>
      <c r="H6161">
        <v>0.87348680000000001</v>
      </c>
      <c r="I6161">
        <v>140.42320000000001</v>
      </c>
      <c r="J6161">
        <v>-286.0016</v>
      </c>
      <c r="K6161">
        <v>1.109332</v>
      </c>
      <c r="L6161">
        <v>140.26830000000001</v>
      </c>
      <c r="M6161">
        <v>-0.99982870000000001</v>
      </c>
      <c r="N6161">
        <v>0</v>
      </c>
      <c r="O6161">
        <v>1.083981E-2</v>
      </c>
      <c r="P6161">
        <v>-0.99841179999999996</v>
      </c>
      <c r="Q6161">
        <v>-2.6832539999999998E-2</v>
      </c>
      <c r="R6161">
        <v>4.9535280000000001E-2</v>
      </c>
      <c r="S6161">
        <v>-2.9624630000000001</v>
      </c>
      <c r="T6161">
        <v>-0.71552530000000003</v>
      </c>
      <c r="U6161">
        <v>0.48368840000000002</v>
      </c>
      <c r="V6161">
        <v>3.8693850000000002E-2</v>
      </c>
      <c r="W6161">
        <v>-1.1892379999999999E-2</v>
      </c>
      <c r="X6161">
        <v>0.99918030000000002</v>
      </c>
      <c r="Y6161">
        <v>0.14662700000000001</v>
      </c>
      <c r="Z6161">
        <v>1.478193E-2</v>
      </c>
      <c r="AA6161">
        <v>0.9890814</v>
      </c>
      <c r="AB6161">
        <v>39</v>
      </c>
      <c r="AC6161">
        <v>-0.59109999999998297</v>
      </c>
      <c r="AD6161">
        <v>-0.2358452</v>
      </c>
      <c r="AE6161">
        <v>0.15489999999999701</v>
      </c>
      <c r="AF6161">
        <v>0.12923162407935501</v>
      </c>
      <c r="AG6161">
        <v>-0.2358452</v>
      </c>
      <c r="AH6161">
        <v>0.51589381304221504</v>
      </c>
      <c r="AI6161">
        <v>113.91520571093599</v>
      </c>
      <c r="AJ6161">
        <v>75.936773586375097</v>
      </c>
      <c r="AK6161">
        <v>0.581781915635458</v>
      </c>
      <c r="AL6161">
        <v>90.681399273662095</v>
      </c>
      <c r="AM6161">
        <v>87.782295107492203</v>
      </c>
      <c r="AN6161">
        <v>0.99999995731898705</v>
      </c>
    </row>
    <row r="6162" spans="1:40" x14ac:dyDescent="0.25">
      <c r="A6162" t="str">
        <f>"20190312154045522"</f>
        <v>20190312154045522</v>
      </c>
      <c r="B6162" t="str">
        <f>"1552376445512810"</f>
        <v>1552376445512810</v>
      </c>
      <c r="C6162" t="s">
        <v>40</v>
      </c>
      <c r="D6162">
        <v>4.1312629999999997</v>
      </c>
      <c r="E6162">
        <v>0.54585109999999903</v>
      </c>
      <c r="F6162" t="s">
        <v>41</v>
      </c>
      <c r="G6162">
        <v>-286.94189999999998</v>
      </c>
      <c r="H6162">
        <v>0.8813337</v>
      </c>
      <c r="I6162">
        <v>140.4238</v>
      </c>
      <c r="J6162">
        <v>-286.37880000000001</v>
      </c>
      <c r="K6162">
        <v>1.109378</v>
      </c>
      <c r="L6162">
        <v>140.27279999999999</v>
      </c>
      <c r="M6162">
        <v>-0.99982490000000002</v>
      </c>
      <c r="N6162">
        <v>0</v>
      </c>
      <c r="O6162">
        <v>1.118943E-2</v>
      </c>
      <c r="P6162">
        <v>-0.99837520000000002</v>
      </c>
      <c r="Q6162">
        <v>-2.7115239999999999E-2</v>
      </c>
      <c r="R6162">
        <v>5.011728E-2</v>
      </c>
      <c r="S6162">
        <v>-2.961182</v>
      </c>
      <c r="T6162">
        <v>-0.71810039999999997</v>
      </c>
      <c r="U6162">
        <v>0.48912050000000001</v>
      </c>
      <c r="V6162">
        <v>3.8927980000000001E-2</v>
      </c>
      <c r="W6162">
        <v>-1.217503E-2</v>
      </c>
      <c r="X6162">
        <v>0.9991679</v>
      </c>
      <c r="Y6162">
        <v>0.14805670000000001</v>
      </c>
      <c r="Z6162">
        <v>1.492449E-2</v>
      </c>
      <c r="AA6162">
        <v>0.98886629999999998</v>
      </c>
      <c r="AB6162">
        <v>39</v>
      </c>
      <c r="AC6162">
        <v>-0.56309999999996296</v>
      </c>
      <c r="AD6162">
        <v>-0.22804430000000001</v>
      </c>
      <c r="AE6162">
        <v>0.15100000000000999</v>
      </c>
      <c r="AF6162">
        <v>0.12548852478639599</v>
      </c>
      <c r="AG6162">
        <v>-0.22804430000000001</v>
      </c>
      <c r="AH6162">
        <v>0.48981042169830502</v>
      </c>
      <c r="AI6162">
        <v>114.275864789887</v>
      </c>
      <c r="AJ6162">
        <v>75.630008984213802</v>
      </c>
      <c r="AK6162">
        <v>0.55467632166861702</v>
      </c>
      <c r="AL6162">
        <v>90.697595030564301</v>
      </c>
      <c r="AM6162">
        <v>87.768862006438198</v>
      </c>
      <c r="AN6162">
        <v>1.0000000556863899</v>
      </c>
    </row>
    <row r="6163" spans="1:40" x14ac:dyDescent="0.25">
      <c r="A6163" t="str">
        <f>"20190312154045545"</f>
        <v>20190312154045545</v>
      </c>
      <c r="B6163" t="str">
        <f>"1552376445532330"</f>
        <v>1552376445532330</v>
      </c>
      <c r="C6163" t="s">
        <v>40</v>
      </c>
      <c r="D6163">
        <v>4.1203279999999998</v>
      </c>
      <c r="E6163">
        <v>0.545929</v>
      </c>
      <c r="F6163" t="s">
        <v>41</v>
      </c>
      <c r="G6163">
        <v>-287.2901</v>
      </c>
      <c r="H6163">
        <v>0.88793310000000003</v>
      </c>
      <c r="I6163">
        <v>140.42410000000001</v>
      </c>
      <c r="J6163">
        <v>-286.76569999999998</v>
      </c>
      <c r="K6163">
        <v>1.1094280000000001</v>
      </c>
      <c r="L6163">
        <v>140.2774</v>
      </c>
      <c r="M6163">
        <v>-0.99982159999999998</v>
      </c>
      <c r="N6163">
        <v>0</v>
      </c>
      <c r="O6163">
        <v>1.1494590000000001E-2</v>
      </c>
      <c r="P6163">
        <v>-0.99835090000000004</v>
      </c>
      <c r="Q6163">
        <v>-2.719361E-2</v>
      </c>
      <c r="R6163">
        <v>5.0557199999999997E-2</v>
      </c>
      <c r="S6163">
        <v>-2.9606629999999998</v>
      </c>
      <c r="T6163">
        <v>-0.71948059999999903</v>
      </c>
      <c r="U6163">
        <v>0.49133300000000002</v>
      </c>
      <c r="V6163">
        <v>3.906457E-2</v>
      </c>
      <c r="W6163">
        <v>-1.225304E-2</v>
      </c>
      <c r="X6163">
        <v>0.99916150000000004</v>
      </c>
      <c r="Y6163">
        <v>0.14848339999999999</v>
      </c>
      <c r="Z6163">
        <v>1.493221E-2</v>
      </c>
      <c r="AA6163">
        <v>0.98880210000000002</v>
      </c>
      <c r="AB6163">
        <v>39</v>
      </c>
      <c r="AC6163">
        <v>-0.52440000000001397</v>
      </c>
      <c r="AD6163">
        <v>-0.22149489999999999</v>
      </c>
      <c r="AE6163">
        <v>0.14670000000000899</v>
      </c>
      <c r="AF6163">
        <v>0.12069269842423699</v>
      </c>
      <c r="AG6163">
        <v>-0.22149489999999999</v>
      </c>
      <c r="AH6163">
        <v>0.45137045531395198</v>
      </c>
      <c r="AI6163">
        <v>115.36383773607299</v>
      </c>
      <c r="AJ6163">
        <v>75.029808180425206</v>
      </c>
      <c r="AK6163">
        <v>0.517070600700966</v>
      </c>
      <c r="AL6163">
        <v>90.7020650884877</v>
      </c>
      <c r="AM6163">
        <v>87.761027044429397</v>
      </c>
      <c r="AN6163">
        <v>0.99999994035038597</v>
      </c>
    </row>
    <row r="6164" spans="1:40" x14ac:dyDescent="0.25">
      <c r="A6164" t="str">
        <f>"20190312154045559"</f>
        <v>20190312154045559</v>
      </c>
      <c r="B6164" t="str">
        <f>"1552376445552827"</f>
        <v>1552376445552827</v>
      </c>
      <c r="C6164" t="s">
        <v>40</v>
      </c>
      <c r="D6164">
        <v>4.161575</v>
      </c>
      <c r="E6164">
        <v>0.5459659</v>
      </c>
      <c r="F6164" t="s">
        <v>41</v>
      </c>
      <c r="G6164">
        <v>-287.63889999999998</v>
      </c>
      <c r="H6164">
        <v>0.89685579999999998</v>
      </c>
      <c r="I6164">
        <v>140.42310000000001</v>
      </c>
      <c r="J6164">
        <v>-287.02</v>
      </c>
      <c r="K6164">
        <v>1.1094619999999999</v>
      </c>
      <c r="L6164">
        <v>140.28049999999999</v>
      </c>
      <c r="M6164">
        <v>-0.99981980000000004</v>
      </c>
      <c r="N6164">
        <v>0</v>
      </c>
      <c r="O6164">
        <v>1.166533E-2</v>
      </c>
      <c r="P6164">
        <v>-0.99834100000000003</v>
      </c>
      <c r="Q6164">
        <v>-2.7216500000000001E-2</v>
      </c>
      <c r="R6164">
        <v>5.0741099999999997E-2</v>
      </c>
      <c r="S6164">
        <v>-2.9603579999999998</v>
      </c>
      <c r="T6164">
        <v>-0.72064229999999996</v>
      </c>
      <c r="U6164">
        <v>0.49325560000000002</v>
      </c>
      <c r="V6164">
        <v>3.9078910000000001E-2</v>
      </c>
      <c r="W6164">
        <v>-1.227546E-2</v>
      </c>
      <c r="X6164">
        <v>0.99916070000000001</v>
      </c>
      <c r="Y6164">
        <v>0.14893529999999999</v>
      </c>
      <c r="Z6164">
        <v>1.496956E-2</v>
      </c>
      <c r="AA6164">
        <v>0.98873359999999999</v>
      </c>
      <c r="AB6164">
        <v>39</v>
      </c>
      <c r="AC6164">
        <v>-0.61889999999999601</v>
      </c>
      <c r="AD6164">
        <v>-0.2126062</v>
      </c>
      <c r="AE6164">
        <v>0.14260000000001499</v>
      </c>
      <c r="AF6164">
        <v>0.12172900141513</v>
      </c>
      <c r="AG6164">
        <v>-0.2126062</v>
      </c>
      <c r="AH6164">
        <v>0.55799344225471004</v>
      </c>
      <c r="AI6164">
        <v>110.418478407004</v>
      </c>
      <c r="AJ6164">
        <v>77.6934566204296</v>
      </c>
      <c r="AK6164">
        <v>0.60940629112540801</v>
      </c>
      <c r="AL6164">
        <v>90.7033497312907</v>
      </c>
      <c r="AM6164">
        <v>87.760204197458194</v>
      </c>
      <c r="AN6164">
        <v>0.99999997627474402</v>
      </c>
    </row>
    <row r="6165" spans="1:40" x14ac:dyDescent="0.25">
      <c r="A6165" t="str">
        <f>"20190312154045578"</f>
        <v>20190312154045578</v>
      </c>
      <c r="B6165" t="str">
        <f>"1552376445572346"</f>
        <v>1552376445572346</v>
      </c>
      <c r="C6165" t="s">
        <v>40</v>
      </c>
      <c r="D6165">
        <v>4.1002689999999999</v>
      </c>
      <c r="E6165">
        <v>0.54597410000000002</v>
      </c>
      <c r="F6165" t="s">
        <v>41</v>
      </c>
      <c r="G6165">
        <v>-287.9753</v>
      </c>
      <c r="H6165">
        <v>0.87657619999999903</v>
      </c>
      <c r="I6165">
        <v>140.43989999999999</v>
      </c>
      <c r="J6165">
        <v>-287.3374</v>
      </c>
      <c r="K6165">
        <v>1.1095109999999999</v>
      </c>
      <c r="L6165">
        <v>140.2843</v>
      </c>
      <c r="M6165">
        <v>-0.99981759999999997</v>
      </c>
      <c r="N6165">
        <v>0</v>
      </c>
      <c r="O6165">
        <v>1.183563E-2</v>
      </c>
      <c r="P6165">
        <v>-0.99834020000000001</v>
      </c>
      <c r="Q6165">
        <v>-2.6772730000000002E-2</v>
      </c>
      <c r="R6165">
        <v>5.0990170000000001E-2</v>
      </c>
      <c r="S6165">
        <v>-2.9602050000000002</v>
      </c>
      <c r="T6165">
        <v>-0.72164799999999996</v>
      </c>
      <c r="U6165">
        <v>0.49372860000000002</v>
      </c>
      <c r="V6165">
        <v>3.9159600000000003E-2</v>
      </c>
      <c r="W6165">
        <v>-1.183067E-2</v>
      </c>
      <c r="X6165">
        <v>0.99916289999999996</v>
      </c>
      <c r="Y6165">
        <v>0.14892320000000001</v>
      </c>
      <c r="Z6165">
        <v>1.4948339999999999E-2</v>
      </c>
      <c r="AA6165">
        <v>0.98873580000000005</v>
      </c>
      <c r="AB6165">
        <v>39</v>
      </c>
      <c r="AC6165">
        <v>-0.63790000000000102</v>
      </c>
      <c r="AD6165">
        <v>-0.2329348</v>
      </c>
      <c r="AE6165">
        <v>0.15559999999999199</v>
      </c>
      <c r="AF6165">
        <v>0.13148993096442599</v>
      </c>
      <c r="AG6165">
        <v>-0.2329348</v>
      </c>
      <c r="AH6165">
        <v>0.56818898632787596</v>
      </c>
      <c r="AI6165">
        <v>111.771990947878</v>
      </c>
      <c r="AJ6165">
        <v>76.970022056779797</v>
      </c>
      <c r="AK6165">
        <v>0.62800234647680198</v>
      </c>
      <c r="AL6165">
        <v>90.677863293684496</v>
      </c>
      <c r="AM6165">
        <v>87.755589136241397</v>
      </c>
      <c r="AN6165">
        <v>0.99999996988060802</v>
      </c>
    </row>
    <row r="6166" spans="1:40" x14ac:dyDescent="0.25">
      <c r="A6166" t="str">
        <f>"20190312154045601"</f>
        <v>20190312154045601</v>
      </c>
      <c r="B6166" t="str">
        <f>"1552376445592842"</f>
        <v>1552376445592842</v>
      </c>
      <c r="C6166" t="s">
        <v>40</v>
      </c>
      <c r="D6166">
        <v>4.16845</v>
      </c>
      <c r="E6166">
        <v>0.54602359999999905</v>
      </c>
      <c r="F6166" t="s">
        <v>41</v>
      </c>
      <c r="G6166">
        <v>-288.31729999999999</v>
      </c>
      <c r="H6166">
        <v>0.8708129</v>
      </c>
      <c r="I6166">
        <v>140.44829999999999</v>
      </c>
      <c r="J6166">
        <v>-287.73570000000001</v>
      </c>
      <c r="K6166">
        <v>1.109578</v>
      </c>
      <c r="L6166">
        <v>140.28919999999999</v>
      </c>
      <c r="M6166">
        <v>-0.99981609999999999</v>
      </c>
      <c r="N6166">
        <v>0</v>
      </c>
      <c r="O6166">
        <v>1.1982899999999999E-2</v>
      </c>
      <c r="P6166">
        <v>-0.99838819999999995</v>
      </c>
      <c r="Q6166">
        <v>-2.565574E-2</v>
      </c>
      <c r="R6166">
        <v>5.0627239999999997E-2</v>
      </c>
      <c r="S6166">
        <v>-2.960388</v>
      </c>
      <c r="T6166">
        <v>-0.72111879999999995</v>
      </c>
      <c r="U6166">
        <v>0.4942474</v>
      </c>
      <c r="V6166">
        <v>3.8651579999999998E-2</v>
      </c>
      <c r="W6166">
        <v>-1.071107E-2</v>
      </c>
      <c r="X6166">
        <v>0.99919530000000001</v>
      </c>
      <c r="Y6166">
        <v>0.1489461</v>
      </c>
      <c r="Z6166">
        <v>1.4904219999999999E-2</v>
      </c>
      <c r="AA6166">
        <v>0.98873299999999997</v>
      </c>
      <c r="AB6166">
        <v>39</v>
      </c>
      <c r="AC6166">
        <v>-0.58159999999998002</v>
      </c>
      <c r="AD6166">
        <v>-0.23876510000000001</v>
      </c>
      <c r="AE6166">
        <v>0.159099999999995</v>
      </c>
      <c r="AF6166">
        <v>0.13149918362052601</v>
      </c>
      <c r="AG6166">
        <v>-0.23876510000000001</v>
      </c>
      <c r="AH6166">
        <v>0.50437745611519502</v>
      </c>
      <c r="AI6166">
        <v>114.611257084027</v>
      </c>
      <c r="AJ6166">
        <v>75.387373828827407</v>
      </c>
      <c r="AK6166">
        <v>0.57332139896231904</v>
      </c>
      <c r="AL6166">
        <v>90.613710865115095</v>
      </c>
      <c r="AM6166">
        <v>87.7847485842222</v>
      </c>
      <c r="AN6166">
        <v>0.999999959599564</v>
      </c>
    </row>
    <row r="6167" spans="1:40" x14ac:dyDescent="0.25">
      <c r="A6167" t="str">
        <f>"20190312154045614"</f>
        <v>20190312154045614</v>
      </c>
      <c r="B6167" t="str">
        <f>"1552376445602602"</f>
        <v>1552376445602602</v>
      </c>
      <c r="C6167" t="s">
        <v>40</v>
      </c>
      <c r="D6167">
        <v>4.1471429999999998</v>
      </c>
      <c r="E6167">
        <v>0.5460334</v>
      </c>
      <c r="F6167" t="s">
        <v>41</v>
      </c>
      <c r="G6167">
        <v>-288.66640000000001</v>
      </c>
      <c r="H6167">
        <v>0.88356639999999997</v>
      </c>
      <c r="I6167">
        <v>140.4442</v>
      </c>
      <c r="J6167">
        <v>-287.96249999999998</v>
      </c>
      <c r="K6167">
        <v>1.1096140000000001</v>
      </c>
      <c r="L6167">
        <v>140.292</v>
      </c>
      <c r="M6167">
        <v>-0.99981529999999996</v>
      </c>
      <c r="N6167">
        <v>0</v>
      </c>
      <c r="O6167">
        <v>1.204353E-2</v>
      </c>
      <c r="P6167">
        <v>-0.99840030000000002</v>
      </c>
      <c r="Q6167">
        <v>-2.53577E-2</v>
      </c>
      <c r="R6167">
        <v>5.0536650000000002E-2</v>
      </c>
      <c r="S6167">
        <v>-2.9613339999999999</v>
      </c>
      <c r="T6167">
        <v>-0.71908319999999903</v>
      </c>
      <c r="U6167">
        <v>0.4928131</v>
      </c>
      <c r="V6167">
        <v>3.8501180000000003E-2</v>
      </c>
      <c r="W6167">
        <v>-1.041195E-2</v>
      </c>
      <c r="X6167">
        <v>0.99920430000000005</v>
      </c>
      <c r="Y6167">
        <v>0.1484095</v>
      </c>
      <c r="Z6167">
        <v>1.478111E-2</v>
      </c>
      <c r="AA6167">
        <v>0.98881549999999996</v>
      </c>
      <c r="AB6167">
        <v>39</v>
      </c>
      <c r="AC6167">
        <v>-0.70390000000003194</v>
      </c>
      <c r="AD6167">
        <v>-0.22604759999999899</v>
      </c>
      <c r="AE6167">
        <v>0.15219999999999301</v>
      </c>
      <c r="AF6167">
        <v>0.1308217328074</v>
      </c>
      <c r="AG6167">
        <v>-0.22604759999999899</v>
      </c>
      <c r="AH6167">
        <v>0.64239231537183705</v>
      </c>
      <c r="AI6167">
        <v>109.024535926075</v>
      </c>
      <c r="AJ6167">
        <v>78.489248472295202</v>
      </c>
      <c r="AK6167">
        <v>0.69345492289641997</v>
      </c>
      <c r="AL6167">
        <v>90.596571575917096</v>
      </c>
      <c r="AM6167">
        <v>87.793379829708897</v>
      </c>
      <c r="AN6167">
        <v>0.99999999135134199</v>
      </c>
    </row>
    <row r="6168" spans="1:40" x14ac:dyDescent="0.25">
      <c r="A6168" t="str">
        <f>"20190312154045633"</f>
        <v>20190312154045633</v>
      </c>
      <c r="B6168" t="str">
        <f>"1552376445622122"</f>
        <v>1552376445622122</v>
      </c>
      <c r="C6168" t="s">
        <v>40</v>
      </c>
      <c r="D6168">
        <v>4.1819879999999996</v>
      </c>
      <c r="E6168">
        <v>0.54606540000000003</v>
      </c>
      <c r="F6168" t="s">
        <v>41</v>
      </c>
      <c r="G6168">
        <v>-288.68759999999997</v>
      </c>
      <c r="H6168">
        <v>0.93366830000000001</v>
      </c>
      <c r="I6168">
        <v>140.4127</v>
      </c>
      <c r="J6168">
        <v>-288.2989</v>
      </c>
      <c r="K6168">
        <v>1.109664</v>
      </c>
      <c r="L6168">
        <v>140.2961</v>
      </c>
      <c r="M6168">
        <v>-0.9998146</v>
      </c>
      <c r="N6168">
        <v>0</v>
      </c>
      <c r="O6168">
        <v>1.2103050000000001E-2</v>
      </c>
      <c r="P6168">
        <v>-0.99841979999999997</v>
      </c>
      <c r="Q6168">
        <v>-2.5095940000000001E-2</v>
      </c>
      <c r="R6168">
        <v>5.0284549999999997E-2</v>
      </c>
      <c r="S6168">
        <v>-2.9616699999999998</v>
      </c>
      <c r="T6168">
        <v>-0.71859249999999997</v>
      </c>
      <c r="U6168">
        <v>0.49243160000000002</v>
      </c>
      <c r="V6168">
        <v>3.8190809999999999E-2</v>
      </c>
      <c r="W6168">
        <v>-1.014908E-2</v>
      </c>
      <c r="X6168">
        <v>0.99921890000000002</v>
      </c>
      <c r="Y6168">
        <v>0.14822149999999901</v>
      </c>
      <c r="Z6168">
        <v>1.4733370000000001E-2</v>
      </c>
      <c r="AA6168">
        <v>0.98884450000000002</v>
      </c>
      <c r="AB6168">
        <v>39</v>
      </c>
      <c r="AC6168">
        <v>-0.38869999999997101</v>
      </c>
      <c r="AD6168">
        <v>-0.17599569999999901</v>
      </c>
      <c r="AE6168">
        <v>0.11660000000000501</v>
      </c>
      <c r="AF6168">
        <v>9.4173778159724802E-2</v>
      </c>
      <c r="AG6168">
        <v>-0.17599569999999901</v>
      </c>
      <c r="AH6168">
        <v>0.32832905297383203</v>
      </c>
      <c r="AI6168">
        <v>117.26016020353801</v>
      </c>
      <c r="AJ6168">
        <v>73.995656500803094</v>
      </c>
      <c r="AK6168">
        <v>0.38424361274855301</v>
      </c>
      <c r="AL6168">
        <v>90.581509447163995</v>
      </c>
      <c r="AM6168">
        <v>87.811182660633904</v>
      </c>
      <c r="AN6168">
        <v>0.99999997595525503</v>
      </c>
    </row>
    <row r="6169" spans="1:40" x14ac:dyDescent="0.25">
      <c r="A6169" t="str">
        <f>"20190312154045648"</f>
        <v>20190312154045648</v>
      </c>
      <c r="B6169" t="str">
        <f>"1552376445642619"</f>
        <v>1552376445642619</v>
      </c>
      <c r="C6169" t="s">
        <v>40</v>
      </c>
      <c r="D6169">
        <v>4.1767339999999997</v>
      </c>
      <c r="E6169">
        <v>0.54608239999999997</v>
      </c>
      <c r="F6169" t="s">
        <v>41</v>
      </c>
      <c r="G6169">
        <v>-289.03050000000002</v>
      </c>
      <c r="H6169">
        <v>0.93214790000000003</v>
      </c>
      <c r="I6169">
        <v>140.4178</v>
      </c>
      <c r="J6169">
        <v>-288.54140000000001</v>
      </c>
      <c r="K6169">
        <v>1.1096969999999999</v>
      </c>
      <c r="L6169">
        <v>140.29910000000001</v>
      </c>
      <c r="M6169">
        <v>-0.9998146</v>
      </c>
      <c r="N6169">
        <v>0</v>
      </c>
      <c r="O6169">
        <v>1.2113469999999999E-2</v>
      </c>
      <c r="P6169">
        <v>-0.9984229</v>
      </c>
      <c r="Q6169">
        <v>-2.482649E-2</v>
      </c>
      <c r="R6169">
        <v>5.0353719999999998E-2</v>
      </c>
      <c r="S6169">
        <v>-2.9619450000000001</v>
      </c>
      <c r="T6169">
        <v>-0.71877049999999998</v>
      </c>
      <c r="U6169">
        <v>0.49150090000000002</v>
      </c>
      <c r="V6169">
        <v>3.8250329999999999E-2</v>
      </c>
      <c r="W6169">
        <v>-9.8789580000000002E-3</v>
      </c>
      <c r="X6169">
        <v>0.99921939999999998</v>
      </c>
      <c r="Y6169">
        <v>0.1479019</v>
      </c>
      <c r="Z6169">
        <v>1.469552E-2</v>
      </c>
      <c r="AA6169">
        <v>0.98889289999999996</v>
      </c>
      <c r="AB6169">
        <v>38</v>
      </c>
      <c r="AC6169">
        <v>-0.48910000000000697</v>
      </c>
      <c r="AD6169">
        <v>-0.17754909999999999</v>
      </c>
      <c r="AE6169">
        <v>0.11869999999998899</v>
      </c>
      <c r="AF6169">
        <v>0.10028560511162</v>
      </c>
      <c r="AG6169">
        <v>-0.17754909999999999</v>
      </c>
      <c r="AH6169">
        <v>0.43621601717061298</v>
      </c>
      <c r="AI6169">
        <v>111.63690218363099</v>
      </c>
      <c r="AJ6169">
        <v>77.052734358708506</v>
      </c>
      <c r="AK6169">
        <v>0.48152393412955702</v>
      </c>
      <c r="AL6169">
        <v>90.566031780783504</v>
      </c>
      <c r="AM6169">
        <v>87.807775832035603</v>
      </c>
      <c r="AN6169">
        <v>1.00000004544631</v>
      </c>
    </row>
    <row r="6170" spans="1:40" x14ac:dyDescent="0.25">
      <c r="A6170" t="str">
        <f>"20190312154045668"</f>
        <v>20190312154045668</v>
      </c>
      <c r="B6170" t="str">
        <f>"1552376445662140"</f>
        <v>1552376445662140</v>
      </c>
      <c r="C6170" t="s">
        <v>40</v>
      </c>
      <c r="D6170">
        <v>4.1745559999999999</v>
      </c>
      <c r="E6170">
        <v>0.54610179999999997</v>
      </c>
      <c r="F6170" t="s">
        <v>41</v>
      </c>
      <c r="G6170">
        <v>-289.3639</v>
      </c>
      <c r="H6170">
        <v>0.91009989999999996</v>
      </c>
      <c r="I6170">
        <v>140.43600000000001</v>
      </c>
      <c r="J6170">
        <v>-288.89389999999997</v>
      </c>
      <c r="K6170">
        <v>1.1097570000000001</v>
      </c>
      <c r="L6170">
        <v>140.30340000000001</v>
      </c>
      <c r="M6170">
        <v>-0.99981500000000001</v>
      </c>
      <c r="N6170">
        <v>0</v>
      </c>
      <c r="O6170">
        <v>1.20815E-2</v>
      </c>
      <c r="P6170">
        <v>-0.99842649999999999</v>
      </c>
      <c r="Q6170">
        <v>-2.4898690000000001E-2</v>
      </c>
      <c r="R6170">
        <v>5.0246140000000002E-2</v>
      </c>
      <c r="S6170">
        <v>-2.9620669999999998</v>
      </c>
      <c r="T6170">
        <v>-0.71887209999999901</v>
      </c>
      <c r="U6170">
        <v>0.49176029999999998</v>
      </c>
      <c r="V6170">
        <v>3.8176120000000001E-2</v>
      </c>
      <c r="W6170">
        <v>-9.9496970000000004E-3</v>
      </c>
      <c r="X6170">
        <v>0.99922149999999998</v>
      </c>
      <c r="Y6170">
        <v>0.14800659999999999</v>
      </c>
      <c r="Z6170">
        <v>1.4716899999999899E-2</v>
      </c>
      <c r="AA6170">
        <v>0.98887689999999995</v>
      </c>
      <c r="AB6170">
        <v>38</v>
      </c>
      <c r="AC6170">
        <v>-0.47000000000002701</v>
      </c>
      <c r="AD6170">
        <v>-0.199657099999999</v>
      </c>
      <c r="AE6170">
        <v>0.132599999999996</v>
      </c>
      <c r="AF6170">
        <v>0.108735913808769</v>
      </c>
      <c r="AG6170">
        <v>-0.199657099999999</v>
      </c>
      <c r="AH6170">
        <v>0.404032832338315</v>
      </c>
      <c r="AI6170">
        <v>115.50962440693</v>
      </c>
      <c r="AJ6170">
        <v>74.937086135233301</v>
      </c>
      <c r="AK6170">
        <v>0.463604342235445</v>
      </c>
      <c r="AL6170">
        <v>90.570085046543596</v>
      </c>
      <c r="AM6170">
        <v>87.812029452989094</v>
      </c>
      <c r="AN6170">
        <v>1.00000000933544</v>
      </c>
    </row>
    <row r="6171" spans="1:40" x14ac:dyDescent="0.25">
      <c r="A6171" t="str">
        <f>"20190312154045691"</f>
        <v>20190312154045691</v>
      </c>
      <c r="B6171" t="str">
        <f>"1552376445682634"</f>
        <v>1552376445682634</v>
      </c>
      <c r="C6171" t="s">
        <v>40</v>
      </c>
      <c r="D6171">
        <v>4.1742239999999997</v>
      </c>
      <c r="E6171">
        <v>0.54610369999999997</v>
      </c>
      <c r="F6171" t="s">
        <v>41</v>
      </c>
      <c r="G6171">
        <v>-289.70740000000001</v>
      </c>
      <c r="H6171">
        <v>0.91206310000000002</v>
      </c>
      <c r="I6171">
        <v>140.43879999999999</v>
      </c>
      <c r="J6171">
        <v>-289.2756</v>
      </c>
      <c r="K6171">
        <v>1.109828</v>
      </c>
      <c r="L6171">
        <v>140.30799999999999</v>
      </c>
      <c r="M6171">
        <v>-0.99981629999999999</v>
      </c>
      <c r="N6171">
        <v>0</v>
      </c>
      <c r="O6171">
        <v>1.197662E-2</v>
      </c>
      <c r="P6171">
        <v>-0.99845070000000002</v>
      </c>
      <c r="Q6171">
        <v>-2.4158499999999999E-2</v>
      </c>
      <c r="R6171">
        <v>5.0127770000000002E-2</v>
      </c>
      <c r="S6171">
        <v>-2.9619749999999998</v>
      </c>
      <c r="T6171">
        <v>-0.71981099999999998</v>
      </c>
      <c r="U6171">
        <v>0.49166870000000001</v>
      </c>
      <c r="V6171">
        <v>3.8163969999999998E-2</v>
      </c>
      <c r="W6171">
        <v>-9.2071700000000006E-3</v>
      </c>
      <c r="X6171">
        <v>0.99922909999999998</v>
      </c>
      <c r="Y6171">
        <v>0.14807049999999999</v>
      </c>
      <c r="Z6171">
        <v>1.476861E-2</v>
      </c>
      <c r="AA6171">
        <v>0.98886649999999998</v>
      </c>
      <c r="AB6171">
        <v>38</v>
      </c>
      <c r="AC6171">
        <v>-0.43180000000000901</v>
      </c>
      <c r="AD6171">
        <v>-0.19776489999999999</v>
      </c>
      <c r="AE6171">
        <v>0.13079999999999301</v>
      </c>
      <c r="AF6171">
        <v>0.105372750832055</v>
      </c>
      <c r="AG6171">
        <v>-0.19776489999999999</v>
      </c>
      <c r="AH6171">
        <v>0.36349556028268998</v>
      </c>
      <c r="AI6171">
        <v>117.589354235174</v>
      </c>
      <c r="AJ6171">
        <v>73.833796847350101</v>
      </c>
      <c r="AK6171">
        <v>0.427016855212006</v>
      </c>
      <c r="AL6171">
        <v>90.527539421391396</v>
      </c>
      <c r="AM6171">
        <v>87.812741743896595</v>
      </c>
      <c r="AN6171">
        <v>1.00000002743618</v>
      </c>
    </row>
    <row r="6172" spans="1:40" x14ac:dyDescent="0.25">
      <c r="A6172" t="str">
        <f>"20190312154045712"</f>
        <v>20190312154045712</v>
      </c>
      <c r="B6172" t="str">
        <f>"1552376445702154"</f>
        <v>1552376445702154</v>
      </c>
      <c r="C6172" t="s">
        <v>40</v>
      </c>
      <c r="D6172">
        <v>4.3012220000000001</v>
      </c>
      <c r="E6172">
        <v>0.52257900000000002</v>
      </c>
      <c r="F6172" t="s">
        <v>41</v>
      </c>
      <c r="G6172">
        <v>-290.05349999999999</v>
      </c>
      <c r="H6172">
        <v>0.9212245</v>
      </c>
      <c r="I6172">
        <v>140.43700000000001</v>
      </c>
      <c r="J6172">
        <v>-289.64830000000001</v>
      </c>
      <c r="K6172">
        <v>1.109904</v>
      </c>
      <c r="L6172">
        <v>140.31229999999999</v>
      </c>
      <c r="M6172">
        <v>-0.9998184</v>
      </c>
      <c r="N6172">
        <v>0</v>
      </c>
      <c r="O6172">
        <v>1.180526E-2</v>
      </c>
      <c r="P6172">
        <v>-0.99846400000000002</v>
      </c>
      <c r="Q6172">
        <v>-2.3572490000000001E-2</v>
      </c>
      <c r="R6172">
        <v>5.0140879999999999E-2</v>
      </c>
      <c r="S6172">
        <v>-2.9626160000000001</v>
      </c>
      <c r="T6172">
        <v>-0.71828080000000005</v>
      </c>
      <c r="U6172">
        <v>0.49128719999999998</v>
      </c>
      <c r="V6172">
        <v>3.8349649999999999E-2</v>
      </c>
      <c r="W6172">
        <v>-8.6185719999999997E-3</v>
      </c>
      <c r="X6172">
        <v>0.99922719999999998</v>
      </c>
      <c r="Y6172">
        <v>0.14809359999999999</v>
      </c>
      <c r="Z6172">
        <v>1.4778579999999999E-2</v>
      </c>
      <c r="AA6172">
        <v>0.98886289999999999</v>
      </c>
      <c r="AB6172">
        <v>38</v>
      </c>
      <c r="AC6172">
        <v>-0.40519999999997902</v>
      </c>
      <c r="AD6172">
        <v>-0.188679499999999</v>
      </c>
      <c r="AE6172">
        <v>0.124700000000018</v>
      </c>
      <c r="AF6172">
        <v>0.100083972077762</v>
      </c>
      <c r="AG6172">
        <v>-0.188679499999999</v>
      </c>
      <c r="AH6172">
        <v>0.33941683937784201</v>
      </c>
      <c r="AI6172">
        <v>118.066358148817</v>
      </c>
      <c r="AJ6172">
        <v>73.570773180809795</v>
      </c>
      <c r="AK6172">
        <v>0.40102437088081799</v>
      </c>
      <c r="AL6172">
        <v>90.493813921307705</v>
      </c>
      <c r="AM6172">
        <v>87.802106264599303</v>
      </c>
      <c r="AN6172">
        <v>0.99999998632914</v>
      </c>
    </row>
    <row r="6173" spans="1:40" x14ac:dyDescent="0.25">
      <c r="A6173" t="str">
        <f>"20190312154045735"</f>
        <v>20190312154045735</v>
      </c>
      <c r="B6173" t="str">
        <f>"1552376445722651"</f>
        <v>1552376445722651</v>
      </c>
      <c r="C6173" t="s">
        <v>40</v>
      </c>
      <c r="D6173">
        <v>4.2808760000000001</v>
      </c>
      <c r="E6173">
        <v>0.48879810000000001</v>
      </c>
      <c r="F6173" t="s">
        <v>41</v>
      </c>
      <c r="G6173">
        <v>-290.4169</v>
      </c>
      <c r="H6173">
        <v>0.96654090000000004</v>
      </c>
      <c r="I6173">
        <v>140.39279999999999</v>
      </c>
      <c r="J6173">
        <v>-290.02539999999999</v>
      </c>
      <c r="K6173">
        <v>1.1099730000000001</v>
      </c>
      <c r="L6173">
        <v>140.31659999999999</v>
      </c>
      <c r="M6173">
        <v>-0.99982139999999997</v>
      </c>
      <c r="N6173">
        <v>0</v>
      </c>
      <c r="O6173">
        <v>1.156195E-2</v>
      </c>
      <c r="P6173">
        <v>-0.99847730000000001</v>
      </c>
      <c r="Q6173">
        <v>-2.3629589999999999E-2</v>
      </c>
      <c r="R6173">
        <v>4.9849959999999999E-2</v>
      </c>
      <c r="S6173">
        <v>-2.9759220000000002</v>
      </c>
      <c r="T6173">
        <v>-0.555075599999999</v>
      </c>
      <c r="U6173">
        <v>0.31062319999999999</v>
      </c>
      <c r="V6173">
        <v>3.830327E-2</v>
      </c>
      <c r="W6173">
        <v>-8.6728220000000002E-3</v>
      </c>
      <c r="X6173">
        <v>0.99922849999999996</v>
      </c>
      <c r="Y6173">
        <v>9.0952959999999999E-2</v>
      </c>
      <c r="Z6173">
        <v>6.2552850000000002E-3</v>
      </c>
      <c r="AA6173">
        <v>0.99583549999999998</v>
      </c>
      <c r="AB6173">
        <v>38</v>
      </c>
      <c r="AC6173">
        <v>-0.39150000000000701</v>
      </c>
      <c r="AD6173">
        <v>-0.14343209999999901</v>
      </c>
      <c r="AE6173">
        <v>7.6200000000000004E-2</v>
      </c>
      <c r="AF6173">
        <v>6.3460854784693196E-2</v>
      </c>
      <c r="AG6173">
        <v>-0.14343209999999901</v>
      </c>
      <c r="AH6173">
        <v>0.34742446043484299</v>
      </c>
      <c r="AI6173">
        <v>112.103271608467</v>
      </c>
      <c r="AJ6173">
        <v>79.6484229423763</v>
      </c>
      <c r="AK6173">
        <v>0.38118735958693001</v>
      </c>
      <c r="AL6173">
        <v>90.496922338313993</v>
      </c>
      <c r="AM6173">
        <v>87.804764644495904</v>
      </c>
      <c r="AN6173">
        <v>0.99999997677319297</v>
      </c>
    </row>
    <row r="6174" spans="1:40" x14ac:dyDescent="0.25">
      <c r="A6174" t="str">
        <f>"20190312154045756"</f>
        <v>20190312154045756</v>
      </c>
      <c r="B6174" t="str">
        <f>"1552376445742170"</f>
        <v>1552376445742170</v>
      </c>
      <c r="C6174" t="s">
        <v>40</v>
      </c>
      <c r="D6174">
        <v>4.3086979999999997</v>
      </c>
      <c r="E6174">
        <v>0.48252889999999998</v>
      </c>
      <c r="F6174" t="s">
        <v>55</v>
      </c>
      <c r="G6174">
        <v>-304.9563</v>
      </c>
      <c r="H6174" s="1">
        <v>-9.0566299999999994E-6</v>
      </c>
      <c r="I6174">
        <v>140.58590000000001</v>
      </c>
      <c r="J6174">
        <v>-290.39749999999998</v>
      </c>
      <c r="K6174">
        <v>1.1100449999999999</v>
      </c>
      <c r="L6174">
        <v>140.32060000000001</v>
      </c>
      <c r="M6174">
        <v>-0.99982490000000002</v>
      </c>
      <c r="N6174">
        <v>0</v>
      </c>
      <c r="O6174">
        <v>1.1251239999999999E-2</v>
      </c>
      <c r="P6174">
        <v>-0.99848000000000003</v>
      </c>
      <c r="Q6174">
        <v>-2.4877159999999999E-2</v>
      </c>
      <c r="R6174">
        <v>4.9182770000000001E-2</v>
      </c>
      <c r="S6174">
        <v>-2.9965820000000001</v>
      </c>
      <c r="T6174">
        <v>-0.22276960000000001</v>
      </c>
      <c r="U6174">
        <v>5.4046629999999998E-2</v>
      </c>
      <c r="V6174">
        <v>3.7948620000000002E-2</v>
      </c>
      <c r="W6174">
        <v>-9.9178579999999999E-3</v>
      </c>
      <c r="X6174">
        <v>0.99923039999999996</v>
      </c>
      <c r="Y6174">
        <v>6.7936510000000004E-3</v>
      </c>
      <c r="Z6174">
        <v>-5.8311400000000003E-4</v>
      </c>
      <c r="AA6174">
        <v>0.9999768</v>
      </c>
      <c r="AB6174">
        <v>38</v>
      </c>
      <c r="AC6174">
        <v>-14.5588</v>
      </c>
      <c r="AD6174">
        <v>-1.1100540566299999</v>
      </c>
      <c r="AE6174">
        <v>0.26529999999999598</v>
      </c>
      <c r="AF6174">
        <v>0.100874099762308</v>
      </c>
      <c r="AG6174">
        <v>-1.1100540566299999</v>
      </c>
      <c r="AH6174">
        <v>14.4767311238017</v>
      </c>
      <c r="AI6174">
        <v>94.384668386154004</v>
      </c>
      <c r="AJ6174">
        <v>89.600768530448704</v>
      </c>
      <c r="AK6174">
        <v>14.5195778045883</v>
      </c>
      <c r="AL6174">
        <v>90.568260763025407</v>
      </c>
      <c r="AM6174">
        <v>87.825074850752202</v>
      </c>
      <c r="AN6174">
        <v>0.99999992697568296</v>
      </c>
    </row>
    <row r="6175" spans="1:40" x14ac:dyDescent="0.25">
      <c r="A6175" t="str">
        <f>"20190312154045771"</f>
        <v>20190312154045771</v>
      </c>
      <c r="B6175" t="str">
        <f>"1552376445762666"</f>
        <v>1552376445762666</v>
      </c>
      <c r="C6175" t="s">
        <v>40</v>
      </c>
      <c r="D6175">
        <v>4.3189019999999996</v>
      </c>
      <c r="E6175">
        <v>0.48116219999999998</v>
      </c>
      <c r="F6175" t="s">
        <v>55</v>
      </c>
      <c r="G6175">
        <v>-312.47280000000001</v>
      </c>
      <c r="H6175" s="1">
        <v>-8.7356910000000005E-6</v>
      </c>
      <c r="I6175">
        <v>140.3588</v>
      </c>
      <c r="J6175">
        <v>-290.64139999999998</v>
      </c>
      <c r="K6175">
        <v>1.11009</v>
      </c>
      <c r="L6175">
        <v>140.32310000000001</v>
      </c>
      <c r="M6175">
        <v>-0.99982760000000004</v>
      </c>
      <c r="N6175">
        <v>0</v>
      </c>
      <c r="O6175">
        <v>1.100364E-2</v>
      </c>
      <c r="P6175">
        <v>-0.9984942</v>
      </c>
      <c r="Q6175">
        <v>-2.4916509999999999E-2</v>
      </c>
      <c r="R6175">
        <v>4.8870610000000002E-2</v>
      </c>
      <c r="S6175">
        <v>-3.0005489999999999</v>
      </c>
      <c r="T6175">
        <v>-0.1508825</v>
      </c>
      <c r="U6175">
        <v>5.1879880000000001E-3</v>
      </c>
      <c r="V6175">
        <v>3.7884830000000001E-2</v>
      </c>
      <c r="W6175">
        <v>-9.9555770000000002E-3</v>
      </c>
      <c r="X6175">
        <v>0.99923249999999997</v>
      </c>
      <c r="Y6175">
        <v>-9.2503610000000003E-3</v>
      </c>
      <c r="Z6175">
        <v>-7.8545030000000003E-4</v>
      </c>
      <c r="AA6175">
        <v>0.99995690000000004</v>
      </c>
      <c r="AB6175">
        <v>38</v>
      </c>
      <c r="AC6175">
        <v>-21.831399999999999</v>
      </c>
      <c r="AD6175">
        <v>-1.1100987356909999</v>
      </c>
      <c r="AE6175">
        <v>3.5699999999991398E-2</v>
      </c>
      <c r="AF6175">
        <v>-0.204026373001503</v>
      </c>
      <c r="AG6175">
        <v>-1.1100987356909999</v>
      </c>
      <c r="AH6175">
        <v>21.774171884031801</v>
      </c>
      <c r="AI6175">
        <v>92.918419458036496</v>
      </c>
      <c r="AJ6175">
        <v>90.536852011813394</v>
      </c>
      <c r="AK6175">
        <v>21.8034058623698</v>
      </c>
      <c r="AL6175">
        <v>90.570421978314101</v>
      </c>
      <c r="AM6175">
        <v>87.828731863165103</v>
      </c>
      <c r="AN6175">
        <v>0.99999998145688995</v>
      </c>
    </row>
    <row r="6176" spans="1:40" x14ac:dyDescent="0.25">
      <c r="A6176" t="str">
        <f>"20190312154045790"</f>
        <v>20190312154045790</v>
      </c>
      <c r="B6176" t="str">
        <f>"1552376445782189"</f>
        <v>1552376445782189</v>
      </c>
      <c r="C6176" t="s">
        <v>40</v>
      </c>
      <c r="D6176">
        <v>4.6062379999999896</v>
      </c>
      <c r="E6176">
        <v>0.4804985</v>
      </c>
      <c r="F6176" t="s">
        <v>55</v>
      </c>
      <c r="G6176">
        <v>-317.08229999999998</v>
      </c>
      <c r="H6176" s="1">
        <v>-6.8353969999999999E-6</v>
      </c>
      <c r="I6176">
        <v>140.27269999999999</v>
      </c>
      <c r="J6176">
        <v>-290.97730000000001</v>
      </c>
      <c r="K6176">
        <v>1.1101490000000001</v>
      </c>
      <c r="L6176">
        <v>140.32650000000001</v>
      </c>
      <c r="M6176">
        <v>-0.9998319</v>
      </c>
      <c r="N6176">
        <v>0</v>
      </c>
      <c r="O6176">
        <v>1.0624400000000001E-2</v>
      </c>
      <c r="P6176">
        <v>-0.99851480000000004</v>
      </c>
      <c r="Q6176">
        <v>-2.498587E-2</v>
      </c>
      <c r="R6176">
        <v>4.8417780000000001E-2</v>
      </c>
      <c r="S6176">
        <v>-3.0016479999999999</v>
      </c>
      <c r="T6176">
        <v>-0.12602140000000001</v>
      </c>
      <c r="U6176">
        <v>-5.7220459999999997E-3</v>
      </c>
      <c r="V6176">
        <v>3.7812239999999997E-2</v>
      </c>
      <c r="W6176">
        <v>-1.0022909999999999E-2</v>
      </c>
      <c r="X6176">
        <v>0.99923459999999997</v>
      </c>
      <c r="Y6176">
        <v>-1.2511380000000001E-2</v>
      </c>
      <c r="Z6176">
        <v>-7.0842720000000004E-4</v>
      </c>
      <c r="AA6176">
        <v>0.99992150000000002</v>
      </c>
      <c r="AB6176">
        <v>38</v>
      </c>
      <c r="AC6176">
        <v>-26.104999999999901</v>
      </c>
      <c r="AD6176">
        <v>-1.110155835397</v>
      </c>
      <c r="AE6176">
        <v>-5.3800000000023801E-2</v>
      </c>
      <c r="AF6176">
        <v>-0.33058004108459699</v>
      </c>
      <c r="AG6176">
        <v>-1.110155835397</v>
      </c>
      <c r="AH6176">
        <v>26.055832645861798</v>
      </c>
      <c r="AI6176">
        <v>92.439518536736102</v>
      </c>
      <c r="AJ6176">
        <v>90.726893866809505</v>
      </c>
      <c r="AK6176">
        <v>26.081567131052299</v>
      </c>
      <c r="AL6176">
        <v>90.574280054065994</v>
      </c>
      <c r="AM6176">
        <v>87.832892745294302</v>
      </c>
      <c r="AN6176">
        <v>1.0000000050279201</v>
      </c>
    </row>
    <row r="6177" spans="1:40" x14ac:dyDescent="0.25">
      <c r="A6177" t="str">
        <f>"20190312154045804"</f>
        <v>20190312154045804</v>
      </c>
      <c r="B6177" t="str">
        <f>"1552376445791947"</f>
        <v>1552376445791947</v>
      </c>
      <c r="C6177" t="s">
        <v>40</v>
      </c>
      <c r="D6177">
        <v>4.2793960000000002</v>
      </c>
      <c r="E6177">
        <v>0.4803791</v>
      </c>
      <c r="F6177" t="s">
        <v>42</v>
      </c>
      <c r="G6177">
        <v>-320.98110000000003</v>
      </c>
      <c r="H6177" s="1">
        <v>-4.0093459999999999E-6</v>
      </c>
      <c r="I6177">
        <v>140.21010000000001</v>
      </c>
      <c r="J6177">
        <v>-291.21370000000002</v>
      </c>
      <c r="K6177">
        <v>1.110188</v>
      </c>
      <c r="L6177">
        <v>140.3288</v>
      </c>
      <c r="M6177">
        <v>-0.99983509999999998</v>
      </c>
      <c r="N6177">
        <v>0</v>
      </c>
      <c r="O6177">
        <v>1.032839E-2</v>
      </c>
      <c r="P6177">
        <v>-0.99854690000000002</v>
      </c>
      <c r="Q6177">
        <v>-2.482003E-2</v>
      </c>
      <c r="R6177">
        <v>4.7838770000000003E-2</v>
      </c>
      <c r="S6177">
        <v>-3.0022890000000002</v>
      </c>
      <c r="T6177">
        <v>-0.1110859</v>
      </c>
      <c r="U6177">
        <v>-1.164246E-2</v>
      </c>
      <c r="V6177">
        <v>3.7529630000000001E-2</v>
      </c>
      <c r="W6177">
        <v>-9.8559119999999997E-3</v>
      </c>
      <c r="X6177">
        <v>0.99924690000000005</v>
      </c>
      <c r="Y6177">
        <v>-1.4190309999999999E-2</v>
      </c>
      <c r="Z6177">
        <v>-6.444946E-4</v>
      </c>
      <c r="AA6177">
        <v>0.99989910000000004</v>
      </c>
      <c r="AB6177">
        <v>38</v>
      </c>
      <c r="AC6177">
        <v>-29.767399999999999</v>
      </c>
      <c r="AD6177">
        <v>-1.110192009346</v>
      </c>
      <c r="AE6177">
        <v>-0.11869999999998899</v>
      </c>
      <c r="AF6177">
        <v>-0.42558532257835602</v>
      </c>
      <c r="AG6177">
        <v>-1.110192009346</v>
      </c>
      <c r="AH6177">
        <v>29.723242598441001</v>
      </c>
      <c r="AI6177">
        <v>92.138839680212001</v>
      </c>
      <c r="AJ6177">
        <v>90.820320211372206</v>
      </c>
      <c r="AK6177">
        <v>29.7470132909203</v>
      </c>
      <c r="AL6177">
        <v>90.564711309534005</v>
      </c>
      <c r="AM6177">
        <v>87.849100961291498</v>
      </c>
      <c r="AN6177">
        <v>0.99999998964444903</v>
      </c>
    </row>
    <row r="6178" spans="1:40" x14ac:dyDescent="0.25">
      <c r="A6178" t="str">
        <f>"20190312154045824"</f>
        <v>20190312154045824</v>
      </c>
      <c r="B6178" t="str">
        <f>"1552376445812442"</f>
        <v>1552376445812442</v>
      </c>
      <c r="C6178" t="s">
        <v>40</v>
      </c>
      <c r="D6178">
        <v>4.2582339999999999</v>
      </c>
      <c r="E6178">
        <v>0.4801359</v>
      </c>
      <c r="F6178" t="s">
        <v>42</v>
      </c>
      <c r="G6178">
        <v>-322.81709999999998</v>
      </c>
      <c r="H6178" s="1">
        <v>-3.2137319999999999E-6</v>
      </c>
      <c r="I6178">
        <v>140.18010000000001</v>
      </c>
      <c r="J6178">
        <v>-291.5342</v>
      </c>
      <c r="K6178">
        <v>1.110242</v>
      </c>
      <c r="L6178">
        <v>140.33170000000001</v>
      </c>
      <c r="M6178">
        <v>-0.99983949999999999</v>
      </c>
      <c r="N6178">
        <v>0</v>
      </c>
      <c r="O6178">
        <v>9.8933549999999995E-3</v>
      </c>
      <c r="P6178">
        <v>-0.99860879999999996</v>
      </c>
      <c r="Q6178">
        <v>-2.4474070000000001E-2</v>
      </c>
      <c r="R6178">
        <v>4.6709729999999998E-2</v>
      </c>
      <c r="S6178">
        <v>-3.0024109999999999</v>
      </c>
      <c r="T6178">
        <v>-0.1054715</v>
      </c>
      <c r="U6178">
        <v>-1.4114379999999999E-2</v>
      </c>
      <c r="V6178">
        <v>3.6835489999999999E-2</v>
      </c>
      <c r="W6178">
        <v>-9.5088840000000004E-3</v>
      </c>
      <c r="X6178">
        <v>0.9992761</v>
      </c>
      <c r="Y6178">
        <v>-1.4579989999999999E-2</v>
      </c>
      <c r="Z6178">
        <v>-6.0347980000000003E-4</v>
      </c>
      <c r="AA6178">
        <v>0.99989349999999999</v>
      </c>
      <c r="AB6178">
        <v>38</v>
      </c>
      <c r="AC6178">
        <v>-31.282899999999898</v>
      </c>
      <c r="AD6178">
        <v>-1.110245213732</v>
      </c>
      <c r="AE6178">
        <v>-0.15160000000000101</v>
      </c>
      <c r="AF6178">
        <v>-0.460539872566602</v>
      </c>
      <c r="AG6178">
        <v>-1.110245213732</v>
      </c>
      <c r="AH6178">
        <v>31.240519826488899</v>
      </c>
      <c r="AI6178">
        <v>92.035135864295697</v>
      </c>
      <c r="AJ6178">
        <v>90.844578769024196</v>
      </c>
      <c r="AK6178">
        <v>31.263634152767398</v>
      </c>
      <c r="AL6178">
        <v>90.544827132759593</v>
      </c>
      <c r="AM6178">
        <v>87.8889088272023</v>
      </c>
      <c r="AN6178">
        <v>0.99999999811483697</v>
      </c>
    </row>
    <row r="6179" spans="1:40" x14ac:dyDescent="0.25">
      <c r="A6179" t="str">
        <f>"20190312154045838"</f>
        <v>20190312154045838</v>
      </c>
      <c r="B6179" t="str">
        <f>"1552376445831962"</f>
        <v>1552376445831962</v>
      </c>
      <c r="C6179" t="s">
        <v>40</v>
      </c>
      <c r="D6179">
        <v>4.2706179999999998</v>
      </c>
      <c r="E6179">
        <v>0.48000579999999998</v>
      </c>
      <c r="F6179" t="s">
        <v>42</v>
      </c>
      <c r="G6179">
        <v>-324.80090000000001</v>
      </c>
      <c r="H6179" s="1">
        <v>-2.3460800000000002E-6</v>
      </c>
      <c r="I6179">
        <v>140.11760000000001</v>
      </c>
      <c r="J6179">
        <v>-291.7851</v>
      </c>
      <c r="K6179">
        <v>1.110282</v>
      </c>
      <c r="L6179">
        <v>140.3339</v>
      </c>
      <c r="M6179">
        <v>-0.99984300000000004</v>
      </c>
      <c r="N6179">
        <v>0</v>
      </c>
      <c r="O6179">
        <v>9.5303309999999995E-3</v>
      </c>
      <c r="P6179">
        <v>-0.99864609999999998</v>
      </c>
      <c r="Q6179">
        <v>-2.412715E-2</v>
      </c>
      <c r="R6179">
        <v>4.6088589999999999E-2</v>
      </c>
      <c r="S6179">
        <v>-3.0026549999999999</v>
      </c>
      <c r="T6179">
        <v>-0.10021090000000001</v>
      </c>
      <c r="U6179">
        <v>-1.9317629999999999E-2</v>
      </c>
      <c r="V6179">
        <v>3.6577360000000003E-2</v>
      </c>
      <c r="W6179">
        <v>-9.1612949999999999E-3</v>
      </c>
      <c r="X6179">
        <v>0.99928890000000004</v>
      </c>
      <c r="Y6179">
        <v>-1.5950099999999998E-2</v>
      </c>
      <c r="Z6179">
        <v>-5.840919E-4</v>
      </c>
      <c r="AA6179">
        <v>0.9998726</v>
      </c>
      <c r="AB6179">
        <v>38</v>
      </c>
      <c r="AC6179">
        <v>-33.015799999999999</v>
      </c>
      <c r="AD6179">
        <v>-1.11028434608</v>
      </c>
      <c r="AE6179">
        <v>-0.216299999999989</v>
      </c>
      <c r="AF6179">
        <v>-0.53037701125816805</v>
      </c>
      <c r="AG6179">
        <v>-1.11028434608</v>
      </c>
      <c r="AH6179">
        <v>32.974948805333703</v>
      </c>
      <c r="AI6179">
        <v>91.928202102919997</v>
      </c>
      <c r="AJ6179">
        <v>90.921479646978199</v>
      </c>
      <c r="AK6179">
        <v>32.997898112116197</v>
      </c>
      <c r="AL6179">
        <v>90.524910844831794</v>
      </c>
      <c r="AM6179">
        <v>87.903716185080199</v>
      </c>
      <c r="AN6179">
        <v>1.00000006912692</v>
      </c>
    </row>
    <row r="6180" spans="1:40" x14ac:dyDescent="0.25">
      <c r="A6180" t="str">
        <f>"20190312154045851"</f>
        <v>20190312154045851</v>
      </c>
      <c r="B6180" t="str">
        <f>"1552376445842698"</f>
        <v>1552376445842698</v>
      </c>
      <c r="C6180" t="s">
        <v>40</v>
      </c>
      <c r="D6180">
        <v>4.2749059999999997</v>
      </c>
      <c r="E6180">
        <v>0.47996220000000001</v>
      </c>
      <c r="F6180" t="s">
        <v>42</v>
      </c>
      <c r="G6180">
        <v>-325.89659999999998</v>
      </c>
      <c r="H6180" s="1">
        <v>-1.8665320000000001E-6</v>
      </c>
      <c r="I6180">
        <v>140.08189999999999</v>
      </c>
      <c r="J6180">
        <v>-292.00569999999999</v>
      </c>
      <c r="K6180">
        <v>1.110317</v>
      </c>
      <c r="L6180">
        <v>140.3357</v>
      </c>
      <c r="M6180">
        <v>-0.99984620000000002</v>
      </c>
      <c r="N6180">
        <v>0</v>
      </c>
      <c r="O6180">
        <v>9.1889550000000004E-3</v>
      </c>
      <c r="P6180">
        <v>-0.99866529999999998</v>
      </c>
      <c r="Q6180">
        <v>-2.4086739999999999E-2</v>
      </c>
      <c r="R6180">
        <v>4.5693499999999998E-2</v>
      </c>
      <c r="S6180">
        <v>-3.0027159999999999</v>
      </c>
      <c r="T6180">
        <v>-9.7734570000000007E-2</v>
      </c>
      <c r="U6180">
        <v>-2.217102E-2</v>
      </c>
      <c r="V6180">
        <v>3.6523949999999999E-2</v>
      </c>
      <c r="W6180">
        <v>-9.1205409999999994E-3</v>
      </c>
      <c r="X6180">
        <v>0.99929120000000005</v>
      </c>
      <c r="Y6180">
        <v>-1.6559239999999999E-2</v>
      </c>
      <c r="Z6180">
        <v>-5.6845430000000002E-4</v>
      </c>
      <c r="AA6180">
        <v>0.99986269999999999</v>
      </c>
      <c r="AB6180">
        <v>38</v>
      </c>
      <c r="AC6180">
        <v>-33.890899999999903</v>
      </c>
      <c r="AD6180">
        <v>-1.1103188665320001</v>
      </c>
      <c r="AE6180">
        <v>-0.25380000000001202</v>
      </c>
      <c r="AF6180">
        <v>-0.56463998300896701</v>
      </c>
      <c r="AG6180">
        <v>-1.1103188665320001</v>
      </c>
      <c r="AH6180">
        <v>33.850805701875501</v>
      </c>
      <c r="AI6180">
        <v>91.878387985264098</v>
      </c>
      <c r="AJ6180">
        <v>90.955619442643396</v>
      </c>
      <c r="AK6180">
        <v>33.873716550770098</v>
      </c>
      <c r="AL6180">
        <v>90.522575728996301</v>
      </c>
      <c r="AM6180">
        <v>87.906779252352806</v>
      </c>
      <c r="AN6180">
        <v>1.0000000427945801</v>
      </c>
    </row>
    <row r="6181" spans="1:40" x14ac:dyDescent="0.25">
      <c r="A6181" t="str">
        <f>"20190312154045865"</f>
        <v>20190312154045865</v>
      </c>
      <c r="B6181" t="str">
        <f>"1552376445852458"</f>
        <v>1552376445852458</v>
      </c>
      <c r="C6181" t="s">
        <v>40</v>
      </c>
      <c r="D6181">
        <v>4.2450700000000001</v>
      </c>
      <c r="E6181">
        <v>0.4799369</v>
      </c>
      <c r="F6181" t="s">
        <v>42</v>
      </c>
      <c r="G6181">
        <v>-326.43079999999998</v>
      </c>
      <c r="H6181" s="1">
        <v>-1.6325989999999901E-6</v>
      </c>
      <c r="I6181">
        <v>140.0641</v>
      </c>
      <c r="J6181">
        <v>-292.23309999999998</v>
      </c>
      <c r="K6181">
        <v>1.1103499999999999</v>
      </c>
      <c r="L6181">
        <v>140.33750000000001</v>
      </c>
      <c r="M6181">
        <v>-0.99984960000000001</v>
      </c>
      <c r="N6181">
        <v>0</v>
      </c>
      <c r="O6181">
        <v>8.8235529999999996E-3</v>
      </c>
      <c r="P6181">
        <v>-0.99868040000000002</v>
      </c>
      <c r="Q6181">
        <v>-2.4369370000000001E-2</v>
      </c>
      <c r="R6181">
        <v>4.5204899999999999E-2</v>
      </c>
      <c r="S6181">
        <v>-3.0027159999999999</v>
      </c>
      <c r="T6181">
        <v>-9.6847059999999999E-2</v>
      </c>
      <c r="U6181">
        <v>-2.368164E-2</v>
      </c>
      <c r="V6181">
        <v>3.6401089999999997E-2</v>
      </c>
      <c r="W6181">
        <v>-9.4030169999999996E-3</v>
      </c>
      <c r="X6181">
        <v>0.99929299999999999</v>
      </c>
      <c r="Y6181">
        <v>-1.6697179999999999E-2</v>
      </c>
      <c r="Z6181">
        <v>-5.5373459999999897E-4</v>
      </c>
      <c r="AA6181">
        <v>0.99986050000000004</v>
      </c>
      <c r="AB6181">
        <v>38</v>
      </c>
      <c r="AC6181">
        <v>-34.197699999999998</v>
      </c>
      <c r="AD6181">
        <v>-1.1103516325989999</v>
      </c>
      <c r="AE6181">
        <v>-0.27340000000000902</v>
      </c>
      <c r="AF6181">
        <v>-0.57456254048547895</v>
      </c>
      <c r="AG6181">
        <v>-1.1103516325989999</v>
      </c>
      <c r="AH6181">
        <v>34.157948455168999</v>
      </c>
      <c r="AI6181">
        <v>91.861560279661902</v>
      </c>
      <c r="AJ6181">
        <v>90.963667488229802</v>
      </c>
      <c r="AK6181">
        <v>34.1808198486655</v>
      </c>
      <c r="AL6181">
        <v>90.538761140109798</v>
      </c>
      <c r="AM6181">
        <v>87.913817992927605</v>
      </c>
      <c r="AN6181">
        <v>0.99999997796544404</v>
      </c>
    </row>
    <row r="6182" spans="1:40" x14ac:dyDescent="0.25">
      <c r="A6182" t="str">
        <f>"20190312154045881"</f>
        <v>20190312154045881</v>
      </c>
      <c r="B6182" t="str">
        <f>"1552376445871978"</f>
        <v>1552376445871978</v>
      </c>
      <c r="C6182" t="s">
        <v>40</v>
      </c>
      <c r="D6182">
        <v>4.2540659999999999</v>
      </c>
      <c r="E6182">
        <v>0.47987619999999997</v>
      </c>
      <c r="F6182" t="s">
        <v>42</v>
      </c>
      <c r="G6182">
        <v>-326.5829</v>
      </c>
      <c r="H6182" s="1">
        <v>-1.5627369999999901E-6</v>
      </c>
      <c r="I6182">
        <v>140.04679999999999</v>
      </c>
      <c r="J6182">
        <v>-292.50639999999999</v>
      </c>
      <c r="K6182">
        <v>1.110387</v>
      </c>
      <c r="L6182">
        <v>140.33949999999999</v>
      </c>
      <c r="M6182">
        <v>-0.99985369999999996</v>
      </c>
      <c r="N6182">
        <v>0</v>
      </c>
      <c r="O6182">
        <v>8.3650069999999903E-3</v>
      </c>
      <c r="P6182">
        <v>-0.9987047</v>
      </c>
      <c r="Q6182">
        <v>-2.4802169999999998E-2</v>
      </c>
      <c r="R6182">
        <v>4.4432590000000001E-2</v>
      </c>
      <c r="S6182">
        <v>-3.002777</v>
      </c>
      <c r="T6182">
        <v>-9.7064259999999999E-2</v>
      </c>
      <c r="U6182">
        <v>-2.5405879999999999E-2</v>
      </c>
      <c r="V6182">
        <v>3.6088410000000001E-2</v>
      </c>
      <c r="W6182">
        <v>-9.8358509999999996E-3</v>
      </c>
      <c r="X6182">
        <v>0.99930019999999997</v>
      </c>
      <c r="Y6182">
        <v>-1.6812690000000002E-2</v>
      </c>
      <c r="Z6182">
        <v>-5.4200989999999996E-4</v>
      </c>
      <c r="AA6182">
        <v>0.99985849999999998</v>
      </c>
      <c r="AB6182">
        <v>38</v>
      </c>
      <c r="AC6182">
        <v>-34.076500000000003</v>
      </c>
      <c r="AD6182">
        <v>-1.110388562737</v>
      </c>
      <c r="AE6182">
        <v>-0.29269999999999602</v>
      </c>
      <c r="AF6182">
        <v>-0.57715887187318105</v>
      </c>
      <c r="AG6182">
        <v>-1.110388562737</v>
      </c>
      <c r="AH6182">
        <v>34.036721482382603</v>
      </c>
      <c r="AI6182">
        <v>91.868243619142106</v>
      </c>
      <c r="AJ6182">
        <v>90.9714683748591</v>
      </c>
      <c r="AK6182">
        <v>34.0597193821811</v>
      </c>
      <c r="AL6182">
        <v>90.563561835357802</v>
      </c>
      <c r="AM6182">
        <v>87.931737247310494</v>
      </c>
      <c r="AN6182">
        <v>1.00000000351063</v>
      </c>
    </row>
    <row r="6183" spans="1:40" x14ac:dyDescent="0.25">
      <c r="A6183" t="str">
        <f>"20190312154045903"</f>
        <v>20190312154045903</v>
      </c>
      <c r="B6183" t="str">
        <f>"1552376445892474"</f>
        <v>1552376445892474</v>
      </c>
      <c r="C6183" t="s">
        <v>40</v>
      </c>
      <c r="D6183">
        <v>4.2433680000000003</v>
      </c>
      <c r="E6183">
        <v>0.47990890000000003</v>
      </c>
      <c r="F6183" t="s">
        <v>42</v>
      </c>
      <c r="G6183">
        <v>-326.90230000000003</v>
      </c>
      <c r="H6183" s="1">
        <v>-1.417893E-6</v>
      </c>
      <c r="I6183">
        <v>140.01730000000001</v>
      </c>
      <c r="J6183">
        <v>-292.88409999999999</v>
      </c>
      <c r="K6183">
        <v>1.1104369999999999</v>
      </c>
      <c r="L6183">
        <v>140.34209999999999</v>
      </c>
      <c r="M6183">
        <v>-0.99985900000000005</v>
      </c>
      <c r="N6183">
        <v>0</v>
      </c>
      <c r="O6183">
        <v>7.6885829999999997E-3</v>
      </c>
      <c r="P6183">
        <v>-0.99874189999999996</v>
      </c>
      <c r="Q6183">
        <v>-2.4904840000000001E-2</v>
      </c>
      <c r="R6183">
        <v>4.352839E-2</v>
      </c>
      <c r="S6183">
        <v>-3.0027159999999999</v>
      </c>
      <c r="T6183">
        <v>-9.6935629999999995E-2</v>
      </c>
      <c r="U6183">
        <v>-2.812195E-2</v>
      </c>
      <c r="V6183">
        <v>3.5861169999999998E-2</v>
      </c>
      <c r="W6183">
        <v>-9.9382970000000005E-3</v>
      </c>
      <c r="X6183">
        <v>0.99930730000000001</v>
      </c>
      <c r="Y6183">
        <v>-1.704104E-2</v>
      </c>
      <c r="Z6183">
        <v>-5.2315320000000001E-4</v>
      </c>
      <c r="AA6183">
        <v>0.99985469999999999</v>
      </c>
      <c r="AB6183">
        <v>38</v>
      </c>
      <c r="AC6183">
        <v>-34.0182</v>
      </c>
      <c r="AD6183">
        <v>-1.110438417893</v>
      </c>
      <c r="AE6183">
        <v>-0.32479999999998199</v>
      </c>
      <c r="AF6183">
        <v>-0.58574722687371505</v>
      </c>
      <c r="AG6183">
        <v>-1.110438417893</v>
      </c>
      <c r="AH6183">
        <v>33.978494892969302</v>
      </c>
      <c r="AI6183">
        <v>91.8715177810802</v>
      </c>
      <c r="AJ6183">
        <v>90.987610551289194</v>
      </c>
      <c r="AK6183">
        <v>34.001680671479598</v>
      </c>
      <c r="AL6183">
        <v>90.569431883816407</v>
      </c>
      <c r="AM6183">
        <v>87.944763984038303</v>
      </c>
      <c r="AN6183">
        <v>0.99999993654715702</v>
      </c>
    </row>
    <row r="6184" spans="1:40" x14ac:dyDescent="0.25">
      <c r="A6184" t="str">
        <f>"20190312154045924"</f>
        <v>20190312154045924</v>
      </c>
      <c r="B6184" t="str">
        <f>"1552376445911994"</f>
        <v>1552376445911994</v>
      </c>
      <c r="C6184" t="s">
        <v>40</v>
      </c>
      <c r="D6184">
        <v>4.1858079999999998</v>
      </c>
      <c r="E6184">
        <v>0.48003679999999899</v>
      </c>
      <c r="F6184" t="s">
        <v>42</v>
      </c>
      <c r="G6184">
        <v>-327.74689999999998</v>
      </c>
      <c r="H6184" s="1">
        <v>-1.0478040000000001E-6</v>
      </c>
      <c r="I6184">
        <v>139.988</v>
      </c>
      <c r="J6184">
        <v>-293.24860000000001</v>
      </c>
      <c r="K6184">
        <v>1.1104849999999999</v>
      </c>
      <c r="L6184">
        <v>140.3442</v>
      </c>
      <c r="M6184">
        <v>-0.99986430000000004</v>
      </c>
      <c r="N6184">
        <v>0</v>
      </c>
      <c r="O6184">
        <v>6.9943679999999999E-3</v>
      </c>
      <c r="P6184">
        <v>-0.99878409999999995</v>
      </c>
      <c r="Q6184">
        <v>-2.4551880000000002E-2</v>
      </c>
      <c r="R6184">
        <v>4.275313E-2</v>
      </c>
      <c r="S6184">
        <v>-3.0026860000000002</v>
      </c>
      <c r="T6184">
        <v>-9.5640779999999995E-2</v>
      </c>
      <c r="U6184">
        <v>-3.048706E-2</v>
      </c>
      <c r="V6184">
        <v>3.5779779999999997E-2</v>
      </c>
      <c r="W6184">
        <v>-9.5849019999999993E-3</v>
      </c>
      <c r="X6184">
        <v>0.99931369999999997</v>
      </c>
      <c r="Y6184">
        <v>-1.7135040000000001E-2</v>
      </c>
      <c r="Z6184">
        <v>-4.9556039999999995E-4</v>
      </c>
      <c r="AA6184">
        <v>0.99985310000000005</v>
      </c>
      <c r="AB6184">
        <v>38</v>
      </c>
      <c r="AC6184">
        <v>-34.498299999999901</v>
      </c>
      <c r="AD6184">
        <v>-1.110486047804</v>
      </c>
      <c r="AE6184">
        <v>-0.35620000000000102</v>
      </c>
      <c r="AF6184">
        <v>-0.596893517347307</v>
      </c>
      <c r="AG6184">
        <v>-1.110486047804</v>
      </c>
      <c r="AH6184">
        <v>34.459262449825502</v>
      </c>
      <c r="AI6184">
        <v>91.845501443789601</v>
      </c>
      <c r="AJ6184">
        <v>90.992361911507501</v>
      </c>
      <c r="AK6184">
        <v>34.482317638456003</v>
      </c>
      <c r="AL6184">
        <v>90.549182858922293</v>
      </c>
      <c r="AM6184">
        <v>87.949437653252502</v>
      </c>
      <c r="AN6184">
        <v>0.99999996700544302</v>
      </c>
    </row>
    <row r="6185" spans="1:40" x14ac:dyDescent="0.25">
      <c r="A6185" t="str">
        <f>"20190312154045939"</f>
        <v>20190312154045939</v>
      </c>
      <c r="B6185" t="str">
        <f>"1552376445932491"</f>
        <v>1552376445932491</v>
      </c>
      <c r="C6185" t="s">
        <v>40</v>
      </c>
      <c r="D6185">
        <v>4.1349119999999999</v>
      </c>
      <c r="E6185">
        <v>0.48016320000000001</v>
      </c>
      <c r="F6185" t="s">
        <v>42</v>
      </c>
      <c r="G6185">
        <v>-328.80560000000003</v>
      </c>
      <c r="H6185" s="1">
        <v>-5.8791649999999899E-7</v>
      </c>
      <c r="I6185">
        <v>139.9667</v>
      </c>
      <c r="J6185">
        <v>-293.49209999999999</v>
      </c>
      <c r="K6185">
        <v>1.1105149999999999</v>
      </c>
      <c r="L6185">
        <v>140.34549999999999</v>
      </c>
      <c r="M6185">
        <v>-0.99986759999999997</v>
      </c>
      <c r="N6185">
        <v>0</v>
      </c>
      <c r="O6185">
        <v>6.5107359999999996E-3</v>
      </c>
      <c r="P6185">
        <v>-0.99880139999999995</v>
      </c>
      <c r="Q6185">
        <v>-2.4162139999999999E-2</v>
      </c>
      <c r="R6185">
        <v>4.2569129999999997E-2</v>
      </c>
      <c r="S6185">
        <v>-3.0027159999999999</v>
      </c>
      <c r="T6185">
        <v>-9.377837E-2</v>
      </c>
      <c r="U6185">
        <v>-3.1875609999999999E-2</v>
      </c>
      <c r="V6185">
        <v>3.6079189999999997E-2</v>
      </c>
      <c r="W6185">
        <v>-9.1944720000000004E-3</v>
      </c>
      <c r="X6185">
        <v>0.99930660000000004</v>
      </c>
      <c r="Y6185">
        <v>-1.711435E-2</v>
      </c>
      <c r="Z6185">
        <v>-4.704841E-4</v>
      </c>
      <c r="AA6185">
        <v>0.9998534</v>
      </c>
      <c r="AB6185">
        <v>38</v>
      </c>
      <c r="AC6185">
        <v>-35.313499999999998</v>
      </c>
      <c r="AD6185">
        <v>-1.1105155879164901</v>
      </c>
      <c r="AE6185">
        <v>-0.37879999999998398</v>
      </c>
      <c r="AF6185">
        <v>-0.60813308049543802</v>
      </c>
      <c r="AG6185">
        <v>-1.1105155879164901</v>
      </c>
      <c r="AH6185">
        <v>35.275403749121097</v>
      </c>
      <c r="AI6185">
        <v>91.802882414823699</v>
      </c>
      <c r="AJ6185">
        <v>90.987657232701096</v>
      </c>
      <c r="AK6185">
        <v>35.298118652105401</v>
      </c>
      <c r="AL6185">
        <v>90.526811882470994</v>
      </c>
      <c r="AM6185">
        <v>87.932278427154202</v>
      </c>
      <c r="AN6185">
        <v>0.99999996353498599</v>
      </c>
    </row>
    <row r="6186" spans="1:40" x14ac:dyDescent="0.25">
      <c r="A6186" t="str">
        <f>"20190312154045952"</f>
        <v>20190312154045952</v>
      </c>
      <c r="B6186" t="str">
        <f>"1552376445942250"</f>
        <v>1552376445942250</v>
      </c>
      <c r="C6186" t="s">
        <v>40</v>
      </c>
      <c r="D6186">
        <v>4.1731150000000001</v>
      </c>
      <c r="E6186">
        <v>0.48016320000000001</v>
      </c>
      <c r="F6186" t="s">
        <v>42</v>
      </c>
      <c r="G6186">
        <v>-331.4436</v>
      </c>
      <c r="H6186" s="1">
        <v>-4.1143690000000001E-6</v>
      </c>
      <c r="I6186">
        <v>139.95169999999999</v>
      </c>
      <c r="J6186">
        <v>-293.72269999999997</v>
      </c>
      <c r="K6186">
        <v>1.1105400000000001</v>
      </c>
      <c r="L6186">
        <v>140.3466</v>
      </c>
      <c r="M6186">
        <v>-0.9998705</v>
      </c>
      <c r="N6186">
        <v>0</v>
      </c>
      <c r="O6186">
        <v>6.0301679999999998E-3</v>
      </c>
      <c r="P6186">
        <v>-0.99881679999999995</v>
      </c>
      <c r="Q6186">
        <v>-2.3803830000000002E-2</v>
      </c>
      <c r="R6186">
        <v>4.2411419999999998E-2</v>
      </c>
      <c r="S6186">
        <v>-3.0028079999999999</v>
      </c>
      <c r="T6186">
        <v>-8.7866780000000005E-2</v>
      </c>
      <c r="U6186">
        <v>-3.1158450000000001E-2</v>
      </c>
      <c r="V6186">
        <v>3.6401650000000001E-2</v>
      </c>
      <c r="W6186">
        <v>-8.8353549999999996E-3</v>
      </c>
      <c r="X6186">
        <v>0.99929820000000003</v>
      </c>
      <c r="Y6186">
        <v>-1.6396609999999999E-2</v>
      </c>
      <c r="Z6186">
        <v>-4.16267E-4</v>
      </c>
      <c r="AA6186">
        <v>0.99986549999999996</v>
      </c>
      <c r="AB6186">
        <v>38</v>
      </c>
      <c r="AC6186">
        <v>-37.7209</v>
      </c>
      <c r="AD6186">
        <v>-1.11054411436899</v>
      </c>
      <c r="AE6186">
        <v>-0.39490000000000602</v>
      </c>
      <c r="AF6186">
        <v>-0.62184256583467301</v>
      </c>
      <c r="AG6186">
        <v>-1.11054411436899</v>
      </c>
      <c r="AH6186">
        <v>37.685171369402198</v>
      </c>
      <c r="AI6186">
        <v>91.687730892585407</v>
      </c>
      <c r="AJ6186">
        <v>90.945351183572399</v>
      </c>
      <c r="AK6186">
        <v>37.7066590610711</v>
      </c>
      <c r="AL6186">
        <v>90.506235129410797</v>
      </c>
      <c r="AM6186">
        <v>87.913796773479106</v>
      </c>
      <c r="AN6186">
        <v>1.0000000180719599</v>
      </c>
    </row>
    <row r="6187" spans="1:40" x14ac:dyDescent="0.25">
      <c r="A6187" t="str">
        <f>"20190312154045965"</f>
        <v>20190312154045965</v>
      </c>
      <c r="B6187" t="str">
        <f>"1552376445962746"</f>
        <v>1552376445962746</v>
      </c>
      <c r="C6187" t="s">
        <v>40</v>
      </c>
      <c r="D6187">
        <v>4.1203580000000004</v>
      </c>
      <c r="E6187">
        <v>0.48366150000000002</v>
      </c>
      <c r="F6187" t="s">
        <v>42</v>
      </c>
      <c r="G6187">
        <v>-332.12689999999998</v>
      </c>
      <c r="H6187" s="1">
        <v>-3.789014E-6</v>
      </c>
      <c r="I6187">
        <v>139.94290000000001</v>
      </c>
      <c r="J6187">
        <v>-293.93920000000003</v>
      </c>
      <c r="K6187">
        <v>1.110571</v>
      </c>
      <c r="L6187">
        <v>140.3475</v>
      </c>
      <c r="M6187">
        <v>-0.99987340000000002</v>
      </c>
      <c r="N6187">
        <v>0</v>
      </c>
      <c r="O6187">
        <v>5.5608239999999998E-3</v>
      </c>
      <c r="P6187">
        <v>-0.99882490000000002</v>
      </c>
      <c r="Q6187">
        <v>-2.3374700000000002E-2</v>
      </c>
      <c r="R6187">
        <v>4.2458080000000002E-2</v>
      </c>
      <c r="S6187">
        <v>-3.0028380000000001</v>
      </c>
      <c r="T6187">
        <v>-8.6833720000000003E-2</v>
      </c>
      <c r="U6187">
        <v>-3.1570429999999997E-2</v>
      </c>
      <c r="V6187">
        <v>3.6916980000000002E-2</v>
      </c>
      <c r="W6187">
        <v>-8.4050500000000007E-3</v>
      </c>
      <c r="X6187">
        <v>0.99928300000000003</v>
      </c>
      <c r="Y6187">
        <v>-1.606488E-2</v>
      </c>
      <c r="Z6187">
        <v>-3.9300480000000002E-4</v>
      </c>
      <c r="AA6187">
        <v>0.99987090000000001</v>
      </c>
      <c r="AB6187">
        <v>38</v>
      </c>
      <c r="AC6187">
        <v>-38.1876999999999</v>
      </c>
      <c r="AD6187">
        <v>-1.1105747890140001</v>
      </c>
      <c r="AE6187">
        <v>-0.40459999999998703</v>
      </c>
      <c r="AF6187">
        <v>-0.61645111169026101</v>
      </c>
      <c r="AG6187">
        <v>-1.1105747890140001</v>
      </c>
      <c r="AH6187">
        <v>38.152594843718802</v>
      </c>
      <c r="AI6187">
        <v>91.667120895099799</v>
      </c>
      <c r="AJ6187">
        <v>90.9256768507977</v>
      </c>
      <c r="AK6187">
        <v>38.173732875421798</v>
      </c>
      <c r="AL6187">
        <v>90.481579556511306</v>
      </c>
      <c r="AM6187">
        <v>87.884257362064503</v>
      </c>
      <c r="AN6187">
        <v>1.00000001118341</v>
      </c>
    </row>
    <row r="6188" spans="1:40" x14ac:dyDescent="0.25">
      <c r="A6188" t="str">
        <f>"20190312154045981"</f>
        <v>20190312154045981</v>
      </c>
      <c r="B6188" t="str">
        <f>"1552376445972506"</f>
        <v>1552376445972506</v>
      </c>
      <c r="C6188" t="s">
        <v>40</v>
      </c>
      <c r="D6188">
        <v>4.1528099999999997</v>
      </c>
      <c r="E6188">
        <v>0.48355239999999999</v>
      </c>
      <c r="F6188" t="s">
        <v>50</v>
      </c>
      <c r="G6188">
        <v>0</v>
      </c>
      <c r="H6188">
        <v>0</v>
      </c>
      <c r="I6188">
        <v>0</v>
      </c>
      <c r="J6188">
        <v>-294.19139999999999</v>
      </c>
      <c r="K6188">
        <v>1.1106119999999999</v>
      </c>
      <c r="L6188">
        <v>140.3484</v>
      </c>
      <c r="M6188">
        <v>-0.9998764</v>
      </c>
      <c r="N6188">
        <v>0</v>
      </c>
      <c r="O6188">
        <v>4.9937310000000004E-3</v>
      </c>
      <c r="P6188">
        <v>-0.99879680000000004</v>
      </c>
      <c r="Q6188">
        <v>-2.2979360000000001E-2</v>
      </c>
      <c r="R6188">
        <v>4.3327310000000001E-2</v>
      </c>
      <c r="S6188">
        <v>-3.0035099999999999</v>
      </c>
      <c r="T6188">
        <v>-4.5168399999999999E-4</v>
      </c>
      <c r="U6188" s="1">
        <v>4.5776370000000002E-5</v>
      </c>
      <c r="V6188">
        <v>3.8353030000000003E-2</v>
      </c>
      <c r="W6188">
        <v>-8.0071309999999903E-3</v>
      </c>
      <c r="X6188">
        <v>0.99923220000000001</v>
      </c>
      <c r="Y6188">
        <v>-4.9790449999999997E-3</v>
      </c>
      <c r="Z6188" s="1">
        <v>-1.125453E-6</v>
      </c>
      <c r="AA6188">
        <v>0.99998759999999998</v>
      </c>
      <c r="AB6188">
        <v>38</v>
      </c>
      <c r="AC6188">
        <v>-3.0035099999999999</v>
      </c>
      <c r="AD6188">
        <v>-4.5168399999999999E-4</v>
      </c>
      <c r="AE6188" s="1">
        <v>4.5776370000000002E-5</v>
      </c>
      <c r="AF6188">
        <v>-1.4954611849544899E-2</v>
      </c>
      <c r="AG6188">
        <v>-4.5168399999999999E-4</v>
      </c>
      <c r="AH6188">
        <v>3.0034727023469099</v>
      </c>
      <c r="AI6188">
        <v>90.008616447842897</v>
      </c>
      <c r="AJ6188">
        <v>90.285279457315596</v>
      </c>
      <c r="AK6188">
        <v>3.0035099663854998</v>
      </c>
      <c r="AL6188">
        <v>90.458779701339196</v>
      </c>
      <c r="AM6188">
        <v>87.801923728262096</v>
      </c>
      <c r="AN6188">
        <v>1.00000002928693</v>
      </c>
    </row>
    <row r="6189" spans="1:40" x14ac:dyDescent="0.25">
      <c r="A6189" t="str">
        <f>"20190312154046003"</f>
        <v>20190312154046003</v>
      </c>
      <c r="B6189" t="str">
        <f>"1552376445992026"</f>
        <v>1552376445992026</v>
      </c>
      <c r="C6189" t="s">
        <v>40</v>
      </c>
      <c r="D6189">
        <v>4.0904680000000004</v>
      </c>
      <c r="E6189">
        <v>0.48345110000000002</v>
      </c>
      <c r="F6189" t="s">
        <v>50</v>
      </c>
      <c r="G6189">
        <v>0</v>
      </c>
      <c r="H6189">
        <v>0</v>
      </c>
      <c r="I6189">
        <v>0</v>
      </c>
      <c r="J6189">
        <v>-294.5797</v>
      </c>
      <c r="K6189">
        <v>1.1106769999999999</v>
      </c>
      <c r="L6189">
        <v>140.34950000000001</v>
      </c>
      <c r="M6189">
        <v>-0.99988060000000001</v>
      </c>
      <c r="N6189">
        <v>0</v>
      </c>
      <c r="O6189">
        <v>4.0602709999999998E-3</v>
      </c>
      <c r="P6189">
        <v>-0.9987663</v>
      </c>
      <c r="Q6189">
        <v>-2.3191E-2</v>
      </c>
      <c r="R6189">
        <v>4.3908160000000002E-2</v>
      </c>
      <c r="S6189">
        <v>-3.0036619999999998</v>
      </c>
      <c r="T6189">
        <v>5.8234929999999999E-3</v>
      </c>
      <c r="U6189">
        <v>1.922607E-3</v>
      </c>
      <c r="V6189">
        <v>3.9868250000000001E-2</v>
      </c>
      <c r="W6189">
        <v>-8.2149919999999904E-3</v>
      </c>
      <c r="X6189">
        <v>0.99917120000000004</v>
      </c>
      <c r="Y6189">
        <v>-3.420626E-3</v>
      </c>
      <c r="Z6189" s="1">
        <v>1.118884E-5</v>
      </c>
      <c r="AA6189">
        <v>0.99999420000000006</v>
      </c>
      <c r="AB6189">
        <v>38</v>
      </c>
      <c r="AC6189">
        <v>-3.0036619999999998</v>
      </c>
      <c r="AD6189">
        <v>5.8234929999999999E-3</v>
      </c>
      <c r="AE6189">
        <v>1.922607E-3</v>
      </c>
      <c r="AF6189">
        <v>-1.0274407718738899E-2</v>
      </c>
      <c r="AG6189">
        <v>5.8234929999999999E-3</v>
      </c>
      <c r="AH6189">
        <v>3.0036337522155798</v>
      </c>
      <c r="AI6189">
        <v>89.888914818408693</v>
      </c>
      <c r="AJ6189">
        <v>90.195988576446993</v>
      </c>
      <c r="AK6189">
        <v>3.0036569700905198</v>
      </c>
      <c r="AL6189">
        <v>90.470689652750295</v>
      </c>
      <c r="AM6189">
        <v>87.715034882993706</v>
      </c>
      <c r="AN6189">
        <v>1.0000000251805301</v>
      </c>
    </row>
    <row r="6190" spans="1:40" x14ac:dyDescent="0.25">
      <c r="A6190" t="str">
        <f>"20190312154046025"</f>
        <v>20190312154046025</v>
      </c>
      <c r="B6190" t="str">
        <f>"1552376446012522"</f>
        <v>1552376446012522</v>
      </c>
      <c r="C6190" t="s">
        <v>40</v>
      </c>
      <c r="D6190">
        <v>4.0846970000000002</v>
      </c>
      <c r="E6190">
        <v>0.48371449999999999</v>
      </c>
      <c r="F6190" t="s">
        <v>50</v>
      </c>
      <c r="G6190">
        <v>0</v>
      </c>
      <c r="H6190">
        <v>0</v>
      </c>
      <c r="I6190">
        <v>0</v>
      </c>
      <c r="J6190">
        <v>-294.92950000000002</v>
      </c>
      <c r="K6190">
        <v>1.1107359999999999</v>
      </c>
      <c r="L6190">
        <v>140.3501</v>
      </c>
      <c r="M6190">
        <v>-0.99988390000000005</v>
      </c>
      <c r="N6190">
        <v>0</v>
      </c>
      <c r="O6190">
        <v>3.1655149999999998E-3</v>
      </c>
      <c r="P6190">
        <v>-0.99874249999999998</v>
      </c>
      <c r="Q6190">
        <v>-2.3394080000000001E-2</v>
      </c>
      <c r="R6190">
        <v>4.4345629999999997E-2</v>
      </c>
      <c r="S6190">
        <v>-3.0037229999999999</v>
      </c>
      <c r="T6190">
        <v>6.8204399999999997E-3</v>
      </c>
      <c r="U6190">
        <v>3.0975339999999999E-3</v>
      </c>
      <c r="V6190">
        <v>4.1201139999999997E-2</v>
      </c>
      <c r="W6190">
        <v>-8.4141289999999994E-3</v>
      </c>
      <c r="X6190">
        <v>0.99911550000000005</v>
      </c>
      <c r="Y6190">
        <v>-2.1346260000000001E-3</v>
      </c>
      <c r="Z6190" s="1">
        <v>9.6120929999999999E-6</v>
      </c>
      <c r="AA6190">
        <v>0.99999769999999999</v>
      </c>
      <c r="AB6190">
        <v>38</v>
      </c>
      <c r="AC6190">
        <v>-3.0037229999999999</v>
      </c>
      <c r="AD6190">
        <v>6.8204399999999997E-3</v>
      </c>
      <c r="AE6190">
        <v>3.0975339999999999E-3</v>
      </c>
      <c r="AF6190">
        <v>-6.4118350664808602E-3</v>
      </c>
      <c r="AG6190">
        <v>6.8204399999999997E-3</v>
      </c>
      <c r="AH6190">
        <v>3.00370226682554</v>
      </c>
      <c r="AI6190">
        <v>89.8699002664858</v>
      </c>
      <c r="AJ6190">
        <v>90.122305907047306</v>
      </c>
      <c r="AK6190">
        <v>3.0037168537935801</v>
      </c>
      <c r="AL6190">
        <v>90.482099741231593</v>
      </c>
      <c r="AM6190">
        <v>87.638596670034005</v>
      </c>
      <c r="AN6190">
        <v>1.0000000569221801</v>
      </c>
    </row>
    <row r="6191" spans="1:40" x14ac:dyDescent="0.25">
      <c r="A6191" t="str">
        <f>"20190312154046047"</f>
        <v>20190312154046047</v>
      </c>
      <c r="B6191" t="str">
        <f>"1552376446042778"</f>
        <v>1552376446042778</v>
      </c>
      <c r="C6191" t="s">
        <v>40</v>
      </c>
      <c r="D6191">
        <v>4.0704390000000004</v>
      </c>
      <c r="E6191">
        <v>0.4841241</v>
      </c>
      <c r="F6191" t="s">
        <v>50</v>
      </c>
      <c r="G6191">
        <v>0</v>
      </c>
      <c r="H6191">
        <v>0</v>
      </c>
      <c r="I6191">
        <v>0</v>
      </c>
      <c r="J6191">
        <v>-295.3109</v>
      </c>
      <c r="K6191">
        <v>1.110798</v>
      </c>
      <c r="L6191">
        <v>140.35040000000001</v>
      </c>
      <c r="M6191">
        <v>-0.99988670000000002</v>
      </c>
      <c r="N6191">
        <v>0</v>
      </c>
      <c r="O6191">
        <v>2.1343780000000001E-3</v>
      </c>
      <c r="P6191">
        <v>-0.99872939999999999</v>
      </c>
      <c r="Q6191">
        <v>-2.3693550000000001E-2</v>
      </c>
      <c r="R6191">
        <v>4.4479640000000001E-2</v>
      </c>
      <c r="S6191">
        <v>-3.0036010000000002</v>
      </c>
      <c r="T6191">
        <v>5.3730009999999996E-3</v>
      </c>
      <c r="U6191">
        <v>6.5002439999999996E-3</v>
      </c>
      <c r="V6191">
        <v>4.2367139999999998E-2</v>
      </c>
      <c r="W6191">
        <v>-8.7095550000000008E-3</v>
      </c>
      <c r="X6191">
        <v>0.99906410000000001</v>
      </c>
      <c r="Y6191" s="1">
        <v>2.953426E-5</v>
      </c>
      <c r="Z6191" s="1">
        <v>3.7920840000000001E-6</v>
      </c>
      <c r="AA6191">
        <v>1</v>
      </c>
      <c r="AB6191">
        <v>38</v>
      </c>
      <c r="AC6191">
        <v>-3.0036010000000002</v>
      </c>
      <c r="AD6191">
        <v>5.3730009999999996E-3</v>
      </c>
      <c r="AE6191">
        <v>6.5002439999999996E-3</v>
      </c>
      <c r="AF6191" s="1">
        <v>8.8697190714972794E-5</v>
      </c>
      <c r="AG6191">
        <v>5.3730009999999996E-3</v>
      </c>
      <c r="AH6191">
        <v>3.0035984209783302</v>
      </c>
      <c r="AI6191">
        <v>89.897506287803907</v>
      </c>
      <c r="AJ6191">
        <v>89.998308037903499</v>
      </c>
      <c r="AK6191">
        <v>3.00360322804302</v>
      </c>
      <c r="AL6191">
        <v>90.499027075387303</v>
      </c>
      <c r="AM6191">
        <v>87.571722626160096</v>
      </c>
      <c r="AN6191">
        <v>0.99999995340444203</v>
      </c>
    </row>
    <row r="6192" spans="1:40" x14ac:dyDescent="0.25">
      <c r="A6192" t="str">
        <f>"20190312154046071"</f>
        <v>20190312154046071</v>
      </c>
      <c r="B6192" t="str">
        <f>"1552376446062299"</f>
        <v>1552376446062299</v>
      </c>
      <c r="C6192" t="s">
        <v>40</v>
      </c>
      <c r="D6192">
        <v>3.9933079999999999</v>
      </c>
      <c r="E6192">
        <v>0.48445240000000001</v>
      </c>
      <c r="F6192" t="s">
        <v>50</v>
      </c>
      <c r="G6192">
        <v>0</v>
      </c>
      <c r="H6192">
        <v>0</v>
      </c>
      <c r="I6192">
        <v>0</v>
      </c>
      <c r="J6192">
        <v>-295.69589999999999</v>
      </c>
      <c r="K6192">
        <v>1.110854</v>
      </c>
      <c r="L6192">
        <v>140.3501</v>
      </c>
      <c r="M6192">
        <v>-0.99988840000000001</v>
      </c>
      <c r="N6192">
        <v>0</v>
      </c>
      <c r="O6192">
        <v>1.0392960000000001E-3</v>
      </c>
      <c r="P6192">
        <v>-0.99876370000000003</v>
      </c>
      <c r="Q6192">
        <v>-2.3767099999999999E-2</v>
      </c>
      <c r="R6192">
        <v>4.3661060000000002E-2</v>
      </c>
      <c r="S6192">
        <v>-3.003479</v>
      </c>
      <c r="T6192">
        <v>5.5143830000000003E-3</v>
      </c>
      <c r="U6192">
        <v>1.019287E-2</v>
      </c>
      <c r="V6192">
        <v>4.2643769999999998E-2</v>
      </c>
      <c r="W6192">
        <v>-8.7806789999999996E-3</v>
      </c>
      <c r="X6192">
        <v>0.99905169999999999</v>
      </c>
      <c r="Y6192">
        <v>2.3542599999999999E-3</v>
      </c>
      <c r="Z6192" s="1">
        <v>-2.5285019999999998E-7</v>
      </c>
      <c r="AA6192">
        <v>0.99999729999999998</v>
      </c>
      <c r="AB6192">
        <v>38</v>
      </c>
      <c r="AC6192">
        <v>-3.003479</v>
      </c>
      <c r="AD6192">
        <v>5.5143830000000003E-3</v>
      </c>
      <c r="AE6192">
        <v>1.019287E-2</v>
      </c>
      <c r="AF6192">
        <v>7.0709902355802802E-3</v>
      </c>
      <c r="AG6192">
        <v>5.5143830000000003E-3</v>
      </c>
      <c r="AH6192">
        <v>3.0034778478631501</v>
      </c>
      <c r="AI6192">
        <v>89.894805402960401</v>
      </c>
      <c r="AJ6192">
        <v>89.8651106585436</v>
      </c>
      <c r="AK6192">
        <v>3.00349123353597</v>
      </c>
      <c r="AL6192">
        <v>90.503102340483295</v>
      </c>
      <c r="AM6192">
        <v>87.555856412723401</v>
      </c>
      <c r="AN6192">
        <v>0.99999994535820003</v>
      </c>
    </row>
    <row r="6193" spans="1:40" x14ac:dyDescent="0.25">
      <c r="A6193" t="str">
        <f>"20190312154046093"</f>
        <v>20190312154046093</v>
      </c>
      <c r="B6193" t="str">
        <f>"1552376446082794"</f>
        <v>1552376446082794</v>
      </c>
      <c r="C6193" t="s">
        <v>40</v>
      </c>
      <c r="D6193">
        <v>3.9394239999999998</v>
      </c>
      <c r="E6193">
        <v>0.4846203</v>
      </c>
      <c r="F6193" t="s">
        <v>50</v>
      </c>
      <c r="G6193">
        <v>0</v>
      </c>
      <c r="H6193">
        <v>0</v>
      </c>
      <c r="I6193">
        <v>0</v>
      </c>
      <c r="J6193">
        <v>-296.077</v>
      </c>
      <c r="K6193">
        <v>1.110908</v>
      </c>
      <c r="L6193">
        <v>140.34950000000001</v>
      </c>
      <c r="M6193">
        <v>-0.99988909999999998</v>
      </c>
      <c r="N6193">
        <v>0</v>
      </c>
      <c r="O6193" s="1">
        <v>-8.9547869999999995E-5</v>
      </c>
      <c r="P6193">
        <v>-0.99885900000000005</v>
      </c>
      <c r="Q6193">
        <v>-2.2933760000000001E-2</v>
      </c>
      <c r="R6193">
        <v>4.1892249999999999E-2</v>
      </c>
      <c r="S6193">
        <v>-3.003387</v>
      </c>
      <c r="T6193">
        <v>5.7997700000000001E-3</v>
      </c>
      <c r="U6193">
        <v>1.045227E-2</v>
      </c>
      <c r="V6193">
        <v>4.2001499999999997E-2</v>
      </c>
      <c r="W6193">
        <v>-7.947137E-3</v>
      </c>
      <c r="X6193">
        <v>0.99908600000000003</v>
      </c>
      <c r="Y6193">
        <v>3.5696909999999998E-3</v>
      </c>
      <c r="Z6193" s="1">
        <v>-3.6196020000000001E-6</v>
      </c>
      <c r="AA6193">
        <v>0.99999360000000004</v>
      </c>
      <c r="AB6193">
        <v>38</v>
      </c>
      <c r="AC6193">
        <v>-3.003387</v>
      </c>
      <c r="AD6193">
        <v>5.7997700000000001E-3</v>
      </c>
      <c r="AE6193">
        <v>1.045227E-2</v>
      </c>
      <c r="AF6193">
        <v>1.0721206715660399E-2</v>
      </c>
      <c r="AG6193">
        <v>5.7997700000000001E-3</v>
      </c>
      <c r="AH6193">
        <v>3.0033748522546899</v>
      </c>
      <c r="AI6193">
        <v>89.889357862666699</v>
      </c>
      <c r="AJ6193">
        <v>89.795470989437803</v>
      </c>
      <c r="AK6193">
        <v>3.0033995879272202</v>
      </c>
      <c r="AL6193">
        <v>90.455342175451506</v>
      </c>
      <c r="AM6193">
        <v>87.592707268338401</v>
      </c>
      <c r="AN6193">
        <v>1.0000000591923699</v>
      </c>
    </row>
    <row r="6194" spans="1:40" x14ac:dyDescent="0.25">
      <c r="A6194" t="str">
        <f>"20190312154046115"</f>
        <v>20190312154046115</v>
      </c>
      <c r="B6194" t="str">
        <f>"1552376446102315"</f>
        <v>1552376446102315</v>
      </c>
      <c r="C6194" t="s">
        <v>40</v>
      </c>
      <c r="D6194">
        <v>3.9253740000000001</v>
      </c>
      <c r="E6194">
        <v>0.48473329999999998</v>
      </c>
      <c r="F6194" t="s">
        <v>50</v>
      </c>
      <c r="G6194">
        <v>0</v>
      </c>
      <c r="H6194">
        <v>0</v>
      </c>
      <c r="I6194">
        <v>0</v>
      </c>
      <c r="J6194">
        <v>-296.43049999999999</v>
      </c>
      <c r="K6194">
        <v>1.1109469999999999</v>
      </c>
      <c r="L6194">
        <v>140.3484</v>
      </c>
      <c r="M6194">
        <v>-0.99988840000000001</v>
      </c>
      <c r="N6194">
        <v>0</v>
      </c>
      <c r="O6194">
        <v>-1.166895E-3</v>
      </c>
      <c r="P6194">
        <v>-0.99901839999999997</v>
      </c>
      <c r="Q6194">
        <v>-2.1321819999999998E-2</v>
      </c>
      <c r="R6194">
        <v>3.882766E-2</v>
      </c>
      <c r="S6194">
        <v>-3.0033569999999998</v>
      </c>
      <c r="T6194">
        <v>9.2399119999999994E-3</v>
      </c>
      <c r="U6194">
        <v>6.4697269999999998E-3</v>
      </c>
      <c r="V6194">
        <v>4.0009690000000001E-2</v>
      </c>
      <c r="W6194">
        <v>-6.3386340000000001E-3</v>
      </c>
      <c r="X6194">
        <v>0.99917920000000005</v>
      </c>
      <c r="Y6194">
        <v>3.3211600000000001E-3</v>
      </c>
      <c r="Z6194" s="1">
        <v>-8.6991760000000007E-6</v>
      </c>
      <c r="AA6194">
        <v>0.99999450000000001</v>
      </c>
      <c r="AB6194">
        <v>37</v>
      </c>
      <c r="AC6194">
        <v>-3.0033569999999998</v>
      </c>
      <c r="AD6194">
        <v>9.2399119999999994E-3</v>
      </c>
      <c r="AE6194">
        <v>6.4697269999999998E-3</v>
      </c>
      <c r="AF6194">
        <v>9.9746192216836997E-3</v>
      </c>
      <c r="AG6194">
        <v>9.2399119999999994E-3</v>
      </c>
      <c r="AH6194">
        <v>3.0033189781081302</v>
      </c>
      <c r="AI6194">
        <v>89.823727224952293</v>
      </c>
      <c r="AJ6194">
        <v>89.809710028626498</v>
      </c>
      <c r="AK6194">
        <v>3.0033497554009401</v>
      </c>
      <c r="AL6194">
        <v>90.363179403138005</v>
      </c>
      <c r="AM6194">
        <v>87.706955524080399</v>
      </c>
      <c r="AN6194">
        <v>1.0000000136437599</v>
      </c>
    </row>
    <row r="6195" spans="1:40" x14ac:dyDescent="0.25">
      <c r="A6195" t="str">
        <f>"20190312154046137"</f>
        <v>20190312154046137</v>
      </c>
      <c r="B6195" t="str">
        <f>"1552376446132570"</f>
        <v>1552376446132570</v>
      </c>
      <c r="C6195" t="s">
        <v>40</v>
      </c>
      <c r="D6195">
        <v>3.8802020000000002</v>
      </c>
      <c r="E6195">
        <v>0.48507359999999999</v>
      </c>
      <c r="F6195" t="s">
        <v>50</v>
      </c>
      <c r="G6195">
        <v>0</v>
      </c>
      <c r="H6195">
        <v>0</v>
      </c>
      <c r="I6195">
        <v>0</v>
      </c>
      <c r="J6195">
        <v>-296.80759999999998</v>
      </c>
      <c r="K6195">
        <v>1.110976</v>
      </c>
      <c r="L6195">
        <v>140.34690000000001</v>
      </c>
      <c r="M6195">
        <v>-0.99988650000000001</v>
      </c>
      <c r="N6195">
        <v>0</v>
      </c>
      <c r="O6195">
        <v>-2.3380430000000002E-3</v>
      </c>
      <c r="P6195">
        <v>-0.99912509999999999</v>
      </c>
      <c r="Q6195">
        <v>-2.1115849999999999E-2</v>
      </c>
      <c r="R6195">
        <v>3.6100010000000002E-2</v>
      </c>
      <c r="S6195">
        <v>-3.0033259999999999</v>
      </c>
      <c r="T6195">
        <v>1.432633E-2</v>
      </c>
      <c r="U6195">
        <v>-2.0294190000000002E-3</v>
      </c>
      <c r="V6195">
        <v>3.8452269999999997E-2</v>
      </c>
      <c r="W6195">
        <v>-6.1367899999999996E-3</v>
      </c>
      <c r="X6195">
        <v>0.99924159999999995</v>
      </c>
      <c r="Y6195">
        <v>1.662534E-3</v>
      </c>
      <c r="Z6195" s="1">
        <v>-1.511924E-5</v>
      </c>
      <c r="AA6195">
        <v>0.99999859999999896</v>
      </c>
      <c r="AB6195">
        <v>37</v>
      </c>
      <c r="AC6195">
        <v>-3.0033259999999999</v>
      </c>
      <c r="AD6195">
        <v>1.432633E-2</v>
      </c>
      <c r="AE6195">
        <v>-2.0294190000000002E-3</v>
      </c>
      <c r="AF6195">
        <v>4.9931561408384697E-3</v>
      </c>
      <c r="AG6195">
        <v>1.432633E-2</v>
      </c>
      <c r="AH6195">
        <v>3.0032541976590701</v>
      </c>
      <c r="AI6195">
        <v>89.7266861776111</v>
      </c>
      <c r="AJ6195">
        <v>89.904741160456794</v>
      </c>
      <c r="AK6195">
        <v>3.0032925184031498</v>
      </c>
      <c r="AL6195">
        <v>90.351614371573703</v>
      </c>
      <c r="AM6195">
        <v>87.796262429130707</v>
      </c>
      <c r="AN6195">
        <v>1.0000000062151</v>
      </c>
    </row>
    <row r="6196" spans="1:40" x14ac:dyDescent="0.25">
      <c r="A6196" t="str">
        <f>"20190312154046159"</f>
        <v>20190312154046159</v>
      </c>
      <c r="B6196" t="str">
        <f>"1552376446152094"</f>
        <v>1552376446152094</v>
      </c>
      <c r="C6196" t="s">
        <v>40</v>
      </c>
      <c r="D6196">
        <v>3.8853</v>
      </c>
      <c r="E6196">
        <v>0.48518630000000001</v>
      </c>
      <c r="F6196" t="s">
        <v>50</v>
      </c>
      <c r="G6196">
        <v>0</v>
      </c>
      <c r="H6196">
        <v>0</v>
      </c>
      <c r="I6196">
        <v>0</v>
      </c>
      <c r="J6196">
        <v>-297.18209999999999</v>
      </c>
      <c r="K6196">
        <v>1.1109960000000001</v>
      </c>
      <c r="L6196">
        <v>140.3449</v>
      </c>
      <c r="M6196">
        <v>-0.99988299999999997</v>
      </c>
      <c r="N6196">
        <v>0</v>
      </c>
      <c r="O6196">
        <v>-3.5150989999999998E-3</v>
      </c>
      <c r="P6196">
        <v>-0.99922100000000003</v>
      </c>
      <c r="Q6196">
        <v>-2.0854859999999999E-2</v>
      </c>
      <c r="R6196">
        <v>3.350388E-2</v>
      </c>
      <c r="S6196">
        <v>-3.0032960000000002</v>
      </c>
      <c r="T6196">
        <v>1.8010379999999999E-2</v>
      </c>
      <c r="U6196">
        <v>-7.125854E-3</v>
      </c>
      <c r="V6196">
        <v>3.7032290000000002E-2</v>
      </c>
      <c r="W6196">
        <v>-5.8806719999999896E-3</v>
      </c>
      <c r="X6196">
        <v>0.99929679999999999</v>
      </c>
      <c r="Y6196">
        <v>1.142739E-3</v>
      </c>
      <c r="Z6196" s="1">
        <v>-2.4508060000000001E-5</v>
      </c>
      <c r="AA6196">
        <v>0.99999930000000004</v>
      </c>
      <c r="AB6196">
        <v>37</v>
      </c>
      <c r="AC6196">
        <v>-3.0032960000000002</v>
      </c>
      <c r="AD6196">
        <v>1.8010379999999999E-2</v>
      </c>
      <c r="AE6196">
        <v>-7.125854E-3</v>
      </c>
      <c r="AF6196">
        <v>3.4321194301728101E-3</v>
      </c>
      <c r="AG6196">
        <v>1.8010379999999999E-2</v>
      </c>
      <c r="AH6196">
        <v>3.0031944907691002</v>
      </c>
      <c r="AI6196">
        <v>89.656397306243804</v>
      </c>
      <c r="AJ6196">
        <v>89.9345210997393</v>
      </c>
      <c r="AK6196">
        <v>3.0032504561920002</v>
      </c>
      <c r="AL6196">
        <v>90.336939617007005</v>
      </c>
      <c r="AM6196">
        <v>87.877684166809999</v>
      </c>
      <c r="AN6196">
        <v>1.0000000336480199</v>
      </c>
    </row>
    <row r="6197" spans="1:40" x14ac:dyDescent="0.25">
      <c r="A6197" t="str">
        <f>"20190312154046182"</f>
        <v>20190312154046182</v>
      </c>
      <c r="B6197" t="str">
        <f>"1552376446172586"</f>
        <v>1552376446172586</v>
      </c>
      <c r="C6197" t="s">
        <v>40</v>
      </c>
      <c r="D6197">
        <v>3.867394</v>
      </c>
      <c r="E6197">
        <v>0.4886006</v>
      </c>
      <c r="F6197" t="s">
        <v>50</v>
      </c>
      <c r="G6197">
        <v>0</v>
      </c>
      <c r="H6197">
        <v>0</v>
      </c>
      <c r="I6197">
        <v>0</v>
      </c>
      <c r="J6197">
        <v>-297.55680000000001</v>
      </c>
      <c r="K6197">
        <v>1.1110120000000001</v>
      </c>
      <c r="L6197">
        <v>140.3424</v>
      </c>
      <c r="M6197">
        <v>-0.9998783</v>
      </c>
      <c r="N6197">
        <v>0</v>
      </c>
      <c r="O6197">
        <v>-4.6997879999999999E-3</v>
      </c>
      <c r="P6197">
        <v>-0.99927909999999998</v>
      </c>
      <c r="Q6197">
        <v>-2.0588929999999998E-2</v>
      </c>
      <c r="R6197">
        <v>3.1898490000000002E-2</v>
      </c>
      <c r="S6197">
        <v>-3.0032350000000001</v>
      </c>
      <c r="T6197">
        <v>2.0103570000000001E-2</v>
      </c>
      <c r="U6197">
        <v>-1.3854979999999999E-2</v>
      </c>
      <c r="V6197">
        <v>3.661039E-2</v>
      </c>
      <c r="W6197">
        <v>-5.6181729999999997E-3</v>
      </c>
      <c r="X6197">
        <v>0.99931380000000003</v>
      </c>
      <c r="Y6197" s="1">
        <v>8.6898379999999898E-5</v>
      </c>
      <c r="Z6197" s="1">
        <v>-3.175389E-5</v>
      </c>
      <c r="AA6197">
        <v>1</v>
      </c>
      <c r="AB6197">
        <v>37</v>
      </c>
      <c r="AC6197">
        <v>-3.0032350000000001</v>
      </c>
      <c r="AD6197">
        <v>2.0103570000000001E-2</v>
      </c>
      <c r="AE6197">
        <v>-1.3854979999999999E-2</v>
      </c>
      <c r="AF6197">
        <v>2.6129117162720201E-4</v>
      </c>
      <c r="AG6197">
        <v>2.0103570000000001E-2</v>
      </c>
      <c r="AH6197">
        <v>3.00313238214606</v>
      </c>
      <c r="AI6197">
        <v>89.616456300291304</v>
      </c>
      <c r="AJ6197">
        <v>89.995014911294106</v>
      </c>
      <c r="AK6197">
        <v>3.0031996814221502</v>
      </c>
      <c r="AL6197">
        <v>90.321899302066598</v>
      </c>
      <c r="AM6197">
        <v>87.901877128747103</v>
      </c>
      <c r="AN6197">
        <v>0.99999997769712401</v>
      </c>
    </row>
    <row r="6198" spans="1:40" x14ac:dyDescent="0.25">
      <c r="A6198" t="str">
        <f>"20190312154046202"</f>
        <v>20190312154046202</v>
      </c>
      <c r="B6198" t="str">
        <f>"1552376446192107"</f>
        <v>1552376446192107</v>
      </c>
      <c r="C6198" t="s">
        <v>40</v>
      </c>
      <c r="D6198">
        <v>3.8247010000000001</v>
      </c>
      <c r="E6198">
        <v>0.4892185</v>
      </c>
      <c r="F6198" t="s">
        <v>50</v>
      </c>
      <c r="G6198">
        <v>0</v>
      </c>
      <c r="H6198">
        <v>0</v>
      </c>
      <c r="I6198">
        <v>0</v>
      </c>
      <c r="J6198">
        <v>-297.9067</v>
      </c>
      <c r="K6198">
        <v>1.1110260000000001</v>
      </c>
      <c r="L6198">
        <v>140.33969999999999</v>
      </c>
      <c r="M6198">
        <v>-0.99987250000000005</v>
      </c>
      <c r="N6198">
        <v>0</v>
      </c>
      <c r="O6198">
        <v>-5.807375E-3</v>
      </c>
      <c r="P6198">
        <v>-0.99930629999999998</v>
      </c>
      <c r="Q6198">
        <v>-2.0469419999999999E-2</v>
      </c>
      <c r="R6198">
        <v>3.1115360000000002E-2</v>
      </c>
      <c r="S6198">
        <v>-3.0028079999999999</v>
      </c>
      <c r="T6198">
        <v>4.6874399999999997E-2</v>
      </c>
      <c r="U6198">
        <v>9.7045900000000008E-3</v>
      </c>
      <c r="V6198">
        <v>3.6934109999999999E-2</v>
      </c>
      <c r="W6198">
        <v>-5.5006930000000001E-3</v>
      </c>
      <c r="X6198">
        <v>0.99930260000000004</v>
      </c>
      <c r="Y6198">
        <v>9.0379450000000004E-3</v>
      </c>
      <c r="Z6198">
        <v>-1.611959E-4</v>
      </c>
      <c r="AA6198">
        <v>0.99995919999999905</v>
      </c>
      <c r="AB6198">
        <v>37</v>
      </c>
      <c r="AC6198">
        <v>-3.0028079999999999</v>
      </c>
      <c r="AD6198">
        <v>4.6874399999999997E-2</v>
      </c>
      <c r="AE6198">
        <v>9.7045900000000008E-3</v>
      </c>
      <c r="AF6198">
        <v>2.7138175035493001E-2</v>
      </c>
      <c r="AG6198">
        <v>4.6874399999999997E-2</v>
      </c>
      <c r="AH6198">
        <v>3.0019694819122198</v>
      </c>
      <c r="AI6198">
        <v>89.105461479624907</v>
      </c>
      <c r="AJ6198">
        <v>89.482053183043803</v>
      </c>
      <c r="AK6198">
        <v>3.0024580696908898</v>
      </c>
      <c r="AL6198">
        <v>90.315168071263102</v>
      </c>
      <c r="AM6198">
        <v>87.883317999400603</v>
      </c>
      <c r="AN6198">
        <v>1.0000000362358601</v>
      </c>
    </row>
    <row r="6199" spans="1:40" x14ac:dyDescent="0.25">
      <c r="A6199" t="str">
        <f>"20190312154046226"</f>
        <v>20190312154046226</v>
      </c>
      <c r="B6199" t="str">
        <f>"1552376446212602"</f>
        <v>1552376446212602</v>
      </c>
      <c r="C6199" t="s">
        <v>40</v>
      </c>
      <c r="D6199">
        <v>3.7954970000000001</v>
      </c>
      <c r="E6199">
        <v>0.48890270000000002</v>
      </c>
      <c r="F6199" t="s">
        <v>50</v>
      </c>
      <c r="G6199">
        <v>0</v>
      </c>
      <c r="H6199">
        <v>0</v>
      </c>
      <c r="I6199">
        <v>0</v>
      </c>
      <c r="J6199">
        <v>-298.29239999999999</v>
      </c>
      <c r="K6199">
        <v>1.1110409999999999</v>
      </c>
      <c r="L6199">
        <v>140.33629999999999</v>
      </c>
      <c r="M6199">
        <v>-0.9998648</v>
      </c>
      <c r="N6199">
        <v>0</v>
      </c>
      <c r="O6199">
        <v>-7.0243140000000003E-3</v>
      </c>
      <c r="P6199">
        <v>-0.99933000000000005</v>
      </c>
      <c r="Q6199">
        <v>-2.043029E-2</v>
      </c>
      <c r="R6199">
        <v>3.0370299999999999E-2</v>
      </c>
      <c r="S6199">
        <v>-3.0026860000000002</v>
      </c>
      <c r="T6199">
        <v>4.8402430000000003E-2</v>
      </c>
      <c r="U6199">
        <v>1.2390139999999999E-2</v>
      </c>
      <c r="V6199">
        <v>3.7405109999999998E-2</v>
      </c>
      <c r="W6199">
        <v>-5.4639739999999999E-3</v>
      </c>
      <c r="X6199">
        <v>0.99928519999999998</v>
      </c>
      <c r="Y6199">
        <v>1.114889E-2</v>
      </c>
      <c r="Z6199">
        <v>-2.0308650000000001E-4</v>
      </c>
      <c r="AA6199">
        <v>0.99993779999999999</v>
      </c>
      <c r="AB6199">
        <v>37</v>
      </c>
      <c r="AC6199">
        <v>-3.0026860000000002</v>
      </c>
      <c r="AD6199">
        <v>4.8402430000000003E-2</v>
      </c>
      <c r="AE6199">
        <v>1.2390139999999999E-2</v>
      </c>
      <c r="AF6199">
        <v>3.3475276788434899E-2</v>
      </c>
      <c r="AG6199">
        <v>4.8402430000000003E-2</v>
      </c>
      <c r="AH6199">
        <v>3.0017448877573099</v>
      </c>
      <c r="AI6199">
        <v>89.076256526088997</v>
      </c>
      <c r="AJ6199">
        <v>89.361067430838901</v>
      </c>
      <c r="AK6199">
        <v>3.00232172835676</v>
      </c>
      <c r="AL6199">
        <v>90.313064221707293</v>
      </c>
      <c r="AM6199">
        <v>87.8563128732346</v>
      </c>
      <c r="AN6199">
        <v>0.99999995410251097</v>
      </c>
    </row>
    <row r="6200" spans="1:40" x14ac:dyDescent="0.25">
      <c r="A6200" t="str">
        <f>"20190312154046249"</f>
        <v>20190312154046249</v>
      </c>
      <c r="B6200" t="str">
        <f>"1552376446241886"</f>
        <v>1552376446241886</v>
      </c>
      <c r="C6200" t="s">
        <v>40</v>
      </c>
      <c r="D6200">
        <v>3.8433290000000002</v>
      </c>
      <c r="E6200">
        <v>0.48915449999999999</v>
      </c>
      <c r="F6200" t="s">
        <v>50</v>
      </c>
      <c r="G6200">
        <v>0</v>
      </c>
      <c r="H6200">
        <v>0</v>
      </c>
      <c r="I6200">
        <v>0</v>
      </c>
      <c r="J6200">
        <v>-298.66930000000002</v>
      </c>
      <c r="K6200">
        <v>1.111043</v>
      </c>
      <c r="L6200">
        <v>140.33250000000001</v>
      </c>
      <c r="M6200">
        <v>-0.99985590000000002</v>
      </c>
      <c r="N6200">
        <v>0</v>
      </c>
      <c r="O6200">
        <v>-8.2016569999999994E-3</v>
      </c>
      <c r="P6200">
        <v>-0.99936979999999997</v>
      </c>
      <c r="Q6200">
        <v>-2.0027409999999999E-2</v>
      </c>
      <c r="R6200">
        <v>2.930922E-2</v>
      </c>
      <c r="S6200">
        <v>-3.002777</v>
      </c>
      <c r="T6200">
        <v>4.8583029999999999E-2</v>
      </c>
      <c r="U6200">
        <v>7.6446530000000004E-3</v>
      </c>
      <c r="V6200">
        <v>3.7519629999999998E-2</v>
      </c>
      <c r="W6200">
        <v>-5.0647629999999999E-3</v>
      </c>
      <c r="X6200">
        <v>0.99928309999999998</v>
      </c>
      <c r="Y6200">
        <v>1.074582E-2</v>
      </c>
      <c r="Z6200">
        <v>-2.196271E-4</v>
      </c>
      <c r="AA6200">
        <v>0.9999422</v>
      </c>
      <c r="AB6200">
        <v>37</v>
      </c>
      <c r="AC6200">
        <v>-3.002777</v>
      </c>
      <c r="AD6200">
        <v>4.8583029999999999E-2</v>
      </c>
      <c r="AE6200">
        <v>7.6446530000000004E-3</v>
      </c>
      <c r="AF6200">
        <v>3.2266417170423799E-2</v>
      </c>
      <c r="AG6200">
        <v>4.8583029999999999E-2</v>
      </c>
      <c r="AH6200">
        <v>3.0018274870641499</v>
      </c>
      <c r="AI6200">
        <v>89.072831856596807</v>
      </c>
      <c r="AJ6200">
        <v>89.384155706341502</v>
      </c>
      <c r="AK6200">
        <v>3.0023939938946902</v>
      </c>
      <c r="AL6200">
        <v>90.290190771969506</v>
      </c>
      <c r="AM6200">
        <v>87.849751367978996</v>
      </c>
      <c r="AN6200">
        <v>1.00000004420259</v>
      </c>
    </row>
    <row r="6201" spans="1:40" x14ac:dyDescent="0.25">
      <c r="A6201" t="str">
        <f>"20190312154046271"</f>
        <v>20190312154046271</v>
      </c>
      <c r="B6201" t="str">
        <f>"1552376446262379"</f>
        <v>1552376446262379</v>
      </c>
      <c r="C6201" t="s">
        <v>40</v>
      </c>
      <c r="D6201">
        <v>3.840417</v>
      </c>
      <c r="E6201">
        <v>0.48899589999999998</v>
      </c>
      <c r="F6201" t="s">
        <v>50</v>
      </c>
      <c r="G6201">
        <v>0</v>
      </c>
      <c r="H6201">
        <v>0</v>
      </c>
      <c r="I6201">
        <v>0</v>
      </c>
      <c r="J6201">
        <v>-299.03899999999999</v>
      </c>
      <c r="K6201">
        <v>1.111027</v>
      </c>
      <c r="L6201">
        <v>140.32830000000001</v>
      </c>
      <c r="M6201">
        <v>-0.99984600000000001</v>
      </c>
      <c r="N6201">
        <v>0</v>
      </c>
      <c r="O6201">
        <v>-9.3354189999999993E-3</v>
      </c>
      <c r="P6201">
        <v>-0.99941619999999998</v>
      </c>
      <c r="Q6201">
        <v>-2.0155909999999999E-2</v>
      </c>
      <c r="R6201">
        <v>2.758946E-2</v>
      </c>
      <c r="S6201">
        <v>-3.0027159999999999</v>
      </c>
      <c r="T6201">
        <v>4.9623849999999997E-2</v>
      </c>
      <c r="U6201">
        <v>6.2561040000000002E-3</v>
      </c>
      <c r="V6201">
        <v>3.6933670000000002E-2</v>
      </c>
      <c r="W6201">
        <v>-5.1995230000000002E-3</v>
      </c>
      <c r="X6201">
        <v>0.99930419999999998</v>
      </c>
      <c r="Y6201">
        <v>1.141698E-2</v>
      </c>
      <c r="Z6201">
        <v>-2.4861890000000002E-4</v>
      </c>
      <c r="AA6201">
        <v>0.99993480000000001</v>
      </c>
      <c r="AB6201">
        <v>37</v>
      </c>
      <c r="AC6201">
        <v>-3.0027159999999999</v>
      </c>
      <c r="AD6201">
        <v>4.9623849999999997E-2</v>
      </c>
      <c r="AE6201">
        <v>6.2561040000000002E-3</v>
      </c>
      <c r="AF6201">
        <v>3.4281176082093197E-2</v>
      </c>
      <c r="AG6201">
        <v>4.9623849999999997E-2</v>
      </c>
      <c r="AH6201">
        <v>3.0017068944900802</v>
      </c>
      <c r="AI6201">
        <v>89.052941230750903</v>
      </c>
      <c r="AJ6201">
        <v>89.345678513237502</v>
      </c>
      <c r="AK6201">
        <v>3.00231277616968</v>
      </c>
      <c r="AL6201">
        <v>90.297912063477796</v>
      </c>
      <c r="AM6201">
        <v>87.883346578649295</v>
      </c>
      <c r="AN6201">
        <v>1.0000000075783599</v>
      </c>
    </row>
    <row r="6202" spans="1:40" x14ac:dyDescent="0.25">
      <c r="A6202" t="str">
        <f>"20190312154046293"</f>
        <v>20190312154046293</v>
      </c>
      <c r="B6202" t="str">
        <f>"1552376446281899"</f>
        <v>1552376446281899</v>
      </c>
      <c r="C6202" t="s">
        <v>40</v>
      </c>
      <c r="D6202">
        <v>3.7711619999999999</v>
      </c>
      <c r="E6202">
        <v>0.48910369999999997</v>
      </c>
      <c r="F6202" t="s">
        <v>50</v>
      </c>
      <c r="G6202">
        <v>0</v>
      </c>
      <c r="H6202">
        <v>0</v>
      </c>
      <c r="I6202">
        <v>0</v>
      </c>
      <c r="J6202">
        <v>-299.40710000000001</v>
      </c>
      <c r="K6202">
        <v>1.1110040000000001</v>
      </c>
      <c r="L6202">
        <v>140.32380000000001</v>
      </c>
      <c r="M6202">
        <v>-0.99983509999999998</v>
      </c>
      <c r="N6202">
        <v>0</v>
      </c>
      <c r="O6202">
        <v>-1.043416E-2</v>
      </c>
      <c r="P6202">
        <v>-0.9994632</v>
      </c>
      <c r="Q6202">
        <v>-2.0548360000000002E-2</v>
      </c>
      <c r="R6202">
        <v>2.552258E-2</v>
      </c>
      <c r="S6202">
        <v>-3.0026549999999999</v>
      </c>
      <c r="T6202">
        <v>4.5320869999999999E-2</v>
      </c>
      <c r="U6202">
        <v>-4.7302249999999998E-4</v>
      </c>
      <c r="V6202">
        <v>3.5966199999999997E-2</v>
      </c>
      <c r="W6202">
        <v>-5.6000349999999997E-3</v>
      </c>
      <c r="X6202">
        <v>0.99933729999999998</v>
      </c>
      <c r="Y6202">
        <v>1.027542E-2</v>
      </c>
      <c r="Z6202">
        <v>-2.3503740000000001E-4</v>
      </c>
      <c r="AA6202">
        <v>0.99994720000000004</v>
      </c>
      <c r="AB6202">
        <v>37</v>
      </c>
      <c r="AC6202">
        <v>-3.0026549999999999</v>
      </c>
      <c r="AD6202">
        <v>4.5320869999999999E-2</v>
      </c>
      <c r="AE6202">
        <v>-4.7302249999999998E-4</v>
      </c>
      <c r="AF6202">
        <v>3.0853617990050701E-2</v>
      </c>
      <c r="AG6202">
        <v>4.5320869999999999E-2</v>
      </c>
      <c r="AH6202">
        <v>3.0018125804061402</v>
      </c>
      <c r="AI6202">
        <v>89.135069192062105</v>
      </c>
      <c r="AJ6202">
        <v>89.4111158514241</v>
      </c>
      <c r="AK6202">
        <v>3.0023132239800101</v>
      </c>
      <c r="AL6202">
        <v>90.320860052967205</v>
      </c>
      <c r="AM6202">
        <v>87.938811629859899</v>
      </c>
      <c r="AN6202">
        <v>0.99999998355286501</v>
      </c>
    </row>
    <row r="6203" spans="1:40" x14ac:dyDescent="0.25">
      <c r="A6203" t="str">
        <f>"20190312154046315"</f>
        <v>20190312154046315</v>
      </c>
      <c r="B6203" t="str">
        <f>"1552376446302395"</f>
        <v>1552376446302395</v>
      </c>
      <c r="C6203" t="s">
        <v>40</v>
      </c>
      <c r="D6203">
        <v>3.7645179999999998</v>
      </c>
      <c r="E6203">
        <v>0.489319</v>
      </c>
      <c r="F6203" t="s">
        <v>50</v>
      </c>
      <c r="G6203">
        <v>0</v>
      </c>
      <c r="H6203">
        <v>0</v>
      </c>
      <c r="I6203">
        <v>0</v>
      </c>
      <c r="J6203">
        <v>-299.75779999999997</v>
      </c>
      <c r="K6203">
        <v>1.1109800000000001</v>
      </c>
      <c r="L6203">
        <v>140.3192</v>
      </c>
      <c r="M6203">
        <v>-0.99982420000000005</v>
      </c>
      <c r="N6203">
        <v>0</v>
      </c>
      <c r="O6203">
        <v>-1.144162E-2</v>
      </c>
      <c r="P6203">
        <v>-0.99950110000000003</v>
      </c>
      <c r="Q6203">
        <v>-2.134264E-2</v>
      </c>
      <c r="R6203">
        <v>2.3286089999999999E-2</v>
      </c>
      <c r="S6203">
        <v>-3.0026549999999999</v>
      </c>
      <c r="T6203">
        <v>4.4324639999999998E-2</v>
      </c>
      <c r="U6203">
        <v>-5.7830809999999998E-3</v>
      </c>
      <c r="V6203">
        <v>3.4738680000000001E-2</v>
      </c>
      <c r="W6203">
        <v>-6.4034969999999898E-3</v>
      </c>
      <c r="X6203">
        <v>0.99937589999999998</v>
      </c>
      <c r="Y6203">
        <v>9.5147159999999995E-3</v>
      </c>
      <c r="Z6203">
        <v>-2.391285E-4</v>
      </c>
      <c r="AA6203">
        <v>0.99995469999999997</v>
      </c>
      <c r="AB6203">
        <v>37</v>
      </c>
      <c r="AC6203">
        <v>-3.0026549999999999</v>
      </c>
      <c r="AD6203">
        <v>4.4324639999999998E-2</v>
      </c>
      <c r="AE6203">
        <v>-5.7830809999999998E-3</v>
      </c>
      <c r="AF6203">
        <v>2.85701004223274E-2</v>
      </c>
      <c r="AG6203">
        <v>4.4324639999999998E-2</v>
      </c>
      <c r="AH6203">
        <v>3.0018704467358099</v>
      </c>
      <c r="AI6203">
        <v>89.154088987246197</v>
      </c>
      <c r="AJ6203">
        <v>89.454707729564007</v>
      </c>
      <c r="AK6203">
        <v>3.00233360960023</v>
      </c>
      <c r="AL6203">
        <v>90.366895865141004</v>
      </c>
      <c r="AM6203">
        <v>88.009178845727106</v>
      </c>
      <c r="AN6203">
        <v>0.99999998508138999</v>
      </c>
    </row>
    <row r="6204" spans="1:40" x14ac:dyDescent="0.25">
      <c r="A6204" t="str">
        <f>"20190312154046338"</f>
        <v>20190312154046338</v>
      </c>
      <c r="B6204" t="str">
        <f>"1552376446332651"</f>
        <v>1552376446332651</v>
      </c>
      <c r="C6204" t="s">
        <v>40</v>
      </c>
      <c r="D6204">
        <v>3.8066970000000002</v>
      </c>
      <c r="E6204">
        <v>0.48934090000000002</v>
      </c>
      <c r="F6204" t="s">
        <v>50</v>
      </c>
      <c r="G6204">
        <v>0</v>
      </c>
      <c r="H6204">
        <v>0</v>
      </c>
      <c r="I6204">
        <v>0</v>
      </c>
      <c r="J6204">
        <v>-300.13299999999998</v>
      </c>
      <c r="K6204">
        <v>1.110943</v>
      </c>
      <c r="L6204">
        <v>140.31389999999999</v>
      </c>
      <c r="M6204">
        <v>-0.99981209999999998</v>
      </c>
      <c r="N6204">
        <v>0</v>
      </c>
      <c r="O6204">
        <v>-1.2466319999999999E-2</v>
      </c>
      <c r="P6204">
        <v>-0.99954739999999997</v>
      </c>
      <c r="Q6204">
        <v>-2.1464219999999999E-2</v>
      </c>
      <c r="R6204">
        <v>2.1082E-2</v>
      </c>
      <c r="S6204">
        <v>-3.0026860000000002</v>
      </c>
      <c r="T6204">
        <v>4.4127819999999998E-2</v>
      </c>
      <c r="U6204">
        <v>-1.075745E-2</v>
      </c>
      <c r="V6204">
        <v>3.3558949999999997E-2</v>
      </c>
      <c r="W6204">
        <v>-6.5354499999999999E-3</v>
      </c>
      <c r="X6204">
        <v>0.99941539999999995</v>
      </c>
      <c r="Y6204">
        <v>8.8830070000000001E-3</v>
      </c>
      <c r="Z6204">
        <v>-2.4848079999999998E-4</v>
      </c>
      <c r="AA6204">
        <v>0.99996050000000003</v>
      </c>
      <c r="AB6204">
        <v>37</v>
      </c>
      <c r="AC6204">
        <v>-3.0026860000000002</v>
      </c>
      <c r="AD6204">
        <v>4.4127819999999998E-2</v>
      </c>
      <c r="AE6204">
        <v>-1.075745E-2</v>
      </c>
      <c r="AF6204">
        <v>2.66741946537866E-2</v>
      </c>
      <c r="AG6204">
        <v>4.4127819999999998E-2</v>
      </c>
      <c r="AH6204">
        <v>3.0019383999304199</v>
      </c>
      <c r="AI6204">
        <v>89.157858811055902</v>
      </c>
      <c r="AJ6204">
        <v>89.490902759776105</v>
      </c>
      <c r="AK6204">
        <v>3.0023812106618299</v>
      </c>
      <c r="AL6204">
        <v>90.374456357217596</v>
      </c>
      <c r="AM6204">
        <v>88.076811676350005</v>
      </c>
      <c r="AN6204">
        <v>1.0000000284944801</v>
      </c>
    </row>
    <row r="6205" spans="1:40" x14ac:dyDescent="0.25">
      <c r="A6205" t="str">
        <f>"20190312154046360"</f>
        <v>20190312154046360</v>
      </c>
      <c r="B6205" t="str">
        <f>"1552376446352174"</f>
        <v>1552376446352174</v>
      </c>
      <c r="C6205" t="s">
        <v>40</v>
      </c>
      <c r="D6205">
        <v>3.8220399999999999</v>
      </c>
      <c r="E6205">
        <v>0.48928080000000002</v>
      </c>
      <c r="F6205" t="s">
        <v>50</v>
      </c>
      <c r="G6205">
        <v>0</v>
      </c>
      <c r="H6205">
        <v>0</v>
      </c>
      <c r="I6205">
        <v>0</v>
      </c>
      <c r="J6205">
        <v>-300.51029999999997</v>
      </c>
      <c r="K6205">
        <v>1.1108929999999999</v>
      </c>
      <c r="L6205">
        <v>140.3082</v>
      </c>
      <c r="M6205">
        <v>-0.99979960000000001</v>
      </c>
      <c r="N6205">
        <v>0</v>
      </c>
      <c r="O6205">
        <v>-1.342609E-2</v>
      </c>
      <c r="P6205">
        <v>-0.9995946</v>
      </c>
      <c r="Q6205">
        <v>-2.092072E-2</v>
      </c>
      <c r="R6205">
        <v>1.9319469999999998E-2</v>
      </c>
      <c r="S6205">
        <v>-3.0026250000000001</v>
      </c>
      <c r="T6205">
        <v>4.4029359999999997E-2</v>
      </c>
      <c r="U6205">
        <v>-1.7196659999999999E-2</v>
      </c>
      <c r="V6205">
        <v>3.2754430000000001E-2</v>
      </c>
      <c r="W6205">
        <v>-6.002215E-3</v>
      </c>
      <c r="X6205">
        <v>0.99944540000000004</v>
      </c>
      <c r="Y6205">
        <v>7.69848199999999E-3</v>
      </c>
      <c r="Z6205">
        <v>-2.5331859999999998E-4</v>
      </c>
      <c r="AA6205">
        <v>0.99997029999999998</v>
      </c>
      <c r="AB6205">
        <v>37</v>
      </c>
      <c r="AC6205">
        <v>-3.0026250000000001</v>
      </c>
      <c r="AD6205">
        <v>4.4029359999999997E-2</v>
      </c>
      <c r="AE6205">
        <v>-1.7196659999999999E-2</v>
      </c>
      <c r="AF6205">
        <v>2.31178784454877E-2</v>
      </c>
      <c r="AG6205">
        <v>4.4029359999999997E-2</v>
      </c>
      <c r="AH6205">
        <v>3.0019397496396998</v>
      </c>
      <c r="AI6205">
        <v>89.159729689050906</v>
      </c>
      <c r="AJ6205">
        <v>89.558775061028498</v>
      </c>
      <c r="AK6205">
        <v>3.0023516251952702</v>
      </c>
      <c r="AL6205">
        <v>90.343903654457904</v>
      </c>
      <c r="AM6205">
        <v>88.122939832989204</v>
      </c>
      <c r="AN6205">
        <v>0.99999999342534496</v>
      </c>
    </row>
    <row r="6206" spans="1:40" x14ac:dyDescent="0.25">
      <c r="A6206" t="str">
        <f>"20190312154046382"</f>
        <v>20190312154046382</v>
      </c>
      <c r="B6206" t="str">
        <f>"1552376446372666"</f>
        <v>1552376446372666</v>
      </c>
      <c r="C6206" t="s">
        <v>40</v>
      </c>
      <c r="D6206">
        <v>3.816233</v>
      </c>
      <c r="E6206">
        <v>0.48936370000000001</v>
      </c>
      <c r="F6206" t="s">
        <v>50</v>
      </c>
      <c r="G6206">
        <v>0</v>
      </c>
      <c r="H6206">
        <v>0</v>
      </c>
      <c r="I6206">
        <v>0</v>
      </c>
      <c r="J6206">
        <v>-300.87009999999998</v>
      </c>
      <c r="K6206">
        <v>1.1108469999999999</v>
      </c>
      <c r="L6206">
        <v>140.30250000000001</v>
      </c>
      <c r="M6206">
        <v>-0.99978769999999995</v>
      </c>
      <c r="N6206">
        <v>0</v>
      </c>
      <c r="O6206">
        <v>-1.428624E-2</v>
      </c>
      <c r="P6206">
        <v>-0.99963990000000003</v>
      </c>
      <c r="Q6206">
        <v>-2.0248490000000001E-2</v>
      </c>
      <c r="R6206">
        <v>1.7615240000000001E-2</v>
      </c>
      <c r="S6206">
        <v>-3.0026250000000001</v>
      </c>
      <c r="T6206">
        <v>4.5407650000000001E-2</v>
      </c>
      <c r="U6206">
        <v>-2.3071290000000001E-2</v>
      </c>
      <c r="V6206">
        <v>3.1908350000000002E-2</v>
      </c>
      <c r="W6206">
        <v>-5.3398209999999998E-3</v>
      </c>
      <c r="X6206">
        <v>0.99947660000000005</v>
      </c>
      <c r="Y6206">
        <v>6.6023050000000002E-3</v>
      </c>
      <c r="Z6206">
        <v>-2.659642E-4</v>
      </c>
      <c r="AA6206">
        <v>0.99997820000000004</v>
      </c>
      <c r="AB6206">
        <v>37</v>
      </c>
      <c r="AC6206">
        <v>-3.0026250000000001</v>
      </c>
      <c r="AD6206">
        <v>4.5407650000000001E-2</v>
      </c>
      <c r="AE6206">
        <v>-2.3071290000000001E-2</v>
      </c>
      <c r="AF6206">
        <v>1.9827481431623901E-2</v>
      </c>
      <c r="AG6206">
        <v>4.5407650000000001E-2</v>
      </c>
      <c r="AH6206">
        <v>3.001961650448</v>
      </c>
      <c r="AI6206">
        <v>89.133429442663797</v>
      </c>
      <c r="AJ6206">
        <v>89.621575950082999</v>
      </c>
      <c r="AK6206">
        <v>3.0023705191829602</v>
      </c>
      <c r="AL6206">
        <v>90.305950640677096</v>
      </c>
      <c r="AM6206">
        <v>88.171449882002605</v>
      </c>
      <c r="AN6206">
        <v>1.0000000652177901</v>
      </c>
    </row>
    <row r="6207" spans="1:40" x14ac:dyDescent="0.25">
      <c r="A6207" t="str">
        <f>"20190312154046404"</f>
        <v>20190312154046404</v>
      </c>
      <c r="B6207" t="str">
        <f>"1552376446392186"</f>
        <v>1552376446392186</v>
      </c>
      <c r="C6207" t="s">
        <v>40</v>
      </c>
      <c r="D6207">
        <v>3.8314279999999998</v>
      </c>
      <c r="E6207">
        <v>0.48945840000000002</v>
      </c>
      <c r="F6207" t="s">
        <v>50</v>
      </c>
      <c r="G6207">
        <v>0</v>
      </c>
      <c r="H6207">
        <v>0</v>
      </c>
      <c r="I6207">
        <v>0</v>
      </c>
      <c r="J6207">
        <v>-301.2319</v>
      </c>
      <c r="K6207">
        <v>1.1108009999999999</v>
      </c>
      <c r="L6207">
        <v>140.29650000000001</v>
      </c>
      <c r="M6207">
        <v>-0.9997762</v>
      </c>
      <c r="N6207">
        <v>0</v>
      </c>
      <c r="O6207">
        <v>-1.5085039999999999E-2</v>
      </c>
      <c r="P6207">
        <v>-0.9996853</v>
      </c>
      <c r="Q6207">
        <v>-1.9574020000000001E-2</v>
      </c>
      <c r="R6207">
        <v>1.5699930000000001E-2</v>
      </c>
      <c r="S6207">
        <v>-3.0025019999999998</v>
      </c>
      <c r="T6207">
        <v>4.73634E-2</v>
      </c>
      <c r="U6207">
        <v>-2.7725219999999998E-2</v>
      </c>
      <c r="V6207">
        <v>3.079024E-2</v>
      </c>
      <c r="W6207">
        <v>-4.6757450000000002E-3</v>
      </c>
      <c r="X6207">
        <v>0.99951489999999998</v>
      </c>
      <c r="Y6207">
        <v>5.8508550000000003E-3</v>
      </c>
      <c r="Z6207">
        <v>-2.8410019999999998E-4</v>
      </c>
      <c r="AA6207">
        <v>0.99998279999999995</v>
      </c>
      <c r="AB6207">
        <v>37</v>
      </c>
      <c r="AC6207">
        <v>-3.0025019999999998</v>
      </c>
      <c r="AD6207">
        <v>4.73634E-2</v>
      </c>
      <c r="AE6207">
        <v>-2.7725219999999998E-2</v>
      </c>
      <c r="AF6207">
        <v>1.75714089557918E-2</v>
      </c>
      <c r="AG6207">
        <v>4.73634E-2</v>
      </c>
      <c r="AH6207">
        <v>3.0018316548494299</v>
      </c>
      <c r="AI6207">
        <v>89.096068135807499</v>
      </c>
      <c r="AJ6207">
        <v>89.664619408892406</v>
      </c>
      <c r="AK6207">
        <v>3.0022567062342098</v>
      </c>
      <c r="AL6207">
        <v>90.267901439222101</v>
      </c>
      <c r="AM6207">
        <v>88.235550981861095</v>
      </c>
      <c r="AN6207">
        <v>0.99999996839628502</v>
      </c>
    </row>
    <row r="6208" spans="1:40" x14ac:dyDescent="0.25">
      <c r="A6208" t="str">
        <f>"20190312154046426"</f>
        <v>20190312154046426</v>
      </c>
      <c r="B6208" t="str">
        <f>"1552376446422443"</f>
        <v>1552376446422443</v>
      </c>
      <c r="C6208" t="s">
        <v>40</v>
      </c>
      <c r="D6208">
        <v>3.7357680000000002</v>
      </c>
      <c r="E6208">
        <v>0.48965449999999999</v>
      </c>
      <c r="F6208" t="s">
        <v>50</v>
      </c>
      <c r="G6208">
        <v>0</v>
      </c>
      <c r="H6208">
        <v>0</v>
      </c>
      <c r="I6208">
        <v>0</v>
      </c>
      <c r="J6208">
        <v>-301.59660000000002</v>
      </c>
      <c r="K6208">
        <v>1.110741</v>
      </c>
      <c r="L6208">
        <v>140.2903</v>
      </c>
      <c r="M6208">
        <v>-0.99976489999999996</v>
      </c>
      <c r="N6208">
        <v>0</v>
      </c>
      <c r="O6208">
        <v>-1.5809409999999999E-2</v>
      </c>
      <c r="P6208">
        <v>-0.99972300000000003</v>
      </c>
      <c r="Q6208">
        <v>-1.8875490000000002E-2</v>
      </c>
      <c r="R6208">
        <v>1.4063000000000001E-2</v>
      </c>
      <c r="S6208">
        <v>-3.00238</v>
      </c>
      <c r="T6208">
        <v>4.871023E-2</v>
      </c>
      <c r="U6208">
        <v>-3.2745360000000001E-2</v>
      </c>
      <c r="V6208">
        <v>2.9876010000000001E-2</v>
      </c>
      <c r="W6208">
        <v>-3.9876989999999999E-3</v>
      </c>
      <c r="X6208">
        <v>0.99954560000000003</v>
      </c>
      <c r="Y6208">
        <v>4.9030269999999999E-3</v>
      </c>
      <c r="Z6208">
        <v>-2.9624920000000002E-4</v>
      </c>
      <c r="AA6208">
        <v>0.99998799999999999</v>
      </c>
      <c r="AB6208">
        <v>37</v>
      </c>
      <c r="AC6208">
        <v>-3.00238</v>
      </c>
      <c r="AD6208">
        <v>4.871023E-2</v>
      </c>
      <c r="AE6208">
        <v>-3.2745360000000001E-2</v>
      </c>
      <c r="AF6208">
        <v>1.47259411123144E-2</v>
      </c>
      <c r="AG6208">
        <v>4.871023E-2</v>
      </c>
      <c r="AH6208">
        <v>3.0017324280054898</v>
      </c>
      <c r="AI6208">
        <v>89.070332830745599</v>
      </c>
      <c r="AJ6208">
        <v>89.718919814904496</v>
      </c>
      <c r="AK6208">
        <v>3.0021637379043802</v>
      </c>
      <c r="AL6208">
        <v>90.228478941436194</v>
      </c>
      <c r="AM6208">
        <v>88.287962253158298</v>
      </c>
      <c r="AN6208">
        <v>0.99999994209809495</v>
      </c>
    </row>
    <row r="6209" spans="1:40" x14ac:dyDescent="0.25">
      <c r="A6209" t="str">
        <f>"20190312154046449"</f>
        <v>20190312154046449</v>
      </c>
      <c r="B6209" t="str">
        <f>"1552376446441966"</f>
        <v>1552376446441966</v>
      </c>
      <c r="C6209" t="s">
        <v>40</v>
      </c>
      <c r="D6209">
        <v>3.713282</v>
      </c>
      <c r="E6209">
        <v>0.49005399999999999</v>
      </c>
      <c r="F6209" t="s">
        <v>50</v>
      </c>
      <c r="G6209">
        <v>0</v>
      </c>
      <c r="H6209">
        <v>0</v>
      </c>
      <c r="I6209">
        <v>0</v>
      </c>
      <c r="J6209">
        <v>-301.97910000000002</v>
      </c>
      <c r="K6209">
        <v>1.1106670000000001</v>
      </c>
      <c r="L6209">
        <v>140.2835</v>
      </c>
      <c r="M6209">
        <v>-0.99975449999999999</v>
      </c>
      <c r="N6209">
        <v>0</v>
      </c>
      <c r="O6209">
        <v>-1.6471599999999999E-2</v>
      </c>
      <c r="P6209">
        <v>-0.99974099999999999</v>
      </c>
      <c r="Q6209">
        <v>-1.8835729999999998E-2</v>
      </c>
      <c r="R6209">
        <v>1.279189E-2</v>
      </c>
      <c r="S6209">
        <v>-3.0022579999999999</v>
      </c>
      <c r="T6209">
        <v>4.9013609999999999E-2</v>
      </c>
      <c r="U6209">
        <v>-3.6148069999999997E-2</v>
      </c>
      <c r="V6209">
        <v>2.9266540000000001E-2</v>
      </c>
      <c r="W6209">
        <v>-3.959359E-3</v>
      </c>
      <c r="X6209">
        <v>0.9995638</v>
      </c>
      <c r="Y6209">
        <v>4.4316440000000002E-3</v>
      </c>
      <c r="Z6209">
        <v>-3.0506540000000001E-4</v>
      </c>
      <c r="AA6209">
        <v>0.99999009999999999</v>
      </c>
      <c r="AB6209">
        <v>37</v>
      </c>
      <c r="AC6209">
        <v>-3.0022579999999999</v>
      </c>
      <c r="AD6209">
        <v>4.9013609999999999E-2</v>
      </c>
      <c r="AE6209">
        <v>-3.6148069999999997E-2</v>
      </c>
      <c r="AF6209">
        <v>1.3310712265327301E-2</v>
      </c>
      <c r="AG6209">
        <v>4.9013609999999999E-2</v>
      </c>
      <c r="AH6209">
        <v>3.0016461914123398</v>
      </c>
      <c r="AI6209">
        <v>89.064514717720598</v>
      </c>
      <c r="AJ6209">
        <v>89.745925206534594</v>
      </c>
      <c r="AK6209">
        <v>3.00207584305367</v>
      </c>
      <c r="AL6209">
        <v>90.226855153318795</v>
      </c>
      <c r="AM6209">
        <v>88.322898154269197</v>
      </c>
      <c r="AN6209">
        <v>0.99999999857885102</v>
      </c>
    </row>
    <row r="6210" spans="1:40" x14ac:dyDescent="0.25">
      <c r="A6210" t="str">
        <f>"20190312154046473"</f>
        <v>20190312154046473</v>
      </c>
      <c r="B6210" t="str">
        <f>"1552376446462459"</f>
        <v>1552376446462459</v>
      </c>
      <c r="C6210" t="s">
        <v>40</v>
      </c>
      <c r="D6210">
        <v>3.741816</v>
      </c>
      <c r="E6210">
        <v>0.49647760000000002</v>
      </c>
      <c r="F6210" t="s">
        <v>50</v>
      </c>
      <c r="G6210">
        <v>0</v>
      </c>
      <c r="H6210">
        <v>0</v>
      </c>
      <c r="I6210">
        <v>0</v>
      </c>
      <c r="J6210">
        <v>-302.34289999999999</v>
      </c>
      <c r="K6210">
        <v>1.110573</v>
      </c>
      <c r="L6210">
        <v>140.27690000000001</v>
      </c>
      <c r="M6210">
        <v>-0.99974560000000001</v>
      </c>
      <c r="N6210">
        <v>0</v>
      </c>
      <c r="O6210">
        <v>-1.6996899999999999E-2</v>
      </c>
      <c r="P6210">
        <v>-0.99975899999999995</v>
      </c>
      <c r="Q6210">
        <v>-1.8509149999999999E-2</v>
      </c>
      <c r="R6210">
        <v>1.181026E-2</v>
      </c>
      <c r="S6210">
        <v>-3.0022280000000001</v>
      </c>
      <c r="T6210">
        <v>5.0107119999999998E-2</v>
      </c>
      <c r="U6210">
        <v>-3.6727910000000002E-2</v>
      </c>
      <c r="V6210">
        <v>2.8809189999999998E-2</v>
      </c>
      <c r="W6210">
        <v>-3.6442480000000001E-3</v>
      </c>
      <c r="X6210">
        <v>0.99957830000000003</v>
      </c>
      <c r="Y6210">
        <v>4.7636010000000001E-3</v>
      </c>
      <c r="Z6210">
        <v>-3.2340910000000001E-4</v>
      </c>
      <c r="AA6210">
        <v>0.99998860000000001</v>
      </c>
      <c r="AB6210">
        <v>37</v>
      </c>
      <c r="AC6210">
        <v>-3.0022280000000001</v>
      </c>
      <c r="AD6210">
        <v>5.0107119999999998E-2</v>
      </c>
      <c r="AE6210">
        <v>-3.6727910000000002E-2</v>
      </c>
      <c r="AF6210">
        <v>1.4307591033202701E-2</v>
      </c>
      <c r="AG6210">
        <v>5.0107119999999998E-2</v>
      </c>
      <c r="AH6210">
        <v>3.00158255696561</v>
      </c>
      <c r="AI6210">
        <v>89.043628753019703</v>
      </c>
      <c r="AJ6210">
        <v>89.726891279172406</v>
      </c>
      <c r="AK6210">
        <v>3.0020348560461598</v>
      </c>
      <c r="AL6210">
        <v>90.208800489162101</v>
      </c>
      <c r="AM6210">
        <v>88.349115643238903</v>
      </c>
      <c r="AN6210">
        <v>1.00000001390141</v>
      </c>
    </row>
    <row r="6211" spans="1:40" x14ac:dyDescent="0.25">
      <c r="A6211" t="str">
        <f>"20190312154046494"</f>
        <v>20190312154046494</v>
      </c>
      <c r="B6211" t="str">
        <f>"1552376446481893"</f>
        <v>1552376446481893</v>
      </c>
      <c r="C6211" t="s">
        <v>40</v>
      </c>
      <c r="D6211">
        <v>3.7453880000000002</v>
      </c>
      <c r="E6211">
        <v>0.49656020000000001</v>
      </c>
      <c r="F6211" t="s">
        <v>50</v>
      </c>
      <c r="G6211">
        <v>0</v>
      </c>
      <c r="H6211">
        <v>0</v>
      </c>
      <c r="I6211">
        <v>0</v>
      </c>
      <c r="J6211">
        <v>-302.70260000000002</v>
      </c>
      <c r="K6211">
        <v>1.110476</v>
      </c>
      <c r="L6211">
        <v>140.2704</v>
      </c>
      <c r="M6211">
        <v>-0.99973880000000004</v>
      </c>
      <c r="N6211">
        <v>0</v>
      </c>
      <c r="O6211">
        <v>-1.7402899999999999E-2</v>
      </c>
      <c r="P6211">
        <v>-0.99976160000000003</v>
      </c>
      <c r="Q6211">
        <v>-1.8742450000000001E-2</v>
      </c>
      <c r="R6211">
        <v>1.1213849999999999E-2</v>
      </c>
      <c r="S6211">
        <v>-3.0018310000000001</v>
      </c>
      <c r="T6211">
        <v>6.8036559999999996E-2</v>
      </c>
      <c r="U6211">
        <v>1.222229E-2</v>
      </c>
      <c r="V6211">
        <v>2.86181E-2</v>
      </c>
      <c r="W6211">
        <v>-3.8895679999999999E-3</v>
      </c>
      <c r="X6211">
        <v>0.99958279999999999</v>
      </c>
      <c r="Y6211">
        <v>2.1465640000000001E-2</v>
      </c>
      <c r="Z6211">
        <v>-6.3764400000000004E-4</v>
      </c>
      <c r="AA6211">
        <v>0.99976940000000003</v>
      </c>
      <c r="AB6211">
        <v>37</v>
      </c>
      <c r="AC6211">
        <v>-3.0018310000000001</v>
      </c>
      <c r="AD6211">
        <v>6.8036559999999996E-2</v>
      </c>
      <c r="AE6211">
        <v>1.222229E-2</v>
      </c>
      <c r="AF6211">
        <v>6.4433637707504404E-2</v>
      </c>
      <c r="AG6211">
        <v>6.8036559999999996E-2</v>
      </c>
      <c r="AH6211">
        <v>2.9996226804426298</v>
      </c>
      <c r="AI6211">
        <v>88.700956320702801</v>
      </c>
      <c r="AJ6211">
        <v>88.7694426147131</v>
      </c>
      <c r="AK6211">
        <v>3.0010859521497601</v>
      </c>
      <c r="AL6211">
        <v>90.222856403770606</v>
      </c>
      <c r="AM6211">
        <v>88.360067260636995</v>
      </c>
      <c r="AN6211">
        <v>0.99999994922133695</v>
      </c>
    </row>
    <row r="6212" spans="1:40" x14ac:dyDescent="0.25">
      <c r="A6212" t="str">
        <f>"20190312154046517"</f>
        <v>20190312154046517</v>
      </c>
      <c r="B6212" t="str">
        <f>"1552376446512149"</f>
        <v>1552376446512149</v>
      </c>
      <c r="C6212" t="s">
        <v>40</v>
      </c>
      <c r="D6212">
        <v>3.7346620000000001</v>
      </c>
      <c r="E6212">
        <v>0.49712980000000001</v>
      </c>
      <c r="F6212" t="s">
        <v>50</v>
      </c>
      <c r="G6212">
        <v>0</v>
      </c>
      <c r="H6212">
        <v>0</v>
      </c>
      <c r="I6212">
        <v>0</v>
      </c>
      <c r="J6212">
        <v>-303.06659999999999</v>
      </c>
      <c r="K6212">
        <v>1.110368</v>
      </c>
      <c r="L6212">
        <v>140.2637</v>
      </c>
      <c r="M6212">
        <v>-0.99973389999999995</v>
      </c>
      <c r="N6212">
        <v>0</v>
      </c>
      <c r="O6212">
        <v>-1.76937E-2</v>
      </c>
      <c r="P6212">
        <v>-0.99977280000000002</v>
      </c>
      <c r="Q6212">
        <v>-1.8318069999999999E-2</v>
      </c>
      <c r="R6212">
        <v>1.092625E-2</v>
      </c>
      <c r="S6212">
        <v>-3.0018310000000001</v>
      </c>
      <c r="T6212">
        <v>6.5253019999999995E-2</v>
      </c>
      <c r="U6212">
        <v>1.0925290000000001E-2</v>
      </c>
      <c r="V6212">
        <v>2.8619929999999998E-2</v>
      </c>
      <c r="W6212">
        <v>-3.477473E-3</v>
      </c>
      <c r="X6212">
        <v>0.99958429999999998</v>
      </c>
      <c r="Y6212">
        <v>2.1325259999999999E-2</v>
      </c>
      <c r="Z6212">
        <v>-6.1635800000000001E-4</v>
      </c>
      <c r="AA6212">
        <v>0.99977240000000001</v>
      </c>
      <c r="AB6212">
        <v>37</v>
      </c>
      <c r="AC6212">
        <v>-3.0018310000000001</v>
      </c>
      <c r="AD6212">
        <v>6.5253019999999995E-2</v>
      </c>
      <c r="AE6212">
        <v>1.0925290000000001E-2</v>
      </c>
      <c r="AF6212">
        <v>6.4012647565260206E-2</v>
      </c>
      <c r="AG6212">
        <v>6.5253019999999995E-2</v>
      </c>
      <c r="AH6212">
        <v>2.9997501919965601</v>
      </c>
      <c r="AI6212">
        <v>88.754135404658797</v>
      </c>
      <c r="AJ6212">
        <v>88.777532211392497</v>
      </c>
      <c r="AK6212">
        <v>3.0011425807600101</v>
      </c>
      <c r="AL6212">
        <v>90.199244931229501</v>
      </c>
      <c r="AM6212">
        <v>88.359964911248994</v>
      </c>
      <c r="AN6212">
        <v>0.99999998300908</v>
      </c>
    </row>
    <row r="6213" spans="1:40" x14ac:dyDescent="0.25">
      <c r="A6213" t="str">
        <f>"20190312154046531"</f>
        <v>20190312154046531</v>
      </c>
      <c r="B6213" t="str">
        <f>"1552376446521910"</f>
        <v>1552376446521910</v>
      </c>
      <c r="C6213" t="s">
        <v>40</v>
      </c>
      <c r="D6213">
        <v>3.760205</v>
      </c>
      <c r="E6213">
        <v>0.4974114</v>
      </c>
      <c r="F6213" t="s">
        <v>50</v>
      </c>
      <c r="G6213">
        <v>0</v>
      </c>
      <c r="H6213">
        <v>0</v>
      </c>
      <c r="I6213">
        <v>0</v>
      </c>
      <c r="J6213">
        <v>-303.30059999999997</v>
      </c>
      <c r="K6213">
        <v>1.1102989999999999</v>
      </c>
      <c r="L6213">
        <v>140.2594</v>
      </c>
      <c r="M6213">
        <v>-0.9997317</v>
      </c>
      <c r="N6213">
        <v>0</v>
      </c>
      <c r="O6213">
        <v>-1.7810699999999999E-2</v>
      </c>
      <c r="P6213">
        <v>-0.99977800000000006</v>
      </c>
      <c r="Q6213">
        <v>-1.8084969999999999E-2</v>
      </c>
      <c r="R6213">
        <v>1.082436E-2</v>
      </c>
      <c r="S6213">
        <v>-3.0016479999999999</v>
      </c>
      <c r="T6213">
        <v>6.2631129999999993E-2</v>
      </c>
      <c r="U6213">
        <v>1.4373779999999999E-2</v>
      </c>
      <c r="V6213">
        <v>2.8634300000000001E-2</v>
      </c>
      <c r="W6213">
        <v>-3.2520959999999999E-3</v>
      </c>
      <c r="X6213">
        <v>0.99958469999999999</v>
      </c>
      <c r="Y6213">
        <v>2.2591469999999999E-2</v>
      </c>
      <c r="Z6213">
        <v>-6.0728319999999998E-4</v>
      </c>
      <c r="AA6213">
        <v>0.99974459999999998</v>
      </c>
      <c r="AB6213">
        <v>37</v>
      </c>
      <c r="AC6213">
        <v>-3.0016479999999999</v>
      </c>
      <c r="AD6213">
        <v>6.2631129999999993E-2</v>
      </c>
      <c r="AE6213">
        <v>1.4373779999999999E-2</v>
      </c>
      <c r="AF6213">
        <v>6.7809293096137299E-2</v>
      </c>
      <c r="AG6213">
        <v>6.2631129999999993E-2</v>
      </c>
      <c r="AH6213">
        <v>2.9996098120751999</v>
      </c>
      <c r="AI6213">
        <v>88.804157167035996</v>
      </c>
      <c r="AJ6213">
        <v>88.704990004371993</v>
      </c>
      <c r="AK6213">
        <v>3.00102978715192</v>
      </c>
      <c r="AL6213">
        <v>90.186331697133298</v>
      </c>
      <c r="AM6213">
        <v>88.359142559774995</v>
      </c>
      <c r="AN6213">
        <v>1.0000000358694801</v>
      </c>
    </row>
    <row r="6214" spans="1:40" x14ac:dyDescent="0.25">
      <c r="A6214" t="str">
        <f>"20190312154046550"</f>
        <v>20190312154046550</v>
      </c>
      <c r="B6214" t="str">
        <f>"1552376446542405"</f>
        <v>1552376446542405</v>
      </c>
      <c r="C6214" t="s">
        <v>40</v>
      </c>
      <c r="D6214">
        <v>3.7095180000000001</v>
      </c>
      <c r="E6214">
        <v>0.49750810000000001</v>
      </c>
      <c r="F6214" t="s">
        <v>50</v>
      </c>
      <c r="G6214">
        <v>0</v>
      </c>
      <c r="H6214">
        <v>0</v>
      </c>
      <c r="I6214">
        <v>0</v>
      </c>
      <c r="J6214">
        <v>-303.6225</v>
      </c>
      <c r="K6214">
        <v>1.1102050000000001</v>
      </c>
      <c r="L6214">
        <v>140.2535</v>
      </c>
      <c r="M6214">
        <v>-0.99973020000000001</v>
      </c>
      <c r="N6214">
        <v>0</v>
      </c>
      <c r="O6214">
        <v>-1.7903990000000002E-2</v>
      </c>
      <c r="P6214">
        <v>-0.99979169999999995</v>
      </c>
      <c r="Q6214">
        <v>-1.747261E-2</v>
      </c>
      <c r="R6214">
        <v>1.0572069999999999E-2</v>
      </c>
      <c r="S6214">
        <v>-3.0016479999999999</v>
      </c>
      <c r="T6214">
        <v>6.3454389999999999E-2</v>
      </c>
      <c r="U6214">
        <v>1.631165E-2</v>
      </c>
      <c r="V6214">
        <v>2.8474470000000002E-2</v>
      </c>
      <c r="W6214">
        <v>-2.6501530000000001E-3</v>
      </c>
      <c r="X6214">
        <v>0.99959100000000001</v>
      </c>
      <c r="Y6214">
        <v>2.332975E-2</v>
      </c>
      <c r="Z6214">
        <v>-6.250378E-4</v>
      </c>
      <c r="AA6214">
        <v>0.99972760000000005</v>
      </c>
      <c r="AB6214">
        <v>37</v>
      </c>
      <c r="AC6214">
        <v>-3.0016479999999999</v>
      </c>
      <c r="AD6214">
        <v>6.3454389999999999E-2</v>
      </c>
      <c r="AE6214">
        <v>1.631165E-2</v>
      </c>
      <c r="AF6214">
        <v>7.00251027654194E-2</v>
      </c>
      <c r="AG6214">
        <v>6.3454389999999999E-2</v>
      </c>
      <c r="AH6214">
        <v>2.9995342549154298</v>
      </c>
      <c r="AI6214">
        <v>88.788433021029107</v>
      </c>
      <c r="AJ6214">
        <v>88.662654309795499</v>
      </c>
      <c r="AK6214">
        <v>3.0010224459404902</v>
      </c>
      <c r="AL6214">
        <v>90.151842760764396</v>
      </c>
      <c r="AM6214">
        <v>88.368306757421095</v>
      </c>
      <c r="AN6214">
        <v>0.99999999301685205</v>
      </c>
    </row>
    <row r="6215" spans="1:40" x14ac:dyDescent="0.25">
      <c r="A6215" t="str">
        <f>"20190312154046572"</f>
        <v>20190312154046572</v>
      </c>
      <c r="B6215" t="str">
        <f>"1552376446561925"</f>
        <v>1552376446561925</v>
      </c>
      <c r="C6215" t="s">
        <v>40</v>
      </c>
      <c r="D6215">
        <v>3.7545280000000001</v>
      </c>
      <c r="E6215">
        <v>0.49813059999999998</v>
      </c>
      <c r="F6215" t="s">
        <v>50</v>
      </c>
      <c r="G6215">
        <v>0</v>
      </c>
      <c r="H6215">
        <v>0</v>
      </c>
      <c r="I6215">
        <v>0</v>
      </c>
      <c r="J6215">
        <v>-303.98160000000001</v>
      </c>
      <c r="K6215">
        <v>1.110098</v>
      </c>
      <c r="L6215">
        <v>140.24700000000001</v>
      </c>
      <c r="M6215">
        <v>-0.99973020000000001</v>
      </c>
      <c r="N6215">
        <v>0</v>
      </c>
      <c r="O6215">
        <v>-1.7900920000000001E-2</v>
      </c>
      <c r="P6215">
        <v>-0.99980429999999998</v>
      </c>
      <c r="Q6215">
        <v>-1.708436E-2</v>
      </c>
      <c r="R6215">
        <v>9.9802539999999992E-3</v>
      </c>
      <c r="S6215">
        <v>-3.001617</v>
      </c>
      <c r="T6215">
        <v>6.4780589999999999E-2</v>
      </c>
      <c r="U6215">
        <v>1.6159059999999999E-2</v>
      </c>
      <c r="V6215">
        <v>2.7878969999999999E-2</v>
      </c>
      <c r="W6215">
        <v>-2.2733829999999999E-3</v>
      </c>
      <c r="X6215">
        <v>0.99960870000000002</v>
      </c>
      <c r="Y6215">
        <v>2.3275540000000001E-2</v>
      </c>
      <c r="Z6215">
        <v>-6.3745360000000005E-4</v>
      </c>
      <c r="AA6215">
        <v>0.99972890000000003</v>
      </c>
      <c r="AB6215">
        <v>37</v>
      </c>
      <c r="AC6215">
        <v>-3.001617</v>
      </c>
      <c r="AD6215">
        <v>6.4780589999999999E-2</v>
      </c>
      <c r="AE6215">
        <v>1.6159059999999999E-2</v>
      </c>
      <c r="AF6215">
        <v>6.9861523799242403E-2</v>
      </c>
      <c r="AG6215">
        <v>6.4780589999999999E-2</v>
      </c>
      <c r="AH6215">
        <v>2.99944960082032</v>
      </c>
      <c r="AI6215">
        <v>88.763082544446803</v>
      </c>
      <c r="AJ6215">
        <v>88.665739582546806</v>
      </c>
      <c r="AK6215">
        <v>3.0009623565132402</v>
      </c>
      <c r="AL6215">
        <v>90.130255366028393</v>
      </c>
      <c r="AM6215">
        <v>88.402441527201702</v>
      </c>
      <c r="AN6215">
        <v>0.99999997917710703</v>
      </c>
    </row>
    <row r="6216" spans="1:40" x14ac:dyDescent="0.25">
      <c r="A6216" t="str">
        <f>"20190312154046586"</f>
        <v>20190312154046586</v>
      </c>
      <c r="B6216" t="str">
        <f>"1552376446582087"</f>
        <v>1552376446582087</v>
      </c>
      <c r="C6216" t="s">
        <v>40</v>
      </c>
      <c r="D6216">
        <v>3.7956829999999999</v>
      </c>
      <c r="E6216">
        <v>0.4982665</v>
      </c>
      <c r="F6216" t="s">
        <v>50</v>
      </c>
      <c r="G6216">
        <v>0</v>
      </c>
      <c r="H6216">
        <v>0</v>
      </c>
      <c r="I6216">
        <v>0</v>
      </c>
      <c r="J6216">
        <v>-304.21100000000001</v>
      </c>
      <c r="K6216">
        <v>1.1100300000000001</v>
      </c>
      <c r="L6216">
        <v>140.24289999999999</v>
      </c>
      <c r="M6216">
        <v>-0.9997315</v>
      </c>
      <c r="N6216">
        <v>0</v>
      </c>
      <c r="O6216">
        <v>-1.783386E-2</v>
      </c>
      <c r="P6216">
        <v>-0.99980789999999997</v>
      </c>
      <c r="Q6216">
        <v>-1.6932860000000001E-2</v>
      </c>
      <c r="R6216">
        <v>9.8801670000000005E-3</v>
      </c>
      <c r="S6216">
        <v>-3.0015260000000001</v>
      </c>
      <c r="T6216">
        <v>6.7053440000000006E-2</v>
      </c>
      <c r="U6216">
        <v>1.9485470000000001E-2</v>
      </c>
      <c r="V6216">
        <v>2.771146E-2</v>
      </c>
      <c r="W6216">
        <v>-2.1291270000000002E-3</v>
      </c>
      <c r="X6216">
        <v>0.99961369999999905</v>
      </c>
      <c r="Y6216">
        <v>2.43156E-2</v>
      </c>
      <c r="Z6216">
        <v>-6.6994999999999999E-4</v>
      </c>
      <c r="AA6216">
        <v>0.99970409999999998</v>
      </c>
      <c r="AB6216">
        <v>36</v>
      </c>
      <c r="AC6216">
        <v>-3.0015260000000001</v>
      </c>
      <c r="AD6216">
        <v>6.7053440000000006E-2</v>
      </c>
      <c r="AE6216">
        <v>1.9485470000000001E-2</v>
      </c>
      <c r="AF6216">
        <v>7.2980603494703797E-2</v>
      </c>
      <c r="AG6216">
        <v>6.7053440000000006E-2</v>
      </c>
      <c r="AH6216">
        <v>2.9992042682993998</v>
      </c>
      <c r="AI6216">
        <v>88.719626100983305</v>
      </c>
      <c r="AJ6216">
        <v>88.606078417457695</v>
      </c>
      <c r="AK6216">
        <v>3.0008413112471701</v>
      </c>
      <c r="AL6216">
        <v>90.1219900828617</v>
      </c>
      <c r="AM6216">
        <v>88.412043421202796</v>
      </c>
      <c r="AN6216">
        <v>1.0000000037123999</v>
      </c>
    </row>
    <row r="6217" spans="1:40" x14ac:dyDescent="0.25">
      <c r="A6217" t="str">
        <f>"20190312154046605"</f>
        <v>20190312154046605</v>
      </c>
      <c r="B6217" t="str">
        <f>"1552376446592822"</f>
        <v>1552376446592822</v>
      </c>
      <c r="C6217" t="s">
        <v>40</v>
      </c>
      <c r="D6217">
        <v>3.7956340000000002</v>
      </c>
      <c r="E6217">
        <v>0.49828050000000002</v>
      </c>
      <c r="F6217" t="s">
        <v>50</v>
      </c>
      <c r="G6217">
        <v>0</v>
      </c>
      <c r="H6217">
        <v>0</v>
      </c>
      <c r="I6217">
        <v>0</v>
      </c>
      <c r="J6217">
        <v>-304.5147</v>
      </c>
      <c r="K6217">
        <v>1.1099429999999999</v>
      </c>
      <c r="L6217">
        <v>140.23759999999999</v>
      </c>
      <c r="M6217">
        <v>-0.99973420000000002</v>
      </c>
      <c r="N6217">
        <v>0</v>
      </c>
      <c r="O6217">
        <v>-1.7676850000000001E-2</v>
      </c>
      <c r="P6217">
        <v>-0.99981969999999998</v>
      </c>
      <c r="Q6217">
        <v>-1.6677480000000001E-2</v>
      </c>
      <c r="R6217">
        <v>9.0878299999999999E-3</v>
      </c>
      <c r="S6217">
        <v>-3.0014949999999998</v>
      </c>
      <c r="T6217">
        <v>6.5818790000000002E-2</v>
      </c>
      <c r="U6217">
        <v>2.012634E-2</v>
      </c>
      <c r="V6217">
        <v>2.6762169999999998E-2</v>
      </c>
      <c r="W6217">
        <v>-1.8830260000000001E-3</v>
      </c>
      <c r="X6217">
        <v>0.99963999999999997</v>
      </c>
      <c r="Y6217">
        <v>2.437253E-2</v>
      </c>
      <c r="Z6217">
        <v>-6.5480529999999897E-4</v>
      </c>
      <c r="AA6217">
        <v>0.9997028</v>
      </c>
      <c r="AB6217">
        <v>36</v>
      </c>
      <c r="AC6217">
        <v>-3.0014949999999998</v>
      </c>
      <c r="AD6217">
        <v>6.5818790000000002E-2</v>
      </c>
      <c r="AE6217">
        <v>2.012634E-2</v>
      </c>
      <c r="AF6217">
        <v>7.3150809554497404E-2</v>
      </c>
      <c r="AG6217">
        <v>6.5818790000000002E-2</v>
      </c>
      <c r="AH6217">
        <v>2.9992279477614701</v>
      </c>
      <c r="AI6217">
        <v>88.743205547346804</v>
      </c>
      <c r="AJ6217">
        <v>88.602839813895599</v>
      </c>
      <c r="AK6217">
        <v>3.00084178801366</v>
      </c>
      <c r="AL6217">
        <v>90.107889512253195</v>
      </c>
      <c r="AM6217">
        <v>88.466454709363205</v>
      </c>
      <c r="AN6217">
        <v>0.99999994456501096</v>
      </c>
    </row>
    <row r="6218" spans="1:40" x14ac:dyDescent="0.25">
      <c r="A6218" t="str">
        <f>"20190312154046627"</f>
        <v>20190312154046627</v>
      </c>
      <c r="B6218" t="str">
        <f>"1552376446622106"</f>
        <v>1552376446622106</v>
      </c>
      <c r="C6218" t="s">
        <v>40</v>
      </c>
      <c r="D6218">
        <v>3.7907069999999998</v>
      </c>
      <c r="E6218">
        <v>0.49855450000000001</v>
      </c>
      <c r="F6218" t="s">
        <v>50</v>
      </c>
      <c r="G6218">
        <v>0</v>
      </c>
      <c r="H6218">
        <v>0</v>
      </c>
      <c r="I6218">
        <v>0</v>
      </c>
      <c r="J6218">
        <v>-304.88249999999999</v>
      </c>
      <c r="K6218">
        <v>1.109831</v>
      </c>
      <c r="L6218">
        <v>140.2313</v>
      </c>
      <c r="M6218">
        <v>-0.9997395</v>
      </c>
      <c r="N6218">
        <v>0</v>
      </c>
      <c r="O6218">
        <v>-1.7378950000000001E-2</v>
      </c>
      <c r="P6218">
        <v>-0.99981940000000002</v>
      </c>
      <c r="Q6218">
        <v>-1.665235E-2</v>
      </c>
      <c r="R6218">
        <v>9.1672000000000003E-3</v>
      </c>
      <c r="S6218">
        <v>-3.0014949999999998</v>
      </c>
      <c r="T6218">
        <v>6.4988850000000001E-2</v>
      </c>
      <c r="U6218">
        <v>1.794434E-2</v>
      </c>
      <c r="V6218">
        <v>2.6543150000000001E-2</v>
      </c>
      <c r="W6218">
        <v>-1.869131E-3</v>
      </c>
      <c r="X6218">
        <v>0.99964589999999998</v>
      </c>
      <c r="Y6218">
        <v>2.334845E-2</v>
      </c>
      <c r="Z6218">
        <v>-6.2901639999999996E-4</v>
      </c>
      <c r="AA6218">
        <v>0.99972720000000004</v>
      </c>
      <c r="AB6218">
        <v>36</v>
      </c>
      <c r="AC6218">
        <v>-3.0014949999999998</v>
      </c>
      <c r="AD6218">
        <v>6.4988850000000001E-2</v>
      </c>
      <c r="AE6218">
        <v>1.794434E-2</v>
      </c>
      <c r="AF6218">
        <v>7.0077318959956697E-2</v>
      </c>
      <c r="AG6218">
        <v>6.4988850000000001E-2</v>
      </c>
      <c r="AH6218">
        <v>2.9993236302145601</v>
      </c>
      <c r="AI6218">
        <v>88.759057287941502</v>
      </c>
      <c r="AJ6218">
        <v>88.661563493124603</v>
      </c>
      <c r="AK6218">
        <v>3.0008459840552302</v>
      </c>
      <c r="AL6218">
        <v>90.107093382271898</v>
      </c>
      <c r="AM6218">
        <v>88.479008205446405</v>
      </c>
      <c r="AN6218">
        <v>0.99999997892471304</v>
      </c>
    </row>
    <row r="6219" spans="1:40" x14ac:dyDescent="0.25">
      <c r="A6219" t="str">
        <f>"20190312154046642"</f>
        <v>20190312154046642</v>
      </c>
      <c r="B6219" t="str">
        <f>"1552376446631862"</f>
        <v>1552376446631862</v>
      </c>
      <c r="C6219" t="s">
        <v>40</v>
      </c>
      <c r="D6219">
        <v>3.7949950000000001</v>
      </c>
      <c r="E6219">
        <v>0.49868069999999998</v>
      </c>
      <c r="F6219" t="s">
        <v>50</v>
      </c>
      <c r="G6219">
        <v>0</v>
      </c>
      <c r="H6219">
        <v>0</v>
      </c>
      <c r="I6219">
        <v>0</v>
      </c>
      <c r="J6219">
        <v>-305.11349999999999</v>
      </c>
      <c r="K6219">
        <v>1.1097669999999999</v>
      </c>
      <c r="L6219">
        <v>140.22749999999999</v>
      </c>
      <c r="M6219">
        <v>-0.99974379999999996</v>
      </c>
      <c r="N6219">
        <v>0</v>
      </c>
      <c r="O6219">
        <v>-1.7139649999999999E-2</v>
      </c>
      <c r="P6219">
        <v>-0.99981140000000002</v>
      </c>
      <c r="Q6219">
        <v>-1.676132E-2</v>
      </c>
      <c r="R6219">
        <v>9.8195820000000003E-3</v>
      </c>
      <c r="S6219">
        <v>-3.0014340000000002</v>
      </c>
      <c r="T6219">
        <v>6.3828709999999997E-2</v>
      </c>
      <c r="U6219">
        <v>2.035522E-2</v>
      </c>
      <c r="V6219">
        <v>2.695548E-2</v>
      </c>
      <c r="W6219">
        <v>-1.9854270000000001E-3</v>
      </c>
      <c r="X6219">
        <v>0.99963469999999999</v>
      </c>
      <c r="Y6219">
        <v>2.3912530000000001E-2</v>
      </c>
      <c r="Z6219">
        <v>-6.1871029999999996E-4</v>
      </c>
      <c r="AA6219">
        <v>0.99971379999999999</v>
      </c>
      <c r="AB6219">
        <v>36</v>
      </c>
      <c r="AC6219">
        <v>-3.0014340000000002</v>
      </c>
      <c r="AD6219">
        <v>6.3828709999999997E-2</v>
      </c>
      <c r="AE6219">
        <v>2.035522E-2</v>
      </c>
      <c r="AF6219">
        <v>7.17689246753032E-2</v>
      </c>
      <c r="AG6219">
        <v>6.3828709999999997E-2</v>
      </c>
      <c r="AH6219">
        <v>2.9992877368222102</v>
      </c>
      <c r="AI6219">
        <v>88.781204740109601</v>
      </c>
      <c r="AJ6219">
        <v>88.629250579985097</v>
      </c>
      <c r="AK6219">
        <v>3.0008251883476</v>
      </c>
      <c r="AL6219">
        <v>90.1137566582007</v>
      </c>
      <c r="AM6219">
        <v>88.455374680966301</v>
      </c>
      <c r="AN6219">
        <v>1.00000003663324</v>
      </c>
    </row>
    <row r="6220" spans="1:40" x14ac:dyDescent="0.25">
      <c r="A6220" t="str">
        <f>"20190312154046662"</f>
        <v>20190312154046662</v>
      </c>
      <c r="B6220" t="str">
        <f>"1552376446652358"</f>
        <v>1552376446652358</v>
      </c>
      <c r="C6220" t="s">
        <v>40</v>
      </c>
      <c r="D6220">
        <v>3.7954500000000002</v>
      </c>
      <c r="E6220">
        <v>0.4988822</v>
      </c>
      <c r="F6220" t="s">
        <v>50</v>
      </c>
      <c r="G6220">
        <v>0</v>
      </c>
      <c r="H6220">
        <v>0</v>
      </c>
      <c r="I6220">
        <v>0</v>
      </c>
      <c r="J6220">
        <v>-305.43189999999998</v>
      </c>
      <c r="K6220">
        <v>1.1096729999999999</v>
      </c>
      <c r="L6220">
        <v>140.22239999999999</v>
      </c>
      <c r="M6220">
        <v>-0.99975060000000004</v>
      </c>
      <c r="N6220">
        <v>0</v>
      </c>
      <c r="O6220">
        <v>-1.6740580000000001E-2</v>
      </c>
      <c r="P6220">
        <v>-0.99980570000000002</v>
      </c>
      <c r="Q6220">
        <v>-1.6345950000000001E-2</v>
      </c>
      <c r="R6220">
        <v>1.103404E-2</v>
      </c>
      <c r="S6220">
        <v>-3.0013429999999999</v>
      </c>
      <c r="T6220">
        <v>6.2160729999999997E-2</v>
      </c>
      <c r="U6220">
        <v>2.319336E-2</v>
      </c>
      <c r="V6220">
        <v>2.7770670000000001E-2</v>
      </c>
      <c r="W6220">
        <v>-1.5803080000000001E-3</v>
      </c>
      <c r="X6220">
        <v>0.99961299999999997</v>
      </c>
      <c r="Y6220">
        <v>2.4459430000000001E-2</v>
      </c>
      <c r="Z6220">
        <v>-5.9996099999999998E-4</v>
      </c>
      <c r="AA6220">
        <v>0.9997007</v>
      </c>
      <c r="AB6220">
        <v>36</v>
      </c>
      <c r="AC6220">
        <v>-3.0013429999999999</v>
      </c>
      <c r="AD6220">
        <v>6.2160729999999997E-2</v>
      </c>
      <c r="AE6220">
        <v>2.319336E-2</v>
      </c>
      <c r="AF6220">
        <v>7.3408335364803803E-2</v>
      </c>
      <c r="AG6220">
        <v>6.2160729999999997E-2</v>
      </c>
      <c r="AH6220">
        <v>2.9992475736950599</v>
      </c>
      <c r="AI6220">
        <v>88.813045027430803</v>
      </c>
      <c r="AJ6220">
        <v>88.597932273228196</v>
      </c>
      <c r="AK6220">
        <v>3.00078968746076</v>
      </c>
      <c r="AL6220">
        <v>90.090545022880704</v>
      </c>
      <c r="AM6220">
        <v>88.408651125032804</v>
      </c>
      <c r="AN6220">
        <v>0.99999992862730902</v>
      </c>
    </row>
    <row r="6221" spans="1:40" x14ac:dyDescent="0.25">
      <c r="A6221" t="str">
        <f>"20190312154046679"</f>
        <v>20190312154046679</v>
      </c>
      <c r="B6221" t="str">
        <f>"1552376446672385"</f>
        <v>1552376446672385</v>
      </c>
      <c r="C6221" t="s">
        <v>40</v>
      </c>
      <c r="D6221">
        <v>3.8507699999999998</v>
      </c>
      <c r="E6221">
        <v>0.49904280000000001</v>
      </c>
      <c r="F6221" t="s">
        <v>50</v>
      </c>
      <c r="G6221">
        <v>0</v>
      </c>
      <c r="H6221">
        <v>0</v>
      </c>
      <c r="I6221">
        <v>0</v>
      </c>
      <c r="J6221">
        <v>-305.69940000000003</v>
      </c>
      <c r="K6221">
        <v>1.109594</v>
      </c>
      <c r="L6221">
        <v>140.2182</v>
      </c>
      <c r="M6221">
        <v>-0.99975709999999995</v>
      </c>
      <c r="N6221">
        <v>0</v>
      </c>
      <c r="O6221">
        <v>-1.6354980000000002E-2</v>
      </c>
      <c r="P6221">
        <v>-0.99979370000000001</v>
      </c>
      <c r="Q6221">
        <v>-1.647852E-2</v>
      </c>
      <c r="R6221">
        <v>1.188312E-2</v>
      </c>
      <c r="S6221">
        <v>-3.0012210000000001</v>
      </c>
      <c r="T6221">
        <v>6.0583949999999998E-2</v>
      </c>
      <c r="U6221">
        <v>2.8503420000000002E-2</v>
      </c>
      <c r="V6221">
        <v>2.823349E-2</v>
      </c>
      <c r="W6221">
        <v>-1.7213409999999999E-3</v>
      </c>
      <c r="X6221">
        <v>0.99959989999999999</v>
      </c>
      <c r="Y6221">
        <v>2.584301E-2</v>
      </c>
      <c r="Z6221">
        <v>-5.909458E-4</v>
      </c>
      <c r="AA6221">
        <v>0.9996659</v>
      </c>
      <c r="AB6221">
        <v>36</v>
      </c>
      <c r="AC6221">
        <v>-3.0012210000000001</v>
      </c>
      <c r="AD6221">
        <v>6.0583949999999998E-2</v>
      </c>
      <c r="AE6221">
        <v>2.8503420000000002E-2</v>
      </c>
      <c r="AF6221">
        <v>7.7558272090732502E-2</v>
      </c>
      <c r="AG6221">
        <v>6.0583949999999998E-2</v>
      </c>
      <c r="AH6221">
        <v>2.9991312582783798</v>
      </c>
      <c r="AI6221">
        <v>88.843140672638398</v>
      </c>
      <c r="AJ6221">
        <v>88.518647208196199</v>
      </c>
      <c r="AK6221">
        <v>3.0007455748446499</v>
      </c>
      <c r="AL6221">
        <v>90.098625620491504</v>
      </c>
      <c r="AM6221">
        <v>88.382122836154906</v>
      </c>
      <c r="AN6221">
        <v>1.0000000265262099</v>
      </c>
    </row>
    <row r="6222" spans="1:40" x14ac:dyDescent="0.25">
      <c r="A6222" t="str">
        <f>"20190312154046694"</f>
        <v>20190312154046694</v>
      </c>
      <c r="B6222" t="str">
        <f>"1552376446682146"</f>
        <v>1552376446682146</v>
      </c>
      <c r="C6222" t="s">
        <v>40</v>
      </c>
      <c r="D6222">
        <v>3.8546580000000001</v>
      </c>
      <c r="E6222">
        <v>0.4990888</v>
      </c>
      <c r="F6222" t="s">
        <v>50</v>
      </c>
      <c r="G6222">
        <v>0</v>
      </c>
      <c r="H6222">
        <v>0</v>
      </c>
      <c r="I6222">
        <v>0</v>
      </c>
      <c r="J6222">
        <v>-305.97399999999999</v>
      </c>
      <c r="K6222">
        <v>1.1095269999999999</v>
      </c>
      <c r="L6222">
        <v>140.2141</v>
      </c>
      <c r="M6222">
        <v>-0.99976419999999999</v>
      </c>
      <c r="N6222">
        <v>0</v>
      </c>
      <c r="O6222">
        <v>-1.5908459999999999E-2</v>
      </c>
      <c r="P6222">
        <v>-0.99976419999999999</v>
      </c>
      <c r="Q6222">
        <v>-1.6658389999999999E-2</v>
      </c>
      <c r="R6222">
        <v>1.3929860000000001E-2</v>
      </c>
      <c r="S6222">
        <v>-3.0012210000000001</v>
      </c>
      <c r="T6222">
        <v>5.8585760000000001E-2</v>
      </c>
      <c r="U6222">
        <v>3.2272339999999997E-2</v>
      </c>
      <c r="V6222">
        <v>2.9832620000000001E-2</v>
      </c>
      <c r="W6222">
        <v>-1.91103E-3</v>
      </c>
      <c r="X6222">
        <v>0.99955309999999997</v>
      </c>
      <c r="Y6222">
        <v>2.6652260000000001E-2</v>
      </c>
      <c r="Z6222">
        <v>-5.7063800000000005E-4</v>
      </c>
      <c r="AA6222">
        <v>0.99964459999999999</v>
      </c>
      <c r="AB6222">
        <v>36</v>
      </c>
      <c r="AC6222">
        <v>-3.0012210000000001</v>
      </c>
      <c r="AD6222">
        <v>5.8585760000000001E-2</v>
      </c>
      <c r="AE6222">
        <v>3.2272339999999997E-2</v>
      </c>
      <c r="AF6222">
        <v>7.99877992342512E-2</v>
      </c>
      <c r="AG6222">
        <v>5.8585760000000001E-2</v>
      </c>
      <c r="AH6222">
        <v>2.99918493685007</v>
      </c>
      <c r="AI6222">
        <v>88.881330321644</v>
      </c>
      <c r="AJ6222">
        <v>88.472292546954904</v>
      </c>
      <c r="AK6222">
        <v>3.0008233244777101</v>
      </c>
      <c r="AL6222">
        <v>90.1094940181449</v>
      </c>
      <c r="AM6222">
        <v>88.290460050153499</v>
      </c>
      <c r="AN6222">
        <v>1.0000000184856599</v>
      </c>
    </row>
    <row r="6223" spans="1:40" x14ac:dyDescent="0.25">
      <c r="A6223" t="str">
        <f>"20190312154046717"</f>
        <v>20190312154046717</v>
      </c>
      <c r="B6223" t="str">
        <f>"1552376446712414"</f>
        <v>1552376446712414</v>
      </c>
      <c r="C6223" t="s">
        <v>40</v>
      </c>
      <c r="D6223">
        <v>3.8579310000000002</v>
      </c>
      <c r="E6223">
        <v>0.4992489</v>
      </c>
      <c r="F6223" t="s">
        <v>50</v>
      </c>
      <c r="G6223">
        <v>0</v>
      </c>
      <c r="H6223">
        <v>0</v>
      </c>
      <c r="I6223">
        <v>0</v>
      </c>
      <c r="J6223">
        <v>-306.3159</v>
      </c>
      <c r="K6223">
        <v>1.1094550000000001</v>
      </c>
      <c r="L6223">
        <v>140.20930000000001</v>
      </c>
      <c r="M6223">
        <v>-0.99977369999999999</v>
      </c>
      <c r="N6223">
        <v>0</v>
      </c>
      <c r="O6223">
        <v>-1.530346E-2</v>
      </c>
      <c r="P6223">
        <v>-0.99973829999999997</v>
      </c>
      <c r="Q6223">
        <v>-1.645901E-2</v>
      </c>
      <c r="R6223">
        <v>1.58849E-2</v>
      </c>
      <c r="S6223">
        <v>-3.00116</v>
      </c>
      <c r="T6223">
        <v>5.7301999999999999E-2</v>
      </c>
      <c r="U6223">
        <v>3.8848880000000002E-2</v>
      </c>
      <c r="V6223">
        <v>3.1182060000000001E-2</v>
      </c>
      <c r="W6223">
        <v>-1.7226749999999999E-3</v>
      </c>
      <c r="X6223">
        <v>0.99951230000000002</v>
      </c>
      <c r="Y6223">
        <v>2.823794E-2</v>
      </c>
      <c r="Z6223">
        <v>-5.6172669999999896E-4</v>
      </c>
      <c r="AA6223">
        <v>0.99960110000000002</v>
      </c>
      <c r="AB6223">
        <v>36</v>
      </c>
      <c r="AC6223">
        <v>-3.00116</v>
      </c>
      <c r="AD6223">
        <v>5.7301999999999999E-2</v>
      </c>
      <c r="AE6223">
        <v>3.8848880000000002E-2</v>
      </c>
      <c r="AF6223">
        <v>8.47465872330221E-2</v>
      </c>
      <c r="AG6223">
        <v>5.7301999999999999E-2</v>
      </c>
      <c r="AH6223">
        <v>2.9991207290355901</v>
      </c>
      <c r="AI6223">
        <v>88.905861367027299</v>
      </c>
      <c r="AJ6223">
        <v>88.381415593438604</v>
      </c>
      <c r="AK6223">
        <v>3.0008649837309598</v>
      </c>
      <c r="AL6223">
        <v>90.098702049556607</v>
      </c>
      <c r="AM6223">
        <v>88.213107374550503</v>
      </c>
      <c r="AN6223">
        <v>1.0000000631631401</v>
      </c>
    </row>
    <row r="6224" spans="1:40" x14ac:dyDescent="0.25">
      <c r="A6224" t="str">
        <f>"20190312154046741"</f>
        <v>20190312154046741</v>
      </c>
      <c r="B6224" t="str">
        <f>"1552376446731925"</f>
        <v>1552376446731925</v>
      </c>
      <c r="C6224" t="s">
        <v>40</v>
      </c>
      <c r="D6224">
        <v>3.8235239999999999</v>
      </c>
      <c r="E6224">
        <v>0.4993476</v>
      </c>
      <c r="F6224" t="s">
        <v>50</v>
      </c>
      <c r="G6224">
        <v>0</v>
      </c>
      <c r="H6224">
        <v>0</v>
      </c>
      <c r="I6224">
        <v>0</v>
      </c>
      <c r="J6224">
        <v>-306.71050000000002</v>
      </c>
      <c r="K6224">
        <v>1.1093919999999999</v>
      </c>
      <c r="L6224">
        <v>140.2039</v>
      </c>
      <c r="M6224">
        <v>-0.99978509999999998</v>
      </c>
      <c r="N6224">
        <v>0</v>
      </c>
      <c r="O6224">
        <v>-1.455032E-2</v>
      </c>
      <c r="P6224">
        <v>-0.99969969999999997</v>
      </c>
      <c r="Q6224">
        <v>-1.6625049999999999E-2</v>
      </c>
      <c r="R6224">
        <v>1.8011409999999999E-2</v>
      </c>
      <c r="S6224">
        <v>-3.001007</v>
      </c>
      <c r="T6224">
        <v>5.56829E-2</v>
      </c>
      <c r="U6224">
        <v>4.60968E-2</v>
      </c>
      <c r="V6224">
        <v>3.2554569999999998E-2</v>
      </c>
      <c r="W6224">
        <v>-1.900307E-3</v>
      </c>
      <c r="X6224">
        <v>0.99946809999999997</v>
      </c>
      <c r="Y6224">
        <v>2.989955E-2</v>
      </c>
      <c r="Z6224">
        <v>-5.473171E-4</v>
      </c>
      <c r="AA6224">
        <v>0.99955280000000002</v>
      </c>
      <c r="AB6224">
        <v>36</v>
      </c>
      <c r="AC6224">
        <v>-3.001007</v>
      </c>
      <c r="AD6224">
        <v>5.56829E-2</v>
      </c>
      <c r="AE6224">
        <v>4.60968E-2</v>
      </c>
      <c r="AF6224">
        <v>8.9731407187689793E-2</v>
      </c>
      <c r="AG6224">
        <v>5.56829E-2</v>
      </c>
      <c r="AH6224">
        <v>2.9989862008764501</v>
      </c>
      <c r="AI6224">
        <v>88.936773374392203</v>
      </c>
      <c r="AJ6224">
        <v>88.286188335940395</v>
      </c>
      <c r="AK6224">
        <v>3.0008449716430898</v>
      </c>
      <c r="AL6224">
        <v>90.108879642174102</v>
      </c>
      <c r="AM6224">
        <v>88.134427445993893</v>
      </c>
      <c r="AN6224">
        <v>0.99999994705609296</v>
      </c>
    </row>
    <row r="6225" spans="1:40" x14ac:dyDescent="0.25">
      <c r="A6225" t="str">
        <f>"20190312154046754"</f>
        <v>20190312154046754</v>
      </c>
      <c r="B6225" t="str">
        <f>"1552376446742657"</f>
        <v>1552376446742657</v>
      </c>
      <c r="C6225" t="s">
        <v>40</v>
      </c>
      <c r="D6225">
        <v>3.8512490000000001</v>
      </c>
      <c r="E6225">
        <v>0.49942130000000001</v>
      </c>
      <c r="F6225" t="s">
        <v>50</v>
      </c>
      <c r="G6225">
        <v>0</v>
      </c>
      <c r="H6225">
        <v>0</v>
      </c>
      <c r="I6225">
        <v>0</v>
      </c>
      <c r="J6225">
        <v>-306.9391</v>
      </c>
      <c r="K6225">
        <v>1.1093599999999999</v>
      </c>
      <c r="L6225">
        <v>140.20099999999999</v>
      </c>
      <c r="M6225">
        <v>-0.99979150000000006</v>
      </c>
      <c r="N6225">
        <v>0</v>
      </c>
      <c r="O6225">
        <v>-1.4098039999999999E-2</v>
      </c>
      <c r="P6225">
        <v>-0.99967629999999996</v>
      </c>
      <c r="Q6225">
        <v>-1.6530860000000001E-2</v>
      </c>
      <c r="R6225">
        <v>1.9343050000000001E-2</v>
      </c>
      <c r="S6225">
        <v>-3.0008539999999999</v>
      </c>
      <c r="T6225">
        <v>5.445933E-2</v>
      </c>
      <c r="U6225">
        <v>5.342102E-2</v>
      </c>
      <c r="V6225">
        <v>3.3433780000000003E-2</v>
      </c>
      <c r="W6225">
        <v>-1.8125960000000001E-3</v>
      </c>
      <c r="X6225">
        <v>0.99943930000000003</v>
      </c>
      <c r="Y6225">
        <v>3.188713E-2</v>
      </c>
      <c r="Z6225">
        <v>-5.4513480000000002E-4</v>
      </c>
      <c r="AA6225">
        <v>0.99949129999999997</v>
      </c>
      <c r="AB6225">
        <v>36</v>
      </c>
      <c r="AC6225">
        <v>-3.0008539999999999</v>
      </c>
      <c r="AD6225">
        <v>5.445933E-2</v>
      </c>
      <c r="AE6225">
        <v>5.342102E-2</v>
      </c>
      <c r="AF6225">
        <v>9.5694978906460795E-2</v>
      </c>
      <c r="AG6225">
        <v>5.445933E-2</v>
      </c>
      <c r="AH6225">
        <v>2.9988151487882799</v>
      </c>
      <c r="AI6225">
        <v>88.960136025058205</v>
      </c>
      <c r="AJ6225">
        <v>88.172258649692594</v>
      </c>
      <c r="AK6225">
        <v>3.0008358242686399</v>
      </c>
      <c r="AL6225">
        <v>90.103854156720701</v>
      </c>
      <c r="AM6225">
        <v>88.084025316735307</v>
      </c>
      <c r="AN6225">
        <v>1.0000000087669101</v>
      </c>
    </row>
    <row r="6226" spans="1:40" x14ac:dyDescent="0.25">
      <c r="A6226" t="str">
        <f>"20190312154046773"</f>
        <v>20190312154046773</v>
      </c>
      <c r="B6226" t="str">
        <f>"1552376446762178"</f>
        <v>1552376446762178</v>
      </c>
      <c r="C6226" t="s">
        <v>40</v>
      </c>
      <c r="D6226">
        <v>3.8908830000000001</v>
      </c>
      <c r="E6226">
        <v>0.49947170000000002</v>
      </c>
      <c r="F6226" t="s">
        <v>50</v>
      </c>
      <c r="G6226">
        <v>0</v>
      </c>
      <c r="H6226">
        <v>0</v>
      </c>
      <c r="I6226">
        <v>0</v>
      </c>
      <c r="J6226">
        <v>-307.23219999999998</v>
      </c>
      <c r="K6226">
        <v>1.109329</v>
      </c>
      <c r="L6226">
        <v>140.19739999999999</v>
      </c>
      <c r="M6226">
        <v>-0.99979980000000002</v>
      </c>
      <c r="N6226">
        <v>0</v>
      </c>
      <c r="O6226">
        <v>-1.3505929999999999E-2</v>
      </c>
      <c r="P6226">
        <v>-0.99962510000000004</v>
      </c>
      <c r="Q6226">
        <v>-1.7076339999999999E-2</v>
      </c>
      <c r="R6226">
        <v>2.1409609999999999E-2</v>
      </c>
      <c r="S6226">
        <v>-3.0007630000000001</v>
      </c>
      <c r="T6226">
        <v>5.4619670000000002E-2</v>
      </c>
      <c r="U6226">
        <v>5.7968140000000001E-2</v>
      </c>
      <c r="V6226">
        <v>3.490654E-2</v>
      </c>
      <c r="W6226">
        <v>-2.36674E-3</v>
      </c>
      <c r="X6226">
        <v>0.99938780000000005</v>
      </c>
      <c r="Y6226">
        <v>3.2809650000000003E-2</v>
      </c>
      <c r="Z6226">
        <v>-5.4436689999999999E-4</v>
      </c>
      <c r="AA6226">
        <v>0.9994615</v>
      </c>
      <c r="AB6226">
        <v>36</v>
      </c>
      <c r="AC6226">
        <v>-3.0007630000000001</v>
      </c>
      <c r="AD6226">
        <v>5.4619670000000002E-2</v>
      </c>
      <c r="AE6226">
        <v>5.7968140000000001E-2</v>
      </c>
      <c r="AF6226">
        <v>9.8462754367516905E-2</v>
      </c>
      <c r="AG6226">
        <v>5.4619670000000002E-2</v>
      </c>
      <c r="AH6226">
        <v>2.99871311057113</v>
      </c>
      <c r="AI6226">
        <v>88.957070796744503</v>
      </c>
      <c r="AJ6226">
        <v>88.1193685659414</v>
      </c>
      <c r="AK6226">
        <v>3.0008263098452899</v>
      </c>
      <c r="AL6226">
        <v>90.135604336901295</v>
      </c>
      <c r="AM6226">
        <v>87.999590640665303</v>
      </c>
      <c r="AN6226">
        <v>1.0000000213909099</v>
      </c>
    </row>
    <row r="6227" spans="1:40" x14ac:dyDescent="0.25">
      <c r="A6227" t="str">
        <f>"20190312154046795"</f>
        <v>20190312154046795</v>
      </c>
      <c r="B6227" t="str">
        <f>"1552376446782674"</f>
        <v>1552376446782674</v>
      </c>
      <c r="C6227" t="s">
        <v>40</v>
      </c>
      <c r="D6227">
        <v>3.9447990000000002</v>
      </c>
      <c r="E6227">
        <v>0.47215800000000002</v>
      </c>
      <c r="F6227" t="s">
        <v>50</v>
      </c>
      <c r="G6227">
        <v>0</v>
      </c>
      <c r="H6227">
        <v>0</v>
      </c>
      <c r="I6227">
        <v>0</v>
      </c>
      <c r="J6227">
        <v>-307.57749999999999</v>
      </c>
      <c r="K6227">
        <v>1.1093</v>
      </c>
      <c r="L6227">
        <v>140.1935</v>
      </c>
      <c r="M6227">
        <v>-0.99980910000000001</v>
      </c>
      <c r="N6227">
        <v>0</v>
      </c>
      <c r="O6227">
        <v>-1.2800260000000001E-2</v>
      </c>
      <c r="P6227">
        <v>-0.99958979999999997</v>
      </c>
      <c r="Q6227">
        <v>-1.7764950000000002E-2</v>
      </c>
      <c r="R6227">
        <v>2.2467129999999998E-2</v>
      </c>
      <c r="S6227">
        <v>-3.0006710000000001</v>
      </c>
      <c r="T6227">
        <v>5.3641920000000003E-2</v>
      </c>
      <c r="U6227">
        <v>6.4682009999999998E-2</v>
      </c>
      <c r="V6227">
        <v>3.525702E-2</v>
      </c>
      <c r="W6227">
        <v>-3.0623199999999999E-3</v>
      </c>
      <c r="X6227">
        <v>0.99937359999999997</v>
      </c>
      <c r="Y6227">
        <v>3.4340229999999999E-2</v>
      </c>
      <c r="Z6227">
        <v>-5.3569269999999996E-4</v>
      </c>
      <c r="AA6227">
        <v>0.99941000000000002</v>
      </c>
      <c r="AB6227">
        <v>36</v>
      </c>
      <c r="AC6227">
        <v>-3.0006710000000001</v>
      </c>
      <c r="AD6227">
        <v>5.3641920000000003E-2</v>
      </c>
      <c r="AE6227">
        <v>6.4682009999999998E-2</v>
      </c>
      <c r="AF6227">
        <v>0.103057345161838</v>
      </c>
      <c r="AG6227">
        <v>5.3641920000000003E-2</v>
      </c>
      <c r="AH6227">
        <v>2.9986392316068602</v>
      </c>
      <c r="AI6227">
        <v>88.975763783025997</v>
      </c>
      <c r="AJ6227">
        <v>88.031631252225097</v>
      </c>
      <c r="AK6227">
        <v>3.0008891204616099</v>
      </c>
      <c r="AL6227">
        <v>90.175458283329903</v>
      </c>
      <c r="AM6227">
        <v>87.979493359275907</v>
      </c>
      <c r="AN6227">
        <v>1.00000001382001</v>
      </c>
    </row>
    <row r="6228" spans="1:40" x14ac:dyDescent="0.25">
      <c r="A6228" t="str">
        <f>"20190312154046818"</f>
        <v>20190312154046818</v>
      </c>
      <c r="B6228" t="str">
        <f>"1552376446811957"</f>
        <v>1552376446811957</v>
      </c>
      <c r="C6228" t="s">
        <v>40</v>
      </c>
      <c r="D6228">
        <v>3.8741620000000001</v>
      </c>
      <c r="E6228">
        <v>0.46577439999999998</v>
      </c>
      <c r="F6228" t="s">
        <v>50</v>
      </c>
      <c r="G6228">
        <v>0</v>
      </c>
      <c r="H6228">
        <v>0</v>
      </c>
      <c r="I6228">
        <v>0</v>
      </c>
      <c r="J6228">
        <v>-307.95249999999999</v>
      </c>
      <c r="K6228">
        <v>1.1092759999999999</v>
      </c>
      <c r="L6228">
        <v>140.18940000000001</v>
      </c>
      <c r="M6228">
        <v>-0.9998186</v>
      </c>
      <c r="N6228">
        <v>0</v>
      </c>
      <c r="O6228">
        <v>-1.203019E-2</v>
      </c>
      <c r="P6228">
        <v>-0.99956219999999996</v>
      </c>
      <c r="Q6228">
        <v>-1.7866489999999999E-2</v>
      </c>
      <c r="R6228">
        <v>2.3584239999999999E-2</v>
      </c>
      <c r="S6228">
        <v>-3.0059809999999998</v>
      </c>
      <c r="T6228">
        <v>7.8393340000000006E-2</v>
      </c>
      <c r="U6228">
        <v>-0.1489105</v>
      </c>
      <c r="V6228">
        <v>3.560377E-2</v>
      </c>
      <c r="W6228">
        <v>-3.1706159999999998E-3</v>
      </c>
      <c r="X6228">
        <v>0.99936100000000005</v>
      </c>
      <c r="Y6228">
        <v>-3.7448429999999998E-2</v>
      </c>
      <c r="Z6228">
        <v>1.7443259999999999E-4</v>
      </c>
      <c r="AA6228">
        <v>0.99929860000000004</v>
      </c>
      <c r="AB6228">
        <v>36</v>
      </c>
      <c r="AC6228">
        <v>-3.0059809999999998</v>
      </c>
      <c r="AD6228">
        <v>7.8393340000000006E-2</v>
      </c>
      <c r="AE6228">
        <v>-0.1489105</v>
      </c>
      <c r="AF6228">
        <v>-0.112656823360686</v>
      </c>
      <c r="AG6228">
        <v>7.8393340000000006E-2</v>
      </c>
      <c r="AH6228">
        <v>3.00551593159667</v>
      </c>
      <c r="AI6228">
        <v>88.506932070170706</v>
      </c>
      <c r="AJ6228">
        <v>92.146633130827894</v>
      </c>
      <c r="AK6228">
        <v>3.0086480503188602</v>
      </c>
      <c r="AL6228">
        <v>90.181663211493003</v>
      </c>
      <c r="AM6228">
        <v>87.959612847246206</v>
      </c>
      <c r="AN6228">
        <v>1.0000000447825099</v>
      </c>
    </row>
    <row r="6229" spans="1:40" x14ac:dyDescent="0.25">
      <c r="A6229" t="str">
        <f>"20190312154046833"</f>
        <v>20190312154046833</v>
      </c>
      <c r="B6229" t="str">
        <f>"1552376446822690"</f>
        <v>1552376446822690</v>
      </c>
      <c r="C6229" t="s">
        <v>40</v>
      </c>
      <c r="D6229">
        <v>3.8766579999999999</v>
      </c>
      <c r="E6229">
        <v>0.4649488</v>
      </c>
      <c r="F6229" t="s">
        <v>50</v>
      </c>
      <c r="G6229">
        <v>0</v>
      </c>
      <c r="H6229">
        <v>0</v>
      </c>
      <c r="I6229">
        <v>0</v>
      </c>
      <c r="J6229">
        <v>-308.19909999999999</v>
      </c>
      <c r="K6229">
        <v>1.109267</v>
      </c>
      <c r="L6229">
        <v>140.18690000000001</v>
      </c>
      <c r="M6229">
        <v>-0.99982470000000001</v>
      </c>
      <c r="N6229">
        <v>0</v>
      </c>
      <c r="O6229">
        <v>-1.1524100000000001E-2</v>
      </c>
      <c r="P6229">
        <v>-0.99954080000000001</v>
      </c>
      <c r="Q6229">
        <v>-1.8065830000000001E-2</v>
      </c>
      <c r="R6229">
        <v>2.433486E-2</v>
      </c>
      <c r="S6229">
        <v>-3.007355</v>
      </c>
      <c r="T6229">
        <v>8.0100060000000001E-2</v>
      </c>
      <c r="U6229">
        <v>-0.19639590000000001</v>
      </c>
      <c r="V6229">
        <v>3.5847990000000003E-2</v>
      </c>
      <c r="W6229">
        <v>-3.3740329999999998E-3</v>
      </c>
      <c r="X6229">
        <v>0.99935160000000001</v>
      </c>
      <c r="Y6229">
        <v>-5.3646310000000003E-2</v>
      </c>
      <c r="Z6229">
        <v>4.0698109999999998E-4</v>
      </c>
      <c r="AA6229">
        <v>0.99855989999999994</v>
      </c>
      <c r="AB6229">
        <v>36</v>
      </c>
      <c r="AC6229">
        <v>-3.007355</v>
      </c>
      <c r="AD6229">
        <v>8.0100060000000001E-2</v>
      </c>
      <c r="AE6229">
        <v>-0.19639590000000001</v>
      </c>
      <c r="AF6229">
        <v>-0.16160786254746901</v>
      </c>
      <c r="AG6229">
        <v>8.0100060000000001E-2</v>
      </c>
      <c r="AH6229">
        <v>3.0072944466832898</v>
      </c>
      <c r="AI6229">
        <v>88.476470161271905</v>
      </c>
      <c r="AJ6229">
        <v>93.076037537743304</v>
      </c>
      <c r="AK6229">
        <v>3.01269862580068</v>
      </c>
      <c r="AL6229">
        <v>90.193318209617402</v>
      </c>
      <c r="AM6229">
        <v>87.945609688842794</v>
      </c>
      <c r="AN6229">
        <v>1.0000000414541399</v>
      </c>
    </row>
    <row r="6230" spans="1:40" x14ac:dyDescent="0.25">
      <c r="A6230" t="str">
        <f>"20190312154046851"</f>
        <v>20190312154046851</v>
      </c>
      <c r="B6230" t="str">
        <f>"1552376446842213"</f>
        <v>1552376446842213</v>
      </c>
      <c r="C6230" t="s">
        <v>40</v>
      </c>
      <c r="D6230">
        <v>3.8916949999999999</v>
      </c>
      <c r="E6230">
        <v>0.4636612</v>
      </c>
      <c r="F6230" t="s">
        <v>50</v>
      </c>
      <c r="G6230">
        <v>0</v>
      </c>
      <c r="H6230">
        <v>0</v>
      </c>
      <c r="I6230">
        <v>0</v>
      </c>
      <c r="J6230">
        <v>-308.49299999999999</v>
      </c>
      <c r="K6230">
        <v>1.1092599999999999</v>
      </c>
      <c r="L6230">
        <v>140.1841</v>
      </c>
      <c r="M6230">
        <v>-0.99983160000000004</v>
      </c>
      <c r="N6230">
        <v>0</v>
      </c>
      <c r="O6230">
        <v>-1.092253E-2</v>
      </c>
      <c r="P6230">
        <v>-0.99952779999999997</v>
      </c>
      <c r="Q6230">
        <v>-1.7688200000000001E-2</v>
      </c>
      <c r="R6230">
        <v>2.512961E-2</v>
      </c>
      <c r="S6230">
        <v>-3.0076900000000002</v>
      </c>
      <c r="T6230">
        <v>7.6470850000000007E-2</v>
      </c>
      <c r="U6230">
        <v>-0.20083619999999999</v>
      </c>
      <c r="V6230">
        <v>3.6041620000000003E-2</v>
      </c>
      <c r="W6230">
        <v>-3.0009049999999999E-3</v>
      </c>
      <c r="X6230">
        <v>0.99934579999999995</v>
      </c>
      <c r="Y6230">
        <v>-5.570804E-2</v>
      </c>
      <c r="Z6230">
        <v>4.2993609999999999E-4</v>
      </c>
      <c r="AA6230">
        <v>0.99844699999999997</v>
      </c>
      <c r="AB6230">
        <v>36</v>
      </c>
      <c r="AC6230">
        <v>-3.0076900000000002</v>
      </c>
      <c r="AD6230">
        <v>7.6470850000000007E-2</v>
      </c>
      <c r="AE6230">
        <v>-0.20083619999999999</v>
      </c>
      <c r="AF6230">
        <v>-0.16786103026611901</v>
      </c>
      <c r="AG6230">
        <v>7.6470850000000007E-2</v>
      </c>
      <c r="AH6230">
        <v>3.0077687226080299</v>
      </c>
      <c r="AI6230">
        <v>88.545862205740406</v>
      </c>
      <c r="AJ6230">
        <v>93.194315374739105</v>
      </c>
      <c r="AK6230">
        <v>3.0134196198141501</v>
      </c>
      <c r="AL6230">
        <v>90.171939446552997</v>
      </c>
      <c r="AM6230">
        <v>87.934510675094899</v>
      </c>
      <c r="AN6230">
        <v>1.0000000158903399</v>
      </c>
    </row>
    <row r="6231" spans="1:40" x14ac:dyDescent="0.25">
      <c r="A6231" t="str">
        <f>"20190312154046865"</f>
        <v>20190312154046865</v>
      </c>
      <c r="B6231" t="str">
        <f>"1552376446851969"</f>
        <v>1552376446851969</v>
      </c>
      <c r="C6231" t="s">
        <v>40</v>
      </c>
      <c r="D6231">
        <v>3.9030480000000001</v>
      </c>
      <c r="E6231">
        <v>0.46321820000000002</v>
      </c>
      <c r="F6231" t="s">
        <v>50</v>
      </c>
      <c r="G6231">
        <v>0</v>
      </c>
      <c r="H6231">
        <v>0</v>
      </c>
      <c r="I6231">
        <v>0</v>
      </c>
      <c r="J6231">
        <v>-308.71339999999998</v>
      </c>
      <c r="K6231">
        <v>1.109254</v>
      </c>
      <c r="L6231">
        <v>140.18209999999999</v>
      </c>
      <c r="M6231">
        <v>-0.99983639999999996</v>
      </c>
      <c r="N6231">
        <v>0</v>
      </c>
      <c r="O6231">
        <v>-1.047206E-2</v>
      </c>
      <c r="P6231">
        <v>-0.99951939999999995</v>
      </c>
      <c r="Q6231">
        <v>-1.7704879999999999E-2</v>
      </c>
      <c r="R6231">
        <v>2.5450210000000001E-2</v>
      </c>
      <c r="S6231">
        <v>-3.007965</v>
      </c>
      <c r="T6231">
        <v>7.4782130000000002E-2</v>
      </c>
      <c r="U6231">
        <v>-0.20872499999999999</v>
      </c>
      <c r="V6231">
        <v>3.5912029999999998E-2</v>
      </c>
      <c r="W6231">
        <v>-3.0202879999999999E-3</v>
      </c>
      <c r="X6231">
        <v>0.99935039999999997</v>
      </c>
      <c r="Y6231">
        <v>-5.87576E-2</v>
      </c>
      <c r="Z6231">
        <v>4.6940970000000003E-4</v>
      </c>
      <c r="AA6231">
        <v>0.99827220000000005</v>
      </c>
      <c r="AB6231">
        <v>36</v>
      </c>
      <c r="AC6231">
        <v>-3.007965</v>
      </c>
      <c r="AD6231">
        <v>7.4782130000000002E-2</v>
      </c>
      <c r="AE6231">
        <v>-0.20872499999999999</v>
      </c>
      <c r="AF6231">
        <v>-0.17710159637498199</v>
      </c>
      <c r="AG6231">
        <v>7.4782130000000002E-2</v>
      </c>
      <c r="AH6231">
        <v>3.0081356633382001</v>
      </c>
      <c r="AI6231">
        <v>88.5783832163185</v>
      </c>
      <c r="AJ6231">
        <v>93.369354152702002</v>
      </c>
      <c r="AK6231">
        <v>3.0142723021407698</v>
      </c>
      <c r="AL6231">
        <v>90.173050016853296</v>
      </c>
      <c r="AM6231">
        <v>87.941940344080294</v>
      </c>
      <c r="AN6231">
        <v>1.00000000900924</v>
      </c>
    </row>
    <row r="6232" spans="1:40" x14ac:dyDescent="0.25">
      <c r="A6232" t="str">
        <f>"20190312154046878"</f>
        <v>20190312154046878</v>
      </c>
      <c r="B6232" t="str">
        <f>"1552376446871996"</f>
        <v>1552376446871996</v>
      </c>
      <c r="C6232" t="s">
        <v>40</v>
      </c>
      <c r="D6232">
        <v>3.873853</v>
      </c>
      <c r="E6232">
        <v>0.4625764</v>
      </c>
      <c r="F6232" t="s">
        <v>50</v>
      </c>
      <c r="G6232">
        <v>0</v>
      </c>
      <c r="H6232">
        <v>0</v>
      </c>
      <c r="I6232">
        <v>0</v>
      </c>
      <c r="J6232">
        <v>-308.92700000000002</v>
      </c>
      <c r="K6232">
        <v>1.1092500000000001</v>
      </c>
      <c r="L6232">
        <v>140.18020000000001</v>
      </c>
      <c r="M6232">
        <v>-0.99984090000000003</v>
      </c>
      <c r="N6232">
        <v>0</v>
      </c>
      <c r="O6232">
        <v>-1.003603E-2</v>
      </c>
      <c r="P6232">
        <v>-0.99950550000000005</v>
      </c>
      <c r="Q6232">
        <v>-1.7641110000000002E-2</v>
      </c>
      <c r="R6232">
        <v>2.6039679999999999E-2</v>
      </c>
      <c r="S6232">
        <v>-3.0081180000000001</v>
      </c>
      <c r="T6232">
        <v>7.3210949999999997E-2</v>
      </c>
      <c r="U6232">
        <v>-0.21130370000000001</v>
      </c>
      <c r="V6232">
        <v>3.6065840000000002E-2</v>
      </c>
      <c r="W6232">
        <v>-2.959663E-3</v>
      </c>
      <c r="X6232">
        <v>0.99934500000000004</v>
      </c>
      <c r="Y6232">
        <v>-6.0041120000000003E-2</v>
      </c>
      <c r="Z6232">
        <v>4.8570729999999998E-4</v>
      </c>
      <c r="AA6232">
        <v>0.99819579999999997</v>
      </c>
      <c r="AB6232">
        <v>36</v>
      </c>
      <c r="AC6232">
        <v>-3.0081180000000001</v>
      </c>
      <c r="AD6232">
        <v>7.3210949999999997E-2</v>
      </c>
      <c r="AE6232">
        <v>-0.21130370000000001</v>
      </c>
      <c r="AF6232">
        <v>-0.18099352937250199</v>
      </c>
      <c r="AG6232">
        <v>7.3210949999999997E-2</v>
      </c>
      <c r="AH6232">
        <v>3.0083141926388901</v>
      </c>
      <c r="AI6232">
        <v>88.608428663691996</v>
      </c>
      <c r="AJ6232">
        <v>93.443018013693205</v>
      </c>
      <c r="AK6232">
        <v>3.0146430605474999</v>
      </c>
      <c r="AL6232">
        <v>90.169576451895196</v>
      </c>
      <c r="AM6232">
        <v>87.933122214767394</v>
      </c>
      <c r="AN6232">
        <v>0.99999996672248903</v>
      </c>
    </row>
    <row r="6233" spans="1:40" x14ac:dyDescent="0.25">
      <c r="A6233" t="str">
        <f>"20190312154046896"</f>
        <v>20190312154046896</v>
      </c>
      <c r="B6233" t="str">
        <f>"1552376446892493"</f>
        <v>1552376446892493</v>
      </c>
      <c r="C6233" t="s">
        <v>40</v>
      </c>
      <c r="D6233">
        <v>3.8931849999999999</v>
      </c>
      <c r="E6233">
        <v>0.46204450000000002</v>
      </c>
      <c r="F6233" t="s">
        <v>50</v>
      </c>
      <c r="G6233">
        <v>0</v>
      </c>
      <c r="H6233">
        <v>0</v>
      </c>
      <c r="I6233">
        <v>0</v>
      </c>
      <c r="J6233">
        <v>-309.2133</v>
      </c>
      <c r="K6233">
        <v>1.1092420000000001</v>
      </c>
      <c r="L6233">
        <v>140.17789999999999</v>
      </c>
      <c r="M6233">
        <v>-0.99984660000000003</v>
      </c>
      <c r="N6233">
        <v>0</v>
      </c>
      <c r="O6233">
        <v>-9.4525379999999999E-3</v>
      </c>
      <c r="P6233">
        <v>-0.99948040000000005</v>
      </c>
      <c r="Q6233">
        <v>-1.7941229999999999E-2</v>
      </c>
      <c r="R6233">
        <v>2.6779190000000001E-2</v>
      </c>
      <c r="S6233">
        <v>-3.008362</v>
      </c>
      <c r="T6233">
        <v>7.3346380000000003E-2</v>
      </c>
      <c r="U6233">
        <v>-0.21463009999999999</v>
      </c>
      <c r="V6233">
        <v>3.6220969999999998E-2</v>
      </c>
      <c r="W6233">
        <v>-3.2638340000000002E-3</v>
      </c>
      <c r="X6233">
        <v>0.99933839999999996</v>
      </c>
      <c r="Y6233">
        <v>-6.171542E-2</v>
      </c>
      <c r="Z6233">
        <v>5.2113339999999896E-4</v>
      </c>
      <c r="AA6233">
        <v>0.99809369999999997</v>
      </c>
      <c r="AB6233">
        <v>36</v>
      </c>
      <c r="AC6233">
        <v>-3.008362</v>
      </c>
      <c r="AD6233">
        <v>7.3346380000000003E-2</v>
      </c>
      <c r="AE6233">
        <v>-0.21463009999999999</v>
      </c>
      <c r="AF6233">
        <v>-0.186070716007667</v>
      </c>
      <c r="AG6233">
        <v>7.3346380000000003E-2</v>
      </c>
      <c r="AH6233">
        <v>3.0084773301394501</v>
      </c>
      <c r="AI6233">
        <v>88.606073691627401</v>
      </c>
      <c r="AJ6233">
        <v>93.539167103623996</v>
      </c>
      <c r="AK6233">
        <v>3.0151182147268698</v>
      </c>
      <c r="AL6233">
        <v>90.187004259365594</v>
      </c>
      <c r="AM6233">
        <v>87.924226016598595</v>
      </c>
      <c r="AN6233">
        <v>0.99999992449733699</v>
      </c>
    </row>
    <row r="6234" spans="1:40" x14ac:dyDescent="0.25">
      <c r="A6234" t="str">
        <f>"20190312154046930"</f>
        <v>20190312154046930</v>
      </c>
      <c r="B6234" t="str">
        <f>"1552376446922747"</f>
        <v>1552376446922747</v>
      </c>
      <c r="C6234" t="s">
        <v>40</v>
      </c>
      <c r="D6234">
        <v>3.8981520000000001</v>
      </c>
      <c r="E6234">
        <v>0.46148309999999998</v>
      </c>
      <c r="F6234" t="s">
        <v>50</v>
      </c>
      <c r="G6234">
        <v>0</v>
      </c>
      <c r="H6234">
        <v>0</v>
      </c>
      <c r="I6234">
        <v>0</v>
      </c>
      <c r="J6234">
        <v>-309.74119999999999</v>
      </c>
      <c r="K6234">
        <v>1.109235</v>
      </c>
      <c r="L6234">
        <v>140.17410000000001</v>
      </c>
      <c r="M6234">
        <v>-0.99985630000000003</v>
      </c>
      <c r="N6234">
        <v>0</v>
      </c>
      <c r="O6234">
        <v>-8.3771839999999993E-3</v>
      </c>
      <c r="P6234">
        <v>-0.99945390000000001</v>
      </c>
      <c r="Q6234">
        <v>-1.7893119999999998E-2</v>
      </c>
      <c r="R6234">
        <v>2.7784900000000001E-2</v>
      </c>
      <c r="S6234">
        <v>-3.008667</v>
      </c>
      <c r="T6234">
        <v>7.0475460000000004E-2</v>
      </c>
      <c r="U6234">
        <v>-0.21656800000000001</v>
      </c>
      <c r="V6234">
        <v>3.615194E-2</v>
      </c>
      <c r="W6234">
        <v>-3.2219570000000001E-3</v>
      </c>
      <c r="X6234">
        <v>0.99934109999999998</v>
      </c>
      <c r="Y6234">
        <v>-6.3421619999999998E-2</v>
      </c>
      <c r="Z6234">
        <v>5.4578489999999999E-4</v>
      </c>
      <c r="AA6234">
        <v>0.9979867</v>
      </c>
      <c r="AB6234">
        <v>36</v>
      </c>
      <c r="AC6234">
        <v>-3.008667</v>
      </c>
      <c r="AD6234">
        <v>7.0475460000000004E-2</v>
      </c>
      <c r="AE6234">
        <v>-0.21656800000000001</v>
      </c>
      <c r="AF6234">
        <v>-0.19124910874989801</v>
      </c>
      <c r="AG6234">
        <v>7.0475460000000004E-2</v>
      </c>
      <c r="AH6234">
        <v>3.00873347783212</v>
      </c>
      <c r="AI6234">
        <v>88.660871861406505</v>
      </c>
      <c r="AJ6234">
        <v>93.6370932696653</v>
      </c>
      <c r="AK6234">
        <v>3.01562931287777</v>
      </c>
      <c r="AL6234">
        <v>90.184604859308806</v>
      </c>
      <c r="AM6234">
        <v>87.928184172852298</v>
      </c>
      <c r="AN6234">
        <v>0.999999988960941</v>
      </c>
    </row>
    <row r="6235" spans="1:40" x14ac:dyDescent="0.25">
      <c r="A6235" t="str">
        <f>"20190312154046952"</f>
        <v>20190312154046952</v>
      </c>
      <c r="B6235" t="str">
        <f>"1552376446942271"</f>
        <v>1552376446942271</v>
      </c>
      <c r="C6235" t="s">
        <v>40</v>
      </c>
      <c r="D6235">
        <v>3.8909220000000002</v>
      </c>
      <c r="E6235">
        <v>0.46113749999999998</v>
      </c>
      <c r="F6235" t="s">
        <v>50</v>
      </c>
      <c r="G6235">
        <v>0</v>
      </c>
      <c r="H6235">
        <v>0</v>
      </c>
      <c r="I6235">
        <v>0</v>
      </c>
      <c r="J6235">
        <v>-310.09460000000001</v>
      </c>
      <c r="K6235">
        <v>1.1092280000000001</v>
      </c>
      <c r="L6235">
        <v>140.17189999999999</v>
      </c>
      <c r="M6235">
        <v>-0.99986220000000003</v>
      </c>
      <c r="N6235">
        <v>0</v>
      </c>
      <c r="O6235">
        <v>-7.657133E-3</v>
      </c>
      <c r="P6235">
        <v>-0.99942390000000003</v>
      </c>
      <c r="Q6235">
        <v>-1.7779679999999999E-2</v>
      </c>
      <c r="R6235">
        <v>2.8913749999999998E-2</v>
      </c>
      <c r="S6235">
        <v>-3.0089419999999998</v>
      </c>
      <c r="T6235">
        <v>6.9622760000000006E-2</v>
      </c>
      <c r="U6235">
        <v>-0.21815490000000001</v>
      </c>
      <c r="V6235">
        <v>3.6561099999999999E-2</v>
      </c>
      <c r="W6235">
        <v>-3.1135820000000002E-3</v>
      </c>
      <c r="X6235">
        <v>0.99932659999999995</v>
      </c>
      <c r="Y6235">
        <v>-6.4657199999999998E-2</v>
      </c>
      <c r="Z6235">
        <v>5.7003390000000004E-4</v>
      </c>
      <c r="AA6235">
        <v>0.9979074</v>
      </c>
      <c r="AB6235">
        <v>36</v>
      </c>
      <c r="AC6235">
        <v>-3.0089419999999998</v>
      </c>
      <c r="AD6235">
        <v>6.9622760000000006E-2</v>
      </c>
      <c r="AE6235">
        <v>-0.21815490000000001</v>
      </c>
      <c r="AF6235">
        <v>-0.19500227695444999</v>
      </c>
      <c r="AG6235">
        <v>6.9622760000000006E-2</v>
      </c>
      <c r="AH6235">
        <v>3.0089218523963401</v>
      </c>
      <c r="AI6235">
        <v>88.6772564015358</v>
      </c>
      <c r="AJ6235">
        <v>93.708040648999997</v>
      </c>
      <c r="AK6235">
        <v>3.0160377866591199</v>
      </c>
      <c r="AL6235">
        <v>90.178395390486997</v>
      </c>
      <c r="AM6235">
        <v>87.904726208113104</v>
      </c>
      <c r="AN6235">
        <v>1.00000003094681</v>
      </c>
    </row>
    <row r="6236" spans="1:40" x14ac:dyDescent="0.25">
      <c r="A6236" t="str">
        <f>"20190312154046973"</f>
        <v>20190312154046973</v>
      </c>
      <c r="B6236" t="str">
        <f>"1552376446962764"</f>
        <v>1552376446962764</v>
      </c>
      <c r="C6236" t="s">
        <v>40</v>
      </c>
      <c r="D6236">
        <v>3.9308369999999999</v>
      </c>
      <c r="E6236">
        <v>0.46072410000000003</v>
      </c>
      <c r="F6236" t="s">
        <v>50</v>
      </c>
      <c r="G6236">
        <v>0</v>
      </c>
      <c r="H6236">
        <v>0</v>
      </c>
      <c r="I6236">
        <v>0</v>
      </c>
      <c r="J6236">
        <v>-310.43990000000002</v>
      </c>
      <c r="K6236">
        <v>1.109229</v>
      </c>
      <c r="L6236">
        <v>140.16999999999999</v>
      </c>
      <c r="M6236">
        <v>-0.99986739999999996</v>
      </c>
      <c r="N6236">
        <v>0</v>
      </c>
      <c r="O6236">
        <v>-6.9530729999999997E-3</v>
      </c>
      <c r="P6236">
        <v>-0.99940189999999995</v>
      </c>
      <c r="Q6236">
        <v>-1.7249750000000001E-2</v>
      </c>
      <c r="R6236">
        <v>2.9978399999999999E-2</v>
      </c>
      <c r="S6236">
        <v>-3.0092469999999998</v>
      </c>
      <c r="T6236">
        <v>7.0994730000000006E-2</v>
      </c>
      <c r="U6236">
        <v>-0.21719359999999999</v>
      </c>
      <c r="V6236">
        <v>3.6922969999999999E-2</v>
      </c>
      <c r="W6236">
        <v>-2.5883600000000001E-3</v>
      </c>
      <c r="X6236">
        <v>0.99931479999999995</v>
      </c>
      <c r="Y6236">
        <v>-6.5034549999999997E-2</v>
      </c>
      <c r="Z6236">
        <v>6.0224219999999997E-4</v>
      </c>
      <c r="AA6236">
        <v>0.99788279999999996</v>
      </c>
      <c r="AB6236">
        <v>36</v>
      </c>
      <c r="AC6236">
        <v>-3.0092469999999998</v>
      </c>
      <c r="AD6236">
        <v>7.0994730000000006E-2</v>
      </c>
      <c r="AE6236">
        <v>-0.21719359999999999</v>
      </c>
      <c r="AF6236">
        <v>-0.196153953899672</v>
      </c>
      <c r="AG6236">
        <v>7.0994730000000006E-2</v>
      </c>
      <c r="AH6236">
        <v>3.0090184539440399</v>
      </c>
      <c r="AI6236">
        <v>88.651276762401693</v>
      </c>
      <c r="AJ6236">
        <v>93.729759169292095</v>
      </c>
      <c r="AK6236">
        <v>3.0162408195457502</v>
      </c>
      <c r="AL6236">
        <v>90.148302263907198</v>
      </c>
      <c r="AM6236">
        <v>87.8839816587233</v>
      </c>
      <c r="AN6236">
        <v>1.0000000374100699</v>
      </c>
    </row>
    <row r="6237" spans="1:40" x14ac:dyDescent="0.25">
      <c r="A6237" t="str">
        <f>"20190312154046995"</f>
        <v>20190312154046995</v>
      </c>
      <c r="B6237" t="str">
        <f>"1552376446993019"</f>
        <v>1552376446993019</v>
      </c>
      <c r="C6237" t="s">
        <v>40</v>
      </c>
      <c r="D6237">
        <v>3.9588420000000002</v>
      </c>
      <c r="E6237">
        <v>0.4600764</v>
      </c>
      <c r="F6237" t="s">
        <v>50</v>
      </c>
      <c r="G6237">
        <v>0</v>
      </c>
      <c r="H6237">
        <v>0</v>
      </c>
      <c r="I6237">
        <v>0</v>
      </c>
      <c r="J6237">
        <v>-310.79840000000002</v>
      </c>
      <c r="K6237">
        <v>1.109229</v>
      </c>
      <c r="L6237">
        <v>140.16820000000001</v>
      </c>
      <c r="M6237">
        <v>-0.99987219999999999</v>
      </c>
      <c r="N6237">
        <v>0</v>
      </c>
      <c r="O6237">
        <v>-6.2220849999999996E-3</v>
      </c>
      <c r="P6237">
        <v>-0.99935439999999998</v>
      </c>
      <c r="Q6237">
        <v>-1.7491010000000001E-2</v>
      </c>
      <c r="R6237">
        <v>3.1388390000000002E-2</v>
      </c>
      <c r="S6237">
        <v>-3.0095519999999998</v>
      </c>
      <c r="T6237">
        <v>7.1476460000000006E-2</v>
      </c>
      <c r="U6237">
        <v>-0.21743770000000001</v>
      </c>
      <c r="V6237">
        <v>3.7601839999999997E-2</v>
      </c>
      <c r="W6237">
        <v>-2.8352820000000002E-3</v>
      </c>
      <c r="X6237">
        <v>0.99928879999999998</v>
      </c>
      <c r="Y6237">
        <v>-6.5836679999999995E-2</v>
      </c>
      <c r="Z6237">
        <v>6.331113E-4</v>
      </c>
      <c r="AA6237">
        <v>0.9978302</v>
      </c>
      <c r="AB6237">
        <v>36</v>
      </c>
      <c r="AC6237">
        <v>-3.0095519999999998</v>
      </c>
      <c r="AD6237">
        <v>7.1476460000000006E-2</v>
      </c>
      <c r="AE6237">
        <v>-0.21743770000000001</v>
      </c>
      <c r="AF6237">
        <v>-0.198594334198089</v>
      </c>
      <c r="AG6237">
        <v>7.1476460000000006E-2</v>
      </c>
      <c r="AH6237">
        <v>3.0091582726091999</v>
      </c>
      <c r="AI6237">
        <v>88.642263196131395</v>
      </c>
      <c r="AJ6237">
        <v>93.775853286605496</v>
      </c>
      <c r="AK6237">
        <v>3.0165513593376998</v>
      </c>
      <c r="AL6237">
        <v>90.162449906488106</v>
      </c>
      <c r="AM6237">
        <v>87.845056633351703</v>
      </c>
      <c r="AN6237">
        <v>1.0000000215004201</v>
      </c>
    </row>
    <row r="6238" spans="1:40" x14ac:dyDescent="0.25">
      <c r="A6238" t="str">
        <f>"20190312154047020"</f>
        <v>20190312154047020</v>
      </c>
      <c r="B6238" t="str">
        <f>"1552376447012539"</f>
        <v>1552376447012539</v>
      </c>
      <c r="C6238" t="s">
        <v>40</v>
      </c>
      <c r="D6238">
        <v>3.8846769999999999</v>
      </c>
      <c r="E6238">
        <v>0.45972970000000002</v>
      </c>
      <c r="F6238" t="s">
        <v>50</v>
      </c>
      <c r="G6238">
        <v>0</v>
      </c>
      <c r="H6238">
        <v>0</v>
      </c>
      <c r="I6238">
        <v>0</v>
      </c>
      <c r="J6238">
        <v>-311.16890000000001</v>
      </c>
      <c r="K6238">
        <v>1.1092299999999999</v>
      </c>
      <c r="L6238">
        <v>140.16659999999999</v>
      </c>
      <c r="M6238">
        <v>-0.9998766</v>
      </c>
      <c r="N6238">
        <v>0</v>
      </c>
      <c r="O6238">
        <v>-5.4655959999999996E-3</v>
      </c>
      <c r="P6238">
        <v>-0.99931879999999995</v>
      </c>
      <c r="Q6238">
        <v>-1.7536960000000001E-2</v>
      </c>
      <c r="R6238">
        <v>3.24727E-2</v>
      </c>
      <c r="S6238">
        <v>-3.0100099999999999</v>
      </c>
      <c r="T6238">
        <v>6.8448190000000006E-2</v>
      </c>
      <c r="U6238">
        <v>-0.21841430000000001</v>
      </c>
      <c r="V6238">
        <v>3.7929789999999998E-2</v>
      </c>
      <c r="W6238">
        <v>-2.886156E-3</v>
      </c>
      <c r="X6238">
        <v>0.99927619999999895</v>
      </c>
      <c r="Y6238">
        <v>-6.690364E-2</v>
      </c>
      <c r="Z6238">
        <v>6.3548779999999996E-4</v>
      </c>
      <c r="AA6238">
        <v>0.99775919999999896</v>
      </c>
      <c r="AB6238">
        <v>36</v>
      </c>
      <c r="AC6238">
        <v>-3.0100099999999999</v>
      </c>
      <c r="AD6238">
        <v>6.8448190000000006E-2</v>
      </c>
      <c r="AE6238">
        <v>-0.21841430000000001</v>
      </c>
      <c r="AF6238">
        <v>-0.20185391859684401</v>
      </c>
      <c r="AG6238">
        <v>6.8448190000000006E-2</v>
      </c>
      <c r="AH6238">
        <v>3.0096107585440901</v>
      </c>
      <c r="AI6238">
        <v>88.700054553445</v>
      </c>
      <c r="AJ6238">
        <v>93.837068468948303</v>
      </c>
      <c r="AK6238">
        <v>3.0171488324428899</v>
      </c>
      <c r="AL6238">
        <v>90.165364793782501</v>
      </c>
      <c r="AM6238">
        <v>87.826252545679907</v>
      </c>
      <c r="AN6238">
        <v>0.99999996137616898</v>
      </c>
    </row>
    <row r="6239" spans="1:40" x14ac:dyDescent="0.25">
      <c r="A6239" t="str">
        <f>"20190312154047040"</f>
        <v>20190312154047040</v>
      </c>
      <c r="B6239" t="str">
        <f>"1552376447033036"</f>
        <v>1552376447033036</v>
      </c>
      <c r="C6239" t="s">
        <v>40</v>
      </c>
      <c r="D6239">
        <v>3.95112</v>
      </c>
      <c r="E6239">
        <v>0.4598971</v>
      </c>
      <c r="F6239" t="s">
        <v>50</v>
      </c>
      <c r="G6239">
        <v>0</v>
      </c>
      <c r="H6239">
        <v>0</v>
      </c>
      <c r="I6239">
        <v>0</v>
      </c>
      <c r="J6239">
        <v>-311.51319999999998</v>
      </c>
      <c r="K6239">
        <v>1.1092360000000001</v>
      </c>
      <c r="L6239">
        <v>140.16550000000001</v>
      </c>
      <c r="M6239">
        <v>-0.99988030000000006</v>
      </c>
      <c r="N6239">
        <v>0</v>
      </c>
      <c r="O6239">
        <v>-4.7650330000000001E-3</v>
      </c>
      <c r="P6239">
        <v>-0.99927509999999997</v>
      </c>
      <c r="Q6239">
        <v>-1.8320659999999999E-2</v>
      </c>
      <c r="R6239">
        <v>3.33718E-2</v>
      </c>
      <c r="S6239">
        <v>-3.010284</v>
      </c>
      <c r="T6239">
        <v>6.786346E-2</v>
      </c>
      <c r="U6239">
        <v>-0.2179413</v>
      </c>
      <c r="V6239">
        <v>3.8127149999999999E-2</v>
      </c>
      <c r="W6239">
        <v>-3.6741479999999999E-3</v>
      </c>
      <c r="X6239">
        <v>0.99926610000000005</v>
      </c>
      <c r="Y6239">
        <v>-6.7440139999999996E-2</v>
      </c>
      <c r="Z6239">
        <v>6.5181609999999997E-4</v>
      </c>
      <c r="AA6239">
        <v>0.99772309999999997</v>
      </c>
      <c r="AB6239">
        <v>36</v>
      </c>
      <c r="AC6239">
        <v>-3.010284</v>
      </c>
      <c r="AD6239">
        <v>6.786346E-2</v>
      </c>
      <c r="AE6239">
        <v>-0.2179413</v>
      </c>
      <c r="AF6239">
        <v>-0.203490288477155</v>
      </c>
      <c r="AG6239">
        <v>6.786346E-2</v>
      </c>
      <c r="AH6239">
        <v>3.0097667609802001</v>
      </c>
      <c r="AI6239">
        <v>88.711269226304097</v>
      </c>
      <c r="AJ6239">
        <v>93.867880513029206</v>
      </c>
      <c r="AK6239">
        <v>3.0174011503624998</v>
      </c>
      <c r="AL6239">
        <v>90.210513656021106</v>
      </c>
      <c r="AM6239">
        <v>87.814930761248206</v>
      </c>
      <c r="AN6239">
        <v>0.99999995876992798</v>
      </c>
    </row>
    <row r="6240" spans="1:40" x14ac:dyDescent="0.25">
      <c r="A6240" t="str">
        <f>"20190312154047110"</f>
        <v>20190312154047110</v>
      </c>
      <c r="B6240" t="str">
        <f>"1552376447102332"</f>
        <v>1552376447102332</v>
      </c>
      <c r="C6240" t="s">
        <v>40</v>
      </c>
      <c r="D6240">
        <v>2.4169</v>
      </c>
      <c r="E6240">
        <v>0.46078599999999997</v>
      </c>
      <c r="F6240" t="s">
        <v>50</v>
      </c>
      <c r="G6240">
        <v>0</v>
      </c>
      <c r="H6240">
        <v>0</v>
      </c>
      <c r="I6240">
        <v>0</v>
      </c>
      <c r="J6240">
        <v>-312.59449999999998</v>
      </c>
      <c r="K6240">
        <v>1.109259</v>
      </c>
      <c r="L6240">
        <v>140.1634</v>
      </c>
      <c r="M6240">
        <v>-0.99988840000000001</v>
      </c>
      <c r="N6240">
        <v>0</v>
      </c>
      <c r="O6240">
        <v>-2.5953619999999999E-3</v>
      </c>
      <c r="P6240">
        <v>-0.99920059999999999</v>
      </c>
      <c r="Q6240">
        <v>-1.851823E-2</v>
      </c>
      <c r="R6240">
        <v>3.5428359999999999E-2</v>
      </c>
      <c r="S6240">
        <v>-3.0104980000000001</v>
      </c>
      <c r="T6240">
        <v>6.5562010000000004E-2</v>
      </c>
      <c r="U6240">
        <v>-0.214035</v>
      </c>
      <c r="V6240">
        <v>3.8015350000000003E-2</v>
      </c>
      <c r="W6240">
        <v>-3.8819850000000001E-3</v>
      </c>
      <c r="X6240">
        <v>0.99926959999999998</v>
      </c>
      <c r="Y6240">
        <v>-6.8312360000000003E-2</v>
      </c>
      <c r="Z6240">
        <v>6.8637289999999996E-4</v>
      </c>
      <c r="AA6240">
        <v>0.99766370000000004</v>
      </c>
      <c r="AB6240">
        <v>35</v>
      </c>
      <c r="AC6240">
        <v>-3.0104980000000001</v>
      </c>
      <c r="AD6240">
        <v>6.5562010000000004E-2</v>
      </c>
      <c r="AE6240">
        <v>-0.214035</v>
      </c>
      <c r="AF6240">
        <v>-0.206122834415329</v>
      </c>
      <c r="AG6240">
        <v>6.5562010000000004E-2</v>
      </c>
      <c r="AH6240">
        <v>3.0096232145023598</v>
      </c>
      <c r="AI6240">
        <v>88.754974540537603</v>
      </c>
      <c r="AJ6240">
        <v>93.917950576105994</v>
      </c>
      <c r="AK6240">
        <v>3.0173857713746499</v>
      </c>
      <c r="AL6240">
        <v>90.222421918600205</v>
      </c>
      <c r="AM6240">
        <v>87.821339466033606</v>
      </c>
      <c r="AN6240">
        <v>0.99999998506366095</v>
      </c>
    </row>
    <row r="6241" spans="1:40" x14ac:dyDescent="0.25">
      <c r="A6241" t="str">
        <f>"20190312154047131"</f>
        <v>20190312154047131</v>
      </c>
      <c r="B6241" t="str">
        <f>"1552376447122828"</f>
        <v>1552376447122828</v>
      </c>
      <c r="C6241" t="s">
        <v>40</v>
      </c>
      <c r="D6241">
        <v>3.5933389999999998</v>
      </c>
      <c r="E6241">
        <v>0.48468709999999998</v>
      </c>
      <c r="F6241" t="s">
        <v>41</v>
      </c>
      <c r="G6241">
        <v>-313.42140000000001</v>
      </c>
      <c r="H6241">
        <v>0.98029469999999996</v>
      </c>
      <c r="I6241">
        <v>140.1011</v>
      </c>
      <c r="J6241">
        <v>-312.94049999999999</v>
      </c>
      <c r="K6241">
        <v>1.109275</v>
      </c>
      <c r="L6241">
        <v>140.16309999999999</v>
      </c>
      <c r="M6241">
        <v>-0.99988999999999995</v>
      </c>
      <c r="N6241">
        <v>0</v>
      </c>
      <c r="O6241">
        <v>-1.9252519999999999E-3</v>
      </c>
      <c r="P6241">
        <v>-0.99916300000000002</v>
      </c>
      <c r="Q6241">
        <v>-1.8640980000000001E-2</v>
      </c>
      <c r="R6241">
        <v>3.6414420000000003E-2</v>
      </c>
      <c r="S6241">
        <v>-3.0017399999999999</v>
      </c>
      <c r="T6241">
        <v>-0.46824320000000003</v>
      </c>
      <c r="U6241">
        <v>-0.22685240000000001</v>
      </c>
      <c r="V6241">
        <v>3.833172E-2</v>
      </c>
      <c r="W6241">
        <v>-4.008228E-3</v>
      </c>
      <c r="X6241">
        <v>0.99925699999999995</v>
      </c>
      <c r="Y6241">
        <v>-7.2588940000000005E-2</v>
      </c>
      <c r="Z6241">
        <v>-5.3215729999999996E-3</v>
      </c>
      <c r="AA6241">
        <v>0.99734780000000001</v>
      </c>
      <c r="AB6241">
        <v>35</v>
      </c>
      <c r="AC6241">
        <v>-0.48090000000001898</v>
      </c>
      <c r="AD6241">
        <v>-0.12898029999999999</v>
      </c>
      <c r="AE6241">
        <v>-6.1999999999983402E-2</v>
      </c>
      <c r="AF6241">
        <v>-5.7038013956520701E-2</v>
      </c>
      <c r="AG6241">
        <v>-0.12898029999999999</v>
      </c>
      <c r="AH6241">
        <v>0.449231589004362</v>
      </c>
      <c r="AI6241">
        <v>105.89835812354499</v>
      </c>
      <c r="AJ6241">
        <v>97.236009863016207</v>
      </c>
      <c r="AK6241">
        <v>0.47084846116726198</v>
      </c>
      <c r="AL6241">
        <v>90.229655169703804</v>
      </c>
      <c r="AM6241">
        <v>87.803198312136104</v>
      </c>
      <c r="AN6241">
        <v>0.99999996934942803</v>
      </c>
    </row>
    <row r="6242" spans="1:40" x14ac:dyDescent="0.25">
      <c r="A6242" t="str">
        <f>"20190312154047153"</f>
        <v>20190312154047153</v>
      </c>
      <c r="B6242" t="str">
        <f>"1552376447142348"</f>
        <v>1552376447142348</v>
      </c>
      <c r="C6242" t="s">
        <v>40</v>
      </c>
      <c r="D6242">
        <v>3.9063490000000001</v>
      </c>
      <c r="E6242">
        <v>0.49157780000000001</v>
      </c>
      <c r="F6242" t="s">
        <v>41</v>
      </c>
      <c r="G6242">
        <v>-313.73149999999998</v>
      </c>
      <c r="H6242">
        <v>0.97196170000000004</v>
      </c>
      <c r="I6242">
        <v>140.15369999999999</v>
      </c>
      <c r="J6242">
        <v>-313.27999999999997</v>
      </c>
      <c r="K6242">
        <v>1.109286</v>
      </c>
      <c r="L6242">
        <v>140.16309999999999</v>
      </c>
      <c r="M6242">
        <v>-0.99989119999999998</v>
      </c>
      <c r="N6242">
        <v>0</v>
      </c>
      <c r="O6242">
        <v>-1.2865509999999999E-3</v>
      </c>
      <c r="P6242">
        <v>-0.99913730000000001</v>
      </c>
      <c r="Q6242">
        <v>-1.8299550000000001E-2</v>
      </c>
      <c r="R6242">
        <v>3.7285249999999999E-2</v>
      </c>
      <c r="S6242">
        <v>-2.9941409999999999</v>
      </c>
      <c r="T6242">
        <v>-0.51975229999999994</v>
      </c>
      <c r="U6242">
        <v>-3.5964969999999999E-2</v>
      </c>
      <c r="V6242">
        <v>3.8564929999999997E-2</v>
      </c>
      <c r="W6242">
        <v>-3.669612E-3</v>
      </c>
      <c r="X6242">
        <v>0.99924930000000001</v>
      </c>
      <c r="Y6242">
        <v>-1.0585270000000001E-2</v>
      </c>
      <c r="Z6242">
        <v>-6.9020609999999999E-4</v>
      </c>
      <c r="AA6242">
        <v>0.99994369999999999</v>
      </c>
      <c r="AB6242">
        <v>35</v>
      </c>
      <c r="AC6242">
        <v>-0.45150000000001</v>
      </c>
      <c r="AD6242">
        <v>-0.13732429999999901</v>
      </c>
      <c r="AE6242">
        <v>-9.3999999999994002E-3</v>
      </c>
      <c r="AF6242">
        <v>-8.0725956164931102E-3</v>
      </c>
      <c r="AG6242">
        <v>-0.13732429999999901</v>
      </c>
      <c r="AH6242">
        <v>0.41329517706706498</v>
      </c>
      <c r="AI6242">
        <v>108.376668855844</v>
      </c>
      <c r="AJ6242">
        <v>91.118974714205294</v>
      </c>
      <c r="AK6242">
        <v>0.43558699883877899</v>
      </c>
      <c r="AL6242">
        <v>90.210253764188494</v>
      </c>
      <c r="AM6242">
        <v>87.789829181512701</v>
      </c>
      <c r="AN6242">
        <v>0.99999994171431095</v>
      </c>
    </row>
    <row r="6243" spans="1:40" x14ac:dyDescent="0.25">
      <c r="A6243" t="str">
        <f>"20190312154047174"</f>
        <v>20190312154047174</v>
      </c>
      <c r="B6243" t="str">
        <f>"1552376447162843"</f>
        <v>1552376447162843</v>
      </c>
      <c r="C6243" t="s">
        <v>40</v>
      </c>
      <c r="D6243">
        <v>4.0459149999999999</v>
      </c>
      <c r="E6243">
        <v>0.50467529999999905</v>
      </c>
      <c r="F6243" t="s">
        <v>41</v>
      </c>
      <c r="G6243">
        <v>-314.06139999999999</v>
      </c>
      <c r="H6243">
        <v>1.0029220000000001</v>
      </c>
      <c r="I6243">
        <v>140.1705</v>
      </c>
      <c r="J6243">
        <v>-313.6241</v>
      </c>
      <c r="K6243">
        <v>1.1093120000000001</v>
      </c>
      <c r="L6243">
        <v>140.16329999999999</v>
      </c>
      <c r="M6243">
        <v>-0.9998918</v>
      </c>
      <c r="N6243">
        <v>0</v>
      </c>
      <c r="O6243">
        <v>-6.6185619999999904E-4</v>
      </c>
      <c r="P6243">
        <v>-0.99910869999999996</v>
      </c>
      <c r="Q6243">
        <v>-1.8132789999999999E-2</v>
      </c>
      <c r="R6243">
        <v>3.812186E-2</v>
      </c>
      <c r="S6243">
        <v>-2.99411</v>
      </c>
      <c r="T6243">
        <v>-0.40760930000000001</v>
      </c>
      <c r="U6243">
        <v>2.7069090000000001E-2</v>
      </c>
      <c r="V6243">
        <v>3.8777720000000002E-2</v>
      </c>
      <c r="W6243">
        <v>-3.5053850000000002E-3</v>
      </c>
      <c r="X6243">
        <v>0.99924170000000001</v>
      </c>
      <c r="Y6243">
        <v>9.6075899999999992E-3</v>
      </c>
      <c r="Z6243">
        <v>7.4065630000000001E-4</v>
      </c>
      <c r="AA6243">
        <v>0.9999536</v>
      </c>
      <c r="AB6243">
        <v>35</v>
      </c>
      <c r="AC6243">
        <v>-0.43729999999999303</v>
      </c>
      <c r="AD6243">
        <v>-0.10639</v>
      </c>
      <c r="AE6243">
        <v>7.2000000000116398E-3</v>
      </c>
      <c r="AF6243">
        <v>7.0710432429882796E-3</v>
      </c>
      <c r="AG6243">
        <v>-0.10639</v>
      </c>
      <c r="AH6243">
        <v>0.412864623444615</v>
      </c>
      <c r="AI6243">
        <v>104.448002607166</v>
      </c>
      <c r="AJ6243">
        <v>89.018803487498005</v>
      </c>
      <c r="AK6243">
        <v>0.42641063430056197</v>
      </c>
      <c r="AL6243">
        <v>90.200844179969195</v>
      </c>
      <c r="AM6243">
        <v>87.777629414027501</v>
      </c>
      <c r="AN6243">
        <v>0.99999998715564298</v>
      </c>
    </row>
    <row r="6244" spans="1:40" x14ac:dyDescent="0.25">
      <c r="A6244" t="str">
        <f>"20190312154047209"</f>
        <v>20190312154047209</v>
      </c>
      <c r="B6244" t="str">
        <f>"1552376447202863"</f>
        <v>1552376447202863</v>
      </c>
      <c r="C6244" t="s">
        <v>40</v>
      </c>
      <c r="D6244">
        <v>3.9219089999999999</v>
      </c>
      <c r="E6244">
        <v>0.50495540000000005</v>
      </c>
      <c r="F6244" t="s">
        <v>82</v>
      </c>
      <c r="G6244">
        <v>-511.06240000000003</v>
      </c>
      <c r="H6244">
        <v>11.21491</v>
      </c>
      <c r="I6244">
        <v>150.83179999999999</v>
      </c>
      <c r="J6244">
        <v>-314.16269999999997</v>
      </c>
      <c r="K6244">
        <v>1.1093519999999999</v>
      </c>
      <c r="L6244">
        <v>140.16399999999999</v>
      </c>
      <c r="M6244">
        <v>-0.99989209999999995</v>
      </c>
      <c r="N6244">
        <v>0</v>
      </c>
      <c r="O6244">
        <v>2.6119860000000002E-4</v>
      </c>
      <c r="P6244">
        <v>-0.99906899999999998</v>
      </c>
      <c r="Q6244">
        <v>-1.780491E-2</v>
      </c>
      <c r="R6244">
        <v>3.929436E-2</v>
      </c>
      <c r="S6244">
        <v>-2.9992679999999998</v>
      </c>
      <c r="T6244">
        <v>0.15351380000000001</v>
      </c>
      <c r="U6244">
        <v>0.1620636</v>
      </c>
      <c r="V6244">
        <v>3.90287E-2</v>
      </c>
      <c r="W6244">
        <v>-3.180834E-3</v>
      </c>
      <c r="X6244">
        <v>0.99923300000000004</v>
      </c>
      <c r="Y6244">
        <v>5.3625180000000001E-2</v>
      </c>
      <c r="Z6244">
        <v>-1.3571220000000001E-3</v>
      </c>
      <c r="AA6244">
        <v>0.99856020000000001</v>
      </c>
      <c r="AB6244">
        <v>35</v>
      </c>
      <c r="AC6244">
        <v>-196.8997</v>
      </c>
      <c r="AD6244">
        <v>10.105558</v>
      </c>
      <c r="AE6244">
        <v>10.6678</v>
      </c>
      <c r="AF6244">
        <v>10.5885545946298</v>
      </c>
      <c r="AG6244">
        <v>10.105558</v>
      </c>
      <c r="AH6244">
        <v>196.386693925418</v>
      </c>
      <c r="AI6244">
        <v>87.058568328328406</v>
      </c>
      <c r="AJ6244">
        <v>86.913779531396102</v>
      </c>
      <c r="AK6244">
        <v>196.93139247425901</v>
      </c>
      <c r="AL6244">
        <v>90.182248675829399</v>
      </c>
      <c r="AM6244">
        <v>87.7632407321328</v>
      </c>
      <c r="AN6244">
        <v>0.99999997270881202</v>
      </c>
    </row>
    <row r="6245" spans="1:40" x14ac:dyDescent="0.25">
      <c r="A6245" t="str">
        <f>"20190312154047232"</f>
        <v>20190312154047232</v>
      </c>
      <c r="B6245" t="str">
        <f>"1552376447222380"</f>
        <v>1552376447222380</v>
      </c>
      <c r="C6245" t="s">
        <v>40</v>
      </c>
      <c r="D6245">
        <v>4.1486539999999996</v>
      </c>
      <c r="E6245">
        <v>0.50659480000000001</v>
      </c>
      <c r="F6245" t="s">
        <v>82</v>
      </c>
      <c r="G6245">
        <v>-511.06139999999999</v>
      </c>
      <c r="H6245">
        <v>8.33705099999999</v>
      </c>
      <c r="I6245">
        <v>151.0395</v>
      </c>
      <c r="J6245">
        <v>-314.51620000000003</v>
      </c>
      <c r="K6245">
        <v>1.10938</v>
      </c>
      <c r="L6245">
        <v>140.16470000000001</v>
      </c>
      <c r="M6245">
        <v>-0.9998918</v>
      </c>
      <c r="N6245">
        <v>0</v>
      </c>
      <c r="O6245">
        <v>8.3300869999999904E-4</v>
      </c>
      <c r="P6245">
        <v>-0.99904020000000004</v>
      </c>
      <c r="Q6245">
        <v>-1.773168E-2</v>
      </c>
      <c r="R6245">
        <v>4.0056559999999998E-2</v>
      </c>
      <c r="S6245">
        <v>-2.99823</v>
      </c>
      <c r="T6245">
        <v>0.1100587</v>
      </c>
      <c r="U6245">
        <v>0.16560359999999999</v>
      </c>
      <c r="V6245">
        <v>3.9219990000000003E-2</v>
      </c>
      <c r="W6245">
        <v>-3.1097609999999999E-3</v>
      </c>
      <c r="X6245">
        <v>0.99922569999999999</v>
      </c>
      <c r="Y6245">
        <v>5.4282009999999999E-2</v>
      </c>
      <c r="Z6245">
        <v>-9.6464800000000002E-4</v>
      </c>
      <c r="AA6245">
        <v>0.9985252</v>
      </c>
      <c r="AB6245">
        <v>35</v>
      </c>
      <c r="AC6245">
        <v>-196.54519999999999</v>
      </c>
      <c r="AD6245">
        <v>7.2276709999999902</v>
      </c>
      <c r="AE6245">
        <v>10.874799999999899</v>
      </c>
      <c r="AF6245">
        <v>10.6966338338101</v>
      </c>
      <c r="AG6245">
        <v>7.2276709999999902</v>
      </c>
      <c r="AH6245">
        <v>196.28956006195801</v>
      </c>
      <c r="AI6245">
        <v>87.894358948410897</v>
      </c>
      <c r="AJ6245">
        <v>86.880800038804097</v>
      </c>
      <c r="AK6245">
        <v>196.713620760678</v>
      </c>
      <c r="AL6245">
        <v>90.178176478663701</v>
      </c>
      <c r="AM6245">
        <v>87.752272595204204</v>
      </c>
      <c r="AN6245">
        <v>0.999999938884781</v>
      </c>
    </row>
    <row r="6246" spans="1:40" x14ac:dyDescent="0.25">
      <c r="A6246" t="str">
        <f>"20190312154047253"</f>
        <v>20190312154047253</v>
      </c>
      <c r="B6246" t="str">
        <f>"1552376447242876"</f>
        <v>1552376447242876</v>
      </c>
      <c r="C6246" t="s">
        <v>40</v>
      </c>
      <c r="D6246">
        <v>3.9290229999999999</v>
      </c>
      <c r="E6246">
        <v>0.50647439999999999</v>
      </c>
      <c r="F6246" t="s">
        <v>82</v>
      </c>
      <c r="G6246">
        <v>-511.06119999999999</v>
      </c>
      <c r="H6246">
        <v>7.8349179999999903</v>
      </c>
      <c r="I6246">
        <v>152.00290000000001</v>
      </c>
      <c r="J6246">
        <v>-314.8571</v>
      </c>
      <c r="K6246">
        <v>1.1093949999999999</v>
      </c>
      <c r="L6246">
        <v>140.16550000000001</v>
      </c>
      <c r="M6246">
        <v>-0.99989130000000004</v>
      </c>
      <c r="N6246">
        <v>0</v>
      </c>
      <c r="O6246">
        <v>1.358099E-3</v>
      </c>
      <c r="P6246">
        <v>-0.99899800000000005</v>
      </c>
      <c r="Q6246">
        <v>-1.767852E-2</v>
      </c>
      <c r="R6246">
        <v>4.111563E-2</v>
      </c>
      <c r="S6246">
        <v>-2.9974669999999999</v>
      </c>
      <c r="T6246">
        <v>0.1025703</v>
      </c>
      <c r="U6246">
        <v>0.18054200000000001</v>
      </c>
      <c r="V6246">
        <v>3.9754419999999999E-2</v>
      </c>
      <c r="W6246">
        <v>-3.059305E-3</v>
      </c>
      <c r="X6246">
        <v>0.9992048</v>
      </c>
      <c r="Y6246">
        <v>5.8733260000000002E-2</v>
      </c>
      <c r="Z6246">
        <v>-9.5727210000000004E-4</v>
      </c>
      <c r="AA6246">
        <v>0.99827330000000003</v>
      </c>
      <c r="AB6246">
        <v>35</v>
      </c>
      <c r="AC6246">
        <v>-196.20410000000001</v>
      </c>
      <c r="AD6246">
        <v>6.7255229999999901</v>
      </c>
      <c r="AE6246">
        <v>11.837400000000001</v>
      </c>
      <c r="AF6246">
        <v>11.557365173065699</v>
      </c>
      <c r="AG6246">
        <v>6.7255229999999901</v>
      </c>
      <c r="AH6246">
        <v>195.99054442782901</v>
      </c>
      <c r="AI6246">
        <v>88.038040680840993</v>
      </c>
      <c r="AJ6246">
        <v>86.625233659197505</v>
      </c>
      <c r="AK6246">
        <v>196.44617291890401</v>
      </c>
      <c r="AL6246">
        <v>90.175285537679599</v>
      </c>
      <c r="AM6246">
        <v>87.721628461226601</v>
      </c>
      <c r="AN6246">
        <v>1.0000000027998199</v>
      </c>
    </row>
    <row r="6247" spans="1:40" x14ac:dyDescent="0.25">
      <c r="A6247" t="str">
        <f>"20190312154047276"</f>
        <v>20190312154047276</v>
      </c>
      <c r="B6247" t="str">
        <f>"1552376447262396"</f>
        <v>1552376447262396</v>
      </c>
      <c r="C6247" t="s">
        <v>40</v>
      </c>
      <c r="D6247">
        <v>4.0100930000000004</v>
      </c>
      <c r="E6247">
        <v>0.50518099999999999</v>
      </c>
      <c r="F6247" t="s">
        <v>82</v>
      </c>
      <c r="G6247">
        <v>-511.06130000000002</v>
      </c>
      <c r="H6247">
        <v>8.0301899999999993</v>
      </c>
      <c r="I6247">
        <v>152.13849999999999</v>
      </c>
      <c r="J6247">
        <v>-315.2029</v>
      </c>
      <c r="K6247">
        <v>1.109416</v>
      </c>
      <c r="L6247">
        <v>140.16650000000001</v>
      </c>
      <c r="M6247">
        <v>-0.99989059999999996</v>
      </c>
      <c r="N6247">
        <v>0</v>
      </c>
      <c r="O6247">
        <v>1.859667E-3</v>
      </c>
      <c r="P6247">
        <v>-0.99895029999999996</v>
      </c>
      <c r="Q6247">
        <v>-1.7979149999999999E-2</v>
      </c>
      <c r="R6247">
        <v>4.2133160000000003E-2</v>
      </c>
      <c r="S6247">
        <v>-2.9973450000000001</v>
      </c>
      <c r="T6247">
        <v>0.10572719999999999</v>
      </c>
      <c r="U6247">
        <v>0.18290709999999999</v>
      </c>
      <c r="V6247">
        <v>4.0270880000000002E-2</v>
      </c>
      <c r="W6247">
        <v>-3.3624520000000001E-3</v>
      </c>
      <c r="X6247">
        <v>0.99918309999999999</v>
      </c>
      <c r="Y6247">
        <v>5.9017800000000002E-2</v>
      </c>
      <c r="Z6247">
        <v>-9.7407419999999997E-4</v>
      </c>
      <c r="AA6247">
        <v>0.99825640000000004</v>
      </c>
      <c r="AB6247">
        <v>35</v>
      </c>
      <c r="AC6247">
        <v>-195.85839999999999</v>
      </c>
      <c r="AD6247">
        <v>6.9207739999999998</v>
      </c>
      <c r="AE6247">
        <v>11.9719999999999</v>
      </c>
      <c r="AF6247">
        <v>11.5932871218853</v>
      </c>
      <c r="AG6247">
        <v>6.9207739999999998</v>
      </c>
      <c r="AH6247">
        <v>195.63696366624799</v>
      </c>
      <c r="AI6247">
        <v>87.977517630501694</v>
      </c>
      <c r="AJ6247">
        <v>86.608664791120901</v>
      </c>
      <c r="AK6247">
        <v>196.102327807699</v>
      </c>
      <c r="AL6247">
        <v>90.192654679422105</v>
      </c>
      <c r="AM6247">
        <v>87.692011277794407</v>
      </c>
      <c r="AN6247">
        <v>0.999999958592517</v>
      </c>
    </row>
    <row r="6248" spans="1:40" x14ac:dyDescent="0.25">
      <c r="A6248" t="str">
        <f>"20190312154047299"</f>
        <v>20190312154047299</v>
      </c>
      <c r="B6248" t="str">
        <f>"1552376447292653"</f>
        <v>1552376447292653</v>
      </c>
      <c r="C6248" t="s">
        <v>40</v>
      </c>
      <c r="D6248">
        <v>4.0267470000000003</v>
      </c>
      <c r="E6248">
        <v>0.50408540000000002</v>
      </c>
      <c r="F6248" t="s">
        <v>82</v>
      </c>
      <c r="G6248">
        <v>-510.17610000000002</v>
      </c>
      <c r="H6248">
        <v>7.206645</v>
      </c>
      <c r="I6248">
        <v>151.5608</v>
      </c>
      <c r="J6248">
        <v>-315.56760000000003</v>
      </c>
      <c r="K6248">
        <v>1.1094459999999999</v>
      </c>
      <c r="L6248">
        <v>140.1677</v>
      </c>
      <c r="M6248">
        <v>-0.99988949999999999</v>
      </c>
      <c r="N6248">
        <v>0</v>
      </c>
      <c r="O6248">
        <v>2.3547960000000001E-3</v>
      </c>
      <c r="P6248">
        <v>-0.99891249999999998</v>
      </c>
      <c r="Q6248">
        <v>-1.831673E-2</v>
      </c>
      <c r="R6248">
        <v>4.2876820000000003E-2</v>
      </c>
      <c r="S6248">
        <v>-2.9974370000000001</v>
      </c>
      <c r="T6248">
        <v>9.3736769999999997E-2</v>
      </c>
      <c r="U6248">
        <v>0.17517089999999999</v>
      </c>
      <c r="V6248">
        <v>4.0519630000000001E-2</v>
      </c>
      <c r="W6248">
        <v>-3.7018609999999999E-3</v>
      </c>
      <c r="X6248">
        <v>0.9991719</v>
      </c>
      <c r="Y6248">
        <v>5.596338E-2</v>
      </c>
      <c r="Z6248">
        <v>-8.0052729999999998E-4</v>
      </c>
      <c r="AA6248">
        <v>0.99843249999999995</v>
      </c>
      <c r="AB6248">
        <v>35</v>
      </c>
      <c r="AC6248">
        <v>-194.60849999999999</v>
      </c>
      <c r="AD6248">
        <v>6.0971989999999998</v>
      </c>
      <c r="AE6248">
        <v>11.3931</v>
      </c>
      <c r="AF6248">
        <v>10.9240692118327</v>
      </c>
      <c r="AG6248">
        <v>6.0971989999999998</v>
      </c>
      <c r="AH6248">
        <v>194.44457565180301</v>
      </c>
      <c r="AI6248">
        <v>88.206790481706307</v>
      </c>
      <c r="AJ6248">
        <v>86.784452371038199</v>
      </c>
      <c r="AK6248">
        <v>194.84661691751401</v>
      </c>
      <c r="AL6248">
        <v>90.212101492902605</v>
      </c>
      <c r="AM6248">
        <v>87.677744574099805</v>
      </c>
      <c r="AN6248">
        <v>1.0000000149699</v>
      </c>
    </row>
    <row r="6249" spans="1:40" x14ac:dyDescent="0.25">
      <c r="A6249" t="str">
        <f>"20190312154047321"</f>
        <v>20190312154047321</v>
      </c>
      <c r="B6249" t="str">
        <f>"1552376447312172"</f>
        <v>1552376447312172</v>
      </c>
      <c r="C6249" t="s">
        <v>40</v>
      </c>
      <c r="D6249">
        <v>4.0460129999999896</v>
      </c>
      <c r="E6249">
        <v>0.50345609999999996</v>
      </c>
      <c r="F6249" t="s">
        <v>82</v>
      </c>
      <c r="G6249">
        <v>-510.17579999999998</v>
      </c>
      <c r="H6249">
        <v>6.2384769999999996</v>
      </c>
      <c r="I6249">
        <v>151.0669</v>
      </c>
      <c r="J6249">
        <v>-315.92239999999998</v>
      </c>
      <c r="K6249">
        <v>1.1094839999999999</v>
      </c>
      <c r="L6249">
        <v>140.16899999999899</v>
      </c>
      <c r="M6249">
        <v>-0.99988849999999996</v>
      </c>
      <c r="N6249">
        <v>0</v>
      </c>
      <c r="O6249">
        <v>2.8036720000000001E-3</v>
      </c>
      <c r="P6249">
        <v>-0.99888600000000005</v>
      </c>
      <c r="Q6249">
        <v>-1.847532E-2</v>
      </c>
      <c r="R6249">
        <v>4.3425279999999997E-2</v>
      </c>
      <c r="S6249">
        <v>-2.9974980000000002</v>
      </c>
      <c r="T6249">
        <v>7.9001669999999996E-2</v>
      </c>
      <c r="U6249">
        <v>0.1678772</v>
      </c>
      <c r="V6249">
        <v>4.0619750000000003E-2</v>
      </c>
      <c r="W6249">
        <v>-3.8618580000000001E-3</v>
      </c>
      <c r="X6249">
        <v>0.99916719999999903</v>
      </c>
      <c r="Y6249">
        <v>5.3100939999999999E-2</v>
      </c>
      <c r="Z6249">
        <v>-6.252629E-4</v>
      </c>
      <c r="AA6249">
        <v>0.99858899999999995</v>
      </c>
      <c r="AB6249">
        <v>35</v>
      </c>
      <c r="AC6249">
        <v>-194.2534</v>
      </c>
      <c r="AD6249">
        <v>5.1289930000000004</v>
      </c>
      <c r="AE6249">
        <v>10.8979</v>
      </c>
      <c r="AF6249">
        <v>10.345985663315</v>
      </c>
      <c r="AG6249">
        <v>5.1289930000000004</v>
      </c>
      <c r="AH6249">
        <v>194.14826775895401</v>
      </c>
      <c r="AI6249">
        <v>88.488859874003793</v>
      </c>
      <c r="AJ6249">
        <v>86.949644919102397</v>
      </c>
      <c r="AK6249">
        <v>194.49137734702299</v>
      </c>
      <c r="AL6249">
        <v>90.221268717622294</v>
      </c>
      <c r="AM6249">
        <v>87.672001877297603</v>
      </c>
      <c r="AN6249">
        <v>0.99999998579655702</v>
      </c>
    </row>
    <row r="6250" spans="1:40" x14ac:dyDescent="0.25">
      <c r="A6250" t="str">
        <f>"20190312154047342"</f>
        <v>20190312154047342</v>
      </c>
      <c r="B6250" t="str">
        <f>"1552376447332668"</f>
        <v>1552376447332668</v>
      </c>
      <c r="C6250" t="s">
        <v>40</v>
      </c>
      <c r="D6250">
        <v>4.0223589999999998</v>
      </c>
      <c r="E6250">
        <v>0.50282939999999998</v>
      </c>
      <c r="F6250" t="s">
        <v>82</v>
      </c>
      <c r="G6250">
        <v>-510.17559999999997</v>
      </c>
      <c r="H6250">
        <v>5.6672379999999896</v>
      </c>
      <c r="I6250">
        <v>150.80000000000001</v>
      </c>
      <c r="J6250">
        <v>-316.25389999999999</v>
      </c>
      <c r="K6250">
        <v>1.1095060000000001</v>
      </c>
      <c r="L6250">
        <v>140.1703</v>
      </c>
      <c r="M6250">
        <v>-0.99988719999999998</v>
      </c>
      <c r="N6250">
        <v>0</v>
      </c>
      <c r="O6250">
        <v>3.2012360000000001E-3</v>
      </c>
      <c r="P6250">
        <v>-0.99888160000000004</v>
      </c>
      <c r="Q6250">
        <v>-1.868121E-2</v>
      </c>
      <c r="R6250">
        <v>4.3431350000000001E-2</v>
      </c>
      <c r="S6250">
        <v>-2.997528</v>
      </c>
      <c r="T6250">
        <v>7.0331450000000004E-2</v>
      </c>
      <c r="U6250">
        <v>0.1640472</v>
      </c>
      <c r="V6250">
        <v>4.0228510000000002E-2</v>
      </c>
      <c r="W6250">
        <v>-4.068431E-3</v>
      </c>
      <c r="X6250">
        <v>0.99918220000000002</v>
      </c>
      <c r="Y6250">
        <v>5.1435429999999997E-2</v>
      </c>
      <c r="Z6250">
        <v>-5.2783379999999996E-4</v>
      </c>
      <c r="AA6250">
        <v>0.99867620000000001</v>
      </c>
      <c r="AB6250">
        <v>35</v>
      </c>
      <c r="AC6250">
        <v>-193.92169999999999</v>
      </c>
      <c r="AD6250">
        <v>4.5577319999999997</v>
      </c>
      <c r="AE6250">
        <v>10.6297</v>
      </c>
      <c r="AF6250">
        <v>10.003280398108499</v>
      </c>
      <c r="AG6250">
        <v>4.5577319999999997</v>
      </c>
      <c r="AH6250">
        <v>193.84797932441799</v>
      </c>
      <c r="AI6250">
        <v>88.654905303755399</v>
      </c>
      <c r="AJ6250">
        <v>87.045943891727404</v>
      </c>
      <c r="AK6250">
        <v>194.159412926252</v>
      </c>
      <c r="AL6250">
        <v>90.233104573974003</v>
      </c>
      <c r="AM6250">
        <v>87.694434874146907</v>
      </c>
      <c r="AN6250">
        <v>0.99999997697222998</v>
      </c>
    </row>
    <row r="6251" spans="1:40" x14ac:dyDescent="0.25">
      <c r="A6251" t="str">
        <f>"20190312154047364"</f>
        <v>20190312154047364</v>
      </c>
      <c r="B6251" t="str">
        <f>"1552376447352191"</f>
        <v>1552376447352191</v>
      </c>
      <c r="C6251" t="s">
        <v>40</v>
      </c>
      <c r="D6251">
        <v>4.0327999999999999</v>
      </c>
      <c r="E6251">
        <v>0.50243379999999904</v>
      </c>
      <c r="F6251" t="s">
        <v>82</v>
      </c>
      <c r="G6251">
        <v>-511.06040000000002</v>
      </c>
      <c r="H6251">
        <v>5.1587329999999998</v>
      </c>
      <c r="I6251">
        <v>150.4794</v>
      </c>
      <c r="J6251">
        <v>-316.59739999999999</v>
      </c>
      <c r="K6251">
        <v>1.109531</v>
      </c>
      <c r="L6251">
        <v>140.17179999999999</v>
      </c>
      <c r="M6251">
        <v>-0.9998861</v>
      </c>
      <c r="N6251">
        <v>0</v>
      </c>
      <c r="O6251">
        <v>3.5912629999999999E-3</v>
      </c>
      <c r="P6251">
        <v>-0.99890129999999999</v>
      </c>
      <c r="Q6251">
        <v>-1.8422640000000001E-2</v>
      </c>
      <c r="R6251">
        <v>4.3096000000000002E-2</v>
      </c>
      <c r="S6251">
        <v>-2.9975890000000001</v>
      </c>
      <c r="T6251">
        <v>6.2308189999999999E-2</v>
      </c>
      <c r="U6251">
        <v>0.15863039999999901</v>
      </c>
      <c r="V6251">
        <v>3.9504190000000002E-2</v>
      </c>
      <c r="W6251">
        <v>-3.8102819999999999E-3</v>
      </c>
      <c r="X6251">
        <v>0.99921210000000005</v>
      </c>
      <c r="Y6251">
        <v>4.9248569999999998E-2</v>
      </c>
      <c r="Z6251">
        <v>-4.3683559999999999E-4</v>
      </c>
      <c r="AA6251">
        <v>0.99878639999999996</v>
      </c>
      <c r="AB6251">
        <v>35</v>
      </c>
      <c r="AC6251">
        <v>-194.46299999999999</v>
      </c>
      <c r="AD6251">
        <v>4.0492019999999904</v>
      </c>
      <c r="AE6251">
        <v>10.307600000000001</v>
      </c>
      <c r="AF6251">
        <v>9.6049378911798193</v>
      </c>
      <c r="AG6251">
        <v>4.0492019999999904</v>
      </c>
      <c r="AH6251">
        <v>194.414709669708</v>
      </c>
      <c r="AI6251">
        <v>88.808288980149001</v>
      </c>
      <c r="AJ6251">
        <v>87.171637278902793</v>
      </c>
      <c r="AK6251">
        <v>194.69393982527299</v>
      </c>
      <c r="AL6251">
        <v>90.218313614337703</v>
      </c>
      <c r="AM6251">
        <v>87.735970982820902</v>
      </c>
      <c r="AN6251">
        <v>0.99999996003144198</v>
      </c>
    </row>
    <row r="6252" spans="1:40" x14ac:dyDescent="0.25">
      <c r="A6252" t="str">
        <f>"20190312154047388"</f>
        <v>20190312154047388</v>
      </c>
      <c r="B6252" t="str">
        <f>"1552376447382443"</f>
        <v>1552376447382443</v>
      </c>
      <c r="C6252" t="s">
        <v>40</v>
      </c>
      <c r="D6252">
        <v>3.9906269999999999</v>
      </c>
      <c r="E6252">
        <v>0.50211159999999999</v>
      </c>
      <c r="F6252" t="s">
        <v>82</v>
      </c>
      <c r="G6252">
        <v>-511.06029999999998</v>
      </c>
      <c r="H6252">
        <v>4.9089400000000003</v>
      </c>
      <c r="I6252">
        <v>150.1739</v>
      </c>
      <c r="J6252">
        <v>-316.95479999999998</v>
      </c>
      <c r="K6252">
        <v>1.109553</v>
      </c>
      <c r="L6252">
        <v>140.17349999999999</v>
      </c>
      <c r="M6252">
        <v>-0.99988469999999996</v>
      </c>
      <c r="N6252">
        <v>0</v>
      </c>
      <c r="O6252">
        <v>3.9767400000000003E-3</v>
      </c>
      <c r="P6252">
        <v>-0.99894179999999999</v>
      </c>
      <c r="Q6252">
        <v>-1.8158549999999999E-2</v>
      </c>
      <c r="R6252">
        <v>4.2260199999999998E-2</v>
      </c>
      <c r="S6252">
        <v>-2.9978030000000002</v>
      </c>
      <c r="T6252">
        <v>5.8571699999999997E-2</v>
      </c>
      <c r="U6252">
        <v>0.1541901</v>
      </c>
      <c r="V6252">
        <v>3.8283530000000003E-2</v>
      </c>
      <c r="W6252">
        <v>-3.5463259999999998E-3</v>
      </c>
      <c r="X6252">
        <v>0.99926060000000005</v>
      </c>
      <c r="Y6252">
        <v>4.7385869999999997E-2</v>
      </c>
      <c r="Z6252">
        <v>-3.8492179999999998E-4</v>
      </c>
      <c r="AA6252">
        <v>0.9988766</v>
      </c>
      <c r="AB6252">
        <v>35</v>
      </c>
      <c r="AC6252">
        <v>-194.10550000000001</v>
      </c>
      <c r="AD6252">
        <v>3.7993869999999998</v>
      </c>
      <c r="AE6252">
        <v>10.000400000000001</v>
      </c>
      <c r="AF6252">
        <v>9.2248059098722095</v>
      </c>
      <c r="AG6252">
        <v>3.7993869999999998</v>
      </c>
      <c r="AH6252">
        <v>194.06958015842801</v>
      </c>
      <c r="AI6252">
        <v>88.879702745875207</v>
      </c>
      <c r="AJ6252">
        <v>87.278579595048299</v>
      </c>
      <c r="AK6252">
        <v>194.325845755317</v>
      </c>
      <c r="AL6252">
        <v>90.203189943375506</v>
      </c>
      <c r="AM6252">
        <v>87.8059652905294</v>
      </c>
      <c r="AN6252">
        <v>0.99999997590485901</v>
      </c>
    </row>
    <row r="6253" spans="1:40" x14ac:dyDescent="0.25">
      <c r="A6253" t="str">
        <f>"20190312154047409"</f>
        <v>20190312154047409</v>
      </c>
      <c r="B6253" t="str">
        <f>"1552376447402939"</f>
        <v>1552376447402939</v>
      </c>
      <c r="C6253" t="s">
        <v>40</v>
      </c>
      <c r="D6253">
        <v>4.0019280000000004</v>
      </c>
      <c r="E6253">
        <v>0.50205299999999997</v>
      </c>
      <c r="F6253" t="s">
        <v>82</v>
      </c>
      <c r="G6253">
        <v>-511.76710000000003</v>
      </c>
      <c r="H6253">
        <v>4.7895589999999997</v>
      </c>
      <c r="I6253">
        <v>149.8432</v>
      </c>
      <c r="J6253">
        <v>-317.30430000000001</v>
      </c>
      <c r="K6253">
        <v>1.109578</v>
      </c>
      <c r="L6253">
        <v>140.17529999999999</v>
      </c>
      <c r="M6253">
        <v>-0.99988339999999998</v>
      </c>
      <c r="N6253">
        <v>0</v>
      </c>
      <c r="O6253">
        <v>4.3381970000000002E-3</v>
      </c>
      <c r="P6253">
        <v>-0.99898830000000005</v>
      </c>
      <c r="Q6253">
        <v>-1.7697499999999901E-2</v>
      </c>
      <c r="R6253">
        <v>4.1346880000000003E-2</v>
      </c>
      <c r="S6253">
        <v>-2.9978940000000001</v>
      </c>
      <c r="T6253">
        <v>5.6630850000000003E-2</v>
      </c>
      <c r="U6253">
        <v>0.14880370000000001</v>
      </c>
      <c r="V6253">
        <v>3.700925E-2</v>
      </c>
      <c r="W6253">
        <v>-3.0856550000000001E-3</v>
      </c>
      <c r="X6253">
        <v>0.99931009999999998</v>
      </c>
      <c r="Y6253">
        <v>4.5233969999999998E-2</v>
      </c>
      <c r="Z6253">
        <v>-3.4504059999999897E-4</v>
      </c>
      <c r="AA6253">
        <v>0.99897630000000004</v>
      </c>
      <c r="AB6253">
        <v>35</v>
      </c>
      <c r="AC6253">
        <v>-194.46279999999999</v>
      </c>
      <c r="AD6253">
        <v>3.6799810000000002</v>
      </c>
      <c r="AE6253">
        <v>9.6678999999999995</v>
      </c>
      <c r="AF6253">
        <v>8.8209495398962492</v>
      </c>
      <c r="AG6253">
        <v>3.6799810000000002</v>
      </c>
      <c r="AH6253">
        <v>194.43345830713801</v>
      </c>
      <c r="AI6253">
        <v>88.9168240951185</v>
      </c>
      <c r="AJ6253">
        <v>87.402417923600495</v>
      </c>
      <c r="AK6253">
        <v>194.66823346457801</v>
      </c>
      <c r="AL6253">
        <v>90.176795299534007</v>
      </c>
      <c r="AM6253">
        <v>87.879031582885901</v>
      </c>
      <c r="AN6253">
        <v>0.99999994090717303</v>
      </c>
    </row>
    <row r="6254" spans="1:40" x14ac:dyDescent="0.25">
      <c r="A6254" t="str">
        <f>"20190312154047431"</f>
        <v>20190312154047431</v>
      </c>
      <c r="B6254" t="str">
        <f>"1552376447422460"</f>
        <v>1552376447422460</v>
      </c>
      <c r="C6254" t="s">
        <v>40</v>
      </c>
      <c r="D6254">
        <v>4.0840639999999997</v>
      </c>
      <c r="E6254">
        <v>0.5019382</v>
      </c>
      <c r="F6254" t="s">
        <v>82</v>
      </c>
      <c r="G6254">
        <v>-534.20150000000001</v>
      </c>
      <c r="H6254">
        <v>5.1881430000000002</v>
      </c>
      <c r="I6254">
        <v>150.69999999999999</v>
      </c>
      <c r="J6254">
        <v>-317.64069999999998</v>
      </c>
      <c r="K6254">
        <v>1.109594</v>
      </c>
      <c r="L6254">
        <v>140.1771</v>
      </c>
      <c r="M6254">
        <v>-0.99988169999999998</v>
      </c>
      <c r="N6254">
        <v>0</v>
      </c>
      <c r="O6254">
        <v>4.6777199999999998E-3</v>
      </c>
      <c r="P6254">
        <v>-0.99902869999999999</v>
      </c>
      <c r="Q6254">
        <v>-1.771029E-2</v>
      </c>
      <c r="R6254">
        <v>4.0351539999999998E-2</v>
      </c>
      <c r="S6254">
        <v>-2.9980470000000001</v>
      </c>
      <c r="T6254">
        <v>5.6376219999999998E-2</v>
      </c>
      <c r="U6254">
        <v>0.1454773</v>
      </c>
      <c r="V6254">
        <v>3.5674699999999997E-2</v>
      </c>
      <c r="W6254">
        <v>-3.0991E-3</v>
      </c>
      <c r="X6254">
        <v>0.99935870000000004</v>
      </c>
      <c r="Y6254">
        <v>4.3786850000000002E-2</v>
      </c>
      <c r="Z6254">
        <v>-3.2350400000000001E-4</v>
      </c>
      <c r="AA6254">
        <v>0.99904079999999995</v>
      </c>
      <c r="AB6254">
        <v>35</v>
      </c>
      <c r="AC6254">
        <v>-216.5608</v>
      </c>
      <c r="AD6254">
        <v>4.0785489999999998</v>
      </c>
      <c r="AE6254">
        <v>10.5228999999999</v>
      </c>
      <c r="AF6254">
        <v>9.5063014275417395</v>
      </c>
      <c r="AG6254">
        <v>4.0785489999999998</v>
      </c>
      <c r="AH6254">
        <v>216.53103768456799</v>
      </c>
      <c r="AI6254">
        <v>88.921950337861503</v>
      </c>
      <c r="AJ6254">
        <v>87.486173720169802</v>
      </c>
      <c r="AK6254">
        <v>216.777984605292</v>
      </c>
      <c r="AL6254">
        <v>90.177565625655603</v>
      </c>
      <c r="AM6254">
        <v>87.955546723036903</v>
      </c>
      <c r="AN6254">
        <v>1.0000000499532899</v>
      </c>
    </row>
    <row r="6255" spans="1:40" x14ac:dyDescent="0.25">
      <c r="A6255" t="str">
        <f>"20190312154047454"</f>
        <v>20190312154047454</v>
      </c>
      <c r="B6255" t="str">
        <f>"1552376447442956"</f>
        <v>1552376447442956</v>
      </c>
      <c r="C6255" t="s">
        <v>40</v>
      </c>
      <c r="D6255">
        <v>4.0918769999999904</v>
      </c>
      <c r="E6255">
        <v>0.50184169999999995</v>
      </c>
      <c r="F6255" t="s">
        <v>82</v>
      </c>
      <c r="G6255">
        <v>-540.82780000000002</v>
      </c>
      <c r="H6255">
        <v>4.9533909999999999</v>
      </c>
      <c r="I6255">
        <v>150.69999999999999</v>
      </c>
      <c r="J6255">
        <v>-317.99279999999999</v>
      </c>
      <c r="K6255">
        <v>1.109599</v>
      </c>
      <c r="L6255">
        <v>140.17910000000001</v>
      </c>
      <c r="M6255">
        <v>-0.9998802</v>
      </c>
      <c r="N6255">
        <v>0</v>
      </c>
      <c r="O6255">
        <v>5.0278370000000003E-3</v>
      </c>
      <c r="P6255">
        <v>-0.99904170000000003</v>
      </c>
      <c r="Q6255">
        <v>-1.7305830000000001E-2</v>
      </c>
      <c r="R6255">
        <v>4.02017E-2</v>
      </c>
      <c r="S6255">
        <v>-2.998138</v>
      </c>
      <c r="T6255">
        <v>5.1635380000000002E-2</v>
      </c>
      <c r="U6255">
        <v>0.14135739999999999</v>
      </c>
      <c r="V6255">
        <v>3.5175159999999997E-2</v>
      </c>
      <c r="W6255">
        <v>-2.696913E-3</v>
      </c>
      <c r="X6255">
        <v>0.99937750000000003</v>
      </c>
      <c r="Y6255">
        <v>4.2067210000000001E-2</v>
      </c>
      <c r="Z6255">
        <v>-2.7547919999999998E-4</v>
      </c>
      <c r="AA6255">
        <v>0.99911479999999997</v>
      </c>
      <c r="AB6255">
        <v>35</v>
      </c>
      <c r="AC6255">
        <v>-222.83500000000001</v>
      </c>
      <c r="AD6255">
        <v>3.8437920000000001</v>
      </c>
      <c r="AE6255">
        <v>10.5208999999999</v>
      </c>
      <c r="AF6255">
        <v>9.3974789061263095</v>
      </c>
      <c r="AG6255">
        <v>3.8437920000000001</v>
      </c>
      <c r="AH6255">
        <v>222.818934635402</v>
      </c>
      <c r="AI6255">
        <v>89.012580934411403</v>
      </c>
      <c r="AJ6255">
        <v>87.584958521196199</v>
      </c>
      <c r="AK6255">
        <v>223.05014005551701</v>
      </c>
      <c r="AL6255">
        <v>90.154521923581697</v>
      </c>
      <c r="AM6255">
        <v>87.984188571272796</v>
      </c>
      <c r="AN6255">
        <v>0.99999997636350202</v>
      </c>
    </row>
    <row r="6256" spans="1:40" x14ac:dyDescent="0.25">
      <c r="A6256" t="str">
        <f>"20190312154047477"</f>
        <v>20190312154047477</v>
      </c>
      <c r="B6256" t="str">
        <f>"1552376447462476"</f>
        <v>1552376447462476</v>
      </c>
      <c r="C6256" t="s">
        <v>40</v>
      </c>
      <c r="D6256">
        <v>4.0871230000000001</v>
      </c>
      <c r="E6256">
        <v>0.5014769</v>
      </c>
      <c r="F6256" t="s">
        <v>82</v>
      </c>
      <c r="G6256">
        <v>-543.34820000000002</v>
      </c>
      <c r="H6256">
        <v>4.7898209999999999</v>
      </c>
      <c r="I6256">
        <v>150.69999999999999</v>
      </c>
      <c r="J6256">
        <v>-318.33010000000002</v>
      </c>
      <c r="K6256">
        <v>1.109613</v>
      </c>
      <c r="L6256">
        <v>140.18119999999999</v>
      </c>
      <c r="M6256">
        <v>-0.9998785</v>
      </c>
      <c r="N6256">
        <v>0</v>
      </c>
      <c r="O6256">
        <v>5.3603039999999998E-3</v>
      </c>
      <c r="P6256">
        <v>-0.99902840000000004</v>
      </c>
      <c r="Q6256">
        <v>-1.756392E-2</v>
      </c>
      <c r="R6256">
        <v>4.042573E-2</v>
      </c>
      <c r="S6256">
        <v>-2.9981080000000002</v>
      </c>
      <c r="T6256">
        <v>4.8961879999999999E-2</v>
      </c>
      <c r="U6256">
        <v>0.13996889999999901</v>
      </c>
      <c r="V6256">
        <v>3.5066979999999998E-2</v>
      </c>
      <c r="W6256">
        <v>-2.9580330000000001E-3</v>
      </c>
      <c r="X6256">
        <v>0.99938059999999995</v>
      </c>
      <c r="Y6256">
        <v>4.1274449999999997E-2</v>
      </c>
      <c r="Z6256">
        <v>-2.4932760000000002E-4</v>
      </c>
      <c r="AA6256">
        <v>0.99914780000000003</v>
      </c>
      <c r="AB6256">
        <v>35</v>
      </c>
      <c r="AC6256">
        <v>-225.0181</v>
      </c>
      <c r="AD6256">
        <v>3.6802079999999999</v>
      </c>
      <c r="AE6256">
        <v>10.518800000000001</v>
      </c>
      <c r="AF6256">
        <v>9.3098693148196201</v>
      </c>
      <c r="AG6256">
        <v>3.6802079999999999</v>
      </c>
      <c r="AH6256">
        <v>225.011199262709</v>
      </c>
      <c r="AI6256">
        <v>89.063773798909907</v>
      </c>
      <c r="AJ6256">
        <v>87.630730611909996</v>
      </c>
      <c r="AK6256">
        <v>225.23378385851601</v>
      </c>
      <c r="AL6256">
        <v>90.169483051459906</v>
      </c>
      <c r="AM6256">
        <v>87.990389267742401</v>
      </c>
      <c r="AN6256">
        <v>1.0000000133509499</v>
      </c>
    </row>
    <row r="6257" spans="1:40" x14ac:dyDescent="0.25">
      <c r="A6257" t="str">
        <f>"20190312154047500"</f>
        <v>20190312154047500</v>
      </c>
      <c r="B6257" t="str">
        <f>"1552376447492732"</f>
        <v>1552376447492732</v>
      </c>
      <c r="C6257" t="s">
        <v>40</v>
      </c>
      <c r="D6257">
        <v>4.1508240000000001</v>
      </c>
      <c r="E6257">
        <v>0.50067790000000001</v>
      </c>
      <c r="F6257" t="s">
        <v>82</v>
      </c>
      <c r="G6257">
        <v>-547.46579999999994</v>
      </c>
      <c r="H6257">
        <v>4.6983379999999997</v>
      </c>
      <c r="I6257">
        <v>150.69999999999999</v>
      </c>
      <c r="J6257">
        <v>-318.68970000000002</v>
      </c>
      <c r="K6257">
        <v>1.1096189999999999</v>
      </c>
      <c r="L6257">
        <v>140.18350000000001</v>
      </c>
      <c r="M6257">
        <v>-0.99987649999999995</v>
      </c>
      <c r="N6257">
        <v>0</v>
      </c>
      <c r="O6257">
        <v>5.7136060000000004E-3</v>
      </c>
      <c r="P6257">
        <v>-0.99900250000000002</v>
      </c>
      <c r="Q6257">
        <v>-1.7742830000000001E-2</v>
      </c>
      <c r="R6257">
        <v>4.0980200000000001E-2</v>
      </c>
      <c r="S6257">
        <v>-2.998138</v>
      </c>
      <c r="T6257">
        <v>4.6957369999999998E-2</v>
      </c>
      <c r="U6257">
        <v>0.13763429999999999</v>
      </c>
      <c r="V6257">
        <v>3.5268380000000002E-2</v>
      </c>
      <c r="W6257">
        <v>-3.140805E-3</v>
      </c>
      <c r="X6257">
        <v>0.99937299999999996</v>
      </c>
      <c r="Y6257">
        <v>4.0145109999999998E-2</v>
      </c>
      <c r="Z6257">
        <v>-2.24754E-4</v>
      </c>
      <c r="AA6257">
        <v>0.99919380000000002</v>
      </c>
      <c r="AB6257">
        <v>35</v>
      </c>
      <c r="AC6257">
        <v>-228.77610000000001</v>
      </c>
      <c r="AD6257">
        <v>3.5887190000000002</v>
      </c>
      <c r="AE6257">
        <v>10.516499999999899</v>
      </c>
      <c r="AF6257">
        <v>9.2067909667525303</v>
      </c>
      <c r="AG6257">
        <v>3.5887190000000002</v>
      </c>
      <c r="AH6257">
        <v>228.77628237995299</v>
      </c>
      <c r="AI6257">
        <v>89.102025238108993</v>
      </c>
      <c r="AJ6257">
        <v>87.695452694561595</v>
      </c>
      <c r="AK6257">
        <v>228.98958771865301</v>
      </c>
      <c r="AL6257">
        <v>90.179955156165803</v>
      </c>
      <c r="AM6257">
        <v>87.978841668661701</v>
      </c>
      <c r="AN6257">
        <v>1.0000000582064299</v>
      </c>
    </row>
    <row r="6258" spans="1:40" x14ac:dyDescent="0.25">
      <c r="A6258" t="str">
        <f>"20190312154047522"</f>
        <v>20190312154047522</v>
      </c>
      <c r="B6258" t="str">
        <f>"1552376447512252"</f>
        <v>1552376447512252</v>
      </c>
      <c r="C6258" t="s">
        <v>40</v>
      </c>
      <c r="D6258">
        <v>4.0999109999999996</v>
      </c>
      <c r="E6258">
        <v>0.50010529999999997</v>
      </c>
      <c r="F6258" t="s">
        <v>82</v>
      </c>
      <c r="G6258">
        <v>-550.16340000000002</v>
      </c>
      <c r="H6258">
        <v>4.4974829999999999</v>
      </c>
      <c r="I6258">
        <v>150.44030000000001</v>
      </c>
      <c r="J6258">
        <v>-319.03680000000003</v>
      </c>
      <c r="K6258">
        <v>1.1096239999999999</v>
      </c>
      <c r="L6258">
        <v>140.1858</v>
      </c>
      <c r="M6258">
        <v>-0.99987459999999995</v>
      </c>
      <c r="N6258">
        <v>0</v>
      </c>
      <c r="O6258">
        <v>6.0542419999999996E-3</v>
      </c>
      <c r="P6258">
        <v>-0.99897809999999998</v>
      </c>
      <c r="Q6258">
        <v>-1.7911429999999999E-2</v>
      </c>
      <c r="R6258">
        <v>4.1498149999999998E-2</v>
      </c>
      <c r="S6258">
        <v>-2.9983219999999999</v>
      </c>
      <c r="T6258">
        <v>4.3884159999999998E-2</v>
      </c>
      <c r="U6258">
        <v>0.13285829999999901</v>
      </c>
      <c r="V6258">
        <v>3.5446039999999998E-2</v>
      </c>
      <c r="W6258">
        <v>-3.3131530000000001E-3</v>
      </c>
      <c r="X6258">
        <v>0.99936610000000003</v>
      </c>
      <c r="Y6258">
        <v>3.821426E-2</v>
      </c>
      <c r="Z6258">
        <v>-1.909352E-4</v>
      </c>
      <c r="AA6258">
        <v>0.99926950000000003</v>
      </c>
      <c r="AB6258">
        <v>35</v>
      </c>
      <c r="AC6258">
        <v>-231.1266</v>
      </c>
      <c r="AD6258">
        <v>3.3878590000000002</v>
      </c>
      <c r="AE6258">
        <v>10.2545</v>
      </c>
      <c r="AF6258">
        <v>8.8529674248024293</v>
      </c>
      <c r="AG6258">
        <v>3.3878590000000002</v>
      </c>
      <c r="AH6258">
        <v>231.134889555591</v>
      </c>
      <c r="AI6258">
        <v>89.160862623134193</v>
      </c>
      <c r="AJ6258">
        <v>87.806519647506605</v>
      </c>
      <c r="AK6258">
        <v>231.329180586245</v>
      </c>
      <c r="AL6258">
        <v>90.189830031022098</v>
      </c>
      <c r="AM6258">
        <v>87.9686548341665</v>
      </c>
      <c r="AN6258">
        <v>1.0000000002818401</v>
      </c>
    </row>
    <row r="6259" spans="1:40" x14ac:dyDescent="0.25">
      <c r="A6259" t="str">
        <f>"20190312154047543"</f>
        <v>20190312154047543</v>
      </c>
      <c r="B6259" t="str">
        <f>"1552376447532749"</f>
        <v>1552376447532749</v>
      </c>
      <c r="C6259" t="s">
        <v>40</v>
      </c>
      <c r="D6259">
        <v>4.0910250000000001</v>
      </c>
      <c r="E6259">
        <v>0.49958330000000001</v>
      </c>
      <c r="F6259" t="s">
        <v>82</v>
      </c>
      <c r="G6259">
        <v>-550.16330000000005</v>
      </c>
      <c r="H6259">
        <v>4.2714699999999999</v>
      </c>
      <c r="I6259">
        <v>150.18350000000001</v>
      </c>
      <c r="J6259">
        <v>-319.36790000000002</v>
      </c>
      <c r="K6259">
        <v>1.109632</v>
      </c>
      <c r="L6259">
        <v>140.18819999999999</v>
      </c>
      <c r="M6259">
        <v>-0.9998726</v>
      </c>
      <c r="N6259">
        <v>0</v>
      </c>
      <c r="O6259">
        <v>6.3795739999999998E-3</v>
      </c>
      <c r="P6259">
        <v>-0.99893980000000004</v>
      </c>
      <c r="Q6259">
        <v>-1.8126429999999999E-2</v>
      </c>
      <c r="R6259">
        <v>4.2318439999999999E-2</v>
      </c>
      <c r="S6259">
        <v>-2.9984130000000002</v>
      </c>
      <c r="T6259">
        <v>4.1019199999999902E-2</v>
      </c>
      <c r="U6259">
        <v>0.1296997</v>
      </c>
      <c r="V6259">
        <v>3.5941069999999999E-2</v>
      </c>
      <c r="W6259">
        <v>-3.532281E-3</v>
      </c>
      <c r="X6259">
        <v>0.99934769999999995</v>
      </c>
      <c r="Y6259">
        <v>3.6837689999999999E-2</v>
      </c>
      <c r="Z6259">
        <v>-1.64610299999999E-4</v>
      </c>
      <c r="AA6259">
        <v>0.99932120000000002</v>
      </c>
      <c r="AB6259">
        <v>35</v>
      </c>
      <c r="AC6259">
        <v>-230.7954</v>
      </c>
      <c r="AD6259">
        <v>3.1618379999999999</v>
      </c>
      <c r="AE6259">
        <v>9.9953000000000092</v>
      </c>
      <c r="AF6259">
        <v>8.5209663434175997</v>
      </c>
      <c r="AG6259">
        <v>3.1618379999999999</v>
      </c>
      <c r="AH6259">
        <v>230.81123671461799</v>
      </c>
      <c r="AI6259">
        <v>89.215699623115299</v>
      </c>
      <c r="AJ6259">
        <v>87.885745075379504</v>
      </c>
      <c r="AK6259">
        <v>230.99011035257601</v>
      </c>
      <c r="AL6259">
        <v>90.2023852078392</v>
      </c>
      <c r="AM6259">
        <v>87.940271982001704</v>
      </c>
      <c r="AN6259">
        <v>1.00000003150854</v>
      </c>
    </row>
    <row r="6260" spans="1:40" x14ac:dyDescent="0.25">
      <c r="A6260" t="str">
        <f>"20190312154047559"</f>
        <v>20190312154047559</v>
      </c>
      <c r="B6260" t="str">
        <f>"1552376447552269"</f>
        <v>1552376447552269</v>
      </c>
      <c r="C6260" t="s">
        <v>40</v>
      </c>
      <c r="D6260">
        <v>4.036594</v>
      </c>
      <c r="E6260">
        <v>0.49905850000000002</v>
      </c>
      <c r="F6260" t="s">
        <v>82</v>
      </c>
      <c r="G6260">
        <v>-550.16330000000005</v>
      </c>
      <c r="H6260">
        <v>4.0634110000000003</v>
      </c>
      <c r="I6260">
        <v>150.03039999999999</v>
      </c>
      <c r="J6260">
        <v>-319.60090000000002</v>
      </c>
      <c r="K6260">
        <v>1.109637</v>
      </c>
      <c r="L6260">
        <v>140.18989999999999</v>
      </c>
      <c r="M6260">
        <v>-0.99987110000000001</v>
      </c>
      <c r="N6260">
        <v>0</v>
      </c>
      <c r="O6260">
        <v>6.6084219999999897E-3</v>
      </c>
      <c r="P6260">
        <v>-0.99891370000000002</v>
      </c>
      <c r="Q6260">
        <v>-1.8408239999999999E-2</v>
      </c>
      <c r="R6260">
        <v>4.2809769999999997E-2</v>
      </c>
      <c r="S6260">
        <v>-2.9984440000000001</v>
      </c>
      <c r="T6260">
        <v>3.8375380000000001E-2</v>
      </c>
      <c r="U6260">
        <v>0.1278687</v>
      </c>
      <c r="V6260">
        <v>3.6203819999999998E-2</v>
      </c>
      <c r="W6260">
        <v>-3.8169179999999999E-3</v>
      </c>
      <c r="X6260">
        <v>0.99933709999999998</v>
      </c>
      <c r="Y6260">
        <v>3.5999820000000002E-2</v>
      </c>
      <c r="Z6260">
        <v>-1.4571540000000001E-4</v>
      </c>
      <c r="AA6260">
        <v>0.99935180000000001</v>
      </c>
      <c r="AB6260">
        <v>34</v>
      </c>
      <c r="AC6260">
        <v>-230.5624</v>
      </c>
      <c r="AD6260">
        <v>2.9537740000000001</v>
      </c>
      <c r="AE6260">
        <v>9.8404999999999898</v>
      </c>
      <c r="AF6260">
        <v>8.3151060549549101</v>
      </c>
      <c r="AG6260">
        <v>2.9537740000000001</v>
      </c>
      <c r="AH6260">
        <v>230.584625399793</v>
      </c>
      <c r="AI6260">
        <v>89.266561618747701</v>
      </c>
      <c r="AJ6260">
        <v>87.934753317182597</v>
      </c>
      <c r="AK6260">
        <v>230.753407862833</v>
      </c>
      <c r="AL6260">
        <v>90.218693831383703</v>
      </c>
      <c r="AM6260">
        <v>87.925205303673096</v>
      </c>
      <c r="AN6260">
        <v>0.99999996244100897</v>
      </c>
    </row>
    <row r="6261" spans="1:40" x14ac:dyDescent="0.25">
      <c r="A6261" t="str">
        <f>"20190312154047570"</f>
        <v>20190312154047570</v>
      </c>
      <c r="B6261" t="str">
        <f>"1552376447562029"</f>
        <v>1552376447562029</v>
      </c>
      <c r="C6261" t="s">
        <v>40</v>
      </c>
      <c r="D6261">
        <v>3.974202</v>
      </c>
      <c r="E6261">
        <v>0.49884460000000003</v>
      </c>
      <c r="F6261" t="s">
        <v>82</v>
      </c>
      <c r="G6261">
        <v>-550.94500000000005</v>
      </c>
      <c r="H6261">
        <v>3.917967</v>
      </c>
      <c r="I6261">
        <v>149.8432</v>
      </c>
      <c r="J6261">
        <v>-319.79660000000001</v>
      </c>
      <c r="K6261">
        <v>1.109639</v>
      </c>
      <c r="L6261">
        <v>140.19139999999999</v>
      </c>
      <c r="M6261">
        <v>-0.99986989999999998</v>
      </c>
      <c r="N6261">
        <v>0</v>
      </c>
      <c r="O6261">
        <v>6.7995420000000004E-3</v>
      </c>
      <c r="P6261">
        <v>-0.99889919999999999</v>
      </c>
      <c r="Q6261">
        <v>-1.8281120000000001E-2</v>
      </c>
      <c r="R6261">
        <v>4.3203159999999997E-2</v>
      </c>
      <c r="S6261">
        <v>-2.9985659999999998</v>
      </c>
      <c r="T6261">
        <v>3.6400679999999998E-2</v>
      </c>
      <c r="U6261">
        <v>0.12512210000000001</v>
      </c>
      <c r="V6261">
        <v>3.6406479999999998E-2</v>
      </c>
      <c r="W6261">
        <v>-3.6920989999999999E-3</v>
      </c>
      <c r="X6261">
        <v>0.99933019999999995</v>
      </c>
      <c r="Y6261">
        <v>3.4893639999999997E-2</v>
      </c>
      <c r="Z6261">
        <v>-1.2918479999999999E-4</v>
      </c>
      <c r="AA6261">
        <v>0.99939100000000003</v>
      </c>
      <c r="AB6261">
        <v>34</v>
      </c>
      <c r="AC6261">
        <v>-231.14840000000001</v>
      </c>
      <c r="AD6261">
        <v>2.8083279999999999</v>
      </c>
      <c r="AE6261">
        <v>9.6517999999999997</v>
      </c>
      <c r="AF6261">
        <v>8.0785150278195292</v>
      </c>
      <c r="AG6261">
        <v>2.8083279999999999</v>
      </c>
      <c r="AH6261">
        <v>231.17462606031199</v>
      </c>
      <c r="AI6261">
        <v>89.304425028978301</v>
      </c>
      <c r="AJ6261">
        <v>87.9985842453179</v>
      </c>
      <c r="AK6261">
        <v>231.33278376688301</v>
      </c>
      <c r="AL6261">
        <v>90.211542180162297</v>
      </c>
      <c r="AM6261">
        <v>87.913586960603496</v>
      </c>
      <c r="AN6261">
        <v>0.99999995600652702</v>
      </c>
    </row>
    <row r="6262" spans="1:40" x14ac:dyDescent="0.25">
      <c r="A6262" t="str">
        <f>"20190312154047589"</f>
        <v>20190312154047589</v>
      </c>
      <c r="B6262" t="str">
        <f>"1552376447582524"</f>
        <v>1552376447582524</v>
      </c>
      <c r="C6262" t="s">
        <v>40</v>
      </c>
      <c r="D6262">
        <v>3.9776919999999998</v>
      </c>
      <c r="E6262">
        <v>0.49842370000000003</v>
      </c>
      <c r="F6262" t="s">
        <v>82</v>
      </c>
      <c r="G6262">
        <v>-552.12940000000003</v>
      </c>
      <c r="H6262">
        <v>3.9245290000000002</v>
      </c>
      <c r="I6262">
        <v>149.8432</v>
      </c>
      <c r="J6262">
        <v>-320.06319999999999</v>
      </c>
      <c r="K6262">
        <v>1.109639</v>
      </c>
      <c r="L6262">
        <v>140.1935</v>
      </c>
      <c r="M6262">
        <v>-0.99986810000000004</v>
      </c>
      <c r="N6262">
        <v>0</v>
      </c>
      <c r="O6262">
        <v>7.0572119999999898E-3</v>
      </c>
      <c r="P6262">
        <v>-0.9988901</v>
      </c>
      <c r="Q6262">
        <v>-1.8219840000000001E-2</v>
      </c>
      <c r="R6262">
        <v>4.3436179999999998E-2</v>
      </c>
      <c r="S6262">
        <v>-2.9986269999999999</v>
      </c>
      <c r="T6262">
        <v>3.6331179999999998E-2</v>
      </c>
      <c r="U6262">
        <v>0.1245728</v>
      </c>
      <c r="V6262">
        <v>3.6382129999999999E-2</v>
      </c>
      <c r="W6262">
        <v>-3.633463E-3</v>
      </c>
      <c r="X6262">
        <v>0.99933139999999998</v>
      </c>
      <c r="Y6262">
        <v>3.4452539999999997E-2</v>
      </c>
      <c r="Z6262">
        <v>-1.2314459999999999E-4</v>
      </c>
      <c r="AA6262">
        <v>0.99940629999999997</v>
      </c>
      <c r="AB6262">
        <v>34</v>
      </c>
      <c r="AC6262">
        <v>-232.06620000000001</v>
      </c>
      <c r="AD6262">
        <v>2.8148900000000001</v>
      </c>
      <c r="AE6262">
        <v>9.6496999999999904</v>
      </c>
      <c r="AF6262">
        <v>8.0103675022697303</v>
      </c>
      <c r="AG6262">
        <v>2.8148900000000001</v>
      </c>
      <c r="AH6262">
        <v>232.094438072624</v>
      </c>
      <c r="AI6262">
        <v>89.305552283997201</v>
      </c>
      <c r="AJ6262">
        <v>88.023312621173204</v>
      </c>
      <c r="AK6262">
        <v>232.24968843354901</v>
      </c>
      <c r="AL6262">
        <v>90.208182541701404</v>
      </c>
      <c r="AM6262">
        <v>87.914983700212403</v>
      </c>
      <c r="AN6262">
        <v>1.0000000542313301</v>
      </c>
    </row>
    <row r="6263" spans="1:40" x14ac:dyDescent="0.25">
      <c r="A6263" t="str">
        <f>"20190312154047610"</f>
        <v>20190312154047610</v>
      </c>
      <c r="B6263" t="str">
        <f>"1552376447602047"</f>
        <v>1552376447602047</v>
      </c>
      <c r="C6263" t="s">
        <v>40</v>
      </c>
      <c r="D6263">
        <v>3.9281470000000001</v>
      </c>
      <c r="E6263">
        <v>0.49811709999999898</v>
      </c>
      <c r="F6263" t="s">
        <v>50</v>
      </c>
      <c r="G6263">
        <v>0</v>
      </c>
      <c r="H6263">
        <v>0</v>
      </c>
      <c r="I6263">
        <v>0</v>
      </c>
      <c r="J6263">
        <v>-320.40949999999998</v>
      </c>
      <c r="K6263">
        <v>1.10965</v>
      </c>
      <c r="L6263">
        <v>140.19630000000001</v>
      </c>
      <c r="M6263">
        <v>-0.99986589999999997</v>
      </c>
      <c r="N6263">
        <v>0</v>
      </c>
      <c r="O6263">
        <v>7.381922E-3</v>
      </c>
      <c r="P6263">
        <v>-0.99887649999999994</v>
      </c>
      <c r="Q6263">
        <v>-1.8372980000000001E-2</v>
      </c>
      <c r="R6263">
        <v>4.3687009999999998E-2</v>
      </c>
      <c r="S6263">
        <v>-2.998688</v>
      </c>
      <c r="T6263">
        <v>3.5900469999999997E-2</v>
      </c>
      <c r="U6263">
        <v>0.1218872</v>
      </c>
      <c r="V6263">
        <v>3.6308470000000002E-2</v>
      </c>
      <c r="W6263">
        <v>-3.789686E-3</v>
      </c>
      <c r="X6263">
        <v>0.99933340000000004</v>
      </c>
      <c r="Y6263">
        <v>3.3233739999999998E-2</v>
      </c>
      <c r="Z6263">
        <v>-1.105062E-4</v>
      </c>
      <c r="AA6263">
        <v>0.99944759999999999</v>
      </c>
      <c r="AB6263">
        <v>34</v>
      </c>
      <c r="AC6263">
        <v>-2.998688</v>
      </c>
      <c r="AD6263">
        <v>3.5900469999999997E-2</v>
      </c>
      <c r="AE6263">
        <v>0.1218872</v>
      </c>
      <c r="AF6263">
        <v>9.9731160931263899E-2</v>
      </c>
      <c r="AG6263">
        <v>3.5900469999999997E-2</v>
      </c>
      <c r="AH6263">
        <v>2.9990769866886899</v>
      </c>
      <c r="AI6263">
        <v>89.314552118391006</v>
      </c>
      <c r="AJ6263">
        <v>88.095390769852301</v>
      </c>
      <c r="AK6263">
        <v>3.0009495031227398</v>
      </c>
      <c r="AL6263">
        <v>90.217133542872006</v>
      </c>
      <c r="AM6263">
        <v>87.919205512799294</v>
      </c>
      <c r="AN6263">
        <v>0.99999995553463805</v>
      </c>
    </row>
    <row r="6264" spans="1:40" x14ac:dyDescent="0.25">
      <c r="A6264" t="str">
        <f>"20190312154047632"</f>
        <v>20190312154047632</v>
      </c>
      <c r="B6264" t="str">
        <f>"1552376447622813"</f>
        <v>1552376447622813</v>
      </c>
      <c r="C6264" t="s">
        <v>40</v>
      </c>
      <c r="D6264">
        <v>3.8580399999999999</v>
      </c>
      <c r="E6264">
        <v>0.49795479999999998</v>
      </c>
      <c r="F6264" t="s">
        <v>50</v>
      </c>
      <c r="G6264">
        <v>0</v>
      </c>
      <c r="H6264">
        <v>0</v>
      </c>
      <c r="I6264">
        <v>0</v>
      </c>
      <c r="J6264">
        <v>-320.73899999999998</v>
      </c>
      <c r="K6264">
        <v>1.1096649999999999</v>
      </c>
      <c r="L6264">
        <v>140.19899999999899</v>
      </c>
      <c r="M6264">
        <v>-0.99986379999999997</v>
      </c>
      <c r="N6264">
        <v>0</v>
      </c>
      <c r="O6264">
        <v>7.6756319999999999E-3</v>
      </c>
      <c r="P6264">
        <v>-0.99887250000000005</v>
      </c>
      <c r="Q6264">
        <v>-1.7810200000000002E-2</v>
      </c>
      <c r="R6264">
        <v>4.4010470000000003E-2</v>
      </c>
      <c r="S6264">
        <v>-2.9987789999999999</v>
      </c>
      <c r="T6264">
        <v>3.584445E-2</v>
      </c>
      <c r="U6264">
        <v>0.12031559999999999</v>
      </c>
      <c r="V6264">
        <v>3.6338929999999998E-2</v>
      </c>
      <c r="W6264">
        <v>-3.2294950000000002E-3</v>
      </c>
      <c r="X6264">
        <v>0.99933430000000001</v>
      </c>
      <c r="Y6264">
        <v>3.2416029999999998E-2</v>
      </c>
      <c r="Z6264">
        <v>-1.019374E-4</v>
      </c>
      <c r="AA6264">
        <v>0.99947450000000004</v>
      </c>
      <c r="AB6264">
        <v>34</v>
      </c>
      <c r="AC6264">
        <v>-2.9987789999999999</v>
      </c>
      <c r="AD6264">
        <v>3.584445E-2</v>
      </c>
      <c r="AE6264">
        <v>0.12031559999999999</v>
      </c>
      <c r="AF6264">
        <v>9.7278197554056298E-2</v>
      </c>
      <c r="AG6264">
        <v>3.584445E-2</v>
      </c>
      <c r="AH6264">
        <v>2.9991864208898402</v>
      </c>
      <c r="AI6264">
        <v>89.315628186478804</v>
      </c>
      <c r="AJ6264">
        <v>88.142270574278399</v>
      </c>
      <c r="AK6264">
        <v>3.0009776839498801</v>
      </c>
      <c r="AL6264">
        <v>90.185036755970998</v>
      </c>
      <c r="AM6264">
        <v>87.917463297333299</v>
      </c>
      <c r="AN6264">
        <v>0.99999999531399497</v>
      </c>
    </row>
    <row r="6265" spans="1:40" x14ac:dyDescent="0.25">
      <c r="A6265" t="str">
        <f>"20190312154047647"</f>
        <v>20190312154047647</v>
      </c>
      <c r="B6265" t="str">
        <f>"1552376447642401"</f>
        <v>1552376447642401</v>
      </c>
      <c r="C6265" t="s">
        <v>40</v>
      </c>
      <c r="D6265">
        <v>3.8454860000000002</v>
      </c>
      <c r="E6265">
        <v>0.4978052</v>
      </c>
      <c r="F6265" t="s">
        <v>50</v>
      </c>
      <c r="G6265">
        <v>0</v>
      </c>
      <c r="H6265">
        <v>0</v>
      </c>
      <c r="I6265">
        <v>0</v>
      </c>
      <c r="J6265">
        <v>-320.96170000000001</v>
      </c>
      <c r="K6265">
        <v>1.109675</v>
      </c>
      <c r="L6265">
        <v>140.20089999999999</v>
      </c>
      <c r="M6265">
        <v>-0.99986240000000004</v>
      </c>
      <c r="N6265">
        <v>0</v>
      </c>
      <c r="O6265">
        <v>7.8609990000000005E-3</v>
      </c>
      <c r="P6265">
        <v>-0.99886889999999995</v>
      </c>
      <c r="Q6265">
        <v>-1.7352380000000001E-2</v>
      </c>
      <c r="R6265">
        <v>4.4274359999999999E-2</v>
      </c>
      <c r="S6265">
        <v>-2.9987789999999999</v>
      </c>
      <c r="T6265">
        <v>3.876901E-2</v>
      </c>
      <c r="U6265">
        <v>0.1200256</v>
      </c>
      <c r="V6265">
        <v>3.6418150000000003E-2</v>
      </c>
      <c r="W6265">
        <v>-2.7732619999999999E-3</v>
      </c>
      <c r="X6265">
        <v>0.99933280000000002</v>
      </c>
      <c r="Y6265">
        <v>3.2134000000000003E-2</v>
      </c>
      <c r="Z6265">
        <v>-1.060364E-4</v>
      </c>
      <c r="AA6265">
        <v>0.99948360000000003</v>
      </c>
      <c r="AB6265">
        <v>34</v>
      </c>
      <c r="AC6265">
        <v>-2.9987789999999999</v>
      </c>
      <c r="AD6265">
        <v>3.876901E-2</v>
      </c>
      <c r="AE6265">
        <v>0.1200256</v>
      </c>
      <c r="AF6265">
        <v>9.6429884888877701E-2</v>
      </c>
      <c r="AG6265">
        <v>3.876901E-2</v>
      </c>
      <c r="AH6265">
        <v>2.9991294724975899</v>
      </c>
      <c r="AI6265">
        <v>89.259775259816493</v>
      </c>
      <c r="AJ6265">
        <v>88.158424720881797</v>
      </c>
      <c r="AK6265">
        <v>3.0009297478681001</v>
      </c>
      <c r="AL6265">
        <v>90.158896410349499</v>
      </c>
      <c r="AM6265">
        <v>87.912924183061307</v>
      </c>
      <c r="AN6265">
        <v>1.00000000889369</v>
      </c>
    </row>
    <row r="6266" spans="1:40" x14ac:dyDescent="0.25">
      <c r="A6266" t="str">
        <f>"20190312154047659"</f>
        <v>20190312154047659</v>
      </c>
      <c r="B6266" t="str">
        <f>"1552376447652162"</f>
        <v>1552376447652162</v>
      </c>
      <c r="C6266" t="s">
        <v>40</v>
      </c>
      <c r="D6266">
        <v>3.8492510000000002</v>
      </c>
      <c r="E6266">
        <v>0.4977222</v>
      </c>
      <c r="F6266" t="s">
        <v>50</v>
      </c>
      <c r="G6266">
        <v>0</v>
      </c>
      <c r="H6266">
        <v>0</v>
      </c>
      <c r="I6266">
        <v>0</v>
      </c>
      <c r="J6266">
        <v>-321.1542</v>
      </c>
      <c r="K6266">
        <v>1.1096919999999999</v>
      </c>
      <c r="L6266">
        <v>140.20259999999999</v>
      </c>
      <c r="M6266">
        <v>-0.99986109999999995</v>
      </c>
      <c r="N6266">
        <v>0</v>
      </c>
      <c r="O6266">
        <v>8.0142970000000001E-3</v>
      </c>
      <c r="P6266">
        <v>-0.99885230000000003</v>
      </c>
      <c r="Q6266">
        <v>-1.744567E-2</v>
      </c>
      <c r="R6266">
        <v>4.460749E-2</v>
      </c>
      <c r="S6266">
        <v>-2.9988100000000002</v>
      </c>
      <c r="T6266">
        <v>4.168463E-2</v>
      </c>
      <c r="U6266">
        <v>0.11979679999999999</v>
      </c>
      <c r="V6266">
        <v>3.6598110000000003E-2</v>
      </c>
      <c r="W6266">
        <v>-2.8679959999999998E-3</v>
      </c>
      <c r="X6266">
        <v>0.99932589999999999</v>
      </c>
      <c r="Y6266">
        <v>3.1903920000000002E-2</v>
      </c>
      <c r="Z6266">
        <v>-1.102808E-4</v>
      </c>
      <c r="AA6266">
        <v>0.99949089999999996</v>
      </c>
      <c r="AB6266">
        <v>34</v>
      </c>
      <c r="AC6266">
        <v>-2.9988100000000002</v>
      </c>
      <c r="AD6266">
        <v>4.168463E-2</v>
      </c>
      <c r="AE6266">
        <v>0.11979679999999999</v>
      </c>
      <c r="AF6266">
        <v>9.5738562111888595E-2</v>
      </c>
      <c r="AG6266">
        <v>4.168463E-2</v>
      </c>
      <c r="AH6266">
        <v>2.9990952978726102</v>
      </c>
      <c r="AI6266">
        <v>89.204098703934093</v>
      </c>
      <c r="AJ6266">
        <v>88.171597483648895</v>
      </c>
      <c r="AK6266">
        <v>3.00091254227361</v>
      </c>
      <c r="AL6266">
        <v>90.164324299828706</v>
      </c>
      <c r="AM6266">
        <v>87.902605633872199</v>
      </c>
      <c r="AN6266">
        <v>0.99999995073371695</v>
      </c>
    </row>
    <row r="6267" spans="1:40" x14ac:dyDescent="0.25">
      <c r="A6267" t="str">
        <f>"20190312154047672"</f>
        <v>20190312154047672</v>
      </c>
      <c r="B6267" t="str">
        <f>"1552376447662897"</f>
        <v>1552376447662897</v>
      </c>
      <c r="C6267" t="s">
        <v>40</v>
      </c>
      <c r="D6267">
        <v>3.8132920000000001</v>
      </c>
      <c r="E6267">
        <v>0.4976431</v>
      </c>
      <c r="F6267" t="s">
        <v>50</v>
      </c>
      <c r="G6267">
        <v>0</v>
      </c>
      <c r="H6267">
        <v>0</v>
      </c>
      <c r="I6267">
        <v>0</v>
      </c>
      <c r="J6267">
        <v>-321.35300000000001</v>
      </c>
      <c r="K6267">
        <v>1.1097079999999999</v>
      </c>
      <c r="L6267">
        <v>140.20429999999999</v>
      </c>
      <c r="M6267">
        <v>-0.99985990000000002</v>
      </c>
      <c r="N6267">
        <v>0</v>
      </c>
      <c r="O6267">
        <v>8.1591459999999904E-3</v>
      </c>
      <c r="P6267">
        <v>-0.99883129999999998</v>
      </c>
      <c r="Q6267">
        <v>-1.705048E-2</v>
      </c>
      <c r="R6267">
        <v>4.5224439999999998E-2</v>
      </c>
      <c r="S6267">
        <v>-2.9987789999999999</v>
      </c>
      <c r="T6267">
        <v>4.221022E-2</v>
      </c>
      <c r="U6267">
        <v>0.1202087</v>
      </c>
      <c r="V6267">
        <v>3.7070829999999999E-2</v>
      </c>
      <c r="W6267">
        <v>-2.4743410000000001E-3</v>
      </c>
      <c r="X6267">
        <v>0.99930960000000002</v>
      </c>
      <c r="Y6267">
        <v>3.1896580000000001E-2</v>
      </c>
      <c r="Z6267">
        <v>-1.095824E-4</v>
      </c>
      <c r="AA6267">
        <v>0.99949120000000002</v>
      </c>
      <c r="AB6267">
        <v>34</v>
      </c>
      <c r="AC6267">
        <v>-2.9987789999999999</v>
      </c>
      <c r="AD6267">
        <v>4.221022E-2</v>
      </c>
      <c r="AE6267">
        <v>0.1202087</v>
      </c>
      <c r="AF6267">
        <v>9.5715674946358797E-2</v>
      </c>
      <c r="AG6267">
        <v>4.221022E-2</v>
      </c>
      <c r="AH6267">
        <v>2.9990668188055101</v>
      </c>
      <c r="AI6267">
        <v>89.194056879047594</v>
      </c>
      <c r="AJ6267">
        <v>88.172016936616899</v>
      </c>
      <c r="AK6267">
        <v>3.0008906972369198</v>
      </c>
      <c r="AL6267">
        <v>90.141769437815199</v>
      </c>
      <c r="AM6267">
        <v>87.875504654985406</v>
      </c>
      <c r="AN6267">
        <v>1.00000002272621</v>
      </c>
    </row>
    <row r="6268" spans="1:40" x14ac:dyDescent="0.25">
      <c r="A6268" t="str">
        <f>"20190312154047689"</f>
        <v>20190312154047689</v>
      </c>
      <c r="B6268" t="str">
        <f>"1552376447682417"</f>
        <v>1552376447682417</v>
      </c>
      <c r="C6268" t="s">
        <v>40</v>
      </c>
      <c r="D6268">
        <v>3.7639870000000002</v>
      </c>
      <c r="E6268">
        <v>0.49744860000000002</v>
      </c>
      <c r="F6268" t="s">
        <v>50</v>
      </c>
      <c r="G6268">
        <v>0</v>
      </c>
      <c r="H6268">
        <v>0</v>
      </c>
      <c r="I6268">
        <v>0</v>
      </c>
      <c r="J6268">
        <v>-321.5994</v>
      </c>
      <c r="K6268">
        <v>1.1097360000000001</v>
      </c>
      <c r="L6268">
        <v>140.20650000000001</v>
      </c>
      <c r="M6268">
        <v>-0.99985869999999999</v>
      </c>
      <c r="N6268">
        <v>0</v>
      </c>
      <c r="O6268">
        <v>8.3226800000000007E-3</v>
      </c>
      <c r="P6268">
        <v>-0.99879839999999998</v>
      </c>
      <c r="Q6268">
        <v>-1.6558750000000001E-2</v>
      </c>
      <c r="R6268">
        <v>4.6127410000000001E-2</v>
      </c>
      <c r="S6268">
        <v>-2.9987789999999999</v>
      </c>
      <c r="T6268">
        <v>4.4025300000000003E-2</v>
      </c>
      <c r="U6268">
        <v>0.1214142</v>
      </c>
      <c r="V6268">
        <v>3.7811030000000002E-2</v>
      </c>
      <c r="W6268">
        <v>-1.9844630000000001E-3</v>
      </c>
      <c r="X6268">
        <v>0.99928300000000003</v>
      </c>
      <c r="Y6268">
        <v>3.2134009999999998E-2</v>
      </c>
      <c r="Z6268">
        <v>-1.136355E-4</v>
      </c>
      <c r="AA6268">
        <v>0.99948360000000003</v>
      </c>
      <c r="AB6268">
        <v>34</v>
      </c>
      <c r="AC6268">
        <v>-2.9987789999999999</v>
      </c>
      <c r="AD6268">
        <v>4.4025300000000003E-2</v>
      </c>
      <c r="AE6268">
        <v>0.1214142</v>
      </c>
      <c r="AF6268">
        <v>9.64287040300979E-2</v>
      </c>
      <c r="AG6268">
        <v>4.4025300000000003E-2</v>
      </c>
      <c r="AH6268">
        <v>2.99904037995704</v>
      </c>
      <c r="AI6268">
        <v>89.159404413932805</v>
      </c>
      <c r="AJ6268">
        <v>88.1583925875061</v>
      </c>
      <c r="AK6268">
        <v>3.0009131814522498</v>
      </c>
      <c r="AL6268">
        <v>90.113701421954701</v>
      </c>
      <c r="AM6268">
        <v>87.833066886919596</v>
      </c>
      <c r="AN6268">
        <v>1.00000006308602</v>
      </c>
    </row>
    <row r="6269" spans="1:40" x14ac:dyDescent="0.25">
      <c r="A6269" t="str">
        <f>"20190312154047712"</f>
        <v>20190312154047712</v>
      </c>
      <c r="B6269" t="str">
        <f>"1552376447702914"</f>
        <v>1552376447702914</v>
      </c>
      <c r="C6269" t="s">
        <v>40</v>
      </c>
      <c r="D6269">
        <v>3.6882130000000002</v>
      </c>
      <c r="E6269">
        <v>0.49722539999999998</v>
      </c>
      <c r="F6269" t="s">
        <v>50</v>
      </c>
      <c r="G6269">
        <v>0</v>
      </c>
      <c r="H6269">
        <v>0</v>
      </c>
      <c r="I6269">
        <v>0</v>
      </c>
      <c r="J6269">
        <v>-321.95710000000003</v>
      </c>
      <c r="K6269">
        <v>1.1097729999999999</v>
      </c>
      <c r="L6269">
        <v>140.2097</v>
      </c>
      <c r="M6269">
        <v>-0.999857</v>
      </c>
      <c r="N6269">
        <v>0</v>
      </c>
      <c r="O6269">
        <v>8.5288180000000005E-3</v>
      </c>
      <c r="P6269">
        <v>-0.99876609999999999</v>
      </c>
      <c r="Q6269">
        <v>-1.5973790000000002E-2</v>
      </c>
      <c r="R6269">
        <v>4.7025659999999997E-2</v>
      </c>
      <c r="S6269">
        <v>-2.9987180000000002</v>
      </c>
      <c r="T6269">
        <v>4.7032480000000002E-2</v>
      </c>
      <c r="U6269">
        <v>0.12266539999999999</v>
      </c>
      <c r="V6269">
        <v>3.8504080000000003E-2</v>
      </c>
      <c r="W6269">
        <v>-1.4013949999999999E-3</v>
      </c>
      <c r="X6269">
        <v>0.99925739999999996</v>
      </c>
      <c r="Y6269">
        <v>3.2344749999999999E-2</v>
      </c>
      <c r="Z6269">
        <v>-1.198183E-4</v>
      </c>
      <c r="AA6269">
        <v>0.99947680000000005</v>
      </c>
      <c r="AB6269">
        <v>34</v>
      </c>
      <c r="AC6269">
        <v>-2.9987180000000002</v>
      </c>
      <c r="AD6269">
        <v>4.7032480000000002E-2</v>
      </c>
      <c r="AE6269">
        <v>0.12266539999999999</v>
      </c>
      <c r="AF6269">
        <v>9.7058854232622005E-2</v>
      </c>
      <c r="AG6269">
        <v>4.7032480000000002E-2</v>
      </c>
      <c r="AH6269">
        <v>2.9989187290658501</v>
      </c>
      <c r="AI6269">
        <v>89.101965721838198</v>
      </c>
      <c r="AJ6269">
        <v>88.146291128772702</v>
      </c>
      <c r="AK6269">
        <v>3.0008575472524202</v>
      </c>
      <c r="AL6269">
        <v>90.080294050048593</v>
      </c>
      <c r="AM6269">
        <v>87.793330937675293</v>
      </c>
      <c r="AN6269">
        <v>0.99999993976967405</v>
      </c>
    </row>
    <row r="6270" spans="1:40" x14ac:dyDescent="0.25">
      <c r="A6270" t="str">
        <f>"20190312154047734"</f>
        <v>20190312154047734</v>
      </c>
      <c r="B6270" t="str">
        <f>"1552376447722433"</f>
        <v>1552376447722433</v>
      </c>
      <c r="C6270" t="s">
        <v>40</v>
      </c>
      <c r="D6270">
        <v>3.6657099999999998</v>
      </c>
      <c r="E6270">
        <v>0.49700909999999898</v>
      </c>
      <c r="F6270" t="s">
        <v>50</v>
      </c>
      <c r="G6270">
        <v>0</v>
      </c>
      <c r="H6270">
        <v>0</v>
      </c>
      <c r="I6270">
        <v>0</v>
      </c>
      <c r="J6270">
        <v>-322.28699999999998</v>
      </c>
      <c r="K6270">
        <v>1.1098059999999901</v>
      </c>
      <c r="L6270">
        <v>140.21270000000001</v>
      </c>
      <c r="M6270">
        <v>-0.99985579999999996</v>
      </c>
      <c r="N6270">
        <v>0</v>
      </c>
      <c r="O6270">
        <v>8.6823979999999992E-3</v>
      </c>
      <c r="P6270">
        <v>-0.99873599999999996</v>
      </c>
      <c r="Q6270">
        <v>-1.560165E-2</v>
      </c>
      <c r="R6270">
        <v>4.7782699999999997E-2</v>
      </c>
      <c r="S6270">
        <v>-2.998688</v>
      </c>
      <c r="T6270">
        <v>5.0607920000000001E-2</v>
      </c>
      <c r="U6270">
        <v>0.1236725</v>
      </c>
      <c r="V6270">
        <v>3.9108120000000003E-2</v>
      </c>
      <c r="W6270">
        <v>-1.03063E-3</v>
      </c>
      <c r="X6270">
        <v>0.99923439999999997</v>
      </c>
      <c r="Y6270">
        <v>3.2526279999999998E-2</v>
      </c>
      <c r="Z6270">
        <v>-1.2786669999999999E-4</v>
      </c>
      <c r="AA6270">
        <v>0.99947090000000005</v>
      </c>
      <c r="AB6270">
        <v>34</v>
      </c>
      <c r="AC6270">
        <v>-2.998688</v>
      </c>
      <c r="AD6270">
        <v>5.0607920000000001E-2</v>
      </c>
      <c r="AE6270">
        <v>0.1236725</v>
      </c>
      <c r="AF6270">
        <v>9.7601509656211602E-2</v>
      </c>
      <c r="AG6270">
        <v>5.0607920000000001E-2</v>
      </c>
      <c r="AH6270">
        <v>2.99879616090616</v>
      </c>
      <c r="AI6270">
        <v>89.033675276317993</v>
      </c>
      <c r="AJ6270">
        <v>88.135858210828601</v>
      </c>
      <c r="AK6270">
        <v>3.0008108289126501</v>
      </c>
      <c r="AL6270">
        <v>90.059050762841096</v>
      </c>
      <c r="AM6270">
        <v>87.758696896385104</v>
      </c>
      <c r="AN6270">
        <v>0.99999994669574399</v>
      </c>
    </row>
    <row r="6271" spans="1:40" x14ac:dyDescent="0.25">
      <c r="A6271" t="str">
        <f>"20190312154047757"</f>
        <v>20190312154047757</v>
      </c>
      <c r="B6271" t="str">
        <f>"1552376447752690"</f>
        <v>1552376447752690</v>
      </c>
      <c r="C6271" t="s">
        <v>40</v>
      </c>
      <c r="D6271">
        <v>3.659843</v>
      </c>
      <c r="E6271">
        <v>0.49670789999999998</v>
      </c>
      <c r="F6271" t="s">
        <v>50</v>
      </c>
      <c r="G6271">
        <v>0</v>
      </c>
      <c r="H6271">
        <v>0</v>
      </c>
      <c r="I6271">
        <v>0</v>
      </c>
      <c r="J6271">
        <v>-322.64069999999998</v>
      </c>
      <c r="K6271">
        <v>1.1098399999999999</v>
      </c>
      <c r="L6271">
        <v>140.2159</v>
      </c>
      <c r="M6271">
        <v>-0.99985469999999999</v>
      </c>
      <c r="N6271">
        <v>0</v>
      </c>
      <c r="O6271">
        <v>8.8103169999999998E-3</v>
      </c>
      <c r="P6271">
        <v>-0.99873599999999996</v>
      </c>
      <c r="Q6271">
        <v>-1.532416E-2</v>
      </c>
      <c r="R6271">
        <v>4.7875340000000002E-2</v>
      </c>
      <c r="S6271">
        <v>-2.998688</v>
      </c>
      <c r="T6271">
        <v>5.3259969999999997E-2</v>
      </c>
      <c r="U6271">
        <v>0.12429809999999999</v>
      </c>
      <c r="V6271">
        <v>3.9073089999999998E-2</v>
      </c>
      <c r="W6271">
        <v>-7.5397699999999997E-4</v>
      </c>
      <c r="X6271">
        <v>0.99923600000000001</v>
      </c>
      <c r="Y6271">
        <v>3.2606219999999998E-2</v>
      </c>
      <c r="Z6271">
        <v>-1.330046E-4</v>
      </c>
      <c r="AA6271">
        <v>0.99946829999999998</v>
      </c>
      <c r="AB6271">
        <v>34</v>
      </c>
      <c r="AC6271">
        <v>-2.998688</v>
      </c>
      <c r="AD6271">
        <v>5.3259969999999997E-2</v>
      </c>
      <c r="AE6271">
        <v>0.12429809999999999</v>
      </c>
      <c r="AF6271">
        <v>9.7840257960165405E-2</v>
      </c>
      <c r="AG6271">
        <v>5.3259969999999997E-2</v>
      </c>
      <c r="AH6271">
        <v>2.99872247013379</v>
      </c>
      <c r="AI6271">
        <v>88.983024183769402</v>
      </c>
      <c r="AJ6271">
        <v>88.13125557347</v>
      </c>
      <c r="AK6271">
        <v>3.00079086131763</v>
      </c>
      <c r="AL6271">
        <v>90.043199707098495</v>
      </c>
      <c r="AM6271">
        <v>87.760706017983907</v>
      </c>
      <c r="AN6271">
        <v>0.99999992926972903</v>
      </c>
    </row>
    <row r="6272" spans="1:40" x14ac:dyDescent="0.25">
      <c r="A6272" t="str">
        <f>"20190312154047779"</f>
        <v>20190312154047779</v>
      </c>
      <c r="B6272" t="str">
        <f>"1552376447772213"</f>
        <v>1552376447772213</v>
      </c>
      <c r="C6272" t="s">
        <v>40</v>
      </c>
      <c r="D6272">
        <v>3.6384020000000001</v>
      </c>
      <c r="E6272">
        <v>0.49652239999999997</v>
      </c>
      <c r="F6272" t="s">
        <v>50</v>
      </c>
      <c r="G6272">
        <v>0</v>
      </c>
      <c r="H6272">
        <v>0</v>
      </c>
      <c r="I6272">
        <v>0</v>
      </c>
      <c r="J6272">
        <v>-322.9588</v>
      </c>
      <c r="K6272">
        <v>1.109869</v>
      </c>
      <c r="L6272">
        <v>140.21879999999999</v>
      </c>
      <c r="M6272">
        <v>-0.99985400000000002</v>
      </c>
      <c r="N6272">
        <v>0</v>
      </c>
      <c r="O6272">
        <v>8.8942810000000004E-3</v>
      </c>
      <c r="P6272">
        <v>-0.99877130000000003</v>
      </c>
      <c r="Q6272">
        <v>-1.452694E-2</v>
      </c>
      <c r="R6272">
        <v>4.738067E-2</v>
      </c>
      <c r="S6272">
        <v>-2.9988100000000002</v>
      </c>
      <c r="T6272">
        <v>5.662644E-2</v>
      </c>
      <c r="U6272">
        <v>0.1221619</v>
      </c>
      <c r="V6272">
        <v>3.849445E-2</v>
      </c>
      <c r="W6272" s="1">
        <v>4.2798230000000002E-5</v>
      </c>
      <c r="X6272">
        <v>0.9992588</v>
      </c>
      <c r="Y6272">
        <v>3.1809490000000003E-2</v>
      </c>
      <c r="Z6272">
        <v>-1.3230309999999999E-4</v>
      </c>
      <c r="AA6272">
        <v>0.99949399999999999</v>
      </c>
      <c r="AB6272">
        <v>34</v>
      </c>
      <c r="AC6272">
        <v>-2.9988100000000002</v>
      </c>
      <c r="AD6272">
        <v>5.662644E-2</v>
      </c>
      <c r="AE6272">
        <v>0.1221619</v>
      </c>
      <c r="AF6272">
        <v>9.5447991564826806E-2</v>
      </c>
      <c r="AG6272">
        <v>5.662644E-2</v>
      </c>
      <c r="AH6272">
        <v>2.99871054657596</v>
      </c>
      <c r="AI6272">
        <v>88.918725661083798</v>
      </c>
      <c r="AJ6272">
        <v>88.176909287453</v>
      </c>
      <c r="AK6272">
        <v>3.0007635386592399</v>
      </c>
      <c r="AL6272">
        <v>89.997547842017596</v>
      </c>
      <c r="AM6272">
        <v>87.793885375451595</v>
      </c>
      <c r="AN6272">
        <v>0.99999998694496495</v>
      </c>
    </row>
    <row r="6273" spans="1:40" x14ac:dyDescent="0.25">
      <c r="A6273" t="str">
        <f>"20190312154047801"</f>
        <v>20190312154047801</v>
      </c>
      <c r="B6273" t="str">
        <f>"1552376447792722"</f>
        <v>1552376447792722</v>
      </c>
      <c r="C6273" t="s">
        <v>40</v>
      </c>
      <c r="D6273">
        <v>3.6183709999999998</v>
      </c>
      <c r="E6273">
        <v>0.49636479999999999</v>
      </c>
      <c r="F6273" t="s">
        <v>82</v>
      </c>
      <c r="G6273">
        <v>-543.72469999999998</v>
      </c>
      <c r="H6273">
        <v>5.5145220000000004</v>
      </c>
      <c r="I6273">
        <v>148.99520000000001</v>
      </c>
      <c r="J6273">
        <v>-323.3066</v>
      </c>
      <c r="K6273">
        <v>1.1098950000000001</v>
      </c>
      <c r="L6273">
        <v>140.22200000000001</v>
      </c>
      <c r="M6273">
        <v>-0.9998534</v>
      </c>
      <c r="N6273">
        <v>0</v>
      </c>
      <c r="O6273">
        <v>8.9620169999999992E-3</v>
      </c>
      <c r="P6273">
        <v>-0.99879790000000002</v>
      </c>
      <c r="Q6273">
        <v>-1.410459E-2</v>
      </c>
      <c r="R6273">
        <v>4.6943029999999997E-2</v>
      </c>
      <c r="S6273">
        <v>-2.99884</v>
      </c>
      <c r="T6273">
        <v>5.9832450000000002E-2</v>
      </c>
      <c r="U6273">
        <v>0.1192169</v>
      </c>
      <c r="V6273">
        <v>3.7989040000000002E-2</v>
      </c>
      <c r="W6273">
        <v>4.6378789999999999E-4</v>
      </c>
      <c r="X6273">
        <v>0.99927809999999995</v>
      </c>
      <c r="Y6273">
        <v>3.0761139999999999E-2</v>
      </c>
      <c r="Z6273">
        <v>-1.2798949999999999E-4</v>
      </c>
      <c r="AA6273">
        <v>0.99952669999999999</v>
      </c>
      <c r="AB6273">
        <v>34</v>
      </c>
      <c r="AC6273">
        <v>-220.41810000000001</v>
      </c>
      <c r="AD6273">
        <v>4.4046269999999996</v>
      </c>
      <c r="AE6273">
        <v>8.7731999999999992</v>
      </c>
      <c r="AF6273">
        <v>6.79453764154177</v>
      </c>
      <c r="AG6273">
        <v>4.4046269999999996</v>
      </c>
      <c r="AH6273">
        <v>220.400008662505</v>
      </c>
      <c r="AI6273">
        <v>88.855657216256304</v>
      </c>
      <c r="AJ6273">
        <v>88.234232946177499</v>
      </c>
      <c r="AK6273">
        <v>220.54870278286299</v>
      </c>
      <c r="AL6273">
        <v>89.973426911161894</v>
      </c>
      <c r="AM6273">
        <v>87.822864342560095</v>
      </c>
      <c r="AN6273">
        <v>1.00000005169947</v>
      </c>
    </row>
    <row r="6274" spans="1:40" x14ac:dyDescent="0.25">
      <c r="A6274" t="str">
        <f>"20190312154047815"</f>
        <v>20190312154047815</v>
      </c>
      <c r="B6274" t="str">
        <f>"1552376447802468"</f>
        <v>1552376447802468</v>
      </c>
      <c r="C6274" t="s">
        <v>40</v>
      </c>
      <c r="D6274">
        <v>3.6297549999999998</v>
      </c>
      <c r="E6274">
        <v>0.49629899999999999</v>
      </c>
      <c r="F6274" t="s">
        <v>82</v>
      </c>
      <c r="G6274">
        <v>-546.18740000000003</v>
      </c>
      <c r="H6274">
        <v>5.7795820000000004</v>
      </c>
      <c r="I6274">
        <v>148.9051</v>
      </c>
      <c r="J6274">
        <v>-323.5247</v>
      </c>
      <c r="K6274">
        <v>1.1099110000000001</v>
      </c>
      <c r="L6274">
        <v>140.22399999999999</v>
      </c>
      <c r="M6274">
        <v>-0.9998532</v>
      </c>
      <c r="N6274">
        <v>0</v>
      </c>
      <c r="O6274">
        <v>8.9962110000000005E-3</v>
      </c>
      <c r="P6274">
        <v>-0.99881770000000003</v>
      </c>
      <c r="Q6274">
        <v>-1.3849719999999999E-2</v>
      </c>
      <c r="R6274">
        <v>4.6598920000000002E-2</v>
      </c>
      <c r="S6274">
        <v>-2.998993</v>
      </c>
      <c r="T6274">
        <v>6.2833910000000007E-2</v>
      </c>
      <c r="U6274">
        <v>0.1168365</v>
      </c>
      <c r="V6274">
        <v>3.7610600000000001E-2</v>
      </c>
      <c r="W6274">
        <v>7.1794199999999995E-4</v>
      </c>
      <c r="X6274">
        <v>0.99929219999999996</v>
      </c>
      <c r="Y6274">
        <v>2.993256E-2</v>
      </c>
      <c r="Z6274">
        <v>-1.2501179999999999E-4</v>
      </c>
      <c r="AA6274">
        <v>0.99955190000000005</v>
      </c>
      <c r="AB6274">
        <v>34</v>
      </c>
      <c r="AC6274">
        <v>-222.6627</v>
      </c>
      <c r="AD6274">
        <v>4.6696709999999904</v>
      </c>
      <c r="AE6274">
        <v>8.6811000000000096</v>
      </c>
      <c r="AF6274">
        <v>6.6744838521885503</v>
      </c>
      <c r="AG6274">
        <v>4.6696709999999904</v>
      </c>
      <c r="AH6274">
        <v>222.63402208764501</v>
      </c>
      <c r="AI6274">
        <v>88.798956640787296</v>
      </c>
      <c r="AJ6274">
        <v>88.282808515982495</v>
      </c>
      <c r="AK6274">
        <v>222.78299385918899</v>
      </c>
      <c r="AL6274">
        <v>89.958864949389096</v>
      </c>
      <c r="AM6274">
        <v>87.844562402223403</v>
      </c>
      <c r="AN6274">
        <v>0.99999998682695701</v>
      </c>
    </row>
    <row r="6275" spans="1:40" x14ac:dyDescent="0.25">
      <c r="A6275" t="str">
        <f>"20190312154047833"</f>
        <v>20190312154047833</v>
      </c>
      <c r="B6275" t="str">
        <f>"1552376447822962"</f>
        <v>1552376447822962</v>
      </c>
      <c r="C6275" t="s">
        <v>40</v>
      </c>
      <c r="D6275">
        <v>3.6285050000000001</v>
      </c>
      <c r="E6275">
        <v>0.49612210000000001</v>
      </c>
      <c r="F6275" t="s">
        <v>82</v>
      </c>
      <c r="G6275">
        <v>-549.51919999999996</v>
      </c>
      <c r="H6275">
        <v>5.9417660000000003</v>
      </c>
      <c r="I6275">
        <v>148.9051</v>
      </c>
      <c r="J6275">
        <v>-323.80329999999998</v>
      </c>
      <c r="K6275">
        <v>1.1099270000000001</v>
      </c>
      <c r="L6275">
        <v>140.22649999999999</v>
      </c>
      <c r="M6275">
        <v>-0.99985290000000004</v>
      </c>
      <c r="N6275">
        <v>0</v>
      </c>
      <c r="O6275">
        <v>9.0327979999999999E-3</v>
      </c>
      <c r="P6275">
        <v>-0.99886439999999999</v>
      </c>
      <c r="Q6275">
        <v>-1.3321070000000001E-2</v>
      </c>
      <c r="R6275">
        <v>4.5744050000000001E-2</v>
      </c>
      <c r="S6275">
        <v>-2.9990839999999999</v>
      </c>
      <c r="T6275">
        <v>6.4122200000000004E-2</v>
      </c>
      <c r="U6275">
        <v>0.1152039</v>
      </c>
      <c r="V6275">
        <v>3.6718960000000002E-2</v>
      </c>
      <c r="W6275">
        <v>1.2453239999999999E-3</v>
      </c>
      <c r="X6275">
        <v>0.99932489999999996</v>
      </c>
      <c r="Y6275">
        <v>2.93514E-2</v>
      </c>
      <c r="Z6275">
        <v>-1.2058009999999999E-4</v>
      </c>
      <c r="AA6275">
        <v>0.99956909999999999</v>
      </c>
      <c r="AB6275">
        <v>34</v>
      </c>
      <c r="AC6275">
        <v>-225.7159</v>
      </c>
      <c r="AD6275">
        <v>4.8318389999999898</v>
      </c>
      <c r="AE6275">
        <v>8.6786000000000101</v>
      </c>
      <c r="AF6275">
        <v>6.63614647507399</v>
      </c>
      <c r="AG6275">
        <v>4.8318389999999898</v>
      </c>
      <c r="AH6275">
        <v>225.68182439722801</v>
      </c>
      <c r="AI6275">
        <v>88.774016737729994</v>
      </c>
      <c r="AJ6275">
        <v>88.315709930004402</v>
      </c>
      <c r="AK6275">
        <v>225.83106733003299</v>
      </c>
      <c r="AL6275">
        <v>89.928648175392595</v>
      </c>
      <c r="AM6275">
        <v>87.895683975715599</v>
      </c>
      <c r="AN6275">
        <v>1.00000004430767</v>
      </c>
    </row>
    <row r="6276" spans="1:40" x14ac:dyDescent="0.25">
      <c r="A6276" t="str">
        <f>"20190312154047850"</f>
        <v>20190312154047850</v>
      </c>
      <c r="B6276" t="str">
        <f>"1552376447842481"</f>
        <v>1552376447842481</v>
      </c>
      <c r="C6276" t="s">
        <v>40</v>
      </c>
      <c r="D6276">
        <v>3.6160770000000002</v>
      </c>
      <c r="E6276">
        <v>0.49614340000000001</v>
      </c>
      <c r="F6276" t="s">
        <v>50</v>
      </c>
      <c r="G6276">
        <v>0</v>
      </c>
      <c r="H6276">
        <v>0</v>
      </c>
      <c r="I6276">
        <v>0</v>
      </c>
      <c r="J6276">
        <v>-324.04649999999998</v>
      </c>
      <c r="K6276">
        <v>1.1099380000000001</v>
      </c>
      <c r="L6276">
        <v>140.22880000000001</v>
      </c>
      <c r="M6276">
        <v>-0.99985270000000004</v>
      </c>
      <c r="N6276">
        <v>0</v>
      </c>
      <c r="O6276">
        <v>9.0608700000000004E-3</v>
      </c>
      <c r="P6276">
        <v>-0.99889430000000001</v>
      </c>
      <c r="Q6276">
        <v>-1.2966500000000001E-2</v>
      </c>
      <c r="R6276">
        <v>4.5190059999999997E-2</v>
      </c>
      <c r="S6276">
        <v>-2.9992070000000002</v>
      </c>
      <c r="T6276">
        <v>6.6623450000000001E-2</v>
      </c>
      <c r="U6276">
        <v>0.11119080000000001</v>
      </c>
      <c r="V6276">
        <v>3.6136750000000002E-2</v>
      </c>
      <c r="W6276">
        <v>1.59866E-3</v>
      </c>
      <c r="X6276">
        <v>0.99934559999999995</v>
      </c>
      <c r="Y6276">
        <v>2.798616E-2</v>
      </c>
      <c r="Z6276">
        <v>-1.0950060000000001E-4</v>
      </c>
      <c r="AA6276">
        <v>0.99960830000000001</v>
      </c>
      <c r="AB6276">
        <v>34</v>
      </c>
      <c r="AC6276">
        <v>-2.9992070000000002</v>
      </c>
      <c r="AD6276">
        <v>6.6623450000000001E-2</v>
      </c>
      <c r="AE6276">
        <v>0.11119080000000001</v>
      </c>
      <c r="AF6276">
        <v>8.39665460447718E-2</v>
      </c>
      <c r="AG6276">
        <v>6.6623450000000001E-2</v>
      </c>
      <c r="AH6276">
        <v>2.9986138182951398</v>
      </c>
      <c r="AI6276">
        <v>88.7277055775604</v>
      </c>
      <c r="AJ6276">
        <v>88.396034909862095</v>
      </c>
      <c r="AK6276">
        <v>3.0005289360736298</v>
      </c>
      <c r="AL6276">
        <v>89.908403492336106</v>
      </c>
      <c r="AM6276">
        <v>87.929063249053002</v>
      </c>
      <c r="AN6276">
        <v>1.0000000243268501</v>
      </c>
    </row>
    <row r="6277" spans="1:40" x14ac:dyDescent="0.25">
      <c r="A6277" t="str">
        <f>"20190312154047867"</f>
        <v>20190312154047867</v>
      </c>
      <c r="B6277" t="str">
        <f>"1552376447862978"</f>
        <v>1552376447862978</v>
      </c>
      <c r="C6277" t="s">
        <v>40</v>
      </c>
      <c r="D6277">
        <v>3.588835</v>
      </c>
      <c r="E6277">
        <v>0.5120015</v>
      </c>
      <c r="F6277" t="s">
        <v>50</v>
      </c>
      <c r="G6277">
        <v>0</v>
      </c>
      <c r="H6277">
        <v>0</v>
      </c>
      <c r="I6277">
        <v>0</v>
      </c>
      <c r="J6277">
        <v>-324.31319999999999</v>
      </c>
      <c r="K6277">
        <v>1.10995</v>
      </c>
      <c r="L6277">
        <v>140.2312</v>
      </c>
      <c r="M6277">
        <v>-0.99985250000000003</v>
      </c>
      <c r="N6277">
        <v>0</v>
      </c>
      <c r="O6277">
        <v>9.0894449999999998E-3</v>
      </c>
      <c r="P6277">
        <v>-0.99892250000000005</v>
      </c>
      <c r="Q6277">
        <v>-1.166994E-2</v>
      </c>
      <c r="R6277">
        <v>4.4920809999999999E-2</v>
      </c>
      <c r="S6277">
        <v>-2.9992369999999999</v>
      </c>
      <c r="T6277">
        <v>6.842434E-2</v>
      </c>
      <c r="U6277">
        <v>0.1097412</v>
      </c>
      <c r="V6277">
        <v>3.5838979999999999E-2</v>
      </c>
      <c r="W6277">
        <v>2.8927919999999999E-3</v>
      </c>
      <c r="X6277">
        <v>0.99935339999999995</v>
      </c>
      <c r="Y6277">
        <v>2.747463E-2</v>
      </c>
      <c r="Z6277">
        <v>-1.059756E-4</v>
      </c>
      <c r="AA6277">
        <v>0.99962249999999997</v>
      </c>
      <c r="AB6277">
        <v>34</v>
      </c>
      <c r="AC6277">
        <v>-2.9992369999999999</v>
      </c>
      <c r="AD6277">
        <v>6.842434E-2</v>
      </c>
      <c r="AE6277">
        <v>0.1097412</v>
      </c>
      <c r="AF6277">
        <v>8.2429525685145999E-2</v>
      </c>
      <c r="AG6277">
        <v>6.842434E-2</v>
      </c>
      <c r="AH6277">
        <v>2.9985520841598499</v>
      </c>
      <c r="AI6277">
        <v>88.693280680442101</v>
      </c>
      <c r="AJ6277">
        <v>88.425348413029695</v>
      </c>
      <c r="AK6277">
        <v>3.0004651503439499</v>
      </c>
      <c r="AL6277">
        <v>89.834254997784399</v>
      </c>
      <c r="AM6277">
        <v>87.946129291284095</v>
      </c>
      <c r="AN6277">
        <v>1.0000000094122701</v>
      </c>
    </row>
    <row r="6278" spans="1:40" x14ac:dyDescent="0.25">
      <c r="A6278" t="str">
        <f>"20190312154047882"</f>
        <v>20190312154047882</v>
      </c>
      <c r="B6278" t="str">
        <f>"1552376447872738"</f>
        <v>1552376447872738</v>
      </c>
      <c r="C6278" t="s">
        <v>40</v>
      </c>
      <c r="D6278">
        <v>3.5908519999999902</v>
      </c>
      <c r="E6278">
        <v>0.51243919999999998</v>
      </c>
      <c r="F6278" t="s">
        <v>82</v>
      </c>
      <c r="G6278">
        <v>-511.92770000000002</v>
      </c>
      <c r="H6278">
        <v>7.5162709999999997</v>
      </c>
      <c r="I6278">
        <v>155.07499999999999</v>
      </c>
      <c r="J6278">
        <v>-324.54500000000002</v>
      </c>
      <c r="K6278">
        <v>1.109958</v>
      </c>
      <c r="L6278">
        <v>140.23339999999999</v>
      </c>
      <c r="M6278">
        <v>-0.99985219999999997</v>
      </c>
      <c r="N6278">
        <v>0</v>
      </c>
      <c r="O6278">
        <v>9.1135859999999999E-3</v>
      </c>
      <c r="P6278">
        <v>-0.99893699999999996</v>
      </c>
      <c r="Q6278">
        <v>-1.110006E-2</v>
      </c>
      <c r="R6278">
        <v>4.4741839999999998E-2</v>
      </c>
      <c r="S6278">
        <v>-2.9937740000000002</v>
      </c>
      <c r="T6278">
        <v>0.1022266</v>
      </c>
      <c r="U6278">
        <v>0.23686219999999999</v>
      </c>
      <c r="V6278">
        <v>3.5635809999999997E-2</v>
      </c>
      <c r="W6278">
        <v>3.460702E-3</v>
      </c>
      <c r="X6278">
        <v>0.99935879999999999</v>
      </c>
      <c r="Y6278">
        <v>6.9747219999999999E-2</v>
      </c>
      <c r="Z6278">
        <v>-8.7798339999999996E-4</v>
      </c>
      <c r="AA6278">
        <v>0.99756429999999996</v>
      </c>
      <c r="AB6278">
        <v>34</v>
      </c>
      <c r="AC6278">
        <v>-187.3827</v>
      </c>
      <c r="AD6278">
        <v>6.4063129999999999</v>
      </c>
      <c r="AE6278">
        <v>14.8416</v>
      </c>
      <c r="AF6278">
        <v>13.117836516217499</v>
      </c>
      <c r="AG6278">
        <v>6.4063129999999999</v>
      </c>
      <c r="AH6278">
        <v>187.29263951211999</v>
      </c>
      <c r="AI6278">
        <v>88.045755015162996</v>
      </c>
      <c r="AJ6278">
        <v>85.993589015188604</v>
      </c>
      <c r="AK6278">
        <v>187.86072313428599</v>
      </c>
      <c r="AL6278">
        <v>89.801715975398096</v>
      </c>
      <c r="AM6278">
        <v>87.957773755370297</v>
      </c>
      <c r="AN6278">
        <v>0.99999994927506297</v>
      </c>
    </row>
    <row r="6279" spans="1:40" x14ac:dyDescent="0.25">
      <c r="A6279" t="str">
        <f>"20190312154047895"</f>
        <v>20190312154047895</v>
      </c>
      <c r="B6279" t="str">
        <f>"1552376447882497"</f>
        <v>1552376447882497</v>
      </c>
      <c r="C6279" t="s">
        <v>40</v>
      </c>
      <c r="D6279">
        <v>3.5485310000000001</v>
      </c>
      <c r="E6279">
        <v>0.51317279999999998</v>
      </c>
      <c r="F6279" t="s">
        <v>82</v>
      </c>
      <c r="G6279">
        <v>-510.17619999999999</v>
      </c>
      <c r="H6279">
        <v>7.316808</v>
      </c>
      <c r="I6279">
        <v>155.0915</v>
      </c>
      <c r="J6279">
        <v>-324.73750000000001</v>
      </c>
      <c r="K6279">
        <v>1.109964</v>
      </c>
      <c r="L6279">
        <v>140.23509999999999</v>
      </c>
      <c r="M6279">
        <v>-0.99985210000000002</v>
      </c>
      <c r="N6279">
        <v>0</v>
      </c>
      <c r="O6279">
        <v>9.1335159999999995E-3</v>
      </c>
      <c r="P6279">
        <v>-0.99896620000000003</v>
      </c>
      <c r="Q6279">
        <v>-1.0119939999999999E-2</v>
      </c>
      <c r="R6279">
        <v>4.4321699999999999E-2</v>
      </c>
      <c r="S6279">
        <v>-2.9935610000000001</v>
      </c>
      <c r="T6279">
        <v>0.10009469999999999</v>
      </c>
      <c r="U6279">
        <v>0.23960880000000001</v>
      </c>
      <c r="V6279">
        <v>3.5195619999999997E-2</v>
      </c>
      <c r="W6279">
        <v>4.4391650000000001E-3</v>
      </c>
      <c r="X6279">
        <v>0.9993706</v>
      </c>
      <c r="Y6279">
        <v>7.0643369999999997E-2</v>
      </c>
      <c r="Z6279">
        <v>-8.7400249999999998E-4</v>
      </c>
      <c r="AA6279">
        <v>0.99750130000000004</v>
      </c>
      <c r="AB6279">
        <v>34</v>
      </c>
      <c r="AC6279">
        <v>-185.43870000000001</v>
      </c>
      <c r="AD6279">
        <v>6.2068440000000002</v>
      </c>
      <c r="AE6279">
        <v>14.856400000000001</v>
      </c>
      <c r="AF6279">
        <v>13.1472578275673</v>
      </c>
      <c r="AG6279">
        <v>6.2068440000000002</v>
      </c>
      <c r="AH6279">
        <v>185.36033105624301</v>
      </c>
      <c r="AI6279">
        <v>88.086953387097594</v>
      </c>
      <c r="AJ6279">
        <v>85.942913042954103</v>
      </c>
      <c r="AK6279">
        <v>185.92963085561399</v>
      </c>
      <c r="AL6279">
        <v>89.745653749890906</v>
      </c>
      <c r="AM6279">
        <v>87.9830031071848</v>
      </c>
      <c r="AN6279">
        <v>1.00000001699872</v>
      </c>
    </row>
    <row r="6280" spans="1:40" x14ac:dyDescent="0.25">
      <c r="A6280" t="str">
        <f>"20190312154047913"</f>
        <v>20190312154047913</v>
      </c>
      <c r="B6280" t="str">
        <f>"1552376447902995"</f>
        <v>1552376447902995</v>
      </c>
      <c r="C6280" t="s">
        <v>40</v>
      </c>
      <c r="D6280">
        <v>3.5790820000000001</v>
      </c>
      <c r="E6280">
        <v>0.51384379999999996</v>
      </c>
      <c r="F6280" t="s">
        <v>82</v>
      </c>
      <c r="G6280">
        <v>-511.92770000000002</v>
      </c>
      <c r="H6280">
        <v>7.6256649999999997</v>
      </c>
      <c r="I6280">
        <v>155.51779999999999</v>
      </c>
      <c r="J6280">
        <v>-325.00110000000001</v>
      </c>
      <c r="K6280">
        <v>1.1099730000000001</v>
      </c>
      <c r="L6280">
        <v>140.23759999999999</v>
      </c>
      <c r="M6280">
        <v>-0.99985190000000002</v>
      </c>
      <c r="N6280">
        <v>0</v>
      </c>
      <c r="O6280">
        <v>9.1616730000000004E-3</v>
      </c>
      <c r="P6280">
        <v>-0.99899280000000001</v>
      </c>
      <c r="Q6280">
        <v>-7.6321679999999999E-3</v>
      </c>
      <c r="R6280">
        <v>4.4219649999999999E-2</v>
      </c>
      <c r="S6280">
        <v>-2.993347</v>
      </c>
      <c r="T6280">
        <v>0.1041927</v>
      </c>
      <c r="U6280">
        <v>0.24438480000000001</v>
      </c>
      <c r="V6280">
        <v>3.5065510000000001E-2</v>
      </c>
      <c r="W6280">
        <v>6.9243999999999998E-3</v>
      </c>
      <c r="X6280">
        <v>0.99936100000000005</v>
      </c>
      <c r="Y6280">
        <v>7.2198310000000002E-2</v>
      </c>
      <c r="Z6280">
        <v>-9.3580249999999996E-4</v>
      </c>
      <c r="AA6280">
        <v>0.99738990000000005</v>
      </c>
      <c r="AB6280">
        <v>34</v>
      </c>
      <c r="AC6280">
        <v>-186.92660000000001</v>
      </c>
      <c r="AD6280">
        <v>6.5156919999999996</v>
      </c>
      <c r="AE6280">
        <v>15.280200000000001</v>
      </c>
      <c r="AF6280">
        <v>13.5504617916872</v>
      </c>
      <c r="AG6280">
        <v>6.5156919999999996</v>
      </c>
      <c r="AH6280">
        <v>186.83326329328301</v>
      </c>
      <c r="AI6280">
        <v>88.007883700013295</v>
      </c>
      <c r="AJ6280">
        <v>85.851770539482899</v>
      </c>
      <c r="AK6280">
        <v>187.43728959261099</v>
      </c>
      <c r="AL6280">
        <v>89.603257923057697</v>
      </c>
      <c r="AM6280">
        <v>87.990434061516794</v>
      </c>
      <c r="AN6280">
        <v>0.99999997281395903</v>
      </c>
    </row>
    <row r="6281" spans="1:40" x14ac:dyDescent="0.25">
      <c r="A6281" t="str">
        <f>"20190312154047945"</f>
        <v>20190312154047945</v>
      </c>
      <c r="B6281" t="str">
        <f>"1552376447932273"</f>
        <v>1552376447932273</v>
      </c>
      <c r="C6281" t="s">
        <v>40</v>
      </c>
      <c r="D6281">
        <v>3.5769129999999998</v>
      </c>
      <c r="E6281">
        <v>0.51413770000000003</v>
      </c>
      <c r="F6281" t="s">
        <v>82</v>
      </c>
      <c r="G6281">
        <v>-511.92790000000002</v>
      </c>
      <c r="H6281">
        <v>8.2551589999999901</v>
      </c>
      <c r="I6281">
        <v>155.81370000000001</v>
      </c>
      <c r="J6281">
        <v>-325.48500000000001</v>
      </c>
      <c r="K6281">
        <v>1.109993</v>
      </c>
      <c r="L6281">
        <v>140.24209999999999</v>
      </c>
      <c r="M6281">
        <v>-0.9998515</v>
      </c>
      <c r="N6281">
        <v>0</v>
      </c>
      <c r="O6281">
        <v>9.2158150000000005E-3</v>
      </c>
      <c r="P6281">
        <v>-0.99900009999999995</v>
      </c>
      <c r="Q6281">
        <v>-3.9974670000000002E-3</v>
      </c>
      <c r="R6281">
        <v>4.4529699999999998E-2</v>
      </c>
      <c r="S6281">
        <v>-2.9928889999999999</v>
      </c>
      <c r="T6281">
        <v>0.1144023</v>
      </c>
      <c r="U6281">
        <v>0.24938959999999999</v>
      </c>
      <c r="V6281">
        <v>3.5321829999999999E-2</v>
      </c>
      <c r="W6281">
        <v>1.055394E-2</v>
      </c>
      <c r="X6281">
        <v>0.99932030000000005</v>
      </c>
      <c r="Y6281">
        <v>7.3804270000000005E-2</v>
      </c>
      <c r="Z6281">
        <v>-1.056087E-3</v>
      </c>
      <c r="AA6281">
        <v>0.99727220000000005</v>
      </c>
      <c r="AB6281">
        <v>34</v>
      </c>
      <c r="AC6281">
        <v>-186.44290000000001</v>
      </c>
      <c r="AD6281">
        <v>7.1451659999999899</v>
      </c>
      <c r="AE6281">
        <v>15.5716</v>
      </c>
      <c r="AF6281">
        <v>13.8323582645853</v>
      </c>
      <c r="AG6281">
        <v>7.1451659999999899</v>
      </c>
      <c r="AH6281">
        <v>186.306767756563</v>
      </c>
      <c r="AI6281">
        <v>87.809713136507</v>
      </c>
      <c r="AJ6281">
        <v>85.753861672347796</v>
      </c>
      <c r="AK6281">
        <v>186.95614256885301</v>
      </c>
      <c r="AL6281">
        <v>89.3952925784385</v>
      </c>
      <c r="AM6281">
        <v>87.975674445264204</v>
      </c>
      <c r="AN6281">
        <v>1.0000000396580799</v>
      </c>
    </row>
    <row r="6282" spans="1:40" x14ac:dyDescent="0.25">
      <c r="A6282" t="str">
        <f>"20190312154047968"</f>
        <v>20190312154047968</v>
      </c>
      <c r="B6282" t="str">
        <f>"1552376447962529"</f>
        <v>1552376447962529</v>
      </c>
      <c r="C6282" t="s">
        <v>40</v>
      </c>
      <c r="D6282">
        <v>3.5340989999999999</v>
      </c>
      <c r="E6282">
        <v>0.51414139999999997</v>
      </c>
      <c r="F6282" t="s">
        <v>82</v>
      </c>
      <c r="G6282">
        <v>-511.9282</v>
      </c>
      <c r="H6282">
        <v>9.1025369999999999</v>
      </c>
      <c r="I6282">
        <v>155.9896</v>
      </c>
      <c r="J6282">
        <v>-325.82569999999998</v>
      </c>
      <c r="K6282">
        <v>1.1100110000000001</v>
      </c>
      <c r="L6282">
        <v>140.24529999999999</v>
      </c>
      <c r="M6282">
        <v>-0.99985119999999905</v>
      </c>
      <c r="N6282">
        <v>0</v>
      </c>
      <c r="O6282">
        <v>9.2557400000000001E-3</v>
      </c>
      <c r="P6282">
        <v>-0.99899979999999999</v>
      </c>
      <c r="Q6282">
        <v>3.411714E-4</v>
      </c>
      <c r="R6282">
        <v>4.4715350000000001E-2</v>
      </c>
      <c r="S6282">
        <v>-2.9922179999999998</v>
      </c>
      <c r="T6282">
        <v>0.12827249999999901</v>
      </c>
      <c r="U6282">
        <v>0.25273129999999999</v>
      </c>
      <c r="V6282">
        <v>3.5468090000000001E-2</v>
      </c>
      <c r="W6282">
        <v>1.488804E-2</v>
      </c>
      <c r="X6282">
        <v>0.99925989999999998</v>
      </c>
      <c r="Y6282">
        <v>7.4875890000000001E-2</v>
      </c>
      <c r="Z6282">
        <v>-1.2054380000000001E-3</v>
      </c>
      <c r="AA6282">
        <v>0.99719210000000003</v>
      </c>
      <c r="AB6282">
        <v>34</v>
      </c>
      <c r="AC6282">
        <v>-186.10249999999999</v>
      </c>
      <c r="AD6282">
        <v>7.9925259999999998</v>
      </c>
      <c r="AE6282">
        <v>15.744300000000001</v>
      </c>
      <c r="AF6282">
        <v>13.9952965580036</v>
      </c>
      <c r="AG6282">
        <v>7.9925259999999998</v>
      </c>
      <c r="AH6282">
        <v>185.899823353356</v>
      </c>
      <c r="AI6282">
        <v>87.5450955587621</v>
      </c>
      <c r="AJ6282">
        <v>85.694661661727096</v>
      </c>
      <c r="AK6282">
        <v>186.59714124395401</v>
      </c>
      <c r="AL6282">
        <v>89.146946621462703</v>
      </c>
      <c r="AM6282">
        <v>87.967176408616595</v>
      </c>
      <c r="AN6282">
        <v>0.99999999344564905</v>
      </c>
    </row>
    <row r="6283" spans="1:40" x14ac:dyDescent="0.25">
      <c r="A6283" t="str">
        <f>"20190312154047991"</f>
        <v>20190312154047991</v>
      </c>
      <c r="B6283" t="str">
        <f>"1552376447982050"</f>
        <v>1552376447982050</v>
      </c>
      <c r="C6283" t="s">
        <v>40</v>
      </c>
      <c r="D6283">
        <v>3.5119799999999999</v>
      </c>
      <c r="E6283">
        <v>0.51454840000000002</v>
      </c>
      <c r="F6283" t="s">
        <v>82</v>
      </c>
      <c r="G6283">
        <v>-511.92849999999999</v>
      </c>
      <c r="H6283">
        <v>9.9342670000000002</v>
      </c>
      <c r="I6283">
        <v>156.0043</v>
      </c>
      <c r="J6283">
        <v>-326.17259999999999</v>
      </c>
      <c r="K6283">
        <v>1.1100369999999999</v>
      </c>
      <c r="L6283">
        <v>140.24850000000001</v>
      </c>
      <c r="M6283">
        <v>-0.99985089999999999</v>
      </c>
      <c r="N6283">
        <v>0</v>
      </c>
      <c r="O6283">
        <v>9.2966899999999998E-3</v>
      </c>
      <c r="P6283">
        <v>-0.99901130000000005</v>
      </c>
      <c r="Q6283">
        <v>5.1977819999999997E-3</v>
      </c>
      <c r="R6283">
        <v>4.415359E-2</v>
      </c>
      <c r="S6283">
        <v>-2.9916079999999998</v>
      </c>
      <c r="T6283">
        <v>0.1418507</v>
      </c>
      <c r="U6283">
        <v>0.25332640000000001</v>
      </c>
      <c r="V6283">
        <v>3.4865979999999998E-2</v>
      </c>
      <c r="W6283">
        <v>1.9740560000000001E-2</v>
      </c>
      <c r="X6283">
        <v>0.999197</v>
      </c>
      <c r="Y6283">
        <v>7.5035560000000001E-2</v>
      </c>
      <c r="Z6283">
        <v>-1.335003E-3</v>
      </c>
      <c r="AA6283">
        <v>0.99717999999999996</v>
      </c>
      <c r="AB6283">
        <v>34</v>
      </c>
      <c r="AC6283">
        <v>-185.7559</v>
      </c>
      <c r="AD6283">
        <v>8.82423</v>
      </c>
      <c r="AE6283">
        <v>15.755799999999899</v>
      </c>
      <c r="AF6283">
        <v>13.9966608316139</v>
      </c>
      <c r="AG6283">
        <v>8.82423</v>
      </c>
      <c r="AH6283">
        <v>185.47878819451901</v>
      </c>
      <c r="AI6283">
        <v>87.283894344221196</v>
      </c>
      <c r="AJ6283">
        <v>85.684506406122907</v>
      </c>
      <c r="AK6283">
        <v>186.215344211038</v>
      </c>
      <c r="AL6283">
        <v>88.868875737723997</v>
      </c>
      <c r="AM6283">
        <v>88.001531918980703</v>
      </c>
      <c r="AN6283">
        <v>0.99999998553973601</v>
      </c>
    </row>
    <row r="6284" spans="1:40" x14ac:dyDescent="0.25">
      <c r="A6284" t="str">
        <f>"20190312154048012"</f>
        <v>20190312154048012</v>
      </c>
      <c r="B6284" t="str">
        <f>"1552376448002546"</f>
        <v>1552376448002546</v>
      </c>
      <c r="C6284" t="s">
        <v>40</v>
      </c>
      <c r="D6284">
        <v>3.5409600000000001</v>
      </c>
      <c r="E6284">
        <v>0.5143394</v>
      </c>
      <c r="F6284" t="s">
        <v>82</v>
      </c>
      <c r="G6284">
        <v>-511.92869999999999</v>
      </c>
      <c r="H6284">
        <v>10.73559</v>
      </c>
      <c r="I6284">
        <v>156.07570000000001</v>
      </c>
      <c r="J6284">
        <v>-326.49489999999997</v>
      </c>
      <c r="K6284">
        <v>1.1100639999999999</v>
      </c>
      <c r="L6284">
        <v>140.2516</v>
      </c>
      <c r="M6284">
        <v>-0.99985060000000003</v>
      </c>
      <c r="N6284">
        <v>0</v>
      </c>
      <c r="O6284">
        <v>9.3353220000000001E-3</v>
      </c>
      <c r="P6284">
        <v>-0.99899280000000001</v>
      </c>
      <c r="Q6284">
        <v>1.115027E-2</v>
      </c>
      <c r="R6284">
        <v>4.3467209999999999E-2</v>
      </c>
      <c r="S6284">
        <v>-2.9909059999999998</v>
      </c>
      <c r="T6284">
        <v>0.15498399999999901</v>
      </c>
      <c r="U6284">
        <v>0.25483699999999998</v>
      </c>
      <c r="V6284">
        <v>3.4141989999999997E-2</v>
      </c>
      <c r="W6284">
        <v>2.5688510000000001E-2</v>
      </c>
      <c r="X6284">
        <v>0.99908680000000005</v>
      </c>
      <c r="Y6284">
        <v>7.5501960000000007E-2</v>
      </c>
      <c r="Z6284">
        <v>-1.4688139999999999E-3</v>
      </c>
      <c r="AA6284">
        <v>0.99714460000000005</v>
      </c>
      <c r="AB6284">
        <v>34</v>
      </c>
      <c r="AC6284">
        <v>-185.43379999999999</v>
      </c>
      <c r="AD6284">
        <v>9.62552599999999</v>
      </c>
      <c r="AE6284">
        <v>15.8241</v>
      </c>
      <c r="AF6284">
        <v>14.054547295253</v>
      </c>
      <c r="AG6284">
        <v>9.62552599999999</v>
      </c>
      <c r="AH6284">
        <v>185.078376356641</v>
      </c>
      <c r="AI6284">
        <v>87.031384525428393</v>
      </c>
      <c r="AJ6284">
        <v>85.657387422998298</v>
      </c>
      <c r="AK6284">
        <v>185.860664061177</v>
      </c>
      <c r="AL6284">
        <v>88.527994875417605</v>
      </c>
      <c r="AM6284">
        <v>88.042781689076094</v>
      </c>
      <c r="AN6284">
        <v>1.00000000448071</v>
      </c>
    </row>
    <row r="6285" spans="1:40" x14ac:dyDescent="0.25">
      <c r="A6285" t="str">
        <f>"20190312154048035"</f>
        <v>20190312154048035</v>
      </c>
      <c r="B6285" t="str">
        <f>"1552376448022065"</f>
        <v>1552376448022065</v>
      </c>
      <c r="C6285" t="s">
        <v>40</v>
      </c>
      <c r="D6285">
        <v>3.506157</v>
      </c>
      <c r="E6285">
        <v>0.51430679999999995</v>
      </c>
      <c r="F6285" t="s">
        <v>82</v>
      </c>
      <c r="G6285">
        <v>-511.92910000000001</v>
      </c>
      <c r="H6285">
        <v>11.73734</v>
      </c>
      <c r="I6285">
        <v>155.809</v>
      </c>
      <c r="J6285">
        <v>-326.8313</v>
      </c>
      <c r="K6285">
        <v>1.1100950000000001</v>
      </c>
      <c r="L6285">
        <v>140.25470000000001</v>
      </c>
      <c r="M6285">
        <v>-0.99985020000000002</v>
      </c>
      <c r="N6285">
        <v>0</v>
      </c>
      <c r="O6285">
        <v>9.3755690000000003E-3</v>
      </c>
      <c r="P6285">
        <v>-0.99893900000000002</v>
      </c>
      <c r="Q6285">
        <v>1.876688E-2</v>
      </c>
      <c r="R6285">
        <v>4.2056450000000002E-2</v>
      </c>
      <c r="S6285">
        <v>-2.9902039999999999</v>
      </c>
      <c r="T6285">
        <v>0.17136979999999999</v>
      </c>
      <c r="U6285">
        <v>0.25086979999999998</v>
      </c>
      <c r="V6285">
        <v>3.269242E-2</v>
      </c>
      <c r="W6285">
        <v>3.3299799999999997E-2</v>
      </c>
      <c r="X6285">
        <v>0.99891050000000003</v>
      </c>
      <c r="Y6285">
        <v>7.4150549999999996E-2</v>
      </c>
      <c r="Z6285">
        <v>-1.583407E-3</v>
      </c>
      <c r="AA6285">
        <v>0.99724579999999996</v>
      </c>
      <c r="AB6285">
        <v>34</v>
      </c>
      <c r="AC6285">
        <v>-185.09780000000001</v>
      </c>
      <c r="AD6285">
        <v>10.627245</v>
      </c>
      <c r="AE6285">
        <v>15.5542999999999</v>
      </c>
      <c r="AF6285">
        <v>13.772952622256099</v>
      </c>
      <c r="AG6285">
        <v>10.627245</v>
      </c>
      <c r="AH6285">
        <v>184.63115969942601</v>
      </c>
      <c r="AI6285">
        <v>86.714836200519898</v>
      </c>
      <c r="AJ6285">
        <v>85.733801613314697</v>
      </c>
      <c r="AK6285">
        <v>185.44890857640499</v>
      </c>
      <c r="AL6285">
        <v>88.091709078453505</v>
      </c>
      <c r="AM6285">
        <v>88.125488391522595</v>
      </c>
      <c r="AN6285">
        <v>0.99999992900787005</v>
      </c>
    </row>
    <row r="6286" spans="1:40" x14ac:dyDescent="0.25">
      <c r="A6286" t="str">
        <f>"20190312154048057"</f>
        <v>20190312154048057</v>
      </c>
      <c r="B6286" t="str">
        <f>"1552376448052322"</f>
        <v>1552376448052322</v>
      </c>
      <c r="C6286" t="s">
        <v>40</v>
      </c>
      <c r="D6286">
        <v>3.5122810000000002</v>
      </c>
      <c r="E6286">
        <v>0.51465879999999997</v>
      </c>
      <c r="F6286" t="s">
        <v>82</v>
      </c>
      <c r="G6286">
        <v>-511.92959999999999</v>
      </c>
      <c r="H6286">
        <v>13.134169999999999</v>
      </c>
      <c r="I6286">
        <v>155.50980000000001</v>
      </c>
      <c r="J6286">
        <v>-327.16269999999997</v>
      </c>
      <c r="K6286">
        <v>1.110128</v>
      </c>
      <c r="L6286">
        <v>140.25790000000001</v>
      </c>
      <c r="M6286">
        <v>-0.99984989999999996</v>
      </c>
      <c r="N6286">
        <v>0</v>
      </c>
      <c r="O6286">
        <v>9.4152209999999997E-3</v>
      </c>
      <c r="P6286">
        <v>-0.99884019999999996</v>
      </c>
      <c r="Q6286">
        <v>2.62242E-2</v>
      </c>
      <c r="R6286">
        <v>4.0381060000000003E-2</v>
      </c>
      <c r="S6286">
        <v>-2.9891359999999998</v>
      </c>
      <c r="T6286">
        <v>0.1941763</v>
      </c>
      <c r="U6286">
        <v>0.24635309999999999</v>
      </c>
      <c r="V6286">
        <v>3.0979300000000001E-2</v>
      </c>
      <c r="W6286">
        <v>4.0751450000000002E-2</v>
      </c>
      <c r="X6286">
        <v>0.99868889999999999</v>
      </c>
      <c r="Y6286">
        <v>7.2617370000000001E-2</v>
      </c>
      <c r="Z6286">
        <v>-1.7422360000000001E-3</v>
      </c>
      <c r="AA6286">
        <v>0.99735839999999998</v>
      </c>
      <c r="AB6286">
        <v>34</v>
      </c>
      <c r="AC6286">
        <v>-184.76689999999999</v>
      </c>
      <c r="AD6286">
        <v>12.024042</v>
      </c>
      <c r="AE6286">
        <v>15.251899999999999</v>
      </c>
      <c r="AF6286">
        <v>13.454823177427301</v>
      </c>
      <c r="AG6286">
        <v>12.024042</v>
      </c>
      <c r="AH6286">
        <v>184.12782135014101</v>
      </c>
      <c r="AI6286">
        <v>86.273643951112106</v>
      </c>
      <c r="AJ6286">
        <v>85.8206379575185</v>
      </c>
      <c r="AK6286">
        <v>185.009903648164</v>
      </c>
      <c r="AL6286">
        <v>87.664467075158399</v>
      </c>
      <c r="AM6286">
        <v>88.223256359749001</v>
      </c>
      <c r="AN6286">
        <v>0.99999995834440003</v>
      </c>
    </row>
    <row r="6287" spans="1:40" x14ac:dyDescent="0.25">
      <c r="A6287" t="str">
        <f>"20190312154048080"</f>
        <v>20190312154048080</v>
      </c>
      <c r="B6287" t="str">
        <f>"1552376448072818"</f>
        <v>1552376448072818</v>
      </c>
      <c r="C6287" t="s">
        <v>40</v>
      </c>
      <c r="D6287">
        <v>3.5652339999999998</v>
      </c>
      <c r="E6287">
        <v>0.51483579999999995</v>
      </c>
      <c r="F6287" t="s">
        <v>82</v>
      </c>
      <c r="G6287">
        <v>-511.93</v>
      </c>
      <c r="H6287">
        <v>14.353999999999999</v>
      </c>
      <c r="I6287">
        <v>155.34899999999999</v>
      </c>
      <c r="J6287">
        <v>-327.50760000000002</v>
      </c>
      <c r="K6287">
        <v>1.110168</v>
      </c>
      <c r="L6287">
        <v>140.2612</v>
      </c>
      <c r="M6287">
        <v>-0.99984960000000001</v>
      </c>
      <c r="N6287">
        <v>0</v>
      </c>
      <c r="O6287">
        <v>9.4561320000000008E-3</v>
      </c>
      <c r="P6287">
        <v>-0.99866829999999995</v>
      </c>
      <c r="Q6287">
        <v>3.4441199999999998E-2</v>
      </c>
      <c r="R6287">
        <v>3.8413990000000002E-2</v>
      </c>
      <c r="S6287">
        <v>-2.9880070000000001</v>
      </c>
      <c r="T6287">
        <v>0.2141769</v>
      </c>
      <c r="U6287">
        <v>0.24404909999999999</v>
      </c>
      <c r="V6287">
        <v>2.897421E-2</v>
      </c>
      <c r="W6287">
        <v>4.8961440000000002E-2</v>
      </c>
      <c r="X6287">
        <v>0.9983803</v>
      </c>
      <c r="Y6287">
        <v>7.1816850000000002E-2</v>
      </c>
      <c r="Z6287">
        <v>-1.8905059999999999E-3</v>
      </c>
      <c r="AA6287">
        <v>0.99741599999999997</v>
      </c>
      <c r="AB6287">
        <v>33</v>
      </c>
      <c r="AC6287">
        <v>-184.42240000000001</v>
      </c>
      <c r="AD6287">
        <v>13.243831999999999</v>
      </c>
      <c r="AE6287">
        <v>15.0877999999999</v>
      </c>
      <c r="AF6287">
        <v>13.2750138560124</v>
      </c>
      <c r="AG6287">
        <v>13.243831999999999</v>
      </c>
      <c r="AH6287">
        <v>183.61622054330499</v>
      </c>
      <c r="AI6287">
        <v>85.885229146296794</v>
      </c>
      <c r="AJ6287">
        <v>85.864846816249695</v>
      </c>
      <c r="AK6287">
        <v>184.57123699409101</v>
      </c>
      <c r="AL6287">
        <v>87.193594034343505</v>
      </c>
      <c r="AM6287">
        <v>88.337673409040505</v>
      </c>
      <c r="AN6287">
        <v>0.99999997544004304</v>
      </c>
    </row>
    <row r="6288" spans="1:40" x14ac:dyDescent="0.25">
      <c r="A6288" t="str">
        <f>"20190312154048103"</f>
        <v>20190312154048103</v>
      </c>
      <c r="B6288" t="str">
        <f>"1552376448092338"</f>
        <v>1552376448092338</v>
      </c>
      <c r="C6288" t="s">
        <v>40</v>
      </c>
      <c r="D6288">
        <v>3.5689479999999998</v>
      </c>
      <c r="E6288">
        <v>0.51508929999999997</v>
      </c>
      <c r="F6288" t="s">
        <v>82</v>
      </c>
      <c r="G6288">
        <v>-511.93040000000002</v>
      </c>
      <c r="H6288">
        <v>15.652329999999999</v>
      </c>
      <c r="I6288">
        <v>155.04730000000001</v>
      </c>
      <c r="J6288">
        <v>-327.84100000000001</v>
      </c>
      <c r="K6288">
        <v>1.110206</v>
      </c>
      <c r="L6288">
        <v>140.26429999999999</v>
      </c>
      <c r="M6288">
        <v>-0.99984919999999999</v>
      </c>
      <c r="N6288">
        <v>0</v>
      </c>
      <c r="O6288">
        <v>9.4960849999999996E-3</v>
      </c>
      <c r="P6288">
        <v>-0.99840709999999999</v>
      </c>
      <c r="Q6288">
        <v>4.3344309999999997E-2</v>
      </c>
      <c r="R6288">
        <v>3.6119110000000003E-2</v>
      </c>
      <c r="S6288">
        <v>-2.9866640000000002</v>
      </c>
      <c r="T6288">
        <v>0.23550570000000001</v>
      </c>
      <c r="U6288">
        <v>0.23945620000000001</v>
      </c>
      <c r="V6288">
        <v>2.6643190000000001E-2</v>
      </c>
      <c r="W6288">
        <v>5.7856480000000002E-2</v>
      </c>
      <c r="X6288">
        <v>0.99796929999999995</v>
      </c>
      <c r="Y6288">
        <v>7.0260989999999995E-2</v>
      </c>
      <c r="Z6288">
        <v>-2.0149859999999999E-3</v>
      </c>
      <c r="AA6288">
        <v>0.99752660000000004</v>
      </c>
      <c r="AB6288">
        <v>33</v>
      </c>
      <c r="AC6288">
        <v>-184.08940000000001</v>
      </c>
      <c r="AD6288">
        <v>14.542123999999999</v>
      </c>
      <c r="AE6288">
        <v>14.782999999999999</v>
      </c>
      <c r="AF6288">
        <v>12.9537042063332</v>
      </c>
      <c r="AG6288">
        <v>14.542123999999999</v>
      </c>
      <c r="AH6288">
        <v>183.086319419398</v>
      </c>
      <c r="AI6288">
        <v>85.469939353515102</v>
      </c>
      <c r="AJ6288">
        <v>85.9529589176461</v>
      </c>
      <c r="AK6288">
        <v>184.11917928786801</v>
      </c>
      <c r="AL6288">
        <v>86.683215628152496</v>
      </c>
      <c r="AM6288">
        <v>88.470714667218601</v>
      </c>
      <c r="AN6288">
        <v>0.99999997779692795</v>
      </c>
    </row>
    <row r="6289" spans="1:40" x14ac:dyDescent="0.25">
      <c r="A6289" t="str">
        <f>"20190312154048125"</f>
        <v>20190312154048125</v>
      </c>
      <c r="B6289" t="str">
        <f>"1552376448112833"</f>
        <v>1552376448112833</v>
      </c>
      <c r="C6289" t="s">
        <v>40</v>
      </c>
      <c r="D6289">
        <v>3.5324309999999999</v>
      </c>
      <c r="E6289">
        <v>0.51529899999999995</v>
      </c>
      <c r="F6289" t="s">
        <v>82</v>
      </c>
      <c r="G6289">
        <v>-511.93090000000001</v>
      </c>
      <c r="H6289">
        <v>17.15081</v>
      </c>
      <c r="I6289">
        <v>154.73089999999999</v>
      </c>
      <c r="J6289">
        <v>-328.17340000000002</v>
      </c>
      <c r="K6289">
        <v>1.1102459999999901</v>
      </c>
      <c r="L6289">
        <v>140.26750000000001</v>
      </c>
      <c r="M6289">
        <v>-0.99984890000000004</v>
      </c>
      <c r="N6289">
        <v>0</v>
      </c>
      <c r="O6289">
        <v>9.5357419999999998E-3</v>
      </c>
      <c r="P6289">
        <v>-0.99806919999999999</v>
      </c>
      <c r="Q6289">
        <v>5.1837620000000001E-2</v>
      </c>
      <c r="R6289">
        <v>3.4213960000000002E-2</v>
      </c>
      <c r="S6289">
        <v>-2.984985</v>
      </c>
      <c r="T6289">
        <v>0.2600961</v>
      </c>
      <c r="U6289">
        <v>0.23457339999999999</v>
      </c>
      <c r="V6289">
        <v>2.4702700000000001E-2</v>
      </c>
      <c r="W6289">
        <v>6.6340140000000006E-2</v>
      </c>
      <c r="X6289">
        <v>0.99749120000000002</v>
      </c>
      <c r="Y6289">
        <v>6.8609489999999995E-2</v>
      </c>
      <c r="Z6289">
        <v>-2.1508629999999998E-3</v>
      </c>
      <c r="AA6289">
        <v>0.99764129999999995</v>
      </c>
      <c r="AB6289">
        <v>33</v>
      </c>
      <c r="AC6289">
        <v>-183.75749999999999</v>
      </c>
      <c r="AD6289">
        <v>16.040564</v>
      </c>
      <c r="AE6289">
        <v>14.463399999999901</v>
      </c>
      <c r="AF6289">
        <v>12.614761685175401</v>
      </c>
      <c r="AG6289">
        <v>16.040564</v>
      </c>
      <c r="AH6289">
        <v>182.50497048928599</v>
      </c>
      <c r="AI6289">
        <v>84.989012471204902</v>
      </c>
      <c r="AJ6289">
        <v>86.045998890474095</v>
      </c>
      <c r="AK6289">
        <v>183.64230492755999</v>
      </c>
      <c r="AL6289">
        <v>86.1961962495281</v>
      </c>
      <c r="AM6289">
        <v>88.5813697267143</v>
      </c>
      <c r="AN6289">
        <v>0.99999996581997397</v>
      </c>
    </row>
    <row r="6290" spans="1:40" x14ac:dyDescent="0.25">
      <c r="A6290" t="str">
        <f>"20190312154048149"</f>
        <v>20190312154048149</v>
      </c>
      <c r="B6290" t="str">
        <f>"1552376448142114"</f>
        <v>1552376448142114</v>
      </c>
      <c r="C6290" t="s">
        <v>40</v>
      </c>
      <c r="D6290">
        <v>3.5435500000000002</v>
      </c>
      <c r="E6290">
        <v>0.5190669</v>
      </c>
      <c r="F6290" t="s">
        <v>82</v>
      </c>
      <c r="G6290">
        <v>-511.93130000000002</v>
      </c>
      <c r="H6290">
        <v>18.53079</v>
      </c>
      <c r="I6290">
        <v>154.46</v>
      </c>
      <c r="J6290">
        <v>-328.53579999999999</v>
      </c>
      <c r="K6290">
        <v>1.110287</v>
      </c>
      <c r="L6290">
        <v>140.27099999999999</v>
      </c>
      <c r="M6290">
        <v>-0.99984870000000003</v>
      </c>
      <c r="N6290">
        <v>0</v>
      </c>
      <c r="O6290">
        <v>9.5786810000000003E-3</v>
      </c>
      <c r="P6290">
        <v>-0.99770639999999999</v>
      </c>
      <c r="Q6290">
        <v>5.9537600000000003E-2</v>
      </c>
      <c r="R6290">
        <v>3.2210410000000002E-2</v>
      </c>
      <c r="S6290">
        <v>-2.983215</v>
      </c>
      <c r="T6290">
        <v>0.28281400000000001</v>
      </c>
      <c r="U6290">
        <v>0.23040769999999999</v>
      </c>
      <c r="V6290">
        <v>2.2660779999999998E-2</v>
      </c>
      <c r="W6290">
        <v>7.4030150000000003E-2</v>
      </c>
      <c r="X6290">
        <v>0.99699850000000001</v>
      </c>
      <c r="Y6290">
        <v>6.7193840000000005E-2</v>
      </c>
      <c r="Z6290">
        <v>-2.2685209999999999E-3</v>
      </c>
      <c r="AA6290">
        <v>0.99773730000000005</v>
      </c>
      <c r="AB6290">
        <v>33</v>
      </c>
      <c r="AC6290">
        <v>-183.3955</v>
      </c>
      <c r="AD6290">
        <v>17.420503</v>
      </c>
      <c r="AE6290">
        <v>14.188999999999901</v>
      </c>
      <c r="AF6290">
        <v>12.320967890762301</v>
      </c>
      <c r="AG6290">
        <v>17.420503</v>
      </c>
      <c r="AH6290">
        <v>181.891594632335</v>
      </c>
      <c r="AI6290">
        <v>84.541667458388403</v>
      </c>
      <c r="AJ6290">
        <v>86.124819812175502</v>
      </c>
      <c r="AK6290">
        <v>183.138833600173</v>
      </c>
      <c r="AL6290">
        <v>85.754500890157402</v>
      </c>
      <c r="AM6290">
        <v>88.697948350270593</v>
      </c>
      <c r="AN6290">
        <v>0.99999999153074004</v>
      </c>
    </row>
    <row r="6291" spans="1:40" x14ac:dyDescent="0.25">
      <c r="A6291" t="str">
        <f>"20190312154048170"</f>
        <v>20190312154048170</v>
      </c>
      <c r="B6291" t="str">
        <f>"1552376448162610"</f>
        <v>1552376448162610</v>
      </c>
      <c r="C6291" t="s">
        <v>40</v>
      </c>
      <c r="D6291">
        <v>3.604727</v>
      </c>
      <c r="E6291">
        <v>0.51930920000000003</v>
      </c>
      <c r="F6291" t="s">
        <v>82</v>
      </c>
      <c r="G6291">
        <v>-511.93049999999999</v>
      </c>
      <c r="H6291">
        <v>15.96381</v>
      </c>
      <c r="I6291">
        <v>155.73929999999999</v>
      </c>
      <c r="J6291">
        <v>-328.84309999999999</v>
      </c>
      <c r="K6291">
        <v>1.1103289999999999</v>
      </c>
      <c r="L6291">
        <v>140.274</v>
      </c>
      <c r="M6291">
        <v>-0.99984819999999996</v>
      </c>
      <c r="N6291">
        <v>0</v>
      </c>
      <c r="O6291">
        <v>9.6154759999999995E-3</v>
      </c>
      <c r="P6291">
        <v>-0.99717769999999994</v>
      </c>
      <c r="Q6291">
        <v>6.8452029999999997E-2</v>
      </c>
      <c r="R6291">
        <v>3.0839310000000002E-2</v>
      </c>
      <c r="S6291">
        <v>-2.9843139999999999</v>
      </c>
      <c r="T6291">
        <v>0.24170630000000001</v>
      </c>
      <c r="U6291">
        <v>0.25170900000000002</v>
      </c>
      <c r="V6291">
        <v>2.1259380000000001E-2</v>
      </c>
      <c r="W6291">
        <v>8.29323E-2</v>
      </c>
      <c r="X6291">
        <v>0.9963284</v>
      </c>
      <c r="Y6291">
        <v>7.4249129999999997E-2</v>
      </c>
      <c r="Z6291">
        <v>-2.2204630000000002E-3</v>
      </c>
      <c r="AA6291">
        <v>0.99723729999999999</v>
      </c>
      <c r="AB6291">
        <v>33</v>
      </c>
      <c r="AC6291">
        <v>-183.0874</v>
      </c>
      <c r="AD6291">
        <v>14.853481</v>
      </c>
      <c r="AE6291">
        <v>15.4652999999999</v>
      </c>
      <c r="AF6291">
        <v>13.6149515373646</v>
      </c>
      <c r="AG6291">
        <v>14.853481</v>
      </c>
      <c r="AH6291">
        <v>182.03802045413701</v>
      </c>
      <c r="AI6291">
        <v>85.348192246110798</v>
      </c>
      <c r="AJ6291">
        <v>85.722709011414906</v>
      </c>
      <c r="AK6291">
        <v>183.14975755933401</v>
      </c>
      <c r="AL6291">
        <v>85.242865503611597</v>
      </c>
      <c r="AM6291">
        <v>88.777623986891996</v>
      </c>
      <c r="AN6291">
        <v>1.0000000041339101</v>
      </c>
    </row>
    <row r="6292" spans="1:40" x14ac:dyDescent="0.25">
      <c r="A6292" t="str">
        <f>"20190312154048191"</f>
        <v>20190312154048191</v>
      </c>
      <c r="B6292" t="str">
        <f>"1552376448182134"</f>
        <v>1552376448182134</v>
      </c>
      <c r="C6292" t="s">
        <v>40</v>
      </c>
      <c r="D6292">
        <v>3.5749689999999998</v>
      </c>
      <c r="E6292">
        <v>0.51802130000000002</v>
      </c>
      <c r="F6292" t="s">
        <v>82</v>
      </c>
      <c r="G6292">
        <v>-511.93079999999998</v>
      </c>
      <c r="H6292">
        <v>17.054079999999999</v>
      </c>
      <c r="I6292">
        <v>155.56720000000001</v>
      </c>
      <c r="J6292">
        <v>-329.17619999999999</v>
      </c>
      <c r="K6292">
        <v>1.110368</v>
      </c>
      <c r="L6292">
        <v>140.27719999999999</v>
      </c>
      <c r="M6292">
        <v>-0.99984790000000001</v>
      </c>
      <c r="N6292">
        <v>0</v>
      </c>
      <c r="O6292">
        <v>9.6548989999999998E-3</v>
      </c>
      <c r="P6292">
        <v>-0.99658749999999996</v>
      </c>
      <c r="Q6292">
        <v>7.7054520000000001E-2</v>
      </c>
      <c r="R6292">
        <v>2.9598579999999999E-2</v>
      </c>
      <c r="S6292">
        <v>-2.98291</v>
      </c>
      <c r="T6292">
        <v>0.25975979999999999</v>
      </c>
      <c r="U6292">
        <v>0.24916079999999999</v>
      </c>
      <c r="V6292">
        <v>1.998612E-2</v>
      </c>
      <c r="W6292">
        <v>9.1522069999999997E-2</v>
      </c>
      <c r="X6292">
        <v>0.99560249999999995</v>
      </c>
      <c r="Y6292">
        <v>7.3373820000000006E-2</v>
      </c>
      <c r="Z6292">
        <v>-2.345518E-3</v>
      </c>
      <c r="AA6292">
        <v>0.99730180000000002</v>
      </c>
      <c r="AB6292">
        <v>33</v>
      </c>
      <c r="AC6292">
        <v>-182.75460000000001</v>
      </c>
      <c r="AD6292">
        <v>15.943712</v>
      </c>
      <c r="AE6292">
        <v>15.29</v>
      </c>
      <c r="AF6292">
        <v>13.423170109904</v>
      </c>
      <c r="AG6292">
        <v>15.943712</v>
      </c>
      <c r="AH6292">
        <v>181.521758570337</v>
      </c>
      <c r="AI6292">
        <v>84.993985347584797</v>
      </c>
      <c r="AJ6292">
        <v>85.770789641374606</v>
      </c>
      <c r="AK6292">
        <v>182.71434613244199</v>
      </c>
      <c r="AL6292">
        <v>84.748823477579194</v>
      </c>
      <c r="AM6292">
        <v>88.849976229183099</v>
      </c>
      <c r="AN6292">
        <v>1.0000000361479899</v>
      </c>
    </row>
    <row r="6293" spans="1:40" x14ac:dyDescent="0.25">
      <c r="A6293" t="str">
        <f>"20190312154048213"</f>
        <v>20190312154048213</v>
      </c>
      <c r="B6293" t="str">
        <f>"1552376448202630"</f>
        <v>1552376448202630</v>
      </c>
      <c r="C6293" t="s">
        <v>40</v>
      </c>
      <c r="D6293">
        <v>3.5677759999999998</v>
      </c>
      <c r="E6293">
        <v>0.51959069999999996</v>
      </c>
      <c r="F6293" t="s">
        <v>82</v>
      </c>
      <c r="G6293">
        <v>-511.9298</v>
      </c>
      <c r="H6293">
        <v>13.980029999999999</v>
      </c>
      <c r="I6293">
        <v>154.4512</v>
      </c>
      <c r="J6293">
        <v>-329.48630000000003</v>
      </c>
      <c r="K6293">
        <v>1.1104019999999999</v>
      </c>
      <c r="L6293">
        <v>140.28030000000001</v>
      </c>
      <c r="M6293">
        <v>-0.99984759999999995</v>
      </c>
      <c r="N6293">
        <v>0</v>
      </c>
      <c r="O6293">
        <v>9.6918149999999995E-3</v>
      </c>
      <c r="P6293">
        <v>-0.99597570000000002</v>
      </c>
      <c r="Q6293">
        <v>8.4973309999999996E-2</v>
      </c>
      <c r="R6293">
        <v>2.8492630000000001E-2</v>
      </c>
      <c r="S6293">
        <v>-2.9871219999999998</v>
      </c>
      <c r="T6293">
        <v>0.21035599999999999</v>
      </c>
      <c r="U6293">
        <v>0.2316742</v>
      </c>
      <c r="V6293">
        <v>1.8850240000000001E-2</v>
      </c>
      <c r="W6293">
        <v>9.9427479999999999E-2</v>
      </c>
      <c r="X6293">
        <v>0.99486629999999998</v>
      </c>
      <c r="Y6293">
        <v>6.7515690000000003E-2</v>
      </c>
      <c r="Z6293">
        <v>-1.6901290000000001E-3</v>
      </c>
      <c r="AA6293">
        <v>0.99771679999999996</v>
      </c>
      <c r="AB6293">
        <v>33</v>
      </c>
      <c r="AC6293">
        <v>-182.4435</v>
      </c>
      <c r="AD6293">
        <v>12.869628000000001</v>
      </c>
      <c r="AE6293">
        <v>14.1708999999999</v>
      </c>
      <c r="AF6293">
        <v>12.340800370160499</v>
      </c>
      <c r="AG6293">
        <v>12.869628000000001</v>
      </c>
      <c r="AH6293">
        <v>181.67370920368501</v>
      </c>
      <c r="AI6293">
        <v>85.957264657277193</v>
      </c>
      <c r="AJ6293">
        <v>86.113960372851395</v>
      </c>
      <c r="AK6293">
        <v>182.54659485857201</v>
      </c>
      <c r="AL6293">
        <v>84.293797121827893</v>
      </c>
      <c r="AM6293">
        <v>88.9145174833928</v>
      </c>
      <c r="AN6293">
        <v>1.0000000551014401</v>
      </c>
    </row>
    <row r="6294" spans="1:40" x14ac:dyDescent="0.25">
      <c r="A6294" t="str">
        <f>"20190312154048235"</f>
        <v>20190312154048235</v>
      </c>
      <c r="B6294" t="str">
        <f>"1552376448222150"</f>
        <v>1552376448222150</v>
      </c>
      <c r="C6294" t="s">
        <v>40</v>
      </c>
      <c r="D6294">
        <v>3.5999660000000002</v>
      </c>
      <c r="E6294">
        <v>0.5202156</v>
      </c>
      <c r="F6294" t="s">
        <v>82</v>
      </c>
      <c r="G6294">
        <v>-511.93009999999998</v>
      </c>
      <c r="H6294">
        <v>14.905329999999999</v>
      </c>
      <c r="I6294">
        <v>154.97720000000001</v>
      </c>
      <c r="J6294">
        <v>-329.81950000000001</v>
      </c>
      <c r="K6294">
        <v>1.11043799999999</v>
      </c>
      <c r="L6294">
        <v>140.2835</v>
      </c>
      <c r="M6294">
        <v>-0.99984729999999999</v>
      </c>
      <c r="N6294">
        <v>0</v>
      </c>
      <c r="O6294">
        <v>9.7312930000000002E-3</v>
      </c>
      <c r="P6294">
        <v>-0.99532350000000003</v>
      </c>
      <c r="Q6294">
        <v>9.2621389999999998E-2</v>
      </c>
      <c r="R6294">
        <v>2.742814E-2</v>
      </c>
      <c r="S6294">
        <v>-2.985992</v>
      </c>
      <c r="T6294">
        <v>0.22577700000000001</v>
      </c>
      <c r="U6294">
        <v>0.24053959999999999</v>
      </c>
      <c r="V6294">
        <v>1.775382E-2</v>
      </c>
      <c r="W6294">
        <v>0.10706160000000001</v>
      </c>
      <c r="X6294">
        <v>0.99409380000000003</v>
      </c>
      <c r="Y6294">
        <v>7.0419099999999998E-2</v>
      </c>
      <c r="Z6294">
        <v>-1.920623E-3</v>
      </c>
      <c r="AA6294">
        <v>0.99751559999999995</v>
      </c>
      <c r="AB6294">
        <v>33</v>
      </c>
      <c r="AC6294">
        <v>-182.11060000000001</v>
      </c>
      <c r="AD6294">
        <v>13.794892000000001</v>
      </c>
      <c r="AE6294">
        <v>14.6937</v>
      </c>
      <c r="AF6294">
        <v>12.8474032564414</v>
      </c>
      <c r="AG6294">
        <v>13.794892000000001</v>
      </c>
      <c r="AH6294">
        <v>181.211897204016</v>
      </c>
      <c r="AI6294">
        <v>85.657569889618003</v>
      </c>
      <c r="AJ6294">
        <v>85.944679202823195</v>
      </c>
      <c r="AK6294">
        <v>182.189754113682</v>
      </c>
      <c r="AL6294">
        <v>83.854042389116302</v>
      </c>
      <c r="AM6294">
        <v>88.976846221118706</v>
      </c>
      <c r="AN6294">
        <v>0.99999993375879404</v>
      </c>
    </row>
    <row r="6295" spans="1:40" x14ac:dyDescent="0.25">
      <c r="A6295" t="str">
        <f>"20190312154048259"</f>
        <v>20190312154048259</v>
      </c>
      <c r="B6295" t="str">
        <f>"1552376448252406"</f>
        <v>1552376448252406</v>
      </c>
      <c r="C6295" t="s">
        <v>40</v>
      </c>
      <c r="D6295">
        <v>3.63443</v>
      </c>
      <c r="E6295">
        <v>0.52330600000000005</v>
      </c>
      <c r="F6295" t="s">
        <v>82</v>
      </c>
      <c r="G6295">
        <v>-511.93020000000001</v>
      </c>
      <c r="H6295">
        <v>15.007580000000001</v>
      </c>
      <c r="I6295">
        <v>155.0008</v>
      </c>
      <c r="J6295">
        <v>-330.1619</v>
      </c>
      <c r="K6295">
        <v>1.1104689999999999</v>
      </c>
      <c r="L6295">
        <v>140.2869</v>
      </c>
      <c r="M6295">
        <v>-0.99984689999999998</v>
      </c>
      <c r="N6295">
        <v>0</v>
      </c>
      <c r="O6295">
        <v>9.7720830000000009E-3</v>
      </c>
      <c r="P6295">
        <v>-0.99463999999999997</v>
      </c>
      <c r="Q6295">
        <v>9.9708069999999996E-2</v>
      </c>
      <c r="R6295">
        <v>2.7380760000000001E-2</v>
      </c>
      <c r="S6295">
        <v>-2.986237</v>
      </c>
      <c r="T6295">
        <v>0.2278847</v>
      </c>
      <c r="U6295">
        <v>0.24133299999999999</v>
      </c>
      <c r="V6295">
        <v>1.7673330000000001E-2</v>
      </c>
      <c r="W6295">
        <v>0.11413470000000001</v>
      </c>
      <c r="X6295">
        <v>0.99330810000000003</v>
      </c>
      <c r="Y6295">
        <v>7.0631529999999998E-2</v>
      </c>
      <c r="Z6295">
        <v>-1.9433E-3</v>
      </c>
      <c r="AA6295">
        <v>0.99750059999999996</v>
      </c>
      <c r="AB6295">
        <v>33</v>
      </c>
      <c r="AC6295">
        <v>-181.76830000000001</v>
      </c>
      <c r="AD6295">
        <v>13.897111000000001</v>
      </c>
      <c r="AE6295">
        <v>14.713899999999899</v>
      </c>
      <c r="AF6295">
        <v>12.862061047179999</v>
      </c>
      <c r="AG6295">
        <v>13.897111000000001</v>
      </c>
      <c r="AH6295">
        <v>180.85314642448</v>
      </c>
      <c r="AI6295">
        <v>85.616941973143895</v>
      </c>
      <c r="AJ6295">
        <v>85.932041385165803</v>
      </c>
      <c r="AK6295">
        <v>181.84175230172499</v>
      </c>
      <c r="AL6295">
        <v>83.446281792528097</v>
      </c>
      <c r="AM6295">
        <v>88.980678416118195</v>
      </c>
      <c r="AN6295">
        <v>1.0000000289314901</v>
      </c>
    </row>
    <row r="6296" spans="1:40" x14ac:dyDescent="0.25">
      <c r="A6296" t="str">
        <f>"20190312154048281"</f>
        <v>20190312154048281</v>
      </c>
      <c r="B6296" t="str">
        <f>"1552376448272914"</f>
        <v>1552376448272914</v>
      </c>
      <c r="C6296" t="s">
        <v>40</v>
      </c>
      <c r="D6296">
        <v>3.6285599999999998</v>
      </c>
      <c r="E6296">
        <v>0.52290740000000002</v>
      </c>
      <c r="F6296" t="s">
        <v>82</v>
      </c>
      <c r="G6296">
        <v>-511.92860000000002</v>
      </c>
      <c r="H6296">
        <v>10.36983</v>
      </c>
      <c r="I6296">
        <v>156.1472</v>
      </c>
      <c r="J6296">
        <v>-330.49209999999999</v>
      </c>
      <c r="K6296">
        <v>1.1105020000000001</v>
      </c>
      <c r="L6296">
        <v>140.2902</v>
      </c>
      <c r="M6296">
        <v>-0.99984660000000003</v>
      </c>
      <c r="N6296">
        <v>0</v>
      </c>
      <c r="O6296">
        <v>9.8113230000000003E-3</v>
      </c>
      <c r="P6296">
        <v>-0.99391099999999999</v>
      </c>
      <c r="Q6296">
        <v>0.10681930000000001</v>
      </c>
      <c r="R6296">
        <v>2.7030789999999999E-2</v>
      </c>
      <c r="S6296">
        <v>-2.993652</v>
      </c>
      <c r="T6296">
        <v>0.15249989999999999</v>
      </c>
      <c r="U6296">
        <v>0.26121519999999998</v>
      </c>
      <c r="V6296">
        <v>1.7292430000000001E-2</v>
      </c>
      <c r="W6296">
        <v>0.1212314</v>
      </c>
      <c r="X6296">
        <v>0.99247370000000001</v>
      </c>
      <c r="Y6296">
        <v>7.7060160000000003E-2</v>
      </c>
      <c r="Z6296">
        <v>-1.459257E-3</v>
      </c>
      <c r="AA6296">
        <v>0.99702539999999995</v>
      </c>
      <c r="AB6296">
        <v>33</v>
      </c>
      <c r="AC6296">
        <v>-181.4365</v>
      </c>
      <c r="AD6296">
        <v>9.259328</v>
      </c>
      <c r="AE6296">
        <v>15.856999999999999</v>
      </c>
      <c r="AF6296">
        <v>14.039629301746899</v>
      </c>
      <c r="AG6296">
        <v>9.259328</v>
      </c>
      <c r="AH6296">
        <v>181.115236763008</v>
      </c>
      <c r="AI6296">
        <v>87.082099357213593</v>
      </c>
      <c r="AJ6296">
        <v>85.567429495921203</v>
      </c>
      <c r="AK6296">
        <v>181.89440709835699</v>
      </c>
      <c r="AL6296">
        <v>83.036824949048494</v>
      </c>
      <c r="AM6296">
        <v>89.001804265523702</v>
      </c>
      <c r="AN6296">
        <v>1.00000006283647</v>
      </c>
    </row>
    <row r="6297" spans="1:40" x14ac:dyDescent="0.25">
      <c r="A6297" t="str">
        <f>"20190312154048303"</f>
        <v>20190312154048303</v>
      </c>
      <c r="B6297" t="str">
        <f>"1552376448292422"</f>
        <v>1552376448292422</v>
      </c>
      <c r="C6297" t="s">
        <v>40</v>
      </c>
      <c r="D6297">
        <v>3.602827</v>
      </c>
      <c r="E6297">
        <v>0.52302649999999995</v>
      </c>
      <c r="F6297" t="s">
        <v>82</v>
      </c>
      <c r="G6297">
        <v>-511.92869999999999</v>
      </c>
      <c r="H6297">
        <v>10.695550000000001</v>
      </c>
      <c r="I6297">
        <v>155.8246</v>
      </c>
      <c r="J6297">
        <v>-330.81360000000001</v>
      </c>
      <c r="K6297">
        <v>1.1105320000000001</v>
      </c>
      <c r="L6297">
        <v>140.29339999999999</v>
      </c>
      <c r="M6297">
        <v>-0.99984629999999997</v>
      </c>
      <c r="N6297">
        <v>0</v>
      </c>
      <c r="O6297">
        <v>9.84961E-3</v>
      </c>
      <c r="P6297">
        <v>-0.99316499999999996</v>
      </c>
      <c r="Q6297">
        <v>0.1135417</v>
      </c>
      <c r="R6297">
        <v>2.705134E-2</v>
      </c>
      <c r="S6297">
        <v>-2.994415</v>
      </c>
      <c r="T6297">
        <v>0.15819140000000001</v>
      </c>
      <c r="U6297">
        <v>0.2563782</v>
      </c>
      <c r="V6297">
        <v>1.7283130000000001E-2</v>
      </c>
      <c r="W6297">
        <v>0.12793889999999999</v>
      </c>
      <c r="X6297">
        <v>0.99163140000000005</v>
      </c>
      <c r="Y6297">
        <v>7.5397069999999997E-2</v>
      </c>
      <c r="Z6297">
        <v>-1.4675279999999901E-3</v>
      </c>
      <c r="AA6297">
        <v>0.9971525</v>
      </c>
      <c r="AB6297">
        <v>33</v>
      </c>
      <c r="AC6297">
        <v>-181.11510000000001</v>
      </c>
      <c r="AD6297">
        <v>9.5850179999999998</v>
      </c>
      <c r="AE6297">
        <v>15.5312</v>
      </c>
      <c r="AF6297">
        <v>13.7082324254075</v>
      </c>
      <c r="AG6297">
        <v>9.5850179999999998</v>
      </c>
      <c r="AH6297">
        <v>180.75674349600499</v>
      </c>
      <c r="AI6297">
        <v>86.973285280824697</v>
      </c>
      <c r="AJ6297">
        <v>85.663103578365295</v>
      </c>
      <c r="AK6297">
        <v>181.529029429372</v>
      </c>
      <c r="AL6297">
        <v>82.649494221812702</v>
      </c>
      <c r="AM6297">
        <v>89.001493745824206</v>
      </c>
      <c r="AN6297">
        <v>0.99999995109088202</v>
      </c>
    </row>
    <row r="6298" spans="1:40" x14ac:dyDescent="0.25">
      <c r="A6298" t="str">
        <f>"20190312154048326"</f>
        <v>20190312154048326</v>
      </c>
      <c r="B6298" t="str">
        <f>"1552376448322678"</f>
        <v>1552376448322678</v>
      </c>
      <c r="C6298" t="s">
        <v>40</v>
      </c>
      <c r="D6298">
        <v>3.6581990000000002</v>
      </c>
      <c r="E6298">
        <v>0.50635680000000005</v>
      </c>
      <c r="F6298" t="s">
        <v>82</v>
      </c>
      <c r="G6298">
        <v>-511.9289</v>
      </c>
      <c r="H6298">
        <v>11.22941</v>
      </c>
      <c r="I6298">
        <v>155.83019999999999</v>
      </c>
      <c r="J6298">
        <v>-331.14499999999998</v>
      </c>
      <c r="K6298">
        <v>1.110563</v>
      </c>
      <c r="L6298">
        <v>140.29669999999999</v>
      </c>
      <c r="M6298">
        <v>-0.99984609999999996</v>
      </c>
      <c r="N6298">
        <v>0</v>
      </c>
      <c r="O6298">
        <v>9.8889129999999992E-3</v>
      </c>
      <c r="P6298">
        <v>-0.99236919999999995</v>
      </c>
      <c r="Q6298">
        <v>0.1203014</v>
      </c>
      <c r="R6298">
        <v>2.704312E-2</v>
      </c>
      <c r="S6298">
        <v>-2.994507</v>
      </c>
      <c r="T6298">
        <v>0.16730300000000001</v>
      </c>
      <c r="U6298">
        <v>0.25688169999999999</v>
      </c>
      <c r="V6298">
        <v>1.7244570000000001E-2</v>
      </c>
      <c r="W6298">
        <v>0.13468250000000001</v>
      </c>
      <c r="X6298">
        <v>0.99073869999999997</v>
      </c>
      <c r="Y6298">
        <v>7.5510910000000001E-2</v>
      </c>
      <c r="Z6298">
        <v>-1.5528510000000001E-3</v>
      </c>
      <c r="AA6298">
        <v>0.99714369999999997</v>
      </c>
      <c r="AB6298">
        <v>33</v>
      </c>
      <c r="AC6298">
        <v>-180.78389999999999</v>
      </c>
      <c r="AD6298">
        <v>10.118847000000001</v>
      </c>
      <c r="AE6298">
        <v>15.5335</v>
      </c>
      <c r="AF6298">
        <v>13.7021837369851</v>
      </c>
      <c r="AG6298">
        <v>10.118847000000001</v>
      </c>
      <c r="AH6298">
        <v>180.36775623366501</v>
      </c>
      <c r="AI6298">
        <v>86.798210496941806</v>
      </c>
      <c r="AJ6298">
        <v>85.655696680518503</v>
      </c>
      <c r="AK6298">
        <v>181.17027458316201</v>
      </c>
      <c r="AL6298">
        <v>82.259738889943407</v>
      </c>
      <c r="AM6298">
        <v>89.002823530157301</v>
      </c>
      <c r="AN6298">
        <v>0.99999996133921099</v>
      </c>
    </row>
    <row r="6299" spans="1:40" x14ac:dyDescent="0.25">
      <c r="A6299" t="str">
        <f>"20190312154048349"</f>
        <v>20190312154048349</v>
      </c>
      <c r="B6299" t="str">
        <f>"1552376448342198"</f>
        <v>1552376448342198</v>
      </c>
      <c r="C6299" t="s">
        <v>40</v>
      </c>
      <c r="D6299">
        <v>3.6197530000000002</v>
      </c>
      <c r="E6299">
        <v>0.50390449999999998</v>
      </c>
      <c r="F6299" t="s">
        <v>50</v>
      </c>
      <c r="G6299">
        <v>0</v>
      </c>
      <c r="H6299">
        <v>0</v>
      </c>
      <c r="I6299">
        <v>0</v>
      </c>
      <c r="J6299">
        <v>-331.47899999999998</v>
      </c>
      <c r="K6299">
        <v>1.110598</v>
      </c>
      <c r="L6299">
        <v>140.30000000000001</v>
      </c>
      <c r="M6299">
        <v>-0.9998456</v>
      </c>
      <c r="N6299">
        <v>0</v>
      </c>
      <c r="O6299">
        <v>9.9288090000000002E-3</v>
      </c>
      <c r="P6299">
        <v>-0.99140569999999895</v>
      </c>
      <c r="Q6299">
        <v>0.1278859</v>
      </c>
      <c r="R6299">
        <v>2.7570870000000001E-2</v>
      </c>
      <c r="S6299">
        <v>-3.0037229999999999</v>
      </c>
      <c r="T6299">
        <v>0.13218369999999999</v>
      </c>
      <c r="U6299">
        <v>0.1212921</v>
      </c>
      <c r="V6299">
        <v>1.7743080000000001E-2</v>
      </c>
      <c r="W6299">
        <v>0.14224879999999901</v>
      </c>
      <c r="X6299">
        <v>0.98967190000000005</v>
      </c>
      <c r="Y6299">
        <v>3.0404179999999999E-2</v>
      </c>
      <c r="Z6299">
        <v>-2.3183390000000001E-4</v>
      </c>
      <c r="AA6299">
        <v>0.99953760000000003</v>
      </c>
      <c r="AB6299">
        <v>33</v>
      </c>
      <c r="AC6299">
        <v>-3.0037229999999999</v>
      </c>
      <c r="AD6299">
        <v>0.13218369999999999</v>
      </c>
      <c r="AE6299">
        <v>0.1212921</v>
      </c>
      <c r="AF6299">
        <v>9.1283103722285694E-2</v>
      </c>
      <c r="AG6299">
        <v>0.13218369999999999</v>
      </c>
      <c r="AH6299">
        <v>2.9989810024827701</v>
      </c>
      <c r="AI6299">
        <v>87.477419735093505</v>
      </c>
      <c r="AJ6299">
        <v>88.256567053473205</v>
      </c>
      <c r="AK6299">
        <v>3.00328023814353</v>
      </c>
      <c r="AL6299">
        <v>81.822004454437305</v>
      </c>
      <c r="AM6299">
        <v>88.972897279400897</v>
      </c>
      <c r="AN6299">
        <v>1.0000000038194601</v>
      </c>
    </row>
    <row r="6300" spans="1:40" x14ac:dyDescent="0.25">
      <c r="A6300" t="str">
        <f>"20190312154048370"</f>
        <v>20190312154048370</v>
      </c>
      <c r="B6300" t="str">
        <f>"1552376448362694"</f>
        <v>1552376448362694</v>
      </c>
      <c r="C6300" t="s">
        <v>40</v>
      </c>
      <c r="D6300">
        <v>3.5815419999999998</v>
      </c>
      <c r="E6300">
        <v>0.5032181</v>
      </c>
      <c r="F6300" t="s">
        <v>50</v>
      </c>
      <c r="G6300">
        <v>0</v>
      </c>
      <c r="H6300">
        <v>0</v>
      </c>
      <c r="I6300">
        <v>0</v>
      </c>
      <c r="J6300">
        <v>-331.80099999999999</v>
      </c>
      <c r="K6300">
        <v>1.1106320000000001</v>
      </c>
      <c r="L6300">
        <v>140.30330000000001</v>
      </c>
      <c r="M6300">
        <v>-0.9998454</v>
      </c>
      <c r="N6300">
        <v>0</v>
      </c>
      <c r="O6300">
        <v>9.9672760000000006E-3</v>
      </c>
      <c r="P6300">
        <v>-0.99042660000000005</v>
      </c>
      <c r="Q6300">
        <v>0.13521520000000001</v>
      </c>
      <c r="R6300">
        <v>2.7789870000000001E-2</v>
      </c>
      <c r="S6300">
        <v>-3.001404</v>
      </c>
      <c r="T6300">
        <v>0.167993899999999</v>
      </c>
      <c r="U6300">
        <v>0.1039429</v>
      </c>
      <c r="V6300">
        <v>1.793459E-2</v>
      </c>
      <c r="W6300">
        <v>0.14955969999999999</v>
      </c>
      <c r="X6300">
        <v>0.98858999999999997</v>
      </c>
      <c r="Y6300">
        <v>2.462369E-2</v>
      </c>
      <c r="Z6300">
        <v>-1.3106040000000001E-4</v>
      </c>
      <c r="AA6300">
        <v>0.99969680000000005</v>
      </c>
      <c r="AB6300">
        <v>33</v>
      </c>
      <c r="AC6300">
        <v>-3.001404</v>
      </c>
      <c r="AD6300">
        <v>0.167993899999999</v>
      </c>
      <c r="AE6300">
        <v>0.1039429</v>
      </c>
      <c r="AF6300">
        <v>7.3787885769592595E-2</v>
      </c>
      <c r="AG6300">
        <v>0.167993899999999</v>
      </c>
      <c r="AH6300">
        <v>2.9929258879035801</v>
      </c>
      <c r="AI6300">
        <v>86.788314325889502</v>
      </c>
      <c r="AJ6300">
        <v>88.587710377463196</v>
      </c>
      <c r="AK6300">
        <v>2.9985449759853502</v>
      </c>
      <c r="AL6300">
        <v>81.398588346706703</v>
      </c>
      <c r="AM6300">
        <v>88.960677727302297</v>
      </c>
      <c r="AN6300">
        <v>0.999999970741278</v>
      </c>
    </row>
    <row r="6301" spans="1:40" x14ac:dyDescent="0.25">
      <c r="A6301" t="str">
        <f>"20190312154048391"</f>
        <v>20190312154048391</v>
      </c>
      <c r="B6301" t="str">
        <f>"1552376448382214"</f>
        <v>1552376448382214</v>
      </c>
      <c r="C6301" t="s">
        <v>40</v>
      </c>
      <c r="D6301">
        <v>3.6229650000000002</v>
      </c>
      <c r="E6301">
        <v>0.50340059999999998</v>
      </c>
      <c r="F6301" t="s">
        <v>50</v>
      </c>
      <c r="G6301">
        <v>0</v>
      </c>
      <c r="H6301">
        <v>0</v>
      </c>
      <c r="I6301">
        <v>0</v>
      </c>
      <c r="J6301">
        <v>-332.12150000000003</v>
      </c>
      <c r="K6301">
        <v>1.1106659999999999</v>
      </c>
      <c r="L6301">
        <v>140.3065</v>
      </c>
      <c r="M6301">
        <v>-0.99984499999999998</v>
      </c>
      <c r="N6301">
        <v>0</v>
      </c>
      <c r="O6301">
        <v>1.0004839999999999E-2</v>
      </c>
      <c r="P6301">
        <v>-0.9892415</v>
      </c>
      <c r="Q6301">
        <v>0.14349709999999999</v>
      </c>
      <c r="R6301">
        <v>2.8460510000000001E-2</v>
      </c>
      <c r="S6301">
        <v>-3.000702</v>
      </c>
      <c r="T6301">
        <v>0.1871091</v>
      </c>
      <c r="U6301">
        <v>9.892273E-2</v>
      </c>
      <c r="V6301">
        <v>1.858075E-2</v>
      </c>
      <c r="W6301">
        <v>0.1578203</v>
      </c>
      <c r="X6301">
        <v>0.98729299999999998</v>
      </c>
      <c r="Y6301">
        <v>2.2921480000000001E-2</v>
      </c>
      <c r="Z6301" s="1">
        <v>-9.0637999999999995E-5</v>
      </c>
      <c r="AA6301">
        <v>0.99973730000000005</v>
      </c>
      <c r="AB6301">
        <v>33</v>
      </c>
      <c r="AC6301">
        <v>-3.000702</v>
      </c>
      <c r="AD6301">
        <v>0.1871091</v>
      </c>
      <c r="AE6301">
        <v>9.892273E-2</v>
      </c>
      <c r="AF6301">
        <v>6.8626542294763698E-2</v>
      </c>
      <c r="AG6301">
        <v>0.1871091</v>
      </c>
      <c r="AH6301">
        <v>2.9899288941439801</v>
      </c>
      <c r="AI6301">
        <v>86.4200526490134</v>
      </c>
      <c r="AJ6301">
        <v>88.685145665457199</v>
      </c>
      <c r="AK6301">
        <v>2.9965637336200901</v>
      </c>
      <c r="AL6301">
        <v>80.919598595678906</v>
      </c>
      <c r="AM6301">
        <v>88.921826760246006</v>
      </c>
      <c r="AN6301">
        <v>0.99999997960582598</v>
      </c>
    </row>
    <row r="6302" spans="1:40" x14ac:dyDescent="0.25">
      <c r="A6302" t="str">
        <f>"20190312154048414"</f>
        <v>20190312154048414</v>
      </c>
      <c r="B6302" t="str">
        <f>"1552376448402710"</f>
        <v>1552376448402710</v>
      </c>
      <c r="C6302" t="s">
        <v>40</v>
      </c>
      <c r="D6302">
        <v>3.602014</v>
      </c>
      <c r="E6302">
        <v>0.50328039999999996</v>
      </c>
      <c r="F6302" t="s">
        <v>50</v>
      </c>
      <c r="G6302">
        <v>0</v>
      </c>
      <c r="H6302">
        <v>0</v>
      </c>
      <c r="I6302">
        <v>0</v>
      </c>
      <c r="J6302">
        <v>-332.44749999999999</v>
      </c>
      <c r="K6302">
        <v>1.110703</v>
      </c>
      <c r="L6302">
        <v>140.3098</v>
      </c>
      <c r="M6302">
        <v>-0.99984459999999997</v>
      </c>
      <c r="N6302">
        <v>0</v>
      </c>
      <c r="O6302">
        <v>1.004174E-2</v>
      </c>
      <c r="P6302">
        <v>-0.98802500000000004</v>
      </c>
      <c r="Q6302">
        <v>0.1514952</v>
      </c>
      <c r="R6302">
        <v>2.9256049999999999E-2</v>
      </c>
      <c r="S6302">
        <v>-3.0007929999999998</v>
      </c>
      <c r="T6302">
        <v>0.1992601</v>
      </c>
      <c r="U6302">
        <v>0.1019135</v>
      </c>
      <c r="V6302">
        <v>1.9352439999999999E-2</v>
      </c>
      <c r="W6302">
        <v>0.1657961</v>
      </c>
      <c r="X6302">
        <v>0.98597009999999996</v>
      </c>
      <c r="Y6302">
        <v>2.3873459999999999E-2</v>
      </c>
      <c r="Z6302">
        <v>-1.256242E-4</v>
      </c>
      <c r="AA6302">
        <v>0.99971500000000002</v>
      </c>
      <c r="AB6302">
        <v>33</v>
      </c>
      <c r="AC6302">
        <v>-3.0007929999999998</v>
      </c>
      <c r="AD6302">
        <v>0.1992601</v>
      </c>
      <c r="AE6302">
        <v>0.1019135</v>
      </c>
      <c r="AF6302">
        <v>7.1457300895849896E-2</v>
      </c>
      <c r="AG6302">
        <v>0.1992601</v>
      </c>
      <c r="AH6302">
        <v>2.9885031717908399</v>
      </c>
      <c r="AI6302">
        <v>86.186505058759593</v>
      </c>
      <c r="AJ6302">
        <v>88.630276918243496</v>
      </c>
      <c r="AK6302">
        <v>2.9959909781418301</v>
      </c>
      <c r="AL6302">
        <v>80.456514878452296</v>
      </c>
      <c r="AM6302">
        <v>88.875553348256105</v>
      </c>
      <c r="AN6302">
        <v>0.999999950901585</v>
      </c>
    </row>
    <row r="6303" spans="1:40" x14ac:dyDescent="0.25">
      <c r="A6303" t="str">
        <f>"20190312154048436"</f>
        <v>20190312154048436</v>
      </c>
      <c r="B6303" t="str">
        <f>"1552376448422230"</f>
        <v>1552376448422230</v>
      </c>
      <c r="C6303" t="s">
        <v>40</v>
      </c>
      <c r="D6303">
        <v>3.599596</v>
      </c>
      <c r="E6303">
        <v>0.50323169999999995</v>
      </c>
      <c r="F6303" t="s">
        <v>50</v>
      </c>
      <c r="G6303">
        <v>0</v>
      </c>
      <c r="H6303">
        <v>0</v>
      </c>
      <c r="I6303">
        <v>0</v>
      </c>
      <c r="J6303">
        <v>-332.77589999999998</v>
      </c>
      <c r="K6303">
        <v>1.1107209999999901</v>
      </c>
      <c r="L6303">
        <v>140.31309999999999</v>
      </c>
      <c r="M6303">
        <v>-0.99984450000000002</v>
      </c>
      <c r="N6303">
        <v>0</v>
      </c>
      <c r="O6303">
        <v>1.007751E-2</v>
      </c>
      <c r="P6303">
        <v>-0.9873461</v>
      </c>
      <c r="Q6303">
        <v>0.15561620000000001</v>
      </c>
      <c r="R6303">
        <v>3.052614E-2</v>
      </c>
      <c r="S6303">
        <v>-3.0005489999999999</v>
      </c>
      <c r="T6303">
        <v>0.21348790000000001</v>
      </c>
      <c r="U6303">
        <v>0.10298160000000001</v>
      </c>
      <c r="V6303">
        <v>2.0594069999999999E-2</v>
      </c>
      <c r="W6303">
        <v>0.1699041</v>
      </c>
      <c r="X6303">
        <v>0.98524540000000005</v>
      </c>
      <c r="Y6303">
        <v>2.4190710000000001E-2</v>
      </c>
      <c r="Z6303">
        <v>-1.43311E-4</v>
      </c>
      <c r="AA6303">
        <v>0.99970729999999997</v>
      </c>
      <c r="AB6303">
        <v>33</v>
      </c>
      <c r="AC6303">
        <v>-3.0005489999999999</v>
      </c>
      <c r="AD6303">
        <v>0.21348790000000001</v>
      </c>
      <c r="AE6303">
        <v>0.10298160000000001</v>
      </c>
      <c r="AF6303">
        <v>7.2369218977764896E-2</v>
      </c>
      <c r="AG6303">
        <v>0.21348790000000001</v>
      </c>
      <c r="AH6303">
        <v>2.9863346705810399</v>
      </c>
      <c r="AI6303">
        <v>85.912176168962603</v>
      </c>
      <c r="AJ6303">
        <v>88.611796775996595</v>
      </c>
      <c r="AK6303">
        <v>2.9948304045498499</v>
      </c>
      <c r="AL6303">
        <v>80.2177568077757</v>
      </c>
      <c r="AM6303">
        <v>88.802550620219293</v>
      </c>
      <c r="AN6303">
        <v>1.0000000085685601</v>
      </c>
    </row>
    <row r="6304" spans="1:40" x14ac:dyDescent="0.25">
      <c r="A6304" t="str">
        <f>"20190312154048460"</f>
        <v>20190312154048460</v>
      </c>
      <c r="B6304" t="str">
        <f>"1552376448452486"</f>
        <v>1552376448452486</v>
      </c>
      <c r="C6304" t="s">
        <v>40</v>
      </c>
      <c r="D6304">
        <v>3.5611630000000001</v>
      </c>
      <c r="E6304">
        <v>0.50183219999999995</v>
      </c>
      <c r="F6304" t="s">
        <v>50</v>
      </c>
      <c r="G6304">
        <v>0</v>
      </c>
      <c r="H6304">
        <v>0</v>
      </c>
      <c r="I6304">
        <v>0</v>
      </c>
      <c r="J6304">
        <v>-333.1103</v>
      </c>
      <c r="K6304">
        <v>1.1107590000000001</v>
      </c>
      <c r="L6304">
        <v>140.31659999999999</v>
      </c>
      <c r="M6304">
        <v>-0.99984410000000001</v>
      </c>
      <c r="N6304">
        <v>0</v>
      </c>
      <c r="O6304">
        <v>1.0112919999999999E-2</v>
      </c>
      <c r="P6304">
        <v>-0.98571379999999997</v>
      </c>
      <c r="Q6304">
        <v>0.16514179999999901</v>
      </c>
      <c r="R6304">
        <v>3.3114989999999997E-2</v>
      </c>
      <c r="S6304">
        <v>-3.0004270000000002</v>
      </c>
      <c r="T6304">
        <v>0.2199932</v>
      </c>
      <c r="U6304">
        <v>0.10617070000000001</v>
      </c>
      <c r="V6304">
        <v>2.3164939999999998E-2</v>
      </c>
      <c r="W6304">
        <v>0.1794017</v>
      </c>
      <c r="X6304">
        <v>0.98350320000000002</v>
      </c>
      <c r="Y6304">
        <v>2.521311E-2</v>
      </c>
      <c r="Z6304">
        <v>-1.8249839999999999E-4</v>
      </c>
      <c r="AA6304">
        <v>0.99968210000000002</v>
      </c>
      <c r="AB6304">
        <v>33</v>
      </c>
      <c r="AC6304">
        <v>-3.0004270000000002</v>
      </c>
      <c r="AD6304">
        <v>0.2199932</v>
      </c>
      <c r="AE6304">
        <v>0.10617070000000001</v>
      </c>
      <c r="AF6304">
        <v>7.5414099616368996E-2</v>
      </c>
      <c r="AG6304">
        <v>0.2199932</v>
      </c>
      <c r="AH6304">
        <v>2.9853185947673899</v>
      </c>
      <c r="AI6304">
        <v>85.786734016979807</v>
      </c>
      <c r="AJ6304">
        <v>88.552921335892606</v>
      </c>
      <c r="AK6304">
        <v>2.9943632723387301</v>
      </c>
      <c r="AL6304">
        <v>79.665088202120799</v>
      </c>
      <c r="AM6304">
        <v>88.650733482659305</v>
      </c>
      <c r="AN6304">
        <v>1.00000006440916</v>
      </c>
    </row>
    <row r="6305" spans="1:40" x14ac:dyDescent="0.25">
      <c r="A6305" t="str">
        <f>"20190312154048473"</f>
        <v>20190312154048473</v>
      </c>
      <c r="B6305" t="str">
        <f>"1552376448462246"</f>
        <v>1552376448462246</v>
      </c>
      <c r="C6305" t="s">
        <v>40</v>
      </c>
      <c r="D6305">
        <v>3.5578159999999999</v>
      </c>
      <c r="E6305">
        <v>0.50265320000000002</v>
      </c>
      <c r="F6305" t="s">
        <v>50</v>
      </c>
      <c r="G6305">
        <v>0</v>
      </c>
      <c r="H6305">
        <v>0</v>
      </c>
      <c r="I6305">
        <v>0</v>
      </c>
      <c r="J6305">
        <v>-333.32299999999998</v>
      </c>
      <c r="K6305">
        <v>1.110779</v>
      </c>
      <c r="L6305">
        <v>140.31880000000001</v>
      </c>
      <c r="M6305">
        <v>-0.99984379999999995</v>
      </c>
      <c r="N6305">
        <v>0</v>
      </c>
      <c r="O6305">
        <v>1.013503E-2</v>
      </c>
      <c r="P6305">
        <v>-0.98501260000000002</v>
      </c>
      <c r="Q6305">
        <v>0.16903940000000001</v>
      </c>
      <c r="R6305">
        <v>3.4291179999999997E-2</v>
      </c>
      <c r="S6305">
        <v>-3.0160830000000001</v>
      </c>
      <c r="T6305">
        <v>0.1439503</v>
      </c>
      <c r="U6305">
        <v>9.7763059999999999E-2</v>
      </c>
      <c r="V6305">
        <v>2.4326500000000001E-2</v>
      </c>
      <c r="W6305">
        <v>0.18328630000000001</v>
      </c>
      <c r="X6305">
        <v>0.98275849999999998</v>
      </c>
      <c r="Y6305">
        <v>2.225069E-2</v>
      </c>
      <c r="Z6305" s="1">
        <v>-4.7201229999999898E-5</v>
      </c>
      <c r="AA6305">
        <v>0.99975239999999999</v>
      </c>
      <c r="AB6305">
        <v>33</v>
      </c>
      <c r="AC6305">
        <v>-3.0160830000000001</v>
      </c>
      <c r="AD6305">
        <v>0.1439503</v>
      </c>
      <c r="AE6305">
        <v>9.7763059999999999E-2</v>
      </c>
      <c r="AF6305">
        <v>6.7034202847760294E-2</v>
      </c>
      <c r="AG6305">
        <v>0.1439503</v>
      </c>
      <c r="AH6305">
        <v>3.0100694920851998</v>
      </c>
      <c r="AI6305">
        <v>87.262712422664904</v>
      </c>
      <c r="AJ6305">
        <v>88.724234720204095</v>
      </c>
      <c r="AK6305">
        <v>3.0142550689023602</v>
      </c>
      <c r="AL6305">
        <v>79.4387632222805</v>
      </c>
      <c r="AM6305">
        <v>88.582030873613903</v>
      </c>
      <c r="AN6305">
        <v>0.99999995784609397</v>
      </c>
    </row>
    <row r="6306" spans="1:40" x14ac:dyDescent="0.25">
      <c r="A6306" t="str">
        <f>"20190312154048653"</f>
        <v>20190312154048653</v>
      </c>
      <c r="B6306" t="str">
        <f>"1552376448642806"</f>
        <v>1552376448642806</v>
      </c>
      <c r="C6306" t="s">
        <v>40</v>
      </c>
      <c r="D6306">
        <v>2.9706269999999999</v>
      </c>
      <c r="E6306">
        <v>0.49901380000000001</v>
      </c>
      <c r="F6306" t="s">
        <v>50</v>
      </c>
      <c r="G6306">
        <v>0</v>
      </c>
      <c r="H6306">
        <v>0</v>
      </c>
      <c r="I6306">
        <v>0</v>
      </c>
      <c r="J6306">
        <v>-335.93259999999998</v>
      </c>
      <c r="K6306">
        <v>1.1109709999999999</v>
      </c>
      <c r="L6306">
        <v>140.3458</v>
      </c>
      <c r="M6306">
        <v>-0.99984170000000006</v>
      </c>
      <c r="N6306">
        <v>0</v>
      </c>
      <c r="O6306">
        <v>1.0388669999999999E-2</v>
      </c>
      <c r="P6306">
        <v>-0.97569589999999995</v>
      </c>
      <c r="Q6306">
        <v>0.21558089999999999</v>
      </c>
      <c r="R6306">
        <v>3.927659E-2</v>
      </c>
      <c r="S6306">
        <v>-3.0165410000000001</v>
      </c>
      <c r="T6306">
        <v>0.1476182</v>
      </c>
      <c r="U6306">
        <v>0.107666</v>
      </c>
      <c r="V6306">
        <v>2.916055E-2</v>
      </c>
      <c r="W6306">
        <v>0.22966239999999999</v>
      </c>
      <c r="X6306">
        <v>0.97283339999999996</v>
      </c>
      <c r="Y6306">
        <v>2.526633E-2</v>
      </c>
      <c r="Z6306">
        <v>-1.0971390000000001E-4</v>
      </c>
      <c r="AA6306">
        <v>0.99968080000000004</v>
      </c>
      <c r="AB6306">
        <v>32</v>
      </c>
      <c r="AC6306">
        <v>-3.0165410000000001</v>
      </c>
      <c r="AD6306">
        <v>0.1476182</v>
      </c>
      <c r="AE6306">
        <v>0.107666</v>
      </c>
      <c r="AF6306">
        <v>7.61369723748654E-2</v>
      </c>
      <c r="AG6306">
        <v>0.1476182</v>
      </c>
      <c r="AH6306">
        <v>3.0102970492625598</v>
      </c>
      <c r="AI6306">
        <v>87.193488735931098</v>
      </c>
      <c r="AJ6306">
        <v>88.551173760545794</v>
      </c>
      <c r="AK6306">
        <v>3.0148758343143198</v>
      </c>
      <c r="AL6306">
        <v>76.722803217950698</v>
      </c>
      <c r="AM6306">
        <v>88.283080824038507</v>
      </c>
      <c r="AN6306">
        <v>0.99999998990281103</v>
      </c>
    </row>
    <row r="6307" spans="1:40" x14ac:dyDescent="0.25">
      <c r="A6307" t="str">
        <f>"20190312154048672"</f>
        <v>20190312154048672</v>
      </c>
      <c r="B6307" t="str">
        <f>"1552376448662333"</f>
        <v>1552376448662333</v>
      </c>
      <c r="C6307" t="s">
        <v>40</v>
      </c>
      <c r="D6307">
        <v>3.4651770000000002</v>
      </c>
      <c r="E6307">
        <v>0.49336059999999998</v>
      </c>
      <c r="F6307" t="s">
        <v>41</v>
      </c>
      <c r="G6307">
        <v>-336.71120000000002</v>
      </c>
      <c r="H6307">
        <v>1.0380560000000001</v>
      </c>
      <c r="I6307">
        <v>140.36109999999999</v>
      </c>
      <c r="J6307">
        <v>-336.1866</v>
      </c>
      <c r="K6307">
        <v>1.110992</v>
      </c>
      <c r="L6307">
        <v>140.3485</v>
      </c>
      <c r="M6307">
        <v>-0.99984150000000005</v>
      </c>
      <c r="N6307">
        <v>0</v>
      </c>
      <c r="O6307">
        <v>1.040424E-2</v>
      </c>
      <c r="P6307">
        <v>-0.97426679999999999</v>
      </c>
      <c r="Q6307">
        <v>0.22200839999999999</v>
      </c>
      <c r="R6307">
        <v>3.8942810000000001E-2</v>
      </c>
      <c r="S6307">
        <v>-3.137146</v>
      </c>
      <c r="T6307">
        <v>-0.29378870000000001</v>
      </c>
      <c r="U6307">
        <v>6.1874390000000001E-2</v>
      </c>
      <c r="V6307">
        <v>2.8825E-2</v>
      </c>
      <c r="W6307">
        <v>0.23606550000000001</v>
      </c>
      <c r="X6307">
        <v>0.97130950000000005</v>
      </c>
      <c r="Y6307">
        <v>9.3196860000000006E-3</v>
      </c>
      <c r="Z6307">
        <v>-5.36791E-4</v>
      </c>
      <c r="AA6307">
        <v>0.99995639999999997</v>
      </c>
      <c r="AB6307">
        <v>32</v>
      </c>
      <c r="AC6307">
        <v>-0.52460000000002005</v>
      </c>
      <c r="AD6307">
        <v>-7.2936000000000098E-2</v>
      </c>
      <c r="AE6307">
        <v>1.2599999999991901E-2</v>
      </c>
      <c r="AF6307">
        <v>7.0053499339847699E-3</v>
      </c>
      <c r="AG6307">
        <v>-7.2936000000000098E-2</v>
      </c>
      <c r="AH6307">
        <v>0.51475827035806898</v>
      </c>
      <c r="AI6307">
        <v>98.063809049631899</v>
      </c>
      <c r="AJ6307">
        <v>89.220309352818106</v>
      </c>
      <c r="AK6307">
        <v>0.519946931836056</v>
      </c>
      <c r="AL6307">
        <v>76.345560955096602</v>
      </c>
      <c r="AM6307">
        <v>88.300164607266694</v>
      </c>
      <c r="AN6307">
        <v>0.999999972852749</v>
      </c>
    </row>
    <row r="6308" spans="1:40" x14ac:dyDescent="0.25">
      <c r="A6308" t="str">
        <f>"20190312154048687"</f>
        <v>20190312154048687</v>
      </c>
      <c r="B6308" t="str">
        <f>"1552376448682822"</f>
        <v>1552376448682822</v>
      </c>
      <c r="C6308" t="s">
        <v>40</v>
      </c>
      <c r="D6308">
        <v>3.601251</v>
      </c>
      <c r="E6308">
        <v>0.4900159</v>
      </c>
      <c r="F6308" t="s">
        <v>41</v>
      </c>
      <c r="G6308">
        <v>-336.99829999999997</v>
      </c>
      <c r="H6308">
        <v>1.0341579999999999</v>
      </c>
      <c r="I6308">
        <v>140.35239999999999</v>
      </c>
      <c r="J6308">
        <v>-336.41539999999998</v>
      </c>
      <c r="K6308">
        <v>1.1110070000000001</v>
      </c>
      <c r="L6308">
        <v>140.3509</v>
      </c>
      <c r="M6308">
        <v>-0.99984150000000005</v>
      </c>
      <c r="N6308">
        <v>0</v>
      </c>
      <c r="O6308">
        <v>1.0414919999999999E-2</v>
      </c>
      <c r="P6308">
        <v>-0.97348539999999995</v>
      </c>
      <c r="Q6308">
        <v>0.2254545</v>
      </c>
      <c r="R6308">
        <v>3.8690660000000002E-2</v>
      </c>
      <c r="S6308">
        <v>-3.1465450000000001</v>
      </c>
      <c r="T6308">
        <v>-0.2978615</v>
      </c>
      <c r="U6308">
        <v>1.4572140000000001E-2</v>
      </c>
      <c r="V6308">
        <v>2.85686E-2</v>
      </c>
      <c r="W6308">
        <v>0.2394985</v>
      </c>
      <c r="X6308">
        <v>0.97047629999999996</v>
      </c>
      <c r="Y6308">
        <v>-5.7129379999999999E-3</v>
      </c>
      <c r="Z6308">
        <v>-1.2535840000000001E-3</v>
      </c>
      <c r="AA6308">
        <v>0.99998290000000001</v>
      </c>
      <c r="AB6308">
        <v>32</v>
      </c>
      <c r="AC6308">
        <v>-0.58289999999999498</v>
      </c>
      <c r="AD6308">
        <v>-7.6849000000000098E-2</v>
      </c>
      <c r="AE6308">
        <v>1.4999999999929499E-3</v>
      </c>
      <c r="AF6308">
        <v>-4.4934683424046797E-3</v>
      </c>
      <c r="AG6308">
        <v>-7.6849000000000098E-2</v>
      </c>
      <c r="AH6308">
        <v>0.57292573537496205</v>
      </c>
      <c r="AI6308">
        <v>97.639497585408407</v>
      </c>
      <c r="AJ6308">
        <v>90.449362765044398</v>
      </c>
      <c r="AK6308">
        <v>0.578074267126366</v>
      </c>
      <c r="AL6308">
        <v>76.143056286535796</v>
      </c>
      <c r="AM6308">
        <v>88.313830405218297</v>
      </c>
      <c r="AN6308">
        <v>0.999999972634949</v>
      </c>
    </row>
    <row r="6309" spans="1:40" x14ac:dyDescent="0.25">
      <c r="A6309" t="str">
        <f>"20190312154048704"</f>
        <v>20190312154048704</v>
      </c>
      <c r="B6309" t="str">
        <f>"1552376448702342"</f>
        <v>1552376448702342</v>
      </c>
      <c r="C6309" t="s">
        <v>40</v>
      </c>
      <c r="D6309">
        <v>3.6516130000000002</v>
      </c>
      <c r="E6309">
        <v>0.48878100000000002</v>
      </c>
      <c r="F6309" t="s">
        <v>42</v>
      </c>
      <c r="G6309">
        <v>-353.05369999999999</v>
      </c>
      <c r="H6309" s="1">
        <v>-3.1452789999999998E-6</v>
      </c>
      <c r="I6309">
        <v>140.30420000000001</v>
      </c>
      <c r="J6309">
        <v>-336.66070000000002</v>
      </c>
      <c r="K6309">
        <v>1.1110450000000001</v>
      </c>
      <c r="L6309">
        <v>140.3535</v>
      </c>
      <c r="M6309">
        <v>-0.99984150000000005</v>
      </c>
      <c r="N6309">
        <v>0</v>
      </c>
      <c r="O6309">
        <v>1.0423450000000001E-2</v>
      </c>
      <c r="P6309">
        <v>-0.97159220000000002</v>
      </c>
      <c r="Q6309">
        <v>0.2335053</v>
      </c>
      <c r="R6309">
        <v>3.8525950000000003E-2</v>
      </c>
      <c r="S6309">
        <v>-3.1304630000000002</v>
      </c>
      <c r="T6309">
        <v>-0.20903430000000001</v>
      </c>
      <c r="U6309">
        <v>-8.7738039999999996E-3</v>
      </c>
      <c r="V6309">
        <v>2.8413580000000001E-2</v>
      </c>
      <c r="W6309">
        <v>0.24751790000000001</v>
      </c>
      <c r="X6309">
        <v>0.96846659999999996</v>
      </c>
      <c r="Y6309">
        <v>-1.3174490000000001E-2</v>
      </c>
      <c r="Z6309">
        <v>-1.134677E-3</v>
      </c>
      <c r="AA6309">
        <v>0.99991260000000004</v>
      </c>
      <c r="AB6309">
        <v>32</v>
      </c>
      <c r="AC6309">
        <v>-16.392999999999901</v>
      </c>
      <c r="AD6309">
        <v>-1.111048145279</v>
      </c>
      <c r="AE6309">
        <v>-4.9299999999988103E-2</v>
      </c>
      <c r="AF6309">
        <v>-0.21917993249449699</v>
      </c>
      <c r="AG6309">
        <v>-1.111048145279</v>
      </c>
      <c r="AH6309">
        <v>16.3166446052916</v>
      </c>
      <c r="AI6309">
        <v>93.895074060885193</v>
      </c>
      <c r="AJ6309">
        <v>90.769602460077493</v>
      </c>
      <c r="AK6309">
        <v>16.355896765366602</v>
      </c>
      <c r="AL6309">
        <v>75.669317218201499</v>
      </c>
      <c r="AM6309">
        <v>88.319496660127797</v>
      </c>
      <c r="AN6309">
        <v>0.99999999883219304</v>
      </c>
    </row>
    <row r="6310" spans="1:40" x14ac:dyDescent="0.25">
      <c r="A6310" t="str">
        <f>"20190312154048720"</f>
        <v>20190312154048720</v>
      </c>
      <c r="B6310" t="str">
        <f>"1552376448712103"</f>
        <v>1552376448712103</v>
      </c>
      <c r="C6310" t="s">
        <v>40</v>
      </c>
      <c r="D6310">
        <v>3.505789</v>
      </c>
      <c r="E6310">
        <v>0.48831059999999998</v>
      </c>
      <c r="F6310" t="s">
        <v>42</v>
      </c>
      <c r="G6310">
        <v>-366.09379999999999</v>
      </c>
      <c r="H6310" s="1">
        <v>-1.8167539999999999E-6</v>
      </c>
      <c r="I6310">
        <v>140.21260000000001</v>
      </c>
      <c r="J6310">
        <v>-336.89530000000002</v>
      </c>
      <c r="K6310">
        <v>1.1110640000000001</v>
      </c>
      <c r="L6310">
        <v>140.35589999999999</v>
      </c>
      <c r="M6310">
        <v>-0.99984139999999999</v>
      </c>
      <c r="N6310">
        <v>0</v>
      </c>
      <c r="O6310">
        <v>1.042906E-2</v>
      </c>
      <c r="P6310">
        <v>-0.97036219999999995</v>
      </c>
      <c r="Q6310">
        <v>0.2385631</v>
      </c>
      <c r="R6310">
        <v>3.8537630000000003E-2</v>
      </c>
      <c r="S6310">
        <v>-3.1165769999999999</v>
      </c>
      <c r="T6310">
        <v>-0.1176456</v>
      </c>
      <c r="U6310">
        <v>-1.490784E-2</v>
      </c>
      <c r="V6310">
        <v>2.843066E-2</v>
      </c>
      <c r="W6310">
        <v>0.25255539999999999</v>
      </c>
      <c r="X6310">
        <v>0.96716460000000004</v>
      </c>
      <c r="Y6310">
        <v>-1.5194869999999999E-2</v>
      </c>
      <c r="Z6310">
        <v>-6.8026229999999896E-4</v>
      </c>
      <c r="AA6310">
        <v>0.99988429999999995</v>
      </c>
      <c r="AB6310">
        <v>32</v>
      </c>
      <c r="AC6310">
        <v>-29.1984999999999</v>
      </c>
      <c r="AD6310">
        <v>-1.111065816754</v>
      </c>
      <c r="AE6310">
        <v>-0.143299999999982</v>
      </c>
      <c r="AF6310">
        <v>-0.44718935063381299</v>
      </c>
      <c r="AG6310">
        <v>-1.111065816754</v>
      </c>
      <c r="AH6310">
        <v>29.153205248565701</v>
      </c>
      <c r="AI6310">
        <v>92.182302429774694</v>
      </c>
      <c r="AJ6310">
        <v>90.878807422025602</v>
      </c>
      <c r="AK6310">
        <v>29.1777967267832</v>
      </c>
      <c r="AL6310">
        <v>75.371219951309001</v>
      </c>
      <c r="AM6310">
        <v>88.316224698256804</v>
      </c>
      <c r="AN6310">
        <v>0.999999947995176</v>
      </c>
    </row>
    <row r="6311" spans="1:40" x14ac:dyDescent="0.25">
      <c r="A6311" t="str">
        <f>"20190312154048733"</f>
        <v>20190312154048733</v>
      </c>
      <c r="B6311" t="str">
        <f>"1552376448722839"</f>
        <v>1552376448722839</v>
      </c>
      <c r="C6311" t="s">
        <v>40</v>
      </c>
      <c r="D6311">
        <v>3.5103300000000002</v>
      </c>
      <c r="E6311">
        <v>0.48813380000000001</v>
      </c>
      <c r="F6311" t="s">
        <v>42</v>
      </c>
      <c r="G6311">
        <v>-382.34679999999997</v>
      </c>
      <c r="H6311" s="1">
        <v>-3.3948600000000001E-6</v>
      </c>
      <c r="I6311">
        <v>140.10239999999999</v>
      </c>
      <c r="J6311">
        <v>-337.08550000000002</v>
      </c>
      <c r="K6311">
        <v>1.111078</v>
      </c>
      <c r="L6311">
        <v>140.3579</v>
      </c>
      <c r="M6311">
        <v>-0.99984130000000004</v>
      </c>
      <c r="N6311">
        <v>0</v>
      </c>
      <c r="O6311">
        <v>1.043172E-2</v>
      </c>
      <c r="P6311">
        <v>-0.96913740000000004</v>
      </c>
      <c r="Q6311">
        <v>0.24355060000000001</v>
      </c>
      <c r="R6311">
        <v>3.8151400000000002E-2</v>
      </c>
      <c r="S6311">
        <v>-3.110992</v>
      </c>
      <c r="T6311">
        <v>-7.6048610000000003E-2</v>
      </c>
      <c r="U6311">
        <v>-1.7349239999999998E-2</v>
      </c>
      <c r="V6311">
        <v>2.805318E-2</v>
      </c>
      <c r="W6311">
        <v>0.25752340000000001</v>
      </c>
      <c r="X6311">
        <v>0.96586470000000002</v>
      </c>
      <c r="Y6311">
        <v>-1.6001109999999999E-2</v>
      </c>
      <c r="Z6311">
        <v>-4.5053360000000002E-4</v>
      </c>
      <c r="AA6311">
        <v>0.99987190000000004</v>
      </c>
      <c r="AB6311">
        <v>32</v>
      </c>
      <c r="AC6311">
        <v>-45.261299999999899</v>
      </c>
      <c r="AD6311">
        <v>-1.11108139486</v>
      </c>
      <c r="AE6311">
        <v>-0.255500000000012</v>
      </c>
      <c r="AF6311">
        <v>-0.72725031000685103</v>
      </c>
      <c r="AG6311">
        <v>-1.11108139486</v>
      </c>
      <c r="AH6311">
        <v>45.2289165369709</v>
      </c>
      <c r="AI6311">
        <v>91.407047866231906</v>
      </c>
      <c r="AJ6311">
        <v>90.921197899835803</v>
      </c>
      <c r="AK6311">
        <v>45.248406446942198</v>
      </c>
      <c r="AL6311">
        <v>75.076839185451007</v>
      </c>
      <c r="AM6311">
        <v>88.336333164620399</v>
      </c>
      <c r="AN6311">
        <v>0.99999995058087998</v>
      </c>
    </row>
    <row r="6312" spans="1:40" x14ac:dyDescent="0.25">
      <c r="A6312" t="str">
        <f>"20190312154048750"</f>
        <v>20190312154048750</v>
      </c>
      <c r="B6312" t="str">
        <f>"1552376448742358"</f>
        <v>1552376448742358</v>
      </c>
      <c r="C6312" t="s">
        <v>40</v>
      </c>
      <c r="D6312">
        <v>3.5128940000000002</v>
      </c>
      <c r="E6312">
        <v>0.48739329999999997</v>
      </c>
      <c r="F6312" t="s">
        <v>55</v>
      </c>
      <c r="G6312">
        <v>-415.40410000000003</v>
      </c>
      <c r="H6312" s="1">
        <v>-1.02876E-5</v>
      </c>
      <c r="I6312">
        <v>139.8691</v>
      </c>
      <c r="J6312">
        <v>-337.31819999999999</v>
      </c>
      <c r="K6312">
        <v>1.1111120000000001</v>
      </c>
      <c r="L6312">
        <v>140.3604</v>
      </c>
      <c r="M6312">
        <v>-0.99984130000000004</v>
      </c>
      <c r="N6312">
        <v>0</v>
      </c>
      <c r="O6312">
        <v>1.043325E-2</v>
      </c>
      <c r="P6312">
        <v>-0.96714270000000002</v>
      </c>
      <c r="Q6312">
        <v>0.25135020000000002</v>
      </c>
      <c r="R6312">
        <v>3.8184389999999999E-2</v>
      </c>
      <c r="S6312">
        <v>-3.1074220000000001</v>
      </c>
      <c r="T6312">
        <v>-4.4084310000000002E-2</v>
      </c>
      <c r="U6312">
        <v>-1.9393919999999999E-2</v>
      </c>
      <c r="V6312">
        <v>2.8104830000000001E-2</v>
      </c>
      <c r="W6312">
        <v>0.2652912</v>
      </c>
      <c r="X6312">
        <v>0.96375860000000002</v>
      </c>
      <c r="Y6312">
        <v>-1.667211E-2</v>
      </c>
      <c r="Z6312">
        <v>-2.6627459999999998E-4</v>
      </c>
      <c r="AA6312">
        <v>0.999861</v>
      </c>
      <c r="AB6312">
        <v>32</v>
      </c>
      <c r="AC6312">
        <v>-78.085899999999995</v>
      </c>
      <c r="AD6312">
        <v>-1.1111222876</v>
      </c>
      <c r="AE6312">
        <v>-0.49129999999999502</v>
      </c>
      <c r="AF6312">
        <v>-1.30578354153732</v>
      </c>
      <c r="AG6312">
        <v>-1.1111222876</v>
      </c>
      <c r="AH6312">
        <v>78.060717701474402</v>
      </c>
      <c r="AI6312">
        <v>90.815383423644604</v>
      </c>
      <c r="AJ6312">
        <v>90.958342569196503</v>
      </c>
      <c r="AK6312">
        <v>78.079544769834698</v>
      </c>
      <c r="AL6312">
        <v>74.615742875530401</v>
      </c>
      <c r="AM6312">
        <v>88.329631600240106</v>
      </c>
      <c r="AN6312">
        <v>0.99999997067036395</v>
      </c>
    </row>
    <row r="6313" spans="1:40" x14ac:dyDescent="0.25">
      <c r="A6313" t="str">
        <f>"20190312154048773"</f>
        <v>20190312154048773</v>
      </c>
      <c r="B6313" t="str">
        <f>"1552376448762854"</f>
        <v>1552376448762854</v>
      </c>
      <c r="C6313" t="s">
        <v>40</v>
      </c>
      <c r="D6313">
        <v>3.5398480000000001</v>
      </c>
      <c r="E6313">
        <v>0.4868671</v>
      </c>
      <c r="F6313" t="s">
        <v>50</v>
      </c>
      <c r="G6313">
        <v>0</v>
      </c>
      <c r="H6313">
        <v>0</v>
      </c>
      <c r="I6313">
        <v>0</v>
      </c>
      <c r="J6313">
        <v>-337.64400000000001</v>
      </c>
      <c r="K6313">
        <v>1.1111439999999999</v>
      </c>
      <c r="L6313">
        <v>140.36369999999999</v>
      </c>
      <c r="M6313">
        <v>-0.99984130000000004</v>
      </c>
      <c r="N6313">
        <v>0</v>
      </c>
      <c r="O6313">
        <v>1.043324E-2</v>
      </c>
      <c r="P6313">
        <v>-0.96498430000000002</v>
      </c>
      <c r="Q6313">
        <v>0.25948909999999997</v>
      </c>
      <c r="R6313">
        <v>3.834916E-2</v>
      </c>
      <c r="S6313">
        <v>-3.1025390000000002</v>
      </c>
      <c r="T6313">
        <v>1.4092919999999999E-3</v>
      </c>
      <c r="U6313">
        <v>-2.478027E-2</v>
      </c>
      <c r="V6313">
        <v>2.8291190000000001E-2</v>
      </c>
      <c r="W6313">
        <v>0.27339449999999998</v>
      </c>
      <c r="X6313">
        <v>0.9614859</v>
      </c>
      <c r="Y6313">
        <v>-1.84204E-2</v>
      </c>
      <c r="Z6313" s="1">
        <v>8.9231400000000004E-6</v>
      </c>
      <c r="AA6313">
        <v>0.99983029999999995</v>
      </c>
      <c r="AB6313">
        <v>32</v>
      </c>
      <c r="AC6313">
        <v>-3.1025390000000002</v>
      </c>
      <c r="AD6313">
        <v>1.4092919999999999E-3</v>
      </c>
      <c r="AE6313">
        <v>-2.478027E-2</v>
      </c>
      <c r="AF6313">
        <v>-5.71518186027129E-2</v>
      </c>
      <c r="AG6313">
        <v>1.4092919999999999E-3</v>
      </c>
      <c r="AH6313">
        <v>3.1021108951367302</v>
      </c>
      <c r="AI6313">
        <v>89.973974889800303</v>
      </c>
      <c r="AJ6313">
        <v>91.055470836857495</v>
      </c>
      <c r="AK6313">
        <v>3.1026376395253701</v>
      </c>
      <c r="AL6313">
        <v>74.133640980010696</v>
      </c>
      <c r="AM6313">
        <v>88.314589722417097</v>
      </c>
      <c r="AN6313">
        <v>1.0000000399803299</v>
      </c>
    </row>
    <row r="6314" spans="1:40" x14ac:dyDescent="0.25">
      <c r="A6314" t="str">
        <f>"20190312154048794"</f>
        <v>20190312154048794</v>
      </c>
      <c r="B6314" t="str">
        <f>"1552376448782373"</f>
        <v>1552376448782373</v>
      </c>
      <c r="C6314" t="s">
        <v>40</v>
      </c>
      <c r="D6314">
        <v>3.557912</v>
      </c>
      <c r="E6314">
        <v>0.48641990000000002</v>
      </c>
      <c r="F6314" t="s">
        <v>50</v>
      </c>
      <c r="G6314">
        <v>0</v>
      </c>
      <c r="H6314">
        <v>0</v>
      </c>
      <c r="I6314">
        <v>0</v>
      </c>
      <c r="J6314">
        <v>-337.94420000000002</v>
      </c>
      <c r="K6314">
        <v>1.1111629999999999</v>
      </c>
      <c r="L6314">
        <v>140.36689999999999</v>
      </c>
      <c r="M6314">
        <v>-0.99984150000000005</v>
      </c>
      <c r="N6314">
        <v>0</v>
      </c>
      <c r="O6314">
        <v>1.043169E-2</v>
      </c>
      <c r="P6314">
        <v>-0.96288899999999999</v>
      </c>
      <c r="Q6314">
        <v>0.26717449999999998</v>
      </c>
      <c r="R6314">
        <v>3.8247080000000003E-2</v>
      </c>
      <c r="S6314">
        <v>-3.0993650000000001</v>
      </c>
      <c r="T6314">
        <v>3.9345379999999999E-2</v>
      </c>
      <c r="U6314">
        <v>-2.8091430000000001E-2</v>
      </c>
      <c r="V6314">
        <v>2.821208E-2</v>
      </c>
      <c r="W6314">
        <v>0.28104600000000002</v>
      </c>
      <c r="X6314">
        <v>0.95927949999999995</v>
      </c>
      <c r="Y6314">
        <v>-1.949269E-2</v>
      </c>
      <c r="Z6314">
        <v>2.5615129999999997E-4</v>
      </c>
      <c r="AA6314">
        <v>0.99980999999999998</v>
      </c>
      <c r="AB6314">
        <v>32</v>
      </c>
      <c r="AC6314">
        <v>-3.0993650000000001</v>
      </c>
      <c r="AD6314">
        <v>3.9345379999999999E-2</v>
      </c>
      <c r="AE6314">
        <v>-2.8091430000000001E-2</v>
      </c>
      <c r="AF6314">
        <v>-6.0415146210675397E-2</v>
      </c>
      <c r="AG6314">
        <v>3.9345379999999999E-2</v>
      </c>
      <c r="AH6314">
        <v>3.09840397174499</v>
      </c>
      <c r="AI6314">
        <v>89.272601404724298</v>
      </c>
      <c r="AJ6314">
        <v>91.117057147177405</v>
      </c>
      <c r="AK6314">
        <v>3.0992426850674599</v>
      </c>
      <c r="AL6314">
        <v>73.677356282119504</v>
      </c>
      <c r="AM6314">
        <v>88.315436403771102</v>
      </c>
      <c r="AN6314">
        <v>0.99999996734708696</v>
      </c>
    </row>
    <row r="6315" spans="1:40" x14ac:dyDescent="0.25">
      <c r="A6315" t="str">
        <f>"20190312154048817"</f>
        <v>20190312154048817</v>
      </c>
      <c r="B6315" t="str">
        <f>"1552376448812631"</f>
        <v>1552376448812631</v>
      </c>
      <c r="C6315" t="s">
        <v>40</v>
      </c>
      <c r="D6315">
        <v>3.5408200000000001</v>
      </c>
      <c r="E6315">
        <v>0.48578860000000001</v>
      </c>
      <c r="F6315" t="s">
        <v>50</v>
      </c>
      <c r="G6315">
        <v>0</v>
      </c>
      <c r="H6315">
        <v>0</v>
      </c>
      <c r="I6315">
        <v>0</v>
      </c>
      <c r="J6315">
        <v>-338.27190000000002</v>
      </c>
      <c r="K6315">
        <v>1.111173</v>
      </c>
      <c r="L6315">
        <v>140.37029999999999</v>
      </c>
      <c r="M6315">
        <v>-0.9998416</v>
      </c>
      <c r="N6315">
        <v>0</v>
      </c>
      <c r="O6315">
        <v>1.0429860000000001E-2</v>
      </c>
      <c r="P6315">
        <v>-0.9618061</v>
      </c>
      <c r="Q6315">
        <v>0.27112829999999999</v>
      </c>
      <c r="R6315">
        <v>3.7662899999999999E-2</v>
      </c>
      <c r="S6315">
        <v>-3.0980829999999999</v>
      </c>
      <c r="T6315">
        <v>6.7688699999999893E-2</v>
      </c>
      <c r="U6315">
        <v>-3.1921390000000001E-2</v>
      </c>
      <c r="V6315">
        <v>2.7640430000000001E-2</v>
      </c>
      <c r="W6315">
        <v>0.28498050000000003</v>
      </c>
      <c r="X6315">
        <v>0.95813470000000001</v>
      </c>
      <c r="Y6315">
        <v>-2.0725440000000001E-2</v>
      </c>
      <c r="Z6315">
        <v>4.5424570000000001E-4</v>
      </c>
      <c r="AA6315">
        <v>0.99978509999999998</v>
      </c>
      <c r="AB6315">
        <v>32</v>
      </c>
      <c r="AC6315">
        <v>-3.0980829999999999</v>
      </c>
      <c r="AD6315">
        <v>6.7688699999999893E-2</v>
      </c>
      <c r="AE6315">
        <v>-3.1921390000000001E-2</v>
      </c>
      <c r="AF6315">
        <v>-6.4204940598672197E-2</v>
      </c>
      <c r="AG6315">
        <v>6.7688699999999893E-2</v>
      </c>
      <c r="AH6315">
        <v>3.0961036823719099</v>
      </c>
      <c r="AI6315">
        <v>88.747837194682802</v>
      </c>
      <c r="AJ6315">
        <v>91.187991524749705</v>
      </c>
      <c r="AK6315">
        <v>3.0975090066861499</v>
      </c>
      <c r="AL6315">
        <v>73.442316865854494</v>
      </c>
      <c r="AM6315">
        <v>88.347580063122706</v>
      </c>
      <c r="AN6315">
        <v>0.99999999104746196</v>
      </c>
    </row>
    <row r="6316" spans="1:40" x14ac:dyDescent="0.25">
      <c r="A6316" t="str">
        <f>"20190312154048838"</f>
        <v>20190312154048838</v>
      </c>
      <c r="B6316" t="str">
        <f>"1552376448832154"</f>
        <v>1552376448832154</v>
      </c>
      <c r="C6316" t="s">
        <v>40</v>
      </c>
      <c r="D6316">
        <v>3.5664600000000002</v>
      </c>
      <c r="E6316">
        <v>0.48549100000000001</v>
      </c>
      <c r="F6316" t="s">
        <v>50</v>
      </c>
      <c r="G6316">
        <v>0</v>
      </c>
      <c r="H6316">
        <v>0</v>
      </c>
      <c r="I6316">
        <v>0</v>
      </c>
      <c r="J6316">
        <v>-338.589</v>
      </c>
      <c r="K6316">
        <v>1.111194</v>
      </c>
      <c r="L6316">
        <v>140.37360000000001</v>
      </c>
      <c r="M6316">
        <v>-0.9998416</v>
      </c>
      <c r="N6316">
        <v>0</v>
      </c>
      <c r="O6316">
        <v>1.042892E-2</v>
      </c>
      <c r="P6316">
        <v>-0.96077259999999998</v>
      </c>
      <c r="Q6316">
        <v>0.27490059999999999</v>
      </c>
      <c r="R6316">
        <v>3.6684899999999999E-2</v>
      </c>
      <c r="S6316">
        <v>-3.0984500000000001</v>
      </c>
      <c r="T6316">
        <v>7.8603510000000001E-2</v>
      </c>
      <c r="U6316">
        <v>-3.8406370000000002E-2</v>
      </c>
      <c r="V6316">
        <v>2.6674110000000001E-2</v>
      </c>
      <c r="W6316">
        <v>0.28873399999999999</v>
      </c>
      <c r="X6316">
        <v>0.95703769999999999</v>
      </c>
      <c r="Y6316">
        <v>-2.2812240000000001E-2</v>
      </c>
      <c r="Z6316">
        <v>5.5384339999999996E-4</v>
      </c>
      <c r="AA6316">
        <v>0.99973959999999995</v>
      </c>
      <c r="AB6316">
        <v>32</v>
      </c>
      <c r="AC6316">
        <v>-3.0984500000000001</v>
      </c>
      <c r="AD6316">
        <v>7.8603510000000001E-2</v>
      </c>
      <c r="AE6316">
        <v>-3.8406370000000002E-2</v>
      </c>
      <c r="AF6316">
        <v>-7.0675651780391702E-2</v>
      </c>
      <c r="AG6316">
        <v>7.8603510000000001E-2</v>
      </c>
      <c r="AH6316">
        <v>3.09588877340029</v>
      </c>
      <c r="AI6316">
        <v>88.545971769254507</v>
      </c>
      <c r="AJ6316">
        <v>91.307770923435498</v>
      </c>
      <c r="AK6316">
        <v>3.09769282802618</v>
      </c>
      <c r="AL6316">
        <v>73.217822289755205</v>
      </c>
      <c r="AM6316">
        <v>88.403491976597607</v>
      </c>
      <c r="AN6316">
        <v>0.99999999506079096</v>
      </c>
    </row>
    <row r="6317" spans="1:40" x14ac:dyDescent="0.25">
      <c r="A6317" t="str">
        <f>"20190312154048853"</f>
        <v>20190312154048853</v>
      </c>
      <c r="B6317" t="str">
        <f>"1552376448842886"</f>
        <v>1552376448842886</v>
      </c>
      <c r="C6317" t="s">
        <v>40</v>
      </c>
      <c r="D6317">
        <v>3.5972469999999999</v>
      </c>
      <c r="E6317">
        <v>0.48524790000000001</v>
      </c>
      <c r="F6317" t="s">
        <v>50</v>
      </c>
      <c r="G6317">
        <v>0</v>
      </c>
      <c r="H6317">
        <v>0</v>
      </c>
      <c r="I6317">
        <v>0</v>
      </c>
      <c r="J6317">
        <v>-338.7998</v>
      </c>
      <c r="K6317">
        <v>1.111202</v>
      </c>
      <c r="L6317">
        <v>140.3758</v>
      </c>
      <c r="M6317">
        <v>-0.99984170000000006</v>
      </c>
      <c r="N6317">
        <v>0</v>
      </c>
      <c r="O6317">
        <v>1.042822E-2</v>
      </c>
      <c r="P6317">
        <v>-0.96005499999999999</v>
      </c>
      <c r="Q6317">
        <v>0.27747329999999998</v>
      </c>
      <c r="R6317">
        <v>3.609764E-2</v>
      </c>
      <c r="S6317">
        <v>-3.098938</v>
      </c>
      <c r="T6317">
        <v>8.8063600000000006E-2</v>
      </c>
      <c r="U6317">
        <v>-4.3380740000000001E-2</v>
      </c>
      <c r="V6317">
        <v>2.6094800000000001E-2</v>
      </c>
      <c r="W6317">
        <v>0.29129359999999999</v>
      </c>
      <c r="X6317">
        <v>0.95627770000000001</v>
      </c>
      <c r="Y6317">
        <v>-2.4410669999999999E-2</v>
      </c>
      <c r="Z6317">
        <v>6.4305639999999995E-4</v>
      </c>
      <c r="AA6317">
        <v>0.99970179999999997</v>
      </c>
      <c r="AB6317">
        <v>32</v>
      </c>
      <c r="AC6317">
        <v>-3.098938</v>
      </c>
      <c r="AD6317">
        <v>8.8063600000000006E-2</v>
      </c>
      <c r="AE6317">
        <v>-4.3380740000000001E-2</v>
      </c>
      <c r="AF6317">
        <v>-7.5637078105378397E-2</v>
      </c>
      <c r="AG6317">
        <v>8.8063600000000006E-2</v>
      </c>
      <c r="AH6317">
        <v>3.0958175039429201</v>
      </c>
      <c r="AI6317">
        <v>88.3710899400822</v>
      </c>
      <c r="AJ6317">
        <v>91.399573250113903</v>
      </c>
      <c r="AK6317">
        <v>3.0979932509527299</v>
      </c>
      <c r="AL6317">
        <v>73.064581627255805</v>
      </c>
      <c r="AM6317">
        <v>88.436907010077206</v>
      </c>
      <c r="AN6317">
        <v>0.99999996975264405</v>
      </c>
    </row>
    <row r="6318" spans="1:40" x14ac:dyDescent="0.25">
      <c r="A6318" t="str">
        <f>"20190312154048866"</f>
        <v>20190312154048866</v>
      </c>
      <c r="B6318" t="str">
        <f>"1552376448862406"</f>
        <v>1552376448862406</v>
      </c>
      <c r="C6318" t="s">
        <v>40</v>
      </c>
      <c r="D6318">
        <v>3.6200869999999998</v>
      </c>
      <c r="E6318">
        <v>0.46071279999999998</v>
      </c>
      <c r="F6318" t="s">
        <v>50</v>
      </c>
      <c r="G6318">
        <v>0</v>
      </c>
      <c r="H6318">
        <v>0</v>
      </c>
      <c r="I6318">
        <v>0</v>
      </c>
      <c r="J6318">
        <v>-338.97559999999999</v>
      </c>
      <c r="K6318">
        <v>1.1112059999999999</v>
      </c>
      <c r="L6318">
        <v>140.3776</v>
      </c>
      <c r="M6318">
        <v>-0.99984170000000006</v>
      </c>
      <c r="N6318">
        <v>0</v>
      </c>
      <c r="O6318">
        <v>1.042793E-2</v>
      </c>
      <c r="P6318">
        <v>-0.95939079999999999</v>
      </c>
      <c r="Q6318">
        <v>0.2798638</v>
      </c>
      <c r="R6318">
        <v>3.529388E-2</v>
      </c>
      <c r="S6318">
        <v>-3.0989990000000001</v>
      </c>
      <c r="T6318">
        <v>9.537292E-2</v>
      </c>
      <c r="U6318">
        <v>-4.6707150000000003E-2</v>
      </c>
      <c r="V6318">
        <v>2.5298270000000001E-2</v>
      </c>
      <c r="W6318">
        <v>0.2936725</v>
      </c>
      <c r="X6318">
        <v>0.95557130000000001</v>
      </c>
      <c r="Y6318">
        <v>-2.5479990000000001E-2</v>
      </c>
      <c r="Z6318">
        <v>7.1282810000000002E-4</v>
      </c>
      <c r="AA6318">
        <v>0.99967510000000004</v>
      </c>
      <c r="AB6318">
        <v>32</v>
      </c>
      <c r="AC6318">
        <v>-3.0989990000000001</v>
      </c>
      <c r="AD6318">
        <v>9.537292E-2</v>
      </c>
      <c r="AE6318">
        <v>-4.6707150000000003E-2</v>
      </c>
      <c r="AF6318">
        <v>-7.8949355320647494E-2</v>
      </c>
      <c r="AG6318">
        <v>9.537292E-2</v>
      </c>
      <c r="AH6318">
        <v>3.0954122791790502</v>
      </c>
      <c r="AI6318">
        <v>88.235788227625605</v>
      </c>
      <c r="AJ6318">
        <v>91.461028116093402</v>
      </c>
      <c r="AK6318">
        <v>3.0978873724955398</v>
      </c>
      <c r="AL6318">
        <v>72.922048706451505</v>
      </c>
      <c r="AM6318">
        <v>88.4834772716613</v>
      </c>
      <c r="AN6318">
        <v>1.0000000245524601</v>
      </c>
    </row>
    <row r="6319" spans="1:40" x14ac:dyDescent="0.25">
      <c r="A6319" t="str">
        <f>"20190312154048878"</f>
        <v>20190312154048878</v>
      </c>
      <c r="B6319" t="str">
        <f>"1552376448872446"</f>
        <v>1552376448872446</v>
      </c>
      <c r="C6319" t="s">
        <v>40</v>
      </c>
      <c r="D6319">
        <v>3.6226660000000002</v>
      </c>
      <c r="E6319">
        <v>0.45944279999999998</v>
      </c>
      <c r="F6319" t="s">
        <v>50</v>
      </c>
      <c r="G6319">
        <v>0</v>
      </c>
      <c r="H6319">
        <v>0</v>
      </c>
      <c r="I6319">
        <v>0</v>
      </c>
      <c r="J6319">
        <v>-339.14920000000001</v>
      </c>
      <c r="K6319">
        <v>1.111213</v>
      </c>
      <c r="L6319">
        <v>140.3794</v>
      </c>
      <c r="M6319">
        <v>-0.99984170000000006</v>
      </c>
      <c r="N6319">
        <v>0</v>
      </c>
      <c r="O6319">
        <v>1.0427759999999999E-2</v>
      </c>
      <c r="P6319">
        <v>-0.95882440000000002</v>
      </c>
      <c r="Q6319">
        <v>0.28186600000000001</v>
      </c>
      <c r="R6319">
        <v>3.4748790000000002E-2</v>
      </c>
      <c r="S6319">
        <v>-3.1104129999999999</v>
      </c>
      <c r="T6319">
        <v>8.7850209999999998E-2</v>
      </c>
      <c r="U6319">
        <v>-0.2457886</v>
      </c>
      <c r="V6319">
        <v>2.4759320000000001E-2</v>
      </c>
      <c r="W6319">
        <v>0.29566419999999999</v>
      </c>
      <c r="X6319">
        <v>0.95497100000000001</v>
      </c>
      <c r="Y6319">
        <v>-8.912834E-2</v>
      </c>
      <c r="Z6319">
        <v>1.550519E-3</v>
      </c>
      <c r="AA6319">
        <v>0.99601890000000004</v>
      </c>
      <c r="AB6319">
        <v>32</v>
      </c>
      <c r="AC6319">
        <v>-3.1104129999999999</v>
      </c>
      <c r="AD6319">
        <v>8.7850209999999998E-2</v>
      </c>
      <c r="AE6319">
        <v>-0.2457886</v>
      </c>
      <c r="AF6319">
        <v>-0.27799286109596399</v>
      </c>
      <c r="AG6319">
        <v>8.7850209999999998E-2</v>
      </c>
      <c r="AH6319">
        <v>3.1052188413055699</v>
      </c>
      <c r="AI6319">
        <v>88.385920576448498</v>
      </c>
      <c r="AJ6319">
        <v>95.115732626382396</v>
      </c>
      <c r="AK6319">
        <v>3.11887507646852</v>
      </c>
      <c r="AL6319">
        <v>72.802629615081202</v>
      </c>
      <c r="AM6319">
        <v>88.514837825628504</v>
      </c>
      <c r="AN6319">
        <v>0.99999997696475096</v>
      </c>
    </row>
    <row r="6320" spans="1:40" x14ac:dyDescent="0.25">
      <c r="A6320" t="str">
        <f>"20190312154048893"</f>
        <v>20190312154048893</v>
      </c>
      <c r="B6320" t="str">
        <f>"1552376448882193"</f>
        <v>1552376448882193</v>
      </c>
      <c r="C6320" t="s">
        <v>40</v>
      </c>
      <c r="D6320">
        <v>3.6250140000000002</v>
      </c>
      <c r="E6320">
        <v>0.45842529999999998</v>
      </c>
      <c r="F6320" t="s">
        <v>50</v>
      </c>
      <c r="G6320">
        <v>0</v>
      </c>
      <c r="H6320">
        <v>0</v>
      </c>
      <c r="I6320">
        <v>0</v>
      </c>
      <c r="J6320">
        <v>-339.38240000000002</v>
      </c>
      <c r="K6320">
        <v>1.1112280000000001</v>
      </c>
      <c r="L6320">
        <v>140.3819</v>
      </c>
      <c r="M6320">
        <v>-0.9998418</v>
      </c>
      <c r="N6320">
        <v>0</v>
      </c>
      <c r="O6320">
        <v>1.04276E-2</v>
      </c>
      <c r="P6320">
        <v>-0.95739439999999998</v>
      </c>
      <c r="Q6320">
        <v>0.28696670000000002</v>
      </c>
      <c r="R6320">
        <v>3.2343879999999998E-2</v>
      </c>
      <c r="S6320">
        <v>-3.1116640000000002</v>
      </c>
      <c r="T6320">
        <v>9.0151430000000005E-2</v>
      </c>
      <c r="U6320">
        <v>-0.2576599</v>
      </c>
      <c r="V6320">
        <v>2.2369590000000002E-2</v>
      </c>
      <c r="W6320">
        <v>0.30074129999999999</v>
      </c>
      <c r="X6320">
        <v>0.95344329999999999</v>
      </c>
      <c r="Y6320">
        <v>-9.2867690000000003E-2</v>
      </c>
      <c r="Z6320">
        <v>1.644298E-3</v>
      </c>
      <c r="AA6320">
        <v>0.99567709999999998</v>
      </c>
      <c r="AB6320">
        <v>32</v>
      </c>
      <c r="AC6320">
        <v>-3.1116640000000002</v>
      </c>
      <c r="AD6320">
        <v>9.0151430000000005E-2</v>
      </c>
      <c r="AE6320">
        <v>-0.2576599</v>
      </c>
      <c r="AF6320">
        <v>-0.28985480295261701</v>
      </c>
      <c r="AG6320">
        <v>9.0151430000000005E-2</v>
      </c>
      <c r="AH6320">
        <v>3.1062181844254599</v>
      </c>
      <c r="AI6320">
        <v>88.344764428364897</v>
      </c>
      <c r="AJ6320">
        <v>95.331081926542296</v>
      </c>
      <c r="AK6320">
        <v>3.12101497855764</v>
      </c>
      <c r="AL6320">
        <v>72.4978659339329</v>
      </c>
      <c r="AM6320">
        <v>88.655978806471495</v>
      </c>
      <c r="AN6320">
        <v>0.99999992719867103</v>
      </c>
    </row>
    <row r="6321" spans="1:40" x14ac:dyDescent="0.25">
      <c r="A6321" t="str">
        <f>"20190312154048909"</f>
        <v>20190312154048909</v>
      </c>
      <c r="B6321" t="str">
        <f>"1552376448902689"</f>
        <v>1552376448902689</v>
      </c>
      <c r="C6321" t="s">
        <v>40</v>
      </c>
      <c r="D6321">
        <v>3.6356739999999999</v>
      </c>
      <c r="E6321">
        <v>0.45734829999999999</v>
      </c>
      <c r="F6321" t="s">
        <v>50</v>
      </c>
      <c r="G6321">
        <v>0</v>
      </c>
      <c r="H6321">
        <v>0</v>
      </c>
      <c r="I6321">
        <v>0</v>
      </c>
      <c r="J6321">
        <v>-339.59059999999999</v>
      </c>
      <c r="K6321">
        <v>1.1112310000000001</v>
      </c>
      <c r="L6321">
        <v>140.38399999999999</v>
      </c>
      <c r="M6321">
        <v>-0.9998418</v>
      </c>
      <c r="N6321">
        <v>0</v>
      </c>
      <c r="O6321">
        <v>1.042761E-2</v>
      </c>
      <c r="P6321">
        <v>-0.95711020000000002</v>
      </c>
      <c r="Q6321">
        <v>0.2879874</v>
      </c>
      <c r="R6321">
        <v>3.1678869999999998E-2</v>
      </c>
      <c r="S6321">
        <v>-3.1118769999999998</v>
      </c>
      <c r="T6321">
        <v>0.10293529999999999</v>
      </c>
      <c r="U6321">
        <v>-0.2736053</v>
      </c>
      <c r="V6321">
        <v>2.1707580000000001E-2</v>
      </c>
      <c r="W6321">
        <v>0.30175570000000002</v>
      </c>
      <c r="X6321">
        <v>0.95313809999999999</v>
      </c>
      <c r="Y6321">
        <v>-9.7910079999999997E-2</v>
      </c>
      <c r="Z6321">
        <v>1.960027E-3</v>
      </c>
      <c r="AA6321">
        <v>0.99519340000000001</v>
      </c>
      <c r="AB6321">
        <v>32</v>
      </c>
      <c r="AC6321">
        <v>-3.1118769999999998</v>
      </c>
      <c r="AD6321">
        <v>0.10293529999999999</v>
      </c>
      <c r="AE6321">
        <v>-0.2736053</v>
      </c>
      <c r="AF6321">
        <v>-0.305711297026666</v>
      </c>
      <c r="AG6321">
        <v>0.10293529999999999</v>
      </c>
      <c r="AH6321">
        <v>3.1054825772892198</v>
      </c>
      <c r="AI6321">
        <v>88.110677065588206</v>
      </c>
      <c r="AJ6321">
        <v>95.622221814798493</v>
      </c>
      <c r="AK6321">
        <v>3.1221910753448001</v>
      </c>
      <c r="AL6321">
        <v>72.436914536532498</v>
      </c>
      <c r="AM6321">
        <v>88.695322595941903</v>
      </c>
      <c r="AN6321">
        <v>0.999999979591777</v>
      </c>
    </row>
    <row r="6322" spans="1:40" x14ac:dyDescent="0.25">
      <c r="A6322" t="str">
        <f>"20190312154048929"</f>
        <v>20190312154048929</v>
      </c>
      <c r="B6322" t="str">
        <f>"1552376448922209"</f>
        <v>1552376448922209</v>
      </c>
      <c r="C6322" t="s">
        <v>40</v>
      </c>
      <c r="D6322">
        <v>3.6681970000000002</v>
      </c>
      <c r="E6322">
        <v>0.45752169999999998</v>
      </c>
      <c r="F6322" t="s">
        <v>50</v>
      </c>
      <c r="G6322">
        <v>0</v>
      </c>
      <c r="H6322">
        <v>0</v>
      </c>
      <c r="I6322">
        <v>0</v>
      </c>
      <c r="J6322">
        <v>-339.8639</v>
      </c>
      <c r="K6322">
        <v>1.1112379999999999</v>
      </c>
      <c r="L6322">
        <v>140.3869</v>
      </c>
      <c r="M6322">
        <v>-0.99984189999999995</v>
      </c>
      <c r="N6322">
        <v>0</v>
      </c>
      <c r="O6322">
        <v>1.042763E-2</v>
      </c>
      <c r="P6322">
        <v>-0.95638250000000002</v>
      </c>
      <c r="Q6322">
        <v>0.29067799999999999</v>
      </c>
      <c r="R6322">
        <v>2.8964940000000002E-2</v>
      </c>
      <c r="S6322">
        <v>-3.1137999999999999</v>
      </c>
      <c r="T6322">
        <v>0.1000398</v>
      </c>
      <c r="U6322">
        <v>-0.28474429999999901</v>
      </c>
      <c r="V6322">
        <v>1.900141E-2</v>
      </c>
      <c r="W6322">
        <v>0.304432599999999</v>
      </c>
      <c r="X6322">
        <v>0.95234439999999998</v>
      </c>
      <c r="Y6322">
        <v>-0.1013891</v>
      </c>
      <c r="Z6322">
        <v>1.9592070000000001E-3</v>
      </c>
      <c r="AA6322">
        <v>0.99484490000000003</v>
      </c>
      <c r="AB6322">
        <v>32</v>
      </c>
      <c r="AC6322">
        <v>-3.1137999999999999</v>
      </c>
      <c r="AD6322">
        <v>0.1000398</v>
      </c>
      <c r="AE6322">
        <v>-0.28474429999999901</v>
      </c>
      <c r="AF6322">
        <v>-0.31687736942151401</v>
      </c>
      <c r="AG6322">
        <v>0.1000398</v>
      </c>
      <c r="AH6322">
        <v>3.1074802103540602</v>
      </c>
      <c r="AI6322">
        <v>88.165607229296498</v>
      </c>
      <c r="AJ6322">
        <v>95.822465249249703</v>
      </c>
      <c r="AK6322">
        <v>3.1251963916812802</v>
      </c>
      <c r="AL6322">
        <v>72.275970049091697</v>
      </c>
      <c r="AM6322">
        <v>88.8569721577813</v>
      </c>
      <c r="AN6322">
        <v>1.00000005886805</v>
      </c>
    </row>
    <row r="6323" spans="1:40" x14ac:dyDescent="0.25">
      <c r="A6323" t="str">
        <f>"20190312154048951"</f>
        <v>20190312154048951</v>
      </c>
      <c r="B6323" t="str">
        <f>"1552376448942705"</f>
        <v>1552376448942705</v>
      </c>
      <c r="C6323" t="s">
        <v>40</v>
      </c>
      <c r="D6323">
        <v>3.6763479999999999</v>
      </c>
      <c r="E6323">
        <v>0.45765610000000001</v>
      </c>
      <c r="F6323" t="s">
        <v>50</v>
      </c>
      <c r="G6323">
        <v>0</v>
      </c>
      <c r="H6323">
        <v>0</v>
      </c>
      <c r="I6323">
        <v>0</v>
      </c>
      <c r="J6323">
        <v>-340.18849999999998</v>
      </c>
      <c r="K6323">
        <v>1.11124</v>
      </c>
      <c r="L6323">
        <v>140.3903</v>
      </c>
      <c r="M6323">
        <v>-0.99984200000000001</v>
      </c>
      <c r="N6323">
        <v>0</v>
      </c>
      <c r="O6323">
        <v>1.0427469999999999E-2</v>
      </c>
      <c r="P6323">
        <v>-0.95552879999999996</v>
      </c>
      <c r="Q6323">
        <v>0.29364580000000001</v>
      </c>
      <c r="R6323">
        <v>2.7154669999999999E-2</v>
      </c>
      <c r="S6323">
        <v>-3.1137389999999998</v>
      </c>
      <c r="T6323">
        <v>0.1051595</v>
      </c>
      <c r="U6323">
        <v>-0.29246519999999998</v>
      </c>
      <c r="V6323">
        <v>1.720052E-2</v>
      </c>
      <c r="W6323">
        <v>0.3073844</v>
      </c>
      <c r="X6323">
        <v>0.95143</v>
      </c>
      <c r="Y6323">
        <v>-0.1038289</v>
      </c>
      <c r="Z6323">
        <v>2.1003150000000002E-3</v>
      </c>
      <c r="AA6323">
        <v>0.99459299999999995</v>
      </c>
      <c r="AB6323">
        <v>32</v>
      </c>
      <c r="AC6323">
        <v>-3.1137389999999998</v>
      </c>
      <c r="AD6323">
        <v>0.1051595</v>
      </c>
      <c r="AE6323">
        <v>-0.29246519999999998</v>
      </c>
      <c r="AF6323">
        <v>-0.32455413259298099</v>
      </c>
      <c r="AG6323">
        <v>0.1051595</v>
      </c>
      <c r="AH6323">
        <v>3.1070068361793099</v>
      </c>
      <c r="AI6323">
        <v>88.071994031233103</v>
      </c>
      <c r="AJ6323">
        <v>95.963419559064704</v>
      </c>
      <c r="AK6323">
        <v>3.1256815873483301</v>
      </c>
      <c r="AL6323">
        <v>72.098327885337795</v>
      </c>
      <c r="AM6323">
        <v>88.964285491225596</v>
      </c>
      <c r="AN6323">
        <v>1.0000000360758099</v>
      </c>
    </row>
    <row r="6324" spans="1:40" x14ac:dyDescent="0.25">
      <c r="A6324" t="str">
        <f>"20190312154048973"</f>
        <v>20190312154048973</v>
      </c>
      <c r="B6324" t="str">
        <f>"1552376448962225"</f>
        <v>1552376448962225</v>
      </c>
      <c r="C6324" t="s">
        <v>40</v>
      </c>
      <c r="D6324">
        <v>3.7158470000000001</v>
      </c>
      <c r="E6324">
        <v>0.45790049999999999</v>
      </c>
      <c r="F6324" t="s">
        <v>50</v>
      </c>
      <c r="G6324">
        <v>0</v>
      </c>
      <c r="H6324">
        <v>0</v>
      </c>
      <c r="I6324">
        <v>0</v>
      </c>
      <c r="J6324">
        <v>-340.50869999999998</v>
      </c>
      <c r="K6324">
        <v>1.111246</v>
      </c>
      <c r="L6324">
        <v>140.39359999999999</v>
      </c>
      <c r="M6324">
        <v>-0.99984200000000001</v>
      </c>
      <c r="N6324">
        <v>0</v>
      </c>
      <c r="O6324">
        <v>1.0427499999999999E-2</v>
      </c>
      <c r="P6324">
        <v>-0.95493139999999999</v>
      </c>
      <c r="Q6324">
        <v>0.29568860000000002</v>
      </c>
      <c r="R6324">
        <v>2.597145E-2</v>
      </c>
      <c r="S6324">
        <v>-3.1141049999999999</v>
      </c>
      <c r="T6324">
        <v>0.1104194</v>
      </c>
      <c r="U6324">
        <v>-0.29748540000000001</v>
      </c>
      <c r="V6324">
        <v>1.602346E-2</v>
      </c>
      <c r="W6324">
        <v>0.3094151</v>
      </c>
      <c r="X6324">
        <v>0.95079210000000003</v>
      </c>
      <c r="Y6324">
        <v>-0.10539949999999999</v>
      </c>
      <c r="Z6324">
        <v>2.2326529999999998E-3</v>
      </c>
      <c r="AA6324">
        <v>0.99442739999999996</v>
      </c>
      <c r="AB6324">
        <v>32</v>
      </c>
      <c r="AC6324">
        <v>-3.1141049999999999</v>
      </c>
      <c r="AD6324">
        <v>0.1104194</v>
      </c>
      <c r="AE6324">
        <v>-0.29748540000000001</v>
      </c>
      <c r="AF6324">
        <v>-0.32953435533069098</v>
      </c>
      <c r="AG6324">
        <v>0.1104194</v>
      </c>
      <c r="AH6324">
        <v>3.1069623800066899</v>
      </c>
      <c r="AI6324">
        <v>87.975945653815799</v>
      </c>
      <c r="AJ6324">
        <v>96.054338553118498</v>
      </c>
      <c r="AK6324">
        <v>3.1263398033509402</v>
      </c>
      <c r="AL6324">
        <v>71.976015432973298</v>
      </c>
      <c r="AM6324">
        <v>89.034500044624593</v>
      </c>
      <c r="AN6324">
        <v>1.00000003640039</v>
      </c>
    </row>
    <row r="6325" spans="1:40" x14ac:dyDescent="0.25">
      <c r="A6325" t="str">
        <f>"20190312154048995"</f>
        <v>20190312154048995</v>
      </c>
      <c r="B6325" t="str">
        <f>"1552376448992481"</f>
        <v>1552376448992481</v>
      </c>
      <c r="C6325" t="s">
        <v>40</v>
      </c>
      <c r="D6325">
        <v>3.7471209999999999</v>
      </c>
      <c r="E6325">
        <v>0.45832909999999999</v>
      </c>
      <c r="F6325" t="s">
        <v>50</v>
      </c>
      <c r="G6325">
        <v>0</v>
      </c>
      <c r="H6325">
        <v>0</v>
      </c>
      <c r="I6325">
        <v>0</v>
      </c>
      <c r="J6325">
        <v>-340.8107</v>
      </c>
      <c r="K6325">
        <v>1.1112709999999999</v>
      </c>
      <c r="L6325">
        <v>140.39670000000001</v>
      </c>
      <c r="M6325">
        <v>-0.99984200000000001</v>
      </c>
      <c r="N6325">
        <v>0</v>
      </c>
      <c r="O6325">
        <v>1.0427519999999999E-2</v>
      </c>
      <c r="P6325">
        <v>-0.95476760000000005</v>
      </c>
      <c r="Q6325">
        <v>0.2964579</v>
      </c>
      <c r="R6325">
        <v>2.3062340000000001E-2</v>
      </c>
      <c r="S6325">
        <v>-3.1157530000000002</v>
      </c>
      <c r="T6325">
        <v>0.1097964</v>
      </c>
      <c r="U6325">
        <v>-0.29972840000000001</v>
      </c>
      <c r="V6325">
        <v>1.311623E-2</v>
      </c>
      <c r="W6325">
        <v>0.31017899999999998</v>
      </c>
      <c r="X6325">
        <v>0.95058770000000004</v>
      </c>
      <c r="Y6325">
        <v>-0.1060595</v>
      </c>
      <c r="Z6325">
        <v>2.2304199999999999E-3</v>
      </c>
      <c r="AA6325">
        <v>0.9943573</v>
      </c>
      <c r="AB6325">
        <v>32</v>
      </c>
      <c r="AC6325">
        <v>-3.1157530000000002</v>
      </c>
      <c r="AD6325">
        <v>0.1097964</v>
      </c>
      <c r="AE6325">
        <v>-0.29972840000000001</v>
      </c>
      <c r="AF6325">
        <v>-0.33179679888136199</v>
      </c>
      <c r="AG6325">
        <v>0.1097964</v>
      </c>
      <c r="AH6325">
        <v>3.1086329281393299</v>
      </c>
      <c r="AI6325">
        <v>87.988578727779696</v>
      </c>
      <c r="AJ6325">
        <v>96.092342130668598</v>
      </c>
      <c r="AK6325">
        <v>3.1282172314455701</v>
      </c>
      <c r="AL6325">
        <v>71.929982024869105</v>
      </c>
      <c r="AM6325">
        <v>89.209481738790402</v>
      </c>
      <c r="AN6325">
        <v>1.00000001146085</v>
      </c>
    </row>
    <row r="6326" spans="1:40" x14ac:dyDescent="0.25">
      <c r="A6326" t="str">
        <f>"20190312154049018"</f>
        <v>20190312154049018</v>
      </c>
      <c r="B6326" t="str">
        <f>"1552376449012005"</f>
        <v>1552376449012005</v>
      </c>
      <c r="C6326" t="s">
        <v>40</v>
      </c>
      <c r="D6326">
        <v>3.7446079999999999</v>
      </c>
      <c r="E6326">
        <v>0.45846740000000002</v>
      </c>
      <c r="F6326" t="s">
        <v>50</v>
      </c>
      <c r="G6326">
        <v>0</v>
      </c>
      <c r="H6326">
        <v>0</v>
      </c>
      <c r="I6326">
        <v>0</v>
      </c>
      <c r="J6326">
        <v>-341.12950000000001</v>
      </c>
      <c r="K6326">
        <v>1.111281</v>
      </c>
      <c r="L6326">
        <v>140.40010000000001</v>
      </c>
      <c r="M6326">
        <v>-0.99984200000000001</v>
      </c>
      <c r="N6326">
        <v>0</v>
      </c>
      <c r="O6326">
        <v>1.042772E-2</v>
      </c>
      <c r="P6326">
        <v>-0.9540246</v>
      </c>
      <c r="Q6326">
        <v>0.29893900000000001</v>
      </c>
      <c r="R6326">
        <v>2.173775E-2</v>
      </c>
      <c r="S6326">
        <v>-3.11795</v>
      </c>
      <c r="T6326">
        <v>0.10165979999999999</v>
      </c>
      <c r="U6326">
        <v>-0.30593870000000001</v>
      </c>
      <c r="V6326">
        <v>1.179931E-2</v>
      </c>
      <c r="W6326">
        <v>0.31264589999999998</v>
      </c>
      <c r="X6326">
        <v>0.94979650000000004</v>
      </c>
      <c r="Y6326">
        <v>-0.10796409999999999</v>
      </c>
      <c r="Z6326">
        <v>2.0945510000000001E-3</v>
      </c>
      <c r="AA6326">
        <v>0.99415260000000005</v>
      </c>
      <c r="AB6326">
        <v>32</v>
      </c>
      <c r="AC6326">
        <v>-3.11795</v>
      </c>
      <c r="AD6326">
        <v>0.10165979999999999</v>
      </c>
      <c r="AE6326">
        <v>-0.30593870000000001</v>
      </c>
      <c r="AF6326">
        <v>-0.33808256492417899</v>
      </c>
      <c r="AG6326">
        <v>0.10165979999999999</v>
      </c>
      <c r="AH6326">
        <v>3.1113138767177899</v>
      </c>
      <c r="AI6326">
        <v>88.139513889166693</v>
      </c>
      <c r="AJ6326">
        <v>96.201560053422099</v>
      </c>
      <c r="AK6326">
        <v>3.1312790637530901</v>
      </c>
      <c r="AL6326">
        <v>71.781243422988993</v>
      </c>
      <c r="AM6326">
        <v>89.288251863480397</v>
      </c>
      <c r="AN6326">
        <v>1.00000003695776</v>
      </c>
    </row>
    <row r="6327" spans="1:40" x14ac:dyDescent="0.25">
      <c r="A6327" t="str">
        <f>"20190312154049040"</f>
        <v>20190312154049040</v>
      </c>
      <c r="B6327" t="str">
        <f>"1552376449032497"</f>
        <v>1552376449032497</v>
      </c>
      <c r="C6327" t="s">
        <v>40</v>
      </c>
      <c r="D6327">
        <v>3.7600709999999999</v>
      </c>
      <c r="E6327">
        <v>0.45856279999999999</v>
      </c>
      <c r="F6327" t="s">
        <v>50</v>
      </c>
      <c r="G6327">
        <v>0</v>
      </c>
      <c r="H6327">
        <v>0</v>
      </c>
      <c r="I6327">
        <v>0</v>
      </c>
      <c r="J6327">
        <v>-341.44470000000001</v>
      </c>
      <c r="K6327">
        <v>1.111283</v>
      </c>
      <c r="L6327">
        <v>140.4033</v>
      </c>
      <c r="M6327">
        <v>-0.99984220000000001</v>
      </c>
      <c r="N6327">
        <v>0</v>
      </c>
      <c r="O6327">
        <v>1.042774E-2</v>
      </c>
      <c r="P6327">
        <v>-0.95354519999999998</v>
      </c>
      <c r="Q6327">
        <v>0.3005756</v>
      </c>
      <c r="R6327">
        <v>2.015347E-2</v>
      </c>
      <c r="S6327">
        <v>-3.1192929999999999</v>
      </c>
      <c r="T6327">
        <v>0.1031084</v>
      </c>
      <c r="U6327">
        <v>-0.30903629999999999</v>
      </c>
      <c r="V6327">
        <v>1.0220180000000001E-2</v>
      </c>
      <c r="W6327">
        <v>0.31427189999999999</v>
      </c>
      <c r="X6327">
        <v>0.94927799999999996</v>
      </c>
      <c r="Y6327">
        <v>-0.10889799999999999</v>
      </c>
      <c r="Z6327">
        <v>2.1387630000000001E-3</v>
      </c>
      <c r="AA6327">
        <v>0.99405060000000001</v>
      </c>
      <c r="AB6327">
        <v>32</v>
      </c>
      <c r="AC6327">
        <v>-3.1192929999999999</v>
      </c>
      <c r="AD6327">
        <v>0.1031084</v>
      </c>
      <c r="AE6327">
        <v>-0.30903629999999999</v>
      </c>
      <c r="AF6327">
        <v>-0.34118087169359101</v>
      </c>
      <c r="AG6327">
        <v>0.1031084</v>
      </c>
      <c r="AH6327">
        <v>3.11253267343344</v>
      </c>
      <c r="AI6327">
        <v>88.113954014088193</v>
      </c>
      <c r="AJ6327">
        <v>96.255513387613206</v>
      </c>
      <c r="AK6327">
        <v>3.1328733412876502</v>
      </c>
      <c r="AL6327">
        <v>71.683135339023806</v>
      </c>
      <c r="AM6327">
        <v>89.3831621965805</v>
      </c>
      <c r="AN6327">
        <v>1.00000000024642</v>
      </c>
    </row>
    <row r="6328" spans="1:40" x14ac:dyDescent="0.25">
      <c r="A6328" t="str">
        <f>"20190312154049061"</f>
        <v>20190312154049061</v>
      </c>
      <c r="B6328" t="str">
        <f>"1552376449052021"</f>
        <v>1552376449052021</v>
      </c>
      <c r="C6328" t="s">
        <v>40</v>
      </c>
      <c r="D6328">
        <v>3.7740269999999998</v>
      </c>
      <c r="E6328">
        <v>0.45858670000000001</v>
      </c>
      <c r="F6328" t="s">
        <v>50</v>
      </c>
      <c r="G6328">
        <v>0</v>
      </c>
      <c r="H6328">
        <v>0</v>
      </c>
      <c r="I6328">
        <v>0</v>
      </c>
      <c r="J6328">
        <v>-341.75299999999999</v>
      </c>
      <c r="K6328">
        <v>1.1112839999999999</v>
      </c>
      <c r="L6328">
        <v>140.4066</v>
      </c>
      <c r="M6328">
        <v>-0.99984209999999996</v>
      </c>
      <c r="N6328">
        <v>0</v>
      </c>
      <c r="O6328">
        <v>1.0427769999999999E-2</v>
      </c>
      <c r="P6328">
        <v>-0.95332570000000005</v>
      </c>
      <c r="Q6328">
        <v>0.3013497</v>
      </c>
      <c r="R6328">
        <v>1.8938679999999999E-2</v>
      </c>
      <c r="S6328">
        <v>-3.1202999999999999</v>
      </c>
      <c r="T6328">
        <v>0.1031362</v>
      </c>
      <c r="U6328">
        <v>-0.31309510000000002</v>
      </c>
      <c r="V6328">
        <v>9.0077520000000008E-3</v>
      </c>
      <c r="W6328">
        <v>0.31503949999999997</v>
      </c>
      <c r="X6328">
        <v>0.94903579999999998</v>
      </c>
      <c r="Y6328">
        <v>-0.1101461</v>
      </c>
      <c r="Z6328">
        <v>2.1590849999999998E-3</v>
      </c>
      <c r="AA6328">
        <v>0.99391309999999999</v>
      </c>
      <c r="AB6328">
        <v>32</v>
      </c>
      <c r="AC6328">
        <v>-3.1202999999999999</v>
      </c>
      <c r="AD6328">
        <v>0.1031362</v>
      </c>
      <c r="AE6328">
        <v>-0.31309510000000002</v>
      </c>
      <c r="AF6328">
        <v>-0.34524578455538002</v>
      </c>
      <c r="AG6328">
        <v>0.1031362</v>
      </c>
      <c r="AH6328">
        <v>3.1134974377415601</v>
      </c>
      <c r="AI6328">
        <v>88.114291046695996</v>
      </c>
      <c r="AJ6328">
        <v>96.327496393061395</v>
      </c>
      <c r="AK6328">
        <v>3.1342779108316101</v>
      </c>
      <c r="AL6328">
        <v>71.636801381655104</v>
      </c>
      <c r="AM6328">
        <v>89.456194724172903</v>
      </c>
      <c r="AN6328">
        <v>0.99999998791899103</v>
      </c>
    </row>
    <row r="6329" spans="1:40" x14ac:dyDescent="0.25">
      <c r="A6329" t="str">
        <f>"20190312154049085"</f>
        <v>20190312154049085</v>
      </c>
      <c r="B6329" t="str">
        <f>"1552376449072514"</f>
        <v>1552376449072514</v>
      </c>
      <c r="C6329" t="s">
        <v>40</v>
      </c>
      <c r="D6329">
        <v>3.781641</v>
      </c>
      <c r="E6329">
        <v>0.45877590000000001</v>
      </c>
      <c r="F6329" t="s">
        <v>50</v>
      </c>
      <c r="G6329">
        <v>0</v>
      </c>
      <c r="H6329">
        <v>0</v>
      </c>
      <c r="I6329">
        <v>0</v>
      </c>
      <c r="J6329">
        <v>-342.07139999999998</v>
      </c>
      <c r="K6329">
        <v>1.1112899999999999</v>
      </c>
      <c r="L6329">
        <v>140.40989999999999</v>
      </c>
      <c r="M6329">
        <v>-0.99984220000000001</v>
      </c>
      <c r="N6329">
        <v>0</v>
      </c>
      <c r="O6329">
        <v>1.042762E-2</v>
      </c>
      <c r="P6329">
        <v>-0.9531482</v>
      </c>
      <c r="Q6329">
        <v>0.30195660000000002</v>
      </c>
      <c r="R6329">
        <v>1.818326E-2</v>
      </c>
      <c r="S6329">
        <v>-3.121216</v>
      </c>
      <c r="T6329">
        <v>0.10105219999999999</v>
      </c>
      <c r="U6329">
        <v>-0.31674190000000002</v>
      </c>
      <c r="V6329">
        <v>8.2543019999999998E-3</v>
      </c>
      <c r="W6329">
        <v>0.31564039999999999</v>
      </c>
      <c r="X6329">
        <v>0.94884290000000004</v>
      </c>
      <c r="Y6329">
        <v>-0.1112686</v>
      </c>
      <c r="Z6329">
        <v>2.1328549999999999E-3</v>
      </c>
      <c r="AA6329">
        <v>0.99378809999999995</v>
      </c>
      <c r="AB6329">
        <v>32</v>
      </c>
      <c r="AC6329">
        <v>-3.121216</v>
      </c>
      <c r="AD6329">
        <v>0.10105219999999999</v>
      </c>
      <c r="AE6329">
        <v>-0.31674190000000002</v>
      </c>
      <c r="AF6329">
        <v>-0.348912894075883</v>
      </c>
      <c r="AG6329">
        <v>0.10105219999999999</v>
      </c>
      <c r="AH6329">
        <v>3.1145117093938901</v>
      </c>
      <c r="AI6329">
        <v>88.153200729425507</v>
      </c>
      <c r="AJ6329">
        <v>96.392086553448806</v>
      </c>
      <c r="AK6329">
        <v>3.1356235333229798</v>
      </c>
      <c r="AL6329">
        <v>71.600520040251794</v>
      </c>
      <c r="AM6329">
        <v>89.501577408019003</v>
      </c>
      <c r="AN6329">
        <v>0.99999992224703504</v>
      </c>
    </row>
    <row r="6330" spans="1:40" x14ac:dyDescent="0.25">
      <c r="A6330" t="str">
        <f>"20190312154049107"</f>
        <v>20190312154049107</v>
      </c>
      <c r="B6330" t="str">
        <f>"1552376449102771"</f>
        <v>1552376449102771</v>
      </c>
      <c r="C6330" t="s">
        <v>40</v>
      </c>
      <c r="D6330">
        <v>3.777927</v>
      </c>
      <c r="E6330">
        <v>0.45883800000000002</v>
      </c>
      <c r="F6330" t="s">
        <v>50</v>
      </c>
      <c r="G6330">
        <v>0</v>
      </c>
      <c r="H6330">
        <v>0</v>
      </c>
      <c r="I6330">
        <v>0</v>
      </c>
      <c r="J6330">
        <v>-342.3895</v>
      </c>
      <c r="K6330">
        <v>1.1112949999999999</v>
      </c>
      <c r="L6330">
        <v>140.41319999999999</v>
      </c>
      <c r="M6330">
        <v>-0.99984229999999996</v>
      </c>
      <c r="N6330">
        <v>0</v>
      </c>
      <c r="O6330">
        <v>1.042734E-2</v>
      </c>
      <c r="P6330">
        <v>-0.95272639999999997</v>
      </c>
      <c r="Q6330">
        <v>0.3032588</v>
      </c>
      <c r="R6330">
        <v>1.8627029999999999E-2</v>
      </c>
      <c r="S6330">
        <v>-3.1224059999999998</v>
      </c>
      <c r="T6330">
        <v>9.8220589999999997E-2</v>
      </c>
      <c r="U6330">
        <v>-0.31785580000000002</v>
      </c>
      <c r="V6330">
        <v>8.7028699999999997E-3</v>
      </c>
      <c r="W6330">
        <v>0.31693290000000002</v>
      </c>
      <c r="X6330">
        <v>0.94840809999999998</v>
      </c>
      <c r="Y6330">
        <v>-0.1115845</v>
      </c>
      <c r="Z6330">
        <v>2.0772439999999998E-3</v>
      </c>
      <c r="AA6330">
        <v>0.99375279999999999</v>
      </c>
      <c r="AB6330">
        <v>32</v>
      </c>
      <c r="AC6330">
        <v>-3.1224059999999998</v>
      </c>
      <c r="AD6330">
        <v>9.8220589999999997E-2</v>
      </c>
      <c r="AE6330">
        <v>-0.31785580000000002</v>
      </c>
      <c r="AF6330">
        <v>-0.35005743190954602</v>
      </c>
      <c r="AG6330">
        <v>9.8220589999999997E-2</v>
      </c>
      <c r="AH6330">
        <v>3.11586987407183</v>
      </c>
      <c r="AI6330">
        <v>88.205761240993496</v>
      </c>
      <c r="AJ6330">
        <v>96.410108084036693</v>
      </c>
      <c r="AK6330">
        <v>3.1370101310138399</v>
      </c>
      <c r="AL6330">
        <v>71.522460508508601</v>
      </c>
      <c r="AM6330">
        <v>89.4742519327515</v>
      </c>
      <c r="AN6330">
        <v>1.00000006359712</v>
      </c>
    </row>
    <row r="6331" spans="1:40" x14ac:dyDescent="0.25">
      <c r="A6331" t="str">
        <f>"20190312154049130"</f>
        <v>20190312154049130</v>
      </c>
      <c r="B6331" t="str">
        <f>"1552376449122289"</f>
        <v>1552376449122289</v>
      </c>
      <c r="C6331" t="s">
        <v>40</v>
      </c>
      <c r="D6331">
        <v>3.7343009999999999</v>
      </c>
      <c r="E6331">
        <v>0.45850829999999998</v>
      </c>
      <c r="F6331" t="s">
        <v>50</v>
      </c>
      <c r="G6331">
        <v>0</v>
      </c>
      <c r="H6331">
        <v>0</v>
      </c>
      <c r="I6331">
        <v>0</v>
      </c>
      <c r="J6331">
        <v>-342.71300000000002</v>
      </c>
      <c r="K6331">
        <v>1.1112919999999999</v>
      </c>
      <c r="L6331">
        <v>140.41659999999999</v>
      </c>
      <c r="M6331">
        <v>-0.99984229999999996</v>
      </c>
      <c r="N6331">
        <v>0</v>
      </c>
      <c r="O6331">
        <v>1.042737E-2</v>
      </c>
      <c r="P6331">
        <v>-0.95259059999999995</v>
      </c>
      <c r="Q6331">
        <v>0.30368810000000002</v>
      </c>
      <c r="R6331">
        <v>1.8569849999999999E-2</v>
      </c>
      <c r="S6331">
        <v>-3.1241759999999998</v>
      </c>
      <c r="T6331">
        <v>9.6965309999999999E-2</v>
      </c>
      <c r="U6331">
        <v>-0.3155365</v>
      </c>
      <c r="V6331">
        <v>8.6469419999999995E-3</v>
      </c>
      <c r="W6331">
        <v>0.31735659999999999</v>
      </c>
      <c r="X6331">
        <v>0.94826690000000002</v>
      </c>
      <c r="Y6331">
        <v>-0.1107995</v>
      </c>
      <c r="Z6331">
        <v>2.0374820000000002E-3</v>
      </c>
      <c r="AA6331">
        <v>0.99384070000000002</v>
      </c>
      <c r="AB6331">
        <v>31</v>
      </c>
      <c r="AC6331">
        <v>-3.1241759999999998</v>
      </c>
      <c r="AD6331">
        <v>9.6965309999999999E-2</v>
      </c>
      <c r="AE6331">
        <v>-0.3155365</v>
      </c>
      <c r="AF6331">
        <v>-0.34776802503555698</v>
      </c>
      <c r="AG6331">
        <v>9.6965309999999999E-2</v>
      </c>
      <c r="AH6331">
        <v>3.1177425620143602</v>
      </c>
      <c r="AI6331">
        <v>88.229583732658895</v>
      </c>
      <c r="AJ6331">
        <v>96.364737077372794</v>
      </c>
      <c r="AK6331">
        <v>3.13857667638954</v>
      </c>
      <c r="AL6331">
        <v>71.496862554178506</v>
      </c>
      <c r="AM6331">
        <v>89.477552626620195</v>
      </c>
      <c r="AN6331">
        <v>1.0000000474025501</v>
      </c>
    </row>
    <row r="6332" spans="1:40" x14ac:dyDescent="0.25">
      <c r="A6332" t="str">
        <f>"20190312154049152"</f>
        <v>20190312154049152</v>
      </c>
      <c r="B6332" t="str">
        <f>"1552376449142785"</f>
        <v>1552376449142785</v>
      </c>
      <c r="C6332" t="s">
        <v>40</v>
      </c>
      <c r="D6332">
        <v>3.7352620000000001</v>
      </c>
      <c r="E6332">
        <v>0.45792100000000002</v>
      </c>
      <c r="F6332" t="s">
        <v>50</v>
      </c>
      <c r="G6332">
        <v>0</v>
      </c>
      <c r="H6332">
        <v>0</v>
      </c>
      <c r="I6332">
        <v>0</v>
      </c>
      <c r="J6332">
        <v>-343.02499999999998</v>
      </c>
      <c r="K6332">
        <v>1.1112899999999999</v>
      </c>
      <c r="L6332">
        <v>140.41980000000001</v>
      </c>
      <c r="M6332">
        <v>-0.99984240000000002</v>
      </c>
      <c r="N6332">
        <v>0</v>
      </c>
      <c r="O6332">
        <v>1.042685E-2</v>
      </c>
      <c r="P6332">
        <v>-0.95264530000000003</v>
      </c>
      <c r="Q6332">
        <v>0.30349169999999998</v>
      </c>
      <c r="R6332">
        <v>1.8972840000000001E-2</v>
      </c>
      <c r="S6332">
        <v>-3.145203</v>
      </c>
      <c r="T6332">
        <v>3.2679800000000002E-2</v>
      </c>
      <c r="U6332">
        <v>-0.32199100000000003</v>
      </c>
      <c r="V6332">
        <v>9.0497040000000004E-3</v>
      </c>
      <c r="W6332">
        <v>0.31715759999999998</v>
      </c>
      <c r="X6332">
        <v>0.94832969999999905</v>
      </c>
      <c r="Y6332">
        <v>-0.1122046</v>
      </c>
      <c r="Z6332">
        <v>6.8946579999999995E-4</v>
      </c>
      <c r="AA6332">
        <v>0.99368489999999998</v>
      </c>
      <c r="AB6332">
        <v>31</v>
      </c>
      <c r="AC6332">
        <v>-3.145203</v>
      </c>
      <c r="AD6332">
        <v>3.2679800000000002E-2</v>
      </c>
      <c r="AE6332">
        <v>-0.32199100000000003</v>
      </c>
      <c r="AF6332">
        <v>-0.35473353865941598</v>
      </c>
      <c r="AG6332">
        <v>3.2679800000000002E-2</v>
      </c>
      <c r="AH6332">
        <v>3.14133866933199</v>
      </c>
      <c r="AI6332">
        <v>89.407729285639704</v>
      </c>
      <c r="AJ6332">
        <v>96.442793592098994</v>
      </c>
      <c r="AK6332">
        <v>3.16147315158904</v>
      </c>
      <c r="AL6332">
        <v>71.508885194906597</v>
      </c>
      <c r="AM6332">
        <v>89.453255437862296</v>
      </c>
      <c r="AN6332">
        <v>1.00000003014116</v>
      </c>
    </row>
    <row r="6333" spans="1:40" x14ac:dyDescent="0.25">
      <c r="A6333" t="str">
        <f>"20190312154049174"</f>
        <v>20190312154049174</v>
      </c>
      <c r="B6333" t="str">
        <f>"1552376449162305"</f>
        <v>1552376449162305</v>
      </c>
      <c r="C6333" t="s">
        <v>40</v>
      </c>
      <c r="D6333">
        <v>3.701031</v>
      </c>
      <c r="E6333">
        <v>0.45792270000000002</v>
      </c>
      <c r="F6333" t="s">
        <v>50</v>
      </c>
      <c r="G6333">
        <v>0</v>
      </c>
      <c r="H6333">
        <v>0</v>
      </c>
      <c r="I6333">
        <v>0</v>
      </c>
      <c r="J6333">
        <v>-343.33100000000002</v>
      </c>
      <c r="K6333">
        <v>1.1112979999999999</v>
      </c>
      <c r="L6333">
        <v>140.423</v>
      </c>
      <c r="M6333">
        <v>-0.99984240000000002</v>
      </c>
      <c r="N6333">
        <v>0</v>
      </c>
      <c r="O6333">
        <v>1.042453E-2</v>
      </c>
      <c r="P6333">
        <v>-0.95283680000000004</v>
      </c>
      <c r="Q6333">
        <v>0.30285190000000001</v>
      </c>
      <c r="R6333">
        <v>1.9570270000000001E-2</v>
      </c>
      <c r="S6333">
        <v>-3.145905</v>
      </c>
      <c r="T6333">
        <v>3.0509350000000001E-2</v>
      </c>
      <c r="U6333">
        <v>-0.32548519999999997</v>
      </c>
      <c r="V6333">
        <v>9.6464519999999998E-3</v>
      </c>
      <c r="W6333">
        <v>0.31651760000000001</v>
      </c>
      <c r="X6333">
        <v>0.94853759999999998</v>
      </c>
      <c r="Y6333">
        <v>-0.1132727</v>
      </c>
      <c r="Z6333">
        <v>6.4864070000000005E-4</v>
      </c>
      <c r="AA6333">
        <v>0.99356369999999905</v>
      </c>
      <c r="AB6333">
        <v>31</v>
      </c>
      <c r="AC6333">
        <v>-3.145905</v>
      </c>
      <c r="AD6333">
        <v>3.0509350000000001E-2</v>
      </c>
      <c r="AE6333">
        <v>-0.32548519999999997</v>
      </c>
      <c r="AF6333">
        <v>-0.35823214206326798</v>
      </c>
      <c r="AG6333">
        <v>3.0509350000000001E-2</v>
      </c>
      <c r="AH6333">
        <v>3.1420482548472402</v>
      </c>
      <c r="AI6333">
        <v>89.447255032425701</v>
      </c>
      <c r="AJ6333">
        <v>96.504337651529696</v>
      </c>
      <c r="AK6333">
        <v>3.1625509203542101</v>
      </c>
      <c r="AL6333">
        <v>71.547545973310704</v>
      </c>
      <c r="AM6333">
        <v>89.417332603719899</v>
      </c>
      <c r="AN6333">
        <v>1.00000001187985</v>
      </c>
    </row>
    <row r="6334" spans="1:40" x14ac:dyDescent="0.25">
      <c r="A6334" t="str">
        <f>"20190312154049196"</f>
        <v>20190312154049196</v>
      </c>
      <c r="B6334" t="str">
        <f>"1552376449192562"</f>
        <v>1552376449192562</v>
      </c>
      <c r="C6334" t="s">
        <v>40</v>
      </c>
      <c r="D6334">
        <v>3.7011790000000002</v>
      </c>
      <c r="E6334">
        <v>0.45781369999999999</v>
      </c>
      <c r="F6334" t="s">
        <v>50</v>
      </c>
      <c r="G6334">
        <v>0</v>
      </c>
      <c r="H6334">
        <v>0</v>
      </c>
      <c r="I6334">
        <v>0</v>
      </c>
      <c r="J6334">
        <v>-343.63499999999999</v>
      </c>
      <c r="K6334">
        <v>1.111299</v>
      </c>
      <c r="L6334">
        <v>140.42619999999999</v>
      </c>
      <c r="M6334">
        <v>-0.99984260000000003</v>
      </c>
      <c r="N6334">
        <v>0</v>
      </c>
      <c r="O6334">
        <v>1.0417600000000001E-2</v>
      </c>
      <c r="P6334">
        <v>-0.95321089999999997</v>
      </c>
      <c r="Q6334">
        <v>0.30166880000000001</v>
      </c>
      <c r="R6334">
        <v>1.963262E-2</v>
      </c>
      <c r="S6334">
        <v>-3.1466669999999999</v>
      </c>
      <c r="T6334">
        <v>2.6735419999999999E-2</v>
      </c>
      <c r="U6334">
        <v>-0.32359310000000002</v>
      </c>
      <c r="V6334">
        <v>9.7094739999999992E-3</v>
      </c>
      <c r="W6334">
        <v>0.31533679999999997</v>
      </c>
      <c r="X6334">
        <v>0.9489301</v>
      </c>
      <c r="Y6334">
        <v>-0.1126513</v>
      </c>
      <c r="Z6334">
        <v>5.6559739999999996E-4</v>
      </c>
      <c r="AA6334">
        <v>0.99363440000000003</v>
      </c>
      <c r="AB6334">
        <v>31</v>
      </c>
      <c r="AC6334">
        <v>-3.1466669999999999</v>
      </c>
      <c r="AD6334">
        <v>2.6735419999999999E-2</v>
      </c>
      <c r="AE6334">
        <v>-0.32359310000000002</v>
      </c>
      <c r="AF6334">
        <v>-0.35633418155716301</v>
      </c>
      <c r="AG6334">
        <v>2.6735419999999999E-2</v>
      </c>
      <c r="AH6334">
        <v>3.14290029146802</v>
      </c>
      <c r="AI6334">
        <v>89.515721513985099</v>
      </c>
      <c r="AJ6334">
        <v>96.468430626397506</v>
      </c>
      <c r="AK6334">
        <v>3.1631489174141501</v>
      </c>
      <c r="AL6334">
        <v>71.618851811317299</v>
      </c>
      <c r="AM6334">
        <v>89.413768760747303</v>
      </c>
      <c r="AN6334">
        <v>0.99999995300280198</v>
      </c>
    </row>
    <row r="6335" spans="1:40" x14ac:dyDescent="0.25">
      <c r="A6335" t="str">
        <f>"20190312154049219"</f>
        <v>20190312154049219</v>
      </c>
      <c r="B6335" t="str">
        <f>"1552376449213057"</f>
        <v>1552376449213057</v>
      </c>
      <c r="C6335" t="s">
        <v>40</v>
      </c>
      <c r="D6335">
        <v>3.6697799999999998</v>
      </c>
      <c r="E6335">
        <v>0.45769359999999998</v>
      </c>
      <c r="F6335" t="s">
        <v>50</v>
      </c>
      <c r="G6335">
        <v>0</v>
      </c>
      <c r="H6335">
        <v>0</v>
      </c>
      <c r="I6335">
        <v>0</v>
      </c>
      <c r="J6335">
        <v>-343.96210000000002</v>
      </c>
      <c r="K6335">
        <v>1.111305</v>
      </c>
      <c r="L6335">
        <v>140.42959999999999</v>
      </c>
      <c r="M6335">
        <v>-0.99984269999999997</v>
      </c>
      <c r="N6335">
        <v>0</v>
      </c>
      <c r="O6335">
        <v>1.0403290000000001E-2</v>
      </c>
      <c r="P6335">
        <v>-0.95339750000000001</v>
      </c>
      <c r="Q6335">
        <v>0.30105939999999998</v>
      </c>
      <c r="R6335">
        <v>1.9909679999999999E-2</v>
      </c>
      <c r="S6335">
        <v>-3.1467900000000002</v>
      </c>
      <c r="T6335">
        <v>2.2727730000000002E-2</v>
      </c>
      <c r="U6335">
        <v>-0.32435609999999998</v>
      </c>
      <c r="V6335">
        <v>9.9940080000000004E-3</v>
      </c>
      <c r="W6335">
        <v>0.31472679999999997</v>
      </c>
      <c r="X6335">
        <v>0.94912969999999997</v>
      </c>
      <c r="Y6335">
        <v>-0.1128728</v>
      </c>
      <c r="Z6335">
        <v>4.8148560000000002E-4</v>
      </c>
      <c r="AA6335">
        <v>0.99360930000000003</v>
      </c>
      <c r="AB6335">
        <v>31</v>
      </c>
      <c r="AC6335">
        <v>-3.1467900000000002</v>
      </c>
      <c r="AD6335">
        <v>2.2727730000000002E-2</v>
      </c>
      <c r="AE6335">
        <v>-0.32435609999999998</v>
      </c>
      <c r="AF6335">
        <v>-0.357060460535086</v>
      </c>
      <c r="AG6335">
        <v>2.2727730000000002E-2</v>
      </c>
      <c r="AH6335">
        <v>3.1430827211178198</v>
      </c>
      <c r="AI6335">
        <v>89.588347304116596</v>
      </c>
      <c r="AJ6335">
        <v>96.481129485257497</v>
      </c>
      <c r="AK6335">
        <v>3.1633807412288899</v>
      </c>
      <c r="AL6335">
        <v>71.655678497285706</v>
      </c>
      <c r="AM6335">
        <v>89.396717521732995</v>
      </c>
      <c r="AN6335">
        <v>1.0000000131281099</v>
      </c>
    </row>
    <row r="6336" spans="1:40" x14ac:dyDescent="0.25">
      <c r="A6336" t="str">
        <f>"20190312154049241"</f>
        <v>20190312154049241</v>
      </c>
      <c r="B6336" t="str">
        <f>"1552376449232577"</f>
        <v>1552376449232577</v>
      </c>
      <c r="C6336" t="s">
        <v>40</v>
      </c>
      <c r="D6336">
        <v>3.6949429999999999</v>
      </c>
      <c r="E6336">
        <v>0.45759</v>
      </c>
      <c r="F6336" t="s">
        <v>50</v>
      </c>
      <c r="G6336">
        <v>0</v>
      </c>
      <c r="H6336">
        <v>0</v>
      </c>
      <c r="I6336">
        <v>0</v>
      </c>
      <c r="J6336">
        <v>-344.26429999999999</v>
      </c>
      <c r="K6336">
        <v>1.111308</v>
      </c>
      <c r="L6336">
        <v>140.43279999999999</v>
      </c>
      <c r="M6336">
        <v>-0.99984309999999998</v>
      </c>
      <c r="N6336">
        <v>0</v>
      </c>
      <c r="O6336">
        <v>1.0384620000000001E-2</v>
      </c>
      <c r="P6336">
        <v>-0.95376810000000001</v>
      </c>
      <c r="Q6336">
        <v>0.29992229999999998</v>
      </c>
      <c r="R6336">
        <v>1.932058E-2</v>
      </c>
      <c r="S6336">
        <v>-3.1469119999999999</v>
      </c>
      <c r="T6336">
        <v>2.0732520000000001E-2</v>
      </c>
      <c r="U6336">
        <v>-0.32481379999999999</v>
      </c>
      <c r="V6336">
        <v>9.4149119999999992E-3</v>
      </c>
      <c r="W6336">
        <v>0.31359229999999999</v>
      </c>
      <c r="X6336">
        <v>0.94951110000000005</v>
      </c>
      <c r="Y6336">
        <v>-0.112993899999999</v>
      </c>
      <c r="Z6336">
        <v>4.3947309999999999E-4</v>
      </c>
      <c r="AA6336">
        <v>0.99359560000000002</v>
      </c>
      <c r="AB6336">
        <v>31</v>
      </c>
      <c r="AC6336">
        <v>-3.1469119999999999</v>
      </c>
      <c r="AD6336">
        <v>2.0732520000000001E-2</v>
      </c>
      <c r="AE6336">
        <v>-0.32481379999999999</v>
      </c>
      <c r="AF6336">
        <v>-0.35746378065526002</v>
      </c>
      <c r="AG6336">
        <v>2.0732520000000001E-2</v>
      </c>
      <c r="AH6336">
        <v>3.1432338707993801</v>
      </c>
      <c r="AI6336">
        <v>89.624507402981706</v>
      </c>
      <c r="AJ6336">
        <v>96.488078547718899</v>
      </c>
      <c r="AK6336">
        <v>3.1635627634687999</v>
      </c>
      <c r="AL6336">
        <v>71.724147815457698</v>
      </c>
      <c r="AM6336">
        <v>89.431900222714702</v>
      </c>
      <c r="AN6336">
        <v>1.00000005010523</v>
      </c>
    </row>
    <row r="6337" spans="1:40" x14ac:dyDescent="0.25">
      <c r="A6337" t="str">
        <f>"20190312154049262"</f>
        <v>20190312154049262</v>
      </c>
      <c r="B6337" t="str">
        <f>"1552376449253073"</f>
        <v>1552376449253073</v>
      </c>
      <c r="C6337" t="s">
        <v>40</v>
      </c>
      <c r="D6337">
        <v>3.6339600000000001</v>
      </c>
      <c r="E6337">
        <v>0.45743349999999999</v>
      </c>
      <c r="F6337" t="s">
        <v>50</v>
      </c>
      <c r="G6337">
        <v>0</v>
      </c>
      <c r="H6337">
        <v>0</v>
      </c>
      <c r="I6337">
        <v>0</v>
      </c>
      <c r="J6337">
        <v>-344.57389999999998</v>
      </c>
      <c r="K6337">
        <v>1.1113109999999999</v>
      </c>
      <c r="L6337">
        <v>140.4359</v>
      </c>
      <c r="M6337">
        <v>-0.99984320000000004</v>
      </c>
      <c r="N6337">
        <v>0</v>
      </c>
      <c r="O6337">
        <v>1.0360609999999999E-2</v>
      </c>
      <c r="P6337">
        <v>-0.95410289999999998</v>
      </c>
      <c r="Q6337">
        <v>0.29887010000000003</v>
      </c>
      <c r="R6337">
        <v>1.9094179999999999E-2</v>
      </c>
      <c r="S6337">
        <v>-3.1460880000000002</v>
      </c>
      <c r="T6337">
        <v>1.879919E-2</v>
      </c>
      <c r="U6337">
        <v>-0.32675169999999998</v>
      </c>
      <c r="V6337">
        <v>9.2043730000000001E-3</v>
      </c>
      <c r="W6337">
        <v>0.31254169999999998</v>
      </c>
      <c r="X6337">
        <v>0.94985940000000002</v>
      </c>
      <c r="Y6337">
        <v>-0.1136025</v>
      </c>
      <c r="Z6337">
        <v>4.0025400000000001E-4</v>
      </c>
      <c r="AA6337">
        <v>0.99352620000000003</v>
      </c>
      <c r="AB6337">
        <v>31</v>
      </c>
      <c r="AC6337">
        <v>-3.1460880000000002</v>
      </c>
      <c r="AD6337">
        <v>1.879919E-2</v>
      </c>
      <c r="AE6337">
        <v>-0.32675169999999998</v>
      </c>
      <c r="AF6337">
        <v>-0.35932021838655098</v>
      </c>
      <c r="AG6337">
        <v>1.879919E-2</v>
      </c>
      <c r="AH6337">
        <v>3.14242240575906</v>
      </c>
      <c r="AI6337">
        <v>89.659457482494801</v>
      </c>
      <c r="AJ6337">
        <v>96.523153467175405</v>
      </c>
      <c r="AK6337">
        <v>3.1629547902400601</v>
      </c>
      <c r="AL6337">
        <v>71.787527110643097</v>
      </c>
      <c r="AM6337">
        <v>89.4448070735518</v>
      </c>
      <c r="AN6337">
        <v>0.99999995724478496</v>
      </c>
    </row>
    <row r="6338" spans="1:40" x14ac:dyDescent="0.25">
      <c r="A6338" t="str">
        <f>"20190312154049286"</f>
        <v>20190312154049286</v>
      </c>
      <c r="B6338" t="str">
        <f>"1552376449282353"</f>
        <v>1552376449282353</v>
      </c>
      <c r="C6338" t="s">
        <v>40</v>
      </c>
      <c r="D6338">
        <v>3.6655570000000002</v>
      </c>
      <c r="E6338">
        <v>0.45735579999999998</v>
      </c>
      <c r="F6338" t="s">
        <v>50</v>
      </c>
      <c r="G6338">
        <v>0</v>
      </c>
      <c r="H6338">
        <v>0</v>
      </c>
      <c r="I6338">
        <v>0</v>
      </c>
      <c r="J6338">
        <v>-344.88819999999998</v>
      </c>
      <c r="K6338">
        <v>1.111318</v>
      </c>
      <c r="L6338">
        <v>140.4391</v>
      </c>
      <c r="M6338">
        <v>-0.9998435</v>
      </c>
      <c r="N6338">
        <v>0</v>
      </c>
      <c r="O6338">
        <v>1.033034E-2</v>
      </c>
      <c r="P6338">
        <v>-0.95417059999999998</v>
      </c>
      <c r="Q6338">
        <v>0.29871160000000002</v>
      </c>
      <c r="R6338">
        <v>1.8163100000000001E-2</v>
      </c>
      <c r="S6338">
        <v>-3.1455690000000001</v>
      </c>
      <c r="T6338">
        <v>1.6914729999999999E-2</v>
      </c>
      <c r="U6338">
        <v>-0.3290863</v>
      </c>
      <c r="V6338">
        <v>8.2983350000000004E-3</v>
      </c>
      <c r="W6338">
        <v>0.31238090000000002</v>
      </c>
      <c r="X6338">
        <v>0.94992069999999995</v>
      </c>
      <c r="Y6338">
        <v>-0.11431910000000001</v>
      </c>
      <c r="Z6338">
        <v>3.61937E-4</v>
      </c>
      <c r="AA6338">
        <v>0.99344399999999999</v>
      </c>
      <c r="AB6338">
        <v>31</v>
      </c>
      <c r="AC6338">
        <v>-3.1455690000000001</v>
      </c>
      <c r="AD6338">
        <v>1.6914729999999999E-2</v>
      </c>
      <c r="AE6338">
        <v>-0.3290863</v>
      </c>
      <c r="AF6338">
        <v>-0.36155654407398502</v>
      </c>
      <c r="AG6338">
        <v>1.6914729999999999E-2</v>
      </c>
      <c r="AH6338">
        <v>3.1419113291773999</v>
      </c>
      <c r="AI6338">
        <v>89.693568806021105</v>
      </c>
      <c r="AJ6338">
        <v>96.564457218485899</v>
      </c>
      <c r="AK6338">
        <v>3.1626912658473301</v>
      </c>
      <c r="AL6338">
        <v>71.797226929572602</v>
      </c>
      <c r="AM6338">
        <v>89.499487190651607</v>
      </c>
      <c r="AN6338">
        <v>1.00000001266853</v>
      </c>
    </row>
    <row r="6339" spans="1:40" x14ac:dyDescent="0.25">
      <c r="A6339" t="str">
        <f>"20190312154049307"</f>
        <v>20190312154049307</v>
      </c>
      <c r="B6339" t="str">
        <f>"1552376449302902"</f>
        <v>1552376449302902</v>
      </c>
      <c r="C6339" t="s">
        <v>40</v>
      </c>
      <c r="D6339">
        <v>3.683122</v>
      </c>
      <c r="E6339">
        <v>0.45728390000000002</v>
      </c>
      <c r="F6339" t="s">
        <v>50</v>
      </c>
      <c r="G6339">
        <v>0</v>
      </c>
      <c r="H6339">
        <v>0</v>
      </c>
      <c r="I6339">
        <v>0</v>
      </c>
      <c r="J6339">
        <v>-345.19639999999998</v>
      </c>
      <c r="K6339">
        <v>1.1113219999999999</v>
      </c>
      <c r="L6339">
        <v>140.44229999999999</v>
      </c>
      <c r="M6339">
        <v>-0.99984399999999996</v>
      </c>
      <c r="N6339">
        <v>0</v>
      </c>
      <c r="O6339">
        <v>1.029508E-2</v>
      </c>
      <c r="P6339">
        <v>-0.95451719999999896</v>
      </c>
      <c r="Q6339">
        <v>0.29760700000000001</v>
      </c>
      <c r="R6339">
        <v>1.808206E-2</v>
      </c>
      <c r="S6339">
        <v>-3.1450499999999999</v>
      </c>
      <c r="T6339">
        <v>1.7227889999999999E-2</v>
      </c>
      <c r="U6339">
        <v>-0.33320620000000001</v>
      </c>
      <c r="V6339">
        <v>8.2448450000000006E-3</v>
      </c>
      <c r="W6339">
        <v>0.3112781</v>
      </c>
      <c r="X6339">
        <v>0.95028310000000005</v>
      </c>
      <c r="Y6339">
        <v>-0.115588</v>
      </c>
      <c r="Z6339">
        <v>3.7194609999999999E-4</v>
      </c>
      <c r="AA6339">
        <v>0.99329719999999999</v>
      </c>
      <c r="AB6339">
        <v>31</v>
      </c>
      <c r="AC6339">
        <v>-3.1450499999999999</v>
      </c>
      <c r="AD6339">
        <v>1.7227889999999999E-2</v>
      </c>
      <c r="AE6339">
        <v>-0.33320620000000001</v>
      </c>
      <c r="AF6339">
        <v>-0.36555956725218902</v>
      </c>
      <c r="AG6339">
        <v>1.7227889999999999E-2</v>
      </c>
      <c r="AH6339">
        <v>3.1413593400056801</v>
      </c>
      <c r="AI6339">
        <v>89.6878869374479</v>
      </c>
      <c r="AJ6339">
        <v>96.637647434706395</v>
      </c>
      <c r="AK6339">
        <v>3.1626047967528899</v>
      </c>
      <c r="AL6339">
        <v>71.863728413190003</v>
      </c>
      <c r="AM6339">
        <v>89.502902905063394</v>
      </c>
      <c r="AN6339">
        <v>1.00000000157714</v>
      </c>
    </row>
    <row r="6340" spans="1:40" x14ac:dyDescent="0.25">
      <c r="A6340" t="str">
        <f>"20190312154049330"</f>
        <v>20190312154049330</v>
      </c>
      <c r="B6340" t="str">
        <f>"1552376449322421"</f>
        <v>1552376449322421</v>
      </c>
      <c r="C6340" t="s">
        <v>40</v>
      </c>
      <c r="D6340">
        <v>3.6571769999999999</v>
      </c>
      <c r="E6340">
        <v>0.45714939999999998</v>
      </c>
      <c r="F6340" t="s">
        <v>50</v>
      </c>
      <c r="G6340">
        <v>0</v>
      </c>
      <c r="H6340">
        <v>0</v>
      </c>
      <c r="I6340">
        <v>0</v>
      </c>
      <c r="J6340">
        <v>-345.50569999999999</v>
      </c>
      <c r="K6340">
        <v>1.1113219999999999</v>
      </c>
      <c r="L6340">
        <v>140.44550000000001</v>
      </c>
      <c r="M6340">
        <v>-0.99984459999999997</v>
      </c>
      <c r="N6340">
        <v>0</v>
      </c>
      <c r="O6340">
        <v>1.0255169999999999E-2</v>
      </c>
      <c r="P6340">
        <v>-0.95496420000000004</v>
      </c>
      <c r="Q6340">
        <v>0.29620299999999999</v>
      </c>
      <c r="R6340">
        <v>1.7532499999999999E-2</v>
      </c>
      <c r="S6340">
        <v>-3.1445620000000001</v>
      </c>
      <c r="T6340">
        <v>1.512206E-2</v>
      </c>
      <c r="U6340">
        <v>-0.3335571</v>
      </c>
      <c r="V6340">
        <v>7.7260499999999999E-3</v>
      </c>
      <c r="W6340">
        <v>0.30987759999999998</v>
      </c>
      <c r="X6340">
        <v>0.95074510000000001</v>
      </c>
      <c r="Y6340">
        <v>-0.1156746</v>
      </c>
      <c r="Z6340">
        <v>3.2654679999999999E-4</v>
      </c>
      <c r="AA6340">
        <v>0.99328709999999998</v>
      </c>
      <c r="AB6340">
        <v>31</v>
      </c>
      <c r="AC6340">
        <v>-3.1445620000000001</v>
      </c>
      <c r="AD6340">
        <v>1.512206E-2</v>
      </c>
      <c r="AE6340">
        <v>-0.3335571</v>
      </c>
      <c r="AF6340">
        <v>-0.36578252470435202</v>
      </c>
      <c r="AG6340">
        <v>1.512206E-2</v>
      </c>
      <c r="AH6340">
        <v>3.1409037421920698</v>
      </c>
      <c r="AI6340">
        <v>89.726000099374701</v>
      </c>
      <c r="AJ6340">
        <v>96.642614411425996</v>
      </c>
      <c r="AK6340">
        <v>3.1621672710016302</v>
      </c>
      <c r="AL6340">
        <v>71.948146341797298</v>
      </c>
      <c r="AM6340">
        <v>89.534406947242204</v>
      </c>
      <c r="AN6340">
        <v>1.00000003200218</v>
      </c>
    </row>
    <row r="6341" spans="1:40" x14ac:dyDescent="0.25">
      <c r="A6341" t="str">
        <f>"20190312154049353"</f>
        <v>20190312154049353</v>
      </c>
      <c r="B6341" t="str">
        <f>"1552376449342914"</f>
        <v>1552376449342914</v>
      </c>
      <c r="C6341" t="s">
        <v>40</v>
      </c>
      <c r="D6341">
        <v>3.6528489999999998</v>
      </c>
      <c r="E6341">
        <v>0.45711170000000001</v>
      </c>
      <c r="F6341" t="s">
        <v>50</v>
      </c>
      <c r="G6341">
        <v>0</v>
      </c>
      <c r="H6341">
        <v>0</v>
      </c>
      <c r="I6341">
        <v>0</v>
      </c>
      <c r="J6341">
        <v>-345.82199999999898</v>
      </c>
      <c r="K6341">
        <v>1.1113309999999901</v>
      </c>
      <c r="L6341">
        <v>140.4487</v>
      </c>
      <c r="M6341">
        <v>-0.99984499999999998</v>
      </c>
      <c r="N6341">
        <v>0</v>
      </c>
      <c r="O6341">
        <v>1.0211019999999999E-2</v>
      </c>
      <c r="P6341">
        <v>-0.95533349999999995</v>
      </c>
      <c r="Q6341">
        <v>0.2950065</v>
      </c>
      <c r="R6341">
        <v>1.758413E-2</v>
      </c>
      <c r="S6341">
        <v>-3.1443180000000002</v>
      </c>
      <c r="T6341">
        <v>1.062167E-2</v>
      </c>
      <c r="U6341">
        <v>-0.3356171</v>
      </c>
      <c r="V6341">
        <v>7.8134229999999999E-3</v>
      </c>
      <c r="W6341">
        <v>0.30868319999999999</v>
      </c>
      <c r="X6341">
        <v>0.9511328</v>
      </c>
      <c r="Y6341">
        <v>-0.11628289999999999</v>
      </c>
      <c r="Z6341">
        <v>2.302514E-4</v>
      </c>
      <c r="AA6341">
        <v>0.99321610000000005</v>
      </c>
      <c r="AB6341">
        <v>31</v>
      </c>
      <c r="AC6341">
        <v>-3.1443180000000002</v>
      </c>
      <c r="AD6341">
        <v>1.062167E-2</v>
      </c>
      <c r="AE6341">
        <v>-0.3356171</v>
      </c>
      <c r="AF6341">
        <v>-0.36770544753415701</v>
      </c>
      <c r="AG6341">
        <v>1.062167E-2</v>
      </c>
      <c r="AH6341">
        <v>3.1406912600352199</v>
      </c>
      <c r="AI6341">
        <v>89.807543631871795</v>
      </c>
      <c r="AJ6341">
        <v>96.677667866335696</v>
      </c>
      <c r="AK6341">
        <v>3.1621609236219301</v>
      </c>
      <c r="AL6341">
        <v>72.020107806654593</v>
      </c>
      <c r="AM6341">
        <v>89.529333767542397</v>
      </c>
      <c r="AN6341">
        <v>0.99999998538852797</v>
      </c>
    </row>
    <row r="6342" spans="1:40" x14ac:dyDescent="0.25">
      <c r="A6342" t="str">
        <f>"20190312154049375"</f>
        <v>20190312154049375</v>
      </c>
      <c r="B6342" t="str">
        <f>"1552376449362435"</f>
        <v>1552376449362435</v>
      </c>
      <c r="C6342" t="s">
        <v>40</v>
      </c>
      <c r="D6342">
        <v>3.6589459999999998</v>
      </c>
      <c r="E6342">
        <v>0.45709369999999999</v>
      </c>
      <c r="F6342" t="s">
        <v>50</v>
      </c>
      <c r="G6342">
        <v>0</v>
      </c>
      <c r="H6342">
        <v>0</v>
      </c>
      <c r="I6342">
        <v>0</v>
      </c>
      <c r="J6342">
        <v>-346.12729999999999</v>
      </c>
      <c r="K6342">
        <v>1.111327</v>
      </c>
      <c r="L6342">
        <v>140.45179999999999</v>
      </c>
      <c r="M6342">
        <v>-0.9998456</v>
      </c>
      <c r="N6342">
        <v>0</v>
      </c>
      <c r="O6342">
        <v>1.016515E-2</v>
      </c>
      <c r="P6342">
        <v>-0.95552559999999997</v>
      </c>
      <c r="Q6342">
        <v>0.29435489999999997</v>
      </c>
      <c r="R6342">
        <v>1.806137E-2</v>
      </c>
      <c r="S6342">
        <v>-3.1439819999999998</v>
      </c>
      <c r="T6342">
        <v>8.0702299999999994E-3</v>
      </c>
      <c r="U6342">
        <v>-0.33598329999999998</v>
      </c>
      <c r="V6342">
        <v>8.3299369999999904E-3</v>
      </c>
      <c r="W6342">
        <v>0.30803180000000002</v>
      </c>
      <c r="X6342">
        <v>0.95133959999999995</v>
      </c>
      <c r="Y6342">
        <v>-0.1163632</v>
      </c>
      <c r="Z6342">
        <v>1.7494559999999999E-4</v>
      </c>
      <c r="AA6342">
        <v>0.9932067</v>
      </c>
      <c r="AB6342">
        <v>31</v>
      </c>
      <c r="AC6342">
        <v>-3.1439819999999998</v>
      </c>
      <c r="AD6342">
        <v>8.0702299999999994E-3</v>
      </c>
      <c r="AE6342">
        <v>-0.33598329999999998</v>
      </c>
      <c r="AF6342">
        <v>-0.36792587257429799</v>
      </c>
      <c r="AG6342">
        <v>8.0702299999999994E-3</v>
      </c>
      <c r="AH6342">
        <v>3.140383398654</v>
      </c>
      <c r="AI6342">
        <v>89.853760545166693</v>
      </c>
      <c r="AJ6342">
        <v>96.682283781847701</v>
      </c>
      <c r="AK6342">
        <v>3.1618732528144502</v>
      </c>
      <c r="AL6342">
        <v>72.059342531084795</v>
      </c>
      <c r="AM6342">
        <v>89.498330525498105</v>
      </c>
      <c r="AN6342">
        <v>1.0000000060949099</v>
      </c>
    </row>
    <row r="6343" spans="1:40" x14ac:dyDescent="0.25">
      <c r="A6343" t="str">
        <f>"20190312154049397"</f>
        <v>20190312154049397</v>
      </c>
      <c r="B6343" t="str">
        <f>"1552376449392691"</f>
        <v>1552376449392691</v>
      </c>
      <c r="C6343" t="s">
        <v>40</v>
      </c>
      <c r="D6343">
        <v>3.677028</v>
      </c>
      <c r="E6343">
        <v>0.4571017</v>
      </c>
      <c r="F6343" t="s">
        <v>50</v>
      </c>
      <c r="G6343">
        <v>0</v>
      </c>
      <c r="H6343">
        <v>0</v>
      </c>
      <c r="I6343">
        <v>0</v>
      </c>
      <c r="J6343">
        <v>-346.4314</v>
      </c>
      <c r="K6343">
        <v>1.1113280000000001</v>
      </c>
      <c r="L6343">
        <v>140.45480000000001</v>
      </c>
      <c r="M6343">
        <v>-0.99984609999999996</v>
      </c>
      <c r="N6343">
        <v>0</v>
      </c>
      <c r="O6343">
        <v>1.0117330000000001E-2</v>
      </c>
      <c r="P6343">
        <v>-0.9563178</v>
      </c>
      <c r="Q6343">
        <v>0.29175010000000001</v>
      </c>
      <c r="R6343">
        <v>1.840346E-2</v>
      </c>
      <c r="S6343">
        <v>-3.1340330000000001</v>
      </c>
      <c r="T6343">
        <v>3.8746120000000002E-2</v>
      </c>
      <c r="U6343">
        <v>-0.333374</v>
      </c>
      <c r="V6343">
        <v>8.7081180000000008E-3</v>
      </c>
      <c r="W6343">
        <v>0.30543530000000002</v>
      </c>
      <c r="X6343">
        <v>0.95217300000000005</v>
      </c>
      <c r="Y6343">
        <v>-0.1158221</v>
      </c>
      <c r="Z6343">
        <v>8.3866699999999997E-4</v>
      </c>
      <c r="AA6343">
        <v>0.99326959999999997</v>
      </c>
      <c r="AB6343">
        <v>31</v>
      </c>
      <c r="AC6343">
        <v>-3.1340330000000001</v>
      </c>
      <c r="AD6343">
        <v>3.8746120000000002E-2</v>
      </c>
      <c r="AE6343">
        <v>-0.333374</v>
      </c>
      <c r="AF6343">
        <v>-0.36501307120842202</v>
      </c>
      <c r="AG6343">
        <v>3.8746120000000002E-2</v>
      </c>
      <c r="AH6343">
        <v>3.1300263071930998</v>
      </c>
      <c r="AI6343">
        <v>89.295553850000204</v>
      </c>
      <c r="AJ6343">
        <v>96.651595760706002</v>
      </c>
      <c r="AK6343">
        <v>3.1514759221179101</v>
      </c>
      <c r="AL6343">
        <v>72.215645270512297</v>
      </c>
      <c r="AM6343">
        <v>89.476014863784798</v>
      </c>
      <c r="AN6343">
        <v>0.99999998786709599</v>
      </c>
    </row>
    <row r="6344" spans="1:40" x14ac:dyDescent="0.25">
      <c r="A6344" t="str">
        <f>"20190312154049420"</f>
        <v>20190312154049420</v>
      </c>
      <c r="B6344" t="str">
        <f>"1552376449412214"</f>
        <v>1552376449412214</v>
      </c>
      <c r="C6344" t="s">
        <v>40</v>
      </c>
      <c r="D6344">
        <v>3.8129059999999999</v>
      </c>
      <c r="E6344">
        <v>0.4573429</v>
      </c>
      <c r="F6344" t="s">
        <v>50</v>
      </c>
      <c r="G6344">
        <v>0</v>
      </c>
      <c r="H6344">
        <v>0</v>
      </c>
      <c r="I6344">
        <v>0</v>
      </c>
      <c r="J6344">
        <v>-346.74560000000002</v>
      </c>
      <c r="K6344">
        <v>1.111335</v>
      </c>
      <c r="L6344">
        <v>140.4579</v>
      </c>
      <c r="M6344">
        <v>-0.99984660000000003</v>
      </c>
      <c r="N6344">
        <v>0</v>
      </c>
      <c r="O6344">
        <v>1.006584E-2</v>
      </c>
      <c r="P6344">
        <v>-0.95692160000000004</v>
      </c>
      <c r="Q6344">
        <v>0.28972419999999999</v>
      </c>
      <c r="R6344">
        <v>1.9003329999999999E-2</v>
      </c>
      <c r="S6344">
        <v>-3.1347659999999999</v>
      </c>
      <c r="T6344">
        <v>2.8365850000000001E-2</v>
      </c>
      <c r="U6344">
        <v>-0.33174130000000002</v>
      </c>
      <c r="V6344">
        <v>9.3499929999999992E-3</v>
      </c>
      <c r="W6344">
        <v>0.30341499999999999</v>
      </c>
      <c r="X6344">
        <v>0.95281260000000001</v>
      </c>
      <c r="Y6344">
        <v>-0.11523940000000001</v>
      </c>
      <c r="Z6344">
        <v>6.1077519999999999E-4</v>
      </c>
      <c r="AA6344">
        <v>0.99333760000000004</v>
      </c>
      <c r="AB6344">
        <v>31</v>
      </c>
      <c r="AC6344">
        <v>-3.1347659999999999</v>
      </c>
      <c r="AD6344">
        <v>2.8365850000000001E-2</v>
      </c>
      <c r="AE6344">
        <v>-0.33174130000000002</v>
      </c>
      <c r="AF6344">
        <v>-0.363252370954257</v>
      </c>
      <c r="AG6344">
        <v>2.8365850000000001E-2</v>
      </c>
      <c r="AH6344">
        <v>3.1310140262260102</v>
      </c>
      <c r="AI6344">
        <v>89.484393505175106</v>
      </c>
      <c r="AJ6344">
        <v>96.617726377442906</v>
      </c>
      <c r="AK6344">
        <v>3.1521430390885099</v>
      </c>
      <c r="AL6344">
        <v>72.337167512532304</v>
      </c>
      <c r="AM6344">
        <v>89.437771978818503</v>
      </c>
      <c r="AN6344">
        <v>0.99999996765642896</v>
      </c>
    </row>
    <row r="6345" spans="1:40" x14ac:dyDescent="0.25">
      <c r="A6345" t="str">
        <f>"20190312154049434"</f>
        <v>20190312154049434</v>
      </c>
      <c r="B6345" t="str">
        <f>"1552376449422947"</f>
        <v>1552376449422947</v>
      </c>
      <c r="C6345" t="s">
        <v>40</v>
      </c>
      <c r="D6345">
        <v>3.803493</v>
      </c>
      <c r="E6345">
        <v>0.48576649999999999</v>
      </c>
      <c r="F6345" t="s">
        <v>50</v>
      </c>
      <c r="G6345">
        <v>0</v>
      </c>
      <c r="H6345">
        <v>0</v>
      </c>
      <c r="I6345">
        <v>0</v>
      </c>
      <c r="J6345">
        <v>-346.9529</v>
      </c>
      <c r="K6345">
        <v>1.1113299999999999</v>
      </c>
      <c r="L6345">
        <v>140.46</v>
      </c>
      <c r="M6345">
        <v>-0.99984709999999999</v>
      </c>
      <c r="N6345">
        <v>0</v>
      </c>
      <c r="O6345">
        <v>1.003151E-2</v>
      </c>
      <c r="P6345">
        <v>-0.95744359999999995</v>
      </c>
      <c r="Q6345">
        <v>0.28793790000000002</v>
      </c>
      <c r="R6345">
        <v>1.9844400000000002E-2</v>
      </c>
      <c r="S6345">
        <v>-3.1351930000000001</v>
      </c>
      <c r="T6345">
        <v>2.102292E-2</v>
      </c>
      <c r="U6345">
        <v>-0.32728580000000002</v>
      </c>
      <c r="V6345">
        <v>1.021817E-2</v>
      </c>
      <c r="W6345">
        <v>0.30163430000000002</v>
      </c>
      <c r="X6345">
        <v>0.95336900000000002</v>
      </c>
      <c r="Y6345">
        <v>-0.1137971</v>
      </c>
      <c r="Z6345">
        <v>4.4759070000000001E-4</v>
      </c>
      <c r="AA6345">
        <v>0.9935039</v>
      </c>
      <c r="AB6345">
        <v>31</v>
      </c>
      <c r="AC6345">
        <v>-3.1351930000000001</v>
      </c>
      <c r="AD6345">
        <v>2.102292E-2</v>
      </c>
      <c r="AE6345">
        <v>-0.32728580000000002</v>
      </c>
      <c r="AF6345">
        <v>-0.35870732026643498</v>
      </c>
      <c r="AG6345">
        <v>2.102292E-2</v>
      </c>
      <c r="AH6345">
        <v>3.1316124174548401</v>
      </c>
      <c r="AI6345">
        <v>89.617870372497507</v>
      </c>
      <c r="AJ6345">
        <v>96.534407540120895</v>
      </c>
      <c r="AK6345">
        <v>3.1521594562990298</v>
      </c>
      <c r="AL6345">
        <v>72.444211574843607</v>
      </c>
      <c r="AM6345">
        <v>89.385929688507105</v>
      </c>
      <c r="AN6345">
        <v>1.0000000560478099</v>
      </c>
    </row>
    <row r="6346" spans="1:40" x14ac:dyDescent="0.25">
      <c r="A6346" t="str">
        <f>"20190312154049447"</f>
        <v>20190312154049447</v>
      </c>
      <c r="B6346" t="str">
        <f>"1552376449442466"</f>
        <v>1552376449442466</v>
      </c>
      <c r="C6346" t="s">
        <v>40</v>
      </c>
      <c r="D6346">
        <v>3.79792</v>
      </c>
      <c r="E6346">
        <v>0.49889539999999999</v>
      </c>
      <c r="F6346" t="s">
        <v>50</v>
      </c>
      <c r="G6346">
        <v>0</v>
      </c>
      <c r="H6346">
        <v>0</v>
      </c>
      <c r="I6346">
        <v>0</v>
      </c>
      <c r="J6346">
        <v>-347.12</v>
      </c>
      <c r="K6346">
        <v>1.1113249999999999</v>
      </c>
      <c r="L6346">
        <v>140.4616</v>
      </c>
      <c r="M6346">
        <v>-0.99984740000000005</v>
      </c>
      <c r="N6346">
        <v>0</v>
      </c>
      <c r="O6346">
        <v>1.000332E-2</v>
      </c>
      <c r="P6346">
        <v>-0.95785620000000005</v>
      </c>
      <c r="Q6346">
        <v>0.28650679999999901</v>
      </c>
      <c r="R6346">
        <v>2.062539E-2</v>
      </c>
      <c r="S6346">
        <v>-3.132568</v>
      </c>
      <c r="T6346">
        <v>9.1885330000000005E-3</v>
      </c>
      <c r="U6346">
        <v>-9.7824099999999997E-2</v>
      </c>
      <c r="V6346">
        <v>1.102188E-2</v>
      </c>
      <c r="W6346">
        <v>0.30020780000000002</v>
      </c>
      <c r="X6346">
        <v>0.95381020000000005</v>
      </c>
      <c r="Y6346">
        <v>-4.121056E-2</v>
      </c>
      <c r="Z6346" s="1">
        <v>8.9763699999999996E-5</v>
      </c>
      <c r="AA6346">
        <v>0.99915050000000005</v>
      </c>
      <c r="AB6346">
        <v>31</v>
      </c>
      <c r="AC6346">
        <v>-3.132568</v>
      </c>
      <c r="AD6346">
        <v>9.1885330000000005E-3</v>
      </c>
      <c r="AE6346">
        <v>-9.7824099999999997E-2</v>
      </c>
      <c r="AF6346">
        <v>-0.129157388552367</v>
      </c>
      <c r="AG6346">
        <v>9.1885330000000005E-3</v>
      </c>
      <c r="AH6346">
        <v>3.1314056495521001</v>
      </c>
      <c r="AI6346">
        <v>89.8320193970101</v>
      </c>
      <c r="AJ6346">
        <v>92.361872567179901</v>
      </c>
      <c r="AK6346">
        <v>3.1340815883131001</v>
      </c>
      <c r="AL6346">
        <v>72.529916428808804</v>
      </c>
      <c r="AM6346">
        <v>89.337940504714396</v>
      </c>
      <c r="AN6346">
        <v>1.0000000513217999</v>
      </c>
    </row>
    <row r="6347" spans="1:40" x14ac:dyDescent="0.25">
      <c r="A6347" t="str">
        <f>"20190312154049463"</f>
        <v>20190312154049463</v>
      </c>
      <c r="B6347" t="str">
        <f>"1552376449452227"</f>
        <v>1552376449452227</v>
      </c>
      <c r="C6347" t="s">
        <v>40</v>
      </c>
      <c r="D6347">
        <v>3.7371599999999998</v>
      </c>
      <c r="E6347">
        <v>0.50139199999999995</v>
      </c>
      <c r="F6347" t="s">
        <v>50</v>
      </c>
      <c r="G6347">
        <v>0</v>
      </c>
      <c r="H6347">
        <v>0</v>
      </c>
      <c r="I6347">
        <v>0</v>
      </c>
      <c r="J6347">
        <v>-347.35320000000002</v>
      </c>
      <c r="K6347">
        <v>1.1113120000000001</v>
      </c>
      <c r="L6347">
        <v>140.4639</v>
      </c>
      <c r="M6347">
        <v>-0.99984779999999995</v>
      </c>
      <c r="N6347">
        <v>0</v>
      </c>
      <c r="O6347">
        <v>9.9642380000000003E-3</v>
      </c>
      <c r="P6347">
        <v>-0.95897299999999996</v>
      </c>
      <c r="Q6347">
        <v>0.28266469999999999</v>
      </c>
      <c r="R6347">
        <v>2.1717839999999999E-2</v>
      </c>
      <c r="S6347">
        <v>-3.1312259999999998</v>
      </c>
      <c r="T6347">
        <v>1.9150969999999999E-3</v>
      </c>
      <c r="U6347">
        <v>9.8571779999999994E-3</v>
      </c>
      <c r="V6347">
        <v>1.214056E-2</v>
      </c>
      <c r="W6347">
        <v>0.29637970000000002</v>
      </c>
      <c r="X6347">
        <v>0.95499299999999998</v>
      </c>
      <c r="Y6347">
        <v>-6.8173560000000001E-3</v>
      </c>
      <c r="Z6347" s="1">
        <v>8.1795509999999997E-6</v>
      </c>
      <c r="AA6347">
        <v>0.9999768</v>
      </c>
      <c r="AB6347">
        <v>31</v>
      </c>
      <c r="AC6347">
        <v>-3.1312259999999998</v>
      </c>
      <c r="AD6347">
        <v>1.9150969999999999E-3</v>
      </c>
      <c r="AE6347">
        <v>9.8571779999999994E-3</v>
      </c>
      <c r="AF6347">
        <v>-2.1346784500752201E-2</v>
      </c>
      <c r="AG6347">
        <v>1.9150969999999999E-3</v>
      </c>
      <c r="AH6347">
        <v>3.1311675788173101</v>
      </c>
      <c r="AI6347">
        <v>89.964957349253893</v>
      </c>
      <c r="AJ6347">
        <v>90.390608831631098</v>
      </c>
      <c r="AK6347">
        <v>3.13124092963823</v>
      </c>
      <c r="AL6347">
        <v>72.759710878706898</v>
      </c>
      <c r="AM6347">
        <v>89.271653949640395</v>
      </c>
      <c r="AN6347">
        <v>0.99999997490910097</v>
      </c>
    </row>
    <row r="6348" spans="1:40" x14ac:dyDescent="0.25">
      <c r="A6348" t="str">
        <f>"20190312154049478"</f>
        <v>20190312154049478</v>
      </c>
      <c r="B6348" t="str">
        <f>"1552376449472722"</f>
        <v>1552376449472722</v>
      </c>
      <c r="C6348" t="s">
        <v>40</v>
      </c>
      <c r="D6348">
        <v>3.727427</v>
      </c>
      <c r="E6348">
        <v>0.50448389999999999</v>
      </c>
      <c r="F6348" t="s">
        <v>50</v>
      </c>
      <c r="G6348">
        <v>0</v>
      </c>
      <c r="H6348">
        <v>0</v>
      </c>
      <c r="I6348">
        <v>0</v>
      </c>
      <c r="J6348">
        <v>-347.55759999999998</v>
      </c>
      <c r="K6348">
        <v>1.1113120000000001</v>
      </c>
      <c r="L6348">
        <v>140.4659</v>
      </c>
      <c r="M6348">
        <v>-0.99984819999999996</v>
      </c>
      <c r="N6348">
        <v>0</v>
      </c>
      <c r="O6348">
        <v>9.9298589999999992E-3</v>
      </c>
      <c r="P6348">
        <v>-0.95937079999999997</v>
      </c>
      <c r="Q6348">
        <v>0.28127079999999999</v>
      </c>
      <c r="R6348">
        <v>2.2247449999999998E-2</v>
      </c>
      <c r="S6348">
        <v>-3.1307680000000002</v>
      </c>
      <c r="T6348">
        <v>-1.0669949999999999E-2</v>
      </c>
      <c r="U6348">
        <v>3.407288E-2</v>
      </c>
      <c r="V6348">
        <v>1.2699220000000001E-2</v>
      </c>
      <c r="W6348">
        <v>0.29498990000000003</v>
      </c>
      <c r="X6348">
        <v>0.95541600000000004</v>
      </c>
      <c r="Y6348">
        <v>9.5181529999999995E-4</v>
      </c>
      <c r="Z6348" s="1">
        <v>-3.2221490000000002E-5</v>
      </c>
      <c r="AA6348">
        <v>0.99999950000000004</v>
      </c>
      <c r="AB6348">
        <v>31</v>
      </c>
      <c r="AC6348">
        <v>-3.1307680000000002</v>
      </c>
      <c r="AD6348">
        <v>-1.0669949999999999E-2</v>
      </c>
      <c r="AE6348">
        <v>3.407288E-2</v>
      </c>
      <c r="AF6348">
        <v>2.9798937482818002E-3</v>
      </c>
      <c r="AG6348">
        <v>-1.0669949999999999E-2</v>
      </c>
      <c r="AH6348">
        <v>3.1309156263797999</v>
      </c>
      <c r="AI6348">
        <v>90.195259320907994</v>
      </c>
      <c r="AJ6348">
        <v>89.945467938458094</v>
      </c>
      <c r="AK6348">
        <v>3.1309352256329102</v>
      </c>
      <c r="AL6348">
        <v>72.843068659550994</v>
      </c>
      <c r="AM6348">
        <v>89.238479506332197</v>
      </c>
      <c r="AN6348">
        <v>1.0000000221733001</v>
      </c>
    </row>
    <row r="6349" spans="1:40" x14ac:dyDescent="0.25">
      <c r="A6349" t="str">
        <f>"20190312154049491"</f>
        <v>20190312154049491</v>
      </c>
      <c r="B6349" t="str">
        <f>"1552376449482484"</f>
        <v>1552376449482484</v>
      </c>
      <c r="C6349" t="s">
        <v>40</v>
      </c>
      <c r="D6349">
        <v>3.7395420000000001</v>
      </c>
      <c r="E6349">
        <v>0.50527079999999902</v>
      </c>
      <c r="F6349" t="s">
        <v>50</v>
      </c>
      <c r="G6349">
        <v>0</v>
      </c>
      <c r="H6349">
        <v>0</v>
      </c>
      <c r="I6349">
        <v>0</v>
      </c>
      <c r="J6349">
        <v>-347.73649999999998</v>
      </c>
      <c r="K6349">
        <v>1.1113010000000001</v>
      </c>
      <c r="L6349">
        <v>140.46770000000001</v>
      </c>
      <c r="M6349">
        <v>-0.99984839999999997</v>
      </c>
      <c r="N6349">
        <v>0</v>
      </c>
      <c r="O6349">
        <v>9.8991700000000005E-3</v>
      </c>
      <c r="P6349">
        <v>-0.96014670000000002</v>
      </c>
      <c r="Q6349">
        <v>0.27860200000000002</v>
      </c>
      <c r="R6349">
        <v>2.2351179999999998E-2</v>
      </c>
      <c r="S6349">
        <v>-3.1305540000000001</v>
      </c>
      <c r="T6349">
        <v>-1.68494E-2</v>
      </c>
      <c r="U6349">
        <v>6.0440059999999997E-2</v>
      </c>
      <c r="V6349">
        <v>1.282458E-2</v>
      </c>
      <c r="W6349">
        <v>0.2923308</v>
      </c>
      <c r="X6349">
        <v>0.95623130000000001</v>
      </c>
      <c r="Y6349">
        <v>9.4036280000000007E-3</v>
      </c>
      <c r="Z6349" s="1">
        <v>-2.7974160000000001E-5</v>
      </c>
      <c r="AA6349">
        <v>0.99995579999999995</v>
      </c>
      <c r="AB6349">
        <v>31</v>
      </c>
      <c r="AC6349">
        <v>-3.1305540000000001</v>
      </c>
      <c r="AD6349">
        <v>-1.68494E-2</v>
      </c>
      <c r="AE6349">
        <v>6.0440059999999997E-2</v>
      </c>
      <c r="AF6349">
        <v>2.94431793078575E-2</v>
      </c>
      <c r="AG6349">
        <v>-1.68494E-2</v>
      </c>
      <c r="AH6349">
        <v>3.1309082814836402</v>
      </c>
      <c r="AI6349">
        <v>90.308328260303298</v>
      </c>
      <c r="AJ6349">
        <v>89.461204215779304</v>
      </c>
      <c r="AK6349">
        <v>3.1310920571185599</v>
      </c>
      <c r="AL6349">
        <v>73.002451312559202</v>
      </c>
      <c r="AM6349">
        <v>89.231618692259403</v>
      </c>
      <c r="AN6349">
        <v>1.0000000327902501</v>
      </c>
    </row>
    <row r="6350" spans="1:40" x14ac:dyDescent="0.25">
      <c r="A6350" t="str">
        <f>"20190312154049509"</f>
        <v>20190312154049509</v>
      </c>
      <c r="B6350" t="str">
        <f>"1552376449502409"</f>
        <v>1552376449502409</v>
      </c>
      <c r="C6350" t="s">
        <v>40</v>
      </c>
      <c r="D6350">
        <v>3.7283339999999998</v>
      </c>
      <c r="E6350">
        <v>0.50605339999999999</v>
      </c>
      <c r="F6350" t="s">
        <v>69</v>
      </c>
      <c r="G6350">
        <v>-494.01029999999997</v>
      </c>
      <c r="H6350" s="1">
        <v>-8.407732E-6</v>
      </c>
      <c r="I6350">
        <v>143.6097</v>
      </c>
      <c r="J6350">
        <v>-347.97570000000002</v>
      </c>
      <c r="K6350">
        <v>1.1112799999999901</v>
      </c>
      <c r="L6350">
        <v>140.47</v>
      </c>
      <c r="M6350">
        <v>-0.99984899999999999</v>
      </c>
      <c r="N6350">
        <v>0</v>
      </c>
      <c r="O6350">
        <v>9.85691E-3</v>
      </c>
      <c r="P6350">
        <v>-0.96171870000000004</v>
      </c>
      <c r="Q6350">
        <v>0.27310040000000002</v>
      </c>
      <c r="R6350">
        <v>2.2664879999999998E-2</v>
      </c>
      <c r="S6350">
        <v>-3.129883</v>
      </c>
      <c r="T6350">
        <v>-2.3779149999999999E-2</v>
      </c>
      <c r="U6350">
        <v>6.7230219999999993E-2</v>
      </c>
      <c r="V6350">
        <v>1.3162729999999999E-2</v>
      </c>
      <c r="W6350">
        <v>0.28684979999999999</v>
      </c>
      <c r="X6350">
        <v>0.95788510000000004</v>
      </c>
      <c r="Y6350">
        <v>1.1618409999999999E-2</v>
      </c>
      <c r="Z6350" s="1">
        <v>-3.0753039999999998E-5</v>
      </c>
      <c r="AA6350">
        <v>0.9999325</v>
      </c>
      <c r="AB6350">
        <v>31</v>
      </c>
      <c r="AC6350">
        <v>-146.03459999999899</v>
      </c>
      <c r="AD6350">
        <v>-1.11128840773199</v>
      </c>
      <c r="AE6350">
        <v>3.1396999999999999</v>
      </c>
      <c r="AF6350">
        <v>1.69985170544436</v>
      </c>
      <c r="AG6350">
        <v>-1.11128840773199</v>
      </c>
      <c r="AH6350">
        <v>146.050001396808</v>
      </c>
      <c r="AI6350">
        <v>90.435923275055401</v>
      </c>
      <c r="AJ6350">
        <v>89.333174048697003</v>
      </c>
      <c r="AK6350">
        <v>146.06412073385201</v>
      </c>
      <c r="AL6350">
        <v>73.330547599718798</v>
      </c>
      <c r="AM6350">
        <v>89.212722473720802</v>
      </c>
      <c r="AN6350">
        <v>0.99999996501154997</v>
      </c>
    </row>
    <row r="6351" spans="1:40" x14ac:dyDescent="0.25">
      <c r="A6351" t="str">
        <f>"20190312154049524"</f>
        <v>20190312154049524</v>
      </c>
      <c r="B6351" t="str">
        <f>"1552376449522905"</f>
        <v>1552376449522905</v>
      </c>
      <c r="C6351" t="s">
        <v>40</v>
      </c>
      <c r="D6351">
        <v>3.7569680000000001</v>
      </c>
      <c r="E6351">
        <v>0.50670269999999995</v>
      </c>
      <c r="F6351" t="s">
        <v>55</v>
      </c>
      <c r="G6351">
        <v>-438</v>
      </c>
      <c r="H6351" s="1">
        <v>-9.0574489999999998E-6</v>
      </c>
      <c r="I6351">
        <v>142.61529999999999</v>
      </c>
      <c r="J6351">
        <v>-348.19549999999998</v>
      </c>
      <c r="K6351">
        <v>1.1112740000000001</v>
      </c>
      <c r="L6351">
        <v>140.47219999999999</v>
      </c>
      <c r="M6351">
        <v>-0.99984930000000005</v>
      </c>
      <c r="N6351">
        <v>0</v>
      </c>
      <c r="O6351">
        <v>9.8161229999999995E-3</v>
      </c>
      <c r="P6351">
        <v>-0.9622098</v>
      </c>
      <c r="Q6351">
        <v>0.2713932</v>
      </c>
      <c r="R6351">
        <v>2.232365E-2</v>
      </c>
      <c r="S6351">
        <v>-3.1286010000000002</v>
      </c>
      <c r="T6351">
        <v>-3.8620469999999997E-2</v>
      </c>
      <c r="U6351">
        <v>7.455444E-2</v>
      </c>
      <c r="V6351">
        <v>1.2854610000000001E-2</v>
      </c>
      <c r="W6351">
        <v>0.28514729999999999</v>
      </c>
      <c r="X6351">
        <v>0.95839750000000001</v>
      </c>
      <c r="Y6351">
        <v>1.400739E-2</v>
      </c>
      <c r="Z6351" s="1">
        <v>-3.4718709999999997E-5</v>
      </c>
      <c r="AA6351">
        <v>0.99990190000000001</v>
      </c>
      <c r="AB6351">
        <v>31</v>
      </c>
      <c r="AC6351">
        <v>-89.804500000000004</v>
      </c>
      <c r="AD6351">
        <v>-1.11128305744899</v>
      </c>
      <c r="AE6351">
        <v>2.1431</v>
      </c>
      <c r="AF6351">
        <v>1.2611813160083001</v>
      </c>
      <c r="AG6351">
        <v>-1.11128305744899</v>
      </c>
      <c r="AH6351">
        <v>89.807467319574499</v>
      </c>
      <c r="AI6351">
        <v>90.708875386326795</v>
      </c>
      <c r="AJ6351">
        <v>89.195438651622695</v>
      </c>
      <c r="AK6351">
        <v>89.823196974401199</v>
      </c>
      <c r="AL6351">
        <v>73.432346315249603</v>
      </c>
      <c r="AM6351">
        <v>89.231560245944394</v>
      </c>
      <c r="AN6351">
        <v>0.99999999585089605</v>
      </c>
    </row>
    <row r="6352" spans="1:40" x14ac:dyDescent="0.25">
      <c r="A6352" t="str">
        <f>"20190312154049538"</f>
        <v>20190312154049538</v>
      </c>
      <c r="B6352" t="str">
        <f>"1552376449532666"</f>
        <v>1552376449532666</v>
      </c>
      <c r="C6352" t="s">
        <v>40</v>
      </c>
      <c r="D6352">
        <v>3.7547030000000001</v>
      </c>
      <c r="E6352">
        <v>0.50689740000000005</v>
      </c>
      <c r="F6352" t="s">
        <v>55</v>
      </c>
      <c r="G6352">
        <v>-430.35120000000001</v>
      </c>
      <c r="H6352" s="1">
        <v>-1.21855399999999E-5</v>
      </c>
      <c r="I6352">
        <v>142.5394</v>
      </c>
      <c r="J6352">
        <v>-348.37380000000002</v>
      </c>
      <c r="K6352">
        <v>1.1112709999999999</v>
      </c>
      <c r="L6352">
        <v>140.47389999999999</v>
      </c>
      <c r="M6352">
        <v>-0.99984969999999995</v>
      </c>
      <c r="N6352">
        <v>0</v>
      </c>
      <c r="O6352">
        <v>9.7810499999999995E-3</v>
      </c>
      <c r="P6352">
        <v>-0.96265919999999905</v>
      </c>
      <c r="Q6352">
        <v>0.26976240000000001</v>
      </c>
      <c r="R6352">
        <v>2.2707390000000001E-2</v>
      </c>
      <c r="S6352">
        <v>-3.1278990000000002</v>
      </c>
      <c r="T6352">
        <v>-4.2309760000000002E-2</v>
      </c>
      <c r="U6352">
        <v>7.8704830000000003E-2</v>
      </c>
      <c r="V6352">
        <v>1.3266160000000001E-2</v>
      </c>
      <c r="W6352">
        <v>0.28352159999999998</v>
      </c>
      <c r="X6352">
        <v>0.95887409999999995</v>
      </c>
      <c r="Y6352">
        <v>1.537357E-2</v>
      </c>
      <c r="Z6352" s="1">
        <v>-2.833036E-5</v>
      </c>
      <c r="AA6352">
        <v>0.99988180000000004</v>
      </c>
      <c r="AB6352">
        <v>31</v>
      </c>
      <c r="AC6352">
        <v>-81.977399999999903</v>
      </c>
      <c r="AD6352">
        <v>-1.1112831855399901</v>
      </c>
      <c r="AE6352">
        <v>2.0655000000000099</v>
      </c>
      <c r="AF6352">
        <v>1.2632619688147899</v>
      </c>
      <c r="AG6352">
        <v>-1.1112831855399901</v>
      </c>
      <c r="AH6352">
        <v>81.978627396365695</v>
      </c>
      <c r="AI6352">
        <v>90.776548495658403</v>
      </c>
      <c r="AJ6352">
        <v>89.117161956391399</v>
      </c>
      <c r="AK6352">
        <v>81.995890939195704</v>
      </c>
      <c r="AL6352">
        <v>73.529502481692404</v>
      </c>
      <c r="AM6352">
        <v>89.207355285721405</v>
      </c>
      <c r="AN6352">
        <v>1.00000001415925</v>
      </c>
    </row>
    <row r="6353" spans="1:40" x14ac:dyDescent="0.25">
      <c r="A6353" t="str">
        <f>"20190312154049554"</f>
        <v>20190312154049554</v>
      </c>
      <c r="B6353" t="str">
        <f>"1552376449542425"</f>
        <v>1552376449542425</v>
      </c>
      <c r="C6353" t="s">
        <v>40</v>
      </c>
      <c r="D6353">
        <v>3.7609210000000002</v>
      </c>
      <c r="E6353">
        <v>0.50705449999999996</v>
      </c>
      <c r="F6353" t="s">
        <v>55</v>
      </c>
      <c r="G6353">
        <v>-423.74430000000001</v>
      </c>
      <c r="H6353" s="1">
        <v>-1.1425300000000001E-5</v>
      </c>
      <c r="I6353">
        <v>142.42910000000001</v>
      </c>
      <c r="J6353">
        <v>-348.58960000000002</v>
      </c>
      <c r="K6353">
        <v>1.111278</v>
      </c>
      <c r="L6353">
        <v>140.476</v>
      </c>
      <c r="M6353">
        <v>-0.99985029999999997</v>
      </c>
      <c r="N6353">
        <v>0</v>
      </c>
      <c r="O6353">
        <v>9.7331959999999995E-3</v>
      </c>
      <c r="P6353">
        <v>-0.96340369999999997</v>
      </c>
      <c r="Q6353">
        <v>0.26711639999999998</v>
      </c>
      <c r="R6353">
        <v>2.241348E-2</v>
      </c>
      <c r="S6353">
        <v>-3.12738</v>
      </c>
      <c r="T6353">
        <v>-4.6110869999999998E-2</v>
      </c>
      <c r="U6353">
        <v>8.1130980000000005E-2</v>
      </c>
      <c r="V6353">
        <v>1.300863E-2</v>
      </c>
      <c r="W6353">
        <v>0.28088439999999998</v>
      </c>
      <c r="X6353">
        <v>0.95965339999999999</v>
      </c>
      <c r="Y6353">
        <v>1.6200579999999999E-2</v>
      </c>
      <c r="Z6353" s="1">
        <v>-2.407908E-5</v>
      </c>
      <c r="AA6353">
        <v>0.9998688</v>
      </c>
      <c r="AB6353">
        <v>31</v>
      </c>
      <c r="AC6353">
        <v>-75.154699999999906</v>
      </c>
      <c r="AD6353">
        <v>-1.1112894253000001</v>
      </c>
      <c r="AE6353">
        <v>1.9531000000000001</v>
      </c>
      <c r="AF6353">
        <v>1.22117035673342</v>
      </c>
      <c r="AG6353">
        <v>-1.1112894253000001</v>
      </c>
      <c r="AH6353">
        <v>75.153730150703197</v>
      </c>
      <c r="AI6353">
        <v>90.847052455521805</v>
      </c>
      <c r="AJ6353">
        <v>89.069084788033095</v>
      </c>
      <c r="AK6353">
        <v>75.171865593396404</v>
      </c>
      <c r="AL6353">
        <v>73.687003772766502</v>
      </c>
      <c r="AM6353">
        <v>89.223371741820699</v>
      </c>
      <c r="AN6353">
        <v>0.99999995937469699</v>
      </c>
    </row>
    <row r="6354" spans="1:40" x14ac:dyDescent="0.25">
      <c r="A6354" t="str">
        <f>"20190312154049576"</f>
        <v>20190312154049576</v>
      </c>
      <c r="B6354" t="str">
        <f>"1552376449572682"</f>
        <v>1552376449572682</v>
      </c>
      <c r="C6354" t="s">
        <v>40</v>
      </c>
      <c r="D6354">
        <v>3.75</v>
      </c>
      <c r="E6354">
        <v>0.5076001</v>
      </c>
      <c r="F6354" t="s">
        <v>55</v>
      </c>
      <c r="G6354">
        <v>-413.98759999999999</v>
      </c>
      <c r="H6354" s="1">
        <v>-1.121321E-5</v>
      </c>
      <c r="I6354">
        <v>142.1508</v>
      </c>
      <c r="J6354">
        <v>-348.8963</v>
      </c>
      <c r="K6354">
        <v>1.1112899999999999</v>
      </c>
      <c r="L6354">
        <v>140.47890000000001</v>
      </c>
      <c r="M6354">
        <v>-0.99985100000000005</v>
      </c>
      <c r="N6354">
        <v>0</v>
      </c>
      <c r="O6354">
        <v>9.6558979999999996E-3</v>
      </c>
      <c r="P6354">
        <v>-0.96391640000000001</v>
      </c>
      <c r="Q6354">
        <v>0.26528849999999998</v>
      </c>
      <c r="R6354">
        <v>2.2081630000000001E-2</v>
      </c>
      <c r="S6354">
        <v>-3.126862</v>
      </c>
      <c r="T6354">
        <v>-5.3133850000000003E-2</v>
      </c>
      <c r="U6354">
        <v>8.0078129999999997E-2</v>
      </c>
      <c r="V6354">
        <v>1.2741209999999999E-2</v>
      </c>
      <c r="W6354">
        <v>0.27906019999999998</v>
      </c>
      <c r="X6354">
        <v>0.96018910000000002</v>
      </c>
      <c r="Y6354">
        <v>1.5945529999999999E-2</v>
      </c>
      <c r="Z6354" s="1">
        <v>-2.860406E-5</v>
      </c>
      <c r="AA6354">
        <v>0.99987289999999995</v>
      </c>
      <c r="AB6354">
        <v>31</v>
      </c>
      <c r="AC6354">
        <v>-65.091299999999904</v>
      </c>
      <c r="AD6354">
        <v>-1.11130121321</v>
      </c>
      <c r="AE6354">
        <v>1.6718999999999899</v>
      </c>
      <c r="AF6354">
        <v>1.04293893472857</v>
      </c>
      <c r="AG6354">
        <v>-1.11130121321</v>
      </c>
      <c r="AH6354">
        <v>65.085451229300205</v>
      </c>
      <c r="AI6354">
        <v>90.978075909096404</v>
      </c>
      <c r="AJ6354">
        <v>89.081962491974707</v>
      </c>
      <c r="AK6354">
        <v>65.103292341706293</v>
      </c>
      <c r="AL6354">
        <v>73.795877820834903</v>
      </c>
      <c r="AM6354">
        <v>89.239759421897602</v>
      </c>
      <c r="AN6354">
        <v>1.0000000207075499</v>
      </c>
    </row>
    <row r="6355" spans="1:40" x14ac:dyDescent="0.25">
      <c r="A6355" t="str">
        <f>"20190312154049600"</f>
        <v>20190312154049600</v>
      </c>
      <c r="B6355" t="str">
        <f>"1552376449592201"</f>
        <v>1552376449592201</v>
      </c>
      <c r="C6355" t="s">
        <v>40</v>
      </c>
      <c r="D6355">
        <v>3.7605740000000001</v>
      </c>
      <c r="E6355">
        <v>0.50782360000000004</v>
      </c>
      <c r="F6355" t="s">
        <v>55</v>
      </c>
      <c r="G6355">
        <v>-411.1044</v>
      </c>
      <c r="H6355" s="1">
        <v>-1.1475020000000001E-5</v>
      </c>
      <c r="I6355">
        <v>142.13570000000001</v>
      </c>
      <c r="J6355">
        <v>-349.20639999999997</v>
      </c>
      <c r="K6355">
        <v>1.111302</v>
      </c>
      <c r="L6355">
        <v>140.48179999999999</v>
      </c>
      <c r="M6355">
        <v>-0.99985210000000002</v>
      </c>
      <c r="N6355">
        <v>0</v>
      </c>
      <c r="O6355">
        <v>9.5572390000000004E-3</v>
      </c>
      <c r="P6355">
        <v>-0.96421129999999999</v>
      </c>
      <c r="Q6355">
        <v>0.264204299999999</v>
      </c>
      <c r="R6355">
        <v>2.2204700000000001E-2</v>
      </c>
      <c r="S6355">
        <v>-3.1257929999999998</v>
      </c>
      <c r="T6355">
        <v>-5.5840019999999997E-2</v>
      </c>
      <c r="U6355">
        <v>8.3251950000000005E-2</v>
      </c>
      <c r="V6355">
        <v>1.294813E-2</v>
      </c>
      <c r="W6355">
        <v>0.277978</v>
      </c>
      <c r="X6355">
        <v>0.96050020000000003</v>
      </c>
      <c r="Y6355">
        <v>1.7067180000000001E-2</v>
      </c>
      <c r="Z6355" s="1">
        <v>-1.829214E-5</v>
      </c>
      <c r="AA6355">
        <v>0.99985429999999997</v>
      </c>
      <c r="AB6355">
        <v>31</v>
      </c>
      <c r="AC6355">
        <v>-61.898000000000003</v>
      </c>
      <c r="AD6355">
        <v>-1.11131347502</v>
      </c>
      <c r="AE6355">
        <v>1.6539000000000199</v>
      </c>
      <c r="AF6355">
        <v>1.06184795336255</v>
      </c>
      <c r="AG6355">
        <v>-1.11131347502</v>
      </c>
      <c r="AH6355">
        <v>61.8910447948045</v>
      </c>
      <c r="AI6355">
        <v>91.028539169924599</v>
      </c>
      <c r="AJ6355">
        <v>89.017088206548195</v>
      </c>
      <c r="AK6355">
        <v>61.9101281254393</v>
      </c>
      <c r="AL6355">
        <v>73.8604380416444</v>
      </c>
      <c r="AM6355">
        <v>89.227664640724896</v>
      </c>
      <c r="AN6355">
        <v>1.0000000283772601</v>
      </c>
    </row>
    <row r="6356" spans="1:40" x14ac:dyDescent="0.25">
      <c r="A6356" t="str">
        <f>"20190312154049614"</f>
        <v>20190312154049614</v>
      </c>
      <c r="B6356" t="str">
        <f>"1552376449602938"</f>
        <v>1552376449602938</v>
      </c>
      <c r="C6356" t="s">
        <v>40</v>
      </c>
      <c r="D6356">
        <v>3.7663489999999999</v>
      </c>
      <c r="E6356">
        <v>0.50793659999999996</v>
      </c>
      <c r="F6356" t="s">
        <v>55</v>
      </c>
      <c r="G6356">
        <v>-411.27179999999998</v>
      </c>
      <c r="H6356" s="1">
        <v>-1.14723E-5</v>
      </c>
      <c r="I6356">
        <v>142.17359999999999</v>
      </c>
      <c r="J6356">
        <v>-349.42779999999999</v>
      </c>
      <c r="K6356">
        <v>1.111318</v>
      </c>
      <c r="L6356">
        <v>140.4838</v>
      </c>
      <c r="M6356">
        <v>-0.99985279999999999</v>
      </c>
      <c r="N6356">
        <v>0</v>
      </c>
      <c r="O6356">
        <v>9.4722920000000002E-3</v>
      </c>
      <c r="P6356">
        <v>-0.96410320000000005</v>
      </c>
      <c r="Q6356">
        <v>0.2645921</v>
      </c>
      <c r="R6356">
        <v>2.2270680000000001E-2</v>
      </c>
      <c r="S6356">
        <v>-3.1247250000000002</v>
      </c>
      <c r="T6356">
        <v>-5.5949810000000003E-2</v>
      </c>
      <c r="U6356">
        <v>8.5174559999999996E-2</v>
      </c>
      <c r="V6356">
        <v>1.308877E-2</v>
      </c>
      <c r="W6356">
        <v>0.27836280000000002</v>
      </c>
      <c r="X6356">
        <v>0.96038679999999998</v>
      </c>
      <c r="Y6356">
        <v>1.7775840000000001E-2</v>
      </c>
      <c r="Z6356" s="1">
        <v>-1.0470690000000001E-5</v>
      </c>
      <c r="AA6356">
        <v>0.99984200000000001</v>
      </c>
      <c r="AB6356">
        <v>31</v>
      </c>
      <c r="AC6356">
        <v>-61.844000000000001</v>
      </c>
      <c r="AD6356">
        <v>-1.1113294723</v>
      </c>
      <c r="AE6356">
        <v>1.68979999999999</v>
      </c>
      <c r="AF6356">
        <v>1.10350372148656</v>
      </c>
      <c r="AG6356">
        <v>-1.1113294723</v>
      </c>
      <c r="AH6356">
        <v>61.8372794375355</v>
      </c>
      <c r="AI6356">
        <v>91.029435673246397</v>
      </c>
      <c r="AJ6356">
        <v>88.977649142433506</v>
      </c>
      <c r="AK6356">
        <v>61.857108741802598</v>
      </c>
      <c r="AL6356">
        <v>73.837483976887697</v>
      </c>
      <c r="AM6356">
        <v>89.219184546830306</v>
      </c>
      <c r="AN6356">
        <v>0.99999998496909603</v>
      </c>
    </row>
    <row r="6357" spans="1:40" x14ac:dyDescent="0.25">
      <c r="A6357" t="str">
        <f>"20190312154049628"</f>
        <v>20190312154049628</v>
      </c>
      <c r="B6357" t="str">
        <f>"1552376449622458"</f>
        <v>1552376449622458</v>
      </c>
      <c r="C6357" t="s">
        <v>40</v>
      </c>
      <c r="D6357">
        <v>3.797876</v>
      </c>
      <c r="E6357">
        <v>0.50805909999999999</v>
      </c>
      <c r="F6357" t="s">
        <v>55</v>
      </c>
      <c r="G6357">
        <v>-415.17919999999998</v>
      </c>
      <c r="H6357" s="1">
        <v>-1.116289E-5</v>
      </c>
      <c r="I6357">
        <v>142.3056</v>
      </c>
      <c r="J6357">
        <v>-349.60230000000001</v>
      </c>
      <c r="K6357">
        <v>1.111327</v>
      </c>
      <c r="L6357">
        <v>140.4854</v>
      </c>
      <c r="M6357">
        <v>-0.99985369999999996</v>
      </c>
      <c r="N6357">
        <v>0</v>
      </c>
      <c r="O6357">
        <v>9.3967990000000008E-3</v>
      </c>
      <c r="P6357">
        <v>-0.96428670000000005</v>
      </c>
      <c r="Q6357">
        <v>0.26392690000000002</v>
      </c>
      <c r="R6357">
        <v>2.2223739999999999E-2</v>
      </c>
      <c r="S6357">
        <v>-3.1242369999999999</v>
      </c>
      <c r="T6357">
        <v>-5.2805779999999997E-2</v>
      </c>
      <c r="U6357">
        <v>8.6563109999999999E-2</v>
      </c>
      <c r="V6357">
        <v>1.310648E-2</v>
      </c>
      <c r="W6357">
        <v>0.27769860000000002</v>
      </c>
      <c r="X6357">
        <v>0.96057890000000001</v>
      </c>
      <c r="Y6357">
        <v>1.8299679999999999E-2</v>
      </c>
      <c r="Z6357" s="1">
        <v>-4.1822350000000003E-6</v>
      </c>
      <c r="AA6357">
        <v>0.99983259999999996</v>
      </c>
      <c r="AB6357">
        <v>31</v>
      </c>
      <c r="AC6357">
        <v>-65.576899999999895</v>
      </c>
      <c r="AD6357">
        <v>-1.1113381628900001</v>
      </c>
      <c r="AE6357">
        <v>1.8202</v>
      </c>
      <c r="AF6357">
        <v>1.2034983389256799</v>
      </c>
      <c r="AG6357">
        <v>-1.1113381628900001</v>
      </c>
      <c r="AH6357">
        <v>65.572291795402705</v>
      </c>
      <c r="AI6357">
        <v>90.970809009090502</v>
      </c>
      <c r="AJ6357">
        <v>88.948524866764501</v>
      </c>
      <c r="AK6357">
        <v>65.592750606035196</v>
      </c>
      <c r="AL6357">
        <v>73.877103086987105</v>
      </c>
      <c r="AM6357">
        <v>89.218284523360197</v>
      </c>
      <c r="AN6357">
        <v>1.0000000576925701</v>
      </c>
    </row>
    <row r="6358" spans="1:40" x14ac:dyDescent="0.25">
      <c r="A6358" t="str">
        <f>"20190312154049642"</f>
        <v>20190312154049642</v>
      </c>
      <c r="B6358" t="str">
        <f>"1552376449632218"</f>
        <v>1552376449632218</v>
      </c>
      <c r="C6358" t="s">
        <v>40</v>
      </c>
      <c r="D6358">
        <v>3.7629510000000002</v>
      </c>
      <c r="E6358">
        <v>0.50813569999999997</v>
      </c>
      <c r="F6358" t="s">
        <v>55</v>
      </c>
      <c r="G6358">
        <v>-416.22910000000002</v>
      </c>
      <c r="H6358" s="1">
        <v>-1.1089760000000001E-5</v>
      </c>
      <c r="I6358">
        <v>142.35990000000001</v>
      </c>
      <c r="J6358">
        <v>-349.80369999999999</v>
      </c>
      <c r="K6358">
        <v>1.1113329999999999</v>
      </c>
      <c r="L6358">
        <v>140.4872</v>
      </c>
      <c r="M6358">
        <v>-0.99985440000000003</v>
      </c>
      <c r="N6358">
        <v>0</v>
      </c>
      <c r="O6358">
        <v>9.3029789999999994E-3</v>
      </c>
      <c r="P6358">
        <v>-0.96433469999999999</v>
      </c>
      <c r="Q6358">
        <v>0.26370339999999998</v>
      </c>
      <c r="R6358">
        <v>2.2784200000000001E-2</v>
      </c>
      <c r="S6358">
        <v>-3.1233520000000001</v>
      </c>
      <c r="T6358">
        <v>-5.209768E-2</v>
      </c>
      <c r="U6358">
        <v>8.7875369999999994E-2</v>
      </c>
      <c r="V6358">
        <v>1.374943E-2</v>
      </c>
      <c r="W6358">
        <v>0.27747460000000002</v>
      </c>
      <c r="X6358">
        <v>0.96063460000000001</v>
      </c>
      <c r="Y6358">
        <v>1.8821029999999999E-2</v>
      </c>
      <c r="Z6358" s="1">
        <v>1.7841519999999999E-6</v>
      </c>
      <c r="AA6358">
        <v>0.99982289999999996</v>
      </c>
      <c r="AB6358">
        <v>31</v>
      </c>
      <c r="AC6358">
        <v>-66.425399999999996</v>
      </c>
      <c r="AD6358">
        <v>-1.11134408976</v>
      </c>
      <c r="AE6358">
        <v>1.8727</v>
      </c>
      <c r="AF6358">
        <v>1.2542508000120201</v>
      </c>
      <c r="AG6358">
        <v>-1.11134408976</v>
      </c>
      <c r="AH6358">
        <v>66.421370732333401</v>
      </c>
      <c r="AI6358">
        <v>90.958396941863001</v>
      </c>
      <c r="AJ6358">
        <v>88.918198514523198</v>
      </c>
      <c r="AK6358">
        <v>66.442506881643595</v>
      </c>
      <c r="AL6358">
        <v>73.890461688112893</v>
      </c>
      <c r="AM6358">
        <v>89.179989434399801</v>
      </c>
      <c r="AN6358">
        <v>1.00000001759382</v>
      </c>
    </row>
    <row r="6359" spans="1:40" x14ac:dyDescent="0.25">
      <c r="A6359" t="str">
        <f>"20190312154049659"</f>
        <v>20190312154049659</v>
      </c>
      <c r="B6359" t="str">
        <f>"1552376449652714"</f>
        <v>1552376449652714</v>
      </c>
      <c r="C6359" t="s">
        <v>40</v>
      </c>
      <c r="D6359">
        <v>3.7970009999999998</v>
      </c>
      <c r="E6359">
        <v>0.50830039999999999</v>
      </c>
      <c r="F6359" t="s">
        <v>55</v>
      </c>
      <c r="G6359">
        <v>-417.84679999999997</v>
      </c>
      <c r="H6359" s="1">
        <v>-1.097968E-5</v>
      </c>
      <c r="I6359">
        <v>142.4512</v>
      </c>
      <c r="J6359">
        <v>-350.02800000000002</v>
      </c>
      <c r="K6359">
        <v>1.1113420000000001</v>
      </c>
      <c r="L6359">
        <v>140.48920000000001</v>
      </c>
      <c r="M6359">
        <v>-0.99985559999999996</v>
      </c>
      <c r="N6359">
        <v>0</v>
      </c>
      <c r="O6359">
        <v>9.1866610000000005E-3</v>
      </c>
      <c r="P6359">
        <v>-0.96461359999999996</v>
      </c>
      <c r="Q6359">
        <v>0.26271040000000001</v>
      </c>
      <c r="R6359">
        <v>2.2453509999999999E-2</v>
      </c>
      <c r="S6359">
        <v>-3.1227719999999999</v>
      </c>
      <c r="T6359">
        <v>-5.1004050000000002E-2</v>
      </c>
      <c r="U6359">
        <v>9.0133669999999999E-2</v>
      </c>
      <c r="V6359">
        <v>1.351992E-2</v>
      </c>
      <c r="W6359">
        <v>0.27648349999999999</v>
      </c>
      <c r="X6359">
        <v>0.96092359999999999</v>
      </c>
      <c r="Y6359">
        <v>1.966495E-2</v>
      </c>
      <c r="Z6359" s="1">
        <v>1.053636E-5</v>
      </c>
      <c r="AA6359">
        <v>0.99980659999999999</v>
      </c>
      <c r="AB6359">
        <v>31</v>
      </c>
      <c r="AC6359">
        <v>-67.818799999999896</v>
      </c>
      <c r="AD6359">
        <v>-1.1113529796799999</v>
      </c>
      <c r="AE6359">
        <v>1.96199999999998</v>
      </c>
      <c r="AF6359">
        <v>1.3384660598182001</v>
      </c>
      <c r="AG6359">
        <v>-1.1113529796799999</v>
      </c>
      <c r="AH6359">
        <v>67.815767849240203</v>
      </c>
      <c r="AI6359">
        <v>90.938686425217696</v>
      </c>
      <c r="AJ6359">
        <v>88.869311618264405</v>
      </c>
      <c r="AK6359">
        <v>67.838079025137205</v>
      </c>
      <c r="AL6359">
        <v>73.949560051461404</v>
      </c>
      <c r="AM6359">
        <v>89.193917969440704</v>
      </c>
      <c r="AN6359">
        <v>1.000000039523</v>
      </c>
    </row>
    <row r="6360" spans="1:40" x14ac:dyDescent="0.25">
      <c r="A6360" t="str">
        <f>"20190312154049671"</f>
        <v>20190312154049671</v>
      </c>
      <c r="B6360" t="str">
        <f>"1552376449662474"</f>
        <v>1552376449662474</v>
      </c>
      <c r="C6360" t="s">
        <v>40</v>
      </c>
      <c r="D6360">
        <v>3.7850700000000002</v>
      </c>
      <c r="E6360">
        <v>0.50836179999999997</v>
      </c>
      <c r="F6360" t="s">
        <v>55</v>
      </c>
      <c r="G6360">
        <v>-418.14370000000002</v>
      </c>
      <c r="H6360" s="1">
        <v>-1.0959910000000001E-5</v>
      </c>
      <c r="I6360">
        <v>142.4691</v>
      </c>
      <c r="J6360">
        <v>-350.19959999999998</v>
      </c>
      <c r="K6360">
        <v>1.1113489999999999</v>
      </c>
      <c r="L6360">
        <v>140.4907</v>
      </c>
      <c r="M6360">
        <v>-0.99985659999999998</v>
      </c>
      <c r="N6360">
        <v>0</v>
      </c>
      <c r="O6360">
        <v>9.0866679999999991E-3</v>
      </c>
      <c r="P6360">
        <v>-0.96471660000000004</v>
      </c>
      <c r="Q6360">
        <v>0.26230150000000002</v>
      </c>
      <c r="R6360">
        <v>2.2805010000000001E-2</v>
      </c>
      <c r="S6360">
        <v>-3.1218569999999999</v>
      </c>
      <c r="T6360">
        <v>-5.0935149999999998E-2</v>
      </c>
      <c r="U6360">
        <v>9.0744019999999995E-2</v>
      </c>
      <c r="V6360">
        <v>1.3960419999999999E-2</v>
      </c>
      <c r="W6360">
        <v>0.27607530000000002</v>
      </c>
      <c r="X6360">
        <v>0.96103470000000002</v>
      </c>
      <c r="Y6360">
        <v>1.9968650000000001E-2</v>
      </c>
      <c r="Z6360" s="1">
        <v>1.463307E-5</v>
      </c>
      <c r="AA6360">
        <v>0.99980060000000004</v>
      </c>
      <c r="AB6360">
        <v>30</v>
      </c>
      <c r="AC6360">
        <v>-67.944100000000006</v>
      </c>
      <c r="AD6360">
        <v>-1.1113599599099999</v>
      </c>
      <c r="AE6360">
        <v>1.9783999999999899</v>
      </c>
      <c r="AF6360">
        <v>1.36050608227106</v>
      </c>
      <c r="AG6360">
        <v>-1.1113599599099999</v>
      </c>
      <c r="AH6360">
        <v>67.941110992009499</v>
      </c>
      <c r="AI6360">
        <v>90.936955493582104</v>
      </c>
      <c r="AJ6360">
        <v>88.8528177033335</v>
      </c>
      <c r="AK6360">
        <v>67.963818761080105</v>
      </c>
      <c r="AL6360">
        <v>73.973896042794394</v>
      </c>
      <c r="AM6360">
        <v>89.167754410016997</v>
      </c>
      <c r="AN6360">
        <v>1.0000000796003701</v>
      </c>
    </row>
    <row r="6361" spans="1:40" x14ac:dyDescent="0.25">
      <c r="A6361" t="str">
        <f>"20190312154049688"</f>
        <v>20190312154049688</v>
      </c>
      <c r="B6361" t="str">
        <f>"1552376449682975"</f>
        <v>1552376449682975</v>
      </c>
      <c r="C6361" t="s">
        <v>40</v>
      </c>
      <c r="D6361">
        <v>3.8060580000000002</v>
      </c>
      <c r="E6361">
        <v>0.50855050000000002</v>
      </c>
      <c r="F6361" t="s">
        <v>55</v>
      </c>
      <c r="G6361">
        <v>-418.53140000000002</v>
      </c>
      <c r="H6361" s="1">
        <v>-1.0942889999999999E-5</v>
      </c>
      <c r="I6361">
        <v>142.51759999999999</v>
      </c>
      <c r="J6361">
        <v>-350.41840000000002</v>
      </c>
      <c r="K6361">
        <v>1.111362</v>
      </c>
      <c r="L6361">
        <v>140.49250000000001</v>
      </c>
      <c r="M6361">
        <v>-0.99985780000000002</v>
      </c>
      <c r="N6361">
        <v>0</v>
      </c>
      <c r="O6361">
        <v>8.9512429999999994E-3</v>
      </c>
      <c r="P6361">
        <v>-0.964754</v>
      </c>
      <c r="Q6361">
        <v>0.26217620000000003</v>
      </c>
      <c r="R6361">
        <v>2.2664239999999999E-2</v>
      </c>
      <c r="S6361">
        <v>-3.1213380000000002</v>
      </c>
      <c r="T6361">
        <v>-5.0765989999999997E-2</v>
      </c>
      <c r="U6361">
        <v>9.2590329999999998E-2</v>
      </c>
      <c r="V6361">
        <v>1.3942349999999999E-2</v>
      </c>
      <c r="W6361">
        <v>0.27594879999999999</v>
      </c>
      <c r="X6361">
        <v>0.96107120000000001</v>
      </c>
      <c r="Y6361">
        <v>2.069967E-2</v>
      </c>
      <c r="Z6361" s="1">
        <v>2.2731809999999999E-5</v>
      </c>
      <c r="AA6361">
        <v>0.9997857</v>
      </c>
      <c r="AB6361">
        <v>30</v>
      </c>
      <c r="AC6361">
        <v>-68.113</v>
      </c>
      <c r="AD6361">
        <v>-1.1113729428899899</v>
      </c>
      <c r="AE6361">
        <v>2.0250999999999801</v>
      </c>
      <c r="AF6361">
        <v>1.41488420652503</v>
      </c>
      <c r="AG6361">
        <v>-1.1113729428899899</v>
      </c>
      <c r="AH6361">
        <v>68.110282537534701</v>
      </c>
      <c r="AI6361">
        <v>90.934625358991497</v>
      </c>
      <c r="AJ6361">
        <v>88.809941282668603</v>
      </c>
      <c r="AK6361">
        <v>68.134041671391202</v>
      </c>
      <c r="AL6361">
        <v>73.981435421489806</v>
      </c>
      <c r="AM6361">
        <v>89.168863057637296</v>
      </c>
      <c r="AN6361">
        <v>0.999999990407201</v>
      </c>
    </row>
    <row r="6362" spans="1:40" x14ac:dyDescent="0.25">
      <c r="A6362" t="str">
        <f>"20190312154049703"</f>
        <v>20190312154049703</v>
      </c>
      <c r="B6362" t="str">
        <f>"1552376449692730"</f>
        <v>1552376449692730</v>
      </c>
      <c r="C6362" t="s">
        <v>40</v>
      </c>
      <c r="D6362">
        <v>3.7603659999999999</v>
      </c>
      <c r="E6362">
        <v>0.50857629999999998</v>
      </c>
      <c r="F6362" t="s">
        <v>55</v>
      </c>
      <c r="G6362">
        <v>-422.44479999999999</v>
      </c>
      <c r="H6362" s="1">
        <v>-1.1308099999999999E-5</v>
      </c>
      <c r="I6362">
        <v>142.65819999999999</v>
      </c>
      <c r="J6362">
        <v>-350.63279999999997</v>
      </c>
      <c r="K6362">
        <v>1.111372</v>
      </c>
      <c r="L6362">
        <v>140.49430000000001</v>
      </c>
      <c r="M6362">
        <v>-0.99985919999999895</v>
      </c>
      <c r="N6362">
        <v>0</v>
      </c>
      <c r="O6362">
        <v>8.8102409999999999E-3</v>
      </c>
      <c r="P6362">
        <v>-0.9646962</v>
      </c>
      <c r="Q6362">
        <v>0.26238070000000002</v>
      </c>
      <c r="R6362">
        <v>2.2756330000000002E-2</v>
      </c>
      <c r="S6362">
        <v>-3.1204830000000001</v>
      </c>
      <c r="T6362">
        <v>-4.814935E-2</v>
      </c>
      <c r="U6362">
        <v>9.3826290000000007E-2</v>
      </c>
      <c r="V6362">
        <v>1.4164049999999999E-2</v>
      </c>
      <c r="W6362">
        <v>0.27615040000000002</v>
      </c>
      <c r="X6362">
        <v>0.96101009999999998</v>
      </c>
      <c r="Y6362">
        <v>2.1244490000000001E-2</v>
      </c>
      <c r="Z6362" s="1">
        <v>2.794334E-5</v>
      </c>
      <c r="AA6362">
        <v>0.9997743</v>
      </c>
      <c r="AB6362">
        <v>30</v>
      </c>
      <c r="AC6362">
        <v>-71.811999999999998</v>
      </c>
      <c r="AD6362">
        <v>-1.1113833081</v>
      </c>
      <c r="AE6362">
        <v>2.16389999999998</v>
      </c>
      <c r="AF6362">
        <v>1.5307041477447401</v>
      </c>
      <c r="AG6362">
        <v>-1.1113833081</v>
      </c>
      <c r="AH6362">
        <v>71.811094496243001</v>
      </c>
      <c r="AI6362">
        <v>90.886465138049005</v>
      </c>
      <c r="AJ6362">
        <v>88.778884952113103</v>
      </c>
      <c r="AK6362">
        <v>71.836004348751104</v>
      </c>
      <c r="AL6362">
        <v>73.969418405005896</v>
      </c>
      <c r="AM6362">
        <v>89.155595211801696</v>
      </c>
      <c r="AN6362">
        <v>1.00000003801728</v>
      </c>
    </row>
    <row r="6363" spans="1:40" x14ac:dyDescent="0.25">
      <c r="A6363" t="str">
        <f>"20190312154049716"</f>
        <v>20190312154049716</v>
      </c>
      <c r="B6363" t="str">
        <f>"1552376449712250"</f>
        <v>1552376449712250</v>
      </c>
      <c r="C6363" t="s">
        <v>40</v>
      </c>
      <c r="D6363">
        <v>3.8062830000000001</v>
      </c>
      <c r="E6363">
        <v>0.50854060000000001</v>
      </c>
      <c r="F6363" t="s">
        <v>55</v>
      </c>
      <c r="G6363">
        <v>-426.10930000000002</v>
      </c>
      <c r="H6363" s="1">
        <v>-1.189894E-5</v>
      </c>
      <c r="I6363">
        <v>142.7773</v>
      </c>
      <c r="J6363">
        <v>-350.80059999999997</v>
      </c>
      <c r="K6363">
        <v>1.1113820000000001</v>
      </c>
      <c r="L6363">
        <v>140.4957</v>
      </c>
      <c r="M6363">
        <v>-0.99986019999999998</v>
      </c>
      <c r="N6363">
        <v>0</v>
      </c>
      <c r="O6363">
        <v>8.6953329999999995E-3</v>
      </c>
      <c r="P6363">
        <v>-0.96457890000000002</v>
      </c>
      <c r="Q6363">
        <v>0.26281349999999998</v>
      </c>
      <c r="R6363">
        <v>2.273712E-2</v>
      </c>
      <c r="S6363">
        <v>-3.1200559999999999</v>
      </c>
      <c r="T6363">
        <v>-4.5942539999999997E-2</v>
      </c>
      <c r="U6363">
        <v>9.4375609999999999E-2</v>
      </c>
      <c r="V6363">
        <v>1.425186E-2</v>
      </c>
      <c r="W6363">
        <v>0.2765802</v>
      </c>
      <c r="X6363">
        <v>0.96088519999999999</v>
      </c>
      <c r="Y6363">
        <v>2.153944E-2</v>
      </c>
      <c r="Z6363" s="1">
        <v>3.0528870000000003E-5</v>
      </c>
      <c r="AA6363">
        <v>0.99976799999999999</v>
      </c>
      <c r="AB6363">
        <v>30</v>
      </c>
      <c r="AC6363">
        <v>-75.308700000000002</v>
      </c>
      <c r="AD6363">
        <v>-1.1113938989399901</v>
      </c>
      <c r="AE6363">
        <v>2.2815999999999899</v>
      </c>
      <c r="AF6363">
        <v>1.6262588434623499</v>
      </c>
      <c r="AG6363">
        <v>-1.1113938989399901</v>
      </c>
      <c r="AH6363">
        <v>75.309306793434303</v>
      </c>
      <c r="AI6363">
        <v>90.845296837190105</v>
      </c>
      <c r="AJ6363">
        <v>88.762924628330794</v>
      </c>
      <c r="AK6363">
        <v>75.335062248146798</v>
      </c>
      <c r="AL6363">
        <v>73.943794821014606</v>
      </c>
      <c r="AM6363">
        <v>89.1502506674843</v>
      </c>
      <c r="AN6363">
        <v>1.0000000450622599</v>
      </c>
    </row>
    <row r="6364" spans="1:40" x14ac:dyDescent="0.25">
      <c r="A6364" t="str">
        <f>"20190312154049731"</f>
        <v>20190312154049731</v>
      </c>
      <c r="B6364" t="str">
        <f>"1552376449722986"</f>
        <v>1552376449722986</v>
      </c>
      <c r="C6364" t="s">
        <v>40</v>
      </c>
      <c r="D6364">
        <v>3.7949769999999998</v>
      </c>
      <c r="E6364">
        <v>0.5083934</v>
      </c>
      <c r="F6364" t="s">
        <v>55</v>
      </c>
      <c r="G6364">
        <v>-432.18729999999999</v>
      </c>
      <c r="H6364" s="1">
        <v>-1.156647E-5</v>
      </c>
      <c r="I6364">
        <v>142.94820000000001</v>
      </c>
      <c r="J6364">
        <v>-351.01799999999997</v>
      </c>
      <c r="K6364">
        <v>1.1113759999999999</v>
      </c>
      <c r="L6364">
        <v>140.4974</v>
      </c>
      <c r="M6364">
        <v>-0.99986140000000001</v>
      </c>
      <c r="N6364">
        <v>0</v>
      </c>
      <c r="O6364">
        <v>8.5391159999999994E-3</v>
      </c>
      <c r="P6364">
        <v>-0.9649219</v>
      </c>
      <c r="Q6364">
        <v>0.26158629999999999</v>
      </c>
      <c r="R6364">
        <v>2.2324690000000001E-2</v>
      </c>
      <c r="S6364">
        <v>-3.1195680000000001</v>
      </c>
      <c r="T6364">
        <v>-4.2599919999999999E-2</v>
      </c>
      <c r="U6364">
        <v>9.4009400000000007E-2</v>
      </c>
      <c r="V6364">
        <v>1.398245E-2</v>
      </c>
      <c r="W6364">
        <v>0.27535559999999998</v>
      </c>
      <c r="X6364">
        <v>0.96124080000000001</v>
      </c>
      <c r="Y6364">
        <v>2.1583290000000002E-2</v>
      </c>
      <c r="Z6364" s="1">
        <v>3.0744400000000003E-5</v>
      </c>
      <c r="AA6364">
        <v>0.99976710000000002</v>
      </c>
      <c r="AB6364">
        <v>30</v>
      </c>
      <c r="AC6364">
        <v>-81.169299999999893</v>
      </c>
      <c r="AD6364">
        <v>-1.1113875664699999</v>
      </c>
      <c r="AE6364">
        <v>2.4508000000000099</v>
      </c>
      <c r="AF6364">
        <v>1.7571966263290899</v>
      </c>
      <c r="AG6364">
        <v>-1.1113875664699999</v>
      </c>
      <c r="AH6364">
        <v>81.172065837937893</v>
      </c>
      <c r="AI6364">
        <v>90.784246712344398</v>
      </c>
      <c r="AJ6364">
        <v>88.759866134703898</v>
      </c>
      <c r="AK6364">
        <v>81.198689611994396</v>
      </c>
      <c r="AL6364">
        <v>74.016794030648001</v>
      </c>
      <c r="AM6364">
        <v>89.166619982803198</v>
      </c>
      <c r="AN6364">
        <v>1.0000000454719999</v>
      </c>
    </row>
    <row r="6365" spans="1:40" x14ac:dyDescent="0.25">
      <c r="A6365" t="str">
        <f>"20190312154049749"</f>
        <v>20190312154049749</v>
      </c>
      <c r="B6365" t="str">
        <f>"1552376449742506"</f>
        <v>1552376449742506</v>
      </c>
      <c r="C6365" t="s">
        <v>40</v>
      </c>
      <c r="D6365">
        <v>3.8250220000000001</v>
      </c>
      <c r="E6365">
        <v>0.50842719999999997</v>
      </c>
      <c r="F6365" t="s">
        <v>55</v>
      </c>
      <c r="G6365">
        <v>-427.45479999999998</v>
      </c>
      <c r="H6365" s="1">
        <v>-1.20757E-5</v>
      </c>
      <c r="I6365">
        <v>142.7345</v>
      </c>
      <c r="J6365">
        <v>-351.25080000000003</v>
      </c>
      <c r="K6365">
        <v>1.1113820000000001</v>
      </c>
      <c r="L6365">
        <v>140.4992</v>
      </c>
      <c r="M6365">
        <v>-0.99986299999999995</v>
      </c>
      <c r="N6365">
        <v>0</v>
      </c>
      <c r="O6365">
        <v>8.3669439999999994E-3</v>
      </c>
      <c r="P6365">
        <v>-0.96533219999999997</v>
      </c>
      <c r="Q6365">
        <v>0.26010369999999999</v>
      </c>
      <c r="R6365">
        <v>2.1900469999999998E-2</v>
      </c>
      <c r="S6365">
        <v>-3.1192319999999998</v>
      </c>
      <c r="T6365">
        <v>-4.5353530000000003E-2</v>
      </c>
      <c r="U6365">
        <v>9.1293330000000006E-2</v>
      </c>
      <c r="V6365">
        <v>1.3716870000000001E-2</v>
      </c>
      <c r="W6365">
        <v>0.27387739999999999</v>
      </c>
      <c r="X6365">
        <v>0.96166680000000004</v>
      </c>
      <c r="Y6365">
        <v>2.0888799999999999E-2</v>
      </c>
      <c r="Z6365" s="1">
        <v>3.019042E-5</v>
      </c>
      <c r="AA6365">
        <v>0.99978180000000005</v>
      </c>
      <c r="AB6365">
        <v>30</v>
      </c>
      <c r="AC6365">
        <v>-76.203999999999894</v>
      </c>
      <c r="AD6365">
        <v>-1.11139407569999</v>
      </c>
      <c r="AE6365">
        <v>2.2352999999999899</v>
      </c>
      <c r="AF6365">
        <v>1.5972226559234799</v>
      </c>
      <c r="AG6365">
        <v>-1.11139407569999</v>
      </c>
      <c r="AH6365">
        <v>76.203841475325703</v>
      </c>
      <c r="AI6365">
        <v>90.835386963028597</v>
      </c>
      <c r="AJ6365">
        <v>88.799263689647503</v>
      </c>
      <c r="AK6365">
        <v>76.228680774369096</v>
      </c>
      <c r="AL6365">
        <v>74.104874431520301</v>
      </c>
      <c r="AM6365">
        <v>89.182808986581094</v>
      </c>
      <c r="AN6365">
        <v>1.00000000848779</v>
      </c>
    </row>
    <row r="6366" spans="1:40" x14ac:dyDescent="0.25">
      <c r="A6366" t="str">
        <f>"20190312154049763"</f>
        <v>20190312154049763</v>
      </c>
      <c r="B6366" t="str">
        <f>"1552376449752266"</f>
        <v>1552376449752266</v>
      </c>
      <c r="C6366" t="s">
        <v>40</v>
      </c>
      <c r="D6366">
        <v>3.8153060000000001</v>
      </c>
      <c r="E6366">
        <v>0.50839480000000004</v>
      </c>
      <c r="F6366" t="s">
        <v>55</v>
      </c>
      <c r="G6366">
        <v>-422.26479999999998</v>
      </c>
      <c r="H6366" s="1">
        <v>-1.123968E-5</v>
      </c>
      <c r="I6366">
        <v>142.55430000000001</v>
      </c>
      <c r="J6366">
        <v>-351.43430000000001</v>
      </c>
      <c r="K6366">
        <v>1.111378</v>
      </c>
      <c r="L6366">
        <v>140.50059999999999</v>
      </c>
      <c r="M6366">
        <v>-0.99986410000000003</v>
      </c>
      <c r="N6366">
        <v>0</v>
      </c>
      <c r="O6366">
        <v>8.2287269999999999E-3</v>
      </c>
      <c r="P6366">
        <v>-0.96578980000000003</v>
      </c>
      <c r="Q6366">
        <v>0.25840259999999998</v>
      </c>
      <c r="R6366">
        <v>2.1869880000000001E-2</v>
      </c>
      <c r="S6366">
        <v>-3.1188959999999999</v>
      </c>
      <c r="T6366">
        <v>-4.8811790000000001E-2</v>
      </c>
      <c r="U6366">
        <v>9.0255740000000001E-2</v>
      </c>
      <c r="V6366">
        <v>1.381402E-2</v>
      </c>
      <c r="W6366">
        <v>0.27218109999999901</v>
      </c>
      <c r="X6366">
        <v>0.96214690000000003</v>
      </c>
      <c r="Y6366">
        <v>2.069762E-2</v>
      </c>
      <c r="Z6366" s="1">
        <v>3.3162849999999997E-5</v>
      </c>
      <c r="AA6366">
        <v>0.99978579999999995</v>
      </c>
      <c r="AB6366">
        <v>30</v>
      </c>
      <c r="AC6366">
        <v>-70.830499999999901</v>
      </c>
      <c r="AD6366">
        <v>-1.11138923968</v>
      </c>
      <c r="AE6366">
        <v>2.0537000000000201</v>
      </c>
      <c r="AF6366">
        <v>1.47036442455002</v>
      </c>
      <c r="AG6366">
        <v>-1.11138923968</v>
      </c>
      <c r="AH6366">
        <v>70.827579244005193</v>
      </c>
      <c r="AI6366">
        <v>90.898787932680804</v>
      </c>
      <c r="AJ6366">
        <v>88.810723485124697</v>
      </c>
      <c r="AK6366">
        <v>70.851557069332699</v>
      </c>
      <c r="AL6366">
        <v>74.2059039648057</v>
      </c>
      <c r="AM6366">
        <v>89.177432608398604</v>
      </c>
      <c r="AN6366">
        <v>1.00000001776269</v>
      </c>
    </row>
    <row r="6367" spans="1:40" x14ac:dyDescent="0.25">
      <c r="A6367" t="str">
        <f>"20190312154049778"</f>
        <v>20190312154049778</v>
      </c>
      <c r="B6367" t="str">
        <f>"1552376449772762"</f>
        <v>1552376449772762</v>
      </c>
      <c r="C6367" t="s">
        <v>40</v>
      </c>
      <c r="D6367">
        <v>3.8527100000000001</v>
      </c>
      <c r="E6367">
        <v>0.50835240000000004</v>
      </c>
      <c r="F6367" t="s">
        <v>55</v>
      </c>
      <c r="G6367">
        <v>-415.83710000000002</v>
      </c>
      <c r="H6367" s="1">
        <v>-1.112423E-5</v>
      </c>
      <c r="I6367">
        <v>142.36000000000001</v>
      </c>
      <c r="J6367">
        <v>-351.63119999999998</v>
      </c>
      <c r="K6367">
        <v>1.1113690000000001</v>
      </c>
      <c r="L6367">
        <v>140.50210000000001</v>
      </c>
      <c r="M6367">
        <v>-0.99986540000000002</v>
      </c>
      <c r="N6367">
        <v>0</v>
      </c>
      <c r="O6367">
        <v>8.0789590000000001E-3</v>
      </c>
      <c r="P6367">
        <v>-0.96664039999999996</v>
      </c>
      <c r="Q6367">
        <v>0.25524289999999999</v>
      </c>
      <c r="R6367">
        <v>2.1396100000000001E-2</v>
      </c>
      <c r="S6367">
        <v>-3.118652</v>
      </c>
      <c r="T6367">
        <v>-5.3818110000000002E-2</v>
      </c>
      <c r="U6367">
        <v>9.0042109999999995E-2</v>
      </c>
      <c r="V6367">
        <v>1.3477050000000001E-2</v>
      </c>
      <c r="W6367">
        <v>0.26903159999999998</v>
      </c>
      <c r="X6367">
        <v>0.96303709999999998</v>
      </c>
      <c r="Y6367">
        <v>2.078085E-2</v>
      </c>
      <c r="Z6367" s="1">
        <v>3.9868299999999999E-5</v>
      </c>
      <c r="AA6367">
        <v>0.99978409999999995</v>
      </c>
      <c r="AB6367">
        <v>30</v>
      </c>
      <c r="AC6367">
        <v>-64.2059</v>
      </c>
      <c r="AD6367">
        <v>-1.1113801242299901</v>
      </c>
      <c r="AE6367">
        <v>1.8579000000000001</v>
      </c>
      <c r="AF6367">
        <v>1.33866886572516</v>
      </c>
      <c r="AG6367">
        <v>-1.1113801242299901</v>
      </c>
      <c r="AH6367">
        <v>64.199596028387703</v>
      </c>
      <c r="AI6367">
        <v>90.991551350583904</v>
      </c>
      <c r="AJ6367">
        <v>88.805460351515194</v>
      </c>
      <c r="AK6367">
        <v>64.223168174115898</v>
      </c>
      <c r="AL6367">
        <v>74.393351166557395</v>
      </c>
      <c r="AM6367">
        <v>89.198236824766695</v>
      </c>
      <c r="AN6367">
        <v>1.0000000443258299</v>
      </c>
    </row>
    <row r="6368" spans="1:40" x14ac:dyDescent="0.25">
      <c r="A6368" t="str">
        <f>"20190312154049801"</f>
        <v>20190312154049801</v>
      </c>
      <c r="B6368" t="str">
        <f>"1552376449792691"</f>
        <v>1552376449792691</v>
      </c>
      <c r="C6368" t="s">
        <v>40</v>
      </c>
      <c r="D6368">
        <v>3.873577</v>
      </c>
      <c r="E6368">
        <v>0.50840850000000004</v>
      </c>
      <c r="F6368" t="s">
        <v>55</v>
      </c>
      <c r="G6368">
        <v>-407.20339999999999</v>
      </c>
      <c r="H6368" s="1">
        <v>-9.9739419999999994E-6</v>
      </c>
      <c r="I6368">
        <v>142.077</v>
      </c>
      <c r="J6368">
        <v>-351.94589999999999</v>
      </c>
      <c r="K6368">
        <v>1.111361</v>
      </c>
      <c r="L6368">
        <v>140.5044</v>
      </c>
      <c r="M6368">
        <v>-0.99986739999999996</v>
      </c>
      <c r="N6368">
        <v>0</v>
      </c>
      <c r="O6368">
        <v>7.8368229999999997E-3</v>
      </c>
      <c r="P6368">
        <v>-0.96692730000000005</v>
      </c>
      <c r="Q6368">
        <v>0.25409530000000002</v>
      </c>
      <c r="R6368">
        <v>2.208222E-2</v>
      </c>
      <c r="S6368">
        <v>-3.1180110000000001</v>
      </c>
      <c r="T6368">
        <v>-6.2356469999999997E-2</v>
      </c>
      <c r="U6368">
        <v>8.8363650000000002E-2</v>
      </c>
      <c r="V6368">
        <v>1.439328E-2</v>
      </c>
      <c r="W6368">
        <v>0.2678855</v>
      </c>
      <c r="X6368">
        <v>0.96334330000000001</v>
      </c>
      <c r="Y6368">
        <v>2.0490499999999998E-2</v>
      </c>
      <c r="Z6368" s="1">
        <v>4.8140719999999999E-5</v>
      </c>
      <c r="AA6368">
        <v>0.99979010000000001</v>
      </c>
      <c r="AB6368">
        <v>30</v>
      </c>
      <c r="AC6368">
        <v>-55.257499999999901</v>
      </c>
      <c r="AD6368">
        <v>-1.1113709739419999</v>
      </c>
      <c r="AE6368">
        <v>1.57259999999999</v>
      </c>
      <c r="AF6368">
        <v>1.1390039522558699</v>
      </c>
      <c r="AG6368">
        <v>-1.1113709739419999</v>
      </c>
      <c r="AH6368">
        <v>55.2457985100366</v>
      </c>
      <c r="AI6368">
        <v>91.152209884348693</v>
      </c>
      <c r="AJ6368">
        <v>88.8188988682396</v>
      </c>
      <c r="AK6368">
        <v>55.268713830308599</v>
      </c>
      <c r="AL6368">
        <v>74.461520524218898</v>
      </c>
      <c r="AM6368">
        <v>89.144009367295197</v>
      </c>
      <c r="AN6368">
        <v>1.00000006063714</v>
      </c>
    </row>
    <row r="6369" spans="1:40" x14ac:dyDescent="0.25">
      <c r="A6369" t="str">
        <f>"20190312154049821"</f>
        <v>20190312154049821</v>
      </c>
      <c r="B6369" t="str">
        <f>"1552376449812210"</f>
        <v>1552376449812210</v>
      </c>
      <c r="C6369" t="s">
        <v>40</v>
      </c>
      <c r="D6369">
        <v>3.8753190000000002</v>
      </c>
      <c r="E6369">
        <v>0.5084282</v>
      </c>
      <c r="F6369" t="s">
        <v>55</v>
      </c>
      <c r="G6369">
        <v>-405.27210000000002</v>
      </c>
      <c r="H6369" s="1">
        <v>-8.7627850000000008E-6</v>
      </c>
      <c r="I6369">
        <v>142.05549999999999</v>
      </c>
      <c r="J6369">
        <v>-352.23500000000001</v>
      </c>
      <c r="K6369">
        <v>1.1113550000000001</v>
      </c>
      <c r="L6369">
        <v>140.50640000000001</v>
      </c>
      <c r="M6369">
        <v>-0.99986920000000001</v>
      </c>
      <c r="N6369">
        <v>0</v>
      </c>
      <c r="O6369">
        <v>7.6144389999999998E-3</v>
      </c>
      <c r="P6369">
        <v>-0.96755709999999995</v>
      </c>
      <c r="Q6369">
        <v>0.251689</v>
      </c>
      <c r="R6369">
        <v>2.2044629999999999E-2</v>
      </c>
      <c r="S6369">
        <v>-3.1176149999999998</v>
      </c>
      <c r="T6369">
        <v>-6.4974069999999995E-2</v>
      </c>
      <c r="U6369">
        <v>9.0682979999999996E-2</v>
      </c>
      <c r="V6369">
        <v>1.4565750000000001E-2</v>
      </c>
      <c r="W6369">
        <v>0.26548509999999997</v>
      </c>
      <c r="X6369">
        <v>0.96400490000000005</v>
      </c>
      <c r="Y6369">
        <v>2.1459160000000001E-2</v>
      </c>
      <c r="Z6369" s="1">
        <v>6.4891090000000006E-5</v>
      </c>
      <c r="AA6369">
        <v>0.99976969999999998</v>
      </c>
      <c r="AB6369">
        <v>30</v>
      </c>
      <c r="AC6369">
        <v>-53.037100000000002</v>
      </c>
      <c r="AD6369">
        <v>-1.1113637627849999</v>
      </c>
      <c r="AE6369">
        <v>1.5490999999999799</v>
      </c>
      <c r="AF6369">
        <v>1.14466401932992</v>
      </c>
      <c r="AG6369">
        <v>-1.1113637627849999</v>
      </c>
      <c r="AH6369">
        <v>53.024096383962899</v>
      </c>
      <c r="AI6369">
        <v>91.200441115051802</v>
      </c>
      <c r="AJ6369">
        <v>88.763312595816998</v>
      </c>
      <c r="AK6369">
        <v>53.0480931086705</v>
      </c>
      <c r="AL6369">
        <v>74.604220075095597</v>
      </c>
      <c r="AM6369">
        <v>89.134348280555599</v>
      </c>
      <c r="AN6369">
        <v>0.99999997330954005</v>
      </c>
    </row>
    <row r="6370" spans="1:40" x14ac:dyDescent="0.25">
      <c r="A6370" t="str">
        <f>"20190312154049844"</f>
        <v>20190312154049844</v>
      </c>
      <c r="B6370" t="str">
        <f>"1552376449832706"</f>
        <v>1552376449832706</v>
      </c>
      <c r="C6370" t="s">
        <v>40</v>
      </c>
      <c r="D6370">
        <v>3.8880970000000001</v>
      </c>
      <c r="E6370">
        <v>0.50854160000000004</v>
      </c>
      <c r="F6370" t="s">
        <v>55</v>
      </c>
      <c r="G6370">
        <v>-400.96949999999998</v>
      </c>
      <c r="H6370" s="1">
        <v>-6.7425250000000003E-6</v>
      </c>
      <c r="I6370">
        <v>141.9194</v>
      </c>
      <c r="J6370">
        <v>-352.52589999999998</v>
      </c>
      <c r="K6370">
        <v>1.1113440000000001</v>
      </c>
      <c r="L6370">
        <v>140.50839999999999</v>
      </c>
      <c r="M6370">
        <v>-0.99987090000000001</v>
      </c>
      <c r="N6370">
        <v>0</v>
      </c>
      <c r="O6370">
        <v>7.3909419999999898E-3</v>
      </c>
      <c r="P6370">
        <v>-0.96839090000000005</v>
      </c>
      <c r="Q6370">
        <v>0.24847030000000001</v>
      </c>
      <c r="R6370">
        <v>2.1952180000000002E-2</v>
      </c>
      <c r="S6370">
        <v>-3.117035</v>
      </c>
      <c r="T6370">
        <v>-7.1082229999999996E-2</v>
      </c>
      <c r="U6370">
        <v>9.0377810000000003E-2</v>
      </c>
      <c r="V6370">
        <v>1.4684279999999999E-2</v>
      </c>
      <c r="W6370">
        <v>0.2622757</v>
      </c>
      <c r="X6370">
        <v>0.96488119999999999</v>
      </c>
      <c r="Y6370">
        <v>2.1589549999999999E-2</v>
      </c>
      <c r="Z6370" s="1">
        <v>7.7584629999999998E-5</v>
      </c>
      <c r="AA6370">
        <v>0.99976690000000001</v>
      </c>
      <c r="AB6370">
        <v>30</v>
      </c>
      <c r="AC6370">
        <v>-48.443600000000004</v>
      </c>
      <c r="AD6370">
        <v>-1.111350742525</v>
      </c>
      <c r="AE6370">
        <v>1.411</v>
      </c>
      <c r="AF6370">
        <v>1.05232780261833</v>
      </c>
      <c r="AG6370">
        <v>-1.111350742525</v>
      </c>
      <c r="AH6370">
        <v>48.427240828633302</v>
      </c>
      <c r="AI6370">
        <v>91.314332817018794</v>
      </c>
      <c r="AJ6370">
        <v>88.755154057566003</v>
      </c>
      <c r="AK6370">
        <v>48.451420500863797</v>
      </c>
      <c r="AL6370">
        <v>74.794862146939707</v>
      </c>
      <c r="AM6370">
        <v>89.128097507390393</v>
      </c>
      <c r="AN6370">
        <v>0.99999995050152202</v>
      </c>
    </row>
    <row r="6371" spans="1:40" x14ac:dyDescent="0.25">
      <c r="A6371" t="str">
        <f>"20190312154049860"</f>
        <v>20190312154049860</v>
      </c>
      <c r="B6371" t="str">
        <f>"1552376449852226"</f>
        <v>1552376449852226</v>
      </c>
      <c r="C6371" t="s">
        <v>40</v>
      </c>
      <c r="D6371">
        <v>3.9190809999999998</v>
      </c>
      <c r="E6371">
        <v>0.50866369999999905</v>
      </c>
      <c r="F6371" t="s">
        <v>42</v>
      </c>
      <c r="G6371">
        <v>-396.00560000000002</v>
      </c>
      <c r="H6371" s="1">
        <v>-2.2704049999999998E-6</v>
      </c>
      <c r="I6371">
        <v>141.77539999999999</v>
      </c>
      <c r="J6371">
        <v>-352.74119999999999</v>
      </c>
      <c r="K6371">
        <v>1.1113379999999999</v>
      </c>
      <c r="L6371">
        <v>140.50980000000001</v>
      </c>
      <c r="M6371">
        <v>-0.99987210000000004</v>
      </c>
      <c r="N6371">
        <v>0</v>
      </c>
      <c r="O6371">
        <v>7.2260419999999898E-3</v>
      </c>
      <c r="P6371">
        <v>-0.96887590000000001</v>
      </c>
      <c r="Q6371">
        <v>0.2465618</v>
      </c>
      <c r="R6371">
        <v>2.206704E-2</v>
      </c>
      <c r="S6371">
        <v>-3.1162719999999999</v>
      </c>
      <c r="T6371">
        <v>-7.9652310000000004E-2</v>
      </c>
      <c r="U6371">
        <v>9.0820310000000001E-2</v>
      </c>
      <c r="V6371">
        <v>1.4956179999999999E-2</v>
      </c>
      <c r="W6371">
        <v>0.26037250000000001</v>
      </c>
      <c r="X6371">
        <v>0.96539240000000004</v>
      </c>
      <c r="Y6371">
        <v>2.1902270000000001E-2</v>
      </c>
      <c r="Z6371" s="1">
        <v>9.5165420000000003E-5</v>
      </c>
      <c r="AA6371">
        <v>0.99976010000000004</v>
      </c>
      <c r="AB6371">
        <v>30</v>
      </c>
      <c r="AC6371">
        <v>-43.264400000000002</v>
      </c>
      <c r="AD6371">
        <v>-1.1113402704049999</v>
      </c>
      <c r="AE6371">
        <v>1.2655999999999701</v>
      </c>
      <c r="AF6371">
        <v>0.95227694897764603</v>
      </c>
      <c r="AG6371">
        <v>-1.1113402704049999</v>
      </c>
      <c r="AH6371">
        <v>43.243907149218202</v>
      </c>
      <c r="AI6371">
        <v>91.471783553503201</v>
      </c>
      <c r="AJ6371">
        <v>88.738489724477404</v>
      </c>
      <c r="AK6371">
        <v>43.268665499578198</v>
      </c>
      <c r="AL6371">
        <v>74.907833975051602</v>
      </c>
      <c r="AM6371">
        <v>89.112425741182605</v>
      </c>
      <c r="AN6371">
        <v>1.0000000060270999</v>
      </c>
    </row>
    <row r="6372" spans="1:40" x14ac:dyDescent="0.25">
      <c r="A6372" t="str">
        <f>"20190312154049872"</f>
        <v>20190312154049872</v>
      </c>
      <c r="B6372" t="str">
        <f>"1552376449862962"</f>
        <v>1552376449862962</v>
      </c>
      <c r="C6372" t="s">
        <v>40</v>
      </c>
      <c r="D6372">
        <v>3.8868779999999998</v>
      </c>
      <c r="E6372">
        <v>0.50868539999999995</v>
      </c>
      <c r="F6372" t="s">
        <v>42</v>
      </c>
      <c r="G6372">
        <v>-393.6635</v>
      </c>
      <c r="H6372" s="1">
        <v>-3.259426E-6</v>
      </c>
      <c r="I6372">
        <v>141.71629999999999</v>
      </c>
      <c r="J6372">
        <v>-352.91910000000001</v>
      </c>
      <c r="K6372">
        <v>1.1113299999999999</v>
      </c>
      <c r="L6372">
        <v>140.51089999999999</v>
      </c>
      <c r="M6372">
        <v>-0.99987320000000002</v>
      </c>
      <c r="N6372">
        <v>0</v>
      </c>
      <c r="O6372">
        <v>7.0899869999999999E-3</v>
      </c>
      <c r="P6372">
        <v>-0.96915499999999999</v>
      </c>
      <c r="Q6372">
        <v>0.24547179999999999</v>
      </c>
      <c r="R6372">
        <v>2.1970719999999999E-2</v>
      </c>
      <c r="S6372">
        <v>-3.1158139999999999</v>
      </c>
      <c r="T6372">
        <v>-8.461726E-2</v>
      </c>
      <c r="U6372">
        <v>9.1873170000000004E-2</v>
      </c>
      <c r="V6372">
        <v>1.499035E-2</v>
      </c>
      <c r="W6372">
        <v>0.25928449999999997</v>
      </c>
      <c r="X6372">
        <v>0.96568469999999995</v>
      </c>
      <c r="Y6372">
        <v>2.2379280000000001E-2</v>
      </c>
      <c r="Z6372">
        <v>1.1127769999999999E-4</v>
      </c>
      <c r="AA6372">
        <v>0.99974949999999996</v>
      </c>
      <c r="AB6372">
        <v>30</v>
      </c>
      <c r="AC6372">
        <v>-40.744399999999899</v>
      </c>
      <c r="AD6372">
        <v>-1.1113332594259999</v>
      </c>
      <c r="AE6372">
        <v>1.20539999999999</v>
      </c>
      <c r="AF6372">
        <v>0.91578234485655996</v>
      </c>
      <c r="AG6372">
        <v>-1.1113332594259999</v>
      </c>
      <c r="AH6372">
        <v>40.721653838981197</v>
      </c>
      <c r="AI6372">
        <v>91.562874162506006</v>
      </c>
      <c r="AJ6372">
        <v>88.711702117939495</v>
      </c>
      <c r="AK6372">
        <v>40.747107999199997</v>
      </c>
      <c r="AL6372">
        <v>74.972389635856203</v>
      </c>
      <c r="AM6372">
        <v>89.110667476043602</v>
      </c>
      <c r="AN6372">
        <v>1.0000000511737299</v>
      </c>
    </row>
    <row r="6373" spans="1:40" x14ac:dyDescent="0.25">
      <c r="A6373" t="str">
        <f>"20190312154049885"</f>
        <v>20190312154049885</v>
      </c>
      <c r="B6373" t="str">
        <f>"1552376449882483"</f>
        <v>1552376449882483</v>
      </c>
      <c r="C6373" t="s">
        <v>40</v>
      </c>
      <c r="D6373">
        <v>3.937627</v>
      </c>
      <c r="E6373">
        <v>0.50876639999999995</v>
      </c>
      <c r="F6373" t="s">
        <v>42</v>
      </c>
      <c r="G6373">
        <v>-392.61020000000002</v>
      </c>
      <c r="H6373" s="1">
        <v>-3.7010990000000002E-6</v>
      </c>
      <c r="I6373">
        <v>141.67789999999999</v>
      </c>
      <c r="J6373">
        <v>-353.08620000000002</v>
      </c>
      <c r="K6373">
        <v>1.1113230000000001</v>
      </c>
      <c r="L6373">
        <v>140.512</v>
      </c>
      <c r="M6373">
        <v>-0.99987409999999999</v>
      </c>
      <c r="N6373">
        <v>0</v>
      </c>
      <c r="O6373">
        <v>6.9625149999999998E-3</v>
      </c>
      <c r="P6373">
        <v>-0.96944059999999999</v>
      </c>
      <c r="Q6373">
        <v>0.2443804</v>
      </c>
      <c r="R6373">
        <v>2.153039E-2</v>
      </c>
      <c r="S6373">
        <v>-3.1155400000000002</v>
      </c>
      <c r="T6373">
        <v>-8.7233899999999906E-2</v>
      </c>
      <c r="U6373">
        <v>9.1613769999999997E-2</v>
      </c>
      <c r="V6373">
        <v>1.46721E-2</v>
      </c>
      <c r="W6373">
        <v>0.25819560000000003</v>
      </c>
      <c r="X6373">
        <v>0.96598119999999998</v>
      </c>
      <c r="Y6373">
        <v>2.242574E-2</v>
      </c>
      <c r="Z6373">
        <v>1.189457E-4</v>
      </c>
      <c r="AA6373">
        <v>0.99974850000000004</v>
      </c>
      <c r="AB6373">
        <v>30</v>
      </c>
      <c r="AC6373">
        <v>-39.524000000000001</v>
      </c>
      <c r="AD6373">
        <v>-1.111326701099</v>
      </c>
      <c r="AE6373">
        <v>1.1658999999999899</v>
      </c>
      <c r="AF6373">
        <v>0.88995431948874304</v>
      </c>
      <c r="AG6373">
        <v>-1.111326701099</v>
      </c>
      <c r="AH6373">
        <v>39.4999583510848</v>
      </c>
      <c r="AI6373">
        <v>91.611176237886099</v>
      </c>
      <c r="AJ6373">
        <v>88.709315067680805</v>
      </c>
      <c r="AK6373">
        <v>39.525609109345702</v>
      </c>
      <c r="AL6373">
        <v>75.036977036395996</v>
      </c>
      <c r="AM6373">
        <v>89.129812495668801</v>
      </c>
      <c r="AN6373">
        <v>0.99999995856560397</v>
      </c>
    </row>
    <row r="6374" spans="1:40" x14ac:dyDescent="0.25">
      <c r="A6374" t="str">
        <f>"20190312154049901"</f>
        <v>20190312154049901</v>
      </c>
      <c r="B6374" t="str">
        <f>"1552376449892242"</f>
        <v>1552376449892242</v>
      </c>
      <c r="C6374" t="s">
        <v>40</v>
      </c>
      <c r="D6374">
        <v>3.9402309999999998</v>
      </c>
      <c r="E6374">
        <v>0.50884160000000001</v>
      </c>
      <c r="F6374" t="s">
        <v>42</v>
      </c>
      <c r="G6374">
        <v>-391.95359999999999</v>
      </c>
      <c r="H6374" s="1">
        <v>-3.9715900000000004E-6</v>
      </c>
      <c r="I6374">
        <v>141.64779999999999</v>
      </c>
      <c r="J6374">
        <v>-353.2996</v>
      </c>
      <c r="K6374">
        <v>1.111316</v>
      </c>
      <c r="L6374">
        <v>140.51329999999999</v>
      </c>
      <c r="M6374">
        <v>-0.99987510000000002</v>
      </c>
      <c r="N6374">
        <v>0</v>
      </c>
      <c r="O6374">
        <v>6.8002419999999997E-3</v>
      </c>
      <c r="P6374">
        <v>-0.96979490000000002</v>
      </c>
      <c r="Q6374">
        <v>0.2430184</v>
      </c>
      <c r="R6374">
        <v>2.0972729999999998E-2</v>
      </c>
      <c r="S6374">
        <v>-3.1149900000000001</v>
      </c>
      <c r="T6374">
        <v>-8.9066389999999995E-2</v>
      </c>
      <c r="U6374">
        <v>9.1033939999999994E-2</v>
      </c>
      <c r="V6374">
        <v>1.4270069999999999E-2</v>
      </c>
      <c r="W6374">
        <v>0.25683640000000002</v>
      </c>
      <c r="X6374">
        <v>0.96634949999999997</v>
      </c>
      <c r="Y6374">
        <v>2.240692E-2</v>
      </c>
      <c r="Z6374">
        <v>1.258341E-4</v>
      </c>
      <c r="AA6374">
        <v>0.99974890000000005</v>
      </c>
      <c r="AB6374">
        <v>30</v>
      </c>
      <c r="AC6374">
        <v>-38.654000000000003</v>
      </c>
      <c r="AD6374">
        <v>-1.11131997159</v>
      </c>
      <c r="AE6374">
        <v>1.1345000000000001</v>
      </c>
      <c r="AF6374">
        <v>0.87087122088079905</v>
      </c>
      <c r="AG6374">
        <v>-1.11131997159</v>
      </c>
      <c r="AH6374">
        <v>38.628918985600002</v>
      </c>
      <c r="AI6374">
        <v>91.647476186452806</v>
      </c>
      <c r="AJ6374">
        <v>88.708511762347499</v>
      </c>
      <c r="AK6374">
        <v>38.6547129178145</v>
      </c>
      <c r="AL6374">
        <v>75.1175716789257</v>
      </c>
      <c r="AM6374">
        <v>89.153975490878295</v>
      </c>
      <c r="AN6374">
        <v>0.99999996370650601</v>
      </c>
    </row>
    <row r="6375" spans="1:40" x14ac:dyDescent="0.25">
      <c r="A6375" t="str">
        <f>"20190312154049917"</f>
        <v>20190312154049917</v>
      </c>
      <c r="B6375" t="str">
        <f>"1552376449912738"</f>
        <v>1552376449912738</v>
      </c>
      <c r="C6375" t="s">
        <v>40</v>
      </c>
      <c r="D6375">
        <v>3.95539</v>
      </c>
      <c r="E6375">
        <v>0.50900710000000005</v>
      </c>
      <c r="F6375" t="s">
        <v>42</v>
      </c>
      <c r="G6375">
        <v>-390.65710000000001</v>
      </c>
      <c r="H6375" s="1">
        <v>-4.4015220000000003E-6</v>
      </c>
      <c r="I6375">
        <v>141.58439999999999</v>
      </c>
      <c r="J6375">
        <v>-353.51519999999999</v>
      </c>
      <c r="K6375">
        <v>1.111318</v>
      </c>
      <c r="L6375">
        <v>140.5146</v>
      </c>
      <c r="M6375">
        <v>-0.99987630000000005</v>
      </c>
      <c r="N6375">
        <v>0</v>
      </c>
      <c r="O6375">
        <v>6.6364780000000003E-3</v>
      </c>
      <c r="P6375">
        <v>-0.96983010000000003</v>
      </c>
      <c r="Q6375">
        <v>0.2429386</v>
      </c>
      <c r="R6375">
        <v>2.0264089999999998E-2</v>
      </c>
      <c r="S6375">
        <v>-3.114655</v>
      </c>
      <c r="T6375">
        <v>-9.2655539999999995E-2</v>
      </c>
      <c r="U6375">
        <v>8.9309689999999997E-2</v>
      </c>
      <c r="V6375">
        <v>1.372028E-2</v>
      </c>
      <c r="W6375">
        <v>0.25675389999999998</v>
      </c>
      <c r="X6375">
        <v>0.9663794</v>
      </c>
      <c r="Y6375">
        <v>2.2020390000000001E-2</v>
      </c>
      <c r="Z6375">
        <v>1.3004069999999999E-4</v>
      </c>
      <c r="AA6375">
        <v>0.99975749999999997</v>
      </c>
      <c r="AB6375">
        <v>30</v>
      </c>
      <c r="AC6375">
        <v>-37.1419</v>
      </c>
      <c r="AD6375">
        <v>-1.111322401522</v>
      </c>
      <c r="AE6375">
        <v>1.0697999999999801</v>
      </c>
      <c r="AF6375">
        <v>0.82252420214129296</v>
      </c>
      <c r="AG6375">
        <v>-1.111322401522</v>
      </c>
      <c r="AH6375">
        <v>37.114982109496601</v>
      </c>
      <c r="AI6375">
        <v>91.714656565342594</v>
      </c>
      <c r="AJ6375">
        <v>88.7304465826507</v>
      </c>
      <c r="AK6375">
        <v>37.140725363561302</v>
      </c>
      <c r="AL6375">
        <v>75.122462811065503</v>
      </c>
      <c r="AM6375">
        <v>89.186591389943302</v>
      </c>
      <c r="AN6375">
        <v>0.99999997799642304</v>
      </c>
    </row>
    <row r="6376" spans="1:40" x14ac:dyDescent="0.25">
      <c r="A6376" t="str">
        <f>"20190312154049930"</f>
        <v>20190312154049930</v>
      </c>
      <c r="B6376" t="str">
        <f>"1552376449922498"</f>
        <v>1552376449922498</v>
      </c>
      <c r="C6376" t="s">
        <v>40</v>
      </c>
      <c r="D6376">
        <v>3.9365450000000002</v>
      </c>
      <c r="E6376">
        <v>0.50907460000000004</v>
      </c>
      <c r="F6376" t="s">
        <v>42</v>
      </c>
      <c r="G6376">
        <v>-391.47469999999998</v>
      </c>
      <c r="H6376" s="1">
        <v>-4.124804E-6</v>
      </c>
      <c r="I6376">
        <v>141.59289999999999</v>
      </c>
      <c r="J6376">
        <v>-353.69420000000002</v>
      </c>
      <c r="K6376">
        <v>1.1113139999999999</v>
      </c>
      <c r="L6376">
        <v>140.51560000000001</v>
      </c>
      <c r="M6376">
        <v>-0.99987729999999997</v>
      </c>
      <c r="N6376">
        <v>0</v>
      </c>
      <c r="O6376">
        <v>6.5005459999999899E-3</v>
      </c>
      <c r="P6376">
        <v>-0.96989040000000004</v>
      </c>
      <c r="Q6376">
        <v>0.24271119999999999</v>
      </c>
      <c r="R6376">
        <v>2.0109120000000001E-2</v>
      </c>
      <c r="S6376">
        <v>-3.1142880000000002</v>
      </c>
      <c r="T6376">
        <v>-9.1175560000000003E-2</v>
      </c>
      <c r="U6376">
        <v>8.8470460000000001E-2</v>
      </c>
      <c r="V6376">
        <v>1.3696959999999999E-2</v>
      </c>
      <c r="W6376">
        <v>0.25652570000000002</v>
      </c>
      <c r="X6376">
        <v>0.96644030000000003</v>
      </c>
      <c r="Y6376">
        <v>2.1890690000000001E-2</v>
      </c>
      <c r="Z6376">
        <v>1.3006030000000001E-4</v>
      </c>
      <c r="AA6376">
        <v>0.99976039999999999</v>
      </c>
      <c r="AB6376">
        <v>30</v>
      </c>
      <c r="AC6376">
        <v>-37.780499999999897</v>
      </c>
      <c r="AD6376">
        <v>-1.1113181248039901</v>
      </c>
      <c r="AE6376">
        <v>1.0772999999999699</v>
      </c>
      <c r="AF6376">
        <v>0.83094002153249902</v>
      </c>
      <c r="AG6376">
        <v>-1.1113181248039901</v>
      </c>
      <c r="AH6376">
        <v>37.754065182452798</v>
      </c>
      <c r="AI6376">
        <v>91.685647732118994</v>
      </c>
      <c r="AJ6376">
        <v>88.739164357424301</v>
      </c>
      <c r="AK6376">
        <v>37.7795569997161</v>
      </c>
      <c r="AL6376">
        <v>75.135990335368504</v>
      </c>
      <c r="AM6376">
        <v>89.188024896725807</v>
      </c>
      <c r="AN6376">
        <v>0.99999994746890897</v>
      </c>
    </row>
    <row r="6377" spans="1:40" x14ac:dyDescent="0.25">
      <c r="A6377" t="str">
        <f>"20190312154049943"</f>
        <v>20190312154049943</v>
      </c>
      <c r="B6377" t="str">
        <f>"1552376449932259"</f>
        <v>1552376449932259</v>
      </c>
      <c r="C6377" t="s">
        <v>40</v>
      </c>
      <c r="D6377">
        <v>3.9546649999999999</v>
      </c>
      <c r="E6377">
        <v>0.50912230000000003</v>
      </c>
      <c r="F6377" t="s">
        <v>42</v>
      </c>
      <c r="G6377">
        <v>-391.75330000000002</v>
      </c>
      <c r="H6377" s="1">
        <v>-4.0302360000000001E-6</v>
      </c>
      <c r="I6377">
        <v>141.5942</v>
      </c>
      <c r="J6377">
        <v>-353.87580000000003</v>
      </c>
      <c r="K6377">
        <v>1.1113109999999999</v>
      </c>
      <c r="L6377">
        <v>140.51669999999999</v>
      </c>
      <c r="M6377">
        <v>-0.99987800000000004</v>
      </c>
      <c r="N6377">
        <v>0</v>
      </c>
      <c r="O6377">
        <v>6.3631260000000002E-3</v>
      </c>
      <c r="P6377">
        <v>-0.9702094</v>
      </c>
      <c r="Q6377">
        <v>0.2415089</v>
      </c>
      <c r="R6377">
        <v>1.9163659999999999E-2</v>
      </c>
      <c r="S6377">
        <v>-3.1140439999999998</v>
      </c>
      <c r="T6377">
        <v>-9.0929510000000005E-2</v>
      </c>
      <c r="U6377">
        <v>8.8256840000000003E-2</v>
      </c>
      <c r="V6377">
        <v>1.288358E-2</v>
      </c>
      <c r="W6377">
        <v>0.25532539999999998</v>
      </c>
      <c r="X6377">
        <v>0.96676930000000005</v>
      </c>
      <c r="Y6377">
        <v>2.196174E-2</v>
      </c>
      <c r="Z6377">
        <v>1.3476769999999999E-4</v>
      </c>
      <c r="AA6377">
        <v>0.99975879999999995</v>
      </c>
      <c r="AB6377">
        <v>30</v>
      </c>
      <c r="AC6377">
        <v>-37.877499999999998</v>
      </c>
      <c r="AD6377">
        <v>-1.111315030236</v>
      </c>
      <c r="AE6377">
        <v>1.0775000000000099</v>
      </c>
      <c r="AF6377">
        <v>0.83571553169614299</v>
      </c>
      <c r="AG6377">
        <v>-1.111315030236</v>
      </c>
      <c r="AH6377">
        <v>37.851033447131002</v>
      </c>
      <c r="AI6377">
        <v>91.681324592607993</v>
      </c>
      <c r="AJ6377">
        <v>88.735168104875697</v>
      </c>
      <c r="AK6377">
        <v>37.876564978389702</v>
      </c>
      <c r="AL6377">
        <v>75.207131960974905</v>
      </c>
      <c r="AM6377">
        <v>89.2364972022866</v>
      </c>
      <c r="AN6377">
        <v>0.99999996297063198</v>
      </c>
    </row>
    <row r="6378" spans="1:40" x14ac:dyDescent="0.25">
      <c r="A6378" t="str">
        <f>"20190312154049967"</f>
        <v>20190312154049967</v>
      </c>
      <c r="B6378" t="str">
        <f>"1552376449962514"</f>
        <v>1552376449962514</v>
      </c>
      <c r="C6378" t="s">
        <v>40</v>
      </c>
      <c r="D6378">
        <v>4.0179460000000002</v>
      </c>
      <c r="E6378">
        <v>0.47928019999999999</v>
      </c>
      <c r="F6378" t="s">
        <v>42</v>
      </c>
      <c r="G6378">
        <v>-390.65550000000002</v>
      </c>
      <c r="H6378" s="1">
        <v>-4.3924520000000002E-6</v>
      </c>
      <c r="I6378">
        <v>141.53020000000001</v>
      </c>
      <c r="J6378">
        <v>-354.18400000000003</v>
      </c>
      <c r="K6378">
        <v>1.111308</v>
      </c>
      <c r="L6378">
        <v>140.51840000000001</v>
      </c>
      <c r="M6378">
        <v>-0.99987969999999904</v>
      </c>
      <c r="N6378">
        <v>0</v>
      </c>
      <c r="O6378">
        <v>6.1295840000000004E-3</v>
      </c>
      <c r="P6378">
        <v>-0.97044819999999998</v>
      </c>
      <c r="Q6378">
        <v>0.2405921</v>
      </c>
      <c r="R6378">
        <v>1.8592480000000002E-2</v>
      </c>
      <c r="S6378">
        <v>-3.1138309999999998</v>
      </c>
      <c r="T6378">
        <v>-9.4085810000000006E-2</v>
      </c>
      <c r="U6378">
        <v>8.5815429999999998E-2</v>
      </c>
      <c r="V6378">
        <v>1.2538240000000001E-2</v>
      </c>
      <c r="W6378">
        <v>0.25440879999999999</v>
      </c>
      <c r="X6378">
        <v>0.96701550000000003</v>
      </c>
      <c r="Y6378">
        <v>2.141361E-2</v>
      </c>
      <c r="Z6378">
        <v>1.3823110000000001E-4</v>
      </c>
      <c r="AA6378">
        <v>0.99977070000000001</v>
      </c>
      <c r="AB6378">
        <v>30</v>
      </c>
      <c r="AC6378">
        <v>-36.471499999999899</v>
      </c>
      <c r="AD6378">
        <v>-1.1113123924520001</v>
      </c>
      <c r="AE6378">
        <v>1.01179999999999</v>
      </c>
      <c r="AF6378">
        <v>0.78747259202793296</v>
      </c>
      <c r="AG6378">
        <v>-1.1113123924520001</v>
      </c>
      <c r="AH6378">
        <v>36.443207063161999</v>
      </c>
      <c r="AI6378">
        <v>91.746249660646995</v>
      </c>
      <c r="AJ6378">
        <v>88.762133209844293</v>
      </c>
      <c r="AK6378">
        <v>36.468650501016803</v>
      </c>
      <c r="AL6378">
        <v>75.261443559827001</v>
      </c>
      <c r="AM6378">
        <v>89.257149465215903</v>
      </c>
      <c r="AN6378">
        <v>1.00000001110999</v>
      </c>
    </row>
    <row r="6379" spans="1:40" x14ac:dyDescent="0.25">
      <c r="A6379" t="str">
        <f>"20190312154049989"</f>
        <v>20190312154049989</v>
      </c>
      <c r="B6379" t="str">
        <f>"1552376449983011"</f>
        <v>1552376449983011</v>
      </c>
      <c r="C6379" t="s">
        <v>40</v>
      </c>
      <c r="D6379">
        <v>3.9001579999999998</v>
      </c>
      <c r="E6379">
        <v>0.46495510000000001</v>
      </c>
      <c r="F6379" t="s">
        <v>50</v>
      </c>
      <c r="G6379">
        <v>0</v>
      </c>
      <c r="H6379">
        <v>0</v>
      </c>
      <c r="I6379">
        <v>0</v>
      </c>
      <c r="J6379">
        <v>-354.48570000000001</v>
      </c>
      <c r="K6379">
        <v>1.1113090000000001</v>
      </c>
      <c r="L6379">
        <v>140.52000000000001</v>
      </c>
      <c r="M6379">
        <v>-0.99988109999999997</v>
      </c>
      <c r="N6379">
        <v>0</v>
      </c>
      <c r="O6379">
        <v>5.9010440000000003E-3</v>
      </c>
      <c r="P6379">
        <v>-0.97064499999999998</v>
      </c>
      <c r="Q6379">
        <v>0.23981130000000001</v>
      </c>
      <c r="R6379">
        <v>1.8415919999999999E-2</v>
      </c>
      <c r="S6379">
        <v>-3.0969850000000001</v>
      </c>
      <c r="T6379">
        <v>-1.111937E-2</v>
      </c>
      <c r="U6379">
        <v>-0.14958189999999999</v>
      </c>
      <c r="V6379">
        <v>1.258308E-2</v>
      </c>
      <c r="W6379">
        <v>0.25362750000000001</v>
      </c>
      <c r="X6379">
        <v>0.96722010000000003</v>
      </c>
      <c r="Y6379">
        <v>-5.4136509999999999E-2</v>
      </c>
      <c r="Z6379">
        <v>-1.1830589999999999E-4</v>
      </c>
      <c r="AA6379">
        <v>0.99853349999999996</v>
      </c>
      <c r="AB6379">
        <v>30</v>
      </c>
      <c r="AC6379">
        <v>-3.0969850000000001</v>
      </c>
      <c r="AD6379">
        <v>-1.111937E-2</v>
      </c>
      <c r="AE6379">
        <v>-0.14958189999999999</v>
      </c>
      <c r="AF6379">
        <v>-0.16785443596000299</v>
      </c>
      <c r="AG6379">
        <v>-1.111937E-2</v>
      </c>
      <c r="AH6379">
        <v>3.0960084701681598</v>
      </c>
      <c r="AI6379">
        <v>90.205476169917404</v>
      </c>
      <c r="AJ6379">
        <v>93.103332659332295</v>
      </c>
      <c r="AK6379">
        <v>3.1005753013616202</v>
      </c>
      <c r="AL6379">
        <v>75.307726437743796</v>
      </c>
      <c r="AM6379">
        <v>89.254650820534096</v>
      </c>
      <c r="AN6379">
        <v>0.99999998225127296</v>
      </c>
    </row>
    <row r="6380" spans="1:40" x14ac:dyDescent="0.25">
      <c r="A6380" t="str">
        <f>"20190312154050012"</f>
        <v>20190312154050012</v>
      </c>
      <c r="B6380" t="str">
        <f>"1552376450002530"</f>
        <v>1552376450002530</v>
      </c>
      <c r="C6380" t="s">
        <v>40</v>
      </c>
      <c r="D6380">
        <v>3.8808889999999998</v>
      </c>
      <c r="E6380">
        <v>0.45762829999999899</v>
      </c>
      <c r="F6380" t="s">
        <v>42</v>
      </c>
      <c r="G6380">
        <v>-450.8655</v>
      </c>
      <c r="H6380" s="1">
        <v>-4.1892730000000002E-6</v>
      </c>
      <c r="I6380">
        <v>132.27860000000001</v>
      </c>
      <c r="J6380">
        <v>-354.77670000000001</v>
      </c>
      <c r="K6380">
        <v>1.11131</v>
      </c>
      <c r="L6380">
        <v>140.5214</v>
      </c>
      <c r="M6380">
        <v>-0.99988239999999995</v>
      </c>
      <c r="N6380">
        <v>0</v>
      </c>
      <c r="O6380">
        <v>5.6798930000000001E-3</v>
      </c>
      <c r="P6380">
        <v>-0.97088050000000004</v>
      </c>
      <c r="Q6380">
        <v>0.23890220000000001</v>
      </c>
      <c r="R6380">
        <v>1.779822E-2</v>
      </c>
      <c r="S6380">
        <v>-3.1046450000000001</v>
      </c>
      <c r="T6380">
        <v>-3.579831E-2</v>
      </c>
      <c r="U6380">
        <v>-0.2654724</v>
      </c>
      <c r="V6380">
        <v>1.2179219999999999E-2</v>
      </c>
      <c r="W6380">
        <v>0.25271830000000001</v>
      </c>
      <c r="X6380">
        <v>0.96746330000000003</v>
      </c>
      <c r="Y6380">
        <v>-9.0849330000000006E-2</v>
      </c>
      <c r="Z6380">
        <v>-5.8818209999999995E-4</v>
      </c>
      <c r="AA6380">
        <v>0.99586450000000004</v>
      </c>
      <c r="AB6380">
        <v>30</v>
      </c>
      <c r="AC6380">
        <v>-96.088800000000006</v>
      </c>
      <c r="AD6380">
        <v>-1.1113141892730001</v>
      </c>
      <c r="AE6380">
        <v>-8.2427999999999795</v>
      </c>
      <c r="AF6380">
        <v>-8.7873296850877303</v>
      </c>
      <c r="AG6380">
        <v>-1.1113141892730001</v>
      </c>
      <c r="AH6380">
        <v>96.027675842510902</v>
      </c>
      <c r="AI6380">
        <v>90.660287503136999</v>
      </c>
      <c r="AJ6380">
        <v>95.228477991891694</v>
      </c>
      <c r="AK6380">
        <v>96.435298049708194</v>
      </c>
      <c r="AL6380">
        <v>75.361575147255493</v>
      </c>
      <c r="AM6380">
        <v>89.278751923452603</v>
      </c>
      <c r="AN6380">
        <v>1.0000000547007899</v>
      </c>
    </row>
    <row r="6381" spans="1:40" x14ac:dyDescent="0.25">
      <c r="A6381" t="str">
        <f>"20190312154050027"</f>
        <v>20190312154050027</v>
      </c>
      <c r="B6381" t="str">
        <f>"1552376450023027"</f>
        <v>1552376450023027</v>
      </c>
      <c r="C6381" t="s">
        <v>40</v>
      </c>
      <c r="D6381">
        <v>3.8924219999999998</v>
      </c>
      <c r="E6381">
        <v>0.45407989999999998</v>
      </c>
      <c r="F6381" t="s">
        <v>55</v>
      </c>
      <c r="G6381">
        <v>-426.96010000000001</v>
      </c>
      <c r="H6381" s="1">
        <v>-8.1296479999999904E-6</v>
      </c>
      <c r="I6381">
        <v>132.93549999999999</v>
      </c>
      <c r="J6381">
        <v>-354.99310000000003</v>
      </c>
      <c r="K6381">
        <v>1.1113109999999999</v>
      </c>
      <c r="L6381">
        <v>140.52250000000001</v>
      </c>
      <c r="M6381">
        <v>-0.99988350000000004</v>
      </c>
      <c r="N6381">
        <v>0</v>
      </c>
      <c r="O6381">
        <v>5.5137939999999998E-3</v>
      </c>
      <c r="P6381">
        <v>-0.9709972</v>
      </c>
      <c r="Q6381">
        <v>0.238423</v>
      </c>
      <c r="R6381">
        <v>1.7867319999999999E-2</v>
      </c>
      <c r="S6381">
        <v>-3.1077270000000001</v>
      </c>
      <c r="T6381">
        <v>-4.7845840000000001E-2</v>
      </c>
      <c r="U6381">
        <v>-0.32659909999999998</v>
      </c>
      <c r="V6381">
        <v>1.240906E-2</v>
      </c>
      <c r="W6381">
        <v>0.25223889999999999</v>
      </c>
      <c r="X6381">
        <v>0.96758540000000004</v>
      </c>
      <c r="Y6381">
        <v>-0.1099861</v>
      </c>
      <c r="Z6381">
        <v>-9.2895070000000002E-4</v>
      </c>
      <c r="AA6381">
        <v>0.9939327</v>
      </c>
      <c r="AB6381">
        <v>30</v>
      </c>
      <c r="AC6381">
        <v>-71.966999999999899</v>
      </c>
      <c r="AD6381">
        <v>-1.1113191296480001</v>
      </c>
      <c r="AE6381">
        <v>-7.5870000000000104</v>
      </c>
      <c r="AF6381">
        <v>-7.9818536481481903</v>
      </c>
      <c r="AG6381">
        <v>-1.1113191296480001</v>
      </c>
      <c r="AH6381">
        <v>71.907110103548305</v>
      </c>
      <c r="AI6381">
        <v>90.880027415730694</v>
      </c>
      <c r="AJ6381">
        <v>96.334032529051896</v>
      </c>
      <c r="AK6381">
        <v>72.357290588524606</v>
      </c>
      <c r="AL6381">
        <v>75.389961257522202</v>
      </c>
      <c r="AM6381">
        <v>89.265235099880798</v>
      </c>
      <c r="AN6381">
        <v>0.99999997686822595</v>
      </c>
    </row>
    <row r="6382" spans="1:40" x14ac:dyDescent="0.25">
      <c r="A6382" t="str">
        <f>"20190312154050045"</f>
        <v>20190312154050045</v>
      </c>
      <c r="B6382" t="str">
        <f>"1552376450032786"</f>
        <v>1552376450032786</v>
      </c>
      <c r="C6382" t="s">
        <v>40</v>
      </c>
      <c r="D6382">
        <v>3.872681</v>
      </c>
      <c r="E6382">
        <v>0.45310030000000001</v>
      </c>
      <c r="F6382" t="s">
        <v>55</v>
      </c>
      <c r="G6382">
        <v>-420.87090000000001</v>
      </c>
      <c r="H6382" s="1">
        <v>-7.2386039999999997E-6</v>
      </c>
      <c r="I6382">
        <v>133.0085</v>
      </c>
      <c r="J6382">
        <v>-355.2165</v>
      </c>
      <c r="K6382">
        <v>1.1113139999999999</v>
      </c>
      <c r="L6382">
        <v>140.52350000000001</v>
      </c>
      <c r="M6382">
        <v>-0.99988440000000001</v>
      </c>
      <c r="N6382">
        <v>0</v>
      </c>
      <c r="O6382">
        <v>5.3396269999999996E-3</v>
      </c>
      <c r="P6382">
        <v>-0.97119619999999995</v>
      </c>
      <c r="Q6382">
        <v>0.23762449999999999</v>
      </c>
      <c r="R6382">
        <v>1.7689070000000001E-2</v>
      </c>
      <c r="S6382">
        <v>-3.1090390000000001</v>
      </c>
      <c r="T6382">
        <v>-5.2447559999999997E-2</v>
      </c>
      <c r="U6382">
        <v>-0.35461429999999999</v>
      </c>
      <c r="V6382">
        <v>1.2398269999999999E-2</v>
      </c>
      <c r="W6382">
        <v>0.25144100000000003</v>
      </c>
      <c r="X6382">
        <v>0.96779320000000002</v>
      </c>
      <c r="Y6382">
        <v>-0.1186111</v>
      </c>
      <c r="Z6382">
        <v>-1.0869390000000001E-3</v>
      </c>
      <c r="AA6382">
        <v>0.99294020000000005</v>
      </c>
      <c r="AB6382">
        <v>30</v>
      </c>
      <c r="AC6382">
        <v>-65.654399999999995</v>
      </c>
      <c r="AD6382">
        <v>-1.1113212386039999</v>
      </c>
      <c r="AE6382">
        <v>-7.5150000000000103</v>
      </c>
      <c r="AF6382">
        <v>-7.86327455162282</v>
      </c>
      <c r="AG6382">
        <v>-1.1113212386039999</v>
      </c>
      <c r="AH6382">
        <v>65.594781464303097</v>
      </c>
      <c r="AI6382">
        <v>90.963726315176402</v>
      </c>
      <c r="AJ6382">
        <v>96.835799221275707</v>
      </c>
      <c r="AK6382">
        <v>66.073757853774694</v>
      </c>
      <c r="AL6382">
        <v>75.437200255942301</v>
      </c>
      <c r="AM6382">
        <v>89.266031537942197</v>
      </c>
      <c r="AN6382">
        <v>0.999999985773116</v>
      </c>
    </row>
    <row r="6383" spans="1:40" x14ac:dyDescent="0.25">
      <c r="A6383" t="str">
        <f>"20190312154050061"</f>
        <v>20190312154050061</v>
      </c>
      <c r="B6383" t="str">
        <f>"1552376450052307"</f>
        <v>1552376450052307</v>
      </c>
      <c r="C6383" t="s">
        <v>40</v>
      </c>
      <c r="D6383">
        <v>3.810362</v>
      </c>
      <c r="E6383">
        <v>0.45189960000000001</v>
      </c>
      <c r="F6383" t="s">
        <v>55</v>
      </c>
      <c r="G6383">
        <v>-417.14609999999999</v>
      </c>
      <c r="H6383" s="1">
        <v>-7.3868939999999998E-6</v>
      </c>
      <c r="I6383">
        <v>133.29390000000001</v>
      </c>
      <c r="J6383">
        <v>-355.4393</v>
      </c>
      <c r="K6383">
        <v>1.1113170000000001</v>
      </c>
      <c r="L6383">
        <v>140.52459999999999</v>
      </c>
      <c r="M6383">
        <v>-0.99988540000000004</v>
      </c>
      <c r="N6383">
        <v>0</v>
      </c>
      <c r="O6383">
        <v>5.1615009999999998E-3</v>
      </c>
      <c r="P6383">
        <v>-0.97127289999999999</v>
      </c>
      <c r="Q6383">
        <v>0.2373016</v>
      </c>
      <c r="R6383">
        <v>1.781046E-2</v>
      </c>
      <c r="S6383">
        <v>-3.109283</v>
      </c>
      <c r="T6383">
        <v>-5.5795789999999998E-2</v>
      </c>
      <c r="U6383">
        <v>-0.36297610000000002</v>
      </c>
      <c r="V6383">
        <v>1.2690480000000001E-2</v>
      </c>
      <c r="W6383">
        <v>0.25111709999999998</v>
      </c>
      <c r="X6383">
        <v>0.96787350000000005</v>
      </c>
      <c r="Y6383">
        <v>-0.1210576</v>
      </c>
      <c r="Z6383">
        <v>-1.1747400000000001E-3</v>
      </c>
      <c r="AA6383">
        <v>0.99264479999999999</v>
      </c>
      <c r="AB6383">
        <v>30</v>
      </c>
      <c r="AC6383">
        <v>-61.706799999999902</v>
      </c>
      <c r="AD6383">
        <v>-1.1113243868939999</v>
      </c>
      <c r="AE6383">
        <v>-7.2306999999999801</v>
      </c>
      <c r="AF6383">
        <v>-7.5467209991859203</v>
      </c>
      <c r="AG6383">
        <v>-1.1113243868939999</v>
      </c>
      <c r="AH6383">
        <v>61.648927744801902</v>
      </c>
      <c r="AI6383">
        <v>91.025089372145402</v>
      </c>
      <c r="AJ6383">
        <v>96.979109521051598</v>
      </c>
      <c r="AK6383">
        <v>62.119065767413602</v>
      </c>
      <c r="AL6383">
        <v>75.456373440949505</v>
      </c>
      <c r="AM6383">
        <v>89.248797202622001</v>
      </c>
      <c r="AN6383">
        <v>0.99999997909864502</v>
      </c>
    </row>
    <row r="6384" spans="1:40" x14ac:dyDescent="0.25">
      <c r="A6384" t="str">
        <f>"20190312154050073"</f>
        <v>20190312154050073</v>
      </c>
      <c r="B6384" t="str">
        <f>"1552376450063042"</f>
        <v>1552376450063042</v>
      </c>
      <c r="C6384" t="s">
        <v>40</v>
      </c>
      <c r="D6384">
        <v>3.8436699999999999</v>
      </c>
      <c r="E6384">
        <v>0.45135560000000002</v>
      </c>
      <c r="F6384" t="s">
        <v>55</v>
      </c>
      <c r="G6384">
        <v>-417.70690000000002</v>
      </c>
      <c r="H6384" s="1">
        <v>-7.2627989999999999E-6</v>
      </c>
      <c r="I6384">
        <v>133.0692</v>
      </c>
      <c r="J6384">
        <v>-355.61020000000002</v>
      </c>
      <c r="K6384">
        <v>1.1113200000000001</v>
      </c>
      <c r="L6384">
        <v>140.52529999999999</v>
      </c>
      <c r="M6384">
        <v>-0.99988600000000005</v>
      </c>
      <c r="N6384">
        <v>0</v>
      </c>
      <c r="O6384">
        <v>5.021569E-3</v>
      </c>
      <c r="P6384">
        <v>-0.97136100000000003</v>
      </c>
      <c r="Q6384">
        <v>0.23695530000000001</v>
      </c>
      <c r="R6384">
        <v>1.761449E-2</v>
      </c>
      <c r="S6384">
        <v>-3.10907</v>
      </c>
      <c r="T6384">
        <v>-5.5489299999999998E-2</v>
      </c>
      <c r="U6384">
        <v>-0.37225340000000001</v>
      </c>
      <c r="V6384">
        <v>1.262807E-2</v>
      </c>
      <c r="W6384">
        <v>0.25077039999999901</v>
      </c>
      <c r="X6384">
        <v>0.96796420000000005</v>
      </c>
      <c r="Y6384">
        <v>-0.1238471</v>
      </c>
      <c r="Z6384">
        <v>-1.190476E-3</v>
      </c>
      <c r="AA6384">
        <v>0.99230059999999998</v>
      </c>
      <c r="AB6384">
        <v>30</v>
      </c>
      <c r="AC6384">
        <v>-62.096699999999998</v>
      </c>
      <c r="AD6384">
        <v>-1.1113272627990001</v>
      </c>
      <c r="AE6384">
        <v>-7.4560999999999904</v>
      </c>
      <c r="AF6384">
        <v>-7.7654086025341904</v>
      </c>
      <c r="AG6384">
        <v>-1.1113272627990001</v>
      </c>
      <c r="AH6384">
        <v>62.0388836145314</v>
      </c>
      <c r="AI6384">
        <v>91.018307894400294</v>
      </c>
      <c r="AJ6384">
        <v>97.134607980951301</v>
      </c>
      <c r="AK6384">
        <v>62.532868950550501</v>
      </c>
      <c r="AL6384">
        <v>75.476894498768004</v>
      </c>
      <c r="AM6384">
        <v>89.252561127339405</v>
      </c>
      <c r="AN6384">
        <v>0.99999997707486199</v>
      </c>
    </row>
    <row r="6385" spans="1:40" x14ac:dyDescent="0.25">
      <c r="A6385" t="str">
        <f>"20190312154050090"</f>
        <v>20190312154050090</v>
      </c>
      <c r="B6385" t="str">
        <f>"1552376450082562"</f>
        <v>1552376450082562</v>
      </c>
      <c r="C6385" t="s">
        <v>40</v>
      </c>
      <c r="D6385">
        <v>3.8295080000000001</v>
      </c>
      <c r="E6385">
        <v>0.4504032</v>
      </c>
      <c r="F6385" t="s">
        <v>55</v>
      </c>
      <c r="G6385">
        <v>-416.57310000000001</v>
      </c>
      <c r="H6385" s="1">
        <v>-7.3534659999999902E-6</v>
      </c>
      <c r="I6385">
        <v>133.1302</v>
      </c>
      <c r="J6385">
        <v>-355.81880000000001</v>
      </c>
      <c r="K6385">
        <v>1.111326</v>
      </c>
      <c r="L6385">
        <v>140.52619999999999</v>
      </c>
      <c r="M6385">
        <v>-0.99988699999999997</v>
      </c>
      <c r="N6385">
        <v>0</v>
      </c>
      <c r="O6385">
        <v>4.8451309999999999E-3</v>
      </c>
      <c r="P6385">
        <v>-0.97156600000000004</v>
      </c>
      <c r="Q6385">
        <v>0.23609759999999999</v>
      </c>
      <c r="R6385">
        <v>1.7825270000000001E-2</v>
      </c>
      <c r="S6385">
        <v>-3.1091310000000001</v>
      </c>
      <c r="T6385">
        <v>-5.6678060000000002E-2</v>
      </c>
      <c r="U6385">
        <v>-0.37715149999999997</v>
      </c>
      <c r="V6385">
        <v>1.3006530000000001E-2</v>
      </c>
      <c r="W6385">
        <v>0.249914</v>
      </c>
      <c r="X6385">
        <v>0.96818070000000001</v>
      </c>
      <c r="Y6385">
        <v>-0.1252094</v>
      </c>
      <c r="Z6385">
        <v>-1.225004E-3</v>
      </c>
      <c r="AA6385">
        <v>0.99212959999999994</v>
      </c>
      <c r="AB6385">
        <v>30</v>
      </c>
      <c r="AC6385">
        <v>-60.754300000000001</v>
      </c>
      <c r="AD6385">
        <v>-1.1113333534659999</v>
      </c>
      <c r="AE6385">
        <v>-7.3959999999999804</v>
      </c>
      <c r="AF6385">
        <v>-7.6877707085777596</v>
      </c>
      <c r="AG6385">
        <v>-1.1113333534659999</v>
      </c>
      <c r="AH6385">
        <v>60.697735242062301</v>
      </c>
      <c r="AI6385">
        <v>91.040617027770693</v>
      </c>
      <c r="AJ6385">
        <v>97.218454952405395</v>
      </c>
      <c r="AK6385">
        <v>61.192744208816798</v>
      </c>
      <c r="AL6385">
        <v>75.527577124076203</v>
      </c>
      <c r="AM6385">
        <v>89.230335360396097</v>
      </c>
      <c r="AN6385">
        <v>1.0000000225355601</v>
      </c>
    </row>
    <row r="6386" spans="1:40" x14ac:dyDescent="0.25">
      <c r="A6386" t="str">
        <f>"20190312154050112"</f>
        <v>20190312154050112</v>
      </c>
      <c r="B6386" t="str">
        <f>"1552376450103059"</f>
        <v>1552376450103059</v>
      </c>
      <c r="C6386" t="s">
        <v>40</v>
      </c>
      <c r="D6386">
        <v>3.7436479999999999</v>
      </c>
      <c r="E6386">
        <v>0.45000469999999998</v>
      </c>
      <c r="F6386" t="s">
        <v>55</v>
      </c>
      <c r="G6386">
        <v>-412.8331</v>
      </c>
      <c r="H6386" s="1">
        <v>-7.7409439999999994E-6</v>
      </c>
      <c r="I6386">
        <v>133.47649999999999</v>
      </c>
      <c r="J6386">
        <v>-356.1173</v>
      </c>
      <c r="K6386">
        <v>1.11134</v>
      </c>
      <c r="L6386">
        <v>140.5273</v>
      </c>
      <c r="M6386">
        <v>-0.9998882</v>
      </c>
      <c r="N6386">
        <v>0</v>
      </c>
      <c r="O6386">
        <v>4.5797470000000003E-3</v>
      </c>
      <c r="P6386">
        <v>-0.97186320000000004</v>
      </c>
      <c r="Q6386">
        <v>0.23485259999999999</v>
      </c>
      <c r="R6386">
        <v>1.8066820000000001E-2</v>
      </c>
      <c r="S6386">
        <v>-3.1095890000000002</v>
      </c>
      <c r="T6386">
        <v>-6.0612680000000002E-2</v>
      </c>
      <c r="U6386">
        <v>-0.38449100000000003</v>
      </c>
      <c r="V6386">
        <v>1.349902E-2</v>
      </c>
      <c r="W6386">
        <v>0.24867049999999999</v>
      </c>
      <c r="X6386">
        <v>0.96849410000000002</v>
      </c>
      <c r="Y6386">
        <v>-0.12723209999999999</v>
      </c>
      <c r="Z6386">
        <v>-1.3241329999999999E-3</v>
      </c>
      <c r="AA6386">
        <v>0.99187210000000003</v>
      </c>
      <c r="AB6386">
        <v>30</v>
      </c>
      <c r="AC6386">
        <v>-56.715800000000002</v>
      </c>
      <c r="AD6386">
        <v>-1.111347740944</v>
      </c>
      <c r="AE6386">
        <v>-7.0507999999999997</v>
      </c>
      <c r="AF6386">
        <v>-7.3077331657589601</v>
      </c>
      <c r="AG6386">
        <v>-1.111347740944</v>
      </c>
      <c r="AH6386">
        <v>56.6614860288296</v>
      </c>
      <c r="AI6386">
        <v>91.114416712389399</v>
      </c>
      <c r="AJ6386">
        <v>97.348971396020104</v>
      </c>
      <c r="AK6386">
        <v>57.141596554685897</v>
      </c>
      <c r="AL6386">
        <v>75.6011472918576</v>
      </c>
      <c r="AM6386">
        <v>89.201454305550499</v>
      </c>
      <c r="AN6386">
        <v>1.000000031423</v>
      </c>
    </row>
    <row r="6387" spans="1:40" x14ac:dyDescent="0.25">
      <c r="A6387" t="str">
        <f>"20190312154050135"</f>
        <v>20190312154050135</v>
      </c>
      <c r="B6387" t="str">
        <f>"1552376450122579"</f>
        <v>1552376450122579</v>
      </c>
      <c r="C6387" t="s">
        <v>40</v>
      </c>
      <c r="D6387">
        <v>3.8125010000000001</v>
      </c>
      <c r="E6387">
        <v>0.44955440000000002</v>
      </c>
      <c r="F6387" t="s">
        <v>55</v>
      </c>
      <c r="G6387">
        <v>-412.3836</v>
      </c>
      <c r="H6387" s="1">
        <v>-7.8043900000000003E-6</v>
      </c>
      <c r="I6387">
        <v>133.53129999999999</v>
      </c>
      <c r="J6387">
        <v>-356.40699999999998</v>
      </c>
      <c r="K6387">
        <v>1.111351</v>
      </c>
      <c r="L6387">
        <v>140.5284</v>
      </c>
      <c r="M6387">
        <v>-0.99988960000000005</v>
      </c>
      <c r="N6387">
        <v>0</v>
      </c>
      <c r="O6387">
        <v>4.3025069999999997E-3</v>
      </c>
      <c r="P6387">
        <v>-0.97203209999999995</v>
      </c>
      <c r="Q6387">
        <v>0.23414750000000001</v>
      </c>
      <c r="R6387">
        <v>1.8127919999999999E-2</v>
      </c>
      <c r="S6387">
        <v>-3.1088870000000002</v>
      </c>
      <c r="T6387">
        <v>-6.1405420000000002E-2</v>
      </c>
      <c r="U6387">
        <v>-0.38655089999999998</v>
      </c>
      <c r="V6387">
        <v>1.382124E-2</v>
      </c>
      <c r="W6387">
        <v>0.24796560000000001</v>
      </c>
      <c r="X6387">
        <v>0.96867020000000004</v>
      </c>
      <c r="Y6387">
        <v>-0.12763089999999999</v>
      </c>
      <c r="Z6387">
        <v>-1.340162E-3</v>
      </c>
      <c r="AA6387">
        <v>0.99182079999999995</v>
      </c>
      <c r="AB6387">
        <v>30</v>
      </c>
      <c r="AC6387">
        <v>-55.976599999999998</v>
      </c>
      <c r="AD6387">
        <v>-1.11135880439</v>
      </c>
      <c r="AE6387">
        <v>-6.9971000000000103</v>
      </c>
      <c r="AF6387">
        <v>-7.2350912396461897</v>
      </c>
      <c r="AG6387">
        <v>-1.11135880439</v>
      </c>
      <c r="AH6387">
        <v>55.924268536168697</v>
      </c>
      <c r="AI6387">
        <v>91.129057343962899</v>
      </c>
      <c r="AJ6387">
        <v>97.371582733511005</v>
      </c>
      <c r="AK6387">
        <v>56.401289656741099</v>
      </c>
      <c r="AL6387">
        <v>75.642839959411504</v>
      </c>
      <c r="AM6387">
        <v>89.182544288980907</v>
      </c>
      <c r="AN6387">
        <v>0.99999996091326804</v>
      </c>
    </row>
    <row r="6388" spans="1:40" x14ac:dyDescent="0.25">
      <c r="A6388" t="str">
        <f>"20190312154050156"</f>
        <v>20190312154050156</v>
      </c>
      <c r="B6388" t="str">
        <f>"1552376450152835"</f>
        <v>1552376450152835</v>
      </c>
      <c r="C6388" t="s">
        <v>40</v>
      </c>
      <c r="D6388">
        <v>3.8004259999999999</v>
      </c>
      <c r="E6388">
        <v>0.4489899</v>
      </c>
      <c r="F6388" t="s">
        <v>55</v>
      </c>
      <c r="G6388">
        <v>-412.79450000000003</v>
      </c>
      <c r="H6388" s="1">
        <v>-7.7342759999999907E-6</v>
      </c>
      <c r="I6388">
        <v>133.45349999999999</v>
      </c>
      <c r="J6388">
        <v>-356.70010000000002</v>
      </c>
      <c r="K6388">
        <v>1.1113599999999999</v>
      </c>
      <c r="L6388">
        <v>140.52930000000001</v>
      </c>
      <c r="M6388">
        <v>-0.99989079999999997</v>
      </c>
      <c r="N6388">
        <v>0</v>
      </c>
      <c r="O6388">
        <v>3.9990980000000004E-3</v>
      </c>
      <c r="P6388">
        <v>-0.97221120000000005</v>
      </c>
      <c r="Q6388">
        <v>0.23338100000000001</v>
      </c>
      <c r="R6388">
        <v>1.8399749999999999E-2</v>
      </c>
      <c r="S6388">
        <v>-3.1083370000000001</v>
      </c>
      <c r="T6388">
        <v>-6.1263199999999997E-2</v>
      </c>
      <c r="U6388">
        <v>-0.3899994</v>
      </c>
      <c r="V6388">
        <v>1.4377630000000001E-2</v>
      </c>
      <c r="W6388">
        <v>0.2471991</v>
      </c>
      <c r="X6388">
        <v>0.968858</v>
      </c>
      <c r="Y6388">
        <v>-0.12843479999999999</v>
      </c>
      <c r="Z6388">
        <v>-1.339135E-3</v>
      </c>
      <c r="AA6388">
        <v>0.99171699999999996</v>
      </c>
      <c r="AB6388">
        <v>30</v>
      </c>
      <c r="AC6388">
        <v>-56.0944</v>
      </c>
      <c r="AD6388">
        <v>-1.111367734276</v>
      </c>
      <c r="AE6388">
        <v>-7.0758000000000099</v>
      </c>
      <c r="AF6388">
        <v>-7.29727355544183</v>
      </c>
      <c r="AG6388">
        <v>-1.111367734276</v>
      </c>
      <c r="AH6388">
        <v>56.043997092964602</v>
      </c>
      <c r="AI6388">
        <v>91.126535202541902</v>
      </c>
      <c r="AJ6388">
        <v>97.418527515643206</v>
      </c>
      <c r="AK6388">
        <v>56.528001465998798</v>
      </c>
      <c r="AL6388">
        <v>75.688168493972597</v>
      </c>
      <c r="AM6388">
        <v>89.149806208997006</v>
      </c>
      <c r="AN6388">
        <v>0.99999996772461297</v>
      </c>
    </row>
    <row r="6389" spans="1:40" x14ac:dyDescent="0.25">
      <c r="A6389" t="str">
        <f>"20190312154050174"</f>
        <v>20190312154050174</v>
      </c>
      <c r="B6389" t="str">
        <f>"1552376450162594"</f>
        <v>1552376450162594</v>
      </c>
      <c r="C6389" t="s">
        <v>40</v>
      </c>
      <c r="D6389">
        <v>3.826076</v>
      </c>
      <c r="E6389">
        <v>0.44879409999999997</v>
      </c>
      <c r="F6389" t="s">
        <v>55</v>
      </c>
      <c r="G6389">
        <v>-412.63490000000002</v>
      </c>
      <c r="H6389" s="1">
        <v>-7.7470549999999993E-6</v>
      </c>
      <c r="I6389">
        <v>133.45070000000001</v>
      </c>
      <c r="J6389">
        <v>-356.92410000000001</v>
      </c>
      <c r="K6389">
        <v>1.1113729999999999</v>
      </c>
      <c r="L6389">
        <v>140.5299</v>
      </c>
      <c r="M6389">
        <v>-0.9998918</v>
      </c>
      <c r="N6389">
        <v>0</v>
      </c>
      <c r="O6389">
        <v>3.747818E-3</v>
      </c>
      <c r="P6389">
        <v>-0.97234100000000001</v>
      </c>
      <c r="Q6389">
        <v>0.23285520000000001</v>
      </c>
      <c r="R6389">
        <v>1.8211829999999998E-2</v>
      </c>
      <c r="S6389">
        <v>-3.1080320000000001</v>
      </c>
      <c r="T6389">
        <v>-6.1753389999999998E-2</v>
      </c>
      <c r="U6389">
        <v>-0.3933258</v>
      </c>
      <c r="V6389">
        <v>1.4425479999999999E-2</v>
      </c>
      <c r="W6389">
        <v>0.2466737</v>
      </c>
      <c r="X6389">
        <v>0.96899120000000005</v>
      </c>
      <c r="Y6389">
        <v>-0.12924189999999999</v>
      </c>
      <c r="Z6389">
        <v>-1.3529010000000001E-3</v>
      </c>
      <c r="AA6389">
        <v>0.99161220000000005</v>
      </c>
      <c r="AB6389">
        <v>30</v>
      </c>
      <c r="AC6389">
        <v>-55.710799999999999</v>
      </c>
      <c r="AD6389">
        <v>-1.1113807470549999</v>
      </c>
      <c r="AE6389">
        <v>-7.0791999999999797</v>
      </c>
      <c r="AF6389">
        <v>-7.2851121745060103</v>
      </c>
      <c r="AG6389">
        <v>-1.1113807470549999</v>
      </c>
      <c r="AH6389">
        <v>55.662074755002998</v>
      </c>
      <c r="AI6389">
        <v>91.134177896129302</v>
      </c>
      <c r="AJ6389">
        <v>97.456549432577603</v>
      </c>
      <c r="AK6389">
        <v>56.147792410669197</v>
      </c>
      <c r="AL6389">
        <v>75.719233874434195</v>
      </c>
      <c r="AM6389">
        <v>89.147094349083105</v>
      </c>
      <c r="AN6389">
        <v>0.99999997721117995</v>
      </c>
    </row>
    <row r="6390" spans="1:40" x14ac:dyDescent="0.25">
      <c r="A6390" t="str">
        <f>"20190312154050192"</f>
        <v>20190312154050192</v>
      </c>
      <c r="B6390" t="str">
        <f>"1552376450183090"</f>
        <v>1552376450183090</v>
      </c>
      <c r="C6390" t="s">
        <v>40</v>
      </c>
      <c r="D6390">
        <v>3.7624430000000002</v>
      </c>
      <c r="E6390">
        <v>0.44851550000000001</v>
      </c>
      <c r="F6390" t="s">
        <v>55</v>
      </c>
      <c r="G6390">
        <v>-411.83749999999998</v>
      </c>
      <c r="H6390" s="1">
        <v>-7.8597619999999999E-6</v>
      </c>
      <c r="I6390">
        <v>133.54830000000001</v>
      </c>
      <c r="J6390">
        <v>-357.1696</v>
      </c>
      <c r="K6390">
        <v>1.1113900000000001</v>
      </c>
      <c r="L6390">
        <v>140.53049999999999</v>
      </c>
      <c r="M6390">
        <v>-0.99989300000000003</v>
      </c>
      <c r="N6390">
        <v>0</v>
      </c>
      <c r="O6390">
        <v>3.4557889999999999E-3</v>
      </c>
      <c r="P6390">
        <v>-0.97251600000000005</v>
      </c>
      <c r="Q6390">
        <v>0.23216490000000001</v>
      </c>
      <c r="R6390">
        <v>1.7675590000000001E-2</v>
      </c>
      <c r="S6390">
        <v>-3.1078190000000001</v>
      </c>
      <c r="T6390">
        <v>-6.2898399999999993E-2</v>
      </c>
      <c r="U6390">
        <v>-0.39512629999999999</v>
      </c>
      <c r="V6390">
        <v>1.4163159999999999E-2</v>
      </c>
      <c r="W6390">
        <v>0.24598329999999999</v>
      </c>
      <c r="X6390">
        <v>0.96917059999999999</v>
      </c>
      <c r="Y6390">
        <v>-0.12952520000000001</v>
      </c>
      <c r="Z6390">
        <v>-1.374992E-3</v>
      </c>
      <c r="AA6390">
        <v>0.99157519999999999</v>
      </c>
      <c r="AB6390">
        <v>30</v>
      </c>
      <c r="AC6390">
        <v>-54.667899999999896</v>
      </c>
      <c r="AD6390">
        <v>-1.11139785976199</v>
      </c>
      <c r="AE6390">
        <v>-6.9821999999999704</v>
      </c>
      <c r="AF6390">
        <v>-7.1681829966495103</v>
      </c>
      <c r="AG6390">
        <v>-1.11139785976199</v>
      </c>
      <c r="AH6390">
        <v>54.621228982276598</v>
      </c>
      <c r="AI6390">
        <v>91.155749836056501</v>
      </c>
      <c r="AJ6390">
        <v>97.476450373274602</v>
      </c>
      <c r="AK6390">
        <v>55.100786820248103</v>
      </c>
      <c r="AL6390">
        <v>75.760049085080396</v>
      </c>
      <c r="AM6390">
        <v>89.162756760514</v>
      </c>
      <c r="AN6390">
        <v>1.00000001544221</v>
      </c>
    </row>
    <row r="6391" spans="1:40" x14ac:dyDescent="0.25">
      <c r="A6391" t="str">
        <f>"20190312154050214"</f>
        <v>20190312154050214</v>
      </c>
      <c r="B6391" t="str">
        <f>"1552376450202610"</f>
        <v>1552376450202610</v>
      </c>
      <c r="C6391" t="s">
        <v>40</v>
      </c>
      <c r="D6391">
        <v>3.8161740000000002</v>
      </c>
      <c r="E6391">
        <v>0.44813750000000002</v>
      </c>
      <c r="F6391" t="s">
        <v>55</v>
      </c>
      <c r="G6391">
        <v>-411.50200000000001</v>
      </c>
      <c r="H6391" s="1">
        <v>-7.8925219999999996E-6</v>
      </c>
      <c r="I6391">
        <v>133.5558</v>
      </c>
      <c r="J6391">
        <v>-357.45249999999999</v>
      </c>
      <c r="K6391">
        <v>1.111413</v>
      </c>
      <c r="L6391">
        <v>140.53110000000001</v>
      </c>
      <c r="M6391">
        <v>-0.99989410000000001</v>
      </c>
      <c r="N6391">
        <v>0</v>
      </c>
      <c r="O6391">
        <v>3.0981609999999999E-3</v>
      </c>
      <c r="P6391">
        <v>-0.97280040000000001</v>
      </c>
      <c r="Q6391">
        <v>0.23102880000000001</v>
      </c>
      <c r="R6391">
        <v>1.6886640000000001E-2</v>
      </c>
      <c r="S6391">
        <v>-3.107208</v>
      </c>
      <c r="T6391">
        <v>-6.3559649999999995E-2</v>
      </c>
      <c r="U6391">
        <v>-0.39888000000000001</v>
      </c>
      <c r="V6391">
        <v>1.371063E-2</v>
      </c>
      <c r="W6391">
        <v>0.24484900000000001</v>
      </c>
      <c r="X6391">
        <v>0.96946429999999995</v>
      </c>
      <c r="Y6391">
        <v>-0.13037280000000001</v>
      </c>
      <c r="Z6391">
        <v>-1.3909560000000001E-3</v>
      </c>
      <c r="AA6391">
        <v>0.99146409999999996</v>
      </c>
      <c r="AB6391">
        <v>30</v>
      </c>
      <c r="AC6391">
        <v>-54.049499999999902</v>
      </c>
      <c r="AD6391">
        <v>-1.1114208925219999</v>
      </c>
      <c r="AE6391">
        <v>-6.9752999999999998</v>
      </c>
      <c r="AF6391">
        <v>-7.13976799436454</v>
      </c>
      <c r="AG6391">
        <v>-1.1114208925219999</v>
      </c>
      <c r="AH6391">
        <v>54.005166428232599</v>
      </c>
      <c r="AI6391">
        <v>91.168807709369105</v>
      </c>
      <c r="AJ6391">
        <v>97.531130107614501</v>
      </c>
      <c r="AK6391">
        <v>54.4864161452631</v>
      </c>
      <c r="AL6391">
        <v>75.827090035448293</v>
      </c>
      <c r="AM6391">
        <v>89.1897495694827</v>
      </c>
      <c r="AN6391">
        <v>1.00000002157524</v>
      </c>
    </row>
    <row r="6392" spans="1:40" x14ac:dyDescent="0.25">
      <c r="A6392" t="str">
        <f>"20190312154050234"</f>
        <v>20190312154050234</v>
      </c>
      <c r="B6392" t="str">
        <f>"1552376450223108"</f>
        <v>1552376450223108</v>
      </c>
      <c r="C6392" t="s">
        <v>40</v>
      </c>
      <c r="D6392">
        <v>3.8045200000000001</v>
      </c>
      <c r="E6392">
        <v>0.44777650000000002</v>
      </c>
      <c r="F6392" t="s">
        <v>55</v>
      </c>
      <c r="G6392">
        <v>-408.82799999999997</v>
      </c>
      <c r="H6392" s="1">
        <v>-7.4550749999999999E-6</v>
      </c>
      <c r="I6392">
        <v>133.8537</v>
      </c>
      <c r="J6392">
        <v>-357.73320000000001</v>
      </c>
      <c r="K6392">
        <v>1.1114280000000001</v>
      </c>
      <c r="L6392">
        <v>140.5316</v>
      </c>
      <c r="M6392">
        <v>-0.99989530000000004</v>
      </c>
      <c r="N6392">
        <v>0</v>
      </c>
      <c r="O6392">
        <v>2.7219729999999999E-3</v>
      </c>
      <c r="P6392">
        <v>-0.97299869999999999</v>
      </c>
      <c r="Q6392">
        <v>0.23028750000000001</v>
      </c>
      <c r="R6392">
        <v>1.5544290000000001E-2</v>
      </c>
      <c r="S6392">
        <v>-3.1068730000000002</v>
      </c>
      <c r="T6392">
        <v>-6.7211870000000007E-2</v>
      </c>
      <c r="U6392">
        <v>-0.40380860000000002</v>
      </c>
      <c r="V6392">
        <v>1.27244E-2</v>
      </c>
      <c r="W6392">
        <v>0.2441073</v>
      </c>
      <c r="X6392">
        <v>0.96966479999999999</v>
      </c>
      <c r="Y6392">
        <v>-0.1315568</v>
      </c>
      <c r="Z6392">
        <v>-1.4755199999999999E-3</v>
      </c>
      <c r="AA6392">
        <v>0.99130759999999996</v>
      </c>
      <c r="AB6392">
        <v>30</v>
      </c>
      <c r="AC6392">
        <v>-51.094799999999999</v>
      </c>
      <c r="AD6392">
        <v>-1.1114354550749901</v>
      </c>
      <c r="AE6392">
        <v>-6.6778999999999904</v>
      </c>
      <c r="AF6392">
        <v>-6.81379804788887</v>
      </c>
      <c r="AG6392">
        <v>-1.1114354550749901</v>
      </c>
      <c r="AH6392">
        <v>51.052680997662399</v>
      </c>
      <c r="AI6392">
        <v>91.236194747532195</v>
      </c>
      <c r="AJ6392">
        <v>97.602112726969494</v>
      </c>
      <c r="AK6392">
        <v>51.517369591791997</v>
      </c>
      <c r="AL6392">
        <v>75.870916702117299</v>
      </c>
      <c r="AM6392">
        <v>89.248180841866599</v>
      </c>
      <c r="AN6392">
        <v>1.0000000543138401</v>
      </c>
    </row>
    <row r="6393" spans="1:40" x14ac:dyDescent="0.25">
      <c r="A6393" t="str">
        <f>"20190312154050251"</f>
        <v>20190312154050251</v>
      </c>
      <c r="B6393" t="str">
        <f>"1552376450242627"</f>
        <v>1552376450242627</v>
      </c>
      <c r="C6393" t="s">
        <v>40</v>
      </c>
      <c r="D6393">
        <v>3.7928820000000001</v>
      </c>
      <c r="E6393">
        <v>0.44761050000000002</v>
      </c>
      <c r="F6393" t="s">
        <v>55</v>
      </c>
      <c r="G6393">
        <v>-407.77370000000002</v>
      </c>
      <c r="H6393" s="1">
        <v>-6.821766E-6</v>
      </c>
      <c r="I6393">
        <v>133.91130000000001</v>
      </c>
      <c r="J6393">
        <v>-357.94880000000001</v>
      </c>
      <c r="K6393">
        <v>1.1114360000000001</v>
      </c>
      <c r="L6393">
        <v>140.53190000000001</v>
      </c>
      <c r="M6393">
        <v>-0.99989600000000001</v>
      </c>
      <c r="N6393">
        <v>0</v>
      </c>
      <c r="O6393">
        <v>2.4204439999999999E-3</v>
      </c>
      <c r="P6393">
        <v>-0.97309109999999999</v>
      </c>
      <c r="Q6393">
        <v>0.22995969999999999</v>
      </c>
      <c r="R6393">
        <v>1.4564789999999999E-2</v>
      </c>
      <c r="S6393">
        <v>-3.1061100000000001</v>
      </c>
      <c r="T6393">
        <v>-6.8988800000000003E-2</v>
      </c>
      <c r="U6393">
        <v>-0.41093439999999998</v>
      </c>
      <c r="V6393">
        <v>1.203166E-2</v>
      </c>
      <c r="W6393">
        <v>0.243779</v>
      </c>
      <c r="X6393">
        <v>0.96975619999999996</v>
      </c>
      <c r="Y6393">
        <v>-0.13352229999999901</v>
      </c>
      <c r="Z6393">
        <v>-1.5297259999999999E-3</v>
      </c>
      <c r="AA6393">
        <v>0.99104460000000005</v>
      </c>
      <c r="AB6393">
        <v>29</v>
      </c>
      <c r="AC6393">
        <v>-49.8249</v>
      </c>
      <c r="AD6393">
        <v>-1.111442821766</v>
      </c>
      <c r="AE6393">
        <v>-6.6205999999999898</v>
      </c>
      <c r="AF6393">
        <v>-6.7378965587878001</v>
      </c>
      <c r="AG6393">
        <v>-1.111442821766</v>
      </c>
      <c r="AH6393">
        <v>49.784384649540698</v>
      </c>
      <c r="AI6393">
        <v>91.267372283818901</v>
      </c>
      <c r="AJ6393">
        <v>97.7076668795507</v>
      </c>
      <c r="AK6393">
        <v>50.250567261637997</v>
      </c>
      <c r="AL6393">
        <v>75.8903124444154</v>
      </c>
      <c r="AM6393">
        <v>89.289173948720403</v>
      </c>
      <c r="AN6393">
        <v>1.00000002456089</v>
      </c>
    </row>
    <row r="6394" spans="1:40" x14ac:dyDescent="0.25">
      <c r="A6394" t="str">
        <f>"20190312154050268"</f>
        <v>20190312154050268</v>
      </c>
      <c r="B6394" t="str">
        <f>"1552376450262151"</f>
        <v>1552376450262151</v>
      </c>
      <c r="C6394" t="s">
        <v>40</v>
      </c>
      <c r="D6394">
        <v>3.784392</v>
      </c>
      <c r="E6394">
        <v>0.44739830000000003</v>
      </c>
      <c r="F6394" t="s">
        <v>55</v>
      </c>
      <c r="G6394">
        <v>-408.81799999999998</v>
      </c>
      <c r="H6394" s="1">
        <v>-7.3929049999999902E-6</v>
      </c>
      <c r="I6394">
        <v>133.72579999999999</v>
      </c>
      <c r="J6394">
        <v>-358.17540000000002</v>
      </c>
      <c r="K6394">
        <v>1.111443</v>
      </c>
      <c r="L6394">
        <v>140.53210000000001</v>
      </c>
      <c r="M6394">
        <v>-0.99989680000000003</v>
      </c>
      <c r="N6394">
        <v>0</v>
      </c>
      <c r="O6394">
        <v>2.0948030000000001E-3</v>
      </c>
      <c r="P6394">
        <v>-0.97323159999999997</v>
      </c>
      <c r="Q6394">
        <v>0.22949539999999999</v>
      </c>
      <c r="R6394">
        <v>1.2336659999999999E-2</v>
      </c>
      <c r="S6394">
        <v>-3.1052249999999999</v>
      </c>
      <c r="T6394">
        <v>-6.7846180000000006E-2</v>
      </c>
      <c r="U6394">
        <v>-0.41546630000000001</v>
      </c>
      <c r="V6394">
        <v>1.0114980000000001E-2</v>
      </c>
      <c r="W6394">
        <v>0.2433128</v>
      </c>
      <c r="X6394">
        <v>0.96989510000000001</v>
      </c>
      <c r="Y6394">
        <v>-0.13465829999999901</v>
      </c>
      <c r="Z6394">
        <v>-1.509947E-3</v>
      </c>
      <c r="AA6394">
        <v>0.99089090000000002</v>
      </c>
      <c r="AB6394">
        <v>29</v>
      </c>
      <c r="AC6394">
        <v>-50.642600000000002</v>
      </c>
      <c r="AD6394">
        <v>-1.1114503929049999</v>
      </c>
      <c r="AE6394">
        <v>-6.8063000000000198</v>
      </c>
      <c r="AF6394">
        <v>-6.9091131937854096</v>
      </c>
      <c r="AG6394">
        <v>-1.1114503929049999</v>
      </c>
      <c r="AH6394">
        <v>50.604287542102398</v>
      </c>
      <c r="AI6394">
        <v>91.246654978519004</v>
      </c>
      <c r="AJ6394">
        <v>97.774645794647697</v>
      </c>
      <c r="AK6394">
        <v>51.085859929575598</v>
      </c>
      <c r="AL6394">
        <v>75.917852190273194</v>
      </c>
      <c r="AM6394">
        <v>89.402487285253699</v>
      </c>
      <c r="AN6394">
        <v>0.99999996823412396</v>
      </c>
    </row>
    <row r="6395" spans="1:40" x14ac:dyDescent="0.25">
      <c r="A6395" t="str">
        <f>"20190312154050284"</f>
        <v>20190312154050284</v>
      </c>
      <c r="B6395" t="str">
        <f>"1552376450272882"</f>
        <v>1552376450272882</v>
      </c>
      <c r="C6395" t="s">
        <v>40</v>
      </c>
      <c r="D6395">
        <v>3.8154889999999999</v>
      </c>
      <c r="E6395">
        <v>0.44730910000000002</v>
      </c>
      <c r="F6395" t="s">
        <v>55</v>
      </c>
      <c r="G6395">
        <v>-409.22770000000003</v>
      </c>
      <c r="H6395" s="1">
        <v>-7.575356E-6</v>
      </c>
      <c r="I6395">
        <v>133.55969999999999</v>
      </c>
      <c r="J6395">
        <v>-358.38729999999998</v>
      </c>
      <c r="K6395">
        <v>1.1114569999999999</v>
      </c>
      <c r="L6395">
        <v>140.53219999999999</v>
      </c>
      <c r="M6395">
        <v>-0.99989749999999999</v>
      </c>
      <c r="N6395">
        <v>0</v>
      </c>
      <c r="O6395">
        <v>1.784646E-3</v>
      </c>
      <c r="P6395">
        <v>-0.97333250000000004</v>
      </c>
      <c r="Q6395">
        <v>0.22913410000000001</v>
      </c>
      <c r="R6395">
        <v>1.103172E-2</v>
      </c>
      <c r="S6395">
        <v>-3.1038510000000001</v>
      </c>
      <c r="T6395">
        <v>-6.7573430000000004E-2</v>
      </c>
      <c r="U6395">
        <v>-0.42390440000000001</v>
      </c>
      <c r="V6395">
        <v>9.1079230000000004E-3</v>
      </c>
      <c r="W6395">
        <v>0.24295020000000001</v>
      </c>
      <c r="X6395">
        <v>0.96999599999999997</v>
      </c>
      <c r="Y6395">
        <v>-0.13705339999999999</v>
      </c>
      <c r="Z6395">
        <v>-1.523492E-3</v>
      </c>
      <c r="AA6395">
        <v>0.99056250000000001</v>
      </c>
      <c r="AB6395">
        <v>29</v>
      </c>
      <c r="AC6395">
        <v>-50.840400000000002</v>
      </c>
      <c r="AD6395">
        <v>-1.111464575356</v>
      </c>
      <c r="AE6395">
        <v>-6.9724999999999904</v>
      </c>
      <c r="AF6395">
        <v>-7.0599182432054004</v>
      </c>
      <c r="AG6395">
        <v>-1.111464575356</v>
      </c>
      <c r="AH6395">
        <v>50.804041308658903</v>
      </c>
      <c r="AI6395">
        <v>91.241362720126901</v>
      </c>
      <c r="AJ6395">
        <v>97.911368662601802</v>
      </c>
      <c r="AK6395">
        <v>51.304272847346098</v>
      </c>
      <c r="AL6395">
        <v>75.9392707400837</v>
      </c>
      <c r="AM6395">
        <v>89.462028490242602</v>
      </c>
      <c r="AN6395">
        <v>0.99999999697870701</v>
      </c>
    </row>
    <row r="6396" spans="1:40" x14ac:dyDescent="0.25">
      <c r="A6396" t="str">
        <f>"20190312154050301"</f>
        <v>20190312154050301</v>
      </c>
      <c r="B6396" t="str">
        <f>"1552376450292402"</f>
        <v>1552376450292402</v>
      </c>
      <c r="C6396" t="s">
        <v>40</v>
      </c>
      <c r="D6396">
        <v>3.8026930000000001</v>
      </c>
      <c r="E6396">
        <v>0.44716309999999898</v>
      </c>
      <c r="F6396" t="s">
        <v>55</v>
      </c>
      <c r="G6396">
        <v>-408.78609999999998</v>
      </c>
      <c r="H6396" s="1">
        <v>-7.3027249999999996E-6</v>
      </c>
      <c r="I6396">
        <v>133.56479999999999</v>
      </c>
      <c r="J6396">
        <v>-358.6069</v>
      </c>
      <c r="K6396">
        <v>1.1114599999999999</v>
      </c>
      <c r="L6396">
        <v>140.53219999999999</v>
      </c>
      <c r="M6396">
        <v>-0.99989810000000001</v>
      </c>
      <c r="N6396">
        <v>0</v>
      </c>
      <c r="O6396">
        <v>1.4589640000000001E-3</v>
      </c>
      <c r="P6396">
        <v>-0.9734199</v>
      </c>
      <c r="Q6396">
        <v>0.2288616</v>
      </c>
      <c r="R6396">
        <v>8.7379220000000004E-3</v>
      </c>
      <c r="S6396">
        <v>-3.10318</v>
      </c>
      <c r="T6396">
        <v>-6.8435549999999998E-2</v>
      </c>
      <c r="U6396">
        <v>-0.42900090000000002</v>
      </c>
      <c r="V6396">
        <v>7.1280780000000004E-3</v>
      </c>
      <c r="W6396">
        <v>0.24267540000000001</v>
      </c>
      <c r="X6396">
        <v>0.97008139999999998</v>
      </c>
      <c r="Y6396">
        <v>-0.13835500000000001</v>
      </c>
      <c r="Z6396">
        <v>-1.550217E-3</v>
      </c>
      <c r="AA6396">
        <v>0.99038150000000003</v>
      </c>
      <c r="AB6396">
        <v>29</v>
      </c>
      <c r="AC6396">
        <v>-50.179199999999902</v>
      </c>
      <c r="AD6396">
        <v>-1.1114673027249999</v>
      </c>
      <c r="AE6396">
        <v>-6.9673999999999898</v>
      </c>
      <c r="AF6396">
        <v>-7.0372223103221101</v>
      </c>
      <c r="AG6396">
        <v>-1.1114673027249999</v>
      </c>
      <c r="AH6396">
        <v>50.144843614948797</v>
      </c>
      <c r="AI6396">
        <v>91.257442751186801</v>
      </c>
      <c r="AJ6396">
        <v>97.988597883362203</v>
      </c>
      <c r="AK6396">
        <v>50.648427404783199</v>
      </c>
      <c r="AL6396">
        <v>75.955501981375406</v>
      </c>
      <c r="AM6396">
        <v>89.579002921379498</v>
      </c>
      <c r="AN6396">
        <v>1.0000000409435399</v>
      </c>
    </row>
    <row r="6397" spans="1:40" x14ac:dyDescent="0.25">
      <c r="A6397" t="str">
        <f>"20190312154050324"</f>
        <v>20190312154050324</v>
      </c>
      <c r="B6397" t="str">
        <f>"1552376450312898"</f>
        <v>1552376450312898</v>
      </c>
      <c r="C6397" t="s">
        <v>40</v>
      </c>
      <c r="D6397">
        <v>3.8242639999999999</v>
      </c>
      <c r="E6397">
        <v>0.44704139999999998</v>
      </c>
      <c r="F6397" t="s">
        <v>55</v>
      </c>
      <c r="G6397">
        <v>-408.8904</v>
      </c>
      <c r="H6397" s="1">
        <v>-7.3150339999999999E-6</v>
      </c>
      <c r="I6397">
        <v>133.44450000000001</v>
      </c>
      <c r="J6397">
        <v>-358.89980000000003</v>
      </c>
      <c r="K6397">
        <v>1.11147</v>
      </c>
      <c r="L6397">
        <v>140.53219999999999</v>
      </c>
      <c r="M6397">
        <v>-0.99989870000000003</v>
      </c>
      <c r="N6397">
        <v>0</v>
      </c>
      <c r="O6397">
        <v>1.0212579999999999E-3</v>
      </c>
      <c r="P6397">
        <v>-0.97363140000000004</v>
      </c>
      <c r="Q6397">
        <v>0.2280181</v>
      </c>
      <c r="R6397">
        <v>7.0864090000000001E-3</v>
      </c>
      <c r="S6397">
        <v>-3.1019589999999999</v>
      </c>
      <c r="T6397">
        <v>-6.8565849999999998E-2</v>
      </c>
      <c r="U6397">
        <v>-0.43724059999999998</v>
      </c>
      <c r="V6397">
        <v>5.9008910000000001E-3</v>
      </c>
      <c r="W6397">
        <v>0.24183060000000001</v>
      </c>
      <c r="X6397">
        <v>0.97030059999999996</v>
      </c>
      <c r="Y6397">
        <v>-0.14055390000000001</v>
      </c>
      <c r="Z6397">
        <v>-1.5680410000000001E-3</v>
      </c>
      <c r="AA6397">
        <v>0.99007179999999995</v>
      </c>
      <c r="AB6397">
        <v>29</v>
      </c>
      <c r="AC6397">
        <v>-49.990599999999901</v>
      </c>
      <c r="AD6397">
        <v>-1.111477315034</v>
      </c>
      <c r="AE6397">
        <v>-7.0876999999999803</v>
      </c>
      <c r="AF6397">
        <v>-7.1352970030486302</v>
      </c>
      <c r="AG6397">
        <v>-1.111477315034</v>
      </c>
      <c r="AH6397">
        <v>49.959124767284003</v>
      </c>
      <c r="AI6397">
        <v>91.261691973728304</v>
      </c>
      <c r="AJ6397">
        <v>98.128168286598296</v>
      </c>
      <c r="AK6397">
        <v>50.478331912381996</v>
      </c>
      <c r="AL6397">
        <v>76.005391738443905</v>
      </c>
      <c r="AM6397">
        <v>89.651559545952693</v>
      </c>
      <c r="AN6397">
        <v>1.00000005698565</v>
      </c>
    </row>
    <row r="6398" spans="1:40" x14ac:dyDescent="0.25">
      <c r="A6398" t="str">
        <f>"20190312154050340"</f>
        <v>20190312154050340</v>
      </c>
      <c r="B6398" t="str">
        <f>"1552376450332418"</f>
        <v>1552376450332418</v>
      </c>
      <c r="C6398" t="s">
        <v>40</v>
      </c>
      <c r="D6398">
        <v>3.823258</v>
      </c>
      <c r="E6398">
        <v>0.44716800000000001</v>
      </c>
      <c r="F6398" t="s">
        <v>55</v>
      </c>
      <c r="G6398">
        <v>-408.19690000000003</v>
      </c>
      <c r="H6398" s="1">
        <v>-6.8961169999999998E-6</v>
      </c>
      <c r="I6398">
        <v>133.47380000000001</v>
      </c>
      <c r="J6398">
        <v>-359.11669999999998</v>
      </c>
      <c r="K6398">
        <v>1.1114729999999999</v>
      </c>
      <c r="L6398">
        <v>140.53210000000001</v>
      </c>
      <c r="M6398">
        <v>-0.99989890000000003</v>
      </c>
      <c r="N6398">
        <v>0</v>
      </c>
      <c r="O6398">
        <v>6.96537E-4</v>
      </c>
      <c r="P6398">
        <v>-0.97377599999999997</v>
      </c>
      <c r="Q6398">
        <v>0.22741230000000001</v>
      </c>
      <c r="R6398">
        <v>6.6345220000000003E-3</v>
      </c>
      <c r="S6398">
        <v>-3.1008610000000001</v>
      </c>
      <c r="T6398">
        <v>-6.9913630000000004E-2</v>
      </c>
      <c r="U6398">
        <v>-0.44398500000000002</v>
      </c>
      <c r="V6398">
        <v>5.7644539999999996E-3</v>
      </c>
      <c r="W6398">
        <v>0.24122489999999999</v>
      </c>
      <c r="X6398">
        <v>0.97045210000000004</v>
      </c>
      <c r="Y6398">
        <v>-0.14238960000000001</v>
      </c>
      <c r="Z6398">
        <v>-1.612477E-3</v>
      </c>
      <c r="AA6398">
        <v>0.98980939999999995</v>
      </c>
      <c r="AB6398">
        <v>29</v>
      </c>
      <c r="AC6398">
        <v>-49.080199999999998</v>
      </c>
      <c r="AD6398">
        <v>-1.111479896117</v>
      </c>
      <c r="AE6398">
        <v>-7.0583</v>
      </c>
      <c r="AF6398">
        <v>-7.0889260196593202</v>
      </c>
      <c r="AG6398">
        <v>-1.111479896117</v>
      </c>
      <c r="AH6398">
        <v>49.050625323690902</v>
      </c>
      <c r="AI6398">
        <v>91.284748464337298</v>
      </c>
      <c r="AJ6398">
        <v>98.223598085232197</v>
      </c>
      <c r="AK6398">
        <v>49.572695148809302</v>
      </c>
      <c r="AL6398">
        <v>76.041153490212395</v>
      </c>
      <c r="AM6398">
        <v>89.6596689305469</v>
      </c>
      <c r="AN6398">
        <v>0.99999997985216804</v>
      </c>
    </row>
    <row r="6399" spans="1:40" x14ac:dyDescent="0.25">
      <c r="A6399" t="str">
        <f>"20190312154050352"</f>
        <v>20190312154050352</v>
      </c>
      <c r="B6399" t="str">
        <f>"1552376450342179"</f>
        <v>1552376450342179</v>
      </c>
      <c r="C6399" t="s">
        <v>40</v>
      </c>
      <c r="D6399">
        <v>3.8558789999999998</v>
      </c>
      <c r="E6399">
        <v>0.45507389999999998</v>
      </c>
      <c r="F6399" t="s">
        <v>55</v>
      </c>
      <c r="G6399">
        <v>-407.71319999999997</v>
      </c>
      <c r="H6399" s="1">
        <v>-6.6160620000000003E-6</v>
      </c>
      <c r="I6399">
        <v>133.5591</v>
      </c>
      <c r="J6399">
        <v>-359.27839999999998</v>
      </c>
      <c r="K6399">
        <v>1.1114740000000001</v>
      </c>
      <c r="L6399">
        <v>140.53190000000001</v>
      </c>
      <c r="M6399">
        <v>-0.99989910000000004</v>
      </c>
      <c r="N6399">
        <v>0</v>
      </c>
      <c r="O6399">
        <v>4.5455639999999998E-4</v>
      </c>
      <c r="P6399">
        <v>-0.97393110000000005</v>
      </c>
      <c r="Q6399">
        <v>0.22676189999999999</v>
      </c>
      <c r="R6399">
        <v>6.1238029999999997E-3</v>
      </c>
      <c r="S6399">
        <v>-3.1003419999999999</v>
      </c>
      <c r="T6399">
        <v>-7.0909739999999999E-2</v>
      </c>
      <c r="U6399">
        <v>-0.44485469999999999</v>
      </c>
      <c r="V6399">
        <v>5.4896190000000003E-3</v>
      </c>
      <c r="W6399">
        <v>0.24057429999999999</v>
      </c>
      <c r="X6399">
        <v>0.97061520000000001</v>
      </c>
      <c r="Y6399">
        <v>-0.1424444</v>
      </c>
      <c r="Z6399">
        <v>-1.6308010000000001E-3</v>
      </c>
      <c r="AA6399">
        <v>0.9898015</v>
      </c>
      <c r="AB6399">
        <v>29</v>
      </c>
      <c r="AC6399">
        <v>-48.434800000000003</v>
      </c>
      <c r="AD6399">
        <v>-1.1114806160619899</v>
      </c>
      <c r="AE6399">
        <v>-6.9728000000000003</v>
      </c>
      <c r="AF6399">
        <v>-6.99121096199584</v>
      </c>
      <c r="AG6399">
        <v>-1.1114806160619899</v>
      </c>
      <c r="AH6399">
        <v>48.406651326091499</v>
      </c>
      <c r="AI6399">
        <v>91.301852689746198</v>
      </c>
      <c r="AJ6399">
        <v>98.218211085797094</v>
      </c>
      <c r="AK6399">
        <v>48.921532196782302</v>
      </c>
      <c r="AL6399">
        <v>76.079561491603897</v>
      </c>
      <c r="AM6399">
        <v>89.675949185500997</v>
      </c>
      <c r="AN6399">
        <v>0.99999999810414697</v>
      </c>
    </row>
    <row r="6400" spans="1:40" x14ac:dyDescent="0.25">
      <c r="A6400" t="str">
        <f>"20190312154050369"</f>
        <v>20190312154050369</v>
      </c>
      <c r="B6400" t="str">
        <f>"1552376450362690"</f>
        <v>1552376450362690</v>
      </c>
      <c r="C6400" t="s">
        <v>40</v>
      </c>
      <c r="D6400">
        <v>3.8537490000000001</v>
      </c>
      <c r="E6400">
        <v>0.45472170000000001</v>
      </c>
      <c r="F6400" t="s">
        <v>42</v>
      </c>
      <c r="G6400">
        <v>-456.3075</v>
      </c>
      <c r="H6400">
        <v>7.9987509999999998E-2</v>
      </c>
      <c r="I6400">
        <v>128.5634</v>
      </c>
      <c r="J6400">
        <v>-359.4907</v>
      </c>
      <c r="K6400">
        <v>1.111472</v>
      </c>
      <c r="L6400">
        <v>140.5317</v>
      </c>
      <c r="M6400">
        <v>-0.99989919999999999</v>
      </c>
      <c r="N6400">
        <v>0</v>
      </c>
      <c r="O6400">
        <v>1.3646940000000001E-4</v>
      </c>
      <c r="P6400">
        <v>-0.97447289999999998</v>
      </c>
      <c r="Q6400">
        <v>0.22443979999999999</v>
      </c>
      <c r="R6400">
        <v>5.4110259999999898E-3</v>
      </c>
      <c r="S6400">
        <v>-3.0903930000000002</v>
      </c>
      <c r="T6400">
        <v>-3.2853010000000002E-2</v>
      </c>
      <c r="U6400">
        <v>-0.38119510000000001</v>
      </c>
      <c r="V6400">
        <v>5.0880070000000003E-3</v>
      </c>
      <c r="W6400">
        <v>0.238258</v>
      </c>
      <c r="X6400">
        <v>0.97118850000000001</v>
      </c>
      <c r="Y6400">
        <v>-0.1225493</v>
      </c>
      <c r="Z6400">
        <v>-6.5035970000000001E-4</v>
      </c>
      <c r="AA6400">
        <v>0.99246219999999996</v>
      </c>
      <c r="AB6400">
        <v>29</v>
      </c>
      <c r="AC6400">
        <v>-96.816800000000001</v>
      </c>
      <c r="AD6400">
        <v>-1.03148449</v>
      </c>
      <c r="AE6400">
        <v>-11.968299999999999</v>
      </c>
      <c r="AF6400">
        <v>-11.980174380682399</v>
      </c>
      <c r="AG6400">
        <v>-1.03148449</v>
      </c>
      <c r="AH6400">
        <v>96.804343008089106</v>
      </c>
      <c r="AI6400">
        <v>90.605862058743995</v>
      </c>
      <c r="AJ6400">
        <v>97.054858948169695</v>
      </c>
      <c r="AK6400">
        <v>97.548292469281293</v>
      </c>
      <c r="AL6400">
        <v>76.216250157660397</v>
      </c>
      <c r="AM6400">
        <v>89.699833080613601</v>
      </c>
      <c r="AN6400">
        <v>0.99999993245573804</v>
      </c>
    </row>
    <row r="6401" spans="1:40" x14ac:dyDescent="0.25">
      <c r="A6401" t="str">
        <f>"20190312154050387"</f>
        <v>20190312154050387</v>
      </c>
      <c r="B6401" t="str">
        <f>"1552376450382194"</f>
        <v>1552376450382194</v>
      </c>
      <c r="C6401" t="s">
        <v>40</v>
      </c>
      <c r="D6401">
        <v>3.874152</v>
      </c>
      <c r="E6401">
        <v>0.45488669999999998</v>
      </c>
      <c r="F6401" t="s">
        <v>55</v>
      </c>
      <c r="G6401">
        <v>-438.66730000000001</v>
      </c>
      <c r="H6401" s="1">
        <v>-3.6413479999999998E-6</v>
      </c>
      <c r="I6401">
        <v>130.62860000000001</v>
      </c>
      <c r="J6401">
        <v>-359.72190000000001</v>
      </c>
      <c r="K6401">
        <v>1.11147</v>
      </c>
      <c r="L6401">
        <v>140.53139999999999</v>
      </c>
      <c r="M6401">
        <v>-0.99989910000000004</v>
      </c>
      <c r="N6401">
        <v>0</v>
      </c>
      <c r="O6401">
        <v>-2.09748E-4</v>
      </c>
      <c r="P6401">
        <v>-0.9749679</v>
      </c>
      <c r="Q6401">
        <v>0.2222991</v>
      </c>
      <c r="R6401">
        <v>4.5508509999999999E-3</v>
      </c>
      <c r="S6401">
        <v>-3.0907589999999998</v>
      </c>
      <c r="T6401">
        <v>-4.3387889999999998E-2</v>
      </c>
      <c r="U6401">
        <v>-0.38658140000000002</v>
      </c>
      <c r="V6401">
        <v>4.5669539999999998E-3</v>
      </c>
      <c r="W6401">
        <v>0.23612159999999999</v>
      </c>
      <c r="X6401">
        <v>0.97171280000000004</v>
      </c>
      <c r="Y6401">
        <v>-0.1238894</v>
      </c>
      <c r="Z6401">
        <v>-8.632256E-4</v>
      </c>
      <c r="AA6401">
        <v>0.9922957</v>
      </c>
      <c r="AB6401">
        <v>29</v>
      </c>
      <c r="AC6401">
        <v>-78.945400000000006</v>
      </c>
      <c r="AD6401">
        <v>-1.111473641348</v>
      </c>
      <c r="AE6401">
        <v>-9.9027999999999796</v>
      </c>
      <c r="AF6401">
        <v>-9.8843105673668106</v>
      </c>
      <c r="AG6401">
        <v>-1.111473641348</v>
      </c>
      <c r="AH6401">
        <v>78.932072121231798</v>
      </c>
      <c r="AI6401">
        <v>90.800499896646301</v>
      </c>
      <c r="AJ6401">
        <v>97.137739115388399</v>
      </c>
      <c r="AK6401">
        <v>79.556313252933606</v>
      </c>
      <c r="AL6401">
        <v>76.342253757113696</v>
      </c>
      <c r="AM6401">
        <v>89.7307174889593</v>
      </c>
      <c r="AN6401">
        <v>1.0000000163696099</v>
      </c>
    </row>
    <row r="6402" spans="1:40" x14ac:dyDescent="0.25">
      <c r="A6402" t="str">
        <f>"20190312154050402"</f>
        <v>20190312154050402</v>
      </c>
      <c r="B6402" t="str">
        <f>"1552376450392931"</f>
        <v>1552376450392931</v>
      </c>
      <c r="C6402" t="s">
        <v>40</v>
      </c>
      <c r="D6402">
        <v>3.8741310000000002</v>
      </c>
      <c r="E6402">
        <v>0.4548489</v>
      </c>
      <c r="F6402" t="s">
        <v>55</v>
      </c>
      <c r="G6402">
        <v>-430.77010000000001</v>
      </c>
      <c r="H6402" s="1">
        <v>-7.7706839999999995E-6</v>
      </c>
      <c r="I6402">
        <v>131.6146</v>
      </c>
      <c r="J6402">
        <v>-359.92910000000001</v>
      </c>
      <c r="K6402">
        <v>1.111464</v>
      </c>
      <c r="L6402">
        <v>140.53100000000001</v>
      </c>
      <c r="M6402">
        <v>-0.99989910000000004</v>
      </c>
      <c r="N6402">
        <v>0</v>
      </c>
      <c r="O6402">
        <v>-5.2050519999999995E-4</v>
      </c>
      <c r="P6402">
        <v>-0.97526250000000003</v>
      </c>
      <c r="Q6402">
        <v>0.2210095</v>
      </c>
      <c r="R6402">
        <v>4.2801899999999997E-3</v>
      </c>
      <c r="S6402">
        <v>-3.089874</v>
      </c>
      <c r="T6402">
        <v>-4.8337940000000003E-2</v>
      </c>
      <c r="U6402">
        <v>-0.38778689999999999</v>
      </c>
      <c r="V6402">
        <v>4.6001779999999999E-3</v>
      </c>
      <c r="W6402">
        <v>0.23483470000000001</v>
      </c>
      <c r="X6402">
        <v>0.97202440000000001</v>
      </c>
      <c r="Y6402">
        <v>-0.1239942</v>
      </c>
      <c r="Z6402">
        <v>-9.5792269999999996E-4</v>
      </c>
      <c r="AA6402">
        <v>0.99228249999999996</v>
      </c>
      <c r="AB6402">
        <v>29</v>
      </c>
      <c r="AC6402">
        <v>-70.840999999999994</v>
      </c>
      <c r="AD6402">
        <v>-1.111471770684</v>
      </c>
      <c r="AE6402">
        <v>-8.9164000000000101</v>
      </c>
      <c r="AF6402">
        <v>-8.8773707428178597</v>
      </c>
      <c r="AG6402">
        <v>-1.111471770684</v>
      </c>
      <c r="AH6402">
        <v>70.828468269895694</v>
      </c>
      <c r="AI6402">
        <v>90.892058715705204</v>
      </c>
      <c r="AJ6402">
        <v>97.1439817966981</v>
      </c>
      <c r="AK6402">
        <v>71.3912809680712</v>
      </c>
      <c r="AL6402">
        <v>76.418120421950803</v>
      </c>
      <c r="AM6402">
        <v>89.728845472726107</v>
      </c>
      <c r="AN6402">
        <v>0.99999996607854003</v>
      </c>
    </row>
    <row r="6403" spans="1:40" x14ac:dyDescent="0.25">
      <c r="A6403" t="str">
        <f>"20190312154050425"</f>
        <v>20190312154050425</v>
      </c>
      <c r="B6403" t="str">
        <f>"1552376450412451"</f>
        <v>1552376450412451</v>
      </c>
      <c r="C6403" t="s">
        <v>40</v>
      </c>
      <c r="D6403">
        <v>3.8883990000000002</v>
      </c>
      <c r="E6403">
        <v>0.45476220000000001</v>
      </c>
      <c r="F6403" t="s">
        <v>55</v>
      </c>
      <c r="G6403">
        <v>-425.49779999999998</v>
      </c>
      <c r="H6403" s="1">
        <v>-7.6383040000000003E-6</v>
      </c>
      <c r="I6403">
        <v>132.26929999999999</v>
      </c>
      <c r="J6403">
        <v>-360.21469999999999</v>
      </c>
      <c r="K6403">
        <v>1.111462</v>
      </c>
      <c r="L6403">
        <v>140.53039999999999</v>
      </c>
      <c r="M6403">
        <v>-0.99989890000000003</v>
      </c>
      <c r="N6403">
        <v>0</v>
      </c>
      <c r="O6403">
        <v>-9.499946E-4</v>
      </c>
      <c r="P6403">
        <v>-0.97560349999999996</v>
      </c>
      <c r="Q6403">
        <v>0.21951309999999999</v>
      </c>
      <c r="R6403">
        <v>3.455339E-3</v>
      </c>
      <c r="S6403">
        <v>-3.089661</v>
      </c>
      <c r="T6403">
        <v>-5.2373650000000001E-2</v>
      </c>
      <c r="U6403">
        <v>-0.38929750000000002</v>
      </c>
      <c r="V6403">
        <v>4.19499E-3</v>
      </c>
      <c r="W6403">
        <v>0.23334050000000001</v>
      </c>
      <c r="X6403">
        <v>0.97238610000000003</v>
      </c>
      <c r="Y6403">
        <v>-0.1240516</v>
      </c>
      <c r="Z6403">
        <v>-1.0311599999999999E-3</v>
      </c>
      <c r="AA6403">
        <v>0.99227520000000002</v>
      </c>
      <c r="AB6403">
        <v>29</v>
      </c>
      <c r="AC6403">
        <v>-65.283099999999905</v>
      </c>
      <c r="AD6403">
        <v>-1.1114696383039999</v>
      </c>
      <c r="AE6403">
        <v>-8.2610999999999901</v>
      </c>
      <c r="AF6403">
        <v>-8.1967329481654794</v>
      </c>
      <c r="AG6403">
        <v>-1.1114696383039999</v>
      </c>
      <c r="AH6403">
        <v>65.272297456205393</v>
      </c>
      <c r="AI6403">
        <v>90.967948805213794</v>
      </c>
      <c r="AJ6403">
        <v>97.1575941682039</v>
      </c>
      <c r="AK6403">
        <v>65.794335705984295</v>
      </c>
      <c r="AL6403">
        <v>76.506179688287602</v>
      </c>
      <c r="AM6403">
        <v>89.752820684106595</v>
      </c>
      <c r="AN6403">
        <v>1.00000005717727</v>
      </c>
    </row>
    <row r="6404" spans="1:40" x14ac:dyDescent="0.25">
      <c r="A6404" t="str">
        <f>"20190312154050447"</f>
        <v>20190312154050447</v>
      </c>
      <c r="B6404" t="str">
        <f>"1552376450442708"</f>
        <v>1552376450442708</v>
      </c>
      <c r="C6404" t="s">
        <v>40</v>
      </c>
      <c r="D6404">
        <v>3.8896999999999999</v>
      </c>
      <c r="E6404">
        <v>0.45486169999999998</v>
      </c>
      <c r="F6404" t="s">
        <v>55</v>
      </c>
      <c r="G6404">
        <v>-425.7407</v>
      </c>
      <c r="H6404" s="1">
        <v>-7.6486029999999998E-6</v>
      </c>
      <c r="I6404">
        <v>132.19929999999999</v>
      </c>
      <c r="J6404">
        <v>-360.50319999999999</v>
      </c>
      <c r="K6404">
        <v>1.11145</v>
      </c>
      <c r="L6404">
        <v>140.52959999999999</v>
      </c>
      <c r="M6404">
        <v>-0.99989850000000002</v>
      </c>
      <c r="N6404">
        <v>0</v>
      </c>
      <c r="O6404">
        <v>-1.3877239999999999E-3</v>
      </c>
      <c r="P6404">
        <v>-0.97632200000000002</v>
      </c>
      <c r="Q6404">
        <v>0.21631239999999999</v>
      </c>
      <c r="R6404">
        <v>2.2184840000000002E-3</v>
      </c>
      <c r="S6404">
        <v>-3.0881959999999999</v>
      </c>
      <c r="T6404">
        <v>-5.2382829999999998E-2</v>
      </c>
      <c r="U6404">
        <v>-0.39263920000000002</v>
      </c>
      <c r="V6404">
        <v>3.3878279999999998E-3</v>
      </c>
      <c r="W6404">
        <v>0.2301464</v>
      </c>
      <c r="X6404">
        <v>0.97315010000000002</v>
      </c>
      <c r="Y6404">
        <v>-0.1247322</v>
      </c>
      <c r="Z6404">
        <v>-1.030111E-3</v>
      </c>
      <c r="AA6404">
        <v>0.99218989999999996</v>
      </c>
      <c r="AB6404">
        <v>29</v>
      </c>
      <c r="AC6404">
        <v>-65.237499999999997</v>
      </c>
      <c r="AD6404">
        <v>-1.1114576486029999</v>
      </c>
      <c r="AE6404">
        <v>-8.3302999999999905</v>
      </c>
      <c r="AF6404">
        <v>-8.2373985810601393</v>
      </c>
      <c r="AG6404">
        <v>-1.1114576486029999</v>
      </c>
      <c r="AH6404">
        <v>65.230368317247894</v>
      </c>
      <c r="AI6404">
        <v>90.968475900877706</v>
      </c>
      <c r="AJ6404">
        <v>97.197308336805094</v>
      </c>
      <c r="AK6404">
        <v>65.757821012345801</v>
      </c>
      <c r="AL6404">
        <v>76.694308651304198</v>
      </c>
      <c r="AM6404">
        <v>89.800536975786102</v>
      </c>
      <c r="AN6404">
        <v>0.99999997997076295</v>
      </c>
    </row>
    <row r="6405" spans="1:40" x14ac:dyDescent="0.25">
      <c r="A6405" t="str">
        <f>"20190312154050470"</f>
        <v>20190312154050470</v>
      </c>
      <c r="B6405" t="str">
        <f>"1552376450462230"</f>
        <v>1552376450462230</v>
      </c>
      <c r="C6405" t="s">
        <v>40</v>
      </c>
      <c r="D6405">
        <v>3.8952049999999998</v>
      </c>
      <c r="E6405">
        <v>0.45481159999999998</v>
      </c>
      <c r="F6405" t="s">
        <v>55</v>
      </c>
      <c r="G6405">
        <v>-419.3467</v>
      </c>
      <c r="H6405" s="1">
        <v>-7.1325839999999997E-6</v>
      </c>
      <c r="I6405">
        <v>132.98310000000001</v>
      </c>
      <c r="J6405">
        <v>-360.79489999999998</v>
      </c>
      <c r="K6405">
        <v>1.111437</v>
      </c>
      <c r="L6405">
        <v>140.52869999999999</v>
      </c>
      <c r="M6405">
        <v>-0.9998977</v>
      </c>
      <c r="N6405">
        <v>0</v>
      </c>
      <c r="O6405">
        <v>-1.8371679999999999E-3</v>
      </c>
      <c r="P6405">
        <v>-0.97702350000000004</v>
      </c>
      <c r="Q6405">
        <v>0.2131258</v>
      </c>
      <c r="R6405">
        <v>1.6109239999999999E-3</v>
      </c>
      <c r="S6405">
        <v>-3.0865779999999998</v>
      </c>
      <c r="T6405">
        <v>-5.8300379999999999E-2</v>
      </c>
      <c r="U6405">
        <v>-0.39584350000000001</v>
      </c>
      <c r="V6405">
        <v>3.2208459999999999E-3</v>
      </c>
      <c r="W6405">
        <v>0.22696749999999999</v>
      </c>
      <c r="X6405">
        <v>0.97389700000000001</v>
      </c>
      <c r="Y6405">
        <v>-0.12536059999999999</v>
      </c>
      <c r="Z6405">
        <v>-1.144436E-3</v>
      </c>
      <c r="AA6405">
        <v>0.99211059999999995</v>
      </c>
      <c r="AB6405">
        <v>29</v>
      </c>
      <c r="AC6405">
        <v>-58.5518</v>
      </c>
      <c r="AD6405">
        <v>-1.1114441325839901</v>
      </c>
      <c r="AE6405">
        <v>-7.5455999999999701</v>
      </c>
      <c r="AF6405">
        <v>-7.4353715611741702</v>
      </c>
      <c r="AG6405">
        <v>-1.1114441325839901</v>
      </c>
      <c r="AH6405">
        <v>58.544814536651302</v>
      </c>
      <c r="AI6405">
        <v>91.078936552555902</v>
      </c>
      <c r="AJ6405">
        <v>97.237990523055203</v>
      </c>
      <c r="AK6405">
        <v>59.025548429840697</v>
      </c>
      <c r="AL6405">
        <v>76.881398645992306</v>
      </c>
      <c r="AM6405">
        <v>89.810513627758098</v>
      </c>
      <c r="AN6405">
        <v>0.99999999325710198</v>
      </c>
    </row>
    <row r="6406" spans="1:40" x14ac:dyDescent="0.25">
      <c r="A6406" t="str">
        <f>"20190312154050491"</f>
        <v>20190312154050491</v>
      </c>
      <c r="B6406" t="str">
        <f>"1552376450482722"</f>
        <v>1552376450482722</v>
      </c>
      <c r="C6406" t="s">
        <v>40</v>
      </c>
      <c r="D6406">
        <v>3.8657020000000002</v>
      </c>
      <c r="E6406">
        <v>0.45478940000000001</v>
      </c>
      <c r="F6406" t="s">
        <v>55</v>
      </c>
      <c r="G6406">
        <v>-412.35160000000002</v>
      </c>
      <c r="H6406" s="1">
        <v>-7.9544800000000001E-6</v>
      </c>
      <c r="I6406">
        <v>133.8683</v>
      </c>
      <c r="J6406">
        <v>-361.0788</v>
      </c>
      <c r="K6406">
        <v>1.1114440000000001</v>
      </c>
      <c r="L6406">
        <v>140.52770000000001</v>
      </c>
      <c r="M6406">
        <v>-0.99989689999999998</v>
      </c>
      <c r="N6406">
        <v>0</v>
      </c>
      <c r="O6406">
        <v>-2.28583E-3</v>
      </c>
      <c r="P6406">
        <v>-0.97748679999999999</v>
      </c>
      <c r="Q6406">
        <v>0.21099280000000001</v>
      </c>
      <c r="R6406">
        <v>1.2683239999999999E-3</v>
      </c>
      <c r="S6406">
        <v>-3.0857239999999999</v>
      </c>
      <c r="T6406">
        <v>-6.6521170000000004E-2</v>
      </c>
      <c r="U6406">
        <v>-0.39863589999999999</v>
      </c>
      <c r="V6406">
        <v>3.3158020000000001E-3</v>
      </c>
      <c r="W6406">
        <v>0.2248386</v>
      </c>
      <c r="X6406">
        <v>0.97439039999999999</v>
      </c>
      <c r="Y6406">
        <v>-0.12582660000000001</v>
      </c>
      <c r="Z6406">
        <v>-1.3014299999999999E-3</v>
      </c>
      <c r="AA6406">
        <v>0.99205140000000003</v>
      </c>
      <c r="AB6406">
        <v>29</v>
      </c>
      <c r="AC6406">
        <v>-51.272799999999997</v>
      </c>
      <c r="AD6406">
        <v>-1.1114519544799999</v>
      </c>
      <c r="AE6406">
        <v>-6.6593999999999998</v>
      </c>
      <c r="AF6406">
        <v>-6.5391481322409897</v>
      </c>
      <c r="AG6406">
        <v>-1.1114519544799999</v>
      </c>
      <c r="AH6406">
        <v>51.264200281600303</v>
      </c>
      <c r="AI6406">
        <v>91.232047438116197</v>
      </c>
      <c r="AJ6406">
        <v>97.269266623056097</v>
      </c>
      <c r="AK6406">
        <v>51.691527490049502</v>
      </c>
      <c r="AL6406">
        <v>77.006612831760094</v>
      </c>
      <c r="AM6406">
        <v>89.805026068634007</v>
      </c>
      <c r="AN6406">
        <v>1.00000002110251</v>
      </c>
    </row>
    <row r="6407" spans="1:40" x14ac:dyDescent="0.25">
      <c r="A6407" t="str">
        <f>"20190312154050513"</f>
        <v>20190312154050513</v>
      </c>
      <c r="B6407" t="str">
        <f>"1552376450502242"</f>
        <v>1552376450502242</v>
      </c>
      <c r="C6407" t="s">
        <v>40</v>
      </c>
      <c r="D6407">
        <v>3.9166940000000001</v>
      </c>
      <c r="E6407">
        <v>0.4548894</v>
      </c>
      <c r="F6407" t="s">
        <v>55</v>
      </c>
      <c r="G6407">
        <v>-408.62119999999999</v>
      </c>
      <c r="H6407" s="1">
        <v>-7.5487519999999898E-6</v>
      </c>
      <c r="I6407">
        <v>134.36250000000001</v>
      </c>
      <c r="J6407">
        <v>-361.36669999999998</v>
      </c>
      <c r="K6407">
        <v>1.1114580000000001</v>
      </c>
      <c r="L6407">
        <v>140.5266</v>
      </c>
      <c r="M6407">
        <v>-0.9998958</v>
      </c>
      <c r="N6407">
        <v>0</v>
      </c>
      <c r="O6407">
        <v>-2.7586450000000001E-3</v>
      </c>
      <c r="P6407">
        <v>-0.97762070000000001</v>
      </c>
      <c r="Q6407">
        <v>0.21037049999999999</v>
      </c>
      <c r="R6407">
        <v>1.597596E-3</v>
      </c>
      <c r="S6407">
        <v>-3.0852050000000002</v>
      </c>
      <c r="T6407">
        <v>-7.2126270000000006E-2</v>
      </c>
      <c r="U6407">
        <v>-0.40008539999999998</v>
      </c>
      <c r="V6407">
        <v>4.1023530000000004E-3</v>
      </c>
      <c r="W6407">
        <v>0.224216</v>
      </c>
      <c r="X6407">
        <v>0.97453089999999998</v>
      </c>
      <c r="Y6407">
        <v>-0.12583230000000001</v>
      </c>
      <c r="Z6407">
        <v>-1.4003129999999901E-3</v>
      </c>
      <c r="AA6407">
        <v>0.99205049999999995</v>
      </c>
      <c r="AB6407">
        <v>29</v>
      </c>
      <c r="AC6407">
        <v>-47.2545</v>
      </c>
      <c r="AD6407">
        <v>-1.111465548752</v>
      </c>
      <c r="AE6407">
        <v>-6.1640999999999897</v>
      </c>
      <c r="AF6407">
        <v>-6.0304246689066003</v>
      </c>
      <c r="AG6407">
        <v>-1.111465548752</v>
      </c>
      <c r="AH6407">
        <v>47.245626047101197</v>
      </c>
      <c r="AI6407">
        <v>91.336807815012904</v>
      </c>
      <c r="AJ6407">
        <v>97.273893004893793</v>
      </c>
      <c r="AK6407">
        <v>47.641899184813703</v>
      </c>
      <c r="AL6407">
        <v>77.043220347759501</v>
      </c>
      <c r="AM6407">
        <v>89.758811008861002</v>
      </c>
      <c r="AN6407">
        <v>1.0000000595054701</v>
      </c>
    </row>
    <row r="6408" spans="1:40" x14ac:dyDescent="0.25">
      <c r="A6408" t="str">
        <f>"20190312154050536"</f>
        <v>20190312154050536</v>
      </c>
      <c r="B6408" t="str">
        <f>"1552376450532499"</f>
        <v>1552376450532499</v>
      </c>
      <c r="C6408" t="s">
        <v>40</v>
      </c>
      <c r="D6408">
        <v>3.9163380000000001</v>
      </c>
      <c r="E6408">
        <v>0.45490599999999998</v>
      </c>
      <c r="F6408" t="s">
        <v>55</v>
      </c>
      <c r="G6408">
        <v>-409.02609999999999</v>
      </c>
      <c r="H6408" s="1">
        <v>-7.7983419999999994E-6</v>
      </c>
      <c r="I6408">
        <v>134.3569</v>
      </c>
      <c r="J6408">
        <v>-361.66199999999998</v>
      </c>
      <c r="K6408">
        <v>1.1114759999999999</v>
      </c>
      <c r="L6408">
        <v>140.52529999999999</v>
      </c>
      <c r="M6408">
        <v>-0.99989430000000001</v>
      </c>
      <c r="N6408">
        <v>0</v>
      </c>
      <c r="O6408">
        <v>-3.2679179999999999E-3</v>
      </c>
      <c r="P6408">
        <v>-0.97762119999999997</v>
      </c>
      <c r="Q6408">
        <v>0.2103612</v>
      </c>
      <c r="R6408">
        <v>2.243774E-3</v>
      </c>
      <c r="S6408">
        <v>-3.084778</v>
      </c>
      <c r="T6408">
        <v>-7.194006E-2</v>
      </c>
      <c r="U6408">
        <v>-0.39933780000000002</v>
      </c>
      <c r="V6408">
        <v>5.2373879999999999E-3</v>
      </c>
      <c r="W6408">
        <v>0.22420519999999999</v>
      </c>
      <c r="X6408">
        <v>0.9745279</v>
      </c>
      <c r="Y6408">
        <v>-0.12510859999999999</v>
      </c>
      <c r="Z6408">
        <v>-1.376684E-3</v>
      </c>
      <c r="AA6408">
        <v>0.99214210000000003</v>
      </c>
      <c r="AB6408">
        <v>29</v>
      </c>
      <c r="AC6408">
        <v>-47.364100000000001</v>
      </c>
      <c r="AD6408">
        <v>-1.1114837983419901</v>
      </c>
      <c r="AE6408">
        <v>-6.1683999999999903</v>
      </c>
      <c r="AF6408">
        <v>-6.0103149027201201</v>
      </c>
      <c r="AG6408">
        <v>-1.1114837983419901</v>
      </c>
      <c r="AH6408">
        <v>47.358362040388599</v>
      </c>
      <c r="AI6408">
        <v>91.333770243119005</v>
      </c>
      <c r="AJ6408">
        <v>97.232819824984702</v>
      </c>
      <c r="AK6408">
        <v>47.751164767075103</v>
      </c>
      <c r="AL6408">
        <v>77.043854719917803</v>
      </c>
      <c r="AM6408">
        <v>89.692079273400793</v>
      </c>
      <c r="AN6408">
        <v>1.0000000149092501</v>
      </c>
    </row>
    <row r="6409" spans="1:40" x14ac:dyDescent="0.25">
      <c r="A6409" t="str">
        <f>"20190312154050558"</f>
        <v>20190312154050558</v>
      </c>
      <c r="B6409" t="str">
        <f>"1552376450552996"</f>
        <v>1552376450552996</v>
      </c>
      <c r="C6409" t="s">
        <v>40</v>
      </c>
      <c r="D6409">
        <v>3.9463010000000001</v>
      </c>
      <c r="E6409">
        <v>0.45480759999999998</v>
      </c>
      <c r="F6409" t="s">
        <v>55</v>
      </c>
      <c r="G6409">
        <v>-411.9692</v>
      </c>
      <c r="H6409" s="1">
        <v>-8.0613119999999997E-6</v>
      </c>
      <c r="I6409">
        <v>134.03579999999999</v>
      </c>
      <c r="J6409">
        <v>-361.94920000000002</v>
      </c>
      <c r="K6409">
        <v>1.1114919999999999</v>
      </c>
      <c r="L6409">
        <v>140.52379999999999</v>
      </c>
      <c r="M6409">
        <v>-0.99989249999999996</v>
      </c>
      <c r="N6409">
        <v>0</v>
      </c>
      <c r="O6409">
        <v>-3.7962439999999998E-3</v>
      </c>
      <c r="P6409">
        <v>-0.97782500000000006</v>
      </c>
      <c r="Q6409">
        <v>0.2093991</v>
      </c>
      <c r="R6409">
        <v>3.24041E-3</v>
      </c>
      <c r="S6409">
        <v>-3.0842589999999999</v>
      </c>
      <c r="T6409">
        <v>-6.8143490000000001E-2</v>
      </c>
      <c r="U6409">
        <v>-0.39785769999999998</v>
      </c>
      <c r="V6409">
        <v>6.7405030000000001E-3</v>
      </c>
      <c r="W6409">
        <v>0.2232451</v>
      </c>
      <c r="X6409">
        <v>0.97473900000000002</v>
      </c>
      <c r="Y6409">
        <v>-0.124140899999999</v>
      </c>
      <c r="Z6409">
        <v>-1.2820380000000001E-3</v>
      </c>
      <c r="AA6409">
        <v>0.99226380000000003</v>
      </c>
      <c r="AB6409">
        <v>29</v>
      </c>
      <c r="AC6409">
        <v>-50.019999999999897</v>
      </c>
      <c r="AD6409">
        <v>-1.1115000613120001</v>
      </c>
      <c r="AE6409">
        <v>-6.4880000000000004</v>
      </c>
      <c r="AF6409">
        <v>-6.2949891718941897</v>
      </c>
      <c r="AG6409">
        <v>-1.1115000613120001</v>
      </c>
      <c r="AH6409">
        <v>50.019981899193603</v>
      </c>
      <c r="AI6409">
        <v>91.263007685637405</v>
      </c>
      <c r="AJ6409">
        <v>97.172934671503</v>
      </c>
      <c r="AK6409">
        <v>50.426787625786901</v>
      </c>
      <c r="AL6409">
        <v>77.100294359626204</v>
      </c>
      <c r="AM6409">
        <v>89.603795254084005</v>
      </c>
      <c r="AN6409">
        <v>0.99999996358785004</v>
      </c>
    </row>
    <row r="6410" spans="1:40" x14ac:dyDescent="0.25">
      <c r="A6410" t="str">
        <f>"20190312154050581"</f>
        <v>20190312154050581</v>
      </c>
      <c r="B6410" t="str">
        <f>"1552376450572514"</f>
        <v>1552376450572514</v>
      </c>
      <c r="C6410" t="s">
        <v>40</v>
      </c>
      <c r="D6410">
        <v>3.9529550000000002</v>
      </c>
      <c r="E6410">
        <v>0.45469710000000002</v>
      </c>
      <c r="F6410" t="s">
        <v>55</v>
      </c>
      <c r="G6410">
        <v>-411.56180000000001</v>
      </c>
      <c r="H6410" s="1">
        <v>-8.1486629999999992E-6</v>
      </c>
      <c r="I6410">
        <v>134.15379999999999</v>
      </c>
      <c r="J6410">
        <v>-362.23270000000002</v>
      </c>
      <c r="K6410">
        <v>1.111502</v>
      </c>
      <c r="L6410">
        <v>140.52209999999999</v>
      </c>
      <c r="M6410">
        <v>-0.9998901</v>
      </c>
      <c r="N6410">
        <v>0</v>
      </c>
      <c r="O6410">
        <v>-4.3538520000000001E-3</v>
      </c>
      <c r="P6410">
        <v>-0.97823260000000001</v>
      </c>
      <c r="Q6410">
        <v>0.2074752</v>
      </c>
      <c r="R6410">
        <v>3.8833600000000002E-3</v>
      </c>
      <c r="S6410">
        <v>-3.0841059999999998</v>
      </c>
      <c r="T6410">
        <v>-6.9095019999999993E-2</v>
      </c>
      <c r="U6410">
        <v>-0.39598080000000002</v>
      </c>
      <c r="V6410">
        <v>7.918853E-3</v>
      </c>
      <c r="W6410">
        <v>0.22132589999999999</v>
      </c>
      <c r="X6410">
        <v>0.97516780000000003</v>
      </c>
      <c r="Y6410">
        <v>-0.12299930000000001</v>
      </c>
      <c r="Z6410">
        <v>-1.2748760000000001E-3</v>
      </c>
      <c r="AA6410">
        <v>0.99240600000000001</v>
      </c>
      <c r="AB6410">
        <v>29</v>
      </c>
      <c r="AC6410">
        <v>-49.329099999999897</v>
      </c>
      <c r="AD6410">
        <v>-1.1115101486629999</v>
      </c>
      <c r="AE6410">
        <v>-6.3682999999999996</v>
      </c>
      <c r="AF6410">
        <v>-6.1503750070734204</v>
      </c>
      <c r="AG6410">
        <v>-1.1115101486629999</v>
      </c>
      <c r="AH6410">
        <v>49.331725887608798</v>
      </c>
      <c r="AI6410">
        <v>91.280820073094105</v>
      </c>
      <c r="AJ6410">
        <v>97.106614728091699</v>
      </c>
      <c r="AK6410">
        <v>49.726067073401097</v>
      </c>
      <c r="AL6410">
        <v>77.213079237590705</v>
      </c>
      <c r="AM6410">
        <v>89.534739679884595</v>
      </c>
      <c r="AN6410">
        <v>1.00000005020024</v>
      </c>
    </row>
    <row r="6411" spans="1:40" x14ac:dyDescent="0.25">
      <c r="A6411" t="str">
        <f>"20190312154050603"</f>
        <v>20190312154050603</v>
      </c>
      <c r="B6411" t="str">
        <f>"1552376450593010"</f>
        <v>1552376450593010</v>
      </c>
      <c r="C6411" t="s">
        <v>40</v>
      </c>
      <c r="D6411">
        <v>3.9195950000000002</v>
      </c>
      <c r="E6411">
        <v>0.4545092</v>
      </c>
      <c r="F6411" t="s">
        <v>55</v>
      </c>
      <c r="G6411">
        <v>-408.76830000000001</v>
      </c>
      <c r="H6411" s="1">
        <v>-7.7294760000000005E-6</v>
      </c>
      <c r="I6411">
        <v>134.56649999999999</v>
      </c>
      <c r="J6411">
        <v>-362.52519999999998</v>
      </c>
      <c r="K6411">
        <v>1.1115079999999999</v>
      </c>
      <c r="L6411">
        <v>140.52019999999999</v>
      </c>
      <c r="M6411">
        <v>-0.99988719999999998</v>
      </c>
      <c r="N6411">
        <v>0</v>
      </c>
      <c r="O6411">
        <v>-4.9629670000000004E-3</v>
      </c>
      <c r="P6411">
        <v>-0.97865369999999996</v>
      </c>
      <c r="Q6411">
        <v>0.20546809999999999</v>
      </c>
      <c r="R6411">
        <v>4.4376199999999998E-3</v>
      </c>
      <c r="S6411">
        <v>-3.0839539999999999</v>
      </c>
      <c r="T6411">
        <v>-7.3660610000000001E-2</v>
      </c>
      <c r="U6411">
        <v>-0.39468379999999997</v>
      </c>
      <c r="V6411">
        <v>9.0591479999999995E-3</v>
      </c>
      <c r="W6411">
        <v>0.21932409999999999</v>
      </c>
      <c r="X6411">
        <v>0.97560999999999998</v>
      </c>
      <c r="Y6411">
        <v>-0.1219867</v>
      </c>
      <c r="Z6411">
        <v>-1.332668E-3</v>
      </c>
      <c r="AA6411">
        <v>0.99253080000000005</v>
      </c>
      <c r="AB6411">
        <v>29</v>
      </c>
      <c r="AC6411">
        <v>-46.243099999999998</v>
      </c>
      <c r="AD6411">
        <v>-1.1115157294760001</v>
      </c>
      <c r="AE6411">
        <v>-5.9536999999999898</v>
      </c>
      <c r="AF6411">
        <v>-5.7208493119784798</v>
      </c>
      <c r="AG6411">
        <v>-1.1115157294760001</v>
      </c>
      <c r="AH6411">
        <v>46.2457986725829</v>
      </c>
      <c r="AI6411">
        <v>91.366424941300096</v>
      </c>
      <c r="AJ6411">
        <v>97.051963820099303</v>
      </c>
      <c r="AK6411">
        <v>46.611559499037497</v>
      </c>
      <c r="AL6411">
        <v>77.330662758819699</v>
      </c>
      <c r="AM6411">
        <v>89.467988203130304</v>
      </c>
      <c r="AN6411">
        <v>1.0000000005516401</v>
      </c>
    </row>
    <row r="6412" spans="1:40" x14ac:dyDescent="0.25">
      <c r="A6412" t="str">
        <f>"20190312154050625"</f>
        <v>20190312154050625</v>
      </c>
      <c r="B6412" t="str">
        <f>"1552376450622291"</f>
        <v>1552376450622291</v>
      </c>
      <c r="C6412" t="s">
        <v>40</v>
      </c>
      <c r="D6412">
        <v>3.8441890000000001</v>
      </c>
      <c r="E6412">
        <v>0.4296587</v>
      </c>
      <c r="F6412" t="s">
        <v>55</v>
      </c>
      <c r="G6412">
        <v>-406.23020000000002</v>
      </c>
      <c r="H6412" s="1">
        <v>-6.2437500000000001E-6</v>
      </c>
      <c r="I6412">
        <v>134.92850000000001</v>
      </c>
      <c r="J6412">
        <v>-362.80650000000003</v>
      </c>
      <c r="K6412">
        <v>1.111534</v>
      </c>
      <c r="L6412">
        <v>140.5181</v>
      </c>
      <c r="M6412">
        <v>-0.9998842</v>
      </c>
      <c r="N6412">
        <v>0</v>
      </c>
      <c r="O6412">
        <v>-5.5862589999999997E-3</v>
      </c>
      <c r="P6412">
        <v>-0.97884300000000002</v>
      </c>
      <c r="Q6412">
        <v>0.2045546</v>
      </c>
      <c r="R6412">
        <v>4.9150540000000003E-3</v>
      </c>
      <c r="S6412">
        <v>-3.0836790000000001</v>
      </c>
      <c r="T6412">
        <v>-7.8424809999999998E-2</v>
      </c>
      <c r="U6412">
        <v>-0.39453129999999997</v>
      </c>
      <c r="V6412">
        <v>1.0135069999999999E-2</v>
      </c>
      <c r="W6412">
        <v>0.2184121</v>
      </c>
      <c r="X6412">
        <v>0.975804</v>
      </c>
      <c r="Y6412">
        <v>-0.1213268</v>
      </c>
      <c r="Z6412">
        <v>-1.3948249999999999E-3</v>
      </c>
      <c r="AA6412">
        <v>0.99261160000000004</v>
      </c>
      <c r="AB6412">
        <v>29</v>
      </c>
      <c r="AC6412">
        <v>-43.423699999999997</v>
      </c>
      <c r="AD6412">
        <v>-1.1115402437499999</v>
      </c>
      <c r="AE6412">
        <v>-5.5895999999999901</v>
      </c>
      <c r="AF6412">
        <v>-5.3434682673717102</v>
      </c>
      <c r="AG6412">
        <v>-1.1115402437499999</v>
      </c>
      <c r="AH6412">
        <v>43.426259801306202</v>
      </c>
      <c r="AI6412">
        <v>91.455254351094993</v>
      </c>
      <c r="AJ6412">
        <v>97.014809317347201</v>
      </c>
      <c r="AK6412">
        <v>43.767890229806902</v>
      </c>
      <c r="AL6412">
        <v>77.384214979680706</v>
      </c>
      <c r="AM6412">
        <v>89.404925726710104</v>
      </c>
      <c r="AN6412">
        <v>1.00000000574315</v>
      </c>
    </row>
    <row r="6413" spans="1:40" x14ac:dyDescent="0.25">
      <c r="A6413" t="str">
        <f>"20190312154050648"</f>
        <v>20190312154050648</v>
      </c>
      <c r="B6413" t="str">
        <f>"1552376450642790"</f>
        <v>1552376450642790</v>
      </c>
      <c r="C6413" t="s">
        <v>40</v>
      </c>
      <c r="D6413">
        <v>3.8583440000000002</v>
      </c>
      <c r="E6413">
        <v>0.42730950000000001</v>
      </c>
      <c r="F6413" t="s">
        <v>42</v>
      </c>
      <c r="G6413">
        <v>-397.49829999999997</v>
      </c>
      <c r="H6413" s="1">
        <v>-2.3721699999999999E-6</v>
      </c>
      <c r="I6413">
        <v>133.84799999999899</v>
      </c>
      <c r="J6413">
        <v>-363.09719999999999</v>
      </c>
      <c r="K6413">
        <v>1.1115649999999999</v>
      </c>
      <c r="L6413">
        <v>140.51570000000001</v>
      </c>
      <c r="M6413">
        <v>-0.99987999999999999</v>
      </c>
      <c r="N6413">
        <v>0</v>
      </c>
      <c r="O6413">
        <v>-6.2750699999999998E-3</v>
      </c>
      <c r="P6413">
        <v>-0.97865559999999996</v>
      </c>
      <c r="Q6413">
        <v>0.20546310000000001</v>
      </c>
      <c r="R6413">
        <v>4.2472689999999997E-3</v>
      </c>
      <c r="S6413">
        <v>-3.088562</v>
      </c>
      <c r="T6413">
        <v>-9.8958729999999995E-2</v>
      </c>
      <c r="U6413">
        <v>-0.59382630000000003</v>
      </c>
      <c r="V6413">
        <v>1.012351E-2</v>
      </c>
      <c r="W6413">
        <v>0.2193157</v>
      </c>
      <c r="X6413">
        <v>0.97560139999999995</v>
      </c>
      <c r="Y6413">
        <v>-0.18255440000000001</v>
      </c>
      <c r="Z6413">
        <v>-2.6981240000000001E-3</v>
      </c>
      <c r="AA6413">
        <v>0.98319199999999995</v>
      </c>
      <c r="AB6413">
        <v>29</v>
      </c>
      <c r="AC6413">
        <v>-34.4010999999999</v>
      </c>
      <c r="AD6413">
        <v>-1.1115673721699999</v>
      </c>
      <c r="AE6413">
        <v>-6.6677000000000204</v>
      </c>
      <c r="AF6413">
        <v>-6.4451921835282899</v>
      </c>
      <c r="AG6413">
        <v>-1.1115673721699999</v>
      </c>
      <c r="AH6413">
        <v>34.407643963636097</v>
      </c>
      <c r="AI6413">
        <v>91.818732779581893</v>
      </c>
      <c r="AJ6413">
        <v>100.609615260586</v>
      </c>
      <c r="AK6413">
        <v>35.023735486578701</v>
      </c>
      <c r="AL6413">
        <v>77.331155746439293</v>
      </c>
      <c r="AM6413">
        <v>89.405480988771401</v>
      </c>
      <c r="AN6413">
        <v>0.99999997670158403</v>
      </c>
    </row>
    <row r="6414" spans="1:40" x14ac:dyDescent="0.25">
      <c r="A6414" t="str">
        <f>"20190312154050670"</f>
        <v>20190312154050670</v>
      </c>
      <c r="B6414" t="str">
        <f>"1552376450662308"</f>
        <v>1552376450662308</v>
      </c>
      <c r="C6414" t="s">
        <v>40</v>
      </c>
      <c r="D6414">
        <v>3.7737470000000002</v>
      </c>
      <c r="E6414">
        <v>0.42622910000000003</v>
      </c>
      <c r="F6414" t="s">
        <v>42</v>
      </c>
      <c r="G6414">
        <v>-397.68720000000002</v>
      </c>
      <c r="H6414" s="1">
        <v>-2.3659359999999998E-6</v>
      </c>
      <c r="I6414">
        <v>133.62979999999999</v>
      </c>
      <c r="J6414">
        <v>-363.38389999999998</v>
      </c>
      <c r="K6414">
        <v>1.111602</v>
      </c>
      <c r="L6414">
        <v>140.51320000000001</v>
      </c>
      <c r="M6414">
        <v>-0.99987530000000002</v>
      </c>
      <c r="N6414">
        <v>0</v>
      </c>
      <c r="O6414">
        <v>-7.0081029999999999E-3</v>
      </c>
      <c r="P6414">
        <v>-0.97868750000000004</v>
      </c>
      <c r="Q6414">
        <v>0.20533570000000001</v>
      </c>
      <c r="R6414">
        <v>2.9190409999999998E-3</v>
      </c>
      <c r="S6414">
        <v>-3.0889280000000001</v>
      </c>
      <c r="T6414">
        <v>-9.9264260000000007E-2</v>
      </c>
      <c r="U6414">
        <v>-0.61491390000000001</v>
      </c>
      <c r="V6414">
        <v>9.4942529999999994E-3</v>
      </c>
      <c r="W6414">
        <v>0.21918679999999999</v>
      </c>
      <c r="X6414">
        <v>0.97563670000000002</v>
      </c>
      <c r="Y6414">
        <v>-0.18827070000000001</v>
      </c>
      <c r="Z6414">
        <v>-2.771997E-3</v>
      </c>
      <c r="AA6414">
        <v>0.98211320000000002</v>
      </c>
      <c r="AB6414">
        <v>29</v>
      </c>
      <c r="AC6414">
        <v>-34.3033</v>
      </c>
      <c r="AD6414">
        <v>-1.111604365936</v>
      </c>
      <c r="AE6414">
        <v>-6.8834000000000204</v>
      </c>
      <c r="AF6414">
        <v>-6.6361069816331204</v>
      </c>
      <c r="AG6414">
        <v>-1.111604365936</v>
      </c>
      <c r="AH6414">
        <v>34.316061531535802</v>
      </c>
      <c r="AI6414">
        <v>91.821615314335403</v>
      </c>
      <c r="AJ6414">
        <v>100.944870687985</v>
      </c>
      <c r="AK6414">
        <v>34.969496124110798</v>
      </c>
      <c r="AL6414">
        <v>77.338725424554099</v>
      </c>
      <c r="AM6414">
        <v>89.442452855624197</v>
      </c>
      <c r="AN6414">
        <v>0.99999998226057796</v>
      </c>
    </row>
    <row r="6415" spans="1:40" x14ac:dyDescent="0.25">
      <c r="A6415" t="str">
        <f>"20190312154050692"</f>
        <v>20190312154050692</v>
      </c>
      <c r="B6415" t="str">
        <f>"1552376450682803"</f>
        <v>1552376450682803</v>
      </c>
      <c r="C6415" t="s">
        <v>40</v>
      </c>
      <c r="D6415">
        <v>3.8445900000000002</v>
      </c>
      <c r="E6415">
        <v>0.42561520000000003</v>
      </c>
      <c r="F6415" t="s">
        <v>42</v>
      </c>
      <c r="G6415">
        <v>-398.49400000000003</v>
      </c>
      <c r="H6415" s="1">
        <v>-2.159722E-6</v>
      </c>
      <c r="I6415">
        <v>133.37289999999999</v>
      </c>
      <c r="J6415">
        <v>-363.66730000000001</v>
      </c>
      <c r="K6415">
        <v>1.1116539999999999</v>
      </c>
      <c r="L6415">
        <v>140.5103</v>
      </c>
      <c r="M6415">
        <v>-0.99986949999999997</v>
      </c>
      <c r="N6415">
        <v>0</v>
      </c>
      <c r="O6415">
        <v>-7.792551E-3</v>
      </c>
      <c r="P6415">
        <v>-0.97889910000000002</v>
      </c>
      <c r="Q6415">
        <v>0.20433860000000001</v>
      </c>
      <c r="R6415">
        <v>1.5085960000000001E-3</v>
      </c>
      <c r="S6415">
        <v>-3.0877080000000001</v>
      </c>
      <c r="T6415">
        <v>-9.7758410000000004E-2</v>
      </c>
      <c r="U6415">
        <v>-0.62792969999999904</v>
      </c>
      <c r="V6415">
        <v>8.8313950000000006E-3</v>
      </c>
      <c r="W6415">
        <v>0.21819060000000001</v>
      </c>
      <c r="X6415">
        <v>0.97586620000000002</v>
      </c>
      <c r="Y6415">
        <v>-0.19155369999999999</v>
      </c>
      <c r="Z6415">
        <v>-2.7567630000000002E-3</v>
      </c>
      <c r="AA6415">
        <v>0.98147830000000003</v>
      </c>
      <c r="AB6415">
        <v>29</v>
      </c>
      <c r="AC6415">
        <v>-34.826700000000002</v>
      </c>
      <c r="AD6415">
        <v>-1.111656159722</v>
      </c>
      <c r="AE6415">
        <v>-7.1374000000000102</v>
      </c>
      <c r="AF6415">
        <v>-6.85906047084777</v>
      </c>
      <c r="AG6415">
        <v>-1.111656159722</v>
      </c>
      <c r="AH6415">
        <v>34.847193037220499</v>
      </c>
      <c r="AI6415">
        <v>91.792790243024797</v>
      </c>
      <c r="AJ6415">
        <v>101.13532298995899</v>
      </c>
      <c r="AK6415">
        <v>35.5332147790416</v>
      </c>
      <c r="AL6415">
        <v>77.3972193947329</v>
      </c>
      <c r="AM6415">
        <v>89.481498746721698</v>
      </c>
      <c r="AN6415">
        <v>0.99999998588422301</v>
      </c>
    </row>
    <row r="6416" spans="1:40" x14ac:dyDescent="0.25">
      <c r="A6416" t="str">
        <f>"20190312154050715"</f>
        <v>20190312154050715</v>
      </c>
      <c r="B6416" t="str">
        <f>"1552376450702323"</f>
        <v>1552376450702323</v>
      </c>
      <c r="C6416" t="s">
        <v>40</v>
      </c>
      <c r="D6416">
        <v>3.8495740000000001</v>
      </c>
      <c r="E6416">
        <v>0.425095</v>
      </c>
      <c r="F6416" t="s">
        <v>42</v>
      </c>
      <c r="G6416">
        <v>-399.82260000000002</v>
      </c>
      <c r="H6416" s="1">
        <v>-1.7969629999999999E-6</v>
      </c>
      <c r="I6416">
        <v>133.03700000000001</v>
      </c>
      <c r="J6416">
        <v>-363.94850000000002</v>
      </c>
      <c r="K6416">
        <v>1.11171</v>
      </c>
      <c r="L6416">
        <v>140.50720000000001</v>
      </c>
      <c r="M6416">
        <v>-0.99986260000000005</v>
      </c>
      <c r="N6416">
        <v>0</v>
      </c>
      <c r="O6416">
        <v>-8.6413089999999998E-3</v>
      </c>
      <c r="P6416">
        <v>-0.97919089999999998</v>
      </c>
      <c r="Q6416">
        <v>0.20294010000000001</v>
      </c>
      <c r="R6416">
        <v>7.6829830000000004E-4</v>
      </c>
      <c r="S6416">
        <v>-3.0854490000000001</v>
      </c>
      <c r="T6416">
        <v>-9.4867229999999997E-2</v>
      </c>
      <c r="U6416">
        <v>-0.63775630000000005</v>
      </c>
      <c r="V6416">
        <v>8.8986910000000002E-3</v>
      </c>
      <c r="W6416">
        <v>0.2167953</v>
      </c>
      <c r="X6416">
        <v>0.97617659999999995</v>
      </c>
      <c r="Y6416">
        <v>-0.19386439999999999</v>
      </c>
      <c r="Z6416">
        <v>-2.685677E-3</v>
      </c>
      <c r="AA6416">
        <v>0.98102460000000002</v>
      </c>
      <c r="AB6416">
        <v>29</v>
      </c>
      <c r="AC6416">
        <v>-35.874099999999999</v>
      </c>
      <c r="AD6416">
        <v>-1.1117117969629999</v>
      </c>
      <c r="AE6416">
        <v>-7.4702000000000002</v>
      </c>
      <c r="AF6416">
        <v>-7.1533067548951701</v>
      </c>
      <c r="AG6416">
        <v>-1.1117117969629999</v>
      </c>
      <c r="AH6416">
        <v>35.904271940267002</v>
      </c>
      <c r="AI6416">
        <v>91.739332377345406</v>
      </c>
      <c r="AJ6416">
        <v>101.267656710011</v>
      </c>
      <c r="AK6416">
        <v>36.626799535446402</v>
      </c>
      <c r="AL6416">
        <v>77.479125957543204</v>
      </c>
      <c r="AM6416">
        <v>89.477714057758703</v>
      </c>
      <c r="AN6416">
        <v>1.0000000715955699</v>
      </c>
    </row>
    <row r="6417" spans="1:40" x14ac:dyDescent="0.25">
      <c r="A6417" t="str">
        <f>"20190312154050737"</f>
        <v>20190312154050737</v>
      </c>
      <c r="B6417" t="str">
        <f>"1552376450732579"</f>
        <v>1552376450732579</v>
      </c>
      <c r="C6417" t="s">
        <v>40</v>
      </c>
      <c r="D6417">
        <v>3.7869739999999998</v>
      </c>
      <c r="E6417">
        <v>0.42430370000000001</v>
      </c>
      <c r="F6417" t="s">
        <v>42</v>
      </c>
      <c r="G6417">
        <v>-398.89420000000001</v>
      </c>
      <c r="H6417" s="1">
        <v>-2.0703459999999999E-6</v>
      </c>
      <c r="I6417">
        <v>133.197</v>
      </c>
      <c r="J6417">
        <v>-364.2405</v>
      </c>
      <c r="K6417">
        <v>1.111774</v>
      </c>
      <c r="L6417">
        <v>140.50370000000001</v>
      </c>
      <c r="M6417">
        <v>-0.99985360000000001</v>
      </c>
      <c r="N6417">
        <v>0</v>
      </c>
      <c r="O6417">
        <v>-9.6109530000000002E-3</v>
      </c>
      <c r="P6417">
        <v>-0.97924789999999995</v>
      </c>
      <c r="Q6417">
        <v>0.20266580000000001</v>
      </c>
      <c r="R6417">
        <v>4.8038360000000001E-4</v>
      </c>
      <c r="S6417">
        <v>-3.0845639999999999</v>
      </c>
      <c r="T6417">
        <v>-9.812796E-2</v>
      </c>
      <c r="U6417">
        <v>-0.64524840000000006</v>
      </c>
      <c r="V6417">
        <v>9.5271230000000002E-3</v>
      </c>
      <c r="W6417">
        <v>0.21652250000000001</v>
      </c>
      <c r="X6417">
        <v>0.97623119999999997</v>
      </c>
      <c r="Y6417">
        <v>-0.1952467</v>
      </c>
      <c r="Z6417">
        <v>-2.7692929999999999E-3</v>
      </c>
      <c r="AA6417">
        <v>0.98075029999999996</v>
      </c>
      <c r="AB6417">
        <v>29</v>
      </c>
      <c r="AC6417">
        <v>-34.653700000000001</v>
      </c>
      <c r="AD6417">
        <v>-1.111776070346</v>
      </c>
      <c r="AE6417">
        <v>-7.3067000000000002</v>
      </c>
      <c r="AF6417">
        <v>-6.9664087949863598</v>
      </c>
      <c r="AG6417">
        <v>-1.111776070346</v>
      </c>
      <c r="AH6417">
        <v>34.688146311011899</v>
      </c>
      <c r="AI6417">
        <v>91.799823366572497</v>
      </c>
      <c r="AJ6417">
        <v>101.355633143405</v>
      </c>
      <c r="AK6417">
        <v>35.3982258315813</v>
      </c>
      <c r="AL6417">
        <v>77.495136358991104</v>
      </c>
      <c r="AM6417">
        <v>89.440863383100293</v>
      </c>
      <c r="AN6417">
        <v>1.00000005746617</v>
      </c>
    </row>
    <row r="6418" spans="1:40" x14ac:dyDescent="0.25">
      <c r="A6418" t="str">
        <f>"20190312154050759"</f>
        <v>20190312154050759</v>
      </c>
      <c r="B6418" t="str">
        <f>"1552376450753075"</f>
        <v>1552376450753075</v>
      </c>
      <c r="C6418" t="s">
        <v>40</v>
      </c>
      <c r="D6418">
        <v>3.823267</v>
      </c>
      <c r="E6418">
        <v>0.42381980000000002</v>
      </c>
      <c r="F6418" t="s">
        <v>42</v>
      </c>
      <c r="G6418">
        <v>-398.91570000000002</v>
      </c>
      <c r="H6418" s="1">
        <v>-2.072406E-6</v>
      </c>
      <c r="I6418">
        <v>133.1617</v>
      </c>
      <c r="J6418">
        <v>-364.52390000000003</v>
      </c>
      <c r="K6418">
        <v>1.111847</v>
      </c>
      <c r="L6418">
        <v>140.4999</v>
      </c>
      <c r="M6418">
        <v>-0.99984300000000004</v>
      </c>
      <c r="N6418">
        <v>0</v>
      </c>
      <c r="O6418">
        <v>-1.0662420000000001E-2</v>
      </c>
      <c r="P6418">
        <v>-0.97930220000000001</v>
      </c>
      <c r="Q6418">
        <v>0.20240369999999999</v>
      </c>
      <c r="R6418">
        <v>3.5777360000000002E-4</v>
      </c>
      <c r="S6418">
        <v>-3.0843509999999998</v>
      </c>
      <c r="T6418">
        <v>-9.8892090000000002E-2</v>
      </c>
      <c r="U6418">
        <v>-0.65306090000000006</v>
      </c>
      <c r="V6418">
        <v>1.039679E-2</v>
      </c>
      <c r="W6418">
        <v>0.21626229999999999</v>
      </c>
      <c r="X6418">
        <v>0.97628000000000004</v>
      </c>
      <c r="Y6418">
        <v>-0.196606</v>
      </c>
      <c r="Z6418">
        <v>-2.7785470000000001E-3</v>
      </c>
      <c r="AA6418">
        <v>0.98047859999999998</v>
      </c>
      <c r="AB6418">
        <v>29</v>
      </c>
      <c r="AC6418">
        <v>-34.391799999999897</v>
      </c>
      <c r="AD6418">
        <v>-1.1118490724059999</v>
      </c>
      <c r="AE6418">
        <v>-7.3381999999999996</v>
      </c>
      <c r="AF6418">
        <v>-6.9640846051743903</v>
      </c>
      <c r="AG6418">
        <v>-1.1118490724059999</v>
      </c>
      <c r="AH6418">
        <v>34.433673892754101</v>
      </c>
      <c r="AI6418">
        <v>91.812737488634099</v>
      </c>
      <c r="AJ6418">
        <v>101.433634562192</v>
      </c>
      <c r="AK6418">
        <v>35.148436387702603</v>
      </c>
      <c r="AL6418">
        <v>77.510406518400401</v>
      </c>
      <c r="AM6418">
        <v>89.389857756024696</v>
      </c>
      <c r="AN6418">
        <v>1.00000005702179</v>
      </c>
    </row>
    <row r="6419" spans="1:40" x14ac:dyDescent="0.25">
      <c r="A6419" t="str">
        <f>"20190312154050782"</f>
        <v>20190312154050782</v>
      </c>
      <c r="B6419" t="str">
        <f>"1552376450772595"</f>
        <v>1552376450772595</v>
      </c>
      <c r="C6419" t="s">
        <v>40</v>
      </c>
      <c r="D6419">
        <v>3.8227609999999999</v>
      </c>
      <c r="E6419">
        <v>0.42342980000000002</v>
      </c>
      <c r="F6419" t="s">
        <v>42</v>
      </c>
      <c r="G6419">
        <v>-398.97019999999998</v>
      </c>
      <c r="H6419" s="1">
        <v>-2.0559340000000002E-6</v>
      </c>
      <c r="I6419">
        <v>133.15389999999999</v>
      </c>
      <c r="J6419">
        <v>-364.80650000000003</v>
      </c>
      <c r="K6419">
        <v>1.111915</v>
      </c>
      <c r="L6419">
        <v>140.4956</v>
      </c>
      <c r="M6419">
        <v>-0.99983040000000001</v>
      </c>
      <c r="N6419">
        <v>0</v>
      </c>
      <c r="O6419">
        <v>-1.1798980000000001E-2</v>
      </c>
      <c r="P6419">
        <v>-0.97944430000000005</v>
      </c>
      <c r="Q6419">
        <v>0.20171520000000001</v>
      </c>
      <c r="R6419">
        <v>2.0785580000000001E-4</v>
      </c>
      <c r="S6419">
        <v>-3.0842290000000001</v>
      </c>
      <c r="T6419">
        <v>-9.9551920000000002E-2</v>
      </c>
      <c r="U6419">
        <v>-0.65773009999999998</v>
      </c>
      <c r="V6419">
        <v>1.1325470000000001E-2</v>
      </c>
      <c r="W6419">
        <v>0.21557780000000001</v>
      </c>
      <c r="X6419">
        <v>0.97642099999999998</v>
      </c>
      <c r="Y6419">
        <v>-0.1969188</v>
      </c>
      <c r="Z6419">
        <v>-2.765492E-3</v>
      </c>
      <c r="AA6419">
        <v>0.98041590000000001</v>
      </c>
      <c r="AB6419">
        <v>29</v>
      </c>
      <c r="AC6419">
        <v>-34.163699999999899</v>
      </c>
      <c r="AD6419">
        <v>-1.1119170559339999</v>
      </c>
      <c r="AE6419">
        <v>-7.3417000000000003</v>
      </c>
      <c r="AF6419">
        <v>-6.9310338357199397</v>
      </c>
      <c r="AG6419">
        <v>-1.1119170559339999</v>
      </c>
      <c r="AH6419">
        <v>34.213312583866298</v>
      </c>
      <c r="AI6419">
        <v>91.824397255968094</v>
      </c>
      <c r="AJ6419">
        <v>101.45216173154</v>
      </c>
      <c r="AK6419">
        <v>34.926012476841898</v>
      </c>
      <c r="AL6419">
        <v>77.550572388922006</v>
      </c>
      <c r="AM6419">
        <v>89.335458235578002</v>
      </c>
      <c r="AN6419">
        <v>1.00000001168228</v>
      </c>
    </row>
    <row r="6420" spans="1:40" x14ac:dyDescent="0.25">
      <c r="A6420" t="str">
        <f>"20190312154050805"</f>
        <v>20190312154050805</v>
      </c>
      <c r="B6420" t="str">
        <f>"1552376450802851"</f>
        <v>1552376450802851</v>
      </c>
      <c r="C6420" t="s">
        <v>40</v>
      </c>
      <c r="D6420">
        <v>3.7455310000000002</v>
      </c>
      <c r="E6420">
        <v>0.42305559999999998</v>
      </c>
      <c r="F6420" t="s">
        <v>42</v>
      </c>
      <c r="G6420">
        <v>-398.3614</v>
      </c>
      <c r="H6420" s="1">
        <v>-2.223808E-6</v>
      </c>
      <c r="I6420">
        <v>133.30160000000001</v>
      </c>
      <c r="J6420">
        <v>-365.0994</v>
      </c>
      <c r="K6420">
        <v>1.111982</v>
      </c>
      <c r="L6420">
        <v>140.49080000000001</v>
      </c>
      <c r="M6420">
        <v>-0.99981439999999999</v>
      </c>
      <c r="N6420">
        <v>0</v>
      </c>
      <c r="O6420">
        <v>-1.3084739999999999E-2</v>
      </c>
      <c r="P6420">
        <v>-0.97968860000000002</v>
      </c>
      <c r="Q6420">
        <v>0.2005246</v>
      </c>
      <c r="R6420">
        <v>-5.283849E-4</v>
      </c>
      <c r="S6420">
        <v>-3.0841059999999998</v>
      </c>
      <c r="T6420">
        <v>-0.10219880000000001</v>
      </c>
      <c r="U6420">
        <v>-0.66120909999999999</v>
      </c>
      <c r="V6420">
        <v>1.181567E-2</v>
      </c>
      <c r="W6420">
        <v>0.21439269999999999</v>
      </c>
      <c r="X6420">
        <v>0.97667610000000005</v>
      </c>
      <c r="Y6420">
        <v>-0.19671930000000001</v>
      </c>
      <c r="Z6420">
        <v>-2.7934050000000001E-3</v>
      </c>
      <c r="AA6420">
        <v>0.98045590000000005</v>
      </c>
      <c r="AB6420">
        <v>29</v>
      </c>
      <c r="AC6420">
        <v>-33.262</v>
      </c>
      <c r="AD6420">
        <v>-1.111984223808</v>
      </c>
      <c r="AE6420">
        <v>-7.1891999999999996</v>
      </c>
      <c r="AF6420">
        <v>-6.74611307865454</v>
      </c>
      <c r="AG6420">
        <v>-1.111984223808</v>
      </c>
      <c r="AH6420">
        <v>33.3176550251858</v>
      </c>
      <c r="AI6420">
        <v>91.873557973848804</v>
      </c>
      <c r="AJ6420">
        <v>101.44641997025801</v>
      </c>
      <c r="AK6420">
        <v>34.011949179094103</v>
      </c>
      <c r="AL6420">
        <v>77.620099480425495</v>
      </c>
      <c r="AM6420">
        <v>89.306878709790595</v>
      </c>
      <c r="AN6420">
        <v>1.0000000220910199</v>
      </c>
    </row>
    <row r="6421" spans="1:40" x14ac:dyDescent="0.25">
      <c r="A6421" t="str">
        <f>"20190312154050827"</f>
        <v>20190312154050827</v>
      </c>
      <c r="B6421" t="str">
        <f>"1552376450822370"</f>
        <v>1552376450822370</v>
      </c>
      <c r="C6421" t="s">
        <v>40</v>
      </c>
      <c r="D6421">
        <v>3.8436979999999998</v>
      </c>
      <c r="E6421">
        <v>0.42277439999999999</v>
      </c>
      <c r="F6421" t="s">
        <v>42</v>
      </c>
      <c r="G6421">
        <v>-397.52609999999999</v>
      </c>
      <c r="H6421" s="1">
        <v>-2.460532E-6</v>
      </c>
      <c r="I6421">
        <v>133.4803</v>
      </c>
      <c r="J6421">
        <v>-365.37279999999998</v>
      </c>
      <c r="K6421">
        <v>1.1120509999999999</v>
      </c>
      <c r="L6421">
        <v>140.48580000000001</v>
      </c>
      <c r="M6421">
        <v>-0.99979640000000003</v>
      </c>
      <c r="N6421">
        <v>0</v>
      </c>
      <c r="O6421">
        <v>-1.439556E-2</v>
      </c>
      <c r="P6421">
        <v>-0.98002389999999995</v>
      </c>
      <c r="Q6421">
        <v>0.1988724</v>
      </c>
      <c r="R6421">
        <v>-1.8051180000000001E-3</v>
      </c>
      <c r="S6421">
        <v>-3.083466</v>
      </c>
      <c r="T6421">
        <v>-0.105739</v>
      </c>
      <c r="U6421">
        <v>-0.66662600000000005</v>
      </c>
      <c r="V6421">
        <v>1.179325E-2</v>
      </c>
      <c r="W6421">
        <v>0.21274589999999999</v>
      </c>
      <c r="X6421">
        <v>0.97703640000000003</v>
      </c>
      <c r="Y6421">
        <v>-0.1971155</v>
      </c>
      <c r="Z6421">
        <v>-2.852495E-3</v>
      </c>
      <c r="AA6421">
        <v>0.98037609999999997</v>
      </c>
      <c r="AB6421">
        <v>28</v>
      </c>
      <c r="AC6421">
        <v>-32.153300000000002</v>
      </c>
      <c r="AD6421">
        <v>-1.112053460532</v>
      </c>
      <c r="AE6421">
        <v>-7.0055000000000103</v>
      </c>
      <c r="AF6421">
        <v>-6.5344007479811799</v>
      </c>
      <c r="AG6421">
        <v>-1.112053460532</v>
      </c>
      <c r="AH6421">
        <v>32.214037972528402</v>
      </c>
      <c r="AI6421">
        <v>91.937678976879297</v>
      </c>
      <c r="AJ6421">
        <v>101.466488092422</v>
      </c>
      <c r="AK6421">
        <v>32.888893239660703</v>
      </c>
      <c r="AL6421">
        <v>77.716682437766195</v>
      </c>
      <c r="AM6421">
        <v>89.308448857169694</v>
      </c>
      <c r="AN6421">
        <v>1.0000000128186599</v>
      </c>
    </row>
    <row r="6422" spans="1:40" x14ac:dyDescent="0.25">
      <c r="A6422" t="str">
        <f>"20190312154050849"</f>
        <v>20190312154050849</v>
      </c>
      <c r="B6422" t="str">
        <f>"1552376450842871"</f>
        <v>1552376450842871</v>
      </c>
      <c r="C6422" t="s">
        <v>40</v>
      </c>
      <c r="D6422">
        <v>3.895003</v>
      </c>
      <c r="E6422">
        <v>0.4225025</v>
      </c>
      <c r="F6422" t="s">
        <v>42</v>
      </c>
      <c r="G6422">
        <v>-396.83539999999999</v>
      </c>
      <c r="H6422" s="1">
        <v>-2.6568510000000001E-6</v>
      </c>
      <c r="I6422">
        <v>133.6259</v>
      </c>
      <c r="J6422">
        <v>-365.66129999999998</v>
      </c>
      <c r="K6422">
        <v>1.1121299999999901</v>
      </c>
      <c r="L6422">
        <v>140.47999999999999</v>
      </c>
      <c r="M6422">
        <v>-0.99977360000000004</v>
      </c>
      <c r="N6422">
        <v>0</v>
      </c>
      <c r="O6422">
        <v>-1.590107E-2</v>
      </c>
      <c r="P6422">
        <v>-0.98036120000000004</v>
      </c>
      <c r="Q6422">
        <v>0.19717009999999999</v>
      </c>
      <c r="R6422">
        <v>-4.0570149999999998E-3</v>
      </c>
      <c r="S6422">
        <v>-3.0820310000000002</v>
      </c>
      <c r="T6422">
        <v>-0.1089354</v>
      </c>
      <c r="U6422">
        <v>-0.67198179999999996</v>
      </c>
      <c r="V6422">
        <v>1.098208E-2</v>
      </c>
      <c r="W6422">
        <v>0.21104829999999999</v>
      </c>
      <c r="X6422">
        <v>0.97741400000000001</v>
      </c>
      <c r="Y6422">
        <v>-0.1973549</v>
      </c>
      <c r="Z6422">
        <v>-2.8911169999999999E-3</v>
      </c>
      <c r="AA6422">
        <v>0.98032779999999997</v>
      </c>
      <c r="AB6422">
        <v>28</v>
      </c>
      <c r="AC6422">
        <v>-31.174099999999999</v>
      </c>
      <c r="AD6422">
        <v>-1.1121326568509999</v>
      </c>
      <c r="AE6422">
        <v>-6.8540999999999803</v>
      </c>
      <c r="AF6422">
        <v>-6.3497734630120801</v>
      </c>
      <c r="AG6422">
        <v>-1.1121326568509999</v>
      </c>
      <c r="AH6422">
        <v>31.241229070355899</v>
      </c>
      <c r="AI6422">
        <v>91.997951376987402</v>
      </c>
      <c r="AJ6422">
        <v>101.48885819142301</v>
      </c>
      <c r="AK6422">
        <v>31.8993864502824</v>
      </c>
      <c r="AL6422">
        <v>77.816208362975303</v>
      </c>
      <c r="AM6422">
        <v>89.356260133889805</v>
      </c>
      <c r="AN6422">
        <v>1.000000059205</v>
      </c>
    </row>
    <row r="6423" spans="1:40" x14ac:dyDescent="0.25">
      <c r="A6423" t="str">
        <f>"20190312154050871"</f>
        <v>20190312154050871</v>
      </c>
      <c r="B6423" t="str">
        <f>"1552376450862387"</f>
        <v>1552376450862387</v>
      </c>
      <c r="C6423" t="s">
        <v>40</v>
      </c>
      <c r="D6423">
        <v>3.8278099999999999</v>
      </c>
      <c r="E6423">
        <v>0.4222766</v>
      </c>
      <c r="F6423" t="s">
        <v>42</v>
      </c>
      <c r="G6423">
        <v>-396.15359999999998</v>
      </c>
      <c r="H6423" s="1">
        <v>-2.8575620000000002E-6</v>
      </c>
      <c r="I6423">
        <v>133.74359999999999</v>
      </c>
      <c r="J6423">
        <v>-365.9393</v>
      </c>
      <c r="K6423">
        <v>1.112215</v>
      </c>
      <c r="L6423">
        <v>140.47389999999999</v>
      </c>
      <c r="M6423">
        <v>-0.99974739999999995</v>
      </c>
      <c r="N6423">
        <v>0</v>
      </c>
      <c r="O6423">
        <v>-1.7473559999999999E-2</v>
      </c>
      <c r="P6423">
        <v>-0.98067890000000002</v>
      </c>
      <c r="Q6423">
        <v>0.19550609999999999</v>
      </c>
      <c r="R6423">
        <v>-6.820408E-3</v>
      </c>
      <c r="S6423">
        <v>-3.0798649999999999</v>
      </c>
      <c r="T6423">
        <v>-0.11233070000000001</v>
      </c>
      <c r="U6423">
        <v>-0.68040469999999997</v>
      </c>
      <c r="V6423">
        <v>9.7242430000000005E-3</v>
      </c>
      <c r="W6423">
        <v>0.2093882</v>
      </c>
      <c r="X6423">
        <v>0.97778419999999999</v>
      </c>
      <c r="Y6423">
        <v>-0.1985074</v>
      </c>
      <c r="Z6423">
        <v>-2.946518E-3</v>
      </c>
      <c r="AA6423">
        <v>0.98009500000000005</v>
      </c>
      <c r="AB6423">
        <v>28</v>
      </c>
      <c r="AC6423">
        <v>-30.214299999999898</v>
      </c>
      <c r="AD6423">
        <v>-1.1122178575620001</v>
      </c>
      <c r="AE6423">
        <v>-6.7302999999999997</v>
      </c>
      <c r="AF6423">
        <v>-6.1932726552892099</v>
      </c>
      <c r="AG6423">
        <v>-1.1122178575620001</v>
      </c>
      <c r="AH6423">
        <v>30.28819839502</v>
      </c>
      <c r="AI6423">
        <v>92.060427122569493</v>
      </c>
      <c r="AJ6423">
        <v>101.55642549311401</v>
      </c>
      <c r="AK6423">
        <v>30.9349093543447</v>
      </c>
      <c r="AL6423">
        <v>77.913497894453798</v>
      </c>
      <c r="AM6423">
        <v>89.430201761220601</v>
      </c>
      <c r="AN6423">
        <v>0.99999996048539996</v>
      </c>
    </row>
    <row r="6424" spans="1:40" x14ac:dyDescent="0.25">
      <c r="A6424" t="str">
        <f>"20190312154050893"</f>
        <v>20190312154050893</v>
      </c>
      <c r="B6424" t="str">
        <f>"1552376450882883"</f>
        <v>1552376450882883</v>
      </c>
      <c r="C6424" t="s">
        <v>40</v>
      </c>
      <c r="D6424">
        <v>3.8769849999999999</v>
      </c>
      <c r="E6424">
        <v>0.42195959999999899</v>
      </c>
      <c r="F6424" t="s">
        <v>42</v>
      </c>
      <c r="G6424">
        <v>-395.36320000000001</v>
      </c>
      <c r="H6424" s="1">
        <v>-3.0906640000000002E-6</v>
      </c>
      <c r="I6424">
        <v>133.8783</v>
      </c>
      <c r="J6424">
        <v>-366.21690000000001</v>
      </c>
      <c r="K6424">
        <v>1.112301</v>
      </c>
      <c r="L6424">
        <v>140.46729999999999</v>
      </c>
      <c r="M6424">
        <v>-0.9997163</v>
      </c>
      <c r="N6424">
        <v>0</v>
      </c>
      <c r="O6424">
        <v>-1.9163320000000001E-2</v>
      </c>
      <c r="P6424">
        <v>-0.98129429999999995</v>
      </c>
      <c r="Q6424">
        <v>0.19224240000000001</v>
      </c>
      <c r="R6424">
        <v>-1.02215E-2</v>
      </c>
      <c r="S6424">
        <v>-3.0774840000000001</v>
      </c>
      <c r="T6424">
        <v>-0.1163285</v>
      </c>
      <c r="U6424">
        <v>-0.68983459999999996</v>
      </c>
      <c r="V6424">
        <v>7.955274E-3</v>
      </c>
      <c r="W6424">
        <v>0.20613020000000001</v>
      </c>
      <c r="X6424">
        <v>0.97849229999999998</v>
      </c>
      <c r="Y6424">
        <v>-0.1998636</v>
      </c>
      <c r="Z6424">
        <v>-3.014924E-3</v>
      </c>
      <c r="AA6424">
        <v>0.97981910000000005</v>
      </c>
      <c r="AB6424">
        <v>28</v>
      </c>
      <c r="AC6424">
        <v>-29.1463</v>
      </c>
      <c r="AD6424">
        <v>-1.112304090664</v>
      </c>
      <c r="AE6424">
        <v>-6.5889999999999898</v>
      </c>
      <c r="AF6424">
        <v>-6.0208516264454399</v>
      </c>
      <c r="AG6424">
        <v>-1.112304090664</v>
      </c>
      <c r="AH6424">
        <v>29.226730281464398</v>
      </c>
      <c r="AI6424">
        <v>92.134714444645596</v>
      </c>
      <c r="AJ6424">
        <v>101.640373465259</v>
      </c>
      <c r="AK6424">
        <v>29.861172743937001</v>
      </c>
      <c r="AL6424">
        <v>78.104332884625506</v>
      </c>
      <c r="AM6424">
        <v>89.534187869711403</v>
      </c>
      <c r="AN6424">
        <v>1.0000000634478701</v>
      </c>
    </row>
    <row r="6425" spans="1:40" x14ac:dyDescent="0.25">
      <c r="A6425" t="str">
        <f>"20190312154050910"</f>
        <v>20190312154050910</v>
      </c>
      <c r="B6425" t="str">
        <f>"1552376450902403"</f>
        <v>1552376450902403</v>
      </c>
      <c r="C6425" t="s">
        <v>40</v>
      </c>
      <c r="D6425">
        <v>3.906987</v>
      </c>
      <c r="E6425">
        <v>0.42160979999999998</v>
      </c>
      <c r="F6425" t="s">
        <v>42</v>
      </c>
      <c r="G6425">
        <v>-392.98779999999999</v>
      </c>
      <c r="H6425" s="1">
        <v>-3.9228839999999997E-6</v>
      </c>
      <c r="I6425">
        <v>134.35980000000001</v>
      </c>
      <c r="J6425">
        <v>-366.42439999999999</v>
      </c>
      <c r="K6425">
        <v>1.112366</v>
      </c>
      <c r="L6425">
        <v>140.46190000000001</v>
      </c>
      <c r="M6425">
        <v>-0.99968970000000001</v>
      </c>
      <c r="N6425">
        <v>0</v>
      </c>
      <c r="O6425">
        <v>-2.0508780000000001E-2</v>
      </c>
      <c r="P6425">
        <v>-0.98154079999999999</v>
      </c>
      <c r="Q6425">
        <v>0.1908453</v>
      </c>
      <c r="R6425">
        <v>-1.2489510000000001E-2</v>
      </c>
      <c r="S6425">
        <v>-3.0749209999999998</v>
      </c>
      <c r="T6425">
        <v>-0.12776019999999999</v>
      </c>
      <c r="U6425">
        <v>-0.70149229999999996</v>
      </c>
      <c r="V6425">
        <v>6.9838410000000002E-3</v>
      </c>
      <c r="W6425">
        <v>0.20473530000000001</v>
      </c>
      <c r="X6425">
        <v>0.97879249999999995</v>
      </c>
      <c r="Y6425">
        <v>-0.2022263</v>
      </c>
      <c r="Z6425">
        <v>-3.3056359999999998E-3</v>
      </c>
      <c r="AA6425">
        <v>0.97933320000000001</v>
      </c>
      <c r="AB6425">
        <v>28</v>
      </c>
      <c r="AC6425">
        <v>-26.563400000000001</v>
      </c>
      <c r="AD6425">
        <v>-1.1123699228840001</v>
      </c>
      <c r="AE6425">
        <v>-6.1021000000000001</v>
      </c>
      <c r="AF6425">
        <v>-5.5467397037285204</v>
      </c>
      <c r="AG6425">
        <v>-1.1123699228840001</v>
      </c>
      <c r="AH6425">
        <v>26.638599033910999</v>
      </c>
      <c r="AI6425">
        <v>92.341005269269004</v>
      </c>
      <c r="AJ6425">
        <v>101.762169720114</v>
      </c>
      <c r="AK6425">
        <v>27.232676083626799</v>
      </c>
      <c r="AL6425">
        <v>78.185996245087097</v>
      </c>
      <c r="AM6425">
        <v>89.591192388809503</v>
      </c>
      <c r="AN6425">
        <v>1.0000000375787199</v>
      </c>
    </row>
    <row r="6426" spans="1:40" x14ac:dyDescent="0.25">
      <c r="A6426" t="str">
        <f>"20190312154050922"</f>
        <v>20190312154050922</v>
      </c>
      <c r="B6426" t="str">
        <f>"1552376450912163"</f>
        <v>1552376450912163</v>
      </c>
      <c r="C6426" t="s">
        <v>40</v>
      </c>
      <c r="D6426">
        <v>3.8686479999999999</v>
      </c>
      <c r="E6426">
        <v>0.42145840000000001</v>
      </c>
      <c r="F6426" t="s">
        <v>42</v>
      </c>
      <c r="G6426">
        <v>-392.23329999999999</v>
      </c>
      <c r="H6426" s="1">
        <v>-4.2228679999999998E-6</v>
      </c>
      <c r="I6426">
        <v>134.49350000000001</v>
      </c>
      <c r="J6426">
        <v>-366.58429999999998</v>
      </c>
      <c r="K6426">
        <v>1.112414</v>
      </c>
      <c r="L6426">
        <v>140.45750000000001</v>
      </c>
      <c r="M6426">
        <v>-0.99966699999999997</v>
      </c>
      <c r="N6426">
        <v>0</v>
      </c>
      <c r="O6426">
        <v>-2.1582790000000001E-2</v>
      </c>
      <c r="P6426">
        <v>-0.98178719999999997</v>
      </c>
      <c r="Q6426">
        <v>0.18943989999999999</v>
      </c>
      <c r="R6426">
        <v>-1.4370559999999999E-2</v>
      </c>
      <c r="S6426">
        <v>-3.0730900000000001</v>
      </c>
      <c r="T6426">
        <v>-0.13245109999999999</v>
      </c>
      <c r="U6426">
        <v>-0.71064759999999905</v>
      </c>
      <c r="V6426">
        <v>6.1429190000000002E-3</v>
      </c>
      <c r="W6426">
        <v>0.20333209999999999</v>
      </c>
      <c r="X6426">
        <v>0.97909060000000003</v>
      </c>
      <c r="Y6426">
        <v>-0.20405980000000001</v>
      </c>
      <c r="Z6426">
        <v>-3.4211390000000001E-3</v>
      </c>
      <c r="AA6426">
        <v>0.9789525</v>
      </c>
      <c r="AB6426">
        <v>28</v>
      </c>
      <c r="AC6426">
        <v>-25.649000000000001</v>
      </c>
      <c r="AD6426">
        <v>-1.112418222868</v>
      </c>
      <c r="AE6426">
        <v>-5.9639999999999898</v>
      </c>
      <c r="AF6426">
        <v>-5.39934276896643</v>
      </c>
      <c r="AG6426">
        <v>-1.112418222868</v>
      </c>
      <c r="AH6426">
        <v>25.7258479997768</v>
      </c>
      <c r="AI6426">
        <v>92.4232676912779</v>
      </c>
      <c r="AJ6426">
        <v>101.85319769109</v>
      </c>
      <c r="AK6426">
        <v>26.309877079663099</v>
      </c>
      <c r="AL6426">
        <v>78.268121317710694</v>
      </c>
      <c r="AM6426">
        <v>89.640524876428401</v>
      </c>
      <c r="AN6426">
        <v>1.0000000406763001</v>
      </c>
    </row>
    <row r="6427" spans="1:40" x14ac:dyDescent="0.25">
      <c r="A6427" t="str">
        <f>"20190312154050938"</f>
        <v>20190312154050938</v>
      </c>
      <c r="B6427" t="str">
        <f>"1552376450932672"</f>
        <v>1552376450932672</v>
      </c>
      <c r="C6427" t="s">
        <v>40</v>
      </c>
      <c r="D6427">
        <v>4.0038460000000002</v>
      </c>
      <c r="E6427">
        <v>0.4213769</v>
      </c>
      <c r="F6427" t="s">
        <v>42</v>
      </c>
      <c r="G6427">
        <v>-391.3682</v>
      </c>
      <c r="H6427" s="1">
        <v>-4.5621090000000004E-6</v>
      </c>
      <c r="I6427">
        <v>134.67330000000001</v>
      </c>
      <c r="J6427">
        <v>-366.78579999999999</v>
      </c>
      <c r="K6427">
        <v>1.112465</v>
      </c>
      <c r="L6427">
        <v>140.45169999999999</v>
      </c>
      <c r="M6427">
        <v>-0.99963590000000002</v>
      </c>
      <c r="N6427">
        <v>0</v>
      </c>
      <c r="O6427">
        <v>-2.298325E-2</v>
      </c>
      <c r="P6427">
        <v>-0.98217209999999999</v>
      </c>
      <c r="Q6427">
        <v>0.18717790000000001</v>
      </c>
      <c r="R6427">
        <v>-1.740332E-2</v>
      </c>
      <c r="S6427">
        <v>-3.0718079999999999</v>
      </c>
      <c r="T6427">
        <v>-0.13787729999999901</v>
      </c>
      <c r="U6427">
        <v>-0.71690369999999903</v>
      </c>
      <c r="V6427">
        <v>4.4744880000000004E-3</v>
      </c>
      <c r="W6427">
        <v>0.2010709</v>
      </c>
      <c r="X6427">
        <v>0.97956650000000001</v>
      </c>
      <c r="Y6427">
        <v>-0.20465700000000001</v>
      </c>
      <c r="Z6427">
        <v>-3.513113E-3</v>
      </c>
      <c r="AA6427">
        <v>0.97882749999999996</v>
      </c>
      <c r="AB6427">
        <v>28</v>
      </c>
      <c r="AC6427">
        <v>-24.5824</v>
      </c>
      <c r="AD6427">
        <v>-1.1124695621089999</v>
      </c>
      <c r="AE6427">
        <v>-5.7783999999999702</v>
      </c>
      <c r="AF6427">
        <v>-5.2017381305190096</v>
      </c>
      <c r="AG6427">
        <v>-1.1124695621089999</v>
      </c>
      <c r="AH6427">
        <v>24.660864272231699</v>
      </c>
      <c r="AI6427">
        <v>92.527366030093802</v>
      </c>
      <c r="AJ6427">
        <v>101.91085302085099</v>
      </c>
      <c r="AK6427">
        <v>25.228037869769999</v>
      </c>
      <c r="AL6427">
        <v>78.400410997634594</v>
      </c>
      <c r="AM6427">
        <v>89.738284746513798</v>
      </c>
      <c r="AN6427">
        <v>1.00000002789596</v>
      </c>
    </row>
    <row r="6428" spans="1:40" x14ac:dyDescent="0.25">
      <c r="A6428" t="str">
        <f>"20190312154050955"</f>
        <v>20190312154050955</v>
      </c>
      <c r="B6428" t="str">
        <f>"1552376450952179"</f>
        <v>1552376450952179</v>
      </c>
      <c r="C6428" t="s">
        <v>40</v>
      </c>
      <c r="D6428">
        <v>4.108562</v>
      </c>
      <c r="E6428">
        <v>0.451988</v>
      </c>
      <c r="F6428" t="s">
        <v>42</v>
      </c>
      <c r="G6428">
        <v>-390.09059999999999</v>
      </c>
      <c r="H6428" s="1">
        <v>-5.0614660000000001E-6</v>
      </c>
      <c r="I6428">
        <v>134.9479</v>
      </c>
      <c r="J6428">
        <v>-367.00170000000003</v>
      </c>
      <c r="K6428">
        <v>1.112517</v>
      </c>
      <c r="L6428">
        <v>140.4451</v>
      </c>
      <c r="M6428">
        <v>-0.99959900000000002</v>
      </c>
      <c r="N6428">
        <v>0</v>
      </c>
      <c r="O6428">
        <v>-2.453951E-2</v>
      </c>
      <c r="P6428">
        <v>-0.98240499999999997</v>
      </c>
      <c r="Q6428">
        <v>0.1856739</v>
      </c>
      <c r="R6428">
        <v>-2.015262E-2</v>
      </c>
      <c r="S6428">
        <v>-3.06955</v>
      </c>
      <c r="T6428">
        <v>-0.14652709999999999</v>
      </c>
      <c r="U6428">
        <v>-0.72491459999999996</v>
      </c>
      <c r="V6428">
        <v>3.240864E-3</v>
      </c>
      <c r="W6428">
        <v>0.19956660000000001</v>
      </c>
      <c r="X6428">
        <v>0.9798789</v>
      </c>
      <c r="Y6428">
        <v>-0.2056914</v>
      </c>
      <c r="Z6428">
        <v>-3.6860669999999999E-3</v>
      </c>
      <c r="AA6428">
        <v>0.97860999999999998</v>
      </c>
      <c r="AB6428">
        <v>28</v>
      </c>
      <c r="AC6428">
        <v>-23.088899999999899</v>
      </c>
      <c r="AD6428">
        <v>-1.1125220614659901</v>
      </c>
      <c r="AE6428">
        <v>-5.4971999999999897</v>
      </c>
      <c r="AF6428">
        <v>-4.9180914751922202</v>
      </c>
      <c r="AG6428">
        <v>-1.1125220614659901</v>
      </c>
      <c r="AH6428">
        <v>23.165958023580899</v>
      </c>
      <c r="AI6428">
        <v>92.689608263804502</v>
      </c>
      <c r="AJ6428">
        <v>101.98583679322699</v>
      </c>
      <c r="AK6428">
        <v>23.708372787813101</v>
      </c>
      <c r="AL6428">
        <v>78.488383808365896</v>
      </c>
      <c r="AM6428">
        <v>89.810499897383295</v>
      </c>
      <c r="AN6428">
        <v>0.99999999485011803</v>
      </c>
    </row>
    <row r="6429" spans="1:40" x14ac:dyDescent="0.25">
      <c r="A6429" t="str">
        <f>"20190312154050971"</f>
        <v>20190312154050971</v>
      </c>
      <c r="B6429" t="str">
        <f>"1552376450962915"</f>
        <v>1552376450962915</v>
      </c>
      <c r="C6429" t="s">
        <v>40</v>
      </c>
      <c r="D6429">
        <v>4.0642239999999896</v>
      </c>
      <c r="E6429">
        <v>0.45993790000000001</v>
      </c>
      <c r="F6429" t="s">
        <v>55</v>
      </c>
      <c r="G6429">
        <v>-403.46359999999999</v>
      </c>
      <c r="H6429" s="1">
        <v>-4.5967420000000003E-6</v>
      </c>
      <c r="I6429">
        <v>134.67910000000001</v>
      </c>
      <c r="J6429">
        <v>-367.20409999999998</v>
      </c>
      <c r="K6429">
        <v>1.1125480000000001</v>
      </c>
      <c r="L6429">
        <v>140.4385</v>
      </c>
      <c r="M6429">
        <v>-0.99956100000000003</v>
      </c>
      <c r="N6429">
        <v>0</v>
      </c>
      <c r="O6429">
        <v>-2.603753E-2</v>
      </c>
      <c r="P6429">
        <v>-0.98273920000000003</v>
      </c>
      <c r="Q6429">
        <v>0.1834517</v>
      </c>
      <c r="R6429">
        <v>-2.386044E-2</v>
      </c>
      <c r="S6429">
        <v>-3.0614620000000001</v>
      </c>
      <c r="T6429">
        <v>-9.3411209999999995E-2</v>
      </c>
      <c r="U6429">
        <v>-0.48413089999999998</v>
      </c>
      <c r="V6429">
        <v>1.005115E-3</v>
      </c>
      <c r="W6429">
        <v>0.1973425</v>
      </c>
      <c r="X6429">
        <v>0.98033409999999999</v>
      </c>
      <c r="Y6429">
        <v>-0.1303753</v>
      </c>
      <c r="Z6429">
        <v>-1.187291E-3</v>
      </c>
      <c r="AA6429">
        <v>0.99146400000000001</v>
      </c>
      <c r="AB6429">
        <v>28</v>
      </c>
      <c r="AC6429">
        <v>-36.259500000000003</v>
      </c>
      <c r="AD6429">
        <v>-1.11255259674199</v>
      </c>
      <c r="AE6429">
        <v>-5.7593999999999896</v>
      </c>
      <c r="AF6429">
        <v>-4.8088289385486798</v>
      </c>
      <c r="AG6429">
        <v>-1.11255259674199</v>
      </c>
      <c r="AH6429">
        <v>36.363787646439903</v>
      </c>
      <c r="AI6429">
        <v>91.737305899947899</v>
      </c>
      <c r="AJ6429">
        <v>97.533211851863399</v>
      </c>
      <c r="AK6429">
        <v>36.697243234827802</v>
      </c>
      <c r="AL6429">
        <v>78.618401597189305</v>
      </c>
      <c r="AM6429">
        <v>89.941255917501707</v>
      </c>
      <c r="AN6429">
        <v>1.0000000100926101</v>
      </c>
    </row>
    <row r="6430" spans="1:40" x14ac:dyDescent="0.25">
      <c r="A6430" t="str">
        <f>"20190312154050991"</f>
        <v>20190312154050991</v>
      </c>
      <c r="B6430" t="str">
        <f>"1552376450982436"</f>
        <v>1552376450982436</v>
      </c>
      <c r="C6430" t="s">
        <v>40</v>
      </c>
      <c r="D6430">
        <v>4.0955570000000003</v>
      </c>
      <c r="E6430">
        <v>0.46799220000000002</v>
      </c>
      <c r="F6430" t="s">
        <v>55</v>
      </c>
      <c r="G6430">
        <v>-400.97149999999999</v>
      </c>
      <c r="H6430" s="1">
        <v>-3.8491519999999999E-6</v>
      </c>
      <c r="I6430">
        <v>135.70089999999999</v>
      </c>
      <c r="J6430">
        <v>-367.44119999999998</v>
      </c>
      <c r="K6430">
        <v>1.112581</v>
      </c>
      <c r="L6430">
        <v>140.43039999999999</v>
      </c>
      <c r="M6430">
        <v>-0.99951290000000004</v>
      </c>
      <c r="N6430">
        <v>0</v>
      </c>
      <c r="O6430">
        <v>-2.782335E-2</v>
      </c>
      <c r="P6430">
        <v>-0.98284210000000005</v>
      </c>
      <c r="Q6430">
        <v>0.1824489</v>
      </c>
      <c r="R6430">
        <v>-2.7088540000000001E-2</v>
      </c>
      <c r="S6430">
        <v>-3.061096</v>
      </c>
      <c r="T6430">
        <v>-0.1008555</v>
      </c>
      <c r="U6430">
        <v>-0.42947390000000002</v>
      </c>
      <c r="V6430">
        <v>-4.7533349999999999E-4</v>
      </c>
      <c r="W6430">
        <v>0.1963355</v>
      </c>
      <c r="X6430">
        <v>0.98053659999999998</v>
      </c>
      <c r="Y6430">
        <v>-0.1112855</v>
      </c>
      <c r="Z6430">
        <v>-9.1230819999999998E-4</v>
      </c>
      <c r="AA6430">
        <v>0.99378809999999995</v>
      </c>
      <c r="AB6430">
        <v>28</v>
      </c>
      <c r="AC6430">
        <v>-33.530299999999997</v>
      </c>
      <c r="AD6430">
        <v>-1.1125848491519901</v>
      </c>
      <c r="AE6430">
        <v>-4.7294999999999998</v>
      </c>
      <c r="AF6430">
        <v>-3.7905581073260799</v>
      </c>
      <c r="AG6430">
        <v>-1.1125848491519901</v>
      </c>
      <c r="AH6430">
        <v>33.612634091977299</v>
      </c>
      <c r="AI6430">
        <v>91.883876937671801</v>
      </c>
      <c r="AJ6430">
        <v>96.434166070252402</v>
      </c>
      <c r="AK6430">
        <v>33.843985380163701</v>
      </c>
      <c r="AL6430">
        <v>78.677248952144495</v>
      </c>
      <c r="AM6430">
        <v>90.027775201127398</v>
      </c>
      <c r="AN6430">
        <v>0.99999993922087105</v>
      </c>
    </row>
    <row r="6431" spans="1:40" x14ac:dyDescent="0.25">
      <c r="A6431" t="str">
        <f>"20190312154051005"</f>
        <v>20190312154051005</v>
      </c>
      <c r="B6431" t="str">
        <f>"1552376451002931"</f>
        <v>1552376451002931</v>
      </c>
      <c r="C6431" t="s">
        <v>40</v>
      </c>
      <c r="D6431">
        <v>4.0988949999999997</v>
      </c>
      <c r="E6431">
        <v>0.47191319999999998</v>
      </c>
      <c r="F6431" t="s">
        <v>55</v>
      </c>
      <c r="G6431">
        <v>-400.21820000000002</v>
      </c>
      <c r="H6431" s="1">
        <v>-3.8047039999999999E-6</v>
      </c>
      <c r="I6431">
        <v>136.42699999999999</v>
      </c>
      <c r="J6431">
        <v>-367.62939999999998</v>
      </c>
      <c r="K6431">
        <v>1.1126039999999999</v>
      </c>
      <c r="L6431">
        <v>140.4237</v>
      </c>
      <c r="M6431">
        <v>-0.99947189999999997</v>
      </c>
      <c r="N6431">
        <v>0</v>
      </c>
      <c r="O6431">
        <v>-2.9259319999999998E-2</v>
      </c>
      <c r="P6431">
        <v>-0.98305100000000001</v>
      </c>
      <c r="Q6431">
        <v>0.18067079999999999</v>
      </c>
      <c r="R6431">
        <v>-3.113138E-2</v>
      </c>
      <c r="S6431">
        <v>-3.06134</v>
      </c>
      <c r="T6431">
        <v>-0.1039141</v>
      </c>
      <c r="U6431">
        <v>-0.37391659999999999</v>
      </c>
      <c r="V6431">
        <v>-3.09991E-3</v>
      </c>
      <c r="W6431">
        <v>0.19455149999999999</v>
      </c>
      <c r="X6431">
        <v>0.98088739999999996</v>
      </c>
      <c r="Y6431">
        <v>-9.2106510000000003E-2</v>
      </c>
      <c r="Z6431">
        <v>-5.6822809999999997E-4</v>
      </c>
      <c r="AA6431">
        <v>0.995749</v>
      </c>
      <c r="AB6431">
        <v>28</v>
      </c>
      <c r="AC6431">
        <v>-32.588799999999999</v>
      </c>
      <c r="AD6431">
        <v>-1.112607804704</v>
      </c>
      <c r="AE6431">
        <v>-3.9966999999999699</v>
      </c>
      <c r="AF6431">
        <v>-3.03787861743898</v>
      </c>
      <c r="AG6431">
        <v>-1.112607804704</v>
      </c>
      <c r="AH6431">
        <v>32.654299189769901</v>
      </c>
      <c r="AI6431">
        <v>91.943061462173105</v>
      </c>
      <c r="AJ6431">
        <v>95.315014291498201</v>
      </c>
      <c r="AK6431">
        <v>32.814171606127502</v>
      </c>
      <c r="AL6431">
        <v>78.781475258567397</v>
      </c>
      <c r="AM6431">
        <v>90.181071923821804</v>
      </c>
      <c r="AN6431">
        <v>0.99999999353650804</v>
      </c>
    </row>
    <row r="6432" spans="1:40" x14ac:dyDescent="0.25">
      <c r="A6432" t="str">
        <f>"20190312154051028"</f>
        <v>20190312154051028</v>
      </c>
      <c r="B6432" t="str">
        <f>"1552376451022451"</f>
        <v>1552376451022451</v>
      </c>
      <c r="C6432" t="s">
        <v>40</v>
      </c>
      <c r="D6432">
        <v>4.0648019999999896</v>
      </c>
      <c r="E6432">
        <v>0.47443760000000001</v>
      </c>
      <c r="F6432" t="s">
        <v>42</v>
      </c>
      <c r="G6432">
        <v>-399.2072</v>
      </c>
      <c r="H6432" s="1">
        <v>-1.0103070000000001E-6</v>
      </c>
      <c r="I6432">
        <v>136.78059999999999</v>
      </c>
      <c r="J6432">
        <v>-367.91300000000001</v>
      </c>
      <c r="K6432">
        <v>1.1126149999999999</v>
      </c>
      <c r="L6432">
        <v>140.41299999999899</v>
      </c>
      <c r="M6432">
        <v>-0.99940569999999895</v>
      </c>
      <c r="N6432">
        <v>0</v>
      </c>
      <c r="O6432">
        <v>-3.1439689999999999E-2</v>
      </c>
      <c r="P6432">
        <v>-0.98318170000000005</v>
      </c>
      <c r="Q6432">
        <v>0.17906359999999999</v>
      </c>
      <c r="R6432">
        <v>-3.5914399999999999E-2</v>
      </c>
      <c r="S6432">
        <v>-3.0603639999999999</v>
      </c>
      <c r="T6432">
        <v>-0.1078283</v>
      </c>
      <c r="U6432">
        <v>-0.35305789999999998</v>
      </c>
      <c r="V6432">
        <v>-5.7327050000000003E-3</v>
      </c>
      <c r="W6432">
        <v>0.1929361</v>
      </c>
      <c r="X6432">
        <v>0.98119460000000003</v>
      </c>
      <c r="Y6432">
        <v>-8.3280510000000002E-2</v>
      </c>
      <c r="Z6432">
        <v>-3.5863129999999998E-4</v>
      </c>
      <c r="AA6432">
        <v>0.99652609999999997</v>
      </c>
      <c r="AB6432">
        <v>28</v>
      </c>
      <c r="AC6432">
        <v>-31.294199999999901</v>
      </c>
      <c r="AD6432">
        <v>-1.112616010307</v>
      </c>
      <c r="AE6432">
        <v>-3.6323999999999899</v>
      </c>
      <c r="AF6432">
        <v>-2.6433288481641899</v>
      </c>
      <c r="AG6432">
        <v>-1.112616010307</v>
      </c>
      <c r="AH6432">
        <v>31.3538337603846</v>
      </c>
      <c r="AI6432">
        <v>92.025155830330107</v>
      </c>
      <c r="AJ6432">
        <v>94.819005323178999</v>
      </c>
      <c r="AK6432">
        <v>31.484726348814899</v>
      </c>
      <c r="AL6432">
        <v>78.875818803281305</v>
      </c>
      <c r="AM6432">
        <v>90.334751194480305</v>
      </c>
      <c r="AN6432">
        <v>1.0000000228294901</v>
      </c>
    </row>
    <row r="6433" spans="1:40" x14ac:dyDescent="0.25">
      <c r="A6433" t="str">
        <f>"20190312154051050"</f>
        <v>20190312154051050</v>
      </c>
      <c r="B6433" t="str">
        <f>"1552376451042947"</f>
        <v>1552376451042947</v>
      </c>
      <c r="C6433" t="s">
        <v>40</v>
      </c>
      <c r="D6433">
        <v>4.0936680000000001</v>
      </c>
      <c r="E6433">
        <v>0.47643370000000002</v>
      </c>
      <c r="F6433" t="s">
        <v>42</v>
      </c>
      <c r="G6433">
        <v>-398.70639999999997</v>
      </c>
      <c r="H6433" s="1">
        <v>-1.142421E-6</v>
      </c>
      <c r="I6433">
        <v>136.9246</v>
      </c>
      <c r="J6433">
        <v>-368.18520000000001</v>
      </c>
      <c r="K6433">
        <v>1.112611</v>
      </c>
      <c r="L6433">
        <v>140.40209999999999</v>
      </c>
      <c r="M6433">
        <v>-0.99933740000000004</v>
      </c>
      <c r="N6433">
        <v>0</v>
      </c>
      <c r="O6433">
        <v>-3.3538650000000003E-2</v>
      </c>
      <c r="P6433">
        <v>-0.98333619999999999</v>
      </c>
      <c r="Q6433">
        <v>0.17727470000000001</v>
      </c>
      <c r="R6433">
        <v>-4.0297560000000003E-2</v>
      </c>
      <c r="S6433">
        <v>-3.0587770000000001</v>
      </c>
      <c r="T6433">
        <v>-0.1105188</v>
      </c>
      <c r="U6433">
        <v>-0.34649659999999999</v>
      </c>
      <c r="V6433">
        <v>-8.0384199999999992E-3</v>
      </c>
      <c r="W6433">
        <v>0.19114100000000001</v>
      </c>
      <c r="X6433">
        <v>0.98152969999999895</v>
      </c>
      <c r="Y6433">
        <v>-7.9138040000000007E-2</v>
      </c>
      <c r="Z6433">
        <v>-2.1774279999999999E-4</v>
      </c>
      <c r="AA6433">
        <v>0.99686370000000002</v>
      </c>
      <c r="AB6433">
        <v>28</v>
      </c>
      <c r="AC6433">
        <v>-30.521199999999901</v>
      </c>
      <c r="AD6433">
        <v>-1.112612142421</v>
      </c>
      <c r="AE6433">
        <v>-3.4774999999999898</v>
      </c>
      <c r="AF6433">
        <v>-2.44858888726572</v>
      </c>
      <c r="AG6433">
        <v>-1.112612142421</v>
      </c>
      <c r="AH6433">
        <v>30.580551334291101</v>
      </c>
      <c r="AI6433">
        <v>92.077031490419898</v>
      </c>
      <c r="AJ6433">
        <v>94.577914147899804</v>
      </c>
      <c r="AK6433">
        <v>30.6985930170671</v>
      </c>
      <c r="AL6433">
        <v>78.980621140496794</v>
      </c>
      <c r="AM6433">
        <v>90.469223950600906</v>
      </c>
      <c r="AN6433">
        <v>1.00000002502959</v>
      </c>
    </row>
    <row r="6434" spans="1:40" x14ac:dyDescent="0.25">
      <c r="A6434" t="str">
        <f>"20190312154051067"</f>
        <v>20190312154051067</v>
      </c>
      <c r="B6434" t="str">
        <f>"1552376451062467"</f>
        <v>1552376451062467</v>
      </c>
      <c r="C6434" t="s">
        <v>40</v>
      </c>
      <c r="D6434">
        <v>4.0905589999999998</v>
      </c>
      <c r="E6434">
        <v>0.47801100000000002</v>
      </c>
      <c r="F6434" t="s">
        <v>42</v>
      </c>
      <c r="G6434">
        <v>-397.91329999999999</v>
      </c>
      <c r="H6434" s="1">
        <v>-1.37636E-6</v>
      </c>
      <c r="I6434">
        <v>137.0598</v>
      </c>
      <c r="J6434">
        <v>-368.39049999999997</v>
      </c>
      <c r="K6434">
        <v>1.1126100000000001</v>
      </c>
      <c r="L6434">
        <v>140.39349999999999</v>
      </c>
      <c r="M6434">
        <v>-0.99928320000000004</v>
      </c>
      <c r="N6434">
        <v>0</v>
      </c>
      <c r="O6434">
        <v>-3.5120510000000001E-2</v>
      </c>
      <c r="P6434">
        <v>-0.98331000000000002</v>
      </c>
      <c r="Q6434">
        <v>0.17681559999999999</v>
      </c>
      <c r="R6434">
        <v>-4.2871869999999999E-2</v>
      </c>
      <c r="S6434">
        <v>-3.0573730000000001</v>
      </c>
      <c r="T6434">
        <v>-0.1144261</v>
      </c>
      <c r="U6434">
        <v>-0.3437347</v>
      </c>
      <c r="V6434">
        <v>-9.0525320000000003E-3</v>
      </c>
      <c r="W6434">
        <v>0.19067719999999999</v>
      </c>
      <c r="X6434">
        <v>0.98161109999999896</v>
      </c>
      <c r="Y6434">
        <v>-7.6722460000000006E-2</v>
      </c>
      <c r="Z6434">
        <v>-1.2158070000000001E-4</v>
      </c>
      <c r="AA6434">
        <v>0.99705250000000001</v>
      </c>
      <c r="AB6434">
        <v>28</v>
      </c>
      <c r="AC6434">
        <v>-29.5228</v>
      </c>
      <c r="AD6434">
        <v>-1.1126113763600001</v>
      </c>
      <c r="AE6434">
        <v>-3.3336999999999901</v>
      </c>
      <c r="AF6434">
        <v>-2.2914701348783</v>
      </c>
      <c r="AG6434">
        <v>-1.1126113763600001</v>
      </c>
      <c r="AH6434">
        <v>29.5801932103032</v>
      </c>
      <c r="AI6434">
        <v>92.147644751572997</v>
      </c>
      <c r="AJ6434">
        <v>94.429649248706298</v>
      </c>
      <c r="AK6434">
        <v>29.6896710964051</v>
      </c>
      <c r="AL6434">
        <v>79.007693080502904</v>
      </c>
      <c r="AM6434">
        <v>90.528373379593205</v>
      </c>
      <c r="AN6434">
        <v>1.00000004728932</v>
      </c>
    </row>
    <row r="6435" spans="1:40" x14ac:dyDescent="0.25">
      <c r="A6435" t="str">
        <f>"20190312154051083"</f>
        <v>20190312154051083</v>
      </c>
      <c r="B6435" t="str">
        <f>"1552376451072228"</f>
        <v>1552376451072228</v>
      </c>
      <c r="C6435" t="s">
        <v>40</v>
      </c>
      <c r="D6435">
        <v>4.0957670000000004</v>
      </c>
      <c r="E6435">
        <v>0.47872569999999998</v>
      </c>
      <c r="F6435" t="s">
        <v>42</v>
      </c>
      <c r="G6435">
        <v>-398.1977</v>
      </c>
      <c r="H6435" s="1">
        <v>-1.273218E-6</v>
      </c>
      <c r="I6435">
        <v>137.08369999999999</v>
      </c>
      <c r="J6435">
        <v>-368.59780000000001</v>
      </c>
      <c r="K6435">
        <v>1.112614</v>
      </c>
      <c r="L6435">
        <v>140.38460000000001</v>
      </c>
      <c r="M6435">
        <v>-0.9992259</v>
      </c>
      <c r="N6435">
        <v>0</v>
      </c>
      <c r="O6435">
        <v>-3.6715310000000001E-2</v>
      </c>
      <c r="P6435">
        <v>-0.98335430000000001</v>
      </c>
      <c r="Q6435">
        <v>0.17594570000000001</v>
      </c>
      <c r="R6435">
        <v>-4.5360039999999997E-2</v>
      </c>
      <c r="S6435">
        <v>-3.0566409999999999</v>
      </c>
      <c r="T6435">
        <v>-0.11409519999999999</v>
      </c>
      <c r="U6435">
        <v>-0.33940120000000001</v>
      </c>
      <c r="V6435">
        <v>-9.9637019999999996E-3</v>
      </c>
      <c r="W6435">
        <v>0.18980459999999999</v>
      </c>
      <c r="X6435">
        <v>0.98177130000000001</v>
      </c>
      <c r="Y6435">
        <v>-7.376452E-2</v>
      </c>
      <c r="Z6435" s="1">
        <v>-6.997725E-6</v>
      </c>
      <c r="AA6435">
        <v>0.99727569999999999</v>
      </c>
      <c r="AB6435">
        <v>28</v>
      </c>
      <c r="AC6435">
        <v>-29.599899999999899</v>
      </c>
      <c r="AD6435">
        <v>-1.1126152732179999</v>
      </c>
      <c r="AE6435">
        <v>-3.3009000000000102</v>
      </c>
      <c r="AF6435">
        <v>-2.2087136568099601</v>
      </c>
      <c r="AG6435">
        <v>-1.1126152732179999</v>
      </c>
      <c r="AH6435">
        <v>29.659753072961401</v>
      </c>
      <c r="AI6435">
        <v>92.142381356712903</v>
      </c>
      <c r="AJ6435">
        <v>94.258862722022499</v>
      </c>
      <c r="AK6435">
        <v>29.762682693484098</v>
      </c>
      <c r="AL6435">
        <v>79.058618605407901</v>
      </c>
      <c r="AM6435">
        <v>90.581457692572002</v>
      </c>
      <c r="AN6435">
        <v>0.99999997352119696</v>
      </c>
    </row>
    <row r="6436" spans="1:40" x14ac:dyDescent="0.25">
      <c r="A6436" t="str">
        <f>"20190312154051106"</f>
        <v>20190312154051106</v>
      </c>
      <c r="B6436" t="str">
        <f>"1552376451102484"</f>
        <v>1552376451102484</v>
      </c>
      <c r="C6436" t="s">
        <v>40</v>
      </c>
      <c r="D6436">
        <v>4.1422129999999999</v>
      </c>
      <c r="E6436">
        <v>0.48049760000000002</v>
      </c>
      <c r="F6436" t="s">
        <v>42</v>
      </c>
      <c r="G6436">
        <v>-397.90699999999998</v>
      </c>
      <c r="H6436" s="1">
        <v>-1.3676879999999999E-6</v>
      </c>
      <c r="I6436">
        <v>137.10040000000001</v>
      </c>
      <c r="J6436">
        <v>-368.87970000000001</v>
      </c>
      <c r="K6436">
        <v>1.1126100000000001</v>
      </c>
      <c r="L6436">
        <v>140.37180000000001</v>
      </c>
      <c r="M6436">
        <v>-0.99914400000000003</v>
      </c>
      <c r="N6436">
        <v>0</v>
      </c>
      <c r="O6436">
        <v>-3.8879150000000001E-2</v>
      </c>
      <c r="P6436">
        <v>-0.9834484</v>
      </c>
      <c r="Q6436">
        <v>0.17491279999999901</v>
      </c>
      <c r="R6436">
        <v>-4.7275270000000001E-2</v>
      </c>
      <c r="S6436">
        <v>-3.0557560000000001</v>
      </c>
      <c r="T6436">
        <v>-0.1160008</v>
      </c>
      <c r="U6436">
        <v>-0.34239199999999997</v>
      </c>
      <c r="V6436">
        <v>-9.7367510000000001E-3</v>
      </c>
      <c r="W6436">
        <v>0.18877260000000001</v>
      </c>
      <c r="X6436">
        <v>0.98197259999999997</v>
      </c>
      <c r="Y6436">
        <v>-7.2602E-2</v>
      </c>
      <c r="Z6436" s="1">
        <v>9.6601320000000001E-5</v>
      </c>
      <c r="AA6436">
        <v>0.99736100000000005</v>
      </c>
      <c r="AB6436">
        <v>28</v>
      </c>
      <c r="AC6436">
        <v>-29.027299999999901</v>
      </c>
      <c r="AD6436">
        <v>-1.1126113676880001</v>
      </c>
      <c r="AE6436">
        <v>-3.2713999999999999</v>
      </c>
      <c r="AF6436">
        <v>-2.1371561465647901</v>
      </c>
      <c r="AG6436">
        <v>-1.1126113676880001</v>
      </c>
      <c r="AH6436">
        <v>29.090347815134599</v>
      </c>
      <c r="AI6436">
        <v>92.184428653476004</v>
      </c>
      <c r="AJ6436">
        <v>94.201752413319198</v>
      </c>
      <c r="AK6436">
        <v>29.189958486709301</v>
      </c>
      <c r="AL6436">
        <v>79.118837269115801</v>
      </c>
      <c r="AM6436">
        <v>90.568097782625401</v>
      </c>
      <c r="AN6436">
        <v>1.0000000429907701</v>
      </c>
    </row>
    <row r="6437" spans="1:40" x14ac:dyDescent="0.25">
      <c r="A6437" t="str">
        <f>"20190312154051128"</f>
        <v>20190312154051128</v>
      </c>
      <c r="B6437" t="str">
        <f>"1552376451122979"</f>
        <v>1552376451122979</v>
      </c>
      <c r="C6437" t="s">
        <v>40</v>
      </c>
      <c r="D6437">
        <v>4.0956609999999998</v>
      </c>
      <c r="E6437">
        <v>0.4815567</v>
      </c>
      <c r="F6437" t="s">
        <v>42</v>
      </c>
      <c r="G6437">
        <v>-397.83440000000002</v>
      </c>
      <c r="H6437" s="1">
        <v>-1.367331E-6</v>
      </c>
      <c r="I6437">
        <v>137.19470000000001</v>
      </c>
      <c r="J6437">
        <v>-369.16210000000001</v>
      </c>
      <c r="K6437">
        <v>1.1126039999999999</v>
      </c>
      <c r="L6437">
        <v>140.35839999999999</v>
      </c>
      <c r="M6437">
        <v>-0.99905730000000004</v>
      </c>
      <c r="N6437">
        <v>0</v>
      </c>
      <c r="O6437">
        <v>-4.1046220000000001E-2</v>
      </c>
      <c r="P6437">
        <v>-0.9837707</v>
      </c>
      <c r="Q6437">
        <v>0.17262079999999999</v>
      </c>
      <c r="R6437">
        <v>-4.8960160000000003E-2</v>
      </c>
      <c r="S6437">
        <v>-3.0552670000000002</v>
      </c>
      <c r="T6437">
        <v>-0.11740159999999999</v>
      </c>
      <c r="U6437">
        <v>-0.33523560000000002</v>
      </c>
      <c r="V6437">
        <v>-9.2623259999999995E-3</v>
      </c>
      <c r="W6437">
        <v>0.18648609999999999</v>
      </c>
      <c r="X6437">
        <v>0.98241389999999995</v>
      </c>
      <c r="Y6437">
        <v>-6.8152099999999993E-2</v>
      </c>
      <c r="Z6437">
        <v>2.6588099999999998E-4</v>
      </c>
      <c r="AA6437">
        <v>0.99767490000000003</v>
      </c>
      <c r="AB6437">
        <v>28</v>
      </c>
      <c r="AC6437">
        <v>-28.6723</v>
      </c>
      <c r="AD6437">
        <v>-1.1126053673309999</v>
      </c>
      <c r="AE6437">
        <v>-3.1636999999999702</v>
      </c>
      <c r="AF6437">
        <v>-1.98107902184535</v>
      </c>
      <c r="AG6437">
        <v>-1.1126053673309999</v>
      </c>
      <c r="AH6437">
        <v>28.735254361153501</v>
      </c>
      <c r="AI6437">
        <v>92.212092108729905</v>
      </c>
      <c r="AJ6437">
        <v>93.9438711944982</v>
      </c>
      <c r="AK6437">
        <v>28.824944197593901</v>
      </c>
      <c r="AL6437">
        <v>79.252211995346499</v>
      </c>
      <c r="AM6437">
        <v>90.540176054886501</v>
      </c>
      <c r="AN6437">
        <v>0.99999996354467402</v>
      </c>
    </row>
    <row r="6438" spans="1:40" x14ac:dyDescent="0.25">
      <c r="A6438" t="str">
        <f>"20190312154051150"</f>
        <v>20190312154051150</v>
      </c>
      <c r="B6438" t="str">
        <f>"1552376451142500"</f>
        <v>1552376451142500</v>
      </c>
      <c r="C6438" t="s">
        <v>40</v>
      </c>
      <c r="D6438">
        <v>4.0914229999999998</v>
      </c>
      <c r="E6438">
        <v>0.48254269999999999</v>
      </c>
      <c r="F6438" t="s">
        <v>42</v>
      </c>
      <c r="G6438">
        <v>-396.65289999999999</v>
      </c>
      <c r="H6438" s="1">
        <v>-1.8167169999999999E-6</v>
      </c>
      <c r="I6438">
        <v>137.36959999999999</v>
      </c>
      <c r="J6438">
        <v>-369.4323</v>
      </c>
      <c r="K6438">
        <v>1.1125929999999999</v>
      </c>
      <c r="L6438">
        <v>140.345</v>
      </c>
      <c r="M6438">
        <v>-0.99896980000000002</v>
      </c>
      <c r="N6438">
        <v>0</v>
      </c>
      <c r="O6438">
        <v>-4.3126230000000002E-2</v>
      </c>
      <c r="P6438">
        <v>-0.98414699999999999</v>
      </c>
      <c r="Q6438">
        <v>0.17006640000000001</v>
      </c>
      <c r="R6438">
        <v>-5.0322060000000002E-2</v>
      </c>
      <c r="S6438">
        <v>-3.0546570000000002</v>
      </c>
      <c r="T6438">
        <v>-0.1236281</v>
      </c>
      <c r="U6438">
        <v>-0.33209229999999901</v>
      </c>
      <c r="V6438">
        <v>-8.5469580000000003E-3</v>
      </c>
      <c r="W6438">
        <v>0.18393880000000001</v>
      </c>
      <c r="X6438">
        <v>0.98290060000000001</v>
      </c>
      <c r="Y6438">
        <v>-6.508369E-2</v>
      </c>
      <c r="Z6438">
        <v>4.2569290000000001E-4</v>
      </c>
      <c r="AA6438">
        <v>0.99787969999999904</v>
      </c>
      <c r="AB6438">
        <v>28</v>
      </c>
      <c r="AC6438">
        <v>-27.220599999999902</v>
      </c>
      <c r="AD6438">
        <v>-1.1125948167169999</v>
      </c>
      <c r="AE6438">
        <v>-2.9754</v>
      </c>
      <c r="AF6438">
        <v>-1.7956278753144399</v>
      </c>
      <c r="AG6438">
        <v>-1.1125948167169999</v>
      </c>
      <c r="AH6438">
        <v>27.278566181430602</v>
      </c>
      <c r="AI6438">
        <v>92.330556560384807</v>
      </c>
      <c r="AJ6438">
        <v>93.766095593521499</v>
      </c>
      <c r="AK6438">
        <v>27.360232447979701</v>
      </c>
      <c r="AL6438">
        <v>79.400732235104499</v>
      </c>
      <c r="AM6438">
        <v>90.498211394666598</v>
      </c>
      <c r="AN6438">
        <v>1.0000000610584201</v>
      </c>
    </row>
    <row r="6439" spans="1:40" x14ac:dyDescent="0.25">
      <c r="A6439" t="str">
        <f>"20190312154051164"</f>
        <v>20190312154051164</v>
      </c>
      <c r="B6439" t="str">
        <f>"1552376451152259"</f>
        <v>1552376451152259</v>
      </c>
      <c r="C6439" t="s">
        <v>40</v>
      </c>
      <c r="D6439">
        <v>4.1219340000000004</v>
      </c>
      <c r="E6439">
        <v>0.48299029999999998</v>
      </c>
      <c r="F6439" t="s">
        <v>42</v>
      </c>
      <c r="G6439">
        <v>-395.3877</v>
      </c>
      <c r="H6439" s="1">
        <v>-2.325905E-6</v>
      </c>
      <c r="I6439">
        <v>137.55889999999999</v>
      </c>
      <c r="J6439">
        <v>-369.60410000000002</v>
      </c>
      <c r="K6439">
        <v>1.1125940000000001</v>
      </c>
      <c r="L6439">
        <v>140.33609999999999</v>
      </c>
      <c r="M6439">
        <v>-0.99891149999999995</v>
      </c>
      <c r="N6439">
        <v>0</v>
      </c>
      <c r="O6439">
        <v>-4.4456719999999998E-2</v>
      </c>
      <c r="P6439">
        <v>-0.9842554</v>
      </c>
      <c r="Q6439">
        <v>0.1690875</v>
      </c>
      <c r="R6439">
        <v>-5.1487989999999997E-2</v>
      </c>
      <c r="S6439">
        <v>-3.05423</v>
      </c>
      <c r="T6439">
        <v>-0.130921699999999</v>
      </c>
      <c r="U6439">
        <v>-0.32783509999999999</v>
      </c>
      <c r="V6439">
        <v>-8.3919709999999998E-3</v>
      </c>
      <c r="W6439">
        <v>0.18296190000000001</v>
      </c>
      <c r="X6439">
        <v>0.98308419999999996</v>
      </c>
      <c r="Y6439">
        <v>-6.2395949999999999E-2</v>
      </c>
      <c r="Z6439">
        <v>5.6505170000000003E-4</v>
      </c>
      <c r="AA6439">
        <v>0.99805129999999997</v>
      </c>
      <c r="AB6439">
        <v>28</v>
      </c>
      <c r="AC6439">
        <v>-25.7835999999999</v>
      </c>
      <c r="AD6439">
        <v>-1.112596325905</v>
      </c>
      <c r="AE6439">
        <v>-2.7771999999999899</v>
      </c>
      <c r="AF6439">
        <v>-1.6250937933758201</v>
      </c>
      <c r="AG6439">
        <v>-1.112596325905</v>
      </c>
      <c r="AH6439">
        <v>25.8340282695262</v>
      </c>
      <c r="AI6439">
        <v>92.461179678482395</v>
      </c>
      <c r="AJ6439">
        <v>93.599457668446206</v>
      </c>
      <c r="AK6439">
        <v>25.908991046591701</v>
      </c>
      <c r="AL6439">
        <v>79.457670275854895</v>
      </c>
      <c r="AM6439">
        <v>90.489086124504595</v>
      </c>
      <c r="AN6439">
        <v>1.0000000131592499</v>
      </c>
    </row>
    <row r="6440" spans="1:40" x14ac:dyDescent="0.25">
      <c r="A6440" t="str">
        <f>"20190312154051183"</f>
        <v>20190312154051183</v>
      </c>
      <c r="B6440" t="str">
        <f>"1552376451172755"</f>
        <v>1552376451172755</v>
      </c>
      <c r="C6440" t="s">
        <v>40</v>
      </c>
      <c r="D6440">
        <v>4.1308639999999999</v>
      </c>
      <c r="E6440">
        <v>0.4837244</v>
      </c>
      <c r="F6440" t="s">
        <v>42</v>
      </c>
      <c r="G6440">
        <v>-394.98419999999999</v>
      </c>
      <c r="H6440" s="1">
        <v>-2.489599E-6</v>
      </c>
      <c r="I6440">
        <v>137.61179999999999</v>
      </c>
      <c r="J6440">
        <v>-369.84379999999999</v>
      </c>
      <c r="K6440">
        <v>1.1125910000000001</v>
      </c>
      <c r="L6440">
        <v>140.32339999999999</v>
      </c>
      <c r="M6440">
        <v>-0.99882649999999995</v>
      </c>
      <c r="N6440">
        <v>0</v>
      </c>
      <c r="O6440">
        <v>-4.6327689999999998E-2</v>
      </c>
      <c r="P6440">
        <v>-0.98446840000000002</v>
      </c>
      <c r="Q6440">
        <v>0.16753199999999999</v>
      </c>
      <c r="R6440">
        <v>-5.2489590000000003E-2</v>
      </c>
      <c r="S6440">
        <v>-3.053833</v>
      </c>
      <c r="T6440">
        <v>-0.1338722</v>
      </c>
      <c r="U6440">
        <v>-0.32778930000000001</v>
      </c>
      <c r="V6440">
        <v>-7.5344419999999997E-3</v>
      </c>
      <c r="W6440">
        <v>0.18141189999999999</v>
      </c>
      <c r="X6440">
        <v>0.98337839999999999</v>
      </c>
      <c r="Y6440">
        <v>-6.0528190000000003E-2</v>
      </c>
      <c r="Z6440">
        <v>7.0024080000000003E-4</v>
      </c>
      <c r="AA6440">
        <v>0.99816629999999995</v>
      </c>
      <c r="AB6440">
        <v>28</v>
      </c>
      <c r="AC6440">
        <v>-25.1404</v>
      </c>
      <c r="AD6440">
        <v>-1.112593489599</v>
      </c>
      <c r="AE6440">
        <v>-2.7115999999999998</v>
      </c>
      <c r="AF6440">
        <v>-1.5408920191198401</v>
      </c>
      <c r="AG6440">
        <v>-1.112593489599</v>
      </c>
      <c r="AH6440">
        <v>25.1902675842001</v>
      </c>
      <c r="AI6440">
        <v>92.524260954022196</v>
      </c>
      <c r="AJ6440">
        <v>93.500428851662093</v>
      </c>
      <c r="AK6440">
        <v>25.261864409645</v>
      </c>
      <c r="AL6440">
        <v>79.547990857326894</v>
      </c>
      <c r="AM6440">
        <v>90.438979827778198</v>
      </c>
      <c r="AN6440">
        <v>1.0000000614322</v>
      </c>
    </row>
    <row r="6441" spans="1:40" x14ac:dyDescent="0.25">
      <c r="A6441" t="str">
        <f>"20190312154051199"</f>
        <v>20190312154051199</v>
      </c>
      <c r="B6441" t="str">
        <f>"1552376451193251"</f>
        <v>1552376451193251</v>
      </c>
      <c r="C6441" t="s">
        <v>40</v>
      </c>
      <c r="D6441">
        <v>4.1406640000000001</v>
      </c>
      <c r="E6441">
        <v>0.49321150000000002</v>
      </c>
      <c r="F6441" t="s">
        <v>42</v>
      </c>
      <c r="G6441">
        <v>-394.47680000000003</v>
      </c>
      <c r="H6441" s="1">
        <v>-2.6909459999999999E-6</v>
      </c>
      <c r="I6441">
        <v>137.70400000000001</v>
      </c>
      <c r="J6441">
        <v>-370.03219999999999</v>
      </c>
      <c r="K6441">
        <v>1.112601</v>
      </c>
      <c r="L6441">
        <v>140.31309999999999</v>
      </c>
      <c r="M6441">
        <v>-0.99875659999999999</v>
      </c>
      <c r="N6441">
        <v>0</v>
      </c>
      <c r="O6441">
        <v>-4.7811159999999998E-2</v>
      </c>
      <c r="P6441">
        <v>-0.98460460000000005</v>
      </c>
      <c r="Q6441">
        <v>0.1664264</v>
      </c>
      <c r="R6441">
        <v>-5.3442789999999997E-2</v>
      </c>
      <c r="S6441">
        <v>-3.0534970000000001</v>
      </c>
      <c r="T6441">
        <v>-0.13791700000000001</v>
      </c>
      <c r="U6441">
        <v>-0.32469179999999997</v>
      </c>
      <c r="V6441">
        <v>-7.0158649999999996E-3</v>
      </c>
      <c r="W6441">
        <v>0.18030940000000001</v>
      </c>
      <c r="X6441">
        <v>0.98358489999999998</v>
      </c>
      <c r="Y6441">
        <v>-5.8059109999999997E-2</v>
      </c>
      <c r="Z6441">
        <v>8.437319E-4</v>
      </c>
      <c r="AA6441">
        <v>0.9983128</v>
      </c>
      <c r="AB6441">
        <v>28</v>
      </c>
      <c r="AC6441">
        <v>-24.444600000000001</v>
      </c>
      <c r="AD6441">
        <v>-1.112603690946</v>
      </c>
      <c r="AE6441">
        <v>-2.6090999999999802</v>
      </c>
      <c r="AF6441">
        <v>-1.4343364645757499</v>
      </c>
      <c r="AG6441">
        <v>-1.112603690946</v>
      </c>
      <c r="AH6441">
        <v>24.491230327058901</v>
      </c>
      <c r="AI6441">
        <v>92.596638751658702</v>
      </c>
      <c r="AJ6441">
        <v>93.351716500764795</v>
      </c>
      <c r="AK6441">
        <v>24.558411410345101</v>
      </c>
      <c r="AL6441">
        <v>79.612217783755895</v>
      </c>
      <c r="AM6441">
        <v>90.408681179328099</v>
      </c>
      <c r="AN6441">
        <v>0.99999997879903302</v>
      </c>
    </row>
    <row r="6442" spans="1:40" x14ac:dyDescent="0.25">
      <c r="A6442" t="str">
        <f>"20190312154051218"</f>
        <v>20190312154051218</v>
      </c>
      <c r="B6442" t="str">
        <f>"1552376451212771"</f>
        <v>1552376451212771</v>
      </c>
      <c r="C6442" t="s">
        <v>40</v>
      </c>
      <c r="D6442">
        <v>4.1549870000000002</v>
      </c>
      <c r="E6442">
        <v>0.49355349999999998</v>
      </c>
      <c r="F6442" t="s">
        <v>42</v>
      </c>
      <c r="G6442">
        <v>-399.03190000000001</v>
      </c>
      <c r="H6442" s="1">
        <v>-7.6381289999999999E-7</v>
      </c>
      <c r="I6442">
        <v>137.93129999999999</v>
      </c>
      <c r="J6442">
        <v>-370.26900000000001</v>
      </c>
      <c r="K6442">
        <v>1.1126130000000001</v>
      </c>
      <c r="L6442">
        <v>140.2997</v>
      </c>
      <c r="M6442">
        <v>-0.99866440000000001</v>
      </c>
      <c r="N6442">
        <v>0</v>
      </c>
      <c r="O6442">
        <v>-4.9701370000000002E-2</v>
      </c>
      <c r="P6442">
        <v>-0.98482789999999998</v>
      </c>
      <c r="Q6442">
        <v>0.164787299999999</v>
      </c>
      <c r="R6442">
        <v>-5.440267E-2</v>
      </c>
      <c r="S6442">
        <v>-3.0530400000000002</v>
      </c>
      <c r="T6442">
        <v>-0.1171328</v>
      </c>
      <c r="U6442">
        <v>-0.25074770000000002</v>
      </c>
      <c r="V6442">
        <v>-6.0979809999999997E-3</v>
      </c>
      <c r="W6442">
        <v>0.1786769</v>
      </c>
      <c r="X6442">
        <v>0.98388889999999996</v>
      </c>
      <c r="Y6442">
        <v>-3.2226930000000001E-2</v>
      </c>
      <c r="Z6442">
        <v>1.2846279999999999E-3</v>
      </c>
      <c r="AA6442">
        <v>0.99947980000000003</v>
      </c>
      <c r="AB6442">
        <v>28</v>
      </c>
      <c r="AC6442">
        <v>-28.762899999999998</v>
      </c>
      <c r="AD6442">
        <v>-1.1126137638128999</v>
      </c>
      <c r="AE6442">
        <v>-2.3683999999999998</v>
      </c>
      <c r="AF6442">
        <v>-0.93438571182070895</v>
      </c>
      <c r="AG6442">
        <v>-1.1126137638128999</v>
      </c>
      <c r="AH6442">
        <v>28.802262899105202</v>
      </c>
      <c r="AI6442">
        <v>92.211038878457998</v>
      </c>
      <c r="AJ6442">
        <v>91.858103594726998</v>
      </c>
      <c r="AK6442">
        <v>28.8388857994731</v>
      </c>
      <c r="AL6442">
        <v>79.707297478859701</v>
      </c>
      <c r="AM6442">
        <v>90.355105237235506</v>
      </c>
      <c r="AN6442">
        <v>0.99999999375454796</v>
      </c>
    </row>
    <row r="6443" spans="1:40" x14ac:dyDescent="0.25">
      <c r="A6443" t="str">
        <f>"20190312154051241"</f>
        <v>20190312154051241</v>
      </c>
      <c r="B6443" t="str">
        <f>"1552376451233267"</f>
        <v>1552376451233267</v>
      </c>
      <c r="C6443" t="s">
        <v>40</v>
      </c>
      <c r="D6443">
        <v>4.098573</v>
      </c>
      <c r="E6443">
        <v>0.49368279999999998</v>
      </c>
      <c r="F6443" t="s">
        <v>42</v>
      </c>
      <c r="G6443">
        <v>-398.50959999999998</v>
      </c>
      <c r="H6443" s="1">
        <v>-9.2864379999999995E-7</v>
      </c>
      <c r="I6443">
        <v>137.97980000000001</v>
      </c>
      <c r="J6443">
        <v>-370.54160000000002</v>
      </c>
      <c r="K6443">
        <v>1.1126320000000001</v>
      </c>
      <c r="L6443">
        <v>140.28370000000001</v>
      </c>
      <c r="M6443">
        <v>-0.998552</v>
      </c>
      <c r="N6443">
        <v>0</v>
      </c>
      <c r="O6443">
        <v>-5.191163E-2</v>
      </c>
      <c r="P6443">
        <v>-0.98506039999999995</v>
      </c>
      <c r="Q6443">
        <v>0.163039299999999</v>
      </c>
      <c r="R6443">
        <v>-5.5449610000000003E-2</v>
      </c>
      <c r="S6443">
        <v>-3.0524900000000001</v>
      </c>
      <c r="T6443">
        <v>-0.12026100000000001</v>
      </c>
      <c r="U6443">
        <v>-0.25074770000000002</v>
      </c>
      <c r="V6443">
        <v>-4.9510680000000003E-3</v>
      </c>
      <c r="W6443">
        <v>0.17693599999999901</v>
      </c>
      <c r="X6443">
        <v>0.98420989999999997</v>
      </c>
      <c r="Y6443">
        <v>-3.0033420000000002E-2</v>
      </c>
      <c r="Z6443">
        <v>1.4489990000000001E-3</v>
      </c>
      <c r="AA6443">
        <v>0.99954779999999999</v>
      </c>
      <c r="AB6443">
        <v>28</v>
      </c>
      <c r="AC6443">
        <v>-27.9679999999999</v>
      </c>
      <c r="AD6443">
        <v>-1.1126329286437999</v>
      </c>
      <c r="AE6443">
        <v>-2.3038999999999898</v>
      </c>
      <c r="AF6443">
        <v>-0.84745181194083297</v>
      </c>
      <c r="AG6443">
        <v>-1.1126329286437999</v>
      </c>
      <c r="AH6443">
        <v>28.005869499478099</v>
      </c>
      <c r="AI6443">
        <v>92.274042691109898</v>
      </c>
      <c r="AJ6443">
        <v>91.733229539594603</v>
      </c>
      <c r="AK6443">
        <v>28.040771263095799</v>
      </c>
      <c r="AL6443">
        <v>79.808658866184203</v>
      </c>
      <c r="AM6443">
        <v>90.288223993306104</v>
      </c>
      <c r="AN6443">
        <v>0.99999999421417496</v>
      </c>
    </row>
    <row r="6444" spans="1:40" x14ac:dyDescent="0.25">
      <c r="A6444" t="str">
        <f>"20190312154051261"</f>
        <v>20190312154051261</v>
      </c>
      <c r="B6444" t="str">
        <f>"1552376451252787"</f>
        <v>1552376451252787</v>
      </c>
      <c r="C6444" t="s">
        <v>40</v>
      </c>
      <c r="D6444">
        <v>4.0871120000000003</v>
      </c>
      <c r="E6444">
        <v>0.49363620000000002</v>
      </c>
      <c r="F6444" t="s">
        <v>42</v>
      </c>
      <c r="G6444">
        <v>-398.15449999999998</v>
      </c>
      <c r="H6444" s="1">
        <v>-1.0614619999999999E-6</v>
      </c>
      <c r="I6444">
        <v>137.9956</v>
      </c>
      <c r="J6444">
        <v>-370.80990000000003</v>
      </c>
      <c r="K6444">
        <v>1.1126529999999999</v>
      </c>
      <c r="L6444">
        <v>140.26730000000001</v>
      </c>
      <c r="M6444">
        <v>-0.99843470000000001</v>
      </c>
      <c r="N6444">
        <v>0</v>
      </c>
      <c r="O6444">
        <v>-5.4119E-2</v>
      </c>
      <c r="P6444">
        <v>-0.98507789999999995</v>
      </c>
      <c r="Q6444">
        <v>0.16230720000000001</v>
      </c>
      <c r="R6444">
        <v>-5.7255550000000002E-2</v>
      </c>
      <c r="S6444">
        <v>-3.0516359999999998</v>
      </c>
      <c r="T6444">
        <v>-0.1229625</v>
      </c>
      <c r="U6444">
        <v>-0.25285340000000001</v>
      </c>
      <c r="V6444">
        <v>-4.5776389999999997E-3</v>
      </c>
      <c r="W6444">
        <v>0.17620529999999901</v>
      </c>
      <c r="X6444">
        <v>0.98434279999999996</v>
      </c>
      <c r="Y6444">
        <v>-2.8535319999999999E-2</v>
      </c>
      <c r="Z6444">
        <v>1.6005780000000001E-3</v>
      </c>
      <c r="AA6444">
        <v>0.99959149999999997</v>
      </c>
      <c r="AB6444">
        <v>28</v>
      </c>
      <c r="AC6444">
        <v>-27.3445999999999</v>
      </c>
      <c r="AD6444">
        <v>-1.112654061462</v>
      </c>
      <c r="AE6444">
        <v>-2.2717000000000098</v>
      </c>
      <c r="AF6444">
        <v>-0.78706605858170398</v>
      </c>
      <c r="AG6444">
        <v>-1.112654061462</v>
      </c>
      <c r="AH6444">
        <v>27.3824467978828</v>
      </c>
      <c r="AI6444">
        <v>92.325908108938805</v>
      </c>
      <c r="AJ6444">
        <v>91.646425198286494</v>
      </c>
      <c r="AK6444">
        <v>27.416343021634699</v>
      </c>
      <c r="AL6444">
        <v>79.851193307140406</v>
      </c>
      <c r="AM6444">
        <v>90.266449354952996</v>
      </c>
      <c r="AN6444">
        <v>1.00000000521937</v>
      </c>
    </row>
    <row r="6445" spans="1:40" x14ac:dyDescent="0.25">
      <c r="A6445" t="str">
        <f>"20190312154051275"</f>
        <v>20190312154051275</v>
      </c>
      <c r="B6445" t="str">
        <f>"1552376451262548"</f>
        <v>1552376451262548</v>
      </c>
      <c r="C6445" t="s">
        <v>40</v>
      </c>
      <c r="D6445">
        <v>4.1217180000000004</v>
      </c>
      <c r="E6445">
        <v>0.49373679999999998</v>
      </c>
      <c r="F6445" t="s">
        <v>42</v>
      </c>
      <c r="G6445">
        <v>-398.15269999999998</v>
      </c>
      <c r="H6445" s="1">
        <v>-1.0716160000000001E-6</v>
      </c>
      <c r="I6445">
        <v>137.94280000000001</v>
      </c>
      <c r="J6445">
        <v>-370.97579999999999</v>
      </c>
      <c r="K6445">
        <v>1.1126670000000001</v>
      </c>
      <c r="L6445">
        <v>140.2568</v>
      </c>
      <c r="M6445">
        <v>-0.998359</v>
      </c>
      <c r="N6445">
        <v>0</v>
      </c>
      <c r="O6445">
        <v>-5.549747E-2</v>
      </c>
      <c r="P6445">
        <v>-0.98493589999999998</v>
      </c>
      <c r="Q6445">
        <v>0.1625675</v>
      </c>
      <c r="R6445">
        <v>-5.8932390000000001E-2</v>
      </c>
      <c r="S6445">
        <v>-3.0507810000000002</v>
      </c>
      <c r="T6445">
        <v>-0.1241448</v>
      </c>
      <c r="U6445">
        <v>-0.25933840000000002</v>
      </c>
      <c r="V6445">
        <v>-4.903152E-3</v>
      </c>
      <c r="W6445">
        <v>0.17646300000000001</v>
      </c>
      <c r="X6445">
        <v>0.98429509999999998</v>
      </c>
      <c r="Y6445">
        <v>-2.9289079999999999E-2</v>
      </c>
      <c r="Z6445">
        <v>1.6567750000000001E-3</v>
      </c>
      <c r="AA6445">
        <v>0.99956959999999995</v>
      </c>
      <c r="AB6445">
        <v>28</v>
      </c>
      <c r="AC6445">
        <v>-27.1768999999999</v>
      </c>
      <c r="AD6445">
        <v>-1.112668071616</v>
      </c>
      <c r="AE6445">
        <v>-2.3139999999999898</v>
      </c>
      <c r="AF6445">
        <v>-0.80070098346923402</v>
      </c>
      <c r="AG6445">
        <v>-1.112668071616</v>
      </c>
      <c r="AH6445">
        <v>27.2181460465786</v>
      </c>
      <c r="AI6445">
        <v>92.339916383836695</v>
      </c>
      <c r="AJ6445">
        <v>91.685036139648304</v>
      </c>
      <c r="AK6445">
        <v>27.252644394909801</v>
      </c>
      <c r="AL6445">
        <v>79.8361934699752</v>
      </c>
      <c r="AM6445">
        <v>90.285409926619707</v>
      </c>
      <c r="AN6445">
        <v>1.0000000375762701</v>
      </c>
    </row>
    <row r="6446" spans="1:40" x14ac:dyDescent="0.25">
      <c r="A6446" t="str">
        <f>"20190312154051287"</f>
        <v>20190312154051287</v>
      </c>
      <c r="B6446" t="str">
        <f>"1552376451283044"</f>
        <v>1552376451283044</v>
      </c>
      <c r="C6446" t="s">
        <v>40</v>
      </c>
      <c r="D6446">
        <v>4.100975</v>
      </c>
      <c r="E6446">
        <v>0.4935988</v>
      </c>
      <c r="F6446" t="s">
        <v>42</v>
      </c>
      <c r="G6446">
        <v>-398.99180000000001</v>
      </c>
      <c r="H6446" s="1">
        <v>-8.0278199999999999E-7</v>
      </c>
      <c r="I6446">
        <v>137.83609999999999</v>
      </c>
      <c r="J6446">
        <v>-371.12909999999999</v>
      </c>
      <c r="K6446">
        <v>1.112676</v>
      </c>
      <c r="L6446">
        <v>140.24690000000001</v>
      </c>
      <c r="M6446">
        <v>-0.99828680000000003</v>
      </c>
      <c r="N6446">
        <v>0</v>
      </c>
      <c r="O6446">
        <v>-5.6783130000000001E-2</v>
      </c>
      <c r="P6446">
        <v>-0.98476640000000004</v>
      </c>
      <c r="Q6446">
        <v>0.1628319</v>
      </c>
      <c r="R6446">
        <v>-6.1002099999999997E-2</v>
      </c>
      <c r="S6446">
        <v>-3.0501100000000001</v>
      </c>
      <c r="T6446">
        <v>-0.12113649999999999</v>
      </c>
      <c r="U6446">
        <v>-0.2635345</v>
      </c>
      <c r="V6446">
        <v>-5.7129769999999898E-3</v>
      </c>
      <c r="W6446">
        <v>0.1767215</v>
      </c>
      <c r="X6446">
        <v>0.98424429999999996</v>
      </c>
      <c r="Y6446">
        <v>-2.9385419999999999E-2</v>
      </c>
      <c r="Z6446">
        <v>1.665819E-3</v>
      </c>
      <c r="AA6446">
        <v>0.99956679999999998</v>
      </c>
      <c r="AB6446">
        <v>28</v>
      </c>
      <c r="AC6446">
        <v>-27.8627</v>
      </c>
      <c r="AD6446">
        <v>-1.112676802782</v>
      </c>
      <c r="AE6446">
        <v>-2.41080000000002</v>
      </c>
      <c r="AF6446">
        <v>-0.82331738718066705</v>
      </c>
      <c r="AG6446">
        <v>-1.112676802782</v>
      </c>
      <c r="AH6446">
        <v>27.910462622538901</v>
      </c>
      <c r="AI6446">
        <v>92.281949579366497</v>
      </c>
      <c r="AJ6446">
        <v>91.689650818234099</v>
      </c>
      <c r="AK6446">
        <v>27.944763820644901</v>
      </c>
      <c r="AL6446">
        <v>79.821145480007701</v>
      </c>
      <c r="AM6446">
        <v>90.332565598364397</v>
      </c>
      <c r="AN6446">
        <v>0.999999984375471</v>
      </c>
    </row>
    <row r="6447" spans="1:40" x14ac:dyDescent="0.25">
      <c r="A6447" t="str">
        <f>"20190312154051307"</f>
        <v>20190312154051307</v>
      </c>
      <c r="B6447" t="str">
        <f>"1552376451303114"</f>
        <v>1552376451303114</v>
      </c>
      <c r="C6447" t="s">
        <v>40</v>
      </c>
      <c r="D6447">
        <v>4.0761479999999999</v>
      </c>
      <c r="E6447">
        <v>0.47425640000000002</v>
      </c>
      <c r="F6447" t="s">
        <v>42</v>
      </c>
      <c r="G6447">
        <v>-399.64789999999999</v>
      </c>
      <c r="H6447" s="1">
        <v>-6.1120909999999899E-7</v>
      </c>
      <c r="I6447">
        <v>137.71690000000001</v>
      </c>
      <c r="J6447">
        <v>-371.3646</v>
      </c>
      <c r="K6447">
        <v>1.1126780000000001</v>
      </c>
      <c r="L6447">
        <v>140.2313</v>
      </c>
      <c r="M6447">
        <v>-0.9981719</v>
      </c>
      <c r="N6447">
        <v>0</v>
      </c>
      <c r="O6447">
        <v>-5.8768069999999999E-2</v>
      </c>
      <c r="P6447">
        <v>-0.98453089999999999</v>
      </c>
      <c r="Q6447">
        <v>0.16269639999999999</v>
      </c>
      <c r="R6447">
        <v>-6.5031510000000001E-2</v>
      </c>
      <c r="S6447">
        <v>-3.0493160000000001</v>
      </c>
      <c r="T6447">
        <v>-0.11897050000000001</v>
      </c>
      <c r="U6447">
        <v>-0.27050780000000002</v>
      </c>
      <c r="V6447">
        <v>-7.7903969999999897E-3</v>
      </c>
      <c r="W6447">
        <v>0.17657610000000001</v>
      </c>
      <c r="X6447">
        <v>0.98425609999999997</v>
      </c>
      <c r="Y6447">
        <v>-2.9689070000000001E-2</v>
      </c>
      <c r="Z6447">
        <v>1.707444E-3</v>
      </c>
      <c r="AA6447">
        <v>0.99955769999999999</v>
      </c>
      <c r="AB6447">
        <v>28</v>
      </c>
      <c r="AC6447">
        <v>-28.283300000000001</v>
      </c>
      <c r="AD6447">
        <v>-1.1126786112091001</v>
      </c>
      <c r="AE6447">
        <v>-2.51439999999999</v>
      </c>
      <c r="AF6447">
        <v>-0.84643316771769095</v>
      </c>
      <c r="AG6447">
        <v>-1.1126786112091001</v>
      </c>
      <c r="AH6447">
        <v>28.338673245910801</v>
      </c>
      <c r="AI6447">
        <v>92.247482898345993</v>
      </c>
      <c r="AJ6447">
        <v>91.710829353732606</v>
      </c>
      <c r="AK6447">
        <v>28.373137016159401</v>
      </c>
      <c r="AL6447">
        <v>79.829608933070205</v>
      </c>
      <c r="AM6447">
        <v>90.453487205363999</v>
      </c>
      <c r="AN6447">
        <v>0.99999993988191704</v>
      </c>
    </row>
    <row r="6448" spans="1:40" x14ac:dyDescent="0.25">
      <c r="A6448" t="str">
        <f>"20190312154051341"</f>
        <v>20190312154051341</v>
      </c>
      <c r="B6448" t="str">
        <f>"1552376451332394"</f>
        <v>1552376451332394</v>
      </c>
      <c r="C6448" t="s">
        <v>40</v>
      </c>
      <c r="D6448">
        <v>4.057245</v>
      </c>
      <c r="E6448">
        <v>0.47339740000000002</v>
      </c>
      <c r="F6448" t="s">
        <v>55</v>
      </c>
      <c r="G6448">
        <v>-428.82130000000001</v>
      </c>
      <c r="H6448" s="1">
        <v>-8.0577670000000007E-6</v>
      </c>
      <c r="I6448">
        <v>132.01689999999999</v>
      </c>
      <c r="J6448">
        <v>-371.77269999999999</v>
      </c>
      <c r="K6448">
        <v>1.112665</v>
      </c>
      <c r="L6448">
        <v>140.20320000000001</v>
      </c>
      <c r="M6448">
        <v>-0.99796220000000002</v>
      </c>
      <c r="N6448">
        <v>0</v>
      </c>
      <c r="O6448">
        <v>-6.2228310000000002E-2</v>
      </c>
      <c r="P6448">
        <v>-0.98470970000000002</v>
      </c>
      <c r="Q6448">
        <v>0.15843960000000001</v>
      </c>
      <c r="R6448">
        <v>-7.2413089999999999E-2</v>
      </c>
      <c r="S6448">
        <v>-3.0282290000000001</v>
      </c>
      <c r="T6448">
        <v>-5.8643580000000001E-2</v>
      </c>
      <c r="U6448">
        <v>-0.43293759999999998</v>
      </c>
      <c r="V6448">
        <v>-1.171118E-2</v>
      </c>
      <c r="W6448">
        <v>0.17230899999999999</v>
      </c>
      <c r="X6448">
        <v>0.98497330000000005</v>
      </c>
      <c r="Y6448">
        <v>-7.9642599999999994E-2</v>
      </c>
      <c r="Z6448">
        <v>4.2990520000000003E-4</v>
      </c>
      <c r="AA6448">
        <v>0.99682340000000003</v>
      </c>
      <c r="AB6448">
        <v>28</v>
      </c>
      <c r="AC6448">
        <v>-57.0486</v>
      </c>
      <c r="AD6448">
        <v>-1.1126730577670001</v>
      </c>
      <c r="AE6448">
        <v>-8.1863000000000099</v>
      </c>
      <c r="AF6448">
        <v>-4.61831852317877</v>
      </c>
      <c r="AG6448">
        <v>-1.1126730577670001</v>
      </c>
      <c r="AH6448">
        <v>57.426080352709299</v>
      </c>
      <c r="AI6448">
        <v>91.106438097518904</v>
      </c>
      <c r="AJ6448">
        <v>94.597943815076704</v>
      </c>
      <c r="AK6448">
        <v>57.622231924760101</v>
      </c>
      <c r="AL6448">
        <v>80.077903309815099</v>
      </c>
      <c r="AM6448">
        <v>90.681205846230597</v>
      </c>
      <c r="AN6448">
        <v>0.99999997246544003</v>
      </c>
    </row>
    <row r="6449" spans="1:40" x14ac:dyDescent="0.25">
      <c r="A6449" t="str">
        <f>"20190312154051362"</f>
        <v>20190312154051362</v>
      </c>
      <c r="B6449" t="str">
        <f>"1552376451352890"</f>
        <v>1552376451352890</v>
      </c>
      <c r="C6449" t="s">
        <v>40</v>
      </c>
      <c r="D6449">
        <v>4.0163799999999998</v>
      </c>
      <c r="E6449">
        <v>0.47366449999999999</v>
      </c>
      <c r="F6449" t="s">
        <v>55</v>
      </c>
      <c r="G6449">
        <v>-420.00909999999999</v>
      </c>
      <c r="H6449" s="1">
        <v>-7.0413419999999997E-6</v>
      </c>
      <c r="I6449">
        <v>132.82810000000001</v>
      </c>
      <c r="J6449">
        <v>-372.04</v>
      </c>
      <c r="K6449">
        <v>1.1126450000000001</v>
      </c>
      <c r="L6449">
        <v>140.184</v>
      </c>
      <c r="M6449">
        <v>-0.99781850000000005</v>
      </c>
      <c r="N6449">
        <v>0</v>
      </c>
      <c r="O6449">
        <v>-6.449233E-2</v>
      </c>
      <c r="P6449">
        <v>-0.98509420000000003</v>
      </c>
      <c r="Q6449">
        <v>0.1546766</v>
      </c>
      <c r="R6449">
        <v>-7.5262659999999995E-2</v>
      </c>
      <c r="S6449">
        <v>-3.0238040000000002</v>
      </c>
      <c r="T6449">
        <v>-6.9750309999999996E-2</v>
      </c>
      <c r="U6449">
        <v>-0.46232600000000001</v>
      </c>
      <c r="V6449">
        <v>-1.227255E-2</v>
      </c>
      <c r="W6449">
        <v>0.16855010000000001</v>
      </c>
      <c r="X6449">
        <v>0.98561670000000001</v>
      </c>
      <c r="Y6449">
        <v>-8.7060760000000001E-2</v>
      </c>
      <c r="Z6449">
        <v>4.7824329999999999E-4</v>
      </c>
      <c r="AA6449">
        <v>0.9962029</v>
      </c>
      <c r="AB6449">
        <v>28</v>
      </c>
      <c r="AC6449">
        <v>-47.969099999999898</v>
      </c>
      <c r="AD6449">
        <v>-1.112652041342</v>
      </c>
      <c r="AE6449">
        <v>-7.3558999999999903</v>
      </c>
      <c r="AF6449">
        <v>-4.2444055013820403</v>
      </c>
      <c r="AG6449">
        <v>-1.112652041342</v>
      </c>
      <c r="AH6449">
        <v>48.318265731901</v>
      </c>
      <c r="AI6449">
        <v>91.314090740773295</v>
      </c>
      <c r="AJ6449">
        <v>95.020128419602898</v>
      </c>
      <c r="AK6449">
        <v>48.517087463736502</v>
      </c>
      <c r="AL6449">
        <v>80.296470649302407</v>
      </c>
      <c r="AM6449">
        <v>90.713389882541193</v>
      </c>
      <c r="AN6449">
        <v>1.0000000155062001</v>
      </c>
    </row>
    <row r="6450" spans="1:40" x14ac:dyDescent="0.25">
      <c r="A6450" t="str">
        <f>"20190312154051385"</f>
        <v>20190312154051385</v>
      </c>
      <c r="B6450" t="str">
        <f>"1552376451372410"</f>
        <v>1552376451372410</v>
      </c>
      <c r="C6450" t="s">
        <v>40</v>
      </c>
      <c r="D6450">
        <v>4.0288930000000001</v>
      </c>
      <c r="E6450">
        <v>0.4739334</v>
      </c>
      <c r="F6450" t="s">
        <v>55</v>
      </c>
      <c r="G6450">
        <v>-413.70170000000002</v>
      </c>
      <c r="H6450" s="1">
        <v>-7.7701119999999998E-6</v>
      </c>
      <c r="I6450">
        <v>133.71780000000001</v>
      </c>
      <c r="J6450">
        <v>-372.3109</v>
      </c>
      <c r="K6450">
        <v>1.112617</v>
      </c>
      <c r="L6450">
        <v>140.16399999999999</v>
      </c>
      <c r="M6450">
        <v>-0.99766860000000002</v>
      </c>
      <c r="N6450">
        <v>0</v>
      </c>
      <c r="O6450">
        <v>-6.6773840000000001E-2</v>
      </c>
      <c r="P6450">
        <v>-0.98535289999999998</v>
      </c>
      <c r="Q6450">
        <v>0.15201589999999901</v>
      </c>
      <c r="R6450">
        <v>-7.7271510000000002E-2</v>
      </c>
      <c r="S6450">
        <v>-3.0222169999999999</v>
      </c>
      <c r="T6450">
        <v>-8.0713750000000001E-2</v>
      </c>
      <c r="U6450">
        <v>-0.4690704</v>
      </c>
      <c r="V6450">
        <v>-1.198428E-2</v>
      </c>
      <c r="W6450">
        <v>0.1658944</v>
      </c>
      <c r="X6450">
        <v>0.98607069999999997</v>
      </c>
      <c r="Y6450">
        <v>-8.7031299999999895E-2</v>
      </c>
      <c r="Z6450">
        <v>6.1425640000000001E-4</v>
      </c>
      <c r="AA6450">
        <v>0.99620540000000002</v>
      </c>
      <c r="AB6450">
        <v>28</v>
      </c>
      <c r="AC6450">
        <v>-41.390799999999999</v>
      </c>
      <c r="AD6450">
        <v>-1.112624770112</v>
      </c>
      <c r="AE6450">
        <v>-6.44619999999997</v>
      </c>
      <c r="AF6450">
        <v>-3.6651272728548401</v>
      </c>
      <c r="AG6450">
        <v>-1.112624770112</v>
      </c>
      <c r="AH6450">
        <v>41.699465355424898</v>
      </c>
      <c r="AI6450">
        <v>91.522535898225399</v>
      </c>
      <c r="AJ6450">
        <v>95.023039297007401</v>
      </c>
      <c r="AK6450">
        <v>41.875010480399602</v>
      </c>
      <c r="AL6450">
        <v>80.4508040869935</v>
      </c>
      <c r="AM6450">
        <v>90.696314026339095</v>
      </c>
      <c r="AN6450">
        <v>1.0000000001584799</v>
      </c>
    </row>
    <row r="6451" spans="1:40" x14ac:dyDescent="0.25">
      <c r="A6451" t="str">
        <f>"20190312154051408"</f>
        <v>20190312154051408</v>
      </c>
      <c r="B6451" t="str">
        <f>"1552376451403207"</f>
        <v>1552376451403207</v>
      </c>
      <c r="C6451" t="s">
        <v>40</v>
      </c>
      <c r="D6451">
        <v>3.9615429999999998</v>
      </c>
      <c r="E6451">
        <v>0.47451559999999998</v>
      </c>
      <c r="F6451" t="s">
        <v>55</v>
      </c>
      <c r="G6451">
        <v>-411.6739</v>
      </c>
      <c r="H6451" s="1">
        <v>-8.0737649999999998E-6</v>
      </c>
      <c r="I6451">
        <v>134.005</v>
      </c>
      <c r="J6451">
        <v>-372.59429999999998</v>
      </c>
      <c r="K6451">
        <v>1.1125890000000001</v>
      </c>
      <c r="L6451">
        <v>140.14230000000001</v>
      </c>
      <c r="M6451">
        <v>-0.99750810000000001</v>
      </c>
      <c r="N6451">
        <v>0</v>
      </c>
      <c r="O6451">
        <v>-6.9129979999999994E-2</v>
      </c>
      <c r="P6451">
        <v>-0.98554779999999997</v>
      </c>
      <c r="Q6451">
        <v>0.14983629999999901</v>
      </c>
      <c r="R6451">
        <v>-7.9024189999999994E-2</v>
      </c>
      <c r="S6451">
        <v>-3.020721</v>
      </c>
      <c r="T6451">
        <v>-8.5382940000000004E-2</v>
      </c>
      <c r="U6451">
        <v>-0.47264099999999998</v>
      </c>
      <c r="V6451">
        <v>-1.136734E-2</v>
      </c>
      <c r="W6451">
        <v>0.16371959999999999</v>
      </c>
      <c r="X6451">
        <v>0.98644140000000002</v>
      </c>
      <c r="Y6451">
        <v>-8.5903209999999994E-2</v>
      </c>
      <c r="Z6451">
        <v>7.3175970000000003E-4</v>
      </c>
      <c r="AA6451">
        <v>0.99630320000000006</v>
      </c>
      <c r="AB6451">
        <v>27</v>
      </c>
      <c r="AC6451">
        <v>-39.079599999999999</v>
      </c>
      <c r="AD6451">
        <v>-1.1125970737649999</v>
      </c>
      <c r="AE6451">
        <v>-6.1372999999999998</v>
      </c>
      <c r="AF6451">
        <v>-3.41807045263146</v>
      </c>
      <c r="AG6451">
        <v>-1.1125970737649999</v>
      </c>
      <c r="AH6451">
        <v>39.379253063385597</v>
      </c>
      <c r="AI6451">
        <v>91.612310028019806</v>
      </c>
      <c r="AJ6451">
        <v>94.960769528688203</v>
      </c>
      <c r="AK6451">
        <v>39.542972190995798</v>
      </c>
      <c r="AL6451">
        <v>80.577138298962495</v>
      </c>
      <c r="AM6451">
        <v>90.660223485352603</v>
      </c>
      <c r="AN6451">
        <v>0.99999997973839705</v>
      </c>
    </row>
    <row r="6452" spans="1:40" x14ac:dyDescent="0.25">
      <c r="A6452" t="str">
        <f>"20190312154051430"</f>
        <v>20190312154051430</v>
      </c>
      <c r="B6452" t="str">
        <f>"1552376451422726"</f>
        <v>1552376451422726</v>
      </c>
      <c r="C6452" t="s">
        <v>40</v>
      </c>
      <c r="D6452">
        <v>4.0009410000000001</v>
      </c>
      <c r="E6452">
        <v>0.47476659999999998</v>
      </c>
      <c r="F6452" t="s">
        <v>55</v>
      </c>
      <c r="G6452">
        <v>-411.21210000000002</v>
      </c>
      <c r="H6452" s="1">
        <v>-8.1564019999999992E-6</v>
      </c>
      <c r="I6452">
        <v>134.10120000000001</v>
      </c>
      <c r="J6452">
        <v>-372.86329999999998</v>
      </c>
      <c r="K6452">
        <v>1.112549</v>
      </c>
      <c r="L6452">
        <v>140.12119999999999</v>
      </c>
      <c r="M6452">
        <v>-0.99735339999999995</v>
      </c>
      <c r="N6452">
        <v>0</v>
      </c>
      <c r="O6452">
        <v>-7.1326429999999996E-2</v>
      </c>
      <c r="P6452">
        <v>-0.98562609999999995</v>
      </c>
      <c r="Q6452">
        <v>0.14814449999999901</v>
      </c>
      <c r="R6452">
        <v>-8.1207180000000004E-2</v>
      </c>
      <c r="S6452">
        <v>-3.0193180000000002</v>
      </c>
      <c r="T6452">
        <v>-8.6987969999999998E-2</v>
      </c>
      <c r="U6452">
        <v>-0.47232059999999998</v>
      </c>
      <c r="V6452">
        <v>-1.1343270000000001E-2</v>
      </c>
      <c r="W6452">
        <v>0.162028799999999</v>
      </c>
      <c r="X6452">
        <v>0.98672090000000001</v>
      </c>
      <c r="Y6452">
        <v>-8.3678100000000005E-2</v>
      </c>
      <c r="Z6452">
        <v>8.4031609999999995E-4</v>
      </c>
      <c r="AA6452">
        <v>0.9964925</v>
      </c>
      <c r="AB6452">
        <v>27</v>
      </c>
      <c r="AC6452">
        <v>-38.348799999999997</v>
      </c>
      <c r="AD6452">
        <v>-1.112557156402</v>
      </c>
      <c r="AE6452">
        <v>-6.01999999999998</v>
      </c>
      <c r="AF6452">
        <v>-3.2664262014957601</v>
      </c>
      <c r="AG6452">
        <v>-1.112557156402</v>
      </c>
      <c r="AH6452">
        <v>38.648787838224699</v>
      </c>
      <c r="AI6452">
        <v>91.6430261454733</v>
      </c>
      <c r="AJ6452">
        <v>94.830907846172295</v>
      </c>
      <c r="AK6452">
        <v>38.8025273006822</v>
      </c>
      <c r="AL6452">
        <v>80.675325953523</v>
      </c>
      <c r="AM6452">
        <v>90.658639001909904</v>
      </c>
      <c r="AN6452">
        <v>1.0000000681502601</v>
      </c>
    </row>
    <row r="6453" spans="1:40" x14ac:dyDescent="0.25">
      <c r="A6453" t="str">
        <f>"20190312154051452"</f>
        <v>20190312154051452</v>
      </c>
      <c r="B6453" t="str">
        <f>"1552376451443223"</f>
        <v>1552376451443223</v>
      </c>
      <c r="C6453" t="s">
        <v>40</v>
      </c>
      <c r="D6453">
        <v>3.959937</v>
      </c>
      <c r="E6453">
        <v>0.47518009999999999</v>
      </c>
      <c r="F6453" t="s">
        <v>55</v>
      </c>
      <c r="G6453">
        <v>-409.70060000000001</v>
      </c>
      <c r="H6453" s="1">
        <v>-8.2006739999999998E-6</v>
      </c>
      <c r="I6453">
        <v>134.3168</v>
      </c>
      <c r="J6453">
        <v>-373.13150000000002</v>
      </c>
      <c r="K6453">
        <v>1.112509</v>
      </c>
      <c r="L6453">
        <v>140.09960000000001</v>
      </c>
      <c r="M6453">
        <v>-0.99719800000000003</v>
      </c>
      <c r="N6453">
        <v>0</v>
      </c>
      <c r="O6453">
        <v>-7.3468359999999996E-2</v>
      </c>
      <c r="P6453">
        <v>-0.9856897</v>
      </c>
      <c r="Q6453">
        <v>0.14648630000000001</v>
      </c>
      <c r="R6453">
        <v>-8.341295E-2</v>
      </c>
      <c r="S6453">
        <v>-3.0182500000000001</v>
      </c>
      <c r="T6453">
        <v>-9.1157080000000001E-2</v>
      </c>
      <c r="U6453">
        <v>-0.47558590000000001</v>
      </c>
      <c r="V6453">
        <v>-1.1392970000000001E-2</v>
      </c>
      <c r="W6453">
        <v>0.16037129999999999</v>
      </c>
      <c r="X6453">
        <v>0.98699099999999995</v>
      </c>
      <c r="Y6453">
        <v>-8.2644720000000005E-2</v>
      </c>
      <c r="Z6453">
        <v>9.6026900000000003E-4</v>
      </c>
      <c r="AA6453">
        <v>0.99657859999999998</v>
      </c>
      <c r="AB6453">
        <v>27</v>
      </c>
      <c r="AC6453">
        <v>-36.569099999999899</v>
      </c>
      <c r="AD6453">
        <v>-1.1125172006739901</v>
      </c>
      <c r="AE6453">
        <v>-5.7827999999999999</v>
      </c>
      <c r="AF6453">
        <v>-3.0774518426578101</v>
      </c>
      <c r="AG6453">
        <v>-1.1125172006739901</v>
      </c>
      <c r="AH6453">
        <v>36.861865123984401</v>
      </c>
      <c r="AI6453">
        <v>91.722712929047603</v>
      </c>
      <c r="AJ6453">
        <v>94.772331762349495</v>
      </c>
      <c r="AK6453">
        <v>37.006830515250698</v>
      </c>
      <c r="AL6453">
        <v>80.771551492395105</v>
      </c>
      <c r="AM6453">
        <v>90.661343524838799</v>
      </c>
      <c r="AN6453">
        <v>0.999999993855055</v>
      </c>
    </row>
    <row r="6454" spans="1:40" x14ac:dyDescent="0.25">
      <c r="A6454" t="str">
        <f>"20190312154051474"</f>
        <v>20190312154051474</v>
      </c>
      <c r="B6454" t="str">
        <f>"1552376451462746"</f>
        <v>1552376451462746</v>
      </c>
      <c r="C6454" t="s">
        <v>40</v>
      </c>
      <c r="D6454">
        <v>3.9712170000000002</v>
      </c>
      <c r="E6454">
        <v>0.47396579999999999</v>
      </c>
      <c r="F6454" t="s">
        <v>55</v>
      </c>
      <c r="G6454">
        <v>-409.2484</v>
      </c>
      <c r="H6454" s="1">
        <v>-7.9449299999999995E-6</v>
      </c>
      <c r="I6454">
        <v>134.37559999999999</v>
      </c>
      <c r="J6454">
        <v>-373.39929999999998</v>
      </c>
      <c r="K6454">
        <v>1.112455</v>
      </c>
      <c r="L6454">
        <v>140.07759999999999</v>
      </c>
      <c r="M6454">
        <v>-0.9970424</v>
      </c>
      <c r="N6454">
        <v>0</v>
      </c>
      <c r="O6454">
        <v>-7.555307E-2</v>
      </c>
      <c r="P6454">
        <v>-0.98557519999999998</v>
      </c>
      <c r="Q6454">
        <v>0.14529149999999999</v>
      </c>
      <c r="R6454">
        <v>-8.678864E-2</v>
      </c>
      <c r="S6454">
        <v>-3.0168759999999999</v>
      </c>
      <c r="T6454">
        <v>-9.2929360000000003E-2</v>
      </c>
      <c r="U6454">
        <v>-0.47813420000000001</v>
      </c>
      <c r="V6454">
        <v>-1.2678399999999999E-2</v>
      </c>
      <c r="W6454">
        <v>0.15917149999999999</v>
      </c>
      <c r="X6454">
        <v>0.98716959999999998</v>
      </c>
      <c r="Y6454">
        <v>-8.1453449999999997E-2</v>
      </c>
      <c r="Z6454">
        <v>1.0610050000000001E-3</v>
      </c>
      <c r="AA6454">
        <v>0.99667660000000002</v>
      </c>
      <c r="AB6454">
        <v>27</v>
      </c>
      <c r="AC6454">
        <v>-35.8491</v>
      </c>
      <c r="AD6454">
        <v>-1.1124629449300001</v>
      </c>
      <c r="AE6454">
        <v>-5.7019999999999902</v>
      </c>
      <c r="AF6454">
        <v>-2.9741278698585099</v>
      </c>
      <c r="AG6454">
        <v>-1.1124629449300001</v>
      </c>
      <c r="AH6454">
        <v>36.143514954849302</v>
      </c>
      <c r="AI6454">
        <v>91.757018232576897</v>
      </c>
      <c r="AJ6454">
        <v>94.704078195975796</v>
      </c>
      <c r="AK6454">
        <v>36.282732582890297</v>
      </c>
      <c r="AL6454">
        <v>80.841190186419595</v>
      </c>
      <c r="AM6454">
        <v>90.735819736187196</v>
      </c>
      <c r="AN6454">
        <v>1.0000000637014801</v>
      </c>
    </row>
    <row r="6455" spans="1:40" x14ac:dyDescent="0.25">
      <c r="A6455" t="str">
        <f>"20190312154051496"</f>
        <v>20190312154051496</v>
      </c>
      <c r="B6455" t="str">
        <f>"1552376451492999"</f>
        <v>1552376451492999</v>
      </c>
      <c r="C6455" t="s">
        <v>40</v>
      </c>
      <c r="D6455">
        <v>3.8169400000000002</v>
      </c>
      <c r="E6455">
        <v>0.42162050000000001</v>
      </c>
      <c r="F6455" t="s">
        <v>55</v>
      </c>
      <c r="G6455">
        <v>-409.46780000000001</v>
      </c>
      <c r="H6455" s="1">
        <v>-7.9712059999999904E-6</v>
      </c>
      <c r="I6455">
        <v>134.1232</v>
      </c>
      <c r="J6455">
        <v>-373.67290000000003</v>
      </c>
      <c r="K6455">
        <v>1.112401</v>
      </c>
      <c r="L6455">
        <v>140.05449999999999</v>
      </c>
      <c r="M6455">
        <v>-0.99688339999999998</v>
      </c>
      <c r="N6455">
        <v>0</v>
      </c>
      <c r="O6455">
        <v>-7.7622430000000006E-2</v>
      </c>
      <c r="P6455">
        <v>-0.98545859999999996</v>
      </c>
      <c r="Q6455">
        <v>0.14399509999999999</v>
      </c>
      <c r="R6455">
        <v>-9.0207670000000004E-2</v>
      </c>
      <c r="S6455">
        <v>-3.0137939999999999</v>
      </c>
      <c r="T6455">
        <v>-9.2954640000000005E-2</v>
      </c>
      <c r="U6455">
        <v>-0.49752809999999997</v>
      </c>
      <c r="V6455">
        <v>-1.401867E-2</v>
      </c>
      <c r="W6455">
        <v>0.15787019999999999</v>
      </c>
      <c r="X6455">
        <v>0.98736040000000003</v>
      </c>
      <c r="Y6455">
        <v>-8.5790320000000003E-2</v>
      </c>
      <c r="Z6455">
        <v>1.0583159999999999E-3</v>
      </c>
      <c r="AA6455">
        <v>0.99631270000000005</v>
      </c>
      <c r="AB6455">
        <v>27</v>
      </c>
      <c r="AC6455">
        <v>-35.794899999999899</v>
      </c>
      <c r="AD6455">
        <v>-1.1124089712059999</v>
      </c>
      <c r="AE6455">
        <v>-5.9312999999999896</v>
      </c>
      <c r="AF6455">
        <v>-3.1316943606149499</v>
      </c>
      <c r="AG6455">
        <v>-1.1124089712059999</v>
      </c>
      <c r="AH6455">
        <v>36.113380538304597</v>
      </c>
      <c r="AI6455">
        <v>91.757744865221696</v>
      </c>
      <c r="AJ6455">
        <v>94.956199124995706</v>
      </c>
      <c r="AK6455">
        <v>36.265978784418898</v>
      </c>
      <c r="AL6455">
        <v>80.9167038049696</v>
      </c>
      <c r="AM6455">
        <v>90.813438193063405</v>
      </c>
      <c r="AN6455">
        <v>1.00000004132238</v>
      </c>
    </row>
    <row r="6456" spans="1:40" x14ac:dyDescent="0.25">
      <c r="A6456" t="str">
        <f>"20190312154051519"</f>
        <v>20190312154051519</v>
      </c>
      <c r="B6456" t="str">
        <f>"1552376451513028"</f>
        <v>1552376451513028</v>
      </c>
      <c r="C6456" t="s">
        <v>40</v>
      </c>
      <c r="D6456">
        <v>3.8262520000000002</v>
      </c>
      <c r="E6456">
        <v>0.41962189999999999</v>
      </c>
      <c r="F6456" t="s">
        <v>55</v>
      </c>
      <c r="G6456">
        <v>-412.91520000000003</v>
      </c>
      <c r="H6456" s="1">
        <v>-5.2871359999999999E-6</v>
      </c>
      <c r="I6456">
        <v>127.8669</v>
      </c>
      <c r="J6456">
        <v>-373.9468</v>
      </c>
      <c r="K6456">
        <v>1.1123510000000001</v>
      </c>
      <c r="L6456">
        <v>140.0308</v>
      </c>
      <c r="M6456">
        <v>-0.99672510000000003</v>
      </c>
      <c r="N6456">
        <v>0</v>
      </c>
      <c r="O6456">
        <v>-7.962777E-2</v>
      </c>
      <c r="P6456">
        <v>-0.98528640000000001</v>
      </c>
      <c r="Q6456">
        <v>0.14290649999999999</v>
      </c>
      <c r="R6456">
        <v>-9.3748230000000002E-2</v>
      </c>
      <c r="S6456">
        <v>-2.9720460000000002</v>
      </c>
      <c r="T6456">
        <v>-8.4248779999999995E-2</v>
      </c>
      <c r="U6456">
        <v>-0.92303469999999999</v>
      </c>
      <c r="V6456">
        <v>-1.554871E-2</v>
      </c>
      <c r="W6456">
        <v>0.15677530000000001</v>
      </c>
      <c r="X6456">
        <v>0.9875119</v>
      </c>
      <c r="Y6456">
        <v>-0.219552</v>
      </c>
      <c r="Z6456">
        <v>-8.4294149999999902E-4</v>
      </c>
      <c r="AA6456">
        <v>0.97560040000000003</v>
      </c>
      <c r="AB6456">
        <v>27</v>
      </c>
      <c r="AC6456">
        <v>-38.968400000000003</v>
      </c>
      <c r="AD6456">
        <v>-1.112356287136</v>
      </c>
      <c r="AE6456">
        <v>-12.1638999999999</v>
      </c>
      <c r="AF6456">
        <v>-9.0152994400792306</v>
      </c>
      <c r="AG6456">
        <v>-1.112356287136</v>
      </c>
      <c r="AH6456">
        <v>39.783779585589997</v>
      </c>
      <c r="AI6456">
        <v>91.561992869019804</v>
      </c>
      <c r="AJ6456">
        <v>102.76801353597</v>
      </c>
      <c r="AK6456">
        <v>40.807622800386604</v>
      </c>
      <c r="AL6456">
        <v>80.980227674704693</v>
      </c>
      <c r="AM6456">
        <v>90.902066952456295</v>
      </c>
      <c r="AN6456">
        <v>1.00000000485718</v>
      </c>
    </row>
    <row r="6457" spans="1:40" x14ac:dyDescent="0.25">
      <c r="A6457" t="str">
        <f>"20190312154051541"</f>
        <v>20190312154051541</v>
      </c>
      <c r="B6457" t="str">
        <f>"1552376451532545"</f>
        <v>1552376451532545</v>
      </c>
      <c r="C6457" t="s">
        <v>40</v>
      </c>
      <c r="D6457">
        <v>3.8027060000000001</v>
      </c>
      <c r="E6457">
        <v>0.4192168</v>
      </c>
      <c r="F6457" t="s">
        <v>55</v>
      </c>
      <c r="G6457">
        <v>-413.49930000000001</v>
      </c>
      <c r="H6457" s="1">
        <v>-5.0347149999999996E-6</v>
      </c>
      <c r="I6457">
        <v>127.374</v>
      </c>
      <c r="J6457">
        <v>-374.2133</v>
      </c>
      <c r="K6457">
        <v>1.1123069999999999</v>
      </c>
      <c r="L6457">
        <v>140.00739999999999</v>
      </c>
      <c r="M6457">
        <v>-0.99657229999999997</v>
      </c>
      <c r="N6457">
        <v>0</v>
      </c>
      <c r="O6457">
        <v>-8.1520049999999997E-2</v>
      </c>
      <c r="P6457">
        <v>-0.98513150000000005</v>
      </c>
      <c r="Q6457">
        <v>0.14170239999999901</v>
      </c>
      <c r="R6457">
        <v>-9.7140219999999999E-2</v>
      </c>
      <c r="S6457">
        <v>-2.9665530000000002</v>
      </c>
      <c r="T6457">
        <v>-8.3429929999999999E-2</v>
      </c>
      <c r="U6457">
        <v>-0.949295</v>
      </c>
      <c r="V6457">
        <v>-1.7041859999999999E-2</v>
      </c>
      <c r="W6457">
        <v>0.15556539999999999</v>
      </c>
      <c r="X6457">
        <v>0.98767859999999996</v>
      </c>
      <c r="Y6457">
        <v>-0.2260597</v>
      </c>
      <c r="Z6457">
        <v>-8.7312679999999995E-4</v>
      </c>
      <c r="AA6457">
        <v>0.97411300000000001</v>
      </c>
      <c r="AB6457">
        <v>27</v>
      </c>
      <c r="AC6457">
        <v>-39.286000000000001</v>
      </c>
      <c r="AD6457">
        <v>-1.112312034715</v>
      </c>
      <c r="AE6457">
        <v>-12.6333999999999</v>
      </c>
      <c r="AF6457">
        <v>-9.38161411282573</v>
      </c>
      <c r="AG6457">
        <v>-1.112312034715</v>
      </c>
      <c r="AH6457">
        <v>40.156022288741099</v>
      </c>
      <c r="AI6457">
        <v>91.545087221017098</v>
      </c>
      <c r="AJ6457">
        <v>103.15009077899199</v>
      </c>
      <c r="AK6457">
        <v>41.252370204370301</v>
      </c>
      <c r="AL6457">
        <v>81.050411098919696</v>
      </c>
      <c r="AM6457">
        <v>90.988509593062304</v>
      </c>
      <c r="AN6457">
        <v>1.0000000177836801</v>
      </c>
    </row>
    <row r="6458" spans="1:40" x14ac:dyDescent="0.25">
      <c r="A6458" t="str">
        <f>"20190312154051562"</f>
        <v>20190312154051562</v>
      </c>
      <c r="B6458" t="str">
        <f>"1552376451553040"</f>
        <v>1552376451553040</v>
      </c>
      <c r="C6458" t="s">
        <v>40</v>
      </c>
      <c r="D6458">
        <v>3.7969339999999998</v>
      </c>
      <c r="E6458">
        <v>0.41888979999999998</v>
      </c>
      <c r="F6458" t="s">
        <v>55</v>
      </c>
      <c r="G6458">
        <v>-407.65820000000002</v>
      </c>
      <c r="H6458">
        <v>7.9986989999999994E-2</v>
      </c>
      <c r="I6458">
        <v>129.13399999999999</v>
      </c>
      <c r="J6458">
        <v>-374.4794</v>
      </c>
      <c r="K6458">
        <v>1.112266</v>
      </c>
      <c r="L6458">
        <v>139.98349999999999</v>
      </c>
      <c r="M6458">
        <v>-0.99641979999999997</v>
      </c>
      <c r="N6458">
        <v>0</v>
      </c>
      <c r="O6458">
        <v>-8.3363950000000006E-2</v>
      </c>
      <c r="P6458">
        <v>-0.98502909999999999</v>
      </c>
      <c r="Q6458">
        <v>0.14042270000000001</v>
      </c>
      <c r="R6458">
        <v>-9.999682E-2</v>
      </c>
      <c r="S6458">
        <v>-2.963409</v>
      </c>
      <c r="T6458">
        <v>-9.1469289999999995E-2</v>
      </c>
      <c r="U6458">
        <v>-0.96343990000000002</v>
      </c>
      <c r="V6458">
        <v>-1.8045849999999999E-2</v>
      </c>
      <c r="W6458">
        <v>0.15428259999999999</v>
      </c>
      <c r="X6458">
        <v>0.98786189999999996</v>
      </c>
      <c r="Y6458">
        <v>-0.2287565</v>
      </c>
      <c r="Z6458">
        <v>-9.4321460000000004E-4</v>
      </c>
      <c r="AA6458">
        <v>0.97348319999999999</v>
      </c>
      <c r="AB6458">
        <v>27</v>
      </c>
      <c r="AC6458">
        <v>-33.178800000000003</v>
      </c>
      <c r="AD6458">
        <v>-1.0322790100000001</v>
      </c>
      <c r="AE6458">
        <v>-10.849500000000001</v>
      </c>
      <c r="AF6458">
        <v>-8.0385079182013097</v>
      </c>
      <c r="AG6458">
        <v>-1.0322790100000001</v>
      </c>
      <c r="AH6458">
        <v>33.938155555812799</v>
      </c>
      <c r="AI6458">
        <v>91.695320824503895</v>
      </c>
      <c r="AJ6458">
        <v>103.32536844244299</v>
      </c>
      <c r="AK6458">
        <v>34.892429150691399</v>
      </c>
      <c r="AL6458">
        <v>81.1248077968026</v>
      </c>
      <c r="AM6458">
        <v>91.046539049979103</v>
      </c>
      <c r="AN6458">
        <v>0.99999995341829495</v>
      </c>
    </row>
    <row r="6459" spans="1:40" x14ac:dyDescent="0.25">
      <c r="A6459" t="str">
        <f>"20190312154051585"</f>
        <v>20190312154051585</v>
      </c>
      <c r="B6459" t="str">
        <f>"1552376451582321"</f>
        <v>1552376451582321</v>
      </c>
      <c r="C6459" t="s">
        <v>40</v>
      </c>
      <c r="D6459">
        <v>3.7747639999999998</v>
      </c>
      <c r="E6459">
        <v>0.41920000000000002</v>
      </c>
      <c r="F6459" t="s">
        <v>55</v>
      </c>
      <c r="G6459">
        <v>-406.37200000000001</v>
      </c>
      <c r="H6459">
        <v>7.9987089999999997E-2</v>
      </c>
      <c r="I6459">
        <v>129.4828</v>
      </c>
      <c r="J6459">
        <v>-374.74759999999998</v>
      </c>
      <c r="K6459">
        <v>1.1122320000000001</v>
      </c>
      <c r="L6459">
        <v>139.959</v>
      </c>
      <c r="M6459">
        <v>-0.99626650000000005</v>
      </c>
      <c r="N6459">
        <v>0</v>
      </c>
      <c r="O6459">
        <v>-8.5178370000000003E-2</v>
      </c>
      <c r="P6459">
        <v>-0.98484400000000005</v>
      </c>
      <c r="Q6459">
        <v>0.14032240000000001</v>
      </c>
      <c r="R6459">
        <v>-0.10194110000000001</v>
      </c>
      <c r="S6459">
        <v>-2.9602970000000002</v>
      </c>
      <c r="T6459">
        <v>-9.5816849999999995E-2</v>
      </c>
      <c r="U6459">
        <v>-0.97468569999999999</v>
      </c>
      <c r="V6459">
        <v>-1.818181E-2</v>
      </c>
      <c r="W6459">
        <v>0.1541795</v>
      </c>
      <c r="X6459">
        <v>0.98787559999999996</v>
      </c>
      <c r="Y6459">
        <v>-0.2306184</v>
      </c>
      <c r="Z6459">
        <v>-9.6122359999999997E-4</v>
      </c>
      <c r="AA6459">
        <v>0.97304380000000001</v>
      </c>
      <c r="AB6459">
        <v>27</v>
      </c>
      <c r="AC6459">
        <v>-31.624399999999898</v>
      </c>
      <c r="AD6459">
        <v>-1.03224491</v>
      </c>
      <c r="AE6459">
        <v>-10.4762</v>
      </c>
      <c r="AF6459">
        <v>-7.7367101017785096</v>
      </c>
      <c r="AG6459">
        <v>-1.03224491</v>
      </c>
      <c r="AH6459">
        <v>32.3708011098932</v>
      </c>
      <c r="AI6459">
        <v>91.776438282259093</v>
      </c>
      <c r="AJ6459">
        <v>103.44169412487599</v>
      </c>
      <c r="AK6459">
        <v>33.298513138719102</v>
      </c>
      <c r="AL6459">
        <v>81.130787381008005</v>
      </c>
      <c r="AM6459">
        <v>91.054407430945005</v>
      </c>
      <c r="AN6459">
        <v>1.0000000487552401</v>
      </c>
    </row>
    <row r="6460" spans="1:40" x14ac:dyDescent="0.25">
      <c r="A6460" t="str">
        <f>"20190312154051609"</f>
        <v>20190312154051609</v>
      </c>
      <c r="B6460" t="str">
        <f>"1552376451603173"</f>
        <v>1552376451603173</v>
      </c>
      <c r="C6460" t="s">
        <v>40</v>
      </c>
      <c r="D6460">
        <v>3.7873589999999999</v>
      </c>
      <c r="E6460">
        <v>0.41936020000000002</v>
      </c>
      <c r="F6460" t="s">
        <v>55</v>
      </c>
      <c r="G6460">
        <v>-408.24119999999999</v>
      </c>
      <c r="H6460">
        <v>7.9986950000000001E-2</v>
      </c>
      <c r="I6460">
        <v>128.88200000000001</v>
      </c>
      <c r="J6460">
        <v>-375.029</v>
      </c>
      <c r="K6460">
        <v>1.112196</v>
      </c>
      <c r="L6460">
        <v>139.93279999999999</v>
      </c>
      <c r="M6460">
        <v>-0.99610600000000005</v>
      </c>
      <c r="N6460">
        <v>0</v>
      </c>
      <c r="O6460">
        <v>-8.7033769999999996E-2</v>
      </c>
      <c r="P6460">
        <v>-0.98473790000000005</v>
      </c>
      <c r="Q6460">
        <v>0.14004</v>
      </c>
      <c r="R6460">
        <v>-0.1033442</v>
      </c>
      <c r="S6460">
        <v>-2.957916</v>
      </c>
      <c r="T6460">
        <v>-9.1160539999999998E-2</v>
      </c>
      <c r="U6460">
        <v>-0.97824100000000003</v>
      </c>
      <c r="V6460">
        <v>-1.7730860000000001E-2</v>
      </c>
      <c r="W6460">
        <v>0.15389630000000001</v>
      </c>
      <c r="X6460">
        <v>0.98792789999999997</v>
      </c>
      <c r="Y6460">
        <v>-0.23010069999999999</v>
      </c>
      <c r="Z6460">
        <v>-8.5217850000000005E-4</v>
      </c>
      <c r="AA6460">
        <v>0.97316650000000005</v>
      </c>
      <c r="AB6460">
        <v>27</v>
      </c>
      <c r="AC6460">
        <v>-33.212200000000003</v>
      </c>
      <c r="AD6460">
        <v>-1.0322090500000001</v>
      </c>
      <c r="AE6460">
        <v>-11.050799999999899</v>
      </c>
      <c r="AF6460">
        <v>-8.1109351830536998</v>
      </c>
      <c r="AG6460">
        <v>-1.0322090500000001</v>
      </c>
      <c r="AH6460">
        <v>34.018450954662299</v>
      </c>
      <c r="AI6460">
        <v>91.690610242861993</v>
      </c>
      <c r="AJ6460">
        <v>103.410513842806</v>
      </c>
      <c r="AK6460">
        <v>34.987250969765597</v>
      </c>
      <c r="AL6460">
        <v>81.147209065479601</v>
      </c>
      <c r="AM6460">
        <v>91.028207005219897</v>
      </c>
      <c r="AN6460">
        <v>0.99999999507421899</v>
      </c>
    </row>
    <row r="6461" spans="1:40" x14ac:dyDescent="0.25">
      <c r="A6461" t="str">
        <f>"20190312154051631"</f>
        <v>20190312154051631</v>
      </c>
      <c r="B6461" t="str">
        <f>"1552376451622694"</f>
        <v>1552376451622694</v>
      </c>
      <c r="C6461" t="s">
        <v>40</v>
      </c>
      <c r="D6461">
        <v>3.818476</v>
      </c>
      <c r="E6461">
        <v>0.41958529999999999</v>
      </c>
      <c r="F6461" t="s">
        <v>55</v>
      </c>
      <c r="G6461">
        <v>-408.23559999999998</v>
      </c>
      <c r="H6461">
        <v>7.9986940000000006E-2</v>
      </c>
      <c r="I6461">
        <v>128.91130000000001</v>
      </c>
      <c r="J6461">
        <v>-375.29419999999999</v>
      </c>
      <c r="K6461">
        <v>1.112155</v>
      </c>
      <c r="L6461">
        <v>139.9076</v>
      </c>
      <c r="M6461">
        <v>-0.9959557</v>
      </c>
      <c r="N6461">
        <v>0</v>
      </c>
      <c r="O6461">
        <v>-8.8738890000000001E-2</v>
      </c>
      <c r="P6461">
        <v>-0.98476859999999999</v>
      </c>
      <c r="Q6461">
        <v>0.13885129999999901</v>
      </c>
      <c r="R6461">
        <v>-0.1046487</v>
      </c>
      <c r="S6461">
        <v>-2.9565429999999999</v>
      </c>
      <c r="T6461">
        <v>-9.1902609999999996E-2</v>
      </c>
      <c r="U6461">
        <v>-0.98129270000000002</v>
      </c>
      <c r="V6461">
        <v>-1.7315290000000001E-2</v>
      </c>
      <c r="W6461">
        <v>0.15270880000000001</v>
      </c>
      <c r="X6461">
        <v>0.98811950000000004</v>
      </c>
      <c r="Y6461">
        <v>-0.2294746</v>
      </c>
      <c r="Z6461">
        <v>-7.9881259999999997E-4</v>
      </c>
      <c r="AA6461">
        <v>0.97331429999999997</v>
      </c>
      <c r="AB6461">
        <v>27</v>
      </c>
      <c r="AC6461">
        <v>-32.941399999999902</v>
      </c>
      <c r="AD6461">
        <v>-1.0321680600000001</v>
      </c>
      <c r="AE6461">
        <v>-10.9962999999999</v>
      </c>
      <c r="AF6461">
        <v>-8.0223513913723306</v>
      </c>
      <c r="AG6461">
        <v>-1.0321680600000001</v>
      </c>
      <c r="AH6461">
        <v>33.757494041573899</v>
      </c>
      <c r="AI6461">
        <v>91.703903525093196</v>
      </c>
      <c r="AJ6461">
        <v>103.368165571429</v>
      </c>
      <c r="AK6461">
        <v>34.712993197326497</v>
      </c>
      <c r="AL6461">
        <v>81.216061486617207</v>
      </c>
      <c r="AM6461">
        <v>91.003918563152993</v>
      </c>
      <c r="AN6461">
        <v>0.99999997157273601</v>
      </c>
    </row>
    <row r="6462" spans="1:40" x14ac:dyDescent="0.25">
      <c r="A6462" t="str">
        <f>"20190312154051653"</f>
        <v>20190312154051653</v>
      </c>
      <c r="B6462" t="str">
        <f>"1552376451643189"</f>
        <v>1552376451643189</v>
      </c>
      <c r="C6462" t="s">
        <v>40</v>
      </c>
      <c r="D6462">
        <v>3.7957770000000002</v>
      </c>
      <c r="E6462">
        <v>0.41970239999999998</v>
      </c>
      <c r="F6462" t="s">
        <v>55</v>
      </c>
      <c r="G6462">
        <v>-407.37380000000002</v>
      </c>
      <c r="H6462">
        <v>7.9987000000000003E-2</v>
      </c>
      <c r="I6462">
        <v>129.22999999999999</v>
      </c>
      <c r="J6462">
        <v>-375.56130000000002</v>
      </c>
      <c r="K6462">
        <v>1.1121110000000001</v>
      </c>
      <c r="L6462">
        <v>139.8819</v>
      </c>
      <c r="M6462">
        <v>-0.99580489999999999</v>
      </c>
      <c r="N6462">
        <v>0</v>
      </c>
      <c r="O6462">
        <v>-9.0415519999999999E-2</v>
      </c>
      <c r="P6462">
        <v>-0.98503600000000002</v>
      </c>
      <c r="Q6462">
        <v>0.1367891</v>
      </c>
      <c r="R6462">
        <v>-0.1048472</v>
      </c>
      <c r="S6462">
        <v>-2.955292</v>
      </c>
      <c r="T6462">
        <v>-9.5087050000000006E-2</v>
      </c>
      <c r="U6462">
        <v>-0.98365780000000003</v>
      </c>
      <c r="V6462">
        <v>-1.5801719999999998E-2</v>
      </c>
      <c r="W6462">
        <v>0.15065580000000001</v>
      </c>
      <c r="X6462">
        <v>0.98846000000000001</v>
      </c>
      <c r="Y6462">
        <v>-0.22865730000000001</v>
      </c>
      <c r="Z6462">
        <v>-7.6195089999999896E-4</v>
      </c>
      <c r="AA6462">
        <v>0.97350669999999995</v>
      </c>
      <c r="AB6462">
        <v>27</v>
      </c>
      <c r="AC6462">
        <v>-31.8125</v>
      </c>
      <c r="AD6462">
        <v>-1.032124</v>
      </c>
      <c r="AE6462">
        <v>-10.651899999999999</v>
      </c>
      <c r="AF6462">
        <v>-7.7243234978493396</v>
      </c>
      <c r="AG6462">
        <v>-1.032124</v>
      </c>
      <c r="AH6462">
        <v>32.614497044963997</v>
      </c>
      <c r="AI6462">
        <v>91.763826087404695</v>
      </c>
      <c r="AJ6462">
        <v>103.32426071107901</v>
      </c>
      <c r="AK6462">
        <v>33.5326090685883</v>
      </c>
      <c r="AL6462">
        <v>81.335067127477998</v>
      </c>
      <c r="AM6462">
        <v>90.915863820162798</v>
      </c>
      <c r="AN6462">
        <v>1.0000000180142901</v>
      </c>
    </row>
    <row r="6463" spans="1:40" x14ac:dyDescent="0.25">
      <c r="A6463" t="str">
        <f>"20190312154051675"</f>
        <v>20190312154051675</v>
      </c>
      <c r="B6463" t="str">
        <f>"1552376451662710"</f>
        <v>1552376451662710</v>
      </c>
      <c r="C6463" t="s">
        <v>40</v>
      </c>
      <c r="D6463">
        <v>3.8064900000000002</v>
      </c>
      <c r="E6463">
        <v>0.41987920000000001</v>
      </c>
      <c r="F6463" t="s">
        <v>55</v>
      </c>
      <c r="G6463">
        <v>-406.50150000000002</v>
      </c>
      <c r="H6463">
        <v>5.437641E-2</v>
      </c>
      <c r="I6463">
        <v>129.58690000000001</v>
      </c>
      <c r="J6463">
        <v>-375.82369999999997</v>
      </c>
      <c r="K6463">
        <v>1.1120669999999999</v>
      </c>
      <c r="L6463">
        <v>139.8562</v>
      </c>
      <c r="M6463">
        <v>-0.99565760000000003</v>
      </c>
      <c r="N6463">
        <v>0</v>
      </c>
      <c r="O6463">
        <v>-9.2019229999999994E-2</v>
      </c>
      <c r="P6463">
        <v>-0.98512719999999998</v>
      </c>
      <c r="Q6463">
        <v>0.1352805</v>
      </c>
      <c r="R6463">
        <v>-0.10594099999999999</v>
      </c>
      <c r="S6463">
        <v>-2.9549560000000001</v>
      </c>
      <c r="T6463">
        <v>-0.1010196</v>
      </c>
      <c r="U6463">
        <v>-0.98323059999999995</v>
      </c>
      <c r="V6463">
        <v>-1.526926E-2</v>
      </c>
      <c r="W6463">
        <v>0.14918210000000001</v>
      </c>
      <c r="X6463">
        <v>0.98869189999999996</v>
      </c>
      <c r="Y6463">
        <v>-0.22698889999999999</v>
      </c>
      <c r="Z6463">
        <v>-7.2898229999999997E-4</v>
      </c>
      <c r="AA6463">
        <v>0.97389700000000001</v>
      </c>
      <c r="AB6463">
        <v>27</v>
      </c>
      <c r="AC6463">
        <v>-30.677800000000001</v>
      </c>
      <c r="AD6463">
        <v>-1.05769059</v>
      </c>
      <c r="AE6463">
        <v>-10.2692999999999</v>
      </c>
      <c r="AF6463">
        <v>-7.3945892662902297</v>
      </c>
      <c r="AG6463">
        <v>-1.05769059</v>
      </c>
      <c r="AH6463">
        <v>31.459055110536099</v>
      </c>
      <c r="AI6463">
        <v>91.874574914271506</v>
      </c>
      <c r="AJ6463">
        <v>103.227504826097</v>
      </c>
      <c r="AK6463">
        <v>32.3337410184633</v>
      </c>
      <c r="AL6463">
        <v>81.420469486280595</v>
      </c>
      <c r="AM6463">
        <v>90.884800015487997</v>
      </c>
      <c r="AN6463">
        <v>1.0000000611934801</v>
      </c>
    </row>
    <row r="6464" spans="1:40" x14ac:dyDescent="0.25">
      <c r="A6464" t="str">
        <f>"20190312154051697"</f>
        <v>20190312154051697</v>
      </c>
      <c r="B6464" t="str">
        <f>"1552376451692969"</f>
        <v>1552376451692969</v>
      </c>
      <c r="C6464" t="s">
        <v>40</v>
      </c>
      <c r="D6464">
        <v>3.8082419999999999</v>
      </c>
      <c r="E6464">
        <v>0.42004629999999998</v>
      </c>
      <c r="F6464" t="s">
        <v>55</v>
      </c>
      <c r="G6464">
        <v>-406.62599999999998</v>
      </c>
      <c r="H6464">
        <v>1.66439E-2</v>
      </c>
      <c r="I6464">
        <v>129.58189999999999</v>
      </c>
      <c r="J6464">
        <v>-376.09230000000002</v>
      </c>
      <c r="K6464">
        <v>1.112055</v>
      </c>
      <c r="L6464">
        <v>139.8296</v>
      </c>
      <c r="M6464">
        <v>-0.99550669999999997</v>
      </c>
      <c r="N6464">
        <v>0</v>
      </c>
      <c r="O6464">
        <v>-9.3619839999999996E-2</v>
      </c>
      <c r="P6464">
        <v>-0.9852746</v>
      </c>
      <c r="Q6464">
        <v>0.13415920000000001</v>
      </c>
      <c r="R6464">
        <v>-0.105998</v>
      </c>
      <c r="S6464">
        <v>-2.9537960000000001</v>
      </c>
      <c r="T6464">
        <v>-0.105045899999999</v>
      </c>
      <c r="U6464">
        <v>-0.98526000000000002</v>
      </c>
      <c r="V6464">
        <v>-1.3703760000000001E-2</v>
      </c>
      <c r="W6464">
        <v>0.14818519999999999</v>
      </c>
      <c r="X6464">
        <v>0.98886470000000004</v>
      </c>
      <c r="Y6464">
        <v>-0.22613539999999999</v>
      </c>
      <c r="Z6464">
        <v>-6.8865509999999997E-4</v>
      </c>
      <c r="AA6464">
        <v>0.97409559999999995</v>
      </c>
      <c r="AB6464">
        <v>27</v>
      </c>
      <c r="AC6464">
        <v>-30.5336999999999</v>
      </c>
      <c r="AD6464">
        <v>-1.0954111</v>
      </c>
      <c r="AE6464">
        <v>-10.2477</v>
      </c>
      <c r="AF6464">
        <v>-7.3353495085824498</v>
      </c>
      <c r="AG6464">
        <v>-1.0954111</v>
      </c>
      <c r="AH6464">
        <v>31.3228214765169</v>
      </c>
      <c r="AI6464">
        <v>91.950191485775903</v>
      </c>
      <c r="AJ6464">
        <v>103.180316187261</v>
      </c>
      <c r="AK6464">
        <v>32.188917706887999</v>
      </c>
      <c r="AL6464">
        <v>81.478229315628198</v>
      </c>
      <c r="AM6464">
        <v>90.793958318493694</v>
      </c>
      <c r="AN6464">
        <v>1.00000002072163</v>
      </c>
    </row>
    <row r="6465" spans="1:40" x14ac:dyDescent="0.25">
      <c r="A6465" t="str">
        <f>"20190312154051719"</f>
        <v>20190312154051719</v>
      </c>
      <c r="B6465" t="str">
        <f>"1552376451712745"</f>
        <v>1552376451712745</v>
      </c>
      <c r="C6465" t="s">
        <v>40</v>
      </c>
      <c r="D6465">
        <v>3.8510430000000002</v>
      </c>
      <c r="E6465">
        <v>0.4200662</v>
      </c>
      <c r="F6465" t="s">
        <v>55</v>
      </c>
      <c r="G6465">
        <v>-406.70249999999999</v>
      </c>
      <c r="H6465" s="1">
        <v>-4.090376E-6</v>
      </c>
      <c r="I6465">
        <v>129.62639999999999</v>
      </c>
      <c r="J6465">
        <v>-376.35759999999999</v>
      </c>
      <c r="K6465">
        <v>1.1120840000000001</v>
      </c>
      <c r="L6465">
        <v>139.80279999999999</v>
      </c>
      <c r="M6465">
        <v>-0.99535580000000001</v>
      </c>
      <c r="N6465">
        <v>0</v>
      </c>
      <c r="O6465">
        <v>-9.5172179999999995E-2</v>
      </c>
      <c r="P6465">
        <v>-0.98539750000000004</v>
      </c>
      <c r="Q6465">
        <v>0.13296160000000001</v>
      </c>
      <c r="R6465">
        <v>-0.1063646</v>
      </c>
      <c r="S6465">
        <v>-2.953522</v>
      </c>
      <c r="T6465">
        <v>-0.1073004</v>
      </c>
      <c r="U6465">
        <v>-0.98448179999999996</v>
      </c>
      <c r="V6465">
        <v>-1.249698E-2</v>
      </c>
      <c r="W6465">
        <v>0.14725469999999999</v>
      </c>
      <c r="X6465">
        <v>0.9890196</v>
      </c>
      <c r="Y6465">
        <v>-0.22441059999999999</v>
      </c>
      <c r="Z6465">
        <v>-6.1869949999999996E-4</v>
      </c>
      <c r="AA6465">
        <v>0.97449450000000004</v>
      </c>
      <c r="AB6465">
        <v>27</v>
      </c>
      <c r="AC6465">
        <v>-30.344899999999999</v>
      </c>
      <c r="AD6465">
        <v>-1.112088090376</v>
      </c>
      <c r="AE6465">
        <v>-10.176399999999999</v>
      </c>
      <c r="AF6465">
        <v>-7.2331728948026601</v>
      </c>
      <c r="AG6465">
        <v>-1.112088090376</v>
      </c>
      <c r="AH6465">
        <v>31.138148230218</v>
      </c>
      <c r="AI6465">
        <v>91.992424456955007</v>
      </c>
      <c r="AJ6465">
        <v>103.077478592845</v>
      </c>
      <c r="AK6465">
        <v>31.9865566332778</v>
      </c>
      <c r="AL6465">
        <v>81.532133775621901</v>
      </c>
      <c r="AM6465">
        <v>90.723935205257803</v>
      </c>
      <c r="AN6465">
        <v>0.99999994518268298</v>
      </c>
    </row>
    <row r="6466" spans="1:40" x14ac:dyDescent="0.25">
      <c r="A6466" t="str">
        <f>"20190312154051742"</f>
        <v>20190312154051742</v>
      </c>
      <c r="B6466" t="str">
        <f>"1552376451732261"</f>
        <v>1552376451732261</v>
      </c>
      <c r="C6466" t="s">
        <v>40</v>
      </c>
      <c r="D6466">
        <v>3.8545029999999998</v>
      </c>
      <c r="E6466">
        <v>0.42031479999999999</v>
      </c>
      <c r="F6466" t="s">
        <v>55</v>
      </c>
      <c r="G6466">
        <v>-406.28769999999997</v>
      </c>
      <c r="H6466" s="1">
        <v>-3.8920299999999997E-6</v>
      </c>
      <c r="I6466">
        <v>129.80760000000001</v>
      </c>
      <c r="J6466">
        <v>-376.61810000000003</v>
      </c>
      <c r="K6466">
        <v>1.1121399999999999</v>
      </c>
      <c r="L6466">
        <v>139.77610000000001</v>
      </c>
      <c r="M6466">
        <v>-0.99520459999999999</v>
      </c>
      <c r="N6466">
        <v>0</v>
      </c>
      <c r="O6466">
        <v>-9.6682130000000005E-2</v>
      </c>
      <c r="P6466">
        <v>-0.98548939999999996</v>
      </c>
      <c r="Q6466">
        <v>0.131512299999999</v>
      </c>
      <c r="R6466">
        <v>-0.10731010000000001</v>
      </c>
      <c r="S6466">
        <v>-2.95282</v>
      </c>
      <c r="T6466">
        <v>-0.10971549999999999</v>
      </c>
      <c r="U6466">
        <v>-0.98609919999999995</v>
      </c>
      <c r="V6466">
        <v>-1.1913160000000001E-2</v>
      </c>
      <c r="W6466">
        <v>0.14618729999999999</v>
      </c>
      <c r="X6466">
        <v>0.98918519999999999</v>
      </c>
      <c r="Y6466">
        <v>-0.22347939999999999</v>
      </c>
      <c r="Z6466">
        <v>-5.618725E-4</v>
      </c>
      <c r="AA6466">
        <v>0.97470849999999998</v>
      </c>
      <c r="AB6466">
        <v>27</v>
      </c>
      <c r="AC6466">
        <v>-29.6695999999999</v>
      </c>
      <c r="AD6466">
        <v>-1.11214389203</v>
      </c>
      <c r="AE6466">
        <v>-9.9685000000000006</v>
      </c>
      <c r="AF6466">
        <v>-7.0440606303042204</v>
      </c>
      <c r="AG6466">
        <v>-1.11214389203</v>
      </c>
      <c r="AH6466">
        <v>30.4560062238032</v>
      </c>
      <c r="AI6466">
        <v>92.037565673725595</v>
      </c>
      <c r="AJ6466">
        <v>103.022748046601</v>
      </c>
      <c r="AK6466">
        <v>31.279769329461502</v>
      </c>
      <c r="AL6466">
        <v>81.593960896423894</v>
      </c>
      <c r="AM6466">
        <v>90.690003035363901</v>
      </c>
      <c r="AN6466">
        <v>1.00000000498075</v>
      </c>
    </row>
    <row r="6467" spans="1:40" x14ac:dyDescent="0.25">
      <c r="A6467" t="str">
        <f>"20190312154051764"</f>
        <v>20190312154051764</v>
      </c>
      <c r="B6467" t="str">
        <f>"1552376451752757"</f>
        <v>1552376451752757</v>
      </c>
      <c r="C6467" t="s">
        <v>40</v>
      </c>
      <c r="D6467">
        <v>3.8871880000000001</v>
      </c>
      <c r="E6467">
        <v>0.42044169999999997</v>
      </c>
      <c r="F6467" t="s">
        <v>55</v>
      </c>
      <c r="G6467">
        <v>-406.08260000000001</v>
      </c>
      <c r="H6467" s="1">
        <v>-3.8045129999999999E-6</v>
      </c>
      <c r="I6467">
        <v>129.91980000000001</v>
      </c>
      <c r="J6467">
        <v>-376.88409999999999</v>
      </c>
      <c r="K6467">
        <v>1.112209</v>
      </c>
      <c r="L6467">
        <v>139.74850000000001</v>
      </c>
      <c r="M6467">
        <v>-0.99504800000000004</v>
      </c>
      <c r="N6467">
        <v>0</v>
      </c>
      <c r="O6467">
        <v>-9.8212649999999999E-2</v>
      </c>
      <c r="P6467">
        <v>-0.98558299999999999</v>
      </c>
      <c r="Q6467">
        <v>0.13006199999999901</v>
      </c>
      <c r="R6467">
        <v>-0.1082128</v>
      </c>
      <c r="S6467">
        <v>-2.9515380000000002</v>
      </c>
      <c r="T6467">
        <v>-0.1114063</v>
      </c>
      <c r="U6467">
        <v>-0.98733519999999997</v>
      </c>
      <c r="V6467">
        <v>-1.127006E-2</v>
      </c>
      <c r="W6467">
        <v>0.14517869999999999</v>
      </c>
      <c r="X6467">
        <v>0.98934129999999998</v>
      </c>
      <c r="Y6467">
        <v>-0.2224729</v>
      </c>
      <c r="Z6467">
        <v>-4.9665379999999995E-4</v>
      </c>
      <c r="AA6467">
        <v>0.97493879999999999</v>
      </c>
      <c r="AB6467">
        <v>27</v>
      </c>
      <c r="AC6467">
        <v>-29.198499999999999</v>
      </c>
      <c r="AD6467">
        <v>-1.112212804513</v>
      </c>
      <c r="AE6467">
        <v>-9.8286999999999907</v>
      </c>
      <c r="AF6467">
        <v>-6.9041761651603197</v>
      </c>
      <c r="AG6467">
        <v>-1.112212804513</v>
      </c>
      <c r="AH6467">
        <v>29.983643723381899</v>
      </c>
      <c r="AI6467">
        <v>92.070228902944194</v>
      </c>
      <c r="AJ6467">
        <v>102.967170500397</v>
      </c>
      <c r="AK6467">
        <v>30.788367231355199</v>
      </c>
      <c r="AL6467">
        <v>81.652372879783599</v>
      </c>
      <c r="AM6467">
        <v>90.652655402084307</v>
      </c>
      <c r="AN6467">
        <v>1.00000003853589</v>
      </c>
    </row>
    <row r="6468" spans="1:40" x14ac:dyDescent="0.25">
      <c r="A6468" t="str">
        <f>"20190312154051786"</f>
        <v>20190312154051786</v>
      </c>
      <c r="B6468" t="str">
        <f>"1552376451783014"</f>
        <v>1552376451783014</v>
      </c>
      <c r="C6468" t="s">
        <v>40</v>
      </c>
      <c r="D6468">
        <v>3.8785889999999998</v>
      </c>
      <c r="E6468">
        <v>0.4205894</v>
      </c>
      <c r="F6468" t="s">
        <v>55</v>
      </c>
      <c r="G6468">
        <v>-405.43669999999997</v>
      </c>
      <c r="H6468" s="1">
        <v>-3.485205E-6</v>
      </c>
      <c r="I6468">
        <v>130.17949999999999</v>
      </c>
      <c r="J6468">
        <v>-377.14479999999998</v>
      </c>
      <c r="K6468">
        <v>1.1122890000000001</v>
      </c>
      <c r="L6468">
        <v>139.721</v>
      </c>
      <c r="M6468">
        <v>-0.99489289999999997</v>
      </c>
      <c r="N6468">
        <v>0</v>
      </c>
      <c r="O6468">
        <v>-9.9702289999999999E-2</v>
      </c>
      <c r="P6468">
        <v>-0.98557320000000004</v>
      </c>
      <c r="Q6468">
        <v>0.1291968</v>
      </c>
      <c r="R6468">
        <v>-0.1093343</v>
      </c>
      <c r="S6468">
        <v>-2.9504999999999999</v>
      </c>
      <c r="T6468">
        <v>-0.11493109999999999</v>
      </c>
      <c r="U6468">
        <v>-0.98881529999999995</v>
      </c>
      <c r="V6468">
        <v>-1.0898990000000001E-2</v>
      </c>
      <c r="W6468">
        <v>0.14476259999999999</v>
      </c>
      <c r="X6468">
        <v>0.98940640000000002</v>
      </c>
      <c r="Y6468">
        <v>-0.2215519</v>
      </c>
      <c r="Z6468">
        <v>-4.3922379999999998E-4</v>
      </c>
      <c r="AA6468">
        <v>0.97514849999999997</v>
      </c>
      <c r="AB6468">
        <v>27</v>
      </c>
      <c r="AC6468">
        <v>-28.291899999999998</v>
      </c>
      <c r="AD6468">
        <v>-1.11229248520499</v>
      </c>
      <c r="AE6468">
        <v>-9.5415000000000099</v>
      </c>
      <c r="AF6468">
        <v>-6.6635816440887599</v>
      </c>
      <c r="AG6468">
        <v>-1.11229248520499</v>
      </c>
      <c r="AH6468">
        <v>29.061989949928201</v>
      </c>
      <c r="AI6468">
        <v>92.136430561464806</v>
      </c>
      <c r="AJ6468">
        <v>102.914043648617</v>
      </c>
      <c r="AK6468">
        <v>29.8368861436613</v>
      </c>
      <c r="AL6468">
        <v>81.676467969005699</v>
      </c>
      <c r="AM6468">
        <v>90.631126775721995</v>
      </c>
      <c r="AN6468">
        <v>1.0000000113513701</v>
      </c>
    </row>
    <row r="6469" spans="1:40" x14ac:dyDescent="0.25">
      <c r="A6469" t="str">
        <f>"20190312154051811"</f>
        <v>20190312154051811</v>
      </c>
      <c r="B6469" t="str">
        <f>"1552376451802533"</f>
        <v>1552376451802533</v>
      </c>
      <c r="C6469" t="s">
        <v>40</v>
      </c>
      <c r="D6469">
        <v>3.9142890000000001</v>
      </c>
      <c r="E6469">
        <v>0.42067329999999997</v>
      </c>
      <c r="F6469" t="s">
        <v>55</v>
      </c>
      <c r="G6469">
        <v>-405.47500000000002</v>
      </c>
      <c r="H6469" s="1">
        <v>-3.5247770000000001E-6</v>
      </c>
      <c r="I6469">
        <v>130.20830000000001</v>
      </c>
      <c r="J6469">
        <v>-377.42259999999999</v>
      </c>
      <c r="K6469">
        <v>1.112365</v>
      </c>
      <c r="L6469">
        <v>139.69130000000001</v>
      </c>
      <c r="M6469">
        <v>-0.99472490000000002</v>
      </c>
      <c r="N6469">
        <v>0</v>
      </c>
      <c r="O6469">
        <v>-0.101285</v>
      </c>
      <c r="P6469">
        <v>-0.98545280000000002</v>
      </c>
      <c r="Q6469">
        <v>0.12846160000000001</v>
      </c>
      <c r="R6469">
        <v>-0.1112684</v>
      </c>
      <c r="S6469">
        <v>-2.949249</v>
      </c>
      <c r="T6469">
        <v>-0.1157926</v>
      </c>
      <c r="U6469">
        <v>-0.99029540000000005</v>
      </c>
      <c r="V6469">
        <v>-1.125511E-2</v>
      </c>
      <c r="W6469">
        <v>0.14452719999999999</v>
      </c>
      <c r="X6469">
        <v>0.98943680000000001</v>
      </c>
      <c r="Y6469">
        <v>-0.2205646</v>
      </c>
      <c r="Z6469">
        <v>-3.6405280000000002E-4</v>
      </c>
      <c r="AA6469">
        <v>0.97537229999999997</v>
      </c>
      <c r="AB6469">
        <v>26</v>
      </c>
      <c r="AC6469">
        <v>-28.052399999999999</v>
      </c>
      <c r="AD6469">
        <v>-1.1123685247769901</v>
      </c>
      <c r="AE6469">
        <v>-9.4830000000000005</v>
      </c>
      <c r="AF6469">
        <v>-6.5832684489095401</v>
      </c>
      <c r="AG6469">
        <v>-1.1123685247769901</v>
      </c>
      <c r="AH6469">
        <v>28.8280334431503</v>
      </c>
      <c r="AI6469">
        <v>92.154332706750694</v>
      </c>
      <c r="AJ6469">
        <v>102.86367503909101</v>
      </c>
      <c r="AK6469">
        <v>29.591084796011</v>
      </c>
      <c r="AL6469">
        <v>81.690098522095198</v>
      </c>
      <c r="AM6469">
        <v>90.651726809036802</v>
      </c>
      <c r="AN6469">
        <v>0.99999998511759602</v>
      </c>
    </row>
    <row r="6470" spans="1:40" x14ac:dyDescent="0.25">
      <c r="A6470" t="str">
        <f>"20190312154051832"</f>
        <v>20190312154051832</v>
      </c>
      <c r="B6470" t="str">
        <f>"1552376451823029"</f>
        <v>1552376451823029</v>
      </c>
      <c r="C6470" t="s">
        <v>40</v>
      </c>
      <c r="D6470">
        <v>3.917646</v>
      </c>
      <c r="E6470">
        <v>0.42068060000000002</v>
      </c>
      <c r="F6470" t="s">
        <v>55</v>
      </c>
      <c r="G6470">
        <v>-405.34620000000001</v>
      </c>
      <c r="H6470" s="1">
        <v>-3.463095E-6</v>
      </c>
      <c r="I6470">
        <v>130.2645</v>
      </c>
      <c r="J6470">
        <v>-377.66750000000002</v>
      </c>
      <c r="K6470">
        <v>1.112428</v>
      </c>
      <c r="L6470">
        <v>139.66460000000001</v>
      </c>
      <c r="M6470">
        <v>-0.99457320000000005</v>
      </c>
      <c r="N6470">
        <v>0</v>
      </c>
      <c r="O6470">
        <v>-0.1026864</v>
      </c>
      <c r="P6470">
        <v>-0.98524730000000005</v>
      </c>
      <c r="Q6470">
        <v>0.1283474</v>
      </c>
      <c r="R6470">
        <v>-0.1132032</v>
      </c>
      <c r="S6470">
        <v>-2.947235</v>
      </c>
      <c r="T6470">
        <v>-0.1174065</v>
      </c>
      <c r="U6470">
        <v>-0.99496459999999998</v>
      </c>
      <c r="V6470">
        <v>-1.1801300000000001E-2</v>
      </c>
      <c r="W6470">
        <v>0.14488480000000001</v>
      </c>
      <c r="X6470">
        <v>0.98937819999999999</v>
      </c>
      <c r="Y6470">
        <v>-0.2207771</v>
      </c>
      <c r="Z6470">
        <v>-3.19795E-4</v>
      </c>
      <c r="AA6470">
        <v>0.97532419999999997</v>
      </c>
      <c r="AB6470">
        <v>26</v>
      </c>
      <c r="AC6470">
        <v>-27.6786999999999</v>
      </c>
      <c r="AD6470">
        <v>-1.1124314630949901</v>
      </c>
      <c r="AE6470">
        <v>-9.4001000000000001</v>
      </c>
      <c r="AF6470">
        <v>-6.4983601421836701</v>
      </c>
      <c r="AG6470">
        <v>-1.1124314630949901</v>
      </c>
      <c r="AH6470">
        <v>28.4565280381291</v>
      </c>
      <c r="AI6470">
        <v>92.182555438482296</v>
      </c>
      <c r="AJ6470">
        <v>102.86354096835301</v>
      </c>
      <c r="AK6470">
        <v>29.2102751832713</v>
      </c>
      <c r="AL6470">
        <v>81.669392142729507</v>
      </c>
      <c r="AM6470">
        <v>90.683391465386805</v>
      </c>
      <c r="AN6470">
        <v>1.00000004929398</v>
      </c>
    </row>
    <row r="6471" spans="1:40" x14ac:dyDescent="0.25">
      <c r="A6471" t="str">
        <f>"20190312154051853"</f>
        <v>20190312154051853</v>
      </c>
      <c r="B6471" t="str">
        <f>"1552376451842550"</f>
        <v>1552376451842550</v>
      </c>
      <c r="C6471" t="s">
        <v>40</v>
      </c>
      <c r="D6471">
        <v>3.8970189999999998</v>
      </c>
      <c r="E6471">
        <v>0.42067670000000001</v>
      </c>
      <c r="F6471" t="s">
        <v>55</v>
      </c>
      <c r="G6471">
        <v>-405.79930000000002</v>
      </c>
      <c r="H6471" s="1">
        <v>-3.6979950000000001E-6</v>
      </c>
      <c r="I6471">
        <v>130.10550000000001</v>
      </c>
      <c r="J6471">
        <v>-377.9169</v>
      </c>
      <c r="K6471">
        <v>1.112487</v>
      </c>
      <c r="L6471">
        <v>139.6371</v>
      </c>
      <c r="M6471">
        <v>-0.99441489999999999</v>
      </c>
      <c r="N6471">
        <v>0</v>
      </c>
      <c r="O6471">
        <v>-0.1041246</v>
      </c>
      <c r="P6471">
        <v>-0.98509630000000004</v>
      </c>
      <c r="Q6471">
        <v>0.12764800000000001</v>
      </c>
      <c r="R6471">
        <v>-0.1152907</v>
      </c>
      <c r="S6471">
        <v>-2.9450989999999999</v>
      </c>
      <c r="T6471">
        <v>-0.11645949999999999</v>
      </c>
      <c r="U6471">
        <v>-1.000732</v>
      </c>
      <c r="V6471">
        <v>-1.2452690000000001E-2</v>
      </c>
      <c r="W6471">
        <v>0.14469699999999999</v>
      </c>
      <c r="X6471">
        <v>0.98939759999999999</v>
      </c>
      <c r="Y6471">
        <v>-0.2212954</v>
      </c>
      <c r="Z6471">
        <v>-2.7274850000000002E-4</v>
      </c>
      <c r="AA6471">
        <v>0.97520680000000004</v>
      </c>
      <c r="AB6471">
        <v>26</v>
      </c>
      <c r="AC6471">
        <v>-27.882400000000001</v>
      </c>
      <c r="AD6471">
        <v>-1.112490697995</v>
      </c>
      <c r="AE6471">
        <v>-9.5315999999999903</v>
      </c>
      <c r="AF6471">
        <v>-6.5667380303192902</v>
      </c>
      <c r="AG6471">
        <v>-1.112490697995</v>
      </c>
      <c r="AH6471">
        <v>28.682531114740101</v>
      </c>
      <c r="AI6471">
        <v>92.165214893397305</v>
      </c>
      <c r="AJ6471">
        <v>102.895371507147</v>
      </c>
      <c r="AK6471">
        <v>29.4456664903344</v>
      </c>
      <c r="AL6471">
        <v>81.6802660618185</v>
      </c>
      <c r="AM6471">
        <v>90.721094239077601</v>
      </c>
      <c r="AN6471">
        <v>0.99999995109149598</v>
      </c>
    </row>
    <row r="6472" spans="1:40" x14ac:dyDescent="0.25">
      <c r="A6472" t="str">
        <f>"20190312154051868"</f>
        <v>20190312154051868</v>
      </c>
      <c r="B6472" t="str">
        <f>"1552376451863046"</f>
        <v>1552376451863046</v>
      </c>
      <c r="C6472" t="s">
        <v>40</v>
      </c>
      <c r="D6472">
        <v>3.9672960000000002</v>
      </c>
      <c r="E6472">
        <v>0.42069869999999998</v>
      </c>
      <c r="F6472" t="s">
        <v>55</v>
      </c>
      <c r="G6472">
        <v>-405.79599999999999</v>
      </c>
      <c r="H6472" s="1">
        <v>-3.6902139999999998E-6</v>
      </c>
      <c r="I6472">
        <v>130.09379999999999</v>
      </c>
      <c r="J6472">
        <v>-378.0926</v>
      </c>
      <c r="K6472">
        <v>1.112527</v>
      </c>
      <c r="L6472">
        <v>139.61760000000001</v>
      </c>
      <c r="M6472">
        <v>-0.9943012</v>
      </c>
      <c r="N6472">
        <v>0</v>
      </c>
      <c r="O6472">
        <v>-0.105142899999999</v>
      </c>
      <c r="P6472">
        <v>-0.98494729999999997</v>
      </c>
      <c r="Q6472">
        <v>0.1275143</v>
      </c>
      <c r="R6472">
        <v>-0.1167029</v>
      </c>
      <c r="S6472">
        <v>-2.9427490000000001</v>
      </c>
      <c r="T6472">
        <v>-0.117428</v>
      </c>
      <c r="U6472">
        <v>-1.007339</v>
      </c>
      <c r="V6472">
        <v>-1.2853720000000001E-2</v>
      </c>
      <c r="W6472">
        <v>0.1449358</v>
      </c>
      <c r="X6472">
        <v>0.98935759999999995</v>
      </c>
      <c r="Y6472">
        <v>-0.22249279999999999</v>
      </c>
      <c r="Z6472">
        <v>-2.594427E-4</v>
      </c>
      <c r="AA6472">
        <v>0.97493430000000003</v>
      </c>
      <c r="AB6472">
        <v>26</v>
      </c>
      <c r="AC6472">
        <v>-27.703399999999899</v>
      </c>
      <c r="AD6472">
        <v>-1.112530690214</v>
      </c>
      <c r="AE6472">
        <v>-9.5238000000000191</v>
      </c>
      <c r="AF6472">
        <v>-6.5482824303154699</v>
      </c>
      <c r="AG6472">
        <v>-1.112530690214</v>
      </c>
      <c r="AH6472">
        <v>28.510191708220699</v>
      </c>
      <c r="AI6472">
        <v>92.178019711185797</v>
      </c>
      <c r="AJ6472">
        <v>102.93546740937499</v>
      </c>
      <c r="AK6472">
        <v>29.273687136460001</v>
      </c>
      <c r="AL6472">
        <v>81.6664387445974</v>
      </c>
      <c r="AM6472">
        <v>90.744344082369906</v>
      </c>
      <c r="AN6472">
        <v>1.00000003245861</v>
      </c>
    </row>
    <row r="6473" spans="1:40" x14ac:dyDescent="0.25">
      <c r="A6473" t="str">
        <f>"20190312154051888"</f>
        <v>20190312154051888</v>
      </c>
      <c r="B6473" t="str">
        <f>"1552376451882565"</f>
        <v>1552376451882565</v>
      </c>
      <c r="C6473" t="s">
        <v>40</v>
      </c>
      <c r="D6473">
        <v>3.959384</v>
      </c>
      <c r="E6473">
        <v>0.42085420000000001</v>
      </c>
      <c r="F6473" t="s">
        <v>55</v>
      </c>
      <c r="G6473">
        <v>-406.03089999999997</v>
      </c>
      <c r="H6473" s="1">
        <v>-3.8114890000000002E-6</v>
      </c>
      <c r="I6473">
        <v>130.0104</v>
      </c>
      <c r="J6473">
        <v>-378.30369999999999</v>
      </c>
      <c r="K6473">
        <v>1.1125799999999999</v>
      </c>
      <c r="L6473">
        <v>139.59379999999999</v>
      </c>
      <c r="M6473">
        <v>-0.99416260000000001</v>
      </c>
      <c r="N6473">
        <v>0</v>
      </c>
      <c r="O6473">
        <v>-0.1063665</v>
      </c>
      <c r="P6473">
        <v>-0.98480060000000003</v>
      </c>
      <c r="Q6473">
        <v>0.12715180000000001</v>
      </c>
      <c r="R6473">
        <v>-0.1183221</v>
      </c>
      <c r="S6473">
        <v>-2.9411619999999998</v>
      </c>
      <c r="T6473">
        <v>-0.11712019999999999</v>
      </c>
      <c r="U6473">
        <v>-1.0113829999999999</v>
      </c>
      <c r="V6473">
        <v>-1.325406E-2</v>
      </c>
      <c r="W6473">
        <v>0.14503060000000001</v>
      </c>
      <c r="X6473">
        <v>0.98933839999999995</v>
      </c>
      <c r="Y6473">
        <v>-0.22265360000000001</v>
      </c>
      <c r="Z6473">
        <v>-2.152543E-4</v>
      </c>
      <c r="AA6473">
        <v>0.97489760000000003</v>
      </c>
      <c r="AB6473">
        <v>26</v>
      </c>
      <c r="AC6473">
        <v>-27.7271999999999</v>
      </c>
      <c r="AD6473">
        <v>-1.1125838114890001</v>
      </c>
      <c r="AE6473">
        <v>-9.5833999999999797</v>
      </c>
      <c r="AF6473">
        <v>-6.5698388019155498</v>
      </c>
      <c r="AG6473">
        <v>-1.1125838114890001</v>
      </c>
      <c r="AH6473">
        <v>28.5483106141508</v>
      </c>
      <c r="AI6473">
        <v>92.175005308930693</v>
      </c>
      <c r="AJ6473">
        <v>102.95986918683801</v>
      </c>
      <c r="AK6473">
        <v>29.315638549122198</v>
      </c>
      <c r="AL6473">
        <v>81.660948891323002</v>
      </c>
      <c r="AM6473">
        <v>90.767539471491204</v>
      </c>
      <c r="AN6473">
        <v>1.0000000073787001</v>
      </c>
    </row>
    <row r="6474" spans="1:40" x14ac:dyDescent="0.25">
      <c r="A6474" t="str">
        <f>"20190312154051910"</f>
        <v>20190312154051910</v>
      </c>
      <c r="B6474" t="str">
        <f>"1552376451903068"</f>
        <v>1552376451903068</v>
      </c>
      <c r="C6474" t="s">
        <v>40</v>
      </c>
      <c r="D6474">
        <v>3.9448089999999998</v>
      </c>
      <c r="E6474">
        <v>0.42098239999999998</v>
      </c>
      <c r="F6474" t="s">
        <v>55</v>
      </c>
      <c r="G6474">
        <v>-406.40679999999998</v>
      </c>
      <c r="H6474" s="1">
        <v>-4.0100819999999999E-6</v>
      </c>
      <c r="I6474">
        <v>129.88640000000001</v>
      </c>
      <c r="J6474">
        <v>-378.55700000000002</v>
      </c>
      <c r="K6474">
        <v>1.1126370000000001</v>
      </c>
      <c r="L6474">
        <v>139.56489999999999</v>
      </c>
      <c r="M6474">
        <v>-0.99399439999999994</v>
      </c>
      <c r="N6474">
        <v>0</v>
      </c>
      <c r="O6474">
        <v>-0.10783330000000001</v>
      </c>
      <c r="P6474">
        <v>-0.98458760000000001</v>
      </c>
      <c r="Q6474">
        <v>0.12704280000000001</v>
      </c>
      <c r="R6474">
        <v>-0.120199</v>
      </c>
      <c r="S6474">
        <v>-2.9393009999999999</v>
      </c>
      <c r="T6474">
        <v>-0.116365</v>
      </c>
      <c r="U6474">
        <v>-1.0152890000000001</v>
      </c>
      <c r="V6474">
        <v>-1.3675369999999999E-2</v>
      </c>
      <c r="W6474">
        <v>0.14547550000000001</v>
      </c>
      <c r="X6474">
        <v>0.98926729999999996</v>
      </c>
      <c r="Y6474">
        <v>-0.22256400000000001</v>
      </c>
      <c r="Z6474">
        <v>-1.565828E-4</v>
      </c>
      <c r="AA6474">
        <v>0.97491810000000001</v>
      </c>
      <c r="AB6474">
        <v>26</v>
      </c>
      <c r="AC6474">
        <v>-27.849799999999998</v>
      </c>
      <c r="AD6474">
        <v>-1.1126410100819999</v>
      </c>
      <c r="AE6474">
        <v>-9.6784999999999801</v>
      </c>
      <c r="AF6474">
        <v>-6.6089757163759604</v>
      </c>
      <c r="AG6474">
        <v>-1.1126410100819999</v>
      </c>
      <c r="AH6474">
        <v>28.690338117252601</v>
      </c>
      <c r="AI6474">
        <v>92.164253351989601</v>
      </c>
      <c r="AJ6474">
        <v>102.97210551480499</v>
      </c>
      <c r="AK6474">
        <v>29.462722741105299</v>
      </c>
      <c r="AL6474">
        <v>81.635184391701003</v>
      </c>
      <c r="AM6474">
        <v>90.791991284428306</v>
      </c>
      <c r="AN6474">
        <v>0.999999963847087</v>
      </c>
    </row>
    <row r="6475" spans="1:40" x14ac:dyDescent="0.25">
      <c r="A6475" t="str">
        <f>"20190312154051925"</f>
        <v>20190312154051925</v>
      </c>
      <c r="B6475" t="str">
        <f>"1552376451912821"</f>
        <v>1552376451912821</v>
      </c>
      <c r="C6475" t="s">
        <v>40</v>
      </c>
      <c r="D6475">
        <v>3.945586</v>
      </c>
      <c r="E6475">
        <v>0.42102850000000003</v>
      </c>
      <c r="F6475" t="s">
        <v>55</v>
      </c>
      <c r="G6475">
        <v>-406.94369999999998</v>
      </c>
      <c r="H6475" s="1">
        <v>-4.2912859999999999E-6</v>
      </c>
      <c r="I6475">
        <v>129.70439999999999</v>
      </c>
      <c r="J6475">
        <v>-378.72449999999998</v>
      </c>
      <c r="K6475">
        <v>1.1126750000000001</v>
      </c>
      <c r="L6475">
        <v>139.54560000000001</v>
      </c>
      <c r="M6475">
        <v>-0.99388160000000003</v>
      </c>
      <c r="N6475">
        <v>0</v>
      </c>
      <c r="O6475">
        <v>-0.1088032</v>
      </c>
      <c r="P6475">
        <v>-0.98454140000000001</v>
      </c>
      <c r="Q6475">
        <v>0.12678210000000001</v>
      </c>
      <c r="R6475">
        <v>-0.1208494</v>
      </c>
      <c r="S6475">
        <v>-2.937195</v>
      </c>
      <c r="T6475">
        <v>-0.1151259</v>
      </c>
      <c r="U6475">
        <v>-1.0202789999999999</v>
      </c>
      <c r="V6475">
        <v>-1.3355809999999999E-2</v>
      </c>
      <c r="W6475">
        <v>0.14558109999999999</v>
      </c>
      <c r="X6475">
        <v>0.98925609999999997</v>
      </c>
      <c r="Y6475">
        <v>-0.2233079</v>
      </c>
      <c r="Z6475">
        <v>-1.3277539999999999E-4</v>
      </c>
      <c r="AA6475">
        <v>0.97474799999999995</v>
      </c>
      <c r="AB6475">
        <v>25</v>
      </c>
      <c r="AC6475">
        <v>-28.219200000000001</v>
      </c>
      <c r="AD6475">
        <v>-1.112679291286</v>
      </c>
      <c r="AE6475">
        <v>-9.8412000000000095</v>
      </c>
      <c r="AF6475">
        <v>-6.7025700599848399</v>
      </c>
      <c r="AG6475">
        <v>-1.112679291286</v>
      </c>
      <c r="AH6475">
        <v>29.082246286813099</v>
      </c>
      <c r="AI6475">
        <v>92.135135533921101</v>
      </c>
      <c r="AJ6475">
        <v>102.978309416096</v>
      </c>
      <c r="AK6475">
        <v>29.865357016133501</v>
      </c>
      <c r="AL6475">
        <v>81.629068590434002</v>
      </c>
      <c r="AM6475">
        <v>90.773495413685197</v>
      </c>
      <c r="AN6475">
        <v>0.99999993286258504</v>
      </c>
    </row>
    <row r="6476" spans="1:40" x14ac:dyDescent="0.25">
      <c r="A6476" t="str">
        <f>"20190312154051943"</f>
        <v>20190312154051943</v>
      </c>
      <c r="B6476" t="str">
        <f>"1552376451932341"</f>
        <v>1552376451932341</v>
      </c>
      <c r="C6476" t="s">
        <v>40</v>
      </c>
      <c r="D6476">
        <v>3.961802</v>
      </c>
      <c r="E6476">
        <v>0.42112959999999999</v>
      </c>
      <c r="F6476" t="s">
        <v>55</v>
      </c>
      <c r="G6476">
        <v>-406.96300000000002</v>
      </c>
      <c r="H6476" s="1">
        <v>-4.3117730000000003E-6</v>
      </c>
      <c r="I6476">
        <v>129.7201</v>
      </c>
      <c r="J6476">
        <v>-378.9205</v>
      </c>
      <c r="K6476">
        <v>1.1127100000000001</v>
      </c>
      <c r="L6476">
        <v>139.52269999999999</v>
      </c>
      <c r="M6476">
        <v>-0.99374810000000002</v>
      </c>
      <c r="N6476">
        <v>0</v>
      </c>
      <c r="O6476">
        <v>-0.1099417</v>
      </c>
      <c r="P6476">
        <v>-0.98443879999999995</v>
      </c>
      <c r="Q6476">
        <v>0.12607589999999999</v>
      </c>
      <c r="R6476">
        <v>-0.1224133</v>
      </c>
      <c r="S6476">
        <v>-2.9365839999999999</v>
      </c>
      <c r="T6476">
        <v>-0.1157103</v>
      </c>
      <c r="U6476">
        <v>-1.021774</v>
      </c>
      <c r="V6476">
        <v>-1.378046E-2</v>
      </c>
      <c r="W6476">
        <v>0.1452967</v>
      </c>
      <c r="X6476">
        <v>0.98929210000000001</v>
      </c>
      <c r="Y6476">
        <v>-0.22269639999999999</v>
      </c>
      <c r="Z6476" s="1">
        <v>-7.8785230000000001E-5</v>
      </c>
      <c r="AA6476">
        <v>0.97488779999999997</v>
      </c>
      <c r="AB6476">
        <v>25</v>
      </c>
      <c r="AC6476">
        <v>-28.0425</v>
      </c>
      <c r="AD6476">
        <v>-1.1127143117730001</v>
      </c>
      <c r="AE6476">
        <v>-9.8025999999999804</v>
      </c>
      <c r="AF6476">
        <v>-6.6502018164235004</v>
      </c>
      <c r="AG6476">
        <v>-1.1127143117730001</v>
      </c>
      <c r="AH6476">
        <v>28.909799795266601</v>
      </c>
      <c r="AI6476">
        <v>92.148132142692504</v>
      </c>
      <c r="AJ6476">
        <v>102.95454867057801</v>
      </c>
      <c r="AK6476">
        <v>29.685684117789499</v>
      </c>
      <c r="AL6476">
        <v>81.645538740701397</v>
      </c>
      <c r="AM6476">
        <v>90.798056647100907</v>
      </c>
      <c r="AN6476">
        <v>0.99999994561555405</v>
      </c>
    </row>
    <row r="6477" spans="1:40" x14ac:dyDescent="0.25">
      <c r="A6477" t="str">
        <f>"20190312154051966"</f>
        <v>20190312154051966</v>
      </c>
      <c r="B6477" t="str">
        <f>"1552376451962598"</f>
        <v>1552376451962598</v>
      </c>
      <c r="C6477" t="s">
        <v>40</v>
      </c>
      <c r="D6477">
        <v>4.0011510000000001</v>
      </c>
      <c r="E6477">
        <v>0.42130299999999998</v>
      </c>
      <c r="F6477" t="s">
        <v>55</v>
      </c>
      <c r="G6477">
        <v>-406.7312</v>
      </c>
      <c r="H6477" s="1">
        <v>-4.1926789999999997E-6</v>
      </c>
      <c r="I6477">
        <v>129.80350000000001</v>
      </c>
      <c r="J6477">
        <v>-379.16969999999998</v>
      </c>
      <c r="K6477">
        <v>1.112749</v>
      </c>
      <c r="L6477">
        <v>139.4933</v>
      </c>
      <c r="M6477">
        <v>-0.99357530000000005</v>
      </c>
      <c r="N6477">
        <v>0</v>
      </c>
      <c r="O6477">
        <v>-0.11140220000000001</v>
      </c>
      <c r="P6477">
        <v>-0.98441069999999997</v>
      </c>
      <c r="Q6477">
        <v>0.12519859999999999</v>
      </c>
      <c r="R6477">
        <v>-0.1235359</v>
      </c>
      <c r="S6477">
        <v>-2.9349059999999998</v>
      </c>
      <c r="T6477">
        <v>-0.1174263</v>
      </c>
      <c r="U6477">
        <v>-1.0256809999999901</v>
      </c>
      <c r="V6477">
        <v>-1.343635E-2</v>
      </c>
      <c r="W6477">
        <v>0.144931</v>
      </c>
      <c r="X6477">
        <v>0.98935050000000002</v>
      </c>
      <c r="Y6477">
        <v>-0.22259100000000001</v>
      </c>
      <c r="Z6477" s="1">
        <v>-2.201647E-5</v>
      </c>
      <c r="AA6477">
        <v>0.97491190000000005</v>
      </c>
      <c r="AB6477">
        <v>25</v>
      </c>
      <c r="AC6477">
        <v>-27.561499999999999</v>
      </c>
      <c r="AD6477">
        <v>-1.112753192679</v>
      </c>
      <c r="AE6477">
        <v>-9.6897999999999893</v>
      </c>
      <c r="AF6477">
        <v>-6.5489378043978199</v>
      </c>
      <c r="AG6477">
        <v>-1.112753192679</v>
      </c>
      <c r="AH6477">
        <v>28.428310872528399</v>
      </c>
      <c r="AI6477">
        <v>92.184396918779598</v>
      </c>
      <c r="AJ6477">
        <v>102.97272081283801</v>
      </c>
      <c r="AK6477">
        <v>29.1941032590282</v>
      </c>
      <c r="AL6477">
        <v>81.666716183815296</v>
      </c>
      <c r="AM6477">
        <v>90.778085037989797</v>
      </c>
      <c r="AN6477">
        <v>0.99999997105628502</v>
      </c>
    </row>
    <row r="6478" spans="1:40" x14ac:dyDescent="0.25">
      <c r="A6478" t="str">
        <f>"20190312154051988"</f>
        <v>20190312154051988</v>
      </c>
      <c r="B6478" t="str">
        <f>"1552376451983094"</f>
        <v>1552376451983094</v>
      </c>
      <c r="C6478" t="s">
        <v>40</v>
      </c>
      <c r="D6478">
        <v>3.9954930000000002</v>
      </c>
      <c r="E6478">
        <v>0.4213925</v>
      </c>
      <c r="F6478" t="s">
        <v>55</v>
      </c>
      <c r="G6478">
        <v>-406.41770000000002</v>
      </c>
      <c r="H6478" s="1">
        <v>-4.0474630000000002E-6</v>
      </c>
      <c r="I6478">
        <v>129.95070000000001</v>
      </c>
      <c r="J6478">
        <v>-379.4153</v>
      </c>
      <c r="K6478">
        <v>1.1127819999999999</v>
      </c>
      <c r="L6478">
        <v>139.464</v>
      </c>
      <c r="M6478">
        <v>-0.99340090000000003</v>
      </c>
      <c r="N6478">
        <v>0</v>
      </c>
      <c r="O6478">
        <v>-0.1128622</v>
      </c>
      <c r="P6478">
        <v>-0.98436659999999998</v>
      </c>
      <c r="Q6478">
        <v>0.12463829999999999</v>
      </c>
      <c r="R6478">
        <v>-0.1244492</v>
      </c>
      <c r="S6478">
        <v>-2.9338069999999998</v>
      </c>
      <c r="T6478">
        <v>-0.119811</v>
      </c>
      <c r="U6478">
        <v>-1.027466</v>
      </c>
      <c r="V6478">
        <v>-1.288694E-2</v>
      </c>
      <c r="W6478">
        <v>0.14483289999999999</v>
      </c>
      <c r="X6478">
        <v>0.98937220000000003</v>
      </c>
      <c r="Y6478">
        <v>-0.22179779999999999</v>
      </c>
      <c r="Z6478" s="1">
        <v>5.0325409999999998E-5</v>
      </c>
      <c r="AA6478">
        <v>0.97509270000000003</v>
      </c>
      <c r="AB6478">
        <v>25</v>
      </c>
      <c r="AC6478">
        <v>-27.002400000000002</v>
      </c>
      <c r="AD6478">
        <v>-1.112786047463</v>
      </c>
      <c r="AE6478">
        <v>-9.5132999999999797</v>
      </c>
      <c r="AF6478">
        <v>-6.3946442647459003</v>
      </c>
      <c r="AG6478">
        <v>-1.112786047463</v>
      </c>
      <c r="AH6478">
        <v>27.861622761791399</v>
      </c>
      <c r="AI6478">
        <v>92.229262083413602</v>
      </c>
      <c r="AJ6478">
        <v>102.92633799889801</v>
      </c>
      <c r="AK6478">
        <v>28.6076876202962</v>
      </c>
      <c r="AL6478">
        <v>81.672397047181306</v>
      </c>
      <c r="AM6478">
        <v>90.746256585627194</v>
      </c>
      <c r="AN6478">
        <v>0.999999996138906</v>
      </c>
    </row>
    <row r="6479" spans="1:40" x14ac:dyDescent="0.25">
      <c r="A6479" t="str">
        <f>"20190312154052011"</f>
        <v>20190312154052011</v>
      </c>
      <c r="B6479" t="str">
        <f>"1552376452002613"</f>
        <v>1552376452002613</v>
      </c>
      <c r="C6479" t="s">
        <v>40</v>
      </c>
      <c r="D6479">
        <v>3.9975420000000002</v>
      </c>
      <c r="E6479">
        <v>0.42149189999999997</v>
      </c>
      <c r="F6479" t="s">
        <v>55</v>
      </c>
      <c r="G6479">
        <v>-406.29919999999998</v>
      </c>
      <c r="H6479" s="1">
        <v>-4.0015389999999997E-6</v>
      </c>
      <c r="I6479">
        <v>130.02539999999999</v>
      </c>
      <c r="J6479">
        <v>-379.65809999999999</v>
      </c>
      <c r="K6479">
        <v>1.112814</v>
      </c>
      <c r="L6479">
        <v>139.43459999999999</v>
      </c>
      <c r="M6479">
        <v>-0.99322410000000005</v>
      </c>
      <c r="N6479">
        <v>0</v>
      </c>
      <c r="O6479">
        <v>-0.114333199999999</v>
      </c>
      <c r="P6479">
        <v>-0.98426369999999996</v>
      </c>
      <c r="Q6479">
        <v>0.1244045</v>
      </c>
      <c r="R6479">
        <v>-0.12549370000000001</v>
      </c>
      <c r="S6479">
        <v>-2.9328310000000002</v>
      </c>
      <c r="T6479">
        <v>-0.1213964</v>
      </c>
      <c r="U6479">
        <v>-1.0296780000000001</v>
      </c>
      <c r="V6479">
        <v>-1.246532E-2</v>
      </c>
      <c r="W6479">
        <v>0.14501169999999999</v>
      </c>
      <c r="X6479">
        <v>0.98935139999999999</v>
      </c>
      <c r="Y6479">
        <v>-0.22110859999999999</v>
      </c>
      <c r="Z6479">
        <v>1.230836E-4</v>
      </c>
      <c r="AA6479">
        <v>0.97524920000000004</v>
      </c>
      <c r="AB6479">
        <v>25</v>
      </c>
      <c r="AC6479">
        <v>-26.641099999999899</v>
      </c>
      <c r="AD6479">
        <v>-1.1128180015389999</v>
      </c>
      <c r="AE6479">
        <v>-9.4091999999999896</v>
      </c>
      <c r="AF6479">
        <v>-6.2910895203091401</v>
      </c>
      <c r="AG6479">
        <v>-1.1128180015389999</v>
      </c>
      <c r="AH6479">
        <v>27.499681270282299</v>
      </c>
      <c r="AI6479">
        <v>92.259003405719596</v>
      </c>
      <c r="AJ6479">
        <v>102.885788629468</v>
      </c>
      <c r="AK6479">
        <v>28.232049894122198</v>
      </c>
      <c r="AL6479">
        <v>81.662043163743107</v>
      </c>
      <c r="AM6479">
        <v>90.721859227118202</v>
      </c>
      <c r="AN6479">
        <v>0.99999998501077603</v>
      </c>
    </row>
    <row r="6480" spans="1:40" x14ac:dyDescent="0.25">
      <c r="A6480" t="str">
        <f>"20190312154052033"</f>
        <v>20190312154052033</v>
      </c>
      <c r="B6480" t="str">
        <f>"1552376452023111"</f>
        <v>1552376452023111</v>
      </c>
      <c r="C6480" t="s">
        <v>40</v>
      </c>
      <c r="D6480">
        <v>4.0180889999999998</v>
      </c>
      <c r="E6480">
        <v>0.42154599999999998</v>
      </c>
      <c r="F6480" t="s">
        <v>55</v>
      </c>
      <c r="G6480">
        <v>-406.43770000000001</v>
      </c>
      <c r="H6480" s="1">
        <v>-4.0868239999999901E-6</v>
      </c>
      <c r="I6480">
        <v>130.00579999999999</v>
      </c>
      <c r="J6480">
        <v>-379.8965</v>
      </c>
      <c r="K6480">
        <v>1.1128400000000001</v>
      </c>
      <c r="L6480">
        <v>139.40530000000001</v>
      </c>
      <c r="M6480">
        <v>-0.99304490000000001</v>
      </c>
      <c r="N6480">
        <v>0</v>
      </c>
      <c r="O6480">
        <v>-0.11581470000000001</v>
      </c>
      <c r="P6480">
        <v>-0.98415390000000003</v>
      </c>
      <c r="Q6480">
        <v>0.1245219</v>
      </c>
      <c r="R6480">
        <v>-0.12623509999999999</v>
      </c>
      <c r="S6480">
        <v>-2.9317630000000001</v>
      </c>
      <c r="T6480">
        <v>-0.1218286</v>
      </c>
      <c r="U6480">
        <v>-1.0322420000000001</v>
      </c>
      <c r="V6480">
        <v>-1.173562E-2</v>
      </c>
      <c r="W6480">
        <v>0.14548630000000001</v>
      </c>
      <c r="X6480">
        <v>0.98929069999999997</v>
      </c>
      <c r="Y6480">
        <v>-0.22052389999999999</v>
      </c>
      <c r="Z6480">
        <v>1.941891E-4</v>
      </c>
      <c r="AA6480">
        <v>0.97538159999999896</v>
      </c>
      <c r="AB6480">
        <v>24</v>
      </c>
      <c r="AC6480">
        <v>-26.5412</v>
      </c>
      <c r="AD6480">
        <v>-1.1128440868239999</v>
      </c>
      <c r="AE6480">
        <v>-9.3995000000000104</v>
      </c>
      <c r="AF6480">
        <v>-6.2519034554159001</v>
      </c>
      <c r="AG6480">
        <v>-1.1128440868239999</v>
      </c>
      <c r="AH6480">
        <v>27.408548822501999</v>
      </c>
      <c r="AI6480">
        <v>92.266888674043201</v>
      </c>
      <c r="AJ6480">
        <v>102.849355942104</v>
      </c>
      <c r="AK6480">
        <v>28.134556462345301</v>
      </c>
      <c r="AL6480">
        <v>81.634559573693096</v>
      </c>
      <c r="AM6480">
        <v>90.679648517780805</v>
      </c>
      <c r="AN6480">
        <v>1.0000000386854799</v>
      </c>
    </row>
    <row r="6481" spans="1:40" x14ac:dyDescent="0.25">
      <c r="A6481" t="str">
        <f>"20190312154052055"</f>
        <v>20190312154052055</v>
      </c>
      <c r="B6481" t="str">
        <f>"1552376452042630"</f>
        <v>1552376452042630</v>
      </c>
      <c r="C6481" t="s">
        <v>40</v>
      </c>
      <c r="D6481">
        <v>4.0134169999999996</v>
      </c>
      <c r="E6481">
        <v>0.42163899999999999</v>
      </c>
      <c r="F6481" t="s">
        <v>55</v>
      </c>
      <c r="G6481">
        <v>-406.6651</v>
      </c>
      <c r="H6481" s="1">
        <v>-4.2204299999999998E-6</v>
      </c>
      <c r="I6481">
        <v>129.95949999999999</v>
      </c>
      <c r="J6481">
        <v>-380.12610000000001</v>
      </c>
      <c r="K6481">
        <v>1.112873</v>
      </c>
      <c r="L6481">
        <v>139.3767</v>
      </c>
      <c r="M6481">
        <v>-0.99286600000000003</v>
      </c>
      <c r="N6481">
        <v>0</v>
      </c>
      <c r="O6481">
        <v>-0.117286</v>
      </c>
      <c r="P6481">
        <v>-0.98406130000000003</v>
      </c>
      <c r="Q6481">
        <v>0.1249435</v>
      </c>
      <c r="R6481">
        <v>-0.12654119999999999</v>
      </c>
      <c r="S6481">
        <v>-2.9310610000000001</v>
      </c>
      <c r="T6481">
        <v>-0.121852</v>
      </c>
      <c r="U6481">
        <v>-1.0342709999999999</v>
      </c>
      <c r="V6481">
        <v>-1.058489E-2</v>
      </c>
      <c r="W6481">
        <v>0.1461925</v>
      </c>
      <c r="X6481">
        <v>0.98919950000000001</v>
      </c>
      <c r="Y6481">
        <v>-0.21975330000000001</v>
      </c>
      <c r="Z6481">
        <v>2.682451E-4</v>
      </c>
      <c r="AA6481">
        <v>0.97555539999999996</v>
      </c>
      <c r="AB6481">
        <v>24</v>
      </c>
      <c r="AC6481">
        <v>-26.538999999999898</v>
      </c>
      <c r="AD6481">
        <v>-1.1128772204299999</v>
      </c>
      <c r="AE6481">
        <v>-9.4171999999999993</v>
      </c>
      <c r="AF6481">
        <v>-6.2290746136820099</v>
      </c>
      <c r="AG6481">
        <v>-1.1128772204299999</v>
      </c>
      <c r="AH6481">
        <v>27.417687823716001</v>
      </c>
      <c r="AI6481">
        <v>92.266646507293899</v>
      </c>
      <c r="AJ6481">
        <v>102.799858457772</v>
      </c>
      <c r="AK6481">
        <v>28.138398530288001</v>
      </c>
      <c r="AL6481">
        <v>81.5936594170239</v>
      </c>
      <c r="AM6481">
        <v>90.613067817270604</v>
      </c>
      <c r="AN6481">
        <v>0.99999996887640497</v>
      </c>
    </row>
    <row r="6482" spans="1:40" x14ac:dyDescent="0.25">
      <c r="A6482" t="str">
        <f>"20190312154052078"</f>
        <v>20190312154052078</v>
      </c>
      <c r="B6482" t="str">
        <f>"1552376452072886"</f>
        <v>1552376452072886</v>
      </c>
      <c r="C6482" t="s">
        <v>40</v>
      </c>
      <c r="D6482">
        <v>4.0083699999999904</v>
      </c>
      <c r="E6482">
        <v>0.42175570000000001</v>
      </c>
      <c r="F6482" t="s">
        <v>55</v>
      </c>
      <c r="G6482">
        <v>-407.16289999999998</v>
      </c>
      <c r="H6482" s="1">
        <v>-4.5014489999999997E-6</v>
      </c>
      <c r="I6482">
        <v>129.83410000000001</v>
      </c>
      <c r="J6482">
        <v>-380.36340000000001</v>
      </c>
      <c r="K6482">
        <v>1.1128929999999999</v>
      </c>
      <c r="L6482">
        <v>139.3468</v>
      </c>
      <c r="M6482">
        <v>-0.99267419999999995</v>
      </c>
      <c r="N6482">
        <v>0</v>
      </c>
      <c r="O6482">
        <v>-0.1188621</v>
      </c>
      <c r="P6482">
        <v>-0.98392559999999996</v>
      </c>
      <c r="Q6482">
        <v>0.124971</v>
      </c>
      <c r="R6482">
        <v>-0.1275666</v>
      </c>
      <c r="S6482">
        <v>-2.9309080000000001</v>
      </c>
      <c r="T6482">
        <v>-0.12064080000000001</v>
      </c>
      <c r="U6482">
        <v>-1.034454</v>
      </c>
      <c r="V6482">
        <v>-1.005107E-2</v>
      </c>
      <c r="W6482">
        <v>0.14642230000000001</v>
      </c>
      <c r="X6482">
        <v>0.98917109999999997</v>
      </c>
      <c r="Y6482">
        <v>-0.21827779999999999</v>
      </c>
      <c r="Z6482">
        <v>3.5707089999999897E-4</v>
      </c>
      <c r="AA6482">
        <v>0.97588660000000005</v>
      </c>
      <c r="AB6482">
        <v>24</v>
      </c>
      <c r="AC6482">
        <v>-26.799499999999899</v>
      </c>
      <c r="AD6482">
        <v>-1.1128975014489999</v>
      </c>
      <c r="AE6482">
        <v>-9.5126999999999899</v>
      </c>
      <c r="AF6482">
        <v>-6.24946609488061</v>
      </c>
      <c r="AG6482">
        <v>-1.1128975014489999</v>
      </c>
      <c r="AH6482">
        <v>27.697968017417001</v>
      </c>
      <c r="AI6482">
        <v>92.244528912986596</v>
      </c>
      <c r="AJ6482">
        <v>102.7146838478</v>
      </c>
      <c r="AK6482">
        <v>28.4160482758185</v>
      </c>
      <c r="AL6482">
        <v>81.580349797054495</v>
      </c>
      <c r="AM6482">
        <v>90.582168314655902</v>
      </c>
      <c r="AN6482">
        <v>0.99999998951032198</v>
      </c>
    </row>
    <row r="6483" spans="1:40" x14ac:dyDescent="0.25">
      <c r="A6483" t="str">
        <f>"20190312154052101"</f>
        <v>20190312154052101</v>
      </c>
      <c r="B6483" t="str">
        <f>"1552376452092406"</f>
        <v>1552376452092406</v>
      </c>
      <c r="C6483" t="s">
        <v>40</v>
      </c>
      <c r="D6483">
        <v>4.0465679999999997</v>
      </c>
      <c r="E6483">
        <v>0.42177510000000001</v>
      </c>
      <c r="F6483" t="s">
        <v>55</v>
      </c>
      <c r="G6483">
        <v>-407.59140000000002</v>
      </c>
      <c r="H6483" s="1">
        <v>-4.7383589999999997E-6</v>
      </c>
      <c r="I6483">
        <v>129.71549999999999</v>
      </c>
      <c r="J6483">
        <v>-380.60669999999999</v>
      </c>
      <c r="K6483">
        <v>1.112884</v>
      </c>
      <c r="L6483">
        <v>139.31549999999999</v>
      </c>
      <c r="M6483">
        <v>-0.99246909999999999</v>
      </c>
      <c r="N6483">
        <v>0</v>
      </c>
      <c r="O6483">
        <v>-0.12055159999999999</v>
      </c>
      <c r="P6483">
        <v>-0.98379000000000005</v>
      </c>
      <c r="Q6483">
        <v>0.1248739</v>
      </c>
      <c r="R6483">
        <v>-0.12870139999999999</v>
      </c>
      <c r="S6483">
        <v>-2.9299010000000001</v>
      </c>
      <c r="T6483">
        <v>-0.1197545</v>
      </c>
      <c r="U6483">
        <v>-1.0363770000000001</v>
      </c>
      <c r="V6483">
        <v>-9.5134E-3</v>
      </c>
      <c r="W6483">
        <v>0.1463901</v>
      </c>
      <c r="X6483">
        <v>0.98918119999999998</v>
      </c>
      <c r="Y6483">
        <v>-0.21729409999999999</v>
      </c>
      <c r="Z6483">
        <v>4.3995859999999999E-4</v>
      </c>
      <c r="AA6483">
        <v>0.97610609999999998</v>
      </c>
      <c r="AB6483">
        <v>24</v>
      </c>
      <c r="AC6483">
        <v>-26.9847</v>
      </c>
      <c r="AD6483">
        <v>-1.112888738359</v>
      </c>
      <c r="AE6483">
        <v>-9.5999999999999908</v>
      </c>
      <c r="AF6483">
        <v>-6.2666759073824299</v>
      </c>
      <c r="AG6483">
        <v>-1.112888738359</v>
      </c>
      <c r="AH6483">
        <v>27.9032500414433</v>
      </c>
      <c r="AI6483">
        <v>92.228512780331599</v>
      </c>
      <c r="AJ6483">
        <v>102.65779736387699</v>
      </c>
      <c r="AK6483">
        <v>28.6199425426998</v>
      </c>
      <c r="AL6483">
        <v>81.582214959916399</v>
      </c>
      <c r="AM6483">
        <v>90.551022263705903</v>
      </c>
      <c r="AN6483">
        <v>1.0000000062954999</v>
      </c>
    </row>
    <row r="6484" spans="1:40" x14ac:dyDescent="0.25">
      <c r="A6484" t="str">
        <f>"20190312154052122"</f>
        <v>20190312154052122</v>
      </c>
      <c r="B6484" t="str">
        <f>"1552376452112903"</f>
        <v>1552376452112903</v>
      </c>
      <c r="C6484" t="s">
        <v>40</v>
      </c>
      <c r="D6484">
        <v>4.0641160000000003</v>
      </c>
      <c r="E6484">
        <v>0.42181439999999998</v>
      </c>
      <c r="F6484" t="s">
        <v>55</v>
      </c>
      <c r="G6484">
        <v>-407.63459999999998</v>
      </c>
      <c r="H6484" s="1">
        <v>-4.7709130000000001E-6</v>
      </c>
      <c r="I6484">
        <v>129.72219999999999</v>
      </c>
      <c r="J6484">
        <v>-380.83249999999998</v>
      </c>
      <c r="K6484">
        <v>1.1128579999999999</v>
      </c>
      <c r="L6484">
        <v>139.2861</v>
      </c>
      <c r="M6484">
        <v>-0.99227200000000004</v>
      </c>
      <c r="N6484">
        <v>0</v>
      </c>
      <c r="O6484">
        <v>-0.1221711</v>
      </c>
      <c r="P6484">
        <v>-0.98376350000000001</v>
      </c>
      <c r="Q6484">
        <v>0.1238421</v>
      </c>
      <c r="R6484">
        <v>-0.12989500000000001</v>
      </c>
      <c r="S6484">
        <v>-2.928741</v>
      </c>
      <c r="T6484">
        <v>-0.1205923</v>
      </c>
      <c r="U6484">
        <v>-1.039536</v>
      </c>
      <c r="V6484">
        <v>-9.0870369999999992E-3</v>
      </c>
      <c r="W6484">
        <v>0.1453217</v>
      </c>
      <c r="X6484">
        <v>0.98934270000000002</v>
      </c>
      <c r="Y6484">
        <v>-0.21675849999999999</v>
      </c>
      <c r="Z6484">
        <v>5.1739669999999996E-4</v>
      </c>
      <c r="AA6484">
        <v>0.97622509999999996</v>
      </c>
      <c r="AB6484">
        <v>24</v>
      </c>
      <c r="AC6484">
        <v>-26.802099999999999</v>
      </c>
      <c r="AD6484">
        <v>-1.1128627709129999</v>
      </c>
      <c r="AE6484">
        <v>-9.5639000000000092</v>
      </c>
      <c r="AF6484">
        <v>-6.2075176737957296</v>
      </c>
      <c r="AG6484">
        <v>-1.1128627709129999</v>
      </c>
      <c r="AH6484">
        <v>27.727535326102501</v>
      </c>
      <c r="AI6484">
        <v>92.242908406352697</v>
      </c>
      <c r="AJ6484">
        <v>102.61904781318999</v>
      </c>
      <c r="AK6484">
        <v>28.435681009563201</v>
      </c>
      <c r="AL6484">
        <v>81.644091222163496</v>
      </c>
      <c r="AM6484">
        <v>90.526242552742104</v>
      </c>
      <c r="AN6484">
        <v>0.99999997438780897</v>
      </c>
    </row>
    <row r="6485" spans="1:40" x14ac:dyDescent="0.25">
      <c r="A6485" t="str">
        <f>"20190312154052144"</f>
        <v>20190312154052144</v>
      </c>
      <c r="B6485" t="str">
        <f>"1552376452132422"</f>
        <v>1552376452132422</v>
      </c>
      <c r="C6485" t="s">
        <v>40</v>
      </c>
      <c r="D6485">
        <v>4.0064650000000004</v>
      </c>
      <c r="E6485">
        <v>0.42188249999999999</v>
      </c>
      <c r="F6485" t="s">
        <v>55</v>
      </c>
      <c r="G6485">
        <v>-407.0478</v>
      </c>
      <c r="H6485" s="1">
        <v>-4.4775480000000004E-6</v>
      </c>
      <c r="I6485">
        <v>129.9512</v>
      </c>
      <c r="J6485">
        <v>-381.05450000000002</v>
      </c>
      <c r="K6485">
        <v>1.1128309999999999</v>
      </c>
      <c r="L6485">
        <v>139.2568</v>
      </c>
      <c r="M6485">
        <v>-0.99207080000000003</v>
      </c>
      <c r="N6485">
        <v>0</v>
      </c>
      <c r="O6485">
        <v>-0.1238098</v>
      </c>
      <c r="P6485">
        <v>-0.98358520000000005</v>
      </c>
      <c r="Q6485">
        <v>0.1234215</v>
      </c>
      <c r="R6485">
        <v>-0.13163449999999999</v>
      </c>
      <c r="S6485">
        <v>-2.927521</v>
      </c>
      <c r="T6485">
        <v>-0.1242757</v>
      </c>
      <c r="U6485">
        <v>-1.0424500000000001</v>
      </c>
      <c r="V6485">
        <v>-9.1990630000000004E-3</v>
      </c>
      <c r="W6485">
        <v>0.1448131</v>
      </c>
      <c r="X6485">
        <v>0.98941619999999997</v>
      </c>
      <c r="Y6485">
        <v>-0.21613479999999999</v>
      </c>
      <c r="Z6485">
        <v>6.1244839999999995E-4</v>
      </c>
      <c r="AA6485">
        <v>0.97636339999999999</v>
      </c>
      <c r="AB6485">
        <v>23</v>
      </c>
      <c r="AC6485">
        <v>-25.993299999999898</v>
      </c>
      <c r="AD6485">
        <v>-1.1128354775479901</v>
      </c>
      <c r="AE6485">
        <v>-9.3055999999999894</v>
      </c>
      <c r="AF6485">
        <v>-6.0052358429528496</v>
      </c>
      <c r="AG6485">
        <v>-1.1128354775479901</v>
      </c>
      <c r="AH6485">
        <v>26.901899488376699</v>
      </c>
      <c r="AI6485">
        <v>92.3119332221505</v>
      </c>
      <c r="AJ6485">
        <v>102.58366760411801</v>
      </c>
      <c r="AK6485">
        <v>27.586472344471598</v>
      </c>
      <c r="AL6485">
        <v>81.673543093017798</v>
      </c>
      <c r="AM6485">
        <v>90.532690185473101</v>
      </c>
      <c r="AN6485">
        <v>0.999999936757061</v>
      </c>
    </row>
    <row r="6486" spans="1:40" x14ac:dyDescent="0.25">
      <c r="A6486" t="str">
        <f>"20190312154052166"</f>
        <v>20190312154052166</v>
      </c>
      <c r="B6486" t="str">
        <f>"1552376452162679"</f>
        <v>1552376452162679</v>
      </c>
      <c r="C6486" t="s">
        <v>40</v>
      </c>
      <c r="D6486">
        <v>4.0044110000000002</v>
      </c>
      <c r="E6486">
        <v>0.42193530000000001</v>
      </c>
      <c r="F6486" t="s">
        <v>55</v>
      </c>
      <c r="G6486">
        <v>-406.81200000000001</v>
      </c>
      <c r="H6486" s="1">
        <v>-4.3600499999999999E-6</v>
      </c>
      <c r="I6486">
        <v>130.04399999999899</v>
      </c>
      <c r="J6486">
        <v>-381.28570000000002</v>
      </c>
      <c r="K6486">
        <v>1.112798</v>
      </c>
      <c r="L6486">
        <v>139.22579999999999</v>
      </c>
      <c r="M6486">
        <v>-0.99185319999999999</v>
      </c>
      <c r="N6486">
        <v>0</v>
      </c>
      <c r="O6486">
        <v>-0.12556049999999999</v>
      </c>
      <c r="P6486">
        <v>-0.98333859999999995</v>
      </c>
      <c r="Q6486">
        <v>0.12279660000000001</v>
      </c>
      <c r="R6486">
        <v>-0.1340384</v>
      </c>
      <c r="S6486">
        <v>-2.9258730000000002</v>
      </c>
      <c r="T6486">
        <v>-0.126410199999999</v>
      </c>
      <c r="U6486">
        <v>-1.0465089999999999</v>
      </c>
      <c r="V6486">
        <v>-9.8634810000000003E-3</v>
      </c>
      <c r="W6486">
        <v>0.144069</v>
      </c>
      <c r="X6486">
        <v>0.98951849999999997</v>
      </c>
      <c r="Y6486">
        <v>-0.21578620000000001</v>
      </c>
      <c r="Z6486">
        <v>7.0245419999999999E-4</v>
      </c>
      <c r="AA6486">
        <v>0.97644039999999999</v>
      </c>
      <c r="AB6486">
        <v>23</v>
      </c>
      <c r="AC6486">
        <v>-25.5262999999999</v>
      </c>
      <c r="AD6486">
        <v>-1.1128023600500001</v>
      </c>
      <c r="AE6486">
        <v>-9.1818000000000097</v>
      </c>
      <c r="AF6486">
        <v>-5.89334889982851</v>
      </c>
      <c r="AG6486">
        <v>-1.1128023600500001</v>
      </c>
      <c r="AH6486">
        <v>26.432848141589801</v>
      </c>
      <c r="AI6486">
        <v>92.352978574027006</v>
      </c>
      <c r="AJ6486">
        <v>102.568838145859</v>
      </c>
      <c r="AK6486">
        <v>27.104710867743901</v>
      </c>
      <c r="AL6486">
        <v>81.716629347246794</v>
      </c>
      <c r="AM6486">
        <v>90.571103133878793</v>
      </c>
      <c r="AN6486">
        <v>1.00000001343034</v>
      </c>
    </row>
    <row r="6487" spans="1:40" x14ac:dyDescent="0.25">
      <c r="A6487" t="str">
        <f>"20190312154052190"</f>
        <v>20190312154052190</v>
      </c>
      <c r="B6487" t="str">
        <f>"1552376452183174"</f>
        <v>1552376452183174</v>
      </c>
      <c r="C6487" t="s">
        <v>40</v>
      </c>
      <c r="D6487">
        <v>4.0019770000000001</v>
      </c>
      <c r="E6487">
        <v>0.42196499999999998</v>
      </c>
      <c r="F6487" t="s">
        <v>55</v>
      </c>
      <c r="G6487">
        <v>-406.39229999999998</v>
      </c>
      <c r="H6487" s="1">
        <v>-4.1414930000000001E-6</v>
      </c>
      <c r="I6487">
        <v>130.1891</v>
      </c>
      <c r="J6487">
        <v>-381.51339999999999</v>
      </c>
      <c r="K6487">
        <v>1.11277</v>
      </c>
      <c r="L6487">
        <v>139.19479999999999</v>
      </c>
      <c r="M6487">
        <v>-0.99163250000000003</v>
      </c>
      <c r="N6487">
        <v>0</v>
      </c>
      <c r="O6487">
        <v>-0.12731629999999999</v>
      </c>
      <c r="P6487">
        <v>-0.98298079999999999</v>
      </c>
      <c r="Q6487">
        <v>0.12180920000000001</v>
      </c>
      <c r="R6487">
        <v>-0.13752</v>
      </c>
      <c r="S6487">
        <v>-2.923584</v>
      </c>
      <c r="T6487">
        <v>-0.12958230000000001</v>
      </c>
      <c r="U6487">
        <v>-1.052292</v>
      </c>
      <c r="V6487">
        <v>-1.1603169999999999E-2</v>
      </c>
      <c r="W6487">
        <v>0.1429388</v>
      </c>
      <c r="X6487">
        <v>0.98966350000000003</v>
      </c>
      <c r="Y6487">
        <v>-0.2160088</v>
      </c>
      <c r="Z6487">
        <v>7.8955529999999896E-4</v>
      </c>
      <c r="AA6487">
        <v>0.97639109999999996</v>
      </c>
      <c r="AB6487">
        <v>23</v>
      </c>
      <c r="AC6487">
        <v>-24.878899999999899</v>
      </c>
      <c r="AD6487">
        <v>-1.1127741414929999</v>
      </c>
      <c r="AE6487">
        <v>-9.0056999999999903</v>
      </c>
      <c r="AF6487">
        <v>-5.7539907501429903</v>
      </c>
      <c r="AG6487">
        <v>-1.1127741414929999</v>
      </c>
      <c r="AH6487">
        <v>25.777585434262701</v>
      </c>
      <c r="AI6487">
        <v>92.412526228279006</v>
      </c>
      <c r="AJ6487">
        <v>102.58310102294899</v>
      </c>
      <c r="AK6487">
        <v>26.435404038210201</v>
      </c>
      <c r="AL6487">
        <v>81.782062082373599</v>
      </c>
      <c r="AM6487">
        <v>90.6717255012816</v>
      </c>
      <c r="AN6487">
        <v>0.99999998866586903</v>
      </c>
    </row>
    <row r="6488" spans="1:40" x14ac:dyDescent="0.25">
      <c r="A6488" t="str">
        <f>"20190312154052211"</f>
        <v>20190312154052211</v>
      </c>
      <c r="B6488" t="str">
        <f>"1552376452202694"</f>
        <v>1552376452202694</v>
      </c>
      <c r="C6488" t="s">
        <v>40</v>
      </c>
      <c r="D6488">
        <v>3.9930119999999998</v>
      </c>
      <c r="E6488">
        <v>0.42202319999999999</v>
      </c>
      <c r="F6488" t="s">
        <v>55</v>
      </c>
      <c r="G6488">
        <v>-405.81979999999999</v>
      </c>
      <c r="H6488" s="1">
        <v>-3.8295679999999997E-6</v>
      </c>
      <c r="I6488">
        <v>130.35740000000001</v>
      </c>
      <c r="J6488">
        <v>-381.73559999999998</v>
      </c>
      <c r="K6488">
        <v>1.112738</v>
      </c>
      <c r="L6488">
        <v>139.16419999999999</v>
      </c>
      <c r="M6488">
        <v>-0.99141230000000002</v>
      </c>
      <c r="N6488">
        <v>0</v>
      </c>
      <c r="O6488">
        <v>-0.1290442</v>
      </c>
      <c r="P6488">
        <v>-0.98253900000000005</v>
      </c>
      <c r="Q6488">
        <v>0.120601399999999</v>
      </c>
      <c r="R6488">
        <v>-0.14167859999999999</v>
      </c>
      <c r="S6488">
        <v>-2.9199830000000002</v>
      </c>
      <c r="T6488">
        <v>-0.13367960000000001</v>
      </c>
      <c r="U6488">
        <v>-1.061661</v>
      </c>
      <c r="V6488">
        <v>-1.405086E-2</v>
      </c>
      <c r="W6488">
        <v>0.1415785</v>
      </c>
      <c r="X6488">
        <v>0.98982729999999997</v>
      </c>
      <c r="Y6488">
        <v>-0.21745629999999999</v>
      </c>
      <c r="Z6488">
        <v>8.5791289999999896E-4</v>
      </c>
      <c r="AA6488">
        <v>0.97606970000000004</v>
      </c>
      <c r="AB6488">
        <v>23</v>
      </c>
      <c r="AC6488">
        <v>-24.084199999999999</v>
      </c>
      <c r="AD6488">
        <v>-1.1127418295680001</v>
      </c>
      <c r="AE6488">
        <v>-8.8067999999999795</v>
      </c>
      <c r="AF6488">
        <v>-5.6139367166412697</v>
      </c>
      <c r="AG6488">
        <v>-1.1127418295680001</v>
      </c>
      <c r="AH6488">
        <v>24.972439172834299</v>
      </c>
      <c r="AI6488">
        <v>92.489298290715993</v>
      </c>
      <c r="AJ6488">
        <v>102.669765174923</v>
      </c>
      <c r="AK6488">
        <v>25.619859446894601</v>
      </c>
      <c r="AL6488">
        <v>81.860802384977006</v>
      </c>
      <c r="AM6488">
        <v>90.813274102183399</v>
      </c>
      <c r="AN6488">
        <v>0.99999999107713899</v>
      </c>
    </row>
    <row r="6489" spans="1:40" x14ac:dyDescent="0.25">
      <c r="A6489" t="str">
        <f>"20190312154052227"</f>
        <v>20190312154052227</v>
      </c>
      <c r="B6489" t="str">
        <f>"1552376452223189"</f>
        <v>1552376452223189</v>
      </c>
      <c r="C6489" t="s">
        <v>40</v>
      </c>
      <c r="D6489">
        <v>4.030125</v>
      </c>
      <c r="E6489">
        <v>0.4220467</v>
      </c>
      <c r="F6489" t="s">
        <v>55</v>
      </c>
      <c r="G6489">
        <v>-405.28579999999999</v>
      </c>
      <c r="H6489" s="1">
        <v>-3.530187E-6</v>
      </c>
      <c r="I6489">
        <v>130.49629999999999</v>
      </c>
      <c r="J6489">
        <v>-381.89150000000001</v>
      </c>
      <c r="K6489">
        <v>1.1127199999999999</v>
      </c>
      <c r="L6489">
        <v>139.14250000000001</v>
      </c>
      <c r="M6489">
        <v>-0.99125580000000002</v>
      </c>
      <c r="N6489">
        <v>0</v>
      </c>
      <c r="O6489">
        <v>-0.13025780000000001</v>
      </c>
      <c r="P6489">
        <v>-0.98221769999999997</v>
      </c>
      <c r="Q6489">
        <v>0.1203945</v>
      </c>
      <c r="R6489">
        <v>-0.14406099999999999</v>
      </c>
      <c r="S6489">
        <v>-2.9154969999999998</v>
      </c>
      <c r="T6489">
        <v>-0.1377562</v>
      </c>
      <c r="U6489">
        <v>-1.0730740000000001</v>
      </c>
      <c r="V6489">
        <v>-1.523765E-2</v>
      </c>
      <c r="W6489">
        <v>0.14126459999999999</v>
      </c>
      <c r="X6489">
        <v>0.98985460000000003</v>
      </c>
      <c r="Y6489">
        <v>-0.220106</v>
      </c>
      <c r="Z6489">
        <v>8.7830139999999998E-4</v>
      </c>
      <c r="AA6489">
        <v>0.97547550000000005</v>
      </c>
      <c r="AB6489">
        <v>23</v>
      </c>
      <c r="AC6489">
        <v>-23.394299999999902</v>
      </c>
      <c r="AD6489">
        <v>-1.112723530187</v>
      </c>
      <c r="AE6489">
        <v>-8.6462000000000199</v>
      </c>
      <c r="AF6489">
        <v>-5.5135603493262604</v>
      </c>
      <c r="AG6489">
        <v>-1.112723530187</v>
      </c>
      <c r="AH6489">
        <v>24.273066673497699</v>
      </c>
      <c r="AI6489">
        <v>92.559598076696702</v>
      </c>
      <c r="AJ6489">
        <v>102.79742968377801</v>
      </c>
      <c r="AK6489">
        <v>24.916245044475701</v>
      </c>
      <c r="AL6489">
        <v>81.878970208392602</v>
      </c>
      <c r="AM6489">
        <v>90.881931631244001</v>
      </c>
      <c r="AN6489">
        <v>1.00000000116592</v>
      </c>
    </row>
    <row r="6490" spans="1:40" x14ac:dyDescent="0.25">
      <c r="A6490" t="str">
        <f>"20190312154052245"</f>
        <v>20190312154052245</v>
      </c>
      <c r="B6490" t="str">
        <f>"1552376452232950"</f>
        <v>1552376452232950</v>
      </c>
      <c r="C6490" t="s">
        <v>40</v>
      </c>
      <c r="D6490">
        <v>4.0224449999999896</v>
      </c>
      <c r="E6490">
        <v>0.4220758</v>
      </c>
      <c r="F6490" t="s">
        <v>55</v>
      </c>
      <c r="G6490">
        <v>-405.31360000000001</v>
      </c>
      <c r="H6490" s="1">
        <v>-3.5306920000000001E-6</v>
      </c>
      <c r="I6490">
        <v>130.45679999999999</v>
      </c>
      <c r="J6490">
        <v>-382.07279999999997</v>
      </c>
      <c r="K6490">
        <v>1.112706</v>
      </c>
      <c r="L6490">
        <v>139.11699999999999</v>
      </c>
      <c r="M6490">
        <v>-0.99107179999999995</v>
      </c>
      <c r="N6490">
        <v>0</v>
      </c>
      <c r="O6490">
        <v>-0.131669799999999</v>
      </c>
      <c r="P6490">
        <v>-0.98178520000000002</v>
      </c>
      <c r="Q6490">
        <v>0.1195479</v>
      </c>
      <c r="R6490">
        <v>-0.14766899999999999</v>
      </c>
      <c r="S6490">
        <v>-2.9128419999999999</v>
      </c>
      <c r="T6490">
        <v>-0.13838139999999999</v>
      </c>
      <c r="U6490">
        <v>-1.0801700000000001</v>
      </c>
      <c r="V6490">
        <v>-1.7452760000000001E-2</v>
      </c>
      <c r="W6490">
        <v>0.140297799999999</v>
      </c>
      <c r="X6490">
        <v>0.98995549999999999</v>
      </c>
      <c r="Y6490">
        <v>-0.22109500000000001</v>
      </c>
      <c r="Z6490">
        <v>9.2342680000000003E-4</v>
      </c>
      <c r="AA6490">
        <v>0.97525189999999995</v>
      </c>
      <c r="AB6490">
        <v>23</v>
      </c>
      <c r="AC6490">
        <v>-23.2408</v>
      </c>
      <c r="AD6490">
        <v>-1.1127095306919901</v>
      </c>
      <c r="AE6490">
        <v>-8.6602000000000299</v>
      </c>
      <c r="AF6490">
        <v>-5.5128870670827297</v>
      </c>
      <c r="AG6490">
        <v>-1.1127095306919901</v>
      </c>
      <c r="AH6490">
        <v>24.130336425701799</v>
      </c>
      <c r="AI6490">
        <v>92.573952850294802</v>
      </c>
      <c r="AJ6490">
        <v>102.869092900594</v>
      </c>
      <c r="AK6490">
        <v>24.777069688154199</v>
      </c>
      <c r="AL6490">
        <v>81.934920841491007</v>
      </c>
      <c r="AM6490">
        <v>91.010010962658498</v>
      </c>
      <c r="AN6490">
        <v>0.99999998174835303</v>
      </c>
    </row>
    <row r="6491" spans="1:40" x14ac:dyDescent="0.25">
      <c r="A6491" t="str">
        <f>"20190312154052267"</f>
        <v>20190312154052267</v>
      </c>
      <c r="B6491" t="str">
        <f>"1552376452263205"</f>
        <v>1552376452263205</v>
      </c>
      <c r="C6491" t="s">
        <v>40</v>
      </c>
      <c r="D6491">
        <v>4.0248059999999999</v>
      </c>
      <c r="E6491">
        <v>0.42204639999999999</v>
      </c>
      <c r="F6491" t="s">
        <v>55</v>
      </c>
      <c r="G6491">
        <v>-405.0342</v>
      </c>
      <c r="H6491" s="1">
        <v>-3.3635660000000002E-6</v>
      </c>
      <c r="I6491">
        <v>130.50710000000001</v>
      </c>
      <c r="J6491">
        <v>-382.29149999999998</v>
      </c>
      <c r="K6491">
        <v>1.1126990000000001</v>
      </c>
      <c r="L6491">
        <v>139.08580000000001</v>
      </c>
      <c r="M6491">
        <v>-0.99084709999999998</v>
      </c>
      <c r="N6491">
        <v>0</v>
      </c>
      <c r="O6491">
        <v>-0.1333722</v>
      </c>
      <c r="P6491">
        <v>-0.98147189999999995</v>
      </c>
      <c r="Q6491">
        <v>0.11848060000000001</v>
      </c>
      <c r="R6491">
        <v>-0.15058450000000001</v>
      </c>
      <c r="S6491">
        <v>-2.9087519999999998</v>
      </c>
      <c r="T6491">
        <v>-0.14095820000000001</v>
      </c>
      <c r="U6491">
        <v>-1.0906979999999999</v>
      </c>
      <c r="V6491">
        <v>-1.8671460000000001E-2</v>
      </c>
      <c r="W6491">
        <v>0.13909750000000001</v>
      </c>
      <c r="X6491">
        <v>0.99010260000000005</v>
      </c>
      <c r="Y6491">
        <v>-0.2229614</v>
      </c>
      <c r="Z6491">
        <v>9.7544910000000001E-4</v>
      </c>
      <c r="AA6491">
        <v>0.97482679999999999</v>
      </c>
      <c r="AB6491">
        <v>23</v>
      </c>
      <c r="AC6491">
        <v>-22.742699999999999</v>
      </c>
      <c r="AD6491">
        <v>-1.1127023635659901</v>
      </c>
      <c r="AE6491">
        <v>-8.5786999999999907</v>
      </c>
      <c r="AF6491">
        <v>-5.4566876675761504</v>
      </c>
      <c r="AG6491">
        <v>-1.1127023635659901</v>
      </c>
      <c r="AH6491">
        <v>23.6343099213221</v>
      </c>
      <c r="AI6491">
        <v>92.626498604689004</v>
      </c>
      <c r="AJ6491">
        <v>103.000638200013</v>
      </c>
      <c r="AK6491">
        <v>24.281559923292999</v>
      </c>
      <c r="AL6491">
        <v>82.004373745071106</v>
      </c>
      <c r="AM6491">
        <v>91.0803618391528</v>
      </c>
      <c r="AN6491">
        <v>0.99999994822576899</v>
      </c>
    </row>
    <row r="6492" spans="1:40" x14ac:dyDescent="0.25">
      <c r="A6492" t="str">
        <f>"20190312154052290"</f>
        <v>20190312154052290</v>
      </c>
      <c r="B6492" t="str">
        <f>"1552376452282729"</f>
        <v>1552376452282729</v>
      </c>
      <c r="C6492" t="s">
        <v>40</v>
      </c>
      <c r="D6492">
        <v>3.996442</v>
      </c>
      <c r="E6492">
        <v>0.41055540000000001</v>
      </c>
      <c r="F6492" t="s">
        <v>55</v>
      </c>
      <c r="G6492">
        <v>-404.73320000000001</v>
      </c>
      <c r="H6492" s="1">
        <v>-3.2514899999999998E-6</v>
      </c>
      <c r="I6492">
        <v>130.59200000000001</v>
      </c>
      <c r="J6492">
        <v>-382.51870000000002</v>
      </c>
      <c r="K6492">
        <v>1.1127020000000001</v>
      </c>
      <c r="L6492">
        <v>139.0531</v>
      </c>
      <c r="M6492">
        <v>-0.9906102</v>
      </c>
      <c r="N6492">
        <v>0</v>
      </c>
      <c r="O6492">
        <v>-0.13513900000000001</v>
      </c>
      <c r="P6492">
        <v>-0.98126539999999995</v>
      </c>
      <c r="Q6492">
        <v>0.1185561</v>
      </c>
      <c r="R6492">
        <v>-0.15186559999999999</v>
      </c>
      <c r="S6492">
        <v>-2.9053040000000001</v>
      </c>
      <c r="T6492">
        <v>-0.1440504</v>
      </c>
      <c r="U6492">
        <v>-1.0996090000000001</v>
      </c>
      <c r="V6492">
        <v>-1.8192860000000002E-2</v>
      </c>
      <c r="W6492">
        <v>0.13904749999999999</v>
      </c>
      <c r="X6492">
        <v>0.99011859999999996</v>
      </c>
      <c r="Y6492">
        <v>-0.2242179</v>
      </c>
      <c r="Z6492">
        <v>1.050016E-3</v>
      </c>
      <c r="AA6492">
        <v>0.97453849999999997</v>
      </c>
      <c r="AB6492">
        <v>23</v>
      </c>
      <c r="AC6492">
        <v>-22.214499999999902</v>
      </c>
      <c r="AD6492">
        <v>-1.11270525149</v>
      </c>
      <c r="AE6492">
        <v>-8.4610999999999805</v>
      </c>
      <c r="AF6492">
        <v>-5.3689968201179203</v>
      </c>
      <c r="AG6492">
        <v>-1.11270525149</v>
      </c>
      <c r="AH6492">
        <v>23.1036790423212</v>
      </c>
      <c r="AI6492">
        <v>92.685853190077594</v>
      </c>
      <c r="AJ6492">
        <v>103.082595326732</v>
      </c>
      <c r="AK6492">
        <v>23.745404294762402</v>
      </c>
      <c r="AL6492">
        <v>82.007267181927901</v>
      </c>
      <c r="AM6492">
        <v>91.052658550626703</v>
      </c>
      <c r="AN6492">
        <v>1.0000000147385899</v>
      </c>
    </row>
    <row r="6493" spans="1:40" x14ac:dyDescent="0.25">
      <c r="A6493" t="str">
        <f>"20190312154052312"</f>
        <v>20190312154052312</v>
      </c>
      <c r="B6493" t="str">
        <f>"1552376452303222"</f>
        <v>1552376452303222</v>
      </c>
      <c r="C6493" t="s">
        <v>40</v>
      </c>
      <c r="D6493">
        <v>4.0090719999999997</v>
      </c>
      <c r="E6493">
        <v>0.4096496</v>
      </c>
      <c r="F6493" t="s">
        <v>55</v>
      </c>
      <c r="G6493">
        <v>-405.78149999999999</v>
      </c>
      <c r="H6493">
        <v>7.9987030000000001E-2</v>
      </c>
      <c r="I6493">
        <v>129.4385</v>
      </c>
      <c r="J6493">
        <v>-382.73070000000001</v>
      </c>
      <c r="K6493">
        <v>1.1127209999999901</v>
      </c>
      <c r="L6493">
        <v>139.0222</v>
      </c>
      <c r="M6493">
        <v>-0.99038680000000001</v>
      </c>
      <c r="N6493">
        <v>0</v>
      </c>
      <c r="O6493">
        <v>-0.1367844</v>
      </c>
      <c r="P6493">
        <v>-0.98093030000000003</v>
      </c>
      <c r="Q6493">
        <v>0.1211661</v>
      </c>
      <c r="R6493">
        <v>-0.1519692</v>
      </c>
      <c r="S6493">
        <v>-2.8879700000000001</v>
      </c>
      <c r="T6493">
        <v>-0.12820699999999999</v>
      </c>
      <c r="U6493">
        <v>-1.1936040000000001</v>
      </c>
      <c r="V6493">
        <v>-1.6693090000000001E-2</v>
      </c>
      <c r="W6493">
        <v>0.14153979999999999</v>
      </c>
      <c r="X6493">
        <v>0.9897918</v>
      </c>
      <c r="Y6493">
        <v>-0.25183670000000002</v>
      </c>
      <c r="Z6493">
        <v>4.1158539999999998E-4</v>
      </c>
      <c r="AA6493">
        <v>0.96776969999999995</v>
      </c>
      <c r="AB6493">
        <v>22</v>
      </c>
      <c r="AC6493">
        <v>-23.050799999999899</v>
      </c>
      <c r="AD6493">
        <v>-1.03273396999999</v>
      </c>
      <c r="AE6493">
        <v>-9.5836999999999897</v>
      </c>
      <c r="AF6493">
        <v>-6.3290925900499699</v>
      </c>
      <c r="AG6493">
        <v>-1.03273396999999</v>
      </c>
      <c r="AH6493">
        <v>24.103975976178099</v>
      </c>
      <c r="AI6493">
        <v>92.372991714302501</v>
      </c>
      <c r="AJ6493">
        <v>104.71230419910199</v>
      </c>
      <c r="AK6493">
        <v>24.9424459571709</v>
      </c>
      <c r="AL6493">
        <v>81.8630422856058</v>
      </c>
      <c r="AM6493">
        <v>90.966216265807105</v>
      </c>
      <c r="AN6493">
        <v>0.999999990792514</v>
      </c>
    </row>
    <row r="6494" spans="1:40" x14ac:dyDescent="0.25">
      <c r="A6494" t="str">
        <f>"20190312154052345"</f>
        <v>20190312154052345</v>
      </c>
      <c r="B6494" t="str">
        <f>"1552376452343238"</f>
        <v>1552376452343238</v>
      </c>
      <c r="C6494" t="s">
        <v>40</v>
      </c>
      <c r="D6494">
        <v>3.9909910000000002</v>
      </c>
      <c r="E6494">
        <v>0.40975159999999999</v>
      </c>
      <c r="F6494" t="s">
        <v>55</v>
      </c>
      <c r="G6494">
        <v>-408.29689999999999</v>
      </c>
      <c r="H6494">
        <v>7.9987210000000003E-2</v>
      </c>
      <c r="I6494">
        <v>128.3817</v>
      </c>
      <c r="J6494">
        <v>-383.0523</v>
      </c>
      <c r="K6494">
        <v>1.112679</v>
      </c>
      <c r="L6494">
        <v>138.97450000000001</v>
      </c>
      <c r="M6494">
        <v>-0.99004570000000003</v>
      </c>
      <c r="N6494">
        <v>0</v>
      </c>
      <c r="O6494">
        <v>-0.1392784</v>
      </c>
      <c r="P6494">
        <v>-0.98047790000000001</v>
      </c>
      <c r="Q6494">
        <v>0.12631580000000001</v>
      </c>
      <c r="R6494">
        <v>-0.15068960000000001</v>
      </c>
      <c r="S6494">
        <v>-2.8865970000000001</v>
      </c>
      <c r="T6494">
        <v>-0.1166029</v>
      </c>
      <c r="U6494">
        <v>-1.2013849999999999</v>
      </c>
      <c r="V6494">
        <v>-1.299674E-2</v>
      </c>
      <c r="W6494">
        <v>0.14636279999999999</v>
      </c>
      <c r="X6494">
        <v>0.98914559999999996</v>
      </c>
      <c r="Y6494">
        <v>-0.25180710000000001</v>
      </c>
      <c r="Z6494">
        <v>4.6934789999999999E-4</v>
      </c>
      <c r="AA6494">
        <v>0.96777740000000001</v>
      </c>
      <c r="AB6494">
        <v>22</v>
      </c>
      <c r="AC6494">
        <v>-25.244599999999899</v>
      </c>
      <c r="AD6494">
        <v>-1.0326917900000001</v>
      </c>
      <c r="AE6494">
        <v>-10.5928</v>
      </c>
      <c r="AF6494">
        <v>-6.9628544030427904</v>
      </c>
      <c r="AG6494">
        <v>-1.0326917900000001</v>
      </c>
      <c r="AH6494">
        <v>26.436481207006601</v>
      </c>
      <c r="AI6494">
        <v>92.163313239805902</v>
      </c>
      <c r="AJ6494">
        <v>104.75549201589899</v>
      </c>
      <c r="AK6494">
        <v>27.357546168827401</v>
      </c>
      <c r="AL6494">
        <v>81.583796123037502</v>
      </c>
      <c r="AM6494">
        <v>90.752786546866304</v>
      </c>
      <c r="AN6494">
        <v>1.0000000012369099</v>
      </c>
    </row>
    <row r="6495" spans="1:40" x14ac:dyDescent="0.25">
      <c r="A6495" t="str">
        <f>"20190312154052368"</f>
        <v>20190312154052368</v>
      </c>
      <c r="B6495" t="str">
        <f>"1552376452362761"</f>
        <v>1552376452362761</v>
      </c>
      <c r="C6495" t="s">
        <v>40</v>
      </c>
      <c r="D6495">
        <v>3.9878429999999998</v>
      </c>
      <c r="E6495">
        <v>0.40986719999999999</v>
      </c>
      <c r="F6495" t="s">
        <v>55</v>
      </c>
      <c r="G6495">
        <v>-416.43200000000002</v>
      </c>
      <c r="H6495" s="1">
        <v>-3.8551489999999996E-6</v>
      </c>
      <c r="I6495">
        <v>125.1524</v>
      </c>
      <c r="J6495">
        <v>-383.27210000000002</v>
      </c>
      <c r="K6495">
        <v>1.112587</v>
      </c>
      <c r="L6495">
        <v>138.94149999999999</v>
      </c>
      <c r="M6495">
        <v>-0.98981330000000001</v>
      </c>
      <c r="N6495">
        <v>0</v>
      </c>
      <c r="O6495">
        <v>-0.1409869</v>
      </c>
      <c r="P6495">
        <v>-0.98044219999999904</v>
      </c>
      <c r="Q6495">
        <v>0.12629569999999901</v>
      </c>
      <c r="R6495">
        <v>-0.15093860000000001</v>
      </c>
      <c r="S6495">
        <v>-2.8883359999999998</v>
      </c>
      <c r="T6495">
        <v>-9.628022E-2</v>
      </c>
      <c r="U6495">
        <v>-1.1960299999999999</v>
      </c>
      <c r="V6495">
        <v>-1.153538E-2</v>
      </c>
      <c r="W6495">
        <v>0.1458911</v>
      </c>
      <c r="X6495">
        <v>0.98923340000000004</v>
      </c>
      <c r="Y6495">
        <v>-0.24842590000000001</v>
      </c>
      <c r="Z6495">
        <v>4.9525760000000002E-4</v>
      </c>
      <c r="AA6495">
        <v>0.96865080000000003</v>
      </c>
      <c r="AB6495">
        <v>22</v>
      </c>
      <c r="AC6495">
        <v>-33.159899999999901</v>
      </c>
      <c r="AD6495">
        <v>-1.112590855149</v>
      </c>
      <c r="AE6495">
        <v>-13.7890999999999</v>
      </c>
      <c r="AF6495">
        <v>-8.9666777315500497</v>
      </c>
      <c r="AG6495">
        <v>-1.112590855149</v>
      </c>
      <c r="AH6495">
        <v>34.7396715608024</v>
      </c>
      <c r="AI6495">
        <v>91.776184905932297</v>
      </c>
      <c r="AJ6495">
        <v>104.47277002293499</v>
      </c>
      <c r="AK6495">
        <v>35.895458600007601</v>
      </c>
      <c r="AL6495">
        <v>81.611115775988097</v>
      </c>
      <c r="AM6495">
        <v>90.668091710650302</v>
      </c>
      <c r="AN6495">
        <v>0.99999999886325697</v>
      </c>
    </row>
    <row r="6496" spans="1:40" x14ac:dyDescent="0.25">
      <c r="A6496" t="str">
        <f>"20190312154052390"</f>
        <v>20190312154052390</v>
      </c>
      <c r="B6496" t="str">
        <f>"1552376452382279"</f>
        <v>1552376452382279</v>
      </c>
      <c r="C6496" t="s">
        <v>40</v>
      </c>
      <c r="D6496">
        <v>3.9150930000000002</v>
      </c>
      <c r="E6496">
        <v>0.40974139999999998</v>
      </c>
      <c r="F6496" t="s">
        <v>55</v>
      </c>
      <c r="G6496">
        <v>-417.53410000000002</v>
      </c>
      <c r="H6496" s="1">
        <v>-3.5671110000000002E-6</v>
      </c>
      <c r="I6496">
        <v>124.7647</v>
      </c>
      <c r="J6496">
        <v>-383.48970000000003</v>
      </c>
      <c r="K6496">
        <v>1.112473</v>
      </c>
      <c r="L6496">
        <v>138.9084</v>
      </c>
      <c r="M6496">
        <v>-0.98958230000000003</v>
      </c>
      <c r="N6496">
        <v>0</v>
      </c>
      <c r="O6496">
        <v>-0.14267959999999999</v>
      </c>
      <c r="P6496">
        <v>-0.98047419999999996</v>
      </c>
      <c r="Q6496">
        <v>0.1249859</v>
      </c>
      <c r="R6496">
        <v>-0.1518176</v>
      </c>
      <c r="S6496">
        <v>-2.8879700000000001</v>
      </c>
      <c r="T6496">
        <v>-9.3781229999999993E-2</v>
      </c>
      <c r="U6496">
        <v>-1.194977</v>
      </c>
      <c r="V6496">
        <v>-1.069968E-2</v>
      </c>
      <c r="W6496">
        <v>0.14400289999999999</v>
      </c>
      <c r="X6496">
        <v>0.98951940000000005</v>
      </c>
      <c r="Y6496">
        <v>-0.2465164</v>
      </c>
      <c r="Z6496">
        <v>5.6390439999999997E-4</v>
      </c>
      <c r="AA6496">
        <v>0.96913839999999996</v>
      </c>
      <c r="AB6496">
        <v>22</v>
      </c>
      <c r="AC6496">
        <v>-34.044400000000003</v>
      </c>
      <c r="AD6496">
        <v>-1.112476567111</v>
      </c>
      <c r="AE6496">
        <v>-14.1436999999999</v>
      </c>
      <c r="AF6496">
        <v>-9.1322861196519298</v>
      </c>
      <c r="AG6496">
        <v>-1.112476567111</v>
      </c>
      <c r="AH6496">
        <v>35.681857293973202</v>
      </c>
      <c r="AI6496">
        <v>91.730041850259099</v>
      </c>
      <c r="AJ6496">
        <v>104.355916633966</v>
      </c>
      <c r="AK6496">
        <v>36.848761089499703</v>
      </c>
      <c r="AL6496">
        <v>81.720456232932094</v>
      </c>
      <c r="AM6496">
        <v>90.619515509370103</v>
      </c>
      <c r="AN6496">
        <v>0.99999998066843598</v>
      </c>
    </row>
    <row r="6497" spans="1:40" x14ac:dyDescent="0.25">
      <c r="A6497" t="str">
        <f>"20190312154052412"</f>
        <v>20190312154052412</v>
      </c>
      <c r="B6497" t="str">
        <f>"1552376452402774"</f>
        <v>1552376452402774</v>
      </c>
      <c r="C6497" t="s">
        <v>40</v>
      </c>
      <c r="D6497">
        <v>3.9612319999999999</v>
      </c>
      <c r="E6497">
        <v>0.40963690000000003</v>
      </c>
      <c r="F6497" t="s">
        <v>55</v>
      </c>
      <c r="G6497">
        <v>-415.649</v>
      </c>
      <c r="H6497" s="1">
        <v>-4.1044500000000001E-6</v>
      </c>
      <c r="I6497">
        <v>125.5565</v>
      </c>
      <c r="J6497">
        <v>-383.7011</v>
      </c>
      <c r="K6497">
        <v>1.1123670000000001</v>
      </c>
      <c r="L6497">
        <v>138.8759</v>
      </c>
      <c r="M6497">
        <v>-0.98935569999999895</v>
      </c>
      <c r="N6497">
        <v>0</v>
      </c>
      <c r="O6497">
        <v>-0.14431920000000001</v>
      </c>
      <c r="P6497">
        <v>-0.98034770000000004</v>
      </c>
      <c r="Q6497">
        <v>0.12404610000000001</v>
      </c>
      <c r="R6497">
        <v>-0.15339939999999999</v>
      </c>
      <c r="S6497">
        <v>-2.8868710000000002</v>
      </c>
      <c r="T6497">
        <v>-9.9864839999999996E-2</v>
      </c>
      <c r="U6497">
        <v>-1.1985779999999999</v>
      </c>
      <c r="V6497">
        <v>-1.063267E-2</v>
      </c>
      <c r="W6497">
        <v>0.142493799999999</v>
      </c>
      <c r="X6497">
        <v>0.98973860000000002</v>
      </c>
      <c r="Y6497">
        <v>-0.2460688</v>
      </c>
      <c r="Z6497">
        <v>6.6108720000000005E-4</v>
      </c>
      <c r="AA6497">
        <v>0.96925220000000001</v>
      </c>
      <c r="AB6497">
        <v>22</v>
      </c>
      <c r="AC6497">
        <v>-31.947900000000001</v>
      </c>
      <c r="AD6497">
        <v>-1.11237110445</v>
      </c>
      <c r="AE6497">
        <v>-13.3194</v>
      </c>
      <c r="AF6497">
        <v>-8.5595765203859404</v>
      </c>
      <c r="AG6497">
        <v>-1.11237110445</v>
      </c>
      <c r="AH6497">
        <v>33.501305499935498</v>
      </c>
      <c r="AI6497">
        <v>91.842590931998302</v>
      </c>
      <c r="AJ6497">
        <v>104.3324361263</v>
      </c>
      <c r="AK6497">
        <v>34.595392610611697</v>
      </c>
      <c r="AL6497">
        <v>81.8078226264535</v>
      </c>
      <c r="AM6497">
        <v>90.615499568642505</v>
      </c>
      <c r="AN6497">
        <v>1.0000000165198599</v>
      </c>
    </row>
    <row r="6498" spans="1:40" x14ac:dyDescent="0.25">
      <c r="A6498" t="str">
        <f>"20190312154052434"</f>
        <v>20190312154052434</v>
      </c>
      <c r="B6498" t="str">
        <f>"1552376452433030"</f>
        <v>1552376452433030</v>
      </c>
      <c r="C6498" t="s">
        <v>40</v>
      </c>
      <c r="D6498">
        <v>3.9662389999999998</v>
      </c>
      <c r="E6498">
        <v>0.40937479999999998</v>
      </c>
      <c r="F6498" t="s">
        <v>55</v>
      </c>
      <c r="G6498">
        <v>-415.47359999999998</v>
      </c>
      <c r="H6498" s="1">
        <v>-4.1454869999999998E-6</v>
      </c>
      <c r="I6498">
        <v>125.60429999999999</v>
      </c>
      <c r="J6498">
        <v>-383.92140000000001</v>
      </c>
      <c r="K6498">
        <v>1.1122730000000001</v>
      </c>
      <c r="L6498">
        <v>138.8417</v>
      </c>
      <c r="M6498">
        <v>-0.98911490000000002</v>
      </c>
      <c r="N6498">
        <v>0</v>
      </c>
      <c r="O6498">
        <v>-0.1460303</v>
      </c>
      <c r="P6498">
        <v>-0.98007829999999996</v>
      </c>
      <c r="Q6498">
        <v>0.1238991</v>
      </c>
      <c r="R6498">
        <v>-0.1552287</v>
      </c>
      <c r="S6498">
        <v>-2.8843990000000002</v>
      </c>
      <c r="T6498">
        <v>-0.1009843</v>
      </c>
      <c r="U6498">
        <v>-1.204834</v>
      </c>
      <c r="V6498">
        <v>-1.075835E-2</v>
      </c>
      <c r="W6498">
        <v>0.14179610000000001</v>
      </c>
      <c r="X6498">
        <v>0.98983739999999998</v>
      </c>
      <c r="Y6498">
        <v>-0.2464787</v>
      </c>
      <c r="Z6498">
        <v>7.1784110000000002E-4</v>
      </c>
      <c r="AA6498">
        <v>0.96914789999999995</v>
      </c>
      <c r="AB6498">
        <v>22</v>
      </c>
      <c r="AC6498">
        <v>-31.5521999999999</v>
      </c>
      <c r="AD6498">
        <v>-1.112277145487</v>
      </c>
      <c r="AE6498">
        <v>-13.237399999999999</v>
      </c>
      <c r="AF6498">
        <v>-8.4781606066312705</v>
      </c>
      <c r="AG6498">
        <v>-1.112277145487</v>
      </c>
      <c r="AH6498">
        <v>33.112240514040401</v>
      </c>
      <c r="AI6498">
        <v>91.863825675869407</v>
      </c>
      <c r="AJ6498">
        <v>104.361653917957</v>
      </c>
      <c r="AK6498">
        <v>34.1984917734666</v>
      </c>
      <c r="AL6498">
        <v>81.848207648475295</v>
      </c>
      <c r="AM6498">
        <v>90.622712153490596</v>
      </c>
      <c r="AN6498">
        <v>0.99999997725434597</v>
      </c>
    </row>
    <row r="6499" spans="1:40" x14ac:dyDescent="0.25">
      <c r="A6499" t="str">
        <f>"20190312154052457"</f>
        <v>20190312154052457</v>
      </c>
      <c r="B6499" t="str">
        <f>"1552376452452550"</f>
        <v>1552376452452550</v>
      </c>
      <c r="C6499" t="s">
        <v>40</v>
      </c>
      <c r="D6499">
        <v>3.9284949999999998</v>
      </c>
      <c r="E6499">
        <v>0.4092652</v>
      </c>
      <c r="F6499" t="s">
        <v>55</v>
      </c>
      <c r="G6499">
        <v>-415.96159999999998</v>
      </c>
      <c r="H6499" s="1">
        <v>-3.9903520000000003E-6</v>
      </c>
      <c r="I6499">
        <v>125.3532</v>
      </c>
      <c r="J6499">
        <v>-384.13490000000002</v>
      </c>
      <c r="K6499">
        <v>1.1121909999999999</v>
      </c>
      <c r="L6499">
        <v>138.8082</v>
      </c>
      <c r="M6499">
        <v>-0.98887590000000003</v>
      </c>
      <c r="N6499">
        <v>0</v>
      </c>
      <c r="O6499">
        <v>-0.1477012</v>
      </c>
      <c r="P6499">
        <v>-0.97985800000000001</v>
      </c>
      <c r="Q6499">
        <v>0.12262720000000001</v>
      </c>
      <c r="R6499">
        <v>-0.15760929999999901</v>
      </c>
      <c r="S6499">
        <v>-2.8815</v>
      </c>
      <c r="T6499">
        <v>-0.10003140000000001</v>
      </c>
      <c r="U6499">
        <v>-1.213074</v>
      </c>
      <c r="V6499">
        <v>-1.1459810000000001E-2</v>
      </c>
      <c r="W6499">
        <v>0.14002529999999999</v>
      </c>
      <c r="X6499">
        <v>0.99008160000000001</v>
      </c>
      <c r="Y6499">
        <v>-0.24754699999999999</v>
      </c>
      <c r="Z6499">
        <v>7.4764850000000002E-4</v>
      </c>
      <c r="AA6499">
        <v>0.96887559999999995</v>
      </c>
      <c r="AB6499">
        <v>22</v>
      </c>
      <c r="AC6499">
        <v>-31.826699999999899</v>
      </c>
      <c r="AD6499">
        <v>-1.1121949903520001</v>
      </c>
      <c r="AE6499">
        <v>-13.454999999999901</v>
      </c>
      <c r="AF6499">
        <v>-8.59690580604512</v>
      </c>
      <c r="AG6499">
        <v>-1.1121949903520001</v>
      </c>
      <c r="AH6499">
        <v>33.430509304224103</v>
      </c>
      <c r="AI6499">
        <v>91.845462714648704</v>
      </c>
      <c r="AJ6499">
        <v>104.42155943675201</v>
      </c>
      <c r="AK6499">
        <v>34.536107474270899</v>
      </c>
      <c r="AL6499">
        <v>81.950689694093796</v>
      </c>
      <c r="AM6499">
        <v>90.663146782557604</v>
      </c>
      <c r="AN6499">
        <v>0.999999993271943</v>
      </c>
    </row>
    <row r="6500" spans="1:40" x14ac:dyDescent="0.25">
      <c r="A6500" t="str">
        <f>"20190312154052479"</f>
        <v>20190312154052479</v>
      </c>
      <c r="B6500" t="str">
        <f>"1552376452473049"</f>
        <v>1552376452473049</v>
      </c>
      <c r="C6500" t="s">
        <v>40</v>
      </c>
      <c r="D6500">
        <v>3.9241239999999999</v>
      </c>
      <c r="E6500">
        <v>0.40916229999999998</v>
      </c>
      <c r="F6500" t="s">
        <v>55</v>
      </c>
      <c r="G6500">
        <v>-415.21769999999998</v>
      </c>
      <c r="H6500" s="1">
        <v>-4.1878739999999999E-6</v>
      </c>
      <c r="I6500">
        <v>125.6238</v>
      </c>
      <c r="J6500">
        <v>-384.34870000000001</v>
      </c>
      <c r="K6500">
        <v>1.11212</v>
      </c>
      <c r="L6500">
        <v>138.77430000000001</v>
      </c>
      <c r="M6500">
        <v>-0.98863230000000002</v>
      </c>
      <c r="N6500">
        <v>0</v>
      </c>
      <c r="O6500">
        <v>-0.14937729999999999</v>
      </c>
      <c r="P6500">
        <v>-0.97986039999999996</v>
      </c>
      <c r="Q6500">
        <v>0.11982329999999999</v>
      </c>
      <c r="R6500">
        <v>-0.1597374</v>
      </c>
      <c r="S6500">
        <v>-2.878174</v>
      </c>
      <c r="T6500">
        <v>-0.1029862</v>
      </c>
      <c r="U6500">
        <v>-1.2208399999999999</v>
      </c>
      <c r="V6500">
        <v>-1.187177E-2</v>
      </c>
      <c r="W6500">
        <v>0.1367555</v>
      </c>
      <c r="X6500">
        <v>0.99053369999999996</v>
      </c>
      <c r="Y6500">
        <v>-0.2485213</v>
      </c>
      <c r="Z6500">
        <v>8.0930300000000004E-4</v>
      </c>
      <c r="AA6500">
        <v>0.96862610000000005</v>
      </c>
      <c r="AB6500">
        <v>22</v>
      </c>
      <c r="AC6500">
        <v>-30.8689999999999</v>
      </c>
      <c r="AD6500">
        <v>-1.112124187874</v>
      </c>
      <c r="AE6500">
        <v>-13.150499999999999</v>
      </c>
      <c r="AF6500">
        <v>-8.3819006609681601</v>
      </c>
      <c r="AG6500">
        <v>-1.112124187874</v>
      </c>
      <c r="AH6500">
        <v>32.451579043751103</v>
      </c>
      <c r="AI6500">
        <v>91.900451938882796</v>
      </c>
      <c r="AJ6500">
        <v>104.482376766272</v>
      </c>
      <c r="AK6500">
        <v>33.535027379330103</v>
      </c>
      <c r="AL6500">
        <v>82.139855845887695</v>
      </c>
      <c r="AM6500">
        <v>90.686669973764594</v>
      </c>
      <c r="AN6500">
        <v>1.00000000826943</v>
      </c>
    </row>
    <row r="6501" spans="1:40" x14ac:dyDescent="0.25">
      <c r="A6501" t="str">
        <f>"20190312154052501"</f>
        <v>20190312154052501</v>
      </c>
      <c r="B6501" t="str">
        <f>"1552376452492566"</f>
        <v>1552376452492566</v>
      </c>
      <c r="C6501" t="s">
        <v>40</v>
      </c>
      <c r="D6501">
        <v>3.8612479999999998</v>
      </c>
      <c r="E6501">
        <v>0.40910229999999997</v>
      </c>
      <c r="F6501" t="s">
        <v>55</v>
      </c>
      <c r="G6501">
        <v>-412.8218</v>
      </c>
      <c r="H6501" s="1">
        <v>-4.8666000000000001E-6</v>
      </c>
      <c r="I6501">
        <v>126.61799999999999</v>
      </c>
      <c r="J6501">
        <v>-384.56169999999997</v>
      </c>
      <c r="K6501">
        <v>1.11207099999999</v>
      </c>
      <c r="L6501">
        <v>138.74010000000001</v>
      </c>
      <c r="M6501">
        <v>-0.98838729999999997</v>
      </c>
      <c r="N6501">
        <v>0</v>
      </c>
      <c r="O6501">
        <v>-0.15103929999999999</v>
      </c>
      <c r="P6501">
        <v>-0.97987820000000003</v>
      </c>
      <c r="Q6501">
        <v>0.1170272</v>
      </c>
      <c r="R6501">
        <v>-0.1616911</v>
      </c>
      <c r="S6501">
        <v>-2.8752439999999999</v>
      </c>
      <c r="T6501">
        <v>-0.1123036</v>
      </c>
      <c r="U6501">
        <v>-1.227554</v>
      </c>
      <c r="V6501">
        <v>-1.2124640000000001E-2</v>
      </c>
      <c r="W6501">
        <v>0.13353470000000001</v>
      </c>
      <c r="X6501">
        <v>0.99097000000000002</v>
      </c>
      <c r="Y6501">
        <v>-0.24915380000000001</v>
      </c>
      <c r="Z6501">
        <v>9.3151439999999996E-4</v>
      </c>
      <c r="AA6501">
        <v>0.96846350000000003</v>
      </c>
      <c r="AB6501">
        <v>22</v>
      </c>
      <c r="AC6501">
        <v>-28.260100000000001</v>
      </c>
      <c r="AD6501">
        <v>-1.1120758665999999</v>
      </c>
      <c r="AE6501">
        <v>-12.1221</v>
      </c>
      <c r="AF6501">
        <v>-7.7039391316623496</v>
      </c>
      <c r="AG6501">
        <v>-1.1120758665999999</v>
      </c>
      <c r="AH6501">
        <v>29.728089424212001</v>
      </c>
      <c r="AI6501">
        <v>92.073892085448094</v>
      </c>
      <c r="AJ6501">
        <v>104.528417091912</v>
      </c>
      <c r="AK6501">
        <v>30.730224400276999</v>
      </c>
      <c r="AL6501">
        <v>82.326103023379602</v>
      </c>
      <c r="AM6501">
        <v>90.700985941623401</v>
      </c>
      <c r="AN6501">
        <v>1.0000000319496001</v>
      </c>
    </row>
    <row r="6502" spans="1:40" x14ac:dyDescent="0.25">
      <c r="A6502" t="str">
        <f>"20190312154052523"</f>
        <v>20190312154052523</v>
      </c>
      <c r="B6502" t="str">
        <f>"1552376452513062"</f>
        <v>1552376452513062</v>
      </c>
      <c r="C6502" t="s">
        <v>40</v>
      </c>
      <c r="D6502">
        <v>3.9263309999999998</v>
      </c>
      <c r="E6502">
        <v>0.40865669999999998</v>
      </c>
      <c r="F6502" t="s">
        <v>55</v>
      </c>
      <c r="G6502">
        <v>-409.2543</v>
      </c>
      <c r="H6502">
        <v>7.9986959999999996E-2</v>
      </c>
      <c r="I6502">
        <v>128.13659999999999</v>
      </c>
      <c r="J6502">
        <v>-384.77300000000002</v>
      </c>
      <c r="K6502">
        <v>1.112045</v>
      </c>
      <c r="L6502">
        <v>138.70590000000001</v>
      </c>
      <c r="M6502">
        <v>-0.98814230000000003</v>
      </c>
      <c r="N6502">
        <v>0</v>
      </c>
      <c r="O6502">
        <v>-0.15267530000000001</v>
      </c>
      <c r="P6502">
        <v>-0.97977899999999996</v>
      </c>
      <c r="Q6502">
        <v>0.115804</v>
      </c>
      <c r="R6502">
        <v>-0.16316459999999999</v>
      </c>
      <c r="S6502">
        <v>-2.8723749999999999</v>
      </c>
      <c r="T6502">
        <v>-0.1200575</v>
      </c>
      <c r="U6502">
        <v>-1.2334590000000001</v>
      </c>
      <c r="V6502">
        <v>-1.1951440000000001E-2</v>
      </c>
      <c r="W6502">
        <v>0.13193489999999999</v>
      </c>
      <c r="X6502">
        <v>0.99118629999999996</v>
      </c>
      <c r="Y6502">
        <v>-0.24957489999999999</v>
      </c>
      <c r="Z6502">
        <v>1.0515069999999999E-3</v>
      </c>
      <c r="AA6502">
        <v>0.96835490000000002</v>
      </c>
      <c r="AB6502">
        <v>22</v>
      </c>
      <c r="AC6502">
        <v>-24.481299999999901</v>
      </c>
      <c r="AD6502">
        <v>-1.0320580399999999</v>
      </c>
      <c r="AE6502">
        <v>-10.5693</v>
      </c>
      <c r="AF6502">
        <v>-6.6971391973694097</v>
      </c>
      <c r="AG6502">
        <v>-1.0320580399999999</v>
      </c>
      <c r="AH6502">
        <v>25.769496859019501</v>
      </c>
      <c r="AI6502">
        <v>92.219786414697893</v>
      </c>
      <c r="AJ6502">
        <v>104.568114008487</v>
      </c>
      <c r="AK6502">
        <v>26.6455209293023</v>
      </c>
      <c r="AL6502">
        <v>82.418582633402593</v>
      </c>
      <c r="AM6502">
        <v>90.690822591331894</v>
      </c>
      <c r="AN6502">
        <v>0.99999996803188596</v>
      </c>
    </row>
    <row r="6503" spans="1:40" x14ac:dyDescent="0.25">
      <c r="A6503" t="str">
        <f>"20190312154052546"</f>
        <v>20190312154052546</v>
      </c>
      <c r="B6503" t="str">
        <f>"1552376452542346"</f>
        <v>1552376452542346</v>
      </c>
      <c r="C6503" t="s">
        <v>40</v>
      </c>
      <c r="D6503">
        <v>4.001989</v>
      </c>
      <c r="E6503">
        <v>0.38025989999999998</v>
      </c>
      <c r="F6503" t="s">
        <v>55</v>
      </c>
      <c r="G6503">
        <v>-408.04579999999999</v>
      </c>
      <c r="H6503">
        <v>7.9987169999999996E-2</v>
      </c>
      <c r="I6503">
        <v>128.6377</v>
      </c>
      <c r="J6503">
        <v>-384.98970000000003</v>
      </c>
      <c r="K6503">
        <v>1.1120369999999999</v>
      </c>
      <c r="L6503">
        <v>138.6704</v>
      </c>
      <c r="M6503">
        <v>-0.98788759999999998</v>
      </c>
      <c r="N6503">
        <v>0</v>
      </c>
      <c r="O6503">
        <v>-0.1543504</v>
      </c>
      <c r="P6503">
        <v>-0.97948849999999998</v>
      </c>
      <c r="Q6503">
        <v>0.1162347</v>
      </c>
      <c r="R6503">
        <v>-0.1645962</v>
      </c>
      <c r="S6503">
        <v>-2.8701780000000001</v>
      </c>
      <c r="T6503">
        <v>-0.12728110000000001</v>
      </c>
      <c r="U6503">
        <v>-1.241684</v>
      </c>
      <c r="V6503">
        <v>-1.172964E-2</v>
      </c>
      <c r="W6503">
        <v>0.13202139999999901</v>
      </c>
      <c r="X6503">
        <v>0.99117739999999999</v>
      </c>
      <c r="Y6503">
        <v>-0.25053409999999998</v>
      </c>
      <c r="Z6503">
        <v>1.1635160000000001E-3</v>
      </c>
      <c r="AA6503">
        <v>0.96810700000000005</v>
      </c>
      <c r="AB6503">
        <v>22</v>
      </c>
      <c r="AC6503">
        <v>-23.056099999999901</v>
      </c>
      <c r="AD6503">
        <v>-1.0320498300000001</v>
      </c>
      <c r="AE6503">
        <v>-10.0327</v>
      </c>
      <c r="AF6503">
        <v>-6.3425834312670402</v>
      </c>
      <c r="AG6503">
        <v>-1.0320498300000001</v>
      </c>
      <c r="AH6503">
        <v>24.287559971627701</v>
      </c>
      <c r="AI6503">
        <v>92.354340264000299</v>
      </c>
      <c r="AJ6503">
        <v>104.635667667874</v>
      </c>
      <c r="AK6503">
        <v>25.123277270483602</v>
      </c>
      <c r="AL6503">
        <v>82.4135825715625</v>
      </c>
      <c r="AM6503">
        <v>90.678009301957005</v>
      </c>
      <c r="AN6503">
        <v>0.99999993639162199</v>
      </c>
    </row>
    <row r="6504" spans="1:40" x14ac:dyDescent="0.25">
      <c r="A6504" t="str">
        <f>"20190312154052568"</f>
        <v>20190312154052568</v>
      </c>
      <c r="B6504" t="str">
        <f>"1552376452562842"</f>
        <v>1552376452562842</v>
      </c>
      <c r="C6504" t="s">
        <v>40</v>
      </c>
      <c r="D6504">
        <v>3.9156049999999998</v>
      </c>
      <c r="E6504">
        <v>0.37890740000000001</v>
      </c>
      <c r="F6504" t="s">
        <v>42</v>
      </c>
      <c r="G6504">
        <v>-398.18520000000001</v>
      </c>
      <c r="H6504" s="1">
        <v>-2.6805220000000002E-6</v>
      </c>
      <c r="I6504">
        <v>131.81049999999999</v>
      </c>
      <c r="J6504">
        <v>-385.20249999999999</v>
      </c>
      <c r="K6504">
        <v>1.112039</v>
      </c>
      <c r="L6504">
        <v>138.63509999999999</v>
      </c>
      <c r="M6504">
        <v>-0.98763350000000005</v>
      </c>
      <c r="N6504">
        <v>0</v>
      </c>
      <c r="O6504">
        <v>-0.1559989</v>
      </c>
      <c r="P6504">
        <v>-0.97914210000000002</v>
      </c>
      <c r="Q6504">
        <v>0.11674039999999999</v>
      </c>
      <c r="R6504">
        <v>-0.16629070000000001</v>
      </c>
      <c r="S6504">
        <v>-2.8428339999999999</v>
      </c>
      <c r="T6504">
        <v>-0.2395786</v>
      </c>
      <c r="U6504">
        <v>-1.477875</v>
      </c>
      <c r="V6504">
        <v>-1.1802099999999999E-2</v>
      </c>
      <c r="W6504">
        <v>0.13222700000000001</v>
      </c>
      <c r="X6504">
        <v>0.99114919999999995</v>
      </c>
      <c r="Y6504">
        <v>-0.31673400000000002</v>
      </c>
      <c r="Z6504">
        <v>-3.3923420000000001E-4</v>
      </c>
      <c r="AA6504">
        <v>0.94851430000000003</v>
      </c>
      <c r="AB6504">
        <v>22</v>
      </c>
      <c r="AC6504">
        <v>-12.982699999999999</v>
      </c>
      <c r="AD6504">
        <v>-1.1120416805219999</v>
      </c>
      <c r="AE6504">
        <v>-6.8246000000000002</v>
      </c>
      <c r="AF6504">
        <v>-4.6885411722700603</v>
      </c>
      <c r="AG6504">
        <v>-1.1120416805219999</v>
      </c>
      <c r="AH6504">
        <v>13.809096155376</v>
      </c>
      <c r="AI6504">
        <v>94.360610531665898</v>
      </c>
      <c r="AJ6504">
        <v>108.753663321972</v>
      </c>
      <c r="AK6504">
        <v>14.625668930059501</v>
      </c>
      <c r="AL6504">
        <v>82.401698879899598</v>
      </c>
      <c r="AM6504">
        <v>90.682216726322807</v>
      </c>
      <c r="AN6504">
        <v>1.00000000287702</v>
      </c>
    </row>
    <row r="6505" spans="1:40" x14ac:dyDescent="0.25">
      <c r="A6505" t="str">
        <f>"20190312154052591"</f>
        <v>20190312154052591</v>
      </c>
      <c r="B6505" t="str">
        <f>"1552376452582361"</f>
        <v>1552376452582361</v>
      </c>
      <c r="C6505" t="s">
        <v>40</v>
      </c>
      <c r="D6505">
        <v>3.9519890000000002</v>
      </c>
      <c r="E6505">
        <v>0.37817129999999999</v>
      </c>
      <c r="F6505" t="s">
        <v>42</v>
      </c>
      <c r="G6505">
        <v>-398.75599999999997</v>
      </c>
      <c r="H6505" s="1">
        <v>-2.568275E-6</v>
      </c>
      <c r="I6505">
        <v>131.50229999999999</v>
      </c>
      <c r="J6505">
        <v>-385.41489999999999</v>
      </c>
      <c r="K6505">
        <v>1.112033</v>
      </c>
      <c r="L6505">
        <v>138.59960000000001</v>
      </c>
      <c r="M6505">
        <v>-0.98737540000000001</v>
      </c>
      <c r="N6505">
        <v>0</v>
      </c>
      <c r="O6505">
        <v>-0.1576507</v>
      </c>
      <c r="P6505">
        <v>-0.97891620000000001</v>
      </c>
      <c r="Q6505">
        <v>0.1162946</v>
      </c>
      <c r="R6505">
        <v>-0.1679243</v>
      </c>
      <c r="S6505">
        <v>-2.8379819999999998</v>
      </c>
      <c r="T6505">
        <v>-0.23285230000000001</v>
      </c>
      <c r="U6505">
        <v>-1.49353</v>
      </c>
      <c r="V6505">
        <v>-1.1789040000000001E-2</v>
      </c>
      <c r="W6505">
        <v>0.131518</v>
      </c>
      <c r="X6505">
        <v>0.99124369999999995</v>
      </c>
      <c r="Y6505">
        <v>-0.31993729999999998</v>
      </c>
      <c r="Z6505">
        <v>-3.3081229999999998E-4</v>
      </c>
      <c r="AA6505">
        <v>0.94743869999999997</v>
      </c>
      <c r="AB6505">
        <v>22</v>
      </c>
      <c r="AC6505">
        <v>-13.3410999999999</v>
      </c>
      <c r="AD6505">
        <v>-1.1120355682750001</v>
      </c>
      <c r="AE6505">
        <v>-7.0973000000000104</v>
      </c>
      <c r="AF6505">
        <v>-4.8786253938463702</v>
      </c>
      <c r="AG6505">
        <v>-1.1120355682750001</v>
      </c>
      <c r="AH6505">
        <v>14.216269925170501</v>
      </c>
      <c r="AI6505">
        <v>94.231452013496806</v>
      </c>
      <c r="AJ6505">
        <v>108.94078388088801</v>
      </c>
      <c r="AK6505">
        <v>15.071162510699001</v>
      </c>
      <c r="AL6505">
        <v>82.442679609592204</v>
      </c>
      <c r="AM6505">
        <v>90.681396907419099</v>
      </c>
      <c r="AN6505">
        <v>1.0000000192889</v>
      </c>
    </row>
    <row r="6506" spans="1:40" x14ac:dyDescent="0.25">
      <c r="A6506" t="str">
        <f>"20190312154052613"</f>
        <v>20190312154052613</v>
      </c>
      <c r="B6506" t="str">
        <f>"1552376452602855"</f>
        <v>1552376452602855</v>
      </c>
      <c r="C6506" t="s">
        <v>40</v>
      </c>
      <c r="D6506">
        <v>3.9141710000000001</v>
      </c>
      <c r="E6506">
        <v>0.3776468</v>
      </c>
      <c r="F6506" t="s">
        <v>42</v>
      </c>
      <c r="G6506">
        <v>-399.44229999999999</v>
      </c>
      <c r="H6506" s="1">
        <v>-2.4275200000000002E-6</v>
      </c>
      <c r="I6506">
        <v>131.15350000000001</v>
      </c>
      <c r="J6506">
        <v>-385.6277</v>
      </c>
      <c r="K6506">
        <v>1.1120319999999999</v>
      </c>
      <c r="L6506">
        <v>138.56370000000001</v>
      </c>
      <c r="M6506">
        <v>-0.98711269999999995</v>
      </c>
      <c r="N6506">
        <v>0</v>
      </c>
      <c r="O6506">
        <v>-0.15930929999999999</v>
      </c>
      <c r="P6506">
        <v>-0.97867729999999997</v>
      </c>
      <c r="Q6506">
        <v>0.1161322</v>
      </c>
      <c r="R6506">
        <v>-0.16942299999999999</v>
      </c>
      <c r="S6506">
        <v>-2.8332820000000001</v>
      </c>
      <c r="T6506">
        <v>-0.22461149999999999</v>
      </c>
      <c r="U6506">
        <v>-1.503952</v>
      </c>
      <c r="V6506">
        <v>-1.1637460000000001E-2</v>
      </c>
      <c r="W6506">
        <v>0.13112379999999901</v>
      </c>
      <c r="X6506">
        <v>0.99129769999999995</v>
      </c>
      <c r="Y6506">
        <v>-0.321745</v>
      </c>
      <c r="Z6506">
        <v>-2.6770960000000002E-4</v>
      </c>
      <c r="AA6506">
        <v>0.94682630000000001</v>
      </c>
      <c r="AB6506">
        <v>22</v>
      </c>
      <c r="AC6506">
        <v>-13.814599999999899</v>
      </c>
      <c r="AD6506">
        <v>-1.11203442751999</v>
      </c>
      <c r="AE6506">
        <v>-7.4101999999999997</v>
      </c>
      <c r="AF6506">
        <v>-5.0888871072327797</v>
      </c>
      <c r="AG6506">
        <v>-1.11203442751999</v>
      </c>
      <c r="AH6506">
        <v>14.7445843417606</v>
      </c>
      <c r="AI6506">
        <v>94.077895008427902</v>
      </c>
      <c r="AJ6506">
        <v>109.04139832306601</v>
      </c>
      <c r="AK6506">
        <v>15.6376519966855</v>
      </c>
      <c r="AL6506">
        <v>82.4654628081053</v>
      </c>
      <c r="AM6506">
        <v>90.672599879247997</v>
      </c>
      <c r="AN6506">
        <v>1.0000000057134899</v>
      </c>
    </row>
    <row r="6507" spans="1:40" x14ac:dyDescent="0.25">
      <c r="A6507" t="str">
        <f>"20190312154052637"</f>
        <v>20190312154052637</v>
      </c>
      <c r="B6507" t="str">
        <f>"1552376452633110"</f>
        <v>1552376452633110</v>
      </c>
      <c r="C6507" t="s">
        <v>40</v>
      </c>
      <c r="D6507">
        <v>3.951295</v>
      </c>
      <c r="E6507">
        <v>0.37728719999999999</v>
      </c>
      <c r="F6507" t="s">
        <v>42</v>
      </c>
      <c r="G6507">
        <v>-399.8381</v>
      </c>
      <c r="H6507" s="1">
        <v>-2.3423610000000002E-6</v>
      </c>
      <c r="I6507">
        <v>130.9674</v>
      </c>
      <c r="J6507">
        <v>-385.84500000000003</v>
      </c>
      <c r="K6507">
        <v>1.112026</v>
      </c>
      <c r="L6507">
        <v>138.5266</v>
      </c>
      <c r="M6507">
        <v>-0.98684090000000002</v>
      </c>
      <c r="N6507">
        <v>0</v>
      </c>
      <c r="O6507">
        <v>-0.16100400000000001</v>
      </c>
      <c r="P6507">
        <v>-0.97835680000000003</v>
      </c>
      <c r="Q6507">
        <v>0.1168703</v>
      </c>
      <c r="R6507">
        <v>-0.17076179999999999</v>
      </c>
      <c r="S6507">
        <v>-2.8297729999999999</v>
      </c>
      <c r="T6507">
        <v>-0.22144340000000001</v>
      </c>
      <c r="U6507">
        <v>-1.5126500000000001</v>
      </c>
      <c r="V6507">
        <v>-1.130577E-2</v>
      </c>
      <c r="W6507">
        <v>0.13165460000000001</v>
      </c>
      <c r="X6507">
        <v>0.99123110000000003</v>
      </c>
      <c r="Y6507">
        <v>-0.32288430000000001</v>
      </c>
      <c r="Z6507">
        <v>-1.859888E-4</v>
      </c>
      <c r="AA6507">
        <v>0.94643840000000001</v>
      </c>
      <c r="AB6507">
        <v>22</v>
      </c>
      <c r="AC6507">
        <v>-13.993099999999901</v>
      </c>
      <c r="AD6507">
        <v>-1.112028342361</v>
      </c>
      <c r="AE6507">
        <v>-7.5591999999999997</v>
      </c>
      <c r="AF6507">
        <v>-5.18202889924759</v>
      </c>
      <c r="AG6507">
        <v>-1.112028342361</v>
      </c>
      <c r="AH6507">
        <v>14.9545890495084</v>
      </c>
      <c r="AI6507">
        <v>94.019087122608894</v>
      </c>
      <c r="AJ6507">
        <v>109.112103420869</v>
      </c>
      <c r="AK6507">
        <v>15.865993955202701</v>
      </c>
      <c r="AL6507">
        <v>82.434783628722599</v>
      </c>
      <c r="AM6507">
        <v>90.653475074906893</v>
      </c>
      <c r="AN6507">
        <v>0.99999992387182801</v>
      </c>
    </row>
    <row r="6508" spans="1:40" x14ac:dyDescent="0.25">
      <c r="A6508" t="str">
        <f>"20190312154052659"</f>
        <v>20190312154052659</v>
      </c>
      <c r="B6508" t="str">
        <f>"1552376452652630"</f>
        <v>1552376452652630</v>
      </c>
      <c r="C6508" t="s">
        <v>40</v>
      </c>
      <c r="D6508">
        <v>3.9967779999999999</v>
      </c>
      <c r="E6508">
        <v>0.37701590000000001</v>
      </c>
      <c r="F6508" t="s">
        <v>55</v>
      </c>
      <c r="G6508">
        <v>-400.48880000000003</v>
      </c>
      <c r="H6508" s="1">
        <v>-8.9827209999999995E-7</v>
      </c>
      <c r="I6508">
        <v>130.65450000000001</v>
      </c>
      <c r="J6508">
        <v>-386.05529999999999</v>
      </c>
      <c r="K6508">
        <v>1.112018</v>
      </c>
      <c r="L6508">
        <v>138.49029999999999</v>
      </c>
      <c r="M6508">
        <v>-0.98657479999999997</v>
      </c>
      <c r="N6508">
        <v>0</v>
      </c>
      <c r="O6508">
        <v>-0.16264300000000001</v>
      </c>
      <c r="P6508">
        <v>-0.97787670000000004</v>
      </c>
      <c r="Q6508">
        <v>0.11861819999999999</v>
      </c>
      <c r="R6508">
        <v>-0.1722996</v>
      </c>
      <c r="S6508">
        <v>-2.8267519999999999</v>
      </c>
      <c r="T6508">
        <v>-0.21465890000000001</v>
      </c>
      <c r="U6508">
        <v>-1.519577</v>
      </c>
      <c r="V6508">
        <v>-1.1254709999999999E-2</v>
      </c>
      <c r="W6508">
        <v>0.13322609999999999</v>
      </c>
      <c r="X6508">
        <v>0.99102179999999995</v>
      </c>
      <c r="Y6508">
        <v>-0.32355929999999999</v>
      </c>
      <c r="Z6508" s="1">
        <v>-9.1955070000000001E-5</v>
      </c>
      <c r="AA6508">
        <v>0.94620789999999999</v>
      </c>
      <c r="AB6508">
        <v>22</v>
      </c>
      <c r="AC6508">
        <v>-14.4335</v>
      </c>
      <c r="AD6508">
        <v>-1.1120188982721</v>
      </c>
      <c r="AE6508">
        <v>-7.8357999999999697</v>
      </c>
      <c r="AF6508">
        <v>-5.35911095211193</v>
      </c>
      <c r="AG6508">
        <v>-1.1120188982721</v>
      </c>
      <c r="AH6508">
        <v>15.445042765876</v>
      </c>
      <c r="AI6508">
        <v>93.8912731527994</v>
      </c>
      <c r="AJ6508">
        <v>109.13571834157101</v>
      </c>
      <c r="AK6508">
        <v>16.386152759781599</v>
      </c>
      <c r="AL6508">
        <v>82.343943934874503</v>
      </c>
      <c r="AM6508">
        <v>90.650661430392205</v>
      </c>
      <c r="AN6508">
        <v>1.0000000351468099</v>
      </c>
    </row>
    <row r="6509" spans="1:40" x14ac:dyDescent="0.25">
      <c r="A6509" t="str">
        <f>"20190312154052680"</f>
        <v>20190312154052680</v>
      </c>
      <c r="B6509" t="str">
        <f>"1552376452673127"</f>
        <v>1552376452673127</v>
      </c>
      <c r="C6509" t="s">
        <v>40</v>
      </c>
      <c r="D6509">
        <v>4.0553730000000003</v>
      </c>
      <c r="E6509">
        <v>0.3771584</v>
      </c>
      <c r="F6509" t="s">
        <v>55</v>
      </c>
      <c r="G6509">
        <v>-401.3723</v>
      </c>
      <c r="H6509" s="1">
        <v>-1.1669969999999999E-6</v>
      </c>
      <c r="I6509">
        <v>130.21129999999999</v>
      </c>
      <c r="J6509">
        <v>-386.26319999999998</v>
      </c>
      <c r="K6509">
        <v>1.1120129999999999</v>
      </c>
      <c r="L6509">
        <v>138.45400000000001</v>
      </c>
      <c r="M6509">
        <v>-0.98630859999999998</v>
      </c>
      <c r="N6509">
        <v>0</v>
      </c>
      <c r="O6509">
        <v>-0.1642632</v>
      </c>
      <c r="P6509">
        <v>-0.97752550000000005</v>
      </c>
      <c r="Q6509">
        <v>0.1196767</v>
      </c>
      <c r="R6509">
        <v>-0.17355509999999999</v>
      </c>
      <c r="S6509">
        <v>-2.8238219999999998</v>
      </c>
      <c r="T6509">
        <v>-0.20501040000000001</v>
      </c>
      <c r="U6509">
        <v>-1.5262910000000001</v>
      </c>
      <c r="V6509">
        <v>-1.092257E-2</v>
      </c>
      <c r="W6509">
        <v>0.13413439999999999</v>
      </c>
      <c r="X6509">
        <v>0.99090299999999998</v>
      </c>
      <c r="Y6509">
        <v>-0.3241908</v>
      </c>
      <c r="Z6509" s="1">
        <v>-3.1935049999999999E-6</v>
      </c>
      <c r="AA6509">
        <v>0.94599169999999999</v>
      </c>
      <c r="AB6509">
        <v>22</v>
      </c>
      <c r="AC6509">
        <v>-15.1091</v>
      </c>
      <c r="AD6509">
        <v>-1.1120141669969901</v>
      </c>
      <c r="AE6509">
        <v>-8.2427000000000099</v>
      </c>
      <c r="AF6509">
        <v>-5.6250967290461498</v>
      </c>
      <c r="AG6509">
        <v>-1.1120141669969901</v>
      </c>
      <c r="AH6509">
        <v>16.190353364866802</v>
      </c>
      <c r="AI6509">
        <v>93.712115882434702</v>
      </c>
      <c r="AJ6509">
        <v>109.159020459668</v>
      </c>
      <c r="AK6509">
        <v>17.175733777570699</v>
      </c>
      <c r="AL6509">
        <v>82.291430944507397</v>
      </c>
      <c r="AM6509">
        <v>90.631536909304302</v>
      </c>
      <c r="AN6509">
        <v>1.0000000476038799</v>
      </c>
    </row>
    <row r="6510" spans="1:40" x14ac:dyDescent="0.25">
      <c r="A6510" t="str">
        <f>"20190312154052702"</f>
        <v>20190312154052702</v>
      </c>
      <c r="B6510" t="str">
        <f>"1552376452692646"</f>
        <v>1552376452692646</v>
      </c>
      <c r="C6510" t="s">
        <v>40</v>
      </c>
      <c r="D6510">
        <v>3.912947</v>
      </c>
      <c r="E6510">
        <v>0.373199</v>
      </c>
      <c r="F6510" t="s">
        <v>55</v>
      </c>
      <c r="G6510">
        <v>-401.8048</v>
      </c>
      <c r="H6510" s="1">
        <v>-1.319546E-6</v>
      </c>
      <c r="I6510">
        <v>130.03399999999999</v>
      </c>
      <c r="J6510">
        <v>-386.47410000000002</v>
      </c>
      <c r="K6510">
        <v>1.1119950000000001</v>
      </c>
      <c r="L6510">
        <v>138.4169</v>
      </c>
      <c r="M6510">
        <v>-0.9860352</v>
      </c>
      <c r="N6510">
        <v>0</v>
      </c>
      <c r="O6510">
        <v>-0.1659071</v>
      </c>
      <c r="P6510">
        <v>-0.97721409999999997</v>
      </c>
      <c r="Q6510">
        <v>0.1197033</v>
      </c>
      <c r="R6510">
        <v>-0.1752811</v>
      </c>
      <c r="S6510">
        <v>-2.822235</v>
      </c>
      <c r="T6510">
        <v>-0.20193340000000001</v>
      </c>
      <c r="U6510">
        <v>-1.529007</v>
      </c>
      <c r="V6510">
        <v>-1.1021E-2</v>
      </c>
      <c r="W6510">
        <v>0.13402849999999999</v>
      </c>
      <c r="X6510">
        <v>0.99091620000000002</v>
      </c>
      <c r="Y6510">
        <v>-0.32355469999999997</v>
      </c>
      <c r="Z6510">
        <v>1.2445920000000001E-4</v>
      </c>
      <c r="AA6510">
        <v>0.94620939999999998</v>
      </c>
      <c r="AB6510">
        <v>22</v>
      </c>
      <c r="AC6510">
        <v>-15.330699999999901</v>
      </c>
      <c r="AD6510">
        <v>-1.1119963195460001</v>
      </c>
      <c r="AE6510">
        <v>-8.3828999999999994</v>
      </c>
      <c r="AF6510">
        <v>-5.6998762130504801</v>
      </c>
      <c r="AG6510">
        <v>-1.1119963195460001</v>
      </c>
      <c r="AH6510">
        <v>16.4425259100666</v>
      </c>
      <c r="AI6510">
        <v>93.656163095112205</v>
      </c>
      <c r="AJ6510">
        <v>109.119105929865</v>
      </c>
      <c r="AK6510">
        <v>17.4379409037304</v>
      </c>
      <c r="AL6510">
        <v>82.297553550943405</v>
      </c>
      <c r="AM6510">
        <v>90.637219122031496</v>
      </c>
      <c r="AN6510">
        <v>1.00000000833784</v>
      </c>
    </row>
    <row r="6511" spans="1:40" x14ac:dyDescent="0.25">
      <c r="A6511" t="str">
        <f>"20190312154052724"</f>
        <v>20190312154052724</v>
      </c>
      <c r="B6511" t="str">
        <f>"1552376452713142"</f>
        <v>1552376452713142</v>
      </c>
      <c r="C6511" t="s">
        <v>40</v>
      </c>
      <c r="D6511">
        <v>4.0845289999999999</v>
      </c>
      <c r="E6511">
        <v>0.3741331</v>
      </c>
      <c r="F6511" t="s">
        <v>55</v>
      </c>
      <c r="G6511">
        <v>-403.65499999999997</v>
      </c>
      <c r="H6511">
        <v>7.9987030000000001E-2</v>
      </c>
      <c r="I6511">
        <v>128.86600000000001</v>
      </c>
      <c r="J6511">
        <v>-386.68419999999998</v>
      </c>
      <c r="K6511">
        <v>1.1119870000000001</v>
      </c>
      <c r="L6511">
        <v>138.37950000000001</v>
      </c>
      <c r="M6511">
        <v>-0.98575939999999995</v>
      </c>
      <c r="N6511">
        <v>0</v>
      </c>
      <c r="O6511">
        <v>-0.16754959999999999</v>
      </c>
      <c r="P6511">
        <v>-0.97697100000000003</v>
      </c>
      <c r="Q6511">
        <v>0.1193896</v>
      </c>
      <c r="R6511">
        <v>-0.17684439999999901</v>
      </c>
      <c r="S6511">
        <v>-2.8103940000000001</v>
      </c>
      <c r="T6511">
        <v>-0.16881260000000001</v>
      </c>
      <c r="U6511">
        <v>-1.5623020000000001</v>
      </c>
      <c r="V6511">
        <v>-1.094793E-2</v>
      </c>
      <c r="W6511">
        <v>0.13360179999999999</v>
      </c>
      <c r="X6511">
        <v>0.99097460000000004</v>
      </c>
      <c r="Y6511">
        <v>-0.33232220000000001</v>
      </c>
      <c r="Z6511" s="1">
        <v>-5.4357570000000001E-5</v>
      </c>
      <c r="AA6511">
        <v>0.94316599999999995</v>
      </c>
      <c r="AB6511">
        <v>22</v>
      </c>
      <c r="AC6511">
        <v>-16.970799999999901</v>
      </c>
      <c r="AD6511">
        <v>-1.03199997</v>
      </c>
      <c r="AE6511">
        <v>-9.5134999999999899</v>
      </c>
      <c r="AF6511">
        <v>-6.51690638303414</v>
      </c>
      <c r="AG6511">
        <v>-1.03199997</v>
      </c>
      <c r="AH6511">
        <v>18.2735758555547</v>
      </c>
      <c r="AI6511">
        <v>93.044893164518896</v>
      </c>
      <c r="AJ6511">
        <v>109.627762173176</v>
      </c>
      <c r="AK6511">
        <v>19.428295532342101</v>
      </c>
      <c r="AL6511">
        <v>82.322223299835798</v>
      </c>
      <c r="AM6511">
        <v>90.632957359110094</v>
      </c>
      <c r="AN6511">
        <v>0.99999997798984197</v>
      </c>
    </row>
    <row r="6512" spans="1:40" x14ac:dyDescent="0.25">
      <c r="A6512" t="str">
        <f>"20190312154052747"</f>
        <v>20190312154052747</v>
      </c>
      <c r="B6512" t="str">
        <f>"1552376452742422"</f>
        <v>1552376452742422</v>
      </c>
      <c r="C6512" t="s">
        <v>40</v>
      </c>
      <c r="D6512">
        <v>4.011336</v>
      </c>
      <c r="E6512">
        <v>0.37499199999999999</v>
      </c>
      <c r="F6512" t="s">
        <v>55</v>
      </c>
      <c r="G6512">
        <v>-403.12959999999998</v>
      </c>
      <c r="H6512">
        <v>7.9987020000000006E-2</v>
      </c>
      <c r="I6512">
        <v>129.2482</v>
      </c>
      <c r="J6512">
        <v>-386.89550000000003</v>
      </c>
      <c r="K6512">
        <v>1.1119859999999999</v>
      </c>
      <c r="L6512">
        <v>138.3416</v>
      </c>
      <c r="M6512">
        <v>-0.98547700000000005</v>
      </c>
      <c r="N6512">
        <v>0</v>
      </c>
      <c r="O6512">
        <v>-0.1692092</v>
      </c>
      <c r="P6512">
        <v>-0.97681830000000003</v>
      </c>
      <c r="Q6512">
        <v>0.1192781</v>
      </c>
      <c r="R6512">
        <v>-0.1777599</v>
      </c>
      <c r="S6512">
        <v>-2.8098749999999999</v>
      </c>
      <c r="T6512">
        <v>-0.1763285</v>
      </c>
      <c r="U6512">
        <v>-1.5601959999999999</v>
      </c>
      <c r="V6512">
        <v>-1.020539E-2</v>
      </c>
      <c r="W6512">
        <v>0.13339200000000001</v>
      </c>
      <c r="X6512">
        <v>0.99101079999999997</v>
      </c>
      <c r="Y6512">
        <v>-0.330252299999999</v>
      </c>
      <c r="Z6512" s="1">
        <v>9.782705E-5</v>
      </c>
      <c r="AA6512">
        <v>0.94389270000000003</v>
      </c>
      <c r="AB6512">
        <v>22</v>
      </c>
      <c r="AC6512">
        <v>-16.234099999999899</v>
      </c>
      <c r="AD6512">
        <v>-1.03199898</v>
      </c>
      <c r="AE6512">
        <v>-9.0934000000000008</v>
      </c>
      <c r="AF6512">
        <v>-6.1959506089631997</v>
      </c>
      <c r="AG6512">
        <v>-1.03199898</v>
      </c>
      <c r="AH6512">
        <v>17.485018344342802</v>
      </c>
      <c r="AI6512">
        <v>93.184213906947605</v>
      </c>
      <c r="AJ6512">
        <v>109.512172614089</v>
      </c>
      <c r="AK6512">
        <v>18.5790390587198</v>
      </c>
      <c r="AL6512">
        <v>82.3343526184116</v>
      </c>
      <c r="AM6512">
        <v>90.590008814168201</v>
      </c>
      <c r="AN6512">
        <v>0.99999999068284595</v>
      </c>
    </row>
    <row r="6513" spans="1:40" x14ac:dyDescent="0.25">
      <c r="A6513" t="str">
        <f>"20190312154052770"</f>
        <v>20190312154052770</v>
      </c>
      <c r="B6513" t="str">
        <f>"1552376452762922"</f>
        <v>1552376452762922</v>
      </c>
      <c r="C6513" t="s">
        <v>40</v>
      </c>
      <c r="D6513">
        <v>4.0564830000000001</v>
      </c>
      <c r="E6513">
        <v>0.3952832</v>
      </c>
      <c r="F6513" t="s">
        <v>55</v>
      </c>
      <c r="G6513">
        <v>-402.94929999999999</v>
      </c>
      <c r="H6513">
        <v>7.9987009999999997E-2</v>
      </c>
      <c r="I6513">
        <v>129.4494</v>
      </c>
      <c r="J6513">
        <v>-387.11160000000001</v>
      </c>
      <c r="K6513">
        <v>1.1119810000000001</v>
      </c>
      <c r="L6513">
        <v>138.30240000000001</v>
      </c>
      <c r="M6513">
        <v>-0.98518289999999997</v>
      </c>
      <c r="N6513">
        <v>0</v>
      </c>
      <c r="O6513">
        <v>-0.1709215</v>
      </c>
      <c r="P6513">
        <v>-0.97658920000000005</v>
      </c>
      <c r="Q6513">
        <v>0.11913990000000001</v>
      </c>
      <c r="R6513">
        <v>-0.1791075</v>
      </c>
      <c r="S6513">
        <v>-2.810028</v>
      </c>
      <c r="T6513">
        <v>-0.18063860000000001</v>
      </c>
      <c r="U6513">
        <v>-1.556473</v>
      </c>
      <c r="V6513">
        <v>-9.8489189999999994E-3</v>
      </c>
      <c r="W6513">
        <v>0.13316610000000001</v>
      </c>
      <c r="X6513">
        <v>0.99104479999999995</v>
      </c>
      <c r="Y6513">
        <v>-0.32762770000000002</v>
      </c>
      <c r="Z6513">
        <v>2.784412E-4</v>
      </c>
      <c r="AA6513">
        <v>0.94480690000000001</v>
      </c>
      <c r="AB6513">
        <v>21</v>
      </c>
      <c r="AC6513">
        <v>-15.8376999999999</v>
      </c>
      <c r="AD6513">
        <v>-1.0319939899999999</v>
      </c>
      <c r="AE6513">
        <v>-8.8529999999999998</v>
      </c>
      <c r="AF6513">
        <v>-5.9960262764263899</v>
      </c>
      <c r="AG6513">
        <v>-1.0319939899999999</v>
      </c>
      <c r="AH6513">
        <v>17.062716306135599</v>
      </c>
      <c r="AI6513">
        <v>93.265851164222696</v>
      </c>
      <c r="AJ6513">
        <v>109.362036425865</v>
      </c>
      <c r="AK6513">
        <v>18.115011190906301</v>
      </c>
      <c r="AL6513">
        <v>82.347412344631607</v>
      </c>
      <c r="AM6513">
        <v>90.569381843642702</v>
      </c>
      <c r="AN6513">
        <v>1.0000000035008501</v>
      </c>
    </row>
    <row r="6514" spans="1:40" x14ac:dyDescent="0.25">
      <c r="A6514" t="str">
        <f>"20190312154052785"</f>
        <v>20190312154052785</v>
      </c>
      <c r="B6514" t="str">
        <f>"1552376452772679"</f>
        <v>1552376452772679</v>
      </c>
      <c r="C6514" t="s">
        <v>40</v>
      </c>
      <c r="D6514">
        <v>4.0541530000000003</v>
      </c>
      <c r="E6514">
        <v>0.39499590000000001</v>
      </c>
      <c r="F6514" t="s">
        <v>55</v>
      </c>
      <c r="G6514">
        <v>-409.45319999999998</v>
      </c>
      <c r="H6514">
        <v>7.9987290000000003E-2</v>
      </c>
      <c r="I6514">
        <v>127.2778</v>
      </c>
      <c r="J6514">
        <v>-387.2509</v>
      </c>
      <c r="K6514">
        <v>1.1119810000000001</v>
      </c>
      <c r="L6514">
        <v>138.27690000000001</v>
      </c>
      <c r="M6514">
        <v>-0.98498960000000002</v>
      </c>
      <c r="N6514">
        <v>0</v>
      </c>
      <c r="O6514">
        <v>-0.17203669999999999</v>
      </c>
      <c r="P6514">
        <v>-0.9764659</v>
      </c>
      <c r="Q6514">
        <v>0.11876150000000001</v>
      </c>
      <c r="R6514">
        <v>-0.18002950000000001</v>
      </c>
      <c r="S6514">
        <v>-2.831604</v>
      </c>
      <c r="T6514">
        <v>-0.130796</v>
      </c>
      <c r="U6514">
        <v>-1.397278</v>
      </c>
      <c r="V6514">
        <v>-9.6557250000000004E-3</v>
      </c>
      <c r="W6514">
        <v>0.13273840000000001</v>
      </c>
      <c r="X6514">
        <v>0.99110410000000004</v>
      </c>
      <c r="Y6514">
        <v>-0.28153089999999997</v>
      </c>
      <c r="Z6514">
        <v>1.2639000000000001E-3</v>
      </c>
      <c r="AA6514">
        <v>0.9595513</v>
      </c>
      <c r="AB6514">
        <v>21</v>
      </c>
      <c r="AC6514">
        <v>-22.202299999999902</v>
      </c>
      <c r="AD6514">
        <v>-1.0319937099999901</v>
      </c>
      <c r="AE6514">
        <v>-10.9991</v>
      </c>
      <c r="AF6514">
        <v>-7.0029377838015598</v>
      </c>
      <c r="AG6514">
        <v>-1.0319937099999901</v>
      </c>
      <c r="AH6514">
        <v>23.722493467183401</v>
      </c>
      <c r="AI6514">
        <v>92.389152655750607</v>
      </c>
      <c r="AJ6514">
        <v>106.446728628088</v>
      </c>
      <c r="AK6514">
        <v>24.756066830614099</v>
      </c>
      <c r="AL6514">
        <v>82.372137422420806</v>
      </c>
      <c r="AM6514">
        <v>90.558180304605699</v>
      </c>
      <c r="AN6514">
        <v>1.00000002644832</v>
      </c>
    </row>
    <row r="6515" spans="1:40" x14ac:dyDescent="0.25">
      <c r="A6515" t="str">
        <f>"20190312154052810"</f>
        <v>20190312154052810</v>
      </c>
      <c r="B6515" t="str">
        <f>"1552376452802935"</f>
        <v>1552376452802935</v>
      </c>
      <c r="C6515" t="s">
        <v>40</v>
      </c>
      <c r="D6515">
        <v>4.0570120000000003</v>
      </c>
      <c r="E6515">
        <v>0.39540609999999998</v>
      </c>
      <c r="F6515" t="s">
        <v>55</v>
      </c>
      <c r="G6515">
        <v>-409.7627</v>
      </c>
      <c r="H6515">
        <v>7.9987379999999997E-2</v>
      </c>
      <c r="I6515">
        <v>127.1254</v>
      </c>
      <c r="J6515">
        <v>-387.49220000000003</v>
      </c>
      <c r="K6515">
        <v>1.1119749999999999</v>
      </c>
      <c r="L6515">
        <v>138.23240000000001</v>
      </c>
      <c r="M6515">
        <v>-0.98464700000000005</v>
      </c>
      <c r="N6515">
        <v>0</v>
      </c>
      <c r="O6515">
        <v>-0.17399289999999901</v>
      </c>
      <c r="P6515">
        <v>-0.97616899999999995</v>
      </c>
      <c r="Q6515">
        <v>0.1185385</v>
      </c>
      <c r="R6515">
        <v>-0.1817772</v>
      </c>
      <c r="S6515">
        <v>-2.8296510000000001</v>
      </c>
      <c r="T6515">
        <v>-0.12971740000000001</v>
      </c>
      <c r="U6515">
        <v>-1.4017029999999999</v>
      </c>
      <c r="V6515">
        <v>-9.4604540000000001E-3</v>
      </c>
      <c r="W6515">
        <v>0.1324388</v>
      </c>
      <c r="X6515">
        <v>0.99114599999999997</v>
      </c>
      <c r="Y6515">
        <v>-0.28109709999999899</v>
      </c>
      <c r="Z6515">
        <v>1.3450840000000001E-3</v>
      </c>
      <c r="AA6515">
        <v>0.95967840000000004</v>
      </c>
      <c r="AB6515">
        <v>21</v>
      </c>
      <c r="AC6515">
        <v>-22.270499999999899</v>
      </c>
      <c r="AD6515">
        <v>-1.03198762</v>
      </c>
      <c r="AE6515">
        <v>-11.106999999999999</v>
      </c>
      <c r="AF6515">
        <v>-7.0501369637665796</v>
      </c>
      <c r="AG6515">
        <v>-1.03198762</v>
      </c>
      <c r="AH6515">
        <v>23.822503491226701</v>
      </c>
      <c r="AI6515">
        <v>92.378640954827503</v>
      </c>
      <c r="AJ6515">
        <v>106.485825665652</v>
      </c>
      <c r="AK6515">
        <v>24.865258941849099</v>
      </c>
      <c r="AL6515">
        <v>82.389455668527305</v>
      </c>
      <c r="AM6515">
        <v>90.5468696096804</v>
      </c>
      <c r="AN6515">
        <v>0.99999996462566199</v>
      </c>
    </row>
    <row r="6516" spans="1:40" x14ac:dyDescent="0.25">
      <c r="A6516" t="str">
        <f>"20190312154052826"</f>
        <v>20190312154052826</v>
      </c>
      <c r="B6516" t="str">
        <f>"1552376452812694"</f>
        <v>1552376452812694</v>
      </c>
      <c r="C6516" t="s">
        <v>40</v>
      </c>
      <c r="D6516">
        <v>4.0424670000000003</v>
      </c>
      <c r="E6516">
        <v>0.3953333</v>
      </c>
      <c r="F6516" t="s">
        <v>55</v>
      </c>
      <c r="G6516">
        <v>-412.85300000000001</v>
      </c>
      <c r="H6516" s="1">
        <v>-4.5267019999999998E-6</v>
      </c>
      <c r="I6516">
        <v>125.6514</v>
      </c>
      <c r="J6516">
        <v>-387.63319999999999</v>
      </c>
      <c r="K6516">
        <v>1.1119669999999999</v>
      </c>
      <c r="L6516">
        <v>138.20609999999999</v>
      </c>
      <c r="M6516">
        <v>-0.98444219999999905</v>
      </c>
      <c r="N6516">
        <v>0</v>
      </c>
      <c r="O6516">
        <v>-0.17515129999999901</v>
      </c>
      <c r="P6516">
        <v>-0.97607619999999895</v>
      </c>
      <c r="Q6516">
        <v>0.11711969999999999</v>
      </c>
      <c r="R6516">
        <v>-0.18318999999999999</v>
      </c>
      <c r="S6516">
        <v>-2.8270870000000001</v>
      </c>
      <c r="T6516">
        <v>-0.12395780000000001</v>
      </c>
      <c r="U6516">
        <v>-1.402466</v>
      </c>
      <c r="V6516">
        <v>-9.6991290000000008E-3</v>
      </c>
      <c r="W6516">
        <v>0.130982399999999</v>
      </c>
      <c r="X6516">
        <v>0.99133720000000003</v>
      </c>
      <c r="Y6516">
        <v>-0.28053080000000002</v>
      </c>
      <c r="Z6516">
        <v>1.344479E-3</v>
      </c>
      <c r="AA6516">
        <v>0.95984409999999998</v>
      </c>
      <c r="AB6516">
        <v>21</v>
      </c>
      <c r="AC6516">
        <v>-25.219799999999999</v>
      </c>
      <c r="AD6516">
        <v>-1.1119715267019901</v>
      </c>
      <c r="AE6516">
        <v>-12.554699999999899</v>
      </c>
      <c r="AF6516">
        <v>-7.9305171434313397</v>
      </c>
      <c r="AG6516">
        <v>-1.1119715267019901</v>
      </c>
      <c r="AH6516">
        <v>26.987006276332998</v>
      </c>
      <c r="AI6516">
        <v>92.263859009535395</v>
      </c>
      <c r="AJ6516">
        <v>106.37617830641</v>
      </c>
      <c r="AK6516">
        <v>28.150099299954402</v>
      </c>
      <c r="AL6516">
        <v>82.473634514990806</v>
      </c>
      <c r="AM6516">
        <v>90.560557422549905</v>
      </c>
      <c r="AN6516">
        <v>0.99999995315847801</v>
      </c>
    </row>
    <row r="6517" spans="1:40" x14ac:dyDescent="0.25">
      <c r="A6517" t="str">
        <f>"20190312154052848"</f>
        <v>20190312154052848</v>
      </c>
      <c r="B6517" t="str">
        <f>"1552376452842950"</f>
        <v>1552376452842950</v>
      </c>
      <c r="C6517" t="s">
        <v>40</v>
      </c>
      <c r="D6517">
        <v>4.0896720000000002</v>
      </c>
      <c r="E6517">
        <v>0.39529500000000001</v>
      </c>
      <c r="F6517" t="s">
        <v>55</v>
      </c>
      <c r="G6517">
        <v>-411.83929999999998</v>
      </c>
      <c r="H6517" s="1">
        <v>-4.8436690000000001E-6</v>
      </c>
      <c r="I6517">
        <v>126.1579</v>
      </c>
      <c r="J6517">
        <v>-387.83929999999998</v>
      </c>
      <c r="K6517">
        <v>1.111974</v>
      </c>
      <c r="L6517">
        <v>138.16730000000001</v>
      </c>
      <c r="M6517">
        <v>-0.98413709999999999</v>
      </c>
      <c r="N6517">
        <v>0</v>
      </c>
      <c r="O6517">
        <v>-0.17686160000000001</v>
      </c>
      <c r="P6517">
        <v>-0.97576390000000002</v>
      </c>
      <c r="Q6517">
        <v>0.1158851</v>
      </c>
      <c r="R6517">
        <v>-0.18562329999999999</v>
      </c>
      <c r="S6517">
        <v>-2.8251949999999999</v>
      </c>
      <c r="T6517">
        <v>-0.12978329999999999</v>
      </c>
      <c r="U6517">
        <v>-1.406204</v>
      </c>
      <c r="V6517">
        <v>-1.0424610000000001E-2</v>
      </c>
      <c r="W6517">
        <v>0.12969649999999999</v>
      </c>
      <c r="X6517">
        <v>0.99149889999999996</v>
      </c>
      <c r="Y6517">
        <v>-0.28013139999999997</v>
      </c>
      <c r="Z6517">
        <v>1.4883279999999999E-3</v>
      </c>
      <c r="AA6517">
        <v>0.95996049999999999</v>
      </c>
      <c r="AB6517">
        <v>21</v>
      </c>
      <c r="AC6517">
        <v>-24</v>
      </c>
      <c r="AD6517">
        <v>-1.1119788436689999</v>
      </c>
      <c r="AE6517">
        <v>-12.009399999999999</v>
      </c>
      <c r="AF6517">
        <v>-7.5619705033480997</v>
      </c>
      <c r="AG6517">
        <v>-1.1119788436689999</v>
      </c>
      <c r="AH6517">
        <v>25.7016662990047</v>
      </c>
      <c r="AI6517">
        <v>92.376734201338806</v>
      </c>
      <c r="AJ6517">
        <v>106.39499151138401</v>
      </c>
      <c r="AK6517">
        <v>26.814092290951599</v>
      </c>
      <c r="AL6517">
        <v>82.547945142043801</v>
      </c>
      <c r="AM6517">
        <v>90.602385084572504</v>
      </c>
      <c r="AN6517">
        <v>0.99999996165355498</v>
      </c>
    </row>
    <row r="6518" spans="1:40" x14ac:dyDescent="0.25">
      <c r="A6518" t="str">
        <f>"20190312154052871"</f>
        <v>20190312154052871</v>
      </c>
      <c r="B6518" t="str">
        <f>"1552376452862471"</f>
        <v>1552376452862471</v>
      </c>
      <c r="C6518" t="s">
        <v>40</v>
      </c>
      <c r="D6518">
        <v>4.1147400000000003</v>
      </c>
      <c r="E6518">
        <v>0.39540619999999999</v>
      </c>
      <c r="F6518" t="s">
        <v>55</v>
      </c>
      <c r="G6518">
        <v>-409.03930000000003</v>
      </c>
      <c r="H6518">
        <v>7.9987320000000001E-2</v>
      </c>
      <c r="I6518">
        <v>127.55289999999999</v>
      </c>
      <c r="J6518">
        <v>-388.04910000000001</v>
      </c>
      <c r="K6518">
        <v>1.1119730000000001</v>
      </c>
      <c r="L6518">
        <v>138.1275</v>
      </c>
      <c r="M6518">
        <v>-0.98381969999999996</v>
      </c>
      <c r="N6518">
        <v>0</v>
      </c>
      <c r="O6518">
        <v>-0.17862140000000001</v>
      </c>
      <c r="P6518">
        <v>-0.97527960000000002</v>
      </c>
      <c r="Q6518">
        <v>0.11471580000000001</v>
      </c>
      <c r="R6518">
        <v>-0.18886559999999999</v>
      </c>
      <c r="S6518">
        <v>-2.8220519999999998</v>
      </c>
      <c r="T6518">
        <v>-0.13737360000000001</v>
      </c>
      <c r="U6518">
        <v>-1.412949</v>
      </c>
      <c r="V6518">
        <v>-1.192476E-2</v>
      </c>
      <c r="W6518">
        <v>0.12848029999999999</v>
      </c>
      <c r="X6518">
        <v>0.99164039999999998</v>
      </c>
      <c r="Y6518">
        <v>-0.28066790000000003</v>
      </c>
      <c r="Z6518">
        <v>1.6415259999999999E-3</v>
      </c>
      <c r="AA6518">
        <v>0.95980350000000003</v>
      </c>
      <c r="AB6518">
        <v>21</v>
      </c>
      <c r="AC6518">
        <v>-20.990200000000002</v>
      </c>
      <c r="AD6518">
        <v>-1.03198567999999</v>
      </c>
      <c r="AE6518">
        <v>-10.5746</v>
      </c>
      <c r="AF6518">
        <v>-6.6420385468632599</v>
      </c>
      <c r="AG6518">
        <v>-1.03198567999999</v>
      </c>
      <c r="AH6518">
        <v>22.498225265086798</v>
      </c>
      <c r="AI6518">
        <v>92.518963150308494</v>
      </c>
      <c r="AJ6518">
        <v>106.447917963119</v>
      </c>
      <c r="AK6518">
        <v>23.480881810109501</v>
      </c>
      <c r="AL6518">
        <v>82.618216773816897</v>
      </c>
      <c r="AM6518">
        <v>90.688964960241293</v>
      </c>
      <c r="AN6518">
        <v>1.0000000351506499</v>
      </c>
    </row>
    <row r="6519" spans="1:40" x14ac:dyDescent="0.25">
      <c r="A6519" t="str">
        <f>"20190312154052892"</f>
        <v>20190312154052892</v>
      </c>
      <c r="B6519" t="str">
        <f>"1552376452882967"</f>
        <v>1552376452882967</v>
      </c>
      <c r="C6519" t="s">
        <v>40</v>
      </c>
      <c r="D6519">
        <v>4.1491369999999996</v>
      </c>
      <c r="E6519">
        <v>0.41190199999999999</v>
      </c>
      <c r="F6519" t="s">
        <v>55</v>
      </c>
      <c r="G6519">
        <v>-408.60320000000002</v>
      </c>
      <c r="H6519">
        <v>7.9987240000000001E-2</v>
      </c>
      <c r="I6519">
        <v>127.7641</v>
      </c>
      <c r="J6519">
        <v>-388.25360000000001</v>
      </c>
      <c r="K6519">
        <v>1.1119680000000001</v>
      </c>
      <c r="L6519">
        <v>138.0883</v>
      </c>
      <c r="M6519">
        <v>-0.98350470000000001</v>
      </c>
      <c r="N6519">
        <v>0</v>
      </c>
      <c r="O6519">
        <v>-0.18035180000000001</v>
      </c>
      <c r="P6519">
        <v>-0.97473569999999998</v>
      </c>
      <c r="Q6519">
        <v>0.1135945</v>
      </c>
      <c r="R6519">
        <v>-0.1923195</v>
      </c>
      <c r="S6519">
        <v>-2.817596</v>
      </c>
      <c r="T6519">
        <v>-0.14146639999999999</v>
      </c>
      <c r="U6519">
        <v>-1.420639</v>
      </c>
      <c r="V6519">
        <v>-1.3671630000000001E-2</v>
      </c>
      <c r="W6519">
        <v>0.1273174</v>
      </c>
      <c r="X6519">
        <v>0.99176779999999998</v>
      </c>
      <c r="Y6519">
        <v>-0.2816727</v>
      </c>
      <c r="Z6519">
        <v>1.746683E-3</v>
      </c>
      <c r="AA6519">
        <v>0.95950899999999995</v>
      </c>
      <c r="AB6519">
        <v>21</v>
      </c>
      <c r="AC6519">
        <v>-20.349599999999999</v>
      </c>
      <c r="AD6519">
        <v>-1.0319807599999999</v>
      </c>
      <c r="AE6519">
        <v>-10.324199999999999</v>
      </c>
      <c r="AF6519">
        <v>-6.47119828710942</v>
      </c>
      <c r="AG6519">
        <v>-1.0319807599999999</v>
      </c>
      <c r="AH6519">
        <v>21.833356747200199</v>
      </c>
      <c r="AI6519">
        <v>92.594733245983207</v>
      </c>
      <c r="AJ6519">
        <v>106.509320138196</v>
      </c>
      <c r="AK6519">
        <v>22.7955447052842</v>
      </c>
      <c r="AL6519">
        <v>82.685397532698303</v>
      </c>
      <c r="AM6519">
        <v>90.789778701605101</v>
      </c>
      <c r="AN6519">
        <v>1.00000000146322</v>
      </c>
    </row>
    <row r="6520" spans="1:40" x14ac:dyDescent="0.25">
      <c r="A6520" t="str">
        <f>"20190312154052915"</f>
        <v>20190312154052915</v>
      </c>
      <c r="B6520" t="str">
        <f>"1552376452902486"</f>
        <v>1552376452902486</v>
      </c>
      <c r="C6520" t="s">
        <v>40</v>
      </c>
      <c r="D6520">
        <v>4.1214309999999896</v>
      </c>
      <c r="E6520">
        <v>0.41773339999999998</v>
      </c>
      <c r="F6520" t="s">
        <v>55</v>
      </c>
      <c r="G6520">
        <v>-406.84930000000003</v>
      </c>
      <c r="H6520">
        <v>5.0667179999999999E-2</v>
      </c>
      <c r="I6520">
        <v>129.5643</v>
      </c>
      <c r="J6520">
        <v>-388.45830000000001</v>
      </c>
      <c r="K6520">
        <v>1.1119479999999999</v>
      </c>
      <c r="L6520">
        <v>138.04859999999999</v>
      </c>
      <c r="M6520">
        <v>-0.98318450000000002</v>
      </c>
      <c r="N6520">
        <v>0</v>
      </c>
      <c r="O6520">
        <v>-0.18209120000000001</v>
      </c>
      <c r="P6520">
        <v>-0.97403919999999999</v>
      </c>
      <c r="Q6520">
        <v>0.1132117</v>
      </c>
      <c r="R6520">
        <v>-0.19603799999999999</v>
      </c>
      <c r="S6520">
        <v>-2.839874</v>
      </c>
      <c r="T6520">
        <v>-0.162078</v>
      </c>
      <c r="U6520">
        <v>-1.3017430000000001</v>
      </c>
      <c r="V6520">
        <v>-1.5696040000000001E-2</v>
      </c>
      <c r="W6520">
        <v>0.12689600000000001</v>
      </c>
      <c r="X6520">
        <v>0.9917918</v>
      </c>
      <c r="Y6520">
        <v>-0.244093</v>
      </c>
      <c r="Z6520">
        <v>3.1242560000000002E-3</v>
      </c>
      <c r="AA6520">
        <v>0.96974680000000002</v>
      </c>
      <c r="AB6520">
        <v>21</v>
      </c>
      <c r="AC6520">
        <v>-18.390999999999998</v>
      </c>
      <c r="AD6520">
        <v>-1.0612808199999999</v>
      </c>
      <c r="AE6520">
        <v>-8.4842999999999904</v>
      </c>
      <c r="AF6520">
        <v>-4.9795975110068298</v>
      </c>
      <c r="AG6520">
        <v>-1.0612808199999999</v>
      </c>
      <c r="AH6520">
        <v>19.57479108127</v>
      </c>
      <c r="AI6520">
        <v>93.007739811725401</v>
      </c>
      <c r="AJ6520">
        <v>104.272638177323</v>
      </c>
      <c r="AK6520">
        <v>20.226100816170501</v>
      </c>
      <c r="AL6520">
        <v>82.709739161280993</v>
      </c>
      <c r="AM6520">
        <v>90.906684021028198</v>
      </c>
      <c r="AN6520">
        <v>0.99999996751746001</v>
      </c>
    </row>
    <row r="6521" spans="1:40" x14ac:dyDescent="0.25">
      <c r="A6521" t="str">
        <f>"20190312154052938"</f>
        <v>20190312154052938</v>
      </c>
      <c r="B6521" t="str">
        <f>"1552376452932746"</f>
        <v>1552376452932746</v>
      </c>
      <c r="C6521" t="s">
        <v>40</v>
      </c>
      <c r="D6521">
        <v>4.0647679999999999</v>
      </c>
      <c r="E6521">
        <v>0.421294</v>
      </c>
      <c r="F6521" t="s">
        <v>55</v>
      </c>
      <c r="G6521">
        <v>-407.35419999999999</v>
      </c>
      <c r="H6521" s="1">
        <v>-4.5383789999999997E-6</v>
      </c>
      <c r="I6521">
        <v>129.63380000000001</v>
      </c>
      <c r="J6521">
        <v>-388.67180000000002</v>
      </c>
      <c r="K6521">
        <v>1.111931</v>
      </c>
      <c r="L6521">
        <v>138.0069</v>
      </c>
      <c r="M6521">
        <v>-0.98284680000000002</v>
      </c>
      <c r="N6521">
        <v>0</v>
      </c>
      <c r="O6521">
        <v>-0.1839083</v>
      </c>
      <c r="P6521">
        <v>-0.97317120000000001</v>
      </c>
      <c r="Q6521">
        <v>0.1135391</v>
      </c>
      <c r="R6521">
        <v>-0.20011799999999999</v>
      </c>
      <c r="S6521">
        <v>-2.8444820000000002</v>
      </c>
      <c r="T6521">
        <v>-0.16738710000000001</v>
      </c>
      <c r="U6521">
        <v>-1.266724</v>
      </c>
      <c r="V6521">
        <v>-1.8029670000000001E-2</v>
      </c>
      <c r="W6521">
        <v>0.12718599999999999</v>
      </c>
      <c r="X6521">
        <v>0.99171500000000001</v>
      </c>
      <c r="Y6521">
        <v>-0.23178270000000001</v>
      </c>
      <c r="Z6521">
        <v>3.6763659999999999E-3</v>
      </c>
      <c r="AA6521">
        <v>0.97276059999999998</v>
      </c>
      <c r="AB6521">
        <v>21</v>
      </c>
      <c r="AC6521">
        <v>-18.682399999999902</v>
      </c>
      <c r="AD6521">
        <v>-1.1119355383789999</v>
      </c>
      <c r="AE6521">
        <v>-8.3730999999999902</v>
      </c>
      <c r="AF6521">
        <v>-4.77998114474949</v>
      </c>
      <c r="AG6521">
        <v>-1.1119355383789999</v>
      </c>
      <c r="AH6521">
        <v>19.845169463559301</v>
      </c>
      <c r="AI6521">
        <v>93.117973690782705</v>
      </c>
      <c r="AJ6521">
        <v>103.542515840777</v>
      </c>
      <c r="AK6521">
        <v>20.442978535992602</v>
      </c>
      <c r="AL6521">
        <v>82.692987852553998</v>
      </c>
      <c r="AM6521">
        <v>91.041539360422206</v>
      </c>
      <c r="AN6521">
        <v>0.99999999441065401</v>
      </c>
    </row>
    <row r="6522" spans="1:40" x14ac:dyDescent="0.25">
      <c r="A6522" t="str">
        <f>"20190312154052953"</f>
        <v>20190312154052953</v>
      </c>
      <c r="B6522" t="str">
        <f>"1552376452942503"</f>
        <v>1552376452942503</v>
      </c>
      <c r="C6522" t="s">
        <v>40</v>
      </c>
      <c r="D6522">
        <v>4.117165</v>
      </c>
      <c r="E6522">
        <v>0.42191509999999999</v>
      </c>
      <c r="F6522" t="s">
        <v>55</v>
      </c>
      <c r="G6522">
        <v>-407.78660000000002</v>
      </c>
      <c r="H6522" s="1">
        <v>-4.8208030000000004E-6</v>
      </c>
      <c r="I6522">
        <v>129.60249999999999</v>
      </c>
      <c r="J6522">
        <v>-388.81709999999998</v>
      </c>
      <c r="K6522">
        <v>1.11192</v>
      </c>
      <c r="L6522">
        <v>137.97819999999999</v>
      </c>
      <c r="M6522">
        <v>-0.98261509999999996</v>
      </c>
      <c r="N6522">
        <v>0</v>
      </c>
      <c r="O6522">
        <v>-0.18514340000000001</v>
      </c>
      <c r="P6522">
        <v>-0.97279800000000005</v>
      </c>
      <c r="Q6522">
        <v>0.1137073</v>
      </c>
      <c r="R6522">
        <v>-0.2018296</v>
      </c>
      <c r="S6522">
        <v>-2.8448180000000001</v>
      </c>
      <c r="T6522">
        <v>-0.1654871</v>
      </c>
      <c r="U6522">
        <v>-1.2508090000000001</v>
      </c>
      <c r="V6522">
        <v>-1.8531039999999999E-2</v>
      </c>
      <c r="W6522">
        <v>0.127334</v>
      </c>
      <c r="X6522">
        <v>0.99168679999999998</v>
      </c>
      <c r="Y6522">
        <v>-0.2259736</v>
      </c>
      <c r="Z6522">
        <v>3.8671589999999998E-3</v>
      </c>
      <c r="AA6522">
        <v>0.97412569999999998</v>
      </c>
      <c r="AB6522">
        <v>21</v>
      </c>
      <c r="AC6522">
        <v>-18.9695</v>
      </c>
      <c r="AD6522">
        <v>-1.1119248208029999</v>
      </c>
      <c r="AE6522">
        <v>-8.3756999999999895</v>
      </c>
      <c r="AF6522">
        <v>-4.7049303882141604</v>
      </c>
      <c r="AG6522">
        <v>-1.1119248208029999</v>
      </c>
      <c r="AH6522">
        <v>20.134442664566802</v>
      </c>
      <c r="AI6522">
        <v>93.078190876137398</v>
      </c>
      <c r="AJ6522">
        <v>103.15262530555999</v>
      </c>
      <c r="AK6522">
        <v>20.706726640823401</v>
      </c>
      <c r="AL6522">
        <v>82.684438814390106</v>
      </c>
      <c r="AM6522">
        <v>91.070526326332399</v>
      </c>
      <c r="AN6522">
        <v>1.00000002814686</v>
      </c>
    </row>
    <row r="6523" spans="1:40" x14ac:dyDescent="0.25">
      <c r="A6523" t="str">
        <f>"20190312154052970"</f>
        <v>20190312154052970</v>
      </c>
      <c r="B6523" t="str">
        <f>"1552376452963002"</f>
        <v>1552376452963002</v>
      </c>
      <c r="C6523" t="s">
        <v>40</v>
      </c>
      <c r="D6523">
        <v>4.1132470000000003</v>
      </c>
      <c r="E6523">
        <v>0.4227979</v>
      </c>
      <c r="F6523" t="s">
        <v>55</v>
      </c>
      <c r="G6523">
        <v>-407.87209999999999</v>
      </c>
      <c r="H6523" s="1">
        <v>-4.8766519999999998E-6</v>
      </c>
      <c r="I6523">
        <v>129.59479999999999</v>
      </c>
      <c r="J6523">
        <v>-388.9794</v>
      </c>
      <c r="K6523">
        <v>1.111917</v>
      </c>
      <c r="L6523">
        <v>137.94589999999999</v>
      </c>
      <c r="M6523">
        <v>-0.98235490000000003</v>
      </c>
      <c r="N6523">
        <v>0</v>
      </c>
      <c r="O6523">
        <v>-0.18652009999999999</v>
      </c>
      <c r="P6523">
        <v>-0.97219520000000004</v>
      </c>
      <c r="Q6523">
        <v>0.1139739</v>
      </c>
      <c r="R6523">
        <v>-0.2045652</v>
      </c>
      <c r="S6523">
        <v>-2.84375</v>
      </c>
      <c r="T6523">
        <v>-0.16594289999999901</v>
      </c>
      <c r="U6523">
        <v>-1.2511289999999999</v>
      </c>
      <c r="V6523">
        <v>-1.9938609999999999E-2</v>
      </c>
      <c r="W6523">
        <v>0.127578</v>
      </c>
      <c r="X6523">
        <v>0.99162810000000001</v>
      </c>
      <c r="Y6523">
        <v>-0.22483829999999999</v>
      </c>
      <c r="Z6523">
        <v>3.984876E-3</v>
      </c>
      <c r="AA6523">
        <v>0.97438789999999997</v>
      </c>
      <c r="AB6523">
        <v>21</v>
      </c>
      <c r="AC6523">
        <v>-18.892699999999898</v>
      </c>
      <c r="AD6523">
        <v>-1.111921876652</v>
      </c>
      <c r="AE6523">
        <v>-8.3511000000000006</v>
      </c>
      <c r="AF6523">
        <v>-4.6667953545587304</v>
      </c>
      <c r="AG6523">
        <v>-1.111921876652</v>
      </c>
      <c r="AH6523">
        <v>20.0607570037463</v>
      </c>
      <c r="AI6523">
        <v>93.090178455129703</v>
      </c>
      <c r="AJ6523">
        <v>103.095965556998</v>
      </c>
      <c r="AK6523">
        <v>20.6264228770881</v>
      </c>
      <c r="AL6523">
        <v>82.670343417658898</v>
      </c>
      <c r="AM6523">
        <v>91.151887775888895</v>
      </c>
      <c r="AN6523">
        <v>0.99999999148117102</v>
      </c>
    </row>
    <row r="6524" spans="1:40" x14ac:dyDescent="0.25">
      <c r="A6524" t="str">
        <f>"20190312154052988"</f>
        <v>20190312154052988</v>
      </c>
      <c r="B6524" t="str">
        <f>"1552376452982519"</f>
        <v>1552376452982519</v>
      </c>
      <c r="C6524" t="s">
        <v>40</v>
      </c>
      <c r="D6524">
        <v>4.1254210000000002</v>
      </c>
      <c r="E6524">
        <v>0.42342489999999999</v>
      </c>
      <c r="F6524" t="s">
        <v>55</v>
      </c>
      <c r="G6524">
        <v>-408.03680000000003</v>
      </c>
      <c r="H6524" s="1">
        <v>-4.9730639999999997E-6</v>
      </c>
      <c r="I6524">
        <v>129.5444</v>
      </c>
      <c r="J6524">
        <v>-389.13690000000003</v>
      </c>
      <c r="K6524">
        <v>1.111907</v>
      </c>
      <c r="L6524">
        <v>137.9144</v>
      </c>
      <c r="M6524">
        <v>-0.98210120000000001</v>
      </c>
      <c r="N6524">
        <v>0</v>
      </c>
      <c r="O6524">
        <v>-0.18785279999999999</v>
      </c>
      <c r="P6524">
        <v>-0.97187349999999995</v>
      </c>
      <c r="Q6524">
        <v>0.11440160000000001</v>
      </c>
      <c r="R6524">
        <v>-0.20585129999999999</v>
      </c>
      <c r="S6524">
        <v>-2.8416440000000001</v>
      </c>
      <c r="T6524">
        <v>-0.1657981</v>
      </c>
      <c r="U6524">
        <v>-1.2527469999999901</v>
      </c>
      <c r="V6524">
        <v>-1.9914370000000001E-2</v>
      </c>
      <c r="W6524">
        <v>0.12798889999999999</v>
      </c>
      <c r="X6524">
        <v>0.99157569999999995</v>
      </c>
      <c r="Y6524">
        <v>-0.22424949999999999</v>
      </c>
      <c r="Z6524">
        <v>4.0717169999999999E-3</v>
      </c>
      <c r="AA6524">
        <v>0.97452320000000003</v>
      </c>
      <c r="AB6524">
        <v>21</v>
      </c>
      <c r="AC6524">
        <v>-18.899899999999999</v>
      </c>
      <c r="AD6524">
        <v>-1.1119119730639999</v>
      </c>
      <c r="AE6524">
        <v>-8.3699999999999992</v>
      </c>
      <c r="AF6524">
        <v>-4.6567532400527698</v>
      </c>
      <c r="AG6524">
        <v>-1.1119119730639999</v>
      </c>
      <c r="AH6524">
        <v>20.0777430056932</v>
      </c>
      <c r="AI6524">
        <v>93.088015130756801</v>
      </c>
      <c r="AJ6524">
        <v>103.058076370759</v>
      </c>
      <c r="AK6524">
        <v>20.640674969032599</v>
      </c>
      <c r="AL6524">
        <v>82.646606451943896</v>
      </c>
      <c r="AM6524">
        <v>91.150548547434198</v>
      </c>
      <c r="AN6524">
        <v>1.0000000547430901</v>
      </c>
    </row>
    <row r="6525" spans="1:40" x14ac:dyDescent="0.25">
      <c r="A6525" t="str">
        <f>"20190312154053003"</f>
        <v>20190312154053003</v>
      </c>
      <c r="B6525" t="str">
        <f>"1552376452992278"</f>
        <v>1552376452992278</v>
      </c>
      <c r="C6525" t="s">
        <v>40</v>
      </c>
      <c r="D6525">
        <v>4.0864699999999896</v>
      </c>
      <c r="E6525">
        <v>0.4238557</v>
      </c>
      <c r="F6525" t="s">
        <v>55</v>
      </c>
      <c r="G6525">
        <v>-408.13760000000002</v>
      </c>
      <c r="H6525" s="1">
        <v>-5.0412939999999997E-6</v>
      </c>
      <c r="I6525">
        <v>129.5429</v>
      </c>
      <c r="J6525">
        <v>-389.28629999999998</v>
      </c>
      <c r="K6525">
        <v>1.1118969999999999</v>
      </c>
      <c r="L6525">
        <v>137.8844</v>
      </c>
      <c r="M6525">
        <v>-0.98185929999999999</v>
      </c>
      <c r="N6525">
        <v>0</v>
      </c>
      <c r="O6525">
        <v>-0.1891139</v>
      </c>
      <c r="P6525">
        <v>-0.97155659999999999</v>
      </c>
      <c r="Q6525">
        <v>0.1142756</v>
      </c>
      <c r="R6525">
        <v>-0.20741009999999999</v>
      </c>
      <c r="S6525">
        <v>-2.8412480000000002</v>
      </c>
      <c r="T6525">
        <v>-0.16626859999999999</v>
      </c>
      <c r="U6525">
        <v>-1.2518309999999999</v>
      </c>
      <c r="V6525">
        <v>-2.0227749999999999E-2</v>
      </c>
      <c r="W6525">
        <v>0.1278485</v>
      </c>
      <c r="X6525">
        <v>0.99158740000000001</v>
      </c>
      <c r="Y6525">
        <v>-0.2227885</v>
      </c>
      <c r="Z6525">
        <v>4.1930630000000003E-3</v>
      </c>
      <c r="AA6525">
        <v>0.9748578</v>
      </c>
      <c r="AB6525">
        <v>21</v>
      </c>
      <c r="AC6525">
        <v>-18.851299999999998</v>
      </c>
      <c r="AD6525">
        <v>-1.1119020412939999</v>
      </c>
      <c r="AE6525">
        <v>-8.3414999999999893</v>
      </c>
      <c r="AF6525">
        <v>-4.61215360674408</v>
      </c>
      <c r="AG6525">
        <v>-1.1119020412939999</v>
      </c>
      <c r="AH6525">
        <v>20.030433587074601</v>
      </c>
      <c r="AI6525">
        <v>93.096404840736099</v>
      </c>
      <c r="AJ6525">
        <v>102.96676538861</v>
      </c>
      <c r="AK6525">
        <v>20.584619421496299</v>
      </c>
      <c r="AL6525">
        <v>82.654716907994199</v>
      </c>
      <c r="AM6525">
        <v>91.168635243499693</v>
      </c>
      <c r="AN6525">
        <v>0.99999998633053599</v>
      </c>
    </row>
    <row r="6526" spans="1:40" x14ac:dyDescent="0.25">
      <c r="A6526" t="str">
        <f>"20190312154053027"</f>
        <v>20190312154053027</v>
      </c>
      <c r="B6526" t="str">
        <f>"1552376453022534"</f>
        <v>1552376453022534</v>
      </c>
      <c r="C6526" t="s">
        <v>40</v>
      </c>
      <c r="D6526">
        <v>4.1285869999999996</v>
      </c>
      <c r="E6526">
        <v>0.42472149999999997</v>
      </c>
      <c r="F6526" t="s">
        <v>55</v>
      </c>
      <c r="G6526">
        <v>-408.233</v>
      </c>
      <c r="H6526" s="1">
        <v>-5.1005900000000001E-6</v>
      </c>
      <c r="I6526">
        <v>129.52459999999999</v>
      </c>
      <c r="J6526">
        <v>-389.49160000000001</v>
      </c>
      <c r="K6526">
        <v>1.111882</v>
      </c>
      <c r="L6526">
        <v>137.84270000000001</v>
      </c>
      <c r="M6526">
        <v>-0.98152479999999998</v>
      </c>
      <c r="N6526">
        <v>0</v>
      </c>
      <c r="O6526">
        <v>-0.19084370000000001</v>
      </c>
      <c r="P6526">
        <v>-0.97136900000000004</v>
      </c>
      <c r="Q6526">
        <v>0.11348999999999999</v>
      </c>
      <c r="R6526">
        <v>-0.2087165</v>
      </c>
      <c r="S6526">
        <v>-2.8399049999999999</v>
      </c>
      <c r="T6526">
        <v>-0.16666129999999901</v>
      </c>
      <c r="U6526">
        <v>-1.253036</v>
      </c>
      <c r="V6526">
        <v>-1.9791969999999999E-2</v>
      </c>
      <c r="W6526">
        <v>0.1270483</v>
      </c>
      <c r="X6526">
        <v>0.991699</v>
      </c>
      <c r="Y6526">
        <v>-0.22159090000000001</v>
      </c>
      <c r="Z6526">
        <v>4.3315430000000002E-3</v>
      </c>
      <c r="AA6526">
        <v>0.9751301</v>
      </c>
      <c r="AB6526">
        <v>21</v>
      </c>
      <c r="AC6526">
        <v>-18.741399999999999</v>
      </c>
      <c r="AD6526">
        <v>-1.11188710059</v>
      </c>
      <c r="AE6526">
        <v>-8.31810000000001</v>
      </c>
      <c r="AF6526">
        <v>-4.5747219092101901</v>
      </c>
      <c r="AG6526">
        <v>-1.11188710059</v>
      </c>
      <c r="AH6526">
        <v>19.9258891563295</v>
      </c>
      <c r="AI6526">
        <v>93.113031893004901</v>
      </c>
      <c r="AJ6526">
        <v>102.93027946556499</v>
      </c>
      <c r="AK6526">
        <v>20.474506883961698</v>
      </c>
      <c r="AL6526">
        <v>82.700941679036802</v>
      </c>
      <c r="AM6526">
        <v>91.1433366631762</v>
      </c>
      <c r="AN6526">
        <v>0.99999994960518401</v>
      </c>
    </row>
    <row r="6527" spans="1:40" x14ac:dyDescent="0.25">
      <c r="A6527" t="str">
        <f>"20190312154053049"</f>
        <v>20190312154053049</v>
      </c>
      <c r="B6527" t="str">
        <f>"1552376453043030"</f>
        <v>1552376453043030</v>
      </c>
      <c r="C6527" t="s">
        <v>40</v>
      </c>
      <c r="D6527">
        <v>4.1266439999999998</v>
      </c>
      <c r="E6527">
        <v>0.42521589999999998</v>
      </c>
      <c r="F6527" t="s">
        <v>55</v>
      </c>
      <c r="G6527">
        <v>-407.88780000000003</v>
      </c>
      <c r="H6527" s="1">
        <v>-4.9546489999999998E-6</v>
      </c>
      <c r="I6527">
        <v>129.7458</v>
      </c>
      <c r="J6527">
        <v>-389.70139999999998</v>
      </c>
      <c r="K6527">
        <v>1.111855</v>
      </c>
      <c r="L6527">
        <v>137.7997</v>
      </c>
      <c r="M6527">
        <v>-0.9811801</v>
      </c>
      <c r="N6527">
        <v>0</v>
      </c>
      <c r="O6527">
        <v>-0.1926099</v>
      </c>
      <c r="P6527">
        <v>-0.97121190000000002</v>
      </c>
      <c r="Q6527">
        <v>0.1122648</v>
      </c>
      <c r="R6527">
        <v>-0.21010670000000001</v>
      </c>
      <c r="S6527">
        <v>-2.8399049999999999</v>
      </c>
      <c r="T6527">
        <v>-0.17164670000000001</v>
      </c>
      <c r="U6527">
        <v>-1.249954</v>
      </c>
      <c r="V6527">
        <v>-1.9394049999999999E-2</v>
      </c>
      <c r="W6527">
        <v>0.12581039999999999</v>
      </c>
      <c r="X6527">
        <v>0.99186470000000004</v>
      </c>
      <c r="Y6527">
        <v>-0.2189527</v>
      </c>
      <c r="Z6527">
        <v>4.6367309999999998E-3</v>
      </c>
      <c r="AA6527">
        <v>0.97572449999999999</v>
      </c>
      <c r="AB6527">
        <v>21</v>
      </c>
      <c r="AC6527">
        <v>-18.186399999999999</v>
      </c>
      <c r="AD6527">
        <v>-1.111859954649</v>
      </c>
      <c r="AE6527">
        <v>-8.0538999999999898</v>
      </c>
      <c r="AF6527">
        <v>-4.3861510444727196</v>
      </c>
      <c r="AG6527">
        <v>-1.111859954649</v>
      </c>
      <c r="AH6527">
        <v>19.336783734107399</v>
      </c>
      <c r="AI6527">
        <v>93.209513882488807</v>
      </c>
      <c r="AJ6527">
        <v>102.780110531202</v>
      </c>
      <c r="AK6527">
        <v>19.859147985835701</v>
      </c>
      <c r="AL6527">
        <v>82.772442131784999</v>
      </c>
      <c r="AM6527">
        <v>91.120168539614795</v>
      </c>
      <c r="AN6527">
        <v>0.99999998451482597</v>
      </c>
    </row>
    <row r="6528" spans="1:40" x14ac:dyDescent="0.25">
      <c r="A6528" t="str">
        <f>"20190312154053072"</f>
        <v>20190312154053072</v>
      </c>
      <c r="B6528" t="str">
        <f>"1552376453062550"</f>
        <v>1552376453062550</v>
      </c>
      <c r="C6528" t="s">
        <v>40</v>
      </c>
      <c r="D6528">
        <v>4.1283079999999996</v>
      </c>
      <c r="E6528">
        <v>0.42555500000000002</v>
      </c>
      <c r="F6528" t="s">
        <v>55</v>
      </c>
      <c r="G6528">
        <v>-407.71199999999999</v>
      </c>
      <c r="H6528" s="1">
        <v>-4.8908169999999997E-6</v>
      </c>
      <c r="I6528">
        <v>129.86590000000001</v>
      </c>
      <c r="J6528">
        <v>-389.91129999999998</v>
      </c>
      <c r="K6528">
        <v>1.1118399999999999</v>
      </c>
      <c r="L6528">
        <v>137.75630000000001</v>
      </c>
      <c r="M6528">
        <v>-0.98083200000000004</v>
      </c>
      <c r="N6528">
        <v>0</v>
      </c>
      <c r="O6528">
        <v>-0.19437450000000001</v>
      </c>
      <c r="P6528">
        <v>-0.97112390000000004</v>
      </c>
      <c r="Q6528">
        <v>0.11122990000000001</v>
      </c>
      <c r="R6528">
        <v>-0.21106040000000001</v>
      </c>
      <c r="S6528">
        <v>-2.8386840000000002</v>
      </c>
      <c r="T6528">
        <v>-0.17524239999999999</v>
      </c>
      <c r="U6528">
        <v>-1.2504580000000001</v>
      </c>
      <c r="V6528">
        <v>-1.855559E-2</v>
      </c>
      <c r="W6528">
        <v>0.1247659</v>
      </c>
      <c r="X6528">
        <v>0.99201269999999997</v>
      </c>
      <c r="Y6528">
        <v>-0.2175001</v>
      </c>
      <c r="Z6528">
        <v>4.8786059999999997E-3</v>
      </c>
      <c r="AA6528">
        <v>0.97604809999999997</v>
      </c>
      <c r="AB6528">
        <v>21</v>
      </c>
      <c r="AC6528">
        <v>-17.800699999999999</v>
      </c>
      <c r="AD6528">
        <v>-1.111844890817</v>
      </c>
      <c r="AE6528">
        <v>-7.8903999999999996</v>
      </c>
      <c r="AF6528">
        <v>-4.26564621241174</v>
      </c>
      <c r="AG6528">
        <v>-1.111844890817</v>
      </c>
      <c r="AH6528">
        <v>18.933231026401899</v>
      </c>
      <c r="AI6528">
        <v>93.2788075824011</v>
      </c>
      <c r="AJ6528">
        <v>102.696711999553</v>
      </c>
      <c r="AK6528">
        <v>19.439628951443598</v>
      </c>
      <c r="AL6528">
        <v>82.8327631246826</v>
      </c>
      <c r="AM6528">
        <v>91.071592156125206</v>
      </c>
      <c r="AN6528">
        <v>1.00000001834217</v>
      </c>
    </row>
    <row r="6529" spans="1:40" x14ac:dyDescent="0.25">
      <c r="A6529" t="str">
        <f>"20190312154053093"</f>
        <v>20190312154053093</v>
      </c>
      <c r="B6529" t="str">
        <f>"1552376453083047"</f>
        <v>1552376453083047</v>
      </c>
      <c r="C6529" t="s">
        <v>40</v>
      </c>
      <c r="D6529">
        <v>4.1021890000000001</v>
      </c>
      <c r="E6529">
        <v>0.42582959999999898</v>
      </c>
      <c r="F6529" t="s">
        <v>55</v>
      </c>
      <c r="G6529">
        <v>-407.39150000000001</v>
      </c>
      <c r="H6529" s="1">
        <v>-4.7601060000000001E-6</v>
      </c>
      <c r="I6529">
        <v>130.05420000000001</v>
      </c>
      <c r="J6529">
        <v>-390.10930000000002</v>
      </c>
      <c r="K6529">
        <v>1.111826</v>
      </c>
      <c r="L6529">
        <v>137.715</v>
      </c>
      <c r="M6529">
        <v>-0.98050079999999995</v>
      </c>
      <c r="N6529">
        <v>0</v>
      </c>
      <c r="O6529">
        <v>-0.19603960000000001</v>
      </c>
      <c r="P6529">
        <v>-0.970966</v>
      </c>
      <c r="Q6529">
        <v>0.1101027</v>
      </c>
      <c r="R6529">
        <v>-0.21237439999999999</v>
      </c>
      <c r="S6529">
        <v>-2.838104</v>
      </c>
      <c r="T6529">
        <v>-0.18052090000000001</v>
      </c>
      <c r="U6529">
        <v>-1.2505189999999999</v>
      </c>
      <c r="V6529">
        <v>-1.818403E-2</v>
      </c>
      <c r="W6529">
        <v>0.1236303</v>
      </c>
      <c r="X6529">
        <v>0.99216179999999998</v>
      </c>
      <c r="Y6529">
        <v>-0.21593660000000001</v>
      </c>
      <c r="Z6529">
        <v>5.1712959999999997E-3</v>
      </c>
      <c r="AA6529">
        <v>0.97639370000000003</v>
      </c>
      <c r="AB6529">
        <v>21</v>
      </c>
      <c r="AC6529">
        <v>-17.2821999999999</v>
      </c>
      <c r="AD6529">
        <v>-1.111830760106</v>
      </c>
      <c r="AE6529">
        <v>-7.6607999999999903</v>
      </c>
      <c r="AF6529">
        <v>-4.1095941612429598</v>
      </c>
      <c r="AG6529">
        <v>-1.111830760106</v>
      </c>
      <c r="AH6529">
        <v>18.385156060413401</v>
      </c>
      <c r="AI6529">
        <v>93.377560800793503</v>
      </c>
      <c r="AJ6529">
        <v>102.60007387503001</v>
      </c>
      <c r="AK6529">
        <v>18.871642619946901</v>
      </c>
      <c r="AL6529">
        <v>82.898336310688606</v>
      </c>
      <c r="AM6529">
        <v>91.049981506164102</v>
      </c>
      <c r="AN6529">
        <v>1.0000000737021799</v>
      </c>
    </row>
    <row r="6530" spans="1:40" x14ac:dyDescent="0.25">
      <c r="A6530" t="str">
        <f>"20190312154053117"</f>
        <v>20190312154053117</v>
      </c>
      <c r="B6530" t="str">
        <f>"1552376453112327"</f>
        <v>1552376453112327</v>
      </c>
      <c r="C6530" t="s">
        <v>40</v>
      </c>
      <c r="D6530">
        <v>4.099475</v>
      </c>
      <c r="E6530">
        <v>0.4261954</v>
      </c>
      <c r="F6530" t="s">
        <v>55</v>
      </c>
      <c r="G6530">
        <v>-407.1841</v>
      </c>
      <c r="H6530" s="1">
        <v>-4.677604E-6</v>
      </c>
      <c r="I6530">
        <v>130.18049999999999</v>
      </c>
      <c r="J6530">
        <v>-390.31619999999998</v>
      </c>
      <c r="K6530">
        <v>1.1118059999999901</v>
      </c>
      <c r="L6530">
        <v>137.67150000000001</v>
      </c>
      <c r="M6530">
        <v>-0.98015140000000001</v>
      </c>
      <c r="N6530">
        <v>0</v>
      </c>
      <c r="O6530">
        <v>-0.1977797</v>
      </c>
      <c r="P6530">
        <v>-0.97077100000000005</v>
      </c>
      <c r="Q6530">
        <v>0.10891480000000001</v>
      </c>
      <c r="R6530">
        <v>-0.2138726</v>
      </c>
      <c r="S6530">
        <v>-2.8368530000000001</v>
      </c>
      <c r="T6530">
        <v>-0.18472279999999999</v>
      </c>
      <c r="U6530">
        <v>-1.2518009999999999</v>
      </c>
      <c r="V6530">
        <v>-1.7923189999999999E-2</v>
      </c>
      <c r="W6530">
        <v>0.1224345</v>
      </c>
      <c r="X6530">
        <v>0.99231480000000005</v>
      </c>
      <c r="Y6530">
        <v>-0.21473490000000001</v>
      </c>
      <c r="Z6530">
        <v>5.4346910000000002E-3</v>
      </c>
      <c r="AA6530">
        <v>0.97665729999999995</v>
      </c>
      <c r="AB6530">
        <v>21</v>
      </c>
      <c r="AC6530">
        <v>-16.867899999999999</v>
      </c>
      <c r="AD6530">
        <v>-1.11181067760399</v>
      </c>
      <c r="AE6530">
        <v>-7.4910000000000103</v>
      </c>
      <c r="AF6530">
        <v>-3.9920729249581801</v>
      </c>
      <c r="AG6530">
        <v>-1.11181067760399</v>
      </c>
      <c r="AH6530">
        <v>17.951201390641401</v>
      </c>
      <c r="AI6530">
        <v>93.459790030252705</v>
      </c>
      <c r="AJ6530">
        <v>102.537679793778</v>
      </c>
      <c r="AK6530">
        <v>18.423311336141101</v>
      </c>
      <c r="AL6530">
        <v>82.967374981895702</v>
      </c>
      <c r="AM6530">
        <v>91.034763858422707</v>
      </c>
      <c r="AN6530">
        <v>1.00000005491453</v>
      </c>
    </row>
    <row r="6531" spans="1:40" x14ac:dyDescent="0.25">
      <c r="A6531" t="str">
        <f>"20190312154053139"</f>
        <v>20190312154053139</v>
      </c>
      <c r="B6531" t="str">
        <f>"1552376453132824"</f>
        <v>1552376453132824</v>
      </c>
      <c r="C6531" t="s">
        <v>40</v>
      </c>
      <c r="D6531">
        <v>4.1091419999999896</v>
      </c>
      <c r="E6531">
        <v>0.42635200000000001</v>
      </c>
      <c r="F6531" t="s">
        <v>55</v>
      </c>
      <c r="G6531">
        <v>-406.94799999999998</v>
      </c>
      <c r="H6531" s="1">
        <v>-4.582066E-6</v>
      </c>
      <c r="I6531">
        <v>130.32079999999999</v>
      </c>
      <c r="J6531">
        <v>-390.52050000000003</v>
      </c>
      <c r="K6531">
        <v>1.111791</v>
      </c>
      <c r="L6531">
        <v>137.62809999999999</v>
      </c>
      <c r="M6531">
        <v>-0.97980310000000004</v>
      </c>
      <c r="N6531">
        <v>0</v>
      </c>
      <c r="O6531">
        <v>-0.1994996</v>
      </c>
      <c r="P6531">
        <v>-0.97038429999999998</v>
      </c>
      <c r="Q6531">
        <v>0.1083197</v>
      </c>
      <c r="R6531">
        <v>-0.21591930000000001</v>
      </c>
      <c r="S6531">
        <v>-2.8355100000000002</v>
      </c>
      <c r="T6531">
        <v>-0.18954960000000001</v>
      </c>
      <c r="U6531">
        <v>-1.253204</v>
      </c>
      <c r="V6531">
        <v>-1.8259560000000001E-2</v>
      </c>
      <c r="W6531">
        <v>0.1218302</v>
      </c>
      <c r="X6531">
        <v>0.99238300000000002</v>
      </c>
      <c r="Y6531">
        <v>-0.2135995</v>
      </c>
      <c r="Z6531">
        <v>5.7201810000000004E-3</v>
      </c>
      <c r="AA6531">
        <v>0.97690460000000001</v>
      </c>
      <c r="AB6531">
        <v>21</v>
      </c>
      <c r="AC6531">
        <v>-16.427499999999998</v>
      </c>
      <c r="AD6531">
        <v>-1.1117955820659999</v>
      </c>
      <c r="AE6531">
        <v>-7.3072999999999899</v>
      </c>
      <c r="AF6531">
        <v>-3.86800563058706</v>
      </c>
      <c r="AG6531">
        <v>-1.1117955820659999</v>
      </c>
      <c r="AH6531">
        <v>17.488277530705499</v>
      </c>
      <c r="AI6531">
        <v>93.551997368781102</v>
      </c>
      <c r="AJ6531">
        <v>102.47172919608001</v>
      </c>
      <c r="AK6531">
        <v>17.945400746863601</v>
      </c>
      <c r="AL6531">
        <v>83.0022596870554</v>
      </c>
      <c r="AM6531">
        <v>91.054106816401898</v>
      </c>
      <c r="AN6531">
        <v>1.00000001392621</v>
      </c>
    </row>
    <row r="6532" spans="1:40" x14ac:dyDescent="0.25">
      <c r="A6532" t="str">
        <f>"20190312154053161"</f>
        <v>20190312154053161</v>
      </c>
      <c r="B6532" t="str">
        <f>"1552376453152346"</f>
        <v>1552376453152346</v>
      </c>
      <c r="C6532" t="s">
        <v>40</v>
      </c>
      <c r="D6532">
        <v>4.0439420000000004</v>
      </c>
      <c r="E6532">
        <v>0.42645240000000001</v>
      </c>
      <c r="F6532" t="s">
        <v>55</v>
      </c>
      <c r="G6532">
        <v>-406.90190000000001</v>
      </c>
      <c r="H6532" s="1">
        <v>-4.5660110000000001E-6</v>
      </c>
      <c r="I6532">
        <v>130.35390000000001</v>
      </c>
      <c r="J6532">
        <v>-390.72070000000002</v>
      </c>
      <c r="K6532">
        <v>1.11178</v>
      </c>
      <c r="L6532">
        <v>137.58529999999999</v>
      </c>
      <c r="M6532">
        <v>-0.97945850000000001</v>
      </c>
      <c r="N6532">
        <v>0</v>
      </c>
      <c r="O6532">
        <v>-0.20118510000000001</v>
      </c>
      <c r="P6532">
        <v>-0.97000770000000003</v>
      </c>
      <c r="Q6532">
        <v>0.10792309999999999</v>
      </c>
      <c r="R6532">
        <v>-0.217803</v>
      </c>
      <c r="S6532">
        <v>-2.8330989999999998</v>
      </c>
      <c r="T6532">
        <v>-0.19228149999999999</v>
      </c>
      <c r="U6532">
        <v>-1.258057</v>
      </c>
      <c r="V6532">
        <v>-1.846822E-2</v>
      </c>
      <c r="W6532">
        <v>0.12142600000000001</v>
      </c>
      <c r="X6532">
        <v>0.99242870000000005</v>
      </c>
      <c r="Y6532">
        <v>-0.2136266</v>
      </c>
      <c r="Z6532">
        <v>5.9088179999999997E-3</v>
      </c>
      <c r="AA6532">
        <v>0.97689749999999997</v>
      </c>
      <c r="AB6532">
        <v>21</v>
      </c>
      <c r="AC6532">
        <v>-16.181199999999901</v>
      </c>
      <c r="AD6532">
        <v>-1.111784566011</v>
      </c>
      <c r="AE6532">
        <v>-7.2313999999999696</v>
      </c>
      <c r="AF6532">
        <v>-3.8127919369502399</v>
      </c>
      <c r="AG6532">
        <v>-1.111784566011</v>
      </c>
      <c r="AH6532">
        <v>17.2374413007478</v>
      </c>
      <c r="AI6532">
        <v>93.603502902405495</v>
      </c>
      <c r="AJ6532">
        <v>102.472570609876</v>
      </c>
      <c r="AK6532">
        <v>17.689059609612301</v>
      </c>
      <c r="AL6532">
        <v>83.025592024019701</v>
      </c>
      <c r="AM6532">
        <v>91.066100709180802</v>
      </c>
      <c r="AN6532">
        <v>1.0000000366048201</v>
      </c>
    </row>
    <row r="6533" spans="1:40" x14ac:dyDescent="0.25">
      <c r="A6533" t="str">
        <f>"20190312154053182"</f>
        <v>20190312154053182</v>
      </c>
      <c r="B6533" t="str">
        <f>"1552376453172839"</f>
        <v>1552376453172839</v>
      </c>
      <c r="C6533" t="s">
        <v>40</v>
      </c>
      <c r="D6533">
        <v>4.0272750000000004</v>
      </c>
      <c r="E6533">
        <v>0.42661490000000002</v>
      </c>
      <c r="F6533" t="s">
        <v>55</v>
      </c>
      <c r="G6533">
        <v>-406.93790000000001</v>
      </c>
      <c r="H6533" s="1">
        <v>-4.5895169999999997E-6</v>
      </c>
      <c r="I6533">
        <v>130.35159999999999</v>
      </c>
      <c r="J6533">
        <v>-390.92059999999998</v>
      </c>
      <c r="K6533">
        <v>1.111775</v>
      </c>
      <c r="L6533">
        <v>137.5421</v>
      </c>
      <c r="M6533">
        <v>-0.97911079999999995</v>
      </c>
      <c r="N6533">
        <v>0</v>
      </c>
      <c r="O6533">
        <v>-0.20286950000000001</v>
      </c>
      <c r="P6533">
        <v>-0.96965659999999998</v>
      </c>
      <c r="Q6533">
        <v>0.1074176</v>
      </c>
      <c r="R6533">
        <v>-0.21960679999999999</v>
      </c>
      <c r="S6533">
        <v>-2.8308409999999999</v>
      </c>
      <c r="T6533">
        <v>-0.1940711</v>
      </c>
      <c r="U6533">
        <v>-1.2626949999999999</v>
      </c>
      <c r="V6533">
        <v>-1.8594320000000001E-2</v>
      </c>
      <c r="W6533">
        <v>0.1209133</v>
      </c>
      <c r="X6533">
        <v>0.99248890000000001</v>
      </c>
      <c r="Y6533">
        <v>-0.21357409999999999</v>
      </c>
      <c r="Z6533">
        <v>6.073419E-3</v>
      </c>
      <c r="AA6533">
        <v>0.976908</v>
      </c>
      <c r="AB6533">
        <v>21</v>
      </c>
      <c r="AC6533">
        <v>-16.017299999999999</v>
      </c>
      <c r="AD6533">
        <v>-1.111779589517</v>
      </c>
      <c r="AE6533">
        <v>-7.1905000000000099</v>
      </c>
      <c r="AF6533">
        <v>-3.7760857794740699</v>
      </c>
      <c r="AG6533">
        <v>-1.111779589517</v>
      </c>
      <c r="AH6533">
        <v>17.074573141126599</v>
      </c>
      <c r="AI6533">
        <v>93.637797813642607</v>
      </c>
      <c r="AJ6533">
        <v>102.470392165286</v>
      </c>
      <c r="AK6533">
        <v>17.522440629698099</v>
      </c>
      <c r="AL6533">
        <v>83.055185335373807</v>
      </c>
      <c r="AM6533">
        <v>91.073313198302998</v>
      </c>
      <c r="AN6533">
        <v>0.99999999573818099</v>
      </c>
    </row>
    <row r="6534" spans="1:40" x14ac:dyDescent="0.25">
      <c r="A6534" t="str">
        <f>"20190312154053205"</f>
        <v>20190312154053205</v>
      </c>
      <c r="B6534" t="str">
        <f>"1552376453192359"</f>
        <v>1552376453192359</v>
      </c>
      <c r="C6534" t="s">
        <v>40</v>
      </c>
      <c r="D6534">
        <v>4.0371860000000002</v>
      </c>
      <c r="E6534">
        <v>0.42674840000000003</v>
      </c>
      <c r="F6534" t="s">
        <v>55</v>
      </c>
      <c r="G6534">
        <v>-406.98289999999997</v>
      </c>
      <c r="H6534" s="1">
        <v>-4.6186360000000003E-6</v>
      </c>
      <c r="I6534">
        <v>130.34809999999999</v>
      </c>
      <c r="J6534">
        <v>-391.12270000000001</v>
      </c>
      <c r="K6534">
        <v>1.1117649999999999</v>
      </c>
      <c r="L6534">
        <v>137.49809999999999</v>
      </c>
      <c r="M6534">
        <v>-0.97875650000000003</v>
      </c>
      <c r="N6534">
        <v>0</v>
      </c>
      <c r="O6534">
        <v>-0.20457359999999999</v>
      </c>
      <c r="P6534">
        <v>-0.96935210000000005</v>
      </c>
      <c r="Q6534">
        <v>0.106836</v>
      </c>
      <c r="R6534">
        <v>-0.2212305</v>
      </c>
      <c r="S6534">
        <v>-2.8286739999999999</v>
      </c>
      <c r="T6534">
        <v>-0.19579150000000001</v>
      </c>
      <c r="U6534">
        <v>-1.266907</v>
      </c>
      <c r="V6534">
        <v>-1.8512830000000001E-2</v>
      </c>
      <c r="W6534">
        <v>0.1203259</v>
      </c>
      <c r="X6534">
        <v>0.99256180000000005</v>
      </c>
      <c r="Y6534">
        <v>-0.2133671</v>
      </c>
      <c r="Z6534">
        <v>6.2442390000000004E-3</v>
      </c>
      <c r="AA6534">
        <v>0.97695209999999999</v>
      </c>
      <c r="AB6534">
        <v>21</v>
      </c>
      <c r="AC6534">
        <v>-15.860199999999899</v>
      </c>
      <c r="AD6534">
        <v>-1.111769618636</v>
      </c>
      <c r="AE6534">
        <v>-7.15</v>
      </c>
      <c r="AF6534">
        <v>-3.7386110130034802</v>
      </c>
      <c r="AG6534">
        <v>-1.111769618636</v>
      </c>
      <c r="AH6534">
        <v>16.918458244668599</v>
      </c>
      <c r="AI6534">
        <v>93.671375865426199</v>
      </c>
      <c r="AJ6534">
        <v>102.460868660863</v>
      </c>
      <c r="AK6534">
        <v>17.362242751674401</v>
      </c>
      <c r="AL6534">
        <v>83.089088348953794</v>
      </c>
      <c r="AM6534">
        <v>91.068532006395898</v>
      </c>
      <c r="AN6534">
        <v>0.99999998695232895</v>
      </c>
    </row>
    <row r="6535" spans="1:40" x14ac:dyDescent="0.25">
      <c r="A6535" t="str">
        <f>"20190312154053228"</f>
        <v>20190312154053228</v>
      </c>
      <c r="B6535" t="str">
        <f>"1552376453222614"</f>
        <v>1552376453222614</v>
      </c>
      <c r="C6535" t="s">
        <v>40</v>
      </c>
      <c r="D6535">
        <v>4.0497750000000003</v>
      </c>
      <c r="E6535">
        <v>0.42690270000000002</v>
      </c>
      <c r="F6535" t="s">
        <v>55</v>
      </c>
      <c r="G6535">
        <v>-406.96640000000002</v>
      </c>
      <c r="H6535" s="1">
        <v>-4.6217729999999998E-6</v>
      </c>
      <c r="I6535">
        <v>130.37899999999999</v>
      </c>
      <c r="J6535">
        <v>-391.33069999999998</v>
      </c>
      <c r="K6535">
        <v>1.111758</v>
      </c>
      <c r="L6535">
        <v>137.45249999999999</v>
      </c>
      <c r="M6535">
        <v>-0.97838840000000005</v>
      </c>
      <c r="N6535">
        <v>0</v>
      </c>
      <c r="O6535">
        <v>-0.2063265</v>
      </c>
      <c r="P6535">
        <v>-0.96909389999999995</v>
      </c>
      <c r="Q6535">
        <v>0.1060704</v>
      </c>
      <c r="R6535">
        <v>-0.22272500000000001</v>
      </c>
      <c r="S6535">
        <v>-2.8267820000000001</v>
      </c>
      <c r="T6535">
        <v>-0.19835900000000001</v>
      </c>
      <c r="U6535">
        <v>-1.2701720000000001</v>
      </c>
      <c r="V6535">
        <v>-1.8245239999999999E-2</v>
      </c>
      <c r="W6535">
        <v>0.1195562</v>
      </c>
      <c r="X6535">
        <v>0.99265970000000003</v>
      </c>
      <c r="Y6535">
        <v>-0.2128042</v>
      </c>
      <c r="Z6535">
        <v>6.4596000000000002E-3</v>
      </c>
      <c r="AA6535">
        <v>0.97707350000000004</v>
      </c>
      <c r="AB6535">
        <v>21</v>
      </c>
      <c r="AC6535">
        <v>-15.6357</v>
      </c>
      <c r="AD6535">
        <v>-1.1117626217729999</v>
      </c>
      <c r="AE6535">
        <v>-7.0734999999999904</v>
      </c>
      <c r="AF6535">
        <v>-3.6794715980097799</v>
      </c>
      <c r="AG6535">
        <v>-1.1117626217729999</v>
      </c>
      <c r="AH6535">
        <v>16.688752163899299</v>
      </c>
      <c r="AI6535">
        <v>93.722136940010799</v>
      </c>
      <c r="AJ6535">
        <v>102.43343710563001</v>
      </c>
      <c r="AK6535">
        <v>17.125681771999201</v>
      </c>
      <c r="AL6535">
        <v>83.133509173902198</v>
      </c>
      <c r="AM6535">
        <v>91.052986791251101</v>
      </c>
      <c r="AN6535">
        <v>0.99999992687259098</v>
      </c>
    </row>
    <row r="6536" spans="1:40" x14ac:dyDescent="0.25">
      <c r="A6536" t="str">
        <f>"20190312154053251"</f>
        <v>20190312154053251</v>
      </c>
      <c r="B6536" t="str">
        <f>"1552376453243112"</f>
        <v>1552376453243112</v>
      </c>
      <c r="C6536" t="s">
        <v>40</v>
      </c>
      <c r="D6536">
        <v>4.0221349999999996</v>
      </c>
      <c r="E6536">
        <v>0.42695559999999999</v>
      </c>
      <c r="F6536" t="s">
        <v>55</v>
      </c>
      <c r="G6536">
        <v>-406.95620000000002</v>
      </c>
      <c r="H6536" s="1">
        <v>-4.6302210000000001E-6</v>
      </c>
      <c r="I6536">
        <v>130.4119</v>
      </c>
      <c r="J6536">
        <v>-391.54480000000001</v>
      </c>
      <c r="K6536">
        <v>1.1117520000000001</v>
      </c>
      <c r="L6536">
        <v>137.4051</v>
      </c>
      <c r="M6536">
        <v>-0.97800609999999999</v>
      </c>
      <c r="N6536">
        <v>0</v>
      </c>
      <c r="O6536">
        <v>-0.20813209999999999</v>
      </c>
      <c r="P6536">
        <v>-0.96880560000000004</v>
      </c>
      <c r="Q6536">
        <v>0.10530390000000001</v>
      </c>
      <c r="R6536">
        <v>-0.22433629999999999</v>
      </c>
      <c r="S6536">
        <v>-2.8251339999999998</v>
      </c>
      <c r="T6536">
        <v>-0.20100870000000001</v>
      </c>
      <c r="U6536">
        <v>-1.2729490000000001</v>
      </c>
      <c r="V6536">
        <v>-1.8043859999999998E-2</v>
      </c>
      <c r="W6536">
        <v>0.1187859</v>
      </c>
      <c r="X6536">
        <v>0.99275590000000002</v>
      </c>
      <c r="Y6536">
        <v>-0.21201709999999999</v>
      </c>
      <c r="Z6536">
        <v>6.6919589999999999E-3</v>
      </c>
      <c r="AA6536">
        <v>0.97724310000000003</v>
      </c>
      <c r="AB6536">
        <v>21</v>
      </c>
      <c r="AC6536">
        <v>-15.4114</v>
      </c>
      <c r="AD6536">
        <v>-1.111756630221</v>
      </c>
      <c r="AE6536">
        <v>-6.9931999999999999</v>
      </c>
      <c r="AF6536">
        <v>-3.6165146336945702</v>
      </c>
      <c r="AG6536">
        <v>-1.111756630221</v>
      </c>
      <c r="AH6536">
        <v>16.4584574761152</v>
      </c>
      <c r="AI6536">
        <v>93.774633923610196</v>
      </c>
      <c r="AJ6536">
        <v>102.392986698447</v>
      </c>
      <c r="AK6536">
        <v>16.887747137900298</v>
      </c>
      <c r="AL6536">
        <v>83.177961214566096</v>
      </c>
      <c r="AM6536">
        <v>91.041266240869007</v>
      </c>
      <c r="AN6536">
        <v>0.99999997395365903</v>
      </c>
    </row>
    <row r="6537" spans="1:40" x14ac:dyDescent="0.25">
      <c r="A6537" t="str">
        <f>"20190312154053272"</f>
        <v>20190312154053272</v>
      </c>
      <c r="B6537" t="str">
        <f>"1552376453262631"</f>
        <v>1552376453262631</v>
      </c>
      <c r="C6537" t="s">
        <v>40</v>
      </c>
      <c r="D6537">
        <v>4.0738789999999998</v>
      </c>
      <c r="E6537">
        <v>0.42704989999999998</v>
      </c>
      <c r="F6537" t="s">
        <v>55</v>
      </c>
      <c r="G6537">
        <v>-406.95339999999999</v>
      </c>
      <c r="H6537" s="1">
        <v>-4.6380089999999999E-6</v>
      </c>
      <c r="I6537">
        <v>130.43279999999999</v>
      </c>
      <c r="J6537">
        <v>-391.73340000000002</v>
      </c>
      <c r="K6537">
        <v>1.1117410000000001</v>
      </c>
      <c r="L6537">
        <v>137.3629</v>
      </c>
      <c r="M6537">
        <v>-0.97766629999999999</v>
      </c>
      <c r="N6537">
        <v>0</v>
      </c>
      <c r="O6537">
        <v>-0.20972299999999999</v>
      </c>
      <c r="P6537">
        <v>-0.96848990000000001</v>
      </c>
      <c r="Q6537">
        <v>0.10480250000000001</v>
      </c>
      <c r="R6537">
        <v>-0.22592880000000001</v>
      </c>
      <c r="S6537">
        <v>-2.8229679999999999</v>
      </c>
      <c r="T6537">
        <v>-0.20368240000000001</v>
      </c>
      <c r="U6537">
        <v>-1.277374</v>
      </c>
      <c r="V6537">
        <v>-1.8047319999999999E-2</v>
      </c>
      <c r="W6537">
        <v>0.1182802</v>
      </c>
      <c r="X6537">
        <v>0.99281620000000004</v>
      </c>
      <c r="Y6537">
        <v>-0.21198339999999999</v>
      </c>
      <c r="Z6537">
        <v>6.8890820000000004E-3</v>
      </c>
      <c r="AA6537">
        <v>0.97724900000000003</v>
      </c>
      <c r="AB6537">
        <v>21</v>
      </c>
      <c r="AC6537">
        <v>-15.219999999999899</v>
      </c>
      <c r="AD6537">
        <v>-1.1117456380090001</v>
      </c>
      <c r="AE6537">
        <v>-6.9301000000000004</v>
      </c>
      <c r="AF6537">
        <v>-3.56790464174327</v>
      </c>
      <c r="AG6537">
        <v>-1.1117456380090001</v>
      </c>
      <c r="AH6537">
        <v>16.2631201299181</v>
      </c>
      <c r="AI6537">
        <v>93.820079187926297</v>
      </c>
      <c r="AJ6537">
        <v>102.373871354233</v>
      </c>
      <c r="AK6537">
        <v>16.6869709131511</v>
      </c>
      <c r="AL6537">
        <v>83.207141308079102</v>
      </c>
      <c r="AM6537">
        <v>91.041402624011297</v>
      </c>
      <c r="AN6537">
        <v>0.99999995922683005</v>
      </c>
    </row>
    <row r="6538" spans="1:40" x14ac:dyDescent="0.25">
      <c r="A6538" t="str">
        <f>"20190312154053294"</f>
        <v>20190312154053294</v>
      </c>
      <c r="B6538" t="str">
        <f>"1552376453283127"</f>
        <v>1552376453283127</v>
      </c>
      <c r="C6538" t="s">
        <v>40</v>
      </c>
      <c r="D6538">
        <v>4.1002929999999997</v>
      </c>
      <c r="E6538">
        <v>0.43931819999999999</v>
      </c>
      <c r="F6538" t="s">
        <v>55</v>
      </c>
      <c r="G6538">
        <v>-407.0942</v>
      </c>
      <c r="H6538" s="1">
        <v>-4.7130509999999999E-6</v>
      </c>
      <c r="I6538">
        <v>130.3877</v>
      </c>
      <c r="J6538">
        <v>-391.92869999999999</v>
      </c>
      <c r="K6538">
        <v>1.1117360000000001</v>
      </c>
      <c r="L6538">
        <v>137.31899999999999</v>
      </c>
      <c r="M6538">
        <v>-0.97731159999999995</v>
      </c>
      <c r="N6538">
        <v>0</v>
      </c>
      <c r="O6538">
        <v>-0.2113699</v>
      </c>
      <c r="P6538">
        <v>-0.96795580000000003</v>
      </c>
      <c r="Q6538">
        <v>0.1045823</v>
      </c>
      <c r="R6538">
        <v>-0.2283075</v>
      </c>
      <c r="S6538">
        <v>-2.8208920000000002</v>
      </c>
      <c r="T6538">
        <v>-0.2041637</v>
      </c>
      <c r="U6538">
        <v>-1.280945</v>
      </c>
      <c r="V6538">
        <v>-1.8809070000000001E-2</v>
      </c>
      <c r="W6538">
        <v>0.1180539</v>
      </c>
      <c r="X6538">
        <v>0.99282899999999996</v>
      </c>
      <c r="Y6538">
        <v>-0.21163689999999999</v>
      </c>
      <c r="Z6538">
        <v>7.0287040000000002E-3</v>
      </c>
      <c r="AA6538">
        <v>0.9773231</v>
      </c>
      <c r="AB6538">
        <v>21</v>
      </c>
      <c r="AC6538">
        <v>-15.1655</v>
      </c>
      <c r="AD6538">
        <v>-1.111740713051</v>
      </c>
      <c r="AE6538">
        <v>-6.9312999999999896</v>
      </c>
      <c r="AF6538">
        <v>-3.5530448856745398</v>
      </c>
      <c r="AG6538">
        <v>-1.111740713051</v>
      </c>
      <c r="AH6538">
        <v>16.2159067881658</v>
      </c>
      <c r="AI6538">
        <v>93.831373361481496</v>
      </c>
      <c r="AJ6538">
        <v>102.358694651417</v>
      </c>
      <c r="AK6538">
        <v>16.637780150463399</v>
      </c>
      <c r="AL6538">
        <v>83.220198859412406</v>
      </c>
      <c r="AM6538">
        <v>91.085334357868803</v>
      </c>
      <c r="AN6538">
        <v>0.99999996383023604</v>
      </c>
    </row>
    <row r="6539" spans="1:40" x14ac:dyDescent="0.25">
      <c r="A6539" t="str">
        <f>"20190312154053317"</f>
        <v>20190312154053317</v>
      </c>
      <c r="B6539" t="str">
        <f>"1552376453313011"</f>
        <v>1552376453313011</v>
      </c>
      <c r="C6539" t="s">
        <v>40</v>
      </c>
      <c r="D6539">
        <v>4.059151</v>
      </c>
      <c r="E6539">
        <v>0.44126399999999999</v>
      </c>
      <c r="F6539" t="s">
        <v>55</v>
      </c>
      <c r="G6539">
        <v>-429.96870000000001</v>
      </c>
      <c r="H6539">
        <v>6.095333E-2</v>
      </c>
      <c r="I6539">
        <v>121.4028</v>
      </c>
      <c r="J6539">
        <v>-392.13290000000001</v>
      </c>
      <c r="K6539">
        <v>1.111728</v>
      </c>
      <c r="L6539">
        <v>137.27279999999999</v>
      </c>
      <c r="M6539">
        <v>-0.97693750000000001</v>
      </c>
      <c r="N6539">
        <v>0</v>
      </c>
      <c r="O6539">
        <v>-0.21309259999999999</v>
      </c>
      <c r="P6539">
        <v>-0.96729489999999996</v>
      </c>
      <c r="Q6539">
        <v>0.10433539999999999</v>
      </c>
      <c r="R6539">
        <v>-0.23120389999999999</v>
      </c>
      <c r="S6539">
        <v>-2.8285830000000001</v>
      </c>
      <c r="T6539">
        <v>-7.8134179999999998E-2</v>
      </c>
      <c r="U6539">
        <v>-1.1835020000000001</v>
      </c>
      <c r="V6539">
        <v>-2.002493E-2</v>
      </c>
      <c r="W6539">
        <v>0.1177996</v>
      </c>
      <c r="X6539">
        <v>0.99283549999999998</v>
      </c>
      <c r="Y6539">
        <v>-0.1805293</v>
      </c>
      <c r="Z6539">
        <v>3.164147E-3</v>
      </c>
      <c r="AA6539">
        <v>0.98356449999999995</v>
      </c>
      <c r="AB6539">
        <v>21</v>
      </c>
      <c r="AC6539">
        <v>-37.835799999999999</v>
      </c>
      <c r="AD6539">
        <v>-1.05077467</v>
      </c>
      <c r="AE6539">
        <v>-15.8699999999999</v>
      </c>
      <c r="AF6539">
        <v>-7.4372782816624099</v>
      </c>
      <c r="AG6539">
        <v>-1.05077467</v>
      </c>
      <c r="AH6539">
        <v>40.322270140024898</v>
      </c>
      <c r="AI6539">
        <v>91.468005468319504</v>
      </c>
      <c r="AJ6539">
        <v>100.45051932045401</v>
      </c>
      <c r="AK6539">
        <v>41.015883568334203</v>
      </c>
      <c r="AL6539">
        <v>83.234872054559006</v>
      </c>
      <c r="AM6539">
        <v>91.155466771531394</v>
      </c>
      <c r="AN6539">
        <v>1.0000000368209501</v>
      </c>
    </row>
    <row r="6540" spans="1:40" x14ac:dyDescent="0.25">
      <c r="A6540" t="str">
        <f>"20190312154053340"</f>
        <v>20190312154053340</v>
      </c>
      <c r="B6540" t="str">
        <f>"1552376453332530"</f>
        <v>1552376453332530</v>
      </c>
      <c r="C6540" t="s">
        <v>40</v>
      </c>
      <c r="D6540">
        <v>4.0596500000000004</v>
      </c>
      <c r="E6540">
        <v>0.4418185</v>
      </c>
      <c r="F6540" t="s">
        <v>55</v>
      </c>
      <c r="G6540">
        <v>-434.24889999999999</v>
      </c>
      <c r="H6540">
        <v>7.9989859999999996E-2</v>
      </c>
      <c r="I6540">
        <v>119.7595</v>
      </c>
      <c r="J6540">
        <v>-392.33429999999998</v>
      </c>
      <c r="K6540">
        <v>1.111721</v>
      </c>
      <c r="L6540">
        <v>137.22669999999999</v>
      </c>
      <c r="M6540">
        <v>-0.97656520000000002</v>
      </c>
      <c r="N6540">
        <v>0</v>
      </c>
      <c r="O6540">
        <v>-0.2147916</v>
      </c>
      <c r="P6540">
        <v>-0.96676870000000004</v>
      </c>
      <c r="Q6540">
        <v>0.1034824</v>
      </c>
      <c r="R6540">
        <v>-0.23377239999999999</v>
      </c>
      <c r="S6540">
        <v>-2.8278500000000002</v>
      </c>
      <c r="T6540">
        <v>-6.9275379999999998E-2</v>
      </c>
      <c r="U6540">
        <v>-1.1759189999999999</v>
      </c>
      <c r="V6540">
        <v>-2.0914249999999999E-2</v>
      </c>
      <c r="W6540">
        <v>0.11694110000000001</v>
      </c>
      <c r="X6540">
        <v>0.99291859999999998</v>
      </c>
      <c r="Y6540">
        <v>-0.1766604</v>
      </c>
      <c r="Z6540">
        <v>2.8917700000000001E-3</v>
      </c>
      <c r="AA6540">
        <v>0.98426769999999997</v>
      </c>
      <c r="AB6540">
        <v>21</v>
      </c>
      <c r="AC6540">
        <v>-41.9146</v>
      </c>
      <c r="AD6540">
        <v>-1.03173114</v>
      </c>
      <c r="AE6540">
        <v>-17.467199999999899</v>
      </c>
      <c r="AF6540">
        <v>-8.0515441777619401</v>
      </c>
      <c r="AG6540">
        <v>-1.03173114</v>
      </c>
      <c r="AH6540">
        <v>44.665222651597198</v>
      </c>
      <c r="AI6540">
        <v>91.3022694428725</v>
      </c>
      <c r="AJ6540">
        <v>100.218639935493</v>
      </c>
      <c r="AK6540">
        <v>45.396849530649703</v>
      </c>
      <c r="AL6540">
        <v>83.284402487460895</v>
      </c>
      <c r="AM6540">
        <v>91.2066659730624</v>
      </c>
      <c r="AN6540">
        <v>0.99999998647411603</v>
      </c>
    </row>
    <row r="6541" spans="1:40" x14ac:dyDescent="0.25">
      <c r="A6541" t="str">
        <f>"20190312154053361"</f>
        <v>20190312154053361</v>
      </c>
      <c r="B6541" t="str">
        <f>"1552376453353026"</f>
        <v>1552376453353026</v>
      </c>
      <c r="C6541" t="s">
        <v>40</v>
      </c>
      <c r="D6541">
        <v>4.068435</v>
      </c>
      <c r="E6541">
        <v>0.44197950000000003</v>
      </c>
      <c r="F6541" t="s">
        <v>43</v>
      </c>
      <c r="G6541">
        <v>-443.11950000000002</v>
      </c>
      <c r="H6541">
        <v>-0.05</v>
      </c>
      <c r="I6541">
        <v>116.0316</v>
      </c>
      <c r="J6541">
        <v>-392.53210000000001</v>
      </c>
      <c r="K6541">
        <v>1.111712</v>
      </c>
      <c r="L6541">
        <v>137.18109999999999</v>
      </c>
      <c r="M6541">
        <v>-0.97619659999999997</v>
      </c>
      <c r="N6541">
        <v>0</v>
      </c>
      <c r="O6541">
        <v>-0.2164613</v>
      </c>
      <c r="P6541">
        <v>-0.96621460000000003</v>
      </c>
      <c r="Q6541">
        <v>0.10298980000000001</v>
      </c>
      <c r="R6541">
        <v>-0.23626800000000001</v>
      </c>
      <c r="S6541">
        <v>-2.824951</v>
      </c>
      <c r="T6541">
        <v>-6.4621209999999998E-2</v>
      </c>
      <c r="U6541">
        <v>-1.1789860000000001</v>
      </c>
      <c r="V6541">
        <v>-2.176823E-2</v>
      </c>
      <c r="W6541">
        <v>0.1164434</v>
      </c>
      <c r="X6541">
        <v>0.99295880000000003</v>
      </c>
      <c r="Y6541">
        <v>-0.17624489999999901</v>
      </c>
      <c r="Z6541">
        <v>2.739179E-3</v>
      </c>
      <c r="AA6541">
        <v>0.98434250000000001</v>
      </c>
      <c r="AB6541">
        <v>21</v>
      </c>
      <c r="AC6541">
        <v>-50.587400000000002</v>
      </c>
      <c r="AD6541">
        <v>-1.1617120000000001</v>
      </c>
      <c r="AE6541">
        <v>-21.1494999999999</v>
      </c>
      <c r="AF6541">
        <v>-9.6924002345895008</v>
      </c>
      <c r="AG6541">
        <v>-1.1617120000000001</v>
      </c>
      <c r="AH6541">
        <v>53.942065529199297</v>
      </c>
      <c r="AI6541">
        <v>91.214307257840304</v>
      </c>
      <c r="AJ6541">
        <v>100.186305984811</v>
      </c>
      <c r="AK6541">
        <v>54.818232647859404</v>
      </c>
      <c r="AL6541">
        <v>83.313115182191694</v>
      </c>
      <c r="AM6541">
        <v>91.255870795629093</v>
      </c>
      <c r="AN6541">
        <v>1.0000000498691599</v>
      </c>
    </row>
    <row r="6542" spans="1:40" x14ac:dyDescent="0.25">
      <c r="A6542" t="str">
        <f>"20190312154053378"</f>
        <v>20190312154053378</v>
      </c>
      <c r="B6542" t="str">
        <f>"1552376453372548"</f>
        <v>1552376453372548</v>
      </c>
      <c r="C6542" t="s">
        <v>40</v>
      </c>
      <c r="D6542">
        <v>4.0658589999999997</v>
      </c>
      <c r="E6542">
        <v>0.44196609999999997</v>
      </c>
      <c r="F6542" t="s">
        <v>43</v>
      </c>
      <c r="G6542">
        <v>-444.35079999999999</v>
      </c>
      <c r="H6542">
        <v>-0.05</v>
      </c>
      <c r="I6542">
        <v>115.419</v>
      </c>
      <c r="J6542">
        <v>-392.67790000000002</v>
      </c>
      <c r="K6542">
        <v>1.11171</v>
      </c>
      <c r="L6542">
        <v>137.1472</v>
      </c>
      <c r="M6542">
        <v>-0.97592310000000004</v>
      </c>
      <c r="N6542">
        <v>0</v>
      </c>
      <c r="O6542">
        <v>-0.21769140000000001</v>
      </c>
      <c r="P6542">
        <v>-0.96599690000000005</v>
      </c>
      <c r="Q6542">
        <v>0.1028541</v>
      </c>
      <c r="R6542">
        <v>-0.2372157</v>
      </c>
      <c r="S6542">
        <v>-2.821869</v>
      </c>
      <c r="T6542">
        <v>-6.3262940000000004E-2</v>
      </c>
      <c r="U6542">
        <v>-1.1850889999999901</v>
      </c>
      <c r="V6542">
        <v>-2.148591E-2</v>
      </c>
      <c r="W6542">
        <v>0.11630600000000001</v>
      </c>
      <c r="X6542">
        <v>0.992981</v>
      </c>
      <c r="Y6542">
        <v>-0.1771974</v>
      </c>
      <c r="Z6542">
        <v>2.6981330000000001E-3</v>
      </c>
      <c r="AA6542">
        <v>0.98417160000000004</v>
      </c>
      <c r="AB6542">
        <v>21</v>
      </c>
      <c r="AC6542">
        <v>-51.672899999999899</v>
      </c>
      <c r="AD6542">
        <v>-1.16171</v>
      </c>
      <c r="AE6542">
        <v>-21.728200000000001</v>
      </c>
      <c r="AF6542">
        <v>-9.9529504671747802</v>
      </c>
      <c r="AG6542">
        <v>-1.16171</v>
      </c>
      <c r="AH6542">
        <v>55.140227097080597</v>
      </c>
      <c r="AI6542">
        <v>91.187756710196695</v>
      </c>
      <c r="AJ6542">
        <v>100.23186048418501</v>
      </c>
      <c r="AK6542">
        <v>56.043335352598</v>
      </c>
      <c r="AL6542">
        <v>83.321041131146799</v>
      </c>
      <c r="AM6542">
        <v>91.239560366545007</v>
      </c>
      <c r="AN6542">
        <v>0.99999999816276397</v>
      </c>
    </row>
    <row r="6543" spans="1:40" x14ac:dyDescent="0.25">
      <c r="A6543" t="str">
        <f>"20190312154053394"</f>
        <v>20190312154053394</v>
      </c>
      <c r="B6543" t="str">
        <f>"1552376453383283"</f>
        <v>1552376453383283</v>
      </c>
      <c r="C6543" t="s">
        <v>40</v>
      </c>
      <c r="D6543">
        <v>4.0664509999999998</v>
      </c>
      <c r="E6543">
        <v>0.44199070000000001</v>
      </c>
      <c r="F6543" t="s">
        <v>43</v>
      </c>
      <c r="G6543">
        <v>-446.9341</v>
      </c>
      <c r="H6543">
        <v>-0.05</v>
      </c>
      <c r="I6543">
        <v>114.3036</v>
      </c>
      <c r="J6543">
        <v>-392.82990000000001</v>
      </c>
      <c r="K6543">
        <v>1.1117049999999999</v>
      </c>
      <c r="L6543">
        <v>137.11179999999999</v>
      </c>
      <c r="M6543">
        <v>-0.97563619999999995</v>
      </c>
      <c r="N6543">
        <v>0</v>
      </c>
      <c r="O6543">
        <v>-0.21897440000000001</v>
      </c>
      <c r="P6543">
        <v>-0.96588620000000003</v>
      </c>
      <c r="Q6543">
        <v>0.10251440000000001</v>
      </c>
      <c r="R6543">
        <v>-0.23781260000000001</v>
      </c>
      <c r="S6543">
        <v>-2.8204039999999999</v>
      </c>
      <c r="T6543">
        <v>-6.0389279999999997E-2</v>
      </c>
      <c r="U6543">
        <v>-1.1874849999999999</v>
      </c>
      <c r="V6543">
        <v>-2.0784070000000002E-2</v>
      </c>
      <c r="W6543">
        <v>0.115966</v>
      </c>
      <c r="X6543">
        <v>0.99303569999999997</v>
      </c>
      <c r="Y6543">
        <v>-0.176795799999999</v>
      </c>
      <c r="Z6543">
        <v>2.6057340000000002E-3</v>
      </c>
      <c r="AA6543">
        <v>0.98424409999999896</v>
      </c>
      <c r="AB6543">
        <v>21</v>
      </c>
      <c r="AC6543">
        <v>-54.104199999999899</v>
      </c>
      <c r="AD6543">
        <v>-1.161705</v>
      </c>
      <c r="AE6543">
        <v>-22.8081999999999</v>
      </c>
      <c r="AF6543">
        <v>-10.401957398137601</v>
      </c>
      <c r="AG6543">
        <v>-1.161705</v>
      </c>
      <c r="AH6543">
        <v>57.763138715196597</v>
      </c>
      <c r="AI6543">
        <v>91.133916260649301</v>
      </c>
      <c r="AJ6543">
        <v>100.20838597385401</v>
      </c>
      <c r="AK6543">
        <v>58.703751757879502</v>
      </c>
      <c r="AL6543">
        <v>83.340654399292603</v>
      </c>
      <c r="AM6543">
        <v>91.1990159591073</v>
      </c>
      <c r="AN6543">
        <v>0.99999999609812695</v>
      </c>
    </row>
    <row r="6544" spans="1:40" x14ac:dyDescent="0.25">
      <c r="A6544" t="str">
        <f>"20190312154053419"</f>
        <v>20190312154053419</v>
      </c>
      <c r="B6544" t="str">
        <f>"1552376453413147"</f>
        <v>1552376453413147</v>
      </c>
      <c r="C6544" t="s">
        <v>40</v>
      </c>
      <c r="D6544">
        <v>4.0605960000000003</v>
      </c>
      <c r="E6544">
        <v>0.44211479999999997</v>
      </c>
      <c r="F6544" t="s">
        <v>43</v>
      </c>
      <c r="G6544">
        <v>-447.73160000000001</v>
      </c>
      <c r="H6544">
        <v>-0.05</v>
      </c>
      <c r="I6544">
        <v>113.96250000000001</v>
      </c>
      <c r="J6544">
        <v>-393.03579999999999</v>
      </c>
      <c r="K6544">
        <v>1.1116999999999999</v>
      </c>
      <c r="L6544">
        <v>137.0634</v>
      </c>
      <c r="M6544">
        <v>-0.97524460000000002</v>
      </c>
      <c r="N6544">
        <v>0</v>
      </c>
      <c r="O6544">
        <v>-0.2207122</v>
      </c>
      <c r="P6544">
        <v>-0.96572290000000005</v>
      </c>
      <c r="Q6544">
        <v>0.1020108</v>
      </c>
      <c r="R6544">
        <v>-0.23869099999999999</v>
      </c>
      <c r="S6544">
        <v>-2.8195800000000002</v>
      </c>
      <c r="T6544">
        <v>-5.9661510000000001E-2</v>
      </c>
      <c r="U6544">
        <v>-1.1888729999999901</v>
      </c>
      <c r="V6544">
        <v>-1.990308E-2</v>
      </c>
      <c r="W6544">
        <v>0.115462</v>
      </c>
      <c r="X6544">
        <v>0.99311249999999995</v>
      </c>
      <c r="Y6544">
        <v>-0.17555699999999999</v>
      </c>
      <c r="Z6544">
        <v>2.6211440000000002E-3</v>
      </c>
      <c r="AA6544">
        <v>0.98446579999999995</v>
      </c>
      <c r="AB6544">
        <v>21</v>
      </c>
      <c r="AC6544">
        <v>-54.695799999999998</v>
      </c>
      <c r="AD6544">
        <v>-1.1617</v>
      </c>
      <c r="AE6544">
        <v>-23.100899999999999</v>
      </c>
      <c r="AF6544">
        <v>-10.453958324935799</v>
      </c>
      <c r="AG6544">
        <v>-1.1617</v>
      </c>
      <c r="AH6544">
        <v>58.423448452813403</v>
      </c>
      <c r="AI6544">
        <v>91.121322290004599</v>
      </c>
      <c r="AJ6544">
        <v>100.14481839867</v>
      </c>
      <c r="AK6544">
        <v>59.362733433257901</v>
      </c>
      <c r="AL6544">
        <v>83.369726935573794</v>
      </c>
      <c r="AM6544">
        <v>91.148117505318694</v>
      </c>
      <c r="AN6544">
        <v>1.0000000218468601</v>
      </c>
    </row>
    <row r="6545" spans="1:40" x14ac:dyDescent="0.25">
      <c r="A6545" t="str">
        <f>"20190312154053441"</f>
        <v>20190312154053441</v>
      </c>
      <c r="B6545" t="str">
        <f>"1552376453432668"</f>
        <v>1552376453432668</v>
      </c>
      <c r="C6545" t="s">
        <v>40</v>
      </c>
      <c r="D6545">
        <v>4.0607930000000003</v>
      </c>
      <c r="E6545">
        <v>0.44221569999999999</v>
      </c>
      <c r="F6545" t="s">
        <v>43</v>
      </c>
      <c r="G6545">
        <v>-449.60700000000003</v>
      </c>
      <c r="H6545">
        <v>-0.05</v>
      </c>
      <c r="I6545">
        <v>113.1776</v>
      </c>
      <c r="J6545">
        <v>-393.23590000000002</v>
      </c>
      <c r="K6545">
        <v>1.111693</v>
      </c>
      <c r="L6545">
        <v>137.01599999999999</v>
      </c>
      <c r="M6545">
        <v>-0.97486079999999997</v>
      </c>
      <c r="N6545">
        <v>0</v>
      </c>
      <c r="O6545">
        <v>-0.22240119999999999</v>
      </c>
      <c r="P6545">
        <v>-0.96550809999999998</v>
      </c>
      <c r="Q6545">
        <v>0.1015635</v>
      </c>
      <c r="R6545">
        <v>-0.2397483</v>
      </c>
      <c r="S6545">
        <v>-2.8184809999999998</v>
      </c>
      <c r="T6545">
        <v>-5.7878020000000002E-2</v>
      </c>
      <c r="U6545">
        <v>-1.1900329999999999</v>
      </c>
      <c r="V6545">
        <v>-1.9256740000000001E-2</v>
      </c>
      <c r="W6545">
        <v>0.1150139</v>
      </c>
      <c r="X6545">
        <v>0.99317719999999998</v>
      </c>
      <c r="Y6545">
        <v>-0.17433280000000001</v>
      </c>
      <c r="Z6545">
        <v>2.5874209999999999E-3</v>
      </c>
      <c r="AA6545">
        <v>0.98468339999999999</v>
      </c>
      <c r="AB6545">
        <v>21</v>
      </c>
      <c r="AC6545">
        <v>-56.371099999999899</v>
      </c>
      <c r="AD6545">
        <v>-1.1616930000000001</v>
      </c>
      <c r="AE6545">
        <v>-23.8384</v>
      </c>
      <c r="AF6545">
        <v>-10.699252285758501</v>
      </c>
      <c r="AG6545">
        <v>-1.1616930000000001</v>
      </c>
      <c r="AH6545">
        <v>60.239510513421202</v>
      </c>
      <c r="AI6545">
        <v>91.087767535110999</v>
      </c>
      <c r="AJ6545">
        <v>100.071383297116</v>
      </c>
      <c r="AK6545">
        <v>61.193317911330297</v>
      </c>
      <c r="AL6545">
        <v>83.395573120117803</v>
      </c>
      <c r="AM6545">
        <v>91.110770263828002</v>
      </c>
      <c r="AN6545">
        <v>0.99999998491423803</v>
      </c>
    </row>
    <row r="6546" spans="1:40" x14ac:dyDescent="0.25">
      <c r="A6546" t="str">
        <f>"20190312154053462"</f>
        <v>20190312154053462</v>
      </c>
      <c r="B6546" t="str">
        <f>"1552376453453163"</f>
        <v>1552376453453163</v>
      </c>
      <c r="C6546" t="s">
        <v>40</v>
      </c>
      <c r="D6546">
        <v>4.0624840000000004</v>
      </c>
      <c r="E6546">
        <v>0.44232080000000001</v>
      </c>
      <c r="F6546" t="s">
        <v>43</v>
      </c>
      <c r="G6546">
        <v>-449.75979999999998</v>
      </c>
      <c r="H6546">
        <v>-0.05</v>
      </c>
      <c r="I6546">
        <v>113.1</v>
      </c>
      <c r="J6546">
        <v>-393.43079999999998</v>
      </c>
      <c r="K6546">
        <v>1.1116870000000001</v>
      </c>
      <c r="L6546">
        <v>136.96950000000001</v>
      </c>
      <c r="M6546">
        <v>-0.97448400000000002</v>
      </c>
      <c r="N6546">
        <v>0</v>
      </c>
      <c r="O6546">
        <v>-0.22404650000000001</v>
      </c>
      <c r="P6546">
        <v>-0.96521349999999995</v>
      </c>
      <c r="Q6546">
        <v>0.1007682</v>
      </c>
      <c r="R6546">
        <v>-0.24126549999999999</v>
      </c>
      <c r="S6546">
        <v>-2.8172609999999998</v>
      </c>
      <c r="T6546">
        <v>-5.7901019999999997E-2</v>
      </c>
      <c r="U6546">
        <v>-1.1920170000000001</v>
      </c>
      <c r="V6546">
        <v>-1.9119750000000001E-2</v>
      </c>
      <c r="W6546">
        <v>0.1142172</v>
      </c>
      <c r="X6546">
        <v>0.99327180000000004</v>
      </c>
      <c r="Y6546">
        <v>-0.17341199999999901</v>
      </c>
      <c r="Z6546">
        <v>2.6292049999999999E-3</v>
      </c>
      <c r="AA6546">
        <v>0.98484590000000005</v>
      </c>
      <c r="AB6546">
        <v>21</v>
      </c>
      <c r="AC6546">
        <v>-56.329000000000001</v>
      </c>
      <c r="AD6546">
        <v>-1.1616869999999999</v>
      </c>
      <c r="AE6546">
        <v>-23.869499999999999</v>
      </c>
      <c r="AF6546">
        <v>-10.6372745916971</v>
      </c>
      <c r="AG6546">
        <v>-1.1616869999999999</v>
      </c>
      <c r="AH6546">
        <v>60.223418088246603</v>
      </c>
      <c r="AI6546">
        <v>91.0882359126945</v>
      </c>
      <c r="AJ6546">
        <v>100.01684863971199</v>
      </c>
      <c r="AK6546">
        <v>61.166667504915502</v>
      </c>
      <c r="AL6546">
        <v>83.441523592982307</v>
      </c>
      <c r="AM6546">
        <v>91.102765331762299</v>
      </c>
      <c r="AN6546">
        <v>1.0000000011455701</v>
      </c>
    </row>
    <row r="6547" spans="1:40" x14ac:dyDescent="0.25">
      <c r="A6547" t="str">
        <f>"20190312154053484"</f>
        <v>20190312154053484</v>
      </c>
      <c r="B6547" t="str">
        <f>"1552376453472683"</f>
        <v>1552376453472683</v>
      </c>
      <c r="C6547" t="s">
        <v>40</v>
      </c>
      <c r="D6547">
        <v>4.070818</v>
      </c>
      <c r="E6547">
        <v>0.44254769999999999</v>
      </c>
      <c r="F6547" t="s">
        <v>43</v>
      </c>
      <c r="G6547">
        <v>-448.4776</v>
      </c>
      <c r="H6547">
        <v>-0.05</v>
      </c>
      <c r="I6547">
        <v>113.5976</v>
      </c>
      <c r="J6547">
        <v>-393.62549999999999</v>
      </c>
      <c r="K6547">
        <v>1.1116760000000001</v>
      </c>
      <c r="L6547">
        <v>136.92259999999999</v>
      </c>
      <c r="M6547">
        <v>-0.97410459999999999</v>
      </c>
      <c r="N6547">
        <v>0</v>
      </c>
      <c r="O6547">
        <v>-0.22569049999999999</v>
      </c>
      <c r="P6547">
        <v>-0.96483890000000005</v>
      </c>
      <c r="Q6547">
        <v>9.9844870000000002E-2</v>
      </c>
      <c r="R6547">
        <v>-0.24313960000000001</v>
      </c>
      <c r="S6547">
        <v>-2.8154910000000002</v>
      </c>
      <c r="T6547">
        <v>-5.9417009999999999E-2</v>
      </c>
      <c r="U6547">
        <v>-1.1954039999999999</v>
      </c>
      <c r="V6547">
        <v>-1.9349149999999999E-2</v>
      </c>
      <c r="W6547">
        <v>0.1132915</v>
      </c>
      <c r="X6547">
        <v>0.99337339999999996</v>
      </c>
      <c r="Y6547">
        <v>-0.17297760000000001</v>
      </c>
      <c r="Z6547">
        <v>2.7350830000000001E-3</v>
      </c>
      <c r="AA6547">
        <v>0.98492190000000002</v>
      </c>
      <c r="AB6547">
        <v>20</v>
      </c>
      <c r="AC6547">
        <v>-54.8521</v>
      </c>
      <c r="AD6547">
        <v>-1.1616759999999999</v>
      </c>
      <c r="AE6547">
        <v>-23.3249999999999</v>
      </c>
      <c r="AF6547">
        <v>-10.3384166742954</v>
      </c>
      <c r="AG6547">
        <v>-1.1616759999999999</v>
      </c>
      <c r="AH6547">
        <v>58.679026873369999</v>
      </c>
      <c r="AI6547">
        <v>91.116944670250206</v>
      </c>
      <c r="AJ6547">
        <v>99.992159763195005</v>
      </c>
      <c r="AK6547">
        <v>59.594131802267199</v>
      </c>
      <c r="AL6547">
        <v>83.494909032706502</v>
      </c>
      <c r="AM6547">
        <v>91.1158789429617</v>
      </c>
      <c r="AN6547">
        <v>1.0000000327027601</v>
      </c>
    </row>
    <row r="6548" spans="1:40" x14ac:dyDescent="0.25">
      <c r="A6548" t="str">
        <f>"20190312154053506"</f>
        <v>20190312154053506</v>
      </c>
      <c r="B6548" t="str">
        <f>"1552376453502943"</f>
        <v>1552376453502943</v>
      </c>
      <c r="C6548" t="s">
        <v>40</v>
      </c>
      <c r="D6548">
        <v>4.0632720000000004</v>
      </c>
      <c r="E6548">
        <v>0.44274809999999998</v>
      </c>
      <c r="F6548" t="s">
        <v>43</v>
      </c>
      <c r="G6548">
        <v>-447.25080000000003</v>
      </c>
      <c r="H6548">
        <v>-0.05</v>
      </c>
      <c r="I6548">
        <v>114.06829999999999</v>
      </c>
      <c r="J6548">
        <v>-393.82229999999998</v>
      </c>
      <c r="K6548">
        <v>1.1116649999999999</v>
      </c>
      <c r="L6548">
        <v>136.8749</v>
      </c>
      <c r="M6548">
        <v>-0.97371790000000003</v>
      </c>
      <c r="N6548">
        <v>0</v>
      </c>
      <c r="O6548">
        <v>-0.2273529</v>
      </c>
      <c r="P6548">
        <v>-0.9643562</v>
      </c>
      <c r="Q6548">
        <v>9.9256170000000005E-2</v>
      </c>
      <c r="R6548">
        <v>-0.24528730000000001</v>
      </c>
      <c r="S6548">
        <v>-2.8134769999999998</v>
      </c>
      <c r="T6548">
        <v>-6.0947899999999999E-2</v>
      </c>
      <c r="U6548">
        <v>-1.199066</v>
      </c>
      <c r="V6548">
        <v>-1.984928E-2</v>
      </c>
      <c r="W6548">
        <v>0.1126993</v>
      </c>
      <c r="X6548">
        <v>0.99343090000000001</v>
      </c>
      <c r="Y6548">
        <v>-0.17263619999999999</v>
      </c>
      <c r="Z6548">
        <v>2.843113E-3</v>
      </c>
      <c r="AA6548">
        <v>0.98498149999999995</v>
      </c>
      <c r="AB6548">
        <v>20</v>
      </c>
      <c r="AC6548">
        <v>-53.4285</v>
      </c>
      <c r="AD6548">
        <v>-1.1616649999999999</v>
      </c>
      <c r="AE6548">
        <v>-22.8066</v>
      </c>
      <c r="AF6548">
        <v>-10.056974947978899</v>
      </c>
      <c r="AG6548">
        <v>-1.1616649999999999</v>
      </c>
      <c r="AH6548">
        <v>57.191831213366797</v>
      </c>
      <c r="AI6548">
        <v>91.146037213125794</v>
      </c>
      <c r="AJ6548">
        <v>99.973290245359394</v>
      </c>
      <c r="AK6548">
        <v>58.0809587404921</v>
      </c>
      <c r="AL6548">
        <v>83.529058346206298</v>
      </c>
      <c r="AM6548">
        <v>91.144647971305105</v>
      </c>
      <c r="AN6548">
        <v>1.0000000396058999</v>
      </c>
    </row>
    <row r="6549" spans="1:40" x14ac:dyDescent="0.25">
      <c r="A6549" t="str">
        <f>"20190312154053529"</f>
        <v>20190312154053529</v>
      </c>
      <c r="B6549" t="str">
        <f>"1552376453523091"</f>
        <v>1552376453523091</v>
      </c>
      <c r="C6549" t="s">
        <v>40</v>
      </c>
      <c r="D6549">
        <v>4.0753069999999996</v>
      </c>
      <c r="E6549">
        <v>0.4429458</v>
      </c>
      <c r="F6549" t="s">
        <v>43</v>
      </c>
      <c r="G6549">
        <v>-446.83359999999999</v>
      </c>
      <c r="H6549">
        <v>-0.05</v>
      </c>
      <c r="I6549">
        <v>114.1833</v>
      </c>
      <c r="J6549">
        <v>-394.0213</v>
      </c>
      <c r="K6549">
        <v>1.111661</v>
      </c>
      <c r="L6549">
        <v>136.82640000000001</v>
      </c>
      <c r="M6549">
        <v>-0.97332419999999997</v>
      </c>
      <c r="N6549">
        <v>0</v>
      </c>
      <c r="O6549">
        <v>-0.2290336</v>
      </c>
      <c r="P6549">
        <v>-0.96387060000000002</v>
      </c>
      <c r="Q6549">
        <v>9.8475069999999998E-2</v>
      </c>
      <c r="R6549">
        <v>-0.24750030000000001</v>
      </c>
      <c r="S6549">
        <v>-2.8111570000000001</v>
      </c>
      <c r="T6549">
        <v>-6.160235E-2</v>
      </c>
      <c r="U6549">
        <v>-1.2033229999999999</v>
      </c>
      <c r="V6549">
        <v>-2.0395380000000001E-2</v>
      </c>
      <c r="W6549">
        <v>0.1119151</v>
      </c>
      <c r="X6549">
        <v>0.99350850000000002</v>
      </c>
      <c r="Y6549">
        <v>-0.1724907</v>
      </c>
      <c r="Z6549">
        <v>2.9100739999999999E-3</v>
      </c>
      <c r="AA6549">
        <v>0.98500690000000002</v>
      </c>
      <c r="AB6549">
        <v>20</v>
      </c>
      <c r="AC6549">
        <v>-52.812299999999901</v>
      </c>
      <c r="AD6549">
        <v>-1.1616610000000001</v>
      </c>
      <c r="AE6549">
        <v>-22.6431</v>
      </c>
      <c r="AF6549">
        <v>-9.9401364721706305</v>
      </c>
      <c r="AG6549">
        <v>-1.1616610000000001</v>
      </c>
      <c r="AH6549">
        <v>56.571595672319702</v>
      </c>
      <c r="AI6549">
        <v>91.158621792039099</v>
      </c>
      <c r="AJ6549">
        <v>99.965654364418597</v>
      </c>
      <c r="AK6549">
        <v>57.449988740440297</v>
      </c>
      <c r="AL6549">
        <v>83.574275831687302</v>
      </c>
      <c r="AM6549">
        <v>91.176039341638599</v>
      </c>
      <c r="AN6549">
        <v>1.0000000503527999</v>
      </c>
    </row>
    <row r="6550" spans="1:40" x14ac:dyDescent="0.25">
      <c r="A6550" t="str">
        <f>"20190312154053551"</f>
        <v>20190312154053551</v>
      </c>
      <c r="B6550" t="str">
        <f>"1552376453542608"</f>
        <v>1552376453542608</v>
      </c>
      <c r="C6550" t="s">
        <v>40</v>
      </c>
      <c r="D6550">
        <v>4.0826799999999999</v>
      </c>
      <c r="E6550">
        <v>0.44320920000000003</v>
      </c>
      <c r="F6550" t="s">
        <v>43</v>
      </c>
      <c r="G6550">
        <v>-445.3279</v>
      </c>
      <c r="H6550">
        <v>-0.05</v>
      </c>
      <c r="I6550">
        <v>114.7548</v>
      </c>
      <c r="J6550">
        <v>-394.21899999999999</v>
      </c>
      <c r="K6550">
        <v>1.111653</v>
      </c>
      <c r="L6550">
        <v>136.77770000000001</v>
      </c>
      <c r="M6550">
        <v>-0.9729295</v>
      </c>
      <c r="N6550">
        <v>0</v>
      </c>
      <c r="O6550">
        <v>-0.23070379999999999</v>
      </c>
      <c r="P6550">
        <v>-0.9634334</v>
      </c>
      <c r="Q6550">
        <v>9.7840780000000002E-2</v>
      </c>
      <c r="R6550">
        <v>-0.24944669999999999</v>
      </c>
      <c r="S6550">
        <v>-2.808716</v>
      </c>
      <c r="T6550">
        <v>-6.3593629999999998E-2</v>
      </c>
      <c r="U6550">
        <v>-1.2082820000000001</v>
      </c>
      <c r="V6550">
        <v>-2.0679690000000001E-2</v>
      </c>
      <c r="W6550">
        <v>0.11127819999999999</v>
      </c>
      <c r="X6550">
        <v>0.99357410000000002</v>
      </c>
      <c r="Y6550">
        <v>-0.17257929999999999</v>
      </c>
      <c r="Z6550">
        <v>3.0389369999999998E-3</v>
      </c>
      <c r="AA6550">
        <v>0.98499099999999995</v>
      </c>
      <c r="AB6550">
        <v>20</v>
      </c>
      <c r="AC6550">
        <v>-51.108899999999998</v>
      </c>
      <c r="AD6550">
        <v>-1.161653</v>
      </c>
      <c r="AE6550">
        <v>-22.0229</v>
      </c>
      <c r="AF6550">
        <v>-9.6324010864216802</v>
      </c>
      <c r="AG6550">
        <v>-1.161653</v>
      </c>
      <c r="AH6550">
        <v>54.787293420977903</v>
      </c>
      <c r="AI6550">
        <v>91.196315016759996</v>
      </c>
      <c r="AJ6550">
        <v>99.971520421218301</v>
      </c>
      <c r="AK6550">
        <v>55.639734981202402</v>
      </c>
      <c r="AL6550">
        <v>83.610996498802507</v>
      </c>
      <c r="AM6550">
        <v>91.192349830602296</v>
      </c>
      <c r="AN6550">
        <v>0.999999989782273</v>
      </c>
    </row>
    <row r="6551" spans="1:40" x14ac:dyDescent="0.25">
      <c r="A6551" t="str">
        <f>"20190312154053573"</f>
        <v>20190312154053573</v>
      </c>
      <c r="B6551" t="str">
        <f>"1552376453563104"</f>
        <v>1552376453563104</v>
      </c>
      <c r="C6551" t="s">
        <v>40</v>
      </c>
      <c r="D6551">
        <v>4.0752160000000002</v>
      </c>
      <c r="E6551">
        <v>0.4435347</v>
      </c>
      <c r="F6551" t="s">
        <v>43</v>
      </c>
      <c r="G6551">
        <v>-444.07920000000001</v>
      </c>
      <c r="H6551">
        <v>-0.05</v>
      </c>
      <c r="I6551">
        <v>115.2527</v>
      </c>
      <c r="J6551">
        <v>-394.4128</v>
      </c>
      <c r="K6551">
        <v>1.1116509999999999</v>
      </c>
      <c r="L6551">
        <v>136.72980000000001</v>
      </c>
      <c r="M6551">
        <v>-0.97253979999999995</v>
      </c>
      <c r="N6551">
        <v>0</v>
      </c>
      <c r="O6551">
        <v>-0.2323414</v>
      </c>
      <c r="P6551">
        <v>-0.96300140000000001</v>
      </c>
      <c r="Q6551">
        <v>9.7410659999999996E-2</v>
      </c>
      <c r="R6551">
        <v>-0.25127620000000001</v>
      </c>
      <c r="S6551">
        <v>-2.8067929999999999</v>
      </c>
      <c r="T6551">
        <v>-6.5393209999999993E-2</v>
      </c>
      <c r="U6551">
        <v>-1.211716</v>
      </c>
      <c r="V6551">
        <v>-2.088301E-2</v>
      </c>
      <c r="W6551">
        <v>0.1108465</v>
      </c>
      <c r="X6551">
        <v>0.99361809999999995</v>
      </c>
      <c r="Y6551">
        <v>-0.17218320000000001</v>
      </c>
      <c r="Z6551">
        <v>3.1652939999999999E-3</v>
      </c>
      <c r="AA6551">
        <v>0.98505989999999999</v>
      </c>
      <c r="AB6551">
        <v>20</v>
      </c>
      <c r="AC6551">
        <v>-49.666400000000003</v>
      </c>
      <c r="AD6551">
        <v>-1.161651</v>
      </c>
      <c r="AE6551">
        <v>-21.4771</v>
      </c>
      <c r="AF6551">
        <v>-9.3443263484487193</v>
      </c>
      <c r="AG6551">
        <v>-1.161651</v>
      </c>
      <c r="AH6551">
        <v>53.272916918100499</v>
      </c>
      <c r="AI6551">
        <v>91.230395796407805</v>
      </c>
      <c r="AJ6551">
        <v>99.948749155873699</v>
      </c>
      <c r="AK6551">
        <v>54.0987018782794</v>
      </c>
      <c r="AL6551">
        <v>83.635885048280102</v>
      </c>
      <c r="AM6551">
        <v>91.204016119736295</v>
      </c>
      <c r="AN6551">
        <v>0.99999998765825904</v>
      </c>
    </row>
    <row r="6552" spans="1:40" x14ac:dyDescent="0.25">
      <c r="A6552" t="str">
        <f>"20190312154053597"</f>
        <v>20190312154053597</v>
      </c>
      <c r="B6552" t="str">
        <f>"1552376453592383"</f>
        <v>1552376453592383</v>
      </c>
      <c r="C6552" t="s">
        <v>40</v>
      </c>
      <c r="D6552">
        <v>4.0700830000000003</v>
      </c>
      <c r="E6552">
        <v>0.44381219999999999</v>
      </c>
      <c r="F6552" t="s">
        <v>43</v>
      </c>
      <c r="G6552">
        <v>-443.14440000000002</v>
      </c>
      <c r="H6552">
        <v>-0.05</v>
      </c>
      <c r="I6552">
        <v>115.6311</v>
      </c>
      <c r="J6552">
        <v>-394.60950000000003</v>
      </c>
      <c r="K6552">
        <v>1.1116469999999901</v>
      </c>
      <c r="L6552">
        <v>136.6807</v>
      </c>
      <c r="M6552">
        <v>-0.97214129999999999</v>
      </c>
      <c r="N6552">
        <v>0</v>
      </c>
      <c r="O6552">
        <v>-0.23400319999999999</v>
      </c>
      <c r="P6552">
        <v>-0.96250570000000002</v>
      </c>
      <c r="Q6552">
        <v>9.7543169999999998E-2</v>
      </c>
      <c r="R6552">
        <v>-0.25311739999999999</v>
      </c>
      <c r="S6552">
        <v>-2.8051149999999998</v>
      </c>
      <c r="T6552">
        <v>-6.6867590000000005E-2</v>
      </c>
      <c r="U6552">
        <v>-1.214493</v>
      </c>
      <c r="V6552">
        <v>-2.1087379999999999E-2</v>
      </c>
      <c r="W6552">
        <v>0.1109754</v>
      </c>
      <c r="X6552">
        <v>0.99359940000000002</v>
      </c>
      <c r="Y6552">
        <v>-0.17153669999999999</v>
      </c>
      <c r="Z6552">
        <v>3.2812449999999999E-3</v>
      </c>
      <c r="AA6552">
        <v>0.9851723</v>
      </c>
      <c r="AB6552">
        <v>20</v>
      </c>
      <c r="AC6552">
        <v>-48.534899999999901</v>
      </c>
      <c r="AD6552">
        <v>-1.1616470000000001</v>
      </c>
      <c r="AE6552">
        <v>-21.049600000000002</v>
      </c>
      <c r="AF6552">
        <v>-9.1023117750935594</v>
      </c>
      <c r="AG6552">
        <v>-1.1616470000000001</v>
      </c>
      <c r="AH6552">
        <v>52.088129181824101</v>
      </c>
      <c r="AI6552">
        <v>91.258509240063006</v>
      </c>
      <c r="AJ6552">
        <v>99.912251824777798</v>
      </c>
      <c r="AK6552">
        <v>52.890213698434003</v>
      </c>
      <c r="AL6552">
        <v>83.628453803784097</v>
      </c>
      <c r="AM6552">
        <v>91.215818487916295</v>
      </c>
      <c r="AN6552">
        <v>0.99999999234039205</v>
      </c>
    </row>
    <row r="6553" spans="1:40" x14ac:dyDescent="0.25">
      <c r="A6553" t="str">
        <f>"20190312154053619"</f>
        <v>20190312154053619</v>
      </c>
      <c r="B6553" t="str">
        <f>"1552376453613150"</f>
        <v>1552376453613150</v>
      </c>
      <c r="C6553" t="s">
        <v>40</v>
      </c>
      <c r="D6553">
        <v>4.0953439999999999</v>
      </c>
      <c r="E6553">
        <v>0.45030550000000003</v>
      </c>
      <c r="F6553" t="s">
        <v>43</v>
      </c>
      <c r="G6553">
        <v>-443.62650000000002</v>
      </c>
      <c r="H6553">
        <v>-0.05</v>
      </c>
      <c r="I6553">
        <v>115.39239999999999</v>
      </c>
      <c r="J6553">
        <v>-394.8098</v>
      </c>
      <c r="K6553">
        <v>1.1116410000000001</v>
      </c>
      <c r="L6553">
        <v>136.63030000000001</v>
      </c>
      <c r="M6553">
        <v>-0.97173229999999999</v>
      </c>
      <c r="N6553">
        <v>0</v>
      </c>
      <c r="O6553">
        <v>-0.23569609999999999</v>
      </c>
      <c r="P6553">
        <v>-0.96198930000000005</v>
      </c>
      <c r="Q6553">
        <v>9.7680409999999995E-2</v>
      </c>
      <c r="R6553">
        <v>-0.25502000000000002</v>
      </c>
      <c r="S6553">
        <v>-2.803375</v>
      </c>
      <c r="T6553">
        <v>-6.6436770000000006E-2</v>
      </c>
      <c r="U6553">
        <v>-1.217514</v>
      </c>
      <c r="V6553">
        <v>-2.1324900000000001E-2</v>
      </c>
      <c r="W6553">
        <v>0.1111095</v>
      </c>
      <c r="X6553">
        <v>0.99357930000000005</v>
      </c>
      <c r="Y6553">
        <v>-0.1709376</v>
      </c>
      <c r="Z6553">
        <v>3.3045639999999999E-3</v>
      </c>
      <c r="AA6553">
        <v>0.98527629999999999</v>
      </c>
      <c r="AB6553">
        <v>20</v>
      </c>
      <c r="AC6553">
        <v>-48.816699999999997</v>
      </c>
      <c r="AD6553">
        <v>-1.1616409999999999</v>
      </c>
      <c r="AE6553">
        <v>-21.2379</v>
      </c>
      <c r="AF6553">
        <v>-9.1281402164737404</v>
      </c>
      <c r="AG6553">
        <v>-1.1616409999999999</v>
      </c>
      <c r="AH6553">
        <v>52.422311644227598</v>
      </c>
      <c r="AI6553">
        <v>91.250614062681606</v>
      </c>
      <c r="AJ6553">
        <v>99.877705805815594</v>
      </c>
      <c r="AK6553">
        <v>53.223783328029299</v>
      </c>
      <c r="AL6553">
        <v>83.620722349029705</v>
      </c>
      <c r="AM6553">
        <v>91.229533676676297</v>
      </c>
      <c r="AN6553">
        <v>0.99999994886937305</v>
      </c>
    </row>
    <row r="6554" spans="1:40" x14ac:dyDescent="0.25">
      <c r="A6554" t="str">
        <f>"20190312154053641"</f>
        <v>20190312154053641</v>
      </c>
      <c r="B6554" t="str">
        <f>"1552376453632668"</f>
        <v>1552376453632668</v>
      </c>
      <c r="C6554" t="s">
        <v>40</v>
      </c>
      <c r="D6554">
        <v>4.094957</v>
      </c>
      <c r="E6554">
        <v>0.44988489999999998</v>
      </c>
      <c r="F6554" t="s">
        <v>43</v>
      </c>
      <c r="G6554">
        <v>-444.351</v>
      </c>
      <c r="H6554">
        <v>-0.05</v>
      </c>
      <c r="I6554">
        <v>115.9736</v>
      </c>
      <c r="J6554">
        <v>-395.00290000000001</v>
      </c>
      <c r="K6554">
        <v>1.111626</v>
      </c>
      <c r="L6554">
        <v>136.5814</v>
      </c>
      <c r="M6554">
        <v>-0.97133499999999995</v>
      </c>
      <c r="N6554">
        <v>0</v>
      </c>
      <c r="O6554">
        <v>-0.23732809999999999</v>
      </c>
      <c r="P6554">
        <v>-0.96170109999999998</v>
      </c>
      <c r="Q6554">
        <v>9.7828940000000003E-2</v>
      </c>
      <c r="R6554">
        <v>-0.25604749999999998</v>
      </c>
      <c r="S6554">
        <v>-2.8141479999999999</v>
      </c>
      <c r="T6554">
        <v>-6.5986039999999996E-2</v>
      </c>
      <c r="U6554">
        <v>-1.173386</v>
      </c>
      <c r="V6554">
        <v>-2.0720010000000001E-2</v>
      </c>
      <c r="W6554">
        <v>0.11125640000000001</v>
      </c>
      <c r="X6554">
        <v>0.99357569999999995</v>
      </c>
      <c r="Y6554">
        <v>-0.15479699999999999</v>
      </c>
      <c r="Z6554">
        <v>3.4992370000000001E-3</v>
      </c>
      <c r="AA6554">
        <v>0.98794009999999999</v>
      </c>
      <c r="AB6554">
        <v>20</v>
      </c>
      <c r="AC6554">
        <v>-49.348099999999903</v>
      </c>
      <c r="AD6554">
        <v>-1.161626</v>
      </c>
      <c r="AE6554">
        <v>-20.607800000000001</v>
      </c>
      <c r="AF6554">
        <v>-8.3022323317449001</v>
      </c>
      <c r="AG6554">
        <v>-1.161626</v>
      </c>
      <c r="AH6554">
        <v>52.804284784763702</v>
      </c>
      <c r="AI6554">
        <v>91.244941074106094</v>
      </c>
      <c r="AJ6554">
        <v>98.935266350167396</v>
      </c>
      <c r="AK6554">
        <v>53.465586392413002</v>
      </c>
      <c r="AL6554">
        <v>83.612253342944499</v>
      </c>
      <c r="AM6554">
        <v>91.194672005294194</v>
      </c>
      <c r="AN6554">
        <v>0.99999998849292404</v>
      </c>
    </row>
    <row r="6555" spans="1:40" x14ac:dyDescent="0.25">
      <c r="A6555" t="str">
        <f>"20190312154053663"</f>
        <v>20190312154053663</v>
      </c>
      <c r="B6555" t="str">
        <f>"1552376453653164"</f>
        <v>1552376453653164</v>
      </c>
      <c r="C6555" t="s">
        <v>40</v>
      </c>
      <c r="D6555">
        <v>4.0795539999999999</v>
      </c>
      <c r="E6555">
        <v>0.4500885</v>
      </c>
      <c r="F6555" t="s">
        <v>43</v>
      </c>
      <c r="G6555">
        <v>-445.10599999999999</v>
      </c>
      <c r="H6555">
        <v>-0.05</v>
      </c>
      <c r="I6555">
        <v>115.56100000000001</v>
      </c>
      <c r="J6555">
        <v>-395.19799999999998</v>
      </c>
      <c r="K6555">
        <v>1.1116220000000001</v>
      </c>
      <c r="L6555">
        <v>136.5317</v>
      </c>
      <c r="M6555">
        <v>-0.97093079999999998</v>
      </c>
      <c r="N6555">
        <v>0</v>
      </c>
      <c r="O6555">
        <v>-0.2389772</v>
      </c>
      <c r="P6555">
        <v>-0.9615013</v>
      </c>
      <c r="Q6555">
        <v>9.7220550000000003E-2</v>
      </c>
      <c r="R6555">
        <v>-0.25702849999999999</v>
      </c>
      <c r="S6555">
        <v>-2.8120120000000002</v>
      </c>
      <c r="T6555">
        <v>-6.5195680000000006E-2</v>
      </c>
      <c r="U6555">
        <v>-1.179764</v>
      </c>
      <c r="V6555">
        <v>-2.002872E-2</v>
      </c>
      <c r="W6555">
        <v>0.11064839999999999</v>
      </c>
      <c r="X6555">
        <v>0.99365780000000004</v>
      </c>
      <c r="Y6555">
        <v>-0.15529279999999901</v>
      </c>
      <c r="Z6555">
        <v>3.4874670000000002E-3</v>
      </c>
      <c r="AA6555">
        <v>0.98786229999999997</v>
      </c>
      <c r="AB6555">
        <v>20</v>
      </c>
      <c r="AC6555">
        <v>-49.907999999999902</v>
      </c>
      <c r="AD6555">
        <v>-1.1616219999999999</v>
      </c>
      <c r="AE6555">
        <v>-20.970699999999901</v>
      </c>
      <c r="AF6555">
        <v>-8.4311153948495292</v>
      </c>
      <c r="AG6555">
        <v>-1.1616219999999999</v>
      </c>
      <c r="AH6555">
        <v>53.449023818241201</v>
      </c>
      <c r="AI6555">
        <v>91.229826885016706</v>
      </c>
      <c r="AJ6555">
        <v>98.964045722087107</v>
      </c>
      <c r="AK6555">
        <v>54.1223726345683</v>
      </c>
      <c r="AL6555">
        <v>83.647305806169797</v>
      </c>
      <c r="AM6555">
        <v>91.154729273950807</v>
      </c>
      <c r="AN6555">
        <v>1.00000002077411</v>
      </c>
    </row>
    <row r="6556" spans="1:40" x14ac:dyDescent="0.25">
      <c r="A6556" t="str">
        <f>"20190312154053685"</f>
        <v>20190312154053685</v>
      </c>
      <c r="B6556" t="str">
        <f>"1552376453672685"</f>
        <v>1552376453672685</v>
      </c>
      <c r="C6556" t="s">
        <v>40</v>
      </c>
      <c r="D6556">
        <v>4.0966310000000004</v>
      </c>
      <c r="E6556">
        <v>0.45046229999999998</v>
      </c>
      <c r="F6556" t="s">
        <v>43</v>
      </c>
      <c r="G6556">
        <v>-444.7466</v>
      </c>
      <c r="H6556">
        <v>-0.05</v>
      </c>
      <c r="I6556">
        <v>115.71259999999999</v>
      </c>
      <c r="J6556">
        <v>-395.38850000000002</v>
      </c>
      <c r="K6556">
        <v>1.1116269999999999</v>
      </c>
      <c r="L6556">
        <v>136.4828</v>
      </c>
      <c r="M6556">
        <v>-0.97053279999999997</v>
      </c>
      <c r="N6556">
        <v>0</v>
      </c>
      <c r="O6556">
        <v>-0.24058789999999999</v>
      </c>
      <c r="P6556">
        <v>-0.96118499999999996</v>
      </c>
      <c r="Q6556">
        <v>9.6877019999999994E-2</v>
      </c>
      <c r="R6556">
        <v>-0.2583376</v>
      </c>
      <c r="S6556">
        <v>-2.811096</v>
      </c>
      <c r="T6556">
        <v>-6.5903539999999997E-2</v>
      </c>
      <c r="U6556">
        <v>-1.181152</v>
      </c>
      <c r="V6556">
        <v>-1.9722440000000001E-2</v>
      </c>
      <c r="W6556">
        <v>0.11030429999999999</v>
      </c>
      <c r="X6556">
        <v>0.99370219999999998</v>
      </c>
      <c r="Y6556">
        <v>-0.15418399999999999</v>
      </c>
      <c r="Z6556">
        <v>3.5730039999999999E-3</v>
      </c>
      <c r="AA6556">
        <v>0.98803569999999996</v>
      </c>
      <c r="AB6556">
        <v>20</v>
      </c>
      <c r="AC6556">
        <v>-49.358099999999901</v>
      </c>
      <c r="AD6556">
        <v>-1.161627</v>
      </c>
      <c r="AE6556">
        <v>-20.770199999999999</v>
      </c>
      <c r="AF6556">
        <v>-8.2800627831714895</v>
      </c>
      <c r="AG6556">
        <v>-1.161627</v>
      </c>
      <c r="AH6556">
        <v>52.880686011631198</v>
      </c>
      <c r="AI6556">
        <v>91.243267056224894</v>
      </c>
      <c r="AJ6556">
        <v>98.899120471295305</v>
      </c>
      <c r="AK6556">
        <v>53.537610798775098</v>
      </c>
      <c r="AL6556">
        <v>83.667142818191095</v>
      </c>
      <c r="AM6556">
        <v>91.1370249862766</v>
      </c>
      <c r="AN6556">
        <v>1.00000003776144</v>
      </c>
    </row>
    <row r="6557" spans="1:40" x14ac:dyDescent="0.25">
      <c r="A6557" t="str">
        <f>"20190312154053707"</f>
        <v>20190312154053707</v>
      </c>
      <c r="B6557" t="str">
        <f>"1552376453702944"</f>
        <v>1552376453702944</v>
      </c>
      <c r="C6557" t="s">
        <v>40</v>
      </c>
      <c r="D6557">
        <v>4.0714329999999999</v>
      </c>
      <c r="E6557">
        <v>0.4507352</v>
      </c>
      <c r="F6557" t="s">
        <v>43</v>
      </c>
      <c r="G6557">
        <v>-445.26369999999997</v>
      </c>
      <c r="H6557">
        <v>-0.05</v>
      </c>
      <c r="I6557">
        <v>115.50060000000001</v>
      </c>
      <c r="J6557">
        <v>-395.58440000000002</v>
      </c>
      <c r="K6557">
        <v>1.1116189999999999</v>
      </c>
      <c r="L6557">
        <v>136.43209999999999</v>
      </c>
      <c r="M6557">
        <v>-0.97012089999999995</v>
      </c>
      <c r="N6557">
        <v>0</v>
      </c>
      <c r="O6557">
        <v>-0.24224399999999999</v>
      </c>
      <c r="P6557">
        <v>-0.96079340000000002</v>
      </c>
      <c r="Q6557">
        <v>9.6311090000000002E-2</v>
      </c>
      <c r="R6557">
        <v>-0.26000109999999999</v>
      </c>
      <c r="S6557">
        <v>-2.810028</v>
      </c>
      <c r="T6557">
        <v>-6.5447450000000004E-2</v>
      </c>
      <c r="U6557">
        <v>-1.182159</v>
      </c>
      <c r="V6557">
        <v>-1.9731269999999999E-2</v>
      </c>
      <c r="W6557">
        <v>0.109737</v>
      </c>
      <c r="X6557">
        <v>0.9937648</v>
      </c>
      <c r="Y6557">
        <v>-0.15293300000000001</v>
      </c>
      <c r="Z6557">
        <v>3.5984749999999999E-3</v>
      </c>
      <c r="AA6557">
        <v>0.98823000000000005</v>
      </c>
      <c r="AB6557">
        <v>20</v>
      </c>
      <c r="AC6557">
        <v>-49.679299999999898</v>
      </c>
      <c r="AD6557">
        <v>-1.161619</v>
      </c>
      <c r="AE6557">
        <v>-20.9314999999999</v>
      </c>
      <c r="AF6557">
        <v>-8.2684922546029505</v>
      </c>
      <c r="AG6557">
        <v>-1.161619</v>
      </c>
      <c r="AH6557">
        <v>53.245617073817101</v>
      </c>
      <c r="AI6557">
        <v>91.234982700967905</v>
      </c>
      <c r="AJ6557">
        <v>98.826937604901403</v>
      </c>
      <c r="AK6557">
        <v>53.896317689032799</v>
      </c>
      <c r="AL6557">
        <v>83.699845032119498</v>
      </c>
      <c r="AM6557">
        <v>91.137462276241493</v>
      </c>
      <c r="AN6557">
        <v>1.00000000495192</v>
      </c>
    </row>
    <row r="6558" spans="1:40" x14ac:dyDescent="0.25">
      <c r="A6558" t="str">
        <f>"20190312154053731"</f>
        <v>20190312154053731</v>
      </c>
      <c r="B6558" t="str">
        <f>"1552376453722460"</f>
        <v>1552376453722460</v>
      </c>
      <c r="C6558" t="s">
        <v>40</v>
      </c>
      <c r="D6558">
        <v>4.0887349999999998</v>
      </c>
      <c r="E6558">
        <v>0.45076569999999999</v>
      </c>
      <c r="F6558" t="s">
        <v>43</v>
      </c>
      <c r="G6558">
        <v>-444.92869999999999</v>
      </c>
      <c r="H6558">
        <v>-0.05</v>
      </c>
      <c r="I6558">
        <v>115.6112</v>
      </c>
      <c r="J6558">
        <v>-395.78359999999998</v>
      </c>
      <c r="K6558">
        <v>1.11161</v>
      </c>
      <c r="L6558">
        <v>136.3802</v>
      </c>
      <c r="M6558">
        <v>-0.96969859999999997</v>
      </c>
      <c r="N6558">
        <v>0</v>
      </c>
      <c r="O6558">
        <v>-0.24392900000000001</v>
      </c>
      <c r="P6558">
        <v>-0.9605011</v>
      </c>
      <c r="Q6558">
        <v>9.6119850000000007E-2</v>
      </c>
      <c r="R6558">
        <v>-0.261148299999999</v>
      </c>
      <c r="S6558">
        <v>-2.808411</v>
      </c>
      <c r="T6558">
        <v>-6.6113000000000005E-2</v>
      </c>
      <c r="U6558">
        <v>-1.1850130000000001</v>
      </c>
      <c r="V6558">
        <v>-1.9184840000000002E-2</v>
      </c>
      <c r="W6558">
        <v>0.10954460000000001</v>
      </c>
      <c r="X6558">
        <v>0.99379669999999998</v>
      </c>
      <c r="Y6558">
        <v>-0.15227309999999999</v>
      </c>
      <c r="Z6558">
        <v>3.679828E-3</v>
      </c>
      <c r="AA6558">
        <v>0.98833159999999998</v>
      </c>
      <c r="AB6558">
        <v>20</v>
      </c>
      <c r="AC6558">
        <v>-49.145099999999999</v>
      </c>
      <c r="AD6558">
        <v>-1.16161</v>
      </c>
      <c r="AE6558">
        <v>-20.768999999999998</v>
      </c>
      <c r="AF6558">
        <v>-8.1486395994719594</v>
      </c>
      <c r="AG6558">
        <v>-1.16161</v>
      </c>
      <c r="AH6558">
        <v>52.701946166394201</v>
      </c>
      <c r="AI6558">
        <v>91.247835936050194</v>
      </c>
      <c r="AJ6558">
        <v>98.789326500406801</v>
      </c>
      <c r="AK6558">
        <v>53.340836090557197</v>
      </c>
      <c r="AL6558">
        <v>83.710935439469196</v>
      </c>
      <c r="AM6558">
        <v>91.105934288752493</v>
      </c>
      <c r="AN6558">
        <v>0.99999997920293704</v>
      </c>
    </row>
    <row r="6559" spans="1:40" x14ac:dyDescent="0.25">
      <c r="A6559" t="str">
        <f>"20190312154053751"</f>
        <v>20190312154053751</v>
      </c>
      <c r="B6559" t="str">
        <f>"1552376453742957"</f>
        <v>1552376453742957</v>
      </c>
      <c r="C6559" t="s">
        <v>40</v>
      </c>
      <c r="D6559">
        <v>3.9919690000000001</v>
      </c>
      <c r="E6559">
        <v>0.44803090000000001</v>
      </c>
      <c r="F6559" t="s">
        <v>43</v>
      </c>
      <c r="G6559">
        <v>-444.93959999999998</v>
      </c>
      <c r="H6559">
        <v>-0.05</v>
      </c>
      <c r="I6559">
        <v>115.5731</v>
      </c>
      <c r="J6559">
        <v>-395.96969999999999</v>
      </c>
      <c r="K6559">
        <v>1.1116140000000001</v>
      </c>
      <c r="L6559">
        <v>136.3314</v>
      </c>
      <c r="M6559">
        <v>-0.96930130000000003</v>
      </c>
      <c r="N6559">
        <v>0</v>
      </c>
      <c r="O6559">
        <v>-0.24550259999999999</v>
      </c>
      <c r="P6559">
        <v>-0.96007759999999998</v>
      </c>
      <c r="Q6559">
        <v>9.6643569999999998E-2</v>
      </c>
      <c r="R6559">
        <v>-0.26250889999999999</v>
      </c>
      <c r="S6559">
        <v>-2.8069760000000001</v>
      </c>
      <c r="T6559">
        <v>-6.6331860000000006E-2</v>
      </c>
      <c r="U6559">
        <v>-1.188156</v>
      </c>
      <c r="V6559">
        <v>-1.8993240000000002E-2</v>
      </c>
      <c r="W6559">
        <v>0.110066</v>
      </c>
      <c r="X6559">
        <v>0.99374280000000004</v>
      </c>
      <c r="Y6559">
        <v>-0.15178939999999999</v>
      </c>
      <c r="Z6559">
        <v>3.7322200000000001E-3</v>
      </c>
      <c r="AA6559">
        <v>0.9884058</v>
      </c>
      <c r="AB6559">
        <v>20</v>
      </c>
      <c r="AC6559">
        <v>-48.969900000000003</v>
      </c>
      <c r="AD6559">
        <v>-1.1616139999999999</v>
      </c>
      <c r="AE6559">
        <v>-20.758299999999998</v>
      </c>
      <c r="AF6559">
        <v>-8.0956909671927999</v>
      </c>
      <c r="AG6559">
        <v>-1.1616139999999999</v>
      </c>
      <c r="AH6559">
        <v>52.542565107613697</v>
      </c>
      <c r="AI6559">
        <v>91.251725813379693</v>
      </c>
      <c r="AJ6559">
        <v>98.759178548798999</v>
      </c>
      <c r="AK6559">
        <v>53.175282861580598</v>
      </c>
      <c r="AL6559">
        <v>83.680879870953504</v>
      </c>
      <c r="AM6559">
        <v>91.094951339254905</v>
      </c>
      <c r="AN6559">
        <v>1.0000000100367601</v>
      </c>
    </row>
    <row r="6560" spans="1:40" x14ac:dyDescent="0.25">
      <c r="A6560" t="str">
        <f>"20190312154053775"</f>
        <v>20190312154053775</v>
      </c>
      <c r="B6560" t="str">
        <f>"1552376453762476"</f>
        <v>1552376453762476</v>
      </c>
      <c r="C6560" t="s">
        <v>40</v>
      </c>
      <c r="D6560">
        <v>4.0524459999999998</v>
      </c>
      <c r="E6560">
        <v>0.42342410000000003</v>
      </c>
      <c r="F6560" t="s">
        <v>43</v>
      </c>
      <c r="G6560">
        <v>-443.51280000000003</v>
      </c>
      <c r="H6560">
        <v>-0.05</v>
      </c>
      <c r="I6560">
        <v>115.7124</v>
      </c>
      <c r="J6560">
        <v>-396.1635</v>
      </c>
      <c r="K6560">
        <v>1.1116010000000001</v>
      </c>
      <c r="L6560">
        <v>136.28030000000001</v>
      </c>
      <c r="M6560">
        <v>-0.96888459999999998</v>
      </c>
      <c r="N6560">
        <v>0</v>
      </c>
      <c r="O6560">
        <v>-0.2471429</v>
      </c>
      <c r="P6560">
        <v>-0.95951370000000002</v>
      </c>
      <c r="Q6560">
        <v>9.7273059999999995E-2</v>
      </c>
      <c r="R6560">
        <v>-0.2643335</v>
      </c>
      <c r="S6560">
        <v>-2.799652</v>
      </c>
      <c r="T6560">
        <v>-6.8403480000000003E-2</v>
      </c>
      <c r="U6560">
        <v>-1.2141879999999901</v>
      </c>
      <c r="V6560">
        <v>-1.9216500000000001E-2</v>
      </c>
      <c r="W6560">
        <v>0.110692</v>
      </c>
      <c r="X6560">
        <v>0.99366900000000002</v>
      </c>
      <c r="Y6560">
        <v>-0.1588019</v>
      </c>
      <c r="Z6560">
        <v>3.8042390000000001E-3</v>
      </c>
      <c r="AA6560">
        <v>0.98730309999999999</v>
      </c>
      <c r="AB6560">
        <v>20</v>
      </c>
      <c r="AC6560">
        <v>-47.349299999999999</v>
      </c>
      <c r="AD6560">
        <v>-1.1616010000000001</v>
      </c>
      <c r="AE6560">
        <v>-20.567900000000002</v>
      </c>
      <c r="AF6560">
        <v>-8.2224679698837999</v>
      </c>
      <c r="AG6560">
        <v>-1.1616010000000001</v>
      </c>
      <c r="AH6560">
        <v>50.938091402782099</v>
      </c>
      <c r="AI6560">
        <v>91.289667962755402</v>
      </c>
      <c r="AJ6560">
        <v>99.169633706662296</v>
      </c>
      <c r="AK6560">
        <v>51.610536251400703</v>
      </c>
      <c r="AL6560">
        <v>83.644792374543599</v>
      </c>
      <c r="AM6560">
        <v>91.107901241586205</v>
      </c>
      <c r="AN6560">
        <v>1.00000003714862</v>
      </c>
    </row>
    <row r="6561" spans="1:40" x14ac:dyDescent="0.25">
      <c r="A6561" t="str">
        <f>"20190312154053797"</f>
        <v>20190312154053797</v>
      </c>
      <c r="B6561" t="str">
        <f>"1552376453792736"</f>
        <v>1552376453792736</v>
      </c>
      <c r="C6561" t="s">
        <v>40</v>
      </c>
      <c r="D6561">
        <v>4.0362669999999996</v>
      </c>
      <c r="E6561">
        <v>0.42543599999999998</v>
      </c>
      <c r="F6561" t="s">
        <v>55</v>
      </c>
      <c r="G6561">
        <v>-416.60930000000002</v>
      </c>
      <c r="H6561" s="1">
        <v>-4.0426549999999997E-6</v>
      </c>
      <c r="I6561">
        <v>125.7636</v>
      </c>
      <c r="J6561">
        <v>-396.35860000000002</v>
      </c>
      <c r="K6561">
        <v>1.111594</v>
      </c>
      <c r="L6561">
        <v>136.22839999999999</v>
      </c>
      <c r="M6561">
        <v>-0.9684623</v>
      </c>
      <c r="N6561">
        <v>0</v>
      </c>
      <c r="O6561">
        <v>-0.24879280000000001</v>
      </c>
      <c r="P6561">
        <v>-0.95907509999999996</v>
      </c>
      <c r="Q6561">
        <v>9.7021259999999998E-2</v>
      </c>
      <c r="R6561">
        <v>-0.26601130000000001</v>
      </c>
      <c r="S6561">
        <v>-2.7518009999999999</v>
      </c>
      <c r="T6561">
        <v>-0.14961140000000001</v>
      </c>
      <c r="U6561">
        <v>-1.4154359999999999</v>
      </c>
      <c r="V6561">
        <v>-1.925495E-2</v>
      </c>
      <c r="W6561">
        <v>0.1104385</v>
      </c>
      <c r="X6561">
        <v>0.99369649999999998</v>
      </c>
      <c r="Y6561">
        <v>-0.22178490000000001</v>
      </c>
      <c r="Z6561">
        <v>6.7672299999999999E-3</v>
      </c>
      <c r="AA6561">
        <v>0.9750721</v>
      </c>
      <c r="AB6561">
        <v>20</v>
      </c>
      <c r="AC6561">
        <v>-20.250699999999899</v>
      </c>
      <c r="AD6561">
        <v>-1.1115980426549901</v>
      </c>
      <c r="AE6561">
        <v>-10.464799999999901</v>
      </c>
      <c r="AF6561">
        <v>-5.0849098517789804</v>
      </c>
      <c r="AG6561">
        <v>-1.1115980426549901</v>
      </c>
      <c r="AH6561">
        <v>22.1649287934531</v>
      </c>
      <c r="AI6561">
        <v>92.798469899986799</v>
      </c>
      <c r="AJ6561">
        <v>102.92078575406801</v>
      </c>
      <c r="AK6561">
        <v>22.767872689998899</v>
      </c>
      <c r="AL6561">
        <v>83.6594066943846</v>
      </c>
      <c r="AM6561">
        <v>91.110086755793802</v>
      </c>
      <c r="AN6561">
        <v>1.0000000747469899</v>
      </c>
    </row>
    <row r="6562" spans="1:40" x14ac:dyDescent="0.25">
      <c r="A6562" t="str">
        <f>"20190312154053820"</f>
        <v>20190312154053820</v>
      </c>
      <c r="B6562" t="str">
        <f>"1552376453813231"</f>
        <v>1552376453813231</v>
      </c>
      <c r="C6562" t="s">
        <v>40</v>
      </c>
      <c r="D6562">
        <v>4.0228349999999997</v>
      </c>
      <c r="E6562">
        <v>0.42626950000000002</v>
      </c>
      <c r="F6562" t="s">
        <v>55</v>
      </c>
      <c r="G6562">
        <v>-417.95679999999999</v>
      </c>
      <c r="H6562" s="1">
        <v>-3.6625800000000002E-6</v>
      </c>
      <c r="I6562">
        <v>125.2093</v>
      </c>
      <c r="J6562">
        <v>-396.55059999999997</v>
      </c>
      <c r="K6562">
        <v>1.1115950000000001</v>
      </c>
      <c r="L6562">
        <v>136.17699999999999</v>
      </c>
      <c r="M6562">
        <v>-0.96804349999999995</v>
      </c>
      <c r="N6562">
        <v>0</v>
      </c>
      <c r="O6562">
        <v>-0.2504171</v>
      </c>
      <c r="P6562">
        <v>-0.95857009999999998</v>
      </c>
      <c r="Q6562">
        <v>9.5707390000000003E-2</v>
      </c>
      <c r="R6562">
        <v>-0.26829769999999997</v>
      </c>
      <c r="S6562">
        <v>-2.752777</v>
      </c>
      <c r="T6562">
        <v>-0.14167759999999999</v>
      </c>
      <c r="U6562">
        <v>-1.404434</v>
      </c>
      <c r="V6562">
        <v>-1.9921230000000002E-2</v>
      </c>
      <c r="W6562">
        <v>0.10912230000000001</v>
      </c>
      <c r="X6562">
        <v>0.99382870000000001</v>
      </c>
      <c r="Y6562">
        <v>-0.21692249999999999</v>
      </c>
      <c r="Z6562">
        <v>6.6058549999999999E-3</v>
      </c>
      <c r="AA6562">
        <v>0.97616650000000005</v>
      </c>
      <c r="AB6562">
        <v>20</v>
      </c>
      <c r="AC6562">
        <v>-21.406199999999998</v>
      </c>
      <c r="AD6562">
        <v>-1.1115986625799901</v>
      </c>
      <c r="AE6562">
        <v>-10.967700000000001</v>
      </c>
      <c r="AF6562">
        <v>-5.2460084330049304</v>
      </c>
      <c r="AG6562">
        <v>-1.1115986625799901</v>
      </c>
      <c r="AH6562">
        <v>23.4207563770089</v>
      </c>
      <c r="AI6562">
        <v>92.651730616755302</v>
      </c>
      <c r="AJ6562">
        <v>102.625275482777</v>
      </c>
      <c r="AK6562">
        <v>24.026820125372598</v>
      </c>
      <c r="AL6562">
        <v>83.735277557960998</v>
      </c>
      <c r="AM6562">
        <v>91.148336294747395</v>
      </c>
      <c r="AN6562">
        <v>1.00000000835284</v>
      </c>
    </row>
    <row r="6563" spans="1:40" x14ac:dyDescent="0.25">
      <c r="A6563" t="str">
        <f>"20190312154053842"</f>
        <v>20190312154053842</v>
      </c>
      <c r="B6563" t="str">
        <f>"1552376453832749"</f>
        <v>1552376453832749</v>
      </c>
      <c r="C6563" t="s">
        <v>40</v>
      </c>
      <c r="D6563">
        <v>4.0148890000000002</v>
      </c>
      <c r="E6563">
        <v>0.42664780000000002</v>
      </c>
      <c r="F6563" t="s">
        <v>55</v>
      </c>
      <c r="G6563">
        <v>-418.06119999999999</v>
      </c>
      <c r="H6563" s="1">
        <v>-3.6435790000000002E-6</v>
      </c>
      <c r="I6563">
        <v>125.1964</v>
      </c>
      <c r="J6563">
        <v>-396.74759999999998</v>
      </c>
      <c r="K6563">
        <v>1.111594</v>
      </c>
      <c r="L6563">
        <v>136.12389999999999</v>
      </c>
      <c r="M6563">
        <v>-0.96761079999999999</v>
      </c>
      <c r="N6563">
        <v>0</v>
      </c>
      <c r="O6563">
        <v>-0.25208429999999998</v>
      </c>
      <c r="P6563">
        <v>-0.95804909999999999</v>
      </c>
      <c r="Q6563">
        <v>9.4746399999999995E-2</v>
      </c>
      <c r="R6563">
        <v>-0.27049099999999998</v>
      </c>
      <c r="S6563">
        <v>-2.7508240000000002</v>
      </c>
      <c r="T6563">
        <v>-0.14215349999999999</v>
      </c>
      <c r="U6563">
        <v>-1.4042209999999999</v>
      </c>
      <c r="V6563">
        <v>-2.0458420000000001E-2</v>
      </c>
      <c r="W6563">
        <v>0.10815909999999999</v>
      </c>
      <c r="X6563">
        <v>0.99392309999999995</v>
      </c>
      <c r="Y6563">
        <v>-0.2154644</v>
      </c>
      <c r="Z6563">
        <v>6.7444649999999998E-3</v>
      </c>
      <c r="AA6563">
        <v>0.97648840000000003</v>
      </c>
      <c r="AB6563">
        <v>20</v>
      </c>
      <c r="AC6563">
        <v>-21.313600000000001</v>
      </c>
      <c r="AD6563">
        <v>-1.111597643579</v>
      </c>
      <c r="AE6563">
        <v>-10.927499999999901</v>
      </c>
      <c r="AF6563">
        <v>-5.1900397814703902</v>
      </c>
      <c r="AG6563">
        <v>-1.111597643579</v>
      </c>
      <c r="AH6563">
        <v>23.329808211032599</v>
      </c>
      <c r="AI6563">
        <v>92.662913326144803</v>
      </c>
      <c r="AJ6563">
        <v>102.542001727026</v>
      </c>
      <c r="AK6563">
        <v>23.925971525060799</v>
      </c>
      <c r="AL6563">
        <v>83.790793603976198</v>
      </c>
      <c r="AM6563">
        <v>91.179181387469598</v>
      </c>
      <c r="AN6563">
        <v>1.00000003328765</v>
      </c>
    </row>
    <row r="6564" spans="1:40" x14ac:dyDescent="0.25">
      <c r="A6564" t="str">
        <f>"20190312154053864"</f>
        <v>20190312154053864</v>
      </c>
      <c r="B6564" t="str">
        <f>"1552376453853245"</f>
        <v>1552376453853245</v>
      </c>
      <c r="C6564" t="s">
        <v>40</v>
      </c>
      <c r="D6564">
        <v>4.0220070000000003</v>
      </c>
      <c r="E6564">
        <v>0.42680459999999898</v>
      </c>
      <c r="F6564" t="s">
        <v>55</v>
      </c>
      <c r="G6564">
        <v>-417.87740000000002</v>
      </c>
      <c r="H6564" s="1">
        <v>-3.70535E-6</v>
      </c>
      <c r="I6564">
        <v>125.3006</v>
      </c>
      <c r="J6564">
        <v>-396.93470000000002</v>
      </c>
      <c r="K6564">
        <v>1.1115930000000001</v>
      </c>
      <c r="L6564">
        <v>136.07310000000001</v>
      </c>
      <c r="M6564">
        <v>-0.96719679999999997</v>
      </c>
      <c r="N6564">
        <v>0</v>
      </c>
      <c r="O6564">
        <v>-0.2536678</v>
      </c>
      <c r="P6564">
        <v>-0.95729920000000002</v>
      </c>
      <c r="Q6564">
        <v>9.5098230000000006E-2</v>
      </c>
      <c r="R6564">
        <v>-0.27301039999999999</v>
      </c>
      <c r="S6564">
        <v>-2.74823</v>
      </c>
      <c r="T6564">
        <v>-0.1445787</v>
      </c>
      <c r="U6564">
        <v>-1.407715</v>
      </c>
      <c r="V6564">
        <v>-2.1456179999999998E-2</v>
      </c>
      <c r="W6564">
        <v>0.10850559999999999</v>
      </c>
      <c r="X6564">
        <v>0.99386419999999998</v>
      </c>
      <c r="Y6564">
        <v>-0.21522620000000001</v>
      </c>
      <c r="Z6564">
        <v>6.9427999999999998E-3</v>
      </c>
      <c r="AA6564">
        <v>0.97653959999999995</v>
      </c>
      <c r="AB6564">
        <v>20</v>
      </c>
      <c r="AC6564">
        <v>-20.942699999999999</v>
      </c>
      <c r="AD6564">
        <v>-1.11159670535</v>
      </c>
      <c r="AE6564">
        <v>-10.772500000000001</v>
      </c>
      <c r="AF6564">
        <v>-5.0957537718390302</v>
      </c>
      <c r="AG6564">
        <v>-1.11159670535</v>
      </c>
      <c r="AH6564">
        <v>22.939347691510701</v>
      </c>
      <c r="AI6564">
        <v>92.708356082178796</v>
      </c>
      <c r="AJ6564">
        <v>102.524335179966</v>
      </c>
      <c r="AK6564">
        <v>23.524795987437901</v>
      </c>
      <c r="AL6564">
        <v>83.7708225046118</v>
      </c>
      <c r="AM6564">
        <v>91.236746050980202</v>
      </c>
      <c r="AN6564">
        <v>0.99999994046659402</v>
      </c>
    </row>
    <row r="6565" spans="1:40" x14ac:dyDescent="0.25">
      <c r="A6565" t="str">
        <f>"20190312154053887"</f>
        <v>20190312154053887</v>
      </c>
      <c r="B6565" t="str">
        <f>"1552376453882525"</f>
        <v>1552376453882525</v>
      </c>
      <c r="C6565" t="s">
        <v>40</v>
      </c>
      <c r="D6565">
        <v>4.0332359999999996</v>
      </c>
      <c r="E6565">
        <v>0.42703619999999998</v>
      </c>
      <c r="F6565" t="s">
        <v>55</v>
      </c>
      <c r="G6565">
        <v>-418.22359999999998</v>
      </c>
      <c r="H6565" s="1">
        <v>-3.5909100000000001E-6</v>
      </c>
      <c r="I6565">
        <v>125.10980000000001</v>
      </c>
      <c r="J6565">
        <v>-397.13229999999999</v>
      </c>
      <c r="K6565">
        <v>1.1115900000000001</v>
      </c>
      <c r="L6565">
        <v>136.01910000000001</v>
      </c>
      <c r="M6565">
        <v>-0.96675639999999996</v>
      </c>
      <c r="N6565">
        <v>0</v>
      </c>
      <c r="O6565">
        <v>-0.25534200000000001</v>
      </c>
      <c r="P6565">
        <v>-0.95662000000000003</v>
      </c>
      <c r="Q6565">
        <v>9.5553100000000002E-2</v>
      </c>
      <c r="R6565">
        <v>-0.27522410000000003</v>
      </c>
      <c r="S6565">
        <v>-2.7449650000000001</v>
      </c>
      <c r="T6565">
        <v>-0.14332739999999999</v>
      </c>
      <c r="U6565">
        <v>-1.413589</v>
      </c>
      <c r="V6565">
        <v>-2.2047000000000001E-2</v>
      </c>
      <c r="W6565">
        <v>0.108956399999999</v>
      </c>
      <c r="X6565">
        <v>0.99380199999999996</v>
      </c>
      <c r="Y6565">
        <v>-0.21566060000000001</v>
      </c>
      <c r="Z6565">
        <v>6.9530729999999997E-3</v>
      </c>
      <c r="AA6565">
        <v>0.97644359999999997</v>
      </c>
      <c r="AB6565">
        <v>20</v>
      </c>
      <c r="AC6565">
        <v>-21.091299999999901</v>
      </c>
      <c r="AD6565">
        <v>-1.1115935909100001</v>
      </c>
      <c r="AE6565">
        <v>-10.9093</v>
      </c>
      <c r="AF6565">
        <v>-5.1503254705601504</v>
      </c>
      <c r="AG6565">
        <v>-1.1115935909100001</v>
      </c>
      <c r="AH6565">
        <v>23.127185925335699</v>
      </c>
      <c r="AI6565">
        <v>92.686068006866805</v>
      </c>
      <c r="AJ6565">
        <v>102.55465821339</v>
      </c>
      <c r="AK6565">
        <v>23.719785445680099</v>
      </c>
      <c r="AL6565">
        <v>83.744839836707499</v>
      </c>
      <c r="AM6565">
        <v>91.270869733888205</v>
      </c>
      <c r="AN6565">
        <v>0.99999999125698003</v>
      </c>
    </row>
    <row r="6566" spans="1:40" x14ac:dyDescent="0.25">
      <c r="A6566" t="str">
        <f>"20190312154053909"</f>
        <v>20190312154053909</v>
      </c>
      <c r="B6566" t="str">
        <f>"1552376453903024"</f>
        <v>1552376453903024</v>
      </c>
      <c r="C6566" t="s">
        <v>40</v>
      </c>
      <c r="D6566">
        <v>3.971387</v>
      </c>
      <c r="E6566">
        <v>0.42722329999999997</v>
      </c>
      <c r="F6566" t="s">
        <v>55</v>
      </c>
      <c r="G6566">
        <v>-418.57459999999998</v>
      </c>
      <c r="H6566" s="1">
        <v>-3.4790180000000001E-6</v>
      </c>
      <c r="I6566">
        <v>124.92829999999999</v>
      </c>
      <c r="J6566">
        <v>-397.31889999999999</v>
      </c>
      <c r="K6566">
        <v>1.111583</v>
      </c>
      <c r="L6566">
        <v>135.96789999999999</v>
      </c>
      <c r="M6566">
        <v>-0.966337</v>
      </c>
      <c r="N6566">
        <v>0</v>
      </c>
      <c r="O6566">
        <v>-0.25692480000000001</v>
      </c>
      <c r="P6566">
        <v>-0.95606880000000005</v>
      </c>
      <c r="Q6566">
        <v>9.5091899999999993E-2</v>
      </c>
      <c r="R6566">
        <v>-0.27729110000000001</v>
      </c>
      <c r="S6566">
        <v>-2.7421880000000001</v>
      </c>
      <c r="T6566">
        <v>-0.14215839999999999</v>
      </c>
      <c r="U6566">
        <v>-1.4183809999999999</v>
      </c>
      <c r="V6566">
        <v>-2.2555200000000001E-2</v>
      </c>
      <c r="W6566">
        <v>0.1084928</v>
      </c>
      <c r="X6566">
        <v>0.99384139999999999</v>
      </c>
      <c r="Y6566">
        <v>-0.2158117</v>
      </c>
      <c r="Z6566">
        <v>6.9685019999999997E-3</v>
      </c>
      <c r="AA6566">
        <v>0.97641020000000001</v>
      </c>
      <c r="AB6566">
        <v>20</v>
      </c>
      <c r="AC6566">
        <v>-21.255699999999901</v>
      </c>
      <c r="AD6566">
        <v>-1.1115864790179999</v>
      </c>
      <c r="AE6566">
        <v>-11.039599999999901</v>
      </c>
      <c r="AF6566">
        <v>-5.1961407430809796</v>
      </c>
      <c r="AG6566">
        <v>-1.1115864790179999</v>
      </c>
      <c r="AH6566">
        <v>23.3284029515182</v>
      </c>
      <c r="AI6566">
        <v>92.6628917425233</v>
      </c>
      <c r="AJ6566">
        <v>102.55701013121499</v>
      </c>
      <c r="AK6566">
        <v>23.925925005956302</v>
      </c>
      <c r="AL6566">
        <v>83.771561096656697</v>
      </c>
      <c r="AM6566">
        <v>91.300102773123001</v>
      </c>
      <c r="AN6566">
        <v>1.0000000765264101</v>
      </c>
    </row>
    <row r="6567" spans="1:40" x14ac:dyDescent="0.25">
      <c r="A6567" t="str">
        <f>"20190312154053931"</f>
        <v>20190312154053931</v>
      </c>
      <c r="B6567" t="str">
        <f>"1552376453922541"</f>
        <v>1552376453922541</v>
      </c>
      <c r="C6567" t="s">
        <v>40</v>
      </c>
      <c r="D6567">
        <v>4.0123519999999999</v>
      </c>
      <c r="E6567">
        <v>0.42766219999999999</v>
      </c>
      <c r="F6567" t="s">
        <v>55</v>
      </c>
      <c r="G6567">
        <v>-418.53050000000002</v>
      </c>
      <c r="H6567" s="1">
        <v>-3.493227E-6</v>
      </c>
      <c r="I6567">
        <v>124.9515</v>
      </c>
      <c r="J6567">
        <v>-397.50459999999998</v>
      </c>
      <c r="K6567">
        <v>1.11158</v>
      </c>
      <c r="L6567">
        <v>135.91650000000001</v>
      </c>
      <c r="M6567">
        <v>-0.96591490000000002</v>
      </c>
      <c r="N6567">
        <v>0</v>
      </c>
      <c r="O6567">
        <v>-0.25850590000000001</v>
      </c>
      <c r="P6567">
        <v>-0.95567550000000001</v>
      </c>
      <c r="Q6567">
        <v>9.3956360000000003E-2</v>
      </c>
      <c r="R6567">
        <v>-0.27902739999999998</v>
      </c>
      <c r="S6567">
        <v>-2.739471</v>
      </c>
      <c r="T6567">
        <v>-0.1435612</v>
      </c>
      <c r="U6567">
        <v>-1.42276</v>
      </c>
      <c r="V6567">
        <v>-2.2703979999999999E-2</v>
      </c>
      <c r="W6567">
        <v>0.10735550000000001</v>
      </c>
      <c r="X6567">
        <v>0.99396150000000005</v>
      </c>
      <c r="Y6567">
        <v>-0.21584110000000001</v>
      </c>
      <c r="Z6567">
        <v>7.1130409999999996E-3</v>
      </c>
      <c r="AA6567">
        <v>0.97640260000000001</v>
      </c>
      <c r="AB6567">
        <v>20</v>
      </c>
      <c r="AC6567">
        <v>-21.0259</v>
      </c>
      <c r="AD6567">
        <v>-1.1115834932269999</v>
      </c>
      <c r="AE6567">
        <v>-10.965</v>
      </c>
      <c r="AF6567">
        <v>-5.1451041437149998</v>
      </c>
      <c r="AG6567">
        <v>-1.1115834932269999</v>
      </c>
      <c r="AH6567">
        <v>23.095118205419499</v>
      </c>
      <c r="AI6567">
        <v>92.689720374899196</v>
      </c>
      <c r="AJ6567">
        <v>102.559196363388</v>
      </c>
      <c r="AK6567">
        <v>23.6873848162769</v>
      </c>
      <c r="AL6567">
        <v>83.837106379122005</v>
      </c>
      <c r="AM6567">
        <v>91.308517546754601</v>
      </c>
      <c r="AN6567">
        <v>1.00000006878516</v>
      </c>
    </row>
    <row r="6568" spans="1:40" x14ac:dyDescent="0.25">
      <c r="A6568" t="str">
        <f>"20190312154053953"</f>
        <v>20190312154053953</v>
      </c>
      <c r="B6568" t="str">
        <f>"1552376453943037"</f>
        <v>1552376453943037</v>
      </c>
      <c r="C6568" t="s">
        <v>40</v>
      </c>
      <c r="D6568">
        <v>4.0583260000000001</v>
      </c>
      <c r="E6568">
        <v>0.4280812</v>
      </c>
      <c r="F6568" t="s">
        <v>55</v>
      </c>
      <c r="G6568">
        <v>-418.13029999999998</v>
      </c>
      <c r="H6568" s="1">
        <v>-3.6315249999999999E-6</v>
      </c>
      <c r="I6568">
        <v>125.18940000000001</v>
      </c>
      <c r="J6568">
        <v>-397.69580000000002</v>
      </c>
      <c r="K6568">
        <v>1.111586</v>
      </c>
      <c r="L6568">
        <v>135.86320000000001</v>
      </c>
      <c r="M6568">
        <v>-0.96547479999999997</v>
      </c>
      <c r="N6568">
        <v>0</v>
      </c>
      <c r="O6568">
        <v>-0.26014559999999998</v>
      </c>
      <c r="P6568">
        <v>-0.95531250000000001</v>
      </c>
      <c r="Q6568">
        <v>9.2724409999999993E-2</v>
      </c>
      <c r="R6568">
        <v>-0.28067779999999998</v>
      </c>
      <c r="S6568">
        <v>-2.7379150000000001</v>
      </c>
      <c r="T6568">
        <v>-0.1475543</v>
      </c>
      <c r="U6568">
        <v>-1.423935</v>
      </c>
      <c r="V6568">
        <v>-2.2700359999999999E-2</v>
      </c>
      <c r="W6568">
        <v>0.1061233</v>
      </c>
      <c r="X6568">
        <v>0.99409380000000003</v>
      </c>
      <c r="Y6568">
        <v>-0.21474509999999999</v>
      </c>
      <c r="Z6568">
        <v>7.4194830000000002E-3</v>
      </c>
      <c r="AA6568">
        <v>0.97664200000000001</v>
      </c>
      <c r="AB6568">
        <v>20</v>
      </c>
      <c r="AC6568">
        <v>-20.4344999999999</v>
      </c>
      <c r="AD6568">
        <v>-1.111589631525</v>
      </c>
      <c r="AE6568">
        <v>-10.6738</v>
      </c>
      <c r="AF6568">
        <v>-4.97822203950619</v>
      </c>
      <c r="AG6568">
        <v>-1.111589631525</v>
      </c>
      <c r="AH6568">
        <v>22.455587949818501</v>
      </c>
      <c r="AI6568">
        <v>92.766856785301201</v>
      </c>
      <c r="AJ6568">
        <v>102.499849325003</v>
      </c>
      <c r="AK6568">
        <v>23.027630280937998</v>
      </c>
      <c r="AL6568">
        <v>83.908111299889299</v>
      </c>
      <c r="AM6568">
        <v>91.308134927627805</v>
      </c>
      <c r="AN6568">
        <v>0.99999997217272896</v>
      </c>
    </row>
    <row r="6569" spans="1:40" x14ac:dyDescent="0.25">
      <c r="A6569" t="str">
        <f>"20190312154053976"</f>
        <v>20190312154053976</v>
      </c>
      <c r="B6569" t="str">
        <f>"1552376453973293"</f>
        <v>1552376453973293</v>
      </c>
      <c r="C6569" t="s">
        <v>40</v>
      </c>
      <c r="D6569">
        <v>4.0664030000000002</v>
      </c>
      <c r="E6569">
        <v>0.42844559999999998</v>
      </c>
      <c r="F6569" t="s">
        <v>55</v>
      </c>
      <c r="G6569">
        <v>-417.67</v>
      </c>
      <c r="H6569" s="1">
        <v>-3.7892530000000001E-6</v>
      </c>
      <c r="I6569">
        <v>125.45910000000001</v>
      </c>
      <c r="J6569">
        <v>-397.88549999999998</v>
      </c>
      <c r="K6569">
        <v>1.1115870000000001</v>
      </c>
      <c r="L6569">
        <v>135.81</v>
      </c>
      <c r="M6569">
        <v>-0.96503159999999999</v>
      </c>
      <c r="N6569">
        <v>0</v>
      </c>
      <c r="O6569">
        <v>-0.2617852</v>
      </c>
      <c r="P6569">
        <v>-0.95483739999999995</v>
      </c>
      <c r="Q6569">
        <v>9.1763899999999995E-2</v>
      </c>
      <c r="R6569">
        <v>-0.28260390000000002</v>
      </c>
      <c r="S6569">
        <v>-2.7363590000000002</v>
      </c>
      <c r="T6569">
        <v>-0.1522821</v>
      </c>
      <c r="U6569">
        <v>-1.425308</v>
      </c>
      <c r="V6569">
        <v>-2.299236E-2</v>
      </c>
      <c r="W6569">
        <v>0.1051608</v>
      </c>
      <c r="X6569">
        <v>0.9941894</v>
      </c>
      <c r="Y6569">
        <v>-0.21370500000000001</v>
      </c>
      <c r="Z6569">
        <v>7.76765599999999E-3</v>
      </c>
      <c r="AA6569">
        <v>0.97686740000000005</v>
      </c>
      <c r="AB6569">
        <v>20</v>
      </c>
      <c r="AC6569">
        <v>-19.784500000000001</v>
      </c>
      <c r="AD6569">
        <v>-1.1115907892529999</v>
      </c>
      <c r="AE6569">
        <v>-10.3508999999999</v>
      </c>
      <c r="AF6569">
        <v>-4.7982035727015102</v>
      </c>
      <c r="AG6569">
        <v>-1.1115907892529999</v>
      </c>
      <c r="AH6569">
        <v>21.750464412829398</v>
      </c>
      <c r="AI6569">
        <v>92.857066809821504</v>
      </c>
      <c r="AJ6569">
        <v>102.440333228494</v>
      </c>
      <c r="AK6569">
        <v>22.301145571059699</v>
      </c>
      <c r="AL6569">
        <v>83.963569004807695</v>
      </c>
      <c r="AM6569">
        <v>91.3248284500268</v>
      </c>
      <c r="AN6569">
        <v>1.00000000277368</v>
      </c>
    </row>
    <row r="6570" spans="1:40" x14ac:dyDescent="0.25">
      <c r="A6570" t="str">
        <f>"20190312154053999"</f>
        <v>20190312154053999</v>
      </c>
      <c r="B6570" t="str">
        <f>"1552376453992813"</f>
        <v>1552376453992813</v>
      </c>
      <c r="C6570" t="s">
        <v>40</v>
      </c>
      <c r="D6570">
        <v>4.0635969999999997</v>
      </c>
      <c r="E6570">
        <v>0.42867719999999998</v>
      </c>
      <c r="F6570" t="s">
        <v>55</v>
      </c>
      <c r="G6570">
        <v>-417.52080000000001</v>
      </c>
      <c r="H6570" s="1">
        <v>-3.8440680000000001E-6</v>
      </c>
      <c r="I6570">
        <v>125.55719999999999</v>
      </c>
      <c r="J6570">
        <v>-398.07850000000002</v>
      </c>
      <c r="K6570">
        <v>1.1115980000000001</v>
      </c>
      <c r="L6570">
        <v>135.75550000000001</v>
      </c>
      <c r="M6570">
        <v>-0.9645726</v>
      </c>
      <c r="N6570">
        <v>0</v>
      </c>
      <c r="O6570">
        <v>-0.26347179999999998</v>
      </c>
      <c r="P6570">
        <v>-0.95414739999999998</v>
      </c>
      <c r="Q6570">
        <v>9.2122270000000006E-2</v>
      </c>
      <c r="R6570">
        <v>-0.2848097</v>
      </c>
      <c r="S6570">
        <v>-2.734283</v>
      </c>
      <c r="T6570">
        <v>-0.15479219999999999</v>
      </c>
      <c r="U6570">
        <v>-1.4277340000000001</v>
      </c>
      <c r="V6570">
        <v>-2.3565079999999999E-2</v>
      </c>
      <c r="W6570">
        <v>0.105515</v>
      </c>
      <c r="X6570">
        <v>0.99413850000000004</v>
      </c>
      <c r="Y6570">
        <v>-0.2129868</v>
      </c>
      <c r="Z6570">
        <v>8.0024129999999999E-3</v>
      </c>
      <c r="AA6570">
        <v>0.97702230000000001</v>
      </c>
      <c r="AB6570">
        <v>20</v>
      </c>
      <c r="AC6570">
        <v>-19.4422999999999</v>
      </c>
      <c r="AD6570">
        <v>-1.11160184406799</v>
      </c>
      <c r="AE6570">
        <v>-10.1983</v>
      </c>
      <c r="AF6570">
        <v>-4.7028766591229196</v>
      </c>
      <c r="AG6570">
        <v>-1.11160184406799</v>
      </c>
      <c r="AH6570">
        <v>21.387600535746301</v>
      </c>
      <c r="AI6570">
        <v>92.905921797286396</v>
      </c>
      <c r="AJ6570">
        <v>102.401297385367</v>
      </c>
      <c r="AK6570">
        <v>21.926745408457599</v>
      </c>
      <c r="AL6570">
        <v>83.943161543867205</v>
      </c>
      <c r="AM6570">
        <v>91.357886082458293</v>
      </c>
      <c r="AN6570">
        <v>1.00000004270132</v>
      </c>
    </row>
    <row r="6571" spans="1:40" x14ac:dyDescent="0.25">
      <c r="A6571" t="str">
        <f>"20190312154054021"</f>
        <v>20190312154054021</v>
      </c>
      <c r="B6571" t="str">
        <f>"1552376454013309"</f>
        <v>1552376454013309</v>
      </c>
      <c r="C6571" t="s">
        <v>40</v>
      </c>
      <c r="D6571">
        <v>4.0986330000000004</v>
      </c>
      <c r="E6571">
        <v>0.42867670000000002</v>
      </c>
      <c r="F6571" t="s">
        <v>55</v>
      </c>
      <c r="G6571">
        <v>-417.66730000000001</v>
      </c>
      <c r="H6571" s="1">
        <v>-3.7997499999999999E-6</v>
      </c>
      <c r="I6571">
        <v>125.4883</v>
      </c>
      <c r="J6571">
        <v>-398.267</v>
      </c>
      <c r="K6571">
        <v>1.1116140000000001</v>
      </c>
      <c r="L6571">
        <v>135.70179999999999</v>
      </c>
      <c r="M6571">
        <v>-0.96411650000000004</v>
      </c>
      <c r="N6571">
        <v>0</v>
      </c>
      <c r="O6571">
        <v>-0.26513530000000002</v>
      </c>
      <c r="P6571">
        <v>-0.95312569999999996</v>
      </c>
      <c r="Q6571">
        <v>9.3727550000000007E-2</v>
      </c>
      <c r="R6571">
        <v>-0.287691799999999</v>
      </c>
      <c r="S6571">
        <v>-2.7317499999999999</v>
      </c>
      <c r="T6571">
        <v>-0.15501799999999999</v>
      </c>
      <c r="U6571">
        <v>-1.431808</v>
      </c>
      <c r="V6571">
        <v>-2.4902799999999999E-2</v>
      </c>
      <c r="W6571">
        <v>0.1071119</v>
      </c>
      <c r="X6571">
        <v>0.99393500000000001</v>
      </c>
      <c r="Y6571">
        <v>-0.21281910000000001</v>
      </c>
      <c r="Z6571">
        <v>8.1052219999999901E-3</v>
      </c>
      <c r="AA6571">
        <v>0.97705799999999998</v>
      </c>
      <c r="AB6571">
        <v>20</v>
      </c>
      <c r="AC6571">
        <v>-19.400300000000001</v>
      </c>
      <c r="AD6571">
        <v>-1.1116177997500001</v>
      </c>
      <c r="AE6571">
        <v>-10.2134999999999</v>
      </c>
      <c r="AF6571">
        <v>-4.6916683044141099</v>
      </c>
      <c r="AG6571">
        <v>-1.1116177997500001</v>
      </c>
      <c r="AH6571">
        <v>21.359156813127299</v>
      </c>
      <c r="AI6571">
        <v>92.909967873795793</v>
      </c>
      <c r="AJ6571">
        <v>102.388620803481</v>
      </c>
      <c r="AK6571">
        <v>21.896598488786498</v>
      </c>
      <c r="AL6571">
        <v>83.851143821085302</v>
      </c>
      <c r="AM6571">
        <v>91.435231571085296</v>
      </c>
      <c r="AN6571">
        <v>0.99999994639722301</v>
      </c>
    </row>
    <row r="6572" spans="1:40" x14ac:dyDescent="0.25">
      <c r="A6572" t="str">
        <f>"20190312154054036"</f>
        <v>20190312154054036</v>
      </c>
      <c r="B6572" t="str">
        <f>"1552376454032829"</f>
        <v>1552376454032829</v>
      </c>
      <c r="C6572" t="s">
        <v>40</v>
      </c>
      <c r="D6572">
        <v>4.0090120000000002</v>
      </c>
      <c r="E6572">
        <v>0.42875740000000001</v>
      </c>
      <c r="F6572" t="s">
        <v>55</v>
      </c>
      <c r="G6572">
        <v>-418.31670000000003</v>
      </c>
      <c r="H6572" s="1">
        <v>-3.580106E-6</v>
      </c>
      <c r="I6572">
        <v>125.116</v>
      </c>
      <c r="J6572">
        <v>-398.40069999999997</v>
      </c>
      <c r="K6572">
        <v>1.111623</v>
      </c>
      <c r="L6572">
        <v>135.66370000000001</v>
      </c>
      <c r="M6572">
        <v>-0.96378960000000002</v>
      </c>
      <c r="N6572">
        <v>0</v>
      </c>
      <c r="O6572">
        <v>-0.266322</v>
      </c>
      <c r="P6572">
        <v>-0.95244379999999995</v>
      </c>
      <c r="Q6572">
        <v>9.4319130000000001E-2</v>
      </c>
      <c r="R6572">
        <v>-0.28974949999999999</v>
      </c>
      <c r="S6572">
        <v>-2.7276919999999998</v>
      </c>
      <c r="T6572">
        <v>-0.15123210000000001</v>
      </c>
      <c r="U6572">
        <v>-1.44017</v>
      </c>
      <c r="V6572">
        <v>-2.5845239999999998E-2</v>
      </c>
      <c r="W6572">
        <v>0.1076988</v>
      </c>
      <c r="X6572">
        <v>0.99384749999999999</v>
      </c>
      <c r="Y6572">
        <v>-0.2145552</v>
      </c>
      <c r="Z6572">
        <v>7.9241769999999993E-3</v>
      </c>
      <c r="AA6572">
        <v>0.97667969999999904</v>
      </c>
      <c r="AB6572">
        <v>20</v>
      </c>
      <c r="AC6572">
        <v>-19.916</v>
      </c>
      <c r="AD6572">
        <v>-1.1116265801059999</v>
      </c>
      <c r="AE6572">
        <v>-10.547700000000001</v>
      </c>
      <c r="AF6572">
        <v>-4.8503367928378998</v>
      </c>
      <c r="AG6572">
        <v>-1.1116265801059999</v>
      </c>
      <c r="AH6572">
        <v>21.952513004507299</v>
      </c>
      <c r="AI6572">
        <v>92.830699727517597</v>
      </c>
      <c r="AJ6572">
        <v>102.45914974428899</v>
      </c>
      <c r="AK6572">
        <v>22.509427088902498</v>
      </c>
      <c r="AL6572">
        <v>83.817321174918703</v>
      </c>
      <c r="AM6572">
        <v>91.489654594517205</v>
      </c>
      <c r="AN6572">
        <v>0.99999993060417103</v>
      </c>
    </row>
    <row r="6573" spans="1:40" x14ac:dyDescent="0.25">
      <c r="A6573" t="str">
        <f>"20190312154054055"</f>
        <v>20190312154054055</v>
      </c>
      <c r="B6573" t="str">
        <f>"1552376454042589"</f>
        <v>1552376454042589</v>
      </c>
      <c r="C6573" t="s">
        <v>40</v>
      </c>
      <c r="D6573">
        <v>4.0854210000000002</v>
      </c>
      <c r="E6573">
        <v>0.42884529999999899</v>
      </c>
      <c r="F6573" t="s">
        <v>55</v>
      </c>
      <c r="G6573">
        <v>-418.75450000000001</v>
      </c>
      <c r="H6573" s="1">
        <v>-3.433398E-6</v>
      </c>
      <c r="I6573">
        <v>124.869</v>
      </c>
      <c r="J6573">
        <v>-398.55220000000003</v>
      </c>
      <c r="K6573">
        <v>1.1116269999999999</v>
      </c>
      <c r="L6573">
        <v>135.62</v>
      </c>
      <c r="M6573">
        <v>-0.96341429999999995</v>
      </c>
      <c r="N6573">
        <v>0</v>
      </c>
      <c r="O6573">
        <v>-0.26767669999999999</v>
      </c>
      <c r="P6573">
        <v>-0.95119880000000001</v>
      </c>
      <c r="Q6573">
        <v>9.5877110000000001E-2</v>
      </c>
      <c r="R6573">
        <v>-0.29330679999999998</v>
      </c>
      <c r="S6573">
        <v>-2.7248540000000001</v>
      </c>
      <c r="T6573">
        <v>-0.14881839999999999</v>
      </c>
      <c r="U6573">
        <v>-1.4451290000000001</v>
      </c>
      <c r="V6573">
        <v>-2.821131E-2</v>
      </c>
      <c r="W6573">
        <v>0.1092465</v>
      </c>
      <c r="X6573">
        <v>0.99361429999999995</v>
      </c>
      <c r="Y6573">
        <v>-0.21498970000000001</v>
      </c>
      <c r="Z6573">
        <v>7.8551769999999996E-3</v>
      </c>
      <c r="AA6573">
        <v>0.97658469999999997</v>
      </c>
      <c r="AB6573">
        <v>20</v>
      </c>
      <c r="AC6573">
        <v>-20.202299999999902</v>
      </c>
      <c r="AD6573">
        <v>-1.1116304333980001</v>
      </c>
      <c r="AE6573">
        <v>-10.750999999999999</v>
      </c>
      <c r="AF6573">
        <v>-4.9387796630874599</v>
      </c>
      <c r="AG6573">
        <v>-1.1116304333980001</v>
      </c>
      <c r="AH6573">
        <v>22.2904162589289</v>
      </c>
      <c r="AI6573">
        <v>92.787503609568603</v>
      </c>
      <c r="AJ6573">
        <v>102.492927492235</v>
      </c>
      <c r="AK6573">
        <v>22.8580384936526</v>
      </c>
      <c r="AL6573">
        <v>83.728118736673807</v>
      </c>
      <c r="AM6573">
        <v>91.626340182358405</v>
      </c>
      <c r="AN6573">
        <v>1.0000000264693201</v>
      </c>
    </row>
    <row r="6574" spans="1:40" x14ac:dyDescent="0.25">
      <c r="A6574" t="str">
        <f>"20190312154054077"</f>
        <v>20190312154054077</v>
      </c>
      <c r="B6574" t="str">
        <f>"1552376454072846"</f>
        <v>1552376454072846</v>
      </c>
      <c r="C6574" t="s">
        <v>40</v>
      </c>
      <c r="D6574">
        <v>4.0180439999999997</v>
      </c>
      <c r="E6574">
        <v>0.43282090000000001</v>
      </c>
      <c r="F6574" t="s">
        <v>55</v>
      </c>
      <c r="G6574">
        <v>-419.6198</v>
      </c>
      <c r="H6574" s="1">
        <v>-3.0575170000000002E-6</v>
      </c>
      <c r="I6574">
        <v>124.35250000000001</v>
      </c>
      <c r="J6574">
        <v>-398.74270000000001</v>
      </c>
      <c r="K6574">
        <v>1.111626</v>
      </c>
      <c r="L6574">
        <v>135.56489999999999</v>
      </c>
      <c r="M6574">
        <v>-0.96293740000000005</v>
      </c>
      <c r="N6574">
        <v>0</v>
      </c>
      <c r="O6574">
        <v>-0.26938719999999999</v>
      </c>
      <c r="P6574">
        <v>-0.95000890000000004</v>
      </c>
      <c r="Q6574">
        <v>9.575736E-2</v>
      </c>
      <c r="R6574">
        <v>-0.2971763</v>
      </c>
      <c r="S6574">
        <v>-2.719849</v>
      </c>
      <c r="T6574">
        <v>-0.143513</v>
      </c>
      <c r="U6574">
        <v>-1.4546509999999999</v>
      </c>
      <c r="V6574">
        <v>-3.049108E-2</v>
      </c>
      <c r="W6574">
        <v>0.10911899999999999</v>
      </c>
      <c r="X6574">
        <v>0.99356100000000003</v>
      </c>
      <c r="Y6574">
        <v>-0.21665709999999999</v>
      </c>
      <c r="Z6574">
        <v>7.6185849999999998E-3</v>
      </c>
      <c r="AA6574">
        <v>0.97621800000000003</v>
      </c>
      <c r="AB6574">
        <v>20</v>
      </c>
      <c r="AC6574">
        <v>-20.877099999999899</v>
      </c>
      <c r="AD6574">
        <v>-1.111629057517</v>
      </c>
      <c r="AE6574">
        <v>-11.212399999999899</v>
      </c>
      <c r="AF6574">
        <v>-5.1619281855370502</v>
      </c>
      <c r="AG6574">
        <v>-1.111629057517</v>
      </c>
      <c r="AH6574">
        <v>23.0751470388707</v>
      </c>
      <c r="AI6574">
        <v>92.691628112549495</v>
      </c>
      <c r="AJ6574">
        <v>102.60951042725701</v>
      </c>
      <c r="AK6574">
        <v>23.671578583179901</v>
      </c>
      <c r="AL6574">
        <v>83.7354681036567</v>
      </c>
      <c r="AM6574">
        <v>91.757780412547802</v>
      </c>
      <c r="AN6574">
        <v>1.00000006142078</v>
      </c>
    </row>
    <row r="6575" spans="1:40" x14ac:dyDescent="0.25">
      <c r="A6575" t="str">
        <f>"20190312154054100"</f>
        <v>20190312154054100</v>
      </c>
      <c r="B6575" t="str">
        <f>"1552376454093341"</f>
        <v>1552376454093341</v>
      </c>
      <c r="C6575" t="s">
        <v>40</v>
      </c>
      <c r="D6575">
        <v>4.0810639999999996</v>
      </c>
      <c r="E6575">
        <v>0.43273</v>
      </c>
      <c r="F6575" t="s">
        <v>55</v>
      </c>
      <c r="G6575">
        <v>-417.59699999999998</v>
      </c>
      <c r="H6575" s="1">
        <v>-3.8572059999999998E-6</v>
      </c>
      <c r="I6575">
        <v>125.62560000000001</v>
      </c>
      <c r="J6575">
        <v>-398.92790000000002</v>
      </c>
      <c r="K6575">
        <v>1.1116239999999999</v>
      </c>
      <c r="L6575">
        <v>135.51089999999999</v>
      </c>
      <c r="M6575">
        <v>-0.96246750000000003</v>
      </c>
      <c r="N6575">
        <v>0</v>
      </c>
      <c r="O6575">
        <v>-0.27106069999999999</v>
      </c>
      <c r="P6575">
        <v>-0.94884939999999995</v>
      </c>
      <c r="Q6575">
        <v>9.5264929999999998E-2</v>
      </c>
      <c r="R6575">
        <v>-0.30101460000000002</v>
      </c>
      <c r="S6575">
        <v>-2.7247620000000001</v>
      </c>
      <c r="T6575">
        <v>-0.16064929999999999</v>
      </c>
      <c r="U6575">
        <v>-1.436401</v>
      </c>
      <c r="V6575">
        <v>-3.2769720000000002E-2</v>
      </c>
      <c r="W6575">
        <v>0.1086194</v>
      </c>
      <c r="X6575">
        <v>0.99354310000000001</v>
      </c>
      <c r="Y6575">
        <v>-0.20914340000000001</v>
      </c>
      <c r="Z6575">
        <v>8.8237330000000003E-3</v>
      </c>
      <c r="AA6575">
        <v>0.97784519999999997</v>
      </c>
      <c r="AB6575">
        <v>20</v>
      </c>
      <c r="AC6575">
        <v>-18.669099999999901</v>
      </c>
      <c r="AD6575">
        <v>-1.1116278572060001</v>
      </c>
      <c r="AE6575">
        <v>-9.8852999999999795</v>
      </c>
      <c r="AF6575">
        <v>-4.4419268531317604</v>
      </c>
      <c r="AG6575">
        <v>-1.1116278572060001</v>
      </c>
      <c r="AH6575">
        <v>20.5927786223032</v>
      </c>
      <c r="AI6575">
        <v>93.020571401736703</v>
      </c>
      <c r="AJ6575">
        <v>102.17238115380999</v>
      </c>
      <c r="AK6575">
        <v>21.095709564948901</v>
      </c>
      <c r="AL6575">
        <v>83.764263601002597</v>
      </c>
      <c r="AM6575">
        <v>91.889083879881497</v>
      </c>
      <c r="AN6575">
        <v>0.999999960081423</v>
      </c>
    </row>
    <row r="6576" spans="1:40" x14ac:dyDescent="0.25">
      <c r="A6576" t="str">
        <f>"20190312154054121"</f>
        <v>20190312154054121</v>
      </c>
      <c r="B6576" t="str">
        <f>"1552376454112862"</f>
        <v>1552376454112862</v>
      </c>
      <c r="C6576" t="s">
        <v>40</v>
      </c>
      <c r="D6576">
        <v>4.0558880000000004</v>
      </c>
      <c r="E6576">
        <v>0.43282480000000001</v>
      </c>
      <c r="F6576" t="s">
        <v>55</v>
      </c>
      <c r="G6576">
        <v>-417.43880000000001</v>
      </c>
      <c r="H6576" s="1">
        <v>-3.8877449999999998E-6</v>
      </c>
      <c r="I6576">
        <v>125.65009999999999</v>
      </c>
      <c r="J6576">
        <v>-399.11410000000001</v>
      </c>
      <c r="K6576">
        <v>1.1116200000000001</v>
      </c>
      <c r="L6576">
        <v>135.4563</v>
      </c>
      <c r="M6576">
        <v>-0.96199069999999998</v>
      </c>
      <c r="N6576">
        <v>0</v>
      </c>
      <c r="O6576">
        <v>-0.27274870000000001</v>
      </c>
      <c r="P6576">
        <v>-0.9479651</v>
      </c>
      <c r="Q6576">
        <v>9.5024789999999998E-2</v>
      </c>
      <c r="R6576">
        <v>-0.3038631</v>
      </c>
      <c r="S6576">
        <v>-2.7186889999999999</v>
      </c>
      <c r="T6576">
        <v>-0.163264299999999</v>
      </c>
      <c r="U6576">
        <v>-1.4482569999999999</v>
      </c>
      <c r="V6576">
        <v>-3.4005689999999998E-2</v>
      </c>
      <c r="W6576">
        <v>0.10837430000000001</v>
      </c>
      <c r="X6576">
        <v>0.99352839999999998</v>
      </c>
      <c r="Y6576">
        <v>-0.21165690000000001</v>
      </c>
      <c r="Z6576">
        <v>8.9924410000000003E-3</v>
      </c>
      <c r="AA6576">
        <v>0.97730269999999997</v>
      </c>
      <c r="AB6576">
        <v>20</v>
      </c>
      <c r="AC6576">
        <v>-18.3247</v>
      </c>
      <c r="AD6576">
        <v>-1.111623887745</v>
      </c>
      <c r="AE6576">
        <v>-9.8062000000000005</v>
      </c>
      <c r="AF6576">
        <v>-4.4231853524784199</v>
      </c>
      <c r="AG6576">
        <v>-1.111623887745</v>
      </c>
      <c r="AH6576">
        <v>20.2467471284411</v>
      </c>
      <c r="AI6576">
        <v>93.070331649539398</v>
      </c>
      <c r="AJ6576">
        <v>102.323448035091</v>
      </c>
      <c r="AK6576">
        <v>20.754060942698001</v>
      </c>
      <c r="AL6576">
        <v>83.778390618132306</v>
      </c>
      <c r="AM6576">
        <v>91.960308539595701</v>
      </c>
      <c r="AN6576">
        <v>1.0000000287297099</v>
      </c>
    </row>
    <row r="6577" spans="1:40" x14ac:dyDescent="0.25">
      <c r="A6577" t="str">
        <f>"20190312154054144"</f>
        <v>20190312154054144</v>
      </c>
      <c r="B6577" t="str">
        <f>"1552376454132380"</f>
        <v>1552376454132380</v>
      </c>
      <c r="C6577" t="s">
        <v>40</v>
      </c>
      <c r="D6577">
        <v>4.0176990000000004</v>
      </c>
      <c r="E6577">
        <v>0.43313839999999998</v>
      </c>
      <c r="F6577" t="s">
        <v>55</v>
      </c>
      <c r="G6577">
        <v>-417.24380000000002</v>
      </c>
      <c r="H6577" s="1">
        <v>-3.944082E-6</v>
      </c>
      <c r="I6577">
        <v>125.7342</v>
      </c>
      <c r="J6577">
        <v>-399.2987</v>
      </c>
      <c r="K6577">
        <v>1.1116250000000001</v>
      </c>
      <c r="L6577">
        <v>135.40180000000001</v>
      </c>
      <c r="M6577">
        <v>-0.96151189999999997</v>
      </c>
      <c r="N6577">
        <v>0</v>
      </c>
      <c r="O6577">
        <v>-0.2744316</v>
      </c>
      <c r="P6577">
        <v>-0.94717399999999996</v>
      </c>
      <c r="Q6577">
        <v>9.5544729999999994E-2</v>
      </c>
      <c r="R6577">
        <v>-0.30615870000000001</v>
      </c>
      <c r="S6577">
        <v>-2.7147830000000002</v>
      </c>
      <c r="T6577">
        <v>-0.16645689999999999</v>
      </c>
      <c r="U6577">
        <v>-1.455811</v>
      </c>
      <c r="V6577">
        <v>-3.4691130000000001E-2</v>
      </c>
      <c r="W6577">
        <v>0.1088895</v>
      </c>
      <c r="X6577">
        <v>0.99344829999999995</v>
      </c>
      <c r="Y6577">
        <v>-0.21264810000000001</v>
      </c>
      <c r="Z6577">
        <v>9.234674E-3</v>
      </c>
      <c r="AA6577">
        <v>0.97708519999999999</v>
      </c>
      <c r="AB6577">
        <v>20</v>
      </c>
      <c r="AC6577">
        <v>-17.9451</v>
      </c>
      <c r="AD6577">
        <v>-1.111628944082</v>
      </c>
      <c r="AE6577">
        <v>-9.6676000000000002</v>
      </c>
      <c r="AF6577">
        <v>-4.3582461001450996</v>
      </c>
      <c r="AG6577">
        <v>-1.111628944082</v>
      </c>
      <c r="AH6577">
        <v>19.850298206592299</v>
      </c>
      <c r="AI6577">
        <v>93.130832525268602</v>
      </c>
      <c r="AJ6577">
        <v>102.383134915843</v>
      </c>
      <c r="AK6577">
        <v>20.353485373994101</v>
      </c>
      <c r="AL6577">
        <v>83.748695678637105</v>
      </c>
      <c r="AM6577">
        <v>91.999951089746901</v>
      </c>
      <c r="AN6577">
        <v>0.99999996124190704</v>
      </c>
    </row>
    <row r="6578" spans="1:40" x14ac:dyDescent="0.25">
      <c r="A6578" t="str">
        <f>"20190312154054166"</f>
        <v>20190312154054166</v>
      </c>
      <c r="B6578" t="str">
        <f>"1552376454162638"</f>
        <v>1552376454162638</v>
      </c>
      <c r="C6578" t="s">
        <v>40</v>
      </c>
      <c r="D6578">
        <v>4.0265769999999996</v>
      </c>
      <c r="E6578">
        <v>0.43315589999999998</v>
      </c>
      <c r="F6578" t="s">
        <v>55</v>
      </c>
      <c r="G6578">
        <v>-417.37959999999998</v>
      </c>
      <c r="H6578" s="1">
        <v>-3.902021E-6</v>
      </c>
      <c r="I6578">
        <v>125.6675</v>
      </c>
      <c r="J6578">
        <v>-399.48410000000001</v>
      </c>
      <c r="K6578">
        <v>1.1116349999999999</v>
      </c>
      <c r="L6578">
        <v>135.3467</v>
      </c>
      <c r="M6578">
        <v>-0.96102160000000003</v>
      </c>
      <c r="N6578">
        <v>0</v>
      </c>
      <c r="O6578">
        <v>-0.27614349999999999</v>
      </c>
      <c r="P6578">
        <v>-0.94650610000000002</v>
      </c>
      <c r="Q6578">
        <v>9.6891669999999999E-2</v>
      </c>
      <c r="R6578">
        <v>-0.30779590000000001</v>
      </c>
      <c r="S6578">
        <v>-2.7121580000000001</v>
      </c>
      <c r="T6578">
        <v>-0.16674559999999999</v>
      </c>
      <c r="U6578">
        <v>-1.460159</v>
      </c>
      <c r="V6578">
        <v>-3.4682659999999997E-2</v>
      </c>
      <c r="W6578">
        <v>0.11023230000000001</v>
      </c>
      <c r="X6578">
        <v>0.99330059999999998</v>
      </c>
      <c r="Y6578">
        <v>-0.21251990000000001</v>
      </c>
      <c r="Z6578">
        <v>9.3503279999999998E-3</v>
      </c>
      <c r="AA6578">
        <v>0.97711199999999998</v>
      </c>
      <c r="AB6578">
        <v>20</v>
      </c>
      <c r="AC6578">
        <v>-17.895499999999899</v>
      </c>
      <c r="AD6578">
        <v>-1.111638902021</v>
      </c>
      <c r="AE6578">
        <v>-9.6791999999999891</v>
      </c>
      <c r="AF6578">
        <v>-4.3476125262860297</v>
      </c>
      <c r="AG6578">
        <v>-1.111638902021</v>
      </c>
      <c r="AH6578">
        <v>19.813471163910901</v>
      </c>
      <c r="AI6578">
        <v>93.136752495668006</v>
      </c>
      <c r="AJ6578">
        <v>102.376105409564</v>
      </c>
      <c r="AK6578">
        <v>20.3152926459437</v>
      </c>
      <c r="AL6578">
        <v>83.671293594519298</v>
      </c>
      <c r="AM6578">
        <v>91.9997602599706</v>
      </c>
      <c r="AN6578">
        <v>1.00000006441416</v>
      </c>
    </row>
    <row r="6579" spans="1:40" x14ac:dyDescent="0.25">
      <c r="A6579" t="str">
        <f>"20190312154054188"</f>
        <v>20190312154054188</v>
      </c>
      <c r="B6579" t="str">
        <f>"1552376454183136"</f>
        <v>1552376454183136</v>
      </c>
      <c r="C6579" t="s">
        <v>40</v>
      </c>
      <c r="D6579">
        <v>4.0578120000000002</v>
      </c>
      <c r="E6579">
        <v>0.43308160000000001</v>
      </c>
      <c r="F6579" t="s">
        <v>55</v>
      </c>
      <c r="G6579">
        <v>-417.7269</v>
      </c>
      <c r="H6579" s="1">
        <v>-3.788952E-6</v>
      </c>
      <c r="I6579">
        <v>125.4811</v>
      </c>
      <c r="J6579">
        <v>-399.67110000000002</v>
      </c>
      <c r="K6579">
        <v>1.111661</v>
      </c>
      <c r="L6579">
        <v>135.29069999999999</v>
      </c>
      <c r="M6579">
        <v>-0.96051220000000004</v>
      </c>
      <c r="N6579">
        <v>0</v>
      </c>
      <c r="O6579">
        <v>-0.2779104</v>
      </c>
      <c r="P6579">
        <v>-0.94622620000000002</v>
      </c>
      <c r="Q6579">
        <v>9.7597959999999997E-2</v>
      </c>
      <c r="R6579">
        <v>-0.308432599999999</v>
      </c>
      <c r="S6579">
        <v>-2.7099000000000002</v>
      </c>
      <c r="T6579">
        <v>-0.16513</v>
      </c>
      <c r="U6579">
        <v>-1.4655</v>
      </c>
      <c r="V6579">
        <v>-3.3550820000000002E-2</v>
      </c>
      <c r="W6579">
        <v>0.11093799999999999</v>
      </c>
      <c r="X6579">
        <v>0.9932609</v>
      </c>
      <c r="Y6579">
        <v>-0.21255450000000001</v>
      </c>
      <c r="Z6579">
        <v>9.3548650000000004E-3</v>
      </c>
      <c r="AA6579">
        <v>0.97710439999999998</v>
      </c>
      <c r="AB6579">
        <v>20</v>
      </c>
      <c r="AC6579">
        <v>-18.055799999999898</v>
      </c>
      <c r="AD6579">
        <v>-1.1116647889519999</v>
      </c>
      <c r="AE6579">
        <v>-9.8095999999999801</v>
      </c>
      <c r="AF6579">
        <v>-4.39189295086355</v>
      </c>
      <c r="AG6579">
        <v>-1.1116647889519999</v>
      </c>
      <c r="AH6579">
        <v>20.012262575660401</v>
      </c>
      <c r="AI6579">
        <v>93.105705699290993</v>
      </c>
      <c r="AJ6579">
        <v>102.37790874801</v>
      </c>
      <c r="AK6579">
        <v>20.518654334337299</v>
      </c>
      <c r="AL6579">
        <v>83.630610389644005</v>
      </c>
      <c r="AM6579">
        <v>91.934627420616295</v>
      </c>
      <c r="AN6579">
        <v>1.00000005641773</v>
      </c>
    </row>
    <row r="6580" spans="1:40" x14ac:dyDescent="0.25">
      <c r="A6580" t="str">
        <f>"20190312154054211"</f>
        <v>20190312154054211</v>
      </c>
      <c r="B6580" t="str">
        <f>"1552376454202656"</f>
        <v>1552376454202656</v>
      </c>
      <c r="C6580" t="s">
        <v>40</v>
      </c>
      <c r="D6580">
        <v>3.9688370000000002</v>
      </c>
      <c r="E6580">
        <v>0.43318570000000001</v>
      </c>
      <c r="F6580" t="s">
        <v>55</v>
      </c>
      <c r="G6580">
        <v>-418.04759999999999</v>
      </c>
      <c r="H6580" s="1">
        <v>-3.692032E-6</v>
      </c>
      <c r="I6580">
        <v>125.3305</v>
      </c>
      <c r="J6580">
        <v>-399.86110000000002</v>
      </c>
      <c r="K6580">
        <v>1.1116999999999999</v>
      </c>
      <c r="L6580">
        <v>135.23330000000001</v>
      </c>
      <c r="M6580">
        <v>-0.95997299999999997</v>
      </c>
      <c r="N6580">
        <v>0</v>
      </c>
      <c r="O6580">
        <v>-0.27976709999999999</v>
      </c>
      <c r="P6580">
        <v>-0.94598839999999995</v>
      </c>
      <c r="Q6580">
        <v>9.7335550000000007E-2</v>
      </c>
      <c r="R6580">
        <v>-0.30924420000000002</v>
      </c>
      <c r="S6580">
        <v>-2.7088320000000001</v>
      </c>
      <c r="T6580">
        <v>-0.16386779999999901</v>
      </c>
      <c r="U6580">
        <v>-1.4682010000000001</v>
      </c>
      <c r="V6580">
        <v>-3.2482789999999997E-2</v>
      </c>
      <c r="W6580">
        <v>0.11067539999999999</v>
      </c>
      <c r="X6580">
        <v>0.99332569999999998</v>
      </c>
      <c r="Y6580">
        <v>-0.21158189999999999</v>
      </c>
      <c r="Z6580">
        <v>9.4098689999999995E-3</v>
      </c>
      <c r="AA6580">
        <v>0.97731489999999999</v>
      </c>
      <c r="AB6580">
        <v>20</v>
      </c>
      <c r="AC6580">
        <v>-18.186499999999899</v>
      </c>
      <c r="AD6580">
        <v>-1.11170369203199</v>
      </c>
      <c r="AE6580">
        <v>-9.9028000000000098</v>
      </c>
      <c r="AF6580">
        <v>-4.4061399229306497</v>
      </c>
      <c r="AG6580">
        <v>-1.11170369203199</v>
      </c>
      <c r="AH6580">
        <v>20.1727300032905</v>
      </c>
      <c r="AI6580">
        <v>93.081824167562502</v>
      </c>
      <c r="AJ6580">
        <v>102.32107503989999</v>
      </c>
      <c r="AK6580">
        <v>20.678225018240301</v>
      </c>
      <c r="AL6580">
        <v>83.645749516972401</v>
      </c>
      <c r="AM6580">
        <v>91.872964522366701</v>
      </c>
      <c r="AN6580">
        <v>1.0000000610459101</v>
      </c>
    </row>
    <row r="6581" spans="1:40" x14ac:dyDescent="0.25">
      <c r="A6581" t="str">
        <f>"20190312154054232"</f>
        <v>20190312154054232</v>
      </c>
      <c r="B6581" t="str">
        <f>"1552376454223148"</f>
        <v>1552376454223148</v>
      </c>
      <c r="C6581" t="s">
        <v>40</v>
      </c>
      <c r="D6581">
        <v>4.0136909999999997</v>
      </c>
      <c r="E6581">
        <v>0.43327189999999999</v>
      </c>
      <c r="F6581" t="s">
        <v>55</v>
      </c>
      <c r="G6581">
        <v>-418.04410000000001</v>
      </c>
      <c r="H6581" s="1">
        <v>-3.7048539999999999E-6</v>
      </c>
      <c r="I6581">
        <v>125.366</v>
      </c>
      <c r="J6581">
        <v>-400.0412</v>
      </c>
      <c r="K6581">
        <v>1.1117490000000001</v>
      </c>
      <c r="L6581">
        <v>135.17850000000001</v>
      </c>
      <c r="M6581">
        <v>-0.95943469999999997</v>
      </c>
      <c r="N6581">
        <v>0</v>
      </c>
      <c r="O6581">
        <v>-0.28160780000000002</v>
      </c>
      <c r="P6581">
        <v>-0.94575359999999997</v>
      </c>
      <c r="Q6581">
        <v>9.5829730000000002E-2</v>
      </c>
      <c r="R6581">
        <v>-0.3104307</v>
      </c>
      <c r="S6581">
        <v>-2.707916</v>
      </c>
      <c r="T6581">
        <v>-0.16556170000000001</v>
      </c>
      <c r="U6581">
        <v>-1.469498</v>
      </c>
      <c r="V6581">
        <v>-3.1789940000000003E-2</v>
      </c>
      <c r="W6581">
        <v>0.10916919999999999</v>
      </c>
      <c r="X6581">
        <v>0.99351469999999997</v>
      </c>
      <c r="Y6581">
        <v>-0.21021329999999999</v>
      </c>
      <c r="Z6581">
        <v>9.6459709999999997E-3</v>
      </c>
      <c r="AA6581">
        <v>0.97760800000000003</v>
      </c>
      <c r="AB6581">
        <v>20</v>
      </c>
      <c r="AC6581">
        <v>-18.0029</v>
      </c>
      <c r="AD6581">
        <v>-1.1117527048539999</v>
      </c>
      <c r="AE6581">
        <v>-9.8125000000000107</v>
      </c>
      <c r="AF6581">
        <v>-4.3323539540604497</v>
      </c>
      <c r="AG6581">
        <v>-1.1117527048539999</v>
      </c>
      <c r="AH6581">
        <v>19.9789675669297</v>
      </c>
      <c r="AI6581">
        <v>93.112807629395206</v>
      </c>
      <c r="AJ6581">
        <v>102.23492225547299</v>
      </c>
      <c r="AK6581">
        <v>20.4735055596359</v>
      </c>
      <c r="AL6581">
        <v>83.732574100091199</v>
      </c>
      <c r="AM6581">
        <v>91.832693727582296</v>
      </c>
      <c r="AN6581">
        <v>0.99999998681496605</v>
      </c>
    </row>
    <row r="6582" spans="1:40" x14ac:dyDescent="0.25">
      <c r="A6582" t="str">
        <f>"20190312154054400"</f>
        <v>20190312154054400</v>
      </c>
      <c r="B6582" t="str">
        <f>"1552376454392976"</f>
        <v>1552376454392976</v>
      </c>
      <c r="C6582" t="s">
        <v>40</v>
      </c>
      <c r="D6582">
        <v>5.494116</v>
      </c>
      <c r="E6582">
        <v>0.42792049999999998</v>
      </c>
      <c r="F6582" t="s">
        <v>55</v>
      </c>
      <c r="G6582">
        <v>-417.88900000000001</v>
      </c>
      <c r="H6582" s="1">
        <v>-3.763638E-6</v>
      </c>
      <c r="I6582">
        <v>125.47320000000001</v>
      </c>
      <c r="J6582">
        <v>-401.4135</v>
      </c>
      <c r="K6582">
        <v>1.1123069999999999</v>
      </c>
      <c r="L6582">
        <v>134.74160000000001</v>
      </c>
      <c r="M6582">
        <v>-0.95395209999999997</v>
      </c>
      <c r="N6582">
        <v>0</v>
      </c>
      <c r="O6582">
        <v>-0.29965459999999999</v>
      </c>
      <c r="P6582">
        <v>-0.93315479999999995</v>
      </c>
      <c r="Q6582">
        <v>9.4005809999999995E-2</v>
      </c>
      <c r="R6582">
        <v>-0.34696670000000002</v>
      </c>
      <c r="S6582">
        <v>-2.7061459999999999</v>
      </c>
      <c r="T6582">
        <v>-0.16856769999999999</v>
      </c>
      <c r="U6582">
        <v>-1.4715579999999999</v>
      </c>
      <c r="V6582">
        <v>-5.1790849999999999E-2</v>
      </c>
      <c r="W6582">
        <v>0.1072328</v>
      </c>
      <c r="X6582">
        <v>0.99288410000000005</v>
      </c>
      <c r="Y6582">
        <v>-0.19263330000000001</v>
      </c>
      <c r="Z6582">
        <v>1.131425E-2</v>
      </c>
      <c r="AA6582">
        <v>0.98120560000000001</v>
      </c>
      <c r="AB6582">
        <v>19</v>
      </c>
      <c r="AC6582">
        <v>-16.4755</v>
      </c>
      <c r="AD6582">
        <v>-1.1123107636380001</v>
      </c>
      <c r="AE6582">
        <v>-9.2683999999999997</v>
      </c>
      <c r="AF6582">
        <v>-3.8915330140412898</v>
      </c>
      <c r="AG6582">
        <v>-1.1123107636380001</v>
      </c>
      <c r="AH6582">
        <v>18.432027319149402</v>
      </c>
      <c r="AI6582">
        <v>93.379106157951696</v>
      </c>
      <c r="AJ6582">
        <v>101.92171237748499</v>
      </c>
      <c r="AK6582">
        <v>18.8711657172563</v>
      </c>
      <c r="AL6582">
        <v>83.844176969250398</v>
      </c>
      <c r="AM6582">
        <v>92.985957978006596</v>
      </c>
      <c r="AN6582">
        <v>1.00000000078618</v>
      </c>
    </row>
    <row r="6583" spans="1:40" x14ac:dyDescent="0.25">
      <c r="A6583" t="str">
        <f>"20190312154054422"</f>
        <v>20190312154054422</v>
      </c>
      <c r="B6583" t="str">
        <f>"1552376454412494"</f>
        <v>1552376454412494</v>
      </c>
      <c r="C6583" t="s">
        <v>40</v>
      </c>
      <c r="D6583">
        <v>3.537086</v>
      </c>
      <c r="E6583">
        <v>0.42792049999999998</v>
      </c>
      <c r="F6583" t="s">
        <v>55</v>
      </c>
      <c r="G6583">
        <v>-404.1628</v>
      </c>
      <c r="H6583" s="1">
        <v>-4.1195369999999997E-6</v>
      </c>
      <c r="I6583">
        <v>132.99289999999999</v>
      </c>
      <c r="J6583">
        <v>-401.59320000000002</v>
      </c>
      <c r="K6583">
        <v>1.1124000000000001</v>
      </c>
      <c r="L6583">
        <v>134.6815</v>
      </c>
      <c r="M6583">
        <v>-0.9530402</v>
      </c>
      <c r="N6583">
        <v>0</v>
      </c>
      <c r="O6583">
        <v>-0.30254239999999999</v>
      </c>
      <c r="P6583">
        <v>-0.9291201</v>
      </c>
      <c r="Q6583">
        <v>0.1025015</v>
      </c>
      <c r="R6583">
        <v>-0.35528729999999997</v>
      </c>
      <c r="S6583">
        <v>-2.68866</v>
      </c>
      <c r="T6583">
        <v>-1.087758</v>
      </c>
      <c r="U6583">
        <v>-1.7100679999999999</v>
      </c>
      <c r="V6583">
        <v>-5.7982020000000002E-2</v>
      </c>
      <c r="W6583">
        <v>0.1156827</v>
      </c>
      <c r="X6583">
        <v>0.99159249999999999</v>
      </c>
      <c r="Y6583">
        <v>-0.2581947</v>
      </c>
      <c r="Z6583">
        <v>5.8757259999999999E-2</v>
      </c>
      <c r="AA6583">
        <v>0.96430439999999995</v>
      </c>
      <c r="AB6583">
        <v>19</v>
      </c>
      <c r="AC6583">
        <v>-2.5695999999999799</v>
      </c>
      <c r="AD6583">
        <v>-1.112404119537</v>
      </c>
      <c r="AE6583">
        <v>-1.6886000000000001</v>
      </c>
      <c r="AF6583">
        <v>-0.73567555733379497</v>
      </c>
      <c r="AG6583">
        <v>-1.112404119537</v>
      </c>
      <c r="AH6583">
        <v>2.61747878153114</v>
      </c>
      <c r="AI6583">
        <v>112.25131823430701</v>
      </c>
      <c r="AJ6583">
        <v>105.69869054548199</v>
      </c>
      <c r="AK6583">
        <v>2.9376617610928299</v>
      </c>
      <c r="AL6583">
        <v>83.356996598223901</v>
      </c>
      <c r="AM6583">
        <v>93.346482030739196</v>
      </c>
      <c r="AN6583">
        <v>1.0000000438893999</v>
      </c>
    </row>
    <row r="6584" spans="1:40" x14ac:dyDescent="0.25">
      <c r="A6584" t="str">
        <f>"20190312154054444"</f>
        <v>20190312154054444</v>
      </c>
      <c r="B6584" t="str">
        <f>"1552376454442749"</f>
        <v>1552376454442749</v>
      </c>
      <c r="C6584" t="s">
        <v>40</v>
      </c>
      <c r="D6584">
        <v>4.4522320000000004</v>
      </c>
      <c r="E6584">
        <v>0.42172920000000003</v>
      </c>
      <c r="F6584" t="s">
        <v>55</v>
      </c>
      <c r="G6584">
        <v>-404.41030000000001</v>
      </c>
      <c r="H6584" s="1">
        <v>-4.1609810000000002E-6</v>
      </c>
      <c r="I6584">
        <v>132.8466</v>
      </c>
      <c r="J6584">
        <v>-401.77280000000002</v>
      </c>
      <c r="K6584">
        <v>1.112465</v>
      </c>
      <c r="L6584">
        <v>134.6206</v>
      </c>
      <c r="M6584">
        <v>-0.95209290000000002</v>
      </c>
      <c r="N6584">
        <v>0</v>
      </c>
      <c r="O6584">
        <v>-0.3055098</v>
      </c>
      <c r="P6584">
        <v>-0.92613999999999996</v>
      </c>
      <c r="Q6584">
        <v>0.107392</v>
      </c>
      <c r="R6584">
        <v>-0.36156850000000001</v>
      </c>
      <c r="S6584">
        <v>-2.678436</v>
      </c>
      <c r="T6584">
        <v>-1.0576509999999999</v>
      </c>
      <c r="U6584">
        <v>-1.744537</v>
      </c>
      <c r="V6584">
        <v>-6.1813310000000003E-2</v>
      </c>
      <c r="W6584">
        <v>0.1205427</v>
      </c>
      <c r="X6584">
        <v>0.99078180000000005</v>
      </c>
      <c r="Y6584">
        <v>-0.2652892</v>
      </c>
      <c r="Z6584">
        <v>5.6899360000000003E-2</v>
      </c>
      <c r="AA6584">
        <v>0.96248849999999997</v>
      </c>
      <c r="AB6584">
        <v>19</v>
      </c>
      <c r="AC6584">
        <v>-2.6374999999999802</v>
      </c>
      <c r="AD6584">
        <v>-1.112469160981</v>
      </c>
      <c r="AE6584">
        <v>-1.774</v>
      </c>
      <c r="AF6584">
        <v>-0.78692062762521897</v>
      </c>
      <c r="AG6584">
        <v>-1.112469160981</v>
      </c>
      <c r="AH6584">
        <v>2.7201982700468199</v>
      </c>
      <c r="AI6584">
        <v>111.44776906684</v>
      </c>
      <c r="AJ6584">
        <v>106.13452019396</v>
      </c>
      <c r="AK6584">
        <v>3.0424185012390299</v>
      </c>
      <c r="AL6584">
        <v>83.076575648140803</v>
      </c>
      <c r="AM6584">
        <v>93.569966081989506</v>
      </c>
      <c r="AN6584">
        <v>1.0000000015138399</v>
      </c>
    </row>
    <row r="6585" spans="1:40" x14ac:dyDescent="0.25">
      <c r="A6585" t="str">
        <f>"20190312154054468"</f>
        <v>20190312154054468</v>
      </c>
      <c r="B6585" t="str">
        <f>"1552376454463246"</f>
        <v>1552376454463246</v>
      </c>
      <c r="C6585" t="s">
        <v>40</v>
      </c>
      <c r="D6585">
        <v>3.9337140000000002</v>
      </c>
      <c r="E6585">
        <v>0.42204799999999998</v>
      </c>
      <c r="F6585" t="s">
        <v>55</v>
      </c>
      <c r="G6585">
        <v>-409.42869999999999</v>
      </c>
      <c r="H6585" s="1">
        <v>-5.9065010000000004E-6</v>
      </c>
      <c r="I6585">
        <v>129.494</v>
      </c>
      <c r="J6585">
        <v>-401.95859999999999</v>
      </c>
      <c r="K6585">
        <v>1.1125050000000001</v>
      </c>
      <c r="L6585">
        <v>134.55690000000001</v>
      </c>
      <c r="M6585">
        <v>-0.95107410000000003</v>
      </c>
      <c r="N6585">
        <v>0</v>
      </c>
      <c r="O6585">
        <v>-0.30866670000000002</v>
      </c>
      <c r="P6585">
        <v>-0.92405000000000004</v>
      </c>
      <c r="Q6585">
        <v>0.1063477</v>
      </c>
      <c r="R6585">
        <v>-0.36718099999999998</v>
      </c>
      <c r="S6585">
        <v>-2.6026919999999998</v>
      </c>
      <c r="T6585">
        <v>-0.37819550000000002</v>
      </c>
      <c r="U6585">
        <v>-1.7428589999999999</v>
      </c>
      <c r="V6585">
        <v>-6.4512910000000007E-2</v>
      </c>
      <c r="W6585">
        <v>0.1194823</v>
      </c>
      <c r="X6585">
        <v>0.99073820000000001</v>
      </c>
      <c r="Y6585">
        <v>-0.27292729999999998</v>
      </c>
      <c r="Z6585">
        <v>2.1212930000000001E-2</v>
      </c>
      <c r="AA6585">
        <v>0.96180080000000001</v>
      </c>
      <c r="AB6585">
        <v>19</v>
      </c>
      <c r="AC6585">
        <v>-7.4701000000000004</v>
      </c>
      <c r="AD6585">
        <v>-1.1125109065009999</v>
      </c>
      <c r="AE6585">
        <v>-5.0629000000000097</v>
      </c>
      <c r="AF6585">
        <v>-2.4720800308042001</v>
      </c>
      <c r="AG6585">
        <v>-1.1125109065009999</v>
      </c>
      <c r="AH6585">
        <v>8.5383909183669999</v>
      </c>
      <c r="AI6585">
        <v>97.133768176385104</v>
      </c>
      <c r="AJ6585">
        <v>106.147066457908</v>
      </c>
      <c r="AK6585">
        <v>8.9584027410379701</v>
      </c>
      <c r="AL6585">
        <v>83.137774808302794</v>
      </c>
      <c r="AM6585">
        <v>93.725612350165605</v>
      </c>
      <c r="AN6585">
        <v>1.00000005825459</v>
      </c>
    </row>
    <row r="6586" spans="1:40" x14ac:dyDescent="0.25">
      <c r="A6586" t="str">
        <f>"20190312154054490"</f>
        <v>20190312154054490</v>
      </c>
      <c r="B6586" t="str">
        <f>"1552376454482765"</f>
        <v>1552376454482765</v>
      </c>
      <c r="C6586" t="s">
        <v>40</v>
      </c>
      <c r="D6586">
        <v>6.8300689999999999</v>
      </c>
      <c r="E6586">
        <v>0.42218329999999998</v>
      </c>
      <c r="F6586" t="s">
        <v>55</v>
      </c>
      <c r="G6586">
        <v>-412.66480000000001</v>
      </c>
      <c r="H6586" s="1">
        <v>-5.1420799999999997E-6</v>
      </c>
      <c r="I6586">
        <v>127.3486</v>
      </c>
      <c r="J6586">
        <v>-402.13670000000002</v>
      </c>
      <c r="K6586">
        <v>1.112514</v>
      </c>
      <c r="L6586">
        <v>134.49510000000001</v>
      </c>
      <c r="M6586">
        <v>-0.95005910000000005</v>
      </c>
      <c r="N6586">
        <v>0</v>
      </c>
      <c r="O6586">
        <v>-0.31177709999999997</v>
      </c>
      <c r="P6586">
        <v>-0.92271210000000004</v>
      </c>
      <c r="Q6586">
        <v>0.1015702</v>
      </c>
      <c r="R6586">
        <v>-0.37186829999999998</v>
      </c>
      <c r="S6586">
        <v>-2.5857540000000001</v>
      </c>
      <c r="T6586">
        <v>-0.26869520000000002</v>
      </c>
      <c r="U6586">
        <v>-1.7409669999999999</v>
      </c>
      <c r="V6586">
        <v>-6.612635E-2</v>
      </c>
      <c r="W6586">
        <v>0.11470039999999999</v>
      </c>
      <c r="X6586">
        <v>0.99119679999999999</v>
      </c>
      <c r="Y6586">
        <v>-0.27212180000000002</v>
      </c>
      <c r="Z6586">
        <v>1.5487819999999999E-2</v>
      </c>
      <c r="AA6586">
        <v>0.96213820000000005</v>
      </c>
      <c r="AB6586">
        <v>19</v>
      </c>
      <c r="AC6586">
        <v>-10.528099999999901</v>
      </c>
      <c r="AD6586">
        <v>-1.11251914207999</v>
      </c>
      <c r="AE6586">
        <v>-7.1464999999999996</v>
      </c>
      <c r="AF6586">
        <v>-3.4808887506563502</v>
      </c>
      <c r="AG6586">
        <v>-1.11251914207999</v>
      </c>
      <c r="AH6586">
        <v>12.138758783266001</v>
      </c>
      <c r="AI6586">
        <v>95.034729828438799</v>
      </c>
      <c r="AJ6586">
        <v>106.000678992486</v>
      </c>
      <c r="AK6586">
        <v>12.676898285237501</v>
      </c>
      <c r="AL6586">
        <v>83.413655021001404</v>
      </c>
      <c r="AM6586">
        <v>93.816754493271205</v>
      </c>
      <c r="AN6586">
        <v>0.99999998612736096</v>
      </c>
    </row>
    <row r="6587" spans="1:40" x14ac:dyDescent="0.25">
      <c r="A6587" t="str">
        <f>"20190312154054512"</f>
        <v>20190312154054512</v>
      </c>
      <c r="B6587" t="str">
        <f>"1552376454503262"</f>
        <v>1552376454503262</v>
      </c>
      <c r="C6587" t="s">
        <v>40</v>
      </c>
      <c r="D6587">
        <v>4.083806</v>
      </c>
      <c r="E6587">
        <v>0.42302630000000002</v>
      </c>
      <c r="F6587" t="s">
        <v>55</v>
      </c>
      <c r="G6587">
        <v>-415.04640000000001</v>
      </c>
      <c r="H6587" s="1">
        <v>-4.2569230000000003E-6</v>
      </c>
      <c r="I6587">
        <v>125.754</v>
      </c>
      <c r="J6587">
        <v>-402.31169999999997</v>
      </c>
      <c r="K6587">
        <v>1.1125229999999999</v>
      </c>
      <c r="L6587">
        <v>134.43360000000001</v>
      </c>
      <c r="M6587">
        <v>-0.94902339999999996</v>
      </c>
      <c r="N6587">
        <v>0</v>
      </c>
      <c r="O6587">
        <v>-0.31491529999999901</v>
      </c>
      <c r="P6587">
        <v>-0.9215468</v>
      </c>
      <c r="Q6587">
        <v>9.5826460000000002E-2</v>
      </c>
      <c r="R6587">
        <v>-0.3762566</v>
      </c>
      <c r="S6587">
        <v>-2.5734560000000002</v>
      </c>
      <c r="T6587">
        <v>-0.2217729</v>
      </c>
      <c r="U6587">
        <v>-1.7424770000000001</v>
      </c>
      <c r="V6587">
        <v>-6.7361160000000003E-2</v>
      </c>
      <c r="W6587">
        <v>0.10895539999999899</v>
      </c>
      <c r="X6587">
        <v>0.99176169999999997</v>
      </c>
      <c r="Y6587">
        <v>-0.2714299</v>
      </c>
      <c r="Z6587">
        <v>1.308836E-2</v>
      </c>
      <c r="AA6587">
        <v>0.96236920000000004</v>
      </c>
      <c r="AB6587">
        <v>19</v>
      </c>
      <c r="AC6587">
        <v>-12.7347</v>
      </c>
      <c r="AD6587">
        <v>-1.112527256923</v>
      </c>
      <c r="AE6587">
        <v>-8.6796000000000202</v>
      </c>
      <c r="AF6587">
        <v>-4.20526357448973</v>
      </c>
      <c r="AG6587">
        <v>-1.112527256923</v>
      </c>
      <c r="AH6587">
        <v>14.743391107476301</v>
      </c>
      <c r="AI6587">
        <v>94.150409259521098</v>
      </c>
      <c r="AJ6587">
        <v>105.91976127221901</v>
      </c>
      <c r="AK6587">
        <v>15.371712330652599</v>
      </c>
      <c r="AL6587">
        <v>83.7448977649547</v>
      </c>
      <c r="AM6587">
        <v>93.885602375662401</v>
      </c>
      <c r="AN6587">
        <v>1.0000000373262901</v>
      </c>
    </row>
    <row r="6588" spans="1:40" x14ac:dyDescent="0.25">
      <c r="A6588" t="str">
        <f>"20190312154054534"</f>
        <v>20190312154054534</v>
      </c>
      <c r="B6588" t="str">
        <f>"1552376454522781"</f>
        <v>1552376454522781</v>
      </c>
      <c r="C6588" t="s">
        <v>40</v>
      </c>
      <c r="D6588">
        <v>4.0085059999999997</v>
      </c>
      <c r="E6588">
        <v>0.42431459999999999</v>
      </c>
      <c r="F6588" t="s">
        <v>55</v>
      </c>
      <c r="G6588">
        <v>-415.2876</v>
      </c>
      <c r="H6588" s="1">
        <v>-4.1751559999999999E-6</v>
      </c>
      <c r="I6588">
        <v>125.6152</v>
      </c>
      <c r="J6588">
        <v>-402.49200000000002</v>
      </c>
      <c r="K6588">
        <v>1.1125400000000001</v>
      </c>
      <c r="L6588">
        <v>134.36949999999999</v>
      </c>
      <c r="M6588">
        <v>-0.94791639999999999</v>
      </c>
      <c r="N6588">
        <v>0</v>
      </c>
      <c r="O6588">
        <v>-0.31823200000000001</v>
      </c>
      <c r="P6588">
        <v>-0.92024839999999997</v>
      </c>
      <c r="Q6588">
        <v>9.1697819999999999E-2</v>
      </c>
      <c r="R6588">
        <v>-0.38044020000000001</v>
      </c>
      <c r="S6588">
        <v>-2.5662229999999999</v>
      </c>
      <c r="T6588">
        <v>-0.2200233</v>
      </c>
      <c r="U6588">
        <v>-1.744003</v>
      </c>
      <c r="V6588">
        <v>-6.825705E-2</v>
      </c>
      <c r="W6588">
        <v>0.1048246</v>
      </c>
      <c r="X6588">
        <v>0.99214550000000001</v>
      </c>
      <c r="Y6588">
        <v>-0.26972370000000001</v>
      </c>
      <c r="Z6588">
        <v>1.331309E-2</v>
      </c>
      <c r="AA6588">
        <v>0.96284570000000003</v>
      </c>
      <c r="AB6588">
        <v>19</v>
      </c>
      <c r="AC6588">
        <v>-12.7956</v>
      </c>
      <c r="AD6588">
        <v>-1.1125441751559999</v>
      </c>
      <c r="AE6588">
        <v>-8.7542999999999793</v>
      </c>
      <c r="AF6588">
        <v>-4.2051076007630899</v>
      </c>
      <c r="AG6588">
        <v>-1.1125441751559999</v>
      </c>
      <c r="AH6588">
        <v>14.840003360764999</v>
      </c>
      <c r="AI6588">
        <v>94.125564024123406</v>
      </c>
      <c r="AJ6588">
        <v>105.820766425594</v>
      </c>
      <c r="AK6588">
        <v>15.464358513148399</v>
      </c>
      <c r="AL6588">
        <v>83.982938629501007</v>
      </c>
      <c r="AM6588">
        <v>93.935600409622097</v>
      </c>
      <c r="AN6588">
        <v>0.99999995740505498</v>
      </c>
    </row>
    <row r="6589" spans="1:40" x14ac:dyDescent="0.25">
      <c r="A6589" t="str">
        <f>"20190312154054556"</f>
        <v>20190312154054556</v>
      </c>
      <c r="B6589" t="str">
        <f>"1552376454553037"</f>
        <v>1552376454553037</v>
      </c>
      <c r="C6589" t="s">
        <v>40</v>
      </c>
      <c r="D6589">
        <v>4.0455120000000004</v>
      </c>
      <c r="E6589">
        <v>0.42597479999999999</v>
      </c>
      <c r="F6589" t="s">
        <v>55</v>
      </c>
      <c r="G6589">
        <v>-415.4665</v>
      </c>
      <c r="H6589" s="1">
        <v>-4.124535E-6</v>
      </c>
      <c r="I6589">
        <v>125.5411</v>
      </c>
      <c r="J6589">
        <v>-402.66629999999998</v>
      </c>
      <c r="K6589">
        <v>1.112568</v>
      </c>
      <c r="L6589">
        <v>134.30670000000001</v>
      </c>
      <c r="M6589">
        <v>-0.94680540000000002</v>
      </c>
      <c r="N6589">
        <v>0</v>
      </c>
      <c r="O6589">
        <v>-0.32152160000000002</v>
      </c>
      <c r="P6589">
        <v>-0.91890280000000002</v>
      </c>
      <c r="Q6589">
        <v>8.8166399999999895E-2</v>
      </c>
      <c r="R6589">
        <v>-0.38450509999999999</v>
      </c>
      <c r="S6589">
        <v>-2.5613100000000002</v>
      </c>
      <c r="T6589">
        <v>-0.21962899999999999</v>
      </c>
      <c r="U6589">
        <v>-1.7428129999999999</v>
      </c>
      <c r="V6589">
        <v>-6.9082939999999995E-2</v>
      </c>
      <c r="W6589">
        <v>0.10128959999999999</v>
      </c>
      <c r="X6589">
        <v>0.99245550000000005</v>
      </c>
      <c r="Y6589">
        <v>-0.26694489999999998</v>
      </c>
      <c r="Z6589">
        <v>1.3651719999999999E-2</v>
      </c>
      <c r="AA6589">
        <v>0.96361509999999995</v>
      </c>
      <c r="AB6589">
        <v>19</v>
      </c>
      <c r="AC6589">
        <v>-12.8002</v>
      </c>
      <c r="AD6589">
        <v>-1.112572124535</v>
      </c>
      <c r="AE6589">
        <v>-8.7655999999999992</v>
      </c>
      <c r="AF6589">
        <v>-4.1627513803402696</v>
      </c>
      <c r="AG6589">
        <v>-1.112572124535</v>
      </c>
      <c r="AH6589">
        <v>14.862560309498299</v>
      </c>
      <c r="AI6589">
        <v>94.122943259957395</v>
      </c>
      <c r="AJ6589">
        <v>105.646659403355</v>
      </c>
      <c r="AK6589">
        <v>15.4745602438419</v>
      </c>
      <c r="AL6589">
        <v>84.186563659209995</v>
      </c>
      <c r="AM6589">
        <v>93.981827507932294</v>
      </c>
      <c r="AN6589">
        <v>0.99999997757372605</v>
      </c>
    </row>
    <row r="6590" spans="1:40" x14ac:dyDescent="0.25">
      <c r="A6590" t="str">
        <f>"20190312154054579"</f>
        <v>20190312154054579</v>
      </c>
      <c r="B6590" t="str">
        <f>"1552376454572557"</f>
        <v>1552376454572557</v>
      </c>
      <c r="C6590" t="s">
        <v>40</v>
      </c>
      <c r="D6590">
        <v>4.0593539999999999</v>
      </c>
      <c r="E6590">
        <v>0.42689250000000001</v>
      </c>
      <c r="F6590" t="s">
        <v>55</v>
      </c>
      <c r="G6590">
        <v>-416.05</v>
      </c>
      <c r="H6590" s="1">
        <v>-3.9258709999999998E-6</v>
      </c>
      <c r="I6590">
        <v>125.2029</v>
      </c>
      <c r="J6590">
        <v>-402.84390000000002</v>
      </c>
      <c r="K6590">
        <v>1.112598</v>
      </c>
      <c r="L6590">
        <v>134.24180000000001</v>
      </c>
      <c r="M6590">
        <v>-0.94562749999999995</v>
      </c>
      <c r="N6590">
        <v>0</v>
      </c>
      <c r="O6590">
        <v>-0.32496989999999998</v>
      </c>
      <c r="P6590">
        <v>-0.91781590000000002</v>
      </c>
      <c r="Q6590">
        <v>8.6493810000000004E-2</v>
      </c>
      <c r="R6590">
        <v>-0.38747009999999998</v>
      </c>
      <c r="S6590">
        <v>-2.5572810000000001</v>
      </c>
      <c r="T6590">
        <v>-0.21258460000000001</v>
      </c>
      <c r="U6590">
        <v>-1.7395020000000001</v>
      </c>
      <c r="V6590">
        <v>-6.8621799999999997E-2</v>
      </c>
      <c r="W6590">
        <v>9.9617739999999996E-2</v>
      </c>
      <c r="X6590">
        <v>0.99265669999999995</v>
      </c>
      <c r="Y6590">
        <v>-0.26329259999999999</v>
      </c>
      <c r="Z6590">
        <v>1.3609980000000001E-2</v>
      </c>
      <c r="AA6590">
        <v>0.96462000000000003</v>
      </c>
      <c r="AB6590">
        <v>19</v>
      </c>
      <c r="AC6590">
        <v>-13.2060999999999</v>
      </c>
      <c r="AD6590">
        <v>-1.112601925871</v>
      </c>
      <c r="AE6590">
        <v>-9.0389000000000106</v>
      </c>
      <c r="AF6590">
        <v>-4.2357635606281399</v>
      </c>
      <c r="AG6590">
        <v>-1.112601925871</v>
      </c>
      <c r="AH6590">
        <v>15.352627347474099</v>
      </c>
      <c r="AI6590">
        <v>93.996173998976701</v>
      </c>
      <c r="AJ6590">
        <v>105.424089602686</v>
      </c>
      <c r="AK6590">
        <v>15.9650475244331</v>
      </c>
      <c r="AL6590">
        <v>84.282841233493698</v>
      </c>
      <c r="AM6590">
        <v>93.954533644016294</v>
      </c>
      <c r="AN6590">
        <v>0.99999998480641805</v>
      </c>
    </row>
    <row r="6591" spans="1:40" x14ac:dyDescent="0.25">
      <c r="A6591" t="str">
        <f>"20190312154054601"</f>
        <v>20190312154054601</v>
      </c>
      <c r="B6591" t="str">
        <f>"1552376454593053"</f>
        <v>1552376454593053</v>
      </c>
      <c r="C6591" t="s">
        <v>40</v>
      </c>
      <c r="D6591">
        <v>4.0955250000000003</v>
      </c>
      <c r="E6591">
        <v>0.42768780000000001</v>
      </c>
      <c r="F6591" t="s">
        <v>55</v>
      </c>
      <c r="G6591">
        <v>-416.5444</v>
      </c>
      <c r="H6591" s="1">
        <v>-3.7532380000000001E-6</v>
      </c>
      <c r="I6591">
        <v>124.90389999999999</v>
      </c>
      <c r="J6591">
        <v>-403.02140000000003</v>
      </c>
      <c r="K6591">
        <v>1.1126370000000001</v>
      </c>
      <c r="L6591">
        <v>134.17609999999999</v>
      </c>
      <c r="M6591">
        <v>-0.94440060000000003</v>
      </c>
      <c r="N6591">
        <v>0</v>
      </c>
      <c r="O6591">
        <v>-0.32851799999999998</v>
      </c>
      <c r="P6591">
        <v>-0.91692189999999996</v>
      </c>
      <c r="Q6591">
        <v>8.5441370000000003E-2</v>
      </c>
      <c r="R6591">
        <v>-0.38981280000000001</v>
      </c>
      <c r="S6591">
        <v>-2.5534669999999999</v>
      </c>
      <c r="T6591">
        <v>-0.20736350000000001</v>
      </c>
      <c r="U6591">
        <v>-1.740372</v>
      </c>
      <c r="V6591">
        <v>-6.7402879999999998E-2</v>
      </c>
      <c r="W6591">
        <v>9.8569119999999996E-2</v>
      </c>
      <c r="X6591">
        <v>0.99284490000000003</v>
      </c>
      <c r="Y6591">
        <v>-0.26057089999999999</v>
      </c>
      <c r="Z6591">
        <v>1.362761E-2</v>
      </c>
      <c r="AA6591">
        <v>0.96535859999999996</v>
      </c>
      <c r="AB6591">
        <v>19</v>
      </c>
      <c r="AC6591">
        <v>-13.5229999999999</v>
      </c>
      <c r="AD6591">
        <v>-1.112640753238</v>
      </c>
      <c r="AE6591">
        <v>-9.2721999999999891</v>
      </c>
      <c r="AF6591">
        <v>-4.2947417717146701</v>
      </c>
      <c r="AG6591">
        <v>-1.112640753238</v>
      </c>
      <c r="AH6591">
        <v>15.746157415228501</v>
      </c>
      <c r="AI6591">
        <v>93.899871148095599</v>
      </c>
      <c r="AJ6591">
        <v>105.25625396690999</v>
      </c>
      <c r="AK6591">
        <v>16.3592252162696</v>
      </c>
      <c r="AL6591">
        <v>84.343220042474002</v>
      </c>
      <c r="AM6591">
        <v>93.883772691675304</v>
      </c>
      <c r="AN6591">
        <v>1.0000000075529301</v>
      </c>
    </row>
    <row r="6592" spans="1:40" x14ac:dyDescent="0.25">
      <c r="A6592" t="str">
        <f>"20190312154054623"</f>
        <v>20190312154054623</v>
      </c>
      <c r="B6592" t="str">
        <f>"1552376454612573"</f>
        <v>1552376454612573</v>
      </c>
      <c r="C6592" t="s">
        <v>40</v>
      </c>
      <c r="D6592">
        <v>4.0905279999999999</v>
      </c>
      <c r="E6592">
        <v>0.4285467</v>
      </c>
      <c r="F6592" t="s">
        <v>55</v>
      </c>
      <c r="G6592">
        <v>-417.11919999999998</v>
      </c>
      <c r="H6592" s="1">
        <v>-3.534908E-6</v>
      </c>
      <c r="I6592">
        <v>124.5558</v>
      </c>
      <c r="J6592">
        <v>-403.19389999999999</v>
      </c>
      <c r="K6592">
        <v>1.112671</v>
      </c>
      <c r="L6592">
        <v>134.11150000000001</v>
      </c>
      <c r="M6592">
        <v>-0.94316549999999999</v>
      </c>
      <c r="N6592">
        <v>0</v>
      </c>
      <c r="O6592">
        <v>-0.33204729999999999</v>
      </c>
      <c r="P6592">
        <v>-0.91651919999999998</v>
      </c>
      <c r="Q6592">
        <v>8.3887089999999997E-2</v>
      </c>
      <c r="R6592">
        <v>-0.39109559999999999</v>
      </c>
      <c r="S6592">
        <v>-2.5506289999999998</v>
      </c>
      <c r="T6592">
        <v>-0.2013028</v>
      </c>
      <c r="U6592">
        <v>-1.74054</v>
      </c>
      <c r="V6592">
        <v>-6.5030779999999996E-2</v>
      </c>
      <c r="W6592">
        <v>9.7027299999999997E-2</v>
      </c>
      <c r="X6592">
        <v>0.99315489999999995</v>
      </c>
      <c r="Y6592">
        <v>-0.25750790000000001</v>
      </c>
      <c r="Z6592">
        <v>1.35793999999999E-2</v>
      </c>
      <c r="AA6592">
        <v>0.96618079999999995</v>
      </c>
      <c r="AB6592">
        <v>19</v>
      </c>
      <c r="AC6592">
        <v>-13.925299999999901</v>
      </c>
      <c r="AD6592">
        <v>-1.1126745349079901</v>
      </c>
      <c r="AE6592">
        <v>-9.5556999999999999</v>
      </c>
      <c r="AF6592">
        <v>-4.3701817322748298</v>
      </c>
      <c r="AG6592">
        <v>-1.1126745349079901</v>
      </c>
      <c r="AH6592">
        <v>16.237821087678501</v>
      </c>
      <c r="AI6592">
        <v>93.785690247960005</v>
      </c>
      <c r="AJ6592">
        <v>105.06342355449701</v>
      </c>
      <c r="AK6592">
        <v>16.852399433588001</v>
      </c>
      <c r="AL6592">
        <v>84.431985178257804</v>
      </c>
      <c r="AM6592">
        <v>93.746321779216899</v>
      </c>
      <c r="AN6592">
        <v>0.999999977343353</v>
      </c>
    </row>
    <row r="6593" spans="1:40" x14ac:dyDescent="0.25">
      <c r="A6593" t="str">
        <f>"20190312154054645"</f>
        <v>20190312154054645</v>
      </c>
      <c r="B6593" t="str">
        <f>"1552376454642829"</f>
        <v>1552376454642829</v>
      </c>
      <c r="C6593" t="s">
        <v>40</v>
      </c>
      <c r="D6593">
        <v>4.10947</v>
      </c>
      <c r="E6593">
        <v>0.42960209999999999</v>
      </c>
      <c r="F6593" t="s">
        <v>55</v>
      </c>
      <c r="G6593">
        <v>-417.51459999999997</v>
      </c>
      <c r="H6593" s="1">
        <v>-3.3511859999999998E-6</v>
      </c>
      <c r="I6593">
        <v>124.35339999999999</v>
      </c>
      <c r="J6593">
        <v>-403.37</v>
      </c>
      <c r="K6593">
        <v>1.1127</v>
      </c>
      <c r="L6593">
        <v>134.0446</v>
      </c>
      <c r="M6593">
        <v>-0.94185799999999997</v>
      </c>
      <c r="N6593">
        <v>0</v>
      </c>
      <c r="O6593">
        <v>-0.33573789999999998</v>
      </c>
      <c r="P6593">
        <v>-0.91601840000000001</v>
      </c>
      <c r="Q6593">
        <v>8.3576650000000002E-2</v>
      </c>
      <c r="R6593">
        <v>-0.39233309999999999</v>
      </c>
      <c r="S6593">
        <v>-2.5499269999999998</v>
      </c>
      <c r="T6593">
        <v>-0.19812080000000001</v>
      </c>
      <c r="U6593">
        <v>-1.73750299999999</v>
      </c>
      <c r="V6593">
        <v>-6.2477930000000001E-2</v>
      </c>
      <c r="W6593">
        <v>9.6730209999999997E-2</v>
      </c>
      <c r="X6593">
        <v>0.9933478</v>
      </c>
      <c r="Y6593">
        <v>-0.25307099999999999</v>
      </c>
      <c r="Z6593">
        <v>1.376373E-2</v>
      </c>
      <c r="AA6593">
        <v>0.96734980000000004</v>
      </c>
      <c r="AB6593">
        <v>19</v>
      </c>
      <c r="AC6593">
        <v>-14.144599999999899</v>
      </c>
      <c r="AD6593">
        <v>-1.1127033511860001</v>
      </c>
      <c r="AE6593">
        <v>-9.6912000000000091</v>
      </c>
      <c r="AF6593">
        <v>-4.3608924089902903</v>
      </c>
      <c r="AG6593">
        <v>-1.1127033511860001</v>
      </c>
      <c r="AH6593">
        <v>16.507907852886099</v>
      </c>
      <c r="AI6593">
        <v>93.728618149035896</v>
      </c>
      <c r="AJ6593">
        <v>104.797777668237</v>
      </c>
      <c r="AK6593">
        <v>17.1104211821307</v>
      </c>
      <c r="AL6593">
        <v>84.4490879691364</v>
      </c>
      <c r="AM6593">
        <v>93.598953434508104</v>
      </c>
      <c r="AN6593">
        <v>1.00000003851428</v>
      </c>
    </row>
    <row r="6594" spans="1:40" x14ac:dyDescent="0.25">
      <c r="A6594" t="str">
        <f>"20190312154054669"</f>
        <v>20190312154054669</v>
      </c>
      <c r="B6594" t="str">
        <f>"1552376454663325"</f>
        <v>1552376454663325</v>
      </c>
      <c r="C6594" t="s">
        <v>40</v>
      </c>
      <c r="D6594">
        <v>4.1456869999999997</v>
      </c>
      <c r="E6594">
        <v>0.430226</v>
      </c>
      <c r="F6594" t="s">
        <v>55</v>
      </c>
      <c r="G6594">
        <v>-418.29289999999997</v>
      </c>
      <c r="H6594" s="1">
        <v>-2.9608539999999999E-6</v>
      </c>
      <c r="I6594">
        <v>123.9098</v>
      </c>
      <c r="J6594">
        <v>-403.54809999999998</v>
      </c>
      <c r="K6594">
        <v>1.112752</v>
      </c>
      <c r="L6594">
        <v>133.976</v>
      </c>
      <c r="M6594">
        <v>-0.94048390000000004</v>
      </c>
      <c r="N6594">
        <v>0</v>
      </c>
      <c r="O6594">
        <v>-0.33956809999999998</v>
      </c>
      <c r="P6594">
        <v>-0.91471179999999996</v>
      </c>
      <c r="Q6594">
        <v>8.7715940000000006E-2</v>
      </c>
      <c r="R6594">
        <v>-0.39447260000000001</v>
      </c>
      <c r="S6594">
        <v>-2.5505369999999998</v>
      </c>
      <c r="T6594">
        <v>-0.19017700000000001</v>
      </c>
      <c r="U6594">
        <v>-1.73217799999999</v>
      </c>
      <c r="V6594">
        <v>-6.0915629999999998E-2</v>
      </c>
      <c r="W6594">
        <v>0.10087169999999999</v>
      </c>
      <c r="X6594">
        <v>0.99303280000000005</v>
      </c>
      <c r="Y6594">
        <v>-0.24764600000000001</v>
      </c>
      <c r="Z6594">
        <v>1.363557E-2</v>
      </c>
      <c r="AA6594">
        <v>0.96875460000000002</v>
      </c>
      <c r="AB6594">
        <v>19</v>
      </c>
      <c r="AC6594">
        <v>-14.7447999999999</v>
      </c>
      <c r="AD6594">
        <v>-1.1127549608539999</v>
      </c>
      <c r="AE6594">
        <v>-10.066199999999901</v>
      </c>
      <c r="AF6594">
        <v>-4.4433831388424698</v>
      </c>
      <c r="AG6594">
        <v>-1.1127549608539999</v>
      </c>
      <c r="AH6594">
        <v>17.220097700994899</v>
      </c>
      <c r="AI6594">
        <v>93.580334920776806</v>
      </c>
      <c r="AJ6594">
        <v>104.46869364809901</v>
      </c>
      <c r="AK6594">
        <v>17.818912485145201</v>
      </c>
      <c r="AL6594">
        <v>84.210630834250793</v>
      </c>
      <c r="AM6594">
        <v>93.510297462278402</v>
      </c>
      <c r="AN6594">
        <v>0.99999997785751304</v>
      </c>
    </row>
    <row r="6595" spans="1:40" x14ac:dyDescent="0.25">
      <c r="A6595" t="str">
        <f>"20190312154054691"</f>
        <v>20190312154054691</v>
      </c>
      <c r="B6595" t="str">
        <f>"1552376454682845"</f>
        <v>1552376454682845</v>
      </c>
      <c r="C6595" t="s">
        <v>40</v>
      </c>
      <c r="D6595">
        <v>4.124784</v>
      </c>
      <c r="E6595">
        <v>0.4307356</v>
      </c>
      <c r="F6595" t="s">
        <v>55</v>
      </c>
      <c r="G6595">
        <v>-419.90159999999997</v>
      </c>
      <c r="H6595" s="1">
        <v>-2.0668529999999998E-6</v>
      </c>
      <c r="I6595">
        <v>122.8557</v>
      </c>
      <c r="J6595">
        <v>-403.72410000000002</v>
      </c>
      <c r="K6595">
        <v>1.1128279999999999</v>
      </c>
      <c r="L6595">
        <v>133.90729999999999</v>
      </c>
      <c r="M6595">
        <v>-0.9390714</v>
      </c>
      <c r="N6595">
        <v>0</v>
      </c>
      <c r="O6595">
        <v>-0.3434547</v>
      </c>
      <c r="P6595">
        <v>-0.9130374</v>
      </c>
      <c r="Q6595">
        <v>9.4691070000000002E-2</v>
      </c>
      <c r="R6595">
        <v>-0.39673219999999998</v>
      </c>
      <c r="S6595">
        <v>-2.548889</v>
      </c>
      <c r="T6595">
        <v>-0.1734357</v>
      </c>
      <c r="U6595">
        <v>-1.733231</v>
      </c>
      <c r="V6595">
        <v>-5.954781E-2</v>
      </c>
      <c r="W6595">
        <v>0.1078438</v>
      </c>
      <c r="X6595">
        <v>0.99238289999999996</v>
      </c>
      <c r="Y6595">
        <v>-0.24418809999999999</v>
      </c>
      <c r="Z6595">
        <v>1.2764660000000001E-2</v>
      </c>
      <c r="AA6595">
        <v>0.9696439</v>
      </c>
      <c r="AB6595">
        <v>19</v>
      </c>
      <c r="AC6595">
        <v>-16.177499999999899</v>
      </c>
      <c r="AD6595">
        <v>-1.112830066853</v>
      </c>
      <c r="AE6595">
        <v>-11.051599999999899</v>
      </c>
      <c r="AF6595">
        <v>-4.8069378748860396</v>
      </c>
      <c r="AG6595">
        <v>-1.112830066853</v>
      </c>
      <c r="AH6595">
        <v>18.928229453697298</v>
      </c>
      <c r="AI6595">
        <v>93.261373566682394</v>
      </c>
      <c r="AJ6595">
        <v>104.24937437577699</v>
      </c>
      <c r="AK6595">
        <v>19.560749288882601</v>
      </c>
      <c r="AL6595">
        <v>83.808965192930202</v>
      </c>
      <c r="AM6595">
        <v>93.433908569975799</v>
      </c>
      <c r="AN6595">
        <v>1.00000002354332</v>
      </c>
    </row>
    <row r="6596" spans="1:40" x14ac:dyDescent="0.25">
      <c r="A6596" t="str">
        <f>"20190312154054713"</f>
        <v>20190312154054713</v>
      </c>
      <c r="B6596" t="str">
        <f>"1552376454702365"</f>
        <v>1552376454702365</v>
      </c>
      <c r="C6596" t="s">
        <v>40</v>
      </c>
      <c r="D6596">
        <v>4.1247639999999999</v>
      </c>
      <c r="E6596">
        <v>0.43112549999999999</v>
      </c>
      <c r="F6596" t="s">
        <v>55</v>
      </c>
      <c r="G6596">
        <v>-422.84789999999998</v>
      </c>
      <c r="H6596" s="1">
        <v>-1.5584359999999999E-6</v>
      </c>
      <c r="I6596">
        <v>120.8583</v>
      </c>
      <c r="J6596">
        <v>-403.89400000000001</v>
      </c>
      <c r="K6596">
        <v>1.1129039999999999</v>
      </c>
      <c r="L6596">
        <v>133.84010000000001</v>
      </c>
      <c r="M6596">
        <v>-0.93765330000000002</v>
      </c>
      <c r="N6596">
        <v>0</v>
      </c>
      <c r="O6596">
        <v>-0.34730739999999999</v>
      </c>
      <c r="P6596">
        <v>-0.91182629999999998</v>
      </c>
      <c r="Q6596">
        <v>0.1005529</v>
      </c>
      <c r="R6596">
        <v>-0.39807300000000001</v>
      </c>
      <c r="S6596">
        <v>-2.546173</v>
      </c>
      <c r="T6596">
        <v>-0.148163299999999</v>
      </c>
      <c r="U6596">
        <v>-1.737366</v>
      </c>
      <c r="V6596">
        <v>-5.7189410000000003E-2</v>
      </c>
      <c r="W6596">
        <v>0.1137098</v>
      </c>
      <c r="X6596">
        <v>0.99186660000000004</v>
      </c>
      <c r="Y6596">
        <v>-0.24173269999999999</v>
      </c>
      <c r="Z6596">
        <v>1.1158329999999999E-2</v>
      </c>
      <c r="AA6596">
        <v>0.97027870000000005</v>
      </c>
      <c r="AB6596">
        <v>19</v>
      </c>
      <c r="AC6596">
        <v>-18.953899999999901</v>
      </c>
      <c r="AD6596">
        <v>-1.1129055584359999</v>
      </c>
      <c r="AE6596">
        <v>-12.9818</v>
      </c>
      <c r="AF6596">
        <v>-5.5770239509815296</v>
      </c>
      <c r="AG6596">
        <v>-1.1129055584359999</v>
      </c>
      <c r="AH6596">
        <v>22.2307407720611</v>
      </c>
      <c r="AI6596">
        <v>92.779921522919096</v>
      </c>
      <c r="AJ6596">
        <v>104.08314417129</v>
      </c>
      <c r="AK6596">
        <v>22.946624810773301</v>
      </c>
      <c r="AL6596">
        <v>83.470785781723507</v>
      </c>
      <c r="AM6596">
        <v>93.299927553303803</v>
      </c>
      <c r="AN6596">
        <v>0.99999994971387196</v>
      </c>
    </row>
    <row r="6597" spans="1:40" x14ac:dyDescent="0.25">
      <c r="A6597" t="str">
        <f>"20190312154054735"</f>
        <v>20190312154054735</v>
      </c>
      <c r="B6597" t="str">
        <f>"1552376454732622"</f>
        <v>1552376454732622</v>
      </c>
      <c r="C6597" t="s">
        <v>40</v>
      </c>
      <c r="D6597">
        <v>4.1669510000000001</v>
      </c>
      <c r="E6597">
        <v>0.4315929</v>
      </c>
      <c r="F6597" t="s">
        <v>42</v>
      </c>
      <c r="G6597">
        <v>-426.05529999999999</v>
      </c>
      <c r="H6597" s="1">
        <v>-5.0581020000000004E-6</v>
      </c>
      <c r="I6597">
        <v>118.6939</v>
      </c>
      <c r="J6597">
        <v>-404.06540000000001</v>
      </c>
      <c r="K6597">
        <v>1.112981</v>
      </c>
      <c r="L6597">
        <v>133.7714</v>
      </c>
      <c r="M6597">
        <v>-0.93616659999999996</v>
      </c>
      <c r="N6597">
        <v>0</v>
      </c>
      <c r="O6597">
        <v>-0.35129460000000001</v>
      </c>
      <c r="P6597">
        <v>-0.91075280000000003</v>
      </c>
      <c r="Q6597">
        <v>0.1040557</v>
      </c>
      <c r="R6597">
        <v>-0.39962690000000001</v>
      </c>
      <c r="S6597">
        <v>-2.544861</v>
      </c>
      <c r="T6597">
        <v>-0.12779939999999901</v>
      </c>
      <c r="U6597">
        <v>-1.7392879999999999</v>
      </c>
      <c r="V6597">
        <v>-5.4828429999999997E-2</v>
      </c>
      <c r="W6597">
        <v>0.1172195</v>
      </c>
      <c r="X6597">
        <v>0.99159129999999995</v>
      </c>
      <c r="Y6597">
        <v>-0.23831379999999999</v>
      </c>
      <c r="Z6597">
        <v>9.8684270000000008E-3</v>
      </c>
      <c r="AA6597">
        <v>0.9711381</v>
      </c>
      <c r="AB6597">
        <v>19</v>
      </c>
      <c r="AC6597">
        <v>-21.989899999999899</v>
      </c>
      <c r="AD6597">
        <v>-1.1129860581019999</v>
      </c>
      <c r="AE6597">
        <v>-15.077500000000001</v>
      </c>
      <c r="AF6597">
        <v>-6.3795908041894496</v>
      </c>
      <c r="AG6597">
        <v>-1.1129860581019999</v>
      </c>
      <c r="AH6597">
        <v>25.840211184967501</v>
      </c>
      <c r="AI6597">
        <v>92.394502668296596</v>
      </c>
      <c r="AJ6597">
        <v>103.86820625119</v>
      </c>
      <c r="AK6597">
        <v>26.639339910706301</v>
      </c>
      <c r="AL6597">
        <v>83.268340543599194</v>
      </c>
      <c r="AM6597">
        <v>93.164854307663205</v>
      </c>
      <c r="AN6597">
        <v>0.99999993707610002</v>
      </c>
    </row>
    <row r="6598" spans="1:40" x14ac:dyDescent="0.25">
      <c r="A6598" t="str">
        <f>"20190312154054758"</f>
        <v>20190312154054758</v>
      </c>
      <c r="B6598" t="str">
        <f>"1552376454753121"</f>
        <v>1552376454753121</v>
      </c>
      <c r="C6598" t="s">
        <v>40</v>
      </c>
      <c r="D6598">
        <v>4.2103120000000001</v>
      </c>
      <c r="E6598">
        <v>0.43186469999999999</v>
      </c>
      <c r="F6598" t="s">
        <v>42</v>
      </c>
      <c r="G6598">
        <v>-429.18079999999998</v>
      </c>
      <c r="H6598" s="1">
        <v>-4.8917390000000001E-6</v>
      </c>
      <c r="I6598">
        <v>116.5759</v>
      </c>
      <c r="J6598">
        <v>-404.24</v>
      </c>
      <c r="K6598">
        <v>1.1130629999999999</v>
      </c>
      <c r="L6598">
        <v>133.7002</v>
      </c>
      <c r="M6598">
        <v>-0.9345852</v>
      </c>
      <c r="N6598">
        <v>0</v>
      </c>
      <c r="O6598">
        <v>-0.35548020000000002</v>
      </c>
      <c r="P6598">
        <v>-0.9093388</v>
      </c>
      <c r="Q6598">
        <v>0.1072539</v>
      </c>
      <c r="R6598">
        <v>-0.40199430000000003</v>
      </c>
      <c r="S6598">
        <v>-2.5429379999999999</v>
      </c>
      <c r="T6598">
        <v>-0.11269</v>
      </c>
      <c r="U6598">
        <v>-1.7410429999999999</v>
      </c>
      <c r="V6598">
        <v>-5.3136870000000003E-2</v>
      </c>
      <c r="W6598">
        <v>0.1204206</v>
      </c>
      <c r="X6598">
        <v>0.99129979999999995</v>
      </c>
      <c r="Y6598">
        <v>-0.23475099999999999</v>
      </c>
      <c r="Z6598">
        <v>8.9278469999999992E-3</v>
      </c>
      <c r="AA6598">
        <v>0.9720145</v>
      </c>
      <c r="AB6598">
        <v>19</v>
      </c>
      <c r="AC6598">
        <v>-24.9407999999999</v>
      </c>
      <c r="AD6598">
        <v>-1.113067891739</v>
      </c>
      <c r="AE6598">
        <v>-17.124299999999899</v>
      </c>
      <c r="AF6598">
        <v>-7.1291647914936096</v>
      </c>
      <c r="AG6598">
        <v>-1.113067891739</v>
      </c>
      <c r="AH6598">
        <v>29.359621015007299</v>
      </c>
      <c r="AI6598">
        <v>92.109877153325002</v>
      </c>
      <c r="AJ6598">
        <v>103.64852306494799</v>
      </c>
      <c r="AK6598">
        <v>30.233280617570301</v>
      </c>
      <c r="AL6598">
        <v>83.083622583010794</v>
      </c>
      <c r="AM6598">
        <v>93.068302303525002</v>
      </c>
      <c r="AN6598">
        <v>0.99999997066889801</v>
      </c>
    </row>
    <row r="6599" spans="1:40" x14ac:dyDescent="0.25">
      <c r="A6599" t="str">
        <f>"20190312154054780"</f>
        <v>20190312154054780</v>
      </c>
      <c r="B6599" t="str">
        <f>"1552376454772651"</f>
        <v>1552376454772651</v>
      </c>
      <c r="C6599" t="s">
        <v>40</v>
      </c>
      <c r="D6599">
        <v>4.262346</v>
      </c>
      <c r="E6599">
        <v>0.43185469999999998</v>
      </c>
      <c r="F6599" t="s">
        <v>42</v>
      </c>
      <c r="G6599">
        <v>-429.98399999999998</v>
      </c>
      <c r="H6599">
        <v>7.6187920000000006E-2</v>
      </c>
      <c r="I6599">
        <v>115.9982</v>
      </c>
      <c r="J6599">
        <v>-404.40899999999999</v>
      </c>
      <c r="K6599">
        <v>1.113129</v>
      </c>
      <c r="L6599">
        <v>133.63040000000001</v>
      </c>
      <c r="M6599">
        <v>-0.93298300000000001</v>
      </c>
      <c r="N6599">
        <v>0</v>
      </c>
      <c r="O6599">
        <v>-0.35966389999999998</v>
      </c>
      <c r="P6599">
        <v>-0.90765640000000003</v>
      </c>
      <c r="Q6599">
        <v>0.10824979999999999</v>
      </c>
      <c r="R6599">
        <v>-0.4055145</v>
      </c>
      <c r="S6599">
        <v>-2.539307</v>
      </c>
      <c r="T6599">
        <v>-0.1022743</v>
      </c>
      <c r="U6599">
        <v>-1.74607799999999</v>
      </c>
      <c r="V6599">
        <v>-5.2603379999999998E-2</v>
      </c>
      <c r="W6599">
        <v>0.121417</v>
      </c>
      <c r="X6599">
        <v>0.99120680000000005</v>
      </c>
      <c r="Y6599">
        <v>-0.23234379999999999</v>
      </c>
      <c r="Z6599">
        <v>8.2875840000000006E-3</v>
      </c>
      <c r="AA6599">
        <v>0.97259839999999997</v>
      </c>
      <c r="AB6599">
        <v>19</v>
      </c>
      <c r="AC6599">
        <v>-25.574999999999999</v>
      </c>
      <c r="AD6599">
        <v>-1.0369410800000001</v>
      </c>
      <c r="AE6599">
        <v>-17.632200000000001</v>
      </c>
      <c r="AF6599">
        <v>-7.2447354565120001</v>
      </c>
      <c r="AG6599">
        <v>-1.0369410800000001</v>
      </c>
      <c r="AH6599">
        <v>30.171874410198601</v>
      </c>
      <c r="AI6599">
        <v>91.913994665506607</v>
      </c>
      <c r="AJ6599">
        <v>103.501991702418</v>
      </c>
      <c r="AK6599">
        <v>31.046794424916499</v>
      </c>
      <c r="AL6599">
        <v>83.026111707251701</v>
      </c>
      <c r="AM6599">
        <v>93.037839235370299</v>
      </c>
      <c r="AN6599">
        <v>1.0000000619213301</v>
      </c>
    </row>
    <row r="6600" spans="1:40" x14ac:dyDescent="0.25">
      <c r="A6600" t="str">
        <f>"20190312154054801"</f>
        <v>20190312154054801</v>
      </c>
      <c r="B6600" t="str">
        <f>"1552376454793134"</f>
        <v>1552376454793134</v>
      </c>
      <c r="C6600" t="s">
        <v>40</v>
      </c>
      <c r="D6600">
        <v>4.2107289999999997</v>
      </c>
      <c r="E6600">
        <v>0.40663050000000001</v>
      </c>
      <c r="F6600" t="s">
        <v>42</v>
      </c>
      <c r="G6600">
        <v>-430.44510000000002</v>
      </c>
      <c r="H6600">
        <v>7.9986559999999998E-2</v>
      </c>
      <c r="I6600">
        <v>115.58750000000001</v>
      </c>
      <c r="J6600">
        <v>-404.57780000000002</v>
      </c>
      <c r="K6600">
        <v>1.1131740000000001</v>
      </c>
      <c r="L6600">
        <v>133.55950000000001</v>
      </c>
      <c r="M6600">
        <v>-0.93131739999999996</v>
      </c>
      <c r="N6600">
        <v>0</v>
      </c>
      <c r="O6600">
        <v>-0.36395519999999998</v>
      </c>
      <c r="P6600">
        <v>-0.9063253</v>
      </c>
      <c r="Q6600">
        <v>0.10553999999999999</v>
      </c>
      <c r="R6600">
        <v>-0.40918979999999999</v>
      </c>
      <c r="S6600">
        <v>-2.5329899999999999</v>
      </c>
      <c r="T6600">
        <v>-0.1005118</v>
      </c>
      <c r="U6600">
        <v>-1.755341</v>
      </c>
      <c r="V6600">
        <v>-5.1942229999999999E-2</v>
      </c>
      <c r="W6600">
        <v>0.118714899999999</v>
      </c>
      <c r="X6600">
        <v>0.99156889999999998</v>
      </c>
      <c r="Y6600">
        <v>-0.23140479999999999</v>
      </c>
      <c r="Z6600">
        <v>8.30586E-3</v>
      </c>
      <c r="AA6600">
        <v>0.97282210000000002</v>
      </c>
      <c r="AB6600">
        <v>19</v>
      </c>
      <c r="AC6600">
        <v>-25.8673</v>
      </c>
      <c r="AD6600">
        <v>-1.0331874399999901</v>
      </c>
      <c r="AE6600">
        <v>-17.972000000000001</v>
      </c>
      <c r="AF6600">
        <v>-7.3159020048394003</v>
      </c>
      <c r="AG6600">
        <v>-1.0331874399999901</v>
      </c>
      <c r="AH6600">
        <v>30.601569556806801</v>
      </c>
      <c r="AI6600">
        <v>91.880757700235193</v>
      </c>
      <c r="AJ6600">
        <v>103.445312673031</v>
      </c>
      <c r="AK6600">
        <v>31.480882417280998</v>
      </c>
      <c r="AL6600">
        <v>83.182058746890505</v>
      </c>
      <c r="AM6600">
        <v>92.998634635883107</v>
      </c>
      <c r="AN6600">
        <v>1.00000005309329</v>
      </c>
    </row>
    <row r="6601" spans="1:40" x14ac:dyDescent="0.25">
      <c r="A6601" t="str">
        <f>"20190312154054824"</f>
        <v>20190312154054824</v>
      </c>
      <c r="B6601" t="str">
        <f>"1552376454812654"</f>
        <v>1552376454812654</v>
      </c>
      <c r="C6601" t="s">
        <v>40</v>
      </c>
      <c r="D6601">
        <v>4.206715</v>
      </c>
      <c r="E6601">
        <v>0.40197529999999998</v>
      </c>
      <c r="F6601" t="s">
        <v>42</v>
      </c>
      <c r="G6601">
        <v>-433.2534</v>
      </c>
      <c r="H6601">
        <v>7.9986639999999998E-2</v>
      </c>
      <c r="I6601">
        <v>110.70350000000001</v>
      </c>
      <c r="J6601">
        <v>-404.74700000000001</v>
      </c>
      <c r="K6601">
        <v>1.113218</v>
      </c>
      <c r="L6601">
        <v>133.4873</v>
      </c>
      <c r="M6601">
        <v>-0.92957619999999996</v>
      </c>
      <c r="N6601">
        <v>0</v>
      </c>
      <c r="O6601">
        <v>-0.36837930000000002</v>
      </c>
      <c r="P6601">
        <v>-0.90529009999999999</v>
      </c>
      <c r="Q6601">
        <v>0.1022962</v>
      </c>
      <c r="R6601">
        <v>-0.41229349999999998</v>
      </c>
      <c r="S6601">
        <v>-2.4416500000000001</v>
      </c>
      <c r="T6601">
        <v>-8.7973120000000002E-2</v>
      </c>
      <c r="U6601">
        <v>-1.946121</v>
      </c>
      <c r="V6601">
        <v>-5.0483010000000002E-2</v>
      </c>
      <c r="W6601">
        <v>0.115485199999999</v>
      </c>
      <c r="X6601">
        <v>0.9920255</v>
      </c>
      <c r="Y6601">
        <v>-0.29137429999999997</v>
      </c>
      <c r="Z6601">
        <v>6.4780250000000001E-3</v>
      </c>
      <c r="AA6601">
        <v>0.95658719999999997</v>
      </c>
      <c r="AB6601">
        <v>19</v>
      </c>
      <c r="AC6601">
        <v>-28.506399999999999</v>
      </c>
      <c r="AD6601">
        <v>-1.03323136</v>
      </c>
      <c r="AE6601">
        <v>-22.783799999999999</v>
      </c>
      <c r="AF6601">
        <v>-10.6705432201815</v>
      </c>
      <c r="AG6601">
        <v>-1.03323136</v>
      </c>
      <c r="AH6601">
        <v>34.867224171065899</v>
      </c>
      <c r="AI6601">
        <v>91.623103281317299</v>
      </c>
      <c r="AJ6601">
        <v>107.01587263175</v>
      </c>
      <c r="AK6601">
        <v>36.478094537028902</v>
      </c>
      <c r="AL6601">
        <v>83.368388437408498</v>
      </c>
      <c r="AM6601">
        <v>92.913201765919894</v>
      </c>
      <c r="AN6601">
        <v>0.99999997918397399</v>
      </c>
    </row>
    <row r="6602" spans="1:40" x14ac:dyDescent="0.25">
      <c r="A6602" t="str">
        <f>"20190312154054847"</f>
        <v>20190312154054847</v>
      </c>
      <c r="B6602" t="str">
        <f>"1552376454843085"</f>
        <v>1552376454843085</v>
      </c>
      <c r="C6602" t="s">
        <v>40</v>
      </c>
      <c r="D6602">
        <v>4.1623299999999999</v>
      </c>
      <c r="E6602">
        <v>0.39967059999999999</v>
      </c>
      <c r="F6602" t="s">
        <v>42</v>
      </c>
      <c r="G6602">
        <v>-427.80250000000001</v>
      </c>
      <c r="H6602" s="1">
        <v>-3.9530309999999999E-6</v>
      </c>
      <c r="I6602">
        <v>114.5359</v>
      </c>
      <c r="J6602">
        <v>-404.92290000000003</v>
      </c>
      <c r="K6602">
        <v>1.1132709999999999</v>
      </c>
      <c r="L6602">
        <v>133.41120000000001</v>
      </c>
      <c r="M6602">
        <v>-0.92768260000000002</v>
      </c>
      <c r="N6602">
        <v>0</v>
      </c>
      <c r="O6602">
        <v>-0.3731217</v>
      </c>
      <c r="P6602">
        <v>-0.90383619999999998</v>
      </c>
      <c r="Q6602">
        <v>9.9936049999999998E-2</v>
      </c>
      <c r="R6602">
        <v>-0.41604409999999997</v>
      </c>
      <c r="S6602">
        <v>-2.4208069999999999</v>
      </c>
      <c r="T6602">
        <v>-0.11688759999999999</v>
      </c>
      <c r="U6602">
        <v>-1.9898830000000001</v>
      </c>
      <c r="V6602">
        <v>-4.943401E-2</v>
      </c>
      <c r="W6602">
        <v>0.1131356</v>
      </c>
      <c r="X6602">
        <v>0.99234900000000004</v>
      </c>
      <c r="Y6602">
        <v>-0.30090139999999999</v>
      </c>
      <c r="Z6602">
        <v>8.5854769999999993E-3</v>
      </c>
      <c r="AA6602">
        <v>0.95361660000000004</v>
      </c>
      <c r="AB6602">
        <v>19</v>
      </c>
      <c r="AC6602">
        <v>-22.8795999999999</v>
      </c>
      <c r="AD6602">
        <v>-1.113274953031</v>
      </c>
      <c r="AE6602">
        <v>-18.875299999999999</v>
      </c>
      <c r="AF6602">
        <v>-8.9616181687011203</v>
      </c>
      <c r="AG6602">
        <v>-1.113274953031</v>
      </c>
      <c r="AH6602">
        <v>28.230637825625902</v>
      </c>
      <c r="AI6602">
        <v>92.152542252066496</v>
      </c>
      <c r="AJ6602">
        <v>107.611676103877</v>
      </c>
      <c r="AK6602">
        <v>29.639819388186201</v>
      </c>
      <c r="AL6602">
        <v>83.503898781320402</v>
      </c>
      <c r="AM6602">
        <v>92.851840168841093</v>
      </c>
      <c r="AN6602">
        <v>0.99999996156651905</v>
      </c>
    </row>
    <row r="6603" spans="1:40" x14ac:dyDescent="0.25">
      <c r="A6603" t="str">
        <f>"20190312154054869"</f>
        <v>20190312154054869</v>
      </c>
      <c r="B6603" t="str">
        <f>"1552376454862602"</f>
        <v>1552376454862602</v>
      </c>
      <c r="C6603" t="s">
        <v>40</v>
      </c>
      <c r="D6603">
        <v>4.1502939999999997</v>
      </c>
      <c r="E6603">
        <v>0.39895059999999999</v>
      </c>
      <c r="F6603" t="s">
        <v>42</v>
      </c>
      <c r="G6603">
        <v>-424.54640000000001</v>
      </c>
      <c r="H6603" s="1">
        <v>-4.2019990000000004E-6</v>
      </c>
      <c r="I6603">
        <v>116.96469999999999</v>
      </c>
      <c r="J6603">
        <v>-405.08749999999998</v>
      </c>
      <c r="K6603">
        <v>1.1133299999999999</v>
      </c>
      <c r="L6603">
        <v>133.33879999999999</v>
      </c>
      <c r="M6603">
        <v>-0.92582249999999999</v>
      </c>
      <c r="N6603">
        <v>0</v>
      </c>
      <c r="O6603">
        <v>-0.37771349999999998</v>
      </c>
      <c r="P6603">
        <v>-0.90242679999999997</v>
      </c>
      <c r="Q6603">
        <v>9.6409919999999996E-2</v>
      </c>
      <c r="R6603">
        <v>-0.41991820000000002</v>
      </c>
      <c r="S6603">
        <v>-2.4060060000000001</v>
      </c>
      <c r="T6603">
        <v>-0.13649649999999999</v>
      </c>
      <c r="U6603">
        <v>-2.016464</v>
      </c>
      <c r="V6603">
        <v>-4.8626610000000001E-2</v>
      </c>
      <c r="W6603">
        <v>0.10962040000000001</v>
      </c>
      <c r="X6603">
        <v>0.99278339999999998</v>
      </c>
      <c r="Y6603">
        <v>-0.30527939999999998</v>
      </c>
      <c r="Z6603">
        <v>1.012386E-2</v>
      </c>
      <c r="AA6603">
        <v>0.95220899999999997</v>
      </c>
      <c r="AB6603">
        <v>19</v>
      </c>
      <c r="AC6603">
        <v>-19.4589</v>
      </c>
      <c r="AD6603">
        <v>-1.113334201999</v>
      </c>
      <c r="AE6603">
        <v>-16.374099999999999</v>
      </c>
      <c r="AF6603">
        <v>-7.7954044202434201</v>
      </c>
      <c r="AG6603">
        <v>-1.113334201999</v>
      </c>
      <c r="AH6603">
        <v>24.156152265076202</v>
      </c>
      <c r="AI6603">
        <v>92.511480906156706</v>
      </c>
      <c r="AJ6603">
        <v>107.885350264652</v>
      </c>
      <c r="AK6603">
        <v>25.407233918198099</v>
      </c>
      <c r="AL6603">
        <v>83.706566422462501</v>
      </c>
      <c r="AM6603">
        <v>92.804110877457703</v>
      </c>
      <c r="AN6603">
        <v>1.0000000293058999</v>
      </c>
    </row>
    <row r="6604" spans="1:40" x14ac:dyDescent="0.25">
      <c r="A6604" t="str">
        <f>"20190312154054892"</f>
        <v>20190312154054892</v>
      </c>
      <c r="B6604" t="str">
        <f>"1552376454883098"</f>
        <v>1552376454883098</v>
      </c>
      <c r="C6604" t="s">
        <v>40</v>
      </c>
      <c r="D6604">
        <v>4.141159</v>
      </c>
      <c r="E6604">
        <v>0.39845910000000001</v>
      </c>
      <c r="F6604" t="s">
        <v>42</v>
      </c>
      <c r="G6604">
        <v>-422.52710000000002</v>
      </c>
      <c r="H6604" s="1">
        <v>-4.3885329999999998E-6</v>
      </c>
      <c r="I6604">
        <v>118.5654</v>
      </c>
      <c r="J6604">
        <v>-405.25569999999999</v>
      </c>
      <c r="K6604">
        <v>1.1134139999999999</v>
      </c>
      <c r="L6604">
        <v>133.2636</v>
      </c>
      <c r="M6604">
        <v>-0.92382249999999999</v>
      </c>
      <c r="N6604">
        <v>0</v>
      </c>
      <c r="O6604">
        <v>-0.38257910000000001</v>
      </c>
      <c r="P6604">
        <v>-0.90066710000000005</v>
      </c>
      <c r="Q6604">
        <v>9.2801659999999994E-2</v>
      </c>
      <c r="R6604">
        <v>-0.424485</v>
      </c>
      <c r="S6604">
        <v>-2.3961790000000001</v>
      </c>
      <c r="T6604">
        <v>-0.1529703</v>
      </c>
      <c r="U6604">
        <v>-2.0298310000000002</v>
      </c>
      <c r="V6604">
        <v>-4.8289100000000001E-2</v>
      </c>
      <c r="W6604">
        <v>0.1060195</v>
      </c>
      <c r="X6604">
        <v>0.99319080000000004</v>
      </c>
      <c r="Y6604">
        <v>-0.3053072</v>
      </c>
      <c r="Z6604">
        <v>1.1591580000000001E-2</v>
      </c>
      <c r="AA6604">
        <v>0.95218340000000001</v>
      </c>
      <c r="AB6604">
        <v>19</v>
      </c>
      <c r="AC6604">
        <v>-17.2714</v>
      </c>
      <c r="AD6604">
        <v>-1.113418388533</v>
      </c>
      <c r="AE6604">
        <v>-14.6982</v>
      </c>
      <c r="AF6604">
        <v>-6.9547339935515602</v>
      </c>
      <c r="AG6604">
        <v>-1.113418388533</v>
      </c>
      <c r="AH6604">
        <v>21.529039705142001</v>
      </c>
      <c r="AI6604">
        <v>92.817421627562794</v>
      </c>
      <c r="AJ6604">
        <v>107.90251504427501</v>
      </c>
      <c r="AK6604">
        <v>22.651877980745098</v>
      </c>
      <c r="AL6604">
        <v>83.914092320779801</v>
      </c>
      <c r="AM6604">
        <v>92.783538247366707</v>
      </c>
      <c r="AN6604">
        <v>0.99999996838184901</v>
      </c>
    </row>
    <row r="6605" spans="1:40" x14ac:dyDescent="0.25">
      <c r="A6605" t="str">
        <f>"20190312154054915"</f>
        <v>20190312154054915</v>
      </c>
      <c r="B6605" t="str">
        <f>"1552376454902620"</f>
        <v>1552376454902620</v>
      </c>
      <c r="C6605" t="s">
        <v>40</v>
      </c>
      <c r="D6605">
        <v>4.0205219999999997</v>
      </c>
      <c r="E6605">
        <v>0.39735160000000003</v>
      </c>
      <c r="F6605" t="s">
        <v>42</v>
      </c>
      <c r="G6605">
        <v>-421.41399999999999</v>
      </c>
      <c r="H6605" s="1">
        <v>-4.4759019999999901E-6</v>
      </c>
      <c r="I6605">
        <v>119.4024</v>
      </c>
      <c r="J6605">
        <v>-405.42290000000003</v>
      </c>
      <c r="K6605">
        <v>1.1135120000000001</v>
      </c>
      <c r="L6605">
        <v>133.1875</v>
      </c>
      <c r="M6605">
        <v>-0.92172270000000001</v>
      </c>
      <c r="N6605">
        <v>0</v>
      </c>
      <c r="O6605">
        <v>-0.3876098</v>
      </c>
      <c r="P6605">
        <v>-0.8991671</v>
      </c>
      <c r="Q6605">
        <v>8.8645130000000003E-2</v>
      </c>
      <c r="R6605">
        <v>-0.42853289999999999</v>
      </c>
      <c r="S6605">
        <v>-2.3839419999999998</v>
      </c>
      <c r="T6605">
        <v>-0.16426959999999999</v>
      </c>
      <c r="U6605">
        <v>-2.045029</v>
      </c>
      <c r="V6605">
        <v>-4.7180560000000003E-2</v>
      </c>
      <c r="W6605">
        <v>0.10187740000000001</v>
      </c>
      <c r="X6605">
        <v>0.99367749999999999</v>
      </c>
      <c r="Y6605">
        <v>-0.30604409999999999</v>
      </c>
      <c r="Z6605">
        <v>1.2705299999999999E-2</v>
      </c>
      <c r="AA6605">
        <v>0.95193249999999996</v>
      </c>
      <c r="AB6605">
        <v>19</v>
      </c>
      <c r="AC6605">
        <v>-15.9910999999999</v>
      </c>
      <c r="AD6605">
        <v>-1.113516475902</v>
      </c>
      <c r="AE6605">
        <v>-13.7851</v>
      </c>
      <c r="AF6605">
        <v>-6.49028361332544</v>
      </c>
      <c r="AG6605">
        <v>-1.113516475902</v>
      </c>
      <c r="AH6605">
        <v>20.028753103788301</v>
      </c>
      <c r="AI6605">
        <v>93.027459544751693</v>
      </c>
      <c r="AJ6605">
        <v>107.954829316895</v>
      </c>
      <c r="AK6605">
        <v>21.083516101827399</v>
      </c>
      <c r="AL6605">
        <v>84.152710158999298</v>
      </c>
      <c r="AM6605">
        <v>92.718405404551305</v>
      </c>
      <c r="AN6605">
        <v>0.99999999193946099</v>
      </c>
    </row>
    <row r="6606" spans="1:40" x14ac:dyDescent="0.25">
      <c r="A6606" t="str">
        <f>"20190312154054936"</f>
        <v>20190312154054936</v>
      </c>
      <c r="B6606" t="str">
        <f>"1552376454932874"</f>
        <v>1552376454932874</v>
      </c>
      <c r="C6606" t="s">
        <v>40</v>
      </c>
      <c r="D6606">
        <v>4.0245030000000002</v>
      </c>
      <c r="E6606">
        <v>0.3964878</v>
      </c>
      <c r="F6606" t="s">
        <v>55</v>
      </c>
      <c r="G6606">
        <v>-420.53559999999999</v>
      </c>
      <c r="H6606" s="1">
        <v>-4.1932010000000002E-7</v>
      </c>
      <c r="I6606">
        <v>120.0341</v>
      </c>
      <c r="J6606">
        <v>-405.58499999999998</v>
      </c>
      <c r="K6606">
        <v>1.1136330000000001</v>
      </c>
      <c r="L6606">
        <v>133.11240000000001</v>
      </c>
      <c r="M6606">
        <v>-0.91956749999999998</v>
      </c>
      <c r="N6606">
        <v>0</v>
      </c>
      <c r="O6606">
        <v>-0.3926946</v>
      </c>
      <c r="P6606">
        <v>-0.89719590000000005</v>
      </c>
      <c r="Q6606">
        <v>8.6229790000000001E-2</v>
      </c>
      <c r="R6606">
        <v>-0.43313239999999997</v>
      </c>
      <c r="S6606">
        <v>-2.370422</v>
      </c>
      <c r="T6606">
        <v>-0.17465359999999999</v>
      </c>
      <c r="U6606">
        <v>-2.0630950000000001</v>
      </c>
      <c r="V6606">
        <v>-4.6702519999999997E-2</v>
      </c>
      <c r="W6606">
        <v>9.947019E-2</v>
      </c>
      <c r="X6606">
        <v>0.99394389999999999</v>
      </c>
      <c r="Y6606">
        <v>-0.30762089999999997</v>
      </c>
      <c r="Z6606">
        <v>1.3758039999999999E-2</v>
      </c>
      <c r="AA6606">
        <v>0.95140950000000002</v>
      </c>
      <c r="AB6606">
        <v>19</v>
      </c>
      <c r="AC6606">
        <v>-14.9506</v>
      </c>
      <c r="AD6606">
        <v>-1.1136334193201001</v>
      </c>
      <c r="AE6606">
        <v>-13.0783</v>
      </c>
      <c r="AF6606">
        <v>-6.1366454501596497</v>
      </c>
      <c r="AG6606">
        <v>-1.1136334193201001</v>
      </c>
      <c r="AH6606">
        <v>18.826450557025801</v>
      </c>
      <c r="AI6606">
        <v>93.218938793224098</v>
      </c>
      <c r="AJ6606">
        <v>108.053829695749</v>
      </c>
      <c r="AK6606">
        <v>19.832645747598299</v>
      </c>
      <c r="AL6606">
        <v>84.291337284203493</v>
      </c>
      <c r="AM6606">
        <v>92.690182668696707</v>
      </c>
      <c r="AN6606">
        <v>0.99999996021009696</v>
      </c>
    </row>
    <row r="6607" spans="1:40" x14ac:dyDescent="0.25">
      <c r="A6607" t="str">
        <f>"20190312154054959"</f>
        <v>20190312154054959</v>
      </c>
      <c r="B6607" t="str">
        <f>"1552376454952394"</f>
        <v>1552376454952394</v>
      </c>
      <c r="C6607" t="s">
        <v>40</v>
      </c>
      <c r="D6607">
        <v>3.9754700000000001</v>
      </c>
      <c r="E6607">
        <v>0.39606000000000002</v>
      </c>
      <c r="F6607" t="s">
        <v>55</v>
      </c>
      <c r="G6607">
        <v>-420.2792</v>
      </c>
      <c r="H6607" s="1">
        <v>-4.1202540000000001E-7</v>
      </c>
      <c r="I6607">
        <v>120.13</v>
      </c>
      <c r="J6607">
        <v>-405.75139999999999</v>
      </c>
      <c r="K6607">
        <v>1.113767</v>
      </c>
      <c r="L6607">
        <v>133.03380000000001</v>
      </c>
      <c r="M6607">
        <v>-0.91721280000000005</v>
      </c>
      <c r="N6607">
        <v>0</v>
      </c>
      <c r="O6607">
        <v>-0.39816299999999999</v>
      </c>
      <c r="P6607">
        <v>-0.89490210000000003</v>
      </c>
      <c r="Q6607">
        <v>8.4408490000000003E-2</v>
      </c>
      <c r="R6607">
        <v>-0.43820750000000003</v>
      </c>
      <c r="S6607">
        <v>-2.355988</v>
      </c>
      <c r="T6607">
        <v>-0.17855360000000001</v>
      </c>
      <c r="U6607">
        <v>-2.081528</v>
      </c>
      <c r="V6607">
        <v>-4.6364910000000002E-2</v>
      </c>
      <c r="W6607">
        <v>9.7656119999999999E-2</v>
      </c>
      <c r="X6607">
        <v>0.99413960000000001</v>
      </c>
      <c r="Y6607">
        <v>-0.30904039999999999</v>
      </c>
      <c r="Z6607">
        <v>1.4350409999999999E-2</v>
      </c>
      <c r="AA6607">
        <v>0.95094069999999997</v>
      </c>
      <c r="AB6607">
        <v>19</v>
      </c>
      <c r="AC6607">
        <v>-14.527799999999999</v>
      </c>
      <c r="AD6607">
        <v>-1.1137674120254</v>
      </c>
      <c r="AE6607">
        <v>-12.9038</v>
      </c>
      <c r="AF6607">
        <v>-6.0318462283151701</v>
      </c>
      <c r="AG6607">
        <v>-1.1137674120254</v>
      </c>
      <c r="AH6607">
        <v>18.404159203062399</v>
      </c>
      <c r="AI6607">
        <v>93.291301857552</v>
      </c>
      <c r="AJ6607">
        <v>108.146228132083</v>
      </c>
      <c r="AK6607">
        <v>19.399400061388398</v>
      </c>
      <c r="AL6607">
        <v>84.395784563006004</v>
      </c>
      <c r="AM6607">
        <v>92.6702387549484</v>
      </c>
      <c r="AN6607">
        <v>0.99999998347046104</v>
      </c>
    </row>
    <row r="6608" spans="1:40" x14ac:dyDescent="0.25">
      <c r="A6608" t="str">
        <f>"20190312154054981"</f>
        <v>20190312154054981</v>
      </c>
      <c r="B6608" t="str">
        <f>"1552376454972895"</f>
        <v>1552376454972895</v>
      </c>
      <c r="C6608" t="s">
        <v>40</v>
      </c>
      <c r="D6608">
        <v>3.931603</v>
      </c>
      <c r="E6608">
        <v>0.39570870000000002</v>
      </c>
      <c r="F6608" t="s">
        <v>55</v>
      </c>
      <c r="G6608">
        <v>-420.14490000000001</v>
      </c>
      <c r="H6608" s="1">
        <v>-3.8180650000000001E-7</v>
      </c>
      <c r="I6608">
        <v>120.1387</v>
      </c>
      <c r="J6608">
        <v>-405.91820000000001</v>
      </c>
      <c r="K6608">
        <v>1.11389</v>
      </c>
      <c r="L6608">
        <v>132.95330000000001</v>
      </c>
      <c r="M6608">
        <v>-0.91470059999999997</v>
      </c>
      <c r="N6608">
        <v>0</v>
      </c>
      <c r="O6608">
        <v>-0.40390029999999999</v>
      </c>
      <c r="P6608">
        <v>-0.89240489999999995</v>
      </c>
      <c r="Q6608">
        <v>8.2927329999999994E-2</v>
      </c>
      <c r="R6608">
        <v>-0.44355030000000001</v>
      </c>
      <c r="S6608">
        <v>-2.34198</v>
      </c>
      <c r="T6608">
        <v>-0.18122240000000001</v>
      </c>
      <c r="U6608">
        <v>-2.0981749999999999</v>
      </c>
      <c r="V6608">
        <v>-4.6045879999999997E-2</v>
      </c>
      <c r="W6608">
        <v>9.6184400000000003E-2</v>
      </c>
      <c r="X6608">
        <v>0.99429789999999996</v>
      </c>
      <c r="Y6608">
        <v>-0.30967099999999997</v>
      </c>
      <c r="Z6608">
        <v>1.489704E-2</v>
      </c>
      <c r="AA6608">
        <v>0.95072699999999999</v>
      </c>
      <c r="AB6608">
        <v>18</v>
      </c>
      <c r="AC6608">
        <v>-14.2266999999999</v>
      </c>
      <c r="AD6608">
        <v>-1.1138903818065</v>
      </c>
      <c r="AE6608">
        <v>-12.8146</v>
      </c>
      <c r="AF6608">
        <v>-5.9557573090550999</v>
      </c>
      <c r="AG6608">
        <v>-1.1138903818065</v>
      </c>
      <c r="AH6608">
        <v>18.129339707267</v>
      </c>
      <c r="AI6608">
        <v>93.340688431262606</v>
      </c>
      <c r="AJ6608">
        <v>108.18611979308299</v>
      </c>
      <c r="AK6608">
        <v>19.115040024246099</v>
      </c>
      <c r="AL6608">
        <v>84.480506800998995</v>
      </c>
      <c r="AM6608">
        <v>92.651469962405599</v>
      </c>
      <c r="AN6608">
        <v>0.99999998790637201</v>
      </c>
    </row>
    <row r="6609" spans="1:40" x14ac:dyDescent="0.25">
      <c r="A6609" t="str">
        <f>"20190312154055003"</f>
        <v>20190312154055003</v>
      </c>
      <c r="B6609" t="str">
        <f>"1552376454992410"</f>
        <v>1552376454992410</v>
      </c>
      <c r="C6609" t="s">
        <v>40</v>
      </c>
      <c r="D6609">
        <v>3.9617010000000001</v>
      </c>
      <c r="E6609">
        <v>0.39560319999999999</v>
      </c>
      <c r="F6609" t="s">
        <v>55</v>
      </c>
      <c r="G6609">
        <v>-420.17910000000001</v>
      </c>
      <c r="H6609" s="1">
        <v>-2.9961919999999999E-7</v>
      </c>
      <c r="I6609">
        <v>119.995</v>
      </c>
      <c r="J6609">
        <v>-406.0779</v>
      </c>
      <c r="K6609">
        <v>1.1139969999999999</v>
      </c>
      <c r="L6609">
        <v>132.8749</v>
      </c>
      <c r="M6609">
        <v>-0.91216529999999996</v>
      </c>
      <c r="N6609">
        <v>0</v>
      </c>
      <c r="O6609">
        <v>-0.40959299999999998</v>
      </c>
      <c r="P6609">
        <v>-0.88987830000000001</v>
      </c>
      <c r="Q6609">
        <v>8.1479270000000006E-2</v>
      </c>
      <c r="R6609">
        <v>-0.44886310000000001</v>
      </c>
      <c r="S6609">
        <v>-2.3274539999999999</v>
      </c>
      <c r="T6609">
        <v>-0.18179319999999999</v>
      </c>
      <c r="U6609">
        <v>-2.114868</v>
      </c>
      <c r="V6609">
        <v>-4.5735970000000001E-2</v>
      </c>
      <c r="W6609">
        <v>9.4748089999999993E-2</v>
      </c>
      <c r="X6609">
        <v>0.9944501</v>
      </c>
      <c r="Y6609">
        <v>-0.31044169999999999</v>
      </c>
      <c r="Z6609">
        <v>1.5272050000000001E-2</v>
      </c>
      <c r="AA6609">
        <v>0.95046969999999997</v>
      </c>
      <c r="AB6609">
        <v>18</v>
      </c>
      <c r="AC6609">
        <v>-14.1012</v>
      </c>
      <c r="AD6609">
        <v>-1.11399729961919</v>
      </c>
      <c r="AE6609">
        <v>-12.8798999999999</v>
      </c>
      <c r="AF6609">
        <v>-5.9531514609376801</v>
      </c>
      <c r="AG6609">
        <v>-1.11399729961919</v>
      </c>
      <c r="AH6609">
        <v>18.0783373990269</v>
      </c>
      <c r="AI6609">
        <v>93.349636108310705</v>
      </c>
      <c r="AJ6609">
        <v>108.22658530112</v>
      </c>
      <c r="AK6609">
        <v>19.0658670249606</v>
      </c>
      <c r="AL6609">
        <v>84.563178915232399</v>
      </c>
      <c r="AM6609">
        <v>92.633247047264902</v>
      </c>
      <c r="AN6609">
        <v>0.99999999045024901</v>
      </c>
    </row>
    <row r="6610" spans="1:40" x14ac:dyDescent="0.25">
      <c r="A6610" t="str">
        <f>"20190312154055025"</f>
        <v>20190312154055025</v>
      </c>
      <c r="B6610" t="str">
        <f>"1552376455012906"</f>
        <v>1552376455012906</v>
      </c>
      <c r="C6610" t="s">
        <v>40</v>
      </c>
      <c r="D6610">
        <v>4.0037599999999998</v>
      </c>
      <c r="E6610">
        <v>0.39565050000000002</v>
      </c>
      <c r="F6610" t="s">
        <v>55</v>
      </c>
      <c r="G6610">
        <v>-420.21449999999999</v>
      </c>
      <c r="H6610" s="1">
        <v>-2.248835E-7</v>
      </c>
      <c r="I6610">
        <v>119.8626</v>
      </c>
      <c r="J6610">
        <v>-406.23809999999997</v>
      </c>
      <c r="K6610">
        <v>1.1140840000000001</v>
      </c>
      <c r="L6610">
        <v>132.7946</v>
      </c>
      <c r="M6610">
        <v>-0.90949000000000002</v>
      </c>
      <c r="N6610">
        <v>0</v>
      </c>
      <c r="O6610">
        <v>-0.41549910000000001</v>
      </c>
      <c r="P6610">
        <v>-0.88769569999999998</v>
      </c>
      <c r="Q6610">
        <v>8.0594949999999999E-2</v>
      </c>
      <c r="R6610">
        <v>-0.45332210000000001</v>
      </c>
      <c r="S6610">
        <v>-2.3137210000000001</v>
      </c>
      <c r="T6610">
        <v>-0.18232689999999999</v>
      </c>
      <c r="U6610">
        <v>-2.1297000000000001</v>
      </c>
      <c r="V6610">
        <v>-4.4255330000000002E-2</v>
      </c>
      <c r="W6610">
        <v>9.3886960000000005E-2</v>
      </c>
      <c r="X6610">
        <v>0.99459869999999995</v>
      </c>
      <c r="Y6610">
        <v>-0.3103958</v>
      </c>
      <c r="Z6610">
        <v>1.5685439999999998E-2</v>
      </c>
      <c r="AA6610">
        <v>0.95047800000000005</v>
      </c>
      <c r="AB6610">
        <v>18</v>
      </c>
      <c r="AC6610">
        <v>-13.9764</v>
      </c>
      <c r="AD6610">
        <v>-1.1140842248834999</v>
      </c>
      <c r="AE6610">
        <v>-12.932</v>
      </c>
      <c r="AF6610">
        <v>-5.9345886662177003</v>
      </c>
      <c r="AG6610">
        <v>-1.1140842248834999</v>
      </c>
      <c r="AH6610">
        <v>18.024632025536999</v>
      </c>
      <c r="AI6610">
        <v>93.359903747099906</v>
      </c>
      <c r="AJ6610">
        <v>108.224068076807</v>
      </c>
      <c r="AK6610">
        <v>19.009152688990302</v>
      </c>
      <c r="AL6610">
        <v>84.612738661488095</v>
      </c>
      <c r="AM6610">
        <v>92.547733276798198</v>
      </c>
      <c r="AN6610">
        <v>0.99999993476656801</v>
      </c>
    </row>
    <row r="6611" spans="1:40" x14ac:dyDescent="0.25">
      <c r="A6611" t="str">
        <f>"20190312154055048"</f>
        <v>20190312154055048</v>
      </c>
      <c r="B6611" t="str">
        <f>"1552376455043162"</f>
        <v>1552376455043162</v>
      </c>
      <c r="C6611" t="s">
        <v>40</v>
      </c>
      <c r="D6611">
        <v>4.0266080000000004</v>
      </c>
      <c r="E6611">
        <v>0.39576889999999998</v>
      </c>
      <c r="F6611" t="s">
        <v>42</v>
      </c>
      <c r="G6611">
        <v>-420.58069999999998</v>
      </c>
      <c r="H6611" s="1">
        <v>-4.346253E-6</v>
      </c>
      <c r="I6611">
        <v>119.45569999999999</v>
      </c>
      <c r="J6611">
        <v>-406.40019999999998</v>
      </c>
      <c r="K6611">
        <v>1.11416</v>
      </c>
      <c r="L6611">
        <v>132.71190000000001</v>
      </c>
      <c r="M6611">
        <v>-0.90664160000000005</v>
      </c>
      <c r="N6611">
        <v>0</v>
      </c>
      <c r="O6611">
        <v>-0.42167769999999999</v>
      </c>
      <c r="P6611">
        <v>-0.88544639999999997</v>
      </c>
      <c r="Q6611">
        <v>7.8826460000000001E-2</v>
      </c>
      <c r="R6611">
        <v>-0.45800800000000003</v>
      </c>
      <c r="S6611">
        <v>-2.3023069999999999</v>
      </c>
      <c r="T6611">
        <v>-0.1788362</v>
      </c>
      <c r="U6611">
        <v>-2.1411899999999999</v>
      </c>
      <c r="V6611">
        <v>-4.268106E-2</v>
      </c>
      <c r="W6611">
        <v>9.214456E-2</v>
      </c>
      <c r="X6611">
        <v>0.99483049999999995</v>
      </c>
      <c r="Y6611">
        <v>-0.30882500000000002</v>
      </c>
      <c r="Z6611">
        <v>1.580896E-2</v>
      </c>
      <c r="AA6611">
        <v>0.95098749999999999</v>
      </c>
      <c r="AB6611">
        <v>18</v>
      </c>
      <c r="AC6611">
        <v>-14.180499999999901</v>
      </c>
      <c r="AD6611">
        <v>-1.114164346253</v>
      </c>
      <c r="AE6611">
        <v>-13.2562</v>
      </c>
      <c r="AF6611">
        <v>-6.01976098953239</v>
      </c>
      <c r="AG6611">
        <v>-1.114164346253</v>
      </c>
      <c r="AH6611">
        <v>18.387642230109901</v>
      </c>
      <c r="AI6611">
        <v>93.295776220871502</v>
      </c>
      <c r="AJ6611">
        <v>108.127453027389</v>
      </c>
      <c r="AK6611">
        <v>19.379996680703499</v>
      </c>
      <c r="AL6611">
        <v>84.713005930468</v>
      </c>
      <c r="AM6611">
        <v>92.456645480845296</v>
      </c>
      <c r="AN6611">
        <v>1.00000000827528</v>
      </c>
    </row>
    <row r="6612" spans="1:40" x14ac:dyDescent="0.25">
      <c r="A6612" t="str">
        <f>"20190312154055070"</f>
        <v>20190312154055070</v>
      </c>
      <c r="B6612" t="str">
        <f>"1552376455062686"</f>
        <v>1552376455062686</v>
      </c>
      <c r="C6612" t="s">
        <v>40</v>
      </c>
      <c r="D6612">
        <v>4.0065839999999904</v>
      </c>
      <c r="E6612">
        <v>0.39596809999999899</v>
      </c>
      <c r="F6612" t="s">
        <v>42</v>
      </c>
      <c r="G6612">
        <v>-421.03769999999997</v>
      </c>
      <c r="H6612" s="1">
        <v>-4.2566519999999998E-6</v>
      </c>
      <c r="I6612">
        <v>118.9543</v>
      </c>
      <c r="J6612">
        <v>-406.56229999999999</v>
      </c>
      <c r="K6612">
        <v>1.1142399999999999</v>
      </c>
      <c r="L6612">
        <v>132.62739999999999</v>
      </c>
      <c r="M6612">
        <v>-0.90364460000000002</v>
      </c>
      <c r="N6612">
        <v>0</v>
      </c>
      <c r="O6612">
        <v>-0.42806159999999999</v>
      </c>
      <c r="P6612">
        <v>-0.88311260000000003</v>
      </c>
      <c r="Q6612">
        <v>7.6880039999999997E-2</v>
      </c>
      <c r="R6612">
        <v>-0.46281899999999998</v>
      </c>
      <c r="S6612">
        <v>-2.290222</v>
      </c>
      <c r="T6612">
        <v>-0.1743257</v>
      </c>
      <c r="U6612">
        <v>-2.1525569999999998</v>
      </c>
      <c r="V6612">
        <v>-4.100467E-2</v>
      </c>
      <c r="W6612">
        <v>9.0227570000000007E-2</v>
      </c>
      <c r="X6612">
        <v>0.99507670000000004</v>
      </c>
      <c r="Y6612">
        <v>-0.30712869999999998</v>
      </c>
      <c r="Z6612">
        <v>1.5841939999999999E-2</v>
      </c>
      <c r="AA6612">
        <v>0.9515361</v>
      </c>
      <c r="AB6612">
        <v>18</v>
      </c>
      <c r="AC6612">
        <v>-14.475399999999899</v>
      </c>
      <c r="AD6612">
        <v>-1.1142442566520001</v>
      </c>
      <c r="AE6612">
        <v>-13.6730999999999</v>
      </c>
      <c r="AF6612">
        <v>-6.1406161537903001</v>
      </c>
      <c r="AG6612">
        <v>-1.1142442566520001</v>
      </c>
      <c r="AH6612">
        <v>18.876234687423999</v>
      </c>
      <c r="AI6612">
        <v>93.212837095748498</v>
      </c>
      <c r="AJ6612">
        <v>108.02019272572799</v>
      </c>
      <c r="AK6612">
        <v>19.8811705637867</v>
      </c>
      <c r="AL6612">
        <v>84.8233009372411</v>
      </c>
      <c r="AM6612">
        <v>92.359683508547306</v>
      </c>
      <c r="AN6612">
        <v>1.0000000181163999</v>
      </c>
    </row>
    <row r="6613" spans="1:40" x14ac:dyDescent="0.25">
      <c r="A6613" t="str">
        <f>"20190312154055093"</f>
        <v>20190312154055093</v>
      </c>
      <c r="B6613" t="str">
        <f>"1552376455083178"</f>
        <v>1552376455083178</v>
      </c>
      <c r="C6613" t="s">
        <v>40</v>
      </c>
      <c r="D6613">
        <v>3.9573049999999999</v>
      </c>
      <c r="E6613">
        <v>0.395957</v>
      </c>
      <c r="F6613" t="s">
        <v>42</v>
      </c>
      <c r="G6613">
        <v>-421.28190000000001</v>
      </c>
      <c r="H6613" s="1">
        <v>-4.1970169999999996E-6</v>
      </c>
      <c r="I6613">
        <v>118.65170000000001</v>
      </c>
      <c r="J6613">
        <v>-406.72480000000002</v>
      </c>
      <c r="K6613">
        <v>1.114333</v>
      </c>
      <c r="L6613">
        <v>132.5411</v>
      </c>
      <c r="M6613">
        <v>-0.9004894</v>
      </c>
      <c r="N6613">
        <v>0</v>
      </c>
      <c r="O6613">
        <v>-0.43465920000000002</v>
      </c>
      <c r="P6613">
        <v>-0.88107780000000002</v>
      </c>
      <c r="Q6613">
        <v>7.5102710000000003E-2</v>
      </c>
      <c r="R6613">
        <v>-0.46697100000000002</v>
      </c>
      <c r="S6613">
        <v>-2.278381</v>
      </c>
      <c r="T6613">
        <v>-0.17246879999999901</v>
      </c>
      <c r="U6613">
        <v>-2.1632389999999999</v>
      </c>
      <c r="V6613">
        <v>-3.8346749999999999E-2</v>
      </c>
      <c r="W6613">
        <v>8.8490760000000002E-2</v>
      </c>
      <c r="X6613">
        <v>0.99533859999999996</v>
      </c>
      <c r="Y6613">
        <v>-0.3049886</v>
      </c>
      <c r="Z6613">
        <v>1.6125759999999999E-2</v>
      </c>
      <c r="AA6613">
        <v>0.9522195</v>
      </c>
      <c r="AB6613">
        <v>18</v>
      </c>
      <c r="AC6613">
        <v>-14.557099999999901</v>
      </c>
      <c r="AD6613">
        <v>-1.114337197017</v>
      </c>
      <c r="AE6613">
        <v>-13.889399999999901</v>
      </c>
      <c r="AF6613">
        <v>-6.1615680675237696</v>
      </c>
      <c r="AG6613">
        <v>-1.114337197017</v>
      </c>
      <c r="AH6613">
        <v>19.088938081742899</v>
      </c>
      <c r="AI6613">
        <v>93.179726310226499</v>
      </c>
      <c r="AJ6613">
        <v>107.889152088674</v>
      </c>
      <c r="AK6613">
        <v>20.0896546891179</v>
      </c>
      <c r="AL6613">
        <v>84.923212480466404</v>
      </c>
      <c r="AM6613">
        <v>92.206305332162003</v>
      </c>
      <c r="AN6613">
        <v>1.0000000082454401</v>
      </c>
    </row>
    <row r="6614" spans="1:40" x14ac:dyDescent="0.25">
      <c r="A6614" t="str">
        <f>"20190312154055116"</f>
        <v>20190312154055116</v>
      </c>
      <c r="B6614" t="str">
        <f>"1552376455112459"</f>
        <v>1552376455112459</v>
      </c>
      <c r="C6614" t="s">
        <v>40</v>
      </c>
      <c r="D6614">
        <v>3.9401030000000001</v>
      </c>
      <c r="E6614">
        <v>0.39595150000000001</v>
      </c>
      <c r="F6614" t="s">
        <v>42</v>
      </c>
      <c r="G6614">
        <v>-421.52140000000003</v>
      </c>
      <c r="H6614" s="1">
        <v>-4.138322E-6</v>
      </c>
      <c r="I6614">
        <v>118.3544</v>
      </c>
      <c r="J6614">
        <v>-406.88080000000002</v>
      </c>
      <c r="K6614">
        <v>1.114428</v>
      </c>
      <c r="L6614">
        <v>132.4564</v>
      </c>
      <c r="M6614">
        <v>-0.89731190000000005</v>
      </c>
      <c r="N6614">
        <v>0</v>
      </c>
      <c r="O6614">
        <v>-0.44118099999999999</v>
      </c>
      <c r="P6614">
        <v>-0.87899959999999899</v>
      </c>
      <c r="Q6614">
        <v>7.4318040000000002E-2</v>
      </c>
      <c r="R6614">
        <v>-0.47099550000000001</v>
      </c>
      <c r="S6614">
        <v>-2.2673649999999999</v>
      </c>
      <c r="T6614">
        <v>-0.17075599999999999</v>
      </c>
      <c r="U6614">
        <v>-2.1739039999999998</v>
      </c>
      <c r="V6614">
        <v>-3.5659320000000001E-2</v>
      </c>
      <c r="W6614">
        <v>8.7746930000000001E-2</v>
      </c>
      <c r="X6614">
        <v>0.99550430000000001</v>
      </c>
      <c r="Y6614">
        <v>-0.30273</v>
      </c>
      <c r="Z6614">
        <v>1.640929E-2</v>
      </c>
      <c r="AA6614">
        <v>0.95293510000000003</v>
      </c>
      <c r="AB6614">
        <v>18</v>
      </c>
      <c r="AC6614">
        <v>-14.640599999999999</v>
      </c>
      <c r="AD6614">
        <v>-1.1144321383219999</v>
      </c>
      <c r="AE6614">
        <v>-14.102</v>
      </c>
      <c r="AF6614">
        <v>-6.1767636093432499</v>
      </c>
      <c r="AG6614">
        <v>-1.1144321383219999</v>
      </c>
      <c r="AH6614">
        <v>19.302549041951298</v>
      </c>
      <c r="AI6614">
        <v>93.147423477519894</v>
      </c>
      <c r="AJ6614">
        <v>107.744531384344</v>
      </c>
      <c r="AK6614">
        <v>20.2973586260274</v>
      </c>
      <c r="AL6614">
        <v>84.965996996767501</v>
      </c>
      <c r="AM6614">
        <v>92.051478194220607</v>
      </c>
      <c r="AN6614">
        <v>0.99999996107288702</v>
      </c>
    </row>
    <row r="6615" spans="1:40" x14ac:dyDescent="0.25">
      <c r="A6615" t="str">
        <f>"20190312154055138"</f>
        <v>20190312154055138</v>
      </c>
      <c r="B6615" t="str">
        <f>"1552376455132955"</f>
        <v>1552376455132955</v>
      </c>
      <c r="C6615" t="s">
        <v>40</v>
      </c>
      <c r="D6615">
        <v>3.9427650000000001</v>
      </c>
      <c r="E6615">
        <v>0.39598299999999997</v>
      </c>
      <c r="F6615" t="s">
        <v>42</v>
      </c>
      <c r="G6615">
        <v>-422.26780000000002</v>
      </c>
      <c r="H6615" s="1">
        <v>-4.0015219999999999E-6</v>
      </c>
      <c r="I6615">
        <v>117.5633</v>
      </c>
      <c r="J6615">
        <v>-407.03550000000001</v>
      </c>
      <c r="K6615">
        <v>1.1145389999999999</v>
      </c>
      <c r="L6615">
        <v>132.3707</v>
      </c>
      <c r="M6615">
        <v>-0.89400369999999996</v>
      </c>
      <c r="N6615">
        <v>0</v>
      </c>
      <c r="O6615">
        <v>-0.44784600000000002</v>
      </c>
      <c r="P6615">
        <v>-0.87630909999999995</v>
      </c>
      <c r="Q6615">
        <v>7.4681269999999994E-2</v>
      </c>
      <c r="R6615">
        <v>-0.47592630000000002</v>
      </c>
      <c r="S6615">
        <v>-2.2564700000000002</v>
      </c>
      <c r="T6615">
        <v>-0.16342870000000001</v>
      </c>
      <c r="U6615">
        <v>-2.1840359999999999</v>
      </c>
      <c r="V6615">
        <v>-3.3881309999999998E-2</v>
      </c>
      <c r="W6615">
        <v>8.8142139999999994E-2</v>
      </c>
      <c r="X6615">
        <v>0.99553150000000001</v>
      </c>
      <c r="Y6615">
        <v>-0.30014109999999899</v>
      </c>
      <c r="Z6615">
        <v>1.614821E-2</v>
      </c>
      <c r="AA6615">
        <v>0.95375810000000005</v>
      </c>
      <c r="AB6615">
        <v>18</v>
      </c>
      <c r="AC6615">
        <v>-15.2323</v>
      </c>
      <c r="AD6615">
        <v>-1.1145430015219999</v>
      </c>
      <c r="AE6615">
        <v>-14.807399999999999</v>
      </c>
      <c r="AF6615">
        <v>-6.3991453091474702</v>
      </c>
      <c r="AG6615">
        <v>-1.1145430015219999</v>
      </c>
      <c r="AH6615">
        <v>20.195514491764001</v>
      </c>
      <c r="AI6615">
        <v>93.011542750032405</v>
      </c>
      <c r="AJ6615">
        <v>107.58131188796899</v>
      </c>
      <c r="AK6615">
        <v>21.214383620008199</v>
      </c>
      <c r="AL6615">
        <v>84.943265117182904</v>
      </c>
      <c r="AM6615">
        <v>91.949217164183594</v>
      </c>
      <c r="AN6615">
        <v>0.99999997375167204</v>
      </c>
    </row>
    <row r="6616" spans="1:40" x14ac:dyDescent="0.25">
      <c r="A6616" t="str">
        <f>"20190312154055161"</f>
        <v>20190312154055161</v>
      </c>
      <c r="B6616" t="str">
        <f>"1552376455152475"</f>
        <v>1552376455152475</v>
      </c>
      <c r="C6616" t="s">
        <v>40</v>
      </c>
      <c r="D6616">
        <v>3.944248</v>
      </c>
      <c r="E6616">
        <v>0.40890359999999998</v>
      </c>
      <c r="F6616" t="s">
        <v>42</v>
      </c>
      <c r="G6616">
        <v>-422.80200000000002</v>
      </c>
      <c r="H6616" s="1">
        <v>-3.8828859999999997E-6</v>
      </c>
      <c r="I6616">
        <v>116.9363</v>
      </c>
      <c r="J6616">
        <v>-407.19639999999998</v>
      </c>
      <c r="K6616">
        <v>1.1146499999999999</v>
      </c>
      <c r="L6616">
        <v>132.27950000000001</v>
      </c>
      <c r="M6616">
        <v>-0.89037730000000004</v>
      </c>
      <c r="N6616">
        <v>0</v>
      </c>
      <c r="O6616">
        <v>-0.45501239999999998</v>
      </c>
      <c r="P6616">
        <v>-0.87289269999999997</v>
      </c>
      <c r="Q6616">
        <v>7.4904700000000005E-2</v>
      </c>
      <c r="R6616">
        <v>-0.48212860000000002</v>
      </c>
      <c r="S6616">
        <v>-2.2439879999999999</v>
      </c>
      <c r="T6616">
        <v>-0.15862899999999999</v>
      </c>
      <c r="U6616">
        <v>-2.1967319999999999</v>
      </c>
      <c r="V6616">
        <v>-3.2978140000000003E-2</v>
      </c>
      <c r="W6616">
        <v>8.8391040000000004E-2</v>
      </c>
      <c r="X6616">
        <v>0.99553979999999997</v>
      </c>
      <c r="Y6616">
        <v>-0.2978864</v>
      </c>
      <c r="Z6616">
        <v>1.61193E-2</v>
      </c>
      <c r="AA6616">
        <v>0.95446520000000001</v>
      </c>
      <c r="AB6616">
        <v>18</v>
      </c>
      <c r="AC6616">
        <v>-15.6055999999999</v>
      </c>
      <c r="AD6616">
        <v>-1.114653882886</v>
      </c>
      <c r="AE6616">
        <v>-15.3432</v>
      </c>
      <c r="AF6616">
        <v>-6.5441489581372503</v>
      </c>
      <c r="AG6616">
        <v>-1.114653882886</v>
      </c>
      <c r="AH6616">
        <v>20.824201818187198</v>
      </c>
      <c r="AI6616">
        <v>92.923252519790907</v>
      </c>
      <c r="AJ6616">
        <v>107.44568551037899</v>
      </c>
      <c r="AK6616">
        <v>21.856708815133</v>
      </c>
      <c r="AL6616">
        <v>84.928948519395902</v>
      </c>
      <c r="AM6616">
        <v>91.897279805727294</v>
      </c>
      <c r="AN6616">
        <v>1.0000000135270899</v>
      </c>
    </row>
    <row r="6617" spans="1:40" x14ac:dyDescent="0.25">
      <c r="A6617" t="str">
        <f>"20190312154055182"</f>
        <v>20190312154055182</v>
      </c>
      <c r="B6617" t="str">
        <f>"1552376455172971"</f>
        <v>1552376455172971</v>
      </c>
      <c r="C6617" t="s">
        <v>40</v>
      </c>
      <c r="D6617">
        <v>3.9496410000000002</v>
      </c>
      <c r="E6617">
        <v>0.4143926</v>
      </c>
      <c r="F6617" t="s">
        <v>42</v>
      </c>
      <c r="G6617">
        <v>-430.61149999999998</v>
      </c>
      <c r="H6617">
        <v>7.9986589999999996E-2</v>
      </c>
      <c r="I6617">
        <v>110.50369999999999</v>
      </c>
      <c r="J6617">
        <v>-407.34519999999998</v>
      </c>
      <c r="K6617">
        <v>1.114733</v>
      </c>
      <c r="L6617">
        <v>132.1934</v>
      </c>
      <c r="M6617">
        <v>-0.88687320000000003</v>
      </c>
      <c r="N6617">
        <v>0</v>
      </c>
      <c r="O6617">
        <v>-0.4618041</v>
      </c>
      <c r="P6617">
        <v>-0.86990040000000002</v>
      </c>
      <c r="Q6617">
        <v>7.3358300000000001E-2</v>
      </c>
      <c r="R6617">
        <v>-0.4877416</v>
      </c>
      <c r="S6617">
        <v>-2.2762449999999999</v>
      </c>
      <c r="T6617">
        <v>-0.1005824</v>
      </c>
      <c r="U6617">
        <v>-2.1168819999999999</v>
      </c>
      <c r="V6617">
        <v>-3.1722470000000003E-2</v>
      </c>
      <c r="W6617">
        <v>8.6876229999999999E-2</v>
      </c>
      <c r="X6617">
        <v>0.99571390000000004</v>
      </c>
      <c r="Y6617">
        <v>-0.2659048</v>
      </c>
      <c r="Z6617">
        <v>1.105514E-2</v>
      </c>
      <c r="AA6617">
        <v>0.96393589999999996</v>
      </c>
      <c r="AB6617">
        <v>18</v>
      </c>
      <c r="AC6617">
        <v>-23.266300000000001</v>
      </c>
      <c r="AD6617">
        <v>-1.0347464099999999</v>
      </c>
      <c r="AE6617">
        <v>-21.689699999999998</v>
      </c>
      <c r="AF6617">
        <v>-8.4833824946429406</v>
      </c>
      <c r="AG6617">
        <v>-1.0347464099999999</v>
      </c>
      <c r="AH6617">
        <v>30.6212020891134</v>
      </c>
      <c r="AI6617">
        <v>91.865189191627906</v>
      </c>
      <c r="AJ6617">
        <v>105.485007161136</v>
      </c>
      <c r="AK6617">
        <v>31.7914531921041</v>
      </c>
      <c r="AL6617">
        <v>85.016075790779595</v>
      </c>
      <c r="AM6617">
        <v>91.824770227950495</v>
      </c>
      <c r="AN6617">
        <v>0.99999998254756195</v>
      </c>
    </row>
    <row r="6618" spans="1:40" x14ac:dyDescent="0.25">
      <c r="A6618" t="str">
        <f>"20190312154055205"</f>
        <v>20190312154055205</v>
      </c>
      <c r="B6618" t="str">
        <f>"1552376455192490"</f>
        <v>1552376455192490</v>
      </c>
      <c r="C6618" t="s">
        <v>40</v>
      </c>
      <c r="D6618">
        <v>3.936887</v>
      </c>
      <c r="E6618">
        <v>0.41705379999999997</v>
      </c>
      <c r="F6618" t="s">
        <v>42</v>
      </c>
      <c r="G6618">
        <v>-429.79939999999999</v>
      </c>
      <c r="H6618" s="1">
        <v>-3.3099549999999999E-6</v>
      </c>
      <c r="I6618">
        <v>111.6053</v>
      </c>
      <c r="J6618">
        <v>-407.49680000000001</v>
      </c>
      <c r="K6618">
        <v>1.114781</v>
      </c>
      <c r="L6618">
        <v>132.10380000000001</v>
      </c>
      <c r="M6618">
        <v>-0.88314609999999905</v>
      </c>
      <c r="N6618">
        <v>0</v>
      </c>
      <c r="O6618">
        <v>-0.46889170000000002</v>
      </c>
      <c r="P6618">
        <v>-0.86677519999999997</v>
      </c>
      <c r="Q6618">
        <v>7.0853979999999997E-2</v>
      </c>
      <c r="R6618">
        <v>-0.49364000000000002</v>
      </c>
      <c r="S6618">
        <v>-2.284027</v>
      </c>
      <c r="T6618">
        <v>-0.1133904</v>
      </c>
      <c r="U6618">
        <v>-2.0942080000000001</v>
      </c>
      <c r="V6618">
        <v>-3.0401879999999999E-2</v>
      </c>
      <c r="W6618">
        <v>8.4405789999999994E-2</v>
      </c>
      <c r="X6618">
        <v>0.99596759999999995</v>
      </c>
      <c r="Y6618">
        <v>-0.25137480000000001</v>
      </c>
      <c r="Z6618">
        <v>1.3025510000000001E-2</v>
      </c>
      <c r="AA6618">
        <v>0.96780219999999995</v>
      </c>
      <c r="AB6618">
        <v>18</v>
      </c>
      <c r="AC6618">
        <v>-22.302599999999899</v>
      </c>
      <c r="AD6618">
        <v>-1.1147843099549899</v>
      </c>
      <c r="AE6618">
        <v>-20.4985</v>
      </c>
      <c r="AF6618">
        <v>-7.6360643762300402</v>
      </c>
      <c r="AG6618">
        <v>-1.1147843099549899</v>
      </c>
      <c r="AH6618">
        <v>29.271223786598799</v>
      </c>
      <c r="AI6618">
        <v>92.110471040196401</v>
      </c>
      <c r="AJ6618">
        <v>104.621044343691</v>
      </c>
      <c r="AK6618">
        <v>30.2713852537475</v>
      </c>
      <c r="AL6618">
        <v>85.158143823667302</v>
      </c>
      <c r="AM6618">
        <v>91.7484089812001</v>
      </c>
      <c r="AN6618">
        <v>1.0000000359714001</v>
      </c>
    </row>
    <row r="6619" spans="1:40" x14ac:dyDescent="0.25">
      <c r="A6619" t="str">
        <f>"20190312154055227"</f>
        <v>20190312154055227</v>
      </c>
      <c r="B6619" t="str">
        <f>"1552376455222796"</f>
        <v>1552376455222796</v>
      </c>
      <c r="C6619" t="s">
        <v>40</v>
      </c>
      <c r="D6619">
        <v>3.9880559999999998</v>
      </c>
      <c r="E6619">
        <v>0.41953059999999998</v>
      </c>
      <c r="F6619" t="s">
        <v>42</v>
      </c>
      <c r="G6619">
        <v>-428.3965</v>
      </c>
      <c r="H6619" s="1">
        <v>-3.5102950000000002E-6</v>
      </c>
      <c r="I6619">
        <v>112.92529999999999</v>
      </c>
      <c r="J6619">
        <v>-407.65109999999999</v>
      </c>
      <c r="K6619">
        <v>1.1148279999999999</v>
      </c>
      <c r="L6619">
        <v>132.01060000000001</v>
      </c>
      <c r="M6619">
        <v>-0.87918169999999995</v>
      </c>
      <c r="N6619">
        <v>0</v>
      </c>
      <c r="O6619">
        <v>-0.47628320000000002</v>
      </c>
      <c r="P6619">
        <v>-0.86336970000000002</v>
      </c>
      <c r="Q6619">
        <v>6.9788059999999999E-2</v>
      </c>
      <c r="R6619">
        <v>-0.49972270000000002</v>
      </c>
      <c r="S6619">
        <v>-2.2796940000000001</v>
      </c>
      <c r="T6619">
        <v>-0.1215984</v>
      </c>
      <c r="U6619">
        <v>-2.0919490000000001</v>
      </c>
      <c r="V6619">
        <v>-2.900956E-2</v>
      </c>
      <c r="W6619">
        <v>8.3373760000000005E-2</v>
      </c>
      <c r="X6619">
        <v>0.99609599999999998</v>
      </c>
      <c r="Y6619">
        <v>-0.24366969999999999</v>
      </c>
      <c r="Z6619">
        <v>1.443854E-2</v>
      </c>
      <c r="AA6619">
        <v>0.96975080000000002</v>
      </c>
      <c r="AB6619">
        <v>18</v>
      </c>
      <c r="AC6619">
        <v>-20.7454</v>
      </c>
      <c r="AD6619">
        <v>-1.1148315102949999</v>
      </c>
      <c r="AE6619">
        <v>-19.0853</v>
      </c>
      <c r="AF6619">
        <v>-6.8886553630674898</v>
      </c>
      <c r="AG6619">
        <v>-1.1148315102949999</v>
      </c>
      <c r="AH6619">
        <v>27.2889509793504</v>
      </c>
      <c r="AI6619">
        <v>92.268317288449595</v>
      </c>
      <c r="AJ6619">
        <v>104.167415351014</v>
      </c>
      <c r="AK6619">
        <v>28.1670599736794</v>
      </c>
      <c r="AL6619">
        <v>85.217483737925406</v>
      </c>
      <c r="AM6619">
        <v>91.668168202834394</v>
      </c>
      <c r="AN6619">
        <v>0.99999998982196503</v>
      </c>
    </row>
    <row r="6620" spans="1:40" x14ac:dyDescent="0.25">
      <c r="A6620" t="str">
        <f>"20190312154055250"</f>
        <v>20190312154055250</v>
      </c>
      <c r="B6620" t="str">
        <f>"1552376455243289"</f>
        <v>1552376455243289</v>
      </c>
      <c r="C6620" t="s">
        <v>40</v>
      </c>
      <c r="D6620">
        <v>3.9531480000000001</v>
      </c>
      <c r="E6620">
        <v>0.42059479999999999</v>
      </c>
      <c r="F6620" t="s">
        <v>42</v>
      </c>
      <c r="G6620">
        <v>-427.05009999999999</v>
      </c>
      <c r="H6620" s="1">
        <v>-3.6979050000000001E-6</v>
      </c>
      <c r="I6620">
        <v>114.1784</v>
      </c>
      <c r="J6620">
        <v>-407.80430000000001</v>
      </c>
      <c r="K6620">
        <v>1.114884</v>
      </c>
      <c r="L6620">
        <v>131.9162</v>
      </c>
      <c r="M6620">
        <v>-0.87506879999999998</v>
      </c>
      <c r="N6620">
        <v>0</v>
      </c>
      <c r="O6620">
        <v>-0.4837978</v>
      </c>
      <c r="P6620">
        <v>-0.85954759999999997</v>
      </c>
      <c r="Q6620">
        <v>6.9137219999999999E-2</v>
      </c>
      <c r="R6620">
        <v>-0.50635779999999997</v>
      </c>
      <c r="S6620">
        <v>-2.2749329999999999</v>
      </c>
      <c r="T6620">
        <v>-0.1307372</v>
      </c>
      <c r="U6620">
        <v>-2.091202</v>
      </c>
      <c r="V6620">
        <v>-2.8127559999999999E-2</v>
      </c>
      <c r="W6620">
        <v>8.2751259999999993E-2</v>
      </c>
      <c r="X6620">
        <v>0.99617319999999998</v>
      </c>
      <c r="Y6620">
        <v>-0.2362233</v>
      </c>
      <c r="Z6620">
        <v>1.6025930000000001E-2</v>
      </c>
      <c r="AA6620">
        <v>0.97156659999999995</v>
      </c>
      <c r="AB6620">
        <v>18</v>
      </c>
      <c r="AC6620">
        <v>-19.2457999999999</v>
      </c>
      <c r="AD6620">
        <v>-1.114887697905</v>
      </c>
      <c r="AE6620">
        <v>-17.7378</v>
      </c>
      <c r="AF6620">
        <v>-6.2000731561076901</v>
      </c>
      <c r="AG6620">
        <v>-1.114887697905</v>
      </c>
      <c r="AH6620">
        <v>25.379327412485399</v>
      </c>
      <c r="AI6620">
        <v>92.443558437600998</v>
      </c>
      <c r="AJ6620">
        <v>103.728252973407</v>
      </c>
      <c r="AK6620">
        <v>26.149457769333502</v>
      </c>
      <c r="AL6620">
        <v>85.253274029885404</v>
      </c>
      <c r="AM6620">
        <v>91.617351682114503</v>
      </c>
      <c r="AN6620">
        <v>0.99999998753068997</v>
      </c>
    </row>
    <row r="6621" spans="1:40" x14ac:dyDescent="0.25">
      <c r="A6621" t="str">
        <f>"20190312154055271"</f>
        <v>20190312154055271</v>
      </c>
      <c r="B6621" t="str">
        <f>"1552376455262809"</f>
        <v>1552376455262809</v>
      </c>
      <c r="C6621" t="s">
        <v>40</v>
      </c>
      <c r="D6621">
        <v>3.9871439999999998</v>
      </c>
      <c r="E6621">
        <v>0.42144809999999999</v>
      </c>
      <c r="F6621" t="s">
        <v>42</v>
      </c>
      <c r="G6621">
        <v>-426.59070000000003</v>
      </c>
      <c r="H6621" s="1">
        <v>-3.7175009999999998E-6</v>
      </c>
      <c r="I6621">
        <v>114.47539999999999</v>
      </c>
      <c r="J6621">
        <v>-407.94889999999998</v>
      </c>
      <c r="K6621">
        <v>1.1149480000000001</v>
      </c>
      <c r="L6621">
        <v>131.8252</v>
      </c>
      <c r="M6621">
        <v>-0.87101919999999899</v>
      </c>
      <c r="N6621">
        <v>0</v>
      </c>
      <c r="O6621">
        <v>-0.49105019999999999</v>
      </c>
      <c r="P6621">
        <v>-0.85606579999999999</v>
      </c>
      <c r="Q6621">
        <v>6.7535440000000002E-2</v>
      </c>
      <c r="R6621">
        <v>-0.512436</v>
      </c>
      <c r="S6621">
        <v>-2.263245</v>
      </c>
      <c r="T6621">
        <v>-0.1343135</v>
      </c>
      <c r="U6621">
        <v>-2.1011350000000002</v>
      </c>
      <c r="V6621">
        <v>-2.6843249999999999E-2</v>
      </c>
      <c r="W6621">
        <v>8.1183930000000001E-2</v>
      </c>
      <c r="X6621">
        <v>0.99633760000000005</v>
      </c>
      <c r="Y6621">
        <v>-0.23295650000000001</v>
      </c>
      <c r="Z6621">
        <v>1.6874449999999999E-2</v>
      </c>
      <c r="AA6621">
        <v>0.97234080000000001</v>
      </c>
      <c r="AB6621">
        <v>18</v>
      </c>
      <c r="AC6621">
        <v>-18.6418</v>
      </c>
      <c r="AD6621">
        <v>-1.114951717501</v>
      </c>
      <c r="AE6621">
        <v>-17.349799999999998</v>
      </c>
      <c r="AF6621">
        <v>-5.9471314810534004</v>
      </c>
      <c r="AG6621">
        <v>-1.114951717501</v>
      </c>
      <c r="AH6621">
        <v>24.7120373506432</v>
      </c>
      <c r="AI6621">
        <v>92.511691202055303</v>
      </c>
      <c r="AJ6621">
        <v>103.531335833504</v>
      </c>
      <c r="AK6621">
        <v>25.4420180057494</v>
      </c>
      <c r="AL6621">
        <v>85.343378703914496</v>
      </c>
      <c r="AM6621">
        <v>91.543285093633003</v>
      </c>
      <c r="AN6621">
        <v>1.0000000018672801</v>
      </c>
    </row>
    <row r="6622" spans="1:40" x14ac:dyDescent="0.25">
      <c r="A6622" t="str">
        <f>"20190312154055295"</f>
        <v>20190312154055295</v>
      </c>
      <c r="B6622" t="str">
        <f>"1552376455283305"</f>
        <v>1552376455283305</v>
      </c>
      <c r="C6622" t="s">
        <v>40</v>
      </c>
      <c r="D6622">
        <v>3.964175</v>
      </c>
      <c r="E6622">
        <v>0.42212129999999998</v>
      </c>
      <c r="F6622" t="s">
        <v>42</v>
      </c>
      <c r="G6622">
        <v>-426.04390000000001</v>
      </c>
      <c r="H6622" s="1">
        <v>-3.749828E-6</v>
      </c>
      <c r="I6622">
        <v>114.8554</v>
      </c>
      <c r="J6622">
        <v>-408.10019999999997</v>
      </c>
      <c r="K6622">
        <v>1.11502099999999</v>
      </c>
      <c r="L6622">
        <v>131.7278</v>
      </c>
      <c r="M6622">
        <v>-0.86659489999999995</v>
      </c>
      <c r="N6622">
        <v>0</v>
      </c>
      <c r="O6622">
        <v>-0.49881599999999998</v>
      </c>
      <c r="P6622">
        <v>-0.85187179999999996</v>
      </c>
      <c r="Q6622">
        <v>6.4594020000000002E-2</v>
      </c>
      <c r="R6622">
        <v>-0.51975199999999999</v>
      </c>
      <c r="S6622">
        <v>-2.251465</v>
      </c>
      <c r="T6622">
        <v>-0.13872709999999999</v>
      </c>
      <c r="U6622">
        <v>-2.11145</v>
      </c>
      <c r="V6622">
        <v>-2.6344380000000001E-2</v>
      </c>
      <c r="W6622">
        <v>7.8271670000000002E-2</v>
      </c>
      <c r="X6622">
        <v>0.99658389999999997</v>
      </c>
      <c r="Y6622">
        <v>-0.2291899</v>
      </c>
      <c r="Z6622">
        <v>1.7885769999999999E-2</v>
      </c>
      <c r="AA6622">
        <v>0.97321740000000001</v>
      </c>
      <c r="AB6622">
        <v>18</v>
      </c>
      <c r="AC6622">
        <v>-17.9437</v>
      </c>
      <c r="AD6622">
        <v>-1.1150247498279999</v>
      </c>
      <c r="AE6622">
        <v>-16.872399999999999</v>
      </c>
      <c r="AF6622">
        <v>-5.6598872163286398</v>
      </c>
      <c r="AG6622">
        <v>-1.1150247498279999</v>
      </c>
      <c r="AH6622">
        <v>23.919468867065</v>
      </c>
      <c r="AI6622">
        <v>92.5973352986409</v>
      </c>
      <c r="AJ6622">
        <v>103.312622646226</v>
      </c>
      <c r="AK6622">
        <v>24.6052554218968</v>
      </c>
      <c r="AL6622">
        <v>85.510771718238402</v>
      </c>
      <c r="AM6622">
        <v>91.514243150383393</v>
      </c>
      <c r="AN6622">
        <v>0.99999997521069095</v>
      </c>
    </row>
    <row r="6623" spans="1:40" x14ac:dyDescent="0.25">
      <c r="A6623" t="str">
        <f>"20190312154055317"</f>
        <v>20190312154055317</v>
      </c>
      <c r="B6623" t="str">
        <f>"1552376455312585"</f>
        <v>1552376455312585</v>
      </c>
      <c r="C6623" t="s">
        <v>40</v>
      </c>
      <c r="D6623">
        <v>3.848179</v>
      </c>
      <c r="E6623">
        <v>0.39722220000000003</v>
      </c>
      <c r="F6623" t="s">
        <v>42</v>
      </c>
      <c r="G6623">
        <v>-425.1096</v>
      </c>
      <c r="H6623" s="1">
        <v>-3.8191800000000001E-6</v>
      </c>
      <c r="I6623">
        <v>115.5463</v>
      </c>
      <c r="J6623">
        <v>-408.24849999999998</v>
      </c>
      <c r="K6623">
        <v>1.115103</v>
      </c>
      <c r="L6623">
        <v>131.63030000000001</v>
      </c>
      <c r="M6623">
        <v>-0.86206469999999902</v>
      </c>
      <c r="N6623">
        <v>0</v>
      </c>
      <c r="O6623">
        <v>-0.50660419999999995</v>
      </c>
      <c r="P6623">
        <v>-0.84727050000000004</v>
      </c>
      <c r="Q6623">
        <v>6.22616E-2</v>
      </c>
      <c r="R6623">
        <v>-0.52749979999999996</v>
      </c>
      <c r="S6623">
        <v>-2.2352910000000001</v>
      </c>
      <c r="T6623">
        <v>-0.14653150000000001</v>
      </c>
      <c r="U6623">
        <v>-2.1265109999999998</v>
      </c>
      <c r="V6623">
        <v>-2.6356709999999998E-2</v>
      </c>
      <c r="W6623">
        <v>7.5961609999999999E-2</v>
      </c>
      <c r="X6623">
        <v>0.99676229999999999</v>
      </c>
      <c r="Y6623">
        <v>-0.22740679999999999</v>
      </c>
      <c r="Z6623">
        <v>1.9331770000000002E-2</v>
      </c>
      <c r="AA6623">
        <v>0.97360800000000003</v>
      </c>
      <c r="AB6623">
        <v>18</v>
      </c>
      <c r="AC6623">
        <v>-16.8611</v>
      </c>
      <c r="AD6623">
        <v>-1.11510681918</v>
      </c>
      <c r="AE6623">
        <v>-16.084</v>
      </c>
      <c r="AF6623">
        <v>-5.3119036619015301</v>
      </c>
      <c r="AG6623">
        <v>-1.11510681918</v>
      </c>
      <c r="AH6623">
        <v>22.6339792994163</v>
      </c>
      <c r="AI6623">
        <v>92.746016816979306</v>
      </c>
      <c r="AJ6623">
        <v>103.20756208619299</v>
      </c>
      <c r="AK6623">
        <v>23.2756697574508</v>
      </c>
      <c r="AL6623">
        <v>85.643523709995605</v>
      </c>
      <c r="AM6623">
        <v>91.514680514783606</v>
      </c>
      <c r="AN6623">
        <v>0.99999996252855206</v>
      </c>
    </row>
    <row r="6624" spans="1:40" x14ac:dyDescent="0.25">
      <c r="A6624" t="str">
        <f>"20190312154055339"</f>
        <v>20190312154055339</v>
      </c>
      <c r="B6624" t="str">
        <f>"1552376455333081"</f>
        <v>1552376455333081</v>
      </c>
      <c r="C6624" t="s">
        <v>40</v>
      </c>
      <c r="D6624">
        <v>3.895597</v>
      </c>
      <c r="E6624">
        <v>0.38899450000000002</v>
      </c>
      <c r="F6624" t="s">
        <v>42</v>
      </c>
      <c r="G6624">
        <v>-425.09019999999998</v>
      </c>
      <c r="H6624" s="1">
        <v>-2.8867050000000002E-6</v>
      </c>
      <c r="I6624">
        <v>113.161</v>
      </c>
      <c r="J6624">
        <v>-408.39449999999999</v>
      </c>
      <c r="K6624">
        <v>1.1151899999999999</v>
      </c>
      <c r="L6624">
        <v>131.53190000000001</v>
      </c>
      <c r="M6624">
        <v>-0.85738769999999997</v>
      </c>
      <c r="N6624">
        <v>0</v>
      </c>
      <c r="O6624">
        <v>-0.51447929999999997</v>
      </c>
      <c r="P6624">
        <v>-0.84240949999999903</v>
      </c>
      <c r="Q6624">
        <v>6.1138989999999997E-2</v>
      </c>
      <c r="R6624">
        <v>-0.53535829999999995</v>
      </c>
      <c r="S6624">
        <v>-2.1102599999999998</v>
      </c>
      <c r="T6624">
        <v>-0.13972209999999999</v>
      </c>
      <c r="U6624">
        <v>-2.3141940000000001</v>
      </c>
      <c r="V6624">
        <v>-2.6460150000000002E-2</v>
      </c>
      <c r="W6624">
        <v>7.4859449999999994E-2</v>
      </c>
      <c r="X6624">
        <v>0.99684300000000003</v>
      </c>
      <c r="Y6624">
        <v>-0.28707159999999998</v>
      </c>
      <c r="Z6624">
        <v>1.733467E-2</v>
      </c>
      <c r="AA6624">
        <v>0.9577523</v>
      </c>
      <c r="AB6624">
        <v>18</v>
      </c>
      <c r="AC6624">
        <v>-16.695699999999899</v>
      </c>
      <c r="AD6624">
        <v>-1.1151928867049901</v>
      </c>
      <c r="AE6624">
        <v>-18.370899999999999</v>
      </c>
      <c r="AF6624">
        <v>-7.1476734664543002</v>
      </c>
      <c r="AG6624">
        <v>-1.1151928867049901</v>
      </c>
      <c r="AH6624">
        <v>23.720609781202601</v>
      </c>
      <c r="AI6624">
        <v>92.577397887213394</v>
      </c>
      <c r="AJ6624">
        <v>106.76900181540501</v>
      </c>
      <c r="AK6624">
        <v>24.7991979618232</v>
      </c>
      <c r="AL6624">
        <v>85.706853412630196</v>
      </c>
      <c r="AM6624">
        <v>91.5204992255006</v>
      </c>
      <c r="AN6624">
        <v>1.0000000217206599</v>
      </c>
    </row>
    <row r="6625" spans="1:40" x14ac:dyDescent="0.25">
      <c r="A6625" t="str">
        <f>"20190312154055361"</f>
        <v>20190312154055361</v>
      </c>
      <c r="B6625" t="str">
        <f>"1552376455352602"</f>
        <v>1552376455352602</v>
      </c>
      <c r="C6625" t="s">
        <v>40</v>
      </c>
      <c r="D6625">
        <v>3.8764789999999998</v>
      </c>
      <c r="E6625">
        <v>0.38628839999999998</v>
      </c>
      <c r="F6625" t="s">
        <v>42</v>
      </c>
      <c r="G6625">
        <v>-422.70800000000003</v>
      </c>
      <c r="H6625" s="1">
        <v>-2.9827310000000001E-6</v>
      </c>
      <c r="I6625">
        <v>114.86239999999999</v>
      </c>
      <c r="J6625">
        <v>-408.53769999999997</v>
      </c>
      <c r="K6625">
        <v>1.1152740000000001</v>
      </c>
      <c r="L6625">
        <v>131.4332</v>
      </c>
      <c r="M6625">
        <v>-0.85259159999999901</v>
      </c>
      <c r="N6625">
        <v>0</v>
      </c>
      <c r="O6625">
        <v>-0.52238799999999996</v>
      </c>
      <c r="P6625">
        <v>-0.83742220000000001</v>
      </c>
      <c r="Q6625">
        <v>6.1153720000000002E-2</v>
      </c>
      <c r="R6625">
        <v>-0.54312459999999996</v>
      </c>
      <c r="S6625">
        <v>-2.053223</v>
      </c>
      <c r="T6625">
        <v>-0.1599708</v>
      </c>
      <c r="U6625">
        <v>-2.3911899999999999</v>
      </c>
      <c r="V6625">
        <v>-2.6472909999999999E-2</v>
      </c>
      <c r="W6625">
        <v>7.4896069999999995E-2</v>
      </c>
      <c r="X6625">
        <v>0.9968399</v>
      </c>
      <c r="Y6625">
        <v>-0.306760799999999</v>
      </c>
      <c r="Z6625">
        <v>1.969862E-2</v>
      </c>
      <c r="AA6625">
        <v>0.95158279999999995</v>
      </c>
      <c r="AB6625">
        <v>18</v>
      </c>
      <c r="AC6625">
        <v>-14.170299999999999</v>
      </c>
      <c r="AD6625">
        <v>-1.1152769827309901</v>
      </c>
      <c r="AE6625">
        <v>-16.570799999999998</v>
      </c>
      <c r="AF6625">
        <v>-6.7088437831597503</v>
      </c>
      <c r="AG6625">
        <v>-1.1152769827309901</v>
      </c>
      <c r="AH6625">
        <v>20.6857988442673</v>
      </c>
      <c r="AI6625">
        <v>92.935860417591201</v>
      </c>
      <c r="AJ6625">
        <v>107.968979468551</v>
      </c>
      <c r="AK6625">
        <v>21.7750936044037</v>
      </c>
      <c r="AL6625">
        <v>85.7047492894296</v>
      </c>
      <c r="AM6625">
        <v>91.521236846935807</v>
      </c>
      <c r="AN6625">
        <v>1.00000001124866</v>
      </c>
    </row>
    <row r="6626" spans="1:40" x14ac:dyDescent="0.25">
      <c r="A6626" t="str">
        <f>"20190312154055383"</f>
        <v>20190312154055383</v>
      </c>
      <c r="B6626" t="str">
        <f>"1552376455373097"</f>
        <v>1552376455373097</v>
      </c>
      <c r="C6626" t="s">
        <v>40</v>
      </c>
      <c r="D6626">
        <v>3.8670019999999998</v>
      </c>
      <c r="E6626">
        <v>0.38540210000000003</v>
      </c>
      <c r="F6626" t="s">
        <v>42</v>
      </c>
      <c r="G6626">
        <v>-421.16399999999999</v>
      </c>
      <c r="H6626" s="1">
        <v>-3.1605539999999999E-6</v>
      </c>
      <c r="I6626">
        <v>116.2345</v>
      </c>
      <c r="J6626">
        <v>-408.67790000000002</v>
      </c>
      <c r="K6626">
        <v>1.1153379999999999</v>
      </c>
      <c r="L6626">
        <v>131.33439999999999</v>
      </c>
      <c r="M6626">
        <v>-0.84770029999999996</v>
      </c>
      <c r="N6626">
        <v>0</v>
      </c>
      <c r="O6626">
        <v>-0.53028819999999999</v>
      </c>
      <c r="P6626">
        <v>-0.83197209999999999</v>
      </c>
      <c r="Q6626">
        <v>6.0582219999999999E-2</v>
      </c>
      <c r="R6626">
        <v>-0.55150049999999995</v>
      </c>
      <c r="S6626">
        <v>-2.0191349999999999</v>
      </c>
      <c r="T6626">
        <v>-0.17834939999999999</v>
      </c>
      <c r="U6626">
        <v>-2.4304960000000002</v>
      </c>
      <c r="V6626">
        <v>-2.719655E-2</v>
      </c>
      <c r="W6626">
        <v>7.4337819999999999E-2</v>
      </c>
      <c r="X6626">
        <v>0.99686220000000003</v>
      </c>
      <c r="Y6626">
        <v>-0.3134554</v>
      </c>
      <c r="Z6626">
        <v>2.2217730000000002E-2</v>
      </c>
      <c r="AA6626">
        <v>0.94934300000000005</v>
      </c>
      <c r="AB6626">
        <v>18</v>
      </c>
      <c r="AC6626">
        <v>-12.486099999999899</v>
      </c>
      <c r="AD6626">
        <v>-1.115341160554</v>
      </c>
      <c r="AE6626">
        <v>-15.0998999999999</v>
      </c>
      <c r="AF6626">
        <v>-6.15961296098091</v>
      </c>
      <c r="AG6626">
        <v>-1.115341160554</v>
      </c>
      <c r="AH6626">
        <v>18.533561725771101</v>
      </c>
      <c r="AI6626">
        <v>93.268506448206296</v>
      </c>
      <c r="AJ6626">
        <v>108.384181789552</v>
      </c>
      <c r="AK6626">
        <v>19.562150392440898</v>
      </c>
      <c r="AL6626">
        <v>85.736824046708193</v>
      </c>
      <c r="AM6626">
        <v>91.562764738536401</v>
      </c>
      <c r="AN6626">
        <v>1.0000000048015401</v>
      </c>
    </row>
    <row r="6627" spans="1:40" x14ac:dyDescent="0.25">
      <c r="A6627" t="str">
        <f>"20190312154055405"</f>
        <v>20190312154055405</v>
      </c>
      <c r="B6627" t="str">
        <f>"1552376455403354"</f>
        <v>1552376455403354</v>
      </c>
      <c r="C6627" t="s">
        <v>40</v>
      </c>
      <c r="D6627">
        <v>3.9087730000000001</v>
      </c>
      <c r="E6627">
        <v>0.38183669999999997</v>
      </c>
      <c r="F6627" t="s">
        <v>42</v>
      </c>
      <c r="G6627">
        <v>-420.16070000000002</v>
      </c>
      <c r="H6627" s="1">
        <v>-3.286814E-6</v>
      </c>
      <c r="I6627">
        <v>117.1511</v>
      </c>
      <c r="J6627">
        <v>-408.81849999999997</v>
      </c>
      <c r="K6627">
        <v>1.1153770000000001</v>
      </c>
      <c r="L6627">
        <v>131.233</v>
      </c>
      <c r="M6627">
        <v>-0.84259910000000005</v>
      </c>
      <c r="N6627">
        <v>0</v>
      </c>
      <c r="O6627">
        <v>-0.5383559</v>
      </c>
      <c r="P6627">
        <v>-0.82601639999999998</v>
      </c>
      <c r="Q6627">
        <v>5.9712880000000003E-2</v>
      </c>
      <c r="R6627">
        <v>-0.56047419999999903</v>
      </c>
      <c r="S6627">
        <v>-1.990326</v>
      </c>
      <c r="T6627">
        <v>-0.19332360000000001</v>
      </c>
      <c r="U6627">
        <v>-2.458405</v>
      </c>
      <c r="V6627">
        <v>-2.8438040000000001E-2</v>
      </c>
      <c r="W6627">
        <v>7.3474730000000002E-2</v>
      </c>
      <c r="X6627">
        <v>0.99689159999999999</v>
      </c>
      <c r="Y6627">
        <v>-0.31643919999999998</v>
      </c>
      <c r="Z6627">
        <v>2.4513070000000001E-2</v>
      </c>
      <c r="AA6627">
        <v>0.94829600000000003</v>
      </c>
      <c r="AB6627">
        <v>18</v>
      </c>
      <c r="AC6627">
        <v>-11.3422</v>
      </c>
      <c r="AD6627">
        <v>-1.1153802868139999</v>
      </c>
      <c r="AE6627">
        <v>-14.081899999999999</v>
      </c>
      <c r="AF6627">
        <v>-5.7379971872577897</v>
      </c>
      <c r="AG6627">
        <v>-1.1153802868139999</v>
      </c>
      <c r="AH6627">
        <v>17.0747410015193</v>
      </c>
      <c r="AI6627">
        <v>93.543261949237802</v>
      </c>
      <c r="AJ6627">
        <v>108.575014527473</v>
      </c>
      <c r="AK6627">
        <v>18.047588901960101</v>
      </c>
      <c r="AL6627">
        <v>85.786411306855996</v>
      </c>
      <c r="AM6627">
        <v>91.634017082098396</v>
      </c>
      <c r="AN6627">
        <v>1.0000000601090799</v>
      </c>
    </row>
    <row r="6628" spans="1:40" x14ac:dyDescent="0.25">
      <c r="A6628" t="str">
        <f>"20190312154055439"</f>
        <v>20190312154055439</v>
      </c>
      <c r="B6628" t="str">
        <f>"1552376455432650"</f>
        <v>1552376455432650</v>
      </c>
      <c r="C6628" t="s">
        <v>40</v>
      </c>
      <c r="D6628">
        <v>3.90117</v>
      </c>
      <c r="E6628">
        <v>0.38361309999999998</v>
      </c>
      <c r="F6628" t="s">
        <v>42</v>
      </c>
      <c r="G6628">
        <v>-421.2758</v>
      </c>
      <c r="H6628" s="1">
        <v>-2.7593770000000002E-6</v>
      </c>
      <c r="I6628">
        <v>115.23</v>
      </c>
      <c r="J6628">
        <v>-409.03050000000002</v>
      </c>
      <c r="K6628">
        <v>1.115443</v>
      </c>
      <c r="L6628">
        <v>131.0761</v>
      </c>
      <c r="M6628">
        <v>-0.83452289999999996</v>
      </c>
      <c r="N6628">
        <v>0</v>
      </c>
      <c r="O6628">
        <v>-0.55079119999999904</v>
      </c>
      <c r="P6628">
        <v>-0.81683799999999995</v>
      </c>
      <c r="Q6628">
        <v>5.8945310000000001E-2</v>
      </c>
      <c r="R6628">
        <v>-0.57384789999999997</v>
      </c>
      <c r="S6628">
        <v>-1.947235</v>
      </c>
      <c r="T6628">
        <v>-0.17434639999999901</v>
      </c>
      <c r="U6628">
        <v>-2.501465</v>
      </c>
      <c r="V6628">
        <v>-2.985813E-2</v>
      </c>
      <c r="W6628">
        <v>7.2720010000000002E-2</v>
      </c>
      <c r="X6628">
        <v>0.99690540000000005</v>
      </c>
      <c r="Y6628">
        <v>-0.32045129999999999</v>
      </c>
      <c r="Z6628">
        <v>2.2719059999999999E-2</v>
      </c>
      <c r="AA6628">
        <v>0.94699250000000001</v>
      </c>
      <c r="AB6628">
        <v>18</v>
      </c>
      <c r="AC6628">
        <v>-12.245299999999901</v>
      </c>
      <c r="AD6628">
        <v>-1.115445759377</v>
      </c>
      <c r="AE6628">
        <v>-15.8460999999999</v>
      </c>
      <c r="AF6628">
        <v>-6.4599382378774397</v>
      </c>
      <c r="AG6628">
        <v>-1.115445759377</v>
      </c>
      <c r="AH6628">
        <v>18.8901707081273</v>
      </c>
      <c r="AI6628">
        <v>93.1979217668638</v>
      </c>
      <c r="AJ6628">
        <v>108.879329819473</v>
      </c>
      <c r="AK6628">
        <v>19.995338723349899</v>
      </c>
      <c r="AL6628">
        <v>85.829769492675595</v>
      </c>
      <c r="AM6628">
        <v>91.715542484078597</v>
      </c>
      <c r="AN6628">
        <v>1.0000000421653199</v>
      </c>
    </row>
    <row r="6629" spans="1:40" x14ac:dyDescent="0.25">
      <c r="A6629" t="str">
        <f>"20190312154055461"</f>
        <v>20190312154055461</v>
      </c>
      <c r="B6629" t="str">
        <f>"1552376455453129"</f>
        <v>1552376455453129</v>
      </c>
      <c r="C6629" t="s">
        <v>40</v>
      </c>
      <c r="D6629">
        <v>3.8796580000000001</v>
      </c>
      <c r="E6629">
        <v>0.38267649999999998</v>
      </c>
      <c r="F6629" t="s">
        <v>42</v>
      </c>
      <c r="G6629">
        <v>-420.41570000000002</v>
      </c>
      <c r="H6629" s="1">
        <v>-2.8937820000000001E-6</v>
      </c>
      <c r="I6629">
        <v>116.0767</v>
      </c>
      <c r="J6629">
        <v>-409.16730000000001</v>
      </c>
      <c r="K6629">
        <v>1.115483</v>
      </c>
      <c r="L6629">
        <v>130.9718</v>
      </c>
      <c r="M6629">
        <v>-0.82905479999999998</v>
      </c>
      <c r="N6629">
        <v>0</v>
      </c>
      <c r="O6629">
        <v>-0.55898740000000002</v>
      </c>
      <c r="P6629">
        <v>-0.81117899999999998</v>
      </c>
      <c r="Q6629">
        <v>5.8884279999999997E-2</v>
      </c>
      <c r="R6629">
        <v>-0.58182609999999901</v>
      </c>
      <c r="S6629">
        <v>-1.914398</v>
      </c>
      <c r="T6629">
        <v>-0.187559</v>
      </c>
      <c r="U6629">
        <v>-2.5220950000000002</v>
      </c>
      <c r="V6629">
        <v>-2.980878E-2</v>
      </c>
      <c r="W6629">
        <v>7.267912E-2</v>
      </c>
      <c r="X6629">
        <v>0.99690979999999996</v>
      </c>
      <c r="Y6629">
        <v>-0.32269949999999997</v>
      </c>
      <c r="Z6629">
        <v>2.494329E-2</v>
      </c>
      <c r="AA6629">
        <v>0.94617280000000004</v>
      </c>
      <c r="AB6629">
        <v>18</v>
      </c>
      <c r="AC6629">
        <v>-11.2484</v>
      </c>
      <c r="AD6629">
        <v>-1.115485893782</v>
      </c>
      <c r="AE6629">
        <v>-14.895099999999999</v>
      </c>
      <c r="AF6629">
        <v>-6.0401771516014797</v>
      </c>
      <c r="AG6629">
        <v>-1.115485893782</v>
      </c>
      <c r="AH6629">
        <v>17.590662814979598</v>
      </c>
      <c r="AI6629">
        <v>93.432274291490799</v>
      </c>
      <c r="AJ6629">
        <v>108.951141604776</v>
      </c>
      <c r="AK6629">
        <v>18.632215839031598</v>
      </c>
      <c r="AL6629">
        <v>85.832118288273605</v>
      </c>
      <c r="AM6629">
        <v>91.712701143148195</v>
      </c>
      <c r="AN6629">
        <v>0.99999998359255104</v>
      </c>
    </row>
    <row r="6630" spans="1:40" x14ac:dyDescent="0.25">
      <c r="A6630" t="str">
        <f>"20190312154055484"</f>
        <v>20190312154055484</v>
      </c>
      <c r="B6630" t="str">
        <f>"1552376455472650"</f>
        <v>1552376455472650</v>
      </c>
      <c r="C6630" t="s">
        <v>40</v>
      </c>
      <c r="D6630">
        <v>3.9353069999999999</v>
      </c>
      <c r="E6630">
        <v>0.3824265</v>
      </c>
      <c r="F6630" t="s">
        <v>42</v>
      </c>
      <c r="G6630">
        <v>-420.87849999999997</v>
      </c>
      <c r="H6630" s="1">
        <v>-2.6238059999999999E-6</v>
      </c>
      <c r="I6630">
        <v>115.1604</v>
      </c>
      <c r="J6630">
        <v>-409.30470000000003</v>
      </c>
      <c r="K6630">
        <v>1.1155189999999999</v>
      </c>
      <c r="L6630">
        <v>130.8646</v>
      </c>
      <c r="M6630">
        <v>-0.8233741</v>
      </c>
      <c r="N6630">
        <v>0</v>
      </c>
      <c r="O6630">
        <v>-0.56732109999999902</v>
      </c>
      <c r="P6630">
        <v>-0.80534499999999998</v>
      </c>
      <c r="Q6630">
        <v>5.9895549999999999E-2</v>
      </c>
      <c r="R6630">
        <v>-0.58977290000000004</v>
      </c>
      <c r="S6630">
        <v>-1.8854979999999999</v>
      </c>
      <c r="T6630">
        <v>-0.17959240000000001</v>
      </c>
      <c r="U6630">
        <v>-2.5456240000000001</v>
      </c>
      <c r="V6630">
        <v>-2.961401E-2</v>
      </c>
      <c r="W6630">
        <v>7.3710590000000006E-2</v>
      </c>
      <c r="X6630">
        <v>0.9968399</v>
      </c>
      <c r="Y6630">
        <v>-0.32426179999999999</v>
      </c>
      <c r="Z6630">
        <v>2.436052E-2</v>
      </c>
      <c r="AA6630">
        <v>0.94565370000000004</v>
      </c>
      <c r="AB6630">
        <v>18</v>
      </c>
      <c r="AC6630">
        <v>-11.573799999999901</v>
      </c>
      <c r="AD6630">
        <v>-1.115521623806</v>
      </c>
      <c r="AE6630">
        <v>-15.7042</v>
      </c>
      <c r="AF6630">
        <v>-6.3442688068929698</v>
      </c>
      <c r="AG6630">
        <v>-1.115521623806</v>
      </c>
      <c r="AH6630">
        <v>18.3806521635858</v>
      </c>
      <c r="AI6630">
        <v>93.283390955575101</v>
      </c>
      <c r="AJ6630">
        <v>109.04263428820499</v>
      </c>
      <c r="AK6630">
        <v>19.476717103917299</v>
      </c>
      <c r="AL6630">
        <v>85.772860583663203</v>
      </c>
      <c r="AM6630">
        <v>91.701636229469599</v>
      </c>
      <c r="AN6630">
        <v>1.00000001344921</v>
      </c>
    </row>
    <row r="6631" spans="1:40" x14ac:dyDescent="0.25">
      <c r="A6631" t="str">
        <f>"20190312154055506"</f>
        <v>20190312154055506</v>
      </c>
      <c r="B6631" t="str">
        <f>"1552376455502905"</f>
        <v>1552376455502905</v>
      </c>
      <c r="C6631" t="s">
        <v>40</v>
      </c>
      <c r="D6631">
        <v>4.0079919999999998</v>
      </c>
      <c r="E6631">
        <v>0.38174190000000002</v>
      </c>
      <c r="F6631" t="s">
        <v>42</v>
      </c>
      <c r="G6631">
        <v>-421.46910000000003</v>
      </c>
      <c r="H6631" s="1">
        <v>-2.3157940000000002E-6</v>
      </c>
      <c r="I6631">
        <v>114.0761</v>
      </c>
      <c r="J6631">
        <v>-409.43979999999999</v>
      </c>
      <c r="K6631">
        <v>1.1155459999999999</v>
      </c>
      <c r="L6631">
        <v>130.7569</v>
      </c>
      <c r="M6631">
        <v>-0.81760169999999999</v>
      </c>
      <c r="N6631">
        <v>0</v>
      </c>
      <c r="O6631">
        <v>-0.57560859999999903</v>
      </c>
      <c r="P6631">
        <v>-0.79880490000000004</v>
      </c>
      <c r="Q6631">
        <v>6.0056760000000001E-2</v>
      </c>
      <c r="R6631">
        <v>-0.59858480000000003</v>
      </c>
      <c r="S6631">
        <v>-1.858948</v>
      </c>
      <c r="T6631">
        <v>-0.1704724</v>
      </c>
      <c r="U6631">
        <v>-2.565598</v>
      </c>
      <c r="V6631">
        <v>-3.0511050000000001E-2</v>
      </c>
      <c r="W6631">
        <v>7.3876079999999997E-2</v>
      </c>
      <c r="X6631">
        <v>0.99680060000000004</v>
      </c>
      <c r="Y6631">
        <v>-0.32460679999999997</v>
      </c>
      <c r="Z6631">
        <v>2.3611670000000001E-2</v>
      </c>
      <c r="AA6631">
        <v>0.94555429999999996</v>
      </c>
      <c r="AB6631">
        <v>18</v>
      </c>
      <c r="AC6631">
        <v>-12.029299999999999</v>
      </c>
      <c r="AD6631">
        <v>-1.1155483157939901</v>
      </c>
      <c r="AE6631">
        <v>-16.680800000000001</v>
      </c>
      <c r="AF6631">
        <v>-6.6950620310119699</v>
      </c>
      <c r="AG6631">
        <v>-1.1155483157939901</v>
      </c>
      <c r="AH6631">
        <v>19.381726885467302</v>
      </c>
      <c r="AI6631">
        <v>93.113959266838094</v>
      </c>
      <c r="AJ6631">
        <v>109.056532900053</v>
      </c>
      <c r="AK6631">
        <v>20.535813612000201</v>
      </c>
      <c r="AL6631">
        <v>85.763352801048399</v>
      </c>
      <c r="AM6631">
        <v>91.753217991598106</v>
      </c>
      <c r="AN6631">
        <v>1.00000001776431</v>
      </c>
    </row>
    <row r="6632" spans="1:40" x14ac:dyDescent="0.25">
      <c r="A6632" t="str">
        <f>"20190312154055528"</f>
        <v>20190312154055528</v>
      </c>
      <c r="B6632" t="str">
        <f>"1552376455522932"</f>
        <v>1552376455522932</v>
      </c>
      <c r="C6632" t="s">
        <v>40</v>
      </c>
      <c r="D6632">
        <v>4.0458720000000001</v>
      </c>
      <c r="E6632">
        <v>0.36156749999999999</v>
      </c>
      <c r="F6632" t="s">
        <v>42</v>
      </c>
      <c r="G6632">
        <v>-420.4228</v>
      </c>
      <c r="H6632" s="1">
        <v>-2.5100129999999998E-6</v>
      </c>
      <c r="I6632">
        <v>115.1778</v>
      </c>
      <c r="J6632">
        <v>-409.57459999999998</v>
      </c>
      <c r="K6632">
        <v>1.115564</v>
      </c>
      <c r="L6632">
        <v>130.64709999999999</v>
      </c>
      <c r="M6632">
        <v>-0.81166490000000002</v>
      </c>
      <c r="N6632">
        <v>0</v>
      </c>
      <c r="O6632">
        <v>-0.58394990000000002</v>
      </c>
      <c r="P6632">
        <v>-0.79180919999999999</v>
      </c>
      <c r="Q6632">
        <v>5.9984129999999997E-2</v>
      </c>
      <c r="R6632">
        <v>-0.60781609999999997</v>
      </c>
      <c r="S6632">
        <v>-1.8272710000000001</v>
      </c>
      <c r="T6632">
        <v>-0.1855977</v>
      </c>
      <c r="U6632">
        <v>-2.5919490000000001</v>
      </c>
      <c r="V6632">
        <v>-3.1873440000000003E-2</v>
      </c>
      <c r="W6632">
        <v>7.3800009999999999E-2</v>
      </c>
      <c r="X6632">
        <v>0.99676359999999997</v>
      </c>
      <c r="Y6632">
        <v>-0.3272272</v>
      </c>
      <c r="Z6632">
        <v>2.6155250000000001E-2</v>
      </c>
      <c r="AA6632">
        <v>0.94458370000000003</v>
      </c>
      <c r="AB6632">
        <v>18</v>
      </c>
      <c r="AC6632">
        <v>-10.8482</v>
      </c>
      <c r="AD6632">
        <v>-1.1155665100129999</v>
      </c>
      <c r="AE6632">
        <v>-15.469299999999899</v>
      </c>
      <c r="AF6632">
        <v>-6.2000984779886501</v>
      </c>
      <c r="AG6632">
        <v>-1.1155665100129999</v>
      </c>
      <c r="AH6632">
        <v>17.778229451643298</v>
      </c>
      <c r="AI6632">
        <v>93.390771126132506</v>
      </c>
      <c r="AJ6632">
        <v>109.226047953573</v>
      </c>
      <c r="AK6632">
        <v>18.861366658073798</v>
      </c>
      <c r="AL6632">
        <v>85.767723213480394</v>
      </c>
      <c r="AM6632">
        <v>91.831519051311602</v>
      </c>
      <c r="AN6632">
        <v>1.00000001596919</v>
      </c>
    </row>
    <row r="6633" spans="1:40" x14ac:dyDescent="0.25">
      <c r="A6633" t="str">
        <f>"20190312154055551"</f>
        <v>20190312154055551</v>
      </c>
      <c r="B6633" t="str">
        <f>"1552376455543428"</f>
        <v>1552376455543428</v>
      </c>
      <c r="C6633" t="s">
        <v>40</v>
      </c>
      <c r="D6633">
        <v>3.9811679999999998</v>
      </c>
      <c r="E6633">
        <v>0.35862110000000003</v>
      </c>
      <c r="F6633" t="s">
        <v>55</v>
      </c>
      <c r="G6633">
        <v>-414.8107</v>
      </c>
      <c r="H6633" s="1">
        <v>-2.3335779999999998E-6</v>
      </c>
      <c r="I6633">
        <v>122.1404</v>
      </c>
      <c r="J6633">
        <v>-409.70699999999999</v>
      </c>
      <c r="K6633">
        <v>1.115569</v>
      </c>
      <c r="L6633">
        <v>130.5369</v>
      </c>
      <c r="M6633">
        <v>-0.80565010000000004</v>
      </c>
      <c r="N6633">
        <v>0</v>
      </c>
      <c r="O6633">
        <v>-0.59222019999999997</v>
      </c>
      <c r="P6633">
        <v>-0.78486800000000001</v>
      </c>
      <c r="Q6633">
        <v>5.950809E-2</v>
      </c>
      <c r="R6633">
        <v>-0.61679919999999899</v>
      </c>
      <c r="S6633">
        <v>-1.69824199999999</v>
      </c>
      <c r="T6633">
        <v>-0.36181740000000001</v>
      </c>
      <c r="U6633">
        <v>-2.7590479999999999</v>
      </c>
      <c r="V6633">
        <v>-3.3012439999999997E-2</v>
      </c>
      <c r="W6633">
        <v>7.3322540000000005E-2</v>
      </c>
      <c r="X6633">
        <v>0.99676169999999997</v>
      </c>
      <c r="Y6633">
        <v>-0.37644549999999999</v>
      </c>
      <c r="Z6633">
        <v>4.8354519999999998E-2</v>
      </c>
      <c r="AA6633">
        <v>0.925176</v>
      </c>
      <c r="AB6633">
        <v>18</v>
      </c>
      <c r="AC6633">
        <v>-5.1036999999999999</v>
      </c>
      <c r="AD6633">
        <v>-1.115571333578</v>
      </c>
      <c r="AE6633">
        <v>-8.3964999999999996</v>
      </c>
      <c r="AF6633">
        <v>-3.6948806269155798</v>
      </c>
      <c r="AG6633">
        <v>-1.115571333578</v>
      </c>
      <c r="AH6633">
        <v>8.9696786161037796</v>
      </c>
      <c r="AI6633">
        <v>96.560015237304995</v>
      </c>
      <c r="AJ6633">
        <v>112.388237265771</v>
      </c>
      <c r="AK6633">
        <v>9.7648234353543995</v>
      </c>
      <c r="AL6633">
        <v>85.795154276588207</v>
      </c>
      <c r="AM6633">
        <v>91.896925156419002</v>
      </c>
      <c r="AN6633">
        <v>0.99999995132684605</v>
      </c>
    </row>
    <row r="6634" spans="1:40" x14ac:dyDescent="0.25">
      <c r="A6634" t="str">
        <f>"20190312154055572"</f>
        <v>20190312154055572</v>
      </c>
      <c r="B6634" t="str">
        <f>"1552376455562949"</f>
        <v>1552376455562949</v>
      </c>
      <c r="C6634" t="s">
        <v>40</v>
      </c>
      <c r="D6634">
        <v>3.9806659999999998</v>
      </c>
      <c r="E6634">
        <v>0.35904609999999998</v>
      </c>
      <c r="F6634" t="s">
        <v>55</v>
      </c>
      <c r="G6634">
        <v>-414.82010000000002</v>
      </c>
      <c r="H6634" s="1">
        <v>-2.2327830000000002E-6</v>
      </c>
      <c r="I6634">
        <v>121.8831</v>
      </c>
      <c r="J6634">
        <v>-409.83429999999998</v>
      </c>
      <c r="K6634">
        <v>1.1155649999999999</v>
      </c>
      <c r="L6634">
        <v>130.42859999999999</v>
      </c>
      <c r="M6634">
        <v>-0.79970149999999995</v>
      </c>
      <c r="N6634">
        <v>0</v>
      </c>
      <c r="O6634">
        <v>-0.60022849999999905</v>
      </c>
      <c r="P6634">
        <v>-0.77808159999999904</v>
      </c>
      <c r="Q6634">
        <v>5.8330140000000003E-2</v>
      </c>
      <c r="R6634">
        <v>-0.62544919999999904</v>
      </c>
      <c r="S6634">
        <v>-1.652161</v>
      </c>
      <c r="T6634">
        <v>-0.36046810000000001</v>
      </c>
      <c r="U6634">
        <v>-2.796265</v>
      </c>
      <c r="V6634">
        <v>-3.4033430000000003E-2</v>
      </c>
      <c r="W6634">
        <v>7.2143609999999997E-2</v>
      </c>
      <c r="X6634">
        <v>0.99681339999999996</v>
      </c>
      <c r="Y6634">
        <v>-0.38391989999999998</v>
      </c>
      <c r="Z6634">
        <v>4.8697989999999997E-2</v>
      </c>
      <c r="AA6634">
        <v>0.92208140000000005</v>
      </c>
      <c r="AB6634">
        <v>18</v>
      </c>
      <c r="AC6634">
        <v>-4.9858000000000402</v>
      </c>
      <c r="AD6634">
        <v>-1.115567232783</v>
      </c>
      <c r="AE6634">
        <v>-8.5454999999999899</v>
      </c>
      <c r="AF6634">
        <v>-3.79339133272165</v>
      </c>
      <c r="AG6634">
        <v>-1.115567232783</v>
      </c>
      <c r="AH6634">
        <v>9.0028689156993593</v>
      </c>
      <c r="AI6634">
        <v>96.514375353196797</v>
      </c>
      <c r="AJ6634">
        <v>112.84830061090901</v>
      </c>
      <c r="AK6634">
        <v>9.8329017470578108</v>
      </c>
      <c r="AL6634">
        <v>85.8628814314431</v>
      </c>
      <c r="AM6634">
        <v>91.955445966276599</v>
      </c>
      <c r="AN6634">
        <v>0.99999996462047702</v>
      </c>
    </row>
    <row r="6635" spans="1:40" x14ac:dyDescent="0.25">
      <c r="A6635" t="str">
        <f>"20190312154055595"</f>
        <v>20190312154055595</v>
      </c>
      <c r="B6635" t="str">
        <f>"1552376455593206"</f>
        <v>1552376455593206</v>
      </c>
      <c r="C6635" t="s">
        <v>40</v>
      </c>
      <c r="D6635">
        <v>3.8135400000000002</v>
      </c>
      <c r="E6635">
        <v>0.35810180000000003</v>
      </c>
      <c r="F6635" t="s">
        <v>55</v>
      </c>
      <c r="G6635">
        <v>-414.7629</v>
      </c>
      <c r="H6635" s="1">
        <v>-2.2537210000000001E-6</v>
      </c>
      <c r="I6635">
        <v>121.898</v>
      </c>
      <c r="J6635">
        <v>-409.9633</v>
      </c>
      <c r="K6635">
        <v>1.1155459999999999</v>
      </c>
      <c r="L6635">
        <v>130.31659999999999</v>
      </c>
      <c r="M6635">
        <v>-0.79351380000000005</v>
      </c>
      <c r="N6635">
        <v>0</v>
      </c>
      <c r="O6635">
        <v>-0.60838499999999995</v>
      </c>
      <c r="P6635">
        <v>-0.7713042</v>
      </c>
      <c r="Q6635">
        <v>5.6777569999999999E-2</v>
      </c>
      <c r="R6635">
        <v>-0.63392910000000002</v>
      </c>
      <c r="S6635">
        <v>-1.6238709999999901</v>
      </c>
      <c r="T6635">
        <v>-0.36755520000000003</v>
      </c>
      <c r="U6635">
        <v>-2.810654</v>
      </c>
      <c r="V6635">
        <v>-3.464805E-2</v>
      </c>
      <c r="W6635">
        <v>7.0594500000000004E-2</v>
      </c>
      <c r="X6635">
        <v>0.99690319999999999</v>
      </c>
      <c r="Y6635">
        <v>-0.38352540000000002</v>
      </c>
      <c r="Z6635">
        <v>5.0751940000000002E-2</v>
      </c>
      <c r="AA6635">
        <v>0.92213480000000003</v>
      </c>
      <c r="AB6635">
        <v>18</v>
      </c>
      <c r="AC6635">
        <v>-4.7995999999999901</v>
      </c>
      <c r="AD6635">
        <v>-1.115548253721</v>
      </c>
      <c r="AE6635">
        <v>-8.4185999999999908</v>
      </c>
      <c r="AF6635">
        <v>-3.7114703119932901</v>
      </c>
      <c r="AG6635">
        <v>-1.115548253721</v>
      </c>
      <c r="AH6635">
        <v>8.8144025023698003</v>
      </c>
      <c r="AI6635">
        <v>96.652987330676595</v>
      </c>
      <c r="AJ6635">
        <v>112.834443414316</v>
      </c>
      <c r="AK6635">
        <v>9.6287668606613703</v>
      </c>
      <c r="AL6635">
        <v>85.951866087908101</v>
      </c>
      <c r="AM6635">
        <v>91.990552615090095</v>
      </c>
      <c r="AN6635">
        <v>1.0000000304846399</v>
      </c>
    </row>
    <row r="6636" spans="1:40" x14ac:dyDescent="0.25">
      <c r="A6636" t="str">
        <f>"20190312154055618"</f>
        <v>20190312154055618</v>
      </c>
      <c r="B6636" t="str">
        <f>"1552376455612724"</f>
        <v>1552376455612724</v>
      </c>
      <c r="C6636" t="s">
        <v>40</v>
      </c>
      <c r="D6636">
        <v>3.7572030000000001</v>
      </c>
      <c r="E6636">
        <v>0.35838740000000002</v>
      </c>
      <c r="F6636" t="s">
        <v>55</v>
      </c>
      <c r="G6636">
        <v>-414.44720000000001</v>
      </c>
      <c r="H6636" s="1">
        <v>-2.4988250000000002E-6</v>
      </c>
      <c r="I6636">
        <v>122.3198</v>
      </c>
      <c r="J6636">
        <v>-410.09530000000001</v>
      </c>
      <c r="K6636">
        <v>1.1155120000000001</v>
      </c>
      <c r="L6636">
        <v>130.1994</v>
      </c>
      <c r="M6636">
        <v>-0.78701969999999899</v>
      </c>
      <c r="N6636">
        <v>0</v>
      </c>
      <c r="O6636">
        <v>-0.61676299999999995</v>
      </c>
      <c r="P6636">
        <v>-0.76422179999999995</v>
      </c>
      <c r="Q6636">
        <v>5.4827529999999999E-2</v>
      </c>
      <c r="R6636">
        <v>-0.64261919999999995</v>
      </c>
      <c r="S6636">
        <v>-1.5892029999999999</v>
      </c>
      <c r="T6636">
        <v>-0.39537499999999998</v>
      </c>
      <c r="U6636">
        <v>-2.8342290000000001</v>
      </c>
      <c r="V6636">
        <v>-3.5248950000000001E-2</v>
      </c>
      <c r="W6636">
        <v>6.8646579999999999E-2</v>
      </c>
      <c r="X6636">
        <v>0.99701819999999997</v>
      </c>
      <c r="Y6636">
        <v>-0.38574049999999999</v>
      </c>
      <c r="Z6636">
        <v>5.5549519999999998E-2</v>
      </c>
      <c r="AA6636">
        <v>0.92093349999999996</v>
      </c>
      <c r="AB6636">
        <v>18</v>
      </c>
      <c r="AC6636">
        <v>-4.3518999999999997</v>
      </c>
      <c r="AD6636">
        <v>-1.1155144988249901</v>
      </c>
      <c r="AE6636">
        <v>-7.8795999999999902</v>
      </c>
      <c r="AF6636">
        <v>-3.4644618751487499</v>
      </c>
      <c r="AG6636">
        <v>-1.1155144988249901</v>
      </c>
      <c r="AH6636">
        <v>8.1603963110029198</v>
      </c>
      <c r="AI6636">
        <v>97.171749932031204</v>
      </c>
      <c r="AJ6636">
        <v>113.003445435705</v>
      </c>
      <c r="AK6636">
        <v>8.9352636577819098</v>
      </c>
      <c r="AL6636">
        <v>86.063745307813804</v>
      </c>
      <c r="AM6636">
        <v>92.024812824095306</v>
      </c>
      <c r="AN6636">
        <v>1.0000000662765101</v>
      </c>
    </row>
    <row r="6637" spans="1:40" x14ac:dyDescent="0.25">
      <c r="A6637" t="str">
        <f>"20190312154055640"</f>
        <v>20190312154055640</v>
      </c>
      <c r="B6637" t="str">
        <f>"1552376455632517"</f>
        <v>1552376455632517</v>
      </c>
      <c r="C6637" t="s">
        <v>40</v>
      </c>
      <c r="D6637">
        <v>3.7696510000000001</v>
      </c>
      <c r="E6637">
        <v>0.35859809999999998</v>
      </c>
      <c r="F6637" t="s">
        <v>55</v>
      </c>
      <c r="G6637">
        <v>-414.298</v>
      </c>
      <c r="H6637" s="1">
        <v>-2.633805E-6</v>
      </c>
      <c r="I6637">
        <v>122.5201</v>
      </c>
      <c r="J6637">
        <v>-410.2208</v>
      </c>
      <c r="K6637">
        <v>1.115467</v>
      </c>
      <c r="L6637">
        <v>130.0855</v>
      </c>
      <c r="M6637">
        <v>-0.78069270000000002</v>
      </c>
      <c r="N6637">
        <v>0</v>
      </c>
      <c r="O6637">
        <v>-0.62475219999999998</v>
      </c>
      <c r="P6637">
        <v>-0.75791640000000005</v>
      </c>
      <c r="Q6637">
        <v>5.3821029999999999E-2</v>
      </c>
      <c r="R6637">
        <v>-0.65012780000000003</v>
      </c>
      <c r="S6637">
        <v>-1.5593570000000001</v>
      </c>
      <c r="T6637">
        <v>-0.41389510000000002</v>
      </c>
      <c r="U6637">
        <v>-2.8492890000000002</v>
      </c>
      <c r="V6637">
        <v>-3.486102E-2</v>
      </c>
      <c r="W6637">
        <v>6.7649929999999997E-2</v>
      </c>
      <c r="X6637">
        <v>0.99709990000000004</v>
      </c>
      <c r="Y6637">
        <v>-0.38592710000000002</v>
      </c>
      <c r="Z6637">
        <v>5.9305669999999998E-2</v>
      </c>
      <c r="AA6637">
        <v>0.92062100000000002</v>
      </c>
      <c r="AB6637">
        <v>18</v>
      </c>
      <c r="AC6637">
        <v>-4.0772000000000004</v>
      </c>
      <c r="AD6637">
        <v>-1.1154696338050001</v>
      </c>
      <c r="AE6637">
        <v>-7.5653999999999897</v>
      </c>
      <c r="AF6637">
        <v>-3.3036986874039602</v>
      </c>
      <c r="AG6637">
        <v>-1.1154696338050001</v>
      </c>
      <c r="AH6637">
        <v>7.7792910335072403</v>
      </c>
      <c r="AI6637">
        <v>97.518509907459006</v>
      </c>
      <c r="AJ6637">
        <v>113.009894285683</v>
      </c>
      <c r="AK6637">
        <v>8.5250258946880599</v>
      </c>
      <c r="AL6637">
        <v>86.120981979457298</v>
      </c>
      <c r="AM6637">
        <v>92.002383173460203</v>
      </c>
      <c r="AN6637">
        <v>1.0000000071622199</v>
      </c>
    </row>
    <row r="6638" spans="1:40" x14ac:dyDescent="0.25">
      <c r="A6638" t="str">
        <f>"20190312154055707"</f>
        <v>20190312154055707</v>
      </c>
      <c r="B6638" t="str">
        <f>"1552376455702789"</f>
        <v>1552376455702789</v>
      </c>
      <c r="C6638" t="s">
        <v>40</v>
      </c>
      <c r="D6638">
        <v>4.0779019999999999</v>
      </c>
      <c r="E6638">
        <v>0.37445129999999999</v>
      </c>
      <c r="F6638" t="s">
        <v>55</v>
      </c>
      <c r="G6638">
        <v>-414.25689999999997</v>
      </c>
      <c r="H6638" s="1">
        <v>-2.65954E-6</v>
      </c>
      <c r="I6638">
        <v>122.55159999999999</v>
      </c>
      <c r="J6638">
        <v>-410.59179999999998</v>
      </c>
      <c r="K6638">
        <v>1.115361</v>
      </c>
      <c r="L6638">
        <v>129.73490000000001</v>
      </c>
      <c r="M6638">
        <v>-0.76118619999999904</v>
      </c>
      <c r="N6638">
        <v>0</v>
      </c>
      <c r="O6638">
        <v>-0.64837630000000002</v>
      </c>
      <c r="P6638">
        <v>-0.73540740000000004</v>
      </c>
      <c r="Q6638">
        <v>5.4422110000000003E-2</v>
      </c>
      <c r="R6638">
        <v>-0.6754365</v>
      </c>
      <c r="S6638">
        <v>-1.5332950000000001</v>
      </c>
      <c r="T6638">
        <v>-0.42376059999999999</v>
      </c>
      <c r="U6638">
        <v>-2.8620610000000002</v>
      </c>
      <c r="V6638">
        <v>-3.8120969999999997E-2</v>
      </c>
      <c r="W6638">
        <v>6.8216059999999995E-2</v>
      </c>
      <c r="X6638">
        <v>0.99694199999999999</v>
      </c>
      <c r="Y6638">
        <v>-0.36604920000000002</v>
      </c>
      <c r="Z6638">
        <v>6.5387249999999994E-2</v>
      </c>
      <c r="AA6638">
        <v>0.92829550000000005</v>
      </c>
      <c r="AB6638">
        <v>17</v>
      </c>
      <c r="AC6638">
        <v>-3.66509999999999</v>
      </c>
      <c r="AD6638">
        <v>-1.1153636595400001</v>
      </c>
      <c r="AE6638">
        <v>-7.1833000000000098</v>
      </c>
      <c r="AF6638">
        <v>-3.0337461603200899</v>
      </c>
      <c r="AG6638">
        <v>-1.1153636595400001</v>
      </c>
      <c r="AH6638">
        <v>7.3082613172727999</v>
      </c>
      <c r="AI6638">
        <v>98.023255147499199</v>
      </c>
      <c r="AJ6638">
        <v>112.543918709724</v>
      </c>
      <c r="AK6638">
        <v>7.9911410536809697</v>
      </c>
      <c r="AL6638">
        <v>86.088469966687597</v>
      </c>
      <c r="AM6638">
        <v>92.189803525024999</v>
      </c>
      <c r="AN6638">
        <v>0.99999999527983197</v>
      </c>
    </row>
    <row r="6639" spans="1:40" x14ac:dyDescent="0.25">
      <c r="A6639" t="str">
        <f>"20190312154055730"</f>
        <v>20190312154055730</v>
      </c>
      <c r="B6639" t="str">
        <f>"1552376455722816"</f>
        <v>1552376455722816</v>
      </c>
      <c r="C6639" t="s">
        <v>40</v>
      </c>
      <c r="D6639">
        <v>4.0908790000000002</v>
      </c>
      <c r="E6639">
        <v>0.3762895</v>
      </c>
      <c r="F6639" t="s">
        <v>55</v>
      </c>
      <c r="G6639">
        <v>-415.30799999999999</v>
      </c>
      <c r="H6639" s="1">
        <v>-1.777794E-6</v>
      </c>
      <c r="I6639">
        <v>121.0317</v>
      </c>
      <c r="J6639">
        <v>-410.71440000000001</v>
      </c>
      <c r="K6639">
        <v>1.1153360000000001</v>
      </c>
      <c r="L6639">
        <v>129.61429999999999</v>
      </c>
      <c r="M6639">
        <v>-0.75447419999999898</v>
      </c>
      <c r="N6639">
        <v>0</v>
      </c>
      <c r="O6639">
        <v>-0.65617460000000005</v>
      </c>
      <c r="P6639">
        <v>-0.7271145</v>
      </c>
      <c r="Q6639">
        <v>5.4957699999999998E-2</v>
      </c>
      <c r="R6639">
        <v>-0.68431319999999995</v>
      </c>
      <c r="S6639">
        <v>-1.5236209999999999</v>
      </c>
      <c r="T6639">
        <v>-0.36033130000000002</v>
      </c>
      <c r="U6639">
        <v>-2.811661</v>
      </c>
      <c r="V6639">
        <v>-3.9992010000000001E-2</v>
      </c>
      <c r="W6639">
        <v>6.8727460000000004E-2</v>
      </c>
      <c r="X6639">
        <v>0.99683359999999999</v>
      </c>
      <c r="Y6639">
        <v>-0.35175970000000001</v>
      </c>
      <c r="Z6639">
        <v>5.82248E-2</v>
      </c>
      <c r="AA6639">
        <v>0.93427780000000005</v>
      </c>
      <c r="AB6639">
        <v>17</v>
      </c>
      <c r="AC6639">
        <v>-4.5936000000000297</v>
      </c>
      <c r="AD6639">
        <v>-1.1153377777939999</v>
      </c>
      <c r="AE6639">
        <v>-8.5825999999999798</v>
      </c>
      <c r="AF6639">
        <v>-3.4166473847149499</v>
      </c>
      <c r="AG6639">
        <v>-1.1153377777939999</v>
      </c>
      <c r="AH6639">
        <v>8.9804729559258103</v>
      </c>
      <c r="AI6639">
        <v>96.621193140678997</v>
      </c>
      <c r="AJ6639">
        <v>110.82946485067799</v>
      </c>
      <c r="AK6639">
        <v>9.6729701861511401</v>
      </c>
      <c r="AL6639">
        <v>86.059100093535903</v>
      </c>
      <c r="AM6639">
        <v>92.297419772515397</v>
      </c>
      <c r="AN6639">
        <v>1.00000002535542</v>
      </c>
    </row>
    <row r="6640" spans="1:40" x14ac:dyDescent="0.25">
      <c r="A6640" t="str">
        <f>"20190312154055752"</f>
        <v>20190312154055752</v>
      </c>
      <c r="B6640" t="str">
        <f>"1552376455743312"</f>
        <v>1552376455743312</v>
      </c>
      <c r="C6640" t="s">
        <v>40</v>
      </c>
      <c r="D6640">
        <v>4.1840419999999998</v>
      </c>
      <c r="E6640">
        <v>0.37792110000000001</v>
      </c>
      <c r="F6640" t="s">
        <v>55</v>
      </c>
      <c r="G6640">
        <v>-415.5317</v>
      </c>
      <c r="H6640" s="1">
        <v>-1.537848E-6</v>
      </c>
      <c r="I6640">
        <v>120.5594</v>
      </c>
      <c r="J6640">
        <v>-410.83139999999997</v>
      </c>
      <c r="K6640">
        <v>1.1153109999999999</v>
      </c>
      <c r="L6640">
        <v>129.49680000000001</v>
      </c>
      <c r="M6640">
        <v>-0.74793089999999995</v>
      </c>
      <c r="N6640">
        <v>0</v>
      </c>
      <c r="O6640">
        <v>-0.66362330000000003</v>
      </c>
      <c r="P6640">
        <v>-0.71915459999999998</v>
      </c>
      <c r="Q6640">
        <v>5.5658270000000003E-2</v>
      </c>
      <c r="R6640">
        <v>-0.69261740000000005</v>
      </c>
      <c r="S6640">
        <v>-1.499512</v>
      </c>
      <c r="T6640">
        <v>-0.34717160000000002</v>
      </c>
      <c r="U6640">
        <v>-2.8185419999999999</v>
      </c>
      <c r="V6640">
        <v>-4.159471E-2</v>
      </c>
      <c r="W6640">
        <v>6.9405819999999993E-2</v>
      </c>
      <c r="X6640">
        <v>0.99672099999999997</v>
      </c>
      <c r="Y6640">
        <v>-0.34960269999999999</v>
      </c>
      <c r="Z6640">
        <v>5.72398E-2</v>
      </c>
      <c r="AA6640">
        <v>0.93514790000000003</v>
      </c>
      <c r="AB6640">
        <v>17</v>
      </c>
      <c r="AC6640">
        <v>-4.7003000000000199</v>
      </c>
      <c r="AD6640">
        <v>-1.115312537848</v>
      </c>
      <c r="AE6640">
        <v>-8.9374000000000091</v>
      </c>
      <c r="AF6640">
        <v>-3.5227185044010998</v>
      </c>
      <c r="AG6640">
        <v>-1.115312537848</v>
      </c>
      <c r="AH6640">
        <v>9.3336671909416999</v>
      </c>
      <c r="AI6640">
        <v>96.378953047284298</v>
      </c>
      <c r="AJ6640">
        <v>110.67754097884399</v>
      </c>
      <c r="AK6640">
        <v>10.0384665636536</v>
      </c>
      <c r="AL6640">
        <v>86.020139871543293</v>
      </c>
      <c r="AM6640">
        <v>92.389654989675805</v>
      </c>
      <c r="AN6640">
        <v>1.00000001979542</v>
      </c>
    </row>
    <row r="6641" spans="1:40" x14ac:dyDescent="0.25">
      <c r="A6641" t="str">
        <f>"20190312154055773"</f>
        <v>20190312154055773</v>
      </c>
      <c r="B6641" t="str">
        <f>"1552376455762832"</f>
        <v>1552376455762832</v>
      </c>
      <c r="C6641" t="s">
        <v>40</v>
      </c>
      <c r="D6641">
        <v>4.0884179999999999</v>
      </c>
      <c r="E6641">
        <v>0.37608320000000001</v>
      </c>
      <c r="F6641" t="s">
        <v>55</v>
      </c>
      <c r="G6641">
        <v>-415.6952</v>
      </c>
      <c r="H6641" s="1">
        <v>-1.3494130000000001E-6</v>
      </c>
      <c r="I6641">
        <v>120.1799</v>
      </c>
      <c r="J6641">
        <v>-410.94940000000003</v>
      </c>
      <c r="K6641">
        <v>1.1152899999999999</v>
      </c>
      <c r="L6641">
        <v>129.37610000000001</v>
      </c>
      <c r="M6641">
        <v>-0.74120319999999995</v>
      </c>
      <c r="N6641">
        <v>0</v>
      </c>
      <c r="O6641">
        <v>-0.67112919999999998</v>
      </c>
      <c r="P6641">
        <v>-0.71136809999999995</v>
      </c>
      <c r="Q6641">
        <v>5.604526E-2</v>
      </c>
      <c r="R6641">
        <v>-0.70058140000000002</v>
      </c>
      <c r="S6641">
        <v>-1.4755549999999999</v>
      </c>
      <c r="T6641">
        <v>-0.3383582</v>
      </c>
      <c r="U6641">
        <v>-2.8265229999999999</v>
      </c>
      <c r="V6641">
        <v>-4.2665790000000002E-2</v>
      </c>
      <c r="W6641">
        <v>6.9777320000000004E-2</v>
      </c>
      <c r="X6641">
        <v>0.99664969999999997</v>
      </c>
      <c r="Y6641">
        <v>-0.34744399999999998</v>
      </c>
      <c r="Z6641">
        <v>5.6883120000000002E-2</v>
      </c>
      <c r="AA6641">
        <v>0.93597379999999997</v>
      </c>
      <c r="AB6641">
        <v>17</v>
      </c>
      <c r="AC6641">
        <v>-4.7457999999999698</v>
      </c>
      <c r="AD6641">
        <v>-1.1152913494129999</v>
      </c>
      <c r="AE6641">
        <v>-9.1961999999999993</v>
      </c>
      <c r="AF6641">
        <v>-3.5898810527964899</v>
      </c>
      <c r="AG6641">
        <v>-1.1152913494129999</v>
      </c>
      <c r="AH6641">
        <v>9.5791647586368107</v>
      </c>
      <c r="AI6641">
        <v>96.222061770240998</v>
      </c>
      <c r="AJ6641">
        <v>110.543953300422</v>
      </c>
      <c r="AK6641">
        <v>10.290360452404499</v>
      </c>
      <c r="AL6641">
        <v>85.998802416594103</v>
      </c>
      <c r="AM6641">
        <v>92.451290565666199</v>
      </c>
      <c r="AN6641">
        <v>0.999999934266396</v>
      </c>
    </row>
    <row r="6642" spans="1:40" x14ac:dyDescent="0.25">
      <c r="A6642" t="str">
        <f>"20190312154055796"</f>
        <v>20190312154055796</v>
      </c>
      <c r="B6642" t="str">
        <f>"1552376455793089"</f>
        <v>1552376455793089</v>
      </c>
      <c r="C6642" t="s">
        <v>40</v>
      </c>
      <c r="D6642">
        <v>4.1801300000000001</v>
      </c>
      <c r="E6642">
        <v>0.37587530000000002</v>
      </c>
      <c r="F6642" t="s">
        <v>42</v>
      </c>
      <c r="G6642">
        <v>-416.15339999999998</v>
      </c>
      <c r="H6642" s="1">
        <v>-4.7155549999999996E-6</v>
      </c>
      <c r="I6642">
        <v>119.0343</v>
      </c>
      <c r="J6642">
        <v>-411.06779999999998</v>
      </c>
      <c r="K6642">
        <v>1.1152690000000001</v>
      </c>
      <c r="L6642">
        <v>129.25239999999999</v>
      </c>
      <c r="M6642">
        <v>-0.73430569999999995</v>
      </c>
      <c r="N6642">
        <v>0</v>
      </c>
      <c r="O6642">
        <v>-0.67866959999999998</v>
      </c>
      <c r="P6642">
        <v>-0.70386519999999997</v>
      </c>
      <c r="Q6642">
        <v>5.6652109999999999E-2</v>
      </c>
      <c r="R6642">
        <v>-0.70807119999999901</v>
      </c>
      <c r="S6642">
        <v>-1.434326</v>
      </c>
      <c r="T6642">
        <v>-0.30739889999999997</v>
      </c>
      <c r="U6642">
        <v>-2.850403</v>
      </c>
      <c r="V6642">
        <v>-4.3064119999999997E-2</v>
      </c>
      <c r="W6642">
        <v>7.0375709999999994E-2</v>
      </c>
      <c r="X6642">
        <v>0.99659059999999999</v>
      </c>
      <c r="Y6642">
        <v>-0.35166969999999997</v>
      </c>
      <c r="Z6642">
        <v>5.2353799999999999E-2</v>
      </c>
      <c r="AA6642">
        <v>0.93465900000000002</v>
      </c>
      <c r="AB6642">
        <v>17</v>
      </c>
      <c r="AC6642">
        <v>-5.0856000000000003</v>
      </c>
      <c r="AD6642">
        <v>-1.1152737155550001</v>
      </c>
      <c r="AE6642">
        <v>-10.2180999999999</v>
      </c>
      <c r="AF6642">
        <v>-4.0138537277900097</v>
      </c>
      <c r="AG6642">
        <v>-1.1152737155550001</v>
      </c>
      <c r="AH6642">
        <v>10.569265926208301</v>
      </c>
      <c r="AI6642">
        <v>95.633796919756307</v>
      </c>
      <c r="AJ6642">
        <v>110.795102484457</v>
      </c>
      <c r="AK6642">
        <v>11.3606443227314</v>
      </c>
      <c r="AL6642">
        <v>85.964433131910695</v>
      </c>
      <c r="AM6642">
        <v>92.474294172415199</v>
      </c>
      <c r="AN6642">
        <v>1.0000000414988599</v>
      </c>
    </row>
    <row r="6643" spans="1:40" x14ac:dyDescent="0.25">
      <c r="A6643" t="str">
        <f>"20190312154055819"</f>
        <v>20190312154055819</v>
      </c>
      <c r="B6643" t="str">
        <f>"1552376455812608"</f>
        <v>1552376455812608</v>
      </c>
      <c r="C6643" t="s">
        <v>40</v>
      </c>
      <c r="D6643">
        <v>4.1791960000000001</v>
      </c>
      <c r="E6643">
        <v>0.378471</v>
      </c>
      <c r="F6643" t="s">
        <v>42</v>
      </c>
      <c r="G6643">
        <v>-416.62619999999998</v>
      </c>
      <c r="H6643" s="1">
        <v>-4.1494459999999996E-6</v>
      </c>
      <c r="I6643">
        <v>117.9102</v>
      </c>
      <c r="J6643">
        <v>-411.18259999999998</v>
      </c>
      <c r="K6643">
        <v>1.11524</v>
      </c>
      <c r="L6643">
        <v>129.13</v>
      </c>
      <c r="M6643">
        <v>-0.72746880000000003</v>
      </c>
      <c r="N6643">
        <v>0</v>
      </c>
      <c r="O6643">
        <v>-0.68599279999999996</v>
      </c>
      <c r="P6643">
        <v>-0.69708959999999998</v>
      </c>
      <c r="Q6643">
        <v>5.6548670000000002E-2</v>
      </c>
      <c r="R6643">
        <v>-0.71475059999999901</v>
      </c>
      <c r="S6643">
        <v>-1.4035949999999999</v>
      </c>
      <c r="T6643">
        <v>-0.2816282</v>
      </c>
      <c r="U6643">
        <v>-2.8641359999999998</v>
      </c>
      <c r="V6643">
        <v>-4.2571629999999999E-2</v>
      </c>
      <c r="W6643">
        <v>7.0275820000000003E-2</v>
      </c>
      <c r="X6643">
        <v>0.99661869999999997</v>
      </c>
      <c r="Y6643">
        <v>-0.35204010000000002</v>
      </c>
      <c r="Z6643">
        <v>4.8751910000000002E-2</v>
      </c>
      <c r="AA6643">
        <v>0.93471439999999995</v>
      </c>
      <c r="AB6643">
        <v>17</v>
      </c>
      <c r="AC6643">
        <v>-5.4436</v>
      </c>
      <c r="AD6643">
        <v>-1.1152441494459999</v>
      </c>
      <c r="AE6643">
        <v>-11.2197999999999</v>
      </c>
      <c r="AF6643">
        <v>-4.3930990672026402</v>
      </c>
      <c r="AG6643">
        <v>-1.1152441494459999</v>
      </c>
      <c r="AH6643">
        <v>11.5654382202503</v>
      </c>
      <c r="AI6643">
        <v>95.150997656727895</v>
      </c>
      <c r="AJ6643">
        <v>110.799139391569</v>
      </c>
      <c r="AK6643">
        <v>12.4218537325778</v>
      </c>
      <c r="AL6643">
        <v>85.970170178215</v>
      </c>
      <c r="AM6643">
        <v>92.445963327164904</v>
      </c>
      <c r="AN6643">
        <v>0.99999993387360697</v>
      </c>
    </row>
    <row r="6644" spans="1:40" x14ac:dyDescent="0.25">
      <c r="A6644" t="str">
        <f>"20190312154055841"</f>
        <v>20190312154055841</v>
      </c>
      <c r="B6644" t="str">
        <f>"1552376455832635"</f>
        <v>1552376455832635</v>
      </c>
      <c r="C6644" t="s">
        <v>40</v>
      </c>
      <c r="D6644">
        <v>4.2070080000000001</v>
      </c>
      <c r="E6644">
        <v>0.38070749999999998</v>
      </c>
      <c r="F6644" t="s">
        <v>42</v>
      </c>
      <c r="G6644">
        <v>-416.62700000000001</v>
      </c>
      <c r="H6644" s="1">
        <v>-4.1560529999999997E-6</v>
      </c>
      <c r="I6644">
        <v>117.9259</v>
      </c>
      <c r="J6644">
        <v>-411.29640000000001</v>
      </c>
      <c r="K6644">
        <v>1.115227</v>
      </c>
      <c r="L6644">
        <v>129.006</v>
      </c>
      <c r="M6644">
        <v>-0.7205319</v>
      </c>
      <c r="N6644">
        <v>0</v>
      </c>
      <c r="O6644">
        <v>-0.69327559999999999</v>
      </c>
      <c r="P6644">
        <v>-0.69026829999999995</v>
      </c>
      <c r="Q6644">
        <v>5.5298100000000003E-2</v>
      </c>
      <c r="R6644">
        <v>-0.72143729999999995</v>
      </c>
      <c r="S6644">
        <v>-1.391235</v>
      </c>
      <c r="T6644">
        <v>-0.28498179999999901</v>
      </c>
      <c r="U6644">
        <v>-2.8630070000000001</v>
      </c>
      <c r="V6644">
        <v>-4.2066319999999997E-2</v>
      </c>
      <c r="W6644">
        <v>6.9029060000000003E-2</v>
      </c>
      <c r="X6644">
        <v>0.99672729999999998</v>
      </c>
      <c r="Y6644">
        <v>-0.34577540000000001</v>
      </c>
      <c r="Z6644">
        <v>5.0411669999999999E-2</v>
      </c>
      <c r="AA6644">
        <v>0.93696210000000002</v>
      </c>
      <c r="AB6644">
        <v>17</v>
      </c>
      <c r="AC6644">
        <v>-5.3305999999999401</v>
      </c>
      <c r="AD6644">
        <v>-1.1152311560529999</v>
      </c>
      <c r="AE6644">
        <v>-11.0801</v>
      </c>
      <c r="AF6644">
        <v>-4.2534336903240604</v>
      </c>
      <c r="AG6644">
        <v>-1.1152311560529999</v>
      </c>
      <c r="AH6644">
        <v>11.429571095167301</v>
      </c>
      <c r="AI6644">
        <v>95.225004574712003</v>
      </c>
      <c r="AJ6644">
        <v>110.412392788381</v>
      </c>
      <c r="AK6644">
        <v>12.246245714866999</v>
      </c>
      <c r="AL6644">
        <v>86.041778244637996</v>
      </c>
      <c r="AM6644">
        <v>92.416702222945403</v>
      </c>
      <c r="AN6644">
        <v>0.99999994848405604</v>
      </c>
    </row>
    <row r="6645" spans="1:40" x14ac:dyDescent="0.25">
      <c r="A6645" t="str">
        <f>"20190312154055863"</f>
        <v>20190312154055863</v>
      </c>
      <c r="B6645" t="str">
        <f>"1552376455853131"</f>
        <v>1552376455853131</v>
      </c>
      <c r="C6645" t="s">
        <v>40</v>
      </c>
      <c r="D6645">
        <v>4.1868109999999996</v>
      </c>
      <c r="E6645">
        <v>0.38274350000000001</v>
      </c>
      <c r="F6645" t="s">
        <v>42</v>
      </c>
      <c r="G6645">
        <v>-416.57690000000002</v>
      </c>
      <c r="H6645" s="1">
        <v>-4.2035160000000001E-6</v>
      </c>
      <c r="I6645">
        <v>118.0159</v>
      </c>
      <c r="J6645">
        <v>-411.40949999999998</v>
      </c>
      <c r="K6645">
        <v>1.1152139999999999</v>
      </c>
      <c r="L6645">
        <v>128.88030000000001</v>
      </c>
      <c r="M6645">
        <v>-0.7134897</v>
      </c>
      <c r="N6645">
        <v>0</v>
      </c>
      <c r="O6645">
        <v>-0.70052109999999901</v>
      </c>
      <c r="P6645">
        <v>-0.68298479999999995</v>
      </c>
      <c r="Q6645">
        <v>5.566426E-2</v>
      </c>
      <c r="R6645">
        <v>-0.72830859999999997</v>
      </c>
      <c r="S6645">
        <v>-1.376099</v>
      </c>
      <c r="T6645">
        <v>-0.29063149999999999</v>
      </c>
      <c r="U6645">
        <v>-2.8640439999999998</v>
      </c>
      <c r="V6645">
        <v>-4.1990649999999997E-2</v>
      </c>
      <c r="W6645">
        <v>6.9392490000000001E-2</v>
      </c>
      <c r="X6645">
        <v>0.99670530000000002</v>
      </c>
      <c r="Y6645">
        <v>-0.34049170000000001</v>
      </c>
      <c r="Z6645">
        <v>5.2458400000000002E-2</v>
      </c>
      <c r="AA6645">
        <v>0.93878300000000003</v>
      </c>
      <c r="AB6645">
        <v>17</v>
      </c>
      <c r="AC6645">
        <v>-5.1674000000000397</v>
      </c>
      <c r="AD6645">
        <v>-1.1152182035160001</v>
      </c>
      <c r="AE6645">
        <v>-10.8644</v>
      </c>
      <c r="AF6645">
        <v>-4.0969785450048102</v>
      </c>
      <c r="AG6645">
        <v>-1.1152182035160001</v>
      </c>
      <c r="AH6645">
        <v>11.202510944544199</v>
      </c>
      <c r="AI6645">
        <v>95.341308183330696</v>
      </c>
      <c r="AJ6645">
        <v>110.08845990116799</v>
      </c>
      <c r="AK6645">
        <v>11.98020017789</v>
      </c>
      <c r="AL6645">
        <v>86.020905366153002</v>
      </c>
      <c r="AM6645">
        <v>92.412413320430602</v>
      </c>
      <c r="AN6645">
        <v>0.99999999370195602</v>
      </c>
    </row>
    <row r="6646" spans="1:40" x14ac:dyDescent="0.25">
      <c r="A6646" t="str">
        <f>"20190312154055886"</f>
        <v>20190312154055886</v>
      </c>
      <c r="B6646" t="str">
        <f>"1552376455883387"</f>
        <v>1552376455883387</v>
      </c>
      <c r="C6646" t="s">
        <v>40</v>
      </c>
      <c r="D6646">
        <v>4.2246050000000004</v>
      </c>
      <c r="E6646">
        <v>0.38458710000000002</v>
      </c>
      <c r="F6646" t="s">
        <v>42</v>
      </c>
      <c r="G6646">
        <v>-416.65050000000002</v>
      </c>
      <c r="H6646" s="1">
        <v>-4.107266E-6</v>
      </c>
      <c r="I6646">
        <v>117.8219</v>
      </c>
      <c r="J6646">
        <v>-411.51929999999999</v>
      </c>
      <c r="K6646">
        <v>1.1152089999999999</v>
      </c>
      <c r="L6646">
        <v>128.7559</v>
      </c>
      <c r="M6646">
        <v>-0.70650599999999997</v>
      </c>
      <c r="N6646">
        <v>0</v>
      </c>
      <c r="O6646">
        <v>-0.70756379999999996</v>
      </c>
      <c r="P6646">
        <v>-0.67497229999999997</v>
      </c>
      <c r="Q6646">
        <v>5.7668280000000002E-2</v>
      </c>
      <c r="R6646">
        <v>-0.73558579999999996</v>
      </c>
      <c r="S6646">
        <v>-1.358795</v>
      </c>
      <c r="T6646">
        <v>-0.28913729999999999</v>
      </c>
      <c r="U6646">
        <v>-2.8670499999999999</v>
      </c>
      <c r="V6646">
        <v>-4.2925619999999998E-2</v>
      </c>
      <c r="W6646">
        <v>7.1380719999999995E-2</v>
      </c>
      <c r="X6646">
        <v>0.99652499999999999</v>
      </c>
      <c r="Y6646">
        <v>-0.33617960000000002</v>
      </c>
      <c r="Z6646">
        <v>5.3169439999999998E-2</v>
      </c>
      <c r="AA6646">
        <v>0.94029589999999996</v>
      </c>
      <c r="AB6646">
        <v>17</v>
      </c>
      <c r="AC6646">
        <v>-5.13120000000003</v>
      </c>
      <c r="AD6646">
        <v>-1.1152131072660001</v>
      </c>
      <c r="AE6646">
        <v>-10.9339999999999</v>
      </c>
      <c r="AF6646">
        <v>-4.0600864322830104</v>
      </c>
      <c r="AG6646">
        <v>-1.1152131072660001</v>
      </c>
      <c r="AH6646">
        <v>11.2668237960936</v>
      </c>
      <c r="AI6646">
        <v>95.320059727776595</v>
      </c>
      <c r="AJ6646">
        <v>109.817016363653</v>
      </c>
      <c r="AK6646">
        <v>12.0278560252627</v>
      </c>
      <c r="AL6646">
        <v>85.906704720898105</v>
      </c>
      <c r="AM6646">
        <v>92.466508507947907</v>
      </c>
      <c r="AN6646">
        <v>0.99999994583254903</v>
      </c>
    </row>
    <row r="6647" spans="1:40" x14ac:dyDescent="0.25">
      <c r="A6647" t="str">
        <f>"20190312154055909"</f>
        <v>20190312154055909</v>
      </c>
      <c r="B6647" t="str">
        <f>"1552376455902908"</f>
        <v>1552376455902908</v>
      </c>
      <c r="C6647" t="s">
        <v>40</v>
      </c>
      <c r="D6647">
        <v>4.243385</v>
      </c>
      <c r="E6647">
        <v>0.38559589999999999</v>
      </c>
      <c r="F6647" t="s">
        <v>42</v>
      </c>
      <c r="G6647">
        <v>-416.85489999999999</v>
      </c>
      <c r="H6647" s="1">
        <v>-3.8534149999999996E-6</v>
      </c>
      <c r="I6647">
        <v>117.3147</v>
      </c>
      <c r="J6647">
        <v>-411.63299999999998</v>
      </c>
      <c r="K6647">
        <v>1.1151960000000001</v>
      </c>
      <c r="L6647">
        <v>128.62450000000001</v>
      </c>
      <c r="M6647">
        <v>-0.69911350000000005</v>
      </c>
      <c r="N6647">
        <v>0</v>
      </c>
      <c r="O6647">
        <v>-0.71486910000000004</v>
      </c>
      <c r="P6647">
        <v>-0.66649759999999902</v>
      </c>
      <c r="Q6647">
        <v>5.9041509999999998E-2</v>
      </c>
      <c r="R6647">
        <v>-0.74316559999999998</v>
      </c>
      <c r="S6647">
        <v>-1.3391109999999999</v>
      </c>
      <c r="T6647">
        <v>-0.27989700000000001</v>
      </c>
      <c r="U6647">
        <v>-2.871521</v>
      </c>
      <c r="V6647">
        <v>-4.3926750000000001E-2</v>
      </c>
      <c r="W6647">
        <v>7.2737599999999999E-2</v>
      </c>
      <c r="X6647">
        <v>0.99638329999999997</v>
      </c>
      <c r="Y6647">
        <v>-0.3322116</v>
      </c>
      <c r="Z6647">
        <v>5.2438989999999998E-2</v>
      </c>
      <c r="AA6647">
        <v>0.94174610000000003</v>
      </c>
      <c r="AB6647">
        <v>17</v>
      </c>
      <c r="AC6647">
        <v>-5.2218999999999403</v>
      </c>
      <c r="AD6647">
        <v>-1.1151998534149901</v>
      </c>
      <c r="AE6647">
        <v>-11.309799999999999</v>
      </c>
      <c r="AF6647">
        <v>-4.1410932294888001</v>
      </c>
      <c r="AG6647">
        <v>-1.1151998534149901</v>
      </c>
      <c r="AH6647">
        <v>11.6435993790301</v>
      </c>
      <c r="AI6647">
        <v>95.1564370130762</v>
      </c>
      <c r="AJ6647">
        <v>109.578135430934</v>
      </c>
      <c r="AK6647">
        <v>12.408292805528299</v>
      </c>
      <c r="AL6647">
        <v>85.828758804215497</v>
      </c>
      <c r="AM6647">
        <v>92.524318428045305</v>
      </c>
      <c r="AN6647">
        <v>0.99999999916910598</v>
      </c>
    </row>
    <row r="6648" spans="1:40" x14ac:dyDescent="0.25">
      <c r="A6648" t="str">
        <f>"20190312154055931"</f>
        <v>20190312154055931</v>
      </c>
      <c r="B6648" t="str">
        <f>"1552376455922933"</f>
        <v>1552376455922933</v>
      </c>
      <c r="C6648" t="s">
        <v>40</v>
      </c>
      <c r="D6648">
        <v>4.2609300000000001</v>
      </c>
      <c r="E6648">
        <v>0.38666109999999998</v>
      </c>
      <c r="F6648" t="s">
        <v>42</v>
      </c>
      <c r="G6648">
        <v>-416.98480000000001</v>
      </c>
      <c r="H6648" s="1">
        <v>-3.6436370000000001E-6</v>
      </c>
      <c r="I6648">
        <v>116.8794</v>
      </c>
      <c r="J6648">
        <v>-411.74029999999999</v>
      </c>
      <c r="K6648">
        <v>1.1151899999999999</v>
      </c>
      <c r="L6648">
        <v>128.49780000000001</v>
      </c>
      <c r="M6648">
        <v>-0.69198139999999997</v>
      </c>
      <c r="N6648">
        <v>0</v>
      </c>
      <c r="O6648">
        <v>-0.72177530000000001</v>
      </c>
      <c r="P6648">
        <v>-0.65905689999999995</v>
      </c>
      <c r="Q6648">
        <v>5.93172E-2</v>
      </c>
      <c r="R6648">
        <v>-0.74975009999999997</v>
      </c>
      <c r="S6648">
        <v>-1.3128359999999999</v>
      </c>
      <c r="T6648">
        <v>-0.27356599999999998</v>
      </c>
      <c r="U6648">
        <v>-2.8811339999999999</v>
      </c>
      <c r="V6648">
        <v>-4.395106E-2</v>
      </c>
      <c r="W6648">
        <v>7.3009630000000006E-2</v>
      </c>
      <c r="X6648">
        <v>0.99636230000000003</v>
      </c>
      <c r="Y6648">
        <v>-0.33112249999999999</v>
      </c>
      <c r="Z6648">
        <v>5.2030840000000002E-2</v>
      </c>
      <c r="AA6648">
        <v>0.9421522</v>
      </c>
      <c r="AB6648">
        <v>17</v>
      </c>
      <c r="AC6648">
        <v>-5.2445000000000102</v>
      </c>
      <c r="AD6648">
        <v>-1.11519364363699</v>
      </c>
      <c r="AE6648">
        <v>-11.618399999999999</v>
      </c>
      <c r="AF6648">
        <v>-4.2224788552999799</v>
      </c>
      <c r="AG6648">
        <v>-1.11519364363699</v>
      </c>
      <c r="AH6648">
        <v>11.924916112930999</v>
      </c>
      <c r="AI6648">
        <v>95.037870223412398</v>
      </c>
      <c r="AJ6648">
        <v>109.498482594528</v>
      </c>
      <c r="AK6648">
        <v>12.699472778296901</v>
      </c>
      <c r="AL6648">
        <v>85.813130948355607</v>
      </c>
      <c r="AM6648">
        <v>92.525766795777102</v>
      </c>
      <c r="AN6648">
        <v>0.99999996730457397</v>
      </c>
    </row>
    <row r="6649" spans="1:40" x14ac:dyDescent="0.25">
      <c r="A6649" t="str">
        <f>"20190312154055953"</f>
        <v>20190312154055953</v>
      </c>
      <c r="B6649" t="str">
        <f>"1552376455943429"</f>
        <v>1552376455943429</v>
      </c>
      <c r="C6649" t="s">
        <v>40</v>
      </c>
      <c r="D6649">
        <v>4.2934919999999996</v>
      </c>
      <c r="E6649">
        <v>0.38723210000000002</v>
      </c>
      <c r="F6649" t="s">
        <v>42</v>
      </c>
      <c r="G6649">
        <v>-417.08499999999998</v>
      </c>
      <c r="H6649" s="1">
        <v>-3.4756159999999998E-6</v>
      </c>
      <c r="I6649">
        <v>116.5292</v>
      </c>
      <c r="J6649">
        <v>-411.84539999999998</v>
      </c>
      <c r="K6649">
        <v>1.1151770000000001</v>
      </c>
      <c r="L6649">
        <v>128.37119999999999</v>
      </c>
      <c r="M6649">
        <v>-0.68483680000000002</v>
      </c>
      <c r="N6649">
        <v>0</v>
      </c>
      <c r="O6649">
        <v>-0.72855760000000003</v>
      </c>
      <c r="P6649">
        <v>-0.65217939999999996</v>
      </c>
      <c r="Q6649">
        <v>5.9388589999999998E-2</v>
      </c>
      <c r="R6649">
        <v>-0.75573469999999998</v>
      </c>
      <c r="S6649">
        <v>-1.2899780000000001</v>
      </c>
      <c r="T6649">
        <v>-0.26915869999999997</v>
      </c>
      <c r="U6649">
        <v>-2.8887019999999999</v>
      </c>
      <c r="V6649">
        <v>-4.3231499999999999E-2</v>
      </c>
      <c r="W6649">
        <v>7.3086680000000001E-2</v>
      </c>
      <c r="X6649">
        <v>0.9963881</v>
      </c>
      <c r="Y6649">
        <v>-0.32894909999999999</v>
      </c>
      <c r="Z6649">
        <v>5.1984160000000001E-2</v>
      </c>
      <c r="AA6649">
        <v>0.94291579999999997</v>
      </c>
      <c r="AB6649">
        <v>17</v>
      </c>
      <c r="AC6649">
        <v>-5.2395999999999896</v>
      </c>
      <c r="AD6649">
        <v>-1.115180475616</v>
      </c>
      <c r="AE6649">
        <v>-11.841999999999899</v>
      </c>
      <c r="AF6649">
        <v>-4.2613178153532703</v>
      </c>
      <c r="AG6649">
        <v>-1.115180475616</v>
      </c>
      <c r="AH6649">
        <v>12.1271466648487</v>
      </c>
      <c r="AI6649">
        <v>94.958403192804994</v>
      </c>
      <c r="AJ6649">
        <v>109.360795960998</v>
      </c>
      <c r="AK6649">
        <v>12.9023309230306</v>
      </c>
      <c r="AL6649">
        <v>85.808704349612498</v>
      </c>
      <c r="AM6649">
        <v>92.484403324539301</v>
      </c>
      <c r="AN6649">
        <v>0.99999993560363898</v>
      </c>
    </row>
    <row r="6650" spans="1:40" x14ac:dyDescent="0.25">
      <c r="A6650" t="str">
        <f>"20190312154055974"</f>
        <v>20190312154055974</v>
      </c>
      <c r="B6650" t="str">
        <f>"1552376455962949"</f>
        <v>1552376455962949</v>
      </c>
      <c r="C6650" t="s">
        <v>40</v>
      </c>
      <c r="D6650">
        <v>4.3073129999999997</v>
      </c>
      <c r="E6650">
        <v>0.38857649999999999</v>
      </c>
      <c r="F6650" t="s">
        <v>42</v>
      </c>
      <c r="G6650">
        <v>-417.15190000000001</v>
      </c>
      <c r="H6650" s="1">
        <v>-3.3373510000000001E-6</v>
      </c>
      <c r="I6650">
        <v>116.2346</v>
      </c>
      <c r="J6650">
        <v>-411.94830000000002</v>
      </c>
      <c r="K6650">
        <v>1.115157</v>
      </c>
      <c r="L6650">
        <v>128.2448</v>
      </c>
      <c r="M6650">
        <v>-0.6776934</v>
      </c>
      <c r="N6650">
        <v>0</v>
      </c>
      <c r="O6650">
        <v>-0.7352071</v>
      </c>
      <c r="P6650">
        <v>-0.64532670000000003</v>
      </c>
      <c r="Q6650">
        <v>5.9429910000000002E-2</v>
      </c>
      <c r="R6650">
        <v>-0.76159169999999998</v>
      </c>
      <c r="S6650">
        <v>-1.266785</v>
      </c>
      <c r="T6650">
        <v>-0.26622079999999998</v>
      </c>
      <c r="U6650">
        <v>-2.8973080000000002</v>
      </c>
      <c r="V6650">
        <v>-4.2501570000000002E-2</v>
      </c>
      <c r="W6650">
        <v>7.3132779999999994E-2</v>
      </c>
      <c r="X6650">
        <v>0.99641619999999997</v>
      </c>
      <c r="Y6650">
        <v>-0.32709290000000002</v>
      </c>
      <c r="Z6650">
        <v>5.216055E-2</v>
      </c>
      <c r="AA6650">
        <v>0.94355149999999999</v>
      </c>
      <c r="AB6650">
        <v>17</v>
      </c>
      <c r="AC6650">
        <v>-5.20359999999999</v>
      </c>
      <c r="AD6650">
        <v>-1.115160337351</v>
      </c>
      <c r="AE6650">
        <v>-12.0101999999999</v>
      </c>
      <c r="AF6650">
        <v>-4.2828576134900196</v>
      </c>
      <c r="AG6650">
        <v>-1.115160337351</v>
      </c>
      <c r="AH6650">
        <v>12.268624342525801</v>
      </c>
      <c r="AI6650">
        <v>94.904912161471302</v>
      </c>
      <c r="AJ6650">
        <v>109.243598650002</v>
      </c>
      <c r="AK6650">
        <v>13.0424535718341</v>
      </c>
      <c r="AL6650">
        <v>85.806056261378302</v>
      </c>
      <c r="AM6650">
        <v>92.442438560695294</v>
      </c>
      <c r="AN6650">
        <v>1.00000001529271</v>
      </c>
    </row>
    <row r="6651" spans="1:40" x14ac:dyDescent="0.25">
      <c r="A6651" t="str">
        <f>"20190312154055998"</f>
        <v>20190312154055998</v>
      </c>
      <c r="B6651" t="str">
        <f>"1552376455993205"</f>
        <v>1552376455993205</v>
      </c>
      <c r="C6651" t="s">
        <v>40</v>
      </c>
      <c r="D6651">
        <v>4.2049130000000003</v>
      </c>
      <c r="E6651">
        <v>0.388934</v>
      </c>
      <c r="F6651" t="s">
        <v>42</v>
      </c>
      <c r="G6651">
        <v>-417.28480000000002</v>
      </c>
      <c r="H6651" s="1">
        <v>-3.1467840000000001E-6</v>
      </c>
      <c r="I6651">
        <v>115.84529999999999</v>
      </c>
      <c r="J6651">
        <v>-412.05399999999997</v>
      </c>
      <c r="K6651">
        <v>1.11514</v>
      </c>
      <c r="L6651">
        <v>128.1123</v>
      </c>
      <c r="M6651">
        <v>-0.67019549999999894</v>
      </c>
      <c r="N6651">
        <v>0</v>
      </c>
      <c r="O6651">
        <v>-0.74204859999999995</v>
      </c>
      <c r="P6651">
        <v>-0.63778029999999997</v>
      </c>
      <c r="Q6651">
        <v>5.9190819999999998E-2</v>
      </c>
      <c r="R6651">
        <v>-0.76794079999999998</v>
      </c>
      <c r="S6651">
        <v>-1.248718</v>
      </c>
      <c r="T6651">
        <v>-0.26094289999999998</v>
      </c>
      <c r="U6651">
        <v>-2.9014280000000001</v>
      </c>
      <c r="V6651">
        <v>-4.2225770000000003E-2</v>
      </c>
      <c r="W6651">
        <v>7.2893589999999994E-2</v>
      </c>
      <c r="X6651">
        <v>0.99644540000000004</v>
      </c>
      <c r="Y6651">
        <v>-0.32292749999999998</v>
      </c>
      <c r="Z6651">
        <v>5.1978660000000003E-2</v>
      </c>
      <c r="AA6651">
        <v>0.94499529999999998</v>
      </c>
      <c r="AB6651">
        <v>17</v>
      </c>
      <c r="AC6651">
        <v>-5.2307999999999799</v>
      </c>
      <c r="AD6651">
        <v>-1.1151431467839901</v>
      </c>
      <c r="AE6651">
        <v>-12.266999999999999</v>
      </c>
      <c r="AF6651">
        <v>-4.3100803821948697</v>
      </c>
      <c r="AG6651">
        <v>-1.1151431467839901</v>
      </c>
      <c r="AH6651">
        <v>12.5220813560449</v>
      </c>
      <c r="AI6651">
        <v>94.813275709489503</v>
      </c>
      <c r="AJ6651">
        <v>108.993381139108</v>
      </c>
      <c r="AK6651">
        <v>13.289953296615</v>
      </c>
      <c r="AL6651">
        <v>85.819797296080594</v>
      </c>
      <c r="AM6651">
        <v>92.426537139793993</v>
      </c>
      <c r="AN6651">
        <v>0.99999996314816897</v>
      </c>
    </row>
    <row r="6652" spans="1:40" x14ac:dyDescent="0.25">
      <c r="A6652" t="str">
        <f>"20190312154056020"</f>
        <v>20190312154056020</v>
      </c>
      <c r="B6652" t="str">
        <f>"1552376456012725"</f>
        <v>1552376456012725</v>
      </c>
      <c r="C6652" t="s">
        <v>40</v>
      </c>
      <c r="D6652">
        <v>4.2147759999999996</v>
      </c>
      <c r="E6652">
        <v>0.38905800000000001</v>
      </c>
      <c r="F6652" t="s">
        <v>42</v>
      </c>
      <c r="G6652">
        <v>-417.29020000000003</v>
      </c>
      <c r="H6652" s="1">
        <v>-3.0612999999999998E-6</v>
      </c>
      <c r="I6652">
        <v>115.64830000000001</v>
      </c>
      <c r="J6652">
        <v>-412.15600000000001</v>
      </c>
      <c r="K6652">
        <v>1.115132</v>
      </c>
      <c r="L6652">
        <v>127.9815</v>
      </c>
      <c r="M6652">
        <v>-0.66279409999999905</v>
      </c>
      <c r="N6652">
        <v>0</v>
      </c>
      <c r="O6652">
        <v>-0.74866709999999903</v>
      </c>
      <c r="P6652">
        <v>-0.63027109999999997</v>
      </c>
      <c r="Q6652">
        <v>5.9075879999999997E-2</v>
      </c>
      <c r="R6652">
        <v>-0.77412449999999999</v>
      </c>
      <c r="S6652">
        <v>-1.2229000000000001</v>
      </c>
      <c r="T6652">
        <v>-0.26043899999999998</v>
      </c>
      <c r="U6652">
        <v>-2.9109340000000001</v>
      </c>
      <c r="V6652">
        <v>-4.203751E-2</v>
      </c>
      <c r="W6652">
        <v>7.2778029999999994E-2</v>
      </c>
      <c r="X6652">
        <v>0.99646190000000001</v>
      </c>
      <c r="Y6652">
        <v>-0.32176189999999999</v>
      </c>
      <c r="Z6652">
        <v>5.2580050000000003E-2</v>
      </c>
      <c r="AA6652">
        <v>0.94535950000000002</v>
      </c>
      <c r="AB6652">
        <v>17</v>
      </c>
      <c r="AC6652">
        <v>-5.1342000000000203</v>
      </c>
      <c r="AD6652">
        <v>-1.1151350613</v>
      </c>
      <c r="AE6652">
        <v>-12.3331999999999</v>
      </c>
      <c r="AF6652">
        <v>-4.3010333643341001</v>
      </c>
      <c r="AG6652">
        <v>-1.1151350613</v>
      </c>
      <c r="AH6652">
        <v>12.550205016114999</v>
      </c>
      <c r="AI6652">
        <v>94.804697271817304</v>
      </c>
      <c r="AJ6652">
        <v>108.91690656207599</v>
      </c>
      <c r="AK6652">
        <v>13.313529214771499</v>
      </c>
      <c r="AL6652">
        <v>85.826436417763603</v>
      </c>
      <c r="AM6652">
        <v>92.415691522140605</v>
      </c>
      <c r="AN6652">
        <v>1.00000005602464</v>
      </c>
    </row>
    <row r="6653" spans="1:40" x14ac:dyDescent="0.25">
      <c r="A6653" t="str">
        <f>"20190312154056042"</f>
        <v>20190312154056042</v>
      </c>
      <c r="B6653" t="str">
        <f>"1552376456032751"</f>
        <v>1552376456032751</v>
      </c>
      <c r="C6653" t="s">
        <v>40</v>
      </c>
      <c r="D6653">
        <v>4.2272210000000001</v>
      </c>
      <c r="E6653">
        <v>0.38939309999999999</v>
      </c>
      <c r="F6653" t="s">
        <v>42</v>
      </c>
      <c r="G6653">
        <v>-417.31420000000003</v>
      </c>
      <c r="H6653" s="1">
        <v>-2.938649E-6</v>
      </c>
      <c r="I6653">
        <v>115.3723</v>
      </c>
      <c r="J6653">
        <v>-412.25529999999998</v>
      </c>
      <c r="K6653">
        <v>1.1151199999999999</v>
      </c>
      <c r="L6653">
        <v>127.85169999999999</v>
      </c>
      <c r="M6653">
        <v>-0.65543619999999903</v>
      </c>
      <c r="N6653">
        <v>0</v>
      </c>
      <c r="O6653">
        <v>-0.75511700000000004</v>
      </c>
      <c r="P6653">
        <v>-0.62296240000000003</v>
      </c>
      <c r="Q6653">
        <v>5.9092869999999999E-2</v>
      </c>
      <c r="R6653">
        <v>-0.7800165</v>
      </c>
      <c r="S6653">
        <v>-1.195282</v>
      </c>
      <c r="T6653">
        <v>-0.25840279999999999</v>
      </c>
      <c r="U6653">
        <v>-2.9218440000000001</v>
      </c>
      <c r="V6653">
        <v>-4.1654469999999999E-2</v>
      </c>
      <c r="W6653">
        <v>7.279658E-2</v>
      </c>
      <c r="X6653">
        <v>0.99647660000000005</v>
      </c>
      <c r="Y6653">
        <v>-0.3213879</v>
      </c>
      <c r="Z6653">
        <v>5.2815199999999903E-2</v>
      </c>
      <c r="AA6653">
        <v>0.94547369999999997</v>
      </c>
      <c r="AB6653">
        <v>17</v>
      </c>
      <c r="AC6653">
        <v>-5.0589000000000501</v>
      </c>
      <c r="AD6653">
        <v>-1.115122938649</v>
      </c>
      <c r="AE6653">
        <v>-12.479399999999901</v>
      </c>
      <c r="AF6653">
        <v>-4.3301339192057204</v>
      </c>
      <c r="AG6653">
        <v>-1.115122938649</v>
      </c>
      <c r="AH6653">
        <v>12.6537024746971</v>
      </c>
      <c r="AI6653">
        <v>94.766260584765902</v>
      </c>
      <c r="AJ6653">
        <v>108.891096235147</v>
      </c>
      <c r="AK6653">
        <v>13.420497205569999</v>
      </c>
      <c r="AL6653">
        <v>85.825370627353493</v>
      </c>
      <c r="AM6653">
        <v>92.393670524118207</v>
      </c>
      <c r="AN6653">
        <v>1.0000000256391099</v>
      </c>
    </row>
    <row r="6654" spans="1:40" x14ac:dyDescent="0.25">
      <c r="A6654" t="str">
        <f>"20190312154056064"</f>
        <v>20190312154056064</v>
      </c>
      <c r="B6654" t="str">
        <f>"1552376456053247"</f>
        <v>1552376456053247</v>
      </c>
      <c r="C6654" t="s">
        <v>40</v>
      </c>
      <c r="D6654">
        <v>4.3023569999999998</v>
      </c>
      <c r="E6654">
        <v>0.3899996</v>
      </c>
      <c r="F6654" t="s">
        <v>42</v>
      </c>
      <c r="G6654">
        <v>-417.37139999999999</v>
      </c>
      <c r="H6654" s="1">
        <v>-2.77917E-6</v>
      </c>
      <c r="I6654">
        <v>115.02419999999999</v>
      </c>
      <c r="J6654">
        <v>-412.35509999999999</v>
      </c>
      <c r="K6654">
        <v>1.115103</v>
      </c>
      <c r="L6654">
        <v>127.7184</v>
      </c>
      <c r="M6654">
        <v>-0.64787209999999995</v>
      </c>
      <c r="N6654">
        <v>0</v>
      </c>
      <c r="O6654">
        <v>-0.76161690000000004</v>
      </c>
      <c r="P6654">
        <v>-0.61510730000000002</v>
      </c>
      <c r="Q6654">
        <v>5.9291110000000001E-2</v>
      </c>
      <c r="R6654">
        <v>-0.78621099999999999</v>
      </c>
      <c r="S6654">
        <v>-1.1692199999999999</v>
      </c>
      <c r="T6654">
        <v>-0.25484849999999998</v>
      </c>
      <c r="U6654">
        <v>-2.9315799999999999</v>
      </c>
      <c r="V6654">
        <v>-4.170045E-2</v>
      </c>
      <c r="W6654">
        <v>7.2991089999999995E-2</v>
      </c>
      <c r="X6654">
        <v>0.99646040000000002</v>
      </c>
      <c r="Y6654">
        <v>-0.32026719999999997</v>
      </c>
      <c r="Z6654">
        <v>5.2759540000000001E-2</v>
      </c>
      <c r="AA6654">
        <v>0.9458569</v>
      </c>
      <c r="AB6654">
        <v>17</v>
      </c>
      <c r="AC6654">
        <v>-5.0163000000000002</v>
      </c>
      <c r="AD6654">
        <v>-1.1151057791700001</v>
      </c>
      <c r="AE6654">
        <v>-12.6942</v>
      </c>
      <c r="AF6654">
        <v>-4.3749629756728003</v>
      </c>
      <c r="AG6654">
        <v>-1.1151057791700001</v>
      </c>
      <c r="AH6654">
        <v>12.8336835878558</v>
      </c>
      <c r="AI6654">
        <v>94.701516835312702</v>
      </c>
      <c r="AJ6654">
        <v>108.82408435369</v>
      </c>
      <c r="AK6654">
        <v>13.6046755334498</v>
      </c>
      <c r="AL6654">
        <v>85.814196097773305</v>
      </c>
      <c r="AM6654">
        <v>92.396348595112002</v>
      </c>
      <c r="AN6654">
        <v>0.99999997775887495</v>
      </c>
    </row>
    <row r="6655" spans="1:40" x14ac:dyDescent="0.25">
      <c r="A6655" t="str">
        <f>"20190312154056087"</f>
        <v>20190312154056087</v>
      </c>
      <c r="B6655" t="str">
        <f>"1552376456083504"</f>
        <v>1552376456083504</v>
      </c>
      <c r="C6655" t="s">
        <v>40</v>
      </c>
      <c r="D6655">
        <v>4.3206949999999997</v>
      </c>
      <c r="E6655">
        <v>0.3909453</v>
      </c>
      <c r="F6655" t="s">
        <v>42</v>
      </c>
      <c r="G6655">
        <v>-417.39030000000002</v>
      </c>
      <c r="H6655" s="1">
        <v>-2.6708560000000002E-6</v>
      </c>
      <c r="I6655">
        <v>114.7795</v>
      </c>
      <c r="J6655">
        <v>-412.4538</v>
      </c>
      <c r="K6655">
        <v>1.1150929999999999</v>
      </c>
      <c r="L6655">
        <v>127.5839</v>
      </c>
      <c r="M6655">
        <v>-0.6402293</v>
      </c>
      <c r="N6655">
        <v>0</v>
      </c>
      <c r="O6655">
        <v>-0.76805279999999998</v>
      </c>
      <c r="P6655">
        <v>-0.60722330000000002</v>
      </c>
      <c r="Q6655">
        <v>5.9097610000000002E-2</v>
      </c>
      <c r="R6655">
        <v>-0.79233050000000005</v>
      </c>
      <c r="S6655">
        <v>-1.1440429999999999</v>
      </c>
      <c r="T6655">
        <v>-0.2533608</v>
      </c>
      <c r="U6655">
        <v>-2.9398040000000001</v>
      </c>
      <c r="V6655">
        <v>-4.1701040000000002E-2</v>
      </c>
      <c r="W6655">
        <v>7.2794200000000003E-2</v>
      </c>
      <c r="X6655">
        <v>0.99647479999999999</v>
      </c>
      <c r="Y6655">
        <v>-0.31873040000000002</v>
      </c>
      <c r="Z6655">
        <v>5.313739E-2</v>
      </c>
      <c r="AA6655">
        <v>0.94635480000000005</v>
      </c>
      <c r="AB6655">
        <v>17</v>
      </c>
      <c r="AC6655">
        <v>-4.9365000000000201</v>
      </c>
      <c r="AD6655">
        <v>-1.115095670856</v>
      </c>
      <c r="AE6655">
        <v>-12.804399999999999</v>
      </c>
      <c r="AF6655">
        <v>-4.3777976059667996</v>
      </c>
      <c r="AG6655">
        <v>-1.115095670856</v>
      </c>
      <c r="AH6655">
        <v>12.9110076386208</v>
      </c>
      <c r="AI6655">
        <v>94.676026714305607</v>
      </c>
      <c r="AJ6655">
        <v>108.730503837391</v>
      </c>
      <c r="AK6655">
        <v>13.6785477474217</v>
      </c>
      <c r="AL6655">
        <v>85.825507245425499</v>
      </c>
      <c r="AM6655">
        <v>92.396347870777902</v>
      </c>
      <c r="AN6655">
        <v>0.99999999966288</v>
      </c>
    </row>
    <row r="6656" spans="1:40" x14ac:dyDescent="0.25">
      <c r="A6656" t="str">
        <f>"20190312154056110"</f>
        <v>20190312154056110</v>
      </c>
      <c r="B6656" t="str">
        <f>"1552376456103024"</f>
        <v>1552376456103024</v>
      </c>
      <c r="C6656" t="s">
        <v>40</v>
      </c>
      <c r="D6656">
        <v>4.2065650000000003</v>
      </c>
      <c r="E6656">
        <v>0.39127099999999998</v>
      </c>
      <c r="F6656" t="s">
        <v>42</v>
      </c>
      <c r="G6656">
        <v>-417.38130000000001</v>
      </c>
      <c r="H6656" s="1">
        <v>-2.6101740000000001E-6</v>
      </c>
      <c r="I6656">
        <v>114.6344</v>
      </c>
      <c r="J6656">
        <v>-412.5523</v>
      </c>
      <c r="K6656">
        <v>1.1150789999999999</v>
      </c>
      <c r="L6656">
        <v>127.4468</v>
      </c>
      <c r="M6656">
        <v>-0.63243260000000001</v>
      </c>
      <c r="N6656">
        <v>0</v>
      </c>
      <c r="O6656">
        <v>-0.77448549999999905</v>
      </c>
      <c r="P6656">
        <v>-0.59906999999999999</v>
      </c>
      <c r="Q6656">
        <v>5.9045170000000001E-2</v>
      </c>
      <c r="R6656">
        <v>-0.79851680000000003</v>
      </c>
      <c r="S6656">
        <v>-1.1210329999999999</v>
      </c>
      <c r="T6656">
        <v>-0.25368960000000002</v>
      </c>
      <c r="U6656">
        <v>-2.946075</v>
      </c>
      <c r="V6656">
        <v>-4.184044E-2</v>
      </c>
      <c r="W6656">
        <v>7.2737129999999997E-2</v>
      </c>
      <c r="X6656">
        <v>0.9964731</v>
      </c>
      <c r="Y6656">
        <v>-0.31628250000000002</v>
      </c>
      <c r="Z6656">
        <v>5.3931680000000003E-2</v>
      </c>
      <c r="AA6656">
        <v>0.94713080000000005</v>
      </c>
      <c r="AB6656">
        <v>17</v>
      </c>
      <c r="AC6656">
        <v>-4.8289999999999997</v>
      </c>
      <c r="AD6656">
        <v>-1.115081610174</v>
      </c>
      <c r="AE6656">
        <v>-12.812399999999901</v>
      </c>
      <c r="AF6656">
        <v>-4.3346789913305104</v>
      </c>
      <c r="AG6656">
        <v>-1.115081610174</v>
      </c>
      <c r="AH6656">
        <v>12.892831413630301</v>
      </c>
      <c r="AI6656">
        <v>94.6865825152979</v>
      </c>
      <c r="AJ6656">
        <v>108.583080071838</v>
      </c>
      <c r="AK6656">
        <v>13.647635356189801</v>
      </c>
      <c r="AL6656">
        <v>85.828785706943194</v>
      </c>
      <c r="AM6656">
        <v>92.404353195515995</v>
      </c>
      <c r="AN6656">
        <v>0.99999997576181998</v>
      </c>
    </row>
    <row r="6657" spans="1:40" x14ac:dyDescent="0.25">
      <c r="A6657" t="str">
        <f>"20190312154056132"</f>
        <v>20190312154056132</v>
      </c>
      <c r="B6657" t="str">
        <f>"1552376456123051"</f>
        <v>1552376456123051</v>
      </c>
      <c r="C6657" t="s">
        <v>40</v>
      </c>
      <c r="D6657">
        <v>4.2267429999999999</v>
      </c>
      <c r="E6657">
        <v>0.40850710000000001</v>
      </c>
      <c r="F6657" t="s">
        <v>42</v>
      </c>
      <c r="G6657">
        <v>-417.38029999999998</v>
      </c>
      <c r="H6657" s="1">
        <v>-2.504934E-6</v>
      </c>
      <c r="I6657">
        <v>114.3886</v>
      </c>
      <c r="J6657">
        <v>-412.64609999999999</v>
      </c>
      <c r="K6657">
        <v>1.1150679999999999</v>
      </c>
      <c r="L6657">
        <v>127.31359999999999</v>
      </c>
      <c r="M6657">
        <v>-0.62484280000000003</v>
      </c>
      <c r="N6657">
        <v>0</v>
      </c>
      <c r="O6657">
        <v>-0.78062180000000003</v>
      </c>
      <c r="P6657">
        <v>-0.59129030000000005</v>
      </c>
      <c r="Q6657">
        <v>5.8894059999999998E-2</v>
      </c>
      <c r="R6657">
        <v>-0.80430539999999995</v>
      </c>
      <c r="S6657">
        <v>-1.0928340000000001</v>
      </c>
      <c r="T6657">
        <v>-0.25240220000000002</v>
      </c>
      <c r="U6657">
        <v>-2.955765</v>
      </c>
      <c r="V6657">
        <v>-4.1789600000000003E-2</v>
      </c>
      <c r="W6657">
        <v>7.2583519999999999E-2</v>
      </c>
      <c r="X6657">
        <v>0.99648650000000005</v>
      </c>
      <c r="Y6657">
        <v>-0.31598209999999999</v>
      </c>
      <c r="Z6657">
        <v>5.426943E-2</v>
      </c>
      <c r="AA6657">
        <v>0.94721180000000005</v>
      </c>
      <c r="AB6657">
        <v>17</v>
      </c>
      <c r="AC6657">
        <v>-4.73419999999998</v>
      </c>
      <c r="AD6657">
        <v>-1.115070504934</v>
      </c>
      <c r="AE6657">
        <v>-12.924999999999899</v>
      </c>
      <c r="AF6657">
        <v>-4.35235171328008</v>
      </c>
      <c r="AG6657">
        <v>-1.115070504934</v>
      </c>
      <c r="AH6657">
        <v>12.963904169526501</v>
      </c>
      <c r="AI6657">
        <v>94.661628765454907</v>
      </c>
      <c r="AJ6657">
        <v>108.55836805508</v>
      </c>
      <c r="AK6657">
        <v>13.7203920856415</v>
      </c>
      <c r="AL6657">
        <v>85.837610510878903</v>
      </c>
      <c r="AM6657">
        <v>92.401402851717805</v>
      </c>
      <c r="AN6657">
        <v>1.0000000413629899</v>
      </c>
    </row>
    <row r="6658" spans="1:40" x14ac:dyDescent="0.25">
      <c r="A6658" t="str">
        <f>"20190312154056155"</f>
        <v>20190312154056155</v>
      </c>
      <c r="B6658" t="str">
        <f>"1552376456142571"</f>
        <v>1552376456142571</v>
      </c>
      <c r="C6658" t="s">
        <v>40</v>
      </c>
      <c r="D6658">
        <v>4.3684880000000001</v>
      </c>
      <c r="E6658">
        <v>0.4101341</v>
      </c>
      <c r="F6658" t="s">
        <v>42</v>
      </c>
      <c r="G6658">
        <v>-419.9246</v>
      </c>
      <c r="H6658" s="1">
        <v>-4.6829160000000001E-6</v>
      </c>
      <c r="I6658">
        <v>109.5095</v>
      </c>
      <c r="J6658">
        <v>-412.7396</v>
      </c>
      <c r="K6658">
        <v>1.115049</v>
      </c>
      <c r="L6658">
        <v>127.17789999999999</v>
      </c>
      <c r="M6658">
        <v>-0.61710790000000004</v>
      </c>
      <c r="N6658">
        <v>0</v>
      </c>
      <c r="O6658">
        <v>-0.78675090000000003</v>
      </c>
      <c r="P6658">
        <v>-0.58290140000000001</v>
      </c>
      <c r="Q6658">
        <v>5.8985240000000001E-2</v>
      </c>
      <c r="R6658">
        <v>-0.81039939999999999</v>
      </c>
      <c r="S6658">
        <v>-1.1766049999999999</v>
      </c>
      <c r="T6658">
        <v>-0.18025720000000001</v>
      </c>
      <c r="U6658">
        <v>-2.8781129999999999</v>
      </c>
      <c r="V6658">
        <v>-4.2302989999999999E-2</v>
      </c>
      <c r="W6658">
        <v>7.2665320000000005E-2</v>
      </c>
      <c r="X6658">
        <v>0.99645879999999998</v>
      </c>
      <c r="Y6658">
        <v>-0.27390179999999997</v>
      </c>
      <c r="Z6658">
        <v>4.0562590000000003E-2</v>
      </c>
      <c r="AA6658">
        <v>0.96090189999999998</v>
      </c>
      <c r="AB6658">
        <v>17</v>
      </c>
      <c r="AC6658">
        <v>-7.1849999999999996</v>
      </c>
      <c r="AD6658">
        <v>-1.115053682916</v>
      </c>
      <c r="AE6658">
        <v>-17.668399999999899</v>
      </c>
      <c r="AF6658">
        <v>-5.2331461121192504</v>
      </c>
      <c r="AG6658">
        <v>-1.115053682916</v>
      </c>
      <c r="AH6658">
        <v>18.273936799741801</v>
      </c>
      <c r="AI6658">
        <v>93.357170876167999</v>
      </c>
      <c r="AJ6658">
        <v>105.980236618116</v>
      </c>
      <c r="AK6658">
        <v>19.041164069130101</v>
      </c>
      <c r="AL6658">
        <v>85.832910992369904</v>
      </c>
      <c r="AM6658">
        <v>92.430936677646201</v>
      </c>
      <c r="AN6658">
        <v>0.99999996589553997</v>
      </c>
    </row>
    <row r="6659" spans="1:40" x14ac:dyDescent="0.25">
      <c r="A6659" t="str">
        <f>"20190312154056176"</f>
        <v>20190312154056176</v>
      </c>
      <c r="B6659" t="str">
        <f>"1552376456172827"</f>
        <v>1552376456172827</v>
      </c>
      <c r="C6659" t="s">
        <v>40</v>
      </c>
      <c r="D6659">
        <v>4.2892080000000004</v>
      </c>
      <c r="E6659">
        <v>0.41305940000000002</v>
      </c>
      <c r="F6659" t="s">
        <v>42</v>
      </c>
      <c r="G6659">
        <v>-419.45249999999999</v>
      </c>
      <c r="H6659" s="1">
        <v>-4.4989280000000001E-7</v>
      </c>
      <c r="I6659">
        <v>110.4551</v>
      </c>
      <c r="J6659">
        <v>-412.82900000000001</v>
      </c>
      <c r="K6659">
        <v>1.1150329999999999</v>
      </c>
      <c r="L6659">
        <v>127.0453</v>
      </c>
      <c r="M6659">
        <v>-0.6095467</v>
      </c>
      <c r="N6659">
        <v>0</v>
      </c>
      <c r="O6659">
        <v>-0.79262359999999998</v>
      </c>
      <c r="P6659">
        <v>-0.57464479999999996</v>
      </c>
      <c r="Q6659">
        <v>5.8629599999999997E-2</v>
      </c>
      <c r="R6659">
        <v>-0.81630040000000004</v>
      </c>
      <c r="S6659">
        <v>-1.15744</v>
      </c>
      <c r="T6659">
        <v>-0.19225729999999999</v>
      </c>
      <c r="U6659">
        <v>-2.8833470000000001</v>
      </c>
      <c r="V6659">
        <v>-4.2886649999999998E-2</v>
      </c>
      <c r="W6659">
        <v>7.2299580000000002E-2</v>
      </c>
      <c r="X6659">
        <v>0.99646049999999997</v>
      </c>
      <c r="Y6659">
        <v>-0.27084809999999998</v>
      </c>
      <c r="Z6659">
        <v>4.3775769999999999E-2</v>
      </c>
      <c r="AA6659">
        <v>0.96162619999999999</v>
      </c>
      <c r="AB6659">
        <v>17</v>
      </c>
      <c r="AC6659">
        <v>-6.6234999999999697</v>
      </c>
      <c r="AD6659">
        <v>-1.1150334498927901</v>
      </c>
      <c r="AE6659">
        <v>-16.5901999999999</v>
      </c>
      <c r="AF6659">
        <v>-4.8441732756560603</v>
      </c>
      <c r="AG6659">
        <v>-1.1150334498927901</v>
      </c>
      <c r="AH6659">
        <v>17.122129881775798</v>
      </c>
      <c r="AI6659">
        <v>93.585623875472294</v>
      </c>
      <c r="AJ6659">
        <v>105.79720812678001</v>
      </c>
      <c r="AK6659">
        <v>17.829095490443699</v>
      </c>
      <c r="AL6659">
        <v>85.853921803596407</v>
      </c>
      <c r="AM6659">
        <v>92.464431364741102</v>
      </c>
      <c r="AN6659">
        <v>1.00000001103832</v>
      </c>
    </row>
    <row r="6660" spans="1:40" x14ac:dyDescent="0.25">
      <c r="A6660" t="str">
        <f>"20190312154056199"</f>
        <v>20190312154056199</v>
      </c>
      <c r="B6660" t="str">
        <f>"1552376456193328"</f>
        <v>1552376456193328</v>
      </c>
      <c r="C6660" t="s">
        <v>40</v>
      </c>
      <c r="D6660">
        <v>4.2448949999999996</v>
      </c>
      <c r="E6660">
        <v>0.41491460000000002</v>
      </c>
      <c r="F6660" t="s">
        <v>42</v>
      </c>
      <c r="G6660">
        <v>-419.22489999999999</v>
      </c>
      <c r="H6660" s="1">
        <v>-7.143796E-7</v>
      </c>
      <c r="I6660">
        <v>110.97750000000001</v>
      </c>
      <c r="J6660">
        <v>-412.92039999999997</v>
      </c>
      <c r="K6660">
        <v>1.1150100000000001</v>
      </c>
      <c r="L6660">
        <v>126.907</v>
      </c>
      <c r="M6660">
        <v>-0.6016553</v>
      </c>
      <c r="N6660">
        <v>0</v>
      </c>
      <c r="O6660">
        <v>-0.79863019999999996</v>
      </c>
      <c r="P6660">
        <v>-0.56611060000000002</v>
      </c>
      <c r="Q6660">
        <v>5.7914340000000002E-2</v>
      </c>
      <c r="R6660">
        <v>-0.82229240000000003</v>
      </c>
      <c r="S6660">
        <v>-1.1471559999999901</v>
      </c>
      <c r="T6660">
        <v>-0.19999149999999999</v>
      </c>
      <c r="U6660">
        <v>-2.8819119999999998</v>
      </c>
      <c r="V6660">
        <v>-4.340256E-2</v>
      </c>
      <c r="W6660">
        <v>7.1575739999999999E-2</v>
      </c>
      <c r="X6660">
        <v>0.9964904</v>
      </c>
      <c r="Y6660">
        <v>-0.2641328</v>
      </c>
      <c r="Z6660">
        <v>4.6199919999999998E-2</v>
      </c>
      <c r="AA6660">
        <v>0.96337910000000004</v>
      </c>
      <c r="AB6660">
        <v>17</v>
      </c>
      <c r="AC6660">
        <v>-6.3045000000000098</v>
      </c>
      <c r="AD6660">
        <v>-1.1150107143796</v>
      </c>
      <c r="AE6660">
        <v>-15.929500000000001</v>
      </c>
      <c r="AF6660">
        <v>-4.5303699203159704</v>
      </c>
      <c r="AG6660">
        <v>-1.1150107143796</v>
      </c>
      <c r="AH6660">
        <v>16.446904011280601</v>
      </c>
      <c r="AI6660">
        <v>93.739549683018296</v>
      </c>
      <c r="AJ6660">
        <v>105.400446174965</v>
      </c>
      <c r="AK6660">
        <v>17.095851896420999</v>
      </c>
      <c r="AL6660">
        <v>85.8955024372666</v>
      </c>
      <c r="AM6660">
        <v>92.493965579066398</v>
      </c>
      <c r="AN6660">
        <v>0.99999999303163001</v>
      </c>
    </row>
    <row r="6661" spans="1:40" x14ac:dyDescent="0.25">
      <c r="A6661" t="str">
        <f>"20190312154056220"</f>
        <v>20190312154056220</v>
      </c>
      <c r="B6661" t="str">
        <f>"1552376456212846"</f>
        <v>1552376456212846</v>
      </c>
      <c r="C6661" t="s">
        <v>40</v>
      </c>
      <c r="D6661">
        <v>4.3043779999999998</v>
      </c>
      <c r="E6661">
        <v>0.41688609999999998</v>
      </c>
      <c r="F6661" t="s">
        <v>42</v>
      </c>
      <c r="G6661">
        <v>-419.13600000000002</v>
      </c>
      <c r="H6661" s="1">
        <v>-7.4769529999999995E-7</v>
      </c>
      <c r="I6661">
        <v>111.0184</v>
      </c>
      <c r="J6661">
        <v>-413.00889999999998</v>
      </c>
      <c r="K6661">
        <v>1.1149849999999999</v>
      </c>
      <c r="L6661">
        <v>126.7701</v>
      </c>
      <c r="M6661">
        <v>-0.59385790000000005</v>
      </c>
      <c r="N6661">
        <v>0</v>
      </c>
      <c r="O6661">
        <v>-0.80444539999999998</v>
      </c>
      <c r="P6661">
        <v>-0.55799949999999998</v>
      </c>
      <c r="Q6661">
        <v>5.7581109999999998E-2</v>
      </c>
      <c r="R6661">
        <v>-0.8278413</v>
      </c>
      <c r="S6661">
        <v>-1.128784</v>
      </c>
      <c r="T6661">
        <v>-0.20249339999999999</v>
      </c>
      <c r="U6661">
        <v>-2.8854679999999999</v>
      </c>
      <c r="V6661">
        <v>-4.3510050000000002E-2</v>
      </c>
      <c r="W6661">
        <v>7.1237079999999994E-2</v>
      </c>
      <c r="X6661">
        <v>0.99651000000000001</v>
      </c>
      <c r="Y6661">
        <v>-0.26048450000000001</v>
      </c>
      <c r="Z6661">
        <v>4.7349410000000001E-2</v>
      </c>
      <c r="AA6661">
        <v>0.96431619999999996</v>
      </c>
      <c r="AB6661">
        <v>17</v>
      </c>
      <c r="AC6661">
        <v>-6.12709999999998</v>
      </c>
      <c r="AD6661">
        <v>-1.1149857476953</v>
      </c>
      <c r="AE6661">
        <v>-15.7517</v>
      </c>
      <c r="AF6661">
        <v>-4.4066197477413498</v>
      </c>
      <c r="AG6661">
        <v>-1.1149857476953</v>
      </c>
      <c r="AH6661">
        <v>16.240962436918501</v>
      </c>
      <c r="AI6661">
        <v>93.790712591920894</v>
      </c>
      <c r="AJ6661">
        <v>105.180443563297</v>
      </c>
      <c r="AK6661">
        <v>16.865063050464599</v>
      </c>
      <c r="AL6661">
        <v>85.914955966873094</v>
      </c>
      <c r="AM6661">
        <v>92.500085149874707</v>
      </c>
      <c r="AN6661">
        <v>1.0000000130589599</v>
      </c>
    </row>
    <row r="6662" spans="1:40" x14ac:dyDescent="0.25">
      <c r="A6662" t="str">
        <f>"20190312154056243"</f>
        <v>20190312154056243</v>
      </c>
      <c r="B6662" t="str">
        <f>"1552376456233339"</f>
        <v>1552376456233339</v>
      </c>
      <c r="C6662" t="s">
        <v>40</v>
      </c>
      <c r="D6662">
        <v>4.2338319999999996</v>
      </c>
      <c r="E6662">
        <v>0.42891000000000001</v>
      </c>
      <c r="F6662" t="s">
        <v>42</v>
      </c>
      <c r="G6662">
        <v>-419.17520000000002</v>
      </c>
      <c r="H6662" s="1">
        <v>-6.3492089999999995E-7</v>
      </c>
      <c r="I6662">
        <v>110.7718</v>
      </c>
      <c r="J6662">
        <v>-413.09550000000002</v>
      </c>
      <c r="K6662">
        <v>1.1149530000000001</v>
      </c>
      <c r="L6662">
        <v>126.63339999999999</v>
      </c>
      <c r="M6662">
        <v>-0.58608039999999995</v>
      </c>
      <c r="N6662">
        <v>0</v>
      </c>
      <c r="O6662">
        <v>-0.81012919999999999</v>
      </c>
      <c r="P6662">
        <v>-0.54955889999999996</v>
      </c>
      <c r="Q6662">
        <v>5.7560790000000001E-2</v>
      </c>
      <c r="R6662">
        <v>-0.83346969999999998</v>
      </c>
      <c r="S6662">
        <v>-1.1130070000000001</v>
      </c>
      <c r="T6662">
        <v>-0.2012526</v>
      </c>
      <c r="U6662">
        <v>-2.8876650000000001</v>
      </c>
      <c r="V6662">
        <v>-4.4031399999999998E-2</v>
      </c>
      <c r="W6662">
        <v>7.1207110000000004E-2</v>
      </c>
      <c r="X6662">
        <v>0.99648919999999996</v>
      </c>
      <c r="Y6662">
        <v>-0.25601119999999999</v>
      </c>
      <c r="Z6662">
        <v>4.7640920000000003E-2</v>
      </c>
      <c r="AA6662">
        <v>0.9654992</v>
      </c>
      <c r="AB6662">
        <v>17</v>
      </c>
      <c r="AC6662">
        <v>-6.0796999999999999</v>
      </c>
      <c r="AD6662">
        <v>-1.1149536349208999</v>
      </c>
      <c r="AE6662">
        <v>-15.8615999999999</v>
      </c>
      <c r="AF6662">
        <v>-4.3525173247942197</v>
      </c>
      <c r="AG6662">
        <v>-1.1149536349208999</v>
      </c>
      <c r="AH6662">
        <v>16.344370013268399</v>
      </c>
      <c r="AI6662">
        <v>93.771426679995898</v>
      </c>
      <c r="AJ6662">
        <v>104.911839627383</v>
      </c>
      <c r="AK6662">
        <v>16.950692015409999</v>
      </c>
      <c r="AL6662">
        <v>85.916677322031205</v>
      </c>
      <c r="AM6662">
        <v>92.530055938658705</v>
      </c>
      <c r="AN6662">
        <v>0.99999997120857498</v>
      </c>
    </row>
    <row r="6663" spans="1:40" x14ac:dyDescent="0.25">
      <c r="A6663" t="str">
        <f>"20190312154056266"</f>
        <v>20190312154056266</v>
      </c>
      <c r="B6663" t="str">
        <f>"1552376456252859"</f>
        <v>1552376456252859</v>
      </c>
      <c r="C6663" t="s">
        <v>40</v>
      </c>
      <c r="D6663">
        <v>4.2464139999999997</v>
      </c>
      <c r="E6663">
        <v>0.43103380000000002</v>
      </c>
      <c r="F6663" t="s">
        <v>42</v>
      </c>
      <c r="G6663">
        <v>-420.17790000000002</v>
      </c>
      <c r="H6663" s="1">
        <v>-4.6521779999999999E-6</v>
      </c>
      <c r="I6663">
        <v>109.3331</v>
      </c>
      <c r="J6663">
        <v>-413.18340000000001</v>
      </c>
      <c r="K6663">
        <v>1.114924</v>
      </c>
      <c r="L6663">
        <v>126.4913</v>
      </c>
      <c r="M6663">
        <v>-0.57801610000000003</v>
      </c>
      <c r="N6663">
        <v>0</v>
      </c>
      <c r="O6663">
        <v>-0.81590280000000004</v>
      </c>
      <c r="P6663">
        <v>-0.54043999999999903</v>
      </c>
      <c r="Q6663">
        <v>5.7573260000000001E-2</v>
      </c>
      <c r="R6663">
        <v>-0.83941060000000001</v>
      </c>
      <c r="S6663">
        <v>-1.164398</v>
      </c>
      <c r="T6663">
        <v>-0.1833072</v>
      </c>
      <c r="U6663">
        <v>-2.8442989999999999</v>
      </c>
      <c r="V6663">
        <v>-4.5005000000000003E-2</v>
      </c>
      <c r="W6663">
        <v>7.1203310000000006E-2</v>
      </c>
      <c r="X6663">
        <v>0.99644600000000005</v>
      </c>
      <c r="Y6663">
        <v>-0.22628229999999999</v>
      </c>
      <c r="Z6663">
        <v>4.464775E-2</v>
      </c>
      <c r="AA6663">
        <v>0.97303799999999996</v>
      </c>
      <c r="AB6663">
        <v>17</v>
      </c>
      <c r="AC6663">
        <v>-6.9945000000000102</v>
      </c>
      <c r="AD6663">
        <v>-1.114928652178</v>
      </c>
      <c r="AE6663">
        <v>-17.158199999999901</v>
      </c>
      <c r="AF6663">
        <v>-4.1961122353042599</v>
      </c>
      <c r="AG6663">
        <v>-1.114928652178</v>
      </c>
      <c r="AH6663">
        <v>17.979065743970999</v>
      </c>
      <c r="AI6663">
        <v>93.455877145166198</v>
      </c>
      <c r="AJ6663">
        <v>103.137035145344</v>
      </c>
      <c r="AK6663">
        <v>18.495870588235299</v>
      </c>
      <c r="AL6663">
        <v>85.916895702060401</v>
      </c>
      <c r="AM6663">
        <v>92.586036091824397</v>
      </c>
      <c r="AN6663">
        <v>0.99999999614797797</v>
      </c>
    </row>
    <row r="6664" spans="1:40" x14ac:dyDescent="0.25">
      <c r="A6664" t="str">
        <f>"20190312154056288"</f>
        <v>20190312154056288</v>
      </c>
      <c r="B6664" t="str">
        <f>"1552376456283115"</f>
        <v>1552376456283115</v>
      </c>
      <c r="C6664" t="s">
        <v>40</v>
      </c>
      <c r="D6664">
        <v>4.1121889999999999</v>
      </c>
      <c r="E6664">
        <v>0.43126340000000002</v>
      </c>
      <c r="F6664" t="s">
        <v>42</v>
      </c>
      <c r="G6664">
        <v>-420.29629999999997</v>
      </c>
      <c r="H6664" s="1">
        <v>-4.4587540000000004E-6</v>
      </c>
      <c r="I6664">
        <v>108.85720000000001</v>
      </c>
      <c r="J6664">
        <v>-413.26729999999998</v>
      </c>
      <c r="K6664">
        <v>1.1148800000000001</v>
      </c>
      <c r="L6664">
        <v>126.3532</v>
      </c>
      <c r="M6664">
        <v>-0.57020719999999903</v>
      </c>
      <c r="N6664">
        <v>0</v>
      </c>
      <c r="O6664">
        <v>-0.82137939999999998</v>
      </c>
      <c r="P6664">
        <v>-0.53103999999999996</v>
      </c>
      <c r="Q6664">
        <v>5.8488419999999999E-2</v>
      </c>
      <c r="R6664">
        <v>-0.84532569999999996</v>
      </c>
      <c r="S6664">
        <v>-1.1483460000000001</v>
      </c>
      <c r="T6664">
        <v>-0.18000070000000001</v>
      </c>
      <c r="U6664">
        <v>-2.8469540000000002</v>
      </c>
      <c r="V6664">
        <v>-4.6586089999999997E-2</v>
      </c>
      <c r="W6664">
        <v>7.2094610000000003E-2</v>
      </c>
      <c r="X6664">
        <v>0.99630920000000001</v>
      </c>
      <c r="Y6664">
        <v>-0.22200729999999999</v>
      </c>
      <c r="Z6664">
        <v>4.434275E-2</v>
      </c>
      <c r="AA6664">
        <v>0.97403620000000002</v>
      </c>
      <c r="AB6664">
        <v>17</v>
      </c>
      <c r="AC6664">
        <v>-7.0289999999999901</v>
      </c>
      <c r="AD6664">
        <v>-1.1148844587540001</v>
      </c>
      <c r="AE6664">
        <v>-17.495999999999899</v>
      </c>
      <c r="AF6664">
        <v>-4.1886444928136202</v>
      </c>
      <c r="AG6664">
        <v>-1.1148844587540001</v>
      </c>
      <c r="AH6664">
        <v>18.3166360496575</v>
      </c>
      <c r="AI6664">
        <v>93.395699406020299</v>
      </c>
      <c r="AJ6664">
        <v>102.8809018303</v>
      </c>
      <c r="AK6664">
        <v>18.8225095622014</v>
      </c>
      <c r="AL6664">
        <v>85.865696232381595</v>
      </c>
      <c r="AM6664">
        <v>92.6771243404975</v>
      </c>
      <c r="AN6664">
        <v>0.99999995928858898</v>
      </c>
    </row>
    <row r="6665" spans="1:40" x14ac:dyDescent="0.25">
      <c r="A6665" t="str">
        <f>"20190312154056310"</f>
        <v>20190312154056310</v>
      </c>
      <c r="B6665" t="str">
        <f>"1552376456302650"</f>
        <v>1552376456302650</v>
      </c>
      <c r="C6665" t="s">
        <v>40</v>
      </c>
      <c r="D6665">
        <v>4.1058050000000001</v>
      </c>
      <c r="E6665">
        <v>0.40167419999999998</v>
      </c>
      <c r="F6665" t="s">
        <v>42</v>
      </c>
      <c r="G6665">
        <v>-420.37639999999999</v>
      </c>
      <c r="H6665" s="1">
        <v>-4.1656439999999999E-6</v>
      </c>
      <c r="I6665">
        <v>108.1921</v>
      </c>
      <c r="J6665">
        <v>-413.34980000000002</v>
      </c>
      <c r="K6665">
        <v>1.1148169999999999</v>
      </c>
      <c r="L6665">
        <v>126.2144</v>
      </c>
      <c r="M6665">
        <v>-0.56241799999999997</v>
      </c>
      <c r="N6665">
        <v>0</v>
      </c>
      <c r="O6665">
        <v>-0.82673249999999998</v>
      </c>
      <c r="P6665">
        <v>-0.52186149999999998</v>
      </c>
      <c r="Q6665">
        <v>5.9451700000000003E-2</v>
      </c>
      <c r="R6665">
        <v>-0.85095580000000004</v>
      </c>
      <c r="S6665">
        <v>-1.118835</v>
      </c>
      <c r="T6665">
        <v>-0.1754616</v>
      </c>
      <c r="U6665">
        <v>-2.858215</v>
      </c>
      <c r="V6665">
        <v>-4.7912959999999997E-2</v>
      </c>
      <c r="W6665">
        <v>7.3036740000000003E-2</v>
      </c>
      <c r="X6665">
        <v>0.99617770000000005</v>
      </c>
      <c r="Y6665">
        <v>-0.2227951</v>
      </c>
      <c r="Z6665">
        <v>4.3575950000000002E-2</v>
      </c>
      <c r="AA6665">
        <v>0.9738909</v>
      </c>
      <c r="AB6665">
        <v>17</v>
      </c>
      <c r="AC6665">
        <v>-7.02659999999997</v>
      </c>
      <c r="AD6665">
        <v>-1.1148211656439999</v>
      </c>
      <c r="AE6665">
        <v>-18.022300000000001</v>
      </c>
      <c r="AF6665">
        <v>-4.3130529287882498</v>
      </c>
      <c r="AG6665">
        <v>-1.1148211656439999</v>
      </c>
      <c r="AH6665">
        <v>18.790972735263001</v>
      </c>
      <c r="AI6665">
        <v>93.309378348362898</v>
      </c>
      <c r="AJ6665">
        <v>102.927072756314</v>
      </c>
      <c r="AK6665">
        <v>19.311807479759501</v>
      </c>
      <c r="AL6665">
        <v>85.811573695766299</v>
      </c>
      <c r="AM6665">
        <v>92.753621659573696</v>
      </c>
      <c r="AN6665">
        <v>1.0000000135515299</v>
      </c>
    </row>
    <row r="6666" spans="1:40" x14ac:dyDescent="0.25">
      <c r="A6666" t="str">
        <f>"20190312154056333"</f>
        <v>20190312154056333</v>
      </c>
      <c r="B6666" t="str">
        <f>"1552376456323131"</f>
        <v>1552376456323131</v>
      </c>
      <c r="C6666" t="s">
        <v>40</v>
      </c>
      <c r="D6666">
        <v>4.0581269999999998</v>
      </c>
      <c r="E6666">
        <v>0.39740629999999999</v>
      </c>
      <c r="F6666" t="s">
        <v>42</v>
      </c>
      <c r="G6666">
        <v>-418.9545</v>
      </c>
      <c r="H6666" s="1">
        <v>-3.8084639999999999E-6</v>
      </c>
      <c r="I6666">
        <v>107.29559999999999</v>
      </c>
      <c r="J6666">
        <v>-413.43290000000002</v>
      </c>
      <c r="K6666">
        <v>1.11473</v>
      </c>
      <c r="L6666">
        <v>126.0718</v>
      </c>
      <c r="M6666">
        <v>-0.55450159999999904</v>
      </c>
      <c r="N6666">
        <v>0</v>
      </c>
      <c r="O6666">
        <v>-0.83206329999999995</v>
      </c>
      <c r="P6666">
        <v>-0.51250249999999997</v>
      </c>
      <c r="Q6666">
        <v>5.9984000000000003E-2</v>
      </c>
      <c r="R6666">
        <v>-0.85658809999999996</v>
      </c>
      <c r="S6666">
        <v>-0.88693239999999995</v>
      </c>
      <c r="T6666">
        <v>-0.17641850000000001</v>
      </c>
      <c r="U6666">
        <v>-2.9938660000000001</v>
      </c>
      <c r="V6666">
        <v>-4.929526E-2</v>
      </c>
      <c r="W6666">
        <v>7.3545589999999994E-2</v>
      </c>
      <c r="X6666">
        <v>0.99607279999999998</v>
      </c>
      <c r="Y6666">
        <v>-0.29562709999999998</v>
      </c>
      <c r="Z6666">
        <v>4.2219880000000001E-2</v>
      </c>
      <c r="AA6666">
        <v>0.95437000000000005</v>
      </c>
      <c r="AB6666">
        <v>17</v>
      </c>
      <c r="AC6666">
        <v>-5.5215999999999701</v>
      </c>
      <c r="AD6666">
        <v>-1.1147338084639999</v>
      </c>
      <c r="AE6666">
        <v>-18.776199999999999</v>
      </c>
      <c r="AF6666">
        <v>-5.7988774497194804</v>
      </c>
      <c r="AG6666">
        <v>-1.1147338084639999</v>
      </c>
      <c r="AH6666">
        <v>18.626152374120899</v>
      </c>
      <c r="AI6666">
        <v>93.270468002156207</v>
      </c>
      <c r="AJ6666">
        <v>107.292925106249</v>
      </c>
      <c r="AK6666">
        <v>19.5397841186787</v>
      </c>
      <c r="AL6666">
        <v>85.782340058647193</v>
      </c>
      <c r="AM6666">
        <v>92.833234539948805</v>
      </c>
      <c r="AN6666">
        <v>0.99999999968337705</v>
      </c>
    </row>
    <row r="6667" spans="1:40" x14ac:dyDescent="0.25">
      <c r="A6667" t="str">
        <f>"20190312154056356"</f>
        <v>20190312154056356</v>
      </c>
      <c r="B6667" t="str">
        <f>"1552376456353387"</f>
        <v>1552376456353387</v>
      </c>
      <c r="C6667" t="s">
        <v>40</v>
      </c>
      <c r="D6667">
        <v>4.1507300000000003</v>
      </c>
      <c r="E6667">
        <v>0.39425399999999999</v>
      </c>
      <c r="F6667" t="s">
        <v>42</v>
      </c>
      <c r="G6667">
        <v>-418.52760000000001</v>
      </c>
      <c r="H6667" s="1">
        <v>-3.941389E-6</v>
      </c>
      <c r="I6667">
        <v>107.4166</v>
      </c>
      <c r="J6667">
        <v>-413.51330000000002</v>
      </c>
      <c r="K6667">
        <v>1.114628</v>
      </c>
      <c r="L6667">
        <v>125.9311</v>
      </c>
      <c r="M6667">
        <v>-0.54681230000000003</v>
      </c>
      <c r="N6667">
        <v>0</v>
      </c>
      <c r="O6667">
        <v>-0.83713689999999996</v>
      </c>
      <c r="P6667">
        <v>-0.50379969999999996</v>
      </c>
      <c r="Q6667">
        <v>5.9472860000000002E-2</v>
      </c>
      <c r="R6667">
        <v>-0.86177099999999995</v>
      </c>
      <c r="S6667">
        <v>-0.82510380000000005</v>
      </c>
      <c r="T6667">
        <v>-0.18053430000000001</v>
      </c>
      <c r="U6667">
        <v>-3.021255</v>
      </c>
      <c r="V6667">
        <v>-5.0202950000000003E-2</v>
      </c>
      <c r="W6667">
        <v>7.3015819999999995E-2</v>
      </c>
      <c r="X6667">
        <v>0.99606649999999997</v>
      </c>
      <c r="Y6667">
        <v>-0.30724889999999999</v>
      </c>
      <c r="Z6667">
        <v>4.3234700000000001E-2</v>
      </c>
      <c r="AA6667">
        <v>0.95064660000000001</v>
      </c>
      <c r="AB6667">
        <v>17</v>
      </c>
      <c r="AC6667">
        <v>-5.0142999999999898</v>
      </c>
      <c r="AD6667">
        <v>-1.114631941389</v>
      </c>
      <c r="AE6667">
        <v>-18.514500000000002</v>
      </c>
      <c r="AF6667">
        <v>-5.9069416973719502</v>
      </c>
      <c r="AG6667">
        <v>-1.114631941389</v>
      </c>
      <c r="AH6667">
        <v>18.1814651555841</v>
      </c>
      <c r="AI6667">
        <v>93.336907590284298</v>
      </c>
      <c r="AJ6667">
        <v>107.998362604332</v>
      </c>
      <c r="AK6667">
        <v>19.149413562421</v>
      </c>
      <c r="AL6667">
        <v>85.812775724202297</v>
      </c>
      <c r="AM6667">
        <v>92.885334687483393</v>
      </c>
      <c r="AN6667">
        <v>1.00000005929061</v>
      </c>
    </row>
    <row r="6668" spans="1:40" x14ac:dyDescent="0.25">
      <c r="A6668" t="str">
        <f>"20190312154056378"</f>
        <v>20190312154056378</v>
      </c>
      <c r="B6668" t="str">
        <f>"1552376456372910"</f>
        <v>1552376456372910</v>
      </c>
      <c r="C6668" t="s">
        <v>40</v>
      </c>
      <c r="D6668">
        <v>4.1109660000000003</v>
      </c>
      <c r="E6668">
        <v>0.394872</v>
      </c>
      <c r="F6668" t="s">
        <v>42</v>
      </c>
      <c r="G6668">
        <v>-418.5607</v>
      </c>
      <c r="H6668" s="1">
        <v>-3.3032E-6</v>
      </c>
      <c r="I6668">
        <v>106.07899999999999</v>
      </c>
      <c r="J6668">
        <v>-413.59269999999998</v>
      </c>
      <c r="K6668">
        <v>1.1144849999999999</v>
      </c>
      <c r="L6668">
        <v>125.7898</v>
      </c>
      <c r="M6668">
        <v>-0.53925049999999997</v>
      </c>
      <c r="N6668">
        <v>0</v>
      </c>
      <c r="O6668">
        <v>-0.84202840000000001</v>
      </c>
      <c r="P6668">
        <v>-0.4956393</v>
      </c>
      <c r="Q6668">
        <v>5.8614220000000002E-2</v>
      </c>
      <c r="R6668">
        <v>-0.866548599999999</v>
      </c>
      <c r="S6668">
        <v>-0.77316280000000004</v>
      </c>
      <c r="T6668">
        <v>-0.17074029999999901</v>
      </c>
      <c r="U6668">
        <v>-3.0409700000000002</v>
      </c>
      <c r="V6668">
        <v>-5.0636489999999999E-2</v>
      </c>
      <c r="W6668">
        <v>7.2143120000000005E-2</v>
      </c>
      <c r="X6668">
        <v>0.99610810000000005</v>
      </c>
      <c r="Y6668">
        <v>-0.31539349999999999</v>
      </c>
      <c r="Z6668">
        <v>4.1021269999999999E-2</v>
      </c>
      <c r="AA6668">
        <v>0.94807390000000002</v>
      </c>
      <c r="AB6668">
        <v>17</v>
      </c>
      <c r="AC6668">
        <v>-4.9680000000000097</v>
      </c>
      <c r="AD6668">
        <v>-1.1144883031999999</v>
      </c>
      <c r="AE6668">
        <v>-19.710799999999999</v>
      </c>
      <c r="AF6668">
        <v>-6.4271765806393599</v>
      </c>
      <c r="AG6668">
        <v>-1.1144883031999999</v>
      </c>
      <c r="AH6668">
        <v>19.220172996328799</v>
      </c>
      <c r="AI6668">
        <v>93.147647399294797</v>
      </c>
      <c r="AJ6668">
        <v>108.48980305760099</v>
      </c>
      <c r="AK6668">
        <v>20.296939005315501</v>
      </c>
      <c r="AL6668">
        <v>85.862909790102805</v>
      </c>
      <c r="AM6668">
        <v>92.910087729840399</v>
      </c>
      <c r="AN6668">
        <v>1.0000000153842299</v>
      </c>
    </row>
    <row r="6669" spans="1:40" x14ac:dyDescent="0.25">
      <c r="A6669" t="str">
        <f>"20190312154056400"</f>
        <v>20190312154056400</v>
      </c>
      <c r="B6669" t="str">
        <f>"1552376456393404"</f>
        <v>1552376456393404</v>
      </c>
      <c r="C6669" t="s">
        <v>40</v>
      </c>
      <c r="D6669">
        <v>4.0610860000000004</v>
      </c>
      <c r="E6669">
        <v>0.39622859999999999</v>
      </c>
      <c r="F6669" t="s">
        <v>42</v>
      </c>
      <c r="G6669">
        <v>-418.4581</v>
      </c>
      <c r="H6669" s="1">
        <v>-3.2887969999999999E-6</v>
      </c>
      <c r="I6669">
        <v>106.01</v>
      </c>
      <c r="J6669">
        <v>-413.66980000000001</v>
      </c>
      <c r="K6669">
        <v>1.114314</v>
      </c>
      <c r="L6669">
        <v>125.6499</v>
      </c>
      <c r="M6669">
        <v>-0.53197899999999998</v>
      </c>
      <c r="N6669">
        <v>0</v>
      </c>
      <c r="O6669">
        <v>-0.84664169999999905</v>
      </c>
      <c r="P6669">
        <v>-0.48778569999999999</v>
      </c>
      <c r="Q6669">
        <v>5.8072609999999997E-2</v>
      </c>
      <c r="R6669">
        <v>-0.87103019999999998</v>
      </c>
      <c r="S6669">
        <v>-0.749054</v>
      </c>
      <c r="T6669">
        <v>-0.17157939999999999</v>
      </c>
      <c r="U6669">
        <v>-3.045166</v>
      </c>
      <c r="V6669">
        <v>-5.1047019999999999E-2</v>
      </c>
      <c r="W6669">
        <v>7.1585250000000003E-2</v>
      </c>
      <c r="X6669">
        <v>0.9961274</v>
      </c>
      <c r="Y6669">
        <v>-0.31460199999999999</v>
      </c>
      <c r="Z6669">
        <v>4.157425E-2</v>
      </c>
      <c r="AA6669">
        <v>0.94831279999999996</v>
      </c>
      <c r="AB6669">
        <v>17</v>
      </c>
      <c r="AC6669">
        <v>-4.7882999999999898</v>
      </c>
      <c r="AD6669">
        <v>-1.1143172887970001</v>
      </c>
      <c r="AE6669">
        <v>-19.639900000000001</v>
      </c>
      <c r="AF6669">
        <v>-6.3752956963593297</v>
      </c>
      <c r="AG6669">
        <v>-1.1143172887970001</v>
      </c>
      <c r="AH6669">
        <v>19.119020916095799</v>
      </c>
      <c r="AI6669">
        <v>93.164678126204294</v>
      </c>
      <c r="AJ6669">
        <v>108.44112155434701</v>
      </c>
      <c r="AK6669">
        <v>20.1847234072265</v>
      </c>
      <c r="AL6669">
        <v>85.894956270765306</v>
      </c>
      <c r="AM6669">
        <v>92.933583171007598</v>
      </c>
      <c r="AN6669">
        <v>1.0000000216495999</v>
      </c>
    </row>
    <row r="6670" spans="1:40" x14ac:dyDescent="0.25">
      <c r="A6670" t="str">
        <f>"20190312154056422"</f>
        <v>20190312154056422</v>
      </c>
      <c r="B6670" t="str">
        <f>"1552376456412924"</f>
        <v>1552376456412924</v>
      </c>
      <c r="C6670" t="s">
        <v>40</v>
      </c>
      <c r="D6670">
        <v>4.0253819999999996</v>
      </c>
      <c r="E6670">
        <v>0.39775129999999997</v>
      </c>
      <c r="F6670" t="s">
        <v>42</v>
      </c>
      <c r="G6670">
        <v>-418.41370000000001</v>
      </c>
      <c r="H6670" s="1">
        <v>-3.2472029999999999E-6</v>
      </c>
      <c r="I6670">
        <v>105.9054</v>
      </c>
      <c r="J6670">
        <v>-413.74790000000002</v>
      </c>
      <c r="K6670">
        <v>1.114144</v>
      </c>
      <c r="L6670">
        <v>125.506</v>
      </c>
      <c r="M6670">
        <v>-0.52469149999999998</v>
      </c>
      <c r="N6670">
        <v>0</v>
      </c>
      <c r="O6670">
        <v>-0.85117759999999998</v>
      </c>
      <c r="P6670">
        <v>-0.48013099999999997</v>
      </c>
      <c r="Q6670">
        <v>5.8132349999999999E-2</v>
      </c>
      <c r="R6670">
        <v>-0.87526849999999901</v>
      </c>
      <c r="S6670">
        <v>-0.73181149999999995</v>
      </c>
      <c r="T6670">
        <v>-0.1718973</v>
      </c>
      <c r="U6670">
        <v>-3.0458370000000001</v>
      </c>
      <c r="V6670">
        <v>-5.1197909999999999E-2</v>
      </c>
      <c r="W6670">
        <v>7.1628520000000001E-2</v>
      </c>
      <c r="X6670">
        <v>0.99611649999999996</v>
      </c>
      <c r="Y6670">
        <v>-0.3115733</v>
      </c>
      <c r="Z6670">
        <v>4.2056299999999998E-2</v>
      </c>
      <c r="AA6670">
        <v>0.949291</v>
      </c>
      <c r="AB6670">
        <v>17</v>
      </c>
      <c r="AC6670">
        <v>-4.6657999999999902</v>
      </c>
      <c r="AD6670">
        <v>-1.1141472472030001</v>
      </c>
      <c r="AE6670">
        <v>-19.6006</v>
      </c>
      <c r="AF6670">
        <v>-6.2942145577814204</v>
      </c>
      <c r="AG6670">
        <v>-1.1141472472030001</v>
      </c>
      <c r="AH6670">
        <v>19.075239601116099</v>
      </c>
      <c r="AI6670">
        <v>93.174741822543695</v>
      </c>
      <c r="AJ6670">
        <v>108.261225403941</v>
      </c>
      <c r="AK6670">
        <v>20.1177341375172</v>
      </c>
      <c r="AL6670">
        <v>85.892470514887293</v>
      </c>
      <c r="AM6670">
        <v>92.942271481010295</v>
      </c>
      <c r="AN6670">
        <v>0.99999997621900305</v>
      </c>
    </row>
    <row r="6671" spans="1:40" x14ac:dyDescent="0.25">
      <c r="A6671" t="str">
        <f>"20190312154056444"</f>
        <v>20190312154056444</v>
      </c>
      <c r="B6671" t="str">
        <f>"1552376456433419"</f>
        <v>1552376456433419</v>
      </c>
      <c r="C6671" t="s">
        <v>40</v>
      </c>
      <c r="D6671">
        <v>4.2264999999999997</v>
      </c>
      <c r="E6671">
        <v>0.39899560000000001</v>
      </c>
      <c r="F6671" t="s">
        <v>42</v>
      </c>
      <c r="G6671">
        <v>-418.44319999999999</v>
      </c>
      <c r="H6671" s="1">
        <v>-3.0703219999999998E-6</v>
      </c>
      <c r="I6671">
        <v>105.5423</v>
      </c>
      <c r="J6671">
        <v>-413.82279999999997</v>
      </c>
      <c r="K6671">
        <v>1.113991</v>
      </c>
      <c r="L6671">
        <v>125.3659</v>
      </c>
      <c r="M6671">
        <v>-0.51778970000000002</v>
      </c>
      <c r="N6671">
        <v>0</v>
      </c>
      <c r="O6671">
        <v>-0.8553944</v>
      </c>
      <c r="P6671">
        <v>-0.47309909999999999</v>
      </c>
      <c r="Q6671">
        <v>5.8010550000000001E-2</v>
      </c>
      <c r="R6671">
        <v>-0.87909760000000003</v>
      </c>
      <c r="S6671">
        <v>-0.71636959999999905</v>
      </c>
      <c r="T6671">
        <v>-0.1699851</v>
      </c>
      <c r="U6671">
        <v>-3.045868</v>
      </c>
      <c r="V6671">
        <v>-5.1102469999999997E-2</v>
      </c>
      <c r="W6671">
        <v>7.1490590000000007E-2</v>
      </c>
      <c r="X6671">
        <v>0.9961314</v>
      </c>
      <c r="Y6671">
        <v>-0.30844139999999998</v>
      </c>
      <c r="Z6671">
        <v>4.197248E-2</v>
      </c>
      <c r="AA6671">
        <v>0.95031690000000002</v>
      </c>
      <c r="AB6671">
        <v>17</v>
      </c>
      <c r="AC6671">
        <v>-4.6204000000000098</v>
      </c>
      <c r="AD6671">
        <v>-1.1139940703219999</v>
      </c>
      <c r="AE6671">
        <v>-19.823599999999999</v>
      </c>
      <c r="AF6671">
        <v>-6.2939530855453203</v>
      </c>
      <c r="AG6671">
        <v>-1.1139940703219999</v>
      </c>
      <c r="AH6671">
        <v>19.293483581899299</v>
      </c>
      <c r="AI6671">
        <v>93.141948788353602</v>
      </c>
      <c r="AJ6671">
        <v>108.06745007338699</v>
      </c>
      <c r="AK6671">
        <v>20.324697708865799</v>
      </c>
      <c r="AL6671">
        <v>85.900394004900207</v>
      </c>
      <c r="AM6671">
        <v>92.9367524384257</v>
      </c>
      <c r="AN6671">
        <v>1.0000000664823001</v>
      </c>
    </row>
    <row r="6672" spans="1:40" x14ac:dyDescent="0.25">
      <c r="A6672" t="str">
        <f>"20190312154056467"</f>
        <v>20190312154056467</v>
      </c>
      <c r="B6672" t="str">
        <f>"1552376456462703"</f>
        <v>1552376456462703</v>
      </c>
      <c r="C6672" t="s">
        <v>40</v>
      </c>
      <c r="D6672">
        <v>4.1645669999999999</v>
      </c>
      <c r="E6672">
        <v>0.40132879999999999</v>
      </c>
      <c r="F6672" t="s">
        <v>42</v>
      </c>
      <c r="G6672">
        <v>-418.46080000000001</v>
      </c>
      <c r="H6672" s="1">
        <v>-2.914E-6</v>
      </c>
      <c r="I6672">
        <v>105.2182</v>
      </c>
      <c r="J6672">
        <v>-413.89830000000001</v>
      </c>
      <c r="K6672">
        <v>1.113836</v>
      </c>
      <c r="L6672">
        <v>125.2225</v>
      </c>
      <c r="M6672">
        <v>-0.51095829999999998</v>
      </c>
      <c r="N6672">
        <v>0</v>
      </c>
      <c r="O6672">
        <v>-0.85949279999999995</v>
      </c>
      <c r="P6672">
        <v>-0.4661979</v>
      </c>
      <c r="Q6672">
        <v>5.7499639999999998E-2</v>
      </c>
      <c r="R6672">
        <v>-0.88280990000000004</v>
      </c>
      <c r="S6672">
        <v>-0.70126339999999998</v>
      </c>
      <c r="T6672">
        <v>-0.16843320000000001</v>
      </c>
      <c r="U6672">
        <v>-3.0462950000000002</v>
      </c>
      <c r="V6672">
        <v>-5.0955720000000003E-2</v>
      </c>
      <c r="W6672">
        <v>7.0963609999999996E-2</v>
      </c>
      <c r="X6672">
        <v>0.99617650000000002</v>
      </c>
      <c r="Y6672">
        <v>-0.30536039999999998</v>
      </c>
      <c r="Z6672">
        <v>4.1954289999999998E-2</v>
      </c>
      <c r="AA6672">
        <v>0.95131220000000005</v>
      </c>
      <c r="AB6672">
        <v>17</v>
      </c>
      <c r="AC6672">
        <v>-4.5625</v>
      </c>
      <c r="AD6672">
        <v>-1.113838914</v>
      </c>
      <c r="AE6672">
        <v>-20.004300000000001</v>
      </c>
      <c r="AF6672">
        <v>-6.2820246993249098</v>
      </c>
      <c r="AG6672">
        <v>-1.113838914</v>
      </c>
      <c r="AH6672">
        <v>19.469315384943201</v>
      </c>
      <c r="AI6672">
        <v>93.116443980590404</v>
      </c>
      <c r="AJ6672">
        <v>107.882962323005</v>
      </c>
      <c r="AK6672">
        <v>20.488013886359401</v>
      </c>
      <c r="AL6672">
        <v>85.930664220365102</v>
      </c>
      <c r="AM6672">
        <v>92.928201377342106</v>
      </c>
      <c r="AN6672">
        <v>0.99999996924859902</v>
      </c>
    </row>
    <row r="6673" spans="1:40" x14ac:dyDescent="0.25">
      <c r="A6673" t="str">
        <f>"20190312154056500"</f>
        <v>20190312154056500</v>
      </c>
      <c r="B6673" t="str">
        <f>"1552376456492959"</f>
        <v>1552376456492959</v>
      </c>
      <c r="C6673" t="s">
        <v>40</v>
      </c>
      <c r="D6673">
        <v>4.1201169999999996</v>
      </c>
      <c r="E6673">
        <v>0.4029684</v>
      </c>
      <c r="F6673" t="s">
        <v>42</v>
      </c>
      <c r="G6673">
        <v>-418.68490000000003</v>
      </c>
      <c r="H6673" s="1">
        <v>-2.4135549999999999E-6</v>
      </c>
      <c r="I6673">
        <v>104.2436</v>
      </c>
      <c r="J6673">
        <v>-414.0102</v>
      </c>
      <c r="K6673">
        <v>1.1135740000000001</v>
      </c>
      <c r="L6673">
        <v>125.0063</v>
      </c>
      <c r="M6673">
        <v>-0.50116379999999905</v>
      </c>
      <c r="N6673">
        <v>0</v>
      </c>
      <c r="O6673">
        <v>-0.8652415</v>
      </c>
      <c r="P6673">
        <v>-0.4561557</v>
      </c>
      <c r="Q6673">
        <v>5.6451809999999998E-2</v>
      </c>
      <c r="R6673">
        <v>-0.88810769999999895</v>
      </c>
      <c r="S6673">
        <v>-0.69412229999999997</v>
      </c>
      <c r="T6673">
        <v>-0.16152159999999999</v>
      </c>
      <c r="U6673">
        <v>-3.0422210000000001</v>
      </c>
      <c r="V6673">
        <v>-5.0921130000000002E-2</v>
      </c>
      <c r="W6673">
        <v>6.9886719999999999E-2</v>
      </c>
      <c r="X6673">
        <v>0.99625439999999998</v>
      </c>
      <c r="Y6673">
        <v>-0.29636289999999998</v>
      </c>
      <c r="Z6673">
        <v>4.0809829999999998E-2</v>
      </c>
      <c r="AA6673">
        <v>0.95420309999999997</v>
      </c>
      <c r="AB6673">
        <v>16</v>
      </c>
      <c r="AC6673">
        <v>-4.6747000000000298</v>
      </c>
      <c r="AD6673">
        <v>-1.1135764135549999</v>
      </c>
      <c r="AE6673">
        <v>-20.762699999999899</v>
      </c>
      <c r="AF6673">
        <v>-6.3440114437581796</v>
      </c>
      <c r="AG6673">
        <v>-1.1135764135549999</v>
      </c>
      <c r="AH6673">
        <v>20.254038935644299</v>
      </c>
      <c r="AI6673">
        <v>93.003381124462905</v>
      </c>
      <c r="AJ6673">
        <v>107.391706267438</v>
      </c>
      <c r="AK6673">
        <v>21.253532102546</v>
      </c>
      <c r="AL6673">
        <v>85.992519071133003</v>
      </c>
      <c r="AM6673">
        <v>92.925988686137799</v>
      </c>
      <c r="AN6673">
        <v>0.99999997231609705</v>
      </c>
    </row>
    <row r="6674" spans="1:40" x14ac:dyDescent="0.25">
      <c r="A6674" t="str">
        <f>"20190312154056523"</f>
        <v>20190312154056523</v>
      </c>
      <c r="B6674" t="str">
        <f>"1552376456513451"</f>
        <v>1552376456513451</v>
      </c>
      <c r="C6674" t="s">
        <v>40</v>
      </c>
      <c r="D6674">
        <v>4.1307850000000004</v>
      </c>
      <c r="E6674">
        <v>0.42521340000000002</v>
      </c>
      <c r="F6674" t="s">
        <v>42</v>
      </c>
      <c r="G6674">
        <v>-418.65030000000002</v>
      </c>
      <c r="H6674" s="1">
        <v>-2.3021150000000002E-6</v>
      </c>
      <c r="I6674">
        <v>103.9948</v>
      </c>
      <c r="J6674">
        <v>-414.08179999999999</v>
      </c>
      <c r="K6674">
        <v>1.113381</v>
      </c>
      <c r="L6674">
        <v>124.8655</v>
      </c>
      <c r="M6674">
        <v>-0.49514039999999998</v>
      </c>
      <c r="N6674">
        <v>0</v>
      </c>
      <c r="O6674">
        <v>-0.86870329999999996</v>
      </c>
      <c r="P6674">
        <v>-0.44996649999999999</v>
      </c>
      <c r="Q6674">
        <v>5.7334669999999997E-2</v>
      </c>
      <c r="R6674">
        <v>-0.89120319999999997</v>
      </c>
      <c r="S6674">
        <v>-0.67202759999999995</v>
      </c>
      <c r="T6674">
        <v>-0.161277799999999</v>
      </c>
      <c r="U6674">
        <v>-3.0430600000000001</v>
      </c>
      <c r="V6674">
        <v>-5.0876230000000001E-2</v>
      </c>
      <c r="W6674">
        <v>7.0748610000000003E-2</v>
      </c>
      <c r="X6674">
        <v>0.99619590000000002</v>
      </c>
      <c r="Y6674">
        <v>-0.29638120000000001</v>
      </c>
      <c r="Z6674">
        <v>4.1026550000000002E-2</v>
      </c>
      <c r="AA6674">
        <v>0.95418820000000004</v>
      </c>
      <c r="AB6674">
        <v>16</v>
      </c>
      <c r="AC6674">
        <v>-4.5685000000000198</v>
      </c>
      <c r="AD6674">
        <v>-1.1133833021149999</v>
      </c>
      <c r="AE6674">
        <v>-20.870699999999999</v>
      </c>
      <c r="AF6674">
        <v>-6.3486210453670902</v>
      </c>
      <c r="AG6674">
        <v>-1.1133833021149999</v>
      </c>
      <c r="AH6674">
        <v>20.339202045843098</v>
      </c>
      <c r="AI6674">
        <v>92.991233194906201</v>
      </c>
      <c r="AJ6674">
        <v>107.33508377682099</v>
      </c>
      <c r="AK6674">
        <v>21.336066915360401</v>
      </c>
      <c r="AL6674">
        <v>85.943014034984699</v>
      </c>
      <c r="AM6674">
        <v>92.923584531089205</v>
      </c>
      <c r="AN6674">
        <v>1.0000000138863701</v>
      </c>
    </row>
    <row r="6675" spans="1:40" x14ac:dyDescent="0.25">
      <c r="A6675" t="str">
        <f>"20190312154056545"</f>
        <v>20190312154056545</v>
      </c>
      <c r="B6675" t="str">
        <f>"1552376456532971"</f>
        <v>1552376456532971</v>
      </c>
      <c r="C6675" t="s">
        <v>40</v>
      </c>
      <c r="D6675">
        <v>4.1142459999999996</v>
      </c>
      <c r="E6675">
        <v>0.42678240000000001</v>
      </c>
      <c r="F6675" t="s">
        <v>42</v>
      </c>
      <c r="G6675">
        <v>-421.23790000000002</v>
      </c>
      <c r="H6675" s="1">
        <v>-4.2055440000000002E-6</v>
      </c>
      <c r="I6675">
        <v>98.699719999999999</v>
      </c>
      <c r="J6675">
        <v>-414.15530000000001</v>
      </c>
      <c r="K6675">
        <v>1.1131879999999901</v>
      </c>
      <c r="L6675">
        <v>124.71939999999999</v>
      </c>
      <c r="M6675">
        <v>-0.48914269999999999</v>
      </c>
      <c r="N6675">
        <v>0</v>
      </c>
      <c r="O6675">
        <v>-0.87209530000000002</v>
      </c>
      <c r="P6675">
        <v>-0.44381199999999998</v>
      </c>
      <c r="Q6675">
        <v>5.7845939999999998E-2</v>
      </c>
      <c r="R6675">
        <v>-0.89425149999999998</v>
      </c>
      <c r="S6675">
        <v>-0.81088260000000001</v>
      </c>
      <c r="T6675">
        <v>-0.12616169999999999</v>
      </c>
      <c r="U6675">
        <v>-2.9649350000000001</v>
      </c>
      <c r="V6675">
        <v>-5.0833589999999998E-2</v>
      </c>
      <c r="W6675">
        <v>7.1238990000000002E-2</v>
      </c>
      <c r="X6675">
        <v>0.99616309999999997</v>
      </c>
      <c r="Y6675">
        <v>-0.24193819999999999</v>
      </c>
      <c r="Z6675">
        <v>3.3306839999999997E-2</v>
      </c>
      <c r="AA6675">
        <v>0.96971980000000002</v>
      </c>
      <c r="AB6675">
        <v>16</v>
      </c>
      <c r="AC6675">
        <v>-7.08260000000001</v>
      </c>
      <c r="AD6675">
        <v>-1.11319220554399</v>
      </c>
      <c r="AE6675">
        <v>-26.019679999999902</v>
      </c>
      <c r="AF6675">
        <v>-6.5401091784403302</v>
      </c>
      <c r="AG6675">
        <v>-1.11319220554399</v>
      </c>
      <c r="AH6675">
        <v>26.1140167150458</v>
      </c>
      <c r="AI6675">
        <v>92.367891744211803</v>
      </c>
      <c r="AJ6675">
        <v>104.06020528310999</v>
      </c>
      <c r="AK6675">
        <v>26.943535290419799</v>
      </c>
      <c r="AL6675">
        <v>85.914846137082293</v>
      </c>
      <c r="AM6675">
        <v>92.921234500011494</v>
      </c>
      <c r="AN6675">
        <v>0.99999998468505802</v>
      </c>
    </row>
    <row r="6676" spans="1:40" x14ac:dyDescent="0.25">
      <c r="A6676" t="str">
        <f>"20190312154056569"</f>
        <v>20190312154056569</v>
      </c>
      <c r="B6676" t="str">
        <f>"1552376456563227"</f>
        <v>1552376456563227</v>
      </c>
      <c r="C6676" t="s">
        <v>40</v>
      </c>
      <c r="D6676">
        <v>4.1539799999999998</v>
      </c>
      <c r="E6676">
        <v>0.42859750000000002</v>
      </c>
      <c r="F6676" t="s">
        <v>42</v>
      </c>
      <c r="G6676">
        <v>-421.47859999999997</v>
      </c>
      <c r="H6676" s="1">
        <v>-3.8580280000000001E-6</v>
      </c>
      <c r="I6676">
        <v>97.665189999999996</v>
      </c>
      <c r="J6676">
        <v>-414.23219999999998</v>
      </c>
      <c r="K6676">
        <v>1.112976</v>
      </c>
      <c r="L6676">
        <v>124.565</v>
      </c>
      <c r="M6676">
        <v>-0.48312490000000002</v>
      </c>
      <c r="N6676">
        <v>0</v>
      </c>
      <c r="O6676">
        <v>-0.87544419999999901</v>
      </c>
      <c r="P6676">
        <v>-0.43796879999999999</v>
      </c>
      <c r="Q6676">
        <v>5.7215820000000001E-2</v>
      </c>
      <c r="R6676">
        <v>-0.89716779999999996</v>
      </c>
      <c r="S6676">
        <v>-0.80242919999999995</v>
      </c>
      <c r="T6676">
        <v>-0.12197520000000001</v>
      </c>
      <c r="U6676">
        <v>-2.9644010000000001</v>
      </c>
      <c r="V6676">
        <v>-5.0450689999999999E-2</v>
      </c>
      <c r="W6676">
        <v>7.0592119999999994E-2</v>
      </c>
      <c r="X6676">
        <v>0.99622860000000002</v>
      </c>
      <c r="Y6676">
        <v>-0.2377746</v>
      </c>
      <c r="Z6676">
        <v>3.2435730000000003E-2</v>
      </c>
      <c r="AA6676">
        <v>0.97077860000000005</v>
      </c>
      <c r="AB6676">
        <v>16</v>
      </c>
      <c r="AC6676">
        <v>-7.2463999999999897</v>
      </c>
      <c r="AD6676">
        <v>-1.1129798580279999</v>
      </c>
      <c r="AE6676">
        <v>-26.899809999999999</v>
      </c>
      <c r="AF6676">
        <v>-6.6421724796758301</v>
      </c>
      <c r="AG6676">
        <v>-1.1129798580279999</v>
      </c>
      <c r="AH6676">
        <v>27.009629876822402</v>
      </c>
      <c r="AI6676">
        <v>92.291444015267899</v>
      </c>
      <c r="AJ6676">
        <v>103.815945929734</v>
      </c>
      <c r="AK6676">
        <v>27.8366177093604</v>
      </c>
      <c r="AL6676">
        <v>85.952002553716497</v>
      </c>
      <c r="AM6676">
        <v>92.899077920384201</v>
      </c>
      <c r="AN6676">
        <v>0.99999997149276398</v>
      </c>
    </row>
    <row r="6677" spans="1:40" x14ac:dyDescent="0.25">
      <c r="A6677" t="str">
        <f>"20190312154056590"</f>
        <v>20190312154056590</v>
      </c>
      <c r="B6677" t="str">
        <f>"1552376456582748"</f>
        <v>1552376456582748</v>
      </c>
      <c r="C6677" t="s">
        <v>40</v>
      </c>
      <c r="D6677">
        <v>4.1688109999999998</v>
      </c>
      <c r="E6677">
        <v>0.42926249999999999</v>
      </c>
      <c r="F6677" t="s">
        <v>42</v>
      </c>
      <c r="G6677">
        <v>-421.46289999999999</v>
      </c>
      <c r="H6677" s="1">
        <v>-3.8420660000000004E-6</v>
      </c>
      <c r="I6677">
        <v>97.637709999999998</v>
      </c>
      <c r="J6677">
        <v>-414.3</v>
      </c>
      <c r="K6677">
        <v>1.112781</v>
      </c>
      <c r="L6677">
        <v>124.4277</v>
      </c>
      <c r="M6677">
        <v>-0.47810150000000001</v>
      </c>
      <c r="N6677">
        <v>0</v>
      </c>
      <c r="O6677">
        <v>-0.87819809999999998</v>
      </c>
      <c r="P6677">
        <v>-0.43282419999999999</v>
      </c>
      <c r="Q6677">
        <v>5.630139E-2</v>
      </c>
      <c r="R6677">
        <v>-0.89971849999999998</v>
      </c>
      <c r="S6677">
        <v>-0.79571530000000001</v>
      </c>
      <c r="T6677">
        <v>-0.1224797</v>
      </c>
      <c r="U6677">
        <v>-2.963257</v>
      </c>
      <c r="V6677">
        <v>-5.0436889999999998E-2</v>
      </c>
      <c r="W6677">
        <v>6.9661249999999994E-2</v>
      </c>
      <c r="X6677">
        <v>0.99629489999999998</v>
      </c>
      <c r="Y6677">
        <v>-0.2341665</v>
      </c>
      <c r="Z6677">
        <v>3.2769819999999998E-2</v>
      </c>
      <c r="AA6677">
        <v>0.97164399999999995</v>
      </c>
      <c r="AB6677">
        <v>16</v>
      </c>
      <c r="AC6677">
        <v>-7.1628999999999703</v>
      </c>
      <c r="AD6677">
        <v>-1.112784842066</v>
      </c>
      <c r="AE6677">
        <v>-26.78999</v>
      </c>
      <c r="AF6677">
        <v>-6.5080194549399497</v>
      </c>
      <c r="AG6677">
        <v>-1.112784842066</v>
      </c>
      <c r="AH6677">
        <v>26.9106999571232</v>
      </c>
      <c r="AI6677">
        <v>92.301615128756893</v>
      </c>
      <c r="AJ6677">
        <v>103.595244914749</v>
      </c>
      <c r="AK6677">
        <v>27.708814112352702</v>
      </c>
      <c r="AL6677">
        <v>86.005469418030302</v>
      </c>
      <c r="AM6677">
        <v>92.898093732868801</v>
      </c>
      <c r="AN6677">
        <v>1.0000000486952201</v>
      </c>
    </row>
    <row r="6678" spans="1:40" x14ac:dyDescent="0.25">
      <c r="A6678" t="str">
        <f>"20190312154056612"</f>
        <v>20190312154056612</v>
      </c>
      <c r="B6678" t="str">
        <f>"1552376456603243"</f>
        <v>1552376456603243</v>
      </c>
      <c r="C6678" t="s">
        <v>40</v>
      </c>
      <c r="D6678">
        <v>4.0573629999999996</v>
      </c>
      <c r="E6678">
        <v>0.43493419999999999</v>
      </c>
      <c r="F6678" t="s">
        <v>42</v>
      </c>
      <c r="G6678">
        <v>-421.23910000000001</v>
      </c>
      <c r="H6678" s="1">
        <v>-4.0123030000000004E-6</v>
      </c>
      <c r="I6678">
        <v>98.173389999999998</v>
      </c>
      <c r="J6678">
        <v>-414.36860000000001</v>
      </c>
      <c r="K6678">
        <v>1.1125620000000001</v>
      </c>
      <c r="L6678">
        <v>124.2876</v>
      </c>
      <c r="M6678">
        <v>-0.47331380000000001</v>
      </c>
      <c r="N6678">
        <v>0</v>
      </c>
      <c r="O6678">
        <v>-0.88078860000000003</v>
      </c>
      <c r="P6678">
        <v>-0.4274386</v>
      </c>
      <c r="Q6678">
        <v>5.6382019999999998E-2</v>
      </c>
      <c r="R6678">
        <v>-0.90228489999999995</v>
      </c>
      <c r="S6678">
        <v>-0.78372189999999997</v>
      </c>
      <c r="T6678">
        <v>-0.12568109999999999</v>
      </c>
      <c r="U6678">
        <v>-2.9652400000000001</v>
      </c>
      <c r="V6678">
        <v>-5.093027E-2</v>
      </c>
      <c r="W6678">
        <v>6.9722619999999999E-2</v>
      </c>
      <c r="X6678">
        <v>0.99626550000000003</v>
      </c>
      <c r="Y6678">
        <v>-0.23271500000000001</v>
      </c>
      <c r="Z6678">
        <v>3.3781850000000002E-2</v>
      </c>
      <c r="AA6678">
        <v>0.97195810000000005</v>
      </c>
      <c r="AB6678">
        <v>16</v>
      </c>
      <c r="AC6678">
        <v>-6.8704999999999901</v>
      </c>
      <c r="AD6678">
        <v>-1.1125660123029999</v>
      </c>
      <c r="AE6678">
        <v>-26.11421</v>
      </c>
      <c r="AF6678">
        <v>-6.2986505876329204</v>
      </c>
      <c r="AG6678">
        <v>-1.1125660123029999</v>
      </c>
      <c r="AH6678">
        <v>26.210940812414499</v>
      </c>
      <c r="AI6678">
        <v>92.363352463310406</v>
      </c>
      <c r="AJ6678">
        <v>103.512318538184</v>
      </c>
      <c r="AK6678">
        <v>26.980070804738698</v>
      </c>
      <c r="AL6678">
        <v>86.001944576297703</v>
      </c>
      <c r="AM6678">
        <v>92.9264804191331</v>
      </c>
      <c r="AN6678">
        <v>1.0000000413160901</v>
      </c>
    </row>
    <row r="6679" spans="1:40" x14ac:dyDescent="0.25">
      <c r="A6679" t="str">
        <f>"20190312154056634"</f>
        <v>20190312154056634</v>
      </c>
      <c r="B6679" t="str">
        <f>"1552376456622763"</f>
        <v>1552376456622763</v>
      </c>
      <c r="C6679" t="s">
        <v>40</v>
      </c>
      <c r="D6679">
        <v>3.9466049999999999</v>
      </c>
      <c r="E6679">
        <v>0.40847610000000001</v>
      </c>
      <c r="F6679" t="s">
        <v>42</v>
      </c>
      <c r="G6679">
        <v>-421.86470000000003</v>
      </c>
      <c r="H6679" s="1">
        <v>-3.641545E-6</v>
      </c>
      <c r="I6679">
        <v>96.921090000000007</v>
      </c>
      <c r="J6679">
        <v>-414.43939999999998</v>
      </c>
      <c r="K6679">
        <v>1.112314</v>
      </c>
      <c r="L6679">
        <v>124.14230000000001</v>
      </c>
      <c r="M6679">
        <v>-0.46872970000000003</v>
      </c>
      <c r="N6679">
        <v>0</v>
      </c>
      <c r="O6679">
        <v>-0.88323719999999994</v>
      </c>
      <c r="P6679">
        <v>-0.4222475</v>
      </c>
      <c r="Q6679">
        <v>5.6395889999999997E-2</v>
      </c>
      <c r="R6679">
        <v>-0.90472459999999999</v>
      </c>
      <c r="S6679">
        <v>-0.80795289999999997</v>
      </c>
      <c r="T6679">
        <v>-0.1199158</v>
      </c>
      <c r="U6679">
        <v>-2.949646</v>
      </c>
      <c r="V6679">
        <v>-5.1435740000000001E-2</v>
      </c>
      <c r="W6679">
        <v>6.9718340000000004E-2</v>
      </c>
      <c r="X6679">
        <v>0.99623980000000001</v>
      </c>
      <c r="Y6679">
        <v>-0.2189141</v>
      </c>
      <c r="Z6679">
        <v>3.257554E-2</v>
      </c>
      <c r="AA6679">
        <v>0.97520019999999996</v>
      </c>
      <c r="AB6679">
        <v>16</v>
      </c>
      <c r="AC6679">
        <v>-7.4253000000000497</v>
      </c>
      <c r="AD6679">
        <v>-1.112317641545</v>
      </c>
      <c r="AE6679">
        <v>-27.221209999999999</v>
      </c>
      <c r="AF6679">
        <v>-6.1920376615694499</v>
      </c>
      <c r="AG6679">
        <v>-1.112317641545</v>
      </c>
      <c r="AH6679">
        <v>27.4830725887476</v>
      </c>
      <c r="AI6679">
        <v>92.261041432549504</v>
      </c>
      <c r="AJ6679">
        <v>102.69694412224</v>
      </c>
      <c r="AK6679">
        <v>28.193933032770701</v>
      </c>
      <c r="AL6679">
        <v>86.002190277795606</v>
      </c>
      <c r="AM6679">
        <v>92.955549860432399</v>
      </c>
      <c r="AN6679">
        <v>1.0000000106928699</v>
      </c>
    </row>
    <row r="6680" spans="1:40" x14ac:dyDescent="0.25">
      <c r="A6680" t="str">
        <f>"20190312154056656"</f>
        <v>20190312154056656</v>
      </c>
      <c r="B6680" t="str">
        <f>"1552376456653020"</f>
        <v>1552376456653020</v>
      </c>
      <c r="C6680" t="s">
        <v>40</v>
      </c>
      <c r="D6680">
        <v>4.2898199999999997</v>
      </c>
      <c r="E6680">
        <v>0.40968480000000002</v>
      </c>
      <c r="F6680" t="s">
        <v>42</v>
      </c>
      <c r="G6680">
        <v>-422.07650000000001</v>
      </c>
      <c r="H6680" s="1">
        <v>-3.0603210000000001E-6</v>
      </c>
      <c r="I6680">
        <v>85.434910000000002</v>
      </c>
      <c r="J6680">
        <v>-414.50940000000003</v>
      </c>
      <c r="K6680">
        <v>1.1120699999999999</v>
      </c>
      <c r="L6680">
        <v>123.9979</v>
      </c>
      <c r="M6680">
        <v>-0.46456370000000002</v>
      </c>
      <c r="N6680">
        <v>0</v>
      </c>
      <c r="O6680">
        <v>-0.88543619999999901</v>
      </c>
      <c r="P6680">
        <v>-0.4177515</v>
      </c>
      <c r="Q6680">
        <v>5.6837209999999999E-2</v>
      </c>
      <c r="R6680">
        <v>-0.90678230000000004</v>
      </c>
      <c r="S6680">
        <v>-0.60006709999999996</v>
      </c>
      <c r="T6680">
        <v>-8.7397459999999996E-2</v>
      </c>
      <c r="U6680">
        <v>-3.0413359999999998</v>
      </c>
      <c r="V6680">
        <v>-5.1634190000000003E-2</v>
      </c>
      <c r="W6680">
        <v>7.0145959999999993E-2</v>
      </c>
      <c r="X6680">
        <v>0.99619950000000002</v>
      </c>
      <c r="Y6680">
        <v>-0.28446129999999997</v>
      </c>
      <c r="Z6680">
        <v>2.3054680000000001E-2</v>
      </c>
      <c r="AA6680">
        <v>0.95841030000000005</v>
      </c>
      <c r="AB6680">
        <v>16</v>
      </c>
      <c r="AC6680">
        <v>-7.5670999999999804</v>
      </c>
      <c r="AD6680">
        <v>-1.1120730603210001</v>
      </c>
      <c r="AE6680">
        <v>-38.562989999999999</v>
      </c>
      <c r="AF6680">
        <v>-11.2068347692428</v>
      </c>
      <c r="AG6680">
        <v>-1.1120730603210001</v>
      </c>
      <c r="AH6680">
        <v>37.6337828216327</v>
      </c>
      <c r="AI6680">
        <v>91.622230326425694</v>
      </c>
      <c r="AJ6680">
        <v>106.58282420024</v>
      </c>
      <c r="AK6680">
        <v>39.282711992712798</v>
      </c>
      <c r="AL6680">
        <v>85.977629260210193</v>
      </c>
      <c r="AM6680">
        <v>92.967052473385095</v>
      </c>
      <c r="AN6680">
        <v>0.99999999454076305</v>
      </c>
    </row>
    <row r="6681" spans="1:40" x14ac:dyDescent="0.25">
      <c r="A6681" t="str">
        <f>"20190312154056679"</f>
        <v>20190312154056679</v>
      </c>
      <c r="B6681" t="str">
        <f>"1552376456672539"</f>
        <v>1552376456672539</v>
      </c>
      <c r="C6681" t="s">
        <v>40</v>
      </c>
      <c r="D6681">
        <v>4.1562349999999997</v>
      </c>
      <c r="E6681">
        <v>0.41099950000000002</v>
      </c>
      <c r="F6681" t="s">
        <v>42</v>
      </c>
      <c r="G6681">
        <v>-422.63240000000002</v>
      </c>
      <c r="H6681" s="1">
        <v>-1.92191E-6</v>
      </c>
      <c r="I6681">
        <v>82.436419999999998</v>
      </c>
      <c r="J6681">
        <v>-414.57979999999998</v>
      </c>
      <c r="K6681">
        <v>1.1118269999999999</v>
      </c>
      <c r="L6681">
        <v>123.8522</v>
      </c>
      <c r="M6681">
        <v>-0.46079910000000002</v>
      </c>
      <c r="N6681">
        <v>0</v>
      </c>
      <c r="O6681">
        <v>-0.88740189999999997</v>
      </c>
      <c r="P6681">
        <v>-0.41299059999999999</v>
      </c>
      <c r="Q6681">
        <v>5.8518580000000001E-2</v>
      </c>
      <c r="R6681">
        <v>-0.90885349999999998</v>
      </c>
      <c r="S6681">
        <v>-0.59411619999999998</v>
      </c>
      <c r="T6681">
        <v>-8.1336619999999998E-2</v>
      </c>
      <c r="U6681">
        <v>-3.0397949999999998</v>
      </c>
      <c r="V6681">
        <v>-5.2540900000000001E-2</v>
      </c>
      <c r="W6681">
        <v>7.1813050000000003E-2</v>
      </c>
      <c r="X6681">
        <v>0.99603330000000001</v>
      </c>
      <c r="Y6681">
        <v>-0.28209610000000002</v>
      </c>
      <c r="Z6681">
        <v>2.1556510000000001E-2</v>
      </c>
      <c r="AA6681">
        <v>0.95914390000000005</v>
      </c>
      <c r="AB6681">
        <v>16</v>
      </c>
      <c r="AC6681">
        <v>-8.0526000000000408</v>
      </c>
      <c r="AD6681">
        <v>-1.1118289219099999</v>
      </c>
      <c r="AE6681">
        <v>-41.415779999999998</v>
      </c>
      <c r="AF6681">
        <v>-11.9312630671511</v>
      </c>
      <c r="AG6681">
        <v>-1.1118289219099999</v>
      </c>
      <c r="AH6681">
        <v>40.438674646856697</v>
      </c>
      <c r="AI6681">
        <v>91.510559642249007</v>
      </c>
      <c r="AJ6681">
        <v>106.43847580568</v>
      </c>
      <c r="AK6681">
        <v>42.176742514370297</v>
      </c>
      <c r="AL6681">
        <v>85.881870514387899</v>
      </c>
      <c r="AM6681">
        <v>93.019561972931001</v>
      </c>
      <c r="AN6681">
        <v>0.99999999751600099</v>
      </c>
    </row>
    <row r="6682" spans="1:40" x14ac:dyDescent="0.25">
      <c r="A6682" t="str">
        <f>"20190312154056701"</f>
        <v>20190312154056701</v>
      </c>
      <c r="B6682" t="str">
        <f>"1552376456693035"</f>
        <v>1552376456693035</v>
      </c>
      <c r="C6682" t="s">
        <v>40</v>
      </c>
      <c r="D6682">
        <v>4.1031069999999996</v>
      </c>
      <c r="E6682">
        <v>0.4117654</v>
      </c>
      <c r="F6682" t="s">
        <v>42</v>
      </c>
      <c r="G6682">
        <v>-423.39370000000002</v>
      </c>
      <c r="H6682" s="1">
        <v>-4.4461989999999996E-6</v>
      </c>
      <c r="I6682">
        <v>78.283190000000005</v>
      </c>
      <c r="J6682">
        <v>-414.65019999999998</v>
      </c>
      <c r="K6682">
        <v>1.1116010000000001</v>
      </c>
      <c r="L6682">
        <v>123.70650000000001</v>
      </c>
      <c r="M6682">
        <v>-0.45745150000000001</v>
      </c>
      <c r="N6682">
        <v>0</v>
      </c>
      <c r="O6682">
        <v>-0.88913249999999999</v>
      </c>
      <c r="P6682">
        <v>-0.40911180000000003</v>
      </c>
      <c r="Q6682">
        <v>5.9914589999999997E-2</v>
      </c>
      <c r="R6682">
        <v>-0.91051499999999996</v>
      </c>
      <c r="S6682">
        <v>-0.58770749999999905</v>
      </c>
      <c r="T6682">
        <v>-7.4136969999999996E-2</v>
      </c>
      <c r="U6682">
        <v>-3.0385439999999999</v>
      </c>
      <c r="V6682">
        <v>-5.29554E-2</v>
      </c>
      <c r="W6682">
        <v>7.3197949999999998E-2</v>
      </c>
      <c r="X6682">
        <v>0.99591050000000003</v>
      </c>
      <c r="Y6682">
        <v>-0.28034720000000002</v>
      </c>
      <c r="Z6682">
        <v>1.972817E-2</v>
      </c>
      <c r="AA6682">
        <v>0.95969590000000005</v>
      </c>
      <c r="AB6682">
        <v>16</v>
      </c>
      <c r="AC6682">
        <v>-8.74350000000004</v>
      </c>
      <c r="AD6682">
        <v>-1.1116054461989999</v>
      </c>
      <c r="AE6682">
        <v>-45.423310000000001</v>
      </c>
      <c r="AF6682">
        <v>-12.998505292016199</v>
      </c>
      <c r="AG6682">
        <v>-1.1116054461989999</v>
      </c>
      <c r="AH6682">
        <v>44.365477001216497</v>
      </c>
      <c r="AI6682">
        <v>91.377403810696293</v>
      </c>
      <c r="AJ6682">
        <v>106.329895310955</v>
      </c>
      <c r="AK6682">
        <v>46.2438358707413</v>
      </c>
      <c r="AL6682">
        <v>85.802312066825806</v>
      </c>
      <c r="AM6682">
        <v>93.043713520695604</v>
      </c>
      <c r="AN6682">
        <v>0.999999969141805</v>
      </c>
    </row>
    <row r="6683" spans="1:40" x14ac:dyDescent="0.25">
      <c r="A6683" t="str">
        <f>"20190312154056724"</f>
        <v>20190312154056724</v>
      </c>
      <c r="B6683" t="str">
        <f>"1552376456712555"</f>
        <v>1552376456712555</v>
      </c>
      <c r="C6683" t="s">
        <v>40</v>
      </c>
      <c r="D6683">
        <v>4.1995120000000004</v>
      </c>
      <c r="E6683">
        <v>0.41289419999999999</v>
      </c>
      <c r="F6683" t="s">
        <v>42</v>
      </c>
      <c r="G6683">
        <v>-424.13279999999997</v>
      </c>
      <c r="H6683" s="1">
        <v>-3.0337339999999999E-6</v>
      </c>
      <c r="I6683">
        <v>74.097519999999903</v>
      </c>
      <c r="J6683">
        <v>-414.71879999999999</v>
      </c>
      <c r="K6683">
        <v>1.1114250000000001</v>
      </c>
      <c r="L6683">
        <v>123.5643</v>
      </c>
      <c r="M6683">
        <v>-0.45451049999999998</v>
      </c>
      <c r="N6683">
        <v>0</v>
      </c>
      <c r="O6683">
        <v>-0.89064019999999999</v>
      </c>
      <c r="P6683">
        <v>-0.406136</v>
      </c>
      <c r="Q6683">
        <v>5.9776910000000003E-2</v>
      </c>
      <c r="R6683">
        <v>-0.91185550000000004</v>
      </c>
      <c r="S6683">
        <v>-0.58077999999999996</v>
      </c>
      <c r="T6683">
        <v>-6.8081859999999994E-2</v>
      </c>
      <c r="U6683">
        <v>-3.038376</v>
      </c>
      <c r="V6683">
        <v>-5.2888070000000002E-2</v>
      </c>
      <c r="W6683">
        <v>7.3049580000000003E-2</v>
      </c>
      <c r="X6683">
        <v>0.99592499999999995</v>
      </c>
      <c r="Y6683">
        <v>-0.27926869999999998</v>
      </c>
      <c r="Z6683">
        <v>1.81744E-2</v>
      </c>
      <c r="AA6683">
        <v>0.96004100000000003</v>
      </c>
      <c r="AB6683">
        <v>16</v>
      </c>
      <c r="AC6683">
        <v>-9.4139999999999802</v>
      </c>
      <c r="AD6683">
        <v>-1.1114280337339999</v>
      </c>
      <c r="AE6683">
        <v>-49.46678</v>
      </c>
      <c r="AF6683">
        <v>-14.093089019091201</v>
      </c>
      <c r="AG6683">
        <v>-1.1114280337339999</v>
      </c>
      <c r="AH6683">
        <v>48.3166826378514</v>
      </c>
      <c r="AI6683">
        <v>91.265044424201406</v>
      </c>
      <c r="AJ6683">
        <v>106.260995122114</v>
      </c>
      <c r="AK6683">
        <v>50.342350476522803</v>
      </c>
      <c r="AL6683">
        <v>85.810835979579295</v>
      </c>
      <c r="AM6683">
        <v>93.039806686945496</v>
      </c>
      <c r="AN6683">
        <v>0.99999999735574996</v>
      </c>
    </row>
    <row r="6684" spans="1:40" x14ac:dyDescent="0.25">
      <c r="A6684" t="str">
        <f>"20190312154056746"</f>
        <v>20190312154056746</v>
      </c>
      <c r="B6684" t="str">
        <f>"1552376456733052"</f>
        <v>1552376456733052</v>
      </c>
      <c r="C6684" t="s">
        <v>40</v>
      </c>
      <c r="D6684">
        <v>4.1728670000000001</v>
      </c>
      <c r="E6684">
        <v>0.41410979999999997</v>
      </c>
      <c r="F6684" t="s">
        <v>42</v>
      </c>
      <c r="G6684">
        <v>-423.9425</v>
      </c>
      <c r="H6684" s="1">
        <v>-3.4716509999999999E-6</v>
      </c>
      <c r="I6684">
        <v>75.23639</v>
      </c>
      <c r="J6684">
        <v>-414.79070000000002</v>
      </c>
      <c r="K6684">
        <v>1.111278</v>
      </c>
      <c r="L6684">
        <v>123.41459999999999</v>
      </c>
      <c r="M6684">
        <v>-0.45175019999999999</v>
      </c>
      <c r="N6684">
        <v>0</v>
      </c>
      <c r="O6684">
        <v>-0.89204380000000005</v>
      </c>
      <c r="P6684">
        <v>-0.40393489999999999</v>
      </c>
      <c r="Q6684">
        <v>5.8644830000000002E-2</v>
      </c>
      <c r="R6684">
        <v>-0.91290570000000004</v>
      </c>
      <c r="S6684">
        <v>-0.57952879999999996</v>
      </c>
      <c r="T6684">
        <v>-6.9831370000000004E-2</v>
      </c>
      <c r="U6684">
        <v>-3.0364529999999998</v>
      </c>
      <c r="V6684">
        <v>-5.2210920000000001E-2</v>
      </c>
      <c r="W6684">
        <v>7.1907219999999994E-2</v>
      </c>
      <c r="X6684">
        <v>0.99604389999999998</v>
      </c>
      <c r="Y6684">
        <v>-0.27656540000000002</v>
      </c>
      <c r="Z6684">
        <v>1.8709239999999999E-2</v>
      </c>
      <c r="AA6684">
        <v>0.96081300000000003</v>
      </c>
      <c r="AB6684">
        <v>16</v>
      </c>
      <c r="AC6684">
        <v>-9.1517999999999802</v>
      </c>
      <c r="AD6684">
        <v>-1.111281471651</v>
      </c>
      <c r="AE6684">
        <v>-48.178209999999901</v>
      </c>
      <c r="AF6684">
        <v>-13.5949499773299</v>
      </c>
      <c r="AG6684">
        <v>-1.111281471651</v>
      </c>
      <c r="AH6684">
        <v>47.091450448285102</v>
      </c>
      <c r="AI6684">
        <v>91.298814635688998</v>
      </c>
      <c r="AJ6684">
        <v>106.103033769864</v>
      </c>
      <c r="AK6684">
        <v>49.027158970499499</v>
      </c>
      <c r="AL6684">
        <v>85.876461159461201</v>
      </c>
      <c r="AM6684">
        <v>93.000600684443398</v>
      </c>
      <c r="AN6684">
        <v>1.00000003959129</v>
      </c>
    </row>
    <row r="6685" spans="1:40" x14ac:dyDescent="0.25">
      <c r="A6685" t="str">
        <f>"20190312154056769"</f>
        <v>20190312154056769</v>
      </c>
      <c r="B6685" t="str">
        <f>"1552376456763307"</f>
        <v>1552376456763307</v>
      </c>
      <c r="C6685" t="s">
        <v>40</v>
      </c>
      <c r="D6685">
        <v>4.1865040000000002</v>
      </c>
      <c r="E6685">
        <v>0.41589559999999998</v>
      </c>
      <c r="F6685" t="s">
        <v>42</v>
      </c>
      <c r="G6685">
        <v>-423.6454</v>
      </c>
      <c r="H6685" s="1">
        <v>-4.1055870000000004E-6</v>
      </c>
      <c r="I6685">
        <v>77.151079999999993</v>
      </c>
      <c r="J6685">
        <v>-414.85969999999998</v>
      </c>
      <c r="K6685">
        <v>1.111143</v>
      </c>
      <c r="L6685">
        <v>123.2711</v>
      </c>
      <c r="M6685">
        <v>-0.44942979999999999</v>
      </c>
      <c r="N6685">
        <v>0</v>
      </c>
      <c r="O6685">
        <v>-0.89321539999999999</v>
      </c>
      <c r="P6685">
        <v>-0.40178120000000001</v>
      </c>
      <c r="Q6685">
        <v>5.853883E-2</v>
      </c>
      <c r="R6685">
        <v>-0.91386259999999997</v>
      </c>
      <c r="S6685">
        <v>-0.58068850000000005</v>
      </c>
      <c r="T6685">
        <v>-7.2877529999999996E-2</v>
      </c>
      <c r="U6685">
        <v>-3.0339510000000001</v>
      </c>
      <c r="V6685">
        <v>-5.1950610000000001E-2</v>
      </c>
      <c r="W6685">
        <v>7.1790699999999999E-2</v>
      </c>
      <c r="X6685">
        <v>0.99606589999999995</v>
      </c>
      <c r="Y6685">
        <v>-0.27356900000000001</v>
      </c>
      <c r="Z6685">
        <v>1.9591299999999999E-2</v>
      </c>
      <c r="AA6685">
        <v>0.96165279999999997</v>
      </c>
      <c r="AB6685">
        <v>16</v>
      </c>
      <c r="AC6685">
        <v>-8.7857000000000198</v>
      </c>
      <c r="AD6685">
        <v>-1.1111471055869999</v>
      </c>
      <c r="AE6685">
        <v>-46.120019999999997</v>
      </c>
      <c r="AF6685">
        <v>-12.874131331634601</v>
      </c>
      <c r="AG6685">
        <v>-1.1111471055869999</v>
      </c>
      <c r="AH6685">
        <v>45.122436648311698</v>
      </c>
      <c r="AI6685">
        <v>91.356520356099495</v>
      </c>
      <c r="AJ6685">
        <v>105.924270261308</v>
      </c>
      <c r="AK6685">
        <v>46.936256716054103</v>
      </c>
      <c r="AL6685">
        <v>85.883154497305995</v>
      </c>
      <c r="AM6685">
        <v>92.985601784053998</v>
      </c>
      <c r="AN6685">
        <v>1.0000000238143301</v>
      </c>
    </row>
    <row r="6686" spans="1:40" x14ac:dyDescent="0.25">
      <c r="A6686" t="str">
        <f>"20190312154056790"</f>
        <v>20190312154056790</v>
      </c>
      <c r="B6686" t="str">
        <f>"1552376456782827"</f>
        <v>1552376456782827</v>
      </c>
      <c r="C6686" t="s">
        <v>40</v>
      </c>
      <c r="D6686">
        <v>4.24613</v>
      </c>
      <c r="E6686">
        <v>0.42843409999999899</v>
      </c>
      <c r="F6686" t="s">
        <v>42</v>
      </c>
      <c r="G6686">
        <v>-423.31810000000002</v>
      </c>
      <c r="H6686" s="1">
        <v>-4.8518759999999901E-6</v>
      </c>
      <c r="I6686">
        <v>79.514690000000002</v>
      </c>
      <c r="J6686">
        <v>-414.92779999999999</v>
      </c>
      <c r="K6686">
        <v>1.1110009999999999</v>
      </c>
      <c r="L6686">
        <v>123.1293</v>
      </c>
      <c r="M6686">
        <v>-0.44744659999999897</v>
      </c>
      <c r="N6686">
        <v>0</v>
      </c>
      <c r="O6686">
        <v>-0.89421099999999998</v>
      </c>
      <c r="P6686">
        <v>-0.40008959999999999</v>
      </c>
      <c r="Q6686">
        <v>5.82663E-2</v>
      </c>
      <c r="R6686">
        <v>-0.91462209999999999</v>
      </c>
      <c r="S6686">
        <v>-0.58575440000000001</v>
      </c>
      <c r="T6686">
        <v>-7.6948290000000003E-2</v>
      </c>
      <c r="U6686">
        <v>-3.0301819999999999</v>
      </c>
      <c r="V6686">
        <v>-5.1566929999999997E-2</v>
      </c>
      <c r="W6686">
        <v>7.1511989999999998E-2</v>
      </c>
      <c r="X6686">
        <v>0.99610580000000004</v>
      </c>
      <c r="Y6686">
        <v>-0.26966570000000001</v>
      </c>
      <c r="Z6686">
        <v>2.0758140000000001E-2</v>
      </c>
      <c r="AA6686">
        <v>0.96273019999999998</v>
      </c>
      <c r="AB6686">
        <v>16</v>
      </c>
      <c r="AC6686">
        <v>-8.3903000000000194</v>
      </c>
      <c r="AD6686">
        <v>-1.111005851876</v>
      </c>
      <c r="AE6686">
        <v>-43.614609999999999</v>
      </c>
      <c r="AF6686">
        <v>-12.006068471711901</v>
      </c>
      <c r="AG6686">
        <v>-1.111005851876</v>
      </c>
      <c r="AH6686">
        <v>42.731947141869398</v>
      </c>
      <c r="AI6686">
        <v>91.433827838302804</v>
      </c>
      <c r="AJ6686">
        <v>105.693363899372</v>
      </c>
      <c r="AK6686">
        <v>44.400442798308497</v>
      </c>
      <c r="AL6686">
        <v>85.899164204841298</v>
      </c>
      <c r="AM6686">
        <v>92.963472648366704</v>
      </c>
      <c r="AN6686">
        <v>0.99999993888851002</v>
      </c>
    </row>
    <row r="6687" spans="1:40" x14ac:dyDescent="0.25">
      <c r="A6687" t="str">
        <f>"20190312154056813"</f>
        <v>20190312154056813</v>
      </c>
      <c r="B6687" t="str">
        <f>"1552376456803323"</f>
        <v>1552376456803323</v>
      </c>
      <c r="C6687" t="s">
        <v>40</v>
      </c>
      <c r="D6687">
        <v>4.2079879999999896</v>
      </c>
      <c r="E6687">
        <v>0.42967349999999999</v>
      </c>
      <c r="F6687" t="s">
        <v>42</v>
      </c>
      <c r="G6687">
        <v>-421.07209999999998</v>
      </c>
      <c r="H6687" s="1">
        <v>-2.9194029999999998E-6</v>
      </c>
      <c r="I6687">
        <v>95.729320000000001</v>
      </c>
      <c r="J6687">
        <v>-414.99650000000003</v>
      </c>
      <c r="K6687">
        <v>1.110838</v>
      </c>
      <c r="L6687">
        <v>122.9863</v>
      </c>
      <c r="M6687">
        <v>-0.445741</v>
      </c>
      <c r="N6687">
        <v>0</v>
      </c>
      <c r="O6687">
        <v>-0.89506299999999905</v>
      </c>
      <c r="P6687">
        <v>-0.39819680000000002</v>
      </c>
      <c r="Q6687">
        <v>5.699183E-2</v>
      </c>
      <c r="R6687">
        <v>-0.91552789999999995</v>
      </c>
      <c r="S6687">
        <v>-0.67141719999999905</v>
      </c>
      <c r="T6687">
        <v>-0.1214035</v>
      </c>
      <c r="U6687">
        <v>-2.9940950000000002</v>
      </c>
      <c r="V6687">
        <v>-5.1735509999999998E-2</v>
      </c>
      <c r="W6687">
        <v>7.0236339999999994E-2</v>
      </c>
      <c r="X6687">
        <v>0.99618790000000002</v>
      </c>
      <c r="Y6687">
        <v>-0.2392387</v>
      </c>
      <c r="Z6687">
        <v>3.325152E-2</v>
      </c>
      <c r="AA6687">
        <v>0.97039129999999996</v>
      </c>
      <c r="AB6687">
        <v>16</v>
      </c>
      <c r="AC6687">
        <v>-6.0755999999999499</v>
      </c>
      <c r="AD6687">
        <v>-1.110840919403</v>
      </c>
      <c r="AE6687">
        <v>-27.256979999999999</v>
      </c>
      <c r="AF6687">
        <v>-6.7014996376767604</v>
      </c>
      <c r="AG6687">
        <v>-1.110840919403</v>
      </c>
      <c r="AH6687">
        <v>27.064435829791002</v>
      </c>
      <c r="AI6687">
        <v>92.281520316767896</v>
      </c>
      <c r="AJ6687">
        <v>103.90743833634301</v>
      </c>
      <c r="AK6687">
        <v>27.9039020878242</v>
      </c>
      <c r="AL6687">
        <v>85.972438163650196</v>
      </c>
      <c r="AM6687">
        <v>92.972898740070093</v>
      </c>
      <c r="AN6687">
        <v>1.00000001927898</v>
      </c>
    </row>
    <row r="6688" spans="1:40" x14ac:dyDescent="0.25">
      <c r="A6688" t="str">
        <f>"20190312154056835"</f>
        <v>20190312154056835</v>
      </c>
      <c r="B6688" t="str">
        <f>"1552376456822844"</f>
        <v>1552376456822844</v>
      </c>
      <c r="C6688" t="s">
        <v>40</v>
      </c>
      <c r="D6688">
        <v>4.2262680000000001</v>
      </c>
      <c r="E6688">
        <v>0.43015700000000001</v>
      </c>
      <c r="F6688" t="s">
        <v>42</v>
      </c>
      <c r="G6688">
        <v>-421.12430000000001</v>
      </c>
      <c r="H6688" s="1">
        <v>-2.9529620000000002E-6</v>
      </c>
      <c r="I6688">
        <v>95.775229999999993</v>
      </c>
      <c r="J6688">
        <v>-415.0659</v>
      </c>
      <c r="K6688">
        <v>1.1106659999999999</v>
      </c>
      <c r="L6688">
        <v>122.84229999999999</v>
      </c>
      <c r="M6688">
        <v>-0.44430770000000003</v>
      </c>
      <c r="N6688">
        <v>0</v>
      </c>
      <c r="O6688">
        <v>-0.8957754</v>
      </c>
      <c r="P6688">
        <v>-0.397231</v>
      </c>
      <c r="Q6688">
        <v>5.6048639999999997E-2</v>
      </c>
      <c r="R6688">
        <v>-0.91600539999999997</v>
      </c>
      <c r="S6688">
        <v>-0.67364499999999905</v>
      </c>
      <c r="T6688">
        <v>-0.12211859999999999</v>
      </c>
      <c r="U6688">
        <v>-2.991409</v>
      </c>
      <c r="V6688">
        <v>-5.1186889999999999E-2</v>
      </c>
      <c r="W6688">
        <v>6.9296869999999997E-2</v>
      </c>
      <c r="X6688">
        <v>0.996282</v>
      </c>
      <c r="Y6688">
        <v>-0.23681199999999999</v>
      </c>
      <c r="Z6688">
        <v>3.3527999999999898E-2</v>
      </c>
      <c r="AA6688">
        <v>0.97097679999999997</v>
      </c>
      <c r="AB6688">
        <v>16</v>
      </c>
      <c r="AC6688">
        <v>-6.0583999999999998</v>
      </c>
      <c r="AD6688">
        <v>-1.110668952962</v>
      </c>
      <c r="AE6688">
        <v>-27.067069999999902</v>
      </c>
      <c r="AF6688">
        <v>-6.5891609553160899</v>
      </c>
      <c r="AG6688">
        <v>-1.110668952962</v>
      </c>
      <c r="AH6688">
        <v>26.8970667012772</v>
      </c>
      <c r="AI6688">
        <v>92.296750920587996</v>
      </c>
      <c r="AJ6688">
        <v>103.765053973132</v>
      </c>
      <c r="AK6688">
        <v>27.714668043313999</v>
      </c>
      <c r="AL6688">
        <v>86.026397188947996</v>
      </c>
      <c r="AM6688">
        <v>92.941151489536196</v>
      </c>
      <c r="AN6688">
        <v>0.99999998871183404</v>
      </c>
    </row>
    <row r="6689" spans="1:40" x14ac:dyDescent="0.25">
      <c r="A6689" t="str">
        <f>"20190312154056858"</f>
        <v>20190312154056858</v>
      </c>
      <c r="B6689" t="str">
        <f>"1552376456853099"</f>
        <v>1552376456853099</v>
      </c>
      <c r="C6689" t="s">
        <v>40</v>
      </c>
      <c r="D6689">
        <v>4.2814800000000002</v>
      </c>
      <c r="E6689">
        <v>0.43076429999999999</v>
      </c>
      <c r="F6689" t="s">
        <v>42</v>
      </c>
      <c r="G6689">
        <v>-421.23090000000002</v>
      </c>
      <c r="H6689" s="1">
        <v>-2.8537860000000001E-6</v>
      </c>
      <c r="I6689">
        <v>95.477940000000004</v>
      </c>
      <c r="J6689">
        <v>-415.13729999999998</v>
      </c>
      <c r="K6689">
        <v>1.1104959999999999</v>
      </c>
      <c r="L6689">
        <v>122.6947</v>
      </c>
      <c r="M6689">
        <v>-0.44314330000000002</v>
      </c>
      <c r="N6689">
        <v>0</v>
      </c>
      <c r="O6689">
        <v>-0.89635229999999999</v>
      </c>
      <c r="P6689">
        <v>-0.39654470000000003</v>
      </c>
      <c r="Q6689">
        <v>5.5556639999999997E-2</v>
      </c>
      <c r="R6689">
        <v>-0.91633299999999995</v>
      </c>
      <c r="S6689">
        <v>-0.67370609999999997</v>
      </c>
      <c r="T6689">
        <v>-0.1213737</v>
      </c>
      <c r="U6689">
        <v>-2.9903719999999998</v>
      </c>
      <c r="V6689">
        <v>-5.0623260000000003E-2</v>
      </c>
      <c r="W6689">
        <v>6.8810709999999997E-2</v>
      </c>
      <c r="X6689">
        <v>0.99634449999999997</v>
      </c>
      <c r="Y6689">
        <v>-0.2354569</v>
      </c>
      <c r="Z6689">
        <v>3.337536E-2</v>
      </c>
      <c r="AA6689">
        <v>0.97131160000000005</v>
      </c>
      <c r="AB6689">
        <v>16</v>
      </c>
      <c r="AC6689">
        <v>-6.0936000000000297</v>
      </c>
      <c r="AD6689">
        <v>-1.1104988537860001</v>
      </c>
      <c r="AE6689">
        <v>-27.216759999999901</v>
      </c>
      <c r="AF6689">
        <v>-6.5890492695546197</v>
      </c>
      <c r="AG6689">
        <v>-1.1104988537860001</v>
      </c>
      <c r="AH6689">
        <v>27.055643643167699</v>
      </c>
      <c r="AI6689">
        <v>92.283711393239301</v>
      </c>
      <c r="AJ6689">
        <v>103.687194834595</v>
      </c>
      <c r="AK6689">
        <v>27.8685599004857</v>
      </c>
      <c r="AL6689">
        <v>86.054318782939205</v>
      </c>
      <c r="AM6689">
        <v>92.908639602747897</v>
      </c>
      <c r="AN6689">
        <v>0.99999999547199003</v>
      </c>
    </row>
    <row r="6690" spans="1:40" x14ac:dyDescent="0.25">
      <c r="A6690" t="str">
        <f>"20190312154056880"</f>
        <v>20190312154056880</v>
      </c>
      <c r="B6690" t="str">
        <f>"1552376456872620"</f>
        <v>1552376456872620</v>
      </c>
      <c r="C6690" t="s">
        <v>40</v>
      </c>
      <c r="D6690">
        <v>4.2393020000000003</v>
      </c>
      <c r="E6690">
        <v>0.43090879999999998</v>
      </c>
      <c r="F6690" t="s">
        <v>42</v>
      </c>
      <c r="G6690">
        <v>-421.50900000000001</v>
      </c>
      <c r="H6690" s="1">
        <v>-2.5092340000000001E-6</v>
      </c>
      <c r="I6690">
        <v>94.502269999999996</v>
      </c>
      <c r="J6690">
        <v>-415.2072</v>
      </c>
      <c r="K6690">
        <v>1.110355</v>
      </c>
      <c r="L6690">
        <v>122.5506</v>
      </c>
      <c r="M6690">
        <v>-0.44231500000000001</v>
      </c>
      <c r="N6690">
        <v>0</v>
      </c>
      <c r="O6690">
        <v>-0.89676169999999999</v>
      </c>
      <c r="P6690">
        <v>-0.39624520000000002</v>
      </c>
      <c r="Q6690">
        <v>5.5227249999999999E-2</v>
      </c>
      <c r="R6690">
        <v>-0.91648249999999998</v>
      </c>
      <c r="S6690">
        <v>-0.67547609999999902</v>
      </c>
      <c r="T6690">
        <v>-0.1177256</v>
      </c>
      <c r="U6690">
        <v>-2.9887239999999999</v>
      </c>
      <c r="V6690">
        <v>-5.0013410000000001E-2</v>
      </c>
      <c r="W6690">
        <v>6.8485329999999997E-2</v>
      </c>
      <c r="X6690">
        <v>0.99639770000000005</v>
      </c>
      <c r="Y6690">
        <v>-0.23388900000000001</v>
      </c>
      <c r="Z6690">
        <v>3.241985E-2</v>
      </c>
      <c r="AA6690">
        <v>0.97172270000000005</v>
      </c>
      <c r="AB6690">
        <v>16</v>
      </c>
      <c r="AC6690">
        <v>-6.3018000000000098</v>
      </c>
      <c r="AD6690">
        <v>-1.1103575092339999</v>
      </c>
      <c r="AE6690">
        <v>-28.04833</v>
      </c>
      <c r="AF6690">
        <v>-6.7455150912409501</v>
      </c>
      <c r="AG6690">
        <v>-1.1103575092339999</v>
      </c>
      <c r="AH6690">
        <v>27.900882503868999</v>
      </c>
      <c r="AI6690">
        <v>92.215213602180796</v>
      </c>
      <c r="AJ6690">
        <v>103.59142726375499</v>
      </c>
      <c r="AK6690">
        <v>28.726192092569001</v>
      </c>
      <c r="AL6690">
        <v>86.073005703072496</v>
      </c>
      <c r="AM6690">
        <v>92.873505620224904</v>
      </c>
      <c r="AN6690">
        <v>0.99999997908516303</v>
      </c>
    </row>
    <row r="6691" spans="1:40" x14ac:dyDescent="0.25">
      <c r="A6691" t="str">
        <f>"20190312154056902"</f>
        <v>20190312154056902</v>
      </c>
      <c r="B6691" t="str">
        <f>"1552376456893116"</f>
        <v>1552376456893116</v>
      </c>
      <c r="C6691" t="s">
        <v>40</v>
      </c>
      <c r="D6691">
        <v>4.213883</v>
      </c>
      <c r="E6691">
        <v>0.43335240000000003</v>
      </c>
      <c r="F6691" t="s">
        <v>42</v>
      </c>
      <c r="G6691">
        <v>-421.6386</v>
      </c>
      <c r="H6691" s="1">
        <v>-2.3607659999999998E-6</v>
      </c>
      <c r="I6691">
        <v>94.075789999999998</v>
      </c>
      <c r="J6691">
        <v>-415.27670000000001</v>
      </c>
      <c r="K6691">
        <v>1.1102669999999999</v>
      </c>
      <c r="L6691">
        <v>122.40779999999999</v>
      </c>
      <c r="M6691">
        <v>-0.4417256</v>
      </c>
      <c r="N6691">
        <v>0</v>
      </c>
      <c r="O6691">
        <v>-0.89705219999999897</v>
      </c>
      <c r="P6691">
        <v>-0.39690930000000002</v>
      </c>
      <c r="Q6691">
        <v>5.3714270000000001E-2</v>
      </c>
      <c r="R6691">
        <v>-0.91628489999999996</v>
      </c>
      <c r="S6691">
        <v>-0.67501829999999996</v>
      </c>
      <c r="T6691">
        <v>-0.116538</v>
      </c>
      <c r="U6691">
        <v>-2.9885860000000002</v>
      </c>
      <c r="V6691">
        <v>-4.8660950000000001E-2</v>
      </c>
      <c r="W6691">
        <v>6.6972950000000003E-2</v>
      </c>
      <c r="X6691">
        <v>0.99656750000000005</v>
      </c>
      <c r="Y6691">
        <v>-0.23337959999999999</v>
      </c>
      <c r="Z6691">
        <v>3.2113849999999999E-2</v>
      </c>
      <c r="AA6691">
        <v>0.97185529999999998</v>
      </c>
      <c r="AB6691">
        <v>16</v>
      </c>
      <c r="AC6691">
        <v>-6.3618999999999897</v>
      </c>
      <c r="AD6691">
        <v>-1.1102693607659999</v>
      </c>
      <c r="AE6691">
        <v>-28.33201</v>
      </c>
      <c r="AF6691">
        <v>-6.7986769260450597</v>
      </c>
      <c r="AG6691">
        <v>-1.1102693607659999</v>
      </c>
      <c r="AH6691">
        <v>28.186779776663101</v>
      </c>
      <c r="AI6691">
        <v>92.192875925693002</v>
      </c>
      <c r="AJ6691">
        <v>103.56077515527301</v>
      </c>
      <c r="AK6691">
        <v>29.0163619390215</v>
      </c>
      <c r="AL6691">
        <v>86.159858308797794</v>
      </c>
      <c r="AM6691">
        <v>92.795449812405906</v>
      </c>
      <c r="AN6691">
        <v>1.0000000230714201</v>
      </c>
    </row>
    <row r="6692" spans="1:40" x14ac:dyDescent="0.25">
      <c r="A6692" t="str">
        <f>"20190312154056924"</f>
        <v>20190312154056924</v>
      </c>
      <c r="B6692" t="str">
        <f>"1552376456912636"</f>
        <v>1552376456912636</v>
      </c>
      <c r="C6692" t="s">
        <v>40</v>
      </c>
      <c r="D6692">
        <v>4.2705659999999996</v>
      </c>
      <c r="E6692">
        <v>0.48421449999999999</v>
      </c>
      <c r="F6692" t="s">
        <v>42</v>
      </c>
      <c r="G6692">
        <v>-421.8691</v>
      </c>
      <c r="H6692" s="1">
        <v>-2.443192E-6</v>
      </c>
      <c r="I6692">
        <v>94.125</v>
      </c>
      <c r="J6692">
        <v>-415.34539999999998</v>
      </c>
      <c r="K6692">
        <v>1.110217</v>
      </c>
      <c r="L6692">
        <v>122.267</v>
      </c>
      <c r="M6692">
        <v>-0.4413434</v>
      </c>
      <c r="N6692">
        <v>0</v>
      </c>
      <c r="O6692">
        <v>-0.8972405</v>
      </c>
      <c r="P6692">
        <v>-0.39888879999999999</v>
      </c>
      <c r="Q6692">
        <v>5.2865019999999999E-2</v>
      </c>
      <c r="R6692">
        <v>-0.91547449999999997</v>
      </c>
      <c r="S6692">
        <v>-0.69461059999999997</v>
      </c>
      <c r="T6692">
        <v>-0.11698459999999999</v>
      </c>
      <c r="U6692">
        <v>-2.9800420000000001</v>
      </c>
      <c r="V6692">
        <v>-4.609543E-2</v>
      </c>
      <c r="W6692">
        <v>6.6120810000000002E-2</v>
      </c>
      <c r="X6692">
        <v>0.99674640000000003</v>
      </c>
      <c r="Y6692">
        <v>-0.22629350000000001</v>
      </c>
      <c r="Z6692">
        <v>3.2349419999999997E-2</v>
      </c>
      <c r="AA6692">
        <v>0.97352179999999999</v>
      </c>
      <c r="AB6692">
        <v>16</v>
      </c>
      <c r="AC6692">
        <v>-6.5237000000000096</v>
      </c>
      <c r="AD6692">
        <v>-1.1102194431919901</v>
      </c>
      <c r="AE6692">
        <v>-28.141999999999999</v>
      </c>
      <c r="AF6692">
        <v>-6.5578485754967399</v>
      </c>
      <c r="AG6692">
        <v>-1.1102194431919901</v>
      </c>
      <c r="AH6692">
        <v>28.0903137063194</v>
      </c>
      <c r="AI6692">
        <v>92.204128611099193</v>
      </c>
      <c r="AJ6692">
        <v>103.140680355331</v>
      </c>
      <c r="AK6692">
        <v>28.867000004687299</v>
      </c>
      <c r="AL6692">
        <v>86.208790974172203</v>
      </c>
      <c r="AM6692">
        <v>92.647808108373397</v>
      </c>
      <c r="AN6692">
        <v>1.0000000680474399</v>
      </c>
    </row>
    <row r="6693" spans="1:40" x14ac:dyDescent="0.25">
      <c r="A6693" t="str">
        <f>"20190312154056947"</f>
        <v>20190312154056947</v>
      </c>
      <c r="B6693" t="str">
        <f>"1552376456942892"</f>
        <v>1552376456942892</v>
      </c>
      <c r="C6693" t="s">
        <v>40</v>
      </c>
      <c r="D6693">
        <v>4.2812380000000001</v>
      </c>
      <c r="E6693">
        <v>0.48772989999999999</v>
      </c>
      <c r="F6693" t="s">
        <v>42</v>
      </c>
      <c r="G6693">
        <v>-422.4391</v>
      </c>
      <c r="H6693" s="1">
        <v>-2.5477659999999999E-6</v>
      </c>
      <c r="I6693">
        <v>103.60850000000001</v>
      </c>
      <c r="J6693">
        <v>-415.4171</v>
      </c>
      <c r="K6693">
        <v>1.110187</v>
      </c>
      <c r="L6693">
        <v>122.1203</v>
      </c>
      <c r="M6693">
        <v>-0.4411294</v>
      </c>
      <c r="N6693">
        <v>0</v>
      </c>
      <c r="O6693">
        <v>-0.89734570000000002</v>
      </c>
      <c r="P6693">
        <v>-0.40079239999999999</v>
      </c>
      <c r="Q6693">
        <v>5.2313659999999998E-2</v>
      </c>
      <c r="R6693">
        <v>-0.9146744</v>
      </c>
      <c r="S6693">
        <v>-1.07196</v>
      </c>
      <c r="T6693">
        <v>-0.1677708</v>
      </c>
      <c r="U6693">
        <v>-2.8195800000000002</v>
      </c>
      <c r="V6693">
        <v>-4.3791799999999999E-2</v>
      </c>
      <c r="W6693">
        <v>6.5564129999999998E-2</v>
      </c>
      <c r="X6693">
        <v>0.99688699999999997</v>
      </c>
      <c r="Y6693">
        <v>-9.3923229999999996E-2</v>
      </c>
      <c r="Z6693">
        <v>4.8689650000000001E-2</v>
      </c>
      <c r="AA6693">
        <v>0.9943881</v>
      </c>
      <c r="AB6693">
        <v>16</v>
      </c>
      <c r="AC6693">
        <v>-7.0219999999999896</v>
      </c>
      <c r="AD6693">
        <v>-1.110189547766</v>
      </c>
      <c r="AE6693">
        <v>-18.511799999999901</v>
      </c>
      <c r="AF6693">
        <v>-1.8592555192925799</v>
      </c>
      <c r="AG6693">
        <v>-1.110189547766</v>
      </c>
      <c r="AH6693">
        <v>19.649043943828602</v>
      </c>
      <c r="AI6693">
        <v>93.219477120006502</v>
      </c>
      <c r="AJ6693">
        <v>95.405416090927602</v>
      </c>
      <c r="AK6693">
        <v>19.7680115293496</v>
      </c>
      <c r="AL6693">
        <v>86.240755620729601</v>
      </c>
      <c r="AM6693">
        <v>92.515303380883296</v>
      </c>
      <c r="AN6693">
        <v>1.0000000338294399</v>
      </c>
    </row>
    <row r="6694" spans="1:40" x14ac:dyDescent="0.25">
      <c r="A6694" t="str">
        <f>"20190312154056970"</f>
        <v>20190312154056970</v>
      </c>
      <c r="B6694" t="str">
        <f>"1552376456963388"</f>
        <v>1552376456963388</v>
      </c>
      <c r="C6694" t="s">
        <v>40</v>
      </c>
      <c r="D6694">
        <v>4.2811629999999896</v>
      </c>
      <c r="E6694">
        <v>0.48874440000000002</v>
      </c>
      <c r="F6694" t="s">
        <v>42</v>
      </c>
      <c r="G6694">
        <v>-423.44130000000001</v>
      </c>
      <c r="H6694" s="1">
        <v>-1.9289400000000001E-6</v>
      </c>
      <c r="I6694">
        <v>101.73520000000001</v>
      </c>
      <c r="J6694">
        <v>-415.48750000000001</v>
      </c>
      <c r="K6694">
        <v>1.1101570000000001</v>
      </c>
      <c r="L6694">
        <v>121.9766</v>
      </c>
      <c r="M6694">
        <v>-0.44107020000000002</v>
      </c>
      <c r="N6694">
        <v>0</v>
      </c>
      <c r="O6694">
        <v>-0.89737520000000004</v>
      </c>
      <c r="P6694">
        <v>-0.40324680000000002</v>
      </c>
      <c r="Q6694">
        <v>5.1159870000000003E-2</v>
      </c>
      <c r="R6694">
        <v>-0.91366049999999999</v>
      </c>
      <c r="S6694">
        <v>-1.1040650000000001</v>
      </c>
      <c r="T6694">
        <v>-0.1527529</v>
      </c>
      <c r="U6694">
        <v>-2.8048250000000001</v>
      </c>
      <c r="V6694">
        <v>-4.107334E-2</v>
      </c>
      <c r="W6694">
        <v>6.4406420000000006E-2</v>
      </c>
      <c r="X6694">
        <v>0.99707809999999997</v>
      </c>
      <c r="Y6694">
        <v>-8.2142430000000002E-2</v>
      </c>
      <c r="Z6694">
        <v>4.45078E-2</v>
      </c>
      <c r="AA6694">
        <v>0.99562629999999996</v>
      </c>
      <c r="AB6694">
        <v>16</v>
      </c>
      <c r="AC6694">
        <v>-7.9538000000000002</v>
      </c>
      <c r="AD6694">
        <v>-1.11015892894</v>
      </c>
      <c r="AE6694">
        <v>-20.241399999999999</v>
      </c>
      <c r="AF6694">
        <v>-1.78583858189478</v>
      </c>
      <c r="AG6694">
        <v>-1.11015892894</v>
      </c>
      <c r="AH6694">
        <v>21.617878809765301</v>
      </c>
      <c r="AI6694">
        <v>92.929807649618198</v>
      </c>
      <c r="AJ6694">
        <v>94.722443235414701</v>
      </c>
      <c r="AK6694">
        <v>21.719906917889599</v>
      </c>
      <c r="AL6694">
        <v>86.307227797786197</v>
      </c>
      <c r="AM6694">
        <v>92.3588916938008</v>
      </c>
      <c r="AN6694">
        <v>0.99999997184778999</v>
      </c>
    </row>
    <row r="6695" spans="1:40" x14ac:dyDescent="0.25">
      <c r="A6695" t="str">
        <f>"20190312154056992"</f>
        <v>20190312154056992</v>
      </c>
      <c r="B6695" t="str">
        <f>"1552376456982909"</f>
        <v>1552376456982909</v>
      </c>
      <c r="C6695" t="s">
        <v>40</v>
      </c>
      <c r="D6695">
        <v>4.2771919999999897</v>
      </c>
      <c r="E6695">
        <v>0.48902109999999899</v>
      </c>
      <c r="F6695" t="s">
        <v>42</v>
      </c>
      <c r="G6695">
        <v>-423.63200000000001</v>
      </c>
      <c r="H6695" s="1">
        <v>-1.9175569999999999E-6</v>
      </c>
      <c r="I6695">
        <v>101.60380000000001</v>
      </c>
      <c r="J6695">
        <v>-415.5575</v>
      </c>
      <c r="K6695">
        <v>1.110123</v>
      </c>
      <c r="L6695">
        <v>121.8342</v>
      </c>
      <c r="M6695">
        <v>-0.44112119999999999</v>
      </c>
      <c r="N6695">
        <v>0</v>
      </c>
      <c r="O6695">
        <v>-0.89735010000000004</v>
      </c>
      <c r="P6695">
        <v>-0.40456049999999999</v>
      </c>
      <c r="Q6695">
        <v>5.019564E-2</v>
      </c>
      <c r="R6695">
        <v>-0.91313310000000003</v>
      </c>
      <c r="S6695">
        <v>-1.1186830000000001</v>
      </c>
      <c r="T6695">
        <v>-0.15248499999999901</v>
      </c>
      <c r="U6695">
        <v>-2.7982939999999998</v>
      </c>
      <c r="V6695">
        <v>-3.9714569999999998E-2</v>
      </c>
      <c r="W6695">
        <v>6.3439969999999998E-2</v>
      </c>
      <c r="X6695">
        <v>0.9971951</v>
      </c>
      <c r="Y6695">
        <v>-7.6913709999999996E-2</v>
      </c>
      <c r="Z6695">
        <v>4.4497160000000001E-2</v>
      </c>
      <c r="AA6695">
        <v>0.99604429999999999</v>
      </c>
      <c r="AB6695">
        <v>16</v>
      </c>
      <c r="AC6695">
        <v>-8.0744999999999401</v>
      </c>
      <c r="AD6695">
        <v>-1.110124917557</v>
      </c>
      <c r="AE6695">
        <v>-20.2303999999999</v>
      </c>
      <c r="AF6695">
        <v>-1.6742031580032</v>
      </c>
      <c r="AG6695">
        <v>-1.110124917557</v>
      </c>
      <c r="AH6695">
        <v>21.661220955757798</v>
      </c>
      <c r="AI6695">
        <v>92.925099719463105</v>
      </c>
      <c r="AJ6695">
        <v>94.4196236778117</v>
      </c>
      <c r="AK6695">
        <v>21.754168033758798</v>
      </c>
      <c r="AL6695">
        <v>86.362714789621293</v>
      </c>
      <c r="AM6695">
        <v>92.280672378317803</v>
      </c>
      <c r="AN6695">
        <v>0.99999997216394698</v>
      </c>
    </row>
    <row r="6696" spans="1:40" x14ac:dyDescent="0.25">
      <c r="A6696" t="str">
        <f>"20190312154057014"</f>
        <v>20190312154057014</v>
      </c>
      <c r="B6696" t="str">
        <f>"1552376457003404"</f>
        <v>1552376457003404</v>
      </c>
      <c r="C6696" t="s">
        <v>40</v>
      </c>
      <c r="D6696">
        <v>4.276084</v>
      </c>
      <c r="E6696">
        <v>0.48897750000000001</v>
      </c>
      <c r="F6696" t="s">
        <v>42</v>
      </c>
      <c r="G6696">
        <v>-423.68290000000002</v>
      </c>
      <c r="H6696" s="1">
        <v>-1.941569E-6</v>
      </c>
      <c r="I6696">
        <v>101.626</v>
      </c>
      <c r="J6696">
        <v>-415.6259</v>
      </c>
      <c r="K6696">
        <v>1.11009</v>
      </c>
      <c r="L6696">
        <v>121.6952</v>
      </c>
      <c r="M6696">
        <v>-0.44124629999999998</v>
      </c>
      <c r="N6696">
        <v>0</v>
      </c>
      <c r="O6696">
        <v>-0.89728839999999999</v>
      </c>
      <c r="P6696">
        <v>-0.40677809999999998</v>
      </c>
      <c r="Q6696">
        <v>4.8267190000000001E-2</v>
      </c>
      <c r="R6696">
        <v>-0.91225109999999998</v>
      </c>
      <c r="S6696">
        <v>-1.1241460000000001</v>
      </c>
      <c r="T6696">
        <v>-0.15358469999999999</v>
      </c>
      <c r="U6696">
        <v>-2.7957920000000001</v>
      </c>
      <c r="V6696">
        <v>-3.747226E-2</v>
      </c>
      <c r="W6696">
        <v>6.1510629999999997E-2</v>
      </c>
      <c r="X6696">
        <v>0.99740280000000003</v>
      </c>
      <c r="Y6696">
        <v>-7.5075459999999997E-2</v>
      </c>
      <c r="Z6696">
        <v>4.4838980000000001E-2</v>
      </c>
      <c r="AA6696">
        <v>0.99616919999999998</v>
      </c>
      <c r="AB6696">
        <v>16</v>
      </c>
      <c r="AC6696">
        <v>-8.0570000000000093</v>
      </c>
      <c r="AD6696">
        <v>-1.110091941569</v>
      </c>
      <c r="AE6696">
        <v>-20.069199999999899</v>
      </c>
      <c r="AF6696">
        <v>-1.62187662837544</v>
      </c>
      <c r="AG6696">
        <v>-1.110091941569</v>
      </c>
      <c r="AH6696">
        <v>21.508199655802301</v>
      </c>
      <c r="AI6696">
        <v>92.946206956052706</v>
      </c>
      <c r="AJ6696">
        <v>94.312362273954406</v>
      </c>
      <c r="AK6696">
        <v>21.5978110083004</v>
      </c>
      <c r="AL6696">
        <v>86.473474444496802</v>
      </c>
      <c r="AM6696">
        <v>92.151581128649795</v>
      </c>
      <c r="AN6696">
        <v>1.00000003666017</v>
      </c>
    </row>
    <row r="6697" spans="1:40" x14ac:dyDescent="0.25">
      <c r="A6697" t="str">
        <f>"20190312154057036"</f>
        <v>20190312154057036</v>
      </c>
      <c r="B6697" t="str">
        <f>"1552376457032691"</f>
        <v>1552376457032691</v>
      </c>
      <c r="C6697" t="s">
        <v>40</v>
      </c>
      <c r="D6697">
        <v>4.2684709999999999</v>
      </c>
      <c r="E6697">
        <v>0.48851990000000001</v>
      </c>
      <c r="F6697" t="s">
        <v>42</v>
      </c>
      <c r="G6697">
        <v>-423.50459999999998</v>
      </c>
      <c r="H6697" s="1">
        <v>-2.1730019999999998E-6</v>
      </c>
      <c r="I6697">
        <v>102.2159</v>
      </c>
      <c r="J6697">
        <v>-415.69630000000001</v>
      </c>
      <c r="K6697">
        <v>1.110061</v>
      </c>
      <c r="L6697">
        <v>121.5528</v>
      </c>
      <c r="M6697">
        <v>-0.4414476</v>
      </c>
      <c r="N6697">
        <v>0</v>
      </c>
      <c r="O6697">
        <v>-0.89718940000000003</v>
      </c>
      <c r="P6697">
        <v>-0.40888999999999998</v>
      </c>
      <c r="Q6697">
        <v>4.712508E-2</v>
      </c>
      <c r="R6697">
        <v>-0.91136609999999996</v>
      </c>
      <c r="S6697">
        <v>-1.129761</v>
      </c>
      <c r="T6697">
        <v>-0.15918089999999999</v>
      </c>
      <c r="U6697">
        <v>-2.793228</v>
      </c>
      <c r="V6697">
        <v>-3.5407710000000002E-2</v>
      </c>
      <c r="W6697">
        <v>6.0366450000000002E-2</v>
      </c>
      <c r="X6697">
        <v>0.99754810000000005</v>
      </c>
      <c r="Y6697">
        <v>-7.3291969999999998E-2</v>
      </c>
      <c r="Z6697">
        <v>4.6488250000000002E-2</v>
      </c>
      <c r="AA6697">
        <v>0.99622639999999996</v>
      </c>
      <c r="AB6697">
        <v>16</v>
      </c>
      <c r="AC6697">
        <v>-7.8082999999999698</v>
      </c>
      <c r="AD6697">
        <v>-1.1100631730020001</v>
      </c>
      <c r="AE6697">
        <v>-19.3369</v>
      </c>
      <c r="AF6697">
        <v>-1.5265128601761799</v>
      </c>
      <c r="AG6697">
        <v>-1.1100631730020001</v>
      </c>
      <c r="AH6697">
        <v>20.738875660369899</v>
      </c>
      <c r="AI6697">
        <v>93.055623252301899</v>
      </c>
      <c r="AJ6697">
        <v>94.209741287285595</v>
      </c>
      <c r="AK6697">
        <v>20.824587520923998</v>
      </c>
      <c r="AL6697">
        <v>86.5391531114076</v>
      </c>
      <c r="AM6697">
        <v>92.0328453464858</v>
      </c>
      <c r="AN6697">
        <v>1.00000001301332</v>
      </c>
    </row>
    <row r="6698" spans="1:40" x14ac:dyDescent="0.25">
      <c r="A6698" t="str">
        <f>"20190312154057060"</f>
        <v>20190312154057060</v>
      </c>
      <c r="B6698" t="str">
        <f>"1552376457053180"</f>
        <v>1552376457053180</v>
      </c>
      <c r="C6698" t="s">
        <v>40</v>
      </c>
      <c r="D6698">
        <v>4.2607229999999996</v>
      </c>
      <c r="E6698">
        <v>0.48814560000000001</v>
      </c>
      <c r="F6698" t="s">
        <v>42</v>
      </c>
      <c r="G6698">
        <v>-423.45519999999999</v>
      </c>
      <c r="H6698" s="1">
        <v>-2.256049E-6</v>
      </c>
      <c r="I6698">
        <v>102.4194</v>
      </c>
      <c r="J6698">
        <v>-415.7704</v>
      </c>
      <c r="K6698">
        <v>1.1100479999999999</v>
      </c>
      <c r="L6698">
        <v>121.4033</v>
      </c>
      <c r="M6698">
        <v>-0.44175150000000002</v>
      </c>
      <c r="N6698">
        <v>0</v>
      </c>
      <c r="O6698">
        <v>-0.89704010000000001</v>
      </c>
      <c r="P6698">
        <v>-0.41111959999999997</v>
      </c>
      <c r="Q6698">
        <v>4.629631E-2</v>
      </c>
      <c r="R6698">
        <v>-0.91040520000000003</v>
      </c>
      <c r="S6698">
        <v>-1.132263</v>
      </c>
      <c r="T6698">
        <v>-0.16199169999999999</v>
      </c>
      <c r="U6698">
        <v>-2.7921450000000001</v>
      </c>
      <c r="V6698">
        <v>-3.3321129999999997E-2</v>
      </c>
      <c r="W6698">
        <v>5.9534440000000001E-2</v>
      </c>
      <c r="X6698">
        <v>0.9976699</v>
      </c>
      <c r="Y6698">
        <v>-7.2744489999999995E-2</v>
      </c>
      <c r="Z6698">
        <v>4.7305920000000001E-2</v>
      </c>
      <c r="AA6698">
        <v>0.99622809999999995</v>
      </c>
      <c r="AB6698">
        <v>16</v>
      </c>
      <c r="AC6698">
        <v>-7.6847999999999903</v>
      </c>
      <c r="AD6698">
        <v>-1.110050256049</v>
      </c>
      <c r="AE6698">
        <v>-18.983899999999998</v>
      </c>
      <c r="AF6698">
        <v>-1.4883505540914199</v>
      </c>
      <c r="AG6698">
        <v>-1.110050256049</v>
      </c>
      <c r="AH6698">
        <v>20.3660456898055</v>
      </c>
      <c r="AI6698">
        <v>93.111535041370104</v>
      </c>
      <c r="AJ6698">
        <v>94.179745049974201</v>
      </c>
      <c r="AK6698">
        <v>20.450506496956599</v>
      </c>
      <c r="AL6698">
        <v>86.5869094155357</v>
      </c>
      <c r="AM6698">
        <v>91.912907976182794</v>
      </c>
      <c r="AN6698">
        <v>0.99999993830829803</v>
      </c>
    </row>
    <row r="6699" spans="1:40" x14ac:dyDescent="0.25">
      <c r="A6699" t="str">
        <f>"20190312154057081"</f>
        <v>20190312154057081</v>
      </c>
      <c r="B6699" t="str">
        <f>"1552376457072701"</f>
        <v>1552376457072701</v>
      </c>
      <c r="C6699" t="s">
        <v>40</v>
      </c>
      <c r="D6699">
        <v>4.247077</v>
      </c>
      <c r="E6699">
        <v>0.4879194</v>
      </c>
      <c r="F6699" t="s">
        <v>42</v>
      </c>
      <c r="G6699">
        <v>-423.46510000000001</v>
      </c>
      <c r="H6699" s="1">
        <v>-2.2949729999999999E-6</v>
      </c>
      <c r="I6699">
        <v>102.4961</v>
      </c>
      <c r="J6699">
        <v>-415.83850000000001</v>
      </c>
      <c r="K6699">
        <v>1.1100460000000001</v>
      </c>
      <c r="L6699">
        <v>121.2662</v>
      </c>
      <c r="M6699">
        <v>-0.4420984</v>
      </c>
      <c r="N6699">
        <v>0</v>
      </c>
      <c r="O6699">
        <v>-0.89686919999999903</v>
      </c>
      <c r="P6699">
        <v>-0.41310350000000001</v>
      </c>
      <c r="Q6699">
        <v>4.4988590000000002E-2</v>
      </c>
      <c r="R6699">
        <v>-0.90957250000000001</v>
      </c>
      <c r="S6699">
        <v>-1.135742</v>
      </c>
      <c r="T6699">
        <v>-0.16384379999999901</v>
      </c>
      <c r="U6699">
        <v>-2.7906949999999999</v>
      </c>
      <c r="V6699">
        <v>-3.1561899999999997E-2</v>
      </c>
      <c r="W6699">
        <v>5.8223030000000002E-2</v>
      </c>
      <c r="X6699">
        <v>0.99780460000000004</v>
      </c>
      <c r="Y6699">
        <v>-7.1894959999999994E-2</v>
      </c>
      <c r="Z6699">
        <v>4.7846149999999997E-2</v>
      </c>
      <c r="AA6699">
        <v>0.99626400000000004</v>
      </c>
      <c r="AB6699">
        <v>16</v>
      </c>
      <c r="AC6699">
        <v>-7.6265999999999901</v>
      </c>
      <c r="AD6699">
        <v>-1.1100482949729999</v>
      </c>
      <c r="AE6699">
        <v>-18.770099999999999</v>
      </c>
      <c r="AF6699">
        <v>-1.4539313893321599</v>
      </c>
      <c r="AG6699">
        <v>-1.1100482949729999</v>
      </c>
      <c r="AH6699">
        <v>20.147317517009299</v>
      </c>
      <c r="AI6699">
        <v>93.145449724209399</v>
      </c>
      <c r="AJ6699">
        <v>94.127595265034202</v>
      </c>
      <c r="AK6699">
        <v>20.230188502168001</v>
      </c>
      <c r="AL6699">
        <v>86.6621786286901</v>
      </c>
      <c r="AM6699">
        <v>91.811738401174495</v>
      </c>
      <c r="AN6699">
        <v>1.0000000472675701</v>
      </c>
    </row>
    <row r="6700" spans="1:40" x14ac:dyDescent="0.25">
      <c r="A6700" t="str">
        <f>"20190312154057103"</f>
        <v>20190312154057103</v>
      </c>
      <c r="B6700" t="str">
        <f>"1552376457093196"</f>
        <v>1552376457093196</v>
      </c>
      <c r="C6700" t="s">
        <v>40</v>
      </c>
      <c r="D6700">
        <v>4.2882179999999996</v>
      </c>
      <c r="E6700">
        <v>0.48767189999999999</v>
      </c>
      <c r="F6700" t="s">
        <v>42</v>
      </c>
      <c r="G6700">
        <v>-423.4289</v>
      </c>
      <c r="H6700" s="1">
        <v>-2.377335E-6</v>
      </c>
      <c r="I6700">
        <v>102.6908</v>
      </c>
      <c r="J6700">
        <v>-415.90750000000003</v>
      </c>
      <c r="K6700">
        <v>1.11007099999999</v>
      </c>
      <c r="L6700">
        <v>121.12739999999999</v>
      </c>
      <c r="M6700">
        <v>-0.4424901</v>
      </c>
      <c r="N6700">
        <v>0</v>
      </c>
      <c r="O6700">
        <v>-0.89667600000000003</v>
      </c>
      <c r="P6700">
        <v>-0.41518929999999998</v>
      </c>
      <c r="Q6700">
        <v>4.3461640000000003E-2</v>
      </c>
      <c r="R6700">
        <v>-0.90869639999999996</v>
      </c>
      <c r="S6700">
        <v>-1.139618</v>
      </c>
      <c r="T6700">
        <v>-0.16666139999999999</v>
      </c>
      <c r="U6700">
        <v>-2.7888950000000001</v>
      </c>
      <c r="V6700">
        <v>-2.974458E-2</v>
      </c>
      <c r="W6700">
        <v>5.6693479999999997E-2</v>
      </c>
      <c r="X6700">
        <v>0.99794850000000002</v>
      </c>
      <c r="Y6700">
        <v>-7.0935960000000006E-2</v>
      </c>
      <c r="Z6700">
        <v>4.8670320000000003E-2</v>
      </c>
      <c r="AA6700">
        <v>0.99629279999999998</v>
      </c>
      <c r="AB6700">
        <v>16</v>
      </c>
      <c r="AC6700">
        <v>-7.5213999999999697</v>
      </c>
      <c r="AD6700">
        <v>-1.11007337733499</v>
      </c>
      <c r="AE6700">
        <v>-18.436599999999999</v>
      </c>
      <c r="AF6700">
        <v>-1.40949686159905</v>
      </c>
      <c r="AG6700">
        <v>-1.11007337733499</v>
      </c>
      <c r="AH6700">
        <v>19.799997791394102</v>
      </c>
      <c r="AI6700">
        <v>93.200806593444995</v>
      </c>
      <c r="AJ6700">
        <v>94.071829710550404</v>
      </c>
      <c r="AK6700">
        <v>19.881118098465599</v>
      </c>
      <c r="AL6700">
        <v>86.749960424037297</v>
      </c>
      <c r="AM6700">
        <v>91.707236891366705</v>
      </c>
      <c r="AN6700">
        <v>1.0000000496830601</v>
      </c>
    </row>
    <row r="6701" spans="1:40" x14ac:dyDescent="0.25">
      <c r="A6701" t="str">
        <f>"20190312154057126"</f>
        <v>20190312154057126</v>
      </c>
      <c r="B6701" t="str">
        <f>"1552376457123452"</f>
        <v>1552376457123452</v>
      </c>
      <c r="C6701" t="s">
        <v>40</v>
      </c>
      <c r="D6701">
        <v>4.2531089999999896</v>
      </c>
      <c r="E6701">
        <v>0.48737340000000001</v>
      </c>
      <c r="F6701" t="s">
        <v>42</v>
      </c>
      <c r="G6701">
        <v>-423.39069999999998</v>
      </c>
      <c r="H6701" s="1">
        <v>-2.4622010000000001E-6</v>
      </c>
      <c r="I6701">
        <v>102.8918</v>
      </c>
      <c r="J6701">
        <v>-415.97820000000002</v>
      </c>
      <c r="K6701">
        <v>1.1100840000000001</v>
      </c>
      <c r="L6701">
        <v>120.9855</v>
      </c>
      <c r="M6701">
        <v>-0.44291029999999998</v>
      </c>
      <c r="N6701">
        <v>0</v>
      </c>
      <c r="O6701">
        <v>-0.896470199999999</v>
      </c>
      <c r="P6701">
        <v>-0.41723779999999999</v>
      </c>
      <c r="Q6701">
        <v>4.2430389999999998E-2</v>
      </c>
      <c r="R6701">
        <v>-0.90780660000000002</v>
      </c>
      <c r="S6701">
        <v>-1.1436770000000001</v>
      </c>
      <c r="T6701">
        <v>-0.169654799999999</v>
      </c>
      <c r="U6701">
        <v>-2.7869869999999999</v>
      </c>
      <c r="V6701">
        <v>-2.7988499999999999E-2</v>
      </c>
      <c r="W6701">
        <v>5.5555159999999999E-2</v>
      </c>
      <c r="X6701">
        <v>0.99806329999999999</v>
      </c>
      <c r="Y6701">
        <v>-6.9939790000000002E-2</v>
      </c>
      <c r="Z6701">
        <v>4.954571E-2</v>
      </c>
      <c r="AA6701">
        <v>0.99632010000000004</v>
      </c>
      <c r="AB6701">
        <v>16</v>
      </c>
      <c r="AC6701">
        <v>-7.4124999999999597</v>
      </c>
      <c r="AD6701">
        <v>-1.110086462201</v>
      </c>
      <c r="AE6701">
        <v>-18.093699999999998</v>
      </c>
      <c r="AF6701">
        <v>-1.3645201950483301</v>
      </c>
      <c r="AG6701">
        <v>-1.110086462201</v>
      </c>
      <c r="AH6701">
        <v>19.442543588695699</v>
      </c>
      <c r="AI6701">
        <v>93.259796321351601</v>
      </c>
      <c r="AJ6701">
        <v>94.014560353287294</v>
      </c>
      <c r="AK6701">
        <v>19.5219545259841</v>
      </c>
      <c r="AL6701">
        <v>86.815284293889505</v>
      </c>
      <c r="AM6701">
        <v>91.606313708286606</v>
      </c>
      <c r="AN6701">
        <v>1.0000000413708801</v>
      </c>
    </row>
    <row r="6702" spans="1:40" x14ac:dyDescent="0.25">
      <c r="A6702" t="str">
        <f>"20190312154057148"</f>
        <v>20190312154057148</v>
      </c>
      <c r="B6702" t="str">
        <f>"1552376457142972"</f>
        <v>1552376457142972</v>
      </c>
      <c r="C6702" t="s">
        <v>40</v>
      </c>
      <c r="D6702">
        <v>4.2580619999999998</v>
      </c>
      <c r="E6702">
        <v>0.48725889999999999</v>
      </c>
      <c r="F6702" t="s">
        <v>42</v>
      </c>
      <c r="G6702">
        <v>-423.39879999999999</v>
      </c>
      <c r="H6702" s="1">
        <v>-2.500937E-6</v>
      </c>
      <c r="I6702">
        <v>102.9692</v>
      </c>
      <c r="J6702">
        <v>-416.05119999999999</v>
      </c>
      <c r="K6702">
        <v>1.110053</v>
      </c>
      <c r="L6702">
        <v>120.83920000000001</v>
      </c>
      <c r="M6702">
        <v>-0.44334899999999999</v>
      </c>
      <c r="N6702">
        <v>0</v>
      </c>
      <c r="O6702">
        <v>-0.89625759999999899</v>
      </c>
      <c r="P6702">
        <v>-0.41959419999999997</v>
      </c>
      <c r="Q6702">
        <v>4.1557820000000002E-2</v>
      </c>
      <c r="R6702">
        <v>-0.90676020000000002</v>
      </c>
      <c r="S6702">
        <v>-1.147278</v>
      </c>
      <c r="T6702">
        <v>-0.171627</v>
      </c>
      <c r="U6702">
        <v>-2.7854459999999999</v>
      </c>
      <c r="V6702">
        <v>-2.5907070000000001E-2</v>
      </c>
      <c r="W6702">
        <v>5.4367730000000003E-2</v>
      </c>
      <c r="X6702">
        <v>0.99818490000000004</v>
      </c>
      <c r="Y6702">
        <v>-6.9143090000000004E-2</v>
      </c>
      <c r="Z6702">
        <v>5.0117849999999999E-2</v>
      </c>
      <c r="AA6702">
        <v>0.99634710000000004</v>
      </c>
      <c r="AB6702">
        <v>16</v>
      </c>
      <c r="AC6702">
        <v>-7.3475999999999999</v>
      </c>
      <c r="AD6702">
        <v>-1.1100555009369999</v>
      </c>
      <c r="AE6702">
        <v>-17.87</v>
      </c>
      <c r="AF6702">
        <v>-1.33301409436472</v>
      </c>
      <c r="AG6702">
        <v>-1.1100555009369999</v>
      </c>
      <c r="AH6702">
        <v>19.211842722597499</v>
      </c>
      <c r="AI6702">
        <v>93.298945288257698</v>
      </c>
      <c r="AJ6702">
        <v>93.969107506146898</v>
      </c>
      <c r="AK6702">
        <v>19.289998719252299</v>
      </c>
      <c r="AL6702">
        <v>86.883422073847299</v>
      </c>
      <c r="AM6702">
        <v>91.486731171737006</v>
      </c>
      <c r="AN6702">
        <v>1.0000000604646699</v>
      </c>
    </row>
    <row r="6703" spans="1:40" x14ac:dyDescent="0.25">
      <c r="A6703" t="str">
        <f>"20190312154057171"</f>
        <v>20190312154057171</v>
      </c>
      <c r="B6703" t="str">
        <f>"1552376457163468"</f>
        <v>1552376457163468</v>
      </c>
      <c r="C6703" t="s">
        <v>40</v>
      </c>
      <c r="D6703">
        <v>4.2777059999999896</v>
      </c>
      <c r="E6703">
        <v>0.4871627</v>
      </c>
      <c r="F6703" t="s">
        <v>42</v>
      </c>
      <c r="G6703">
        <v>-423.37009999999998</v>
      </c>
      <c r="H6703" s="1">
        <v>-2.5914179999999999E-6</v>
      </c>
      <c r="I6703">
        <v>103.1767</v>
      </c>
      <c r="J6703">
        <v>-416.12110000000001</v>
      </c>
      <c r="K6703">
        <v>1.110052</v>
      </c>
      <c r="L6703">
        <v>120.6992</v>
      </c>
      <c r="M6703">
        <v>-0.4437642</v>
      </c>
      <c r="N6703">
        <v>0</v>
      </c>
      <c r="O6703">
        <v>-0.89605509999999999</v>
      </c>
      <c r="P6703">
        <v>-0.42145850000000001</v>
      </c>
      <c r="Q6703">
        <v>4.0895939999999999E-2</v>
      </c>
      <c r="R6703">
        <v>-0.90592519999999999</v>
      </c>
      <c r="S6703">
        <v>-1.153168</v>
      </c>
      <c r="T6703">
        <v>-0.17490069999999999</v>
      </c>
      <c r="U6703">
        <v>-2.7828979999999999</v>
      </c>
      <c r="V6703">
        <v>-2.4334640000000001E-2</v>
      </c>
      <c r="W6703">
        <v>5.3483999999999997E-2</v>
      </c>
      <c r="X6703">
        <v>0.99827220000000005</v>
      </c>
      <c r="Y6703">
        <v>-6.7502610000000005E-2</v>
      </c>
      <c r="Z6703">
        <v>5.1081199999999903E-2</v>
      </c>
      <c r="AA6703">
        <v>0.99641060000000004</v>
      </c>
      <c r="AB6703">
        <v>16</v>
      </c>
      <c r="AC6703">
        <v>-7.2489999999999597</v>
      </c>
      <c r="AD6703">
        <v>-1.110054591418</v>
      </c>
      <c r="AE6703">
        <v>-17.522500000000001</v>
      </c>
      <c r="AF6703">
        <v>-1.2760834601134201</v>
      </c>
      <c r="AG6703">
        <v>-1.110054591418</v>
      </c>
      <c r="AH6703">
        <v>18.854861067430701</v>
      </c>
      <c r="AI6703">
        <v>93.361650252207596</v>
      </c>
      <c r="AJ6703">
        <v>93.871832800939899</v>
      </c>
      <c r="AK6703">
        <v>18.930567769225</v>
      </c>
      <c r="AL6703">
        <v>86.934129819642493</v>
      </c>
      <c r="AM6703">
        <v>91.396408810454204</v>
      </c>
      <c r="AN6703">
        <v>1.0000000491263801</v>
      </c>
    </row>
    <row r="6704" spans="1:40" x14ac:dyDescent="0.25">
      <c r="A6704" t="str">
        <f>"20190312154057192"</f>
        <v>20190312154057192</v>
      </c>
      <c r="B6704" t="str">
        <f>"1552376457182988"</f>
        <v>1552376457182988</v>
      </c>
      <c r="C6704" t="s">
        <v>40</v>
      </c>
      <c r="D6704">
        <v>4.2723559999999896</v>
      </c>
      <c r="E6704">
        <v>0.4871299</v>
      </c>
      <c r="F6704" t="s">
        <v>42</v>
      </c>
      <c r="G6704">
        <v>-423.36419999999998</v>
      </c>
      <c r="H6704" s="1">
        <v>-2.650934E-6</v>
      </c>
      <c r="I6704">
        <v>103.306</v>
      </c>
      <c r="J6704">
        <v>-416.19069999999999</v>
      </c>
      <c r="K6704">
        <v>1.110104</v>
      </c>
      <c r="L6704">
        <v>120.56</v>
      </c>
      <c r="M6704">
        <v>-0.44415870000000002</v>
      </c>
      <c r="N6704">
        <v>0</v>
      </c>
      <c r="O6704">
        <v>-0.895860399999999</v>
      </c>
      <c r="P6704">
        <v>-0.42301699999999998</v>
      </c>
      <c r="Q6704">
        <v>3.9633359999999999E-2</v>
      </c>
      <c r="R6704">
        <v>-0.90525469999999997</v>
      </c>
      <c r="S6704">
        <v>-1.15802</v>
      </c>
      <c r="T6704">
        <v>-0.1774744</v>
      </c>
      <c r="U6704">
        <v>-2.7808069999999998</v>
      </c>
      <c r="V6704">
        <v>-2.3085720000000001E-2</v>
      </c>
      <c r="W6704">
        <v>5.2180730000000002E-2</v>
      </c>
      <c r="X6704">
        <v>0.9983708</v>
      </c>
      <c r="Y6704">
        <v>-6.6210770000000002E-2</v>
      </c>
      <c r="Z6704">
        <v>5.1836399999999998E-2</v>
      </c>
      <c r="AA6704">
        <v>0.99645830000000002</v>
      </c>
      <c r="AB6704">
        <v>16</v>
      </c>
      <c r="AC6704">
        <v>-7.17349999999999</v>
      </c>
      <c r="AD6704">
        <v>-1.1101066509340001</v>
      </c>
      <c r="AE6704">
        <v>-17.254000000000001</v>
      </c>
      <c r="AF6704">
        <v>-1.2328057604609499</v>
      </c>
      <c r="AG6704">
        <v>-1.1101066509340001</v>
      </c>
      <c r="AH6704">
        <v>18.579239001728101</v>
      </c>
      <c r="AI6704">
        <v>93.411863814027697</v>
      </c>
      <c r="AJ6704">
        <v>93.796235984315004</v>
      </c>
      <c r="AK6704">
        <v>18.653157070662498</v>
      </c>
      <c r="AL6704">
        <v>87.008906027646603</v>
      </c>
      <c r="AM6704">
        <v>91.324636748873402</v>
      </c>
      <c r="AN6704">
        <v>1.0000000166719401</v>
      </c>
    </row>
    <row r="6705" spans="1:40" x14ac:dyDescent="0.25">
      <c r="A6705" t="str">
        <f>"20190312154057215"</f>
        <v>20190312154057215</v>
      </c>
      <c r="B6705" t="str">
        <f>"1552376457202508"</f>
        <v>1552376457202508</v>
      </c>
      <c r="C6705" t="s">
        <v>40</v>
      </c>
      <c r="D6705">
        <v>4.2407279999999998</v>
      </c>
      <c r="E6705">
        <v>0.48724289999999998</v>
      </c>
      <c r="F6705" t="s">
        <v>42</v>
      </c>
      <c r="G6705">
        <v>-423.31299999999999</v>
      </c>
      <c r="H6705" s="1">
        <v>-2.7483079999999998E-6</v>
      </c>
      <c r="I6705">
        <v>103.5408</v>
      </c>
      <c r="J6705">
        <v>-416.26190000000003</v>
      </c>
      <c r="K6705">
        <v>1.1101669999999999</v>
      </c>
      <c r="L6705">
        <v>120.41759999999999</v>
      </c>
      <c r="M6705">
        <v>-0.44453209999999999</v>
      </c>
      <c r="N6705">
        <v>0</v>
      </c>
      <c r="O6705">
        <v>-0.89567489999999905</v>
      </c>
      <c r="P6705">
        <v>-0.42370960000000002</v>
      </c>
      <c r="Q6705">
        <v>3.7902169999999999E-2</v>
      </c>
      <c r="R6705">
        <v>-0.9050047</v>
      </c>
      <c r="S6705">
        <v>-1.1627809999999901</v>
      </c>
      <c r="T6705">
        <v>-0.18123729999999999</v>
      </c>
      <c r="U6705">
        <v>-2.7785639999999998</v>
      </c>
      <c r="V6705">
        <v>-2.2776870000000001E-2</v>
      </c>
      <c r="W6705">
        <v>5.0463519999999998E-2</v>
      </c>
      <c r="X6705">
        <v>0.99846610000000002</v>
      </c>
      <c r="Y6705">
        <v>-6.4912739999999997E-2</v>
      </c>
      <c r="Z6705">
        <v>5.2941580000000002E-2</v>
      </c>
      <c r="AA6705">
        <v>0.99648559999999997</v>
      </c>
      <c r="AB6705">
        <v>16</v>
      </c>
      <c r="AC6705">
        <v>-7.0511000000000204</v>
      </c>
      <c r="AD6705">
        <v>-1.110169748308</v>
      </c>
      <c r="AE6705">
        <v>-16.8767999999999</v>
      </c>
      <c r="AF6705">
        <v>-1.1825231689064599</v>
      </c>
      <c r="AG6705">
        <v>-1.110169748308</v>
      </c>
      <c r="AH6705">
        <v>18.185011123611901</v>
      </c>
      <c r="AI6705">
        <v>93.486147607032393</v>
      </c>
      <c r="AJ6705">
        <v>93.720554686325499</v>
      </c>
      <c r="AK6705">
        <v>18.257203166995399</v>
      </c>
      <c r="AL6705">
        <v>87.107424571481005</v>
      </c>
      <c r="AM6705">
        <v>91.306796718706494</v>
      </c>
      <c r="AN6705">
        <v>0.99999995275349696</v>
      </c>
    </row>
    <row r="6706" spans="1:40" x14ac:dyDescent="0.25">
      <c r="A6706" t="str">
        <f>"20190312154057238"</f>
        <v>20190312154057238</v>
      </c>
      <c r="B6706" t="str">
        <f>"1552376457232767"</f>
        <v>1552376457232767</v>
      </c>
      <c r="C6706" t="s">
        <v>40</v>
      </c>
      <c r="D6706">
        <v>4.2442739999999999</v>
      </c>
      <c r="E6706">
        <v>0.48722779999999999</v>
      </c>
      <c r="F6706" t="s">
        <v>42</v>
      </c>
      <c r="G6706">
        <v>-423.20359999999999</v>
      </c>
      <c r="H6706" s="1">
        <v>-2.883951E-6</v>
      </c>
      <c r="I6706">
        <v>103.88930000000001</v>
      </c>
      <c r="J6706">
        <v>-416.3331</v>
      </c>
      <c r="K6706">
        <v>1.1101890000000001</v>
      </c>
      <c r="L6706">
        <v>120.2753</v>
      </c>
      <c r="M6706">
        <v>-0.44488470000000002</v>
      </c>
      <c r="N6706">
        <v>0</v>
      </c>
      <c r="O6706">
        <v>-0.89550059999999998</v>
      </c>
      <c r="P6706">
        <v>-0.42386420000000002</v>
      </c>
      <c r="Q6706">
        <v>3.640645E-2</v>
      </c>
      <c r="R6706">
        <v>-0.90499379999999996</v>
      </c>
      <c r="S6706">
        <v>-1.166199</v>
      </c>
      <c r="T6706">
        <v>-0.18650729999999999</v>
      </c>
      <c r="U6706">
        <v>-2.7767330000000001</v>
      </c>
      <c r="V6706">
        <v>-2.303146E-2</v>
      </c>
      <c r="W6706">
        <v>4.8913329999999998E-2</v>
      </c>
      <c r="X6706">
        <v>0.99853740000000002</v>
      </c>
      <c r="Y6706">
        <v>-6.4064029999999994E-2</v>
      </c>
      <c r="Z6706">
        <v>5.4482589999999997E-2</v>
      </c>
      <c r="AA6706">
        <v>0.9964575</v>
      </c>
      <c r="AB6706">
        <v>16</v>
      </c>
      <c r="AC6706">
        <v>-6.8704999999999901</v>
      </c>
      <c r="AD6706">
        <v>-1.1101918839510001</v>
      </c>
      <c r="AE6706">
        <v>-16.3859999999999</v>
      </c>
      <c r="AF6706">
        <v>-1.1330093827861001</v>
      </c>
      <c r="AG6706">
        <v>-1.1101918839510001</v>
      </c>
      <c r="AH6706">
        <v>17.662682828167199</v>
      </c>
      <c r="AI6706">
        <v>93.589249880787804</v>
      </c>
      <c r="AJ6706">
        <v>93.670327713189806</v>
      </c>
      <c r="AK6706">
        <v>17.7337700720717</v>
      </c>
      <c r="AL6706">
        <v>87.196353771332696</v>
      </c>
      <c r="AM6706">
        <v>91.321304056552407</v>
      </c>
      <c r="AN6706">
        <v>0.99999995060008895</v>
      </c>
    </row>
    <row r="6707" spans="1:40" x14ac:dyDescent="0.25">
      <c r="A6707" t="str">
        <f>"20190312154057260"</f>
        <v>20190312154057260</v>
      </c>
      <c r="B6707" t="str">
        <f>"1552376457253260"</f>
        <v>1552376457253260</v>
      </c>
      <c r="C6707" t="s">
        <v>40</v>
      </c>
      <c r="D6707">
        <v>4.2182940000000002</v>
      </c>
      <c r="E6707">
        <v>0.48723529999999998</v>
      </c>
      <c r="F6707" t="s">
        <v>42</v>
      </c>
      <c r="G6707">
        <v>-423.11290000000002</v>
      </c>
      <c r="H6707" s="1">
        <v>-2.9758400000000002E-6</v>
      </c>
      <c r="I6707">
        <v>104.1348</v>
      </c>
      <c r="J6707">
        <v>-416.40289999999999</v>
      </c>
      <c r="K6707">
        <v>1.110195</v>
      </c>
      <c r="L6707">
        <v>120.1358</v>
      </c>
      <c r="M6707">
        <v>-0.44521060000000001</v>
      </c>
      <c r="N6707">
        <v>0</v>
      </c>
      <c r="O6707">
        <v>-0.89533999999999903</v>
      </c>
      <c r="P6707">
        <v>-0.42325069999999998</v>
      </c>
      <c r="Q6707">
        <v>3.523685E-2</v>
      </c>
      <c r="R6707">
        <v>-0.90532749999999995</v>
      </c>
      <c r="S6707">
        <v>-1.166229</v>
      </c>
      <c r="T6707">
        <v>-0.19096949999999999</v>
      </c>
      <c r="U6707">
        <v>-2.7764129999999998</v>
      </c>
      <c r="V6707">
        <v>-2.4095189999999999E-2</v>
      </c>
      <c r="W6707">
        <v>4.7651190000000003E-2</v>
      </c>
      <c r="X6707">
        <v>0.99857340000000006</v>
      </c>
      <c r="Y6707">
        <v>-6.4407179999999994E-2</v>
      </c>
      <c r="Z6707">
        <v>5.5770920000000002E-2</v>
      </c>
      <c r="AA6707">
        <v>0.99636409999999997</v>
      </c>
      <c r="AB6707">
        <v>16</v>
      </c>
      <c r="AC6707">
        <v>-6.7100000000000302</v>
      </c>
      <c r="AD6707">
        <v>-1.11019797584</v>
      </c>
      <c r="AE6707">
        <v>-16.001000000000001</v>
      </c>
      <c r="AF6707">
        <v>-1.1116182270784101</v>
      </c>
      <c r="AG6707">
        <v>-1.11019797584</v>
      </c>
      <c r="AH6707">
        <v>17.244430488039502</v>
      </c>
      <c r="AI6707">
        <v>93.676014962105896</v>
      </c>
      <c r="AJ6707">
        <v>93.688323105906804</v>
      </c>
      <c r="AK6707">
        <v>17.315848737071999</v>
      </c>
      <c r="AL6707">
        <v>87.268753714814196</v>
      </c>
      <c r="AM6707">
        <v>91.382256777791895</v>
      </c>
      <c r="AN6707">
        <v>1.0000000246385501</v>
      </c>
    </row>
    <row r="6708" spans="1:40" x14ac:dyDescent="0.25">
      <c r="A6708" t="str">
        <f>"20190312154057282"</f>
        <v>20190312154057282</v>
      </c>
      <c r="B6708" t="str">
        <f>"1552376457272780"</f>
        <v>1552376457272780</v>
      </c>
      <c r="C6708" t="s">
        <v>40</v>
      </c>
      <c r="D6708">
        <v>4.2041940000000002</v>
      </c>
      <c r="E6708">
        <v>0.4870234</v>
      </c>
      <c r="F6708" t="s">
        <v>42</v>
      </c>
      <c r="G6708">
        <v>-423.08600000000001</v>
      </c>
      <c r="H6708" s="1">
        <v>-3.002183E-6</v>
      </c>
      <c r="I6708">
        <v>104.2056</v>
      </c>
      <c r="J6708">
        <v>-416.47340000000003</v>
      </c>
      <c r="K6708">
        <v>1.1102019999999999</v>
      </c>
      <c r="L6708">
        <v>119.995</v>
      </c>
      <c r="M6708">
        <v>-0.4455286</v>
      </c>
      <c r="N6708">
        <v>0</v>
      </c>
      <c r="O6708">
        <v>-0.89518240000000004</v>
      </c>
      <c r="P6708">
        <v>-0.4220795</v>
      </c>
      <c r="Q6708">
        <v>3.4041450000000001E-2</v>
      </c>
      <c r="R6708">
        <v>-0.90591969999999999</v>
      </c>
      <c r="S6708">
        <v>-1.1648860000000001</v>
      </c>
      <c r="T6708">
        <v>-0.1935115</v>
      </c>
      <c r="U6708">
        <v>-2.776688</v>
      </c>
      <c r="V6708">
        <v>-2.576465E-2</v>
      </c>
      <c r="W6708">
        <v>4.6398969999999998E-2</v>
      </c>
      <c r="X6708">
        <v>0.99859059999999999</v>
      </c>
      <c r="Y6708">
        <v>-6.5223779999999995E-2</v>
      </c>
      <c r="Z6708">
        <v>5.6493000000000002E-2</v>
      </c>
      <c r="AA6708">
        <v>0.99627019999999999</v>
      </c>
      <c r="AB6708">
        <v>16</v>
      </c>
      <c r="AC6708">
        <v>-6.61259999999998</v>
      </c>
      <c r="AD6708">
        <v>-1.1102050021829999</v>
      </c>
      <c r="AE6708">
        <v>-15.789400000000001</v>
      </c>
      <c r="AF6708">
        <v>-1.1105600520333301</v>
      </c>
      <c r="AG6708">
        <v>-1.1102050021829999</v>
      </c>
      <c r="AH6708">
        <v>17.010251133253501</v>
      </c>
      <c r="AI6708">
        <v>93.726306271274595</v>
      </c>
      <c r="AJ6708">
        <v>93.735407905509206</v>
      </c>
      <c r="AK6708">
        <v>17.082580085935401</v>
      </c>
      <c r="AL6708">
        <v>87.340579858478606</v>
      </c>
      <c r="AM6708">
        <v>91.477961308805803</v>
      </c>
      <c r="AN6708">
        <v>0.99999993400751896</v>
      </c>
    </row>
    <row r="6709" spans="1:40" x14ac:dyDescent="0.25">
      <c r="A6709" t="str">
        <f>"20190312154057304"</f>
        <v>20190312154057304</v>
      </c>
      <c r="B6709" t="str">
        <f>"1552376457293276"</f>
        <v>1552376457293276</v>
      </c>
      <c r="C6709" t="s">
        <v>40</v>
      </c>
      <c r="D6709">
        <v>4.202553</v>
      </c>
      <c r="E6709">
        <v>0.48227550000000002</v>
      </c>
      <c r="F6709" t="s">
        <v>42</v>
      </c>
      <c r="G6709">
        <v>-423.06689999999998</v>
      </c>
      <c r="H6709" s="1">
        <v>-2.9937490000000001E-6</v>
      </c>
      <c r="I6709">
        <v>104.1986</v>
      </c>
      <c r="J6709">
        <v>-416.54410000000001</v>
      </c>
      <c r="K6709">
        <v>1.1102179999999999</v>
      </c>
      <c r="L6709">
        <v>119.854</v>
      </c>
      <c r="M6709">
        <v>-0.4458454</v>
      </c>
      <c r="N6709">
        <v>0</v>
      </c>
      <c r="O6709">
        <v>-0.89502469999999901</v>
      </c>
      <c r="P6709">
        <v>-0.4205585</v>
      </c>
      <c r="Q6709">
        <v>3.2845680000000002E-2</v>
      </c>
      <c r="R6709">
        <v>-0.90667089999999995</v>
      </c>
      <c r="S6709">
        <v>-1.1597599999999999</v>
      </c>
      <c r="T6709">
        <v>-0.19528100000000001</v>
      </c>
      <c r="U6709">
        <v>-2.7785340000000001</v>
      </c>
      <c r="V6709">
        <v>-2.7816029999999999E-2</v>
      </c>
      <c r="W6709">
        <v>4.5187640000000001E-2</v>
      </c>
      <c r="X6709">
        <v>0.99859120000000001</v>
      </c>
      <c r="Y6709">
        <v>-6.7389260000000006E-2</v>
      </c>
      <c r="Z6709">
        <v>5.6970600000000003E-2</v>
      </c>
      <c r="AA6709">
        <v>0.99609890000000001</v>
      </c>
      <c r="AB6709">
        <v>16</v>
      </c>
      <c r="AC6709">
        <v>-6.5227999999999602</v>
      </c>
      <c r="AD6709">
        <v>-1.110220993749</v>
      </c>
      <c r="AE6709">
        <v>-15.6554</v>
      </c>
      <c r="AF6709">
        <v>-1.1370356960152099</v>
      </c>
      <c r="AG6709">
        <v>-1.110220993749</v>
      </c>
      <c r="AH6709">
        <v>16.849219364234301</v>
      </c>
      <c r="AI6709">
        <v>93.761327445057304</v>
      </c>
      <c r="AJ6709">
        <v>93.860637207943</v>
      </c>
      <c r="AK6709">
        <v>16.923995805159699</v>
      </c>
      <c r="AL6709">
        <v>87.410057071369494</v>
      </c>
      <c r="AM6709">
        <v>91.5955769592357</v>
      </c>
      <c r="AN6709">
        <v>1.00000001952558</v>
      </c>
    </row>
    <row r="6710" spans="1:40" x14ac:dyDescent="0.25">
      <c r="A6710" t="str">
        <f>"20190312154057327"</f>
        <v>20190312154057327</v>
      </c>
      <c r="B6710" t="str">
        <f>"1552376457322556"</f>
        <v>1552376457322556</v>
      </c>
      <c r="C6710" t="s">
        <v>40</v>
      </c>
      <c r="D6710">
        <v>4.1685460000000001</v>
      </c>
      <c r="E6710">
        <v>0.48287269999999999</v>
      </c>
      <c r="F6710" t="s">
        <v>42</v>
      </c>
      <c r="G6710">
        <v>-423.7</v>
      </c>
      <c r="H6710" s="1">
        <v>-2.1348689999999999E-6</v>
      </c>
      <c r="I6710">
        <v>102.0253</v>
      </c>
      <c r="J6710">
        <v>-416.61559999999997</v>
      </c>
      <c r="K6710">
        <v>1.110228</v>
      </c>
      <c r="L6710">
        <v>119.7116</v>
      </c>
      <c r="M6710">
        <v>-0.4461697</v>
      </c>
      <c r="N6710">
        <v>0</v>
      </c>
      <c r="O6710">
        <v>-0.89486339999999998</v>
      </c>
      <c r="P6710">
        <v>-0.41909039999999997</v>
      </c>
      <c r="Q6710">
        <v>3.1700829999999999E-2</v>
      </c>
      <c r="R6710">
        <v>-0.90739110000000001</v>
      </c>
      <c r="S6710">
        <v>-1.1217349999999999</v>
      </c>
      <c r="T6710">
        <v>-0.17403450000000001</v>
      </c>
      <c r="U6710">
        <v>-2.7947850000000001</v>
      </c>
      <c r="V6710">
        <v>-2.9815020000000001E-2</v>
      </c>
      <c r="W6710">
        <v>4.403485E-2</v>
      </c>
      <c r="X6710">
        <v>0.99858499999999994</v>
      </c>
      <c r="Y6710">
        <v>-8.1278169999999997E-2</v>
      </c>
      <c r="Z6710">
        <v>5.0591820000000003E-2</v>
      </c>
      <c r="AA6710">
        <v>0.99540660000000003</v>
      </c>
      <c r="AB6710">
        <v>16</v>
      </c>
      <c r="AC6710">
        <v>-7.0844000000000102</v>
      </c>
      <c r="AD6710">
        <v>-1.110230134869</v>
      </c>
      <c r="AE6710">
        <v>-17.686299999999999</v>
      </c>
      <c r="AF6710">
        <v>-1.54638785909556</v>
      </c>
      <c r="AG6710">
        <v>-1.110230134869</v>
      </c>
      <c r="AH6710">
        <v>18.9248485800521</v>
      </c>
      <c r="AI6710">
        <v>93.346293275864696</v>
      </c>
      <c r="AJ6710">
        <v>94.671376392438205</v>
      </c>
      <c r="AK6710">
        <v>19.020352786976101</v>
      </c>
      <c r="AL6710">
        <v>87.476172856669905</v>
      </c>
      <c r="AM6710">
        <v>91.710187381045102</v>
      </c>
      <c r="AN6710">
        <v>1.0000000028285601</v>
      </c>
    </row>
    <row r="6711" spans="1:40" x14ac:dyDescent="0.25">
      <c r="A6711" t="str">
        <f>"20190312154057349"</f>
        <v>20190312154057349</v>
      </c>
      <c r="B6711" t="str">
        <f>"1552376457343052"</f>
        <v>1552376457343052</v>
      </c>
      <c r="C6711" t="s">
        <v>40</v>
      </c>
      <c r="D6711">
        <v>4.1857600000000001</v>
      </c>
      <c r="E6711">
        <v>0.48293180000000002</v>
      </c>
      <c r="F6711" t="s">
        <v>42</v>
      </c>
      <c r="G6711">
        <v>-423.35890000000001</v>
      </c>
      <c r="H6711" s="1">
        <v>-2.4593240000000001E-6</v>
      </c>
      <c r="I6711">
        <v>102.9036</v>
      </c>
      <c r="J6711">
        <v>-416.68759999999997</v>
      </c>
      <c r="K6711">
        <v>1.1102289999999999</v>
      </c>
      <c r="L6711">
        <v>119.568</v>
      </c>
      <c r="M6711">
        <v>-0.44649549999999999</v>
      </c>
      <c r="N6711">
        <v>0</v>
      </c>
      <c r="O6711">
        <v>-0.89470110000000003</v>
      </c>
      <c r="P6711">
        <v>-0.41749770000000003</v>
      </c>
      <c r="Q6711">
        <v>3.0583510000000001E-2</v>
      </c>
      <c r="R6711">
        <v>-0.90816319999999995</v>
      </c>
      <c r="S6711">
        <v>-1.121246</v>
      </c>
      <c r="T6711">
        <v>-0.1846032</v>
      </c>
      <c r="U6711">
        <v>-2.7947389999999999</v>
      </c>
      <c r="V6711">
        <v>-3.1948789999999998E-2</v>
      </c>
      <c r="W6711">
        <v>4.2899140000000002E-2</v>
      </c>
      <c r="X6711">
        <v>0.99856840000000002</v>
      </c>
      <c r="Y6711">
        <v>-8.1851199999999999E-2</v>
      </c>
      <c r="Z6711">
        <v>5.3639350000000002E-2</v>
      </c>
      <c r="AA6711">
        <v>0.99520010000000003</v>
      </c>
      <c r="AB6711">
        <v>16</v>
      </c>
      <c r="AC6711">
        <v>-6.6713000000000298</v>
      </c>
      <c r="AD6711">
        <v>-1.1102314593239999</v>
      </c>
      <c r="AE6711">
        <v>-16.664400000000001</v>
      </c>
      <c r="AF6711">
        <v>-1.4662626028405099</v>
      </c>
      <c r="AG6711">
        <v>-1.1102314593239999</v>
      </c>
      <c r="AH6711">
        <v>17.8215429070118</v>
      </c>
      <c r="AI6711">
        <v>93.552783965602302</v>
      </c>
      <c r="AJ6711">
        <v>94.703401142716302</v>
      </c>
      <c r="AK6711">
        <v>17.916191880537099</v>
      </c>
      <c r="AL6711">
        <v>87.541305692695502</v>
      </c>
      <c r="AM6711">
        <v>91.8325300508466</v>
      </c>
      <c r="AN6711">
        <v>0.99999995543688003</v>
      </c>
    </row>
    <row r="6712" spans="1:40" x14ac:dyDescent="0.25">
      <c r="A6712" t="str">
        <f>"20190312154057372"</f>
        <v>20190312154057372</v>
      </c>
      <c r="B6712" t="str">
        <f>"1552376457362572"</f>
        <v>1552376457362572</v>
      </c>
      <c r="C6712" t="s">
        <v>40</v>
      </c>
      <c r="D6712">
        <v>4.1682119999999996</v>
      </c>
      <c r="E6712">
        <v>0.48324699999999998</v>
      </c>
      <c r="F6712" t="s">
        <v>42</v>
      </c>
      <c r="G6712">
        <v>-423.3329</v>
      </c>
      <c r="H6712" s="1">
        <v>-2.4693720000000001E-6</v>
      </c>
      <c r="I6712">
        <v>102.9395</v>
      </c>
      <c r="J6712">
        <v>-416.7595</v>
      </c>
      <c r="K6712">
        <v>1.1102270000000001</v>
      </c>
      <c r="L6712">
        <v>119.4251</v>
      </c>
      <c r="M6712">
        <v>-0.44681399999999999</v>
      </c>
      <c r="N6712">
        <v>0</v>
      </c>
      <c r="O6712">
        <v>-0.89454230000000001</v>
      </c>
      <c r="P6712">
        <v>-0.41613260000000002</v>
      </c>
      <c r="Q6712">
        <v>2.989932E-2</v>
      </c>
      <c r="R6712">
        <v>-0.90881210000000001</v>
      </c>
      <c r="S6712">
        <v>-1.1173709999999999</v>
      </c>
      <c r="T6712">
        <v>-0.18668129999999999</v>
      </c>
      <c r="U6712">
        <v>-2.7960210000000001</v>
      </c>
      <c r="V6712">
        <v>-3.3815320000000003E-2</v>
      </c>
      <c r="W6712">
        <v>4.2192149999999998E-2</v>
      </c>
      <c r="X6712">
        <v>0.99853709999999996</v>
      </c>
      <c r="Y6712">
        <v>-8.356529E-2</v>
      </c>
      <c r="Z6712">
        <v>5.4211139999999998E-2</v>
      </c>
      <c r="AA6712">
        <v>0.99502659999999998</v>
      </c>
      <c r="AB6712">
        <v>16</v>
      </c>
      <c r="AC6712">
        <v>-6.5733999999999897</v>
      </c>
      <c r="AD6712">
        <v>-1.1102294693719901</v>
      </c>
      <c r="AE6712">
        <v>-16.485600000000002</v>
      </c>
      <c r="AF6712">
        <v>-1.4801328439853101</v>
      </c>
      <c r="AG6712">
        <v>-1.1102294693719901</v>
      </c>
      <c r="AH6712">
        <v>17.616554092124499</v>
      </c>
      <c r="AI6712">
        <v>93.593494122632194</v>
      </c>
      <c r="AJ6712">
        <v>94.802678839210401</v>
      </c>
      <c r="AK6712">
        <v>17.713451972759401</v>
      </c>
      <c r="AL6712">
        <v>87.581850050277794</v>
      </c>
      <c r="AM6712">
        <v>91.939572377780493</v>
      </c>
      <c r="AN6712">
        <v>0.99999999673236695</v>
      </c>
    </row>
    <row r="6713" spans="1:40" x14ac:dyDescent="0.25">
      <c r="A6713" t="str">
        <f>"20190312154057393"</f>
        <v>20190312154057393</v>
      </c>
      <c r="B6713" t="str">
        <f>"1552376457383068"</f>
        <v>1552376457383068</v>
      </c>
      <c r="C6713" t="s">
        <v>40</v>
      </c>
      <c r="D6713">
        <v>4.1650720000000003</v>
      </c>
      <c r="E6713">
        <v>0.48345369999999999</v>
      </c>
      <c r="F6713" t="s">
        <v>42</v>
      </c>
      <c r="G6713">
        <v>-423.20699999999999</v>
      </c>
      <c r="H6713" s="1">
        <v>-2.5864069999999999E-6</v>
      </c>
      <c r="I6713">
        <v>103.25790000000001</v>
      </c>
      <c r="J6713">
        <v>-416.82900000000001</v>
      </c>
      <c r="K6713">
        <v>1.1102339999999999</v>
      </c>
      <c r="L6713">
        <v>119.2869</v>
      </c>
      <c r="M6713">
        <v>-0.44712400000000002</v>
      </c>
      <c r="N6713">
        <v>0</v>
      </c>
      <c r="O6713">
        <v>-0.89438759999999995</v>
      </c>
      <c r="P6713">
        <v>-0.41530139999999999</v>
      </c>
      <c r="Q6713">
        <v>2.970327E-2</v>
      </c>
      <c r="R6713">
        <v>-0.90919899999999998</v>
      </c>
      <c r="S6713">
        <v>-1.115326</v>
      </c>
      <c r="T6713">
        <v>-0.1920521</v>
      </c>
      <c r="U6713">
        <v>-2.7966609999999998</v>
      </c>
      <c r="V6713">
        <v>-3.5078810000000002E-2</v>
      </c>
      <c r="W6713">
        <v>4.1980629999999998E-2</v>
      </c>
      <c r="X6713">
        <v>0.99850240000000001</v>
      </c>
      <c r="Y6713">
        <v>-8.4651459999999998E-2</v>
      </c>
      <c r="Z6713">
        <v>5.5741899999999997E-2</v>
      </c>
      <c r="AA6713">
        <v>0.99485020000000002</v>
      </c>
      <c r="AB6713">
        <v>16</v>
      </c>
      <c r="AC6713">
        <v>-6.3779999999999797</v>
      </c>
      <c r="AD6713">
        <v>-1.1102365864069901</v>
      </c>
      <c r="AE6713">
        <v>-16.0289999999999</v>
      </c>
      <c r="AF6713">
        <v>-1.45662386767232</v>
      </c>
      <c r="AG6713">
        <v>-1.1102365864069901</v>
      </c>
      <c r="AH6713">
        <v>17.118292934502801</v>
      </c>
      <c r="AI6713">
        <v>93.697495332843204</v>
      </c>
      <c r="AJ6713">
        <v>94.863676624266205</v>
      </c>
      <c r="AK6713">
        <v>17.215990571591199</v>
      </c>
      <c r="AL6713">
        <v>87.593979935512195</v>
      </c>
      <c r="AM6713">
        <v>92.012054757429993</v>
      </c>
      <c r="AN6713">
        <v>0.99999996950598602</v>
      </c>
    </row>
    <row r="6714" spans="1:40" x14ac:dyDescent="0.25">
      <c r="A6714" t="str">
        <f>"20190312154057416"</f>
        <v>20190312154057416</v>
      </c>
      <c r="B6714" t="str">
        <f>"1552376457413324"</f>
        <v>1552376457413324</v>
      </c>
      <c r="C6714" t="s">
        <v>40</v>
      </c>
      <c r="D6714">
        <v>4.144126</v>
      </c>
      <c r="E6714">
        <v>0.48378690000000002</v>
      </c>
      <c r="F6714" t="s">
        <v>42</v>
      </c>
      <c r="G6714">
        <v>-423.18130000000002</v>
      </c>
      <c r="H6714" s="1">
        <v>-2.6218419999999999E-6</v>
      </c>
      <c r="I6714">
        <v>103.34739999999999</v>
      </c>
      <c r="J6714">
        <v>-416.89870000000002</v>
      </c>
      <c r="K6714">
        <v>1.110239</v>
      </c>
      <c r="L6714">
        <v>119.1482</v>
      </c>
      <c r="M6714">
        <v>-0.44743860000000002</v>
      </c>
      <c r="N6714">
        <v>0</v>
      </c>
      <c r="O6714">
        <v>-0.89423050000000004</v>
      </c>
      <c r="P6714">
        <v>-0.4145856</v>
      </c>
      <c r="Q6714">
        <v>2.948928E-2</v>
      </c>
      <c r="R6714">
        <v>-0.90953249999999997</v>
      </c>
      <c r="S6714">
        <v>-1.1146240000000001</v>
      </c>
      <c r="T6714">
        <v>-0.19480900000000001</v>
      </c>
      <c r="U6714">
        <v>-2.7968440000000001</v>
      </c>
      <c r="V6714">
        <v>-3.6219439999999999E-2</v>
      </c>
      <c r="W6714">
        <v>4.1754329999999999E-2</v>
      </c>
      <c r="X6714">
        <v>0.9984712</v>
      </c>
      <c r="Y6714">
        <v>-8.5257929999999996E-2</v>
      </c>
      <c r="Z6714">
        <v>5.6520910000000001E-2</v>
      </c>
      <c r="AA6714">
        <v>0.99475449999999999</v>
      </c>
      <c r="AB6714">
        <v>16</v>
      </c>
      <c r="AC6714">
        <v>-6.2826000000000004</v>
      </c>
      <c r="AD6714">
        <v>-1.1102416218419999</v>
      </c>
      <c r="AE6714">
        <v>-15.800800000000001</v>
      </c>
      <c r="AF6714">
        <v>-1.4457411247343199</v>
      </c>
      <c r="AG6714">
        <v>-1.1102416218419999</v>
      </c>
      <c r="AH6714">
        <v>16.8699904787</v>
      </c>
      <c r="AI6714">
        <v>93.751587291011901</v>
      </c>
      <c r="AJ6714">
        <v>94.898222395078193</v>
      </c>
      <c r="AK6714">
        <v>16.968187369605701</v>
      </c>
      <c r="AL6714">
        <v>87.6069574337468</v>
      </c>
      <c r="AM6714">
        <v>92.077487590234597</v>
      </c>
      <c r="AN6714">
        <v>1.00000000456855</v>
      </c>
    </row>
    <row r="6715" spans="1:40" x14ac:dyDescent="0.25">
      <c r="A6715" t="str">
        <f>"20190312154057439"</f>
        <v>20190312154057439</v>
      </c>
      <c r="B6715" t="str">
        <f>"1552376457432847"</f>
        <v>1552376457432847</v>
      </c>
      <c r="C6715" t="s">
        <v>40</v>
      </c>
      <c r="D6715">
        <v>4.1479910000000002</v>
      </c>
      <c r="E6715">
        <v>0.48393059999999899</v>
      </c>
      <c r="F6715" t="s">
        <v>42</v>
      </c>
      <c r="G6715">
        <v>-423.33870000000002</v>
      </c>
      <c r="H6715" s="1">
        <v>-2.4980920000000001E-6</v>
      </c>
      <c r="I6715">
        <v>102.997</v>
      </c>
      <c r="J6715">
        <v>-416.9692</v>
      </c>
      <c r="K6715">
        <v>1.110535</v>
      </c>
      <c r="L6715">
        <v>119.0082</v>
      </c>
      <c r="M6715">
        <v>-0.44772770000000001</v>
      </c>
      <c r="N6715">
        <v>0</v>
      </c>
      <c r="O6715">
        <v>-0.89407039999999904</v>
      </c>
      <c r="P6715">
        <v>-0.41417690000000001</v>
      </c>
      <c r="Q6715">
        <v>2.7489400000000001E-2</v>
      </c>
      <c r="R6715">
        <v>-0.90978139999999996</v>
      </c>
      <c r="S6715">
        <v>-1.1149899999999999</v>
      </c>
      <c r="T6715">
        <v>-0.19222449999999999</v>
      </c>
      <c r="U6715">
        <v>-2.7963710000000002</v>
      </c>
      <c r="V6715">
        <v>-3.7027400000000002E-2</v>
      </c>
      <c r="W6715">
        <v>4.0813380000000003E-2</v>
      </c>
      <c r="X6715">
        <v>0.99848040000000005</v>
      </c>
      <c r="Y6715">
        <v>-8.5399169999999996E-2</v>
      </c>
      <c r="Z6715">
        <v>5.5767230000000001E-2</v>
      </c>
      <c r="AA6715">
        <v>0.99478489999999997</v>
      </c>
      <c r="AB6715">
        <v>16</v>
      </c>
      <c r="AC6715">
        <v>-6.3695000000000102</v>
      </c>
      <c r="AD6715">
        <v>-1.110537498092</v>
      </c>
      <c r="AE6715">
        <v>-16.011199999999899</v>
      </c>
      <c r="AF6715">
        <v>-1.4679105892650299</v>
      </c>
      <c r="AG6715">
        <v>-1.110537498092</v>
      </c>
      <c r="AH6715">
        <v>17.097455655605</v>
      </c>
      <c r="AI6715">
        <v>93.702750317977305</v>
      </c>
      <c r="AJ6715">
        <v>94.907124280246407</v>
      </c>
      <c r="AK6715">
        <v>17.196250897452099</v>
      </c>
      <c r="AL6715">
        <v>87.660915737705295</v>
      </c>
      <c r="AM6715">
        <v>92.123769322631105</v>
      </c>
      <c r="AN6715">
        <v>0.99999993476097004</v>
      </c>
    </row>
    <row r="6716" spans="1:40" x14ac:dyDescent="0.25">
      <c r="A6716" t="str">
        <f>"20190312154057461"</f>
        <v>20190312154057461</v>
      </c>
      <c r="B6716" t="str">
        <f>"1552376457453341"</f>
        <v>1552376457453341</v>
      </c>
      <c r="C6716" t="s">
        <v>40</v>
      </c>
      <c r="D6716">
        <v>4.0807669999999998</v>
      </c>
      <c r="E6716">
        <v>0.48240480000000002</v>
      </c>
      <c r="F6716" t="s">
        <v>42</v>
      </c>
      <c r="G6716">
        <v>-423.2115</v>
      </c>
      <c r="H6716" s="1">
        <v>-2.633943E-6</v>
      </c>
      <c r="I6716">
        <v>103.35599999999999</v>
      </c>
      <c r="J6716">
        <v>-417.03649999999999</v>
      </c>
      <c r="K6716">
        <v>1.1109290000000001</v>
      </c>
      <c r="L6716">
        <v>118.8746</v>
      </c>
      <c r="M6716">
        <v>-0.4479783</v>
      </c>
      <c r="N6716">
        <v>0</v>
      </c>
      <c r="O6716">
        <v>-0.89391929999999997</v>
      </c>
      <c r="P6716">
        <v>-0.41368050000000001</v>
      </c>
      <c r="Q6716">
        <v>2.4952209999999999E-2</v>
      </c>
      <c r="R6716">
        <v>-0.91008009999999995</v>
      </c>
      <c r="S6716">
        <v>-1.11502099999999</v>
      </c>
      <c r="T6716">
        <v>-0.19836780000000001</v>
      </c>
      <c r="U6716">
        <v>-2.7958530000000001</v>
      </c>
      <c r="V6716">
        <v>-3.7898170000000002E-2</v>
      </c>
      <c r="W6716">
        <v>3.9891919999999997E-2</v>
      </c>
      <c r="X6716">
        <v>0.99848499999999996</v>
      </c>
      <c r="Y6716">
        <v>-8.5658700000000004E-2</v>
      </c>
      <c r="Z6716">
        <v>5.7538390000000002E-2</v>
      </c>
      <c r="AA6716">
        <v>0.99466169999999998</v>
      </c>
      <c r="AB6716">
        <v>15</v>
      </c>
      <c r="AC6716">
        <v>-6.1750000000000096</v>
      </c>
      <c r="AD6716">
        <v>-1.110931633943</v>
      </c>
      <c r="AE6716">
        <v>-15.5185999999999</v>
      </c>
      <c r="AF6716">
        <v>-1.4258961146464999</v>
      </c>
      <c r="AG6716">
        <v>-1.110931633943</v>
      </c>
      <c r="AH6716">
        <v>16.567206693990101</v>
      </c>
      <c r="AI6716">
        <v>93.822197821701295</v>
      </c>
      <c r="AJ6716">
        <v>94.919175250735194</v>
      </c>
      <c r="AK6716">
        <v>16.665523888148499</v>
      </c>
      <c r="AL6716">
        <v>87.713754620455703</v>
      </c>
      <c r="AM6716">
        <v>92.173656449448998</v>
      </c>
      <c r="AN6716">
        <v>0.99999996589781603</v>
      </c>
    </row>
    <row r="6717" spans="1:40" x14ac:dyDescent="0.25">
      <c r="A6717" t="str">
        <f>"20190312154057483"</f>
        <v>20190312154057483</v>
      </c>
      <c r="B6717" t="str">
        <f>"1552376457472860"</f>
        <v>1552376457472860</v>
      </c>
      <c r="C6717" t="s">
        <v>40</v>
      </c>
      <c r="D6717">
        <v>4.0589930000000001</v>
      </c>
      <c r="E6717">
        <v>0.44224150000000001</v>
      </c>
      <c r="F6717" t="s">
        <v>42</v>
      </c>
      <c r="G6717">
        <v>-423.08690000000001</v>
      </c>
      <c r="H6717" s="1">
        <v>-2.670326E-6</v>
      </c>
      <c r="I6717">
        <v>103.5031</v>
      </c>
      <c r="J6717">
        <v>-417.10230000000001</v>
      </c>
      <c r="K6717">
        <v>1.111299</v>
      </c>
      <c r="L6717">
        <v>118.7439</v>
      </c>
      <c r="M6717">
        <v>-0.44819209999999898</v>
      </c>
      <c r="N6717">
        <v>0</v>
      </c>
      <c r="O6717">
        <v>-0.89378060000000004</v>
      </c>
      <c r="P6717">
        <v>-0.41342980000000001</v>
      </c>
      <c r="Q6717">
        <v>2.1533670000000001E-2</v>
      </c>
      <c r="R6717">
        <v>-0.91028189999999998</v>
      </c>
      <c r="S6717">
        <v>-1.1024480000000001</v>
      </c>
      <c r="T6717">
        <v>-0.20242199999999999</v>
      </c>
      <c r="U6717">
        <v>-2.800827</v>
      </c>
      <c r="V6717">
        <v>-3.8466260000000002E-2</v>
      </c>
      <c r="W6717">
        <v>3.8259050000000003E-2</v>
      </c>
      <c r="X6717">
        <v>0.99852719999999995</v>
      </c>
      <c r="Y6717">
        <v>-9.0404159999999997E-2</v>
      </c>
      <c r="Z6717">
        <v>5.862962E-2</v>
      </c>
      <c r="AA6717">
        <v>0.99417789999999995</v>
      </c>
      <c r="AB6717">
        <v>15</v>
      </c>
      <c r="AC6717">
        <v>-5.9846000000000004</v>
      </c>
      <c r="AD6717">
        <v>-1.1113016703259999</v>
      </c>
      <c r="AE6717">
        <v>-15.240799999999901</v>
      </c>
      <c r="AF6717">
        <v>-1.4752983809104101</v>
      </c>
      <c r="AG6717">
        <v>-1.1113016703259999</v>
      </c>
      <c r="AH6717">
        <v>16.2316941946798</v>
      </c>
      <c r="AI6717">
        <v>93.900610631296502</v>
      </c>
      <c r="AJ6717">
        <v>95.193342977313904</v>
      </c>
      <c r="AK6717">
        <v>16.3364437116769</v>
      </c>
      <c r="AL6717">
        <v>87.8073827507705</v>
      </c>
      <c r="AM6717">
        <v>92.206114248071302</v>
      </c>
      <c r="AN6717">
        <v>0.99999998860256401</v>
      </c>
    </row>
    <row r="6718" spans="1:40" x14ac:dyDescent="0.25">
      <c r="A6718" t="str">
        <f>"20190312154057506"</f>
        <v>20190312154057506</v>
      </c>
      <c r="B6718" t="str">
        <f>"1552376457493356"</f>
        <v>1552376457493356</v>
      </c>
      <c r="C6718" t="s">
        <v>40</v>
      </c>
      <c r="D6718">
        <v>4.0677329999999996</v>
      </c>
      <c r="E6718">
        <v>0.44012469999999998</v>
      </c>
      <c r="F6718" t="s">
        <v>42</v>
      </c>
      <c r="G6718">
        <v>-424.89960000000002</v>
      </c>
      <c r="H6718" s="1">
        <v>-1.7695650000000001E-6</v>
      </c>
      <c r="I6718">
        <v>90.675129999999996</v>
      </c>
      <c r="J6718">
        <v>-417.1651</v>
      </c>
      <c r="K6718">
        <v>1.1115980000000001</v>
      </c>
      <c r="L6718">
        <v>118.61920000000001</v>
      </c>
      <c r="M6718">
        <v>-0.44836280000000001</v>
      </c>
      <c r="N6718">
        <v>0</v>
      </c>
      <c r="O6718">
        <v>-0.8936598</v>
      </c>
      <c r="P6718">
        <v>-0.41263450000000002</v>
      </c>
      <c r="Q6718">
        <v>1.8589310000000001E-2</v>
      </c>
      <c r="R6718">
        <v>-0.91070709999999999</v>
      </c>
      <c r="S6718">
        <v>-0.81362919999999905</v>
      </c>
      <c r="T6718">
        <v>-0.1159611</v>
      </c>
      <c r="U6718">
        <v>-2.9288940000000001</v>
      </c>
      <c r="V6718">
        <v>-3.9574999999999999E-2</v>
      </c>
      <c r="W6718">
        <v>3.7090199999999997E-2</v>
      </c>
      <c r="X6718">
        <v>0.99852799999999997</v>
      </c>
      <c r="Y6718">
        <v>-0.19299530000000001</v>
      </c>
      <c r="Z6718">
        <v>3.2408729999999997E-2</v>
      </c>
      <c r="AA6718">
        <v>0.98066430000000004</v>
      </c>
      <c r="AB6718">
        <v>15</v>
      </c>
      <c r="AC6718">
        <v>-7.7345000000000201</v>
      </c>
      <c r="AD6718">
        <v>-1.111599769565</v>
      </c>
      <c r="AE6718">
        <v>-27.94407</v>
      </c>
      <c r="AF6718">
        <v>-5.6097879282786201</v>
      </c>
      <c r="AG6718">
        <v>-1.111599769565</v>
      </c>
      <c r="AH6718">
        <v>28.403484778561602</v>
      </c>
      <c r="AI6718">
        <v>92.198754893327404</v>
      </c>
      <c r="AJ6718">
        <v>101.172329787492</v>
      </c>
      <c r="AK6718">
        <v>28.973493441660398</v>
      </c>
      <c r="AL6718">
        <v>87.874400562387294</v>
      </c>
      <c r="AM6718">
        <v>92.269635240983206</v>
      </c>
      <c r="AN6718">
        <v>1.0000000151725199</v>
      </c>
    </row>
    <row r="6719" spans="1:40" x14ac:dyDescent="0.25">
      <c r="A6719" t="str">
        <f>"20190312154057540"</f>
        <v>20190312154057540</v>
      </c>
      <c r="B6719" t="str">
        <f>"1552376457533373"</f>
        <v>1552376457533373</v>
      </c>
      <c r="C6719" t="s">
        <v>40</v>
      </c>
      <c r="D6719">
        <v>4.0654779999999997</v>
      </c>
      <c r="E6719">
        <v>0.43899129999999997</v>
      </c>
      <c r="F6719" t="s">
        <v>42</v>
      </c>
      <c r="G6719">
        <v>-424.0378</v>
      </c>
      <c r="H6719" s="1">
        <v>-2.637393E-6</v>
      </c>
      <c r="I6719">
        <v>93.232590000000002</v>
      </c>
      <c r="J6719">
        <v>-417.25909999999999</v>
      </c>
      <c r="K6719">
        <v>1.111955</v>
      </c>
      <c r="L6719">
        <v>118.4328</v>
      </c>
      <c r="M6719">
        <v>-0.44860129999999998</v>
      </c>
      <c r="N6719">
        <v>0</v>
      </c>
      <c r="O6719">
        <v>-0.89348229999999995</v>
      </c>
      <c r="P6719">
        <v>-0.41160370000000002</v>
      </c>
      <c r="Q6719">
        <v>1.4985470000000001E-2</v>
      </c>
      <c r="R6719">
        <v>-0.91123989999999999</v>
      </c>
      <c r="S6719">
        <v>-0.79498290000000005</v>
      </c>
      <c r="T6719">
        <v>-0.1285819</v>
      </c>
      <c r="U6719">
        <v>-2.9365389999999998</v>
      </c>
      <c r="V6719">
        <v>-4.10277E-2</v>
      </c>
      <c r="W6719">
        <v>3.6099050000000001E-2</v>
      </c>
      <c r="X6719">
        <v>0.99850570000000005</v>
      </c>
      <c r="Y6719">
        <v>-0.199762</v>
      </c>
      <c r="Z6719">
        <v>3.5829060000000003E-2</v>
      </c>
      <c r="AA6719">
        <v>0.97918919999999998</v>
      </c>
      <c r="AB6719">
        <v>14</v>
      </c>
      <c r="AC6719">
        <v>-6.7787000000000104</v>
      </c>
      <c r="AD6719">
        <v>-1.111957637393</v>
      </c>
      <c r="AE6719">
        <v>-25.200209999999998</v>
      </c>
      <c r="AF6719">
        <v>-5.2398562385740197</v>
      </c>
      <c r="AG6719">
        <v>-1.111957637393</v>
      </c>
      <c r="AH6719">
        <v>25.516251357033699</v>
      </c>
      <c r="AI6719">
        <v>92.444337122677197</v>
      </c>
      <c r="AJ6719">
        <v>101.604572241867</v>
      </c>
      <c r="AK6719">
        <v>26.072430391192999</v>
      </c>
      <c r="AL6719">
        <v>87.9312273554619</v>
      </c>
      <c r="AM6719">
        <v>92.352908428121495</v>
      </c>
      <c r="AN6719">
        <v>1.0000000232553401</v>
      </c>
    </row>
    <row r="6720" spans="1:40" x14ac:dyDescent="0.25">
      <c r="A6720" t="str">
        <f>"20190312154057561"</f>
        <v>20190312154057561</v>
      </c>
      <c r="B6720" t="str">
        <f>"1552376457552893"</f>
        <v>1552376457552893</v>
      </c>
      <c r="C6720" t="s">
        <v>40</v>
      </c>
      <c r="D6720">
        <v>4.1118750000000004</v>
      </c>
      <c r="E6720">
        <v>0.43863069999999998</v>
      </c>
      <c r="F6720" t="s">
        <v>42</v>
      </c>
      <c r="G6720">
        <v>-423.48079999999999</v>
      </c>
      <c r="H6720" s="1">
        <v>-3.2887770000000002E-6</v>
      </c>
      <c r="I6720">
        <v>95.096450000000004</v>
      </c>
      <c r="J6720">
        <v>-417.31810000000002</v>
      </c>
      <c r="K6720">
        <v>1.1119840000000001</v>
      </c>
      <c r="L6720">
        <v>118.3156</v>
      </c>
      <c r="M6720">
        <v>-0.44879170000000002</v>
      </c>
      <c r="N6720">
        <v>0</v>
      </c>
      <c r="O6720">
        <v>-0.89336119999999997</v>
      </c>
      <c r="P6720">
        <v>-0.41117749999999997</v>
      </c>
      <c r="Q6720">
        <v>1.328796E-2</v>
      </c>
      <c r="R6720">
        <v>-0.9114584</v>
      </c>
      <c r="S6720">
        <v>-0.78393550000000001</v>
      </c>
      <c r="T6720">
        <v>-0.14010719999999999</v>
      </c>
      <c r="U6720">
        <v>-2.9403839999999999</v>
      </c>
      <c r="V6720">
        <v>-4.1730469999999999E-2</v>
      </c>
      <c r="W6720">
        <v>3.544191E-2</v>
      </c>
      <c r="X6720">
        <v>0.9985001</v>
      </c>
      <c r="Y6720">
        <v>-0.2037679</v>
      </c>
      <c r="Z6720">
        <v>3.897548E-2</v>
      </c>
      <c r="AA6720">
        <v>0.97824310000000003</v>
      </c>
      <c r="AB6720">
        <v>13</v>
      </c>
      <c r="AC6720">
        <v>-6.1626999999999699</v>
      </c>
      <c r="AD6720">
        <v>-1.1119872887769999</v>
      </c>
      <c r="AE6720">
        <v>-23.219149999999999</v>
      </c>
      <c r="AF6720">
        <v>-4.9057426481387898</v>
      </c>
      <c r="AG6720">
        <v>-1.1119872887769999</v>
      </c>
      <c r="AH6720">
        <v>23.464364067272101</v>
      </c>
      <c r="AI6720">
        <v>92.655903531888796</v>
      </c>
      <c r="AJ6720">
        <v>101.80884755296</v>
      </c>
      <c r="AK6720">
        <v>23.997483362670799</v>
      </c>
      <c r="AL6720">
        <v>87.968902778648797</v>
      </c>
      <c r="AM6720">
        <v>92.393178711411096</v>
      </c>
      <c r="AN6720">
        <v>1.0000000054054301</v>
      </c>
    </row>
    <row r="6721" spans="1:40" x14ac:dyDescent="0.25">
      <c r="A6721" t="str">
        <f>"20190312154057585"</f>
        <v>20190312154057585</v>
      </c>
      <c r="B6721" t="str">
        <f>"1552376457573388"</f>
        <v>1552376457573388</v>
      </c>
      <c r="C6721" t="s">
        <v>40</v>
      </c>
      <c r="D6721">
        <v>4.0928579999999997</v>
      </c>
      <c r="E6721">
        <v>0.43837150000000003</v>
      </c>
      <c r="F6721" t="s">
        <v>42</v>
      </c>
      <c r="G6721">
        <v>-423.32530000000003</v>
      </c>
      <c r="H6721" s="1">
        <v>-3.4837429999999999E-6</v>
      </c>
      <c r="I6721">
        <v>95.64734</v>
      </c>
      <c r="J6721">
        <v>-417.37979999999999</v>
      </c>
      <c r="K6721">
        <v>1.1116410000000001</v>
      </c>
      <c r="L6721">
        <v>118.1934</v>
      </c>
      <c r="M6721">
        <v>-0.44903480000000001</v>
      </c>
      <c r="N6721">
        <v>0</v>
      </c>
      <c r="O6721">
        <v>-0.89324709999999996</v>
      </c>
      <c r="P6721">
        <v>-0.4107172</v>
      </c>
      <c r="Q6721">
        <v>1.366851E-2</v>
      </c>
      <c r="R6721">
        <v>-0.91166040000000004</v>
      </c>
      <c r="S6721">
        <v>-0.77960209999999996</v>
      </c>
      <c r="T6721">
        <v>-0.14431189999999999</v>
      </c>
      <c r="U6721">
        <v>-2.9418489999999999</v>
      </c>
      <c r="V6721">
        <v>-4.2499299999999997E-2</v>
      </c>
      <c r="W6721">
        <v>3.5507660000000003E-2</v>
      </c>
      <c r="X6721">
        <v>0.99846539999999995</v>
      </c>
      <c r="Y6721">
        <v>-0.2055102</v>
      </c>
      <c r="Z6721">
        <v>4.0112790000000002E-2</v>
      </c>
      <c r="AA6721">
        <v>0.97783260000000005</v>
      </c>
      <c r="AB6721">
        <v>13</v>
      </c>
      <c r="AC6721">
        <v>-5.9455000000000302</v>
      </c>
      <c r="AD6721">
        <v>-1.111644483743</v>
      </c>
      <c r="AE6721">
        <v>-22.546060000000001</v>
      </c>
      <c r="AF6721">
        <v>-4.8033961750200902</v>
      </c>
      <c r="AG6721">
        <v>-1.111644483743</v>
      </c>
      <c r="AH6721">
        <v>22.762646398523199</v>
      </c>
      <c r="AI6721">
        <v>92.735742084846294</v>
      </c>
      <c r="AJ6721">
        <v>101.915795193553</v>
      </c>
      <c r="AK6721">
        <v>23.2904795858014</v>
      </c>
      <c r="AL6721">
        <v>87.965133339394001</v>
      </c>
      <c r="AM6721">
        <v>92.437301849216894</v>
      </c>
      <c r="AN6721">
        <v>1.0000000697081599</v>
      </c>
    </row>
    <row r="6722" spans="1:40" x14ac:dyDescent="0.25">
      <c r="A6722" t="str">
        <f>"20190312154057605"</f>
        <v>20190312154057605</v>
      </c>
      <c r="B6722" t="str">
        <f>"1552376457592908"</f>
        <v>1552376457592908</v>
      </c>
      <c r="C6722" t="s">
        <v>40</v>
      </c>
      <c r="D6722">
        <v>4.0622350000000003</v>
      </c>
      <c r="E6722">
        <v>0.43820419999999999</v>
      </c>
      <c r="F6722" t="s">
        <v>42</v>
      </c>
      <c r="G6722">
        <v>-423.37619999999998</v>
      </c>
      <c r="H6722" s="1">
        <v>-3.4208759999999999E-6</v>
      </c>
      <c r="I6722">
        <v>95.469260000000006</v>
      </c>
      <c r="J6722">
        <v>-417.4391</v>
      </c>
      <c r="K6722">
        <v>1.1111839999999999</v>
      </c>
      <c r="L6722">
        <v>118.0761</v>
      </c>
      <c r="M6722">
        <v>-0.4492545</v>
      </c>
      <c r="N6722">
        <v>0</v>
      </c>
      <c r="O6722">
        <v>-0.89316240000000002</v>
      </c>
      <c r="P6722">
        <v>-0.41061629999999899</v>
      </c>
      <c r="Q6722">
        <v>1.4499349999999999E-2</v>
      </c>
      <c r="R6722">
        <v>-0.91169330000000004</v>
      </c>
      <c r="S6722">
        <v>-0.77658079999999996</v>
      </c>
      <c r="T6722">
        <v>-0.14396779999999901</v>
      </c>
      <c r="U6722">
        <v>-2.9429780000000001</v>
      </c>
      <c r="V6722">
        <v>-4.2836270000000003E-2</v>
      </c>
      <c r="W6722">
        <v>3.5267020000000003E-2</v>
      </c>
      <c r="X6722">
        <v>0.99845950000000006</v>
      </c>
      <c r="Y6722">
        <v>-0.20676919999999999</v>
      </c>
      <c r="Z6722">
        <v>3.9993349999999997E-2</v>
      </c>
      <c r="AA6722">
        <v>0.977572</v>
      </c>
      <c r="AB6722">
        <v>13</v>
      </c>
      <c r="AC6722">
        <v>-5.9370999999999796</v>
      </c>
      <c r="AD6722">
        <v>-1.111187420876</v>
      </c>
      <c r="AE6722">
        <v>-22.606839999999998</v>
      </c>
      <c r="AF6722">
        <v>-4.84353025644279</v>
      </c>
      <c r="AG6722">
        <v>-1.111187420876</v>
      </c>
      <c r="AH6722">
        <v>22.812221672550798</v>
      </c>
      <c r="AI6722">
        <v>92.7279672287045</v>
      </c>
      <c r="AJ6722">
        <v>101.987125864348</v>
      </c>
      <c r="AK6722">
        <v>23.347204981902699</v>
      </c>
      <c r="AL6722">
        <v>87.978929577675402</v>
      </c>
      <c r="AM6722">
        <v>92.456617733352203</v>
      </c>
      <c r="AN6722">
        <v>1.00000004093372</v>
      </c>
    </row>
    <row r="6723" spans="1:40" x14ac:dyDescent="0.25">
      <c r="A6723" t="str">
        <f>"20190312154057629"</f>
        <v>20190312154057629</v>
      </c>
      <c r="B6723" t="str">
        <f>"1552376457623164"</f>
        <v>1552376457623164</v>
      </c>
      <c r="C6723" t="s">
        <v>40</v>
      </c>
      <c r="D6723">
        <v>4.1110730000000002</v>
      </c>
      <c r="E6723">
        <v>0.43808219999999998</v>
      </c>
      <c r="F6723" t="s">
        <v>42</v>
      </c>
      <c r="G6723">
        <v>-423.43189999999998</v>
      </c>
      <c r="H6723" s="1">
        <v>-3.3694989999999999E-6</v>
      </c>
      <c r="I6723">
        <v>95.314909999999998</v>
      </c>
      <c r="J6723">
        <v>-417.50209999999998</v>
      </c>
      <c r="K6723">
        <v>1.110851</v>
      </c>
      <c r="L6723">
        <v>117.9513</v>
      </c>
      <c r="M6723">
        <v>-0.4494534</v>
      </c>
      <c r="N6723">
        <v>0</v>
      </c>
      <c r="O6723">
        <v>-0.89308549999999998</v>
      </c>
      <c r="P6723">
        <v>-0.41079270000000001</v>
      </c>
      <c r="Q6723">
        <v>1.5270799999999999E-2</v>
      </c>
      <c r="R6723">
        <v>-0.91160090000000005</v>
      </c>
      <c r="S6723">
        <v>-0.77508540000000004</v>
      </c>
      <c r="T6723">
        <v>-0.1437147</v>
      </c>
      <c r="U6723">
        <v>-2.9438019999999998</v>
      </c>
      <c r="V6723">
        <v>-4.2849039999999998E-2</v>
      </c>
      <c r="W6723">
        <v>3.500491E-2</v>
      </c>
      <c r="X6723">
        <v>0.99846820000000003</v>
      </c>
      <c r="Y6723">
        <v>-0.20750759999999999</v>
      </c>
      <c r="Z6723">
        <v>3.9904219999999997E-2</v>
      </c>
      <c r="AA6723">
        <v>0.97741920000000004</v>
      </c>
      <c r="AB6723">
        <v>14</v>
      </c>
      <c r="AC6723">
        <v>-5.9298000000000002</v>
      </c>
      <c r="AD6723">
        <v>-1.1108543694990001</v>
      </c>
      <c r="AE6723">
        <v>-22.636389999999999</v>
      </c>
      <c r="AF6723">
        <v>-4.8681645411026597</v>
      </c>
      <c r="AG6723">
        <v>-1.1108543694990001</v>
      </c>
      <c r="AH6723">
        <v>22.834403368637901</v>
      </c>
      <c r="AI6723">
        <v>92.724022499301697</v>
      </c>
      <c r="AJ6723">
        <v>102.034955422254</v>
      </c>
      <c r="AK6723">
        <v>23.373981274723899</v>
      </c>
      <c r="AL6723">
        <v>87.993956701131793</v>
      </c>
      <c r="AM6723">
        <v>92.457327797123497</v>
      </c>
      <c r="AN6723">
        <v>1.0000000651821299</v>
      </c>
    </row>
    <row r="6724" spans="1:40" x14ac:dyDescent="0.25">
      <c r="A6724" t="str">
        <f>"20190312154057651"</f>
        <v>20190312154057651</v>
      </c>
      <c r="B6724" t="str">
        <f>"1552376457643423"</f>
        <v>1552376457643423</v>
      </c>
      <c r="C6724" t="s">
        <v>40</v>
      </c>
      <c r="D6724">
        <v>4.1000079999999999</v>
      </c>
      <c r="E6724">
        <v>0.4380733</v>
      </c>
      <c r="F6724" t="s">
        <v>42</v>
      </c>
      <c r="G6724">
        <v>-423.54759999999999</v>
      </c>
      <c r="H6724" s="1">
        <v>-3.2534090000000001E-6</v>
      </c>
      <c r="I6724">
        <v>94.972549999999998</v>
      </c>
      <c r="J6724">
        <v>-417.56279999999998</v>
      </c>
      <c r="K6724">
        <v>1.1107149999999999</v>
      </c>
      <c r="L6724">
        <v>117.8313</v>
      </c>
      <c r="M6724">
        <v>-0.44960879999999998</v>
      </c>
      <c r="N6724">
        <v>0</v>
      </c>
      <c r="O6724">
        <v>-0.89302090000000001</v>
      </c>
      <c r="P6724">
        <v>-0.41137420000000002</v>
      </c>
      <c r="Q6724">
        <v>1.506994E-2</v>
      </c>
      <c r="R6724">
        <v>-0.91134210000000004</v>
      </c>
      <c r="S6724">
        <v>-0.77459719999999999</v>
      </c>
      <c r="T6724">
        <v>-0.14233170000000001</v>
      </c>
      <c r="U6724">
        <v>-2.944229</v>
      </c>
      <c r="V6724">
        <v>-4.2383200000000003E-2</v>
      </c>
      <c r="W6724">
        <v>3.4170470000000001E-2</v>
      </c>
      <c r="X6724">
        <v>0.99851690000000004</v>
      </c>
      <c r="Y6724">
        <v>-0.20785400000000001</v>
      </c>
      <c r="Z6724">
        <v>3.9509219999999998E-2</v>
      </c>
      <c r="AA6724">
        <v>0.97736160000000005</v>
      </c>
      <c r="AB6724">
        <v>14</v>
      </c>
      <c r="AC6724">
        <v>-5.9847999999999999</v>
      </c>
      <c r="AD6724">
        <v>-1.1107182534090001</v>
      </c>
      <c r="AE6724">
        <v>-22.858750000000001</v>
      </c>
      <c r="AF6724">
        <v>-4.9229679922375098</v>
      </c>
      <c r="AG6724">
        <v>-1.1107182534090001</v>
      </c>
      <c r="AH6724">
        <v>23.057437682315101</v>
      </c>
      <c r="AI6724">
        <v>92.697209203714095</v>
      </c>
      <c r="AJ6724">
        <v>102.052195758724</v>
      </c>
      <c r="AK6724">
        <v>23.603278191066899</v>
      </c>
      <c r="AL6724">
        <v>88.041795042485703</v>
      </c>
      <c r="AM6724">
        <v>92.430526386848101</v>
      </c>
      <c r="AN6724">
        <v>0.99999997812393504</v>
      </c>
    </row>
    <row r="6725" spans="1:40" x14ac:dyDescent="0.25">
      <c r="A6725" t="str">
        <f>"20190312154057672"</f>
        <v>20190312154057672</v>
      </c>
      <c r="B6725" t="str">
        <f>"1552376457662933"</f>
        <v>1552376457662933</v>
      </c>
      <c r="C6725" t="s">
        <v>40</v>
      </c>
      <c r="D6725">
        <v>4.1358790000000001</v>
      </c>
      <c r="E6725">
        <v>0.43797229999999998</v>
      </c>
      <c r="F6725" t="s">
        <v>42</v>
      </c>
      <c r="G6725">
        <v>-423.52800000000002</v>
      </c>
      <c r="H6725" s="1">
        <v>-3.3499159999999999E-6</v>
      </c>
      <c r="I6725">
        <v>95.209699999999998</v>
      </c>
      <c r="J6725">
        <v>-417.62200000000001</v>
      </c>
      <c r="K6725">
        <v>1.1106780000000001</v>
      </c>
      <c r="L6725">
        <v>117.7141</v>
      </c>
      <c r="M6725">
        <v>-0.4497331</v>
      </c>
      <c r="N6725">
        <v>0</v>
      </c>
      <c r="O6725">
        <v>-0.89296880000000001</v>
      </c>
      <c r="P6725">
        <v>-0.41105799999999998</v>
      </c>
      <c r="Q6725">
        <v>1.441631E-2</v>
      </c>
      <c r="R6725">
        <v>-0.91149530000000001</v>
      </c>
      <c r="S6725">
        <v>-0.77627559999999995</v>
      </c>
      <c r="T6725">
        <v>-0.14454310000000001</v>
      </c>
      <c r="U6725">
        <v>-2.9438629999999999</v>
      </c>
      <c r="V6725">
        <v>-4.2872399999999998E-2</v>
      </c>
      <c r="W6725">
        <v>3.3027180000000003E-2</v>
      </c>
      <c r="X6725">
        <v>0.99853449999999999</v>
      </c>
      <c r="Y6725">
        <v>-0.2074413</v>
      </c>
      <c r="Z6725">
        <v>4.0121919999999998E-2</v>
      </c>
      <c r="AA6725">
        <v>0.97742430000000002</v>
      </c>
      <c r="AB6725">
        <v>14</v>
      </c>
      <c r="AC6725">
        <v>-5.9060000000000601</v>
      </c>
      <c r="AD6725">
        <v>-1.110681349916</v>
      </c>
      <c r="AE6725">
        <v>-22.5044</v>
      </c>
      <c r="AF6725">
        <v>-4.8369180340405196</v>
      </c>
      <c r="AG6725">
        <v>-1.110681349916</v>
      </c>
      <c r="AH6725">
        <v>22.704058256489301</v>
      </c>
      <c r="AI6725">
        <v>92.739296343589899</v>
      </c>
      <c r="AJ6725">
        <v>102.026608766783</v>
      </c>
      <c r="AK6725">
        <v>23.240130172680502</v>
      </c>
      <c r="AL6725">
        <v>88.107337771877397</v>
      </c>
      <c r="AM6725">
        <v>92.458502765872296</v>
      </c>
      <c r="AN6725">
        <v>0.99999999249538096</v>
      </c>
    </row>
    <row r="6726" spans="1:40" x14ac:dyDescent="0.25">
      <c r="A6726" t="str">
        <f>"20190312154057696"</f>
        <v>20190312154057696</v>
      </c>
      <c r="B6726" t="str">
        <f>"1552376457683429"</f>
        <v>1552376457683429</v>
      </c>
      <c r="C6726" t="s">
        <v>40</v>
      </c>
      <c r="D6726">
        <v>4.1434860000000002</v>
      </c>
      <c r="E6726">
        <v>0.43787120000000002</v>
      </c>
      <c r="F6726" t="s">
        <v>42</v>
      </c>
      <c r="G6726">
        <v>-423.428</v>
      </c>
      <c r="H6726" s="1">
        <v>-3.5111699999999898E-6</v>
      </c>
      <c r="I6726">
        <v>95.647589999999994</v>
      </c>
      <c r="J6726">
        <v>-417.68310000000002</v>
      </c>
      <c r="K6726">
        <v>1.1106400000000001</v>
      </c>
      <c r="L6726">
        <v>117.593</v>
      </c>
      <c r="M6726">
        <v>-0.4498277</v>
      </c>
      <c r="N6726">
        <v>0</v>
      </c>
      <c r="O6726">
        <v>-0.89293299999999998</v>
      </c>
      <c r="P6726">
        <v>-0.41071590000000002</v>
      </c>
      <c r="Q6726">
        <v>1.464738E-2</v>
      </c>
      <c r="R6726">
        <v>-0.91164599999999996</v>
      </c>
      <c r="S6726">
        <v>-0.77468870000000001</v>
      </c>
      <c r="T6726">
        <v>-0.14819649999999901</v>
      </c>
      <c r="U6726">
        <v>-2.9443049999999999</v>
      </c>
      <c r="V6726">
        <v>-4.3349499999999999E-2</v>
      </c>
      <c r="W6726">
        <v>3.2679279999999998E-2</v>
      </c>
      <c r="X6726">
        <v>0.99852540000000001</v>
      </c>
      <c r="Y6726">
        <v>-0.20807980000000001</v>
      </c>
      <c r="Z6726">
        <v>4.1123670000000001E-2</v>
      </c>
      <c r="AA6726">
        <v>0.97724699999999998</v>
      </c>
      <c r="AB6726">
        <v>13</v>
      </c>
      <c r="AC6726">
        <v>-5.7449000000000296</v>
      </c>
      <c r="AD6726">
        <v>-1.1106435111699999</v>
      </c>
      <c r="AE6726">
        <v>-21.945409999999899</v>
      </c>
      <c r="AF6726">
        <v>-4.7312738495681597</v>
      </c>
      <c r="AG6726">
        <v>-1.1106435111699999</v>
      </c>
      <c r="AH6726">
        <v>22.130560951172399</v>
      </c>
      <c r="AI6726">
        <v>92.809647429814902</v>
      </c>
      <c r="AJ6726">
        <v>102.067552429648</v>
      </c>
      <c r="AK6726">
        <v>22.657895075714102</v>
      </c>
      <c r="AL6726">
        <v>88.127281837200499</v>
      </c>
      <c r="AM6726">
        <v>92.485850393047301</v>
      </c>
      <c r="AN6726">
        <v>1.0000000444683601</v>
      </c>
    </row>
    <row r="6727" spans="1:40" x14ac:dyDescent="0.25">
      <c r="A6727" t="str">
        <f>"20190312154057718"</f>
        <v>20190312154057718</v>
      </c>
      <c r="B6727" t="str">
        <f>"1552376457712708"</f>
        <v>1552376457712708</v>
      </c>
      <c r="C6727" t="s">
        <v>40</v>
      </c>
      <c r="D6727">
        <v>4.1532770000000001</v>
      </c>
      <c r="E6727">
        <v>0.43789280000000003</v>
      </c>
      <c r="F6727" t="s">
        <v>42</v>
      </c>
      <c r="G6727">
        <v>-423.44510000000002</v>
      </c>
      <c r="H6727" s="1">
        <v>-3.5120599999999898E-6</v>
      </c>
      <c r="I6727">
        <v>95.639060000000001</v>
      </c>
      <c r="J6727">
        <v>-417.74360000000001</v>
      </c>
      <c r="K6727">
        <v>1.1105940000000001</v>
      </c>
      <c r="L6727">
        <v>117.4729</v>
      </c>
      <c r="M6727">
        <v>-0.44987739999999998</v>
      </c>
      <c r="N6727">
        <v>0</v>
      </c>
      <c r="O6727">
        <v>-0.8929203</v>
      </c>
      <c r="P6727">
        <v>-0.41029919999999998</v>
      </c>
      <c r="Q6727">
        <v>1.4679889999999999E-2</v>
      </c>
      <c r="R6727">
        <v>-0.911833</v>
      </c>
      <c r="S6727">
        <v>-0.77291869999999996</v>
      </c>
      <c r="T6727">
        <v>-0.14898339999999999</v>
      </c>
      <c r="U6727">
        <v>-2.944931</v>
      </c>
      <c r="V6727">
        <v>-4.3858849999999998E-2</v>
      </c>
      <c r="W6727">
        <v>3.2088789999999999E-2</v>
      </c>
      <c r="X6727">
        <v>0.99852229999999997</v>
      </c>
      <c r="Y6727">
        <v>-0.20873159999999999</v>
      </c>
      <c r="Z6727">
        <v>4.1330699999999998E-2</v>
      </c>
      <c r="AA6727">
        <v>0.97709919999999995</v>
      </c>
      <c r="AB6727">
        <v>13</v>
      </c>
      <c r="AC6727">
        <v>-5.7015000000000002</v>
      </c>
      <c r="AD6727">
        <v>-1.11059751206</v>
      </c>
      <c r="AE6727">
        <v>-21.833839999999899</v>
      </c>
      <c r="AF6727">
        <v>-4.7208499387204403</v>
      </c>
      <c r="AG6727">
        <v>-1.11059751206</v>
      </c>
      <c r="AH6727">
        <v>22.010891109588201</v>
      </c>
      <c r="AI6727">
        <v>92.824383889335607</v>
      </c>
      <c r="AJ6727">
        <v>102.10528525235701</v>
      </c>
      <c r="AK6727">
        <v>22.538837113210999</v>
      </c>
      <c r="AL6727">
        <v>88.161132160674498</v>
      </c>
      <c r="AM6727">
        <v>92.515029265886596</v>
      </c>
      <c r="AN6727">
        <v>1.00000003638213</v>
      </c>
    </row>
    <row r="6728" spans="1:40" x14ac:dyDescent="0.25">
      <c r="A6728" t="str">
        <f>"20190312154057740"</f>
        <v>20190312154057740</v>
      </c>
      <c r="B6728" t="str">
        <f>"1552376457733205"</f>
        <v>1552376457733205</v>
      </c>
      <c r="C6728" t="s">
        <v>40</v>
      </c>
      <c r="D6728">
        <v>4.1514340000000001</v>
      </c>
      <c r="E6728">
        <v>0.43789919999999999</v>
      </c>
      <c r="F6728" t="s">
        <v>42</v>
      </c>
      <c r="G6728">
        <v>-423.45940000000002</v>
      </c>
      <c r="H6728" s="1">
        <v>-3.5265870000000001E-6</v>
      </c>
      <c r="I6728">
        <v>95.664029999999997</v>
      </c>
      <c r="J6728">
        <v>-417.80329999999998</v>
      </c>
      <c r="K6728">
        <v>1.1105769999999999</v>
      </c>
      <c r="L6728">
        <v>117.35420000000001</v>
      </c>
      <c r="M6728">
        <v>-0.44987060000000001</v>
      </c>
      <c r="N6728">
        <v>0</v>
      </c>
      <c r="O6728">
        <v>-0.89293369999999905</v>
      </c>
      <c r="P6728">
        <v>-0.40960180000000002</v>
      </c>
      <c r="Q6728">
        <v>1.581695E-2</v>
      </c>
      <c r="R6728">
        <v>-0.91212729999999997</v>
      </c>
      <c r="S6728">
        <v>-0.77188109999999999</v>
      </c>
      <c r="T6728">
        <v>-0.14997859999999999</v>
      </c>
      <c r="U6728">
        <v>-2.9451450000000001</v>
      </c>
      <c r="V6728">
        <v>-4.4604070000000003E-2</v>
      </c>
      <c r="W6728">
        <v>3.2695009999999997E-2</v>
      </c>
      <c r="X6728">
        <v>0.99846959999999996</v>
      </c>
      <c r="Y6728">
        <v>-0.20906240000000001</v>
      </c>
      <c r="Z6728">
        <v>4.1603500000000002E-2</v>
      </c>
      <c r="AA6728">
        <v>0.97701689999999997</v>
      </c>
      <c r="AB6728">
        <v>13</v>
      </c>
      <c r="AC6728">
        <v>-5.6561000000000297</v>
      </c>
      <c r="AD6728">
        <v>-1.1105805265869999</v>
      </c>
      <c r="AE6728">
        <v>-21.690169999999899</v>
      </c>
      <c r="AF6728">
        <v>-4.6963920658617004</v>
      </c>
      <c r="AG6728">
        <v>-1.1105805265869999</v>
      </c>
      <c r="AH6728">
        <v>21.861864477889799</v>
      </c>
      <c r="AI6728">
        <v>92.843362094637598</v>
      </c>
      <c r="AJ6728">
        <v>102.124088215884</v>
      </c>
      <c r="AK6728">
        <v>22.3881800509096</v>
      </c>
      <c r="AL6728">
        <v>88.126380036468802</v>
      </c>
      <c r="AM6728">
        <v>92.557841489008297</v>
      </c>
      <c r="AN6728">
        <v>1.00000001443181</v>
      </c>
    </row>
    <row r="6729" spans="1:40" x14ac:dyDescent="0.25">
      <c r="A6729" t="str">
        <f>"20190312154057763"</f>
        <v>20190312154057763</v>
      </c>
      <c r="B6729" t="str">
        <f>"1552376457752725"</f>
        <v>1552376457752725</v>
      </c>
      <c r="C6729" t="s">
        <v>40</v>
      </c>
      <c r="D6729">
        <v>4.1719569999999999</v>
      </c>
      <c r="E6729">
        <v>0.43780770000000002</v>
      </c>
      <c r="F6729" t="s">
        <v>42</v>
      </c>
      <c r="G6729">
        <v>-423.62619999999998</v>
      </c>
      <c r="H6729" s="1">
        <v>-3.3240529999999998E-6</v>
      </c>
      <c r="I6729">
        <v>95.088499999999996</v>
      </c>
      <c r="J6729">
        <v>-417.86430000000001</v>
      </c>
      <c r="K6729">
        <v>1.110582</v>
      </c>
      <c r="L6729">
        <v>117.2332</v>
      </c>
      <c r="M6729">
        <v>-0.4498065</v>
      </c>
      <c r="N6729">
        <v>0</v>
      </c>
      <c r="O6729">
        <v>-0.89297389999999999</v>
      </c>
      <c r="P6729">
        <v>-0.40924159999999998</v>
      </c>
      <c r="Q6729">
        <v>1.6795859999999999E-2</v>
      </c>
      <c r="R6729">
        <v>-0.91227170000000002</v>
      </c>
      <c r="S6729">
        <v>-0.77032469999999997</v>
      </c>
      <c r="T6729">
        <v>-0.14692269999999999</v>
      </c>
      <c r="U6729">
        <v>-2.9456180000000001</v>
      </c>
      <c r="V6729">
        <v>-4.4916039999999997E-2</v>
      </c>
      <c r="W6729">
        <v>3.3258799999999998E-2</v>
      </c>
      <c r="X6729">
        <v>0.99843700000000002</v>
      </c>
      <c r="Y6729">
        <v>-0.20950060000000001</v>
      </c>
      <c r="Z6729">
        <v>4.0753829999999998E-2</v>
      </c>
      <c r="AA6729">
        <v>0.97695889999999996</v>
      </c>
      <c r="AB6729">
        <v>13</v>
      </c>
      <c r="AC6729">
        <v>-5.7618999999999598</v>
      </c>
      <c r="AD6729">
        <v>-1.1105853240529999</v>
      </c>
      <c r="AE6729">
        <v>-22.1447</v>
      </c>
      <c r="AF6729">
        <v>-4.80493922236258</v>
      </c>
      <c r="AG6729">
        <v>-1.1105853240529999</v>
      </c>
      <c r="AH6729">
        <v>22.3168474118558</v>
      </c>
      <c r="AI6729">
        <v>92.785220710762502</v>
      </c>
      <c r="AJ6729">
        <v>102.15060772888501</v>
      </c>
      <c r="AK6729">
        <v>22.855251455555099</v>
      </c>
      <c r="AL6729">
        <v>88.094059682325394</v>
      </c>
      <c r="AM6729">
        <v>92.575791532822294</v>
      </c>
      <c r="AN6729">
        <v>1.0000000206978601</v>
      </c>
    </row>
    <row r="6730" spans="1:40" x14ac:dyDescent="0.25">
      <c r="A6730" t="str">
        <f>"20190312154057785"</f>
        <v>20190312154057785</v>
      </c>
      <c r="B6730" t="str">
        <f>"1552376457773221"</f>
        <v>1552376457773221</v>
      </c>
      <c r="C6730" t="s">
        <v>40</v>
      </c>
      <c r="D6730">
        <v>4.2206250000000001</v>
      </c>
      <c r="E6730">
        <v>0.43783610000000001</v>
      </c>
      <c r="F6730" t="s">
        <v>42</v>
      </c>
      <c r="G6730">
        <v>-423.77510000000001</v>
      </c>
      <c r="H6730" s="1">
        <v>-3.1407700000000001E-6</v>
      </c>
      <c r="I6730">
        <v>94.568899999999999</v>
      </c>
      <c r="J6730">
        <v>-417.92450000000002</v>
      </c>
      <c r="K6730">
        <v>1.1106009999999999</v>
      </c>
      <c r="L6730">
        <v>117.1133</v>
      </c>
      <c r="M6730">
        <v>-0.44969629999999999</v>
      </c>
      <c r="N6730">
        <v>0</v>
      </c>
      <c r="O6730">
        <v>-0.89303559999999904</v>
      </c>
      <c r="P6730">
        <v>-0.40888330000000001</v>
      </c>
      <c r="Q6730">
        <v>1.7109780000000002E-2</v>
      </c>
      <c r="R6730">
        <v>-0.91242639999999997</v>
      </c>
      <c r="S6730">
        <v>-0.76843260000000002</v>
      </c>
      <c r="T6730">
        <v>-0.14438039999999999</v>
      </c>
      <c r="U6730">
        <v>-2.9464419999999998</v>
      </c>
      <c r="V6730">
        <v>-4.51803E-2</v>
      </c>
      <c r="W6730">
        <v>3.3228779999999999E-2</v>
      </c>
      <c r="X6730">
        <v>0.99842609999999998</v>
      </c>
      <c r="Y6730">
        <v>-0.2100234</v>
      </c>
      <c r="Z6730">
        <v>4.00434E-2</v>
      </c>
      <c r="AA6730">
        <v>0.97687599999999997</v>
      </c>
      <c r="AB6730">
        <v>13</v>
      </c>
      <c r="AC6730">
        <v>-5.8505999999999796</v>
      </c>
      <c r="AD6730">
        <v>-1.11060414077</v>
      </c>
      <c r="AE6730">
        <v>-22.5444</v>
      </c>
      <c r="AF6730">
        <v>-4.9028320296879198</v>
      </c>
      <c r="AG6730">
        <v>-1.11060414077</v>
      </c>
      <c r="AH6730">
        <v>22.715264355236499</v>
      </c>
      <c r="AI6730">
        <v>92.7361901345392</v>
      </c>
      <c r="AJ6730">
        <v>102.17980041560099</v>
      </c>
      <c r="AK6730">
        <v>23.264875632530401</v>
      </c>
      <c r="AL6730">
        <v>88.095780697673604</v>
      </c>
      <c r="AM6730">
        <v>92.590953656915801</v>
      </c>
      <c r="AN6730">
        <v>1.0000000442447901</v>
      </c>
    </row>
    <row r="6731" spans="1:40" x14ac:dyDescent="0.25">
      <c r="A6731" t="str">
        <f>"20190312154057807"</f>
        <v>20190312154057807</v>
      </c>
      <c r="B6731" t="str">
        <f>"1552376457803477"</f>
        <v>1552376457803477</v>
      </c>
      <c r="C6731" t="s">
        <v>40</v>
      </c>
      <c r="D6731">
        <v>4.1381119999999996</v>
      </c>
      <c r="E6731">
        <v>0.4379459</v>
      </c>
      <c r="F6731" t="s">
        <v>42</v>
      </c>
      <c r="G6731">
        <v>-423.90410000000003</v>
      </c>
      <c r="H6731" s="1">
        <v>-3.002852E-6</v>
      </c>
      <c r="I6731">
        <v>94.167420000000007</v>
      </c>
      <c r="J6731">
        <v>-417.983</v>
      </c>
      <c r="K6731">
        <v>1.110625</v>
      </c>
      <c r="L6731">
        <v>116.9969</v>
      </c>
      <c r="M6731">
        <v>-0.44954739999999999</v>
      </c>
      <c r="N6731">
        <v>0</v>
      </c>
      <c r="O6731">
        <v>-0.89311620000000003</v>
      </c>
      <c r="P6731">
        <v>-0.40806710000000002</v>
      </c>
      <c r="Q6731">
        <v>1.7374790000000001E-2</v>
      </c>
      <c r="R6731">
        <v>-0.9127864</v>
      </c>
      <c r="S6731">
        <v>-0.7678528</v>
      </c>
      <c r="T6731">
        <v>-0.14261499999999999</v>
      </c>
      <c r="U6731">
        <v>-2.9465330000000001</v>
      </c>
      <c r="V6731">
        <v>-4.5903079999999999E-2</v>
      </c>
      <c r="W6731">
        <v>3.3172069999999998E-2</v>
      </c>
      <c r="X6731">
        <v>0.99839500000000003</v>
      </c>
      <c r="Y6731">
        <v>-0.21004</v>
      </c>
      <c r="Z6731">
        <v>3.9559629999999998E-2</v>
      </c>
      <c r="AA6731">
        <v>0.97689210000000004</v>
      </c>
      <c r="AB6731">
        <v>13</v>
      </c>
      <c r="AC6731">
        <v>-5.9211000000000196</v>
      </c>
      <c r="AD6731">
        <v>-1.1106280028519999</v>
      </c>
      <c r="AE6731">
        <v>-22.82948</v>
      </c>
      <c r="AF6731">
        <v>-4.9643178912174202</v>
      </c>
      <c r="AG6731">
        <v>-1.1106280028519999</v>
      </c>
      <c r="AH6731">
        <v>23.003072029806599</v>
      </c>
      <c r="AI6731">
        <v>92.702080090728899</v>
      </c>
      <c r="AJ6731">
        <v>102.178291161785</v>
      </c>
      <c r="AK6731">
        <v>23.558846947468599</v>
      </c>
      <c r="AL6731">
        <v>88.099031701600296</v>
      </c>
      <c r="AM6731">
        <v>92.6324269437835</v>
      </c>
      <c r="AN6731">
        <v>1.0000000275032801</v>
      </c>
    </row>
    <row r="6732" spans="1:40" x14ac:dyDescent="0.25">
      <c r="A6732" t="str">
        <f>"20190312154057830"</f>
        <v>20190312154057830</v>
      </c>
      <c r="B6732" t="str">
        <f>"1552376457823008"</f>
        <v>1552376457823008</v>
      </c>
      <c r="C6732" t="s">
        <v>40</v>
      </c>
      <c r="D6732">
        <v>4.2013829999999999</v>
      </c>
      <c r="E6732">
        <v>0.43789820000000002</v>
      </c>
      <c r="F6732" t="s">
        <v>42</v>
      </c>
      <c r="G6732">
        <v>-423.97949999999997</v>
      </c>
      <c r="H6732" s="1">
        <v>-2.9246840000000001E-6</v>
      </c>
      <c r="I6732">
        <v>93.938450000000003</v>
      </c>
      <c r="J6732">
        <v>-418.0421</v>
      </c>
      <c r="K6732">
        <v>1.1106529999999999</v>
      </c>
      <c r="L6732">
        <v>116.8788</v>
      </c>
      <c r="M6732">
        <v>-0.44935570000000002</v>
      </c>
      <c r="N6732">
        <v>0</v>
      </c>
      <c r="O6732">
        <v>-0.89321849999999903</v>
      </c>
      <c r="P6732">
        <v>-0.40712789999999999</v>
      </c>
      <c r="Q6732">
        <v>1.7042959999999999E-2</v>
      </c>
      <c r="R6732">
        <v>-0.91321260000000004</v>
      </c>
      <c r="S6732">
        <v>-0.76632690000000003</v>
      </c>
      <c r="T6732">
        <v>-0.141934</v>
      </c>
      <c r="U6732">
        <v>-2.946777</v>
      </c>
      <c r="V6732">
        <v>-4.6718620000000002E-2</v>
      </c>
      <c r="W6732">
        <v>3.2524879999999999E-2</v>
      </c>
      <c r="X6732">
        <v>0.99837849999999995</v>
      </c>
      <c r="Y6732">
        <v>-0.21031910000000001</v>
      </c>
      <c r="Z6732">
        <v>3.9375510000000002E-2</v>
      </c>
      <c r="AA6732">
        <v>0.97683949999999997</v>
      </c>
      <c r="AB6732">
        <v>13</v>
      </c>
      <c r="AC6732">
        <v>-5.9373999999999603</v>
      </c>
      <c r="AD6732">
        <v>-1.110655924684</v>
      </c>
      <c r="AE6732">
        <v>-22.940349999999899</v>
      </c>
      <c r="AF6732">
        <v>-4.9946102396435803</v>
      </c>
      <c r="AG6732">
        <v>-1.110655924684</v>
      </c>
      <c r="AH6732">
        <v>23.1107602282224</v>
      </c>
      <c r="AI6732">
        <v>92.689406283992994</v>
      </c>
      <c r="AJ6732">
        <v>102.194995366958</v>
      </c>
      <c r="AK6732">
        <v>23.670380781799299</v>
      </c>
      <c r="AL6732">
        <v>88.136133045411896</v>
      </c>
      <c r="AM6732">
        <v>92.679172788495094</v>
      </c>
      <c r="AN6732">
        <v>1.00000006326798</v>
      </c>
    </row>
    <row r="6733" spans="1:40" x14ac:dyDescent="0.25">
      <c r="A6733" t="str">
        <f>"20190312154057941"</f>
        <v>20190312154057941</v>
      </c>
      <c r="B6733" t="str">
        <f>"1552376457933517"</f>
        <v>1552376457933517</v>
      </c>
      <c r="C6733" t="s">
        <v>40</v>
      </c>
      <c r="D6733">
        <v>2.8057409999999998</v>
      </c>
      <c r="E6733">
        <v>0.43789820000000002</v>
      </c>
      <c r="F6733" t="s">
        <v>42</v>
      </c>
      <c r="G6733">
        <v>-423.86070000000001</v>
      </c>
      <c r="H6733" s="1">
        <v>-3.0884559999999998E-6</v>
      </c>
      <c r="I6733">
        <v>94.393839999999997</v>
      </c>
      <c r="J6733">
        <v>-418.33499999999998</v>
      </c>
      <c r="K6733">
        <v>1.1108990000000001</v>
      </c>
      <c r="L6733">
        <v>116.2901</v>
      </c>
      <c r="M6733">
        <v>-0.44743830000000001</v>
      </c>
      <c r="N6733">
        <v>0</v>
      </c>
      <c r="O6733">
        <v>-0.89419729999999997</v>
      </c>
      <c r="P6733">
        <v>-0.39974569999999998</v>
      </c>
      <c r="Q6733">
        <v>1.9139079999999999E-2</v>
      </c>
      <c r="R6733">
        <v>-0.91642650000000003</v>
      </c>
      <c r="S6733">
        <v>-0.76281739999999998</v>
      </c>
      <c r="T6733">
        <v>-0.1456064</v>
      </c>
      <c r="U6733">
        <v>-2.9477690000000001</v>
      </c>
      <c r="V6733">
        <v>-5.2624369999999997E-2</v>
      </c>
      <c r="W6733">
        <v>3.357334E-2</v>
      </c>
      <c r="X6733">
        <v>0.99804990000000005</v>
      </c>
      <c r="Y6733">
        <v>-0.20939540000000001</v>
      </c>
      <c r="Z6733">
        <v>4.0457239999999998E-2</v>
      </c>
      <c r="AA6733">
        <v>0.97699369999999996</v>
      </c>
      <c r="AB6733">
        <v>13</v>
      </c>
      <c r="AC6733">
        <v>-5.52570000000002</v>
      </c>
      <c r="AD6733">
        <v>-1.1109020884559999</v>
      </c>
      <c r="AE6733">
        <v>-21.896260000000002</v>
      </c>
      <c r="AF6733">
        <v>-4.8449453665795996</v>
      </c>
      <c r="AG6733">
        <v>-1.1109020884559999</v>
      </c>
      <c r="AH6733">
        <v>22.001063392507799</v>
      </c>
      <c r="AI6733">
        <v>92.823059736148707</v>
      </c>
      <c r="AJ6733">
        <v>102.419121178802</v>
      </c>
      <c r="AK6733">
        <v>22.555584440586401</v>
      </c>
      <c r="AL6733">
        <v>88.076027850719996</v>
      </c>
      <c r="AM6733">
        <v>93.018250642174905</v>
      </c>
      <c r="AN6733">
        <v>1.00000004818333</v>
      </c>
    </row>
    <row r="6734" spans="1:40" x14ac:dyDescent="0.25">
      <c r="A6734" t="str">
        <f>"20190312154057963"</f>
        <v>20190312154057963</v>
      </c>
      <c r="B6734" t="str">
        <f>"1552376457953037"</f>
        <v>1552376457953037</v>
      </c>
      <c r="C6734" t="s">
        <v>40</v>
      </c>
      <c r="D6734">
        <v>3.5156700000000001</v>
      </c>
      <c r="E6734">
        <v>0.44541170000000002</v>
      </c>
      <c r="F6734" t="s">
        <v>42</v>
      </c>
      <c r="G6734">
        <v>-424.1268</v>
      </c>
      <c r="H6734" s="1">
        <v>-2.634716E-6</v>
      </c>
      <c r="I6734">
        <v>93.171149999999997</v>
      </c>
      <c r="J6734">
        <v>-418.39319999999998</v>
      </c>
      <c r="K6734">
        <v>1.1109279999999999</v>
      </c>
      <c r="L6734">
        <v>116.17189999999999</v>
      </c>
      <c r="M6734">
        <v>-0.44684040000000003</v>
      </c>
      <c r="N6734">
        <v>0</v>
      </c>
      <c r="O6734">
        <v>-0.89449849999999997</v>
      </c>
      <c r="P6734">
        <v>-0.39824290000000001</v>
      </c>
      <c r="Q6734">
        <v>1.8490119999999999E-2</v>
      </c>
      <c r="R6734">
        <v>-0.91709390000000002</v>
      </c>
      <c r="S6734">
        <v>-0.73999019999999904</v>
      </c>
      <c r="T6734">
        <v>-0.141934</v>
      </c>
      <c r="U6734">
        <v>-2.9537810000000002</v>
      </c>
      <c r="V6734">
        <v>-5.3600389999999998E-2</v>
      </c>
      <c r="W6734">
        <v>3.2788900000000003E-2</v>
      </c>
      <c r="X6734">
        <v>0.99802400000000002</v>
      </c>
      <c r="Y6734">
        <v>-0.2162973</v>
      </c>
      <c r="Z6734">
        <v>3.9378940000000001E-2</v>
      </c>
      <c r="AA6734">
        <v>0.97553310000000004</v>
      </c>
      <c r="AB6734">
        <v>13</v>
      </c>
      <c r="AC6734">
        <v>-5.7336000000000196</v>
      </c>
      <c r="AD6734">
        <v>-1.110930634716</v>
      </c>
      <c r="AE6734">
        <v>-23.00075</v>
      </c>
      <c r="AF6734">
        <v>-5.1382129036623096</v>
      </c>
      <c r="AG6734">
        <v>-1.110930634716</v>
      </c>
      <c r="AH6734">
        <v>23.087815234231002</v>
      </c>
      <c r="AI6734">
        <v>92.689121888353498</v>
      </c>
      <c r="AJ6734">
        <v>102.546749371589</v>
      </c>
      <c r="AK6734">
        <v>23.678737529870599</v>
      </c>
      <c r="AL6734">
        <v>88.120997640093805</v>
      </c>
      <c r="AM6734">
        <v>93.0742031254794</v>
      </c>
      <c r="AN6734">
        <v>1.00000000917368</v>
      </c>
    </row>
    <row r="6735" spans="1:40" x14ac:dyDescent="0.25">
      <c r="A6735" t="str">
        <f>"20190312154057986"</f>
        <v>20190312154057986</v>
      </c>
      <c r="B6735" t="str">
        <f>"1552376457983293"</f>
        <v>1552376457983293</v>
      </c>
      <c r="C6735" t="s">
        <v>40</v>
      </c>
      <c r="D6735">
        <v>4.2566569999999997</v>
      </c>
      <c r="E6735">
        <v>0.43968089999999999</v>
      </c>
      <c r="F6735" t="s">
        <v>42</v>
      </c>
      <c r="G6735">
        <v>-419.18610000000001</v>
      </c>
      <c r="H6735" s="1">
        <v>-1.638774E-6</v>
      </c>
      <c r="I6735">
        <v>113.1163</v>
      </c>
      <c r="J6735">
        <v>-418.45030000000003</v>
      </c>
      <c r="K6735">
        <v>1.1109389999999999</v>
      </c>
      <c r="L6735">
        <v>116.05549999999999</v>
      </c>
      <c r="M6735">
        <v>-0.44619829999999999</v>
      </c>
      <c r="N6735">
        <v>0</v>
      </c>
      <c r="O6735">
        <v>-0.89482070000000002</v>
      </c>
      <c r="P6735">
        <v>-0.39703579999999999</v>
      </c>
      <c r="Q6735">
        <v>1.7753339999999999E-2</v>
      </c>
      <c r="R6735">
        <v>-0.91763189999999994</v>
      </c>
      <c r="S6735">
        <v>-0.76794430000000002</v>
      </c>
      <c r="T6735">
        <v>-1.0759369999999999</v>
      </c>
      <c r="U6735">
        <v>-2.9594119999999999</v>
      </c>
      <c r="V6735">
        <v>-5.420341E-2</v>
      </c>
      <c r="W6735">
        <v>3.1937239999999999E-2</v>
      </c>
      <c r="X6735">
        <v>0.99801899999999999</v>
      </c>
      <c r="Y6735">
        <v>-0.21829879999999999</v>
      </c>
      <c r="Z6735">
        <v>0.28201549999999997</v>
      </c>
      <c r="AA6735">
        <v>0.93424459999999998</v>
      </c>
      <c r="AB6735">
        <v>13</v>
      </c>
      <c r="AC6735">
        <v>-0.73579999999998302</v>
      </c>
      <c r="AD6735">
        <v>-1.110940638774</v>
      </c>
      <c r="AE6735">
        <v>-2.9392</v>
      </c>
      <c r="AF6735">
        <v>-0.57572362097546703</v>
      </c>
      <c r="AG6735">
        <v>-1.110940638774</v>
      </c>
      <c r="AH6735">
        <v>2.6080470681764698</v>
      </c>
      <c r="AI6735">
        <v>112.584982241079</v>
      </c>
      <c r="AJ6735">
        <v>102.448342073427</v>
      </c>
      <c r="AK6735">
        <v>2.8926728644028499</v>
      </c>
      <c r="AL6735">
        <v>88.169819649940905</v>
      </c>
      <c r="AM6735">
        <v>93.108736889007005</v>
      </c>
      <c r="AN6735">
        <v>0.99999996065772201</v>
      </c>
    </row>
    <row r="6736" spans="1:40" x14ac:dyDescent="0.25">
      <c r="A6736" t="str">
        <f>"20190312154058008"</f>
        <v>20190312154058008</v>
      </c>
      <c r="B6736" t="str">
        <f>"1552376458002813"</f>
        <v>1552376458002813</v>
      </c>
      <c r="C6736" t="s">
        <v>40</v>
      </c>
      <c r="D6736">
        <v>4.3834460000000002</v>
      </c>
      <c r="E6736">
        <v>0.43553900000000001</v>
      </c>
      <c r="F6736" t="s">
        <v>42</v>
      </c>
      <c r="G6736">
        <v>-419.39370000000002</v>
      </c>
      <c r="H6736" s="1">
        <v>-1.2098780000000001E-6</v>
      </c>
      <c r="I6736">
        <v>112.20229999999999</v>
      </c>
      <c r="J6736">
        <v>-418.50720000000001</v>
      </c>
      <c r="K6736">
        <v>1.1109519999999999</v>
      </c>
      <c r="L6736">
        <v>115.9393</v>
      </c>
      <c r="M6736">
        <v>-0.44550430000000002</v>
      </c>
      <c r="N6736">
        <v>0</v>
      </c>
      <c r="O6736">
        <v>-0.89516799999999996</v>
      </c>
      <c r="P6736">
        <v>-0.39555400000000002</v>
      </c>
      <c r="Q6736">
        <v>1.7218089999999998E-2</v>
      </c>
      <c r="R6736">
        <v>-0.91828160000000003</v>
      </c>
      <c r="S6736">
        <v>-0.72744750000000002</v>
      </c>
      <c r="T6736">
        <v>-0.85663909999999999</v>
      </c>
      <c r="U6736">
        <v>-2.9711150000000002</v>
      </c>
      <c r="V6736">
        <v>-5.5044929999999999E-2</v>
      </c>
      <c r="W6736">
        <v>3.130289E-2</v>
      </c>
      <c r="X6736">
        <v>0.99799309999999997</v>
      </c>
      <c r="Y6736">
        <v>-0.22667209999999999</v>
      </c>
      <c r="Z6736">
        <v>0.22831209999999999</v>
      </c>
      <c r="AA6736">
        <v>0.94683329999999999</v>
      </c>
      <c r="AB6736">
        <v>13</v>
      </c>
      <c r="AC6736">
        <v>-0.88650000000001195</v>
      </c>
      <c r="AD6736">
        <v>-1.1109532098779999</v>
      </c>
      <c r="AE6736">
        <v>-3.7370000000000001</v>
      </c>
      <c r="AF6736">
        <v>-0.80409214925792305</v>
      </c>
      <c r="AG6736">
        <v>-1.1109532098779999</v>
      </c>
      <c r="AH6736">
        <v>3.4517496768186402</v>
      </c>
      <c r="AI6736">
        <v>107.404087798162</v>
      </c>
      <c r="AJ6736">
        <v>103.113302389414</v>
      </c>
      <c r="AK6736">
        <v>3.71421015162767</v>
      </c>
      <c r="AL6736">
        <v>88.206183522103601</v>
      </c>
      <c r="AM6736">
        <v>93.156985605985795</v>
      </c>
      <c r="AN6736">
        <v>1.0000000214443301</v>
      </c>
    </row>
    <row r="6737" spans="1:40" x14ac:dyDescent="0.25">
      <c r="A6737" t="str">
        <f>"20190312154058031"</f>
        <v>20190312154058031</v>
      </c>
      <c r="B6737" t="str">
        <f>"1552376458023309"</f>
        <v>1552376458023309</v>
      </c>
      <c r="C6737" t="s">
        <v>40</v>
      </c>
      <c r="D6737">
        <v>5.014526</v>
      </c>
      <c r="E6737">
        <v>0.4355058</v>
      </c>
      <c r="F6737" t="s">
        <v>42</v>
      </c>
      <c r="G6737">
        <v>-420.62299999999999</v>
      </c>
      <c r="H6737" s="1">
        <v>-3.6753900000000001E-6</v>
      </c>
      <c r="I6737">
        <v>107.01609999999999</v>
      </c>
      <c r="J6737">
        <v>-418.56380000000001</v>
      </c>
      <c r="K6737">
        <v>1.110957</v>
      </c>
      <c r="L6737">
        <v>115.82340000000001</v>
      </c>
      <c r="M6737">
        <v>-0.44475910000000002</v>
      </c>
      <c r="N6737">
        <v>0</v>
      </c>
      <c r="O6737">
        <v>-0.89553959999999999</v>
      </c>
      <c r="P6737">
        <v>-0.39435290000000001</v>
      </c>
      <c r="Q6737">
        <v>1.705108E-2</v>
      </c>
      <c r="R6737">
        <v>-0.91880099999999998</v>
      </c>
      <c r="S6737">
        <v>-0.70434569999999996</v>
      </c>
      <c r="T6737">
        <v>-0.36983250000000001</v>
      </c>
      <c r="U6737">
        <v>-2.9704899999999999</v>
      </c>
      <c r="V6737">
        <v>-5.5521229999999998E-2</v>
      </c>
      <c r="W6737">
        <v>3.105076E-2</v>
      </c>
      <c r="X6737">
        <v>0.99797460000000004</v>
      </c>
      <c r="Y6737">
        <v>-0.22745360000000001</v>
      </c>
      <c r="Z6737">
        <v>0.1016058</v>
      </c>
      <c r="AA6737">
        <v>0.96847360000000005</v>
      </c>
      <c r="AB6737">
        <v>13</v>
      </c>
      <c r="AC6737">
        <v>-2.0592000000000299</v>
      </c>
      <c r="AD6737">
        <v>-1.1109606753900001</v>
      </c>
      <c r="AE6737">
        <v>-8.8073000000000103</v>
      </c>
      <c r="AF6737">
        <v>-2.0424234760542799</v>
      </c>
      <c r="AG6737">
        <v>-1.1109606753900001</v>
      </c>
      <c r="AH6737">
        <v>8.6731560605406202</v>
      </c>
      <c r="AI6737">
        <v>97.107043424926204</v>
      </c>
      <c r="AJ6737">
        <v>103.251040981423</v>
      </c>
      <c r="AK6737">
        <v>8.9793854649576694</v>
      </c>
      <c r="AL6737">
        <v>88.220636546820501</v>
      </c>
      <c r="AM6737">
        <v>93.184305718663197</v>
      </c>
      <c r="AN6737">
        <v>1.0000000294612199</v>
      </c>
    </row>
    <row r="6738" spans="1:40" x14ac:dyDescent="0.25">
      <c r="A6738" t="str">
        <f>"20190312154058052"</f>
        <v>20190312154058052</v>
      </c>
      <c r="B6738" t="str">
        <f>"1552376458042829"</f>
        <v>1552376458042829</v>
      </c>
      <c r="C6738" t="s">
        <v>40</v>
      </c>
      <c r="D6738">
        <v>4.2331560000000001</v>
      </c>
      <c r="E6738">
        <v>0.4371775</v>
      </c>
      <c r="F6738" t="s">
        <v>42</v>
      </c>
      <c r="G6738">
        <v>-421.18180000000001</v>
      </c>
      <c r="H6738" s="1">
        <v>-2.753001E-6</v>
      </c>
      <c r="I6738">
        <v>104.7503</v>
      </c>
      <c r="J6738">
        <v>-418.61939999999998</v>
      </c>
      <c r="K6738">
        <v>1.110962</v>
      </c>
      <c r="L6738">
        <v>115.7092</v>
      </c>
      <c r="M6738">
        <v>-0.44397690000000001</v>
      </c>
      <c r="N6738">
        <v>0</v>
      </c>
      <c r="O6738">
        <v>-0.89592890000000003</v>
      </c>
      <c r="P6738">
        <v>-0.39322059999999998</v>
      </c>
      <c r="Q6738">
        <v>1.643787E-2</v>
      </c>
      <c r="R6738">
        <v>-0.91929749999999999</v>
      </c>
      <c r="S6738">
        <v>-0.70202640000000005</v>
      </c>
      <c r="T6738">
        <v>-0.29791669999999998</v>
      </c>
      <c r="U6738">
        <v>-2.96936</v>
      </c>
      <c r="V6738">
        <v>-5.5884080000000003E-2</v>
      </c>
      <c r="W6738">
        <v>3.036349E-2</v>
      </c>
      <c r="X6738">
        <v>0.99797550000000002</v>
      </c>
      <c r="Y6738">
        <v>-0.2267902</v>
      </c>
      <c r="Z6738">
        <v>8.2145019999999999E-2</v>
      </c>
      <c r="AA6738">
        <v>0.97047329999999998</v>
      </c>
      <c r="AB6738">
        <v>13</v>
      </c>
      <c r="AC6738">
        <v>-2.5624000000000202</v>
      </c>
      <c r="AD6738">
        <v>-1.1109647530010001</v>
      </c>
      <c r="AE6738">
        <v>-10.9589</v>
      </c>
      <c r="AF6738">
        <v>-2.54522067855673</v>
      </c>
      <c r="AG6738">
        <v>-1.1109647530010001</v>
      </c>
      <c r="AH6738">
        <v>10.851376252465</v>
      </c>
      <c r="AI6738">
        <v>95.692154398831505</v>
      </c>
      <c r="AJ6738">
        <v>103.20026703368001</v>
      </c>
      <c r="AK6738">
        <v>11.201105193574699</v>
      </c>
      <c r="AL6738">
        <v>88.2600328052023</v>
      </c>
      <c r="AM6738">
        <v>93.205070102508998</v>
      </c>
      <c r="AN6738">
        <v>1.0000000352613301</v>
      </c>
    </row>
    <row r="6739" spans="1:40" x14ac:dyDescent="0.25">
      <c r="A6739" t="str">
        <f>"20190312154058076"</f>
        <v>20190312154058076</v>
      </c>
      <c r="B6739" t="str">
        <f>"1552376458063325"</f>
        <v>1552376458063325</v>
      </c>
      <c r="C6739" t="s">
        <v>40</v>
      </c>
      <c r="D6739">
        <v>4.2532579999999998</v>
      </c>
      <c r="E6739">
        <v>0.43718010000000002</v>
      </c>
      <c r="F6739" t="s">
        <v>42</v>
      </c>
      <c r="G6739">
        <v>-421.58240000000001</v>
      </c>
      <c r="H6739" s="1">
        <v>-2.2037129999999999E-6</v>
      </c>
      <c r="I6739">
        <v>103.36279999999999</v>
      </c>
      <c r="J6739">
        <v>-418.67649999999998</v>
      </c>
      <c r="K6739">
        <v>1.11097</v>
      </c>
      <c r="L6739">
        <v>115.5915</v>
      </c>
      <c r="M6739">
        <v>-0.44312499999999999</v>
      </c>
      <c r="N6739">
        <v>0</v>
      </c>
      <c r="O6739">
        <v>-0.89635159999999903</v>
      </c>
      <c r="P6739">
        <v>-0.3922175</v>
      </c>
      <c r="Q6739">
        <v>1.60258E-2</v>
      </c>
      <c r="R6739">
        <v>-0.91973300000000002</v>
      </c>
      <c r="S6739">
        <v>-0.71130369999999998</v>
      </c>
      <c r="T6739">
        <v>-0.26669929999999997</v>
      </c>
      <c r="U6739">
        <v>-2.9638819999999999</v>
      </c>
      <c r="V6739">
        <v>-5.6028120000000001E-2</v>
      </c>
      <c r="W6739">
        <v>2.9884959999999999E-2</v>
      </c>
      <c r="X6739">
        <v>0.99798180000000003</v>
      </c>
      <c r="Y6739">
        <v>-0.22242239999999999</v>
      </c>
      <c r="Z6739">
        <v>7.3810249999999994E-2</v>
      </c>
      <c r="AA6739">
        <v>0.97215240000000003</v>
      </c>
      <c r="AB6739">
        <v>13</v>
      </c>
      <c r="AC6739">
        <v>-2.9059000000000301</v>
      </c>
      <c r="AD6739">
        <v>-1.1109722037129901</v>
      </c>
      <c r="AE6739">
        <v>-12.2287</v>
      </c>
      <c r="AF6739">
        <v>-2.7925905557396402</v>
      </c>
      <c r="AG6739">
        <v>-1.1109722037129901</v>
      </c>
      <c r="AH6739">
        <v>12.155118572641801</v>
      </c>
      <c r="AI6739">
        <v>95.090405257331795</v>
      </c>
      <c r="AJ6739">
        <v>102.938944862893</v>
      </c>
      <c r="AK6739">
        <v>12.521171221751199</v>
      </c>
      <c r="AL6739">
        <v>88.287462885951598</v>
      </c>
      <c r="AM6739">
        <v>93.213293569539402</v>
      </c>
      <c r="AN6739">
        <v>0.99999996709808703</v>
      </c>
    </row>
    <row r="6740" spans="1:40" x14ac:dyDescent="0.25">
      <c r="A6740" t="str">
        <f>"20190312154058099"</f>
        <v>20190312154058099</v>
      </c>
      <c r="B6740" t="str">
        <f>"1552376458093581"</f>
        <v>1552376458093581</v>
      </c>
      <c r="C6740" t="s">
        <v>40</v>
      </c>
      <c r="D6740">
        <v>4.2877559999999999</v>
      </c>
      <c r="E6740">
        <v>0.43713020000000002</v>
      </c>
      <c r="F6740" t="s">
        <v>42</v>
      </c>
      <c r="G6740">
        <v>-421.74979999999999</v>
      </c>
      <c r="H6740" s="1">
        <v>-1.948691E-6</v>
      </c>
      <c r="I6740">
        <v>102.7291</v>
      </c>
      <c r="J6740">
        <v>-418.73360000000002</v>
      </c>
      <c r="K6740">
        <v>1.1109849999999999</v>
      </c>
      <c r="L6740">
        <v>115.47329999999999</v>
      </c>
      <c r="M6740">
        <v>-0.44222319999999998</v>
      </c>
      <c r="N6740">
        <v>0</v>
      </c>
      <c r="O6740">
        <v>-0.89679759999999997</v>
      </c>
      <c r="P6740">
        <v>-0.390982</v>
      </c>
      <c r="Q6740">
        <v>1.508875E-2</v>
      </c>
      <c r="R6740">
        <v>-0.92027499999999995</v>
      </c>
      <c r="S6740">
        <v>-0.70825199999999999</v>
      </c>
      <c r="T6740">
        <v>-0.25603320000000002</v>
      </c>
      <c r="U6740">
        <v>-2.9642330000000001</v>
      </c>
      <c r="V6740">
        <v>-5.6371440000000002E-2</v>
      </c>
      <c r="W6740">
        <v>2.8889749999999999E-2</v>
      </c>
      <c r="X6740">
        <v>0.99799179999999998</v>
      </c>
      <c r="Y6740">
        <v>-0.22236130000000001</v>
      </c>
      <c r="Z6740">
        <v>7.0933270000000007E-2</v>
      </c>
      <c r="AA6740">
        <v>0.97238060000000004</v>
      </c>
      <c r="AB6740">
        <v>13</v>
      </c>
      <c r="AC6740">
        <v>-3.01619999999996</v>
      </c>
      <c r="AD6740">
        <v>-1.110986948691</v>
      </c>
      <c r="AE6740">
        <v>-12.7441999999999</v>
      </c>
      <c r="AF6740">
        <v>-2.9101990863466201</v>
      </c>
      <c r="AG6740">
        <v>-1.110986948691</v>
      </c>
      <c r="AH6740">
        <v>12.672831088640301</v>
      </c>
      <c r="AI6740">
        <v>94.883654240239693</v>
      </c>
      <c r="AJ6740">
        <v>102.93321642539399</v>
      </c>
      <c r="AK6740">
        <v>13.0500650773681</v>
      </c>
      <c r="AL6740">
        <v>88.344508907180796</v>
      </c>
      <c r="AM6740">
        <v>93.232909501870907</v>
      </c>
      <c r="AN6740">
        <v>0.99999999488498803</v>
      </c>
    </row>
    <row r="6741" spans="1:40" x14ac:dyDescent="0.25">
      <c r="A6741" t="str">
        <f>"20190312154058120"</f>
        <v>20190312154058120</v>
      </c>
      <c r="B6741" t="str">
        <f>"1552376458113101"</f>
        <v>1552376458113101</v>
      </c>
      <c r="C6741" t="s">
        <v>40</v>
      </c>
      <c r="D6741">
        <v>4.2974370000000004</v>
      </c>
      <c r="E6741">
        <v>0.43709330000000002</v>
      </c>
      <c r="F6741" t="s">
        <v>42</v>
      </c>
      <c r="G6741">
        <v>-421.82499999999999</v>
      </c>
      <c r="H6741" s="1">
        <v>-1.8395159999999999E-6</v>
      </c>
      <c r="I6741">
        <v>102.4559</v>
      </c>
      <c r="J6741">
        <v>-418.78800000000001</v>
      </c>
      <c r="K6741">
        <v>1.110995</v>
      </c>
      <c r="L6741">
        <v>115.36020000000001</v>
      </c>
      <c r="M6741">
        <v>-0.4413166</v>
      </c>
      <c r="N6741">
        <v>0</v>
      </c>
      <c r="O6741">
        <v>-0.89724499999999996</v>
      </c>
      <c r="P6741">
        <v>-0.38981349999999998</v>
      </c>
      <c r="Q6741">
        <v>1.4196530000000001E-2</v>
      </c>
      <c r="R6741">
        <v>-0.92078499999999996</v>
      </c>
      <c r="S6741">
        <v>-0.70410159999999999</v>
      </c>
      <c r="T6741">
        <v>-0.25304219999999999</v>
      </c>
      <c r="U6741">
        <v>-2.96489</v>
      </c>
      <c r="V6741">
        <v>-5.6635650000000003E-2</v>
      </c>
      <c r="W6741">
        <v>2.794934E-2</v>
      </c>
      <c r="X6741">
        <v>0.99800359999999999</v>
      </c>
      <c r="Y6741">
        <v>-0.22269800000000001</v>
      </c>
      <c r="Z6741">
        <v>7.0156209999999997E-2</v>
      </c>
      <c r="AA6741">
        <v>0.9723598</v>
      </c>
      <c r="AB6741">
        <v>13</v>
      </c>
      <c r="AC6741">
        <v>-3.0369999999999702</v>
      </c>
      <c r="AD6741">
        <v>-1.1109968395159999</v>
      </c>
      <c r="AE6741">
        <v>-12.904299999999999</v>
      </c>
      <c r="AF6741">
        <v>-2.9495170176613001</v>
      </c>
      <c r="AG6741">
        <v>-1.1109968395159999</v>
      </c>
      <c r="AH6741">
        <v>12.8297238681922</v>
      </c>
      <c r="AI6741">
        <v>94.823990469005096</v>
      </c>
      <c r="AJ6741">
        <v>102.947167863489</v>
      </c>
      <c r="AK6741">
        <v>13.2111990049711</v>
      </c>
      <c r="AL6741">
        <v>88.398412172509197</v>
      </c>
      <c r="AM6741">
        <v>93.247991292330099</v>
      </c>
      <c r="AN6741">
        <v>0.99999997403515795</v>
      </c>
    </row>
    <row r="6742" spans="1:40" x14ac:dyDescent="0.25">
      <c r="A6742" t="str">
        <f>"20190312154058142"</f>
        <v>20190312154058142</v>
      </c>
      <c r="B6742" t="str">
        <f>"1552376458133127"</f>
        <v>1552376458133127</v>
      </c>
      <c r="C6742" t="s">
        <v>40</v>
      </c>
      <c r="D6742">
        <v>4.2677189999999996</v>
      </c>
      <c r="E6742">
        <v>0.43704809999999999</v>
      </c>
      <c r="F6742" t="s">
        <v>42</v>
      </c>
      <c r="G6742">
        <v>-421.86309999999997</v>
      </c>
      <c r="H6742" s="1">
        <v>-1.793115E-6</v>
      </c>
      <c r="I6742">
        <v>102.33620000000001</v>
      </c>
      <c r="J6742">
        <v>-418.84320000000002</v>
      </c>
      <c r="K6742">
        <v>1.111</v>
      </c>
      <c r="L6742">
        <v>115.24509999999999</v>
      </c>
      <c r="M6742">
        <v>-0.4403591</v>
      </c>
      <c r="N6742">
        <v>0</v>
      </c>
      <c r="O6742">
        <v>-0.89771579999999995</v>
      </c>
      <c r="P6742">
        <v>-0.38900879999999999</v>
      </c>
      <c r="Q6742">
        <v>1.368664E-2</v>
      </c>
      <c r="R6742">
        <v>-0.92113259999999997</v>
      </c>
      <c r="S6742">
        <v>-0.70019529999999996</v>
      </c>
      <c r="T6742">
        <v>-0.25297429999999999</v>
      </c>
      <c r="U6742">
        <v>-2.9655610000000001</v>
      </c>
      <c r="V6742">
        <v>-5.6445670000000003E-2</v>
      </c>
      <c r="W6742">
        <v>2.7398800000000001E-2</v>
      </c>
      <c r="X6742">
        <v>0.99802959999999996</v>
      </c>
      <c r="Y6742">
        <v>-0.22292010000000001</v>
      </c>
      <c r="Z6742">
        <v>7.0186699999999894E-2</v>
      </c>
      <c r="AA6742">
        <v>0.97230680000000003</v>
      </c>
      <c r="AB6742">
        <v>13</v>
      </c>
      <c r="AC6742">
        <v>-3.0198999999999501</v>
      </c>
      <c r="AD6742">
        <v>-1.111001793115</v>
      </c>
      <c r="AE6742">
        <v>-12.9088999999999</v>
      </c>
      <c r="AF6742">
        <v>-2.9530835384243499</v>
      </c>
      <c r="AG6742">
        <v>-1.111001793115</v>
      </c>
      <c r="AH6742">
        <v>12.8294936282504</v>
      </c>
      <c r="AI6742">
        <v>94.8238021111259</v>
      </c>
      <c r="AJ6742">
        <v>102.962519744364</v>
      </c>
      <c r="AK6742">
        <v>13.211772558083799</v>
      </c>
      <c r="AL6742">
        <v>88.429967832730398</v>
      </c>
      <c r="AM6742">
        <v>93.237035208934699</v>
      </c>
      <c r="AN6742">
        <v>0.99999994518967295</v>
      </c>
    </row>
    <row r="6743" spans="1:40" x14ac:dyDescent="0.25">
      <c r="A6743" t="str">
        <f>"20190312154058165"</f>
        <v>20190312154058165</v>
      </c>
      <c r="B6743" t="str">
        <f>"1552376458152648"</f>
        <v>1552376458152648</v>
      </c>
      <c r="C6743" t="s">
        <v>40</v>
      </c>
      <c r="D6743">
        <v>4.3247059999999999</v>
      </c>
      <c r="E6743">
        <v>0.43732310000000002</v>
      </c>
      <c r="F6743" t="s">
        <v>42</v>
      </c>
      <c r="G6743">
        <v>-421.94229999999999</v>
      </c>
      <c r="H6743" s="1">
        <v>-1.688032E-6</v>
      </c>
      <c r="I6743">
        <v>102.0693</v>
      </c>
      <c r="J6743">
        <v>-418.89850000000001</v>
      </c>
      <c r="K6743">
        <v>1.111</v>
      </c>
      <c r="L6743">
        <v>115.1293</v>
      </c>
      <c r="M6743">
        <v>-0.43936449999999999</v>
      </c>
      <c r="N6743">
        <v>0</v>
      </c>
      <c r="O6743">
        <v>-0.89820339999999999</v>
      </c>
      <c r="P6743">
        <v>-0.38791310000000001</v>
      </c>
      <c r="Q6743">
        <v>1.319583E-2</v>
      </c>
      <c r="R6743">
        <v>-0.92160180000000003</v>
      </c>
      <c r="S6743">
        <v>-0.69763180000000002</v>
      </c>
      <c r="T6743">
        <v>-0.25009350000000002</v>
      </c>
      <c r="U6743">
        <v>-2.9659420000000001</v>
      </c>
      <c r="V6743">
        <v>-5.6529290000000003E-2</v>
      </c>
      <c r="W6743">
        <v>2.687256E-2</v>
      </c>
      <c r="X6743">
        <v>0.99803920000000002</v>
      </c>
      <c r="Y6743">
        <v>-0.2226513</v>
      </c>
      <c r="Z6743">
        <v>6.9451280000000004E-2</v>
      </c>
      <c r="AA6743">
        <v>0.97242119999999999</v>
      </c>
      <c r="AB6743">
        <v>13</v>
      </c>
      <c r="AC6743">
        <v>-3.0437999999999699</v>
      </c>
      <c r="AD6743">
        <v>-1.1110016880319999</v>
      </c>
      <c r="AE6743">
        <v>-13.06</v>
      </c>
      <c r="AF6743">
        <v>-2.9839519601302098</v>
      </c>
      <c r="AG6743">
        <v>-1.1110016880319999</v>
      </c>
      <c r="AH6743">
        <v>12.9800187162519</v>
      </c>
      <c r="AI6743">
        <v>94.768422924378001</v>
      </c>
      <c r="AJ6743">
        <v>102.94667559043</v>
      </c>
      <c r="AK6743">
        <v>13.364848668257499</v>
      </c>
      <c r="AL6743">
        <v>88.460130310866901</v>
      </c>
      <c r="AM6743">
        <v>93.241789295727301</v>
      </c>
      <c r="AN6743">
        <v>0.99999996992274798</v>
      </c>
    </row>
    <row r="6744" spans="1:40" x14ac:dyDescent="0.25">
      <c r="A6744" t="str">
        <f>"20190312154058187"</f>
        <v>20190312154058187</v>
      </c>
      <c r="B6744" t="str">
        <f>"1552376458182902"</f>
        <v>1552376458182902</v>
      </c>
      <c r="C6744" t="s">
        <v>40</v>
      </c>
      <c r="D6744">
        <v>4.3269739999999999</v>
      </c>
      <c r="E6744">
        <v>0.43725170000000002</v>
      </c>
      <c r="F6744" t="s">
        <v>42</v>
      </c>
      <c r="G6744">
        <v>-422.02929999999998</v>
      </c>
      <c r="H6744" s="1">
        <v>-1.5826239999999999E-6</v>
      </c>
      <c r="I6744">
        <v>101.7974</v>
      </c>
      <c r="J6744">
        <v>-418.95260000000002</v>
      </c>
      <c r="K6744">
        <v>1.110992</v>
      </c>
      <c r="L6744">
        <v>115.0155</v>
      </c>
      <c r="M6744">
        <v>-0.43836000000000003</v>
      </c>
      <c r="N6744">
        <v>0</v>
      </c>
      <c r="O6744">
        <v>-0.89869480000000002</v>
      </c>
      <c r="P6744">
        <v>-0.38655390000000001</v>
      </c>
      <c r="Q6744">
        <v>1.3216149999999999E-2</v>
      </c>
      <c r="R6744">
        <v>-0.92217229999999994</v>
      </c>
      <c r="S6744">
        <v>-0.69644169999999905</v>
      </c>
      <c r="T6744">
        <v>-0.24713570000000001</v>
      </c>
      <c r="U6744">
        <v>-2.9656069999999999</v>
      </c>
      <c r="V6744">
        <v>-5.6884799999999999E-2</v>
      </c>
      <c r="W6744">
        <v>2.6861599999999999E-2</v>
      </c>
      <c r="X6744">
        <v>0.99801930000000005</v>
      </c>
      <c r="Y6744">
        <v>-0.22189339999999999</v>
      </c>
      <c r="Z6744">
        <v>6.8711069999999999E-2</v>
      </c>
      <c r="AA6744">
        <v>0.97264700000000004</v>
      </c>
      <c r="AB6744">
        <v>13</v>
      </c>
      <c r="AC6744">
        <v>-3.0766999999999598</v>
      </c>
      <c r="AD6744">
        <v>-1.1109935826240001</v>
      </c>
      <c r="AE6744">
        <v>-13.2181</v>
      </c>
      <c r="AF6744">
        <v>-3.0093897098055402</v>
      </c>
      <c r="AG6744">
        <v>-1.1109935826240001</v>
      </c>
      <c r="AH6744">
        <v>13.140921038689401</v>
      </c>
      <c r="AI6744">
        <v>94.711165277134199</v>
      </c>
      <c r="AJ6744">
        <v>102.89882766195301</v>
      </c>
      <c r="AK6744">
        <v>13.526808156811599</v>
      </c>
      <c r="AL6744">
        <v>88.460758506595695</v>
      </c>
      <c r="AM6744">
        <v>93.262197765449798</v>
      </c>
      <c r="AN6744">
        <v>0.99999997459904399</v>
      </c>
    </row>
    <row r="6745" spans="1:40" x14ac:dyDescent="0.25">
      <c r="A6745" t="str">
        <f>"20190312154058210"</f>
        <v>20190312154058210</v>
      </c>
      <c r="B6745" t="str">
        <f>"1552376458203400"</f>
        <v>1552376458203400</v>
      </c>
      <c r="C6745" t="s">
        <v>40</v>
      </c>
      <c r="D6745">
        <v>4.3465009999999999</v>
      </c>
      <c r="E6745">
        <v>0.43731999999999999</v>
      </c>
      <c r="F6745" t="s">
        <v>42</v>
      </c>
      <c r="G6745">
        <v>-422.15969999999999</v>
      </c>
      <c r="H6745" s="1">
        <v>-1.3663660000000001E-6</v>
      </c>
      <c r="I6745">
        <v>101.26649999999999</v>
      </c>
      <c r="J6745">
        <v>-419.0068</v>
      </c>
      <c r="K6745">
        <v>1.1109830000000001</v>
      </c>
      <c r="L6745">
        <v>114.90130000000001</v>
      </c>
      <c r="M6745">
        <v>-0.43732799999999999</v>
      </c>
      <c r="N6745">
        <v>0</v>
      </c>
      <c r="O6745">
        <v>-0.89919760000000004</v>
      </c>
      <c r="P6745">
        <v>-0.38506820000000003</v>
      </c>
      <c r="Q6745">
        <v>1.266578E-2</v>
      </c>
      <c r="R6745">
        <v>-0.92280130000000005</v>
      </c>
      <c r="S6745">
        <v>-0.69198609999999905</v>
      </c>
      <c r="T6745">
        <v>-0.2397125</v>
      </c>
      <c r="U6745">
        <v>-2.9665530000000002</v>
      </c>
      <c r="V6745">
        <v>-5.7348719999999999E-2</v>
      </c>
      <c r="W6745">
        <v>2.6283399999999998E-2</v>
      </c>
      <c r="X6745">
        <v>0.99800820000000001</v>
      </c>
      <c r="Y6745">
        <v>-0.22219410000000001</v>
      </c>
      <c r="Z6745">
        <v>6.6704239999999998E-2</v>
      </c>
      <c r="AA6745">
        <v>0.97271799999999997</v>
      </c>
      <c r="AB6745">
        <v>13</v>
      </c>
      <c r="AC6745">
        <v>-3.1528999999999798</v>
      </c>
      <c r="AD6745">
        <v>-1.110984366366</v>
      </c>
      <c r="AE6745">
        <v>-13.6348</v>
      </c>
      <c r="AF6745">
        <v>-3.1085030350445799</v>
      </c>
      <c r="AG6745">
        <v>-1.110984366366</v>
      </c>
      <c r="AH6745">
        <v>13.5550849344962</v>
      </c>
      <c r="AI6745">
        <v>94.567488986286804</v>
      </c>
      <c r="AJ6745">
        <v>102.915960015205</v>
      </c>
      <c r="AK6745">
        <v>13.9512510178334</v>
      </c>
      <c r="AL6745">
        <v>88.493898713274604</v>
      </c>
      <c r="AM6745">
        <v>93.288780726170302</v>
      </c>
      <c r="AN6745">
        <v>1.00000003003421</v>
      </c>
    </row>
    <row r="6746" spans="1:40" x14ac:dyDescent="0.25">
      <c r="A6746" t="str">
        <f>"20190312154058232"</f>
        <v>20190312154058232</v>
      </c>
      <c r="B6746" t="str">
        <f>"1552376458222918"</f>
        <v>1552376458222918</v>
      </c>
      <c r="C6746" t="s">
        <v>40</v>
      </c>
      <c r="D6746">
        <v>4.3362040000000004</v>
      </c>
      <c r="E6746">
        <v>0.43741809999999998</v>
      </c>
      <c r="F6746" t="s">
        <v>42</v>
      </c>
      <c r="G6746">
        <v>-422.22039999999998</v>
      </c>
      <c r="H6746" s="1">
        <v>-1.276109E-6</v>
      </c>
      <c r="I6746">
        <v>101.0414</v>
      </c>
      <c r="J6746">
        <v>-419.0616</v>
      </c>
      <c r="K6746">
        <v>1.110967</v>
      </c>
      <c r="L6746">
        <v>114.7856</v>
      </c>
      <c r="M6746">
        <v>-0.4362644</v>
      </c>
      <c r="N6746">
        <v>0</v>
      </c>
      <c r="O6746">
        <v>-0.89971480000000004</v>
      </c>
      <c r="P6746">
        <v>-0.38363809999999998</v>
      </c>
      <c r="Q6746">
        <v>1.164228E-2</v>
      </c>
      <c r="R6746">
        <v>-0.92341050000000002</v>
      </c>
      <c r="S6746">
        <v>-0.68795779999999995</v>
      </c>
      <c r="T6746">
        <v>-0.23784140000000001</v>
      </c>
      <c r="U6746">
        <v>-2.9671479999999999</v>
      </c>
      <c r="V6746">
        <v>-5.7719560000000003E-2</v>
      </c>
      <c r="W6746">
        <v>2.5236129999999999E-2</v>
      </c>
      <c r="X6746">
        <v>0.99801379999999995</v>
      </c>
      <c r="Y6746">
        <v>-0.222329</v>
      </c>
      <c r="Z6746">
        <v>6.6240770000000004E-2</v>
      </c>
      <c r="AA6746">
        <v>0.97271879999999999</v>
      </c>
      <c r="AB6746">
        <v>13</v>
      </c>
      <c r="AC6746">
        <v>-3.1587999999999798</v>
      </c>
      <c r="AD6746">
        <v>-1.1109682761090001</v>
      </c>
      <c r="AE6746">
        <v>-13.744199999999999</v>
      </c>
      <c r="AF6746">
        <v>-3.1349251932902802</v>
      </c>
      <c r="AG6746">
        <v>-1.1109682761090001</v>
      </c>
      <c r="AH6746">
        <v>13.6604386675104</v>
      </c>
      <c r="AI6746">
        <v>94.5321821183135</v>
      </c>
      <c r="AJ6746">
        <v>102.924973327164</v>
      </c>
      <c r="AK6746">
        <v>14.0595018072071</v>
      </c>
      <c r="AL6746">
        <v>88.553922707397007</v>
      </c>
      <c r="AM6746">
        <v>93.309981645784106</v>
      </c>
      <c r="AN6746">
        <v>0.99999997742720503</v>
      </c>
    </row>
    <row r="6747" spans="1:40" x14ac:dyDescent="0.25">
      <c r="A6747" t="str">
        <f>"20190312154058254"</f>
        <v>20190312154058254</v>
      </c>
      <c r="B6747" t="str">
        <f>"1552376458242851"</f>
        <v>1552376458242851</v>
      </c>
      <c r="C6747" t="s">
        <v>40</v>
      </c>
      <c r="D6747">
        <v>4.3560169999999996</v>
      </c>
      <c r="E6747">
        <v>0.43746299999999999</v>
      </c>
      <c r="F6747" t="s">
        <v>42</v>
      </c>
      <c r="G6747">
        <v>-422.2604</v>
      </c>
      <c r="H6747" s="1">
        <v>-1.2243310000000001E-6</v>
      </c>
      <c r="I6747">
        <v>100.9093</v>
      </c>
      <c r="J6747">
        <v>-419.11410000000001</v>
      </c>
      <c r="K6747">
        <v>1.1109610000000001</v>
      </c>
      <c r="L6747">
        <v>114.67400000000001</v>
      </c>
      <c r="M6747">
        <v>-0.43522569999999999</v>
      </c>
      <c r="N6747">
        <v>0</v>
      </c>
      <c r="O6747">
        <v>-0.90021799999999996</v>
      </c>
      <c r="P6747">
        <v>-0.3818819</v>
      </c>
      <c r="Q6747">
        <v>9.6891449999999997E-3</v>
      </c>
      <c r="R6747">
        <v>-0.92416089999999995</v>
      </c>
      <c r="S6747">
        <v>-0.68411250000000001</v>
      </c>
      <c r="T6747">
        <v>-0.23759540000000001</v>
      </c>
      <c r="U6747">
        <v>-2.9676209999999998</v>
      </c>
      <c r="V6747">
        <v>-5.8472349999999999E-2</v>
      </c>
      <c r="W6747">
        <v>2.326166E-2</v>
      </c>
      <c r="X6747">
        <v>0.99801799999999996</v>
      </c>
      <c r="Y6747">
        <v>-0.22243360000000001</v>
      </c>
      <c r="Z6747">
        <v>6.6227699999999903E-2</v>
      </c>
      <c r="AA6747">
        <v>0.9726958</v>
      </c>
      <c r="AB6747">
        <v>13</v>
      </c>
      <c r="AC6747">
        <v>-3.1462999999999899</v>
      </c>
      <c r="AD6747">
        <v>-1.110962224331</v>
      </c>
      <c r="AE6747">
        <v>-13.7646999999999</v>
      </c>
      <c r="AF6747">
        <v>-3.1392547823511201</v>
      </c>
      <c r="AG6747">
        <v>-1.110962224331</v>
      </c>
      <c r="AH6747">
        <v>13.677189406671999</v>
      </c>
      <c r="AI6747">
        <v>94.526595102662895</v>
      </c>
      <c r="AJ6747">
        <v>102.926905282107</v>
      </c>
      <c r="AK6747">
        <v>14.076742084672301</v>
      </c>
      <c r="AL6747">
        <v>88.667084863864005</v>
      </c>
      <c r="AM6747">
        <v>93.3530391418916</v>
      </c>
      <c r="AN6747">
        <v>1.00000002443223</v>
      </c>
    </row>
    <row r="6748" spans="1:40" x14ac:dyDescent="0.25">
      <c r="A6748" t="str">
        <f>"20190312154058276"</f>
        <v>20190312154058276</v>
      </c>
      <c r="B6748" t="str">
        <f>"1552376458263347"</f>
        <v>1552376458263347</v>
      </c>
      <c r="C6748" t="s">
        <v>40</v>
      </c>
      <c r="D6748">
        <v>4.373456</v>
      </c>
      <c r="E6748">
        <v>0.437531</v>
      </c>
      <c r="F6748" t="s">
        <v>42</v>
      </c>
      <c r="G6748">
        <v>-422.24130000000002</v>
      </c>
      <c r="H6748" s="1">
        <v>-1.261157E-6</v>
      </c>
      <c r="I6748">
        <v>100.998</v>
      </c>
      <c r="J6748">
        <v>-419.16719999999998</v>
      </c>
      <c r="K6748">
        <v>1.1109420000000001</v>
      </c>
      <c r="L6748">
        <v>114.5608</v>
      </c>
      <c r="M6748">
        <v>-0.43416199999999999</v>
      </c>
      <c r="N6748">
        <v>0</v>
      </c>
      <c r="O6748">
        <v>-0.90073170000000002</v>
      </c>
      <c r="P6748">
        <v>-0.37914510000000001</v>
      </c>
      <c r="Q6748">
        <v>8.5043380000000002E-3</v>
      </c>
      <c r="R6748">
        <v>-0.92529830000000002</v>
      </c>
      <c r="S6748">
        <v>-0.6787415</v>
      </c>
      <c r="T6748">
        <v>-0.24112459999999999</v>
      </c>
      <c r="U6748">
        <v>-2.9682620000000002</v>
      </c>
      <c r="V6748">
        <v>-6.0250890000000001E-2</v>
      </c>
      <c r="W6748">
        <v>2.205557E-2</v>
      </c>
      <c r="X6748">
        <v>0.99793960000000004</v>
      </c>
      <c r="Y6748">
        <v>-0.22301579999999999</v>
      </c>
      <c r="Z6748">
        <v>6.725805E-2</v>
      </c>
      <c r="AA6748">
        <v>0.97249180000000002</v>
      </c>
      <c r="AB6748">
        <v>13</v>
      </c>
      <c r="AC6748">
        <v>-3.07410000000004</v>
      </c>
      <c r="AD6748">
        <v>-1.110943261157</v>
      </c>
      <c r="AE6748">
        <v>-13.562799999999999</v>
      </c>
      <c r="AF6748">
        <v>-3.1000198195792299</v>
      </c>
      <c r="AG6748">
        <v>-1.110943261157</v>
      </c>
      <c r="AH6748">
        <v>13.4664230881012</v>
      </c>
      <c r="AI6748">
        <v>94.596384153559001</v>
      </c>
      <c r="AJ6748">
        <v>102.963846357511</v>
      </c>
      <c r="AK6748">
        <v>13.8632199938917</v>
      </c>
      <c r="AL6748">
        <v>88.736206488361105</v>
      </c>
      <c r="AM6748">
        <v>93.455055124939094</v>
      </c>
      <c r="AN6748">
        <v>1.0000000315809801</v>
      </c>
    </row>
    <row r="6749" spans="1:40" x14ac:dyDescent="0.25">
      <c r="A6749" t="str">
        <f>"20190312154058300"</f>
        <v>20190312154058300</v>
      </c>
      <c r="B6749" t="str">
        <f>"1552376458292627"</f>
        <v>1552376458292627</v>
      </c>
      <c r="C6749" t="s">
        <v>40</v>
      </c>
      <c r="D6749">
        <v>4.3772379999999904</v>
      </c>
      <c r="E6749">
        <v>0.43757489999999999</v>
      </c>
      <c r="F6749" t="s">
        <v>42</v>
      </c>
      <c r="G6749">
        <v>-422.22239999999999</v>
      </c>
      <c r="H6749" s="1">
        <v>-1.2693089999999999E-6</v>
      </c>
      <c r="I6749">
        <v>101.02589999999999</v>
      </c>
      <c r="J6749">
        <v>-419.22250000000003</v>
      </c>
      <c r="K6749">
        <v>1.1109199999999999</v>
      </c>
      <c r="L6749">
        <v>114.4427</v>
      </c>
      <c r="M6749">
        <v>-0.43304399999999998</v>
      </c>
      <c r="N6749">
        <v>0</v>
      </c>
      <c r="O6749">
        <v>-0.90127000000000002</v>
      </c>
      <c r="P6749">
        <v>-0.37534590000000001</v>
      </c>
      <c r="Q6749">
        <v>7.354859E-3</v>
      </c>
      <c r="R6749">
        <v>-0.92685609999999996</v>
      </c>
      <c r="S6749">
        <v>-0.67034910000000003</v>
      </c>
      <c r="T6749">
        <v>-0.24375530000000001</v>
      </c>
      <c r="U6749">
        <v>-2.9697420000000001</v>
      </c>
      <c r="V6749">
        <v>-6.3109739999999998E-2</v>
      </c>
      <c r="W6749">
        <v>2.0885210000000001E-2</v>
      </c>
      <c r="X6749">
        <v>0.99778800000000001</v>
      </c>
      <c r="Y6749">
        <v>-0.22453600000000001</v>
      </c>
      <c r="Z6749">
        <v>6.8022390000000002E-2</v>
      </c>
      <c r="AA6749">
        <v>0.97208879999999998</v>
      </c>
      <c r="AB6749">
        <v>13</v>
      </c>
      <c r="AC6749">
        <v>-2.9998999999999598</v>
      </c>
      <c r="AD6749">
        <v>-1.110921269309</v>
      </c>
      <c r="AE6749">
        <v>-13.4168</v>
      </c>
      <c r="AF6749">
        <v>-3.0864794180576598</v>
      </c>
      <c r="AG6749">
        <v>-1.110921269309</v>
      </c>
      <c r="AH6749">
        <v>13.3056093936535</v>
      </c>
      <c r="AI6749">
        <v>94.649810318005393</v>
      </c>
      <c r="AJ6749">
        <v>103.05982685252199</v>
      </c>
      <c r="AK6749">
        <v>13.704004619131499</v>
      </c>
      <c r="AL6749">
        <v>88.803278556603402</v>
      </c>
      <c r="AM6749">
        <v>93.619116922429896</v>
      </c>
      <c r="AN6749">
        <v>0.99999996211180497</v>
      </c>
    </row>
    <row r="6750" spans="1:40" x14ac:dyDescent="0.25">
      <c r="A6750" t="str">
        <f>"20190312154058320"</f>
        <v>20190312154058320</v>
      </c>
      <c r="B6750" t="str">
        <f>"1552376458313127"</f>
        <v>1552376458313127</v>
      </c>
      <c r="C6750" t="s">
        <v>40</v>
      </c>
      <c r="D6750">
        <v>4.4164539999999999</v>
      </c>
      <c r="E6750">
        <v>0.4376427</v>
      </c>
      <c r="F6750" t="s">
        <v>42</v>
      </c>
      <c r="G6750">
        <v>-422.18939999999998</v>
      </c>
      <c r="H6750" s="1">
        <v>-1.2781310000000001E-6</v>
      </c>
      <c r="I6750">
        <v>101.06310000000001</v>
      </c>
      <c r="J6750">
        <v>-419.27370000000002</v>
      </c>
      <c r="K6750">
        <v>1.110903</v>
      </c>
      <c r="L6750">
        <v>114.333</v>
      </c>
      <c r="M6750">
        <v>-0.43199720000000003</v>
      </c>
      <c r="N6750">
        <v>0</v>
      </c>
      <c r="O6750">
        <v>-0.90177269999999998</v>
      </c>
      <c r="P6750">
        <v>-0.37146560000000001</v>
      </c>
      <c r="Q6750">
        <v>5.0978129999999997E-3</v>
      </c>
      <c r="R6750">
        <v>-0.92843310000000001</v>
      </c>
      <c r="S6750">
        <v>-0.65899659999999904</v>
      </c>
      <c r="T6750">
        <v>-0.2467541</v>
      </c>
      <c r="U6750">
        <v>-2.971832</v>
      </c>
      <c r="V6750">
        <v>-6.6128400000000004E-2</v>
      </c>
      <c r="W6750">
        <v>1.8609230000000001E-2</v>
      </c>
      <c r="X6750">
        <v>0.99763760000000001</v>
      </c>
      <c r="Y6750">
        <v>-0.22709960000000001</v>
      </c>
      <c r="Z6750">
        <v>6.8867579999999998E-2</v>
      </c>
      <c r="AA6750">
        <v>0.97143349999999995</v>
      </c>
      <c r="AB6750">
        <v>13</v>
      </c>
      <c r="AC6750">
        <v>-2.91569999999995</v>
      </c>
      <c r="AD6750">
        <v>-1.1109042781309999</v>
      </c>
      <c r="AE6750">
        <v>-13.2698999999999</v>
      </c>
      <c r="AF6750">
        <v>-3.0829358425862599</v>
      </c>
      <c r="AG6750">
        <v>-1.1109042781309999</v>
      </c>
      <c r="AH6750">
        <v>13.1393826326742</v>
      </c>
      <c r="AI6750">
        <v>94.705537784282896</v>
      </c>
      <c r="AJ6750">
        <v>103.204635204887</v>
      </c>
      <c r="AK6750">
        <v>13.5418602005963</v>
      </c>
      <c r="AL6750">
        <v>88.933708138026901</v>
      </c>
      <c r="AM6750">
        <v>93.792302679701095</v>
      </c>
      <c r="AN6750">
        <v>1.0000000248307499</v>
      </c>
    </row>
    <row r="6751" spans="1:40" x14ac:dyDescent="0.25">
      <c r="A6751" t="str">
        <f>"20190312154058343"</f>
        <v>20190312154058343</v>
      </c>
      <c r="B6751" t="str">
        <f>"1552376458332643"</f>
        <v>1552376458332643</v>
      </c>
      <c r="C6751" t="s">
        <v>40</v>
      </c>
      <c r="D6751">
        <v>4.4350639999999997</v>
      </c>
      <c r="E6751">
        <v>0.43777690000000002</v>
      </c>
      <c r="F6751" t="s">
        <v>42</v>
      </c>
      <c r="G6751">
        <v>-422.10410000000002</v>
      </c>
      <c r="H6751" s="1">
        <v>-1.3822409999999999E-6</v>
      </c>
      <c r="I6751">
        <v>101.3314</v>
      </c>
      <c r="J6751">
        <v>-419.32560000000001</v>
      </c>
      <c r="K6751">
        <v>1.1108789999999999</v>
      </c>
      <c r="L6751">
        <v>114.2213</v>
      </c>
      <c r="M6751">
        <v>-0.43092449999999999</v>
      </c>
      <c r="N6751">
        <v>0</v>
      </c>
      <c r="O6751">
        <v>-0.90228549999999996</v>
      </c>
      <c r="P6751">
        <v>-0.3676005</v>
      </c>
      <c r="Q6751">
        <v>1.1281640000000001E-3</v>
      </c>
      <c r="R6751">
        <v>-0.92998309999999995</v>
      </c>
      <c r="S6751">
        <v>-0.64736939999999998</v>
      </c>
      <c r="T6751">
        <v>-0.25408009999999998</v>
      </c>
      <c r="U6751">
        <v>-2.9736630000000002</v>
      </c>
      <c r="V6751">
        <v>-6.9093499999999905E-2</v>
      </c>
      <c r="W6751">
        <v>1.462247E-2</v>
      </c>
      <c r="X6751">
        <v>0.99750300000000003</v>
      </c>
      <c r="Y6751">
        <v>-0.2297225</v>
      </c>
      <c r="Z6751">
        <v>7.0919529999999995E-2</v>
      </c>
      <c r="AA6751">
        <v>0.97066889999999995</v>
      </c>
      <c r="AB6751">
        <v>13</v>
      </c>
      <c r="AC6751">
        <v>-2.7785000000000002</v>
      </c>
      <c r="AD6751">
        <v>-1.1108803822410001</v>
      </c>
      <c r="AE6751">
        <v>-12.8898999999999</v>
      </c>
      <c r="AF6751">
        <v>-3.0263753421162098</v>
      </c>
      <c r="AG6751">
        <v>-1.1108803822410001</v>
      </c>
      <c r="AH6751">
        <v>12.738467571929901</v>
      </c>
      <c r="AI6751">
        <v>94.849654471433396</v>
      </c>
      <c r="AJ6751">
        <v>103.364430481797</v>
      </c>
      <c r="AK6751">
        <v>13.1400745437812</v>
      </c>
      <c r="AL6751">
        <v>89.162164308592494</v>
      </c>
      <c r="AM6751">
        <v>93.962346907216499</v>
      </c>
      <c r="AN6751">
        <v>0.99999998169007498</v>
      </c>
    </row>
    <row r="6752" spans="1:40" x14ac:dyDescent="0.25">
      <c r="A6752" t="str">
        <f>"20190312154058365"</f>
        <v>20190312154058365</v>
      </c>
      <c r="B6752" t="str">
        <f>"1552376458353139"</f>
        <v>1552376458353139</v>
      </c>
      <c r="C6752" t="s">
        <v>40</v>
      </c>
      <c r="D6752">
        <v>4.4292230000000004</v>
      </c>
      <c r="E6752">
        <v>0.43796940000000001</v>
      </c>
      <c r="F6752" t="s">
        <v>42</v>
      </c>
      <c r="G6752">
        <v>-421.9896</v>
      </c>
      <c r="H6752" s="1">
        <v>-1.5457749999999901E-6</v>
      </c>
      <c r="I6752">
        <v>101.7418</v>
      </c>
      <c r="J6752">
        <v>-419.37880000000001</v>
      </c>
      <c r="K6752">
        <v>1.11086</v>
      </c>
      <c r="L6752">
        <v>114.1062</v>
      </c>
      <c r="M6752">
        <v>-0.42980659999999998</v>
      </c>
      <c r="N6752">
        <v>0</v>
      </c>
      <c r="O6752">
        <v>-0.90281869999999997</v>
      </c>
      <c r="P6752">
        <v>-0.36367329999999998</v>
      </c>
      <c r="Q6752">
        <v>-2.2926610000000001E-3</v>
      </c>
      <c r="R6752">
        <v>-0.93152369999999995</v>
      </c>
      <c r="S6752">
        <v>-0.63510129999999998</v>
      </c>
      <c r="T6752">
        <v>-0.26483479999999998</v>
      </c>
      <c r="U6752">
        <v>-2.9751280000000002</v>
      </c>
      <c r="V6752">
        <v>-7.2062050000000002E-2</v>
      </c>
      <c r="W6752">
        <v>1.118476E-2</v>
      </c>
      <c r="X6752">
        <v>0.99733749999999999</v>
      </c>
      <c r="Y6752">
        <v>-0.232488</v>
      </c>
      <c r="Z6752">
        <v>7.3932380000000006E-2</v>
      </c>
      <c r="AA6752">
        <v>0.96978520000000001</v>
      </c>
      <c r="AB6752">
        <v>13</v>
      </c>
      <c r="AC6752">
        <v>-2.6107999999999798</v>
      </c>
      <c r="AD6752">
        <v>-1.110861545775</v>
      </c>
      <c r="AE6752">
        <v>-12.3644</v>
      </c>
      <c r="AF6752">
        <v>-2.9348164774954602</v>
      </c>
      <c r="AG6752">
        <v>-1.110861545775</v>
      </c>
      <c r="AH6752">
        <v>12.191874526194299</v>
      </c>
      <c r="AI6752">
        <v>95.062304258669997</v>
      </c>
      <c r="AJ6752">
        <v>103.534681762707</v>
      </c>
      <c r="AK6752">
        <v>12.589240072098301</v>
      </c>
      <c r="AL6752">
        <v>89.359147135634501</v>
      </c>
      <c r="AM6752">
        <v>94.132691875713803</v>
      </c>
      <c r="AN6752">
        <v>1.0000000634063499</v>
      </c>
    </row>
    <row r="6753" spans="1:40" x14ac:dyDescent="0.25">
      <c r="A6753" t="str">
        <f>"20190312154058389"</f>
        <v>20190312154058389</v>
      </c>
      <c r="B6753" t="str">
        <f>"1552376458383395"</f>
        <v>1552376458383395</v>
      </c>
      <c r="C6753" t="s">
        <v>40</v>
      </c>
      <c r="D6753">
        <v>4.4439209999999996</v>
      </c>
      <c r="E6753">
        <v>0.43823630000000002</v>
      </c>
      <c r="F6753" t="s">
        <v>42</v>
      </c>
      <c r="G6753">
        <v>-421.91019999999997</v>
      </c>
      <c r="H6753" s="1">
        <v>-1.6592679999999999E-6</v>
      </c>
      <c r="I6753">
        <v>102.0265</v>
      </c>
      <c r="J6753">
        <v>-419.43150000000003</v>
      </c>
      <c r="K6753">
        <v>1.1108530000000001</v>
      </c>
      <c r="L6753">
        <v>113.99209999999999</v>
      </c>
      <c r="M6753">
        <v>-0.42867159999999899</v>
      </c>
      <c r="N6753">
        <v>0</v>
      </c>
      <c r="O6753">
        <v>-0.90335849999999995</v>
      </c>
      <c r="P6753">
        <v>-0.36030630000000002</v>
      </c>
      <c r="Q6753">
        <v>-3.3606069999999998E-3</v>
      </c>
      <c r="R6753">
        <v>-0.93282849999999995</v>
      </c>
      <c r="S6753">
        <v>-0.62371829999999995</v>
      </c>
      <c r="T6753">
        <v>-0.27370640000000002</v>
      </c>
      <c r="U6753">
        <v>-2.976334</v>
      </c>
      <c r="V6753">
        <v>-7.440869E-2</v>
      </c>
      <c r="W6753">
        <v>1.0100019999999999E-2</v>
      </c>
      <c r="X6753">
        <v>0.99717670000000003</v>
      </c>
      <c r="Y6753">
        <v>-0.23493520000000001</v>
      </c>
      <c r="Z6753">
        <v>7.6431299999999994E-2</v>
      </c>
      <c r="AA6753">
        <v>0.96900140000000001</v>
      </c>
      <c r="AB6753">
        <v>13</v>
      </c>
      <c r="AC6753">
        <v>-2.47869999999994</v>
      </c>
      <c r="AD6753">
        <v>-1.110854659268</v>
      </c>
      <c r="AE6753">
        <v>-11.965599999999901</v>
      </c>
      <c r="AF6753">
        <v>-2.86673313579014</v>
      </c>
      <c r="AG6753">
        <v>-1.110854659268</v>
      </c>
      <c r="AH6753">
        <v>11.7755527335559</v>
      </c>
      <c r="AI6753">
        <v>95.237018053561997</v>
      </c>
      <c r="AJ6753">
        <v>103.682375482997</v>
      </c>
      <c r="AK6753">
        <v>12.1702834447934</v>
      </c>
      <c r="AL6753">
        <v>89.421301651846704</v>
      </c>
      <c r="AM6753">
        <v>94.267465800689806</v>
      </c>
      <c r="AN6753">
        <v>1.0000000172871999</v>
      </c>
    </row>
    <row r="6754" spans="1:40" x14ac:dyDescent="0.25">
      <c r="A6754" t="str">
        <f>"20190312154058411"</f>
        <v>20190312154058411</v>
      </c>
      <c r="B6754" t="str">
        <f>"1552376458402915"</f>
        <v>1552376458402915</v>
      </c>
      <c r="C6754" t="s">
        <v>40</v>
      </c>
      <c r="D6754">
        <v>4.3959250000000001</v>
      </c>
      <c r="E6754">
        <v>0.43837609999999999</v>
      </c>
      <c r="F6754" t="s">
        <v>42</v>
      </c>
      <c r="G6754">
        <v>-421.9325</v>
      </c>
      <c r="H6754" s="1">
        <v>-1.5931339999999999E-6</v>
      </c>
      <c r="I6754">
        <v>101.8741</v>
      </c>
      <c r="J6754">
        <v>-419.48379999999997</v>
      </c>
      <c r="K6754">
        <v>1.1108690000000001</v>
      </c>
      <c r="L6754">
        <v>113.8784</v>
      </c>
      <c r="M6754">
        <v>-0.42749429999999999</v>
      </c>
      <c r="N6754">
        <v>0</v>
      </c>
      <c r="O6754">
        <v>-0.90391650000000001</v>
      </c>
      <c r="P6754">
        <v>-0.3576685</v>
      </c>
      <c r="Q6754">
        <v>-2.90421E-3</v>
      </c>
      <c r="R6754">
        <v>-0.93384449999999997</v>
      </c>
      <c r="S6754">
        <v>-0.61456299999999997</v>
      </c>
      <c r="T6754">
        <v>-0.27296359999999997</v>
      </c>
      <c r="U6754">
        <v>-2.9776919999999998</v>
      </c>
      <c r="V6754">
        <v>-7.5929339999999998E-2</v>
      </c>
      <c r="W6754">
        <v>1.054012E-2</v>
      </c>
      <c r="X6754">
        <v>0.99705750000000004</v>
      </c>
      <c r="Y6754">
        <v>-0.23660929999999999</v>
      </c>
      <c r="Z6754">
        <v>7.6267589999999996E-2</v>
      </c>
      <c r="AA6754">
        <v>0.96860690000000005</v>
      </c>
      <c r="AB6754">
        <v>12</v>
      </c>
      <c r="AC6754">
        <v>-2.4487000000000299</v>
      </c>
      <c r="AD6754">
        <v>-1.1108705931339999</v>
      </c>
      <c r="AE6754">
        <v>-12.004300000000001</v>
      </c>
      <c r="AF6754">
        <v>-2.89481782663416</v>
      </c>
      <c r="AG6754">
        <v>-1.1108705931339999</v>
      </c>
      <c r="AH6754">
        <v>11.8017549265235</v>
      </c>
      <c r="AI6754">
        <v>95.223326334255106</v>
      </c>
      <c r="AJ6754">
        <v>103.781815900485</v>
      </c>
      <c r="AK6754">
        <v>12.2022712258747</v>
      </c>
      <c r="AL6754">
        <v>89.396084431340299</v>
      </c>
      <c r="AM6754">
        <v>94.354864172586502</v>
      </c>
      <c r="AN6754">
        <v>1.0000000085543499</v>
      </c>
    </row>
    <row r="6755" spans="1:40" x14ac:dyDescent="0.25">
      <c r="A6755" t="str">
        <f>"20190312154058432"</f>
        <v>20190312154058432</v>
      </c>
      <c r="B6755" t="str">
        <f>"1552376458423411"</f>
        <v>1552376458423411</v>
      </c>
      <c r="C6755" t="s">
        <v>40</v>
      </c>
      <c r="D6755">
        <v>4.359286</v>
      </c>
      <c r="E6755">
        <v>0.43878230000000001</v>
      </c>
      <c r="F6755" t="s">
        <v>42</v>
      </c>
      <c r="G6755">
        <v>-421.98320000000001</v>
      </c>
      <c r="H6755" s="1">
        <v>-1.4761829999999999E-6</v>
      </c>
      <c r="I6755">
        <v>101.5981</v>
      </c>
      <c r="J6755">
        <v>-419.53289999999998</v>
      </c>
      <c r="K6755">
        <v>1.1109</v>
      </c>
      <c r="L6755">
        <v>113.7709</v>
      </c>
      <c r="M6755">
        <v>-0.42631750000000002</v>
      </c>
      <c r="N6755">
        <v>0</v>
      </c>
      <c r="O6755">
        <v>-0.9044721</v>
      </c>
      <c r="P6755">
        <v>-0.3555912</v>
      </c>
      <c r="Q6755">
        <v>-2.1184279999999999E-3</v>
      </c>
      <c r="R6755">
        <v>-0.93463940000000001</v>
      </c>
      <c r="S6755">
        <v>-0.60641480000000003</v>
      </c>
      <c r="T6755">
        <v>-0.26951550000000002</v>
      </c>
      <c r="U6755">
        <v>-2.9794010000000002</v>
      </c>
      <c r="V6755">
        <v>-7.6851489999999995E-2</v>
      </c>
      <c r="W6755">
        <v>1.130921E-2</v>
      </c>
      <c r="X6755">
        <v>0.99697840000000004</v>
      </c>
      <c r="Y6755">
        <v>-0.2379812</v>
      </c>
      <c r="Z6755">
        <v>7.5344629999999996E-2</v>
      </c>
      <c r="AA6755">
        <v>0.96834299999999995</v>
      </c>
      <c r="AB6755">
        <v>12</v>
      </c>
      <c r="AC6755">
        <v>-2.4503000000000199</v>
      </c>
      <c r="AD6755">
        <v>-1.1109014761830001</v>
      </c>
      <c r="AE6755">
        <v>-12.172799999999899</v>
      </c>
      <c r="AF6755">
        <v>-2.94991087644738</v>
      </c>
      <c r="AG6755">
        <v>-1.1109014761830001</v>
      </c>
      <c r="AH6755">
        <v>11.9599403255773</v>
      </c>
      <c r="AI6755">
        <v>95.153138756760796</v>
      </c>
      <c r="AJ6755">
        <v>103.855413382701</v>
      </c>
      <c r="AK6755">
        <v>12.3683567566649</v>
      </c>
      <c r="AL6755">
        <v>89.352016177667494</v>
      </c>
      <c r="AM6755">
        <v>94.407894471427497</v>
      </c>
      <c r="AN6755">
        <v>0.99999998990630201</v>
      </c>
    </row>
    <row r="6756" spans="1:40" x14ac:dyDescent="0.25">
      <c r="A6756" t="str">
        <f>"20190312154058455"</f>
        <v>20190312154058455</v>
      </c>
      <c r="B6756" t="str">
        <f>"1552376458442932"</f>
        <v>1552376458442932</v>
      </c>
      <c r="C6756" t="s">
        <v>40</v>
      </c>
      <c r="D6756">
        <v>4.3663160000000003</v>
      </c>
      <c r="E6756">
        <v>0.43905569999999999</v>
      </c>
      <c r="F6756" t="s">
        <v>42</v>
      </c>
      <c r="G6756">
        <v>-422.0702</v>
      </c>
      <c r="H6756" s="1">
        <v>-1.3262750000000001E-6</v>
      </c>
      <c r="I6756">
        <v>101.2321</v>
      </c>
      <c r="J6756">
        <v>-419.58449999999999</v>
      </c>
      <c r="K6756">
        <v>1.110941</v>
      </c>
      <c r="L6756">
        <v>113.6574</v>
      </c>
      <c r="M6756">
        <v>-0.42498839999999999</v>
      </c>
      <c r="N6756">
        <v>0</v>
      </c>
      <c r="O6756">
        <v>-0.90509740000000005</v>
      </c>
      <c r="P6756">
        <v>-0.35375240000000002</v>
      </c>
      <c r="Q6756">
        <v>-3.1287749999999999E-3</v>
      </c>
      <c r="R6756">
        <v>-0.93533379999999999</v>
      </c>
      <c r="S6756">
        <v>-0.60296629999999996</v>
      </c>
      <c r="T6756">
        <v>-0.263999599999999</v>
      </c>
      <c r="U6756">
        <v>-2.9797820000000002</v>
      </c>
      <c r="V6756">
        <v>-7.7346739999999997E-2</v>
      </c>
      <c r="W6756">
        <v>1.028073E-2</v>
      </c>
      <c r="X6756">
        <v>0.99695120000000004</v>
      </c>
      <c r="Y6756">
        <v>-0.2376317</v>
      </c>
      <c r="Z6756">
        <v>7.3895559999999999E-2</v>
      </c>
      <c r="AA6756">
        <v>0.96854050000000003</v>
      </c>
      <c r="AB6756">
        <v>12</v>
      </c>
      <c r="AC6756">
        <v>-2.4857</v>
      </c>
      <c r="AD6756">
        <v>-1.110942326275</v>
      </c>
      <c r="AE6756">
        <v>-12.425299999999901</v>
      </c>
      <c r="AF6756">
        <v>-3.0079653043894901</v>
      </c>
      <c r="AG6756">
        <v>-1.110942326275</v>
      </c>
      <c r="AH6756">
        <v>12.209779461141901</v>
      </c>
      <c r="AI6756">
        <v>95.048770401551806</v>
      </c>
      <c r="AJ6756">
        <v>103.839628271416</v>
      </c>
      <c r="AK6756">
        <v>12.6238172758656</v>
      </c>
      <c r="AL6756">
        <v>89.4109471564187</v>
      </c>
      <c r="AM6756">
        <v>94.436307556253894</v>
      </c>
      <c r="AN6756">
        <v>0.99999995338969905</v>
      </c>
    </row>
    <row r="6757" spans="1:40" x14ac:dyDescent="0.25">
      <c r="A6757" t="str">
        <f>"20190312154058478"</f>
        <v>20190312154058478</v>
      </c>
      <c r="B6757" t="str">
        <f>"1552376458473191"</f>
        <v>1552376458473191</v>
      </c>
      <c r="C6757" t="s">
        <v>40</v>
      </c>
      <c r="D6757">
        <v>4.3380450000000002</v>
      </c>
      <c r="E6757">
        <v>0.4394691</v>
      </c>
      <c r="F6757" t="s">
        <v>42</v>
      </c>
      <c r="G6757">
        <v>-422.08730000000003</v>
      </c>
      <c r="H6757" s="1">
        <v>-1.3205279999999901E-6</v>
      </c>
      <c r="I6757">
        <v>101.2103</v>
      </c>
      <c r="J6757">
        <v>-419.63560000000001</v>
      </c>
      <c r="K6757">
        <v>1.1110040000000001</v>
      </c>
      <c r="L6757">
        <v>113.5442</v>
      </c>
      <c r="M6757">
        <v>-0.42355320000000002</v>
      </c>
      <c r="N6757">
        <v>0</v>
      </c>
      <c r="O6757">
        <v>-0.90576990000000002</v>
      </c>
      <c r="P6757">
        <v>-0.35138219999999998</v>
      </c>
      <c r="Q6757">
        <v>-4.8180559999999898E-3</v>
      </c>
      <c r="R6757">
        <v>-0.93621989999999999</v>
      </c>
      <c r="S6757">
        <v>-0.59918209999999905</v>
      </c>
      <c r="T6757">
        <v>-0.26596449999999999</v>
      </c>
      <c r="U6757">
        <v>-2.979889</v>
      </c>
      <c r="V6757">
        <v>-7.8287789999999996E-2</v>
      </c>
      <c r="W6757">
        <v>8.5708680000000006E-3</v>
      </c>
      <c r="X6757">
        <v>0.9968939</v>
      </c>
      <c r="Y6757">
        <v>-0.23729020000000001</v>
      </c>
      <c r="Z6757">
        <v>7.4537500000000007E-2</v>
      </c>
      <c r="AA6757">
        <v>0.96857499999999996</v>
      </c>
      <c r="AB6757">
        <v>12</v>
      </c>
      <c r="AC6757">
        <v>-2.45170000000001</v>
      </c>
      <c r="AD6757">
        <v>-1.1110053205279999</v>
      </c>
      <c r="AE6757">
        <v>-12.3339</v>
      </c>
      <c r="AF6757">
        <v>-2.9803989030473401</v>
      </c>
      <c r="AG6757">
        <v>-1.1110053205279999</v>
      </c>
      <c r="AH6757">
        <v>12.116644946172</v>
      </c>
      <c r="AI6757">
        <v>95.088109931345798</v>
      </c>
      <c r="AJ6757">
        <v>103.819020797615</v>
      </c>
      <c r="AK6757">
        <v>12.527178261489</v>
      </c>
      <c r="AL6757">
        <v>89.508919396199801</v>
      </c>
      <c r="AM6757">
        <v>94.490320148724507</v>
      </c>
      <c r="AN6757">
        <v>0.99999994284928195</v>
      </c>
    </row>
    <row r="6758" spans="1:40" x14ac:dyDescent="0.25">
      <c r="A6758" t="str">
        <f>"20190312154058500"</f>
        <v>20190312154058500</v>
      </c>
      <c r="B6758" t="str">
        <f>"1552376458492711"</f>
        <v>1552376458492711</v>
      </c>
      <c r="C6758" t="s">
        <v>40</v>
      </c>
      <c r="D6758">
        <v>4.2928769999999998</v>
      </c>
      <c r="E6758">
        <v>0.43976490000000001</v>
      </c>
      <c r="F6758" t="s">
        <v>42</v>
      </c>
      <c r="G6758">
        <v>-422.09320000000002</v>
      </c>
      <c r="H6758" s="1">
        <v>-1.335563E-6</v>
      </c>
      <c r="I6758">
        <v>101.2388</v>
      </c>
      <c r="J6758">
        <v>-419.68509999999998</v>
      </c>
      <c r="K6758">
        <v>1.1110690000000001</v>
      </c>
      <c r="L6758">
        <v>113.43380000000001</v>
      </c>
      <c r="M6758">
        <v>-0.42202299999999998</v>
      </c>
      <c r="N6758">
        <v>0</v>
      </c>
      <c r="O6758">
        <v>-0.90648410000000001</v>
      </c>
      <c r="P6758">
        <v>-0.34867209999999899</v>
      </c>
      <c r="Q6758">
        <v>-6.461161E-3</v>
      </c>
      <c r="R6758">
        <v>-0.93722280000000002</v>
      </c>
      <c r="S6758">
        <v>-0.59509279999999998</v>
      </c>
      <c r="T6758">
        <v>-0.26902090000000001</v>
      </c>
      <c r="U6758">
        <v>-2.97966</v>
      </c>
      <c r="V6758">
        <v>-7.9482860000000002E-2</v>
      </c>
      <c r="W6758">
        <v>6.908188E-3</v>
      </c>
      <c r="X6758">
        <v>0.99681229999999998</v>
      </c>
      <c r="Y6758">
        <v>-0.23692769999999999</v>
      </c>
      <c r="Z6758">
        <v>7.5499360000000001E-2</v>
      </c>
      <c r="AA6758">
        <v>0.96858920000000004</v>
      </c>
      <c r="AB6758">
        <v>12</v>
      </c>
      <c r="AC6758">
        <v>-2.4081000000000401</v>
      </c>
      <c r="AD6758">
        <v>-1.1110703355630001</v>
      </c>
      <c r="AE6758">
        <v>-12.195</v>
      </c>
      <c r="AF6758">
        <v>-2.9404455754605499</v>
      </c>
      <c r="AG6758">
        <v>-1.1110703355630001</v>
      </c>
      <c r="AH6758">
        <v>11.9762711847434</v>
      </c>
      <c r="AI6758">
        <v>95.148266195457794</v>
      </c>
      <c r="AJ6758">
        <v>103.794546021358</v>
      </c>
      <c r="AK6758">
        <v>12.3819129767306</v>
      </c>
      <c r="AL6758">
        <v>89.604186837123905</v>
      </c>
      <c r="AM6758">
        <v>94.558950133708706</v>
      </c>
      <c r="AN6758">
        <v>1.00000000476325</v>
      </c>
    </row>
    <row r="6759" spans="1:40" x14ac:dyDescent="0.25">
      <c r="A6759" t="str">
        <f>"20190312154058521"</f>
        <v>20190312154058521</v>
      </c>
      <c r="B6759" t="str">
        <f>"1552376458513203"</f>
        <v>1552376458513203</v>
      </c>
      <c r="C6759" t="s">
        <v>40</v>
      </c>
      <c r="D6759">
        <v>4.2422800000000001</v>
      </c>
      <c r="E6759">
        <v>0.43987979999999999</v>
      </c>
      <c r="F6759" t="s">
        <v>42</v>
      </c>
      <c r="G6759">
        <v>-422.08019999999999</v>
      </c>
      <c r="H6759" s="1">
        <v>-1.3712920000000001E-6</v>
      </c>
      <c r="I6759">
        <v>101.3216</v>
      </c>
      <c r="J6759">
        <v>-419.73329999999999</v>
      </c>
      <c r="K6759">
        <v>1.1111279999999999</v>
      </c>
      <c r="L6759">
        <v>113.32510000000001</v>
      </c>
      <c r="M6759">
        <v>-0.42041220000000001</v>
      </c>
      <c r="N6759">
        <v>0</v>
      </c>
      <c r="O6759">
        <v>-0.90723229999999999</v>
      </c>
      <c r="P6759">
        <v>-0.34549609999999997</v>
      </c>
      <c r="Q6759">
        <v>-7.5985990000000002E-3</v>
      </c>
      <c r="R6759">
        <v>-0.93838969999999999</v>
      </c>
      <c r="S6759">
        <v>-0.58926389999999995</v>
      </c>
      <c r="T6759">
        <v>-0.27334750000000002</v>
      </c>
      <c r="U6759">
        <v>-2.9798429999999998</v>
      </c>
      <c r="V6759">
        <v>-8.1083279999999994E-2</v>
      </c>
      <c r="W6759">
        <v>5.75188E-3</v>
      </c>
      <c r="X6759">
        <v>0.99669079999999999</v>
      </c>
      <c r="Y6759">
        <v>-0.23705590000000001</v>
      </c>
      <c r="Z6759">
        <v>7.6810260000000005E-2</v>
      </c>
      <c r="AA6759">
        <v>0.96845479999999995</v>
      </c>
      <c r="AB6759">
        <v>12</v>
      </c>
      <c r="AC6759">
        <v>-2.3469000000000002</v>
      </c>
      <c r="AD6759">
        <v>-1.1111293712920001</v>
      </c>
      <c r="AE6759">
        <v>-12.003500000000001</v>
      </c>
      <c r="AF6759">
        <v>-2.8936199692465201</v>
      </c>
      <c r="AG6759">
        <v>-1.1111293712920001</v>
      </c>
      <c r="AH6759">
        <v>11.7804895376646</v>
      </c>
      <c r="AI6759">
        <v>95.2335040544761</v>
      </c>
      <c r="AJ6759">
        <v>103.800248648115</v>
      </c>
      <c r="AK6759">
        <v>12.1814440339885</v>
      </c>
      <c r="AL6759">
        <v>89.670439756467999</v>
      </c>
      <c r="AM6759">
        <v>94.650912205096503</v>
      </c>
      <c r="AN6759">
        <v>1.00000006661186</v>
      </c>
    </row>
    <row r="6760" spans="1:40" x14ac:dyDescent="0.25">
      <c r="A6760" t="str">
        <f>"20190312154058544"</f>
        <v>20190312154058544</v>
      </c>
      <c r="B6760" t="str">
        <f>"1552376458532724"</f>
        <v>1552376458532724</v>
      </c>
      <c r="C6760" t="s">
        <v>40</v>
      </c>
      <c r="D6760">
        <v>4.1992039999999999</v>
      </c>
      <c r="E6760">
        <v>0.43945079999999997</v>
      </c>
      <c r="F6760" t="s">
        <v>42</v>
      </c>
      <c r="G6760">
        <v>-422.05790000000002</v>
      </c>
      <c r="H6760" s="1">
        <v>-1.4027379999999999E-6</v>
      </c>
      <c r="I6760">
        <v>101.4008</v>
      </c>
      <c r="J6760">
        <v>-419.78289999999998</v>
      </c>
      <c r="K6760">
        <v>1.1111789999999999</v>
      </c>
      <c r="L6760">
        <v>113.2124</v>
      </c>
      <c r="M6760">
        <v>-0.41862500000000002</v>
      </c>
      <c r="N6760">
        <v>0</v>
      </c>
      <c r="O6760">
        <v>-0.90805849999999999</v>
      </c>
      <c r="P6760">
        <v>-0.3421458</v>
      </c>
      <c r="Q6760">
        <v>-8.4613829999999994E-3</v>
      </c>
      <c r="R6760">
        <v>-0.93960949999999999</v>
      </c>
      <c r="S6760">
        <v>-0.58108519999999997</v>
      </c>
      <c r="T6760">
        <v>-0.27775280000000002</v>
      </c>
      <c r="U6760">
        <v>-2.9807739999999998</v>
      </c>
      <c r="V6760">
        <v>-8.2672819999999994E-2</v>
      </c>
      <c r="W6760">
        <v>4.8730819999999999E-3</v>
      </c>
      <c r="X6760">
        <v>0.99656480000000003</v>
      </c>
      <c r="Y6760">
        <v>-0.23777909999999999</v>
      </c>
      <c r="Z6760">
        <v>7.8135739999999995E-2</v>
      </c>
      <c r="AA6760">
        <v>0.96817140000000002</v>
      </c>
      <c r="AB6760">
        <v>12</v>
      </c>
      <c r="AC6760">
        <v>-2.2750000000000301</v>
      </c>
      <c r="AD6760">
        <v>-1.1111804027379999</v>
      </c>
      <c r="AE6760">
        <v>-11.8116</v>
      </c>
      <c r="AF6760">
        <v>-2.85470036219257</v>
      </c>
      <c r="AG6760">
        <v>-1.1111804027379999</v>
      </c>
      <c r="AH6760">
        <v>11.580242467958699</v>
      </c>
      <c r="AI6760">
        <v>95.322641316909994</v>
      </c>
      <c r="AJ6760">
        <v>103.848145252588</v>
      </c>
      <c r="AK6760">
        <v>11.9785663441852</v>
      </c>
      <c r="AL6760">
        <v>89.720791855115195</v>
      </c>
      <c r="AM6760">
        <v>94.742272749854706</v>
      </c>
      <c r="AN6760">
        <v>0.99999997134698504</v>
      </c>
    </row>
    <row r="6761" spans="1:40" x14ac:dyDescent="0.25">
      <c r="A6761" t="str">
        <f>"20190312154058567"</f>
        <v>20190312154058567</v>
      </c>
      <c r="B6761" t="str">
        <f>"1552376458553220"</f>
        <v>1552376458553220</v>
      </c>
      <c r="C6761" t="s">
        <v>40</v>
      </c>
      <c r="D6761">
        <v>4.1938529999999998</v>
      </c>
      <c r="E6761">
        <v>0.42304340000000001</v>
      </c>
      <c r="F6761" t="s">
        <v>42</v>
      </c>
      <c r="G6761">
        <v>-422.05540000000002</v>
      </c>
      <c r="H6761" s="1">
        <v>-1.33784E-6</v>
      </c>
      <c r="I6761">
        <v>101.26479999999999</v>
      </c>
      <c r="J6761">
        <v>-419.8331</v>
      </c>
      <c r="K6761">
        <v>1.1112219999999999</v>
      </c>
      <c r="L6761">
        <v>113.0975</v>
      </c>
      <c r="M6761">
        <v>-0.41667310000000002</v>
      </c>
      <c r="N6761">
        <v>0</v>
      </c>
      <c r="O6761">
        <v>-0.90895559999999997</v>
      </c>
      <c r="P6761">
        <v>-0.33754040000000002</v>
      </c>
      <c r="Q6761">
        <v>-9.7955170000000001E-3</v>
      </c>
      <c r="R6761">
        <v>-0.94126050000000006</v>
      </c>
      <c r="S6761">
        <v>-0.56750489999999998</v>
      </c>
      <c r="T6761">
        <v>-0.27749359999999901</v>
      </c>
      <c r="U6761">
        <v>-2.9836580000000001</v>
      </c>
      <c r="V6761">
        <v>-8.5403960000000001E-2</v>
      </c>
      <c r="W6761">
        <v>3.5198299999999998E-3</v>
      </c>
      <c r="X6761">
        <v>0.99634020000000001</v>
      </c>
      <c r="Y6761">
        <v>-0.240115</v>
      </c>
      <c r="Z6761">
        <v>7.8113160000000001E-2</v>
      </c>
      <c r="AA6761">
        <v>0.96759660000000003</v>
      </c>
      <c r="AB6761">
        <v>12</v>
      </c>
      <c r="AC6761">
        <v>-2.2223000000000099</v>
      </c>
      <c r="AD6761">
        <v>-1.1112233378399901</v>
      </c>
      <c r="AE6761">
        <v>-11.832700000000001</v>
      </c>
      <c r="AF6761">
        <v>-2.88607644202036</v>
      </c>
      <c r="AG6761">
        <v>-1.1112233378399901</v>
      </c>
      <c r="AH6761">
        <v>11.583761810825401</v>
      </c>
      <c r="AI6761">
        <v>95.317985383052502</v>
      </c>
      <c r="AJ6761">
        <v>103.990314726929</v>
      </c>
      <c r="AK6761">
        <v>11.9894867373746</v>
      </c>
      <c r="AL6761">
        <v>89.798328181958198</v>
      </c>
      <c r="AM6761">
        <v>94.899284917893397</v>
      </c>
      <c r="AN6761">
        <v>1.0000000098614701</v>
      </c>
    </row>
    <row r="6762" spans="1:40" x14ac:dyDescent="0.25">
      <c r="A6762" t="str">
        <f>"20190312154058602"</f>
        <v>20190312154058602</v>
      </c>
      <c r="B6762" t="str">
        <f>"1552376458593235"</f>
        <v>1552376458593235</v>
      </c>
      <c r="C6762" t="s">
        <v>40</v>
      </c>
      <c r="D6762">
        <v>4.1393420000000001</v>
      </c>
      <c r="E6762">
        <v>0.4236105</v>
      </c>
      <c r="F6762" t="s">
        <v>42</v>
      </c>
      <c r="G6762">
        <v>-423.46519999999998</v>
      </c>
      <c r="H6762" s="1">
        <v>-4.2476620000000002E-6</v>
      </c>
      <c r="I6762">
        <v>87.662490000000005</v>
      </c>
      <c r="J6762">
        <v>-419.9049</v>
      </c>
      <c r="K6762">
        <v>1.111307</v>
      </c>
      <c r="L6762">
        <v>112.9312</v>
      </c>
      <c r="M6762">
        <v>-0.41360449999999999</v>
      </c>
      <c r="N6762">
        <v>0</v>
      </c>
      <c r="O6762">
        <v>-0.91035600000000005</v>
      </c>
      <c r="P6762">
        <v>-0.33147389999999999</v>
      </c>
      <c r="Q6762">
        <v>-1.005549E-2</v>
      </c>
      <c r="R6762">
        <v>-0.94341109999999995</v>
      </c>
      <c r="S6762">
        <v>-0.43276979999999998</v>
      </c>
      <c r="T6762">
        <v>-0.13240499999999999</v>
      </c>
      <c r="U6762">
        <v>-3.03064</v>
      </c>
      <c r="V6762">
        <v>-8.8455149999999996E-2</v>
      </c>
      <c r="W6762">
        <v>3.2342059999999999E-3</v>
      </c>
      <c r="X6762">
        <v>0.99607489999999999</v>
      </c>
      <c r="Y6762">
        <v>-0.28088170000000001</v>
      </c>
      <c r="Z6762">
        <v>3.6780220000000002E-2</v>
      </c>
      <c r="AA6762">
        <v>0.95903740000000004</v>
      </c>
      <c r="AB6762">
        <v>12</v>
      </c>
      <c r="AC6762">
        <v>-3.5602999999999798</v>
      </c>
      <c r="AD6762">
        <v>-1.111311247662</v>
      </c>
      <c r="AE6762">
        <v>-25.268709999999999</v>
      </c>
      <c r="AF6762">
        <v>-7.19712266921871</v>
      </c>
      <c r="AG6762">
        <v>-1.111311247662</v>
      </c>
      <c r="AH6762">
        <v>24.431984163874599</v>
      </c>
      <c r="AI6762">
        <v>92.498355207599303</v>
      </c>
      <c r="AJ6762">
        <v>106.413808469523</v>
      </c>
      <c r="AK6762">
        <v>25.4942236121985</v>
      </c>
      <c r="AL6762">
        <v>89.814693321221597</v>
      </c>
      <c r="AM6762">
        <v>95.074765888082098</v>
      </c>
      <c r="AN6762">
        <v>0.99999999002999096</v>
      </c>
    </row>
    <row r="6763" spans="1:40" x14ac:dyDescent="0.25">
      <c r="A6763" t="str">
        <f>"20190312154058622"</f>
        <v>20190312154058622</v>
      </c>
      <c r="B6763" t="str">
        <f>"1552376458612756"</f>
        <v>1552376458612756</v>
      </c>
      <c r="C6763" t="s">
        <v>40</v>
      </c>
      <c r="D6763">
        <v>4.1696730000000004</v>
      </c>
      <c r="E6763">
        <v>0.42412810000000001</v>
      </c>
      <c r="F6763" t="s">
        <v>42</v>
      </c>
      <c r="G6763">
        <v>-423.36189999999999</v>
      </c>
      <c r="H6763" s="1">
        <v>-4.2867790000000002E-6</v>
      </c>
      <c r="I6763">
        <v>87.831280000000007</v>
      </c>
      <c r="J6763">
        <v>-419.95069999999998</v>
      </c>
      <c r="K6763">
        <v>1.1113770000000001</v>
      </c>
      <c r="L6763">
        <v>112.8237</v>
      </c>
      <c r="M6763">
        <v>-0.41145320000000002</v>
      </c>
      <c r="N6763">
        <v>0</v>
      </c>
      <c r="O6763">
        <v>-0.91133039999999998</v>
      </c>
      <c r="P6763">
        <v>-0.3279244</v>
      </c>
      <c r="Q6763">
        <v>-9.1466459999999996E-3</v>
      </c>
      <c r="R6763">
        <v>-0.9446599</v>
      </c>
      <c r="S6763">
        <v>-0.417572</v>
      </c>
      <c r="T6763">
        <v>-0.1342351</v>
      </c>
      <c r="U6763">
        <v>-3.0318149999999999</v>
      </c>
      <c r="V6763">
        <v>-8.9854489999999995E-2</v>
      </c>
      <c r="W6763">
        <v>4.1268390000000002E-3</v>
      </c>
      <c r="X6763">
        <v>0.99594629999999995</v>
      </c>
      <c r="Y6763">
        <v>-0.2833832</v>
      </c>
      <c r="Z6763">
        <v>3.7331389999999999E-2</v>
      </c>
      <c r="AA6763">
        <v>0.95827989999999996</v>
      </c>
      <c r="AB6763">
        <v>12</v>
      </c>
      <c r="AC6763">
        <v>-3.4112</v>
      </c>
      <c r="AD6763">
        <v>-1.1113812867790001</v>
      </c>
      <c r="AE6763">
        <v>-24.992419999999999</v>
      </c>
      <c r="AF6763">
        <v>-7.1612359462266202</v>
      </c>
      <c r="AG6763">
        <v>-1.1113812867790001</v>
      </c>
      <c r="AH6763">
        <v>24.1352621867597</v>
      </c>
      <c r="AI6763">
        <v>92.527724290788697</v>
      </c>
      <c r="AJ6763">
        <v>106.526285320618</v>
      </c>
      <c r="AK6763">
        <v>25.199788678990199</v>
      </c>
      <c r="AL6763">
        <v>89.7635488587173</v>
      </c>
      <c r="AM6763">
        <v>95.1552803611455</v>
      </c>
      <c r="AN6763">
        <v>0.99999994632848899</v>
      </c>
    </row>
    <row r="6764" spans="1:40" x14ac:dyDescent="0.25">
      <c r="A6764" t="str">
        <f>"20190312154058644"</f>
        <v>20190312154058644</v>
      </c>
      <c r="B6764" t="str">
        <f>"1552376458633252"</f>
        <v>1552376458633252</v>
      </c>
      <c r="C6764" t="s">
        <v>40</v>
      </c>
      <c r="D6764">
        <v>4.1339689999999996</v>
      </c>
      <c r="E6764">
        <v>0.42476009999999997</v>
      </c>
      <c r="F6764" t="s">
        <v>42</v>
      </c>
      <c r="G6764">
        <v>-423.45299999999997</v>
      </c>
      <c r="H6764" s="1">
        <v>-3.9985410000000004E-6</v>
      </c>
      <c r="I6764">
        <v>86.936790000000002</v>
      </c>
      <c r="J6764">
        <v>-419.99759999999998</v>
      </c>
      <c r="K6764">
        <v>1.111434</v>
      </c>
      <c r="L6764">
        <v>112.71259999999999</v>
      </c>
      <c r="M6764">
        <v>-0.40911170000000002</v>
      </c>
      <c r="N6764">
        <v>0</v>
      </c>
      <c r="O6764">
        <v>-0.91238390000000003</v>
      </c>
      <c r="P6764">
        <v>-0.32425969999999998</v>
      </c>
      <c r="Q6764">
        <v>-9.2778340000000004E-3</v>
      </c>
      <c r="R6764">
        <v>-0.94592290000000001</v>
      </c>
      <c r="S6764">
        <v>-0.41021730000000001</v>
      </c>
      <c r="T6764">
        <v>-0.13017429999999999</v>
      </c>
      <c r="U6764">
        <v>-3.032089</v>
      </c>
      <c r="V6764">
        <v>-9.1157619999999995E-2</v>
      </c>
      <c r="W6764">
        <v>3.9804519999999998E-3</v>
      </c>
      <c r="X6764">
        <v>0.99582850000000001</v>
      </c>
      <c r="Y6764">
        <v>-0.28320889999999999</v>
      </c>
      <c r="Z6764">
        <v>3.6273310000000003E-2</v>
      </c>
      <c r="AA6764">
        <v>0.95837209999999995</v>
      </c>
      <c r="AB6764">
        <v>12</v>
      </c>
      <c r="AC6764">
        <v>-3.4554000000000502</v>
      </c>
      <c r="AD6764">
        <v>-1.1114379985409999</v>
      </c>
      <c r="AE6764">
        <v>-25.77581</v>
      </c>
      <c r="AF6764">
        <v>-7.3797327070037797</v>
      </c>
      <c r="AG6764">
        <v>-1.1114379985409999</v>
      </c>
      <c r="AH6764">
        <v>24.887906276861301</v>
      </c>
      <c r="AI6764">
        <v>92.451631457548203</v>
      </c>
      <c r="AJ6764">
        <v>106.516081586499</v>
      </c>
      <c r="AK6764">
        <v>25.982756360656801</v>
      </c>
      <c r="AL6764">
        <v>89.771936292710095</v>
      </c>
      <c r="AM6764">
        <v>95.230249272517298</v>
      </c>
      <c r="AN6764">
        <v>0.999999978547219</v>
      </c>
    </row>
    <row r="6765" spans="1:40" x14ac:dyDescent="0.25">
      <c r="A6765" t="str">
        <f>"20190312154058667"</f>
        <v>20190312154058667</v>
      </c>
      <c r="B6765" t="str">
        <f>"1552376458663510"</f>
        <v>1552376458663510</v>
      </c>
      <c r="C6765" t="s">
        <v>40</v>
      </c>
      <c r="D6765">
        <v>4.1581029999999997</v>
      </c>
      <c r="E6765">
        <v>0.42564659999999899</v>
      </c>
      <c r="F6765" t="s">
        <v>42</v>
      </c>
      <c r="G6765">
        <v>-423.44979999999998</v>
      </c>
      <c r="H6765" s="1">
        <v>-3.9421330000000002E-6</v>
      </c>
      <c r="I6765">
        <v>86.7727</v>
      </c>
      <c r="J6765">
        <v>-420.04320000000001</v>
      </c>
      <c r="K6765">
        <v>1.111491</v>
      </c>
      <c r="L6765">
        <v>112.60299999999999</v>
      </c>
      <c r="M6765">
        <v>-0.40665859999999998</v>
      </c>
      <c r="N6765">
        <v>0</v>
      </c>
      <c r="O6765">
        <v>-0.91347970000000001</v>
      </c>
      <c r="P6765">
        <v>-0.32079059999999998</v>
      </c>
      <c r="Q6765">
        <v>-1.1365210000000001E-2</v>
      </c>
      <c r="R6765">
        <v>-0.94708219999999999</v>
      </c>
      <c r="S6765">
        <v>-0.40350340000000001</v>
      </c>
      <c r="T6765">
        <v>-0.12990760000000001</v>
      </c>
      <c r="U6765">
        <v>-3.0319210000000001</v>
      </c>
      <c r="V6765">
        <v>-9.2117340000000006E-2</v>
      </c>
      <c r="W6765">
        <v>1.8780859999999999E-3</v>
      </c>
      <c r="X6765">
        <v>0.99574640000000003</v>
      </c>
      <c r="Y6765">
        <v>-0.2827095</v>
      </c>
      <c r="Z6765">
        <v>3.6277759999999999E-2</v>
      </c>
      <c r="AA6765">
        <v>0.95851929999999996</v>
      </c>
      <c r="AB6765">
        <v>12</v>
      </c>
      <c r="AC6765">
        <v>-3.4065999999999601</v>
      </c>
      <c r="AD6765">
        <v>-1.111494942133</v>
      </c>
      <c r="AE6765">
        <v>-25.830299999999902</v>
      </c>
      <c r="AF6765">
        <v>-7.3795019051059798</v>
      </c>
      <c r="AG6765">
        <v>-1.111494942133</v>
      </c>
      <c r="AH6765">
        <v>24.937685543606499</v>
      </c>
      <c r="AI6765">
        <v>92.447268916084994</v>
      </c>
      <c r="AJ6765">
        <v>106.48441667094001</v>
      </c>
      <c r="AK6765">
        <v>26.030378976220199</v>
      </c>
      <c r="AL6765">
        <v>89.8923935367051</v>
      </c>
      <c r="AM6765">
        <v>95.2854371434901</v>
      </c>
      <c r="AN6765">
        <v>1.00000001232432</v>
      </c>
    </row>
    <row r="6766" spans="1:40" x14ac:dyDescent="0.25">
      <c r="A6766" t="str">
        <f>"20190312154058689"</f>
        <v>20190312154058689</v>
      </c>
      <c r="B6766" t="str">
        <f>"1552376458683031"</f>
        <v>1552376458683031</v>
      </c>
      <c r="C6766" t="s">
        <v>40</v>
      </c>
      <c r="D6766">
        <v>4.1207979999999997</v>
      </c>
      <c r="E6766">
        <v>0.42601549999999999</v>
      </c>
      <c r="F6766" t="s">
        <v>42</v>
      </c>
      <c r="G6766">
        <v>-423.36610000000002</v>
      </c>
      <c r="H6766" s="1">
        <v>-4.1228440000000001E-6</v>
      </c>
      <c r="I6766">
        <v>87.347399999999993</v>
      </c>
      <c r="J6766">
        <v>-420.08870000000002</v>
      </c>
      <c r="K6766">
        <v>1.1115569999999999</v>
      </c>
      <c r="L6766">
        <v>112.4924</v>
      </c>
      <c r="M6766">
        <v>-0.4040087</v>
      </c>
      <c r="N6766">
        <v>0</v>
      </c>
      <c r="O6766">
        <v>-0.91465469999999904</v>
      </c>
      <c r="P6766">
        <v>-0.31732349999999998</v>
      </c>
      <c r="Q6766">
        <v>-1.4070040000000001E-2</v>
      </c>
      <c r="R6766">
        <v>-0.94821310000000003</v>
      </c>
      <c r="S6766">
        <v>-0.39877319999999999</v>
      </c>
      <c r="T6766">
        <v>-0.1333905</v>
      </c>
      <c r="U6766">
        <v>-3.0309300000000001</v>
      </c>
      <c r="V6766">
        <v>-9.2851489999999995E-2</v>
      </c>
      <c r="W6766">
        <v>-8.4136529999999897E-4</v>
      </c>
      <c r="X6766">
        <v>0.9956796</v>
      </c>
      <c r="Y6766">
        <v>-0.28136280000000002</v>
      </c>
      <c r="Z6766">
        <v>3.7348689999999997E-2</v>
      </c>
      <c r="AA6766">
        <v>0.95887440000000002</v>
      </c>
      <c r="AB6766">
        <v>12</v>
      </c>
      <c r="AC6766">
        <v>-3.2774000000000001</v>
      </c>
      <c r="AD6766">
        <v>-1.1115611228440001</v>
      </c>
      <c r="AE6766">
        <v>-25.145</v>
      </c>
      <c r="AF6766">
        <v>-7.1480323009391897</v>
      </c>
      <c r="AG6766">
        <v>-1.1115611228440001</v>
      </c>
      <c r="AH6766">
        <v>24.2786733176974</v>
      </c>
      <c r="AI6766">
        <v>92.514785907049003</v>
      </c>
      <c r="AJ6766">
        <v>106.40527766101</v>
      </c>
      <c r="AK6766">
        <v>25.333454402677901</v>
      </c>
      <c r="AL6766">
        <v>90.048206687058297</v>
      </c>
      <c r="AM6766">
        <v>95.327674577241197</v>
      </c>
      <c r="AN6766">
        <v>0.99999998647347399</v>
      </c>
    </row>
    <row r="6767" spans="1:40" x14ac:dyDescent="0.25">
      <c r="A6767" t="str">
        <f>"20190312154058711"</f>
        <v>20190312154058711</v>
      </c>
      <c r="B6767" t="str">
        <f>"1552376458703523"</f>
        <v>1552376458703523</v>
      </c>
      <c r="C6767" t="s">
        <v>40</v>
      </c>
      <c r="D6767">
        <v>4.1458729999999999</v>
      </c>
      <c r="E6767">
        <v>0.42620239999999998</v>
      </c>
      <c r="F6767" t="s">
        <v>42</v>
      </c>
      <c r="G6767">
        <v>-423.1968</v>
      </c>
      <c r="H6767" s="1">
        <v>-4.4473970000000001E-6</v>
      </c>
      <c r="I6767">
        <v>88.389340000000004</v>
      </c>
      <c r="J6767">
        <v>-420.13299999999998</v>
      </c>
      <c r="K6767">
        <v>1.111631</v>
      </c>
      <c r="L6767">
        <v>112.38339999999999</v>
      </c>
      <c r="M6767">
        <v>-0.4012117</v>
      </c>
      <c r="N6767">
        <v>0</v>
      </c>
      <c r="O6767">
        <v>-0.91588499999999995</v>
      </c>
      <c r="P6767">
        <v>-0.3147123</v>
      </c>
      <c r="Q6767">
        <v>-1.5888989999999999E-2</v>
      </c>
      <c r="R6767">
        <v>-0.94905450000000002</v>
      </c>
      <c r="S6767">
        <v>-0.39083859999999998</v>
      </c>
      <c r="T6767">
        <v>-0.13977970000000001</v>
      </c>
      <c r="U6767">
        <v>-3.0309750000000002</v>
      </c>
      <c r="V6767">
        <v>-9.2531669999999996E-2</v>
      </c>
      <c r="W6767">
        <v>-2.6710660000000002E-3</v>
      </c>
      <c r="X6767">
        <v>0.99570610000000004</v>
      </c>
      <c r="Y6767">
        <v>-0.28090949999999998</v>
      </c>
      <c r="Z6767">
        <v>3.9225639999999999E-2</v>
      </c>
      <c r="AA6767">
        <v>0.95893229999999996</v>
      </c>
      <c r="AB6767">
        <v>12</v>
      </c>
      <c r="AC6767">
        <v>-3.0637999999999499</v>
      </c>
      <c r="AD6767">
        <v>-1.111635447397</v>
      </c>
      <c r="AE6767">
        <v>-23.994059999999902</v>
      </c>
      <c r="AF6767">
        <v>-6.80686010155316</v>
      </c>
      <c r="AG6767">
        <v>-1.111635447397</v>
      </c>
      <c r="AH6767">
        <v>23.1582551620813</v>
      </c>
      <c r="AI6767">
        <v>92.636809867050403</v>
      </c>
      <c r="AJ6767">
        <v>106.3795400593</v>
      </c>
      <c r="AK6767">
        <v>24.163481950292098</v>
      </c>
      <c r="AL6767">
        <v>90.153040999602098</v>
      </c>
      <c r="AM6767">
        <v>95.309288355794394</v>
      </c>
      <c r="AN6767">
        <v>0.99999994106188494</v>
      </c>
    </row>
    <row r="6768" spans="1:40" x14ac:dyDescent="0.25">
      <c r="A6768" t="str">
        <f>"20190312154058734"</f>
        <v>20190312154058734</v>
      </c>
      <c r="B6768" t="str">
        <f>"1552376458723044"</f>
        <v>1552376458723044</v>
      </c>
      <c r="C6768" t="s">
        <v>40</v>
      </c>
      <c r="D6768">
        <v>4.1325799999999999</v>
      </c>
      <c r="E6768">
        <v>0.43095990000000001</v>
      </c>
      <c r="F6768" t="s">
        <v>42</v>
      </c>
      <c r="G6768">
        <v>-423.0822</v>
      </c>
      <c r="H6768" s="1">
        <v>-4.6548150000000001E-6</v>
      </c>
      <c r="I6768">
        <v>89.058610000000002</v>
      </c>
      <c r="J6768">
        <v>-420.1773</v>
      </c>
      <c r="K6768">
        <v>1.1117189999999999</v>
      </c>
      <c r="L6768">
        <v>112.2727</v>
      </c>
      <c r="M6768">
        <v>-0.39816319999999999</v>
      </c>
      <c r="N6768">
        <v>0</v>
      </c>
      <c r="O6768">
        <v>-0.91721430000000004</v>
      </c>
      <c r="P6768">
        <v>-0.3126118</v>
      </c>
      <c r="Q6768">
        <v>-1.5946510000000001E-2</v>
      </c>
      <c r="R6768">
        <v>-0.94974740000000002</v>
      </c>
      <c r="S6768">
        <v>-0.3833008</v>
      </c>
      <c r="T6768">
        <v>-0.14447929999999901</v>
      </c>
      <c r="U6768">
        <v>-3.0315249999999998</v>
      </c>
      <c r="V6768">
        <v>-9.142248E-2</v>
      </c>
      <c r="W6768">
        <v>-2.735782E-3</v>
      </c>
      <c r="X6768">
        <v>0.99580840000000004</v>
      </c>
      <c r="Y6768">
        <v>-0.28009240000000002</v>
      </c>
      <c r="Z6768">
        <v>4.063874E-2</v>
      </c>
      <c r="AA6768">
        <v>0.95911250000000003</v>
      </c>
      <c r="AB6768">
        <v>12</v>
      </c>
      <c r="AC6768">
        <v>-2.9048999999999898</v>
      </c>
      <c r="AD6768">
        <v>-1.111723654815</v>
      </c>
      <c r="AE6768">
        <v>-23.214089999999999</v>
      </c>
      <c r="AF6768">
        <v>-6.5643628671496304</v>
      </c>
      <c r="AG6768">
        <v>-1.111723654815</v>
      </c>
      <c r="AH6768">
        <v>22.400402833981602</v>
      </c>
      <c r="AI6768">
        <v>92.726750600938402</v>
      </c>
      <c r="AJ6768">
        <v>106.333045665546</v>
      </c>
      <c r="AK6768">
        <v>23.3688860765964</v>
      </c>
      <c r="AL6768">
        <v>90.156748963766802</v>
      </c>
      <c r="AM6768">
        <v>95.245466488479096</v>
      </c>
      <c r="AN6768">
        <v>0.99999996193152996</v>
      </c>
    </row>
    <row r="6769" spans="1:40" x14ac:dyDescent="0.25">
      <c r="A6769" t="str">
        <f>"20190312154058757"</f>
        <v>20190312154058757</v>
      </c>
      <c r="B6769" t="str">
        <f>"1552376458743540"</f>
        <v>1552376458743540</v>
      </c>
      <c r="C6769" t="s">
        <v>40</v>
      </c>
      <c r="D6769">
        <v>4.1515940000000002</v>
      </c>
      <c r="E6769">
        <v>0.43140909999999899</v>
      </c>
      <c r="F6769" t="s">
        <v>42</v>
      </c>
      <c r="G6769">
        <v>-424.00189999999998</v>
      </c>
      <c r="H6769" s="1">
        <v>-3.0970420000000001E-6</v>
      </c>
      <c r="I6769">
        <v>84.326300000000003</v>
      </c>
      <c r="J6769">
        <v>-420.22</v>
      </c>
      <c r="K6769">
        <v>1.111812</v>
      </c>
      <c r="L6769">
        <v>112.1639</v>
      </c>
      <c r="M6769">
        <v>-0.3949492</v>
      </c>
      <c r="N6769">
        <v>0</v>
      </c>
      <c r="O6769">
        <v>-0.91860260000000005</v>
      </c>
      <c r="P6769">
        <v>-0.31054080000000001</v>
      </c>
      <c r="Q6769">
        <v>-1.7041359999999998E-2</v>
      </c>
      <c r="R6769">
        <v>-0.95040740000000001</v>
      </c>
      <c r="S6769">
        <v>-0.41339110000000001</v>
      </c>
      <c r="T6769">
        <v>-0.1201624</v>
      </c>
      <c r="U6769">
        <v>-3.0206300000000001</v>
      </c>
      <c r="V6769">
        <v>-9.0094419999999995E-2</v>
      </c>
      <c r="W6769">
        <v>-3.8359309999999999E-3</v>
      </c>
      <c r="X6769">
        <v>0.99592579999999997</v>
      </c>
      <c r="Y6769">
        <v>-0.2668509</v>
      </c>
      <c r="Z6769">
        <v>3.406795E-2</v>
      </c>
      <c r="AA6769">
        <v>0.96313550000000003</v>
      </c>
      <c r="AB6769">
        <v>12</v>
      </c>
      <c r="AC6769">
        <v>-3.7818999999999501</v>
      </c>
      <c r="AD6769">
        <v>-1.111815097042</v>
      </c>
      <c r="AE6769">
        <v>-27.837599999999899</v>
      </c>
      <c r="AF6769">
        <v>-7.5093067303573298</v>
      </c>
      <c r="AG6769">
        <v>-1.111815097042</v>
      </c>
      <c r="AH6769">
        <v>27.0255172813389</v>
      </c>
      <c r="AI6769">
        <v>92.269888306459706</v>
      </c>
      <c r="AJ6769">
        <v>105.528477535909</v>
      </c>
      <c r="AK6769">
        <v>28.071416150678001</v>
      </c>
      <c r="AL6769">
        <v>90.219783204813197</v>
      </c>
      <c r="AM6769">
        <v>95.169077371642103</v>
      </c>
      <c r="AN6769">
        <v>0.99999995899370497</v>
      </c>
    </row>
    <row r="6770" spans="1:40" x14ac:dyDescent="0.25">
      <c r="A6770" t="str">
        <f>"20190312154058779"</f>
        <v>20190312154058779</v>
      </c>
      <c r="B6770" t="str">
        <f>"1552376458772819"</f>
        <v>1552376458772819</v>
      </c>
      <c r="C6770" t="s">
        <v>40</v>
      </c>
      <c r="D6770">
        <v>4.148676</v>
      </c>
      <c r="E6770">
        <v>0.43149110000000002</v>
      </c>
      <c r="F6770" t="s">
        <v>42</v>
      </c>
      <c r="G6770">
        <v>-424.03960000000001</v>
      </c>
      <c r="H6770" s="1">
        <v>-2.9994250000000001E-6</v>
      </c>
      <c r="I6770">
        <v>84.07535</v>
      </c>
      <c r="J6770">
        <v>-420.26319999999998</v>
      </c>
      <c r="K6770">
        <v>1.1119270000000001</v>
      </c>
      <c r="L6770">
        <v>112.0518</v>
      </c>
      <c r="M6770">
        <v>-0.3913777</v>
      </c>
      <c r="N6770">
        <v>0</v>
      </c>
      <c r="O6770">
        <v>-0.92012989999999995</v>
      </c>
      <c r="P6770">
        <v>-0.30739250000000001</v>
      </c>
      <c r="Q6770">
        <v>-1.8203029999999999E-2</v>
      </c>
      <c r="R6770">
        <v>-0.95140899999999995</v>
      </c>
      <c r="S6770">
        <v>-0.4107056</v>
      </c>
      <c r="T6770">
        <v>-0.11954770000000001</v>
      </c>
      <c r="U6770">
        <v>-3.0202179999999998</v>
      </c>
      <c r="V6770">
        <v>-8.9508879999999999E-2</v>
      </c>
      <c r="W6770">
        <v>-5.0047690000000001E-3</v>
      </c>
      <c r="X6770">
        <v>0.99597349999999996</v>
      </c>
      <c r="Y6770">
        <v>-0.26392870000000002</v>
      </c>
      <c r="Z6770">
        <v>3.4005050000000002E-2</v>
      </c>
      <c r="AA6770">
        <v>0.96394259999999998</v>
      </c>
      <c r="AB6770">
        <v>12</v>
      </c>
      <c r="AC6770">
        <v>-3.7764000000000202</v>
      </c>
      <c r="AD6770">
        <v>-1.111929999425</v>
      </c>
      <c r="AE6770">
        <v>-27.97645</v>
      </c>
      <c r="AF6770">
        <v>-7.4636903157436798</v>
      </c>
      <c r="AG6770">
        <v>-1.111929999425</v>
      </c>
      <c r="AH6770">
        <v>27.180309864963998</v>
      </c>
      <c r="AI6770">
        <v>92.259095422092201</v>
      </c>
      <c r="AJ6770">
        <v>105.354897459011</v>
      </c>
      <c r="AK6770">
        <v>28.208372973434798</v>
      </c>
      <c r="AL6770">
        <v>90.286753323892498</v>
      </c>
      <c r="AM6770">
        <v>95.135418186477395</v>
      </c>
      <c r="AN6770">
        <v>1.0000000500069199</v>
      </c>
    </row>
    <row r="6771" spans="1:40" x14ac:dyDescent="0.25">
      <c r="A6771" t="str">
        <f>"20190312154058802"</f>
        <v>20190312154058802</v>
      </c>
      <c r="B6771" t="str">
        <f>"1552376458793316"</f>
        <v>1552376458793316</v>
      </c>
      <c r="C6771" t="s">
        <v>40</v>
      </c>
      <c r="D6771">
        <v>4.1625230000000002</v>
      </c>
      <c r="E6771">
        <v>0.43167080000000002</v>
      </c>
      <c r="F6771" t="s">
        <v>42</v>
      </c>
      <c r="G6771">
        <v>-423.9246</v>
      </c>
      <c r="H6771" s="1">
        <v>-3.1316429999999999E-6</v>
      </c>
      <c r="I6771">
        <v>84.454930000000004</v>
      </c>
      <c r="J6771">
        <v>-420.30529999999999</v>
      </c>
      <c r="K6771">
        <v>1.112042</v>
      </c>
      <c r="L6771">
        <v>111.9406</v>
      </c>
      <c r="M6771">
        <v>-0.38757599999999998</v>
      </c>
      <c r="N6771">
        <v>0</v>
      </c>
      <c r="O6771">
        <v>-0.92173729999999998</v>
      </c>
      <c r="P6771">
        <v>-0.30470629999999999</v>
      </c>
      <c r="Q6771">
        <v>-1.904633E-2</v>
      </c>
      <c r="R6771">
        <v>-0.9522564</v>
      </c>
      <c r="S6771">
        <v>-0.40084839999999999</v>
      </c>
      <c r="T6771">
        <v>-0.1217369</v>
      </c>
      <c r="U6771">
        <v>-3.0213779999999999</v>
      </c>
      <c r="V6771">
        <v>-8.8197629999999999E-2</v>
      </c>
      <c r="W6771">
        <v>-5.8479860000000003E-3</v>
      </c>
      <c r="X6771">
        <v>0.99608580000000002</v>
      </c>
      <c r="Y6771">
        <v>-0.26308860000000001</v>
      </c>
      <c r="Z6771">
        <v>3.4720050000000002E-2</v>
      </c>
      <c r="AA6771">
        <v>0.96414670000000002</v>
      </c>
      <c r="AB6771">
        <v>12</v>
      </c>
      <c r="AC6771">
        <v>-3.6193</v>
      </c>
      <c r="AD6771">
        <v>-1.112045131643</v>
      </c>
      <c r="AE6771">
        <v>-27.485669999999999</v>
      </c>
      <c r="AF6771">
        <v>-7.3056647373804404</v>
      </c>
      <c r="AG6771">
        <v>-1.112045131643</v>
      </c>
      <c r="AH6771">
        <v>26.696840983085501</v>
      </c>
      <c r="AI6771">
        <v>92.300755560457304</v>
      </c>
      <c r="AJ6771">
        <v>105.304463583168</v>
      </c>
      <c r="AK6771">
        <v>27.7007346492104</v>
      </c>
      <c r="AL6771">
        <v>90.335066836035693</v>
      </c>
      <c r="AM6771">
        <v>95.060013420523902</v>
      </c>
      <c r="AN6771">
        <v>0.99999997091975601</v>
      </c>
    </row>
    <row r="6772" spans="1:40" x14ac:dyDescent="0.25">
      <c r="A6772" t="str">
        <f>"20190312154058823"</f>
        <v>20190312154058823</v>
      </c>
      <c r="B6772" t="str">
        <f>"1552376458812836"</f>
        <v>1552376458812836</v>
      </c>
      <c r="C6772" t="s">
        <v>40</v>
      </c>
      <c r="D6772">
        <v>4.1937139999999999</v>
      </c>
      <c r="E6772">
        <v>0.43174099999999999</v>
      </c>
      <c r="F6772" t="s">
        <v>42</v>
      </c>
      <c r="G6772">
        <v>-423.89139999999998</v>
      </c>
      <c r="H6772" s="1">
        <v>-3.1131669999999998E-6</v>
      </c>
      <c r="I6772">
        <v>84.432459999999907</v>
      </c>
      <c r="J6772">
        <v>-420.34410000000003</v>
      </c>
      <c r="K6772">
        <v>1.112136</v>
      </c>
      <c r="L6772">
        <v>111.8356</v>
      </c>
      <c r="M6772">
        <v>-0.3837875</v>
      </c>
      <c r="N6772">
        <v>0</v>
      </c>
      <c r="O6772">
        <v>-0.92332080000000005</v>
      </c>
      <c r="P6772">
        <v>-0.30267939999999999</v>
      </c>
      <c r="Q6772">
        <v>-1.954463E-2</v>
      </c>
      <c r="R6772">
        <v>-0.95289219999999997</v>
      </c>
      <c r="S6772">
        <v>-0.39395140000000001</v>
      </c>
      <c r="T6772">
        <v>-0.1221645</v>
      </c>
      <c r="U6772">
        <v>-3.0219269999999998</v>
      </c>
      <c r="V6772">
        <v>-8.6218950000000003E-2</v>
      </c>
      <c r="W6772">
        <v>-6.3364140000000003E-3</v>
      </c>
      <c r="X6772">
        <v>0.99625609999999998</v>
      </c>
      <c r="Y6772">
        <v>-0.26131330000000003</v>
      </c>
      <c r="Z6772">
        <v>3.4944019999999999E-2</v>
      </c>
      <c r="AA6772">
        <v>0.96462130000000001</v>
      </c>
      <c r="AB6772">
        <v>12</v>
      </c>
      <c r="AC6772">
        <v>-3.5472999999999399</v>
      </c>
      <c r="AD6772">
        <v>-1.112139113167</v>
      </c>
      <c r="AE6772">
        <v>-27.40314</v>
      </c>
      <c r="AF6772">
        <v>-7.2306465113923304</v>
      </c>
      <c r="AG6772">
        <v>-1.112139113167</v>
      </c>
      <c r="AH6772">
        <v>26.622649404434899</v>
      </c>
      <c r="AI6772">
        <v>92.308557517429605</v>
      </c>
      <c r="AJ6772">
        <v>105.194854609635</v>
      </c>
      <c r="AK6772">
        <v>27.6095013299988</v>
      </c>
      <c r="AL6772">
        <v>90.363052195426306</v>
      </c>
      <c r="AM6772">
        <v>94.946222270562998</v>
      </c>
      <c r="AN6772">
        <v>1.00000003713434</v>
      </c>
    </row>
    <row r="6773" spans="1:40" x14ac:dyDescent="0.25">
      <c r="A6773" t="str">
        <f>"20190312154058846"</f>
        <v>20190312154058846</v>
      </c>
      <c r="B6773" t="str">
        <f>"1552376458833332"</f>
        <v>1552376458833332</v>
      </c>
      <c r="C6773" t="s">
        <v>40</v>
      </c>
      <c r="D6773">
        <v>4.1998689999999996</v>
      </c>
      <c r="E6773">
        <v>0.43183539999999998</v>
      </c>
      <c r="F6773" t="s">
        <v>42</v>
      </c>
      <c r="G6773">
        <v>-423.89690000000002</v>
      </c>
      <c r="H6773" s="1">
        <v>-2.9913469999999999E-6</v>
      </c>
      <c r="I6773">
        <v>84.145039999999995</v>
      </c>
      <c r="J6773">
        <v>-420.38380000000001</v>
      </c>
      <c r="K6773">
        <v>1.1122000000000001</v>
      </c>
      <c r="L6773">
        <v>111.7261</v>
      </c>
      <c r="M6773">
        <v>-0.37963160000000001</v>
      </c>
      <c r="N6773">
        <v>0</v>
      </c>
      <c r="O6773">
        <v>-0.92503709999999995</v>
      </c>
      <c r="P6773">
        <v>-0.3005486</v>
      </c>
      <c r="Q6773">
        <v>-1.9527429999999998E-2</v>
      </c>
      <c r="R6773">
        <v>-0.95356680000000005</v>
      </c>
      <c r="S6773">
        <v>-0.38781739999999998</v>
      </c>
      <c r="T6773">
        <v>-0.1213994</v>
      </c>
      <c r="U6773">
        <v>-3.022659</v>
      </c>
      <c r="V6773">
        <v>-8.396605E-2</v>
      </c>
      <c r="W6773">
        <v>-6.303164E-3</v>
      </c>
      <c r="X6773">
        <v>0.99644869999999997</v>
      </c>
      <c r="Y6773">
        <v>-0.25892670000000001</v>
      </c>
      <c r="Z6773">
        <v>3.483547E-2</v>
      </c>
      <c r="AA6773">
        <v>0.96526860000000003</v>
      </c>
      <c r="AB6773">
        <v>12</v>
      </c>
      <c r="AC6773">
        <v>-3.5131000000000001</v>
      </c>
      <c r="AD6773">
        <v>-1.112202991347</v>
      </c>
      <c r="AE6773">
        <v>-27.581059999999901</v>
      </c>
      <c r="AF6773">
        <v>-7.2100294798915998</v>
      </c>
      <c r="AG6773">
        <v>-1.112202991347</v>
      </c>
      <c r="AH6773">
        <v>26.806793013750902</v>
      </c>
      <c r="AI6773">
        <v>92.294368417750505</v>
      </c>
      <c r="AJ6773">
        <v>105.05417012404899</v>
      </c>
      <c r="AK6773">
        <v>27.781750705759201</v>
      </c>
      <c r="AL6773">
        <v>90.361147079122404</v>
      </c>
      <c r="AM6773">
        <v>94.816667159727899</v>
      </c>
      <c r="AN6773">
        <v>1.00000001958035</v>
      </c>
    </row>
    <row r="6774" spans="1:40" x14ac:dyDescent="0.25">
      <c r="A6774" t="str">
        <f>"20190312154058868"</f>
        <v>20190312154058868</v>
      </c>
      <c r="B6774" t="str">
        <f>"1552376458863587"</f>
        <v>1552376458863587</v>
      </c>
      <c r="C6774" t="s">
        <v>40</v>
      </c>
      <c r="D6774">
        <v>4.1925790000000003</v>
      </c>
      <c r="E6774">
        <v>0.43201299999999998</v>
      </c>
      <c r="F6774" t="s">
        <v>42</v>
      </c>
      <c r="G6774">
        <v>-423.94189999999998</v>
      </c>
      <c r="H6774" s="1">
        <v>-2.7456520000000002E-6</v>
      </c>
      <c r="I6774">
        <v>83.544399999999996</v>
      </c>
      <c r="J6774">
        <v>-420.42320000000001</v>
      </c>
      <c r="K6774">
        <v>1.1122620000000001</v>
      </c>
      <c r="L6774">
        <v>111.6151</v>
      </c>
      <c r="M6774">
        <v>-0.37519000000000002</v>
      </c>
      <c r="N6774">
        <v>0</v>
      </c>
      <c r="O6774">
        <v>-0.92684730000000004</v>
      </c>
      <c r="P6774">
        <v>-0.2977959</v>
      </c>
      <c r="Q6774">
        <v>-2.0299350000000001E-2</v>
      </c>
      <c r="R6774">
        <v>-0.95441379999999998</v>
      </c>
      <c r="S6774">
        <v>-0.38171389999999999</v>
      </c>
      <c r="T6774">
        <v>-0.1193169</v>
      </c>
      <c r="U6774">
        <v>-3.0233310000000002</v>
      </c>
      <c r="V6774">
        <v>-8.2050650000000003E-2</v>
      </c>
      <c r="W6774">
        <v>-7.0588880000000001E-3</v>
      </c>
      <c r="X6774">
        <v>0.99660320000000002</v>
      </c>
      <c r="Y6774">
        <v>-0.25623509999999999</v>
      </c>
      <c r="Z6774">
        <v>3.4354450000000002E-2</v>
      </c>
      <c r="AA6774">
        <v>0.96600379999999997</v>
      </c>
      <c r="AB6774">
        <v>12</v>
      </c>
      <c r="AC6774">
        <v>-3.51869999999996</v>
      </c>
      <c r="AD6774">
        <v>-1.1122647456520001</v>
      </c>
      <c r="AE6774">
        <v>-28.070699999999999</v>
      </c>
      <c r="AF6774">
        <v>-7.26000443885727</v>
      </c>
      <c r="AG6774">
        <v>-1.1122647456520001</v>
      </c>
      <c r="AH6774">
        <v>27.297788245336498</v>
      </c>
      <c r="AI6774">
        <v>92.254958454942596</v>
      </c>
      <c r="AJ6774">
        <v>104.893383519181</v>
      </c>
      <c r="AK6774">
        <v>28.268605207966701</v>
      </c>
      <c r="AL6774">
        <v>90.404447834069899</v>
      </c>
      <c r="AM6774">
        <v>94.706564282870104</v>
      </c>
      <c r="AN6774">
        <v>1.0000000376577201</v>
      </c>
    </row>
    <row r="6775" spans="1:40" x14ac:dyDescent="0.25">
      <c r="A6775" t="str">
        <f>"20190312154058890"</f>
        <v>20190312154058890</v>
      </c>
      <c r="B6775" t="str">
        <f>"1552376458883108"</f>
        <v>1552376458883108</v>
      </c>
      <c r="C6775" t="s">
        <v>40</v>
      </c>
      <c r="D6775">
        <v>4.234966</v>
      </c>
      <c r="E6775">
        <v>0.43208580000000002</v>
      </c>
      <c r="F6775" t="s">
        <v>42</v>
      </c>
      <c r="G6775">
        <v>-423.89330000000001</v>
      </c>
      <c r="H6775" s="1">
        <v>-2.7504240000000002E-6</v>
      </c>
      <c r="I6775">
        <v>83.585700000000003</v>
      </c>
      <c r="J6775">
        <v>-420.46080000000001</v>
      </c>
      <c r="K6775">
        <v>1.1123270000000001</v>
      </c>
      <c r="L6775">
        <v>111.5069</v>
      </c>
      <c r="M6775">
        <v>-0.37062869999999998</v>
      </c>
      <c r="N6775">
        <v>0</v>
      </c>
      <c r="O6775">
        <v>-0.92868030000000001</v>
      </c>
      <c r="P6775">
        <v>-0.29393590000000003</v>
      </c>
      <c r="Q6775">
        <v>-1.9469219999999999E-2</v>
      </c>
      <c r="R6775">
        <v>-0.9556268</v>
      </c>
      <c r="S6775">
        <v>-0.3743591</v>
      </c>
      <c r="T6775">
        <v>-0.11999559999999999</v>
      </c>
      <c r="U6775">
        <v>-3.0239259999999999</v>
      </c>
      <c r="V6775">
        <v>-8.1188549999999998E-2</v>
      </c>
      <c r="W6775">
        <v>-6.2179729999999999E-3</v>
      </c>
      <c r="X6775">
        <v>0.99667939999999999</v>
      </c>
      <c r="Y6775">
        <v>-0.253820399999999</v>
      </c>
      <c r="Z6775">
        <v>3.4667240000000002E-2</v>
      </c>
      <c r="AA6775">
        <v>0.96662990000000004</v>
      </c>
      <c r="AB6775">
        <v>12</v>
      </c>
      <c r="AC6775">
        <v>-3.4325000000000001</v>
      </c>
      <c r="AD6775">
        <v>-1.112329750424</v>
      </c>
      <c r="AE6775">
        <v>-27.921199999999999</v>
      </c>
      <c r="AF6775">
        <v>-7.1501945198194798</v>
      </c>
      <c r="AG6775">
        <v>-1.112329750424</v>
      </c>
      <c r="AH6775">
        <v>27.1621321009399</v>
      </c>
      <c r="AI6775">
        <v>92.267861225257604</v>
      </c>
      <c r="AJ6775">
        <v>104.748031130236</v>
      </c>
      <c r="AK6775">
        <v>28.109499807251002</v>
      </c>
      <c r="AL6775">
        <v>90.356265893271399</v>
      </c>
      <c r="AM6775">
        <v>94.656976950555702</v>
      </c>
      <c r="AN6775">
        <v>1.0000000351118401</v>
      </c>
    </row>
    <row r="6776" spans="1:40" x14ac:dyDescent="0.25">
      <c r="A6776" t="str">
        <f>"20190312154058913"</f>
        <v>20190312154058913</v>
      </c>
      <c r="B6776" t="str">
        <f>"1552376458902628"</f>
        <v>1552376458902628</v>
      </c>
      <c r="C6776" t="s">
        <v>40</v>
      </c>
      <c r="D6776">
        <v>4.105721</v>
      </c>
      <c r="E6776">
        <v>0.4139293</v>
      </c>
      <c r="F6776" t="s">
        <v>42</v>
      </c>
      <c r="G6776">
        <v>-423.8929</v>
      </c>
      <c r="H6776" s="1">
        <v>-2.446276E-6</v>
      </c>
      <c r="I6776">
        <v>82.876949999999994</v>
      </c>
      <c r="J6776">
        <v>-420.4975</v>
      </c>
      <c r="K6776">
        <v>1.1124069999999999</v>
      </c>
      <c r="L6776">
        <v>111.39879999999999</v>
      </c>
      <c r="M6776">
        <v>-0.36584739999999999</v>
      </c>
      <c r="N6776">
        <v>0</v>
      </c>
      <c r="O6776">
        <v>-0.93057389999999995</v>
      </c>
      <c r="P6776">
        <v>-0.28850579999999998</v>
      </c>
      <c r="Q6776">
        <v>-1.8377040000000001E-2</v>
      </c>
      <c r="R6776">
        <v>-0.95730190000000004</v>
      </c>
      <c r="S6776">
        <v>-0.36267090000000002</v>
      </c>
      <c r="T6776">
        <v>-0.1175407</v>
      </c>
      <c r="U6776">
        <v>-3.0253450000000002</v>
      </c>
      <c r="V6776">
        <v>-8.1733210000000001E-2</v>
      </c>
      <c r="W6776">
        <v>-5.1235229999999996E-3</v>
      </c>
      <c r="X6776">
        <v>0.99664109999999995</v>
      </c>
      <c r="Y6776">
        <v>-0.25257810000000003</v>
      </c>
      <c r="Z6776">
        <v>3.4065020000000001E-2</v>
      </c>
      <c r="AA6776">
        <v>0.96697659999999996</v>
      </c>
      <c r="AB6776">
        <v>12</v>
      </c>
      <c r="AC6776">
        <v>-3.3953999999999902</v>
      </c>
      <c r="AD6776">
        <v>-1.1124094462759999</v>
      </c>
      <c r="AE6776">
        <v>-28.521850000000001</v>
      </c>
      <c r="AF6776">
        <v>-7.2647611954858604</v>
      </c>
      <c r="AG6776">
        <v>-1.1124094462759999</v>
      </c>
      <c r="AH6776">
        <v>27.744883507855199</v>
      </c>
      <c r="AI6776">
        <v>92.221197116236894</v>
      </c>
      <c r="AJ6776">
        <v>104.672999723351</v>
      </c>
      <c r="AK6776">
        <v>28.701790377397302</v>
      </c>
      <c r="AL6776">
        <v>90.293557521100695</v>
      </c>
      <c r="AM6776">
        <v>94.688259222242493</v>
      </c>
      <c r="AN6776">
        <v>1.00000002515702</v>
      </c>
    </row>
    <row r="6777" spans="1:40" x14ac:dyDescent="0.25">
      <c r="A6777" t="str">
        <f>"20190312154058935"</f>
        <v>20190312154058935</v>
      </c>
      <c r="B6777" t="str">
        <f>"1552376458932884"</f>
        <v>1552376458932884</v>
      </c>
      <c r="C6777" t="s">
        <v>40</v>
      </c>
      <c r="D6777">
        <v>4.3724369999999997</v>
      </c>
      <c r="E6777">
        <v>0.40996500000000002</v>
      </c>
      <c r="F6777" t="s">
        <v>69</v>
      </c>
      <c r="G6777">
        <v>-427.613</v>
      </c>
      <c r="H6777">
        <v>7.9987820000000001E-2</v>
      </c>
      <c r="I6777">
        <v>6.7380100000000001</v>
      </c>
      <c r="J6777">
        <v>-420.53339999999997</v>
      </c>
      <c r="K6777">
        <v>1.1125039999999999</v>
      </c>
      <c r="L6777">
        <v>111.2899</v>
      </c>
      <c r="M6777">
        <v>-0.36080279999999998</v>
      </c>
      <c r="N6777">
        <v>0</v>
      </c>
      <c r="O6777">
        <v>-0.93254099999999995</v>
      </c>
      <c r="P6777">
        <v>-0.283358099999999</v>
      </c>
      <c r="Q6777">
        <v>-1.6222500000000001E-2</v>
      </c>
      <c r="R6777">
        <v>-0.95887730000000004</v>
      </c>
      <c r="S6777">
        <v>-0.20874019999999999</v>
      </c>
      <c r="T6777">
        <v>-3.028703E-2</v>
      </c>
      <c r="U6777">
        <v>-3.0703279999999999</v>
      </c>
      <c r="V6777">
        <v>-8.1715850000000007E-2</v>
      </c>
      <c r="W6777">
        <v>-2.9628269999999999E-3</v>
      </c>
      <c r="X6777">
        <v>0.99665130000000002</v>
      </c>
      <c r="Y6777">
        <v>-0.29674820000000002</v>
      </c>
      <c r="Z6777">
        <v>8.6392080000000007E-3</v>
      </c>
      <c r="AA6777">
        <v>0.95491669999999995</v>
      </c>
      <c r="AB6777">
        <v>12</v>
      </c>
      <c r="AC6777">
        <v>-7.0796000000000801</v>
      </c>
      <c r="AD6777">
        <v>-1.03251618</v>
      </c>
      <c r="AE6777">
        <v>-104.55189</v>
      </c>
      <c r="AF6777">
        <v>-31.120511563845302</v>
      </c>
      <c r="AG6777">
        <v>-1.03251618</v>
      </c>
      <c r="AH6777">
        <v>100.05298761091601</v>
      </c>
      <c r="AI6777">
        <v>90.564575902308306</v>
      </c>
      <c r="AJ6777">
        <v>107.27779930667</v>
      </c>
      <c r="AK6777">
        <v>104.786223615165</v>
      </c>
      <c r="AL6777">
        <v>90.169757724758497</v>
      </c>
      <c r="AM6777">
        <v>94.687220124046902</v>
      </c>
      <c r="AN6777">
        <v>1.0000000361383701</v>
      </c>
    </row>
    <row r="6778" spans="1:40" x14ac:dyDescent="0.25">
      <c r="A6778" t="str">
        <f>"20190312154058958"</f>
        <v>20190312154058958</v>
      </c>
      <c r="B6778" t="str">
        <f>"1552376458953380"</f>
        <v>1552376458953380</v>
      </c>
      <c r="C6778" t="s">
        <v>40</v>
      </c>
      <c r="D6778">
        <v>4.2152710000000004</v>
      </c>
      <c r="E6778">
        <v>0.41022449999999999</v>
      </c>
      <c r="F6778" t="s">
        <v>43</v>
      </c>
      <c r="G6778">
        <v>-426.84359999999998</v>
      </c>
      <c r="H6778">
        <v>-0.05</v>
      </c>
      <c r="I6778">
        <v>-8.9308929999999993</v>
      </c>
      <c r="J6778">
        <v>-420.56900000000002</v>
      </c>
      <c r="K6778">
        <v>1.112606</v>
      </c>
      <c r="L6778">
        <v>111.17910000000001</v>
      </c>
      <c r="M6778">
        <v>-0.35542829999999997</v>
      </c>
      <c r="N6778">
        <v>0</v>
      </c>
      <c r="O6778">
        <v>-0.9346023</v>
      </c>
      <c r="P6778">
        <v>-0.27832319999999999</v>
      </c>
      <c r="Q6778">
        <v>-1.4173349999999999E-2</v>
      </c>
      <c r="R6778">
        <v>-0.96038310000000005</v>
      </c>
      <c r="S6778">
        <v>-0.1616821</v>
      </c>
      <c r="T6778">
        <v>-2.978635E-2</v>
      </c>
      <c r="U6778">
        <v>-3.080368</v>
      </c>
      <c r="V6778">
        <v>-8.1230010000000005E-2</v>
      </c>
      <c r="W6778">
        <v>-9.0301710000000002E-4</v>
      </c>
      <c r="X6778">
        <v>0.996695</v>
      </c>
      <c r="Y6778">
        <v>-0.30598239999999999</v>
      </c>
      <c r="Z6778">
        <v>8.4873650000000002E-3</v>
      </c>
      <c r="AA6778">
        <v>0.95199929999999999</v>
      </c>
      <c r="AB6778">
        <v>12</v>
      </c>
      <c r="AC6778">
        <v>-6.2745999999999604</v>
      </c>
      <c r="AD6778">
        <v>-1.162606</v>
      </c>
      <c r="AE6778">
        <v>-120.10999299999899</v>
      </c>
      <c r="AF6778">
        <v>-36.826279504185997</v>
      </c>
      <c r="AG6778">
        <v>-1.162606</v>
      </c>
      <c r="AH6778">
        <v>114.48538437249</v>
      </c>
      <c r="AI6778">
        <v>90.553874407167697</v>
      </c>
      <c r="AJ6778">
        <v>107.831319374571</v>
      </c>
      <c r="AK6778">
        <v>120.268157671715</v>
      </c>
      <c r="AL6778">
        <v>90.051739074319002</v>
      </c>
      <c r="AM6778">
        <v>94.659272023232504</v>
      </c>
      <c r="AN6778">
        <v>1.00000002649474</v>
      </c>
    </row>
    <row r="6779" spans="1:40" x14ac:dyDescent="0.25">
      <c r="A6779" t="str">
        <f>"20190312154058981"</f>
        <v>20190312154058981</v>
      </c>
      <c r="B6779" t="str">
        <f>"1552376458972900"</f>
        <v>1552376458972900</v>
      </c>
      <c r="C6779" t="s">
        <v>40</v>
      </c>
      <c r="D6779">
        <v>4.175834</v>
      </c>
      <c r="E6779">
        <v>0.41055920000000001</v>
      </c>
      <c r="F6779" t="s">
        <v>69</v>
      </c>
      <c r="G6779">
        <v>-425.53120000000001</v>
      </c>
      <c r="H6779">
        <v>7.9987249999999996E-2</v>
      </c>
      <c r="I6779">
        <v>7.4492570000000002</v>
      </c>
      <c r="J6779">
        <v>-420.60289999999998</v>
      </c>
      <c r="K6779">
        <v>1.1126849999999999</v>
      </c>
      <c r="L6779">
        <v>111.0702</v>
      </c>
      <c r="M6779">
        <v>-0.34991250000000002</v>
      </c>
      <c r="N6779">
        <v>0</v>
      </c>
      <c r="O6779">
        <v>-0.93668099999999999</v>
      </c>
      <c r="P6779">
        <v>-0.27333689999999999</v>
      </c>
      <c r="Q6779">
        <v>-1.4520659999999999E-2</v>
      </c>
      <c r="R6779">
        <v>-0.96180900000000003</v>
      </c>
      <c r="S6779">
        <v>-0.14736939999999901</v>
      </c>
      <c r="T6779">
        <v>-3.0666829999999999E-2</v>
      </c>
      <c r="U6779">
        <v>-3.0805820000000002</v>
      </c>
      <c r="V6779">
        <v>-8.0521350000000005E-2</v>
      </c>
      <c r="W6779">
        <v>-1.235744E-3</v>
      </c>
      <c r="X6779">
        <v>0.99675210000000003</v>
      </c>
      <c r="Y6779">
        <v>-0.30478539999999998</v>
      </c>
      <c r="Z6779">
        <v>8.7711649999999992E-3</v>
      </c>
      <c r="AA6779">
        <v>0.95238069999999997</v>
      </c>
      <c r="AB6779">
        <v>12</v>
      </c>
      <c r="AC6779">
        <v>-4.9283000000000303</v>
      </c>
      <c r="AD6779">
        <v>-1.0326977500000001</v>
      </c>
      <c r="AE6779">
        <v>-103.620943</v>
      </c>
      <c r="AF6779">
        <v>-31.641888134525999</v>
      </c>
      <c r="AG6779">
        <v>-1.0326977500000001</v>
      </c>
      <c r="AH6779">
        <v>98.783836087242193</v>
      </c>
      <c r="AI6779">
        <v>90.570409002209203</v>
      </c>
      <c r="AJ6779">
        <v>107.761012207994</v>
      </c>
      <c r="AK6779">
        <v>103.732935085593</v>
      </c>
      <c r="AL6779">
        <v>90.0708029350629</v>
      </c>
      <c r="AM6779">
        <v>94.618537187778401</v>
      </c>
      <c r="AN6779">
        <v>0.999999981861732</v>
      </c>
    </row>
    <row r="6780" spans="1:40" x14ac:dyDescent="0.25">
      <c r="A6780" t="str">
        <f>"20190312154059003"</f>
        <v>20190312154059003</v>
      </c>
      <c r="B6780" t="str">
        <f>"1552376458993396"</f>
        <v>1552376458993396</v>
      </c>
      <c r="C6780" t="s">
        <v>40</v>
      </c>
      <c r="D6780">
        <v>4.237355</v>
      </c>
      <c r="E6780">
        <v>0.410945</v>
      </c>
      <c r="F6780" t="s">
        <v>69</v>
      </c>
      <c r="G6780">
        <v>-424.65539999999999</v>
      </c>
      <c r="H6780" s="1">
        <v>-9.3956050000000007E-6</v>
      </c>
      <c r="I6780">
        <v>17.930599999999998</v>
      </c>
      <c r="J6780">
        <v>-420.63560000000001</v>
      </c>
      <c r="K6780">
        <v>1.1127180000000001</v>
      </c>
      <c r="L6780">
        <v>110.96169999999999</v>
      </c>
      <c r="M6780">
        <v>-0.34424159999999998</v>
      </c>
      <c r="N6780">
        <v>0</v>
      </c>
      <c r="O6780">
        <v>-0.9387799</v>
      </c>
      <c r="P6780">
        <v>-0.26753830000000001</v>
      </c>
      <c r="Q6780">
        <v>-1.707757E-2</v>
      </c>
      <c r="R6780">
        <v>-0.96339609999999998</v>
      </c>
      <c r="S6780">
        <v>-0.13403319999999999</v>
      </c>
      <c r="T6780">
        <v>-3.6800979999999997E-2</v>
      </c>
      <c r="U6780">
        <v>-3.0804749999999999</v>
      </c>
      <c r="V6780">
        <v>-8.0468540000000005E-2</v>
      </c>
      <c r="W6780">
        <v>-3.7790639999999999E-3</v>
      </c>
      <c r="X6780">
        <v>0.99675000000000002</v>
      </c>
      <c r="Y6780">
        <v>-0.30313879999999999</v>
      </c>
      <c r="Z6780">
        <v>1.0567099999999999E-2</v>
      </c>
      <c r="AA6780">
        <v>0.95288779999999995</v>
      </c>
      <c r="AB6780">
        <v>12</v>
      </c>
      <c r="AC6780">
        <v>-4.0197999999999698</v>
      </c>
      <c r="AD6780">
        <v>-1.1127273956049999</v>
      </c>
      <c r="AE6780">
        <v>-93.031099999999995</v>
      </c>
      <c r="AF6780">
        <v>-28.250117870360899</v>
      </c>
      <c r="AG6780">
        <v>-1.1127273956049999</v>
      </c>
      <c r="AH6780">
        <v>88.715271545285603</v>
      </c>
      <c r="AI6780">
        <v>90.684730301927502</v>
      </c>
      <c r="AJ6780">
        <v>107.663337177557</v>
      </c>
      <c r="AK6780">
        <v>93.111259938312401</v>
      </c>
      <c r="AL6780">
        <v>90.216524929867703</v>
      </c>
      <c r="AM6780">
        <v>94.615530889772799</v>
      </c>
      <c r="AN6780">
        <v>1.0000000148772199</v>
      </c>
    </row>
    <row r="6781" spans="1:40" x14ac:dyDescent="0.25">
      <c r="A6781" t="str">
        <f>"20190312154059025"</f>
        <v>20190312154059025</v>
      </c>
      <c r="B6781" t="str">
        <f>"1552376459012916"</f>
        <v>1552376459012916</v>
      </c>
      <c r="C6781" t="s">
        <v>40</v>
      </c>
      <c r="D6781">
        <v>4.231484</v>
      </c>
      <c r="E6781">
        <v>0.41094979999999998</v>
      </c>
      <c r="F6781" t="s">
        <v>42</v>
      </c>
      <c r="G6781">
        <v>-423.26609999999999</v>
      </c>
      <c r="H6781" s="1">
        <v>-2.0479809999999998E-6</v>
      </c>
      <c r="I6781">
        <v>42.33728</v>
      </c>
      <c r="J6781">
        <v>-420.6669</v>
      </c>
      <c r="K6781">
        <v>1.112724</v>
      </c>
      <c r="L6781">
        <v>110.8553</v>
      </c>
      <c r="M6781">
        <v>-0.33852310000000002</v>
      </c>
      <c r="N6781">
        <v>0</v>
      </c>
      <c r="O6781">
        <v>-0.94085680000000005</v>
      </c>
      <c r="P6781">
        <v>-0.261405</v>
      </c>
      <c r="Q6781">
        <v>-1.9048860000000001E-2</v>
      </c>
      <c r="R6781">
        <v>-0.9650415</v>
      </c>
      <c r="S6781">
        <v>-0.1180725</v>
      </c>
      <c r="T6781">
        <v>-4.9946070000000002E-2</v>
      </c>
      <c r="U6781">
        <v>-3.0803069999999999</v>
      </c>
      <c r="V6781">
        <v>-8.0720169999999994E-2</v>
      </c>
      <c r="W6781">
        <v>-5.7365350000000001E-3</v>
      </c>
      <c r="X6781">
        <v>0.9967203</v>
      </c>
      <c r="Y6781">
        <v>-0.3022688</v>
      </c>
      <c r="Z6781">
        <v>1.439518E-2</v>
      </c>
      <c r="AA6781">
        <v>0.95311400000000002</v>
      </c>
      <c r="AB6781">
        <v>12</v>
      </c>
      <c r="AC6781">
        <v>-2.59919999999999</v>
      </c>
      <c r="AD6781">
        <v>-1.1127260479809999</v>
      </c>
      <c r="AE6781">
        <v>-68.518019999999893</v>
      </c>
      <c r="AF6781">
        <v>-20.745971605900401</v>
      </c>
      <c r="AG6781">
        <v>-1.1127260479809999</v>
      </c>
      <c r="AH6781">
        <v>65.334556146472806</v>
      </c>
      <c r="AI6781">
        <v>90.929972367201501</v>
      </c>
      <c r="AJ6781">
        <v>107.616435773238</v>
      </c>
      <c r="AK6781">
        <v>68.558279762456806</v>
      </c>
      <c r="AL6781">
        <v>90.328681045581106</v>
      </c>
      <c r="AM6781">
        <v>94.630038644676702</v>
      </c>
      <c r="AN6781">
        <v>1.0000000050553599</v>
      </c>
    </row>
    <row r="6782" spans="1:40" x14ac:dyDescent="0.25">
      <c r="A6782" t="str">
        <f>"20190312154059048"</f>
        <v>20190312154059048</v>
      </c>
      <c r="B6782" t="str">
        <f>"1552376459043175"</f>
        <v>1552376459043175</v>
      </c>
      <c r="C6782" t="s">
        <v>40</v>
      </c>
      <c r="D6782">
        <v>4.2190570000000003</v>
      </c>
      <c r="E6782">
        <v>0.41042650000000003</v>
      </c>
      <c r="F6782" t="s">
        <v>42</v>
      </c>
      <c r="G6782">
        <v>-422.70429999999999</v>
      </c>
      <c r="H6782" s="1">
        <v>-3.9123109999999999E-6</v>
      </c>
      <c r="I6782">
        <v>47.073650000000001</v>
      </c>
      <c r="J6782">
        <v>-420.6979</v>
      </c>
      <c r="K6782">
        <v>1.1127020000000001</v>
      </c>
      <c r="L6782">
        <v>110.74679999999999</v>
      </c>
      <c r="M6782">
        <v>-0.33255269999999998</v>
      </c>
      <c r="N6782">
        <v>0</v>
      </c>
      <c r="O6782">
        <v>-0.94298329999999997</v>
      </c>
      <c r="P6782">
        <v>-0.25495459999999998</v>
      </c>
      <c r="Q6782">
        <v>-2.010841E-2</v>
      </c>
      <c r="R6782">
        <v>-0.9667441</v>
      </c>
      <c r="S6782">
        <v>-9.8419190000000004E-2</v>
      </c>
      <c r="T6782">
        <v>-5.374992E-2</v>
      </c>
      <c r="U6782">
        <v>-3.0809479999999998</v>
      </c>
      <c r="V6782">
        <v>-8.1045679999999995E-2</v>
      </c>
      <c r="W6782">
        <v>-6.7817930000000004E-3</v>
      </c>
      <c r="X6782">
        <v>0.99668730000000005</v>
      </c>
      <c r="Y6782">
        <v>-0.3023072</v>
      </c>
      <c r="Z6782">
        <v>1.5544519999999999E-2</v>
      </c>
      <c r="AA6782">
        <v>0.95308380000000004</v>
      </c>
      <c r="AB6782">
        <v>12</v>
      </c>
      <c r="AC6782">
        <v>-2.0063999999999802</v>
      </c>
      <c r="AD6782">
        <v>-1.1127059123109999</v>
      </c>
      <c r="AE6782">
        <v>-63.6731499999999</v>
      </c>
      <c r="AF6782">
        <v>-19.2786383497915</v>
      </c>
      <c r="AG6782">
        <v>-1.1127059123109999</v>
      </c>
      <c r="AH6782">
        <v>60.6972378208905</v>
      </c>
      <c r="AI6782">
        <v>91.0009663428077</v>
      </c>
      <c r="AJ6782">
        <v>107.620873240021</v>
      </c>
      <c r="AK6782">
        <v>63.695044470940502</v>
      </c>
      <c r="AL6782">
        <v>90.388571101077304</v>
      </c>
      <c r="AM6782">
        <v>94.648781188772304</v>
      </c>
      <c r="AN6782">
        <v>0.99999998447212302</v>
      </c>
    </row>
    <row r="6783" spans="1:40" x14ac:dyDescent="0.25">
      <c r="A6783" t="str">
        <f>"20190312154059070"</f>
        <v>20190312154059070</v>
      </c>
      <c r="B6783" t="str">
        <f>"1552376459062695"</f>
        <v>1552376459062695</v>
      </c>
      <c r="C6783" t="s">
        <v>40</v>
      </c>
      <c r="D6783">
        <v>4.232971</v>
      </c>
      <c r="E6783">
        <v>0.41040520000000003</v>
      </c>
      <c r="F6783" t="s">
        <v>69</v>
      </c>
      <c r="G6783">
        <v>-422.5215</v>
      </c>
      <c r="H6783" s="1">
        <v>-2.991514E-6</v>
      </c>
      <c r="I6783">
        <v>35.46904</v>
      </c>
      <c r="J6783">
        <v>-420.72800000000001</v>
      </c>
      <c r="K6783">
        <v>1.1126879999999999</v>
      </c>
      <c r="L6783">
        <v>110.6383</v>
      </c>
      <c r="M6783">
        <v>-0.32645069999999998</v>
      </c>
      <c r="N6783">
        <v>0</v>
      </c>
      <c r="O6783">
        <v>-0.94511279999999998</v>
      </c>
      <c r="P6783">
        <v>-0.24820610000000001</v>
      </c>
      <c r="Q6783">
        <v>-2.033014E-2</v>
      </c>
      <c r="R6783">
        <v>-0.96849419999999997</v>
      </c>
      <c r="S6783">
        <v>-7.4676510000000001E-2</v>
      </c>
      <c r="T6783">
        <v>-4.5564170000000001E-2</v>
      </c>
      <c r="U6783">
        <v>-3.0825499999999999</v>
      </c>
      <c r="V6783">
        <v>-8.1552650000000004E-2</v>
      </c>
      <c r="W6783">
        <v>-6.9916249999999996E-3</v>
      </c>
      <c r="X6783">
        <v>0.99664450000000004</v>
      </c>
      <c r="Y6783">
        <v>-0.3034963</v>
      </c>
      <c r="Z6783">
        <v>1.321609E-2</v>
      </c>
      <c r="AA6783">
        <v>0.95274099999999995</v>
      </c>
      <c r="AB6783">
        <v>11</v>
      </c>
      <c r="AC6783">
        <v>-1.7934999999999901</v>
      </c>
      <c r="AD6783">
        <v>-1.112690991514</v>
      </c>
      <c r="AE6783">
        <v>-75.169259999999994</v>
      </c>
      <c r="AF6783">
        <v>-22.841186100634399</v>
      </c>
      <c r="AG6783">
        <v>-1.112690991514</v>
      </c>
      <c r="AH6783">
        <v>71.620103039356593</v>
      </c>
      <c r="AI6783">
        <v>90.848001714922006</v>
      </c>
      <c r="AJ6783">
        <v>107.688597146923</v>
      </c>
      <c r="AK6783">
        <v>75.182424961519203</v>
      </c>
      <c r="AL6783">
        <v>90.400593872798794</v>
      </c>
      <c r="AM6783">
        <v>94.677932335255306</v>
      </c>
      <c r="AN6783">
        <v>0.99999998846120597</v>
      </c>
    </row>
    <row r="6784" spans="1:40" x14ac:dyDescent="0.25">
      <c r="A6784" t="str">
        <f>"20190312154059092"</f>
        <v>20190312154059092</v>
      </c>
      <c r="B6784" t="str">
        <f>"1552376459083189"</f>
        <v>1552376459083189</v>
      </c>
      <c r="C6784" t="s">
        <v>40</v>
      </c>
      <c r="D6784">
        <v>4.1441939999999997</v>
      </c>
      <c r="E6784">
        <v>0.41024880000000002</v>
      </c>
      <c r="F6784" t="s">
        <v>69</v>
      </c>
      <c r="G6784">
        <v>-422.19069999999999</v>
      </c>
      <c r="H6784" s="1">
        <v>-7.6468309999999992E-6</v>
      </c>
      <c r="I6784">
        <v>25.214189999999999</v>
      </c>
      <c r="J6784">
        <v>-420.75729999999999</v>
      </c>
      <c r="K6784">
        <v>1.1126720000000001</v>
      </c>
      <c r="L6784">
        <v>110.52930000000001</v>
      </c>
      <c r="M6784">
        <v>-0.32020470000000001</v>
      </c>
      <c r="N6784">
        <v>0</v>
      </c>
      <c r="O6784">
        <v>-0.94724730000000001</v>
      </c>
      <c r="P6784">
        <v>-0.24148439999999999</v>
      </c>
      <c r="Q6784">
        <v>-1.9998740000000001E-2</v>
      </c>
      <c r="R6784">
        <v>-0.97019900000000003</v>
      </c>
      <c r="S6784">
        <v>-5.2795410000000001E-2</v>
      </c>
      <c r="T6784">
        <v>-4.0160420000000002E-2</v>
      </c>
      <c r="U6784">
        <v>-3.0832060000000001</v>
      </c>
      <c r="V6784">
        <v>-8.1888829999999996E-2</v>
      </c>
      <c r="W6784">
        <v>-6.6495130000000001E-3</v>
      </c>
      <c r="X6784">
        <v>0.99661929999999999</v>
      </c>
      <c r="Y6784">
        <v>-0.30396960000000001</v>
      </c>
      <c r="Z6784">
        <v>1.1687579999999999E-2</v>
      </c>
      <c r="AA6784">
        <v>0.95260999999999996</v>
      </c>
      <c r="AB6784">
        <v>11</v>
      </c>
      <c r="AC6784">
        <v>-1.4334</v>
      </c>
      <c r="AD6784">
        <v>-1.1126796468309901</v>
      </c>
      <c r="AE6784">
        <v>-85.315110000000004</v>
      </c>
      <c r="AF6784">
        <v>-25.958586887576299</v>
      </c>
      <c r="AG6784">
        <v>-1.1126796468309901</v>
      </c>
      <c r="AH6784">
        <v>81.267452993893201</v>
      </c>
      <c r="AI6784">
        <v>90.747230781093705</v>
      </c>
      <c r="AJ6784">
        <v>107.71460949989</v>
      </c>
      <c r="AK6784">
        <v>85.319899234064806</v>
      </c>
      <c r="AL6784">
        <v>90.380991833526494</v>
      </c>
      <c r="AM6784">
        <v>94.697248047361199</v>
      </c>
      <c r="AN6784">
        <v>1.00000001281719</v>
      </c>
    </row>
    <row r="6785" spans="1:40" x14ac:dyDescent="0.25">
      <c r="A6785" t="str">
        <f>"20190312154059115"</f>
        <v>20190312154059115</v>
      </c>
      <c r="B6785" t="str">
        <f>"1552376459102708"</f>
        <v>1552376459102708</v>
      </c>
      <c r="C6785" t="s">
        <v>40</v>
      </c>
      <c r="D6785">
        <v>4.2550970000000001</v>
      </c>
      <c r="E6785">
        <v>0.41020430000000002</v>
      </c>
      <c r="F6785" t="s">
        <v>69</v>
      </c>
      <c r="G6785">
        <v>-421.73050000000001</v>
      </c>
      <c r="H6785" s="1">
        <v>-9.7470229999999996E-6</v>
      </c>
      <c r="I6785">
        <v>11.182029999999999</v>
      </c>
      <c r="J6785">
        <v>-420.78489999999999</v>
      </c>
      <c r="K6785">
        <v>1.112668</v>
      </c>
      <c r="L6785">
        <v>110.4235</v>
      </c>
      <c r="M6785">
        <v>-0.31404009999999999</v>
      </c>
      <c r="N6785">
        <v>0</v>
      </c>
      <c r="O6785">
        <v>-0.94930840000000005</v>
      </c>
      <c r="P6785">
        <v>-0.23502100000000001</v>
      </c>
      <c r="Q6785">
        <v>-2.00498E-2</v>
      </c>
      <c r="R6785">
        <v>-0.97178370000000003</v>
      </c>
      <c r="S6785">
        <v>-3.02124E-2</v>
      </c>
      <c r="T6785">
        <v>-3.45397E-2</v>
      </c>
      <c r="U6785">
        <v>-3.083923</v>
      </c>
      <c r="V6785">
        <v>-8.2043260000000007E-2</v>
      </c>
      <c r="W6785">
        <v>-6.6919579999999996E-3</v>
      </c>
      <c r="X6785">
        <v>0.99660629999999994</v>
      </c>
      <c r="Y6785">
        <v>-0.30475479999999999</v>
      </c>
      <c r="Z6785">
        <v>1.008305E-2</v>
      </c>
      <c r="AA6785">
        <v>0.95237749999999999</v>
      </c>
      <c r="AB6785">
        <v>11</v>
      </c>
      <c r="AC6785">
        <v>-0.94560000000001299</v>
      </c>
      <c r="AD6785">
        <v>-1.112677747023</v>
      </c>
      <c r="AE6785">
        <v>-99.241469999999893</v>
      </c>
      <c r="AF6785">
        <v>-30.267242613575501</v>
      </c>
      <c r="AG6785">
        <v>-1.112677747023</v>
      </c>
      <c r="AH6785">
        <v>94.50493063815</v>
      </c>
      <c r="AI6785">
        <v>90.642414770618899</v>
      </c>
      <c r="AJ6785">
        <v>107.75878506110899</v>
      </c>
      <c r="AK6785">
        <v>99.239739732222802</v>
      </c>
      <c r="AL6785">
        <v>90.383423812646299</v>
      </c>
      <c r="AM6785">
        <v>94.706127711098404</v>
      </c>
      <c r="AN6785">
        <v>0.99999999800649497</v>
      </c>
    </row>
    <row r="6786" spans="1:40" x14ac:dyDescent="0.25">
      <c r="A6786" t="str">
        <f>"20190312154059136"</f>
        <v>20190312154059136</v>
      </c>
      <c r="B6786" t="str">
        <f>"1552376459132965"</f>
        <v>1552376459132965</v>
      </c>
      <c r="C6786" t="s">
        <v>40</v>
      </c>
      <c r="D6786">
        <v>4.2477869999999998</v>
      </c>
      <c r="E6786">
        <v>0.41066130000000001</v>
      </c>
      <c r="F6786" t="s">
        <v>43</v>
      </c>
      <c r="G6786">
        <v>-421.15159999999997</v>
      </c>
      <c r="H6786">
        <v>-0.05</v>
      </c>
      <c r="I6786">
        <v>-9.5028380000000006</v>
      </c>
      <c r="J6786">
        <v>-420.81209999999999</v>
      </c>
      <c r="K6786">
        <v>1.1126640000000001</v>
      </c>
      <c r="L6786">
        <v>110.31610000000001</v>
      </c>
      <c r="M6786">
        <v>-0.3076989</v>
      </c>
      <c r="N6786">
        <v>0</v>
      </c>
      <c r="O6786">
        <v>-0.95138259999999997</v>
      </c>
      <c r="P6786">
        <v>-0.2291494</v>
      </c>
      <c r="Q6786">
        <v>-2.0419880000000001E-2</v>
      </c>
      <c r="R6786">
        <v>-0.97317710000000002</v>
      </c>
      <c r="S6786">
        <v>-9.4299320000000002E-3</v>
      </c>
      <c r="T6786">
        <v>-2.9901150000000001E-2</v>
      </c>
      <c r="U6786">
        <v>-3.0842290000000001</v>
      </c>
      <c r="V6786">
        <v>-8.1406240000000005E-2</v>
      </c>
      <c r="W6786">
        <v>-7.0504579999999999E-3</v>
      </c>
      <c r="X6786">
        <v>0.99665610000000004</v>
      </c>
      <c r="Y6786">
        <v>-0.30481780000000003</v>
      </c>
      <c r="Z6786">
        <v>8.7581859999999994E-3</v>
      </c>
      <c r="AA6786">
        <v>0.95237039999999995</v>
      </c>
      <c r="AB6786">
        <v>11</v>
      </c>
      <c r="AC6786">
        <v>-0.33949999999998598</v>
      </c>
      <c r="AD6786">
        <v>-1.1626639999999999</v>
      </c>
      <c r="AE6786">
        <v>-119.81893799999899</v>
      </c>
      <c r="AF6786">
        <v>-36.545238653682397</v>
      </c>
      <c r="AG6786">
        <v>-1.1626639999999999</v>
      </c>
      <c r="AH6786">
        <v>114.09835889303299</v>
      </c>
      <c r="AI6786">
        <v>90.556002706917397</v>
      </c>
      <c r="AJ6786">
        <v>107.760050272363</v>
      </c>
      <c r="AK6786">
        <v>119.813779499334</v>
      </c>
      <c r="AL6786">
        <v>90.403964820420498</v>
      </c>
      <c r="AM6786">
        <v>94.669517191273798</v>
      </c>
      <c r="AN6786">
        <v>1.0000000332680701</v>
      </c>
    </row>
    <row r="6787" spans="1:40" x14ac:dyDescent="0.25">
      <c r="A6787" t="str">
        <f>"20190312154059160"</f>
        <v>20190312154059160</v>
      </c>
      <c r="B6787" t="str">
        <f>"1552376459153460"</f>
        <v>1552376459153460</v>
      </c>
      <c r="C6787" t="s">
        <v>40</v>
      </c>
      <c r="D6787">
        <v>4.2977069999999999</v>
      </c>
      <c r="E6787">
        <v>0.41115839999999998</v>
      </c>
      <c r="F6787" t="s">
        <v>84</v>
      </c>
      <c r="G6787">
        <v>-420.61309999999997</v>
      </c>
      <c r="H6787">
        <v>0.2153863</v>
      </c>
      <c r="I6787">
        <v>0.4711514</v>
      </c>
      <c r="J6787">
        <v>-420.83850000000001</v>
      </c>
      <c r="K6787">
        <v>1.112668</v>
      </c>
      <c r="L6787">
        <v>110.2079</v>
      </c>
      <c r="M6787">
        <v>-0.30120079999999999</v>
      </c>
      <c r="N6787">
        <v>0</v>
      </c>
      <c r="O6787">
        <v>-0.95345990000000003</v>
      </c>
      <c r="P6787">
        <v>-0.22365869999999999</v>
      </c>
      <c r="Q6787">
        <v>-2.0386459999999999E-2</v>
      </c>
      <c r="R6787">
        <v>-0.97445459999999995</v>
      </c>
      <c r="S6787">
        <v>5.5847170000000003E-3</v>
      </c>
      <c r="T6787">
        <v>-2.5188329999999998E-2</v>
      </c>
      <c r="U6787">
        <v>-3.0834809999999999</v>
      </c>
      <c r="V6787">
        <v>-8.0226199999999998E-2</v>
      </c>
      <c r="W6787">
        <v>-7.0031260000000001E-3</v>
      </c>
      <c r="X6787">
        <v>0.99675210000000003</v>
      </c>
      <c r="Y6787">
        <v>-0.302956</v>
      </c>
      <c r="Z6787">
        <v>7.4074060000000001E-3</v>
      </c>
      <c r="AA6787">
        <v>0.95297569999999998</v>
      </c>
      <c r="AB6787">
        <v>11</v>
      </c>
      <c r="AC6787">
        <v>0.22540000000003599</v>
      </c>
      <c r="AD6787">
        <v>-0.89728169999999996</v>
      </c>
      <c r="AE6787">
        <v>-109.7367486</v>
      </c>
      <c r="AF6787">
        <v>-33.268681165056698</v>
      </c>
      <c r="AG6787">
        <v>-0.89728169999999996</v>
      </c>
      <c r="AH6787">
        <v>104.56476263335099</v>
      </c>
      <c r="AI6787">
        <v>90.468508844306498</v>
      </c>
      <c r="AJ6787">
        <v>107.649166326469</v>
      </c>
      <c r="AK6787">
        <v>109.733312378148</v>
      </c>
      <c r="AL6787">
        <v>90.401252835888002</v>
      </c>
      <c r="AM6787">
        <v>94.601680836730793</v>
      </c>
      <c r="AN6787">
        <v>1.0000000178973101</v>
      </c>
    </row>
    <row r="6788" spans="1:40" x14ac:dyDescent="0.25">
      <c r="A6788" t="str">
        <f>"20190312154059182"</f>
        <v>20190312154059182</v>
      </c>
      <c r="B6788" t="str">
        <f>"1552376459172980"</f>
        <v>1552376459172980</v>
      </c>
      <c r="C6788" t="s">
        <v>40</v>
      </c>
      <c r="D6788">
        <v>4.234591</v>
      </c>
      <c r="E6788">
        <v>0.41165350000000001</v>
      </c>
      <c r="F6788" t="s">
        <v>84</v>
      </c>
      <c r="G6788">
        <v>-420.17469999999997</v>
      </c>
      <c r="H6788">
        <v>0.31576330000000002</v>
      </c>
      <c r="I6788">
        <v>0.4756107</v>
      </c>
      <c r="J6788">
        <v>-420.86380000000003</v>
      </c>
      <c r="K6788">
        <v>1.112676</v>
      </c>
      <c r="L6788">
        <v>110.1007</v>
      </c>
      <c r="M6788">
        <v>-0.29467759999999998</v>
      </c>
      <c r="N6788">
        <v>0</v>
      </c>
      <c r="O6788">
        <v>-0.95549580000000001</v>
      </c>
      <c r="P6788">
        <v>-0.21893090000000001</v>
      </c>
      <c r="Q6788">
        <v>-1.9944090000000001E-2</v>
      </c>
      <c r="R6788">
        <v>-0.97553670000000003</v>
      </c>
      <c r="S6788">
        <v>1.8646240000000001E-2</v>
      </c>
      <c r="T6788">
        <v>-2.238631E-2</v>
      </c>
      <c r="U6788">
        <v>-3.0824579999999999</v>
      </c>
      <c r="V6788">
        <v>-7.8252890000000005E-2</v>
      </c>
      <c r="W6788">
        <v>-6.5417890000000001E-3</v>
      </c>
      <c r="X6788">
        <v>0.99691209999999997</v>
      </c>
      <c r="Y6788">
        <v>-0.30048069999999999</v>
      </c>
      <c r="Z6788">
        <v>6.6104889999999998E-3</v>
      </c>
      <c r="AA6788">
        <v>0.95376499999999997</v>
      </c>
      <c r="AB6788">
        <v>11</v>
      </c>
      <c r="AC6788">
        <v>0.689100000000053</v>
      </c>
      <c r="AD6788">
        <v>-0.79691269999999903</v>
      </c>
      <c r="AE6788">
        <v>-109.6250893</v>
      </c>
      <c r="AF6788">
        <v>-32.963927968236298</v>
      </c>
      <c r="AG6788">
        <v>-0.79691269999999903</v>
      </c>
      <c r="AH6788">
        <v>104.54780952614</v>
      </c>
      <c r="AI6788">
        <v>90.416514512955999</v>
      </c>
      <c r="AJ6788">
        <v>107.500064924196</v>
      </c>
      <c r="AK6788">
        <v>109.624359034207</v>
      </c>
      <c r="AL6788">
        <v>90.374819565179195</v>
      </c>
      <c r="AM6788">
        <v>94.488244979159504</v>
      </c>
      <c r="AN6788">
        <v>1.00000002246154</v>
      </c>
    </row>
    <row r="6789" spans="1:40" x14ac:dyDescent="0.25">
      <c r="A6789" t="str">
        <f>"20190312154059204"</f>
        <v>20190312154059204</v>
      </c>
      <c r="B6789" t="str">
        <f>"1552376459193476"</f>
        <v>1552376459193476</v>
      </c>
      <c r="C6789" t="s">
        <v>40</v>
      </c>
      <c r="D6789">
        <v>4.2660260000000001</v>
      </c>
      <c r="E6789">
        <v>0.41224319999999998</v>
      </c>
      <c r="F6789" t="s">
        <v>84</v>
      </c>
      <c r="G6789">
        <v>-419.79880000000003</v>
      </c>
      <c r="H6789">
        <v>0.4588295</v>
      </c>
      <c r="I6789">
        <v>0.4794331</v>
      </c>
      <c r="J6789">
        <v>-420.88830000000002</v>
      </c>
      <c r="K6789">
        <v>1.1126689999999999</v>
      </c>
      <c r="L6789">
        <v>109.9931</v>
      </c>
      <c r="M6789">
        <v>-0.28806090000000001</v>
      </c>
      <c r="N6789">
        <v>0</v>
      </c>
      <c r="O6789">
        <v>-0.95751149999999996</v>
      </c>
      <c r="P6789">
        <v>-0.2146845</v>
      </c>
      <c r="Q6789">
        <v>-1.9692100000000001E-2</v>
      </c>
      <c r="R6789">
        <v>-0.97648500000000005</v>
      </c>
      <c r="S6789">
        <v>2.9937740000000001E-2</v>
      </c>
      <c r="T6789">
        <v>-1.838124E-2</v>
      </c>
      <c r="U6789">
        <v>-3.0815730000000001</v>
      </c>
      <c r="V6789">
        <v>-7.569766E-2</v>
      </c>
      <c r="W6789">
        <v>-6.2666950000000001E-3</v>
      </c>
      <c r="X6789">
        <v>0.99711110000000003</v>
      </c>
      <c r="Y6789">
        <v>-0.29737760000000002</v>
      </c>
      <c r="Z6789">
        <v>5.4502250000000004E-3</v>
      </c>
      <c r="AA6789">
        <v>0.95474440000000005</v>
      </c>
      <c r="AB6789">
        <v>11</v>
      </c>
      <c r="AC6789">
        <v>1.0894999999999799</v>
      </c>
      <c r="AD6789">
        <v>-0.65383950000000002</v>
      </c>
      <c r="AE6789">
        <v>-109.5136669</v>
      </c>
      <c r="AF6789">
        <v>-32.591792180680997</v>
      </c>
      <c r="AG6789">
        <v>-0.65383950000000002</v>
      </c>
      <c r="AH6789">
        <v>104.553098299913</v>
      </c>
      <c r="AI6789">
        <v>90.342069453237897</v>
      </c>
      <c r="AJ6789">
        <v>107.313550858764</v>
      </c>
      <c r="AK6789">
        <v>109.51713467650499</v>
      </c>
      <c r="AL6789">
        <v>90.359057533590004</v>
      </c>
      <c r="AM6789">
        <v>94.341394749885893</v>
      </c>
      <c r="AN6789">
        <v>0.99999997646945404</v>
      </c>
    </row>
    <row r="6790" spans="1:40" x14ac:dyDescent="0.25">
      <c r="A6790" t="str">
        <f>"20190312154059226"</f>
        <v>20190312154059226</v>
      </c>
      <c r="B6790" t="str">
        <f>"1552376459222758"</f>
        <v>1552376459222758</v>
      </c>
      <c r="C6790" t="s">
        <v>40</v>
      </c>
      <c r="D6790">
        <v>4.305402</v>
      </c>
      <c r="E6790">
        <v>0.4130646</v>
      </c>
      <c r="F6790" t="s">
        <v>84</v>
      </c>
      <c r="G6790">
        <v>-419.5147</v>
      </c>
      <c r="H6790">
        <v>0.53082949999999995</v>
      </c>
      <c r="I6790">
        <v>0.48232459999999999</v>
      </c>
      <c r="J6790">
        <v>-420.91149999999999</v>
      </c>
      <c r="K6790">
        <v>1.1126529999999999</v>
      </c>
      <c r="L6790">
        <v>109.8875</v>
      </c>
      <c r="M6790">
        <v>-0.28149970000000002</v>
      </c>
      <c r="N6790">
        <v>0</v>
      </c>
      <c r="O6790">
        <v>-0.95946070000000006</v>
      </c>
      <c r="P6790">
        <v>-0.20991599999999999</v>
      </c>
      <c r="Q6790">
        <v>-1.940892E-2</v>
      </c>
      <c r="R6790">
        <v>-0.97752700000000003</v>
      </c>
      <c r="S6790">
        <v>3.8635250000000003E-2</v>
      </c>
      <c r="T6790">
        <v>-1.6367199999999998E-2</v>
      </c>
      <c r="U6790">
        <v>-3.0804140000000002</v>
      </c>
      <c r="V6790">
        <v>-7.3742100000000005E-2</v>
      </c>
      <c r="W6790">
        <v>-5.9649289999999999E-3</v>
      </c>
      <c r="X6790">
        <v>0.99725949999999997</v>
      </c>
      <c r="Y6790">
        <v>-0.29353849999999998</v>
      </c>
      <c r="Z6790">
        <v>4.8734679999999997E-3</v>
      </c>
      <c r="AA6790">
        <v>0.95593479999999997</v>
      </c>
      <c r="AB6790">
        <v>11</v>
      </c>
      <c r="AC6790">
        <v>1.3967999999999801</v>
      </c>
      <c r="AD6790">
        <v>-0.58182350000000005</v>
      </c>
      <c r="AE6790">
        <v>-109.405175399999</v>
      </c>
      <c r="AF6790">
        <v>-32.139893021950897</v>
      </c>
      <c r="AG6790">
        <v>-0.58182350000000005</v>
      </c>
      <c r="AH6790">
        <v>104.58390757008399</v>
      </c>
      <c r="AI6790">
        <v>90.304683417609695</v>
      </c>
      <c r="AJ6790">
        <v>107.082822970084</v>
      </c>
      <c r="AK6790">
        <v>109.412544823139</v>
      </c>
      <c r="AL6790">
        <v>90.341767285562497</v>
      </c>
      <c r="AM6790">
        <v>94.229025188168606</v>
      </c>
      <c r="AN6790">
        <v>0.99999999401531703</v>
      </c>
    </row>
    <row r="6791" spans="1:40" x14ac:dyDescent="0.25">
      <c r="A6791" t="str">
        <f>"20190312154059249"</f>
        <v>20190312154059249</v>
      </c>
      <c r="B6791" t="str">
        <f>"1552376459243256"</f>
        <v>1552376459243256</v>
      </c>
      <c r="C6791" t="s">
        <v>40</v>
      </c>
      <c r="D6791">
        <v>4.3273169999999999</v>
      </c>
      <c r="E6791">
        <v>0.41365059999999898</v>
      </c>
      <c r="F6791" t="s">
        <v>84</v>
      </c>
      <c r="G6791">
        <v>-419.22739999999999</v>
      </c>
      <c r="H6791">
        <v>0.54884619999999995</v>
      </c>
      <c r="I6791">
        <v>0.48524669999999998</v>
      </c>
      <c r="J6791">
        <v>-420.93400000000003</v>
      </c>
      <c r="K6791">
        <v>1.1126290000000001</v>
      </c>
      <c r="L6791">
        <v>109.7816</v>
      </c>
      <c r="M6791">
        <v>-0.274862099999999</v>
      </c>
      <c r="N6791">
        <v>0</v>
      </c>
      <c r="O6791">
        <v>-0.96138330000000005</v>
      </c>
      <c r="P6791">
        <v>-0.2047658</v>
      </c>
      <c r="Q6791">
        <v>-1.9661890000000001E-2</v>
      </c>
      <c r="R6791">
        <v>-0.97861370000000003</v>
      </c>
      <c r="S6791">
        <v>4.73938E-2</v>
      </c>
      <c r="T6791">
        <v>-1.586771E-2</v>
      </c>
      <c r="U6791">
        <v>-3.078827</v>
      </c>
      <c r="V6791">
        <v>-7.2099419999999997E-2</v>
      </c>
      <c r="W6791">
        <v>-6.2026399999999997E-3</v>
      </c>
      <c r="X6791">
        <v>0.99737819999999999</v>
      </c>
      <c r="Y6791">
        <v>-0.28965449999999998</v>
      </c>
      <c r="Z6791">
        <v>4.7449739999999999E-3</v>
      </c>
      <c r="AA6791">
        <v>0.95711950000000001</v>
      </c>
      <c r="AB6791">
        <v>11</v>
      </c>
      <c r="AC6791">
        <v>1.7066000000000301</v>
      </c>
      <c r="AD6791">
        <v>-0.56378280000000003</v>
      </c>
      <c r="AE6791">
        <v>-109.29635330000001</v>
      </c>
      <c r="AF6791">
        <v>-31.684336473150498</v>
      </c>
      <c r="AG6791">
        <v>-0.56378280000000003</v>
      </c>
      <c r="AH6791">
        <v>104.61392103237699</v>
      </c>
      <c r="AI6791">
        <v>90.295517734064006</v>
      </c>
      <c r="AJ6791">
        <v>106.84994514648101</v>
      </c>
      <c r="AK6791">
        <v>109.30822248375399</v>
      </c>
      <c r="AL6791">
        <v>90.355387359690098</v>
      </c>
      <c r="AM6791">
        <v>94.134659434675299</v>
      </c>
      <c r="AN6791">
        <v>1.00000003647127</v>
      </c>
    </row>
    <row r="6792" spans="1:40" x14ac:dyDescent="0.25">
      <c r="A6792" t="str">
        <f>"20190312154059271"</f>
        <v>20190312154059271</v>
      </c>
      <c r="B6792" t="str">
        <f>"1552376459262776"</f>
        <v>1552376459262776</v>
      </c>
      <c r="C6792" t="s">
        <v>40</v>
      </c>
      <c r="D6792">
        <v>4.3231999999999999</v>
      </c>
      <c r="E6792">
        <v>0.41429820000000001</v>
      </c>
      <c r="F6792" t="s">
        <v>84</v>
      </c>
      <c r="G6792">
        <v>-418.84769999999997</v>
      </c>
      <c r="H6792">
        <v>0.54329099999999997</v>
      </c>
      <c r="I6792">
        <v>0.48910330000000002</v>
      </c>
      <c r="J6792">
        <v>-420.95639999999997</v>
      </c>
      <c r="K6792">
        <v>1.1126</v>
      </c>
      <c r="L6792">
        <v>109.672</v>
      </c>
      <c r="M6792">
        <v>-0.26794230000000002</v>
      </c>
      <c r="N6792">
        <v>0</v>
      </c>
      <c r="O6792">
        <v>-0.96333500000000005</v>
      </c>
      <c r="P6792">
        <v>-0.1994157</v>
      </c>
      <c r="Q6792">
        <v>-2.0455439999999998E-2</v>
      </c>
      <c r="R6792">
        <v>-0.97970170000000001</v>
      </c>
      <c r="S6792">
        <v>5.8746340000000001E-2</v>
      </c>
      <c r="T6792">
        <v>-1.6032459999999998E-2</v>
      </c>
      <c r="U6792">
        <v>-3.0775299999999999</v>
      </c>
      <c r="V6792">
        <v>-7.036924E-2</v>
      </c>
      <c r="W6792">
        <v>-6.9819309999999898E-3</v>
      </c>
      <c r="X6792">
        <v>0.99749659999999996</v>
      </c>
      <c r="Y6792">
        <v>-0.28630640000000002</v>
      </c>
      <c r="Z6792">
        <v>4.813945E-3</v>
      </c>
      <c r="AA6792">
        <v>0.95812609999999998</v>
      </c>
      <c r="AB6792">
        <v>11</v>
      </c>
      <c r="AC6792">
        <v>2.10869999999999</v>
      </c>
      <c r="AD6792">
        <v>-0.56930899999999995</v>
      </c>
      <c r="AE6792">
        <v>-109.1828967</v>
      </c>
      <c r="AF6792">
        <v>-31.288263922558102</v>
      </c>
      <c r="AG6792">
        <v>-0.56930899999999995</v>
      </c>
      <c r="AH6792">
        <v>104.621928337973</v>
      </c>
      <c r="AI6792">
        <v>90.298705318449194</v>
      </c>
      <c r="AJ6792">
        <v>106.649835517932</v>
      </c>
      <c r="AK6792">
        <v>109.20177407524601</v>
      </c>
      <c r="AL6792">
        <v>90.400038420469599</v>
      </c>
      <c r="AM6792">
        <v>94.035293840355394</v>
      </c>
      <c r="AN6792">
        <v>1.00000002215511</v>
      </c>
    </row>
    <row r="6793" spans="1:40" x14ac:dyDescent="0.25">
      <c r="A6793" t="str">
        <f>"20190312154059293"</f>
        <v>20190312154059293</v>
      </c>
      <c r="B6793" t="str">
        <f>"1552376459283268"</f>
        <v>1552376459283268</v>
      </c>
      <c r="C6793" t="s">
        <v>40</v>
      </c>
      <c r="D6793">
        <v>4.3549160000000002</v>
      </c>
      <c r="E6793">
        <v>0.41461239999999999</v>
      </c>
      <c r="F6793" t="s">
        <v>84</v>
      </c>
      <c r="G6793">
        <v>-418.44560000000001</v>
      </c>
      <c r="H6793">
        <v>0.47046310000000002</v>
      </c>
      <c r="I6793">
        <v>0.49319649999999998</v>
      </c>
      <c r="J6793">
        <v>-420.97640000000001</v>
      </c>
      <c r="K6793">
        <v>1.112576</v>
      </c>
      <c r="L6793">
        <v>109.5702</v>
      </c>
      <c r="M6793">
        <v>-0.2614686</v>
      </c>
      <c r="N6793">
        <v>0</v>
      </c>
      <c r="O6793">
        <v>-0.96511199999999997</v>
      </c>
      <c r="P6793">
        <v>-0.19428570000000001</v>
      </c>
      <c r="Q6793">
        <v>-2.1103690000000001E-2</v>
      </c>
      <c r="R6793">
        <v>-0.98071810000000004</v>
      </c>
      <c r="S6793">
        <v>7.0739750000000004E-2</v>
      </c>
      <c r="T6793">
        <v>-1.809347E-2</v>
      </c>
      <c r="U6793">
        <v>-3.076187</v>
      </c>
      <c r="V6793">
        <v>-6.8885769999999999E-2</v>
      </c>
      <c r="W6793">
        <v>-7.6192469999999896E-3</v>
      </c>
      <c r="X6793">
        <v>0.99759540000000002</v>
      </c>
      <c r="Y6793">
        <v>-0.28361429999999999</v>
      </c>
      <c r="Z6793">
        <v>5.4529160000000004E-3</v>
      </c>
      <c r="AA6793">
        <v>0.95892290000000002</v>
      </c>
      <c r="AB6793">
        <v>11</v>
      </c>
      <c r="AC6793">
        <v>2.5308000000000002</v>
      </c>
      <c r="AD6793">
        <v>-0.64211289999999999</v>
      </c>
      <c r="AE6793">
        <v>-109.07700349999899</v>
      </c>
      <c r="AF6793">
        <v>-30.9646326825908</v>
      </c>
      <c r="AG6793">
        <v>-0.64211289999999999</v>
      </c>
      <c r="AH6793">
        <v>104.616273059683</v>
      </c>
      <c r="AI6793">
        <v>90.337204988264205</v>
      </c>
      <c r="AJ6793">
        <v>106.487855285718</v>
      </c>
      <c r="AK6793">
        <v>109.104470004864</v>
      </c>
      <c r="AL6793">
        <v>90.436554945366495</v>
      </c>
      <c r="AM6793">
        <v>93.950107119514797</v>
      </c>
      <c r="AN6793">
        <v>0.99999994216724797</v>
      </c>
    </row>
    <row r="6794" spans="1:40" x14ac:dyDescent="0.25">
      <c r="A6794" t="str">
        <f>"20190312154059310"</f>
        <v>20190312154059310</v>
      </c>
      <c r="B6794" t="str">
        <f>"1552376459302789"</f>
        <v>1552376459302789</v>
      </c>
      <c r="C6794" t="s">
        <v>40</v>
      </c>
      <c r="D6794">
        <v>4.3671769999999999</v>
      </c>
      <c r="E6794">
        <v>0.42809520000000001</v>
      </c>
      <c r="F6794" t="s">
        <v>84</v>
      </c>
      <c r="G6794">
        <v>-417.98790000000002</v>
      </c>
      <c r="H6794">
        <v>0.41774470000000002</v>
      </c>
      <c r="I6794">
        <v>0.49785230000000003</v>
      </c>
      <c r="J6794">
        <v>-420.99200000000002</v>
      </c>
      <c r="K6794">
        <v>1.112565</v>
      </c>
      <c r="L6794">
        <v>109.488</v>
      </c>
      <c r="M6794">
        <v>-0.25621439999999901</v>
      </c>
      <c r="N6794">
        <v>0</v>
      </c>
      <c r="O6794">
        <v>-0.9665203</v>
      </c>
      <c r="P6794">
        <v>-0.18953390000000001</v>
      </c>
      <c r="Q6794">
        <v>-2.0948700000000001E-2</v>
      </c>
      <c r="R6794">
        <v>-0.98165089999999999</v>
      </c>
      <c r="S6794">
        <v>8.4259029999999999E-2</v>
      </c>
      <c r="T6794">
        <v>-1.9591089999999999E-2</v>
      </c>
      <c r="U6794">
        <v>-3.075256</v>
      </c>
      <c r="V6794">
        <v>-6.8292190000000003E-2</v>
      </c>
      <c r="W6794">
        <v>-7.4601550000000004E-3</v>
      </c>
      <c r="X6794">
        <v>0.99763749999999995</v>
      </c>
      <c r="Y6794">
        <v>-0.2826167</v>
      </c>
      <c r="Z6794">
        <v>5.9200569999999899E-3</v>
      </c>
      <c r="AA6794">
        <v>0.95921460000000003</v>
      </c>
      <c r="AB6794">
        <v>11</v>
      </c>
      <c r="AC6794">
        <v>3.00409999999993</v>
      </c>
      <c r="AD6794">
        <v>-0.69482029999999995</v>
      </c>
      <c r="AE6794">
        <v>-108.99014769999999</v>
      </c>
      <c r="AF6794">
        <v>-30.830087502730599</v>
      </c>
      <c r="AG6794">
        <v>-0.69482029999999995</v>
      </c>
      <c r="AH6794">
        <v>104.577326057647</v>
      </c>
      <c r="AI6794">
        <v>90.365136071106505</v>
      </c>
      <c r="AJ6794">
        <v>106.425865600126</v>
      </c>
      <c r="AK6794">
        <v>109.029327229158</v>
      </c>
      <c r="AL6794">
        <v>90.427439348344606</v>
      </c>
      <c r="AM6794">
        <v>93.916011165837304</v>
      </c>
      <c r="AN6794">
        <v>1.00000002926693</v>
      </c>
    </row>
    <row r="6795" spans="1:40" x14ac:dyDescent="0.25">
      <c r="A6795" t="str">
        <f>"20190312154059326"</f>
        <v>20190312154059326</v>
      </c>
      <c r="B6795" t="str">
        <f>"1552376459323284"</f>
        <v>1552376459323284</v>
      </c>
      <c r="C6795" t="s">
        <v>40</v>
      </c>
      <c r="D6795">
        <v>4.3462820000000004</v>
      </c>
      <c r="E6795">
        <v>0.42861359999999898</v>
      </c>
      <c r="F6795" t="s">
        <v>69</v>
      </c>
      <c r="G6795">
        <v>-421.15190000000001</v>
      </c>
      <c r="H6795" s="1">
        <v>-6.3337839999999998E-6</v>
      </c>
      <c r="I6795">
        <v>28.289919999999999</v>
      </c>
      <c r="J6795">
        <v>-421.00619999999998</v>
      </c>
      <c r="K6795">
        <v>1.1125579999999999</v>
      </c>
      <c r="L6795">
        <v>109.41079999999999</v>
      </c>
      <c r="M6795">
        <v>-0.25126549999999997</v>
      </c>
      <c r="N6795">
        <v>0</v>
      </c>
      <c r="O6795">
        <v>-0.96781870000000003</v>
      </c>
      <c r="P6795">
        <v>-0.18567059999999999</v>
      </c>
      <c r="Q6795">
        <v>-2.0180010000000002E-2</v>
      </c>
      <c r="R6795">
        <v>-0.98240490000000003</v>
      </c>
      <c r="S6795">
        <v>-6.0119630000000004E-3</v>
      </c>
      <c r="T6795">
        <v>-4.184616E-2</v>
      </c>
      <c r="U6795">
        <v>-3.0540310000000002</v>
      </c>
      <c r="V6795">
        <v>-6.7120830000000006E-2</v>
      </c>
      <c r="W6795">
        <v>-6.6842660000000003E-3</v>
      </c>
      <c r="X6795">
        <v>0.99772240000000001</v>
      </c>
      <c r="Y6795">
        <v>-0.24938370000000001</v>
      </c>
      <c r="Z6795">
        <v>1.2824840000000001E-2</v>
      </c>
      <c r="AA6795">
        <v>0.96831979999999995</v>
      </c>
      <c r="AB6795">
        <v>11</v>
      </c>
      <c r="AC6795">
        <v>-0.145700000000033</v>
      </c>
      <c r="AD6795">
        <v>-1.1125643337840001</v>
      </c>
      <c r="AE6795">
        <v>-81.12088</v>
      </c>
      <c r="AF6795">
        <v>-20.2400098884744</v>
      </c>
      <c r="AG6795">
        <v>-1.1125643337840001</v>
      </c>
      <c r="AH6795">
        <v>78.539706516461294</v>
      </c>
      <c r="AI6795">
        <v>90.785902836407303</v>
      </c>
      <c r="AJ6795">
        <v>104.45093524210699</v>
      </c>
      <c r="AK6795">
        <v>81.113385451318905</v>
      </c>
      <c r="AL6795">
        <v>90.382983107267094</v>
      </c>
      <c r="AM6795">
        <v>93.848720143458493</v>
      </c>
      <c r="AN6795">
        <v>0.99999993634680096</v>
      </c>
    </row>
    <row r="6796" spans="1:40" x14ac:dyDescent="0.25">
      <c r="A6796" t="str">
        <f>"20190312154059349"</f>
        <v>20190312154059349</v>
      </c>
      <c r="B6796" t="str">
        <f>"1552376459342808"</f>
        <v>1552376459342808</v>
      </c>
      <c r="C6796" t="s">
        <v>40</v>
      </c>
      <c r="D6796">
        <v>4.3084100000000003</v>
      </c>
      <c r="E6796">
        <v>0.42906250000000001</v>
      </c>
      <c r="F6796" t="s">
        <v>69</v>
      </c>
      <c r="G6796">
        <v>-420.94569999999999</v>
      </c>
      <c r="H6796" s="1">
        <v>-1.0828979999999999E-5</v>
      </c>
      <c r="I6796">
        <v>19.097390000000001</v>
      </c>
      <c r="J6796">
        <v>-421.02569999999997</v>
      </c>
      <c r="K6796">
        <v>1.1125430000000001</v>
      </c>
      <c r="L6796">
        <v>109.30110000000001</v>
      </c>
      <c r="M6796">
        <v>-0.24419260000000001</v>
      </c>
      <c r="N6796">
        <v>0</v>
      </c>
      <c r="O6796">
        <v>-0.96962740000000003</v>
      </c>
      <c r="P6796">
        <v>-0.17996799999999999</v>
      </c>
      <c r="Q6796">
        <v>-2.0030260000000001E-2</v>
      </c>
      <c r="R6796">
        <v>-0.98346880000000003</v>
      </c>
      <c r="S6796">
        <v>2.0446779999999999E-3</v>
      </c>
      <c r="T6796">
        <v>-3.7613870000000001E-2</v>
      </c>
      <c r="U6796">
        <v>-3.0533290000000002</v>
      </c>
      <c r="V6796">
        <v>-6.5626489999999996E-2</v>
      </c>
      <c r="W6796">
        <v>-6.5264809999999998E-3</v>
      </c>
      <c r="X6796">
        <v>0.99782289999999996</v>
      </c>
      <c r="Y6796">
        <v>-0.24486520000000001</v>
      </c>
      <c r="Z6796">
        <v>1.1571059999999999E-2</v>
      </c>
      <c r="AA6796">
        <v>0.96948809999999996</v>
      </c>
      <c r="AB6796">
        <v>11</v>
      </c>
      <c r="AC6796">
        <v>7.9999999999984001E-2</v>
      </c>
      <c r="AD6796">
        <v>-1.1125538289799899</v>
      </c>
      <c r="AE6796">
        <v>-90.203710000000001</v>
      </c>
      <c r="AF6796">
        <v>-22.103416105358999</v>
      </c>
      <c r="AG6796">
        <v>-1.1125538289799899</v>
      </c>
      <c r="AH6796">
        <v>87.439577463287094</v>
      </c>
      <c r="AI6796">
        <v>90.706745623702304</v>
      </c>
      <c r="AJ6796">
        <v>104.18632867442101</v>
      </c>
      <c r="AK6796">
        <v>90.1968873437838</v>
      </c>
      <c r="AL6796">
        <v>90.373942476520796</v>
      </c>
      <c r="AM6796">
        <v>93.762905494589205</v>
      </c>
      <c r="AN6796">
        <v>0.999999985454186</v>
      </c>
    </row>
    <row r="6797" spans="1:40" x14ac:dyDescent="0.25">
      <c r="A6797" t="str">
        <f>"20190312154059371"</f>
        <v>20190312154059371</v>
      </c>
      <c r="B6797" t="str">
        <f>"1552376459363303"</f>
        <v>1552376459363303</v>
      </c>
      <c r="C6797" t="s">
        <v>40</v>
      </c>
      <c r="D6797">
        <v>4.3713150000000001</v>
      </c>
      <c r="E6797">
        <v>0.42937389999999998</v>
      </c>
      <c r="F6797" t="s">
        <v>69</v>
      </c>
      <c r="G6797">
        <v>-420.48169999999999</v>
      </c>
      <c r="H6797">
        <v>7.9986509999999997E-2</v>
      </c>
      <c r="I6797">
        <v>6.438923</v>
      </c>
      <c r="J6797">
        <v>-421.04340000000002</v>
      </c>
      <c r="K6797">
        <v>1.11253</v>
      </c>
      <c r="L6797">
        <v>109.1972</v>
      </c>
      <c r="M6797">
        <v>-0.2374703</v>
      </c>
      <c r="N6797">
        <v>0</v>
      </c>
      <c r="O6797">
        <v>-0.97129580000000004</v>
      </c>
      <c r="P6797">
        <v>-0.17423269999999999</v>
      </c>
      <c r="Q6797">
        <v>-2.0410629999999999E-2</v>
      </c>
      <c r="R6797">
        <v>-0.98449279999999995</v>
      </c>
      <c r="S6797">
        <v>1.61438E-2</v>
      </c>
      <c r="T6797">
        <v>-3.0644419999999999E-2</v>
      </c>
      <c r="U6797">
        <v>-3.052765</v>
      </c>
      <c r="V6797">
        <v>-6.4527180000000003E-2</v>
      </c>
      <c r="W6797">
        <v>-6.9019260000000001E-3</v>
      </c>
      <c r="X6797">
        <v>0.99789209999999995</v>
      </c>
      <c r="Y6797">
        <v>-0.24262629999999999</v>
      </c>
      <c r="Z6797">
        <v>9.4568459999999997E-3</v>
      </c>
      <c r="AA6797">
        <v>0.97007379999999999</v>
      </c>
      <c r="AB6797">
        <v>11</v>
      </c>
      <c r="AC6797">
        <v>0.56170000000002995</v>
      </c>
      <c r="AD6797">
        <v>-1.0325434899999999</v>
      </c>
      <c r="AE6797">
        <v>-102.75827700000001</v>
      </c>
      <c r="AF6797">
        <v>-24.947496275594499</v>
      </c>
      <c r="AG6797">
        <v>-1.0325434899999999</v>
      </c>
      <c r="AH6797">
        <v>99.674818581458794</v>
      </c>
      <c r="AI6797">
        <v>90.575753930283994</v>
      </c>
      <c r="AJ6797">
        <v>104.051819074505</v>
      </c>
      <c r="AK6797">
        <v>102.75462605511299</v>
      </c>
      <c r="AL6797">
        <v>90.395454362763203</v>
      </c>
      <c r="AM6797">
        <v>93.699793737427598</v>
      </c>
      <c r="AN6797">
        <v>1.0000000183918301</v>
      </c>
    </row>
    <row r="6798" spans="1:40" x14ac:dyDescent="0.25">
      <c r="A6798" t="str">
        <f>"20190312154059386"</f>
        <v>20190312154059386</v>
      </c>
      <c r="B6798" t="str">
        <f>"1552376459382820"</f>
        <v>1552376459382820</v>
      </c>
      <c r="C6798" t="s">
        <v>40</v>
      </c>
      <c r="D6798">
        <v>4.3091419999999996</v>
      </c>
      <c r="E6798">
        <v>0.42905589999999999</v>
      </c>
      <c r="F6798" t="s">
        <v>84</v>
      </c>
      <c r="G6798">
        <v>-419.95299999999997</v>
      </c>
      <c r="H6798">
        <v>0.12811410000000001</v>
      </c>
      <c r="I6798">
        <v>0.47786329999999999</v>
      </c>
      <c r="J6798">
        <v>-421.05489999999998</v>
      </c>
      <c r="K6798">
        <v>1.1125229999999999</v>
      </c>
      <c r="L6798">
        <v>109.1264</v>
      </c>
      <c r="M6798">
        <v>-0.23286390000000001</v>
      </c>
      <c r="N6798">
        <v>0</v>
      </c>
      <c r="O6798">
        <v>-0.97241040000000001</v>
      </c>
      <c r="P6798">
        <v>-0.17014119999999999</v>
      </c>
      <c r="Q6798">
        <v>-2.0610460000000001E-2</v>
      </c>
      <c r="R6798">
        <v>-0.98520430000000003</v>
      </c>
      <c r="S6798">
        <v>3.0609129999999998E-2</v>
      </c>
      <c r="T6798">
        <v>-2.7636290000000001E-2</v>
      </c>
      <c r="U6798">
        <v>-3.0520939999999999</v>
      </c>
      <c r="V6798">
        <v>-6.3940880000000005E-2</v>
      </c>
      <c r="W6798">
        <v>-7.0996030000000003E-3</v>
      </c>
      <c r="X6798">
        <v>0.99792840000000005</v>
      </c>
      <c r="Y6798">
        <v>-0.2426267</v>
      </c>
      <c r="Z6798">
        <v>8.5454150000000006E-3</v>
      </c>
      <c r="AA6798">
        <v>0.97008209999999995</v>
      </c>
      <c r="AB6798">
        <v>11</v>
      </c>
      <c r="AC6798">
        <v>1.1018999999999399</v>
      </c>
      <c r="AD6798">
        <v>-0.98440890000000003</v>
      </c>
      <c r="AE6798">
        <v>-108.64853669999999</v>
      </c>
      <c r="AF6798">
        <v>-26.372193842637898</v>
      </c>
      <c r="AG6798">
        <v>-0.98440890000000003</v>
      </c>
      <c r="AH6798">
        <v>105.39586433741</v>
      </c>
      <c r="AI6798">
        <v>90.519129502714904</v>
      </c>
      <c r="AJ6798">
        <v>104.048127255927</v>
      </c>
      <c r="AK6798">
        <v>108.649665845717</v>
      </c>
      <c r="AL6798">
        <v>90.406780719246697</v>
      </c>
      <c r="AM6798">
        <v>93.666136173188903</v>
      </c>
      <c r="AN6798">
        <v>0.99999996601224495</v>
      </c>
    </row>
    <row r="6799" spans="1:40" x14ac:dyDescent="0.25">
      <c r="A6799" t="str">
        <f>"20190312154059405"</f>
        <v>20190312154059405</v>
      </c>
      <c r="B6799" t="str">
        <f>"1552376459393557"</f>
        <v>1552376459393557</v>
      </c>
      <c r="C6799" t="s">
        <v>40</v>
      </c>
      <c r="D6799">
        <v>4.3329110000000002</v>
      </c>
      <c r="E6799">
        <v>0.41475780000000001</v>
      </c>
      <c r="F6799" t="s">
        <v>84</v>
      </c>
      <c r="G6799">
        <v>-419.40719999999999</v>
      </c>
      <c r="H6799">
        <v>0.140533399999999</v>
      </c>
      <c r="I6799">
        <v>0.4834137</v>
      </c>
      <c r="J6799">
        <v>-421.06880000000001</v>
      </c>
      <c r="K6799">
        <v>1.112522</v>
      </c>
      <c r="L6799">
        <v>109.03830000000001</v>
      </c>
      <c r="M6799">
        <v>-0.22711899999999999</v>
      </c>
      <c r="N6799">
        <v>0</v>
      </c>
      <c r="O6799">
        <v>-0.97376839999999998</v>
      </c>
      <c r="P6799">
        <v>-0.16467029999999999</v>
      </c>
      <c r="Q6799">
        <v>-1.9206580000000001E-2</v>
      </c>
      <c r="R6799">
        <v>-0.98616210000000004</v>
      </c>
      <c r="S6799">
        <v>4.6295169999999997E-2</v>
      </c>
      <c r="T6799">
        <v>-2.731049E-2</v>
      </c>
      <c r="U6799">
        <v>-3.052505</v>
      </c>
      <c r="V6799">
        <v>-6.3602629999999993E-2</v>
      </c>
      <c r="W6799">
        <v>-5.6952510000000001E-3</v>
      </c>
      <c r="X6799">
        <v>0.99795909999999999</v>
      </c>
      <c r="Y6799">
        <v>-0.24188219999999999</v>
      </c>
      <c r="Z6799">
        <v>8.4622650000000001E-3</v>
      </c>
      <c r="AA6799">
        <v>0.97026869999999998</v>
      </c>
      <c r="AB6799">
        <v>11</v>
      </c>
      <c r="AC6799">
        <v>1.6616000000000199</v>
      </c>
      <c r="AD6799">
        <v>-0.97198859999999998</v>
      </c>
      <c r="AE6799">
        <v>-108.554886299999</v>
      </c>
      <c r="AF6799">
        <v>-26.2733082891137</v>
      </c>
      <c r="AG6799">
        <v>-0.97198859999999998</v>
      </c>
      <c r="AH6799">
        <v>105.331610778471</v>
      </c>
      <c r="AI6799">
        <v>90.512987474690206</v>
      </c>
      <c r="AJ6799">
        <v>104.005729531451</v>
      </c>
      <c r="AK6799">
        <v>108.563252159654</v>
      </c>
      <c r="AL6799">
        <v>90.326315594025402</v>
      </c>
      <c r="AM6799">
        <v>93.646682747367905</v>
      </c>
      <c r="AN6799">
        <v>1.0000000478498301</v>
      </c>
    </row>
    <row r="6800" spans="1:40" x14ac:dyDescent="0.25">
      <c r="A6800" t="str">
        <f>"20190312154059428"</f>
        <v>20190312154059428</v>
      </c>
      <c r="B6800" t="str">
        <f>"1552376459422836"</f>
        <v>1552376459422836</v>
      </c>
      <c r="C6800" t="s">
        <v>40</v>
      </c>
      <c r="D6800">
        <v>4.3645480000000001</v>
      </c>
      <c r="E6800">
        <v>0.41423409999999999</v>
      </c>
      <c r="F6800" t="s">
        <v>42</v>
      </c>
      <c r="G6800">
        <v>-417.90260000000001</v>
      </c>
      <c r="H6800" s="1">
        <v>-2.3023399999999998E-6</v>
      </c>
      <c r="I6800">
        <v>54.132339999999999</v>
      </c>
      <c r="J6800">
        <v>-421.08519999999999</v>
      </c>
      <c r="K6800">
        <v>1.1125179999999999</v>
      </c>
      <c r="L6800">
        <v>108.9295</v>
      </c>
      <c r="M6800">
        <v>-0.22000169999999999</v>
      </c>
      <c r="N6800">
        <v>0</v>
      </c>
      <c r="O6800">
        <v>-0.97540090000000002</v>
      </c>
      <c r="P6800">
        <v>-0.15870890000000001</v>
      </c>
      <c r="Q6800">
        <v>-1.776529E-2</v>
      </c>
      <c r="R6800">
        <v>-0.98716579999999998</v>
      </c>
      <c r="S6800">
        <v>0.177063</v>
      </c>
      <c r="T6800">
        <v>-6.2214609999999997E-2</v>
      </c>
      <c r="U6800">
        <v>-3.0704500000000001</v>
      </c>
      <c r="V6800">
        <v>-6.235864E-2</v>
      </c>
      <c r="W6800">
        <v>-4.2486370000000004E-3</v>
      </c>
      <c r="X6800">
        <v>0.99804479999999995</v>
      </c>
      <c r="Y6800">
        <v>-0.27580660000000001</v>
      </c>
      <c r="Z6800">
        <v>1.9103269999999999E-2</v>
      </c>
      <c r="AA6800">
        <v>0.96102330000000002</v>
      </c>
      <c r="AB6800">
        <v>11</v>
      </c>
      <c r="AC6800">
        <v>3.1825999999999701</v>
      </c>
      <c r="AD6800">
        <v>-1.1125203023399901</v>
      </c>
      <c r="AE6800">
        <v>-54.797159999999998</v>
      </c>
      <c r="AF6800">
        <v>-15.155011580824301</v>
      </c>
      <c r="AG6800">
        <v>-1.1125203023399901</v>
      </c>
      <c r="AH6800">
        <v>52.7324324538192</v>
      </c>
      <c r="AI6800">
        <v>91.161609444026695</v>
      </c>
      <c r="AJ6800">
        <v>106.03436045655999</v>
      </c>
      <c r="AK6800">
        <v>54.878242591528497</v>
      </c>
      <c r="AL6800">
        <v>90.243429692170494</v>
      </c>
      <c r="AM6800">
        <v>93.575238715867599</v>
      </c>
      <c r="AN6800">
        <v>1.00000003685302</v>
      </c>
    </row>
    <row r="6801" spans="1:40" x14ac:dyDescent="0.25">
      <c r="A6801" t="str">
        <f>"20190312154059450"</f>
        <v>20190312154059450</v>
      </c>
      <c r="B6801" t="str">
        <f>"1552376459443335"</f>
        <v>1552376459443335</v>
      </c>
      <c r="C6801" t="s">
        <v>40</v>
      </c>
      <c r="D6801">
        <v>4.3545170000000004</v>
      </c>
      <c r="E6801">
        <v>0.4149294</v>
      </c>
      <c r="F6801" t="s">
        <v>42</v>
      </c>
      <c r="G6801">
        <v>-418.2491</v>
      </c>
      <c r="H6801" s="1">
        <v>-2.8358739999999999E-6</v>
      </c>
      <c r="I6801">
        <v>65.519289999999998</v>
      </c>
      <c r="J6801">
        <v>-421.1</v>
      </c>
      <c r="K6801">
        <v>1.1125050000000001</v>
      </c>
      <c r="L6801">
        <v>108.8263</v>
      </c>
      <c r="M6801">
        <v>-0.21323059999999999</v>
      </c>
      <c r="N6801">
        <v>0</v>
      </c>
      <c r="O6801">
        <v>-0.97690359999999998</v>
      </c>
      <c r="P6801">
        <v>-0.15473410000000001</v>
      </c>
      <c r="Q6801">
        <v>-1.739945E-2</v>
      </c>
      <c r="R6801">
        <v>-0.98780299999999999</v>
      </c>
      <c r="S6801">
        <v>0.2005615</v>
      </c>
      <c r="T6801">
        <v>-7.8673720000000003E-2</v>
      </c>
      <c r="U6801">
        <v>-3.0698240000000001</v>
      </c>
      <c r="V6801">
        <v>-5.94564E-2</v>
      </c>
      <c r="W6801">
        <v>-3.8679869999999998E-3</v>
      </c>
      <c r="X6801">
        <v>0.99822339999999998</v>
      </c>
      <c r="Y6801">
        <v>-0.27647110000000003</v>
      </c>
      <c r="Z6801">
        <v>2.42086E-2</v>
      </c>
      <c r="AA6801">
        <v>0.9607173</v>
      </c>
      <c r="AB6801">
        <v>11</v>
      </c>
      <c r="AC6801">
        <v>2.8509000000000202</v>
      </c>
      <c r="AD6801">
        <v>-1.1125078358739999</v>
      </c>
      <c r="AE6801">
        <v>-43.307009999999998</v>
      </c>
      <c r="AF6801">
        <v>-12.012695453388901</v>
      </c>
      <c r="AG6801">
        <v>-1.1125078358739999</v>
      </c>
      <c r="AH6801">
        <v>41.675496207055303</v>
      </c>
      <c r="AI6801">
        <v>91.469327364977005</v>
      </c>
      <c r="AJ6801">
        <v>106.079288450295</v>
      </c>
      <c r="AK6801">
        <v>43.386512994766399</v>
      </c>
      <c r="AL6801">
        <v>90.221619885025703</v>
      </c>
      <c r="AM6801">
        <v>93.408636637570893</v>
      </c>
      <c r="AN6801">
        <v>0.99999999056597599</v>
      </c>
    </row>
    <row r="6802" spans="1:40" x14ac:dyDescent="0.25">
      <c r="A6802" t="str">
        <f>"20190312154059472"</f>
        <v>20190312154059472</v>
      </c>
      <c r="B6802" t="str">
        <f>"1552376459462852"</f>
        <v>1552376459462852</v>
      </c>
      <c r="C6802" t="s">
        <v>40</v>
      </c>
      <c r="D6802">
        <v>4.3532299999999999</v>
      </c>
      <c r="E6802">
        <v>0.41588750000000002</v>
      </c>
      <c r="F6802" t="s">
        <v>42</v>
      </c>
      <c r="G6802">
        <v>-418.18009999999998</v>
      </c>
      <c r="H6802" s="1">
        <v>-2.9091109999999999E-6</v>
      </c>
      <c r="I6802">
        <v>65.661479999999997</v>
      </c>
      <c r="J6802">
        <v>-421.11430000000001</v>
      </c>
      <c r="K6802">
        <v>1.112479</v>
      </c>
      <c r="L6802">
        <v>108.7221</v>
      </c>
      <c r="M6802">
        <v>-0.20637929999999999</v>
      </c>
      <c r="N6802">
        <v>0</v>
      </c>
      <c r="O6802">
        <v>-0.97837399999999997</v>
      </c>
      <c r="P6802">
        <v>-0.15131310000000001</v>
      </c>
      <c r="Q6802">
        <v>-1.7826459999999999E-2</v>
      </c>
      <c r="R6802">
        <v>-0.98832520000000001</v>
      </c>
      <c r="S6802">
        <v>0.20755000000000001</v>
      </c>
      <c r="T6802">
        <v>-7.9077599999999998E-2</v>
      </c>
      <c r="U6802">
        <v>-3.0681759999999998</v>
      </c>
      <c r="V6802">
        <v>-5.5913150000000002E-2</v>
      </c>
      <c r="W6802">
        <v>-4.2773530000000002E-3</v>
      </c>
      <c r="X6802">
        <v>0.99842649999999999</v>
      </c>
      <c r="Y6802">
        <v>-0.271945099999999</v>
      </c>
      <c r="Z6802">
        <v>2.4417479999999998E-2</v>
      </c>
      <c r="AA6802">
        <v>0.96200289999999999</v>
      </c>
      <c r="AB6802">
        <v>11</v>
      </c>
      <c r="AC6802">
        <v>2.9342000000000299</v>
      </c>
      <c r="AD6802">
        <v>-1.1124819091110001</v>
      </c>
      <c r="AE6802">
        <v>-43.060619999999901</v>
      </c>
      <c r="AF6802">
        <v>-11.7508869091949</v>
      </c>
      <c r="AG6802">
        <v>-1.1124819091110001</v>
      </c>
      <c r="AH6802">
        <v>41.500245948871701</v>
      </c>
      <c r="AI6802">
        <v>91.477479771713703</v>
      </c>
      <c r="AJ6802">
        <v>105.809587777837</v>
      </c>
      <c r="AK6802">
        <v>43.146162899702098</v>
      </c>
      <c r="AL6802">
        <v>90.245075015325398</v>
      </c>
      <c r="AM6802">
        <v>93.205288354660595</v>
      </c>
      <c r="AN6802">
        <v>1.00000002599692</v>
      </c>
    </row>
    <row r="6803" spans="1:40" x14ac:dyDescent="0.25">
      <c r="A6803" t="str">
        <f>"20190312154059494"</f>
        <v>20190312154059494</v>
      </c>
      <c r="B6803" t="str">
        <f>"1552376459483348"</f>
        <v>1552376459483348</v>
      </c>
      <c r="C6803" t="s">
        <v>40</v>
      </c>
      <c r="D6803">
        <v>4.320722</v>
      </c>
      <c r="E6803">
        <v>0.41698360000000001</v>
      </c>
      <c r="F6803" t="s">
        <v>42</v>
      </c>
      <c r="G6803">
        <v>-418.21679999999998</v>
      </c>
      <c r="H6803" s="1">
        <v>-3.3146929999999998E-6</v>
      </c>
      <c r="I6803">
        <v>66.62209</v>
      </c>
      <c r="J6803">
        <v>-421.12759999999997</v>
      </c>
      <c r="K6803">
        <v>1.1124559999999999</v>
      </c>
      <c r="L6803">
        <v>108.6183</v>
      </c>
      <c r="M6803">
        <v>-0.19955429999999999</v>
      </c>
      <c r="N6803">
        <v>0</v>
      </c>
      <c r="O6803">
        <v>-0.97978900000000002</v>
      </c>
      <c r="P6803">
        <v>-0.14799670000000001</v>
      </c>
      <c r="Q6803">
        <v>-1.8086339999999999E-2</v>
      </c>
      <c r="R6803">
        <v>-0.98882289999999995</v>
      </c>
      <c r="S6803">
        <v>0.2110291</v>
      </c>
      <c r="T6803">
        <v>-8.1025840000000002E-2</v>
      </c>
      <c r="U6803">
        <v>-3.066284</v>
      </c>
      <c r="V6803">
        <v>-5.230067E-2</v>
      </c>
      <c r="W6803">
        <v>-4.5201759999999999E-3</v>
      </c>
      <c r="X6803">
        <v>0.99862119999999999</v>
      </c>
      <c r="Y6803">
        <v>-0.26635789999999998</v>
      </c>
      <c r="Z6803">
        <v>2.510983E-2</v>
      </c>
      <c r="AA6803">
        <v>0.96354709999999999</v>
      </c>
      <c r="AB6803">
        <v>11</v>
      </c>
      <c r="AC6803">
        <v>2.9107999999999898</v>
      </c>
      <c r="AD6803">
        <v>-1.112459314693</v>
      </c>
      <c r="AE6803">
        <v>-41.996209999999998</v>
      </c>
      <c r="AF6803">
        <v>-11.225730946942599</v>
      </c>
      <c r="AG6803">
        <v>-1.112459314693</v>
      </c>
      <c r="AH6803">
        <v>40.542136531872004</v>
      </c>
      <c r="AI6803">
        <v>91.5148092999504</v>
      </c>
      <c r="AJ6803">
        <v>105.476902592576</v>
      </c>
      <c r="AK6803">
        <v>42.082293611315301</v>
      </c>
      <c r="AL6803">
        <v>90.258987877337006</v>
      </c>
      <c r="AM6803">
        <v>92.998005990508105</v>
      </c>
      <c r="AN6803">
        <v>1.00000004658147</v>
      </c>
    </row>
    <row r="6804" spans="1:40" x14ac:dyDescent="0.25">
      <c r="A6804" t="str">
        <f>"20190312154059508"</f>
        <v>20190312154059508</v>
      </c>
      <c r="B6804" t="str">
        <f>"1552376459502869"</f>
        <v>1552376459502869</v>
      </c>
      <c r="C6804" t="s">
        <v>40</v>
      </c>
      <c r="D6804">
        <v>4.3141439999999998</v>
      </c>
      <c r="E6804">
        <v>0.41762579999999999</v>
      </c>
      <c r="F6804" t="s">
        <v>42</v>
      </c>
      <c r="G6804">
        <v>-418.35329999999999</v>
      </c>
      <c r="H6804" s="1">
        <v>-4.1343740000000003E-6</v>
      </c>
      <c r="I6804">
        <v>68.589200000000005</v>
      </c>
      <c r="J6804">
        <v>-421.1361</v>
      </c>
      <c r="K6804">
        <v>1.1124430000000001</v>
      </c>
      <c r="L6804">
        <v>108.5491</v>
      </c>
      <c r="M6804">
        <v>-0.19499900000000001</v>
      </c>
      <c r="N6804">
        <v>0</v>
      </c>
      <c r="O6804">
        <v>-0.98070570000000001</v>
      </c>
      <c r="P6804">
        <v>-0.14477429999999999</v>
      </c>
      <c r="Q6804">
        <v>-1.8081509999999999E-2</v>
      </c>
      <c r="R6804">
        <v>-0.9892995</v>
      </c>
      <c r="S6804">
        <v>0.2123718</v>
      </c>
      <c r="T6804">
        <v>-8.5156560000000006E-2</v>
      </c>
      <c r="U6804">
        <v>-3.0641479999999999</v>
      </c>
      <c r="V6804">
        <v>-5.0913989999999999E-2</v>
      </c>
      <c r="W6804">
        <v>-4.5104780000000001E-3</v>
      </c>
      <c r="X6804">
        <v>0.99869289999999999</v>
      </c>
      <c r="Y6804">
        <v>-0.26234020000000002</v>
      </c>
      <c r="Z6804">
        <v>2.6460480000000001E-2</v>
      </c>
      <c r="AA6804">
        <v>0.96461260000000004</v>
      </c>
      <c r="AB6804">
        <v>11</v>
      </c>
      <c r="AC6804">
        <v>2.7827999999999999</v>
      </c>
      <c r="AD6804">
        <v>-1.1124471343739999</v>
      </c>
      <c r="AE6804">
        <v>-39.959899999999898</v>
      </c>
      <c r="AF6804">
        <v>-10.5141477817679</v>
      </c>
      <c r="AG6804">
        <v>-1.1124471343739999</v>
      </c>
      <c r="AH6804">
        <v>38.620176896578599</v>
      </c>
      <c r="AI6804">
        <v>91.592025830013696</v>
      </c>
      <c r="AJ6804">
        <v>105.22939321622501</v>
      </c>
      <c r="AK6804">
        <v>40.041265036542697</v>
      </c>
      <c r="AL6804">
        <v>90.258432217986297</v>
      </c>
      <c r="AM6804">
        <v>92.918448128692802</v>
      </c>
      <c r="AN6804">
        <v>1.0000000436499501</v>
      </c>
    </row>
    <row r="6805" spans="1:40" x14ac:dyDescent="0.25">
      <c r="A6805" t="str">
        <f>"20190312154059528"</f>
        <v>20190312154059528</v>
      </c>
      <c r="B6805" t="str">
        <f>"1552376459523363"</f>
        <v>1552376459523363</v>
      </c>
      <c r="C6805" t="s">
        <v>40</v>
      </c>
      <c r="D6805">
        <v>4.3331480000000004</v>
      </c>
      <c r="E6805">
        <v>0.41825329999999999</v>
      </c>
      <c r="F6805" t="s">
        <v>42</v>
      </c>
      <c r="G6805">
        <v>-418.37959999999998</v>
      </c>
      <c r="H6805" s="1">
        <v>-4.7670430000000001E-7</v>
      </c>
      <c r="I6805">
        <v>69.781930000000003</v>
      </c>
      <c r="J6805">
        <v>-421.1463</v>
      </c>
      <c r="K6805">
        <v>1.1124240000000001</v>
      </c>
      <c r="L6805">
        <v>108.4628</v>
      </c>
      <c r="M6805">
        <v>-0.18932109999999999</v>
      </c>
      <c r="N6805">
        <v>0</v>
      </c>
      <c r="O6805">
        <v>-0.98181779999999996</v>
      </c>
      <c r="P6805">
        <v>-0.1416655</v>
      </c>
      <c r="Q6805">
        <v>-1.716931E-2</v>
      </c>
      <c r="R6805">
        <v>-0.98976600000000003</v>
      </c>
      <c r="S6805">
        <v>0.21777340000000001</v>
      </c>
      <c r="T6805">
        <v>-8.7885740000000004E-2</v>
      </c>
      <c r="U6805">
        <v>-3.0626980000000001</v>
      </c>
      <c r="V6805">
        <v>-4.8281490000000003E-2</v>
      </c>
      <c r="W6805">
        <v>-3.5874510000000002E-3</v>
      </c>
      <c r="X6805">
        <v>0.99882729999999997</v>
      </c>
      <c r="Y6805">
        <v>-0.25847710000000002</v>
      </c>
      <c r="Z6805">
        <v>2.7381849999999999E-2</v>
      </c>
      <c r="AA6805">
        <v>0.96562919999999997</v>
      </c>
      <c r="AB6805">
        <v>11</v>
      </c>
      <c r="AC6805">
        <v>2.7667000000000099</v>
      </c>
      <c r="AD6805">
        <v>-1.1124244767042999</v>
      </c>
      <c r="AE6805">
        <v>-38.680869999999999</v>
      </c>
      <c r="AF6805">
        <v>-10.032205501262901</v>
      </c>
      <c r="AG6805">
        <v>-1.1124244767042999</v>
      </c>
      <c r="AH6805">
        <v>37.426558227152498</v>
      </c>
      <c r="AI6805">
        <v>91.6444731398324</v>
      </c>
      <c r="AJ6805">
        <v>105.005412468096</v>
      </c>
      <c r="AK6805">
        <v>38.763770406996997</v>
      </c>
      <c r="AL6805">
        <v>90.205546247816997</v>
      </c>
      <c r="AM6805">
        <v>92.767419394208304</v>
      </c>
      <c r="AN6805">
        <v>0.99999997365329296</v>
      </c>
    </row>
    <row r="6806" spans="1:40" x14ac:dyDescent="0.25">
      <c r="A6806" t="str">
        <f>"20190312154059550"</f>
        <v>20190312154059550</v>
      </c>
      <c r="B6806" t="str">
        <f>"1552376459542884"</f>
        <v>1552376459542884</v>
      </c>
      <c r="C6806" t="s">
        <v>40</v>
      </c>
      <c r="D6806">
        <v>4.3078370000000001</v>
      </c>
      <c r="E6806">
        <v>0.4186628</v>
      </c>
      <c r="F6806" t="s">
        <v>42</v>
      </c>
      <c r="G6806">
        <v>-418.2525</v>
      </c>
      <c r="H6806" s="1">
        <v>-4.1465860000000003E-6</v>
      </c>
      <c r="I6806">
        <v>68.575990000000004</v>
      </c>
      <c r="J6806">
        <v>-421.15820000000002</v>
      </c>
      <c r="K6806">
        <v>1.112403</v>
      </c>
      <c r="L6806">
        <v>108.3561</v>
      </c>
      <c r="M6806">
        <v>-0.18230769999999999</v>
      </c>
      <c r="N6806">
        <v>0</v>
      </c>
      <c r="O6806">
        <v>-0.98314460000000004</v>
      </c>
      <c r="P6806">
        <v>-0.1368934</v>
      </c>
      <c r="Q6806">
        <v>-1.7254229999999999E-2</v>
      </c>
      <c r="R6806">
        <v>-0.99043579999999998</v>
      </c>
      <c r="S6806">
        <v>0.2221069</v>
      </c>
      <c r="T6806">
        <v>-8.5379720000000006E-2</v>
      </c>
      <c r="U6806">
        <v>-3.06134</v>
      </c>
      <c r="V6806">
        <v>-4.5965199999999998E-2</v>
      </c>
      <c r="W6806">
        <v>-3.6654309999999998E-3</v>
      </c>
      <c r="X6806">
        <v>0.9989363</v>
      </c>
      <c r="Y6806">
        <v>-0.25296879999999999</v>
      </c>
      <c r="Z6806">
        <v>2.6687929999999999E-2</v>
      </c>
      <c r="AA6806">
        <v>0.96710629999999997</v>
      </c>
      <c r="AB6806">
        <v>11</v>
      </c>
      <c r="AC6806">
        <v>2.9057000000000199</v>
      </c>
      <c r="AD6806">
        <v>-1.1124071465859999</v>
      </c>
      <c r="AE6806">
        <v>-39.780109999999901</v>
      </c>
      <c r="AF6806">
        <v>-10.102049458707301</v>
      </c>
      <c r="AG6806">
        <v>-1.1124071465859999</v>
      </c>
      <c r="AH6806">
        <v>38.553557891591801</v>
      </c>
      <c r="AI6806">
        <v>91.598784262893005</v>
      </c>
      <c r="AJ6806">
        <v>104.682914196032</v>
      </c>
      <c r="AK6806">
        <v>39.870611721244799</v>
      </c>
      <c r="AL6806">
        <v>90.210014200191097</v>
      </c>
      <c r="AM6806">
        <v>92.6345579846069</v>
      </c>
      <c r="AN6806">
        <v>0.99999998322657202</v>
      </c>
    </row>
    <row r="6807" spans="1:40" x14ac:dyDescent="0.25">
      <c r="A6807" t="str">
        <f>"20190312154059565"</f>
        <v>20190312154059565</v>
      </c>
      <c r="B6807" t="str">
        <f>"1552376459552644"</f>
        <v>1552376459552644</v>
      </c>
      <c r="C6807" t="s">
        <v>40</v>
      </c>
      <c r="D6807">
        <v>4.304411</v>
      </c>
      <c r="E6807">
        <v>0.41895480000000002</v>
      </c>
      <c r="F6807" t="s">
        <v>42</v>
      </c>
      <c r="G6807">
        <v>-418.14620000000002</v>
      </c>
      <c r="H6807" s="1">
        <v>-4.3113310000000003E-6</v>
      </c>
      <c r="I6807">
        <v>68.916089999999997</v>
      </c>
      <c r="J6807">
        <v>-421.16570000000002</v>
      </c>
      <c r="K6807">
        <v>1.112385</v>
      </c>
      <c r="L6807">
        <v>108.28530000000001</v>
      </c>
      <c r="M6807">
        <v>-0.1776578</v>
      </c>
      <c r="N6807">
        <v>0</v>
      </c>
      <c r="O6807">
        <v>-0.98399550000000002</v>
      </c>
      <c r="P6807">
        <v>-0.13311679999999901</v>
      </c>
      <c r="Q6807">
        <v>-1.7400430000000001E-2</v>
      </c>
      <c r="R6807">
        <v>-0.99094780000000005</v>
      </c>
      <c r="S6807">
        <v>0.23367309999999999</v>
      </c>
      <c r="T6807">
        <v>-8.6301329999999996E-2</v>
      </c>
      <c r="U6807">
        <v>-3.0597840000000001</v>
      </c>
      <c r="V6807">
        <v>-4.5049649999999997E-2</v>
      </c>
      <c r="W6807">
        <v>-3.8109620000000002E-3</v>
      </c>
      <c r="X6807">
        <v>0.99897749999999996</v>
      </c>
      <c r="Y6807">
        <v>-0.2520654</v>
      </c>
      <c r="Z6807">
        <v>2.7024969999999999E-2</v>
      </c>
      <c r="AA6807">
        <v>0.96733279999999999</v>
      </c>
      <c r="AB6807">
        <v>11</v>
      </c>
      <c r="AC6807">
        <v>3.0194999999999901</v>
      </c>
      <c r="AD6807">
        <v>-1.1123893113309999</v>
      </c>
      <c r="AE6807">
        <v>-39.369210000000002</v>
      </c>
      <c r="AF6807">
        <v>-9.9584673261908208</v>
      </c>
      <c r="AG6807">
        <v>-1.1123893113309999</v>
      </c>
      <c r="AH6807">
        <v>38.176028186367702</v>
      </c>
      <c r="AI6807">
        <v>91.615022759504996</v>
      </c>
      <c r="AJ6807">
        <v>104.62017623488001</v>
      </c>
      <c r="AK6807">
        <v>39.469198238032597</v>
      </c>
      <c r="AL6807">
        <v>90.2183525626685</v>
      </c>
      <c r="AM6807">
        <v>92.582047386281104</v>
      </c>
      <c r="AN6807">
        <v>1.0000000199513599</v>
      </c>
    </row>
    <row r="6808" spans="1:40" x14ac:dyDescent="0.25">
      <c r="A6808" t="str">
        <f>"20190312154059583"</f>
        <v>20190312154059583</v>
      </c>
      <c r="B6808" t="str">
        <f>"1552376459573141"</f>
        <v>1552376459573141</v>
      </c>
      <c r="C6808" t="s">
        <v>40</v>
      </c>
      <c r="D6808">
        <v>4.3166089999999997</v>
      </c>
      <c r="E6808">
        <v>0.41950470000000001</v>
      </c>
      <c r="F6808" t="s">
        <v>42</v>
      </c>
      <c r="G6808">
        <v>-418.05270000000002</v>
      </c>
      <c r="H6808" s="1">
        <v>-4.4342580000000002E-6</v>
      </c>
      <c r="I6808">
        <v>69.163960000000003</v>
      </c>
      <c r="J6808">
        <v>-421.17430000000002</v>
      </c>
      <c r="K6808">
        <v>1.1123540000000001</v>
      </c>
      <c r="L6808">
        <v>108.1998</v>
      </c>
      <c r="M6808">
        <v>-0.17206070000000001</v>
      </c>
      <c r="N6808">
        <v>0</v>
      </c>
      <c r="O6808">
        <v>-0.98498960000000002</v>
      </c>
      <c r="P6808">
        <v>-0.13043009999999999</v>
      </c>
      <c r="Q6808">
        <v>-1.828347E-2</v>
      </c>
      <c r="R6808">
        <v>-0.99128930000000004</v>
      </c>
      <c r="S6808">
        <v>0.2433777</v>
      </c>
      <c r="T6808">
        <v>-8.6968779999999996E-2</v>
      </c>
      <c r="U6808">
        <v>-3.0585779999999998</v>
      </c>
      <c r="V6808">
        <v>-4.207164E-2</v>
      </c>
      <c r="W6808">
        <v>-4.6836650000000001E-3</v>
      </c>
      <c r="X6808">
        <v>0.99910359999999998</v>
      </c>
      <c r="Y6808">
        <v>-0.24964210000000001</v>
      </c>
      <c r="Z6808">
        <v>2.7292460000000001E-2</v>
      </c>
      <c r="AA6808">
        <v>0.96795350000000002</v>
      </c>
      <c r="AB6808">
        <v>11</v>
      </c>
      <c r="AC6808">
        <v>3.1215999999999999</v>
      </c>
      <c r="AD6808">
        <v>-1.112358434258</v>
      </c>
      <c r="AE6808">
        <v>-39.035839999999901</v>
      </c>
      <c r="AF6808">
        <v>-9.7843162513032702</v>
      </c>
      <c r="AG6808">
        <v>-1.112358434258</v>
      </c>
      <c r="AH6808">
        <v>37.885837140332697</v>
      </c>
      <c r="AI6808">
        <v>91.628369579456901</v>
      </c>
      <c r="AJ6808">
        <v>104.480681171887</v>
      </c>
      <c r="AK6808">
        <v>39.144691103846903</v>
      </c>
      <c r="AL6808">
        <v>90.268355223243404</v>
      </c>
      <c r="AM6808">
        <v>92.411265598843201</v>
      </c>
      <c r="AN6808">
        <v>0.99999998157154002</v>
      </c>
    </row>
    <row r="6809" spans="1:40" x14ac:dyDescent="0.25">
      <c r="A6809" t="str">
        <f>"20190312154059606"</f>
        <v>20190312154059606</v>
      </c>
      <c r="B6809" t="str">
        <f>"1552376459603396"</f>
        <v>1552376459603396</v>
      </c>
      <c r="C6809" t="s">
        <v>40</v>
      </c>
      <c r="D6809">
        <v>4.3403080000000003</v>
      </c>
      <c r="E6809">
        <v>0.42010140000000001</v>
      </c>
      <c r="F6809" t="s">
        <v>42</v>
      </c>
      <c r="G6809">
        <v>-418.03949999999998</v>
      </c>
      <c r="H6809" s="1">
        <v>-4.5504980000000003E-6</v>
      </c>
      <c r="I6809">
        <v>69.429469999999995</v>
      </c>
      <c r="J6809">
        <v>-421.1841</v>
      </c>
      <c r="K6809">
        <v>1.112328</v>
      </c>
      <c r="L6809">
        <v>108.09569999999999</v>
      </c>
      <c r="M6809">
        <v>-0.16527049999999999</v>
      </c>
      <c r="N6809">
        <v>0</v>
      </c>
      <c r="O6809">
        <v>-0.98615189999999997</v>
      </c>
      <c r="P6809">
        <v>-0.12437520000000001</v>
      </c>
      <c r="Q6809">
        <v>-1.8873310000000001E-2</v>
      </c>
      <c r="R6809">
        <v>-0.99205600000000005</v>
      </c>
      <c r="S6809">
        <v>0.24719240000000001</v>
      </c>
      <c r="T6809">
        <v>-8.7715860000000007E-2</v>
      </c>
      <c r="U6809">
        <v>-3.0572659999999998</v>
      </c>
      <c r="V6809">
        <v>-4.1284479999999998E-2</v>
      </c>
      <c r="W6809">
        <v>-5.2771329999999998E-3</v>
      </c>
      <c r="X6809">
        <v>0.99913350000000001</v>
      </c>
      <c r="Y6809">
        <v>-0.244199</v>
      </c>
      <c r="Z6809">
        <v>2.7607030000000001E-2</v>
      </c>
      <c r="AA6809">
        <v>0.96933210000000003</v>
      </c>
      <c r="AB6809">
        <v>11</v>
      </c>
      <c r="AC6809">
        <v>3.14460000000002</v>
      </c>
      <c r="AD6809">
        <v>-1.112332550498</v>
      </c>
      <c r="AE6809">
        <v>-38.666229999999999</v>
      </c>
      <c r="AF6809">
        <v>-9.4845451141388999</v>
      </c>
      <c r="AG6809">
        <v>-1.112332550498</v>
      </c>
      <c r="AH6809">
        <v>37.583742980742599</v>
      </c>
      <c r="AI6809">
        <v>91.643734566374505</v>
      </c>
      <c r="AJ6809">
        <v>104.16331016508801</v>
      </c>
      <c r="AK6809">
        <v>38.777978495114397</v>
      </c>
      <c r="AL6809">
        <v>90.302358851099996</v>
      </c>
      <c r="AM6809">
        <v>92.366131877936098</v>
      </c>
      <c r="AN6809">
        <v>1.0000000036218999</v>
      </c>
    </row>
    <row r="6810" spans="1:40" x14ac:dyDescent="0.25">
      <c r="A6810" t="str">
        <f>"20190312154059629"</f>
        <v>20190312154059629</v>
      </c>
      <c r="B6810" t="str">
        <f>"1552376459622916"</f>
        <v>1552376459622916</v>
      </c>
      <c r="C6810" t="s">
        <v>40</v>
      </c>
      <c r="D6810">
        <v>4.3710250000000004</v>
      </c>
      <c r="E6810">
        <v>0.4271856</v>
      </c>
      <c r="F6810" t="s">
        <v>42</v>
      </c>
      <c r="G6810">
        <v>-417.9212</v>
      </c>
      <c r="H6810" s="1">
        <v>-6.3179329999999997E-7</v>
      </c>
      <c r="I6810">
        <v>69.879300000000001</v>
      </c>
      <c r="J6810">
        <v>-421.1934</v>
      </c>
      <c r="K6810">
        <v>1.1122909999999999</v>
      </c>
      <c r="L6810">
        <v>107.98950000000001</v>
      </c>
      <c r="M6810">
        <v>-0.15837309999999999</v>
      </c>
      <c r="N6810">
        <v>0</v>
      </c>
      <c r="O6810">
        <v>-0.98728300000000002</v>
      </c>
      <c r="P6810">
        <v>-0.1182628</v>
      </c>
      <c r="Q6810">
        <v>-1.873907E-2</v>
      </c>
      <c r="R6810">
        <v>-0.99280539999999995</v>
      </c>
      <c r="S6810">
        <v>0.2608337</v>
      </c>
      <c r="T6810">
        <v>-8.8920470000000001E-2</v>
      </c>
      <c r="U6810">
        <v>-3.0550540000000002</v>
      </c>
      <c r="V6810">
        <v>-4.0455030000000003E-2</v>
      </c>
      <c r="W6810">
        <v>-5.1472990000000001E-3</v>
      </c>
      <c r="X6810">
        <v>0.9991681</v>
      </c>
      <c r="Y6810">
        <v>-0.24177360000000001</v>
      </c>
      <c r="Z6810">
        <v>2.8059049999999999E-2</v>
      </c>
      <c r="AA6810">
        <v>0.96992690000000004</v>
      </c>
      <c r="AB6810">
        <v>11</v>
      </c>
      <c r="AC6810">
        <v>3.27219999999999</v>
      </c>
      <c r="AD6810">
        <v>-1.11229163179329</v>
      </c>
      <c r="AE6810">
        <v>-38.110199999999999</v>
      </c>
      <c r="AF6810">
        <v>-9.2592698348948392</v>
      </c>
      <c r="AG6810">
        <v>-1.11229163179329</v>
      </c>
      <c r="AH6810">
        <v>37.079499843329202</v>
      </c>
      <c r="AI6810">
        <v>91.667053747046594</v>
      </c>
      <c r="AJ6810">
        <v>104.020819188884</v>
      </c>
      <c r="AK6810">
        <v>38.234285388653497</v>
      </c>
      <c r="AL6810">
        <v>90.294919811463799</v>
      </c>
      <c r="AM6810">
        <v>92.318565931580196</v>
      </c>
      <c r="AN6810">
        <v>0.99999999809845297</v>
      </c>
    </row>
    <row r="6811" spans="1:40" x14ac:dyDescent="0.25">
      <c r="A6811" t="str">
        <f>"20190312154059651"</f>
        <v>20190312154059651</v>
      </c>
      <c r="B6811" t="str">
        <f>"1552376459643413"</f>
        <v>1552376459643413</v>
      </c>
      <c r="C6811" t="s">
        <v>40</v>
      </c>
      <c r="D6811">
        <v>4.3766309999999997</v>
      </c>
      <c r="E6811">
        <v>0.42756929999999999</v>
      </c>
      <c r="F6811" t="s">
        <v>42</v>
      </c>
      <c r="G6811">
        <v>-418.85649999999998</v>
      </c>
      <c r="H6811" s="1">
        <v>-3.0565049999999998E-6</v>
      </c>
      <c r="I6811">
        <v>76.284739999999999</v>
      </c>
      <c r="J6811">
        <v>-421.20159999999998</v>
      </c>
      <c r="K6811">
        <v>1.1122590000000001</v>
      </c>
      <c r="L6811">
        <v>107.8882</v>
      </c>
      <c r="M6811">
        <v>-0.15185070000000001</v>
      </c>
      <c r="N6811">
        <v>0</v>
      </c>
      <c r="O6811">
        <v>-0.98830750000000001</v>
      </c>
      <c r="P6811">
        <v>-0.11221390000000001</v>
      </c>
      <c r="Q6811">
        <v>-1.7396040000000002E-2</v>
      </c>
      <c r="R6811">
        <v>-0.99353190000000002</v>
      </c>
      <c r="S6811">
        <v>0.22454830000000001</v>
      </c>
      <c r="T6811">
        <v>-0.1068789</v>
      </c>
      <c r="U6811">
        <v>-3.0464630000000001</v>
      </c>
      <c r="V6811">
        <v>-3.9953580000000002E-2</v>
      </c>
      <c r="W6811">
        <v>-3.810716E-3</v>
      </c>
      <c r="X6811">
        <v>0.99919429999999998</v>
      </c>
      <c r="Y6811">
        <v>-0.22406599999999999</v>
      </c>
      <c r="Z6811">
        <v>3.3958549999999997E-2</v>
      </c>
      <c r="AA6811">
        <v>0.97398220000000002</v>
      </c>
      <c r="AB6811">
        <v>11</v>
      </c>
      <c r="AC6811">
        <v>2.3451</v>
      </c>
      <c r="AD6811">
        <v>-1.1122620565050001</v>
      </c>
      <c r="AE6811">
        <v>-31.603459999999998</v>
      </c>
      <c r="AF6811">
        <v>-7.1086055948219196</v>
      </c>
      <c r="AG6811">
        <v>-1.1122620565050001</v>
      </c>
      <c r="AH6811">
        <v>30.842766009324201</v>
      </c>
      <c r="AI6811">
        <v>92.012605833930493</v>
      </c>
      <c r="AJ6811">
        <v>102.978820046056</v>
      </c>
      <c r="AK6811">
        <v>31.670895400840799</v>
      </c>
      <c r="AL6811">
        <v>90.218338465691005</v>
      </c>
      <c r="AM6811">
        <v>92.289797544794098</v>
      </c>
      <c r="AN6811">
        <v>1.0000000296318601</v>
      </c>
    </row>
    <row r="6812" spans="1:40" x14ac:dyDescent="0.25">
      <c r="A6812" t="str">
        <f>"20190312154059672"</f>
        <v>20190312154059672</v>
      </c>
      <c r="B6812" t="str">
        <f>"1552376459662936"</f>
        <v>1552376459662936</v>
      </c>
      <c r="C6812" t="s">
        <v>40</v>
      </c>
      <c r="D6812">
        <v>4.381386</v>
      </c>
      <c r="E6812">
        <v>0.4287706</v>
      </c>
      <c r="F6812" t="s">
        <v>42</v>
      </c>
      <c r="G6812">
        <v>-418.68819999999999</v>
      </c>
      <c r="H6812" s="1">
        <v>-2.9936820000000002E-6</v>
      </c>
      <c r="I6812">
        <v>76.068719999999999</v>
      </c>
      <c r="J6812">
        <v>-421.20929999999998</v>
      </c>
      <c r="K6812">
        <v>1.1122129999999999</v>
      </c>
      <c r="L6812">
        <v>107.7878</v>
      </c>
      <c r="M6812">
        <v>-0.1454339</v>
      </c>
      <c r="N6812">
        <v>0</v>
      </c>
      <c r="O6812">
        <v>-0.98927229999999999</v>
      </c>
      <c r="P6812">
        <v>-0.1058702</v>
      </c>
      <c r="Q6812">
        <v>-1.645785E-2</v>
      </c>
      <c r="R6812">
        <v>-0.99424389999999996</v>
      </c>
      <c r="S6812">
        <v>0.240509</v>
      </c>
      <c r="T6812">
        <v>-0.106433</v>
      </c>
      <c r="U6812">
        <v>-3.0448300000000001</v>
      </c>
      <c r="V6812">
        <v>-3.9853649999999997E-2</v>
      </c>
      <c r="W6812">
        <v>-2.8819879999999998E-3</v>
      </c>
      <c r="X6812">
        <v>0.99920140000000002</v>
      </c>
      <c r="Y6812">
        <v>-0.2228559</v>
      </c>
      <c r="Z6812">
        <v>3.3883749999999997E-2</v>
      </c>
      <c r="AA6812">
        <v>0.97426239999999997</v>
      </c>
      <c r="AB6812">
        <v>11</v>
      </c>
      <c r="AC6812">
        <v>2.5210999999999899</v>
      </c>
      <c r="AD6812">
        <v>-1.112215993682</v>
      </c>
      <c r="AE6812">
        <v>-31.719080000000002</v>
      </c>
      <c r="AF6812">
        <v>-7.0990829758040404</v>
      </c>
      <c r="AG6812">
        <v>-1.112215993682</v>
      </c>
      <c r="AH6812">
        <v>30.9772413258626</v>
      </c>
      <c r="AI6812">
        <v>92.0043648580763</v>
      </c>
      <c r="AJ6812">
        <v>102.907640353586</v>
      </c>
      <c r="AK6812">
        <v>31.799740308289898</v>
      </c>
      <c r="AL6812">
        <v>90.165125972884198</v>
      </c>
      <c r="AM6812">
        <v>92.284060272359596</v>
      </c>
      <c r="AN6812">
        <v>1.0000000285175501</v>
      </c>
    </row>
    <row r="6813" spans="1:40" x14ac:dyDescent="0.25">
      <c r="A6813" t="str">
        <f>"20190312154059695"</f>
        <v>20190312154059695</v>
      </c>
      <c r="B6813" t="str">
        <f>"1552376459683429"</f>
        <v>1552376459683429</v>
      </c>
      <c r="C6813" t="s">
        <v>40</v>
      </c>
      <c r="D6813">
        <v>4.358263</v>
      </c>
      <c r="E6813">
        <v>0.42983169999999998</v>
      </c>
      <c r="F6813" t="s">
        <v>42</v>
      </c>
      <c r="G6813">
        <v>-418.4572</v>
      </c>
      <c r="H6813" s="1">
        <v>-2.2937339999999998E-6</v>
      </c>
      <c r="I6813">
        <v>74.341589999999997</v>
      </c>
      <c r="J6813">
        <v>-421.2165</v>
      </c>
      <c r="K6813">
        <v>1.112158</v>
      </c>
      <c r="L6813">
        <v>107.684</v>
      </c>
      <c r="M6813">
        <v>-0.1388895</v>
      </c>
      <c r="N6813">
        <v>0</v>
      </c>
      <c r="O6813">
        <v>-0.9902126</v>
      </c>
      <c r="P6813">
        <v>-0.1001826</v>
      </c>
      <c r="Q6813">
        <v>-1.6249889999999999E-2</v>
      </c>
      <c r="R6813">
        <v>-0.99483639999999995</v>
      </c>
      <c r="S6813">
        <v>0.25033569999999999</v>
      </c>
      <c r="T6813">
        <v>-0.1011697</v>
      </c>
      <c r="U6813">
        <v>-3.0423429999999998</v>
      </c>
      <c r="V6813">
        <v>-3.896268E-2</v>
      </c>
      <c r="W6813">
        <v>-2.681288E-3</v>
      </c>
      <c r="X6813">
        <v>0.99923709999999999</v>
      </c>
      <c r="Y6813">
        <v>-0.2196024</v>
      </c>
      <c r="Z6813">
        <v>3.2291199999999999E-2</v>
      </c>
      <c r="AA6813">
        <v>0.97505489999999995</v>
      </c>
      <c r="AB6813">
        <v>11</v>
      </c>
      <c r="AC6813">
        <v>2.7592999999999899</v>
      </c>
      <c r="AD6813">
        <v>-1.112160293734</v>
      </c>
      <c r="AE6813">
        <v>-33.342410000000001</v>
      </c>
      <c r="AF6813">
        <v>-7.3557707526281604</v>
      </c>
      <c r="AG6813">
        <v>-1.112160293734</v>
      </c>
      <c r="AH6813">
        <v>32.599892194949099</v>
      </c>
      <c r="AI6813">
        <v>91.906032657361294</v>
      </c>
      <c r="AJ6813">
        <v>102.715165805536</v>
      </c>
      <c r="AK6813">
        <v>33.437960987573398</v>
      </c>
      <c r="AL6813">
        <v>90.153626665394</v>
      </c>
      <c r="AM6813">
        <v>92.232970300695399</v>
      </c>
      <c r="AN6813">
        <v>1.0000000308772601</v>
      </c>
    </row>
    <row r="6814" spans="1:40" x14ac:dyDescent="0.25">
      <c r="A6814" t="str">
        <f>"20190312154059718"</f>
        <v>20190312154059718</v>
      </c>
      <c r="B6814" t="str">
        <f>"1552376459713685"</f>
        <v>1552376459713685</v>
      </c>
      <c r="C6814" t="s">
        <v>40</v>
      </c>
      <c r="D6814">
        <v>4.5052009999999996</v>
      </c>
      <c r="E6814">
        <v>0.43686970000000003</v>
      </c>
      <c r="F6814" t="s">
        <v>42</v>
      </c>
      <c r="G6814">
        <v>-418.23939999999999</v>
      </c>
      <c r="H6814" s="1">
        <v>-1.6171039999999901E-6</v>
      </c>
      <c r="I6814">
        <v>72.674289999999999</v>
      </c>
      <c r="J6814">
        <v>-421.22320000000002</v>
      </c>
      <c r="K6814">
        <v>1.1120890000000001</v>
      </c>
      <c r="L6814">
        <v>107.5808</v>
      </c>
      <c r="M6814">
        <v>-0.1324832</v>
      </c>
      <c r="N6814">
        <v>0</v>
      </c>
      <c r="O6814">
        <v>-0.99109040000000004</v>
      </c>
      <c r="P6814">
        <v>-9.438291E-2</v>
      </c>
      <c r="Q6814">
        <v>-1.6978389999999999E-2</v>
      </c>
      <c r="R6814">
        <v>-0.99539129999999998</v>
      </c>
      <c r="S6814">
        <v>0.25851439999999998</v>
      </c>
      <c r="T6814">
        <v>-9.6571920000000006E-2</v>
      </c>
      <c r="U6814">
        <v>-3.0399929999999999</v>
      </c>
      <c r="V6814">
        <v>-3.8320769999999997E-2</v>
      </c>
      <c r="W6814">
        <v>-3.4201180000000002E-3</v>
      </c>
      <c r="X6814">
        <v>0.99925969999999997</v>
      </c>
      <c r="Y6814">
        <v>-0.2159626</v>
      </c>
      <c r="Z6814">
        <v>3.0900130000000001E-2</v>
      </c>
      <c r="AA6814">
        <v>0.97591260000000002</v>
      </c>
      <c r="AB6814">
        <v>11</v>
      </c>
      <c r="AC6814">
        <v>2.98380000000002</v>
      </c>
      <c r="AD6814">
        <v>-1.1120906171039999</v>
      </c>
      <c r="AE6814">
        <v>-34.906509999999997</v>
      </c>
      <c r="AF6814">
        <v>-7.574821844693</v>
      </c>
      <c r="AG6814">
        <v>-1.1120906171039999</v>
      </c>
      <c r="AH6814">
        <v>34.168989147019097</v>
      </c>
      <c r="AI6814">
        <v>91.819980732111802</v>
      </c>
      <c r="AJ6814">
        <v>102.49958336368699</v>
      </c>
      <c r="AK6814">
        <v>35.016203261470203</v>
      </c>
      <c r="AL6814">
        <v>90.195958696455605</v>
      </c>
      <c r="AM6814">
        <v>92.196168826600001</v>
      </c>
      <c r="AN6814">
        <v>1.0000000633323001</v>
      </c>
    </row>
    <row r="6815" spans="1:40" x14ac:dyDescent="0.25">
      <c r="A6815" t="str">
        <f>"20190312154059740"</f>
        <v>20190312154059740</v>
      </c>
      <c r="B6815" t="str">
        <f>"1552376459733208"</f>
        <v>1552376459733208</v>
      </c>
      <c r="C6815" t="s">
        <v>40</v>
      </c>
      <c r="D6815">
        <v>4.3522780000000001</v>
      </c>
      <c r="E6815">
        <v>0.43687559999999898</v>
      </c>
      <c r="F6815" t="s">
        <v>42</v>
      </c>
      <c r="G6815">
        <v>-418.26369999999997</v>
      </c>
      <c r="H6815" s="1">
        <v>-3.345631E-6</v>
      </c>
      <c r="I6815">
        <v>66.713569999999905</v>
      </c>
      <c r="J6815">
        <v>-421.2294</v>
      </c>
      <c r="K6815">
        <v>1.1120000000000001</v>
      </c>
      <c r="L6815">
        <v>107.47580000000001</v>
      </c>
      <c r="M6815">
        <v>-0.12611439999999999</v>
      </c>
      <c r="N6815">
        <v>0</v>
      </c>
      <c r="O6815">
        <v>-0.99192119999999995</v>
      </c>
      <c r="P6815">
        <v>-8.9286569999999996E-2</v>
      </c>
      <c r="Q6815">
        <v>-1.743662E-2</v>
      </c>
      <c r="R6815">
        <v>-0.99585349999999995</v>
      </c>
      <c r="S6815">
        <v>0.21966550000000001</v>
      </c>
      <c r="T6815">
        <v>-8.2543370000000005E-2</v>
      </c>
      <c r="U6815">
        <v>-3.0333100000000002</v>
      </c>
      <c r="V6815">
        <v>-3.7015109999999997E-2</v>
      </c>
      <c r="W6815">
        <v>-3.888365E-3</v>
      </c>
      <c r="X6815">
        <v>0.99930719999999995</v>
      </c>
      <c r="Y6815">
        <v>-0.1974225</v>
      </c>
      <c r="Z6815">
        <v>2.6573449999999998E-2</v>
      </c>
      <c r="AA6815">
        <v>0.97995829999999995</v>
      </c>
      <c r="AB6815">
        <v>11</v>
      </c>
      <c r="AC6815">
        <v>2.96570000000002</v>
      </c>
      <c r="AD6815">
        <v>-1.1120033456309999</v>
      </c>
      <c r="AE6815">
        <v>-40.762230000000002</v>
      </c>
      <c r="AF6815">
        <v>-8.0772231724303598</v>
      </c>
      <c r="AG6815">
        <v>-1.1120033456309999</v>
      </c>
      <c r="AH6815">
        <v>40.033022338140903</v>
      </c>
      <c r="AI6815">
        <v>91.5596906146842</v>
      </c>
      <c r="AJ6815">
        <v>101.407082505134</v>
      </c>
      <c r="AK6815">
        <v>40.854876858754999</v>
      </c>
      <c r="AL6815">
        <v>90.222787451996595</v>
      </c>
      <c r="AM6815">
        <v>92.121310092329495</v>
      </c>
      <c r="AN6815">
        <v>1.0000000588612601</v>
      </c>
    </row>
    <row r="6816" spans="1:40" x14ac:dyDescent="0.25">
      <c r="A6816" t="str">
        <f>"20190312154059762"</f>
        <v>20190312154059762</v>
      </c>
      <c r="B6816" t="str">
        <f>"1552376459753377"</f>
        <v>1552376459753377</v>
      </c>
      <c r="C6816" t="s">
        <v>40</v>
      </c>
      <c r="D6816">
        <v>4.3726139999999996</v>
      </c>
      <c r="E6816">
        <v>0.43864209999999898</v>
      </c>
      <c r="F6816" t="s">
        <v>42</v>
      </c>
      <c r="G6816">
        <v>-417.89010000000002</v>
      </c>
      <c r="H6816" s="1">
        <v>-2.4613699999999999E-6</v>
      </c>
      <c r="I6816">
        <v>64.497889999999998</v>
      </c>
      <c r="J6816">
        <v>-421.23489999999998</v>
      </c>
      <c r="K6816">
        <v>1.1119139999999901</v>
      </c>
      <c r="L6816">
        <v>107.3754</v>
      </c>
      <c r="M6816">
        <v>-0.1201455</v>
      </c>
      <c r="N6816">
        <v>0</v>
      </c>
      <c r="O6816">
        <v>-0.99266200000000004</v>
      </c>
      <c r="P6816">
        <v>-8.4719779999999995E-2</v>
      </c>
      <c r="Q6816">
        <v>-1.7071920000000001E-2</v>
      </c>
      <c r="R6816">
        <v>-0.99625870000000005</v>
      </c>
      <c r="S6816">
        <v>0.23559569999999999</v>
      </c>
      <c r="T6816">
        <v>-7.8455209999999997E-2</v>
      </c>
      <c r="U6816">
        <v>-3.0322269999999998</v>
      </c>
      <c r="V6816">
        <v>-3.5588460000000002E-2</v>
      </c>
      <c r="W6816">
        <v>-3.5343240000000001E-3</v>
      </c>
      <c r="X6816">
        <v>0.99936029999999998</v>
      </c>
      <c r="Y6816">
        <v>-0.19667290000000001</v>
      </c>
      <c r="Z6816">
        <v>2.5292950000000002E-2</v>
      </c>
      <c r="AA6816">
        <v>0.98014290000000004</v>
      </c>
      <c r="AB6816">
        <v>11</v>
      </c>
      <c r="AC6816">
        <v>3.3447999999999598</v>
      </c>
      <c r="AD6816">
        <v>-1.1119164613700001</v>
      </c>
      <c r="AE6816">
        <v>-42.877510000000001</v>
      </c>
      <c r="AF6816">
        <v>-8.4669293824700897</v>
      </c>
      <c r="AG6816">
        <v>-1.1119164613700001</v>
      </c>
      <c r="AH6816">
        <v>42.1367941145947</v>
      </c>
      <c r="AI6816">
        <v>91.4819759830648</v>
      </c>
      <c r="AJ6816">
        <v>101.361659969543</v>
      </c>
      <c r="AK6816">
        <v>42.9934258886232</v>
      </c>
      <c r="AL6816">
        <v>90.202502266260595</v>
      </c>
      <c r="AM6816">
        <v>92.039511933051898</v>
      </c>
      <c r="AN6816">
        <v>1.00000001957369</v>
      </c>
    </row>
    <row r="6817" spans="1:40" x14ac:dyDescent="0.25">
      <c r="A6817" t="str">
        <f>"20190312154059784"</f>
        <v>20190312154059784</v>
      </c>
      <c r="B6817" t="str">
        <f>"1552376459772896"</f>
        <v>1552376459772896</v>
      </c>
      <c r="C6817" t="s">
        <v>40</v>
      </c>
      <c r="D6817">
        <v>4.3981009999999996</v>
      </c>
      <c r="E6817">
        <v>0.44034570000000001</v>
      </c>
      <c r="F6817" t="s">
        <v>42</v>
      </c>
      <c r="G6817">
        <v>-418.43430000000001</v>
      </c>
      <c r="H6817" s="1">
        <v>-1.0190990000000001E-6</v>
      </c>
      <c r="I6817">
        <v>71.360929999999996</v>
      </c>
      <c r="J6817">
        <v>-421.23989999999998</v>
      </c>
      <c r="K6817">
        <v>1.111826</v>
      </c>
      <c r="L6817">
        <v>107.2747</v>
      </c>
      <c r="M6817">
        <v>-0.114298</v>
      </c>
      <c r="N6817">
        <v>0</v>
      </c>
      <c r="O6817">
        <v>-0.99335269999999998</v>
      </c>
      <c r="P6817">
        <v>-8.0040249999999993E-2</v>
      </c>
      <c r="Q6817">
        <v>-1.7283030000000001E-2</v>
      </c>
      <c r="R6817">
        <v>-0.99664180000000002</v>
      </c>
      <c r="S6817">
        <v>0.23559569999999999</v>
      </c>
      <c r="T6817">
        <v>-9.3539120000000003E-2</v>
      </c>
      <c r="U6817">
        <v>-3.0296940000000001</v>
      </c>
      <c r="V6817">
        <v>-3.4396120000000002E-2</v>
      </c>
      <c r="W6817">
        <v>-3.7587459999999999E-3</v>
      </c>
      <c r="X6817">
        <v>0.99940119999999999</v>
      </c>
      <c r="Y6817">
        <v>-0.19094839999999999</v>
      </c>
      <c r="Z6817">
        <v>3.0226079999999999E-2</v>
      </c>
      <c r="AA6817">
        <v>0.98113459999999997</v>
      </c>
      <c r="AB6817">
        <v>11</v>
      </c>
      <c r="AC6817">
        <v>2.8055999999999699</v>
      </c>
      <c r="AD6817">
        <v>-1.1118270190990001</v>
      </c>
      <c r="AE6817">
        <v>-35.9137699999999</v>
      </c>
      <c r="AF6817">
        <v>-6.8859052533223499</v>
      </c>
      <c r="AG6817">
        <v>-1.1118270190990001</v>
      </c>
      <c r="AH6817">
        <v>35.324011456584202</v>
      </c>
      <c r="AI6817">
        <v>91.7695102484101</v>
      </c>
      <c r="AJ6817">
        <v>101.03065097483299</v>
      </c>
      <c r="AK6817">
        <v>36.006077762830898</v>
      </c>
      <c r="AL6817">
        <v>90.215360791347393</v>
      </c>
      <c r="AM6817">
        <v>91.971155261797904</v>
      </c>
      <c r="AN6817">
        <v>0.99999998990199301</v>
      </c>
    </row>
    <row r="6818" spans="1:40" x14ac:dyDescent="0.25">
      <c r="A6818" t="str">
        <f>"20190312154059808"</f>
        <v>20190312154059808</v>
      </c>
      <c r="B6818" t="str">
        <f>"1552376459803152"</f>
        <v>1552376459803152</v>
      </c>
      <c r="C6818" t="s">
        <v>40</v>
      </c>
      <c r="D6818">
        <v>4.3966629999999904</v>
      </c>
      <c r="E6818">
        <v>0.44763310000000001</v>
      </c>
      <c r="F6818" t="s">
        <v>42</v>
      </c>
      <c r="G6818">
        <v>-418.77019999999999</v>
      </c>
      <c r="H6818" s="1">
        <v>-2.8002249999999999E-6</v>
      </c>
      <c r="I6818">
        <v>75.651679999999999</v>
      </c>
      <c r="J6818">
        <v>-421.2448</v>
      </c>
      <c r="K6818">
        <v>1.1117189999999999</v>
      </c>
      <c r="L6818">
        <v>107.1699</v>
      </c>
      <c r="M6818">
        <v>-0.1083891</v>
      </c>
      <c r="N6818">
        <v>0</v>
      </c>
      <c r="O6818">
        <v>-0.99401519999999999</v>
      </c>
      <c r="P6818">
        <v>-7.4759829999999999E-2</v>
      </c>
      <c r="Q6818">
        <v>-1.7992569999999999E-2</v>
      </c>
      <c r="R6818">
        <v>-0.99703940000000002</v>
      </c>
      <c r="S6818">
        <v>0.23641970000000001</v>
      </c>
      <c r="T6818">
        <v>-0.106434</v>
      </c>
      <c r="U6818">
        <v>-3.027237</v>
      </c>
      <c r="V6818">
        <v>-3.3744570000000002E-2</v>
      </c>
      <c r="W6818">
        <v>-4.4859970000000002E-3</v>
      </c>
      <c r="X6818">
        <v>0.99942039999999999</v>
      </c>
      <c r="Y6818">
        <v>-0.1854247</v>
      </c>
      <c r="Z6818">
        <v>3.4469010000000001E-2</v>
      </c>
      <c r="AA6818">
        <v>0.98205379999999998</v>
      </c>
      <c r="AB6818">
        <v>10</v>
      </c>
      <c r="AC6818">
        <v>2.4746000000000001</v>
      </c>
      <c r="AD6818">
        <v>-1.111721800225</v>
      </c>
      <c r="AE6818">
        <v>-31.518219999999999</v>
      </c>
      <c r="AF6818">
        <v>-5.8693093419186999</v>
      </c>
      <c r="AG6818">
        <v>-1.111721800225</v>
      </c>
      <c r="AH6818">
        <v>31.025888729167601</v>
      </c>
      <c r="AI6818">
        <v>92.016415099259405</v>
      </c>
      <c r="AJ6818">
        <v>100.712314673027</v>
      </c>
      <c r="AK6818">
        <v>31.5957352968232</v>
      </c>
      <c r="AL6818">
        <v>90.257029562738197</v>
      </c>
      <c r="AM6818">
        <v>91.933808068593905</v>
      </c>
      <c r="AN6818">
        <v>0.99999997805486396</v>
      </c>
    </row>
    <row r="6819" spans="1:40" x14ac:dyDescent="0.25">
      <c r="A6819" t="str">
        <f>"20190312154059830"</f>
        <v>20190312154059830</v>
      </c>
      <c r="B6819" t="str">
        <f>"1552376459823648"</f>
        <v>1552376459823648</v>
      </c>
      <c r="C6819" t="s">
        <v>40</v>
      </c>
      <c r="D6819">
        <v>4.4273720000000001</v>
      </c>
      <c r="E6819">
        <v>0.44826070000000001</v>
      </c>
      <c r="F6819" t="s">
        <v>42</v>
      </c>
      <c r="G6819">
        <v>-419.74200000000002</v>
      </c>
      <c r="H6819" s="1">
        <v>-1.9351229999999999E-6</v>
      </c>
      <c r="I6819">
        <v>84.036900000000003</v>
      </c>
      <c r="J6819">
        <v>-421.24919999999997</v>
      </c>
      <c r="K6819">
        <v>1.111612</v>
      </c>
      <c r="L6819">
        <v>107.0669</v>
      </c>
      <c r="M6819">
        <v>-0.1027892</v>
      </c>
      <c r="N6819">
        <v>0</v>
      </c>
      <c r="O6819">
        <v>-0.99461029999999995</v>
      </c>
      <c r="P6819">
        <v>-6.9206009999999998E-2</v>
      </c>
      <c r="Q6819">
        <v>-1.8715140000000002E-2</v>
      </c>
      <c r="R6819">
        <v>-0.99742710000000001</v>
      </c>
      <c r="S6819">
        <v>0.1962585</v>
      </c>
      <c r="T6819">
        <v>-0.14518300000000001</v>
      </c>
      <c r="U6819">
        <v>-3.0210110000000001</v>
      </c>
      <c r="V6819">
        <v>-3.367916E-2</v>
      </c>
      <c r="W6819">
        <v>-5.2294949999999998E-3</v>
      </c>
      <c r="X6819">
        <v>0.99941899999999995</v>
      </c>
      <c r="Y6819">
        <v>-0.16699330000000001</v>
      </c>
      <c r="Z6819">
        <v>4.7233810000000001E-2</v>
      </c>
      <c r="AA6819">
        <v>0.98482599999999998</v>
      </c>
      <c r="AB6819">
        <v>10</v>
      </c>
      <c r="AC6819">
        <v>1.5072000000000101</v>
      </c>
      <c r="AD6819">
        <v>-1.1116139351229899</v>
      </c>
      <c r="AE6819">
        <v>-23.03</v>
      </c>
      <c r="AF6819">
        <v>-3.8577196700423402</v>
      </c>
      <c r="AG6819">
        <v>-1.1116139351229899</v>
      </c>
      <c r="AH6819">
        <v>22.700391033578398</v>
      </c>
      <c r="AI6819">
        <v>92.763909979067705</v>
      </c>
      <c r="AJ6819">
        <v>99.644741428083705</v>
      </c>
      <c r="AK6819">
        <v>23.0526666498859</v>
      </c>
      <c r="AL6819">
        <v>90.299629362531903</v>
      </c>
      <c r="AM6819">
        <v>91.930065141641805</v>
      </c>
      <c r="AN6819">
        <v>0.99999998549863001</v>
      </c>
    </row>
    <row r="6820" spans="1:40" x14ac:dyDescent="0.25">
      <c r="A6820" t="str">
        <f>"20190312154059851"</f>
        <v>20190312154059851</v>
      </c>
      <c r="B6820" t="str">
        <f>"1552376459843179"</f>
        <v>1552376459843179</v>
      </c>
      <c r="C6820" t="s">
        <v>40</v>
      </c>
      <c r="D6820">
        <v>4.4536619999999996</v>
      </c>
      <c r="E6820">
        <v>0.44891500000000001</v>
      </c>
      <c r="F6820" t="s">
        <v>42</v>
      </c>
      <c r="G6820">
        <v>-419.66820000000001</v>
      </c>
      <c r="H6820" s="1">
        <v>-1.9736480000000001E-6</v>
      </c>
      <c r="I6820">
        <v>84.096180000000004</v>
      </c>
      <c r="J6820">
        <v>-421.25319999999999</v>
      </c>
      <c r="K6820">
        <v>1.111499</v>
      </c>
      <c r="L6820">
        <v>106.9663</v>
      </c>
      <c r="M6820">
        <v>-9.7559409999999999E-2</v>
      </c>
      <c r="N6820">
        <v>0</v>
      </c>
      <c r="O6820">
        <v>-0.9951373</v>
      </c>
      <c r="P6820">
        <v>-6.2528239999999999E-2</v>
      </c>
      <c r="Q6820">
        <v>-1.9337480000000001E-2</v>
      </c>
      <c r="R6820">
        <v>-0.99785590000000002</v>
      </c>
      <c r="S6820">
        <v>0.2078247</v>
      </c>
      <c r="T6820">
        <v>-0.1461189</v>
      </c>
      <c r="U6820">
        <v>-3.0194399999999999</v>
      </c>
      <c r="V6820">
        <v>-3.511297E-2</v>
      </c>
      <c r="W6820">
        <v>-5.878276E-3</v>
      </c>
      <c r="X6820">
        <v>0.99936599999999998</v>
      </c>
      <c r="Y6820">
        <v>-0.16559789999999999</v>
      </c>
      <c r="Z6820">
        <v>4.760002E-2</v>
      </c>
      <c r="AA6820">
        <v>0.98504389999999997</v>
      </c>
      <c r="AB6820">
        <v>10</v>
      </c>
      <c r="AC6820">
        <v>1.58499999999997</v>
      </c>
      <c r="AD6820">
        <v>-1.1115009736479999</v>
      </c>
      <c r="AE6820">
        <v>-22.87012</v>
      </c>
      <c r="AF6820">
        <v>-3.7999057691439599</v>
      </c>
      <c r="AG6820">
        <v>-1.1115009736479999</v>
      </c>
      <c r="AH6820">
        <v>22.553340027668099</v>
      </c>
      <c r="AI6820">
        <v>92.782285596757504</v>
      </c>
      <c r="AJ6820">
        <v>99.563674795574499</v>
      </c>
      <c r="AK6820">
        <v>22.898206582010101</v>
      </c>
      <c r="AL6820">
        <v>90.336802366040104</v>
      </c>
      <c r="AM6820">
        <v>92.012273524975896</v>
      </c>
      <c r="AN6820">
        <v>0.99999993837347401</v>
      </c>
    </row>
    <row r="6821" spans="1:40" x14ac:dyDescent="0.25">
      <c r="A6821" t="str">
        <f>"20190312154059873"</f>
        <v>20190312154059873</v>
      </c>
      <c r="B6821" t="str">
        <f>"1552376459862688"</f>
        <v>1552376459862688</v>
      </c>
      <c r="C6821" t="s">
        <v>40</v>
      </c>
      <c r="D6821">
        <v>4.5680579999999997</v>
      </c>
      <c r="E6821">
        <v>0.46694590000000002</v>
      </c>
      <c r="F6821" t="s">
        <v>42</v>
      </c>
      <c r="G6821">
        <v>-419.59890000000001</v>
      </c>
      <c r="H6821" s="1">
        <v>-2.1725500000000001E-6</v>
      </c>
      <c r="I6821">
        <v>84.531199999999998</v>
      </c>
      <c r="J6821">
        <v>-421.25700000000001</v>
      </c>
      <c r="K6821">
        <v>1.111367</v>
      </c>
      <c r="L6821">
        <v>106.86669999999999</v>
      </c>
      <c r="M6821">
        <v>-9.263586E-2</v>
      </c>
      <c r="N6821">
        <v>0</v>
      </c>
      <c r="O6821">
        <v>-0.9956081</v>
      </c>
      <c r="P6821">
        <v>-5.6387769999999997E-2</v>
      </c>
      <c r="Q6821">
        <v>-1.924085E-2</v>
      </c>
      <c r="R6821">
        <v>-0.99822359999999999</v>
      </c>
      <c r="S6821">
        <v>0.2225037</v>
      </c>
      <c r="T6821">
        <v>-0.14949660000000001</v>
      </c>
      <c r="U6821">
        <v>-3.0175169999999998</v>
      </c>
      <c r="V6821">
        <v>-3.6320020000000001E-2</v>
      </c>
      <c r="W6821">
        <v>-5.8070489999999999E-3</v>
      </c>
      <c r="X6821">
        <v>0.99932330000000003</v>
      </c>
      <c r="Y6821">
        <v>-0.16552629999999999</v>
      </c>
      <c r="Z6821">
        <v>4.8755369999999999E-2</v>
      </c>
      <c r="AA6821">
        <v>0.98499950000000003</v>
      </c>
      <c r="AB6821">
        <v>10</v>
      </c>
      <c r="AC6821">
        <v>1.65809999999993</v>
      </c>
      <c r="AD6821">
        <v>-1.1113691725499999</v>
      </c>
      <c r="AE6821">
        <v>-22.3355</v>
      </c>
      <c r="AF6821">
        <v>-3.71108889755171</v>
      </c>
      <c r="AG6821">
        <v>-1.1113691725499999</v>
      </c>
      <c r="AH6821">
        <v>22.031579292728502</v>
      </c>
      <c r="AI6821">
        <v>92.8477515951665</v>
      </c>
      <c r="AJ6821">
        <v>99.561378930167393</v>
      </c>
      <c r="AK6821">
        <v>22.369573272081201</v>
      </c>
      <c r="AL6821">
        <v>90.332721281849004</v>
      </c>
      <c r="AM6821">
        <v>92.081476840035094</v>
      </c>
      <c r="AN6821">
        <v>0.99999996179688799</v>
      </c>
    </row>
    <row r="6822" spans="1:40" x14ac:dyDescent="0.25">
      <c r="A6822" t="str">
        <f>"20190312154059896"</f>
        <v>20190312154059896</v>
      </c>
      <c r="B6822" t="str">
        <f>"1552376459883184"</f>
        <v>1552376459883184</v>
      </c>
      <c r="C6822" t="s">
        <v>40</v>
      </c>
      <c r="D6822">
        <v>4.5653860000000002</v>
      </c>
      <c r="E6822">
        <v>0.47563939999999999</v>
      </c>
      <c r="F6822" t="s">
        <v>42</v>
      </c>
      <c r="G6822">
        <v>-420.56209999999999</v>
      </c>
      <c r="H6822" s="1">
        <v>-2.698659E-6</v>
      </c>
      <c r="I6822">
        <v>85.531109999999998</v>
      </c>
      <c r="J6822">
        <v>-421.26080000000002</v>
      </c>
      <c r="K6822">
        <v>1.1112169999999999</v>
      </c>
      <c r="L6822">
        <v>106.7638</v>
      </c>
      <c r="M6822">
        <v>-8.7832140000000003E-2</v>
      </c>
      <c r="N6822">
        <v>0</v>
      </c>
      <c r="O6822">
        <v>-0.99604389999999998</v>
      </c>
      <c r="P6822">
        <v>-5.0600739999999998E-2</v>
      </c>
      <c r="Q6822">
        <v>-1.7493829999999998E-2</v>
      </c>
      <c r="R6822">
        <v>-0.99856599999999995</v>
      </c>
      <c r="S6822">
        <v>9.7961430000000002E-2</v>
      </c>
      <c r="T6822">
        <v>-0.15667809999999999</v>
      </c>
      <c r="U6822">
        <v>-3.0078429999999998</v>
      </c>
      <c r="V6822">
        <v>-3.7300510000000002E-2</v>
      </c>
      <c r="W6822">
        <v>-4.084725E-3</v>
      </c>
      <c r="X6822">
        <v>0.99929579999999996</v>
      </c>
      <c r="Y6822">
        <v>-0.1201754</v>
      </c>
      <c r="Z6822">
        <v>5.1515529999999997E-2</v>
      </c>
      <c r="AA6822">
        <v>0.99141509999999999</v>
      </c>
      <c r="AB6822">
        <v>10</v>
      </c>
      <c r="AC6822">
        <v>0.69870000000002996</v>
      </c>
      <c r="AD6822">
        <v>-1.1112196986589999</v>
      </c>
      <c r="AE6822">
        <v>-21.232690000000002</v>
      </c>
      <c r="AF6822">
        <v>-2.55409356551871</v>
      </c>
      <c r="AG6822">
        <v>-1.1112196986589999</v>
      </c>
      <c r="AH6822">
        <v>21.031699705436701</v>
      </c>
      <c r="AI6822">
        <v>93.002419510058601</v>
      </c>
      <c r="AJ6822">
        <v>96.924104821303501</v>
      </c>
      <c r="AK6822">
        <v>21.2153386883118</v>
      </c>
      <c r="AL6822">
        <v>90.234038141048799</v>
      </c>
      <c r="AM6822">
        <v>92.137675414829204</v>
      </c>
      <c r="AN6822">
        <v>1.0000000544611101</v>
      </c>
    </row>
    <row r="6823" spans="1:40" x14ac:dyDescent="0.25">
      <c r="A6823" t="str">
        <f>"20190312154059920"</f>
        <v>20190312154059920</v>
      </c>
      <c r="B6823" t="str">
        <f>"1552376459913457"</f>
        <v>1552376459913457</v>
      </c>
      <c r="C6823" t="s">
        <v>40</v>
      </c>
      <c r="D6823">
        <v>4.5458339999999904</v>
      </c>
      <c r="E6823">
        <v>0.48045539999999998</v>
      </c>
      <c r="F6823" t="s">
        <v>42</v>
      </c>
      <c r="G6823">
        <v>-420.93049999999999</v>
      </c>
      <c r="H6823" s="1">
        <v>-2.6635579999999999E-6</v>
      </c>
      <c r="I6823">
        <v>85.220789999999994</v>
      </c>
      <c r="J6823">
        <v>-421.26440000000002</v>
      </c>
      <c r="K6823">
        <v>1.111067</v>
      </c>
      <c r="L6823">
        <v>106.6602</v>
      </c>
      <c r="M6823">
        <v>-8.3339650000000001E-2</v>
      </c>
      <c r="N6823">
        <v>0</v>
      </c>
      <c r="O6823">
        <v>-0.99643020000000004</v>
      </c>
      <c r="P6823">
        <v>-4.5852959999999998E-2</v>
      </c>
      <c r="Q6823">
        <v>-1.5892610000000001E-2</v>
      </c>
      <c r="R6823">
        <v>-0.99882190000000004</v>
      </c>
      <c r="S6823">
        <v>4.605103E-2</v>
      </c>
      <c r="T6823">
        <v>-0.154948</v>
      </c>
      <c r="U6823">
        <v>-3.003952</v>
      </c>
      <c r="V6823">
        <v>-3.7551340000000002E-2</v>
      </c>
      <c r="W6823">
        <v>-2.506084E-3</v>
      </c>
      <c r="X6823">
        <v>0.9992915</v>
      </c>
      <c r="Y6823">
        <v>-9.8592059999999995E-2</v>
      </c>
      <c r="Z6823">
        <v>5.1115609999999999E-2</v>
      </c>
      <c r="AA6823">
        <v>0.99381430000000004</v>
      </c>
      <c r="AB6823">
        <v>10</v>
      </c>
      <c r="AC6823">
        <v>0.33390000000002801</v>
      </c>
      <c r="AD6823">
        <v>-1.111069663558</v>
      </c>
      <c r="AE6823">
        <v>-21.439409999999899</v>
      </c>
      <c r="AF6823">
        <v>-2.1139770636039099</v>
      </c>
      <c r="AG6823">
        <v>-1.111069663558</v>
      </c>
      <c r="AH6823">
        <v>21.279846055066201</v>
      </c>
      <c r="AI6823">
        <v>92.974216871872102</v>
      </c>
      <c r="AJ6823">
        <v>95.673248955485803</v>
      </c>
      <c r="AK6823">
        <v>21.413435570922299</v>
      </c>
      <c r="AL6823">
        <v>90.143588194821206</v>
      </c>
      <c r="AM6823">
        <v>92.152046149795197</v>
      </c>
      <c r="AN6823">
        <v>0.99999994278252802</v>
      </c>
    </row>
    <row r="6824" spans="1:40" x14ac:dyDescent="0.25">
      <c r="A6824" t="str">
        <f>"20190312154059941"</f>
        <v>20190312154059941</v>
      </c>
      <c r="B6824" t="str">
        <f>"1552376459932963"</f>
        <v>1552376459932963</v>
      </c>
      <c r="C6824" t="s">
        <v>40</v>
      </c>
      <c r="D6824">
        <v>4.5680969999999999</v>
      </c>
      <c r="E6824">
        <v>0.4823865</v>
      </c>
      <c r="F6824" t="s">
        <v>42</v>
      </c>
      <c r="G6824">
        <v>-421.1028</v>
      </c>
      <c r="H6824" s="1">
        <v>-2.4582710000000001E-6</v>
      </c>
      <c r="I6824">
        <v>84.635429999999999</v>
      </c>
      <c r="J6824">
        <v>-421.26799999999997</v>
      </c>
      <c r="K6824">
        <v>1.1109180000000001</v>
      </c>
      <c r="L6824">
        <v>106.55889999999999</v>
      </c>
      <c r="M6824">
        <v>-7.9278639999999997E-2</v>
      </c>
      <c r="N6824">
        <v>0</v>
      </c>
      <c r="O6824">
        <v>-0.99676200000000004</v>
      </c>
      <c r="P6824">
        <v>-4.052911E-2</v>
      </c>
      <c r="Q6824">
        <v>-1.608536E-2</v>
      </c>
      <c r="R6824">
        <v>-0.99904870000000001</v>
      </c>
      <c r="S6824">
        <v>2.2033690000000002E-2</v>
      </c>
      <c r="T6824">
        <v>-0.15144739999999901</v>
      </c>
      <c r="U6824">
        <v>-3.002151</v>
      </c>
      <c r="V6824">
        <v>-3.8805439999999997E-2</v>
      </c>
      <c r="W6824">
        <v>-2.7226910000000002E-3</v>
      </c>
      <c r="X6824">
        <v>0.99924310000000005</v>
      </c>
      <c r="Y6824">
        <v>-8.6590260000000002E-2</v>
      </c>
      <c r="Z6824">
        <v>5.0049099999999999E-2</v>
      </c>
      <c r="AA6824">
        <v>0.99498609999999998</v>
      </c>
      <c r="AB6824">
        <v>10</v>
      </c>
      <c r="AC6824">
        <v>0.16520000000002699</v>
      </c>
      <c r="AD6824">
        <v>-1.1109204582709999</v>
      </c>
      <c r="AE6824">
        <v>-21.923469999999899</v>
      </c>
      <c r="AF6824">
        <v>-1.8980263095797201</v>
      </c>
      <c r="AG6824">
        <v>-1.1109204582709999</v>
      </c>
      <c r="AH6824">
        <v>21.7854196494768</v>
      </c>
      <c r="AI6824">
        <v>92.908201126885999</v>
      </c>
      <c r="AJ6824">
        <v>94.979247168094901</v>
      </c>
      <c r="AK6824">
        <v>21.896144807711501</v>
      </c>
      <c r="AL6824">
        <v>90.1559988922033</v>
      </c>
      <c r="AM6824">
        <v>92.223954525684107</v>
      </c>
      <c r="AN6824">
        <v>1.0000000240587399</v>
      </c>
    </row>
    <row r="6825" spans="1:40" x14ac:dyDescent="0.25">
      <c r="A6825" t="str">
        <f>"20190312154059962"</f>
        <v>20190312154059962</v>
      </c>
      <c r="B6825" t="str">
        <f>"1552376459953070"</f>
        <v>1552376459953070</v>
      </c>
      <c r="C6825" t="s">
        <v>40</v>
      </c>
      <c r="D6825">
        <v>4.580317</v>
      </c>
      <c r="E6825">
        <v>0.48408380000000001</v>
      </c>
      <c r="F6825" t="s">
        <v>42</v>
      </c>
      <c r="G6825">
        <v>-421.10500000000002</v>
      </c>
      <c r="H6825" s="1">
        <v>-2.4852989999999999E-6</v>
      </c>
      <c r="I6825">
        <v>84.697029999999998</v>
      </c>
      <c r="J6825">
        <v>-421.27140000000003</v>
      </c>
      <c r="K6825">
        <v>1.110811</v>
      </c>
      <c r="L6825">
        <v>106.46120000000001</v>
      </c>
      <c r="M6825">
        <v>-7.562133E-2</v>
      </c>
      <c r="N6825">
        <v>0</v>
      </c>
      <c r="O6825">
        <v>-0.99704660000000001</v>
      </c>
      <c r="P6825">
        <v>-3.573606E-2</v>
      </c>
      <c r="Q6825">
        <v>-1.6138960000000001E-2</v>
      </c>
      <c r="R6825">
        <v>-0.99923110000000004</v>
      </c>
      <c r="S6825">
        <v>2.2369380000000001E-2</v>
      </c>
      <c r="T6825">
        <v>-0.15251229999999999</v>
      </c>
      <c r="U6825">
        <v>-3.0012970000000001</v>
      </c>
      <c r="V6825">
        <v>-3.9933690000000001E-2</v>
      </c>
      <c r="W6825">
        <v>-2.798652E-3</v>
      </c>
      <c r="X6825">
        <v>0.99919840000000004</v>
      </c>
      <c r="Y6825">
        <v>-8.304802E-2</v>
      </c>
      <c r="Z6825">
        <v>5.0443660000000001E-2</v>
      </c>
      <c r="AA6825">
        <v>0.99526800000000004</v>
      </c>
      <c r="AB6825">
        <v>10</v>
      </c>
      <c r="AC6825">
        <v>0.16640000000001001</v>
      </c>
      <c r="AD6825">
        <v>-1.1108134852989999</v>
      </c>
      <c r="AE6825">
        <v>-21.76417</v>
      </c>
      <c r="AF6825">
        <v>-1.80719928030289</v>
      </c>
      <c r="AG6825">
        <v>-1.1108134852989999</v>
      </c>
      <c r="AH6825">
        <v>21.6329057487592</v>
      </c>
      <c r="AI6825">
        <v>92.929274890362905</v>
      </c>
      <c r="AJ6825">
        <v>94.775365010187997</v>
      </c>
      <c r="AK6825">
        <v>21.736662277648499</v>
      </c>
      <c r="AL6825">
        <v>90.160351159285597</v>
      </c>
      <c r="AM6825">
        <v>92.288649451509698</v>
      </c>
      <c r="AN6825">
        <v>0.99999998730629602</v>
      </c>
    </row>
    <row r="6826" spans="1:40" x14ac:dyDescent="0.25">
      <c r="A6826" t="str">
        <f>"20190312154059986"</f>
        <v>20190312154059986</v>
      </c>
      <c r="B6826" t="str">
        <f>"1552376459973566"</f>
        <v>1552376459973566</v>
      </c>
      <c r="C6826" t="s">
        <v>40</v>
      </c>
      <c r="D6826">
        <v>4.5895130000000002</v>
      </c>
      <c r="E6826">
        <v>0.48535309999999998</v>
      </c>
      <c r="F6826" t="s">
        <v>42</v>
      </c>
      <c r="G6826">
        <v>-421.10500000000002</v>
      </c>
      <c r="H6826" s="1">
        <v>-2.5654550000000001E-6</v>
      </c>
      <c r="I6826">
        <v>84.883880000000005</v>
      </c>
      <c r="J6826">
        <v>-421.27499999999998</v>
      </c>
      <c r="K6826">
        <v>1.11073</v>
      </c>
      <c r="L6826">
        <v>106.35590000000001</v>
      </c>
      <c r="M6826">
        <v>-7.1962509999999993E-2</v>
      </c>
      <c r="N6826">
        <v>0</v>
      </c>
      <c r="O6826">
        <v>-0.99731780000000003</v>
      </c>
      <c r="P6826">
        <v>-3.2533029999999998E-2</v>
      </c>
      <c r="Q6826">
        <v>-1.5512110000000001E-2</v>
      </c>
      <c r="R6826">
        <v>-0.99935039999999997</v>
      </c>
      <c r="S6826">
        <v>2.3132320000000001E-2</v>
      </c>
      <c r="T6826">
        <v>-0.15447330000000001</v>
      </c>
      <c r="U6826">
        <v>-3.00061</v>
      </c>
      <c r="V6826">
        <v>-3.9471590000000001E-2</v>
      </c>
      <c r="W6826">
        <v>-2.1922539999999998E-3</v>
      </c>
      <c r="X6826">
        <v>0.9992183</v>
      </c>
      <c r="Y6826">
        <v>-7.9645519999999997E-2</v>
      </c>
      <c r="Z6826">
        <v>5.1130210000000002E-2</v>
      </c>
      <c r="AA6826">
        <v>0.99551109999999998</v>
      </c>
      <c r="AB6826">
        <v>10</v>
      </c>
      <c r="AC6826">
        <v>0.16999999999995899</v>
      </c>
      <c r="AD6826">
        <v>-1.110732565455</v>
      </c>
      <c r="AE6826">
        <v>-21.472020000000001</v>
      </c>
      <c r="AF6826">
        <v>-1.71030128453511</v>
      </c>
      <c r="AG6826">
        <v>-1.110732565455</v>
      </c>
      <c r="AH6826">
        <v>21.3469863672156</v>
      </c>
      <c r="AI6826">
        <v>92.9690475894717</v>
      </c>
      <c r="AJ6826">
        <v>94.580701591816705</v>
      </c>
      <c r="AK6826">
        <v>21.4441759990431</v>
      </c>
      <c r="AL6826">
        <v>90.125607000958794</v>
      </c>
      <c r="AM6826">
        <v>92.262148594992695</v>
      </c>
      <c r="AN6826">
        <v>1.0000000117248</v>
      </c>
    </row>
    <row r="6827" spans="1:40" x14ac:dyDescent="0.25">
      <c r="A6827" t="str">
        <f>"20190312154100008"</f>
        <v>20190312154100008</v>
      </c>
      <c r="B6827" t="str">
        <f>"1552376460002847"</f>
        <v>1552376460002847</v>
      </c>
      <c r="C6827" t="s">
        <v>40</v>
      </c>
      <c r="D6827">
        <v>4.5841729999999998</v>
      </c>
      <c r="E6827">
        <v>0.4871201</v>
      </c>
      <c r="F6827" t="s">
        <v>42</v>
      </c>
      <c r="G6827">
        <v>-421.1189</v>
      </c>
      <c r="H6827" s="1">
        <v>-2.6515259999999998E-6</v>
      </c>
      <c r="I6827">
        <v>85.075900000000004</v>
      </c>
      <c r="J6827">
        <v>-421.27839999999998</v>
      </c>
      <c r="K6827">
        <v>1.110657</v>
      </c>
      <c r="L6827">
        <v>106.2548</v>
      </c>
      <c r="M6827">
        <v>-6.8733119999999995E-2</v>
      </c>
      <c r="N6827">
        <v>0</v>
      </c>
      <c r="O6827">
        <v>-0.99754600000000004</v>
      </c>
      <c r="P6827">
        <v>-3.1045509999999998E-2</v>
      </c>
      <c r="Q6827">
        <v>-1.639844E-2</v>
      </c>
      <c r="R6827">
        <v>-0.99938389999999999</v>
      </c>
      <c r="S6827">
        <v>2.2003169999999999E-2</v>
      </c>
      <c r="T6827">
        <v>-0.15660019999999999</v>
      </c>
      <c r="U6827">
        <v>-3.000229</v>
      </c>
      <c r="V6827">
        <v>-3.7722819999999997E-2</v>
      </c>
      <c r="W6827">
        <v>-3.0951329999999999E-3</v>
      </c>
      <c r="X6827">
        <v>0.99928340000000004</v>
      </c>
      <c r="Y6827">
        <v>-7.6043639999999996E-2</v>
      </c>
      <c r="Z6827">
        <v>5.1864069999999998E-2</v>
      </c>
      <c r="AA6827">
        <v>0.99575469999999999</v>
      </c>
      <c r="AB6827">
        <v>10</v>
      </c>
      <c r="AC6827">
        <v>0.15949999999997999</v>
      </c>
      <c r="AD6827">
        <v>-1.1106596515260001</v>
      </c>
      <c r="AE6827">
        <v>-21.178899999999999</v>
      </c>
      <c r="AF6827">
        <v>-1.6105150907380099</v>
      </c>
      <c r="AG6827">
        <v>-1.1106596515260001</v>
      </c>
      <c r="AH6827">
        <v>21.059926318779201</v>
      </c>
      <c r="AI6827">
        <v>93.010098876964605</v>
      </c>
      <c r="AJ6827">
        <v>94.373066886769806</v>
      </c>
      <c r="AK6827">
        <v>21.150598579506699</v>
      </c>
      <c r="AL6827">
        <v>90.177338349544897</v>
      </c>
      <c r="AM6827">
        <v>92.161881775495104</v>
      </c>
      <c r="AN6827">
        <v>0.99999995225629901</v>
      </c>
    </row>
    <row r="6828" spans="1:40" x14ac:dyDescent="0.25">
      <c r="A6828" t="str">
        <f>"20190312154100032"</f>
        <v>20190312154100032</v>
      </c>
      <c r="B6828" t="str">
        <f>"1552376460023343"</f>
        <v>1552376460023343</v>
      </c>
      <c r="C6828" t="s">
        <v>40</v>
      </c>
      <c r="D6828">
        <v>4.6144699999999998</v>
      </c>
      <c r="E6828">
        <v>0.48805720000000002</v>
      </c>
      <c r="F6828" t="s">
        <v>42</v>
      </c>
      <c r="G6828">
        <v>-421.19349999999997</v>
      </c>
      <c r="H6828" s="1">
        <v>-3.0233759999999999E-6</v>
      </c>
      <c r="I6828">
        <v>85.896429999999995</v>
      </c>
      <c r="J6828">
        <v>-421.28190000000001</v>
      </c>
      <c r="K6828">
        <v>1.110581</v>
      </c>
      <c r="L6828">
        <v>106.1528</v>
      </c>
      <c r="M6828">
        <v>-6.5768439999999997E-2</v>
      </c>
      <c r="N6828">
        <v>0</v>
      </c>
      <c r="O6828">
        <v>-0.99774609999999997</v>
      </c>
      <c r="P6828">
        <v>-3.044875E-2</v>
      </c>
      <c r="Q6828">
        <v>-1.6808650000000001E-2</v>
      </c>
      <c r="R6828">
        <v>-0.99939529999999999</v>
      </c>
      <c r="S6828">
        <v>1.2512209999999999E-2</v>
      </c>
      <c r="T6828">
        <v>-0.16364319999999999</v>
      </c>
      <c r="U6828">
        <v>-2.9995729999999998</v>
      </c>
      <c r="V6828">
        <v>-3.5349720000000001E-2</v>
      </c>
      <c r="W6828">
        <v>-3.5190059999999999E-3</v>
      </c>
      <c r="X6828">
        <v>0.99936879999999995</v>
      </c>
      <c r="Y6828">
        <v>-6.9929690000000003E-2</v>
      </c>
      <c r="Z6828">
        <v>5.4230710000000001E-2</v>
      </c>
      <c r="AA6828">
        <v>0.99607679999999998</v>
      </c>
      <c r="AB6828">
        <v>10</v>
      </c>
      <c r="AC6828">
        <v>8.8400000000035506E-2</v>
      </c>
      <c r="AD6828">
        <v>-1.11058402337599</v>
      </c>
      <c r="AE6828">
        <v>-20.256369999999901</v>
      </c>
      <c r="AF6828">
        <v>-1.4162992773415599</v>
      </c>
      <c r="AG6828">
        <v>-1.11058402337599</v>
      </c>
      <c r="AH6828">
        <v>20.146134136837201</v>
      </c>
      <c r="AI6828">
        <v>93.147564095178495</v>
      </c>
      <c r="AJ6828">
        <v>94.021351217568196</v>
      </c>
      <c r="AK6828">
        <v>20.226369451174701</v>
      </c>
      <c r="AL6828">
        <v>90.201624609576299</v>
      </c>
      <c r="AM6828">
        <v>92.025824386686907</v>
      </c>
      <c r="AN6828">
        <v>0.99999999226037295</v>
      </c>
    </row>
    <row r="6829" spans="1:40" x14ac:dyDescent="0.25">
      <c r="A6829" t="str">
        <f>"20190312154100054"</f>
        <v>20190312154100054</v>
      </c>
      <c r="B6829" t="str">
        <f>"1552376460043368"</f>
        <v>1552376460043368</v>
      </c>
      <c r="C6829" t="s">
        <v>40</v>
      </c>
      <c r="D6829">
        <v>4.603739</v>
      </c>
      <c r="E6829">
        <v>0.48896420000000002</v>
      </c>
      <c r="F6829" t="s">
        <v>42</v>
      </c>
      <c r="G6829">
        <v>-421.23610000000002</v>
      </c>
      <c r="H6829" s="1">
        <v>-3.1810039999999998E-6</v>
      </c>
      <c r="I6829">
        <v>86.237459999999999</v>
      </c>
      <c r="J6829">
        <v>-421.28530000000001</v>
      </c>
      <c r="K6829">
        <v>1.1104909999999999</v>
      </c>
      <c r="L6829">
        <v>106.0506</v>
      </c>
      <c r="M6829">
        <v>-6.308967E-2</v>
      </c>
      <c r="N6829">
        <v>0</v>
      </c>
      <c r="O6829">
        <v>-0.99791929999999995</v>
      </c>
      <c r="P6829">
        <v>-2.9171289999999999E-2</v>
      </c>
      <c r="Q6829">
        <v>-1.6085060000000002E-2</v>
      </c>
      <c r="R6829">
        <v>-0.99944509999999998</v>
      </c>
      <c r="S6829">
        <v>6.8969729999999998E-3</v>
      </c>
      <c r="T6829">
        <v>-0.16725129999999999</v>
      </c>
      <c r="U6829">
        <v>-2.9992070000000002</v>
      </c>
      <c r="V6829">
        <v>-3.3945879999999998E-2</v>
      </c>
      <c r="W6829">
        <v>-2.807174E-3</v>
      </c>
      <c r="X6829">
        <v>0.99941970000000002</v>
      </c>
      <c r="Y6829">
        <v>-6.5386440000000004E-2</v>
      </c>
      <c r="Z6829">
        <v>5.5452689999999999E-2</v>
      </c>
      <c r="AA6829">
        <v>0.99631800000000004</v>
      </c>
      <c r="AB6829">
        <v>10</v>
      </c>
      <c r="AC6829">
        <v>4.9199999999984798E-2</v>
      </c>
      <c r="AD6829">
        <v>-1.1104941810040001</v>
      </c>
      <c r="AE6829">
        <v>-19.813140000000001</v>
      </c>
      <c r="AF6829">
        <v>-1.2951483470401299</v>
      </c>
      <c r="AG6829">
        <v>-1.1104941810040001</v>
      </c>
      <c r="AH6829">
        <v>19.708645484094198</v>
      </c>
      <c r="AI6829">
        <v>93.218025094358893</v>
      </c>
      <c r="AJ6829">
        <v>93.759770890204905</v>
      </c>
      <c r="AK6829">
        <v>19.782348530560999</v>
      </c>
      <c r="AL6829">
        <v>90.160839438647002</v>
      </c>
      <c r="AM6829">
        <v>91.945337112242896</v>
      </c>
      <c r="AN6829">
        <v>0.999999969871464</v>
      </c>
    </row>
    <row r="6830" spans="1:40" x14ac:dyDescent="0.25">
      <c r="A6830" t="str">
        <f>"20190312154100076"</f>
        <v>20190312154100076</v>
      </c>
      <c r="B6830" t="str">
        <f>"1552376460062888"</f>
        <v>1552376460062888</v>
      </c>
      <c r="C6830" t="s">
        <v>40</v>
      </c>
      <c r="D6830">
        <v>4.6134879999999896</v>
      </c>
      <c r="E6830">
        <v>0.48941570000000001</v>
      </c>
      <c r="F6830" t="s">
        <v>42</v>
      </c>
      <c r="G6830">
        <v>-421.2629</v>
      </c>
      <c r="H6830" s="1">
        <v>-3.162821E-6</v>
      </c>
      <c r="I6830">
        <v>86.178439999999995</v>
      </c>
      <c r="J6830">
        <v>-421.28879999999998</v>
      </c>
      <c r="K6830">
        <v>1.1103860000000001</v>
      </c>
      <c r="L6830">
        <v>105.9525</v>
      </c>
      <c r="M6830">
        <v>-6.0799569999999997E-2</v>
      </c>
      <c r="N6830">
        <v>0</v>
      </c>
      <c r="O6830">
        <v>-0.9980618</v>
      </c>
      <c r="P6830">
        <v>-2.7601710000000002E-2</v>
      </c>
      <c r="Q6830">
        <v>-1.4294340000000001E-2</v>
      </c>
      <c r="R6830">
        <v>-0.99951719999999999</v>
      </c>
      <c r="S6830">
        <v>3.3874510000000001E-3</v>
      </c>
      <c r="T6830">
        <v>-0.16759379999999999</v>
      </c>
      <c r="U6830">
        <v>-2.999069</v>
      </c>
      <c r="V6830">
        <v>-3.3224959999999998E-2</v>
      </c>
      <c r="W6830">
        <v>-1.025254E-3</v>
      </c>
      <c r="X6830">
        <v>0.99944730000000004</v>
      </c>
      <c r="Y6830">
        <v>-6.1930449999999998E-2</v>
      </c>
      <c r="Z6830">
        <v>5.5586530000000002E-2</v>
      </c>
      <c r="AA6830">
        <v>0.99653139999999996</v>
      </c>
      <c r="AB6830">
        <v>10</v>
      </c>
      <c r="AC6830">
        <v>2.58999999999787E-2</v>
      </c>
      <c r="AD6830">
        <v>-1.1103891628210001</v>
      </c>
      <c r="AE6830">
        <v>-19.774059999999899</v>
      </c>
      <c r="AF6830">
        <v>-1.2243515844603701</v>
      </c>
      <c r="AG6830">
        <v>-1.1103891628210001</v>
      </c>
      <c r="AH6830">
        <v>19.673860052912701</v>
      </c>
      <c r="AI6830">
        <v>93.224112429153195</v>
      </c>
      <c r="AJ6830">
        <v>93.561061592025695</v>
      </c>
      <c r="AK6830">
        <v>19.743170218505298</v>
      </c>
      <c r="AL6830">
        <v>90.058742741691006</v>
      </c>
      <c r="AM6830">
        <v>91.904001535354197</v>
      </c>
      <c r="AN6830">
        <v>0.99999992729502496</v>
      </c>
    </row>
    <row r="6831" spans="1:40" x14ac:dyDescent="0.25">
      <c r="A6831" t="str">
        <f>"20190312154100099"</f>
        <v>20190312154100099</v>
      </c>
      <c r="B6831" t="str">
        <f>"1552376460083384"</f>
        <v>1552376460083384</v>
      </c>
      <c r="C6831" t="s">
        <v>40</v>
      </c>
      <c r="D6831">
        <v>4.6644620000000003</v>
      </c>
      <c r="E6831">
        <v>0.49928400000000001</v>
      </c>
      <c r="F6831" t="s">
        <v>42</v>
      </c>
      <c r="G6831">
        <v>-421.25990000000002</v>
      </c>
      <c r="H6831" s="1">
        <v>-2.8940830000000001E-6</v>
      </c>
      <c r="I6831">
        <v>85.553830000000005</v>
      </c>
      <c r="J6831">
        <v>-421.29239999999999</v>
      </c>
      <c r="K6831">
        <v>1.110274</v>
      </c>
      <c r="L6831">
        <v>105.85290000000001</v>
      </c>
      <c r="M6831">
        <v>-5.875677E-2</v>
      </c>
      <c r="N6831">
        <v>0</v>
      </c>
      <c r="O6831">
        <v>-0.99818430000000002</v>
      </c>
      <c r="P6831">
        <v>-2.6164409999999999E-2</v>
      </c>
      <c r="Q6831">
        <v>-1.420187E-2</v>
      </c>
      <c r="R6831">
        <v>-0.99955689999999997</v>
      </c>
      <c r="S6831">
        <v>4.2419429999999998E-3</v>
      </c>
      <c r="T6831">
        <v>-0.16326179999999901</v>
      </c>
      <c r="U6831">
        <v>-2.9992369999999999</v>
      </c>
      <c r="V6831">
        <v>-3.2616850000000003E-2</v>
      </c>
      <c r="W6831">
        <v>-9.3950139999999995E-4</v>
      </c>
      <c r="X6831">
        <v>0.99946749999999995</v>
      </c>
      <c r="Y6831">
        <v>-6.0171599999999999E-2</v>
      </c>
      <c r="Z6831">
        <v>5.4163889999999999E-2</v>
      </c>
      <c r="AA6831">
        <v>0.99671750000000003</v>
      </c>
      <c r="AB6831">
        <v>10</v>
      </c>
      <c r="AC6831">
        <v>3.24999999999704E-2</v>
      </c>
      <c r="AD6831">
        <v>-1.1102768940829999</v>
      </c>
      <c r="AE6831">
        <v>-20.29907</v>
      </c>
      <c r="AF6831">
        <v>-1.2216018562234401</v>
      </c>
      <c r="AG6831">
        <v>-1.1102768940829999</v>
      </c>
      <c r="AH6831">
        <v>20.201647903174202</v>
      </c>
      <c r="AI6831">
        <v>93.140070776403405</v>
      </c>
      <c r="AJ6831">
        <v>93.460485219510403</v>
      </c>
      <c r="AK6831">
        <v>20.268981323206301</v>
      </c>
      <c r="AL6831">
        <v>90.053829472309303</v>
      </c>
      <c r="AM6831">
        <v>91.869140164438406</v>
      </c>
      <c r="AN6831">
        <v>1.00000001256152</v>
      </c>
    </row>
    <row r="6832" spans="1:40" x14ac:dyDescent="0.25">
      <c r="A6832" t="str">
        <f>"20190312154100121"</f>
        <v>20190312154100121</v>
      </c>
      <c r="B6832" t="str">
        <f>"1552376460113640"</f>
        <v>1552376460113640</v>
      </c>
      <c r="C6832" t="s">
        <v>40</v>
      </c>
      <c r="D6832">
        <v>4.6637700000000004</v>
      </c>
      <c r="E6832">
        <v>0.49979970000000001</v>
      </c>
      <c r="F6832" t="s">
        <v>42</v>
      </c>
      <c r="G6832">
        <v>-421.71030000000002</v>
      </c>
      <c r="H6832" s="1">
        <v>-4.0071269999999998E-6</v>
      </c>
      <c r="I6832">
        <v>87.870440000000002</v>
      </c>
      <c r="J6832">
        <v>-421.29629999999997</v>
      </c>
      <c r="K6832">
        <v>1.1101730000000001</v>
      </c>
      <c r="L6832">
        <v>105.751</v>
      </c>
      <c r="M6832">
        <v>-5.696557E-2</v>
      </c>
      <c r="N6832">
        <v>0</v>
      </c>
      <c r="O6832">
        <v>-0.99828850000000002</v>
      </c>
      <c r="P6832">
        <v>-2.5408920000000002E-2</v>
      </c>
      <c r="Q6832">
        <v>-1.497683E-2</v>
      </c>
      <c r="R6832">
        <v>-0.99956529999999999</v>
      </c>
      <c r="S6832">
        <v>-6.9641110000000006E-2</v>
      </c>
      <c r="T6832">
        <v>-0.18503430000000001</v>
      </c>
      <c r="U6832">
        <v>-2.9968870000000001</v>
      </c>
      <c r="V6832">
        <v>-3.1578790000000002E-2</v>
      </c>
      <c r="W6832">
        <v>-1.720077E-3</v>
      </c>
      <c r="X6832">
        <v>0.99949980000000005</v>
      </c>
      <c r="Y6832">
        <v>-3.3805309999999998E-2</v>
      </c>
      <c r="Z6832">
        <v>6.1448969999999999E-2</v>
      </c>
      <c r="AA6832">
        <v>0.99753760000000002</v>
      </c>
      <c r="AB6832">
        <v>10</v>
      </c>
      <c r="AC6832">
        <v>-0.414000000000044</v>
      </c>
      <c r="AD6832">
        <v>-1.1101770071269901</v>
      </c>
      <c r="AE6832">
        <v>-17.880559999999999</v>
      </c>
      <c r="AF6832">
        <v>-0.60301445741487403</v>
      </c>
      <c r="AG6832">
        <v>-1.1101770071269901</v>
      </c>
      <c r="AH6832">
        <v>17.8064983290495</v>
      </c>
      <c r="AI6832">
        <v>93.565548268764701</v>
      </c>
      <c r="AJ6832">
        <v>91.939571954483995</v>
      </c>
      <c r="AK6832">
        <v>17.851260520351101</v>
      </c>
      <c r="AL6832">
        <v>90.098553199713905</v>
      </c>
      <c r="AM6832">
        <v>91.809634892895701</v>
      </c>
      <c r="AN6832">
        <v>1.0000000144213901</v>
      </c>
    </row>
    <row r="6833" spans="1:40" x14ac:dyDescent="0.25">
      <c r="A6833" t="str">
        <f>"20190312154100142"</f>
        <v>20190312154100142</v>
      </c>
      <c r="B6833" t="str">
        <f>"1552376460133160"</f>
        <v>1552376460133160</v>
      </c>
      <c r="C6833" t="s">
        <v>40</v>
      </c>
      <c r="D6833">
        <v>4.6785550000000002</v>
      </c>
      <c r="E6833">
        <v>0.50034290000000003</v>
      </c>
      <c r="F6833" t="s">
        <v>42</v>
      </c>
      <c r="G6833">
        <v>-421.70310000000001</v>
      </c>
      <c r="H6833" s="1">
        <v>-4.2670830000000004E-6</v>
      </c>
      <c r="I6833">
        <v>88.638059999999996</v>
      </c>
      <c r="J6833">
        <v>-421.30029999999999</v>
      </c>
      <c r="K6833">
        <v>1.110109</v>
      </c>
      <c r="L6833">
        <v>105.6516</v>
      </c>
      <c r="M6833">
        <v>-5.5442030000000003E-2</v>
      </c>
      <c r="N6833">
        <v>0</v>
      </c>
      <c r="O6833">
        <v>-0.99837430000000005</v>
      </c>
      <c r="P6833">
        <v>-2.4587580000000001E-2</v>
      </c>
      <c r="Q6833">
        <v>-1.5498029999999999E-2</v>
      </c>
      <c r="R6833">
        <v>-0.99957790000000002</v>
      </c>
      <c r="S6833">
        <v>-7.1228029999999998E-2</v>
      </c>
      <c r="T6833">
        <v>-0.19439919999999999</v>
      </c>
      <c r="U6833">
        <v>-2.9965820000000001</v>
      </c>
      <c r="V6833">
        <v>-3.0874809999999999E-2</v>
      </c>
      <c r="W6833">
        <v>-2.2475379999999999E-3</v>
      </c>
      <c r="X6833">
        <v>0.99952070000000004</v>
      </c>
      <c r="Y6833">
        <v>-3.1754360000000002E-2</v>
      </c>
      <c r="Z6833">
        <v>6.4562949999999994E-2</v>
      </c>
      <c r="AA6833">
        <v>0.99740830000000003</v>
      </c>
      <c r="AB6833">
        <v>10</v>
      </c>
      <c r="AC6833">
        <v>-0.40280000000001298</v>
      </c>
      <c r="AD6833">
        <v>-1.1101132670829901</v>
      </c>
      <c r="AE6833">
        <v>-17.013539999999999</v>
      </c>
      <c r="AF6833">
        <v>-0.53887444177163002</v>
      </c>
      <c r="AG6833">
        <v>-1.1101132670829901</v>
      </c>
      <c r="AH6833">
        <v>16.937631028267099</v>
      </c>
      <c r="AI6833">
        <v>93.7479819604808</v>
      </c>
      <c r="AJ6833">
        <v>91.822263106605803</v>
      </c>
      <c r="AK6833">
        <v>16.982522839067901</v>
      </c>
      <c r="AL6833">
        <v>90.128774554293301</v>
      </c>
      <c r="AM6833">
        <v>91.769282004936699</v>
      </c>
      <c r="AN6833">
        <v>0.99999996752404297</v>
      </c>
    </row>
    <row r="6834" spans="1:40" x14ac:dyDescent="0.25">
      <c r="A6834" t="str">
        <f>"20190312154100164"</f>
        <v>20190312154100164</v>
      </c>
      <c r="B6834" t="str">
        <f>"1552376460153187"</f>
        <v>1552376460153187</v>
      </c>
      <c r="C6834" t="s">
        <v>40</v>
      </c>
      <c r="D6834">
        <v>4.6924279999999996</v>
      </c>
      <c r="E6834">
        <v>0.50068109999999999</v>
      </c>
      <c r="F6834" t="s">
        <v>42</v>
      </c>
      <c r="G6834">
        <v>-421.70729999999998</v>
      </c>
      <c r="H6834" s="1">
        <v>-4.3766730000000003E-6</v>
      </c>
      <c r="I6834">
        <v>88.957909999999998</v>
      </c>
      <c r="J6834">
        <v>-421.30419999999998</v>
      </c>
      <c r="K6834">
        <v>1.1100950000000001</v>
      </c>
      <c r="L6834">
        <v>105.5552</v>
      </c>
      <c r="M6834">
        <v>-5.4149849999999999E-2</v>
      </c>
      <c r="N6834">
        <v>0</v>
      </c>
      <c r="O6834">
        <v>-0.99844520000000003</v>
      </c>
      <c r="P6834">
        <v>-2.427928E-2</v>
      </c>
      <c r="Q6834">
        <v>-1.5719859999999999E-2</v>
      </c>
      <c r="R6834">
        <v>-0.99958159999999896</v>
      </c>
      <c r="S6834">
        <v>-7.3059079999999998E-2</v>
      </c>
      <c r="T6834">
        <v>-0.1992574</v>
      </c>
      <c r="U6834">
        <v>-2.9963989999999998</v>
      </c>
      <c r="V6834">
        <v>-2.9890110000000001E-2</v>
      </c>
      <c r="W6834">
        <v>-2.475966E-3</v>
      </c>
      <c r="X6834">
        <v>0.9995501</v>
      </c>
      <c r="Y6834">
        <v>-2.9852719999999999E-2</v>
      </c>
      <c r="Z6834">
        <v>6.6181980000000001E-2</v>
      </c>
      <c r="AA6834">
        <v>0.99736089999999999</v>
      </c>
      <c r="AB6834">
        <v>10</v>
      </c>
      <c r="AC6834">
        <v>-0.40309999999999402</v>
      </c>
      <c r="AD6834">
        <v>-1.1100993766730001</v>
      </c>
      <c r="AE6834">
        <v>-16.597290000000001</v>
      </c>
      <c r="AF6834">
        <v>-0.494101855692541</v>
      </c>
      <c r="AG6834">
        <v>-1.1100993766730001</v>
      </c>
      <c r="AH6834">
        <v>16.520901239264099</v>
      </c>
      <c r="AI6834">
        <v>93.842420207284803</v>
      </c>
      <c r="AJ6834">
        <v>91.713073294418095</v>
      </c>
      <c r="AK6834">
        <v>16.565525498075999</v>
      </c>
      <c r="AL6834">
        <v>90.141862550404596</v>
      </c>
      <c r="AM6834">
        <v>91.7128375561512</v>
      </c>
      <c r="AN6834">
        <v>0.99999997574672705</v>
      </c>
    </row>
    <row r="6835" spans="1:40" x14ac:dyDescent="0.25">
      <c r="A6835" t="str">
        <f>"20190312154100179"</f>
        <v>20190312154100179</v>
      </c>
      <c r="B6835" t="str">
        <f>"1552376460173683"</f>
        <v>1552376460173683</v>
      </c>
      <c r="C6835" t="s">
        <v>40</v>
      </c>
      <c r="D6835">
        <v>4.6968059999999996</v>
      </c>
      <c r="E6835">
        <v>0.50081249999999999</v>
      </c>
      <c r="F6835" t="s">
        <v>42</v>
      </c>
      <c r="G6835">
        <v>-421.71620000000001</v>
      </c>
      <c r="H6835" s="1">
        <v>-4.3815899999999998E-6</v>
      </c>
      <c r="I6835">
        <v>88.967680000000001</v>
      </c>
      <c r="J6835">
        <v>-421.30689999999998</v>
      </c>
      <c r="K6835">
        <v>1.1100909999999999</v>
      </c>
      <c r="L6835">
        <v>105.4902</v>
      </c>
      <c r="M6835">
        <v>-5.3365219999999998E-2</v>
      </c>
      <c r="N6835">
        <v>0</v>
      </c>
      <c r="O6835">
        <v>-0.99848749999999997</v>
      </c>
      <c r="P6835">
        <v>-2.3772189999999999E-2</v>
      </c>
      <c r="Q6835">
        <v>-1.5698190000000001E-2</v>
      </c>
      <c r="R6835">
        <v>-0.99959410000000004</v>
      </c>
      <c r="S6835">
        <v>-7.4432369999999998E-2</v>
      </c>
      <c r="T6835">
        <v>-0.20052239999999999</v>
      </c>
      <c r="U6835">
        <v>-2.9962770000000001</v>
      </c>
      <c r="V6835">
        <v>-2.9611760000000001E-2</v>
      </c>
      <c r="W6835">
        <v>-2.458699E-3</v>
      </c>
      <c r="X6835">
        <v>0.99955839999999996</v>
      </c>
      <c r="Y6835">
        <v>-2.8610070000000001E-2</v>
      </c>
      <c r="Z6835">
        <v>6.6608039999999993E-2</v>
      </c>
      <c r="AA6835">
        <v>0.9973689</v>
      </c>
      <c r="AB6835">
        <v>10</v>
      </c>
      <c r="AC6835">
        <v>-0.40930000000002997</v>
      </c>
      <c r="AD6835">
        <v>-1.1100953815900001</v>
      </c>
      <c r="AE6835">
        <v>-16.52252</v>
      </c>
      <c r="AF6835">
        <v>-0.470963688353706</v>
      </c>
      <c r="AG6835">
        <v>-1.1100953815900001</v>
      </c>
      <c r="AH6835">
        <v>16.446620976822299</v>
      </c>
      <c r="AI6835">
        <v>93.859851234814201</v>
      </c>
      <c r="AJ6835">
        <v>91.6402675961168</v>
      </c>
      <c r="AK6835">
        <v>16.490768936202699</v>
      </c>
      <c r="AL6835">
        <v>90.140873225015</v>
      </c>
      <c r="AM6835">
        <v>91.696882138112599</v>
      </c>
      <c r="AN6835">
        <v>0.99999994827081296</v>
      </c>
    </row>
    <row r="6836" spans="1:40" x14ac:dyDescent="0.25">
      <c r="A6836" t="str">
        <f>"20190312154100198"</f>
        <v>20190312154100198</v>
      </c>
      <c r="B6836" t="str">
        <f>"1552376460193207"</f>
        <v>1552376460193207</v>
      </c>
      <c r="C6836" t="s">
        <v>40</v>
      </c>
      <c r="D6836">
        <v>4.6940460000000002</v>
      </c>
      <c r="E6836">
        <v>0.51571049999999996</v>
      </c>
      <c r="F6836" t="s">
        <v>42</v>
      </c>
      <c r="G6836">
        <v>-421.71159999999998</v>
      </c>
      <c r="H6836" s="1">
        <v>-4.3713820000000001E-6</v>
      </c>
      <c r="I6836">
        <v>88.940129999999996</v>
      </c>
      <c r="J6836">
        <v>-421.31040000000002</v>
      </c>
      <c r="K6836">
        <v>1.110106</v>
      </c>
      <c r="L6836">
        <v>105.4042</v>
      </c>
      <c r="M6836">
        <v>-5.2449379999999997E-2</v>
      </c>
      <c r="N6836">
        <v>0</v>
      </c>
      <c r="O6836">
        <v>-0.99853630000000004</v>
      </c>
      <c r="P6836">
        <v>-2.4135179999999999E-2</v>
      </c>
      <c r="Q6836">
        <v>-1.5746989999999999E-2</v>
      </c>
      <c r="R6836">
        <v>-0.99958519999999895</v>
      </c>
      <c r="S6836">
        <v>-7.3272710000000005E-2</v>
      </c>
      <c r="T6836">
        <v>-0.20097719999999999</v>
      </c>
      <c r="U6836">
        <v>-2.9963069999999998</v>
      </c>
      <c r="V6836">
        <v>-2.8331519999999999E-2</v>
      </c>
      <c r="W6836">
        <v>-2.514414E-3</v>
      </c>
      <c r="X6836">
        <v>0.99959540000000002</v>
      </c>
      <c r="Y6836">
        <v>-2.80795E-2</v>
      </c>
      <c r="Z6836">
        <v>6.6763439999999993E-2</v>
      </c>
      <c r="AA6836">
        <v>0.99737359999999997</v>
      </c>
      <c r="AB6836">
        <v>10</v>
      </c>
      <c r="AC6836">
        <v>-0.40119999999995998</v>
      </c>
      <c r="AD6836">
        <v>-1.110110371382</v>
      </c>
      <c r="AE6836">
        <v>-16.4640699999999</v>
      </c>
      <c r="AF6836">
        <v>-0.46086387227243603</v>
      </c>
      <c r="AG6836">
        <v>-1.110110371382</v>
      </c>
      <c r="AH6836">
        <v>16.387988695479201</v>
      </c>
      <c r="AI6836">
        <v>93.873727303699994</v>
      </c>
      <c r="AJ6836">
        <v>91.610850340469298</v>
      </c>
      <c r="AK6836">
        <v>16.432008825112401</v>
      </c>
      <c r="AL6836">
        <v>90.144065464761496</v>
      </c>
      <c r="AM6836">
        <v>91.623498927405393</v>
      </c>
      <c r="AN6836">
        <v>0.99999998050221595</v>
      </c>
    </row>
    <row r="6837" spans="1:40" x14ac:dyDescent="0.25">
      <c r="A6837" t="str">
        <f>"20190312154100211"</f>
        <v>20190312154100211</v>
      </c>
      <c r="B6837" t="str">
        <f>"1552376460202963"</f>
        <v>1552376460202963</v>
      </c>
      <c r="C6837" t="s">
        <v>40</v>
      </c>
      <c r="D6837">
        <v>4.7085299999999997</v>
      </c>
      <c r="E6837">
        <v>0.55319379999999996</v>
      </c>
      <c r="F6837" t="s">
        <v>41</v>
      </c>
      <c r="G6837">
        <v>-421.36130000000003</v>
      </c>
      <c r="H6837">
        <v>1.0211059999999901</v>
      </c>
      <c r="I6837">
        <v>104.6019</v>
      </c>
      <c r="J6837">
        <v>-421.31299999999999</v>
      </c>
      <c r="K6837">
        <v>1.110115</v>
      </c>
      <c r="L6837">
        <v>105.34139999999999</v>
      </c>
      <c r="M6837">
        <v>-5.1859049999999997E-2</v>
      </c>
      <c r="N6837">
        <v>0</v>
      </c>
      <c r="O6837">
        <v>-0.99856710000000004</v>
      </c>
      <c r="P6837">
        <v>-2.4307749999999999E-2</v>
      </c>
      <c r="Q6837">
        <v>-1.607979E-2</v>
      </c>
      <c r="R6837">
        <v>-0.99957530000000006</v>
      </c>
      <c r="S6837">
        <v>-0.18905640000000001</v>
      </c>
      <c r="T6837">
        <v>-0.33200730000000001</v>
      </c>
      <c r="U6837">
        <v>-2.9914550000000002</v>
      </c>
      <c r="V6837">
        <v>-2.756838E-2</v>
      </c>
      <c r="W6837">
        <v>-2.8586079999999999E-3</v>
      </c>
      <c r="X6837">
        <v>0.99961580000000005</v>
      </c>
      <c r="Y6837">
        <v>1.0844690000000001E-2</v>
      </c>
      <c r="Z6837">
        <v>0.10997469999999999</v>
      </c>
      <c r="AA6837">
        <v>0.99387519999999996</v>
      </c>
      <c r="AB6837">
        <v>10</v>
      </c>
      <c r="AC6837">
        <v>-4.8299999999983301E-2</v>
      </c>
      <c r="AD6837">
        <v>-8.9009000000000102E-2</v>
      </c>
      <c r="AE6837">
        <v>-0.73949999999999205</v>
      </c>
      <c r="AF6837">
        <v>9.7413573331006295E-3</v>
      </c>
      <c r="AG6837">
        <v>-8.9009000000000102E-2</v>
      </c>
      <c r="AH6837">
        <v>0.73047206351255001</v>
      </c>
      <c r="AI6837">
        <v>96.946706963892495</v>
      </c>
      <c r="AJ6837">
        <v>89.235965881941496</v>
      </c>
      <c r="AK6837">
        <v>0.73593948915381202</v>
      </c>
      <c r="AL6837">
        <v>90.163786402087396</v>
      </c>
      <c r="AM6837">
        <v>91.579758478888706</v>
      </c>
      <c r="AN6837">
        <v>0.99999996741258002</v>
      </c>
    </row>
    <row r="6838" spans="1:40" x14ac:dyDescent="0.25">
      <c r="A6838" t="str">
        <f>"20190312154100233"</f>
        <v>20190312154100233</v>
      </c>
      <c r="B6838" t="str">
        <f>"1552376460223459"</f>
        <v>1552376460223459</v>
      </c>
      <c r="C6838" t="s">
        <v>40</v>
      </c>
      <c r="D6838">
        <v>4.6722640000000002</v>
      </c>
      <c r="E6838">
        <v>0.55684999999999996</v>
      </c>
      <c r="F6838" t="s">
        <v>41</v>
      </c>
      <c r="G6838">
        <v>-421.42469999999997</v>
      </c>
      <c r="H6838">
        <v>0.94377060000000002</v>
      </c>
      <c r="I6838">
        <v>104.64409999999999</v>
      </c>
      <c r="J6838">
        <v>-421.31689999999998</v>
      </c>
      <c r="K6838">
        <v>1.110123</v>
      </c>
      <c r="L6838">
        <v>105.2501</v>
      </c>
      <c r="M6838">
        <v>-5.1066640000000003E-2</v>
      </c>
      <c r="N6838">
        <v>0</v>
      </c>
      <c r="O6838">
        <v>-0.99860839999999995</v>
      </c>
      <c r="P6838">
        <v>-2.5617930000000001E-2</v>
      </c>
      <c r="Q6838">
        <v>-1.6672820000000001E-2</v>
      </c>
      <c r="R6838">
        <v>-0.9995328</v>
      </c>
      <c r="S6838">
        <v>-0.47601320000000003</v>
      </c>
      <c r="T6838">
        <v>-0.71065409999999996</v>
      </c>
      <c r="U6838">
        <v>-2.9782709999999999</v>
      </c>
      <c r="V6838">
        <v>-2.5464319999999999E-2</v>
      </c>
      <c r="W6838">
        <v>-3.4827230000000001E-3</v>
      </c>
      <c r="X6838">
        <v>0.99966969999999999</v>
      </c>
      <c r="Y6838">
        <v>0.1029682</v>
      </c>
      <c r="Z6838">
        <v>0.2296638</v>
      </c>
      <c r="AA6838">
        <v>0.96780790000000005</v>
      </c>
      <c r="AB6838">
        <v>10</v>
      </c>
      <c r="AC6838">
        <v>-0.107799999999997</v>
      </c>
      <c r="AD6838">
        <v>-0.16635239999999901</v>
      </c>
      <c r="AE6838">
        <v>-0.60600000000000798</v>
      </c>
      <c r="AF6838">
        <v>7.1488469824197307E-2</v>
      </c>
      <c r="AG6838">
        <v>-0.16635239999999901</v>
      </c>
      <c r="AH6838">
        <v>0.56914235723110396</v>
      </c>
      <c r="AI6838">
        <v>106.17254484180199</v>
      </c>
      <c r="AJ6838">
        <v>82.840722337349504</v>
      </c>
      <c r="AK6838">
        <v>0.59724931569499795</v>
      </c>
      <c r="AL6838">
        <v>90.199545725519002</v>
      </c>
      <c r="AM6838">
        <v>91.459164587124604</v>
      </c>
      <c r="AN6838">
        <v>1.00000003502532</v>
      </c>
    </row>
    <row r="6839" spans="1:40" x14ac:dyDescent="0.25">
      <c r="A6839" t="str">
        <f>"20190312154100255"</f>
        <v>20190312154100255</v>
      </c>
      <c r="B6839" t="str">
        <f>"1552376460243486"</f>
        <v>1552376460243486</v>
      </c>
      <c r="C6839" t="s">
        <v>40</v>
      </c>
      <c r="D6839">
        <v>4.6911430000000003</v>
      </c>
      <c r="E6839">
        <v>0.55794080000000001</v>
      </c>
      <c r="F6839" t="s">
        <v>41</v>
      </c>
      <c r="G6839">
        <v>-421.43400000000003</v>
      </c>
      <c r="H6839">
        <v>0.93124839999999998</v>
      </c>
      <c r="I6839">
        <v>104.5613</v>
      </c>
      <c r="J6839">
        <v>-421.32100000000003</v>
      </c>
      <c r="K6839">
        <v>1.11012</v>
      </c>
      <c r="L6839">
        <v>105.1523</v>
      </c>
      <c r="M6839">
        <v>-5.0307610000000003E-2</v>
      </c>
      <c r="N6839">
        <v>0</v>
      </c>
      <c r="O6839">
        <v>-0.99864770000000003</v>
      </c>
      <c r="P6839">
        <v>-2.8672300000000001E-2</v>
      </c>
      <c r="Q6839">
        <v>-1.6754450000000001E-2</v>
      </c>
      <c r="R6839">
        <v>-0.99944849999999996</v>
      </c>
      <c r="S6839">
        <v>-0.50491330000000001</v>
      </c>
      <c r="T6839">
        <v>-0.77300609999999903</v>
      </c>
      <c r="U6839">
        <v>-2.9755859999999998</v>
      </c>
      <c r="V6839">
        <v>-2.1649740000000001E-2</v>
      </c>
      <c r="W6839">
        <v>-3.6320129999999999E-3</v>
      </c>
      <c r="X6839">
        <v>0.99975899999999995</v>
      </c>
      <c r="Y6839">
        <v>0.1122292</v>
      </c>
      <c r="Z6839">
        <v>0.24852299999999999</v>
      </c>
      <c r="AA6839">
        <v>0.96210240000000002</v>
      </c>
      <c r="AB6839">
        <v>10</v>
      </c>
      <c r="AC6839">
        <v>-0.113000000000056</v>
      </c>
      <c r="AD6839">
        <v>-0.17887159999999899</v>
      </c>
      <c r="AE6839">
        <v>-0.59099999999999397</v>
      </c>
      <c r="AF6839">
        <v>7.6373285014268794E-2</v>
      </c>
      <c r="AG6839">
        <v>-0.17887159999999899</v>
      </c>
      <c r="AH6839">
        <v>0.54754884234997603</v>
      </c>
      <c r="AI6839">
        <v>107.928718486676</v>
      </c>
      <c r="AJ6839">
        <v>82.059492414160104</v>
      </c>
      <c r="AK6839">
        <v>0.58106597104737501</v>
      </c>
      <c r="AL6839">
        <v>90.208099477637404</v>
      </c>
      <c r="AM6839">
        <v>91.240543859189899</v>
      </c>
      <c r="AN6839">
        <v>0.999999980420749</v>
      </c>
    </row>
    <row r="6840" spans="1:40" x14ac:dyDescent="0.25">
      <c r="A6840" t="str">
        <f>"20190312154100276"</f>
        <v>20190312154100276</v>
      </c>
      <c r="B6840" t="str">
        <f>"1552376460263005"</f>
        <v>1552376460263005</v>
      </c>
      <c r="C6840" t="s">
        <v>40</v>
      </c>
      <c r="D6840">
        <v>4.6776739999999997</v>
      </c>
      <c r="E6840">
        <v>0.55862199999999995</v>
      </c>
      <c r="F6840" t="s">
        <v>41</v>
      </c>
      <c r="G6840">
        <v>-421.44</v>
      </c>
      <c r="H6840">
        <v>0.92942880000000005</v>
      </c>
      <c r="I6840">
        <v>104.47320000000001</v>
      </c>
      <c r="J6840">
        <v>-421.32499999999999</v>
      </c>
      <c r="K6840">
        <v>1.1101030000000001</v>
      </c>
      <c r="L6840">
        <v>105.05710000000001</v>
      </c>
      <c r="M6840">
        <v>-4.9642829999999999E-2</v>
      </c>
      <c r="N6840">
        <v>0</v>
      </c>
      <c r="O6840">
        <v>-0.99868250000000003</v>
      </c>
      <c r="P6840">
        <v>-3.1541010000000001E-2</v>
      </c>
      <c r="Q6840">
        <v>-1.6247629999999999E-2</v>
      </c>
      <c r="R6840">
        <v>-0.99937050000000005</v>
      </c>
      <c r="S6840">
        <v>-0.52069089999999996</v>
      </c>
      <c r="T6840">
        <v>-0.79118809999999995</v>
      </c>
      <c r="U6840">
        <v>-2.9734500000000001</v>
      </c>
      <c r="V6840">
        <v>-1.8114740000000001E-2</v>
      </c>
      <c r="W6840">
        <v>-3.2351120000000001E-3</v>
      </c>
      <c r="X6840">
        <v>0.99983069999999996</v>
      </c>
      <c r="Y6840">
        <v>0.117715899999999</v>
      </c>
      <c r="Z6840">
        <v>0.2539863</v>
      </c>
      <c r="AA6840">
        <v>0.96001769999999997</v>
      </c>
      <c r="AB6840">
        <v>10</v>
      </c>
      <c r="AC6840">
        <v>-0.115000000000009</v>
      </c>
      <c r="AD6840">
        <v>-0.18067420000000001</v>
      </c>
      <c r="AE6840">
        <v>-0.58389999999999898</v>
      </c>
      <c r="AF6840">
        <v>7.8622670507161402E-2</v>
      </c>
      <c r="AG6840">
        <v>-0.18067420000000001</v>
      </c>
      <c r="AH6840">
        <v>0.53919223538539596</v>
      </c>
      <c r="AI6840">
        <v>108.34431333395899</v>
      </c>
      <c r="AJ6840">
        <v>81.703846674004396</v>
      </c>
      <c r="AK6840">
        <v>0.57406703229084499</v>
      </c>
      <c r="AL6840">
        <v>90.185358583618097</v>
      </c>
      <c r="AM6840">
        <v>91.037960332956999</v>
      </c>
      <c r="AN6840">
        <v>1.0000000192087</v>
      </c>
    </row>
    <row r="6841" spans="1:40" x14ac:dyDescent="0.25">
      <c r="A6841" t="str">
        <f>"20190312154100291"</f>
        <v>20190312154100291</v>
      </c>
      <c r="B6841" t="str">
        <f>"1552376460283501"</f>
        <v>1552376460283501</v>
      </c>
      <c r="C6841" t="s">
        <v>40</v>
      </c>
      <c r="D6841">
        <v>4.6843309999999896</v>
      </c>
      <c r="E6841">
        <v>0.5592184</v>
      </c>
      <c r="F6841" t="s">
        <v>41</v>
      </c>
      <c r="G6841">
        <v>-421.44619999999998</v>
      </c>
      <c r="H6841">
        <v>0.92996679999999998</v>
      </c>
      <c r="I6841">
        <v>104.3839</v>
      </c>
      <c r="J6841">
        <v>-421.32799999999997</v>
      </c>
      <c r="K6841">
        <v>1.1100890000000001</v>
      </c>
      <c r="L6841">
        <v>104.98739999999999</v>
      </c>
      <c r="M6841">
        <v>-4.9194799999999997E-2</v>
      </c>
      <c r="N6841">
        <v>0</v>
      </c>
      <c r="O6841">
        <v>-0.99870590000000004</v>
      </c>
      <c r="P6841">
        <v>-3.3181919999999997E-2</v>
      </c>
      <c r="Q6841">
        <v>-1.6481590000000001E-2</v>
      </c>
      <c r="R6841">
        <v>-0.99931329999999996</v>
      </c>
      <c r="S6841">
        <v>-0.53359990000000002</v>
      </c>
      <c r="T6841">
        <v>-0.7953576</v>
      </c>
      <c r="U6841">
        <v>-2.9721069999999998</v>
      </c>
      <c r="V6841">
        <v>-1.6025060000000001E-2</v>
      </c>
      <c r="W6841">
        <v>-3.577308E-3</v>
      </c>
      <c r="X6841">
        <v>0.99986520000000001</v>
      </c>
      <c r="Y6841">
        <v>0.1222205</v>
      </c>
      <c r="Z6841">
        <v>0.25519229999999998</v>
      </c>
      <c r="AA6841">
        <v>0.9591345</v>
      </c>
      <c r="AB6841">
        <v>10</v>
      </c>
      <c r="AC6841">
        <v>-0.118199999999944</v>
      </c>
      <c r="AD6841">
        <v>-0.18012219999999901</v>
      </c>
      <c r="AE6841">
        <v>-0.60349999999999604</v>
      </c>
      <c r="AF6841">
        <v>8.1383512531058105E-2</v>
      </c>
      <c r="AG6841">
        <v>-0.18012219999999901</v>
      </c>
      <c r="AH6841">
        <v>0.56049972561540895</v>
      </c>
      <c r="AI6841">
        <v>107.641970988471</v>
      </c>
      <c r="AJ6841">
        <v>81.738494781830994</v>
      </c>
      <c r="AK6841">
        <v>0.59432922312442404</v>
      </c>
      <c r="AL6841">
        <v>90.204965085751297</v>
      </c>
      <c r="AM6841">
        <v>90.918213474554307</v>
      </c>
      <c r="AN6841">
        <v>1.0000000089257799</v>
      </c>
    </row>
    <row r="6842" spans="1:40" x14ac:dyDescent="0.25">
      <c r="A6842" t="str">
        <f>"20190312154100310"</f>
        <v>20190312154100310</v>
      </c>
      <c r="B6842" t="str">
        <f>"1552376460303021"</f>
        <v>1552376460303021</v>
      </c>
      <c r="C6842" t="s">
        <v>40</v>
      </c>
      <c r="D6842">
        <v>4.6618230000000001</v>
      </c>
      <c r="E6842">
        <v>0.55936989999999998</v>
      </c>
      <c r="F6842" t="s">
        <v>41</v>
      </c>
      <c r="G6842">
        <v>-421.45420000000001</v>
      </c>
      <c r="H6842">
        <v>0.92442659999999999</v>
      </c>
      <c r="I6842">
        <v>104.29730000000001</v>
      </c>
      <c r="J6842">
        <v>-421.33159999999998</v>
      </c>
      <c r="K6842">
        <v>1.1100650000000001</v>
      </c>
      <c r="L6842">
        <v>104.9054</v>
      </c>
      <c r="M6842">
        <v>-4.8695960000000003E-2</v>
      </c>
      <c r="N6842">
        <v>0</v>
      </c>
      <c r="O6842">
        <v>-0.99873230000000002</v>
      </c>
      <c r="P6842">
        <v>-3.6733790000000002E-2</v>
      </c>
      <c r="Q6842">
        <v>-1.6907579999999998E-2</v>
      </c>
      <c r="R6842">
        <v>-0.99918229999999997</v>
      </c>
      <c r="S6842">
        <v>-0.54266359999999902</v>
      </c>
      <c r="T6842">
        <v>-0.79932209999999904</v>
      </c>
      <c r="U6842">
        <v>-2.9708559999999999</v>
      </c>
      <c r="V6842">
        <v>-1.1971860000000001E-2</v>
      </c>
      <c r="W6842">
        <v>-4.1513829999999998E-3</v>
      </c>
      <c r="X6842">
        <v>0.99991969999999997</v>
      </c>
      <c r="Y6842">
        <v>0.12556310000000001</v>
      </c>
      <c r="Z6842">
        <v>0.2563706</v>
      </c>
      <c r="AA6842">
        <v>0.95838829999999997</v>
      </c>
      <c r="AB6842">
        <v>10</v>
      </c>
      <c r="AC6842">
        <v>-0.122600000000034</v>
      </c>
      <c r="AD6842">
        <v>-0.18563839999999901</v>
      </c>
      <c r="AE6842">
        <v>-0.60809999999999298</v>
      </c>
      <c r="AF6842">
        <v>8.5209325056777793E-2</v>
      </c>
      <c r="AG6842">
        <v>-0.18563839999999901</v>
      </c>
      <c r="AH6842">
        <v>0.56293621775841896</v>
      </c>
      <c r="AI6842">
        <v>108.05876655396</v>
      </c>
      <c r="AJ6842">
        <v>81.392713780706202</v>
      </c>
      <c r="AK6842">
        <v>0.598848419798655</v>
      </c>
      <c r="AL6842">
        <v>90.237857412310802</v>
      </c>
      <c r="AM6842">
        <v>90.685959360271895</v>
      </c>
      <c r="AN6842">
        <v>0.99999998293037995</v>
      </c>
    </row>
    <row r="6843" spans="1:40" x14ac:dyDescent="0.25">
      <c r="A6843" t="str">
        <f>"20190312154100324"</f>
        <v>20190312154100324</v>
      </c>
      <c r="B6843" t="str">
        <f>"1552376460313757"</f>
        <v>1552376460313757</v>
      </c>
      <c r="C6843" t="s">
        <v>40</v>
      </c>
      <c r="D6843">
        <v>4.6653849999999997</v>
      </c>
      <c r="E6843">
        <v>0.55942919999999996</v>
      </c>
      <c r="F6843" t="s">
        <v>41</v>
      </c>
      <c r="G6843">
        <v>-421.46170000000001</v>
      </c>
      <c r="H6843">
        <v>0.92179719999999998</v>
      </c>
      <c r="I6843">
        <v>104.2093</v>
      </c>
      <c r="J6843">
        <v>-421.33440000000002</v>
      </c>
      <c r="K6843">
        <v>1.1100509999999999</v>
      </c>
      <c r="L6843">
        <v>104.83929999999999</v>
      </c>
      <c r="M6843">
        <v>-4.8316739999999997E-2</v>
      </c>
      <c r="N6843">
        <v>0</v>
      </c>
      <c r="O6843">
        <v>-0.99875239999999998</v>
      </c>
      <c r="P6843">
        <v>-3.8521609999999998E-2</v>
      </c>
      <c r="Q6843">
        <v>-1.7275019999999999E-2</v>
      </c>
      <c r="R6843">
        <v>-0.99910840000000001</v>
      </c>
      <c r="S6843">
        <v>-0.553894</v>
      </c>
      <c r="T6843">
        <v>-0.80298290000000005</v>
      </c>
      <c r="U6843">
        <v>-2.9685060000000001</v>
      </c>
      <c r="V6843">
        <v>-9.8023810000000006E-3</v>
      </c>
      <c r="W6843">
        <v>-4.6518540000000004E-3</v>
      </c>
      <c r="X6843">
        <v>0.99994110000000003</v>
      </c>
      <c r="Y6843">
        <v>0.12952359999999999</v>
      </c>
      <c r="Z6843">
        <v>0.25751289999999999</v>
      </c>
      <c r="AA6843">
        <v>0.95755460000000003</v>
      </c>
      <c r="AB6843">
        <v>10</v>
      </c>
      <c r="AC6843">
        <v>-0.127299999999991</v>
      </c>
      <c r="AD6843">
        <v>-0.1882538</v>
      </c>
      <c r="AE6843">
        <v>-0.62999999999999501</v>
      </c>
      <c r="AF6843">
        <v>8.9068331959998498E-2</v>
      </c>
      <c r="AG6843">
        <v>-0.1882538</v>
      </c>
      <c r="AH6843">
        <v>0.58521117406801004</v>
      </c>
      <c r="AI6843">
        <v>107.64185684687401</v>
      </c>
      <c r="AJ6843">
        <v>81.346074757970101</v>
      </c>
      <c r="AK6843">
        <v>0.62116405178232503</v>
      </c>
      <c r="AL6843">
        <v>90.266532571743298</v>
      </c>
      <c r="AM6843">
        <v>90.561650152043001</v>
      </c>
      <c r="AN6843">
        <v>0.99999996494405696</v>
      </c>
    </row>
    <row r="6844" spans="1:40" x14ac:dyDescent="0.25">
      <c r="A6844" t="str">
        <f>"20190312154100343"</f>
        <v>20190312154100343</v>
      </c>
      <c r="B6844" t="str">
        <f>"1552376460333278"</f>
        <v>1552376460333278</v>
      </c>
      <c r="C6844" t="s">
        <v>40</v>
      </c>
      <c r="D6844">
        <v>4.6626570000000003</v>
      </c>
      <c r="E6844">
        <v>0.5594074</v>
      </c>
      <c r="F6844" t="s">
        <v>41</v>
      </c>
      <c r="G6844">
        <v>-421.46940000000001</v>
      </c>
      <c r="H6844">
        <v>0.91561749999999997</v>
      </c>
      <c r="I6844">
        <v>104.12260000000001</v>
      </c>
      <c r="J6844">
        <v>-421.33789999999999</v>
      </c>
      <c r="K6844">
        <v>1.1100380000000001</v>
      </c>
      <c r="L6844">
        <v>104.75830000000001</v>
      </c>
      <c r="M6844">
        <v>-4.7874E-2</v>
      </c>
      <c r="N6844">
        <v>0</v>
      </c>
      <c r="O6844">
        <v>-0.998776</v>
      </c>
      <c r="P6844">
        <v>-4.1772169999999997E-2</v>
      </c>
      <c r="Q6844">
        <v>-1.775912E-2</v>
      </c>
      <c r="R6844">
        <v>-0.99896940000000001</v>
      </c>
      <c r="S6844">
        <v>-0.5580444</v>
      </c>
      <c r="T6844">
        <v>-0.80504799999999999</v>
      </c>
      <c r="U6844">
        <v>-2.9672550000000002</v>
      </c>
      <c r="V6844">
        <v>-6.1056010000000004E-3</v>
      </c>
      <c r="W6844">
        <v>-5.313244E-3</v>
      </c>
      <c r="X6844">
        <v>0.99996719999999895</v>
      </c>
      <c r="Y6844">
        <v>0.13129679999999999</v>
      </c>
      <c r="Z6844">
        <v>0.25817760000000001</v>
      </c>
      <c r="AA6844">
        <v>0.95713400000000004</v>
      </c>
      <c r="AB6844">
        <v>10</v>
      </c>
      <c r="AC6844">
        <v>-0.13150000000001599</v>
      </c>
      <c r="AD6844">
        <v>-0.194420499999999</v>
      </c>
      <c r="AE6844">
        <v>-0.63569999999999904</v>
      </c>
      <c r="AF6844">
        <v>9.2606708094390297E-2</v>
      </c>
      <c r="AG6844">
        <v>-0.194420499999999</v>
      </c>
      <c r="AH6844">
        <v>0.58848131825719097</v>
      </c>
      <c r="AI6844">
        <v>108.074632280895</v>
      </c>
      <c r="AJ6844">
        <v>81.056956379758503</v>
      </c>
      <c r="AK6844">
        <v>0.62664630785001096</v>
      </c>
      <c r="AL6844">
        <v>90.304427902795595</v>
      </c>
      <c r="AM6844">
        <v>90.349832296032304</v>
      </c>
      <c r="AN6844">
        <v>0.99999995500060601</v>
      </c>
    </row>
    <row r="6845" spans="1:40" x14ac:dyDescent="0.25">
      <c r="A6845" t="str">
        <f>"20190312154100357"</f>
        <v>20190312154100357</v>
      </c>
      <c r="B6845" t="str">
        <f>"1552376460343038"</f>
        <v>1552376460343038</v>
      </c>
      <c r="C6845" t="s">
        <v>40</v>
      </c>
      <c r="D6845">
        <v>4.6699140000000003</v>
      </c>
      <c r="E6845">
        <v>0.55939169999999905</v>
      </c>
      <c r="F6845" t="s">
        <v>41</v>
      </c>
      <c r="G6845">
        <v>-421.47660000000002</v>
      </c>
      <c r="H6845">
        <v>0.91239510000000001</v>
      </c>
      <c r="I6845">
        <v>104.0342</v>
      </c>
      <c r="J6845">
        <v>-421.34059999999999</v>
      </c>
      <c r="K6845">
        <v>1.110031</v>
      </c>
      <c r="L6845">
        <v>104.69370000000001</v>
      </c>
      <c r="M6845">
        <v>-4.753454E-2</v>
      </c>
      <c r="N6845">
        <v>0</v>
      </c>
      <c r="O6845">
        <v>-0.99879410000000002</v>
      </c>
      <c r="P6845">
        <v>-4.3250719999999999E-2</v>
      </c>
      <c r="Q6845">
        <v>-1.7687890000000001E-2</v>
      </c>
      <c r="R6845">
        <v>-0.99890780000000001</v>
      </c>
      <c r="S6845">
        <v>-0.56625369999999997</v>
      </c>
      <c r="T6845">
        <v>-0.80947659999999999</v>
      </c>
      <c r="U6845">
        <v>-2.9650270000000001</v>
      </c>
      <c r="V6845">
        <v>-4.285563E-3</v>
      </c>
      <c r="W6845">
        <v>-5.3909190000000001E-3</v>
      </c>
      <c r="X6845">
        <v>0.99997630000000004</v>
      </c>
      <c r="Y6845">
        <v>0.13425179999999901</v>
      </c>
      <c r="Z6845">
        <v>0.259573</v>
      </c>
      <c r="AA6845">
        <v>0.95634629999999998</v>
      </c>
      <c r="AB6845">
        <v>10</v>
      </c>
      <c r="AC6845">
        <v>-0.13600000000002399</v>
      </c>
      <c r="AD6845">
        <v>-0.1976359</v>
      </c>
      <c r="AE6845">
        <v>-0.65950000000000797</v>
      </c>
      <c r="AF6845">
        <v>9.6207345945687903E-2</v>
      </c>
      <c r="AG6845">
        <v>-0.1976359</v>
      </c>
      <c r="AH6845">
        <v>0.61246090426492605</v>
      </c>
      <c r="AI6845">
        <v>107.68136717906199</v>
      </c>
      <c r="AJ6845">
        <v>81.072743174559093</v>
      </c>
      <c r="AK6845">
        <v>0.65071050524463903</v>
      </c>
      <c r="AL6845">
        <v>90.308878398093597</v>
      </c>
      <c r="AM6845">
        <v>90.245548988965098</v>
      </c>
      <c r="AN6845">
        <v>1.00000001430979</v>
      </c>
    </row>
    <row r="6846" spans="1:40" x14ac:dyDescent="0.25">
      <c r="A6846" t="str">
        <f>"20190312154100376"</f>
        <v>20190312154100376</v>
      </c>
      <c r="B6846" t="str">
        <f>"1552376460363533"</f>
        <v>1552376460363533</v>
      </c>
      <c r="C6846" t="s">
        <v>40</v>
      </c>
      <c r="D6846">
        <v>4.6491030000000002</v>
      </c>
      <c r="E6846">
        <v>0.55930749999999996</v>
      </c>
      <c r="F6846" t="s">
        <v>41</v>
      </c>
      <c r="G6846">
        <v>-421.48439999999999</v>
      </c>
      <c r="H6846">
        <v>0.90591849999999996</v>
      </c>
      <c r="I6846">
        <v>103.9468</v>
      </c>
      <c r="J6846">
        <v>-421.34440000000001</v>
      </c>
      <c r="K6846">
        <v>1.1100239999999999</v>
      </c>
      <c r="L6846">
        <v>104.6061</v>
      </c>
      <c r="M6846">
        <v>-4.7090649999999998E-2</v>
      </c>
      <c r="N6846">
        <v>0</v>
      </c>
      <c r="O6846">
        <v>-0.99881759999999997</v>
      </c>
      <c r="P6846">
        <v>-4.5545500000000003E-2</v>
      </c>
      <c r="Q6846">
        <v>-1.7901340000000002E-2</v>
      </c>
      <c r="R6846">
        <v>-0.99880179999999996</v>
      </c>
      <c r="S6846">
        <v>-0.57015990000000005</v>
      </c>
      <c r="T6846">
        <v>-0.81010609999999905</v>
      </c>
      <c r="U6846">
        <v>-2.964264</v>
      </c>
      <c r="V6846">
        <v>-1.543797E-3</v>
      </c>
      <c r="W6846">
        <v>-5.8177039999999999E-3</v>
      </c>
      <c r="X6846">
        <v>0.99998189999999998</v>
      </c>
      <c r="Y6846">
        <v>0.13594289999999901</v>
      </c>
      <c r="Z6846">
        <v>0.25977050000000002</v>
      </c>
      <c r="AA6846">
        <v>0.95605379999999995</v>
      </c>
      <c r="AB6846">
        <v>10</v>
      </c>
      <c r="AC6846">
        <v>-0.139999999999986</v>
      </c>
      <c r="AD6846">
        <v>-0.204105499999999</v>
      </c>
      <c r="AE6846">
        <v>-0.659300000000001</v>
      </c>
      <c r="AF6846">
        <v>9.9656606081123103E-2</v>
      </c>
      <c r="AG6846">
        <v>-0.204105499999999</v>
      </c>
      <c r="AH6846">
        <v>0.609287442719053</v>
      </c>
      <c r="AI6846">
        <v>108.293756177852</v>
      </c>
      <c r="AJ6846">
        <v>80.710810525910503</v>
      </c>
      <c r="AK6846">
        <v>0.65024740070298004</v>
      </c>
      <c r="AL6846">
        <v>90.333331761094897</v>
      </c>
      <c r="AM6846">
        <v>90.088454583280097</v>
      </c>
      <c r="AN6846">
        <v>1.0000000146582999</v>
      </c>
    </row>
    <row r="6847" spans="1:40" x14ac:dyDescent="0.25">
      <c r="A6847" t="str">
        <f>"20190312154100399"</f>
        <v>20190312154100399</v>
      </c>
      <c r="B6847" t="str">
        <f>"1552376460392817"</f>
        <v>1552376460392817</v>
      </c>
      <c r="C6847" t="s">
        <v>40</v>
      </c>
      <c r="D6847">
        <v>4.6586749999999997</v>
      </c>
      <c r="E6847">
        <v>0.56024960000000001</v>
      </c>
      <c r="F6847" t="s">
        <v>41</v>
      </c>
      <c r="G6847">
        <v>-421.4742</v>
      </c>
      <c r="H6847">
        <v>0.92695720000000004</v>
      </c>
      <c r="I6847">
        <v>103.9372</v>
      </c>
      <c r="J6847">
        <v>-421.34859999999998</v>
      </c>
      <c r="K6847">
        <v>1.1100179999999999</v>
      </c>
      <c r="L6847">
        <v>104.5044</v>
      </c>
      <c r="M6847">
        <v>-4.6582459999999999E-2</v>
      </c>
      <c r="N6847">
        <v>0</v>
      </c>
      <c r="O6847">
        <v>-0.99884450000000002</v>
      </c>
      <c r="P6847">
        <v>-4.7715439999999998E-2</v>
      </c>
      <c r="Q6847">
        <v>-1.9054930000000001E-2</v>
      </c>
      <c r="R6847">
        <v>-0.99867930000000005</v>
      </c>
      <c r="S6847">
        <v>-0.57485959999999903</v>
      </c>
      <c r="T6847">
        <v>-0.81078600000000001</v>
      </c>
      <c r="U6847">
        <v>-2.96286</v>
      </c>
      <c r="V6847">
        <v>1.139066E-3</v>
      </c>
      <c r="W6847">
        <v>-7.2359080000000001E-3</v>
      </c>
      <c r="X6847">
        <v>0.99997320000000001</v>
      </c>
      <c r="Y6847">
        <v>0.13797970000000001</v>
      </c>
      <c r="Z6847">
        <v>0.26002249999999999</v>
      </c>
      <c r="AA6847">
        <v>0.95569340000000003</v>
      </c>
      <c r="AB6847">
        <v>10</v>
      </c>
      <c r="AC6847">
        <v>-0.125600000000019</v>
      </c>
      <c r="AD6847">
        <v>-0.183060799999999</v>
      </c>
      <c r="AE6847">
        <v>-0.56719999999999904</v>
      </c>
      <c r="AF6847">
        <v>9.0094287643205304E-2</v>
      </c>
      <c r="AG6847">
        <v>-0.183060799999999</v>
      </c>
      <c r="AH6847">
        <v>0.52072942205135897</v>
      </c>
      <c r="AI6847">
        <v>109.10610910237899</v>
      </c>
      <c r="AJ6847">
        <v>80.184113511351896</v>
      </c>
      <c r="AK6847">
        <v>0.55927396520177697</v>
      </c>
      <c r="AL6847">
        <v>90.414590595556007</v>
      </c>
      <c r="AM6847">
        <v>89.934734604727893</v>
      </c>
      <c r="AN6847">
        <v>1.00000002827708</v>
      </c>
    </row>
    <row r="6848" spans="1:40" x14ac:dyDescent="0.25">
      <c r="A6848" t="str">
        <f>"20190312154100413"</f>
        <v>20190312154100413</v>
      </c>
      <c r="B6848" t="str">
        <f>"1552376460403549"</f>
        <v>1552376460403549</v>
      </c>
      <c r="C6848" t="s">
        <v>40</v>
      </c>
      <c r="D6848">
        <v>4.619688</v>
      </c>
      <c r="E6848">
        <v>0.56052659999999999</v>
      </c>
      <c r="F6848" t="s">
        <v>41</v>
      </c>
      <c r="G6848">
        <v>-421.49529999999999</v>
      </c>
      <c r="H6848">
        <v>0.90521660000000004</v>
      </c>
      <c r="I6848">
        <v>103.76560000000001</v>
      </c>
      <c r="J6848">
        <v>-421.35129999999998</v>
      </c>
      <c r="K6848">
        <v>1.1100159999999999</v>
      </c>
      <c r="L6848">
        <v>104.4388</v>
      </c>
      <c r="M6848">
        <v>-4.6254959999999998E-2</v>
      </c>
      <c r="N6848">
        <v>0</v>
      </c>
      <c r="O6848">
        <v>-0.99886200000000003</v>
      </c>
      <c r="P6848">
        <v>-4.8713159999999998E-2</v>
      </c>
      <c r="Q6848">
        <v>-1.9637249999999998E-2</v>
      </c>
      <c r="R6848">
        <v>-0.99861999999999995</v>
      </c>
      <c r="S6848">
        <v>-0.58700559999999902</v>
      </c>
      <c r="T6848">
        <v>-0.82070370000000004</v>
      </c>
      <c r="U6848">
        <v>-2.9602659999999998</v>
      </c>
      <c r="V6848">
        <v>2.466836E-3</v>
      </c>
      <c r="W6848">
        <v>-8.0056509999999904E-3</v>
      </c>
      <c r="X6848">
        <v>0.99996490000000005</v>
      </c>
      <c r="Y6848">
        <v>0.1420775</v>
      </c>
      <c r="Z6848">
        <v>0.26302629999999999</v>
      </c>
      <c r="AA6848">
        <v>0.9542699</v>
      </c>
      <c r="AB6848">
        <v>10</v>
      </c>
      <c r="AC6848">
        <v>-0.14400000000000501</v>
      </c>
      <c r="AD6848">
        <v>-0.20479939999999999</v>
      </c>
      <c r="AE6848">
        <v>-0.67319999999999403</v>
      </c>
      <c r="AF6848">
        <v>0.103541563109844</v>
      </c>
      <c r="AG6848">
        <v>-0.20479939999999999</v>
      </c>
      <c r="AH6848">
        <v>0.62392377279934597</v>
      </c>
      <c r="AI6848">
        <v>107.94276134150201</v>
      </c>
      <c r="AJ6848">
        <v>80.577508340084606</v>
      </c>
      <c r="AK6848">
        <v>0.66478908218754595</v>
      </c>
      <c r="AL6848">
        <v>90.458694919588396</v>
      </c>
      <c r="AM6848">
        <v>89.858656033991295</v>
      </c>
      <c r="AN6848">
        <v>0.99999998847989702</v>
      </c>
    </row>
    <row r="6849" spans="1:40" x14ac:dyDescent="0.25">
      <c r="A6849" t="str">
        <f>"20190312154100433"</f>
        <v>20190312154100433</v>
      </c>
      <c r="B6849" t="str">
        <f>"1552376460423069"</f>
        <v>1552376460423069</v>
      </c>
      <c r="C6849" t="s">
        <v>40</v>
      </c>
      <c r="D6849">
        <v>4.6329849999999997</v>
      </c>
      <c r="E6849">
        <v>0.56081400000000003</v>
      </c>
      <c r="F6849" t="s">
        <v>41</v>
      </c>
      <c r="G6849">
        <v>-421.48759999999999</v>
      </c>
      <c r="H6849">
        <v>0.92073749999999999</v>
      </c>
      <c r="I6849">
        <v>103.75879999999999</v>
      </c>
      <c r="J6849">
        <v>-421.35489999999999</v>
      </c>
      <c r="K6849">
        <v>1.1100030000000001</v>
      </c>
      <c r="L6849">
        <v>104.35080000000001</v>
      </c>
      <c r="M6849">
        <v>-4.5810209999999997E-2</v>
      </c>
      <c r="N6849">
        <v>0</v>
      </c>
      <c r="O6849">
        <v>-0.99888580000000005</v>
      </c>
      <c r="P6849">
        <v>-5.0655890000000002E-2</v>
      </c>
      <c r="Q6849">
        <v>-1.9889540000000001E-2</v>
      </c>
      <c r="R6849">
        <v>-0.99851820000000002</v>
      </c>
      <c r="S6849">
        <v>-0.59213260000000001</v>
      </c>
      <c r="T6849">
        <v>-0.82364499999999996</v>
      </c>
      <c r="U6849">
        <v>-2.959076</v>
      </c>
      <c r="V6849">
        <v>4.8581520000000001E-3</v>
      </c>
      <c r="W6849">
        <v>-8.5253789999999996E-3</v>
      </c>
      <c r="X6849">
        <v>0.99995179999999995</v>
      </c>
      <c r="Y6849">
        <v>0.14413319999999999</v>
      </c>
      <c r="Z6849">
        <v>0.26392700000000002</v>
      </c>
      <c r="AA6849">
        <v>0.95371280000000003</v>
      </c>
      <c r="AB6849">
        <v>10</v>
      </c>
      <c r="AC6849">
        <v>-0.13269999999999901</v>
      </c>
      <c r="AD6849">
        <v>-0.1892655</v>
      </c>
      <c r="AE6849">
        <v>-0.59200000000001296</v>
      </c>
      <c r="AF6849">
        <v>9.6087868858513004E-2</v>
      </c>
      <c r="AG6849">
        <v>-0.1892655</v>
      </c>
      <c r="AH6849">
        <v>0.54446927697550895</v>
      </c>
      <c r="AI6849">
        <v>108.897339723944</v>
      </c>
      <c r="AJ6849">
        <v>79.991504287433003</v>
      </c>
      <c r="AK6849">
        <v>0.58438095588601602</v>
      </c>
      <c r="AL6849">
        <v>90.488474180622603</v>
      </c>
      <c r="AM6849">
        <v>89.721637167110003</v>
      </c>
      <c r="AN6849">
        <v>0.99999994302559203</v>
      </c>
    </row>
    <row r="6850" spans="1:40" x14ac:dyDescent="0.25">
      <c r="A6850" t="str">
        <f>"20190312154100450"</f>
        <v>20190312154100450</v>
      </c>
      <c r="B6850" t="str">
        <f>"1552376460443097"</f>
        <v>1552376460443097</v>
      </c>
      <c r="C6850" t="s">
        <v>40</v>
      </c>
      <c r="D6850">
        <v>4.5939220000000001</v>
      </c>
      <c r="E6850">
        <v>0.56093769999999998</v>
      </c>
      <c r="F6850" t="s">
        <v>41</v>
      </c>
      <c r="G6850">
        <v>-421.49340000000001</v>
      </c>
      <c r="H6850">
        <v>0.91931189999999996</v>
      </c>
      <c r="I6850">
        <v>103.66800000000001</v>
      </c>
      <c r="J6850">
        <v>-421.35809999999998</v>
      </c>
      <c r="K6850">
        <v>1.1099889999999999</v>
      </c>
      <c r="L6850">
        <v>104.2735</v>
      </c>
      <c r="M6850">
        <v>-4.5414540000000003E-2</v>
      </c>
      <c r="N6850">
        <v>0</v>
      </c>
      <c r="O6850">
        <v>-0.99890659999999998</v>
      </c>
      <c r="P6850">
        <v>-5.1408710000000003E-2</v>
      </c>
      <c r="Q6850">
        <v>-1.9679680000000001E-2</v>
      </c>
      <c r="R6850">
        <v>-0.99848409999999999</v>
      </c>
      <c r="S6850">
        <v>-0.59844969999999997</v>
      </c>
      <c r="T6850">
        <v>-0.82614789999999905</v>
      </c>
      <c r="U6850">
        <v>-2.9576419999999999</v>
      </c>
      <c r="V6850">
        <v>6.0084209999999999E-3</v>
      </c>
      <c r="W6850">
        <v>-8.5653199999999995E-3</v>
      </c>
      <c r="X6850">
        <v>0.99994530000000004</v>
      </c>
      <c r="Y6850">
        <v>0.14652950000000001</v>
      </c>
      <c r="Z6850">
        <v>0.26469809999999999</v>
      </c>
      <c r="AA6850">
        <v>0.95313380000000003</v>
      </c>
      <c r="AB6850">
        <v>10</v>
      </c>
      <c r="AC6850">
        <v>-0.13530000000002901</v>
      </c>
      <c r="AD6850">
        <v>-0.19067709999999899</v>
      </c>
      <c r="AE6850">
        <v>-0.60550000000000603</v>
      </c>
      <c r="AF6850">
        <v>9.8369093448755607E-2</v>
      </c>
      <c r="AG6850">
        <v>-0.19067709999999899</v>
      </c>
      <c r="AH6850">
        <v>0.55828900123886704</v>
      </c>
      <c r="AI6850">
        <v>108.59072901792599</v>
      </c>
      <c r="AJ6850">
        <v>80.007198425787394</v>
      </c>
      <c r="AK6850">
        <v>0.59809768760181004</v>
      </c>
      <c r="AL6850">
        <v>90.490762670192495</v>
      </c>
      <c r="AM6850">
        <v>89.6557281465454</v>
      </c>
      <c r="AN6850">
        <v>1.0000000344108499</v>
      </c>
    </row>
    <row r="6851" spans="1:40" x14ac:dyDescent="0.25">
      <c r="A6851" t="str">
        <f>"20190312154100467"</f>
        <v>20190312154100467</v>
      </c>
      <c r="B6851" t="str">
        <f>"1552376460463592"</f>
        <v>1552376460463592</v>
      </c>
      <c r="C6851" t="s">
        <v>40</v>
      </c>
      <c r="D6851">
        <v>4.5730490000000001</v>
      </c>
      <c r="E6851">
        <v>0.56122519999999998</v>
      </c>
      <c r="F6851" t="s">
        <v>41</v>
      </c>
      <c r="G6851">
        <v>-421.49990000000003</v>
      </c>
      <c r="H6851">
        <v>0.91553759999999995</v>
      </c>
      <c r="I6851">
        <v>103.5775</v>
      </c>
      <c r="J6851">
        <v>-421.3612</v>
      </c>
      <c r="K6851">
        <v>1.1099680000000001</v>
      </c>
      <c r="L6851">
        <v>104.1948</v>
      </c>
      <c r="M6851">
        <v>-4.5006150000000002E-2</v>
      </c>
      <c r="N6851">
        <v>0</v>
      </c>
      <c r="O6851">
        <v>-0.99892780000000003</v>
      </c>
      <c r="P6851">
        <v>-5.2609509999999998E-2</v>
      </c>
      <c r="Q6851">
        <v>-1.973192E-2</v>
      </c>
      <c r="R6851">
        <v>-0.99842010000000003</v>
      </c>
      <c r="S6851">
        <v>-0.60116579999999997</v>
      </c>
      <c r="T6851">
        <v>-0.82643770000000005</v>
      </c>
      <c r="U6851">
        <v>-2.957306</v>
      </c>
      <c r="V6851">
        <v>7.6202709999999996E-3</v>
      </c>
      <c r="W6851">
        <v>-8.8860380000000006E-3</v>
      </c>
      <c r="X6851">
        <v>0.99993149999999997</v>
      </c>
      <c r="Y6851">
        <v>0.14779149999999999</v>
      </c>
      <c r="Z6851">
        <v>0.2647716</v>
      </c>
      <c r="AA6851">
        <v>0.9529185</v>
      </c>
      <c r="AB6851">
        <v>10</v>
      </c>
      <c r="AC6851">
        <v>-0.138700000000028</v>
      </c>
      <c r="AD6851">
        <v>-0.194430399999999</v>
      </c>
      <c r="AE6851">
        <v>-0.61729999999999996</v>
      </c>
      <c r="AF6851">
        <v>0.10121681195917701</v>
      </c>
      <c r="AG6851">
        <v>-0.194430399999999</v>
      </c>
      <c r="AH6851">
        <v>0.56916630837737603</v>
      </c>
      <c r="AI6851">
        <v>108.58927674361701</v>
      </c>
      <c r="AJ6851">
        <v>79.916309620418303</v>
      </c>
      <c r="AK6851">
        <v>0.60991664189401296</v>
      </c>
      <c r="AL6851">
        <v>90.509139165673005</v>
      </c>
      <c r="AM6851">
        <v>89.563369175694007</v>
      </c>
      <c r="AN6851">
        <v>1.00000001744685</v>
      </c>
    </row>
    <row r="6852" spans="1:40" x14ac:dyDescent="0.25">
      <c r="A6852" t="str">
        <f>"20190312154100488"</f>
        <v>20190312154100488</v>
      </c>
      <c r="B6852" t="str">
        <f>"1552376460483116"</f>
        <v>1552376460483116</v>
      </c>
      <c r="C6852" t="s">
        <v>40</v>
      </c>
      <c r="D6852">
        <v>4.5829149999999998</v>
      </c>
      <c r="E6852">
        <v>0.56137109999999901</v>
      </c>
      <c r="F6852" t="s">
        <v>41</v>
      </c>
      <c r="G6852">
        <v>-421.50700000000001</v>
      </c>
      <c r="H6852">
        <v>0.91170410000000002</v>
      </c>
      <c r="I6852">
        <v>103.4864</v>
      </c>
      <c r="J6852">
        <v>-421.36520000000002</v>
      </c>
      <c r="K6852">
        <v>1.1099289999999999</v>
      </c>
      <c r="L6852">
        <v>104.0936</v>
      </c>
      <c r="M6852">
        <v>-4.4473390000000002E-2</v>
      </c>
      <c r="N6852">
        <v>0</v>
      </c>
      <c r="O6852">
        <v>-0.9989557</v>
      </c>
      <c r="P6852">
        <v>-5.3373780000000003E-2</v>
      </c>
      <c r="Q6852">
        <v>-2.0425169999999999E-2</v>
      </c>
      <c r="R6852">
        <v>-0.99836579999999997</v>
      </c>
      <c r="S6852">
        <v>-0.60638429999999999</v>
      </c>
      <c r="T6852">
        <v>-0.82774340000000002</v>
      </c>
      <c r="U6852">
        <v>-2.9564210000000002</v>
      </c>
      <c r="V6852">
        <v>8.9203640000000001E-3</v>
      </c>
      <c r="W6852">
        <v>-9.9432410000000002E-3</v>
      </c>
      <c r="X6852">
        <v>0.99991079999999999</v>
      </c>
      <c r="Y6852">
        <v>0.14996770000000001</v>
      </c>
      <c r="Z6852">
        <v>0.26515499999999997</v>
      </c>
      <c r="AA6852">
        <v>0.95247179999999998</v>
      </c>
      <c r="AB6852">
        <v>10</v>
      </c>
      <c r="AC6852">
        <v>-0.14179999999993201</v>
      </c>
      <c r="AD6852">
        <v>-0.19822490000000001</v>
      </c>
      <c r="AE6852">
        <v>-0.60719999999999097</v>
      </c>
      <c r="AF6852">
        <v>0.104130267598527</v>
      </c>
      <c r="AG6852">
        <v>-0.19822490000000001</v>
      </c>
      <c r="AH6852">
        <v>0.55664930496192699</v>
      </c>
      <c r="AI6852">
        <v>109.29167632178699</v>
      </c>
      <c r="AJ6852">
        <v>79.404357649295093</v>
      </c>
      <c r="AK6852">
        <v>0.59999556025419698</v>
      </c>
      <c r="AL6852">
        <v>90.569715118086506</v>
      </c>
      <c r="AM6852">
        <v>89.488868756491698</v>
      </c>
      <c r="AN6852">
        <v>1.0000000244460501</v>
      </c>
    </row>
    <row r="6853" spans="1:40" x14ac:dyDescent="0.25">
      <c r="A6853" t="str">
        <f>"20190312154100503"</f>
        <v>20190312154100503</v>
      </c>
      <c r="B6853" t="str">
        <f>"1552376460492873"</f>
        <v>1552376460492873</v>
      </c>
      <c r="C6853" t="s">
        <v>40</v>
      </c>
      <c r="D6853">
        <v>4.5484369999999998</v>
      </c>
      <c r="E6853">
        <v>0.56139879999999998</v>
      </c>
      <c r="F6853" t="s">
        <v>41</v>
      </c>
      <c r="G6853">
        <v>-421.51010000000002</v>
      </c>
      <c r="H6853">
        <v>0.91303129999999999</v>
      </c>
      <c r="I6853">
        <v>103.39239999999999</v>
      </c>
      <c r="J6853">
        <v>-421.36799999999999</v>
      </c>
      <c r="K6853">
        <v>1.109901</v>
      </c>
      <c r="L6853">
        <v>104.0217</v>
      </c>
      <c r="M6853">
        <v>-4.4089400000000001E-2</v>
      </c>
      <c r="N6853">
        <v>0</v>
      </c>
      <c r="O6853">
        <v>-0.99897550000000002</v>
      </c>
      <c r="P6853">
        <v>-5.3332249999999998E-2</v>
      </c>
      <c r="Q6853">
        <v>-2.0639580000000001E-2</v>
      </c>
      <c r="R6853">
        <v>-0.99836349999999996</v>
      </c>
      <c r="S6853">
        <v>-0.61019899999999905</v>
      </c>
      <c r="T6853">
        <v>-0.82981649999999996</v>
      </c>
      <c r="U6853">
        <v>-2.9553219999999998</v>
      </c>
      <c r="V6853">
        <v>9.2638660000000008E-3</v>
      </c>
      <c r="W6853">
        <v>-1.042658E-2</v>
      </c>
      <c r="X6853">
        <v>0.99990270000000003</v>
      </c>
      <c r="Y6853">
        <v>0.15156049999999999</v>
      </c>
      <c r="Z6853">
        <v>0.26580389999999998</v>
      </c>
      <c r="AA6853">
        <v>0.95203870000000002</v>
      </c>
      <c r="AB6853">
        <v>10</v>
      </c>
      <c r="AC6853">
        <v>-0.14209999999997</v>
      </c>
      <c r="AD6853">
        <v>-0.19686970000000001</v>
      </c>
      <c r="AE6853">
        <v>-0.62929999999999997</v>
      </c>
      <c r="AF6853">
        <v>0.104485209938058</v>
      </c>
      <c r="AG6853">
        <v>-0.19686970000000001</v>
      </c>
      <c r="AH6853">
        <v>0.58086327306577101</v>
      </c>
      <c r="AI6853">
        <v>108.447275687174</v>
      </c>
      <c r="AJ6853">
        <v>79.802731580592607</v>
      </c>
      <c r="AK6853">
        <v>0.622155109173404</v>
      </c>
      <c r="AL6853">
        <v>90.597409870765802</v>
      </c>
      <c r="AM6853">
        <v>89.469183113634699</v>
      </c>
      <c r="AN6853">
        <v>0.99999997112552497</v>
      </c>
    </row>
    <row r="6854" spans="1:40" x14ac:dyDescent="0.25">
      <c r="A6854" t="str">
        <f>"20190312154100517"</f>
        <v>20190312154100517</v>
      </c>
      <c r="B6854" t="str">
        <f>"1552376460513368"</f>
        <v>1552376460513368</v>
      </c>
      <c r="C6854" t="s">
        <v>40</v>
      </c>
      <c r="D6854">
        <v>4.537687</v>
      </c>
      <c r="E6854">
        <v>0.56136609999999998</v>
      </c>
      <c r="F6854" t="s">
        <v>41</v>
      </c>
      <c r="G6854">
        <v>-421.51740000000001</v>
      </c>
      <c r="H6854">
        <v>0.90738649999999998</v>
      </c>
      <c r="I6854">
        <v>103.3005</v>
      </c>
      <c r="J6854">
        <v>-421.37029999999999</v>
      </c>
      <c r="K6854">
        <v>1.1098790000000001</v>
      </c>
      <c r="L6854">
        <v>103.9593</v>
      </c>
      <c r="M6854">
        <v>-4.3754300000000003E-2</v>
      </c>
      <c r="N6854">
        <v>0</v>
      </c>
      <c r="O6854">
        <v>-0.99899289999999996</v>
      </c>
      <c r="P6854">
        <v>-5.3200619999999997E-2</v>
      </c>
      <c r="Q6854">
        <v>-2.0856940000000001E-2</v>
      </c>
      <c r="R6854">
        <v>-0.99836650000000005</v>
      </c>
      <c r="S6854">
        <v>-0.61074830000000002</v>
      </c>
      <c r="T6854">
        <v>-0.82997869999999996</v>
      </c>
      <c r="U6854">
        <v>-2.955139</v>
      </c>
      <c r="V6854">
        <v>9.4680939999999998E-3</v>
      </c>
      <c r="W6854">
        <v>-1.088157E-2</v>
      </c>
      <c r="X6854">
        <v>0.99989600000000001</v>
      </c>
      <c r="Y6854">
        <v>0.15207039999999999</v>
      </c>
      <c r="Z6854">
        <v>0.26585779999999998</v>
      </c>
      <c r="AA6854">
        <v>0.95194230000000002</v>
      </c>
      <c r="AB6854">
        <v>10</v>
      </c>
      <c r="AC6854">
        <v>-0.14710000000002299</v>
      </c>
      <c r="AD6854">
        <v>-0.20249249999999999</v>
      </c>
      <c r="AE6854">
        <v>-0.65879999999999905</v>
      </c>
      <c r="AF6854">
        <v>0.108379576486844</v>
      </c>
      <c r="AG6854">
        <v>-0.20249249999999999</v>
      </c>
      <c r="AH6854">
        <v>0.60973704101088</v>
      </c>
      <c r="AI6854">
        <v>108.106346760451</v>
      </c>
      <c r="AJ6854">
        <v>79.921052528299796</v>
      </c>
      <c r="AK6854">
        <v>0.651558596241674</v>
      </c>
      <c r="AL6854">
        <v>90.623480320114396</v>
      </c>
      <c r="AM6854">
        <v>89.457477964200805</v>
      </c>
      <c r="AN6854">
        <v>1.00000003209282</v>
      </c>
    </row>
    <row r="6855" spans="1:40" x14ac:dyDescent="0.25">
      <c r="A6855" t="str">
        <f>"20190312154100533"</f>
        <v>20190312154100533</v>
      </c>
      <c r="B6855" t="str">
        <f>"1552376460523130"</f>
        <v>1552376460523130</v>
      </c>
      <c r="C6855" t="s">
        <v>40</v>
      </c>
      <c r="D6855">
        <v>4.507879</v>
      </c>
      <c r="E6855">
        <v>0.56136370000000002</v>
      </c>
      <c r="F6855" t="s">
        <v>41</v>
      </c>
      <c r="G6855">
        <v>-421.50810000000001</v>
      </c>
      <c r="H6855">
        <v>0.92316819999999999</v>
      </c>
      <c r="I6855">
        <v>103.2937</v>
      </c>
      <c r="J6855">
        <v>-421.37329999999997</v>
      </c>
      <c r="K6855">
        <v>1.1098380000000001</v>
      </c>
      <c r="L6855">
        <v>103.8813</v>
      </c>
      <c r="M6855">
        <v>-4.3332030000000001E-2</v>
      </c>
      <c r="N6855">
        <v>0</v>
      </c>
      <c r="O6855">
        <v>-0.99901419999999996</v>
      </c>
      <c r="P6855">
        <v>-5.3788559999999999E-2</v>
      </c>
      <c r="Q6855">
        <v>-2.1575480000000001E-2</v>
      </c>
      <c r="R6855">
        <v>-0.99831950000000003</v>
      </c>
      <c r="S6855">
        <v>-0.60998540000000001</v>
      </c>
      <c r="T6855">
        <v>-0.82911190000000001</v>
      </c>
      <c r="U6855">
        <v>-2.9550779999999999</v>
      </c>
      <c r="V6855">
        <v>1.048083E-2</v>
      </c>
      <c r="W6855">
        <v>-1.1907010000000001E-2</v>
      </c>
      <c r="X6855">
        <v>0.99987420000000005</v>
      </c>
      <c r="Y6855">
        <v>0.1522695</v>
      </c>
      <c r="Z6855">
        <v>0.26561430000000003</v>
      </c>
      <c r="AA6855">
        <v>0.95197849999999995</v>
      </c>
      <c r="AB6855">
        <v>10</v>
      </c>
      <c r="AC6855">
        <v>-0.134800000000041</v>
      </c>
      <c r="AD6855">
        <v>-0.1866698</v>
      </c>
      <c r="AE6855">
        <v>-0.58759999999999402</v>
      </c>
      <c r="AF6855">
        <v>9.9655704706997E-2</v>
      </c>
      <c r="AG6855">
        <v>-0.1866698</v>
      </c>
      <c r="AH6855">
        <v>0.54101877366101403</v>
      </c>
      <c r="AI6855">
        <v>108.74337378881999</v>
      </c>
      <c r="AJ6855">
        <v>79.563103196353197</v>
      </c>
      <c r="AK6855">
        <v>0.580928728129669</v>
      </c>
      <c r="AL6855">
        <v>90.682237527367306</v>
      </c>
      <c r="AM6855">
        <v>89.399439116865906</v>
      </c>
      <c r="AN6855">
        <v>1.00000002025513</v>
      </c>
    </row>
    <row r="6856" spans="1:40" x14ac:dyDescent="0.25">
      <c r="A6856" t="str">
        <f>"20190312154100549"</f>
        <v>20190312154100549</v>
      </c>
      <c r="B6856" t="str">
        <f>"1552376460543156"</f>
        <v>1552376460543156</v>
      </c>
      <c r="C6856" t="s">
        <v>40</v>
      </c>
      <c r="D6856">
        <v>4.50075</v>
      </c>
      <c r="E6856">
        <v>0.56131949999999997</v>
      </c>
      <c r="F6856" t="s">
        <v>41</v>
      </c>
      <c r="G6856">
        <v>-421.5147</v>
      </c>
      <c r="H6856">
        <v>0.91839409999999999</v>
      </c>
      <c r="I6856">
        <v>103.20059999999999</v>
      </c>
      <c r="J6856">
        <v>-421.3759</v>
      </c>
      <c r="K6856">
        <v>1.109809</v>
      </c>
      <c r="L6856">
        <v>103.81019999999999</v>
      </c>
      <c r="M6856">
        <v>-4.294386E-2</v>
      </c>
      <c r="N6856">
        <v>0</v>
      </c>
      <c r="O6856">
        <v>-0.99903350000000002</v>
      </c>
      <c r="P6856">
        <v>-5.3109459999999997E-2</v>
      </c>
      <c r="Q6856">
        <v>-2.134964E-2</v>
      </c>
      <c r="R6856">
        <v>-0.99836049999999998</v>
      </c>
      <c r="S6856">
        <v>-0.61242680000000005</v>
      </c>
      <c r="T6856">
        <v>-0.83089349999999995</v>
      </c>
      <c r="U6856">
        <v>-2.9541019999999998</v>
      </c>
      <c r="V6856">
        <v>1.018938E-2</v>
      </c>
      <c r="W6856">
        <v>-1.197002E-2</v>
      </c>
      <c r="X6856">
        <v>0.9998764</v>
      </c>
      <c r="Y6856">
        <v>0.15343809999999999</v>
      </c>
      <c r="Z6856">
        <v>0.26618599999999998</v>
      </c>
      <c r="AA6856">
        <v>0.95163109999999995</v>
      </c>
      <c r="AB6856">
        <v>11</v>
      </c>
      <c r="AC6856">
        <v>-0.138800000000003</v>
      </c>
      <c r="AD6856">
        <v>-0.1914149</v>
      </c>
      <c r="AE6856">
        <v>-0.60960000000000003</v>
      </c>
      <c r="AF6856">
        <v>0.102851255985423</v>
      </c>
      <c r="AG6856">
        <v>-0.1914149</v>
      </c>
      <c r="AH6856">
        <v>0.56229102513308105</v>
      </c>
      <c r="AI6856">
        <v>108.513833782072</v>
      </c>
      <c r="AJ6856">
        <v>79.634353617477998</v>
      </c>
      <c r="AK6856">
        <v>0.60281775168370799</v>
      </c>
      <c r="AL6856">
        <v>90.685848032953999</v>
      </c>
      <c r="AM6856">
        <v>89.416139573071902</v>
      </c>
      <c r="AN6856">
        <v>0.99999996006027103</v>
      </c>
    </row>
    <row r="6857" spans="1:40" x14ac:dyDescent="0.25">
      <c r="A6857" t="str">
        <f>"20190312154100566"</f>
        <v>20190312154100566</v>
      </c>
      <c r="B6857" t="str">
        <f>"1552376460563651"</f>
        <v>1552376460563651</v>
      </c>
      <c r="C6857" t="s">
        <v>40</v>
      </c>
      <c r="D6857">
        <v>4.4965979999999997</v>
      </c>
      <c r="E6857">
        <v>0.56132059999999995</v>
      </c>
      <c r="F6857" t="s">
        <v>41</v>
      </c>
      <c r="G6857">
        <v>-421.5215</v>
      </c>
      <c r="H6857">
        <v>0.91250940000000003</v>
      </c>
      <c r="I6857">
        <v>103.107</v>
      </c>
      <c r="J6857">
        <v>-421.37909999999999</v>
      </c>
      <c r="K6857">
        <v>1.1097649999999999</v>
      </c>
      <c r="L6857">
        <v>103.7222</v>
      </c>
      <c r="M6857">
        <v>-4.246254E-2</v>
      </c>
      <c r="N6857">
        <v>0</v>
      </c>
      <c r="O6857">
        <v>-0.99905759999999999</v>
      </c>
      <c r="P6857">
        <v>-5.2061349999999999E-2</v>
      </c>
      <c r="Q6857">
        <v>-2.0914140000000001E-2</v>
      </c>
      <c r="R6857">
        <v>-0.99842500000000001</v>
      </c>
      <c r="S6857">
        <v>-0.61035159999999999</v>
      </c>
      <c r="T6857">
        <v>-0.82912240000000004</v>
      </c>
      <c r="U6857">
        <v>-2.9547119999999998</v>
      </c>
      <c r="V6857">
        <v>9.6214439999999998E-3</v>
      </c>
      <c r="W6857">
        <v>-1.190244E-2</v>
      </c>
      <c r="X6857">
        <v>0.99988290000000002</v>
      </c>
      <c r="Y6857">
        <v>0.15326429999999999</v>
      </c>
      <c r="Z6857">
        <v>0.26563809999999999</v>
      </c>
      <c r="AA6857">
        <v>0.9518122</v>
      </c>
      <c r="AB6857">
        <v>11</v>
      </c>
      <c r="AC6857">
        <v>-0.14240000000000899</v>
      </c>
      <c r="AD6857">
        <v>-0.197255599999999</v>
      </c>
      <c r="AE6857">
        <v>-0.61519999999998698</v>
      </c>
      <c r="AF6857">
        <v>0.105821515346968</v>
      </c>
      <c r="AG6857">
        <v>-0.197255599999999</v>
      </c>
      <c r="AH6857">
        <v>0.565509743832739</v>
      </c>
      <c r="AI6857">
        <v>108.92474539579</v>
      </c>
      <c r="AJ6857">
        <v>79.401052951463498</v>
      </c>
      <c r="AK6857">
        <v>0.60820164025712597</v>
      </c>
      <c r="AL6857">
        <v>90.681975662512301</v>
      </c>
      <c r="AM6857">
        <v>89.448684320650301</v>
      </c>
      <c r="AN6857">
        <v>1.0000000269875</v>
      </c>
    </row>
    <row r="6858" spans="1:40" x14ac:dyDescent="0.25">
      <c r="A6858" t="str">
        <f>"20190312154100589"</f>
        <v>20190312154100589</v>
      </c>
      <c r="B6858" t="str">
        <f>"1552376460583172"</f>
        <v>1552376460583172</v>
      </c>
      <c r="C6858" t="s">
        <v>40</v>
      </c>
      <c r="D6858">
        <v>5.0845099999999999</v>
      </c>
      <c r="E6858">
        <v>0.56133559999999905</v>
      </c>
      <c r="F6858" t="s">
        <v>41</v>
      </c>
      <c r="G6858">
        <v>-421.52550000000002</v>
      </c>
      <c r="H6858">
        <v>0.91070510000000005</v>
      </c>
      <c r="I6858">
        <v>103.01049999999999</v>
      </c>
      <c r="J6858">
        <v>-421.38310000000001</v>
      </c>
      <c r="K6858">
        <v>1.1097079999999999</v>
      </c>
      <c r="L6858">
        <v>103.61190000000001</v>
      </c>
      <c r="M6858">
        <v>-4.1857859999999997E-2</v>
      </c>
      <c r="N6858">
        <v>0</v>
      </c>
      <c r="O6858">
        <v>-0.99908739999999996</v>
      </c>
      <c r="P6858">
        <v>-5.0887870000000002E-2</v>
      </c>
      <c r="Q6858">
        <v>-2.049368E-2</v>
      </c>
      <c r="R6858">
        <v>-0.99849429999999995</v>
      </c>
      <c r="S6858">
        <v>-0.60678100000000001</v>
      </c>
      <c r="T6858">
        <v>-0.82678890000000005</v>
      </c>
      <c r="U6858">
        <v>-2.9557799999999999</v>
      </c>
      <c r="V6858">
        <v>9.0516079999999992E-3</v>
      </c>
      <c r="W6858">
        <v>-1.1959839999999999E-2</v>
      </c>
      <c r="X6858">
        <v>0.99988750000000004</v>
      </c>
      <c r="Y6858">
        <v>0.15273110000000001</v>
      </c>
      <c r="Z6858">
        <v>0.2649069</v>
      </c>
      <c r="AA6858">
        <v>0.95210159999999999</v>
      </c>
      <c r="AB6858">
        <v>11</v>
      </c>
      <c r="AC6858">
        <v>-0.14240000000000899</v>
      </c>
      <c r="AD6858">
        <v>-0.19900290000000001</v>
      </c>
      <c r="AE6858">
        <v>-0.60140000000001204</v>
      </c>
      <c r="AF6858">
        <v>0.10610032146883799</v>
      </c>
      <c r="AG6858">
        <v>-0.19900290000000001</v>
      </c>
      <c r="AH6858">
        <v>0.54982679208332297</v>
      </c>
      <c r="AI6858">
        <v>109.564253889726</v>
      </c>
      <c r="AJ6858">
        <v>79.077858686755704</v>
      </c>
      <c r="AK6858">
        <v>0.59428018115770798</v>
      </c>
      <c r="AL6858">
        <v>90.685264698924897</v>
      </c>
      <c r="AM6858">
        <v>89.481336880444005</v>
      </c>
      <c r="AN6858">
        <v>0.99999999101823001</v>
      </c>
    </row>
    <row r="6859" spans="1:40" x14ac:dyDescent="0.25">
      <c r="A6859" t="str">
        <f>"20190312154100611"</f>
        <v>20190312154100611</v>
      </c>
      <c r="B6859" t="str">
        <f>"1552376460603667"</f>
        <v>1552376460603667</v>
      </c>
      <c r="C6859" t="s">
        <v>40</v>
      </c>
      <c r="D6859">
        <v>4.5600820000000004</v>
      </c>
      <c r="E6859">
        <v>0.55641059999999998</v>
      </c>
      <c r="F6859" t="s">
        <v>41</v>
      </c>
      <c r="G6859">
        <v>-421.5265</v>
      </c>
      <c r="H6859">
        <v>0.9140916</v>
      </c>
      <c r="I6859">
        <v>102.91070000000001</v>
      </c>
      <c r="J6859">
        <v>-421.38709999999998</v>
      </c>
      <c r="K6859">
        <v>1.1096459999999999</v>
      </c>
      <c r="L6859">
        <v>103.5</v>
      </c>
      <c r="M6859">
        <v>-4.1244219999999998E-2</v>
      </c>
      <c r="N6859">
        <v>0</v>
      </c>
      <c r="O6859">
        <v>-0.99911669999999997</v>
      </c>
      <c r="P6859">
        <v>-4.9458160000000001E-2</v>
      </c>
      <c r="Q6859">
        <v>-2.000822E-2</v>
      </c>
      <c r="R6859">
        <v>-0.99857580000000001</v>
      </c>
      <c r="S6859">
        <v>-0.60339359999999997</v>
      </c>
      <c r="T6859">
        <v>-0.82501049999999998</v>
      </c>
      <c r="U6859">
        <v>-2.9568479999999999</v>
      </c>
      <c r="V6859">
        <v>8.2341540000000005E-3</v>
      </c>
      <c r="W6859">
        <v>-1.197177E-2</v>
      </c>
      <c r="X6859">
        <v>0.99989439999999996</v>
      </c>
      <c r="Y6859">
        <v>0.1522541</v>
      </c>
      <c r="Z6859">
        <v>0.26433790000000001</v>
      </c>
      <c r="AA6859">
        <v>0.95233619999999997</v>
      </c>
      <c r="AB6859">
        <v>11</v>
      </c>
      <c r="AC6859">
        <v>-0.13940000000002301</v>
      </c>
      <c r="AD6859">
        <v>-0.19555439999999999</v>
      </c>
      <c r="AE6859">
        <v>-0.58929999999999405</v>
      </c>
      <c r="AF6859">
        <v>0.104117607964095</v>
      </c>
      <c r="AG6859">
        <v>-0.19555439999999999</v>
      </c>
      <c r="AH6859">
        <v>0.53840167573233499</v>
      </c>
      <c r="AI6859">
        <v>109.62654233355801</v>
      </c>
      <c r="AJ6859">
        <v>79.055084106877203</v>
      </c>
      <c r="AK6859">
        <v>0.58220130889487998</v>
      </c>
      <c r="AL6859">
        <v>90.685948302406601</v>
      </c>
      <c r="AM6859">
        <v>89.528178567896902</v>
      </c>
      <c r="AN6859">
        <v>0.99999996786019296</v>
      </c>
    </row>
    <row r="6860" spans="1:40" x14ac:dyDescent="0.25">
      <c r="A6860" t="str">
        <f>"20190312154100634"</f>
        <v>20190312154100634</v>
      </c>
      <c r="B6860" t="str">
        <f>"1552376460623188"</f>
        <v>1552376460623188</v>
      </c>
      <c r="C6860" t="s">
        <v>40</v>
      </c>
      <c r="D6860">
        <v>4.5163349999999998</v>
      </c>
      <c r="E6860">
        <v>0.50836669999999995</v>
      </c>
      <c r="F6860" t="s">
        <v>41</v>
      </c>
      <c r="G6860">
        <v>-421.52010000000001</v>
      </c>
      <c r="H6860">
        <v>0.9324983</v>
      </c>
      <c r="I6860">
        <v>102.8028</v>
      </c>
      <c r="J6860">
        <v>-421.39109999999999</v>
      </c>
      <c r="K6860">
        <v>1.10958</v>
      </c>
      <c r="L6860">
        <v>103.3874</v>
      </c>
      <c r="M6860">
        <v>-4.0627450000000002E-2</v>
      </c>
      <c r="N6860">
        <v>0</v>
      </c>
      <c r="O6860">
        <v>-0.99914630000000004</v>
      </c>
      <c r="P6860">
        <v>-4.8259919999999998E-2</v>
      </c>
      <c r="Q6860">
        <v>-1.9457680000000002E-2</v>
      </c>
      <c r="R6860">
        <v>-0.99864529999999996</v>
      </c>
      <c r="S6860">
        <v>-0.56256099999999998</v>
      </c>
      <c r="T6860">
        <v>-0.75260079999999996</v>
      </c>
      <c r="U6860">
        <v>-2.9613339999999999</v>
      </c>
      <c r="V6860">
        <v>7.6515860000000002E-3</v>
      </c>
      <c r="W6860">
        <v>-1.192988E-2</v>
      </c>
      <c r="X6860">
        <v>0.9998996</v>
      </c>
      <c r="Y6860">
        <v>0.14098139999999901</v>
      </c>
      <c r="Z6860">
        <v>0.242755</v>
      </c>
      <c r="AA6860">
        <v>0.95978869999999905</v>
      </c>
      <c r="AB6860">
        <v>11</v>
      </c>
      <c r="AC6860">
        <v>-0.12900000000001899</v>
      </c>
      <c r="AD6860">
        <v>-0.17708170000000001</v>
      </c>
      <c r="AE6860">
        <v>-0.58459999999999401</v>
      </c>
      <c r="AF6860">
        <v>9.6682785400089094E-2</v>
      </c>
      <c r="AG6860">
        <v>-0.17708170000000001</v>
      </c>
      <c r="AH6860">
        <v>0.54194140989352002</v>
      </c>
      <c r="AI6860">
        <v>107.83170915804899</v>
      </c>
      <c r="AJ6860">
        <v>79.884802367908307</v>
      </c>
      <c r="AK6860">
        <v>0.57827846339370603</v>
      </c>
      <c r="AL6860">
        <v>90.683547961779496</v>
      </c>
      <c r="AM6860">
        <v>89.561560953460202</v>
      </c>
      <c r="AN6860">
        <v>1.00000003944264</v>
      </c>
    </row>
    <row r="6861" spans="1:40" x14ac:dyDescent="0.25">
      <c r="A6861" t="str">
        <f>"20190312154100656"</f>
        <v>20190312154100656</v>
      </c>
      <c r="B6861" t="str">
        <f>"1552376460643216"</f>
        <v>1552376460643216</v>
      </c>
      <c r="C6861" t="s">
        <v>40</v>
      </c>
      <c r="D6861">
        <v>4.527323</v>
      </c>
      <c r="E6861">
        <v>0.49365310000000001</v>
      </c>
      <c r="F6861" t="s">
        <v>41</v>
      </c>
      <c r="G6861">
        <v>-421.43880000000001</v>
      </c>
      <c r="H6861">
        <v>1.0119</v>
      </c>
      <c r="I6861">
        <v>102.6602</v>
      </c>
      <c r="J6861">
        <v>-421.39499999999998</v>
      </c>
      <c r="K6861">
        <v>1.1095189999999999</v>
      </c>
      <c r="L6861">
        <v>103.27460000000001</v>
      </c>
      <c r="M6861">
        <v>-4.0010459999999998E-2</v>
      </c>
      <c r="N6861">
        <v>0</v>
      </c>
      <c r="O6861">
        <v>-0.99917469999999997</v>
      </c>
      <c r="P6861">
        <v>-4.7398950000000002E-2</v>
      </c>
      <c r="Q6861">
        <v>-1.918781E-2</v>
      </c>
      <c r="R6861">
        <v>-0.99869160000000001</v>
      </c>
      <c r="S6861">
        <v>-0.19396969999999999</v>
      </c>
      <c r="T6861">
        <v>-0.4013795</v>
      </c>
      <c r="U6861">
        <v>-2.9868769999999998</v>
      </c>
      <c r="V6861">
        <v>7.4072529999999999E-3</v>
      </c>
      <c r="W6861">
        <v>-1.2173369999999999E-2</v>
      </c>
      <c r="X6861">
        <v>0.99989850000000002</v>
      </c>
      <c r="Y6861">
        <v>2.4249920000000001E-2</v>
      </c>
      <c r="Z6861">
        <v>0.13286809999999999</v>
      </c>
      <c r="AA6861">
        <v>0.99083699999999997</v>
      </c>
      <c r="AB6861">
        <v>11</v>
      </c>
      <c r="AC6861">
        <v>-4.3800000000032903E-2</v>
      </c>
      <c r="AD6861">
        <v>-9.7619000000000095E-2</v>
      </c>
      <c r="AE6861">
        <v>-0.61440000000000305</v>
      </c>
      <c r="AF6861">
        <v>1.8711912157492998E-2</v>
      </c>
      <c r="AG6861">
        <v>-9.7619000000000095E-2</v>
      </c>
      <c r="AH6861">
        <v>0.60057594197090403</v>
      </c>
      <c r="AI6861">
        <v>99.227847237688394</v>
      </c>
      <c r="AJ6861">
        <v>88.215434872263899</v>
      </c>
      <c r="AK6861">
        <v>0.60874548613671797</v>
      </c>
      <c r="AL6861">
        <v>90.697499927431593</v>
      </c>
      <c r="AM6861">
        <v>89.575560347996998</v>
      </c>
      <c r="AN6861">
        <v>1.0000000343182001</v>
      </c>
    </row>
    <row r="6862" spans="1:40" x14ac:dyDescent="0.25">
      <c r="A6862" t="str">
        <f>"20190312154100679"</f>
        <v>20190312154100679</v>
      </c>
      <c r="B6862" t="str">
        <f>"1552376460673471"</f>
        <v>1552376460673471</v>
      </c>
      <c r="C6862" t="s">
        <v>40</v>
      </c>
      <c r="D6862">
        <v>4.4341609999999996</v>
      </c>
      <c r="E6862">
        <v>0.48612909999999998</v>
      </c>
      <c r="F6862" t="s">
        <v>42</v>
      </c>
      <c r="G6862">
        <v>-421.72559999999999</v>
      </c>
      <c r="H6862" s="1">
        <v>-1.056364E-6</v>
      </c>
      <c r="I6862">
        <v>90.981219999999993</v>
      </c>
      <c r="J6862">
        <v>-421.39890000000003</v>
      </c>
      <c r="K6862">
        <v>1.1094619999999999</v>
      </c>
      <c r="L6862">
        <v>103.1597</v>
      </c>
      <c r="M6862">
        <v>-3.938349E-2</v>
      </c>
      <c r="N6862">
        <v>0</v>
      </c>
      <c r="O6862">
        <v>-0.99920299999999995</v>
      </c>
      <c r="P6862">
        <v>-4.6618649999999998E-2</v>
      </c>
      <c r="Q6862">
        <v>-1.8375249999999999E-2</v>
      </c>
      <c r="R6862">
        <v>-0.99874390000000002</v>
      </c>
      <c r="S6862">
        <v>-8.0566410000000005E-2</v>
      </c>
      <c r="T6862">
        <v>-0.27030320000000002</v>
      </c>
      <c r="U6862">
        <v>-2.9949340000000002</v>
      </c>
      <c r="V6862">
        <v>7.253046E-3</v>
      </c>
      <c r="W6862">
        <v>-1.188348E-2</v>
      </c>
      <c r="X6862">
        <v>0.99990310000000004</v>
      </c>
      <c r="Y6862">
        <v>-1.260841E-2</v>
      </c>
      <c r="Z6862">
        <v>8.9764070000000001E-2</v>
      </c>
      <c r="AA6862">
        <v>0.99588319999999997</v>
      </c>
      <c r="AB6862">
        <v>11</v>
      </c>
      <c r="AC6862">
        <v>-0.32669999999995902</v>
      </c>
      <c r="AD6862">
        <v>-1.109463056364</v>
      </c>
      <c r="AE6862">
        <v>-12.17848</v>
      </c>
      <c r="AF6862">
        <v>-0.15193462708928501</v>
      </c>
      <c r="AG6862">
        <v>-1.109463056364</v>
      </c>
      <c r="AH6862">
        <v>12.081700915529</v>
      </c>
      <c r="AI6862">
        <v>95.246345916343898</v>
      </c>
      <c r="AJ6862">
        <v>90.720490773708207</v>
      </c>
      <c r="AK6862">
        <v>12.133486284520201</v>
      </c>
      <c r="AL6862">
        <v>90.680889264813203</v>
      </c>
      <c r="AM6862">
        <v>89.5843980921765</v>
      </c>
      <c r="AN6862">
        <v>1.00000001658139</v>
      </c>
    </row>
    <row r="6863" spans="1:40" x14ac:dyDescent="0.25">
      <c r="A6863" t="str">
        <f>"20190312154100701"</f>
        <v>20190312154100701</v>
      </c>
      <c r="B6863" t="str">
        <f>"1552376460692995"</f>
        <v>1552376460692995</v>
      </c>
      <c r="C6863" t="s">
        <v>40</v>
      </c>
      <c r="D6863">
        <v>4.4022739999999896</v>
      </c>
      <c r="E6863">
        <v>0.4841665</v>
      </c>
      <c r="F6863" t="s">
        <v>42</v>
      </c>
      <c r="G6863">
        <v>-421.52409999999998</v>
      </c>
      <c r="H6863" s="1">
        <v>-3.1739440000000002E-6</v>
      </c>
      <c r="I6863">
        <v>86.042369999999906</v>
      </c>
      <c r="J6863">
        <v>-421.40289999999999</v>
      </c>
      <c r="K6863">
        <v>1.109399</v>
      </c>
      <c r="L6863">
        <v>103.03740000000001</v>
      </c>
      <c r="M6863">
        <v>-3.8718309999999999E-2</v>
      </c>
      <c r="N6863">
        <v>0</v>
      </c>
      <c r="O6863">
        <v>-0.99923240000000002</v>
      </c>
      <c r="P6863">
        <v>-4.589099E-2</v>
      </c>
      <c r="Q6863">
        <v>-1.761629E-2</v>
      </c>
      <c r="R6863">
        <v>-0.99879110000000004</v>
      </c>
      <c r="S6863">
        <v>-2.1942139999999999E-2</v>
      </c>
      <c r="T6863">
        <v>-0.1943928</v>
      </c>
      <c r="U6863">
        <v>-2.9991759999999998</v>
      </c>
      <c r="V6863">
        <v>7.1899149999999998E-3</v>
      </c>
      <c r="W6863">
        <v>-1.167169E-2</v>
      </c>
      <c r="X6863">
        <v>0.99990610000000002</v>
      </c>
      <c r="Y6863">
        <v>-3.1422859999999997E-2</v>
      </c>
      <c r="Z6863">
        <v>6.4590190000000006E-2</v>
      </c>
      <c r="AA6863">
        <v>0.997417</v>
      </c>
      <c r="AB6863">
        <v>12</v>
      </c>
      <c r="AC6863">
        <v>-0.121199999999987</v>
      </c>
      <c r="AD6863">
        <v>-1.1094021739440001</v>
      </c>
      <c r="AE6863">
        <v>-16.99503</v>
      </c>
      <c r="AF6863">
        <v>-0.53464328659445204</v>
      </c>
      <c r="AG6863">
        <v>-1.1094021739440001</v>
      </c>
      <c r="AH6863">
        <v>16.914904327603601</v>
      </c>
      <c r="AI6863">
        <v>93.750630746153405</v>
      </c>
      <c r="AJ6863">
        <v>91.810392072284699</v>
      </c>
      <c r="AK6863">
        <v>16.959675853017799</v>
      </c>
      <c r="AL6863">
        <v>90.668753717087199</v>
      </c>
      <c r="AM6863">
        <v>89.588016629915799</v>
      </c>
      <c r="AN6863">
        <v>1.0000000660211801</v>
      </c>
    </row>
    <row r="6864" spans="1:40" x14ac:dyDescent="0.25">
      <c r="A6864" t="str">
        <f>"20190312154100723"</f>
        <v>20190312154100723</v>
      </c>
      <c r="B6864" t="str">
        <f>"1552376460713488"</f>
        <v>1552376460713488</v>
      </c>
      <c r="C6864" t="s">
        <v>40</v>
      </c>
      <c r="D6864">
        <v>4.3865109999999996</v>
      </c>
      <c r="E6864">
        <v>0.48314059999999998</v>
      </c>
      <c r="F6864" t="s">
        <v>42</v>
      </c>
      <c r="G6864">
        <v>-421.43799999999999</v>
      </c>
      <c r="H6864" s="1">
        <v>-1.9878759999999998E-6</v>
      </c>
      <c r="I6864">
        <v>83.331019999999995</v>
      </c>
      <c r="J6864">
        <v>-421.40660000000003</v>
      </c>
      <c r="K6864">
        <v>1.1093470000000001</v>
      </c>
      <c r="L6864">
        <v>102.92359999999999</v>
      </c>
      <c r="M6864">
        <v>-3.810036E-2</v>
      </c>
      <c r="N6864">
        <v>0</v>
      </c>
      <c r="O6864">
        <v>-0.99925929999999996</v>
      </c>
      <c r="P6864">
        <v>-4.5792020000000003E-2</v>
      </c>
      <c r="Q6864">
        <v>-1.763238E-2</v>
      </c>
      <c r="R6864">
        <v>-0.99879549999999995</v>
      </c>
      <c r="S6864">
        <v>-5.3405759999999997E-3</v>
      </c>
      <c r="T6864">
        <v>-0.1689136</v>
      </c>
      <c r="U6864">
        <v>-3.0004270000000002</v>
      </c>
      <c r="V6864">
        <v>7.7097009999999898E-3</v>
      </c>
      <c r="W6864">
        <v>-1.2179880000000001E-2</v>
      </c>
      <c r="X6864">
        <v>0.99989609999999995</v>
      </c>
      <c r="Y6864">
        <v>-3.6325000000000003E-2</v>
      </c>
      <c r="Z6864">
        <v>5.6127749999999997E-2</v>
      </c>
      <c r="AA6864">
        <v>0.99776260000000006</v>
      </c>
      <c r="AB6864">
        <v>12</v>
      </c>
      <c r="AC6864">
        <v>-3.14000000000191E-2</v>
      </c>
      <c r="AD6864">
        <v>-1.1093489878759999</v>
      </c>
      <c r="AE6864">
        <v>-19.592580000000002</v>
      </c>
      <c r="AF6864">
        <v>-0.71283277377395404</v>
      </c>
      <c r="AG6864">
        <v>-1.1093489878759999</v>
      </c>
      <c r="AH6864">
        <v>19.516980346223999</v>
      </c>
      <c r="AI6864">
        <v>93.251039820941898</v>
      </c>
      <c r="AJ6864">
        <v>92.091725372520898</v>
      </c>
      <c r="AK6864">
        <v>19.561475086893601</v>
      </c>
      <c r="AL6864">
        <v>90.697872974632702</v>
      </c>
      <c r="AM6864">
        <v>89.558229525081103</v>
      </c>
      <c r="AN6864">
        <v>0.99999999988076604</v>
      </c>
    </row>
    <row r="6865" spans="1:40" x14ac:dyDescent="0.25">
      <c r="A6865" t="str">
        <f>"20190312154100744"</f>
        <v>20190312154100744</v>
      </c>
      <c r="B6865" t="str">
        <f>"1552376460733008"</f>
        <v>1552376460733008</v>
      </c>
      <c r="C6865" t="s">
        <v>40</v>
      </c>
      <c r="D6865">
        <v>4.4376930000000003</v>
      </c>
      <c r="E6865">
        <v>0.48186980000000001</v>
      </c>
      <c r="F6865" t="s">
        <v>42</v>
      </c>
      <c r="G6865">
        <v>-421.38940000000002</v>
      </c>
      <c r="H6865" s="1">
        <v>-9.666533E-7</v>
      </c>
      <c r="I6865">
        <v>80.980639999999994</v>
      </c>
      <c r="J6865">
        <v>-421.41050000000001</v>
      </c>
      <c r="K6865">
        <v>1.1092959999999901</v>
      </c>
      <c r="L6865">
        <v>102.8028</v>
      </c>
      <c r="M6865">
        <v>-3.744546E-2</v>
      </c>
      <c r="N6865">
        <v>0</v>
      </c>
      <c r="O6865">
        <v>-0.99928649999999997</v>
      </c>
      <c r="P6865">
        <v>-4.5638669999999999E-2</v>
      </c>
      <c r="Q6865">
        <v>-1.7948269999999999E-2</v>
      </c>
      <c r="R6865">
        <v>-0.99879680000000004</v>
      </c>
      <c r="S6865">
        <v>2.3498540000000002E-3</v>
      </c>
      <c r="T6865">
        <v>-0.15171999999999999</v>
      </c>
      <c r="U6865">
        <v>-3.0010379999999999</v>
      </c>
      <c r="V6865">
        <v>8.2123549999999993E-3</v>
      </c>
      <c r="W6865">
        <v>-1.2993080000000001E-2</v>
      </c>
      <c r="X6865">
        <v>0.99988189999999999</v>
      </c>
      <c r="Y6865">
        <v>-3.8227360000000002E-2</v>
      </c>
      <c r="Z6865">
        <v>5.0419829999999999E-2</v>
      </c>
      <c r="AA6865">
        <v>0.99799629999999995</v>
      </c>
      <c r="AB6865">
        <v>12</v>
      </c>
      <c r="AC6865">
        <v>2.1099999999989901E-2</v>
      </c>
      <c r="AD6865">
        <v>-1.1092969666532999</v>
      </c>
      <c r="AE6865">
        <v>-21.82216</v>
      </c>
      <c r="AF6865">
        <v>-0.83607550585049994</v>
      </c>
      <c r="AG6865">
        <v>-1.1092969666532999</v>
      </c>
      <c r="AH6865">
        <v>21.7498624604074</v>
      </c>
      <c r="AI6865">
        <v>92.917546023069207</v>
      </c>
      <c r="AJ6865">
        <v>92.201394310415296</v>
      </c>
      <c r="AK6865">
        <v>21.7941753470589</v>
      </c>
      <c r="AL6865">
        <v>90.744469566178594</v>
      </c>
      <c r="AM6865">
        <v>89.5294217234364</v>
      </c>
      <c r="AN6865">
        <v>1.00000003842507</v>
      </c>
    </row>
    <row r="6866" spans="1:40" x14ac:dyDescent="0.25">
      <c r="A6866" t="str">
        <f>"20190312154100768"</f>
        <v>20190312154100768</v>
      </c>
      <c r="B6866" t="str">
        <f>"1552376460763267"</f>
        <v>1552376460763267</v>
      </c>
      <c r="C6866" t="s">
        <v>40</v>
      </c>
      <c r="D6866">
        <v>4.3935500000000003</v>
      </c>
      <c r="E6866">
        <v>0.48057450000000002</v>
      </c>
      <c r="F6866" t="s">
        <v>42</v>
      </c>
      <c r="G6866">
        <v>-421.31479999999999</v>
      </c>
      <c r="H6866" s="1">
        <v>-3.8749150000000003E-7</v>
      </c>
      <c r="I6866">
        <v>79.676859999999905</v>
      </c>
      <c r="J6866">
        <v>-421.41449999999998</v>
      </c>
      <c r="K6866">
        <v>1.109245</v>
      </c>
      <c r="L6866">
        <v>102.6748</v>
      </c>
      <c r="M6866">
        <v>-3.6753069999999999E-2</v>
      </c>
      <c r="N6866">
        <v>0</v>
      </c>
      <c r="O6866">
        <v>-0.9993147</v>
      </c>
      <c r="P6866">
        <v>-4.5675699999999902E-2</v>
      </c>
      <c r="Q6866">
        <v>-1.8606600000000001E-2</v>
      </c>
      <c r="R6866">
        <v>-0.99878339999999999</v>
      </c>
      <c r="S6866">
        <v>1.242065E-2</v>
      </c>
      <c r="T6866">
        <v>-0.143979</v>
      </c>
      <c r="U6866">
        <v>-3.0015869999999998</v>
      </c>
      <c r="V6866">
        <v>8.9435369999999997E-3</v>
      </c>
      <c r="W6866">
        <v>-1.4149170000000001E-2</v>
      </c>
      <c r="X6866">
        <v>0.99985990000000002</v>
      </c>
      <c r="Y6866">
        <v>-4.0883549999999998E-2</v>
      </c>
      <c r="Z6866">
        <v>4.7843780000000002E-2</v>
      </c>
      <c r="AA6866">
        <v>0.99801779999999995</v>
      </c>
      <c r="AB6866">
        <v>12</v>
      </c>
      <c r="AC6866">
        <v>9.9699999999984301E-2</v>
      </c>
      <c r="AD6866">
        <v>-1.1092453874915</v>
      </c>
      <c r="AE6866">
        <v>-22.99794</v>
      </c>
      <c r="AF6866">
        <v>-0.94269270864085397</v>
      </c>
      <c r="AG6866">
        <v>-1.1092453874915</v>
      </c>
      <c r="AH6866">
        <v>22.925405659620999</v>
      </c>
      <c r="AI6866">
        <v>92.767759720901495</v>
      </c>
      <c r="AJ6866">
        <v>92.354675983058499</v>
      </c>
      <c r="AK6866">
        <v>22.971576339702501</v>
      </c>
      <c r="AL6866">
        <v>90.810714774636693</v>
      </c>
      <c r="AM6866">
        <v>89.487514942469801</v>
      </c>
      <c r="AN6866">
        <v>1.0000000027468801</v>
      </c>
    </row>
    <row r="6867" spans="1:40" x14ac:dyDescent="0.25">
      <c r="A6867" t="str">
        <f>"20190312154100790"</f>
        <v>20190312154100790</v>
      </c>
      <c r="B6867" t="str">
        <f>"1552376460782784"</f>
        <v>1552376460782784</v>
      </c>
      <c r="C6867" t="s">
        <v>40</v>
      </c>
      <c r="D6867">
        <v>4.311833</v>
      </c>
      <c r="E6867">
        <v>0.48029939999999999</v>
      </c>
      <c r="F6867" t="s">
        <v>42</v>
      </c>
      <c r="G6867">
        <v>-421.23540000000003</v>
      </c>
      <c r="H6867" s="1">
        <v>-4.1157350000000002E-6</v>
      </c>
      <c r="I6867">
        <v>78.437100000000001</v>
      </c>
      <c r="J6867">
        <v>-421.41829999999999</v>
      </c>
      <c r="K6867">
        <v>1.1091899999999999</v>
      </c>
      <c r="L6867">
        <v>102.5496</v>
      </c>
      <c r="M6867">
        <v>-3.6077690000000003E-2</v>
      </c>
      <c r="N6867">
        <v>0</v>
      </c>
      <c r="O6867">
        <v>-0.99934120000000004</v>
      </c>
      <c r="P6867">
        <v>-4.5651940000000002E-2</v>
      </c>
      <c r="Q6867">
        <v>-1.873329E-2</v>
      </c>
      <c r="R6867">
        <v>-0.99878199999999995</v>
      </c>
      <c r="S6867">
        <v>2.2186279999999999E-2</v>
      </c>
      <c r="T6867">
        <v>-0.13739289999999901</v>
      </c>
      <c r="U6867">
        <v>-3.0021059999999999</v>
      </c>
      <c r="V6867">
        <v>9.5961640000000008E-3</v>
      </c>
      <c r="W6867">
        <v>-1.473434E-2</v>
      </c>
      <c r="X6867">
        <v>0.9998454</v>
      </c>
      <c r="Y6867">
        <v>-4.3454479999999997E-2</v>
      </c>
      <c r="Z6867">
        <v>4.5650799999999998E-2</v>
      </c>
      <c r="AA6867">
        <v>0.99801189999999995</v>
      </c>
      <c r="AB6867">
        <v>12</v>
      </c>
      <c r="AC6867">
        <v>0.18289999999996001</v>
      </c>
      <c r="AD6867">
        <v>-1.10919411573499</v>
      </c>
      <c r="AE6867">
        <v>-24.112500000000001</v>
      </c>
      <c r="AF6867">
        <v>-1.0504882172321399</v>
      </c>
      <c r="AG6867">
        <v>-1.10919411573499</v>
      </c>
      <c r="AH6867">
        <v>24.039337508653901</v>
      </c>
      <c r="AI6867">
        <v>92.639283849486802</v>
      </c>
      <c r="AJ6867">
        <v>92.502160199714496</v>
      </c>
      <c r="AK6867">
        <v>24.0878306398874</v>
      </c>
      <c r="AL6867">
        <v>90.844246040874594</v>
      </c>
      <c r="AM6867">
        <v>89.450112171878402</v>
      </c>
      <c r="AN6867">
        <v>1.0000000055199501</v>
      </c>
    </row>
    <row r="6868" spans="1:40" x14ac:dyDescent="0.25">
      <c r="A6868" t="str">
        <f>"20190312154100812"</f>
        <v>20190312154100812</v>
      </c>
      <c r="B6868" t="str">
        <f>"1552376460803283"</f>
        <v>1552376460803283</v>
      </c>
      <c r="C6868" t="s">
        <v>40</v>
      </c>
      <c r="D6868">
        <v>4.3094409999999996</v>
      </c>
      <c r="E6868">
        <v>0.4800661</v>
      </c>
      <c r="F6868" t="s">
        <v>42</v>
      </c>
      <c r="G6868">
        <v>-421.21390000000002</v>
      </c>
      <c r="H6868" s="1">
        <v>-3.5546030000000001E-6</v>
      </c>
      <c r="I6868">
        <v>77.12209</v>
      </c>
      <c r="J6868">
        <v>-421.42219999999998</v>
      </c>
      <c r="K6868">
        <v>1.1091470000000001</v>
      </c>
      <c r="L6868">
        <v>102.4224</v>
      </c>
      <c r="M6868">
        <v>-3.5391289999999999E-2</v>
      </c>
      <c r="N6868">
        <v>0</v>
      </c>
      <c r="O6868">
        <v>-0.99936740000000002</v>
      </c>
      <c r="P6868">
        <v>-4.5629879999999998E-2</v>
      </c>
      <c r="Q6868">
        <v>-1.8430120000000001E-2</v>
      </c>
      <c r="R6868">
        <v>-0.99878869999999997</v>
      </c>
      <c r="S6868">
        <v>2.4139399999999998E-2</v>
      </c>
      <c r="T6868">
        <v>-0.13096640000000001</v>
      </c>
      <c r="U6868">
        <v>-3.002319</v>
      </c>
      <c r="V6868">
        <v>1.026096E-2</v>
      </c>
      <c r="W6868">
        <v>-1.486846E-2</v>
      </c>
      <c r="X6868">
        <v>0.99983679999999997</v>
      </c>
      <c r="Y6868">
        <v>-4.341768E-2</v>
      </c>
      <c r="Z6868">
        <v>4.3518090000000002E-2</v>
      </c>
      <c r="AA6868">
        <v>0.99810869999999996</v>
      </c>
      <c r="AB6868">
        <v>13</v>
      </c>
      <c r="AC6868">
        <v>0.208299999999951</v>
      </c>
      <c r="AD6868">
        <v>-1.1091505546029901</v>
      </c>
      <c r="AE6868">
        <v>-25.30031</v>
      </c>
      <c r="AF6868">
        <v>-1.1014688384284901</v>
      </c>
      <c r="AG6868">
        <v>-1.1091505546029901</v>
      </c>
      <c r="AH6868">
        <v>25.228604517373899</v>
      </c>
      <c r="AI6868">
        <v>92.514938337965305</v>
      </c>
      <c r="AJ6868">
        <v>92.499918798306695</v>
      </c>
      <c r="AK6868">
        <v>25.2769842831154</v>
      </c>
      <c r="AL6868">
        <v>90.851931403768504</v>
      </c>
      <c r="AM6868">
        <v>89.412014977665606</v>
      </c>
      <c r="AN6868">
        <v>0.99999999251856597</v>
      </c>
    </row>
    <row r="6869" spans="1:40" x14ac:dyDescent="0.25">
      <c r="A6869" t="str">
        <f>"20190312154100835"</f>
        <v>20190312154100835</v>
      </c>
      <c r="B6869" t="str">
        <f>"1552376460822800"</f>
        <v>1552376460822800</v>
      </c>
      <c r="C6869" t="s">
        <v>40</v>
      </c>
      <c r="D6869">
        <v>4.3026429999999998</v>
      </c>
      <c r="E6869">
        <v>0.47986440000000002</v>
      </c>
      <c r="F6869" t="s">
        <v>42</v>
      </c>
      <c r="G6869">
        <v>-421.19189999999998</v>
      </c>
      <c r="H6869" s="1">
        <v>-2.95193E-6</v>
      </c>
      <c r="I6869">
        <v>75.730909999999994</v>
      </c>
      <c r="J6869">
        <v>-421.42610000000002</v>
      </c>
      <c r="K6869">
        <v>1.109103</v>
      </c>
      <c r="L6869">
        <v>102.2907</v>
      </c>
      <c r="M6869">
        <v>-3.4682419999999999E-2</v>
      </c>
      <c r="N6869">
        <v>0</v>
      </c>
      <c r="O6869">
        <v>-0.99939339999999999</v>
      </c>
      <c r="P6869">
        <v>-4.4932390000000003E-2</v>
      </c>
      <c r="Q6869">
        <v>-1.8378410000000001E-2</v>
      </c>
      <c r="R6869">
        <v>-0.99882099999999996</v>
      </c>
      <c r="S6869">
        <v>2.5909419999999999E-2</v>
      </c>
      <c r="T6869">
        <v>-0.1247687</v>
      </c>
      <c r="U6869">
        <v>-3.0025330000000001</v>
      </c>
      <c r="V6869">
        <v>1.0272450000000001E-2</v>
      </c>
      <c r="W6869">
        <v>-1.523717E-2</v>
      </c>
      <c r="X6869">
        <v>0.99983109999999997</v>
      </c>
      <c r="Y6869">
        <v>-4.3297540000000002E-2</v>
      </c>
      <c r="Z6869">
        <v>4.1460950000000003E-2</v>
      </c>
      <c r="AA6869">
        <v>0.99820149999999996</v>
      </c>
      <c r="AB6869">
        <v>13</v>
      </c>
      <c r="AC6869">
        <v>0.23420000000004301</v>
      </c>
      <c r="AD6869">
        <v>-1.1091059519299999</v>
      </c>
      <c r="AE6869">
        <v>-26.55979</v>
      </c>
      <c r="AF6869">
        <v>-1.15321066722726</v>
      </c>
      <c r="AG6869">
        <v>-1.1091059519299999</v>
      </c>
      <c r="AH6869">
        <v>26.489499569052398</v>
      </c>
      <c r="AI6869">
        <v>92.395287466566501</v>
      </c>
      <c r="AJ6869">
        <v>92.492776759405402</v>
      </c>
      <c r="AK6869">
        <v>26.537776814843401</v>
      </c>
      <c r="AL6869">
        <v>90.873059351741801</v>
      </c>
      <c r="AM6869">
        <v>89.411353255522201</v>
      </c>
      <c r="AN6869">
        <v>0.99999996155290904</v>
      </c>
    </row>
    <row r="6870" spans="1:40" x14ac:dyDescent="0.25">
      <c r="A6870" t="str">
        <f>"20190312154100857"</f>
        <v>20190312154100857</v>
      </c>
      <c r="B6870" t="str">
        <f>"1552376460853056"</f>
        <v>1552376460853056</v>
      </c>
      <c r="C6870" t="s">
        <v>40</v>
      </c>
      <c r="D6870">
        <v>4.3102080000000003</v>
      </c>
      <c r="E6870">
        <v>0.47964420000000002</v>
      </c>
      <c r="F6870" t="s">
        <v>42</v>
      </c>
      <c r="G6870">
        <v>-421.15260000000001</v>
      </c>
      <c r="H6870" s="1">
        <v>-2.386746E-6</v>
      </c>
      <c r="I6870">
        <v>74.437799999999996</v>
      </c>
      <c r="J6870">
        <v>-421.42989999999998</v>
      </c>
      <c r="K6870">
        <v>1.1090660000000001</v>
      </c>
      <c r="L6870">
        <v>102.1574</v>
      </c>
      <c r="M6870">
        <v>-3.3966799999999998E-2</v>
      </c>
      <c r="N6870">
        <v>0</v>
      </c>
      <c r="O6870">
        <v>-0.99941919999999995</v>
      </c>
      <c r="P6870">
        <v>-4.4360360000000001E-2</v>
      </c>
      <c r="Q6870">
        <v>-1.8494489999999999E-2</v>
      </c>
      <c r="R6870">
        <v>-0.99884430000000002</v>
      </c>
      <c r="S6870">
        <v>2.9479979999999999E-2</v>
      </c>
      <c r="T6870">
        <v>-0.1195672</v>
      </c>
      <c r="U6870">
        <v>-3.0026860000000002</v>
      </c>
      <c r="V6870">
        <v>1.041651E-2</v>
      </c>
      <c r="W6870">
        <v>-1.574453E-2</v>
      </c>
      <c r="X6870">
        <v>0.99982179999999998</v>
      </c>
      <c r="Y6870">
        <v>-4.3769259999999997E-2</v>
      </c>
      <c r="Z6870">
        <v>3.9734110000000003E-2</v>
      </c>
      <c r="AA6870">
        <v>0.99825120000000001</v>
      </c>
      <c r="AB6870">
        <v>13</v>
      </c>
      <c r="AC6870">
        <v>0.27729999999996802</v>
      </c>
      <c r="AD6870">
        <v>-1.1090683867459901</v>
      </c>
      <c r="AE6870">
        <v>-27.7196</v>
      </c>
      <c r="AF6870">
        <v>-1.21674204407755</v>
      </c>
      <c r="AG6870">
        <v>-1.1090683867459901</v>
      </c>
      <c r="AH6870">
        <v>27.649927430090798</v>
      </c>
      <c r="AI6870">
        <v>92.294745737442497</v>
      </c>
      <c r="AJ6870">
        <v>92.519689667935396</v>
      </c>
      <c r="AK6870">
        <v>27.698898548093801</v>
      </c>
      <c r="AL6870">
        <v>90.9021323820932</v>
      </c>
      <c r="AM6870">
        <v>89.403093163031599</v>
      </c>
      <c r="AN6870">
        <v>1.0000000128303701</v>
      </c>
    </row>
    <row r="6871" spans="1:40" x14ac:dyDescent="0.25">
      <c r="A6871" t="str">
        <f>"20190312154100880"</f>
        <v>20190312154100880</v>
      </c>
      <c r="B6871" t="str">
        <f>"1552376460873552"</f>
        <v>1552376460873552</v>
      </c>
      <c r="C6871" t="s">
        <v>40</v>
      </c>
      <c r="D6871">
        <v>4.2795459999999999</v>
      </c>
      <c r="E6871">
        <v>0.47961280000000001</v>
      </c>
      <c r="F6871" t="s">
        <v>42</v>
      </c>
      <c r="G6871">
        <v>-421.11829999999998</v>
      </c>
      <c r="H6871" s="1">
        <v>-1.767935E-6</v>
      </c>
      <c r="I6871">
        <v>73.016599999999997</v>
      </c>
      <c r="J6871">
        <v>-421.43360000000001</v>
      </c>
      <c r="K6871">
        <v>1.1090260000000001</v>
      </c>
      <c r="L6871">
        <v>102.023</v>
      </c>
      <c r="M6871">
        <v>-3.324651E-2</v>
      </c>
      <c r="N6871">
        <v>0</v>
      </c>
      <c r="O6871">
        <v>-0.99944449999999996</v>
      </c>
      <c r="P6871">
        <v>-4.394824E-2</v>
      </c>
      <c r="Q6871">
        <v>-1.9089350000000001E-2</v>
      </c>
      <c r="R6871">
        <v>-0.99885170000000001</v>
      </c>
      <c r="S6871">
        <v>3.2104489999999999E-2</v>
      </c>
      <c r="T6871">
        <v>-0.1142826</v>
      </c>
      <c r="U6871">
        <v>-3.002777</v>
      </c>
      <c r="V6871">
        <v>1.072583E-2</v>
      </c>
      <c r="W6871">
        <v>-1.6695580000000002E-2</v>
      </c>
      <c r="X6871">
        <v>0.99980309999999994</v>
      </c>
      <c r="Y6871">
        <v>-4.3922049999999997E-2</v>
      </c>
      <c r="Z6871">
        <v>3.7980470000000002E-2</v>
      </c>
      <c r="AA6871">
        <v>0.9983128</v>
      </c>
      <c r="AB6871">
        <v>13</v>
      </c>
      <c r="AC6871">
        <v>0.315300000000036</v>
      </c>
      <c r="AD6871">
        <v>-1.109027767935</v>
      </c>
      <c r="AE6871">
        <v>-29.006399999999999</v>
      </c>
      <c r="AF6871">
        <v>-1.2776224007653101</v>
      </c>
      <c r="AG6871">
        <v>-1.109027767935</v>
      </c>
      <c r="AH6871">
        <v>28.937585138480301</v>
      </c>
      <c r="AI6871">
        <v>92.192642413250695</v>
      </c>
      <c r="AJ6871">
        <v>92.528022359946704</v>
      </c>
      <c r="AK6871">
        <v>28.986998727632798</v>
      </c>
      <c r="AL6871">
        <v>90.956630704526006</v>
      </c>
      <c r="AM6871">
        <v>89.385357760270196</v>
      </c>
      <c r="AN6871">
        <v>1.00000001229516</v>
      </c>
    </row>
    <row r="6872" spans="1:40" x14ac:dyDescent="0.25">
      <c r="A6872" t="str">
        <f>"20190312154100901"</f>
        <v>20190312154100901</v>
      </c>
      <c r="B6872" t="str">
        <f>"1552376460893075"</f>
        <v>1552376460893075</v>
      </c>
      <c r="C6872" t="s">
        <v>40</v>
      </c>
      <c r="D6872">
        <v>4.2821429999999996</v>
      </c>
      <c r="E6872">
        <v>0.4795875</v>
      </c>
      <c r="F6872" t="s">
        <v>42</v>
      </c>
      <c r="G6872">
        <v>-421.10680000000002</v>
      </c>
      <c r="H6872" s="1">
        <v>-1.6215019999999999E-6</v>
      </c>
      <c r="I6872">
        <v>72.682410000000004</v>
      </c>
      <c r="J6872">
        <v>-421.43720000000002</v>
      </c>
      <c r="K6872">
        <v>1.108994</v>
      </c>
      <c r="L6872">
        <v>101.88800000000001</v>
      </c>
      <c r="M6872">
        <v>-3.25253E-2</v>
      </c>
      <c r="N6872">
        <v>0</v>
      </c>
      <c r="O6872">
        <v>-0.99946900000000005</v>
      </c>
      <c r="P6872">
        <v>-4.400979E-2</v>
      </c>
      <c r="Q6872">
        <v>-1.8665259999999999E-2</v>
      </c>
      <c r="R6872">
        <v>-0.99885710000000005</v>
      </c>
      <c r="S6872">
        <v>3.3447270000000001E-2</v>
      </c>
      <c r="T6872">
        <v>-0.113499</v>
      </c>
      <c r="U6872">
        <v>-3.0027469999999998</v>
      </c>
      <c r="V6872">
        <v>1.1508890000000001E-2</v>
      </c>
      <c r="W6872">
        <v>-1.6596329999999999E-2</v>
      </c>
      <c r="X6872">
        <v>0.99979600000000002</v>
      </c>
      <c r="Y6872">
        <v>-4.3647709999999999E-2</v>
      </c>
      <c r="Z6872">
        <v>3.7722270000000002E-2</v>
      </c>
      <c r="AA6872">
        <v>0.99833459999999996</v>
      </c>
      <c r="AB6872">
        <v>14</v>
      </c>
      <c r="AC6872">
        <v>0.33039999999999697</v>
      </c>
      <c r="AD6872">
        <v>-1.108995621502</v>
      </c>
      <c r="AE6872">
        <v>-29.205589999999901</v>
      </c>
      <c r="AF6872">
        <v>-1.27830466094215</v>
      </c>
      <c r="AG6872">
        <v>-1.108995621502</v>
      </c>
      <c r="AH6872">
        <v>29.137384149928501</v>
      </c>
      <c r="AI6872">
        <v>92.177585323506307</v>
      </c>
      <c r="AJ6872">
        <v>92.512048646577</v>
      </c>
      <c r="AK6872">
        <v>29.186488127131799</v>
      </c>
      <c r="AL6872">
        <v>90.950943353386606</v>
      </c>
      <c r="AM6872">
        <v>89.340483758360804</v>
      </c>
      <c r="AN6872">
        <v>0.99999996716724904</v>
      </c>
    </row>
    <row r="6873" spans="1:40" x14ac:dyDescent="0.25">
      <c r="A6873" t="str">
        <f>"20190312154100923"</f>
        <v>20190312154100923</v>
      </c>
      <c r="B6873" t="str">
        <f>"1552376460913568"</f>
        <v>1552376460913568</v>
      </c>
      <c r="C6873" t="s">
        <v>40</v>
      </c>
      <c r="D6873">
        <v>4.2983929999999999</v>
      </c>
      <c r="E6873">
        <v>0.47955439999999999</v>
      </c>
      <c r="F6873" t="s">
        <v>42</v>
      </c>
      <c r="G6873">
        <v>-421.1035</v>
      </c>
      <c r="H6873" s="1">
        <v>-1.1770600000000001E-6</v>
      </c>
      <c r="I6873">
        <v>71.648449999999997</v>
      </c>
      <c r="J6873">
        <v>-421.4409</v>
      </c>
      <c r="K6873">
        <v>1.108976</v>
      </c>
      <c r="L6873">
        <v>101.7513</v>
      </c>
      <c r="M6873">
        <v>-3.1798260000000002E-2</v>
      </c>
      <c r="N6873">
        <v>0</v>
      </c>
      <c r="O6873">
        <v>-0.99949290000000002</v>
      </c>
      <c r="P6873">
        <v>-4.3810809999999999E-2</v>
      </c>
      <c r="Q6873">
        <v>-1.8147429999999999E-2</v>
      </c>
      <c r="R6873">
        <v>-0.99887550000000003</v>
      </c>
      <c r="S6873">
        <v>3.3142089999999999E-2</v>
      </c>
      <c r="T6873">
        <v>-0.1101251</v>
      </c>
      <c r="U6873">
        <v>-3.0028380000000001</v>
      </c>
      <c r="V6873">
        <v>1.203683E-2</v>
      </c>
      <c r="W6873">
        <v>-1.6374819999999998E-2</v>
      </c>
      <c r="X6873">
        <v>0.9997935</v>
      </c>
      <c r="Y6873">
        <v>-4.2819629999999997E-2</v>
      </c>
      <c r="Z6873">
        <v>3.660331E-2</v>
      </c>
      <c r="AA6873">
        <v>0.99841210000000002</v>
      </c>
      <c r="AB6873">
        <v>14</v>
      </c>
      <c r="AC6873">
        <v>0.33740000000000198</v>
      </c>
      <c r="AD6873">
        <v>-1.1089771770600001</v>
      </c>
      <c r="AE6873">
        <v>-30.10285</v>
      </c>
      <c r="AF6873">
        <v>-1.2926948074529701</v>
      </c>
      <c r="AG6873">
        <v>-1.1089771770600001</v>
      </c>
      <c r="AH6873">
        <v>30.036139795323699</v>
      </c>
      <c r="AI6873">
        <v>92.112527736283496</v>
      </c>
      <c r="AJ6873">
        <v>92.464373848637294</v>
      </c>
      <c r="AK6873">
        <v>30.0843910366935</v>
      </c>
      <c r="AL6873">
        <v>90.938249979648404</v>
      </c>
      <c r="AM6873">
        <v>89.310231323086199</v>
      </c>
      <c r="AN6873">
        <v>1.00000003132436</v>
      </c>
    </row>
    <row r="6874" spans="1:40" x14ac:dyDescent="0.25">
      <c r="A6874" t="str">
        <f>"20190312154100945"</f>
        <v>20190312154100945</v>
      </c>
      <c r="B6874" t="str">
        <f>"1552376460933088"</f>
        <v>1552376460933088</v>
      </c>
      <c r="C6874" t="s">
        <v>40</v>
      </c>
      <c r="D6874">
        <v>4.2986700000000004</v>
      </c>
      <c r="E6874">
        <v>0.47953970000000001</v>
      </c>
      <c r="F6874" t="s">
        <v>42</v>
      </c>
      <c r="G6874">
        <v>-421.08609999999999</v>
      </c>
      <c r="H6874" s="1">
        <v>-7.0231319999999995E-7</v>
      </c>
      <c r="I6874">
        <v>70.552599999999998</v>
      </c>
      <c r="J6874">
        <v>-421.44450000000001</v>
      </c>
      <c r="K6874">
        <v>1.1089530000000001</v>
      </c>
      <c r="L6874">
        <v>101.60899999999999</v>
      </c>
      <c r="M6874">
        <v>-3.1047459999999999E-2</v>
      </c>
      <c r="N6874">
        <v>0</v>
      </c>
      <c r="O6874">
        <v>-0.99951699999999999</v>
      </c>
      <c r="P6874">
        <v>-4.2449399999999998E-2</v>
      </c>
      <c r="Q6874">
        <v>-1.7683649999999999E-2</v>
      </c>
      <c r="R6874">
        <v>-0.99894240000000001</v>
      </c>
      <c r="S6874">
        <v>3.414917E-2</v>
      </c>
      <c r="T6874">
        <v>-0.1067408</v>
      </c>
      <c r="U6874">
        <v>-3.0029300000000001</v>
      </c>
      <c r="V6874">
        <v>1.142513E-2</v>
      </c>
      <c r="W6874">
        <v>-1.618706E-2</v>
      </c>
      <c r="X6874">
        <v>0.99980369999999996</v>
      </c>
      <c r="Y6874">
        <v>-4.2404039999999997E-2</v>
      </c>
      <c r="Z6874">
        <v>3.5480320000000003E-2</v>
      </c>
      <c r="AA6874">
        <v>0.99847039999999998</v>
      </c>
      <c r="AB6874">
        <v>14</v>
      </c>
      <c r="AC6874">
        <v>0.35840000000001698</v>
      </c>
      <c r="AD6874">
        <v>-1.1089537023131999</v>
      </c>
      <c r="AE6874">
        <v>-31.0564</v>
      </c>
      <c r="AF6874">
        <v>-1.3207666251332999</v>
      </c>
      <c r="AG6874">
        <v>-1.1089537023131999</v>
      </c>
      <c r="AH6874">
        <v>30.990791307479299</v>
      </c>
      <c r="AI6874">
        <v>92.047502358970306</v>
      </c>
      <c r="AJ6874">
        <v>92.440356774308896</v>
      </c>
      <c r="AK6874">
        <v>31.03873948239</v>
      </c>
      <c r="AL6874">
        <v>90.927490730621003</v>
      </c>
      <c r="AM6874">
        <v>89.345288242587898</v>
      </c>
      <c r="AN6874">
        <v>0.99999999652032501</v>
      </c>
    </row>
    <row r="6875" spans="1:40" x14ac:dyDescent="0.25">
      <c r="A6875" t="str">
        <f>"20190312154100969"</f>
        <v>20190312154100969</v>
      </c>
      <c r="B6875" t="str">
        <f>"1552376460963348"</f>
        <v>1552376460963348</v>
      </c>
      <c r="C6875" t="s">
        <v>40</v>
      </c>
      <c r="D6875">
        <v>4.2735110000000001</v>
      </c>
      <c r="E6875">
        <v>0.47956880000000002</v>
      </c>
      <c r="F6875" t="s">
        <v>42</v>
      </c>
      <c r="G6875">
        <v>-421.02859999999998</v>
      </c>
      <c r="H6875" s="1">
        <v>-4.4264319999999997E-6</v>
      </c>
      <c r="I6875">
        <v>69.457920000000001</v>
      </c>
      <c r="J6875">
        <v>-421.44819999999999</v>
      </c>
      <c r="K6875">
        <v>1.1089260000000001</v>
      </c>
      <c r="L6875">
        <v>101.45959999999999</v>
      </c>
      <c r="M6875">
        <v>-3.0270330000000002E-2</v>
      </c>
      <c r="N6875">
        <v>0</v>
      </c>
      <c r="O6875">
        <v>-0.99954100000000001</v>
      </c>
      <c r="P6875">
        <v>-4.0549599999999998E-2</v>
      </c>
      <c r="Q6875">
        <v>-1.758111E-2</v>
      </c>
      <c r="R6875">
        <v>-0.99902310000000005</v>
      </c>
      <c r="S6875">
        <v>3.8848880000000002E-2</v>
      </c>
      <c r="T6875">
        <v>-0.10358050000000001</v>
      </c>
      <c r="U6875">
        <v>-3.0030209999999999</v>
      </c>
      <c r="V6875">
        <v>1.0301340000000001E-2</v>
      </c>
      <c r="W6875">
        <v>-1.6340830000000001E-2</v>
      </c>
      <c r="X6875">
        <v>0.99981339999999996</v>
      </c>
      <c r="Y6875">
        <v>-4.3189720000000001E-2</v>
      </c>
      <c r="Z6875">
        <v>3.4430370000000002E-2</v>
      </c>
      <c r="AA6875">
        <v>0.99847339999999996</v>
      </c>
      <c r="AB6875">
        <v>14</v>
      </c>
      <c r="AC6875">
        <v>0.41960000000000203</v>
      </c>
      <c r="AD6875">
        <v>-1.1089304264319999</v>
      </c>
      <c r="AE6875">
        <v>-32.001679999999901</v>
      </c>
      <c r="AF6875">
        <v>-1.38644532825471</v>
      </c>
      <c r="AG6875">
        <v>-1.1089304264319999</v>
      </c>
      <c r="AH6875">
        <v>31.935972272682498</v>
      </c>
      <c r="AI6875">
        <v>91.986844081708696</v>
      </c>
      <c r="AJ6875">
        <v>92.485836845954495</v>
      </c>
      <c r="AK6875">
        <v>31.9852822770169</v>
      </c>
      <c r="AL6875">
        <v>90.936302276525097</v>
      </c>
      <c r="AM6875">
        <v>89.4096874265027</v>
      </c>
      <c r="AN6875">
        <v>0.99999998757522202</v>
      </c>
    </row>
    <row r="6876" spans="1:40" x14ac:dyDescent="0.25">
      <c r="A6876" t="str">
        <f>"20190312154100991"</f>
        <v>20190312154100991</v>
      </c>
      <c r="B6876" t="str">
        <f>"1552376460982864"</f>
        <v>1552376460982864</v>
      </c>
      <c r="C6876" t="s">
        <v>40</v>
      </c>
      <c r="D6876">
        <v>4.2547969999999999</v>
      </c>
      <c r="E6876">
        <v>0.47956589999999999</v>
      </c>
      <c r="F6876" t="s">
        <v>42</v>
      </c>
      <c r="G6876">
        <v>-420.96910000000003</v>
      </c>
      <c r="H6876" s="1">
        <v>-4.0561010000000002E-6</v>
      </c>
      <c r="I6876">
        <v>68.442920000000001</v>
      </c>
      <c r="J6876">
        <v>-421.45190000000002</v>
      </c>
      <c r="K6876">
        <v>1.1088979999999999</v>
      </c>
      <c r="L6876">
        <v>101.3095</v>
      </c>
      <c r="M6876">
        <v>-2.950595E-2</v>
      </c>
      <c r="N6876">
        <v>0</v>
      </c>
      <c r="O6876">
        <v>-0.99956440000000002</v>
      </c>
      <c r="P6876">
        <v>-3.8675599999999997E-2</v>
      </c>
      <c r="Q6876">
        <v>-1.7655190000000001E-2</v>
      </c>
      <c r="R6876">
        <v>-0.99909619999999999</v>
      </c>
      <c r="S6876">
        <v>4.3579100000000003E-2</v>
      </c>
      <c r="T6876">
        <v>-0.1008593</v>
      </c>
      <c r="U6876">
        <v>-3.0029300000000001</v>
      </c>
      <c r="V6876">
        <v>9.1907840000000005E-3</v>
      </c>
      <c r="W6876">
        <v>-1.664098E-2</v>
      </c>
      <c r="X6876">
        <v>0.99981929999999997</v>
      </c>
      <c r="Y6876">
        <v>-4.3999040000000003E-2</v>
      </c>
      <c r="Z6876">
        <v>3.3528099999999998E-2</v>
      </c>
      <c r="AA6876">
        <v>0.99846880000000005</v>
      </c>
      <c r="AB6876">
        <v>14</v>
      </c>
      <c r="AC6876">
        <v>0.48279999999999701</v>
      </c>
      <c r="AD6876">
        <v>-1.1089020561009999</v>
      </c>
      <c r="AE6876">
        <v>-32.866579999999999</v>
      </c>
      <c r="AF6876">
        <v>-1.4506986032798299</v>
      </c>
      <c r="AG6876">
        <v>-1.1089020561009999</v>
      </c>
      <c r="AH6876">
        <v>32.8006938168826</v>
      </c>
      <c r="AI6876">
        <v>91.934387134324496</v>
      </c>
      <c r="AJ6876">
        <v>92.532409080669794</v>
      </c>
      <c r="AK6876">
        <v>32.851479496005403</v>
      </c>
      <c r="AL6876">
        <v>90.953501919959194</v>
      </c>
      <c r="AM6876">
        <v>89.473326528292205</v>
      </c>
      <c r="AN6876">
        <v>1.0000000126891899</v>
      </c>
    </row>
    <row r="6877" spans="1:40" x14ac:dyDescent="0.25">
      <c r="A6877" t="str">
        <f>"20190312154101014"</f>
        <v>20190312154101014</v>
      </c>
      <c r="B6877" t="str">
        <f>"1552376461003360"</f>
        <v>1552376461003360</v>
      </c>
      <c r="C6877" t="s">
        <v>40</v>
      </c>
      <c r="D6877">
        <v>4.246327</v>
      </c>
      <c r="E6877">
        <v>0.47959020000000002</v>
      </c>
      <c r="F6877" t="s">
        <v>42</v>
      </c>
      <c r="G6877">
        <v>-420.90199999999999</v>
      </c>
      <c r="H6877" s="1">
        <v>-3.809811E-6</v>
      </c>
      <c r="I6877">
        <v>67.910399999999996</v>
      </c>
      <c r="J6877">
        <v>-421.4554</v>
      </c>
      <c r="K6877">
        <v>1.1088690000000001</v>
      </c>
      <c r="L6877">
        <v>101.16330000000001</v>
      </c>
      <c r="M6877">
        <v>-2.878226E-2</v>
      </c>
      <c r="N6877">
        <v>0</v>
      </c>
      <c r="O6877">
        <v>-0.99958539999999996</v>
      </c>
      <c r="P6877">
        <v>-3.7088759999999998E-2</v>
      </c>
      <c r="Q6877">
        <v>-1.732121E-2</v>
      </c>
      <c r="R6877">
        <v>-0.99916199999999999</v>
      </c>
      <c r="S6877">
        <v>4.943848E-2</v>
      </c>
      <c r="T6877">
        <v>-9.9699850000000007E-2</v>
      </c>
      <c r="U6877">
        <v>-3.002869</v>
      </c>
      <c r="V6877">
        <v>8.3263309999999993E-3</v>
      </c>
      <c r="W6877">
        <v>-1.649962E-2</v>
      </c>
      <c r="X6877">
        <v>0.99982919999999997</v>
      </c>
      <c r="Y6877">
        <v>-4.5224010000000002E-2</v>
      </c>
      <c r="Z6877">
        <v>3.3143409999999998E-2</v>
      </c>
      <c r="AA6877">
        <v>0.99842690000000001</v>
      </c>
      <c r="AB6877">
        <v>15</v>
      </c>
      <c r="AC6877">
        <v>0.55340000000001</v>
      </c>
      <c r="AD6877">
        <v>-1.1088728098109999</v>
      </c>
      <c r="AE6877">
        <v>-33.252899999999997</v>
      </c>
      <c r="AF6877">
        <v>-1.50858755081861</v>
      </c>
      <c r="AG6877">
        <v>-1.1088728098109999</v>
      </c>
      <c r="AH6877">
        <v>33.186302452782002</v>
      </c>
      <c r="AI6877">
        <v>91.911771692223496</v>
      </c>
      <c r="AJ6877">
        <v>92.602767674692799</v>
      </c>
      <c r="AK6877">
        <v>33.239074984035703</v>
      </c>
      <c r="AL6877">
        <v>90.945401491132998</v>
      </c>
      <c r="AM6877">
        <v>89.522865908264805</v>
      </c>
      <c r="AN6877">
        <v>0.99999999721035204</v>
      </c>
    </row>
    <row r="6878" spans="1:40" x14ac:dyDescent="0.25">
      <c r="A6878" t="str">
        <f>"20190312154101036"</f>
        <v>20190312154101036</v>
      </c>
      <c r="B6878" t="str">
        <f>"1552376461022880"</f>
        <v>1552376461022880</v>
      </c>
      <c r="C6878" t="s">
        <v>40</v>
      </c>
      <c r="D6878">
        <v>4.2877179999999999</v>
      </c>
      <c r="E6878">
        <v>0.47964790000000002</v>
      </c>
      <c r="F6878" t="s">
        <v>42</v>
      </c>
      <c r="G6878">
        <v>-420.84559999999999</v>
      </c>
      <c r="H6878" s="1">
        <v>-3.4692990000000002E-6</v>
      </c>
      <c r="I6878">
        <v>67.15164</v>
      </c>
      <c r="J6878">
        <v>-421.4588</v>
      </c>
      <c r="K6878">
        <v>1.10884</v>
      </c>
      <c r="L6878">
        <v>101.0171</v>
      </c>
      <c r="M6878">
        <v>-2.8084560000000001E-2</v>
      </c>
      <c r="N6878">
        <v>0</v>
      </c>
      <c r="O6878">
        <v>-0.99960570000000004</v>
      </c>
      <c r="P6878">
        <v>-3.6523439999999997E-2</v>
      </c>
      <c r="Q6878">
        <v>-1.6992650000000002E-2</v>
      </c>
      <c r="R6878">
        <v>-0.99918859999999998</v>
      </c>
      <c r="S6878">
        <v>5.3833010000000001E-2</v>
      </c>
      <c r="T6878">
        <v>-9.7899559999999997E-2</v>
      </c>
      <c r="U6878">
        <v>-3.0028079999999999</v>
      </c>
      <c r="V6878">
        <v>8.4579419999999995E-3</v>
      </c>
      <c r="W6878">
        <v>-1.633743E-2</v>
      </c>
      <c r="X6878">
        <v>0.99983080000000002</v>
      </c>
      <c r="Y6878">
        <v>-4.5988149999999998E-2</v>
      </c>
      <c r="Z6878">
        <v>3.2546230000000002E-2</v>
      </c>
      <c r="AA6878">
        <v>0.99841170000000001</v>
      </c>
      <c r="AB6878">
        <v>15</v>
      </c>
      <c r="AC6878">
        <v>0.61320000000000596</v>
      </c>
      <c r="AD6878">
        <v>-1.1088434692989999</v>
      </c>
      <c r="AE6878">
        <v>-33.865459999999999</v>
      </c>
      <c r="AF6878">
        <v>-1.5623800806260399</v>
      </c>
      <c r="AG6878">
        <v>-1.1088434692989999</v>
      </c>
      <c r="AH6878">
        <v>33.798657422874001</v>
      </c>
      <c r="AI6878">
        <v>91.877044206489899</v>
      </c>
      <c r="AJ6878">
        <v>92.646676257854295</v>
      </c>
      <c r="AK6878">
        <v>33.852914334581897</v>
      </c>
      <c r="AL6878">
        <v>90.936107397174197</v>
      </c>
      <c r="AM6878">
        <v>89.5153251721472</v>
      </c>
      <c r="AN6878">
        <v>1.0000000385152501</v>
      </c>
    </row>
    <row r="6879" spans="1:40" x14ac:dyDescent="0.25">
      <c r="A6879" t="str">
        <f>"20190312154101059"</f>
        <v>20190312154101059</v>
      </c>
      <c r="B6879" t="str">
        <f>"1552376461053136"</f>
        <v>1552376461053136</v>
      </c>
      <c r="C6879" t="s">
        <v>40</v>
      </c>
      <c r="D6879">
        <v>4.3308109999999997</v>
      </c>
      <c r="E6879">
        <v>0.50144309999999903</v>
      </c>
      <c r="F6879" t="s">
        <v>42</v>
      </c>
      <c r="G6879">
        <v>-420.81700000000001</v>
      </c>
      <c r="H6879" s="1">
        <v>-3.0705629999999999E-6</v>
      </c>
      <c r="I6879">
        <v>66.239940000000004</v>
      </c>
      <c r="J6879">
        <v>-421.4624</v>
      </c>
      <c r="K6879">
        <v>1.108808</v>
      </c>
      <c r="L6879">
        <v>100.8588</v>
      </c>
      <c r="M6879">
        <v>-2.7363869999999998E-2</v>
      </c>
      <c r="N6879">
        <v>0</v>
      </c>
      <c r="O6879">
        <v>-0.9996256</v>
      </c>
      <c r="P6879">
        <v>-3.6068450000000002E-2</v>
      </c>
      <c r="Q6879">
        <v>-1.7241090000000001E-2</v>
      </c>
      <c r="R6879">
        <v>-0.99920109999999995</v>
      </c>
      <c r="S6879">
        <v>5.5419919999999998E-2</v>
      </c>
      <c r="T6879">
        <v>-9.5743179999999997E-2</v>
      </c>
      <c r="U6879">
        <v>-3.0028380000000001</v>
      </c>
      <c r="V6879">
        <v>8.7233799999999993E-3</v>
      </c>
      <c r="W6879">
        <v>-1.6732230000000001E-2</v>
      </c>
      <c r="X6879">
        <v>0.99982199999999999</v>
      </c>
      <c r="Y6879">
        <v>-4.579565E-2</v>
      </c>
      <c r="Z6879">
        <v>3.1830709999999998E-2</v>
      </c>
      <c r="AA6879">
        <v>0.99844350000000004</v>
      </c>
      <c r="AB6879">
        <v>15</v>
      </c>
      <c r="AC6879">
        <v>0.64540000000005104</v>
      </c>
      <c r="AD6879">
        <v>-1.1088110705630001</v>
      </c>
      <c r="AE6879">
        <v>-34.618859999999998</v>
      </c>
      <c r="AF6879">
        <v>-1.5908328396979701</v>
      </c>
      <c r="AG6879">
        <v>-1.1088110705630001</v>
      </c>
      <c r="AH6879">
        <v>34.5528018119509</v>
      </c>
      <c r="AI6879">
        <v>91.8360665236833</v>
      </c>
      <c r="AJ6879">
        <v>92.636072367006605</v>
      </c>
      <c r="AK6879">
        <v>34.607171571366798</v>
      </c>
      <c r="AL6879">
        <v>90.958730853683306</v>
      </c>
      <c r="AM6879">
        <v>89.500110844722997</v>
      </c>
      <c r="AN6879">
        <v>1.00000004828169</v>
      </c>
    </row>
    <row r="6880" spans="1:40" x14ac:dyDescent="0.25">
      <c r="A6880" t="str">
        <f>"20190312154101081"</f>
        <v>20190312154101081</v>
      </c>
      <c r="B6880" t="str">
        <f>"1552376461073632"</f>
        <v>1552376461073632</v>
      </c>
      <c r="C6880" t="s">
        <v>40</v>
      </c>
      <c r="D6880">
        <v>4.2803309999999897</v>
      </c>
      <c r="E6880">
        <v>0.50871599999999995</v>
      </c>
      <c r="F6880" t="s">
        <v>42</v>
      </c>
      <c r="G6880">
        <v>-423.1096</v>
      </c>
      <c r="H6880" s="1">
        <v>-4.7090820000000003E-6</v>
      </c>
      <c r="I6880">
        <v>59.203760000000003</v>
      </c>
      <c r="J6880">
        <v>-421.46589999999998</v>
      </c>
      <c r="K6880">
        <v>1.10877</v>
      </c>
      <c r="L6880">
        <v>100.7046</v>
      </c>
      <c r="M6880">
        <v>-2.6701280000000001E-2</v>
      </c>
      <c r="N6880">
        <v>0</v>
      </c>
      <c r="O6880">
        <v>-0.99964330000000001</v>
      </c>
      <c r="P6880">
        <v>-3.5827060000000001E-2</v>
      </c>
      <c r="Q6880">
        <v>-1.803014E-2</v>
      </c>
      <c r="R6880">
        <v>-0.9991951</v>
      </c>
      <c r="S6880">
        <v>-0.1184998</v>
      </c>
      <c r="T6880">
        <v>-7.9769850000000003E-2</v>
      </c>
      <c r="U6880">
        <v>-2.9967350000000001</v>
      </c>
      <c r="V6880">
        <v>9.1448989999999997E-3</v>
      </c>
      <c r="W6880">
        <v>-1.76222999999999E-2</v>
      </c>
      <c r="X6880">
        <v>0.99980290000000005</v>
      </c>
      <c r="Y6880">
        <v>1.280358E-2</v>
      </c>
      <c r="Z6880">
        <v>2.6583800000000001E-2</v>
      </c>
      <c r="AA6880">
        <v>0.99956460000000003</v>
      </c>
      <c r="AB6880">
        <v>15</v>
      </c>
      <c r="AC6880">
        <v>-1.6437000000000199</v>
      </c>
      <c r="AD6880">
        <v>-1.1087747090819999</v>
      </c>
      <c r="AE6880">
        <v>-41.500839999999997</v>
      </c>
      <c r="AF6880">
        <v>0.53460722551323403</v>
      </c>
      <c r="AG6880">
        <v>-1.1087747090819999</v>
      </c>
      <c r="AH6880">
        <v>41.500355766610802</v>
      </c>
      <c r="AI6880">
        <v>91.530293757385905</v>
      </c>
      <c r="AJ6880">
        <v>89.261957085052103</v>
      </c>
      <c r="AK6880">
        <v>41.518606852787499</v>
      </c>
      <c r="AL6880">
        <v>91.009735674575893</v>
      </c>
      <c r="AM6880">
        <v>89.475947203675801</v>
      </c>
      <c r="AN6880">
        <v>1.0000000067417101</v>
      </c>
    </row>
    <row r="6881" spans="1:40" x14ac:dyDescent="0.25">
      <c r="A6881" t="str">
        <f>"20190312154101102"</f>
        <v>20190312154101102</v>
      </c>
      <c r="B6881" t="str">
        <f>"1552376461093153"</f>
        <v>1552376461093153</v>
      </c>
      <c r="C6881" t="s">
        <v>40</v>
      </c>
      <c r="D6881">
        <v>4.2658839999999998</v>
      </c>
      <c r="E6881">
        <v>0.51156409999999997</v>
      </c>
      <c r="F6881" t="s">
        <v>42</v>
      </c>
      <c r="G6881">
        <v>-424.3682</v>
      </c>
      <c r="H6881" s="1">
        <v>-1.9544139999999998E-6</v>
      </c>
      <c r="I6881">
        <v>51.435600000000001</v>
      </c>
      <c r="J6881">
        <v>-421.46929999999998</v>
      </c>
      <c r="K6881">
        <v>1.108746</v>
      </c>
      <c r="L6881">
        <v>100.548</v>
      </c>
      <c r="M6881">
        <v>-2.6060659999999999E-2</v>
      </c>
      <c r="N6881">
        <v>0</v>
      </c>
      <c r="O6881">
        <v>-0.9996604</v>
      </c>
      <c r="P6881">
        <v>-3.5908669999999997E-2</v>
      </c>
      <c r="Q6881">
        <v>-1.8537339999999999E-2</v>
      </c>
      <c r="R6881">
        <v>-0.99918320000000005</v>
      </c>
      <c r="S6881">
        <v>-0.1764221</v>
      </c>
      <c r="T6881">
        <v>-6.7397949999999998E-2</v>
      </c>
      <c r="U6881">
        <v>-2.9948730000000001</v>
      </c>
      <c r="V6881">
        <v>9.8672670000000007E-3</v>
      </c>
      <c r="W6881">
        <v>-1.819165E-2</v>
      </c>
      <c r="X6881">
        <v>0.99978579999999995</v>
      </c>
      <c r="Y6881">
        <v>3.2755729999999997E-2</v>
      </c>
      <c r="Z6881">
        <v>2.2461789999999999E-2</v>
      </c>
      <c r="AA6881">
        <v>0.99921099999999996</v>
      </c>
      <c r="AB6881">
        <v>16</v>
      </c>
      <c r="AC6881">
        <v>-2.8989000000000198</v>
      </c>
      <c r="AD6881">
        <v>-1.108747954414</v>
      </c>
      <c r="AE6881">
        <v>-49.112400000000001</v>
      </c>
      <c r="AF6881">
        <v>1.6171925540504599</v>
      </c>
      <c r="AG6881">
        <v>-1.108747954414</v>
      </c>
      <c r="AH6881">
        <v>49.146305771518499</v>
      </c>
      <c r="AI6881">
        <v>91.291683184077399</v>
      </c>
      <c r="AJ6881">
        <v>88.115323516293003</v>
      </c>
      <c r="AK6881">
        <v>49.185404387591298</v>
      </c>
      <c r="AL6881">
        <v>91.042362294010601</v>
      </c>
      <c r="AM6881">
        <v>89.434544479927894</v>
      </c>
      <c r="AN6881">
        <v>0.99999997248470496</v>
      </c>
    </row>
    <row r="6882" spans="1:40" x14ac:dyDescent="0.25">
      <c r="A6882" t="str">
        <f>"20190312154101125"</f>
        <v>20190312154101125</v>
      </c>
      <c r="B6882" t="str">
        <f>"1552376461113648"</f>
        <v>1552376461113648</v>
      </c>
      <c r="C6882" t="s">
        <v>40</v>
      </c>
      <c r="D6882">
        <v>4.24838</v>
      </c>
      <c r="E6882">
        <v>0.51275409999999999</v>
      </c>
      <c r="F6882" t="s">
        <v>42</v>
      </c>
      <c r="G6882">
        <v>-425.32</v>
      </c>
      <c r="H6882" s="1">
        <v>-2.8108229999999998E-6</v>
      </c>
      <c r="I6882">
        <v>42.841619999999999</v>
      </c>
      <c r="J6882">
        <v>-421.47269999999997</v>
      </c>
      <c r="K6882">
        <v>1.1087359999999999</v>
      </c>
      <c r="L6882">
        <v>100.3895</v>
      </c>
      <c r="M6882">
        <v>-2.5442800000000002E-2</v>
      </c>
      <c r="N6882">
        <v>0</v>
      </c>
      <c r="O6882">
        <v>-0.99967629999999996</v>
      </c>
      <c r="P6882">
        <v>-3.556898E-2</v>
      </c>
      <c r="Q6882">
        <v>-1.9425129999999999E-2</v>
      </c>
      <c r="R6882">
        <v>-0.99917869999999998</v>
      </c>
      <c r="S6882">
        <v>-0.19979859999999999</v>
      </c>
      <c r="T6882">
        <v>-5.7529450000000003E-2</v>
      </c>
      <c r="U6882">
        <v>-2.994202</v>
      </c>
      <c r="V6882">
        <v>1.014572E-2</v>
      </c>
      <c r="W6882">
        <v>-1.9098279999999999E-2</v>
      </c>
      <c r="X6882">
        <v>0.99976609999999999</v>
      </c>
      <c r="Y6882">
        <v>4.1160299999999997E-2</v>
      </c>
      <c r="Z6882">
        <v>1.9171299999999999E-2</v>
      </c>
      <c r="AA6882">
        <v>0.99896859999999998</v>
      </c>
      <c r="AB6882">
        <v>16</v>
      </c>
      <c r="AC6882">
        <v>-3.8473000000000099</v>
      </c>
      <c r="AD6882">
        <v>-1.1087388108230001</v>
      </c>
      <c r="AE6882">
        <v>-57.547879999999999</v>
      </c>
      <c r="AF6882">
        <v>2.3809955026365799</v>
      </c>
      <c r="AG6882">
        <v>-1.1087388108230001</v>
      </c>
      <c r="AH6882">
        <v>57.605848911912503</v>
      </c>
      <c r="AI6882">
        <v>91.101694346534501</v>
      </c>
      <c r="AJ6882">
        <v>87.6331676515791</v>
      </c>
      <c r="AK6882">
        <v>57.665694049376398</v>
      </c>
      <c r="AL6882">
        <v>91.094317406937606</v>
      </c>
      <c r="AM6882">
        <v>89.418577022877798</v>
      </c>
      <c r="AN6882">
        <v>0.99999996732124197</v>
      </c>
    </row>
    <row r="6883" spans="1:40" x14ac:dyDescent="0.25">
      <c r="A6883" t="str">
        <f>"20190312154101147"</f>
        <v>20190312154101147</v>
      </c>
      <c r="B6883" t="str">
        <f>"1552376461142928"</f>
        <v>1552376461142928</v>
      </c>
      <c r="C6883" t="s">
        <v>40</v>
      </c>
      <c r="D6883">
        <v>4.3237319999999997</v>
      </c>
      <c r="E6883">
        <v>0.513683</v>
      </c>
      <c r="F6883" t="s">
        <v>69</v>
      </c>
      <c r="G6883">
        <v>-425.96420000000001</v>
      </c>
      <c r="H6883" s="1">
        <v>-3.1602580000000002E-6</v>
      </c>
      <c r="I6883">
        <v>35.957709999999999</v>
      </c>
      <c r="J6883">
        <v>-421.47609999999997</v>
      </c>
      <c r="K6883">
        <v>1.108738</v>
      </c>
      <c r="L6883">
        <v>100.23009999999999</v>
      </c>
      <c r="M6883">
        <v>-2.4852119999999998E-2</v>
      </c>
      <c r="N6883">
        <v>0</v>
      </c>
      <c r="O6883">
        <v>-0.99969140000000001</v>
      </c>
      <c r="P6883">
        <v>-3.516151E-2</v>
      </c>
      <c r="Q6883">
        <v>-2.0005459999999999E-2</v>
      </c>
      <c r="R6883">
        <v>-0.99918180000000001</v>
      </c>
      <c r="S6883">
        <v>-0.2087097</v>
      </c>
      <c r="T6883">
        <v>-5.1521419999999998E-2</v>
      </c>
      <c r="U6883">
        <v>-2.994049</v>
      </c>
      <c r="V6883">
        <v>1.0328820000000001E-2</v>
      </c>
      <c r="W6883">
        <v>-1.965016E-2</v>
      </c>
      <c r="X6883">
        <v>0.99975349999999996</v>
      </c>
      <c r="Y6883">
        <v>4.4715749999999999E-2</v>
      </c>
      <c r="Z6883">
        <v>1.7167990000000001E-2</v>
      </c>
      <c r="AA6883">
        <v>0.99885219999999997</v>
      </c>
      <c r="AB6883">
        <v>16</v>
      </c>
      <c r="AC6883">
        <v>-4.4881000000000304</v>
      </c>
      <c r="AD6883">
        <v>-1.108741160258</v>
      </c>
      <c r="AE6883">
        <v>-64.272390000000001</v>
      </c>
      <c r="AF6883">
        <v>2.8885536477532798</v>
      </c>
      <c r="AG6883">
        <v>-1.108741160258</v>
      </c>
      <c r="AH6883">
        <v>64.345022290303604</v>
      </c>
      <c r="AI6883">
        <v>90.986183628681999</v>
      </c>
      <c r="AJ6883">
        <v>87.429624160213507</v>
      </c>
      <c r="AK6883">
        <v>64.419367760604999</v>
      </c>
      <c r="AL6883">
        <v>91.125943773467796</v>
      </c>
      <c r="AM6883">
        <v>89.408077351969396</v>
      </c>
      <c r="AN6883">
        <v>0.99999993703643197</v>
      </c>
    </row>
    <row r="6884" spans="1:40" x14ac:dyDescent="0.25">
      <c r="A6884" t="str">
        <f>"20190312154101162"</f>
        <v>20190312154101162</v>
      </c>
      <c r="B6884" t="str">
        <f>"1552376461153664"</f>
        <v>1552376461153664</v>
      </c>
      <c r="C6884" t="s">
        <v>40</v>
      </c>
      <c r="D6884">
        <v>4.2704389999999997</v>
      </c>
      <c r="E6884">
        <v>0.51391379999999998</v>
      </c>
      <c r="F6884" t="s">
        <v>69</v>
      </c>
      <c r="G6884">
        <v>-426.1499</v>
      </c>
      <c r="H6884" s="1">
        <v>-3.6897029999999999E-6</v>
      </c>
      <c r="I6884">
        <v>35.165439999999997</v>
      </c>
      <c r="J6884">
        <v>-421.47840000000002</v>
      </c>
      <c r="K6884">
        <v>1.1087370000000001</v>
      </c>
      <c r="L6884">
        <v>100.12269999999999</v>
      </c>
      <c r="M6884">
        <v>-2.4469970000000001E-2</v>
      </c>
      <c r="N6884">
        <v>0</v>
      </c>
      <c r="O6884">
        <v>-0.99970040000000004</v>
      </c>
      <c r="P6884">
        <v>-3.4766079999999998E-2</v>
      </c>
      <c r="Q6884">
        <v>-2.0061030000000001E-2</v>
      </c>
      <c r="R6884">
        <v>-0.99919409999999997</v>
      </c>
      <c r="S6884">
        <v>-0.21505740000000001</v>
      </c>
      <c r="T6884">
        <v>-5.1017279999999998E-2</v>
      </c>
      <c r="U6884">
        <v>-2.9938660000000001</v>
      </c>
      <c r="V6884">
        <v>1.0315059999999999E-2</v>
      </c>
      <c r="W6884">
        <v>-1.9661979999999999E-2</v>
      </c>
      <c r="X6884">
        <v>0.99975349999999996</v>
      </c>
      <c r="Y6884">
        <v>4.720916E-2</v>
      </c>
      <c r="Z6884">
        <v>1.6999090000000001E-2</v>
      </c>
      <c r="AA6884">
        <v>0.99874039999999997</v>
      </c>
      <c r="AB6884">
        <v>16</v>
      </c>
      <c r="AC6884">
        <v>-4.6714999999999796</v>
      </c>
      <c r="AD6884">
        <v>-1.1087406897030001</v>
      </c>
      <c r="AE6884">
        <v>-64.957259999999906</v>
      </c>
      <c r="AF6884">
        <v>3.0797060905625</v>
      </c>
      <c r="AG6884">
        <v>-1.1087406897030001</v>
      </c>
      <c r="AH6884">
        <v>65.033271531016695</v>
      </c>
      <c r="AI6884">
        <v>90.975637790594703</v>
      </c>
      <c r="AJ6884">
        <v>87.288734978713407</v>
      </c>
      <c r="AK6884">
        <v>65.115591846716697</v>
      </c>
      <c r="AL6884">
        <v>91.126621038738605</v>
      </c>
      <c r="AM6884">
        <v>89.408865852231301</v>
      </c>
      <c r="AN6884">
        <v>1.0000000273412799</v>
      </c>
    </row>
    <row r="6885" spans="1:40" x14ac:dyDescent="0.25">
      <c r="A6885" t="str">
        <f>"20190312154101175"</f>
        <v>20190312154101175</v>
      </c>
      <c r="B6885" t="str">
        <f>"1552376461163424"</f>
        <v>1552376461163424</v>
      </c>
      <c r="C6885" t="s">
        <v>40</v>
      </c>
      <c r="D6885">
        <v>4.266661</v>
      </c>
      <c r="E6885">
        <v>0.51395979999999997</v>
      </c>
      <c r="F6885" t="s">
        <v>69</v>
      </c>
      <c r="G6885">
        <v>-426.20670000000001</v>
      </c>
      <c r="H6885" s="1">
        <v>-4.1445909999999996E-6</v>
      </c>
      <c r="I6885">
        <v>34.334180000000003</v>
      </c>
      <c r="J6885">
        <v>-421.4803</v>
      </c>
      <c r="K6885">
        <v>1.108741</v>
      </c>
      <c r="L6885">
        <v>100.02670000000001</v>
      </c>
      <c r="M6885">
        <v>-2.413964E-2</v>
      </c>
      <c r="N6885">
        <v>0</v>
      </c>
      <c r="O6885">
        <v>-0.99970879999999995</v>
      </c>
      <c r="P6885">
        <v>-3.4866889999999998E-2</v>
      </c>
      <c r="Q6885">
        <v>-2.0382129999999998E-2</v>
      </c>
      <c r="R6885">
        <v>-0.99918439999999997</v>
      </c>
      <c r="S6885">
        <v>-0.21517939999999999</v>
      </c>
      <c r="T6885">
        <v>-5.0457000000000002E-2</v>
      </c>
      <c r="U6885">
        <v>-2.9939269999999998</v>
      </c>
      <c r="V6885">
        <v>1.074628E-2</v>
      </c>
      <c r="W6885">
        <v>-1.9927540000000001E-2</v>
      </c>
      <c r="X6885">
        <v>0.99974370000000001</v>
      </c>
      <c r="Y6885">
        <v>4.7578509999999997E-2</v>
      </c>
      <c r="Z6885">
        <v>1.681214E-2</v>
      </c>
      <c r="AA6885">
        <v>0.998726</v>
      </c>
      <c r="AB6885">
        <v>16</v>
      </c>
      <c r="AC6885">
        <v>-4.7264000000000097</v>
      </c>
      <c r="AD6885">
        <v>-1.1087451445909999</v>
      </c>
      <c r="AE6885">
        <v>-65.692520000000002</v>
      </c>
      <c r="AF6885">
        <v>3.1383398659894302</v>
      </c>
      <c r="AG6885">
        <v>-1.1087451445909999</v>
      </c>
      <c r="AH6885">
        <v>65.768832108749194</v>
      </c>
      <c r="AI6885">
        <v>90.964715622476902</v>
      </c>
      <c r="AJ6885">
        <v>87.268047312147104</v>
      </c>
      <c r="AK6885">
        <v>65.853001221348705</v>
      </c>
      <c r="AL6885">
        <v>91.141839487184896</v>
      </c>
      <c r="AM6885">
        <v>89.384149380030607</v>
      </c>
      <c r="AN6885">
        <v>1.00000002753698</v>
      </c>
    </row>
    <row r="6886" spans="1:40" x14ac:dyDescent="0.25">
      <c r="A6886" t="str">
        <f>"20190312154101191"</f>
        <v>20190312154101191</v>
      </c>
      <c r="B6886" t="str">
        <f>"1552376461182944"</f>
        <v>1552376461182944</v>
      </c>
      <c r="C6886" t="s">
        <v>40</v>
      </c>
      <c r="D6886">
        <v>4.270562</v>
      </c>
      <c r="E6886">
        <v>0.51430710000000002</v>
      </c>
      <c r="F6886" t="s">
        <v>69</v>
      </c>
      <c r="G6886">
        <v>-426.18610000000001</v>
      </c>
      <c r="H6886" s="1">
        <v>-3.8598440000000002E-6</v>
      </c>
      <c r="I6886">
        <v>34.90569</v>
      </c>
      <c r="J6886">
        <v>-421.4828</v>
      </c>
      <c r="K6886">
        <v>1.1087579999999999</v>
      </c>
      <c r="L6886">
        <v>99.902770000000004</v>
      </c>
      <c r="M6886">
        <v>-2.373134E-2</v>
      </c>
      <c r="N6886">
        <v>0</v>
      </c>
      <c r="O6886">
        <v>-0.99971829999999995</v>
      </c>
      <c r="P6886">
        <v>-3.4829739999999998E-2</v>
      </c>
      <c r="Q6886">
        <v>-2.0537070000000001E-2</v>
      </c>
      <c r="R6886">
        <v>-0.99918240000000003</v>
      </c>
      <c r="S6886">
        <v>-0.21633910000000001</v>
      </c>
      <c r="T6886">
        <v>-5.0972820000000002E-2</v>
      </c>
      <c r="U6886">
        <v>-2.9938349999999998</v>
      </c>
      <c r="V6886">
        <v>1.1117169999999999E-2</v>
      </c>
      <c r="W6886">
        <v>-1.9989679999999999E-2</v>
      </c>
      <c r="X6886">
        <v>0.99973840000000003</v>
      </c>
      <c r="Y6886">
        <v>4.8373270000000003E-2</v>
      </c>
      <c r="Z6886">
        <v>1.698417E-2</v>
      </c>
      <c r="AA6886">
        <v>0.99868489999999999</v>
      </c>
      <c r="AB6886">
        <v>16</v>
      </c>
      <c r="AC6886">
        <v>-4.7033000000000103</v>
      </c>
      <c r="AD6886">
        <v>-1.1087618598440001</v>
      </c>
      <c r="AE6886">
        <v>-64.997079999999897</v>
      </c>
      <c r="AF6886">
        <v>3.1585931495003798</v>
      </c>
      <c r="AG6886">
        <v>-1.1087618598440001</v>
      </c>
      <c r="AH6886">
        <v>65.071553617700303</v>
      </c>
      <c r="AI6886">
        <v>90.975027302655207</v>
      </c>
      <c r="AJ6886">
        <v>87.221026508244506</v>
      </c>
      <c r="AK6886">
        <v>65.157602424944699</v>
      </c>
      <c r="AL6886">
        <v>91.145400560670296</v>
      </c>
      <c r="AM6886">
        <v>89.362892664604402</v>
      </c>
      <c r="AN6886">
        <v>1.00000002360493</v>
      </c>
    </row>
    <row r="6887" spans="1:40" x14ac:dyDescent="0.25">
      <c r="A6887" t="str">
        <f>"20190312154101214"</f>
        <v>20190312154101214</v>
      </c>
      <c r="B6887" t="str">
        <f>"1552376461203440"</f>
        <v>1552376461203440</v>
      </c>
      <c r="C6887" t="s">
        <v>40</v>
      </c>
      <c r="D6887">
        <v>4.3114879999999998</v>
      </c>
      <c r="E6887">
        <v>0.51423629999999998</v>
      </c>
      <c r="F6887" t="s">
        <v>69</v>
      </c>
      <c r="G6887">
        <v>-426.29090000000002</v>
      </c>
      <c r="H6887" s="1">
        <v>-4.2276040000000001E-6</v>
      </c>
      <c r="I6887">
        <v>34.128790000000002</v>
      </c>
      <c r="J6887">
        <v>-421.4862</v>
      </c>
      <c r="K6887">
        <v>1.1087739999999999</v>
      </c>
      <c r="L6887">
        <v>99.733490000000003</v>
      </c>
      <c r="M6887">
        <v>-2.319777E-2</v>
      </c>
      <c r="N6887">
        <v>0</v>
      </c>
      <c r="O6887">
        <v>-0.99973069999999997</v>
      </c>
      <c r="P6887">
        <v>-3.4548379999999997E-2</v>
      </c>
      <c r="Q6887">
        <v>-2.054887E-2</v>
      </c>
      <c r="R6887">
        <v>-0.99919190000000002</v>
      </c>
      <c r="S6887">
        <v>-0.2188416</v>
      </c>
      <c r="T6887">
        <v>-5.0466539999999997E-2</v>
      </c>
      <c r="U6887">
        <v>-2.9937740000000002</v>
      </c>
      <c r="V6887">
        <v>1.1368690000000001E-2</v>
      </c>
      <c r="W6887">
        <v>-1.985141E-2</v>
      </c>
      <c r="X6887">
        <v>0.99973829999999997</v>
      </c>
      <c r="Y6887">
        <v>4.9738400000000002E-2</v>
      </c>
      <c r="Z6887">
        <v>1.6815110000000001E-2</v>
      </c>
      <c r="AA6887">
        <v>0.99862070000000003</v>
      </c>
      <c r="AB6887">
        <v>16</v>
      </c>
      <c r="AC6887">
        <v>-4.80470000000002</v>
      </c>
      <c r="AD6887">
        <v>-1.1087782276039999</v>
      </c>
      <c r="AE6887">
        <v>-65.604699999999994</v>
      </c>
      <c r="AF6887">
        <v>3.2805919242994301</v>
      </c>
      <c r="AG6887">
        <v>-1.1087782276039999</v>
      </c>
      <c r="AH6887">
        <v>65.679843102448103</v>
      </c>
      <c r="AI6887">
        <v>90.965946330279493</v>
      </c>
      <c r="AJ6887">
        <v>87.140553574265098</v>
      </c>
      <c r="AK6887">
        <v>65.771068582576504</v>
      </c>
      <c r="AL6887">
        <v>91.137476731278696</v>
      </c>
      <c r="AM6887">
        <v>89.348479616945298</v>
      </c>
      <c r="AN6887">
        <v>0.99999999703909703</v>
      </c>
    </row>
    <row r="6888" spans="1:40" x14ac:dyDescent="0.25">
      <c r="A6888" t="str">
        <f>"20190312154101227"</f>
        <v>20190312154101227</v>
      </c>
      <c r="B6888" t="str">
        <f>"1552376461222961"</f>
        <v>1552376461222961</v>
      </c>
      <c r="C6888" t="s">
        <v>40</v>
      </c>
      <c r="D6888">
        <v>4.2978129999999997</v>
      </c>
      <c r="E6888">
        <v>0.51426660000000002</v>
      </c>
      <c r="F6888" t="s">
        <v>69</v>
      </c>
      <c r="G6888">
        <v>-426.10669999999999</v>
      </c>
      <c r="H6888" s="1">
        <v>-3.0115709999999999E-6</v>
      </c>
      <c r="I6888">
        <v>36.222850000000001</v>
      </c>
      <c r="J6888">
        <v>-421.48820000000001</v>
      </c>
      <c r="K6888">
        <v>1.108784</v>
      </c>
      <c r="L6888">
        <v>99.632450000000006</v>
      </c>
      <c r="M6888">
        <v>-2.2895840000000001E-2</v>
      </c>
      <c r="N6888">
        <v>0</v>
      </c>
      <c r="O6888">
        <v>-0.9997376</v>
      </c>
      <c r="P6888">
        <v>-3.4291729999999999E-2</v>
      </c>
      <c r="Q6888">
        <v>-2.063794E-2</v>
      </c>
      <c r="R6888">
        <v>-0.9991989</v>
      </c>
      <c r="S6888">
        <v>-0.217804</v>
      </c>
      <c r="T6888">
        <v>-5.2266239999999999E-2</v>
      </c>
      <c r="U6888">
        <v>-2.993805</v>
      </c>
      <c r="V6888">
        <v>1.1413599999999999E-2</v>
      </c>
      <c r="W6888">
        <v>-1.9839260000000001E-2</v>
      </c>
      <c r="X6888">
        <v>0.99973800000000002</v>
      </c>
      <c r="Y6888">
        <v>4.9694250000000002E-2</v>
      </c>
      <c r="Z6888">
        <v>1.7414820000000001E-2</v>
      </c>
      <c r="AA6888">
        <v>0.99861259999999996</v>
      </c>
      <c r="AB6888">
        <v>17</v>
      </c>
      <c r="AC6888">
        <v>-4.6184999999999796</v>
      </c>
      <c r="AD6888">
        <v>-1.1087870115709999</v>
      </c>
      <c r="AE6888">
        <v>-63.409599999999998</v>
      </c>
      <c r="AF6888">
        <v>3.16451037233844</v>
      </c>
      <c r="AG6888">
        <v>-1.1087870115709999</v>
      </c>
      <c r="AH6888">
        <v>63.479414715007003</v>
      </c>
      <c r="AI6888">
        <v>90.999435634217093</v>
      </c>
      <c r="AJ6888">
        <v>87.146112357038305</v>
      </c>
      <c r="AK6888">
        <v>63.5679135027532</v>
      </c>
      <c r="AL6888">
        <v>91.136780483932</v>
      </c>
      <c r="AM6888">
        <v>89.345905927761393</v>
      </c>
      <c r="AN6888">
        <v>0.99999996757315301</v>
      </c>
    </row>
    <row r="6889" spans="1:40" x14ac:dyDescent="0.25">
      <c r="A6889" t="str">
        <f>"20190312154101241"</f>
        <v>20190312154101241</v>
      </c>
      <c r="B6889" t="str">
        <f>"1552376461233696"</f>
        <v>1552376461233696</v>
      </c>
      <c r="C6889" t="s">
        <v>40</v>
      </c>
      <c r="D6889">
        <v>4.3267639999999998</v>
      </c>
      <c r="E6889">
        <v>0.51430549999999997</v>
      </c>
      <c r="F6889" t="s">
        <v>69</v>
      </c>
      <c r="G6889">
        <v>-425.92579999999998</v>
      </c>
      <c r="H6889" s="1">
        <v>-2.0296649999999999E-6</v>
      </c>
      <c r="I6889">
        <v>38.4557</v>
      </c>
      <c r="J6889">
        <v>-421.49020000000002</v>
      </c>
      <c r="K6889">
        <v>1.1087940000000001</v>
      </c>
      <c r="L6889">
        <v>99.531679999999994</v>
      </c>
      <c r="M6889">
        <v>-2.260231E-2</v>
      </c>
      <c r="N6889">
        <v>0</v>
      </c>
      <c r="O6889">
        <v>-0.99974419999999997</v>
      </c>
      <c r="P6889">
        <v>-3.3701769999999999E-2</v>
      </c>
      <c r="Q6889">
        <v>-2.0671490000000001E-2</v>
      </c>
      <c r="R6889">
        <v>-0.9992183</v>
      </c>
      <c r="S6889">
        <v>-0.2171631</v>
      </c>
      <c r="T6889">
        <v>-5.4261209999999997E-2</v>
      </c>
      <c r="U6889">
        <v>-2.9938349999999998</v>
      </c>
      <c r="V6889">
        <v>1.1116610000000001E-2</v>
      </c>
      <c r="W6889">
        <v>-1.9768540000000001E-2</v>
      </c>
      <c r="X6889">
        <v>0.99974280000000004</v>
      </c>
      <c r="Y6889">
        <v>4.9773280000000003E-2</v>
      </c>
      <c r="Z6889">
        <v>1.8079419999999999E-2</v>
      </c>
      <c r="AA6889">
        <v>0.99859690000000001</v>
      </c>
      <c r="AB6889">
        <v>17</v>
      </c>
      <c r="AC6889">
        <v>-4.43559999999996</v>
      </c>
      <c r="AD6889">
        <v>-1.1087960296649999</v>
      </c>
      <c r="AE6889">
        <v>-61.075980000000001</v>
      </c>
      <c r="AF6889">
        <v>3.0530072287459298</v>
      </c>
      <c r="AG6889">
        <v>-1.1087960296649999</v>
      </c>
      <c r="AH6889">
        <v>61.140586999099199</v>
      </c>
      <c r="AI6889">
        <v>91.037663255122098</v>
      </c>
      <c r="AJ6889">
        <v>87.141354578061794</v>
      </c>
      <c r="AK6889">
        <v>61.226805080524997</v>
      </c>
      <c r="AL6889">
        <v>91.132727671873496</v>
      </c>
      <c r="AM6889">
        <v>89.362927558289897</v>
      </c>
      <c r="AN6889">
        <v>1.0000000201717301</v>
      </c>
    </row>
    <row r="6890" spans="1:40" x14ac:dyDescent="0.25">
      <c r="A6890" t="str">
        <f>"20190312154101260"</f>
        <v>20190312154101260</v>
      </c>
      <c r="B6890" t="str">
        <f>"1552376461253217"</f>
        <v>1552376461253217</v>
      </c>
      <c r="C6890" t="s">
        <v>40</v>
      </c>
      <c r="D6890">
        <v>4.328322</v>
      </c>
      <c r="E6890">
        <v>0.51453130000000002</v>
      </c>
      <c r="F6890" t="s">
        <v>69</v>
      </c>
      <c r="G6890">
        <v>-425.82089999999999</v>
      </c>
      <c r="H6890" s="1">
        <v>-1.672549E-6</v>
      </c>
      <c r="I6890">
        <v>39.317619999999998</v>
      </c>
      <c r="J6890">
        <v>-421.49299999999999</v>
      </c>
      <c r="K6890">
        <v>1.108806</v>
      </c>
      <c r="L6890">
        <v>99.389430000000004</v>
      </c>
      <c r="M6890">
        <v>-2.2205220000000001E-2</v>
      </c>
      <c r="N6890">
        <v>0</v>
      </c>
      <c r="O6890">
        <v>-0.99975309999999995</v>
      </c>
      <c r="P6890">
        <v>-3.2659269999999997E-2</v>
      </c>
      <c r="Q6890">
        <v>-2.0700369999999999E-2</v>
      </c>
      <c r="R6890">
        <v>-0.99925260000000005</v>
      </c>
      <c r="S6890">
        <v>-0.215332</v>
      </c>
      <c r="T6890">
        <v>-5.5131439999999997E-2</v>
      </c>
      <c r="U6890">
        <v>-2.9939580000000001</v>
      </c>
      <c r="V6890">
        <v>1.047034E-2</v>
      </c>
      <c r="W6890">
        <v>-1.9646230000000001E-2</v>
      </c>
      <c r="X6890">
        <v>0.99975219999999998</v>
      </c>
      <c r="Y6890">
        <v>4.9559100000000002E-2</v>
      </c>
      <c r="Z6890">
        <v>1.8369280000000002E-2</v>
      </c>
      <c r="AA6890">
        <v>0.99860230000000005</v>
      </c>
      <c r="AB6890">
        <v>17</v>
      </c>
      <c r="AC6890">
        <v>-4.3278999999999401</v>
      </c>
      <c r="AD6890">
        <v>-1.1088076725489999</v>
      </c>
      <c r="AE6890">
        <v>-60.071809999999999</v>
      </c>
      <c r="AF6890">
        <v>2.9919106054605802</v>
      </c>
      <c r="AG6890">
        <v>-1.1088076725489999</v>
      </c>
      <c r="AH6890">
        <v>60.132718936317602</v>
      </c>
      <c r="AI6890">
        <v>91.0550718155298</v>
      </c>
      <c r="AJ6890">
        <v>87.151590585134599</v>
      </c>
      <c r="AK6890">
        <v>60.217313707935702</v>
      </c>
      <c r="AL6890">
        <v>91.125718450772496</v>
      </c>
      <c r="AM6890">
        <v>89.399966951348503</v>
      </c>
      <c r="AN6890">
        <v>1.00000003188888</v>
      </c>
    </row>
    <row r="6891" spans="1:40" x14ac:dyDescent="0.25">
      <c r="A6891" t="str">
        <f>"20190312154101282"</f>
        <v>20190312154101282</v>
      </c>
      <c r="B6891" t="str">
        <f>"1552376461272736"</f>
        <v>1552376461272736</v>
      </c>
      <c r="C6891" t="s">
        <v>40</v>
      </c>
      <c r="D6891">
        <v>4.2633479999999997</v>
      </c>
      <c r="E6891">
        <v>0.51473059999999904</v>
      </c>
      <c r="F6891" t="s">
        <v>69</v>
      </c>
      <c r="G6891">
        <v>-425.83080000000001</v>
      </c>
      <c r="H6891" s="1">
        <v>-1.900092E-6</v>
      </c>
      <c r="I6891">
        <v>38.728810000000003</v>
      </c>
      <c r="J6891">
        <v>-421.49630000000002</v>
      </c>
      <c r="K6891">
        <v>1.108814</v>
      </c>
      <c r="L6891">
        <v>99.213470000000001</v>
      </c>
      <c r="M6891">
        <v>-2.1738980000000001E-2</v>
      </c>
      <c r="N6891">
        <v>0</v>
      </c>
      <c r="O6891">
        <v>-0.99976310000000002</v>
      </c>
      <c r="P6891">
        <v>-3.0906510000000002E-2</v>
      </c>
      <c r="Q6891">
        <v>-2.0751700000000001E-2</v>
      </c>
      <c r="R6891">
        <v>-0.99930680000000005</v>
      </c>
      <c r="S6891">
        <v>-0.2141113</v>
      </c>
      <c r="T6891">
        <v>-5.4728980000000003E-2</v>
      </c>
      <c r="U6891">
        <v>-2.99411</v>
      </c>
      <c r="V6891">
        <v>9.1826760000000007E-3</v>
      </c>
      <c r="W6891">
        <v>-1.9515270000000001E-2</v>
      </c>
      <c r="X6891">
        <v>0.99976739999999997</v>
      </c>
      <c r="Y6891">
        <v>4.9616359999999998E-2</v>
      </c>
      <c r="Z6891">
        <v>1.8234819999999999E-2</v>
      </c>
      <c r="AA6891">
        <v>0.99860190000000004</v>
      </c>
      <c r="AB6891">
        <v>17</v>
      </c>
      <c r="AC6891">
        <v>-4.3344999999999896</v>
      </c>
      <c r="AD6891">
        <v>-1.1088159000919999</v>
      </c>
      <c r="AE6891">
        <v>-60.484659999999998</v>
      </c>
      <c r="AF6891">
        <v>3.0175911573694099</v>
      </c>
      <c r="AG6891">
        <v>-1.1088159000919999</v>
      </c>
      <c r="AH6891">
        <v>60.544350821954801</v>
      </c>
      <c r="AI6891">
        <v>91.047903451039303</v>
      </c>
      <c r="AJ6891">
        <v>87.146681997901197</v>
      </c>
      <c r="AK6891">
        <v>60.629644115277998</v>
      </c>
      <c r="AL6891">
        <v>91.118213580567996</v>
      </c>
      <c r="AM6891">
        <v>89.473763812149997</v>
      </c>
      <c r="AN6891">
        <v>1.00000001070222</v>
      </c>
    </row>
    <row r="6892" spans="1:40" x14ac:dyDescent="0.25">
      <c r="A6892" t="str">
        <f>"20190312154101303"</f>
        <v>20190312154101303</v>
      </c>
      <c r="B6892" t="str">
        <f>"1552376461293233"</f>
        <v>1552376461293233</v>
      </c>
      <c r="C6892" t="s">
        <v>40</v>
      </c>
      <c r="D6892">
        <v>4.3041939999999999</v>
      </c>
      <c r="E6892">
        <v>0.51496759999999997</v>
      </c>
      <c r="F6892" t="s">
        <v>69</v>
      </c>
      <c r="G6892">
        <v>-425.76190000000003</v>
      </c>
      <c r="H6892" s="1">
        <v>-1.90484E-6</v>
      </c>
      <c r="I6892">
        <v>38.668370000000003</v>
      </c>
      <c r="J6892">
        <v>-421.49939999999998</v>
      </c>
      <c r="K6892">
        <v>1.1088209999999901</v>
      </c>
      <c r="L6892">
        <v>99.047849999999997</v>
      </c>
      <c r="M6892">
        <v>-2.132065E-2</v>
      </c>
      <c r="N6892">
        <v>0</v>
      </c>
      <c r="O6892">
        <v>-0.99977190000000005</v>
      </c>
      <c r="P6892">
        <v>-2.9873960000000001E-2</v>
      </c>
      <c r="Q6892">
        <v>-2.1338659999999999E-2</v>
      </c>
      <c r="R6892">
        <v>-0.99932609999999999</v>
      </c>
      <c r="S6892">
        <v>-0.21096799999999999</v>
      </c>
      <c r="T6892">
        <v>-5.4839369999999998E-2</v>
      </c>
      <c r="U6892">
        <v>-2.994415</v>
      </c>
      <c r="V6892">
        <v>8.5682589999999999E-3</v>
      </c>
      <c r="W6892">
        <v>-1.9941319999999998E-2</v>
      </c>
      <c r="X6892">
        <v>0.9997644</v>
      </c>
      <c r="Y6892">
        <v>4.898396E-2</v>
      </c>
      <c r="Z6892">
        <v>1.8270939999999999E-2</v>
      </c>
      <c r="AA6892">
        <v>0.99863239999999998</v>
      </c>
      <c r="AB6892">
        <v>17</v>
      </c>
      <c r="AC6892">
        <v>-4.2625000000000401</v>
      </c>
      <c r="AD6892">
        <v>-1.10882290483999</v>
      </c>
      <c r="AE6892">
        <v>-60.379480000000001</v>
      </c>
      <c r="AF6892">
        <v>2.9732025842760401</v>
      </c>
      <c r="AG6892">
        <v>-1.10882290483999</v>
      </c>
      <c r="AH6892">
        <v>60.436353616338998</v>
      </c>
      <c r="AI6892">
        <v>91.049815683067095</v>
      </c>
      <c r="AJ6892">
        <v>87.183570487721894</v>
      </c>
      <c r="AK6892">
        <v>60.519602281249398</v>
      </c>
      <c r="AL6892">
        <v>91.142629253212206</v>
      </c>
      <c r="AM6892">
        <v>89.508971254050707</v>
      </c>
      <c r="AN6892">
        <v>0.999999963406496</v>
      </c>
    </row>
    <row r="6893" spans="1:40" x14ac:dyDescent="0.25">
      <c r="A6893" t="str">
        <f>"20190312154101318"</f>
        <v>20190312154101318</v>
      </c>
      <c r="B6893" t="str">
        <f>"1552376461302993"</f>
        <v>1552376461302993</v>
      </c>
      <c r="C6893" t="s">
        <v>40</v>
      </c>
      <c r="D6893">
        <v>4.2552089999999998</v>
      </c>
      <c r="E6893">
        <v>0.51506750000000001</v>
      </c>
      <c r="F6893" t="s">
        <v>69</v>
      </c>
      <c r="G6893">
        <v>-425.6866</v>
      </c>
      <c r="H6893" s="1">
        <v>-1.6858E-6</v>
      </c>
      <c r="I6893">
        <v>39.189329999999998</v>
      </c>
      <c r="J6893">
        <v>-421.50150000000002</v>
      </c>
      <c r="K6893">
        <v>1.1088249999999999</v>
      </c>
      <c r="L6893">
        <v>98.935760000000002</v>
      </c>
      <c r="M6893">
        <v>-2.1046479999999999E-2</v>
      </c>
      <c r="N6893">
        <v>0</v>
      </c>
      <c r="O6893">
        <v>-0.99977740000000004</v>
      </c>
      <c r="P6893">
        <v>-2.9397779999999998E-2</v>
      </c>
      <c r="Q6893">
        <v>-2.1634569999999999E-2</v>
      </c>
      <c r="R6893">
        <v>-0.99933349999999999</v>
      </c>
      <c r="S6893">
        <v>-0.20947270000000001</v>
      </c>
      <c r="T6893">
        <v>-5.547154E-2</v>
      </c>
      <c r="U6893">
        <v>-2.9945680000000001</v>
      </c>
      <c r="V6893">
        <v>8.3661940000000004E-3</v>
      </c>
      <c r="W6893">
        <v>-2.0134599999999999E-2</v>
      </c>
      <c r="X6893">
        <v>0.99976229999999999</v>
      </c>
      <c r="Y6893">
        <v>4.8757790000000002E-2</v>
      </c>
      <c r="Z6893">
        <v>1.848114E-2</v>
      </c>
      <c r="AA6893">
        <v>0.99863959999999996</v>
      </c>
      <c r="AB6893">
        <v>17</v>
      </c>
      <c r="AC6893">
        <v>-4.1850999999999701</v>
      </c>
      <c r="AD6893">
        <v>-1.1088266858</v>
      </c>
      <c r="AE6893">
        <v>-59.746429999999997</v>
      </c>
      <c r="AF6893">
        <v>2.9257167764648901</v>
      </c>
      <c r="AG6893">
        <v>-1.1088266858</v>
      </c>
      <c r="AH6893">
        <v>59.800781027621703</v>
      </c>
      <c r="AI6893">
        <v>91.060988457398807</v>
      </c>
      <c r="AJ6893">
        <v>87.199072234916699</v>
      </c>
      <c r="AK6893">
        <v>59.882574483640802</v>
      </c>
      <c r="AL6893">
        <v>91.153705533689404</v>
      </c>
      <c r="AM6893">
        <v>89.520549616395897</v>
      </c>
      <c r="AN6893">
        <v>1.00000002591024</v>
      </c>
    </row>
    <row r="6894" spans="1:40" x14ac:dyDescent="0.25">
      <c r="A6894" t="str">
        <f>"20190312154101338"</f>
        <v>20190312154101338</v>
      </c>
      <c r="B6894" t="str">
        <f>"1552376461333248"</f>
        <v>1552376461333248</v>
      </c>
      <c r="C6894" t="s">
        <v>40</v>
      </c>
      <c r="D6894">
        <v>4.3262790000000004</v>
      </c>
      <c r="E6894">
        <v>0.51525980000000005</v>
      </c>
      <c r="F6894" t="s">
        <v>42</v>
      </c>
      <c r="G6894">
        <v>-425.63639999999998</v>
      </c>
      <c r="H6894" s="1">
        <v>-1.53716E-6</v>
      </c>
      <c r="I6894">
        <v>39.67642</v>
      </c>
      <c r="J6894">
        <v>-421.5043</v>
      </c>
      <c r="K6894">
        <v>1.108819</v>
      </c>
      <c r="L6894">
        <v>98.781130000000005</v>
      </c>
      <c r="M6894">
        <v>-2.0682659999999999E-2</v>
      </c>
      <c r="N6894">
        <v>0</v>
      </c>
      <c r="O6894">
        <v>-0.99978500000000003</v>
      </c>
      <c r="P6894">
        <v>-2.9496930000000001E-2</v>
      </c>
      <c r="Q6894">
        <v>-2.1999669999999999E-2</v>
      </c>
      <c r="R6894">
        <v>-0.99932290000000001</v>
      </c>
      <c r="S6894">
        <v>-0.2089539</v>
      </c>
      <c r="T6894">
        <v>-5.603433E-2</v>
      </c>
      <c r="U6894">
        <v>-2.994659</v>
      </c>
      <c r="V6894">
        <v>8.8293509999999992E-3</v>
      </c>
      <c r="W6894">
        <v>-2.0370039999999999E-2</v>
      </c>
      <c r="X6894">
        <v>0.99975349999999996</v>
      </c>
      <c r="Y6894">
        <v>4.8946730000000001E-2</v>
      </c>
      <c r="Z6894">
        <v>1.8668250000000001E-2</v>
      </c>
      <c r="AA6894">
        <v>0.99862689999999998</v>
      </c>
      <c r="AB6894">
        <v>18</v>
      </c>
      <c r="AC6894">
        <v>-4.1320999999999799</v>
      </c>
      <c r="AD6894">
        <v>-1.10882053716</v>
      </c>
      <c r="AE6894">
        <v>-59.104709999999997</v>
      </c>
      <c r="AF6894">
        <v>2.9077537495144199</v>
      </c>
      <c r="AG6894">
        <v>-1.10882053716</v>
      </c>
      <c r="AH6894">
        <v>59.156811002485703</v>
      </c>
      <c r="AI6894">
        <v>91.072517541711903</v>
      </c>
      <c r="AJ6894">
        <v>87.185986935819301</v>
      </c>
      <c r="AK6894">
        <v>59.238609055541303</v>
      </c>
      <c r="AL6894">
        <v>91.167198074500106</v>
      </c>
      <c r="AM6894">
        <v>89.494003875504802</v>
      </c>
      <c r="AN6894">
        <v>0.99999997836546595</v>
      </c>
    </row>
    <row r="6895" spans="1:40" x14ac:dyDescent="0.25">
      <c r="A6895" t="str">
        <f>"20190312154101350"</f>
        <v>20190312154101350</v>
      </c>
      <c r="B6895" t="str">
        <f>"1552376461343009"</f>
        <v>1552376461343009</v>
      </c>
      <c r="C6895" t="s">
        <v>40</v>
      </c>
      <c r="D6895">
        <v>4.3521869999999998</v>
      </c>
      <c r="E6895">
        <v>0.51530169999999997</v>
      </c>
      <c r="F6895" t="s">
        <v>42</v>
      </c>
      <c r="G6895">
        <v>-425.64260000000002</v>
      </c>
      <c r="H6895" s="1">
        <v>-1.6950240000000001E-6</v>
      </c>
      <c r="I6895">
        <v>40.04054</v>
      </c>
      <c r="J6895">
        <v>-421.50630000000001</v>
      </c>
      <c r="K6895">
        <v>1.1088199999999999</v>
      </c>
      <c r="L6895">
        <v>98.671480000000003</v>
      </c>
      <c r="M6895">
        <v>-2.043561E-2</v>
      </c>
      <c r="N6895">
        <v>0</v>
      </c>
      <c r="O6895">
        <v>-0.99978979999999995</v>
      </c>
      <c r="P6895">
        <v>-2.9541069999999999E-2</v>
      </c>
      <c r="Q6895">
        <v>-2.2715229999999999E-2</v>
      </c>
      <c r="R6895">
        <v>-0.99930540000000001</v>
      </c>
      <c r="S6895">
        <v>-0.21096799999999999</v>
      </c>
      <c r="T6895">
        <v>-5.6527139999999997E-2</v>
      </c>
      <c r="U6895">
        <v>-2.9945680000000001</v>
      </c>
      <c r="V6895">
        <v>9.1210270000000003E-3</v>
      </c>
      <c r="W6895">
        <v>-2.1002239999999998E-2</v>
      </c>
      <c r="X6895">
        <v>0.99973780000000001</v>
      </c>
      <c r="Y6895">
        <v>4.9863810000000001E-2</v>
      </c>
      <c r="Z6895">
        <v>1.883222E-2</v>
      </c>
      <c r="AA6895">
        <v>0.99857850000000004</v>
      </c>
      <c r="AB6895">
        <v>18</v>
      </c>
      <c r="AC6895">
        <v>-4.1363000000000003</v>
      </c>
      <c r="AD6895">
        <v>-1.108821695024</v>
      </c>
      <c r="AE6895">
        <v>-58.630940000000002</v>
      </c>
      <c r="AF6895">
        <v>2.9362305826801198</v>
      </c>
      <c r="AG6895">
        <v>-1.108821695024</v>
      </c>
      <c r="AH6895">
        <v>58.682339710442498</v>
      </c>
      <c r="AI6895">
        <v>91.081141170903507</v>
      </c>
      <c r="AJ6895">
        <v>87.135536267278098</v>
      </c>
      <c r="AK6895">
        <v>58.766214183642902</v>
      </c>
      <c r="AL6895">
        <v>91.203428220722103</v>
      </c>
      <c r="AM6895">
        <v>89.477281090198204</v>
      </c>
      <c r="AN6895">
        <v>0.999999977983695</v>
      </c>
    </row>
    <row r="6896" spans="1:40" x14ac:dyDescent="0.25">
      <c r="A6896" t="str">
        <f>"20190312154101364"</f>
        <v>20190312154101364</v>
      </c>
      <c r="B6896" t="str">
        <f>"1552376461352769"</f>
        <v>1552376461352769</v>
      </c>
      <c r="C6896" t="s">
        <v>40</v>
      </c>
      <c r="D6896">
        <v>4.3593510000000002</v>
      </c>
      <c r="E6896">
        <v>0.5153702</v>
      </c>
      <c r="F6896" t="s">
        <v>42</v>
      </c>
      <c r="G6896">
        <v>-425.48860000000002</v>
      </c>
      <c r="H6896" s="1">
        <v>-2.5326449999999999E-6</v>
      </c>
      <c r="I6896">
        <v>42.088560000000001</v>
      </c>
      <c r="J6896">
        <v>-421.50819999999999</v>
      </c>
      <c r="K6896">
        <v>1.1088169999999999</v>
      </c>
      <c r="L6896">
        <v>98.569180000000003</v>
      </c>
      <c r="M6896">
        <v>-2.0210430000000001E-2</v>
      </c>
      <c r="N6896">
        <v>0</v>
      </c>
      <c r="O6896">
        <v>-0.99979430000000002</v>
      </c>
      <c r="P6896">
        <v>-2.98181E-2</v>
      </c>
      <c r="Q6896">
        <v>-2.301802E-2</v>
      </c>
      <c r="R6896">
        <v>-0.99929029999999996</v>
      </c>
      <c r="S6896">
        <v>-0.21075440000000001</v>
      </c>
      <c r="T6896">
        <v>-5.8682199999999997E-2</v>
      </c>
      <c r="U6896">
        <v>-2.9945369999999998</v>
      </c>
      <c r="V6896">
        <v>9.6234660000000007E-3</v>
      </c>
      <c r="W6896">
        <v>-2.123133E-2</v>
      </c>
      <c r="X6896">
        <v>0.99972830000000001</v>
      </c>
      <c r="Y6896">
        <v>5.0017609999999997E-2</v>
      </c>
      <c r="Z6896">
        <v>1.955022E-2</v>
      </c>
      <c r="AA6896">
        <v>0.99855700000000003</v>
      </c>
      <c r="AB6896">
        <v>18</v>
      </c>
      <c r="AC6896">
        <v>-3.9804000000000301</v>
      </c>
      <c r="AD6896">
        <v>-1.1088195326450001</v>
      </c>
      <c r="AE6896">
        <v>-56.480619999999902</v>
      </c>
      <c r="AF6896">
        <v>2.8369997206495801</v>
      </c>
      <c r="AG6896">
        <v>-1.1088195326450001</v>
      </c>
      <c r="AH6896">
        <v>56.527850698847402</v>
      </c>
      <c r="AI6896">
        <v>91.122326488391394</v>
      </c>
      <c r="AJ6896">
        <v>87.126870401620593</v>
      </c>
      <c r="AK6896">
        <v>56.6098573819271</v>
      </c>
      <c r="AL6896">
        <v>91.216556978869207</v>
      </c>
      <c r="AM6896">
        <v>89.448483196528699</v>
      </c>
      <c r="AN6896">
        <v>1.00000002714615</v>
      </c>
    </row>
    <row r="6897" spans="1:40" x14ac:dyDescent="0.25">
      <c r="A6897" t="str">
        <f>"20190312154101378"</f>
        <v>20190312154101378</v>
      </c>
      <c r="B6897" t="str">
        <f>"1552376461372795"</f>
        <v>1552376461372795</v>
      </c>
      <c r="C6897" t="s">
        <v>40</v>
      </c>
      <c r="D6897">
        <v>4.3675889999999997</v>
      </c>
      <c r="E6897">
        <v>0.51552699999999996</v>
      </c>
      <c r="F6897" t="s">
        <v>42</v>
      </c>
      <c r="G6897">
        <v>-425.44540000000001</v>
      </c>
      <c r="H6897" s="1">
        <v>-2.925287E-6</v>
      </c>
      <c r="I6897">
        <v>43.030619999999999</v>
      </c>
      <c r="J6897">
        <v>-421.5102</v>
      </c>
      <c r="K6897">
        <v>1.108814</v>
      </c>
      <c r="L6897">
        <v>98.457759999999993</v>
      </c>
      <c r="M6897">
        <v>-1.997059E-2</v>
      </c>
      <c r="N6897">
        <v>0</v>
      </c>
      <c r="O6897">
        <v>-0.99979910000000005</v>
      </c>
      <c r="P6897">
        <v>-2.9669279999999999E-2</v>
      </c>
      <c r="Q6897">
        <v>-2.3212440000000001E-2</v>
      </c>
      <c r="R6897">
        <v>-0.99929040000000002</v>
      </c>
      <c r="S6897">
        <v>-0.21228030000000001</v>
      </c>
      <c r="T6897">
        <v>-5.9783099999999999E-2</v>
      </c>
      <c r="U6897">
        <v>-2.994415</v>
      </c>
      <c r="V6897">
        <v>9.7144190000000002E-3</v>
      </c>
      <c r="W6897">
        <v>-2.134983E-2</v>
      </c>
      <c r="X6897">
        <v>0.99972490000000003</v>
      </c>
      <c r="Y6897">
        <v>5.076584E-2</v>
      </c>
      <c r="Z6897">
        <v>1.9917069999999999E-2</v>
      </c>
      <c r="AA6897">
        <v>0.99851199999999996</v>
      </c>
      <c r="AB6897">
        <v>18</v>
      </c>
      <c r="AC6897">
        <v>-3.9352</v>
      </c>
      <c r="AD6897">
        <v>-1.1088169252869999</v>
      </c>
      <c r="AE6897">
        <v>-55.427140000000001</v>
      </c>
      <c r="AF6897">
        <v>2.8263754436919899</v>
      </c>
      <c r="AG6897">
        <v>-1.1088169252869999</v>
      </c>
      <c r="AH6897">
        <v>55.472585728812199</v>
      </c>
      <c r="AI6897">
        <v>91.1436243861408</v>
      </c>
      <c r="AJ6897">
        <v>87.083253484295398</v>
      </c>
      <c r="AK6897">
        <v>55.555608542818902</v>
      </c>
      <c r="AL6897">
        <v>91.223348063881403</v>
      </c>
      <c r="AM6897">
        <v>89.443269151484799</v>
      </c>
      <c r="AN6897">
        <v>1.0000000304287699</v>
      </c>
    </row>
    <row r="6898" spans="1:40" x14ac:dyDescent="0.25">
      <c r="A6898" t="str">
        <f>"20190312154101391"</f>
        <v>20190312154101391</v>
      </c>
      <c r="B6898" t="str">
        <f>"1552376461383531"</f>
        <v>1552376461383531</v>
      </c>
      <c r="C6898" t="s">
        <v>40</v>
      </c>
      <c r="D6898">
        <v>4.3162500000000001</v>
      </c>
      <c r="E6898">
        <v>0.51557520000000001</v>
      </c>
      <c r="F6898" t="s">
        <v>42</v>
      </c>
      <c r="G6898">
        <v>-425.3963</v>
      </c>
      <c r="H6898" s="1">
        <v>-3.2747320000000002E-6</v>
      </c>
      <c r="I6898">
        <v>43.875630000000001</v>
      </c>
      <c r="J6898">
        <v>-421.51209999999998</v>
      </c>
      <c r="K6898">
        <v>1.108811</v>
      </c>
      <c r="L6898">
        <v>98.346890000000002</v>
      </c>
      <c r="M6898">
        <v>-1.9744000000000001E-2</v>
      </c>
      <c r="N6898">
        <v>0</v>
      </c>
      <c r="O6898">
        <v>-0.99980309999999994</v>
      </c>
      <c r="P6898">
        <v>-2.9838150000000001E-2</v>
      </c>
      <c r="Q6898">
        <v>-2.383238E-2</v>
      </c>
      <c r="R6898">
        <v>-0.99927060000000001</v>
      </c>
      <c r="S6898">
        <v>-0.21319579999999999</v>
      </c>
      <c r="T6898">
        <v>-6.0829880000000003E-2</v>
      </c>
      <c r="U6898">
        <v>-2.9943849999999999</v>
      </c>
      <c r="V6898">
        <v>1.011023E-2</v>
      </c>
      <c r="W6898">
        <v>-2.1900900000000001E-2</v>
      </c>
      <c r="X6898">
        <v>0.99970899999999996</v>
      </c>
      <c r="Y6898">
        <v>5.129616E-2</v>
      </c>
      <c r="Z6898">
        <v>2.0265519999999999E-2</v>
      </c>
      <c r="AA6898">
        <v>0.99847790000000003</v>
      </c>
      <c r="AB6898">
        <v>18</v>
      </c>
      <c r="AC6898">
        <v>-3.8842000000000199</v>
      </c>
      <c r="AD6898">
        <v>-1.108814274732</v>
      </c>
      <c r="AE6898">
        <v>-54.471260000000001</v>
      </c>
      <c r="AF6898">
        <v>2.8068030129033401</v>
      </c>
      <c r="AG6898">
        <v>-1.108814274732</v>
      </c>
      <c r="AH6898">
        <v>54.514856819597</v>
      </c>
      <c r="AI6898">
        <v>91.163675710818893</v>
      </c>
      <c r="AJ6898">
        <v>87.052618365606094</v>
      </c>
      <c r="AK6898">
        <v>54.598326222607298</v>
      </c>
      <c r="AL6898">
        <v>91.254929503050803</v>
      </c>
      <c r="AM6898">
        <v>89.4205776266149</v>
      </c>
      <c r="AN6898">
        <v>0.99999997542623098</v>
      </c>
    </row>
    <row r="6899" spans="1:40" x14ac:dyDescent="0.25">
      <c r="A6899" t="str">
        <f>"20190312154101404"</f>
        <v>20190312154101404</v>
      </c>
      <c r="B6899" t="str">
        <f>"1552376461393292"</f>
        <v>1552376461393292</v>
      </c>
      <c r="C6899" t="s">
        <v>40</v>
      </c>
      <c r="D6899">
        <v>4.3401899999999998</v>
      </c>
      <c r="E6899">
        <v>0.515621</v>
      </c>
      <c r="F6899" t="s">
        <v>42</v>
      </c>
      <c r="G6899">
        <v>-425.26479999999998</v>
      </c>
      <c r="H6899" s="1">
        <v>-3.9733340000000002E-6</v>
      </c>
      <c r="I6899">
        <v>45.918329999999997</v>
      </c>
      <c r="J6899">
        <v>-421.51389999999998</v>
      </c>
      <c r="K6899">
        <v>1.1088039999999999</v>
      </c>
      <c r="L6899">
        <v>98.245419999999996</v>
      </c>
      <c r="M6899">
        <v>-1.9542090000000002E-2</v>
      </c>
      <c r="N6899">
        <v>0</v>
      </c>
      <c r="O6899">
        <v>-0.99980720000000001</v>
      </c>
      <c r="P6899">
        <v>-2.923653E-2</v>
      </c>
      <c r="Q6899">
        <v>-2.4293639999999998E-2</v>
      </c>
      <c r="R6899">
        <v>-0.99927739999999998</v>
      </c>
      <c r="S6899">
        <v>-0.21432499999999999</v>
      </c>
      <c r="T6899">
        <v>-6.3326480000000004E-2</v>
      </c>
      <c r="U6899">
        <v>-2.9942929999999999</v>
      </c>
      <c r="V6899">
        <v>9.7104270000000006E-3</v>
      </c>
      <c r="W6899">
        <v>-2.230232E-2</v>
      </c>
      <c r="X6899">
        <v>0.99970409999999998</v>
      </c>
      <c r="Y6899">
        <v>5.1873370000000002E-2</v>
      </c>
      <c r="Z6899">
        <v>2.1097069999999999E-2</v>
      </c>
      <c r="AA6899">
        <v>0.99843079999999995</v>
      </c>
      <c r="AB6899">
        <v>18</v>
      </c>
      <c r="AC6899">
        <v>-3.7509000000000001</v>
      </c>
      <c r="AD6899">
        <v>-1.1088079733339999</v>
      </c>
      <c r="AE6899">
        <v>-52.327089999999998</v>
      </c>
      <c r="AF6899">
        <v>2.7263832036491</v>
      </c>
      <c r="AG6899">
        <v>-1.1088079733339999</v>
      </c>
      <c r="AH6899">
        <v>52.367004590111897</v>
      </c>
      <c r="AI6899">
        <v>91.21134745741</v>
      </c>
      <c r="AJ6899">
        <v>87.019700814251493</v>
      </c>
      <c r="AK6899">
        <v>52.449650048743599</v>
      </c>
      <c r="AL6899">
        <v>91.277934780668801</v>
      </c>
      <c r="AM6899">
        <v>89.4434863396433</v>
      </c>
      <c r="AN6899">
        <v>0.99999998671335699</v>
      </c>
    </row>
    <row r="6900" spans="1:40" x14ac:dyDescent="0.25">
      <c r="A6900" t="str">
        <f>"20190312154101419"</f>
        <v>20190312154101419</v>
      </c>
      <c r="B6900" t="str">
        <f>"1552376461412811"</f>
        <v>1552376461412811</v>
      </c>
      <c r="C6900" t="s">
        <v>40</v>
      </c>
      <c r="D6900">
        <v>4.3285269999999896</v>
      </c>
      <c r="E6900">
        <v>0.5157254</v>
      </c>
      <c r="F6900" t="s">
        <v>42</v>
      </c>
      <c r="G6900">
        <v>-425.13240000000002</v>
      </c>
      <c r="H6900" s="1">
        <v>-4.41998299999999E-6</v>
      </c>
      <c r="I6900">
        <v>47.299869999999999</v>
      </c>
      <c r="J6900">
        <v>-421.51609999999999</v>
      </c>
      <c r="K6900">
        <v>1.1087990000000001</v>
      </c>
      <c r="L6900">
        <v>98.12097</v>
      </c>
      <c r="M6900">
        <v>-1.9301740000000001E-2</v>
      </c>
      <c r="N6900">
        <v>0</v>
      </c>
      <c r="O6900">
        <v>-0.99981169999999997</v>
      </c>
      <c r="P6900">
        <v>-2.904433E-2</v>
      </c>
      <c r="Q6900">
        <v>-2.43828E-2</v>
      </c>
      <c r="R6900">
        <v>-0.99928070000000002</v>
      </c>
      <c r="S6900">
        <v>-0.212677</v>
      </c>
      <c r="T6900">
        <v>-6.517088E-2</v>
      </c>
      <c r="U6900">
        <v>-2.994354</v>
      </c>
      <c r="V6900">
        <v>9.7582320000000004E-3</v>
      </c>
      <c r="W6900">
        <v>-2.2321589999999999E-2</v>
      </c>
      <c r="X6900">
        <v>0.99970320000000001</v>
      </c>
      <c r="Y6900">
        <v>5.1564350000000002E-2</v>
      </c>
      <c r="Z6900">
        <v>2.171155E-2</v>
      </c>
      <c r="AA6900">
        <v>0.99843360000000003</v>
      </c>
      <c r="AB6900">
        <v>18</v>
      </c>
      <c r="AC6900">
        <v>-3.6163000000000198</v>
      </c>
      <c r="AD6900">
        <v>-1.1088034199829999</v>
      </c>
      <c r="AE6900">
        <v>-50.821100000000001</v>
      </c>
      <c r="AF6900">
        <v>2.6334414277248301</v>
      </c>
      <c r="AG6900">
        <v>-1.1088034199829999</v>
      </c>
      <c r="AH6900">
        <v>50.857346301740598</v>
      </c>
      <c r="AI6900">
        <v>91.247307200767395</v>
      </c>
      <c r="AJ6900">
        <v>87.035817781615407</v>
      </c>
      <c r="AK6900">
        <v>50.937551292073202</v>
      </c>
      <c r="AL6900">
        <v>91.279039150948194</v>
      </c>
      <c r="AM6900">
        <v>89.440746260489604</v>
      </c>
      <c r="AN6900">
        <v>0.99999998228106601</v>
      </c>
    </row>
    <row r="6901" spans="1:40" x14ac:dyDescent="0.25">
      <c r="A6901" t="str">
        <f>"20190312154101432"</f>
        <v>20190312154101432</v>
      </c>
      <c r="B6901" t="str">
        <f>"1552376461423548"</f>
        <v>1552376461423548</v>
      </c>
      <c r="C6901" t="s">
        <v>40</v>
      </c>
      <c r="D6901">
        <v>4.3137559999999997</v>
      </c>
      <c r="E6901">
        <v>0.51576160000000004</v>
      </c>
      <c r="F6901" t="s">
        <v>42</v>
      </c>
      <c r="G6901">
        <v>-425.0949</v>
      </c>
      <c r="H6901" s="1">
        <v>-4.5556580000000004E-6</v>
      </c>
      <c r="I6901">
        <v>47.718060000000001</v>
      </c>
      <c r="J6901">
        <v>-421.5179</v>
      </c>
      <c r="K6901">
        <v>1.1087910000000001</v>
      </c>
      <c r="L6901">
        <v>98.011840000000007</v>
      </c>
      <c r="M6901">
        <v>-1.910133E-2</v>
      </c>
      <c r="N6901">
        <v>0</v>
      </c>
      <c r="O6901">
        <v>-0.99981529999999996</v>
      </c>
      <c r="P6901">
        <v>-2.873202E-2</v>
      </c>
      <c r="Q6901">
        <v>-2.4167339999999999E-2</v>
      </c>
      <c r="R6901">
        <v>-0.99929480000000004</v>
      </c>
      <c r="S6901">
        <v>-0.212616</v>
      </c>
      <c r="T6901">
        <v>-6.5872189999999997E-2</v>
      </c>
      <c r="U6901">
        <v>-2.994354</v>
      </c>
      <c r="V6901">
        <v>9.64571E-3</v>
      </c>
      <c r="W6901">
        <v>-2.2048990000000001E-2</v>
      </c>
      <c r="X6901">
        <v>0.9997104</v>
      </c>
      <c r="Y6901">
        <v>5.1743909999999997E-2</v>
      </c>
      <c r="Z6901">
        <v>2.1945119999999999E-2</v>
      </c>
      <c r="AA6901">
        <v>0.99841919999999995</v>
      </c>
      <c r="AB6901">
        <v>18</v>
      </c>
      <c r="AC6901">
        <v>-3.5769999999999902</v>
      </c>
      <c r="AD6901">
        <v>-1.108795555658</v>
      </c>
      <c r="AE6901">
        <v>-50.293779999999998</v>
      </c>
      <c r="AF6901">
        <v>2.6144028153071801</v>
      </c>
      <c r="AG6901">
        <v>-1.108795555658</v>
      </c>
      <c r="AH6901">
        <v>50.328590889576198</v>
      </c>
      <c r="AI6901">
        <v>91.260387547568499</v>
      </c>
      <c r="AJ6901">
        <v>87.026347756145597</v>
      </c>
      <c r="AK6901">
        <v>50.408645990497199</v>
      </c>
      <c r="AL6901">
        <v>91.263416402101001</v>
      </c>
      <c r="AM6901">
        <v>89.447198584006699</v>
      </c>
      <c r="AN6901">
        <v>1.00000004077479</v>
      </c>
    </row>
    <row r="6902" spans="1:40" x14ac:dyDescent="0.25">
      <c r="A6902" t="str">
        <f>"20190312154101450"</f>
        <v>20190312154101450</v>
      </c>
      <c r="B6902" t="str">
        <f>"1552376461443071"</f>
        <v>1552376461443071</v>
      </c>
      <c r="C6902" t="s">
        <v>40</v>
      </c>
      <c r="D6902">
        <v>4.3293359999999996</v>
      </c>
      <c r="E6902">
        <v>0.51590320000000001</v>
      </c>
      <c r="F6902" t="s">
        <v>42</v>
      </c>
      <c r="G6902">
        <v>-425.10860000000002</v>
      </c>
      <c r="H6902" s="1">
        <v>-4.4416470000000002E-6</v>
      </c>
      <c r="I6902">
        <v>47.375929999999997</v>
      </c>
      <c r="J6902">
        <v>-421.5204</v>
      </c>
      <c r="K6902">
        <v>1.1087899999999999</v>
      </c>
      <c r="L6902">
        <v>97.866</v>
      </c>
      <c r="M6902">
        <v>-1.8845299999999999E-2</v>
      </c>
      <c r="N6902">
        <v>0</v>
      </c>
      <c r="O6902">
        <v>-0.9998203</v>
      </c>
      <c r="P6902">
        <v>-2.8327069999999999E-2</v>
      </c>
      <c r="Q6902">
        <v>-2.4190690000000001E-2</v>
      </c>
      <c r="R6902">
        <v>-0.99930620000000003</v>
      </c>
      <c r="S6902">
        <v>-0.21234130000000001</v>
      </c>
      <c r="T6902">
        <v>-6.5570589999999998E-2</v>
      </c>
      <c r="U6902">
        <v>-2.9944459999999999</v>
      </c>
      <c r="V6902">
        <v>9.4962190000000002E-3</v>
      </c>
      <c r="W6902">
        <v>-2.199854E-2</v>
      </c>
      <c r="X6902">
        <v>0.99971290000000002</v>
      </c>
      <c r="Y6902">
        <v>5.1906540000000001E-2</v>
      </c>
      <c r="Z6902">
        <v>2.1844160000000001E-2</v>
      </c>
      <c r="AA6902">
        <v>0.99841299999999999</v>
      </c>
      <c r="AB6902">
        <v>18</v>
      </c>
      <c r="AC6902">
        <v>-3.58820000000002</v>
      </c>
      <c r="AD6902">
        <v>-1.1087944416469999</v>
      </c>
      <c r="AE6902">
        <v>-50.490070000000003</v>
      </c>
      <c r="AF6902">
        <v>2.6347959522341799</v>
      </c>
      <c r="AG6902">
        <v>-1.1087944416469999</v>
      </c>
      <c r="AH6902">
        <v>50.524480369235299</v>
      </c>
      <c r="AI6902">
        <v>91.255488005161496</v>
      </c>
      <c r="AJ6902">
        <v>87.014792400699804</v>
      </c>
      <c r="AK6902">
        <v>50.605283236090798</v>
      </c>
      <c r="AL6902">
        <v>91.260525182554602</v>
      </c>
      <c r="AM6902">
        <v>89.455766844251002</v>
      </c>
      <c r="AN6902">
        <v>0.99999999818191798</v>
      </c>
    </row>
    <row r="6903" spans="1:40" x14ac:dyDescent="0.25">
      <c r="A6903" t="str">
        <f>"20190312154101473"</f>
        <v>20190312154101473</v>
      </c>
      <c r="B6903" t="str">
        <f>"1552376461463563"</f>
        <v>1552376461463563</v>
      </c>
      <c r="C6903" t="s">
        <v>40</v>
      </c>
      <c r="D6903">
        <v>4.3373140000000001</v>
      </c>
      <c r="E6903">
        <v>0.51597700000000002</v>
      </c>
      <c r="F6903" t="s">
        <v>42</v>
      </c>
      <c r="G6903">
        <v>-425.1037</v>
      </c>
      <c r="H6903" s="1">
        <v>-4.401687E-6</v>
      </c>
      <c r="I6903">
        <v>47.261049999999997</v>
      </c>
      <c r="J6903">
        <v>-421.52359999999999</v>
      </c>
      <c r="K6903">
        <v>1.1087849999999999</v>
      </c>
      <c r="L6903">
        <v>97.678709999999995</v>
      </c>
      <c r="M6903">
        <v>-1.8535099999999999E-2</v>
      </c>
      <c r="N6903">
        <v>0</v>
      </c>
      <c r="O6903">
        <v>-0.99982579999999999</v>
      </c>
      <c r="P6903">
        <v>-2.8335740000000002E-2</v>
      </c>
      <c r="Q6903">
        <v>-2.4686070000000001E-2</v>
      </c>
      <c r="R6903">
        <v>-0.9992936</v>
      </c>
      <c r="S6903">
        <v>-0.21203610000000001</v>
      </c>
      <c r="T6903">
        <v>-6.5611359999999994E-2</v>
      </c>
      <c r="U6903">
        <v>-2.9944760000000001</v>
      </c>
      <c r="V6903">
        <v>9.8148620000000006E-3</v>
      </c>
      <c r="W6903">
        <v>-2.240029E-2</v>
      </c>
      <c r="X6903">
        <v>0.9997009</v>
      </c>
      <c r="Y6903">
        <v>5.211437E-2</v>
      </c>
      <c r="Z6903">
        <v>2.1857660000000001E-2</v>
      </c>
      <c r="AA6903">
        <v>0.99840189999999995</v>
      </c>
      <c r="AB6903">
        <v>18</v>
      </c>
      <c r="AC6903">
        <v>-3.5801000000000101</v>
      </c>
      <c r="AD6903">
        <v>-1.1087894016869999</v>
      </c>
      <c r="AE6903">
        <v>-50.417659999999998</v>
      </c>
      <c r="AF6903">
        <v>2.6437141286820598</v>
      </c>
      <c r="AG6903">
        <v>-1.1087894016869999</v>
      </c>
      <c r="AH6903">
        <v>50.451078059382503</v>
      </c>
      <c r="AI6903">
        <v>91.2572917868671</v>
      </c>
      <c r="AJ6903">
        <v>87.000356569284307</v>
      </c>
      <c r="AK6903">
        <v>50.532463977975503</v>
      </c>
      <c r="AL6903">
        <v>91.283549437744895</v>
      </c>
      <c r="AM6903">
        <v>89.4374996541532</v>
      </c>
      <c r="AN6903">
        <v>0.99999999698448605</v>
      </c>
    </row>
    <row r="6904" spans="1:40" x14ac:dyDescent="0.25">
      <c r="A6904" t="str">
        <f>"20190312154101494"</f>
        <v>20190312154101494</v>
      </c>
      <c r="B6904" t="str">
        <f>"1552376461483083"</f>
        <v>1552376461483083</v>
      </c>
      <c r="C6904" t="s">
        <v>40</v>
      </c>
      <c r="D6904">
        <v>4.3347480000000003</v>
      </c>
      <c r="E6904">
        <v>0.5160536</v>
      </c>
      <c r="F6904" t="s">
        <v>42</v>
      </c>
      <c r="G6904">
        <v>-425.0188</v>
      </c>
      <c r="H6904" s="1">
        <v>-4.8352839999999997E-6</v>
      </c>
      <c r="I6904">
        <v>48.579430000000002</v>
      </c>
      <c r="J6904">
        <v>-421.52670000000001</v>
      </c>
      <c r="K6904">
        <v>1.108781</v>
      </c>
      <c r="L6904">
        <v>97.490629999999996</v>
      </c>
      <c r="M6904">
        <v>-1.8245810000000001E-2</v>
      </c>
      <c r="N6904">
        <v>0</v>
      </c>
      <c r="O6904">
        <v>-0.99983100000000003</v>
      </c>
      <c r="P6904">
        <v>-2.803085E-2</v>
      </c>
      <c r="Q6904">
        <v>-2.430771E-2</v>
      </c>
      <c r="R6904">
        <v>-0.99931179999999997</v>
      </c>
      <c r="S6904">
        <v>-0.2131653</v>
      </c>
      <c r="T6904">
        <v>-6.7621710000000002E-2</v>
      </c>
      <c r="U6904">
        <v>-2.994415</v>
      </c>
      <c r="V6904">
        <v>9.7982950000000003E-3</v>
      </c>
      <c r="W6904">
        <v>-2.1927619999999998E-2</v>
      </c>
      <c r="X6904">
        <v>0.99971160000000003</v>
      </c>
      <c r="Y6904">
        <v>5.2778279999999997E-2</v>
      </c>
      <c r="Z6904">
        <v>2.2526999999999998E-2</v>
      </c>
      <c r="AA6904">
        <v>0.99835209999999996</v>
      </c>
      <c r="AB6904">
        <v>19</v>
      </c>
      <c r="AC6904">
        <v>-3.49209999999999</v>
      </c>
      <c r="AD6904">
        <v>-1.1087858352840001</v>
      </c>
      <c r="AE6904">
        <v>-48.911200000000001</v>
      </c>
      <c r="AF6904">
        <v>2.5977637307056498</v>
      </c>
      <c r="AG6904">
        <v>-1.1087858352840001</v>
      </c>
      <c r="AH6904">
        <v>48.941750519067099</v>
      </c>
      <c r="AI6904">
        <v>91.2960024042453</v>
      </c>
      <c r="AJ6904">
        <v>86.961666606382494</v>
      </c>
      <c r="AK6904">
        <v>49.023185599262099</v>
      </c>
      <c r="AL6904">
        <v>91.256460713883399</v>
      </c>
      <c r="AM6904">
        <v>89.438455075913694</v>
      </c>
      <c r="AN6904">
        <v>1.0000000551391599</v>
      </c>
    </row>
    <row r="6905" spans="1:40" x14ac:dyDescent="0.25">
      <c r="A6905" t="str">
        <f>"20190312154101516"</f>
        <v>20190312154101516</v>
      </c>
      <c r="B6905" t="str">
        <f>"1552376461503579"</f>
        <v>1552376461503579</v>
      </c>
      <c r="C6905" t="s">
        <v>40</v>
      </c>
      <c r="D6905">
        <v>4.3350080000000002</v>
      </c>
      <c r="E6905">
        <v>0.5161905</v>
      </c>
      <c r="F6905" t="s">
        <v>42</v>
      </c>
      <c r="G6905">
        <v>-425.04020000000003</v>
      </c>
      <c r="H6905" s="1">
        <v>-4.631813E-6</v>
      </c>
      <c r="I6905">
        <v>47.970370000000003</v>
      </c>
      <c r="J6905">
        <v>-421.52960000000002</v>
      </c>
      <c r="K6905">
        <v>1.1087830000000001</v>
      </c>
      <c r="L6905">
        <v>97.312439999999995</v>
      </c>
      <c r="M6905">
        <v>-1.799243E-2</v>
      </c>
      <c r="N6905">
        <v>0</v>
      </c>
      <c r="O6905">
        <v>-0.99983529999999998</v>
      </c>
      <c r="P6905">
        <v>-2.7376520000000001E-2</v>
      </c>
      <c r="Q6905">
        <v>-2.3920540000000001E-2</v>
      </c>
      <c r="R6905">
        <v>-0.99933899999999998</v>
      </c>
      <c r="S6905">
        <v>-0.2124634</v>
      </c>
      <c r="T6905">
        <v>-6.7047949999999995E-2</v>
      </c>
      <c r="U6905">
        <v>-2.9944760000000001</v>
      </c>
      <c r="V6905">
        <v>9.3963180000000007E-3</v>
      </c>
      <c r="W6905">
        <v>-2.1450460000000001E-2</v>
      </c>
      <c r="X6905">
        <v>0.9997258</v>
      </c>
      <c r="Y6905">
        <v>5.2797370000000003E-2</v>
      </c>
      <c r="Z6905">
        <v>2.2335830000000001E-2</v>
      </c>
      <c r="AA6905">
        <v>0.9983554</v>
      </c>
      <c r="AB6905">
        <v>19</v>
      </c>
      <c r="AC6905">
        <v>-3.5106000000000099</v>
      </c>
      <c r="AD6905">
        <v>-1.1087876318129899</v>
      </c>
      <c r="AE6905">
        <v>-49.34207</v>
      </c>
      <c r="AF6905">
        <v>2.62092865170376</v>
      </c>
      <c r="AG6905">
        <v>-1.1087876318129899</v>
      </c>
      <c r="AH6905">
        <v>49.372441189716902</v>
      </c>
      <c r="AI6905">
        <v>91.284702452284193</v>
      </c>
      <c r="AJ6905">
        <v>86.961314317493006</v>
      </c>
      <c r="AK6905">
        <v>49.454389350611102</v>
      </c>
      <c r="AL6905">
        <v>91.229115041883006</v>
      </c>
      <c r="AM6905">
        <v>89.461498830821498</v>
      </c>
      <c r="AN6905">
        <v>1.0000000441059</v>
      </c>
    </row>
    <row r="6906" spans="1:40" x14ac:dyDescent="0.25">
      <c r="A6906" t="str">
        <f>"20190312154101539"</f>
        <v>20190312154101539</v>
      </c>
      <c r="B6906" t="str">
        <f>"1552376461532859"</f>
        <v>1552376461532859</v>
      </c>
      <c r="C6906" t="s">
        <v>40</v>
      </c>
      <c r="D6906">
        <v>4.3666640000000001</v>
      </c>
      <c r="E6906">
        <v>0.51629349999999996</v>
      </c>
      <c r="F6906" t="s">
        <v>42</v>
      </c>
      <c r="G6906">
        <v>-425.11219999999997</v>
      </c>
      <c r="H6906" s="1">
        <v>-4.1425599999999997E-6</v>
      </c>
      <c r="I6906">
        <v>46.495170000000002</v>
      </c>
      <c r="J6906">
        <v>-421.53289999999998</v>
      </c>
      <c r="K6906">
        <v>1.108784</v>
      </c>
      <c r="L6906">
        <v>97.11618</v>
      </c>
      <c r="M6906">
        <v>-1.773742E-2</v>
      </c>
      <c r="N6906">
        <v>0</v>
      </c>
      <c r="O6906">
        <v>-0.99983929999999999</v>
      </c>
      <c r="P6906">
        <v>-2.6487650000000001E-2</v>
      </c>
      <c r="Q6906">
        <v>-2.3266599999999998E-2</v>
      </c>
      <c r="R6906">
        <v>-0.9993784</v>
      </c>
      <c r="S6906">
        <v>-0.21112059999999999</v>
      </c>
      <c r="T6906">
        <v>-6.5340759999999998E-2</v>
      </c>
      <c r="U6906">
        <v>-2.994659</v>
      </c>
      <c r="V6906">
        <v>8.7612060000000005E-3</v>
      </c>
      <c r="W6906">
        <v>-2.0697859999999998E-2</v>
      </c>
      <c r="X6906">
        <v>0.99974739999999995</v>
      </c>
      <c r="Y6906">
        <v>5.2603209999999997E-2</v>
      </c>
      <c r="Z6906">
        <v>2.176666E-2</v>
      </c>
      <c r="AA6906">
        <v>0.99837819999999999</v>
      </c>
      <c r="AB6906">
        <v>19</v>
      </c>
      <c r="AC6906">
        <v>-3.5792999999999799</v>
      </c>
      <c r="AD6906">
        <v>-1.1087881425599999</v>
      </c>
      <c r="AE6906">
        <v>-50.621009999999998</v>
      </c>
      <c r="AF6906">
        <v>2.6795685616114802</v>
      </c>
      <c r="AG6906">
        <v>-1.1087881425599999</v>
      </c>
      <c r="AH6906">
        <v>50.652353267487896</v>
      </c>
      <c r="AI6906">
        <v>91.2522630688362</v>
      </c>
      <c r="AJ6906">
        <v>86.971809168076405</v>
      </c>
      <c r="AK6906">
        <v>50.735297282620202</v>
      </c>
      <c r="AL6906">
        <v>91.185984698618498</v>
      </c>
      <c r="AM6906">
        <v>89.497905893468797</v>
      </c>
      <c r="AN6906">
        <v>1.00000001197295</v>
      </c>
    </row>
    <row r="6907" spans="1:40" x14ac:dyDescent="0.25">
      <c r="A6907" t="str">
        <f>"20190312154101561"</f>
        <v>20190312154101561</v>
      </c>
      <c r="B6907" t="str">
        <f>"1552376461553359"</f>
        <v>1552376461553359</v>
      </c>
      <c r="C6907" t="s">
        <v>40</v>
      </c>
      <c r="D6907">
        <v>4.2745699999999998</v>
      </c>
      <c r="E6907">
        <v>0.49424849999999998</v>
      </c>
      <c r="F6907" t="s">
        <v>42</v>
      </c>
      <c r="G6907">
        <v>-425.1961</v>
      </c>
      <c r="H6907" s="1">
        <v>-3.6104920000000002E-6</v>
      </c>
      <c r="I6907">
        <v>44.887920000000001</v>
      </c>
      <c r="J6907">
        <v>-421.536</v>
      </c>
      <c r="K6907">
        <v>1.108784</v>
      </c>
      <c r="L6907">
        <v>96.925690000000003</v>
      </c>
      <c r="M6907">
        <v>-1.75137E-2</v>
      </c>
      <c r="N6907">
        <v>0</v>
      </c>
      <c r="O6907">
        <v>-0.99984340000000005</v>
      </c>
      <c r="P6907">
        <v>-2.5785949999999998E-2</v>
      </c>
      <c r="Q6907">
        <v>-2.2874700000000001E-2</v>
      </c>
      <c r="R6907">
        <v>-0.99940589999999996</v>
      </c>
      <c r="S6907">
        <v>-0.2100525</v>
      </c>
      <c r="T6907">
        <v>-6.3579440000000001E-2</v>
      </c>
      <c r="U6907">
        <v>-2.9948429999999999</v>
      </c>
      <c r="V6907">
        <v>8.2822929999999996E-3</v>
      </c>
      <c r="W6907">
        <v>-2.0213809999999999E-2</v>
      </c>
      <c r="X6907">
        <v>0.99976140000000002</v>
      </c>
      <c r="Y6907">
        <v>5.2468929999999997E-2</v>
      </c>
      <c r="Z6907">
        <v>2.1179360000000001E-2</v>
      </c>
      <c r="AA6907">
        <v>0.99839789999999995</v>
      </c>
      <c r="AB6907">
        <v>19</v>
      </c>
      <c r="AC6907">
        <v>-3.6600999999999999</v>
      </c>
      <c r="AD6907">
        <v>-1.108787610492</v>
      </c>
      <c r="AE6907">
        <v>-52.037770000000002</v>
      </c>
      <c r="AF6907">
        <v>2.7469208199625998</v>
      </c>
      <c r="AG6907">
        <v>-1.108787610492</v>
      </c>
      <c r="AH6907">
        <v>52.070366907534797</v>
      </c>
      <c r="AI6907">
        <v>91.218179913509502</v>
      </c>
      <c r="AJ6907">
        <v>86.980216956739099</v>
      </c>
      <c r="AK6907">
        <v>52.154559664919198</v>
      </c>
      <c r="AL6907">
        <v>91.158244856341796</v>
      </c>
      <c r="AM6907">
        <v>89.525357171948102</v>
      </c>
      <c r="AN6907">
        <v>1.000000025711</v>
      </c>
    </row>
    <row r="6908" spans="1:40" x14ac:dyDescent="0.25">
      <c r="A6908" t="str">
        <f>"20190312154101582"</f>
        <v>20190312154101582</v>
      </c>
      <c r="B6908" t="str">
        <f>"1552376461572876"</f>
        <v>1552376461572876</v>
      </c>
      <c r="C6908" t="s">
        <v>40</v>
      </c>
      <c r="D6908">
        <v>4.0453099999999997</v>
      </c>
      <c r="E6908">
        <v>0.48706949999999999</v>
      </c>
      <c r="F6908" t="s">
        <v>84</v>
      </c>
      <c r="G6908">
        <v>-422.63099999999997</v>
      </c>
      <c r="H6908">
        <v>0.59709190000000001</v>
      </c>
      <c r="I6908">
        <v>0.45063209999999998</v>
      </c>
      <c r="J6908">
        <v>-421.53910000000002</v>
      </c>
      <c r="K6908">
        <v>1.1087880000000001</v>
      </c>
      <c r="L6908">
        <v>96.734499999999997</v>
      </c>
      <c r="M6908">
        <v>-1.7307110000000001E-2</v>
      </c>
      <c r="N6908">
        <v>0</v>
      </c>
      <c r="O6908">
        <v>-0.99984649999999997</v>
      </c>
      <c r="P6908">
        <v>-2.4915550000000002E-2</v>
      </c>
      <c r="Q6908">
        <v>-2.3266470000000001E-2</v>
      </c>
      <c r="R6908">
        <v>-0.99941880000000005</v>
      </c>
      <c r="S6908">
        <v>-3.4057619999999997E-2</v>
      </c>
      <c r="T6908">
        <v>-1.5915510000000001E-2</v>
      </c>
      <c r="U6908">
        <v>-3.0005489999999999</v>
      </c>
      <c r="V6908">
        <v>7.6180419999999898E-3</v>
      </c>
      <c r="W6908">
        <v>-2.051774E-2</v>
      </c>
      <c r="X6908">
        <v>0.99976039999999999</v>
      </c>
      <c r="Y6908">
        <v>-5.958189E-3</v>
      </c>
      <c r="Z6908">
        <v>5.3027169999999898E-3</v>
      </c>
      <c r="AA6908">
        <v>0.99996819999999997</v>
      </c>
      <c r="AB6908">
        <v>19</v>
      </c>
      <c r="AC6908">
        <v>-1.0918999999999499</v>
      </c>
      <c r="AD6908">
        <v>-0.51169609999999899</v>
      </c>
      <c r="AE6908">
        <v>-96.283867900000004</v>
      </c>
      <c r="AF6908">
        <v>-0.57464900952743403</v>
      </c>
      <c r="AG6908">
        <v>-0.51169609999999899</v>
      </c>
      <c r="AH6908">
        <v>96.285625086481403</v>
      </c>
      <c r="AI6908">
        <v>90.304481886953297</v>
      </c>
      <c r="AJ6908">
        <v>90.3419469106355</v>
      </c>
      <c r="AK6908">
        <v>96.288699506626202</v>
      </c>
      <c r="AL6908">
        <v>91.175662481569603</v>
      </c>
      <c r="AM6908">
        <v>89.563422188630497</v>
      </c>
      <c r="AN6908">
        <v>0.999999934813388</v>
      </c>
    </row>
    <row r="6909" spans="1:40" x14ac:dyDescent="0.25">
      <c r="A6909" t="str">
        <f>"20190312154101717"</f>
        <v>20190312154101717</v>
      </c>
      <c r="B6909" t="str">
        <f>"1552376461713420"</f>
        <v>1552376461713420</v>
      </c>
      <c r="C6909" t="s">
        <v>40</v>
      </c>
      <c r="D6909">
        <v>4.2938530000000004</v>
      </c>
      <c r="E6909">
        <v>0.43127789999999999</v>
      </c>
      <c r="F6909" t="s">
        <v>84</v>
      </c>
      <c r="G6909">
        <v>-420.71420000000001</v>
      </c>
      <c r="H6909">
        <v>0.78841349999999999</v>
      </c>
      <c r="I6909">
        <v>0.47012520000000002</v>
      </c>
      <c r="J6909">
        <v>-421.55840000000001</v>
      </c>
      <c r="K6909">
        <v>1.1087800000000001</v>
      </c>
      <c r="L6909">
        <v>95.53546</v>
      </c>
      <c r="M6909">
        <v>-1.6493000000000001E-2</v>
      </c>
      <c r="N6909">
        <v>0</v>
      </c>
      <c r="O6909">
        <v>-0.99985860000000004</v>
      </c>
      <c r="P6909">
        <v>-2.459211E-2</v>
      </c>
      <c r="Q6909">
        <v>-2.388525E-2</v>
      </c>
      <c r="R6909">
        <v>-0.99941239999999998</v>
      </c>
      <c r="S6909">
        <v>2.572632E-2</v>
      </c>
      <c r="T6909">
        <v>-9.9921230000000003E-3</v>
      </c>
      <c r="U6909">
        <v>-3.002167</v>
      </c>
      <c r="V6909">
        <v>8.1054749999999991E-3</v>
      </c>
      <c r="W6909">
        <v>-2.0581909999999998E-2</v>
      </c>
      <c r="X6909">
        <v>0.99975530000000001</v>
      </c>
      <c r="Y6909">
        <v>-2.5060220000000001E-2</v>
      </c>
      <c r="Z6909">
        <v>3.3270230000000001E-3</v>
      </c>
      <c r="AA6909">
        <v>0.99968040000000002</v>
      </c>
      <c r="AB6909">
        <v>20</v>
      </c>
      <c r="AC6909">
        <v>0.84419999999999995</v>
      </c>
      <c r="AD6909">
        <v>-0.320366499999999</v>
      </c>
      <c r="AE6909">
        <v>-95.065334800000002</v>
      </c>
      <c r="AF6909">
        <v>-2.4119787849457701</v>
      </c>
      <c r="AG6909">
        <v>-0.320366499999999</v>
      </c>
      <c r="AH6909">
        <v>95.037401304564497</v>
      </c>
      <c r="AI6909">
        <v>90.193078409043295</v>
      </c>
      <c r="AJ6909">
        <v>91.453812322101896</v>
      </c>
      <c r="AK6909">
        <v>95.0685432889249</v>
      </c>
      <c r="AL6909">
        <v>91.179339867216001</v>
      </c>
      <c r="AM6909">
        <v>89.535487000168899</v>
      </c>
      <c r="AN6909">
        <v>0.99999998681115598</v>
      </c>
    </row>
    <row r="6910" spans="1:40" x14ac:dyDescent="0.25">
      <c r="A6910" t="str">
        <f>"20190312154101739"</f>
        <v>20190312154101739</v>
      </c>
      <c r="B6910" t="str">
        <f>"1552376461732943"</f>
        <v>1552376461732943</v>
      </c>
      <c r="C6910" t="s">
        <v>40</v>
      </c>
      <c r="D6910">
        <v>4.3177089999999998</v>
      </c>
      <c r="E6910">
        <v>0.43120969999999997</v>
      </c>
      <c r="F6910" t="s">
        <v>42</v>
      </c>
      <c r="G6910">
        <v>-419.84179999999998</v>
      </c>
      <c r="H6910" s="1">
        <v>-2.296732E-6</v>
      </c>
      <c r="I6910">
        <v>84.921099999999996</v>
      </c>
      <c r="J6910">
        <v>-421.5616</v>
      </c>
      <c r="K6910">
        <v>1.108779</v>
      </c>
      <c r="L6910">
        <v>95.32996</v>
      </c>
      <c r="M6910">
        <v>-1.6434230000000001E-2</v>
      </c>
      <c r="N6910">
        <v>0</v>
      </c>
      <c r="O6910">
        <v>-0.9998591</v>
      </c>
      <c r="P6910">
        <v>-2.515396E-2</v>
      </c>
      <c r="Q6910">
        <v>-2.3910270000000001E-2</v>
      </c>
      <c r="R6910">
        <v>-0.9993976</v>
      </c>
      <c r="S6910">
        <v>0.48617549999999998</v>
      </c>
      <c r="T6910">
        <v>-0.31403199999999998</v>
      </c>
      <c r="U6910">
        <v>-3.0062259999999998</v>
      </c>
      <c r="V6910">
        <v>8.7257849999999998E-3</v>
      </c>
      <c r="W6910">
        <v>-2.0506219999999999E-2</v>
      </c>
      <c r="X6910">
        <v>0.99975159999999996</v>
      </c>
      <c r="Y6910">
        <v>-0.17501040000000001</v>
      </c>
      <c r="Z6910">
        <v>0.1024139</v>
      </c>
      <c r="AA6910">
        <v>0.97922560000000003</v>
      </c>
      <c r="AB6910">
        <v>20</v>
      </c>
      <c r="AC6910">
        <v>1.71980000000002</v>
      </c>
      <c r="AD6910">
        <v>-1.1087812967319901</v>
      </c>
      <c r="AE6910">
        <v>-10.408860000000001</v>
      </c>
      <c r="AF6910">
        <v>-1.8699753743379901</v>
      </c>
      <c r="AG6910">
        <v>-1.1087812967319901</v>
      </c>
      <c r="AH6910">
        <v>10.2657988042913</v>
      </c>
      <c r="AI6910">
        <v>96.065422153730594</v>
      </c>
      <c r="AJ6910">
        <v>100.32357357718099</v>
      </c>
      <c r="AK6910">
        <v>10.493466012467101</v>
      </c>
      <c r="AL6910">
        <v>91.175002273825797</v>
      </c>
      <c r="AM6910">
        <v>89.499937825478</v>
      </c>
      <c r="AN6910">
        <v>0.99999995304255596</v>
      </c>
    </row>
    <row r="6911" spans="1:40" x14ac:dyDescent="0.25">
      <c r="A6911" t="str">
        <f>"20190312154101761"</f>
        <v>20190312154101761</v>
      </c>
      <c r="B6911" t="str">
        <f>"1552376461753436"</f>
        <v>1552376461753436</v>
      </c>
      <c r="C6911" t="s">
        <v>40</v>
      </c>
      <c r="D6911">
        <v>4.1309589999999998</v>
      </c>
      <c r="E6911">
        <v>0.43166379999999999</v>
      </c>
      <c r="F6911" t="s">
        <v>42</v>
      </c>
      <c r="G6911">
        <v>-418.96289999999999</v>
      </c>
      <c r="H6911" s="1">
        <v>-4.2224350000000003E-6</v>
      </c>
      <c r="I6911">
        <v>79.046539999999993</v>
      </c>
      <c r="J6911">
        <v>-421.565</v>
      </c>
      <c r="K6911">
        <v>1.1087880000000001</v>
      </c>
      <c r="L6911">
        <v>95.124970000000005</v>
      </c>
      <c r="M6911">
        <v>-1.6387289999999999E-2</v>
      </c>
      <c r="N6911">
        <v>0</v>
      </c>
      <c r="O6911">
        <v>-0.99985979999999997</v>
      </c>
      <c r="P6911">
        <v>-2.5439719999999999E-2</v>
      </c>
      <c r="Q6911">
        <v>-2.4216919999999999E-2</v>
      </c>
      <c r="R6911">
        <v>-0.99938309999999997</v>
      </c>
      <c r="S6911">
        <v>0.4802246</v>
      </c>
      <c r="T6911">
        <v>-0.2048914</v>
      </c>
      <c r="U6911">
        <v>-3.0090029999999999</v>
      </c>
      <c r="V6911">
        <v>9.0584010000000006E-3</v>
      </c>
      <c r="W6911">
        <v>-2.071131E-2</v>
      </c>
      <c r="X6911">
        <v>0.99974450000000004</v>
      </c>
      <c r="Y6911">
        <v>-0.1734086</v>
      </c>
      <c r="Z6911">
        <v>6.6985169999999997E-2</v>
      </c>
      <c r="AA6911">
        <v>0.98256929999999998</v>
      </c>
      <c r="AB6911">
        <v>21</v>
      </c>
      <c r="AC6911">
        <v>2.6021000000000001</v>
      </c>
      <c r="AD6911">
        <v>-1.108792222435</v>
      </c>
      <c r="AE6911">
        <v>-16.078429999999901</v>
      </c>
      <c r="AF6911">
        <v>-2.8520169215955802</v>
      </c>
      <c r="AG6911">
        <v>-1.108792222435</v>
      </c>
      <c r="AH6911">
        <v>15.959667361409</v>
      </c>
      <c r="AI6911">
        <v>93.912435663778396</v>
      </c>
      <c r="AJ6911">
        <v>100.131895212773</v>
      </c>
      <c r="AK6911">
        <v>16.2503662420397</v>
      </c>
      <c r="AL6911">
        <v>91.186755459833407</v>
      </c>
      <c r="AM6911">
        <v>89.4808734189522</v>
      </c>
      <c r="AN6911">
        <v>1.00000003913542</v>
      </c>
    </row>
    <row r="6912" spans="1:40" x14ac:dyDescent="0.25">
      <c r="A6912" t="str">
        <f>"20190312154101783"</f>
        <v>20190312154101783</v>
      </c>
      <c r="B6912" t="str">
        <f>"1552376461772956"</f>
        <v>1552376461772956</v>
      </c>
      <c r="C6912" t="s">
        <v>40</v>
      </c>
      <c r="D6912">
        <v>4.1972860000000001</v>
      </c>
      <c r="E6912">
        <v>0.43179030000000002</v>
      </c>
      <c r="F6912" t="s">
        <v>42</v>
      </c>
      <c r="G6912">
        <v>-418.11919999999998</v>
      </c>
      <c r="H6912" s="1">
        <v>-1.8642469999999999E-6</v>
      </c>
      <c r="I6912">
        <v>73.200699999999998</v>
      </c>
      <c r="J6912">
        <v>-421.56830000000002</v>
      </c>
      <c r="K6912">
        <v>1.1088009999999999</v>
      </c>
      <c r="L6912">
        <v>94.919799999999995</v>
      </c>
      <c r="M6912">
        <v>-1.6348209999999998E-2</v>
      </c>
      <c r="N6912">
        <v>0</v>
      </c>
      <c r="O6912">
        <v>-0.99985979999999997</v>
      </c>
      <c r="P6912">
        <v>-2.6093519999999999E-2</v>
      </c>
      <c r="Q6912">
        <v>-2.3951199999999999E-2</v>
      </c>
      <c r="R6912">
        <v>-0.9993725</v>
      </c>
      <c r="S6912">
        <v>0.47311399999999998</v>
      </c>
      <c r="T6912">
        <v>-0.15223789999999901</v>
      </c>
      <c r="U6912">
        <v>-3.0102229999999999</v>
      </c>
      <c r="V6912">
        <v>9.7513340000000004E-3</v>
      </c>
      <c r="W6912">
        <v>-2.0344149999999998E-2</v>
      </c>
      <c r="X6912">
        <v>0.99974549999999995</v>
      </c>
      <c r="Y6912">
        <v>-0.1711994</v>
      </c>
      <c r="Z6912">
        <v>4.9821039999999997E-2</v>
      </c>
      <c r="AA6912">
        <v>0.98397590000000001</v>
      </c>
      <c r="AB6912">
        <v>21</v>
      </c>
      <c r="AC6912">
        <v>3.44910000000004</v>
      </c>
      <c r="AD6912">
        <v>-1.108802864247</v>
      </c>
      <c r="AE6912">
        <v>-21.719100000000001</v>
      </c>
      <c r="AF6912">
        <v>-3.7940645482369102</v>
      </c>
      <c r="AG6912">
        <v>-1.108802864247</v>
      </c>
      <c r="AH6912">
        <v>21.604886646448598</v>
      </c>
      <c r="AI6912">
        <v>92.893743262495406</v>
      </c>
      <c r="AJ6912">
        <v>99.960232084218006</v>
      </c>
      <c r="AK6912">
        <v>21.9635037412942</v>
      </c>
      <c r="AL6912">
        <v>91.165714332060404</v>
      </c>
      <c r="AM6912">
        <v>89.4411652107067</v>
      </c>
      <c r="AN6912">
        <v>1.0000000188621201</v>
      </c>
    </row>
    <row r="6913" spans="1:40" x14ac:dyDescent="0.25">
      <c r="A6913" t="str">
        <f>"20190312154101806"</f>
        <v>20190312154101806</v>
      </c>
      <c r="B6913" t="str">
        <f>"1552376461803212"</f>
        <v>1552376461803212</v>
      </c>
      <c r="C6913" t="s">
        <v>40</v>
      </c>
      <c r="D6913">
        <v>4.1598160000000002</v>
      </c>
      <c r="E6913">
        <v>0.43236170000000002</v>
      </c>
      <c r="F6913" t="s">
        <v>42</v>
      </c>
      <c r="G6913">
        <v>-417.64229999999998</v>
      </c>
      <c r="H6913" s="1">
        <v>-6.5561659999999999E-7</v>
      </c>
      <c r="I6913">
        <v>69.731229999999996</v>
      </c>
      <c r="J6913">
        <v>-421.5718</v>
      </c>
      <c r="K6913">
        <v>1.1088129999999901</v>
      </c>
      <c r="L6913">
        <v>94.707890000000006</v>
      </c>
      <c r="M6913">
        <v>-1.631059E-2</v>
      </c>
      <c r="N6913">
        <v>0</v>
      </c>
      <c r="O6913">
        <v>-0.99986030000000004</v>
      </c>
      <c r="P6913">
        <v>-2.6392789999999999E-2</v>
      </c>
      <c r="Q6913">
        <v>-2.4287619999999999E-2</v>
      </c>
      <c r="R6913">
        <v>-0.99935689999999999</v>
      </c>
      <c r="S6913">
        <v>0.46929929999999997</v>
      </c>
      <c r="T6913">
        <v>-0.1325424</v>
      </c>
      <c r="U6913">
        <v>-3.0109560000000002</v>
      </c>
      <c r="V6913">
        <v>1.008857E-2</v>
      </c>
      <c r="W6913">
        <v>-2.0576279999999999E-2</v>
      </c>
      <c r="X6913">
        <v>0.9997374</v>
      </c>
      <c r="Y6913">
        <v>-0.16995499999999999</v>
      </c>
      <c r="Z6913">
        <v>4.3387349999999998E-2</v>
      </c>
      <c r="AA6913">
        <v>0.98449620000000004</v>
      </c>
      <c r="AB6913">
        <v>21</v>
      </c>
      <c r="AC6913">
        <v>3.9295000000000102</v>
      </c>
      <c r="AD6913">
        <v>-1.10881365561659</v>
      </c>
      <c r="AE6913">
        <v>-24.976659999999899</v>
      </c>
      <c r="AF6913">
        <v>-4.3280402560547602</v>
      </c>
      <c r="AG6913">
        <v>-1.10881365561659</v>
      </c>
      <c r="AH6913">
        <v>24.8614304210085</v>
      </c>
      <c r="AI6913">
        <v>92.515896043957596</v>
      </c>
      <c r="AJ6913">
        <v>99.875455118989095</v>
      </c>
      <c r="AK6913">
        <v>25.259693639463599</v>
      </c>
      <c r="AL6913">
        <v>91.179017189520707</v>
      </c>
      <c r="AM6913">
        <v>89.421835311305003</v>
      </c>
      <c r="AN6913">
        <v>1.00000001575102</v>
      </c>
    </row>
    <row r="6914" spans="1:40" x14ac:dyDescent="0.25">
      <c r="A6914" t="str">
        <f>"20190312154101828"</f>
        <v>20190312154101828</v>
      </c>
      <c r="B6914" t="str">
        <f>"1552376461823707"</f>
        <v>1552376461823707</v>
      </c>
      <c r="C6914" t="s">
        <v>40</v>
      </c>
      <c r="D6914">
        <v>4.2452740000000002</v>
      </c>
      <c r="E6914">
        <v>0.43284600000000001</v>
      </c>
      <c r="F6914" t="s">
        <v>42</v>
      </c>
      <c r="G6914">
        <v>-417.18270000000001</v>
      </c>
      <c r="H6914" s="1">
        <v>-3.2904989999999999E-6</v>
      </c>
      <c r="I6914">
        <v>66.138090000000005</v>
      </c>
      <c r="J6914">
        <v>-421.57510000000002</v>
      </c>
      <c r="K6914">
        <v>1.1088290000000001</v>
      </c>
      <c r="L6914">
        <v>94.497709999999998</v>
      </c>
      <c r="M6914">
        <v>-1.62735E-2</v>
      </c>
      <c r="N6914">
        <v>0</v>
      </c>
      <c r="O6914">
        <v>-0.99986050000000004</v>
      </c>
      <c r="P6914">
        <v>-2.6645889999999998E-2</v>
      </c>
      <c r="Q6914">
        <v>-2.4363920000000001E-2</v>
      </c>
      <c r="R6914">
        <v>-0.99934829999999997</v>
      </c>
      <c r="S6914">
        <v>0.46261600000000003</v>
      </c>
      <c r="T6914">
        <v>-0.11687060000000001</v>
      </c>
      <c r="U6914">
        <v>-3.0112920000000001</v>
      </c>
      <c r="V6914">
        <v>1.0379090000000001E-2</v>
      </c>
      <c r="W6914">
        <v>-2.0551389999999999E-2</v>
      </c>
      <c r="X6914">
        <v>0.99973489999999998</v>
      </c>
      <c r="Y6914">
        <v>-0.16779910000000001</v>
      </c>
      <c r="Z6914">
        <v>3.8274780000000001E-2</v>
      </c>
      <c r="AA6914">
        <v>0.98507789999999995</v>
      </c>
      <c r="AB6914">
        <v>21</v>
      </c>
      <c r="AC6914">
        <v>4.3924000000000003</v>
      </c>
      <c r="AD6914">
        <v>-1.108832290499</v>
      </c>
      <c r="AE6914">
        <v>-28.35962</v>
      </c>
      <c r="AF6914">
        <v>-4.8460970591814796</v>
      </c>
      <c r="AG6914">
        <v>-1.108832290499</v>
      </c>
      <c r="AH6914">
        <v>28.242220968377701</v>
      </c>
      <c r="AI6914">
        <v>92.216010464536694</v>
      </c>
      <c r="AJ6914">
        <v>99.736591738667798</v>
      </c>
      <c r="AK6914">
        <v>28.676422562483801</v>
      </c>
      <c r="AL6914">
        <v>91.177590840772893</v>
      </c>
      <c r="AM6914">
        <v>89.405185626466604</v>
      </c>
      <c r="AN6914">
        <v>0.999999977709084</v>
      </c>
    </row>
    <row r="6915" spans="1:40" x14ac:dyDescent="0.25">
      <c r="A6915" t="str">
        <f>"20190312154101851"</f>
        <v>20190312154101851</v>
      </c>
      <c r="B6915" t="str">
        <f>"1552376461843231"</f>
        <v>1552376461843231</v>
      </c>
      <c r="C6915" t="s">
        <v>40</v>
      </c>
      <c r="D6915">
        <v>4.2347250000000001</v>
      </c>
      <c r="E6915">
        <v>0.43306929999999999</v>
      </c>
      <c r="F6915" t="s">
        <v>42</v>
      </c>
      <c r="G6915">
        <v>-416.9633</v>
      </c>
      <c r="H6915" s="1">
        <v>-2.4835469999999998E-6</v>
      </c>
      <c r="I6915">
        <v>64.166370000000001</v>
      </c>
      <c r="J6915">
        <v>-421.57859999999999</v>
      </c>
      <c r="K6915">
        <v>1.108846</v>
      </c>
      <c r="L6915">
        <v>94.2821</v>
      </c>
      <c r="M6915">
        <v>-1.623337E-2</v>
      </c>
      <c r="N6915">
        <v>0</v>
      </c>
      <c r="O6915">
        <v>-0.99986079999999999</v>
      </c>
      <c r="P6915">
        <v>-2.6222539999999999E-2</v>
      </c>
      <c r="Q6915">
        <v>-2.4514149999999998E-2</v>
      </c>
      <c r="R6915">
        <v>-0.99935569999999896</v>
      </c>
      <c r="S6915">
        <v>0.45788570000000001</v>
      </c>
      <c r="T6915">
        <v>-0.1100913</v>
      </c>
      <c r="U6915">
        <v>-3.0114749999999999</v>
      </c>
      <c r="V6915">
        <v>9.9960710000000005E-3</v>
      </c>
      <c r="W6915">
        <v>-2.0601009999999999E-2</v>
      </c>
      <c r="X6915">
        <v>0.99973780000000001</v>
      </c>
      <c r="Y6915">
        <v>-0.166250799999999</v>
      </c>
      <c r="Z6915">
        <v>3.6064470000000001E-2</v>
      </c>
      <c r="AA6915">
        <v>0.98542379999999996</v>
      </c>
      <c r="AB6915">
        <v>21</v>
      </c>
      <c r="AC6915">
        <v>4.6152999999999897</v>
      </c>
      <c r="AD6915">
        <v>-1.1088484835470001</v>
      </c>
      <c r="AE6915">
        <v>-30.115729999999999</v>
      </c>
      <c r="AF6915">
        <v>-5.0968241421711999</v>
      </c>
      <c r="AG6915">
        <v>-1.1088484835470001</v>
      </c>
      <c r="AH6915">
        <v>29.997105835667</v>
      </c>
      <c r="AI6915">
        <v>92.087099574508201</v>
      </c>
      <c r="AJ6915">
        <v>99.643062960151894</v>
      </c>
      <c r="AK6915">
        <v>30.447225157834801</v>
      </c>
      <c r="AL6915">
        <v>91.180434437970803</v>
      </c>
      <c r="AM6915">
        <v>89.427136200051606</v>
      </c>
      <c r="AN6915">
        <v>0.99999999589864796</v>
      </c>
    </row>
    <row r="6916" spans="1:40" x14ac:dyDescent="0.25">
      <c r="A6916" t="str">
        <f>"20190312154101873"</f>
        <v>20190312154101873</v>
      </c>
      <c r="B6916" t="str">
        <f>"1552376461863724"</f>
        <v>1552376461863724</v>
      </c>
      <c r="C6916" t="s">
        <v>40</v>
      </c>
      <c r="D6916">
        <v>4.2153280000000004</v>
      </c>
      <c r="E6916">
        <v>0.43336649999999999</v>
      </c>
      <c r="F6916" t="s">
        <v>42</v>
      </c>
      <c r="G6916">
        <v>-416.61599999999999</v>
      </c>
      <c r="H6916" s="1">
        <v>-1.547064E-6</v>
      </c>
      <c r="I6916">
        <v>61.548299999999998</v>
      </c>
      <c r="J6916">
        <v>-421.58190000000002</v>
      </c>
      <c r="K6916">
        <v>1.108862</v>
      </c>
      <c r="L6916">
        <v>94.073430000000002</v>
      </c>
      <c r="M6916">
        <v>-1.619104E-2</v>
      </c>
      <c r="N6916">
        <v>0</v>
      </c>
      <c r="O6916">
        <v>-0.99986120000000001</v>
      </c>
      <c r="P6916">
        <v>-2.523471E-2</v>
      </c>
      <c r="Q6916">
        <v>-2.4959800000000001E-2</v>
      </c>
      <c r="R6916">
        <v>-0.99937030000000004</v>
      </c>
      <c r="S6916">
        <v>0.45654299999999998</v>
      </c>
      <c r="T6916">
        <v>-0.1020107</v>
      </c>
      <c r="U6916">
        <v>-3.0114139999999998</v>
      </c>
      <c r="V6916">
        <v>9.0506920000000008E-3</v>
      </c>
      <c r="W6916">
        <v>-2.0951790000000001E-2</v>
      </c>
      <c r="X6916">
        <v>0.9997395</v>
      </c>
      <c r="Y6916">
        <v>-0.16579630000000001</v>
      </c>
      <c r="Z6916">
        <v>3.3423599999999998E-2</v>
      </c>
      <c r="AA6916">
        <v>0.98559339999999995</v>
      </c>
      <c r="AB6916">
        <v>21</v>
      </c>
      <c r="AC6916">
        <v>4.9659000000000297</v>
      </c>
      <c r="AD6916">
        <v>-1.108863547064</v>
      </c>
      <c r="AE6916">
        <v>-32.525129999999997</v>
      </c>
      <c r="AF6916">
        <v>-5.4856380740288904</v>
      </c>
      <c r="AG6916">
        <v>-1.108863547064</v>
      </c>
      <c r="AH6916">
        <v>32.403657909698303</v>
      </c>
      <c r="AI6916">
        <v>91.932440778192003</v>
      </c>
      <c r="AJ6916">
        <v>99.608542547395899</v>
      </c>
      <c r="AK6916">
        <v>32.883412982444497</v>
      </c>
      <c r="AL6916">
        <v>91.200537009739804</v>
      </c>
      <c r="AM6916">
        <v>89.481312594802901</v>
      </c>
      <c r="AN6916">
        <v>0.99999998019506597</v>
      </c>
    </row>
    <row r="6917" spans="1:40" x14ac:dyDescent="0.25">
      <c r="A6917" t="str">
        <f>"20190312154101895"</f>
        <v>20190312154101895</v>
      </c>
      <c r="B6917" t="str">
        <f>"1552376461893003"</f>
        <v>1552376461893003</v>
      </c>
      <c r="C6917" t="s">
        <v>40</v>
      </c>
      <c r="D6917">
        <v>4.1886039999999998</v>
      </c>
      <c r="E6917">
        <v>0.43367149999999999</v>
      </c>
      <c r="F6917" t="s">
        <v>42</v>
      </c>
      <c r="G6917">
        <v>-416.47640000000001</v>
      </c>
      <c r="H6917" s="1">
        <v>-1.2102179999999999E-6</v>
      </c>
      <c r="I6917">
        <v>60.449309999999997</v>
      </c>
      <c r="J6917">
        <v>-421.58539999999999</v>
      </c>
      <c r="K6917">
        <v>1.1088789999999999</v>
      </c>
      <c r="L6917">
        <v>93.857969999999995</v>
      </c>
      <c r="M6917">
        <v>-1.6143419999999999E-2</v>
      </c>
      <c r="N6917">
        <v>0</v>
      </c>
      <c r="O6917">
        <v>-0.99986149999999996</v>
      </c>
      <c r="P6917">
        <v>-2.4383930000000002E-2</v>
      </c>
      <c r="Q6917">
        <v>-2.4656460000000002E-2</v>
      </c>
      <c r="R6917">
        <v>-0.99939889999999998</v>
      </c>
      <c r="S6917">
        <v>0.45718379999999997</v>
      </c>
      <c r="T6917">
        <v>-9.9294900000000005E-2</v>
      </c>
      <c r="U6917">
        <v>-3.0109249999999999</v>
      </c>
      <c r="V6917">
        <v>8.247318E-3</v>
      </c>
      <c r="W6917">
        <v>-2.0554179999999998E-2</v>
      </c>
      <c r="X6917">
        <v>0.9997547</v>
      </c>
      <c r="Y6917">
        <v>-0.165982399999999</v>
      </c>
      <c r="Z6917">
        <v>3.2538949999999997E-2</v>
      </c>
      <c r="AA6917">
        <v>0.98559169999999996</v>
      </c>
      <c r="AB6917">
        <v>21</v>
      </c>
      <c r="AC6917">
        <v>5.1089999999999796</v>
      </c>
      <c r="AD6917">
        <v>-1.108880210218</v>
      </c>
      <c r="AE6917">
        <v>-33.408659999999998</v>
      </c>
      <c r="AF6917">
        <v>-5.6415955167730898</v>
      </c>
      <c r="AG6917">
        <v>-1.108880210218</v>
      </c>
      <c r="AH6917">
        <v>33.285996736001103</v>
      </c>
      <c r="AI6917">
        <v>91.881220321026206</v>
      </c>
      <c r="AJ6917">
        <v>99.619562406809806</v>
      </c>
      <c r="AK6917">
        <v>33.778910491674601</v>
      </c>
      <c r="AL6917">
        <v>91.177750731351097</v>
      </c>
      <c r="AM6917">
        <v>89.527358265803599</v>
      </c>
      <c r="AN6917">
        <v>0.99999997637087701</v>
      </c>
    </row>
    <row r="6918" spans="1:40" x14ac:dyDescent="0.25">
      <c r="A6918" t="str">
        <f>"20190312154101918"</f>
        <v>20190312154101918</v>
      </c>
      <c r="B6918" t="str">
        <f>"1552376461913499"</f>
        <v>1552376461913499</v>
      </c>
      <c r="C6918" t="s">
        <v>40</v>
      </c>
      <c r="D6918">
        <v>4.2747859999999998</v>
      </c>
      <c r="E6918">
        <v>0.43371739999999998</v>
      </c>
      <c r="F6918" t="s">
        <v>42</v>
      </c>
      <c r="G6918">
        <v>-416.25920000000002</v>
      </c>
      <c r="H6918" s="1">
        <v>-4.5935019999999998E-6</v>
      </c>
      <c r="I6918">
        <v>58.793559999999999</v>
      </c>
      <c r="J6918">
        <v>-421.58870000000002</v>
      </c>
      <c r="K6918">
        <v>1.108892</v>
      </c>
      <c r="L6918">
        <v>93.643709999999999</v>
      </c>
      <c r="M6918">
        <v>-1.6093880000000001E-2</v>
      </c>
      <c r="N6918">
        <v>0</v>
      </c>
      <c r="O6918">
        <v>-0.99986200000000003</v>
      </c>
      <c r="P6918">
        <v>-2.310852E-2</v>
      </c>
      <c r="Q6918">
        <v>-2.3523039999999999E-2</v>
      </c>
      <c r="R6918">
        <v>-0.99945649999999997</v>
      </c>
      <c r="S6918">
        <v>0.45730589999999999</v>
      </c>
      <c r="T6918">
        <v>-9.5208409999999993E-2</v>
      </c>
      <c r="U6918">
        <v>-3.0106199999999999</v>
      </c>
      <c r="V6918">
        <v>7.0207689999999996E-3</v>
      </c>
      <c r="W6918">
        <v>-1.933261E-2</v>
      </c>
      <c r="X6918">
        <v>0.99978849999999997</v>
      </c>
      <c r="Y6918">
        <v>-0.165993899999999</v>
      </c>
      <c r="Z6918">
        <v>3.120419E-2</v>
      </c>
      <c r="AA6918">
        <v>0.98563299999999998</v>
      </c>
      <c r="AB6918">
        <v>21</v>
      </c>
      <c r="AC6918">
        <v>5.3294999999999897</v>
      </c>
      <c r="AD6918">
        <v>-1.1088965935019901</v>
      </c>
      <c r="AE6918">
        <v>-34.850149999999999</v>
      </c>
      <c r="AF6918">
        <v>-5.8838676502141301</v>
      </c>
      <c r="AG6918">
        <v>-1.1088965935019901</v>
      </c>
      <c r="AH6918">
        <v>34.725508896996097</v>
      </c>
      <c r="AI6918">
        <v>91.803329998535503</v>
      </c>
      <c r="AJ6918">
        <v>99.616821814341606</v>
      </c>
      <c r="AK6918">
        <v>35.2379130814478</v>
      </c>
      <c r="AL6918">
        <v>91.107745923094001</v>
      </c>
      <c r="AM6918">
        <v>89.597661084583507</v>
      </c>
      <c r="AN6918">
        <v>1.0000000428694999</v>
      </c>
    </row>
    <row r="6919" spans="1:40" x14ac:dyDescent="0.25">
      <c r="A6919" t="str">
        <f>"20190312154101940"</f>
        <v>20190312154101940</v>
      </c>
      <c r="B6919" t="str">
        <f>"1552376461933023"</f>
        <v>1552376461933023</v>
      </c>
      <c r="C6919" t="s">
        <v>40</v>
      </c>
      <c r="D6919">
        <v>4.240094</v>
      </c>
      <c r="E6919">
        <v>0.43398700000000001</v>
      </c>
      <c r="F6919" t="s">
        <v>42</v>
      </c>
      <c r="G6919">
        <v>-415.80200000000002</v>
      </c>
      <c r="H6919" s="1">
        <v>-3.408558E-6</v>
      </c>
      <c r="I6919">
        <v>55.842390000000002</v>
      </c>
      <c r="J6919">
        <v>-421.59219999999999</v>
      </c>
      <c r="K6919">
        <v>1.1089070000000001</v>
      </c>
      <c r="L6919">
        <v>93.425479999999993</v>
      </c>
      <c r="M6919">
        <v>-1.6041010000000001E-2</v>
      </c>
      <c r="N6919">
        <v>0</v>
      </c>
      <c r="O6919">
        <v>-0.99986220000000003</v>
      </c>
      <c r="P6919">
        <v>-2.2544620000000001E-2</v>
      </c>
      <c r="Q6919">
        <v>-2.2507760000000002E-2</v>
      </c>
      <c r="R6919">
        <v>-0.99949219999999905</v>
      </c>
      <c r="S6919">
        <v>0.46081539999999999</v>
      </c>
      <c r="T6919">
        <v>-8.8304400000000005E-2</v>
      </c>
      <c r="U6919">
        <v>-3.0102229999999999</v>
      </c>
      <c r="V6919">
        <v>6.5092689999999998E-3</v>
      </c>
      <c r="W6919">
        <v>-1.823483E-2</v>
      </c>
      <c r="X6919">
        <v>0.99981249999999999</v>
      </c>
      <c r="Y6919">
        <v>-0.1670942</v>
      </c>
      <c r="Z6919">
        <v>2.8941990000000001E-2</v>
      </c>
      <c r="AA6919">
        <v>0.98551610000000001</v>
      </c>
      <c r="AB6919">
        <v>22</v>
      </c>
      <c r="AC6919">
        <v>5.79020000000002</v>
      </c>
      <c r="AD6919">
        <v>-1.1089104085579999</v>
      </c>
      <c r="AE6919">
        <v>-37.583089999999999</v>
      </c>
      <c r="AF6919">
        <v>-6.38689983739736</v>
      </c>
      <c r="AG6919">
        <v>-1.1089104085579999</v>
      </c>
      <c r="AH6919">
        <v>37.453522524004903</v>
      </c>
      <c r="AI6919">
        <v>91.671777885740198</v>
      </c>
      <c r="AJ6919">
        <v>99.677483168871504</v>
      </c>
      <c r="AK6919">
        <v>38.010373864029503</v>
      </c>
      <c r="AL6919">
        <v>91.044836752067297</v>
      </c>
      <c r="AM6919">
        <v>89.626981686913794</v>
      </c>
      <c r="AN6919">
        <v>0.99999995738214498</v>
      </c>
    </row>
    <row r="6920" spans="1:40" x14ac:dyDescent="0.25">
      <c r="A6920" t="str">
        <f>"20190312154101963"</f>
        <v>20190312154101963</v>
      </c>
      <c r="B6920" t="str">
        <f>"1552376461953516"</f>
        <v>1552376461953516</v>
      </c>
      <c r="C6920" t="s">
        <v>40</v>
      </c>
      <c r="D6920">
        <v>4.2701640000000003</v>
      </c>
      <c r="E6920">
        <v>0.43427959999999899</v>
      </c>
      <c r="F6920" t="s">
        <v>42</v>
      </c>
      <c r="G6920">
        <v>-415.43430000000001</v>
      </c>
      <c r="H6920" s="1">
        <v>-2.4007090000000002E-6</v>
      </c>
      <c r="I6920">
        <v>53.132869999999997</v>
      </c>
      <c r="J6920">
        <v>-421.59559999999999</v>
      </c>
      <c r="K6920">
        <v>1.1089180000000001</v>
      </c>
      <c r="L6920">
        <v>93.207059999999998</v>
      </c>
      <c r="M6920">
        <v>-1.5987149999999999E-2</v>
      </c>
      <c r="N6920">
        <v>0</v>
      </c>
      <c r="O6920">
        <v>-0.9998629</v>
      </c>
      <c r="P6920">
        <v>-2.2717459999999998E-2</v>
      </c>
      <c r="Q6920">
        <v>-2.1958100000000001E-2</v>
      </c>
      <c r="R6920">
        <v>-0.99950090000000003</v>
      </c>
      <c r="S6920">
        <v>0.46002199999999999</v>
      </c>
      <c r="T6920">
        <v>-8.2840559999999994E-2</v>
      </c>
      <c r="U6920">
        <v>-3.01004</v>
      </c>
      <c r="V6920">
        <v>6.7358239999999996E-3</v>
      </c>
      <c r="W6920">
        <v>-1.7609179999999999E-2</v>
      </c>
      <c r="X6920">
        <v>0.99982230000000005</v>
      </c>
      <c r="Y6920">
        <v>-0.166803799999999</v>
      </c>
      <c r="Z6920">
        <v>2.7155470000000001E-2</v>
      </c>
      <c r="AA6920">
        <v>0.98561609999999999</v>
      </c>
      <c r="AB6920">
        <v>22</v>
      </c>
      <c r="AC6920">
        <v>6.1612999999999802</v>
      </c>
      <c r="AD6920">
        <v>-1.1089204007089899</v>
      </c>
      <c r="AE6920">
        <v>-40.074190000000002</v>
      </c>
      <c r="AF6920">
        <v>-6.7961068386242998</v>
      </c>
      <c r="AG6920">
        <v>-1.1089204007089899</v>
      </c>
      <c r="AH6920">
        <v>39.940688547243298</v>
      </c>
      <c r="AI6920">
        <v>91.567838528077203</v>
      </c>
      <c r="AJ6920">
        <v>99.656675069781798</v>
      </c>
      <c r="AK6920">
        <v>40.529931831240397</v>
      </c>
      <c r="AL6920">
        <v>91.008983800642099</v>
      </c>
      <c r="AM6920">
        <v>89.614002960282306</v>
      </c>
      <c r="AN6920">
        <v>1.0000000430612499</v>
      </c>
    </row>
    <row r="6921" spans="1:40" x14ac:dyDescent="0.25">
      <c r="A6921" t="str">
        <f>"20190312154101986"</f>
        <v>20190312154101986</v>
      </c>
      <c r="B6921" t="str">
        <f>"1552376461973036"</f>
        <v>1552376461973036</v>
      </c>
      <c r="C6921" t="s">
        <v>40</v>
      </c>
      <c r="D6921">
        <v>4.2563209999999998</v>
      </c>
      <c r="E6921">
        <v>0.43415979999999998</v>
      </c>
      <c r="F6921" t="s">
        <v>42</v>
      </c>
      <c r="G6921">
        <v>-415.25810000000001</v>
      </c>
      <c r="H6921" s="1">
        <v>-1.874744E-6</v>
      </c>
      <c r="I6921">
        <v>51.449489999999997</v>
      </c>
      <c r="J6921">
        <v>-421.5992</v>
      </c>
      <c r="K6921">
        <v>1.1089329999999999</v>
      </c>
      <c r="L6921">
        <v>92.978089999999995</v>
      </c>
      <c r="M6921">
        <v>-1.5930380000000001E-2</v>
      </c>
      <c r="N6921">
        <v>0</v>
      </c>
      <c r="O6921">
        <v>-0.99986339999999996</v>
      </c>
      <c r="P6921">
        <v>-2.3480850000000001E-2</v>
      </c>
      <c r="Q6921">
        <v>-2.1683359999999999E-2</v>
      </c>
      <c r="R6921">
        <v>-0.99948899999999996</v>
      </c>
      <c r="S6921">
        <v>0.45684809999999998</v>
      </c>
      <c r="T6921">
        <v>-7.9937460000000002E-2</v>
      </c>
      <c r="U6921">
        <v>-3.010132</v>
      </c>
      <c r="V6921">
        <v>7.5560990000000001E-3</v>
      </c>
      <c r="W6921">
        <v>-1.7261350000000002E-2</v>
      </c>
      <c r="X6921">
        <v>0.9998224</v>
      </c>
      <c r="Y6921">
        <v>-0.165731399999999</v>
      </c>
      <c r="Z6921">
        <v>2.6208200000000001E-2</v>
      </c>
      <c r="AA6921">
        <v>0.98582259999999999</v>
      </c>
      <c r="AB6921">
        <v>22</v>
      </c>
      <c r="AC6921">
        <v>6.3410999999999804</v>
      </c>
      <c r="AD6921">
        <v>-1.108934874744</v>
      </c>
      <c r="AE6921">
        <v>-41.528599999999997</v>
      </c>
      <c r="AF6921">
        <v>-6.9969926133454603</v>
      </c>
      <c r="AG6921">
        <v>-1.108934874744</v>
      </c>
      <c r="AH6921">
        <v>41.393469976328902</v>
      </c>
      <c r="AI6921">
        <v>91.513137001474405</v>
      </c>
      <c r="AJ6921">
        <v>99.594363155239606</v>
      </c>
      <c r="AK6921">
        <v>41.995321154491499</v>
      </c>
      <c r="AL6921">
        <v>90.989051682355395</v>
      </c>
      <c r="AM6921">
        <v>89.566998758716906</v>
      </c>
      <c r="AN6921">
        <v>0.99999994018883798</v>
      </c>
    </row>
    <row r="6922" spans="1:40" x14ac:dyDescent="0.25">
      <c r="A6922" t="str">
        <f>"20190312154102007"</f>
        <v>20190312154102007</v>
      </c>
      <c r="B6922" t="str">
        <f>"1552376462003292"</f>
        <v>1552376462003292</v>
      </c>
      <c r="C6922" t="s">
        <v>40</v>
      </c>
      <c r="D6922">
        <v>4.2034510000000003</v>
      </c>
      <c r="E6922">
        <v>0.41065859999999899</v>
      </c>
      <c r="F6922" t="s">
        <v>42</v>
      </c>
      <c r="G6922">
        <v>-415.02159999999998</v>
      </c>
      <c r="H6922" s="1">
        <v>-5.1243659999999999E-6</v>
      </c>
      <c r="I6922">
        <v>49.519309999999997</v>
      </c>
      <c r="J6922">
        <v>-421.60250000000002</v>
      </c>
      <c r="K6922">
        <v>1.108943</v>
      </c>
      <c r="L6922">
        <v>92.769649999999999</v>
      </c>
      <c r="M6922">
        <v>-1.587918E-2</v>
      </c>
      <c r="N6922">
        <v>0</v>
      </c>
      <c r="O6922">
        <v>-0.99986410000000003</v>
      </c>
      <c r="P6922">
        <v>-2.3934359999999998E-2</v>
      </c>
      <c r="Q6922">
        <v>-2.0924640000000001E-2</v>
      </c>
      <c r="R6922">
        <v>-0.99949489999999996</v>
      </c>
      <c r="S6922">
        <v>0.45565800000000001</v>
      </c>
      <c r="T6922">
        <v>-7.6820490000000005E-2</v>
      </c>
      <c r="U6922">
        <v>-3.0105590000000002</v>
      </c>
      <c r="V6922">
        <v>8.0606640000000004E-3</v>
      </c>
      <c r="W6922">
        <v>-1.6441420000000002E-2</v>
      </c>
      <c r="X6922">
        <v>0.99983230000000001</v>
      </c>
      <c r="Y6922">
        <v>-0.16528300000000001</v>
      </c>
      <c r="Z6922">
        <v>2.5185140000000002E-2</v>
      </c>
      <c r="AA6922">
        <v>0.98592449999999998</v>
      </c>
      <c r="AB6922">
        <v>22</v>
      </c>
      <c r="AC6922">
        <v>6.5809000000000397</v>
      </c>
      <c r="AD6922">
        <v>-1.108948124366</v>
      </c>
      <c r="AE6922">
        <v>-43.250340000000001</v>
      </c>
      <c r="AF6922">
        <v>-7.2621906453231899</v>
      </c>
      <c r="AG6922">
        <v>-1.108948124366</v>
      </c>
      <c r="AH6922">
        <v>43.112684659855198</v>
      </c>
      <c r="AI6922">
        <v>91.452981473422994</v>
      </c>
      <c r="AJ6922">
        <v>99.561526960649402</v>
      </c>
      <c r="AK6922">
        <v>43.734114344429898</v>
      </c>
      <c r="AL6922">
        <v>90.942066458136694</v>
      </c>
      <c r="AM6922">
        <v>89.538090516093405</v>
      </c>
      <c r="AN6922">
        <v>0.99999996135951297</v>
      </c>
    </row>
    <row r="6923" spans="1:40" x14ac:dyDescent="0.25">
      <c r="A6923" t="str">
        <f>"20190312154102022"</f>
        <v>20190312154102022</v>
      </c>
      <c r="B6923" t="str">
        <f>"1552376462013051"</f>
        <v>1552376462013051</v>
      </c>
      <c r="C6923" t="s">
        <v>40</v>
      </c>
      <c r="D6923">
        <v>4.2268470000000002</v>
      </c>
      <c r="E6923">
        <v>0.41072649999999999</v>
      </c>
      <c r="F6923" t="s">
        <v>48</v>
      </c>
      <c r="G6923">
        <v>-408.83629999999999</v>
      </c>
      <c r="H6923">
        <v>0.2388006</v>
      </c>
      <c r="I6923">
        <v>32.623179999999998</v>
      </c>
      <c r="J6923">
        <v>-421.60489999999999</v>
      </c>
      <c r="K6923">
        <v>1.1089500000000001</v>
      </c>
      <c r="L6923">
        <v>92.617400000000004</v>
      </c>
      <c r="M6923">
        <v>-1.5841750000000002E-2</v>
      </c>
      <c r="N6923">
        <v>0</v>
      </c>
      <c r="O6923">
        <v>-0.99986459999999999</v>
      </c>
      <c r="P6923">
        <v>-2.401822E-2</v>
      </c>
      <c r="Q6923">
        <v>-2.081413E-2</v>
      </c>
      <c r="R6923">
        <v>-0.99949520000000003</v>
      </c>
      <c r="S6923">
        <v>0.640136699999999</v>
      </c>
      <c r="T6923">
        <v>-4.3631669999999997E-2</v>
      </c>
      <c r="U6923">
        <v>-3.01593</v>
      </c>
      <c r="V6923">
        <v>8.1819409999999999E-3</v>
      </c>
      <c r="W6923">
        <v>-1.628835E-2</v>
      </c>
      <c r="X6923">
        <v>0.99983390000000005</v>
      </c>
      <c r="Y6923">
        <v>-0.22307640000000001</v>
      </c>
      <c r="Z6923">
        <v>1.412329E-2</v>
      </c>
      <c r="AA6923">
        <v>0.97469870000000003</v>
      </c>
      <c r="AB6923">
        <v>22</v>
      </c>
      <c r="AC6923">
        <v>12.7685999999999</v>
      </c>
      <c r="AD6923">
        <v>-0.87014939999999996</v>
      </c>
      <c r="AE6923">
        <v>-59.994219999999999</v>
      </c>
      <c r="AF6923">
        <v>-13.7146604779421</v>
      </c>
      <c r="AG6923">
        <v>-0.87014939999999996</v>
      </c>
      <c r="AH6923">
        <v>59.772383291886499</v>
      </c>
      <c r="AI6923">
        <v>90.812915641349093</v>
      </c>
      <c r="AJ6923">
        <v>102.922728726301</v>
      </c>
      <c r="AK6923">
        <v>61.331777052322103</v>
      </c>
      <c r="AL6923">
        <v>90.933294943824805</v>
      </c>
      <c r="AM6923">
        <v>89.531141899132606</v>
      </c>
      <c r="AN6923">
        <v>1.00000004104672</v>
      </c>
    </row>
    <row r="6924" spans="1:40" x14ac:dyDescent="0.25">
      <c r="A6924" t="str">
        <f>"20190312154102035"</f>
        <v>20190312154102035</v>
      </c>
      <c r="B6924" t="str">
        <f>"1552376462023787"</f>
        <v>1552376462023787</v>
      </c>
      <c r="C6924" t="s">
        <v>40</v>
      </c>
      <c r="D6924">
        <v>4.2238379999999998</v>
      </c>
      <c r="E6924">
        <v>0.40990130000000002</v>
      </c>
      <c r="F6924" t="s">
        <v>69</v>
      </c>
      <c r="G6924">
        <v>-409.24459999999999</v>
      </c>
      <c r="H6924">
        <v>7.9987870000000003E-2</v>
      </c>
      <c r="I6924">
        <v>34.361330000000002</v>
      </c>
      <c r="J6924">
        <v>-421.6069</v>
      </c>
      <c r="K6924">
        <v>1.1089519999999999</v>
      </c>
      <c r="L6924">
        <v>92.488190000000003</v>
      </c>
      <c r="M6924">
        <v>-1.581012E-2</v>
      </c>
      <c r="N6924">
        <v>0</v>
      </c>
      <c r="O6924">
        <v>-0.99986459999999999</v>
      </c>
      <c r="P6924">
        <v>-2.42729E-2</v>
      </c>
      <c r="Q6924">
        <v>-2.0462609999999999E-2</v>
      </c>
      <c r="R6924">
        <v>-0.99949600000000005</v>
      </c>
      <c r="S6924">
        <v>0.63986209999999999</v>
      </c>
      <c r="T6924">
        <v>-5.3266880000000003E-2</v>
      </c>
      <c r="U6924">
        <v>-3.0157780000000001</v>
      </c>
      <c r="V6924">
        <v>8.468204E-3</v>
      </c>
      <c r="W6924">
        <v>-1.5901189999999999E-2</v>
      </c>
      <c r="X6924">
        <v>0.99983770000000005</v>
      </c>
      <c r="Y6924">
        <v>-0.22296050000000001</v>
      </c>
      <c r="Z6924">
        <v>1.7242540000000001E-2</v>
      </c>
      <c r="AA6924">
        <v>0.97467499999999996</v>
      </c>
      <c r="AB6924">
        <v>22</v>
      </c>
      <c r="AC6924">
        <v>12.362299999999999</v>
      </c>
      <c r="AD6924">
        <v>-1.0289641300000001</v>
      </c>
      <c r="AE6924">
        <v>-58.126860000000001</v>
      </c>
      <c r="AF6924">
        <v>-13.275776930690601</v>
      </c>
      <c r="AG6924">
        <v>-1.0289641300000001</v>
      </c>
      <c r="AH6924">
        <v>57.906782669688802</v>
      </c>
      <c r="AI6924">
        <v>90.992262179669396</v>
      </c>
      <c r="AJ6924">
        <v>102.912553207467</v>
      </c>
      <c r="AK6924">
        <v>59.418014940326401</v>
      </c>
      <c r="AL6924">
        <v>90.911109481317993</v>
      </c>
      <c r="AM6924">
        <v>89.514740494184494</v>
      </c>
      <c r="AN6924">
        <v>0.999999992331845</v>
      </c>
    </row>
    <row r="6925" spans="1:40" x14ac:dyDescent="0.25">
      <c r="A6925" t="str">
        <f>"20190312154102052"</f>
        <v>20190312154102052</v>
      </c>
      <c r="B6925" t="str">
        <f>"1552376462043308"</f>
        <v>1552376462043308</v>
      </c>
      <c r="C6925" t="s">
        <v>40</v>
      </c>
      <c r="D6925">
        <v>4.3427639999999998</v>
      </c>
      <c r="E6925">
        <v>0.40977839999999999</v>
      </c>
      <c r="F6925" t="s">
        <v>69</v>
      </c>
      <c r="G6925">
        <v>-409.95780000000002</v>
      </c>
      <c r="H6925">
        <v>3.6999730000000002E-2</v>
      </c>
      <c r="I6925">
        <v>38.119390000000003</v>
      </c>
      <c r="J6925">
        <v>-421.60939999999999</v>
      </c>
      <c r="K6925">
        <v>1.108954</v>
      </c>
      <c r="L6925">
        <v>92.321960000000004</v>
      </c>
      <c r="M6925">
        <v>-1.576926E-2</v>
      </c>
      <c r="N6925">
        <v>0</v>
      </c>
      <c r="O6925">
        <v>-0.99986509999999995</v>
      </c>
      <c r="P6925">
        <v>-2.4244169999999999E-2</v>
      </c>
      <c r="Q6925">
        <v>-2.046632E-2</v>
      </c>
      <c r="R6925">
        <v>-0.99949659999999996</v>
      </c>
      <c r="S6925">
        <v>0.6462097</v>
      </c>
      <c r="T6925">
        <v>-5.9464219999999998E-2</v>
      </c>
      <c r="U6925">
        <v>-3.0159910000000001</v>
      </c>
      <c r="V6925">
        <v>8.4803269999999993E-3</v>
      </c>
      <c r="W6925">
        <v>-1.5859069999999999E-2</v>
      </c>
      <c r="X6925">
        <v>0.99983829999999996</v>
      </c>
      <c r="Y6925">
        <v>-0.2248607</v>
      </c>
      <c r="Z6925">
        <v>1.9238160000000001E-2</v>
      </c>
      <c r="AA6925">
        <v>0.97420099999999998</v>
      </c>
      <c r="AB6925">
        <v>22</v>
      </c>
      <c r="AC6925">
        <v>11.651599999999901</v>
      </c>
      <c r="AD6925">
        <v>-1.07195427</v>
      </c>
      <c r="AE6925">
        <v>-54.202569999999902</v>
      </c>
      <c r="AF6925">
        <v>-12.5002214496399</v>
      </c>
      <c r="AG6925">
        <v>-1.07195427</v>
      </c>
      <c r="AH6925">
        <v>53.991906403334298</v>
      </c>
      <c r="AI6925">
        <v>91.108097200872905</v>
      </c>
      <c r="AJ6925">
        <v>103.035466403871</v>
      </c>
      <c r="AK6925">
        <v>55.430412043511097</v>
      </c>
      <c r="AL6925">
        <v>90.908695848032707</v>
      </c>
      <c r="AM6925">
        <v>89.514046126205699</v>
      </c>
      <c r="AN6925">
        <v>1.00000002609709</v>
      </c>
    </row>
    <row r="6926" spans="1:40" x14ac:dyDescent="0.25">
      <c r="A6926" t="str">
        <f>"20190312154102075"</f>
        <v>20190312154102075</v>
      </c>
      <c r="B6926" t="str">
        <f>"1552376462062933"</f>
        <v>1552376462062933</v>
      </c>
      <c r="C6926" t="s">
        <v>40</v>
      </c>
      <c r="D6926">
        <v>4.2692050000000004</v>
      </c>
      <c r="E6926">
        <v>0.41020390000000001</v>
      </c>
      <c r="F6926" t="s">
        <v>42</v>
      </c>
      <c r="G6926">
        <v>-410.48840000000001</v>
      </c>
      <c r="H6926" s="1">
        <v>-2.8201459999999999E-6</v>
      </c>
      <c r="I6926">
        <v>40.498330000000003</v>
      </c>
      <c r="J6926">
        <v>-421.61290000000002</v>
      </c>
      <c r="K6926">
        <v>1.1089639999999901</v>
      </c>
      <c r="L6926">
        <v>92.096919999999997</v>
      </c>
      <c r="M6926">
        <v>-1.571444E-2</v>
      </c>
      <c r="N6926">
        <v>0</v>
      </c>
      <c r="O6926">
        <v>-0.99986549999999996</v>
      </c>
      <c r="P6926">
        <v>-2.4364029999999998E-2</v>
      </c>
      <c r="Q6926">
        <v>-2.0352200000000001E-2</v>
      </c>
      <c r="R6926">
        <v>-0.99949589999999999</v>
      </c>
      <c r="S6926">
        <v>0.64718629999999999</v>
      </c>
      <c r="T6926">
        <v>-6.4535620000000002E-2</v>
      </c>
      <c r="U6926">
        <v>-3.0158689999999999</v>
      </c>
      <c r="V6926">
        <v>8.6550109999999902E-3</v>
      </c>
      <c r="W6926">
        <v>-1.56811E-2</v>
      </c>
      <c r="X6926">
        <v>0.99983960000000005</v>
      </c>
      <c r="Y6926">
        <v>-0.22511010000000001</v>
      </c>
      <c r="Z6926">
        <v>2.0877719999999999E-2</v>
      </c>
      <c r="AA6926">
        <v>0.97410960000000002</v>
      </c>
      <c r="AB6926">
        <v>22</v>
      </c>
      <c r="AC6926">
        <v>11.124499999999999</v>
      </c>
      <c r="AD6926">
        <v>-1.1089668201459999</v>
      </c>
      <c r="AE6926">
        <v>-51.598590000000002</v>
      </c>
      <c r="AF6926">
        <v>-11.9287129029172</v>
      </c>
      <c r="AG6926">
        <v>-1.1089668201459999</v>
      </c>
      <c r="AH6926">
        <v>51.394715793012601</v>
      </c>
      <c r="AI6926">
        <v>91.2041072430968</v>
      </c>
      <c r="AJ6926">
        <v>103.066987234479</v>
      </c>
      <c r="AK6926">
        <v>52.7725384113077</v>
      </c>
      <c r="AL6926">
        <v>90.898497659347797</v>
      </c>
      <c r="AM6926">
        <v>89.504037231432406</v>
      </c>
      <c r="AN6926">
        <v>1.0000000159203899</v>
      </c>
    </row>
    <row r="6927" spans="1:40" x14ac:dyDescent="0.25">
      <c r="A6927" t="str">
        <f>"20190312154102097"</f>
        <v>20190312154102097</v>
      </c>
      <c r="B6927" t="str">
        <f>"1552376462093189"</f>
        <v>1552376462093189</v>
      </c>
      <c r="C6927" t="s">
        <v>40</v>
      </c>
      <c r="D6927">
        <v>4.2953440000000001</v>
      </c>
      <c r="E6927">
        <v>0.40965960000000001</v>
      </c>
      <c r="F6927" t="s">
        <v>69</v>
      </c>
      <c r="G6927">
        <v>-410.4051</v>
      </c>
      <c r="H6927" s="1">
        <v>-2.5642980000000001E-6</v>
      </c>
      <c r="I6927">
        <v>39.578319999999998</v>
      </c>
      <c r="J6927">
        <v>-421.61649999999997</v>
      </c>
      <c r="K6927">
        <v>1.1089789999999999</v>
      </c>
      <c r="L6927">
        <v>91.869290000000007</v>
      </c>
      <c r="M6927">
        <v>-1.5659739999999998E-2</v>
      </c>
      <c r="N6927">
        <v>0</v>
      </c>
      <c r="O6927">
        <v>-0.99986620000000004</v>
      </c>
      <c r="P6927">
        <v>-2.4339960000000001E-2</v>
      </c>
      <c r="Q6927">
        <v>-2.011537E-2</v>
      </c>
      <c r="R6927">
        <v>-0.99950150000000004</v>
      </c>
      <c r="S6927">
        <v>0.64361569999999901</v>
      </c>
      <c r="T6927">
        <v>-6.3682790000000003E-2</v>
      </c>
      <c r="U6927">
        <v>-3.0158999999999998</v>
      </c>
      <c r="V6927">
        <v>8.6855639999999998E-3</v>
      </c>
      <c r="W6927">
        <v>-1.537466E-2</v>
      </c>
      <c r="X6927">
        <v>0.99984410000000001</v>
      </c>
      <c r="Y6927">
        <v>-0.22395300000000001</v>
      </c>
      <c r="Z6927">
        <v>2.0607070000000002E-2</v>
      </c>
      <c r="AA6927">
        <v>0.97438199999999997</v>
      </c>
      <c r="AB6927">
        <v>22</v>
      </c>
      <c r="AC6927">
        <v>11.2113999999999</v>
      </c>
      <c r="AD6927">
        <v>-1.1089815642980001</v>
      </c>
      <c r="AE6927">
        <v>-52.290970000000002</v>
      </c>
      <c r="AF6927">
        <v>-12.023727063734899</v>
      </c>
      <c r="AG6927">
        <v>-1.1089815642980001</v>
      </c>
      <c r="AH6927">
        <v>52.086590658166401</v>
      </c>
      <c r="AI6927">
        <v>91.188461848713899</v>
      </c>
      <c r="AJ6927">
        <v>102.998527563735</v>
      </c>
      <c r="AK6927">
        <v>53.467866789357998</v>
      </c>
      <c r="AL6927">
        <v>90.880937818652001</v>
      </c>
      <c r="AM6927">
        <v>89.502288764243403</v>
      </c>
      <c r="AN6927">
        <v>1.0000000217484599</v>
      </c>
    </row>
    <row r="6928" spans="1:40" x14ac:dyDescent="0.25">
      <c r="A6928" t="str">
        <f>"20190312154102120"</f>
        <v>20190312154102120</v>
      </c>
      <c r="B6928" t="str">
        <f>"1552376462113685"</f>
        <v>1552376462113685</v>
      </c>
      <c r="C6928" t="s">
        <v>40</v>
      </c>
      <c r="D6928">
        <v>4.258019</v>
      </c>
      <c r="E6928">
        <v>0.40963309999999997</v>
      </c>
      <c r="F6928" t="s">
        <v>42</v>
      </c>
      <c r="G6928">
        <v>-410.64609999999999</v>
      </c>
      <c r="H6928" s="1">
        <v>-2.8822620000000001E-6</v>
      </c>
      <c r="I6928">
        <v>40.804180000000002</v>
      </c>
      <c r="J6928">
        <v>-421.62009999999998</v>
      </c>
      <c r="K6928">
        <v>1.1089990000000001</v>
      </c>
      <c r="L6928">
        <v>91.638000000000005</v>
      </c>
      <c r="M6928">
        <v>-1.560364E-2</v>
      </c>
      <c r="N6928">
        <v>0</v>
      </c>
      <c r="O6928">
        <v>-0.9998667</v>
      </c>
      <c r="P6928">
        <v>-2.429048E-2</v>
      </c>
      <c r="Q6928">
        <v>-1.9262520000000002E-2</v>
      </c>
      <c r="R6928">
        <v>-0.99951959999999995</v>
      </c>
      <c r="S6928">
        <v>0.64791869999999996</v>
      </c>
      <c r="T6928">
        <v>-6.5497639999999996E-2</v>
      </c>
      <c r="U6928">
        <v>-3.0159609999999999</v>
      </c>
      <c r="V6928">
        <v>8.6918849999999999E-3</v>
      </c>
      <c r="W6928">
        <v>-1.4442699999999999E-2</v>
      </c>
      <c r="X6928">
        <v>0.99985789999999997</v>
      </c>
      <c r="Y6928">
        <v>-0.2252208</v>
      </c>
      <c r="Z6928">
        <v>2.118741E-2</v>
      </c>
      <c r="AA6928">
        <v>0.97407730000000003</v>
      </c>
      <c r="AB6928">
        <v>22</v>
      </c>
      <c r="AC6928">
        <v>10.973999999999901</v>
      </c>
      <c r="AD6928">
        <v>-1.109001882262</v>
      </c>
      <c r="AE6928">
        <v>-50.833819999999903</v>
      </c>
      <c r="AF6928">
        <v>-11.760517596670301</v>
      </c>
      <c r="AG6928">
        <v>-1.109001882262</v>
      </c>
      <c r="AH6928">
        <v>50.633369077815502</v>
      </c>
      <c r="AI6928">
        <v>91.222200675797595</v>
      </c>
      <c r="AJ6928">
        <v>103.076127909238</v>
      </c>
      <c r="AK6928">
        <v>51.993054569689797</v>
      </c>
      <c r="AL6928">
        <v>90.827534542216995</v>
      </c>
      <c r="AM6928">
        <v>89.501933442546502</v>
      </c>
      <c r="AN6928">
        <v>0.99999998032027604</v>
      </c>
    </row>
    <row r="6929" spans="1:40" x14ac:dyDescent="0.25">
      <c r="A6929" t="str">
        <f>"20190312154102142"</f>
        <v>20190312154102142</v>
      </c>
      <c r="B6929" t="str">
        <f>"1552376462133205"</f>
        <v>1552376462133205</v>
      </c>
      <c r="C6929" t="s">
        <v>40</v>
      </c>
      <c r="D6929">
        <v>4.2915089999999996</v>
      </c>
      <c r="E6929">
        <v>0.40984540000000003</v>
      </c>
      <c r="F6929" t="s">
        <v>69</v>
      </c>
      <c r="G6929">
        <v>-409.95780000000002</v>
      </c>
      <c r="H6929">
        <v>2.5317619999999999E-2</v>
      </c>
      <c r="I6929">
        <v>37.365630000000003</v>
      </c>
      <c r="J6929">
        <v>-421.62349999999998</v>
      </c>
      <c r="K6929">
        <v>1.1090139999999999</v>
      </c>
      <c r="L6929">
        <v>91.408969999999997</v>
      </c>
      <c r="M6929">
        <v>-1.5547750000000001E-2</v>
      </c>
      <c r="N6929">
        <v>0</v>
      </c>
      <c r="O6929">
        <v>-0.99986719999999896</v>
      </c>
      <c r="P6929">
        <v>-2.438071E-2</v>
      </c>
      <c r="Q6929">
        <v>-1.8198160000000001E-2</v>
      </c>
      <c r="R6929">
        <v>-0.99953740000000002</v>
      </c>
      <c r="S6929">
        <v>0.64810179999999995</v>
      </c>
      <c r="T6929">
        <v>-6.0222860000000003E-2</v>
      </c>
      <c r="U6929">
        <v>-3.0160520000000002</v>
      </c>
      <c r="V6929">
        <v>8.8376679999999999E-3</v>
      </c>
      <c r="W6929">
        <v>-1.3295649999999999E-2</v>
      </c>
      <c r="X6929">
        <v>0.9998726</v>
      </c>
      <c r="Y6929">
        <v>-0.22522410000000001</v>
      </c>
      <c r="Z6929">
        <v>1.9481120000000001E-2</v>
      </c>
      <c r="AA6929">
        <v>0.97411219999999998</v>
      </c>
      <c r="AB6929">
        <v>23</v>
      </c>
      <c r="AC6929">
        <v>11.6656999999999</v>
      </c>
      <c r="AD6929">
        <v>-1.0836963799999999</v>
      </c>
      <c r="AE6929">
        <v>-54.043340000000001</v>
      </c>
      <c r="AF6929">
        <v>-12.499749903000399</v>
      </c>
      <c r="AG6929">
        <v>-1.0836963799999999</v>
      </c>
      <c r="AH6929">
        <v>53.834746813021802</v>
      </c>
      <c r="AI6929">
        <v>91.123336737633593</v>
      </c>
      <c r="AJ6929">
        <v>103.071739499543</v>
      </c>
      <c r="AK6929">
        <v>55.2774647564787</v>
      </c>
      <c r="AL6929">
        <v>90.761807040504905</v>
      </c>
      <c r="AM6929">
        <v>89.493587591668202</v>
      </c>
      <c r="AN6929">
        <v>1.00000004745767</v>
      </c>
    </row>
    <row r="6930" spans="1:40" x14ac:dyDescent="0.25">
      <c r="A6930" t="str">
        <f>"20190312154102163"</f>
        <v>20190312154102163</v>
      </c>
      <c r="B6930" t="str">
        <f>"1552376462153701"</f>
        <v>1552376462153701</v>
      </c>
      <c r="C6930" t="s">
        <v>40</v>
      </c>
      <c r="D6930">
        <v>4.2767929999999996</v>
      </c>
      <c r="E6930">
        <v>0.40951310000000002</v>
      </c>
      <c r="F6930" t="s">
        <v>69</v>
      </c>
      <c r="G6930">
        <v>-409.95780000000002</v>
      </c>
      <c r="H6930">
        <v>3.832646E-2</v>
      </c>
      <c r="I6930">
        <v>36.963479999999997</v>
      </c>
      <c r="J6930">
        <v>-421.62689999999998</v>
      </c>
      <c r="K6930">
        <v>1.1090279999999999</v>
      </c>
      <c r="L6930">
        <v>91.189210000000003</v>
      </c>
      <c r="M6930">
        <v>-1.54936E-2</v>
      </c>
      <c r="N6930">
        <v>0</v>
      </c>
      <c r="O6930">
        <v>-0.99986770000000003</v>
      </c>
      <c r="P6930">
        <v>-2.3929880000000001E-2</v>
      </c>
      <c r="Q6930">
        <v>-1.7177649999999999E-2</v>
      </c>
      <c r="R6930">
        <v>-0.99956619999999996</v>
      </c>
      <c r="S6930">
        <v>0.64624019999999904</v>
      </c>
      <c r="T6930">
        <v>-5.9312219999999999E-2</v>
      </c>
      <c r="U6930">
        <v>-3.0160830000000001</v>
      </c>
      <c r="V6930">
        <v>8.4405350000000007E-3</v>
      </c>
      <c r="W6930">
        <v>-1.219512E-2</v>
      </c>
      <c r="X6930">
        <v>0.99988999999999995</v>
      </c>
      <c r="Y6930">
        <v>-0.22459570000000001</v>
      </c>
      <c r="Z6930">
        <v>1.9189129999999999E-2</v>
      </c>
      <c r="AA6930">
        <v>0.97426310000000005</v>
      </c>
      <c r="AB6930">
        <v>23</v>
      </c>
      <c r="AC6930">
        <v>11.669099999999901</v>
      </c>
      <c r="AD6930">
        <v>-1.07070154</v>
      </c>
      <c r="AE6930">
        <v>-54.225729999999999</v>
      </c>
      <c r="AF6930">
        <v>-12.503202420499299</v>
      </c>
      <c r="AG6930">
        <v>-1.07070154</v>
      </c>
      <c r="AH6930">
        <v>54.0182940806136</v>
      </c>
      <c r="AI6930">
        <v>91.106276094702196</v>
      </c>
      <c r="AJ6930">
        <v>103.03231705431099</v>
      </c>
      <c r="AK6930">
        <v>55.4567630495632</v>
      </c>
      <c r="AL6930">
        <v>90.698746235582206</v>
      </c>
      <c r="AM6930">
        <v>89.5163512528203</v>
      </c>
      <c r="AN6930">
        <v>0.99999998784145006</v>
      </c>
    </row>
    <row r="6931" spans="1:40" x14ac:dyDescent="0.25">
      <c r="A6931" t="str">
        <f>"20190312154102179"</f>
        <v>20190312154102179</v>
      </c>
      <c r="B6931" t="str">
        <f>"1552376462173221"</f>
        <v>1552376462173221</v>
      </c>
      <c r="C6931" t="s">
        <v>40</v>
      </c>
      <c r="D6931">
        <v>4.2253740000000004</v>
      </c>
      <c r="E6931">
        <v>0.40937770000000001</v>
      </c>
      <c r="F6931" t="s">
        <v>69</v>
      </c>
      <c r="G6931">
        <v>-410.05950000000001</v>
      </c>
      <c r="H6931" s="1">
        <v>-3.7490559999999999E-6</v>
      </c>
      <c r="I6931">
        <v>37.582349999999998</v>
      </c>
      <c r="J6931">
        <v>-421.62920000000003</v>
      </c>
      <c r="K6931">
        <v>1.1090390000000001</v>
      </c>
      <c r="L6931">
        <v>91.038880000000006</v>
      </c>
      <c r="M6931">
        <v>-1.5456640000000001E-2</v>
      </c>
      <c r="N6931">
        <v>0</v>
      </c>
      <c r="O6931">
        <v>-0.99986819999999998</v>
      </c>
      <c r="P6931">
        <v>-2.354024E-2</v>
      </c>
      <c r="Q6931">
        <v>-1.680479E-2</v>
      </c>
      <c r="R6931">
        <v>-0.99958210000000003</v>
      </c>
      <c r="S6931">
        <v>0.65075680000000002</v>
      </c>
      <c r="T6931">
        <v>-6.2391759999999997E-2</v>
      </c>
      <c r="U6931">
        <v>-3.0158079999999998</v>
      </c>
      <c r="V6931">
        <v>8.0876490000000006E-3</v>
      </c>
      <c r="W6931">
        <v>-1.1767049999999999E-2</v>
      </c>
      <c r="X6931">
        <v>0.99989810000000001</v>
      </c>
      <c r="Y6931">
        <v>-0.22596810000000001</v>
      </c>
      <c r="Z6931">
        <v>2.0180469999999999E-2</v>
      </c>
      <c r="AA6931">
        <v>0.97392570000000001</v>
      </c>
      <c r="AB6931">
        <v>23</v>
      </c>
      <c r="AC6931">
        <v>11.569699999999999</v>
      </c>
      <c r="AD6931">
        <v>-1.109042749056</v>
      </c>
      <c r="AE6931">
        <v>-53.456530000000001</v>
      </c>
      <c r="AF6931">
        <v>-12.389492276373799</v>
      </c>
      <c r="AG6931">
        <v>-1.109042749056</v>
      </c>
      <c r="AH6931">
        <v>53.249418809550299</v>
      </c>
      <c r="AI6931">
        <v>91.162113088483594</v>
      </c>
      <c r="AJ6931">
        <v>103.09792217014</v>
      </c>
      <c r="AK6931">
        <v>54.6829964270472</v>
      </c>
      <c r="AL6931">
        <v>90.674217833730097</v>
      </c>
      <c r="AM6931">
        <v>89.5365747281609</v>
      </c>
      <c r="AN6931">
        <v>1.0000000419578201</v>
      </c>
    </row>
    <row r="6932" spans="1:40" x14ac:dyDescent="0.25">
      <c r="A6932" t="str">
        <f>"20190312154102196"</f>
        <v>20190312154102196</v>
      </c>
      <c r="B6932" t="str">
        <f>"1552376462193716"</f>
        <v>1552376462193716</v>
      </c>
      <c r="C6932" t="s">
        <v>40</v>
      </c>
      <c r="D6932">
        <v>4.3065170000000004</v>
      </c>
      <c r="E6932">
        <v>0.40941630000000001</v>
      </c>
      <c r="F6932" t="s">
        <v>42</v>
      </c>
      <c r="G6932">
        <v>-410.7072</v>
      </c>
      <c r="H6932" s="1">
        <v>-2.8111059999999998E-6</v>
      </c>
      <c r="I6932">
        <v>40.642859999999999</v>
      </c>
      <c r="J6932">
        <v>-421.63200000000001</v>
      </c>
      <c r="K6932">
        <v>1.1090530000000001</v>
      </c>
      <c r="L6932">
        <v>90.8476</v>
      </c>
      <c r="M6932">
        <v>-1.540943E-2</v>
      </c>
      <c r="N6932">
        <v>0</v>
      </c>
      <c r="O6932">
        <v>-0.99986839999999999</v>
      </c>
      <c r="P6932">
        <v>-2.2595230000000001E-2</v>
      </c>
      <c r="Q6932">
        <v>-1.6503469999999999E-2</v>
      </c>
      <c r="R6932">
        <v>-0.99960859999999996</v>
      </c>
      <c r="S6932">
        <v>0.6535339</v>
      </c>
      <c r="T6932">
        <v>-6.6361429999999999E-2</v>
      </c>
      <c r="U6932">
        <v>-3.015533</v>
      </c>
      <c r="V6932">
        <v>7.189539E-3</v>
      </c>
      <c r="W6932">
        <v>-1.139285E-2</v>
      </c>
      <c r="X6932">
        <v>0.9999093</v>
      </c>
      <c r="Y6932">
        <v>-0.22679150000000001</v>
      </c>
      <c r="Z6932">
        <v>2.1461640000000001E-2</v>
      </c>
      <c r="AA6932">
        <v>0.97370679999999998</v>
      </c>
      <c r="AB6932">
        <v>23</v>
      </c>
      <c r="AC6932">
        <v>10.9247999999999</v>
      </c>
      <c r="AD6932">
        <v>-1.109055811106</v>
      </c>
      <c r="AE6932">
        <v>-50.204740000000001</v>
      </c>
      <c r="AF6932">
        <v>-11.6916916595095</v>
      </c>
      <c r="AG6932">
        <v>-1.109055811106</v>
      </c>
      <c r="AH6932">
        <v>50.007131774370102</v>
      </c>
      <c r="AI6932">
        <v>91.237142714082907</v>
      </c>
      <c r="AJ6932">
        <v>103.159403489328</v>
      </c>
      <c r="AK6932">
        <v>51.367683293607897</v>
      </c>
      <c r="AL6932">
        <v>90.652776312630493</v>
      </c>
      <c r="AM6932">
        <v>89.588039492390095</v>
      </c>
      <c r="AN6932">
        <v>1.00000004736432</v>
      </c>
    </row>
    <row r="6933" spans="1:40" x14ac:dyDescent="0.25">
      <c r="A6933" t="str">
        <f>"20190312154102220"</f>
        <v>20190312154102220</v>
      </c>
      <c r="B6933" t="str">
        <f>"1552376462213239"</f>
        <v>1552376462213239</v>
      </c>
      <c r="C6933" t="s">
        <v>40</v>
      </c>
      <c r="D6933">
        <v>4.2309989999999997</v>
      </c>
      <c r="E6933">
        <v>0.4090819</v>
      </c>
      <c r="F6933" t="s">
        <v>42</v>
      </c>
      <c r="G6933">
        <v>-410.91390000000001</v>
      </c>
      <c r="H6933" s="1">
        <v>-3.08346E-6</v>
      </c>
      <c r="I6933">
        <v>41.604759999999999</v>
      </c>
      <c r="J6933">
        <v>-421.63569999999999</v>
      </c>
      <c r="K6933">
        <v>1.109067</v>
      </c>
      <c r="L6933">
        <v>90.609409999999997</v>
      </c>
      <c r="M6933">
        <v>-1.5349369999999999E-2</v>
      </c>
      <c r="N6933">
        <v>0</v>
      </c>
      <c r="O6933">
        <v>-0.99986889999999995</v>
      </c>
      <c r="P6933">
        <v>-2.171818E-2</v>
      </c>
      <c r="Q6933">
        <v>-1.616896E-2</v>
      </c>
      <c r="R6933">
        <v>-0.99963360000000001</v>
      </c>
      <c r="S6933">
        <v>0.65621949999999996</v>
      </c>
      <c r="T6933">
        <v>-6.7901970000000006E-2</v>
      </c>
      <c r="U6933">
        <v>-3.0148929999999998</v>
      </c>
      <c r="V6933">
        <v>6.3722619999999897E-3</v>
      </c>
      <c r="W6933">
        <v>-1.0964959999999999E-2</v>
      </c>
      <c r="X6933">
        <v>0.99991960000000002</v>
      </c>
      <c r="Y6933">
        <v>-0.22760169999999999</v>
      </c>
      <c r="Z6933">
        <v>2.196006E-2</v>
      </c>
      <c r="AA6933">
        <v>0.9735066</v>
      </c>
      <c r="AB6933">
        <v>23</v>
      </c>
      <c r="AC6933">
        <v>10.721799999999901</v>
      </c>
      <c r="AD6933">
        <v>-1.10907008346</v>
      </c>
      <c r="AE6933">
        <v>-49.004649999999998</v>
      </c>
      <c r="AF6933">
        <v>-11.4671321506941</v>
      </c>
      <c r="AG6933">
        <v>-1.10907008346</v>
      </c>
      <c r="AH6933">
        <v>48.810442804506103</v>
      </c>
      <c r="AI6933">
        <v>91.267161895932801</v>
      </c>
      <c r="AJ6933">
        <v>103.220855812732</v>
      </c>
      <c r="AK6933">
        <v>50.151614958877097</v>
      </c>
      <c r="AL6933">
        <v>90.628258506886695</v>
      </c>
      <c r="AM6933">
        <v>89.634871867587606</v>
      </c>
      <c r="AN6933">
        <v>1.00000002126747</v>
      </c>
    </row>
    <row r="6934" spans="1:40" x14ac:dyDescent="0.25">
      <c r="A6934" t="str">
        <f>"20190312154102233"</f>
        <v>20190312154102233</v>
      </c>
      <c r="B6934" t="str">
        <f>"1552376462222997"</f>
        <v>1552376462222997</v>
      </c>
      <c r="C6934" t="s">
        <v>40</v>
      </c>
      <c r="D6934">
        <v>4.2708180000000002</v>
      </c>
      <c r="E6934">
        <v>0.40914509999999998</v>
      </c>
      <c r="F6934" t="s">
        <v>42</v>
      </c>
      <c r="G6934">
        <v>-410.82470000000001</v>
      </c>
      <c r="H6934" s="1">
        <v>-3.0134639999999999E-6</v>
      </c>
      <c r="I6934">
        <v>41.329360000000001</v>
      </c>
      <c r="J6934">
        <v>-421.6379</v>
      </c>
      <c r="K6934">
        <v>1.109078</v>
      </c>
      <c r="L6934">
        <v>90.457120000000003</v>
      </c>
      <c r="M6934">
        <v>-1.530945E-2</v>
      </c>
      <c r="N6934">
        <v>0</v>
      </c>
      <c r="O6934">
        <v>-0.99986909999999896</v>
      </c>
      <c r="P6934">
        <v>-2.1249379999999998E-2</v>
      </c>
      <c r="Q6934">
        <v>-1.608012E-2</v>
      </c>
      <c r="R6934">
        <v>-0.99964509999999995</v>
      </c>
      <c r="S6934">
        <v>0.66128540000000002</v>
      </c>
      <c r="T6934">
        <v>-6.7839860000000002E-2</v>
      </c>
      <c r="U6934">
        <v>-3.0143740000000001</v>
      </c>
      <c r="V6934">
        <v>5.9432769999999899E-3</v>
      </c>
      <c r="W6934">
        <v>-1.081327E-2</v>
      </c>
      <c r="X6934">
        <v>0.99992389999999998</v>
      </c>
      <c r="Y6934">
        <v>-0.229159</v>
      </c>
      <c r="Z6934">
        <v>2.1935730000000001E-2</v>
      </c>
      <c r="AA6934">
        <v>0.97314179999999995</v>
      </c>
      <c r="AB6934">
        <v>23</v>
      </c>
      <c r="AC6934">
        <v>10.813199999999901</v>
      </c>
      <c r="AD6934">
        <v>-1.1090810134639999</v>
      </c>
      <c r="AE6934">
        <v>-49.127759999999903</v>
      </c>
      <c r="AF6934">
        <v>-11.5584434136737</v>
      </c>
      <c r="AG6934">
        <v>-1.1090810134639999</v>
      </c>
      <c r="AH6934">
        <v>48.932669597741203</v>
      </c>
      <c r="AI6934">
        <v>91.263649473036494</v>
      </c>
      <c r="AJ6934">
        <v>103.29029689567</v>
      </c>
      <c r="AK6934">
        <v>50.291488631807603</v>
      </c>
      <c r="AL6934">
        <v>90.619566791047902</v>
      </c>
      <c r="AM6934">
        <v>89.659453405751407</v>
      </c>
      <c r="AN6934">
        <v>1.0000000275704</v>
      </c>
    </row>
    <row r="6935" spans="1:40" x14ac:dyDescent="0.25">
      <c r="A6935" t="str">
        <f>"20190312154102253"</f>
        <v>20190312154102253</v>
      </c>
      <c r="B6935" t="str">
        <f>"1552376462243493"</f>
        <v>1552376462243493</v>
      </c>
      <c r="C6935" t="s">
        <v>40</v>
      </c>
      <c r="D6935">
        <v>4.4873710000000004</v>
      </c>
      <c r="E6935">
        <v>0.45997690000000002</v>
      </c>
      <c r="F6935" t="s">
        <v>69</v>
      </c>
      <c r="G6935">
        <v>-410.34629999999999</v>
      </c>
      <c r="H6935" s="1">
        <v>-2.8879389999999999E-6</v>
      </c>
      <c r="I6935">
        <v>39.040509999999998</v>
      </c>
      <c r="J6935">
        <v>-421.64089999999999</v>
      </c>
      <c r="K6935">
        <v>1.1090960000000001</v>
      </c>
      <c r="L6935">
        <v>90.260679999999994</v>
      </c>
      <c r="M6935">
        <v>-1.525606E-2</v>
      </c>
      <c r="N6935">
        <v>0</v>
      </c>
      <c r="O6935">
        <v>-0.99986960000000003</v>
      </c>
      <c r="P6935">
        <v>-2.1299140000000001E-2</v>
      </c>
      <c r="Q6935">
        <v>-1.5958460000000001E-2</v>
      </c>
      <c r="R6935">
        <v>-0.99964609999999998</v>
      </c>
      <c r="S6935">
        <v>0.66192629999999997</v>
      </c>
      <c r="T6935">
        <v>-6.5015550000000005E-2</v>
      </c>
      <c r="U6935">
        <v>-3.0140989999999999</v>
      </c>
      <c r="V6935">
        <v>6.0464439999999998E-3</v>
      </c>
      <c r="W6935">
        <v>-1.06073E-2</v>
      </c>
      <c r="X6935">
        <v>0.99992539999999996</v>
      </c>
      <c r="Y6935">
        <v>-0.22932720000000001</v>
      </c>
      <c r="Z6935">
        <v>2.102393E-2</v>
      </c>
      <c r="AA6935">
        <v>0.9731223</v>
      </c>
      <c r="AB6935">
        <v>23</v>
      </c>
      <c r="AC6935">
        <v>11.294600000000001</v>
      </c>
      <c r="AD6935">
        <v>-1.10909888793899</v>
      </c>
      <c r="AE6935">
        <v>-51.220170000000003</v>
      </c>
      <c r="AF6935">
        <v>-12.0693178233313</v>
      </c>
      <c r="AG6935">
        <v>-1.10909888793899</v>
      </c>
      <c r="AH6935">
        <v>51.0190828970889</v>
      </c>
      <c r="AI6935">
        <v>91.2119121834303</v>
      </c>
      <c r="AJ6935">
        <v>103.30948441280999</v>
      </c>
      <c r="AK6935">
        <v>52.438967883853699</v>
      </c>
      <c r="AL6935">
        <v>90.6077649559939</v>
      </c>
      <c r="AM6935">
        <v>89.6535426543943</v>
      </c>
      <c r="AN6935">
        <v>0.99999993993174496</v>
      </c>
    </row>
    <row r="6936" spans="1:40" x14ac:dyDescent="0.25">
      <c r="A6936" t="str">
        <f>"20190312154102267"</f>
        <v>20190312154102267</v>
      </c>
      <c r="B6936" t="str">
        <f>"1552376462253253"</f>
        <v>1552376462253253</v>
      </c>
      <c r="C6936" t="s">
        <v>40</v>
      </c>
      <c r="D6936">
        <v>4.3454949999999997</v>
      </c>
      <c r="E6936">
        <v>0.4728446</v>
      </c>
      <c r="F6936" t="s">
        <v>84</v>
      </c>
      <c r="G6936">
        <v>-414.04329999999999</v>
      </c>
      <c r="H6936">
        <v>0.32593719999999998</v>
      </c>
      <c r="I6936">
        <v>0.53796580000000005</v>
      </c>
      <c r="J6936">
        <v>-421.6431</v>
      </c>
      <c r="K6936">
        <v>1.1091089999999999</v>
      </c>
      <c r="L6936">
        <v>90.109279999999998</v>
      </c>
      <c r="M6936">
        <v>-1.5212109999999999E-2</v>
      </c>
      <c r="N6936">
        <v>0</v>
      </c>
      <c r="O6936">
        <v>-0.99986960000000003</v>
      </c>
      <c r="P6936">
        <v>-2.1334249999999999E-2</v>
      </c>
      <c r="Q6936">
        <v>-1.5848910000000001E-2</v>
      </c>
      <c r="R6936">
        <v>-0.99964679999999995</v>
      </c>
      <c r="S6936">
        <v>0.25454710000000003</v>
      </c>
      <c r="T6936">
        <v>-2.6239869999999998E-2</v>
      </c>
      <c r="U6936">
        <v>-3.0060730000000002</v>
      </c>
      <c r="V6936">
        <v>6.1255249999999997E-3</v>
      </c>
      <c r="W6936">
        <v>-1.0430750000000001E-2</v>
      </c>
      <c r="X6936">
        <v>0.99992689999999995</v>
      </c>
      <c r="Y6936">
        <v>-9.9520810000000001E-2</v>
      </c>
      <c r="Z6936">
        <v>8.6898919999999994E-3</v>
      </c>
      <c r="AA6936">
        <v>0.99499760000000004</v>
      </c>
      <c r="AB6936">
        <v>23</v>
      </c>
      <c r="AC6936">
        <v>7.5998000000000099</v>
      </c>
      <c r="AD6936">
        <v>-0.78317179999999997</v>
      </c>
      <c r="AE6936">
        <v>-89.571314200000003</v>
      </c>
      <c r="AF6936">
        <v>-8.9608291353964091</v>
      </c>
      <c r="AG6936">
        <v>-0.78317179999999997</v>
      </c>
      <c r="AH6936">
        <v>89.438550146334407</v>
      </c>
      <c r="AI6936">
        <v>90.499200576999499</v>
      </c>
      <c r="AJ6936">
        <v>95.721359168602802</v>
      </c>
      <c r="AK6936">
        <v>89.889732834959901</v>
      </c>
      <c r="AL6936">
        <v>90.597648751674498</v>
      </c>
      <c r="AM6936">
        <v>89.649012003183003</v>
      </c>
      <c r="AN6936">
        <v>1.0000000639728399</v>
      </c>
    </row>
    <row r="6937" spans="1:40" x14ac:dyDescent="0.25">
      <c r="A6937" t="str">
        <f>"20190312154102288"</f>
        <v>20190312154102288</v>
      </c>
      <c r="B6937" t="str">
        <f>"1552376462273749"</f>
        <v>1552376462273749</v>
      </c>
      <c r="C6937" t="s">
        <v>40</v>
      </c>
      <c r="D6937">
        <v>4.3040699999999896</v>
      </c>
      <c r="E6937">
        <v>0.4924482</v>
      </c>
      <c r="F6937" t="s">
        <v>69</v>
      </c>
      <c r="G6937">
        <v>-417.67829999999998</v>
      </c>
      <c r="H6937" s="1">
        <v>-1.388684E-5</v>
      </c>
      <c r="I6937">
        <v>11.859629999999999</v>
      </c>
      <c r="J6937">
        <v>-421.64620000000002</v>
      </c>
      <c r="K6937">
        <v>1.1091219999999999</v>
      </c>
      <c r="L6937">
        <v>89.900599999999997</v>
      </c>
      <c r="M6937">
        <v>-1.514648E-2</v>
      </c>
      <c r="N6937">
        <v>0</v>
      </c>
      <c r="O6937">
        <v>-0.99987029999999999</v>
      </c>
      <c r="P6937">
        <v>-2.1671719999999998E-2</v>
      </c>
      <c r="Q6937">
        <v>-1.56787E-2</v>
      </c>
      <c r="R6937">
        <v>-0.99964249999999999</v>
      </c>
      <c r="S6937">
        <v>0.1521912</v>
      </c>
      <c r="T6937">
        <v>-4.2573930000000003E-2</v>
      </c>
      <c r="U6937">
        <v>-3.0036320000000001</v>
      </c>
      <c r="V6937">
        <v>6.5287380000000001E-3</v>
      </c>
      <c r="W6937">
        <v>-1.0165469999999999E-2</v>
      </c>
      <c r="X6937">
        <v>0.99992700000000001</v>
      </c>
      <c r="Y6937">
        <v>-6.5720580000000001E-2</v>
      </c>
      <c r="Z6937">
        <v>1.4145899999999999E-2</v>
      </c>
      <c r="AA6937">
        <v>0.99773780000000001</v>
      </c>
      <c r="AB6937">
        <v>23</v>
      </c>
      <c r="AC6937">
        <v>3.9679000000000402</v>
      </c>
      <c r="AD6937">
        <v>-1.1091358868400001</v>
      </c>
      <c r="AE6937">
        <v>-78.040970000000002</v>
      </c>
      <c r="AF6937">
        <v>-5.1484712689660999</v>
      </c>
      <c r="AG6937">
        <v>-1.1091358868400001</v>
      </c>
      <c r="AH6937">
        <v>77.956211112615804</v>
      </c>
      <c r="AI6937">
        <v>90.813359272602796</v>
      </c>
      <c r="AJ6937">
        <v>93.778504756969497</v>
      </c>
      <c r="AK6937">
        <v>78.133909347079097</v>
      </c>
      <c r="AL6937">
        <v>90.582448569201503</v>
      </c>
      <c r="AM6937">
        <v>89.625908873867701</v>
      </c>
      <c r="AN6937">
        <v>0.99999998326459605</v>
      </c>
    </row>
    <row r="6938" spans="1:40" x14ac:dyDescent="0.25">
      <c r="A6938" t="str">
        <f>"20190312154102310"</f>
        <v>20190312154102310</v>
      </c>
      <c r="B6938" t="str">
        <f>"1552376462303029"</f>
        <v>1552376462303029</v>
      </c>
      <c r="C6938" t="s">
        <v>40</v>
      </c>
      <c r="D6938">
        <v>4.2367109999999997</v>
      </c>
      <c r="E6938">
        <v>0.50575079999999994</v>
      </c>
      <c r="F6938" t="s">
        <v>69</v>
      </c>
      <c r="G6938">
        <v>-421.75889999999998</v>
      </c>
      <c r="H6938" s="1">
        <v>-1.04186899999999E-5</v>
      </c>
      <c r="I6938">
        <v>17.98733</v>
      </c>
      <c r="J6938">
        <v>-421.6497</v>
      </c>
      <c r="K6938">
        <v>1.109146</v>
      </c>
      <c r="L6938">
        <v>89.660679999999999</v>
      </c>
      <c r="M6938">
        <v>-1.506275E-2</v>
      </c>
      <c r="N6938">
        <v>0</v>
      </c>
      <c r="O6938">
        <v>-0.99987099999999995</v>
      </c>
      <c r="P6938">
        <v>-2.1644259999999999E-2</v>
      </c>
      <c r="Q6938">
        <v>-1.546488E-2</v>
      </c>
      <c r="R6938">
        <v>-0.99964660000000005</v>
      </c>
      <c r="S6938">
        <v>-4.699707E-3</v>
      </c>
      <c r="T6938">
        <v>-4.6273349999999998E-2</v>
      </c>
      <c r="U6938">
        <v>-3.0002439999999999</v>
      </c>
      <c r="V6938">
        <v>6.5850630000000004E-3</v>
      </c>
      <c r="W6938">
        <v>-9.8396430000000003E-3</v>
      </c>
      <c r="X6938">
        <v>0.99992990000000004</v>
      </c>
      <c r="Y6938">
        <v>-1.3496889999999999E-2</v>
      </c>
      <c r="Z6938">
        <v>1.5418029999999999E-2</v>
      </c>
      <c r="AA6938">
        <v>0.99978999999999996</v>
      </c>
      <c r="AB6938">
        <v>23</v>
      </c>
      <c r="AC6938">
        <v>-0.109199999999987</v>
      </c>
      <c r="AD6938">
        <v>-1.10915641869</v>
      </c>
      <c r="AE6938">
        <v>-71.673349999999999</v>
      </c>
      <c r="AF6938">
        <v>-0.97019458611359399</v>
      </c>
      <c r="AG6938">
        <v>-1.10915641869</v>
      </c>
      <c r="AH6938">
        <v>71.6497046397822</v>
      </c>
      <c r="AI6938">
        <v>90.886801731591802</v>
      </c>
      <c r="AJ6938">
        <v>90.775783491710399</v>
      </c>
      <c r="AK6938">
        <v>71.6648566625516</v>
      </c>
      <c r="AL6938">
        <v>90.563779117240102</v>
      </c>
      <c r="AM6938">
        <v>89.622682686524897</v>
      </c>
      <c r="AN6938">
        <v>0.99999999327154498</v>
      </c>
    </row>
    <row r="6939" spans="1:40" x14ac:dyDescent="0.25">
      <c r="A6939" t="str">
        <f>"20190312154102331"</f>
        <v>20190312154102331</v>
      </c>
      <c r="B6939" t="str">
        <f>"1552376462323525"</f>
        <v>1552376462323525</v>
      </c>
      <c r="C6939" t="s">
        <v>40</v>
      </c>
      <c r="D6939">
        <v>4.188472</v>
      </c>
      <c r="E6939">
        <v>0.51033090000000003</v>
      </c>
      <c r="F6939" t="s">
        <v>69</v>
      </c>
      <c r="G6939">
        <v>-424.34190000000001</v>
      </c>
      <c r="H6939" s="1">
        <v>-9.3655780000000004E-6</v>
      </c>
      <c r="I6939">
        <v>16.685040000000001</v>
      </c>
      <c r="J6939">
        <v>-421.65309999999999</v>
      </c>
      <c r="K6939">
        <v>1.109162</v>
      </c>
      <c r="L6939">
        <v>89.434110000000004</v>
      </c>
      <c r="M6939">
        <v>-1.497476E-2</v>
      </c>
      <c r="N6939">
        <v>0</v>
      </c>
      <c r="O6939">
        <v>-0.99987170000000003</v>
      </c>
      <c r="P6939">
        <v>-2.1092030000000001E-2</v>
      </c>
      <c r="Q6939">
        <v>-1.5401379999999999E-2</v>
      </c>
      <c r="R6939">
        <v>-0.99965930000000003</v>
      </c>
      <c r="S6939">
        <v>-0.11059570000000001</v>
      </c>
      <c r="T6939">
        <v>-4.5565840000000003E-2</v>
      </c>
      <c r="U6939">
        <v>-2.9979550000000001</v>
      </c>
      <c r="V6939">
        <v>6.1208449999999998E-3</v>
      </c>
      <c r="W6939">
        <v>-9.6695700000000006E-3</v>
      </c>
      <c r="X6939">
        <v>0.99993449999999995</v>
      </c>
      <c r="Y6939">
        <v>2.1892100000000001E-2</v>
      </c>
      <c r="Z6939">
        <v>1.518768E-2</v>
      </c>
      <c r="AA6939">
        <v>0.99964500000000001</v>
      </c>
      <c r="AB6939">
        <v>24</v>
      </c>
      <c r="AC6939">
        <v>-2.6888000000000098</v>
      </c>
      <c r="AD6939">
        <v>-1.109171365578</v>
      </c>
      <c r="AE6939">
        <v>-72.749069999999904</v>
      </c>
      <c r="AF6939">
        <v>1.59870989676974</v>
      </c>
      <c r="AG6939">
        <v>-1.109171365578</v>
      </c>
      <c r="AH6939">
        <v>72.764285829292007</v>
      </c>
      <c r="AI6939">
        <v>90.8731012194595</v>
      </c>
      <c r="AJ6939">
        <v>88.741352384931801</v>
      </c>
      <c r="AK6939">
        <v>72.790297613755897</v>
      </c>
      <c r="AL6939">
        <v>90.554034193104997</v>
      </c>
      <c r="AM6939">
        <v>89.649282822557296</v>
      </c>
      <c r="AN6939">
        <v>0.99999998480887398</v>
      </c>
    </row>
    <row r="6940" spans="1:40" x14ac:dyDescent="0.25">
      <c r="A6940" t="str">
        <f>"20190312154102345"</f>
        <v>20190312154102345</v>
      </c>
      <c r="B6940" t="str">
        <f>"1552376462333284"</f>
        <v>1552376462333284</v>
      </c>
      <c r="C6940" t="s">
        <v>40</v>
      </c>
      <c r="D6940">
        <v>4.188885</v>
      </c>
      <c r="E6940">
        <v>0.51200469999999998</v>
      </c>
      <c r="F6940" t="s">
        <v>69</v>
      </c>
      <c r="G6940">
        <v>-425.53359999999998</v>
      </c>
      <c r="H6940">
        <v>9.8904519999999992E-3</v>
      </c>
      <c r="I6940">
        <v>9.6162779999999994</v>
      </c>
      <c r="J6940">
        <v>-421.65530000000001</v>
      </c>
      <c r="K6940">
        <v>1.109173</v>
      </c>
      <c r="L6940">
        <v>89.284120000000001</v>
      </c>
      <c r="M6940">
        <v>-1.491082E-2</v>
      </c>
      <c r="N6940">
        <v>0</v>
      </c>
      <c r="O6940">
        <v>-0.99987199999999998</v>
      </c>
      <c r="P6940">
        <v>-2.070878E-2</v>
      </c>
      <c r="Q6940">
        <v>-1.533968E-2</v>
      </c>
      <c r="R6940">
        <v>-0.9996678</v>
      </c>
      <c r="S6940">
        <v>-0.1457214</v>
      </c>
      <c r="T6940">
        <v>-4.1279789999999997E-2</v>
      </c>
      <c r="U6940">
        <v>-2.9973139999999998</v>
      </c>
      <c r="V6940">
        <v>5.8015330000000002E-3</v>
      </c>
      <c r="W6940">
        <v>-9.5377870000000007E-3</v>
      </c>
      <c r="X6940">
        <v>0.99993770000000004</v>
      </c>
      <c r="Y6940">
        <v>3.3656510000000001E-2</v>
      </c>
      <c r="Z6940">
        <v>1.3756640000000001E-2</v>
      </c>
      <c r="AA6940">
        <v>0.99933879999999997</v>
      </c>
      <c r="AB6940">
        <v>24</v>
      </c>
      <c r="AC6940">
        <v>-3.8782999999999599</v>
      </c>
      <c r="AD6940">
        <v>-1.0992825479999999</v>
      </c>
      <c r="AE6940">
        <v>-79.667841999999993</v>
      </c>
      <c r="AF6940">
        <v>2.6894251467450201</v>
      </c>
      <c r="AG6940">
        <v>-1.0992825479999999</v>
      </c>
      <c r="AH6940">
        <v>79.701675618446004</v>
      </c>
      <c r="AI6940">
        <v>90.789750478824899</v>
      </c>
      <c r="AJ6940">
        <v>88.067364783688404</v>
      </c>
      <c r="AK6940">
        <v>79.754614450376906</v>
      </c>
      <c r="AL6940">
        <v>90.546483218264697</v>
      </c>
      <c r="AM6940">
        <v>89.667579664316804</v>
      </c>
      <c r="AN6940">
        <v>1.0000000155236399</v>
      </c>
    </row>
    <row r="6941" spans="1:40" x14ac:dyDescent="0.25">
      <c r="A6941" t="str">
        <f>"20190312154102365"</f>
        <v>20190312154102365</v>
      </c>
      <c r="B6941" t="str">
        <f>"1552376462353780"</f>
        <v>1552376462353780</v>
      </c>
      <c r="C6941" t="s">
        <v>40</v>
      </c>
      <c r="D6941">
        <v>4.2360819999999997</v>
      </c>
      <c r="E6941">
        <v>0.51453209999999905</v>
      </c>
      <c r="F6941" t="s">
        <v>69</v>
      </c>
      <c r="G6941">
        <v>-425.86410000000001</v>
      </c>
      <c r="H6941">
        <v>5.5130970000000001E-2</v>
      </c>
      <c r="I6941">
        <v>9.6111199999999997</v>
      </c>
      <c r="J6941">
        <v>-421.65820000000002</v>
      </c>
      <c r="K6941">
        <v>1.1091879999999901</v>
      </c>
      <c r="L6941">
        <v>89.079679999999996</v>
      </c>
      <c r="M6941">
        <v>-1.48167E-2</v>
      </c>
      <c r="N6941">
        <v>0</v>
      </c>
      <c r="O6941">
        <v>-0.99987289999999995</v>
      </c>
      <c r="P6941">
        <v>-2.0045090000000002E-2</v>
      </c>
      <c r="Q6941">
        <v>-1.5323160000000001E-2</v>
      </c>
      <c r="R6941">
        <v>-0.99968170000000001</v>
      </c>
      <c r="S6941">
        <v>-0.1583252</v>
      </c>
      <c r="T6941">
        <v>-3.9650440000000002E-2</v>
      </c>
      <c r="U6941">
        <v>-2.9971009999999998</v>
      </c>
      <c r="V6941">
        <v>5.2319669999999997E-3</v>
      </c>
      <c r="W6941">
        <v>-9.4276959999999993E-3</v>
      </c>
      <c r="X6941">
        <v>0.99994190000000005</v>
      </c>
      <c r="Y6941">
        <v>3.7945840000000002E-2</v>
      </c>
      <c r="Z6941">
        <v>1.321229E-2</v>
      </c>
      <c r="AA6941">
        <v>0.99919250000000004</v>
      </c>
      <c r="AB6941">
        <v>24</v>
      </c>
      <c r="AC6941">
        <v>-4.2058999999999802</v>
      </c>
      <c r="AD6941">
        <v>-1.0540570299999901</v>
      </c>
      <c r="AE6941">
        <v>-79.468559999999997</v>
      </c>
      <c r="AF6941">
        <v>3.02742495157481</v>
      </c>
      <c r="AG6941">
        <v>-1.0540570299999901</v>
      </c>
      <c r="AH6941">
        <v>79.5082060772163</v>
      </c>
      <c r="AI6941">
        <v>90.758987773436701</v>
      </c>
      <c r="AJ6941">
        <v>87.8194085330843</v>
      </c>
      <c r="AK6941">
        <v>79.572804221524095</v>
      </c>
      <c r="AL6941">
        <v>90.540175177711504</v>
      </c>
      <c r="AM6941">
        <v>89.700215690398593</v>
      </c>
      <c r="AN6941">
        <v>1.00000002915308</v>
      </c>
    </row>
    <row r="6942" spans="1:40" x14ac:dyDescent="0.25">
      <c r="A6942" t="str">
        <f>"20190312154102379"</f>
        <v>20190312154102379</v>
      </c>
      <c r="B6942" t="str">
        <f>"1552376462373301"</f>
        <v>1552376462373301</v>
      </c>
      <c r="C6942" t="s">
        <v>40</v>
      </c>
      <c r="D6942">
        <v>4.2275559999999999</v>
      </c>
      <c r="E6942">
        <v>0.51647109999999996</v>
      </c>
      <c r="F6942" t="s">
        <v>69</v>
      </c>
      <c r="G6942">
        <v>-426.5351</v>
      </c>
      <c r="H6942">
        <v>7.9988000000000004E-2</v>
      </c>
      <c r="I6942">
        <v>6.0498200000000004</v>
      </c>
      <c r="J6942">
        <v>-421.66030000000001</v>
      </c>
      <c r="K6942">
        <v>1.1092010000000001</v>
      </c>
      <c r="L6942">
        <v>88.92877</v>
      </c>
      <c r="M6942">
        <v>-1.474254E-2</v>
      </c>
      <c r="N6942">
        <v>0</v>
      </c>
      <c r="O6942">
        <v>-0.99987360000000003</v>
      </c>
      <c r="P6942">
        <v>-1.952839E-2</v>
      </c>
      <c r="Q6942">
        <v>-1.562119E-2</v>
      </c>
      <c r="R6942">
        <v>-0.99968729999999995</v>
      </c>
      <c r="S6942">
        <v>-0.1760254</v>
      </c>
      <c r="T6942">
        <v>-3.7147640000000003E-2</v>
      </c>
      <c r="U6942">
        <v>-2.9968569999999999</v>
      </c>
      <c r="V6942">
        <v>4.7895489999999997E-3</v>
      </c>
      <c r="W6942">
        <v>-9.6587860000000008E-3</v>
      </c>
      <c r="X6942">
        <v>0.99994190000000005</v>
      </c>
      <c r="Y6942">
        <v>4.3907309999999998E-2</v>
      </c>
      <c r="Z6942">
        <v>1.237592E-2</v>
      </c>
      <c r="AA6942">
        <v>0.99895889999999998</v>
      </c>
      <c r="AB6942">
        <v>24</v>
      </c>
      <c r="AC6942">
        <v>-4.8747999999999898</v>
      </c>
      <c r="AD6942">
        <v>-1.0292129999999999</v>
      </c>
      <c r="AE6942">
        <v>-82.878950000000003</v>
      </c>
      <c r="AF6942">
        <v>3.6518410925496299</v>
      </c>
      <c r="AG6942">
        <v>-1.0292129999999999</v>
      </c>
      <c r="AH6942">
        <v>82.929066160508796</v>
      </c>
      <c r="AI6942">
        <v>90.710359504114507</v>
      </c>
      <c r="AJ6942">
        <v>87.478568092188397</v>
      </c>
      <c r="AK6942">
        <v>83.015813174470793</v>
      </c>
      <c r="AL6942">
        <v>90.553416268377504</v>
      </c>
      <c r="AM6942">
        <v>89.725565210467906</v>
      </c>
      <c r="AN6942">
        <v>1.0000000176511099</v>
      </c>
    </row>
    <row r="6943" spans="1:40" x14ac:dyDescent="0.25">
      <c r="A6943" t="str">
        <f>"20190312154102391"</f>
        <v>20190312154102391</v>
      </c>
      <c r="B6943" t="str">
        <f>"1552376462383061"</f>
        <v>1552376462383061</v>
      </c>
      <c r="C6943" t="s">
        <v>40</v>
      </c>
      <c r="D6943">
        <v>4.2140339999999998</v>
      </c>
      <c r="E6943">
        <v>0.51716260000000003</v>
      </c>
      <c r="F6943" t="s">
        <v>43</v>
      </c>
      <c r="G6943">
        <v>-427.83929999999998</v>
      </c>
      <c r="H6943">
        <v>-0.05</v>
      </c>
      <c r="I6943">
        <v>-8.4304050000000004</v>
      </c>
      <c r="J6943">
        <v>-421.66239999999999</v>
      </c>
      <c r="K6943">
        <v>1.109213</v>
      </c>
      <c r="L6943">
        <v>88.789760000000001</v>
      </c>
      <c r="M6943">
        <v>-1.466897E-2</v>
      </c>
      <c r="N6943">
        <v>0</v>
      </c>
      <c r="O6943">
        <v>-0.99987459999999995</v>
      </c>
      <c r="P6943">
        <v>-1.934845E-2</v>
      </c>
      <c r="Q6943">
        <v>-1.5772439999999999E-2</v>
      </c>
      <c r="R6943">
        <v>-0.99968869999999999</v>
      </c>
      <c r="S6943">
        <v>-0.19018550000000001</v>
      </c>
      <c r="T6943">
        <v>-3.5679699999999898E-2</v>
      </c>
      <c r="U6943">
        <v>-2.9966740000000001</v>
      </c>
      <c r="V6943">
        <v>4.6832979999999998E-3</v>
      </c>
      <c r="W6943">
        <v>-9.7516080000000002E-3</v>
      </c>
      <c r="X6943">
        <v>0.99994150000000004</v>
      </c>
      <c r="Y6943">
        <v>4.8687059999999997E-2</v>
      </c>
      <c r="Z6943">
        <v>1.188466E-2</v>
      </c>
      <c r="AA6943">
        <v>0.99874339999999995</v>
      </c>
      <c r="AB6943">
        <v>24</v>
      </c>
      <c r="AC6943">
        <v>-6.1768999999999803</v>
      </c>
      <c r="AD6943">
        <v>-1.1592129999999901</v>
      </c>
      <c r="AE6943">
        <v>-97.220164999999994</v>
      </c>
      <c r="AF6943">
        <v>4.7494177796093302</v>
      </c>
      <c r="AG6943">
        <v>-1.1592129999999901</v>
      </c>
      <c r="AH6943">
        <v>97.286538781900404</v>
      </c>
      <c r="AI6943">
        <v>90.681860782153294</v>
      </c>
      <c r="AJ6943">
        <v>87.205104373230597</v>
      </c>
      <c r="AK6943">
        <v>97.409298181368897</v>
      </c>
      <c r="AL6943">
        <v>90.558734828941795</v>
      </c>
      <c r="AM6943">
        <v>89.731653054114403</v>
      </c>
      <c r="AN6943">
        <v>1.00000001528049</v>
      </c>
    </row>
    <row r="6944" spans="1:40" x14ac:dyDescent="0.25">
      <c r="A6944" t="str">
        <f>"20190312154102404"</f>
        <v>20190312154102404</v>
      </c>
      <c r="B6944" t="str">
        <f>"1552376462393798"</f>
        <v>1552376462393798</v>
      </c>
      <c r="C6944" t="s">
        <v>40</v>
      </c>
      <c r="D6944">
        <v>4.2108089999999896</v>
      </c>
      <c r="E6944">
        <v>0.51780519999999997</v>
      </c>
      <c r="F6944" t="s">
        <v>43</v>
      </c>
      <c r="G6944">
        <v>-427.899</v>
      </c>
      <c r="H6944">
        <v>-0.05</v>
      </c>
      <c r="I6944">
        <v>-6.8659210000000002</v>
      </c>
      <c r="J6944">
        <v>-421.66419999999999</v>
      </c>
      <c r="K6944">
        <v>1.1092219999999999</v>
      </c>
      <c r="L6944">
        <v>88.660550000000001</v>
      </c>
      <c r="M6944">
        <v>-1.4598470000000001E-2</v>
      </c>
      <c r="N6944">
        <v>0</v>
      </c>
      <c r="O6944">
        <v>-0.99987510000000002</v>
      </c>
      <c r="P6944">
        <v>-1.891143E-2</v>
      </c>
      <c r="Q6944">
        <v>-1.581022E-2</v>
      </c>
      <c r="R6944">
        <v>-0.99969629999999998</v>
      </c>
      <c r="S6944">
        <v>-0.19537350000000001</v>
      </c>
      <c r="T6944">
        <v>-3.6314369999999999E-2</v>
      </c>
      <c r="U6944">
        <v>-2.9965820000000001</v>
      </c>
      <c r="V6944">
        <v>4.3168010000000003E-3</v>
      </c>
      <c r="W6944">
        <v>-9.737262E-3</v>
      </c>
      <c r="X6944">
        <v>0.99994329999999998</v>
      </c>
      <c r="Y6944">
        <v>5.0481159999999997E-2</v>
      </c>
      <c r="Z6944">
        <v>1.209521E-2</v>
      </c>
      <c r="AA6944">
        <v>0.99865170000000003</v>
      </c>
      <c r="AB6944">
        <v>24</v>
      </c>
      <c r="AC6944">
        <v>-6.2347999999999999</v>
      </c>
      <c r="AD6944">
        <v>-1.159222</v>
      </c>
      <c r="AE6944">
        <v>-95.526471000000001</v>
      </c>
      <c r="AF6944">
        <v>4.83886013493305</v>
      </c>
      <c r="AG6944">
        <v>-1.159222</v>
      </c>
      <c r="AH6944">
        <v>95.593293829051703</v>
      </c>
      <c r="AI6944">
        <v>90.693880850087993</v>
      </c>
      <c r="AJ6944">
        <v>87.1022043605238</v>
      </c>
      <c r="AK6944">
        <v>95.722704663721998</v>
      </c>
      <c r="AL6944">
        <v>90.557912818621801</v>
      </c>
      <c r="AM6944">
        <v>89.752653033626601</v>
      </c>
      <c r="AN6944">
        <v>1.0000000261285</v>
      </c>
    </row>
    <row r="6945" spans="1:40" x14ac:dyDescent="0.25">
      <c r="A6945" t="str">
        <f>"20190312154102421"</f>
        <v>20190312154102421</v>
      </c>
      <c r="B6945" t="str">
        <f>"1552376462413317"</f>
        <v>1552376462413317</v>
      </c>
      <c r="C6945" t="s">
        <v>40</v>
      </c>
      <c r="D6945">
        <v>4.2809239999999997</v>
      </c>
      <c r="E6945">
        <v>0.51878709999999995</v>
      </c>
      <c r="F6945" t="s">
        <v>69</v>
      </c>
      <c r="G6945">
        <v>-427.23700000000002</v>
      </c>
      <c r="H6945">
        <v>7.9987849999999999E-2</v>
      </c>
      <c r="I6945">
        <v>4.7596590000000001</v>
      </c>
      <c r="J6945">
        <v>-421.66680000000002</v>
      </c>
      <c r="K6945">
        <v>1.109237</v>
      </c>
      <c r="L6945">
        <v>88.476140000000001</v>
      </c>
      <c r="M6945">
        <v>-1.449393E-2</v>
      </c>
      <c r="N6945">
        <v>0</v>
      </c>
      <c r="O6945">
        <v>-0.99987630000000005</v>
      </c>
      <c r="P6945">
        <v>-1.8989519999999999E-2</v>
      </c>
      <c r="Q6945">
        <v>-1.5627829999999999E-2</v>
      </c>
      <c r="R6945">
        <v>-0.99969779999999997</v>
      </c>
      <c r="S6945">
        <v>-0.19903560000000001</v>
      </c>
      <c r="T6945">
        <v>-3.6759500000000001E-2</v>
      </c>
      <c r="U6945">
        <v>-2.9965519999999999</v>
      </c>
      <c r="V6945">
        <v>4.4994639999999999E-3</v>
      </c>
      <c r="W6945">
        <v>-9.4840359999999995E-3</v>
      </c>
      <c r="X6945">
        <v>0.99994490000000003</v>
      </c>
      <c r="Y6945">
        <v>5.1801279999999998E-2</v>
      </c>
      <c r="Z6945">
        <v>1.2242690000000001E-2</v>
      </c>
      <c r="AA6945">
        <v>0.99858239999999998</v>
      </c>
      <c r="AB6945">
        <v>24</v>
      </c>
      <c r="AC6945">
        <v>-5.5701999999999403</v>
      </c>
      <c r="AD6945">
        <v>-1.0292491500000001</v>
      </c>
      <c r="AE6945">
        <v>-83.716481000000002</v>
      </c>
      <c r="AF6945">
        <v>4.3555559610763002</v>
      </c>
      <c r="AG6945">
        <v>-1.0292491500000001</v>
      </c>
      <c r="AH6945">
        <v>83.775815256376902</v>
      </c>
      <c r="AI6945">
        <v>90.702937210845604</v>
      </c>
      <c r="AJ6945">
        <v>87.023836936806504</v>
      </c>
      <c r="AK6945">
        <v>83.895276645431196</v>
      </c>
      <c r="AL6945">
        <v>90.543403383320296</v>
      </c>
      <c r="AM6945">
        <v>89.7421872371538</v>
      </c>
      <c r="AN6945">
        <v>0.99999999757557301</v>
      </c>
    </row>
    <row r="6946" spans="1:40" x14ac:dyDescent="0.25">
      <c r="A6946" t="str">
        <f>"20190312154102435"</f>
        <v>20190312154102435</v>
      </c>
      <c r="B6946" t="str">
        <f>"1552376462423077"</f>
        <v>1552376462423077</v>
      </c>
      <c r="C6946" t="s">
        <v>40</v>
      </c>
      <c r="D6946">
        <v>4.3140489999999998</v>
      </c>
      <c r="E6946">
        <v>0.51915529999999999</v>
      </c>
      <c r="F6946" t="s">
        <v>69</v>
      </c>
      <c r="G6946">
        <v>-427.17430000000002</v>
      </c>
      <c r="H6946">
        <v>7.9987909999999995E-2</v>
      </c>
      <c r="I6946">
        <v>8.8840430000000001</v>
      </c>
      <c r="J6946">
        <v>-421.66899999999998</v>
      </c>
      <c r="K6946">
        <v>1.1092470000000001</v>
      </c>
      <c r="L6946">
        <v>88.310059999999993</v>
      </c>
      <c r="M6946">
        <v>-1.439518E-2</v>
      </c>
      <c r="N6946">
        <v>0</v>
      </c>
      <c r="O6946">
        <v>-0.99987749999999997</v>
      </c>
      <c r="P6946">
        <v>-1.912026E-2</v>
      </c>
      <c r="Q6946">
        <v>-1.5593660000000001E-2</v>
      </c>
      <c r="R6946">
        <v>-0.99969569999999996</v>
      </c>
      <c r="S6946">
        <v>-0.2073364</v>
      </c>
      <c r="T6946">
        <v>-3.874731E-2</v>
      </c>
      <c r="U6946">
        <v>-2.9963380000000002</v>
      </c>
      <c r="V6946">
        <v>4.7290379999999996E-3</v>
      </c>
      <c r="W6946">
        <v>-9.3899589999999998E-3</v>
      </c>
      <c r="X6946">
        <v>0.99994470000000002</v>
      </c>
      <c r="Y6946">
        <v>5.4657530000000003E-2</v>
      </c>
      <c r="Z6946">
        <v>1.2903380000000001E-2</v>
      </c>
      <c r="AA6946">
        <v>0.99842180000000003</v>
      </c>
      <c r="AB6946">
        <v>24</v>
      </c>
      <c r="AC6946">
        <v>-5.5052999999999699</v>
      </c>
      <c r="AD6946">
        <v>-1.0292590899999901</v>
      </c>
      <c r="AE6946">
        <v>-79.426016999999902</v>
      </c>
      <c r="AF6946">
        <v>4.3606273694004303</v>
      </c>
      <c r="AG6946">
        <v>-1.0292590899999901</v>
      </c>
      <c r="AH6946">
        <v>79.483754415587299</v>
      </c>
      <c r="AI6946">
        <v>90.740784995256504</v>
      </c>
      <c r="AJ6946">
        <v>86.859794381051103</v>
      </c>
      <c r="AK6946">
        <v>79.609934438652203</v>
      </c>
      <c r="AL6946">
        <v>90.538012943545795</v>
      </c>
      <c r="AM6946">
        <v>89.729033117023803</v>
      </c>
      <c r="AN6946">
        <v>0.99999996909425803</v>
      </c>
    </row>
    <row r="6947" spans="1:40" x14ac:dyDescent="0.25">
      <c r="A6947" t="str">
        <f>"20190312154102450"</f>
        <v>20190312154102450</v>
      </c>
      <c r="B6947" t="str">
        <f>"1552376462443573"</f>
        <v>1552376462443573</v>
      </c>
      <c r="C6947" t="s">
        <v>40</v>
      </c>
      <c r="D6947">
        <v>4.2281890000000004</v>
      </c>
      <c r="E6947">
        <v>0.52009209999999995</v>
      </c>
      <c r="F6947" t="s">
        <v>69</v>
      </c>
      <c r="G6947">
        <v>-427.17849999999999</v>
      </c>
      <c r="H6947">
        <v>4.3995689999999997E-2</v>
      </c>
      <c r="I6947">
        <v>9.6870750000000001</v>
      </c>
      <c r="J6947">
        <v>-421.67099999999999</v>
      </c>
      <c r="K6947">
        <v>1.109259</v>
      </c>
      <c r="L6947">
        <v>88.167599999999993</v>
      </c>
      <c r="M6947">
        <v>-1.4306960000000001E-2</v>
      </c>
      <c r="N6947">
        <v>0</v>
      </c>
      <c r="O6947">
        <v>-0.99987820000000005</v>
      </c>
      <c r="P6947">
        <v>-1.899182E-2</v>
      </c>
      <c r="Q6947">
        <v>-1.5646899999999998E-2</v>
      </c>
      <c r="R6947">
        <v>-0.99969730000000001</v>
      </c>
      <c r="S6947">
        <v>-0.20996090000000001</v>
      </c>
      <c r="T6947">
        <v>-4.0596130000000001E-2</v>
      </c>
      <c r="U6947">
        <v>-2.9962770000000001</v>
      </c>
      <c r="V6947">
        <v>4.688874E-3</v>
      </c>
      <c r="W6947">
        <v>-9.3957740000000008E-3</v>
      </c>
      <c r="X6947">
        <v>0.99994490000000003</v>
      </c>
      <c r="Y6947">
        <v>5.561675E-2</v>
      </c>
      <c r="Z6947">
        <v>1.3518479999999999E-2</v>
      </c>
      <c r="AA6947">
        <v>0.99836069999999999</v>
      </c>
      <c r="AB6947">
        <v>24</v>
      </c>
      <c r="AC6947">
        <v>-5.5074999999999896</v>
      </c>
      <c r="AD6947">
        <v>-1.06526331</v>
      </c>
      <c r="AE6947">
        <v>-78.480525</v>
      </c>
      <c r="AF6947">
        <v>4.38329308564151</v>
      </c>
      <c r="AG6947">
        <v>-1.06526331</v>
      </c>
      <c r="AH6947">
        <v>78.536890404530396</v>
      </c>
      <c r="AI6947">
        <v>90.775896862373699</v>
      </c>
      <c r="AJ6947">
        <v>86.805527816955504</v>
      </c>
      <c r="AK6947">
        <v>78.666328239008806</v>
      </c>
      <c r="AL6947">
        <v>90.538346097961394</v>
      </c>
      <c r="AM6947">
        <v>89.7313344746767</v>
      </c>
      <c r="AN6947">
        <v>1.00000003457222</v>
      </c>
    </row>
    <row r="6948" spans="1:40" x14ac:dyDescent="0.25">
      <c r="A6948" t="str">
        <f>"20190312154102465"</f>
        <v>20190312154102465</v>
      </c>
      <c r="B6948" t="str">
        <f>"1552376462453334"</f>
        <v>1552376462453334</v>
      </c>
      <c r="C6948" t="s">
        <v>40</v>
      </c>
      <c r="D6948">
        <v>4.2298970000000002</v>
      </c>
      <c r="E6948">
        <v>0.52044959999999996</v>
      </c>
      <c r="F6948" t="s">
        <v>69</v>
      </c>
      <c r="G6948">
        <v>-427.36279999999999</v>
      </c>
      <c r="H6948">
        <v>6.3166780000000006E-2</v>
      </c>
      <c r="I6948">
        <v>9.7274799999999999</v>
      </c>
      <c r="J6948">
        <v>-421.67329999999998</v>
      </c>
      <c r="K6948">
        <v>1.1092660000000001</v>
      </c>
      <c r="L6948">
        <v>87.998959999999997</v>
      </c>
      <c r="M6948">
        <v>-1.4200300000000001E-2</v>
      </c>
      <c r="N6948">
        <v>0</v>
      </c>
      <c r="O6948">
        <v>-0.99987919999999997</v>
      </c>
      <c r="P6948">
        <v>-1.893367E-2</v>
      </c>
      <c r="Q6948">
        <v>-1.577783E-2</v>
      </c>
      <c r="R6948">
        <v>-0.99969620000000003</v>
      </c>
      <c r="S6948">
        <v>-0.21740719999999999</v>
      </c>
      <c r="T6948">
        <v>-3.9957279999999998E-2</v>
      </c>
      <c r="U6948">
        <v>-2.9961549999999999</v>
      </c>
      <c r="V6948">
        <v>4.7374779999999998E-3</v>
      </c>
      <c r="W6948">
        <v>-9.4732070000000008E-3</v>
      </c>
      <c r="X6948">
        <v>0.9999439</v>
      </c>
      <c r="Y6948">
        <v>5.8194759999999998E-2</v>
      </c>
      <c r="Z6948">
        <v>1.33042E-2</v>
      </c>
      <c r="AA6948">
        <v>0.99821660000000001</v>
      </c>
      <c r="AB6948">
        <v>24</v>
      </c>
      <c r="AC6948">
        <v>-5.6894999999999998</v>
      </c>
      <c r="AD6948">
        <v>-1.0460992200000001</v>
      </c>
      <c r="AE6948">
        <v>-78.271479999999997</v>
      </c>
      <c r="AF6948">
        <v>4.5766124219751596</v>
      </c>
      <c r="AG6948">
        <v>-1.0460992200000001</v>
      </c>
      <c r="AH6948">
        <v>78.330463718905193</v>
      </c>
      <c r="AI6948">
        <v>90.763834143834202</v>
      </c>
      <c r="AJ6948">
        <v>86.656182133507301</v>
      </c>
      <c r="AK6948">
        <v>78.471021729411504</v>
      </c>
      <c r="AL6948">
        <v>90.542782901254597</v>
      </c>
      <c r="AM6948">
        <v>89.728549307567604</v>
      </c>
      <c r="AN6948">
        <v>0.99999999424793695</v>
      </c>
    </row>
    <row r="6949" spans="1:40" x14ac:dyDescent="0.25">
      <c r="A6949" t="str">
        <f>"20190312154102489"</f>
        <v>20190312154102489</v>
      </c>
      <c r="B6949" t="str">
        <f>"1552376462483590"</f>
        <v>1552376462483590</v>
      </c>
      <c r="C6949" t="s">
        <v>40</v>
      </c>
      <c r="D6949">
        <v>4.219913</v>
      </c>
      <c r="E6949">
        <v>0.52143030000000001</v>
      </c>
      <c r="F6949" t="s">
        <v>69</v>
      </c>
      <c r="G6949">
        <v>-427.41919999999999</v>
      </c>
      <c r="H6949">
        <v>5.8128680000000002E-2</v>
      </c>
      <c r="I6949">
        <v>9.7482089999999992</v>
      </c>
      <c r="J6949">
        <v>-421.67689999999999</v>
      </c>
      <c r="K6949">
        <v>1.109272</v>
      </c>
      <c r="L6949">
        <v>87.736450000000005</v>
      </c>
      <c r="M6949">
        <v>-1.402898E-2</v>
      </c>
      <c r="N6949">
        <v>0</v>
      </c>
      <c r="O6949">
        <v>-0.99988129999999997</v>
      </c>
      <c r="P6949">
        <v>-1.8512020000000001E-2</v>
      </c>
      <c r="Q6949">
        <v>-1.6152929999999999E-2</v>
      </c>
      <c r="R6949">
        <v>-0.99969819999999998</v>
      </c>
      <c r="S6949">
        <v>-0.22000120000000001</v>
      </c>
      <c r="T6949">
        <v>-4.0246730000000001E-2</v>
      </c>
      <c r="U6949">
        <v>-2.996124</v>
      </c>
      <c r="V6949">
        <v>4.4873200000000004E-3</v>
      </c>
      <c r="W6949">
        <v>-9.7719629999999998E-3</v>
      </c>
      <c r="X6949">
        <v>0.9999422</v>
      </c>
      <c r="Y6949">
        <v>5.922608E-2</v>
      </c>
      <c r="Z6949">
        <v>1.3399909999999999E-2</v>
      </c>
      <c r="AA6949">
        <v>0.9981546</v>
      </c>
      <c r="AB6949">
        <v>24</v>
      </c>
      <c r="AC6949">
        <v>-5.7423000000000002</v>
      </c>
      <c r="AD6949">
        <v>-1.05114332</v>
      </c>
      <c r="AE6949">
        <v>-77.988241000000002</v>
      </c>
      <c r="AF6949">
        <v>4.6467776079866701</v>
      </c>
      <c r="AG6949">
        <v>-1.05114332</v>
      </c>
      <c r="AH6949">
        <v>78.047024258678903</v>
      </c>
      <c r="AI6949">
        <v>90.770253486393898</v>
      </c>
      <c r="AJ6949">
        <v>86.592735909968297</v>
      </c>
      <c r="AK6949">
        <v>78.192297830746</v>
      </c>
      <c r="AL6949">
        <v>90.559901140064895</v>
      </c>
      <c r="AM6949">
        <v>89.742882367143693</v>
      </c>
      <c r="AN6949">
        <v>1.0000000153212401</v>
      </c>
    </row>
    <row r="6950" spans="1:40" x14ac:dyDescent="0.25">
      <c r="A6950" t="str">
        <f>"20190312154102510"</f>
        <v>20190312154102510</v>
      </c>
      <c r="B6950" t="str">
        <f>"1552376462503109"</f>
        <v>1552376462503109</v>
      </c>
      <c r="C6950" t="s">
        <v>40</v>
      </c>
      <c r="D6950">
        <v>4.2095000000000002</v>
      </c>
      <c r="E6950">
        <v>0.52211070000000004</v>
      </c>
      <c r="F6950" t="s">
        <v>69</v>
      </c>
      <c r="G6950">
        <v>-427.56209999999999</v>
      </c>
      <c r="H6950">
        <v>4.2004590000000001E-2</v>
      </c>
      <c r="I6950">
        <v>9.7959399999999999</v>
      </c>
      <c r="J6950">
        <v>-421.67989999999998</v>
      </c>
      <c r="K6950">
        <v>1.1092770000000001</v>
      </c>
      <c r="L6950">
        <v>87.503910000000005</v>
      </c>
      <c r="M6950">
        <v>-1.3874279999999999E-2</v>
      </c>
      <c r="N6950">
        <v>0</v>
      </c>
      <c r="O6950">
        <v>-0.99988319999999997</v>
      </c>
      <c r="P6950">
        <v>-1.780613E-2</v>
      </c>
      <c r="Q6950">
        <v>-1.6173730000000001E-2</v>
      </c>
      <c r="R6950">
        <v>-0.99971100000000002</v>
      </c>
      <c r="S6950">
        <v>-0.22622680000000001</v>
      </c>
      <c r="T6950">
        <v>-4.1025760000000001E-2</v>
      </c>
      <c r="U6950">
        <v>-2.9960330000000002</v>
      </c>
      <c r="V6950">
        <v>3.9360669999999997E-3</v>
      </c>
      <c r="W6950">
        <v>-9.7313550000000006E-3</v>
      </c>
      <c r="X6950">
        <v>0.99994490000000003</v>
      </c>
      <c r="Y6950">
        <v>6.1445E-2</v>
      </c>
      <c r="Z6950">
        <v>1.365773E-2</v>
      </c>
      <c r="AA6950">
        <v>0.99801700000000004</v>
      </c>
      <c r="AB6950">
        <v>24</v>
      </c>
      <c r="AC6950">
        <v>-5.8822000000000099</v>
      </c>
      <c r="AD6950">
        <v>-1.0672724099999999</v>
      </c>
      <c r="AE6950">
        <v>-77.707969999999904</v>
      </c>
      <c r="AF6950">
        <v>4.8025687497114697</v>
      </c>
      <c r="AG6950">
        <v>-1.0672724099999999</v>
      </c>
      <c r="AH6950">
        <v>77.767517073258801</v>
      </c>
      <c r="AI6950">
        <v>90.784776436670398</v>
      </c>
      <c r="AJ6950">
        <v>86.466160627829296</v>
      </c>
      <c r="AK6950">
        <v>77.922977668544206</v>
      </c>
      <c r="AL6950">
        <v>90.557574372407601</v>
      </c>
      <c r="AM6950">
        <v>89.774468710994995</v>
      </c>
      <c r="AN6950">
        <v>0.99999999746478696</v>
      </c>
    </row>
    <row r="6951" spans="1:40" x14ac:dyDescent="0.25">
      <c r="A6951" t="str">
        <f>"20190312154102533"</f>
        <v>20190312154102533</v>
      </c>
      <c r="B6951" t="str">
        <f>"1552376462523605"</f>
        <v>1552376462523605</v>
      </c>
      <c r="C6951" t="s">
        <v>40</v>
      </c>
      <c r="D6951">
        <v>4.2224899999999996</v>
      </c>
      <c r="E6951">
        <v>0.52257310000000001</v>
      </c>
      <c r="F6951" t="s">
        <v>69</v>
      </c>
      <c r="G6951">
        <v>-427.6438</v>
      </c>
      <c r="H6951">
        <v>5.025284E-2</v>
      </c>
      <c r="I6951">
        <v>9.8181480000000008</v>
      </c>
      <c r="J6951">
        <v>-421.6832</v>
      </c>
      <c r="K6951">
        <v>1.109281</v>
      </c>
      <c r="L6951">
        <v>87.256529999999998</v>
      </c>
      <c r="M6951">
        <v>-1.3708049999999999E-2</v>
      </c>
      <c r="N6951">
        <v>0</v>
      </c>
      <c r="O6951">
        <v>-0.99988489999999997</v>
      </c>
      <c r="P6951">
        <v>-1.7142339999999999E-2</v>
      </c>
      <c r="Q6951">
        <v>-1.5798840000000001E-2</v>
      </c>
      <c r="R6951">
        <v>-0.99972810000000001</v>
      </c>
      <c r="S6951">
        <v>-0.23001099999999999</v>
      </c>
      <c r="T6951">
        <v>-4.0843610000000002E-2</v>
      </c>
      <c r="U6951">
        <v>-2.996124</v>
      </c>
      <c r="V6951">
        <v>3.4382729999999999E-3</v>
      </c>
      <c r="W6951">
        <v>-9.296772E-3</v>
      </c>
      <c r="X6951">
        <v>0.99995089999999998</v>
      </c>
      <c r="Y6951">
        <v>6.2861899999999998E-2</v>
      </c>
      <c r="Z6951">
        <v>1.359548E-2</v>
      </c>
      <c r="AA6951">
        <v>0.99792959999999997</v>
      </c>
      <c r="AB6951">
        <v>24</v>
      </c>
      <c r="AC6951">
        <v>-5.9606000000000003</v>
      </c>
      <c r="AD6951">
        <v>-1.05902816</v>
      </c>
      <c r="AE6951">
        <v>-77.438381999999905</v>
      </c>
      <c r="AF6951">
        <v>4.8975776877209896</v>
      </c>
      <c r="AG6951">
        <v>-1.05902816</v>
      </c>
      <c r="AH6951">
        <v>77.498406667843497</v>
      </c>
      <c r="AI6951">
        <v>90.781348794936704</v>
      </c>
      <c r="AJ6951">
        <v>86.383953213462704</v>
      </c>
      <c r="AK6951">
        <v>77.660226911240699</v>
      </c>
      <c r="AL6951">
        <v>90.532673457632299</v>
      </c>
      <c r="AM6951">
        <v>89.802992571579395</v>
      </c>
      <c r="AN6951">
        <v>1.00000002705082</v>
      </c>
    </row>
    <row r="6952" spans="1:40" x14ac:dyDescent="0.25">
      <c r="A6952" t="str">
        <f>"20190312154102554"</f>
        <v>20190312154102554</v>
      </c>
      <c r="B6952" t="str">
        <f>"1552376462543125"</f>
        <v>1552376462543125</v>
      </c>
      <c r="C6952" t="s">
        <v>40</v>
      </c>
      <c r="D6952">
        <v>4.25373</v>
      </c>
      <c r="E6952">
        <v>0.52297470000000001</v>
      </c>
      <c r="F6952" t="s">
        <v>69</v>
      </c>
      <c r="G6952">
        <v>-427.68310000000002</v>
      </c>
      <c r="H6952">
        <v>7.998864E-2</v>
      </c>
      <c r="I6952">
        <v>9.7473550000000007</v>
      </c>
      <c r="J6952">
        <v>-421.68630000000002</v>
      </c>
      <c r="K6952">
        <v>1.109289</v>
      </c>
      <c r="L6952">
        <v>87.018950000000004</v>
      </c>
      <c r="M6952">
        <v>-1.3547729999999999E-2</v>
      </c>
      <c r="N6952">
        <v>0</v>
      </c>
      <c r="O6952">
        <v>-0.99988679999999996</v>
      </c>
      <c r="P6952">
        <v>-1.6805730000000001E-2</v>
      </c>
      <c r="Q6952">
        <v>-1.5915499999999999E-2</v>
      </c>
      <c r="R6952">
        <v>-0.99973210000000001</v>
      </c>
      <c r="S6952">
        <v>-0.23193359999999999</v>
      </c>
      <c r="T6952">
        <v>-3.9788599999999903E-2</v>
      </c>
      <c r="U6952">
        <v>-2.996216</v>
      </c>
      <c r="V6952">
        <v>3.261987E-3</v>
      </c>
      <c r="W6952">
        <v>-9.3611370000000003E-3</v>
      </c>
      <c r="X6952">
        <v>0.99995089999999998</v>
      </c>
      <c r="Y6952">
        <v>6.3656489999999996E-2</v>
      </c>
      <c r="Z6952">
        <v>1.3243349999999999E-2</v>
      </c>
      <c r="AA6952">
        <v>0.99788399999999999</v>
      </c>
      <c r="AB6952">
        <v>25</v>
      </c>
      <c r="AC6952">
        <v>-5.9968000000000004</v>
      </c>
      <c r="AD6952">
        <v>-1.0293003599999999</v>
      </c>
      <c r="AE6952">
        <v>-77.271594999999905</v>
      </c>
      <c r="AF6952">
        <v>4.9484996976318198</v>
      </c>
      <c r="AG6952">
        <v>-1.0293003599999999</v>
      </c>
      <c r="AH6952">
        <v>77.332108446740705</v>
      </c>
      <c r="AI6952">
        <v>90.761012898379704</v>
      </c>
      <c r="AJ6952">
        <v>86.338621705818198</v>
      </c>
      <c r="AK6952">
        <v>77.497110302946297</v>
      </c>
      <c r="AL6952">
        <v>90.536361455569406</v>
      </c>
      <c r="AM6952">
        <v>89.813093397920198</v>
      </c>
      <c r="AN6952">
        <v>1.00000003692796</v>
      </c>
    </row>
    <row r="6953" spans="1:40" x14ac:dyDescent="0.25">
      <c r="A6953" t="str">
        <f>"20190312154102577"</f>
        <v>20190312154102577</v>
      </c>
      <c r="B6953" t="str">
        <f>"1552376462563621"</f>
        <v>1552376462563621</v>
      </c>
      <c r="C6953" t="s">
        <v>40</v>
      </c>
      <c r="D6953">
        <v>4.1970510000000001</v>
      </c>
      <c r="E6953">
        <v>0.52341090000000001</v>
      </c>
      <c r="F6953" t="s">
        <v>69</v>
      </c>
      <c r="G6953">
        <v>-427.72210000000001</v>
      </c>
      <c r="H6953">
        <v>7.165784E-2</v>
      </c>
      <c r="I6953">
        <v>9.8174779999999995</v>
      </c>
      <c r="J6953">
        <v>-421.68939999999998</v>
      </c>
      <c r="K6953">
        <v>1.1092930000000001</v>
      </c>
      <c r="L6953">
        <v>86.771330000000006</v>
      </c>
      <c r="M6953">
        <v>-1.3380660000000001E-2</v>
      </c>
      <c r="N6953">
        <v>0</v>
      </c>
      <c r="O6953">
        <v>-0.99988869999999996</v>
      </c>
      <c r="P6953">
        <v>-1.689717E-2</v>
      </c>
      <c r="Q6953">
        <v>-1.5997879999999999E-2</v>
      </c>
      <c r="R6953">
        <v>-0.99972930000000004</v>
      </c>
      <c r="S6953">
        <v>-0.23425289999999999</v>
      </c>
      <c r="T6953">
        <v>-4.0270809999999997E-2</v>
      </c>
      <c r="U6953">
        <v>-2.996216</v>
      </c>
      <c r="V6953">
        <v>3.5205499999999999E-3</v>
      </c>
      <c r="W6953">
        <v>-9.39043E-3</v>
      </c>
      <c r="X6953">
        <v>0.99994970000000005</v>
      </c>
      <c r="Y6953">
        <v>6.4590839999999997E-2</v>
      </c>
      <c r="Z6953">
        <v>1.340306E-2</v>
      </c>
      <c r="AA6953">
        <v>0.99782179999999998</v>
      </c>
      <c r="AB6953">
        <v>25</v>
      </c>
      <c r="AC6953">
        <v>-6.0327000000000304</v>
      </c>
      <c r="AD6953">
        <v>-1.03763516</v>
      </c>
      <c r="AE6953">
        <v>-76.953851999999998</v>
      </c>
      <c r="AF6953">
        <v>5.0015403510295702</v>
      </c>
      <c r="AG6953">
        <v>-1.03763516</v>
      </c>
      <c r="AH6953">
        <v>77.013768971130304</v>
      </c>
      <c r="AI6953">
        <v>90.770298125875698</v>
      </c>
      <c r="AJ6953">
        <v>86.284232115391802</v>
      </c>
      <c r="AK6953">
        <v>77.182981956820498</v>
      </c>
      <c r="AL6953">
        <v>90.538039920613102</v>
      </c>
      <c r="AM6953">
        <v>89.798278030258302</v>
      </c>
      <c r="AN6953">
        <v>0.99999998848898797</v>
      </c>
    </row>
    <row r="6954" spans="1:40" x14ac:dyDescent="0.25">
      <c r="A6954" t="str">
        <f>"20190312154102600"</f>
        <v>20190312154102600</v>
      </c>
      <c r="B6954" t="str">
        <f>"1552376462592905"</f>
        <v>1552376462592905</v>
      </c>
      <c r="C6954" t="s">
        <v>40</v>
      </c>
      <c r="D6954">
        <v>4.213622</v>
      </c>
      <c r="E6954">
        <v>0.52404209999999996</v>
      </c>
      <c r="F6954" t="s">
        <v>69</v>
      </c>
      <c r="G6954">
        <v>-427.7996</v>
      </c>
      <c r="H6954">
        <v>7.6449470000000005E-2</v>
      </c>
      <c r="I6954">
        <v>9.8338070000000002</v>
      </c>
      <c r="J6954">
        <v>-421.6927</v>
      </c>
      <c r="K6954">
        <v>1.109297</v>
      </c>
      <c r="L6954">
        <v>86.514560000000003</v>
      </c>
      <c r="M6954">
        <v>-1.3207419999999999E-2</v>
      </c>
      <c r="N6954">
        <v>0</v>
      </c>
      <c r="O6954">
        <v>-0.99989059999999996</v>
      </c>
      <c r="P6954">
        <v>-1.7595159999999999E-2</v>
      </c>
      <c r="Q6954">
        <v>-1.6006090000000001E-2</v>
      </c>
      <c r="R6954">
        <v>-0.99971699999999997</v>
      </c>
      <c r="S6954">
        <v>-0.23794560000000001</v>
      </c>
      <c r="T6954">
        <v>-4.0221689999999997E-2</v>
      </c>
      <c r="U6954">
        <v>-2.9961549999999999</v>
      </c>
      <c r="V6954">
        <v>4.3918519999999999E-3</v>
      </c>
      <c r="W6954">
        <v>-9.3431390000000003E-3</v>
      </c>
      <c r="X6954">
        <v>0.99994669999999997</v>
      </c>
      <c r="Y6954">
        <v>6.5987470000000006E-2</v>
      </c>
      <c r="Z6954">
        <v>1.338578E-2</v>
      </c>
      <c r="AA6954">
        <v>0.99773069999999997</v>
      </c>
      <c r="AB6954">
        <v>25</v>
      </c>
      <c r="AC6954">
        <v>-6.1068999999999898</v>
      </c>
      <c r="AD6954">
        <v>-1.03284753</v>
      </c>
      <c r="AE6954">
        <v>-76.680752999999996</v>
      </c>
      <c r="AF6954">
        <v>5.09267183113628</v>
      </c>
      <c r="AG6954">
        <v>-1.03284753</v>
      </c>
      <c r="AH6954">
        <v>76.740887606677106</v>
      </c>
      <c r="AI6954">
        <v>90.769399195418899</v>
      </c>
      <c r="AJ6954">
        <v>86.203309559182003</v>
      </c>
      <c r="AK6954">
        <v>76.916616612150307</v>
      </c>
      <c r="AL6954">
        <v>90.535330224732306</v>
      </c>
      <c r="AM6954">
        <v>89.748353621428805</v>
      </c>
      <c r="AN6954">
        <v>0.99999999272562601</v>
      </c>
    </row>
    <row r="6955" spans="1:40" x14ac:dyDescent="0.25">
      <c r="A6955" t="str">
        <f>"20190312154102621"</f>
        <v>20190312154102621</v>
      </c>
      <c r="B6955" t="str">
        <f>"1552376462613397"</f>
        <v>1552376462613397</v>
      </c>
      <c r="C6955" t="s">
        <v>40</v>
      </c>
      <c r="D6955">
        <v>4.231795</v>
      </c>
      <c r="E6955">
        <v>0.52443549999999906</v>
      </c>
      <c r="F6955" t="s">
        <v>69</v>
      </c>
      <c r="G6955">
        <v>-428.06079999999997</v>
      </c>
      <c r="H6955">
        <v>7.9987749999999996E-2</v>
      </c>
      <c r="I6955">
        <v>8.4970610000000004</v>
      </c>
      <c r="J6955">
        <v>-421.69569999999999</v>
      </c>
      <c r="K6955">
        <v>1.1093010000000001</v>
      </c>
      <c r="L6955">
        <v>86.273409999999998</v>
      </c>
      <c r="M6955">
        <v>-1.304604E-2</v>
      </c>
      <c r="N6955">
        <v>0</v>
      </c>
      <c r="O6955">
        <v>-0.99989249999999996</v>
      </c>
      <c r="P6955">
        <v>-1.7930700000000001E-2</v>
      </c>
      <c r="Q6955">
        <v>-1.665877E-2</v>
      </c>
      <c r="R6955">
        <v>-0.9997007</v>
      </c>
      <c r="S6955">
        <v>-0.24453739999999999</v>
      </c>
      <c r="T6955">
        <v>-3.9525989999999997E-2</v>
      </c>
      <c r="U6955">
        <v>-2.995911</v>
      </c>
      <c r="V6955">
        <v>4.889104E-3</v>
      </c>
      <c r="W6955">
        <v>-9.9449039999999992E-3</v>
      </c>
      <c r="X6955">
        <v>0.99993860000000001</v>
      </c>
      <c r="Y6955">
        <v>6.8336110000000005E-2</v>
      </c>
      <c r="Z6955">
        <v>1.31532E-2</v>
      </c>
      <c r="AA6955">
        <v>0.99757560000000001</v>
      </c>
      <c r="AB6955">
        <v>25</v>
      </c>
      <c r="AC6955">
        <v>-6.3650999999999804</v>
      </c>
      <c r="AD6955">
        <v>-1.02931325</v>
      </c>
      <c r="AE6955">
        <v>-77.776348999999996</v>
      </c>
      <c r="AF6955">
        <v>5.3489315904983803</v>
      </c>
      <c r="AG6955">
        <v>-1.02931325</v>
      </c>
      <c r="AH6955">
        <v>77.839228374570993</v>
      </c>
      <c r="AI6955">
        <v>90.755828908515497</v>
      </c>
      <c r="AJ6955">
        <v>86.068946524276896</v>
      </c>
      <c r="AK6955">
        <v>78.029584318225503</v>
      </c>
      <c r="AL6955">
        <v>90.569810417263994</v>
      </c>
      <c r="AM6955">
        <v>89.719860006820298</v>
      </c>
      <c r="AN6955">
        <v>1.0000000041117201</v>
      </c>
    </row>
    <row r="6956" spans="1:40" x14ac:dyDescent="0.25">
      <c r="A6956" t="str">
        <f>"20190312154102643"</f>
        <v>20190312154102643</v>
      </c>
      <c r="B6956" t="str">
        <f>"1552376462632917"</f>
        <v>1552376462632917</v>
      </c>
      <c r="C6956" t="s">
        <v>40</v>
      </c>
      <c r="D6956">
        <v>4.2129669999999999</v>
      </c>
      <c r="E6956">
        <v>0.52475569999999905</v>
      </c>
      <c r="F6956" t="s">
        <v>69</v>
      </c>
      <c r="G6956">
        <v>-428.05220000000003</v>
      </c>
      <c r="H6956">
        <v>5.8436259999999997E-2</v>
      </c>
      <c r="I6956">
        <v>9.9260599999999997</v>
      </c>
      <c r="J6956">
        <v>-421.69880000000001</v>
      </c>
      <c r="K6956">
        <v>1.109307</v>
      </c>
      <c r="L6956">
        <v>86.027010000000004</v>
      </c>
      <c r="M6956">
        <v>-1.2881449999999999E-2</v>
      </c>
      <c r="N6956">
        <v>0</v>
      </c>
      <c r="O6956">
        <v>-0.99989419999999996</v>
      </c>
      <c r="P6956">
        <v>-1.8092569999999999E-2</v>
      </c>
      <c r="Q6956">
        <v>-1.6637349999999999E-2</v>
      </c>
      <c r="R6956">
        <v>-0.99969810000000003</v>
      </c>
      <c r="S6956">
        <v>-0.24942020000000001</v>
      </c>
      <c r="T6956">
        <v>-4.1234369999999999E-2</v>
      </c>
      <c r="U6956">
        <v>-2.9957579999999999</v>
      </c>
      <c r="V6956">
        <v>5.215562E-3</v>
      </c>
      <c r="W6956">
        <v>-9.8737740000000001E-3</v>
      </c>
      <c r="X6956">
        <v>0.99993770000000004</v>
      </c>
      <c r="Y6956">
        <v>7.0118680000000003E-2</v>
      </c>
      <c r="Z6956">
        <v>1.372057E-2</v>
      </c>
      <c r="AA6956">
        <v>0.99744429999999995</v>
      </c>
      <c r="AB6956">
        <v>25</v>
      </c>
      <c r="AC6956">
        <v>-6.3534000000000201</v>
      </c>
      <c r="AD6956">
        <v>-1.0508707399999999</v>
      </c>
      <c r="AE6956">
        <v>-76.100949999999997</v>
      </c>
      <c r="AF6956">
        <v>5.3715426895856604</v>
      </c>
      <c r="AG6956">
        <v>-1.0508707399999999</v>
      </c>
      <c r="AH6956">
        <v>76.162056039611002</v>
      </c>
      <c r="AI6956">
        <v>90.7885484837077</v>
      </c>
      <c r="AJ6956">
        <v>85.965734588341903</v>
      </c>
      <c r="AK6956">
        <v>76.358474188259393</v>
      </c>
      <c r="AL6956">
        <v>90.565734743153399</v>
      </c>
      <c r="AM6956">
        <v>89.701154401420794</v>
      </c>
      <c r="AN6956">
        <v>1.00000004869063</v>
      </c>
    </row>
    <row r="6957" spans="1:40" x14ac:dyDescent="0.25">
      <c r="A6957" t="str">
        <f>"20190312154102666"</f>
        <v>20190312154102666</v>
      </c>
      <c r="B6957" t="str">
        <f>"1552376462653413"</f>
        <v>1552376462653413</v>
      </c>
      <c r="C6957" t="s">
        <v>40</v>
      </c>
      <c r="D6957">
        <v>4.2336039999999997</v>
      </c>
      <c r="E6957">
        <v>0.52507109999999901</v>
      </c>
      <c r="F6957" t="s">
        <v>69</v>
      </c>
      <c r="G6957">
        <v>-428.1035</v>
      </c>
      <c r="H6957">
        <v>7.0122089999999998E-2</v>
      </c>
      <c r="I6957">
        <v>9.9412380000000002</v>
      </c>
      <c r="J6957">
        <v>-421.70179999999999</v>
      </c>
      <c r="K6957">
        <v>1.10931</v>
      </c>
      <c r="L6957">
        <v>85.774109999999993</v>
      </c>
      <c r="M6957">
        <v>-1.271299E-2</v>
      </c>
      <c r="N6957">
        <v>0</v>
      </c>
      <c r="O6957">
        <v>-0.99989629999999996</v>
      </c>
      <c r="P6957">
        <v>-1.829768E-2</v>
      </c>
      <c r="Q6957">
        <v>-1.6487910000000001E-2</v>
      </c>
      <c r="R6957">
        <v>-0.99969710000000001</v>
      </c>
      <c r="S6957">
        <v>-0.25216670000000002</v>
      </c>
      <c r="T6957">
        <v>-4.0915010000000002E-2</v>
      </c>
      <c r="U6957">
        <v>-2.9956670000000001</v>
      </c>
      <c r="V6957">
        <v>5.5890840000000002E-3</v>
      </c>
      <c r="W6957">
        <v>-9.6762140000000007E-3</v>
      </c>
      <c r="X6957">
        <v>0.99993759999999998</v>
      </c>
      <c r="Y6957">
        <v>7.1197499999999997E-2</v>
      </c>
      <c r="Z6957">
        <v>1.3613739999999999E-2</v>
      </c>
      <c r="AA6957">
        <v>0.99736930000000001</v>
      </c>
      <c r="AB6957">
        <v>25</v>
      </c>
      <c r="AC6957">
        <v>-6.4016999999999999</v>
      </c>
      <c r="AD6957">
        <v>-1.0391879100000001</v>
      </c>
      <c r="AE6957">
        <v>-75.832871999999995</v>
      </c>
      <c r="AF6957">
        <v>5.4360844069711201</v>
      </c>
      <c r="AG6957">
        <v>-1.0391879100000001</v>
      </c>
      <c r="AH6957">
        <v>75.893978719590507</v>
      </c>
      <c r="AI6957">
        <v>90.782476268729596</v>
      </c>
      <c r="AJ6957">
        <v>85.903052147540606</v>
      </c>
      <c r="AK6957">
        <v>76.095511898413903</v>
      </c>
      <c r="AL6957">
        <v>90.554414856010894</v>
      </c>
      <c r="AM6957">
        <v>89.679752426803901</v>
      </c>
      <c r="AN6957">
        <v>1.0000000354355401</v>
      </c>
    </row>
    <row r="6958" spans="1:40" x14ac:dyDescent="0.25">
      <c r="A6958" t="str">
        <f>"20190312154102689"</f>
        <v>20190312154102689</v>
      </c>
      <c r="B6958" t="str">
        <f>"1552376462683669"</f>
        <v>1552376462683669</v>
      </c>
      <c r="C6958" t="s">
        <v>40</v>
      </c>
      <c r="D6958">
        <v>4.2013999999999996</v>
      </c>
      <c r="E6958">
        <v>0.52532840000000003</v>
      </c>
      <c r="F6958" t="s">
        <v>69</v>
      </c>
      <c r="G6958">
        <v>-428.1925</v>
      </c>
      <c r="H6958">
        <v>7.9988409999999996E-2</v>
      </c>
      <c r="I6958">
        <v>9.6553819999999995</v>
      </c>
      <c r="J6958">
        <v>-421.70490000000001</v>
      </c>
      <c r="K6958">
        <v>1.1093109999999999</v>
      </c>
      <c r="L6958">
        <v>85.51746</v>
      </c>
      <c r="M6958">
        <v>-1.2542380000000001E-2</v>
      </c>
      <c r="N6958">
        <v>0</v>
      </c>
      <c r="O6958">
        <v>-0.99989779999999995</v>
      </c>
      <c r="P6958">
        <v>-1.8562260000000001E-2</v>
      </c>
      <c r="Q6958">
        <v>-1.6509920000000001E-2</v>
      </c>
      <c r="R6958">
        <v>-0.9996912</v>
      </c>
      <c r="S6958">
        <v>-0.2554321</v>
      </c>
      <c r="T6958">
        <v>-4.0507910000000001E-2</v>
      </c>
      <c r="U6958">
        <v>-2.9955750000000001</v>
      </c>
      <c r="V6958">
        <v>6.0243129999999999E-3</v>
      </c>
      <c r="W6958">
        <v>-9.6506439999999999E-3</v>
      </c>
      <c r="X6958">
        <v>0.99993529999999997</v>
      </c>
      <c r="Y6958">
        <v>7.244979E-2</v>
      </c>
      <c r="Z6958">
        <v>1.347754E-2</v>
      </c>
      <c r="AA6958">
        <v>0.99728099999999997</v>
      </c>
      <c r="AB6958">
        <v>25</v>
      </c>
      <c r="AC6958">
        <v>-6.48759999999998</v>
      </c>
      <c r="AD6958">
        <v>-1.02932259</v>
      </c>
      <c r="AE6958">
        <v>-75.862077999999997</v>
      </c>
      <c r="AF6958">
        <v>5.5345647464142003</v>
      </c>
      <c r="AG6958">
        <v>-1.02932259</v>
      </c>
      <c r="AH6958">
        <v>75.923606316425307</v>
      </c>
      <c r="AI6958">
        <v>90.774675817673099</v>
      </c>
      <c r="AJ6958">
        <v>85.830713147146398</v>
      </c>
      <c r="AK6958">
        <v>76.132022881426707</v>
      </c>
      <c r="AL6958">
        <v>90.552949745466805</v>
      </c>
      <c r="AM6958">
        <v>89.654814133206798</v>
      </c>
      <c r="AN6958">
        <v>1.00000001573141</v>
      </c>
    </row>
    <row r="6959" spans="1:40" x14ac:dyDescent="0.25">
      <c r="A6959" t="str">
        <f>"20190312154102711"</f>
        <v>20190312154102711</v>
      </c>
      <c r="B6959" t="str">
        <f>"1552376462703189"</f>
        <v>1552376462703189</v>
      </c>
      <c r="C6959" t="s">
        <v>40</v>
      </c>
      <c r="D6959">
        <v>4.2975879999999904</v>
      </c>
      <c r="E6959">
        <v>0.52538109999999905</v>
      </c>
      <c r="F6959" t="s">
        <v>69</v>
      </c>
      <c r="G6959">
        <v>-428.20800000000003</v>
      </c>
      <c r="H6959">
        <v>4.7593870000000003E-2</v>
      </c>
      <c r="I6959">
        <v>10.022600000000001</v>
      </c>
      <c r="J6959">
        <v>-421.7079</v>
      </c>
      <c r="K6959">
        <v>1.1093120000000001</v>
      </c>
      <c r="L6959">
        <v>85.262879999999996</v>
      </c>
      <c r="M6959">
        <v>-1.237392E-2</v>
      </c>
      <c r="N6959">
        <v>0</v>
      </c>
      <c r="O6959">
        <v>-0.99989989999999995</v>
      </c>
      <c r="P6959">
        <v>-1.8207089999999999E-2</v>
      </c>
      <c r="Q6959">
        <v>-1.6756170000000001E-2</v>
      </c>
      <c r="R6959">
        <v>-0.99969399999999997</v>
      </c>
      <c r="S6959">
        <v>-0.25802609999999998</v>
      </c>
      <c r="T6959">
        <v>-4.2125940000000001E-2</v>
      </c>
      <c r="U6959">
        <v>-2.995422</v>
      </c>
      <c r="V6959">
        <v>5.8376469999999996E-3</v>
      </c>
      <c r="W6959">
        <v>-9.8484569999999997E-3</v>
      </c>
      <c r="X6959">
        <v>0.9999344</v>
      </c>
      <c r="Y6959">
        <v>7.3478769999999999E-2</v>
      </c>
      <c r="Z6959">
        <v>1.401548E-2</v>
      </c>
      <c r="AA6959">
        <v>0.99719829999999998</v>
      </c>
      <c r="AB6959">
        <v>25</v>
      </c>
      <c r="AC6959">
        <v>-6.50010000000003</v>
      </c>
      <c r="AD6959">
        <v>-1.06171813</v>
      </c>
      <c r="AE6959">
        <v>-75.240279999999998</v>
      </c>
      <c r="AF6959">
        <v>5.56746282150415</v>
      </c>
      <c r="AG6959">
        <v>-1.06171813</v>
      </c>
      <c r="AH6959">
        <v>75.3000701836025</v>
      </c>
      <c r="AI6959">
        <v>90.805608466206294</v>
      </c>
      <c r="AJ6959">
        <v>85.771415027873999</v>
      </c>
      <c r="AK6959">
        <v>75.513074744125404</v>
      </c>
      <c r="AL6959">
        <v>90.564284178319099</v>
      </c>
      <c r="AM6959">
        <v>89.6655093218438</v>
      </c>
      <c r="AN6959">
        <v>0.99999993726556602</v>
      </c>
    </row>
    <row r="6960" spans="1:40" x14ac:dyDescent="0.25">
      <c r="A6960" t="str">
        <f>"20190312154102734"</f>
        <v>20190312154102734</v>
      </c>
      <c r="B6960" t="str">
        <f>"1552376462723686"</f>
        <v>1552376462723686</v>
      </c>
      <c r="C6960" t="s">
        <v>40</v>
      </c>
      <c r="D6960">
        <v>4.2705409999999997</v>
      </c>
      <c r="E6960">
        <v>0.50921729999999998</v>
      </c>
      <c r="F6960" t="s">
        <v>69</v>
      </c>
      <c r="G6960">
        <v>-428.18180000000001</v>
      </c>
      <c r="H6960">
        <v>3.4568689999999999E-2</v>
      </c>
      <c r="I6960">
        <v>10.00797</v>
      </c>
      <c r="J6960">
        <v>-421.71100000000001</v>
      </c>
      <c r="K6960">
        <v>1.1093150000000001</v>
      </c>
      <c r="L6960">
        <v>85.003969999999995</v>
      </c>
      <c r="M6960">
        <v>-1.2202599999999999E-2</v>
      </c>
      <c r="N6960">
        <v>0</v>
      </c>
      <c r="O6960">
        <v>-0.99990159999999995</v>
      </c>
      <c r="P6960">
        <v>-1.8748939999999999E-2</v>
      </c>
      <c r="Q6960">
        <v>-1.7799860000000001E-2</v>
      </c>
      <c r="R6960">
        <v>-0.9996659</v>
      </c>
      <c r="S6960">
        <v>-0.25769039999999999</v>
      </c>
      <c r="T6960">
        <v>-4.2780039999999998E-2</v>
      </c>
      <c r="U6960">
        <v>-2.995514</v>
      </c>
      <c r="V6960">
        <v>6.5513689999999996E-3</v>
      </c>
      <c r="W6960">
        <v>-1.084218E-2</v>
      </c>
      <c r="X6960">
        <v>0.99991980000000003</v>
      </c>
      <c r="Y6960">
        <v>7.3535840000000005E-2</v>
      </c>
      <c r="Z6960">
        <v>1.4232710000000001E-2</v>
      </c>
      <c r="AA6960">
        <v>0.99719100000000005</v>
      </c>
      <c r="AB6960">
        <v>25</v>
      </c>
      <c r="AC6960">
        <v>-6.4707999999999899</v>
      </c>
      <c r="AD6960">
        <v>-1.0747463100000001</v>
      </c>
      <c r="AE6960">
        <v>-74.995999999999995</v>
      </c>
      <c r="AF6960">
        <v>5.5540178980709296</v>
      </c>
      <c r="AG6960">
        <v>-1.0747463100000001</v>
      </c>
      <c r="AH6960">
        <v>75.054078508562299</v>
      </c>
      <c r="AI6960">
        <v>90.818161269277496</v>
      </c>
      <c r="AJ6960">
        <v>85.767813980530093</v>
      </c>
      <c r="AK6960">
        <v>75.266970811986198</v>
      </c>
      <c r="AL6960">
        <v>90.621223301456098</v>
      </c>
      <c r="AM6960">
        <v>89.624609470957694</v>
      </c>
      <c r="AN6960">
        <v>1.00000003986748</v>
      </c>
    </row>
    <row r="6961" spans="1:40" x14ac:dyDescent="0.25">
      <c r="A6961" t="str">
        <f>"20190312154102755"</f>
        <v>20190312154102755</v>
      </c>
      <c r="B6961" t="str">
        <f>"1552376462743205"</f>
        <v>1552376462743205</v>
      </c>
      <c r="C6961" t="s">
        <v>40</v>
      </c>
      <c r="D6961">
        <v>4.2669480000000002</v>
      </c>
      <c r="E6961">
        <v>0.50763210000000003</v>
      </c>
      <c r="F6961" t="s">
        <v>84</v>
      </c>
      <c r="G6961">
        <v>-425.45159999999998</v>
      </c>
      <c r="H6961">
        <v>1.800584</v>
      </c>
      <c r="I6961">
        <v>0.42194749999999998</v>
      </c>
      <c r="J6961">
        <v>-421.71370000000002</v>
      </c>
      <c r="K6961">
        <v>1.109321</v>
      </c>
      <c r="L6961">
        <v>84.758790000000005</v>
      </c>
      <c r="M6961">
        <v>-1.20408999999999E-2</v>
      </c>
      <c r="N6961">
        <v>0</v>
      </c>
      <c r="O6961">
        <v>-0.99990330000000005</v>
      </c>
      <c r="P6961">
        <v>-1.9326690000000001E-2</v>
      </c>
      <c r="Q6961">
        <v>-1.8153329999999999E-2</v>
      </c>
      <c r="R6961">
        <v>-0.99964869999999995</v>
      </c>
      <c r="S6961">
        <v>-0.13262939999999901</v>
      </c>
      <c r="T6961">
        <v>2.4508950000000002E-2</v>
      </c>
      <c r="U6961">
        <v>-2.9989620000000001</v>
      </c>
      <c r="V6961">
        <v>7.2910609999999997E-3</v>
      </c>
      <c r="W6961">
        <v>-1.1149539999999999E-2</v>
      </c>
      <c r="X6961">
        <v>0.9999112</v>
      </c>
      <c r="Y6961">
        <v>3.2147790000000002E-2</v>
      </c>
      <c r="Z6961">
        <v>-8.1652140000000005E-3</v>
      </c>
      <c r="AA6961">
        <v>0.99944980000000005</v>
      </c>
      <c r="AB6961">
        <v>25</v>
      </c>
      <c r="AC6961">
        <v>-3.7378999999999598</v>
      </c>
      <c r="AD6961">
        <v>0.69126299999999996</v>
      </c>
      <c r="AE6961">
        <v>-84.336842500000003</v>
      </c>
      <c r="AF6961">
        <v>2.7219304383704701</v>
      </c>
      <c r="AG6961">
        <v>0.69126299999999996</v>
      </c>
      <c r="AH6961">
        <v>84.370080010677796</v>
      </c>
      <c r="AI6961">
        <v>89.530817417609796</v>
      </c>
      <c r="AJ6961">
        <v>88.152176070781493</v>
      </c>
      <c r="AK6961">
        <v>84.416806092475795</v>
      </c>
      <c r="AL6961">
        <v>90.638834860238106</v>
      </c>
      <c r="AM6961">
        <v>89.582223281450993</v>
      </c>
      <c r="AN6961">
        <v>0.99999993984907598</v>
      </c>
    </row>
    <row r="6962" spans="1:40" x14ac:dyDescent="0.25">
      <c r="A6962" t="str">
        <f>"20190312154102778"</f>
        <v>20190312154102778</v>
      </c>
      <c r="B6962" t="str">
        <f>"1552376462773461"</f>
        <v>1552376462773461</v>
      </c>
      <c r="C6962" t="s">
        <v>40</v>
      </c>
      <c r="D6962">
        <v>4.3216659999999996</v>
      </c>
      <c r="E6962">
        <v>0.50643870000000002</v>
      </c>
      <c r="F6962" t="s">
        <v>84</v>
      </c>
      <c r="G6962">
        <v>-425.14870000000002</v>
      </c>
      <c r="H6962">
        <v>2.0624380000000002</v>
      </c>
      <c r="I6962">
        <v>0.42502980000000001</v>
      </c>
      <c r="J6962">
        <v>-421.71660000000003</v>
      </c>
      <c r="K6962">
        <v>1.109327</v>
      </c>
      <c r="L6962">
        <v>84.506410000000002</v>
      </c>
      <c r="M6962">
        <v>-1.187413E-2</v>
      </c>
      <c r="N6962">
        <v>0</v>
      </c>
      <c r="O6962">
        <v>-0.99990469999999998</v>
      </c>
      <c r="P6962">
        <v>-1.9855299999999999E-2</v>
      </c>
      <c r="Q6962">
        <v>-1.7606409999999999E-2</v>
      </c>
      <c r="R6962">
        <v>-0.99964799999999998</v>
      </c>
      <c r="S6962">
        <v>-0.1221619</v>
      </c>
      <c r="T6962">
        <v>3.3896330000000002E-2</v>
      </c>
      <c r="U6962">
        <v>-2.999298</v>
      </c>
      <c r="V6962">
        <v>7.9862619999999992E-3</v>
      </c>
      <c r="W6962">
        <v>-1.055729E-2</v>
      </c>
      <c r="X6962">
        <v>0.99991240000000003</v>
      </c>
      <c r="Y6962">
        <v>2.882637E-2</v>
      </c>
      <c r="Z6962">
        <v>-1.1292480000000001E-2</v>
      </c>
      <c r="AA6962">
        <v>0.99952070000000004</v>
      </c>
      <c r="AB6962">
        <v>25</v>
      </c>
      <c r="AC6962">
        <v>-3.4320999999999899</v>
      </c>
      <c r="AD6962">
        <v>0.95311100000000004</v>
      </c>
      <c r="AE6962">
        <v>-84.081380199999998</v>
      </c>
      <c r="AF6962">
        <v>2.4331279014491898</v>
      </c>
      <c r="AG6962">
        <v>0.95311100000000004</v>
      </c>
      <c r="AH6962">
        <v>84.105417208088198</v>
      </c>
      <c r="AI6962">
        <v>89.351004161030104</v>
      </c>
      <c r="AJ6962">
        <v>88.342923761763402</v>
      </c>
      <c r="AK6962">
        <v>84.146002493937303</v>
      </c>
      <c r="AL6962">
        <v>90.604899383661902</v>
      </c>
      <c r="AM6962">
        <v>89.542390536247296</v>
      </c>
      <c r="AN6962">
        <v>1.0000000222133101</v>
      </c>
    </row>
    <row r="6963" spans="1:40" x14ac:dyDescent="0.25">
      <c r="A6963" t="str">
        <f>"20190312154102800"</f>
        <v>20190312154102800</v>
      </c>
      <c r="B6963" t="str">
        <f>"1552376462792981"</f>
        <v>1552376462792981</v>
      </c>
      <c r="C6963" t="s">
        <v>40</v>
      </c>
      <c r="D6963">
        <v>4.3166909999999996</v>
      </c>
      <c r="E6963">
        <v>0.50549549999999999</v>
      </c>
      <c r="F6963" t="s">
        <v>84</v>
      </c>
      <c r="G6963">
        <v>-424.916</v>
      </c>
      <c r="H6963">
        <v>2.125969</v>
      </c>
      <c r="I6963">
        <v>0.42739870000000002</v>
      </c>
      <c r="J6963">
        <v>-421.71949999999998</v>
      </c>
      <c r="K6963">
        <v>1.109337</v>
      </c>
      <c r="L6963">
        <v>84.246340000000004</v>
      </c>
      <c r="M6963">
        <v>-1.170212E-2</v>
      </c>
      <c r="N6963">
        <v>0</v>
      </c>
      <c r="O6963">
        <v>-0.99990639999999997</v>
      </c>
      <c r="P6963">
        <v>-1.947142E-2</v>
      </c>
      <c r="Q6963">
        <v>-1.68489E-2</v>
      </c>
      <c r="R6963">
        <v>-0.99966820000000001</v>
      </c>
      <c r="S6963">
        <v>-0.11413570000000001</v>
      </c>
      <c r="T6963">
        <v>3.626704E-2</v>
      </c>
      <c r="U6963">
        <v>-2.9994510000000001</v>
      </c>
      <c r="V6963">
        <v>7.7739710000000002E-3</v>
      </c>
      <c r="W6963">
        <v>-9.7520899999999997E-3</v>
      </c>
      <c r="X6963">
        <v>0.99992219999999998</v>
      </c>
      <c r="Y6963">
        <v>2.6325359999999999E-2</v>
      </c>
      <c r="Z6963">
        <v>-1.208264E-2</v>
      </c>
      <c r="AA6963">
        <v>0.99958040000000004</v>
      </c>
      <c r="AB6963">
        <v>26</v>
      </c>
      <c r="AC6963">
        <v>-3.1965000000000101</v>
      </c>
      <c r="AD6963">
        <v>1.016632</v>
      </c>
      <c r="AE6963">
        <v>-83.818941299999906</v>
      </c>
      <c r="AF6963">
        <v>2.2150717758416598</v>
      </c>
      <c r="AG6963">
        <v>1.016632</v>
      </c>
      <c r="AH6963">
        <v>83.838292945800205</v>
      </c>
      <c r="AI6963">
        <v>89.305501707173903</v>
      </c>
      <c r="AJ6963">
        <v>88.486553806651102</v>
      </c>
      <c r="AK6963">
        <v>83.873711302537203</v>
      </c>
      <c r="AL6963">
        <v>90.558762471022206</v>
      </c>
      <c r="AM6963">
        <v>89.554558590216303</v>
      </c>
      <c r="AN6963">
        <v>0.99999997196865797</v>
      </c>
    </row>
    <row r="6964" spans="1:40" x14ac:dyDescent="0.25">
      <c r="A6964" t="str">
        <f>"20190312154102822"</f>
        <v>20190312154102822</v>
      </c>
      <c r="B6964" t="str">
        <f>"1552376462813477"</f>
        <v>1552376462813477</v>
      </c>
      <c r="C6964" t="s">
        <v>40</v>
      </c>
      <c r="D6964">
        <v>4.2599099999999996</v>
      </c>
      <c r="E6964">
        <v>0.50523009999999902</v>
      </c>
      <c r="F6964" t="s">
        <v>84</v>
      </c>
      <c r="G6964">
        <v>-424.66669999999999</v>
      </c>
      <c r="H6964">
        <v>2.0099849999999999</v>
      </c>
      <c r="I6964">
        <v>0.42993350000000002</v>
      </c>
      <c r="J6964">
        <v>-421.72230000000002</v>
      </c>
      <c r="K6964">
        <v>1.1093500000000001</v>
      </c>
      <c r="L6964">
        <v>83.994569999999996</v>
      </c>
      <c r="M6964">
        <v>-1.1535159999999999E-2</v>
      </c>
      <c r="N6964">
        <v>0</v>
      </c>
      <c r="O6964">
        <v>-0.99990829999999997</v>
      </c>
      <c r="P6964">
        <v>-1.874406E-2</v>
      </c>
      <c r="Q6964">
        <v>-1.6461199999999999E-2</v>
      </c>
      <c r="R6964">
        <v>-0.99968900000000005</v>
      </c>
      <c r="S6964">
        <v>-0.1054688</v>
      </c>
      <c r="T6964">
        <v>3.2229899999999999E-2</v>
      </c>
      <c r="U6964">
        <v>-2.9994809999999998</v>
      </c>
      <c r="V6964">
        <v>7.2132740000000004E-3</v>
      </c>
      <c r="W6964">
        <v>-9.3168090000000005E-3</v>
      </c>
      <c r="X6964">
        <v>0.9999306</v>
      </c>
      <c r="Y6964">
        <v>2.3607929999999999E-2</v>
      </c>
      <c r="Z6964">
        <v>-1.0738650000000001E-2</v>
      </c>
      <c r="AA6964">
        <v>0.99966359999999999</v>
      </c>
      <c r="AB6964">
        <v>26</v>
      </c>
      <c r="AC6964">
        <v>-2.9443999999999702</v>
      </c>
      <c r="AD6964">
        <v>0.90063499999999896</v>
      </c>
      <c r="AE6964">
        <v>-83.564636499999907</v>
      </c>
      <c r="AF6964">
        <v>1.9800186697348301</v>
      </c>
      <c r="AG6964">
        <v>0.90063499999999896</v>
      </c>
      <c r="AH6964">
        <v>83.583344550625995</v>
      </c>
      <c r="AI6964">
        <v>89.382818235328898</v>
      </c>
      <c r="AJ6964">
        <v>88.642965297754998</v>
      </c>
      <c r="AK6964">
        <v>83.611644545508</v>
      </c>
      <c r="AL6964">
        <v>90.533821546870598</v>
      </c>
      <c r="AM6964">
        <v>89.586688328280701</v>
      </c>
      <c r="AN6964">
        <v>1.0000000195340499</v>
      </c>
    </row>
    <row r="6965" spans="1:40" x14ac:dyDescent="0.25">
      <c r="A6965" t="str">
        <f>"20190312154102844"</f>
        <v>20190312154102844</v>
      </c>
      <c r="B6965" t="str">
        <f>"1552376462833001"</f>
        <v>1552376462833001</v>
      </c>
      <c r="C6965" t="s">
        <v>40</v>
      </c>
      <c r="D6965">
        <v>4.2507449999999896</v>
      </c>
      <c r="E6965">
        <v>0.50529729999999995</v>
      </c>
      <c r="F6965" t="s">
        <v>84</v>
      </c>
      <c r="G6965">
        <v>-424.53800000000001</v>
      </c>
      <c r="H6965">
        <v>2.0374919999999999</v>
      </c>
      <c r="I6965">
        <v>0.43124390000000001</v>
      </c>
      <c r="J6965">
        <v>-421.72500000000002</v>
      </c>
      <c r="K6965">
        <v>1.1093580000000001</v>
      </c>
      <c r="L6965">
        <v>83.740359999999995</v>
      </c>
      <c r="M6965">
        <v>-1.136685E-2</v>
      </c>
      <c r="N6965">
        <v>0</v>
      </c>
      <c r="O6965">
        <v>-0.99990970000000001</v>
      </c>
      <c r="P6965">
        <v>-1.8326470000000001E-2</v>
      </c>
      <c r="Q6965">
        <v>-1.638241E-2</v>
      </c>
      <c r="R6965">
        <v>-0.99969810000000003</v>
      </c>
      <c r="S6965">
        <v>-0.1010742</v>
      </c>
      <c r="T6965">
        <v>3.3315419999999998E-2</v>
      </c>
      <c r="U6965">
        <v>-2.9995729999999998</v>
      </c>
      <c r="V6965">
        <v>6.9638729999999998E-3</v>
      </c>
      <c r="W6965">
        <v>-9.1892120000000004E-3</v>
      </c>
      <c r="X6965">
        <v>0.99993350000000003</v>
      </c>
      <c r="Y6965">
        <v>2.2312149999999999E-2</v>
      </c>
      <c r="Z6965">
        <v>-1.110043E-2</v>
      </c>
      <c r="AA6965">
        <v>0.99968939999999995</v>
      </c>
      <c r="AB6965">
        <v>26</v>
      </c>
      <c r="AC6965">
        <v>-2.8129999999999802</v>
      </c>
      <c r="AD6965">
        <v>0.92813399999999902</v>
      </c>
      <c r="AE6965">
        <v>-83.309116099999997</v>
      </c>
      <c r="AF6965">
        <v>1.8656004080062201</v>
      </c>
      <c r="AG6965">
        <v>0.92813399999999902</v>
      </c>
      <c r="AH6965">
        <v>83.325378993304398</v>
      </c>
      <c r="AI6965">
        <v>89.361987421188601</v>
      </c>
      <c r="AJ6965">
        <v>88.717399483499904</v>
      </c>
      <c r="AK6965">
        <v>83.351428793885304</v>
      </c>
      <c r="AL6965">
        <v>90.526510490110894</v>
      </c>
      <c r="AM6965">
        <v>89.600979383747799</v>
      </c>
      <c r="AN6965">
        <v>0.99999997078329494</v>
      </c>
    </row>
    <row r="6966" spans="1:40" x14ac:dyDescent="0.25">
      <c r="A6966" t="str">
        <f>"20190312154102867"</f>
        <v>20190312154102867</v>
      </c>
      <c r="B6966" t="str">
        <f>"1552376462853493"</f>
        <v>1552376462853493</v>
      </c>
      <c r="C6966" t="s">
        <v>40</v>
      </c>
      <c r="D6966">
        <v>4.2498690000000003</v>
      </c>
      <c r="E6966">
        <v>0.50545609999999996</v>
      </c>
      <c r="F6966" t="s">
        <v>84</v>
      </c>
      <c r="G6966">
        <v>-424.51100000000002</v>
      </c>
      <c r="H6966">
        <v>2.0707080000000002</v>
      </c>
      <c r="I6966">
        <v>0.43151279999999997</v>
      </c>
      <c r="J6966">
        <v>-421.7278</v>
      </c>
      <c r="K6966">
        <v>1.1093679999999999</v>
      </c>
      <c r="L6966">
        <v>83.477419999999995</v>
      </c>
      <c r="M6966">
        <v>-1.1193150000000001E-2</v>
      </c>
      <c r="N6966">
        <v>0</v>
      </c>
      <c r="O6966">
        <v>-0.99991140000000001</v>
      </c>
      <c r="P6966">
        <v>-1.80658E-2</v>
      </c>
      <c r="Q6966">
        <v>-1.5784409999999999E-2</v>
      </c>
      <c r="R6966">
        <v>-0.9997125</v>
      </c>
      <c r="S6966">
        <v>-0.10031130000000001</v>
      </c>
      <c r="T6966">
        <v>3.4613489999999997E-2</v>
      </c>
      <c r="U6966">
        <v>-2.9996339999999999</v>
      </c>
      <c r="V6966">
        <v>6.8766060000000004E-3</v>
      </c>
      <c r="W6966">
        <v>-8.5370610000000003E-3</v>
      </c>
      <c r="X6966">
        <v>0.99993989999999999</v>
      </c>
      <c r="Y6966">
        <v>2.2230989999999999E-2</v>
      </c>
      <c r="Z6966">
        <v>-1.153274E-2</v>
      </c>
      <c r="AA6966">
        <v>0.99968639999999998</v>
      </c>
      <c r="AB6966">
        <v>26</v>
      </c>
      <c r="AC6966">
        <v>-2.7831999999999599</v>
      </c>
      <c r="AD6966">
        <v>0.96133999999999997</v>
      </c>
      <c r="AE6966">
        <v>-83.045907200000002</v>
      </c>
      <c r="AF6966">
        <v>1.85320815668113</v>
      </c>
      <c r="AG6966">
        <v>0.96133999999999997</v>
      </c>
      <c r="AH6966">
        <v>83.060740102011295</v>
      </c>
      <c r="AI6966">
        <v>89.337056681175298</v>
      </c>
      <c r="AJ6966">
        <v>88.721858341003198</v>
      </c>
      <c r="AK6966">
        <v>83.086973114691503</v>
      </c>
      <c r="AL6966">
        <v>90.489143513115494</v>
      </c>
      <c r="AM6966">
        <v>89.605982029376406</v>
      </c>
      <c r="AN6966">
        <v>0.99999998636630305</v>
      </c>
    </row>
    <row r="6967" spans="1:40" x14ac:dyDescent="0.25">
      <c r="A6967" t="str">
        <f>"20190312154102890"</f>
        <v>20190312154102890</v>
      </c>
      <c r="B6967" t="str">
        <f>"1552376462883749"</f>
        <v>1552376462883749</v>
      </c>
      <c r="C6967" t="s">
        <v>40</v>
      </c>
      <c r="D6967">
        <v>4.2394869999999996</v>
      </c>
      <c r="E6967">
        <v>0.50551380000000001</v>
      </c>
      <c r="F6967" t="s">
        <v>84</v>
      </c>
      <c r="G6967">
        <v>-424.51769999999999</v>
      </c>
      <c r="H6967">
        <v>2.0973090000000001</v>
      </c>
      <c r="I6967">
        <v>0.4314461</v>
      </c>
      <c r="J6967">
        <v>-421.73070000000001</v>
      </c>
      <c r="K6967">
        <v>1.1093789999999999</v>
      </c>
      <c r="L6967">
        <v>83.214969999999994</v>
      </c>
      <c r="M6967">
        <v>-1.102004E-2</v>
      </c>
      <c r="N6967">
        <v>0</v>
      </c>
      <c r="O6967">
        <v>-0.99991280000000005</v>
      </c>
      <c r="P6967">
        <v>-1.8394799999999999E-2</v>
      </c>
      <c r="Q6967">
        <v>-1.543391E-2</v>
      </c>
      <c r="R6967">
        <v>-0.99971180000000004</v>
      </c>
      <c r="S6967">
        <v>-0.100769</v>
      </c>
      <c r="T6967">
        <v>3.5683270000000003E-2</v>
      </c>
      <c r="U6967">
        <v>-2.999603</v>
      </c>
      <c r="V6967">
        <v>7.3785989999999996E-3</v>
      </c>
      <c r="W6967">
        <v>-8.1270869999999999E-3</v>
      </c>
      <c r="X6967">
        <v>0.99993969999999999</v>
      </c>
      <c r="Y6967">
        <v>2.2556659999999999E-2</v>
      </c>
      <c r="Z6967">
        <v>-1.1889210000000001E-2</v>
      </c>
      <c r="AA6967">
        <v>0.99967490000000003</v>
      </c>
      <c r="AB6967">
        <v>26</v>
      </c>
      <c r="AC6967">
        <v>-2.7869999999999702</v>
      </c>
      <c r="AD6967">
        <v>0.98792999999999997</v>
      </c>
      <c r="AE6967">
        <v>-82.783523899999906</v>
      </c>
      <c r="AF6967">
        <v>1.8742622324693901</v>
      </c>
      <c r="AG6967">
        <v>0.98792999999999997</v>
      </c>
      <c r="AH6967">
        <v>82.797431991982094</v>
      </c>
      <c r="AI6967">
        <v>89.316560464362496</v>
      </c>
      <c r="AJ6967">
        <v>88.703232984791697</v>
      </c>
      <c r="AK6967">
        <v>82.824535067018999</v>
      </c>
      <c r="AL6967">
        <v>90.465652934962904</v>
      </c>
      <c r="AM6967">
        <v>89.577219597853301</v>
      </c>
      <c r="AN6967">
        <v>0.999999948451197</v>
      </c>
    </row>
    <row r="6968" spans="1:40" x14ac:dyDescent="0.25">
      <c r="A6968" t="str">
        <f>"20190312154102913"</f>
        <v>20190312154102913</v>
      </c>
      <c r="B6968" t="str">
        <f>"1552376462903269"</f>
        <v>1552376462903269</v>
      </c>
      <c r="C6968" t="s">
        <v>40</v>
      </c>
      <c r="D6968">
        <v>4.2176799999999997</v>
      </c>
      <c r="E6968">
        <v>0.50558359999999902</v>
      </c>
      <c r="F6968" t="s">
        <v>84</v>
      </c>
      <c r="G6968">
        <v>-424.5471</v>
      </c>
      <c r="H6968">
        <v>2.1252759999999999</v>
      </c>
      <c r="I6968">
        <v>0.43114849999999999</v>
      </c>
      <c r="J6968">
        <v>-421.73340000000002</v>
      </c>
      <c r="K6968">
        <v>1.1093949999999999</v>
      </c>
      <c r="L6968">
        <v>82.951569999999904</v>
      </c>
      <c r="M6968">
        <v>-1.0846679999999999E-2</v>
      </c>
      <c r="N6968">
        <v>0</v>
      </c>
      <c r="O6968">
        <v>-0.99991399999999997</v>
      </c>
      <c r="P6968">
        <v>-1.878117E-2</v>
      </c>
      <c r="Q6968">
        <v>-1.4603669999999999E-2</v>
      </c>
      <c r="R6968">
        <v>-0.99971690000000002</v>
      </c>
      <c r="S6968">
        <v>-0.1020508</v>
      </c>
      <c r="T6968">
        <v>3.6808729999999998E-2</v>
      </c>
      <c r="U6968">
        <v>-2.9995729999999998</v>
      </c>
      <c r="V6968">
        <v>7.9380159999999905E-3</v>
      </c>
      <c r="W6968">
        <v>-7.2324210000000002E-3</v>
      </c>
      <c r="X6968">
        <v>0.99994240000000001</v>
      </c>
      <c r="Y6968">
        <v>2.315683E-2</v>
      </c>
      <c r="Z6968">
        <v>-1.226412E-2</v>
      </c>
      <c r="AA6968">
        <v>0.99965660000000001</v>
      </c>
      <c r="AB6968">
        <v>26</v>
      </c>
      <c r="AC6968">
        <v>-2.8136999999999799</v>
      </c>
      <c r="AD6968">
        <v>1.01588099999999</v>
      </c>
      <c r="AE6968">
        <v>-82.520421499999898</v>
      </c>
      <c r="AF6968">
        <v>1.9181471808105599</v>
      </c>
      <c r="AG6968">
        <v>1.01588099999999</v>
      </c>
      <c r="AH6968">
        <v>82.533593304673801</v>
      </c>
      <c r="AI6968">
        <v>89.294989572891097</v>
      </c>
      <c r="AJ6968">
        <v>88.668639608477605</v>
      </c>
      <c r="AK6968">
        <v>82.562130099669204</v>
      </c>
      <c r="AL6968">
        <v>90.414390786114694</v>
      </c>
      <c r="AM6968">
        <v>89.5451685408852</v>
      </c>
      <c r="AN6968">
        <v>1.0000000616646401</v>
      </c>
    </row>
    <row r="6969" spans="1:40" x14ac:dyDescent="0.25">
      <c r="A6969" t="str">
        <f>"20190312154102934"</f>
        <v>20190312154102934</v>
      </c>
      <c r="B6969" t="str">
        <f>"1552376462923766"</f>
        <v>1552376462923766</v>
      </c>
      <c r="C6969" t="s">
        <v>40</v>
      </c>
      <c r="D6969">
        <v>4.2288209999999999</v>
      </c>
      <c r="E6969">
        <v>0.50567499999999999</v>
      </c>
      <c r="F6969" t="s">
        <v>84</v>
      </c>
      <c r="G6969">
        <v>-424.58969999999999</v>
      </c>
      <c r="H6969">
        <v>2.1902029999999999</v>
      </c>
      <c r="I6969">
        <v>0.43071749999999998</v>
      </c>
      <c r="J6969">
        <v>-421.73599999999999</v>
      </c>
      <c r="K6969">
        <v>1.1094059999999999</v>
      </c>
      <c r="L6969">
        <v>82.692569999999904</v>
      </c>
      <c r="M6969">
        <v>-1.0676140000000001E-2</v>
      </c>
      <c r="N6969">
        <v>0</v>
      </c>
      <c r="O6969">
        <v>-0.99991569999999996</v>
      </c>
      <c r="P6969">
        <v>-1.8987850000000001E-2</v>
      </c>
      <c r="Q6969">
        <v>-1.48734E-2</v>
      </c>
      <c r="R6969">
        <v>-0.99970919999999996</v>
      </c>
      <c r="S6969">
        <v>-0.1038208</v>
      </c>
      <c r="T6969">
        <v>3.9284590000000001E-2</v>
      </c>
      <c r="U6969">
        <v>-2.9994809999999998</v>
      </c>
      <c r="V6969">
        <v>8.3153619999999998E-3</v>
      </c>
      <c r="W6969">
        <v>-7.4331969999999999E-3</v>
      </c>
      <c r="X6969">
        <v>0.99993779999999999</v>
      </c>
      <c r="Y6969">
        <v>2.3917219999999999E-2</v>
      </c>
      <c r="Z6969">
        <v>-1.3089089999999999E-2</v>
      </c>
      <c r="AA6969">
        <v>0.99962819999999997</v>
      </c>
      <c r="AB6969">
        <v>26</v>
      </c>
      <c r="AC6969">
        <v>-2.8536999999999999</v>
      </c>
      <c r="AD6969">
        <v>1.080797</v>
      </c>
      <c r="AE6969">
        <v>-82.261852499999904</v>
      </c>
      <c r="AF6969">
        <v>1.9749338141905699</v>
      </c>
      <c r="AG6969">
        <v>1.080797</v>
      </c>
      <c r="AH6969">
        <v>82.273446363932706</v>
      </c>
      <c r="AI6969">
        <v>89.247585737624902</v>
      </c>
      <c r="AJ6969">
        <v>88.624906930691296</v>
      </c>
      <c r="AK6969">
        <v>82.304243282619197</v>
      </c>
      <c r="AL6969">
        <v>90.425894738076806</v>
      </c>
      <c r="AM6969">
        <v>89.523546198835604</v>
      </c>
      <c r="AN6969">
        <v>1.0000000007658301</v>
      </c>
    </row>
    <row r="6970" spans="1:40" x14ac:dyDescent="0.25">
      <c r="A6970" t="str">
        <f>"20190312154102956"</f>
        <v>20190312154102956</v>
      </c>
      <c r="B6970" t="str">
        <f>"1552376462953045"</f>
        <v>1552376462953045</v>
      </c>
      <c r="C6970" t="s">
        <v>40</v>
      </c>
      <c r="D6970">
        <v>4.3216000000000001</v>
      </c>
      <c r="E6970">
        <v>0.50566390000000006</v>
      </c>
      <c r="F6970" t="s">
        <v>84</v>
      </c>
      <c r="G6970">
        <v>-424.63350000000003</v>
      </c>
      <c r="H6970">
        <v>2.162528</v>
      </c>
      <c r="I6970">
        <v>0.43027109999999902</v>
      </c>
      <c r="J6970">
        <v>-421.73849999999999</v>
      </c>
      <c r="K6970">
        <v>1.1094170000000001</v>
      </c>
      <c r="L6970">
        <v>82.437349999999995</v>
      </c>
      <c r="M6970">
        <v>-1.0508409999999999E-2</v>
      </c>
      <c r="N6970">
        <v>0</v>
      </c>
      <c r="O6970">
        <v>-0.9999169</v>
      </c>
      <c r="P6970">
        <v>-1.9341239999999999E-2</v>
      </c>
      <c r="Q6970">
        <v>-1.518765E-2</v>
      </c>
      <c r="R6970">
        <v>-0.99969799999999998</v>
      </c>
      <c r="S6970">
        <v>-0.10565190000000001</v>
      </c>
      <c r="T6970">
        <v>3.839803E-2</v>
      </c>
      <c r="U6970">
        <v>-2.9994510000000001</v>
      </c>
      <c r="V6970">
        <v>8.8366480000000008E-3</v>
      </c>
      <c r="W6970">
        <v>-7.6722650000000002E-3</v>
      </c>
      <c r="X6970">
        <v>0.99993149999999997</v>
      </c>
      <c r="Y6970">
        <v>2.4694890000000001E-2</v>
      </c>
      <c r="Z6970">
        <v>-1.279366E-2</v>
      </c>
      <c r="AA6970">
        <v>0.99961319999999998</v>
      </c>
      <c r="AB6970">
        <v>26</v>
      </c>
      <c r="AC6970">
        <v>-2.8950000000000302</v>
      </c>
      <c r="AD6970">
        <v>1.0531109999999999</v>
      </c>
      <c r="AE6970">
        <v>-82.007078899999996</v>
      </c>
      <c r="AF6970">
        <v>2.03271730920244</v>
      </c>
      <c r="AG6970">
        <v>1.0531109999999999</v>
      </c>
      <c r="AH6970">
        <v>82.019464381125999</v>
      </c>
      <c r="AI6970">
        <v>89.264601619584596</v>
      </c>
      <c r="AJ6970">
        <v>88.580309108822604</v>
      </c>
      <c r="AK6970">
        <v>82.051407786851897</v>
      </c>
      <c r="AL6970">
        <v>90.439592726508906</v>
      </c>
      <c r="AM6970">
        <v>89.493675860983004</v>
      </c>
      <c r="AN6970">
        <v>0.99999997734517698</v>
      </c>
    </row>
    <row r="6971" spans="1:40" x14ac:dyDescent="0.25">
      <c r="A6971" t="str">
        <f>"20190312154102971"</f>
        <v>20190312154102971</v>
      </c>
      <c r="B6971" t="str">
        <f>"1552376462963782"</f>
        <v>1552376462963782</v>
      </c>
      <c r="C6971" t="s">
        <v>40</v>
      </c>
      <c r="D6971">
        <v>4.2822420000000001</v>
      </c>
      <c r="E6971">
        <v>0.5203989</v>
      </c>
      <c r="F6971" t="s">
        <v>84</v>
      </c>
      <c r="G6971">
        <v>-424.65050000000002</v>
      </c>
      <c r="H6971">
        <v>2.1253009999999999</v>
      </c>
      <c r="I6971">
        <v>0.43009950000000002</v>
      </c>
      <c r="J6971">
        <v>-421.74020000000002</v>
      </c>
      <c r="K6971">
        <v>1.1094250000000001</v>
      </c>
      <c r="L6971">
        <v>82.269260000000003</v>
      </c>
      <c r="M6971">
        <v>-1.0397679999999999E-2</v>
      </c>
      <c r="N6971">
        <v>0</v>
      </c>
      <c r="O6971">
        <v>-0.99991759999999996</v>
      </c>
      <c r="P6971">
        <v>-1.9127109999999999E-2</v>
      </c>
      <c r="Q6971">
        <v>-1.5004740000000001E-2</v>
      </c>
      <c r="R6971">
        <v>-0.9997047</v>
      </c>
      <c r="S6971">
        <v>-0.1065063</v>
      </c>
      <c r="T6971">
        <v>3.7155029999999999E-2</v>
      </c>
      <c r="U6971">
        <v>-2.9994200000000002</v>
      </c>
      <c r="V6971">
        <v>8.7331170000000003E-3</v>
      </c>
      <c r="W6971">
        <v>-7.4327780000000001E-3</v>
      </c>
      <c r="X6971">
        <v>0.99993430000000005</v>
      </c>
      <c r="Y6971">
        <v>2.509055E-2</v>
      </c>
      <c r="Z6971">
        <v>-1.2379599999999999E-2</v>
      </c>
      <c r="AA6971">
        <v>0.99960850000000001</v>
      </c>
      <c r="AB6971">
        <v>26</v>
      </c>
      <c r="AC6971">
        <v>-2.9102999999999999</v>
      </c>
      <c r="AD6971">
        <v>1.01587599999999</v>
      </c>
      <c r="AE6971">
        <v>-81.839160499999906</v>
      </c>
      <c r="AF6971">
        <v>2.0588643099689499</v>
      </c>
      <c r="AG6971">
        <v>1.01587599999999</v>
      </c>
      <c r="AH6971">
        <v>81.8524012075424</v>
      </c>
      <c r="AI6971">
        <v>89.289159307689303</v>
      </c>
      <c r="AJ6971">
        <v>88.559121480936099</v>
      </c>
      <c r="AK6971">
        <v>81.884592627274699</v>
      </c>
      <c r="AL6971">
        <v>90.425870705715894</v>
      </c>
      <c r="AM6971">
        <v>89.499609099960693</v>
      </c>
      <c r="AN6971">
        <v>1.0000000589189</v>
      </c>
    </row>
    <row r="6972" spans="1:40" x14ac:dyDescent="0.25">
      <c r="A6972" t="str">
        <f>"20190312154102985"</f>
        <v>20190312154102985</v>
      </c>
      <c r="B6972" t="str">
        <f>"1552376462973541"</f>
        <v>1552376462973541</v>
      </c>
      <c r="C6972" t="s">
        <v>40</v>
      </c>
      <c r="D6972">
        <v>4.2044739999999896</v>
      </c>
      <c r="E6972">
        <v>0.52891259999999996</v>
      </c>
      <c r="F6972" t="s">
        <v>84</v>
      </c>
      <c r="G6972">
        <v>-427.79730000000001</v>
      </c>
      <c r="H6972">
        <v>1.0374920000000001</v>
      </c>
      <c r="I6972">
        <v>0.4802284</v>
      </c>
      <c r="J6972">
        <v>-421.74180000000001</v>
      </c>
      <c r="K6972">
        <v>1.1094379999999999</v>
      </c>
      <c r="L6972">
        <v>82.105959999999996</v>
      </c>
      <c r="M6972">
        <v>-1.029033E-2</v>
      </c>
      <c r="N6972">
        <v>0</v>
      </c>
      <c r="O6972">
        <v>-0.99991830000000004</v>
      </c>
      <c r="P6972">
        <v>-1.9201369999999999E-2</v>
      </c>
      <c r="Q6972">
        <v>-1.508139E-2</v>
      </c>
      <c r="R6972">
        <v>-0.99970219999999999</v>
      </c>
      <c r="S6972">
        <v>-0.2219238</v>
      </c>
      <c r="T6972">
        <v>-2.6364330000000001E-3</v>
      </c>
      <c r="U6972">
        <v>-2.996613</v>
      </c>
      <c r="V6972">
        <v>8.9147580000000001E-3</v>
      </c>
      <c r="W6972">
        <v>-7.4480049999999997E-3</v>
      </c>
      <c r="X6972">
        <v>0.9999325</v>
      </c>
      <c r="Y6972">
        <v>6.3589510000000002E-2</v>
      </c>
      <c r="Z6972">
        <v>8.7764210000000002E-4</v>
      </c>
      <c r="AA6972">
        <v>0.99797579999999997</v>
      </c>
      <c r="AB6972">
        <v>26</v>
      </c>
      <c r="AC6972">
        <v>-6.0554999999999897</v>
      </c>
      <c r="AD6972">
        <v>-7.1945999999999802E-2</v>
      </c>
      <c r="AE6972">
        <v>-81.625731599999995</v>
      </c>
      <c r="AF6972">
        <v>5.2151954670284901</v>
      </c>
      <c r="AG6972">
        <v>-7.1945999999999802E-2</v>
      </c>
      <c r="AH6972">
        <v>81.683661299454997</v>
      </c>
      <c r="AI6972">
        <v>90.050362886175904</v>
      </c>
      <c r="AJ6972">
        <v>86.346837796348794</v>
      </c>
      <c r="AK6972">
        <v>81.850008938730795</v>
      </c>
      <c r="AL6972">
        <v>90.426743208409306</v>
      </c>
      <c r="AM6972">
        <v>89.489201044476403</v>
      </c>
      <c r="AN6972">
        <v>0.99999997512246397</v>
      </c>
    </row>
    <row r="6973" spans="1:40" x14ac:dyDescent="0.25">
      <c r="A6973" t="str">
        <f>"20190312154103001"</f>
        <v>20190312154103001</v>
      </c>
      <c r="B6973" t="str">
        <f>"1552376462993062"</f>
        <v>1552376462993062</v>
      </c>
      <c r="C6973" t="s">
        <v>40</v>
      </c>
      <c r="D6973">
        <v>4.1707900000000002</v>
      </c>
      <c r="E6973">
        <v>0.53644150000000002</v>
      </c>
      <c r="F6973" t="s">
        <v>84</v>
      </c>
      <c r="G6973">
        <v>-429.89580000000001</v>
      </c>
      <c r="H6973">
        <v>1.388306</v>
      </c>
      <c r="I6973">
        <v>-1.992321</v>
      </c>
      <c r="J6973">
        <v>-421.74369999999999</v>
      </c>
      <c r="K6973">
        <v>1.1094539999999999</v>
      </c>
      <c r="L6973">
        <v>81.910919999999905</v>
      </c>
      <c r="M6973">
        <v>-1.016219E-2</v>
      </c>
      <c r="N6973">
        <v>0</v>
      </c>
      <c r="O6973">
        <v>-0.9999188</v>
      </c>
      <c r="P6973">
        <v>-1.9154210000000001E-2</v>
      </c>
      <c r="Q6973">
        <v>-1.5222100000000001E-2</v>
      </c>
      <c r="R6973">
        <v>-0.9997007</v>
      </c>
      <c r="S6973">
        <v>-0.29043580000000002</v>
      </c>
      <c r="T6973">
        <v>9.9320410000000008E-3</v>
      </c>
      <c r="U6973">
        <v>-2.9954830000000001</v>
      </c>
      <c r="V6973">
        <v>8.9957519999999992E-3</v>
      </c>
      <c r="W6973">
        <v>-7.5047789999999996E-3</v>
      </c>
      <c r="X6973">
        <v>0.99993140000000003</v>
      </c>
      <c r="Y6973">
        <v>8.6384799999999998E-2</v>
      </c>
      <c r="Z6973">
        <v>-3.3014590000000001E-3</v>
      </c>
      <c r="AA6973">
        <v>0.99625640000000004</v>
      </c>
      <c r="AB6973">
        <v>26</v>
      </c>
      <c r="AC6973">
        <v>-8.1521000000000097</v>
      </c>
      <c r="AD6973">
        <v>0.27885199999999899</v>
      </c>
      <c r="AE6973">
        <v>-83.903240999999994</v>
      </c>
      <c r="AF6973">
        <v>7.2989332796155901</v>
      </c>
      <c r="AG6973">
        <v>0.27885199999999899</v>
      </c>
      <c r="AH6973">
        <v>83.980834976621495</v>
      </c>
      <c r="AI6973">
        <v>89.810468880608397</v>
      </c>
      <c r="AJ6973">
        <v>85.032797173562997</v>
      </c>
      <c r="AK6973">
        <v>84.297881520407799</v>
      </c>
      <c r="AL6973">
        <v>90.429996188553005</v>
      </c>
      <c r="AM6973">
        <v>89.484559922065699</v>
      </c>
      <c r="AN6973">
        <v>1.00000002498392</v>
      </c>
    </row>
    <row r="6974" spans="1:40" x14ac:dyDescent="0.25">
      <c r="A6974" t="str">
        <f>"20190312154103023"</f>
        <v>20190312154103023</v>
      </c>
      <c r="B6974" t="str">
        <f>"1552376463013557"</f>
        <v>1552376463013557</v>
      </c>
      <c r="C6974" t="s">
        <v>40</v>
      </c>
      <c r="D6974">
        <v>4.1594800000000003</v>
      </c>
      <c r="E6974">
        <v>0.54023359999999998</v>
      </c>
      <c r="F6974" t="s">
        <v>84</v>
      </c>
      <c r="G6974">
        <v>-431.69959999999998</v>
      </c>
      <c r="H6974">
        <v>0.6943028</v>
      </c>
      <c r="I6974">
        <v>-3.4688889999999999</v>
      </c>
      <c r="J6974">
        <v>-421.74610000000001</v>
      </c>
      <c r="K6974">
        <v>1.1094740000000001</v>
      </c>
      <c r="L6974">
        <v>81.652280000000005</v>
      </c>
      <c r="M6974">
        <v>-9.9922329999999997E-3</v>
      </c>
      <c r="N6974">
        <v>0</v>
      </c>
      <c r="O6974">
        <v>-0.99991949999999996</v>
      </c>
      <c r="P6974">
        <v>-1.88895E-2</v>
      </c>
      <c r="Q6974">
        <v>-1.477735E-2</v>
      </c>
      <c r="R6974">
        <v>-0.99971259999999995</v>
      </c>
      <c r="S6974">
        <v>-0.34912110000000002</v>
      </c>
      <c r="T6974">
        <v>-1.455891E-2</v>
      </c>
      <c r="U6974">
        <v>-2.9939879999999999</v>
      </c>
      <c r="V6974">
        <v>8.9007349999999999E-3</v>
      </c>
      <c r="W6974">
        <v>-6.9256969999999998E-3</v>
      </c>
      <c r="X6974">
        <v>0.99993639999999995</v>
      </c>
      <c r="Y6974">
        <v>0.1058902</v>
      </c>
      <c r="Z6974">
        <v>4.8322540000000002E-3</v>
      </c>
      <c r="AA6974">
        <v>0.99436610000000003</v>
      </c>
      <c r="AB6974">
        <v>26</v>
      </c>
      <c r="AC6974">
        <v>-9.9534999999999592</v>
      </c>
      <c r="AD6974">
        <v>-0.41517120000000002</v>
      </c>
      <c r="AE6974">
        <v>-85.121168999999995</v>
      </c>
      <c r="AF6974">
        <v>9.1022128815848298</v>
      </c>
      <c r="AG6974">
        <v>-0.41517120000000002</v>
      </c>
      <c r="AH6974">
        <v>85.214380081764006</v>
      </c>
      <c r="AI6974">
        <v>90.277568412825602</v>
      </c>
      <c r="AJ6974">
        <v>83.903042871451603</v>
      </c>
      <c r="AK6974">
        <v>85.700135467724607</v>
      </c>
      <c r="AL6974">
        <v>90.396816382070696</v>
      </c>
      <c r="AM6974">
        <v>89.490006482672896</v>
      </c>
      <c r="AN6974">
        <v>0.99999999620371705</v>
      </c>
    </row>
    <row r="6975" spans="1:40" x14ac:dyDescent="0.25">
      <c r="A6975" t="str">
        <f>"20190312154103039"</f>
        <v>20190312154103039</v>
      </c>
      <c r="B6975" t="str">
        <f>"1552376463023318"</f>
        <v>1552376463023318</v>
      </c>
      <c r="C6975" t="s">
        <v>40</v>
      </c>
      <c r="D6975">
        <v>4.2211470000000002</v>
      </c>
      <c r="E6975">
        <v>0.54114439999999997</v>
      </c>
      <c r="F6975" t="s">
        <v>84</v>
      </c>
      <c r="G6975">
        <v>-432.61349999999999</v>
      </c>
      <c r="H6975">
        <v>0.69499949999999999</v>
      </c>
      <c r="I6975">
        <v>-4.2169129999999999</v>
      </c>
      <c r="J6975">
        <v>-421.74779999999998</v>
      </c>
      <c r="K6975">
        <v>1.1094930000000001</v>
      </c>
      <c r="L6975">
        <v>81.46951</v>
      </c>
      <c r="M6975">
        <v>-9.8723669999999999E-3</v>
      </c>
      <c r="N6975">
        <v>0</v>
      </c>
      <c r="O6975">
        <v>-0.99992000000000003</v>
      </c>
      <c r="P6975">
        <v>-1.8890480000000001E-2</v>
      </c>
      <c r="Q6975">
        <v>-1.492694E-2</v>
      </c>
      <c r="R6975">
        <v>-0.9997104</v>
      </c>
      <c r="S6975">
        <v>-0.37884519999999999</v>
      </c>
      <c r="T6975">
        <v>-1.444983E-2</v>
      </c>
      <c r="U6975">
        <v>-2.9934690000000002</v>
      </c>
      <c r="V6975">
        <v>9.0216029999999996E-3</v>
      </c>
      <c r="W6975">
        <v>-6.9691099999999997E-3</v>
      </c>
      <c r="X6975">
        <v>0.99993500000000002</v>
      </c>
      <c r="Y6975">
        <v>0.1157536</v>
      </c>
      <c r="Z6975">
        <v>4.7913779999999998E-3</v>
      </c>
      <c r="AA6975">
        <v>0.99326639999999999</v>
      </c>
      <c r="AB6975">
        <v>26</v>
      </c>
      <c r="AC6975">
        <v>-10.8657</v>
      </c>
      <c r="AD6975">
        <v>-0.41449350000000001</v>
      </c>
      <c r="AE6975">
        <v>-85.686423000000005</v>
      </c>
      <c r="AF6975">
        <v>10.0189854531121</v>
      </c>
      <c r="AG6975">
        <v>-0.41449350000000001</v>
      </c>
      <c r="AH6975">
        <v>85.787544874891495</v>
      </c>
      <c r="AI6975">
        <v>90.274960948325102</v>
      </c>
      <c r="AJ6975">
        <v>83.338696969926801</v>
      </c>
      <c r="AK6975">
        <v>86.371608356176495</v>
      </c>
      <c r="AL6975">
        <v>90.399303829849998</v>
      </c>
      <c r="AM6975">
        <v>89.483080648411701</v>
      </c>
      <c r="AN6975">
        <v>0.99999998101994003</v>
      </c>
    </row>
    <row r="6976" spans="1:40" x14ac:dyDescent="0.25">
      <c r="A6976" t="str">
        <f>"20190312154103052"</f>
        <v>20190312154103052</v>
      </c>
      <c r="B6976" t="str">
        <f>"1552376463043813"</f>
        <v>1552376463043813</v>
      </c>
      <c r="C6976" t="s">
        <v>40</v>
      </c>
      <c r="D6976">
        <v>4.1219010000000003</v>
      </c>
      <c r="E6976">
        <v>0.54264749999999995</v>
      </c>
      <c r="F6976" t="s">
        <v>84</v>
      </c>
      <c r="G6976">
        <v>-432.81700000000001</v>
      </c>
      <c r="H6976">
        <v>0.47667720000000002</v>
      </c>
      <c r="I6976">
        <v>-4.3835439999999997</v>
      </c>
      <c r="J6976">
        <v>-421.74930000000001</v>
      </c>
      <c r="K6976">
        <v>1.1095139999999999</v>
      </c>
      <c r="L6976">
        <v>81.306060000000002</v>
      </c>
      <c r="M6976">
        <v>-9.7647289999999998E-3</v>
      </c>
      <c r="N6976">
        <v>0</v>
      </c>
      <c r="O6976">
        <v>-0.99992020000000004</v>
      </c>
      <c r="P6976">
        <v>-1.8758529999999999E-2</v>
      </c>
      <c r="Q6976">
        <v>-1.483512E-2</v>
      </c>
      <c r="R6976">
        <v>-0.9997144</v>
      </c>
      <c r="S6976">
        <v>-0.38592530000000003</v>
      </c>
      <c r="T6976">
        <v>-2.2063969999999999E-2</v>
      </c>
      <c r="U6976">
        <v>-2.9932560000000001</v>
      </c>
      <c r="V6976">
        <v>8.9971919999999993E-3</v>
      </c>
      <c r="W6976">
        <v>-6.7722219999999996E-3</v>
      </c>
      <c r="X6976">
        <v>0.99993659999999995</v>
      </c>
      <c r="Y6976">
        <v>0.1181788</v>
      </c>
      <c r="Z6976">
        <v>7.314404E-3</v>
      </c>
      <c r="AA6976">
        <v>0.9929654</v>
      </c>
      <c r="AB6976">
        <v>26</v>
      </c>
      <c r="AC6976">
        <v>-11.067699999999901</v>
      </c>
      <c r="AD6976">
        <v>-0.63283679999999998</v>
      </c>
      <c r="AE6976">
        <v>-85.689604000000003</v>
      </c>
      <c r="AF6976">
        <v>10.2298608644825</v>
      </c>
      <c r="AG6976">
        <v>-0.63283679999999998</v>
      </c>
      <c r="AH6976">
        <v>85.788992669678606</v>
      </c>
      <c r="AI6976">
        <v>90.419671136540003</v>
      </c>
      <c r="AJ6976">
        <v>83.199905947810606</v>
      </c>
      <c r="AK6976">
        <v>86.399084480104705</v>
      </c>
      <c r="AL6976">
        <v>90.388022701348206</v>
      </c>
      <c r="AM6976">
        <v>89.484480097904196</v>
      </c>
      <c r="AN6976">
        <v>1.0000000082371301</v>
      </c>
    </row>
    <row r="6977" spans="1:40" x14ac:dyDescent="0.25">
      <c r="A6977" t="str">
        <f>"20190312154103069"</f>
        <v>20190312154103069</v>
      </c>
      <c r="B6977" t="str">
        <f>"1552376463053574"</f>
        <v>1552376463053574</v>
      </c>
      <c r="C6977" t="s">
        <v>40</v>
      </c>
      <c r="D6977">
        <v>4.080775</v>
      </c>
      <c r="E6977">
        <v>0.54325429999999997</v>
      </c>
      <c r="F6977" t="s">
        <v>84</v>
      </c>
      <c r="G6977">
        <v>-433.16160000000002</v>
      </c>
      <c r="H6977">
        <v>0.33566780000000002</v>
      </c>
      <c r="I6977">
        <v>-4.6656690000000003</v>
      </c>
      <c r="J6977">
        <v>-421.75099999999998</v>
      </c>
      <c r="K6977">
        <v>1.1095360000000001</v>
      </c>
      <c r="L6977">
        <v>81.117679999999993</v>
      </c>
      <c r="M6977">
        <v>-9.6409540000000002E-3</v>
      </c>
      <c r="N6977">
        <v>0</v>
      </c>
      <c r="O6977">
        <v>-0.99992000000000003</v>
      </c>
      <c r="P6977">
        <v>-1.870455E-2</v>
      </c>
      <c r="Q6977">
        <v>-1.4563120000000001E-2</v>
      </c>
      <c r="R6977">
        <v>-0.99971900000000002</v>
      </c>
      <c r="S6977">
        <v>-0.3973083</v>
      </c>
      <c r="T6977">
        <v>-2.694154E-2</v>
      </c>
      <c r="U6977">
        <v>-2.9930110000000001</v>
      </c>
      <c r="V6977">
        <v>9.0668220000000004E-3</v>
      </c>
      <c r="W6977">
        <v>-6.3702050000000003E-3</v>
      </c>
      <c r="X6977">
        <v>0.99993860000000001</v>
      </c>
      <c r="Y6977">
        <v>0.1220222</v>
      </c>
      <c r="Z6977">
        <v>8.9277060000000005E-3</v>
      </c>
      <c r="AA6977">
        <v>0.99248720000000001</v>
      </c>
      <c r="AB6977">
        <v>26</v>
      </c>
      <c r="AC6977">
        <v>-11.410600000000001</v>
      </c>
      <c r="AD6977">
        <v>-0.77386820000000001</v>
      </c>
      <c r="AE6977">
        <v>-85.783349000000001</v>
      </c>
      <c r="AF6977">
        <v>10.582162384114801</v>
      </c>
      <c r="AG6977">
        <v>-0.77386820000000001</v>
      </c>
      <c r="AH6977">
        <v>85.882506932231706</v>
      </c>
      <c r="AI6977">
        <v>90.512390784158399</v>
      </c>
      <c r="AJ6977">
        <v>82.975607101626693</v>
      </c>
      <c r="AK6977">
        <v>86.535461110920195</v>
      </c>
      <c r="AL6977">
        <v>90.364988331395395</v>
      </c>
      <c r="AM6977">
        <v>89.480491704341006</v>
      </c>
      <c r="AN6977">
        <v>0.99999999527144001</v>
      </c>
    </row>
    <row r="6978" spans="1:40" x14ac:dyDescent="0.25">
      <c r="A6978" t="str">
        <f>"20190312154103084"</f>
        <v>20190312154103084</v>
      </c>
      <c r="B6978" t="str">
        <f>"1552376463073094"</f>
        <v>1552376463073094</v>
      </c>
      <c r="C6978" t="s">
        <v>40</v>
      </c>
      <c r="D6978">
        <v>4.1897669999999998</v>
      </c>
      <c r="E6978">
        <v>0.54369659999999997</v>
      </c>
      <c r="F6978" t="s">
        <v>84</v>
      </c>
      <c r="G6978">
        <v>-433.28609999999998</v>
      </c>
      <c r="H6978">
        <v>0.3427694</v>
      </c>
      <c r="I6978">
        <v>-4.7675999999999998</v>
      </c>
      <c r="J6978">
        <v>-421.75259999999997</v>
      </c>
      <c r="K6978">
        <v>1.109558</v>
      </c>
      <c r="L6978">
        <v>80.932459999999907</v>
      </c>
      <c r="M6978">
        <v>-9.5192390000000005E-3</v>
      </c>
      <c r="N6978">
        <v>0</v>
      </c>
      <c r="O6978">
        <v>-0.99992020000000004</v>
      </c>
      <c r="P6978">
        <v>-1.864913E-2</v>
      </c>
      <c r="Q6978">
        <v>-1.4899239999999999E-2</v>
      </c>
      <c r="R6978">
        <v>-0.99971529999999997</v>
      </c>
      <c r="S6978">
        <v>-0.40197749999999999</v>
      </c>
      <c r="T6978">
        <v>-2.6721120000000001E-2</v>
      </c>
      <c r="U6978">
        <v>-2.9929199999999998</v>
      </c>
      <c r="V6978">
        <v>9.1331940000000007E-3</v>
      </c>
      <c r="W6978">
        <v>-6.5716669999999998E-3</v>
      </c>
      <c r="X6978">
        <v>0.99993670000000001</v>
      </c>
      <c r="Y6978">
        <v>0.1236681</v>
      </c>
      <c r="Z6978">
        <v>8.853138E-3</v>
      </c>
      <c r="AA6978">
        <v>0.9922841</v>
      </c>
      <c r="AB6978">
        <v>26</v>
      </c>
      <c r="AC6978">
        <v>-11.5335</v>
      </c>
      <c r="AD6978">
        <v>-0.76678859999999904</v>
      </c>
      <c r="AE6978">
        <v>-85.700059999999993</v>
      </c>
      <c r="AF6978">
        <v>10.7163072683339</v>
      </c>
      <c r="AG6978">
        <v>-0.76678859999999904</v>
      </c>
      <c r="AH6978">
        <v>85.799224203673504</v>
      </c>
      <c r="AI6978">
        <v>90.5080918119247</v>
      </c>
      <c r="AJ6978">
        <v>82.880635562929797</v>
      </c>
      <c r="AK6978">
        <v>86.469266680009895</v>
      </c>
      <c r="AL6978">
        <v>90.376531492558996</v>
      </c>
      <c r="AM6978">
        <v>89.476687956002706</v>
      </c>
      <c r="AN6978">
        <v>1.00000000302334</v>
      </c>
    </row>
    <row r="6979" spans="1:40" x14ac:dyDescent="0.25">
      <c r="A6979" t="str">
        <f>"20190312154103103"</f>
        <v>20190312154103103</v>
      </c>
      <c r="B6979" t="str">
        <f>"1552376463093590"</f>
        <v>1552376463093590</v>
      </c>
      <c r="C6979" t="s">
        <v>40</v>
      </c>
      <c r="D6979">
        <v>4.1343709999999998</v>
      </c>
      <c r="E6979">
        <v>0.5441568</v>
      </c>
      <c r="F6979" t="s">
        <v>43</v>
      </c>
      <c r="G6979">
        <v>-434.65859999999998</v>
      </c>
      <c r="H6979">
        <v>-0.05</v>
      </c>
      <c r="I6979">
        <v>-14.530530000000001</v>
      </c>
      <c r="J6979">
        <v>-421.75450000000001</v>
      </c>
      <c r="K6979">
        <v>1.1095820000000001</v>
      </c>
      <c r="L6979">
        <v>80.716800000000006</v>
      </c>
      <c r="M6979">
        <v>-9.3773980000000003E-3</v>
      </c>
      <c r="N6979">
        <v>0</v>
      </c>
      <c r="O6979">
        <v>-0.99992020000000004</v>
      </c>
      <c r="P6979">
        <v>-1.8545209999999999E-2</v>
      </c>
      <c r="Q6979">
        <v>-1.46E-2</v>
      </c>
      <c r="R6979">
        <v>-0.99972169999999905</v>
      </c>
      <c r="S6979">
        <v>-0.40460210000000002</v>
      </c>
      <c r="T6979">
        <v>-3.6352160000000001E-2</v>
      </c>
      <c r="U6979">
        <v>-2.9927670000000002</v>
      </c>
      <c r="V6979">
        <v>9.1709129999999993E-3</v>
      </c>
      <c r="W6979">
        <v>-6.108713E-3</v>
      </c>
      <c r="X6979">
        <v>0.99993929999999998</v>
      </c>
      <c r="Y6979">
        <v>0.1246657</v>
      </c>
      <c r="Z6979">
        <v>1.2042829999999999E-2</v>
      </c>
      <c r="AA6979">
        <v>0.9921257</v>
      </c>
      <c r="AB6979">
        <v>26</v>
      </c>
      <c r="AC6979">
        <v>-12.9040999999999</v>
      </c>
      <c r="AD6979">
        <v>-1.1595819999999999</v>
      </c>
      <c r="AE6979">
        <v>-95.247330000000005</v>
      </c>
      <c r="AF6979">
        <v>12.008580664470299</v>
      </c>
      <c r="AG6979">
        <v>-1.1595819999999999</v>
      </c>
      <c r="AH6979">
        <v>95.350275225268007</v>
      </c>
      <c r="AI6979">
        <v>90.691295705320201</v>
      </c>
      <c r="AJ6979">
        <v>82.821861568324707</v>
      </c>
      <c r="AK6979">
        <v>96.110486553363003</v>
      </c>
      <c r="AL6979">
        <v>90.350005645504993</v>
      </c>
      <c r="AM6979">
        <v>89.474528226959706</v>
      </c>
      <c r="AN6979">
        <v>1.00000001285213</v>
      </c>
    </row>
    <row r="6980" spans="1:40" x14ac:dyDescent="0.25">
      <c r="A6980" t="str">
        <f>"20190312154103124"</f>
        <v>20190312154103124</v>
      </c>
      <c r="B6980" t="str">
        <f>"1552376463113110"</f>
        <v>1552376463113110</v>
      </c>
      <c r="C6980" t="s">
        <v>40</v>
      </c>
      <c r="D6980">
        <v>4.1810239999999999</v>
      </c>
      <c r="E6980">
        <v>0.54461230000000005</v>
      </c>
      <c r="F6980" t="s">
        <v>43</v>
      </c>
      <c r="G6980">
        <v>-433.53120000000001</v>
      </c>
      <c r="H6980">
        <v>-0.05</v>
      </c>
      <c r="I6980">
        <v>-5.5766749999999998</v>
      </c>
      <c r="J6980">
        <v>-421.7568</v>
      </c>
      <c r="K6980">
        <v>1.1096159999999999</v>
      </c>
      <c r="L6980">
        <v>80.455629999999999</v>
      </c>
      <c r="M6980">
        <v>-9.2058590000000003E-3</v>
      </c>
      <c r="N6980">
        <v>0</v>
      </c>
      <c r="O6980">
        <v>-0.99992020000000004</v>
      </c>
      <c r="P6980">
        <v>-1.8933990000000001E-2</v>
      </c>
      <c r="Q6980">
        <v>-1.4583580000000001E-2</v>
      </c>
      <c r="R6980">
        <v>-0.99971469999999996</v>
      </c>
      <c r="S6980">
        <v>-0.40841670000000002</v>
      </c>
      <c r="T6980">
        <v>-4.021454E-2</v>
      </c>
      <c r="U6980">
        <v>-2.9926759999999999</v>
      </c>
      <c r="V6980">
        <v>9.7311989999999994E-3</v>
      </c>
      <c r="W6980">
        <v>-5.8857609999999998E-3</v>
      </c>
      <c r="X6980">
        <v>0.99993529999999997</v>
      </c>
      <c r="Y6980">
        <v>0.12607930000000001</v>
      </c>
      <c r="Z6980">
        <v>1.332025E-2</v>
      </c>
      <c r="AA6980">
        <v>0.99193070000000005</v>
      </c>
      <c r="AB6980">
        <v>26</v>
      </c>
      <c r="AC6980">
        <v>-11.7744</v>
      </c>
      <c r="AD6980">
        <v>-1.159616</v>
      </c>
      <c r="AE6980">
        <v>-86.032304999999994</v>
      </c>
      <c r="AF6980">
        <v>10.979911970182</v>
      </c>
      <c r="AG6980">
        <v>-1.159616</v>
      </c>
      <c r="AH6980">
        <v>86.1216978051159</v>
      </c>
      <c r="AI6980">
        <v>90.765239169550796</v>
      </c>
      <c r="AJ6980">
        <v>82.7343872871146</v>
      </c>
      <c r="AK6980">
        <v>86.826551290351901</v>
      </c>
      <c r="AL6980">
        <v>90.337231221290807</v>
      </c>
      <c r="AM6980">
        <v>89.4424248933705</v>
      </c>
      <c r="AN6980">
        <v>0.99999997130130702</v>
      </c>
    </row>
    <row r="6981" spans="1:40" x14ac:dyDescent="0.25">
      <c r="A6981" t="str">
        <f>"20190312154103147"</f>
        <v>20190312154103147</v>
      </c>
      <c r="B6981" t="str">
        <f>"1552376463133606"</f>
        <v>1552376463133606</v>
      </c>
      <c r="C6981" t="s">
        <v>40</v>
      </c>
      <c r="D6981">
        <v>4.1309440000000004</v>
      </c>
      <c r="E6981">
        <v>0.54480759999999995</v>
      </c>
      <c r="F6981" t="s">
        <v>69</v>
      </c>
      <c r="G6981">
        <v>-431.42329999999998</v>
      </c>
      <c r="H6981">
        <v>7.9987569999999994E-2</v>
      </c>
      <c r="I6981">
        <v>10.3223</v>
      </c>
      <c r="J6981">
        <v>-421.75900000000001</v>
      </c>
      <c r="K6981">
        <v>1.1096490000000001</v>
      </c>
      <c r="L6981">
        <v>80.192539999999994</v>
      </c>
      <c r="M6981">
        <v>-9.0332520000000003E-3</v>
      </c>
      <c r="N6981">
        <v>0</v>
      </c>
      <c r="O6981">
        <v>-0.99991969999999997</v>
      </c>
      <c r="P6981">
        <v>-1.9017340000000001E-2</v>
      </c>
      <c r="Q6981">
        <v>-1.467507E-2</v>
      </c>
      <c r="R6981">
        <v>-0.99971180000000004</v>
      </c>
      <c r="S6981">
        <v>-0.41244510000000001</v>
      </c>
      <c r="T6981">
        <v>-4.3931480000000002E-2</v>
      </c>
      <c r="U6981">
        <v>-2.9924010000000001</v>
      </c>
      <c r="V6981">
        <v>9.9871160000000007E-3</v>
      </c>
      <c r="W6981">
        <v>-5.7576119999999996E-3</v>
      </c>
      <c r="X6981">
        <v>0.99993350000000003</v>
      </c>
      <c r="Y6981">
        <v>0.12757089999999999</v>
      </c>
      <c r="Z6981">
        <v>1.45498E-2</v>
      </c>
      <c r="AA6981">
        <v>0.99172269999999896</v>
      </c>
      <c r="AB6981">
        <v>26</v>
      </c>
      <c r="AC6981">
        <v>-9.6642999999999599</v>
      </c>
      <c r="AD6981">
        <v>-1.02966143</v>
      </c>
      <c r="AE6981">
        <v>-69.870239999999995</v>
      </c>
      <c r="AF6981">
        <v>9.0308008216443003</v>
      </c>
      <c r="AG6981">
        <v>-1.02966143</v>
      </c>
      <c r="AH6981">
        <v>69.939788682315196</v>
      </c>
      <c r="AI6981">
        <v>90.836510387442999</v>
      </c>
      <c r="AJ6981">
        <v>82.642534522920499</v>
      </c>
      <c r="AK6981">
        <v>70.527934941181599</v>
      </c>
      <c r="AL6981">
        <v>90.329888707319995</v>
      </c>
      <c r="AM6981">
        <v>89.427761376084007</v>
      </c>
      <c r="AN6981">
        <v>0.99999994850209295</v>
      </c>
    </row>
    <row r="6982" spans="1:40" x14ac:dyDescent="0.25">
      <c r="A6982" t="str">
        <f>"20190312154103169"</f>
        <v>20190312154103169</v>
      </c>
      <c r="B6982" t="str">
        <f>"1552376463163862"</f>
        <v>1552376463163862</v>
      </c>
      <c r="C6982" t="s">
        <v>40</v>
      </c>
      <c r="D6982">
        <v>4.1232179999999996</v>
      </c>
      <c r="E6982">
        <v>0.54529989999999995</v>
      </c>
      <c r="F6982" t="s">
        <v>69</v>
      </c>
      <c r="G6982">
        <v>-430.97239999999999</v>
      </c>
      <c r="H6982">
        <v>7.9987909999999995E-2</v>
      </c>
      <c r="I6982">
        <v>13.66849</v>
      </c>
      <c r="J6982">
        <v>-421.76119999999997</v>
      </c>
      <c r="K6982">
        <v>1.1096889999999999</v>
      </c>
      <c r="L6982">
        <v>79.925749999999994</v>
      </c>
      <c r="M6982">
        <v>-8.8582999999999995E-3</v>
      </c>
      <c r="N6982">
        <v>0</v>
      </c>
      <c r="O6982">
        <v>-0.999919</v>
      </c>
      <c r="P6982">
        <v>-1.9180760000000002E-2</v>
      </c>
      <c r="Q6982">
        <v>-1.4348980000000001E-2</v>
      </c>
      <c r="R6982">
        <v>-0.99971330000000003</v>
      </c>
      <c r="S6982">
        <v>-0.41442869999999998</v>
      </c>
      <c r="T6982">
        <v>-4.6314599999999997E-2</v>
      </c>
      <c r="U6982">
        <v>-2.9922789999999999</v>
      </c>
      <c r="V6982">
        <v>1.0325290000000001E-2</v>
      </c>
      <c r="W6982">
        <v>-5.1815979999999999E-3</v>
      </c>
      <c r="X6982">
        <v>0.99993319999999997</v>
      </c>
      <c r="Y6982">
        <v>0.12839339999999999</v>
      </c>
      <c r="Z6982">
        <v>1.5338040000000001E-2</v>
      </c>
      <c r="AA6982">
        <v>0.99160470000000001</v>
      </c>
      <c r="AB6982">
        <v>26</v>
      </c>
      <c r="AC6982">
        <v>-9.2112000000000194</v>
      </c>
      <c r="AD6982">
        <v>-1.0297010900000001</v>
      </c>
      <c r="AE6982">
        <v>-66.257259999999903</v>
      </c>
      <c r="AF6982">
        <v>8.6218444885238998</v>
      </c>
      <c r="AG6982">
        <v>-1.0297010900000001</v>
      </c>
      <c r="AH6982">
        <v>66.320545010826805</v>
      </c>
      <c r="AI6982">
        <v>90.882088450519205</v>
      </c>
      <c r="AJ6982">
        <v>82.592940355643805</v>
      </c>
      <c r="AK6982">
        <v>66.886554532672307</v>
      </c>
      <c r="AL6982">
        <v>90.296885045087294</v>
      </c>
      <c r="AM6982">
        <v>89.408385966049494</v>
      </c>
      <c r="AN6982">
        <v>0.99999993251682595</v>
      </c>
    </row>
    <row r="6983" spans="1:40" x14ac:dyDescent="0.25">
      <c r="A6983" t="str">
        <f>"20190312154103191"</f>
        <v>20190312154103191</v>
      </c>
      <c r="B6983" t="str">
        <f>"1552376463183381"</f>
        <v>1552376463183381</v>
      </c>
      <c r="C6983" t="s">
        <v>40</v>
      </c>
      <c r="D6983">
        <v>4.1064089999999904</v>
      </c>
      <c r="E6983">
        <v>0.54558689999999999</v>
      </c>
      <c r="F6983" t="s">
        <v>69</v>
      </c>
      <c r="G6983">
        <v>-430.85140000000001</v>
      </c>
      <c r="H6983">
        <v>7.9987649999999993E-2</v>
      </c>
      <c r="I6983">
        <v>14.946059999999999</v>
      </c>
      <c r="J6983">
        <v>-421.76330000000002</v>
      </c>
      <c r="K6983">
        <v>1.1097349999999999</v>
      </c>
      <c r="L6983">
        <v>79.666529999999995</v>
      </c>
      <c r="M6983">
        <v>-8.6886229999999995E-3</v>
      </c>
      <c r="N6983">
        <v>0</v>
      </c>
      <c r="O6983">
        <v>-0.99991779999999997</v>
      </c>
      <c r="P6983">
        <v>-1.900232E-2</v>
      </c>
      <c r="Q6983">
        <v>-1.448518E-2</v>
      </c>
      <c r="R6983">
        <v>-0.99971469999999996</v>
      </c>
      <c r="S6983">
        <v>-0.41857909999999998</v>
      </c>
      <c r="T6983">
        <v>-4.7415260000000001E-2</v>
      </c>
      <c r="U6983">
        <v>-2.9921570000000002</v>
      </c>
      <c r="V6983">
        <v>1.0316469999999999E-2</v>
      </c>
      <c r="W6983">
        <v>-5.025458E-3</v>
      </c>
      <c r="X6983">
        <v>0.99993410000000005</v>
      </c>
      <c r="Y6983">
        <v>0.12991549999999999</v>
      </c>
      <c r="Z6983">
        <v>1.5700059999999998E-2</v>
      </c>
      <c r="AA6983">
        <v>0.99140079999999997</v>
      </c>
      <c r="AB6983">
        <v>27</v>
      </c>
      <c r="AC6983">
        <v>-9.0880999999999901</v>
      </c>
      <c r="AD6983">
        <v>-1.0297473500000001</v>
      </c>
      <c r="AE6983">
        <v>-64.720469999999906</v>
      </c>
      <c r="AF6983">
        <v>8.52328421331854</v>
      </c>
      <c r="AG6983">
        <v>-1.0297473500000001</v>
      </c>
      <c r="AH6983">
        <v>64.780911193903606</v>
      </c>
      <c r="AI6983">
        <v>90.902907914629196</v>
      </c>
      <c r="AJ6983">
        <v>82.504594355494802</v>
      </c>
      <c r="AK6983">
        <v>65.347327477856794</v>
      </c>
      <c r="AL6983">
        <v>90.287938761484895</v>
      </c>
      <c r="AM6983">
        <v>89.408891826744394</v>
      </c>
      <c r="AN6983">
        <v>0.99999994456208796</v>
      </c>
    </row>
    <row r="6984" spans="1:40" x14ac:dyDescent="0.25">
      <c r="A6984" t="str">
        <f>"20190312154103213"</f>
        <v>20190312154103213</v>
      </c>
      <c r="B6984" t="str">
        <f>"1552376463202901"</f>
        <v>1552376463202901</v>
      </c>
      <c r="C6984" t="s">
        <v>40</v>
      </c>
      <c r="D6984">
        <v>4.1062329999999996</v>
      </c>
      <c r="E6984">
        <v>0.54581950000000001</v>
      </c>
      <c r="F6984" t="s">
        <v>69</v>
      </c>
      <c r="G6984">
        <v>-430.6019</v>
      </c>
      <c r="H6984">
        <v>7.9987409999999995E-2</v>
      </c>
      <c r="I6984">
        <v>16.76923</v>
      </c>
      <c r="J6984">
        <v>-421.7654</v>
      </c>
      <c r="K6984">
        <v>1.109799</v>
      </c>
      <c r="L6984">
        <v>79.404820000000001</v>
      </c>
      <c r="M6984">
        <v>-8.522745E-3</v>
      </c>
      <c r="N6984">
        <v>0</v>
      </c>
      <c r="O6984">
        <v>-0.99991540000000001</v>
      </c>
      <c r="P6984">
        <v>-1.8669080000000001E-2</v>
      </c>
      <c r="Q6984">
        <v>-1.5430549999999999E-2</v>
      </c>
      <c r="R6984">
        <v>-0.9997066</v>
      </c>
      <c r="S6984">
        <v>-0.42047119999999999</v>
      </c>
      <c r="T6984">
        <v>-4.8987269999999999E-2</v>
      </c>
      <c r="U6984">
        <v>-2.9921570000000002</v>
      </c>
      <c r="V6984">
        <v>1.014932E-2</v>
      </c>
      <c r="W6984">
        <v>-5.6024890000000004E-3</v>
      </c>
      <c r="X6984">
        <v>0.99993279999999995</v>
      </c>
      <c r="Y6984">
        <v>0.13069359999999999</v>
      </c>
      <c r="Z6984">
        <v>1.6218949999999999E-2</v>
      </c>
      <c r="AA6984">
        <v>0.99129020000000001</v>
      </c>
      <c r="AB6984">
        <v>27</v>
      </c>
      <c r="AC6984">
        <v>-8.8364999999999991</v>
      </c>
      <c r="AD6984">
        <v>-1.02981159</v>
      </c>
      <c r="AE6984">
        <v>-62.635590000000001</v>
      </c>
      <c r="AF6984">
        <v>8.3001262183300408</v>
      </c>
      <c r="AG6984">
        <v>-1.02981159</v>
      </c>
      <c r="AH6984">
        <v>62.692013771915903</v>
      </c>
      <c r="AI6984">
        <v>90.932946006145997</v>
      </c>
      <c r="AJ6984">
        <v>82.458171248237207</v>
      </c>
      <c r="AK6984">
        <v>63.247460011681099</v>
      </c>
      <c r="AL6984">
        <v>90.321000653562706</v>
      </c>
      <c r="AM6984">
        <v>89.418467688522696</v>
      </c>
      <c r="AN6984">
        <v>1.0000000005476399</v>
      </c>
    </row>
    <row r="6985" spans="1:40" x14ac:dyDescent="0.25">
      <c r="A6985" t="str">
        <f>"20190312154103236"</f>
        <v>20190312154103236</v>
      </c>
      <c r="B6985" t="str">
        <f>"1552376463223398"</f>
        <v>1552376463223398</v>
      </c>
      <c r="C6985" t="s">
        <v>40</v>
      </c>
      <c r="D6985">
        <v>4.0830229999999998</v>
      </c>
      <c r="E6985">
        <v>0.54599940000000002</v>
      </c>
      <c r="F6985" t="s">
        <v>69</v>
      </c>
      <c r="G6985">
        <v>-430.02460000000002</v>
      </c>
      <c r="H6985">
        <v>7.9987050000000004E-2</v>
      </c>
      <c r="I6985">
        <v>20.748899999999999</v>
      </c>
      <c r="J6985">
        <v>-421.76749999999998</v>
      </c>
      <c r="K6985">
        <v>1.1098730000000001</v>
      </c>
      <c r="L6985">
        <v>79.135649999999998</v>
      </c>
      <c r="M6985">
        <v>-8.3517550000000006E-3</v>
      </c>
      <c r="N6985">
        <v>0</v>
      </c>
      <c r="O6985">
        <v>-0.99991229999999998</v>
      </c>
      <c r="P6985">
        <v>-1.7978850000000001E-2</v>
      </c>
      <c r="Q6985">
        <v>-1.6117099999999999E-2</v>
      </c>
      <c r="R6985">
        <v>-0.99970870000000001</v>
      </c>
      <c r="S6985">
        <v>-0.42132570000000003</v>
      </c>
      <c r="T6985">
        <v>-5.2533860000000002E-2</v>
      </c>
      <c r="U6985">
        <v>-2.9922179999999998</v>
      </c>
      <c r="V6985">
        <v>9.6300719999999999E-3</v>
      </c>
      <c r="W6985">
        <v>-5.8333079999999997E-3</v>
      </c>
      <c r="X6985">
        <v>0.99993659999999995</v>
      </c>
      <c r="Y6985">
        <v>0.13113520000000001</v>
      </c>
      <c r="Z6985">
        <v>1.739166E-2</v>
      </c>
      <c r="AA6985">
        <v>0.99121199999999998</v>
      </c>
      <c r="AB6985">
        <v>26</v>
      </c>
      <c r="AC6985">
        <v>-8.2571000000000296</v>
      </c>
      <c r="AD6985">
        <v>-1.0298859499999999</v>
      </c>
      <c r="AE6985">
        <v>-58.386749999999999</v>
      </c>
      <c r="AF6985">
        <v>7.7667852598633198</v>
      </c>
      <c r="AG6985">
        <v>-1.0298859499999999</v>
      </c>
      <c r="AH6985">
        <v>58.435853401697599</v>
      </c>
      <c r="AI6985">
        <v>91.000888474035705</v>
      </c>
      <c r="AJ6985">
        <v>82.429116284691005</v>
      </c>
      <c r="AK6985">
        <v>58.958736257890799</v>
      </c>
      <c r="AL6985">
        <v>90.334225829544096</v>
      </c>
      <c r="AM6985">
        <v>89.448219592831194</v>
      </c>
      <c r="AN6985">
        <v>0.99999998489425301</v>
      </c>
    </row>
    <row r="6986" spans="1:40" x14ac:dyDescent="0.25">
      <c r="A6986" t="str">
        <f>"20190312154103250"</f>
        <v>20190312154103250</v>
      </c>
      <c r="B6986" t="str">
        <f>"1552376463233158"</f>
        <v>1552376463233158</v>
      </c>
      <c r="C6986" t="s">
        <v>40</v>
      </c>
      <c r="D6986">
        <v>4.0909250000000004</v>
      </c>
      <c r="E6986">
        <v>0.54608919999999905</v>
      </c>
      <c r="F6986" t="s">
        <v>69</v>
      </c>
      <c r="G6986">
        <v>-429.95780000000002</v>
      </c>
      <c r="H6986">
        <v>1.7421880000000001E-2</v>
      </c>
      <c r="I6986">
        <v>20.901910000000001</v>
      </c>
      <c r="J6986">
        <v>-421.76870000000002</v>
      </c>
      <c r="K6986">
        <v>1.1099159999999999</v>
      </c>
      <c r="L6986">
        <v>78.970150000000004</v>
      </c>
      <c r="M6986">
        <v>-8.2438100000000007E-3</v>
      </c>
      <c r="N6986">
        <v>0</v>
      </c>
      <c r="O6986">
        <v>-0.99991019999999997</v>
      </c>
      <c r="P6986">
        <v>-1.7575609999999998E-2</v>
      </c>
      <c r="Q6986">
        <v>-1.6205170000000001E-2</v>
      </c>
      <c r="R6986">
        <v>-0.9997144</v>
      </c>
      <c r="S6986">
        <v>-0.42086790000000002</v>
      </c>
      <c r="T6986">
        <v>-5.6136730000000003E-2</v>
      </c>
      <c r="U6986">
        <v>-2.9924010000000001</v>
      </c>
      <c r="V6986">
        <v>9.3346060000000005E-3</v>
      </c>
      <c r="W6986">
        <v>-5.6164730000000003E-3</v>
      </c>
      <c r="X6986">
        <v>0.99994059999999996</v>
      </c>
      <c r="Y6986">
        <v>0.13108210000000001</v>
      </c>
      <c r="Z6986">
        <v>1.858317E-2</v>
      </c>
      <c r="AA6986">
        <v>0.99119729999999995</v>
      </c>
      <c r="AB6986">
        <v>26</v>
      </c>
      <c r="AC6986">
        <v>-8.1890999999999892</v>
      </c>
      <c r="AD6986">
        <v>-1.09249412</v>
      </c>
      <c r="AE6986">
        <v>-58.068240000000003</v>
      </c>
      <c r="AF6986">
        <v>7.7074164787176498</v>
      </c>
      <c r="AG6986">
        <v>-1.09249412</v>
      </c>
      <c r="AH6986">
        <v>58.1136106437744</v>
      </c>
      <c r="AI6986">
        <v>91.067645883642996</v>
      </c>
      <c r="AJ6986">
        <v>82.445140145491806</v>
      </c>
      <c r="AK6986">
        <v>58.6326662726065</v>
      </c>
      <c r="AL6986">
        <v>90.321801909324094</v>
      </c>
      <c r="AM6986">
        <v>89.465150237956394</v>
      </c>
      <c r="AN6986">
        <v>0.99999994158324501</v>
      </c>
    </row>
    <row r="6987" spans="1:40" x14ac:dyDescent="0.25">
      <c r="A6987" t="str">
        <f>"20190312154103263"</f>
        <v>20190312154103263</v>
      </c>
      <c r="B6987" t="str">
        <f>"1552376463253654"</f>
        <v>1552376463253654</v>
      </c>
      <c r="C6987" t="s">
        <v>40</v>
      </c>
      <c r="D6987">
        <v>4.1030850000000001</v>
      </c>
      <c r="E6987">
        <v>0.54632840000000005</v>
      </c>
      <c r="F6987" t="s">
        <v>69</v>
      </c>
      <c r="G6987">
        <v>-429.94420000000002</v>
      </c>
      <c r="H6987" s="1">
        <v>-1.0162150000000001E-5</v>
      </c>
      <c r="I6987">
        <v>20.788450000000001</v>
      </c>
      <c r="J6987">
        <v>-421.76990000000001</v>
      </c>
      <c r="K6987">
        <v>1.109955</v>
      </c>
      <c r="L6987">
        <v>78.81241</v>
      </c>
      <c r="M6987">
        <v>-8.1399579999999992E-3</v>
      </c>
      <c r="N6987">
        <v>0</v>
      </c>
      <c r="O6987">
        <v>-0.99990800000000002</v>
      </c>
      <c r="P6987">
        <v>-1.7256629999999998E-2</v>
      </c>
      <c r="Q6987">
        <v>-1.6593710000000001E-2</v>
      </c>
      <c r="R6987">
        <v>-0.99971370000000004</v>
      </c>
      <c r="S6987">
        <v>-0.42050169999999998</v>
      </c>
      <c r="T6987">
        <v>-5.7088609999999998E-2</v>
      </c>
      <c r="U6987">
        <v>-2.9925540000000002</v>
      </c>
      <c r="V6987">
        <v>9.1194580000000004E-3</v>
      </c>
      <c r="W6987">
        <v>-5.7145819999999898E-3</v>
      </c>
      <c r="X6987">
        <v>0.99994209999999994</v>
      </c>
      <c r="Y6987">
        <v>0.13105829999999999</v>
      </c>
      <c r="Z6987">
        <v>1.8897420000000002E-2</v>
      </c>
      <c r="AA6987">
        <v>0.99119449999999998</v>
      </c>
      <c r="AB6987">
        <v>26</v>
      </c>
      <c r="AC6987">
        <v>-8.1743000000000094</v>
      </c>
      <c r="AD6987">
        <v>-1.10996516215</v>
      </c>
      <c r="AE6987">
        <v>-58.023959999999903</v>
      </c>
      <c r="AF6987">
        <v>7.6989262695472203</v>
      </c>
      <c r="AG6987">
        <v>-1.10996516215</v>
      </c>
      <c r="AH6987">
        <v>58.067744308791703</v>
      </c>
      <c r="AI6987">
        <v>91.085577957331793</v>
      </c>
      <c r="AJ6987">
        <v>82.447474210347494</v>
      </c>
      <c r="AK6987">
        <v>58.586418370440803</v>
      </c>
      <c r="AL6987">
        <v>90.327423208397207</v>
      </c>
      <c r="AM6987">
        <v>89.477477776736194</v>
      </c>
      <c r="AN6987">
        <v>1.0000000121570201</v>
      </c>
    </row>
    <row r="6988" spans="1:40" x14ac:dyDescent="0.25">
      <c r="A6988" t="str">
        <f>"20190312154103276"</f>
        <v>20190312154103276</v>
      </c>
      <c r="B6988" t="str">
        <f>"1552376463263414"</f>
        <v>1552376463263414</v>
      </c>
      <c r="C6988" t="s">
        <v>40</v>
      </c>
      <c r="D6988">
        <v>4.1082199999999904</v>
      </c>
      <c r="E6988">
        <v>0.54646039999999996</v>
      </c>
      <c r="F6988" t="s">
        <v>69</v>
      </c>
      <c r="G6988">
        <v>-429.77420000000001</v>
      </c>
      <c r="H6988" s="1">
        <v>-9.6572229999999992E-6</v>
      </c>
      <c r="I6988">
        <v>21.909469999999999</v>
      </c>
      <c r="J6988">
        <v>-421.77109999999999</v>
      </c>
      <c r="K6988">
        <v>1.1099920000000001</v>
      </c>
      <c r="L6988">
        <v>78.66019</v>
      </c>
      <c r="M6988">
        <v>-8.0388979999999992E-3</v>
      </c>
      <c r="N6988">
        <v>0</v>
      </c>
      <c r="O6988">
        <v>-0.99990559999999995</v>
      </c>
      <c r="P6988">
        <v>-1.6867569999999998E-2</v>
      </c>
      <c r="Q6988">
        <v>-1.679549E-2</v>
      </c>
      <c r="R6988">
        <v>-0.99971679999999996</v>
      </c>
      <c r="S6988">
        <v>-0.42095949999999999</v>
      </c>
      <c r="T6988">
        <v>-5.8374759999999998E-2</v>
      </c>
      <c r="U6988">
        <v>-2.9926149999999998</v>
      </c>
      <c r="V6988">
        <v>8.8313599999999999E-3</v>
      </c>
      <c r="W6988">
        <v>-5.6376380000000004E-3</v>
      </c>
      <c r="X6988">
        <v>0.99994510000000003</v>
      </c>
      <c r="Y6988">
        <v>0.13130329999999901</v>
      </c>
      <c r="Z6988">
        <v>1.9322120000000002E-2</v>
      </c>
      <c r="AA6988">
        <v>0.99115399999999998</v>
      </c>
      <c r="AB6988">
        <v>26</v>
      </c>
      <c r="AC6988">
        <v>-8.0031000000000105</v>
      </c>
      <c r="AD6988">
        <v>-1.110001657223</v>
      </c>
      <c r="AE6988">
        <v>-56.750719999999902</v>
      </c>
      <c r="AF6988">
        <v>7.5437700898455704</v>
      </c>
      <c r="AG6988">
        <v>-1.110001657223</v>
      </c>
      <c r="AH6988">
        <v>56.791923205786297</v>
      </c>
      <c r="AI6988">
        <v>91.109960064977898</v>
      </c>
      <c r="AJ6988">
        <v>82.433595559833606</v>
      </c>
      <c r="AK6988">
        <v>57.301510558269001</v>
      </c>
      <c r="AL6988">
        <v>90.323014578306498</v>
      </c>
      <c r="AM6988">
        <v>89.4939857200809</v>
      </c>
      <c r="AN6988">
        <v>0.99999998944783897</v>
      </c>
    </row>
    <row r="6989" spans="1:40" x14ac:dyDescent="0.25">
      <c r="A6989" t="str">
        <f>"20190312154103292"</f>
        <v>20190312154103292</v>
      </c>
      <c r="B6989" t="str">
        <f>"1552376463282934"</f>
        <v>1552376463282934</v>
      </c>
      <c r="C6989" t="s">
        <v>40</v>
      </c>
      <c r="D6989">
        <v>4.0823119999999999</v>
      </c>
      <c r="E6989">
        <v>0.54662259999999996</v>
      </c>
      <c r="F6989" t="s">
        <v>69</v>
      </c>
      <c r="G6989">
        <v>-429.72669999999999</v>
      </c>
      <c r="H6989" s="1">
        <v>-9.5569690000000003E-6</v>
      </c>
      <c r="I6989">
        <v>22.129259999999999</v>
      </c>
      <c r="J6989">
        <v>-421.7724</v>
      </c>
      <c r="K6989">
        <v>1.1100270000000001</v>
      </c>
      <c r="L6989">
        <v>78.47739</v>
      </c>
      <c r="M6989">
        <v>-7.9185390000000005E-3</v>
      </c>
      <c r="N6989">
        <v>0</v>
      </c>
      <c r="O6989">
        <v>-0.99990299999999999</v>
      </c>
      <c r="P6989">
        <v>-1.6592639999999999E-2</v>
      </c>
      <c r="Q6989">
        <v>-1.683666E-2</v>
      </c>
      <c r="R6989">
        <v>-0.99972090000000002</v>
      </c>
      <c r="S6989">
        <v>-0.42117310000000002</v>
      </c>
      <c r="T6989">
        <v>-5.8763860000000001E-2</v>
      </c>
      <c r="U6989">
        <v>-2.9927670000000002</v>
      </c>
      <c r="V6989">
        <v>8.6766440000000007E-3</v>
      </c>
      <c r="W6989">
        <v>-5.3611689999999998E-3</v>
      </c>
      <c r="X6989">
        <v>0.99994799999999995</v>
      </c>
      <c r="Y6989">
        <v>0.13148460000000001</v>
      </c>
      <c r="Z6989">
        <v>1.9449580000000001E-2</v>
      </c>
      <c r="AA6989">
        <v>0.99112739999999999</v>
      </c>
      <c r="AB6989">
        <v>26</v>
      </c>
      <c r="AC6989">
        <v>-7.9542999999999804</v>
      </c>
      <c r="AD6989">
        <v>-1.1100365569690001</v>
      </c>
      <c r="AE6989">
        <v>-56.348129999999998</v>
      </c>
      <c r="AF6989">
        <v>7.50497083825522</v>
      </c>
      <c r="AG6989">
        <v>-1.1100365569690001</v>
      </c>
      <c r="AH6989">
        <v>56.387898517173397</v>
      </c>
      <c r="AI6989">
        <v>91.117907660622606</v>
      </c>
      <c r="AJ6989">
        <v>82.418750572419299</v>
      </c>
      <c r="AK6989">
        <v>56.895974089771201</v>
      </c>
      <c r="AL6989">
        <v>90.307173823987895</v>
      </c>
      <c r="AM6989">
        <v>89.502851542940803</v>
      </c>
      <c r="AN6989">
        <v>1.0000000144940699</v>
      </c>
    </row>
    <row r="6990" spans="1:40" x14ac:dyDescent="0.25">
      <c r="A6990" t="str">
        <f>"20190312154103308"</f>
        <v>20190312154103308</v>
      </c>
      <c r="B6990" t="str">
        <f>"1552376463293670"</f>
        <v>1552376463293670</v>
      </c>
      <c r="C6990" t="s">
        <v>40</v>
      </c>
      <c r="D6990">
        <v>4.1066699999999896</v>
      </c>
      <c r="E6990">
        <v>0.54669919999999905</v>
      </c>
      <c r="F6990" t="s">
        <v>69</v>
      </c>
      <c r="G6990">
        <v>-429.65019999999998</v>
      </c>
      <c r="H6990" s="1">
        <v>-9.3607809999999999E-6</v>
      </c>
      <c r="I6990">
        <v>22.562719999999999</v>
      </c>
      <c r="J6990">
        <v>-421.77370000000002</v>
      </c>
      <c r="K6990">
        <v>1.110066</v>
      </c>
      <c r="L6990">
        <v>78.297790000000006</v>
      </c>
      <c r="M6990">
        <v>-7.8016049999999997E-3</v>
      </c>
      <c r="N6990">
        <v>0</v>
      </c>
      <c r="O6990">
        <v>-0.99990060000000003</v>
      </c>
      <c r="P6990">
        <v>-1.6222070000000002E-2</v>
      </c>
      <c r="Q6990">
        <v>-1.6809279999999999E-2</v>
      </c>
      <c r="R6990">
        <v>-0.99972749999999999</v>
      </c>
      <c r="S6990">
        <v>-0.42166140000000002</v>
      </c>
      <c r="T6990">
        <v>-5.9415219999999998E-2</v>
      </c>
      <c r="U6990">
        <v>-2.9928590000000002</v>
      </c>
      <c r="V6990">
        <v>8.4228410000000004E-3</v>
      </c>
      <c r="W6990">
        <v>-5.0378080000000004E-3</v>
      </c>
      <c r="X6990">
        <v>0.99995179999999995</v>
      </c>
      <c r="Y6990">
        <v>0.13175429999999999</v>
      </c>
      <c r="Z6990">
        <v>1.9663940000000001E-2</v>
      </c>
      <c r="AA6990">
        <v>0.99108739999999995</v>
      </c>
      <c r="AB6990">
        <v>26</v>
      </c>
      <c r="AC6990">
        <v>-7.8764999999999601</v>
      </c>
      <c r="AD6990">
        <v>-1.1100753607810001</v>
      </c>
      <c r="AE6990">
        <v>-55.73507</v>
      </c>
      <c r="AF6990">
        <v>7.4385142872752299</v>
      </c>
      <c r="AG6990">
        <v>-1.1100753607810001</v>
      </c>
      <c r="AH6990">
        <v>55.773135896712198</v>
      </c>
      <c r="AI6990">
        <v>91.130225430569396</v>
      </c>
      <c r="AJ6990">
        <v>82.403240861221207</v>
      </c>
      <c r="AK6990">
        <v>56.277939282295499</v>
      </c>
      <c r="AL6990">
        <v>90.288646368024501</v>
      </c>
      <c r="AM6990">
        <v>89.517394910644498</v>
      </c>
      <c r="AN6990">
        <v>0.999999963041597</v>
      </c>
    </row>
    <row r="6991" spans="1:40" x14ac:dyDescent="0.25">
      <c r="A6991" t="str">
        <f>"20190312154103325"</f>
        <v>20190312154103325</v>
      </c>
      <c r="B6991" t="str">
        <f>"1552376463313190"</f>
        <v>1552376463313190</v>
      </c>
      <c r="C6991" t="s">
        <v>40</v>
      </c>
      <c r="D6991">
        <v>4.0962569999999996</v>
      </c>
      <c r="E6991">
        <v>0.54671309999999995</v>
      </c>
      <c r="F6991" t="s">
        <v>69</v>
      </c>
      <c r="G6991">
        <v>-429.61380000000003</v>
      </c>
      <c r="H6991" s="1">
        <v>-9.3661630000000007E-6</v>
      </c>
      <c r="I6991">
        <v>22.543099999999999</v>
      </c>
      <c r="J6991">
        <v>-421.77519999999998</v>
      </c>
      <c r="K6991">
        <v>1.110107</v>
      </c>
      <c r="L6991">
        <v>78.084689999999995</v>
      </c>
      <c r="M6991">
        <v>-7.664555E-3</v>
      </c>
      <c r="N6991">
        <v>0</v>
      </c>
      <c r="O6991">
        <v>-0.99989779999999995</v>
      </c>
      <c r="P6991">
        <v>-1.6376140000000001E-2</v>
      </c>
      <c r="Q6991">
        <v>-1.6495039999999999E-2</v>
      </c>
      <c r="R6991">
        <v>-0.99973020000000001</v>
      </c>
      <c r="S6991">
        <v>-0.42086790000000002</v>
      </c>
      <c r="T6991">
        <v>-5.9590219999999999E-2</v>
      </c>
      <c r="U6991">
        <v>-2.9929809999999999</v>
      </c>
      <c r="V6991">
        <v>8.7137399999999993E-3</v>
      </c>
      <c r="W6991">
        <v>-4.3948670000000002E-3</v>
      </c>
      <c r="X6991">
        <v>0.99995239999999996</v>
      </c>
      <c r="Y6991">
        <v>0.13162670000000001</v>
      </c>
      <c r="Z6991">
        <v>1.9721599999999999E-2</v>
      </c>
      <c r="AA6991">
        <v>0.99110319999999996</v>
      </c>
      <c r="AB6991">
        <v>26</v>
      </c>
      <c r="AC6991">
        <v>-7.8386000000000404</v>
      </c>
      <c r="AD6991">
        <v>-1.110116366163</v>
      </c>
      <c r="AE6991">
        <v>-55.541589999999999</v>
      </c>
      <c r="AF6991">
        <v>7.4097348763610196</v>
      </c>
      <c r="AG6991">
        <v>-1.110116366163</v>
      </c>
      <c r="AH6991">
        <v>55.578272997499496</v>
      </c>
      <c r="AI6991">
        <v>91.134236422867602</v>
      </c>
      <c r="AJ6991">
        <v>82.406067202348197</v>
      </c>
      <c r="AK6991">
        <v>56.081021376834499</v>
      </c>
      <c r="AL6991">
        <v>90.251808135391798</v>
      </c>
      <c r="AM6991">
        <v>89.500728345683697</v>
      </c>
      <c r="AN6991">
        <v>1.00000002319324</v>
      </c>
    </row>
    <row r="6992" spans="1:40" x14ac:dyDescent="0.25">
      <c r="A6992" t="str">
        <f>"20190312154103348"</f>
        <v>20190312154103348</v>
      </c>
      <c r="B6992" t="str">
        <f>"1552376463333685"</f>
        <v>1552376463333685</v>
      </c>
      <c r="C6992" t="s">
        <v>40</v>
      </c>
      <c r="D6992">
        <v>4.1270439999999997</v>
      </c>
      <c r="E6992">
        <v>0.52813909999999997</v>
      </c>
      <c r="F6992" t="s">
        <v>69</v>
      </c>
      <c r="G6992">
        <v>-429.80110000000002</v>
      </c>
      <c r="H6992" s="1">
        <v>-1.0009880000000001E-5</v>
      </c>
      <c r="I6992">
        <v>21.108080000000001</v>
      </c>
      <c r="J6992">
        <v>-421.77699999999999</v>
      </c>
      <c r="K6992">
        <v>1.1101430000000001</v>
      </c>
      <c r="L6992">
        <v>77.825040000000001</v>
      </c>
      <c r="M6992">
        <v>-7.4988199999999998E-3</v>
      </c>
      <c r="N6992">
        <v>0</v>
      </c>
      <c r="O6992">
        <v>-0.99989419999999996</v>
      </c>
      <c r="P6992">
        <v>-1.6298880000000002E-2</v>
      </c>
      <c r="Q6992">
        <v>-1.588376E-2</v>
      </c>
      <c r="R6992">
        <v>-0.99974130000000005</v>
      </c>
      <c r="S6992">
        <v>-0.42160029999999998</v>
      </c>
      <c r="T6992">
        <v>-5.831385E-2</v>
      </c>
      <c r="U6992">
        <v>-2.99295</v>
      </c>
      <c r="V6992">
        <v>8.80185E-3</v>
      </c>
      <c r="W6992">
        <v>-3.4191629999999998E-3</v>
      </c>
      <c r="X6992">
        <v>0.99995540000000005</v>
      </c>
      <c r="Y6992">
        <v>0.13203139999999999</v>
      </c>
      <c r="Z6992">
        <v>1.9298719999999998E-2</v>
      </c>
      <c r="AA6992">
        <v>0.99105759999999998</v>
      </c>
      <c r="AB6992">
        <v>26</v>
      </c>
      <c r="AC6992">
        <v>-8.0241000000000309</v>
      </c>
      <c r="AD6992">
        <v>-1.1101530098799901</v>
      </c>
      <c r="AE6992">
        <v>-56.71696</v>
      </c>
      <c r="AF6992">
        <v>7.5956780542826703</v>
      </c>
      <c r="AG6992">
        <v>-1.1101530098799901</v>
      </c>
      <c r="AH6992">
        <v>56.754223772140897</v>
      </c>
      <c r="AI6992">
        <v>91.110702695908998</v>
      </c>
      <c r="AJ6992">
        <v>82.377140465871193</v>
      </c>
      <c r="AK6992">
        <v>57.271010823870597</v>
      </c>
      <c r="AL6992">
        <v>90.195903994482805</v>
      </c>
      <c r="AM6992">
        <v>89.495681674418407</v>
      </c>
      <c r="AN6992">
        <v>0.99999998261410095</v>
      </c>
    </row>
    <row r="6993" spans="1:40" x14ac:dyDescent="0.25">
      <c r="A6993" t="str">
        <f>"20190312154103370"</f>
        <v>20190312154103370</v>
      </c>
      <c r="B6993" t="str">
        <f>"1552376463362966"</f>
        <v>1552376463362966</v>
      </c>
      <c r="C6993" t="s">
        <v>40</v>
      </c>
      <c r="D6993">
        <v>4.1053089999999903</v>
      </c>
      <c r="E6993">
        <v>0.52494549999999995</v>
      </c>
      <c r="F6993" t="s">
        <v>84</v>
      </c>
      <c r="G6993">
        <v>-429.03530000000001</v>
      </c>
      <c r="H6993">
        <v>1.1454599999999999</v>
      </c>
      <c r="I6993">
        <v>-1.288151</v>
      </c>
      <c r="J6993">
        <v>-421.77870000000001</v>
      </c>
      <c r="K6993">
        <v>1.110168</v>
      </c>
      <c r="L6993">
        <v>77.558199999999999</v>
      </c>
      <c r="M6993">
        <v>-7.3284329999999996E-3</v>
      </c>
      <c r="N6993">
        <v>0</v>
      </c>
      <c r="O6993">
        <v>-0.99989159999999999</v>
      </c>
      <c r="P6993">
        <v>-1.603487E-2</v>
      </c>
      <c r="Q6993">
        <v>-1.6521520000000001E-2</v>
      </c>
      <c r="R6993">
        <v>-0.99973509999999999</v>
      </c>
      <c r="S6993">
        <v>-0.27490229999999999</v>
      </c>
      <c r="T6993">
        <v>1.336575E-3</v>
      </c>
      <c r="U6993">
        <v>-2.9963069999999998</v>
      </c>
      <c r="V6993">
        <v>8.7083130000000005E-3</v>
      </c>
      <c r="W6993">
        <v>-3.7231690000000001E-3</v>
      </c>
      <c r="X6993">
        <v>0.99995520000000004</v>
      </c>
      <c r="Y6993">
        <v>8.4062490000000004E-2</v>
      </c>
      <c r="Z6993">
        <v>-4.443335E-4</v>
      </c>
      <c r="AA6993">
        <v>0.99646040000000002</v>
      </c>
      <c r="AB6993">
        <v>26</v>
      </c>
      <c r="AC6993">
        <v>-7.2565999999999899</v>
      </c>
      <c r="AD6993">
        <v>3.5292000000000101E-2</v>
      </c>
      <c r="AE6993">
        <v>-78.846350999999999</v>
      </c>
      <c r="AF6993">
        <v>6.6785364550754496</v>
      </c>
      <c r="AG6993">
        <v>3.5292000000000101E-2</v>
      </c>
      <c r="AH6993">
        <v>78.897401537335995</v>
      </c>
      <c r="AI6993">
        <v>89.974462064438498</v>
      </c>
      <c r="AJ6993">
        <v>85.161540058586596</v>
      </c>
      <c r="AK6993">
        <v>79.179568476032202</v>
      </c>
      <c r="AL6993">
        <v>90.213322352432598</v>
      </c>
      <c r="AM6993">
        <v>89.501040678166106</v>
      </c>
      <c r="AN6993">
        <v>1.00000004935487</v>
      </c>
    </row>
    <row r="6994" spans="1:40" x14ac:dyDescent="0.25">
      <c r="A6994" t="str">
        <f>"20190312154103393"</f>
        <v>20190312154103393</v>
      </c>
      <c r="B6994" t="str">
        <f>"1552376463383464"</f>
        <v>1552376463383464</v>
      </c>
      <c r="C6994" t="s">
        <v>40</v>
      </c>
      <c r="D6994">
        <v>4.1248469999999999</v>
      </c>
      <c r="E6994">
        <v>0.52443719999999905</v>
      </c>
      <c r="F6994" t="s">
        <v>84</v>
      </c>
      <c r="G6994">
        <v>-428.28089999999997</v>
      </c>
      <c r="H6994">
        <v>1.0932040000000001</v>
      </c>
      <c r="I6994">
        <v>-0.67063899999999999</v>
      </c>
      <c r="J6994">
        <v>-421.78039999999999</v>
      </c>
      <c r="K6994">
        <v>1.1101780000000001</v>
      </c>
      <c r="L6994">
        <v>77.301090000000002</v>
      </c>
      <c r="M6994">
        <v>-7.1637389999999997E-3</v>
      </c>
      <c r="N6994">
        <v>0</v>
      </c>
      <c r="O6994">
        <v>-0.99988869999999996</v>
      </c>
      <c r="P6994">
        <v>-1.546756E-2</v>
      </c>
      <c r="Q6994">
        <v>-1.8384109999999999E-2</v>
      </c>
      <c r="R6994">
        <v>-0.99971140000000003</v>
      </c>
      <c r="S6994">
        <v>-0.24908449999999999</v>
      </c>
      <c r="T6994">
        <v>-6.508827E-4</v>
      </c>
      <c r="U6994">
        <v>-2.9967959999999998</v>
      </c>
      <c r="V6994">
        <v>8.3062499999999994E-3</v>
      </c>
      <c r="W6994">
        <v>-5.302396E-3</v>
      </c>
      <c r="X6994">
        <v>0.99995140000000005</v>
      </c>
      <c r="Y6994">
        <v>7.5689450000000005E-2</v>
      </c>
      <c r="Z6994">
        <v>2.1649979999999999E-4</v>
      </c>
      <c r="AA6994">
        <v>0.9971314</v>
      </c>
      <c r="AB6994">
        <v>26</v>
      </c>
      <c r="AC6994">
        <v>-6.5004999999999802</v>
      </c>
      <c r="AD6994">
        <v>-1.6974E-2</v>
      </c>
      <c r="AE6994">
        <v>-77.971728999999996</v>
      </c>
      <c r="AF6994">
        <v>5.94171593484461</v>
      </c>
      <c r="AG6994">
        <v>-1.6974E-2</v>
      </c>
      <c r="AH6994">
        <v>78.016296111874794</v>
      </c>
      <c r="AI6994">
        <v>90.012429841976399</v>
      </c>
      <c r="AJ6994">
        <v>85.6447648574607</v>
      </c>
      <c r="AK6994">
        <v>78.242231150337204</v>
      </c>
      <c r="AL6994">
        <v>90.303806349159899</v>
      </c>
      <c r="AM6994">
        <v>89.524074747078203</v>
      </c>
      <c r="AN6994">
        <v>0.99999995577718004</v>
      </c>
    </row>
    <row r="6995" spans="1:40" x14ac:dyDescent="0.25">
      <c r="A6995" t="str">
        <f>"20190312154103408"</f>
        <v>20190312154103408</v>
      </c>
      <c r="B6995" t="str">
        <f>"1552376463402982"</f>
        <v>1552376463402982</v>
      </c>
      <c r="C6995" t="s">
        <v>40</v>
      </c>
      <c r="D6995">
        <v>4.1231499999999999</v>
      </c>
      <c r="E6995">
        <v>0.52411869999999905</v>
      </c>
      <c r="F6995" t="s">
        <v>84</v>
      </c>
      <c r="G6995">
        <v>-428.09280000000001</v>
      </c>
      <c r="H6995">
        <v>0.83491589999999904</v>
      </c>
      <c r="I6995">
        <v>-0.51676750000000005</v>
      </c>
      <c r="J6995">
        <v>-421.78160000000003</v>
      </c>
      <c r="K6995">
        <v>1.1101829999999999</v>
      </c>
      <c r="L6995">
        <v>77.118440000000007</v>
      </c>
      <c r="M6995">
        <v>-7.0475420000000004E-3</v>
      </c>
      <c r="N6995">
        <v>0</v>
      </c>
      <c r="O6995">
        <v>-0.99988750000000004</v>
      </c>
      <c r="P6995">
        <v>-1.537141E-2</v>
      </c>
      <c r="Q6995">
        <v>-1.913378E-2</v>
      </c>
      <c r="R6995">
        <v>-0.99969920000000001</v>
      </c>
      <c r="S6995">
        <v>-0.24310300000000001</v>
      </c>
      <c r="T6995">
        <v>-1.0601879999999999E-2</v>
      </c>
      <c r="U6995">
        <v>-2.996918</v>
      </c>
      <c r="V6995">
        <v>8.3264759999999993E-3</v>
      </c>
      <c r="W6995">
        <v>-5.8734570000000003E-3</v>
      </c>
      <c r="X6995">
        <v>0.99994810000000001</v>
      </c>
      <c r="Y6995">
        <v>7.3824509999999996E-2</v>
      </c>
      <c r="Z6995">
        <v>3.5268209999999999E-3</v>
      </c>
      <c r="AA6995">
        <v>0.99726499999999996</v>
      </c>
      <c r="AB6995">
        <v>26</v>
      </c>
      <c r="AC6995">
        <v>-6.3111999999999799</v>
      </c>
      <c r="AD6995">
        <v>-0.27526709999999999</v>
      </c>
      <c r="AE6995">
        <v>-77.635207499999893</v>
      </c>
      <c r="AF6995">
        <v>5.7637859005384504</v>
      </c>
      <c r="AG6995">
        <v>-0.27526709999999999</v>
      </c>
      <c r="AH6995">
        <v>77.676791385761007</v>
      </c>
      <c r="AI6995">
        <v>90.202484381279206</v>
      </c>
      <c r="AJ6995">
        <v>85.756306389674293</v>
      </c>
      <c r="AK6995">
        <v>77.890826930201598</v>
      </c>
      <c r="AL6995">
        <v>90.336526227041801</v>
      </c>
      <c r="AM6995">
        <v>89.522914332087197</v>
      </c>
      <c r="AN6995">
        <v>1.0000000151966499</v>
      </c>
    </row>
    <row r="6996" spans="1:40" x14ac:dyDescent="0.25">
      <c r="A6996" t="str">
        <f>"20190312154103426"</f>
        <v>20190312154103426</v>
      </c>
      <c r="B6996" t="str">
        <f>"1552376463413717"</f>
        <v>1552376463413717</v>
      </c>
      <c r="C6996" t="s">
        <v>40</v>
      </c>
      <c r="D6996">
        <v>4.061661</v>
      </c>
      <c r="E6996">
        <v>0.52426679999999903</v>
      </c>
      <c r="F6996" t="s">
        <v>84</v>
      </c>
      <c r="G6996">
        <v>-427.98939999999999</v>
      </c>
      <c r="H6996">
        <v>0.72134519999999902</v>
      </c>
      <c r="I6996">
        <v>-0.43215940000000003</v>
      </c>
      <c r="J6996">
        <v>-421.78289999999998</v>
      </c>
      <c r="K6996">
        <v>1.11019</v>
      </c>
      <c r="L6996">
        <v>76.921139999999994</v>
      </c>
      <c r="M6996">
        <v>-6.9248490000000003E-3</v>
      </c>
      <c r="N6996">
        <v>0</v>
      </c>
      <c r="O6996">
        <v>-0.9998861</v>
      </c>
      <c r="P6996">
        <v>-1.5284509999999999E-2</v>
      </c>
      <c r="Q6996">
        <v>-1.8273020000000001E-2</v>
      </c>
      <c r="R6996">
        <v>-0.99971679999999996</v>
      </c>
      <c r="S6996">
        <v>-0.23989869999999999</v>
      </c>
      <c r="T6996">
        <v>-1.5027520000000001E-2</v>
      </c>
      <c r="U6996">
        <v>-2.996918</v>
      </c>
      <c r="V6996">
        <v>8.3618289999999994E-3</v>
      </c>
      <c r="W6996">
        <v>-4.8368420000000001E-3</v>
      </c>
      <c r="X6996">
        <v>0.99995330000000004</v>
      </c>
      <c r="Y6996">
        <v>7.2886919999999994E-2</v>
      </c>
      <c r="Z6996">
        <v>4.9994189999999997E-3</v>
      </c>
      <c r="AA6996">
        <v>0.99732770000000004</v>
      </c>
      <c r="AB6996">
        <v>26</v>
      </c>
      <c r="AC6996">
        <v>-6.2065000000000001</v>
      </c>
      <c r="AD6996">
        <v>-0.38884479999999999</v>
      </c>
      <c r="AE6996">
        <v>-77.353299399999997</v>
      </c>
      <c r="AF6996">
        <v>5.6705006967815397</v>
      </c>
      <c r="AG6996">
        <v>-0.38884479999999999</v>
      </c>
      <c r="AH6996">
        <v>77.392484150564499</v>
      </c>
      <c r="AI6996">
        <v>90.287100460990203</v>
      </c>
      <c r="AJ6996">
        <v>85.809460878352994</v>
      </c>
      <c r="AK6996">
        <v>77.600917400672998</v>
      </c>
      <c r="AL6996">
        <v>90.2771317248082</v>
      </c>
      <c r="AM6996">
        <v>89.520891281682594</v>
      </c>
      <c r="AN6996">
        <v>0.99999995870282299</v>
      </c>
    </row>
    <row r="6997" spans="1:40" x14ac:dyDescent="0.25">
      <c r="A6997" t="str">
        <f>"20190312154103448"</f>
        <v>20190312154103448</v>
      </c>
      <c r="B6997" t="str">
        <f>"1552376463443001"</f>
        <v>1552376463443001</v>
      </c>
      <c r="C6997" t="s">
        <v>40</v>
      </c>
      <c r="D6997">
        <v>4.0563570000000002</v>
      </c>
      <c r="E6997">
        <v>0.52456539999999996</v>
      </c>
      <c r="F6997" t="s">
        <v>84</v>
      </c>
      <c r="G6997">
        <v>-427.9982</v>
      </c>
      <c r="H6997">
        <v>0.82283739999999905</v>
      </c>
      <c r="I6997">
        <v>-0.43930049999999998</v>
      </c>
      <c r="J6997">
        <v>-421.78449999999998</v>
      </c>
      <c r="K6997">
        <v>1.1102030000000001</v>
      </c>
      <c r="L6997">
        <v>76.66019</v>
      </c>
      <c r="M6997">
        <v>-6.7694169999999998E-3</v>
      </c>
      <c r="N6997">
        <v>0</v>
      </c>
      <c r="O6997">
        <v>-0.99988440000000001</v>
      </c>
      <c r="P6997">
        <v>-1.555088E-2</v>
      </c>
      <c r="Q6997">
        <v>-1.6316919999999999E-2</v>
      </c>
      <c r="R6997">
        <v>-0.99974649999999998</v>
      </c>
      <c r="S6997">
        <v>-0.24078369999999999</v>
      </c>
      <c r="T6997">
        <v>-1.1133189999999999E-2</v>
      </c>
      <c r="U6997">
        <v>-2.9969790000000001</v>
      </c>
      <c r="V6997">
        <v>8.7828149999999994E-3</v>
      </c>
      <c r="W6997">
        <v>-2.6749999999999999E-3</v>
      </c>
      <c r="X6997">
        <v>0.99995789999999996</v>
      </c>
      <c r="Y6997">
        <v>7.3333410000000002E-2</v>
      </c>
      <c r="Z6997">
        <v>3.703685E-3</v>
      </c>
      <c r="AA6997">
        <v>0.99730059999999998</v>
      </c>
      <c r="AB6997">
        <v>26</v>
      </c>
      <c r="AC6997">
        <v>-6.21370000000001</v>
      </c>
      <c r="AD6997">
        <v>-0.2873656</v>
      </c>
      <c r="AE6997">
        <v>-77.099490500000002</v>
      </c>
      <c r="AF6997">
        <v>5.6915120637419401</v>
      </c>
      <c r="AG6997">
        <v>-0.2873656</v>
      </c>
      <c r="AH6997">
        <v>77.138725935298098</v>
      </c>
      <c r="AI6997">
        <v>90.212864886989095</v>
      </c>
      <c r="AJ6997">
        <v>85.780202613695707</v>
      </c>
      <c r="AK6997">
        <v>77.3489426397079</v>
      </c>
      <c r="AL6997">
        <v>90.153266385685697</v>
      </c>
      <c r="AM6997">
        <v>89.496773521967398</v>
      </c>
      <c r="AN6997">
        <v>1.0000000476183599</v>
      </c>
    </row>
    <row r="6998" spans="1:40" x14ac:dyDescent="0.25">
      <c r="A6998" t="str">
        <f>"20190312154103471"</f>
        <v>20190312154103471</v>
      </c>
      <c r="B6998" t="str">
        <f>"1552376463463494"</f>
        <v>1552376463463494</v>
      </c>
      <c r="C6998" t="s">
        <v>40</v>
      </c>
      <c r="D6998">
        <v>4.0714249999999996</v>
      </c>
      <c r="E6998">
        <v>0.52476579999999995</v>
      </c>
      <c r="F6998" t="s">
        <v>84</v>
      </c>
      <c r="G6998">
        <v>-428.06909999999999</v>
      </c>
      <c r="H6998">
        <v>1.054854</v>
      </c>
      <c r="I6998">
        <v>-0.49732969999999999</v>
      </c>
      <c r="J6998">
        <v>-421.786</v>
      </c>
      <c r="K6998">
        <v>1.1102110000000001</v>
      </c>
      <c r="L6998">
        <v>76.396909999999906</v>
      </c>
      <c r="M6998">
        <v>-6.6220159999999997E-3</v>
      </c>
      <c r="N6998">
        <v>0</v>
      </c>
      <c r="O6998">
        <v>-0.99988279999999996</v>
      </c>
      <c r="P6998">
        <v>-1.54174E-2</v>
      </c>
      <c r="Q6998">
        <v>-1.5078640000000001E-2</v>
      </c>
      <c r="R6998">
        <v>-0.99976790000000004</v>
      </c>
      <c r="S6998">
        <v>-0.2441101</v>
      </c>
      <c r="T6998">
        <v>-2.1508930000000001E-3</v>
      </c>
      <c r="U6998">
        <v>-2.9969480000000002</v>
      </c>
      <c r="V6998">
        <v>8.7962240000000001E-3</v>
      </c>
      <c r="W6998">
        <v>-1.2567310000000001E-3</v>
      </c>
      <c r="X6998">
        <v>0.99996050000000003</v>
      </c>
      <c r="Y6998">
        <v>7.4581460000000002E-2</v>
      </c>
      <c r="Z6998">
        <v>7.1548659999999997E-4</v>
      </c>
      <c r="AA6998">
        <v>0.99721470000000001</v>
      </c>
      <c r="AB6998">
        <v>26</v>
      </c>
      <c r="AC6998">
        <v>-6.2830999999999904</v>
      </c>
      <c r="AD6998">
        <v>-5.5356999999999802E-2</v>
      </c>
      <c r="AE6998">
        <v>-76.8942396999999</v>
      </c>
      <c r="AF6998">
        <v>5.77371583701761</v>
      </c>
      <c r="AG6998">
        <v>-5.5356999999999802E-2</v>
      </c>
      <c r="AH6998">
        <v>76.934124556624795</v>
      </c>
      <c r="AI6998">
        <v>90.041110855756301</v>
      </c>
      <c r="AJ6998">
        <v>85.708138781102505</v>
      </c>
      <c r="AK6998">
        <v>77.1504917693875</v>
      </c>
      <c r="AL6998">
        <v>90.072005402875604</v>
      </c>
      <c r="AM6998">
        <v>89.4960065802413</v>
      </c>
      <c r="AN6998">
        <v>0.99999997724485701</v>
      </c>
    </row>
    <row r="6999" spans="1:40" x14ac:dyDescent="0.25">
      <c r="A6999" t="str">
        <f>"20190312154103492"</f>
        <v>20190312154103492</v>
      </c>
      <c r="B6999" t="str">
        <f>"1552376463483014"</f>
        <v>1552376463483014</v>
      </c>
      <c r="C6999" t="s">
        <v>40</v>
      </c>
      <c r="D6999">
        <v>4.09246</v>
      </c>
      <c r="E6999">
        <v>0.52494090000000004</v>
      </c>
      <c r="F6999" t="s">
        <v>84</v>
      </c>
      <c r="G6999">
        <v>-428.07889999999998</v>
      </c>
      <c r="H6999">
        <v>1.1954100000000001</v>
      </c>
      <c r="I6999">
        <v>-0.50528909999999905</v>
      </c>
      <c r="J6999">
        <v>-421.7876</v>
      </c>
      <c r="K6999">
        <v>1.110217</v>
      </c>
      <c r="L6999">
        <v>76.148529999999994</v>
      </c>
      <c r="M6999">
        <v>-6.4928399999999997E-3</v>
      </c>
      <c r="N6999">
        <v>0</v>
      </c>
      <c r="O6999">
        <v>-0.99988149999999998</v>
      </c>
      <c r="P6999">
        <v>-1.558827E-2</v>
      </c>
      <c r="Q6999">
        <v>-1.400408E-2</v>
      </c>
      <c r="R6999">
        <v>-0.99978069999999997</v>
      </c>
      <c r="S6999">
        <v>-0.24523929999999999</v>
      </c>
      <c r="T6999">
        <v>3.3192629999999998E-3</v>
      </c>
      <c r="U6999">
        <v>-2.9969480000000002</v>
      </c>
      <c r="V6999">
        <v>9.095901E-3</v>
      </c>
      <c r="W6999" s="1">
        <v>-3.5145850000000002E-5</v>
      </c>
      <c r="X6999">
        <v>0.99995860000000003</v>
      </c>
      <c r="Y6999">
        <v>7.5083440000000001E-2</v>
      </c>
      <c r="Z6999">
        <v>-1.1041039999999901E-3</v>
      </c>
      <c r="AA6999">
        <v>0.99717659999999997</v>
      </c>
      <c r="AB6999">
        <v>26</v>
      </c>
      <c r="AC6999">
        <v>-6.2912999999999704</v>
      </c>
      <c r="AD6999">
        <v>8.5193000000000005E-2</v>
      </c>
      <c r="AE6999">
        <v>-76.653819099999893</v>
      </c>
      <c r="AF6999">
        <v>5.7934107803161599</v>
      </c>
      <c r="AG6999">
        <v>8.5193000000000005E-2</v>
      </c>
      <c r="AH6999">
        <v>76.692961307855697</v>
      </c>
      <c r="AI6999">
        <v>89.936534856642098</v>
      </c>
      <c r="AJ6999">
        <v>85.680063067615293</v>
      </c>
      <c r="AK6999">
        <v>76.911515265823397</v>
      </c>
      <c r="AL6999">
        <v>90.002013708934797</v>
      </c>
      <c r="AM6999">
        <v>89.4788360588269</v>
      </c>
      <c r="AN6999">
        <v>0.99999996918209499</v>
      </c>
    </row>
    <row r="7000" spans="1:40" x14ac:dyDescent="0.25">
      <c r="A7000" t="str">
        <f>"20190312154103509"</f>
        <v>20190312154103509</v>
      </c>
      <c r="B7000" t="str">
        <f>"1552376463503510"</f>
        <v>1552376463503510</v>
      </c>
      <c r="C7000" t="s">
        <v>40</v>
      </c>
      <c r="D7000">
        <v>4.1262970000000001</v>
      </c>
      <c r="E7000">
        <v>0.52508030000000006</v>
      </c>
      <c r="F7000" t="s">
        <v>84</v>
      </c>
      <c r="G7000">
        <v>-428.10899999999998</v>
      </c>
      <c r="H7000">
        <v>1.3033790000000001</v>
      </c>
      <c r="I7000">
        <v>-0.52990719999999902</v>
      </c>
      <c r="J7000">
        <v>-421.78870000000001</v>
      </c>
      <c r="K7000">
        <v>1.110215</v>
      </c>
      <c r="L7000">
        <v>75.964109999999906</v>
      </c>
      <c r="M7000">
        <v>-6.405076E-3</v>
      </c>
      <c r="N7000">
        <v>0</v>
      </c>
      <c r="O7000">
        <v>-0.99988080000000001</v>
      </c>
      <c r="P7000">
        <v>-1.5874940000000001E-2</v>
      </c>
      <c r="Q7000">
        <v>-1.372552E-2</v>
      </c>
      <c r="R7000">
        <v>-0.99978009999999995</v>
      </c>
      <c r="S7000">
        <v>-0.24707029999999999</v>
      </c>
      <c r="T7000">
        <v>7.5485709999999996E-3</v>
      </c>
      <c r="U7000">
        <v>-2.996918</v>
      </c>
      <c r="V7000">
        <v>9.4702499999999995E-3</v>
      </c>
      <c r="W7000">
        <v>3.393332E-4</v>
      </c>
      <c r="X7000">
        <v>0.99995509999999999</v>
      </c>
      <c r="Y7000">
        <v>7.5776739999999995E-2</v>
      </c>
      <c r="Z7000">
        <v>-2.5108130000000002E-3</v>
      </c>
      <c r="AA7000">
        <v>0.99712160000000005</v>
      </c>
      <c r="AB7000">
        <v>26</v>
      </c>
      <c r="AC7000">
        <v>-6.3203000000000298</v>
      </c>
      <c r="AD7000">
        <v>0.193164</v>
      </c>
      <c r="AE7000">
        <v>-76.494017199999902</v>
      </c>
      <c r="AF7000">
        <v>5.8301350535350798</v>
      </c>
      <c r="AG7000">
        <v>0.193164</v>
      </c>
      <c r="AH7000">
        <v>76.532449070891403</v>
      </c>
      <c r="AI7000">
        <v>89.855806463868603</v>
      </c>
      <c r="AJ7000">
        <v>85.643701352853896</v>
      </c>
      <c r="AK7000">
        <v>76.754436665654296</v>
      </c>
      <c r="AL7000">
        <v>89.980557639445394</v>
      </c>
      <c r="AM7000">
        <v>89.4573865026059</v>
      </c>
      <c r="AN7000">
        <v>1.00000000139904</v>
      </c>
    </row>
    <row r="7001" spans="1:40" x14ac:dyDescent="0.25">
      <c r="A7001" t="str">
        <f>"20190312154103526"</f>
        <v>20190312154103526</v>
      </c>
      <c r="B7001" t="str">
        <f>"1552376463513270"</f>
        <v>1552376463513270</v>
      </c>
      <c r="C7001" t="s">
        <v>40</v>
      </c>
      <c r="D7001">
        <v>4.1536269999999904</v>
      </c>
      <c r="E7001">
        <v>0.52512289999999995</v>
      </c>
      <c r="F7001" t="s">
        <v>84</v>
      </c>
      <c r="G7001">
        <v>-428.1576</v>
      </c>
      <c r="H7001">
        <v>1.330284</v>
      </c>
      <c r="I7001">
        <v>-0.5696888</v>
      </c>
      <c r="J7001">
        <v>-421.78989999999999</v>
      </c>
      <c r="K7001">
        <v>1.1102129999999999</v>
      </c>
      <c r="L7001">
        <v>75.759460000000004</v>
      </c>
      <c r="M7001">
        <v>-6.3161149999999998E-3</v>
      </c>
      <c r="N7001">
        <v>0</v>
      </c>
      <c r="O7001">
        <v>-0.99988010000000005</v>
      </c>
      <c r="P7001">
        <v>-1.5741910000000001E-2</v>
      </c>
      <c r="Q7001">
        <v>-1.31159E-2</v>
      </c>
      <c r="R7001">
        <v>-0.99979010000000001</v>
      </c>
      <c r="S7001">
        <v>-0.24938959999999999</v>
      </c>
      <c r="T7001">
        <v>8.6162089999999997E-3</v>
      </c>
      <c r="U7001">
        <v>-2.996826</v>
      </c>
      <c r="V7001">
        <v>9.4260100000000003E-3</v>
      </c>
      <c r="W7001">
        <v>1.044098E-3</v>
      </c>
      <c r="X7001">
        <v>0.99995509999999999</v>
      </c>
      <c r="Y7001">
        <v>7.6634279999999999E-2</v>
      </c>
      <c r="Z7001">
        <v>-2.8658329999999999E-3</v>
      </c>
      <c r="AA7001">
        <v>0.99705520000000003</v>
      </c>
      <c r="AB7001">
        <v>26</v>
      </c>
      <c r="AC7001">
        <v>-6.3677000000000099</v>
      </c>
      <c r="AD7001">
        <v>0.22007099999999999</v>
      </c>
      <c r="AE7001">
        <v>-76.329148799999999</v>
      </c>
      <c r="AF7001">
        <v>5.8853725002160804</v>
      </c>
      <c r="AG7001">
        <v>0.22007099999999999</v>
      </c>
      <c r="AH7001">
        <v>76.367218680960093</v>
      </c>
      <c r="AI7001">
        <v>89.835376664616305</v>
      </c>
      <c r="AJ7001">
        <v>85.5931119307524</v>
      </c>
      <c r="AK7001">
        <v>76.593982333972704</v>
      </c>
      <c r="AL7001">
        <v>89.940177584574798</v>
      </c>
      <c r="AM7001">
        <v>89.459921155425604</v>
      </c>
      <c r="AN7001">
        <v>1.0000000709105701</v>
      </c>
    </row>
    <row r="7002" spans="1:40" x14ac:dyDescent="0.25">
      <c r="A7002" t="str">
        <f>"20190312154103550"</f>
        <v>20190312154103550</v>
      </c>
      <c r="B7002" t="str">
        <f>"1552376463543526"</f>
        <v>1552376463543526</v>
      </c>
      <c r="C7002" t="s">
        <v>40</v>
      </c>
      <c r="D7002">
        <v>4.1884589999999999</v>
      </c>
      <c r="E7002">
        <v>0.52502609999999905</v>
      </c>
      <c r="F7002" t="s">
        <v>84</v>
      </c>
      <c r="G7002">
        <v>-428.13139999999999</v>
      </c>
      <c r="H7002">
        <v>1.393635</v>
      </c>
      <c r="I7002">
        <v>-0.54820819999999904</v>
      </c>
      <c r="J7002">
        <v>-421.79140000000001</v>
      </c>
      <c r="K7002">
        <v>1.11022</v>
      </c>
      <c r="L7002">
        <v>75.488709999999998</v>
      </c>
      <c r="M7002">
        <v>-6.2132790000000004E-3</v>
      </c>
      <c r="N7002">
        <v>0</v>
      </c>
      <c r="O7002">
        <v>-0.99987910000000002</v>
      </c>
      <c r="P7002">
        <v>-1.564888E-2</v>
      </c>
      <c r="Q7002">
        <v>-1.2483859999999999E-2</v>
      </c>
      <c r="R7002">
        <v>-0.99980000000000002</v>
      </c>
      <c r="S7002">
        <v>-0.249054</v>
      </c>
      <c r="T7002">
        <v>1.112986E-2</v>
      </c>
      <c r="U7002">
        <v>-2.9968569999999999</v>
      </c>
      <c r="V7002">
        <v>9.4356779999999994E-3</v>
      </c>
      <c r="W7002">
        <v>1.785579E-3</v>
      </c>
      <c r="X7002">
        <v>0.99995389999999995</v>
      </c>
      <c r="Y7002">
        <v>7.6624830000000005E-2</v>
      </c>
      <c r="Z7002">
        <v>-3.7018709999999998E-3</v>
      </c>
      <c r="AA7002">
        <v>0.99705310000000003</v>
      </c>
      <c r="AB7002">
        <v>26</v>
      </c>
      <c r="AC7002">
        <v>-6.3399999999999697</v>
      </c>
      <c r="AD7002">
        <v>0.28341499999999997</v>
      </c>
      <c r="AE7002">
        <v>-76.036918200000002</v>
      </c>
      <c r="AF7002">
        <v>5.8673100552103898</v>
      </c>
      <c r="AG7002">
        <v>0.28341499999999997</v>
      </c>
      <c r="AH7002">
        <v>76.073796784896402</v>
      </c>
      <c r="AI7002">
        <v>89.787176049745</v>
      </c>
      <c r="AJ7002">
        <v>85.589704832168593</v>
      </c>
      <c r="AK7002">
        <v>76.300250383703997</v>
      </c>
      <c r="AL7002">
        <v>89.897693806096797</v>
      </c>
      <c r="AM7002">
        <v>89.459366595475501</v>
      </c>
      <c r="AN7002">
        <v>1.00000001121844</v>
      </c>
    </row>
    <row r="7003" spans="1:40" x14ac:dyDescent="0.25">
      <c r="A7003" t="str">
        <f>"20190312154103571"</f>
        <v>20190312154103571</v>
      </c>
      <c r="B7003" t="str">
        <f>"1552376463563046"</f>
        <v>1552376463563046</v>
      </c>
      <c r="C7003" t="s">
        <v>40</v>
      </c>
      <c r="D7003">
        <v>4.1801370000000002</v>
      </c>
      <c r="E7003">
        <v>0.52504130000000004</v>
      </c>
      <c r="F7003" t="s">
        <v>84</v>
      </c>
      <c r="G7003">
        <v>-428.06830000000002</v>
      </c>
      <c r="H7003">
        <v>1.331807</v>
      </c>
      <c r="I7003">
        <v>-0.49659350000000002</v>
      </c>
      <c r="J7003">
        <v>-421.79289999999997</v>
      </c>
      <c r="K7003">
        <v>1.110217</v>
      </c>
      <c r="L7003">
        <v>75.244780000000006</v>
      </c>
      <c r="M7003">
        <v>-6.1354000000000001E-3</v>
      </c>
      <c r="N7003">
        <v>0</v>
      </c>
      <c r="O7003">
        <v>-0.99987820000000005</v>
      </c>
      <c r="P7003">
        <v>-1.5388580000000001E-2</v>
      </c>
      <c r="Q7003">
        <v>-1.166241E-2</v>
      </c>
      <c r="R7003">
        <v>-0.99981359999999997</v>
      </c>
      <c r="S7003">
        <v>-0.24755859999999999</v>
      </c>
      <c r="T7003">
        <v>8.7382789999999998E-3</v>
      </c>
      <c r="U7003">
        <v>-2.996826</v>
      </c>
      <c r="V7003">
        <v>9.2531200000000001E-3</v>
      </c>
      <c r="W7003">
        <v>2.6915680000000001E-3</v>
      </c>
      <c r="X7003">
        <v>0.9999536</v>
      </c>
      <c r="Y7003">
        <v>7.6209399999999997E-2</v>
      </c>
      <c r="Z7003">
        <v>-2.9065599999999999E-3</v>
      </c>
      <c r="AA7003">
        <v>0.99708759999999996</v>
      </c>
      <c r="AB7003">
        <v>26</v>
      </c>
      <c r="AC7003">
        <v>-6.2754000000000403</v>
      </c>
      <c r="AD7003">
        <v>0.22158999999999901</v>
      </c>
      <c r="AE7003">
        <v>-75.741373499999995</v>
      </c>
      <c r="AF7003">
        <v>5.81048098624409</v>
      </c>
      <c r="AG7003">
        <v>0.22158999999999901</v>
      </c>
      <c r="AH7003">
        <v>75.777809499424094</v>
      </c>
      <c r="AI7003">
        <v>89.832946132494101</v>
      </c>
      <c r="AJ7003">
        <v>85.615261614998303</v>
      </c>
      <c r="AK7003">
        <v>76.000573708036001</v>
      </c>
      <c r="AL7003">
        <v>89.845784332283699</v>
      </c>
      <c r="AM7003">
        <v>89.469825808158006</v>
      </c>
      <c r="AN7003">
        <v>1.0000000334604899</v>
      </c>
    </row>
    <row r="7004" spans="1:40" x14ac:dyDescent="0.25">
      <c r="A7004" t="str">
        <f>"20190312154103593"</f>
        <v>20190312154103593</v>
      </c>
      <c r="B7004" t="str">
        <f>"1552376463583542"</f>
        <v>1552376463583542</v>
      </c>
      <c r="C7004" t="s">
        <v>40</v>
      </c>
      <c r="D7004">
        <v>4.2004710000000003</v>
      </c>
      <c r="E7004">
        <v>0.52505389999999996</v>
      </c>
      <c r="F7004" t="s">
        <v>84</v>
      </c>
      <c r="G7004">
        <v>-428.03660000000002</v>
      </c>
      <c r="H7004">
        <v>1.334743</v>
      </c>
      <c r="I7004">
        <v>-0.47064210000000001</v>
      </c>
      <c r="J7004">
        <v>-421.79430000000002</v>
      </c>
      <c r="K7004">
        <v>1.1102179999999999</v>
      </c>
      <c r="L7004">
        <v>74.997410000000002</v>
      </c>
      <c r="M7004">
        <v>-6.071379E-3</v>
      </c>
      <c r="N7004">
        <v>0</v>
      </c>
      <c r="O7004">
        <v>-0.99987749999999997</v>
      </c>
      <c r="P7004">
        <v>-1.496871E-2</v>
      </c>
      <c r="Q7004">
        <v>-9.90218E-3</v>
      </c>
      <c r="R7004">
        <v>-0.99983909999999998</v>
      </c>
      <c r="S7004">
        <v>-0.2471313</v>
      </c>
      <c r="T7004">
        <v>8.8858600000000006E-3</v>
      </c>
      <c r="U7004">
        <v>-2.9968569999999999</v>
      </c>
      <c r="V7004">
        <v>8.89706E-3</v>
      </c>
      <c r="W7004">
        <v>4.5259480000000001E-3</v>
      </c>
      <c r="X7004">
        <v>0.99995020000000001</v>
      </c>
      <c r="Y7004">
        <v>7.6131210000000005E-2</v>
      </c>
      <c r="Z7004">
        <v>-2.9556460000000001E-3</v>
      </c>
      <c r="AA7004">
        <v>0.99709340000000002</v>
      </c>
      <c r="AB7004">
        <v>26</v>
      </c>
      <c r="AC7004">
        <v>-6.2423000000000002</v>
      </c>
      <c r="AD7004">
        <v>0.224525</v>
      </c>
      <c r="AE7004">
        <v>-75.468052099999994</v>
      </c>
      <c r="AF7004">
        <v>5.78389124296669</v>
      </c>
      <c r="AG7004">
        <v>0.224525</v>
      </c>
      <c r="AH7004">
        <v>75.503900412668003</v>
      </c>
      <c r="AI7004">
        <v>89.830118475950499</v>
      </c>
      <c r="AJ7004">
        <v>85.619476509470999</v>
      </c>
      <c r="AK7004">
        <v>75.725443458009394</v>
      </c>
      <c r="AL7004">
        <v>89.740681401728594</v>
      </c>
      <c r="AM7004">
        <v>89.490224076362793</v>
      </c>
      <c r="AN7004">
        <v>1.0000000221809899</v>
      </c>
    </row>
    <row r="7005" spans="1:40" x14ac:dyDescent="0.25">
      <c r="A7005" t="str">
        <f>"20190312154103615"</f>
        <v>20190312154103615</v>
      </c>
      <c r="B7005" t="str">
        <f>"1552376463603062"</f>
        <v>1552376463603062</v>
      </c>
      <c r="C7005" t="s">
        <v>40</v>
      </c>
      <c r="D7005">
        <v>4.1606439999999996</v>
      </c>
      <c r="E7005">
        <v>0.52515459999999903</v>
      </c>
      <c r="F7005" t="s">
        <v>84</v>
      </c>
      <c r="G7005">
        <v>-427.97739999999999</v>
      </c>
      <c r="H7005">
        <v>1.4173579999999999</v>
      </c>
      <c r="I7005">
        <v>-0.42212870000000002</v>
      </c>
      <c r="J7005">
        <v>-421.79570000000001</v>
      </c>
      <c r="K7005">
        <v>1.110215</v>
      </c>
      <c r="L7005">
        <v>74.745000000000005</v>
      </c>
      <c r="M7005">
        <v>-6.0214429999999996E-3</v>
      </c>
      <c r="N7005">
        <v>0</v>
      </c>
      <c r="O7005">
        <v>-0.99987700000000002</v>
      </c>
      <c r="P7005">
        <v>-1.506733E-2</v>
      </c>
      <c r="Q7005">
        <v>-8.3001919999999996E-3</v>
      </c>
      <c r="R7005">
        <v>-0.99985219999999997</v>
      </c>
      <c r="S7005">
        <v>-0.245697</v>
      </c>
      <c r="T7005">
        <v>1.220369E-2</v>
      </c>
      <c r="U7005">
        <v>-2.996918</v>
      </c>
      <c r="V7005">
        <v>9.0455940000000006E-3</v>
      </c>
      <c r="W7005">
        <v>6.1924700000000003E-3</v>
      </c>
      <c r="X7005">
        <v>0.99993989999999999</v>
      </c>
      <c r="Y7005">
        <v>7.5705010000000003E-2</v>
      </c>
      <c r="Z7005">
        <v>-4.0592850000000002E-3</v>
      </c>
      <c r="AA7005">
        <v>0.99712199999999995</v>
      </c>
      <c r="AB7005">
        <v>26</v>
      </c>
      <c r="AC7005">
        <v>-6.18169999999997</v>
      </c>
      <c r="AD7005">
        <v>0.307142999999999</v>
      </c>
      <c r="AE7005">
        <v>-75.167128700000006</v>
      </c>
      <c r="AF7005">
        <v>5.7288308481277603</v>
      </c>
      <c r="AG7005">
        <v>0.307142999999999</v>
      </c>
      <c r="AH7005">
        <v>75.201745192877198</v>
      </c>
      <c r="AI7005">
        <v>89.766666872201597</v>
      </c>
      <c r="AJ7005">
        <v>85.643650633029495</v>
      </c>
      <c r="AK7005">
        <v>75.4202646492529</v>
      </c>
      <c r="AL7005">
        <v>89.645195331838906</v>
      </c>
      <c r="AM7005">
        <v>89.481708627852797</v>
      </c>
      <c r="AN7005">
        <v>0.99999998653376099</v>
      </c>
    </row>
    <row r="7006" spans="1:40" x14ac:dyDescent="0.25">
      <c r="A7006" t="str">
        <f>"20190312154103638"</f>
        <v>20190312154103638</v>
      </c>
      <c r="B7006" t="str">
        <f>"1552376463633321"</f>
        <v>1552376463633321</v>
      </c>
      <c r="C7006" t="s">
        <v>40</v>
      </c>
      <c r="D7006">
        <v>4.1718390000000003</v>
      </c>
      <c r="E7006">
        <v>0.52517809999999998</v>
      </c>
      <c r="F7006" t="s">
        <v>84</v>
      </c>
      <c r="G7006">
        <v>-427.98480000000001</v>
      </c>
      <c r="H7006">
        <v>1.511099</v>
      </c>
      <c r="I7006">
        <v>-0.42818450000000002</v>
      </c>
      <c r="J7006">
        <v>-421.79719999999998</v>
      </c>
      <c r="K7006">
        <v>1.1102129999999999</v>
      </c>
      <c r="L7006">
        <v>74.490020000000001</v>
      </c>
      <c r="M7006">
        <v>-5.9860460000000001E-3</v>
      </c>
      <c r="N7006">
        <v>0</v>
      </c>
      <c r="O7006">
        <v>-0.99987630000000005</v>
      </c>
      <c r="P7006">
        <v>-1.5547160000000001E-2</v>
      </c>
      <c r="Q7006">
        <v>-8.4251540000000007E-3</v>
      </c>
      <c r="R7006">
        <v>-0.9998435</v>
      </c>
      <c r="S7006">
        <v>-0.2467346</v>
      </c>
      <c r="T7006">
        <v>1.5980600000000001E-2</v>
      </c>
      <c r="U7006">
        <v>-2.9968569999999999</v>
      </c>
      <c r="V7006">
        <v>9.5610279999999992E-3</v>
      </c>
      <c r="W7006">
        <v>6.1228530000000001E-3</v>
      </c>
      <c r="X7006">
        <v>0.99993560000000004</v>
      </c>
      <c r="Y7006">
        <v>7.6084399999999996E-2</v>
      </c>
      <c r="Z7006">
        <v>-5.3155149999999998E-3</v>
      </c>
      <c r="AA7006">
        <v>0.99708719999999995</v>
      </c>
      <c r="AB7006">
        <v>26</v>
      </c>
      <c r="AC7006">
        <v>-6.18760000000003</v>
      </c>
      <c r="AD7006">
        <v>0.40088600000000002</v>
      </c>
      <c r="AE7006">
        <v>-74.918204500000002</v>
      </c>
      <c r="AF7006">
        <v>5.7388146473250803</v>
      </c>
      <c r="AG7006">
        <v>0.40088600000000002</v>
      </c>
      <c r="AH7006">
        <v>74.951773563060001</v>
      </c>
      <c r="AI7006">
        <v>89.694445848218095</v>
      </c>
      <c r="AJ7006">
        <v>85.621590418217906</v>
      </c>
      <c r="AK7006">
        <v>75.172222684909201</v>
      </c>
      <c r="AL7006">
        <v>89.6491841912447</v>
      </c>
      <c r="AM7006">
        <v>89.452174861349306</v>
      </c>
      <c r="AN7006">
        <v>1.00000005336631</v>
      </c>
    </row>
    <row r="7007" spans="1:40" x14ac:dyDescent="0.25">
      <c r="A7007" t="str">
        <f>"20190312154103661"</f>
        <v>20190312154103661</v>
      </c>
      <c r="B7007" t="str">
        <f>"1552376463653815"</f>
        <v>1552376463653815</v>
      </c>
      <c r="C7007" t="s">
        <v>40</v>
      </c>
      <c r="D7007">
        <v>4.1871919999999996</v>
      </c>
      <c r="E7007">
        <v>0.52515129999999999</v>
      </c>
      <c r="F7007" t="s">
        <v>84</v>
      </c>
      <c r="G7007">
        <v>-428.01400000000001</v>
      </c>
      <c r="H7007">
        <v>1.454833</v>
      </c>
      <c r="I7007">
        <v>-0.45212750000000002</v>
      </c>
      <c r="J7007">
        <v>-421.7987</v>
      </c>
      <c r="K7007">
        <v>1.110212</v>
      </c>
      <c r="L7007">
        <v>74.229640000000003</v>
      </c>
      <c r="M7007">
        <v>-5.964156E-3</v>
      </c>
      <c r="N7007">
        <v>0</v>
      </c>
      <c r="O7007">
        <v>-0.99987579999999998</v>
      </c>
      <c r="P7007">
        <v>-1.6574220000000001E-2</v>
      </c>
      <c r="Q7007">
        <v>-7.4282180000000003E-3</v>
      </c>
      <c r="R7007">
        <v>-0.99983500000000003</v>
      </c>
      <c r="S7007">
        <v>-0.24859619999999999</v>
      </c>
      <c r="T7007">
        <v>1.3779400000000001E-2</v>
      </c>
      <c r="U7007">
        <v>-2.9967350000000001</v>
      </c>
      <c r="V7007">
        <v>1.061017E-2</v>
      </c>
      <c r="W7007">
        <v>7.1666269999999897E-3</v>
      </c>
      <c r="X7007">
        <v>0.99991799999999997</v>
      </c>
      <c r="Y7007">
        <v>7.672503E-2</v>
      </c>
      <c r="Z7007">
        <v>-4.5833200000000001E-3</v>
      </c>
      <c r="AA7007">
        <v>0.99704179999999998</v>
      </c>
      <c r="AB7007">
        <v>25</v>
      </c>
      <c r="AC7007">
        <v>-6.2153000000000098</v>
      </c>
      <c r="AD7007">
        <v>0.34462100000000001</v>
      </c>
      <c r="AE7007">
        <v>-74.681767500000007</v>
      </c>
      <c r="AF7007">
        <v>5.7696063063998402</v>
      </c>
      <c r="AG7007">
        <v>0.34462100000000001</v>
      </c>
      <c r="AH7007">
        <v>74.715931864297403</v>
      </c>
      <c r="AI7007">
        <v>89.736514278852596</v>
      </c>
      <c r="AJ7007">
        <v>85.584350610342597</v>
      </c>
      <c r="AK7007">
        <v>74.939159288817905</v>
      </c>
      <c r="AL7007">
        <v>89.589378992843194</v>
      </c>
      <c r="AM7007">
        <v>89.392055002059095</v>
      </c>
      <c r="AN7007">
        <v>0.99999997148699205</v>
      </c>
    </row>
    <row r="7008" spans="1:40" x14ac:dyDescent="0.25">
      <c r="A7008" t="str">
        <f>"20190312154103693"</f>
        <v>20190312154103693</v>
      </c>
      <c r="B7008" t="str">
        <f>"1552376463683830"</f>
        <v>1552376463683830</v>
      </c>
      <c r="C7008" t="s">
        <v>40</v>
      </c>
      <c r="D7008">
        <v>4.2341930000000003</v>
      </c>
      <c r="E7008">
        <v>0.52510239999999997</v>
      </c>
      <c r="F7008" t="s">
        <v>84</v>
      </c>
      <c r="G7008">
        <v>-428.07150000000001</v>
      </c>
      <c r="H7008">
        <v>1.4946060000000001</v>
      </c>
      <c r="I7008">
        <v>-0.49918940000000001</v>
      </c>
      <c r="J7008">
        <v>-421.80090000000001</v>
      </c>
      <c r="K7008">
        <v>1.1102190000000001</v>
      </c>
      <c r="L7008">
        <v>73.859039999999993</v>
      </c>
      <c r="M7008">
        <v>-5.9505460000000001E-3</v>
      </c>
      <c r="N7008">
        <v>0</v>
      </c>
      <c r="O7008">
        <v>-0.99987510000000002</v>
      </c>
      <c r="P7008">
        <v>-1.7949969999999999E-2</v>
      </c>
      <c r="Q7008">
        <v>-6.5186810000000001E-3</v>
      </c>
      <c r="R7008">
        <v>-0.99981770000000003</v>
      </c>
      <c r="S7008">
        <v>-0.25152590000000002</v>
      </c>
      <c r="T7008">
        <v>1.541209E-2</v>
      </c>
      <c r="U7008">
        <v>-2.996429</v>
      </c>
      <c r="V7008">
        <v>1.19998E-2</v>
      </c>
      <c r="W7008">
        <v>8.1307629999999992E-3</v>
      </c>
      <c r="X7008">
        <v>0.99989490000000003</v>
      </c>
      <c r="Y7008">
        <v>7.7714759999999994E-2</v>
      </c>
      <c r="Z7008">
        <v>-5.1264880000000002E-3</v>
      </c>
      <c r="AA7008">
        <v>0.99696240000000003</v>
      </c>
      <c r="AB7008">
        <v>25</v>
      </c>
      <c r="AC7008">
        <v>-6.2706</v>
      </c>
      <c r="AD7008">
        <v>0.38438699999999898</v>
      </c>
      <c r="AE7008">
        <v>-74.358229399999999</v>
      </c>
      <c r="AF7008">
        <v>5.8278148227748199</v>
      </c>
      <c r="AG7008">
        <v>0.38438699999999898</v>
      </c>
      <c r="AH7008">
        <v>74.3922562050913</v>
      </c>
      <c r="AI7008">
        <v>89.704857880165804</v>
      </c>
      <c r="AJ7008">
        <v>85.520654331672304</v>
      </c>
      <c r="AK7008">
        <v>74.621169665573305</v>
      </c>
      <c r="AL7008">
        <v>89.534136443125902</v>
      </c>
      <c r="AM7008">
        <v>89.312422845444601</v>
      </c>
      <c r="AN7008">
        <v>0.99999995777650497</v>
      </c>
    </row>
    <row r="7009" spans="1:40" x14ac:dyDescent="0.25">
      <c r="A7009" t="str">
        <f>"20190312154103716"</f>
        <v>20190312154103716</v>
      </c>
      <c r="B7009" t="str">
        <f>"1552376463703349"</f>
        <v>1552376463703349</v>
      </c>
      <c r="C7009" t="s">
        <v>40</v>
      </c>
      <c r="D7009">
        <v>4.2049379999999896</v>
      </c>
      <c r="E7009">
        <v>0.52505649999999904</v>
      </c>
      <c r="F7009" t="s">
        <v>84</v>
      </c>
      <c r="G7009">
        <v>-428.1447</v>
      </c>
      <c r="H7009">
        <v>1.494156</v>
      </c>
      <c r="I7009">
        <v>-0.55905150000000003</v>
      </c>
      <c r="J7009">
        <v>-421.80239999999998</v>
      </c>
      <c r="K7009">
        <v>1.110228</v>
      </c>
      <c r="L7009">
        <v>73.601169999999996</v>
      </c>
      <c r="M7009">
        <v>-5.9493749999999998E-3</v>
      </c>
      <c r="N7009">
        <v>0</v>
      </c>
      <c r="O7009">
        <v>-0.99987479999999995</v>
      </c>
      <c r="P7009">
        <v>-1.8809920000000001E-2</v>
      </c>
      <c r="Q7009">
        <v>-7.1031000000000002E-3</v>
      </c>
      <c r="R7009">
        <v>-0.99979839999999998</v>
      </c>
      <c r="S7009">
        <v>-0.25540160000000001</v>
      </c>
      <c r="T7009">
        <v>1.54562E-2</v>
      </c>
      <c r="U7009">
        <v>-2.9960629999999999</v>
      </c>
      <c r="V7009">
        <v>1.286107E-2</v>
      </c>
      <c r="W7009">
        <v>7.5771719999999897E-3</v>
      </c>
      <c r="X7009">
        <v>0.99988860000000002</v>
      </c>
      <c r="Y7009">
        <v>7.9006549999999995E-2</v>
      </c>
      <c r="Z7009">
        <v>-5.1412460000000004E-3</v>
      </c>
      <c r="AA7009">
        <v>0.99686090000000005</v>
      </c>
      <c r="AB7009">
        <v>25</v>
      </c>
      <c r="AC7009">
        <v>-6.3423000000000203</v>
      </c>
      <c r="AD7009">
        <v>0.38392799999999999</v>
      </c>
      <c r="AE7009">
        <v>-74.160221499999906</v>
      </c>
      <c r="AF7009">
        <v>5.9007763282086501</v>
      </c>
      <c r="AG7009">
        <v>0.38392799999999999</v>
      </c>
      <c r="AH7009">
        <v>74.194671448091896</v>
      </c>
      <c r="AI7009">
        <v>89.7044529142985</v>
      </c>
      <c r="AJ7009">
        <v>85.452780635448406</v>
      </c>
      <c r="AK7009">
        <v>74.429939092243202</v>
      </c>
      <c r="AL7009">
        <v>89.565855876574204</v>
      </c>
      <c r="AM7009">
        <v>89.263073509064</v>
      </c>
      <c r="AN7009">
        <v>1.0000000165335099</v>
      </c>
    </row>
    <row r="7010" spans="1:40" x14ac:dyDescent="0.25">
      <c r="A7010" t="str">
        <f>"20190312154103739"</f>
        <v>20190312154103739</v>
      </c>
      <c r="B7010" t="str">
        <f>"1552376463733605"</f>
        <v>1552376463733605</v>
      </c>
      <c r="C7010" t="s">
        <v>40</v>
      </c>
      <c r="D7010">
        <v>4.1925109999999997</v>
      </c>
      <c r="E7010">
        <v>0.52500829999999998</v>
      </c>
      <c r="F7010" t="s">
        <v>84</v>
      </c>
      <c r="G7010">
        <v>-428.16129999999998</v>
      </c>
      <c r="H7010">
        <v>1.415789</v>
      </c>
      <c r="I7010">
        <v>-0.57268520000000001</v>
      </c>
      <c r="J7010">
        <v>-421.80399999999997</v>
      </c>
      <c r="K7010">
        <v>1.110231</v>
      </c>
      <c r="L7010">
        <v>73.34845</v>
      </c>
      <c r="M7010">
        <v>-5.9523700000000002E-3</v>
      </c>
      <c r="N7010">
        <v>0</v>
      </c>
      <c r="O7010">
        <v>-0.99987440000000005</v>
      </c>
      <c r="P7010">
        <v>-1.9448429999999999E-2</v>
      </c>
      <c r="Q7010">
        <v>-7.5421969999999996E-3</v>
      </c>
      <c r="R7010">
        <v>-0.99978279999999997</v>
      </c>
      <c r="S7010">
        <v>-0.25683590000000001</v>
      </c>
      <c r="T7010">
        <v>1.234055E-2</v>
      </c>
      <c r="U7010">
        <v>-2.9958800000000001</v>
      </c>
      <c r="V7010">
        <v>1.34967E-2</v>
      </c>
      <c r="W7010">
        <v>7.1628129999999996E-3</v>
      </c>
      <c r="X7010">
        <v>0.99988319999999997</v>
      </c>
      <c r="Y7010">
        <v>7.9482910000000004E-2</v>
      </c>
      <c r="Z7010">
        <v>-4.1049830000000004E-3</v>
      </c>
      <c r="AA7010">
        <v>0.99682780000000004</v>
      </c>
      <c r="AB7010">
        <v>25</v>
      </c>
      <c r="AC7010">
        <v>-6.3572999999999498</v>
      </c>
      <c r="AD7010">
        <v>0.305558</v>
      </c>
      <c r="AE7010">
        <v>-73.921135199999995</v>
      </c>
      <c r="AF7010">
        <v>5.9170335728341499</v>
      </c>
      <c r="AG7010">
        <v>0.305558</v>
      </c>
      <c r="AH7010">
        <v>73.956416081449603</v>
      </c>
      <c r="AI7010">
        <v>89.764032374864001</v>
      </c>
      <c r="AJ7010">
        <v>85.425678225538107</v>
      </c>
      <c r="AK7010">
        <v>74.193369862851696</v>
      </c>
      <c r="AL7010">
        <v>89.589597511729906</v>
      </c>
      <c r="AM7010">
        <v>89.226652686766897</v>
      </c>
      <c r="AN7010">
        <v>0.99999994022159899</v>
      </c>
    </row>
    <row r="7011" spans="1:40" x14ac:dyDescent="0.25">
      <c r="A7011" t="str">
        <f>"20190312154103761"</f>
        <v>20190312154103761</v>
      </c>
      <c r="B7011" t="str">
        <f>"1552376463753125"</f>
        <v>1552376463753125</v>
      </c>
      <c r="C7011" t="s">
        <v>40</v>
      </c>
      <c r="D7011">
        <v>4.2425899999999999</v>
      </c>
      <c r="E7011">
        <v>0.5248294</v>
      </c>
      <c r="F7011" t="s">
        <v>84</v>
      </c>
      <c r="G7011">
        <v>-428.18060000000003</v>
      </c>
      <c r="H7011">
        <v>1.316141</v>
      </c>
      <c r="I7011">
        <v>-0.5884781</v>
      </c>
      <c r="J7011">
        <v>-421.80549999999999</v>
      </c>
      <c r="K7011">
        <v>1.1102399999999999</v>
      </c>
      <c r="L7011">
        <v>73.096590000000006</v>
      </c>
      <c r="M7011">
        <v>-5.9568039999999996E-3</v>
      </c>
      <c r="N7011">
        <v>0</v>
      </c>
      <c r="O7011">
        <v>-0.99987409999999999</v>
      </c>
      <c r="P7011">
        <v>-1.9435529999999999E-2</v>
      </c>
      <c r="Q7011">
        <v>-7.5598549999999999E-3</v>
      </c>
      <c r="R7011">
        <v>-0.99978290000000003</v>
      </c>
      <c r="S7011">
        <v>-0.25836179999999997</v>
      </c>
      <c r="T7011">
        <v>8.3417890000000005E-3</v>
      </c>
      <c r="U7011">
        <v>-2.9956969999999998</v>
      </c>
      <c r="V7011">
        <v>1.3479379999999999E-2</v>
      </c>
      <c r="W7011">
        <v>7.1661499999999996E-3</v>
      </c>
      <c r="X7011">
        <v>0.99988350000000004</v>
      </c>
      <c r="Y7011">
        <v>7.9988080000000003E-2</v>
      </c>
      <c r="Z7011">
        <v>-2.774894E-3</v>
      </c>
      <c r="AA7011">
        <v>0.99679200000000001</v>
      </c>
      <c r="AB7011">
        <v>25</v>
      </c>
      <c r="AC7011">
        <v>-6.37510000000003</v>
      </c>
      <c r="AD7011">
        <v>0.205901</v>
      </c>
      <c r="AE7011">
        <v>-73.685068099999995</v>
      </c>
      <c r="AF7011">
        <v>5.9359658772152999</v>
      </c>
      <c r="AG7011">
        <v>0.205901</v>
      </c>
      <c r="AH7011">
        <v>73.721168469838304</v>
      </c>
      <c r="AI7011">
        <v>89.840491268140994</v>
      </c>
      <c r="AJ7011">
        <v>85.3965239740172</v>
      </c>
      <c r="AK7011">
        <v>73.960048449656597</v>
      </c>
      <c r="AL7011">
        <v>89.589406347855899</v>
      </c>
      <c r="AM7011">
        <v>89.227645216726799</v>
      </c>
      <c r="AN7011">
        <v>1.0000000304816199</v>
      </c>
    </row>
    <row r="7012" spans="1:40" x14ac:dyDescent="0.25">
      <c r="A7012" t="str">
        <f>"20190312154103782"</f>
        <v>20190312154103782</v>
      </c>
      <c r="B7012" t="str">
        <f>"1552376463773621"</f>
        <v>1552376463773621</v>
      </c>
      <c r="C7012" t="s">
        <v>40</v>
      </c>
      <c r="D7012">
        <v>4.2709789999999996</v>
      </c>
      <c r="E7012">
        <v>0.52473979999999998</v>
      </c>
      <c r="F7012" t="s">
        <v>84</v>
      </c>
      <c r="G7012">
        <v>-428.13709999999998</v>
      </c>
      <c r="H7012">
        <v>1.244818</v>
      </c>
      <c r="I7012">
        <v>-0.55286599999999997</v>
      </c>
      <c r="J7012">
        <v>-421.80689999999998</v>
      </c>
      <c r="K7012">
        <v>1.1102459999999901</v>
      </c>
      <c r="L7012">
        <v>72.853610000000003</v>
      </c>
      <c r="M7012">
        <v>-5.9610740000000002E-3</v>
      </c>
      <c r="N7012">
        <v>0</v>
      </c>
      <c r="O7012">
        <v>-0.99987360000000003</v>
      </c>
      <c r="P7012">
        <v>-1.9830199999999999E-2</v>
      </c>
      <c r="Q7012">
        <v>-6.5468719999999996E-3</v>
      </c>
      <c r="R7012">
        <v>-0.99978199999999995</v>
      </c>
      <c r="S7012">
        <v>-0.25753779999999998</v>
      </c>
      <c r="T7012">
        <v>5.4728980000000003E-3</v>
      </c>
      <c r="U7012">
        <v>-2.9956969999999998</v>
      </c>
      <c r="V7012">
        <v>1.386983E-2</v>
      </c>
      <c r="W7012">
        <v>8.1956129999999992E-3</v>
      </c>
      <c r="X7012">
        <v>0.99987020000000004</v>
      </c>
      <c r="Y7012">
        <v>7.9711850000000001E-2</v>
      </c>
      <c r="Z7012">
        <v>-1.820604E-3</v>
      </c>
      <c r="AA7012">
        <v>0.99681629999999999</v>
      </c>
      <c r="AB7012">
        <v>25</v>
      </c>
      <c r="AC7012">
        <v>-6.3301999999999898</v>
      </c>
      <c r="AD7012">
        <v>0.134572</v>
      </c>
      <c r="AE7012">
        <v>-73.406475999999998</v>
      </c>
      <c r="AF7012">
        <v>5.8924388721213496</v>
      </c>
      <c r="AG7012">
        <v>0.134572</v>
      </c>
      <c r="AH7012">
        <v>73.442665364566906</v>
      </c>
      <c r="AI7012">
        <v>89.895350996313297</v>
      </c>
      <c r="AJ7012">
        <v>85.412881014776403</v>
      </c>
      <c r="AK7012">
        <v>73.678789629964896</v>
      </c>
      <c r="AL7012">
        <v>89.530420697616407</v>
      </c>
      <c r="AM7012">
        <v>89.205265087475297</v>
      </c>
      <c r="AN7012">
        <v>0.99999997855235701</v>
      </c>
    </row>
    <row r="7013" spans="1:40" x14ac:dyDescent="0.25">
      <c r="A7013" t="str">
        <f>"20190312154103805"</f>
        <v>20190312154103805</v>
      </c>
      <c r="B7013" t="str">
        <f>"1552376463793141"</f>
        <v>1552376463793141</v>
      </c>
      <c r="C7013" t="s">
        <v>40</v>
      </c>
      <c r="D7013">
        <v>4.2533000000000003</v>
      </c>
      <c r="E7013">
        <v>0.53390130000000002</v>
      </c>
      <c r="F7013" t="s">
        <v>84</v>
      </c>
      <c r="G7013">
        <v>-428.10590000000002</v>
      </c>
      <c r="H7013">
        <v>1.281919</v>
      </c>
      <c r="I7013">
        <v>-0.52736470000000002</v>
      </c>
      <c r="J7013">
        <v>-421.80840000000001</v>
      </c>
      <c r="K7013">
        <v>1.1102459999999901</v>
      </c>
      <c r="L7013">
        <v>72.604309999999998</v>
      </c>
      <c r="M7013">
        <v>-5.9647729999999996E-3</v>
      </c>
      <c r="N7013">
        <v>0</v>
      </c>
      <c r="O7013">
        <v>-0.99987340000000002</v>
      </c>
      <c r="P7013">
        <v>-2.000907E-2</v>
      </c>
      <c r="Q7013">
        <v>-6.2081530000000001E-3</v>
      </c>
      <c r="R7013">
        <v>-0.99978049999999996</v>
      </c>
      <c r="S7013">
        <v>-0.25714110000000001</v>
      </c>
      <c r="T7013">
        <v>7.0070030000000004E-3</v>
      </c>
      <c r="U7013">
        <v>-2.9955750000000001</v>
      </c>
      <c r="V7013">
        <v>1.404501E-2</v>
      </c>
      <c r="W7013">
        <v>8.5479809999999996E-3</v>
      </c>
      <c r="X7013">
        <v>0.9998648</v>
      </c>
      <c r="Y7013">
        <v>7.9580479999999995E-2</v>
      </c>
      <c r="Z7013">
        <v>-2.3310539999999999E-3</v>
      </c>
      <c r="AA7013">
        <v>0.99682570000000004</v>
      </c>
      <c r="AB7013">
        <v>25</v>
      </c>
      <c r="AC7013">
        <v>-6.2975000000000101</v>
      </c>
      <c r="AD7013">
        <v>0.17167299999999999</v>
      </c>
      <c r="AE7013">
        <v>-73.131674699999905</v>
      </c>
      <c r="AF7013">
        <v>5.8610945790924101</v>
      </c>
      <c r="AG7013">
        <v>0.17167299999999999</v>
      </c>
      <c r="AH7013">
        <v>73.167540468826104</v>
      </c>
      <c r="AI7013">
        <v>89.865996409437898</v>
      </c>
      <c r="AJ7013">
        <v>85.420094182973699</v>
      </c>
      <c r="AK7013">
        <v>73.402117677498296</v>
      </c>
      <c r="AL7013">
        <v>89.510230788214699</v>
      </c>
      <c r="AM7013">
        <v>89.195224319782</v>
      </c>
      <c r="AN7013">
        <v>0.999999974282057</v>
      </c>
    </row>
    <row r="7014" spans="1:40" x14ac:dyDescent="0.25">
      <c r="A7014" t="str">
        <f>"20190312154103828"</f>
        <v>20190312154103828</v>
      </c>
      <c r="B7014" t="str">
        <f>"1552376463823398"</f>
        <v>1552376463823398</v>
      </c>
      <c r="C7014" t="s">
        <v>40</v>
      </c>
      <c r="D7014">
        <v>4.1797089999999999</v>
      </c>
      <c r="E7014">
        <v>0.53610839999999904</v>
      </c>
      <c r="F7014" t="s">
        <v>69</v>
      </c>
      <c r="G7014">
        <v>-428.16329999999999</v>
      </c>
      <c r="H7014" s="1">
        <v>-7.8063800000000006E-6</v>
      </c>
      <c r="I7014">
        <v>14.74832</v>
      </c>
      <c r="J7014">
        <v>-421.80990000000003</v>
      </c>
      <c r="K7014">
        <v>1.1102540000000001</v>
      </c>
      <c r="L7014">
        <v>72.350949999999997</v>
      </c>
      <c r="M7014">
        <v>-5.9675229999999998E-3</v>
      </c>
      <c r="N7014">
        <v>0</v>
      </c>
      <c r="O7014">
        <v>-0.99987340000000002</v>
      </c>
      <c r="P7014">
        <v>-2.0014810000000001E-2</v>
      </c>
      <c r="Q7014">
        <v>-6.4434160000000004E-3</v>
      </c>
      <c r="R7014">
        <v>-0.99977919999999998</v>
      </c>
      <c r="S7014">
        <v>-0.32882689999999998</v>
      </c>
      <c r="T7014">
        <v>-5.7449220000000002E-2</v>
      </c>
      <c r="U7014">
        <v>-2.9937130000000001</v>
      </c>
      <c r="V7014">
        <v>1.404798E-2</v>
      </c>
      <c r="W7014">
        <v>8.3238759999999992E-3</v>
      </c>
      <c r="X7014">
        <v>0.9998667</v>
      </c>
      <c r="Y7014">
        <v>0.10322820000000001</v>
      </c>
      <c r="Z7014">
        <v>1.9077319999999998E-2</v>
      </c>
      <c r="AA7014">
        <v>0.99447470000000004</v>
      </c>
      <c r="AB7014">
        <v>25</v>
      </c>
      <c r="AC7014">
        <v>-6.3533999999999597</v>
      </c>
      <c r="AD7014">
        <v>-1.11026180638</v>
      </c>
      <c r="AE7014">
        <v>-57.602629999999998</v>
      </c>
      <c r="AF7014">
        <v>6.0072995019339004</v>
      </c>
      <c r="AG7014">
        <v>-1.11026180638</v>
      </c>
      <c r="AH7014">
        <v>57.6183739902783</v>
      </c>
      <c r="AI7014">
        <v>91.097959137427694</v>
      </c>
      <c r="AJ7014">
        <v>84.047839091070699</v>
      </c>
      <c r="AK7014">
        <v>57.941326787261502</v>
      </c>
      <c r="AL7014">
        <v>89.523071540442402</v>
      </c>
      <c r="AM7014">
        <v>89.195055691288601</v>
      </c>
      <c r="AN7014">
        <v>1.0000000252113099</v>
      </c>
    </row>
    <row r="7015" spans="1:40" x14ac:dyDescent="0.25">
      <c r="A7015" t="str">
        <f>"20190312154103850"</f>
        <v>20190312154103850</v>
      </c>
      <c r="B7015" t="str">
        <f>"1552376463842921"</f>
        <v>1552376463842921</v>
      </c>
      <c r="C7015" t="s">
        <v>40</v>
      </c>
      <c r="D7015">
        <v>4.1918150000000001</v>
      </c>
      <c r="E7015">
        <v>0.53663369999999999</v>
      </c>
      <c r="F7015" t="s">
        <v>69</v>
      </c>
      <c r="G7015">
        <v>-428.15339999999998</v>
      </c>
      <c r="H7015" s="1">
        <v>-8.1311049999999995E-6</v>
      </c>
      <c r="I7015">
        <v>17.604329999999901</v>
      </c>
      <c r="J7015">
        <v>-421.81150000000002</v>
      </c>
      <c r="K7015">
        <v>1.1102639999999999</v>
      </c>
      <c r="L7015">
        <v>72.102199999999996</v>
      </c>
      <c r="M7015">
        <v>-5.9692149999999999E-3</v>
      </c>
      <c r="N7015">
        <v>0</v>
      </c>
      <c r="O7015">
        <v>-0.99987320000000002</v>
      </c>
      <c r="P7015">
        <v>-1.9951130000000001E-2</v>
      </c>
      <c r="Q7015">
        <v>-4.5979940000000002E-3</v>
      </c>
      <c r="R7015">
        <v>-0.99979059999999997</v>
      </c>
      <c r="S7015">
        <v>-0.34683229999999998</v>
      </c>
      <c r="T7015">
        <v>-6.0704470000000003E-2</v>
      </c>
      <c r="U7015">
        <v>-2.9933169999999998</v>
      </c>
      <c r="V7015">
        <v>1.3982609999999999E-2</v>
      </c>
      <c r="W7015">
        <v>1.0177739999999999E-2</v>
      </c>
      <c r="X7015">
        <v>0.99985049999999998</v>
      </c>
      <c r="Y7015">
        <v>0.1091432</v>
      </c>
      <c r="Z7015">
        <v>2.014736E-2</v>
      </c>
      <c r="AA7015">
        <v>0.99382190000000004</v>
      </c>
      <c r="AB7015">
        <v>25</v>
      </c>
      <c r="AC7015">
        <v>-6.3418999999999501</v>
      </c>
      <c r="AD7015">
        <v>-1.1102721311049999</v>
      </c>
      <c r="AE7015">
        <v>-54.497869999999899</v>
      </c>
      <c r="AF7015">
        <v>6.01397928034618</v>
      </c>
      <c r="AG7015">
        <v>-1.1102721311049999</v>
      </c>
      <c r="AH7015">
        <v>54.512436090470104</v>
      </c>
      <c r="AI7015">
        <v>91.159765478048797</v>
      </c>
      <c r="AJ7015">
        <v>83.704412928788201</v>
      </c>
      <c r="AK7015">
        <v>54.854410392484603</v>
      </c>
      <c r="AL7015">
        <v>89.416848420570702</v>
      </c>
      <c r="AM7015">
        <v>89.198787900193594</v>
      </c>
      <c r="AN7015">
        <v>1.0000000610620801</v>
      </c>
    </row>
    <row r="7016" spans="1:40" x14ac:dyDescent="0.25">
      <c r="A7016" t="str">
        <f>"20190312154103872"</f>
        <v>20190312154103872</v>
      </c>
      <c r="B7016" t="str">
        <f>"1552376463862944"</f>
        <v>1552376463862944</v>
      </c>
      <c r="C7016" t="s">
        <v>40</v>
      </c>
      <c r="D7016">
        <v>4.1644779999999999</v>
      </c>
      <c r="E7016">
        <v>0.53698069999999998</v>
      </c>
      <c r="F7016" t="s">
        <v>69</v>
      </c>
      <c r="G7016">
        <v>-428.69229999999999</v>
      </c>
      <c r="H7016" s="1">
        <v>-7.4700379999999901E-6</v>
      </c>
      <c r="I7016">
        <v>13.40874</v>
      </c>
      <c r="J7016">
        <v>-421.81290000000001</v>
      </c>
      <c r="K7016">
        <v>1.110276</v>
      </c>
      <c r="L7016">
        <v>71.856409999999997</v>
      </c>
      <c r="M7016">
        <v>-5.9700559999999996E-3</v>
      </c>
      <c r="N7016">
        <v>0</v>
      </c>
      <c r="O7016">
        <v>-0.99987320000000002</v>
      </c>
      <c r="P7016">
        <v>-2.0099789999999999E-2</v>
      </c>
      <c r="Q7016">
        <v>-3.7583669999999999E-3</v>
      </c>
      <c r="R7016">
        <v>-0.99979119999999999</v>
      </c>
      <c r="S7016">
        <v>-0.3509216</v>
      </c>
      <c r="T7016">
        <v>-5.6624050000000002E-2</v>
      </c>
      <c r="U7016">
        <v>-2.9933779999999999</v>
      </c>
      <c r="V7016">
        <v>1.4130449999999999E-2</v>
      </c>
      <c r="W7016">
        <v>1.102408E-2</v>
      </c>
      <c r="X7016">
        <v>0.99983940000000004</v>
      </c>
      <c r="Y7016">
        <v>0.1104826</v>
      </c>
      <c r="Z7016">
        <v>1.8790339999999999E-2</v>
      </c>
      <c r="AA7016">
        <v>0.99370040000000004</v>
      </c>
      <c r="AB7016">
        <v>25</v>
      </c>
      <c r="AC7016">
        <v>-6.8793999999999702</v>
      </c>
      <c r="AD7016">
        <v>-1.110283470038</v>
      </c>
      <c r="AE7016">
        <v>-58.447670000000002</v>
      </c>
      <c r="AF7016">
        <v>6.5279800138862996</v>
      </c>
      <c r="AG7016">
        <v>-1.110283470038</v>
      </c>
      <c r="AH7016">
        <v>58.466893252603903</v>
      </c>
      <c r="AI7016">
        <v>91.081196538270902</v>
      </c>
      <c r="AJ7016">
        <v>83.629164015715801</v>
      </c>
      <c r="AK7016">
        <v>58.840673509545397</v>
      </c>
      <c r="AL7016">
        <v>89.368353956650793</v>
      </c>
      <c r="AM7016">
        <v>89.190308711994007</v>
      </c>
      <c r="AN7016">
        <v>1.0000000128747</v>
      </c>
    </row>
    <row r="7017" spans="1:40" x14ac:dyDescent="0.25">
      <c r="A7017" t="str">
        <f>"20190312154103894"</f>
        <v>20190312154103894</v>
      </c>
      <c r="B7017" t="str">
        <f>"1552376463883438"</f>
        <v>1552376463883438</v>
      </c>
      <c r="C7017" t="s">
        <v>40</v>
      </c>
      <c r="D7017">
        <v>4.2137650000000004</v>
      </c>
      <c r="E7017">
        <v>0.53720809999999997</v>
      </c>
      <c r="F7017" t="s">
        <v>69</v>
      </c>
      <c r="G7017">
        <v>-429.00259999999997</v>
      </c>
      <c r="H7017" s="1">
        <v>-7.1013860000000004E-6</v>
      </c>
      <c r="I7017">
        <v>11.099690000000001</v>
      </c>
      <c r="J7017">
        <v>-421.81439999999998</v>
      </c>
      <c r="K7017">
        <v>1.110284</v>
      </c>
      <c r="L7017">
        <v>71.611509999999996</v>
      </c>
      <c r="M7017">
        <v>-5.9702890000000002E-3</v>
      </c>
      <c r="N7017">
        <v>0</v>
      </c>
      <c r="O7017">
        <v>-0.99987289999999995</v>
      </c>
      <c r="P7017">
        <v>-2.0332719999999999E-2</v>
      </c>
      <c r="Q7017">
        <v>-4.1931030000000001E-3</v>
      </c>
      <c r="R7017">
        <v>-0.99978480000000003</v>
      </c>
      <c r="S7017">
        <v>-0.35421750000000002</v>
      </c>
      <c r="T7017">
        <v>-5.4700609999999997E-2</v>
      </c>
      <c r="U7017">
        <v>-2.9933169999999998</v>
      </c>
      <c r="V7017">
        <v>1.436314E-2</v>
      </c>
      <c r="W7017">
        <v>1.059447E-2</v>
      </c>
      <c r="X7017">
        <v>0.99984070000000003</v>
      </c>
      <c r="Y7017">
        <v>0.1115652</v>
      </c>
      <c r="Z7017">
        <v>1.8150380000000001E-2</v>
      </c>
      <c r="AA7017">
        <v>0.99359140000000001</v>
      </c>
      <c r="AB7017">
        <v>25</v>
      </c>
      <c r="AC7017">
        <v>-7.1881999999999904</v>
      </c>
      <c r="AD7017">
        <v>-1.110291101386</v>
      </c>
      <c r="AE7017">
        <v>-60.511819999999901</v>
      </c>
      <c r="AF7017">
        <v>6.8244937517331801</v>
      </c>
      <c r="AG7017">
        <v>-1.110291101386</v>
      </c>
      <c r="AH7017">
        <v>60.533565883001899</v>
      </c>
      <c r="AI7017">
        <v>91.044173298277698</v>
      </c>
      <c r="AJ7017">
        <v>83.567691019245103</v>
      </c>
      <c r="AK7017">
        <v>60.927161921502602</v>
      </c>
      <c r="AL7017">
        <v>89.392970216950005</v>
      </c>
      <c r="AM7017">
        <v>89.176978192381895</v>
      </c>
      <c r="AN7017">
        <v>0.99999998398086498</v>
      </c>
    </row>
    <row r="7018" spans="1:40" x14ac:dyDescent="0.25">
      <c r="A7018" t="str">
        <f>"20190312154103917"</f>
        <v>20190312154103917</v>
      </c>
      <c r="B7018" t="str">
        <f>"1552376463913694"</f>
        <v>1552376463913694</v>
      </c>
      <c r="C7018" t="s">
        <v>40</v>
      </c>
      <c r="D7018">
        <v>4.2386200000000001</v>
      </c>
      <c r="E7018">
        <v>0.53749130000000001</v>
      </c>
      <c r="F7018" t="s">
        <v>69</v>
      </c>
      <c r="G7018">
        <v>-428.84690000000001</v>
      </c>
      <c r="H7018" s="1">
        <v>-7.3189139999999901E-6</v>
      </c>
      <c r="I7018">
        <v>12.54763</v>
      </c>
      <c r="J7018">
        <v>-421.8159</v>
      </c>
      <c r="K7018">
        <v>1.1102909999999999</v>
      </c>
      <c r="L7018">
        <v>71.360780000000005</v>
      </c>
      <c r="M7018">
        <v>-5.9701669999999898E-3</v>
      </c>
      <c r="N7018">
        <v>0</v>
      </c>
      <c r="O7018">
        <v>-0.99987289999999995</v>
      </c>
      <c r="P7018">
        <v>-2.0691399999999999E-2</v>
      </c>
      <c r="Q7018">
        <v>-4.5351380000000002E-3</v>
      </c>
      <c r="R7018">
        <v>-0.99977579999999999</v>
      </c>
      <c r="S7018">
        <v>-0.35638429999999999</v>
      </c>
      <c r="T7018">
        <v>-5.6265950000000002E-2</v>
      </c>
      <c r="U7018">
        <v>-2.9931640000000002</v>
      </c>
      <c r="V7018">
        <v>1.4721959999999999E-2</v>
      </c>
      <c r="W7018">
        <v>1.0256410000000001E-2</v>
      </c>
      <c r="X7018">
        <v>0.99983900000000003</v>
      </c>
      <c r="Y7018">
        <v>0.1122793</v>
      </c>
      <c r="Z7018">
        <v>1.8669000000000002E-2</v>
      </c>
      <c r="AA7018">
        <v>0.99350130000000003</v>
      </c>
      <c r="AB7018">
        <v>25</v>
      </c>
      <c r="AC7018">
        <v>-7.0309999999999997</v>
      </c>
      <c r="AD7018">
        <v>-1.1102983189140001</v>
      </c>
      <c r="AE7018">
        <v>-58.81315</v>
      </c>
      <c r="AF7018">
        <v>6.67736572605898</v>
      </c>
      <c r="AG7018">
        <v>-1.1102983189140001</v>
      </c>
      <c r="AH7018">
        <v>58.833410023865603</v>
      </c>
      <c r="AI7018">
        <v>91.074256786892306</v>
      </c>
      <c r="AJ7018">
        <v>83.524857474250595</v>
      </c>
      <c r="AK7018">
        <v>59.221534178310698</v>
      </c>
      <c r="AL7018">
        <v>89.412340677766693</v>
      </c>
      <c r="AM7018">
        <v>89.156418960405404</v>
      </c>
      <c r="AN7018">
        <v>0.99999997798666396</v>
      </c>
    </row>
    <row r="7019" spans="1:40" x14ac:dyDescent="0.25">
      <c r="A7019" t="str">
        <f>"20190312154103940"</f>
        <v>20190312154103940</v>
      </c>
      <c r="B7019" t="str">
        <f>"1552376463933214"</f>
        <v>1552376463933214</v>
      </c>
      <c r="C7019" t="s">
        <v>40</v>
      </c>
      <c r="D7019">
        <v>4.2315459999999998</v>
      </c>
      <c r="E7019">
        <v>0.53772469999999895</v>
      </c>
      <c r="F7019" t="s">
        <v>69</v>
      </c>
      <c r="G7019">
        <v>-428.4907</v>
      </c>
      <c r="H7019" s="1">
        <v>-7.8139109999999999E-6</v>
      </c>
      <c r="I7019">
        <v>15.83691</v>
      </c>
      <c r="J7019">
        <v>-421.81729999999999</v>
      </c>
      <c r="K7019">
        <v>1.1103019999999999</v>
      </c>
      <c r="L7019">
        <v>71.111940000000004</v>
      </c>
      <c r="M7019">
        <v>-5.9698669999999898E-3</v>
      </c>
      <c r="N7019">
        <v>0</v>
      </c>
      <c r="O7019">
        <v>-0.99987289999999995</v>
      </c>
      <c r="P7019">
        <v>-2.0772100000000002E-2</v>
      </c>
      <c r="Q7019">
        <v>-4.2129239999999998E-3</v>
      </c>
      <c r="R7019">
        <v>-0.99977550000000004</v>
      </c>
      <c r="S7019">
        <v>-0.35980220000000002</v>
      </c>
      <c r="T7019">
        <v>-5.9849979999999997E-2</v>
      </c>
      <c r="U7019">
        <v>-2.9929809999999999</v>
      </c>
      <c r="V7019">
        <v>1.480297E-2</v>
      </c>
      <c r="W7019">
        <v>1.0580640000000001E-2</v>
      </c>
      <c r="X7019">
        <v>0.99983440000000001</v>
      </c>
      <c r="Y7019">
        <v>0.1134025</v>
      </c>
      <c r="Z7019">
        <v>1.9856309999999999E-2</v>
      </c>
      <c r="AA7019">
        <v>0.99335070000000003</v>
      </c>
      <c r="AB7019">
        <v>25</v>
      </c>
      <c r="AC7019">
        <v>-6.6734000000000098</v>
      </c>
      <c r="AD7019">
        <v>-1.1103098139109999</v>
      </c>
      <c r="AE7019">
        <v>-55.275030000000001</v>
      </c>
      <c r="AF7019">
        <v>6.3407387585452897</v>
      </c>
      <c r="AG7019">
        <v>-1.1103098139109999</v>
      </c>
      <c r="AH7019">
        <v>55.291899364352503</v>
      </c>
      <c r="AI7019">
        <v>91.142906280442901</v>
      </c>
      <c r="AJ7019">
        <v>83.458038960717204</v>
      </c>
      <c r="AK7019">
        <v>55.665356292802699</v>
      </c>
      <c r="AL7019">
        <v>89.393762643011101</v>
      </c>
      <c r="AM7019">
        <v>89.151773791802896</v>
      </c>
      <c r="AN7019">
        <v>0.99999995264349395</v>
      </c>
    </row>
    <row r="7020" spans="1:40" x14ac:dyDescent="0.25">
      <c r="A7020" t="str">
        <f>"20190312154103962"</f>
        <v>20190312154103962</v>
      </c>
      <c r="B7020" t="str">
        <f>"1552376463953711"</f>
        <v>1552376463953711</v>
      </c>
      <c r="C7020" t="s">
        <v>40</v>
      </c>
      <c r="D7020">
        <v>4.2658959999999997</v>
      </c>
      <c r="E7020">
        <v>0.53782069999999904</v>
      </c>
      <c r="F7020" t="s">
        <v>69</v>
      </c>
      <c r="G7020">
        <v>-428.52789999999999</v>
      </c>
      <c r="H7020" s="1">
        <v>-7.7718829999999994E-6</v>
      </c>
      <c r="I7020">
        <v>15.579330000000001</v>
      </c>
      <c r="J7020">
        <v>-421.81880000000001</v>
      </c>
      <c r="K7020">
        <v>1.1103099999999999</v>
      </c>
      <c r="L7020">
        <v>70.863249999999994</v>
      </c>
      <c r="M7020">
        <v>-5.9695449999999997E-3</v>
      </c>
      <c r="N7020">
        <v>0</v>
      </c>
      <c r="O7020">
        <v>-0.99987289999999995</v>
      </c>
      <c r="P7020">
        <v>-2.068236E-2</v>
      </c>
      <c r="Q7020">
        <v>-3.0852739999999998E-3</v>
      </c>
      <c r="R7020">
        <v>-0.99978149999999999</v>
      </c>
      <c r="S7020">
        <v>-0.36166379999999998</v>
      </c>
      <c r="T7020">
        <v>-5.9839959999999998E-2</v>
      </c>
      <c r="U7020">
        <v>-2.9929199999999998</v>
      </c>
      <c r="V7020">
        <v>1.4713550000000001E-2</v>
      </c>
      <c r="W7020">
        <v>1.1709249999999999E-2</v>
      </c>
      <c r="X7020">
        <v>0.99982320000000002</v>
      </c>
      <c r="Y7020">
        <v>0.1140142</v>
      </c>
      <c r="Z7020">
        <v>1.9851959999999998E-2</v>
      </c>
      <c r="AA7020">
        <v>0.99328079999999996</v>
      </c>
      <c r="AB7020">
        <v>25</v>
      </c>
      <c r="AC7020">
        <v>-6.7090999999999701</v>
      </c>
      <c r="AD7020">
        <v>-1.110317771883</v>
      </c>
      <c r="AE7020">
        <v>-55.283920000000002</v>
      </c>
      <c r="AF7020">
        <v>6.3763898397998897</v>
      </c>
      <c r="AG7020">
        <v>-1.110317771883</v>
      </c>
      <c r="AH7020">
        <v>55.301006720085702</v>
      </c>
      <c r="AI7020">
        <v>91.142645164102206</v>
      </c>
      <c r="AJ7020">
        <v>83.422651901986299</v>
      </c>
      <c r="AK7020">
        <v>55.6784742714689</v>
      </c>
      <c r="AL7020">
        <v>89.329094071048104</v>
      </c>
      <c r="AM7020">
        <v>89.156887469698802</v>
      </c>
      <c r="AN7020">
        <v>1.0000000131736999</v>
      </c>
    </row>
    <row r="7021" spans="1:40" x14ac:dyDescent="0.25">
      <c r="A7021" t="str">
        <f>"20190312154103984"</f>
        <v>20190312154103984</v>
      </c>
      <c r="B7021" t="str">
        <f>"1552376463973738"</f>
        <v>1552376463973738</v>
      </c>
      <c r="C7021" t="s">
        <v>40</v>
      </c>
      <c r="D7021">
        <v>4.1901809999999999</v>
      </c>
      <c r="E7021">
        <v>0.53807090000000002</v>
      </c>
      <c r="F7021" t="s">
        <v>69</v>
      </c>
      <c r="G7021">
        <v>-428.94099999999997</v>
      </c>
      <c r="H7021" s="1">
        <v>-7.2256199999999996E-6</v>
      </c>
      <c r="I7021">
        <v>12.011990000000001</v>
      </c>
      <c r="J7021">
        <v>-421.82029999999997</v>
      </c>
      <c r="K7021">
        <v>1.11032</v>
      </c>
      <c r="L7021">
        <v>70.621340000000004</v>
      </c>
      <c r="M7021">
        <v>-5.969266E-3</v>
      </c>
      <c r="N7021">
        <v>0</v>
      </c>
      <c r="O7021">
        <v>-0.99987289999999995</v>
      </c>
      <c r="P7021">
        <v>-2.0299060000000001E-2</v>
      </c>
      <c r="Q7021">
        <v>-2.5347199999999999E-3</v>
      </c>
      <c r="R7021">
        <v>-0.99979110000000004</v>
      </c>
      <c r="S7021">
        <v>-0.36221310000000001</v>
      </c>
      <c r="T7021">
        <v>-5.6467059999999999E-2</v>
      </c>
      <c r="U7021">
        <v>-2.9929809999999999</v>
      </c>
      <c r="V7021">
        <v>1.4330499999999999E-2</v>
      </c>
      <c r="W7021">
        <v>1.225996E-2</v>
      </c>
      <c r="X7021">
        <v>0.99982210000000005</v>
      </c>
      <c r="Y7021">
        <v>0.1141944</v>
      </c>
      <c r="Z7021">
        <v>1.8732619999999998E-2</v>
      </c>
      <c r="AA7021">
        <v>0.99328179999999999</v>
      </c>
      <c r="AB7021">
        <v>25</v>
      </c>
      <c r="AC7021">
        <v>-7.1206999999999896</v>
      </c>
      <c r="AD7021">
        <v>-1.1103272256200001</v>
      </c>
      <c r="AE7021">
        <v>-58.609349999999999</v>
      </c>
      <c r="AF7021">
        <v>6.7682862968684097</v>
      </c>
      <c r="AG7021">
        <v>-1.1103272256200001</v>
      </c>
      <c r="AH7021">
        <v>58.6300795740867</v>
      </c>
      <c r="AI7021">
        <v>91.0777727705659</v>
      </c>
      <c r="AJ7021">
        <v>83.414894907202097</v>
      </c>
      <c r="AK7021">
        <v>59.0298971438039</v>
      </c>
      <c r="AL7021">
        <v>89.297538402215395</v>
      </c>
      <c r="AM7021">
        <v>89.178832965499495</v>
      </c>
      <c r="AN7021">
        <v>0.999999950748929</v>
      </c>
    </row>
    <row r="7022" spans="1:40" x14ac:dyDescent="0.25">
      <c r="A7022" t="str">
        <f>"20190312154104006"</f>
        <v>20190312154104006</v>
      </c>
      <c r="B7022" t="str">
        <f>"1552376463993258"</f>
        <v>1552376463993258</v>
      </c>
      <c r="C7022" t="s">
        <v>40</v>
      </c>
      <c r="D7022">
        <v>4.21821</v>
      </c>
      <c r="E7022">
        <v>0.53818390000000005</v>
      </c>
      <c r="F7022" t="s">
        <v>69</v>
      </c>
      <c r="G7022">
        <v>-428.90359999999998</v>
      </c>
      <c r="H7022" s="1">
        <v>-7.2640439999999998E-6</v>
      </c>
      <c r="I7022">
        <v>12.23676</v>
      </c>
      <c r="J7022">
        <v>-421.82170000000002</v>
      </c>
      <c r="K7022">
        <v>1.110325</v>
      </c>
      <c r="L7022">
        <v>70.379180000000005</v>
      </c>
      <c r="M7022">
        <v>-5.9690480000000002E-3</v>
      </c>
      <c r="N7022">
        <v>0</v>
      </c>
      <c r="O7022">
        <v>-0.99987289999999995</v>
      </c>
      <c r="P7022">
        <v>-2.017304E-2</v>
      </c>
      <c r="Q7022">
        <v>-1.5276479999999999E-3</v>
      </c>
      <c r="R7022">
        <v>-0.99979549999999995</v>
      </c>
      <c r="S7022">
        <v>-0.36312870000000003</v>
      </c>
      <c r="T7022">
        <v>-5.6921239999999998E-2</v>
      </c>
      <c r="U7022">
        <v>-2.9931030000000001</v>
      </c>
      <c r="V7022">
        <v>1.4204710000000001E-2</v>
      </c>
      <c r="W7022">
        <v>1.3266E-2</v>
      </c>
      <c r="X7022">
        <v>0.99981109999999895</v>
      </c>
      <c r="Y7022">
        <v>0.1144888</v>
      </c>
      <c r="Z7022">
        <v>1.8881809999999999E-2</v>
      </c>
      <c r="AA7022">
        <v>0.99324509999999999</v>
      </c>
      <c r="AB7022">
        <v>25</v>
      </c>
      <c r="AC7022">
        <v>-7.0818999999999601</v>
      </c>
      <c r="AD7022">
        <v>-1.1103322640440001</v>
      </c>
      <c r="AE7022">
        <v>-58.142419999999902</v>
      </c>
      <c r="AF7022">
        <v>6.7322617086428203</v>
      </c>
      <c r="AG7022">
        <v>-1.1103322640440001</v>
      </c>
      <c r="AH7022">
        <v>58.162759703463998</v>
      </c>
      <c r="AI7022">
        <v>91.0863970248908</v>
      </c>
      <c r="AJ7022">
        <v>83.397471823373095</v>
      </c>
      <c r="AK7022">
        <v>58.561615430016403</v>
      </c>
      <c r="AL7022">
        <v>89.239891891606305</v>
      </c>
      <c r="AM7022">
        <v>89.186031062321604</v>
      </c>
      <c r="AN7022">
        <v>0.99999999811269602</v>
      </c>
    </row>
    <row r="7023" spans="1:40" x14ac:dyDescent="0.25">
      <c r="A7023" t="str">
        <f>"20190312154104021"</f>
        <v>20190312154104021</v>
      </c>
      <c r="B7023" t="str">
        <f>"1552376464013754"</f>
        <v>1552376464013754</v>
      </c>
      <c r="C7023" t="s">
        <v>40</v>
      </c>
      <c r="D7023">
        <v>4.2291109999999996</v>
      </c>
      <c r="E7023">
        <v>0.53833839999999999</v>
      </c>
      <c r="F7023" t="s">
        <v>69</v>
      </c>
      <c r="G7023">
        <v>-429.07830000000001</v>
      </c>
      <c r="H7023">
        <v>2.2387560000000002E-3</v>
      </c>
      <c r="I7023">
        <v>10.66459</v>
      </c>
      <c r="J7023">
        <v>-421.8227</v>
      </c>
      <c r="K7023">
        <v>1.1103289999999999</v>
      </c>
      <c r="L7023">
        <v>70.217740000000006</v>
      </c>
      <c r="M7023">
        <v>-5.9689349999999999E-3</v>
      </c>
      <c r="N7023">
        <v>0</v>
      </c>
      <c r="O7023">
        <v>-0.99987289999999995</v>
      </c>
      <c r="P7023">
        <v>-2.0190019999999999E-2</v>
      </c>
      <c r="Q7023">
        <v>-1.080241E-3</v>
      </c>
      <c r="R7023">
        <v>-0.99979580000000001</v>
      </c>
      <c r="S7023">
        <v>-0.36373899999999998</v>
      </c>
      <c r="T7023">
        <v>-5.5542830000000001E-2</v>
      </c>
      <c r="U7023">
        <v>-2.9931950000000001</v>
      </c>
      <c r="V7023">
        <v>1.422181E-2</v>
      </c>
      <c r="W7023">
        <v>1.3712759999999999E-2</v>
      </c>
      <c r="X7023">
        <v>0.9998049</v>
      </c>
      <c r="Y7023">
        <v>0.11468589999999999</v>
      </c>
      <c r="Z7023">
        <v>1.8423729999999999E-2</v>
      </c>
      <c r="AA7023">
        <v>0.99323090000000003</v>
      </c>
      <c r="AB7023">
        <v>25</v>
      </c>
      <c r="AC7023">
        <v>-7.25560000000001</v>
      </c>
      <c r="AD7023">
        <v>-1.108090244</v>
      </c>
      <c r="AE7023">
        <v>-59.553150000000002</v>
      </c>
      <c r="AF7023">
        <v>6.8976098863381603</v>
      </c>
      <c r="AG7023">
        <v>-1.108090244</v>
      </c>
      <c r="AH7023">
        <v>59.575077945698901</v>
      </c>
      <c r="AI7023">
        <v>91.058503266599004</v>
      </c>
      <c r="AJ7023">
        <v>83.395693138294305</v>
      </c>
      <c r="AK7023">
        <v>59.983287658889203</v>
      </c>
      <c r="AL7023">
        <v>89.214292155265795</v>
      </c>
      <c r="AM7023">
        <v>89.185046264394202</v>
      </c>
      <c r="AN7023">
        <v>1.00000006886524</v>
      </c>
    </row>
    <row r="7024" spans="1:40" x14ac:dyDescent="0.25">
      <c r="A7024" t="str">
        <f>"20190312154104034"</f>
        <v>20190312154104034</v>
      </c>
      <c r="B7024" t="str">
        <f>"1552376464023515"</f>
        <v>1552376464023515</v>
      </c>
      <c r="C7024" t="s">
        <v>40</v>
      </c>
      <c r="D7024">
        <v>4.2232419999999999</v>
      </c>
      <c r="E7024">
        <v>0.53841969999999995</v>
      </c>
      <c r="F7024" t="s">
        <v>69</v>
      </c>
      <c r="G7024">
        <v>-429.08229999999998</v>
      </c>
      <c r="H7024">
        <v>6.4407300000000004E-3</v>
      </c>
      <c r="I7024">
        <v>10.66854</v>
      </c>
      <c r="J7024">
        <v>-421.8236</v>
      </c>
      <c r="K7024">
        <v>1.1103339999999999</v>
      </c>
      <c r="L7024">
        <v>70.07159</v>
      </c>
      <c r="M7024">
        <v>-5.968859E-3</v>
      </c>
      <c r="N7024">
        <v>0</v>
      </c>
      <c r="O7024">
        <v>-0.99987289999999995</v>
      </c>
      <c r="P7024">
        <v>-1.9879859999999999E-2</v>
      </c>
      <c r="Q7024">
        <v>-7.2781850000000004E-4</v>
      </c>
      <c r="R7024">
        <v>-0.99980239999999998</v>
      </c>
      <c r="S7024">
        <v>-0.36489870000000002</v>
      </c>
      <c r="T7024">
        <v>-5.548608E-2</v>
      </c>
      <c r="U7024">
        <v>-2.9931950000000001</v>
      </c>
      <c r="V7024">
        <v>1.3911700000000001E-2</v>
      </c>
      <c r="W7024">
        <v>1.4064149999999999E-2</v>
      </c>
      <c r="X7024">
        <v>0.99980429999999998</v>
      </c>
      <c r="Y7024">
        <v>0.11506520000000001</v>
      </c>
      <c r="Z7024">
        <v>1.840408E-2</v>
      </c>
      <c r="AA7024">
        <v>0.99318740000000005</v>
      </c>
      <c r="AB7024">
        <v>25</v>
      </c>
      <c r="AC7024">
        <v>-7.25869999999997</v>
      </c>
      <c r="AD7024">
        <v>-1.1038932699999999</v>
      </c>
      <c r="AE7024">
        <v>-59.40305</v>
      </c>
      <c r="AF7024">
        <v>6.9016151994624604</v>
      </c>
      <c r="AG7024">
        <v>-1.1038932699999999</v>
      </c>
      <c r="AH7024">
        <v>59.4251029888473</v>
      </c>
      <c r="AI7024">
        <v>91.057112220471396</v>
      </c>
      <c r="AJ7024">
        <v>83.375362793117105</v>
      </c>
      <c r="AK7024">
        <v>59.834720171052098</v>
      </c>
      <c r="AL7024">
        <v>89.194156984599601</v>
      </c>
      <c r="AM7024">
        <v>89.202813730126095</v>
      </c>
      <c r="AN7024">
        <v>0.99999998700530102</v>
      </c>
    </row>
    <row r="7025" spans="1:40" x14ac:dyDescent="0.25">
      <c r="A7025" t="str">
        <f>"20190312154104050"</f>
        <v>20190312154104050</v>
      </c>
      <c r="B7025" t="str">
        <f>"1552376464043034"</f>
        <v>1552376464043034</v>
      </c>
      <c r="C7025" t="s">
        <v>40</v>
      </c>
      <c r="D7025">
        <v>4.1967049999999997</v>
      </c>
      <c r="E7025">
        <v>0.53854380000000002</v>
      </c>
      <c r="F7025" t="s">
        <v>69</v>
      </c>
      <c r="G7025">
        <v>-429.0573</v>
      </c>
      <c r="H7025">
        <v>1.310392E-2</v>
      </c>
      <c r="I7025">
        <v>10.64353</v>
      </c>
      <c r="J7025">
        <v>-421.82470000000001</v>
      </c>
      <c r="K7025">
        <v>1.1103379999999901</v>
      </c>
      <c r="L7025">
        <v>69.887479999999996</v>
      </c>
      <c r="M7025">
        <v>-5.9687910000000002E-3</v>
      </c>
      <c r="N7025">
        <v>0</v>
      </c>
      <c r="O7025">
        <v>-0.99987289999999995</v>
      </c>
      <c r="P7025">
        <v>-1.9979690000000001E-2</v>
      </c>
      <c r="Q7025">
        <v>-3.5511089999999999E-4</v>
      </c>
      <c r="R7025">
        <v>-0.99980060000000004</v>
      </c>
      <c r="S7025">
        <v>-0.36434939999999999</v>
      </c>
      <c r="T7025">
        <v>-5.5265549999999997E-2</v>
      </c>
      <c r="U7025">
        <v>-2.9932859999999999</v>
      </c>
      <c r="V7025">
        <v>1.4011630000000001E-2</v>
      </c>
      <c r="W7025">
        <v>1.443557E-2</v>
      </c>
      <c r="X7025">
        <v>0.99979759999999995</v>
      </c>
      <c r="Y7025">
        <v>0.1148822</v>
      </c>
      <c r="Z7025">
        <v>1.833079E-2</v>
      </c>
      <c r="AA7025">
        <v>0.99321000000000004</v>
      </c>
      <c r="AB7025">
        <v>25</v>
      </c>
      <c r="AC7025">
        <v>-7.2325999999999899</v>
      </c>
      <c r="AD7025">
        <v>-1.09723407999999</v>
      </c>
      <c r="AE7025">
        <v>-59.243949999999998</v>
      </c>
      <c r="AF7025">
        <v>6.8764936416787901</v>
      </c>
      <c r="AG7025">
        <v>-1.09723407999999</v>
      </c>
      <c r="AH7025">
        <v>59.2660385418679</v>
      </c>
      <c r="AI7025">
        <v>91.053569645411997</v>
      </c>
      <c r="AJ7025">
        <v>83.381704193120498</v>
      </c>
      <c r="AK7025">
        <v>59.673724635525602</v>
      </c>
      <c r="AL7025">
        <v>89.172874015892305</v>
      </c>
      <c r="AM7025">
        <v>89.197082778788996</v>
      </c>
      <c r="AN7025">
        <v>0.99999997621112002</v>
      </c>
    </row>
    <row r="7026" spans="1:40" x14ac:dyDescent="0.25">
      <c r="A7026" t="str">
        <f>"20190312154104067"</f>
        <v>20190312154104067</v>
      </c>
      <c r="B7026" t="str">
        <f>"1552376464064036"</f>
        <v>1552376464064036</v>
      </c>
      <c r="C7026" t="s">
        <v>40</v>
      </c>
      <c r="D7026">
        <v>4.3092870000000003</v>
      </c>
      <c r="E7026">
        <v>0.53632930000000001</v>
      </c>
      <c r="F7026" t="s">
        <v>69</v>
      </c>
      <c r="G7026">
        <v>-429.06529999999998</v>
      </c>
      <c r="H7026">
        <v>2.126712E-2</v>
      </c>
      <c r="I7026">
        <v>10.65152</v>
      </c>
      <c r="J7026">
        <v>-421.82569999999998</v>
      </c>
      <c r="K7026">
        <v>1.1103419999999999</v>
      </c>
      <c r="L7026">
        <v>69.71396</v>
      </c>
      <c r="M7026">
        <v>-5.9687610000000004E-3</v>
      </c>
      <c r="N7026">
        <v>0</v>
      </c>
      <c r="O7026">
        <v>-0.99987289999999995</v>
      </c>
      <c r="P7026">
        <v>-2.0114170000000001E-2</v>
      </c>
      <c r="Q7026">
        <v>1.2749239999999999E-4</v>
      </c>
      <c r="R7026">
        <v>-0.99979779999999996</v>
      </c>
      <c r="S7026">
        <v>-0.36587520000000001</v>
      </c>
      <c r="T7026">
        <v>-5.5031900000000002E-2</v>
      </c>
      <c r="U7026">
        <v>-2.9932560000000001</v>
      </c>
      <c r="V7026">
        <v>1.414617E-2</v>
      </c>
      <c r="W7026">
        <v>1.4917120000000001E-2</v>
      </c>
      <c r="X7026">
        <v>0.99978860000000003</v>
      </c>
      <c r="Y7026">
        <v>0.1153825</v>
      </c>
      <c r="Z7026">
        <v>1.825241E-2</v>
      </c>
      <c r="AA7026">
        <v>0.99315350000000002</v>
      </c>
      <c r="AB7026">
        <v>24</v>
      </c>
      <c r="AC7026">
        <v>-7.2395999999999896</v>
      </c>
      <c r="AD7026">
        <v>-1.0890748800000001</v>
      </c>
      <c r="AE7026">
        <v>-59.062440000000002</v>
      </c>
      <c r="AF7026">
        <v>6.8845967050697903</v>
      </c>
      <c r="AG7026">
        <v>-1.0890748800000001</v>
      </c>
      <c r="AH7026">
        <v>59.084811739881303</v>
      </c>
      <c r="AI7026">
        <v>91.048884373890402</v>
      </c>
      <c r="AJ7026">
        <v>83.353832680540705</v>
      </c>
      <c r="AK7026">
        <v>59.494526926625099</v>
      </c>
      <c r="AL7026">
        <v>89.145280229146195</v>
      </c>
      <c r="AM7026">
        <v>89.189366876475702</v>
      </c>
      <c r="AN7026">
        <v>0.999999939642359</v>
      </c>
    </row>
    <row r="7027" spans="1:40" x14ac:dyDescent="0.25">
      <c r="A7027" t="str">
        <f>"20190312154104085"</f>
        <v>20190312154104085</v>
      </c>
      <c r="B7027" t="str">
        <f>"1552376464073796"</f>
        <v>1552376464073796</v>
      </c>
      <c r="C7027" t="s">
        <v>40</v>
      </c>
      <c r="D7027">
        <v>4.3506080000000003</v>
      </c>
      <c r="E7027">
        <v>0.53632930000000001</v>
      </c>
      <c r="F7027" t="s">
        <v>69</v>
      </c>
      <c r="G7027">
        <v>-428.8288</v>
      </c>
      <c r="H7027">
        <v>7.9987790000000003E-2</v>
      </c>
      <c r="I7027">
        <v>9.5066430000000004</v>
      </c>
      <c r="J7027">
        <v>-421.82690000000002</v>
      </c>
      <c r="K7027">
        <v>1.1103459999999901</v>
      </c>
      <c r="L7027">
        <v>69.520420000000001</v>
      </c>
      <c r="M7027">
        <v>-5.9687500000000001E-3</v>
      </c>
      <c r="N7027">
        <v>0</v>
      </c>
      <c r="O7027">
        <v>-0.99987320000000002</v>
      </c>
      <c r="P7027">
        <v>-2.0181439999999998E-2</v>
      </c>
      <c r="Q7027">
        <v>7.027445E-4</v>
      </c>
      <c r="R7027">
        <v>-0.99979649999999998</v>
      </c>
      <c r="S7027">
        <v>-0.348205599999999</v>
      </c>
      <c r="T7027">
        <v>-5.1231150000000003E-2</v>
      </c>
      <c r="U7027">
        <v>-2.9936219999999998</v>
      </c>
      <c r="V7027">
        <v>1.4213480000000001E-2</v>
      </c>
      <c r="W7027">
        <v>1.548974E-2</v>
      </c>
      <c r="X7027">
        <v>0.99977899999999997</v>
      </c>
      <c r="Y7027">
        <v>0.1095887</v>
      </c>
      <c r="Z7027">
        <v>1.7001639999999998E-2</v>
      </c>
      <c r="AA7027">
        <v>0.99383160000000004</v>
      </c>
      <c r="AB7027">
        <v>24</v>
      </c>
      <c r="AC7027">
        <v>-7.0018999999999698</v>
      </c>
      <c r="AD7027">
        <v>-1.0303582099999899</v>
      </c>
      <c r="AE7027">
        <v>-60.013776999999997</v>
      </c>
      <c r="AF7027">
        <v>6.6415975585499298</v>
      </c>
      <c r="AG7027">
        <v>-1.0303582099999899</v>
      </c>
      <c r="AH7027">
        <v>60.037045772055599</v>
      </c>
      <c r="AI7027">
        <v>90.977255542872697</v>
      </c>
      <c r="AJ7027">
        <v>83.687322768995401</v>
      </c>
      <c r="AK7027">
        <v>60.412079265711</v>
      </c>
      <c r="AL7027">
        <v>89.1124677803259</v>
      </c>
      <c r="AM7027">
        <v>89.185502438097004</v>
      </c>
      <c r="AN7027">
        <v>1.00000000194998</v>
      </c>
    </row>
    <row r="7028" spans="1:40" x14ac:dyDescent="0.25">
      <c r="A7028" t="str">
        <f>"20190312154104102"</f>
        <v>20190312154104102</v>
      </c>
      <c r="B7028" t="str">
        <f>"1552376464093316"</f>
        <v>1552376464093316</v>
      </c>
      <c r="C7028" t="s">
        <v>40</v>
      </c>
      <c r="D7028">
        <v>4.2301339999999996</v>
      </c>
      <c r="E7028">
        <v>0.45171169999999999</v>
      </c>
      <c r="F7028" t="s">
        <v>69</v>
      </c>
      <c r="G7028">
        <v>-429.0745</v>
      </c>
      <c r="H7028">
        <v>7.9987580000000003E-2</v>
      </c>
      <c r="I7028">
        <v>7.2923089999999897</v>
      </c>
      <c r="J7028">
        <v>-421.8279</v>
      </c>
      <c r="K7028">
        <v>1.110349</v>
      </c>
      <c r="L7028">
        <v>69.343869999999995</v>
      </c>
      <c r="M7028">
        <v>-5.9687489999999998E-3</v>
      </c>
      <c r="N7028">
        <v>0</v>
      </c>
      <c r="O7028">
        <v>-0.99987320000000002</v>
      </c>
      <c r="P7028">
        <v>-2.0215029999999998E-2</v>
      </c>
      <c r="Q7028">
        <v>1.0507509999999999E-3</v>
      </c>
      <c r="R7028">
        <v>-0.9997954</v>
      </c>
      <c r="S7028">
        <v>-0.34866329999999901</v>
      </c>
      <c r="T7028">
        <v>-4.9567699999999999E-2</v>
      </c>
      <c r="U7028">
        <v>-2.9936219999999998</v>
      </c>
      <c r="V7028">
        <v>1.4247080000000001E-2</v>
      </c>
      <c r="W7028">
        <v>1.5835399999999999E-2</v>
      </c>
      <c r="X7028">
        <v>0.99977309999999997</v>
      </c>
      <c r="Y7028">
        <v>0.1097397</v>
      </c>
      <c r="Z7028">
        <v>1.6449479999999999E-2</v>
      </c>
      <c r="AA7028">
        <v>0.99382420000000005</v>
      </c>
      <c r="AB7028">
        <v>24</v>
      </c>
      <c r="AC7028">
        <v>-7.2465999999999999</v>
      </c>
      <c r="AD7028">
        <v>-1.03036142</v>
      </c>
      <c r="AE7028">
        <v>-62.0515609999999</v>
      </c>
      <c r="AF7028">
        <v>6.8741904516575296</v>
      </c>
      <c r="AG7028">
        <v>-1.03036142</v>
      </c>
      <c r="AH7028">
        <v>62.076827532106002</v>
      </c>
      <c r="AI7028">
        <v>90.945141227448104</v>
      </c>
      <c r="AJ7028">
        <v>83.680992919057502</v>
      </c>
      <c r="AK7028">
        <v>62.464779319808002</v>
      </c>
      <c r="AL7028">
        <v>89.092660485442295</v>
      </c>
      <c r="AM7028">
        <v>89.183572447042494</v>
      </c>
      <c r="AN7028">
        <v>0.99999999533264805</v>
      </c>
    </row>
    <row r="7029" spans="1:40" x14ac:dyDescent="0.25">
      <c r="A7029" t="str">
        <f>"20190312154104118"</f>
        <v>20190312154104118</v>
      </c>
      <c r="B7029" t="str">
        <f>"1552376464113812"</f>
        <v>1552376464113812</v>
      </c>
      <c r="C7029" t="s">
        <v>40</v>
      </c>
      <c r="D7029">
        <v>4.2548750000000002</v>
      </c>
      <c r="E7029">
        <v>0.44157449999999998</v>
      </c>
      <c r="F7029" t="s">
        <v>69</v>
      </c>
      <c r="G7029">
        <v>-415.97809999999998</v>
      </c>
      <c r="H7029" s="1">
        <v>-1.2567420000000001E-5</v>
      </c>
      <c r="I7029">
        <v>15.4687</v>
      </c>
      <c r="J7029">
        <v>-421.82900000000001</v>
      </c>
      <c r="K7029">
        <v>1.1103510000000001</v>
      </c>
      <c r="L7029">
        <v>69.154880000000006</v>
      </c>
      <c r="M7029">
        <v>-5.9687660000000003E-3</v>
      </c>
      <c r="N7029">
        <v>0</v>
      </c>
      <c r="O7029">
        <v>-0.99987320000000002</v>
      </c>
      <c r="P7029">
        <v>-1.9864639999999999E-2</v>
      </c>
      <c r="Q7029">
        <v>1.530057E-3</v>
      </c>
      <c r="R7029">
        <v>-0.99980179999999996</v>
      </c>
      <c r="S7029">
        <v>0.3265381</v>
      </c>
      <c r="T7029">
        <v>-6.1980010000000002E-2</v>
      </c>
      <c r="U7029">
        <v>-3.0072939999999999</v>
      </c>
      <c r="V7029">
        <v>1.389667E-2</v>
      </c>
      <c r="W7029">
        <v>1.631266E-2</v>
      </c>
      <c r="X7029">
        <v>0.9997703</v>
      </c>
      <c r="Y7029">
        <v>-0.1138575</v>
      </c>
      <c r="Z7029">
        <v>2.0477809999999999E-2</v>
      </c>
      <c r="AA7029">
        <v>0.993286</v>
      </c>
      <c r="AB7029">
        <v>24</v>
      </c>
      <c r="AC7029">
        <v>5.8509000000000198</v>
      </c>
      <c r="AD7029">
        <v>-1.1103635674200001</v>
      </c>
      <c r="AE7029">
        <v>-53.68618</v>
      </c>
      <c r="AF7029">
        <v>-6.1686631608341296</v>
      </c>
      <c r="AG7029">
        <v>-1.1103635674200001</v>
      </c>
      <c r="AH7029">
        <v>53.627626246540501</v>
      </c>
      <c r="AI7029">
        <v>91.178375510966404</v>
      </c>
      <c r="AJ7029">
        <v>96.561763466413694</v>
      </c>
      <c r="AK7029">
        <v>53.992662550408902</v>
      </c>
      <c r="AL7029">
        <v>89.0653119130574</v>
      </c>
      <c r="AM7029">
        <v>89.203647809916802</v>
      </c>
      <c r="AN7029">
        <v>0.99999993653772501</v>
      </c>
    </row>
    <row r="7030" spans="1:40" x14ac:dyDescent="0.25">
      <c r="A7030" t="str">
        <f>"20190312154104141"</f>
        <v>20190312154104141</v>
      </c>
      <c r="B7030" t="str">
        <f>"1552376464133332"</f>
        <v>1552376464133332</v>
      </c>
      <c r="C7030" t="s">
        <v>40</v>
      </c>
      <c r="D7030">
        <v>4.1500279999999998</v>
      </c>
      <c r="E7030">
        <v>0.43557069999999998</v>
      </c>
      <c r="F7030" t="s">
        <v>69</v>
      </c>
      <c r="G7030">
        <v>-415.09309999999999</v>
      </c>
      <c r="H7030" s="1">
        <v>-1.138333E-5</v>
      </c>
      <c r="I7030">
        <v>19.593720000000001</v>
      </c>
      <c r="J7030">
        <v>-421.83049999999997</v>
      </c>
      <c r="K7030">
        <v>1.110349</v>
      </c>
      <c r="L7030">
        <v>68.913300000000007</v>
      </c>
      <c r="M7030">
        <v>-5.9687669999999998E-3</v>
      </c>
      <c r="N7030">
        <v>0</v>
      </c>
      <c r="O7030">
        <v>-0.99987320000000002</v>
      </c>
      <c r="P7030">
        <v>-2.0070859999999999E-2</v>
      </c>
      <c r="Q7030">
        <v>1.1508789999999901E-3</v>
      </c>
      <c r="R7030">
        <v>-0.99979810000000002</v>
      </c>
      <c r="S7030">
        <v>0.40893550000000001</v>
      </c>
      <c r="T7030">
        <v>-6.7409280000000002E-2</v>
      </c>
      <c r="U7030">
        <v>-3.0088200000000001</v>
      </c>
      <c r="V7030">
        <v>1.41029E-2</v>
      </c>
      <c r="W7030">
        <v>1.5929800000000001E-2</v>
      </c>
      <c r="X7030">
        <v>0.99977360000000004</v>
      </c>
      <c r="Y7030">
        <v>-0.1405536</v>
      </c>
      <c r="Z7030">
        <v>2.2184570000000001E-2</v>
      </c>
      <c r="AA7030">
        <v>0.9898245</v>
      </c>
      <c r="AB7030">
        <v>24</v>
      </c>
      <c r="AC7030">
        <v>6.7373999999999796</v>
      </c>
      <c r="AD7030">
        <v>-1.11036038333</v>
      </c>
      <c r="AE7030">
        <v>-49.319580000000002</v>
      </c>
      <c r="AF7030">
        <v>-7.0281920678777601</v>
      </c>
      <c r="AG7030">
        <v>-1.11036038333</v>
      </c>
      <c r="AH7030">
        <v>49.253975323780097</v>
      </c>
      <c r="AI7030">
        <v>91.278486756336903</v>
      </c>
      <c r="AJ7030">
        <v>98.120879349401307</v>
      </c>
      <c r="AK7030">
        <v>49.765273726961297</v>
      </c>
      <c r="AL7030">
        <v>89.087251040843299</v>
      </c>
      <c r="AM7030">
        <v>89.191833970801198</v>
      </c>
      <c r="AN7030">
        <v>0.99999995078670301</v>
      </c>
    </row>
    <row r="7031" spans="1:40" x14ac:dyDescent="0.25">
      <c r="A7031" t="str">
        <f>"20190312154104163"</f>
        <v>20190312154104163</v>
      </c>
      <c r="B7031" t="str">
        <f>"1552376464153829"</f>
        <v>1552376464153829</v>
      </c>
      <c r="C7031" t="s">
        <v>40</v>
      </c>
      <c r="D7031">
        <v>4.1614909999999998</v>
      </c>
      <c r="E7031">
        <v>0.43270979999999998</v>
      </c>
      <c r="F7031" t="s">
        <v>69</v>
      </c>
      <c r="G7031">
        <v>-412.85579999999999</v>
      </c>
      <c r="H7031">
        <v>3.4207199999999903E-2</v>
      </c>
      <c r="I7031">
        <v>9.6162620000000008</v>
      </c>
      <c r="J7031">
        <v>-421.83190000000002</v>
      </c>
      <c r="K7031">
        <v>1.1103510000000001</v>
      </c>
      <c r="L7031">
        <v>68.671840000000003</v>
      </c>
      <c r="M7031">
        <v>-5.9687380000000003E-3</v>
      </c>
      <c r="N7031">
        <v>0</v>
      </c>
      <c r="O7031">
        <v>-0.99987320000000002</v>
      </c>
      <c r="P7031">
        <v>-1.969543E-2</v>
      </c>
      <c r="Q7031">
        <v>9.3224590000000004E-4</v>
      </c>
      <c r="R7031">
        <v>-0.99980570000000002</v>
      </c>
      <c r="S7031">
        <v>0.45553589999999999</v>
      </c>
      <c r="T7031">
        <v>-5.4622770000000001E-2</v>
      </c>
      <c r="U7031">
        <v>-3.0097960000000001</v>
      </c>
      <c r="V7031">
        <v>1.372745E-2</v>
      </c>
      <c r="W7031">
        <v>1.570763E-2</v>
      </c>
      <c r="X7031">
        <v>0.99978239999999996</v>
      </c>
      <c r="Y7031">
        <v>-0.1555222</v>
      </c>
      <c r="Z7031">
        <v>1.7932380000000001E-2</v>
      </c>
      <c r="AA7031">
        <v>0.98766960000000004</v>
      </c>
      <c r="AB7031">
        <v>24</v>
      </c>
      <c r="AC7031">
        <v>8.9761000000000202</v>
      </c>
      <c r="AD7031">
        <v>-1.0761438000000001</v>
      </c>
      <c r="AE7031">
        <v>-59.055577999999997</v>
      </c>
      <c r="AF7031">
        <v>-9.3254390681189498</v>
      </c>
      <c r="AG7031">
        <v>-1.0761438000000001</v>
      </c>
      <c r="AH7031">
        <v>58.981800637853901</v>
      </c>
      <c r="AI7031">
        <v>91.032443819027094</v>
      </c>
      <c r="AJ7031">
        <v>98.984495513594993</v>
      </c>
      <c r="AK7031">
        <v>59.724155128180897</v>
      </c>
      <c r="AL7031">
        <v>89.099982091020394</v>
      </c>
      <c r="AM7031">
        <v>89.213353298128496</v>
      </c>
      <c r="AN7031">
        <v>1.0000000099367301</v>
      </c>
    </row>
    <row r="7032" spans="1:40" x14ac:dyDescent="0.25">
      <c r="A7032" t="str">
        <f>"20190312154104191"</f>
        <v>20190312154104191</v>
      </c>
      <c r="B7032" t="str">
        <f>"1552376464183616"</f>
        <v>1552376464183616</v>
      </c>
      <c r="C7032" t="s">
        <v>40</v>
      </c>
      <c r="D7032">
        <v>4.176418</v>
      </c>
      <c r="E7032">
        <v>0.43090020000000001</v>
      </c>
      <c r="F7032" t="s">
        <v>69</v>
      </c>
      <c r="G7032">
        <v>-412.41550000000001</v>
      </c>
      <c r="H7032">
        <v>6.6687179999999999E-2</v>
      </c>
      <c r="I7032">
        <v>9.5995600000000003</v>
      </c>
      <c r="J7032">
        <v>-421.83370000000002</v>
      </c>
      <c r="K7032">
        <v>1.1103529999999999</v>
      </c>
      <c r="L7032">
        <v>68.376400000000004</v>
      </c>
      <c r="M7032">
        <v>-5.9697709999999996E-3</v>
      </c>
      <c r="N7032">
        <v>0</v>
      </c>
      <c r="O7032">
        <v>-0.99987320000000002</v>
      </c>
      <c r="P7032">
        <v>-1.8989539999999999E-2</v>
      </c>
      <c r="Q7032">
        <v>1.7919100000000001E-3</v>
      </c>
      <c r="R7032">
        <v>-0.99981819999999999</v>
      </c>
      <c r="S7032">
        <v>0.47982789999999997</v>
      </c>
      <c r="T7032">
        <v>-5.318117E-2</v>
      </c>
      <c r="U7032">
        <v>-3.0101010000000001</v>
      </c>
      <c r="V7032">
        <v>1.3020520000000001E-2</v>
      </c>
      <c r="W7032">
        <v>1.6562480000000001E-2</v>
      </c>
      <c r="X7032">
        <v>0.99977800000000006</v>
      </c>
      <c r="Y7032">
        <v>-0.16328770000000001</v>
      </c>
      <c r="Z7032">
        <v>1.7435760000000002E-2</v>
      </c>
      <c r="AA7032">
        <v>0.98642439999999998</v>
      </c>
      <c r="AB7032">
        <v>24</v>
      </c>
      <c r="AC7032">
        <v>9.4182000000000095</v>
      </c>
      <c r="AD7032">
        <v>-1.04366582</v>
      </c>
      <c r="AE7032">
        <v>-58.77684</v>
      </c>
      <c r="AF7032">
        <v>-9.7659526266274099</v>
      </c>
      <c r="AG7032">
        <v>-1.04366582</v>
      </c>
      <c r="AH7032">
        <v>58.701517086940299</v>
      </c>
      <c r="AI7032">
        <v>91.004758691656704</v>
      </c>
      <c r="AJ7032">
        <v>99.445575282359798</v>
      </c>
      <c r="AK7032">
        <v>59.5174863158527</v>
      </c>
      <c r="AL7032">
        <v>89.050996358642493</v>
      </c>
      <c r="AM7032">
        <v>89.2538556859474</v>
      </c>
      <c r="AN7032">
        <v>0.99999994948440896</v>
      </c>
    </row>
    <row r="7033" spans="1:40" x14ac:dyDescent="0.25">
      <c r="A7033" t="str">
        <f>"20190312154104208"</f>
        <v>20190312154104208</v>
      </c>
      <c r="B7033" t="str">
        <f>"1552376464203136"</f>
        <v>1552376464203136</v>
      </c>
      <c r="C7033" t="s">
        <v>40</v>
      </c>
      <c r="D7033">
        <v>4.1948109999999996</v>
      </c>
      <c r="E7033">
        <v>0.43028680000000002</v>
      </c>
      <c r="F7033" t="s">
        <v>69</v>
      </c>
      <c r="G7033">
        <v>-413.3535</v>
      </c>
      <c r="H7033" s="1">
        <v>-1.143013E-5</v>
      </c>
      <c r="I7033">
        <v>16.963200000000001</v>
      </c>
      <c r="J7033">
        <v>-421.8347</v>
      </c>
      <c r="K7033">
        <v>1.1103529999999999</v>
      </c>
      <c r="L7033">
        <v>68.195070000000001</v>
      </c>
      <c r="M7033">
        <v>-5.9740679999999999E-3</v>
      </c>
      <c r="N7033">
        <v>0</v>
      </c>
      <c r="O7033">
        <v>-0.99987340000000002</v>
      </c>
      <c r="P7033">
        <v>-1.8150949999999999E-2</v>
      </c>
      <c r="Q7033">
        <v>2.7293560000000001E-3</v>
      </c>
      <c r="R7033">
        <v>-0.99983200000000005</v>
      </c>
      <c r="S7033">
        <v>0.4964905</v>
      </c>
      <c r="T7033">
        <v>-6.5008759999999999E-2</v>
      </c>
      <c r="U7033">
        <v>-3.0101010000000001</v>
      </c>
      <c r="V7033">
        <v>1.217768E-2</v>
      </c>
      <c r="W7033">
        <v>1.749647E-2</v>
      </c>
      <c r="X7033">
        <v>0.99977280000000002</v>
      </c>
      <c r="Y7033">
        <v>-0.16859779999999999</v>
      </c>
      <c r="Z7033">
        <v>2.129292E-2</v>
      </c>
      <c r="AA7033">
        <v>0.98545490000000002</v>
      </c>
      <c r="AB7033">
        <v>24</v>
      </c>
      <c r="AC7033">
        <v>8.4811999999999994</v>
      </c>
      <c r="AD7033">
        <v>-1.11036443013</v>
      </c>
      <c r="AE7033">
        <v>-51.231870000000001</v>
      </c>
      <c r="AF7033">
        <v>-8.78312891387049</v>
      </c>
      <c r="AG7033">
        <v>-1.11036443013</v>
      </c>
      <c r="AH7033">
        <v>51.156893722372203</v>
      </c>
      <c r="AI7033">
        <v>91.225488810337893</v>
      </c>
      <c r="AJ7033">
        <v>99.742131038034501</v>
      </c>
      <c r="AK7033">
        <v>51.917280726242304</v>
      </c>
      <c r="AL7033">
        <v>88.9974749953615</v>
      </c>
      <c r="AM7033">
        <v>89.302146282128206</v>
      </c>
      <c r="AN7033">
        <v>1.0000000369862401</v>
      </c>
    </row>
    <row r="7034" spans="1:40" x14ac:dyDescent="0.25">
      <c r="A7034" t="str">
        <f>"20190312154104223"</f>
        <v>20190312154104223</v>
      </c>
      <c r="B7034" t="str">
        <f>"1552376464213873"</f>
        <v>1552376464213873</v>
      </c>
      <c r="C7034" t="s">
        <v>40</v>
      </c>
      <c r="D7034">
        <v>4.2303430000000004</v>
      </c>
      <c r="E7034">
        <v>0.43006529999999998</v>
      </c>
      <c r="F7034" t="s">
        <v>69</v>
      </c>
      <c r="G7034">
        <v>-413.50259999999997</v>
      </c>
      <c r="H7034" s="1">
        <v>-1.1150300000000001E-5</v>
      </c>
      <c r="I7034">
        <v>18.436160000000001</v>
      </c>
      <c r="J7034">
        <v>-421.83580000000001</v>
      </c>
      <c r="K7034">
        <v>1.110352</v>
      </c>
      <c r="L7034">
        <v>68.022030000000001</v>
      </c>
      <c r="M7034">
        <v>-5.9833079999999997E-3</v>
      </c>
      <c r="N7034">
        <v>0</v>
      </c>
      <c r="O7034">
        <v>-0.99987320000000002</v>
      </c>
      <c r="P7034">
        <v>-1.798164E-2</v>
      </c>
      <c r="Q7034">
        <v>2.6036179999999998E-3</v>
      </c>
      <c r="R7034">
        <v>-0.99983509999999998</v>
      </c>
      <c r="S7034">
        <v>0.50399780000000005</v>
      </c>
      <c r="T7034">
        <v>-6.7163940000000005E-2</v>
      </c>
      <c r="U7034">
        <v>-3.009827</v>
      </c>
      <c r="V7034">
        <v>1.1999259999999999E-2</v>
      </c>
      <c r="W7034">
        <v>1.7367270000000001E-2</v>
      </c>
      <c r="X7034">
        <v>0.99977720000000003</v>
      </c>
      <c r="Y7034">
        <v>-0.171010299999999</v>
      </c>
      <c r="Z7034">
        <v>2.1991400000000001E-2</v>
      </c>
      <c r="AA7034">
        <v>0.9850238</v>
      </c>
      <c r="AB7034">
        <v>24</v>
      </c>
      <c r="AC7034">
        <v>8.3332000000000299</v>
      </c>
      <c r="AD7034">
        <v>-1.1103631503</v>
      </c>
      <c r="AE7034">
        <v>-49.58587</v>
      </c>
      <c r="AF7034">
        <v>-8.62556429063339</v>
      </c>
      <c r="AG7034">
        <v>-1.1103631503</v>
      </c>
      <c r="AH7034">
        <v>49.510972081599803</v>
      </c>
      <c r="AI7034">
        <v>91.265677279058096</v>
      </c>
      <c r="AJ7034">
        <v>99.882610563096804</v>
      </c>
      <c r="AK7034">
        <v>50.268972757779203</v>
      </c>
      <c r="AL7034">
        <v>89.004878724814205</v>
      </c>
      <c r="AM7034">
        <v>89.312372849509899</v>
      </c>
      <c r="AN7034">
        <v>1.0000000269738101</v>
      </c>
    </row>
    <row r="7035" spans="1:40" x14ac:dyDescent="0.25">
      <c r="A7035" t="str">
        <f>"20190312154104241"</f>
        <v>20190312154104241</v>
      </c>
      <c r="B7035" t="str">
        <f>"1552376464233393"</f>
        <v>1552376464233393</v>
      </c>
      <c r="C7035" t="s">
        <v>40</v>
      </c>
      <c r="D7035">
        <v>4.2603799999999996</v>
      </c>
      <c r="E7035">
        <v>0.42964039999999998</v>
      </c>
      <c r="F7035" t="s">
        <v>69</v>
      </c>
      <c r="G7035">
        <v>-413.74099999999999</v>
      </c>
      <c r="H7035" s="1">
        <v>-8.4548899999999901E-6</v>
      </c>
      <c r="I7035">
        <v>19.94059</v>
      </c>
      <c r="J7035">
        <v>-421.83699999999999</v>
      </c>
      <c r="K7035">
        <v>1.1103400000000001</v>
      </c>
      <c r="L7035">
        <v>67.830259999999996</v>
      </c>
      <c r="M7035">
        <v>-6.0018889999999998E-3</v>
      </c>
      <c r="N7035">
        <v>0</v>
      </c>
      <c r="O7035">
        <v>-0.99987320000000002</v>
      </c>
      <c r="P7035">
        <v>-1.7532969999999998E-2</v>
      </c>
      <c r="Q7035">
        <v>2.8100220000000001E-3</v>
      </c>
      <c r="R7035">
        <v>-0.99984229999999996</v>
      </c>
      <c r="S7035">
        <v>0.50671390000000005</v>
      </c>
      <c r="T7035">
        <v>-6.9506170000000006E-2</v>
      </c>
      <c r="U7035">
        <v>-3.0097960000000001</v>
      </c>
      <c r="V7035">
        <v>1.1532280000000001E-2</v>
      </c>
      <c r="W7035">
        <v>1.7569419999999999E-2</v>
      </c>
      <c r="X7035">
        <v>0.99977919999999998</v>
      </c>
      <c r="Y7035">
        <v>-0.17189179999999901</v>
      </c>
      <c r="Z7035">
        <v>2.2754699999999999E-2</v>
      </c>
      <c r="AA7035">
        <v>0.98485299999999998</v>
      </c>
      <c r="AB7035">
        <v>24</v>
      </c>
      <c r="AC7035">
        <v>8.0960000000000001</v>
      </c>
      <c r="AD7035">
        <v>-1.11034845488999</v>
      </c>
      <c r="AE7035">
        <v>-47.889670000000002</v>
      </c>
      <c r="AF7035">
        <v>-8.3789347933915099</v>
      </c>
      <c r="AG7035">
        <v>-1.11034845488999</v>
      </c>
      <c r="AH7035">
        <v>47.815220847867003</v>
      </c>
      <c r="AI7035">
        <v>91.310304726638094</v>
      </c>
      <c r="AJ7035">
        <v>99.939349583782203</v>
      </c>
      <c r="AK7035">
        <v>48.556511063846898</v>
      </c>
      <c r="AL7035">
        <v>88.993294652389096</v>
      </c>
      <c r="AM7035">
        <v>89.339132410730997</v>
      </c>
      <c r="AN7035">
        <v>1.00000006337688</v>
      </c>
    </row>
    <row r="7036" spans="1:40" x14ac:dyDescent="0.25">
      <c r="A7036" t="str">
        <f>"20190312154104256"</f>
        <v>20190312154104256</v>
      </c>
      <c r="B7036" t="str">
        <f>"1552376464253888"</f>
        <v>1552376464253888</v>
      </c>
      <c r="C7036" t="s">
        <v>40</v>
      </c>
      <c r="D7036">
        <v>4.2639659999999999</v>
      </c>
      <c r="E7036">
        <v>0.42934460000000002</v>
      </c>
      <c r="F7036" t="s">
        <v>69</v>
      </c>
      <c r="G7036">
        <v>-413.94720000000001</v>
      </c>
      <c r="H7036" s="1">
        <v>-8.5223109999999998E-6</v>
      </c>
      <c r="I7036">
        <v>21.365749999999998</v>
      </c>
      <c r="J7036">
        <v>-421.83800000000002</v>
      </c>
      <c r="K7036">
        <v>1.1103320000000001</v>
      </c>
      <c r="L7036">
        <v>67.662319999999994</v>
      </c>
      <c r="M7036">
        <v>-6.0257640000000003E-3</v>
      </c>
      <c r="N7036">
        <v>0</v>
      </c>
      <c r="O7036">
        <v>-0.99987289999999995</v>
      </c>
      <c r="P7036">
        <v>-1.7410390000000001E-2</v>
      </c>
      <c r="Q7036">
        <v>2.6922270000000002E-3</v>
      </c>
      <c r="R7036">
        <v>-0.99984490000000004</v>
      </c>
      <c r="S7036">
        <v>0.51104740000000004</v>
      </c>
      <c r="T7036">
        <v>-7.1920510000000007E-2</v>
      </c>
      <c r="U7036">
        <v>-3.0096440000000002</v>
      </c>
      <c r="V7036">
        <v>1.1386139999999999E-2</v>
      </c>
      <c r="W7036">
        <v>1.744832E-2</v>
      </c>
      <c r="X7036">
        <v>0.99978290000000003</v>
      </c>
      <c r="Y7036">
        <v>-0.17329890000000001</v>
      </c>
      <c r="Z7036">
        <v>2.3540100000000001E-2</v>
      </c>
      <c r="AA7036">
        <v>0.98458789999999996</v>
      </c>
      <c r="AB7036">
        <v>24</v>
      </c>
      <c r="AC7036">
        <v>7.8908000000000103</v>
      </c>
      <c r="AD7036">
        <v>-1.1103405223110001</v>
      </c>
      <c r="AE7036">
        <v>-46.296570000000003</v>
      </c>
      <c r="AF7036">
        <v>-8.1650953745043306</v>
      </c>
      <c r="AG7036">
        <v>-1.1103405223110001</v>
      </c>
      <c r="AH7036">
        <v>46.222339724203898</v>
      </c>
      <c r="AI7036">
        <v>91.355106683508495</v>
      </c>
      <c r="AJ7036">
        <v>100.017851284381</v>
      </c>
      <c r="AK7036">
        <v>46.951105717863101</v>
      </c>
      <c r="AL7036">
        <v>89.000234138864599</v>
      </c>
      <c r="AM7036">
        <v>89.347508779589106</v>
      </c>
      <c r="AN7036">
        <v>0.99999996759366505</v>
      </c>
    </row>
    <row r="7037" spans="1:40" x14ac:dyDescent="0.25">
      <c r="A7037" t="str">
        <f>"20190312154104269"</f>
        <v>20190312154104269</v>
      </c>
      <c r="B7037" t="str">
        <f>"1552376464263180"</f>
        <v>1552376464263180</v>
      </c>
      <c r="C7037" t="s">
        <v>40</v>
      </c>
      <c r="D7037">
        <v>4.392544</v>
      </c>
      <c r="E7037">
        <v>0.42917739999999999</v>
      </c>
      <c r="F7037" t="s">
        <v>69</v>
      </c>
      <c r="G7037">
        <v>-414.14179999999999</v>
      </c>
      <c r="H7037" s="1">
        <v>-8.5753179999999999E-6</v>
      </c>
      <c r="I7037">
        <v>22.604649999999999</v>
      </c>
      <c r="J7037">
        <v>-421.83879999999999</v>
      </c>
      <c r="K7037">
        <v>1.1103259999999999</v>
      </c>
      <c r="L7037">
        <v>67.532809999999998</v>
      </c>
      <c r="M7037">
        <v>-6.0524469999999999E-3</v>
      </c>
      <c r="N7037">
        <v>0</v>
      </c>
      <c r="O7037">
        <v>-0.99987289999999995</v>
      </c>
      <c r="P7037">
        <v>-1.7225959999999998E-2</v>
      </c>
      <c r="Q7037">
        <v>2.5485299999999998E-3</v>
      </c>
      <c r="R7037">
        <v>-0.99984850000000003</v>
      </c>
      <c r="S7037">
        <v>0.51406859999999999</v>
      </c>
      <c r="T7037">
        <v>-7.4164869999999994E-2</v>
      </c>
      <c r="U7037">
        <v>-3.0096129999999999</v>
      </c>
      <c r="V7037">
        <v>1.1175310000000001E-2</v>
      </c>
      <c r="W7037">
        <v>1.730195E-2</v>
      </c>
      <c r="X7037">
        <v>0.99978789999999995</v>
      </c>
      <c r="Y7037">
        <v>-0.17428440000000001</v>
      </c>
      <c r="Z7037">
        <v>2.4270340000000001E-2</v>
      </c>
      <c r="AA7037">
        <v>0.98439620000000005</v>
      </c>
      <c r="AB7037">
        <v>24</v>
      </c>
      <c r="AC7037">
        <v>7.6970000000000001</v>
      </c>
      <c r="AD7037">
        <v>-1.1103345753179901</v>
      </c>
      <c r="AE7037">
        <v>-44.928159999999998</v>
      </c>
      <c r="AF7037">
        <v>-7.9640884263368603</v>
      </c>
      <c r="AG7037">
        <v>-1.1103345753179901</v>
      </c>
      <c r="AH7037">
        <v>44.854132168109999</v>
      </c>
      <c r="AI7037">
        <v>91.396201171190498</v>
      </c>
      <c r="AJ7037">
        <v>100.068240424712</v>
      </c>
      <c r="AK7037">
        <v>45.569208023466302</v>
      </c>
      <c r="AL7037">
        <v>89.008621865336394</v>
      </c>
      <c r="AM7037">
        <v>89.359592736268496</v>
      </c>
      <c r="AN7037">
        <v>1.0000000450069</v>
      </c>
    </row>
    <row r="7038" spans="1:40" x14ac:dyDescent="0.25">
      <c r="A7038" t="str">
        <f>"20190312154104285"</f>
        <v>20190312154104285</v>
      </c>
      <c r="B7038" t="str">
        <f>"1552376464273915"</f>
        <v>1552376464273915</v>
      </c>
      <c r="C7038" t="s">
        <v>40</v>
      </c>
      <c r="D7038">
        <v>4.1970000000000001</v>
      </c>
      <c r="E7038">
        <v>0.42901240000000002</v>
      </c>
      <c r="F7038" t="s">
        <v>69</v>
      </c>
      <c r="G7038">
        <v>-414.21429999999998</v>
      </c>
      <c r="H7038" s="1">
        <v>-8.5941290000000006E-6</v>
      </c>
      <c r="I7038">
        <v>23.05707</v>
      </c>
      <c r="J7038">
        <v>-421.8399</v>
      </c>
      <c r="K7038">
        <v>1.110309</v>
      </c>
      <c r="L7038">
        <v>67.360109999999906</v>
      </c>
      <c r="M7038">
        <v>-6.0950429999999996E-3</v>
      </c>
      <c r="N7038">
        <v>0</v>
      </c>
      <c r="O7038">
        <v>-0.99987289999999995</v>
      </c>
      <c r="P7038">
        <v>-1.7074809999999999E-2</v>
      </c>
      <c r="Q7038">
        <v>2.7526569999999999E-3</v>
      </c>
      <c r="R7038">
        <v>-0.99985069999999998</v>
      </c>
      <c r="S7038">
        <v>0.51593020000000001</v>
      </c>
      <c r="T7038">
        <v>-7.5133320000000003E-2</v>
      </c>
      <c r="U7038">
        <v>-3.0095519999999998</v>
      </c>
      <c r="V7038">
        <v>1.098202E-2</v>
      </c>
      <c r="W7038">
        <v>1.7502190000000001E-2</v>
      </c>
      <c r="X7038">
        <v>0.99978650000000002</v>
      </c>
      <c r="Y7038">
        <v>-0.17491989999999999</v>
      </c>
      <c r="Z7038">
        <v>2.4584890000000002E-2</v>
      </c>
      <c r="AA7038">
        <v>0.98427569999999998</v>
      </c>
      <c r="AB7038">
        <v>24</v>
      </c>
      <c r="AC7038">
        <v>7.6256000000000101</v>
      </c>
      <c r="AD7038">
        <v>-1.110317594129</v>
      </c>
      <c r="AE7038">
        <v>-44.303040000000003</v>
      </c>
      <c r="AF7038">
        <v>-7.8907030391162802</v>
      </c>
      <c r="AG7038">
        <v>-1.110317594129</v>
      </c>
      <c r="AH7038">
        <v>44.2287528438546</v>
      </c>
      <c r="AI7038">
        <v>91.415705490831797</v>
      </c>
      <c r="AJ7038">
        <v>100.11552129052799</v>
      </c>
      <c r="AK7038">
        <v>44.940834190456798</v>
      </c>
      <c r="AL7038">
        <v>88.9971471646938</v>
      </c>
      <c r="AM7038">
        <v>89.370667545745206</v>
      </c>
      <c r="AN7038">
        <v>0.99999998850016303</v>
      </c>
    </row>
    <row r="7039" spans="1:40" x14ac:dyDescent="0.25">
      <c r="A7039" t="str">
        <f>"20190312154104301"</f>
        <v>20190312154104301</v>
      </c>
      <c r="B7039" t="str">
        <f>"1552376464293436"</f>
        <v>1552376464293436</v>
      </c>
      <c r="C7039" t="s">
        <v>40</v>
      </c>
      <c r="D7039">
        <v>4.2444410000000001</v>
      </c>
      <c r="E7039">
        <v>0.42865530000000002</v>
      </c>
      <c r="F7039" t="s">
        <v>69</v>
      </c>
      <c r="G7039">
        <v>-413.95650000000001</v>
      </c>
      <c r="H7039" s="1">
        <v>-8.5333780000000001E-6</v>
      </c>
      <c r="I7039">
        <v>21.510449999999999</v>
      </c>
      <c r="J7039">
        <v>-421.84100000000001</v>
      </c>
      <c r="K7039">
        <v>1.1103000000000001</v>
      </c>
      <c r="L7039">
        <v>67.197140000000005</v>
      </c>
      <c r="M7039">
        <v>-6.1444869999999997E-3</v>
      </c>
      <c r="N7039">
        <v>0</v>
      </c>
      <c r="O7039">
        <v>-0.99987239999999999</v>
      </c>
      <c r="P7039">
        <v>-1.7117750000000001E-2</v>
      </c>
      <c r="Q7039">
        <v>2.6424980000000001E-3</v>
      </c>
      <c r="R7039">
        <v>-0.99985029999999997</v>
      </c>
      <c r="S7039">
        <v>0.51745609999999997</v>
      </c>
      <c r="T7039">
        <v>-7.2879310000000003E-2</v>
      </c>
      <c r="U7039">
        <v>-3.0094910000000001</v>
      </c>
      <c r="V7039">
        <v>1.097593E-2</v>
      </c>
      <c r="W7039">
        <v>1.738872E-2</v>
      </c>
      <c r="X7039">
        <v>0.99978860000000003</v>
      </c>
      <c r="Y7039">
        <v>-0.1754597</v>
      </c>
      <c r="Z7039">
        <v>2.3846059999999999E-2</v>
      </c>
      <c r="AA7039">
        <v>0.98419780000000001</v>
      </c>
      <c r="AB7039">
        <v>24</v>
      </c>
      <c r="AC7039">
        <v>7.8845000000000001</v>
      </c>
      <c r="AD7039">
        <v>-1.1103085333780001</v>
      </c>
      <c r="AE7039">
        <v>-45.686689999999999</v>
      </c>
      <c r="AF7039">
        <v>-8.1604226110500093</v>
      </c>
      <c r="AG7039">
        <v>-1.1103085333780001</v>
      </c>
      <c r="AH7039">
        <v>45.611216116905197</v>
      </c>
      <c r="AI7039">
        <v>91.372681117872006</v>
      </c>
      <c r="AJ7039">
        <v>100.143615788836</v>
      </c>
      <c r="AK7039">
        <v>46.348768245696299</v>
      </c>
      <c r="AL7039">
        <v>89.003649559390198</v>
      </c>
      <c r="AM7039">
        <v>89.371017830512301</v>
      </c>
      <c r="AN7039">
        <v>1.00000004165628</v>
      </c>
    </row>
    <row r="7040" spans="1:40" x14ac:dyDescent="0.25">
      <c r="A7040" t="str">
        <f>"20190312154104312"</f>
        <v>20190312154104312</v>
      </c>
      <c r="B7040" t="str">
        <f>"1552376464303197"</f>
        <v>1552376464303197</v>
      </c>
      <c r="C7040" t="s">
        <v>40</v>
      </c>
      <c r="D7040">
        <v>4.227271</v>
      </c>
      <c r="E7040">
        <v>0.42851499999999998</v>
      </c>
      <c r="F7040" t="s">
        <v>69</v>
      </c>
      <c r="G7040">
        <v>-413.64949999999999</v>
      </c>
      <c r="H7040" s="1">
        <v>-8.4756269999999995E-6</v>
      </c>
      <c r="I7040">
        <v>19.815020000000001</v>
      </c>
      <c r="J7040">
        <v>-421.84190000000001</v>
      </c>
      <c r="K7040">
        <v>1.1102939999999999</v>
      </c>
      <c r="L7040">
        <v>67.060909999999893</v>
      </c>
      <c r="M7040">
        <v>-6.1940049999999998E-3</v>
      </c>
      <c r="N7040">
        <v>0</v>
      </c>
      <c r="O7040">
        <v>-0.99987239999999999</v>
      </c>
      <c r="P7040">
        <v>-1.7114219999999999E-2</v>
      </c>
      <c r="Q7040">
        <v>2.7931539999999999E-3</v>
      </c>
      <c r="R7040">
        <v>-0.99985000000000002</v>
      </c>
      <c r="S7040">
        <v>0.52029420000000004</v>
      </c>
      <c r="T7040">
        <v>-7.0523020000000006E-2</v>
      </c>
      <c r="U7040">
        <v>-3.0095519999999998</v>
      </c>
      <c r="V7040">
        <v>1.0923270000000001E-2</v>
      </c>
      <c r="W7040">
        <v>1.7536039999999999E-2</v>
      </c>
      <c r="X7040">
        <v>0.99978659999999997</v>
      </c>
      <c r="Y7040">
        <v>-0.1764095</v>
      </c>
      <c r="Z7040">
        <v>2.3071230000000002E-2</v>
      </c>
      <c r="AA7040">
        <v>0.98404650000000005</v>
      </c>
      <c r="AB7040">
        <v>24</v>
      </c>
      <c r="AC7040">
        <v>8.1924000000000099</v>
      </c>
      <c r="AD7040">
        <v>-1.1103024756269999</v>
      </c>
      <c r="AE7040">
        <v>-47.245889999999903</v>
      </c>
      <c r="AF7040">
        <v>-8.4803690423131108</v>
      </c>
      <c r="AG7040">
        <v>-1.1103024756269999</v>
      </c>
      <c r="AH7040">
        <v>47.168944432014698</v>
      </c>
      <c r="AI7040">
        <v>91.327156729275998</v>
      </c>
      <c r="AJ7040">
        <v>100.192159377192</v>
      </c>
      <c r="AK7040">
        <v>47.938072025392202</v>
      </c>
      <c r="AL7040">
        <v>88.995207454612299</v>
      </c>
      <c r="AM7040">
        <v>89.374034050204898</v>
      </c>
      <c r="AN7040">
        <v>1.0000000380329599</v>
      </c>
    </row>
    <row r="7041" spans="1:40" x14ac:dyDescent="0.25">
      <c r="A7041" t="str">
        <f>"20190312154104326"</f>
        <v>20190312154104326</v>
      </c>
      <c r="B7041" t="str">
        <f>"1552376464323693"</f>
        <v>1552376464323693</v>
      </c>
      <c r="C7041" t="s">
        <v>40</v>
      </c>
      <c r="D7041">
        <v>4.2788649999999997</v>
      </c>
      <c r="E7041">
        <v>0.4281972</v>
      </c>
      <c r="F7041" t="s">
        <v>69</v>
      </c>
      <c r="G7041">
        <v>-413.3956</v>
      </c>
      <c r="H7041" s="1">
        <v>-1.115278E-5</v>
      </c>
      <c r="I7041">
        <v>18.276209999999999</v>
      </c>
      <c r="J7041">
        <v>-421.84280000000001</v>
      </c>
      <c r="K7041">
        <v>1.110287</v>
      </c>
      <c r="L7041">
        <v>66.925780000000003</v>
      </c>
      <c r="M7041">
        <v>-6.2500799999999999E-3</v>
      </c>
      <c r="N7041">
        <v>0</v>
      </c>
      <c r="O7041">
        <v>-0.99987199999999998</v>
      </c>
      <c r="P7041">
        <v>-1.6785520000000002E-2</v>
      </c>
      <c r="Q7041">
        <v>2.9094770000000002E-3</v>
      </c>
      <c r="R7041">
        <v>-0.99985520000000006</v>
      </c>
      <c r="S7041">
        <v>0.52105709999999905</v>
      </c>
      <c r="T7041">
        <v>-6.8495269999999997E-2</v>
      </c>
      <c r="U7041">
        <v>-3.0095519999999998</v>
      </c>
      <c r="V7041">
        <v>1.0538809999999999E-2</v>
      </c>
      <c r="W7041">
        <v>1.7649040000000001E-2</v>
      </c>
      <c r="X7041">
        <v>0.99978869999999997</v>
      </c>
      <c r="Y7041">
        <v>-0.17670939999999999</v>
      </c>
      <c r="Z7041">
        <v>2.2407110000000001E-2</v>
      </c>
      <c r="AA7041">
        <v>0.98400799999999999</v>
      </c>
      <c r="AB7041">
        <v>24</v>
      </c>
      <c r="AC7041">
        <v>8.4472000000000094</v>
      </c>
      <c r="AD7041">
        <v>-1.11029815278</v>
      </c>
      <c r="AE7041">
        <v>-48.649569999999997</v>
      </c>
      <c r="AF7041">
        <v>-8.7467091811271303</v>
      </c>
      <c r="AG7041">
        <v>-1.11029815278</v>
      </c>
      <c r="AH7041">
        <v>48.571259734585297</v>
      </c>
      <c r="AI7041">
        <v>91.288782342277003</v>
      </c>
      <c r="AJ7041">
        <v>100.208409733883</v>
      </c>
      <c r="AK7041">
        <v>49.365017529540403</v>
      </c>
      <c r="AL7041">
        <v>88.9887319910505</v>
      </c>
      <c r="AM7041">
        <v>89.396065417565296</v>
      </c>
      <c r="AN7041">
        <v>0.99999999988841304</v>
      </c>
    </row>
    <row r="7042" spans="1:40" x14ac:dyDescent="0.25">
      <c r="A7042" t="str">
        <f>"20190312154104342"</f>
        <v>20190312154104342</v>
      </c>
      <c r="B7042" t="str">
        <f>"1552376464333453"</f>
        <v>1552376464333453</v>
      </c>
      <c r="C7042" t="s">
        <v>40</v>
      </c>
      <c r="D7042">
        <v>4.234407</v>
      </c>
      <c r="E7042">
        <v>0.42813259999999997</v>
      </c>
      <c r="F7042" t="s">
        <v>69</v>
      </c>
      <c r="G7042">
        <v>-413.33019999999999</v>
      </c>
      <c r="H7042" s="1">
        <v>-1.116284E-5</v>
      </c>
      <c r="I7042">
        <v>18.13974</v>
      </c>
      <c r="J7042">
        <v>-421.84390000000002</v>
      </c>
      <c r="K7042">
        <v>1.1102879999999999</v>
      </c>
      <c r="L7042">
        <v>66.75958</v>
      </c>
      <c r="M7042">
        <v>-6.3257299999999999E-3</v>
      </c>
      <c r="N7042">
        <v>0</v>
      </c>
      <c r="O7042">
        <v>-0.99987150000000002</v>
      </c>
      <c r="P7042">
        <v>-1.6817209999999999E-2</v>
      </c>
      <c r="Q7042">
        <v>4.3096100000000002E-3</v>
      </c>
      <c r="R7042">
        <v>-0.99984949999999995</v>
      </c>
      <c r="S7042">
        <v>0.52511600000000003</v>
      </c>
      <c r="T7042">
        <v>-6.8490860000000001E-2</v>
      </c>
      <c r="U7042">
        <v>-3.0094599999999998</v>
      </c>
      <c r="V7042">
        <v>1.0495569999999999E-2</v>
      </c>
      <c r="W7042">
        <v>1.904546E-2</v>
      </c>
      <c r="X7042">
        <v>0.99976350000000003</v>
      </c>
      <c r="Y7042">
        <v>-0.17807700000000001</v>
      </c>
      <c r="Z7042">
        <v>2.2400969999999999E-2</v>
      </c>
      <c r="AA7042">
        <v>0.98376149999999996</v>
      </c>
      <c r="AB7042">
        <v>24</v>
      </c>
      <c r="AC7042">
        <v>8.5137000000000196</v>
      </c>
      <c r="AD7042">
        <v>-1.1102991628400001</v>
      </c>
      <c r="AE7042">
        <v>-48.619840000000003</v>
      </c>
      <c r="AF7042">
        <v>-8.8166578907175897</v>
      </c>
      <c r="AG7042">
        <v>-1.1102991628400001</v>
      </c>
      <c r="AH7042">
        <v>48.540445141195697</v>
      </c>
      <c r="AI7042">
        <v>91.289250281273596</v>
      </c>
      <c r="AJ7042">
        <v>100.294702608234</v>
      </c>
      <c r="AK7042">
        <v>49.347148196206703</v>
      </c>
      <c r="AL7042">
        <v>88.908709511055406</v>
      </c>
      <c r="AM7042">
        <v>89.398527977306799</v>
      </c>
      <c r="AN7042">
        <v>0.999999971234242</v>
      </c>
    </row>
    <row r="7043" spans="1:40" x14ac:dyDescent="0.25">
      <c r="A7043" t="str">
        <f>"20190312154104358"</f>
        <v>20190312154104358</v>
      </c>
      <c r="B7043" t="str">
        <f>"1552376464353948"</f>
        <v>1552376464353948</v>
      </c>
      <c r="C7043" t="s">
        <v>40</v>
      </c>
      <c r="D7043">
        <v>4.4586180000000004</v>
      </c>
      <c r="E7043">
        <v>0.42791600000000002</v>
      </c>
      <c r="F7043" t="s">
        <v>69</v>
      </c>
      <c r="G7043">
        <v>-412.87290000000002</v>
      </c>
      <c r="H7043" s="1">
        <v>-1.159117E-5</v>
      </c>
      <c r="I7043">
        <v>15.3619</v>
      </c>
      <c r="J7043">
        <v>-421.8451</v>
      </c>
      <c r="K7043">
        <v>1.110287</v>
      </c>
      <c r="L7043">
        <v>66.582890000000006</v>
      </c>
      <c r="M7043">
        <v>-6.4147519999999897E-3</v>
      </c>
      <c r="N7043">
        <v>0</v>
      </c>
      <c r="O7043">
        <v>-0.99987099999999995</v>
      </c>
      <c r="P7043">
        <v>-1.6562319999999998E-2</v>
      </c>
      <c r="Q7043">
        <v>5.6973500000000003E-3</v>
      </c>
      <c r="R7043">
        <v>-0.99984689999999998</v>
      </c>
      <c r="S7043">
        <v>0.52529910000000002</v>
      </c>
      <c r="T7043">
        <v>-6.5013409999999994E-2</v>
      </c>
      <c r="U7043">
        <v>-3.0095830000000001</v>
      </c>
      <c r="V7043">
        <v>1.0152370000000001E-2</v>
      </c>
      <c r="W7043">
        <v>2.0428970000000001E-2</v>
      </c>
      <c r="X7043">
        <v>0.99973979999999996</v>
      </c>
      <c r="Y7043">
        <v>-0.1782202</v>
      </c>
      <c r="Z7043">
        <v>2.1262900000000001E-2</v>
      </c>
      <c r="AA7043">
        <v>0.98376090000000005</v>
      </c>
      <c r="AB7043">
        <v>24</v>
      </c>
      <c r="AC7043">
        <v>8.9721999999999795</v>
      </c>
      <c r="AD7043">
        <v>-1.1102985911700001</v>
      </c>
      <c r="AE7043">
        <v>-51.22099</v>
      </c>
      <c r="AF7043">
        <v>-9.2963828240435902</v>
      </c>
      <c r="AG7043">
        <v>-1.1102985911700001</v>
      </c>
      <c r="AH7043">
        <v>51.139061536833402</v>
      </c>
      <c r="AI7043">
        <v>91.223724727546198</v>
      </c>
      <c r="AJ7043">
        <v>100.303080433842</v>
      </c>
      <c r="AK7043">
        <v>51.989028760314</v>
      </c>
      <c r="AL7043">
        <v>88.829424855207407</v>
      </c>
      <c r="AM7043">
        <v>89.418180651696105</v>
      </c>
      <c r="AN7043">
        <v>1.0000000405679501</v>
      </c>
    </row>
    <row r="7044" spans="1:40" x14ac:dyDescent="0.25">
      <c r="A7044" t="str">
        <f>"20190312154104374"</f>
        <v>20190312154104374</v>
      </c>
      <c r="B7044" t="str">
        <f>"1552376464363239"</f>
        <v>1552376464363239</v>
      </c>
      <c r="C7044" t="s">
        <v>40</v>
      </c>
      <c r="D7044">
        <v>4.2568080000000004</v>
      </c>
      <c r="E7044">
        <v>0.42786020000000002</v>
      </c>
      <c r="F7044" t="s">
        <v>69</v>
      </c>
      <c r="G7044">
        <v>-412.17739999999998</v>
      </c>
      <c r="H7044" s="1">
        <v>-1.2087719999999999E-5</v>
      </c>
      <c r="I7044">
        <v>11.444229999999999</v>
      </c>
      <c r="J7044">
        <v>-421.84629999999999</v>
      </c>
      <c r="K7044">
        <v>1.110306</v>
      </c>
      <c r="L7044">
        <v>66.405670000000001</v>
      </c>
      <c r="M7044">
        <v>-6.5127609999999997E-3</v>
      </c>
      <c r="N7044">
        <v>0</v>
      </c>
      <c r="O7044">
        <v>-0.9998705</v>
      </c>
      <c r="P7044">
        <v>-1.566302E-2</v>
      </c>
      <c r="Q7044">
        <v>1.066491E-2</v>
      </c>
      <c r="R7044">
        <v>-0.99982090000000001</v>
      </c>
      <c r="S7044">
        <v>0.52767940000000002</v>
      </c>
      <c r="T7044">
        <v>-6.0601830000000002E-2</v>
      </c>
      <c r="U7044">
        <v>-3.0095519999999998</v>
      </c>
      <c r="V7044">
        <v>9.1567630000000001E-3</v>
      </c>
      <c r="W7044">
        <v>2.5391540000000001E-2</v>
      </c>
      <c r="X7044">
        <v>0.99963559999999996</v>
      </c>
      <c r="Y7044">
        <v>-0.1790784</v>
      </c>
      <c r="Z7044">
        <v>1.9817950000000001E-2</v>
      </c>
      <c r="AA7044">
        <v>0.98363520000000004</v>
      </c>
      <c r="AB7044">
        <v>24</v>
      </c>
      <c r="AC7044">
        <v>9.6689000000000007</v>
      </c>
      <c r="AD7044">
        <v>-1.1103180877200001</v>
      </c>
      <c r="AE7044">
        <v>-54.961440000000003</v>
      </c>
      <c r="AF7044">
        <v>-10.0227167911005</v>
      </c>
      <c r="AG7044">
        <v>-1.1103180877200001</v>
      </c>
      <c r="AH7044">
        <v>54.8755730082258</v>
      </c>
      <c r="AI7044">
        <v>91.140270864500494</v>
      </c>
      <c r="AJ7044">
        <v>100.350664460678</v>
      </c>
      <c r="AK7044">
        <v>55.794409855393603</v>
      </c>
      <c r="AL7044">
        <v>88.545015482739601</v>
      </c>
      <c r="AM7044">
        <v>89.475179554632504</v>
      </c>
      <c r="AN7044">
        <v>0.99999995469978298</v>
      </c>
    </row>
    <row r="7045" spans="1:40" x14ac:dyDescent="0.25">
      <c r="A7045" t="str">
        <f>"20190312154104398"</f>
        <v>20190312154104398</v>
      </c>
      <c r="B7045" t="str">
        <f>"1552376464393495"</f>
        <v>1552376464393495</v>
      </c>
      <c r="C7045" t="s">
        <v>40</v>
      </c>
      <c r="D7045">
        <v>4.2411599999999998</v>
      </c>
      <c r="E7045">
        <v>0.42755149999999997</v>
      </c>
      <c r="F7045" t="s">
        <v>84</v>
      </c>
      <c r="G7045">
        <v>-410.22739999999999</v>
      </c>
      <c r="H7045">
        <v>0.1012414</v>
      </c>
      <c r="I7045">
        <v>0.57677650000000003</v>
      </c>
      <c r="J7045">
        <v>-421.84800000000001</v>
      </c>
      <c r="K7045">
        <v>1.110322</v>
      </c>
      <c r="L7045">
        <v>66.171139999999994</v>
      </c>
      <c r="M7045">
        <v>-6.6486890000000002E-3</v>
      </c>
      <c r="N7045">
        <v>0</v>
      </c>
      <c r="O7045">
        <v>-0.99986960000000003</v>
      </c>
      <c r="P7045">
        <v>-1.449508E-2</v>
      </c>
      <c r="Q7045">
        <v>1.508199E-2</v>
      </c>
      <c r="R7045">
        <v>-0.9997817</v>
      </c>
      <c r="S7045">
        <v>0.53115840000000003</v>
      </c>
      <c r="T7045">
        <v>-4.6130539999999998E-2</v>
      </c>
      <c r="U7045">
        <v>-3.009369</v>
      </c>
      <c r="V7045">
        <v>7.8546359999999999E-3</v>
      </c>
      <c r="W7045">
        <v>2.9802499999999999E-2</v>
      </c>
      <c r="X7045">
        <v>0.999525</v>
      </c>
      <c r="Y7045">
        <v>-0.18033959999999999</v>
      </c>
      <c r="Z7045">
        <v>1.5084470000000001E-2</v>
      </c>
      <c r="AA7045">
        <v>0.98348869999999999</v>
      </c>
      <c r="AB7045">
        <v>24</v>
      </c>
      <c r="AC7045">
        <v>11.6206</v>
      </c>
      <c r="AD7045">
        <v>-1.0090806000000001</v>
      </c>
      <c r="AE7045">
        <v>-65.5943635</v>
      </c>
      <c r="AF7045">
        <v>-12.0537410612749</v>
      </c>
      <c r="AG7045">
        <v>-1.0090806000000001</v>
      </c>
      <c r="AH7045">
        <v>65.500613792182307</v>
      </c>
      <c r="AI7045">
        <v>90.8680364114377</v>
      </c>
      <c r="AJ7045">
        <v>100.427186060869</v>
      </c>
      <c r="AK7045">
        <v>66.608117556212306</v>
      </c>
      <c r="AL7045">
        <v>88.292189751587699</v>
      </c>
      <c r="AM7045">
        <v>89.549757906116199</v>
      </c>
      <c r="AN7045">
        <v>1.0000000549689601</v>
      </c>
    </row>
    <row r="7046" spans="1:40" x14ac:dyDescent="0.25">
      <c r="A7046" t="str">
        <f>"20190312154104412"</f>
        <v>20190312154104412</v>
      </c>
      <c r="B7046" t="str">
        <f>"1552376464403255"</f>
        <v>1552376464403255</v>
      </c>
      <c r="C7046" t="s">
        <v>40</v>
      </c>
      <c r="D7046">
        <v>4.2690270000000003</v>
      </c>
      <c r="E7046">
        <v>0.42742289999999999</v>
      </c>
      <c r="F7046" t="s">
        <v>84</v>
      </c>
      <c r="G7046">
        <v>-410.1447</v>
      </c>
      <c r="H7046">
        <v>0.336364</v>
      </c>
      <c r="I7046">
        <v>0.57761379999999996</v>
      </c>
      <c r="J7046">
        <v>-421.8492</v>
      </c>
      <c r="K7046">
        <v>1.11032999999999</v>
      </c>
      <c r="L7046">
        <v>66.009119999999996</v>
      </c>
      <c r="M7046">
        <v>-6.7457489999999997E-3</v>
      </c>
      <c r="N7046">
        <v>0</v>
      </c>
      <c r="O7046">
        <v>-0.99986889999999995</v>
      </c>
      <c r="P7046">
        <v>-1.366332E-2</v>
      </c>
      <c r="Q7046">
        <v>1.6425169999999999E-2</v>
      </c>
      <c r="R7046">
        <v>-0.99977179999999999</v>
      </c>
      <c r="S7046">
        <v>0.53686519999999904</v>
      </c>
      <c r="T7046">
        <v>-3.5505059999999998E-2</v>
      </c>
      <c r="U7046">
        <v>-3.008972</v>
      </c>
      <c r="V7046">
        <v>6.9263509999999999E-3</v>
      </c>
      <c r="W7046">
        <v>3.1141789999999999E-2</v>
      </c>
      <c r="X7046">
        <v>0.99949100000000002</v>
      </c>
      <c r="Y7046">
        <v>-0.1822733</v>
      </c>
      <c r="Z7046">
        <v>1.160803E-2</v>
      </c>
      <c r="AA7046">
        <v>0.98317940000000004</v>
      </c>
      <c r="AB7046">
        <v>24</v>
      </c>
      <c r="AC7046">
        <v>11.7044999999999</v>
      </c>
      <c r="AD7046">
        <v>-0.77396599999999904</v>
      </c>
      <c r="AE7046">
        <v>-65.431506200000001</v>
      </c>
      <c r="AF7046">
        <v>-12.144019508405201</v>
      </c>
      <c r="AG7046">
        <v>-0.77396599999999904</v>
      </c>
      <c r="AH7046">
        <v>65.3421939552982</v>
      </c>
      <c r="AI7046">
        <v>90.667201900962894</v>
      </c>
      <c r="AJ7046">
        <v>100.528447169838</v>
      </c>
      <c r="AK7046">
        <v>66.465619263507193</v>
      </c>
      <c r="AL7046">
        <v>88.215418375760393</v>
      </c>
      <c r="AM7046">
        <v>89.602953576142596</v>
      </c>
      <c r="AN7046">
        <v>1.00000002225178</v>
      </c>
    </row>
    <row r="7047" spans="1:40" x14ac:dyDescent="0.25">
      <c r="A7047" t="str">
        <f>"20190312154104426"</f>
        <v>20190312154104426</v>
      </c>
      <c r="B7047" t="str">
        <f>"1552376464423751"</f>
        <v>1552376464423751</v>
      </c>
      <c r="C7047" t="s">
        <v>40</v>
      </c>
      <c r="D7047">
        <v>4.196841</v>
      </c>
      <c r="E7047">
        <v>0.42723250000000002</v>
      </c>
      <c r="F7047" t="s">
        <v>84</v>
      </c>
      <c r="G7047">
        <v>-410.0865</v>
      </c>
      <c r="H7047">
        <v>0.39607520000000002</v>
      </c>
      <c r="I7047">
        <v>0.57820890000000003</v>
      </c>
      <c r="J7047">
        <v>-421.85019999999997</v>
      </c>
      <c r="K7047">
        <v>1.110336</v>
      </c>
      <c r="L7047">
        <v>65.870760000000004</v>
      </c>
      <c r="M7047">
        <v>-6.8290590000000002E-3</v>
      </c>
      <c r="N7047">
        <v>0</v>
      </c>
      <c r="O7047">
        <v>-0.9998686</v>
      </c>
      <c r="P7047">
        <v>-1.3051429999999999E-2</v>
      </c>
      <c r="Q7047">
        <v>1.7610569999999999E-2</v>
      </c>
      <c r="R7047">
        <v>-0.99976019999999999</v>
      </c>
      <c r="S7047">
        <v>0.54086299999999998</v>
      </c>
      <c r="T7047">
        <v>-3.2843589999999999E-2</v>
      </c>
      <c r="U7047">
        <v>-3.0086059999999999</v>
      </c>
      <c r="V7047">
        <v>6.2315859999999999E-3</v>
      </c>
      <c r="W7047">
        <v>3.232376E-2</v>
      </c>
      <c r="X7047">
        <v>0.99945799999999996</v>
      </c>
      <c r="Y7047">
        <v>-0.18364330000000001</v>
      </c>
      <c r="Z7047">
        <v>1.073664E-2</v>
      </c>
      <c r="AA7047">
        <v>0.98293430000000004</v>
      </c>
      <c r="AB7047">
        <v>24</v>
      </c>
      <c r="AC7047">
        <v>11.763699999999901</v>
      </c>
      <c r="AD7047">
        <v>-0.71426079999999903</v>
      </c>
      <c r="AE7047">
        <v>-65.292551099999997</v>
      </c>
      <c r="AF7047">
        <v>-12.207945514902301</v>
      </c>
      <c r="AG7047">
        <v>-0.71426079999999903</v>
      </c>
      <c r="AH7047">
        <v>65.203127022640501</v>
      </c>
      <c r="AI7047">
        <v>90.616896854562896</v>
      </c>
      <c r="AJ7047">
        <v>100.604679549838</v>
      </c>
      <c r="AK7047">
        <v>66.339971930321397</v>
      </c>
      <c r="AL7047">
        <v>88.147662272295406</v>
      </c>
      <c r="AM7047">
        <v>89.642767429030798</v>
      </c>
      <c r="AN7047">
        <v>0.99999997594430601</v>
      </c>
    </row>
    <row r="7048" spans="1:40" x14ac:dyDescent="0.25">
      <c r="A7048" t="str">
        <f>"20190312154104442"</f>
        <v>20190312154104442</v>
      </c>
      <c r="B7048" t="str">
        <f>"1552376464433511"</f>
        <v>1552376464433511</v>
      </c>
      <c r="C7048" t="s">
        <v>40</v>
      </c>
      <c r="D7048">
        <v>4.1808269999999998</v>
      </c>
      <c r="E7048">
        <v>0.42726049999999899</v>
      </c>
      <c r="F7048" t="s">
        <v>84</v>
      </c>
      <c r="G7048">
        <v>-410.03840000000002</v>
      </c>
      <c r="H7048">
        <v>0.35699219999999998</v>
      </c>
      <c r="I7048">
        <v>0.57869530000000002</v>
      </c>
      <c r="J7048">
        <v>-421.85149999999999</v>
      </c>
      <c r="K7048">
        <v>1.1103419999999999</v>
      </c>
      <c r="L7048">
        <v>65.698909999999998</v>
      </c>
      <c r="M7048">
        <v>-6.9327240000000004E-3</v>
      </c>
      <c r="N7048">
        <v>0</v>
      </c>
      <c r="O7048">
        <v>-0.99986770000000003</v>
      </c>
      <c r="P7048">
        <v>-1.1149539999999999E-2</v>
      </c>
      <c r="Q7048">
        <v>1.881213E-2</v>
      </c>
      <c r="R7048">
        <v>-0.99976109999999896</v>
      </c>
      <c r="S7048">
        <v>0.54425049999999997</v>
      </c>
      <c r="T7048">
        <v>-3.471291E-2</v>
      </c>
      <c r="U7048">
        <v>-3.0084529999999998</v>
      </c>
      <c r="V7048">
        <v>4.2263830000000002E-3</v>
      </c>
      <c r="W7048">
        <v>3.35214E-2</v>
      </c>
      <c r="X7048">
        <v>0.99942900000000001</v>
      </c>
      <c r="Y7048">
        <v>-0.1848245</v>
      </c>
      <c r="Z7048">
        <v>1.134581E-2</v>
      </c>
      <c r="AA7048">
        <v>0.98270610000000003</v>
      </c>
      <c r="AB7048">
        <v>24</v>
      </c>
      <c r="AC7048">
        <v>11.813099999999899</v>
      </c>
      <c r="AD7048">
        <v>-0.75334979999999996</v>
      </c>
      <c r="AE7048">
        <v>-65.120214699999906</v>
      </c>
      <c r="AF7048">
        <v>-12.2627365416093</v>
      </c>
      <c r="AG7048">
        <v>-0.75334979999999996</v>
      </c>
      <c r="AH7048">
        <v>65.028317950101496</v>
      </c>
      <c r="AI7048">
        <v>90.652244247628204</v>
      </c>
      <c r="AJ7048">
        <v>100.679163077102</v>
      </c>
      <c r="AK7048">
        <v>66.178730562240105</v>
      </c>
      <c r="AL7048">
        <v>88.079005254385095</v>
      </c>
      <c r="AM7048">
        <v>89.757709186881996</v>
      </c>
      <c r="AN7048">
        <v>0.99999993630610895</v>
      </c>
    </row>
    <row r="7049" spans="1:40" x14ac:dyDescent="0.25">
      <c r="A7049" t="str">
        <f>"20190312154104457"</f>
        <v>20190312154104457</v>
      </c>
      <c r="B7049" t="str">
        <f>"1552376464453030"</f>
        <v>1552376464453030</v>
      </c>
      <c r="C7049" t="s">
        <v>40</v>
      </c>
      <c r="D7049">
        <v>4.2904429999999998</v>
      </c>
      <c r="E7049">
        <v>0.42755789999999999</v>
      </c>
      <c r="F7049" t="s">
        <v>84</v>
      </c>
      <c r="G7049">
        <v>-409.94749999999999</v>
      </c>
      <c r="H7049">
        <v>0.38841920000000002</v>
      </c>
      <c r="I7049">
        <v>0.57962040000000004</v>
      </c>
      <c r="J7049">
        <v>-421.85270000000003</v>
      </c>
      <c r="K7049">
        <v>1.1103400000000001</v>
      </c>
      <c r="L7049">
        <v>65.538119999999907</v>
      </c>
      <c r="M7049">
        <v>-7.0293439999999999E-3</v>
      </c>
      <c r="N7049">
        <v>0</v>
      </c>
      <c r="O7049">
        <v>-0.99986719999999896</v>
      </c>
      <c r="P7049">
        <v>-1.0132520000000001E-2</v>
      </c>
      <c r="Q7049">
        <v>1.884168E-2</v>
      </c>
      <c r="R7049">
        <v>-0.99977139999999998</v>
      </c>
      <c r="S7049">
        <v>0.54977419999999899</v>
      </c>
      <c r="T7049">
        <v>-3.3342360000000001E-2</v>
      </c>
      <c r="U7049">
        <v>-3.0074770000000002</v>
      </c>
      <c r="V7049">
        <v>3.1126629999999999E-3</v>
      </c>
      <c r="W7049">
        <v>3.3547609999999999E-2</v>
      </c>
      <c r="X7049">
        <v>0.99943230000000005</v>
      </c>
      <c r="Y7049">
        <v>-0.186723</v>
      </c>
      <c r="Z7049">
        <v>1.089763E-2</v>
      </c>
      <c r="AA7049">
        <v>0.98235209999999995</v>
      </c>
      <c r="AB7049">
        <v>24</v>
      </c>
      <c r="AC7049">
        <v>11.905200000000001</v>
      </c>
      <c r="AD7049">
        <v>-0.72192079999999903</v>
      </c>
      <c r="AE7049">
        <v>-64.958499599999996</v>
      </c>
      <c r="AF7049">
        <v>-12.360093804363901</v>
      </c>
      <c r="AG7049">
        <v>-0.72192079999999903</v>
      </c>
      <c r="AH7049">
        <v>64.865448321840404</v>
      </c>
      <c r="AI7049">
        <v>90.626378415687796</v>
      </c>
      <c r="AJ7049">
        <v>100.788363917778</v>
      </c>
      <c r="AK7049">
        <v>66.036501076961201</v>
      </c>
      <c r="AL7049">
        <v>88.077502860354699</v>
      </c>
      <c r="AM7049">
        <v>89.821556821479206</v>
      </c>
      <c r="AN7049">
        <v>1.00000002654547</v>
      </c>
    </row>
    <row r="7050" spans="1:40" x14ac:dyDescent="0.25">
      <c r="A7050" t="str">
        <f>"20190312154104471"</f>
        <v>20190312154104471</v>
      </c>
      <c r="B7050" t="str">
        <f>"1552376464463767"</f>
        <v>1552376464463767</v>
      </c>
      <c r="C7050" t="s">
        <v>40</v>
      </c>
      <c r="D7050">
        <v>4.3824249999999996</v>
      </c>
      <c r="E7050">
        <v>0.46638479999999999</v>
      </c>
      <c r="F7050" t="s">
        <v>84</v>
      </c>
      <c r="G7050">
        <v>-409.95929999999998</v>
      </c>
      <c r="H7050">
        <v>0.38145020000000002</v>
      </c>
      <c r="I7050">
        <v>0.57950019999999902</v>
      </c>
      <c r="J7050">
        <v>-421.85390000000001</v>
      </c>
      <c r="K7050">
        <v>1.1103369999999999</v>
      </c>
      <c r="L7050">
        <v>65.388759999999905</v>
      </c>
      <c r="M7050">
        <v>-7.1179030000000001E-3</v>
      </c>
      <c r="N7050">
        <v>0</v>
      </c>
      <c r="O7050">
        <v>-0.99986649999999999</v>
      </c>
      <c r="P7050">
        <v>-9.8917139999999994E-3</v>
      </c>
      <c r="Q7050">
        <v>1.7606650000000001E-2</v>
      </c>
      <c r="R7050">
        <v>-0.99979620000000002</v>
      </c>
      <c r="S7050">
        <v>0.5505371</v>
      </c>
      <c r="T7050">
        <v>-3.3741119999999999E-2</v>
      </c>
      <c r="U7050">
        <v>-3.0068969999999999</v>
      </c>
      <c r="V7050">
        <v>2.7827379999999999E-3</v>
      </c>
      <c r="W7050">
        <v>3.2309940000000002E-2</v>
      </c>
      <c r="X7050">
        <v>0.99947399999999997</v>
      </c>
      <c r="Y7050">
        <v>-0.18708440000000001</v>
      </c>
      <c r="Z7050">
        <v>1.102939E-2</v>
      </c>
      <c r="AA7050">
        <v>0.98228190000000004</v>
      </c>
      <c r="AB7050">
        <v>24</v>
      </c>
      <c r="AC7050">
        <v>11.894600000000001</v>
      </c>
      <c r="AD7050">
        <v>-0.72888679999999995</v>
      </c>
      <c r="AE7050">
        <v>-64.809259799999893</v>
      </c>
      <c r="AF7050">
        <v>-12.3541428228298</v>
      </c>
      <c r="AG7050">
        <v>-0.72888679999999995</v>
      </c>
      <c r="AH7050">
        <v>64.715025018614895</v>
      </c>
      <c r="AI7050">
        <v>90.633850956625807</v>
      </c>
      <c r="AJ7050">
        <v>100.807766437952</v>
      </c>
      <c r="AK7050">
        <v>65.887711934882404</v>
      </c>
      <c r="AL7050">
        <v>88.148454514389101</v>
      </c>
      <c r="AM7050">
        <v>89.840477360178099</v>
      </c>
      <c r="AN7050">
        <v>0.99999997626478898</v>
      </c>
    </row>
    <row r="7051" spans="1:40" x14ac:dyDescent="0.25">
      <c r="A7051" t="str">
        <f>"20190312154104487"</f>
        <v>20190312154104487</v>
      </c>
      <c r="B7051" t="str">
        <f>"1552376464483288"</f>
        <v>1552376464483288</v>
      </c>
      <c r="C7051" t="s">
        <v>40</v>
      </c>
      <c r="D7051">
        <v>4.2794460000000001</v>
      </c>
      <c r="E7051">
        <v>0.4784447</v>
      </c>
      <c r="F7051" t="s">
        <v>69</v>
      </c>
      <c r="G7051">
        <v>-419.05889999999999</v>
      </c>
      <c r="H7051" s="1">
        <v>-5.262854E-6</v>
      </c>
      <c r="I7051">
        <v>30.912960000000002</v>
      </c>
      <c r="J7051">
        <v>-421.85509999999999</v>
      </c>
      <c r="K7051">
        <v>1.110333</v>
      </c>
      <c r="L7051">
        <v>65.231319999999997</v>
      </c>
      <c r="M7051">
        <v>-7.2103769999999996E-3</v>
      </c>
      <c r="N7051">
        <v>0</v>
      </c>
      <c r="O7051">
        <v>-0.99986600000000003</v>
      </c>
      <c r="P7051">
        <v>-8.6675309999999992E-3</v>
      </c>
      <c r="Q7051">
        <v>1.6413130000000001E-2</v>
      </c>
      <c r="R7051">
        <v>-0.99982789999999999</v>
      </c>
      <c r="S7051">
        <v>0.24359130000000001</v>
      </c>
      <c r="T7051">
        <v>-9.6771599999999999E-2</v>
      </c>
      <c r="U7051">
        <v>-3.0047299999999999</v>
      </c>
      <c r="V7051">
        <v>1.4655099999999999E-3</v>
      </c>
      <c r="W7051">
        <v>3.1113200000000001E-2</v>
      </c>
      <c r="X7051">
        <v>0.99951480000000004</v>
      </c>
      <c r="Y7051">
        <v>-8.7948079999999998E-2</v>
      </c>
      <c r="Z7051">
        <v>3.2073549999999999E-2</v>
      </c>
      <c r="AA7051">
        <v>0.99560859999999995</v>
      </c>
      <c r="AB7051">
        <v>24</v>
      </c>
      <c r="AC7051">
        <v>2.79619999999999</v>
      </c>
      <c r="AD7051">
        <v>-1.1103382628539999</v>
      </c>
      <c r="AE7051">
        <v>-34.318359999999998</v>
      </c>
      <c r="AF7051">
        <v>-3.0404406396408001</v>
      </c>
      <c r="AG7051">
        <v>-1.1103382628539999</v>
      </c>
      <c r="AH7051">
        <v>34.261675774290403</v>
      </c>
      <c r="AI7051">
        <v>91.848907554747399</v>
      </c>
      <c r="AJ7051">
        <v>95.071242695211197</v>
      </c>
      <c r="AK7051">
        <v>34.414234804855603</v>
      </c>
      <c r="AL7051">
        <v>88.217057229338195</v>
      </c>
      <c r="AM7051">
        <v>89.915991761539701</v>
      </c>
      <c r="AN7051">
        <v>1.0000000071764199</v>
      </c>
    </row>
    <row r="7052" spans="1:40" x14ac:dyDescent="0.25">
      <c r="A7052" t="str">
        <f>"20190312154104502"</f>
        <v>20190312154104502</v>
      </c>
      <c r="B7052" t="str">
        <f>"1552376464493048"</f>
        <v>1552376464493048</v>
      </c>
      <c r="C7052" t="s">
        <v>40</v>
      </c>
      <c r="D7052">
        <v>4.2743149999999996</v>
      </c>
      <c r="E7052">
        <v>0.4815892</v>
      </c>
      <c r="F7052" t="s">
        <v>69</v>
      </c>
      <c r="G7052">
        <v>-420.25200000000001</v>
      </c>
      <c r="H7052" s="1">
        <v>-3.8446709999999996E-6</v>
      </c>
      <c r="I7052">
        <v>33.338619999999999</v>
      </c>
      <c r="J7052">
        <v>-421.85640000000001</v>
      </c>
      <c r="K7052">
        <v>1.110331</v>
      </c>
      <c r="L7052">
        <v>65.069789999999998</v>
      </c>
      <c r="M7052">
        <v>-7.30439E-3</v>
      </c>
      <c r="N7052">
        <v>0</v>
      </c>
      <c r="O7052">
        <v>-0.99986549999999996</v>
      </c>
      <c r="P7052">
        <v>-8.6330599999999997E-3</v>
      </c>
      <c r="Q7052">
        <v>1.6321189999999999E-2</v>
      </c>
      <c r="R7052">
        <v>-0.99983</v>
      </c>
      <c r="S7052">
        <v>0.15097049999999901</v>
      </c>
      <c r="T7052">
        <v>-0.10456749999999999</v>
      </c>
      <c r="U7052">
        <v>-3.0035400000000001</v>
      </c>
      <c r="V7052">
        <v>1.3369269999999999E-3</v>
      </c>
      <c r="W7052">
        <v>3.1017400000000001E-2</v>
      </c>
      <c r="X7052">
        <v>0.99951800000000002</v>
      </c>
      <c r="Y7052">
        <v>-5.7465120000000001E-2</v>
      </c>
      <c r="Z7052">
        <v>3.4741639999999997E-2</v>
      </c>
      <c r="AA7052">
        <v>0.99774280000000004</v>
      </c>
      <c r="AB7052">
        <v>23</v>
      </c>
      <c r="AC7052">
        <v>1.60440000000005</v>
      </c>
      <c r="AD7052">
        <v>-1.110334844671</v>
      </c>
      <c r="AE7052">
        <v>-31.731169999999999</v>
      </c>
      <c r="AF7052">
        <v>-1.8339192342286801</v>
      </c>
      <c r="AG7052">
        <v>-1.110334844671</v>
      </c>
      <c r="AH7052">
        <v>31.6799118047151</v>
      </c>
      <c r="AI7052">
        <v>92.003959878761705</v>
      </c>
      <c r="AJ7052">
        <v>93.313099278552698</v>
      </c>
      <c r="AK7052">
        <v>31.7523686546294</v>
      </c>
      <c r="AL7052">
        <v>88.222548890528302</v>
      </c>
      <c r="AM7052">
        <v>89.923362831949603</v>
      </c>
      <c r="AN7052">
        <v>1.0000000494002801</v>
      </c>
    </row>
    <row r="7053" spans="1:40" x14ac:dyDescent="0.25">
      <c r="A7053" t="str">
        <f>"20190312154104514"</f>
        <v>20190312154104514</v>
      </c>
      <c r="B7053" t="str">
        <f>"1552376464503783"</f>
        <v>1552376464503783</v>
      </c>
      <c r="C7053" t="s">
        <v>40</v>
      </c>
      <c r="D7053">
        <v>4.2717919999999996</v>
      </c>
      <c r="E7053">
        <v>0.48339729999999997</v>
      </c>
      <c r="F7053" t="s">
        <v>69</v>
      </c>
      <c r="G7053">
        <v>-420.52050000000003</v>
      </c>
      <c r="H7053" s="1">
        <v>-3.9625029999999996E-6</v>
      </c>
      <c r="I7053">
        <v>33.137949999999996</v>
      </c>
      <c r="J7053">
        <v>-421.85750000000002</v>
      </c>
      <c r="K7053">
        <v>1.110328</v>
      </c>
      <c r="L7053">
        <v>64.934139999999999</v>
      </c>
      <c r="M7053">
        <v>-7.3826019999999899E-3</v>
      </c>
      <c r="N7053">
        <v>0</v>
      </c>
      <c r="O7053">
        <v>-0.9998648</v>
      </c>
      <c r="P7053">
        <v>-9.0360979999999994E-3</v>
      </c>
      <c r="Q7053">
        <v>1.6237459999999999E-2</v>
      </c>
      <c r="R7053">
        <v>-0.99982729999999997</v>
      </c>
      <c r="S7053">
        <v>0.1256409</v>
      </c>
      <c r="T7053">
        <v>-0.1044307</v>
      </c>
      <c r="U7053">
        <v>-3.0032960000000002</v>
      </c>
      <c r="V7053">
        <v>1.6616910000000001E-3</v>
      </c>
      <c r="W7053">
        <v>3.0930180000000002E-2</v>
      </c>
      <c r="X7053">
        <v>0.99952019999999997</v>
      </c>
      <c r="Y7053">
        <v>-4.914839E-2</v>
      </c>
      <c r="Z7053">
        <v>3.4713439999999998E-2</v>
      </c>
      <c r="AA7053">
        <v>0.99818810000000002</v>
      </c>
      <c r="AB7053">
        <v>23</v>
      </c>
      <c r="AC7053">
        <v>1.33699999999998</v>
      </c>
      <c r="AD7053">
        <v>-1.1103319625029999</v>
      </c>
      <c r="AE7053">
        <v>-31.796189999999999</v>
      </c>
      <c r="AF7053">
        <v>-1.5698166172661601</v>
      </c>
      <c r="AG7053">
        <v>-1.1103319625029999</v>
      </c>
      <c r="AH7053">
        <v>31.746807146160801</v>
      </c>
      <c r="AI7053">
        <v>92.000638241905406</v>
      </c>
      <c r="AJ7053">
        <v>92.8308568571086</v>
      </c>
      <c r="AK7053">
        <v>31.804982711114999</v>
      </c>
      <c r="AL7053">
        <v>88.227548599276304</v>
      </c>
      <c r="AM7053">
        <v>89.904746503931605</v>
      </c>
      <c r="AN7053">
        <v>1.00000003372992</v>
      </c>
    </row>
    <row r="7054" spans="1:40" x14ac:dyDescent="0.25">
      <c r="A7054" t="str">
        <f>"20190312154104530"</f>
        <v>20190312154104530</v>
      </c>
      <c r="B7054" t="str">
        <f>"1552376464523303"</f>
        <v>1552376464523303</v>
      </c>
      <c r="C7054" t="s">
        <v>40</v>
      </c>
      <c r="D7054">
        <v>4.205813</v>
      </c>
      <c r="E7054">
        <v>0.48605569999999998</v>
      </c>
      <c r="F7054" t="s">
        <v>69</v>
      </c>
      <c r="G7054">
        <v>-420.66070000000002</v>
      </c>
      <c r="H7054" s="1">
        <v>-4.3777240000000003E-6</v>
      </c>
      <c r="I7054">
        <v>32.339019999999998</v>
      </c>
      <c r="J7054">
        <v>-421.85860000000002</v>
      </c>
      <c r="K7054">
        <v>1.110328</v>
      </c>
      <c r="L7054">
        <v>64.783509999999893</v>
      </c>
      <c r="M7054">
        <v>-7.4691949999999997E-3</v>
      </c>
      <c r="N7054">
        <v>0</v>
      </c>
      <c r="O7054">
        <v>-0.99986430000000004</v>
      </c>
      <c r="P7054">
        <v>-9.0381890000000003E-3</v>
      </c>
      <c r="Q7054">
        <v>1.5982489999999999E-2</v>
      </c>
      <c r="R7054">
        <v>-0.99983160000000004</v>
      </c>
      <c r="S7054">
        <v>0.11026</v>
      </c>
      <c r="T7054">
        <v>-0.10230119999999999</v>
      </c>
      <c r="U7054">
        <v>-3.003174</v>
      </c>
      <c r="V7054">
        <v>1.5770679999999901E-3</v>
      </c>
      <c r="W7054">
        <v>3.0671859999999999E-2</v>
      </c>
      <c r="X7054">
        <v>0.99952830000000004</v>
      </c>
      <c r="Y7054">
        <v>-4.4132490000000003E-2</v>
      </c>
      <c r="Z7054">
        <v>3.4015169999999997E-2</v>
      </c>
      <c r="AA7054">
        <v>0.99844650000000001</v>
      </c>
      <c r="AB7054">
        <v>23</v>
      </c>
      <c r="AC7054">
        <v>1.1979</v>
      </c>
      <c r="AD7054">
        <v>-1.110332377724</v>
      </c>
      <c r="AE7054">
        <v>-32.444489999999902</v>
      </c>
      <c r="AF7054">
        <v>-1.43854442439096</v>
      </c>
      <c r="AG7054">
        <v>-1.110332377724</v>
      </c>
      <c r="AH7054">
        <v>32.396745650273402</v>
      </c>
      <c r="AI7054">
        <v>91.960996843588106</v>
      </c>
      <c r="AJ7054">
        <v>92.542490466383796</v>
      </c>
      <c r="AK7054">
        <v>32.447671361416297</v>
      </c>
      <c r="AL7054">
        <v>88.242356274842294</v>
      </c>
      <c r="AM7054">
        <v>89.909598091997694</v>
      </c>
      <c r="AN7054">
        <v>1.00000003632011</v>
      </c>
    </row>
    <row r="7055" spans="1:40" x14ac:dyDescent="0.25">
      <c r="A7055" t="str">
        <f>"20190312154104542"</f>
        <v>20190312154104542</v>
      </c>
      <c r="B7055" t="str">
        <f>"1552376464533063"</f>
        <v>1552376464533063</v>
      </c>
      <c r="C7055" t="s">
        <v>40</v>
      </c>
      <c r="D7055">
        <v>4.2349620000000003</v>
      </c>
      <c r="E7055">
        <v>0.48679230000000001</v>
      </c>
      <c r="F7055" t="s">
        <v>69</v>
      </c>
      <c r="G7055">
        <v>-420.89100000000002</v>
      </c>
      <c r="H7055" s="1">
        <v>-4.5320729999999997E-6</v>
      </c>
      <c r="I7055">
        <v>32.06232</v>
      </c>
      <c r="J7055">
        <v>-421.85969999999998</v>
      </c>
      <c r="K7055">
        <v>1.110322</v>
      </c>
      <c r="L7055">
        <v>64.647310000000004</v>
      </c>
      <c r="M7055">
        <v>-7.5475389999999998E-3</v>
      </c>
      <c r="N7055">
        <v>0</v>
      </c>
      <c r="O7055">
        <v>-0.99986390000000003</v>
      </c>
      <c r="P7055">
        <v>-9.8942249999999995E-3</v>
      </c>
      <c r="Q7055">
        <v>1.523906E-2</v>
      </c>
      <c r="R7055">
        <v>-0.99983500000000003</v>
      </c>
      <c r="S7055">
        <v>8.880615E-2</v>
      </c>
      <c r="T7055">
        <v>-0.1018988</v>
      </c>
      <c r="U7055">
        <v>-3.0029300000000001</v>
      </c>
      <c r="V7055">
        <v>2.3545060000000001E-3</v>
      </c>
      <c r="W7055">
        <v>2.9925469999999999E-2</v>
      </c>
      <c r="X7055">
        <v>0.99954940000000003</v>
      </c>
      <c r="Y7055">
        <v>-3.7087479999999999E-2</v>
      </c>
      <c r="Z7055">
        <v>3.3893099999999898E-2</v>
      </c>
      <c r="AA7055">
        <v>0.99873710000000004</v>
      </c>
      <c r="AB7055">
        <v>23</v>
      </c>
      <c r="AC7055">
        <v>0.968700000000012</v>
      </c>
      <c r="AD7055">
        <v>-1.110326532073</v>
      </c>
      <c r="AE7055">
        <v>-32.584989999999998</v>
      </c>
      <c r="AF7055">
        <v>-1.2132279302084099</v>
      </c>
      <c r="AG7055">
        <v>-1.110326532073</v>
      </c>
      <c r="AH7055">
        <v>32.539002209829199</v>
      </c>
      <c r="AI7055">
        <v>91.9529863554869</v>
      </c>
      <c r="AJ7055">
        <v>92.135303787209395</v>
      </c>
      <c r="AK7055">
        <v>32.580537316467598</v>
      </c>
      <c r="AL7055">
        <v>88.285140920743601</v>
      </c>
      <c r="AM7055">
        <v>89.865036178175203</v>
      </c>
      <c r="AN7055">
        <v>1.0000000402467899</v>
      </c>
    </row>
    <row r="7056" spans="1:40" x14ac:dyDescent="0.25">
      <c r="A7056" t="str">
        <f>"20190312154104559"</f>
        <v>20190312154104559</v>
      </c>
      <c r="B7056" t="str">
        <f>"1552376464553560"</f>
        <v>1552376464553560</v>
      </c>
      <c r="C7056" t="s">
        <v>40</v>
      </c>
      <c r="D7056">
        <v>4.2467220000000001</v>
      </c>
      <c r="E7056">
        <v>0.48823749999999999</v>
      </c>
      <c r="F7056" t="s">
        <v>69</v>
      </c>
      <c r="G7056">
        <v>-421.00029999999998</v>
      </c>
      <c r="H7056" s="1">
        <v>-4.3435430000000001E-6</v>
      </c>
      <c r="I7056">
        <v>32.444789999999998</v>
      </c>
      <c r="J7056">
        <v>-421.86110000000002</v>
      </c>
      <c r="K7056">
        <v>1.1103179999999999</v>
      </c>
      <c r="L7056">
        <v>64.482029999999995</v>
      </c>
      <c r="M7056">
        <v>-7.6426940000000002E-3</v>
      </c>
      <c r="N7056">
        <v>0</v>
      </c>
      <c r="O7056">
        <v>-0.9998629</v>
      </c>
      <c r="P7056">
        <v>-1.044134E-2</v>
      </c>
      <c r="Q7056">
        <v>1.4628510000000001E-2</v>
      </c>
      <c r="R7056">
        <v>-0.99983860000000002</v>
      </c>
      <c r="S7056">
        <v>8.0139160000000001E-2</v>
      </c>
      <c r="T7056">
        <v>-0.1035373</v>
      </c>
      <c r="U7056">
        <v>-3.002869</v>
      </c>
      <c r="V7056">
        <v>2.8062640000000002E-3</v>
      </c>
      <c r="W7056">
        <v>2.93111E-2</v>
      </c>
      <c r="X7056">
        <v>0.99956639999999997</v>
      </c>
      <c r="Y7056">
        <v>-3.4302230000000003E-2</v>
      </c>
      <c r="Z7056">
        <v>3.4441220000000002E-2</v>
      </c>
      <c r="AA7056">
        <v>0.99881790000000004</v>
      </c>
      <c r="AB7056">
        <v>23</v>
      </c>
      <c r="AC7056">
        <v>0.86080000000003998</v>
      </c>
      <c r="AD7056">
        <v>-1.1103223435430001</v>
      </c>
      <c r="AE7056">
        <v>-32.037239999999997</v>
      </c>
      <c r="AF7056">
        <v>-1.10432661950734</v>
      </c>
      <c r="AG7056">
        <v>-1.1103223435430001</v>
      </c>
      <c r="AH7056">
        <v>31.991326742706999</v>
      </c>
      <c r="AI7056">
        <v>91.986583298335802</v>
      </c>
      <c r="AJ7056">
        <v>91.977040240376397</v>
      </c>
      <c r="AK7056">
        <v>32.029632213744897</v>
      </c>
      <c r="AL7056">
        <v>88.320357113430703</v>
      </c>
      <c r="AM7056">
        <v>89.839143591698502</v>
      </c>
      <c r="AN7056">
        <v>1.0000000018549</v>
      </c>
    </row>
    <row r="7057" spans="1:40" x14ac:dyDescent="0.25">
      <c r="A7057" t="str">
        <f>"20190312154104576"</f>
        <v>20190312154104576</v>
      </c>
      <c r="B7057" t="str">
        <f>"1552376464573079"</f>
        <v>1552376464573079</v>
      </c>
      <c r="C7057" t="s">
        <v>40</v>
      </c>
      <c r="D7057">
        <v>4.2200089999999904</v>
      </c>
      <c r="E7057">
        <v>0.48895480000000002</v>
      </c>
      <c r="F7057" t="s">
        <v>69</v>
      </c>
      <c r="G7057">
        <v>-421.13069999999999</v>
      </c>
      <c r="H7057" s="1">
        <v>-4.6332930000000002E-6</v>
      </c>
      <c r="I7057">
        <v>31.890989999999999</v>
      </c>
      <c r="J7057">
        <v>-421.86270000000002</v>
      </c>
      <c r="K7057">
        <v>1.110311</v>
      </c>
      <c r="L7057">
        <v>64.296049999999994</v>
      </c>
      <c r="M7057">
        <v>-7.7500769999999898E-3</v>
      </c>
      <c r="N7057">
        <v>0</v>
      </c>
      <c r="O7057">
        <v>-0.99986240000000004</v>
      </c>
      <c r="P7057">
        <v>-1.179033E-2</v>
      </c>
      <c r="Q7057">
        <v>1.318191E-2</v>
      </c>
      <c r="R7057">
        <v>-0.99984379999999995</v>
      </c>
      <c r="S7057">
        <v>6.7291260000000006E-2</v>
      </c>
      <c r="T7057">
        <v>-0.1022965</v>
      </c>
      <c r="U7057">
        <v>-3.0026860000000002</v>
      </c>
      <c r="V7057">
        <v>4.0474320000000001E-3</v>
      </c>
      <c r="W7057">
        <v>2.7860200000000002E-2</v>
      </c>
      <c r="X7057">
        <v>0.99960360000000004</v>
      </c>
      <c r="Y7057">
        <v>-3.0140050000000002E-2</v>
      </c>
      <c r="Z7057">
        <v>3.4035049999999997E-2</v>
      </c>
      <c r="AA7057">
        <v>0.99896600000000002</v>
      </c>
      <c r="AB7057">
        <v>23</v>
      </c>
      <c r="AC7057">
        <v>0.73200000000002696</v>
      </c>
      <c r="AD7057">
        <v>-1.110315633293</v>
      </c>
      <c r="AE7057">
        <v>-32.405059999999899</v>
      </c>
      <c r="AF7057">
        <v>-0.98199446735801199</v>
      </c>
      <c r="AG7057">
        <v>-1.110315633293</v>
      </c>
      <c r="AH7057">
        <v>32.360441217333701</v>
      </c>
      <c r="AI7057">
        <v>91.964195019831607</v>
      </c>
      <c r="AJ7057">
        <v>91.738136923187696</v>
      </c>
      <c r="AK7057">
        <v>32.394370957312397</v>
      </c>
      <c r="AL7057">
        <v>88.4035214933145</v>
      </c>
      <c r="AM7057">
        <v>89.768008534418996</v>
      </c>
      <c r="AN7057">
        <v>0.99999996479139597</v>
      </c>
    </row>
    <row r="7058" spans="1:40" x14ac:dyDescent="0.25">
      <c r="A7058" t="str">
        <f>"20190312154104594"</f>
        <v>20190312154104594</v>
      </c>
      <c r="B7058" t="str">
        <f>"1552376464583815"</f>
        <v>1552376464583815</v>
      </c>
      <c r="C7058" t="s">
        <v>40</v>
      </c>
      <c r="D7058">
        <v>4.201886</v>
      </c>
      <c r="E7058">
        <v>0.48923660000000002</v>
      </c>
      <c r="F7058" t="s">
        <v>69</v>
      </c>
      <c r="G7058">
        <v>-421.2611</v>
      </c>
      <c r="H7058" s="1">
        <v>-4.2729929999999996E-6</v>
      </c>
      <c r="I7058">
        <v>32.612949999999998</v>
      </c>
      <c r="J7058">
        <v>-421.86419999999998</v>
      </c>
      <c r="K7058">
        <v>1.110309</v>
      </c>
      <c r="L7058">
        <v>64.115719999999996</v>
      </c>
      <c r="M7058">
        <v>-7.8546329999999998E-3</v>
      </c>
      <c r="N7058">
        <v>0</v>
      </c>
      <c r="O7058">
        <v>-0.99986169999999996</v>
      </c>
      <c r="P7058">
        <v>-1.232721E-2</v>
      </c>
      <c r="Q7058">
        <v>1.217173E-2</v>
      </c>
      <c r="R7058">
        <v>-0.99985029999999997</v>
      </c>
      <c r="S7058">
        <v>5.7006840000000003E-2</v>
      </c>
      <c r="T7058">
        <v>-0.105222</v>
      </c>
      <c r="U7058">
        <v>-3.0025330000000001</v>
      </c>
      <c r="V7058">
        <v>4.479434E-3</v>
      </c>
      <c r="W7058">
        <v>2.6845870000000001E-2</v>
      </c>
      <c r="X7058">
        <v>0.99962960000000001</v>
      </c>
      <c r="Y7058">
        <v>-2.682466E-2</v>
      </c>
      <c r="Z7058">
        <v>3.5011830000000001E-2</v>
      </c>
      <c r="AA7058">
        <v>0.99902679999999999</v>
      </c>
      <c r="AB7058">
        <v>23</v>
      </c>
      <c r="AC7058">
        <v>0.60309999999998298</v>
      </c>
      <c r="AD7058">
        <v>-1.1103132729930001</v>
      </c>
      <c r="AE7058">
        <v>-31.502770000000002</v>
      </c>
      <c r="AF7058">
        <v>-0.84949581648666705</v>
      </c>
      <c r="AG7058">
        <v>-1.1103132729930001</v>
      </c>
      <c r="AH7058">
        <v>31.457997359892001</v>
      </c>
      <c r="AI7058">
        <v>92.020685335964004</v>
      </c>
      <c r="AJ7058">
        <v>91.546846691306001</v>
      </c>
      <c r="AK7058">
        <v>31.489046295519699</v>
      </c>
      <c r="AL7058">
        <v>88.461660212896007</v>
      </c>
      <c r="AM7058">
        <v>89.743253956316394</v>
      </c>
      <c r="AN7058">
        <v>1.00000005163058</v>
      </c>
    </row>
    <row r="7059" spans="1:40" x14ac:dyDescent="0.25">
      <c r="A7059" t="str">
        <f>"20190312154104610"</f>
        <v>20190312154104610</v>
      </c>
      <c r="B7059" t="str">
        <f>"1552376464603335"</f>
        <v>1552376464603335</v>
      </c>
      <c r="C7059" t="s">
        <v>40</v>
      </c>
      <c r="D7059">
        <v>4.222486</v>
      </c>
      <c r="E7059">
        <v>0.48963240000000002</v>
      </c>
      <c r="F7059" t="s">
        <v>69</v>
      </c>
      <c r="G7059">
        <v>-421.31849999999997</v>
      </c>
      <c r="H7059" s="1">
        <v>-3.943629E-6</v>
      </c>
      <c r="I7059">
        <v>33.265900000000002</v>
      </c>
      <c r="J7059">
        <v>-421.86559999999997</v>
      </c>
      <c r="K7059">
        <v>1.1103000000000001</v>
      </c>
      <c r="L7059">
        <v>63.94943</v>
      </c>
      <c r="M7059">
        <v>-7.9516940000000005E-3</v>
      </c>
      <c r="N7059">
        <v>0</v>
      </c>
      <c r="O7059">
        <v>-0.99986079999999999</v>
      </c>
      <c r="P7059">
        <v>-1.360536E-2</v>
      </c>
      <c r="Q7059">
        <v>1.089797E-2</v>
      </c>
      <c r="R7059">
        <v>-0.99984810000000002</v>
      </c>
      <c r="S7059">
        <v>5.3100590000000003E-2</v>
      </c>
      <c r="T7059">
        <v>-0.1080595</v>
      </c>
      <c r="U7059">
        <v>-3.0024109999999999</v>
      </c>
      <c r="V7059">
        <v>5.6601790000000004E-3</v>
      </c>
      <c r="W7059">
        <v>2.5567909999999999E-2</v>
      </c>
      <c r="X7059">
        <v>0.99965700000000002</v>
      </c>
      <c r="Y7059">
        <v>-2.5622530000000001E-2</v>
      </c>
      <c r="Z7059">
        <v>3.5957210000000003E-2</v>
      </c>
      <c r="AA7059">
        <v>0.99902480000000005</v>
      </c>
      <c r="AB7059">
        <v>23</v>
      </c>
      <c r="AC7059">
        <v>0.54710000000000003</v>
      </c>
      <c r="AD7059">
        <v>-1.1103039436290001</v>
      </c>
      <c r="AE7059">
        <v>-30.683530000000001</v>
      </c>
      <c r="AF7059">
        <v>-0.79006081346227097</v>
      </c>
      <c r="AG7059">
        <v>-1.1103039436290001</v>
      </c>
      <c r="AH7059">
        <v>30.638104029262401</v>
      </c>
      <c r="AI7059">
        <v>92.074762538643697</v>
      </c>
      <c r="AJ7059">
        <v>91.477151473635899</v>
      </c>
      <c r="AK7059">
        <v>30.668393982145801</v>
      </c>
      <c r="AL7059">
        <v>88.534906917335803</v>
      </c>
      <c r="AM7059">
        <v>89.675587824259495</v>
      </c>
      <c r="AN7059">
        <v>0.99999993664853803</v>
      </c>
    </row>
    <row r="7060" spans="1:40" x14ac:dyDescent="0.25">
      <c r="A7060" t="str">
        <f>"20190312154104631"</f>
        <v>20190312154104631</v>
      </c>
      <c r="B7060" t="str">
        <f>"1552376464623835"</f>
        <v>1552376464623835</v>
      </c>
      <c r="C7060" t="s">
        <v>40</v>
      </c>
      <c r="D7060">
        <v>4.2148110000000001</v>
      </c>
      <c r="E7060">
        <v>0.48998839999999999</v>
      </c>
      <c r="F7060" t="s">
        <v>69</v>
      </c>
      <c r="G7060">
        <v>-421.4051</v>
      </c>
      <c r="H7060" s="1">
        <v>-3.618526E-6</v>
      </c>
      <c r="I7060">
        <v>33.923659999999998</v>
      </c>
      <c r="J7060">
        <v>-421.86759999999998</v>
      </c>
      <c r="K7060">
        <v>1.110295</v>
      </c>
      <c r="L7060">
        <v>63.719670000000001</v>
      </c>
      <c r="M7060">
        <v>-8.0881330000000008E-3</v>
      </c>
      <c r="N7060">
        <v>0</v>
      </c>
      <c r="O7060">
        <v>-0.99985979999999997</v>
      </c>
      <c r="P7060">
        <v>-1.458918E-2</v>
      </c>
      <c r="Q7060">
        <v>1.0219300000000001E-2</v>
      </c>
      <c r="R7060">
        <v>-0.99984139999999999</v>
      </c>
      <c r="S7060">
        <v>4.605103E-2</v>
      </c>
      <c r="T7060">
        <v>-0.1110197</v>
      </c>
      <c r="U7060">
        <v>-3.0022890000000002</v>
      </c>
      <c r="V7060">
        <v>6.5074240000000004E-3</v>
      </c>
      <c r="W7060">
        <v>2.4883860000000001E-2</v>
      </c>
      <c r="X7060">
        <v>0.99966920000000004</v>
      </c>
      <c r="Y7060">
        <v>-2.341391E-2</v>
      </c>
      <c r="Z7060">
        <v>3.6944060000000001E-2</v>
      </c>
      <c r="AA7060">
        <v>0.99904300000000001</v>
      </c>
      <c r="AB7060">
        <v>23</v>
      </c>
      <c r="AC7060">
        <v>0.46249999999997699</v>
      </c>
      <c r="AD7060">
        <v>-1.110298618526</v>
      </c>
      <c r="AE7060">
        <v>-29.7960099999999</v>
      </c>
      <c r="AF7060">
        <v>-0.702529600218053</v>
      </c>
      <c r="AG7060">
        <v>-1.110298618526</v>
      </c>
      <c r="AH7060">
        <v>29.7499944343535</v>
      </c>
      <c r="AI7060">
        <v>92.136746906309099</v>
      </c>
      <c r="AJ7060">
        <v>91.352756606445993</v>
      </c>
      <c r="AK7060">
        <v>29.778993933736999</v>
      </c>
      <c r="AL7060">
        <v>88.574112709622497</v>
      </c>
      <c r="AM7060">
        <v>89.627033958424406</v>
      </c>
      <c r="AN7060">
        <v>1.00000003124212</v>
      </c>
    </row>
    <row r="7061" spans="1:40" x14ac:dyDescent="0.25">
      <c r="A7061" t="str">
        <f>"20190312154104648"</f>
        <v>20190312154104648</v>
      </c>
      <c r="B7061" t="str">
        <f>"1552376464643351"</f>
        <v>1552376464643351</v>
      </c>
      <c r="C7061" t="s">
        <v>40</v>
      </c>
      <c r="D7061">
        <v>4.2748499999999998</v>
      </c>
      <c r="E7061">
        <v>0.49041220000000002</v>
      </c>
      <c r="F7061" t="s">
        <v>69</v>
      </c>
      <c r="G7061">
        <v>-421.47050000000002</v>
      </c>
      <c r="H7061" s="1">
        <v>-3.5646079999999999E-6</v>
      </c>
      <c r="I7061">
        <v>34.105229999999999</v>
      </c>
      <c r="J7061">
        <v>-421.86900000000003</v>
      </c>
      <c r="K7061">
        <v>1.1102909999999999</v>
      </c>
      <c r="L7061">
        <v>63.558259999999997</v>
      </c>
      <c r="M7061">
        <v>-8.1859600000000008E-3</v>
      </c>
      <c r="N7061">
        <v>0</v>
      </c>
      <c r="O7061">
        <v>-0.99985889999999999</v>
      </c>
      <c r="P7061">
        <v>-1.5016069999999999E-2</v>
      </c>
      <c r="Q7061">
        <v>1.0186829999999999E-2</v>
      </c>
      <c r="R7061">
        <v>-0.99983509999999998</v>
      </c>
      <c r="S7061">
        <v>4.0252690000000001E-2</v>
      </c>
      <c r="T7061">
        <v>-0.1125578</v>
      </c>
      <c r="U7061">
        <v>-3.0021969999999998</v>
      </c>
      <c r="V7061">
        <v>6.836544E-3</v>
      </c>
      <c r="W7061">
        <v>2.4846679999999999E-2</v>
      </c>
      <c r="X7061">
        <v>0.99966790000000005</v>
      </c>
      <c r="Y7061">
        <v>-2.1582779999999999E-2</v>
      </c>
      <c r="Z7061">
        <v>3.7457549999999999E-2</v>
      </c>
      <c r="AA7061">
        <v>0.99906510000000004</v>
      </c>
      <c r="AB7061">
        <v>23</v>
      </c>
      <c r="AC7061">
        <v>0.39850000000001201</v>
      </c>
      <c r="AD7061">
        <v>-1.110294564608</v>
      </c>
      <c r="AE7061">
        <v>-29.453029999999998</v>
      </c>
      <c r="AF7061">
        <v>-0.63870643121517701</v>
      </c>
      <c r="AG7061">
        <v>-1.110294564608</v>
      </c>
      <c r="AH7061">
        <v>29.406998641276001</v>
      </c>
      <c r="AI7061">
        <v>92.161730702305803</v>
      </c>
      <c r="AJ7061">
        <v>91.244242245893801</v>
      </c>
      <c r="AK7061">
        <v>29.434881841337202</v>
      </c>
      <c r="AL7061">
        <v>88.576243585368601</v>
      </c>
      <c r="AM7061">
        <v>89.608170862319994</v>
      </c>
      <c r="AN7061">
        <v>1.00000000306564</v>
      </c>
    </row>
    <row r="7062" spans="1:40" x14ac:dyDescent="0.25">
      <c r="A7062" t="str">
        <f>"20190312154104660"</f>
        <v>20190312154104660</v>
      </c>
      <c r="B7062" t="str">
        <f>"1552376464653111"</f>
        <v>1552376464653111</v>
      </c>
      <c r="C7062" t="s">
        <v>40</v>
      </c>
      <c r="D7062">
        <v>4.1942629999999896</v>
      </c>
      <c r="E7062">
        <v>0.49057899999999999</v>
      </c>
      <c r="F7062" t="s">
        <v>69</v>
      </c>
      <c r="G7062">
        <v>-421.51139999999998</v>
      </c>
      <c r="H7062" s="1">
        <v>-3.8378680000000001E-6</v>
      </c>
      <c r="I7062">
        <v>33.495429999999999</v>
      </c>
      <c r="J7062">
        <v>-421.87020000000001</v>
      </c>
      <c r="K7062">
        <v>1.1102909999999999</v>
      </c>
      <c r="L7062">
        <v>63.423279999999998</v>
      </c>
      <c r="M7062">
        <v>-8.2685229999999998E-3</v>
      </c>
      <c r="N7062">
        <v>0</v>
      </c>
      <c r="O7062">
        <v>-0.99985860000000004</v>
      </c>
      <c r="P7062">
        <v>-1.5392370000000001E-2</v>
      </c>
      <c r="Q7062">
        <v>1.0471340000000001E-2</v>
      </c>
      <c r="R7062">
        <v>-0.99982689999999996</v>
      </c>
      <c r="S7062">
        <v>3.5705569999999999E-2</v>
      </c>
      <c r="T7062">
        <v>-0.1108775</v>
      </c>
      <c r="U7062">
        <v>-3.002167</v>
      </c>
      <c r="V7062">
        <v>7.1304410000000004E-3</v>
      </c>
      <c r="W7062">
        <v>2.512793E-2</v>
      </c>
      <c r="X7062">
        <v>0.99965879999999996</v>
      </c>
      <c r="Y7062">
        <v>-2.0152739999999999E-2</v>
      </c>
      <c r="Z7062">
        <v>3.6900380000000003E-2</v>
      </c>
      <c r="AA7062">
        <v>0.99911570000000005</v>
      </c>
      <c r="AB7062">
        <v>23</v>
      </c>
      <c r="AC7062">
        <v>0.35880000000002998</v>
      </c>
      <c r="AD7062">
        <v>-1.110294837868</v>
      </c>
      <c r="AE7062">
        <v>-29.927849999999999</v>
      </c>
      <c r="AF7062">
        <v>-0.60544020965256395</v>
      </c>
      <c r="AG7062">
        <v>-1.110294837868</v>
      </c>
      <c r="AH7062">
        <v>29.882736755096499</v>
      </c>
      <c r="AI7062">
        <v>92.127413052387894</v>
      </c>
      <c r="AJ7062">
        <v>91.160684300883005</v>
      </c>
      <c r="AK7062">
        <v>29.909484590157302</v>
      </c>
      <c r="AL7062">
        <v>88.560124090133499</v>
      </c>
      <c r="AM7062">
        <v>89.591323312559197</v>
      </c>
      <c r="AN7062">
        <v>0.99999998623618902</v>
      </c>
    </row>
    <row r="7063" spans="1:40" x14ac:dyDescent="0.25">
      <c r="A7063" t="str">
        <f>"20190312154104673"</f>
        <v>20190312154104673</v>
      </c>
      <c r="B7063" t="str">
        <f>"1552376464663847"</f>
        <v>1552376464663847</v>
      </c>
      <c r="C7063" t="s">
        <v>40</v>
      </c>
      <c r="D7063">
        <v>4.25962</v>
      </c>
      <c r="E7063">
        <v>0.490705</v>
      </c>
      <c r="F7063" t="s">
        <v>69</v>
      </c>
      <c r="G7063">
        <v>-421.5351</v>
      </c>
      <c r="H7063" s="1">
        <v>-4.1012060000000004E-6</v>
      </c>
      <c r="I7063">
        <v>32.981299999999997</v>
      </c>
      <c r="J7063">
        <v>-421.87139999999999</v>
      </c>
      <c r="K7063">
        <v>1.1102920000000001</v>
      </c>
      <c r="L7063">
        <v>63.289639999999999</v>
      </c>
      <c r="M7063">
        <v>-8.3510759999999903E-3</v>
      </c>
      <c r="N7063">
        <v>0</v>
      </c>
      <c r="O7063">
        <v>-0.99985769999999996</v>
      </c>
      <c r="P7063">
        <v>-1.574996E-2</v>
      </c>
      <c r="Q7063">
        <v>1.1083330000000001E-2</v>
      </c>
      <c r="R7063">
        <v>-0.9998146</v>
      </c>
      <c r="S7063">
        <v>3.3050540000000003E-2</v>
      </c>
      <c r="T7063">
        <v>-0.1094966</v>
      </c>
      <c r="U7063">
        <v>-3.002167</v>
      </c>
      <c r="V7063">
        <v>7.4057569999999998E-3</v>
      </c>
      <c r="W7063">
        <v>2.573665E-2</v>
      </c>
      <c r="X7063">
        <v>0.99964129999999995</v>
      </c>
      <c r="Y7063">
        <v>-1.9352000000000001E-2</v>
      </c>
      <c r="Z7063">
        <v>3.6441870000000001E-2</v>
      </c>
      <c r="AA7063">
        <v>0.99914840000000005</v>
      </c>
      <c r="AB7063">
        <v>23</v>
      </c>
      <c r="AC7063">
        <v>0.33629999999999399</v>
      </c>
      <c r="AD7063">
        <v>-1.110296101206</v>
      </c>
      <c r="AE7063">
        <v>-30.308340000000001</v>
      </c>
      <c r="AF7063">
        <v>-0.58863286472452803</v>
      </c>
      <c r="AG7063">
        <v>-1.110296101206</v>
      </c>
      <c r="AH7063">
        <v>30.263864943982298</v>
      </c>
      <c r="AI7063">
        <v>92.100681766984195</v>
      </c>
      <c r="AJ7063">
        <v>91.114263725061306</v>
      </c>
      <c r="AK7063">
        <v>30.289944988880201</v>
      </c>
      <c r="AL7063">
        <v>88.525235700188404</v>
      </c>
      <c r="AM7063">
        <v>89.575536887479501</v>
      </c>
      <c r="AN7063">
        <v>0.99999997452782696</v>
      </c>
    </row>
    <row r="7064" spans="1:40" x14ac:dyDescent="0.25">
      <c r="A7064" t="str">
        <f>"20190312154104688"</f>
        <v>20190312154104688</v>
      </c>
      <c r="B7064" t="str">
        <f>"1552376464683372"</f>
        <v>1552376464683372</v>
      </c>
      <c r="C7064" t="s">
        <v>40</v>
      </c>
      <c r="D7064">
        <v>4.2532240000000003</v>
      </c>
      <c r="E7064">
        <v>0.49099229999999999</v>
      </c>
      <c r="F7064" t="s">
        <v>69</v>
      </c>
      <c r="G7064">
        <v>-421.5478</v>
      </c>
      <c r="H7064" s="1">
        <v>-4.4701809999999997E-6</v>
      </c>
      <c r="I7064">
        <v>32.258609999999997</v>
      </c>
      <c r="J7064">
        <v>-421.87270000000001</v>
      </c>
      <c r="K7064">
        <v>1.1102890000000001</v>
      </c>
      <c r="L7064">
        <v>63.147129999999997</v>
      </c>
      <c r="M7064">
        <v>-8.439719E-3</v>
      </c>
      <c r="N7064">
        <v>0</v>
      </c>
      <c r="O7064">
        <v>-0.9998572</v>
      </c>
      <c r="P7064">
        <v>-1.6452310000000001E-2</v>
      </c>
      <c r="Q7064">
        <v>1.202049E-2</v>
      </c>
      <c r="R7064">
        <v>-0.99979240000000003</v>
      </c>
      <c r="S7064">
        <v>3.1311039999999998E-2</v>
      </c>
      <c r="T7064">
        <v>-0.1074203</v>
      </c>
      <c r="U7064">
        <v>-3.0022280000000001</v>
      </c>
      <c r="V7064">
        <v>8.0198919999999903E-3</v>
      </c>
      <c r="W7064">
        <v>2.6669979999999999E-2</v>
      </c>
      <c r="X7064">
        <v>0.9996121</v>
      </c>
      <c r="Y7064">
        <v>-1.8861820000000001E-2</v>
      </c>
      <c r="Z7064">
        <v>3.575126E-2</v>
      </c>
      <c r="AA7064">
        <v>0.99918269999999998</v>
      </c>
      <c r="AB7064">
        <v>23</v>
      </c>
      <c r="AC7064">
        <v>0.32490000000001301</v>
      </c>
      <c r="AD7064">
        <v>-1.1102934701810001</v>
      </c>
      <c r="AE7064">
        <v>-30.88852</v>
      </c>
      <c r="AF7064">
        <v>-0.58485122240320497</v>
      </c>
      <c r="AG7064">
        <v>-1.1102934701810001</v>
      </c>
      <c r="AH7064">
        <v>30.8448284688934</v>
      </c>
      <c r="AI7064">
        <v>92.061164250810904</v>
      </c>
      <c r="AJ7064">
        <v>91.086259623045194</v>
      </c>
      <c r="AK7064">
        <v>30.870345735312501</v>
      </c>
      <c r="AL7064">
        <v>88.471741464939697</v>
      </c>
      <c r="AM7064">
        <v>89.540325587414998</v>
      </c>
      <c r="AN7064">
        <v>0.99999997848364996</v>
      </c>
    </row>
    <row r="7065" spans="1:40" x14ac:dyDescent="0.25">
      <c r="A7065" t="str">
        <f>"20190312154104703"</f>
        <v>20190312154104703</v>
      </c>
      <c r="B7065" t="str">
        <f>"1552376464693128"</f>
        <v>1552376464693128</v>
      </c>
      <c r="C7065" t="s">
        <v>40</v>
      </c>
      <c r="D7065">
        <v>4.3453179999999998</v>
      </c>
      <c r="E7065">
        <v>0.49099229999999999</v>
      </c>
      <c r="F7065" t="s">
        <v>69</v>
      </c>
      <c r="G7065">
        <v>-421.58589999999998</v>
      </c>
      <c r="H7065" s="1">
        <v>-5.1810709999999899E-6</v>
      </c>
      <c r="I7065">
        <v>30.86778</v>
      </c>
      <c r="J7065">
        <v>-421.87419999999997</v>
      </c>
      <c r="K7065">
        <v>1.1102909999999999</v>
      </c>
      <c r="L7065">
        <v>62.983150000000002</v>
      </c>
      <c r="M7065">
        <v>-8.5422209999999991E-3</v>
      </c>
      <c r="N7065">
        <v>0</v>
      </c>
      <c r="O7065">
        <v>-0.99985650000000004</v>
      </c>
      <c r="P7065">
        <v>-1.670423E-2</v>
      </c>
      <c r="Q7065">
        <v>1.193349E-2</v>
      </c>
      <c r="R7065">
        <v>-0.9997895</v>
      </c>
      <c r="S7065">
        <v>2.6672359999999999E-2</v>
      </c>
      <c r="T7065">
        <v>-0.103268</v>
      </c>
      <c r="U7065">
        <v>-3.0022890000000002</v>
      </c>
      <c r="V7065">
        <v>8.169328E-3</v>
      </c>
      <c r="W7065">
        <v>2.6578930000000001E-2</v>
      </c>
      <c r="X7065">
        <v>0.99961330000000004</v>
      </c>
      <c r="Y7065">
        <v>-1.7420890000000001E-2</v>
      </c>
      <c r="Z7065">
        <v>3.4370940000000003E-2</v>
      </c>
      <c r="AA7065">
        <v>0.99925730000000001</v>
      </c>
      <c r="AB7065">
        <v>23</v>
      </c>
      <c r="AC7065">
        <v>0.28829999999999201</v>
      </c>
      <c r="AD7065">
        <v>-1.1102961810709999</v>
      </c>
      <c r="AE7065">
        <v>-32.115369999999999</v>
      </c>
      <c r="AF7065">
        <v>-0.56198378082987399</v>
      </c>
      <c r="AG7065">
        <v>-1.1102961810709999</v>
      </c>
      <c r="AH7065">
        <v>32.073402985009899</v>
      </c>
      <c r="AI7065">
        <v>91.982332235547304</v>
      </c>
      <c r="AJ7065">
        <v>91.003822519604</v>
      </c>
      <c r="AK7065">
        <v>32.097535145528902</v>
      </c>
      <c r="AL7065">
        <v>88.476960072906095</v>
      </c>
      <c r="AM7065">
        <v>89.531761336519594</v>
      </c>
      <c r="AN7065">
        <v>0.99999996348840203</v>
      </c>
    </row>
    <row r="7066" spans="1:40" x14ac:dyDescent="0.25">
      <c r="A7066" t="str">
        <f>"20190312154104716"</f>
        <v>20190312154104716</v>
      </c>
      <c r="B7066" t="str">
        <f>"1552376464713624"</f>
        <v>1552376464713624</v>
      </c>
      <c r="C7066" t="s">
        <v>40</v>
      </c>
      <c r="D7066">
        <v>4.1868679999999996</v>
      </c>
      <c r="E7066">
        <v>0.51768459999999905</v>
      </c>
      <c r="F7066" t="s">
        <v>69</v>
      </c>
      <c r="G7066">
        <v>-421.59629999999999</v>
      </c>
      <c r="H7066" s="1">
        <v>-5.2252840000000002E-6</v>
      </c>
      <c r="I7066">
        <v>30.78219</v>
      </c>
      <c r="J7066">
        <v>-421.87540000000001</v>
      </c>
      <c r="K7066">
        <v>1.1102989999999999</v>
      </c>
      <c r="L7066">
        <v>62.851410000000001</v>
      </c>
      <c r="M7066">
        <v>-8.6249550000000001E-3</v>
      </c>
      <c r="N7066">
        <v>0</v>
      </c>
      <c r="O7066">
        <v>-0.99985579999999996</v>
      </c>
      <c r="P7066">
        <v>-1.6960260000000001E-2</v>
      </c>
      <c r="Q7066">
        <v>1.2457640000000001E-2</v>
      </c>
      <c r="R7066">
        <v>-0.99977890000000003</v>
      </c>
      <c r="S7066">
        <v>2.5909419999999999E-2</v>
      </c>
      <c r="T7066">
        <v>-0.1035196</v>
      </c>
      <c r="U7066">
        <v>-3.0022890000000002</v>
      </c>
      <c r="V7066">
        <v>8.3428449999999998E-3</v>
      </c>
      <c r="W7066">
        <v>2.7099930000000001E-2</v>
      </c>
      <c r="X7066">
        <v>0.99959790000000004</v>
      </c>
      <c r="Y7066">
        <v>-1.724968E-2</v>
      </c>
      <c r="Z7066">
        <v>3.4454609999999997E-2</v>
      </c>
      <c r="AA7066">
        <v>0.99925739999999996</v>
      </c>
      <c r="AB7066">
        <v>23</v>
      </c>
      <c r="AC7066">
        <v>0.27910000000002799</v>
      </c>
      <c r="AD7066">
        <v>-1.1103042252840001</v>
      </c>
      <c r="AE7066">
        <v>-32.069219999999902</v>
      </c>
      <c r="AF7066">
        <v>-0.55504951248958201</v>
      </c>
      <c r="AG7066">
        <v>-1.1103042252840001</v>
      </c>
      <c r="AH7066">
        <v>32.027231585829803</v>
      </c>
      <c r="AI7066">
        <v>91.985208719392205</v>
      </c>
      <c r="AJ7066">
        <v>90.992867931375102</v>
      </c>
      <c r="AK7066">
        <v>32.051277954028201</v>
      </c>
      <c r="AL7066">
        <v>88.447098246996504</v>
      </c>
      <c r="AM7066">
        <v>89.521809010547202</v>
      </c>
      <c r="AN7066">
        <v>0.999999985476554</v>
      </c>
    </row>
    <row r="7067" spans="1:40" x14ac:dyDescent="0.25">
      <c r="A7067" t="str">
        <f>"20190312154104732"</f>
        <v>20190312154104732</v>
      </c>
      <c r="B7067" t="str">
        <f>"1552376464723383"</f>
        <v>1552376464723383</v>
      </c>
      <c r="C7067" t="s">
        <v>40</v>
      </c>
      <c r="D7067">
        <v>4.1632600000000002</v>
      </c>
      <c r="E7067">
        <v>0.52513619999999905</v>
      </c>
      <c r="F7067" t="s">
        <v>69</v>
      </c>
      <c r="G7067">
        <v>-424.3229</v>
      </c>
      <c r="H7067" s="1">
        <v>-8.3080370000000003E-6</v>
      </c>
      <c r="I7067">
        <v>23.900559999999999</v>
      </c>
      <c r="J7067">
        <v>-421.87689999999998</v>
      </c>
      <c r="K7067">
        <v>1.110303</v>
      </c>
      <c r="L7067">
        <v>62.686459999999997</v>
      </c>
      <c r="M7067">
        <v>-8.7290939999999997E-3</v>
      </c>
      <c r="N7067">
        <v>0</v>
      </c>
      <c r="O7067">
        <v>-0.99985460000000004</v>
      </c>
      <c r="P7067">
        <v>-1.7623679999999999E-2</v>
      </c>
      <c r="Q7067">
        <v>1.354766E-2</v>
      </c>
      <c r="R7067">
        <v>-0.99975290000000006</v>
      </c>
      <c r="S7067">
        <v>-0.18841550000000001</v>
      </c>
      <c r="T7067">
        <v>-8.5474250000000002E-2</v>
      </c>
      <c r="U7067">
        <v>-2.998535</v>
      </c>
      <c r="V7067">
        <v>8.9026069999999999E-3</v>
      </c>
      <c r="W7067">
        <v>2.8185269999999998E-2</v>
      </c>
      <c r="X7067">
        <v>0.99956310000000004</v>
      </c>
      <c r="Y7067">
        <v>5.3971570000000003E-2</v>
      </c>
      <c r="Z7067">
        <v>2.8443340000000001E-2</v>
      </c>
      <c r="AA7067">
        <v>0.99813730000000001</v>
      </c>
      <c r="AB7067">
        <v>23</v>
      </c>
      <c r="AC7067">
        <v>-2.4460000000000202</v>
      </c>
      <c r="AD7067">
        <v>-1.110311308037</v>
      </c>
      <c r="AE7067">
        <v>-38.785899999999998</v>
      </c>
      <c r="AF7067">
        <v>2.10558602739829</v>
      </c>
      <c r="AG7067">
        <v>-1.110311308037</v>
      </c>
      <c r="AH7067">
        <v>38.774126622902401</v>
      </c>
      <c r="AI7067">
        <v>91.637825585499598</v>
      </c>
      <c r="AJ7067">
        <v>86.891669113840393</v>
      </c>
      <c r="AK7067">
        <v>38.847125750670401</v>
      </c>
      <c r="AL7067">
        <v>88.384889139015897</v>
      </c>
      <c r="AM7067">
        <v>89.489708732873893</v>
      </c>
      <c r="AN7067">
        <v>1.0000000283689801</v>
      </c>
    </row>
    <row r="7068" spans="1:40" x14ac:dyDescent="0.25">
      <c r="A7068" t="str">
        <f>"20190312154104747"</f>
        <v>20190312154104747</v>
      </c>
      <c r="B7068" t="str">
        <f>"1552376464743879"</f>
        <v>1552376464743879</v>
      </c>
      <c r="C7068" t="s">
        <v>40</v>
      </c>
      <c r="D7068">
        <v>4.1461739999999896</v>
      </c>
      <c r="E7068">
        <v>0.53273890000000002</v>
      </c>
      <c r="F7068" t="s">
        <v>69</v>
      </c>
      <c r="G7068">
        <v>-425.02170000000001</v>
      </c>
      <c r="H7068" s="1">
        <v>-7.9381919999999994E-6</v>
      </c>
      <c r="I7068">
        <v>24.902259999999998</v>
      </c>
      <c r="J7068">
        <v>-421.87830000000002</v>
      </c>
      <c r="K7068">
        <v>1.1103099999999999</v>
      </c>
      <c r="L7068">
        <v>62.537660000000002</v>
      </c>
      <c r="M7068">
        <v>-8.8232810000000005E-3</v>
      </c>
      <c r="N7068">
        <v>0</v>
      </c>
      <c r="O7068">
        <v>-0.99985380000000001</v>
      </c>
      <c r="P7068">
        <v>-1.7832379999999998E-2</v>
      </c>
      <c r="Q7068">
        <v>1.419014E-2</v>
      </c>
      <c r="R7068">
        <v>-0.99974050000000003</v>
      </c>
      <c r="S7068">
        <v>-0.24948119999999999</v>
      </c>
      <c r="T7068">
        <v>-8.8084099999999999E-2</v>
      </c>
      <c r="U7068">
        <v>-2.997528</v>
      </c>
      <c r="V7068">
        <v>9.0173630000000005E-3</v>
      </c>
      <c r="W7068">
        <v>2.8823499999999998E-2</v>
      </c>
      <c r="X7068">
        <v>0.99954379999999998</v>
      </c>
      <c r="Y7068">
        <v>7.4109590000000003E-2</v>
      </c>
      <c r="Z7068">
        <v>2.9280230000000001E-2</v>
      </c>
      <c r="AA7068">
        <v>0.99682020000000005</v>
      </c>
      <c r="AB7068">
        <v>23</v>
      </c>
      <c r="AC7068">
        <v>-3.1433999999999802</v>
      </c>
      <c r="AD7068">
        <v>-1.1103179381919901</v>
      </c>
      <c r="AE7068">
        <v>-37.635399999999898</v>
      </c>
      <c r="AF7068">
        <v>2.8087465792825501</v>
      </c>
      <c r="AG7068">
        <v>-1.1103179381919901</v>
      </c>
      <c r="AH7068">
        <v>37.629148548972402</v>
      </c>
      <c r="AI7068">
        <v>91.685442002918705</v>
      </c>
      <c r="AJ7068">
        <v>85.7311964100804</v>
      </c>
      <c r="AK7068">
        <v>37.750161374372098</v>
      </c>
      <c r="AL7068">
        <v>88.348306272312797</v>
      </c>
      <c r="AM7068">
        <v>89.4831213734453</v>
      </c>
      <c r="AN7068">
        <v>0.99999995755308002</v>
      </c>
    </row>
    <row r="7069" spans="1:40" x14ac:dyDescent="0.25">
      <c r="A7069" t="str">
        <f>"20190312154104767"</f>
        <v>20190312154104767</v>
      </c>
      <c r="B7069" t="str">
        <f>"1552376464763399"</f>
        <v>1552376464763399</v>
      </c>
      <c r="C7069" t="s">
        <v>40</v>
      </c>
      <c r="D7069">
        <v>4.1794359999999999</v>
      </c>
      <c r="E7069">
        <v>0.53644139999999996</v>
      </c>
      <c r="F7069" t="s">
        <v>69</v>
      </c>
      <c r="G7069">
        <v>-425.84879999999998</v>
      </c>
      <c r="H7069" s="1">
        <v>-8.2897389999999996E-6</v>
      </c>
      <c r="I7069">
        <v>24.249089999999999</v>
      </c>
      <c r="J7069">
        <v>-421.8802</v>
      </c>
      <c r="K7069">
        <v>1.110314</v>
      </c>
      <c r="L7069">
        <v>62.34064</v>
      </c>
      <c r="M7069">
        <v>-8.9481869999999998E-3</v>
      </c>
      <c r="N7069">
        <v>0</v>
      </c>
      <c r="O7069">
        <v>-0.99985290000000004</v>
      </c>
      <c r="P7069">
        <v>-1.799077E-2</v>
      </c>
      <c r="Q7069">
        <v>1.486321E-2</v>
      </c>
      <c r="R7069">
        <v>-0.99972780000000006</v>
      </c>
      <c r="S7069">
        <v>-0.31073000000000001</v>
      </c>
      <c r="T7069">
        <v>-8.6893440000000002E-2</v>
      </c>
      <c r="U7069">
        <v>-2.9964599999999999</v>
      </c>
      <c r="V7069">
        <v>9.0511080000000004E-3</v>
      </c>
      <c r="W7069">
        <v>2.9491739999999999E-2</v>
      </c>
      <c r="X7069">
        <v>0.99952410000000003</v>
      </c>
      <c r="Y7069">
        <v>9.4197470000000005E-2</v>
      </c>
      <c r="Z7069">
        <v>2.884306E-2</v>
      </c>
      <c r="AA7069">
        <v>0.99513560000000001</v>
      </c>
      <c r="AB7069">
        <v>23</v>
      </c>
      <c r="AC7069">
        <v>-3.9685999999999799</v>
      </c>
      <c r="AD7069">
        <v>-1.1103222897389999</v>
      </c>
      <c r="AE7069">
        <v>-38.091549999999998</v>
      </c>
      <c r="AF7069">
        <v>3.6245077723211399</v>
      </c>
      <c r="AG7069">
        <v>-1.1103222897389999</v>
      </c>
      <c r="AH7069">
        <v>38.093521558972597</v>
      </c>
      <c r="AI7069">
        <v>91.662040969638895</v>
      </c>
      <c r="AJ7069">
        <v>84.564805476563905</v>
      </c>
      <c r="AK7069">
        <v>38.2816699863344</v>
      </c>
      <c r="AL7069">
        <v>88.310002818799205</v>
      </c>
      <c r="AM7069">
        <v>89.481176978011803</v>
      </c>
      <c r="AN7069">
        <v>1.0000000558825299</v>
      </c>
    </row>
    <row r="7070" spans="1:40" x14ac:dyDescent="0.25">
      <c r="A7070" t="str">
        <f>"20190312154104788"</f>
        <v>20190312154104788</v>
      </c>
      <c r="B7070" t="str">
        <f>"1552376464783895"</f>
        <v>1552376464783895</v>
      </c>
      <c r="C7070" t="s">
        <v>40</v>
      </c>
      <c r="D7070">
        <v>4.1225370000000003</v>
      </c>
      <c r="E7070">
        <v>0.53855969999999997</v>
      </c>
      <c r="F7070" t="s">
        <v>69</v>
      </c>
      <c r="G7070">
        <v>-426.35270000000003</v>
      </c>
      <c r="H7070" s="1">
        <v>-8.8779619999999998E-6</v>
      </c>
      <c r="I7070">
        <v>23.004629999999999</v>
      </c>
      <c r="J7070">
        <v>-421.88240000000002</v>
      </c>
      <c r="K7070">
        <v>1.11032</v>
      </c>
      <c r="L7070">
        <v>62.113709999999998</v>
      </c>
      <c r="M7070">
        <v>-9.0922329999999999E-3</v>
      </c>
      <c r="N7070">
        <v>0</v>
      </c>
      <c r="O7070">
        <v>-0.99985190000000002</v>
      </c>
      <c r="P7070">
        <v>-1.8209320000000001E-2</v>
      </c>
      <c r="Q7070">
        <v>1.472066E-2</v>
      </c>
      <c r="R7070">
        <v>-0.99972640000000002</v>
      </c>
      <c r="S7070">
        <v>-0.34063719999999997</v>
      </c>
      <c r="T7070">
        <v>-8.4565280000000007E-2</v>
      </c>
      <c r="U7070">
        <v>-2.9959410000000002</v>
      </c>
      <c r="V7070">
        <v>9.1255510000000008E-3</v>
      </c>
      <c r="W7070">
        <v>2.934399E-2</v>
      </c>
      <c r="X7070">
        <v>0.99952770000000002</v>
      </c>
      <c r="Y7070">
        <v>0.1038876</v>
      </c>
      <c r="Z7070">
        <v>2.8047019999999999E-2</v>
      </c>
      <c r="AA7070">
        <v>0.99419349999999995</v>
      </c>
      <c r="AB7070">
        <v>23</v>
      </c>
      <c r="AC7070">
        <v>-4.4702999999999999</v>
      </c>
      <c r="AD7070">
        <v>-1.110328877962</v>
      </c>
      <c r="AE7070">
        <v>-39.109079999999999</v>
      </c>
      <c r="AF7070">
        <v>4.1112173410758501</v>
      </c>
      <c r="AG7070">
        <v>-1.110328877962</v>
      </c>
      <c r="AH7070">
        <v>39.116989807301401</v>
      </c>
      <c r="AI7070">
        <v>91.616992603381306</v>
      </c>
      <c r="AJ7070">
        <v>84.000208556356</v>
      </c>
      <c r="AK7070">
        <v>39.348110880032301</v>
      </c>
      <c r="AL7070">
        <v>88.318471814693197</v>
      </c>
      <c r="AM7070">
        <v>89.4769119141761</v>
      </c>
      <c r="AN7070">
        <v>0.99999998424873104</v>
      </c>
    </row>
    <row r="7071" spans="1:40" x14ac:dyDescent="0.25">
      <c r="A7071" t="str">
        <f>"20190312154104806"</f>
        <v>20190312154104806</v>
      </c>
      <c r="B7071" t="str">
        <f>"1552376464803417"</f>
        <v>1552376464803417</v>
      </c>
      <c r="C7071" t="s">
        <v>40</v>
      </c>
      <c r="D7071">
        <v>4.1837049999999998</v>
      </c>
      <c r="E7071">
        <v>0.53990209999999905</v>
      </c>
      <c r="F7071" t="s">
        <v>69</v>
      </c>
      <c r="G7071">
        <v>-426.45069999999998</v>
      </c>
      <c r="H7071" s="1">
        <v>-8.5030359999999999E-6</v>
      </c>
      <c r="I7071">
        <v>23.882069999999999</v>
      </c>
      <c r="J7071">
        <v>-421.88420000000002</v>
      </c>
      <c r="K7071">
        <v>1.110322</v>
      </c>
      <c r="L7071">
        <v>61.938139999999997</v>
      </c>
      <c r="M7071">
        <v>-9.2034060000000008E-3</v>
      </c>
      <c r="N7071">
        <v>0</v>
      </c>
      <c r="O7071">
        <v>-0.99985100000000005</v>
      </c>
      <c r="P7071">
        <v>-1.805557E-2</v>
      </c>
      <c r="Q7071">
        <v>1.455149E-2</v>
      </c>
      <c r="R7071">
        <v>-0.9997315</v>
      </c>
      <c r="S7071">
        <v>-0.3579407</v>
      </c>
      <c r="T7071">
        <v>-8.6998820000000004E-2</v>
      </c>
      <c r="U7071">
        <v>-2.9956049999999999</v>
      </c>
      <c r="V7071">
        <v>8.860517E-3</v>
      </c>
      <c r="W7071">
        <v>2.917049E-2</v>
      </c>
      <c r="X7071">
        <v>0.99953519999999896</v>
      </c>
      <c r="Y7071">
        <v>0.1094509</v>
      </c>
      <c r="Z7071">
        <v>2.883838E-2</v>
      </c>
      <c r="AA7071">
        <v>0.99357379999999995</v>
      </c>
      <c r="AB7071">
        <v>23</v>
      </c>
      <c r="AC7071">
        <v>-4.5664999999999596</v>
      </c>
      <c r="AD7071">
        <v>-1.110330503036</v>
      </c>
      <c r="AE7071">
        <v>-38.056069999999998</v>
      </c>
      <c r="AF7071">
        <v>4.2124887602996699</v>
      </c>
      <c r="AG7071">
        <v>-1.110330503036</v>
      </c>
      <c r="AH7071">
        <v>38.064547246436</v>
      </c>
      <c r="AI7071">
        <v>91.660692809244694</v>
      </c>
      <c r="AJ7071">
        <v>83.684945585086595</v>
      </c>
      <c r="AK7071">
        <v>38.313021969792203</v>
      </c>
      <c r="AL7071">
        <v>88.328416951632704</v>
      </c>
      <c r="AM7071">
        <v>89.492107000181903</v>
      </c>
      <c r="AN7071">
        <v>1.0000000211436899</v>
      </c>
    </row>
    <row r="7072" spans="1:40" x14ac:dyDescent="0.25">
      <c r="A7072" t="str">
        <f>"20190312154104822"</f>
        <v>20190312154104822</v>
      </c>
      <c r="B7072" t="str">
        <f>"1552376464813176"</f>
        <v>1552376464813176</v>
      </c>
      <c r="C7072" t="s">
        <v>40</v>
      </c>
      <c r="D7072">
        <v>4.1473329999999997</v>
      </c>
      <c r="E7072">
        <v>0.54052049999999996</v>
      </c>
      <c r="F7072" t="s">
        <v>69</v>
      </c>
      <c r="G7072">
        <v>-426.3528</v>
      </c>
      <c r="H7072" s="1">
        <v>-7.7483470000000002E-6</v>
      </c>
      <c r="I7072">
        <v>25.58896</v>
      </c>
      <c r="J7072">
        <v>-421.88580000000002</v>
      </c>
      <c r="K7072">
        <v>1.11032</v>
      </c>
      <c r="L7072">
        <v>61.772770000000001</v>
      </c>
      <c r="M7072">
        <v>-9.3076949999999995E-3</v>
      </c>
      <c r="N7072">
        <v>0</v>
      </c>
      <c r="O7072">
        <v>-0.99985000000000002</v>
      </c>
      <c r="P7072">
        <v>-1.802923E-2</v>
      </c>
      <c r="Q7072">
        <v>1.4381339999999999E-2</v>
      </c>
      <c r="R7072">
        <v>-0.99973440000000002</v>
      </c>
      <c r="S7072">
        <v>-0.36825560000000002</v>
      </c>
      <c r="T7072">
        <v>-9.1500639999999994E-2</v>
      </c>
      <c r="U7072">
        <v>-2.9954830000000001</v>
      </c>
      <c r="V7072">
        <v>8.729802E-3</v>
      </c>
      <c r="W7072">
        <v>2.8996049999999999E-2</v>
      </c>
      <c r="X7072">
        <v>0.99954140000000002</v>
      </c>
      <c r="Y7072">
        <v>0.112717899999999</v>
      </c>
      <c r="Z7072">
        <v>3.0318680000000001E-2</v>
      </c>
      <c r="AA7072">
        <v>0.99316439999999995</v>
      </c>
      <c r="AB7072">
        <v>23</v>
      </c>
      <c r="AC7072">
        <v>-4.4669999999999801</v>
      </c>
      <c r="AD7072">
        <v>-1.110327748347</v>
      </c>
      <c r="AE7072">
        <v>-36.183810000000001</v>
      </c>
      <c r="AF7072">
        <v>4.12615573112741</v>
      </c>
      <c r="AG7072">
        <v>-1.110327748347</v>
      </c>
      <c r="AH7072">
        <v>36.190258421501802</v>
      </c>
      <c r="AI7072">
        <v>91.745995761299199</v>
      </c>
      <c r="AJ7072">
        <v>83.495629212391705</v>
      </c>
      <c r="AK7072">
        <v>36.4416354386208</v>
      </c>
      <c r="AL7072">
        <v>88.338415813933494</v>
      </c>
      <c r="AM7072">
        <v>89.499602424334</v>
      </c>
      <c r="AN7072">
        <v>0.99999999533626005</v>
      </c>
    </row>
    <row r="7073" spans="1:40" x14ac:dyDescent="0.25">
      <c r="A7073" t="str">
        <f>"20190312154104836"</f>
        <v>20190312154104836</v>
      </c>
      <c r="B7073" t="str">
        <f>"1552376464833671"</f>
        <v>1552376464833671</v>
      </c>
      <c r="C7073" t="s">
        <v>40</v>
      </c>
      <c r="D7073">
        <v>4.1327569999999998</v>
      </c>
      <c r="E7073">
        <v>0.54150969999999998</v>
      </c>
      <c r="F7073" t="s">
        <v>69</v>
      </c>
      <c r="G7073">
        <v>-426.39550000000003</v>
      </c>
      <c r="H7073" s="1">
        <v>-7.7444750000000001E-6</v>
      </c>
      <c r="I7073">
        <v>25.606400000000001</v>
      </c>
      <c r="J7073">
        <v>-421.88729999999998</v>
      </c>
      <c r="K7073">
        <v>1.1103190000000001</v>
      </c>
      <c r="L7073">
        <v>61.623629999999999</v>
      </c>
      <c r="M7073">
        <v>-9.4015799999999997E-3</v>
      </c>
      <c r="N7073">
        <v>0</v>
      </c>
      <c r="O7073">
        <v>-0.99984930000000005</v>
      </c>
      <c r="P7073">
        <v>-1.7741369999999999E-2</v>
      </c>
      <c r="Q7073">
        <v>1.4698040000000001E-2</v>
      </c>
      <c r="R7073">
        <v>-0.99973509999999999</v>
      </c>
      <c r="S7073">
        <v>-0.37350460000000002</v>
      </c>
      <c r="T7073">
        <v>-9.1960189999999997E-2</v>
      </c>
      <c r="U7073">
        <v>-2.9953919999999998</v>
      </c>
      <c r="V7073">
        <v>8.3481330000000006E-3</v>
      </c>
      <c r="W7073">
        <v>2.9309669999999999E-2</v>
      </c>
      <c r="X7073">
        <v>0.99953550000000002</v>
      </c>
      <c r="Y7073">
        <v>0.1143416</v>
      </c>
      <c r="Z7073">
        <v>3.0465579999999999E-2</v>
      </c>
      <c r="AA7073">
        <v>0.99297420000000003</v>
      </c>
      <c r="AB7073">
        <v>23</v>
      </c>
      <c r="AC7073">
        <v>-4.5082000000000404</v>
      </c>
      <c r="AD7073">
        <v>-1.110326744475</v>
      </c>
      <c r="AE7073">
        <v>-36.017229999999998</v>
      </c>
      <c r="AF7073">
        <v>4.1654482309127197</v>
      </c>
      <c r="AG7073">
        <v>-1.110326744475</v>
      </c>
      <c r="AH7073">
        <v>36.024319153675599</v>
      </c>
      <c r="AI7073">
        <v>91.753710789349299</v>
      </c>
      <c r="AJ7073">
        <v>83.404249685775099</v>
      </c>
      <c r="AK7073">
        <v>36.281336178947299</v>
      </c>
      <c r="AL7073">
        <v>88.320439048121003</v>
      </c>
      <c r="AM7073">
        <v>89.521476059197099</v>
      </c>
      <c r="AN7073">
        <v>0.99999998192017203</v>
      </c>
    </row>
    <row r="7074" spans="1:40" x14ac:dyDescent="0.25">
      <c r="A7074" t="str">
        <f>"20190312154104850"</f>
        <v>20190312154104850</v>
      </c>
      <c r="B7074" t="str">
        <f>"1552376464843434"</f>
        <v>1552376464843434</v>
      </c>
      <c r="C7074" t="s">
        <v>40</v>
      </c>
      <c r="D7074">
        <v>4.1180469999999998</v>
      </c>
      <c r="E7074">
        <v>0.54188879999999995</v>
      </c>
      <c r="F7074" t="s">
        <v>69</v>
      </c>
      <c r="G7074">
        <v>-426.4479</v>
      </c>
      <c r="H7074" s="1">
        <v>-7.7027020000000004E-6</v>
      </c>
      <c r="I7074">
        <v>25.712499999999999</v>
      </c>
      <c r="J7074">
        <v>-421.8886</v>
      </c>
      <c r="K7074">
        <v>1.11032</v>
      </c>
      <c r="L7074">
        <v>61.497129999999999</v>
      </c>
      <c r="M7074">
        <v>-9.4810429999999998E-3</v>
      </c>
      <c r="N7074">
        <v>0</v>
      </c>
      <c r="O7074">
        <v>-0.99984839999999997</v>
      </c>
      <c r="P7074">
        <v>-1.7843339999999999E-2</v>
      </c>
      <c r="Q7074">
        <v>1.4118759999999999E-2</v>
      </c>
      <c r="R7074">
        <v>-0.9997414</v>
      </c>
      <c r="S7074">
        <v>-0.38040160000000001</v>
      </c>
      <c r="T7074">
        <v>-9.2613699999999993E-2</v>
      </c>
      <c r="U7074">
        <v>-2.9953919999999998</v>
      </c>
      <c r="V7074">
        <v>8.37041E-3</v>
      </c>
      <c r="W7074">
        <v>2.8727220000000001E-2</v>
      </c>
      <c r="X7074">
        <v>0.9995522</v>
      </c>
      <c r="Y7074">
        <v>0.1165123</v>
      </c>
      <c r="Z7074">
        <v>3.0673579999999999E-2</v>
      </c>
      <c r="AA7074">
        <v>0.99271549999999997</v>
      </c>
      <c r="AB7074">
        <v>23</v>
      </c>
      <c r="AC7074">
        <v>-4.5593000000000004</v>
      </c>
      <c r="AD7074">
        <v>-1.110327702702</v>
      </c>
      <c r="AE7074">
        <v>-35.78463</v>
      </c>
      <c r="AF7074">
        <v>4.2157893521737</v>
      </c>
      <c r="AG7074">
        <v>-1.110327702702</v>
      </c>
      <c r="AH7074">
        <v>35.792344503139503</v>
      </c>
      <c r="AI7074">
        <v>91.764633360611995</v>
      </c>
      <c r="AJ7074">
        <v>83.282386626640005</v>
      </c>
      <c r="AK7074">
        <v>36.056866648402902</v>
      </c>
      <c r="AL7074">
        <v>88.353824997420006</v>
      </c>
      <c r="AM7074">
        <v>89.520207193160601</v>
      </c>
      <c r="AN7074">
        <v>0.99999995872866698</v>
      </c>
    </row>
    <row r="7075" spans="1:40" x14ac:dyDescent="0.25">
      <c r="A7075" t="str">
        <f>"20190312154104862"</f>
        <v>20190312154104862</v>
      </c>
      <c r="B7075" t="str">
        <f>"1552376464853191"</f>
        <v>1552376464853191</v>
      </c>
      <c r="C7075" t="s">
        <v>40</v>
      </c>
      <c r="D7075">
        <v>4.1209439999999997</v>
      </c>
      <c r="E7075">
        <v>0.54229229999999995</v>
      </c>
      <c r="F7075" t="s">
        <v>69</v>
      </c>
      <c r="G7075">
        <v>-426.3578</v>
      </c>
      <c r="H7075" s="1">
        <v>-7.3285500000000003E-6</v>
      </c>
      <c r="I7075">
        <v>26.589449999999999</v>
      </c>
      <c r="J7075">
        <v>-421.89</v>
      </c>
      <c r="K7075">
        <v>1.1103209999999999</v>
      </c>
      <c r="L7075">
        <v>61.358150000000002</v>
      </c>
      <c r="M7075">
        <v>-9.5681619999999998E-3</v>
      </c>
      <c r="N7075">
        <v>0</v>
      </c>
      <c r="O7075">
        <v>-0.99984770000000001</v>
      </c>
      <c r="P7075">
        <v>-1.8076200000000001E-2</v>
      </c>
      <c r="Q7075">
        <v>1.4175159999999999E-2</v>
      </c>
      <c r="R7075">
        <v>-0.99973639999999997</v>
      </c>
      <c r="S7075">
        <v>-0.38348389999999999</v>
      </c>
      <c r="T7075">
        <v>-9.5272179999999998E-2</v>
      </c>
      <c r="U7075">
        <v>-2.9952700000000001</v>
      </c>
      <c r="V7075">
        <v>8.5161939999999995E-3</v>
      </c>
      <c r="W7075">
        <v>2.87806E-2</v>
      </c>
      <c r="X7075">
        <v>0.99954940000000003</v>
      </c>
      <c r="Y7075">
        <v>0.1174325</v>
      </c>
      <c r="Z7075">
        <v>3.1550670000000003E-2</v>
      </c>
      <c r="AA7075">
        <v>0.99257949999999995</v>
      </c>
      <c r="AB7075">
        <v>23</v>
      </c>
      <c r="AC7075">
        <v>-4.4678000000000102</v>
      </c>
      <c r="AD7075">
        <v>-1.1103283285500001</v>
      </c>
      <c r="AE7075">
        <v>-34.768700000000003</v>
      </c>
      <c r="AF7075">
        <v>4.1307432377973701</v>
      </c>
      <c r="AG7075">
        <v>-1.1103283285500001</v>
      </c>
      <c r="AH7075">
        <v>34.774972960789903</v>
      </c>
      <c r="AI7075">
        <v>91.816014382100704</v>
      </c>
      <c r="AJ7075">
        <v>83.225865703181199</v>
      </c>
      <c r="AK7075">
        <v>35.037046295563499</v>
      </c>
      <c r="AL7075">
        <v>88.350765229080906</v>
      </c>
      <c r="AM7075">
        <v>89.511849872049595</v>
      </c>
      <c r="AN7075">
        <v>0.99999992576847996</v>
      </c>
    </row>
    <row r="7076" spans="1:40" x14ac:dyDescent="0.25">
      <c r="A7076" t="str">
        <f>"20190312154104876"</f>
        <v>20190312154104876</v>
      </c>
      <c r="B7076" t="str">
        <f>"1552376464873688"</f>
        <v>1552376464873688</v>
      </c>
      <c r="C7076" t="s">
        <v>40</v>
      </c>
      <c r="D7076">
        <v>4.1056119999999998</v>
      </c>
      <c r="E7076">
        <v>0.5428714</v>
      </c>
      <c r="F7076" t="s">
        <v>69</v>
      </c>
      <c r="G7076">
        <v>-426.41879999999998</v>
      </c>
      <c r="H7076" s="1">
        <v>-7.4198889999999998E-6</v>
      </c>
      <c r="I7076">
        <v>26.37388</v>
      </c>
      <c r="J7076">
        <v>-421.8913</v>
      </c>
      <c r="K7076">
        <v>1.1103190000000001</v>
      </c>
      <c r="L7076">
        <v>61.224760000000003</v>
      </c>
      <c r="M7076">
        <v>-9.6515779999999992E-3</v>
      </c>
      <c r="N7076">
        <v>0</v>
      </c>
      <c r="O7076">
        <v>-0.99984689999999998</v>
      </c>
      <c r="P7076">
        <v>-1.8102779999999999E-2</v>
      </c>
      <c r="Q7076">
        <v>1.403395E-2</v>
      </c>
      <c r="R7076">
        <v>-0.99973800000000002</v>
      </c>
      <c r="S7076">
        <v>-0.38772580000000001</v>
      </c>
      <c r="T7076">
        <v>-9.5058799999999999E-2</v>
      </c>
      <c r="U7076">
        <v>-2.995117</v>
      </c>
      <c r="V7076">
        <v>8.4592999999999995E-3</v>
      </c>
      <c r="W7076">
        <v>2.8635710000000002E-2</v>
      </c>
      <c r="X7076">
        <v>0.9995541</v>
      </c>
      <c r="Y7076">
        <v>0.1187391</v>
      </c>
      <c r="Z7076">
        <v>3.1476339999999998E-2</v>
      </c>
      <c r="AA7076">
        <v>0.99242649999999999</v>
      </c>
      <c r="AB7076">
        <v>23</v>
      </c>
      <c r="AC7076">
        <v>-4.5274999999999697</v>
      </c>
      <c r="AD7076">
        <v>-1.1103264198889999</v>
      </c>
      <c r="AE7076">
        <v>-34.850879999999997</v>
      </c>
      <c r="AF7076">
        <v>4.1867081995481596</v>
      </c>
      <c r="AG7076">
        <v>-1.1103264198889999</v>
      </c>
      <c r="AH7076">
        <v>34.858164104931099</v>
      </c>
      <c r="AI7076">
        <v>91.811398284406195</v>
      </c>
      <c r="AJ7076">
        <v>83.151185176916599</v>
      </c>
      <c r="AK7076">
        <v>35.1262431107168</v>
      </c>
      <c r="AL7076">
        <v>88.359070329266501</v>
      </c>
      <c r="AM7076">
        <v>89.515113172394905</v>
      </c>
      <c r="AN7076">
        <v>0.99999998123525102</v>
      </c>
    </row>
    <row r="7077" spans="1:40" x14ac:dyDescent="0.25">
      <c r="A7077" t="str">
        <f>"20190312154104889"</f>
        <v>20190312154104889</v>
      </c>
      <c r="B7077" t="str">
        <f>"1552376464883448"</f>
        <v>1552376464883448</v>
      </c>
      <c r="C7077" t="s">
        <v>40</v>
      </c>
      <c r="D7077">
        <v>4.1339779999999999</v>
      </c>
      <c r="E7077">
        <v>0.54319340000000005</v>
      </c>
      <c r="F7077" t="s">
        <v>69</v>
      </c>
      <c r="G7077">
        <v>-426.4153</v>
      </c>
      <c r="H7077" s="1">
        <v>-7.295589E-6</v>
      </c>
      <c r="I7077">
        <v>26.678570000000001</v>
      </c>
      <c r="J7077">
        <v>-421.89269999999999</v>
      </c>
      <c r="K7077">
        <v>1.1103160000000001</v>
      </c>
      <c r="L7077">
        <v>61.094850000000001</v>
      </c>
      <c r="M7077">
        <v>-9.7330200000000002E-3</v>
      </c>
      <c r="N7077">
        <v>0</v>
      </c>
      <c r="O7077">
        <v>-0.99984600000000001</v>
      </c>
      <c r="P7077">
        <v>-1.8410699999999999E-2</v>
      </c>
      <c r="Q7077">
        <v>1.360256E-2</v>
      </c>
      <c r="R7077">
        <v>-0.99973809999999996</v>
      </c>
      <c r="S7077">
        <v>-0.3922119</v>
      </c>
      <c r="T7077">
        <v>-9.6261139999999995E-2</v>
      </c>
      <c r="U7077">
        <v>-2.9950260000000002</v>
      </c>
      <c r="V7077">
        <v>8.6856399999999997E-3</v>
      </c>
      <c r="W7077">
        <v>2.8201480000000001E-2</v>
      </c>
      <c r="X7077">
        <v>0.99956449999999997</v>
      </c>
      <c r="Y7077">
        <v>0.1201221</v>
      </c>
      <c r="Z7077">
        <v>3.1869260000000003E-2</v>
      </c>
      <c r="AA7077">
        <v>0.99224749999999995</v>
      </c>
      <c r="AB7077">
        <v>23</v>
      </c>
      <c r="AC7077">
        <v>-4.5226000000000104</v>
      </c>
      <c r="AD7077">
        <v>-1.1103232955889999</v>
      </c>
      <c r="AE7077">
        <v>-34.41628</v>
      </c>
      <c r="AF7077">
        <v>4.1830957719978299</v>
      </c>
      <c r="AG7077">
        <v>-1.1103232955889999</v>
      </c>
      <c r="AH7077">
        <v>34.423452656636101</v>
      </c>
      <c r="AI7077">
        <v>91.833944449232504</v>
      </c>
      <c r="AJ7077">
        <v>83.071457997559904</v>
      </c>
      <c r="AK7077">
        <v>34.6944549007777</v>
      </c>
      <c r="AL7077">
        <v>88.383959921654906</v>
      </c>
      <c r="AM7077">
        <v>89.502145194510206</v>
      </c>
      <c r="AN7077">
        <v>0.99999997673832397</v>
      </c>
    </row>
    <row r="7078" spans="1:40" x14ac:dyDescent="0.25">
      <c r="A7078" t="str">
        <f>"20190312154104903"</f>
        <v>20190312154104903</v>
      </c>
      <c r="B7078" t="str">
        <f>"1552376464893208"</f>
        <v>1552376464893208</v>
      </c>
      <c r="C7078" t="s">
        <v>40</v>
      </c>
      <c r="D7078">
        <v>4.0876789999999996</v>
      </c>
      <c r="E7078">
        <v>0.54347909999999999</v>
      </c>
      <c r="F7078" t="s">
        <v>69</v>
      </c>
      <c r="G7078">
        <v>-426.38740000000001</v>
      </c>
      <c r="H7078" s="1">
        <v>-7.1235130000000002E-6</v>
      </c>
      <c r="I7078">
        <v>27.097059999999999</v>
      </c>
      <c r="J7078">
        <v>-421.89429999999999</v>
      </c>
      <c r="K7078">
        <v>1.110317</v>
      </c>
      <c r="L7078">
        <v>60.9452199999999</v>
      </c>
      <c r="M7078">
        <v>-9.8269240000000008E-3</v>
      </c>
      <c r="N7078">
        <v>0</v>
      </c>
      <c r="O7078">
        <v>-0.99984499999999998</v>
      </c>
      <c r="P7078">
        <v>-1.8367100000000001E-2</v>
      </c>
      <c r="Q7078">
        <v>1.3200109999999999E-2</v>
      </c>
      <c r="R7078">
        <v>-0.99974419999999997</v>
      </c>
      <c r="S7078">
        <v>-0.39593509999999998</v>
      </c>
      <c r="T7078">
        <v>-9.7807649999999996E-2</v>
      </c>
      <c r="U7078">
        <v>-2.9948429999999999</v>
      </c>
      <c r="V7078">
        <v>8.547954E-3</v>
      </c>
      <c r="W7078">
        <v>2.7795380000000001E-2</v>
      </c>
      <c r="X7078">
        <v>0.9995771</v>
      </c>
      <c r="Y7078">
        <v>0.12124699999999999</v>
      </c>
      <c r="Z7078">
        <v>3.237781E-2</v>
      </c>
      <c r="AA7078">
        <v>0.99209420000000004</v>
      </c>
      <c r="AB7078">
        <v>23</v>
      </c>
      <c r="AC7078">
        <v>-4.4931000000000196</v>
      </c>
      <c r="AD7078">
        <v>-1.1103241235129999</v>
      </c>
      <c r="AE7078">
        <v>-33.848159999999901</v>
      </c>
      <c r="AF7078">
        <v>4.1558297919980998</v>
      </c>
      <c r="AG7078">
        <v>-1.1103241235129999</v>
      </c>
      <c r="AH7078">
        <v>33.8548848424998</v>
      </c>
      <c r="AI7078">
        <v>91.864446997170703</v>
      </c>
      <c r="AJ7078">
        <v>83.001712909764606</v>
      </c>
      <c r="AK7078">
        <v>34.127070905927901</v>
      </c>
      <c r="AL7078">
        <v>88.407236924312301</v>
      </c>
      <c r="AM7078">
        <v>89.510043047661497</v>
      </c>
      <c r="AN7078">
        <v>1.00000001475567</v>
      </c>
    </row>
    <row r="7079" spans="1:40" x14ac:dyDescent="0.25">
      <c r="A7079" t="str">
        <f>"20190312154104918"</f>
        <v>20190312154104918</v>
      </c>
      <c r="B7079" t="str">
        <f>"1552376464913704"</f>
        <v>1552376464913704</v>
      </c>
      <c r="C7079" t="s">
        <v>40</v>
      </c>
      <c r="D7079">
        <v>4.0820080000000001</v>
      </c>
      <c r="E7079">
        <v>0.54392249999999998</v>
      </c>
      <c r="F7079" t="s">
        <v>69</v>
      </c>
      <c r="G7079">
        <v>-426.3236</v>
      </c>
      <c r="H7079" s="1">
        <v>-6.9172380000000002E-6</v>
      </c>
      <c r="I7079">
        <v>27.59442</v>
      </c>
      <c r="J7079">
        <v>-421.89580000000001</v>
      </c>
      <c r="K7079">
        <v>1.1103149999999999</v>
      </c>
      <c r="L7079">
        <v>60.803769999999901</v>
      </c>
      <c r="M7079">
        <v>-9.9158059999999992E-3</v>
      </c>
      <c r="N7079">
        <v>0</v>
      </c>
      <c r="O7079">
        <v>-0.99984430000000002</v>
      </c>
      <c r="P7079">
        <v>-1.875276E-2</v>
      </c>
      <c r="Q7079">
        <v>1.2959740000000001E-2</v>
      </c>
      <c r="R7079">
        <v>-0.99974019999999997</v>
      </c>
      <c r="S7079">
        <v>-0.39773560000000002</v>
      </c>
      <c r="T7079">
        <v>-9.9703070000000005E-2</v>
      </c>
      <c r="U7079">
        <v>-2.9947810000000001</v>
      </c>
      <c r="V7079">
        <v>8.8446669999999901E-3</v>
      </c>
      <c r="W7079">
        <v>2.7551800000000001E-2</v>
      </c>
      <c r="X7079">
        <v>0.99958119999999995</v>
      </c>
      <c r="Y7079">
        <v>0.1217448</v>
      </c>
      <c r="Z7079">
        <v>3.3002910000000003E-2</v>
      </c>
      <c r="AA7079">
        <v>0.99201260000000002</v>
      </c>
      <c r="AB7079">
        <v>23</v>
      </c>
      <c r="AC7079">
        <v>-4.4277999999999897</v>
      </c>
      <c r="AD7079">
        <v>-1.1103219172379999</v>
      </c>
      <c r="AE7079">
        <v>-33.209349999999901</v>
      </c>
      <c r="AF7079">
        <v>4.0937535082129797</v>
      </c>
      <c r="AG7079">
        <v>-1.1103219172379999</v>
      </c>
      <c r="AH7079">
        <v>33.215146380086701</v>
      </c>
      <c r="AI7079">
        <v>91.900213239047702</v>
      </c>
      <c r="AJ7079">
        <v>82.973752427642594</v>
      </c>
      <c r="AK7079">
        <v>33.484885868052402</v>
      </c>
      <c r="AL7079">
        <v>88.421198279023699</v>
      </c>
      <c r="AM7079">
        <v>89.4930388191638</v>
      </c>
      <c r="AN7079">
        <v>0.999999952605509</v>
      </c>
    </row>
    <row r="7080" spans="1:40" x14ac:dyDescent="0.25">
      <c r="A7080" t="str">
        <f>"20190312154104933"</f>
        <v>20190312154104933</v>
      </c>
      <c r="B7080" t="str">
        <f>"1552376464923464"</f>
        <v>1552376464923464</v>
      </c>
      <c r="C7080" t="s">
        <v>40</v>
      </c>
      <c r="D7080">
        <v>4.0974640000000004</v>
      </c>
      <c r="E7080">
        <v>0.54414359999999995</v>
      </c>
      <c r="F7080" t="s">
        <v>69</v>
      </c>
      <c r="G7080">
        <v>-426.32429999999999</v>
      </c>
      <c r="H7080" s="1">
        <v>-6.8036530000000004E-6</v>
      </c>
      <c r="I7080">
        <v>27.873390000000001</v>
      </c>
      <c r="J7080">
        <v>-421.8974</v>
      </c>
      <c r="K7080">
        <v>1.110311</v>
      </c>
      <c r="L7080">
        <v>60.651090000000003</v>
      </c>
      <c r="M7080">
        <v>-1.001206E-2</v>
      </c>
      <c r="N7080">
        <v>0</v>
      </c>
      <c r="O7080">
        <v>-0.99984360000000005</v>
      </c>
      <c r="P7080">
        <v>-1.9219719999999999E-2</v>
      </c>
      <c r="Q7080">
        <v>1.301136E-2</v>
      </c>
      <c r="R7080">
        <v>-0.99973100000000004</v>
      </c>
      <c r="S7080">
        <v>-0.40271000000000001</v>
      </c>
      <c r="T7080">
        <v>-0.1009675</v>
      </c>
      <c r="U7080">
        <v>-2.9945369999999998</v>
      </c>
      <c r="V7080">
        <v>9.2154279999999995E-3</v>
      </c>
      <c r="W7080">
        <v>2.7598999999999999E-2</v>
      </c>
      <c r="X7080">
        <v>0.99957660000000004</v>
      </c>
      <c r="Y7080">
        <v>0.12327680000000001</v>
      </c>
      <c r="Z7080">
        <v>3.3416800000000003E-2</v>
      </c>
      <c r="AA7080">
        <v>0.99180950000000001</v>
      </c>
      <c r="AB7080">
        <v>22</v>
      </c>
      <c r="AC7080">
        <v>-4.4268999999999803</v>
      </c>
      <c r="AD7080">
        <v>-1.1103178036529999</v>
      </c>
      <c r="AE7080">
        <v>-32.777700000000003</v>
      </c>
      <c r="AF7080">
        <v>4.0938575023116197</v>
      </c>
      <c r="AG7080">
        <v>-1.1103178036529999</v>
      </c>
      <c r="AH7080">
        <v>32.783440056077701</v>
      </c>
      <c r="AI7080">
        <v>91.924828028888598</v>
      </c>
      <c r="AJ7080">
        <v>82.881991794151901</v>
      </c>
      <c r="AK7080">
        <v>33.056715154182903</v>
      </c>
      <c r="AL7080">
        <v>88.418492970759004</v>
      </c>
      <c r="AM7080">
        <v>89.471786182154105</v>
      </c>
      <c r="AN7080">
        <v>1.0000000040908901</v>
      </c>
    </row>
    <row r="7081" spans="1:40" x14ac:dyDescent="0.25">
      <c r="A7081" t="str">
        <f>"20190312154104945"</f>
        <v>20190312154104945</v>
      </c>
      <c r="B7081" t="str">
        <f>"1552376464933224"</f>
        <v>1552376464933224</v>
      </c>
      <c r="C7081" t="s">
        <v>40</v>
      </c>
      <c r="D7081">
        <v>4.1051960000000003</v>
      </c>
      <c r="E7081">
        <v>0.54430400000000001</v>
      </c>
      <c r="F7081" t="s">
        <v>69</v>
      </c>
      <c r="G7081">
        <v>-426.35019999999997</v>
      </c>
      <c r="H7081" s="1">
        <v>-6.8638379999999899E-6</v>
      </c>
      <c r="I7081">
        <v>27.729320000000001</v>
      </c>
      <c r="J7081">
        <v>-421.89870000000002</v>
      </c>
      <c r="K7081">
        <v>1.110312</v>
      </c>
      <c r="L7081">
        <v>60.531799999999997</v>
      </c>
      <c r="M7081">
        <v>-1.008708E-2</v>
      </c>
      <c r="N7081">
        <v>0</v>
      </c>
      <c r="O7081">
        <v>-0.99984289999999998</v>
      </c>
      <c r="P7081">
        <v>-1.9073960000000001E-2</v>
      </c>
      <c r="Q7081">
        <v>1.2941680000000001E-2</v>
      </c>
      <c r="R7081">
        <v>-0.99973480000000003</v>
      </c>
      <c r="S7081">
        <v>-0.40499879999999999</v>
      </c>
      <c r="T7081">
        <v>-0.1009874</v>
      </c>
      <c r="U7081">
        <v>-2.994354</v>
      </c>
      <c r="V7081">
        <v>8.9945870000000001E-3</v>
      </c>
      <c r="W7081">
        <v>2.7526539999999999E-2</v>
      </c>
      <c r="X7081">
        <v>0.99958060000000004</v>
      </c>
      <c r="Y7081">
        <v>0.12395490000000001</v>
      </c>
      <c r="Z7081">
        <v>3.3422260000000002E-2</v>
      </c>
      <c r="AA7081">
        <v>0.99172479999999996</v>
      </c>
      <c r="AB7081">
        <v>22</v>
      </c>
      <c r="AC7081">
        <v>-4.4514999999999496</v>
      </c>
      <c r="AD7081">
        <v>-1.1103188638379999</v>
      </c>
      <c r="AE7081">
        <v>-32.802480000000003</v>
      </c>
      <c r="AF7081">
        <v>4.1157268501969098</v>
      </c>
      <c r="AG7081">
        <v>-1.1103188638379999</v>
      </c>
      <c r="AH7081">
        <v>32.808807925182897</v>
      </c>
      <c r="AI7081">
        <v>91.923207703951505</v>
      </c>
      <c r="AJ7081">
        <v>82.849836062791098</v>
      </c>
      <c r="AK7081">
        <v>33.084586939485497</v>
      </c>
      <c r="AL7081">
        <v>88.422646185629603</v>
      </c>
      <c r="AM7081">
        <v>89.484445811767301</v>
      </c>
      <c r="AN7081">
        <v>0.99999999444801602</v>
      </c>
    </row>
    <row r="7082" spans="1:40" x14ac:dyDescent="0.25">
      <c r="A7082" t="str">
        <f>"20190312154104961"</f>
        <v>20190312154104961</v>
      </c>
      <c r="B7082" t="str">
        <f>"1552376464953719"</f>
        <v>1552376464953719</v>
      </c>
      <c r="C7082" t="s">
        <v>40</v>
      </c>
      <c r="D7082">
        <v>4.0814659999999998</v>
      </c>
      <c r="E7082">
        <v>0.54464019999999902</v>
      </c>
      <c r="F7082" t="s">
        <v>69</v>
      </c>
      <c r="G7082">
        <v>-426.36470000000003</v>
      </c>
      <c r="H7082" s="1">
        <v>-6.9035019999999997E-6</v>
      </c>
      <c r="I7082">
        <v>27.633990000000001</v>
      </c>
      <c r="J7082">
        <v>-421.90030000000002</v>
      </c>
      <c r="K7082">
        <v>1.110314</v>
      </c>
      <c r="L7082">
        <v>60.377560000000003</v>
      </c>
      <c r="M7082">
        <v>-1.018345E-2</v>
      </c>
      <c r="N7082">
        <v>0</v>
      </c>
      <c r="O7082">
        <v>-0.99984189999999995</v>
      </c>
      <c r="P7082">
        <v>-1.8995330000000001E-2</v>
      </c>
      <c r="Q7082">
        <v>1.2951000000000001E-2</v>
      </c>
      <c r="R7082">
        <v>-0.99973590000000001</v>
      </c>
      <c r="S7082">
        <v>-0.40649410000000002</v>
      </c>
      <c r="T7082">
        <v>-0.1010611</v>
      </c>
      <c r="U7082">
        <v>-2.994354</v>
      </c>
      <c r="V7082">
        <v>8.8195429999999991E-3</v>
      </c>
      <c r="W7082">
        <v>2.7532259999999999E-2</v>
      </c>
      <c r="X7082">
        <v>0.99958199999999997</v>
      </c>
      <c r="Y7082">
        <v>0.1243455</v>
      </c>
      <c r="Z7082">
        <v>3.3444620000000001E-2</v>
      </c>
      <c r="AA7082">
        <v>0.99167519999999998</v>
      </c>
      <c r="AB7082">
        <v>22</v>
      </c>
      <c r="AC7082">
        <v>-4.4644000000000101</v>
      </c>
      <c r="AD7082">
        <v>-1.1103209035020001</v>
      </c>
      <c r="AE7082">
        <v>-32.743569999999899</v>
      </c>
      <c r="AF7082">
        <v>4.1260327493584796</v>
      </c>
      <c r="AG7082">
        <v>-1.1103209035020001</v>
      </c>
      <c r="AH7082">
        <v>32.750368566401001</v>
      </c>
      <c r="AI7082">
        <v>91.926512100582997</v>
      </c>
      <c r="AJ7082">
        <v>82.819460948087993</v>
      </c>
      <c r="AK7082">
        <v>33.027921520928899</v>
      </c>
      <c r="AL7082">
        <v>88.422318325964795</v>
      </c>
      <c r="AM7082">
        <v>89.494479213586004</v>
      </c>
      <c r="AN7082">
        <v>0.99999999220171798</v>
      </c>
    </row>
    <row r="7083" spans="1:40" x14ac:dyDescent="0.25">
      <c r="A7083" t="str">
        <f>"20190312154104980"</f>
        <v>20190312154104980</v>
      </c>
      <c r="B7083" t="str">
        <f>"1552376464973239"</f>
        <v>1552376464973239</v>
      </c>
      <c r="C7083" t="s">
        <v>40</v>
      </c>
      <c r="D7083">
        <v>4.0857960000000002</v>
      </c>
      <c r="E7083">
        <v>0.54500459999999995</v>
      </c>
      <c r="F7083" t="s">
        <v>69</v>
      </c>
      <c r="G7083">
        <v>-426.37920000000003</v>
      </c>
      <c r="H7083" s="1">
        <v>-6.9316940000000003E-6</v>
      </c>
      <c r="I7083">
        <v>27.566859999999998</v>
      </c>
      <c r="J7083">
        <v>-421.90230000000003</v>
      </c>
      <c r="K7083">
        <v>1.1103149999999999</v>
      </c>
      <c r="L7083">
        <v>60.19556</v>
      </c>
      <c r="M7083">
        <v>-1.029468E-2</v>
      </c>
      <c r="N7083">
        <v>0</v>
      </c>
      <c r="O7083">
        <v>-0.99984099999999998</v>
      </c>
      <c r="P7083">
        <v>-1.851442E-2</v>
      </c>
      <c r="Q7083">
        <v>1.353941E-2</v>
      </c>
      <c r="R7083">
        <v>-0.99973730000000005</v>
      </c>
      <c r="S7083">
        <v>-0.40875240000000002</v>
      </c>
      <c r="T7083">
        <v>-0.10132960000000001</v>
      </c>
      <c r="U7083">
        <v>-2.994354</v>
      </c>
      <c r="V7083">
        <v>8.2274559999999993E-3</v>
      </c>
      <c r="W7083">
        <v>2.8116160000000001E-2</v>
      </c>
      <c r="X7083">
        <v>0.99957079999999998</v>
      </c>
      <c r="Y7083">
        <v>0.124969</v>
      </c>
      <c r="Z7083">
        <v>3.3530289999999997E-2</v>
      </c>
      <c r="AA7083">
        <v>0.99159390000000003</v>
      </c>
      <c r="AB7083">
        <v>22</v>
      </c>
      <c r="AC7083">
        <v>-4.4768999999999997</v>
      </c>
      <c r="AD7083">
        <v>-1.1103219316939901</v>
      </c>
      <c r="AE7083">
        <v>-32.628700000000002</v>
      </c>
      <c r="AF7083">
        <v>4.1360241717253698</v>
      </c>
      <c r="AG7083">
        <v>-1.1103219316939901</v>
      </c>
      <c r="AH7083">
        <v>32.635970476873197</v>
      </c>
      <c r="AI7083">
        <v>91.933082081721807</v>
      </c>
      <c r="AJ7083">
        <v>82.777290912144693</v>
      </c>
      <c r="AK7083">
        <v>32.915742126047199</v>
      </c>
      <c r="AL7083">
        <v>88.388850369324601</v>
      </c>
      <c r="AM7083">
        <v>89.528409733715407</v>
      </c>
      <c r="AN7083">
        <v>0.99999999684900798</v>
      </c>
    </row>
    <row r="7084" spans="1:40" x14ac:dyDescent="0.25">
      <c r="A7084" t="str">
        <f>"20190312154105001"</f>
        <v>20190312154105001</v>
      </c>
      <c r="B7084" t="str">
        <f>"1552376464993735"</f>
        <v>1552376464993735</v>
      </c>
      <c r="C7084" t="s">
        <v>40</v>
      </c>
      <c r="D7084">
        <v>4.0670320000000002</v>
      </c>
      <c r="E7084">
        <v>0.54534629999999995</v>
      </c>
      <c r="F7084" t="s">
        <v>69</v>
      </c>
      <c r="G7084">
        <v>-426.48039999999997</v>
      </c>
      <c r="H7084" s="1">
        <v>-7.2547619999999998E-6</v>
      </c>
      <c r="I7084">
        <v>26.788080000000001</v>
      </c>
      <c r="J7084">
        <v>-421.90480000000002</v>
      </c>
      <c r="K7084">
        <v>1.1103190000000001</v>
      </c>
      <c r="L7084">
        <v>59.972839999999998</v>
      </c>
      <c r="M7084">
        <v>-1.042335E-2</v>
      </c>
      <c r="N7084">
        <v>0</v>
      </c>
      <c r="O7084">
        <v>-0.99983979999999995</v>
      </c>
      <c r="P7084">
        <v>-1.8301319999999999E-2</v>
      </c>
      <c r="Q7084">
        <v>1.3944089999999999E-2</v>
      </c>
      <c r="R7084">
        <v>-0.9997357</v>
      </c>
      <c r="S7084">
        <v>-0.41036990000000001</v>
      </c>
      <c r="T7084">
        <v>-9.952569E-2</v>
      </c>
      <c r="U7084">
        <v>-2.9945369999999998</v>
      </c>
      <c r="V7084">
        <v>7.8854709999999998E-3</v>
      </c>
      <c r="W7084">
        <v>2.8516070000000001E-2</v>
      </c>
      <c r="X7084">
        <v>0.99956219999999996</v>
      </c>
      <c r="Y7084">
        <v>0.12536159999999999</v>
      </c>
      <c r="Z7084">
        <v>3.2929970000000003E-2</v>
      </c>
      <c r="AA7084">
        <v>0.99156449999999996</v>
      </c>
      <c r="AB7084">
        <v>22</v>
      </c>
      <c r="AC7084">
        <v>-4.5755999999999499</v>
      </c>
      <c r="AD7084">
        <v>-1.1103262547620001</v>
      </c>
      <c r="AE7084">
        <v>-33.184759999999997</v>
      </c>
      <c r="AF7084">
        <v>4.2247769929627399</v>
      </c>
      <c r="AG7084">
        <v>-1.1103262547620001</v>
      </c>
      <c r="AH7084">
        <v>33.194187434553697</v>
      </c>
      <c r="AI7084">
        <v>91.900476665024598</v>
      </c>
      <c r="AJ7084">
        <v>82.746699688052701</v>
      </c>
      <c r="AK7084">
        <v>33.480377006129501</v>
      </c>
      <c r="AL7084">
        <v>88.365927977421407</v>
      </c>
      <c r="AM7084">
        <v>89.548007282163795</v>
      </c>
      <c r="AN7084">
        <v>0.99999996928498702</v>
      </c>
    </row>
    <row r="7085" spans="1:40" x14ac:dyDescent="0.25">
      <c r="A7085" t="str">
        <f>"20190312154105023"</f>
        <v>20190312154105023</v>
      </c>
      <c r="B7085" t="str">
        <f>"1552376465013256"</f>
        <v>1552376465013256</v>
      </c>
      <c r="C7085" t="s">
        <v>40</v>
      </c>
      <c r="D7085">
        <v>4.0560749999999999</v>
      </c>
      <c r="E7085">
        <v>0.54563130000000004</v>
      </c>
      <c r="F7085" t="s">
        <v>69</v>
      </c>
      <c r="G7085">
        <v>-426.5693</v>
      </c>
      <c r="H7085" s="1">
        <v>-7.5450219999999999E-6</v>
      </c>
      <c r="I7085">
        <v>26.097639999999998</v>
      </c>
      <c r="J7085">
        <v>-421.90710000000001</v>
      </c>
      <c r="K7085">
        <v>1.110328</v>
      </c>
      <c r="L7085">
        <v>59.758150000000001</v>
      </c>
      <c r="M7085">
        <v>-1.053718E-2</v>
      </c>
      <c r="N7085">
        <v>0</v>
      </c>
      <c r="O7085">
        <v>-0.99983840000000002</v>
      </c>
      <c r="P7085">
        <v>-1.783349E-2</v>
      </c>
      <c r="Q7085">
        <v>1.422523E-2</v>
      </c>
      <c r="R7085">
        <v>-0.99974010000000002</v>
      </c>
      <c r="S7085">
        <v>-0.41235349999999998</v>
      </c>
      <c r="T7085">
        <v>-9.8154900000000003E-2</v>
      </c>
      <c r="U7085">
        <v>-2.9946290000000002</v>
      </c>
      <c r="V7085">
        <v>7.3032949999999996E-3</v>
      </c>
      <c r="W7085">
        <v>2.8792519999999999E-2</v>
      </c>
      <c r="X7085">
        <v>0.99955870000000002</v>
      </c>
      <c r="Y7085">
        <v>0.12589130000000001</v>
      </c>
      <c r="Z7085">
        <v>3.247332E-2</v>
      </c>
      <c r="AA7085">
        <v>0.99151239999999996</v>
      </c>
      <c r="AB7085">
        <v>22</v>
      </c>
      <c r="AC7085">
        <v>-4.6621999999999799</v>
      </c>
      <c r="AD7085">
        <v>-1.110335545022</v>
      </c>
      <c r="AE7085">
        <v>-33.660509999999903</v>
      </c>
      <c r="AF7085">
        <v>4.3026230871414697</v>
      </c>
      <c r="AG7085">
        <v>-1.110335545022</v>
      </c>
      <c r="AH7085">
        <v>33.671823975269703</v>
      </c>
      <c r="AI7085">
        <v>91.873434327315607</v>
      </c>
      <c r="AJ7085">
        <v>82.718143263987002</v>
      </c>
      <c r="AK7085">
        <v>33.963762163136302</v>
      </c>
      <c r="AL7085">
        <v>88.350082054894997</v>
      </c>
      <c r="AM7085">
        <v>89.581374726702606</v>
      </c>
      <c r="AN7085">
        <v>0.999999971035748</v>
      </c>
    </row>
    <row r="7086" spans="1:40" x14ac:dyDescent="0.25">
      <c r="A7086" t="str">
        <f>"20190312154105038"</f>
        <v>20190312154105038</v>
      </c>
      <c r="B7086" t="str">
        <f>"1552376465033752"</f>
        <v>1552376465033752</v>
      </c>
      <c r="C7086" t="s">
        <v>40</v>
      </c>
      <c r="D7086">
        <v>4.0255260000000002</v>
      </c>
      <c r="E7086">
        <v>0.54590530000000004</v>
      </c>
      <c r="F7086" t="s">
        <v>69</v>
      </c>
      <c r="G7086">
        <v>-426.6268</v>
      </c>
      <c r="H7086" s="1">
        <v>-7.7999069999999903E-6</v>
      </c>
      <c r="I7086">
        <v>25.526060000000001</v>
      </c>
      <c r="J7086">
        <v>-421.90890000000002</v>
      </c>
      <c r="K7086">
        <v>1.1103369999999999</v>
      </c>
      <c r="L7086">
        <v>59.601649999999999</v>
      </c>
      <c r="M7086">
        <v>-1.0612450000000001E-2</v>
      </c>
      <c r="N7086">
        <v>0</v>
      </c>
      <c r="O7086">
        <v>-0.99983789999999995</v>
      </c>
      <c r="P7086">
        <v>-1.7543400000000001E-2</v>
      </c>
      <c r="Q7086">
        <v>1.433485E-2</v>
      </c>
      <c r="R7086">
        <v>-0.99974379999999996</v>
      </c>
      <c r="S7086">
        <v>-0.41290280000000001</v>
      </c>
      <c r="T7086">
        <v>-9.7138290000000002E-2</v>
      </c>
      <c r="U7086">
        <v>-2.994812</v>
      </c>
      <c r="V7086">
        <v>6.9373869999999997E-3</v>
      </c>
      <c r="W7086">
        <v>2.889833E-2</v>
      </c>
      <c r="X7086">
        <v>0.99955830000000001</v>
      </c>
      <c r="Y7086">
        <v>0.1259884</v>
      </c>
      <c r="Z7086">
        <v>3.2134740000000002E-2</v>
      </c>
      <c r="AA7086">
        <v>0.99151109999999998</v>
      </c>
      <c r="AB7086">
        <v>22</v>
      </c>
      <c r="AC7086">
        <v>-4.7178999999999798</v>
      </c>
      <c r="AD7086">
        <v>-1.110344799907</v>
      </c>
      <c r="AE7086">
        <v>-34.075589999999998</v>
      </c>
      <c r="AF7086">
        <v>4.35143720129554</v>
      </c>
      <c r="AG7086">
        <v>-1.110344799907</v>
      </c>
      <c r="AH7086">
        <v>34.088231476985797</v>
      </c>
      <c r="AI7086">
        <v>91.850610628365303</v>
      </c>
      <c r="AJ7086">
        <v>82.7254116874132</v>
      </c>
      <c r="AK7086">
        <v>34.382777614963899</v>
      </c>
      <c r="AL7086">
        <v>88.344017142270005</v>
      </c>
      <c r="AM7086">
        <v>89.602347743101106</v>
      </c>
      <c r="AN7086">
        <v>1.0000000179570301</v>
      </c>
    </row>
    <row r="7087" spans="1:40" x14ac:dyDescent="0.25">
      <c r="A7087" t="str">
        <f>"20190312154105056"</f>
        <v>20190312154105056</v>
      </c>
      <c r="B7087" t="str">
        <f>"1552376465043512"</f>
        <v>1552376465043512</v>
      </c>
      <c r="C7087" t="s">
        <v>40</v>
      </c>
      <c r="D7087">
        <v>4.0280740000000002</v>
      </c>
      <c r="E7087">
        <v>0.54603959999999996</v>
      </c>
      <c r="F7087" t="s">
        <v>69</v>
      </c>
      <c r="G7087">
        <v>-426.70609999999999</v>
      </c>
      <c r="H7087" s="1">
        <v>-8.0588139999999998E-6</v>
      </c>
      <c r="I7087">
        <v>24.949680000000001</v>
      </c>
      <c r="J7087">
        <v>-421.91079999999999</v>
      </c>
      <c r="K7087">
        <v>1.1103449999999999</v>
      </c>
      <c r="L7087">
        <v>59.428249999999998</v>
      </c>
      <c r="M7087">
        <v>-1.0681680000000001E-2</v>
      </c>
      <c r="N7087">
        <v>0</v>
      </c>
      <c r="O7087">
        <v>-0.99983690000000003</v>
      </c>
      <c r="P7087">
        <v>-1.6780219999999998E-2</v>
      </c>
      <c r="Q7087">
        <v>1.4967690000000001E-2</v>
      </c>
      <c r="R7087">
        <v>-0.99974730000000001</v>
      </c>
      <c r="S7087">
        <v>-0.41461179999999997</v>
      </c>
      <c r="T7087">
        <v>-9.5964069999999999E-2</v>
      </c>
      <c r="U7087">
        <v>-2.9948730000000001</v>
      </c>
      <c r="V7087">
        <v>6.1042479999999996E-3</v>
      </c>
      <c r="W7087">
        <v>2.9527009999999999E-2</v>
      </c>
      <c r="X7087">
        <v>0.99954529999999997</v>
      </c>
      <c r="Y7087">
        <v>0.1264738</v>
      </c>
      <c r="Z7087">
        <v>3.1743800000000003E-2</v>
      </c>
      <c r="AA7087">
        <v>0.99146190000000001</v>
      </c>
      <c r="AB7087">
        <v>22</v>
      </c>
      <c r="AC7087">
        <v>-4.7952999999999903</v>
      </c>
      <c r="AD7087">
        <v>-1.110353058814</v>
      </c>
      <c r="AE7087">
        <v>-34.478569999999998</v>
      </c>
      <c r="AF7087">
        <v>4.4221989923240397</v>
      </c>
      <c r="AG7087">
        <v>-1.110353058814</v>
      </c>
      <c r="AH7087">
        <v>34.492736011887402</v>
      </c>
      <c r="AI7087">
        <v>91.828808941077398</v>
      </c>
      <c r="AJ7087">
        <v>82.694153280596495</v>
      </c>
      <c r="AK7087">
        <v>34.792780363585301</v>
      </c>
      <c r="AL7087">
        <v>88.307980948046804</v>
      </c>
      <c r="AM7087">
        <v>89.650097599814004</v>
      </c>
      <c r="AN7087">
        <v>0.99999995645763595</v>
      </c>
    </row>
    <row r="7088" spans="1:40" x14ac:dyDescent="0.25">
      <c r="A7088" t="str">
        <f>"20190312154105071"</f>
        <v>20190312154105071</v>
      </c>
      <c r="B7088" t="str">
        <f>"1552376465063032"</f>
        <v>1552376465063032</v>
      </c>
      <c r="C7088" t="s">
        <v>40</v>
      </c>
      <c r="D7088">
        <v>4.053248</v>
      </c>
      <c r="E7088">
        <v>0.54631540000000001</v>
      </c>
      <c r="F7088" t="s">
        <v>69</v>
      </c>
      <c r="G7088">
        <v>-426.79820000000001</v>
      </c>
      <c r="H7088" s="1">
        <v>-8.4630759999999997E-6</v>
      </c>
      <c r="I7088">
        <v>24.043320000000001</v>
      </c>
      <c r="J7088">
        <v>-421.91250000000002</v>
      </c>
      <c r="K7088">
        <v>1.11036</v>
      </c>
      <c r="L7088">
        <v>59.271970000000003</v>
      </c>
      <c r="M7088">
        <v>-1.0726919999999999E-2</v>
      </c>
      <c r="N7088">
        <v>0</v>
      </c>
      <c r="O7088">
        <v>-0.99983670000000002</v>
      </c>
      <c r="P7088">
        <v>-1.6452270000000001E-2</v>
      </c>
      <c r="Q7088">
        <v>1.53668E-2</v>
      </c>
      <c r="R7088">
        <v>-0.99974680000000005</v>
      </c>
      <c r="S7088">
        <v>-0.41369630000000002</v>
      </c>
      <c r="T7088">
        <v>-9.3987459999999995E-2</v>
      </c>
      <c r="U7088">
        <v>-2.995209</v>
      </c>
      <c r="V7088">
        <v>5.7301380000000001E-3</v>
      </c>
      <c r="W7088">
        <v>2.9922609999999999E-2</v>
      </c>
      <c r="X7088">
        <v>0.99953579999999997</v>
      </c>
      <c r="Y7088">
        <v>0.12611929999999999</v>
      </c>
      <c r="Z7088">
        <v>3.1088500000000002E-2</v>
      </c>
      <c r="AA7088">
        <v>0.99152779999999996</v>
      </c>
      <c r="AB7088">
        <v>22</v>
      </c>
      <c r="AC7088">
        <v>-4.8856999999999804</v>
      </c>
      <c r="AD7088">
        <v>-1.110368463076</v>
      </c>
      <c r="AE7088">
        <v>-35.228649999999902</v>
      </c>
      <c r="AF7088">
        <v>4.5030948198304701</v>
      </c>
      <c r="AG7088">
        <v>-1.110368463076</v>
      </c>
      <c r="AH7088">
        <v>35.244683947856203</v>
      </c>
      <c r="AI7088">
        <v>91.789940751294495</v>
      </c>
      <c r="AJ7088">
        <v>82.718959130913404</v>
      </c>
      <c r="AK7088">
        <v>35.548537630463102</v>
      </c>
      <c r="AL7088">
        <v>88.285304801815798</v>
      </c>
      <c r="AM7088">
        <v>89.671538401291798</v>
      </c>
      <c r="AN7088">
        <v>1.00000000627617</v>
      </c>
    </row>
    <row r="7089" spans="1:40" x14ac:dyDescent="0.25">
      <c r="A7089" t="str">
        <f>"20190312154105085"</f>
        <v>20190312154105085</v>
      </c>
      <c r="B7089" t="str">
        <f>"1552376465073768"</f>
        <v>1552376465073768</v>
      </c>
      <c r="C7089" t="s">
        <v>40</v>
      </c>
      <c r="D7089">
        <v>4.0404010000000001</v>
      </c>
      <c r="E7089">
        <v>0.5464445</v>
      </c>
      <c r="F7089" t="s">
        <v>69</v>
      </c>
      <c r="G7089">
        <v>-426.87880000000001</v>
      </c>
      <c r="H7089" s="1">
        <v>-8.7625389999999996E-6</v>
      </c>
      <c r="I7089">
        <v>23.37443</v>
      </c>
      <c r="J7089">
        <v>-421.91399999999999</v>
      </c>
      <c r="K7089">
        <v>1.110382</v>
      </c>
      <c r="L7089">
        <v>59.140410000000003</v>
      </c>
      <c r="M7089">
        <v>-1.075224E-2</v>
      </c>
      <c r="N7089">
        <v>0</v>
      </c>
      <c r="O7089">
        <v>-0.99983619999999995</v>
      </c>
      <c r="P7089">
        <v>-1.6276269999999999E-2</v>
      </c>
      <c r="Q7089">
        <v>1.540512E-2</v>
      </c>
      <c r="R7089">
        <v>-0.99974890000000005</v>
      </c>
      <c r="S7089">
        <v>-0.41439819999999999</v>
      </c>
      <c r="T7089">
        <v>-9.2651369999999997E-2</v>
      </c>
      <c r="U7089">
        <v>-2.9953609999999999</v>
      </c>
      <c r="V7089">
        <v>5.5278009999999997E-3</v>
      </c>
      <c r="W7089">
        <v>2.995836E-2</v>
      </c>
      <c r="X7089">
        <v>0.99953590000000003</v>
      </c>
      <c r="Y7089">
        <v>0.12631719999999999</v>
      </c>
      <c r="Z7089">
        <v>3.064453E-2</v>
      </c>
      <c r="AA7089">
        <v>0.99151650000000002</v>
      </c>
      <c r="AB7089">
        <v>22</v>
      </c>
      <c r="AC7089">
        <v>-4.9648000000000199</v>
      </c>
      <c r="AD7089">
        <v>-1.1103907625389999</v>
      </c>
      <c r="AE7089">
        <v>-35.765979999999999</v>
      </c>
      <c r="AF7089">
        <v>4.5755809556084301</v>
      </c>
      <c r="AG7089">
        <v>-1.1103907625389999</v>
      </c>
      <c r="AH7089">
        <v>35.783462401324101</v>
      </c>
      <c r="AI7089">
        <v>91.763020201559499</v>
      </c>
      <c r="AJ7089">
        <v>82.713211566835696</v>
      </c>
      <c r="AK7089">
        <v>36.091897846384299</v>
      </c>
      <c r="AL7089">
        <v>88.283255612883593</v>
      </c>
      <c r="AM7089">
        <v>89.683136505258105</v>
      </c>
      <c r="AN7089">
        <v>1.00000003765329</v>
      </c>
    </row>
    <row r="7090" spans="1:40" x14ac:dyDescent="0.25">
      <c r="A7090" t="str">
        <f>"20190312154105102"</f>
        <v>20190312154105102</v>
      </c>
      <c r="B7090" t="str">
        <f>"1552376465093288"</f>
        <v>1552376465093288</v>
      </c>
      <c r="C7090" t="s">
        <v>40</v>
      </c>
      <c r="D7090">
        <v>4.0205890000000002</v>
      </c>
      <c r="E7090">
        <v>0.54676559999999996</v>
      </c>
      <c r="F7090" t="s">
        <v>69</v>
      </c>
      <c r="G7090">
        <v>-426.92309999999998</v>
      </c>
      <c r="H7090" s="1">
        <v>-8.9348800000000001E-6</v>
      </c>
      <c r="I7090">
        <v>22.98903</v>
      </c>
      <c r="J7090">
        <v>-421.91579999999999</v>
      </c>
      <c r="K7090">
        <v>1.110401</v>
      </c>
      <c r="L7090">
        <v>58.977870000000003</v>
      </c>
      <c r="M7090">
        <v>-1.076557E-2</v>
      </c>
      <c r="N7090">
        <v>0</v>
      </c>
      <c r="O7090">
        <v>-0.99983639999999996</v>
      </c>
      <c r="P7090">
        <v>-1.624043E-2</v>
      </c>
      <c r="Q7090">
        <v>1.5657069999999999E-2</v>
      </c>
      <c r="R7090">
        <v>-0.99974569999999996</v>
      </c>
      <c r="S7090">
        <v>-0.41503909999999999</v>
      </c>
      <c r="T7090">
        <v>-9.2004539999999996E-2</v>
      </c>
      <c r="U7090">
        <v>-2.995422</v>
      </c>
      <c r="V7090">
        <v>5.4772780000000004E-3</v>
      </c>
      <c r="W7090">
        <v>3.0206199999999999E-2</v>
      </c>
      <c r="X7090">
        <v>0.99952870000000005</v>
      </c>
      <c r="Y7090">
        <v>0.12651029999999999</v>
      </c>
      <c r="Z7090">
        <v>3.0429359999999999E-2</v>
      </c>
      <c r="AA7090">
        <v>0.99149849999999995</v>
      </c>
      <c r="AB7090">
        <v>22</v>
      </c>
      <c r="AC7090">
        <v>-5.0072999999999803</v>
      </c>
      <c r="AD7090">
        <v>-1.1104099348799901</v>
      </c>
      <c r="AE7090">
        <v>-35.988840000000003</v>
      </c>
      <c r="AF7090">
        <v>4.6152182637434596</v>
      </c>
      <c r="AG7090">
        <v>-1.1104099348799901</v>
      </c>
      <c r="AH7090">
        <v>36.007038867752897</v>
      </c>
      <c r="AI7090">
        <v>91.752042581084197</v>
      </c>
      <c r="AJ7090">
        <v>82.695913640534798</v>
      </c>
      <c r="AK7090">
        <v>36.318591628384198</v>
      </c>
      <c r="AL7090">
        <v>88.269048964864197</v>
      </c>
      <c r="AM7090">
        <v>89.686030254651996</v>
      </c>
      <c r="AN7090">
        <v>1.0000000186082001</v>
      </c>
    </row>
    <row r="7091" spans="1:40" x14ac:dyDescent="0.25">
      <c r="A7091" t="str">
        <f>"20190312154105124"</f>
        <v>20190312154105124</v>
      </c>
      <c r="B7091" t="str">
        <f>"1552376465113784"</f>
        <v>1552376465113784</v>
      </c>
      <c r="C7091" t="s">
        <v>40</v>
      </c>
      <c r="D7091">
        <v>4.011552</v>
      </c>
      <c r="E7091">
        <v>0.54708369999999995</v>
      </c>
      <c r="F7091" t="s">
        <v>69</v>
      </c>
      <c r="G7091">
        <v>-426.94819999999999</v>
      </c>
      <c r="H7091" s="1">
        <v>-9.0038739999999992E-6</v>
      </c>
      <c r="I7091">
        <v>22.83623</v>
      </c>
      <c r="J7091">
        <v>-421.91820000000001</v>
      </c>
      <c r="K7091">
        <v>1.110433</v>
      </c>
      <c r="L7091">
        <v>58.759639999999997</v>
      </c>
      <c r="M7091">
        <v>-1.073787E-2</v>
      </c>
      <c r="N7091">
        <v>0</v>
      </c>
      <c r="O7091">
        <v>-0.99983670000000002</v>
      </c>
      <c r="P7091">
        <v>-1.7230570000000001E-2</v>
      </c>
      <c r="Q7091">
        <v>1.5820890000000001E-2</v>
      </c>
      <c r="R7091">
        <v>-0.99972660000000002</v>
      </c>
      <c r="S7091">
        <v>-0.4170837</v>
      </c>
      <c r="T7091">
        <v>-9.2030879999999995E-2</v>
      </c>
      <c r="U7091">
        <v>-2.995422</v>
      </c>
      <c r="V7091">
        <v>6.4928959999999997E-3</v>
      </c>
      <c r="W7091">
        <v>3.0365389999999999E-2</v>
      </c>
      <c r="X7091">
        <v>0.99951780000000001</v>
      </c>
      <c r="Y7091">
        <v>0.1272017</v>
      </c>
      <c r="Z7091">
        <v>3.0435299999999998E-2</v>
      </c>
      <c r="AA7091">
        <v>0.99140980000000001</v>
      </c>
      <c r="AB7091">
        <v>22</v>
      </c>
      <c r="AC7091">
        <v>-5.0299999999999701</v>
      </c>
      <c r="AD7091">
        <v>-1.1104420038739999</v>
      </c>
      <c r="AE7091">
        <v>-35.923409999999997</v>
      </c>
      <c r="AF7091">
        <v>4.6395803493411698</v>
      </c>
      <c r="AG7091">
        <v>-1.1104420038739999</v>
      </c>
      <c r="AH7091">
        <v>35.941673301405402</v>
      </c>
      <c r="AI7091">
        <v>91.755075427006403</v>
      </c>
      <c r="AJ7091">
        <v>82.644570718436398</v>
      </c>
      <c r="AK7091">
        <v>36.256898198369299</v>
      </c>
      <c r="AL7091">
        <v>88.259923872642005</v>
      </c>
      <c r="AM7091">
        <v>89.627810225158896</v>
      </c>
      <c r="AN7091">
        <v>1.0000000235625699</v>
      </c>
    </row>
    <row r="7092" spans="1:40" x14ac:dyDescent="0.25">
      <c r="A7092" t="str">
        <f>"20190312154105145"</f>
        <v>20190312154105145</v>
      </c>
      <c r="B7092" t="str">
        <f>"1552376465133304"</f>
        <v>1552376465133304</v>
      </c>
      <c r="C7092" t="s">
        <v>40</v>
      </c>
      <c r="D7092">
        <v>4.0156530000000004</v>
      </c>
      <c r="E7092">
        <v>0.54736609999999997</v>
      </c>
      <c r="F7092" t="s">
        <v>69</v>
      </c>
      <c r="G7092">
        <v>-426.98340000000002</v>
      </c>
      <c r="H7092" s="1">
        <v>-9.0169690000000004E-6</v>
      </c>
      <c r="I7092">
        <v>22.81335</v>
      </c>
      <c r="J7092">
        <v>-421.92039999999997</v>
      </c>
      <c r="K7092">
        <v>1.1104780000000001</v>
      </c>
      <c r="L7092">
        <v>58.541170000000001</v>
      </c>
      <c r="M7092">
        <v>-1.0649870000000001E-2</v>
      </c>
      <c r="N7092">
        <v>0</v>
      </c>
      <c r="O7092">
        <v>-0.99983759999999999</v>
      </c>
      <c r="P7092">
        <v>-1.8497900000000001E-2</v>
      </c>
      <c r="Q7092">
        <v>1.6587290000000001E-2</v>
      </c>
      <c r="R7092">
        <v>-0.99969160000000001</v>
      </c>
      <c r="S7092">
        <v>-0.4220276</v>
      </c>
      <c r="T7092">
        <v>-9.2520480000000002E-2</v>
      </c>
      <c r="U7092">
        <v>-2.9949949999999999</v>
      </c>
      <c r="V7092">
        <v>7.8454839999999998E-3</v>
      </c>
      <c r="W7092">
        <v>3.1127019999999998E-2</v>
      </c>
      <c r="X7092">
        <v>0.9994847</v>
      </c>
      <c r="Y7092">
        <v>0.12891240000000001</v>
      </c>
      <c r="Z7092">
        <v>3.0594550000000002E-2</v>
      </c>
      <c r="AA7092">
        <v>0.99118390000000001</v>
      </c>
      <c r="AB7092">
        <v>22</v>
      </c>
      <c r="AC7092">
        <v>-5.0630000000000397</v>
      </c>
      <c r="AD7092">
        <v>-1.110487016969</v>
      </c>
      <c r="AE7092">
        <v>-35.727819999999902</v>
      </c>
      <c r="AF7092">
        <v>4.6777458339820104</v>
      </c>
      <c r="AG7092">
        <v>-1.110487016969</v>
      </c>
      <c r="AH7092">
        <v>35.745865793378897</v>
      </c>
      <c r="AI7092">
        <v>91.764354720215493</v>
      </c>
      <c r="AJ7092">
        <v>82.544571808010005</v>
      </c>
      <c r="AK7092">
        <v>36.067733624674098</v>
      </c>
      <c r="AL7092">
        <v>88.216265101983396</v>
      </c>
      <c r="AM7092">
        <v>89.550264361712607</v>
      </c>
      <c r="AN7092">
        <v>1.00000005426368</v>
      </c>
    </row>
    <row r="7093" spans="1:40" x14ac:dyDescent="0.25">
      <c r="A7093" t="str">
        <f>"20190312154105170"</f>
        <v>20190312154105170</v>
      </c>
      <c r="B7093" t="str">
        <f>"1552376465163560"</f>
        <v>1552376465163560</v>
      </c>
      <c r="C7093" t="s">
        <v>40</v>
      </c>
      <c r="D7093">
        <v>4.1479419999999996</v>
      </c>
      <c r="E7093">
        <v>0.54764290000000004</v>
      </c>
      <c r="F7093" t="s">
        <v>69</v>
      </c>
      <c r="G7093">
        <v>-427.11669999999998</v>
      </c>
      <c r="H7093" s="1">
        <v>-9.2903520000000004E-6</v>
      </c>
      <c r="I7093">
        <v>22.214700000000001</v>
      </c>
      <c r="J7093">
        <v>-421.92270000000002</v>
      </c>
      <c r="K7093">
        <v>1.110527</v>
      </c>
      <c r="L7093">
        <v>58.317749999999997</v>
      </c>
      <c r="M7093">
        <v>-1.0481910000000001E-2</v>
      </c>
      <c r="N7093">
        <v>0</v>
      </c>
      <c r="O7093">
        <v>-0.99983960000000005</v>
      </c>
      <c r="P7093">
        <v>-1.9315300000000001E-2</v>
      </c>
      <c r="Q7093">
        <v>1.6886760000000001E-2</v>
      </c>
      <c r="R7093">
        <v>-0.99967099999999998</v>
      </c>
      <c r="S7093">
        <v>-0.42834470000000002</v>
      </c>
      <c r="T7093">
        <v>-9.1541049999999999E-2</v>
      </c>
      <c r="U7093">
        <v>-2.994507</v>
      </c>
      <c r="V7093">
        <v>8.827115E-3</v>
      </c>
      <c r="W7093">
        <v>3.1422520000000002E-2</v>
      </c>
      <c r="X7093">
        <v>0.9994672</v>
      </c>
      <c r="Y7093">
        <v>0.13115209999999999</v>
      </c>
      <c r="Z7093">
        <v>3.026701E-2</v>
      </c>
      <c r="AA7093">
        <v>0.99090009999999995</v>
      </c>
      <c r="AB7093">
        <v>22</v>
      </c>
      <c r="AC7093">
        <v>-5.19399999999996</v>
      </c>
      <c r="AD7093">
        <v>-1.110536290352</v>
      </c>
      <c r="AE7093">
        <v>-36.103050000000003</v>
      </c>
      <c r="AF7093">
        <v>4.8107861564638998</v>
      </c>
      <c r="AG7093">
        <v>-1.110536290352</v>
      </c>
      <c r="AH7093">
        <v>36.122029783916297</v>
      </c>
      <c r="AI7093">
        <v>91.745544803670199</v>
      </c>
      <c r="AJ7093">
        <v>82.413904182873296</v>
      </c>
      <c r="AK7093">
        <v>36.457893384088301</v>
      </c>
      <c r="AL7093">
        <v>88.199325794943405</v>
      </c>
      <c r="AM7093">
        <v>89.493987110785696</v>
      </c>
      <c r="AN7093">
        <v>0.99999998829910597</v>
      </c>
    </row>
    <row r="7094" spans="1:40" x14ac:dyDescent="0.25">
      <c r="A7094" t="str">
        <f>"20190312154105191"</f>
        <v>20190312154105191</v>
      </c>
      <c r="B7094" t="str">
        <f>"1552376465183080"</f>
        <v>1552376465183080</v>
      </c>
      <c r="C7094" t="s">
        <v>40</v>
      </c>
      <c r="D7094">
        <v>4.2339840000000004</v>
      </c>
      <c r="E7094">
        <v>0.51457949999999997</v>
      </c>
      <c r="F7094" t="s">
        <v>69</v>
      </c>
      <c r="G7094">
        <v>-427.15190000000001</v>
      </c>
      <c r="H7094" s="1">
        <v>-9.3233090000000006E-6</v>
      </c>
      <c r="I7094">
        <v>22.146380000000001</v>
      </c>
      <c r="J7094">
        <v>-421.92469999999997</v>
      </c>
      <c r="K7094">
        <v>1.11059</v>
      </c>
      <c r="L7094">
        <v>58.100459999999998</v>
      </c>
      <c r="M7094">
        <v>-1.022344E-2</v>
      </c>
      <c r="N7094">
        <v>0</v>
      </c>
      <c r="O7094">
        <v>-0.99984229999999996</v>
      </c>
      <c r="P7094">
        <v>-1.967008E-2</v>
      </c>
      <c r="Q7094">
        <v>1.6693670000000001E-2</v>
      </c>
      <c r="R7094">
        <v>-0.99966730000000004</v>
      </c>
      <c r="S7094">
        <v>-0.4328613</v>
      </c>
      <c r="T7094">
        <v>-9.1927289999999995E-2</v>
      </c>
      <c r="U7094">
        <v>-2.9941710000000001</v>
      </c>
      <c r="V7094">
        <v>9.435756E-3</v>
      </c>
      <c r="W7094">
        <v>3.1225679999999999E-2</v>
      </c>
      <c r="X7094">
        <v>0.99946780000000002</v>
      </c>
      <c r="Y7094">
        <v>0.1328877</v>
      </c>
      <c r="Z7094">
        <v>3.0391319999999999E-2</v>
      </c>
      <c r="AA7094">
        <v>0.99066500000000002</v>
      </c>
      <c r="AB7094">
        <v>22</v>
      </c>
      <c r="AC7094">
        <v>-5.22720000000003</v>
      </c>
      <c r="AD7094">
        <v>-1.1105993233089999</v>
      </c>
      <c r="AE7094">
        <v>-35.954079999999998</v>
      </c>
      <c r="AF7094">
        <v>4.8547773056305301</v>
      </c>
      <c r="AG7094">
        <v>-1.1105993233089999</v>
      </c>
      <c r="AH7094">
        <v>35.972033822804804</v>
      </c>
      <c r="AI7094">
        <v>91.752508025532805</v>
      </c>
      <c r="AJ7094">
        <v>82.313816159570194</v>
      </c>
      <c r="AK7094">
        <v>36.315141620172803</v>
      </c>
      <c r="AL7094">
        <v>88.2106094184238</v>
      </c>
      <c r="AM7094">
        <v>89.459099198206403</v>
      </c>
      <c r="AN7094">
        <v>0.99999997990979606</v>
      </c>
    </row>
    <row r="7095" spans="1:40" x14ac:dyDescent="0.25">
      <c r="A7095" t="str">
        <f>"20190312154105213"</f>
        <v>20190312154105213</v>
      </c>
      <c r="B7095" t="str">
        <f>"1552376465203576"</f>
        <v>1552376465203576</v>
      </c>
      <c r="C7095" t="s">
        <v>40</v>
      </c>
      <c r="D7095">
        <v>4.2049789999999998</v>
      </c>
      <c r="E7095">
        <v>0.49563610000000002</v>
      </c>
      <c r="F7095" t="s">
        <v>69</v>
      </c>
      <c r="G7095">
        <v>-423.84710000000001</v>
      </c>
      <c r="H7095" s="1">
        <v>-8.1843170000000004E-6</v>
      </c>
      <c r="I7095">
        <v>24.130600000000001</v>
      </c>
      <c r="J7095">
        <v>-421.92649999999998</v>
      </c>
      <c r="K7095">
        <v>1.1106590000000001</v>
      </c>
      <c r="L7095">
        <v>57.886539999999997</v>
      </c>
      <c r="M7095">
        <v>-9.8596829999999993E-3</v>
      </c>
      <c r="N7095">
        <v>0</v>
      </c>
      <c r="O7095">
        <v>-0.99984589999999995</v>
      </c>
      <c r="P7095">
        <v>-1.9643259999999999E-2</v>
      </c>
      <c r="Q7095">
        <v>1.6279080000000001E-2</v>
      </c>
      <c r="R7095">
        <v>-0.99967479999999997</v>
      </c>
      <c r="S7095">
        <v>-0.1697388</v>
      </c>
      <c r="T7095">
        <v>-9.8057989999999998E-2</v>
      </c>
      <c r="U7095">
        <v>-2.999298</v>
      </c>
      <c r="V7095">
        <v>9.7672880000000007E-3</v>
      </c>
      <c r="W7095">
        <v>3.080865E-2</v>
      </c>
      <c r="X7095">
        <v>0.99947759999999997</v>
      </c>
      <c r="Y7095">
        <v>4.6624619999999999E-2</v>
      </c>
      <c r="Z7095">
        <v>3.262996E-2</v>
      </c>
      <c r="AA7095">
        <v>0.99837940000000003</v>
      </c>
      <c r="AB7095">
        <v>22</v>
      </c>
      <c r="AC7095">
        <v>-1.9206000000000301</v>
      </c>
      <c r="AD7095">
        <v>-1.110667184317</v>
      </c>
      <c r="AE7095">
        <v>-33.755940000000002</v>
      </c>
      <c r="AF7095">
        <v>1.58593725078724</v>
      </c>
      <c r="AG7095">
        <v>-1.110667184317</v>
      </c>
      <c r="AH7095">
        <v>33.736831760654901</v>
      </c>
      <c r="AI7095">
        <v>91.883503635711406</v>
      </c>
      <c r="AJ7095">
        <v>87.308559805533093</v>
      </c>
      <c r="AK7095">
        <v>33.792345224983798</v>
      </c>
      <c r="AL7095">
        <v>88.234515055984104</v>
      </c>
      <c r="AM7095">
        <v>89.440100942670199</v>
      </c>
      <c r="AN7095">
        <v>1.00000002286572</v>
      </c>
    </row>
    <row r="7096" spans="1:40" x14ac:dyDescent="0.25">
      <c r="A7096" t="str">
        <f>"20190312154105234"</f>
        <v>20190312154105234</v>
      </c>
      <c r="B7096" t="str">
        <f>"1552376465223096"</f>
        <v>1552376465223096</v>
      </c>
      <c r="C7096" t="s">
        <v>40</v>
      </c>
      <c r="D7096">
        <v>4.2058140000000002</v>
      </c>
      <c r="E7096">
        <v>0.48628830000000001</v>
      </c>
      <c r="F7096" t="s">
        <v>69</v>
      </c>
      <c r="G7096">
        <v>-422.10250000000002</v>
      </c>
      <c r="H7096" s="1">
        <v>-6.327992E-6</v>
      </c>
      <c r="I7096">
        <v>28.439599999999999</v>
      </c>
      <c r="J7096">
        <v>-421.92809999999997</v>
      </c>
      <c r="K7096">
        <v>1.1107499999999999</v>
      </c>
      <c r="L7096">
        <v>57.671419999999998</v>
      </c>
      <c r="M7096">
        <v>-9.3715010000000008E-3</v>
      </c>
      <c r="N7096">
        <v>0</v>
      </c>
      <c r="O7096">
        <v>-0.99985089999999999</v>
      </c>
      <c r="P7096">
        <v>-1.8523640000000001E-2</v>
      </c>
      <c r="Q7096">
        <v>1.6581849999999999E-2</v>
      </c>
      <c r="R7096">
        <v>-0.9996912</v>
      </c>
      <c r="S7096">
        <v>-1.794434E-2</v>
      </c>
      <c r="T7096">
        <v>-0.11324579999999999</v>
      </c>
      <c r="U7096">
        <v>-3.002472</v>
      </c>
      <c r="V7096">
        <v>9.1291919999999995E-3</v>
      </c>
      <c r="W7096">
        <v>3.1108440000000001E-2</v>
      </c>
      <c r="X7096">
        <v>0.99947430000000004</v>
      </c>
      <c r="Y7096">
        <v>-3.400414E-3</v>
      </c>
      <c r="Z7096">
        <v>3.7687810000000002E-2</v>
      </c>
      <c r="AA7096">
        <v>0.99928380000000006</v>
      </c>
      <c r="AB7096">
        <v>22</v>
      </c>
      <c r="AC7096">
        <v>-0.17440000000004799</v>
      </c>
      <c r="AD7096">
        <v>-1.1107563279920001</v>
      </c>
      <c r="AE7096">
        <v>-29.231819999999999</v>
      </c>
      <c r="AF7096">
        <v>-9.9438936623480301E-2</v>
      </c>
      <c r="AG7096">
        <v>-1.1107563279920001</v>
      </c>
      <c r="AH7096">
        <v>29.190025733038699</v>
      </c>
      <c r="AI7096">
        <v>92.179189235816594</v>
      </c>
      <c r="AJ7096">
        <v>90.195183430139707</v>
      </c>
      <c r="AK7096">
        <v>29.211320922165701</v>
      </c>
      <c r="AL7096">
        <v>88.217330035110507</v>
      </c>
      <c r="AM7096">
        <v>89.476675261879393</v>
      </c>
      <c r="AN7096">
        <v>0.999999976773148</v>
      </c>
    </row>
    <row r="7097" spans="1:40" x14ac:dyDescent="0.25">
      <c r="A7097" t="str">
        <f>"20190312154105251"</f>
        <v>20190312154105251</v>
      </c>
      <c r="B7097" t="str">
        <f>"1552376465243591"</f>
        <v>1552376465243591</v>
      </c>
      <c r="C7097" t="s">
        <v>40</v>
      </c>
      <c r="D7097">
        <v>4.1429269999999896</v>
      </c>
      <c r="E7097">
        <v>0.48104590000000003</v>
      </c>
      <c r="F7097" t="s">
        <v>69</v>
      </c>
      <c r="G7097">
        <v>-421.36329999999998</v>
      </c>
      <c r="H7097" s="1">
        <v>-5.9085399999999997E-6</v>
      </c>
      <c r="I7097">
        <v>29.364090000000001</v>
      </c>
      <c r="J7097">
        <v>-421.92910000000001</v>
      </c>
      <c r="K7097">
        <v>1.1108169999999999</v>
      </c>
      <c r="L7097">
        <v>57.516849999999998</v>
      </c>
      <c r="M7097">
        <v>-8.9276400000000006E-3</v>
      </c>
      <c r="N7097">
        <v>0</v>
      </c>
      <c r="O7097">
        <v>-0.99985480000000004</v>
      </c>
      <c r="P7097">
        <v>-1.7439030000000001E-2</v>
      </c>
      <c r="Q7097">
        <v>1.7115169999999999E-2</v>
      </c>
      <c r="R7097">
        <v>-0.99970150000000002</v>
      </c>
      <c r="S7097">
        <v>5.993652E-2</v>
      </c>
      <c r="T7097">
        <v>-0.1178744</v>
      </c>
      <c r="U7097">
        <v>-3.0039980000000002</v>
      </c>
      <c r="V7097">
        <v>8.4829269999999995E-3</v>
      </c>
      <c r="W7097">
        <v>3.163937E-2</v>
      </c>
      <c r="X7097">
        <v>0.9994634</v>
      </c>
      <c r="Y7097">
        <v>-2.8858959999999999E-2</v>
      </c>
      <c r="Z7097">
        <v>3.9194600000000003E-2</v>
      </c>
      <c r="AA7097">
        <v>0.9988148</v>
      </c>
      <c r="AB7097">
        <v>22</v>
      </c>
      <c r="AC7097">
        <v>0.56580000000002395</v>
      </c>
      <c r="AD7097">
        <v>-1.1108229085400001</v>
      </c>
      <c r="AE7097">
        <v>-28.152760000000001</v>
      </c>
      <c r="AF7097">
        <v>-0.81587195266288204</v>
      </c>
      <c r="AG7097">
        <v>-1.1108229085400001</v>
      </c>
      <c r="AH7097">
        <v>28.102851670633601</v>
      </c>
      <c r="AI7097">
        <v>92.262602646603298</v>
      </c>
      <c r="AJ7097">
        <v>91.662923521617003</v>
      </c>
      <c r="AK7097">
        <v>28.136628202379001</v>
      </c>
      <c r="AL7097">
        <v>88.186895133953698</v>
      </c>
      <c r="AM7097">
        <v>89.513714814759098</v>
      </c>
      <c r="AN7097">
        <v>1.00000004886202</v>
      </c>
    </row>
    <row r="7098" spans="1:40" x14ac:dyDescent="0.25">
      <c r="A7098" t="str">
        <f>"20190312154105264"</f>
        <v>20190312154105264</v>
      </c>
      <c r="B7098" t="str">
        <f>"1552376465253352"</f>
        <v>1552376465253352</v>
      </c>
      <c r="C7098" t="s">
        <v>40</v>
      </c>
      <c r="D7098">
        <v>4.1753739999999997</v>
      </c>
      <c r="E7098">
        <v>0.47931079999999998</v>
      </c>
      <c r="F7098" t="s">
        <v>69</v>
      </c>
      <c r="G7098">
        <v>-420.89949999999999</v>
      </c>
      <c r="H7098" s="1">
        <v>-6.3998400000000004E-6</v>
      </c>
      <c r="I7098">
        <v>28.09177</v>
      </c>
      <c r="J7098">
        <v>-421.9298</v>
      </c>
      <c r="K7098">
        <v>1.110876</v>
      </c>
      <c r="L7098">
        <v>57.389339999999997</v>
      </c>
      <c r="M7098">
        <v>-8.5105379999999998E-3</v>
      </c>
      <c r="N7098">
        <v>0</v>
      </c>
      <c r="O7098">
        <v>-0.99985829999999998</v>
      </c>
      <c r="P7098">
        <v>-1.6004230000000001E-2</v>
      </c>
      <c r="Q7098">
        <v>1.789518E-2</v>
      </c>
      <c r="R7098">
        <v>-0.99971160000000003</v>
      </c>
      <c r="S7098">
        <v>0.10513309999999999</v>
      </c>
      <c r="T7098">
        <v>-0.1134291</v>
      </c>
      <c r="U7098">
        <v>-3.0046689999999998</v>
      </c>
      <c r="V7098">
        <v>7.4600669999999999E-3</v>
      </c>
      <c r="W7098">
        <v>3.2416689999999998E-2</v>
      </c>
      <c r="X7098">
        <v>0.99944659999999996</v>
      </c>
      <c r="Y7098">
        <v>-4.3448609999999999E-2</v>
      </c>
      <c r="Z7098">
        <v>3.7692679999999999E-2</v>
      </c>
      <c r="AA7098">
        <v>0.99834440000000002</v>
      </c>
      <c r="AB7098">
        <v>22</v>
      </c>
      <c r="AC7098">
        <v>1.03030000000001</v>
      </c>
      <c r="AD7098">
        <v>-1.1108823998399999</v>
      </c>
      <c r="AE7098">
        <v>-29.29757</v>
      </c>
      <c r="AF7098">
        <v>-1.2777922328602001</v>
      </c>
      <c r="AG7098">
        <v>-1.1108823998399999</v>
      </c>
      <c r="AH7098">
        <v>29.245744297900199</v>
      </c>
      <c r="AI7098">
        <v>92.173229393535806</v>
      </c>
      <c r="AJ7098">
        <v>92.501750970511793</v>
      </c>
      <c r="AK7098">
        <v>29.2947157732379</v>
      </c>
      <c r="AL7098">
        <v>88.142335028892603</v>
      </c>
      <c r="AM7098">
        <v>89.572340917200194</v>
      </c>
      <c r="AN7098">
        <v>1.00000000032088</v>
      </c>
    </row>
    <row r="7099" spans="1:40" x14ac:dyDescent="0.25">
      <c r="A7099" t="str">
        <f>"20190312154105277"</f>
        <v>20190312154105277</v>
      </c>
      <c r="B7099" t="str">
        <f>"1552376465273848"</f>
        <v>1552376465273848</v>
      </c>
      <c r="C7099" t="s">
        <v>40</v>
      </c>
      <c r="D7099">
        <v>4.2069130000000001</v>
      </c>
      <c r="E7099">
        <v>0.47669289999999997</v>
      </c>
      <c r="F7099" t="s">
        <v>69</v>
      </c>
      <c r="G7099">
        <v>-420.69209999999998</v>
      </c>
      <c r="H7099" s="1">
        <v>-6.7926860000000002E-6</v>
      </c>
      <c r="I7099">
        <v>27.097709999999999</v>
      </c>
      <c r="J7099">
        <v>-421.93040000000002</v>
      </c>
      <c r="K7099">
        <v>1.110943</v>
      </c>
      <c r="L7099">
        <v>57.256039999999999</v>
      </c>
      <c r="M7099">
        <v>-8.0316620000000002E-3</v>
      </c>
      <c r="N7099">
        <v>0</v>
      </c>
      <c r="O7099">
        <v>-0.99986260000000005</v>
      </c>
      <c r="P7099">
        <v>-1.4570899999999999E-2</v>
      </c>
      <c r="Q7099">
        <v>1.8139289999999999E-2</v>
      </c>
      <c r="R7099">
        <v>-0.99972969999999906</v>
      </c>
      <c r="S7099">
        <v>0.1227722</v>
      </c>
      <c r="T7099">
        <v>-0.1101956</v>
      </c>
      <c r="U7099">
        <v>-3.0048219999999999</v>
      </c>
      <c r="V7099">
        <v>6.5005439999999996E-3</v>
      </c>
      <c r="W7099">
        <v>3.2658319999999998E-2</v>
      </c>
      <c r="X7099">
        <v>0.99944540000000004</v>
      </c>
      <c r="Y7099">
        <v>-4.8821459999999997E-2</v>
      </c>
      <c r="Z7099">
        <v>3.6609429999999998E-2</v>
      </c>
      <c r="AA7099">
        <v>0.99813629999999998</v>
      </c>
      <c r="AB7099">
        <v>22</v>
      </c>
      <c r="AC7099">
        <v>1.2383000000000299</v>
      </c>
      <c r="AD7099">
        <v>-1.1109497926859999</v>
      </c>
      <c r="AE7099">
        <v>-30.158329999999999</v>
      </c>
      <c r="AF7099">
        <v>-1.47850410692141</v>
      </c>
      <c r="AG7099">
        <v>-1.1109497926859999</v>
      </c>
      <c r="AH7099">
        <v>30.106625000188501</v>
      </c>
      <c r="AI7099">
        <v>92.110743215720305</v>
      </c>
      <c r="AJ7099">
        <v>92.811475681751503</v>
      </c>
      <c r="AK7099">
        <v>30.163372701639801</v>
      </c>
      <c r="AL7099">
        <v>88.128483249746296</v>
      </c>
      <c r="AM7099">
        <v>89.627344841668901</v>
      </c>
      <c r="AN7099">
        <v>0.99999996525933799</v>
      </c>
    </row>
    <row r="7100" spans="1:40" x14ac:dyDescent="0.25">
      <c r="A7100" t="str">
        <f>"20190312154105291"</f>
        <v>20190312154105291</v>
      </c>
      <c r="B7100" t="str">
        <f>"1552376465283608"</f>
        <v>1552376465283608</v>
      </c>
      <c r="C7100" t="s">
        <v>40</v>
      </c>
      <c r="D7100">
        <v>4.1902920000000003</v>
      </c>
      <c r="E7100">
        <v>0.47563709999999998</v>
      </c>
      <c r="F7100" t="s">
        <v>69</v>
      </c>
      <c r="G7100">
        <v>-420.44240000000002</v>
      </c>
      <c r="H7100" s="1">
        <v>-6.7661170000000002E-6</v>
      </c>
      <c r="I7100">
        <v>27.127359999999999</v>
      </c>
      <c r="J7100">
        <v>-421.93079999999998</v>
      </c>
      <c r="K7100">
        <v>1.111008</v>
      </c>
      <c r="L7100">
        <v>57.12274</v>
      </c>
      <c r="M7100">
        <v>-7.4739430000000003E-3</v>
      </c>
      <c r="N7100">
        <v>0</v>
      </c>
      <c r="O7100">
        <v>-0.99986699999999995</v>
      </c>
      <c r="P7100">
        <v>-1.124707E-2</v>
      </c>
      <c r="Q7100">
        <v>1.8928799999999999E-2</v>
      </c>
      <c r="R7100">
        <v>-0.99975789999999998</v>
      </c>
      <c r="S7100">
        <v>0.14840699999999901</v>
      </c>
      <c r="T7100">
        <v>-0.110805</v>
      </c>
      <c r="U7100">
        <v>-3.0050050000000001</v>
      </c>
      <c r="V7100">
        <v>3.7286149999999998E-3</v>
      </c>
      <c r="W7100">
        <v>3.3442760000000002E-2</v>
      </c>
      <c r="X7100">
        <v>0.99943369999999998</v>
      </c>
      <c r="Y7100">
        <v>-5.6757330000000002E-2</v>
      </c>
      <c r="Z7100">
        <v>3.6794819999999999E-2</v>
      </c>
      <c r="AA7100">
        <v>0.99770979999999998</v>
      </c>
      <c r="AB7100">
        <v>22</v>
      </c>
      <c r="AC7100">
        <v>1.48839999999995</v>
      </c>
      <c r="AD7100">
        <v>-1.111014766117</v>
      </c>
      <c r="AE7100">
        <v>-29.995380000000001</v>
      </c>
      <c r="AF7100">
        <v>-1.71022519619401</v>
      </c>
      <c r="AG7100">
        <v>-1.111014766117</v>
      </c>
      <c r="AH7100">
        <v>29.942438723001398</v>
      </c>
      <c r="AI7100">
        <v>92.121531529162993</v>
      </c>
      <c r="AJ7100">
        <v>93.2690168139832</v>
      </c>
      <c r="AK7100">
        <v>30.0118120198185</v>
      </c>
      <c r="AL7100">
        <v>88.083513684338797</v>
      </c>
      <c r="AM7100">
        <v>89.786246039336902</v>
      </c>
      <c r="AN7100">
        <v>1.0000000207309601</v>
      </c>
    </row>
    <row r="7101" spans="1:40" x14ac:dyDescent="0.25">
      <c r="A7101" t="str">
        <f>"20190312154105308"</f>
        <v>20190312154105308</v>
      </c>
      <c r="B7101" t="str">
        <f>"1552376465303127"</f>
        <v>1552376465303127</v>
      </c>
      <c r="C7101" t="s">
        <v>40</v>
      </c>
      <c r="D7101">
        <v>4.2005410000000003</v>
      </c>
      <c r="E7101">
        <v>0.47400819999999999</v>
      </c>
      <c r="F7101" t="s">
        <v>69</v>
      </c>
      <c r="G7101">
        <v>-420.22620000000001</v>
      </c>
      <c r="H7101" s="1">
        <v>-7.0358700000000003E-6</v>
      </c>
      <c r="I7101">
        <v>26.434249999999999</v>
      </c>
      <c r="J7101">
        <v>-421.93130000000002</v>
      </c>
      <c r="K7101">
        <v>1.111075</v>
      </c>
      <c r="L7101">
        <v>56.965060000000001</v>
      </c>
      <c r="M7101">
        <v>-6.755474E-3</v>
      </c>
      <c r="N7101">
        <v>0</v>
      </c>
      <c r="O7101">
        <v>-0.99987199999999998</v>
      </c>
      <c r="P7101">
        <v>-9.6061329999999993E-3</v>
      </c>
      <c r="Q7101">
        <v>1.8851369999999999E-2</v>
      </c>
      <c r="R7101">
        <v>-0.99977640000000001</v>
      </c>
      <c r="S7101">
        <v>0.16690060000000001</v>
      </c>
      <c r="T7101">
        <v>-0.108778</v>
      </c>
      <c r="U7101">
        <v>-3.0046689999999998</v>
      </c>
      <c r="V7101">
        <v>2.800856E-3</v>
      </c>
      <c r="W7101">
        <v>3.3362219999999998E-2</v>
      </c>
      <c r="X7101">
        <v>0.99943939999999998</v>
      </c>
      <c r="Y7101">
        <v>-6.2169929999999998E-2</v>
      </c>
      <c r="Z7101">
        <v>3.6115260000000003E-2</v>
      </c>
      <c r="AA7101">
        <v>0.99741199999999997</v>
      </c>
      <c r="AB7101">
        <v>22</v>
      </c>
      <c r="AC7101">
        <v>1.7051000000000101</v>
      </c>
      <c r="AD7101">
        <v>-1.11108203587</v>
      </c>
      <c r="AE7101">
        <v>-30.530809999999999</v>
      </c>
      <c r="AF7101">
        <v>-1.9088127223912099</v>
      </c>
      <c r="AG7101">
        <v>-1.11108203587</v>
      </c>
      <c r="AH7101">
        <v>30.478353527049201</v>
      </c>
      <c r="AI7101">
        <v>92.083702323076494</v>
      </c>
      <c r="AJ7101">
        <v>93.583666600364396</v>
      </c>
      <c r="AK7101">
        <v>30.5582738880878</v>
      </c>
      <c r="AL7101">
        <v>88.088130820079698</v>
      </c>
      <c r="AM7101">
        <v>89.839433178521801</v>
      </c>
      <c r="AN7101">
        <v>0.99999999839500997</v>
      </c>
    </row>
    <row r="7102" spans="1:40" x14ac:dyDescent="0.25">
      <c r="A7102" t="str">
        <f>"20190312154105324"</f>
        <v>20190312154105324</v>
      </c>
      <c r="B7102" t="str">
        <f>"1552376465313864"</f>
        <v>1552376465313864</v>
      </c>
      <c r="C7102" t="s">
        <v>40</v>
      </c>
      <c r="D7102">
        <v>4.1848869999999998</v>
      </c>
      <c r="E7102">
        <v>0.47333320000000001</v>
      </c>
      <c r="F7102" t="s">
        <v>69</v>
      </c>
      <c r="G7102">
        <v>-420.07940000000002</v>
      </c>
      <c r="H7102" s="1">
        <v>-6.8763459999999997E-6</v>
      </c>
      <c r="I7102">
        <v>26.805</v>
      </c>
      <c r="J7102">
        <v>-421.93150000000003</v>
      </c>
      <c r="K7102">
        <v>1.111132</v>
      </c>
      <c r="L7102">
        <v>56.807679999999998</v>
      </c>
      <c r="M7102">
        <v>-5.966786E-3</v>
      </c>
      <c r="N7102">
        <v>0</v>
      </c>
      <c r="O7102">
        <v>-0.99987720000000002</v>
      </c>
      <c r="P7102">
        <v>-8.164714E-3</v>
      </c>
      <c r="Q7102">
        <v>1.883955E-2</v>
      </c>
      <c r="R7102">
        <v>-0.99978940000000005</v>
      </c>
      <c r="S7102">
        <v>0.1844788</v>
      </c>
      <c r="T7102">
        <v>-0.1106861</v>
      </c>
      <c r="U7102">
        <v>-3.0045470000000001</v>
      </c>
      <c r="V7102">
        <v>2.1430379999999999E-3</v>
      </c>
      <c r="W7102">
        <v>3.3346969999999997E-2</v>
      </c>
      <c r="X7102">
        <v>0.99944160000000004</v>
      </c>
      <c r="Y7102">
        <v>-6.7198179999999996E-2</v>
      </c>
      <c r="Z7102">
        <v>3.6737409999999998E-2</v>
      </c>
      <c r="AA7102">
        <v>0.99706309999999998</v>
      </c>
      <c r="AB7102">
        <v>22</v>
      </c>
      <c r="AC7102">
        <v>1.8521000000000001</v>
      </c>
      <c r="AD7102">
        <v>-1.1111388763459999</v>
      </c>
      <c r="AE7102">
        <v>-30.002680000000002</v>
      </c>
      <c r="AF7102">
        <v>-2.0283339605756598</v>
      </c>
      <c r="AG7102">
        <v>-1.1111388763459999</v>
      </c>
      <c r="AH7102">
        <v>29.950170873778202</v>
      </c>
      <c r="AI7102">
        <v>92.119823881418796</v>
      </c>
      <c r="AJ7102">
        <v>93.8743615296369</v>
      </c>
      <c r="AK7102">
        <v>30.0393326095415</v>
      </c>
      <c r="AL7102">
        <v>88.089005189554399</v>
      </c>
      <c r="AM7102">
        <v>89.877144552962804</v>
      </c>
      <c r="AN7102">
        <v>1.0000000624153</v>
      </c>
    </row>
    <row r="7103" spans="1:40" x14ac:dyDescent="0.25">
      <c r="A7103" t="str">
        <f>"20190312154105347"</f>
        <v>20190312154105347</v>
      </c>
      <c r="B7103" t="str">
        <f>"1552376465343144"</f>
        <v>1552376465343144</v>
      </c>
      <c r="C7103" t="s">
        <v>40</v>
      </c>
      <c r="D7103">
        <v>4.2260989999999996</v>
      </c>
      <c r="E7103">
        <v>0.47175470000000003</v>
      </c>
      <c r="F7103" t="s">
        <v>69</v>
      </c>
      <c r="G7103">
        <v>-420.02480000000003</v>
      </c>
      <c r="H7103" s="1">
        <v>-6.6358540000000003E-6</v>
      </c>
      <c r="I7103">
        <v>27.38767</v>
      </c>
      <c r="J7103">
        <v>-421.9314</v>
      </c>
      <c r="K7103">
        <v>1.1112150000000001</v>
      </c>
      <c r="L7103">
        <v>56.591279999999998</v>
      </c>
      <c r="M7103">
        <v>-4.7561499999999998E-3</v>
      </c>
      <c r="N7103">
        <v>0</v>
      </c>
      <c r="O7103">
        <v>-0.99988379999999999</v>
      </c>
      <c r="P7103">
        <v>-7.1654229999999998E-3</v>
      </c>
      <c r="Q7103">
        <v>1.9483520000000001E-2</v>
      </c>
      <c r="R7103">
        <v>-0.99978469999999997</v>
      </c>
      <c r="S7103">
        <v>0.19470209999999999</v>
      </c>
      <c r="T7103">
        <v>-0.11346920000000001</v>
      </c>
      <c r="U7103">
        <v>-3.0043639999999998</v>
      </c>
      <c r="V7103">
        <v>2.3465869999999998E-3</v>
      </c>
      <c r="W7103">
        <v>3.398843E-2</v>
      </c>
      <c r="X7103">
        <v>0.99941950000000002</v>
      </c>
      <c r="Y7103">
        <v>-6.9370870000000001E-2</v>
      </c>
      <c r="Z7103">
        <v>3.7655670000000002E-2</v>
      </c>
      <c r="AA7103">
        <v>0.99687999999999999</v>
      </c>
      <c r="AB7103">
        <v>22</v>
      </c>
      <c r="AC7103">
        <v>1.9065999999999601</v>
      </c>
      <c r="AD7103">
        <v>-1.1112216358539999</v>
      </c>
      <c r="AE7103">
        <v>-29.203610000000001</v>
      </c>
      <c r="AF7103">
        <v>-2.0425449713280202</v>
      </c>
      <c r="AG7103">
        <v>-1.1112216358539999</v>
      </c>
      <c r="AH7103">
        <v>29.152181292396499</v>
      </c>
      <c r="AI7103">
        <v>92.177607961171205</v>
      </c>
      <c r="AJ7103">
        <v>94.007873883420302</v>
      </c>
      <c r="AK7103">
        <v>29.244768379808399</v>
      </c>
      <c r="AL7103">
        <v>88.052231326519504</v>
      </c>
      <c r="AM7103">
        <v>89.8654726225638</v>
      </c>
      <c r="AN7103">
        <v>1.00000002841233</v>
      </c>
    </row>
    <row r="7104" spans="1:40" x14ac:dyDescent="0.25">
      <c r="A7104" t="str">
        <f>"20190312154105369"</f>
        <v>20190312154105369</v>
      </c>
      <c r="B7104" t="str">
        <f>"1552376465363640"</f>
        <v>1552376465363640</v>
      </c>
      <c r="C7104" t="s">
        <v>40</v>
      </c>
      <c r="D7104">
        <v>4.1989330000000002</v>
      </c>
      <c r="E7104">
        <v>0.47114489999999998</v>
      </c>
      <c r="F7104" t="s">
        <v>69</v>
      </c>
      <c r="G7104">
        <v>-419.89240000000001</v>
      </c>
      <c r="H7104" s="1">
        <v>-7.0664860000000001E-6</v>
      </c>
      <c r="I7104">
        <v>27.452310000000001</v>
      </c>
      <c r="J7104">
        <v>-421.93090000000001</v>
      </c>
      <c r="K7104">
        <v>1.111289</v>
      </c>
      <c r="L7104">
        <v>56.375790000000002</v>
      </c>
      <c r="M7104">
        <v>-3.4225810000000001E-3</v>
      </c>
      <c r="N7104">
        <v>0</v>
      </c>
      <c r="O7104">
        <v>-0.99988909999999998</v>
      </c>
      <c r="P7104">
        <v>-6.5940950000000003E-3</v>
      </c>
      <c r="Q7104">
        <v>2.0063959999999999E-2</v>
      </c>
      <c r="R7104">
        <v>-0.99977720000000003</v>
      </c>
      <c r="S7104">
        <v>0.21023559999999999</v>
      </c>
      <c r="T7104">
        <v>-0.11457340000000001</v>
      </c>
      <c r="U7104">
        <v>-3.0043950000000001</v>
      </c>
      <c r="V7104">
        <v>3.101463E-3</v>
      </c>
      <c r="W7104">
        <v>3.456745E-2</v>
      </c>
      <c r="X7104">
        <v>0.9993976</v>
      </c>
      <c r="Y7104">
        <v>-7.3169070000000003E-2</v>
      </c>
      <c r="Z7104">
        <v>3.8009769999999998E-2</v>
      </c>
      <c r="AA7104">
        <v>0.99659500000000001</v>
      </c>
      <c r="AB7104">
        <v>22</v>
      </c>
      <c r="AC7104">
        <v>2.0384999999999902</v>
      </c>
      <c r="AD7104">
        <v>-1.1112960664860001</v>
      </c>
      <c r="AE7104">
        <v>-28.923480000000001</v>
      </c>
      <c r="AF7104">
        <v>-2.1343561515400999</v>
      </c>
      <c r="AG7104">
        <v>-1.1112960664860001</v>
      </c>
      <c r="AH7104">
        <v>28.873918598020399</v>
      </c>
      <c r="AI7104">
        <v>92.198114171152199</v>
      </c>
      <c r="AJ7104">
        <v>94.227607359759205</v>
      </c>
      <c r="AK7104">
        <v>28.974016468796901</v>
      </c>
      <c r="AL7104">
        <v>88.019036450807405</v>
      </c>
      <c r="AM7104">
        <v>89.822192719133895</v>
      </c>
      <c r="AN7104">
        <v>1.0000000452790001</v>
      </c>
    </row>
    <row r="7105" spans="1:40" x14ac:dyDescent="0.25">
      <c r="A7105" t="str">
        <f>"20190312154105391"</f>
        <v>20190312154105391</v>
      </c>
      <c r="B7105" t="str">
        <f>"1552376465383160"</f>
        <v>1552376465383160</v>
      </c>
      <c r="C7105" t="s">
        <v>40</v>
      </c>
      <c r="D7105">
        <v>4.2449490000000001</v>
      </c>
      <c r="E7105">
        <v>0.47065289999999999</v>
      </c>
      <c r="F7105" t="s">
        <v>69</v>
      </c>
      <c r="G7105">
        <v>-419.80680000000001</v>
      </c>
      <c r="H7105" s="1">
        <v>-7.0420380000000003E-6</v>
      </c>
      <c r="I7105">
        <v>26.967870000000001</v>
      </c>
      <c r="J7105">
        <v>-421.93</v>
      </c>
      <c r="K7105">
        <v>1.1113500000000001</v>
      </c>
      <c r="L7105">
        <v>56.16113</v>
      </c>
      <c r="M7105">
        <v>-1.9848829999999998E-3</v>
      </c>
      <c r="N7105">
        <v>0</v>
      </c>
      <c r="O7105">
        <v>-0.99989320000000004</v>
      </c>
      <c r="P7105">
        <v>-5.8799380000000004E-3</v>
      </c>
      <c r="Q7105">
        <v>2.0330359999999999E-2</v>
      </c>
      <c r="R7105">
        <v>-0.99977640000000001</v>
      </c>
      <c r="S7105">
        <v>0.2170105</v>
      </c>
      <c r="T7105">
        <v>-0.113533</v>
      </c>
      <c r="U7105">
        <v>-3.0043950000000001</v>
      </c>
      <c r="V7105">
        <v>3.8188499999999999E-3</v>
      </c>
      <c r="W7105">
        <v>3.4832410000000001E-2</v>
      </c>
      <c r="X7105">
        <v>0.99938590000000005</v>
      </c>
      <c r="Y7105">
        <v>-7.3972019999999999E-2</v>
      </c>
      <c r="Z7105">
        <v>3.7661199999999999E-2</v>
      </c>
      <c r="AA7105">
        <v>0.99654900000000002</v>
      </c>
      <c r="AB7105">
        <v>22</v>
      </c>
      <c r="AC7105">
        <v>2.12319999999999</v>
      </c>
      <c r="AD7105">
        <v>-1.1113570420379999</v>
      </c>
      <c r="AE7105">
        <v>-29.193259999999999</v>
      </c>
      <c r="AF7105">
        <v>-2.1780072379188198</v>
      </c>
      <c r="AG7105">
        <v>-1.1113570420379999</v>
      </c>
      <c r="AH7105">
        <v>29.146968875652501</v>
      </c>
      <c r="AI7105">
        <v>92.177531941471997</v>
      </c>
      <c r="AJ7105">
        <v>94.273484780027204</v>
      </c>
      <c r="AK7105">
        <v>29.249352550809899</v>
      </c>
      <c r="AL7105">
        <v>88.003846180799997</v>
      </c>
      <c r="AM7105">
        <v>89.781062627915603</v>
      </c>
      <c r="AN7105">
        <v>1.0000000287602699</v>
      </c>
    </row>
    <row r="7106" spans="1:40" x14ac:dyDescent="0.25">
      <c r="A7106" t="str">
        <f>"20190312154105413"</f>
        <v>20190312154105413</v>
      </c>
      <c r="B7106" t="str">
        <f>"1552376465403656"</f>
        <v>1552376465403656</v>
      </c>
      <c r="C7106" t="s">
        <v>40</v>
      </c>
      <c r="D7106">
        <v>4.2625359999999999</v>
      </c>
      <c r="E7106">
        <v>0.47019630000000001</v>
      </c>
      <c r="F7106" t="s">
        <v>69</v>
      </c>
      <c r="G7106">
        <v>-419.79329999999999</v>
      </c>
      <c r="H7106" s="1">
        <v>-7.0911389999999998E-6</v>
      </c>
      <c r="I7106">
        <v>27.362469999999998</v>
      </c>
      <c r="J7106">
        <v>-421.92869999999999</v>
      </c>
      <c r="K7106">
        <v>1.1114010000000001</v>
      </c>
      <c r="L7106">
        <v>55.952359999999999</v>
      </c>
      <c r="M7106">
        <v>-4.9813699999999995E-4</v>
      </c>
      <c r="N7106">
        <v>0</v>
      </c>
      <c r="O7106">
        <v>-0.99989490000000003</v>
      </c>
      <c r="P7106">
        <v>-4.2235079999999999E-3</v>
      </c>
      <c r="Q7106">
        <v>1.943771E-2</v>
      </c>
      <c r="R7106">
        <v>-0.99980239999999998</v>
      </c>
      <c r="S7106">
        <v>0.2229004</v>
      </c>
      <c r="T7106">
        <v>-0.115939</v>
      </c>
      <c r="U7106">
        <v>-3.0043329999999999</v>
      </c>
      <c r="V7106">
        <v>3.6467589999999999E-3</v>
      </c>
      <c r="W7106">
        <v>3.3936969999999997E-2</v>
      </c>
      <c r="X7106">
        <v>0.99941729999999995</v>
      </c>
      <c r="Y7106">
        <v>-7.443168E-2</v>
      </c>
      <c r="Z7106">
        <v>3.8455629999999998E-2</v>
      </c>
      <c r="AA7106">
        <v>0.99648429999999999</v>
      </c>
      <c r="AB7106">
        <v>22</v>
      </c>
      <c r="AC7106">
        <v>2.1354000000000002</v>
      </c>
      <c r="AD7106">
        <v>-1.1114080911390001</v>
      </c>
      <c r="AE7106">
        <v>-28.58989</v>
      </c>
      <c r="AF7106">
        <v>-2.1464172401213899</v>
      </c>
      <c r="AG7106">
        <v>-1.1114080911390001</v>
      </c>
      <c r="AH7106">
        <v>28.545923322598799</v>
      </c>
      <c r="AI7106">
        <v>92.223359938640399</v>
      </c>
      <c r="AJ7106">
        <v>94.300076808093394</v>
      </c>
      <c r="AK7106">
        <v>28.648072766827301</v>
      </c>
      <c r="AL7106">
        <v>88.055181371417703</v>
      </c>
      <c r="AM7106">
        <v>89.790935205653895</v>
      </c>
      <c r="AN7106">
        <v>0.99999997816163699</v>
      </c>
    </row>
    <row r="7107" spans="1:40" x14ac:dyDescent="0.25">
      <c r="A7107" t="str">
        <f>"20190312154105435"</f>
        <v>20190312154105435</v>
      </c>
      <c r="B7107" t="str">
        <f>"1552376465423177"</f>
        <v>1552376465423177</v>
      </c>
      <c r="C7107" t="s">
        <v>40</v>
      </c>
      <c r="D7107">
        <v>4.2095969999999996</v>
      </c>
      <c r="E7107">
        <v>0.46987079999999998</v>
      </c>
      <c r="F7107" t="s">
        <v>69</v>
      </c>
      <c r="G7107">
        <v>-419.79809999999998</v>
      </c>
      <c r="H7107" s="1">
        <v>-7.1964960000000004E-6</v>
      </c>
      <c r="I7107">
        <v>28.314129999999999</v>
      </c>
      <c r="J7107">
        <v>-421.92700000000002</v>
      </c>
      <c r="K7107">
        <v>1.1114379999999999</v>
      </c>
      <c r="L7107">
        <v>55.736879999999999</v>
      </c>
      <c r="M7107">
        <v>1.1037659999999999E-3</v>
      </c>
      <c r="N7107">
        <v>0</v>
      </c>
      <c r="O7107">
        <v>-0.99989439999999996</v>
      </c>
      <c r="P7107">
        <v>-1.4348379999999999E-3</v>
      </c>
      <c r="Q7107">
        <v>1.9054100000000001E-2</v>
      </c>
      <c r="R7107">
        <v>-0.99981750000000003</v>
      </c>
      <c r="S7107">
        <v>0.23156740000000001</v>
      </c>
      <c r="T7107">
        <v>-0.1207964</v>
      </c>
      <c r="U7107">
        <v>-3.0039370000000001</v>
      </c>
      <c r="V7107">
        <v>2.457889E-3</v>
      </c>
      <c r="W7107">
        <v>3.3548090000000003E-2</v>
      </c>
      <c r="X7107">
        <v>0.99943409999999999</v>
      </c>
      <c r="Y7107">
        <v>-7.569758E-2</v>
      </c>
      <c r="Z7107">
        <v>4.0063229999999998E-2</v>
      </c>
      <c r="AA7107">
        <v>0.99632569999999998</v>
      </c>
      <c r="AB7107">
        <v>21</v>
      </c>
      <c r="AC7107">
        <v>2.1288999999999798</v>
      </c>
      <c r="AD7107">
        <v>-1.1114451964959999</v>
      </c>
      <c r="AE7107">
        <v>-27.422750000000001</v>
      </c>
      <c r="AF7107">
        <v>-2.0952060821685299</v>
      </c>
      <c r="AG7107">
        <v>-1.1114451964959999</v>
      </c>
      <c r="AH7107">
        <v>27.380375480518399</v>
      </c>
      <c r="AI7107">
        <v>92.317749386371702</v>
      </c>
      <c r="AJ7107">
        <v>94.375870197608194</v>
      </c>
      <c r="AK7107">
        <v>27.4829066949939</v>
      </c>
      <c r="AL7107">
        <v>88.077475326268299</v>
      </c>
      <c r="AM7107">
        <v>89.859093878922806</v>
      </c>
      <c r="AN7107">
        <v>1.00000001790189</v>
      </c>
    </row>
    <row r="7108" spans="1:40" x14ac:dyDescent="0.25">
      <c r="A7108" t="str">
        <f>"20190312154105459"</f>
        <v>20190312154105459</v>
      </c>
      <c r="B7108" t="str">
        <f>"1552376465453432"</f>
        <v>1552376465453432</v>
      </c>
      <c r="C7108" t="s">
        <v>40</v>
      </c>
      <c r="D7108">
        <v>4.2061500000000001</v>
      </c>
      <c r="E7108">
        <v>0.4695877</v>
      </c>
      <c r="F7108" t="s">
        <v>69</v>
      </c>
      <c r="G7108">
        <v>-419.76240000000001</v>
      </c>
      <c r="H7108" s="1">
        <v>-7.27627899999999E-6</v>
      </c>
      <c r="I7108">
        <v>28.911930000000002</v>
      </c>
      <c r="J7108">
        <v>-421.92469999999997</v>
      </c>
      <c r="K7108">
        <v>1.11145</v>
      </c>
      <c r="L7108">
        <v>55.519779999999997</v>
      </c>
      <c r="M7108">
        <v>2.7631880000000002E-3</v>
      </c>
      <c r="N7108">
        <v>0</v>
      </c>
      <c r="O7108">
        <v>-0.99989110000000003</v>
      </c>
      <c r="P7108">
        <v>2.8210420000000002E-3</v>
      </c>
      <c r="Q7108">
        <v>1.8523370000000001E-2</v>
      </c>
      <c r="R7108">
        <v>-0.99982420000000005</v>
      </c>
      <c r="S7108">
        <v>0.2423401</v>
      </c>
      <c r="T7108">
        <v>-0.12443510000000001</v>
      </c>
      <c r="U7108">
        <v>-3.0032649999999999</v>
      </c>
      <c r="V7108">
        <v>-1.3850930000000001E-4</v>
      </c>
      <c r="W7108">
        <v>3.3007170000000002E-2</v>
      </c>
      <c r="X7108">
        <v>0.99945510000000004</v>
      </c>
      <c r="Y7108">
        <v>-7.7607430000000005E-2</v>
      </c>
      <c r="Z7108">
        <v>4.1268119999999998E-2</v>
      </c>
      <c r="AA7108">
        <v>0.9961295</v>
      </c>
      <c r="AB7108">
        <v>21</v>
      </c>
      <c r="AC7108">
        <v>2.1622999999999601</v>
      </c>
      <c r="AD7108">
        <v>-1.111457276279</v>
      </c>
      <c r="AE7108">
        <v>-26.607849999999999</v>
      </c>
      <c r="AF7108">
        <v>-2.0851470602531998</v>
      </c>
      <c r="AG7108">
        <v>-1.111457276279</v>
      </c>
      <c r="AH7108">
        <v>26.567670567941299</v>
      </c>
      <c r="AI7108">
        <v>92.388233723896406</v>
      </c>
      <c r="AJ7108">
        <v>94.487624333966806</v>
      </c>
      <c r="AK7108">
        <v>26.672538217172601</v>
      </c>
      <c r="AL7108">
        <v>88.108484890003794</v>
      </c>
      <c r="AM7108">
        <v>90.007940324945494</v>
      </c>
      <c r="AN7108">
        <v>0.999999994686122</v>
      </c>
    </row>
    <row r="7109" spans="1:40" x14ac:dyDescent="0.25">
      <c r="A7109" t="str">
        <f>"20190312154105480"</f>
        <v>20190312154105480</v>
      </c>
      <c r="B7109" t="str">
        <f>"1552376465473932"</f>
        <v>1552376465473932</v>
      </c>
      <c r="C7109" t="s">
        <v>40</v>
      </c>
      <c r="D7109">
        <v>4.2070339999999904</v>
      </c>
      <c r="E7109">
        <v>0.4694797</v>
      </c>
      <c r="F7109" t="s">
        <v>69</v>
      </c>
      <c r="G7109">
        <v>-419.71949999999998</v>
      </c>
      <c r="H7109" s="1">
        <v>-5.7170590000000002E-6</v>
      </c>
      <c r="I7109">
        <v>29.73359</v>
      </c>
      <c r="J7109">
        <v>-421.92219999999998</v>
      </c>
      <c r="K7109">
        <v>1.1114379999999999</v>
      </c>
      <c r="L7109">
        <v>55.309690000000003</v>
      </c>
      <c r="M7109">
        <v>4.3882540000000003E-3</v>
      </c>
      <c r="N7109">
        <v>0</v>
      </c>
      <c r="O7109">
        <v>-0.99988560000000004</v>
      </c>
      <c r="P7109">
        <v>7.9810019999999992E-3</v>
      </c>
      <c r="Q7109">
        <v>1.7995549999999999E-2</v>
      </c>
      <c r="R7109">
        <v>-0.99980650000000004</v>
      </c>
      <c r="S7109">
        <v>0.25674439999999998</v>
      </c>
      <c r="T7109">
        <v>-0.12940299999999999</v>
      </c>
      <c r="U7109">
        <v>-3.0021969999999998</v>
      </c>
      <c r="V7109">
        <v>-3.6714349999999998E-3</v>
      </c>
      <c r="W7109">
        <v>3.2466729999999999E-2</v>
      </c>
      <c r="X7109">
        <v>0.99946610000000002</v>
      </c>
      <c r="Y7109">
        <v>-8.0755740000000006E-2</v>
      </c>
      <c r="Z7109">
        <v>4.2913659999999999E-2</v>
      </c>
      <c r="AA7109">
        <v>0.99580970000000002</v>
      </c>
      <c r="AB7109">
        <v>21</v>
      </c>
      <c r="AC7109">
        <v>2.2026999999999899</v>
      </c>
      <c r="AD7109">
        <v>-1.1114437170589999</v>
      </c>
      <c r="AE7109">
        <v>-25.5761</v>
      </c>
      <c r="AF7109">
        <v>-2.0865213161301002</v>
      </c>
      <c r="AG7109">
        <v>-1.1114437170589999</v>
      </c>
      <c r="AH7109">
        <v>25.537649121166101</v>
      </c>
      <c r="AI7109">
        <v>92.483775145984097</v>
      </c>
      <c r="AJ7109">
        <v>94.670904082451401</v>
      </c>
      <c r="AK7109">
        <v>25.646839980290999</v>
      </c>
      <c r="AL7109">
        <v>88.1394664869065</v>
      </c>
      <c r="AM7109">
        <v>90.210469153567502</v>
      </c>
      <c r="AN7109">
        <v>1.00000002652053</v>
      </c>
    </row>
    <row r="7110" spans="1:40" x14ac:dyDescent="0.25">
      <c r="A7110" t="str">
        <f>"20190312154105503"</f>
        <v>20190312154105503</v>
      </c>
      <c r="B7110" t="str">
        <f>"1552376465493448"</f>
        <v>1552376465493448</v>
      </c>
      <c r="C7110" t="s">
        <v>40</v>
      </c>
      <c r="D7110">
        <v>4.2205550000000001</v>
      </c>
      <c r="E7110">
        <v>0.46945609999999999</v>
      </c>
      <c r="F7110" t="s">
        <v>69</v>
      </c>
      <c r="G7110">
        <v>-419.6397</v>
      </c>
      <c r="H7110" s="1">
        <v>-5.4949609999999999E-6</v>
      </c>
      <c r="I7110">
        <v>30.20468</v>
      </c>
      <c r="J7110">
        <v>-421.9194</v>
      </c>
      <c r="K7110">
        <v>1.1114120000000001</v>
      </c>
      <c r="L7110">
        <v>55.102420000000002</v>
      </c>
      <c r="M7110">
        <v>5.9926579999999997E-3</v>
      </c>
      <c r="N7110">
        <v>0</v>
      </c>
      <c r="O7110">
        <v>-0.99987729999999997</v>
      </c>
      <c r="P7110">
        <v>1.326453E-2</v>
      </c>
      <c r="Q7110">
        <v>1.7676359999999999E-2</v>
      </c>
      <c r="R7110">
        <v>-0.99975590000000003</v>
      </c>
      <c r="S7110">
        <v>0.27282709999999999</v>
      </c>
      <c r="T7110">
        <v>-0.13285050000000001</v>
      </c>
      <c r="U7110">
        <v>-3.0007929999999998</v>
      </c>
      <c r="V7110">
        <v>-7.3492679999999999E-3</v>
      </c>
      <c r="W7110">
        <v>3.2134070000000001E-2</v>
      </c>
      <c r="X7110">
        <v>0.99945649999999997</v>
      </c>
      <c r="Y7110">
        <v>-8.448667E-2</v>
      </c>
      <c r="Z7110">
        <v>4.4057529999999998E-2</v>
      </c>
      <c r="AA7110">
        <v>0.9954501</v>
      </c>
      <c r="AB7110">
        <v>21</v>
      </c>
      <c r="AC7110">
        <v>2.2796999999999898</v>
      </c>
      <c r="AD7110">
        <v>-1.1114174949609901</v>
      </c>
      <c r="AE7110">
        <v>-24.897739999999899</v>
      </c>
      <c r="AF7110">
        <v>-2.1262381286040402</v>
      </c>
      <c r="AG7110">
        <v>-1.1114174949609901</v>
      </c>
      <c r="AH7110">
        <v>24.861826292501402</v>
      </c>
      <c r="AI7110">
        <v>92.550336188925797</v>
      </c>
      <c r="AJ7110">
        <v>94.888166953029895</v>
      </c>
      <c r="AK7110">
        <v>24.9773205934133</v>
      </c>
      <c r="AL7110">
        <v>88.1585363152832</v>
      </c>
      <c r="AM7110">
        <v>90.421303428198001</v>
      </c>
      <c r="AN7110">
        <v>0.99999995279357401</v>
      </c>
    </row>
    <row r="7111" spans="1:40" x14ac:dyDescent="0.25">
      <c r="A7111" t="str">
        <f>"20190312154105525"</f>
        <v>20190312154105525</v>
      </c>
      <c r="B7111" t="str">
        <f>"1552376465512969"</f>
        <v>1552376465512969</v>
      </c>
      <c r="C7111" t="s">
        <v>40</v>
      </c>
      <c r="D7111">
        <v>4.1808809999999896</v>
      </c>
      <c r="E7111">
        <v>0.46947139999999998</v>
      </c>
      <c r="F7111" t="s">
        <v>69</v>
      </c>
      <c r="G7111">
        <v>-419.548</v>
      </c>
      <c r="H7111" s="1">
        <v>-5.3800719999999996E-6</v>
      </c>
      <c r="I7111">
        <v>30.470099999999999</v>
      </c>
      <c r="J7111">
        <v>-421.9162</v>
      </c>
      <c r="K7111">
        <v>1.111375</v>
      </c>
      <c r="L7111">
        <v>54.890689999999999</v>
      </c>
      <c r="M7111">
        <v>7.6101229999999999E-3</v>
      </c>
      <c r="N7111">
        <v>0</v>
      </c>
      <c r="O7111">
        <v>-0.99986640000000004</v>
      </c>
      <c r="P7111">
        <v>1.814294E-2</v>
      </c>
      <c r="Q7111">
        <v>1.664962E-2</v>
      </c>
      <c r="R7111">
        <v>-0.9996969</v>
      </c>
      <c r="S7111">
        <v>0.28875729999999999</v>
      </c>
      <c r="T7111">
        <v>-0.13532920000000001</v>
      </c>
      <c r="U7111">
        <v>-2.999298</v>
      </c>
      <c r="V7111">
        <v>-1.0606030000000001E-2</v>
      </c>
      <c r="W7111">
        <v>3.1095560000000001E-2</v>
      </c>
      <c r="X7111">
        <v>0.99946020000000002</v>
      </c>
      <c r="Y7111">
        <v>-8.8156650000000003E-2</v>
      </c>
      <c r="Z7111">
        <v>4.4881209999999998E-2</v>
      </c>
      <c r="AA7111">
        <v>0.99509499999999995</v>
      </c>
      <c r="AB7111">
        <v>21</v>
      </c>
      <c r="AC7111">
        <v>2.3681999999999999</v>
      </c>
      <c r="AD7111">
        <v>-1.1113803800719999</v>
      </c>
      <c r="AE7111">
        <v>-24.420590000000001</v>
      </c>
      <c r="AF7111">
        <v>-2.1777997233242798</v>
      </c>
      <c r="AG7111">
        <v>-1.1113803800719999</v>
      </c>
      <c r="AH7111">
        <v>24.387866353526501</v>
      </c>
      <c r="AI7111">
        <v>92.598895681449804</v>
      </c>
      <c r="AJ7111">
        <v>95.102891651709598</v>
      </c>
      <c r="AK7111">
        <v>24.510120425277201</v>
      </c>
      <c r="AL7111">
        <v>88.218068504168599</v>
      </c>
      <c r="AM7111">
        <v>90.607986138656798</v>
      </c>
      <c r="AN7111">
        <v>1.0000000565540501</v>
      </c>
    </row>
    <row r="7112" spans="1:40" x14ac:dyDescent="0.25">
      <c r="A7112" t="str">
        <f>"20190312154105548"</f>
        <v>20190312154105548</v>
      </c>
      <c r="B7112" t="str">
        <f>"1552376465543228"</f>
        <v>1552376465543228</v>
      </c>
      <c r="C7112" t="s">
        <v>40</v>
      </c>
      <c r="D7112">
        <v>4.2037420000000001</v>
      </c>
      <c r="E7112">
        <v>0.46945789999999998</v>
      </c>
      <c r="F7112" t="s">
        <v>69</v>
      </c>
      <c r="G7112">
        <v>-419.52530000000002</v>
      </c>
      <c r="H7112" s="1">
        <v>-4.9941369999999997E-6</v>
      </c>
      <c r="I7112">
        <v>31.237369999999999</v>
      </c>
      <c r="J7112">
        <v>-421.9126</v>
      </c>
      <c r="K7112">
        <v>1.1113280000000001</v>
      </c>
      <c r="L7112">
        <v>54.675899999999999</v>
      </c>
      <c r="M7112">
        <v>9.207214E-3</v>
      </c>
      <c r="N7112">
        <v>0</v>
      </c>
      <c r="O7112">
        <v>-0.99985310000000005</v>
      </c>
      <c r="P7112">
        <v>2.304904E-2</v>
      </c>
      <c r="Q7112">
        <v>1.5078050000000001E-2</v>
      </c>
      <c r="R7112">
        <v>-0.99962070000000003</v>
      </c>
      <c r="S7112">
        <v>0.30300899999999997</v>
      </c>
      <c r="T7112">
        <v>-0.14085259999999999</v>
      </c>
      <c r="U7112">
        <v>-2.9977420000000001</v>
      </c>
      <c r="V7112">
        <v>-1.390885E-2</v>
      </c>
      <c r="W7112">
        <v>2.9511760000000001E-2</v>
      </c>
      <c r="X7112">
        <v>0.99946769999999996</v>
      </c>
      <c r="Y7112">
        <v>-9.1291140000000007E-2</v>
      </c>
      <c r="Z7112">
        <v>4.6714739999999998E-2</v>
      </c>
      <c r="AA7112">
        <v>0.9947279</v>
      </c>
      <c r="AB7112">
        <v>21</v>
      </c>
      <c r="AC7112">
        <v>2.3872999999999802</v>
      </c>
      <c r="AD7112">
        <v>-1.111332994137</v>
      </c>
      <c r="AE7112">
        <v>-23.43853</v>
      </c>
      <c r="AF7112">
        <v>-2.16655192123361</v>
      </c>
      <c r="AG7112">
        <v>-1.111332994137</v>
      </c>
      <c r="AH7112">
        <v>23.407435581664298</v>
      </c>
      <c r="AI7112">
        <v>92.706682929486504</v>
      </c>
      <c r="AJ7112">
        <v>95.288131809719005</v>
      </c>
      <c r="AK7112">
        <v>23.533742769925599</v>
      </c>
      <c r="AL7112">
        <v>88.308855233890696</v>
      </c>
      <c r="AM7112">
        <v>90.797291362719093</v>
      </c>
      <c r="AN7112">
        <v>1.0000000417149499</v>
      </c>
    </row>
    <row r="7113" spans="1:40" x14ac:dyDescent="0.25">
      <c r="A7113" t="str">
        <f>"20190312154105570"</f>
        <v>20190312154105570</v>
      </c>
      <c r="B7113" t="str">
        <f>"1552376465563737"</f>
        <v>1552376465563737</v>
      </c>
      <c r="C7113" t="s">
        <v>40</v>
      </c>
      <c r="D7113">
        <v>4.1890309999999999</v>
      </c>
      <c r="E7113">
        <v>0.45299529999999899</v>
      </c>
      <c r="F7113" t="s">
        <v>69</v>
      </c>
      <c r="G7113">
        <v>-419.51679999999999</v>
      </c>
      <c r="H7113" s="1">
        <v>-4.5767279999999997E-6</v>
      </c>
      <c r="I7113">
        <v>32.06026</v>
      </c>
      <c r="J7113">
        <v>-421.90890000000002</v>
      </c>
      <c r="K7113">
        <v>1.111278</v>
      </c>
      <c r="L7113">
        <v>54.466639999999998</v>
      </c>
      <c r="M7113">
        <v>1.0706469999999999E-2</v>
      </c>
      <c r="N7113">
        <v>0</v>
      </c>
      <c r="O7113">
        <v>-0.99983809999999995</v>
      </c>
      <c r="P7113">
        <v>2.7623789999999999E-2</v>
      </c>
      <c r="Q7113">
        <v>1.348126E-2</v>
      </c>
      <c r="R7113">
        <v>-0.99952730000000001</v>
      </c>
      <c r="S7113">
        <v>0.31738280000000002</v>
      </c>
      <c r="T7113">
        <v>-0.14722499999999999</v>
      </c>
      <c r="U7113">
        <v>-2.9960330000000002</v>
      </c>
      <c r="V7113">
        <v>-1.6978759999999999E-2</v>
      </c>
      <c r="W7113">
        <v>2.790405E-2</v>
      </c>
      <c r="X7113">
        <v>0.99946639999999998</v>
      </c>
      <c r="Y7113">
        <v>-9.4565220000000005E-2</v>
      </c>
      <c r="Z7113">
        <v>4.8830310000000002E-2</v>
      </c>
      <c r="AA7113">
        <v>0.99432039999999999</v>
      </c>
      <c r="AB7113">
        <v>21</v>
      </c>
      <c r="AC7113">
        <v>2.3921000000000201</v>
      </c>
      <c r="AD7113">
        <v>-1.1112825767279999</v>
      </c>
      <c r="AE7113">
        <v>-22.406379999999999</v>
      </c>
      <c r="AF7113">
        <v>-2.1468232246840402</v>
      </c>
      <c r="AG7113">
        <v>-1.1112825767279999</v>
      </c>
      <c r="AH7113">
        <v>22.376287464619899</v>
      </c>
      <c r="AI7113">
        <v>92.830192765881606</v>
      </c>
      <c r="AJ7113">
        <v>95.480291154731802</v>
      </c>
      <c r="AK7113">
        <v>22.5064888337273</v>
      </c>
      <c r="AL7113">
        <v>88.401008151664797</v>
      </c>
      <c r="AM7113">
        <v>90.973237044885593</v>
      </c>
      <c r="AN7113">
        <v>0.99999999951325003</v>
      </c>
    </row>
    <row r="7114" spans="1:40" x14ac:dyDescent="0.25">
      <c r="A7114" t="str">
        <f>"20190312154105593"</f>
        <v>20190312154105593</v>
      </c>
      <c r="B7114" t="str">
        <f>"1552376465583240"</f>
        <v>1552376465583240</v>
      </c>
      <c r="C7114" t="s">
        <v>40</v>
      </c>
      <c r="D7114">
        <v>4.1377689999999996</v>
      </c>
      <c r="E7114">
        <v>0.44523289999999999</v>
      </c>
      <c r="F7114" t="s">
        <v>69</v>
      </c>
      <c r="G7114">
        <v>-418.68680000000001</v>
      </c>
      <c r="H7114" s="1">
        <v>-3.9592659999999998E-6</v>
      </c>
      <c r="I7114">
        <v>33.633270000000003</v>
      </c>
      <c r="J7114">
        <v>-421.9049</v>
      </c>
      <c r="K7114">
        <v>1.1112229999999901</v>
      </c>
      <c r="L7114">
        <v>54.257019999999997</v>
      </c>
      <c r="M7114">
        <v>1.214601E-2</v>
      </c>
      <c r="N7114">
        <v>0</v>
      </c>
      <c r="O7114">
        <v>-0.99982210000000005</v>
      </c>
      <c r="P7114">
        <v>3.1160429999999999E-2</v>
      </c>
      <c r="Q7114">
        <v>1.266631E-2</v>
      </c>
      <c r="R7114">
        <v>-0.99943439999999995</v>
      </c>
      <c r="S7114">
        <v>0.46255489999999999</v>
      </c>
      <c r="T7114">
        <v>-0.1595327</v>
      </c>
      <c r="U7114">
        <v>-2.9907840000000001</v>
      </c>
      <c r="V7114">
        <v>-1.9071830000000001E-2</v>
      </c>
      <c r="W7114">
        <v>2.7080389999999999E-2</v>
      </c>
      <c r="X7114">
        <v>0.99945130000000004</v>
      </c>
      <c r="Y7114">
        <v>-0.14061489999999999</v>
      </c>
      <c r="Z7114">
        <v>5.2682939999999998E-2</v>
      </c>
      <c r="AA7114">
        <v>0.98866169999999998</v>
      </c>
      <c r="AB7114">
        <v>21</v>
      </c>
      <c r="AC7114">
        <v>3.21809999999999</v>
      </c>
      <c r="AD7114">
        <v>-1.11122695926599</v>
      </c>
      <c r="AE7114">
        <v>-20.623749999999902</v>
      </c>
      <c r="AF7114">
        <v>-2.9589540881769301</v>
      </c>
      <c r="AG7114">
        <v>-1.11122695926599</v>
      </c>
      <c r="AH7114">
        <v>20.6029277329847</v>
      </c>
      <c r="AI7114">
        <v>93.055983515798204</v>
      </c>
      <c r="AJ7114">
        <v>98.172827485797001</v>
      </c>
      <c r="AK7114">
        <v>20.843964733743199</v>
      </c>
      <c r="AL7114">
        <v>88.448218227157497</v>
      </c>
      <c r="AM7114">
        <v>91.093202601726105</v>
      </c>
      <c r="AN7114">
        <v>0.99999999164689501</v>
      </c>
    </row>
    <row r="7115" spans="1:40" x14ac:dyDescent="0.25">
      <c r="A7115" t="str">
        <f>"20190312154105614"</f>
        <v>20190312154105614</v>
      </c>
      <c r="B7115" t="str">
        <f>"1552376465603737"</f>
        <v>1552376465603737</v>
      </c>
      <c r="C7115" t="s">
        <v>40</v>
      </c>
      <c r="D7115">
        <v>4.120215</v>
      </c>
      <c r="E7115">
        <v>0.44341249999999999</v>
      </c>
      <c r="F7115" t="s">
        <v>69</v>
      </c>
      <c r="G7115">
        <v>-418.02910000000003</v>
      </c>
      <c r="H7115" s="1">
        <v>-4.6230219999999998E-6</v>
      </c>
      <c r="I7115">
        <v>32.616810000000001</v>
      </c>
      <c r="J7115">
        <v>-421.90069999999997</v>
      </c>
      <c r="K7115">
        <v>1.111173</v>
      </c>
      <c r="L7115">
        <v>54.04965</v>
      </c>
      <c r="M7115">
        <v>1.351337E-2</v>
      </c>
      <c r="N7115">
        <v>0</v>
      </c>
      <c r="O7115">
        <v>-0.99980440000000004</v>
      </c>
      <c r="P7115">
        <v>3.4212850000000003E-2</v>
      </c>
      <c r="Q7115">
        <v>1.207198E-2</v>
      </c>
      <c r="R7115">
        <v>-0.99934179999999995</v>
      </c>
      <c r="S7115">
        <v>0.53497309999999998</v>
      </c>
      <c r="T7115">
        <v>-0.1533812</v>
      </c>
      <c r="U7115">
        <v>-2.9869690000000002</v>
      </c>
      <c r="V7115">
        <v>-2.075397E-2</v>
      </c>
      <c r="W7115">
        <v>2.6478829999999998E-2</v>
      </c>
      <c r="X7115">
        <v>0.99943389999999999</v>
      </c>
      <c r="Y7115">
        <v>-0.1627527</v>
      </c>
      <c r="Z7115">
        <v>5.0532720000000003E-2</v>
      </c>
      <c r="AA7115">
        <v>0.98537200000000003</v>
      </c>
      <c r="AB7115">
        <v>21</v>
      </c>
      <c r="AC7115">
        <v>3.87159999999994</v>
      </c>
      <c r="AD7115">
        <v>-1.1111776230220001</v>
      </c>
      <c r="AE7115">
        <v>-21.432839999999999</v>
      </c>
      <c r="AF7115">
        <v>-3.5722878895778001</v>
      </c>
      <c r="AG7115">
        <v>-1.1111776230220001</v>
      </c>
      <c r="AH7115">
        <v>21.427432256935798</v>
      </c>
      <c r="AI7115">
        <v>92.928225915057695</v>
      </c>
      <c r="AJ7115">
        <v>99.465051813431302</v>
      </c>
      <c r="AK7115">
        <v>21.7515702789822</v>
      </c>
      <c r="AL7115">
        <v>88.482697437250295</v>
      </c>
      <c r="AM7115">
        <v>91.189617454257899</v>
      </c>
      <c r="AN7115">
        <v>0.99999998808906898</v>
      </c>
    </row>
    <row r="7116" spans="1:40" x14ac:dyDescent="0.25">
      <c r="A7116" t="str">
        <f>"20190312154105637"</f>
        <v>20190312154105637</v>
      </c>
      <c r="B7116" t="str">
        <f>"1552376465633016"</f>
        <v>1552376465633016</v>
      </c>
      <c r="C7116" t="s">
        <v>40</v>
      </c>
      <c r="D7116">
        <v>4.1026339999999903</v>
      </c>
      <c r="E7116">
        <v>0.44231239999999999</v>
      </c>
      <c r="F7116" t="s">
        <v>69</v>
      </c>
      <c r="G7116">
        <v>-417.90929999999997</v>
      </c>
      <c r="H7116" s="1">
        <v>-4.6029459999999996E-6</v>
      </c>
      <c r="I7116">
        <v>32.70834</v>
      </c>
      <c r="J7116">
        <v>-421.89620000000002</v>
      </c>
      <c r="K7116">
        <v>1.1111180000000001</v>
      </c>
      <c r="L7116">
        <v>53.83963</v>
      </c>
      <c r="M7116">
        <v>1.485065E-2</v>
      </c>
      <c r="N7116">
        <v>0</v>
      </c>
      <c r="O7116">
        <v>-0.99978560000000005</v>
      </c>
      <c r="P7116">
        <v>3.6664240000000001E-2</v>
      </c>
      <c r="Q7116">
        <v>1.1116249999999999E-2</v>
      </c>
      <c r="R7116">
        <v>-0.99926610000000005</v>
      </c>
      <c r="S7116">
        <v>0.55822749999999999</v>
      </c>
      <c r="T7116">
        <v>-0.1554065</v>
      </c>
      <c r="U7116">
        <v>-2.9847410000000001</v>
      </c>
      <c r="V7116">
        <v>-2.1864430000000001E-2</v>
      </c>
      <c r="W7116">
        <v>2.5517379999999999E-2</v>
      </c>
      <c r="X7116">
        <v>0.99943519999999997</v>
      </c>
      <c r="Y7116">
        <v>-0.168979399999999</v>
      </c>
      <c r="Z7116">
        <v>5.1171710000000002E-2</v>
      </c>
      <c r="AA7116">
        <v>0.98429029999999995</v>
      </c>
      <c r="AB7116">
        <v>21</v>
      </c>
      <c r="AC7116">
        <v>3.9869000000000399</v>
      </c>
      <c r="AD7116">
        <v>-1.111122602946</v>
      </c>
      <c r="AE7116">
        <v>-21.13129</v>
      </c>
      <c r="AF7116">
        <v>-3.6628350904890898</v>
      </c>
      <c r="AG7116">
        <v>-1.111122602946</v>
      </c>
      <c r="AH7116">
        <v>21.1317555876741</v>
      </c>
      <c r="AI7116">
        <v>92.965739162607505</v>
      </c>
      <c r="AJ7116">
        <v>99.833557265838905</v>
      </c>
      <c r="AK7116">
        <v>21.4756152078605</v>
      </c>
      <c r="AL7116">
        <v>88.537803044252996</v>
      </c>
      <c r="AM7116">
        <v>91.253247600958403</v>
      </c>
      <c r="AN7116">
        <v>0.99999995449016299</v>
      </c>
    </row>
    <row r="7117" spans="1:40" x14ac:dyDescent="0.25">
      <c r="A7117" t="str">
        <f>"20190312154105660"</f>
        <v>20190312154105660</v>
      </c>
      <c r="B7117" t="str">
        <f>"1552376465653513"</f>
        <v>1552376465653513</v>
      </c>
      <c r="C7117" t="s">
        <v>40</v>
      </c>
      <c r="D7117">
        <v>4.1733159999999998</v>
      </c>
      <c r="E7117">
        <v>0.44205870000000003</v>
      </c>
      <c r="F7117" t="s">
        <v>69</v>
      </c>
      <c r="G7117">
        <v>-417.72320000000002</v>
      </c>
      <c r="H7117" s="1">
        <v>-4.9340730000000002E-6</v>
      </c>
      <c r="I7117">
        <v>32.13944</v>
      </c>
      <c r="J7117">
        <v>-421.89150000000001</v>
      </c>
      <c r="K7117">
        <v>1.1110850000000001</v>
      </c>
      <c r="L7117">
        <v>53.630249999999997</v>
      </c>
      <c r="M7117">
        <v>1.614606E-2</v>
      </c>
      <c r="N7117">
        <v>0</v>
      </c>
      <c r="O7117">
        <v>-0.99976549999999997</v>
      </c>
      <c r="P7117">
        <v>3.8099899999999999E-2</v>
      </c>
      <c r="Q7117">
        <v>9.8472739999999996E-3</v>
      </c>
      <c r="R7117">
        <v>-0.99922549999999999</v>
      </c>
      <c r="S7117">
        <v>0.57360840000000002</v>
      </c>
      <c r="T7117">
        <v>-0.15273200000000001</v>
      </c>
      <c r="U7117">
        <v>-2.9828489999999999</v>
      </c>
      <c r="V7117">
        <v>-2.2001429999999999E-2</v>
      </c>
      <c r="W7117">
        <v>2.4243669999999998E-2</v>
      </c>
      <c r="X7117">
        <v>0.99946400000000002</v>
      </c>
      <c r="Y7117">
        <v>-0.1727216</v>
      </c>
      <c r="Z7117">
        <v>5.0282739999999999E-2</v>
      </c>
      <c r="AA7117">
        <v>0.98368639999999996</v>
      </c>
      <c r="AB7117">
        <v>21</v>
      </c>
      <c r="AC7117">
        <v>4.1682999999999799</v>
      </c>
      <c r="AD7117">
        <v>-1.1110899340730001</v>
      </c>
      <c r="AE7117">
        <v>-21.49081</v>
      </c>
      <c r="AF7117">
        <v>-3.81091137073664</v>
      </c>
      <c r="AG7117">
        <v>-1.1110899340730001</v>
      </c>
      <c r="AH7117">
        <v>21.499931630022498</v>
      </c>
      <c r="AI7117">
        <v>92.913016278673794</v>
      </c>
      <c r="AJ7117">
        <v>100.051407604619</v>
      </c>
      <c r="AK7117">
        <v>21.8633169124186</v>
      </c>
      <c r="AL7117">
        <v>88.610803995279198</v>
      </c>
      <c r="AM7117">
        <v>91.261061450671804</v>
      </c>
      <c r="AN7117">
        <v>1.00000005287655</v>
      </c>
    </row>
    <row r="7118" spans="1:40" x14ac:dyDescent="0.25">
      <c r="A7118" t="str">
        <f>"20190312154105681"</f>
        <v>20190312154105681</v>
      </c>
      <c r="B7118" t="str">
        <f>"1552376465673391"</f>
        <v>1552376465673391</v>
      </c>
      <c r="C7118" t="s">
        <v>40</v>
      </c>
      <c r="D7118">
        <v>4.1248449999999997</v>
      </c>
      <c r="E7118">
        <v>0.44209270000000001</v>
      </c>
      <c r="F7118" t="s">
        <v>69</v>
      </c>
      <c r="G7118">
        <v>-417.71480000000003</v>
      </c>
      <c r="H7118" s="1">
        <v>-4.9162999999999998E-6</v>
      </c>
      <c r="I7118">
        <v>32.177990000000001</v>
      </c>
      <c r="J7118">
        <v>-421.88670000000002</v>
      </c>
      <c r="K7118">
        <v>1.111075</v>
      </c>
      <c r="L7118">
        <v>53.426760000000002</v>
      </c>
      <c r="M7118">
        <v>1.7386349999999998E-2</v>
      </c>
      <c r="N7118">
        <v>0</v>
      </c>
      <c r="O7118">
        <v>-0.99974490000000005</v>
      </c>
      <c r="P7118">
        <v>3.9475209999999997E-2</v>
      </c>
      <c r="Q7118">
        <v>9.6675200000000006E-3</v>
      </c>
      <c r="R7118">
        <v>-0.99917409999999995</v>
      </c>
      <c r="S7118">
        <v>0.58053589999999999</v>
      </c>
      <c r="T7118">
        <v>-0.15443409999999999</v>
      </c>
      <c r="U7118">
        <v>-2.9817200000000001</v>
      </c>
      <c r="V7118">
        <v>-2.213592E-2</v>
      </c>
      <c r="W7118">
        <v>2.4058710000000001E-2</v>
      </c>
      <c r="X7118">
        <v>0.99946550000000001</v>
      </c>
      <c r="Y7118">
        <v>-0.17376620000000001</v>
      </c>
      <c r="Z7118">
        <v>5.0843109999999997E-2</v>
      </c>
      <c r="AA7118">
        <v>0.98347359999999995</v>
      </c>
      <c r="AB7118">
        <v>21</v>
      </c>
      <c r="AC7118">
        <v>4.1718999999999902</v>
      </c>
      <c r="AD7118">
        <v>-1.1110799163</v>
      </c>
      <c r="AE7118">
        <v>-21.24877</v>
      </c>
      <c r="AF7118">
        <v>-3.7918097320934199</v>
      </c>
      <c r="AG7118">
        <v>-1.1110799163</v>
      </c>
      <c r="AH7118">
        <v>21.262122986395099</v>
      </c>
      <c r="AI7118">
        <v>92.944964345750705</v>
      </c>
      <c r="AJ7118">
        <v>100.111619188611</v>
      </c>
      <c r="AK7118">
        <v>21.626146062426201</v>
      </c>
      <c r="AL7118">
        <v>88.621404514386896</v>
      </c>
      <c r="AM7118">
        <v>91.268765631882104</v>
      </c>
      <c r="AN7118">
        <v>1.0000000530856701</v>
      </c>
    </row>
    <row r="7119" spans="1:40" x14ac:dyDescent="0.25">
      <c r="A7119" t="str">
        <f>"20190312154105703"</f>
        <v>20190312154105703</v>
      </c>
      <c r="B7119" t="str">
        <f>"1552376465693886"</f>
        <v>1552376465693886</v>
      </c>
      <c r="C7119" t="s">
        <v>40</v>
      </c>
      <c r="D7119">
        <v>4.1346360000000004</v>
      </c>
      <c r="E7119">
        <v>0.4421273</v>
      </c>
      <c r="F7119" t="s">
        <v>69</v>
      </c>
      <c r="G7119">
        <v>-417.65809999999999</v>
      </c>
      <c r="H7119" s="1">
        <v>-5.1048130000000004E-6</v>
      </c>
      <c r="I7119">
        <v>31.832730000000002</v>
      </c>
      <c r="J7119">
        <v>-421.88159999999999</v>
      </c>
      <c r="K7119">
        <v>1.1110739999999999</v>
      </c>
      <c r="L7119">
        <v>53.219450000000002</v>
      </c>
      <c r="M7119">
        <v>1.8645439999999999E-2</v>
      </c>
      <c r="N7119">
        <v>0</v>
      </c>
      <c r="O7119">
        <v>-0.999722</v>
      </c>
      <c r="P7119">
        <v>4.0772589999999997E-2</v>
      </c>
      <c r="Q7119">
        <v>9.6260110000000003E-3</v>
      </c>
      <c r="R7119">
        <v>-0.99912199999999995</v>
      </c>
      <c r="S7119">
        <v>0.58374019999999904</v>
      </c>
      <c r="T7119">
        <v>-0.1533764</v>
      </c>
      <c r="U7119">
        <v>-2.980896</v>
      </c>
      <c r="V7119">
        <v>-2.2175029999999998E-2</v>
      </c>
      <c r="W7119">
        <v>2.401151E-2</v>
      </c>
      <c r="X7119">
        <v>0.99946570000000001</v>
      </c>
      <c r="Y7119">
        <v>-0.17359859999999999</v>
      </c>
      <c r="Z7119">
        <v>5.0503350000000002E-2</v>
      </c>
      <c r="AA7119">
        <v>0.98352070000000003</v>
      </c>
      <c r="AB7119">
        <v>21</v>
      </c>
      <c r="AC7119">
        <v>4.2234999999999996</v>
      </c>
      <c r="AD7119">
        <v>-1.111079104813</v>
      </c>
      <c r="AE7119">
        <v>-21.38672</v>
      </c>
      <c r="AF7119">
        <v>-3.8140515903420802</v>
      </c>
      <c r="AG7119">
        <v>-1.111079104813</v>
      </c>
      <c r="AH7119">
        <v>21.406152125147599</v>
      </c>
      <c r="AI7119">
        <v>92.925263010424601</v>
      </c>
      <c r="AJ7119">
        <v>100.10268544055999</v>
      </c>
      <c r="AK7119">
        <v>21.771652098908401</v>
      </c>
      <c r="AL7119">
        <v>88.624109562845604</v>
      </c>
      <c r="AM7119">
        <v>91.271006312759596</v>
      </c>
      <c r="AN7119">
        <v>0.99999998502223497</v>
      </c>
    </row>
    <row r="7120" spans="1:40" x14ac:dyDescent="0.25">
      <c r="A7120" t="str">
        <f>"20190312154105726"</f>
        <v>20190312154105726</v>
      </c>
      <c r="B7120" t="str">
        <f>"1552376465723166"</f>
        <v>1552376465723166</v>
      </c>
      <c r="C7120" t="s">
        <v>40</v>
      </c>
      <c r="D7120">
        <v>4.1079739999999996</v>
      </c>
      <c r="E7120">
        <v>0.4423607</v>
      </c>
      <c r="F7120" t="s">
        <v>69</v>
      </c>
      <c r="G7120">
        <v>-417.60489999999999</v>
      </c>
      <c r="H7120" s="1">
        <v>-5.2772489999999999E-6</v>
      </c>
      <c r="I7120">
        <v>31.51745</v>
      </c>
      <c r="J7120">
        <v>-421.87619999999998</v>
      </c>
      <c r="K7120">
        <v>1.111083</v>
      </c>
      <c r="L7120">
        <v>53.011319999999998</v>
      </c>
      <c r="M7120">
        <v>1.9934360000000002E-2</v>
      </c>
      <c r="N7120">
        <v>0</v>
      </c>
      <c r="O7120">
        <v>-0.99969739999999996</v>
      </c>
      <c r="P7120">
        <v>4.2394260000000003E-2</v>
      </c>
      <c r="Q7120">
        <v>7.9382020000000001E-3</v>
      </c>
      <c r="R7120">
        <v>-0.99906980000000001</v>
      </c>
      <c r="S7120">
        <v>0.58728029999999998</v>
      </c>
      <c r="T7120">
        <v>-0.15257419999999999</v>
      </c>
      <c r="U7120">
        <v>-2.9801329999999999</v>
      </c>
      <c r="V7120">
        <v>-2.2506180000000001E-2</v>
      </c>
      <c r="W7120">
        <v>2.231729E-2</v>
      </c>
      <c r="X7120">
        <v>0.99949759999999999</v>
      </c>
      <c r="Y7120">
        <v>-0.17350389999999999</v>
      </c>
      <c r="Z7120">
        <v>5.0245339999999999E-2</v>
      </c>
      <c r="AA7120">
        <v>0.98355060000000005</v>
      </c>
      <c r="AB7120">
        <v>21</v>
      </c>
      <c r="AC7120">
        <v>4.2712999999999903</v>
      </c>
      <c r="AD7120">
        <v>-1.1110882772490001</v>
      </c>
      <c r="AE7120">
        <v>-21.493870000000001</v>
      </c>
      <c r="AF7120">
        <v>-3.8320889643045399</v>
      </c>
      <c r="AG7120">
        <v>-1.1110882772490001</v>
      </c>
      <c r="AH7120">
        <v>21.5194330599514</v>
      </c>
      <c r="AI7120">
        <v>92.909964610352603</v>
      </c>
      <c r="AJ7120">
        <v>100.097146080888</v>
      </c>
      <c r="AK7120">
        <v>21.886192501481698</v>
      </c>
      <c r="AL7120">
        <v>88.721207331803896</v>
      </c>
      <c r="AM7120">
        <v>91.289939315599696</v>
      </c>
      <c r="AN7120">
        <v>1.0000000209884401</v>
      </c>
    </row>
    <row r="7121" spans="1:40" x14ac:dyDescent="0.25">
      <c r="A7121" t="str">
        <f>"20190312154105749"</f>
        <v>20190312154105749</v>
      </c>
      <c r="B7121" t="str">
        <f>"1552376465743663"</f>
        <v>1552376465743663</v>
      </c>
      <c r="C7121" t="s">
        <v>40</v>
      </c>
      <c r="D7121">
        <v>4.0713330000000001</v>
      </c>
      <c r="E7121">
        <v>0.44214049999999999</v>
      </c>
      <c r="F7121" t="s">
        <v>69</v>
      </c>
      <c r="G7121">
        <v>-417.7056</v>
      </c>
      <c r="H7121" s="1">
        <v>-5.0350250000000001E-6</v>
      </c>
      <c r="I7121">
        <v>31.949000000000002</v>
      </c>
      <c r="J7121">
        <v>-421.87040000000002</v>
      </c>
      <c r="K7121">
        <v>1.111113</v>
      </c>
      <c r="L7121">
        <v>52.801299999999998</v>
      </c>
      <c r="M7121">
        <v>2.129725E-2</v>
      </c>
      <c r="N7121">
        <v>0</v>
      </c>
      <c r="O7121">
        <v>-0.99966920000000004</v>
      </c>
      <c r="P7121">
        <v>4.3658580000000002E-2</v>
      </c>
      <c r="Q7121">
        <v>5.3155769999999897E-3</v>
      </c>
      <c r="R7121">
        <v>-0.99903240000000004</v>
      </c>
      <c r="S7121">
        <v>0.58987429999999996</v>
      </c>
      <c r="T7121">
        <v>-0.1571497</v>
      </c>
      <c r="U7121">
        <v>-2.9790040000000002</v>
      </c>
      <c r="V7121">
        <v>-2.240495E-2</v>
      </c>
      <c r="W7121">
        <v>1.9688589999999999E-2</v>
      </c>
      <c r="X7121">
        <v>0.99955510000000003</v>
      </c>
      <c r="Y7121">
        <v>-0.17304120000000001</v>
      </c>
      <c r="Z7121">
        <v>5.1762879999999997E-2</v>
      </c>
      <c r="AA7121">
        <v>0.98355340000000002</v>
      </c>
      <c r="AB7121">
        <v>21</v>
      </c>
      <c r="AC7121">
        <v>4.1648000000000103</v>
      </c>
      <c r="AD7121">
        <v>-1.1111180350250001</v>
      </c>
      <c r="AE7121">
        <v>-20.8523</v>
      </c>
      <c r="AF7121">
        <v>-3.7095837505481599</v>
      </c>
      <c r="AG7121">
        <v>-1.1111180350250001</v>
      </c>
      <c r="AH7121">
        <v>20.879268956019999</v>
      </c>
      <c r="AI7121">
        <v>92.999314959871199</v>
      </c>
      <c r="AJ7121">
        <v>100.074516179665</v>
      </c>
      <c r="AK7121">
        <v>21.235335340604099</v>
      </c>
      <c r="AL7121">
        <v>88.871854006018793</v>
      </c>
      <c r="AM7121">
        <v>91.2840654299183</v>
      </c>
      <c r="AN7121">
        <v>1.0000000101483499</v>
      </c>
    </row>
    <row r="7122" spans="1:40" x14ac:dyDescent="0.25">
      <c r="A7122" t="str">
        <f>"20190312154105771"</f>
        <v>20190312154105771</v>
      </c>
      <c r="B7122" t="str">
        <f>"1552376465763183"</f>
        <v>1552376465763183</v>
      </c>
      <c r="C7122" t="s">
        <v>40</v>
      </c>
      <c r="D7122">
        <v>4.1003020000000001</v>
      </c>
      <c r="E7122">
        <v>0.394459</v>
      </c>
      <c r="F7122" t="s">
        <v>69</v>
      </c>
      <c r="G7122">
        <v>-417.81869999999998</v>
      </c>
      <c r="H7122" s="1">
        <v>-4.7072340000000001E-6</v>
      </c>
      <c r="I7122">
        <v>32.543089999999999</v>
      </c>
      <c r="J7122">
        <v>-421.86419999999998</v>
      </c>
      <c r="K7122">
        <v>1.1111740000000001</v>
      </c>
      <c r="L7122">
        <v>52.592350000000003</v>
      </c>
      <c r="M7122">
        <v>2.2753160000000001E-2</v>
      </c>
      <c r="N7122">
        <v>0</v>
      </c>
      <c r="O7122">
        <v>-0.9996372</v>
      </c>
      <c r="P7122">
        <v>4.5251149999999997E-2</v>
      </c>
      <c r="Q7122">
        <v>4.6451929999999997E-3</v>
      </c>
      <c r="R7122">
        <v>-0.99896510000000005</v>
      </c>
      <c r="S7122">
        <v>0.59555049999999998</v>
      </c>
      <c r="T7122">
        <v>-0.163323</v>
      </c>
      <c r="U7122">
        <v>-2.9777529999999999</v>
      </c>
      <c r="V7122">
        <v>-2.254395E-2</v>
      </c>
      <c r="W7122">
        <v>1.901065E-2</v>
      </c>
      <c r="X7122">
        <v>0.99956509999999998</v>
      </c>
      <c r="Y7122">
        <v>-0.17346789999999901</v>
      </c>
      <c r="Z7122">
        <v>5.3798029999999997E-2</v>
      </c>
      <c r="AA7122">
        <v>0.9833691</v>
      </c>
      <c r="AB7122">
        <v>21</v>
      </c>
      <c r="AC7122">
        <v>4.0454999999999997</v>
      </c>
      <c r="AD7122">
        <v>-1.11117870723399</v>
      </c>
      <c r="AE7122">
        <v>-20.04926</v>
      </c>
      <c r="AF7122">
        <v>-3.57766164920666</v>
      </c>
      <c r="AG7122">
        <v>-1.11117870723399</v>
      </c>
      <c r="AH7122">
        <v>20.076869465826299</v>
      </c>
      <c r="AI7122">
        <v>93.118840020186298</v>
      </c>
      <c r="AJ7122">
        <v>100.103945753114</v>
      </c>
      <c r="AK7122">
        <v>20.4233951277314</v>
      </c>
      <c r="AL7122">
        <v>88.910704382572305</v>
      </c>
      <c r="AM7122">
        <v>91.292016140518896</v>
      </c>
      <c r="AN7122">
        <v>1.00000001181651</v>
      </c>
    </row>
    <row r="7123" spans="1:40" x14ac:dyDescent="0.25">
      <c r="A7123" t="str">
        <f>"20190312154105793"</f>
        <v>20190312154105793</v>
      </c>
      <c r="B7123" t="str">
        <f>"1552376465783208"</f>
        <v>1552376465783208</v>
      </c>
      <c r="C7123" t="s">
        <v>40</v>
      </c>
      <c r="D7123">
        <v>4.1439550000000001</v>
      </c>
      <c r="E7123">
        <v>0.38482840000000001</v>
      </c>
      <c r="F7123" t="s">
        <v>69</v>
      </c>
      <c r="G7123">
        <v>-415.37099999999998</v>
      </c>
      <c r="H7123" s="1">
        <v>-5.0245230000000003E-6</v>
      </c>
      <c r="I7123">
        <v>32.98554</v>
      </c>
      <c r="J7123">
        <v>-421.8578</v>
      </c>
      <c r="K7123">
        <v>1.111267</v>
      </c>
      <c r="L7123">
        <v>52.387700000000002</v>
      </c>
      <c r="M7123">
        <v>2.4312420000000001E-2</v>
      </c>
      <c r="N7123">
        <v>0</v>
      </c>
      <c r="O7123">
        <v>-0.99960039999999994</v>
      </c>
      <c r="P7123">
        <v>4.6550689999999999E-2</v>
      </c>
      <c r="Q7123">
        <v>6.3321300000000001E-3</v>
      </c>
      <c r="R7123">
        <v>-0.9988958</v>
      </c>
      <c r="S7123">
        <v>0.98010249999999999</v>
      </c>
      <c r="T7123">
        <v>-0.16772429999999999</v>
      </c>
      <c r="U7123">
        <v>-2.9595030000000002</v>
      </c>
      <c r="V7123">
        <v>-2.2292969999999999E-2</v>
      </c>
      <c r="W7123">
        <v>2.0690219999999999E-2</v>
      </c>
      <c r="X7123">
        <v>0.99953729999999996</v>
      </c>
      <c r="Y7123">
        <v>-0.29074850000000002</v>
      </c>
      <c r="Z7123">
        <v>5.3900330000000003E-2</v>
      </c>
      <c r="AA7123">
        <v>0.95528009999999997</v>
      </c>
      <c r="AB7123">
        <v>21</v>
      </c>
      <c r="AC7123">
        <v>6.4868000000000103</v>
      </c>
      <c r="AD7123">
        <v>-1.1112720245229999</v>
      </c>
      <c r="AE7123">
        <v>-19.402159999999999</v>
      </c>
      <c r="AF7123">
        <v>-5.9954290573190097</v>
      </c>
      <c r="AG7123">
        <v>-1.1112720245229999</v>
      </c>
      <c r="AH7123">
        <v>19.496621631931799</v>
      </c>
      <c r="AI7123">
        <v>93.118416477840199</v>
      </c>
      <c r="AJ7123">
        <v>107.09324799895801</v>
      </c>
      <c r="AK7123">
        <v>20.427881685396201</v>
      </c>
      <c r="AL7123">
        <v>88.814453047065598</v>
      </c>
      <c r="AM7123">
        <v>91.277672545252997</v>
      </c>
      <c r="AN7123">
        <v>0.99999993790317698</v>
      </c>
    </row>
    <row r="7124" spans="1:40" x14ac:dyDescent="0.25">
      <c r="A7124" t="str">
        <f>"20190312154105816"</f>
        <v>20190312154105816</v>
      </c>
      <c r="B7124" t="str">
        <f>"1552376465813464"</f>
        <v>1552376465813464</v>
      </c>
      <c r="C7124" t="s">
        <v>40</v>
      </c>
      <c r="D7124">
        <v>4.0985880000000003</v>
      </c>
      <c r="E7124">
        <v>0.33175640000000001</v>
      </c>
      <c r="F7124" t="s">
        <v>69</v>
      </c>
      <c r="G7124">
        <v>-414.8931</v>
      </c>
      <c r="H7124" s="1">
        <v>-5.1211400000000002E-6</v>
      </c>
      <c r="I7124">
        <v>33.003860000000003</v>
      </c>
      <c r="J7124">
        <v>-421.85090000000002</v>
      </c>
      <c r="K7124">
        <v>1.111383</v>
      </c>
      <c r="L7124">
        <v>52.183839999999996</v>
      </c>
      <c r="M7124">
        <v>2.6032E-2</v>
      </c>
      <c r="N7124">
        <v>0</v>
      </c>
      <c r="O7124">
        <v>-0.99955740000000004</v>
      </c>
      <c r="P7124">
        <v>4.8008040000000002E-2</v>
      </c>
      <c r="Q7124">
        <v>8.7801749999999994E-3</v>
      </c>
      <c r="R7124">
        <v>-0.99880840000000004</v>
      </c>
      <c r="S7124">
        <v>1.061707</v>
      </c>
      <c r="T7124">
        <v>-0.16940549999999999</v>
      </c>
      <c r="U7124">
        <v>-2.9549259999999999</v>
      </c>
      <c r="V7124">
        <v>-2.204395E-2</v>
      </c>
      <c r="W7124">
        <v>2.3130560000000001E-2</v>
      </c>
      <c r="X7124">
        <v>0.99948939999999997</v>
      </c>
      <c r="Y7124">
        <v>-0.3130269</v>
      </c>
      <c r="Z7124">
        <v>5.4081740000000003E-2</v>
      </c>
      <c r="AA7124">
        <v>0.94820320000000002</v>
      </c>
      <c r="AB7124">
        <v>21</v>
      </c>
      <c r="AC7124">
        <v>6.9578000000000104</v>
      </c>
      <c r="AD7124">
        <v>-1.1113881211399901</v>
      </c>
      <c r="AE7124">
        <v>-19.17998</v>
      </c>
      <c r="AF7124">
        <v>-6.4369968744576704</v>
      </c>
      <c r="AG7124">
        <v>-1.1113881211399901</v>
      </c>
      <c r="AH7124">
        <v>19.2973643134989</v>
      </c>
      <c r="AI7124">
        <v>93.127155151542695</v>
      </c>
      <c r="AJ7124">
        <v>108.44708532348</v>
      </c>
      <c r="AK7124">
        <v>20.372981661148501</v>
      </c>
      <c r="AL7124">
        <v>88.674598342377394</v>
      </c>
      <c r="AM7124">
        <v>91.263465692008296</v>
      </c>
      <c r="AN7124">
        <v>1.00000000962493</v>
      </c>
    </row>
    <row r="7125" spans="1:40" x14ac:dyDescent="0.25">
      <c r="A7125" t="str">
        <f>"20190312154105831"</f>
        <v>20190312154105831</v>
      </c>
      <c r="B7125" t="str">
        <f>"1552376465823225"</f>
        <v>1552376465823225</v>
      </c>
      <c r="C7125" t="s">
        <v>40</v>
      </c>
      <c r="D7125">
        <v>4.0364579999999997</v>
      </c>
      <c r="E7125">
        <v>0.33174229999999999</v>
      </c>
      <c r="F7125" t="s">
        <v>69</v>
      </c>
      <c r="G7125">
        <v>-411.53120000000001</v>
      </c>
      <c r="H7125" s="1">
        <v>-6.1939650000000004E-6</v>
      </c>
      <c r="I7125">
        <v>31.852820000000001</v>
      </c>
      <c r="J7125">
        <v>-421.84589999999997</v>
      </c>
      <c r="K7125">
        <v>1.111475</v>
      </c>
      <c r="L7125">
        <v>52.049289999999999</v>
      </c>
      <c r="M7125">
        <v>2.7292540000000001E-2</v>
      </c>
      <c r="N7125">
        <v>0</v>
      </c>
      <c r="O7125">
        <v>-0.99952399999999997</v>
      </c>
      <c r="P7125">
        <v>4.9424849999999999E-2</v>
      </c>
      <c r="Q7125">
        <v>9.9645280000000003E-3</v>
      </c>
      <c r="R7125">
        <v>-0.99872839999999996</v>
      </c>
      <c r="S7125">
        <v>1.488953</v>
      </c>
      <c r="T7125">
        <v>-0.1603541</v>
      </c>
      <c r="U7125">
        <v>-2.933411</v>
      </c>
      <c r="V7125">
        <v>-2.2209659999999999E-2</v>
      </c>
      <c r="W7125">
        <v>2.4308980000000001E-2</v>
      </c>
      <c r="X7125">
        <v>0.99945779999999995</v>
      </c>
      <c r="Y7125">
        <v>-0.4275659</v>
      </c>
      <c r="Z7125">
        <v>4.896756E-2</v>
      </c>
      <c r="AA7125">
        <v>0.90265700000000004</v>
      </c>
      <c r="AB7125">
        <v>21</v>
      </c>
      <c r="AC7125">
        <v>10.314699999999901</v>
      </c>
      <c r="AD7125">
        <v>-1.111481193965</v>
      </c>
      <c r="AE7125">
        <v>-20.196470000000001</v>
      </c>
      <c r="AF7125">
        <v>-9.7361992957335293</v>
      </c>
      <c r="AG7125">
        <v>-1.111481193965</v>
      </c>
      <c r="AH7125">
        <v>20.4214336714574</v>
      </c>
      <c r="AI7125">
        <v>92.812635507315207</v>
      </c>
      <c r="AJ7125">
        <v>115.490113887948</v>
      </c>
      <c r="AK7125">
        <v>22.6509143384658</v>
      </c>
      <c r="AL7125">
        <v>88.607060893646405</v>
      </c>
      <c r="AM7125">
        <v>91.273000606792195</v>
      </c>
      <c r="AN7125">
        <v>1.0000000447433901</v>
      </c>
    </row>
    <row r="7126" spans="1:40" x14ac:dyDescent="0.25">
      <c r="A7126" t="str">
        <f>"20190312154105843"</f>
        <v>20190312154105843</v>
      </c>
      <c r="B7126" t="str">
        <f>"1552376465833961"</f>
        <v>1552376465833961</v>
      </c>
      <c r="C7126" t="s">
        <v>40</v>
      </c>
      <c r="D7126">
        <v>4.0355720000000002</v>
      </c>
      <c r="E7126">
        <v>0.33183020000000002</v>
      </c>
      <c r="F7126" t="s">
        <v>69</v>
      </c>
      <c r="G7126">
        <v>-411.7097</v>
      </c>
      <c r="H7126" s="1">
        <v>-6.0513589999999997E-6</v>
      </c>
      <c r="I7126">
        <v>32.155940000000001</v>
      </c>
      <c r="J7126">
        <v>-421.84140000000002</v>
      </c>
      <c r="K7126">
        <v>1.111567</v>
      </c>
      <c r="L7126">
        <v>51.93018</v>
      </c>
      <c r="M7126">
        <v>2.8475199999999999E-2</v>
      </c>
      <c r="N7126">
        <v>0</v>
      </c>
      <c r="O7126">
        <v>-0.99949089999999996</v>
      </c>
      <c r="P7126">
        <v>5.0807020000000001E-2</v>
      </c>
      <c r="Q7126">
        <v>1.104754E-2</v>
      </c>
      <c r="R7126">
        <v>-0.99864759999999997</v>
      </c>
      <c r="S7126">
        <v>1.4936830000000001</v>
      </c>
      <c r="T7126">
        <v>-0.16378980000000001</v>
      </c>
      <c r="U7126">
        <v>-2.9315190000000002</v>
      </c>
      <c r="V7126">
        <v>-2.2419229999999998E-2</v>
      </c>
      <c r="W7126">
        <v>2.5386769999999999E-2</v>
      </c>
      <c r="X7126">
        <v>0.99942629999999999</v>
      </c>
      <c r="Y7126">
        <v>-0.4278651</v>
      </c>
      <c r="Z7126">
        <v>5.0019059999999997E-2</v>
      </c>
      <c r="AA7126">
        <v>0.90245750000000002</v>
      </c>
      <c r="AB7126">
        <v>21</v>
      </c>
      <c r="AC7126">
        <v>10.1317</v>
      </c>
      <c r="AD7126">
        <v>-1.1115730513590001</v>
      </c>
      <c r="AE7126">
        <v>-19.774239999999999</v>
      </c>
      <c r="AF7126">
        <v>-9.5405781928209006</v>
      </c>
      <c r="AG7126">
        <v>-1.1115730513590001</v>
      </c>
      <c r="AH7126">
        <v>20.004682892678598</v>
      </c>
      <c r="AI7126">
        <v>92.871199096344895</v>
      </c>
      <c r="AJ7126">
        <v>115.497279128606</v>
      </c>
      <c r="AK7126">
        <v>22.191114540249401</v>
      </c>
      <c r="AL7126">
        <v>88.545288966105105</v>
      </c>
      <c r="AM7126">
        <v>91.285049098984103</v>
      </c>
      <c r="AN7126">
        <v>1.0000000195482499</v>
      </c>
    </row>
    <row r="7127" spans="1:40" x14ac:dyDescent="0.25">
      <c r="A7127" t="str">
        <f>"20190312154105856"</f>
        <v>20190312154105856</v>
      </c>
      <c r="B7127" t="str">
        <f>"1552376465853481"</f>
        <v>1552376465853481</v>
      </c>
      <c r="C7127" t="s">
        <v>40</v>
      </c>
      <c r="D7127">
        <v>3.9959980000000002</v>
      </c>
      <c r="E7127">
        <v>0.33163150000000002</v>
      </c>
      <c r="F7127" t="s">
        <v>41</v>
      </c>
      <c r="G7127">
        <v>-421.3766</v>
      </c>
      <c r="H7127">
        <v>1.062432</v>
      </c>
      <c r="I7127">
        <v>51.020159999999997</v>
      </c>
      <c r="J7127">
        <v>-421.83659999999998</v>
      </c>
      <c r="K7127">
        <v>1.1116569999999999</v>
      </c>
      <c r="L7127">
        <v>51.810270000000003</v>
      </c>
      <c r="M7127">
        <v>2.9724E-2</v>
      </c>
      <c r="N7127">
        <v>0</v>
      </c>
      <c r="O7127">
        <v>-0.99945439999999997</v>
      </c>
      <c r="P7127">
        <v>5.2399080000000001E-2</v>
      </c>
      <c r="Q7127">
        <v>1.2033210000000001E-2</v>
      </c>
      <c r="R7127">
        <v>-0.99855380000000005</v>
      </c>
      <c r="S7127">
        <v>1.4970699999999999</v>
      </c>
      <c r="T7127">
        <v>-0.15818299999999999</v>
      </c>
      <c r="U7127">
        <v>-2.9296570000000002</v>
      </c>
      <c r="V7127">
        <v>-2.277179E-2</v>
      </c>
      <c r="W7127">
        <v>2.63673E-2</v>
      </c>
      <c r="X7127">
        <v>0.99939290000000003</v>
      </c>
      <c r="Y7127">
        <v>-0.42783379999999999</v>
      </c>
      <c r="Z7127">
        <v>4.8324270000000003E-2</v>
      </c>
      <c r="AA7127">
        <v>0.90256460000000005</v>
      </c>
      <c r="AB7127">
        <v>21</v>
      </c>
      <c r="AC7127">
        <v>0.45999999999997898</v>
      </c>
      <c r="AD7127">
        <v>-4.9224999999999797E-2</v>
      </c>
      <c r="AE7127">
        <v>-0.79011000000000498</v>
      </c>
      <c r="AF7127">
        <v>-0.43504788588461402</v>
      </c>
      <c r="AG7127">
        <v>-4.9224999999999797E-2</v>
      </c>
      <c r="AH7127">
        <v>0.801112938067299</v>
      </c>
      <c r="AI7127">
        <v>93.090819082355694</v>
      </c>
      <c r="AJ7127">
        <v>118.50436626798501</v>
      </c>
      <c r="AK7127">
        <v>0.91294671431387098</v>
      </c>
      <c r="AL7127">
        <v>88.489089853422598</v>
      </c>
      <c r="AM7127">
        <v>91.305294175219998</v>
      </c>
      <c r="AN7127">
        <v>0.999999978749751</v>
      </c>
    </row>
    <row r="7128" spans="1:40" x14ac:dyDescent="0.25">
      <c r="A7128" t="str">
        <f>"20190312154105871"</f>
        <v>20190312154105871</v>
      </c>
      <c r="B7128" t="str">
        <f>"1552376465863241"</f>
        <v>1552376465863241</v>
      </c>
      <c r="C7128" t="s">
        <v>40</v>
      </c>
      <c r="D7128">
        <v>3.97777</v>
      </c>
      <c r="E7128">
        <v>0.33174110000000001</v>
      </c>
      <c r="F7128" t="s">
        <v>69</v>
      </c>
      <c r="G7128">
        <v>-410.88740000000001</v>
      </c>
      <c r="H7128" s="1">
        <v>-6.8108379999999999E-6</v>
      </c>
      <c r="I7128">
        <v>30.488510000000002</v>
      </c>
      <c r="J7128">
        <v>-421.8313</v>
      </c>
      <c r="K7128">
        <v>1.111747</v>
      </c>
      <c r="L7128">
        <v>51.686680000000003</v>
      </c>
      <c r="M7128">
        <v>3.1127510000000001E-2</v>
      </c>
      <c r="N7128">
        <v>0</v>
      </c>
      <c r="O7128">
        <v>-0.99941190000000002</v>
      </c>
      <c r="P7128">
        <v>5.4077479999999997E-2</v>
      </c>
      <c r="Q7128">
        <v>1.292808E-2</v>
      </c>
      <c r="R7128">
        <v>-0.99845360000000005</v>
      </c>
      <c r="S7128">
        <v>1.5032350000000001</v>
      </c>
      <c r="T7128">
        <v>-0.15262249999999999</v>
      </c>
      <c r="U7128">
        <v>-2.9273069999999999</v>
      </c>
      <c r="V7128">
        <v>-2.305716E-2</v>
      </c>
      <c r="W7128">
        <v>2.725723E-2</v>
      </c>
      <c r="X7128">
        <v>0.99936250000000004</v>
      </c>
      <c r="Y7128">
        <v>-0.42840040000000001</v>
      </c>
      <c r="Z7128">
        <v>4.6632229999999997E-2</v>
      </c>
      <c r="AA7128">
        <v>0.90238490000000005</v>
      </c>
      <c r="AB7128">
        <v>21</v>
      </c>
      <c r="AC7128">
        <v>10.9438999999999</v>
      </c>
      <c r="AD7128">
        <v>-1.1117538108380001</v>
      </c>
      <c r="AE7128">
        <v>-21.198170000000001</v>
      </c>
      <c r="AF7128">
        <v>-10.2564071031764</v>
      </c>
      <c r="AG7128">
        <v>-1.1117538108380001</v>
      </c>
      <c r="AH7128">
        <v>21.481934463599401</v>
      </c>
      <c r="AI7128">
        <v>92.673940187749807</v>
      </c>
      <c r="AJ7128">
        <v>115.521832903831</v>
      </c>
      <c r="AK7128">
        <v>23.830723688137901</v>
      </c>
      <c r="AL7128">
        <v>88.438082309460995</v>
      </c>
      <c r="AM7128">
        <v>91.321686197190303</v>
      </c>
      <c r="AN7128">
        <v>0.99999999781039395</v>
      </c>
    </row>
    <row r="7129" spans="1:40" x14ac:dyDescent="0.25">
      <c r="A7129" t="str">
        <f>"20190312154105882"</f>
        <v>20190312154105882</v>
      </c>
      <c r="B7129" t="str">
        <f>"1552376465873001"</f>
        <v>1552376465873001</v>
      </c>
      <c r="C7129" t="s">
        <v>40</v>
      </c>
      <c r="D7129">
        <v>3.970844</v>
      </c>
      <c r="E7129">
        <v>0.33156089999999999</v>
      </c>
      <c r="F7129" t="s">
        <v>69</v>
      </c>
      <c r="G7129">
        <v>-410.60879999999997</v>
      </c>
      <c r="H7129" s="1">
        <v>-7.0743179999999901E-6</v>
      </c>
      <c r="I7129">
        <v>29.907299999999999</v>
      </c>
      <c r="J7129">
        <v>-421.82639999999998</v>
      </c>
      <c r="K7129">
        <v>1.111834</v>
      </c>
      <c r="L7129">
        <v>51.576509999999999</v>
      </c>
      <c r="M7129">
        <v>3.2430319999999999E-2</v>
      </c>
      <c r="N7129">
        <v>0</v>
      </c>
      <c r="O7129">
        <v>-0.99937019999999999</v>
      </c>
      <c r="P7129">
        <v>5.620323E-2</v>
      </c>
      <c r="Q7129">
        <v>1.3980319999999999E-2</v>
      </c>
      <c r="R7129">
        <v>-0.99832169999999998</v>
      </c>
      <c r="S7129">
        <v>1.507172</v>
      </c>
      <c r="T7129">
        <v>-0.14930779999999999</v>
      </c>
      <c r="U7129">
        <v>-2.924957</v>
      </c>
      <c r="V7129">
        <v>-2.3891820000000001E-2</v>
      </c>
      <c r="W7129">
        <v>2.830301E-2</v>
      </c>
      <c r="X7129">
        <v>0.99931380000000003</v>
      </c>
      <c r="Y7129">
        <v>-0.42849860000000001</v>
      </c>
      <c r="Z7129">
        <v>4.563706E-2</v>
      </c>
      <c r="AA7129">
        <v>0.9023892</v>
      </c>
      <c r="AB7129">
        <v>21</v>
      </c>
      <c r="AC7129">
        <v>11.217599999999999</v>
      </c>
      <c r="AD7129">
        <v>-1.1118410743179901</v>
      </c>
      <c r="AE7129">
        <v>-21.66921</v>
      </c>
      <c r="AF7129">
        <v>-10.4871118696095</v>
      </c>
      <c r="AG7129">
        <v>-1.1118410743179901</v>
      </c>
      <c r="AH7129">
        <v>21.9760095107277</v>
      </c>
      <c r="AI7129">
        <v>92.614352212678099</v>
      </c>
      <c r="AJ7129">
        <v>115.51081650936899</v>
      </c>
      <c r="AK7129">
        <v>24.3754117904876</v>
      </c>
      <c r="AL7129">
        <v>88.378140355432606</v>
      </c>
      <c r="AM7129">
        <v>91.3695795231163</v>
      </c>
      <c r="AN7129">
        <v>0.99999997515420602</v>
      </c>
    </row>
    <row r="7130" spans="1:40" x14ac:dyDescent="0.25">
      <c r="A7130" t="str">
        <f>"20190312154105898"</f>
        <v>20190312154105898</v>
      </c>
      <c r="B7130" t="str">
        <f>"1552376465893496"</f>
        <v>1552376465893496</v>
      </c>
      <c r="C7130" t="s">
        <v>40</v>
      </c>
      <c r="D7130">
        <v>4.0137729999999996</v>
      </c>
      <c r="E7130">
        <v>0.3312079</v>
      </c>
      <c r="F7130" t="s">
        <v>69</v>
      </c>
      <c r="G7130">
        <v>-409.85180000000003</v>
      </c>
      <c r="H7130" s="1">
        <v>-2.9077320000000002E-6</v>
      </c>
      <c r="I7130">
        <v>28.483799999999999</v>
      </c>
      <c r="J7130">
        <v>-421.81990000000002</v>
      </c>
      <c r="K7130">
        <v>1.111934</v>
      </c>
      <c r="L7130">
        <v>51.436920000000001</v>
      </c>
      <c r="M7130">
        <v>3.4164479999999997E-2</v>
      </c>
      <c r="N7130">
        <v>0</v>
      </c>
      <c r="O7130">
        <v>-0.99931230000000004</v>
      </c>
      <c r="P7130">
        <v>5.8676270000000003E-2</v>
      </c>
      <c r="Q7130">
        <v>1.449577E-2</v>
      </c>
      <c r="R7130">
        <v>-0.99817199999999995</v>
      </c>
      <c r="S7130">
        <v>1.515045</v>
      </c>
      <c r="T7130">
        <v>-0.1406713</v>
      </c>
      <c r="U7130">
        <v>-2.9217219999999999</v>
      </c>
      <c r="V7130">
        <v>-2.4641960000000001E-2</v>
      </c>
      <c r="W7130">
        <v>2.8811590000000002E-2</v>
      </c>
      <c r="X7130">
        <v>0.99928099999999997</v>
      </c>
      <c r="Y7130">
        <v>-0.42930990000000002</v>
      </c>
      <c r="Z7130">
        <v>4.3007400000000001E-2</v>
      </c>
      <c r="AA7130">
        <v>0.90213270000000001</v>
      </c>
      <c r="AB7130">
        <v>20</v>
      </c>
      <c r="AC7130">
        <v>11.9680999999999</v>
      </c>
      <c r="AD7130">
        <v>-1.111936907732</v>
      </c>
      <c r="AE7130">
        <v>-22.953119999999998</v>
      </c>
      <c r="AF7130">
        <v>-11.1562639520592</v>
      </c>
      <c r="AG7130">
        <v>-1.111936907732</v>
      </c>
      <c r="AH7130">
        <v>23.305641588975799</v>
      </c>
      <c r="AI7130">
        <v>92.464176431002699</v>
      </c>
      <c r="AJ7130">
        <v>115.580144930713</v>
      </c>
      <c r="AK7130">
        <v>25.862164621867802</v>
      </c>
      <c r="AL7130">
        <v>88.348988895558904</v>
      </c>
      <c r="AM7130">
        <v>91.412609889522201</v>
      </c>
      <c r="AN7130">
        <v>0.99999992543598204</v>
      </c>
    </row>
    <row r="7131" spans="1:40" x14ac:dyDescent="0.25">
      <c r="A7131" t="str">
        <f>"20190312154105911"</f>
        <v>20190312154105911</v>
      </c>
      <c r="B7131" t="str">
        <f>"1552376465903257"</f>
        <v>1552376465903257</v>
      </c>
      <c r="C7131" t="s">
        <v>40</v>
      </c>
      <c r="D7131">
        <v>4.0253540000000001</v>
      </c>
      <c r="E7131">
        <v>0.33100410000000002</v>
      </c>
      <c r="F7131" t="s">
        <v>41</v>
      </c>
      <c r="G7131">
        <v>-421.31389999999999</v>
      </c>
      <c r="H7131">
        <v>1.0659829999999999</v>
      </c>
      <c r="I7131">
        <v>50.468150000000001</v>
      </c>
      <c r="J7131">
        <v>-421.81420000000003</v>
      </c>
      <c r="K7131">
        <v>1.112012</v>
      </c>
      <c r="L7131">
        <v>51.319580000000002</v>
      </c>
      <c r="M7131">
        <v>3.5727960000000003E-2</v>
      </c>
      <c r="N7131">
        <v>0</v>
      </c>
      <c r="O7131">
        <v>-0.99925759999999997</v>
      </c>
      <c r="P7131">
        <v>6.1284770000000002E-2</v>
      </c>
      <c r="Q7131">
        <v>1.5075949999999999E-2</v>
      </c>
      <c r="R7131">
        <v>-0.99800679999999997</v>
      </c>
      <c r="S7131">
        <v>1.5245359999999999</v>
      </c>
      <c r="T7131">
        <v>-0.1384029</v>
      </c>
      <c r="U7131">
        <v>-2.9178769999999998</v>
      </c>
      <c r="V7131">
        <v>-2.569743E-2</v>
      </c>
      <c r="W7131">
        <v>2.9384980000000002E-2</v>
      </c>
      <c r="X7131">
        <v>0.99923779999999995</v>
      </c>
      <c r="Y7131">
        <v>-0.43070409999999998</v>
      </c>
      <c r="Z7131">
        <v>4.2316409999999999E-2</v>
      </c>
      <c r="AA7131">
        <v>0.90150059999999999</v>
      </c>
      <c r="AB7131">
        <v>20</v>
      </c>
      <c r="AC7131">
        <v>0.50030000000003805</v>
      </c>
      <c r="AD7131">
        <v>-4.6029000000000098E-2</v>
      </c>
      <c r="AE7131">
        <v>-0.85143000000000002</v>
      </c>
      <c r="AF7131">
        <v>-0.468539610643534</v>
      </c>
      <c r="AG7131">
        <v>-4.6029000000000098E-2</v>
      </c>
      <c r="AH7131">
        <v>0.86687957574695396</v>
      </c>
      <c r="AI7131">
        <v>92.674402998350899</v>
      </c>
      <c r="AJ7131">
        <v>118.390771679507</v>
      </c>
      <c r="AK7131">
        <v>0.98647262224058396</v>
      </c>
      <c r="AL7131">
        <v>88.316122287378604</v>
      </c>
      <c r="AM7131">
        <v>91.473152660820901</v>
      </c>
      <c r="AN7131">
        <v>1.0000000079535201</v>
      </c>
    </row>
    <row r="7132" spans="1:40" x14ac:dyDescent="0.25">
      <c r="A7132" t="str">
        <f>"20190312154105923"</f>
        <v>20190312154105923</v>
      </c>
      <c r="B7132" t="str">
        <f>"1552376465913017"</f>
        <v>1552376465913017</v>
      </c>
      <c r="C7132" t="s">
        <v>40</v>
      </c>
      <c r="D7132">
        <v>4.0299940000000003</v>
      </c>
      <c r="E7132">
        <v>0.33104440000000002</v>
      </c>
      <c r="F7132" t="s">
        <v>69</v>
      </c>
      <c r="G7132">
        <v>-409.29469999999998</v>
      </c>
      <c r="H7132" s="1">
        <v>-3.0271429999999999E-6</v>
      </c>
      <c r="I7132">
        <v>27.537980000000001</v>
      </c>
      <c r="J7132">
        <v>-421.80829999999997</v>
      </c>
      <c r="K7132">
        <v>1.112079</v>
      </c>
      <c r="L7132">
        <v>51.204349999999998</v>
      </c>
      <c r="M7132">
        <v>3.7310980000000001E-2</v>
      </c>
      <c r="N7132">
        <v>0</v>
      </c>
      <c r="O7132">
        <v>-0.99919990000000003</v>
      </c>
      <c r="P7132">
        <v>6.3925490000000001E-2</v>
      </c>
      <c r="Q7132">
        <v>1.5692609999999999E-2</v>
      </c>
      <c r="R7132">
        <v>-0.99783149999999998</v>
      </c>
      <c r="S7132">
        <v>1.5339659999999999</v>
      </c>
      <c r="T7132">
        <v>-0.13625139999999999</v>
      </c>
      <c r="U7132">
        <v>-2.9138790000000001</v>
      </c>
      <c r="V7132">
        <v>-2.6766140000000001E-2</v>
      </c>
      <c r="W7132">
        <v>2.999458E-2</v>
      </c>
      <c r="X7132">
        <v>0.99919159999999996</v>
      </c>
      <c r="Y7132">
        <v>-0.43208190000000002</v>
      </c>
      <c r="Z7132">
        <v>4.16628E-2</v>
      </c>
      <c r="AA7132">
        <v>0.90087150000000005</v>
      </c>
      <c r="AB7132">
        <v>20</v>
      </c>
      <c r="AC7132">
        <v>12.513599999999901</v>
      </c>
      <c r="AD7132">
        <v>-1.1120820271430001</v>
      </c>
      <c r="AE7132">
        <v>-23.666370000000001</v>
      </c>
      <c r="AF7132">
        <v>-11.601757776068199</v>
      </c>
      <c r="AG7132">
        <v>-1.1120820271430001</v>
      </c>
      <c r="AH7132">
        <v>24.075286191759101</v>
      </c>
      <c r="AI7132">
        <v>92.382829180671294</v>
      </c>
      <c r="AJ7132">
        <v>115.729180264015</v>
      </c>
      <c r="AK7132">
        <v>26.7480263784968</v>
      </c>
      <c r="AL7132">
        <v>88.281179323023494</v>
      </c>
      <c r="AM7132">
        <v>91.534460644892405</v>
      </c>
      <c r="AN7132">
        <v>0.99999997729521695</v>
      </c>
    </row>
    <row r="7133" spans="1:40" x14ac:dyDescent="0.25">
      <c r="A7133" t="str">
        <f>"20190312154105936"</f>
        <v>20190312154105936</v>
      </c>
      <c r="B7133" t="str">
        <f>"1552376465933513"</f>
        <v>1552376465933513</v>
      </c>
      <c r="C7133" t="s">
        <v>40</v>
      </c>
      <c r="D7133">
        <v>4.1515890000000004</v>
      </c>
      <c r="E7133">
        <v>0.33060319999999999</v>
      </c>
      <c r="F7133" t="s">
        <v>69</v>
      </c>
      <c r="G7133">
        <v>-409.29919999999998</v>
      </c>
      <c r="H7133" s="1">
        <v>-3.0372330000000002E-6</v>
      </c>
      <c r="I7133">
        <v>27.595289999999999</v>
      </c>
      <c r="J7133">
        <v>-421.80200000000002</v>
      </c>
      <c r="K7133">
        <v>1.112144</v>
      </c>
      <c r="L7133">
        <v>51.085419999999999</v>
      </c>
      <c r="M7133">
        <v>3.8993170000000001E-2</v>
      </c>
      <c r="N7133">
        <v>0</v>
      </c>
      <c r="O7133">
        <v>-0.99913560000000001</v>
      </c>
      <c r="P7133">
        <v>6.6905770000000003E-2</v>
      </c>
      <c r="Q7133">
        <v>1.5839430000000002E-2</v>
      </c>
      <c r="R7133">
        <v>-0.99763380000000002</v>
      </c>
      <c r="S7133">
        <v>1.541779</v>
      </c>
      <c r="T7133">
        <v>-0.1370672</v>
      </c>
      <c r="U7133">
        <v>-2.9098820000000001</v>
      </c>
      <c r="V7133">
        <v>-2.8073859999999999E-2</v>
      </c>
      <c r="W7133">
        <v>3.0132809999999999E-2</v>
      </c>
      <c r="X7133">
        <v>0.99915160000000003</v>
      </c>
      <c r="Y7133">
        <v>-0.43295929999999999</v>
      </c>
      <c r="Z7133">
        <v>4.192444E-2</v>
      </c>
      <c r="AA7133">
        <v>0.90043799999999996</v>
      </c>
      <c r="AB7133">
        <v>20</v>
      </c>
      <c r="AC7133">
        <v>12.502799999999899</v>
      </c>
      <c r="AD7133">
        <v>-1.112147037233</v>
      </c>
      <c r="AE7133">
        <v>-23.490130000000001</v>
      </c>
      <c r="AF7133">
        <v>-11.5570525819313</v>
      </c>
      <c r="AG7133">
        <v>-1.112147037233</v>
      </c>
      <c r="AH7133">
        <v>23.918057512912402</v>
      </c>
      <c r="AI7133">
        <v>92.397397319943806</v>
      </c>
      <c r="AJ7133">
        <v>115.78953666297799</v>
      </c>
      <c r="AK7133">
        <v>26.587136186602301</v>
      </c>
      <c r="AL7133">
        <v>88.273255826016495</v>
      </c>
      <c r="AM7133">
        <v>91.609456058753807</v>
      </c>
      <c r="AN7133">
        <v>1.0000000238181701</v>
      </c>
    </row>
    <row r="7134" spans="1:40" x14ac:dyDescent="0.25">
      <c r="A7134" t="str">
        <f>"20190312154105950"</f>
        <v>20190312154105950</v>
      </c>
      <c r="B7134" t="str">
        <f>"1552376465943273"</f>
        <v>1552376465943273</v>
      </c>
      <c r="C7134" t="s">
        <v>40</v>
      </c>
      <c r="D7134">
        <v>4.2407820000000003</v>
      </c>
      <c r="E7134">
        <v>0.3300787</v>
      </c>
      <c r="F7134" t="s">
        <v>69</v>
      </c>
      <c r="G7134">
        <v>-409.65359999999998</v>
      </c>
      <c r="H7134" s="1">
        <v>-3.0001049999999998E-6</v>
      </c>
      <c r="I7134">
        <v>28.371759999999998</v>
      </c>
      <c r="J7134">
        <v>-421.79539999999997</v>
      </c>
      <c r="K7134">
        <v>1.112206</v>
      </c>
      <c r="L7134">
        <v>50.967039999999997</v>
      </c>
      <c r="M7134">
        <v>4.0760379999999999E-2</v>
      </c>
      <c r="N7134">
        <v>0</v>
      </c>
      <c r="O7134">
        <v>-0.99906490000000003</v>
      </c>
      <c r="P7134">
        <v>7.1831590000000001E-2</v>
      </c>
      <c r="Q7134">
        <v>1.585862E-2</v>
      </c>
      <c r="R7134">
        <v>-0.99729080000000003</v>
      </c>
      <c r="S7134">
        <v>1.553833</v>
      </c>
      <c r="T7134">
        <v>-0.1422486</v>
      </c>
      <c r="U7134">
        <v>-2.9051819999999999</v>
      </c>
      <c r="V7134">
        <v>-3.1245800000000001E-2</v>
      </c>
      <c r="W7134">
        <v>3.013567E-2</v>
      </c>
      <c r="X7134">
        <v>0.99905739999999998</v>
      </c>
      <c r="Y7134">
        <v>-0.43484509999999998</v>
      </c>
      <c r="Z7134">
        <v>4.3502680000000002E-2</v>
      </c>
      <c r="AA7134">
        <v>0.89945390000000003</v>
      </c>
      <c r="AB7134">
        <v>20</v>
      </c>
      <c r="AC7134">
        <v>12.1417999999999</v>
      </c>
      <c r="AD7134">
        <v>-1.112209000105</v>
      </c>
      <c r="AE7134">
        <v>-22.595279999999999</v>
      </c>
      <c r="AF7134">
        <v>-11.189582658207501</v>
      </c>
      <c r="AG7134">
        <v>-1.112209000105</v>
      </c>
      <c r="AH7134">
        <v>23.028160307724502</v>
      </c>
      <c r="AI7134">
        <v>92.4874178994896</v>
      </c>
      <c r="AJ7134">
        <v>115.91551856692899</v>
      </c>
      <c r="AK7134">
        <v>25.626937703967499</v>
      </c>
      <c r="AL7134">
        <v>88.273091971563701</v>
      </c>
      <c r="AM7134">
        <v>91.791357635822294</v>
      </c>
      <c r="AN7134">
        <v>1.0000000735593699</v>
      </c>
    </row>
    <row r="7135" spans="1:40" x14ac:dyDescent="0.25">
      <c r="A7135" t="str">
        <f>"20190312154105964"</f>
        <v>20190312154105964</v>
      </c>
      <c r="B7135" t="str">
        <f>"1552376465953033"</f>
        <v>1552376465953033</v>
      </c>
      <c r="C7135" t="s">
        <v>40</v>
      </c>
      <c r="D7135">
        <v>4.0298410000000002</v>
      </c>
      <c r="E7135">
        <v>0.33013320000000002</v>
      </c>
      <c r="F7135" t="s">
        <v>69</v>
      </c>
      <c r="G7135">
        <v>-409.67219999999998</v>
      </c>
      <c r="H7135" s="1">
        <v>-3.0472210000000002E-6</v>
      </c>
      <c r="I7135">
        <v>28.633040000000001</v>
      </c>
      <c r="J7135">
        <v>-421.7878</v>
      </c>
      <c r="K7135">
        <v>1.1122620000000001</v>
      </c>
      <c r="L7135">
        <v>50.835720000000002</v>
      </c>
      <c r="M7135">
        <v>4.2779379999999999E-2</v>
      </c>
      <c r="N7135">
        <v>0</v>
      </c>
      <c r="O7135">
        <v>-0.9989806</v>
      </c>
      <c r="P7135">
        <v>7.5572539999999994E-2</v>
      </c>
      <c r="Q7135">
        <v>1.5791670000000001E-2</v>
      </c>
      <c r="R7135">
        <v>-0.99701550000000005</v>
      </c>
      <c r="S7135">
        <v>1.572632</v>
      </c>
      <c r="T7135">
        <v>-0.14427670000000001</v>
      </c>
      <c r="U7135">
        <v>-2.897186</v>
      </c>
      <c r="V7135">
        <v>-3.2978920000000002E-2</v>
      </c>
      <c r="W7135">
        <v>3.0057500000000001E-2</v>
      </c>
      <c r="X7135">
        <v>0.99900389999999994</v>
      </c>
      <c r="Y7135">
        <v>-0.43856109999999998</v>
      </c>
      <c r="Z7135">
        <v>4.4117249999999997E-2</v>
      </c>
      <c r="AA7135">
        <v>0.89761780000000002</v>
      </c>
      <c r="AB7135">
        <v>20</v>
      </c>
      <c r="AC7135">
        <v>12.115600000000001</v>
      </c>
      <c r="AD7135">
        <v>-1.1122650472210001</v>
      </c>
      <c r="AE7135">
        <v>-22.202679999999901</v>
      </c>
      <c r="AF7135">
        <v>-11.1330618932473</v>
      </c>
      <c r="AG7135">
        <v>-1.1122650472210001</v>
      </c>
      <c r="AH7135">
        <v>22.6568882891744</v>
      </c>
      <c r="AI7135">
        <v>92.522813252313</v>
      </c>
      <c r="AJ7135">
        <v>116.168416046643</v>
      </c>
      <c r="AK7135">
        <v>25.2688897184319</v>
      </c>
      <c r="AL7135">
        <v>88.277572560238895</v>
      </c>
      <c r="AM7135">
        <v>91.890750355337104</v>
      </c>
      <c r="AN7135">
        <v>0.99999992734290999</v>
      </c>
    </row>
    <row r="7136" spans="1:40" x14ac:dyDescent="0.25">
      <c r="A7136" t="str">
        <f>"20190312154105978"</f>
        <v>20190312154105978</v>
      </c>
      <c r="B7136" t="str">
        <f>"1552376465973061"</f>
        <v>1552376465973061</v>
      </c>
      <c r="C7136" t="s">
        <v>40</v>
      </c>
      <c r="D7136">
        <v>3.9397920000000002</v>
      </c>
      <c r="E7136">
        <v>0.33023760000000002</v>
      </c>
      <c r="F7136" t="s">
        <v>69</v>
      </c>
      <c r="G7136">
        <v>-409.51830000000001</v>
      </c>
      <c r="H7136" s="1">
        <v>-3.0933359999999998E-6</v>
      </c>
      <c r="I7136">
        <v>28.430890000000002</v>
      </c>
      <c r="J7136">
        <v>-421.78019999999998</v>
      </c>
      <c r="K7136">
        <v>1.112312</v>
      </c>
      <c r="L7136">
        <v>50.710239999999999</v>
      </c>
      <c r="M7136">
        <v>4.476989E-2</v>
      </c>
      <c r="N7136">
        <v>0</v>
      </c>
      <c r="O7136">
        <v>-0.99889329999999998</v>
      </c>
      <c r="P7136">
        <v>7.8979289999999994E-2</v>
      </c>
      <c r="Q7136">
        <v>1.534806E-2</v>
      </c>
      <c r="R7136">
        <v>-0.99675840000000004</v>
      </c>
      <c r="S7136">
        <v>1.583313</v>
      </c>
      <c r="T7136">
        <v>-0.14353239999999901</v>
      </c>
      <c r="U7136">
        <v>-2.891235</v>
      </c>
      <c r="V7136">
        <v>-3.4404629999999999E-2</v>
      </c>
      <c r="W7136">
        <v>2.9604229999999999E-2</v>
      </c>
      <c r="X7136">
        <v>0.99896940000000001</v>
      </c>
      <c r="Y7136">
        <v>-0.44010379999999899</v>
      </c>
      <c r="Z7136">
        <v>4.3909539999999997E-2</v>
      </c>
      <c r="AA7136">
        <v>0.89687269999999897</v>
      </c>
      <c r="AB7136">
        <v>20</v>
      </c>
      <c r="AC7136">
        <v>12.261899999999899</v>
      </c>
      <c r="AD7136">
        <v>-1.112315093336</v>
      </c>
      <c r="AE7136">
        <v>-22.279350000000001</v>
      </c>
      <c r="AF7136">
        <v>-11.230569870086001</v>
      </c>
      <c r="AG7136">
        <v>-1.112315093336</v>
      </c>
      <c r="AH7136">
        <v>22.762480566263299</v>
      </c>
      <c r="AI7136">
        <v>92.509246768773707</v>
      </c>
      <c r="AJ7136">
        <v>116.260844785429</v>
      </c>
      <c r="AK7136">
        <v>25.4065634433952</v>
      </c>
      <c r="AL7136">
        <v>88.303554665186397</v>
      </c>
      <c r="AM7136">
        <v>91.9724941241724</v>
      </c>
      <c r="AN7136">
        <v>0.99999997556784403</v>
      </c>
    </row>
    <row r="7137" spans="1:40" x14ac:dyDescent="0.25">
      <c r="A7137" t="str">
        <f>"20190312154105994"</f>
        <v>20190312154105994</v>
      </c>
      <c r="B7137" t="str">
        <f>"1552376465983795"</f>
        <v>1552376465983795</v>
      </c>
      <c r="C7137" t="s">
        <v>40</v>
      </c>
      <c r="D7137">
        <v>4.1013359999999999</v>
      </c>
      <c r="E7137">
        <v>0.33005279999999998</v>
      </c>
      <c r="F7137" t="s">
        <v>41</v>
      </c>
      <c r="G7137">
        <v>-421.28059999999999</v>
      </c>
      <c r="H7137">
        <v>1.0673539999999999</v>
      </c>
      <c r="I7137">
        <v>49.804490000000001</v>
      </c>
      <c r="J7137">
        <v>-421.77120000000002</v>
      </c>
      <c r="K7137">
        <v>1.1123780000000001</v>
      </c>
      <c r="L7137">
        <v>50.567500000000003</v>
      </c>
      <c r="M7137">
        <v>4.7136669999999999E-2</v>
      </c>
      <c r="N7137">
        <v>0</v>
      </c>
      <c r="O7137">
        <v>-0.99878440000000002</v>
      </c>
      <c r="P7137">
        <v>8.3186189999999993E-2</v>
      </c>
      <c r="Q7137">
        <v>1.4422549999999999E-2</v>
      </c>
      <c r="R7137">
        <v>-0.99642989999999998</v>
      </c>
      <c r="S7137">
        <v>1.592438</v>
      </c>
      <c r="T7137">
        <v>-0.1432426</v>
      </c>
      <c r="U7137">
        <v>-2.8858030000000001</v>
      </c>
      <c r="V7137">
        <v>-3.6254740000000001E-2</v>
      </c>
      <c r="W7137">
        <v>2.8666210000000001E-2</v>
      </c>
      <c r="X7137">
        <v>0.99893129999999997</v>
      </c>
      <c r="Y7137">
        <v>-0.44086560000000002</v>
      </c>
      <c r="Z7137">
        <v>4.3845929999999998E-2</v>
      </c>
      <c r="AA7137">
        <v>0.89650149999999995</v>
      </c>
      <c r="AB7137">
        <v>20</v>
      </c>
      <c r="AC7137">
        <v>0.49060000000002801</v>
      </c>
      <c r="AD7137">
        <v>-4.5023999999999897E-2</v>
      </c>
      <c r="AE7137">
        <v>-0.76301000000000097</v>
      </c>
      <c r="AF7137">
        <v>-0.45296917362072597</v>
      </c>
      <c r="AG7137">
        <v>-4.5023999999999897E-2</v>
      </c>
      <c r="AH7137">
        <v>0.78335953397568703</v>
      </c>
      <c r="AI7137">
        <v>92.848465555734194</v>
      </c>
      <c r="AJ7137">
        <v>120.03818337342</v>
      </c>
      <c r="AK7137">
        <v>0.90601346143269301</v>
      </c>
      <c r="AL7137">
        <v>88.357322038850498</v>
      </c>
      <c r="AM7137">
        <v>92.078553597395995</v>
      </c>
      <c r="AN7137">
        <v>0.99999994994395902</v>
      </c>
    </row>
    <row r="7138" spans="1:40" x14ac:dyDescent="0.25">
      <c r="A7138" t="str">
        <f>"20190312154106010"</f>
        <v>20190312154106010</v>
      </c>
      <c r="B7138" t="str">
        <f>"1552376466003315"</f>
        <v>1552376466003315</v>
      </c>
      <c r="C7138" t="s">
        <v>40</v>
      </c>
      <c r="D7138">
        <v>4.1463419999999998</v>
      </c>
      <c r="E7138">
        <v>0.33061790000000002</v>
      </c>
      <c r="F7138" t="s">
        <v>69</v>
      </c>
      <c r="G7138">
        <v>-409.55509999999998</v>
      </c>
      <c r="H7138" s="1">
        <v>-3.1245969999999998E-6</v>
      </c>
      <c r="I7138">
        <v>28.669419999999999</v>
      </c>
      <c r="J7138">
        <v>-421.762</v>
      </c>
      <c r="K7138">
        <v>1.1124419999999999</v>
      </c>
      <c r="L7138">
        <v>50.430999999999997</v>
      </c>
      <c r="M7138">
        <v>4.947758E-2</v>
      </c>
      <c r="N7138">
        <v>0</v>
      </c>
      <c r="O7138">
        <v>-0.99867119999999998</v>
      </c>
      <c r="P7138">
        <v>8.907226E-2</v>
      </c>
      <c r="Q7138">
        <v>1.4917639999999999E-2</v>
      </c>
      <c r="R7138">
        <v>-0.99591370000000001</v>
      </c>
      <c r="S7138">
        <v>1.6059570000000001</v>
      </c>
      <c r="T7138">
        <v>-0.1462368</v>
      </c>
      <c r="U7138">
        <v>-2.878784</v>
      </c>
      <c r="V7138">
        <v>-3.9823549999999999E-2</v>
      </c>
      <c r="W7138">
        <v>2.9139519999999999E-2</v>
      </c>
      <c r="X7138">
        <v>0.99878169999999999</v>
      </c>
      <c r="Y7138">
        <v>-0.44288270000000002</v>
      </c>
      <c r="Z7138">
        <v>4.4776679999999999E-2</v>
      </c>
      <c r="AA7138">
        <v>0.89546079999999995</v>
      </c>
      <c r="AB7138">
        <v>20</v>
      </c>
      <c r="AC7138">
        <v>12.2068999999999</v>
      </c>
      <c r="AD7138">
        <v>-1.112445124597</v>
      </c>
      <c r="AE7138">
        <v>-21.761579999999999</v>
      </c>
      <c r="AF7138">
        <v>-11.0930736401685</v>
      </c>
      <c r="AG7138">
        <v>-1.112445124597</v>
      </c>
      <c r="AH7138">
        <v>22.294635697655401</v>
      </c>
      <c r="AI7138">
        <v>92.557874519852007</v>
      </c>
      <c r="AJ7138">
        <v>116.45341937405</v>
      </c>
      <c r="AK7138">
        <v>24.926784747187401</v>
      </c>
      <c r="AL7138">
        <v>88.330192046891398</v>
      </c>
      <c r="AM7138">
        <v>92.283295080802304</v>
      </c>
      <c r="AN7138">
        <v>0.99999995550765997</v>
      </c>
    </row>
    <row r="7139" spans="1:40" x14ac:dyDescent="0.25">
      <c r="A7139" t="str">
        <f>"20190312154106141"</f>
        <v>20190312154106141</v>
      </c>
      <c r="B7139" t="str">
        <f>"1552376466133576"</f>
        <v>1552376466133576</v>
      </c>
      <c r="C7139" t="s">
        <v>40</v>
      </c>
      <c r="D7139">
        <v>4.0146369999999996</v>
      </c>
      <c r="E7139">
        <v>0.43758209999999997</v>
      </c>
      <c r="F7139" t="s">
        <v>42</v>
      </c>
      <c r="G7139">
        <v>-420.56360000000001</v>
      </c>
      <c r="H7139" s="1">
        <v>-2.953156E-6</v>
      </c>
      <c r="I7139">
        <v>46.12341</v>
      </c>
      <c r="J7139">
        <v>-421.66640000000001</v>
      </c>
      <c r="K7139">
        <v>1.1130409999999999</v>
      </c>
      <c r="L7139">
        <v>49.271549999999998</v>
      </c>
      <c r="M7139">
        <v>7.3020580000000002E-2</v>
      </c>
      <c r="N7139">
        <v>0</v>
      </c>
      <c r="O7139">
        <v>-0.99722560000000005</v>
      </c>
      <c r="P7139">
        <v>0.13511310000000001</v>
      </c>
      <c r="Q7139">
        <v>9.1864600000000005E-3</v>
      </c>
      <c r="R7139">
        <v>-0.990788</v>
      </c>
      <c r="S7139">
        <v>0.99114990000000003</v>
      </c>
      <c r="T7139">
        <v>-0.99002409999999996</v>
      </c>
      <c r="U7139">
        <v>-2.9060969999999999</v>
      </c>
      <c r="V7139">
        <v>-6.2546480000000002E-2</v>
      </c>
      <c r="W7139">
        <v>2.3228289999999999E-2</v>
      </c>
      <c r="X7139">
        <v>0.99777170000000004</v>
      </c>
      <c r="Y7139">
        <v>-0.2370505</v>
      </c>
      <c r="Z7139">
        <v>0.30886449999999999</v>
      </c>
      <c r="AA7139">
        <v>0.92109160000000001</v>
      </c>
      <c r="AB7139">
        <v>20</v>
      </c>
      <c r="AC7139">
        <v>1.1028</v>
      </c>
      <c r="AD7139">
        <v>-1.1130439531559999</v>
      </c>
      <c r="AE7139">
        <v>-3.1481399999999899</v>
      </c>
      <c r="AF7139">
        <v>-0.78279636543054498</v>
      </c>
      <c r="AG7139">
        <v>-1.1130439531559999</v>
      </c>
      <c r="AH7139">
        <v>2.8976476221438201</v>
      </c>
      <c r="AI7139">
        <v>110.34611864828101</v>
      </c>
      <c r="AJ7139">
        <v>105.11752736893099</v>
      </c>
      <c r="AK7139">
        <v>3.2012495581419702</v>
      </c>
      <c r="AL7139">
        <v>88.668997295519205</v>
      </c>
      <c r="AM7139">
        <v>93.586959135618102</v>
      </c>
      <c r="AN7139">
        <v>0.99999999046880195</v>
      </c>
    </row>
    <row r="7140" spans="1:40" x14ac:dyDescent="0.25">
      <c r="A7140" t="str">
        <f>"20190312154106162"</f>
        <v>20190312154106162</v>
      </c>
      <c r="B7140" t="str">
        <f>"1552376466154072"</f>
        <v>1552376466154072</v>
      </c>
      <c r="C7140" t="s">
        <v>40</v>
      </c>
      <c r="D7140">
        <v>4.062735</v>
      </c>
      <c r="E7140">
        <v>0.44509690000000002</v>
      </c>
      <c r="F7140" t="s">
        <v>42</v>
      </c>
      <c r="G7140">
        <v>-420.57139999999998</v>
      </c>
      <c r="H7140" s="1">
        <v>-2.8124980000000001E-6</v>
      </c>
      <c r="I7140">
        <v>45.790730000000003</v>
      </c>
      <c r="J7140">
        <v>-421.64659999999998</v>
      </c>
      <c r="K7140">
        <v>1.113181</v>
      </c>
      <c r="L7140">
        <v>49.07687</v>
      </c>
      <c r="M7140">
        <v>7.7782619999999997E-2</v>
      </c>
      <c r="N7140">
        <v>0</v>
      </c>
      <c r="O7140">
        <v>-0.99686529999999995</v>
      </c>
      <c r="P7140">
        <v>0.14309189999999999</v>
      </c>
      <c r="Q7140">
        <v>1.008473E-2</v>
      </c>
      <c r="R7140">
        <v>-0.98965809999999999</v>
      </c>
      <c r="S7140">
        <v>0.91595459999999995</v>
      </c>
      <c r="T7140">
        <v>-0.93103579999999997</v>
      </c>
      <c r="U7140">
        <v>-2.9116209999999998</v>
      </c>
      <c r="V7140">
        <v>-6.5834779999999996E-2</v>
      </c>
      <c r="W7140">
        <v>2.4092550000000001E-2</v>
      </c>
      <c r="X7140">
        <v>0.99753959999999997</v>
      </c>
      <c r="Y7140">
        <v>-0.21176719999999999</v>
      </c>
      <c r="Z7140">
        <v>0.29340080000000002</v>
      </c>
      <c r="AA7140">
        <v>0.93223959999999995</v>
      </c>
      <c r="AB7140">
        <v>20</v>
      </c>
      <c r="AC7140">
        <v>1.0751999999999899</v>
      </c>
      <c r="AD7140">
        <v>-1.113183812498</v>
      </c>
      <c r="AE7140">
        <v>-3.2861400000000001</v>
      </c>
      <c r="AF7140">
        <v>-0.73964244568841597</v>
      </c>
      <c r="AG7140">
        <v>-1.113183812498</v>
      </c>
      <c r="AH7140">
        <v>3.0442674892966002</v>
      </c>
      <c r="AI7140">
        <v>109.561565424992</v>
      </c>
      <c r="AJ7140">
        <v>103.65611230897299</v>
      </c>
      <c r="AK7140">
        <v>3.32472761203978</v>
      </c>
      <c r="AL7140">
        <v>88.619464936535906</v>
      </c>
      <c r="AM7140">
        <v>93.775882936985099</v>
      </c>
      <c r="AN7140">
        <v>0.99999996139565395</v>
      </c>
    </row>
    <row r="7141" spans="1:40" x14ac:dyDescent="0.25">
      <c r="A7141" t="str">
        <f>"20190312154106183"</f>
        <v>20190312154106183</v>
      </c>
      <c r="B7141" t="str">
        <f>"1552376466174099"</f>
        <v>1552376466174099</v>
      </c>
      <c r="C7141" t="s">
        <v>40</v>
      </c>
      <c r="D7141">
        <v>5.1290800000000001</v>
      </c>
      <c r="E7141">
        <v>0.4474072</v>
      </c>
      <c r="F7141" t="s">
        <v>42</v>
      </c>
      <c r="G7141">
        <v>-420.42039999999997</v>
      </c>
      <c r="H7141" s="1">
        <v>-2.4335929999999999E-6</v>
      </c>
      <c r="I7141">
        <v>45.00112</v>
      </c>
      <c r="J7141">
        <v>-421.6266</v>
      </c>
      <c r="K7141">
        <v>1.113324</v>
      </c>
      <c r="L7141">
        <v>48.892029999999998</v>
      </c>
      <c r="M7141">
        <v>8.2555920000000005E-2</v>
      </c>
      <c r="N7141">
        <v>0</v>
      </c>
      <c r="O7141">
        <v>-0.99648110000000001</v>
      </c>
      <c r="P7141">
        <v>0.14983239999999901</v>
      </c>
      <c r="Q7141">
        <v>9.6631909999999998E-3</v>
      </c>
      <c r="R7141">
        <v>-0.9886644</v>
      </c>
      <c r="S7141">
        <v>0.87628169999999905</v>
      </c>
      <c r="T7141">
        <v>-0.79554029999999998</v>
      </c>
      <c r="U7141">
        <v>-2.91275</v>
      </c>
      <c r="V7141">
        <v>-6.7860279999999995E-2</v>
      </c>
      <c r="W7141">
        <v>2.3646360000000002E-2</v>
      </c>
      <c r="X7141">
        <v>0.99741460000000004</v>
      </c>
      <c r="Y7141">
        <v>-0.19856409999999999</v>
      </c>
      <c r="Z7141">
        <v>0.25432939999999998</v>
      </c>
      <c r="AA7141">
        <v>0.94651410000000002</v>
      </c>
      <c r="AB7141">
        <v>20</v>
      </c>
      <c r="AC7141">
        <v>1.2062000000000199</v>
      </c>
      <c r="AD7141">
        <v>-1.113326433593</v>
      </c>
      <c r="AE7141">
        <v>-3.8909099999999901</v>
      </c>
      <c r="AF7141">
        <v>-0.81960959753250695</v>
      </c>
      <c r="AG7141">
        <v>-1.113326433593</v>
      </c>
      <c r="AH7141">
        <v>3.7007847250050401</v>
      </c>
      <c r="AI7141">
        <v>106.368475032875</v>
      </c>
      <c r="AJ7141">
        <v>102.487683049881</v>
      </c>
      <c r="AK7141">
        <v>3.9505775806753798</v>
      </c>
      <c r="AL7141">
        <v>88.645037115208297</v>
      </c>
      <c r="AM7141">
        <v>93.892187861356106</v>
      </c>
      <c r="AN7141">
        <v>1.00000002611804</v>
      </c>
    </row>
    <row r="7142" spans="1:40" x14ac:dyDescent="0.25">
      <c r="A7142" t="str">
        <f>"20190312154106208"</f>
        <v>20190312154106208</v>
      </c>
      <c r="B7142" t="str">
        <f>"1552376466203378"</f>
        <v>1552376466203378</v>
      </c>
      <c r="C7142" t="s">
        <v>40</v>
      </c>
      <c r="D7142">
        <v>4.4625120000000003</v>
      </c>
      <c r="E7142">
        <v>0.4512274</v>
      </c>
      <c r="F7142" t="s">
        <v>42</v>
      </c>
      <c r="G7142">
        <v>-420.13850000000002</v>
      </c>
      <c r="H7142" s="1">
        <v>-1.909565E-6</v>
      </c>
      <c r="I7142">
        <v>43.954410000000003</v>
      </c>
      <c r="J7142">
        <v>-421.60329999999999</v>
      </c>
      <c r="K7142">
        <v>1.11348799999999</v>
      </c>
      <c r="L7142">
        <v>48.689149999999998</v>
      </c>
      <c r="M7142">
        <v>8.8083190000000006E-2</v>
      </c>
      <c r="N7142">
        <v>0</v>
      </c>
      <c r="O7142">
        <v>-0.99600739999999999</v>
      </c>
      <c r="P7142">
        <v>0.15646009999999999</v>
      </c>
      <c r="Q7142">
        <v>8.5994480000000009E-3</v>
      </c>
      <c r="R7142">
        <v>-0.98764669999999999</v>
      </c>
      <c r="S7142">
        <v>0.87637330000000002</v>
      </c>
      <c r="T7142">
        <v>-0.65568909999999903</v>
      </c>
      <c r="U7142">
        <v>-2.9079899999999999</v>
      </c>
      <c r="V7142">
        <v>-6.9017190000000006E-2</v>
      </c>
      <c r="W7142">
        <v>2.2564710000000002E-2</v>
      </c>
      <c r="X7142">
        <v>0.99736020000000003</v>
      </c>
      <c r="Y7142">
        <v>-0.19651160000000001</v>
      </c>
      <c r="Z7142">
        <v>0.21209120000000001</v>
      </c>
      <c r="AA7142">
        <v>0.95728809999999998</v>
      </c>
      <c r="AB7142">
        <v>20</v>
      </c>
      <c r="AC7142">
        <v>1.4647999999999599</v>
      </c>
      <c r="AD7142">
        <v>-1.1134899095649899</v>
      </c>
      <c r="AE7142">
        <v>-4.7347400000000004</v>
      </c>
      <c r="AF7142">
        <v>-0.99194124604808598</v>
      </c>
      <c r="AG7142">
        <v>-1.1134899095649899</v>
      </c>
      <c r="AH7142">
        <v>4.6125480953476004</v>
      </c>
      <c r="AI7142">
        <v>103.279311680251</v>
      </c>
      <c r="AJ7142">
        <v>102.136770067838</v>
      </c>
      <c r="AK7142">
        <v>4.8476187088310896</v>
      </c>
      <c r="AL7142">
        <v>88.707027552264606</v>
      </c>
      <c r="AM7142">
        <v>93.958549522532095</v>
      </c>
      <c r="AN7142">
        <v>0.99999995359845895</v>
      </c>
    </row>
    <row r="7143" spans="1:40" x14ac:dyDescent="0.25">
      <c r="A7143" t="str">
        <f>"20190312154106224"</f>
        <v>20190312154106224</v>
      </c>
      <c r="B7143" t="str">
        <f>"1552376466214115"</f>
        <v>1552376466214115</v>
      </c>
      <c r="C7143" t="s">
        <v>40</v>
      </c>
      <c r="D7143">
        <v>4.1581830000000002</v>
      </c>
      <c r="E7143">
        <v>0.46402919999999998</v>
      </c>
      <c r="F7143" t="s">
        <v>42</v>
      </c>
      <c r="G7143">
        <v>-419.82979999999998</v>
      </c>
      <c r="H7143" s="1">
        <v>-1.3556899999999999E-6</v>
      </c>
      <c r="I7143">
        <v>42.722560000000001</v>
      </c>
      <c r="J7143">
        <v>-421.58519999999999</v>
      </c>
      <c r="K7143">
        <v>1.113612</v>
      </c>
      <c r="L7143">
        <v>48.540410000000001</v>
      </c>
      <c r="M7143">
        <v>9.2345109999999994E-2</v>
      </c>
      <c r="N7143">
        <v>0</v>
      </c>
      <c r="O7143">
        <v>-0.99562130000000004</v>
      </c>
      <c r="P7143">
        <v>0.16112279999999901</v>
      </c>
      <c r="Q7143">
        <v>8.2644550000000004E-3</v>
      </c>
      <c r="R7143">
        <v>-0.98689990000000005</v>
      </c>
      <c r="S7143">
        <v>0.86358639999999998</v>
      </c>
      <c r="T7143">
        <v>-0.54221299999999995</v>
      </c>
      <c r="U7143">
        <v>-2.9054259999999998</v>
      </c>
      <c r="V7143">
        <v>-6.9462860000000001E-2</v>
      </c>
      <c r="W7143">
        <v>2.2219559999999999E-2</v>
      </c>
      <c r="X7143">
        <v>0.99733700000000003</v>
      </c>
      <c r="Y7143">
        <v>-0.1906678</v>
      </c>
      <c r="Z7143">
        <v>0.176927799999999</v>
      </c>
      <c r="AA7143">
        <v>0.96557879999999996</v>
      </c>
      <c r="AB7143">
        <v>20</v>
      </c>
      <c r="AC7143">
        <v>1.7554000000000001</v>
      </c>
      <c r="AD7143">
        <v>-1.1136133556899901</v>
      </c>
      <c r="AE7143">
        <v>-5.81785</v>
      </c>
      <c r="AF7143">
        <v>-1.1712581957908399</v>
      </c>
      <c r="AG7143">
        <v>-1.1136133556899901</v>
      </c>
      <c r="AH7143">
        <v>5.7616197297067497</v>
      </c>
      <c r="AI7143">
        <v>100.725185473346</v>
      </c>
      <c r="AJ7143">
        <v>101.490865141146</v>
      </c>
      <c r="AK7143">
        <v>5.9839988617081499</v>
      </c>
      <c r="AL7143">
        <v>88.726808139901493</v>
      </c>
      <c r="AM7143">
        <v>93.984121693498196</v>
      </c>
      <c r="AN7143">
        <v>0.99999994466748499</v>
      </c>
    </row>
    <row r="7144" spans="1:40" x14ac:dyDescent="0.25">
      <c r="A7144" t="str">
        <f>"20190312154106241"</f>
        <v>20190312154106241</v>
      </c>
      <c r="B7144" t="str">
        <f>"1552376466233637"</f>
        <v>1552376466233637</v>
      </c>
      <c r="C7144" t="s">
        <v>40</v>
      </c>
      <c r="D7144">
        <v>4.2079300000000002</v>
      </c>
      <c r="E7144">
        <v>0.46516479999999999</v>
      </c>
      <c r="F7144" t="s">
        <v>84</v>
      </c>
      <c r="G7144">
        <v>-408.96069999999997</v>
      </c>
      <c r="H7144">
        <v>0.48531580000000002</v>
      </c>
      <c r="I7144">
        <v>0.58965679999999998</v>
      </c>
      <c r="J7144">
        <v>-421.56670000000003</v>
      </c>
      <c r="K7144">
        <v>1.113748</v>
      </c>
      <c r="L7144">
        <v>48.394199999999998</v>
      </c>
      <c r="M7144">
        <v>9.6723340000000005E-2</v>
      </c>
      <c r="N7144">
        <v>0</v>
      </c>
      <c r="O7144">
        <v>-0.99520500000000001</v>
      </c>
      <c r="P7144">
        <v>0.16560620000000001</v>
      </c>
      <c r="Q7144">
        <v>8.6701899999999995E-3</v>
      </c>
      <c r="R7144">
        <v>-0.98615399999999998</v>
      </c>
      <c r="S7144">
        <v>0.76742549999999998</v>
      </c>
      <c r="T7144">
        <v>-3.8194890000000002E-2</v>
      </c>
      <c r="U7144">
        <v>-2.9148559999999999</v>
      </c>
      <c r="V7144">
        <v>-6.9619650000000005E-2</v>
      </c>
      <c r="W7144">
        <v>2.2617620000000001E-2</v>
      </c>
      <c r="X7144">
        <v>0.99731720000000001</v>
      </c>
      <c r="Y7144">
        <v>-0.15984409999999999</v>
      </c>
      <c r="Z7144">
        <v>1.270987E-2</v>
      </c>
      <c r="AA7144">
        <v>0.98706039999999995</v>
      </c>
      <c r="AB7144">
        <v>20</v>
      </c>
      <c r="AC7144">
        <v>12.606</v>
      </c>
      <c r="AD7144">
        <v>-0.628432199999999</v>
      </c>
      <c r="AE7144">
        <v>-47.804543199999998</v>
      </c>
      <c r="AF7144">
        <v>-7.9212975025809396</v>
      </c>
      <c r="AG7144">
        <v>-0.628432199999999</v>
      </c>
      <c r="AH7144">
        <v>48.791894508922297</v>
      </c>
      <c r="AI7144">
        <v>90.728384579281098</v>
      </c>
      <c r="AJ7144">
        <v>99.221436618430502</v>
      </c>
      <c r="AK7144">
        <v>49.434713015493401</v>
      </c>
      <c r="AL7144">
        <v>88.703995350982495</v>
      </c>
      <c r="AM7144">
        <v>93.993164524084506</v>
      </c>
      <c r="AN7144">
        <v>1.0000000249082099</v>
      </c>
    </row>
    <row r="7145" spans="1:40" x14ac:dyDescent="0.25">
      <c r="A7145" t="str">
        <f>"20190312154106257"</f>
        <v>20190312154106257</v>
      </c>
      <c r="B7145" t="str">
        <f>"1552376466253155"</f>
        <v>1552376466253155</v>
      </c>
      <c r="C7145" t="s">
        <v>40</v>
      </c>
      <c r="D7145">
        <v>4.1856819999999999</v>
      </c>
      <c r="E7145">
        <v>0.4672096</v>
      </c>
      <c r="F7145" t="s">
        <v>84</v>
      </c>
      <c r="G7145">
        <v>-408.89429999999999</v>
      </c>
      <c r="H7145">
        <v>0.23440069999999999</v>
      </c>
      <c r="I7145">
        <v>0.59033199999999997</v>
      </c>
      <c r="J7145">
        <v>-421.54899999999998</v>
      </c>
      <c r="K7145">
        <v>1.113877</v>
      </c>
      <c r="L7145">
        <v>48.260530000000003</v>
      </c>
      <c r="M7145">
        <v>0.1008975</v>
      </c>
      <c r="N7145">
        <v>0</v>
      </c>
      <c r="O7145">
        <v>-0.99479030000000002</v>
      </c>
      <c r="P7145">
        <v>0.16942199999999999</v>
      </c>
      <c r="Q7145">
        <v>9.1833669999999996E-3</v>
      </c>
      <c r="R7145">
        <v>-0.98550079999999995</v>
      </c>
      <c r="S7145">
        <v>0.77218629999999999</v>
      </c>
      <c r="T7145">
        <v>-5.358458E-2</v>
      </c>
      <c r="U7145">
        <v>-2.9129330000000002</v>
      </c>
      <c r="V7145">
        <v>-6.9307830000000001E-2</v>
      </c>
      <c r="W7145">
        <v>2.3127700000000001E-2</v>
      </c>
      <c r="X7145">
        <v>0.99732719999999997</v>
      </c>
      <c r="Y7145">
        <v>-0.15735060000000001</v>
      </c>
      <c r="Z7145">
        <v>1.782974E-2</v>
      </c>
      <c r="AA7145">
        <v>0.98738179999999998</v>
      </c>
      <c r="AB7145">
        <v>20</v>
      </c>
      <c r="AC7145">
        <v>12.6547</v>
      </c>
      <c r="AD7145">
        <v>-0.87947629999999999</v>
      </c>
      <c r="AE7145">
        <v>-47.670197999999999</v>
      </c>
      <c r="AF7145">
        <v>-7.7773206108908299</v>
      </c>
      <c r="AG7145">
        <v>-0.87947629999999999</v>
      </c>
      <c r="AH7145">
        <v>48.688358710733603</v>
      </c>
      <c r="AI7145">
        <v>91.0218905912579</v>
      </c>
      <c r="AJ7145">
        <v>99.075570183444896</v>
      </c>
      <c r="AK7145">
        <v>49.313451191251197</v>
      </c>
      <c r="AL7145">
        <v>88.6747622458021</v>
      </c>
      <c r="AM7145">
        <v>93.975297247479403</v>
      </c>
      <c r="AN7145">
        <v>1.0000000048332101</v>
      </c>
    </row>
    <row r="7146" spans="1:40" x14ac:dyDescent="0.25">
      <c r="A7146" t="str">
        <f>"20190312154106271"</f>
        <v>20190312154106271</v>
      </c>
      <c r="B7146" t="str">
        <f>"1552376466263892"</f>
        <v>1552376466263892</v>
      </c>
      <c r="C7146" t="s">
        <v>40</v>
      </c>
      <c r="D7146">
        <v>4.2092239999999999</v>
      </c>
      <c r="E7146">
        <v>0.46788020000000002</v>
      </c>
      <c r="F7146" t="s">
        <v>43</v>
      </c>
      <c r="G7146">
        <v>-407.1653</v>
      </c>
      <c r="H7146">
        <v>-0.05</v>
      </c>
      <c r="I7146">
        <v>-6.3174739999999998</v>
      </c>
      <c r="J7146">
        <v>-421.53300000000002</v>
      </c>
      <c r="K7146">
        <v>1.1140000000000001</v>
      </c>
      <c r="L7146">
        <v>48.145539999999997</v>
      </c>
      <c r="M7146">
        <v>0.10468470000000001</v>
      </c>
      <c r="N7146">
        <v>0</v>
      </c>
      <c r="O7146">
        <v>-0.99439869999999997</v>
      </c>
      <c r="P7146">
        <v>0.172341299999999</v>
      </c>
      <c r="Q7146">
        <v>9.7715500000000004E-3</v>
      </c>
      <c r="R7146">
        <v>-0.98498909999999995</v>
      </c>
      <c r="S7146">
        <v>0.76763919999999997</v>
      </c>
      <c r="T7146">
        <v>-6.211448E-2</v>
      </c>
      <c r="U7146">
        <v>-2.91275</v>
      </c>
      <c r="V7146">
        <v>-6.8477469999999999E-2</v>
      </c>
      <c r="W7146">
        <v>2.3720249999999998E-2</v>
      </c>
      <c r="X7146">
        <v>0.99737070000000005</v>
      </c>
      <c r="Y7146">
        <v>-0.152148799999999</v>
      </c>
      <c r="Z7146">
        <v>2.0668450000000001E-2</v>
      </c>
      <c r="AA7146">
        <v>0.98814150000000001</v>
      </c>
      <c r="AB7146">
        <v>20</v>
      </c>
      <c r="AC7146">
        <v>14.367699999999999</v>
      </c>
      <c r="AD7146">
        <v>-1.1639999999999999</v>
      </c>
      <c r="AE7146">
        <v>-54.463014000000001</v>
      </c>
      <c r="AF7146">
        <v>-8.5830241908841494</v>
      </c>
      <c r="AG7146">
        <v>-1.1639999999999999</v>
      </c>
      <c r="AH7146">
        <v>55.644176117990199</v>
      </c>
      <c r="AI7146">
        <v>91.184371769206393</v>
      </c>
      <c r="AJ7146">
        <v>98.768674078528093</v>
      </c>
      <c r="AK7146">
        <v>56.314274709981099</v>
      </c>
      <c r="AL7146">
        <v>88.640802393437994</v>
      </c>
      <c r="AM7146">
        <v>93.927649394999406</v>
      </c>
      <c r="AN7146">
        <v>1.0000000636880699</v>
      </c>
    </row>
    <row r="7147" spans="1:40" x14ac:dyDescent="0.25">
      <c r="A7147" t="str">
        <f>"20190312154106284"</f>
        <v>20190312154106284</v>
      </c>
      <c r="B7147" t="str">
        <f>"1552376466273184"</f>
        <v>1552376466273184</v>
      </c>
      <c r="C7147" t="s">
        <v>40</v>
      </c>
      <c r="D7147">
        <v>4.2083019999999998</v>
      </c>
      <c r="E7147">
        <v>0.46851549999999997</v>
      </c>
      <c r="F7147" t="s">
        <v>43</v>
      </c>
      <c r="G7147">
        <v>-407.88040000000001</v>
      </c>
      <c r="H7147">
        <v>-0.05</v>
      </c>
      <c r="I7147">
        <v>-3.3694609999999998</v>
      </c>
      <c r="J7147">
        <v>-421.51530000000002</v>
      </c>
      <c r="K7147">
        <v>1.1141380000000001</v>
      </c>
      <c r="L7147">
        <v>48.022460000000002</v>
      </c>
      <c r="M7147">
        <v>0.10886659999999999</v>
      </c>
      <c r="N7147">
        <v>0</v>
      </c>
      <c r="O7147">
        <v>-0.99394919999999998</v>
      </c>
      <c r="P7147">
        <v>0.17547589999999999</v>
      </c>
      <c r="Q7147">
        <v>1.011038E-2</v>
      </c>
      <c r="R7147">
        <v>-0.98443199999999997</v>
      </c>
      <c r="S7147">
        <v>0.77157589999999998</v>
      </c>
      <c r="T7147">
        <v>-6.5783620000000001E-2</v>
      </c>
      <c r="U7147">
        <v>-2.9113769999999999</v>
      </c>
      <c r="V7147">
        <v>-6.7468159999999999E-2</v>
      </c>
      <c r="W7147">
        <v>2.4065860000000001E-2</v>
      </c>
      <c r="X7147">
        <v>0.99743119999999996</v>
      </c>
      <c r="Y7147">
        <v>-0.1493477</v>
      </c>
      <c r="Z7147">
        <v>2.1884919999999999E-2</v>
      </c>
      <c r="AA7147">
        <v>0.98854249999999999</v>
      </c>
      <c r="AB7147">
        <v>20</v>
      </c>
      <c r="AC7147">
        <v>13.6349</v>
      </c>
      <c r="AD7147">
        <v>-1.1641379999999999</v>
      </c>
      <c r="AE7147">
        <v>-51.391921000000004</v>
      </c>
      <c r="AF7147">
        <v>-7.9545688216261503</v>
      </c>
      <c r="AG7147">
        <v>-1.1641379999999999</v>
      </c>
      <c r="AH7147">
        <v>52.545755205441402</v>
      </c>
      <c r="AI7147">
        <v>91.254873101082396</v>
      </c>
      <c r="AJ7147">
        <v>98.608283291780594</v>
      </c>
      <c r="AK7147">
        <v>53.157189283588004</v>
      </c>
      <c r="AL7147">
        <v>88.620994738380404</v>
      </c>
      <c r="AM7147">
        <v>93.869701786621206</v>
      </c>
      <c r="AN7147">
        <v>1.00000005848238</v>
      </c>
    </row>
    <row r="7148" spans="1:40" x14ac:dyDescent="0.25">
      <c r="A7148" t="str">
        <f>"20190312154106298"</f>
        <v>20190312154106298</v>
      </c>
      <c r="B7148" t="str">
        <f>"1552376466293680"</f>
        <v>1552376466293680</v>
      </c>
      <c r="C7148" t="s">
        <v>40</v>
      </c>
      <c r="D7148">
        <v>4.2446999999999999</v>
      </c>
      <c r="E7148">
        <v>0.46884120000000001</v>
      </c>
      <c r="F7148" t="s">
        <v>43</v>
      </c>
      <c r="G7148">
        <v>-408.26870000000002</v>
      </c>
      <c r="H7148">
        <v>-0.05</v>
      </c>
      <c r="I7148">
        <v>-1.665054</v>
      </c>
      <c r="J7148">
        <v>-421.49799999999999</v>
      </c>
      <c r="K7148">
        <v>1.1142780000000001</v>
      </c>
      <c r="L7148">
        <v>47.90643</v>
      </c>
      <c r="M7148">
        <v>0.11293350000000001</v>
      </c>
      <c r="N7148">
        <v>0</v>
      </c>
      <c r="O7148">
        <v>-0.99349500000000002</v>
      </c>
      <c r="P7148">
        <v>0.1767869</v>
      </c>
      <c r="Q7148">
        <v>1.009141E-2</v>
      </c>
      <c r="R7148">
        <v>-0.98419749999999995</v>
      </c>
      <c r="S7148">
        <v>0.77575680000000002</v>
      </c>
      <c r="T7148">
        <v>-6.8175440000000004E-2</v>
      </c>
      <c r="U7148">
        <v>-2.9098510000000002</v>
      </c>
      <c r="V7148">
        <v>-6.4721719999999996E-2</v>
      </c>
      <c r="W7148">
        <v>2.4072530000000002E-2</v>
      </c>
      <c r="X7148">
        <v>0.99761299999999997</v>
      </c>
      <c r="Y7148">
        <v>-0.14675089999999999</v>
      </c>
      <c r="Z7148">
        <v>2.2676519999999999E-2</v>
      </c>
      <c r="AA7148">
        <v>0.9889135</v>
      </c>
      <c r="AB7148">
        <v>20</v>
      </c>
      <c r="AC7148">
        <v>13.2293</v>
      </c>
      <c r="AD7148">
        <v>-1.1642779999999999</v>
      </c>
      <c r="AE7148">
        <v>-49.571483999999998</v>
      </c>
      <c r="AF7148">
        <v>-7.5418848188763201</v>
      </c>
      <c r="AG7148">
        <v>-1.1642779999999999</v>
      </c>
      <c r="AH7148">
        <v>50.7223558601927</v>
      </c>
      <c r="AI7148">
        <v>91.300639026330401</v>
      </c>
      <c r="AJ7148">
        <v>98.457321084448395</v>
      </c>
      <c r="AK7148">
        <v>51.293205728346798</v>
      </c>
      <c r="AL7148">
        <v>88.620612443108101</v>
      </c>
      <c r="AM7148">
        <v>93.711952245663895</v>
      </c>
      <c r="AN7148">
        <v>1.00000004275467</v>
      </c>
    </row>
    <row r="7149" spans="1:40" x14ac:dyDescent="0.25">
      <c r="A7149" t="str">
        <f>"20190312154106313"</f>
        <v>20190312154106313</v>
      </c>
      <c r="B7149" t="str">
        <f>"1552376466303438"</f>
        <v>1552376466303438</v>
      </c>
      <c r="C7149" t="s">
        <v>40</v>
      </c>
      <c r="D7149">
        <v>4.233066</v>
      </c>
      <c r="E7149">
        <v>0.46880080000000002</v>
      </c>
      <c r="F7149" t="s">
        <v>69</v>
      </c>
      <c r="G7149">
        <v>-410.51929999999999</v>
      </c>
      <c r="H7149">
        <v>7.9986570000000007E-2</v>
      </c>
      <c r="I7149">
        <v>6.8311460000000004</v>
      </c>
      <c r="J7149">
        <v>-421.47820000000002</v>
      </c>
      <c r="K7149">
        <v>1.1144320000000001</v>
      </c>
      <c r="L7149">
        <v>47.779719999999998</v>
      </c>
      <c r="M7149">
        <v>0.11759840000000001</v>
      </c>
      <c r="N7149">
        <v>0</v>
      </c>
      <c r="O7149">
        <v>-0.99295339999999999</v>
      </c>
      <c r="P7149">
        <v>0.17951889999999901</v>
      </c>
      <c r="Q7149">
        <v>1.031951E-2</v>
      </c>
      <c r="R7149">
        <v>-0.98370040000000003</v>
      </c>
      <c r="S7149">
        <v>0.7775879</v>
      </c>
      <c r="T7149">
        <v>-7.3255780000000006E-2</v>
      </c>
      <c r="U7149">
        <v>-2.9092410000000002</v>
      </c>
      <c r="V7149">
        <v>-6.2816520000000001E-2</v>
      </c>
      <c r="W7149">
        <v>2.4321369999999998E-2</v>
      </c>
      <c r="X7149">
        <v>0.99772870000000002</v>
      </c>
      <c r="Y7149">
        <v>-0.1427262</v>
      </c>
      <c r="Z7149">
        <v>2.4355700000000001E-2</v>
      </c>
      <c r="AA7149">
        <v>0.98946250000000002</v>
      </c>
      <c r="AB7149">
        <v>20</v>
      </c>
      <c r="AC7149">
        <v>10.9589</v>
      </c>
      <c r="AD7149">
        <v>-1.0344454300000001</v>
      </c>
      <c r="AE7149">
        <v>-40.948574000000001</v>
      </c>
      <c r="AF7149">
        <v>-6.0632291422184803</v>
      </c>
      <c r="AG7149">
        <v>-1.0344454300000001</v>
      </c>
      <c r="AH7149">
        <v>41.928298436177101</v>
      </c>
      <c r="AI7149">
        <v>91.398757912500102</v>
      </c>
      <c r="AJ7149">
        <v>98.228471226197101</v>
      </c>
      <c r="AK7149">
        <v>42.377057881969897</v>
      </c>
      <c r="AL7149">
        <v>88.606350728763204</v>
      </c>
      <c r="AM7149">
        <v>93.602559731345295</v>
      </c>
      <c r="AN7149">
        <v>1.0000000015136301</v>
      </c>
    </row>
    <row r="7150" spans="1:40" x14ac:dyDescent="0.25">
      <c r="A7150" t="str">
        <f>"20190312154106328"</f>
        <v>20190312154106328</v>
      </c>
      <c r="B7150" t="str">
        <f>"1552376466323936"</f>
        <v>1552376466323936</v>
      </c>
      <c r="C7150" t="s">
        <v>40</v>
      </c>
      <c r="D7150">
        <v>4.247223</v>
      </c>
      <c r="E7150">
        <v>0.46876289999999998</v>
      </c>
      <c r="F7150" t="s">
        <v>69</v>
      </c>
      <c r="G7150">
        <v>-410.57670000000002</v>
      </c>
      <c r="H7150">
        <v>7.9986570000000007E-2</v>
      </c>
      <c r="I7150">
        <v>7.4592899999999904</v>
      </c>
      <c r="J7150">
        <v>-421.45710000000003</v>
      </c>
      <c r="K7150">
        <v>1.114581</v>
      </c>
      <c r="L7150">
        <v>47.64996</v>
      </c>
      <c r="M7150">
        <v>0.1225469</v>
      </c>
      <c r="N7150">
        <v>0</v>
      </c>
      <c r="O7150">
        <v>-0.99235459999999998</v>
      </c>
      <c r="P7150">
        <v>0.18264910000000001</v>
      </c>
      <c r="Q7150">
        <v>1.032901E-2</v>
      </c>
      <c r="R7150">
        <v>-0.98312429999999995</v>
      </c>
      <c r="S7150">
        <v>0.78598020000000002</v>
      </c>
      <c r="T7150">
        <v>-7.4581980000000006E-2</v>
      </c>
      <c r="U7150">
        <v>-2.9070429999999998</v>
      </c>
      <c r="V7150">
        <v>-6.1028010000000001E-2</v>
      </c>
      <c r="W7150">
        <v>2.4354259999999999E-2</v>
      </c>
      <c r="X7150">
        <v>0.99783889999999997</v>
      </c>
      <c r="Y7150">
        <v>-0.1406394</v>
      </c>
      <c r="Z7150">
        <v>2.478665E-2</v>
      </c>
      <c r="AA7150">
        <v>0.98975060000000004</v>
      </c>
      <c r="AB7150">
        <v>20</v>
      </c>
      <c r="AC7150">
        <v>10.8804</v>
      </c>
      <c r="AD7150">
        <v>-1.0345944300000001</v>
      </c>
      <c r="AE7150">
        <v>-40.190669999999997</v>
      </c>
      <c r="AF7150">
        <v>-5.8689795899123096</v>
      </c>
      <c r="AG7150">
        <v>-1.0345944300000001</v>
      </c>
      <c r="AH7150">
        <v>41.195744288455003</v>
      </c>
      <c r="AI7150">
        <v>91.424255014614403</v>
      </c>
      <c r="AJ7150">
        <v>98.108120382729496</v>
      </c>
      <c r="AK7150">
        <v>41.624567920173902</v>
      </c>
      <c r="AL7150">
        <v>88.604465722905204</v>
      </c>
      <c r="AM7150">
        <v>93.499860897494699</v>
      </c>
      <c r="AN7150">
        <v>1.00000000916895</v>
      </c>
    </row>
    <row r="7151" spans="1:40" x14ac:dyDescent="0.25">
      <c r="A7151" t="str">
        <f>"20190312154106341"</f>
        <v>20190312154106341</v>
      </c>
      <c r="B7151" t="str">
        <f>"1552376466333696"</f>
        <v>1552376466333696</v>
      </c>
      <c r="C7151" t="s">
        <v>40</v>
      </c>
      <c r="D7151">
        <v>4.2136509999999996</v>
      </c>
      <c r="E7151">
        <v>0.46890769999999998</v>
      </c>
      <c r="F7151" t="s">
        <v>69</v>
      </c>
      <c r="G7151">
        <v>-410.94589999999999</v>
      </c>
      <c r="H7151">
        <v>7.9986559999999998E-2</v>
      </c>
      <c r="I7151">
        <v>9.2811090000000007</v>
      </c>
      <c r="J7151">
        <v>-421.43849999999998</v>
      </c>
      <c r="K7151">
        <v>1.1147009999999999</v>
      </c>
      <c r="L7151">
        <v>47.53931</v>
      </c>
      <c r="M7151">
        <v>0.1268878</v>
      </c>
      <c r="N7151">
        <v>0</v>
      </c>
      <c r="O7151">
        <v>-0.99180820000000003</v>
      </c>
      <c r="P7151">
        <v>0.18410019999999999</v>
      </c>
      <c r="Q7151">
        <v>1.004126E-2</v>
      </c>
      <c r="R7151">
        <v>-0.98285619999999996</v>
      </c>
      <c r="S7151">
        <v>0.79568479999999997</v>
      </c>
      <c r="T7151">
        <v>-7.8317639999999994E-2</v>
      </c>
      <c r="U7151">
        <v>-2.90448</v>
      </c>
      <c r="V7151">
        <v>-5.8137590000000003E-2</v>
      </c>
      <c r="W7151">
        <v>2.410352E-2</v>
      </c>
      <c r="X7151">
        <v>0.9980175</v>
      </c>
      <c r="Y7151">
        <v>-0.13959769999999999</v>
      </c>
      <c r="Z7151">
        <v>2.6018759999999998E-2</v>
      </c>
      <c r="AA7151">
        <v>0.98986640000000004</v>
      </c>
      <c r="AB7151">
        <v>20</v>
      </c>
      <c r="AC7151">
        <v>10.4925999999999</v>
      </c>
      <c r="AD7151">
        <v>-1.0347144399999999</v>
      </c>
      <c r="AE7151">
        <v>-38.258201</v>
      </c>
      <c r="AF7151">
        <v>-5.5489725129985397</v>
      </c>
      <c r="AG7151">
        <v>-1.0347144399999999</v>
      </c>
      <c r="AH7151">
        <v>39.253718520344599</v>
      </c>
      <c r="AI7151">
        <v>91.4950897235924</v>
      </c>
      <c r="AJ7151">
        <v>98.046116106178204</v>
      </c>
      <c r="AK7151">
        <v>39.657485391749297</v>
      </c>
      <c r="AL7151">
        <v>88.618836196135106</v>
      </c>
      <c r="AM7151">
        <v>93.333887751584498</v>
      </c>
      <c r="AN7151">
        <v>0.99999994467682196</v>
      </c>
    </row>
    <row r="7152" spans="1:40" x14ac:dyDescent="0.25">
      <c r="A7152" t="str">
        <f>"20190312154106363"</f>
        <v>20190312154106363</v>
      </c>
      <c r="B7152" t="str">
        <f>"1552376466353216"</f>
        <v>1552376466353216</v>
      </c>
      <c r="C7152" t="s">
        <v>40</v>
      </c>
      <c r="D7152">
        <v>4.2290510000000001</v>
      </c>
      <c r="E7152">
        <v>0.46887610000000002</v>
      </c>
      <c r="F7152" t="s">
        <v>69</v>
      </c>
      <c r="G7152">
        <v>-410.9434</v>
      </c>
      <c r="H7152">
        <v>7.9986550000000003E-2</v>
      </c>
      <c r="I7152">
        <v>9.4097629999999999</v>
      </c>
      <c r="J7152">
        <v>-421.40550000000002</v>
      </c>
      <c r="K7152">
        <v>1.1148899999999999</v>
      </c>
      <c r="L7152">
        <v>47.352809999999998</v>
      </c>
      <c r="M7152">
        <v>0.13452890000000001</v>
      </c>
      <c r="N7152">
        <v>0</v>
      </c>
      <c r="O7152">
        <v>-0.99080029999999997</v>
      </c>
      <c r="P7152">
        <v>0.18828030000000001</v>
      </c>
      <c r="Q7152">
        <v>9.0744350000000005E-3</v>
      </c>
      <c r="R7152">
        <v>-0.98207350000000004</v>
      </c>
      <c r="S7152">
        <v>0.79916379999999998</v>
      </c>
      <c r="T7152">
        <v>-7.8790189999999996E-2</v>
      </c>
      <c r="U7152">
        <v>-2.9034420000000001</v>
      </c>
      <c r="V7152">
        <v>-5.4690120000000002E-2</v>
      </c>
      <c r="W7152">
        <v>2.31892E-2</v>
      </c>
      <c r="X7152">
        <v>0.99823410000000001</v>
      </c>
      <c r="Y7152">
        <v>-0.133154299999999</v>
      </c>
      <c r="Z7152">
        <v>2.615251E-2</v>
      </c>
      <c r="AA7152">
        <v>0.99075020000000003</v>
      </c>
      <c r="AB7152">
        <v>19</v>
      </c>
      <c r="AC7152">
        <v>10.4621</v>
      </c>
      <c r="AD7152">
        <v>-1.0349034499999901</v>
      </c>
      <c r="AE7152">
        <v>-37.943047</v>
      </c>
      <c r="AF7152">
        <v>-5.2583502414563803</v>
      </c>
      <c r="AG7152">
        <v>-1.0349034499999901</v>
      </c>
      <c r="AH7152">
        <v>38.978715651938998</v>
      </c>
      <c r="AI7152">
        <v>91.507226239125103</v>
      </c>
      <c r="AJ7152">
        <v>97.682996073701304</v>
      </c>
      <c r="AK7152">
        <v>39.345413281440599</v>
      </c>
      <c r="AL7152">
        <v>88.671237647945404</v>
      </c>
      <c r="AM7152">
        <v>93.135921229405795</v>
      </c>
      <c r="AN7152">
        <v>1.0000000333125301</v>
      </c>
    </row>
    <row r="7153" spans="1:40" x14ac:dyDescent="0.25">
      <c r="A7153" t="str">
        <f>"20190312154106385"</f>
        <v>20190312154106385</v>
      </c>
      <c r="B7153" t="str">
        <f>"1552376466373243"</f>
        <v>1552376466373243</v>
      </c>
      <c r="C7153" t="s">
        <v>40</v>
      </c>
      <c r="D7153">
        <v>4.2558020000000001</v>
      </c>
      <c r="E7153">
        <v>0.46887830000000003</v>
      </c>
      <c r="F7153" t="s">
        <v>69</v>
      </c>
      <c r="G7153">
        <v>-410.84280000000001</v>
      </c>
      <c r="H7153">
        <v>4.0866939999999997E-2</v>
      </c>
      <c r="I7153">
        <v>9.6162550000000007</v>
      </c>
      <c r="J7153">
        <v>-421.37090000000001</v>
      </c>
      <c r="K7153">
        <v>1.115049</v>
      </c>
      <c r="L7153">
        <v>47.167540000000002</v>
      </c>
      <c r="M7153">
        <v>0.1424697</v>
      </c>
      <c r="N7153">
        <v>0</v>
      </c>
      <c r="O7153">
        <v>-0.98968909999999999</v>
      </c>
      <c r="P7153">
        <v>0.1950482</v>
      </c>
      <c r="Q7153">
        <v>8.1214809999999998E-3</v>
      </c>
      <c r="R7153">
        <v>-0.98076030000000003</v>
      </c>
      <c r="S7153">
        <v>0.8117065</v>
      </c>
      <c r="T7153">
        <v>-8.253431E-2</v>
      </c>
      <c r="U7153">
        <v>-2.899902</v>
      </c>
      <c r="V7153">
        <v>-5.3566429999999998E-2</v>
      </c>
      <c r="W7153">
        <v>2.2267229999999999E-2</v>
      </c>
      <c r="X7153">
        <v>0.99831599999999998</v>
      </c>
      <c r="Y7153">
        <v>-0.12948460000000001</v>
      </c>
      <c r="Z7153">
        <v>2.737177E-2</v>
      </c>
      <c r="AA7153">
        <v>0.99120359999999996</v>
      </c>
      <c r="AB7153">
        <v>19</v>
      </c>
      <c r="AC7153">
        <v>10.528099999999901</v>
      </c>
      <c r="AD7153">
        <v>-1.07418206</v>
      </c>
      <c r="AE7153">
        <v>-37.551285</v>
      </c>
      <c r="AF7153">
        <v>-5.0663342602329404</v>
      </c>
      <c r="AG7153">
        <v>-1.07418206</v>
      </c>
      <c r="AH7153">
        <v>38.638931678197302</v>
      </c>
      <c r="AI7153">
        <v>91.578933716902696</v>
      </c>
      <c r="AJ7153">
        <v>97.470004282606595</v>
      </c>
      <c r="AK7153">
        <v>38.984466793414498</v>
      </c>
      <c r="AL7153">
        <v>88.724076262368499</v>
      </c>
      <c r="AM7153">
        <v>93.071362219905893</v>
      </c>
      <c r="AN7153">
        <v>1.0000000139053999</v>
      </c>
    </row>
    <row r="7154" spans="1:40" x14ac:dyDescent="0.25">
      <c r="A7154" t="str">
        <f>"20190312154106409"</f>
        <v>20190312154106409</v>
      </c>
      <c r="B7154" t="str">
        <f>"1552376466403498"</f>
        <v>1552376466403498</v>
      </c>
      <c r="C7154" t="s">
        <v>40</v>
      </c>
      <c r="D7154">
        <v>4.2867290000000002</v>
      </c>
      <c r="E7154">
        <v>0.4690628</v>
      </c>
      <c r="F7154" t="s">
        <v>69</v>
      </c>
      <c r="G7154">
        <v>-410.77100000000002</v>
      </c>
      <c r="H7154" s="1">
        <v>-1.18254E-5</v>
      </c>
      <c r="I7154">
        <v>10.28276</v>
      </c>
      <c r="J7154">
        <v>-421.33319999999998</v>
      </c>
      <c r="K7154">
        <v>1.115186</v>
      </c>
      <c r="L7154">
        <v>46.976199999999999</v>
      </c>
      <c r="M7154">
        <v>0.150992299999999</v>
      </c>
      <c r="N7154">
        <v>0</v>
      </c>
      <c r="O7154">
        <v>-0.98842419999999998</v>
      </c>
      <c r="P7154">
        <v>0.20321220000000001</v>
      </c>
      <c r="Q7154">
        <v>7.3945690000000001E-3</v>
      </c>
      <c r="R7154">
        <v>-0.97910710000000001</v>
      </c>
      <c r="S7154">
        <v>0.83172610000000002</v>
      </c>
      <c r="T7154">
        <v>-8.7493299999999996E-2</v>
      </c>
      <c r="U7154">
        <v>-2.8941650000000001</v>
      </c>
      <c r="V7154">
        <v>-5.327925E-2</v>
      </c>
      <c r="W7154">
        <v>2.1565020000000001E-2</v>
      </c>
      <c r="X7154">
        <v>0.99834670000000003</v>
      </c>
      <c r="Y7154">
        <v>-0.12778200000000001</v>
      </c>
      <c r="Z7154">
        <v>2.8991200000000002E-2</v>
      </c>
      <c r="AA7154">
        <v>0.99137850000000005</v>
      </c>
      <c r="AB7154">
        <v>19</v>
      </c>
      <c r="AC7154">
        <v>10.562200000000001</v>
      </c>
      <c r="AD7154">
        <v>-1.1151978253999999</v>
      </c>
      <c r="AE7154">
        <v>-36.693440000000002</v>
      </c>
      <c r="AF7154">
        <v>-4.8958673494957097</v>
      </c>
      <c r="AG7154">
        <v>-1.1151978253999999</v>
      </c>
      <c r="AH7154">
        <v>37.835366224798697</v>
      </c>
      <c r="AI7154">
        <v>91.674353326916005</v>
      </c>
      <c r="AJ7154">
        <v>97.373060142960895</v>
      </c>
      <c r="AK7154">
        <v>38.167107837223803</v>
      </c>
      <c r="AL7154">
        <v>88.764319495419798</v>
      </c>
      <c r="AM7154">
        <v>93.054833562352201</v>
      </c>
      <c r="AN7154">
        <v>0.999999930984524</v>
      </c>
    </row>
    <row r="7155" spans="1:40" x14ac:dyDescent="0.25">
      <c r="A7155" t="str">
        <f>"20190312154106431"</f>
        <v>20190312154106431</v>
      </c>
      <c r="B7155" t="str">
        <f>"1552376466423994"</f>
        <v>1552376466423994</v>
      </c>
      <c r="C7155" t="s">
        <v>40</v>
      </c>
      <c r="D7155">
        <v>4.295668</v>
      </c>
      <c r="E7155">
        <v>0.46923550000000003</v>
      </c>
      <c r="F7155" t="s">
        <v>69</v>
      </c>
      <c r="G7155">
        <v>-411.23520000000002</v>
      </c>
      <c r="H7155" s="1">
        <v>-1.15021E-5</v>
      </c>
      <c r="I7155">
        <v>12.85432</v>
      </c>
      <c r="J7155">
        <v>-421.29489999999998</v>
      </c>
      <c r="K7155">
        <v>1.115286</v>
      </c>
      <c r="L7155">
        <v>46.79242</v>
      </c>
      <c r="M7155">
        <v>0.1594534</v>
      </c>
      <c r="N7155">
        <v>0</v>
      </c>
      <c r="O7155">
        <v>-0.98709409999999997</v>
      </c>
      <c r="P7155">
        <v>0.21180579999999999</v>
      </c>
      <c r="Q7155">
        <v>7.079068E-3</v>
      </c>
      <c r="R7155">
        <v>-0.97728610000000005</v>
      </c>
      <c r="S7155">
        <v>0.85449219999999904</v>
      </c>
      <c r="T7155">
        <v>-9.4367980000000004E-2</v>
      </c>
      <c r="U7155">
        <v>-2.8873899999999999</v>
      </c>
      <c r="V7155">
        <v>-5.3499989999999997E-2</v>
      </c>
      <c r="W7155">
        <v>2.1268499999999999E-2</v>
      </c>
      <c r="X7155">
        <v>0.99834129999999999</v>
      </c>
      <c r="Y7155">
        <v>-0.1270868</v>
      </c>
      <c r="Z7155">
        <v>3.1241990000000001E-2</v>
      </c>
      <c r="AA7155">
        <v>0.99139949999999999</v>
      </c>
      <c r="AB7155">
        <v>19</v>
      </c>
      <c r="AC7155">
        <v>10.0596999999999</v>
      </c>
      <c r="AD7155">
        <v>-1.1152975021</v>
      </c>
      <c r="AE7155">
        <v>-33.938099999999999</v>
      </c>
      <c r="AF7155">
        <v>-4.5143403030881899</v>
      </c>
      <c r="AG7155">
        <v>-1.1152975021</v>
      </c>
      <c r="AH7155">
        <v>35.073192753826099</v>
      </c>
      <c r="AI7155">
        <v>91.806450924592795</v>
      </c>
      <c r="AJ7155">
        <v>97.334328918302205</v>
      </c>
      <c r="AK7155">
        <v>35.380107501777303</v>
      </c>
      <c r="AL7155">
        <v>88.781312792080996</v>
      </c>
      <c r="AM7155">
        <v>93.067482410428397</v>
      </c>
      <c r="AN7155">
        <v>0.99999997465396895</v>
      </c>
    </row>
    <row r="7156" spans="1:40" x14ac:dyDescent="0.25">
      <c r="A7156" t="str">
        <f>"20190312154106452"</f>
        <v>20190312154106452</v>
      </c>
      <c r="B7156" t="str">
        <f>"1552376466443516"</f>
        <v>1552376466443516</v>
      </c>
      <c r="C7156" t="s">
        <v>40</v>
      </c>
      <c r="D7156">
        <v>4.6435129999999996</v>
      </c>
      <c r="E7156">
        <v>0.46942509999999998</v>
      </c>
      <c r="F7156" t="s">
        <v>69</v>
      </c>
      <c r="G7156">
        <v>-411.23329999999999</v>
      </c>
      <c r="H7156" s="1">
        <v>-1.1322550000000001E-5</v>
      </c>
      <c r="I7156">
        <v>13.809419999999999</v>
      </c>
      <c r="J7156">
        <v>-421.25569999999999</v>
      </c>
      <c r="K7156">
        <v>1.1153519999999999</v>
      </c>
      <c r="L7156">
        <v>46.612789999999997</v>
      </c>
      <c r="M7156">
        <v>0.16794589999999901</v>
      </c>
      <c r="N7156">
        <v>0</v>
      </c>
      <c r="O7156">
        <v>-0.98568409999999995</v>
      </c>
      <c r="P7156">
        <v>0.22157689999999999</v>
      </c>
      <c r="Q7156">
        <v>6.4671319999999996E-3</v>
      </c>
      <c r="R7156">
        <v>-0.97512169999999998</v>
      </c>
      <c r="S7156">
        <v>0.87857059999999998</v>
      </c>
      <c r="T7156">
        <v>-9.7386479999999997E-2</v>
      </c>
      <c r="U7156">
        <v>-2.8800349999999999</v>
      </c>
      <c r="V7156">
        <v>-5.4893549999999999E-2</v>
      </c>
      <c r="W7156">
        <v>2.0660660000000001E-2</v>
      </c>
      <c r="X7156">
        <v>0.99827840000000001</v>
      </c>
      <c r="Y7156">
        <v>-0.12682689999999999</v>
      </c>
      <c r="Z7156">
        <v>3.22128E-2</v>
      </c>
      <c r="AA7156">
        <v>0.99140170000000005</v>
      </c>
      <c r="AB7156">
        <v>19</v>
      </c>
      <c r="AC7156">
        <v>10.022399999999999</v>
      </c>
      <c r="AD7156">
        <v>-1.1153633225499999</v>
      </c>
      <c r="AE7156">
        <v>-32.803370000000001</v>
      </c>
      <c r="AF7156">
        <v>-4.36559566712147</v>
      </c>
      <c r="AG7156">
        <v>-1.1153633225499999</v>
      </c>
      <c r="AH7156">
        <v>33.984805864670498</v>
      </c>
      <c r="AI7156">
        <v>91.864433543060002</v>
      </c>
      <c r="AJ7156">
        <v>97.319972599639996</v>
      </c>
      <c r="AK7156">
        <v>34.282203700016403</v>
      </c>
      <c r="AL7156">
        <v>88.816147103787998</v>
      </c>
      <c r="AM7156">
        <v>93.147423059903502</v>
      </c>
      <c r="AN7156">
        <v>0.99999996430489801</v>
      </c>
    </row>
    <row r="7157" spans="1:40" x14ac:dyDescent="0.25">
      <c r="A7157" t="str">
        <f>"20190312154106476"</f>
        <v>20190312154106476</v>
      </c>
      <c r="B7157" t="str">
        <f>"1552376466464011"</f>
        <v>1552376466464011</v>
      </c>
      <c r="C7157" t="s">
        <v>40</v>
      </c>
      <c r="D7157">
        <v>4.3598089999999896</v>
      </c>
      <c r="E7157">
        <v>0.46983789999999997</v>
      </c>
      <c r="F7157" t="s">
        <v>69</v>
      </c>
      <c r="G7157">
        <v>-411.18669999999997</v>
      </c>
      <c r="H7157" s="1">
        <v>-1.1141879999999999E-5</v>
      </c>
      <c r="I7157">
        <v>14.688969999999999</v>
      </c>
      <c r="J7157">
        <v>-421.21350000000001</v>
      </c>
      <c r="K7157">
        <v>1.115407</v>
      </c>
      <c r="L7157">
        <v>46.428440000000002</v>
      </c>
      <c r="M7157">
        <v>0.17684649999999999</v>
      </c>
      <c r="N7157">
        <v>0</v>
      </c>
      <c r="O7157">
        <v>-0.98412569999999999</v>
      </c>
      <c r="P7157">
        <v>0.232568</v>
      </c>
      <c r="Q7157">
        <v>5.3607809999999898E-3</v>
      </c>
      <c r="R7157">
        <v>-0.97256520000000002</v>
      </c>
      <c r="S7157">
        <v>0.90567019999999998</v>
      </c>
      <c r="T7157">
        <v>-0.1003228</v>
      </c>
      <c r="U7157">
        <v>-2.871429</v>
      </c>
      <c r="V7157">
        <v>-5.712768E-2</v>
      </c>
      <c r="W7157">
        <v>1.9546520000000001E-2</v>
      </c>
      <c r="X7157">
        <v>0.99817549999999999</v>
      </c>
      <c r="Y7157">
        <v>-0.12721540000000001</v>
      </c>
      <c r="Z7157">
        <v>3.3153290000000002E-2</v>
      </c>
      <c r="AA7157">
        <v>0.99132089999999995</v>
      </c>
      <c r="AB7157">
        <v>19</v>
      </c>
      <c r="AC7157">
        <v>10.0268</v>
      </c>
      <c r="AD7157">
        <v>-1.11541814188</v>
      </c>
      <c r="AE7157">
        <v>-31.739470000000001</v>
      </c>
      <c r="AF7157">
        <v>-4.2503166432044397</v>
      </c>
      <c r="AG7157">
        <v>-1.11541814188</v>
      </c>
      <c r="AH7157">
        <v>32.975465916763902</v>
      </c>
      <c r="AI7157">
        <v>91.921447898173696</v>
      </c>
      <c r="AJ7157">
        <v>97.344547935316001</v>
      </c>
      <c r="AK7157">
        <v>33.266961111986099</v>
      </c>
      <c r="AL7157">
        <v>88.879995554313297</v>
      </c>
      <c r="AM7157">
        <v>93.275584492460993</v>
      </c>
      <c r="AN7157">
        <v>0.99999998353327102</v>
      </c>
    </row>
    <row r="7158" spans="1:40" x14ac:dyDescent="0.25">
      <c r="A7158" t="str">
        <f>"20190312154106498"</f>
        <v>20190312154106498</v>
      </c>
      <c r="B7158" t="str">
        <f>"1552376466493291"</f>
        <v>1552376466493291</v>
      </c>
      <c r="C7158" t="s">
        <v>40</v>
      </c>
      <c r="D7158">
        <v>4.3346200000000001</v>
      </c>
      <c r="E7158">
        <v>0.47048879999999998</v>
      </c>
      <c r="F7158" t="s">
        <v>69</v>
      </c>
      <c r="G7158">
        <v>-411.26799999999997</v>
      </c>
      <c r="H7158" s="1">
        <v>-1.092598E-5</v>
      </c>
      <c r="I7158">
        <v>15.98981</v>
      </c>
      <c r="J7158">
        <v>-421.1694</v>
      </c>
      <c r="K7158">
        <v>1.1154389999999901</v>
      </c>
      <c r="L7158">
        <v>46.244450000000001</v>
      </c>
      <c r="M7158">
        <v>0.1858786</v>
      </c>
      <c r="N7158">
        <v>0</v>
      </c>
      <c r="O7158">
        <v>-0.98245970000000005</v>
      </c>
      <c r="P7158">
        <v>0.24446809999999999</v>
      </c>
      <c r="Q7158">
        <v>5.1486580000000004E-3</v>
      </c>
      <c r="R7158">
        <v>-0.9696439</v>
      </c>
      <c r="S7158">
        <v>0.93499759999999998</v>
      </c>
      <c r="T7158">
        <v>-0.1048629</v>
      </c>
      <c r="U7158">
        <v>-2.8616030000000001</v>
      </c>
      <c r="V7158">
        <v>-6.0189579999999999E-2</v>
      </c>
      <c r="W7158">
        <v>1.9314339999999999E-2</v>
      </c>
      <c r="X7158">
        <v>0.99800009999999995</v>
      </c>
      <c r="Y7158">
        <v>-0.1282721</v>
      </c>
      <c r="Z7158">
        <v>3.4621970000000002E-2</v>
      </c>
      <c r="AA7158">
        <v>0.99113450000000003</v>
      </c>
      <c r="AB7158">
        <v>19</v>
      </c>
      <c r="AC7158">
        <v>9.9013999999999598</v>
      </c>
      <c r="AD7158">
        <v>-1.1154499259799999</v>
      </c>
      <c r="AE7158">
        <v>-30.254639999999998</v>
      </c>
      <c r="AF7158">
        <v>-4.0994588299874204</v>
      </c>
      <c r="AG7158">
        <v>-1.1154499259799999</v>
      </c>
      <c r="AH7158">
        <v>31.529216914063799</v>
      </c>
      <c r="AI7158">
        <v>92.009283213818307</v>
      </c>
      <c r="AJ7158">
        <v>97.4080926912861</v>
      </c>
      <c r="AK7158">
        <v>31.814168391617901</v>
      </c>
      <c r="AL7158">
        <v>88.893301034769905</v>
      </c>
      <c r="AM7158">
        <v>93.451339108334906</v>
      </c>
      <c r="AN7158">
        <v>1.00000001443511</v>
      </c>
    </row>
    <row r="7159" spans="1:40" x14ac:dyDescent="0.25">
      <c r="A7159" t="str">
        <f>"20190312154106520"</f>
        <v>20190312154106520</v>
      </c>
      <c r="B7159" t="str">
        <f>"1552376466513787"</f>
        <v>1552376466513787</v>
      </c>
      <c r="C7159" t="s">
        <v>40</v>
      </c>
      <c r="D7159">
        <v>4.3588420000000001</v>
      </c>
      <c r="E7159">
        <v>0.47077849999999999</v>
      </c>
      <c r="F7159" t="s">
        <v>69</v>
      </c>
      <c r="G7159">
        <v>-411.18439999999998</v>
      </c>
      <c r="H7159" s="1">
        <v>-1.075813E-5</v>
      </c>
      <c r="I7159">
        <v>16.73357</v>
      </c>
      <c r="J7159">
        <v>-421.12270000000001</v>
      </c>
      <c r="K7159">
        <v>1.1154470000000001</v>
      </c>
      <c r="L7159">
        <v>46.05789</v>
      </c>
      <c r="M7159">
        <v>0.1951475</v>
      </c>
      <c r="N7159">
        <v>0</v>
      </c>
      <c r="O7159">
        <v>-0.98066019999999998</v>
      </c>
      <c r="P7159">
        <v>0.25772289999999998</v>
      </c>
      <c r="Q7159">
        <v>5.9086540000000002E-3</v>
      </c>
      <c r="R7159">
        <v>-0.96620119999999998</v>
      </c>
      <c r="S7159">
        <v>0.96472170000000002</v>
      </c>
      <c r="T7159">
        <v>-0.1077716</v>
      </c>
      <c r="U7159">
        <v>-2.8512569999999999</v>
      </c>
      <c r="V7159">
        <v>-6.4442029999999997E-2</v>
      </c>
      <c r="W7159">
        <v>2.003566E-2</v>
      </c>
      <c r="X7159">
        <v>0.9977203</v>
      </c>
      <c r="Y7159">
        <v>-0.12925799999999901</v>
      </c>
      <c r="Z7159">
        <v>3.554682E-2</v>
      </c>
      <c r="AA7159">
        <v>0.99097369999999996</v>
      </c>
      <c r="AB7159">
        <v>19</v>
      </c>
      <c r="AC7159">
        <v>9.9383000000000195</v>
      </c>
      <c r="AD7159">
        <v>-1.11545775812999</v>
      </c>
      <c r="AE7159">
        <v>-29.32432</v>
      </c>
      <c r="AF7159">
        <v>-4.0187604626944502</v>
      </c>
      <c r="AG7159">
        <v>-1.11545775812999</v>
      </c>
      <c r="AH7159">
        <v>30.660258624183601</v>
      </c>
      <c r="AI7159">
        <v>92.065916163646094</v>
      </c>
      <c r="AJ7159">
        <v>97.467412614488097</v>
      </c>
      <c r="AK7159">
        <v>30.942626594530001</v>
      </c>
      <c r="AL7159">
        <v>88.851964424590605</v>
      </c>
      <c r="AM7159">
        <v>93.695559502781194</v>
      </c>
      <c r="AN7159">
        <v>0.99999999996712297</v>
      </c>
    </row>
    <row r="7160" spans="1:40" x14ac:dyDescent="0.25">
      <c r="A7160" t="str">
        <f>"20190312154106543"</f>
        <v>20190312154106543</v>
      </c>
      <c r="B7160" t="str">
        <f>"1552376466533306"</f>
        <v>1552376466533306</v>
      </c>
      <c r="C7160" t="s">
        <v>40</v>
      </c>
      <c r="D7160">
        <v>4.3699110000000001</v>
      </c>
      <c r="E7160">
        <v>0.48044550000000003</v>
      </c>
      <c r="F7160" t="s">
        <v>69</v>
      </c>
      <c r="G7160">
        <v>-410.6524</v>
      </c>
      <c r="H7160" s="1">
        <v>-1.0642319999999999E-5</v>
      </c>
      <c r="I7160">
        <v>16.382650000000002</v>
      </c>
      <c r="J7160">
        <v>-421.07670000000002</v>
      </c>
      <c r="K7160">
        <v>1.1154219999999999</v>
      </c>
      <c r="L7160">
        <v>45.881529999999998</v>
      </c>
      <c r="M7160">
        <v>0.20396149999999999</v>
      </c>
      <c r="N7160">
        <v>0</v>
      </c>
      <c r="O7160">
        <v>-0.97886479999999998</v>
      </c>
      <c r="P7160">
        <v>0.27071709999999999</v>
      </c>
      <c r="Q7160">
        <v>6.8358330000000004E-3</v>
      </c>
      <c r="R7160">
        <v>-0.96263520000000002</v>
      </c>
      <c r="S7160">
        <v>1.001495</v>
      </c>
      <c r="T7160">
        <v>-0.10669480000000001</v>
      </c>
      <c r="U7160">
        <v>-2.83847</v>
      </c>
      <c r="V7160">
        <v>-6.8920729999999999E-2</v>
      </c>
      <c r="W7160">
        <v>2.0919050000000002E-2</v>
      </c>
      <c r="X7160">
        <v>0.99740280000000003</v>
      </c>
      <c r="Y7160">
        <v>-0.1331589</v>
      </c>
      <c r="Z7160">
        <v>3.5163960000000001E-2</v>
      </c>
      <c r="AA7160">
        <v>0.99047070000000004</v>
      </c>
      <c r="AB7160">
        <v>19</v>
      </c>
      <c r="AC7160">
        <v>10.424300000000001</v>
      </c>
      <c r="AD7160">
        <v>-1.1154326423199901</v>
      </c>
      <c r="AE7160">
        <v>-29.49888</v>
      </c>
      <c r="AF7160">
        <v>-4.1824960880375999</v>
      </c>
      <c r="AG7160">
        <v>-1.1154326423199901</v>
      </c>
      <c r="AH7160">
        <v>30.965675103261901</v>
      </c>
      <c r="AI7160">
        <v>92.044443988747403</v>
      </c>
      <c r="AJ7160">
        <v>97.692318238846298</v>
      </c>
      <c r="AK7160">
        <v>31.266763473483699</v>
      </c>
      <c r="AL7160">
        <v>88.801339300548094</v>
      </c>
      <c r="AM7160">
        <v>93.9528662133621</v>
      </c>
      <c r="AN7160">
        <v>1.0000000095622299</v>
      </c>
    </row>
    <row r="7161" spans="1:40" x14ac:dyDescent="0.25">
      <c r="A7161" t="str">
        <f>"20190312154106565"</f>
        <v>20190312154106565</v>
      </c>
      <c r="B7161" t="str">
        <f>"1552376466553803"</f>
        <v>1552376466553803</v>
      </c>
      <c r="C7161" t="s">
        <v>40</v>
      </c>
      <c r="D7161">
        <v>4.3793949999999997</v>
      </c>
      <c r="E7161">
        <v>0.48191990000000001</v>
      </c>
      <c r="F7161" t="s">
        <v>69</v>
      </c>
      <c r="G7161">
        <v>-412.7353</v>
      </c>
      <c r="H7161" s="1">
        <v>-8.9554110000000008E-6</v>
      </c>
      <c r="I7161">
        <v>21.29036</v>
      </c>
      <c r="J7161">
        <v>-421.02719999999999</v>
      </c>
      <c r="K7161">
        <v>1.1153649999999999</v>
      </c>
      <c r="L7161">
        <v>45.699249999999999</v>
      </c>
      <c r="M7161">
        <v>0.21309700000000001</v>
      </c>
      <c r="N7161">
        <v>0</v>
      </c>
      <c r="O7161">
        <v>-0.97691669999999997</v>
      </c>
      <c r="P7161">
        <v>0.28308830000000001</v>
      </c>
      <c r="Q7161">
        <v>5.7072080000000001E-3</v>
      </c>
      <c r="R7161">
        <v>-0.95907699999999996</v>
      </c>
      <c r="S7161">
        <v>0.96533199999999997</v>
      </c>
      <c r="T7161">
        <v>-0.1290866</v>
      </c>
      <c r="U7161">
        <v>-2.8458860000000001</v>
      </c>
      <c r="V7161">
        <v>-7.2427179999999994E-2</v>
      </c>
      <c r="W7161">
        <v>1.97582E-2</v>
      </c>
      <c r="X7161">
        <v>0.99717800000000001</v>
      </c>
      <c r="Y7161">
        <v>-0.1117242</v>
      </c>
      <c r="Z7161">
        <v>4.2443250000000002E-2</v>
      </c>
      <c r="AA7161">
        <v>0.99283239999999995</v>
      </c>
      <c r="AB7161">
        <v>19</v>
      </c>
      <c r="AC7161">
        <v>8.2918999999999894</v>
      </c>
      <c r="AD7161">
        <v>-1.115373955411</v>
      </c>
      <c r="AE7161">
        <v>-24.40889</v>
      </c>
      <c r="AF7161">
        <v>-2.89394071767095</v>
      </c>
      <c r="AG7161">
        <v>-1.115373955411</v>
      </c>
      <c r="AH7161">
        <v>25.567429964832598</v>
      </c>
      <c r="AI7161">
        <v>92.482103650383806</v>
      </c>
      <c r="AJ7161">
        <v>96.457742560837204</v>
      </c>
      <c r="AK7161">
        <v>25.754852493159898</v>
      </c>
      <c r="AL7161">
        <v>88.867864885725098</v>
      </c>
      <c r="AM7161">
        <v>94.154220682609804</v>
      </c>
      <c r="AN7161">
        <v>1.0000000232769899</v>
      </c>
    </row>
    <row r="7162" spans="1:40" x14ac:dyDescent="0.25">
      <c r="A7162" t="str">
        <f>"20190312154106586"</f>
        <v>20190312154106586</v>
      </c>
      <c r="B7162" t="str">
        <f>"1552376466584059"</f>
        <v>1552376466584059</v>
      </c>
      <c r="C7162" t="s">
        <v>40</v>
      </c>
      <c r="D7162">
        <v>4.3301610000000004</v>
      </c>
      <c r="E7162">
        <v>0.4841413</v>
      </c>
      <c r="F7162" t="s">
        <v>69</v>
      </c>
      <c r="G7162">
        <v>-412.95249999999999</v>
      </c>
      <c r="H7162" s="1">
        <v>-9.0049779999999907E-6</v>
      </c>
      <c r="I7162">
        <v>22.577000000000002</v>
      </c>
      <c r="J7162">
        <v>-420.97840000000002</v>
      </c>
      <c r="K7162">
        <v>1.1152930000000001</v>
      </c>
      <c r="L7162">
        <v>45.525359999999999</v>
      </c>
      <c r="M7162">
        <v>0.2218154</v>
      </c>
      <c r="N7162">
        <v>0</v>
      </c>
      <c r="O7162">
        <v>-0.97497420000000001</v>
      </c>
      <c r="P7162">
        <v>0.29404950000000002</v>
      </c>
      <c r="Q7162">
        <v>2.0992129999999999E-3</v>
      </c>
      <c r="R7162">
        <v>-0.95578850000000004</v>
      </c>
      <c r="S7162">
        <v>0.99053959999999996</v>
      </c>
      <c r="T7162">
        <v>-0.1368239</v>
      </c>
      <c r="U7162">
        <v>-2.8364259999999999</v>
      </c>
      <c r="V7162">
        <v>-7.4886330000000001E-2</v>
      </c>
      <c r="W7162">
        <v>1.6129580000000001E-2</v>
      </c>
      <c r="X7162">
        <v>0.99706159999999999</v>
      </c>
      <c r="Y7162">
        <v>-0.1117031</v>
      </c>
      <c r="Z7162">
        <v>4.4927189999999999E-2</v>
      </c>
      <c r="AA7162">
        <v>0.99272559999999999</v>
      </c>
      <c r="AB7162">
        <v>19</v>
      </c>
      <c r="AC7162">
        <v>8.0259000000000302</v>
      </c>
      <c r="AD7162">
        <v>-1.115302004978</v>
      </c>
      <c r="AE7162">
        <v>-22.948360000000001</v>
      </c>
      <c r="AF7162">
        <v>-2.7293070215390398</v>
      </c>
      <c r="AG7162">
        <v>-1.115302004978</v>
      </c>
      <c r="AH7162">
        <v>24.106289951924701</v>
      </c>
      <c r="AI7162">
        <v>92.632165604062806</v>
      </c>
      <c r="AJ7162">
        <v>96.459504119330603</v>
      </c>
      <c r="AK7162">
        <v>24.285926596002</v>
      </c>
      <c r="AL7162">
        <v>89.075803045530606</v>
      </c>
      <c r="AM7162">
        <v>94.295251031324597</v>
      </c>
      <c r="AN7162">
        <v>0.999999979983202</v>
      </c>
    </row>
    <row r="7163" spans="1:40" x14ac:dyDescent="0.25">
      <c r="A7163" t="str">
        <f>"20190312154106610"</f>
        <v>20190312154106610</v>
      </c>
      <c r="B7163" t="str">
        <f>"1552376466603578"</f>
        <v>1552376466603578</v>
      </c>
      <c r="C7163" t="s">
        <v>40</v>
      </c>
      <c r="D7163">
        <v>4.2991429999999999</v>
      </c>
      <c r="E7163">
        <v>0.49120520000000001</v>
      </c>
      <c r="F7163" t="s">
        <v>69</v>
      </c>
      <c r="G7163">
        <v>-413.62110000000001</v>
      </c>
      <c r="H7163" s="1">
        <v>-8.9859649999999993E-6</v>
      </c>
      <c r="I7163">
        <v>24.820219999999999</v>
      </c>
      <c r="J7163">
        <v>-420.92489999999998</v>
      </c>
      <c r="K7163">
        <v>1.1152120000000001</v>
      </c>
      <c r="L7163">
        <v>45.341430000000003</v>
      </c>
      <c r="M7163">
        <v>0.23102429999999999</v>
      </c>
      <c r="N7163">
        <v>0</v>
      </c>
      <c r="O7163">
        <v>-0.97283319999999995</v>
      </c>
      <c r="P7163">
        <v>0.30428189999999999</v>
      </c>
      <c r="Q7163">
        <v>-1.055966E-3</v>
      </c>
      <c r="R7163">
        <v>-0.95258180000000003</v>
      </c>
      <c r="S7163">
        <v>1.0055240000000001</v>
      </c>
      <c r="T7163">
        <v>-0.15242839999999999</v>
      </c>
      <c r="U7163">
        <v>-2.8297729999999999</v>
      </c>
      <c r="V7163">
        <v>-7.611068E-2</v>
      </c>
      <c r="W7163">
        <v>1.2968E-2</v>
      </c>
      <c r="X7163">
        <v>0.99701510000000004</v>
      </c>
      <c r="Y7163">
        <v>-0.1076247</v>
      </c>
      <c r="Z7163">
        <v>4.9954129999999999E-2</v>
      </c>
      <c r="AA7163">
        <v>0.99293580000000004</v>
      </c>
      <c r="AB7163">
        <v>19</v>
      </c>
      <c r="AC7163">
        <v>7.3037999999999599</v>
      </c>
      <c r="AD7163">
        <v>-1.115220985965</v>
      </c>
      <c r="AE7163">
        <v>-20.52121</v>
      </c>
      <c r="AF7163">
        <v>-2.35856252759804</v>
      </c>
      <c r="AG7163">
        <v>-1.115220985965</v>
      </c>
      <c r="AH7163">
        <v>21.596875881097699</v>
      </c>
      <c r="AI7163">
        <v>92.938577301506697</v>
      </c>
      <c r="AJ7163">
        <v>96.232487487394394</v>
      </c>
      <c r="AK7163">
        <v>21.753886615215801</v>
      </c>
      <c r="AL7163">
        <v>89.256967546892895</v>
      </c>
      <c r="AM7163">
        <v>94.3654095467204</v>
      </c>
      <c r="AN7163">
        <v>1.0000000571310299</v>
      </c>
    </row>
    <row r="7164" spans="1:40" x14ac:dyDescent="0.25">
      <c r="A7164" t="str">
        <f>"20190312154106632"</f>
        <v>20190312154106632</v>
      </c>
      <c r="B7164" t="str">
        <f>"1552376466623098"</f>
        <v>1552376466623098</v>
      </c>
      <c r="C7164" t="s">
        <v>40</v>
      </c>
      <c r="D7164">
        <v>4.2778939999999999</v>
      </c>
      <c r="E7164">
        <v>0.49268859999999998</v>
      </c>
      <c r="F7164" t="s">
        <v>69</v>
      </c>
      <c r="G7164">
        <v>-414.46190000000001</v>
      </c>
      <c r="H7164" s="1">
        <v>-8.8842709999999996E-6</v>
      </c>
      <c r="I7164">
        <v>26.666989999999998</v>
      </c>
      <c r="J7164">
        <v>-420.87139999999999</v>
      </c>
      <c r="K7164">
        <v>1.115148</v>
      </c>
      <c r="L7164">
        <v>45.163240000000002</v>
      </c>
      <c r="M7164">
        <v>0.23992160000000001</v>
      </c>
      <c r="N7164">
        <v>0</v>
      </c>
      <c r="O7164">
        <v>-0.97067720000000002</v>
      </c>
      <c r="P7164">
        <v>0.31431949999999997</v>
      </c>
      <c r="Q7164">
        <v>-5.6175150000000004E-4</v>
      </c>
      <c r="R7164">
        <v>-0.94931750000000004</v>
      </c>
      <c r="S7164">
        <v>0.98138429999999999</v>
      </c>
      <c r="T7164">
        <v>-0.1693432</v>
      </c>
      <c r="U7164">
        <v>-2.8356629999999998</v>
      </c>
      <c r="V7164">
        <v>-7.7509739999999994E-2</v>
      </c>
      <c r="W7164">
        <v>1.3450520000000001E-2</v>
      </c>
      <c r="X7164">
        <v>0.99690089999999998</v>
      </c>
      <c r="Y7164">
        <v>-9.0231350000000002E-2</v>
      </c>
      <c r="Z7164">
        <v>5.5313380000000002E-2</v>
      </c>
      <c r="AA7164">
        <v>0.99438360000000003</v>
      </c>
      <c r="AB7164">
        <v>19</v>
      </c>
      <c r="AC7164">
        <v>6.40949999999998</v>
      </c>
      <c r="AD7164">
        <v>-1.115156884271</v>
      </c>
      <c r="AE7164">
        <v>-18.49625</v>
      </c>
      <c r="AF7164">
        <v>-1.7783336937010901</v>
      </c>
      <c r="AG7164">
        <v>-1.115156884271</v>
      </c>
      <c r="AH7164">
        <v>19.430784568942901</v>
      </c>
      <c r="AI7164">
        <v>93.271031948338603</v>
      </c>
      <c r="AJ7164">
        <v>95.229225324114097</v>
      </c>
      <c r="AK7164">
        <v>19.5438336711956</v>
      </c>
      <c r="AL7164">
        <v>89.229318763494703</v>
      </c>
      <c r="AM7164">
        <v>94.445842573030802</v>
      </c>
      <c r="AN7164">
        <v>1.00000004035197</v>
      </c>
    </row>
    <row r="7165" spans="1:40" x14ac:dyDescent="0.25">
      <c r="A7165" t="str">
        <f>"20190312154106654"</f>
        <v>20190312154106654</v>
      </c>
      <c r="B7165" t="str">
        <f>"1552376466643596"</f>
        <v>1552376466643596</v>
      </c>
      <c r="C7165" t="s">
        <v>40</v>
      </c>
      <c r="D7165">
        <v>4.1785769999999998</v>
      </c>
      <c r="E7165">
        <v>0.49984260000000003</v>
      </c>
      <c r="F7165" t="s">
        <v>69</v>
      </c>
      <c r="G7165">
        <v>-414.14550000000003</v>
      </c>
      <c r="H7165" s="1">
        <v>-8.9361919999999906E-6</v>
      </c>
      <c r="I7165">
        <v>26.141089999999998</v>
      </c>
      <c r="J7165">
        <v>-420.81830000000002</v>
      </c>
      <c r="K7165">
        <v>1.115113</v>
      </c>
      <c r="L7165">
        <v>44.99194</v>
      </c>
      <c r="M7165">
        <v>0.24844840000000001</v>
      </c>
      <c r="N7165">
        <v>0</v>
      </c>
      <c r="O7165">
        <v>-0.96853009999999995</v>
      </c>
      <c r="P7165">
        <v>0.3236716</v>
      </c>
      <c r="Q7165">
        <v>1.660681E-3</v>
      </c>
      <c r="R7165">
        <v>-0.94616829999999996</v>
      </c>
      <c r="S7165">
        <v>1.0002439999999999</v>
      </c>
      <c r="T7165">
        <v>-0.16584109999999999</v>
      </c>
      <c r="U7165">
        <v>-2.8288880000000001</v>
      </c>
      <c r="V7165">
        <v>-7.8603329999999999E-2</v>
      </c>
      <c r="W7165">
        <v>1.5662329999999999E-2</v>
      </c>
      <c r="X7165">
        <v>0.99678299999999997</v>
      </c>
      <c r="Y7165">
        <v>-8.8136729999999996E-2</v>
      </c>
      <c r="Z7165">
        <v>5.4064349999999997E-2</v>
      </c>
      <c r="AA7165">
        <v>0.99464010000000003</v>
      </c>
      <c r="AB7165">
        <v>19</v>
      </c>
      <c r="AC7165">
        <v>6.6727999999999899</v>
      </c>
      <c r="AD7165">
        <v>-1.115121936192</v>
      </c>
      <c r="AE7165">
        <v>-18.850850000000001</v>
      </c>
      <c r="AF7165">
        <v>-1.77402578303375</v>
      </c>
      <c r="AG7165">
        <v>-1.115121936192</v>
      </c>
      <c r="AH7165">
        <v>19.855936061982899</v>
      </c>
      <c r="AI7165">
        <v>93.201664106525001</v>
      </c>
      <c r="AJ7165">
        <v>95.105527105244306</v>
      </c>
      <c r="AK7165">
        <v>19.966192959825801</v>
      </c>
      <c r="AL7165">
        <v>89.102577963561998</v>
      </c>
      <c r="AM7165">
        <v>94.508843504538504</v>
      </c>
      <c r="AN7165">
        <v>1.0000000705785499</v>
      </c>
    </row>
    <row r="7166" spans="1:40" x14ac:dyDescent="0.25">
      <c r="A7166" t="str">
        <f>"20190312154106689"</f>
        <v>20190312154106689</v>
      </c>
      <c r="B7166" t="str">
        <f>"1552376466683610"</f>
        <v>1552376466683610</v>
      </c>
      <c r="C7166" t="s">
        <v>40</v>
      </c>
      <c r="D7166">
        <v>4.1230570000000002</v>
      </c>
      <c r="E7166">
        <v>0.47142260000000002</v>
      </c>
      <c r="F7166" t="s">
        <v>69</v>
      </c>
      <c r="G7166">
        <v>-411.4624</v>
      </c>
      <c r="H7166" s="1">
        <v>-1.066971E-5</v>
      </c>
      <c r="I7166">
        <v>17.711950000000002</v>
      </c>
      <c r="J7166">
        <v>-420.7321</v>
      </c>
      <c r="K7166">
        <v>1.1150500000000001</v>
      </c>
      <c r="L7166">
        <v>44.724730000000001</v>
      </c>
      <c r="M7166">
        <v>0.26171030000000001</v>
      </c>
      <c r="N7166">
        <v>0</v>
      </c>
      <c r="O7166">
        <v>-0.96503119999999998</v>
      </c>
      <c r="P7166">
        <v>0.3372194</v>
      </c>
      <c r="Q7166">
        <v>4.3984899999999997E-3</v>
      </c>
      <c r="R7166">
        <v>-0.94141600000000003</v>
      </c>
      <c r="S7166">
        <v>0.97329710000000003</v>
      </c>
      <c r="T7166">
        <v>-0.1160069</v>
      </c>
      <c r="U7166">
        <v>-2.837952</v>
      </c>
      <c r="V7166">
        <v>-7.9268859999999997E-2</v>
      </c>
      <c r="W7166">
        <v>1.8391350000000001E-2</v>
      </c>
      <c r="X7166">
        <v>0.9966836</v>
      </c>
      <c r="Y7166">
        <v>-6.5278500000000003E-2</v>
      </c>
      <c r="Z7166">
        <v>3.76219E-2</v>
      </c>
      <c r="AA7166">
        <v>0.99715759999999998</v>
      </c>
      <c r="AB7166">
        <v>19</v>
      </c>
      <c r="AC7166">
        <v>9.2697000000000003</v>
      </c>
      <c r="AD7166">
        <v>-1.1150606697100001</v>
      </c>
      <c r="AE7166">
        <v>-27.012779999999999</v>
      </c>
      <c r="AF7166">
        <v>-1.87337984605906</v>
      </c>
      <c r="AG7166">
        <v>-1.1150606697100001</v>
      </c>
      <c r="AH7166">
        <v>28.4539456583075</v>
      </c>
      <c r="AI7166">
        <v>92.239330368292002</v>
      </c>
      <c r="AJ7166">
        <v>93.766861313752202</v>
      </c>
      <c r="AK7166">
        <v>28.5373428312916</v>
      </c>
      <c r="AL7166">
        <v>88.946193848895007</v>
      </c>
      <c r="AM7166">
        <v>94.547311780012507</v>
      </c>
      <c r="AN7166">
        <v>0.999999996214741</v>
      </c>
    </row>
    <row r="7167" spans="1:40" x14ac:dyDescent="0.25">
      <c r="A7167" t="str">
        <f>"20190312154106710"</f>
        <v>20190312154106710</v>
      </c>
      <c r="B7167" t="str">
        <f>"1552376466703131"</f>
        <v>1552376466703131</v>
      </c>
      <c r="C7167" t="s">
        <v>40</v>
      </c>
      <c r="D7167">
        <v>4.0252290000000004</v>
      </c>
      <c r="E7167">
        <v>0.45132260000000002</v>
      </c>
      <c r="F7167" t="s">
        <v>69</v>
      </c>
      <c r="G7167">
        <v>-402.89920000000001</v>
      </c>
      <c r="H7167">
        <v>7.9986879999999996E-2</v>
      </c>
      <c r="I7167">
        <v>4.7975459999999996</v>
      </c>
      <c r="J7167">
        <v>-420.67469999999997</v>
      </c>
      <c r="K7167">
        <v>1.1150119999999999</v>
      </c>
      <c r="L7167">
        <v>44.553620000000002</v>
      </c>
      <c r="M7167">
        <v>0.27018550000000002</v>
      </c>
      <c r="N7167">
        <v>0</v>
      </c>
      <c r="O7167">
        <v>-0.96269289999999996</v>
      </c>
      <c r="P7167">
        <v>0.34438829999999998</v>
      </c>
      <c r="Q7167">
        <v>3.7054789999999998E-3</v>
      </c>
      <c r="R7167">
        <v>-0.9388204</v>
      </c>
      <c r="S7167">
        <v>1.227112</v>
      </c>
      <c r="T7167">
        <v>-7.1224689999999993E-2</v>
      </c>
      <c r="U7167">
        <v>-2.7474669999999999</v>
      </c>
      <c r="V7167">
        <v>-7.8094940000000002E-2</v>
      </c>
      <c r="W7167">
        <v>1.771006E-2</v>
      </c>
      <c r="X7167">
        <v>0.99678860000000002</v>
      </c>
      <c r="Y7167">
        <v>-0.14579739999999999</v>
      </c>
      <c r="Z7167">
        <v>2.3252189999999999E-2</v>
      </c>
      <c r="AA7167">
        <v>0.98904119999999995</v>
      </c>
      <c r="AB7167">
        <v>19</v>
      </c>
      <c r="AC7167">
        <v>17.775499999999901</v>
      </c>
      <c r="AD7167">
        <v>-1.03502512</v>
      </c>
      <c r="AE7167">
        <v>-39.756073999999998</v>
      </c>
      <c r="AF7167">
        <v>-6.3679437152164597</v>
      </c>
      <c r="AG7167">
        <v>-1.03502512</v>
      </c>
      <c r="AH7167">
        <v>43.0560375906121</v>
      </c>
      <c r="AI7167">
        <v>91.362256600004699</v>
      </c>
      <c r="AJ7167">
        <v>98.412998412410801</v>
      </c>
      <c r="AK7167">
        <v>43.536701266441803</v>
      </c>
      <c r="AL7167">
        <v>88.985235245501201</v>
      </c>
      <c r="AM7167">
        <v>94.479775266090101</v>
      </c>
      <c r="AN7167">
        <v>0.99999998948438296</v>
      </c>
    </row>
    <row r="7168" spans="1:40" x14ac:dyDescent="0.25">
      <c r="A7168" t="str">
        <f>"20190312154106733"</f>
        <v>20190312154106733</v>
      </c>
      <c r="B7168" t="str">
        <f>"1552376466723627"</f>
        <v>1552376466723627</v>
      </c>
      <c r="C7168" t="s">
        <v>40</v>
      </c>
      <c r="D7168">
        <v>3.9542860000000002</v>
      </c>
      <c r="E7168">
        <v>0.43738589999999999</v>
      </c>
      <c r="F7168" t="s">
        <v>84</v>
      </c>
      <c r="G7168">
        <v>-397.81880000000001</v>
      </c>
      <c r="H7168">
        <v>0.2367532</v>
      </c>
      <c r="I7168">
        <v>0.70296859999999906</v>
      </c>
      <c r="J7168">
        <v>-420.6139</v>
      </c>
      <c r="K7168">
        <v>1.114975</v>
      </c>
      <c r="L7168">
        <v>44.376980000000003</v>
      </c>
      <c r="M7168">
        <v>0.27893220000000002</v>
      </c>
      <c r="N7168">
        <v>0</v>
      </c>
      <c r="O7168">
        <v>-0.96019520000000003</v>
      </c>
      <c r="P7168">
        <v>0.35146470000000002</v>
      </c>
      <c r="Q7168">
        <v>2.5274289999999999E-3</v>
      </c>
      <c r="R7168">
        <v>-0.93619790000000003</v>
      </c>
      <c r="S7168">
        <v>1.398315</v>
      </c>
      <c r="T7168">
        <v>-5.3733110000000001E-2</v>
      </c>
      <c r="U7168">
        <v>-2.6827700000000001</v>
      </c>
      <c r="V7168">
        <v>-7.6534969999999994E-2</v>
      </c>
      <c r="W7168">
        <v>1.6547699999999999E-2</v>
      </c>
      <c r="X7168">
        <v>0.99692959999999997</v>
      </c>
      <c r="Y7168">
        <v>-0.1964052</v>
      </c>
      <c r="Z7168">
        <v>1.7544799999999999E-2</v>
      </c>
      <c r="AA7168">
        <v>0.98036579999999995</v>
      </c>
      <c r="AB7168">
        <v>19</v>
      </c>
      <c r="AC7168">
        <v>22.795099999999898</v>
      </c>
      <c r="AD7168">
        <v>-0.87822180000000005</v>
      </c>
      <c r="AE7168">
        <v>-43.674011399999998</v>
      </c>
      <c r="AF7168">
        <v>-9.7036513893341105</v>
      </c>
      <c r="AG7168">
        <v>-0.87822180000000005</v>
      </c>
      <c r="AH7168">
        <v>48.283881300240303</v>
      </c>
      <c r="AI7168">
        <v>91.021599596335406</v>
      </c>
      <c r="AJ7168">
        <v>101.36340717911</v>
      </c>
      <c r="AK7168">
        <v>49.257134683529998</v>
      </c>
      <c r="AL7168">
        <v>89.051843380526805</v>
      </c>
      <c r="AM7168">
        <v>94.390025298914097</v>
      </c>
      <c r="AN7168">
        <v>1.0000000276821699</v>
      </c>
    </row>
    <row r="7169" spans="1:40" x14ac:dyDescent="0.25">
      <c r="A7169" t="str">
        <f>"20190312154106754"</f>
        <v>20190312154106754</v>
      </c>
      <c r="B7169" t="str">
        <f>"1552376466743146"</f>
        <v>1552376466743146</v>
      </c>
      <c r="C7169" t="s">
        <v>40</v>
      </c>
      <c r="D7169">
        <v>4.0010139999999996</v>
      </c>
      <c r="E7169">
        <v>0.39397939999999998</v>
      </c>
      <c r="F7169" t="s">
        <v>43</v>
      </c>
      <c r="G7169">
        <v>-394.64589999999998</v>
      </c>
      <c r="H7169">
        <v>-0.05</v>
      </c>
      <c r="I7169">
        <v>-0.51696779999999998</v>
      </c>
      <c r="J7169">
        <v>-420.55410000000001</v>
      </c>
      <c r="K7169">
        <v>1.114949</v>
      </c>
      <c r="L7169">
        <v>44.20834</v>
      </c>
      <c r="M7169">
        <v>0.2872864</v>
      </c>
      <c r="N7169">
        <v>0</v>
      </c>
      <c r="O7169">
        <v>-0.95772900000000005</v>
      </c>
      <c r="P7169">
        <v>0.35813329999999999</v>
      </c>
      <c r="Q7169">
        <v>3.4922059999999999E-3</v>
      </c>
      <c r="R7169">
        <v>-0.93366420000000006</v>
      </c>
      <c r="S7169">
        <v>1.5229490000000001</v>
      </c>
      <c r="T7169">
        <v>-6.8322540000000001E-2</v>
      </c>
      <c r="U7169">
        <v>-2.6329039999999999</v>
      </c>
      <c r="V7169">
        <v>-7.4970609999999993E-2</v>
      </c>
      <c r="W7169">
        <v>1.7526989999999999E-2</v>
      </c>
      <c r="X7169">
        <v>0.99703169999999997</v>
      </c>
      <c r="Y7169">
        <v>-0.23075129999999999</v>
      </c>
      <c r="Z7169">
        <v>2.2264820000000001E-2</v>
      </c>
      <c r="AA7169">
        <v>0.97275800000000001</v>
      </c>
      <c r="AB7169">
        <v>19</v>
      </c>
      <c r="AC7169">
        <v>25.908200000000001</v>
      </c>
      <c r="AD7169">
        <v>-1.164949</v>
      </c>
      <c r="AE7169">
        <v>-44.725307799999896</v>
      </c>
      <c r="AF7169">
        <v>-11.959313109542199</v>
      </c>
      <c r="AG7169">
        <v>-1.164949</v>
      </c>
      <c r="AH7169">
        <v>50.257841869554802</v>
      </c>
      <c r="AI7169">
        <v>91.291789542580105</v>
      </c>
      <c r="AJ7169">
        <v>103.385118322542</v>
      </c>
      <c r="AK7169">
        <v>51.674296759702898</v>
      </c>
      <c r="AL7169">
        <v>88.995726022172207</v>
      </c>
      <c r="AM7169">
        <v>94.300195424201405</v>
      </c>
      <c r="AN7169">
        <v>0.99999999927356098</v>
      </c>
    </row>
    <row r="7170" spans="1:40" x14ac:dyDescent="0.25">
      <c r="A7170" t="str">
        <f>"20190312154106778"</f>
        <v>20190312154106778</v>
      </c>
      <c r="B7170" t="str">
        <f>"1552376466773404"</f>
        <v>1552376466773404</v>
      </c>
      <c r="C7170" t="s">
        <v>40</v>
      </c>
      <c r="D7170">
        <v>3.9470879999999999</v>
      </c>
      <c r="E7170">
        <v>0.39564569999999999</v>
      </c>
      <c r="F7170" t="s">
        <v>69</v>
      </c>
      <c r="G7170">
        <v>-408.9101</v>
      </c>
      <c r="H7170" s="1">
        <v>-3.4479839999999998E-6</v>
      </c>
      <c r="I7170">
        <v>28.62735</v>
      </c>
      <c r="J7170">
        <v>-420.49130000000002</v>
      </c>
      <c r="K7170">
        <v>1.1149279999999999</v>
      </c>
      <c r="L7170">
        <v>44.035919999999997</v>
      </c>
      <c r="M7170">
        <v>0.29583419999999999</v>
      </c>
      <c r="N7170">
        <v>0</v>
      </c>
      <c r="O7170">
        <v>-0.9551231</v>
      </c>
      <c r="P7170">
        <v>0.36602600000000002</v>
      </c>
      <c r="Q7170">
        <v>5.0949569999999998E-3</v>
      </c>
      <c r="R7170">
        <v>-0.93059069999999999</v>
      </c>
      <c r="S7170">
        <v>1.8666689999999999</v>
      </c>
      <c r="T7170">
        <v>-0.17873900000000001</v>
      </c>
      <c r="U7170">
        <v>-2.4978030000000002</v>
      </c>
      <c r="V7170">
        <v>-7.4520569999999994E-2</v>
      </c>
      <c r="W7170">
        <v>1.91308E-2</v>
      </c>
      <c r="X7170">
        <v>0.99703600000000003</v>
      </c>
      <c r="Y7170">
        <v>-0.33380310000000002</v>
      </c>
      <c r="Z7170">
        <v>5.7580659999999999E-2</v>
      </c>
      <c r="AA7170">
        <v>0.94088260000000001</v>
      </c>
      <c r="AB7170">
        <v>19</v>
      </c>
      <c r="AC7170">
        <v>11.581200000000001</v>
      </c>
      <c r="AD7170">
        <v>-1.114931447984</v>
      </c>
      <c r="AE7170">
        <v>-15.408569999999999</v>
      </c>
      <c r="AF7170">
        <v>-6.4821246450187999</v>
      </c>
      <c r="AG7170">
        <v>-1.114931447984</v>
      </c>
      <c r="AH7170">
        <v>18.084705138598501</v>
      </c>
      <c r="AI7170">
        <v>93.321443801681198</v>
      </c>
      <c r="AJ7170">
        <v>109.71926947985899</v>
      </c>
      <c r="AK7170">
        <v>19.243637182126299</v>
      </c>
      <c r="AL7170">
        <v>88.903819077923401</v>
      </c>
      <c r="AM7170">
        <v>94.274459437448797</v>
      </c>
      <c r="AN7170">
        <v>1.0000000440788801</v>
      </c>
    </row>
    <row r="7171" spans="1:40" x14ac:dyDescent="0.25">
      <c r="A7171" t="str">
        <f>"20190312154106800"</f>
        <v>20190312154106800</v>
      </c>
      <c r="B7171" t="str">
        <f>"1552376466793899"</f>
        <v>1552376466793899</v>
      </c>
      <c r="C7171" t="s">
        <v>40</v>
      </c>
      <c r="D7171">
        <v>3.9485359999999998</v>
      </c>
      <c r="E7171">
        <v>0.39695580000000003</v>
      </c>
      <c r="F7171" t="s">
        <v>69</v>
      </c>
      <c r="G7171">
        <v>-408.88319999999999</v>
      </c>
      <c r="H7171" s="1">
        <v>-3.464767E-6</v>
      </c>
      <c r="I7171">
        <v>28.64556</v>
      </c>
      <c r="J7171">
        <v>-420.42700000000002</v>
      </c>
      <c r="K7171">
        <v>1.114905</v>
      </c>
      <c r="L7171">
        <v>43.8645</v>
      </c>
      <c r="M7171">
        <v>0.30434840000000002</v>
      </c>
      <c r="N7171">
        <v>0</v>
      </c>
      <c r="O7171">
        <v>-0.95244470000000003</v>
      </c>
      <c r="P7171">
        <v>0.37492550000000002</v>
      </c>
      <c r="Q7171">
        <v>4.795924E-3</v>
      </c>
      <c r="R7171">
        <v>-0.9270427</v>
      </c>
      <c r="S7171">
        <v>1.875793</v>
      </c>
      <c r="T7171">
        <v>-0.18016480000000001</v>
      </c>
      <c r="U7171">
        <v>-2.4869690000000002</v>
      </c>
      <c r="V7171">
        <v>-7.5168520000000003E-2</v>
      </c>
      <c r="W7171">
        <v>1.8819949999999998E-2</v>
      </c>
      <c r="X7171">
        <v>0.99699320000000002</v>
      </c>
      <c r="Y7171">
        <v>-0.32953749999999998</v>
      </c>
      <c r="Z7171">
        <v>5.7986900000000001E-2</v>
      </c>
      <c r="AA7171">
        <v>0.94236010000000003</v>
      </c>
      <c r="AB7171">
        <v>19</v>
      </c>
      <c r="AC7171">
        <v>11.5437999999999</v>
      </c>
      <c r="AD7171">
        <v>-1.114908464767</v>
      </c>
      <c r="AE7171">
        <v>-15.21894</v>
      </c>
      <c r="AF7171">
        <v>-6.3420692533143699</v>
      </c>
      <c r="AG7171">
        <v>-1.114908464767</v>
      </c>
      <c r="AH7171">
        <v>17.9493792459606</v>
      </c>
      <c r="AI7171">
        <v>93.351743054311001</v>
      </c>
      <c r="AJ7171">
        <v>109.45988545266999</v>
      </c>
      <c r="AK7171">
        <v>19.0694802921833</v>
      </c>
      <c r="AL7171">
        <v>88.921632596486006</v>
      </c>
      <c r="AM7171">
        <v>94.311670345013894</v>
      </c>
      <c r="AN7171">
        <v>0.99999996888161602</v>
      </c>
    </row>
    <row r="7172" spans="1:40" x14ac:dyDescent="0.25">
      <c r="A7172" t="str">
        <f>"20190312154106822"</f>
        <v>20190312154106822</v>
      </c>
      <c r="B7172" t="str">
        <f>"1552376466813419"</f>
        <v>1552376466813419</v>
      </c>
      <c r="C7172" t="s">
        <v>40</v>
      </c>
      <c r="D7172">
        <v>3.9117329999999999</v>
      </c>
      <c r="E7172">
        <v>0.39787620000000001</v>
      </c>
      <c r="F7172" t="s">
        <v>69</v>
      </c>
      <c r="G7172">
        <v>-408.79739999999998</v>
      </c>
      <c r="H7172" s="1">
        <v>-3.50816999999999E-6</v>
      </c>
      <c r="I7172">
        <v>28.646850000000001</v>
      </c>
      <c r="J7172">
        <v>-420.3621</v>
      </c>
      <c r="K7172">
        <v>1.1148769999999999</v>
      </c>
      <c r="L7172">
        <v>43.69632</v>
      </c>
      <c r="M7172">
        <v>0.3127143</v>
      </c>
      <c r="N7172">
        <v>0</v>
      </c>
      <c r="O7172">
        <v>-0.94973090000000004</v>
      </c>
      <c r="P7172">
        <v>0.3830498</v>
      </c>
      <c r="Q7172">
        <v>2.4908619999999999E-3</v>
      </c>
      <c r="R7172">
        <v>-0.92372460000000001</v>
      </c>
      <c r="S7172">
        <v>1.88974</v>
      </c>
      <c r="T7172">
        <v>-0.18116599999999999</v>
      </c>
      <c r="U7172">
        <v>-2.4727779999999999</v>
      </c>
      <c r="V7172">
        <v>-7.5123570000000001E-2</v>
      </c>
      <c r="W7172">
        <v>1.651147E-2</v>
      </c>
      <c r="X7172">
        <v>0.99703750000000002</v>
      </c>
      <c r="Y7172">
        <v>-0.327181099999999</v>
      </c>
      <c r="Z7172">
        <v>5.8263389999999998E-2</v>
      </c>
      <c r="AA7172">
        <v>0.9431638</v>
      </c>
      <c r="AB7172">
        <v>19</v>
      </c>
      <c r="AC7172">
        <v>11.5647</v>
      </c>
      <c r="AD7172">
        <v>-1.11488050817</v>
      </c>
      <c r="AE7172">
        <v>-15.049469999999999</v>
      </c>
      <c r="AF7172">
        <v>-6.2562750698289298</v>
      </c>
      <c r="AG7172">
        <v>-1.11488050817</v>
      </c>
      <c r="AH7172">
        <v>17.849782798637602</v>
      </c>
      <c r="AI7172">
        <v>93.373303800883605</v>
      </c>
      <c r="AJ7172">
        <v>109.315352769512</v>
      </c>
      <c r="AK7172">
        <v>18.9472605475145</v>
      </c>
      <c r="AL7172">
        <v>89.053919443111397</v>
      </c>
      <c r="AM7172">
        <v>94.308910985648396</v>
      </c>
      <c r="AN7172">
        <v>0.99999997790867701</v>
      </c>
    </row>
    <row r="7173" spans="1:40" x14ac:dyDescent="0.25">
      <c r="A7173" t="str">
        <f>"20190312154106844"</f>
        <v>20190312154106844</v>
      </c>
      <c r="B7173" t="str">
        <f>"1552376466833915"</f>
        <v>1552376466833915</v>
      </c>
      <c r="C7173" t="s">
        <v>40</v>
      </c>
      <c r="D7173">
        <v>3.8530380000000002</v>
      </c>
      <c r="E7173">
        <v>0.39913939999999998</v>
      </c>
      <c r="F7173" t="s">
        <v>69</v>
      </c>
      <c r="G7173">
        <v>-408.9615</v>
      </c>
      <c r="H7173" s="1">
        <v>-3.4851899999999998E-6</v>
      </c>
      <c r="I7173">
        <v>28.981649999999998</v>
      </c>
      <c r="J7173">
        <v>-420.29539999999997</v>
      </c>
      <c r="K7173">
        <v>1.1148549999999999</v>
      </c>
      <c r="L7173">
        <v>43.527679999999997</v>
      </c>
      <c r="M7173">
        <v>0.32111450000000002</v>
      </c>
      <c r="N7173">
        <v>0</v>
      </c>
      <c r="O7173">
        <v>-0.94692410000000005</v>
      </c>
      <c r="P7173">
        <v>0.39161560000000001</v>
      </c>
      <c r="Q7173">
        <v>1.171737E-3</v>
      </c>
      <c r="R7173">
        <v>-0.92012839999999996</v>
      </c>
      <c r="S7173">
        <v>1.9047240000000001</v>
      </c>
      <c r="T7173">
        <v>-0.18626500000000001</v>
      </c>
      <c r="U7173">
        <v>-2.458405</v>
      </c>
      <c r="V7173">
        <v>-7.5539239999999994E-2</v>
      </c>
      <c r="W7173">
        <v>1.5183169999999999E-2</v>
      </c>
      <c r="X7173">
        <v>0.9970272</v>
      </c>
      <c r="Y7173">
        <v>-0.32500869999999998</v>
      </c>
      <c r="Z7173">
        <v>5.9835489999999998E-2</v>
      </c>
      <c r="AA7173">
        <v>0.94381619999999999</v>
      </c>
      <c r="AB7173">
        <v>19</v>
      </c>
      <c r="AC7173">
        <v>11.3338999999999</v>
      </c>
      <c r="AD7173">
        <v>-1.1148584851900001</v>
      </c>
      <c r="AE7173">
        <v>-14.546029999999901</v>
      </c>
      <c r="AF7173">
        <v>-6.0399924402091996</v>
      </c>
      <c r="AG7173">
        <v>-1.1148584851900001</v>
      </c>
      <c r="AH7173">
        <v>17.351959927166501</v>
      </c>
      <c r="AI7173">
        <v>93.472377960748503</v>
      </c>
      <c r="AJ7173">
        <v>109.19234500924399</v>
      </c>
      <c r="AK7173">
        <v>18.406926181027</v>
      </c>
      <c r="AL7173">
        <v>89.130034987068996</v>
      </c>
      <c r="AM7173">
        <v>94.332706889362399</v>
      </c>
      <c r="AN7173">
        <v>0.99999997148543196</v>
      </c>
    </row>
    <row r="7174" spans="1:40" x14ac:dyDescent="0.25">
      <c r="A7174" t="str">
        <f>"20190312154106867"</f>
        <v>20190312154106867</v>
      </c>
      <c r="B7174" t="str">
        <f>"1552376466863196"</f>
        <v>1552376466863196</v>
      </c>
      <c r="C7174" t="s">
        <v>40</v>
      </c>
      <c r="D7174">
        <v>3.8282500000000002</v>
      </c>
      <c r="E7174">
        <v>0.4001613</v>
      </c>
      <c r="F7174" t="s">
        <v>69</v>
      </c>
      <c r="G7174">
        <v>-408.8356</v>
      </c>
      <c r="H7174" s="1">
        <v>-3.5379430000000002E-6</v>
      </c>
      <c r="I7174">
        <v>28.922160000000002</v>
      </c>
      <c r="J7174">
        <v>-420.22789999999998</v>
      </c>
      <c r="K7174">
        <v>1.1148370000000001</v>
      </c>
      <c r="L7174">
        <v>43.36121</v>
      </c>
      <c r="M7174">
        <v>0.32941479999999901</v>
      </c>
      <c r="N7174">
        <v>0</v>
      </c>
      <c r="O7174">
        <v>-0.94406840000000003</v>
      </c>
      <c r="P7174">
        <v>0.39941199999999999</v>
      </c>
      <c r="Q7174">
        <v>8.6908299999999999E-4</v>
      </c>
      <c r="R7174">
        <v>-0.91677120000000001</v>
      </c>
      <c r="S7174">
        <v>1.9179079999999999</v>
      </c>
      <c r="T7174">
        <v>-0.18658169999999999</v>
      </c>
      <c r="U7174">
        <v>-2.444366</v>
      </c>
      <c r="V7174">
        <v>-7.5245779999999998E-2</v>
      </c>
      <c r="W7174">
        <v>1.4879460000000001E-2</v>
      </c>
      <c r="X7174">
        <v>0.997054</v>
      </c>
      <c r="Y7174">
        <v>-0.32248159999999998</v>
      </c>
      <c r="Z7174">
        <v>5.9879059999999998E-2</v>
      </c>
      <c r="AA7174">
        <v>0.94467990000000002</v>
      </c>
      <c r="AB7174">
        <v>18</v>
      </c>
      <c r="AC7174">
        <v>11.392299999999899</v>
      </c>
      <c r="AD7174">
        <v>-1.114840537943</v>
      </c>
      <c r="AE7174">
        <v>-14.43905</v>
      </c>
      <c r="AF7174">
        <v>-5.9773738806544996</v>
      </c>
      <c r="AG7174">
        <v>-1.114840537943</v>
      </c>
      <c r="AH7174">
        <v>17.322515972810098</v>
      </c>
      <c r="AI7174">
        <v>93.481456874424694</v>
      </c>
      <c r="AJ7174">
        <v>109.037702997273</v>
      </c>
      <c r="AK7174">
        <v>18.358688067572601</v>
      </c>
      <c r="AL7174">
        <v>89.147438281286298</v>
      </c>
      <c r="AM7174">
        <v>94.315823046270495</v>
      </c>
      <c r="AN7174">
        <v>1.0000000023268401</v>
      </c>
    </row>
    <row r="7175" spans="1:40" x14ac:dyDescent="0.25">
      <c r="A7175" t="str">
        <f>"20190312154106889"</f>
        <v>20190312154106889</v>
      </c>
      <c r="B7175" t="str">
        <f>"1552376466883691"</f>
        <v>1552376466883691</v>
      </c>
      <c r="C7175" t="s">
        <v>40</v>
      </c>
      <c r="D7175">
        <v>3.7556449999999999</v>
      </c>
      <c r="E7175">
        <v>0.40626859999999998</v>
      </c>
      <c r="F7175" t="s">
        <v>69</v>
      </c>
      <c r="G7175">
        <v>-408.4162</v>
      </c>
      <c r="H7175" s="1">
        <v>-3.67164E-6</v>
      </c>
      <c r="I7175">
        <v>28.4876</v>
      </c>
      <c r="J7175">
        <v>-420.15660000000003</v>
      </c>
      <c r="K7175">
        <v>1.1148169999999999</v>
      </c>
      <c r="L7175">
        <v>43.189819999999997</v>
      </c>
      <c r="M7175">
        <v>0.33796559999999998</v>
      </c>
      <c r="N7175">
        <v>0</v>
      </c>
      <c r="O7175">
        <v>-0.94104149999999998</v>
      </c>
      <c r="P7175">
        <v>0.40713660000000002</v>
      </c>
      <c r="Q7175">
        <v>7.9293479999999997E-4</v>
      </c>
      <c r="R7175">
        <v>-0.91336700000000004</v>
      </c>
      <c r="S7175">
        <v>1.930817</v>
      </c>
      <c r="T7175">
        <v>-0.18223890000000001</v>
      </c>
      <c r="U7175">
        <v>-2.4313349999999998</v>
      </c>
      <c r="V7175">
        <v>-7.4615890000000004E-2</v>
      </c>
      <c r="W7175">
        <v>1.480651E-2</v>
      </c>
      <c r="X7175">
        <v>0.99710240000000006</v>
      </c>
      <c r="Y7175">
        <v>-0.31948749999999998</v>
      </c>
      <c r="Z7175">
        <v>5.8405409999999998E-2</v>
      </c>
      <c r="AA7175">
        <v>0.94578890000000004</v>
      </c>
      <c r="AB7175">
        <v>18</v>
      </c>
      <c r="AC7175">
        <v>11.740399999999999</v>
      </c>
      <c r="AD7175">
        <v>-1.11482067164</v>
      </c>
      <c r="AE7175">
        <v>-14.702220000000001</v>
      </c>
      <c r="AF7175">
        <v>-6.0587567333904504</v>
      </c>
      <c r="AG7175">
        <v>-1.11482067164</v>
      </c>
      <c r="AH7175">
        <v>17.7429172038308</v>
      </c>
      <c r="AI7175">
        <v>93.402842126757406</v>
      </c>
      <c r="AJ7175">
        <v>108.853736123243</v>
      </c>
      <c r="AK7175">
        <v>18.781971919538002</v>
      </c>
      <c r="AL7175">
        <v>89.151618449895196</v>
      </c>
      <c r="AM7175">
        <v>94.2796226851585</v>
      </c>
      <c r="AN7175">
        <v>0.99999997993231504</v>
      </c>
    </row>
    <row r="7176" spans="1:40" x14ac:dyDescent="0.25">
      <c r="A7176" t="str">
        <f>"20190312154106911"</f>
        <v>20190312154106911</v>
      </c>
      <c r="B7176" t="str">
        <f>"1552376466903211"</f>
        <v>1552376466903211</v>
      </c>
      <c r="C7176" t="s">
        <v>40</v>
      </c>
      <c r="D7176">
        <v>3.745085</v>
      </c>
      <c r="E7176">
        <v>0.40563149999999998</v>
      </c>
      <c r="F7176" t="s">
        <v>69</v>
      </c>
      <c r="G7176">
        <v>-402.9187</v>
      </c>
      <c r="H7176" s="1">
        <v>-5.058585E-6</v>
      </c>
      <c r="I7176">
        <v>21.16657</v>
      </c>
      <c r="J7176">
        <v>-420.0881</v>
      </c>
      <c r="K7176">
        <v>1.1147929999999999</v>
      </c>
      <c r="L7176">
        <v>43.029110000000003</v>
      </c>
      <c r="M7176">
        <v>0.34598499999999999</v>
      </c>
      <c r="N7176">
        <v>0</v>
      </c>
      <c r="O7176">
        <v>-0.93812280000000003</v>
      </c>
      <c r="P7176">
        <v>0.41417949999999998</v>
      </c>
      <c r="Q7176">
        <v>7.4964509999999999E-4</v>
      </c>
      <c r="R7176">
        <v>-0.91019519999999998</v>
      </c>
      <c r="S7176">
        <v>1.905975</v>
      </c>
      <c r="T7176">
        <v>-0.12326479999999999</v>
      </c>
      <c r="U7176">
        <v>-2.4350890000000001</v>
      </c>
      <c r="V7176">
        <v>-7.3806200000000002E-2</v>
      </c>
      <c r="W7176">
        <v>1.476884E-2</v>
      </c>
      <c r="X7176">
        <v>0.99716320000000003</v>
      </c>
      <c r="Y7176">
        <v>-0.30529640000000002</v>
      </c>
      <c r="Z7176">
        <v>3.9527729999999997E-2</v>
      </c>
      <c r="AA7176">
        <v>0.95143659999999997</v>
      </c>
      <c r="AB7176">
        <v>18</v>
      </c>
      <c r="AC7176">
        <v>17.1693999999999</v>
      </c>
      <c r="AD7176">
        <v>-1.1147980585849999</v>
      </c>
      <c r="AE7176">
        <v>-21.862539999999999</v>
      </c>
      <c r="AF7176">
        <v>-8.5301161441697904</v>
      </c>
      <c r="AG7176">
        <v>-1.1147980585849999</v>
      </c>
      <c r="AH7176">
        <v>26.410537744047801</v>
      </c>
      <c r="AI7176">
        <v>92.3001772142524</v>
      </c>
      <c r="AJ7176">
        <v>107.899498824275</v>
      </c>
      <c r="AK7176">
        <v>27.776287730260499</v>
      </c>
      <c r="AL7176">
        <v>89.153777001629706</v>
      </c>
      <c r="AM7176">
        <v>94.233095177392499</v>
      </c>
      <c r="AN7176">
        <v>0.99999996061381202</v>
      </c>
    </row>
    <row r="7177" spans="1:40" x14ac:dyDescent="0.25">
      <c r="A7177" t="str">
        <f>"20190312154106933"</f>
        <v>20190312154106933</v>
      </c>
      <c r="B7177" t="str">
        <f>"1552376466923708"</f>
        <v>1552376466923708</v>
      </c>
      <c r="C7177" t="s">
        <v>40</v>
      </c>
      <c r="D7177">
        <v>3.7581020000000001</v>
      </c>
      <c r="E7177">
        <v>0.40567350000000002</v>
      </c>
      <c r="F7177" t="s">
        <v>42</v>
      </c>
      <c r="G7177">
        <v>-398.1207</v>
      </c>
      <c r="H7177" s="1">
        <v>-1.8032149999999999E-6</v>
      </c>
      <c r="I7177">
        <v>15.4922</v>
      </c>
      <c r="J7177">
        <v>-420.0179</v>
      </c>
      <c r="K7177">
        <v>1.1147689999999999</v>
      </c>
      <c r="L7177">
        <v>42.868409999999997</v>
      </c>
      <c r="M7177">
        <v>0.35400609999999999</v>
      </c>
      <c r="N7177">
        <v>0</v>
      </c>
      <c r="O7177">
        <v>-0.9351256</v>
      </c>
      <c r="P7177">
        <v>0.42141679999999998</v>
      </c>
      <c r="Q7177">
        <v>1.372907E-3</v>
      </c>
      <c r="R7177">
        <v>-0.90686639999999996</v>
      </c>
      <c r="S7177">
        <v>1.929138</v>
      </c>
      <c r="T7177">
        <v>-9.7899319999999998E-2</v>
      </c>
      <c r="U7177">
        <v>-2.4182429999999999</v>
      </c>
      <c r="V7177">
        <v>-7.32159E-2</v>
      </c>
      <c r="W7177">
        <v>1.539486E-2</v>
      </c>
      <c r="X7177">
        <v>0.99719729999999995</v>
      </c>
      <c r="Y7177">
        <v>-0.30613600000000002</v>
      </c>
      <c r="Z7177">
        <v>3.1340439999999997E-2</v>
      </c>
      <c r="AA7177">
        <v>0.95147179999999998</v>
      </c>
      <c r="AB7177">
        <v>18</v>
      </c>
      <c r="AC7177">
        <v>21.897200000000002</v>
      </c>
      <c r="AD7177">
        <v>-1.1147708032150001</v>
      </c>
      <c r="AE7177">
        <v>-27.37621</v>
      </c>
      <c r="AF7177">
        <v>-10.775576105223299</v>
      </c>
      <c r="AG7177">
        <v>-1.1147708032150001</v>
      </c>
      <c r="AH7177">
        <v>33.321907783837403</v>
      </c>
      <c r="AI7177">
        <v>91.823200572313795</v>
      </c>
      <c r="AJ7177">
        <v>107.920072721449</v>
      </c>
      <c r="AK7177">
        <v>35.038625725015599</v>
      </c>
      <c r="AL7177">
        <v>89.117904661409696</v>
      </c>
      <c r="AM7177">
        <v>94.199217510518196</v>
      </c>
      <c r="AN7177">
        <v>1.0000000124272499</v>
      </c>
    </row>
    <row r="7178" spans="1:40" x14ac:dyDescent="0.25">
      <c r="A7178" t="str">
        <f>"20190312154106946"</f>
        <v>20190312154106946</v>
      </c>
      <c r="B7178" t="str">
        <f>"1552376466933468"</f>
        <v>1552376466933468</v>
      </c>
      <c r="C7178" t="s">
        <v>40</v>
      </c>
      <c r="D7178">
        <v>3.7205539999999999</v>
      </c>
      <c r="E7178">
        <v>0.4060742</v>
      </c>
      <c r="F7178" t="s">
        <v>42</v>
      </c>
      <c r="G7178">
        <v>-395.38099999999997</v>
      </c>
      <c r="H7178" s="1">
        <v>-3.6586279999999999E-6</v>
      </c>
      <c r="I7178">
        <v>12.47306</v>
      </c>
      <c r="J7178">
        <v>-419.97750000000002</v>
      </c>
      <c r="K7178">
        <v>1.114751</v>
      </c>
      <c r="L7178">
        <v>42.777560000000001</v>
      </c>
      <c r="M7178">
        <v>0.35853930000000001</v>
      </c>
      <c r="N7178">
        <v>0</v>
      </c>
      <c r="O7178">
        <v>-0.93339709999999998</v>
      </c>
      <c r="P7178">
        <v>0.42565999999999998</v>
      </c>
      <c r="Q7178">
        <v>1.641296E-3</v>
      </c>
      <c r="R7178">
        <v>-0.90488199999999996</v>
      </c>
      <c r="S7178">
        <v>1.9478150000000001</v>
      </c>
      <c r="T7178">
        <v>-8.8134649999999995E-2</v>
      </c>
      <c r="U7178">
        <v>-2.403076</v>
      </c>
      <c r="V7178">
        <v>-7.3050599999999993E-2</v>
      </c>
      <c r="W7178">
        <v>1.5662329999999999E-2</v>
      </c>
      <c r="X7178">
        <v>0.99720529999999996</v>
      </c>
      <c r="Y7178">
        <v>-0.30897790000000003</v>
      </c>
      <c r="Z7178">
        <v>2.820462E-2</v>
      </c>
      <c r="AA7178">
        <v>0.95065089999999997</v>
      </c>
      <c r="AB7178">
        <v>18</v>
      </c>
      <c r="AC7178">
        <v>24.596499999999999</v>
      </c>
      <c r="AD7178">
        <v>-1.1147546586279999</v>
      </c>
      <c r="AE7178">
        <v>-30.304500000000001</v>
      </c>
      <c r="AF7178">
        <v>-12.0844166129979</v>
      </c>
      <c r="AG7178">
        <v>-1.1147546586279999</v>
      </c>
      <c r="AH7178">
        <v>37.078768717103699</v>
      </c>
      <c r="AI7178">
        <v>91.637336311773495</v>
      </c>
      <c r="AJ7178">
        <v>108.051411976186</v>
      </c>
      <c r="AK7178">
        <v>39.014239610710099</v>
      </c>
      <c r="AL7178">
        <v>89.102577949171703</v>
      </c>
      <c r="AM7178">
        <v>94.189737217188494</v>
      </c>
      <c r="AN7178">
        <v>1.0000000545447301</v>
      </c>
    </row>
    <row r="7179" spans="1:40" x14ac:dyDescent="0.25">
      <c r="A7179" t="str">
        <f>"20190312154106958"</f>
        <v>20190312154106958</v>
      </c>
      <c r="B7179" t="str">
        <f>"1552376466953963"</f>
        <v>1552376466953963</v>
      </c>
      <c r="C7179" t="s">
        <v>40</v>
      </c>
      <c r="D7179">
        <v>3.7174209999999999</v>
      </c>
      <c r="E7179">
        <v>0.4070859</v>
      </c>
      <c r="F7179" t="s">
        <v>42</v>
      </c>
      <c r="G7179">
        <v>-393.72739999999999</v>
      </c>
      <c r="H7179" s="1">
        <v>-4.782601E-6</v>
      </c>
      <c r="I7179">
        <v>10.63537</v>
      </c>
      <c r="J7179">
        <v>-419.93340000000001</v>
      </c>
      <c r="K7179">
        <v>1.114735</v>
      </c>
      <c r="L7179">
        <v>42.67953</v>
      </c>
      <c r="M7179">
        <v>0.36342649999999999</v>
      </c>
      <c r="N7179">
        <v>0</v>
      </c>
      <c r="O7179">
        <v>-0.93150529999999998</v>
      </c>
      <c r="P7179">
        <v>0.4304848</v>
      </c>
      <c r="Q7179">
        <v>1.7300869999999999E-3</v>
      </c>
      <c r="R7179">
        <v>-0.90259670000000003</v>
      </c>
      <c r="S7179">
        <v>1.956207</v>
      </c>
      <c r="T7179">
        <v>-8.3073620000000001E-2</v>
      </c>
      <c r="U7179">
        <v>-2.3952939999999998</v>
      </c>
      <c r="V7179">
        <v>-7.3147970000000007E-2</v>
      </c>
      <c r="W7179">
        <v>1.5747199999999999E-2</v>
      </c>
      <c r="X7179">
        <v>0.99719679999999999</v>
      </c>
      <c r="Y7179">
        <v>-0.30753340000000001</v>
      </c>
      <c r="Z7179">
        <v>2.655484E-2</v>
      </c>
      <c r="AA7179">
        <v>0.95116670000000003</v>
      </c>
      <c r="AB7179">
        <v>18</v>
      </c>
      <c r="AC7179">
        <v>26.206</v>
      </c>
      <c r="AD7179">
        <v>-1.1147397826009999</v>
      </c>
      <c r="AE7179">
        <v>-32.044159999999998</v>
      </c>
      <c r="AF7179">
        <v>-12.7574779776831</v>
      </c>
      <c r="AG7179">
        <v>-1.1147397826009999</v>
      </c>
      <c r="AH7179">
        <v>39.349038018438399</v>
      </c>
      <c r="AI7179">
        <v>91.543665981736794</v>
      </c>
      <c r="AJ7179">
        <v>107.96337915945701</v>
      </c>
      <c r="AK7179">
        <v>41.380462565206997</v>
      </c>
      <c r="AL7179">
        <v>89.097714633688994</v>
      </c>
      <c r="AM7179">
        <v>94.1953374733868</v>
      </c>
      <c r="AN7179">
        <v>1.0000000288766</v>
      </c>
    </row>
    <row r="7180" spans="1:40" x14ac:dyDescent="0.25">
      <c r="A7180" t="str">
        <f>"20190312154106971"</f>
        <v>20190312154106971</v>
      </c>
      <c r="B7180" t="str">
        <f>"1552376466963724"</f>
        <v>1552376466963724</v>
      </c>
      <c r="C7180" t="s">
        <v>40</v>
      </c>
      <c r="D7180">
        <v>3.7388690000000002</v>
      </c>
      <c r="E7180">
        <v>0.4075994</v>
      </c>
      <c r="F7180" t="s">
        <v>42</v>
      </c>
      <c r="G7180">
        <v>-392.78289999999998</v>
      </c>
      <c r="H7180">
        <v>3.2587900000000003E-2</v>
      </c>
      <c r="I7180">
        <v>9.6163360000000004</v>
      </c>
      <c r="J7180">
        <v>-419.89030000000002</v>
      </c>
      <c r="K7180">
        <v>1.114716</v>
      </c>
      <c r="L7180">
        <v>42.585140000000003</v>
      </c>
      <c r="M7180">
        <v>0.36813410000000002</v>
      </c>
      <c r="N7180">
        <v>0</v>
      </c>
      <c r="O7180">
        <v>-0.9296548</v>
      </c>
      <c r="P7180">
        <v>0.43522300000000003</v>
      </c>
      <c r="Q7180">
        <v>1.9441580000000001E-3</v>
      </c>
      <c r="R7180">
        <v>-0.90032080000000003</v>
      </c>
      <c r="S7180">
        <v>1.9613339999999999</v>
      </c>
      <c r="T7180">
        <v>-7.8173399999999907E-2</v>
      </c>
      <c r="U7180">
        <v>-2.388458</v>
      </c>
      <c r="V7180">
        <v>-7.3346969999999997E-2</v>
      </c>
      <c r="W7180">
        <v>1.5956499999999998E-2</v>
      </c>
      <c r="X7180">
        <v>0.99717889999999998</v>
      </c>
      <c r="Y7180">
        <v>-0.3052993</v>
      </c>
      <c r="Z7180">
        <v>2.496667E-2</v>
      </c>
      <c r="AA7180">
        <v>0.95192909999999997</v>
      </c>
      <c r="AB7180">
        <v>18</v>
      </c>
      <c r="AC7180">
        <v>27.107399999999998</v>
      </c>
      <c r="AD7180">
        <v>-1.0821281</v>
      </c>
      <c r="AE7180">
        <v>-32.968803999999999</v>
      </c>
      <c r="AF7180">
        <v>-13.0566231427717</v>
      </c>
      <c r="AG7180">
        <v>-1.0821281</v>
      </c>
      <c r="AH7180">
        <v>40.607117821775397</v>
      </c>
      <c r="AI7180">
        <v>91.453257131160896</v>
      </c>
      <c r="AJ7180">
        <v>107.824432914407</v>
      </c>
      <c r="AK7180">
        <v>42.668307054636301</v>
      </c>
      <c r="AL7180">
        <v>89.085721160970493</v>
      </c>
      <c r="AM7180">
        <v>94.206785267615203</v>
      </c>
      <c r="AN7180">
        <v>1.00000007325281</v>
      </c>
    </row>
    <row r="7181" spans="1:40" x14ac:dyDescent="0.25">
      <c r="A7181" t="str">
        <f>"20190312154106985"</f>
        <v>20190312154106985</v>
      </c>
      <c r="B7181" t="str">
        <f>"1552376466973483"</f>
        <v>1552376466973483</v>
      </c>
      <c r="C7181" t="s">
        <v>40</v>
      </c>
      <c r="D7181">
        <v>3.7677930000000002</v>
      </c>
      <c r="E7181">
        <v>0.40807009999999999</v>
      </c>
      <c r="F7181" t="s">
        <v>42</v>
      </c>
      <c r="G7181">
        <v>-392.22579999999999</v>
      </c>
      <c r="H7181">
        <v>7.9985849999999997E-2</v>
      </c>
      <c r="I7181">
        <v>9.1678709999999999</v>
      </c>
      <c r="J7181">
        <v>-419.84800000000001</v>
      </c>
      <c r="K7181">
        <v>1.1146969999999901</v>
      </c>
      <c r="L7181">
        <v>42.493870000000001</v>
      </c>
      <c r="M7181">
        <v>0.37268050000000003</v>
      </c>
      <c r="N7181">
        <v>0</v>
      </c>
      <c r="O7181">
        <v>-0.92784160000000004</v>
      </c>
      <c r="P7181">
        <v>0.43957299999999999</v>
      </c>
      <c r="Q7181">
        <v>1.272385E-3</v>
      </c>
      <c r="R7181">
        <v>-0.89820599999999995</v>
      </c>
      <c r="S7181">
        <v>1.9701839999999999</v>
      </c>
      <c r="T7181">
        <v>-7.3690530000000004E-2</v>
      </c>
      <c r="U7181">
        <v>-2.379883</v>
      </c>
      <c r="V7181">
        <v>-7.3280709999999999E-2</v>
      </c>
      <c r="W7181">
        <v>1.528329E-2</v>
      </c>
      <c r="X7181">
        <v>0.99719420000000003</v>
      </c>
      <c r="Y7181">
        <v>-0.30444559999999998</v>
      </c>
      <c r="Z7181">
        <v>2.351286E-2</v>
      </c>
      <c r="AA7181">
        <v>0.95223950000000002</v>
      </c>
      <c r="AB7181">
        <v>18</v>
      </c>
      <c r="AC7181">
        <v>27.622199999999999</v>
      </c>
      <c r="AD7181">
        <v>-1.0347111499999999</v>
      </c>
      <c r="AE7181">
        <v>-33.325998999999896</v>
      </c>
      <c r="AF7181">
        <v>-13.202979776421801</v>
      </c>
      <c r="AG7181">
        <v>-1.0347111499999999</v>
      </c>
      <c r="AH7181">
        <v>41.1964810006465</v>
      </c>
      <c r="AI7181">
        <v>91.370148623037593</v>
      </c>
      <c r="AJ7181">
        <v>107.770033673642</v>
      </c>
      <c r="AK7181">
        <v>43.272847710512103</v>
      </c>
      <c r="AL7181">
        <v>89.1242978550478</v>
      </c>
      <c r="AM7181">
        <v>94.202934321640399</v>
      </c>
      <c r="AN7181">
        <v>0.99999995696248301</v>
      </c>
    </row>
    <row r="7182" spans="1:40" x14ac:dyDescent="0.25">
      <c r="A7182" t="str">
        <f>"20190312154107000"</f>
        <v>20190312154107000</v>
      </c>
      <c r="B7182" t="str">
        <f>"1552376466993979"</f>
        <v>1552376466993979</v>
      </c>
      <c r="C7182" t="s">
        <v>40</v>
      </c>
      <c r="D7182">
        <v>3.7690610000000002</v>
      </c>
      <c r="E7182">
        <v>0.40914889999999998</v>
      </c>
      <c r="F7182" t="s">
        <v>42</v>
      </c>
      <c r="G7182">
        <v>-392.41460000000001</v>
      </c>
      <c r="H7182">
        <v>5.984329E-2</v>
      </c>
      <c r="I7182">
        <v>9.6064779999999992</v>
      </c>
      <c r="J7182">
        <v>-419.79300000000001</v>
      </c>
      <c r="K7182">
        <v>1.1146720000000001</v>
      </c>
      <c r="L7182">
        <v>42.376399999999997</v>
      </c>
      <c r="M7182">
        <v>0.37852479999999999</v>
      </c>
      <c r="N7182">
        <v>0</v>
      </c>
      <c r="O7182">
        <v>-0.92547290000000004</v>
      </c>
      <c r="P7182">
        <v>0.44529970000000002</v>
      </c>
      <c r="Q7182">
        <v>1.1564050000000001E-3</v>
      </c>
      <c r="R7182">
        <v>-0.89538130000000005</v>
      </c>
      <c r="S7182">
        <v>1.978485</v>
      </c>
      <c r="T7182">
        <v>-7.6075669999999998E-2</v>
      </c>
      <c r="U7182">
        <v>-2.371826</v>
      </c>
      <c r="V7182">
        <v>-7.3357399999999906E-2</v>
      </c>
      <c r="W7182">
        <v>1.516314E-2</v>
      </c>
      <c r="X7182">
        <v>0.99719040000000003</v>
      </c>
      <c r="Y7182">
        <v>-0.30198059999999899</v>
      </c>
      <c r="Z7182">
        <v>2.423227E-2</v>
      </c>
      <c r="AA7182">
        <v>0.95300600000000002</v>
      </c>
      <c r="AB7182">
        <v>18</v>
      </c>
      <c r="AC7182">
        <v>27.378399999999999</v>
      </c>
      <c r="AD7182">
        <v>-1.05482870999999</v>
      </c>
      <c r="AE7182">
        <v>-32.769921999999902</v>
      </c>
      <c r="AF7182">
        <v>-12.9272666193765</v>
      </c>
      <c r="AG7182">
        <v>-1.05482870999999</v>
      </c>
      <c r="AH7182">
        <v>40.670715019098097</v>
      </c>
      <c r="AI7182">
        <v>91.415907219173405</v>
      </c>
      <c r="AJ7182">
        <v>107.632960752741</v>
      </c>
      <c r="AK7182">
        <v>42.6888035206022</v>
      </c>
      <c r="AL7182">
        <v>89.131182744932701</v>
      </c>
      <c r="AM7182">
        <v>94.207332980967394</v>
      </c>
      <c r="AN7182">
        <v>0.99999996140078895</v>
      </c>
    </row>
    <row r="7183" spans="1:40" x14ac:dyDescent="0.25">
      <c r="A7183" t="str">
        <f>"20190312154107013"</f>
        <v>20190312154107013</v>
      </c>
      <c r="B7183" t="str">
        <f>"1552376467003740"</f>
        <v>1552376467003740</v>
      </c>
      <c r="C7183" t="s">
        <v>40</v>
      </c>
      <c r="D7183">
        <v>3.8044560000000001</v>
      </c>
      <c r="E7183">
        <v>0.40969529999999899</v>
      </c>
      <c r="F7183" t="s">
        <v>42</v>
      </c>
      <c r="G7183">
        <v>-392.25810000000001</v>
      </c>
      <c r="H7183" s="1">
        <v>-5.6176259999999997E-6</v>
      </c>
      <c r="I7183">
        <v>9.6176069999999996</v>
      </c>
      <c r="J7183">
        <v>-419.74880000000002</v>
      </c>
      <c r="K7183">
        <v>1.1146560000000001</v>
      </c>
      <c r="L7183">
        <v>42.283839999999998</v>
      </c>
      <c r="M7183">
        <v>0.3831251</v>
      </c>
      <c r="N7183">
        <v>0</v>
      </c>
      <c r="O7183">
        <v>-0.92357789999999995</v>
      </c>
      <c r="P7183">
        <v>0.44971179999999999</v>
      </c>
      <c r="Q7183">
        <v>9.775738999999999E-4</v>
      </c>
      <c r="R7183">
        <v>-0.89317349999999995</v>
      </c>
      <c r="S7183">
        <v>1.986084</v>
      </c>
      <c r="T7183">
        <v>-8.0401420000000001E-2</v>
      </c>
      <c r="U7183">
        <v>-2.3628849999999999</v>
      </c>
      <c r="V7183">
        <v>-7.3312420000000003E-2</v>
      </c>
      <c r="W7183">
        <v>1.498244E-2</v>
      </c>
      <c r="X7183">
        <v>0.99719650000000004</v>
      </c>
      <c r="Y7183">
        <v>-0.30078359999999998</v>
      </c>
      <c r="Z7183">
        <v>2.55885E-2</v>
      </c>
      <c r="AA7183">
        <v>0.95334909999999995</v>
      </c>
      <c r="AB7183">
        <v>18</v>
      </c>
      <c r="AC7183">
        <v>27.4907</v>
      </c>
      <c r="AD7183">
        <v>-1.11466161762599</v>
      </c>
      <c r="AE7183">
        <v>-32.666232999999998</v>
      </c>
      <c r="AF7183">
        <v>-12.8671887904316</v>
      </c>
      <c r="AG7183">
        <v>-1.11466161762599</v>
      </c>
      <c r="AH7183">
        <v>40.678918555650696</v>
      </c>
      <c r="AI7183">
        <v>91.496548400153699</v>
      </c>
      <c r="AJ7183">
        <v>107.552735134774</v>
      </c>
      <c r="AK7183">
        <v>42.679988668551502</v>
      </c>
      <c r="AL7183">
        <v>89.141537321034505</v>
      </c>
      <c r="AM7183">
        <v>94.2047368289996</v>
      </c>
      <c r="AN7183">
        <v>1.00000002202342</v>
      </c>
    </row>
    <row r="7184" spans="1:40" x14ac:dyDescent="0.25">
      <c r="A7184" t="str">
        <f>"20190312154107027"</f>
        <v>20190312154107027</v>
      </c>
      <c r="B7184" t="str">
        <f>"1552376467023259"</f>
        <v>1552376467023259</v>
      </c>
      <c r="C7184" t="s">
        <v>40</v>
      </c>
      <c r="D7184">
        <v>3.8175690000000002</v>
      </c>
      <c r="E7184">
        <v>0.41928710000000002</v>
      </c>
      <c r="F7184" t="s">
        <v>42</v>
      </c>
      <c r="G7184">
        <v>-392.87049999999999</v>
      </c>
      <c r="H7184" s="1">
        <v>-5.1392519999999996E-6</v>
      </c>
      <c r="I7184">
        <v>10.53162</v>
      </c>
      <c r="J7184">
        <v>-419.70370000000003</v>
      </c>
      <c r="K7184">
        <v>1.114633</v>
      </c>
      <c r="L7184">
        <v>42.190460000000002</v>
      </c>
      <c r="M7184">
        <v>0.38775569999999998</v>
      </c>
      <c r="N7184">
        <v>0</v>
      </c>
      <c r="O7184">
        <v>-0.9216434</v>
      </c>
      <c r="P7184">
        <v>0.45415670000000002</v>
      </c>
      <c r="Q7184">
        <v>1.192544E-3</v>
      </c>
      <c r="R7184">
        <v>-0.89092109999999902</v>
      </c>
      <c r="S7184">
        <v>1.993622</v>
      </c>
      <c r="T7184">
        <v>-8.2676890000000003E-2</v>
      </c>
      <c r="U7184">
        <v>-2.3551329999999999</v>
      </c>
      <c r="V7184">
        <v>-7.3278410000000002E-2</v>
      </c>
      <c r="W7184">
        <v>1.519509E-2</v>
      </c>
      <c r="X7184">
        <v>0.99719579999999997</v>
      </c>
      <c r="Y7184">
        <v>-0.29930800000000002</v>
      </c>
      <c r="Z7184">
        <v>2.6280379999999999E-2</v>
      </c>
      <c r="AA7184">
        <v>0.95379460000000005</v>
      </c>
      <c r="AB7184">
        <v>18</v>
      </c>
      <c r="AC7184">
        <v>26.833200000000001</v>
      </c>
      <c r="AD7184">
        <v>-1.1146381392519999</v>
      </c>
      <c r="AE7184">
        <v>-31.658839999999898</v>
      </c>
      <c r="AF7184">
        <v>-12.4471307959536</v>
      </c>
      <c r="AG7184">
        <v>-1.1146381392519999</v>
      </c>
      <c r="AH7184">
        <v>39.558684977110701</v>
      </c>
      <c r="AI7184">
        <v>91.539608883696005</v>
      </c>
      <c r="AJ7184">
        <v>107.46616973480801</v>
      </c>
      <c r="AK7184">
        <v>41.485696816509297</v>
      </c>
      <c r="AL7184">
        <v>89.129352002073702</v>
      </c>
      <c r="AM7184">
        <v>94.202796161129896</v>
      </c>
      <c r="AN7184">
        <v>1.00000003983493</v>
      </c>
    </row>
    <row r="7185" spans="1:40" x14ac:dyDescent="0.25">
      <c r="A7185" t="str">
        <f>"20190312154107046"</f>
        <v>20190312154107046</v>
      </c>
      <c r="B7185" t="str">
        <f>"1552376467043755"</f>
        <v>1552376467043755</v>
      </c>
      <c r="C7185" t="s">
        <v>40</v>
      </c>
      <c r="D7185">
        <v>3.8294649999999999</v>
      </c>
      <c r="E7185">
        <v>0.41949259999999999</v>
      </c>
      <c r="F7185" t="s">
        <v>42</v>
      </c>
      <c r="G7185">
        <v>-399.84789999999998</v>
      </c>
      <c r="H7185" s="1">
        <v>-5.2422259999999897E-7</v>
      </c>
      <c r="I7185">
        <v>17.806249999999999</v>
      </c>
      <c r="J7185">
        <v>-419.63619999999997</v>
      </c>
      <c r="K7185">
        <v>1.114601</v>
      </c>
      <c r="L7185">
        <v>42.052489999999999</v>
      </c>
      <c r="M7185">
        <v>0.39457690000000001</v>
      </c>
      <c r="N7185">
        <v>0</v>
      </c>
      <c r="O7185">
        <v>-0.91874400000000001</v>
      </c>
      <c r="P7185">
        <v>0.46117089999999999</v>
      </c>
      <c r="Q7185">
        <v>1.9659510000000001E-3</v>
      </c>
      <c r="R7185">
        <v>-0.88730900000000001</v>
      </c>
      <c r="S7185">
        <v>1.9377139999999999</v>
      </c>
      <c r="T7185">
        <v>-0.10877630000000001</v>
      </c>
      <c r="U7185">
        <v>-2.3796390000000001</v>
      </c>
      <c r="V7185">
        <v>-7.3760160000000005E-2</v>
      </c>
      <c r="W7185">
        <v>1.5959359999999999E-2</v>
      </c>
      <c r="X7185">
        <v>0.99714829999999999</v>
      </c>
      <c r="Y7185">
        <v>-0.27377780000000002</v>
      </c>
      <c r="Z7185">
        <v>3.450222E-2</v>
      </c>
      <c r="AA7185">
        <v>0.96117399999999997</v>
      </c>
      <c r="AB7185">
        <v>18</v>
      </c>
      <c r="AC7185">
        <v>19.7882999999999</v>
      </c>
      <c r="AD7185">
        <v>-1.1146015242225999</v>
      </c>
      <c r="AE7185">
        <v>-24.24624</v>
      </c>
      <c r="AF7185">
        <v>-8.6034044849618603</v>
      </c>
      <c r="AG7185">
        <v>-1.1146015242225999</v>
      </c>
      <c r="AH7185">
        <v>30.049267021205601</v>
      </c>
      <c r="AI7185">
        <v>92.042283872842404</v>
      </c>
      <c r="AJ7185">
        <v>105.97694481678199</v>
      </c>
      <c r="AK7185">
        <v>31.2764984261566</v>
      </c>
      <c r="AL7185">
        <v>89.085557204709303</v>
      </c>
      <c r="AM7185">
        <v>94.230527164556804</v>
      </c>
      <c r="AN7185">
        <v>0.99999999728386202</v>
      </c>
    </row>
    <row r="7186" spans="1:40" x14ac:dyDescent="0.25">
      <c r="A7186" t="str">
        <f>"20190312154107061"</f>
        <v>20190312154107061</v>
      </c>
      <c r="B7186" t="str">
        <f>"1552376467053515"</f>
        <v>1552376467053515</v>
      </c>
      <c r="C7186" t="s">
        <v>40</v>
      </c>
      <c r="D7186">
        <v>3.8079670000000001</v>
      </c>
      <c r="E7186">
        <v>0.41926940000000001</v>
      </c>
      <c r="F7186" t="s">
        <v>42</v>
      </c>
      <c r="G7186">
        <v>-399.22050000000002</v>
      </c>
      <c r="H7186" s="1">
        <v>-8.8568129999999998E-7</v>
      </c>
      <c r="I7186">
        <v>17.35331</v>
      </c>
      <c r="J7186">
        <v>-419.58569999999997</v>
      </c>
      <c r="K7186">
        <v>1.1145689999999999</v>
      </c>
      <c r="L7186">
        <v>41.950870000000002</v>
      </c>
      <c r="M7186">
        <v>0.3995823</v>
      </c>
      <c r="N7186">
        <v>0</v>
      </c>
      <c r="O7186">
        <v>-0.91657849999999996</v>
      </c>
      <c r="P7186">
        <v>0.46605609999999997</v>
      </c>
      <c r="Q7186">
        <v>1.838606E-3</v>
      </c>
      <c r="R7186">
        <v>-0.88475349999999997</v>
      </c>
      <c r="S7186">
        <v>1.954987</v>
      </c>
      <c r="T7186">
        <v>-0.1067333</v>
      </c>
      <c r="U7186">
        <v>-2.365173</v>
      </c>
      <c r="V7186">
        <v>-7.3815939999999997E-2</v>
      </c>
      <c r="W7186">
        <v>1.5828729999999999E-2</v>
      </c>
      <c r="X7186">
        <v>0.99714619999999998</v>
      </c>
      <c r="Y7186">
        <v>-0.27560380000000001</v>
      </c>
      <c r="Z7186">
        <v>3.3819910000000002E-2</v>
      </c>
      <c r="AA7186">
        <v>0.96067619999999998</v>
      </c>
      <c r="AB7186">
        <v>18</v>
      </c>
      <c r="AC7186">
        <v>20.365199999999898</v>
      </c>
      <c r="AD7186">
        <v>-1.1145698856813</v>
      </c>
      <c r="AE7186">
        <v>-24.597560000000001</v>
      </c>
      <c r="AF7186">
        <v>-8.8277638991985103</v>
      </c>
      <c r="AG7186">
        <v>-1.1145698856813</v>
      </c>
      <c r="AH7186">
        <v>30.6491747683508</v>
      </c>
      <c r="AI7186">
        <v>92.001374890162495</v>
      </c>
      <c r="AJ7186">
        <v>106.06778421011001</v>
      </c>
      <c r="AK7186">
        <v>31.9146298031322</v>
      </c>
      <c r="AL7186">
        <v>89.093042648669496</v>
      </c>
      <c r="AM7186">
        <v>94.233723691844503</v>
      </c>
      <c r="AN7186">
        <v>0.99999994293296601</v>
      </c>
    </row>
    <row r="7187" spans="1:40" x14ac:dyDescent="0.25">
      <c r="A7187" t="str">
        <f>"20190312154107074"</f>
        <v>20190312154107074</v>
      </c>
      <c r="B7187" t="str">
        <f>"1552376467063276"</f>
        <v>1552376467063276</v>
      </c>
      <c r="C7187" t="s">
        <v>40</v>
      </c>
      <c r="D7187">
        <v>3.8255949999999999</v>
      </c>
      <c r="E7187">
        <v>0.41958839999999997</v>
      </c>
      <c r="F7187" t="s">
        <v>42</v>
      </c>
      <c r="G7187">
        <v>-398.2056</v>
      </c>
      <c r="H7187" s="1">
        <v>-1.5284229999999901E-6</v>
      </c>
      <c r="I7187">
        <v>16.4025</v>
      </c>
      <c r="J7187">
        <v>-419.53519999999997</v>
      </c>
      <c r="K7187">
        <v>1.1145350000000001</v>
      </c>
      <c r="L7187">
        <v>41.850740000000002</v>
      </c>
      <c r="M7187">
        <v>0.4044953</v>
      </c>
      <c r="N7187">
        <v>0</v>
      </c>
      <c r="O7187">
        <v>-0.91442109999999999</v>
      </c>
      <c r="P7187">
        <v>0.47079939999999998</v>
      </c>
      <c r="Q7187">
        <v>1.268641E-3</v>
      </c>
      <c r="R7187">
        <v>-0.88223980000000002</v>
      </c>
      <c r="S7187">
        <v>1.9695130000000001</v>
      </c>
      <c r="T7187">
        <v>-0.1026729</v>
      </c>
      <c r="U7187">
        <v>-2.353485</v>
      </c>
      <c r="V7187">
        <v>-7.3810909999999993E-2</v>
      </c>
      <c r="W7187">
        <v>1.525659E-2</v>
      </c>
      <c r="X7187">
        <v>0.99715549999999997</v>
      </c>
      <c r="Y7187">
        <v>-0.27631169999999999</v>
      </c>
      <c r="Z7187">
        <v>3.2487479999999999E-2</v>
      </c>
      <c r="AA7187">
        <v>0.96051880000000001</v>
      </c>
      <c r="AB7187">
        <v>18</v>
      </c>
      <c r="AC7187">
        <v>21.3295999999999</v>
      </c>
      <c r="AD7187">
        <v>-1.114536528423</v>
      </c>
      <c r="AE7187">
        <v>-25.448239999999998</v>
      </c>
      <c r="AF7187">
        <v>-9.2011787107796899</v>
      </c>
      <c r="AG7187">
        <v>-1.114536528423</v>
      </c>
      <c r="AH7187">
        <v>31.865700595586699</v>
      </c>
      <c r="AI7187">
        <v>91.924600163850002</v>
      </c>
      <c r="AJ7187">
        <v>106.10600292156199</v>
      </c>
      <c r="AK7187">
        <v>33.186243472084499</v>
      </c>
      <c r="AL7187">
        <v>89.125827826976007</v>
      </c>
      <c r="AM7187">
        <v>94.233396904649197</v>
      </c>
      <c r="AN7187">
        <v>0.99999995257685104</v>
      </c>
    </row>
    <row r="7188" spans="1:40" x14ac:dyDescent="0.25">
      <c r="A7188" t="str">
        <f>"20190312154107087"</f>
        <v>20190312154107087</v>
      </c>
      <c r="B7188" t="str">
        <f>"1552376467074012"</f>
        <v>1552376467074012</v>
      </c>
      <c r="C7188" t="s">
        <v>40</v>
      </c>
      <c r="D7188">
        <v>3.816462</v>
      </c>
      <c r="E7188">
        <v>0.42002679999999998</v>
      </c>
      <c r="F7188" t="s">
        <v>42</v>
      </c>
      <c r="G7188">
        <v>-398.13459999999998</v>
      </c>
      <c r="H7188" s="1">
        <v>-1.5268280000000001E-6</v>
      </c>
      <c r="I7188">
        <v>16.510899999999999</v>
      </c>
      <c r="J7188">
        <v>-419.48899999999998</v>
      </c>
      <c r="K7188">
        <v>1.114501</v>
      </c>
      <c r="L7188">
        <v>41.760440000000003</v>
      </c>
      <c r="M7188">
        <v>0.4089083</v>
      </c>
      <c r="N7188">
        <v>0</v>
      </c>
      <c r="O7188">
        <v>-0.9124563</v>
      </c>
      <c r="P7188">
        <v>0.4749332</v>
      </c>
      <c r="Q7188">
        <v>6.5434769999999905E-4</v>
      </c>
      <c r="R7188">
        <v>-0.88002190000000002</v>
      </c>
      <c r="S7188">
        <v>1.9797359999999999</v>
      </c>
      <c r="T7188">
        <v>-0.103104</v>
      </c>
      <c r="U7188">
        <v>-2.344147</v>
      </c>
      <c r="V7188">
        <v>-7.3664179999999996E-2</v>
      </c>
      <c r="W7188">
        <v>1.464154E-2</v>
      </c>
      <c r="X7188">
        <v>0.99717560000000005</v>
      </c>
      <c r="Y7188">
        <v>-0.27599669999999998</v>
      </c>
      <c r="Z7188">
        <v>3.2582420000000001E-2</v>
      </c>
      <c r="AA7188">
        <v>0.96060619999999997</v>
      </c>
      <c r="AB7188">
        <v>18</v>
      </c>
      <c r="AC7188">
        <v>21.354399999999998</v>
      </c>
      <c r="AD7188">
        <v>-1.114502526828</v>
      </c>
      <c r="AE7188">
        <v>-25.24954</v>
      </c>
      <c r="AF7188">
        <v>-9.1508126704365598</v>
      </c>
      <c r="AG7188">
        <v>-1.114502526828</v>
      </c>
      <c r="AH7188">
        <v>31.7384985699385</v>
      </c>
      <c r="AI7188">
        <v>91.932469840837598</v>
      </c>
      <c r="AJ7188">
        <v>106.08327740734001</v>
      </c>
      <c r="AK7188">
        <v>33.050140391316297</v>
      </c>
      <c r="AL7188">
        <v>89.1610715610596</v>
      </c>
      <c r="AM7188">
        <v>94.2249269104653</v>
      </c>
      <c r="AN7188">
        <v>0.99999998167200099</v>
      </c>
    </row>
    <row r="7189" spans="1:40" x14ac:dyDescent="0.25">
      <c r="A7189" t="str">
        <f>"20190312154107102"</f>
        <v>20190312154107102</v>
      </c>
      <c r="B7189" t="str">
        <f>"1552376467093532"</f>
        <v>1552376467093532</v>
      </c>
      <c r="C7189" t="s">
        <v>40</v>
      </c>
      <c r="D7189">
        <v>3.8165300000000002</v>
      </c>
      <c r="E7189">
        <v>0.42108410000000002</v>
      </c>
      <c r="F7189" t="s">
        <v>42</v>
      </c>
      <c r="G7189">
        <v>-398.0471</v>
      </c>
      <c r="H7189" s="1">
        <v>-1.548742E-6</v>
      </c>
      <c r="I7189">
        <v>16.55481</v>
      </c>
      <c r="J7189">
        <v>-419.4384</v>
      </c>
      <c r="K7189">
        <v>1.1144609999999999</v>
      </c>
      <c r="L7189">
        <v>41.662230000000001</v>
      </c>
      <c r="M7189">
        <v>0.41368709999999997</v>
      </c>
      <c r="N7189">
        <v>0</v>
      </c>
      <c r="O7189">
        <v>-0.91029970000000004</v>
      </c>
      <c r="P7189">
        <v>0.4790103</v>
      </c>
      <c r="Q7189">
        <v>-9.8848579999999994E-4</v>
      </c>
      <c r="R7189">
        <v>-0.87780899999999995</v>
      </c>
      <c r="S7189">
        <v>1.987549</v>
      </c>
      <c r="T7189">
        <v>-0.103308399999999</v>
      </c>
      <c r="U7189">
        <v>-2.3364259999999999</v>
      </c>
      <c r="V7189">
        <v>-7.3043880000000005E-2</v>
      </c>
      <c r="W7189">
        <v>1.300281E-2</v>
      </c>
      <c r="X7189">
        <v>0.99724389999999996</v>
      </c>
      <c r="Y7189">
        <v>-0.2743853</v>
      </c>
      <c r="Z7189">
        <v>3.2594039999999998E-2</v>
      </c>
      <c r="AA7189">
        <v>0.96106729999999996</v>
      </c>
      <c r="AB7189">
        <v>18</v>
      </c>
      <c r="AC7189">
        <v>21.391300000000001</v>
      </c>
      <c r="AD7189">
        <v>-1.1144625487419999</v>
      </c>
      <c r="AE7189">
        <v>-25.107420000000001</v>
      </c>
      <c r="AF7189">
        <v>-9.0765044428503501</v>
      </c>
      <c r="AG7189">
        <v>-1.1144625487419999</v>
      </c>
      <c r="AH7189">
        <v>31.671872624267198</v>
      </c>
      <c r="AI7189">
        <v>91.937356521321405</v>
      </c>
      <c r="AJ7189">
        <v>105.99120885595801</v>
      </c>
      <c r="AK7189">
        <v>32.965625660700503</v>
      </c>
      <c r="AL7189">
        <v>89.254972824567005</v>
      </c>
      <c r="AM7189">
        <v>94.189191592579107</v>
      </c>
      <c r="AN7189">
        <v>0.99999993878027804</v>
      </c>
    </row>
    <row r="7190" spans="1:40" x14ac:dyDescent="0.25">
      <c r="A7190" t="str">
        <f>"20190312154107115"</f>
        <v>20190312154107115</v>
      </c>
      <c r="B7190" t="str">
        <f>"1552376467103291"</f>
        <v>1552376467103291</v>
      </c>
      <c r="C7190" t="s">
        <v>40</v>
      </c>
      <c r="D7190">
        <v>3.845237</v>
      </c>
      <c r="E7190">
        <v>0.42108410000000002</v>
      </c>
      <c r="F7190" t="s">
        <v>42</v>
      </c>
      <c r="G7190">
        <v>-398.5883</v>
      </c>
      <c r="H7190" s="1">
        <v>-1.1546050000000001E-6</v>
      </c>
      <c r="I7190">
        <v>17.255120000000002</v>
      </c>
      <c r="J7190">
        <v>-419.39060000000001</v>
      </c>
      <c r="K7190">
        <v>1.1144210000000001</v>
      </c>
      <c r="L7190">
        <v>41.570529999999998</v>
      </c>
      <c r="M7190">
        <v>0.418126</v>
      </c>
      <c r="N7190">
        <v>0</v>
      </c>
      <c r="O7190">
        <v>-0.90826949999999995</v>
      </c>
      <c r="P7190">
        <v>0.48308230000000002</v>
      </c>
      <c r="Q7190">
        <v>-1.3911479999999901E-3</v>
      </c>
      <c r="R7190">
        <v>-0.87557379999999996</v>
      </c>
      <c r="S7190">
        <v>1.9912110000000001</v>
      </c>
      <c r="T7190">
        <v>-0.1064322</v>
      </c>
      <c r="U7190">
        <v>-2.330902</v>
      </c>
      <c r="V7190">
        <v>-7.2802199999999997E-2</v>
      </c>
      <c r="W7190">
        <v>1.260039E-2</v>
      </c>
      <c r="X7190">
        <v>0.99726680000000001</v>
      </c>
      <c r="Y7190">
        <v>-0.27166410000000002</v>
      </c>
      <c r="Z7190">
        <v>3.3528769999999999E-2</v>
      </c>
      <c r="AA7190">
        <v>0.96180790000000005</v>
      </c>
      <c r="AB7190">
        <v>18</v>
      </c>
      <c r="AC7190">
        <v>20.802299999999999</v>
      </c>
      <c r="AD7190">
        <v>-1.1144221546049999</v>
      </c>
      <c r="AE7190">
        <v>-24.31541</v>
      </c>
      <c r="AF7190">
        <v>-8.7175640931413394</v>
      </c>
      <c r="AG7190">
        <v>-1.1144221546049999</v>
      </c>
      <c r="AH7190">
        <v>30.748976619510401</v>
      </c>
      <c r="AI7190">
        <v>91.997000762863294</v>
      </c>
      <c r="AJ7190">
        <v>105.828428570844</v>
      </c>
      <c r="AK7190">
        <v>31.9802661590534</v>
      </c>
      <c r="AL7190">
        <v>89.278031727651793</v>
      </c>
      <c r="AM7190">
        <v>94.175284393374596</v>
      </c>
      <c r="AN7190">
        <v>1.0000000002676099</v>
      </c>
    </row>
    <row r="7191" spans="1:40" x14ac:dyDescent="0.25">
      <c r="A7191" t="str">
        <f>"20190312154107127"</f>
        <v>20190312154107127</v>
      </c>
      <c r="B7191" t="str">
        <f>"1552376467114027"</f>
        <v>1552376467114027</v>
      </c>
      <c r="C7191" t="s">
        <v>40</v>
      </c>
      <c r="D7191">
        <v>3.8151760000000001</v>
      </c>
      <c r="E7191">
        <v>0.42706440000000001</v>
      </c>
      <c r="F7191" t="s">
        <v>42</v>
      </c>
      <c r="G7191">
        <v>-398.65690000000001</v>
      </c>
      <c r="H7191" s="1">
        <v>-1.0561510000000001E-6</v>
      </c>
      <c r="I7191">
        <v>17.52609</v>
      </c>
      <c r="J7191">
        <v>-419.34379999999999</v>
      </c>
      <c r="K7191">
        <v>1.1143829999999999</v>
      </c>
      <c r="L7191">
        <v>41.482120000000002</v>
      </c>
      <c r="M7191">
        <v>0.42237989999999997</v>
      </c>
      <c r="N7191">
        <v>0</v>
      </c>
      <c r="O7191">
        <v>-0.90629939999999998</v>
      </c>
      <c r="P7191">
        <v>0.48708129999999999</v>
      </c>
      <c r="Q7191">
        <v>-1.1933549999999999E-3</v>
      </c>
      <c r="R7191">
        <v>-0.87335589999999996</v>
      </c>
      <c r="S7191">
        <v>2.0019529999999999</v>
      </c>
      <c r="T7191">
        <v>-0.1076037</v>
      </c>
      <c r="U7191">
        <v>-2.321625</v>
      </c>
      <c r="V7191">
        <v>-7.2687899999999903E-2</v>
      </c>
      <c r="W7191">
        <v>1.279683E-2</v>
      </c>
      <c r="X7191">
        <v>0.99727259999999995</v>
      </c>
      <c r="Y7191">
        <v>-0.27159719999999998</v>
      </c>
      <c r="Z7191">
        <v>3.3848950000000003E-2</v>
      </c>
      <c r="AA7191">
        <v>0.96181559999999999</v>
      </c>
      <c r="AB7191">
        <v>18</v>
      </c>
      <c r="AC7191">
        <v>20.686899999999898</v>
      </c>
      <c r="AD7191">
        <v>-1.1143840561509999</v>
      </c>
      <c r="AE7191">
        <v>-23.956029999999998</v>
      </c>
      <c r="AF7191">
        <v>-8.6202289623879906</v>
      </c>
      <c r="AG7191">
        <v>-1.1143840561509999</v>
      </c>
      <c r="AH7191">
        <v>30.414663641591201</v>
      </c>
      <c r="AI7191">
        <v>92.018908897129094</v>
      </c>
      <c r="AJ7191">
        <v>105.82397355183301</v>
      </c>
      <c r="AK7191">
        <v>31.632293050294798</v>
      </c>
      <c r="AL7191">
        <v>89.266775610667594</v>
      </c>
      <c r="AM7191">
        <v>94.168728134411296</v>
      </c>
      <c r="AN7191">
        <v>0.99999996418760795</v>
      </c>
    </row>
    <row r="7192" spans="1:40" x14ac:dyDescent="0.25">
      <c r="A7192" t="str">
        <f>"20190312154107146"</f>
        <v>20190312154107146</v>
      </c>
      <c r="B7192" t="str">
        <f>"1552376467133548"</f>
        <v>1552376467133548</v>
      </c>
      <c r="C7192" t="s">
        <v>40</v>
      </c>
      <c r="D7192">
        <v>3.8621340000000002</v>
      </c>
      <c r="E7192">
        <v>0.42669879999999999</v>
      </c>
      <c r="F7192" t="s">
        <v>42</v>
      </c>
      <c r="G7192">
        <v>-399.28179999999998</v>
      </c>
      <c r="H7192" s="1">
        <v>-7.6837109999999895E-7</v>
      </c>
      <c r="I7192">
        <v>17.705679999999901</v>
      </c>
      <c r="J7192">
        <v>-419.274</v>
      </c>
      <c r="K7192">
        <v>1.114322</v>
      </c>
      <c r="L7192">
        <v>41.351619999999997</v>
      </c>
      <c r="M7192">
        <v>0.42861290000000002</v>
      </c>
      <c r="N7192">
        <v>0</v>
      </c>
      <c r="O7192">
        <v>-0.90336859999999997</v>
      </c>
      <c r="P7192">
        <v>0.49257309999999999</v>
      </c>
      <c r="Q7192">
        <v>-4.3465240000000003E-4</v>
      </c>
      <c r="R7192">
        <v>-0.87027099999999902</v>
      </c>
      <c r="S7192">
        <v>1.9707950000000001</v>
      </c>
      <c r="T7192">
        <v>-0.10947220000000001</v>
      </c>
      <c r="U7192">
        <v>-2.335693</v>
      </c>
      <c r="V7192">
        <v>-7.210511E-2</v>
      </c>
      <c r="W7192">
        <v>1.3557319999999999E-2</v>
      </c>
      <c r="X7192">
        <v>0.99730490000000005</v>
      </c>
      <c r="Y7192">
        <v>-0.25459549999999997</v>
      </c>
      <c r="Z7192">
        <v>3.4331489999999999E-2</v>
      </c>
      <c r="AA7192">
        <v>0.96643809999999997</v>
      </c>
      <c r="AB7192">
        <v>18</v>
      </c>
      <c r="AC7192">
        <v>19.9922</v>
      </c>
      <c r="AD7192">
        <v>-1.1143227683710999</v>
      </c>
      <c r="AE7192">
        <v>-23.64594</v>
      </c>
      <c r="AF7192">
        <v>-7.9159759372088798</v>
      </c>
      <c r="AG7192">
        <v>-1.1143227683710999</v>
      </c>
      <c r="AH7192">
        <v>29.894435096579301</v>
      </c>
      <c r="AI7192">
        <v>92.063667077706796</v>
      </c>
      <c r="AJ7192">
        <v>104.831393063204</v>
      </c>
      <c r="AK7192">
        <v>30.944816044277498</v>
      </c>
      <c r="AL7192">
        <v>89.223198989547399</v>
      </c>
      <c r="AM7192">
        <v>94.135287464440395</v>
      </c>
      <c r="AN7192">
        <v>1.0000000056888501</v>
      </c>
    </row>
    <row r="7193" spans="1:40" x14ac:dyDescent="0.25">
      <c r="A7193" t="str">
        <f>"20190312154107159"</f>
        <v>20190312154107159</v>
      </c>
      <c r="B7193" t="str">
        <f>"1552376467154044"</f>
        <v>1552376467154044</v>
      </c>
      <c r="C7193" t="s">
        <v>40</v>
      </c>
      <c r="D7193">
        <v>3.7562259999999998</v>
      </c>
      <c r="E7193">
        <v>0.41368250000000001</v>
      </c>
      <c r="F7193" t="s">
        <v>42</v>
      </c>
      <c r="G7193">
        <v>-396.67759999999998</v>
      </c>
      <c r="H7193" s="1">
        <v>-2.499371E-6</v>
      </c>
      <c r="I7193">
        <v>14.958589999999999</v>
      </c>
      <c r="J7193">
        <v>-419.22399999999999</v>
      </c>
      <c r="K7193">
        <v>1.114279</v>
      </c>
      <c r="L7193">
        <v>41.259399999999999</v>
      </c>
      <c r="M7193">
        <v>0.43298550000000002</v>
      </c>
      <c r="N7193">
        <v>0</v>
      </c>
      <c r="O7193">
        <v>-0.90128109999999995</v>
      </c>
      <c r="P7193">
        <v>0.49637150000000002</v>
      </c>
      <c r="Q7193">
        <v>-2.2412699999999999E-4</v>
      </c>
      <c r="R7193">
        <v>-0.86811019999999905</v>
      </c>
      <c r="S7193">
        <v>1.987946</v>
      </c>
      <c r="T7193">
        <v>-9.8034140000000006E-2</v>
      </c>
      <c r="U7193">
        <v>-2.3219599999999998</v>
      </c>
      <c r="V7193">
        <v>-7.1631230000000004E-2</v>
      </c>
      <c r="W7193">
        <v>1.3769969999999999E-2</v>
      </c>
      <c r="X7193">
        <v>0.99733609999999995</v>
      </c>
      <c r="Y7193">
        <v>-0.25693690000000002</v>
      </c>
      <c r="Z7193">
        <v>3.0709730000000001E-2</v>
      </c>
      <c r="AA7193">
        <v>0.96594009999999997</v>
      </c>
      <c r="AB7193">
        <v>18</v>
      </c>
      <c r="AC7193">
        <v>22.546399999999998</v>
      </c>
      <c r="AD7193">
        <v>-1.114281499371</v>
      </c>
      <c r="AE7193">
        <v>-26.300809999999998</v>
      </c>
      <c r="AF7193">
        <v>-8.9245059309970909</v>
      </c>
      <c r="AG7193">
        <v>-1.114281499371</v>
      </c>
      <c r="AH7193">
        <v>33.435707791396403</v>
      </c>
      <c r="AI7193">
        <v>91.8442204885244</v>
      </c>
      <c r="AJ7193">
        <v>104.944722553483</v>
      </c>
      <c r="AK7193">
        <v>34.624196523297002</v>
      </c>
      <c r="AL7193">
        <v>89.211013877029899</v>
      </c>
      <c r="AM7193">
        <v>94.108075336496796</v>
      </c>
      <c r="AN7193">
        <v>0.99999997077416103</v>
      </c>
    </row>
    <row r="7194" spans="1:40" x14ac:dyDescent="0.25">
      <c r="A7194" t="str">
        <f>"20190312154107172"</f>
        <v>20190312154107172</v>
      </c>
      <c r="B7194" t="str">
        <f>"1552376467163804"</f>
        <v>1552376467163804</v>
      </c>
      <c r="C7194" t="s">
        <v>40</v>
      </c>
      <c r="D7194">
        <v>3.8342900000000002</v>
      </c>
      <c r="E7194">
        <v>0.41193350000000001</v>
      </c>
      <c r="F7194" t="s">
        <v>85</v>
      </c>
      <c r="G7194">
        <v>-335.22469999999998</v>
      </c>
      <c r="H7194">
        <v>0.97896700000000003</v>
      </c>
      <c r="I7194">
        <v>-49.811799999999998</v>
      </c>
      <c r="J7194">
        <v>-419.17309999999998</v>
      </c>
      <c r="K7194">
        <v>1.1142339999999999</v>
      </c>
      <c r="L7194">
        <v>41.166469999999997</v>
      </c>
      <c r="M7194">
        <v>0.43735750000000001</v>
      </c>
      <c r="N7194">
        <v>0</v>
      </c>
      <c r="O7194">
        <v>-0.89916779999999996</v>
      </c>
      <c r="P7194">
        <v>0.50013730000000001</v>
      </c>
      <c r="Q7194">
        <v>-1.5108379999999999E-4</v>
      </c>
      <c r="R7194">
        <v>-0.86594629999999995</v>
      </c>
      <c r="S7194">
        <v>2.0868530000000001</v>
      </c>
      <c r="T7194">
        <v>-3.3613440000000001E-3</v>
      </c>
      <c r="U7194">
        <v>-2.262543</v>
      </c>
      <c r="V7194">
        <v>-7.1118500000000001E-2</v>
      </c>
      <c r="W7194">
        <v>1.384435E-2</v>
      </c>
      <c r="X7194">
        <v>0.99737180000000003</v>
      </c>
      <c r="Y7194">
        <v>-0.28816989999999998</v>
      </c>
      <c r="Z7194">
        <v>1.0523640000000001E-3</v>
      </c>
      <c r="AA7194">
        <v>0.9575787</v>
      </c>
      <c r="AB7194">
        <v>18</v>
      </c>
      <c r="AC7194">
        <v>83.948399999999907</v>
      </c>
      <c r="AD7194">
        <v>-0.135266999999999</v>
      </c>
      <c r="AE7194">
        <v>-90.978269999999995</v>
      </c>
      <c r="AF7194">
        <v>-35.697476708402597</v>
      </c>
      <c r="AG7194">
        <v>-0.135266999999999</v>
      </c>
      <c r="AH7194">
        <v>118.53283527001599</v>
      </c>
      <c r="AI7194">
        <v>90.062607071159803</v>
      </c>
      <c r="AJ7194">
        <v>106.76025681886399</v>
      </c>
      <c r="AK7194">
        <v>123.79160382536899</v>
      </c>
      <c r="AL7194">
        <v>89.206751839487595</v>
      </c>
      <c r="AM7194">
        <v>94.078624194314102</v>
      </c>
      <c r="AN7194">
        <v>1.0000000072522</v>
      </c>
    </row>
    <row r="7195" spans="1:40" x14ac:dyDescent="0.25">
      <c r="A7195" t="str">
        <f>"20190312154107186"</f>
        <v>20190312154107186</v>
      </c>
      <c r="B7195" t="str">
        <f>"1552376467173564"</f>
        <v>1552376467173564</v>
      </c>
      <c r="C7195" t="s">
        <v>40</v>
      </c>
      <c r="D7195">
        <v>3.831658</v>
      </c>
      <c r="E7195">
        <v>0.41188550000000002</v>
      </c>
      <c r="F7195" t="s">
        <v>85</v>
      </c>
      <c r="G7195">
        <v>-335.22469999999998</v>
      </c>
      <c r="H7195">
        <v>0.74068780000000001</v>
      </c>
      <c r="I7195">
        <v>-48.253329999999998</v>
      </c>
      <c r="J7195">
        <v>-419.12419999999997</v>
      </c>
      <c r="K7195">
        <v>1.1141890000000001</v>
      </c>
      <c r="L7195">
        <v>41.078310000000002</v>
      </c>
      <c r="M7195">
        <v>0.44147649999999999</v>
      </c>
      <c r="N7195">
        <v>0</v>
      </c>
      <c r="O7195">
        <v>-0.89715279999999997</v>
      </c>
      <c r="P7195">
        <v>0.50355819999999996</v>
      </c>
      <c r="Q7195">
        <v>-2.3152350000000001E-4</v>
      </c>
      <c r="R7195">
        <v>-0.86396149999999905</v>
      </c>
      <c r="S7195">
        <v>2.1089169999999999</v>
      </c>
      <c r="T7195">
        <v>-9.3837980000000005E-3</v>
      </c>
      <c r="U7195">
        <v>-2.2463679999999999</v>
      </c>
      <c r="V7195">
        <v>-7.0486989999999999E-2</v>
      </c>
      <c r="W7195">
        <v>1.376616E-2</v>
      </c>
      <c r="X7195">
        <v>0.99741769999999996</v>
      </c>
      <c r="Y7195">
        <v>-0.29222169999999997</v>
      </c>
      <c r="Z7195">
        <v>2.9334299999999999E-3</v>
      </c>
      <c r="AA7195">
        <v>0.95634609999999998</v>
      </c>
      <c r="AB7195">
        <v>18</v>
      </c>
      <c r="AC7195">
        <v>83.899499999999904</v>
      </c>
      <c r="AD7195">
        <v>-0.37350119999999898</v>
      </c>
      <c r="AE7195">
        <v>-89.331639999999993</v>
      </c>
      <c r="AF7195">
        <v>-35.836377705381203</v>
      </c>
      <c r="AG7195">
        <v>-0.37350119999999898</v>
      </c>
      <c r="AH7195">
        <v>117.19532002555</v>
      </c>
      <c r="AI7195">
        <v>90.174619580116499</v>
      </c>
      <c r="AJ7195">
        <v>107.00275975332499</v>
      </c>
      <c r="AK7195">
        <v>122.55255405776001</v>
      </c>
      <c r="AL7195">
        <v>89.211232214229895</v>
      </c>
      <c r="AM7195">
        <v>94.042342482395398</v>
      </c>
      <c r="AN7195">
        <v>0.99999999559684705</v>
      </c>
    </row>
    <row r="7196" spans="1:40" x14ac:dyDescent="0.25">
      <c r="A7196" t="str">
        <f>"20190312154107198"</f>
        <v>20190312154107198</v>
      </c>
      <c r="B7196" t="str">
        <f>"1552376467194060"</f>
        <v>1552376467194060</v>
      </c>
      <c r="C7196" t="s">
        <v>40</v>
      </c>
      <c r="D7196">
        <v>3.8188390000000001</v>
      </c>
      <c r="E7196">
        <v>0.41219919999999999</v>
      </c>
      <c r="F7196" t="s">
        <v>85</v>
      </c>
      <c r="G7196">
        <v>-335.8073</v>
      </c>
      <c r="H7196">
        <v>0.5769358</v>
      </c>
      <c r="I7196">
        <v>-46.961599999999997</v>
      </c>
      <c r="J7196">
        <v>-419.07619999999997</v>
      </c>
      <c r="K7196">
        <v>1.1141509999999999</v>
      </c>
      <c r="L7196">
        <v>40.992280000000001</v>
      </c>
      <c r="M7196">
        <v>0.44547500000000001</v>
      </c>
      <c r="N7196">
        <v>0</v>
      </c>
      <c r="O7196">
        <v>-0.89517420000000003</v>
      </c>
      <c r="P7196">
        <v>0.50679770000000002</v>
      </c>
      <c r="Q7196">
        <v>-3.0924570000000001E-4</v>
      </c>
      <c r="R7196">
        <v>-0.86206479999999996</v>
      </c>
      <c r="S7196">
        <v>2.1178889999999999</v>
      </c>
      <c r="T7196">
        <v>-1.36565E-2</v>
      </c>
      <c r="U7196">
        <v>-2.237946</v>
      </c>
      <c r="V7196">
        <v>-6.9778859999999998E-2</v>
      </c>
      <c r="W7196">
        <v>1.3691299999999899E-2</v>
      </c>
      <c r="X7196">
        <v>0.99746849999999998</v>
      </c>
      <c r="Y7196">
        <v>-0.29177069999999999</v>
      </c>
      <c r="Z7196">
        <v>4.2624480000000003E-3</v>
      </c>
      <c r="AA7196">
        <v>0.95647879999999996</v>
      </c>
      <c r="AB7196">
        <v>18</v>
      </c>
      <c r="AC7196">
        <v>83.268899999999903</v>
      </c>
      <c r="AD7196">
        <v>-0.5372152</v>
      </c>
      <c r="AE7196">
        <v>-87.953879999999998</v>
      </c>
      <c r="AF7196">
        <v>-35.362025369276601</v>
      </c>
      <c r="AG7196">
        <v>-0.5372152</v>
      </c>
      <c r="AH7196">
        <v>115.838442206106</v>
      </c>
      <c r="AI7196">
        <v>90.254136803216696</v>
      </c>
      <c r="AJ7196">
        <v>106.975868985852</v>
      </c>
      <c r="AK7196">
        <v>121.116911003897</v>
      </c>
      <c r="AL7196">
        <v>89.2155217642091</v>
      </c>
      <c r="AM7196">
        <v>94.001661559967701</v>
      </c>
      <c r="AN7196">
        <v>0.99999997474541902</v>
      </c>
    </row>
    <row r="7197" spans="1:40" x14ac:dyDescent="0.25">
      <c r="A7197" t="str">
        <f>"20190312154107212"</f>
        <v>20190312154107212</v>
      </c>
      <c r="B7197" t="str">
        <f>"1552376467203820"</f>
        <v>1552376467203820</v>
      </c>
      <c r="C7197" t="s">
        <v>40</v>
      </c>
      <c r="D7197">
        <v>3.8299780000000001</v>
      </c>
      <c r="E7197">
        <v>0.41258850000000002</v>
      </c>
      <c r="F7197" t="s">
        <v>85</v>
      </c>
      <c r="G7197">
        <v>-335.80739999999997</v>
      </c>
      <c r="H7197">
        <v>0.2479391</v>
      </c>
      <c r="I7197">
        <v>-46.454700000000003</v>
      </c>
      <c r="J7197">
        <v>-419.02249999999998</v>
      </c>
      <c r="K7197">
        <v>1.1141019999999999</v>
      </c>
      <c r="L7197">
        <v>40.89734</v>
      </c>
      <c r="M7197">
        <v>0.44984439999999998</v>
      </c>
      <c r="N7197">
        <v>0</v>
      </c>
      <c r="O7197">
        <v>-0.89298690000000003</v>
      </c>
      <c r="P7197">
        <v>0.50971729999999904</v>
      </c>
      <c r="Q7197">
        <v>-1.154891E-4</v>
      </c>
      <c r="R7197">
        <v>-0.86034259999999996</v>
      </c>
      <c r="S7197">
        <v>2.1244510000000001</v>
      </c>
      <c r="T7197">
        <v>-2.2099489999999999E-2</v>
      </c>
      <c r="U7197">
        <v>-2.2310490000000001</v>
      </c>
      <c r="V7197">
        <v>-6.8285589999999993E-2</v>
      </c>
      <c r="W7197">
        <v>1.3895370000000001E-2</v>
      </c>
      <c r="X7197">
        <v>0.99756900000000004</v>
      </c>
      <c r="Y7197">
        <v>-0.29003630000000002</v>
      </c>
      <c r="Z7197">
        <v>6.8846460000000003E-3</v>
      </c>
      <c r="AA7197">
        <v>0.95699089999999998</v>
      </c>
      <c r="AB7197">
        <v>18</v>
      </c>
      <c r="AC7197">
        <v>83.215100000000007</v>
      </c>
      <c r="AD7197">
        <v>-0.86616289999999996</v>
      </c>
      <c r="AE7197">
        <v>-87.352040000000002</v>
      </c>
      <c r="AF7197">
        <v>-35.017117660630198</v>
      </c>
      <c r="AG7197">
        <v>-0.86616289999999996</v>
      </c>
      <c r="AH7197">
        <v>115.44450125743801</v>
      </c>
      <c r="AI7197">
        <v>90.411366633075005</v>
      </c>
      <c r="AJ7197">
        <v>106.87382336108099</v>
      </c>
      <c r="AK7197">
        <v>120.641541924854</v>
      </c>
      <c r="AL7197">
        <v>89.203828287159993</v>
      </c>
      <c r="AM7197">
        <v>93.915901924005794</v>
      </c>
      <c r="AN7197">
        <v>0.99999995643504103</v>
      </c>
    </row>
    <row r="7198" spans="1:40" x14ac:dyDescent="0.25">
      <c r="A7198" t="str">
        <f>"20190312154107236"</f>
        <v>20190312154107236</v>
      </c>
      <c r="B7198" t="str">
        <f>"1552376467223340"</f>
        <v>1552376467223340</v>
      </c>
      <c r="C7198" t="s">
        <v>40</v>
      </c>
      <c r="D7198">
        <v>3.8540040000000002</v>
      </c>
      <c r="E7198">
        <v>0.41327959999999903</v>
      </c>
      <c r="F7198" t="s">
        <v>85</v>
      </c>
      <c r="G7198">
        <v>-335.47300000000001</v>
      </c>
      <c r="H7198">
        <v>0.25428440000000002</v>
      </c>
      <c r="I7198">
        <v>-46.431570000000001</v>
      </c>
      <c r="J7198">
        <v>-418.9341</v>
      </c>
      <c r="K7198">
        <v>1.1140319999999999</v>
      </c>
      <c r="L7198">
        <v>40.74277</v>
      </c>
      <c r="M7198">
        <v>0.45689259999999898</v>
      </c>
      <c r="N7198">
        <v>0</v>
      </c>
      <c r="O7198">
        <v>-0.88940169999999996</v>
      </c>
      <c r="P7198">
        <v>0.51512060000000004</v>
      </c>
      <c r="Q7198">
        <v>4.3224920000000002E-4</v>
      </c>
      <c r="R7198">
        <v>-0.85711780000000004</v>
      </c>
      <c r="S7198">
        <v>2.1292110000000002</v>
      </c>
      <c r="T7198">
        <v>-2.191162E-2</v>
      </c>
      <c r="U7198">
        <v>-2.2255250000000002</v>
      </c>
      <c r="V7198">
        <v>-6.6674819999999996E-2</v>
      </c>
      <c r="W7198">
        <v>1.4450350000000001E-2</v>
      </c>
      <c r="X7198">
        <v>0.9976701</v>
      </c>
      <c r="Y7198">
        <v>-0.28471849999999999</v>
      </c>
      <c r="Z7198">
        <v>6.8003949999999999E-3</v>
      </c>
      <c r="AA7198">
        <v>0.95858710000000003</v>
      </c>
      <c r="AB7198">
        <v>18</v>
      </c>
      <c r="AC7198">
        <v>83.461099999999902</v>
      </c>
      <c r="AD7198">
        <v>-0.85974759999999995</v>
      </c>
      <c r="AE7198">
        <v>-87.174340000000001</v>
      </c>
      <c r="AF7198">
        <v>-34.403064967485598</v>
      </c>
      <c r="AG7198">
        <v>-0.85974759999999995</v>
      </c>
      <c r="AH7198">
        <v>115.67225972179</v>
      </c>
      <c r="AI7198">
        <v>90.408179558684594</v>
      </c>
      <c r="AJ7198">
        <v>106.56344934604699</v>
      </c>
      <c r="AK7198">
        <v>120.68298021775099</v>
      </c>
      <c r="AL7198">
        <v>89.172027104296305</v>
      </c>
      <c r="AM7198">
        <v>93.823421778632195</v>
      </c>
      <c r="AN7198">
        <v>0.99999998633558196</v>
      </c>
    </row>
    <row r="7199" spans="1:40" x14ac:dyDescent="0.25">
      <c r="A7199" t="str">
        <f>"20190312154107249"</f>
        <v>20190312154107249</v>
      </c>
      <c r="B7199" t="str">
        <f>"1552376467243835"</f>
        <v>1552376467243835</v>
      </c>
      <c r="C7199" t="s">
        <v>40</v>
      </c>
      <c r="D7199">
        <v>3.891613</v>
      </c>
      <c r="E7199">
        <v>0.41437649999999998</v>
      </c>
      <c r="F7199" t="s">
        <v>85</v>
      </c>
      <c r="G7199">
        <v>-335.22489999999999</v>
      </c>
      <c r="H7199">
        <v>0.20530509999999999</v>
      </c>
      <c r="I7199">
        <v>-45.929630000000003</v>
      </c>
      <c r="J7199">
        <v>-418.88220000000001</v>
      </c>
      <c r="K7199">
        <v>1.1139969999999999</v>
      </c>
      <c r="L7199">
        <v>40.653500000000001</v>
      </c>
      <c r="M7199">
        <v>0.46091500000000002</v>
      </c>
      <c r="N7199">
        <v>0</v>
      </c>
      <c r="O7199">
        <v>-0.8873238</v>
      </c>
      <c r="P7199">
        <v>0.5180998</v>
      </c>
      <c r="Q7199">
        <v>5.971072E-4</v>
      </c>
      <c r="R7199">
        <v>-0.85532019999999997</v>
      </c>
      <c r="S7199">
        <v>2.138916</v>
      </c>
      <c r="T7199">
        <v>-2.321923E-2</v>
      </c>
      <c r="U7199">
        <v>-2.2146300000000001</v>
      </c>
      <c r="V7199">
        <v>-6.5628969999999995E-2</v>
      </c>
      <c r="W7199">
        <v>1.461961E-2</v>
      </c>
      <c r="X7199">
        <v>0.99773699999999999</v>
      </c>
      <c r="Y7199">
        <v>-0.28490389999999999</v>
      </c>
      <c r="Z7199">
        <v>7.1979239999999996E-3</v>
      </c>
      <c r="AA7199">
        <v>0.95852910000000002</v>
      </c>
      <c r="AB7199">
        <v>18</v>
      </c>
      <c r="AC7199">
        <v>83.657300000000006</v>
      </c>
      <c r="AD7199">
        <v>-0.9086919</v>
      </c>
      <c r="AE7199">
        <v>-86.583129999999997</v>
      </c>
      <c r="AF7199">
        <v>-34.325365035647401</v>
      </c>
      <c r="AG7199">
        <v>-0.9086919</v>
      </c>
      <c r="AH7199">
        <v>115.391941911987</v>
      </c>
      <c r="AI7199">
        <v>90.432458005381903</v>
      </c>
      <c r="AJ7199">
        <v>106.566036650161</v>
      </c>
      <c r="AK7199">
        <v>120.39251083028</v>
      </c>
      <c r="AL7199">
        <v>89.162328214028705</v>
      </c>
      <c r="AM7199">
        <v>93.763370332736301</v>
      </c>
      <c r="AN7199">
        <v>1.0000000079344</v>
      </c>
    </row>
    <row r="7200" spans="1:40" x14ac:dyDescent="0.25">
      <c r="A7200" t="str">
        <f>"20190312154107263"</f>
        <v>20190312154107263</v>
      </c>
      <c r="B7200" t="str">
        <f>"1552376467253597"</f>
        <v>1552376467253597</v>
      </c>
      <c r="C7200" t="s">
        <v>40</v>
      </c>
      <c r="D7200">
        <v>3.8988649999999998</v>
      </c>
      <c r="E7200">
        <v>0.41486820000000002</v>
      </c>
      <c r="F7200" t="s">
        <v>85</v>
      </c>
      <c r="G7200">
        <v>-335.22489999999999</v>
      </c>
      <c r="H7200">
        <v>0.12149</v>
      </c>
      <c r="I7200">
        <v>-45.854089999999999</v>
      </c>
      <c r="J7200">
        <v>-418.82560000000001</v>
      </c>
      <c r="K7200">
        <v>1.1139559999999999</v>
      </c>
      <c r="L7200">
        <v>40.556950000000001</v>
      </c>
      <c r="M7200">
        <v>0.4652386</v>
      </c>
      <c r="N7200">
        <v>0</v>
      </c>
      <c r="O7200">
        <v>-0.88506479999999998</v>
      </c>
      <c r="P7200">
        <v>0.52152509999999996</v>
      </c>
      <c r="Q7200">
        <v>9.7609170000000002E-4</v>
      </c>
      <c r="R7200">
        <v>-0.85323519999999897</v>
      </c>
      <c r="S7200">
        <v>2.1389469999999999</v>
      </c>
      <c r="T7200">
        <v>-2.5376079999999999E-2</v>
      </c>
      <c r="U7200">
        <v>-2.2118229999999999</v>
      </c>
      <c r="V7200">
        <v>-6.4763639999999997E-2</v>
      </c>
      <c r="W7200">
        <v>1.500104E-2</v>
      </c>
      <c r="X7200">
        <v>0.99778789999999995</v>
      </c>
      <c r="Y7200">
        <v>-0.28083550000000002</v>
      </c>
      <c r="Z7200">
        <v>7.8498609999999996E-3</v>
      </c>
      <c r="AA7200">
        <v>0.95972380000000002</v>
      </c>
      <c r="AB7200">
        <v>18</v>
      </c>
      <c r="AC7200">
        <v>83.600700000000003</v>
      </c>
      <c r="AD7200">
        <v>-0.99246599999999996</v>
      </c>
      <c r="AE7200">
        <v>-86.41104</v>
      </c>
      <c r="AF7200">
        <v>-33.7915881532264</v>
      </c>
      <c r="AG7200">
        <v>-0.99246599999999996</v>
      </c>
      <c r="AH7200">
        <v>115.378090070242</v>
      </c>
      <c r="AI7200">
        <v>90.472971262453001</v>
      </c>
      <c r="AJ7200">
        <v>106.32409374893901</v>
      </c>
      <c r="AK7200">
        <v>120.228782273362</v>
      </c>
      <c r="AL7200">
        <v>89.140471503908302</v>
      </c>
      <c r="AM7200">
        <v>93.713700476282099</v>
      </c>
      <c r="AN7200">
        <v>1.0000000268267699</v>
      </c>
    </row>
    <row r="7201" spans="1:40" x14ac:dyDescent="0.25">
      <c r="A7201" t="str">
        <f>"20190312154107276"</f>
        <v>20190312154107276</v>
      </c>
      <c r="B7201" t="str">
        <f>"1552376467263356"</f>
        <v>1552376467263356</v>
      </c>
      <c r="C7201" t="s">
        <v>40</v>
      </c>
      <c r="D7201">
        <v>4.0068190000000001</v>
      </c>
      <c r="E7201">
        <v>0.41486820000000002</v>
      </c>
      <c r="F7201" t="s">
        <v>85</v>
      </c>
      <c r="G7201">
        <v>-335.22489999999999</v>
      </c>
      <c r="H7201">
        <v>0.1040397</v>
      </c>
      <c r="I7201">
        <v>-45.399120000000003</v>
      </c>
      <c r="J7201">
        <v>-418.77390000000003</v>
      </c>
      <c r="K7201">
        <v>1.11392</v>
      </c>
      <c r="L7201">
        <v>40.469450000000002</v>
      </c>
      <c r="M7201">
        <v>0.4691266</v>
      </c>
      <c r="N7201">
        <v>0</v>
      </c>
      <c r="O7201">
        <v>-0.88301049999999903</v>
      </c>
      <c r="P7201">
        <v>0.52438869999999904</v>
      </c>
      <c r="Q7201">
        <v>1.723802E-3</v>
      </c>
      <c r="R7201">
        <v>-0.85147759999999995</v>
      </c>
      <c r="S7201">
        <v>2.144714</v>
      </c>
      <c r="T7201">
        <v>-2.590835E-2</v>
      </c>
      <c r="U7201">
        <v>-2.205139</v>
      </c>
      <c r="V7201">
        <v>-6.3732810000000001E-2</v>
      </c>
      <c r="W7201">
        <v>1.575292E-2</v>
      </c>
      <c r="X7201">
        <v>0.99784269999999997</v>
      </c>
      <c r="Y7201">
        <v>-0.27935659999999901</v>
      </c>
      <c r="Z7201">
        <v>8.0008230000000007E-3</v>
      </c>
      <c r="AA7201">
        <v>0.96015410000000001</v>
      </c>
      <c r="AB7201">
        <v>18</v>
      </c>
      <c r="AC7201">
        <v>83.549000000000007</v>
      </c>
      <c r="AD7201">
        <v>-1.0098803000000001</v>
      </c>
      <c r="AE7201">
        <v>-85.868569999999906</v>
      </c>
      <c r="AF7201">
        <v>-33.492596497636399</v>
      </c>
      <c r="AG7201">
        <v>-1.0098803000000001</v>
      </c>
      <c r="AH7201">
        <v>115.02196831743299</v>
      </c>
      <c r="AI7201">
        <v>90.482979780669098</v>
      </c>
      <c r="AJ7201">
        <v>106.23473299200199</v>
      </c>
      <c r="AK7201">
        <v>119.80328490484</v>
      </c>
      <c r="AL7201">
        <v>89.097386870999102</v>
      </c>
      <c r="AM7201">
        <v>93.654551573179504</v>
      </c>
      <c r="AN7201">
        <v>1.0000000397511499</v>
      </c>
    </row>
    <row r="7202" spans="1:40" x14ac:dyDescent="0.25">
      <c r="A7202" t="str">
        <f>"20190312154107291"</f>
        <v>20190312154107291</v>
      </c>
      <c r="B7202" t="str">
        <f>"1552376467283855"</f>
        <v>1552376467283855</v>
      </c>
      <c r="C7202" t="s">
        <v>40</v>
      </c>
      <c r="D7202">
        <v>3.9240240000000002</v>
      </c>
      <c r="E7202">
        <v>0.42269430000000002</v>
      </c>
      <c r="F7202" t="s">
        <v>85</v>
      </c>
      <c r="G7202">
        <v>-335.22489999999999</v>
      </c>
      <c r="H7202">
        <v>0.22072169999999999</v>
      </c>
      <c r="I7202">
        <v>-44.86027</v>
      </c>
      <c r="J7202">
        <v>-418.71390000000002</v>
      </c>
      <c r="K7202">
        <v>1.11389</v>
      </c>
      <c r="L7202">
        <v>40.369140000000002</v>
      </c>
      <c r="M7202">
        <v>0.47354269999999998</v>
      </c>
      <c r="N7202">
        <v>0</v>
      </c>
      <c r="O7202">
        <v>-0.88065000000000004</v>
      </c>
      <c r="P7202">
        <v>0.52714139999999998</v>
      </c>
      <c r="Q7202">
        <v>2.1306049999999998E-3</v>
      </c>
      <c r="R7202">
        <v>-0.84977459999999905</v>
      </c>
      <c r="S7202">
        <v>2.1520999999999999</v>
      </c>
      <c r="T7202">
        <v>-2.3007150000000001E-2</v>
      </c>
      <c r="U7202">
        <v>-2.1979679999999999</v>
      </c>
      <c r="V7202">
        <v>-6.1967050000000003E-2</v>
      </c>
      <c r="W7202">
        <v>1.6169630000000001E-2</v>
      </c>
      <c r="X7202">
        <v>0.99794720000000003</v>
      </c>
      <c r="Y7202">
        <v>-0.27776610000000002</v>
      </c>
      <c r="Z7202">
        <v>7.0889439999999998E-3</v>
      </c>
      <c r="AA7202">
        <v>0.96062259999999999</v>
      </c>
      <c r="AB7202">
        <v>18</v>
      </c>
      <c r="AC7202">
        <v>83.489000000000004</v>
      </c>
      <c r="AD7202">
        <v>-0.89316830000000003</v>
      </c>
      <c r="AE7202">
        <v>-85.229410000000001</v>
      </c>
      <c r="AF7202">
        <v>-33.166494924971602</v>
      </c>
      <c r="AG7202">
        <v>-0.89316830000000003</v>
      </c>
      <c r="AH7202">
        <v>114.59866360142099</v>
      </c>
      <c r="AI7202">
        <v>90.428944967385704</v>
      </c>
      <c r="AJ7202">
        <v>106.14120067789101</v>
      </c>
      <c r="AK7202">
        <v>119.30493633732</v>
      </c>
      <c r="AL7202">
        <v>89.073508062374302</v>
      </c>
      <c r="AM7202">
        <v>93.553191761888499</v>
      </c>
      <c r="AN7202">
        <v>0.99999999310393894</v>
      </c>
    </row>
    <row r="7203" spans="1:40" x14ac:dyDescent="0.25">
      <c r="A7203" t="str">
        <f>"20190312154107303"</f>
        <v>20190312154107303</v>
      </c>
      <c r="B7203" t="str">
        <f>"1552376467293612"</f>
        <v>1552376467293612</v>
      </c>
      <c r="C7203" t="s">
        <v>40</v>
      </c>
      <c r="D7203">
        <v>3.9983059999999999</v>
      </c>
      <c r="E7203">
        <v>0.42379539999999999</v>
      </c>
      <c r="F7203" t="s">
        <v>43</v>
      </c>
      <c r="G7203">
        <v>-358.19199999999898</v>
      </c>
      <c r="H7203">
        <v>-0.05</v>
      </c>
      <c r="I7203">
        <v>-23.515139999999999</v>
      </c>
      <c r="J7203">
        <v>-418.66469999999998</v>
      </c>
      <c r="K7203">
        <v>1.1138589999999999</v>
      </c>
      <c r="L7203">
        <v>40.287509999999997</v>
      </c>
      <c r="M7203">
        <v>0.47711209999999998</v>
      </c>
      <c r="N7203">
        <v>0</v>
      </c>
      <c r="O7203">
        <v>-0.87872169999999905</v>
      </c>
      <c r="P7203">
        <v>0.53008459999999902</v>
      </c>
      <c r="Q7203">
        <v>2.7421709999999998E-3</v>
      </c>
      <c r="R7203">
        <v>-0.84794059999999905</v>
      </c>
      <c r="S7203">
        <v>2.1066280000000002</v>
      </c>
      <c r="T7203">
        <v>-4.0512319999999997E-2</v>
      </c>
      <c r="U7203">
        <v>-2.2236630000000002</v>
      </c>
      <c r="V7203">
        <v>-6.138159E-2</v>
      </c>
      <c r="W7203">
        <v>1.678085E-2</v>
      </c>
      <c r="X7203">
        <v>0.99797329999999995</v>
      </c>
      <c r="Y7203">
        <v>-0.25794280000000003</v>
      </c>
      <c r="Z7203">
        <v>1.245016E-2</v>
      </c>
      <c r="AA7203">
        <v>0.96608000000000005</v>
      </c>
      <c r="AB7203">
        <v>18</v>
      </c>
      <c r="AC7203">
        <v>60.472700000000003</v>
      </c>
      <c r="AD7203">
        <v>-1.163859</v>
      </c>
      <c r="AE7203">
        <v>-63.80265</v>
      </c>
      <c r="AF7203">
        <v>-22.696087906362202</v>
      </c>
      <c r="AG7203">
        <v>-1.163859</v>
      </c>
      <c r="AH7203">
        <v>84.911158057479398</v>
      </c>
      <c r="AI7203">
        <v>90.758661233344597</v>
      </c>
      <c r="AJ7203">
        <v>104.964871466332</v>
      </c>
      <c r="AK7203">
        <v>87.899782347213204</v>
      </c>
      <c r="AL7203">
        <v>89.038482989988793</v>
      </c>
      <c r="AM7203">
        <v>93.519614448744406</v>
      </c>
      <c r="AN7203">
        <v>1.00000000201527</v>
      </c>
    </row>
    <row r="7204" spans="1:40" x14ac:dyDescent="0.25">
      <c r="A7204" t="str">
        <f>"20190312154107316"</f>
        <v>20190312154107316</v>
      </c>
      <c r="B7204" t="str">
        <f>"1552376467303373"</f>
        <v>1552376467303373</v>
      </c>
      <c r="C7204" t="s">
        <v>40</v>
      </c>
      <c r="D7204">
        <v>3.941233</v>
      </c>
      <c r="E7204">
        <v>0.4244019</v>
      </c>
      <c r="F7204" t="s">
        <v>43</v>
      </c>
      <c r="G7204">
        <v>-368.58449999999999</v>
      </c>
      <c r="H7204">
        <v>-0.05</v>
      </c>
      <c r="I7204">
        <v>-12.498860000000001</v>
      </c>
      <c r="J7204">
        <v>-418.61340000000001</v>
      </c>
      <c r="K7204">
        <v>1.113826</v>
      </c>
      <c r="L7204">
        <v>40.203060000000001</v>
      </c>
      <c r="M7204">
        <v>0.48078379999999998</v>
      </c>
      <c r="N7204">
        <v>0</v>
      </c>
      <c r="O7204">
        <v>-0.876718199999999</v>
      </c>
      <c r="P7204">
        <v>0.53313909999999998</v>
      </c>
      <c r="Q7204">
        <v>3.0802220000000001E-3</v>
      </c>
      <c r="R7204">
        <v>-0.84602219999999995</v>
      </c>
      <c r="S7204">
        <v>2.107056</v>
      </c>
      <c r="T7204">
        <v>-4.8967839999999999E-2</v>
      </c>
      <c r="U7204">
        <v>-2.220917</v>
      </c>
      <c r="V7204">
        <v>-6.0808279999999999E-2</v>
      </c>
      <c r="W7204">
        <v>1.7118399999999999E-2</v>
      </c>
      <c r="X7204">
        <v>0.99800259999999996</v>
      </c>
      <c r="Y7204">
        <v>-0.25456630000000002</v>
      </c>
      <c r="Z7204">
        <v>1.501853E-2</v>
      </c>
      <c r="AA7204">
        <v>0.96693870000000004</v>
      </c>
      <c r="AB7204">
        <v>18</v>
      </c>
      <c r="AC7204">
        <v>50.0289</v>
      </c>
      <c r="AD7204">
        <v>-1.163826</v>
      </c>
      <c r="AE7204">
        <v>-52.701919999999902</v>
      </c>
      <c r="AF7204">
        <v>-18.520232103648599</v>
      </c>
      <c r="AG7204">
        <v>-1.163826</v>
      </c>
      <c r="AH7204">
        <v>70.247250976726093</v>
      </c>
      <c r="AI7204">
        <v>90.917808776061406</v>
      </c>
      <c r="AJ7204">
        <v>104.769581596501</v>
      </c>
      <c r="AK7204">
        <v>72.6569319330128</v>
      </c>
      <c r="AL7204">
        <v>89.019139958116298</v>
      </c>
      <c r="AM7204">
        <v>93.486720278705405</v>
      </c>
      <c r="AN7204">
        <v>0.99999993807093701</v>
      </c>
    </row>
    <row r="7205" spans="1:40" x14ac:dyDescent="0.25">
      <c r="A7205" t="str">
        <f>"20190312154107328"</f>
        <v>20190312154107328</v>
      </c>
      <c r="B7205" t="str">
        <f>"1552376467323868"</f>
        <v>1552376467323868</v>
      </c>
      <c r="C7205" t="s">
        <v>40</v>
      </c>
      <c r="D7205">
        <v>3.9810279999999998</v>
      </c>
      <c r="E7205">
        <v>0.42497299999999899</v>
      </c>
      <c r="F7205" t="s">
        <v>43</v>
      </c>
      <c r="G7205">
        <v>-371.74579999999997</v>
      </c>
      <c r="H7205">
        <v>-0.05</v>
      </c>
      <c r="I7205">
        <v>-8.982666</v>
      </c>
      <c r="J7205">
        <v>-418.56580000000002</v>
      </c>
      <c r="K7205">
        <v>1.1137980000000001</v>
      </c>
      <c r="L7205">
        <v>40.125700000000002</v>
      </c>
      <c r="M7205">
        <v>0.48411599999999999</v>
      </c>
      <c r="N7205">
        <v>0</v>
      </c>
      <c r="O7205">
        <v>-0.87488290000000002</v>
      </c>
      <c r="P7205">
        <v>0.53613909999999998</v>
      </c>
      <c r="Q7205">
        <v>3.8963549999999998E-3</v>
      </c>
      <c r="R7205">
        <v>-0.84412089999999995</v>
      </c>
      <c r="S7205">
        <v>2.1112980000000001</v>
      </c>
      <c r="T7205">
        <v>-5.2428250000000003E-2</v>
      </c>
      <c r="U7205">
        <v>-2.2157290000000001</v>
      </c>
      <c r="V7205">
        <v>-6.0560910000000003E-2</v>
      </c>
      <c r="W7205">
        <v>1.7931280000000001E-2</v>
      </c>
      <c r="X7205">
        <v>0.99800339999999998</v>
      </c>
      <c r="Y7205">
        <v>-0.25297449999999999</v>
      </c>
      <c r="Z7205">
        <v>1.605299E-2</v>
      </c>
      <c r="AA7205">
        <v>0.96733979999999997</v>
      </c>
      <c r="AB7205">
        <v>18</v>
      </c>
      <c r="AC7205">
        <v>46.82</v>
      </c>
      <c r="AD7205">
        <v>-1.1637979999999899</v>
      </c>
      <c r="AE7205">
        <v>-49.108365999999997</v>
      </c>
      <c r="AF7205">
        <v>-17.184634777937799</v>
      </c>
      <c r="AG7205">
        <v>-1.1637979999999899</v>
      </c>
      <c r="AH7205">
        <v>65.618021016489607</v>
      </c>
      <c r="AI7205">
        <v>90.982946310640202</v>
      </c>
      <c r="AJ7205">
        <v>104.675545457821</v>
      </c>
      <c r="AK7205">
        <v>67.840922608381305</v>
      </c>
      <c r="AL7205">
        <v>88.972558240393298</v>
      </c>
      <c r="AM7205">
        <v>93.4725681939792</v>
      </c>
      <c r="AN7205">
        <v>0.99999997051701195</v>
      </c>
    </row>
    <row r="7206" spans="1:40" x14ac:dyDescent="0.25">
      <c r="A7206" t="str">
        <f>"20190312154107341"</f>
        <v>20190312154107341</v>
      </c>
      <c r="B7206" t="str">
        <f>"1552376467333627"</f>
        <v>1552376467333627</v>
      </c>
      <c r="C7206" t="s">
        <v>40</v>
      </c>
      <c r="D7206">
        <v>4.005579</v>
      </c>
      <c r="E7206">
        <v>0.4250429</v>
      </c>
      <c r="F7206" t="s">
        <v>43</v>
      </c>
      <c r="G7206">
        <v>-374.6506</v>
      </c>
      <c r="H7206">
        <v>-0.05</v>
      </c>
      <c r="I7206">
        <v>-5.7647250000000003</v>
      </c>
      <c r="J7206">
        <v>-418.51089999999999</v>
      </c>
      <c r="K7206">
        <v>1.113764</v>
      </c>
      <c r="L7206">
        <v>40.036990000000003</v>
      </c>
      <c r="M7206">
        <v>0.48791279999999998</v>
      </c>
      <c r="N7206">
        <v>0</v>
      </c>
      <c r="O7206">
        <v>-0.87277139999999997</v>
      </c>
      <c r="P7206">
        <v>0.53933809999999904</v>
      </c>
      <c r="Q7206">
        <v>4.930037E-3</v>
      </c>
      <c r="R7206">
        <v>-0.84207520000000002</v>
      </c>
      <c r="S7206">
        <v>2.1154790000000001</v>
      </c>
      <c r="T7206">
        <v>-5.6062460000000001E-2</v>
      </c>
      <c r="U7206">
        <v>-2.2106319999999999</v>
      </c>
      <c r="V7206">
        <v>-6.0020089999999998E-2</v>
      </c>
      <c r="W7206">
        <v>1.896393E-2</v>
      </c>
      <c r="X7206">
        <v>0.99801700000000004</v>
      </c>
      <c r="Y7206">
        <v>-0.25082450000000001</v>
      </c>
      <c r="Z7206">
        <v>1.7130090000000001E-2</v>
      </c>
      <c r="AA7206">
        <v>0.96788099999999999</v>
      </c>
      <c r="AB7206">
        <v>18</v>
      </c>
      <c r="AC7206">
        <v>43.860300000000002</v>
      </c>
      <c r="AD7206">
        <v>-1.163764</v>
      </c>
      <c r="AE7206">
        <v>-45.801715000000002</v>
      </c>
      <c r="AF7206">
        <v>-15.9290905438504</v>
      </c>
      <c r="AG7206">
        <v>-1.163764</v>
      </c>
      <c r="AH7206">
        <v>61.360245777669199</v>
      </c>
      <c r="AI7206">
        <v>91.0516948026698</v>
      </c>
      <c r="AJ7206">
        <v>104.552721377206</v>
      </c>
      <c r="AK7206">
        <v>63.404810811939598</v>
      </c>
      <c r="AL7206">
        <v>88.9133816971203</v>
      </c>
      <c r="AM7206">
        <v>93.441585613226394</v>
      </c>
      <c r="AN7206">
        <v>0.99999998706682602</v>
      </c>
    </row>
    <row r="7207" spans="1:40" x14ac:dyDescent="0.25">
      <c r="A7207" t="str">
        <f>"20190312154107352"</f>
        <v>20190312154107352</v>
      </c>
      <c r="B7207" t="str">
        <f>"1552376467343387"</f>
        <v>1552376467343387</v>
      </c>
      <c r="C7207" t="s">
        <v>40</v>
      </c>
      <c r="D7207">
        <v>3.9761500000000001</v>
      </c>
      <c r="E7207">
        <v>0.4251817</v>
      </c>
      <c r="F7207" t="s">
        <v>43</v>
      </c>
      <c r="G7207">
        <v>-374.88639999999998</v>
      </c>
      <c r="H7207">
        <v>-0.05</v>
      </c>
      <c r="I7207">
        <v>-5.2163539999999999</v>
      </c>
      <c r="J7207">
        <v>-418.46449999999999</v>
      </c>
      <c r="K7207">
        <v>1.1137379999999999</v>
      </c>
      <c r="L7207">
        <v>39.962589999999999</v>
      </c>
      <c r="M7207">
        <v>0.49106830000000001</v>
      </c>
      <c r="N7207">
        <v>0</v>
      </c>
      <c r="O7207">
        <v>-0.871</v>
      </c>
      <c r="P7207">
        <v>0.54204379999999996</v>
      </c>
      <c r="Q7207">
        <v>5.6380859999999996E-3</v>
      </c>
      <c r="R7207">
        <v>-0.84033169999999902</v>
      </c>
      <c r="S7207">
        <v>2.123535</v>
      </c>
      <c r="T7207">
        <v>-5.6649089999999999E-2</v>
      </c>
      <c r="U7207">
        <v>-2.20282</v>
      </c>
      <c r="V7207">
        <v>-5.9624770000000001E-2</v>
      </c>
      <c r="W7207">
        <v>1.967E-2</v>
      </c>
      <c r="X7207">
        <v>0.998027</v>
      </c>
      <c r="Y7207">
        <v>-0.25086890000000001</v>
      </c>
      <c r="Z7207">
        <v>1.7284460000000001E-2</v>
      </c>
      <c r="AA7207">
        <v>0.96786680000000003</v>
      </c>
      <c r="AB7207">
        <v>18</v>
      </c>
      <c r="AC7207">
        <v>43.578099999999999</v>
      </c>
      <c r="AD7207">
        <v>-1.1637379999999999</v>
      </c>
      <c r="AE7207">
        <v>-45.178944000000001</v>
      </c>
      <c r="AF7207">
        <v>-15.766822108563501</v>
      </c>
      <c r="AG7207">
        <v>-1.1637379999999999</v>
      </c>
      <c r="AH7207">
        <v>60.736215923503501</v>
      </c>
      <c r="AI7207">
        <v>91.062475319107094</v>
      </c>
      <c r="AJ7207">
        <v>104.55248223759401</v>
      </c>
      <c r="AK7207">
        <v>62.7601377487508</v>
      </c>
      <c r="AL7207">
        <v>88.872919281413303</v>
      </c>
      <c r="AM7207">
        <v>93.418937516274099</v>
      </c>
      <c r="AN7207">
        <v>0.99999995741327496</v>
      </c>
    </row>
    <row r="7208" spans="1:40" x14ac:dyDescent="0.25">
      <c r="A7208" t="str">
        <f>"20190312154107363"</f>
        <v>20190312154107363</v>
      </c>
      <c r="B7208" t="str">
        <f>"1552376467354123"</f>
        <v>1552376467354123</v>
      </c>
      <c r="C7208" t="s">
        <v>40</v>
      </c>
      <c r="D7208">
        <v>4.0158269999999998</v>
      </c>
      <c r="E7208">
        <v>0.42536800000000002</v>
      </c>
      <c r="F7208" t="s">
        <v>43</v>
      </c>
      <c r="G7208">
        <v>-374.68990000000002</v>
      </c>
      <c r="H7208">
        <v>-0.05</v>
      </c>
      <c r="I7208">
        <v>-5.1875609999999996</v>
      </c>
      <c r="J7208">
        <v>-418.41980000000001</v>
      </c>
      <c r="K7208">
        <v>1.1137079999999999</v>
      </c>
      <c r="L7208">
        <v>39.891390000000001</v>
      </c>
      <c r="M7208">
        <v>0.494062</v>
      </c>
      <c r="N7208">
        <v>0</v>
      </c>
      <c r="O7208">
        <v>-0.86930549999999995</v>
      </c>
      <c r="P7208">
        <v>0.54437019999999903</v>
      </c>
      <c r="Q7208">
        <v>6.5765900000000002E-3</v>
      </c>
      <c r="R7208">
        <v>-0.83881949999999905</v>
      </c>
      <c r="S7208">
        <v>2.1297299999999999</v>
      </c>
      <c r="T7208">
        <v>-5.6618450000000001E-2</v>
      </c>
      <c r="U7208">
        <v>-2.1966549999999998</v>
      </c>
      <c r="V7208">
        <v>-5.8965950000000003E-2</v>
      </c>
      <c r="W7208">
        <v>2.060965E-2</v>
      </c>
      <c r="X7208">
        <v>0.99804720000000002</v>
      </c>
      <c r="Y7208">
        <v>-0.2503032</v>
      </c>
      <c r="Z7208">
        <v>1.724881E-2</v>
      </c>
      <c r="AA7208">
        <v>0.96801380000000004</v>
      </c>
      <c r="AB7208">
        <v>18</v>
      </c>
      <c r="AC7208">
        <v>43.729900000000001</v>
      </c>
      <c r="AD7208">
        <v>-1.163708</v>
      </c>
      <c r="AE7208">
        <v>-45.078951000000004</v>
      </c>
      <c r="AF7208">
        <v>-15.7391009449655</v>
      </c>
      <c r="AG7208">
        <v>-1.163708</v>
      </c>
      <c r="AH7208">
        <v>60.778200370416101</v>
      </c>
      <c r="AI7208">
        <v>91.061878060968894</v>
      </c>
      <c r="AJ7208">
        <v>104.518368248546</v>
      </c>
      <c r="AK7208">
        <v>62.793814624782399</v>
      </c>
      <c r="AL7208">
        <v>88.819070399259303</v>
      </c>
      <c r="AM7208">
        <v>93.381180050193194</v>
      </c>
      <c r="AN7208">
        <v>0.99999997718018196</v>
      </c>
    </row>
    <row r="7209" spans="1:40" x14ac:dyDescent="0.25">
      <c r="A7209" t="str">
        <f>"20190312154107375"</f>
        <v>20190312154107375</v>
      </c>
      <c r="B7209" t="str">
        <f>"1552376467363884"</f>
        <v>1552376467363884</v>
      </c>
      <c r="C7209" t="s">
        <v>40</v>
      </c>
      <c r="D7209">
        <v>4.027406</v>
      </c>
      <c r="E7209">
        <v>0.42536800000000002</v>
      </c>
      <c r="F7209" t="s">
        <v>43</v>
      </c>
      <c r="G7209">
        <v>-374.47559999999999</v>
      </c>
      <c r="H7209">
        <v>-0.05</v>
      </c>
      <c r="I7209">
        <v>-5.2199549999999997</v>
      </c>
      <c r="J7209">
        <v>-418.37209999999999</v>
      </c>
      <c r="K7209">
        <v>1.1136699999999999</v>
      </c>
      <c r="L7209">
        <v>39.816009999999999</v>
      </c>
      <c r="M7209">
        <v>0.49721090000000001</v>
      </c>
      <c r="N7209">
        <v>0</v>
      </c>
      <c r="O7209">
        <v>-0.86750849999999902</v>
      </c>
      <c r="P7209">
        <v>0.54711140000000003</v>
      </c>
      <c r="Q7209">
        <v>7.9050939999999997E-3</v>
      </c>
      <c r="R7209">
        <v>-0.83702279999999996</v>
      </c>
      <c r="S7209">
        <v>2.1347960000000001</v>
      </c>
      <c r="T7209">
        <v>-5.6532619999999999E-2</v>
      </c>
      <c r="U7209">
        <v>-2.1914980000000002</v>
      </c>
      <c r="V7209">
        <v>-5.8625450000000003E-2</v>
      </c>
      <c r="W7209">
        <v>2.1935909999999999E-2</v>
      </c>
      <c r="X7209">
        <v>0.99803900000000001</v>
      </c>
      <c r="Y7209">
        <v>-0.24907979999999999</v>
      </c>
      <c r="Z7209">
        <v>1.7191919999999999E-2</v>
      </c>
      <c r="AA7209">
        <v>0.96833040000000004</v>
      </c>
      <c r="AB7209">
        <v>18</v>
      </c>
      <c r="AC7209">
        <v>43.896500000000003</v>
      </c>
      <c r="AD7209">
        <v>-1.16367</v>
      </c>
      <c r="AE7209">
        <v>-45.035964999999997</v>
      </c>
      <c r="AF7209">
        <v>-15.684494314114801</v>
      </c>
      <c r="AG7209">
        <v>-1.16367</v>
      </c>
      <c r="AH7209">
        <v>60.880461794520002</v>
      </c>
      <c r="AI7209">
        <v>91.060402072457606</v>
      </c>
      <c r="AJ7209">
        <v>104.446827460449</v>
      </c>
      <c r="AK7209">
        <v>62.879154877212002</v>
      </c>
      <c r="AL7209">
        <v>88.743064103602094</v>
      </c>
      <c r="AM7209">
        <v>93.361727826181706</v>
      </c>
      <c r="AN7209">
        <v>0.99999998652811495</v>
      </c>
    </row>
    <row r="7210" spans="1:40" x14ac:dyDescent="0.25">
      <c r="A7210" t="str">
        <f>"20190312154107389"</f>
        <v>20190312154107389</v>
      </c>
      <c r="B7210" t="str">
        <f>"1552376467383404"</f>
        <v>1552376467383404</v>
      </c>
      <c r="C7210" t="s">
        <v>40</v>
      </c>
      <c r="D7210">
        <v>3.9451969999999998</v>
      </c>
      <c r="E7210">
        <v>0.42302200000000001</v>
      </c>
      <c r="F7210" t="s">
        <v>43</v>
      </c>
      <c r="G7210">
        <v>-370.76639999999998</v>
      </c>
      <c r="H7210">
        <v>-0.05</v>
      </c>
      <c r="I7210">
        <v>-8.7255710000000004</v>
      </c>
      <c r="J7210">
        <v>-418.32029999999997</v>
      </c>
      <c r="K7210">
        <v>1.113626</v>
      </c>
      <c r="L7210">
        <v>39.734859999999998</v>
      </c>
      <c r="M7210">
        <v>0.50055179999999999</v>
      </c>
      <c r="N7210">
        <v>0</v>
      </c>
      <c r="O7210">
        <v>-0.8655853</v>
      </c>
      <c r="P7210">
        <v>0.55001999999999995</v>
      </c>
      <c r="Q7210">
        <v>8.8191090000000003E-3</v>
      </c>
      <c r="R7210">
        <v>-0.83510499999999899</v>
      </c>
      <c r="S7210">
        <v>2.142242</v>
      </c>
      <c r="T7210">
        <v>-5.2364830000000001E-2</v>
      </c>
      <c r="U7210">
        <v>-2.1843569999999999</v>
      </c>
      <c r="V7210">
        <v>-5.8259230000000002E-2</v>
      </c>
      <c r="W7210">
        <v>2.2847869999999999E-2</v>
      </c>
      <c r="X7210">
        <v>0.99804000000000004</v>
      </c>
      <c r="Y7210">
        <v>-0.24862819999999999</v>
      </c>
      <c r="Z7210">
        <v>1.5896569999999999E-2</v>
      </c>
      <c r="AA7210">
        <v>0.96846849999999995</v>
      </c>
      <c r="AB7210">
        <v>18</v>
      </c>
      <c r="AC7210">
        <v>47.553899999999999</v>
      </c>
      <c r="AD7210">
        <v>-1.163626</v>
      </c>
      <c r="AE7210">
        <v>-48.460431</v>
      </c>
      <c r="AF7210">
        <v>-16.901811458090702</v>
      </c>
      <c r="AG7210">
        <v>-1.163626</v>
      </c>
      <c r="AH7210">
        <v>65.737422288186806</v>
      </c>
      <c r="AI7210">
        <v>90.982156363406105</v>
      </c>
      <c r="AJ7210">
        <v>104.41905865064</v>
      </c>
      <c r="AK7210">
        <v>67.885447226398398</v>
      </c>
      <c r="AL7210">
        <v>88.690799558395298</v>
      </c>
      <c r="AM7210">
        <v>93.340772242083204</v>
      </c>
      <c r="AN7210">
        <v>1.00000000232186</v>
      </c>
    </row>
    <row r="7211" spans="1:40" x14ac:dyDescent="0.25">
      <c r="A7211" t="str">
        <f>"20190312154107400"</f>
        <v>20190312154107400</v>
      </c>
      <c r="B7211" t="str">
        <f>"1552376467393163"</f>
        <v>1552376467393163</v>
      </c>
      <c r="C7211" t="s">
        <v>40</v>
      </c>
      <c r="D7211">
        <v>3.959476</v>
      </c>
      <c r="E7211">
        <v>0.42208909999999999</v>
      </c>
      <c r="F7211" t="s">
        <v>43</v>
      </c>
      <c r="G7211">
        <v>-375.3682</v>
      </c>
      <c r="H7211">
        <v>-0.05</v>
      </c>
      <c r="I7211">
        <v>-3.2384189999999999</v>
      </c>
      <c r="J7211">
        <v>-418.26549999999997</v>
      </c>
      <c r="K7211">
        <v>1.1135699999999999</v>
      </c>
      <c r="L7211">
        <v>39.649349999999998</v>
      </c>
      <c r="M7211">
        <v>0.50403710000000002</v>
      </c>
      <c r="N7211">
        <v>0</v>
      </c>
      <c r="O7211">
        <v>-0.86356069999999996</v>
      </c>
      <c r="P7211">
        <v>0.55307790000000001</v>
      </c>
      <c r="Q7211">
        <v>9.5757280000000004E-3</v>
      </c>
      <c r="R7211">
        <v>-0.83307489999999995</v>
      </c>
      <c r="S7211">
        <v>2.165619</v>
      </c>
      <c r="T7211">
        <v>-5.8669329999999999E-2</v>
      </c>
      <c r="U7211">
        <v>-2.166687</v>
      </c>
      <c r="V7211">
        <v>-5.7901290000000001E-2</v>
      </c>
      <c r="W7211">
        <v>2.3602499999999998E-2</v>
      </c>
      <c r="X7211">
        <v>0.99804320000000002</v>
      </c>
      <c r="Y7211">
        <v>-0.253882</v>
      </c>
      <c r="Z7211">
        <v>1.7783569999999999E-2</v>
      </c>
      <c r="AA7211">
        <v>0.96707169999999998</v>
      </c>
      <c r="AB7211">
        <v>17</v>
      </c>
      <c r="AC7211">
        <v>42.897299999999902</v>
      </c>
      <c r="AD7211">
        <v>-1.16357</v>
      </c>
      <c r="AE7211">
        <v>-42.887768999999999</v>
      </c>
      <c r="AF7211">
        <v>-15.423337072475601</v>
      </c>
      <c r="AG7211">
        <v>-1.16357</v>
      </c>
      <c r="AH7211">
        <v>58.642590786222001</v>
      </c>
      <c r="AI7211">
        <v>91.099321979223802</v>
      </c>
      <c r="AJ7211">
        <v>104.73540849875501</v>
      </c>
      <c r="AK7211">
        <v>60.648055828001503</v>
      </c>
      <c r="AL7211">
        <v>88.647550683941503</v>
      </c>
      <c r="AM7211">
        <v>93.320282248534596</v>
      </c>
      <c r="AN7211">
        <v>0.99999993322807401</v>
      </c>
    </row>
    <row r="7212" spans="1:40" x14ac:dyDescent="0.25">
      <c r="A7212" t="str">
        <f>"20190312154107413"</f>
        <v>20190312154107413</v>
      </c>
      <c r="B7212" t="str">
        <f>"1552376467403900"</f>
        <v>1552376467403900</v>
      </c>
      <c r="C7212" t="s">
        <v>40</v>
      </c>
      <c r="D7212">
        <v>3.9644560000000002</v>
      </c>
      <c r="E7212">
        <v>0.42078310000000002</v>
      </c>
      <c r="F7212" t="s">
        <v>86</v>
      </c>
      <c r="G7212">
        <v>-383.25909999999999</v>
      </c>
      <c r="H7212">
        <v>7.9985780000000006E-2</v>
      </c>
      <c r="I7212">
        <v>5.0521349999999998</v>
      </c>
      <c r="J7212">
        <v>-418.2122</v>
      </c>
      <c r="K7212">
        <v>1.113504</v>
      </c>
      <c r="L7212">
        <v>39.567079999999997</v>
      </c>
      <c r="M7212">
        <v>0.50733289999999998</v>
      </c>
      <c r="N7212">
        <v>0</v>
      </c>
      <c r="O7212">
        <v>-0.86162879999999997</v>
      </c>
      <c r="P7212">
        <v>0.55558909999999995</v>
      </c>
      <c r="Q7212">
        <v>9.5371750000000002E-3</v>
      </c>
      <c r="R7212">
        <v>-0.8314028</v>
      </c>
      <c r="S7212">
        <v>2.1800229999999998</v>
      </c>
      <c r="T7212">
        <v>-6.436646E-2</v>
      </c>
      <c r="U7212">
        <v>-2.154541</v>
      </c>
      <c r="V7212">
        <v>-5.7095140000000003E-2</v>
      </c>
      <c r="W7212">
        <v>2.3565800000000001E-2</v>
      </c>
      <c r="X7212">
        <v>0.99809060000000005</v>
      </c>
      <c r="Y7212">
        <v>-0.25608360000000002</v>
      </c>
      <c r="Z7212">
        <v>1.9480049999999999E-2</v>
      </c>
      <c r="AA7212">
        <v>0.96645829999999999</v>
      </c>
      <c r="AB7212">
        <v>17</v>
      </c>
      <c r="AC7212">
        <v>34.953099999999999</v>
      </c>
      <c r="AD7212">
        <v>-1.0335182199999999</v>
      </c>
      <c r="AE7212">
        <v>-34.514944999999997</v>
      </c>
      <c r="AF7212">
        <v>-12.601770476235499</v>
      </c>
      <c r="AG7212">
        <v>-1.0335182199999999</v>
      </c>
      <c r="AH7212">
        <v>47.455885901448802</v>
      </c>
      <c r="AI7212">
        <v>91.205841235024096</v>
      </c>
      <c r="AJ7212">
        <v>104.87151003307901</v>
      </c>
      <c r="AK7212">
        <v>49.111443531402401</v>
      </c>
      <c r="AL7212">
        <v>88.649654146650406</v>
      </c>
      <c r="AM7212">
        <v>93.274000639598896</v>
      </c>
      <c r="AN7212">
        <v>1.0000000238747999</v>
      </c>
    </row>
    <row r="7213" spans="1:40" x14ac:dyDescent="0.25">
      <c r="A7213" t="str">
        <f>"20190312154107424"</f>
        <v>20190312154107424</v>
      </c>
      <c r="B7213" t="str">
        <f>"1552376467413660"</f>
        <v>1552376467413660</v>
      </c>
      <c r="C7213" t="s">
        <v>40</v>
      </c>
      <c r="D7213">
        <v>3.9153769999999999</v>
      </c>
      <c r="E7213">
        <v>0.4196433</v>
      </c>
      <c r="F7213" t="s">
        <v>86</v>
      </c>
      <c r="G7213">
        <v>-383.49059999999997</v>
      </c>
      <c r="H7213">
        <v>7.9985710000000002E-2</v>
      </c>
      <c r="I7213">
        <v>5.688618</v>
      </c>
      <c r="J7213">
        <v>-418.16680000000002</v>
      </c>
      <c r="K7213">
        <v>1.113435</v>
      </c>
      <c r="L7213">
        <v>39.49738</v>
      </c>
      <c r="M7213">
        <v>0.51007539999999996</v>
      </c>
      <c r="N7213">
        <v>0</v>
      </c>
      <c r="O7213">
        <v>-0.86000829999999995</v>
      </c>
      <c r="P7213">
        <v>0.55820040000000004</v>
      </c>
      <c r="Q7213">
        <v>9.0319500000000004E-3</v>
      </c>
      <c r="R7213">
        <v>-0.82965739999999999</v>
      </c>
      <c r="S7213">
        <v>2.1953740000000002</v>
      </c>
      <c r="T7213">
        <v>-6.5347080000000002E-2</v>
      </c>
      <c r="U7213">
        <v>-2.1420590000000002</v>
      </c>
      <c r="V7213">
        <v>-5.7043459999999997E-2</v>
      </c>
      <c r="W7213">
        <v>2.3057149999999998E-2</v>
      </c>
      <c r="X7213">
        <v>0.99810540000000003</v>
      </c>
      <c r="Y7213">
        <v>-0.25919540000000002</v>
      </c>
      <c r="Z7213">
        <v>1.9753380000000001E-2</v>
      </c>
      <c r="AA7213">
        <v>0.96562289999999995</v>
      </c>
      <c r="AB7213">
        <v>17</v>
      </c>
      <c r="AC7213">
        <v>34.676200000000001</v>
      </c>
      <c r="AD7213">
        <v>-1.0334492900000001</v>
      </c>
      <c r="AE7213">
        <v>-33.808762000000002</v>
      </c>
      <c r="AF7213">
        <v>-12.572390423957801</v>
      </c>
      <c r="AG7213">
        <v>-1.0334492900000001</v>
      </c>
      <c r="AH7213">
        <v>46.746889272547797</v>
      </c>
      <c r="AI7213">
        <v>91.223005737112103</v>
      </c>
      <c r="AJ7213">
        <v>105.05327550088199</v>
      </c>
      <c r="AK7213">
        <v>48.4190528105133</v>
      </c>
      <c r="AL7213">
        <v>88.678805520316104</v>
      </c>
      <c r="AM7213">
        <v>93.270995198750001</v>
      </c>
      <c r="AN7213">
        <v>0.99999998900202702</v>
      </c>
    </row>
    <row r="7214" spans="1:40" x14ac:dyDescent="0.25">
      <c r="A7214" t="str">
        <f>"20190312154107438"</f>
        <v>20190312154107438</v>
      </c>
      <c r="B7214" t="str">
        <f>"1552376467433179"</f>
        <v>1552376467433179</v>
      </c>
      <c r="C7214" t="s">
        <v>40</v>
      </c>
      <c r="D7214">
        <v>3.9640200000000001</v>
      </c>
      <c r="E7214">
        <v>0.41894910000000002</v>
      </c>
      <c r="F7214" t="s">
        <v>86</v>
      </c>
      <c r="G7214">
        <v>-384.01490000000001</v>
      </c>
      <c r="H7214">
        <v>7.9985539999999994E-2</v>
      </c>
      <c r="I7214">
        <v>6.5779229999999904</v>
      </c>
      <c r="J7214">
        <v>-418.11419999999998</v>
      </c>
      <c r="K7214">
        <v>1.113359</v>
      </c>
      <c r="L7214">
        <v>39.416870000000003</v>
      </c>
      <c r="M7214">
        <v>0.5132139</v>
      </c>
      <c r="N7214">
        <v>0</v>
      </c>
      <c r="O7214">
        <v>-0.85813919999999999</v>
      </c>
      <c r="P7214">
        <v>0.56116100000000002</v>
      </c>
      <c r="Q7214">
        <v>8.3243420000000002E-3</v>
      </c>
      <c r="R7214">
        <v>-0.82766530000000005</v>
      </c>
      <c r="S7214">
        <v>2.209686</v>
      </c>
      <c r="T7214">
        <v>-6.6865919999999995E-2</v>
      </c>
      <c r="U7214">
        <v>-2.1299440000000001</v>
      </c>
      <c r="V7214">
        <v>-5.6949670000000001E-2</v>
      </c>
      <c r="W7214">
        <v>2.2346370000000001E-2</v>
      </c>
      <c r="X7214">
        <v>0.99812690000000004</v>
      </c>
      <c r="Y7214">
        <v>-0.26153219999999999</v>
      </c>
      <c r="Z7214">
        <v>2.0182289999999999E-2</v>
      </c>
      <c r="AA7214">
        <v>0.9649837</v>
      </c>
      <c r="AB7214">
        <v>17</v>
      </c>
      <c r="AC7214">
        <v>34.0992999999999</v>
      </c>
      <c r="AD7214">
        <v>-1.03337346</v>
      </c>
      <c r="AE7214">
        <v>-32.838946999999997</v>
      </c>
      <c r="AF7214">
        <v>-12.4039262268549</v>
      </c>
      <c r="AG7214">
        <v>-1.03337346</v>
      </c>
      <c r="AH7214">
        <v>45.663630153176598</v>
      </c>
      <c r="AI7214">
        <v>91.251069636554107</v>
      </c>
      <c r="AJ7214">
        <v>105.196953144104</v>
      </c>
      <c r="AK7214">
        <v>47.3296140414772</v>
      </c>
      <c r="AL7214">
        <v>88.719540685595405</v>
      </c>
      <c r="AM7214">
        <v>93.265558536394096</v>
      </c>
      <c r="AN7214">
        <v>0.99999996683444703</v>
      </c>
    </row>
    <row r="7215" spans="1:40" x14ac:dyDescent="0.25">
      <c r="A7215" t="str">
        <f>"20190312154107453"</f>
        <v>20190312154107453</v>
      </c>
      <c r="B7215" t="str">
        <f>"1552376467443915"</f>
        <v>1552376467443915</v>
      </c>
      <c r="C7215" t="s">
        <v>40</v>
      </c>
      <c r="D7215">
        <v>3.9300799999999998</v>
      </c>
      <c r="E7215">
        <v>0.41831299999999999</v>
      </c>
      <c r="F7215" t="s">
        <v>86</v>
      </c>
      <c r="G7215">
        <v>-388.99610000000001</v>
      </c>
      <c r="H7215" s="1">
        <v>-2.5043080000000001E-6</v>
      </c>
      <c r="I7215">
        <v>11.654730000000001</v>
      </c>
      <c r="J7215">
        <v>-418.04450000000003</v>
      </c>
      <c r="K7215">
        <v>1.1132359999999999</v>
      </c>
      <c r="L7215">
        <v>39.311160000000001</v>
      </c>
      <c r="M7215">
        <v>0.51720299999999997</v>
      </c>
      <c r="N7215">
        <v>0</v>
      </c>
      <c r="O7215">
        <v>-0.85574130000000004</v>
      </c>
      <c r="P7215">
        <v>0.56502159999999901</v>
      </c>
      <c r="Q7215">
        <v>6.9769230000000003E-3</v>
      </c>
      <c r="R7215">
        <v>-0.82504679999999997</v>
      </c>
      <c r="S7215">
        <v>2.2222599999999999</v>
      </c>
      <c r="T7215">
        <v>-8.4970470000000006E-2</v>
      </c>
      <c r="U7215">
        <v>-2.1187740000000002</v>
      </c>
      <c r="V7215">
        <v>-5.694515E-2</v>
      </c>
      <c r="W7215">
        <v>2.0993899999999999E-2</v>
      </c>
      <c r="X7215">
        <v>0.9981565</v>
      </c>
      <c r="Y7215">
        <v>-0.26220569999999999</v>
      </c>
      <c r="Z7215">
        <v>2.558591E-2</v>
      </c>
      <c r="AA7215">
        <v>0.96467270000000005</v>
      </c>
      <c r="AB7215">
        <v>17</v>
      </c>
      <c r="AC7215">
        <v>29.048400000000001</v>
      </c>
      <c r="AD7215">
        <v>-1.113238504308</v>
      </c>
      <c r="AE7215">
        <v>-27.65643</v>
      </c>
      <c r="AF7215">
        <v>-10.546899067743601</v>
      </c>
      <c r="AG7215">
        <v>-1.113238504308</v>
      </c>
      <c r="AH7215">
        <v>38.664904555415397</v>
      </c>
      <c r="AI7215">
        <v>91.591101079101904</v>
      </c>
      <c r="AJ7215">
        <v>105.257773889859</v>
      </c>
      <c r="AK7215">
        <v>40.0930321152196</v>
      </c>
      <c r="AL7215">
        <v>88.7970496932532</v>
      </c>
      <c r="AM7215">
        <v>93.265203293464893</v>
      </c>
      <c r="AN7215">
        <v>0.99999994621898902</v>
      </c>
    </row>
    <row r="7216" spans="1:40" x14ac:dyDescent="0.25">
      <c r="A7216" t="str">
        <f>"20190312154107468"</f>
        <v>20190312154107468</v>
      </c>
      <c r="B7216" t="str">
        <f>"1552376467463436"</f>
        <v>1552376467463436</v>
      </c>
      <c r="C7216" t="s">
        <v>40</v>
      </c>
      <c r="D7216">
        <v>3.9655640000000001</v>
      </c>
      <c r="E7216">
        <v>0.41740939999999999</v>
      </c>
      <c r="F7216" t="s">
        <v>42</v>
      </c>
      <c r="G7216">
        <v>-391.11009999999999</v>
      </c>
      <c r="H7216" s="1">
        <v>-5.18738E-6</v>
      </c>
      <c r="I7216">
        <v>13.95288</v>
      </c>
      <c r="J7216">
        <v>-417.98739999999998</v>
      </c>
      <c r="K7216">
        <v>1.1131329999999999</v>
      </c>
      <c r="L7216">
        <v>39.22531</v>
      </c>
      <c r="M7216">
        <v>0.52035619999999905</v>
      </c>
      <c r="N7216">
        <v>0</v>
      </c>
      <c r="O7216">
        <v>-0.85382789999999997</v>
      </c>
      <c r="P7216">
        <v>0.56848980000000005</v>
      </c>
      <c r="Q7216">
        <v>5.5647070000000003E-3</v>
      </c>
      <c r="R7216">
        <v>-0.82267190000000001</v>
      </c>
      <c r="S7216">
        <v>2.2363279999999999</v>
      </c>
      <c r="T7216">
        <v>-9.2431189999999996E-2</v>
      </c>
      <c r="U7216">
        <v>-2.1054689999999998</v>
      </c>
      <c r="V7216">
        <v>-5.7445599999999999E-2</v>
      </c>
      <c r="W7216">
        <v>1.9573690000000001E-2</v>
      </c>
      <c r="X7216">
        <v>0.99815670000000001</v>
      </c>
      <c r="Y7216">
        <v>-0.26466899999999999</v>
      </c>
      <c r="Z7216">
        <v>2.7796689999999999E-2</v>
      </c>
      <c r="AA7216">
        <v>0.96393859999999998</v>
      </c>
      <c r="AB7216">
        <v>17</v>
      </c>
      <c r="AC7216">
        <v>26.877299999999899</v>
      </c>
      <c r="AD7216">
        <v>-1.1131381873799999</v>
      </c>
      <c r="AE7216">
        <v>-25.27243</v>
      </c>
      <c r="AF7216">
        <v>-9.7900264535436303</v>
      </c>
      <c r="AG7216">
        <v>-1.1131381873799999</v>
      </c>
      <c r="AH7216">
        <v>35.535413070597698</v>
      </c>
      <c r="AI7216">
        <v>91.729785701914096</v>
      </c>
      <c r="AJ7216">
        <v>105.40291175865801</v>
      </c>
      <c r="AK7216">
        <v>36.8761342426683</v>
      </c>
      <c r="AL7216">
        <v>88.878438505949305</v>
      </c>
      <c r="AM7216">
        <v>93.293835252244506</v>
      </c>
      <c r="AN7216">
        <v>0.99999996202723196</v>
      </c>
    </row>
    <row r="7217" spans="1:40" x14ac:dyDescent="0.25">
      <c r="A7217" t="str">
        <f>"20190312154107482"</f>
        <v>20190312154107482</v>
      </c>
      <c r="B7217" t="str">
        <f>"1552376467473195"</f>
        <v>1552376467473195</v>
      </c>
      <c r="C7217" t="s">
        <v>40</v>
      </c>
      <c r="D7217">
        <v>3.9521660000000001</v>
      </c>
      <c r="E7217">
        <v>0.4170314</v>
      </c>
      <c r="F7217" t="s">
        <v>42</v>
      </c>
      <c r="G7217">
        <v>-393.71660000000003</v>
      </c>
      <c r="H7217" s="1">
        <v>-3.4724439999999999E-6</v>
      </c>
      <c r="I7217">
        <v>16.674869999999999</v>
      </c>
      <c r="J7217">
        <v>-417.92540000000002</v>
      </c>
      <c r="K7217">
        <v>1.113011</v>
      </c>
      <c r="L7217">
        <v>39.132390000000001</v>
      </c>
      <c r="M7217">
        <v>0.52368649999999906</v>
      </c>
      <c r="N7217">
        <v>0</v>
      </c>
      <c r="O7217">
        <v>-0.85178969999999898</v>
      </c>
      <c r="P7217">
        <v>0.57297849999999995</v>
      </c>
      <c r="Q7217">
        <v>3.7984970000000001E-3</v>
      </c>
      <c r="R7217">
        <v>-0.81956180000000001</v>
      </c>
      <c r="S7217">
        <v>2.2512509999999999</v>
      </c>
      <c r="T7217">
        <v>-0.10324940000000001</v>
      </c>
      <c r="U7217">
        <v>-2.091675</v>
      </c>
      <c r="V7217">
        <v>-5.8982930000000003E-2</v>
      </c>
      <c r="W7217">
        <v>1.7792059999999998E-2</v>
      </c>
      <c r="X7217">
        <v>0.9981004</v>
      </c>
      <c r="Y7217">
        <v>-0.26718150000000002</v>
      </c>
      <c r="Z7217">
        <v>3.1002249999999999E-2</v>
      </c>
      <c r="AA7217">
        <v>0.96314739999999999</v>
      </c>
      <c r="AB7217">
        <v>17</v>
      </c>
      <c r="AC7217">
        <v>24.2088</v>
      </c>
      <c r="AD7217">
        <v>-1.1130144724440001</v>
      </c>
      <c r="AE7217">
        <v>-22.457519999999999</v>
      </c>
      <c r="AF7217">
        <v>-8.8509670187028906</v>
      </c>
      <c r="AG7217">
        <v>-1.1130144724440001</v>
      </c>
      <c r="AH7217">
        <v>31.774096339320899</v>
      </c>
      <c r="AI7217">
        <v>91.932669739777594</v>
      </c>
      <c r="AJ7217">
        <v>105.56566790388401</v>
      </c>
      <c r="AK7217">
        <v>33.002600148510801</v>
      </c>
      <c r="AL7217">
        <v>88.980536237351302</v>
      </c>
      <c r="AM7217">
        <v>93.381971589909398</v>
      </c>
      <c r="AN7217">
        <v>0.999999975955293</v>
      </c>
    </row>
    <row r="7218" spans="1:40" x14ac:dyDescent="0.25">
      <c r="A7218" t="str">
        <f>"20190312154107495"</f>
        <v>20190312154107495</v>
      </c>
      <c r="B7218" t="str">
        <f>"1552376467483931"</f>
        <v>1552376467483931</v>
      </c>
      <c r="C7218" t="s">
        <v>40</v>
      </c>
      <c r="D7218">
        <v>3.9305430000000001</v>
      </c>
      <c r="E7218">
        <v>0.41675329999999999</v>
      </c>
      <c r="F7218" t="s">
        <v>42</v>
      </c>
      <c r="G7218">
        <v>-395.46949999999998</v>
      </c>
      <c r="H7218" s="1">
        <v>-2.3141879999999999E-6</v>
      </c>
      <c r="I7218">
        <v>18.533359999999998</v>
      </c>
      <c r="J7218">
        <v>-417.86750000000001</v>
      </c>
      <c r="K7218">
        <v>1.1128960000000001</v>
      </c>
      <c r="L7218">
        <v>39.046080000000003</v>
      </c>
      <c r="M7218">
        <v>0.52668329999999997</v>
      </c>
      <c r="N7218">
        <v>0</v>
      </c>
      <c r="O7218">
        <v>-0.84994009999999998</v>
      </c>
      <c r="P7218">
        <v>0.57668750000000002</v>
      </c>
      <c r="Q7218">
        <v>3.1885949999999998E-3</v>
      </c>
      <c r="R7218">
        <v>-0.81695850000000003</v>
      </c>
      <c r="S7218">
        <v>2.2648619999999999</v>
      </c>
      <c r="T7218">
        <v>-0.1122563</v>
      </c>
      <c r="U7218">
        <v>-2.0775760000000001</v>
      </c>
      <c r="V7218">
        <v>-5.9981590000000001E-2</v>
      </c>
      <c r="W7218">
        <v>1.717227E-2</v>
      </c>
      <c r="X7218">
        <v>0.99805180000000004</v>
      </c>
      <c r="Y7218">
        <v>-0.2698525</v>
      </c>
      <c r="Z7218">
        <v>3.3673639999999998E-2</v>
      </c>
      <c r="AA7218">
        <v>0.96231270000000002</v>
      </c>
      <c r="AB7218">
        <v>17</v>
      </c>
      <c r="AC7218">
        <v>22.398</v>
      </c>
      <c r="AD7218">
        <v>-1.11289831418799</v>
      </c>
      <c r="AE7218">
        <v>-20.512719999999899</v>
      </c>
      <c r="AF7218">
        <v>-8.2230607056722693</v>
      </c>
      <c r="AG7218">
        <v>-1.11289831418799</v>
      </c>
      <c r="AH7218">
        <v>29.195055284914801</v>
      </c>
      <c r="AI7218">
        <v>92.101340871197607</v>
      </c>
      <c r="AJ7218">
        <v>105.730371029325</v>
      </c>
      <c r="AK7218">
        <v>30.351417151693699</v>
      </c>
      <c r="AL7218">
        <v>89.016053077615496</v>
      </c>
      <c r="AM7218">
        <v>93.4392636665212</v>
      </c>
      <c r="AN7218">
        <v>1.0000000367395501</v>
      </c>
    </row>
    <row r="7219" spans="1:40" x14ac:dyDescent="0.25">
      <c r="A7219" t="str">
        <f>"20190312154107510"</f>
        <v>20190312154107510</v>
      </c>
      <c r="B7219" t="str">
        <f>"1552376467503453"</f>
        <v>1552376467503453</v>
      </c>
      <c r="C7219" t="s">
        <v>40</v>
      </c>
      <c r="D7219">
        <v>3.9785330000000001</v>
      </c>
      <c r="E7219">
        <v>0.41638530000000001</v>
      </c>
      <c r="F7219" t="s">
        <v>42</v>
      </c>
      <c r="G7219">
        <v>-396.29480000000001</v>
      </c>
      <c r="H7219" s="1">
        <v>-1.758883E-6</v>
      </c>
      <c r="I7219">
        <v>19.46454</v>
      </c>
      <c r="J7219">
        <v>-417.80970000000002</v>
      </c>
      <c r="K7219">
        <v>1.1127769999999999</v>
      </c>
      <c r="L7219">
        <v>38.960479999999997</v>
      </c>
      <c r="M7219">
        <v>0.52952460000000001</v>
      </c>
      <c r="N7219">
        <v>0</v>
      </c>
      <c r="O7219">
        <v>-0.84817330000000002</v>
      </c>
      <c r="P7219">
        <v>0.57986000000000004</v>
      </c>
      <c r="Q7219">
        <v>2.5444410000000002E-3</v>
      </c>
      <c r="R7219">
        <v>-0.81471229999999994</v>
      </c>
      <c r="S7219">
        <v>2.276062</v>
      </c>
      <c r="T7219">
        <v>-0.11741790000000001</v>
      </c>
      <c r="U7219">
        <v>-2.065979</v>
      </c>
      <c r="V7219">
        <v>-6.0513360000000002E-2</v>
      </c>
      <c r="W7219">
        <v>1.6521000000000001E-2</v>
      </c>
      <c r="X7219">
        <v>0.99803070000000005</v>
      </c>
      <c r="Y7219">
        <v>-0.2716305</v>
      </c>
      <c r="Z7219">
        <v>3.5181469999999999E-2</v>
      </c>
      <c r="AA7219">
        <v>0.96175840000000001</v>
      </c>
      <c r="AB7219">
        <v>17</v>
      </c>
      <c r="AC7219">
        <v>21.514900000000001</v>
      </c>
      <c r="AD7219">
        <v>-1.112778758883</v>
      </c>
      <c r="AE7219">
        <v>-19.495940000000001</v>
      </c>
      <c r="AF7219">
        <v>-7.9139742754243203</v>
      </c>
      <c r="AG7219">
        <v>-1.112778758883</v>
      </c>
      <c r="AH7219">
        <v>27.890509186103699</v>
      </c>
      <c r="AI7219">
        <v>92.198095181382001</v>
      </c>
      <c r="AJ7219">
        <v>105.841371111421</v>
      </c>
      <c r="AK7219">
        <v>29.012924155597101</v>
      </c>
      <c r="AL7219">
        <v>89.053373402552694</v>
      </c>
      <c r="AM7219">
        <v>93.469753654834705</v>
      </c>
      <c r="AN7219">
        <v>1.00000004416098</v>
      </c>
    </row>
    <row r="7220" spans="1:40" x14ac:dyDescent="0.25">
      <c r="A7220" t="str">
        <f>"20190312154107522"</f>
        <v>20190312154107522</v>
      </c>
      <c r="B7220" t="str">
        <f>"1552376467513212"</f>
        <v>1552376467513212</v>
      </c>
      <c r="C7220" t="s">
        <v>40</v>
      </c>
      <c r="D7220">
        <v>4.0018699999999896</v>
      </c>
      <c r="E7220">
        <v>0.4162382</v>
      </c>
      <c r="F7220" t="s">
        <v>42</v>
      </c>
      <c r="G7220">
        <v>-397.38420000000002</v>
      </c>
      <c r="H7220" s="1">
        <v>-1.4790599999999999E-6</v>
      </c>
      <c r="I7220">
        <v>20.60136</v>
      </c>
      <c r="J7220">
        <v>-417.7527</v>
      </c>
      <c r="K7220">
        <v>1.112649</v>
      </c>
      <c r="L7220">
        <v>38.876280000000001</v>
      </c>
      <c r="M7220">
        <v>0.53223129999999996</v>
      </c>
      <c r="N7220">
        <v>0</v>
      </c>
      <c r="O7220">
        <v>-0.84647790000000001</v>
      </c>
      <c r="P7220">
        <v>0.58292880000000002</v>
      </c>
      <c r="Q7220">
        <v>1.9537579999999999E-3</v>
      </c>
      <c r="R7220">
        <v>-0.8125213</v>
      </c>
      <c r="S7220">
        <v>2.2865600000000001</v>
      </c>
      <c r="T7220">
        <v>-0.1245715</v>
      </c>
      <c r="U7220">
        <v>-2.055237</v>
      </c>
      <c r="V7220">
        <v>-6.1081219999999999E-2</v>
      </c>
      <c r="W7220">
        <v>1.592408E-2</v>
      </c>
      <c r="X7220">
        <v>0.9980057</v>
      </c>
      <c r="Y7220">
        <v>-0.27318530000000002</v>
      </c>
      <c r="Z7220">
        <v>3.7279220000000002E-2</v>
      </c>
      <c r="AA7220">
        <v>0.96123879999999995</v>
      </c>
      <c r="AB7220">
        <v>17</v>
      </c>
      <c r="AC7220">
        <v>20.368499999999901</v>
      </c>
      <c r="AD7220">
        <v>-1.11265047906</v>
      </c>
      <c r="AE7220">
        <v>-18.274920000000002</v>
      </c>
      <c r="AF7220">
        <v>-7.5033666005103496</v>
      </c>
      <c r="AG7220">
        <v>-1.11265047906</v>
      </c>
      <c r="AH7220">
        <v>26.269338155846398</v>
      </c>
      <c r="AI7220">
        <v>92.332178823352805</v>
      </c>
      <c r="AJ7220">
        <v>105.94104306126501</v>
      </c>
      <c r="AK7220">
        <v>27.3425790403249</v>
      </c>
      <c r="AL7220">
        <v>89.087578799428798</v>
      </c>
      <c r="AM7220">
        <v>93.502320818161607</v>
      </c>
      <c r="AN7220">
        <v>0.99999993449651003</v>
      </c>
    </row>
    <row r="7221" spans="1:40" x14ac:dyDescent="0.25">
      <c r="A7221" t="str">
        <f>"20190312154107536"</f>
        <v>20190312154107536</v>
      </c>
      <c r="B7221" t="str">
        <f>"1552376467523947"</f>
        <v>1552376467523947</v>
      </c>
      <c r="C7221" t="s">
        <v>40</v>
      </c>
      <c r="D7221">
        <v>4.0385720000000003</v>
      </c>
      <c r="E7221">
        <v>0.41610570000000002</v>
      </c>
      <c r="F7221" t="s">
        <v>42</v>
      </c>
      <c r="G7221">
        <v>-397.86270000000002</v>
      </c>
      <c r="H7221" s="1">
        <v>-1.397263E-6</v>
      </c>
      <c r="I7221">
        <v>21.143930000000001</v>
      </c>
      <c r="J7221">
        <v>-417.69349999999997</v>
      </c>
      <c r="K7221">
        <v>1.112522</v>
      </c>
      <c r="L7221">
        <v>38.789180000000002</v>
      </c>
      <c r="M7221">
        <v>0.53492740000000005</v>
      </c>
      <c r="N7221">
        <v>0</v>
      </c>
      <c r="O7221">
        <v>-0.84477690000000005</v>
      </c>
      <c r="P7221">
        <v>0.58639149999999995</v>
      </c>
      <c r="Q7221" s="1">
        <v>1.266599E-5</v>
      </c>
      <c r="R7221">
        <v>-0.81002819999999998</v>
      </c>
      <c r="S7221">
        <v>2.2949830000000002</v>
      </c>
      <c r="T7221">
        <v>-0.12838150000000001</v>
      </c>
      <c r="U7221">
        <v>-2.0460210000000001</v>
      </c>
      <c r="V7221">
        <v>-6.2142780000000002E-2</v>
      </c>
      <c r="W7221">
        <v>1.397404E-2</v>
      </c>
      <c r="X7221">
        <v>0.99796940000000001</v>
      </c>
      <c r="Y7221">
        <v>-0.27398519999999998</v>
      </c>
      <c r="Z7221">
        <v>3.8370389999999997E-2</v>
      </c>
      <c r="AA7221">
        <v>0.96096820000000005</v>
      </c>
      <c r="AB7221">
        <v>17</v>
      </c>
      <c r="AC7221">
        <v>19.830799999999901</v>
      </c>
      <c r="AD7221">
        <v>-1.112523397263</v>
      </c>
      <c r="AE7221">
        <v>-17.645250000000001</v>
      </c>
      <c r="AF7221">
        <v>-7.3015968030066301</v>
      </c>
      <c r="AG7221">
        <v>-1.112523397263</v>
      </c>
      <c r="AH7221">
        <v>25.472205456952999</v>
      </c>
      <c r="AI7221">
        <v>92.404157458412499</v>
      </c>
      <c r="AJ7221">
        <v>105.994927256843</v>
      </c>
      <c r="AK7221">
        <v>26.521392780628201</v>
      </c>
      <c r="AL7221">
        <v>89.199320394054098</v>
      </c>
      <c r="AM7221">
        <v>93.563163138055799</v>
      </c>
      <c r="AN7221">
        <v>0.99999996111820399</v>
      </c>
    </row>
    <row r="7222" spans="1:40" x14ac:dyDescent="0.25">
      <c r="A7222" t="str">
        <f>"20190312154107549"</f>
        <v>20190312154107549</v>
      </c>
      <c r="B7222" t="str">
        <f>"1552376467533707"</f>
        <v>1552376467533707</v>
      </c>
      <c r="C7222" t="s">
        <v>40</v>
      </c>
      <c r="D7222">
        <v>3.9905499999999998</v>
      </c>
      <c r="E7222">
        <v>0.416043</v>
      </c>
      <c r="F7222" t="s">
        <v>42</v>
      </c>
      <c r="G7222">
        <v>-398.90949999999998</v>
      </c>
      <c r="H7222" s="1">
        <v>-1.183057E-6</v>
      </c>
      <c r="I7222">
        <v>22.198730000000001</v>
      </c>
      <c r="J7222">
        <v>-417.64420000000001</v>
      </c>
      <c r="K7222">
        <v>1.1124099999999999</v>
      </c>
      <c r="L7222">
        <v>38.71707</v>
      </c>
      <c r="M7222">
        <v>0.53702609999999995</v>
      </c>
      <c r="N7222">
        <v>0</v>
      </c>
      <c r="O7222">
        <v>-0.84344459999999999</v>
      </c>
      <c r="P7222">
        <v>0.58890410000000004</v>
      </c>
      <c r="Q7222">
        <v>-5.4932569999999897E-4</v>
      </c>
      <c r="R7222">
        <v>-0.8082028</v>
      </c>
      <c r="S7222">
        <v>2.304443</v>
      </c>
      <c r="T7222">
        <v>-0.13648579999999999</v>
      </c>
      <c r="U7222">
        <v>-2.035339</v>
      </c>
      <c r="V7222">
        <v>-6.2754279999999996E-2</v>
      </c>
      <c r="W7222">
        <v>1.340713E-2</v>
      </c>
      <c r="X7222">
        <v>0.99793889999999996</v>
      </c>
      <c r="Y7222">
        <v>-0.27596969999999998</v>
      </c>
      <c r="Z7222">
        <v>4.0768029999999997E-2</v>
      </c>
      <c r="AA7222">
        <v>0.96030130000000002</v>
      </c>
      <c r="AB7222">
        <v>17</v>
      </c>
      <c r="AC7222">
        <v>18.7347</v>
      </c>
      <c r="AD7222">
        <v>-1.112411183057</v>
      </c>
      <c r="AE7222">
        <v>-16.518339999999998</v>
      </c>
      <c r="AF7222">
        <v>-6.9178871767751096</v>
      </c>
      <c r="AG7222">
        <v>-1.112411183057</v>
      </c>
      <c r="AH7222">
        <v>23.9482735206388</v>
      </c>
      <c r="AI7222">
        <v>92.555185035839003</v>
      </c>
      <c r="AJ7222">
        <v>106.112307613604</v>
      </c>
      <c r="AK7222">
        <v>24.952242910209701</v>
      </c>
      <c r="AL7222">
        <v>89.231804981633502</v>
      </c>
      <c r="AM7222">
        <v>93.598243541549095</v>
      </c>
      <c r="AN7222">
        <v>0.99999994946318105</v>
      </c>
    </row>
    <row r="7223" spans="1:40" x14ac:dyDescent="0.25">
      <c r="A7223" t="str">
        <f>"20190312154107562"</f>
        <v>20190312154107562</v>
      </c>
      <c r="B7223" t="str">
        <f>"1552376467553228"</f>
        <v>1552376467553228</v>
      </c>
      <c r="C7223" t="s">
        <v>40</v>
      </c>
      <c r="D7223">
        <v>4.043228</v>
      </c>
      <c r="E7223">
        <v>0.4160044</v>
      </c>
      <c r="F7223" t="s">
        <v>42</v>
      </c>
      <c r="G7223">
        <v>-399.24009999999998</v>
      </c>
      <c r="H7223" s="1">
        <v>-1.125427E-6</v>
      </c>
      <c r="I7223">
        <v>22.569299999999998</v>
      </c>
      <c r="J7223">
        <v>-417.58569999999997</v>
      </c>
      <c r="K7223">
        <v>1.112277</v>
      </c>
      <c r="L7223">
        <v>38.63147</v>
      </c>
      <c r="M7223">
        <v>0.5394449</v>
      </c>
      <c r="N7223">
        <v>0</v>
      </c>
      <c r="O7223">
        <v>-0.84190019999999999</v>
      </c>
      <c r="P7223">
        <v>0.59178750000000002</v>
      </c>
      <c r="Q7223">
        <v>-1.089036E-3</v>
      </c>
      <c r="R7223">
        <v>-0.80609330000000001</v>
      </c>
      <c r="S7223">
        <v>2.3111570000000001</v>
      </c>
      <c r="T7223">
        <v>-0.13969409999999999</v>
      </c>
      <c r="U7223">
        <v>-2.0278019999999999</v>
      </c>
      <c r="V7223">
        <v>-6.3448980000000002E-2</v>
      </c>
      <c r="W7223">
        <v>1.286168E-2</v>
      </c>
      <c r="X7223">
        <v>0.99790219999999996</v>
      </c>
      <c r="Y7223">
        <v>-0.27633039999999998</v>
      </c>
      <c r="Z7223">
        <v>4.1674019999999999E-2</v>
      </c>
      <c r="AA7223">
        <v>0.96015870000000003</v>
      </c>
      <c r="AB7223">
        <v>17</v>
      </c>
      <c r="AC7223">
        <v>18.345599999999902</v>
      </c>
      <c r="AD7223">
        <v>-1.112278125427</v>
      </c>
      <c r="AE7223">
        <v>-16.062169999999998</v>
      </c>
      <c r="AF7223">
        <v>-6.7671166294195801</v>
      </c>
      <c r="AG7223">
        <v>-1.112278125427</v>
      </c>
      <c r="AH7223">
        <v>23.372929925792</v>
      </c>
      <c r="AI7223">
        <v>92.617223372687207</v>
      </c>
      <c r="AJ7223">
        <v>106.147207869862</v>
      </c>
      <c r="AK7223">
        <v>24.3582610918853</v>
      </c>
      <c r="AL7223">
        <v>89.263059698572206</v>
      </c>
      <c r="AM7223">
        <v>93.638103722362303</v>
      </c>
      <c r="AN7223">
        <v>0.99999999832015096</v>
      </c>
    </row>
    <row r="7224" spans="1:40" x14ac:dyDescent="0.25">
      <c r="A7224" t="str">
        <f>"20190312154107572"</f>
        <v>20190312154107572</v>
      </c>
      <c r="B7224" t="str">
        <f>"1552376467563963"</f>
        <v>1552376467563963</v>
      </c>
      <c r="C7224" t="s">
        <v>40</v>
      </c>
      <c r="D7224">
        <v>4.0535500000000004</v>
      </c>
      <c r="E7224">
        <v>0.41600140000000002</v>
      </c>
      <c r="F7224" t="s">
        <v>42</v>
      </c>
      <c r="G7224">
        <v>-399.6601</v>
      </c>
      <c r="H7224" s="1">
        <v>-1.0471220000000001E-6</v>
      </c>
      <c r="I7224">
        <v>23.021270000000001</v>
      </c>
      <c r="J7224">
        <v>-417.5376</v>
      </c>
      <c r="K7224">
        <v>1.1121700000000001</v>
      </c>
      <c r="L7224">
        <v>38.561369999999997</v>
      </c>
      <c r="M7224">
        <v>0.54132440000000004</v>
      </c>
      <c r="N7224">
        <v>0</v>
      </c>
      <c r="O7224">
        <v>-0.84069309999999997</v>
      </c>
      <c r="P7224">
        <v>0.59412569999999998</v>
      </c>
      <c r="Q7224">
        <v>-1.0907899999999999E-3</v>
      </c>
      <c r="R7224">
        <v>-0.80437159999999996</v>
      </c>
      <c r="S7224">
        <v>2.318695</v>
      </c>
      <c r="T7224">
        <v>-0.14387429999999901</v>
      </c>
      <c r="U7224">
        <v>-2.019196</v>
      </c>
      <c r="V7224">
        <v>-6.4113249999999997E-2</v>
      </c>
      <c r="W7224">
        <v>1.285596E-2</v>
      </c>
      <c r="X7224">
        <v>0.99785979999999996</v>
      </c>
      <c r="Y7224">
        <v>-0.2777097</v>
      </c>
      <c r="Z7224">
        <v>4.2893269999999997E-2</v>
      </c>
      <c r="AA7224">
        <v>0.95970699999999998</v>
      </c>
      <c r="AB7224">
        <v>17</v>
      </c>
      <c r="AC7224">
        <v>17.877499999999898</v>
      </c>
      <c r="AD7224">
        <v>-1.1121710471220001</v>
      </c>
      <c r="AE7224">
        <v>-15.540100000000001</v>
      </c>
      <c r="AF7224">
        <v>-6.6033704627851098</v>
      </c>
      <c r="AG7224">
        <v>-1.1121710471220001</v>
      </c>
      <c r="AH7224">
        <v>22.694261834334199</v>
      </c>
      <c r="AI7224">
        <v>92.694078812196395</v>
      </c>
      <c r="AJ7224">
        <v>106.22346028799301</v>
      </c>
      <c r="AK7224">
        <v>23.661592214222502</v>
      </c>
      <c r="AL7224">
        <v>89.263387445872098</v>
      </c>
      <c r="AM7224">
        <v>93.676244197088707</v>
      </c>
      <c r="AN7224">
        <v>0.99999998249456101</v>
      </c>
    </row>
    <row r="7225" spans="1:40" x14ac:dyDescent="0.25">
      <c r="A7225" t="str">
        <f>"20190312154107584"</f>
        <v>20190312154107584</v>
      </c>
      <c r="B7225" t="str">
        <f>"1552376467573724"</f>
        <v>1552376467573724</v>
      </c>
      <c r="C7225" t="s">
        <v>40</v>
      </c>
      <c r="D7225">
        <v>4.0850339999999896</v>
      </c>
      <c r="E7225">
        <v>0.41595500000000002</v>
      </c>
      <c r="F7225" t="s">
        <v>42</v>
      </c>
      <c r="G7225">
        <v>-399.7518</v>
      </c>
      <c r="H7225" s="1">
        <v>-1.041387E-6</v>
      </c>
      <c r="I7225">
        <v>23.162690000000001</v>
      </c>
      <c r="J7225">
        <v>-417.48919999999998</v>
      </c>
      <c r="K7225">
        <v>1.11206</v>
      </c>
      <c r="L7225">
        <v>38.490969999999997</v>
      </c>
      <c r="M7225">
        <v>0.54312689999999997</v>
      </c>
      <c r="N7225">
        <v>0</v>
      </c>
      <c r="O7225">
        <v>-0.839529999999999</v>
      </c>
      <c r="P7225">
        <v>0.59639249999999999</v>
      </c>
      <c r="Q7225">
        <v>-6.2061660000000004E-4</v>
      </c>
      <c r="R7225">
        <v>-0.80269299999999999</v>
      </c>
      <c r="S7225">
        <v>2.3244929999999999</v>
      </c>
      <c r="T7225">
        <v>-0.14535379999999901</v>
      </c>
      <c r="U7225">
        <v>-2.0125120000000001</v>
      </c>
      <c r="V7225">
        <v>-6.4785640000000005E-2</v>
      </c>
      <c r="W7225">
        <v>1.332179E-2</v>
      </c>
      <c r="X7225">
        <v>0.99781030000000004</v>
      </c>
      <c r="Y7225">
        <v>-0.27839439999999999</v>
      </c>
      <c r="Z7225">
        <v>4.3300110000000003E-2</v>
      </c>
      <c r="AA7225">
        <v>0.95949030000000002</v>
      </c>
      <c r="AB7225">
        <v>17</v>
      </c>
      <c r="AC7225">
        <v>17.737399999999901</v>
      </c>
      <c r="AD7225">
        <v>-1.112061041387</v>
      </c>
      <c r="AE7225">
        <v>-15.328279999999999</v>
      </c>
      <c r="AF7225">
        <v>-6.5518000176199296</v>
      </c>
      <c r="AG7225">
        <v>-1.112061041387</v>
      </c>
      <c r="AH7225">
        <v>22.453961946813699</v>
      </c>
      <c r="AI7225">
        <v>92.722001868246195</v>
      </c>
      <c r="AJ7225">
        <v>106.266619281614</v>
      </c>
      <c r="AK7225">
        <v>23.416728429471402</v>
      </c>
      <c r="AL7225">
        <v>89.236695095809594</v>
      </c>
      <c r="AM7225">
        <v>93.714875312138503</v>
      </c>
      <c r="AN7225">
        <v>1.00000002201255</v>
      </c>
    </row>
    <row r="7226" spans="1:40" x14ac:dyDescent="0.25">
      <c r="A7226" t="str">
        <f>"20190312154107595"</f>
        <v>20190312154107595</v>
      </c>
      <c r="B7226" t="str">
        <f>"1552376467583484"</f>
        <v>1552376467583484</v>
      </c>
      <c r="C7226" t="s">
        <v>40</v>
      </c>
      <c r="D7226">
        <v>4.0813810000000004</v>
      </c>
      <c r="E7226">
        <v>0.41596300000000003</v>
      </c>
      <c r="F7226" t="s">
        <v>42</v>
      </c>
      <c r="G7226">
        <v>-399.61329999999998</v>
      </c>
      <c r="H7226" s="1">
        <v>-1.092059E-6</v>
      </c>
      <c r="I7226">
        <v>23.106999999999999</v>
      </c>
      <c r="J7226">
        <v>-417.43900000000002</v>
      </c>
      <c r="K7226">
        <v>1.1119490000000001</v>
      </c>
      <c r="L7226">
        <v>38.418030000000002</v>
      </c>
      <c r="M7226">
        <v>0.544933</v>
      </c>
      <c r="N7226">
        <v>0</v>
      </c>
      <c r="O7226">
        <v>-0.83835939999999998</v>
      </c>
      <c r="P7226">
        <v>0.59883580000000003</v>
      </c>
      <c r="Q7226">
        <v>-4.7600730000000002E-4</v>
      </c>
      <c r="R7226">
        <v>-0.80087189999999997</v>
      </c>
      <c r="S7226">
        <v>2.330597</v>
      </c>
      <c r="T7226">
        <v>-0.14498659999999999</v>
      </c>
      <c r="U7226">
        <v>-2.0057070000000001</v>
      </c>
      <c r="V7226">
        <v>-6.5675699999999906E-2</v>
      </c>
      <c r="W7226">
        <v>1.346196E-2</v>
      </c>
      <c r="X7226">
        <v>0.99775020000000003</v>
      </c>
      <c r="Y7226">
        <v>-0.27918419999999999</v>
      </c>
      <c r="Z7226">
        <v>4.3156229999999997E-2</v>
      </c>
      <c r="AA7226">
        <v>0.95926730000000004</v>
      </c>
      <c r="AB7226">
        <v>17</v>
      </c>
      <c r="AC7226">
        <v>17.825700000000001</v>
      </c>
      <c r="AD7226">
        <v>-1.111950092059</v>
      </c>
      <c r="AE7226">
        <v>-15.311030000000001</v>
      </c>
      <c r="AF7226">
        <v>-6.5867740034343303</v>
      </c>
      <c r="AG7226">
        <v>-1.111950092059</v>
      </c>
      <c r="AH7226">
        <v>22.501845333064701</v>
      </c>
      <c r="AI7226">
        <v>92.715266166211293</v>
      </c>
      <c r="AJ7226">
        <v>106.315888299406</v>
      </c>
      <c r="AK7226">
        <v>23.472432088999899</v>
      </c>
      <c r="AL7226">
        <v>89.228663202976605</v>
      </c>
      <c r="AM7226">
        <v>93.765992587854797</v>
      </c>
      <c r="AN7226">
        <v>0.99999999176878496</v>
      </c>
    </row>
    <row r="7227" spans="1:40" x14ac:dyDescent="0.25">
      <c r="A7227" t="str">
        <f>"20190312154107608"</f>
        <v>20190312154107608</v>
      </c>
      <c r="B7227" t="str">
        <f>"1552376467603980"</f>
        <v>1552376467603980</v>
      </c>
      <c r="C7227" t="s">
        <v>40</v>
      </c>
      <c r="D7227">
        <v>4.1036419999999998</v>
      </c>
      <c r="E7227">
        <v>0.41609930000000001</v>
      </c>
      <c r="F7227" t="s">
        <v>42</v>
      </c>
      <c r="G7227">
        <v>-399.64280000000002</v>
      </c>
      <c r="H7227" s="1">
        <v>-1.1020650000000001E-6</v>
      </c>
      <c r="I7227">
        <v>23.196950000000001</v>
      </c>
      <c r="J7227">
        <v>-417.3852</v>
      </c>
      <c r="K7227">
        <v>1.1118349999999999</v>
      </c>
      <c r="L7227">
        <v>38.340089999999996</v>
      </c>
      <c r="M7227">
        <v>0.54672519999999902</v>
      </c>
      <c r="N7227">
        <v>0</v>
      </c>
      <c r="O7227">
        <v>-0.83719189999999999</v>
      </c>
      <c r="P7227">
        <v>0.60122509999999996</v>
      </c>
      <c r="Q7227">
        <v>-3.3713690000000001E-4</v>
      </c>
      <c r="R7227">
        <v>-0.79908000000000001</v>
      </c>
      <c r="S7227">
        <v>2.3367309999999999</v>
      </c>
      <c r="T7227">
        <v>-0.1460041</v>
      </c>
      <c r="U7227">
        <v>-1.998596</v>
      </c>
      <c r="V7227">
        <v>-6.6518140000000003E-2</v>
      </c>
      <c r="W7227">
        <v>1.359689E-2</v>
      </c>
      <c r="X7227">
        <v>0.99769260000000004</v>
      </c>
      <c r="Y7227">
        <v>-0.28004869999999998</v>
      </c>
      <c r="Z7227">
        <v>4.3426880000000001E-2</v>
      </c>
      <c r="AA7227">
        <v>0.95900300000000005</v>
      </c>
      <c r="AB7227">
        <v>17</v>
      </c>
      <c r="AC7227">
        <v>17.7423999999999</v>
      </c>
      <c r="AD7227">
        <v>-1.1118361020649901</v>
      </c>
      <c r="AE7227">
        <v>-15.143140000000001</v>
      </c>
      <c r="AF7227">
        <v>-6.5604142210943897</v>
      </c>
      <c r="AG7227">
        <v>-1.1118361020649901</v>
      </c>
      <c r="AH7227">
        <v>22.3294525942311</v>
      </c>
      <c r="AI7227">
        <v>92.735121190549407</v>
      </c>
      <c r="AJ7227">
        <v>106.372837808074</v>
      </c>
      <c r="AK7227">
        <v>23.299778269936599</v>
      </c>
      <c r="AL7227">
        <v>89.220931606471297</v>
      </c>
      <c r="AM7227">
        <v>93.814377857348404</v>
      </c>
      <c r="AN7227">
        <v>1.00000003123074</v>
      </c>
    </row>
    <row r="7228" spans="1:40" x14ac:dyDescent="0.25">
      <c r="A7228" t="str">
        <f>"20190312154107621"</f>
        <v>20190312154107621</v>
      </c>
      <c r="B7228" t="str">
        <f>"1552376467613740"</f>
        <v>1552376467613740</v>
      </c>
      <c r="C7228" t="s">
        <v>40</v>
      </c>
      <c r="D7228">
        <v>4.1100949999999896</v>
      </c>
      <c r="E7228">
        <v>0.41623320000000003</v>
      </c>
      <c r="F7228" t="s">
        <v>42</v>
      </c>
      <c r="G7228">
        <v>-399.63650000000001</v>
      </c>
      <c r="H7228" s="1">
        <v>-1.116454E-6</v>
      </c>
      <c r="I7228">
        <v>23.240010000000002</v>
      </c>
      <c r="J7228">
        <v>-417.32729999999998</v>
      </c>
      <c r="K7228">
        <v>1.111713</v>
      </c>
      <c r="L7228">
        <v>38.256320000000002</v>
      </c>
      <c r="M7228">
        <v>0.54856870000000002</v>
      </c>
      <c r="N7228">
        <v>0</v>
      </c>
      <c r="O7228">
        <v>-0.83598539999999999</v>
      </c>
      <c r="P7228">
        <v>0.60368169999999899</v>
      </c>
      <c r="Q7228">
        <v>-3.6396550000000001E-4</v>
      </c>
      <c r="R7228">
        <v>-0.79722550000000003</v>
      </c>
      <c r="S7228">
        <v>2.3417659999999998</v>
      </c>
      <c r="T7228">
        <v>-0.14669599999999999</v>
      </c>
      <c r="U7228">
        <v>-1.99231</v>
      </c>
      <c r="V7228">
        <v>-6.7386370000000001E-2</v>
      </c>
      <c r="W7228">
        <v>1.3566379999999999E-2</v>
      </c>
      <c r="X7228">
        <v>0.99763469999999999</v>
      </c>
      <c r="Y7228">
        <v>-0.2804372</v>
      </c>
      <c r="Z7228">
        <v>4.3596330000000003E-2</v>
      </c>
      <c r="AA7228">
        <v>0.95888180000000001</v>
      </c>
      <c r="AB7228">
        <v>17</v>
      </c>
      <c r="AC7228">
        <v>17.6907999999999</v>
      </c>
      <c r="AD7228">
        <v>-1.1117141164540001</v>
      </c>
      <c r="AE7228">
        <v>-15.016310000000001</v>
      </c>
      <c r="AF7228">
        <v>-6.53742544046181</v>
      </c>
      <c r="AG7228">
        <v>-1.1117141164540001</v>
      </c>
      <c r="AH7228">
        <v>22.209293258640098</v>
      </c>
      <c r="AI7228">
        <v>92.749183186454601</v>
      </c>
      <c r="AJ7228">
        <v>106.40207728781201</v>
      </c>
      <c r="AK7228">
        <v>23.178148043245301</v>
      </c>
      <c r="AL7228">
        <v>89.222679823695998</v>
      </c>
      <c r="AM7228">
        <v>93.864238860295202</v>
      </c>
      <c r="AN7228">
        <v>0.99999998208608498</v>
      </c>
    </row>
    <row r="7229" spans="1:40" x14ac:dyDescent="0.25">
      <c r="A7229" t="str">
        <f>"20190312154107634"</f>
        <v>20190312154107634</v>
      </c>
      <c r="B7229" t="str">
        <f>"1552376467623500"</f>
        <v>1552376467623500</v>
      </c>
      <c r="C7229" t="s">
        <v>40</v>
      </c>
      <c r="D7229">
        <v>4.0568369999999998</v>
      </c>
      <c r="E7229">
        <v>0.41643910000000001</v>
      </c>
      <c r="F7229" t="s">
        <v>42</v>
      </c>
      <c r="G7229">
        <v>-399.56920000000002</v>
      </c>
      <c r="H7229" s="1">
        <v>-1.1463360000000001E-6</v>
      </c>
      <c r="I7229">
        <v>23.232679999999998</v>
      </c>
      <c r="J7229">
        <v>-417.27289999999999</v>
      </c>
      <c r="K7229">
        <v>1.1115950000000001</v>
      </c>
      <c r="L7229">
        <v>38.177639999999997</v>
      </c>
      <c r="M7229">
        <v>0.55018540000000005</v>
      </c>
      <c r="N7229">
        <v>0</v>
      </c>
      <c r="O7229">
        <v>-0.83492269999999902</v>
      </c>
      <c r="P7229">
        <v>0.60582019999999903</v>
      </c>
      <c r="Q7229">
        <v>2.4126749999999999E-4</v>
      </c>
      <c r="R7229">
        <v>-0.79560200000000003</v>
      </c>
      <c r="S7229">
        <v>2.3471069999999998</v>
      </c>
      <c r="T7229">
        <v>-0.14693619999999999</v>
      </c>
      <c r="U7229">
        <v>-1.985687</v>
      </c>
      <c r="V7229">
        <v>-6.813263E-2</v>
      </c>
      <c r="W7229">
        <v>1.4169040000000001E-2</v>
      </c>
      <c r="X7229">
        <v>0.99757560000000001</v>
      </c>
      <c r="Y7229">
        <v>-0.28123019999999999</v>
      </c>
      <c r="Z7229">
        <v>4.3641989999999999E-2</v>
      </c>
      <c r="AA7229">
        <v>0.95864749999999999</v>
      </c>
      <c r="AB7229">
        <v>17</v>
      </c>
      <c r="AC7229">
        <v>17.703699999999898</v>
      </c>
      <c r="AD7229">
        <v>-1.111596146336</v>
      </c>
      <c r="AE7229">
        <v>-14.94496</v>
      </c>
      <c r="AF7229">
        <v>-6.5443135936299797</v>
      </c>
      <c r="AG7229">
        <v>-1.111596146336</v>
      </c>
      <c r="AH7229">
        <v>22.1693932689805</v>
      </c>
      <c r="AI7229">
        <v>92.753205001694397</v>
      </c>
      <c r="AJ7229">
        <v>106.446383366361</v>
      </c>
      <c r="AK7229">
        <v>23.141860001284101</v>
      </c>
      <c r="AL7229">
        <v>89.188146599105096</v>
      </c>
      <c r="AM7229">
        <v>93.907131716501198</v>
      </c>
      <c r="AN7229">
        <v>0.99999994734029696</v>
      </c>
    </row>
    <row r="7230" spans="1:40" x14ac:dyDescent="0.25">
      <c r="A7230" t="str">
        <f>"20190312154107650"</f>
        <v>20190312154107650</v>
      </c>
      <c r="B7230" t="str">
        <f>"1552376467643997"</f>
        <v>1552376467643997</v>
      </c>
      <c r="C7230" t="s">
        <v>40</v>
      </c>
      <c r="D7230">
        <v>4.1472860000000003</v>
      </c>
      <c r="E7230">
        <v>0.41660399999999997</v>
      </c>
      <c r="F7230" t="s">
        <v>42</v>
      </c>
      <c r="G7230">
        <v>-399.04070000000002</v>
      </c>
      <c r="H7230" s="1">
        <v>-1.2855480000000001E-6</v>
      </c>
      <c r="I7230">
        <v>22.816990000000001</v>
      </c>
      <c r="J7230">
        <v>-417.20350000000002</v>
      </c>
      <c r="K7230">
        <v>1.111459</v>
      </c>
      <c r="L7230">
        <v>38.077300000000001</v>
      </c>
      <c r="M7230">
        <v>0.55208310000000005</v>
      </c>
      <c r="N7230">
        <v>0</v>
      </c>
      <c r="O7230">
        <v>-0.8336694</v>
      </c>
      <c r="P7230">
        <v>0.60893339999999996</v>
      </c>
      <c r="Q7230">
        <v>8.7178309999999895E-4</v>
      </c>
      <c r="R7230">
        <v>-0.79322109999999901</v>
      </c>
      <c r="S7230">
        <v>2.3509220000000002</v>
      </c>
      <c r="T7230">
        <v>-0.14333280000000001</v>
      </c>
      <c r="U7230">
        <v>-1.9806520000000001</v>
      </c>
      <c r="V7230">
        <v>-6.9770139999999994E-2</v>
      </c>
      <c r="W7230">
        <v>1.479459E-2</v>
      </c>
      <c r="X7230">
        <v>0.99745340000000005</v>
      </c>
      <c r="Y7230">
        <v>-0.28105740000000001</v>
      </c>
      <c r="Z7230">
        <v>4.2530209999999999E-2</v>
      </c>
      <c r="AA7230">
        <v>0.95874809999999999</v>
      </c>
      <c r="AB7230">
        <v>17</v>
      </c>
      <c r="AC7230">
        <v>18.162800000000001</v>
      </c>
      <c r="AD7230">
        <v>-1.111460285548</v>
      </c>
      <c r="AE7230">
        <v>-15.26031</v>
      </c>
      <c r="AF7230">
        <v>-6.7027682212508601</v>
      </c>
      <c r="AG7230">
        <v>-1.111460285548</v>
      </c>
      <c r="AH7230">
        <v>22.7018652729653</v>
      </c>
      <c r="AI7230">
        <v>92.688355553600601</v>
      </c>
      <c r="AJ7230">
        <v>106.449334190515</v>
      </c>
      <c r="AK7230">
        <v>23.696774731301002</v>
      </c>
      <c r="AL7230">
        <v>89.152301523325306</v>
      </c>
      <c r="AM7230">
        <v>94.001223486868</v>
      </c>
      <c r="AN7230">
        <v>1.00000001875022</v>
      </c>
    </row>
    <row r="7231" spans="1:40" x14ac:dyDescent="0.25">
      <c r="A7231" t="str">
        <f>"20190312154107664"</f>
        <v>20190312154107664</v>
      </c>
      <c r="B7231" t="str">
        <f>"1552376467653756"</f>
        <v>1552376467653756</v>
      </c>
      <c r="C7231" t="s">
        <v>40</v>
      </c>
      <c r="D7231">
        <v>4.1672379999999896</v>
      </c>
      <c r="E7231">
        <v>0.41666900000000001</v>
      </c>
      <c r="F7231" t="s">
        <v>42</v>
      </c>
      <c r="G7231">
        <v>-398.70549999999997</v>
      </c>
      <c r="H7231" s="1">
        <v>-1.38752E-6</v>
      </c>
      <c r="I7231">
        <v>22.604669999999999</v>
      </c>
      <c r="J7231">
        <v>-417.14460000000003</v>
      </c>
      <c r="K7231">
        <v>1.1113489999999999</v>
      </c>
      <c r="L7231">
        <v>37.992429999999999</v>
      </c>
      <c r="M7231">
        <v>0.55357209999999901</v>
      </c>
      <c r="N7231">
        <v>0</v>
      </c>
      <c r="O7231">
        <v>-0.83268180000000003</v>
      </c>
      <c r="P7231">
        <v>0.61064680000000005</v>
      </c>
      <c r="Q7231">
        <v>1.304733E-3</v>
      </c>
      <c r="R7231">
        <v>-0.7919022</v>
      </c>
      <c r="S7231">
        <v>2.3578190000000001</v>
      </c>
      <c r="T7231">
        <v>-0.14167080000000001</v>
      </c>
      <c r="U7231">
        <v>-1.9721979999999999</v>
      </c>
      <c r="V7231">
        <v>-7.0141620000000002E-2</v>
      </c>
      <c r="W7231">
        <v>1.522798E-2</v>
      </c>
      <c r="X7231">
        <v>0.9974208</v>
      </c>
      <c r="Y7231">
        <v>-0.2827634</v>
      </c>
      <c r="Z7231">
        <v>4.202753E-2</v>
      </c>
      <c r="AA7231">
        <v>0.95826849999999997</v>
      </c>
      <c r="AB7231">
        <v>17</v>
      </c>
      <c r="AC7231">
        <v>18.4391</v>
      </c>
      <c r="AD7231">
        <v>-1.1113503875199999</v>
      </c>
      <c r="AE7231">
        <v>-15.387759999999901</v>
      </c>
      <c r="AF7231">
        <v>-6.8217406566924996</v>
      </c>
      <c r="AG7231">
        <v>-1.1113503875199999</v>
      </c>
      <c r="AH7231">
        <v>22.9735746771923</v>
      </c>
      <c r="AI7231">
        <v>92.655126097208694</v>
      </c>
      <c r="AJ7231">
        <v>106.53818563999199</v>
      </c>
      <c r="AK7231">
        <v>23.9907561097925</v>
      </c>
      <c r="AL7231">
        <v>89.127467286996307</v>
      </c>
      <c r="AM7231">
        <v>94.022588655830802</v>
      </c>
      <c r="AN7231">
        <v>0.999999995251872</v>
      </c>
    </row>
    <row r="7232" spans="1:40" x14ac:dyDescent="0.25">
      <c r="A7232" t="str">
        <f>"20190312154107679"</f>
        <v>20190312154107679</v>
      </c>
      <c r="B7232" t="str">
        <f>"1552376467673276"</f>
        <v>1552376467673276</v>
      </c>
      <c r="C7232" t="s">
        <v>40</v>
      </c>
      <c r="D7232">
        <v>4.1508620000000001</v>
      </c>
      <c r="E7232">
        <v>0.41693400000000003</v>
      </c>
      <c r="F7232" t="s">
        <v>42</v>
      </c>
      <c r="G7232">
        <v>-398.50439999999998</v>
      </c>
      <c r="H7232" s="1">
        <v>-1.444904E-6</v>
      </c>
      <c r="I7232">
        <v>22.463090000000001</v>
      </c>
      <c r="J7232">
        <v>-417.08260000000001</v>
      </c>
      <c r="K7232">
        <v>1.1112329999999999</v>
      </c>
      <c r="L7232">
        <v>37.902979999999999</v>
      </c>
      <c r="M7232">
        <v>0.55503840000000004</v>
      </c>
      <c r="N7232">
        <v>0</v>
      </c>
      <c r="O7232">
        <v>-0.83170519999999903</v>
      </c>
      <c r="P7232">
        <v>0.61259529999999995</v>
      </c>
      <c r="Q7232">
        <v>1.8221979999999999E-3</v>
      </c>
      <c r="R7232">
        <v>-0.79039490000000001</v>
      </c>
      <c r="S7232">
        <v>2.3616329999999999</v>
      </c>
      <c r="T7232">
        <v>-0.14080329999999999</v>
      </c>
      <c r="U7232">
        <v>-1.9674990000000001</v>
      </c>
      <c r="V7232">
        <v>-7.0837810000000001E-2</v>
      </c>
      <c r="W7232">
        <v>1.5745289999999999E-2</v>
      </c>
      <c r="X7232">
        <v>0.99736360000000002</v>
      </c>
      <c r="Y7232">
        <v>-0.28297060000000002</v>
      </c>
      <c r="Z7232">
        <v>4.173955E-2</v>
      </c>
      <c r="AA7232">
        <v>0.95821990000000001</v>
      </c>
      <c r="AB7232">
        <v>17</v>
      </c>
      <c r="AC7232">
        <v>18.578199999999999</v>
      </c>
      <c r="AD7232">
        <v>-1.1112344449039999</v>
      </c>
      <c r="AE7232">
        <v>-15.439889999999901</v>
      </c>
      <c r="AF7232">
        <v>-6.8680044387949302</v>
      </c>
      <c r="AG7232">
        <v>-1.1112344449039999</v>
      </c>
      <c r="AH7232">
        <v>23.106457250547901</v>
      </c>
      <c r="AI7232">
        <v>92.639391482661694</v>
      </c>
      <c r="AJ7232">
        <v>106.55369296961899</v>
      </c>
      <c r="AK7232">
        <v>24.131156077449901</v>
      </c>
      <c r="AL7232">
        <v>89.097824083247303</v>
      </c>
      <c r="AM7232">
        <v>94.062614004379498</v>
      </c>
      <c r="AN7232">
        <v>1.0000000300438601</v>
      </c>
    </row>
    <row r="7233" spans="1:40" x14ac:dyDescent="0.25">
      <c r="A7233" t="str">
        <f>"20190312154107691"</f>
        <v>20190312154107691</v>
      </c>
      <c r="B7233" t="str">
        <f>"1552376467684012"</f>
        <v>1552376467684012</v>
      </c>
      <c r="C7233" t="s">
        <v>40</v>
      </c>
      <c r="D7233">
        <v>4.1431279999999999</v>
      </c>
      <c r="E7233">
        <v>0.41706759999999898</v>
      </c>
      <c r="F7233" t="s">
        <v>42</v>
      </c>
      <c r="G7233">
        <v>-398.2996</v>
      </c>
      <c r="H7233" s="1">
        <v>-1.502032E-6</v>
      </c>
      <c r="I7233">
        <v>22.313980000000001</v>
      </c>
      <c r="J7233">
        <v>-417.02519999999998</v>
      </c>
      <c r="K7233">
        <v>1.111129</v>
      </c>
      <c r="L7233">
        <v>37.820340000000002</v>
      </c>
      <c r="M7233">
        <v>0.55625179999999996</v>
      </c>
      <c r="N7233">
        <v>0</v>
      </c>
      <c r="O7233">
        <v>-0.83089449999999998</v>
      </c>
      <c r="P7233">
        <v>0.61421150000000002</v>
      </c>
      <c r="Q7233">
        <v>2.6084469999999998E-3</v>
      </c>
      <c r="R7233">
        <v>-0.78913719999999998</v>
      </c>
      <c r="S7233">
        <v>2.365021</v>
      </c>
      <c r="T7233">
        <v>-0.13991899999999999</v>
      </c>
      <c r="U7233">
        <v>-1.96286</v>
      </c>
      <c r="V7233">
        <v>-7.1422340000000001E-2</v>
      </c>
      <c r="W7233">
        <v>1.653197E-2</v>
      </c>
      <c r="X7233">
        <v>0.99730909999999995</v>
      </c>
      <c r="Y7233">
        <v>-0.28336830000000002</v>
      </c>
      <c r="Z7233">
        <v>4.1459200000000002E-2</v>
      </c>
      <c r="AA7233">
        <v>0.95811460000000004</v>
      </c>
      <c r="AB7233">
        <v>17</v>
      </c>
      <c r="AC7233">
        <v>18.725599999999901</v>
      </c>
      <c r="AD7233">
        <v>-1.1111305020319999</v>
      </c>
      <c r="AE7233">
        <v>-15.506360000000001</v>
      </c>
      <c r="AF7233">
        <v>-6.91979157588767</v>
      </c>
      <c r="AG7233">
        <v>-1.1111305020319999</v>
      </c>
      <c r="AH7233">
        <v>23.254037778787399</v>
      </c>
      <c r="AI7233">
        <v>92.622175477718201</v>
      </c>
      <c r="AJ7233">
        <v>106.57162434403701</v>
      </c>
      <c r="AK7233">
        <v>24.287206497733401</v>
      </c>
      <c r="AL7233">
        <v>89.052744691700298</v>
      </c>
      <c r="AM7233">
        <v>94.096246777683106</v>
      </c>
      <c r="AN7233">
        <v>0.99999994881298104</v>
      </c>
    </row>
    <row r="7234" spans="1:40" x14ac:dyDescent="0.25">
      <c r="A7234" t="str">
        <f>"20190312154107704"</f>
        <v>20190312154107704</v>
      </c>
      <c r="B7234" t="str">
        <f>"1552376467693772"</f>
        <v>1552376467693772</v>
      </c>
      <c r="C7234" t="s">
        <v>40</v>
      </c>
      <c r="D7234">
        <v>4.1439579999999996</v>
      </c>
      <c r="E7234">
        <v>0.41724539999999999</v>
      </c>
      <c r="F7234" t="s">
        <v>42</v>
      </c>
      <c r="G7234">
        <v>-397.92149999999998</v>
      </c>
      <c r="H7234" s="1">
        <v>-1.6022699999999999E-6</v>
      </c>
      <c r="I7234">
        <v>22.018879999999999</v>
      </c>
      <c r="J7234">
        <v>-416.97039999999998</v>
      </c>
      <c r="K7234">
        <v>1.1110409999999999</v>
      </c>
      <c r="L7234">
        <v>37.74136</v>
      </c>
      <c r="M7234">
        <v>0.55733459999999901</v>
      </c>
      <c r="N7234">
        <v>0</v>
      </c>
      <c r="O7234">
        <v>-0.83016859999999904</v>
      </c>
      <c r="P7234">
        <v>0.61567240000000001</v>
      </c>
      <c r="Q7234">
        <v>2.951352E-3</v>
      </c>
      <c r="R7234">
        <v>-0.78799649999999999</v>
      </c>
      <c r="S7234">
        <v>2.3681950000000001</v>
      </c>
      <c r="T7234">
        <v>-0.13774159999999999</v>
      </c>
      <c r="U7234">
        <v>-1.9588319999999999</v>
      </c>
      <c r="V7234">
        <v>-7.1966890000000006E-2</v>
      </c>
      <c r="W7234">
        <v>1.6876200000000001E-2</v>
      </c>
      <c r="X7234">
        <v>0.99726429999999999</v>
      </c>
      <c r="Y7234">
        <v>-0.28374080000000002</v>
      </c>
      <c r="Z7234">
        <v>4.0796199999999998E-2</v>
      </c>
      <c r="AA7234">
        <v>0.95803280000000002</v>
      </c>
      <c r="AB7234">
        <v>17</v>
      </c>
      <c r="AC7234">
        <v>19.0489</v>
      </c>
      <c r="AD7234">
        <v>-1.11104260227</v>
      </c>
      <c r="AE7234">
        <v>-15.722479999999999</v>
      </c>
      <c r="AF7234">
        <v>-7.03757541599792</v>
      </c>
      <c r="AG7234">
        <v>-1.11104260227</v>
      </c>
      <c r="AH7234">
        <v>23.623465932018298</v>
      </c>
      <c r="AI7234">
        <v>92.580787099727203</v>
      </c>
      <c r="AJ7234">
        <v>106.58911699199101</v>
      </c>
      <c r="AK7234">
        <v>24.674481271977101</v>
      </c>
      <c r="AL7234">
        <v>89.033019121414</v>
      </c>
      <c r="AM7234">
        <v>94.127555305778401</v>
      </c>
      <c r="AN7234">
        <v>1.00000006171859</v>
      </c>
    </row>
    <row r="7235" spans="1:40" x14ac:dyDescent="0.25">
      <c r="A7235" t="str">
        <f>"20190312154107716"</f>
        <v>20190312154107716</v>
      </c>
      <c r="B7235" t="str">
        <f>"1552376467703532"</f>
        <v>1552376467703532</v>
      </c>
      <c r="C7235" t="s">
        <v>40</v>
      </c>
      <c r="D7235">
        <v>4.1406390000000002</v>
      </c>
      <c r="E7235">
        <v>0.41741869999999998</v>
      </c>
      <c r="F7235" t="s">
        <v>42</v>
      </c>
      <c r="G7235">
        <v>-397.76229999999998</v>
      </c>
      <c r="H7235" s="1">
        <v>-1.645546E-6</v>
      </c>
      <c r="I7235">
        <v>21.89873</v>
      </c>
      <c r="J7235">
        <v>-416.92090000000002</v>
      </c>
      <c r="K7235">
        <v>1.1109610000000001</v>
      </c>
      <c r="L7235">
        <v>37.669980000000002</v>
      </c>
      <c r="M7235">
        <v>0.55826119999999901</v>
      </c>
      <c r="N7235">
        <v>0</v>
      </c>
      <c r="O7235">
        <v>-0.82954599999999901</v>
      </c>
      <c r="P7235">
        <v>0.61659049999999904</v>
      </c>
      <c r="Q7235">
        <v>2.9891610000000002E-3</v>
      </c>
      <c r="R7235">
        <v>-0.78727840000000004</v>
      </c>
      <c r="S7235">
        <v>2.3707280000000002</v>
      </c>
      <c r="T7235">
        <v>-0.137128799999999</v>
      </c>
      <c r="U7235">
        <v>-1.9553529999999999</v>
      </c>
      <c r="V7235">
        <v>-7.2013430000000003E-2</v>
      </c>
      <c r="W7235">
        <v>1.6916730000000001E-2</v>
      </c>
      <c r="X7235">
        <v>0.99726020000000004</v>
      </c>
      <c r="Y7235">
        <v>-0.2840163</v>
      </c>
      <c r="Z7235">
        <v>4.060035E-2</v>
      </c>
      <c r="AA7235">
        <v>0.95795949999999996</v>
      </c>
      <c r="AB7235">
        <v>17</v>
      </c>
      <c r="AC7235">
        <v>19.1586</v>
      </c>
      <c r="AD7235">
        <v>-1.110962645546</v>
      </c>
      <c r="AE7235">
        <v>-15.771249999999901</v>
      </c>
      <c r="AF7235">
        <v>-7.0749837959211197</v>
      </c>
      <c r="AG7235">
        <v>-1.110962645546</v>
      </c>
      <c r="AH7235">
        <v>23.733263798006501</v>
      </c>
      <c r="AI7235">
        <v>92.568539936302798</v>
      </c>
      <c r="AJ7235">
        <v>106.59953566682201</v>
      </c>
      <c r="AK7235">
        <v>24.7902691437207</v>
      </c>
      <c r="AL7235">
        <v>89.0306965401588</v>
      </c>
      <c r="AM7235">
        <v>94.130232226474803</v>
      </c>
      <c r="AN7235">
        <v>1.00000000817914</v>
      </c>
    </row>
    <row r="7236" spans="1:40" x14ac:dyDescent="0.25">
      <c r="A7236" t="str">
        <f>"20190312154107727"</f>
        <v>20190312154107727</v>
      </c>
      <c r="B7236" t="str">
        <f>"1552376467724029"</f>
        <v>1552376467724029</v>
      </c>
      <c r="C7236" t="s">
        <v>40</v>
      </c>
      <c r="D7236">
        <v>4.2219759999999997</v>
      </c>
      <c r="E7236">
        <v>0.41776760000000002</v>
      </c>
      <c r="F7236" t="s">
        <v>42</v>
      </c>
      <c r="G7236">
        <v>-397.8005</v>
      </c>
      <c r="H7236" s="1">
        <v>-1.633312E-6</v>
      </c>
      <c r="I7236">
        <v>21.920639999999999</v>
      </c>
      <c r="J7236">
        <v>-416.87060000000002</v>
      </c>
      <c r="K7236">
        <v>1.110886</v>
      </c>
      <c r="L7236">
        <v>37.597630000000002</v>
      </c>
      <c r="M7236">
        <v>0.55908800000000003</v>
      </c>
      <c r="N7236">
        <v>0</v>
      </c>
      <c r="O7236">
        <v>-0.82898939999999999</v>
      </c>
      <c r="P7236">
        <v>0.61734579999999994</v>
      </c>
      <c r="Q7236">
        <v>2.3657639999999998E-3</v>
      </c>
      <c r="R7236">
        <v>-0.78668830000000001</v>
      </c>
      <c r="S7236">
        <v>2.3717350000000001</v>
      </c>
      <c r="T7236">
        <v>-0.13780619999999999</v>
      </c>
      <c r="U7236">
        <v>-1.9535830000000001</v>
      </c>
      <c r="V7236">
        <v>-7.1970909999999999E-2</v>
      </c>
      <c r="W7236">
        <v>1.6296439999999999E-2</v>
      </c>
      <c r="X7236">
        <v>0.99727359999999998</v>
      </c>
      <c r="Y7236">
        <v>-0.28367900000000001</v>
      </c>
      <c r="Z7236">
        <v>4.078114E-2</v>
      </c>
      <c r="AA7236">
        <v>0.95805169999999995</v>
      </c>
      <c r="AB7236">
        <v>17</v>
      </c>
      <c r="AC7236">
        <v>19.0701</v>
      </c>
      <c r="AD7236">
        <v>-1.1108876333119999</v>
      </c>
      <c r="AE7236">
        <v>-15.67699</v>
      </c>
      <c r="AF7236">
        <v>-7.03055193332382</v>
      </c>
      <c r="AG7236">
        <v>-1.1108876333119999</v>
      </c>
      <c r="AH7236">
        <v>23.612441696656301</v>
      </c>
      <c r="AI7236">
        <v>92.581742434723196</v>
      </c>
      <c r="AJ7236">
        <v>106.580782811126</v>
      </c>
      <c r="AK7236">
        <v>24.661916687455602</v>
      </c>
      <c r="AL7236">
        <v>89.066241442393405</v>
      </c>
      <c r="AM7236">
        <v>94.127746709748493</v>
      </c>
      <c r="AN7236">
        <v>1.00000000954993</v>
      </c>
    </row>
    <row r="7237" spans="1:40" x14ac:dyDescent="0.25">
      <c r="A7237" t="str">
        <f>"20190312154107750"</f>
        <v>20190312154107750</v>
      </c>
      <c r="B7237" t="str">
        <f>"1552376467743548"</f>
        <v>1552376467743548</v>
      </c>
      <c r="C7237" t="s">
        <v>40</v>
      </c>
      <c r="D7237">
        <v>4.1667889999999996</v>
      </c>
      <c r="E7237">
        <v>0.41803390000000001</v>
      </c>
      <c r="F7237" t="s">
        <v>42</v>
      </c>
      <c r="G7237">
        <v>-398.20429999999999</v>
      </c>
      <c r="H7237" s="1">
        <v>-1.5247289999999999E-6</v>
      </c>
      <c r="I7237">
        <v>22.229970000000002</v>
      </c>
      <c r="J7237">
        <v>-416.77789999999999</v>
      </c>
      <c r="K7237">
        <v>1.1107400000000001</v>
      </c>
      <c r="L7237">
        <v>37.46396</v>
      </c>
      <c r="M7237">
        <v>0.56045690000000004</v>
      </c>
      <c r="N7237">
        <v>0</v>
      </c>
      <c r="O7237">
        <v>-0.82806480000000005</v>
      </c>
      <c r="P7237">
        <v>0.61824480000000004</v>
      </c>
      <c r="Q7237">
        <v>1.78721E-3</v>
      </c>
      <c r="R7237">
        <v>-0.78598389999999996</v>
      </c>
      <c r="S7237">
        <v>2.3717649999999999</v>
      </c>
      <c r="T7237">
        <v>-0.141151</v>
      </c>
      <c r="U7237">
        <v>-1.952637</v>
      </c>
      <c r="V7237">
        <v>-7.1456549999999994E-2</v>
      </c>
      <c r="W7237">
        <v>1.572527E-2</v>
      </c>
      <c r="X7237">
        <v>0.99731979999999998</v>
      </c>
      <c r="Y7237">
        <v>-0.28229209999999999</v>
      </c>
      <c r="Z7237">
        <v>4.1724860000000003E-2</v>
      </c>
      <c r="AA7237">
        <v>0.95842070000000001</v>
      </c>
      <c r="AB7237">
        <v>17</v>
      </c>
      <c r="AC7237">
        <v>18.573599999999999</v>
      </c>
      <c r="AD7237">
        <v>-1.110741524729</v>
      </c>
      <c r="AE7237">
        <v>-15.23399</v>
      </c>
      <c r="AF7237">
        <v>-6.8282239270468699</v>
      </c>
      <c r="AG7237">
        <v>-1.110741524729</v>
      </c>
      <c r="AH7237">
        <v>22.977572187085599</v>
      </c>
      <c r="AI7237">
        <v>92.653045841034896</v>
      </c>
      <c r="AJ7237">
        <v>106.550321270361</v>
      </c>
      <c r="AK7237">
        <v>23.996399987193499</v>
      </c>
      <c r="AL7237">
        <v>89.098971307493599</v>
      </c>
      <c r="AM7237">
        <v>94.098158302929903</v>
      </c>
      <c r="AN7237">
        <v>1.00000005306325</v>
      </c>
    </row>
    <row r="7238" spans="1:40" x14ac:dyDescent="0.25">
      <c r="A7238" t="str">
        <f>"20190312154107762"</f>
        <v>20190312154107762</v>
      </c>
      <c r="B7238" t="str">
        <f>"1552376467753308"</f>
        <v>1552376467753308</v>
      </c>
      <c r="C7238" t="s">
        <v>40</v>
      </c>
      <c r="D7238">
        <v>4.1238159999999997</v>
      </c>
      <c r="E7238">
        <v>0.43093300000000001</v>
      </c>
      <c r="F7238" t="s">
        <v>42</v>
      </c>
      <c r="G7238">
        <v>-398.40820000000002</v>
      </c>
      <c r="H7238" s="1">
        <v>-1.461656E-6</v>
      </c>
      <c r="I7238">
        <v>22.355090000000001</v>
      </c>
      <c r="J7238">
        <v>-416.72800000000001</v>
      </c>
      <c r="K7238">
        <v>1.110662</v>
      </c>
      <c r="L7238">
        <v>37.391939999999998</v>
      </c>
      <c r="M7238">
        <v>0.56110019999999905</v>
      </c>
      <c r="N7238">
        <v>0</v>
      </c>
      <c r="O7238">
        <v>-0.82762919999999995</v>
      </c>
      <c r="P7238">
        <v>0.61874810000000002</v>
      </c>
      <c r="Q7238">
        <v>1.476125E-3</v>
      </c>
      <c r="R7238">
        <v>-0.78558850000000002</v>
      </c>
      <c r="S7238">
        <v>2.3722840000000001</v>
      </c>
      <c r="T7238">
        <v>-0.14344219999999999</v>
      </c>
      <c r="U7238">
        <v>-1.9511719999999999</v>
      </c>
      <c r="V7238">
        <v>-7.1317069999999996E-2</v>
      </c>
      <c r="W7238">
        <v>1.54187E-2</v>
      </c>
      <c r="X7238">
        <v>0.99733450000000001</v>
      </c>
      <c r="Y7238">
        <v>-0.28197660000000002</v>
      </c>
      <c r="Z7238">
        <v>4.2387889999999998E-2</v>
      </c>
      <c r="AA7238">
        <v>0.95848449999999996</v>
      </c>
      <c r="AB7238">
        <v>17</v>
      </c>
      <c r="AC7238">
        <v>18.319799999999901</v>
      </c>
      <c r="AD7238">
        <v>-1.1106634616560001</v>
      </c>
      <c r="AE7238">
        <v>-15.036849999999999</v>
      </c>
      <c r="AF7238">
        <v>-6.7107454168346896</v>
      </c>
      <c r="AG7238">
        <v>-1.1106634616560001</v>
      </c>
      <c r="AH7238">
        <v>22.676613118435199</v>
      </c>
      <c r="AI7238">
        <v>92.688921430070593</v>
      </c>
      <c r="AJ7238">
        <v>106.485194489634</v>
      </c>
      <c r="AK7238">
        <v>23.674806438444499</v>
      </c>
      <c r="AL7238">
        <v>89.116538541755205</v>
      </c>
      <c r="AM7238">
        <v>94.090125974937806</v>
      </c>
      <c r="AN7238">
        <v>0.99999998283666203</v>
      </c>
    </row>
    <row r="7239" spans="1:40" x14ac:dyDescent="0.25">
      <c r="A7239" t="str">
        <f>"20190312154107772"</f>
        <v>20190312154107772</v>
      </c>
      <c r="B7239" t="str">
        <f>"1552376467764043"</f>
        <v>1552376467764043</v>
      </c>
      <c r="C7239" t="s">
        <v>40</v>
      </c>
      <c r="D7239">
        <v>4.1550050000000001</v>
      </c>
      <c r="E7239">
        <v>0.43068190000000001</v>
      </c>
      <c r="F7239" t="s">
        <v>69</v>
      </c>
      <c r="G7239">
        <v>-403.89789999999999</v>
      </c>
      <c r="H7239" s="1">
        <v>-5.4875099999999901E-6</v>
      </c>
      <c r="I7239">
        <v>26.138339999999999</v>
      </c>
      <c r="J7239">
        <v>-416.67750000000001</v>
      </c>
      <c r="K7239">
        <v>1.1105879999999999</v>
      </c>
      <c r="L7239">
        <v>37.319029999999998</v>
      </c>
      <c r="M7239">
        <v>0.5616738</v>
      </c>
      <c r="N7239">
        <v>0</v>
      </c>
      <c r="O7239">
        <v>-0.82724010000000003</v>
      </c>
      <c r="P7239">
        <v>0.61912080000000003</v>
      </c>
      <c r="Q7239">
        <v>8.7754429999999995E-4</v>
      </c>
      <c r="R7239">
        <v>-0.78529530000000003</v>
      </c>
      <c r="S7239">
        <v>2.2941280000000002</v>
      </c>
      <c r="T7239">
        <v>-0.19859660000000001</v>
      </c>
      <c r="U7239">
        <v>-2.012238</v>
      </c>
      <c r="V7239">
        <v>-7.1095619999999998E-2</v>
      </c>
      <c r="W7239">
        <v>1.4824149999999999E-2</v>
      </c>
      <c r="X7239">
        <v>0.99735929999999995</v>
      </c>
      <c r="Y7239">
        <v>-0.25003019999999998</v>
      </c>
      <c r="Z7239">
        <v>5.8386809999999997E-2</v>
      </c>
      <c r="AA7239">
        <v>0.966476</v>
      </c>
      <c r="AB7239">
        <v>17</v>
      </c>
      <c r="AC7239">
        <v>12.7796</v>
      </c>
      <c r="AD7239">
        <v>-1.1105934875100001</v>
      </c>
      <c r="AE7239">
        <v>-11.180689999999901</v>
      </c>
      <c r="AF7239">
        <v>-4.2740346659777799</v>
      </c>
      <c r="AG7239">
        <v>-1.1105934875100001</v>
      </c>
      <c r="AH7239">
        <v>16.358714383383301</v>
      </c>
      <c r="AI7239">
        <v>93.758082475295495</v>
      </c>
      <c r="AJ7239">
        <v>104.642331467331</v>
      </c>
      <c r="AK7239">
        <v>16.944271199953999</v>
      </c>
      <c r="AL7239">
        <v>89.150607622713295</v>
      </c>
      <c r="AM7239">
        <v>94.077367388549604</v>
      </c>
      <c r="AN7239">
        <v>0.99999995795144703</v>
      </c>
    </row>
    <row r="7240" spans="1:40" x14ac:dyDescent="0.25">
      <c r="A7240" t="str">
        <f>"20190312154107785"</f>
        <v>20190312154107785</v>
      </c>
      <c r="B7240" t="str">
        <f>"1552376467773804"</f>
        <v>1552376467773804</v>
      </c>
      <c r="C7240" t="s">
        <v>40</v>
      </c>
      <c r="D7240">
        <v>4.165082</v>
      </c>
      <c r="E7240">
        <v>0.43078129999999998</v>
      </c>
      <c r="F7240" t="s">
        <v>69</v>
      </c>
      <c r="G7240">
        <v>-403.97109999999998</v>
      </c>
      <c r="H7240" s="1">
        <v>-5.4644389999999997E-6</v>
      </c>
      <c r="I7240">
        <v>26.200199999999999</v>
      </c>
      <c r="J7240">
        <v>-416.62819999999999</v>
      </c>
      <c r="K7240">
        <v>1.1105210000000001</v>
      </c>
      <c r="L7240">
        <v>37.247770000000003</v>
      </c>
      <c r="M7240">
        <v>0.56216940000000004</v>
      </c>
      <c r="N7240">
        <v>0</v>
      </c>
      <c r="O7240">
        <v>-0.82690370000000002</v>
      </c>
      <c r="P7240">
        <v>0.6194482</v>
      </c>
      <c r="Q7240">
        <v>4.8956269999999896E-4</v>
      </c>
      <c r="R7240">
        <v>-0.78503769999999995</v>
      </c>
      <c r="S7240">
        <v>2.2966920000000002</v>
      </c>
      <c r="T7240">
        <v>-0.20074030000000001</v>
      </c>
      <c r="U7240">
        <v>-2.009735</v>
      </c>
      <c r="V7240">
        <v>-7.0910550000000003E-2</v>
      </c>
      <c r="W7240">
        <v>1.444081E-2</v>
      </c>
      <c r="X7240">
        <v>0.99737819999999999</v>
      </c>
      <c r="Y7240">
        <v>-0.2505484</v>
      </c>
      <c r="Z7240">
        <v>5.9001640000000001E-2</v>
      </c>
      <c r="AA7240">
        <v>0.96630450000000001</v>
      </c>
      <c r="AB7240">
        <v>17</v>
      </c>
      <c r="AC7240">
        <v>12.6571</v>
      </c>
      <c r="AD7240">
        <v>-1.1105264644389901</v>
      </c>
      <c r="AE7240">
        <v>-11.04757</v>
      </c>
      <c r="AF7240">
        <v>-4.2374984356043699</v>
      </c>
      <c r="AG7240">
        <v>-1.1105264644389901</v>
      </c>
      <c r="AH7240">
        <v>16.181598331295799</v>
      </c>
      <c r="AI7240">
        <v>93.798310181491303</v>
      </c>
      <c r="AJ7240">
        <v>104.674606402763</v>
      </c>
      <c r="AK7240">
        <v>16.7640623530027</v>
      </c>
      <c r="AL7240">
        <v>89.172573822766196</v>
      </c>
      <c r="AM7240">
        <v>94.066712389537997</v>
      </c>
      <c r="AN7240">
        <v>1.00000005846499</v>
      </c>
    </row>
    <row r="7241" spans="1:40" x14ac:dyDescent="0.25">
      <c r="A7241" t="str">
        <f>"20190312154107797"</f>
        <v>20190312154107797</v>
      </c>
      <c r="B7241" t="str">
        <f>"1552376467793324"</f>
        <v>1552376467793324</v>
      </c>
      <c r="C7241" t="s">
        <v>40</v>
      </c>
      <c r="D7241">
        <v>4.1494419999999996</v>
      </c>
      <c r="E7241">
        <v>0.4229234</v>
      </c>
      <c r="F7241" t="s">
        <v>69</v>
      </c>
      <c r="G7241">
        <v>-403.7946</v>
      </c>
      <c r="H7241" s="1">
        <v>-5.5148979999999999E-6</v>
      </c>
      <c r="I7241">
        <v>26.021740000000001</v>
      </c>
      <c r="J7241">
        <v>-416.5752</v>
      </c>
      <c r="K7241">
        <v>1.110452</v>
      </c>
      <c r="L7241">
        <v>37.171050000000001</v>
      </c>
      <c r="M7241">
        <v>0.562662199999999</v>
      </c>
      <c r="N7241">
        <v>0</v>
      </c>
      <c r="O7241">
        <v>-0.82656870000000005</v>
      </c>
      <c r="P7241">
        <v>0.61991099999999999</v>
      </c>
      <c r="Q7241">
        <v>4.4117400000000001E-4</v>
      </c>
      <c r="R7241">
        <v>-0.78467249999999999</v>
      </c>
      <c r="S7241">
        <v>2.2969059999999999</v>
      </c>
      <c r="T7241">
        <v>-0.19875709999999999</v>
      </c>
      <c r="U7241">
        <v>-2.0091860000000001</v>
      </c>
      <c r="V7241">
        <v>-7.0902030000000005E-2</v>
      </c>
      <c r="W7241">
        <v>1.4396000000000001E-2</v>
      </c>
      <c r="X7241">
        <v>0.99737940000000003</v>
      </c>
      <c r="Y7241">
        <v>-0.25017830000000002</v>
      </c>
      <c r="Z7241">
        <v>5.8399739999999999E-2</v>
      </c>
      <c r="AA7241">
        <v>0.96643690000000004</v>
      </c>
      <c r="AB7241">
        <v>17</v>
      </c>
      <c r="AC7241">
        <v>12.7805999999999</v>
      </c>
      <c r="AD7241">
        <v>-1.110457514898</v>
      </c>
      <c r="AE7241">
        <v>-11.14931</v>
      </c>
      <c r="AF7241">
        <v>-4.2728509036462698</v>
      </c>
      <c r="AG7241">
        <v>-1.110457514898</v>
      </c>
      <c r="AH7241">
        <v>16.338394400677998</v>
      </c>
      <c r="AI7241">
        <v>93.762051856030993</v>
      </c>
      <c r="AJ7241">
        <v>104.655872663712</v>
      </c>
      <c r="AK7241">
        <v>16.924346437286498</v>
      </c>
      <c r="AL7241">
        <v>89.1751414693953</v>
      </c>
      <c r="AM7241">
        <v>94.066220531682703</v>
      </c>
      <c r="AN7241">
        <v>1.0000000051092399</v>
      </c>
    </row>
    <row r="7242" spans="1:40" x14ac:dyDescent="0.25">
      <c r="A7242" t="str">
        <f>"20190312154107808"</f>
        <v>20190312154107808</v>
      </c>
      <c r="B7242" t="str">
        <f>"1552376467804060"</f>
        <v>1552376467804060</v>
      </c>
      <c r="C7242" t="s">
        <v>40</v>
      </c>
      <c r="D7242">
        <v>4.1378380000000003</v>
      </c>
      <c r="E7242">
        <v>0.42212460000000002</v>
      </c>
      <c r="F7242" t="s">
        <v>42</v>
      </c>
      <c r="G7242">
        <v>-396.1309</v>
      </c>
      <c r="H7242" s="1">
        <v>-1.9116679999999998E-6</v>
      </c>
      <c r="I7242">
        <v>20.000640000000001</v>
      </c>
      <c r="J7242">
        <v>-416.52589999999998</v>
      </c>
      <c r="K7242">
        <v>1.1103909999999999</v>
      </c>
      <c r="L7242">
        <v>37.099670000000003</v>
      </c>
      <c r="M7242">
        <v>0.56302830000000004</v>
      </c>
      <c r="N7242">
        <v>0</v>
      </c>
      <c r="O7242">
        <v>-0.82631919999999903</v>
      </c>
      <c r="P7242">
        <v>0.62014230000000004</v>
      </c>
      <c r="Q7242">
        <v>4.7286970000000002E-4</v>
      </c>
      <c r="R7242">
        <v>-0.78448949999999995</v>
      </c>
      <c r="S7242">
        <v>2.345764</v>
      </c>
      <c r="T7242">
        <v>-0.12741279999999999</v>
      </c>
      <c r="U7242">
        <v>-1.9701230000000001</v>
      </c>
      <c r="V7242">
        <v>-7.0752179999999998E-2</v>
      </c>
      <c r="W7242">
        <v>1.4431279999999999E-2</v>
      </c>
      <c r="X7242">
        <v>0.99738959999999999</v>
      </c>
      <c r="Y7242">
        <v>-0.27004089999999997</v>
      </c>
      <c r="Z7242">
        <v>3.7568509999999999E-2</v>
      </c>
      <c r="AA7242">
        <v>0.96211559999999896</v>
      </c>
      <c r="AB7242">
        <v>17</v>
      </c>
      <c r="AC7242">
        <v>20.3949999999999</v>
      </c>
      <c r="AD7242">
        <v>-1.11039291166799</v>
      </c>
      <c r="AE7242">
        <v>-17.099029999999999</v>
      </c>
      <c r="AF7242">
        <v>-7.2136928167728502</v>
      </c>
      <c r="AG7242">
        <v>-1.11039291166799</v>
      </c>
      <c r="AH7242">
        <v>25.570216399673399</v>
      </c>
      <c r="AI7242">
        <v>92.393223462751493</v>
      </c>
      <c r="AJ7242">
        <v>105.754454098769</v>
      </c>
      <c r="AK7242">
        <v>26.591470497119399</v>
      </c>
      <c r="AL7242">
        <v>89.173119920853196</v>
      </c>
      <c r="AM7242">
        <v>94.057614035265999</v>
      </c>
      <c r="AN7242">
        <v>1.00000007350267</v>
      </c>
    </row>
    <row r="7243" spans="1:40" x14ac:dyDescent="0.25">
      <c r="A7243" t="str">
        <f>"20190312154107821"</f>
        <v>20190312154107821</v>
      </c>
      <c r="B7243" t="str">
        <f>"1552376467813821"</f>
        <v>1552376467813821</v>
      </c>
      <c r="C7243" t="s">
        <v>40</v>
      </c>
      <c r="D7243">
        <v>4.1253289999999998</v>
      </c>
      <c r="E7243">
        <v>0.421572</v>
      </c>
      <c r="F7243" t="s">
        <v>42</v>
      </c>
      <c r="G7243">
        <v>-393.52080000000001</v>
      </c>
      <c r="H7243" s="1">
        <v>-3.3541959999999999E-6</v>
      </c>
      <c r="I7243">
        <v>17.86327</v>
      </c>
      <c r="J7243">
        <v>-416.47160000000002</v>
      </c>
      <c r="K7243">
        <v>1.110333</v>
      </c>
      <c r="L7243">
        <v>37.021030000000003</v>
      </c>
      <c r="M7243">
        <v>0.56339839999999997</v>
      </c>
      <c r="N7243">
        <v>0</v>
      </c>
      <c r="O7243">
        <v>-0.82606689999999905</v>
      </c>
      <c r="P7243">
        <v>0.62044319999999997</v>
      </c>
      <c r="Q7243">
        <v>5.068583E-4</v>
      </c>
      <c r="R7243">
        <v>-0.78425140000000004</v>
      </c>
      <c r="S7243">
        <v>2.3509519999999999</v>
      </c>
      <c r="T7243">
        <v>-0.1134742</v>
      </c>
      <c r="U7243">
        <v>-1.9658199999999999</v>
      </c>
      <c r="V7243">
        <v>-7.0686509999999994E-2</v>
      </c>
      <c r="W7243">
        <v>1.4468470000000001E-2</v>
      </c>
      <c r="X7243">
        <v>0.99739370000000005</v>
      </c>
      <c r="Y7243">
        <v>-0.27182460000000003</v>
      </c>
      <c r="Z7243">
        <v>3.3462440000000003E-2</v>
      </c>
      <c r="AA7243">
        <v>0.96176490000000003</v>
      </c>
      <c r="AB7243">
        <v>17</v>
      </c>
      <c r="AC7243">
        <v>22.950800000000001</v>
      </c>
      <c r="AD7243">
        <v>-1.1103363541959901</v>
      </c>
      <c r="AE7243">
        <v>-19.15776</v>
      </c>
      <c r="AF7243">
        <v>-8.1549951023226601</v>
      </c>
      <c r="AG7243">
        <v>-1.1103363541959901</v>
      </c>
      <c r="AH7243">
        <v>28.719234712673501</v>
      </c>
      <c r="AI7243">
        <v>92.129930890865893</v>
      </c>
      <c r="AJ7243">
        <v>105.852206331825</v>
      </c>
      <c r="AK7243">
        <v>29.875261244380599</v>
      </c>
      <c r="AL7243">
        <v>89.170988854016102</v>
      </c>
      <c r="AM7243">
        <v>94.053843836038197</v>
      </c>
      <c r="AN7243">
        <v>1.0000000560599001</v>
      </c>
    </row>
    <row r="7244" spans="1:40" x14ac:dyDescent="0.25">
      <c r="A7244" t="str">
        <f>"20190312154107833"</f>
        <v>20190312154107833</v>
      </c>
      <c r="B7244" t="str">
        <f>"1552376467823580"</f>
        <v>1552376467823580</v>
      </c>
      <c r="C7244" t="s">
        <v>40</v>
      </c>
      <c r="D7244">
        <v>4.1287799999999999</v>
      </c>
      <c r="E7244">
        <v>0.42141040000000002</v>
      </c>
      <c r="F7244" t="s">
        <v>42</v>
      </c>
      <c r="G7244">
        <v>-392.37150000000003</v>
      </c>
      <c r="H7244" s="1">
        <v>-4.0606050000000001E-6</v>
      </c>
      <c r="I7244">
        <v>16.943629999999999</v>
      </c>
      <c r="J7244">
        <v>-416.42059999999998</v>
      </c>
      <c r="K7244">
        <v>1.110285</v>
      </c>
      <c r="L7244">
        <v>36.946930000000002</v>
      </c>
      <c r="M7244">
        <v>0.56368549999999995</v>
      </c>
      <c r="N7244">
        <v>0</v>
      </c>
      <c r="O7244">
        <v>-0.82587129999999997</v>
      </c>
      <c r="P7244">
        <v>0.6206218</v>
      </c>
      <c r="Q7244">
        <v>3.0346030000000002E-4</v>
      </c>
      <c r="R7244">
        <v>-0.78411009999999903</v>
      </c>
      <c r="S7244">
        <v>2.3552249999999999</v>
      </c>
      <c r="T7244">
        <v>-0.10850949999999999</v>
      </c>
      <c r="U7244">
        <v>-1.962097</v>
      </c>
      <c r="V7244">
        <v>-7.0565439999999993E-2</v>
      </c>
      <c r="W7244">
        <v>1.426726E-2</v>
      </c>
      <c r="X7244">
        <v>0.99740510000000004</v>
      </c>
      <c r="Y7244">
        <v>-0.27328980000000003</v>
      </c>
      <c r="Z7244">
        <v>3.2000529999999999E-2</v>
      </c>
      <c r="AA7244">
        <v>0.96139929999999996</v>
      </c>
      <c r="AB7244">
        <v>17</v>
      </c>
      <c r="AC7244">
        <v>24.0490999999999</v>
      </c>
      <c r="AD7244">
        <v>-1.110289060605</v>
      </c>
      <c r="AE7244">
        <v>-20.003299999999999</v>
      </c>
      <c r="AF7244">
        <v>-8.5759253629459007</v>
      </c>
      <c r="AG7244">
        <v>-1.110289060605</v>
      </c>
      <c r="AH7244">
        <v>30.0413697029439</v>
      </c>
      <c r="AI7244">
        <v>92.035374283468997</v>
      </c>
      <c r="AJ7244">
        <v>105.932482297766</v>
      </c>
      <c r="AK7244">
        <v>31.261208090185399</v>
      </c>
      <c r="AL7244">
        <v>89.182518469029901</v>
      </c>
      <c r="AM7244">
        <v>94.046877507052201</v>
      </c>
      <c r="AN7244">
        <v>0.99999998476815499</v>
      </c>
    </row>
    <row r="7245" spans="1:40" x14ac:dyDescent="0.25">
      <c r="A7245" t="str">
        <f>"20190312154107846"</f>
        <v>20190312154107846</v>
      </c>
      <c r="B7245" t="str">
        <f>"1552376467833340"</f>
        <v>1552376467833340</v>
      </c>
      <c r="C7245" t="s">
        <v>40</v>
      </c>
      <c r="D7245">
        <v>4.104654</v>
      </c>
      <c r="E7245">
        <v>0.42132259999999999</v>
      </c>
      <c r="F7245" t="s">
        <v>42</v>
      </c>
      <c r="G7245">
        <v>-392.2593</v>
      </c>
      <c r="H7245" s="1">
        <v>-4.1315780000000002E-6</v>
      </c>
      <c r="I7245">
        <v>16.842610000000001</v>
      </c>
      <c r="J7245">
        <v>-416.37079999999997</v>
      </c>
      <c r="K7245">
        <v>1.11025</v>
      </c>
      <c r="L7245">
        <v>36.874789999999997</v>
      </c>
      <c r="M7245">
        <v>0.56391469999999999</v>
      </c>
      <c r="N7245">
        <v>0</v>
      </c>
      <c r="O7245">
        <v>-0.82571510000000004</v>
      </c>
      <c r="P7245">
        <v>0.62052249999999998</v>
      </c>
      <c r="Q7245">
        <v>1.4435970000000001E-4</v>
      </c>
      <c r="R7245">
        <v>-0.78418900000000002</v>
      </c>
      <c r="S7245">
        <v>2.3565369999999999</v>
      </c>
      <c r="T7245">
        <v>-0.10829039999999999</v>
      </c>
      <c r="U7245">
        <v>-1.9608460000000001</v>
      </c>
      <c r="V7245">
        <v>-7.0160849999999997E-2</v>
      </c>
      <c r="W7245">
        <v>1.4109450000000001E-2</v>
      </c>
      <c r="X7245">
        <v>0.99743590000000004</v>
      </c>
      <c r="Y7245">
        <v>-0.27358969999999999</v>
      </c>
      <c r="Z7245">
        <v>3.1932580000000002E-2</v>
      </c>
      <c r="AA7245">
        <v>0.96131630000000001</v>
      </c>
      <c r="AB7245">
        <v>17</v>
      </c>
      <c r="AC7245">
        <v>24.1114999999999</v>
      </c>
      <c r="AD7245">
        <v>-1.1102541315779999</v>
      </c>
      <c r="AE7245">
        <v>-20.03218</v>
      </c>
      <c r="AF7245">
        <v>-8.6028361869351002</v>
      </c>
      <c r="AG7245">
        <v>-1.1102541315779999</v>
      </c>
      <c r="AH7245">
        <v>30.102876606368699</v>
      </c>
      <c r="AI7245">
        <v>92.030988698360005</v>
      </c>
      <c r="AJ7245">
        <v>105.948940369995</v>
      </c>
      <c r="AK7245">
        <v>31.327697564203199</v>
      </c>
      <c r="AL7245">
        <v>89.191561237106399</v>
      </c>
      <c r="AM7245">
        <v>94.023627151536402</v>
      </c>
      <c r="AN7245">
        <v>0.99999999803041695</v>
      </c>
    </row>
    <row r="7246" spans="1:40" x14ac:dyDescent="0.25">
      <c r="A7246" t="str">
        <f>"20190312154107858"</f>
        <v>20190312154107858</v>
      </c>
      <c r="B7246" t="str">
        <f>"1552376467853836"</f>
        <v>1552376467853836</v>
      </c>
      <c r="C7246" t="s">
        <v>40</v>
      </c>
      <c r="D7246">
        <v>4.1285170000000004</v>
      </c>
      <c r="E7246">
        <v>0.42120259999999998</v>
      </c>
      <c r="F7246" t="s">
        <v>42</v>
      </c>
      <c r="G7246">
        <v>-391.88670000000002</v>
      </c>
      <c r="H7246" s="1">
        <v>-4.3669069999999996E-6</v>
      </c>
      <c r="I7246">
        <v>16.508669999999999</v>
      </c>
      <c r="J7246">
        <v>-416.3168</v>
      </c>
      <c r="K7246">
        <v>1.110214</v>
      </c>
      <c r="L7246">
        <v>36.796230000000001</v>
      </c>
      <c r="M7246">
        <v>0.56413359999999901</v>
      </c>
      <c r="N7246">
        <v>0</v>
      </c>
      <c r="O7246">
        <v>-0.8255652</v>
      </c>
      <c r="P7246">
        <v>0.62062790000000001</v>
      </c>
      <c r="Q7246" s="1">
        <v>-2.819113E-6</v>
      </c>
      <c r="R7246">
        <v>-0.78410519999999995</v>
      </c>
      <c r="S7246">
        <v>2.356995</v>
      </c>
      <c r="T7246">
        <v>-0.10688010000000001</v>
      </c>
      <c r="U7246">
        <v>-1.9605710000000001</v>
      </c>
      <c r="V7246">
        <v>-7.0029729999999998E-2</v>
      </c>
      <c r="W7246">
        <v>1.3963069999999999E-2</v>
      </c>
      <c r="X7246">
        <v>0.99744719999999998</v>
      </c>
      <c r="Y7246">
        <v>-0.27350479999999999</v>
      </c>
      <c r="Z7246">
        <v>3.1510259999999998E-2</v>
      </c>
      <c r="AA7246">
        <v>0.96135440000000005</v>
      </c>
      <c r="AB7246">
        <v>17</v>
      </c>
      <c r="AC7246">
        <v>24.4300999999999</v>
      </c>
      <c r="AD7246">
        <v>-1.110218366907</v>
      </c>
      <c r="AE7246">
        <v>-20.287559999999999</v>
      </c>
      <c r="AF7246">
        <v>-8.7139474383910098</v>
      </c>
      <c r="AG7246">
        <v>-1.110218366907</v>
      </c>
      <c r="AH7246">
        <v>30.496251237949501</v>
      </c>
      <c r="AI7246">
        <v>92.004770426755499</v>
      </c>
      <c r="AJ7246">
        <v>105.94666875460599</v>
      </c>
      <c r="AK7246">
        <v>31.736206521091901</v>
      </c>
      <c r="AL7246">
        <v>89.1999490400989</v>
      </c>
      <c r="AM7246">
        <v>94.016086881482096</v>
      </c>
      <c r="AN7246">
        <v>1.00000002359776</v>
      </c>
    </row>
    <row r="7247" spans="1:40" x14ac:dyDescent="0.25">
      <c r="A7247" t="str">
        <f>"20190312154107872"</f>
        <v>20190312154107872</v>
      </c>
      <c r="B7247" t="str">
        <f>"1552376467863598"</f>
        <v>1552376467863598</v>
      </c>
      <c r="C7247" t="s">
        <v>40</v>
      </c>
      <c r="D7247">
        <v>4.142855</v>
      </c>
      <c r="E7247">
        <v>0.42130190000000001</v>
      </c>
      <c r="F7247" t="s">
        <v>42</v>
      </c>
      <c r="G7247">
        <v>-391.22750000000002</v>
      </c>
      <c r="H7247" s="1">
        <v>-4.7788169999999997E-6</v>
      </c>
      <c r="I7247">
        <v>15.94332</v>
      </c>
      <c r="J7247">
        <v>-416.25459999999998</v>
      </c>
      <c r="K7247">
        <v>1.110187</v>
      </c>
      <c r="L7247">
        <v>36.705689999999997</v>
      </c>
      <c r="M7247">
        <v>0.56431140000000002</v>
      </c>
      <c r="N7247">
        <v>0</v>
      </c>
      <c r="O7247">
        <v>-0.82544430000000002</v>
      </c>
      <c r="P7247">
        <v>0.62016519999999897</v>
      </c>
      <c r="Q7247">
        <v>-3.5069510000000002E-4</v>
      </c>
      <c r="R7247">
        <v>-0.78447159999999905</v>
      </c>
      <c r="S7247">
        <v>2.3578800000000002</v>
      </c>
      <c r="T7247">
        <v>-0.10433779999999999</v>
      </c>
      <c r="U7247">
        <v>-1.9597469999999999</v>
      </c>
      <c r="V7247">
        <v>-6.922528E-2</v>
      </c>
      <c r="W7247">
        <v>1.3615489999999999E-2</v>
      </c>
      <c r="X7247">
        <v>0.99750810000000001</v>
      </c>
      <c r="Y7247">
        <v>-0.27369549999999998</v>
      </c>
      <c r="Z7247">
        <v>3.0758569999999999E-2</v>
      </c>
      <c r="AA7247">
        <v>0.96132450000000003</v>
      </c>
      <c r="AB7247">
        <v>17</v>
      </c>
      <c r="AC7247">
        <v>25.027099999999901</v>
      </c>
      <c r="AD7247">
        <v>-1.1101917788169999</v>
      </c>
      <c r="AE7247">
        <v>-20.762370000000001</v>
      </c>
      <c r="AF7247">
        <v>-8.9324924612858805</v>
      </c>
      <c r="AG7247">
        <v>-1.1101917788169999</v>
      </c>
      <c r="AH7247">
        <v>31.227897342507202</v>
      </c>
      <c r="AI7247">
        <v>91.957633265455897</v>
      </c>
      <c r="AJ7247">
        <v>105.962757753296</v>
      </c>
      <c r="AK7247">
        <v>32.499284911992298</v>
      </c>
      <c r="AL7247">
        <v>89.219865754878697</v>
      </c>
      <c r="AM7247">
        <v>93.969859801878997</v>
      </c>
      <c r="AN7247">
        <v>0.99999996526231305</v>
      </c>
    </row>
    <row r="7248" spans="1:40" x14ac:dyDescent="0.25">
      <c r="A7248" t="str">
        <f>"20190312154107895"</f>
        <v>20190312154107895</v>
      </c>
      <c r="B7248" t="str">
        <f>"1552376467883625"</f>
        <v>1552376467883625</v>
      </c>
      <c r="C7248" t="s">
        <v>40</v>
      </c>
      <c r="D7248">
        <v>4.1466370000000001</v>
      </c>
      <c r="E7248">
        <v>0.4213191</v>
      </c>
      <c r="F7248" t="s">
        <v>42</v>
      </c>
      <c r="G7248">
        <v>-391.59480000000002</v>
      </c>
      <c r="H7248" s="1">
        <v>-4.5636120000000001E-6</v>
      </c>
      <c r="I7248">
        <v>16.177789999999899</v>
      </c>
      <c r="J7248">
        <v>-416.1635</v>
      </c>
      <c r="K7248">
        <v>1.110161</v>
      </c>
      <c r="L7248">
        <v>36.572940000000003</v>
      </c>
      <c r="M7248">
        <v>0.56449969999999905</v>
      </c>
      <c r="N7248">
        <v>0</v>
      </c>
      <c r="O7248">
        <v>-0.82531520000000003</v>
      </c>
      <c r="P7248">
        <v>0.61897480000000005</v>
      </c>
      <c r="Q7248">
        <v>-1.222332E-3</v>
      </c>
      <c r="R7248">
        <v>-0.78540969999999999</v>
      </c>
      <c r="S7248">
        <v>2.3562620000000001</v>
      </c>
      <c r="T7248">
        <v>-0.1060797</v>
      </c>
      <c r="U7248">
        <v>-1.9614560000000001</v>
      </c>
      <c r="V7248">
        <v>-6.748461E-2</v>
      </c>
      <c r="W7248">
        <v>1.2742E-2</v>
      </c>
      <c r="X7248">
        <v>0.9976389</v>
      </c>
      <c r="Y7248">
        <v>-0.2727251</v>
      </c>
      <c r="Z7248">
        <v>3.1259530000000001E-2</v>
      </c>
      <c r="AA7248">
        <v>0.96158399999999999</v>
      </c>
      <c r="AB7248">
        <v>17</v>
      </c>
      <c r="AC7248">
        <v>24.5686999999999</v>
      </c>
      <c r="AD7248">
        <v>-1.110165563612</v>
      </c>
      <c r="AE7248">
        <v>-20.395150000000001</v>
      </c>
      <c r="AF7248">
        <v>-8.7541377396737392</v>
      </c>
      <c r="AG7248">
        <v>-1.110165563612</v>
      </c>
      <c r="AH7248">
        <v>30.667372934462399</v>
      </c>
      <c r="AI7248">
        <v>91.993647582457001</v>
      </c>
      <c r="AJ7248">
        <v>105.931630473289</v>
      </c>
      <c r="AK7248">
        <v>31.911677452700701</v>
      </c>
      <c r="AL7248">
        <v>89.269917386339401</v>
      </c>
      <c r="AM7248">
        <v>93.869839038351202</v>
      </c>
      <c r="AN7248">
        <v>0.99999995297202904</v>
      </c>
    </row>
    <row r="7249" spans="1:40" x14ac:dyDescent="0.25">
      <c r="A7249" t="str">
        <f>"20190312154107907"</f>
        <v>20190312154107907</v>
      </c>
      <c r="B7249" t="str">
        <f>"1552376467903144"</f>
        <v>1552376467903144</v>
      </c>
      <c r="C7249" t="s">
        <v>40</v>
      </c>
      <c r="D7249">
        <v>4.1680890000000002</v>
      </c>
      <c r="E7249">
        <v>0.42149639999999999</v>
      </c>
      <c r="F7249" t="s">
        <v>42</v>
      </c>
      <c r="G7249">
        <v>-392.3997</v>
      </c>
      <c r="H7249" s="1">
        <v>-4.0847640000000001E-6</v>
      </c>
      <c r="I7249">
        <v>16.73235</v>
      </c>
      <c r="J7249">
        <v>-416.11399999999998</v>
      </c>
      <c r="K7249">
        <v>1.1101529999999999</v>
      </c>
      <c r="L7249">
        <v>36.500979999999998</v>
      </c>
      <c r="M7249">
        <v>0.56456269999999997</v>
      </c>
      <c r="N7249">
        <v>0</v>
      </c>
      <c r="O7249">
        <v>-0.82527240000000002</v>
      </c>
      <c r="P7249">
        <v>0.61819999999999997</v>
      </c>
      <c r="Q7249">
        <v>-1.5411649999999999E-3</v>
      </c>
      <c r="R7249">
        <v>-0.78601929999999998</v>
      </c>
      <c r="S7249">
        <v>2.3533629999999999</v>
      </c>
      <c r="T7249">
        <v>-0.10994139999999999</v>
      </c>
      <c r="U7249">
        <v>-1.964844</v>
      </c>
      <c r="V7249">
        <v>-6.6425440000000002E-2</v>
      </c>
      <c r="W7249">
        <v>1.2421110000000001E-2</v>
      </c>
      <c r="X7249">
        <v>0.99771410000000005</v>
      </c>
      <c r="Y7249">
        <v>-0.27122039999999997</v>
      </c>
      <c r="Z7249">
        <v>3.237959E-2</v>
      </c>
      <c r="AA7249">
        <v>0.96197250000000001</v>
      </c>
      <c r="AB7249">
        <v>17</v>
      </c>
      <c r="AC7249">
        <v>23.714300000000001</v>
      </c>
      <c r="AD7249">
        <v>-1.1101570847640001</v>
      </c>
      <c r="AE7249">
        <v>-19.768630000000002</v>
      </c>
      <c r="AF7249">
        <v>-8.4000824867050596</v>
      </c>
      <c r="AG7249">
        <v>-1.1101570847640001</v>
      </c>
      <c r="AH7249">
        <v>29.667241963719501</v>
      </c>
      <c r="AI7249">
        <v>92.062036009018797</v>
      </c>
      <c r="AJ7249">
        <v>105.809117487024</v>
      </c>
      <c r="AK7249">
        <v>30.853510015396601</v>
      </c>
      <c r="AL7249">
        <v>89.2883045360186</v>
      </c>
      <c r="AM7249">
        <v>93.808995940563804</v>
      </c>
      <c r="AN7249">
        <v>1.00000002419581</v>
      </c>
    </row>
    <row r="7250" spans="1:40" x14ac:dyDescent="0.25">
      <c r="A7250" t="str">
        <f>"20190312154107917"</f>
        <v>20190312154107917</v>
      </c>
      <c r="B7250" t="str">
        <f>"1552376467913880"</f>
        <v>1552376467913880</v>
      </c>
      <c r="C7250" t="s">
        <v>40</v>
      </c>
      <c r="D7250">
        <v>4.152361</v>
      </c>
      <c r="E7250">
        <v>0.42147469999999998</v>
      </c>
      <c r="F7250" t="s">
        <v>42</v>
      </c>
      <c r="G7250">
        <v>-392.88049999999998</v>
      </c>
      <c r="H7250" s="1">
        <v>-3.8013279999999999E-6</v>
      </c>
      <c r="I7250">
        <v>17.048999999999999</v>
      </c>
      <c r="J7250">
        <v>-416.06650000000002</v>
      </c>
      <c r="K7250">
        <v>1.110147</v>
      </c>
      <c r="L7250">
        <v>36.431579999999997</v>
      </c>
      <c r="M7250">
        <v>0.56461359999999905</v>
      </c>
      <c r="N7250">
        <v>0</v>
      </c>
      <c r="O7250">
        <v>-0.82523760000000002</v>
      </c>
      <c r="P7250">
        <v>0.61736990000000003</v>
      </c>
      <c r="Q7250">
        <v>-2.4093719999999999E-3</v>
      </c>
      <c r="R7250">
        <v>-0.78666969999999903</v>
      </c>
      <c r="S7250">
        <v>2.3504330000000002</v>
      </c>
      <c r="T7250">
        <v>-0.1123093</v>
      </c>
      <c r="U7250">
        <v>-1.967865</v>
      </c>
      <c r="V7250">
        <v>-6.5312350000000005E-2</v>
      </c>
      <c r="W7250">
        <v>1.1550950000000001E-2</v>
      </c>
      <c r="X7250">
        <v>0.99779799999999996</v>
      </c>
      <c r="Y7250">
        <v>-0.26982319999999999</v>
      </c>
      <c r="Z7250">
        <v>3.3063290000000002E-2</v>
      </c>
      <c r="AA7250">
        <v>0.96234209999999998</v>
      </c>
      <c r="AB7250">
        <v>17</v>
      </c>
      <c r="AC7250">
        <v>23.186</v>
      </c>
      <c r="AD7250">
        <v>-1.1101508013279999</v>
      </c>
      <c r="AE7250">
        <v>-19.382580000000001</v>
      </c>
      <c r="AF7250">
        <v>-8.1800481705454597</v>
      </c>
      <c r="AG7250">
        <v>-1.1101508013279999</v>
      </c>
      <c r="AH7250">
        <v>29.049990124093402</v>
      </c>
      <c r="AI7250">
        <v>92.106656494336804</v>
      </c>
      <c r="AJ7250">
        <v>105.726435620746</v>
      </c>
      <c r="AK7250">
        <v>30.2001249845767</v>
      </c>
      <c r="AL7250">
        <v>89.338164589734305</v>
      </c>
      <c r="AM7250">
        <v>93.745037837513607</v>
      </c>
      <c r="AN7250">
        <v>0.99999998815621205</v>
      </c>
    </row>
    <row r="7251" spans="1:40" x14ac:dyDescent="0.25">
      <c r="A7251" t="str">
        <f>"20190312154107929"</f>
        <v>20190312154107929</v>
      </c>
      <c r="B7251" t="str">
        <f>"1552376467923641"</f>
        <v>1552376467923641</v>
      </c>
      <c r="C7251" t="s">
        <v>40</v>
      </c>
      <c r="D7251">
        <v>4.1269850000000003</v>
      </c>
      <c r="E7251">
        <v>0.4214251</v>
      </c>
      <c r="F7251" t="s">
        <v>42</v>
      </c>
      <c r="G7251">
        <v>-393.45679999999999</v>
      </c>
      <c r="H7251" s="1">
        <v>-3.4552570000000001E-6</v>
      </c>
      <c r="I7251">
        <v>17.46415</v>
      </c>
      <c r="J7251">
        <v>-416.0163</v>
      </c>
      <c r="K7251">
        <v>1.1101449999999999</v>
      </c>
      <c r="L7251">
        <v>36.358249999999998</v>
      </c>
      <c r="M7251">
        <v>0.56463949999999996</v>
      </c>
      <c r="N7251">
        <v>0</v>
      </c>
      <c r="O7251">
        <v>-0.82521979999999995</v>
      </c>
      <c r="P7251">
        <v>0.616672</v>
      </c>
      <c r="Q7251">
        <v>-2.7198449999999998E-3</v>
      </c>
      <c r="R7251">
        <v>-0.78721569999999996</v>
      </c>
      <c r="S7251">
        <v>2.3484799999999999</v>
      </c>
      <c r="T7251">
        <v>-0.1153117</v>
      </c>
      <c r="U7251">
        <v>-1.970154</v>
      </c>
      <c r="V7251">
        <v>-6.439665E-2</v>
      </c>
      <c r="W7251">
        <v>1.123769E-2</v>
      </c>
      <c r="X7251">
        <v>0.99786109999999995</v>
      </c>
      <c r="Y7251">
        <v>-0.26882149999999999</v>
      </c>
      <c r="Z7251">
        <v>3.393471E-2</v>
      </c>
      <c r="AA7251">
        <v>0.962592</v>
      </c>
      <c r="AB7251">
        <v>17</v>
      </c>
      <c r="AC7251">
        <v>22.5595</v>
      </c>
      <c r="AD7251">
        <v>-1.110148455257</v>
      </c>
      <c r="AE7251">
        <v>-18.894100000000002</v>
      </c>
      <c r="AF7251">
        <v>-7.93766665048358</v>
      </c>
      <c r="AG7251">
        <v>-1.110148455257</v>
      </c>
      <c r="AH7251">
        <v>28.292258592561801</v>
      </c>
      <c r="AI7251">
        <v>92.163597505877604</v>
      </c>
      <c r="AJ7251">
        <v>105.671977445049</v>
      </c>
      <c r="AK7251">
        <v>29.4056266336104</v>
      </c>
      <c r="AL7251">
        <v>89.356114235271505</v>
      </c>
      <c r="AM7251">
        <v>93.692444656100704</v>
      </c>
      <c r="AN7251">
        <v>0.99999999455048405</v>
      </c>
    </row>
    <row r="7252" spans="1:40" x14ac:dyDescent="0.25">
      <c r="A7252" t="str">
        <f>"20190312154107940"</f>
        <v>20190312154107940</v>
      </c>
      <c r="B7252" t="str">
        <f>"1552376467933400"</f>
        <v>1552376467933400</v>
      </c>
      <c r="C7252" t="s">
        <v>40</v>
      </c>
      <c r="D7252">
        <v>4.1321099999999999</v>
      </c>
      <c r="E7252">
        <v>0.42140689999999997</v>
      </c>
      <c r="F7252" t="s">
        <v>42</v>
      </c>
      <c r="G7252">
        <v>-393.65230000000003</v>
      </c>
      <c r="H7252" s="1">
        <v>-3.34435E-6</v>
      </c>
      <c r="I7252">
        <v>17.568390000000001</v>
      </c>
      <c r="J7252">
        <v>-415.9692</v>
      </c>
      <c r="K7252">
        <v>1.1101449999999999</v>
      </c>
      <c r="L7252">
        <v>36.289639999999999</v>
      </c>
      <c r="M7252">
        <v>0.5646584</v>
      </c>
      <c r="N7252">
        <v>0</v>
      </c>
      <c r="O7252">
        <v>-0.82520709999999997</v>
      </c>
      <c r="P7252">
        <v>0.61609259999999999</v>
      </c>
      <c r="Q7252">
        <v>-3.1202090000000001E-3</v>
      </c>
      <c r="R7252">
        <v>-0.78766800000000003</v>
      </c>
      <c r="S7252">
        <v>2.3470149999999999</v>
      </c>
      <c r="T7252">
        <v>-0.1165059</v>
      </c>
      <c r="U7252">
        <v>-1.971924</v>
      </c>
      <c r="V7252">
        <v>-6.3640859999999994E-2</v>
      </c>
      <c r="W7252">
        <v>1.083479E-2</v>
      </c>
      <c r="X7252">
        <v>0.99791410000000003</v>
      </c>
      <c r="Y7252">
        <v>-0.26806740000000001</v>
      </c>
      <c r="Z7252">
        <v>3.4276599999999997E-2</v>
      </c>
      <c r="AA7252">
        <v>0.96279020000000004</v>
      </c>
      <c r="AB7252">
        <v>17</v>
      </c>
      <c r="AC7252">
        <v>22.316899999999901</v>
      </c>
      <c r="AD7252">
        <v>-1.11014834435</v>
      </c>
      <c r="AE7252">
        <v>-18.721250000000001</v>
      </c>
      <c r="AF7252">
        <v>-7.8343360286221797</v>
      </c>
      <c r="AG7252">
        <v>-1.11014834435</v>
      </c>
      <c r="AH7252">
        <v>28.012370609104</v>
      </c>
      <c r="AI7252">
        <v>92.185696368459205</v>
      </c>
      <c r="AJ7252">
        <v>105.62493263419501</v>
      </c>
      <c r="AK7252">
        <v>29.108455086067799</v>
      </c>
      <c r="AL7252">
        <v>89.379200146342797</v>
      </c>
      <c r="AM7252">
        <v>93.649032857723697</v>
      </c>
      <c r="AN7252">
        <v>1.0000000513573399</v>
      </c>
    </row>
    <row r="7253" spans="1:40" x14ac:dyDescent="0.25">
      <c r="A7253" t="str">
        <f>"20190312154107952"</f>
        <v>20190312154107952</v>
      </c>
      <c r="B7253" t="str">
        <f>"1552376467943959"</f>
        <v>1552376467943959</v>
      </c>
      <c r="C7253" t="s">
        <v>40</v>
      </c>
      <c r="D7253">
        <v>4.1131779999999996</v>
      </c>
      <c r="E7253">
        <v>0.421319</v>
      </c>
      <c r="F7253" t="s">
        <v>42</v>
      </c>
      <c r="G7253">
        <v>-393.91289999999998</v>
      </c>
      <c r="H7253" s="1">
        <v>-3.192058E-6</v>
      </c>
      <c r="I7253">
        <v>17.73244</v>
      </c>
      <c r="J7253">
        <v>-415.92070000000001</v>
      </c>
      <c r="K7253">
        <v>1.1101479999999999</v>
      </c>
      <c r="L7253">
        <v>36.218600000000002</v>
      </c>
      <c r="M7253">
        <v>0.56466629999999995</v>
      </c>
      <c r="N7253">
        <v>0</v>
      </c>
      <c r="O7253">
        <v>-0.82520159999999998</v>
      </c>
      <c r="P7253">
        <v>0.61535459999999997</v>
      </c>
      <c r="Q7253">
        <v>-3.5194739999999999E-3</v>
      </c>
      <c r="R7253">
        <v>-0.78824269999999996</v>
      </c>
      <c r="S7253">
        <v>2.3456730000000001</v>
      </c>
      <c r="T7253">
        <v>-0.11806319999999999</v>
      </c>
      <c r="U7253">
        <v>-1.973541</v>
      </c>
      <c r="V7253">
        <v>-6.2697489999999995E-2</v>
      </c>
      <c r="W7253">
        <v>1.0431879999999999E-2</v>
      </c>
      <c r="X7253">
        <v>0.99797800000000003</v>
      </c>
      <c r="Y7253">
        <v>-0.2673835</v>
      </c>
      <c r="Z7253">
        <v>3.4726050000000001E-2</v>
      </c>
      <c r="AA7253">
        <v>0.96296420000000005</v>
      </c>
      <c r="AB7253">
        <v>17</v>
      </c>
      <c r="AC7253">
        <v>22.0078</v>
      </c>
      <c r="AD7253">
        <v>-1.1101511920579901</v>
      </c>
      <c r="AE7253">
        <v>-18.486160000000002</v>
      </c>
      <c r="AF7253">
        <v>-7.7116055085135997</v>
      </c>
      <c r="AG7253">
        <v>-1.1101511920579901</v>
      </c>
      <c r="AH7253">
        <v>27.643320108304898</v>
      </c>
      <c r="AI7253">
        <v>92.215257986631499</v>
      </c>
      <c r="AJ7253">
        <v>105.587408524968</v>
      </c>
      <c r="AK7253">
        <v>28.720279277861799</v>
      </c>
      <c r="AL7253">
        <v>89.4022864288211</v>
      </c>
      <c r="AM7253">
        <v>93.594855345238201</v>
      </c>
      <c r="AN7253">
        <v>0.99999994392831504</v>
      </c>
    </row>
    <row r="7254" spans="1:40" x14ac:dyDescent="0.25">
      <c r="A7254" t="str">
        <f>"20190312154107973"</f>
        <v>20190312154107973</v>
      </c>
      <c r="B7254" t="str">
        <f>"1552376467963478"</f>
        <v>1552376467963478</v>
      </c>
      <c r="C7254" t="s">
        <v>40</v>
      </c>
      <c r="D7254">
        <v>4.1089719999999996</v>
      </c>
      <c r="E7254">
        <v>0.42120600000000002</v>
      </c>
      <c r="F7254" t="s">
        <v>42</v>
      </c>
      <c r="G7254">
        <v>-394.23719999999997</v>
      </c>
      <c r="H7254" s="1">
        <v>-3.0003980000000001E-6</v>
      </c>
      <c r="I7254">
        <v>17.948619999999998</v>
      </c>
      <c r="J7254">
        <v>-415.83390000000003</v>
      </c>
      <c r="K7254">
        <v>1.110158</v>
      </c>
      <c r="L7254">
        <v>36.091799999999999</v>
      </c>
      <c r="M7254">
        <v>0.56466719999999904</v>
      </c>
      <c r="N7254">
        <v>0</v>
      </c>
      <c r="O7254">
        <v>-0.82520119999999897</v>
      </c>
      <c r="P7254">
        <v>0.61415900000000001</v>
      </c>
      <c r="Q7254">
        <v>-4.0666579999999999E-3</v>
      </c>
      <c r="R7254">
        <v>-0.78917219999999999</v>
      </c>
      <c r="S7254">
        <v>2.3443299999999998</v>
      </c>
      <c r="T7254">
        <v>-0.1200253</v>
      </c>
      <c r="U7254">
        <v>-1.9752810000000001</v>
      </c>
      <c r="V7254">
        <v>-6.1185919999999998E-2</v>
      </c>
      <c r="W7254">
        <v>9.8787779999999995E-3</v>
      </c>
      <c r="X7254">
        <v>0.99807749999999995</v>
      </c>
      <c r="Y7254">
        <v>-0.26667479999999999</v>
      </c>
      <c r="Z7254">
        <v>3.5293089999999999E-2</v>
      </c>
      <c r="AA7254">
        <v>0.9631402</v>
      </c>
      <c r="AB7254">
        <v>17</v>
      </c>
      <c r="AC7254">
        <v>21.596699999999998</v>
      </c>
      <c r="AD7254">
        <v>-1.110161000398</v>
      </c>
      <c r="AE7254">
        <v>-18.143180000000001</v>
      </c>
      <c r="AF7254">
        <v>-7.5657787072665998</v>
      </c>
      <c r="AG7254">
        <v>-1.110161000398</v>
      </c>
      <c r="AH7254">
        <v>27.127333537923899</v>
      </c>
      <c r="AI7254">
        <v>92.257411459132399</v>
      </c>
      <c r="AJ7254">
        <v>105.583718548614</v>
      </c>
      <c r="AK7254">
        <v>28.1844937824313</v>
      </c>
      <c r="AL7254">
        <v>89.433978508103195</v>
      </c>
      <c r="AM7254">
        <v>93.508057452204099</v>
      </c>
      <c r="AN7254">
        <v>1.0000000015336299</v>
      </c>
    </row>
    <row r="7255" spans="1:40" x14ac:dyDescent="0.25">
      <c r="A7255" t="str">
        <f>"20190312154107986"</f>
        <v>20190312154107986</v>
      </c>
      <c r="B7255" t="str">
        <f>"1552376467983505"</f>
        <v>1552376467983505</v>
      </c>
      <c r="C7255" t="s">
        <v>40</v>
      </c>
      <c r="D7255">
        <v>4.1069009999999997</v>
      </c>
      <c r="E7255">
        <v>0.42108479999999998</v>
      </c>
      <c r="F7255" t="s">
        <v>42</v>
      </c>
      <c r="G7255">
        <v>-394.33780000000002</v>
      </c>
      <c r="H7255" s="1">
        <v>-2.9555529999999999E-6</v>
      </c>
      <c r="I7255">
        <v>17.933329999999899</v>
      </c>
      <c r="J7255">
        <v>-415.78140000000002</v>
      </c>
      <c r="K7255">
        <v>1.110174</v>
      </c>
      <c r="L7255">
        <v>36.015079999999998</v>
      </c>
      <c r="M7255">
        <v>0.56466359999999904</v>
      </c>
      <c r="N7255">
        <v>0</v>
      </c>
      <c r="O7255">
        <v>-0.82520349999999998</v>
      </c>
      <c r="P7255">
        <v>0.61375959999999996</v>
      </c>
      <c r="Q7255">
        <v>-4.4361100000000001E-3</v>
      </c>
      <c r="R7255">
        <v>-0.78948090000000004</v>
      </c>
      <c r="S7255">
        <v>2.341888</v>
      </c>
      <c r="T7255">
        <v>-0.12094630000000001</v>
      </c>
      <c r="U7255">
        <v>-1.9782709999999999</v>
      </c>
      <c r="V7255">
        <v>-6.0686410000000003E-2</v>
      </c>
      <c r="W7255">
        <v>9.5040000000000003E-3</v>
      </c>
      <c r="X7255">
        <v>0.99811159999999999</v>
      </c>
      <c r="Y7255">
        <v>-0.26545760000000002</v>
      </c>
      <c r="Z7255">
        <v>3.5548620000000003E-2</v>
      </c>
      <c r="AA7255">
        <v>0.96346690000000001</v>
      </c>
      <c r="AB7255">
        <v>17</v>
      </c>
      <c r="AC7255">
        <v>21.4436</v>
      </c>
      <c r="AD7255">
        <v>-1.1101769555529999</v>
      </c>
      <c r="AE7255">
        <v>-18.08175</v>
      </c>
      <c r="AF7255">
        <v>-7.4742461934104902</v>
      </c>
      <c r="AG7255">
        <v>-1.1101769555529999</v>
      </c>
      <c r="AH7255">
        <v>26.989888887695201</v>
      </c>
      <c r="AI7255">
        <v>92.270080673267003</v>
      </c>
      <c r="AJ7255">
        <v>105.47888090979799</v>
      </c>
      <c r="AK7255">
        <v>28.027681873506499</v>
      </c>
      <c r="AL7255">
        <v>89.455452695101698</v>
      </c>
      <c r="AM7255">
        <v>93.479370417270502</v>
      </c>
      <c r="AN7255">
        <v>0.99999996621462295</v>
      </c>
    </row>
    <row r="7256" spans="1:40" x14ac:dyDescent="0.25">
      <c r="A7256" t="str">
        <f>"20190312154108001"</f>
        <v>20190312154108001</v>
      </c>
      <c r="B7256" t="str">
        <f>"1552376467993265"</f>
        <v>1552376467993265</v>
      </c>
      <c r="C7256" t="s">
        <v>40</v>
      </c>
      <c r="D7256">
        <v>4.1269150000000003</v>
      </c>
      <c r="E7256">
        <v>0.42106169999999998</v>
      </c>
      <c r="F7256" t="s">
        <v>42</v>
      </c>
      <c r="G7256">
        <v>-394.43630000000002</v>
      </c>
      <c r="H7256" s="1">
        <v>-2.9008339999999999E-6</v>
      </c>
      <c r="I7256">
        <v>17.979310000000002</v>
      </c>
      <c r="J7256">
        <v>-415.72210000000001</v>
      </c>
      <c r="K7256">
        <v>1.11019</v>
      </c>
      <c r="L7256">
        <v>35.928440000000002</v>
      </c>
      <c r="M7256">
        <v>0.56465940000000003</v>
      </c>
      <c r="N7256">
        <v>0</v>
      </c>
      <c r="O7256">
        <v>-0.82520669999999996</v>
      </c>
      <c r="P7256">
        <v>0.61300399999999999</v>
      </c>
      <c r="Q7256">
        <v>-4.2495340000000001E-3</v>
      </c>
      <c r="R7256">
        <v>-0.79006849999999995</v>
      </c>
      <c r="S7256">
        <v>2.3417970000000001</v>
      </c>
      <c r="T7256">
        <v>-0.121799</v>
      </c>
      <c r="U7256">
        <v>-1.978729</v>
      </c>
      <c r="V7256">
        <v>-5.9736789999999998E-2</v>
      </c>
      <c r="W7256">
        <v>9.6851899999999998E-3</v>
      </c>
      <c r="X7256">
        <v>0.99816720000000003</v>
      </c>
      <c r="Y7256">
        <v>-0.26532620000000001</v>
      </c>
      <c r="Z7256">
        <v>3.579483E-2</v>
      </c>
      <c r="AA7256">
        <v>0.96349399999999996</v>
      </c>
      <c r="AB7256">
        <v>16</v>
      </c>
      <c r="AC7256">
        <v>21.285799999999899</v>
      </c>
      <c r="AD7256">
        <v>-1.1101929008339999</v>
      </c>
      <c r="AE7256">
        <v>-17.94913</v>
      </c>
      <c r="AF7256">
        <v>-7.4189644567554502</v>
      </c>
      <c r="AG7256">
        <v>-1.1101929008339999</v>
      </c>
      <c r="AH7256">
        <v>26.7909746992765</v>
      </c>
      <c r="AI7256">
        <v>92.286954577167805</v>
      </c>
      <c r="AJ7256">
        <v>105.478489807084</v>
      </c>
      <c r="AK7256">
        <v>27.821392618360001</v>
      </c>
      <c r="AL7256">
        <v>89.445070826128202</v>
      </c>
      <c r="AM7256">
        <v>93.424865593356301</v>
      </c>
      <c r="AN7256">
        <v>1.0000000230703301</v>
      </c>
    </row>
    <row r="7257" spans="1:40" x14ac:dyDescent="0.25">
      <c r="A7257" t="str">
        <f>"20190312154108012"</f>
        <v>20190312154108012</v>
      </c>
      <c r="B7257" t="str">
        <f>"1552376468004003"</f>
        <v>1552376468004003</v>
      </c>
      <c r="C7257" t="s">
        <v>40</v>
      </c>
      <c r="D7257">
        <v>4.1130389999999997</v>
      </c>
      <c r="E7257">
        <v>0.42102200000000001</v>
      </c>
      <c r="F7257" t="s">
        <v>42</v>
      </c>
      <c r="G7257">
        <v>-394.02569999999997</v>
      </c>
      <c r="H7257" s="1">
        <v>-3.1692410000000002E-6</v>
      </c>
      <c r="I7257">
        <v>17.56053</v>
      </c>
      <c r="J7257">
        <v>-415.67070000000001</v>
      </c>
      <c r="K7257">
        <v>1.110204</v>
      </c>
      <c r="L7257">
        <v>35.853119999999997</v>
      </c>
      <c r="M7257">
        <v>0.56465710000000002</v>
      </c>
      <c r="N7257">
        <v>0</v>
      </c>
      <c r="O7257">
        <v>-0.8252081</v>
      </c>
      <c r="P7257">
        <v>0.61255969999999904</v>
      </c>
      <c r="Q7257">
        <v>-4.7105480000000002E-3</v>
      </c>
      <c r="R7257">
        <v>-0.79041019999999995</v>
      </c>
      <c r="S7257">
        <v>2.3399350000000001</v>
      </c>
      <c r="T7257">
        <v>-0.11973300000000001</v>
      </c>
      <c r="U7257">
        <v>-1.9809570000000001</v>
      </c>
      <c r="V7257">
        <v>-5.918064E-2</v>
      </c>
      <c r="W7257">
        <v>9.2193410000000007E-3</v>
      </c>
      <c r="X7257">
        <v>0.99820469999999895</v>
      </c>
      <c r="Y7257">
        <v>-0.26443620000000001</v>
      </c>
      <c r="Z7257">
        <v>3.5177890000000003E-2</v>
      </c>
      <c r="AA7257">
        <v>0.96376139999999999</v>
      </c>
      <c r="AB7257">
        <v>16</v>
      </c>
      <c r="AC7257">
        <v>21.645</v>
      </c>
      <c r="AD7257">
        <v>-1.110207169241</v>
      </c>
      <c r="AE7257">
        <v>-18.292590000000001</v>
      </c>
      <c r="AF7257">
        <v>-7.5217753787049801</v>
      </c>
      <c r="AG7257">
        <v>-1.110207169241</v>
      </c>
      <c r="AH7257">
        <v>27.277982190803499</v>
      </c>
      <c r="AI7257">
        <v>92.246872450648198</v>
      </c>
      <c r="AJ7257">
        <v>105.415943887209</v>
      </c>
      <c r="AK7257">
        <v>28.317803184712599</v>
      </c>
      <c r="AL7257">
        <v>89.471763179019504</v>
      </c>
      <c r="AM7257">
        <v>93.392927741199799</v>
      </c>
      <c r="AN7257">
        <v>0.99999998375068599</v>
      </c>
    </row>
    <row r="7258" spans="1:40" x14ac:dyDescent="0.25">
      <c r="A7258" t="str">
        <f>"20190312154108029"</f>
        <v>20190312154108029</v>
      </c>
      <c r="B7258" t="str">
        <f>"1552376468023521"</f>
        <v>1552376468023521</v>
      </c>
      <c r="C7258" t="s">
        <v>40</v>
      </c>
      <c r="D7258">
        <v>4.119999</v>
      </c>
      <c r="E7258">
        <v>0.42092220000000002</v>
      </c>
      <c r="F7258" t="s">
        <v>42</v>
      </c>
      <c r="G7258">
        <v>-393.97859999999997</v>
      </c>
      <c r="H7258" s="1">
        <v>-3.2069320000000002E-6</v>
      </c>
      <c r="I7258">
        <v>17.47335</v>
      </c>
      <c r="J7258">
        <v>-415.60520000000002</v>
      </c>
      <c r="K7258">
        <v>1.1102289999999999</v>
      </c>
      <c r="L7258">
        <v>35.757449999999999</v>
      </c>
      <c r="M7258">
        <v>0.56465940000000003</v>
      </c>
      <c r="N7258">
        <v>0</v>
      </c>
      <c r="O7258">
        <v>-0.82520689999999997</v>
      </c>
      <c r="P7258">
        <v>0.61166450000000006</v>
      </c>
      <c r="Q7258">
        <v>-6.0322249999999996E-3</v>
      </c>
      <c r="R7258">
        <v>-0.79109439999999998</v>
      </c>
      <c r="S7258">
        <v>2.339172</v>
      </c>
      <c r="T7258">
        <v>-0.1197199</v>
      </c>
      <c r="U7258">
        <v>-1.981995</v>
      </c>
      <c r="V7258">
        <v>-5.8054130000000002E-2</v>
      </c>
      <c r="W7258">
        <v>7.8909210000000004E-3</v>
      </c>
      <c r="X7258">
        <v>0.99828229999999996</v>
      </c>
      <c r="Y7258">
        <v>-0.26403009999999999</v>
      </c>
      <c r="Z7258">
        <v>3.5168280000000003E-2</v>
      </c>
      <c r="AA7258">
        <v>0.96387310000000004</v>
      </c>
      <c r="AB7258">
        <v>16</v>
      </c>
      <c r="AC7258">
        <v>21.6266</v>
      </c>
      <c r="AD7258">
        <v>-1.1102322069320001</v>
      </c>
      <c r="AE7258">
        <v>-18.284099999999999</v>
      </c>
      <c r="AF7258">
        <v>-7.5113137751827201</v>
      </c>
      <c r="AG7258">
        <v>-1.1102322069320001</v>
      </c>
      <c r="AH7258">
        <v>27.260571274329699</v>
      </c>
      <c r="AI7258">
        <v>92.248476156100907</v>
      </c>
      <c r="AJ7258">
        <v>105.404886599939</v>
      </c>
      <c r="AK7258">
        <v>28.298254299256101</v>
      </c>
      <c r="AL7258">
        <v>89.547878860547101</v>
      </c>
      <c r="AM7258">
        <v>93.328231447519002</v>
      </c>
      <c r="AN7258">
        <v>1.00000004956878</v>
      </c>
    </row>
    <row r="7259" spans="1:40" x14ac:dyDescent="0.25">
      <c r="A7259" t="str">
        <f>"20190312154108040"</f>
        <v>20190312154108040</v>
      </c>
      <c r="B7259" t="str">
        <f>"1552376468033281"</f>
        <v>1552376468033281</v>
      </c>
      <c r="C7259" t="s">
        <v>40</v>
      </c>
      <c r="D7259">
        <v>4.0857010000000002</v>
      </c>
      <c r="E7259">
        <v>0.4208054</v>
      </c>
      <c r="F7259" t="s">
        <v>42</v>
      </c>
      <c r="G7259">
        <v>-394.27960000000002</v>
      </c>
      <c r="H7259" s="1">
        <v>-3.031827E-6</v>
      </c>
      <c r="I7259">
        <v>17.658429999999999</v>
      </c>
      <c r="J7259">
        <v>-415.5591</v>
      </c>
      <c r="K7259">
        <v>1.110252</v>
      </c>
      <c r="L7259">
        <v>35.690059999999903</v>
      </c>
      <c r="M7259">
        <v>0.5646639</v>
      </c>
      <c r="N7259">
        <v>0</v>
      </c>
      <c r="O7259">
        <v>-0.82520369999999998</v>
      </c>
      <c r="P7259">
        <v>0.61136849999999998</v>
      </c>
      <c r="Q7259">
        <v>-6.6869989999999999E-3</v>
      </c>
      <c r="R7259">
        <v>-0.79131819999999997</v>
      </c>
      <c r="S7259">
        <v>2.337555</v>
      </c>
      <c r="T7259">
        <v>-0.12169580000000001</v>
      </c>
      <c r="U7259">
        <v>-1.983887</v>
      </c>
      <c r="V7259">
        <v>-5.7678359999999998E-2</v>
      </c>
      <c r="W7259">
        <v>7.2314739999999999E-3</v>
      </c>
      <c r="X7259">
        <v>0.998309</v>
      </c>
      <c r="Y7259">
        <v>-0.2632236</v>
      </c>
      <c r="Z7259">
        <v>3.573846E-2</v>
      </c>
      <c r="AA7259">
        <v>0.96407259999999995</v>
      </c>
      <c r="AB7259">
        <v>16</v>
      </c>
      <c r="AC7259">
        <v>21.279499999999899</v>
      </c>
      <c r="AD7259">
        <v>-1.1102550318269999</v>
      </c>
      <c r="AE7259">
        <v>-18.03163</v>
      </c>
      <c r="AF7259">
        <v>-7.3671524813773797</v>
      </c>
      <c r="AG7259">
        <v>-1.1102550318269999</v>
      </c>
      <c r="AH7259">
        <v>26.8555837703455</v>
      </c>
      <c r="AI7259">
        <v>92.283101846938294</v>
      </c>
      <c r="AJ7259">
        <v>105.340278547008</v>
      </c>
      <c r="AK7259">
        <v>27.869875879982001</v>
      </c>
      <c r="AL7259">
        <v>89.585663437854805</v>
      </c>
      <c r="AM7259">
        <v>93.306648347237598</v>
      </c>
      <c r="AN7259">
        <v>0.99999997345475</v>
      </c>
    </row>
    <row r="7260" spans="1:40" x14ac:dyDescent="0.25">
      <c r="A7260" t="str">
        <f>"20190312154108052"</f>
        <v>20190312154108052</v>
      </c>
      <c r="B7260" t="str">
        <f>"1552376468044018"</f>
        <v>1552376468044018</v>
      </c>
      <c r="C7260" t="s">
        <v>40</v>
      </c>
      <c r="D7260">
        <v>4.0767179999999996</v>
      </c>
      <c r="E7260">
        <v>0.42070859999999899</v>
      </c>
      <c r="F7260" t="s">
        <v>42</v>
      </c>
      <c r="G7260">
        <v>-394.53230000000002</v>
      </c>
      <c r="H7260" s="1">
        <v>-2.8800060000000001E-6</v>
      </c>
      <c r="I7260">
        <v>17.841100000000001</v>
      </c>
      <c r="J7260">
        <v>-415.50659999999999</v>
      </c>
      <c r="K7260">
        <v>1.1102730000000001</v>
      </c>
      <c r="L7260">
        <v>35.613280000000003</v>
      </c>
      <c r="M7260">
        <v>0.56467590000000001</v>
      </c>
      <c r="N7260">
        <v>0</v>
      </c>
      <c r="O7260">
        <v>-0.82519540000000002</v>
      </c>
      <c r="P7260">
        <v>0.61114709999999905</v>
      </c>
      <c r="Q7260">
        <v>-7.3153530000000001E-3</v>
      </c>
      <c r="R7260">
        <v>-0.79148350000000001</v>
      </c>
      <c r="S7260">
        <v>2.3374329999999999</v>
      </c>
      <c r="T7260">
        <v>-0.1234204</v>
      </c>
      <c r="U7260">
        <v>-1.9841610000000001</v>
      </c>
      <c r="V7260">
        <v>-5.738824E-2</v>
      </c>
      <c r="W7260">
        <v>6.5977739999999998E-3</v>
      </c>
      <c r="X7260">
        <v>0.9983301</v>
      </c>
      <c r="Y7260">
        <v>-0.26310240000000001</v>
      </c>
      <c r="Z7260">
        <v>3.6241540000000003E-2</v>
      </c>
      <c r="AA7260">
        <v>0.96408689999999997</v>
      </c>
      <c r="AB7260">
        <v>16</v>
      </c>
      <c r="AC7260">
        <v>20.9742999999999</v>
      </c>
      <c r="AD7260">
        <v>-1.110275880006</v>
      </c>
      <c r="AE7260">
        <v>-17.772179999999899</v>
      </c>
      <c r="AF7260">
        <v>-7.2612349551731699</v>
      </c>
      <c r="AG7260">
        <v>-1.110275880006</v>
      </c>
      <c r="AH7260">
        <v>26.468598435119301</v>
      </c>
      <c r="AI7260">
        <v>92.3164839888302</v>
      </c>
      <c r="AJ7260">
        <v>105.34076602728901</v>
      </c>
      <c r="AK7260">
        <v>27.468981574196501</v>
      </c>
      <c r="AL7260">
        <v>89.621972639589799</v>
      </c>
      <c r="AM7260">
        <v>93.289983275127199</v>
      </c>
      <c r="AN7260">
        <v>0.99999996463902996</v>
      </c>
    </row>
    <row r="7261" spans="1:40" x14ac:dyDescent="0.25">
      <c r="A7261" t="str">
        <f>"20190312154108066"</f>
        <v>20190312154108066</v>
      </c>
      <c r="B7261" t="str">
        <f>"1552376468063538"</f>
        <v>1552376468063538</v>
      </c>
      <c r="C7261" t="s">
        <v>40</v>
      </c>
      <c r="D7261">
        <v>4.08134</v>
      </c>
      <c r="E7261">
        <v>0.42061589999999999</v>
      </c>
      <c r="F7261" t="s">
        <v>42</v>
      </c>
      <c r="G7261">
        <v>-394.80110000000002</v>
      </c>
      <c r="H7261" s="1">
        <v>-2.718228E-6</v>
      </c>
      <c r="I7261">
        <v>18.036580000000001</v>
      </c>
      <c r="J7261">
        <v>-415.45080000000002</v>
      </c>
      <c r="K7261">
        <v>1.110293</v>
      </c>
      <c r="L7261">
        <v>35.531739999999999</v>
      </c>
      <c r="M7261">
        <v>0.56469530000000001</v>
      </c>
      <c r="N7261">
        <v>0</v>
      </c>
      <c r="O7261">
        <v>-0.82518219999999998</v>
      </c>
      <c r="P7261">
        <v>0.61083989999999999</v>
      </c>
      <c r="Q7261">
        <v>-7.651789E-3</v>
      </c>
      <c r="R7261">
        <v>-0.79171749999999996</v>
      </c>
      <c r="S7261">
        <v>2.337494</v>
      </c>
      <c r="T7261">
        <v>-0.12534210000000001</v>
      </c>
      <c r="U7261">
        <v>-1.984283</v>
      </c>
      <c r="V7261">
        <v>-5.6979439999999999E-2</v>
      </c>
      <c r="W7261">
        <v>6.2558880000000002E-3</v>
      </c>
      <c r="X7261">
        <v>0.99835569999999896</v>
      </c>
      <c r="Y7261">
        <v>-0.26304420000000001</v>
      </c>
      <c r="Z7261">
        <v>3.6802460000000002E-2</v>
      </c>
      <c r="AA7261">
        <v>0.96408159999999998</v>
      </c>
      <c r="AB7261">
        <v>16</v>
      </c>
      <c r="AC7261">
        <v>20.649699999999999</v>
      </c>
      <c r="AD7261">
        <v>-1.110295718228</v>
      </c>
      <c r="AE7261">
        <v>-17.495159999999998</v>
      </c>
      <c r="AF7261">
        <v>-7.1489918038623896</v>
      </c>
      <c r="AG7261">
        <v>-1.110295718228</v>
      </c>
      <c r="AH7261">
        <v>26.056157557533801</v>
      </c>
      <c r="AI7261">
        <v>92.353131740552897</v>
      </c>
      <c r="AJ7261">
        <v>105.342613449002</v>
      </c>
      <c r="AK7261">
        <v>27.041896883477499</v>
      </c>
      <c r="AL7261">
        <v>89.6415616639256</v>
      </c>
      <c r="AM7261">
        <v>93.266514725522697</v>
      </c>
      <c r="AN7261">
        <v>0.99999994821993399</v>
      </c>
    </row>
    <row r="7262" spans="1:40" x14ac:dyDescent="0.25">
      <c r="A7262" t="str">
        <f>"20190312154108085"</f>
        <v>20190312154108085</v>
      </c>
      <c r="B7262" t="str">
        <f>"1552376468073298"</f>
        <v>1552376468073298</v>
      </c>
      <c r="C7262" t="s">
        <v>40</v>
      </c>
      <c r="D7262">
        <v>4.0779040000000002</v>
      </c>
      <c r="E7262">
        <v>0.41629369999999999</v>
      </c>
      <c r="F7262" t="s">
        <v>42</v>
      </c>
      <c r="G7262">
        <v>-394.89420000000001</v>
      </c>
      <c r="H7262" s="1">
        <v>-2.667258E-6</v>
      </c>
      <c r="I7262">
        <v>18.07601</v>
      </c>
      <c r="J7262">
        <v>-415.37290000000002</v>
      </c>
      <c r="K7262">
        <v>1.11032</v>
      </c>
      <c r="L7262">
        <v>35.417999999999999</v>
      </c>
      <c r="M7262">
        <v>0.56473430000000002</v>
      </c>
      <c r="N7262">
        <v>0</v>
      </c>
      <c r="O7262">
        <v>-0.82515559999999999</v>
      </c>
      <c r="P7262">
        <v>0.61083900000000002</v>
      </c>
      <c r="Q7262">
        <v>-7.9671819999999997E-3</v>
      </c>
      <c r="R7262">
        <v>-0.79171469999999999</v>
      </c>
      <c r="S7262">
        <v>2.3372799999999998</v>
      </c>
      <c r="T7262">
        <v>-0.1262402</v>
      </c>
      <c r="U7262">
        <v>-1.9847109999999999</v>
      </c>
      <c r="V7262">
        <v>-5.6933850000000001E-2</v>
      </c>
      <c r="W7262">
        <v>5.9330750000000003E-3</v>
      </c>
      <c r="X7262">
        <v>0.99836029999999998</v>
      </c>
      <c r="Y7262">
        <v>-0.26284410000000002</v>
      </c>
      <c r="Z7262">
        <v>3.7061080000000003E-2</v>
      </c>
      <c r="AA7262">
        <v>0.96412620000000004</v>
      </c>
      <c r="AB7262">
        <v>16</v>
      </c>
      <c r="AC7262">
        <v>20.4787</v>
      </c>
      <c r="AD7262">
        <v>-1.110322667258</v>
      </c>
      <c r="AE7262">
        <v>-17.341989999999999</v>
      </c>
      <c r="AF7262">
        <v>-7.0930415575326098</v>
      </c>
      <c r="AG7262">
        <v>-1.110322667258</v>
      </c>
      <c r="AH7262">
        <v>25.833141826368799</v>
      </c>
      <c r="AI7262">
        <v>92.373357875735707</v>
      </c>
      <c r="AJ7262">
        <v>105.35341758475199</v>
      </c>
      <c r="AK7262">
        <v>26.812222429026601</v>
      </c>
      <c r="AL7262">
        <v>89.660057840597403</v>
      </c>
      <c r="AM7262">
        <v>93.263891790810902</v>
      </c>
      <c r="AN7262">
        <v>0.99999997663543305</v>
      </c>
    </row>
    <row r="7263" spans="1:40" x14ac:dyDescent="0.25">
      <c r="A7263" t="str">
        <f>"20190312154108098"</f>
        <v>20190312154108098</v>
      </c>
      <c r="B7263" t="str">
        <f>"1552376468084033"</f>
        <v>1552376468084033</v>
      </c>
      <c r="C7263" t="s">
        <v>40</v>
      </c>
      <c r="D7263">
        <v>4.1014689999999998</v>
      </c>
      <c r="E7263">
        <v>0.41593200000000002</v>
      </c>
      <c r="F7263" t="s">
        <v>42</v>
      </c>
      <c r="G7263">
        <v>-395.92129999999997</v>
      </c>
      <c r="H7263" s="1">
        <v>-1.9707660000000002E-6</v>
      </c>
      <c r="I7263">
        <v>19.265360000000001</v>
      </c>
      <c r="J7263">
        <v>-415.31970000000001</v>
      </c>
      <c r="K7263">
        <v>1.1103350000000001</v>
      </c>
      <c r="L7263">
        <v>35.340209999999999</v>
      </c>
      <c r="M7263">
        <v>0.5647681</v>
      </c>
      <c r="N7263">
        <v>0</v>
      </c>
      <c r="O7263">
        <v>-0.82513259999999899</v>
      </c>
      <c r="P7263">
        <v>0.61081399999999997</v>
      </c>
      <c r="Q7263">
        <v>-7.6822059999999996E-3</v>
      </c>
      <c r="R7263">
        <v>-0.79173709999999997</v>
      </c>
      <c r="S7263">
        <v>2.364563</v>
      </c>
      <c r="T7263">
        <v>-0.13497190000000001</v>
      </c>
      <c r="U7263">
        <v>-1.9635309999999999</v>
      </c>
      <c r="V7263">
        <v>-5.6859960000000001E-2</v>
      </c>
      <c r="W7263">
        <v>6.2129739999999996E-3</v>
      </c>
      <c r="X7263">
        <v>0.99836279999999999</v>
      </c>
      <c r="Y7263">
        <v>-0.27330169999999998</v>
      </c>
      <c r="Z7263">
        <v>3.966335E-2</v>
      </c>
      <c r="AA7263">
        <v>0.96111029999999997</v>
      </c>
      <c r="AB7263">
        <v>16</v>
      </c>
      <c r="AC7263">
        <v>19.398399999999999</v>
      </c>
      <c r="AD7263">
        <v>-1.110336970766</v>
      </c>
      <c r="AE7263">
        <v>-16.074849999999898</v>
      </c>
      <c r="AF7263">
        <v>-6.9149273404972202</v>
      </c>
      <c r="AG7263">
        <v>-1.110336970766</v>
      </c>
      <c r="AH7263">
        <v>24.174862442784399</v>
      </c>
      <c r="AI7263">
        <v>92.5284497874582</v>
      </c>
      <c r="AJ7263">
        <v>105.96253778774501</v>
      </c>
      <c r="AK7263">
        <v>25.168890369671701</v>
      </c>
      <c r="AL7263">
        <v>89.644020510054901</v>
      </c>
      <c r="AM7263">
        <v>93.2596568357867</v>
      </c>
      <c r="AN7263">
        <v>0.99999996826048199</v>
      </c>
    </row>
    <row r="7264" spans="1:40" x14ac:dyDescent="0.25">
      <c r="A7264" t="str">
        <f>"20190312154108110"</f>
        <v>20190312154108110</v>
      </c>
      <c r="B7264" t="str">
        <f>"1552376468103554"</f>
        <v>1552376468103554</v>
      </c>
      <c r="C7264" t="s">
        <v>40</v>
      </c>
      <c r="D7264">
        <v>4.168793</v>
      </c>
      <c r="E7264">
        <v>0.42074250000000002</v>
      </c>
      <c r="F7264" t="s">
        <v>42</v>
      </c>
      <c r="G7264">
        <v>-395.43279999999999</v>
      </c>
      <c r="H7264" s="1">
        <v>-2.2738999999999999E-6</v>
      </c>
      <c r="I7264">
        <v>18.858129999999999</v>
      </c>
      <c r="J7264">
        <v>-415.26729999999998</v>
      </c>
      <c r="K7264">
        <v>1.110349</v>
      </c>
      <c r="L7264">
        <v>35.26379</v>
      </c>
      <c r="M7264">
        <v>0.56481119999999996</v>
      </c>
      <c r="N7264">
        <v>0</v>
      </c>
      <c r="O7264">
        <v>-0.82510280000000003</v>
      </c>
      <c r="P7264">
        <v>0.61100239999999995</v>
      </c>
      <c r="Q7264">
        <v>-7.4934779999999996E-3</v>
      </c>
      <c r="R7264">
        <v>-0.79159369999999996</v>
      </c>
      <c r="S7264">
        <v>2.3669739999999999</v>
      </c>
      <c r="T7264">
        <v>-0.13215460000000001</v>
      </c>
      <c r="U7264">
        <v>-1.9617309999999999</v>
      </c>
      <c r="V7264">
        <v>-5.7044129999999998E-2</v>
      </c>
      <c r="W7264">
        <v>6.3975059999999999E-3</v>
      </c>
      <c r="X7264">
        <v>0.99835119999999999</v>
      </c>
      <c r="Y7264">
        <v>-0.27419559999999998</v>
      </c>
      <c r="Z7264">
        <v>3.8838259999999999E-2</v>
      </c>
      <c r="AA7264">
        <v>0.96088929999999995</v>
      </c>
      <c r="AB7264">
        <v>16</v>
      </c>
      <c r="AC7264">
        <v>19.834499999999899</v>
      </c>
      <c r="AD7264">
        <v>-1.1103512739000001</v>
      </c>
      <c r="AE7264">
        <v>-16.405660000000001</v>
      </c>
      <c r="AF7264">
        <v>-7.0869012545513801</v>
      </c>
      <c r="AG7264">
        <v>-1.1103512739000001</v>
      </c>
      <c r="AH7264">
        <v>24.695546286537098</v>
      </c>
      <c r="AI7264">
        <v>92.474627948953597</v>
      </c>
      <c r="AJ7264">
        <v>106.011934564553</v>
      </c>
      <c r="AK7264">
        <v>25.716279974633</v>
      </c>
      <c r="AL7264">
        <v>89.633447420929699</v>
      </c>
      <c r="AM7264">
        <v>93.270229934802302</v>
      </c>
      <c r="AN7264">
        <v>1.0000000396959501</v>
      </c>
    </row>
    <row r="7265" spans="1:40" x14ac:dyDescent="0.25">
      <c r="A7265" t="str">
        <f>"20190312154108123"</f>
        <v>20190312154108123</v>
      </c>
      <c r="B7265" t="str">
        <f>"1552376468113314"</f>
        <v>1552376468113314</v>
      </c>
      <c r="C7265" t="s">
        <v>40</v>
      </c>
      <c r="D7265">
        <v>4.1925619999999997</v>
      </c>
      <c r="E7265">
        <v>0.42074250000000002</v>
      </c>
      <c r="F7265" t="s">
        <v>42</v>
      </c>
      <c r="G7265">
        <v>-390.12959999999998</v>
      </c>
      <c r="H7265" s="1">
        <v>-5.6606849999999997E-6</v>
      </c>
      <c r="I7265">
        <v>13.897550000000001</v>
      </c>
      <c r="J7265">
        <v>-415.21809999999999</v>
      </c>
      <c r="K7265">
        <v>1.110363</v>
      </c>
      <c r="L7265">
        <v>35.192050000000002</v>
      </c>
      <c r="M7265">
        <v>0.56485540000000001</v>
      </c>
      <c r="N7265">
        <v>0</v>
      </c>
      <c r="O7265">
        <v>-0.82507260000000004</v>
      </c>
      <c r="P7265">
        <v>0.61097769999999996</v>
      </c>
      <c r="Q7265">
        <v>-7.376156E-3</v>
      </c>
      <c r="R7265">
        <v>-0.79161349999999997</v>
      </c>
      <c r="S7265">
        <v>2.3361510000000001</v>
      </c>
      <c r="T7265">
        <v>-0.10319010000000001</v>
      </c>
      <c r="U7265">
        <v>-1.985657</v>
      </c>
      <c r="V7265">
        <v>-5.6959820000000001E-2</v>
      </c>
      <c r="W7265">
        <v>6.5109909999999998E-3</v>
      </c>
      <c r="X7265">
        <v>0.99835529999999995</v>
      </c>
      <c r="Y7265">
        <v>-0.26245299999999999</v>
      </c>
      <c r="Z7265">
        <v>3.02972E-2</v>
      </c>
      <c r="AA7265">
        <v>0.96446900000000002</v>
      </c>
      <c r="AB7265">
        <v>16</v>
      </c>
      <c r="AC7265">
        <v>25.0885</v>
      </c>
      <c r="AD7265">
        <v>-1.1103686606850001</v>
      </c>
      <c r="AE7265">
        <v>-21.294499999999999</v>
      </c>
      <c r="AF7265">
        <v>-8.6624974033100806</v>
      </c>
      <c r="AG7265">
        <v>-1.1103686606850001</v>
      </c>
      <c r="AH7265">
        <v>31.707855003650199</v>
      </c>
      <c r="AI7265">
        <v>91.9347596096123</v>
      </c>
      <c r="AJ7265">
        <v>105.280176867151</v>
      </c>
      <c r="AK7265">
        <v>32.888597549264603</v>
      </c>
      <c r="AL7265">
        <v>89.626945081623205</v>
      </c>
      <c r="AM7265">
        <v>93.265393690940002</v>
      </c>
      <c r="AN7265">
        <v>1.00000005956816</v>
      </c>
    </row>
    <row r="7266" spans="1:40" x14ac:dyDescent="0.25">
      <c r="A7266" t="str">
        <f>"20190312154108134"</f>
        <v>20190312154108134</v>
      </c>
      <c r="B7266" t="str">
        <f>"1552376468124049"</f>
        <v>1552376468124049</v>
      </c>
      <c r="C7266" t="s">
        <v>40</v>
      </c>
      <c r="D7266">
        <v>4.1520260000000002</v>
      </c>
      <c r="E7266">
        <v>0.44421050000000001</v>
      </c>
      <c r="F7266" t="s">
        <v>86</v>
      </c>
      <c r="G7266">
        <v>-389.94880000000001</v>
      </c>
      <c r="H7266" s="1">
        <v>-1.590292E-6</v>
      </c>
      <c r="I7266">
        <v>13.715020000000001</v>
      </c>
      <c r="J7266">
        <v>-415.1671</v>
      </c>
      <c r="K7266">
        <v>1.1103730000000001</v>
      </c>
      <c r="L7266">
        <v>35.117709999999903</v>
      </c>
      <c r="M7266">
        <v>0.56490589999999996</v>
      </c>
      <c r="N7266">
        <v>0</v>
      </c>
      <c r="O7266">
        <v>-0.82503819999999894</v>
      </c>
      <c r="P7266">
        <v>0.61118709999999998</v>
      </c>
      <c r="Q7266">
        <v>-7.1537119999999996E-3</v>
      </c>
      <c r="R7266">
        <v>-0.79145399999999999</v>
      </c>
      <c r="S7266">
        <v>2.3362430000000001</v>
      </c>
      <c r="T7266">
        <v>-0.1026571</v>
      </c>
      <c r="U7266">
        <v>-1.9856259999999999</v>
      </c>
      <c r="V7266">
        <v>-5.7161120000000003E-2</v>
      </c>
      <c r="W7266">
        <v>6.7293769999999999E-3</v>
      </c>
      <c r="X7266">
        <v>0.99834230000000002</v>
      </c>
      <c r="Y7266">
        <v>-0.2624242</v>
      </c>
      <c r="Z7266">
        <v>3.0139139999999998E-2</v>
      </c>
      <c r="AA7266">
        <v>0.96448179999999994</v>
      </c>
      <c r="AB7266">
        <v>16</v>
      </c>
      <c r="AC7266">
        <v>25.218299999999999</v>
      </c>
      <c r="AD7266">
        <v>-1.1103745902919999</v>
      </c>
      <c r="AE7266">
        <v>-21.40269</v>
      </c>
      <c r="AF7266">
        <v>-8.7065854978441397</v>
      </c>
      <c r="AG7266">
        <v>-1.1103745902919999</v>
      </c>
      <c r="AH7266">
        <v>31.871169758194601</v>
      </c>
      <c r="AI7266">
        <v>91.924871348608605</v>
      </c>
      <c r="AJ7266">
        <v>105.279291846471</v>
      </c>
      <c r="AK7266">
        <v>33.057662115123797</v>
      </c>
      <c r="AL7266">
        <v>89.614432194104694</v>
      </c>
      <c r="AM7266">
        <v>93.276951294132303</v>
      </c>
      <c r="AN7266">
        <v>1.00000001306187</v>
      </c>
    </row>
    <row r="7267" spans="1:40" x14ac:dyDescent="0.25">
      <c r="A7267" t="str">
        <f>"20190312154108146"</f>
        <v>20190312154108146</v>
      </c>
      <c r="B7267" t="str">
        <f>"1552376468143572"</f>
        <v>1552376468143572</v>
      </c>
      <c r="C7267" t="s">
        <v>40</v>
      </c>
      <c r="D7267">
        <v>4.1564540000000001</v>
      </c>
      <c r="E7267">
        <v>0.44329790000000002</v>
      </c>
      <c r="F7267" t="s">
        <v>42</v>
      </c>
      <c r="G7267">
        <v>-392.97890000000001</v>
      </c>
      <c r="H7267" s="1">
        <v>-4.3250990000000001E-6</v>
      </c>
      <c r="I7267">
        <v>13.83386</v>
      </c>
      <c r="J7267">
        <v>-415.12060000000002</v>
      </c>
      <c r="K7267">
        <v>1.110382</v>
      </c>
      <c r="L7267">
        <v>35.049900000000001</v>
      </c>
      <c r="M7267">
        <v>0.56495740000000005</v>
      </c>
      <c r="N7267">
        <v>0</v>
      </c>
      <c r="O7267">
        <v>-0.82500319999999905</v>
      </c>
      <c r="P7267">
        <v>0.61141259999999997</v>
      </c>
      <c r="Q7267">
        <v>-7.1350629999999996E-3</v>
      </c>
      <c r="R7267">
        <v>-0.79128009999999904</v>
      </c>
      <c r="S7267">
        <v>2.1885680000000001</v>
      </c>
      <c r="T7267">
        <v>-0.1095238</v>
      </c>
      <c r="U7267">
        <v>-2.0993650000000001</v>
      </c>
      <c r="V7267">
        <v>-5.7383910000000003E-2</v>
      </c>
      <c r="W7267">
        <v>6.7441589999999996E-3</v>
      </c>
      <c r="X7267">
        <v>0.99832940000000003</v>
      </c>
      <c r="Y7267">
        <v>-0.20386209999999999</v>
      </c>
      <c r="Z7267">
        <v>3.1882590000000002E-2</v>
      </c>
      <c r="AA7267">
        <v>0.97848029999999997</v>
      </c>
      <c r="AB7267">
        <v>16</v>
      </c>
      <c r="AC7267">
        <v>22.1417</v>
      </c>
      <c r="AD7267">
        <v>-1.110386325099</v>
      </c>
      <c r="AE7267">
        <v>-21.21604</v>
      </c>
      <c r="AF7267">
        <v>-6.2731952926508798</v>
      </c>
      <c r="AG7267">
        <v>-1.110386325099</v>
      </c>
      <c r="AH7267">
        <v>29.976010052435001</v>
      </c>
      <c r="AI7267">
        <v>92.076466817847205</v>
      </c>
      <c r="AJ7267">
        <v>101.81992575317599</v>
      </c>
      <c r="AK7267">
        <v>30.645507266716699</v>
      </c>
      <c r="AL7267">
        <v>89.6135852212618</v>
      </c>
      <c r="AM7267">
        <v>93.289737889429702</v>
      </c>
      <c r="AN7267">
        <v>0.99999999385593197</v>
      </c>
    </row>
    <row r="7268" spans="1:40" x14ac:dyDescent="0.25">
      <c r="A7268" t="str">
        <f>"20190312154108163"</f>
        <v>20190312154108163</v>
      </c>
      <c r="B7268" t="str">
        <f>"1552376468153330"</f>
        <v>1552376468153330</v>
      </c>
      <c r="C7268" t="s">
        <v>40</v>
      </c>
      <c r="D7268">
        <v>4.1773249999999997</v>
      </c>
      <c r="E7268">
        <v>0.44339970000000001</v>
      </c>
      <c r="F7268" t="s">
        <v>42</v>
      </c>
      <c r="G7268">
        <v>-391.08679999999998</v>
      </c>
      <c r="H7268" s="1">
        <v>-5.525451E-6</v>
      </c>
      <c r="I7268">
        <v>12.109249999999999</v>
      </c>
      <c r="J7268">
        <v>-415.0523</v>
      </c>
      <c r="K7268">
        <v>1.1103959999999999</v>
      </c>
      <c r="L7268">
        <v>34.95035</v>
      </c>
      <c r="M7268">
        <v>0.56503769999999998</v>
      </c>
      <c r="N7268">
        <v>0</v>
      </c>
      <c r="O7268">
        <v>-0.82494829999999997</v>
      </c>
      <c r="P7268">
        <v>0.611813099999999</v>
      </c>
      <c r="Q7268">
        <v>-7.0704660000000001E-3</v>
      </c>
      <c r="R7268">
        <v>-0.79097099999999998</v>
      </c>
      <c r="S7268">
        <v>2.1945190000000001</v>
      </c>
      <c r="T7268">
        <v>-0.1013888</v>
      </c>
      <c r="U7268">
        <v>-2.0946959999999999</v>
      </c>
      <c r="V7268">
        <v>-5.7791839999999997E-2</v>
      </c>
      <c r="W7268">
        <v>6.8023320000000003E-3</v>
      </c>
      <c r="X7268">
        <v>0.99830549999999996</v>
      </c>
      <c r="Y7268">
        <v>-0.2062446</v>
      </c>
      <c r="Z7268">
        <v>2.9527959999999999E-2</v>
      </c>
      <c r="AA7268">
        <v>0.9780548</v>
      </c>
      <c r="AB7268">
        <v>16</v>
      </c>
      <c r="AC7268">
        <v>23.965499999999999</v>
      </c>
      <c r="AD7268">
        <v>-1.110401525451</v>
      </c>
      <c r="AE7268">
        <v>-22.841100000000001</v>
      </c>
      <c r="AF7268">
        <v>-6.8571635101942698</v>
      </c>
      <c r="AG7268">
        <v>-1.110401525451</v>
      </c>
      <c r="AH7268">
        <v>32.350865827868397</v>
      </c>
      <c r="AI7268">
        <v>91.923138006626402</v>
      </c>
      <c r="AJ7268">
        <v>101.96741850421699</v>
      </c>
      <c r="AK7268">
        <v>33.0882487110757</v>
      </c>
      <c r="AL7268">
        <v>89.610252087556205</v>
      </c>
      <c r="AM7268">
        <v>93.313151164619896</v>
      </c>
      <c r="AN7268">
        <v>1.00000001991073</v>
      </c>
    </row>
    <row r="7269" spans="1:40" x14ac:dyDescent="0.25">
      <c r="A7269" t="str">
        <f>"20190312154108174"</f>
        <v>20190312154108174</v>
      </c>
      <c r="B7269" t="str">
        <f>"1552376468164065"</f>
        <v>1552376468164065</v>
      </c>
      <c r="C7269" t="s">
        <v>40</v>
      </c>
      <c r="D7269">
        <v>4.1686860000000001</v>
      </c>
      <c r="E7269">
        <v>0.44347940000000002</v>
      </c>
      <c r="F7269" t="s">
        <v>42</v>
      </c>
      <c r="G7269">
        <v>-392.76819999999998</v>
      </c>
      <c r="H7269" s="1">
        <v>-4.4487159999999999E-6</v>
      </c>
      <c r="I7269">
        <v>13.69839</v>
      </c>
      <c r="J7269">
        <v>-415.00209999999998</v>
      </c>
      <c r="K7269">
        <v>1.1104000000000001</v>
      </c>
      <c r="L7269">
        <v>34.877079999999999</v>
      </c>
      <c r="M7269">
        <v>0.56510079999999996</v>
      </c>
      <c r="N7269">
        <v>0</v>
      </c>
      <c r="O7269">
        <v>-0.82490490000000005</v>
      </c>
      <c r="P7269">
        <v>0.61179469999999903</v>
      </c>
      <c r="Q7269">
        <v>-6.9130579999999997E-3</v>
      </c>
      <c r="R7269">
        <v>-0.79098669999999904</v>
      </c>
      <c r="S7269">
        <v>2.1953740000000002</v>
      </c>
      <c r="T7269">
        <v>-0.1093938</v>
      </c>
      <c r="U7269">
        <v>-2.0936889999999999</v>
      </c>
      <c r="V7269">
        <v>-5.7691819999999998E-2</v>
      </c>
      <c r="W7269">
        <v>6.9534849999999997E-3</v>
      </c>
      <c r="X7269">
        <v>0.99831020000000004</v>
      </c>
      <c r="Y7269">
        <v>-0.2065324</v>
      </c>
      <c r="Z7269">
        <v>3.1859449999999997E-2</v>
      </c>
      <c r="AA7269">
        <v>0.97792089999999998</v>
      </c>
      <c r="AB7269">
        <v>16</v>
      </c>
      <c r="AC7269">
        <v>22.233899999999998</v>
      </c>
      <c r="AD7269">
        <v>-1.1104044487160001</v>
      </c>
      <c r="AE7269">
        <v>-21.17869</v>
      </c>
      <c r="AF7269">
        <v>-6.3650499222835704</v>
      </c>
      <c r="AG7269">
        <v>-1.1104044487160001</v>
      </c>
      <c r="AH7269">
        <v>29.998469818430902</v>
      </c>
      <c r="AI7269">
        <v>92.073732472112297</v>
      </c>
      <c r="AJ7269">
        <v>101.97930924108</v>
      </c>
      <c r="AK7269">
        <v>30.686398452738</v>
      </c>
      <c r="AL7269">
        <v>89.6015914365084</v>
      </c>
      <c r="AM7269">
        <v>93.307414317240898</v>
      </c>
      <c r="AN7269">
        <v>0.99999997623629799</v>
      </c>
    </row>
    <row r="7270" spans="1:40" x14ac:dyDescent="0.25">
      <c r="A7270" t="str">
        <f>"20190312154108186"</f>
        <v>20190312154108186</v>
      </c>
      <c r="B7270" t="str">
        <f>"1552376468183585"</f>
        <v>1552376468183585</v>
      </c>
      <c r="C7270" t="s">
        <v>40</v>
      </c>
      <c r="D7270">
        <v>4.1663990000000002</v>
      </c>
      <c r="E7270">
        <v>0.44336249999999999</v>
      </c>
      <c r="F7270" t="s">
        <v>42</v>
      </c>
      <c r="G7270">
        <v>-393.2022</v>
      </c>
      <c r="H7270" s="1">
        <v>-4.176034E-6</v>
      </c>
      <c r="I7270">
        <v>14.079230000000001</v>
      </c>
      <c r="J7270">
        <v>-414.95769999999999</v>
      </c>
      <c r="K7270">
        <v>1.110406</v>
      </c>
      <c r="L7270">
        <v>34.812440000000002</v>
      </c>
      <c r="M7270">
        <v>0.56516080000000002</v>
      </c>
      <c r="N7270">
        <v>0</v>
      </c>
      <c r="O7270">
        <v>-0.82486399999999904</v>
      </c>
      <c r="P7270">
        <v>0.61181989999999997</v>
      </c>
      <c r="Q7270">
        <v>-6.7535939999999999E-3</v>
      </c>
      <c r="R7270">
        <v>-0.79096840000000002</v>
      </c>
      <c r="S7270">
        <v>2.1949160000000001</v>
      </c>
      <c r="T7270">
        <v>-0.1118007</v>
      </c>
      <c r="U7270">
        <v>-2.0940249999999998</v>
      </c>
      <c r="V7270">
        <v>-5.765033E-2</v>
      </c>
      <c r="W7270">
        <v>7.1041619999999998E-3</v>
      </c>
      <c r="X7270">
        <v>0.99831159999999997</v>
      </c>
      <c r="Y7270">
        <v>-0.2062618</v>
      </c>
      <c r="Z7270">
        <v>3.255653E-2</v>
      </c>
      <c r="AA7270">
        <v>0.97795509999999997</v>
      </c>
      <c r="AB7270">
        <v>16</v>
      </c>
      <c r="AC7270">
        <v>21.755499999999898</v>
      </c>
      <c r="AD7270">
        <v>-1.1104101760339999</v>
      </c>
      <c r="AE7270">
        <v>-20.73321</v>
      </c>
      <c r="AF7270">
        <v>-6.2198398124737002</v>
      </c>
      <c r="AG7270">
        <v>-1.1104101760339999</v>
      </c>
      <c r="AH7270">
        <v>29.360183737681901</v>
      </c>
      <c r="AI7270">
        <v>92.118928435622294</v>
      </c>
      <c r="AJ7270">
        <v>101.961046416858</v>
      </c>
      <c r="AK7270">
        <v>30.032312717509999</v>
      </c>
      <c r="AL7270">
        <v>89.592958092888196</v>
      </c>
      <c r="AM7270">
        <v>93.305036387192501</v>
      </c>
      <c r="AN7270">
        <v>1.0000000401806901</v>
      </c>
    </row>
    <row r="7271" spans="1:40" x14ac:dyDescent="0.25">
      <c r="A7271" t="str">
        <f>"20190312154108200"</f>
        <v>20190312154108200</v>
      </c>
      <c r="B7271" t="str">
        <f>"1552376468193345"</f>
        <v>1552376468193345</v>
      </c>
      <c r="C7271" t="s">
        <v>40</v>
      </c>
      <c r="D7271">
        <v>4.1708970000000001</v>
      </c>
      <c r="E7271">
        <v>0.44332139999999998</v>
      </c>
      <c r="F7271" t="s">
        <v>42</v>
      </c>
      <c r="G7271">
        <v>-393.91430000000003</v>
      </c>
      <c r="H7271" s="1">
        <v>-3.7203420000000001E-6</v>
      </c>
      <c r="I7271">
        <v>14.75051</v>
      </c>
      <c r="J7271">
        <v>-414.90359999999998</v>
      </c>
      <c r="K7271">
        <v>1.1104149999999999</v>
      </c>
      <c r="L7271">
        <v>34.733640000000001</v>
      </c>
      <c r="M7271">
        <v>0.56523599999999996</v>
      </c>
      <c r="N7271">
        <v>0</v>
      </c>
      <c r="O7271">
        <v>-0.82481249999999995</v>
      </c>
      <c r="P7271">
        <v>0.61164560000000001</v>
      </c>
      <c r="Q7271">
        <v>-6.6033419999999999E-3</v>
      </c>
      <c r="R7271">
        <v>-0.79110440000000004</v>
      </c>
      <c r="S7271">
        <v>2.19577</v>
      </c>
      <c r="T7271">
        <v>-0.1158653</v>
      </c>
      <c r="U7271">
        <v>-2.093353</v>
      </c>
      <c r="V7271">
        <v>-5.7338470000000002E-2</v>
      </c>
      <c r="W7271">
        <v>7.2429189999999996E-3</v>
      </c>
      <c r="X7271">
        <v>0.99832849999999995</v>
      </c>
      <c r="Y7271">
        <v>-0.20648530000000001</v>
      </c>
      <c r="Z7271">
        <v>3.373789E-2</v>
      </c>
      <c r="AA7271">
        <v>0.97786790000000001</v>
      </c>
      <c r="AB7271">
        <v>16</v>
      </c>
      <c r="AC7271">
        <v>20.989299999999901</v>
      </c>
      <c r="AD7271">
        <v>-1.110418720342</v>
      </c>
      <c r="AE7271">
        <v>-19.983129999999999</v>
      </c>
      <c r="AF7271">
        <v>-6.0088104876862598</v>
      </c>
      <c r="AG7271">
        <v>-1.110418720342</v>
      </c>
      <c r="AH7271">
        <v>28.3074152157326</v>
      </c>
      <c r="AI7271">
        <v>92.197484776444895</v>
      </c>
      <c r="AJ7271">
        <v>101.984281256084</v>
      </c>
      <c r="AK7271">
        <v>28.959430060125602</v>
      </c>
      <c r="AL7271">
        <v>89.585007671923805</v>
      </c>
      <c r="AM7271">
        <v>93.287141550495804</v>
      </c>
      <c r="AN7271">
        <v>0.99999997696491505</v>
      </c>
    </row>
    <row r="7272" spans="1:40" x14ac:dyDescent="0.25">
      <c r="A7272" t="str">
        <f>"20190312154108210"</f>
        <v>20190312154108210</v>
      </c>
      <c r="B7272" t="str">
        <f>"1552376468204083"</f>
        <v>1552376468204083</v>
      </c>
      <c r="C7272" t="s">
        <v>40</v>
      </c>
      <c r="D7272">
        <v>4.166525</v>
      </c>
      <c r="E7272">
        <v>0.44341589999999997</v>
      </c>
      <c r="F7272" t="s">
        <v>42</v>
      </c>
      <c r="G7272">
        <v>-394.22</v>
      </c>
      <c r="H7272" s="1">
        <v>-3.5291319999999998E-6</v>
      </c>
      <c r="I7272">
        <v>15.01365</v>
      </c>
      <c r="J7272">
        <v>-414.8578</v>
      </c>
      <c r="K7272">
        <v>1.1104240000000001</v>
      </c>
      <c r="L7272">
        <v>34.666989999999998</v>
      </c>
      <c r="M7272">
        <v>0.56530419999999904</v>
      </c>
      <c r="N7272">
        <v>0</v>
      </c>
      <c r="O7272">
        <v>-0.824766</v>
      </c>
      <c r="P7272">
        <v>0.61143570000000003</v>
      </c>
      <c r="Q7272">
        <v>-6.2007210000000002E-3</v>
      </c>
      <c r="R7272">
        <v>-0.79127009999999998</v>
      </c>
      <c r="S7272">
        <v>2.19577</v>
      </c>
      <c r="T7272">
        <v>-0.117882</v>
      </c>
      <c r="U7272">
        <v>-2.0934750000000002</v>
      </c>
      <c r="V7272">
        <v>-5.6989360000000003E-2</v>
      </c>
      <c r="W7272">
        <v>7.6320059999999898E-3</v>
      </c>
      <c r="X7272">
        <v>0.99834560000000006</v>
      </c>
      <c r="Y7272">
        <v>-0.20635880000000001</v>
      </c>
      <c r="Z7272">
        <v>3.432048E-2</v>
      </c>
      <c r="AA7272">
        <v>0.97787429999999997</v>
      </c>
      <c r="AB7272">
        <v>16</v>
      </c>
      <c r="AC7272">
        <v>20.637799999999899</v>
      </c>
      <c r="AD7272">
        <v>-1.110427529132</v>
      </c>
      <c r="AE7272">
        <v>-19.65334</v>
      </c>
      <c r="AF7272">
        <v>-5.9028465143105304</v>
      </c>
      <c r="AG7272">
        <v>-1.110427529132</v>
      </c>
      <c r="AH7272">
        <v>27.836459386371398</v>
      </c>
      <c r="AI7272">
        <v>92.2347412232658</v>
      </c>
      <c r="AJ7272">
        <v>101.972474726852</v>
      </c>
      <c r="AK7272">
        <v>28.477098121790199</v>
      </c>
      <c r="AL7272">
        <v>89.562714015588497</v>
      </c>
      <c r="AM7272">
        <v>93.267115167636604</v>
      </c>
      <c r="AN7272">
        <v>0.99999998585407601</v>
      </c>
    </row>
    <row r="7273" spans="1:40" x14ac:dyDescent="0.25">
      <c r="A7273" t="str">
        <f>"20190312154108221"</f>
        <v>20190312154108221</v>
      </c>
      <c r="B7273" t="str">
        <f>"1552376468213842"</f>
        <v>1552376468213842</v>
      </c>
      <c r="C7273" t="s">
        <v>40</v>
      </c>
      <c r="D7273">
        <v>4.2259129999999896</v>
      </c>
      <c r="E7273">
        <v>0.4433629</v>
      </c>
      <c r="F7273" t="s">
        <v>42</v>
      </c>
      <c r="G7273">
        <v>-394.26609999999999</v>
      </c>
      <c r="H7273" s="1">
        <v>-3.507237E-6</v>
      </c>
      <c r="I7273">
        <v>15.014419999999999</v>
      </c>
      <c r="J7273">
        <v>-414.81630000000001</v>
      </c>
      <c r="K7273">
        <v>1.1104290000000001</v>
      </c>
      <c r="L7273">
        <v>34.606409999999997</v>
      </c>
      <c r="M7273">
        <v>0.56536809999999904</v>
      </c>
      <c r="N7273">
        <v>0</v>
      </c>
      <c r="O7273">
        <v>-0.82472259999999997</v>
      </c>
      <c r="P7273">
        <v>0.61117149999999998</v>
      </c>
      <c r="Q7273">
        <v>-6.0718899999999999E-3</v>
      </c>
      <c r="R7273">
        <v>-0.79147519999999905</v>
      </c>
      <c r="S7273">
        <v>2.1946720000000002</v>
      </c>
      <c r="T7273">
        <v>-0.1183496</v>
      </c>
      <c r="U7273">
        <v>-2.0945740000000002</v>
      </c>
      <c r="V7273">
        <v>-5.6578959999999998E-2</v>
      </c>
      <c r="W7273">
        <v>7.7478750000000004E-3</v>
      </c>
      <c r="X7273">
        <v>0.99836809999999998</v>
      </c>
      <c r="Y7273">
        <v>-0.20577860000000001</v>
      </c>
      <c r="Z7273">
        <v>3.4448800000000002E-2</v>
      </c>
      <c r="AA7273">
        <v>0.97799210000000003</v>
      </c>
      <c r="AB7273">
        <v>16</v>
      </c>
      <c r="AC7273">
        <v>20.5502</v>
      </c>
      <c r="AD7273">
        <v>-1.110432507237</v>
      </c>
      <c r="AE7273">
        <v>-19.591989999999999</v>
      </c>
      <c r="AF7273">
        <v>-5.8631226606478304</v>
      </c>
      <c r="AG7273">
        <v>-1.110432507237</v>
      </c>
      <c r="AH7273">
        <v>27.736620391463099</v>
      </c>
      <c r="AI7273">
        <v>92.243090799747705</v>
      </c>
      <c r="AJ7273">
        <v>101.935794765929</v>
      </c>
      <c r="AK7273">
        <v>28.371277349232201</v>
      </c>
      <c r="AL7273">
        <v>89.556075036635903</v>
      </c>
      <c r="AM7273">
        <v>93.243565020599206</v>
      </c>
      <c r="AN7273">
        <v>1.0000000356896499</v>
      </c>
    </row>
    <row r="7274" spans="1:40" x14ac:dyDescent="0.25">
      <c r="A7274" t="str">
        <f>"20190312154108231"</f>
        <v>20190312154108231</v>
      </c>
      <c r="B7274" t="str">
        <f>"1552376468223601"</f>
        <v>1552376468223601</v>
      </c>
      <c r="C7274" t="s">
        <v>40</v>
      </c>
      <c r="D7274">
        <v>4.2173299999999996</v>
      </c>
      <c r="E7274">
        <v>0.44332240000000001</v>
      </c>
      <c r="F7274" t="s">
        <v>42</v>
      </c>
      <c r="G7274">
        <v>-393.98689999999999</v>
      </c>
      <c r="H7274" s="1">
        <v>-3.6914509999999999E-6</v>
      </c>
      <c r="I7274">
        <v>14.719729999999901</v>
      </c>
      <c r="J7274">
        <v>-414.77370000000002</v>
      </c>
      <c r="K7274">
        <v>1.110433</v>
      </c>
      <c r="L7274">
        <v>34.544559999999997</v>
      </c>
      <c r="M7274">
        <v>0.56543639999999995</v>
      </c>
      <c r="N7274">
        <v>0</v>
      </c>
      <c r="O7274">
        <v>-0.82467610000000002</v>
      </c>
      <c r="P7274">
        <v>0.61084949999999905</v>
      </c>
      <c r="Q7274">
        <v>-5.6990919999999898E-3</v>
      </c>
      <c r="R7274">
        <v>-0.7917265</v>
      </c>
      <c r="S7274">
        <v>2.1943359999999998</v>
      </c>
      <c r="T7274">
        <v>-0.1169825</v>
      </c>
      <c r="U7274">
        <v>-2.0950319999999998</v>
      </c>
      <c r="V7274">
        <v>-5.608892E-2</v>
      </c>
      <c r="W7274">
        <v>8.1050140000000007E-3</v>
      </c>
      <c r="X7274">
        <v>0.99839290000000003</v>
      </c>
      <c r="Y7274">
        <v>-0.2055283</v>
      </c>
      <c r="Z7274">
        <v>3.4046189999999997E-2</v>
      </c>
      <c r="AA7274">
        <v>0.97805880000000001</v>
      </c>
      <c r="AB7274">
        <v>16</v>
      </c>
      <c r="AC7274">
        <v>20.786799999999999</v>
      </c>
      <c r="AD7274">
        <v>-1.110436691451</v>
      </c>
      <c r="AE7274">
        <v>-19.824829999999999</v>
      </c>
      <c r="AF7274">
        <v>-5.9244097597193104</v>
      </c>
      <c r="AG7274">
        <v>-1.110436691451</v>
      </c>
      <c r="AH7274">
        <v>28.063422557836802</v>
      </c>
      <c r="AI7274">
        <v>92.217128677820796</v>
      </c>
      <c r="AJ7274">
        <v>101.92056154017401</v>
      </c>
      <c r="AK7274">
        <v>28.703438579837101</v>
      </c>
      <c r="AL7274">
        <v>89.535611829950398</v>
      </c>
      <c r="AM7274">
        <v>93.215451454205606</v>
      </c>
      <c r="AN7274">
        <v>1.0000000204845501</v>
      </c>
    </row>
    <row r="7275" spans="1:40" x14ac:dyDescent="0.25">
      <c r="A7275" t="str">
        <f>"20190312154108243"</f>
        <v>20190312154108243</v>
      </c>
      <c r="B7275" t="str">
        <f>"1552376468233362"</f>
        <v>1552376468233362</v>
      </c>
      <c r="C7275" t="s">
        <v>40</v>
      </c>
      <c r="D7275">
        <v>4.2270830000000004</v>
      </c>
      <c r="E7275">
        <v>0.44335720000000001</v>
      </c>
      <c r="F7275" t="s">
        <v>42</v>
      </c>
      <c r="G7275">
        <v>-393.58359999999999</v>
      </c>
      <c r="H7275" s="1">
        <v>-3.9565589999999999E-6</v>
      </c>
      <c r="I7275">
        <v>14.299910000000001</v>
      </c>
      <c r="J7275">
        <v>-414.73079999999999</v>
      </c>
      <c r="K7275">
        <v>1.11043799999999</v>
      </c>
      <c r="L7275">
        <v>34.482089999999999</v>
      </c>
      <c r="M7275">
        <v>0.56550800000000001</v>
      </c>
      <c r="N7275">
        <v>0</v>
      </c>
      <c r="O7275">
        <v>-0.82462729999999995</v>
      </c>
      <c r="P7275">
        <v>0.61034919999999904</v>
      </c>
      <c r="Q7275">
        <v>-5.4289330000000004E-3</v>
      </c>
      <c r="R7275">
        <v>-0.79211409999999904</v>
      </c>
      <c r="S7275">
        <v>2.193695</v>
      </c>
      <c r="T7275">
        <v>-0.1149579</v>
      </c>
      <c r="U7275">
        <v>-2.095825</v>
      </c>
      <c r="V7275">
        <v>-5.5370889999999999E-2</v>
      </c>
      <c r="W7275">
        <v>8.3601140000000001E-3</v>
      </c>
      <c r="X7275">
        <v>0.99843079999999995</v>
      </c>
      <c r="Y7275">
        <v>-0.20513310000000001</v>
      </c>
      <c r="Z7275">
        <v>3.3450769999999998E-2</v>
      </c>
      <c r="AA7275">
        <v>0.97816230000000004</v>
      </c>
      <c r="AB7275">
        <v>16</v>
      </c>
      <c r="AC7275">
        <v>21.147200000000002</v>
      </c>
      <c r="AD7275">
        <v>-1.11044195655899</v>
      </c>
      <c r="AE7275">
        <v>-20.182179999999999</v>
      </c>
      <c r="AF7275">
        <v>-6.0172653125792896</v>
      </c>
      <c r="AG7275">
        <v>-1.11044195655899</v>
      </c>
      <c r="AH7275">
        <v>28.563195560737199</v>
      </c>
      <c r="AI7275">
        <v>92.178578005910296</v>
      </c>
      <c r="AJ7275">
        <v>101.896266076975</v>
      </c>
      <c r="AK7275">
        <v>29.211242764075902</v>
      </c>
      <c r="AL7275">
        <v>89.520995145212495</v>
      </c>
      <c r="AM7275">
        <v>93.174252886331999</v>
      </c>
      <c r="AN7275">
        <v>0.99999994467706099</v>
      </c>
    </row>
    <row r="7276" spans="1:40" x14ac:dyDescent="0.25">
      <c r="A7276" t="str">
        <f>"20190312154108255"</f>
        <v>20190312154108255</v>
      </c>
      <c r="B7276" t="str">
        <f>"1552376468244098"</f>
        <v>1552376468244098</v>
      </c>
      <c r="C7276" t="s">
        <v>40</v>
      </c>
      <c r="D7276">
        <v>4.2219059999999997</v>
      </c>
      <c r="E7276">
        <v>0.44336360000000002</v>
      </c>
      <c r="F7276" t="s">
        <v>42</v>
      </c>
      <c r="G7276">
        <v>-393.38409999999999</v>
      </c>
      <c r="H7276" s="1">
        <v>-4.093405E-6</v>
      </c>
      <c r="I7276">
        <v>14.06016</v>
      </c>
      <c r="J7276">
        <v>-414.67439999999999</v>
      </c>
      <c r="K7276">
        <v>1.110444</v>
      </c>
      <c r="L7276">
        <v>34.40005</v>
      </c>
      <c r="M7276">
        <v>0.56560650000000001</v>
      </c>
      <c r="N7276">
        <v>0</v>
      </c>
      <c r="O7276">
        <v>-0.82456010000000002</v>
      </c>
      <c r="P7276">
        <v>0.61030090000000004</v>
      </c>
      <c r="Q7276">
        <v>-5.3421789999999999E-3</v>
      </c>
      <c r="R7276">
        <v>-0.79215219999999997</v>
      </c>
      <c r="S7276">
        <v>2.192291</v>
      </c>
      <c r="T7276">
        <v>-0.1140418</v>
      </c>
      <c r="U7276">
        <v>-2.097321</v>
      </c>
      <c r="V7276">
        <v>-5.518994E-2</v>
      </c>
      <c r="W7276">
        <v>8.4249630000000006E-3</v>
      </c>
      <c r="X7276">
        <v>0.99844029999999995</v>
      </c>
      <c r="Y7276">
        <v>-0.20436309999999999</v>
      </c>
      <c r="Z7276">
        <v>3.3173710000000002E-2</v>
      </c>
      <c r="AA7276">
        <v>0.97833289999999995</v>
      </c>
      <c r="AB7276">
        <v>16</v>
      </c>
      <c r="AC7276">
        <v>21.290299999999998</v>
      </c>
      <c r="AD7276">
        <v>-1.1104480934050001</v>
      </c>
      <c r="AE7276">
        <v>-20.33989</v>
      </c>
      <c r="AF7276">
        <v>-6.0427381590288096</v>
      </c>
      <c r="AG7276">
        <v>-1.1104480934050001</v>
      </c>
      <c r="AH7276">
        <v>28.775204192953499</v>
      </c>
      <c r="AI7276">
        <v>92.162844245354407</v>
      </c>
      <c r="AJ7276">
        <v>101.859674764277</v>
      </c>
      <c r="AK7276">
        <v>29.423802537620801</v>
      </c>
      <c r="AL7276">
        <v>89.517279452882505</v>
      </c>
      <c r="AM7276">
        <v>93.163870612840199</v>
      </c>
      <c r="AN7276">
        <v>0.99999997107142102</v>
      </c>
    </row>
    <row r="7277" spans="1:40" x14ac:dyDescent="0.25">
      <c r="A7277" t="str">
        <f>"20190312154108274"</f>
        <v>20190312154108274</v>
      </c>
      <c r="B7277" t="str">
        <f>"1552376468263803"</f>
        <v>1552376468263803</v>
      </c>
      <c r="C7277" t="s">
        <v>40</v>
      </c>
      <c r="D7277">
        <v>4.211487</v>
      </c>
      <c r="E7277">
        <v>0.4433319</v>
      </c>
      <c r="F7277" t="s">
        <v>42</v>
      </c>
      <c r="G7277">
        <v>-393.23320000000001</v>
      </c>
      <c r="H7277" s="1">
        <v>-4.1959199999999996E-6</v>
      </c>
      <c r="I7277">
        <v>13.8844799999999</v>
      </c>
      <c r="J7277">
        <v>-414.59969999999998</v>
      </c>
      <c r="K7277">
        <v>1.110449</v>
      </c>
      <c r="L7277">
        <v>34.291629999999998</v>
      </c>
      <c r="M7277">
        <v>0.56574950000000002</v>
      </c>
      <c r="N7277">
        <v>0</v>
      </c>
      <c r="O7277">
        <v>-0.82446200000000003</v>
      </c>
      <c r="P7277">
        <v>0.60968990000000001</v>
      </c>
      <c r="Q7277">
        <v>-5.0239150000000003E-3</v>
      </c>
      <c r="R7277">
        <v>-0.79262390000000005</v>
      </c>
      <c r="S7277">
        <v>2.1921390000000001</v>
      </c>
      <c r="T7277">
        <v>-0.1135317</v>
      </c>
      <c r="U7277">
        <v>-2.0975039999999998</v>
      </c>
      <c r="V7277">
        <v>-5.4246629999999997E-2</v>
      </c>
      <c r="W7277">
        <v>8.7162980000000008E-3</v>
      </c>
      <c r="X7277">
        <v>0.99848950000000003</v>
      </c>
      <c r="Y7277">
        <v>-0.20412089999999999</v>
      </c>
      <c r="Z7277">
        <v>3.3019560000000003E-2</v>
      </c>
      <c r="AA7277">
        <v>0.9783887</v>
      </c>
      <c r="AB7277">
        <v>16</v>
      </c>
      <c r="AC7277">
        <v>21.366499999999899</v>
      </c>
      <c r="AD7277">
        <v>-1.1104531959199999</v>
      </c>
      <c r="AE7277">
        <v>-20.407150000000001</v>
      </c>
      <c r="AF7277">
        <v>-6.06254542770795</v>
      </c>
      <c r="AG7277">
        <v>-1.1104531959199999</v>
      </c>
      <c r="AH7277">
        <v>28.874965615072998</v>
      </c>
      <c r="AI7277">
        <v>92.155405826057404</v>
      </c>
      <c r="AJ7277">
        <v>101.85750358170201</v>
      </c>
      <c r="AK7277">
        <v>29.5254331489819</v>
      </c>
      <c r="AL7277">
        <v>89.500586575854399</v>
      </c>
      <c r="AM7277">
        <v>93.109747663733401</v>
      </c>
      <c r="AN7277">
        <v>0.99999997616371505</v>
      </c>
    </row>
    <row r="7278" spans="1:40" x14ac:dyDescent="0.25">
      <c r="A7278" t="str">
        <f>"20190312154108288"</f>
        <v>20190312154108288</v>
      </c>
      <c r="B7278" t="str">
        <f>"1552376468283323"</f>
        <v>1552376468283323</v>
      </c>
      <c r="C7278" t="s">
        <v>40</v>
      </c>
      <c r="D7278">
        <v>4.2363920000000004</v>
      </c>
      <c r="E7278">
        <v>0.44305309999999998</v>
      </c>
      <c r="F7278" t="s">
        <v>42</v>
      </c>
      <c r="G7278">
        <v>-392.84219999999999</v>
      </c>
      <c r="H7278" s="1">
        <v>-4.459474E-6</v>
      </c>
      <c r="I7278">
        <v>13.440519999999999</v>
      </c>
      <c r="J7278">
        <v>-414.54629999999997</v>
      </c>
      <c r="K7278">
        <v>1.1104540000000001</v>
      </c>
      <c r="L7278">
        <v>34.214080000000003</v>
      </c>
      <c r="M7278">
        <v>0.56586269999999905</v>
      </c>
      <c r="N7278">
        <v>0</v>
      </c>
      <c r="O7278">
        <v>-0.82438469999999997</v>
      </c>
      <c r="P7278">
        <v>0.60951509999999998</v>
      </c>
      <c r="Q7278">
        <v>-4.5541180000000002E-3</v>
      </c>
      <c r="R7278">
        <v>-0.7927611</v>
      </c>
      <c r="S7278">
        <v>2.1904910000000002</v>
      </c>
      <c r="T7278">
        <v>-0.11179799999999999</v>
      </c>
      <c r="U7278">
        <v>-2.099243</v>
      </c>
      <c r="V7278">
        <v>-5.3888369999999998E-2</v>
      </c>
      <c r="W7278">
        <v>9.1683210000000001E-3</v>
      </c>
      <c r="X7278">
        <v>0.99850490000000003</v>
      </c>
      <c r="Y7278">
        <v>-0.20322860000000001</v>
      </c>
      <c r="Z7278">
        <v>3.2503740000000003E-2</v>
      </c>
      <c r="AA7278">
        <v>0.97859169999999995</v>
      </c>
      <c r="AB7278">
        <v>16</v>
      </c>
      <c r="AC7278">
        <v>21.704099999999901</v>
      </c>
      <c r="AD7278">
        <v>-1.1104584594739999</v>
      </c>
      <c r="AE7278">
        <v>-20.77356</v>
      </c>
      <c r="AF7278">
        <v>-6.1297518398511297</v>
      </c>
      <c r="AG7278">
        <v>-1.1104584594739999</v>
      </c>
      <c r="AH7278">
        <v>29.369605088340801</v>
      </c>
      <c r="AI7278">
        <v>92.119678028715001</v>
      </c>
      <c r="AJ7278">
        <v>101.789011364929</v>
      </c>
      <c r="AK7278">
        <v>30.023002492313701</v>
      </c>
      <c r="AL7278">
        <v>89.474686554922599</v>
      </c>
      <c r="AM7278">
        <v>93.089202374320294</v>
      </c>
      <c r="AN7278">
        <v>1.00000002492761</v>
      </c>
    </row>
    <row r="7279" spans="1:40" x14ac:dyDescent="0.25">
      <c r="A7279" t="str">
        <f>"20190312154108299"</f>
        <v>20190312154108299</v>
      </c>
      <c r="B7279" t="str">
        <f>"1552376468294058"</f>
        <v>1552376468294058</v>
      </c>
      <c r="C7279" t="s">
        <v>40</v>
      </c>
      <c r="D7279">
        <v>4.1691229999999999</v>
      </c>
      <c r="E7279">
        <v>0.44305020000000001</v>
      </c>
      <c r="F7279" t="s">
        <v>42</v>
      </c>
      <c r="G7279">
        <v>-392.31729999999999</v>
      </c>
      <c r="H7279" s="1">
        <v>-4.7975030000000001E-6</v>
      </c>
      <c r="I7279">
        <v>12.933680000000001</v>
      </c>
      <c r="J7279">
        <v>-414.50049999999999</v>
      </c>
      <c r="K7279">
        <v>1.1104609999999999</v>
      </c>
      <c r="L7279">
        <v>34.147579999999998</v>
      </c>
      <c r="M7279">
        <v>0.56596389999999996</v>
      </c>
      <c r="N7279">
        <v>0</v>
      </c>
      <c r="O7279">
        <v>-0.82431569999999899</v>
      </c>
      <c r="P7279">
        <v>0.60963299999999998</v>
      </c>
      <c r="Q7279">
        <v>-4.8368530000000003E-3</v>
      </c>
      <c r="R7279">
        <v>-0.79266919999999996</v>
      </c>
      <c r="S7279">
        <v>2.1918950000000001</v>
      </c>
      <c r="T7279">
        <v>-0.1094971</v>
      </c>
      <c r="U7279">
        <v>-2.0983580000000002</v>
      </c>
      <c r="V7279">
        <v>-5.391518E-2</v>
      </c>
      <c r="W7279">
        <v>8.8698340000000001E-3</v>
      </c>
      <c r="X7279">
        <v>0.99850609999999995</v>
      </c>
      <c r="Y7279">
        <v>-0.20364660000000001</v>
      </c>
      <c r="Z7279">
        <v>3.183354E-2</v>
      </c>
      <c r="AA7279">
        <v>0.97852680000000003</v>
      </c>
      <c r="AB7279">
        <v>16</v>
      </c>
      <c r="AC7279">
        <v>22.183199999999999</v>
      </c>
      <c r="AD7279">
        <v>-1.1104657975029999</v>
      </c>
      <c r="AE7279">
        <v>-21.213899999999899</v>
      </c>
      <c r="AF7279">
        <v>-6.2720409735963596</v>
      </c>
      <c r="AG7279">
        <v>-1.1104657975029999</v>
      </c>
      <c r="AH7279">
        <v>30.005399223582501</v>
      </c>
      <c r="AI7279">
        <v>92.0746842341606</v>
      </c>
      <c r="AJ7279">
        <v>101.80656190252699</v>
      </c>
      <c r="AK7279">
        <v>30.674021823498499</v>
      </c>
      <c r="AL7279">
        <v>89.491789270730905</v>
      </c>
      <c r="AM7279">
        <v>93.090732596961502</v>
      </c>
      <c r="AN7279">
        <v>0.99999997616341396</v>
      </c>
    </row>
    <row r="7280" spans="1:40" x14ac:dyDescent="0.25">
      <c r="A7280" t="str">
        <f>"20190312154108309"</f>
        <v>20190312154108309</v>
      </c>
      <c r="B7280" t="str">
        <f>"1552376468303820"</f>
        <v>1552376468303820</v>
      </c>
      <c r="C7280" t="s">
        <v>40</v>
      </c>
      <c r="D7280">
        <v>4.1712619999999996</v>
      </c>
      <c r="E7280">
        <v>0.44305020000000001</v>
      </c>
      <c r="F7280" t="s">
        <v>42</v>
      </c>
      <c r="G7280">
        <v>-392.34539999999998</v>
      </c>
      <c r="H7280" s="1">
        <v>-4.7825520000000001E-6</v>
      </c>
      <c r="I7280">
        <v>12.94309</v>
      </c>
      <c r="J7280">
        <v>-414.4563</v>
      </c>
      <c r="K7280">
        <v>1.1104689999999999</v>
      </c>
      <c r="L7280">
        <v>34.083469999999998</v>
      </c>
      <c r="M7280">
        <v>0.56607159999999901</v>
      </c>
      <c r="N7280">
        <v>0</v>
      </c>
      <c r="O7280">
        <v>-0.82424149999999996</v>
      </c>
      <c r="P7280">
        <v>0.60972219999999999</v>
      </c>
      <c r="Q7280">
        <v>-4.9532710000000004E-3</v>
      </c>
      <c r="R7280">
        <v>-0.79259969999999902</v>
      </c>
      <c r="S7280">
        <v>2.1921080000000002</v>
      </c>
      <c r="T7280">
        <v>-0.1098737</v>
      </c>
      <c r="U7280">
        <v>-2.0980530000000002</v>
      </c>
      <c r="V7280">
        <v>-5.3897630000000002E-2</v>
      </c>
      <c r="W7280">
        <v>8.7387079999999995E-3</v>
      </c>
      <c r="X7280">
        <v>0.99850819999999996</v>
      </c>
      <c r="Y7280">
        <v>-0.20363429999999999</v>
      </c>
      <c r="Z7280">
        <v>3.19411E-2</v>
      </c>
      <c r="AA7280">
        <v>0.97852589999999995</v>
      </c>
      <c r="AB7280">
        <v>16</v>
      </c>
      <c r="AC7280">
        <v>22.110900000000001</v>
      </c>
      <c r="AD7280">
        <v>-1.1104737825519999</v>
      </c>
      <c r="AE7280">
        <v>-21.14038</v>
      </c>
      <c r="AF7280">
        <v>-6.2501077354373997</v>
      </c>
      <c r="AG7280">
        <v>-1.1104737825519999</v>
      </c>
      <c r="AH7280">
        <v>29.904552847021201</v>
      </c>
      <c r="AI7280">
        <v>92.081701335532401</v>
      </c>
      <c r="AJ7280">
        <v>101.80499549224299</v>
      </c>
      <c r="AK7280">
        <v>30.570889416348301</v>
      </c>
      <c r="AL7280">
        <v>89.499302526668103</v>
      </c>
      <c r="AM7280">
        <v>93.089721992679401</v>
      </c>
      <c r="AN7280">
        <v>0.99999997250218198</v>
      </c>
    </row>
    <row r="7281" spans="1:40" x14ac:dyDescent="0.25">
      <c r="A7281" t="str">
        <f>"20190312154108320"</f>
        <v>20190312154108320</v>
      </c>
      <c r="B7281" t="str">
        <f>"1552376468313579"</f>
        <v>1552376468313579</v>
      </c>
      <c r="C7281" t="s">
        <v>40</v>
      </c>
      <c r="D7281">
        <v>4.1866640000000004</v>
      </c>
      <c r="E7281">
        <v>0.44315349999999998</v>
      </c>
      <c r="F7281" t="s">
        <v>42</v>
      </c>
      <c r="G7281">
        <v>-392.26670000000001</v>
      </c>
      <c r="H7281" s="1">
        <v>-4.8366609999999998E-6</v>
      </c>
      <c r="I7281">
        <v>12.848000000000001</v>
      </c>
      <c r="J7281">
        <v>-414.41390000000001</v>
      </c>
      <c r="K7281">
        <v>1.1104780000000001</v>
      </c>
      <c r="L7281">
        <v>34.022089999999999</v>
      </c>
      <c r="M7281">
        <v>0.56617830000000002</v>
      </c>
      <c r="N7281">
        <v>0</v>
      </c>
      <c r="O7281">
        <v>-0.82416889999999998</v>
      </c>
      <c r="P7281">
        <v>0.60979530000000004</v>
      </c>
      <c r="Q7281">
        <v>-5.205426E-3</v>
      </c>
      <c r="R7281">
        <v>-0.79254179999999996</v>
      </c>
      <c r="S7281">
        <v>2.1922299999999999</v>
      </c>
      <c r="T7281">
        <v>-0.1097095</v>
      </c>
      <c r="U7281">
        <v>-2.0979610000000002</v>
      </c>
      <c r="V7281">
        <v>-5.386204E-2</v>
      </c>
      <c r="W7281">
        <v>8.4731200000000007E-3</v>
      </c>
      <c r="X7281">
        <v>0.99851239999999997</v>
      </c>
      <c r="Y7281">
        <v>-0.20355790000000001</v>
      </c>
      <c r="Z7281">
        <v>3.1890120000000001E-2</v>
      </c>
      <c r="AA7281">
        <v>0.97854339999999995</v>
      </c>
      <c r="AB7281">
        <v>16</v>
      </c>
      <c r="AC7281">
        <v>22.147200000000002</v>
      </c>
      <c r="AD7281">
        <v>-1.110482836661</v>
      </c>
      <c r="AE7281">
        <v>-21.17409</v>
      </c>
      <c r="AF7281">
        <v>-6.2570926621654301</v>
      </c>
      <c r="AG7281">
        <v>-1.110482836661</v>
      </c>
      <c r="AH7281">
        <v>29.9537619200404</v>
      </c>
      <c r="AI7281">
        <v>92.078347175171004</v>
      </c>
      <c r="AJ7281">
        <v>101.79894753779099</v>
      </c>
      <c r="AK7281">
        <v>30.620454501458699</v>
      </c>
      <c r="AL7281">
        <v>89.514520157557001</v>
      </c>
      <c r="AM7281">
        <v>93.087672755913601</v>
      </c>
      <c r="AN7281">
        <v>0.99999996303462702</v>
      </c>
    </row>
    <row r="7282" spans="1:40" x14ac:dyDescent="0.25">
      <c r="A7282" t="str">
        <f>"20190312154108331"</f>
        <v>20190312154108331</v>
      </c>
      <c r="B7282" t="str">
        <f>"1552376468323339"</f>
        <v>1552376468323339</v>
      </c>
      <c r="C7282" t="s">
        <v>40</v>
      </c>
      <c r="D7282">
        <v>4.1815480000000003</v>
      </c>
      <c r="E7282">
        <v>0.44318600000000002</v>
      </c>
      <c r="F7282" t="s">
        <v>42</v>
      </c>
      <c r="G7282">
        <v>-392.34989999999999</v>
      </c>
      <c r="H7282" s="1">
        <v>-4.7886540000000004E-6</v>
      </c>
      <c r="I7282">
        <v>12.89692</v>
      </c>
      <c r="J7282">
        <v>-414.37029999999999</v>
      </c>
      <c r="K7282">
        <v>1.1104849999999999</v>
      </c>
      <c r="L7282">
        <v>33.958770000000001</v>
      </c>
      <c r="M7282">
        <v>0.56629739999999995</v>
      </c>
      <c r="N7282">
        <v>0</v>
      </c>
      <c r="O7282">
        <v>-0.82408719999999902</v>
      </c>
      <c r="P7282">
        <v>0.61006050000000001</v>
      </c>
      <c r="Q7282">
        <v>-5.3698000000000001E-3</v>
      </c>
      <c r="R7282">
        <v>-0.79233710000000002</v>
      </c>
      <c r="S7282">
        <v>2.191589</v>
      </c>
      <c r="T7282">
        <v>-0.11030230000000001</v>
      </c>
      <c r="U7282">
        <v>-2.098328</v>
      </c>
      <c r="V7282">
        <v>-5.4052570000000001E-2</v>
      </c>
      <c r="W7282">
        <v>8.2952670000000003E-3</v>
      </c>
      <c r="X7282">
        <v>0.99850360000000005</v>
      </c>
      <c r="Y7282">
        <v>-0.20318349999999999</v>
      </c>
      <c r="Z7282">
        <v>3.2057960000000003E-2</v>
      </c>
      <c r="AA7282">
        <v>0.97861569999999998</v>
      </c>
      <c r="AB7282">
        <v>16</v>
      </c>
      <c r="AC7282">
        <v>22.020399999999899</v>
      </c>
      <c r="AD7282">
        <v>-1.1104897886539999</v>
      </c>
      <c r="AE7282">
        <v>-21.06185</v>
      </c>
      <c r="AF7282">
        <v>-6.2117919726517501</v>
      </c>
      <c r="AG7282">
        <v>-1.1104897886539999</v>
      </c>
      <c r="AH7282">
        <v>29.790127757707399</v>
      </c>
      <c r="AI7282">
        <v>92.089922162561706</v>
      </c>
      <c r="AJ7282">
        <v>101.77845506546301</v>
      </c>
      <c r="AK7282">
        <v>30.451129025090999</v>
      </c>
      <c r="AL7282">
        <v>89.524710743568903</v>
      </c>
      <c r="AM7282">
        <v>93.098601007828904</v>
      </c>
      <c r="AN7282">
        <v>0.99999996549558201</v>
      </c>
    </row>
    <row r="7283" spans="1:40" x14ac:dyDescent="0.25">
      <c r="A7283" t="str">
        <f>"20190312154108341"</f>
        <v>20190312154108341</v>
      </c>
      <c r="B7283" t="str">
        <f>"1552376468334074"</f>
        <v>1552376468334074</v>
      </c>
      <c r="C7283" t="s">
        <v>40</v>
      </c>
      <c r="D7283">
        <v>4.1593339999999897</v>
      </c>
      <c r="E7283">
        <v>0.44316309999999898</v>
      </c>
      <c r="F7283" t="s">
        <v>42</v>
      </c>
      <c r="G7283">
        <v>-392.3501</v>
      </c>
      <c r="H7283" s="1">
        <v>-4.7899660000000002E-6</v>
      </c>
      <c r="I7283">
        <v>12.88884</v>
      </c>
      <c r="J7283">
        <v>-414.32740000000001</v>
      </c>
      <c r="K7283">
        <v>1.1104909999999999</v>
      </c>
      <c r="L7283">
        <v>33.89667</v>
      </c>
      <c r="M7283">
        <v>0.56641980000000003</v>
      </c>
      <c r="N7283">
        <v>0</v>
      </c>
      <c r="O7283">
        <v>-0.82400309999999899</v>
      </c>
      <c r="P7283">
        <v>0.61043000000000003</v>
      </c>
      <c r="Q7283">
        <v>-5.7862039999999997E-3</v>
      </c>
      <c r="R7283">
        <v>-0.792049</v>
      </c>
      <c r="S7283">
        <v>2.1922299999999999</v>
      </c>
      <c r="T7283">
        <v>-0.1105553</v>
      </c>
      <c r="U7283">
        <v>-2.097626</v>
      </c>
      <c r="V7283">
        <v>-5.4371759999999998E-2</v>
      </c>
      <c r="W7283">
        <v>7.8646959999999991E-3</v>
      </c>
      <c r="X7283">
        <v>0.99848979999999998</v>
      </c>
      <c r="Y7283">
        <v>-0.20334250000000001</v>
      </c>
      <c r="Z7283">
        <v>3.2130730000000003E-2</v>
      </c>
      <c r="AA7283">
        <v>0.97858029999999996</v>
      </c>
      <c r="AB7283">
        <v>16</v>
      </c>
      <c r="AC7283">
        <v>21.9773</v>
      </c>
      <c r="AD7283">
        <v>-1.110495789966</v>
      </c>
      <c r="AE7283">
        <v>-21.007829999999998</v>
      </c>
      <c r="AF7283">
        <v>-6.2024197536648602</v>
      </c>
      <c r="AG7283">
        <v>-1.110495789966</v>
      </c>
      <c r="AH7283">
        <v>29.7220314090277</v>
      </c>
      <c r="AI7283">
        <v>92.094649502043296</v>
      </c>
      <c r="AJ7283">
        <v>101.78737239311</v>
      </c>
      <c r="AK7283">
        <v>30.382599671183701</v>
      </c>
      <c r="AL7283">
        <v>89.549381471634902</v>
      </c>
      <c r="AM7283">
        <v>93.116905816186303</v>
      </c>
      <c r="AN7283">
        <v>1.0000000112163501</v>
      </c>
    </row>
    <row r="7284" spans="1:40" x14ac:dyDescent="0.25">
      <c r="A7284" t="str">
        <f>"20190312154108352"</f>
        <v>20190312154108352</v>
      </c>
      <c r="B7284" t="str">
        <f>"1552376468343835"</f>
        <v>1552376468343835</v>
      </c>
      <c r="C7284" t="s">
        <v>40</v>
      </c>
      <c r="D7284">
        <v>4.2046130000000002</v>
      </c>
      <c r="E7284">
        <v>0.44319249999999999</v>
      </c>
      <c r="F7284" t="s">
        <v>42</v>
      </c>
      <c r="G7284">
        <v>-392.54719999999998</v>
      </c>
      <c r="H7284" s="1">
        <v>-4.6630899999999996E-6</v>
      </c>
      <c r="I7284">
        <v>13.078900000000001</v>
      </c>
      <c r="J7284">
        <v>-414.28280000000001</v>
      </c>
      <c r="K7284">
        <v>1.110498</v>
      </c>
      <c r="L7284">
        <v>33.832149999999999</v>
      </c>
      <c r="M7284">
        <v>0.56655559999999905</v>
      </c>
      <c r="N7284">
        <v>0</v>
      </c>
      <c r="O7284">
        <v>-0.82391039999999904</v>
      </c>
      <c r="P7284">
        <v>0.6107361</v>
      </c>
      <c r="Q7284">
        <v>-6.0781719999999997E-3</v>
      </c>
      <c r="R7284">
        <v>-0.7918113</v>
      </c>
      <c r="S7284">
        <v>2.1933590000000001</v>
      </c>
      <c r="T7284">
        <v>-0.111831399999999</v>
      </c>
      <c r="U7284">
        <v>-2.0964360000000002</v>
      </c>
      <c r="V7284">
        <v>-5.4594709999999998E-2</v>
      </c>
      <c r="W7284">
        <v>7.5576230000000003E-3</v>
      </c>
      <c r="X7284">
        <v>0.99848000000000003</v>
      </c>
      <c r="Y7284">
        <v>-0.2037002</v>
      </c>
      <c r="Z7284">
        <v>3.2502219999999998E-2</v>
      </c>
      <c r="AA7284">
        <v>0.97849370000000002</v>
      </c>
      <c r="AB7284">
        <v>16</v>
      </c>
      <c r="AC7284">
        <v>21.735600000000002</v>
      </c>
      <c r="AD7284">
        <v>-1.1105026630899999</v>
      </c>
      <c r="AE7284">
        <v>-20.753250000000001</v>
      </c>
      <c r="AF7284">
        <v>-6.14250268949987</v>
      </c>
      <c r="AG7284">
        <v>-1.1105026630899999</v>
      </c>
      <c r="AH7284">
        <v>29.375873841263399</v>
      </c>
      <c r="AI7284">
        <v>92.119145302613504</v>
      </c>
      <c r="AJ7284">
        <v>101.81039596684801</v>
      </c>
      <c r="AK7284">
        <v>30.0317418641188</v>
      </c>
      <c r="AL7284">
        <v>89.566975978919302</v>
      </c>
      <c r="AM7284">
        <v>93.129691908945006</v>
      </c>
      <c r="AN7284">
        <v>1.0000000052126901</v>
      </c>
    </row>
    <row r="7285" spans="1:40" x14ac:dyDescent="0.25">
      <c r="A7285" t="str">
        <f>"20190312154108364"</f>
        <v>20190312154108364</v>
      </c>
      <c r="B7285" t="str">
        <f>"1552376468353595"</f>
        <v>1552376468353595</v>
      </c>
      <c r="C7285" t="s">
        <v>40</v>
      </c>
      <c r="D7285">
        <v>4.180809</v>
      </c>
      <c r="E7285">
        <v>0.44314179999999997</v>
      </c>
      <c r="F7285" t="s">
        <v>42</v>
      </c>
      <c r="G7285">
        <v>-392.61070000000001</v>
      </c>
      <c r="H7285" s="1">
        <v>-4.6239629999999997E-6</v>
      </c>
      <c r="I7285">
        <v>13.13015</v>
      </c>
      <c r="J7285">
        <v>-414.23790000000002</v>
      </c>
      <c r="K7285">
        <v>1.110506</v>
      </c>
      <c r="L7285">
        <v>33.767209999999999</v>
      </c>
      <c r="M7285">
        <v>0.56670180000000003</v>
      </c>
      <c r="N7285">
        <v>0</v>
      </c>
      <c r="O7285">
        <v>-0.82380959999999903</v>
      </c>
      <c r="P7285">
        <v>0.61106830000000001</v>
      </c>
      <c r="Q7285">
        <v>-6.3055580000000002E-3</v>
      </c>
      <c r="R7285">
        <v>-0.79155249999999999</v>
      </c>
      <c r="S7285">
        <v>2.1939090000000001</v>
      </c>
      <c r="T7285">
        <v>-0.1124183</v>
      </c>
      <c r="U7285">
        <v>-2.0957029999999999</v>
      </c>
      <c r="V7285">
        <v>-5.4838110000000002E-2</v>
      </c>
      <c r="W7285">
        <v>7.3139659999999999E-3</v>
      </c>
      <c r="X7285">
        <v>0.99846849999999998</v>
      </c>
      <c r="Y7285">
        <v>-0.20381469999999999</v>
      </c>
      <c r="Z7285">
        <v>3.2671829999999999E-2</v>
      </c>
      <c r="AA7285">
        <v>0.97846420000000001</v>
      </c>
      <c r="AB7285">
        <v>16</v>
      </c>
      <c r="AC7285">
        <v>21.627199999999998</v>
      </c>
      <c r="AD7285">
        <v>-1.110510623963</v>
      </c>
      <c r="AE7285">
        <v>-20.637060000000002</v>
      </c>
      <c r="AF7285">
        <v>-6.1137705855236897</v>
      </c>
      <c r="AG7285">
        <v>-1.110510623963</v>
      </c>
      <c r="AH7285">
        <v>29.219590400349201</v>
      </c>
      <c r="AI7285">
        <v>92.130426955778205</v>
      </c>
      <c r="AJ7285">
        <v>101.81781072538701</v>
      </c>
      <c r="AK7285">
        <v>29.872995962617001</v>
      </c>
      <c r="AL7285">
        <v>89.5809368925391</v>
      </c>
      <c r="AM7285">
        <v>93.143653248413401</v>
      </c>
      <c r="AN7285">
        <v>1.00000002894963</v>
      </c>
    </row>
    <row r="7286" spans="1:40" x14ac:dyDescent="0.25">
      <c r="A7286" t="str">
        <f>"20190312154108375"</f>
        <v>20190312154108375</v>
      </c>
      <c r="B7286" t="str">
        <f>"1552376468363355"</f>
        <v>1552376468363355</v>
      </c>
      <c r="C7286" t="s">
        <v>40</v>
      </c>
      <c r="D7286">
        <v>4.1788869999999996</v>
      </c>
      <c r="E7286">
        <v>0.44309900000000002</v>
      </c>
      <c r="F7286" t="s">
        <v>42</v>
      </c>
      <c r="G7286">
        <v>-392.71809999999999</v>
      </c>
      <c r="H7286" s="1">
        <v>-4.5555279999999998E-6</v>
      </c>
      <c r="I7286">
        <v>13.229699999999999</v>
      </c>
      <c r="J7286">
        <v>-414.19099999999997</v>
      </c>
      <c r="K7286">
        <v>1.1105179999999999</v>
      </c>
      <c r="L7286">
        <v>33.699339999999999</v>
      </c>
      <c r="M7286">
        <v>0.56686169999999902</v>
      </c>
      <c r="N7286">
        <v>0</v>
      </c>
      <c r="O7286">
        <v>-0.82369999999999999</v>
      </c>
      <c r="P7286">
        <v>0.61150450000000001</v>
      </c>
      <c r="Q7286">
        <v>-6.5253949999999998E-3</v>
      </c>
      <c r="R7286">
        <v>-0.79121419999999998</v>
      </c>
      <c r="S7286">
        <v>2.1949160000000001</v>
      </c>
      <c r="T7286">
        <v>-0.1132667</v>
      </c>
      <c r="U7286">
        <v>-2.0947269999999998</v>
      </c>
      <c r="V7286">
        <v>-5.5195269999999998E-2</v>
      </c>
      <c r="W7286">
        <v>7.0760299999999996E-3</v>
      </c>
      <c r="X7286">
        <v>0.99845050000000002</v>
      </c>
      <c r="Y7286">
        <v>-0.2040699</v>
      </c>
      <c r="Z7286">
        <v>3.2916849999999998E-2</v>
      </c>
      <c r="AA7286">
        <v>0.97840280000000002</v>
      </c>
      <c r="AB7286">
        <v>16</v>
      </c>
      <c r="AC7286">
        <v>21.4728999999999</v>
      </c>
      <c r="AD7286">
        <v>-1.1105225555280001</v>
      </c>
      <c r="AE7286">
        <v>-20.469639999999998</v>
      </c>
      <c r="AF7286">
        <v>-6.0758250747184501</v>
      </c>
      <c r="AG7286">
        <v>-1.1105225555280001</v>
      </c>
      <c r="AH7286">
        <v>28.9950788909332</v>
      </c>
      <c r="AI7286">
        <v>92.146796714831495</v>
      </c>
      <c r="AJ7286">
        <v>101.83490541513</v>
      </c>
      <c r="AK7286">
        <v>29.645632234384099</v>
      </c>
      <c r="AL7286">
        <v>89.594569959683099</v>
      </c>
      <c r="AM7286">
        <v>93.164143285610194</v>
      </c>
      <c r="AN7286">
        <v>0.99999999449059196</v>
      </c>
    </row>
    <row r="7287" spans="1:40" x14ac:dyDescent="0.25">
      <c r="A7287" t="str">
        <f>"20190312154108386"</f>
        <v>20190312154108386</v>
      </c>
      <c r="B7287" t="str">
        <f>"1552376468374091"</f>
        <v>1552376468374091</v>
      </c>
      <c r="C7287" t="s">
        <v>40</v>
      </c>
      <c r="D7287">
        <v>4.2003089999999998</v>
      </c>
      <c r="E7287">
        <v>0.44307590000000002</v>
      </c>
      <c r="F7287" t="s">
        <v>42</v>
      </c>
      <c r="G7287">
        <v>-392.85739999999998</v>
      </c>
      <c r="H7287" s="1">
        <v>-4.465568E-6</v>
      </c>
      <c r="I7287">
        <v>13.36589</v>
      </c>
      <c r="J7287">
        <v>-414.14679999999998</v>
      </c>
      <c r="K7287">
        <v>1.110528</v>
      </c>
      <c r="L7287">
        <v>33.635649999999998</v>
      </c>
      <c r="M7287">
        <v>0.56702769999999902</v>
      </c>
      <c r="N7287">
        <v>0</v>
      </c>
      <c r="O7287">
        <v>-0.82358600000000004</v>
      </c>
      <c r="P7287">
        <v>0.61184569999999905</v>
      </c>
      <c r="Q7287">
        <v>-6.859085E-3</v>
      </c>
      <c r="R7287">
        <v>-0.79094770000000003</v>
      </c>
      <c r="S7287">
        <v>2.196259</v>
      </c>
      <c r="T7287">
        <v>-0.1143262</v>
      </c>
      <c r="U7287">
        <v>-2.0932919999999999</v>
      </c>
      <c r="V7287">
        <v>-5.5426799999999998E-2</v>
      </c>
      <c r="W7287">
        <v>6.7217479999999996E-3</v>
      </c>
      <c r="X7287">
        <v>0.99844010000000005</v>
      </c>
      <c r="Y7287">
        <v>-0.20449729999999999</v>
      </c>
      <c r="Z7287">
        <v>3.3225669999999999E-2</v>
      </c>
      <c r="AA7287">
        <v>0.97830309999999998</v>
      </c>
      <c r="AB7287">
        <v>16</v>
      </c>
      <c r="AC7287">
        <v>21.289400000000001</v>
      </c>
      <c r="AD7287">
        <v>-1.110532465568</v>
      </c>
      <c r="AE7287">
        <v>-20.269760000000002</v>
      </c>
      <c r="AF7287">
        <v>-6.0320880147308902</v>
      </c>
      <c r="AG7287">
        <v>-1.110532465568</v>
      </c>
      <c r="AH7287">
        <v>28.727240431905301</v>
      </c>
      <c r="AI7287">
        <v>92.1666251567285</v>
      </c>
      <c r="AJ7287">
        <v>101.858570938339</v>
      </c>
      <c r="AK7287">
        <v>29.374712100836501</v>
      </c>
      <c r="AL7287">
        <v>89.614869297931193</v>
      </c>
      <c r="AM7287">
        <v>93.177421944759004</v>
      </c>
      <c r="AN7287">
        <v>0.99999997267121199</v>
      </c>
    </row>
    <row r="7288" spans="1:40" x14ac:dyDescent="0.25">
      <c r="A7288" t="str">
        <f>"20190312154108397"</f>
        <v>20190312154108397</v>
      </c>
      <c r="B7288" t="str">
        <f>"1552376468393613"</f>
        <v>1552376468393613</v>
      </c>
      <c r="C7288" t="s">
        <v>40</v>
      </c>
      <c r="D7288">
        <v>4.2382949999999999</v>
      </c>
      <c r="E7288">
        <v>0.44303930000000002</v>
      </c>
      <c r="F7288" t="s">
        <v>42</v>
      </c>
      <c r="G7288">
        <v>-392.95060000000001</v>
      </c>
      <c r="H7288" s="1">
        <v>-4.405187E-6</v>
      </c>
      <c r="I7288">
        <v>13.45786</v>
      </c>
      <c r="J7288">
        <v>-414.10219999999998</v>
      </c>
      <c r="K7288">
        <v>1.1105370000000001</v>
      </c>
      <c r="L7288">
        <v>33.571199999999997</v>
      </c>
      <c r="M7288">
        <v>0.56719919999999902</v>
      </c>
      <c r="N7288">
        <v>0</v>
      </c>
      <c r="O7288">
        <v>-0.82346819999999898</v>
      </c>
      <c r="P7288">
        <v>0.61243559999999997</v>
      </c>
      <c r="Q7288">
        <v>-7.0630989999999998E-3</v>
      </c>
      <c r="R7288">
        <v>-0.79048879999999999</v>
      </c>
      <c r="S7288">
        <v>2.1975709999999999</v>
      </c>
      <c r="T7288">
        <v>-0.115137</v>
      </c>
      <c r="U7288">
        <v>-2.09198</v>
      </c>
      <c r="V7288">
        <v>-5.5965330000000001E-2</v>
      </c>
      <c r="W7288">
        <v>6.4952559999999996E-3</v>
      </c>
      <c r="X7288">
        <v>0.99841159999999995</v>
      </c>
      <c r="Y7288">
        <v>-0.20488509999999999</v>
      </c>
      <c r="Z7288">
        <v>3.3461049999999999E-2</v>
      </c>
      <c r="AA7288">
        <v>0.97821389999999997</v>
      </c>
      <c r="AB7288">
        <v>16</v>
      </c>
      <c r="AC7288">
        <v>21.151599999999899</v>
      </c>
      <c r="AD7288">
        <v>-1.110541405187</v>
      </c>
      <c r="AE7288">
        <v>-20.113340000000001</v>
      </c>
      <c r="AF7288">
        <v>-6.00126843363359</v>
      </c>
      <c r="AG7288">
        <v>-1.110541405187</v>
      </c>
      <c r="AH7288">
        <v>28.521222749229999</v>
      </c>
      <c r="AI7288">
        <v>92.182086431811996</v>
      </c>
      <c r="AJ7288">
        <v>101.882503237145</v>
      </c>
      <c r="AK7288">
        <v>29.1669105689368</v>
      </c>
      <c r="AL7288">
        <v>89.627846633049899</v>
      </c>
      <c r="AM7288">
        <v>93.208321169203003</v>
      </c>
      <c r="AN7288">
        <v>1.00000001476353</v>
      </c>
    </row>
    <row r="7289" spans="1:40" x14ac:dyDescent="0.25">
      <c r="A7289" t="str">
        <f>"20190312154108408"</f>
        <v>20190312154108408</v>
      </c>
      <c r="B7289" t="str">
        <f>"1552376468403372"</f>
        <v>1552376468403372</v>
      </c>
      <c r="C7289" t="s">
        <v>40</v>
      </c>
      <c r="D7289">
        <v>4.1987719999999999</v>
      </c>
      <c r="E7289">
        <v>0.44301639999999998</v>
      </c>
      <c r="F7289" t="s">
        <v>42</v>
      </c>
      <c r="G7289">
        <v>-392.97910000000002</v>
      </c>
      <c r="H7289" s="1">
        <v>-4.3852409999999996E-6</v>
      </c>
      <c r="I7289">
        <v>13.494249999999999</v>
      </c>
      <c r="J7289">
        <v>-414.05849999999998</v>
      </c>
      <c r="K7289">
        <v>1.1105419999999999</v>
      </c>
      <c r="L7289">
        <v>33.508270000000003</v>
      </c>
      <c r="M7289">
        <v>0.56738759999999999</v>
      </c>
      <c r="N7289">
        <v>0</v>
      </c>
      <c r="O7289">
        <v>-0.82333899999999904</v>
      </c>
      <c r="P7289">
        <v>0.61278469999999996</v>
      </c>
      <c r="Q7289">
        <v>-7.3142950000000002E-3</v>
      </c>
      <c r="R7289">
        <v>-0.79021640000000004</v>
      </c>
      <c r="S7289">
        <v>2.1991879999999999</v>
      </c>
      <c r="T7289">
        <v>-0.1156218</v>
      </c>
      <c r="U7289">
        <v>-2.090271</v>
      </c>
      <c r="V7289">
        <v>-5.6179189999999997E-2</v>
      </c>
      <c r="W7289">
        <v>6.212019E-3</v>
      </c>
      <c r="X7289">
        <v>0.99840139999999999</v>
      </c>
      <c r="Y7289">
        <v>-0.20541580000000001</v>
      </c>
      <c r="Z7289">
        <v>3.3603550000000003E-2</v>
      </c>
      <c r="AA7289">
        <v>0.97809769999999896</v>
      </c>
      <c r="AB7289">
        <v>16</v>
      </c>
      <c r="AC7289">
        <v>21.0793999999999</v>
      </c>
      <c r="AD7289">
        <v>-1.110546385241</v>
      </c>
      <c r="AE7289">
        <v>-20.014019999999999</v>
      </c>
      <c r="AF7289">
        <v>-5.99159201088339</v>
      </c>
      <c r="AG7289">
        <v>-1.110546385241</v>
      </c>
      <c r="AH7289">
        <v>28.399677637256499</v>
      </c>
      <c r="AI7289">
        <v>92.191178836955302</v>
      </c>
      <c r="AJ7289">
        <v>101.91321457587</v>
      </c>
      <c r="AK7289">
        <v>29.046069923463602</v>
      </c>
      <c r="AL7289">
        <v>89.644075248081705</v>
      </c>
      <c r="AM7289">
        <v>93.220588183673996</v>
      </c>
      <c r="AN7289">
        <v>1.0000000230455299</v>
      </c>
    </row>
    <row r="7290" spans="1:40" x14ac:dyDescent="0.25">
      <c r="A7290" t="str">
        <f>"20190312154108419"</f>
        <v>20190312154108419</v>
      </c>
      <c r="B7290" t="str">
        <f>"1552376468414106"</f>
        <v>1552376468414106</v>
      </c>
      <c r="C7290" t="s">
        <v>40</v>
      </c>
      <c r="D7290">
        <v>4.2249689999999998</v>
      </c>
      <c r="E7290">
        <v>0.44297520000000001</v>
      </c>
      <c r="F7290" t="s">
        <v>42</v>
      </c>
      <c r="G7290">
        <v>-393.06380000000001</v>
      </c>
      <c r="H7290" s="1">
        <v>-4.3316710000000002E-6</v>
      </c>
      <c r="I7290">
        <v>13.570679999999999</v>
      </c>
      <c r="J7290">
        <v>-414.01429999999999</v>
      </c>
      <c r="K7290">
        <v>1.1105510000000001</v>
      </c>
      <c r="L7290">
        <v>33.44464</v>
      </c>
      <c r="M7290">
        <v>0.56758160000000002</v>
      </c>
      <c r="N7290">
        <v>0</v>
      </c>
      <c r="O7290">
        <v>-0.82320559999999998</v>
      </c>
      <c r="P7290">
        <v>0.61329509999999998</v>
      </c>
      <c r="Q7290">
        <v>-7.3368089999999997E-3</v>
      </c>
      <c r="R7290">
        <v>-0.78981999999999997</v>
      </c>
      <c r="S7290">
        <v>2.200043</v>
      </c>
      <c r="T7290">
        <v>-0.1163744</v>
      </c>
      <c r="U7290">
        <v>-2.089264</v>
      </c>
      <c r="V7290">
        <v>-5.658958E-2</v>
      </c>
      <c r="W7290">
        <v>6.1548009999999997E-3</v>
      </c>
      <c r="X7290">
        <v>0.9983786</v>
      </c>
      <c r="Y7290">
        <v>-0.20560410000000001</v>
      </c>
      <c r="Z7290">
        <v>3.3820620000000003E-2</v>
      </c>
      <c r="AA7290">
        <v>0.97805059999999999</v>
      </c>
      <c r="AB7290">
        <v>16</v>
      </c>
      <c r="AC7290">
        <v>20.950499999999899</v>
      </c>
      <c r="AD7290">
        <v>-1.110555331671</v>
      </c>
      <c r="AE7290">
        <v>-19.87396</v>
      </c>
      <c r="AF7290">
        <v>-5.9582107246507903</v>
      </c>
      <c r="AG7290">
        <v>-1.110555331671</v>
      </c>
      <c r="AH7290">
        <v>28.2123422729033</v>
      </c>
      <c r="AI7290">
        <v>92.205635178099797</v>
      </c>
      <c r="AJ7290">
        <v>101.92515536204699</v>
      </c>
      <c r="AK7290">
        <v>28.856019557581</v>
      </c>
      <c r="AL7290">
        <v>89.647353668525994</v>
      </c>
      <c r="AM7290">
        <v>93.2441384986016</v>
      </c>
      <c r="AN7290">
        <v>1.00000004553894</v>
      </c>
    </row>
    <row r="7291" spans="1:40" x14ac:dyDescent="0.25">
      <c r="A7291" t="str">
        <f>"20190312154108430"</f>
        <v>20190312154108430</v>
      </c>
      <c r="B7291" t="str">
        <f>"1552376468423867"</f>
        <v>1552376468423867</v>
      </c>
      <c r="C7291" t="s">
        <v>40</v>
      </c>
      <c r="D7291">
        <v>4.2348689999999998</v>
      </c>
      <c r="E7291">
        <v>0.4429903</v>
      </c>
      <c r="F7291" t="s">
        <v>42</v>
      </c>
      <c r="G7291">
        <v>-392.96300000000002</v>
      </c>
      <c r="H7291" s="1">
        <v>-4.3944980000000004E-6</v>
      </c>
      <c r="I7291">
        <v>13.485099999999999</v>
      </c>
      <c r="J7291">
        <v>-413.96629999999999</v>
      </c>
      <c r="K7291">
        <v>1.110562</v>
      </c>
      <c r="L7291">
        <v>33.375520000000002</v>
      </c>
      <c r="M7291">
        <v>0.56780980000000003</v>
      </c>
      <c r="N7291">
        <v>0</v>
      </c>
      <c r="O7291">
        <v>-0.82304929999999998</v>
      </c>
      <c r="P7291">
        <v>0.61385809999999996</v>
      </c>
      <c r="Q7291">
        <v>-7.2685509999999998E-3</v>
      </c>
      <c r="R7291">
        <v>-0.78938319999999995</v>
      </c>
      <c r="S7291">
        <v>2.2017820000000001</v>
      </c>
      <c r="T7291">
        <v>-0.11615399999999999</v>
      </c>
      <c r="U7291">
        <v>-2.0875849999999998</v>
      </c>
      <c r="V7291">
        <v>-5.702517E-2</v>
      </c>
      <c r="W7291">
        <v>6.1738729999999999E-3</v>
      </c>
      <c r="X7291">
        <v>0.99835370000000001</v>
      </c>
      <c r="Y7291">
        <v>-0.20611360000000001</v>
      </c>
      <c r="Z7291">
        <v>3.3756069999999999E-2</v>
      </c>
      <c r="AA7291">
        <v>0.97794570000000003</v>
      </c>
      <c r="AB7291">
        <v>16</v>
      </c>
      <c r="AC7291">
        <v>21.0032999999999</v>
      </c>
      <c r="AD7291">
        <v>-1.110566394498</v>
      </c>
      <c r="AE7291">
        <v>-19.890419999999999</v>
      </c>
      <c r="AF7291">
        <v>-5.9845001350520297</v>
      </c>
      <c r="AG7291">
        <v>-1.110566394498</v>
      </c>
      <c r="AH7291">
        <v>28.257599056016499</v>
      </c>
      <c r="AI7291">
        <v>92.2018643969609</v>
      </c>
      <c r="AJ7291">
        <v>101.957628246469</v>
      </c>
      <c r="AK7291">
        <v>28.905700198985201</v>
      </c>
      <c r="AL7291">
        <v>89.646260903758503</v>
      </c>
      <c r="AM7291">
        <v>93.269137183898707</v>
      </c>
      <c r="AN7291">
        <v>1.00000004851251</v>
      </c>
    </row>
    <row r="7292" spans="1:40" x14ac:dyDescent="0.25">
      <c r="A7292" t="str">
        <f>"20190312154108442"</f>
        <v>20190312154108442</v>
      </c>
      <c r="B7292" t="str">
        <f>"1552376468433627"</f>
        <v>1552376468433627</v>
      </c>
      <c r="C7292" t="s">
        <v>40</v>
      </c>
      <c r="D7292">
        <v>4.2362880000000001</v>
      </c>
      <c r="E7292">
        <v>0.44299640000000001</v>
      </c>
      <c r="F7292" t="s">
        <v>42</v>
      </c>
      <c r="G7292">
        <v>-392.9128</v>
      </c>
      <c r="H7292" s="1">
        <v>-4.4263359999999996E-6</v>
      </c>
      <c r="I7292">
        <v>13.43929</v>
      </c>
      <c r="J7292">
        <v>-413.92180000000002</v>
      </c>
      <c r="K7292">
        <v>1.110568</v>
      </c>
      <c r="L7292">
        <v>33.311549999999997</v>
      </c>
      <c r="M7292">
        <v>0.56803119999999996</v>
      </c>
      <c r="N7292">
        <v>0</v>
      </c>
      <c r="O7292">
        <v>-0.82289729999999905</v>
      </c>
      <c r="P7292">
        <v>0.61414150000000001</v>
      </c>
      <c r="Q7292">
        <v>-7.2752919999999896E-3</v>
      </c>
      <c r="R7292">
        <v>-0.78916280000000005</v>
      </c>
      <c r="S7292">
        <v>2.2030639999999999</v>
      </c>
      <c r="T7292">
        <v>-0.11621099999999999</v>
      </c>
      <c r="U7292">
        <v>-2.0861510000000001</v>
      </c>
      <c r="V7292">
        <v>-5.7115640000000002E-2</v>
      </c>
      <c r="W7292">
        <v>6.1157009999999899E-3</v>
      </c>
      <c r="X7292">
        <v>0.99834880000000004</v>
      </c>
      <c r="Y7292">
        <v>-0.20646999999999999</v>
      </c>
      <c r="Z7292">
        <v>3.3772299999999998E-2</v>
      </c>
      <c r="AA7292">
        <v>0.97786989999999996</v>
      </c>
      <c r="AB7292">
        <v>16</v>
      </c>
      <c r="AC7292">
        <v>21.009</v>
      </c>
      <c r="AD7292">
        <v>-1.110572426336</v>
      </c>
      <c r="AE7292">
        <v>-19.872260000000001</v>
      </c>
      <c r="AF7292">
        <v>-5.9918905685034796</v>
      </c>
      <c r="AG7292">
        <v>-1.110572426336</v>
      </c>
      <c r="AH7292">
        <v>28.247491038876799</v>
      </c>
      <c r="AI7292">
        <v>92.202512882809302</v>
      </c>
      <c r="AJ7292">
        <v>101.976129590825</v>
      </c>
      <c r="AK7292">
        <v>28.897350634452401</v>
      </c>
      <c r="AL7292">
        <v>89.649593946398397</v>
      </c>
      <c r="AM7292">
        <v>93.274328405139599</v>
      </c>
      <c r="AN7292">
        <v>0.99999996229638399</v>
      </c>
    </row>
    <row r="7293" spans="1:40" x14ac:dyDescent="0.25">
      <c r="A7293" t="str">
        <f>"20190312154108454"</f>
        <v>20190312154108454</v>
      </c>
      <c r="B7293" t="str">
        <f>"1552376468443387"</f>
        <v>1552376468443387</v>
      </c>
      <c r="C7293" t="s">
        <v>40</v>
      </c>
      <c r="D7293">
        <v>4.2334670000000001</v>
      </c>
      <c r="E7293">
        <v>0.4429707</v>
      </c>
      <c r="F7293" t="s">
        <v>42</v>
      </c>
      <c r="G7293">
        <v>-392.92989999999998</v>
      </c>
      <c r="H7293" s="1">
        <v>-4.4168349999999997E-6</v>
      </c>
      <c r="I7293">
        <v>13.4473</v>
      </c>
      <c r="J7293">
        <v>-413.87220000000002</v>
      </c>
      <c r="K7293">
        <v>1.110573</v>
      </c>
      <c r="L7293">
        <v>33.240259999999999</v>
      </c>
      <c r="M7293">
        <v>0.5682914</v>
      </c>
      <c r="N7293">
        <v>0</v>
      </c>
      <c r="O7293">
        <v>-0.82271839999999996</v>
      </c>
      <c r="P7293">
        <v>0.61453729999999995</v>
      </c>
      <c r="Q7293">
        <v>-6.934595E-3</v>
      </c>
      <c r="R7293">
        <v>-0.78885749999999999</v>
      </c>
      <c r="S7293">
        <v>2.2037659999999999</v>
      </c>
      <c r="T7293">
        <v>-0.1165901</v>
      </c>
      <c r="U7293">
        <v>-2.085388</v>
      </c>
      <c r="V7293">
        <v>-5.7300240000000002E-2</v>
      </c>
      <c r="W7293">
        <v>6.3898770000000004E-3</v>
      </c>
      <c r="X7293">
        <v>0.99833660000000002</v>
      </c>
      <c r="Y7293">
        <v>-0.20649190000000001</v>
      </c>
      <c r="Z7293">
        <v>3.3876910000000003E-2</v>
      </c>
      <c r="AA7293">
        <v>0.97786169999999994</v>
      </c>
      <c r="AB7293">
        <v>16</v>
      </c>
      <c r="AC7293">
        <v>20.942299999999999</v>
      </c>
      <c r="AD7293">
        <v>-1.110577416835</v>
      </c>
      <c r="AE7293">
        <v>-19.792960000000001</v>
      </c>
      <c r="AF7293">
        <v>-5.9731105545329601</v>
      </c>
      <c r="AG7293">
        <v>-1.110577416835</v>
      </c>
      <c r="AH7293">
        <v>28.146080829496299</v>
      </c>
      <c r="AI7293">
        <v>92.210407086872095</v>
      </c>
      <c r="AJ7293">
        <v>101.981449953107</v>
      </c>
      <c r="AK7293">
        <v>28.794327530886999</v>
      </c>
      <c r="AL7293">
        <v>89.633884545854798</v>
      </c>
      <c r="AM7293">
        <v>93.284928080412101</v>
      </c>
      <c r="AN7293">
        <v>1.0000000574658401</v>
      </c>
    </row>
    <row r="7294" spans="1:40" x14ac:dyDescent="0.25">
      <c r="A7294" t="str">
        <f>"20190312154108467"</f>
        <v>20190312154108467</v>
      </c>
      <c r="B7294" t="str">
        <f>"1552376468463883"</f>
        <v>1552376468463883</v>
      </c>
      <c r="C7294" t="s">
        <v>40</v>
      </c>
      <c r="D7294">
        <v>4.2250699999999997</v>
      </c>
      <c r="E7294">
        <v>0.44299110000000003</v>
      </c>
      <c r="F7294" t="s">
        <v>42</v>
      </c>
      <c r="G7294">
        <v>-392.72989999999999</v>
      </c>
      <c r="H7294" s="1">
        <v>-4.5453630000000002E-6</v>
      </c>
      <c r="I7294">
        <v>13.255610000000001</v>
      </c>
      <c r="J7294">
        <v>-413.81909999999999</v>
      </c>
      <c r="K7294">
        <v>1.110573</v>
      </c>
      <c r="L7294">
        <v>33.16431</v>
      </c>
      <c r="M7294">
        <v>0.56859209999999905</v>
      </c>
      <c r="N7294">
        <v>0</v>
      </c>
      <c r="O7294">
        <v>-0.82251229999999997</v>
      </c>
      <c r="P7294">
        <v>0.6147975</v>
      </c>
      <c r="Q7294">
        <v>-6.8322540000000003E-3</v>
      </c>
      <c r="R7294">
        <v>-0.78865580000000002</v>
      </c>
      <c r="S7294">
        <v>2.204987</v>
      </c>
      <c r="T7294">
        <v>-0.1158254</v>
      </c>
      <c r="U7294">
        <v>-2.0842589999999999</v>
      </c>
      <c r="V7294">
        <v>-5.7265009999999998E-2</v>
      </c>
      <c r="W7294">
        <v>6.4027509999999999E-3</v>
      </c>
      <c r="X7294">
        <v>0.99833850000000002</v>
      </c>
      <c r="Y7294">
        <v>-0.20667650000000001</v>
      </c>
      <c r="Z7294">
        <v>3.3649110000000003E-2</v>
      </c>
      <c r="AA7294">
        <v>0.97783050000000005</v>
      </c>
      <c r="AB7294">
        <v>16</v>
      </c>
      <c r="AC7294">
        <v>21.089200000000002</v>
      </c>
      <c r="AD7294">
        <v>-1.110577545363</v>
      </c>
      <c r="AE7294">
        <v>-19.9087</v>
      </c>
      <c r="AF7294">
        <v>-6.0179043633549103</v>
      </c>
      <c r="AG7294">
        <v>-1.110577545363</v>
      </c>
      <c r="AH7294">
        <v>28.3272690114044</v>
      </c>
      <c r="AI7294">
        <v>92.196183116314202</v>
      </c>
      <c r="AJ7294">
        <v>101.993724879666</v>
      </c>
      <c r="AK7294">
        <v>28.9807302367491</v>
      </c>
      <c r="AL7294">
        <v>89.633146890678901</v>
      </c>
      <c r="AM7294">
        <v>93.282906587353693</v>
      </c>
      <c r="AN7294">
        <v>1.0000000185864499</v>
      </c>
    </row>
    <row r="7295" spans="1:40" x14ac:dyDescent="0.25">
      <c r="A7295" t="str">
        <f>"20190312154108481"</f>
        <v>20190312154108481</v>
      </c>
      <c r="B7295" t="str">
        <f>"1552376468473643"</f>
        <v>1552376468473643</v>
      </c>
      <c r="C7295" t="s">
        <v>40</v>
      </c>
      <c r="D7295">
        <v>4.2578909999999999</v>
      </c>
      <c r="E7295">
        <v>0.44298569999999998</v>
      </c>
      <c r="F7295" t="s">
        <v>42</v>
      </c>
      <c r="G7295">
        <v>-392.7595</v>
      </c>
      <c r="H7295" s="1">
        <v>-4.5292550000000002E-6</v>
      </c>
      <c r="I7295">
        <v>13.2677</v>
      </c>
      <c r="J7295">
        <v>-413.767</v>
      </c>
      <c r="K7295">
        <v>1.1105780000000001</v>
      </c>
      <c r="L7295">
        <v>33.089689999999997</v>
      </c>
      <c r="M7295">
        <v>0.56890059999999998</v>
      </c>
      <c r="N7295">
        <v>0</v>
      </c>
      <c r="O7295">
        <v>-0.82230059999999905</v>
      </c>
      <c r="P7295">
        <v>0.615152699999999</v>
      </c>
      <c r="Q7295">
        <v>-6.9149390000000002E-3</v>
      </c>
      <c r="R7295">
        <v>-0.78837789999999996</v>
      </c>
      <c r="S7295">
        <v>2.205444</v>
      </c>
      <c r="T7295">
        <v>-0.1163039</v>
      </c>
      <c r="U7295">
        <v>-2.0836489999999999</v>
      </c>
      <c r="V7295">
        <v>-5.7341719999999999E-2</v>
      </c>
      <c r="W7295">
        <v>6.2196480000000004E-3</v>
      </c>
      <c r="X7295">
        <v>0.99833519999999998</v>
      </c>
      <c r="Y7295">
        <v>-0.20655080000000001</v>
      </c>
      <c r="Z7295">
        <v>3.3780589999999999E-2</v>
      </c>
      <c r="AA7295">
        <v>0.97785259999999996</v>
      </c>
      <c r="AB7295">
        <v>16</v>
      </c>
      <c r="AC7295">
        <v>21.0075</v>
      </c>
      <c r="AD7295">
        <v>-1.110582529255</v>
      </c>
      <c r="AE7295">
        <v>-19.82199</v>
      </c>
      <c r="AF7295">
        <v>-5.9894039520761497</v>
      </c>
      <c r="AG7295">
        <v>-1.110582529255</v>
      </c>
      <c r="AH7295">
        <v>28.211558923749301</v>
      </c>
      <c r="AI7295">
        <v>92.205253986788605</v>
      </c>
      <c r="AJ7295">
        <v>101.98610968850799</v>
      </c>
      <c r="AK7295">
        <v>28.8617118370274</v>
      </c>
      <c r="AL7295">
        <v>89.6436381091806</v>
      </c>
      <c r="AM7295">
        <v>93.287305446815196</v>
      </c>
      <c r="AN7295">
        <v>0.99999996421642001</v>
      </c>
    </row>
    <row r="7296" spans="1:40" x14ac:dyDescent="0.25">
      <c r="A7296" t="str">
        <f>"20190312154108499"</f>
        <v>20190312154108499</v>
      </c>
      <c r="B7296" t="str">
        <f>"1552376468494139"</f>
        <v>1552376468494139</v>
      </c>
      <c r="C7296" t="s">
        <v>40</v>
      </c>
      <c r="D7296">
        <v>4.2391680000000003</v>
      </c>
      <c r="E7296">
        <v>0.44292550000000003</v>
      </c>
      <c r="F7296" t="s">
        <v>42</v>
      </c>
      <c r="G7296">
        <v>-392.7747</v>
      </c>
      <c r="H7296" s="1">
        <v>-4.5210709999999996E-6</v>
      </c>
      <c r="I7296">
        <v>13.27332</v>
      </c>
      <c r="J7296">
        <v>-413.69889999999998</v>
      </c>
      <c r="K7296">
        <v>1.1105670000000001</v>
      </c>
      <c r="L7296">
        <v>32.992370000000001</v>
      </c>
      <c r="M7296">
        <v>0.56933219999999995</v>
      </c>
      <c r="N7296">
        <v>0</v>
      </c>
      <c r="O7296">
        <v>-0.82200409999999902</v>
      </c>
      <c r="P7296">
        <v>0.61540620000000001</v>
      </c>
      <c r="Q7296">
        <v>-7.1141800000000003E-3</v>
      </c>
      <c r="R7296">
        <v>-0.78817799999999905</v>
      </c>
      <c r="S7296">
        <v>2.206299</v>
      </c>
      <c r="T7296">
        <v>-0.1167223</v>
      </c>
      <c r="U7296">
        <v>-2.082703</v>
      </c>
      <c r="V7296">
        <v>-5.714143E-2</v>
      </c>
      <c r="W7296">
        <v>5.8601209999999898E-3</v>
      </c>
      <c r="X7296">
        <v>0.99834889999999998</v>
      </c>
      <c r="Y7296">
        <v>-0.20644580000000001</v>
      </c>
      <c r="Z7296">
        <v>3.3891379999999999E-2</v>
      </c>
      <c r="AA7296">
        <v>0.97787089999999999</v>
      </c>
      <c r="AB7296">
        <v>16</v>
      </c>
      <c r="AC7296">
        <v>20.9241999999999</v>
      </c>
      <c r="AD7296">
        <v>-1.1105715210709901</v>
      </c>
      <c r="AE7296">
        <v>-19.719049999999999</v>
      </c>
      <c r="AF7296">
        <v>-5.9646969238646097</v>
      </c>
      <c r="AG7296">
        <v>-1.1105715210709901</v>
      </c>
      <c r="AH7296">
        <v>28.082454317349001</v>
      </c>
      <c r="AI7296">
        <v>92.215317002832407</v>
      </c>
      <c r="AJ7296">
        <v>101.991385202819</v>
      </c>
      <c r="AK7296">
        <v>28.730388423809501</v>
      </c>
      <c r="AL7296">
        <v>89.664237879217396</v>
      </c>
      <c r="AM7296">
        <v>93.275803349092101</v>
      </c>
      <c r="AN7296">
        <v>1.0000000050858899</v>
      </c>
    </row>
    <row r="7297" spans="1:40" x14ac:dyDescent="0.25">
      <c r="A7297" t="str">
        <f>"20190312154108510"</f>
        <v>20190312154108510</v>
      </c>
      <c r="B7297" t="str">
        <f>"1552376468503899"</f>
        <v>1552376468503899</v>
      </c>
      <c r="C7297" t="s">
        <v>40</v>
      </c>
      <c r="D7297">
        <v>4.1443629999999896</v>
      </c>
      <c r="E7297">
        <v>0.4237532</v>
      </c>
      <c r="F7297" t="s">
        <v>42</v>
      </c>
      <c r="G7297">
        <v>-392.87110000000001</v>
      </c>
      <c r="H7297" s="1">
        <v>-4.4621570000000001E-6</v>
      </c>
      <c r="I7297">
        <v>13.348409999999999</v>
      </c>
      <c r="J7297">
        <v>-413.6431</v>
      </c>
      <c r="K7297">
        <v>1.1105529999999999</v>
      </c>
      <c r="L7297">
        <v>32.91263</v>
      </c>
      <c r="M7297">
        <v>0.56971539999999998</v>
      </c>
      <c r="N7297">
        <v>0</v>
      </c>
      <c r="O7297">
        <v>-0.82174139999999996</v>
      </c>
      <c r="P7297">
        <v>0.61564339999999995</v>
      </c>
      <c r="Q7297">
        <v>-7.3299630000000001E-3</v>
      </c>
      <c r="R7297">
        <v>-0.78799090000000005</v>
      </c>
      <c r="S7297">
        <v>2.2072449999999999</v>
      </c>
      <c r="T7297">
        <v>-0.1176939</v>
      </c>
      <c r="U7297">
        <v>-2.0817869999999998</v>
      </c>
      <c r="V7297">
        <v>-5.697874E-2</v>
      </c>
      <c r="W7297">
        <v>5.4819949999999999E-3</v>
      </c>
      <c r="X7297">
        <v>0.99836029999999998</v>
      </c>
      <c r="Y7297">
        <v>-0.2064068</v>
      </c>
      <c r="Z7297">
        <v>3.4163310000000002E-2</v>
      </c>
      <c r="AA7297">
        <v>0.97786969999999995</v>
      </c>
      <c r="AB7297">
        <v>16</v>
      </c>
      <c r="AC7297">
        <v>20.771999999999899</v>
      </c>
      <c r="AD7297">
        <v>-1.110557462157</v>
      </c>
      <c r="AE7297">
        <v>-19.564219999999999</v>
      </c>
      <c r="AF7297">
        <v>-5.9147058219855397</v>
      </c>
      <c r="AG7297">
        <v>-1.110557462157</v>
      </c>
      <c r="AH7297">
        <v>27.870950121636302</v>
      </c>
      <c r="AI7297">
        <v>92.232165572017394</v>
      </c>
      <c r="AJ7297">
        <v>101.981416532043</v>
      </c>
      <c r="AK7297">
        <v>28.513276618447701</v>
      </c>
      <c r="AL7297">
        <v>89.685903237029095</v>
      </c>
      <c r="AM7297">
        <v>93.266459664980601</v>
      </c>
      <c r="AN7297">
        <v>0.99999995884862702</v>
      </c>
    </row>
    <row r="7298" spans="1:40" x14ac:dyDescent="0.25">
      <c r="A7298" t="str">
        <f>"20190312154108522"</f>
        <v>20190312154108522</v>
      </c>
      <c r="B7298" t="str">
        <f>"1552376468513660"</f>
        <v>1552376468513660</v>
      </c>
      <c r="C7298" t="s">
        <v>40</v>
      </c>
      <c r="D7298">
        <v>4.1757759999999999</v>
      </c>
      <c r="E7298">
        <v>0.42038700000000001</v>
      </c>
      <c r="F7298" t="s">
        <v>86</v>
      </c>
      <c r="G7298">
        <v>-388.6105</v>
      </c>
      <c r="H7298" s="1">
        <v>-2.6818249999999999E-6</v>
      </c>
      <c r="I7298">
        <v>11.544079999999999</v>
      </c>
      <c r="J7298">
        <v>-413.59719999999999</v>
      </c>
      <c r="K7298">
        <v>1.1105370000000001</v>
      </c>
      <c r="L7298">
        <v>32.847169999999998</v>
      </c>
      <c r="M7298">
        <v>0.57003950000000003</v>
      </c>
      <c r="N7298">
        <v>0</v>
      </c>
      <c r="O7298">
        <v>-0.82151859999999999</v>
      </c>
      <c r="P7298">
        <v>0.61586609999999997</v>
      </c>
      <c r="Q7298">
        <v>-7.4958940000000003E-3</v>
      </c>
      <c r="R7298">
        <v>-0.78781540000000005</v>
      </c>
      <c r="S7298">
        <v>2.3280639999999999</v>
      </c>
      <c r="T7298">
        <v>-0.10328329999999999</v>
      </c>
      <c r="U7298">
        <v>-1.9873050000000001</v>
      </c>
      <c r="V7298">
        <v>-5.6869339999999997E-2</v>
      </c>
      <c r="W7298">
        <v>5.1720550000000001E-3</v>
      </c>
      <c r="X7298">
        <v>0.99836820000000004</v>
      </c>
      <c r="Y7298">
        <v>-0.25433359999999999</v>
      </c>
      <c r="Z7298">
        <v>3.0195739999999999E-2</v>
      </c>
      <c r="AA7298">
        <v>0.96664499999999998</v>
      </c>
      <c r="AB7298">
        <v>16</v>
      </c>
      <c r="AC7298">
        <v>24.9866999999999</v>
      </c>
      <c r="AD7298">
        <v>-1.110539681825</v>
      </c>
      <c r="AE7298">
        <v>-21.303090000000001</v>
      </c>
      <c r="AF7298">
        <v>-8.3745362434817796</v>
      </c>
      <c r="AG7298">
        <v>-1.110539681825</v>
      </c>
      <c r="AH7298">
        <v>31.710591167956199</v>
      </c>
      <c r="AI7298">
        <v>91.939306073074505</v>
      </c>
      <c r="AJ7298">
        <v>104.793643779619</v>
      </c>
      <c r="AK7298">
        <v>32.8165773337129</v>
      </c>
      <c r="AL7298">
        <v>89.703661746231006</v>
      </c>
      <c r="AM7298">
        <v>93.260175814989395</v>
      </c>
      <c r="AN7298">
        <v>0.99999996737809804</v>
      </c>
    </row>
    <row r="7299" spans="1:40" x14ac:dyDescent="0.25">
      <c r="A7299" t="str">
        <f>"20190312154108533"</f>
        <v>20190312154108533</v>
      </c>
      <c r="B7299" t="str">
        <f>"1552376468523419"</f>
        <v>1552376468523419</v>
      </c>
      <c r="C7299" t="s">
        <v>40</v>
      </c>
      <c r="D7299">
        <v>4.2221729999999997</v>
      </c>
      <c r="E7299">
        <v>0.41902260000000002</v>
      </c>
      <c r="F7299" t="s">
        <v>86</v>
      </c>
      <c r="G7299">
        <v>-389.64420000000001</v>
      </c>
      <c r="H7299" s="1">
        <v>-1.9600689999999999E-6</v>
      </c>
      <c r="I7299">
        <v>12.764799999999999</v>
      </c>
      <c r="J7299">
        <v>-413.55079999999998</v>
      </c>
      <c r="K7299">
        <v>1.110519</v>
      </c>
      <c r="L7299">
        <v>32.781129999999997</v>
      </c>
      <c r="M7299">
        <v>0.57037759999999904</v>
      </c>
      <c r="N7299">
        <v>0</v>
      </c>
      <c r="O7299">
        <v>-0.82128630000000002</v>
      </c>
      <c r="P7299">
        <v>0.61615039999999999</v>
      </c>
      <c r="Q7299">
        <v>-7.6826400000000001E-3</v>
      </c>
      <c r="R7299">
        <v>-0.78759119999999905</v>
      </c>
      <c r="S7299">
        <v>2.3497620000000001</v>
      </c>
      <c r="T7299">
        <v>-0.108942899999999</v>
      </c>
      <c r="U7299">
        <v>-1.970062</v>
      </c>
      <c r="V7299">
        <v>-5.6820879999999997E-2</v>
      </c>
      <c r="W7299">
        <v>4.827306E-3</v>
      </c>
      <c r="X7299">
        <v>0.9983727</v>
      </c>
      <c r="Y7299">
        <v>-0.26245540000000001</v>
      </c>
      <c r="Z7299">
        <v>3.1872310000000001E-2</v>
      </c>
      <c r="AA7299">
        <v>0.96441759999999999</v>
      </c>
      <c r="AB7299">
        <v>16</v>
      </c>
      <c r="AC7299">
        <v>23.906599999999901</v>
      </c>
      <c r="AD7299">
        <v>-1.110520960069</v>
      </c>
      <c r="AE7299">
        <v>-20.01633</v>
      </c>
      <c r="AF7299">
        <v>-8.2075352252436105</v>
      </c>
      <c r="AG7299">
        <v>-1.110520960069</v>
      </c>
      <c r="AH7299">
        <v>30.039199848939599</v>
      </c>
      <c r="AI7299">
        <v>92.042409609987402</v>
      </c>
      <c r="AJ7299">
        <v>105.28179156235799</v>
      </c>
      <c r="AK7299">
        <v>31.160077324052001</v>
      </c>
      <c r="AL7299">
        <v>89.723414660506094</v>
      </c>
      <c r="AM7299">
        <v>93.257389059729107</v>
      </c>
      <c r="AN7299">
        <v>0.99999998169624005</v>
      </c>
    </row>
    <row r="7300" spans="1:40" x14ac:dyDescent="0.25">
      <c r="A7300" t="str">
        <f>"20190312154108544"</f>
        <v>20190312154108544</v>
      </c>
      <c r="B7300" t="str">
        <f>"1552376468534154"</f>
        <v>1552376468534154</v>
      </c>
      <c r="C7300" t="s">
        <v>40</v>
      </c>
      <c r="D7300">
        <v>4.1685420000000004</v>
      </c>
      <c r="E7300">
        <v>0.418186</v>
      </c>
      <c r="F7300" t="s">
        <v>42</v>
      </c>
      <c r="G7300">
        <v>-390.85860000000002</v>
      </c>
      <c r="H7300" s="1">
        <v>-5.314112E-6</v>
      </c>
      <c r="I7300">
        <v>13.908770000000001</v>
      </c>
      <c r="J7300">
        <v>-413.50650000000002</v>
      </c>
      <c r="K7300">
        <v>1.1104989999999999</v>
      </c>
      <c r="L7300">
        <v>32.718139999999998</v>
      </c>
      <c r="M7300">
        <v>0.5707141</v>
      </c>
      <c r="N7300">
        <v>0</v>
      </c>
      <c r="O7300">
        <v>-0.82105519999999999</v>
      </c>
      <c r="P7300">
        <v>0.61634019999999901</v>
      </c>
      <c r="Q7300">
        <v>-7.6052380000000003E-3</v>
      </c>
      <c r="R7300">
        <v>-0.78744389999999997</v>
      </c>
      <c r="S7300">
        <v>2.3593440000000001</v>
      </c>
      <c r="T7300">
        <v>-0.115463</v>
      </c>
      <c r="U7300">
        <v>-1.962189</v>
      </c>
      <c r="V7300">
        <v>-5.6653340000000003E-2</v>
      </c>
      <c r="W7300">
        <v>4.735754E-3</v>
      </c>
      <c r="X7300">
        <v>0.99838269999999996</v>
      </c>
      <c r="Y7300">
        <v>-0.26583319999999999</v>
      </c>
      <c r="Z7300">
        <v>3.3783559999999997E-2</v>
      </c>
      <c r="AA7300">
        <v>0.96342689999999997</v>
      </c>
      <c r="AB7300">
        <v>16</v>
      </c>
      <c r="AC7300">
        <v>22.6479</v>
      </c>
      <c r="AD7300">
        <v>-1.1105043141119999</v>
      </c>
      <c r="AE7300">
        <v>-18.809370000000001</v>
      </c>
      <c r="AF7300">
        <v>-7.8498386162070197</v>
      </c>
      <c r="AG7300">
        <v>-1.1105043141119999</v>
      </c>
      <c r="AH7300">
        <v>28.3308775431864</v>
      </c>
      <c r="AI7300">
        <v>92.163289246961895</v>
      </c>
      <c r="AJ7300">
        <v>105.486836469127</v>
      </c>
      <c r="AK7300">
        <v>29.4192421469211</v>
      </c>
      <c r="AL7300">
        <v>89.728660274705902</v>
      </c>
      <c r="AM7300">
        <v>93.247772569969001</v>
      </c>
      <c r="AN7300">
        <v>1.00000002197919</v>
      </c>
    </row>
    <row r="7301" spans="1:40" x14ac:dyDescent="0.25">
      <c r="A7301" t="str">
        <f>"20190312154108555"</f>
        <v>20190312154108555</v>
      </c>
      <c r="B7301" t="str">
        <f>"1552376468543915"</f>
        <v>1552376468543915</v>
      </c>
      <c r="C7301" t="s">
        <v>40</v>
      </c>
      <c r="D7301">
        <v>4.132352</v>
      </c>
      <c r="E7301">
        <v>0.4175662</v>
      </c>
      <c r="F7301" t="s">
        <v>42</v>
      </c>
      <c r="G7301">
        <v>-391.52339999999998</v>
      </c>
      <c r="H7301" s="1">
        <v>-4.890277E-6</v>
      </c>
      <c r="I7301">
        <v>14.52641</v>
      </c>
      <c r="J7301">
        <v>-413.45870000000002</v>
      </c>
      <c r="K7301">
        <v>1.1104810000000001</v>
      </c>
      <c r="L7301">
        <v>32.650390000000002</v>
      </c>
      <c r="M7301">
        <v>0.57108309999999995</v>
      </c>
      <c r="N7301">
        <v>0</v>
      </c>
      <c r="O7301">
        <v>-0.82080129999999996</v>
      </c>
      <c r="P7301">
        <v>0.61678189999999999</v>
      </c>
      <c r="Q7301">
        <v>-7.8782119999999903E-3</v>
      </c>
      <c r="R7301">
        <v>-0.78709499999999999</v>
      </c>
      <c r="S7301">
        <v>2.365265</v>
      </c>
      <c r="T7301">
        <v>-0.11948449999999999</v>
      </c>
      <c r="U7301">
        <v>-1.957336</v>
      </c>
      <c r="V7301">
        <v>-5.6767239999999997E-2</v>
      </c>
      <c r="W7301">
        <v>4.2703659999999899E-3</v>
      </c>
      <c r="X7301">
        <v>0.99837830000000005</v>
      </c>
      <c r="Y7301">
        <v>-0.26772230000000002</v>
      </c>
      <c r="Z7301">
        <v>3.4956439999999998E-2</v>
      </c>
      <c r="AA7301">
        <v>0.96286179999999999</v>
      </c>
      <c r="AB7301">
        <v>16</v>
      </c>
      <c r="AC7301">
        <v>21.935300000000002</v>
      </c>
      <c r="AD7301">
        <v>-1.1104858902770001</v>
      </c>
      <c r="AE7301">
        <v>-18.12398</v>
      </c>
      <c r="AF7301">
        <v>-7.6431540987940698</v>
      </c>
      <c r="AG7301">
        <v>-1.1104858902770001</v>
      </c>
      <c r="AH7301">
        <v>27.363433596167599</v>
      </c>
      <c r="AI7301">
        <v>92.238364056803505</v>
      </c>
      <c r="AJ7301">
        <v>105.60611110114201</v>
      </c>
      <c r="AK7301">
        <v>28.432525066590301</v>
      </c>
      <c r="AL7301">
        <v>89.755325305793903</v>
      </c>
      <c r="AM7301">
        <v>93.254302419842006</v>
      </c>
      <c r="AN7301">
        <v>0.99999999273693996</v>
      </c>
    </row>
    <row r="7302" spans="1:40" x14ac:dyDescent="0.25">
      <c r="A7302" t="str">
        <f>"20190312154108568"</f>
        <v>20190312154108568</v>
      </c>
      <c r="B7302" t="str">
        <f>"1552376468563435"</f>
        <v>1552376468563435</v>
      </c>
      <c r="C7302" t="s">
        <v>40</v>
      </c>
      <c r="D7302">
        <v>4.1727049999999997</v>
      </c>
      <c r="E7302">
        <v>0.41670089999999999</v>
      </c>
      <c r="F7302" t="s">
        <v>42</v>
      </c>
      <c r="G7302">
        <v>-392.44409999999999</v>
      </c>
      <c r="H7302" s="1">
        <v>-4.3117639999999998E-6</v>
      </c>
      <c r="I7302">
        <v>15.33417</v>
      </c>
      <c r="J7302">
        <v>-413.41579999999999</v>
      </c>
      <c r="K7302">
        <v>1.11046</v>
      </c>
      <c r="L7302">
        <v>32.589449999999999</v>
      </c>
      <c r="M7302">
        <v>0.57143290000000002</v>
      </c>
      <c r="N7302">
        <v>0</v>
      </c>
      <c r="O7302">
        <v>-0.82056090000000004</v>
      </c>
      <c r="P7302">
        <v>0.61705880000000002</v>
      </c>
      <c r="Q7302">
        <v>-7.7385119999999899E-3</v>
      </c>
      <c r="R7302">
        <v>-0.78687940000000001</v>
      </c>
      <c r="S7302">
        <v>2.3700869999999998</v>
      </c>
      <c r="T7302">
        <v>-0.12524370000000001</v>
      </c>
      <c r="U7302">
        <v>-1.9529719999999999</v>
      </c>
      <c r="V7302">
        <v>-5.6693939999999998E-2</v>
      </c>
      <c r="W7302">
        <v>4.212192E-3</v>
      </c>
      <c r="X7302">
        <v>0.99838269999999996</v>
      </c>
      <c r="Y7302">
        <v>-0.2692753</v>
      </c>
      <c r="Z7302">
        <v>3.6639169999999999E-2</v>
      </c>
      <c r="AA7302">
        <v>0.96236600000000005</v>
      </c>
      <c r="AB7302">
        <v>16</v>
      </c>
      <c r="AC7302">
        <v>20.971699999999998</v>
      </c>
      <c r="AD7302">
        <v>-1.1104643117640001</v>
      </c>
      <c r="AE7302">
        <v>-17.255279999999999</v>
      </c>
      <c r="AF7302">
        <v>-7.3365862572977099</v>
      </c>
      <c r="AG7302">
        <v>-1.1104643117640001</v>
      </c>
      <c r="AH7302">
        <v>26.101174306657299</v>
      </c>
      <c r="AI7302">
        <v>92.345375070981504</v>
      </c>
      <c r="AJ7302">
        <v>105.69974985271701</v>
      </c>
      <c r="AK7302">
        <v>27.135399924913099</v>
      </c>
      <c r="AL7302">
        <v>89.758658457528398</v>
      </c>
      <c r="AM7302">
        <v>93.250095063082</v>
      </c>
      <c r="AN7302">
        <v>0.999999980526729</v>
      </c>
    </row>
    <row r="7303" spans="1:40" x14ac:dyDescent="0.25">
      <c r="A7303" t="str">
        <f>"20190312154108580"</f>
        <v>20190312154108580</v>
      </c>
      <c r="B7303" t="str">
        <f>"1552376468574171"</f>
        <v>1552376468574171</v>
      </c>
      <c r="C7303" t="s">
        <v>40</v>
      </c>
      <c r="D7303">
        <v>4.1802320000000002</v>
      </c>
      <c r="E7303">
        <v>0.41629820000000001</v>
      </c>
      <c r="F7303" t="s">
        <v>42</v>
      </c>
      <c r="G7303">
        <v>-392.96929999999998</v>
      </c>
      <c r="H7303" s="1">
        <v>-3.9754699999999999E-6</v>
      </c>
      <c r="I7303">
        <v>15.8306</v>
      </c>
      <c r="J7303">
        <v>-413.36169999999998</v>
      </c>
      <c r="K7303">
        <v>1.1104290000000001</v>
      </c>
      <c r="L7303">
        <v>32.512790000000003</v>
      </c>
      <c r="M7303">
        <v>0.57187929999999998</v>
      </c>
      <c r="N7303">
        <v>0</v>
      </c>
      <c r="O7303">
        <v>-0.82025349999999997</v>
      </c>
      <c r="P7303">
        <v>0.61760599999999999</v>
      </c>
      <c r="Q7303">
        <v>-7.595208E-3</v>
      </c>
      <c r="R7303">
        <v>-0.78645149999999997</v>
      </c>
      <c r="S7303">
        <v>2.3763429999999999</v>
      </c>
      <c r="T7303">
        <v>-0.12906090000000001</v>
      </c>
      <c r="U7303">
        <v>-1.947754</v>
      </c>
      <c r="V7303">
        <v>-5.684678E-2</v>
      </c>
      <c r="W7303">
        <v>4.0982290000000001E-3</v>
      </c>
      <c r="X7303">
        <v>0.99837450000000005</v>
      </c>
      <c r="Y7303">
        <v>-0.27122190000000002</v>
      </c>
      <c r="Z7303">
        <v>3.7749980000000002E-2</v>
      </c>
      <c r="AA7303">
        <v>0.96177630000000003</v>
      </c>
      <c r="AB7303">
        <v>16</v>
      </c>
      <c r="AC7303">
        <v>20.392399999999999</v>
      </c>
      <c r="AD7303">
        <v>-1.11043297547</v>
      </c>
      <c r="AE7303">
        <v>-16.682189999999999</v>
      </c>
      <c r="AF7303">
        <v>-7.1744906383022098</v>
      </c>
      <c r="AG7303">
        <v>-1.11043297547</v>
      </c>
      <c r="AH7303">
        <v>25.302421976039899</v>
      </c>
      <c r="AI7303">
        <v>92.417701376663601</v>
      </c>
      <c r="AJ7303">
        <v>105.830661570345</v>
      </c>
      <c r="AK7303">
        <v>26.3233534179383</v>
      </c>
      <c r="AL7303">
        <v>89.765188116832803</v>
      </c>
      <c r="AM7303">
        <v>93.258864775113693</v>
      </c>
      <c r="AN7303">
        <v>0.99999999706377696</v>
      </c>
    </row>
    <row r="7304" spans="1:40" x14ac:dyDescent="0.25">
      <c r="A7304" t="str">
        <f>"20190312154108591"</f>
        <v>20190312154108591</v>
      </c>
      <c r="B7304" t="str">
        <f>"1552376468583933"</f>
        <v>1552376468583933</v>
      </c>
      <c r="C7304" t="s">
        <v>40</v>
      </c>
      <c r="D7304">
        <v>4.17035</v>
      </c>
      <c r="E7304">
        <v>0.41592269999999998</v>
      </c>
      <c r="F7304" t="s">
        <v>42</v>
      </c>
      <c r="G7304">
        <v>-393.24160000000001</v>
      </c>
      <c r="H7304" s="1">
        <v>-3.802861E-6</v>
      </c>
      <c r="I7304">
        <v>16.0779</v>
      </c>
      <c r="J7304">
        <v>-413.3091</v>
      </c>
      <c r="K7304">
        <v>1.110403</v>
      </c>
      <c r="L7304">
        <v>32.43835</v>
      </c>
      <c r="M7304">
        <v>0.57233199999999995</v>
      </c>
      <c r="N7304">
        <v>0</v>
      </c>
      <c r="O7304">
        <v>-0.81994159999999905</v>
      </c>
      <c r="P7304">
        <v>0.61808809999999903</v>
      </c>
      <c r="Q7304">
        <v>-7.4158319999999998E-3</v>
      </c>
      <c r="R7304">
        <v>-0.7860743</v>
      </c>
      <c r="S7304">
        <v>2.3801269999999999</v>
      </c>
      <c r="T7304">
        <v>-0.1313599</v>
      </c>
      <c r="U7304">
        <v>-1.944183</v>
      </c>
      <c r="V7304">
        <v>-5.690916E-2</v>
      </c>
      <c r="W7304">
        <v>4.0066770000000002E-3</v>
      </c>
      <c r="X7304">
        <v>0.99837129999999996</v>
      </c>
      <c r="Y7304">
        <v>-0.27228380000000002</v>
      </c>
      <c r="Z7304">
        <v>3.8416140000000001E-2</v>
      </c>
      <c r="AA7304">
        <v>0.96144980000000002</v>
      </c>
      <c r="AB7304">
        <v>16</v>
      </c>
      <c r="AC7304">
        <v>20.0674999999999</v>
      </c>
      <c r="AD7304">
        <v>-1.1104068028609999</v>
      </c>
      <c r="AE7304">
        <v>-16.36045</v>
      </c>
      <c r="AF7304">
        <v>-7.0780179632397902</v>
      </c>
      <c r="AG7304">
        <v>-1.1104068028609999</v>
      </c>
      <c r="AH7304">
        <v>24.855810639297999</v>
      </c>
      <c r="AI7304">
        <v>92.460247800121095</v>
      </c>
      <c r="AJ7304">
        <v>105.894998031778</v>
      </c>
      <c r="AK7304">
        <v>25.8677920219802</v>
      </c>
      <c r="AL7304">
        <v>89.770433699052603</v>
      </c>
      <c r="AM7304">
        <v>93.262443557647103</v>
      </c>
      <c r="AN7304">
        <v>0.99999997930808804</v>
      </c>
    </row>
    <row r="7305" spans="1:40" x14ac:dyDescent="0.25">
      <c r="A7305" t="str">
        <f>"20190312154108603"</f>
        <v>20190312154108603</v>
      </c>
      <c r="B7305" t="str">
        <f>"1552376468593692"</f>
        <v>1552376468593692</v>
      </c>
      <c r="C7305" t="s">
        <v>40</v>
      </c>
      <c r="D7305">
        <v>4.1672560000000001</v>
      </c>
      <c r="E7305">
        <v>0.41569869999999998</v>
      </c>
      <c r="F7305" t="s">
        <v>42</v>
      </c>
      <c r="G7305">
        <v>-393.39389999999997</v>
      </c>
      <c r="H7305" s="1">
        <v>-3.705419E-6</v>
      </c>
      <c r="I7305">
        <v>16.221419999999998</v>
      </c>
      <c r="J7305">
        <v>-413.26440000000002</v>
      </c>
      <c r="K7305">
        <v>1.1103799999999999</v>
      </c>
      <c r="L7305">
        <v>32.375309999999999</v>
      </c>
      <c r="M7305">
        <v>0.57272380000000001</v>
      </c>
      <c r="N7305">
        <v>0</v>
      </c>
      <c r="O7305">
        <v>-0.81967099999999904</v>
      </c>
      <c r="P7305">
        <v>0.61863889999999999</v>
      </c>
      <c r="Q7305">
        <v>-7.1509850000000003E-3</v>
      </c>
      <c r="R7305">
        <v>-0.78564299999999998</v>
      </c>
      <c r="S7305">
        <v>2.383575</v>
      </c>
      <c r="T7305">
        <v>-0.13290070000000001</v>
      </c>
      <c r="U7305">
        <v>-1.9409479999999999</v>
      </c>
      <c r="V7305">
        <v>-5.7131950000000001E-2</v>
      </c>
      <c r="W7305">
        <v>4.037194E-3</v>
      </c>
      <c r="X7305">
        <v>0.99835850000000004</v>
      </c>
      <c r="Y7305">
        <v>-0.273275299999999</v>
      </c>
      <c r="Z7305">
        <v>3.8861739999999999E-2</v>
      </c>
      <c r="AA7305">
        <v>0.96115050000000002</v>
      </c>
      <c r="AB7305">
        <v>16</v>
      </c>
      <c r="AC7305">
        <v>19.8705</v>
      </c>
      <c r="AD7305">
        <v>-1.110383705419</v>
      </c>
      <c r="AE7305">
        <v>-16.153889999999901</v>
      </c>
      <c r="AF7305">
        <v>-7.0227981132085997</v>
      </c>
      <c r="AG7305">
        <v>-1.110383705419</v>
      </c>
      <c r="AH7305">
        <v>24.576539056261002</v>
      </c>
      <c r="AI7305">
        <v>92.487469572578604</v>
      </c>
      <c r="AJ7305">
        <v>105.94739996984799</v>
      </c>
      <c r="AK7305">
        <v>25.584349069227201</v>
      </c>
      <c r="AL7305">
        <v>89.768685200506695</v>
      </c>
      <c r="AM7305">
        <v>93.275229637369605</v>
      </c>
      <c r="AN7305">
        <v>1.0000000265842199</v>
      </c>
    </row>
    <row r="7306" spans="1:40" x14ac:dyDescent="0.25">
      <c r="A7306" t="str">
        <f>"20190312154108615"</f>
        <v>20190312154108615</v>
      </c>
      <c r="B7306" t="str">
        <f>"1552376468603452"</f>
        <v>1552376468603452</v>
      </c>
      <c r="C7306" t="s">
        <v>40</v>
      </c>
      <c r="D7306">
        <v>4.194909</v>
      </c>
      <c r="E7306">
        <v>0.41553459999999998</v>
      </c>
      <c r="F7306" t="s">
        <v>42</v>
      </c>
      <c r="G7306">
        <v>-393.44650000000001</v>
      </c>
      <c r="H7306" s="1">
        <v>-3.6704660000000002E-6</v>
      </c>
      <c r="I7306">
        <v>16.278279999999999</v>
      </c>
      <c r="J7306">
        <v>-413.2149</v>
      </c>
      <c r="K7306">
        <v>1.110357</v>
      </c>
      <c r="L7306">
        <v>32.305570000000003</v>
      </c>
      <c r="M7306">
        <v>0.57316519999999904</v>
      </c>
      <c r="N7306">
        <v>0</v>
      </c>
      <c r="O7306">
        <v>-0.81936580000000003</v>
      </c>
      <c r="P7306">
        <v>0.61909409999999998</v>
      </c>
      <c r="Q7306">
        <v>-6.9371110000000001E-3</v>
      </c>
      <c r="R7306">
        <v>-0.78528619999999905</v>
      </c>
      <c r="S7306">
        <v>2.3862610000000002</v>
      </c>
      <c r="T7306">
        <v>-0.1337006</v>
      </c>
      <c r="U7306">
        <v>-1.938232</v>
      </c>
      <c r="V7306">
        <v>-5.7174330000000002E-2</v>
      </c>
      <c r="W7306">
        <v>3.9895109999999899E-3</v>
      </c>
      <c r="X7306">
        <v>0.99835620000000003</v>
      </c>
      <c r="Y7306">
        <v>-0.2739393</v>
      </c>
      <c r="Z7306">
        <v>3.9088659999999997E-2</v>
      </c>
      <c r="AA7306">
        <v>0.96095229999999998</v>
      </c>
      <c r="AB7306">
        <v>16</v>
      </c>
      <c r="AC7306">
        <v>19.7683999999999</v>
      </c>
      <c r="AD7306">
        <v>-1.1103606704660001</v>
      </c>
      <c r="AE7306">
        <v>-16.027290000000001</v>
      </c>
      <c r="AF7306">
        <v>-6.9983692271660303</v>
      </c>
      <c r="AG7306">
        <v>-1.1103606704660001</v>
      </c>
      <c r="AH7306">
        <v>24.417774527915199</v>
      </c>
      <c r="AI7306">
        <v>92.503003644431203</v>
      </c>
      <c r="AJ7306">
        <v>105.992812260542</v>
      </c>
      <c r="AK7306">
        <v>25.425140816805101</v>
      </c>
      <c r="AL7306">
        <v>89.771417242132898</v>
      </c>
      <c r="AM7306">
        <v>93.277661414688694</v>
      </c>
      <c r="AN7306">
        <v>0.99999996114370304</v>
      </c>
    </row>
    <row r="7307" spans="1:40" x14ac:dyDescent="0.25">
      <c r="A7307" t="str">
        <f>"20190312154108626"</f>
        <v>20190312154108626</v>
      </c>
      <c r="B7307" t="str">
        <f>"1552376468623947"</f>
        <v>1552376468623947</v>
      </c>
      <c r="C7307" t="s">
        <v>40</v>
      </c>
      <c r="D7307">
        <v>4.1918639999999998</v>
      </c>
      <c r="E7307">
        <v>0.41514000000000001</v>
      </c>
      <c r="F7307" t="s">
        <v>42</v>
      </c>
      <c r="G7307">
        <v>-393.40589999999997</v>
      </c>
      <c r="H7307" s="1">
        <v>-3.6949489999999998E-6</v>
      </c>
      <c r="I7307">
        <v>16.24831</v>
      </c>
      <c r="J7307">
        <v>-413.16640000000001</v>
      </c>
      <c r="K7307">
        <v>1.1103320000000001</v>
      </c>
      <c r="L7307">
        <v>32.23724</v>
      </c>
      <c r="M7307">
        <v>0.57361010000000001</v>
      </c>
      <c r="N7307">
        <v>0</v>
      </c>
      <c r="O7307">
        <v>-0.81905819999999996</v>
      </c>
      <c r="P7307">
        <v>0.61975150000000001</v>
      </c>
      <c r="Q7307">
        <v>-6.7054609999999898E-3</v>
      </c>
      <c r="R7307">
        <v>-0.78476999999999997</v>
      </c>
      <c r="S7307">
        <v>2.388458</v>
      </c>
      <c r="T7307">
        <v>-0.13388120000000001</v>
      </c>
      <c r="U7307">
        <v>-1.936096</v>
      </c>
      <c r="V7307">
        <v>-5.7468529999999997E-2</v>
      </c>
      <c r="W7307">
        <v>3.9656689999999998E-3</v>
      </c>
      <c r="X7307">
        <v>0.99833939999999999</v>
      </c>
      <c r="Y7307">
        <v>-0.27436870000000002</v>
      </c>
      <c r="Z7307">
        <v>3.9131699999999998E-2</v>
      </c>
      <c r="AA7307">
        <v>0.96082809999999996</v>
      </c>
      <c r="AB7307">
        <v>16</v>
      </c>
      <c r="AC7307">
        <v>19.7605</v>
      </c>
      <c r="AD7307">
        <v>-1.110335694949</v>
      </c>
      <c r="AE7307">
        <v>-15.9889299999999</v>
      </c>
      <c r="AF7307">
        <v>-7.0006338887568598</v>
      </c>
      <c r="AG7307">
        <v>-1.110335694949</v>
      </c>
      <c r="AH7307">
        <v>24.385563687906298</v>
      </c>
      <c r="AI7307">
        <v>92.505936597574504</v>
      </c>
      <c r="AJ7307">
        <v>106.017770816442</v>
      </c>
      <c r="AK7307">
        <v>25.394830902701901</v>
      </c>
      <c r="AL7307">
        <v>89.772783298260407</v>
      </c>
      <c r="AM7307">
        <v>93.294545427421298</v>
      </c>
      <c r="AN7307">
        <v>0.99999995803166797</v>
      </c>
    </row>
    <row r="7308" spans="1:40" x14ac:dyDescent="0.25">
      <c r="A7308" t="str">
        <f>"20190312154108637"</f>
        <v>20190312154108637</v>
      </c>
      <c r="B7308" t="str">
        <f>"1552376468633708"</f>
        <v>1552376468633708</v>
      </c>
      <c r="C7308" t="s">
        <v>40</v>
      </c>
      <c r="D7308">
        <v>4.1744409999999998</v>
      </c>
      <c r="E7308">
        <v>0.41501009999999999</v>
      </c>
      <c r="F7308" t="s">
        <v>42</v>
      </c>
      <c r="G7308">
        <v>-393.43970000000002</v>
      </c>
      <c r="H7308" s="1">
        <v>-3.6689129999999999E-6</v>
      </c>
      <c r="I7308">
        <v>16.305129999999998</v>
      </c>
      <c r="J7308">
        <v>-413.11970000000002</v>
      </c>
      <c r="K7308">
        <v>1.110311</v>
      </c>
      <c r="L7308">
        <v>32.171570000000003</v>
      </c>
      <c r="M7308">
        <v>0.57404049999999995</v>
      </c>
      <c r="N7308">
        <v>0</v>
      </c>
      <c r="O7308">
        <v>-0.81875940000000003</v>
      </c>
      <c r="P7308">
        <v>0.6201681</v>
      </c>
      <c r="Q7308">
        <v>-6.5685469999999897E-3</v>
      </c>
      <c r="R7308">
        <v>-0.78444150000000001</v>
      </c>
      <c r="S7308">
        <v>2.3924560000000001</v>
      </c>
      <c r="T7308">
        <v>-0.1346618</v>
      </c>
      <c r="U7308">
        <v>-1.9322509999999999</v>
      </c>
      <c r="V7308">
        <v>-5.747522E-2</v>
      </c>
      <c r="W7308">
        <v>3.857905E-3</v>
      </c>
      <c r="X7308">
        <v>0.99833950000000005</v>
      </c>
      <c r="Y7308">
        <v>-0.27557609999999999</v>
      </c>
      <c r="Z7308">
        <v>3.9356269999999999E-2</v>
      </c>
      <c r="AA7308">
        <v>0.96047320000000003</v>
      </c>
      <c r="AB7308">
        <v>16</v>
      </c>
      <c r="AC7308">
        <v>19.68</v>
      </c>
      <c r="AD7308">
        <v>-1.1103146689129999</v>
      </c>
      <c r="AE7308">
        <v>-15.866440000000001</v>
      </c>
      <c r="AF7308">
        <v>-6.9921044570978603</v>
      </c>
      <c r="AG7308">
        <v>-1.1103146689129999</v>
      </c>
      <c r="AH7308">
        <v>24.242489817639999</v>
      </c>
      <c r="AI7308">
        <v>92.519761459320804</v>
      </c>
      <c r="AJ7308">
        <v>106.088805822536</v>
      </c>
      <c r="AK7308">
        <v>25.255111085904002</v>
      </c>
      <c r="AL7308">
        <v>89.778957782022403</v>
      </c>
      <c r="AM7308">
        <v>93.294927776253203</v>
      </c>
      <c r="AN7308">
        <v>1.0000000208026401</v>
      </c>
    </row>
    <row r="7309" spans="1:40" x14ac:dyDescent="0.25">
      <c r="A7309" t="str">
        <f>"20190312154108650"</f>
        <v>20190312154108650</v>
      </c>
      <c r="B7309" t="str">
        <f>"1552376468643467"</f>
        <v>1552376468643467</v>
      </c>
      <c r="C7309" t="s">
        <v>40</v>
      </c>
      <c r="D7309">
        <v>4.2225099999999998</v>
      </c>
      <c r="E7309">
        <v>0.4149195</v>
      </c>
      <c r="F7309" t="s">
        <v>42</v>
      </c>
      <c r="G7309">
        <v>-393.28789999999998</v>
      </c>
      <c r="H7309" s="1">
        <v>-3.7623540000000002E-6</v>
      </c>
      <c r="I7309">
        <v>16.182970000000001</v>
      </c>
      <c r="J7309">
        <v>-413.06880000000001</v>
      </c>
      <c r="K7309">
        <v>1.110282</v>
      </c>
      <c r="L7309">
        <v>32.10013</v>
      </c>
      <c r="M7309">
        <v>0.57452449999999999</v>
      </c>
      <c r="N7309">
        <v>0</v>
      </c>
      <c r="O7309">
        <v>-0.81842320000000002</v>
      </c>
      <c r="P7309">
        <v>0.62059169999999997</v>
      </c>
      <c r="Q7309">
        <v>-6.4236999999999897E-3</v>
      </c>
      <c r="R7309">
        <v>-0.78410769999999996</v>
      </c>
      <c r="S7309">
        <v>2.3942869999999998</v>
      </c>
      <c r="T7309">
        <v>-0.1340479</v>
      </c>
      <c r="U7309">
        <v>-1.9302980000000001</v>
      </c>
      <c r="V7309">
        <v>-5.7425740000000003E-2</v>
      </c>
      <c r="W7309">
        <v>3.7396510000000001E-3</v>
      </c>
      <c r="X7309">
        <v>0.99834279999999997</v>
      </c>
      <c r="Y7309">
        <v>-0.27585019999999999</v>
      </c>
      <c r="Z7309">
        <v>3.916646E-2</v>
      </c>
      <c r="AA7309">
        <v>0.96040230000000004</v>
      </c>
      <c r="AB7309">
        <v>16</v>
      </c>
      <c r="AC7309">
        <v>19.780899999999999</v>
      </c>
      <c r="AD7309">
        <v>-1.1102857623539999</v>
      </c>
      <c r="AE7309">
        <v>-15.917160000000001</v>
      </c>
      <c r="AF7309">
        <v>-7.0312733827265301</v>
      </c>
      <c r="AG7309">
        <v>-1.1102857623539999</v>
      </c>
      <c r="AH7309">
        <v>24.346309103639101</v>
      </c>
      <c r="AI7309">
        <v>92.508712092766103</v>
      </c>
      <c r="AJ7309">
        <v>106.108846305725</v>
      </c>
      <c r="AK7309">
        <v>25.365612683841601</v>
      </c>
      <c r="AL7309">
        <v>89.785733286452796</v>
      </c>
      <c r="AM7309">
        <v>93.292086580517704</v>
      </c>
      <c r="AN7309">
        <v>1.00000002345799</v>
      </c>
    </row>
    <row r="7310" spans="1:40" x14ac:dyDescent="0.25">
      <c r="A7310" t="str">
        <f>"20190312154108662"</f>
        <v>20190312154108662</v>
      </c>
      <c r="B7310" t="str">
        <f>"1552376468654203"</f>
        <v>1552376468654203</v>
      </c>
      <c r="C7310" t="s">
        <v>40</v>
      </c>
      <c r="D7310">
        <v>4.1808569999999996</v>
      </c>
      <c r="E7310">
        <v>0.41474850000000002</v>
      </c>
      <c r="F7310" t="s">
        <v>42</v>
      </c>
      <c r="G7310">
        <v>-393.14980000000003</v>
      </c>
      <c r="H7310" s="1">
        <v>-3.8479440000000004E-6</v>
      </c>
      <c r="I7310">
        <v>16.06832</v>
      </c>
      <c r="J7310">
        <v>-413.01580000000001</v>
      </c>
      <c r="K7310">
        <v>1.110257</v>
      </c>
      <c r="L7310">
        <v>32.025910000000003</v>
      </c>
      <c r="M7310">
        <v>0.57503309999999996</v>
      </c>
      <c r="N7310">
        <v>0</v>
      </c>
      <c r="O7310">
        <v>-0.81806959999999995</v>
      </c>
      <c r="P7310">
        <v>0.62115959999999903</v>
      </c>
      <c r="Q7310">
        <v>-6.2153089999999996E-3</v>
      </c>
      <c r="R7310">
        <v>-0.78365969999999996</v>
      </c>
      <c r="S7310">
        <v>2.3960880000000002</v>
      </c>
      <c r="T7310">
        <v>-0.13355829999999999</v>
      </c>
      <c r="U7310">
        <v>-1.9284969999999999</v>
      </c>
      <c r="V7310">
        <v>-5.7529539999999997E-2</v>
      </c>
      <c r="W7310">
        <v>3.6757550000000002E-3</v>
      </c>
      <c r="X7310">
        <v>0.99833700000000003</v>
      </c>
      <c r="Y7310">
        <v>-0.27605089999999999</v>
      </c>
      <c r="Z7310">
        <v>3.9010499999999997E-2</v>
      </c>
      <c r="AA7310">
        <v>0.96035099999999995</v>
      </c>
      <c r="AB7310">
        <v>16</v>
      </c>
      <c r="AC7310">
        <v>19.8659999999999</v>
      </c>
      <c r="AD7310">
        <v>-1.1102608479439999</v>
      </c>
      <c r="AE7310">
        <v>-15.9575899999999</v>
      </c>
      <c r="AF7310">
        <v>-7.0625706693284096</v>
      </c>
      <c r="AG7310">
        <v>-1.1102608479439999</v>
      </c>
      <c r="AH7310">
        <v>24.4328544120036</v>
      </c>
      <c r="AI7310">
        <v>92.4996093398601</v>
      </c>
      <c r="AJ7310">
        <v>106.12248773461</v>
      </c>
      <c r="AK7310">
        <v>25.4573556821579</v>
      </c>
      <c r="AL7310">
        <v>89.789394269791302</v>
      </c>
      <c r="AM7310">
        <v>93.298043192014305</v>
      </c>
      <c r="AN7310">
        <v>0.99999996235821498</v>
      </c>
    </row>
    <row r="7311" spans="1:40" x14ac:dyDescent="0.25">
      <c r="A7311" t="str">
        <f>"20190312154108676"</f>
        <v>20190312154108676</v>
      </c>
      <c r="B7311" t="str">
        <f>"1552376468673723"</f>
        <v>1552376468673723</v>
      </c>
      <c r="C7311" t="s">
        <v>40</v>
      </c>
      <c r="D7311">
        <v>4.183605</v>
      </c>
      <c r="E7311">
        <v>0.41455160000000002</v>
      </c>
      <c r="F7311" t="s">
        <v>42</v>
      </c>
      <c r="G7311">
        <v>-393.08210000000003</v>
      </c>
      <c r="H7311" s="1">
        <v>-3.88893899999999E-6</v>
      </c>
      <c r="I7311">
        <v>16.017759999999999</v>
      </c>
      <c r="J7311">
        <v>-412.95359999999999</v>
      </c>
      <c r="K7311">
        <v>1.110228</v>
      </c>
      <c r="L7311">
        <v>31.93881</v>
      </c>
      <c r="M7311">
        <v>0.57564069999999901</v>
      </c>
      <c r="N7311">
        <v>0</v>
      </c>
      <c r="O7311">
        <v>-0.81764579999999998</v>
      </c>
      <c r="P7311">
        <v>0.62153760000000002</v>
      </c>
      <c r="Q7311">
        <v>-6.0705129999999996E-3</v>
      </c>
      <c r="R7311">
        <v>-0.78336130000000004</v>
      </c>
      <c r="S7311">
        <v>2.3984070000000002</v>
      </c>
      <c r="T7311">
        <v>-0.1335856</v>
      </c>
      <c r="U7311">
        <v>-1.926086</v>
      </c>
      <c r="V7311">
        <v>-5.7270599999999998E-2</v>
      </c>
      <c r="W7311">
        <v>3.5055249999999998E-3</v>
      </c>
      <c r="X7311">
        <v>0.99835249999999998</v>
      </c>
      <c r="Y7311">
        <v>-0.276379299999999</v>
      </c>
      <c r="Z7311">
        <v>3.9004249999999997E-2</v>
      </c>
      <c r="AA7311">
        <v>0.96025680000000002</v>
      </c>
      <c r="AB7311">
        <v>16</v>
      </c>
      <c r="AC7311">
        <v>19.871499999999902</v>
      </c>
      <c r="AD7311">
        <v>-1.1102318889389999</v>
      </c>
      <c r="AE7311">
        <v>-15.9210499999999</v>
      </c>
      <c r="AF7311">
        <v>-7.0699330758172696</v>
      </c>
      <c r="AG7311">
        <v>-1.1102318889389999</v>
      </c>
      <c r="AH7311">
        <v>24.411353389274598</v>
      </c>
      <c r="AI7311">
        <v>92.501371974335996</v>
      </c>
      <c r="AJ7311">
        <v>106.151893657187</v>
      </c>
      <c r="AK7311">
        <v>25.438764569841101</v>
      </c>
      <c r="AL7311">
        <v>89.799147793578499</v>
      </c>
      <c r="AM7311">
        <v>93.283180411303405</v>
      </c>
      <c r="AN7311">
        <v>0.99999996229306698</v>
      </c>
    </row>
    <row r="7312" spans="1:40" x14ac:dyDescent="0.25">
      <c r="A7312" t="str">
        <f>"20190312154108689"</f>
        <v>20190312154108689</v>
      </c>
      <c r="B7312" t="str">
        <f>"1552376468683484"</f>
        <v>1552376468683484</v>
      </c>
      <c r="C7312" t="s">
        <v>40</v>
      </c>
      <c r="D7312">
        <v>4.3077730000000001</v>
      </c>
      <c r="E7312">
        <v>0.41451559999999998</v>
      </c>
      <c r="F7312" t="s">
        <v>42</v>
      </c>
      <c r="G7312">
        <v>-393.07569999999998</v>
      </c>
      <c r="H7312" s="1">
        <v>-3.8938720000000002E-6</v>
      </c>
      <c r="I7312">
        <v>16.007079999999998</v>
      </c>
      <c r="J7312">
        <v>-412.90190000000001</v>
      </c>
      <c r="K7312">
        <v>1.110206</v>
      </c>
      <c r="L7312">
        <v>31.86655</v>
      </c>
      <c r="M7312">
        <v>0.576157699999999</v>
      </c>
      <c r="N7312">
        <v>0</v>
      </c>
      <c r="O7312">
        <v>-0.81728429999999996</v>
      </c>
      <c r="P7312">
        <v>0.62190069999999997</v>
      </c>
      <c r="Q7312">
        <v>-5.7984789999999996E-3</v>
      </c>
      <c r="R7312">
        <v>-0.78307469999999901</v>
      </c>
      <c r="S7312">
        <v>2.4005429999999999</v>
      </c>
      <c r="T7312">
        <v>-0.1340761</v>
      </c>
      <c r="U7312">
        <v>-1.9239809999999999</v>
      </c>
      <c r="V7312">
        <v>-5.7102550000000002E-2</v>
      </c>
      <c r="W7312">
        <v>3.5245989999999998E-3</v>
      </c>
      <c r="X7312">
        <v>0.99836210000000003</v>
      </c>
      <c r="Y7312">
        <v>-0.276698</v>
      </c>
      <c r="Z7312">
        <v>3.913444E-2</v>
      </c>
      <c r="AA7312">
        <v>0.96015969999999995</v>
      </c>
      <c r="AB7312">
        <v>16</v>
      </c>
      <c r="AC7312">
        <v>19.8262</v>
      </c>
      <c r="AD7312">
        <v>-1.110209893872</v>
      </c>
      <c r="AE7312">
        <v>-15.85947</v>
      </c>
      <c r="AF7312">
        <v>-7.0529134100279398</v>
      </c>
      <c r="AG7312">
        <v>-1.110209893872</v>
      </c>
      <c r="AH7312">
        <v>24.339254878896199</v>
      </c>
      <c r="AI7312">
        <v>92.508616294400895</v>
      </c>
      <c r="AJ7312">
        <v>106.160279478549</v>
      </c>
      <c r="AK7312">
        <v>25.364847360819599</v>
      </c>
      <c r="AL7312">
        <v>89.7980549353817</v>
      </c>
      <c r="AM7312">
        <v>93.273536097971103</v>
      </c>
      <c r="AN7312">
        <v>1.0000000033655101</v>
      </c>
    </row>
    <row r="7313" spans="1:40" x14ac:dyDescent="0.25">
      <c r="A7313" t="str">
        <f>"20190312154108701"</f>
        <v>20190312154108701</v>
      </c>
      <c r="B7313" t="str">
        <f>"1552376468693244"</f>
        <v>1552376468693244</v>
      </c>
      <c r="C7313" t="s">
        <v>40</v>
      </c>
      <c r="D7313">
        <v>4.172879</v>
      </c>
      <c r="E7313">
        <v>0.41446759999999999</v>
      </c>
      <c r="F7313" t="s">
        <v>42</v>
      </c>
      <c r="G7313">
        <v>-392.74930000000001</v>
      </c>
      <c r="H7313" s="1">
        <v>-4.0969529999999997E-6</v>
      </c>
      <c r="I7313">
        <v>15.731949999999999</v>
      </c>
      <c r="J7313">
        <v>-412.85</v>
      </c>
      <c r="K7313">
        <v>1.110188</v>
      </c>
      <c r="L7313">
        <v>31.79419</v>
      </c>
      <c r="M7313">
        <v>0.57668009999999903</v>
      </c>
      <c r="N7313">
        <v>0</v>
      </c>
      <c r="O7313">
        <v>-0.81691859999999905</v>
      </c>
      <c r="P7313">
        <v>0.62237019999999998</v>
      </c>
      <c r="Q7313">
        <v>-5.4400469999999999E-3</v>
      </c>
      <c r="R7313">
        <v>-0.78270419999999996</v>
      </c>
      <c r="S7313">
        <v>2.4015810000000002</v>
      </c>
      <c r="T7313">
        <v>-0.132303799999999</v>
      </c>
      <c r="U7313">
        <v>-1.92276</v>
      </c>
      <c r="V7313">
        <v>-5.7063490000000001E-2</v>
      </c>
      <c r="W7313">
        <v>3.6337940000000001E-3</v>
      </c>
      <c r="X7313">
        <v>0.99836389999999997</v>
      </c>
      <c r="Y7313">
        <v>-0.27660430000000003</v>
      </c>
      <c r="Z7313">
        <v>3.8603449999999997E-2</v>
      </c>
      <c r="AA7313">
        <v>0.96020819999999996</v>
      </c>
      <c r="AB7313">
        <v>17</v>
      </c>
      <c r="AC7313">
        <v>20.1007</v>
      </c>
      <c r="AD7313">
        <v>-1.1101920969529999</v>
      </c>
      <c r="AE7313">
        <v>-16.062239999999999</v>
      </c>
      <c r="AF7313">
        <v>-7.1448606238674097</v>
      </c>
      <c r="AG7313">
        <v>-1.1101920969529999</v>
      </c>
      <c r="AH7313">
        <v>24.668329388649099</v>
      </c>
      <c r="AI7313">
        <v>92.475245075313495</v>
      </c>
      <c r="AJ7313">
        <v>106.152971604173</v>
      </c>
      <c r="AK7313">
        <v>25.706186699966199</v>
      </c>
      <c r="AL7313">
        <v>89.791798473982396</v>
      </c>
      <c r="AM7313">
        <v>93.271295872491905</v>
      </c>
      <c r="AN7313">
        <v>0.99999996158651105</v>
      </c>
    </row>
    <row r="7314" spans="1:40" x14ac:dyDescent="0.25">
      <c r="A7314" t="str">
        <f>"20190312154108710"</f>
        <v>20190312154108710</v>
      </c>
      <c r="B7314" t="str">
        <f>"1552376468703979"</f>
        <v>1552376468703979</v>
      </c>
      <c r="C7314" t="s">
        <v>40</v>
      </c>
      <c r="D7314">
        <v>4.135561</v>
      </c>
      <c r="E7314">
        <v>0.41431489999999999</v>
      </c>
      <c r="F7314" t="s">
        <v>42</v>
      </c>
      <c r="G7314">
        <v>-392.37369999999999</v>
      </c>
      <c r="H7314" s="1">
        <v>-4.3293280000000001E-6</v>
      </c>
      <c r="I7314">
        <v>15.42276</v>
      </c>
      <c r="J7314">
        <v>-412.80380000000002</v>
      </c>
      <c r="K7314">
        <v>1.1101799999999999</v>
      </c>
      <c r="L7314">
        <v>31.72992</v>
      </c>
      <c r="M7314">
        <v>0.57715399999999994</v>
      </c>
      <c r="N7314">
        <v>0</v>
      </c>
      <c r="O7314">
        <v>-0.81658649999999999</v>
      </c>
      <c r="P7314">
        <v>0.62274439999999998</v>
      </c>
      <c r="Q7314">
        <v>-4.9797840000000001E-3</v>
      </c>
      <c r="R7314">
        <v>-0.78240949999999998</v>
      </c>
      <c r="S7314">
        <v>2.4029850000000001</v>
      </c>
      <c r="T7314">
        <v>-0.13028629999999999</v>
      </c>
      <c r="U7314">
        <v>-1.921265</v>
      </c>
      <c r="V7314">
        <v>-5.6961560000000001E-2</v>
      </c>
      <c r="W7314">
        <v>3.8822240000000001E-3</v>
      </c>
      <c r="X7314">
        <v>0.99836879999999995</v>
      </c>
      <c r="Y7314">
        <v>-0.2767077</v>
      </c>
      <c r="Z7314">
        <v>3.8003679999999998E-2</v>
      </c>
      <c r="AA7314">
        <v>0.96020229999999995</v>
      </c>
      <c r="AB7314">
        <v>17</v>
      </c>
      <c r="AC7314">
        <v>20.430099999999999</v>
      </c>
      <c r="AD7314">
        <v>-1.110184329328</v>
      </c>
      <c r="AE7314">
        <v>-16.30716</v>
      </c>
      <c r="AF7314">
        <v>-7.2583990097429698</v>
      </c>
      <c r="AG7314">
        <v>-1.110184329328</v>
      </c>
      <c r="AH7314">
        <v>25.063314464144899</v>
      </c>
      <c r="AI7314">
        <v>92.436289237871904</v>
      </c>
      <c r="AJ7314">
        <v>106.151149524267</v>
      </c>
      <c r="AK7314">
        <v>26.116787653889201</v>
      </c>
      <c r="AL7314">
        <v>89.777564385566095</v>
      </c>
      <c r="AM7314">
        <v>93.265449165197097</v>
      </c>
      <c r="AN7314">
        <v>0.99999997589712897</v>
      </c>
    </row>
    <row r="7315" spans="1:40" x14ac:dyDescent="0.25">
      <c r="A7315" t="str">
        <f>"20190312154108721"</f>
        <v>20190312154108721</v>
      </c>
      <c r="B7315" t="str">
        <f>"1552376468713740"</f>
        <v>1552376468713740</v>
      </c>
      <c r="C7315" t="s">
        <v>40</v>
      </c>
      <c r="D7315">
        <v>4.1649099999999999</v>
      </c>
      <c r="E7315">
        <v>0.41420119999999999</v>
      </c>
      <c r="F7315" t="s">
        <v>42</v>
      </c>
      <c r="G7315">
        <v>-392.26710000000003</v>
      </c>
      <c r="H7315" s="1">
        <v>-4.3949190000000004E-6</v>
      </c>
      <c r="I7315">
        <v>15.337289999999999</v>
      </c>
      <c r="J7315">
        <v>-412.76069999999999</v>
      </c>
      <c r="K7315">
        <v>1.110168</v>
      </c>
      <c r="L7315">
        <v>31.669920000000001</v>
      </c>
      <c r="M7315">
        <v>0.57760069999999997</v>
      </c>
      <c r="N7315">
        <v>0</v>
      </c>
      <c r="O7315">
        <v>-0.81627249999999996</v>
      </c>
      <c r="P7315">
        <v>0.6230658</v>
      </c>
      <c r="Q7315">
        <v>-4.6955169999999997E-3</v>
      </c>
      <c r="R7315">
        <v>-0.7821553</v>
      </c>
      <c r="S7315">
        <v>2.4047550000000002</v>
      </c>
      <c r="T7315">
        <v>-0.129997</v>
      </c>
      <c r="U7315">
        <v>-1.919495</v>
      </c>
      <c r="V7315">
        <v>-5.6825859999999999E-2</v>
      </c>
      <c r="W7315">
        <v>3.9752069999999997E-3</v>
      </c>
      <c r="X7315">
        <v>0.99837620000000005</v>
      </c>
      <c r="Y7315">
        <v>-0.27696270000000001</v>
      </c>
      <c r="Z7315">
        <v>3.790864E-2</v>
      </c>
      <c r="AA7315">
        <v>0.9601326</v>
      </c>
      <c r="AB7315">
        <v>17</v>
      </c>
      <c r="AC7315">
        <v>20.493599999999901</v>
      </c>
      <c r="AD7315">
        <v>-1.1101723949189899</v>
      </c>
      <c r="AE7315">
        <v>-16.332629999999899</v>
      </c>
      <c r="AF7315">
        <v>-7.28183455972282</v>
      </c>
      <c r="AG7315">
        <v>-1.1101723949189899</v>
      </c>
      <c r="AH7315">
        <v>25.124867830918401</v>
      </c>
      <c r="AI7315">
        <v>92.430156799055098</v>
      </c>
      <c r="AJ7315">
        <v>106.162951185146</v>
      </c>
      <c r="AK7315">
        <v>26.182371566050499</v>
      </c>
      <c r="AL7315">
        <v>89.772236818321005</v>
      </c>
      <c r="AM7315">
        <v>93.257662539150402</v>
      </c>
      <c r="AN7315">
        <v>1.00000000868093</v>
      </c>
    </row>
    <row r="7316" spans="1:40" x14ac:dyDescent="0.25">
      <c r="A7316" t="str">
        <f>"20190312154108732"</f>
        <v>20190312154108732</v>
      </c>
      <c r="B7316" t="str">
        <f>"1552376468723500"</f>
        <v>1552376468723500</v>
      </c>
      <c r="C7316" t="s">
        <v>40</v>
      </c>
      <c r="D7316">
        <v>4.1611909999999996</v>
      </c>
      <c r="E7316">
        <v>0.41405629999999999</v>
      </c>
      <c r="F7316" t="s">
        <v>42</v>
      </c>
      <c r="G7316">
        <v>-392.13490000000002</v>
      </c>
      <c r="H7316" s="1">
        <v>-4.4766079999999998E-6</v>
      </c>
      <c r="I7316">
        <v>15.228879999999901</v>
      </c>
      <c r="J7316">
        <v>-412.71010000000001</v>
      </c>
      <c r="K7316">
        <v>1.110158</v>
      </c>
      <c r="L7316">
        <v>31.599609999999998</v>
      </c>
      <c r="M7316">
        <v>0.5781328</v>
      </c>
      <c r="N7316">
        <v>0</v>
      </c>
      <c r="O7316">
        <v>-0.81589780000000001</v>
      </c>
      <c r="P7316">
        <v>0.62346639999999998</v>
      </c>
      <c r="Q7316">
        <v>-4.3513040000000003E-3</v>
      </c>
      <c r="R7316">
        <v>-0.78183800000000003</v>
      </c>
      <c r="S7316">
        <v>2.4061889999999999</v>
      </c>
      <c r="T7316">
        <v>-0.12951179999999901</v>
      </c>
      <c r="U7316">
        <v>-1.917999</v>
      </c>
      <c r="V7316">
        <v>-5.6686819999999999E-2</v>
      </c>
      <c r="W7316">
        <v>4.1053820000000003E-3</v>
      </c>
      <c r="X7316">
        <v>0.99838360000000004</v>
      </c>
      <c r="Y7316">
        <v>-0.27698660000000003</v>
      </c>
      <c r="Z7316">
        <v>3.77527E-2</v>
      </c>
      <c r="AA7316">
        <v>0.96013179999999998</v>
      </c>
      <c r="AB7316">
        <v>17</v>
      </c>
      <c r="AC7316">
        <v>20.575199999999899</v>
      </c>
      <c r="AD7316">
        <v>-1.110162476608</v>
      </c>
      <c r="AE7316">
        <v>-16.370729999999998</v>
      </c>
      <c r="AF7316">
        <v>-7.3100409270324498</v>
      </c>
      <c r="AG7316">
        <v>-1.110162476608</v>
      </c>
      <c r="AH7316">
        <v>25.208026731790198</v>
      </c>
      <c r="AI7316">
        <v>92.422022541880196</v>
      </c>
      <c r="AJ7316">
        <v>106.17155765785</v>
      </c>
      <c r="AK7316">
        <v>26.270016573843399</v>
      </c>
      <c r="AL7316">
        <v>89.764778284711099</v>
      </c>
      <c r="AM7316">
        <v>93.249684846320406</v>
      </c>
      <c r="AN7316">
        <v>1.00000003123601</v>
      </c>
    </row>
    <row r="7317" spans="1:40" x14ac:dyDescent="0.25">
      <c r="A7317" t="str">
        <f>"20190312154108743"</f>
        <v>20190312154108743</v>
      </c>
      <c r="B7317" t="str">
        <f>"1552376468734235"</f>
        <v>1552376468734235</v>
      </c>
      <c r="C7317" t="s">
        <v>40</v>
      </c>
      <c r="D7317">
        <v>4.1505549999999998</v>
      </c>
      <c r="E7317">
        <v>0.41395589999999999</v>
      </c>
      <c r="F7317" t="s">
        <v>42</v>
      </c>
      <c r="G7317">
        <v>-391.94220000000001</v>
      </c>
      <c r="H7317" s="1">
        <v>-4.5949060000000004E-6</v>
      </c>
      <c r="I7317">
        <v>15.07554</v>
      </c>
      <c r="J7317">
        <v>-412.66019999999997</v>
      </c>
      <c r="K7317">
        <v>1.1101479999999999</v>
      </c>
      <c r="L7317">
        <v>31.53058</v>
      </c>
      <c r="M7317">
        <v>0.57866309999999999</v>
      </c>
      <c r="N7317">
        <v>0</v>
      </c>
      <c r="O7317">
        <v>-0.81552400000000003</v>
      </c>
      <c r="P7317">
        <v>0.62401459999999997</v>
      </c>
      <c r="Q7317">
        <v>-4.5428990000000004E-3</v>
      </c>
      <c r="R7317">
        <v>-0.78139969999999903</v>
      </c>
      <c r="S7317">
        <v>2.4081730000000001</v>
      </c>
      <c r="T7317">
        <v>-0.12873080000000001</v>
      </c>
      <c r="U7317">
        <v>-1.916077</v>
      </c>
      <c r="V7317">
        <v>-5.6739270000000001E-2</v>
      </c>
      <c r="W7317">
        <v>3.715332E-3</v>
      </c>
      <c r="X7317">
        <v>0.99838210000000005</v>
      </c>
      <c r="Y7317">
        <v>-0.27722619999999998</v>
      </c>
      <c r="Z7317">
        <v>3.7511559999999999E-2</v>
      </c>
      <c r="AA7317">
        <v>0.96007220000000004</v>
      </c>
      <c r="AB7317">
        <v>17</v>
      </c>
      <c r="AC7317">
        <v>20.7179999999999</v>
      </c>
      <c r="AD7317">
        <v>-1.1101525949059901</v>
      </c>
      <c r="AE7317">
        <v>-16.45504</v>
      </c>
      <c r="AF7317">
        <v>-7.3613978856023898</v>
      </c>
      <c r="AG7317">
        <v>-1.1101525949059901</v>
      </c>
      <c r="AH7317">
        <v>25.364449596125102</v>
      </c>
      <c r="AI7317">
        <v>92.406930042151501</v>
      </c>
      <c r="AJ7317">
        <v>106.184050822061</v>
      </c>
      <c r="AK7317">
        <v>26.434407898201499</v>
      </c>
      <c r="AL7317">
        <v>89.787126663555199</v>
      </c>
      <c r="AM7317">
        <v>93.252690070308105</v>
      </c>
      <c r="AN7317">
        <v>0.99999998302620596</v>
      </c>
    </row>
    <row r="7318" spans="1:40" x14ac:dyDescent="0.25">
      <c r="A7318" t="str">
        <f>"20190312154108754"</f>
        <v>20190312154108754</v>
      </c>
      <c r="B7318" t="str">
        <f>"1552376468743996"</f>
        <v>1552376468743996</v>
      </c>
      <c r="C7318" t="s">
        <v>40</v>
      </c>
      <c r="D7318">
        <v>4.1482289999999997</v>
      </c>
      <c r="E7318">
        <v>0.41387950000000001</v>
      </c>
      <c r="F7318" t="s">
        <v>42</v>
      </c>
      <c r="G7318">
        <v>-391.96350000000001</v>
      </c>
      <c r="H7318" s="1">
        <v>-4.5815449999999999E-6</v>
      </c>
      <c r="I7318">
        <v>15.093999999999999</v>
      </c>
      <c r="J7318">
        <v>-412.6112</v>
      </c>
      <c r="K7318">
        <v>1.110142</v>
      </c>
      <c r="L7318">
        <v>31.46265</v>
      </c>
      <c r="M7318">
        <v>0.57919039999999999</v>
      </c>
      <c r="N7318">
        <v>0</v>
      </c>
      <c r="O7318">
        <v>-0.81515139999999997</v>
      </c>
      <c r="P7318">
        <v>0.62452379999999996</v>
      </c>
      <c r="Q7318">
        <v>-4.8030579999999998E-3</v>
      </c>
      <c r="R7318">
        <v>-0.78099110000000005</v>
      </c>
      <c r="S7318">
        <v>2.4100039999999998</v>
      </c>
      <c r="T7318">
        <v>-0.12927060000000001</v>
      </c>
      <c r="U7318">
        <v>-1.91394</v>
      </c>
      <c r="V7318">
        <v>-5.6746030000000003E-2</v>
      </c>
      <c r="W7318">
        <v>3.2675849999999999E-3</v>
      </c>
      <c r="X7318">
        <v>0.99838329999999997</v>
      </c>
      <c r="Y7318">
        <v>-0.2774779</v>
      </c>
      <c r="Z7318">
        <v>3.7658039999999997E-2</v>
      </c>
      <c r="AA7318">
        <v>0.95999369999999995</v>
      </c>
      <c r="AB7318">
        <v>17</v>
      </c>
      <c r="AC7318">
        <v>20.647699999999901</v>
      </c>
      <c r="AD7318">
        <v>-1.110146581545</v>
      </c>
      <c r="AE7318">
        <v>-16.368649999999999</v>
      </c>
      <c r="AF7318">
        <v>-7.3376561408415499</v>
      </c>
      <c r="AG7318">
        <v>-1.110146581545</v>
      </c>
      <c r="AH7318">
        <v>25.257884261676399</v>
      </c>
      <c r="AI7318">
        <v>92.416876076582199</v>
      </c>
      <c r="AJ7318">
        <v>106.19908463420199</v>
      </c>
      <c r="AK7318">
        <v>26.325545397009101</v>
      </c>
      <c r="AL7318">
        <v>89.812780837396303</v>
      </c>
      <c r="AM7318">
        <v>93.253072866720103</v>
      </c>
      <c r="AN7318">
        <v>1.00000000137569</v>
      </c>
    </row>
    <row r="7319" spans="1:40" x14ac:dyDescent="0.25">
      <c r="A7319" t="str">
        <f>"20190312154108765"</f>
        <v>20190312154108765</v>
      </c>
      <c r="B7319" t="str">
        <f>"1552376468753756"</f>
        <v>1552376468753756</v>
      </c>
      <c r="C7319" t="s">
        <v>40</v>
      </c>
      <c r="D7319">
        <v>4.1586109999999996</v>
      </c>
      <c r="E7319">
        <v>0.413802</v>
      </c>
      <c r="F7319" t="s">
        <v>42</v>
      </c>
      <c r="G7319">
        <v>-391.98200000000003</v>
      </c>
      <c r="H7319" s="1">
        <v>-4.5704250000000004E-6</v>
      </c>
      <c r="I7319">
        <v>15.1076</v>
      </c>
      <c r="J7319">
        <v>-412.56639999999999</v>
      </c>
      <c r="K7319">
        <v>1.110141</v>
      </c>
      <c r="L7319">
        <v>31.400880000000001</v>
      </c>
      <c r="M7319">
        <v>0.57968009999999903</v>
      </c>
      <c r="N7319">
        <v>0</v>
      </c>
      <c r="O7319">
        <v>-0.8148048</v>
      </c>
      <c r="P7319">
        <v>0.62500639999999996</v>
      </c>
      <c r="Q7319">
        <v>-5.266916E-3</v>
      </c>
      <c r="R7319">
        <v>-0.78060200000000002</v>
      </c>
      <c r="S7319">
        <v>2.4116209999999998</v>
      </c>
      <c r="T7319">
        <v>-0.1297797</v>
      </c>
      <c r="U7319">
        <v>-1.9119569999999999</v>
      </c>
      <c r="V7319">
        <v>-5.6765169999999997E-2</v>
      </c>
      <c r="W7319">
        <v>2.6462690000000001E-3</v>
      </c>
      <c r="X7319">
        <v>0.9983841</v>
      </c>
      <c r="Y7319">
        <v>-0.27769460000000001</v>
      </c>
      <c r="Z7319">
        <v>3.7796829999999997E-2</v>
      </c>
      <c r="AA7319">
        <v>0.95992560000000005</v>
      </c>
      <c r="AB7319">
        <v>17</v>
      </c>
      <c r="AC7319">
        <v>20.584399999999999</v>
      </c>
      <c r="AD7319">
        <v>-1.1101455704250001</v>
      </c>
      <c r="AE7319">
        <v>-16.2932799999999</v>
      </c>
      <c r="AF7319">
        <v>-7.3145326503384798</v>
      </c>
      <c r="AG7319">
        <v>-1.1101455704250001</v>
      </c>
      <c r="AH7319">
        <v>25.164019115926202</v>
      </c>
      <c r="AI7319">
        <v>92.425771438284897</v>
      </c>
      <c r="AJ7319">
        <v>106.207787938557</v>
      </c>
      <c r="AK7319">
        <v>26.2290424748427</v>
      </c>
      <c r="AL7319">
        <v>89.848379785343397</v>
      </c>
      <c r="AM7319">
        <v>93.254165143554204</v>
      </c>
      <c r="AN7319">
        <v>1.0000000491987699</v>
      </c>
    </row>
    <row r="7320" spans="1:40" x14ac:dyDescent="0.25">
      <c r="A7320" t="str">
        <f>"20190312154108776"</f>
        <v>20190312154108776</v>
      </c>
      <c r="B7320" t="str">
        <f>"1552376468763515"</f>
        <v>1552376468763515</v>
      </c>
      <c r="C7320" t="s">
        <v>40</v>
      </c>
      <c r="D7320">
        <v>4.1713690000000003</v>
      </c>
      <c r="E7320">
        <v>0.413711</v>
      </c>
      <c r="F7320" t="s">
        <v>42</v>
      </c>
      <c r="G7320">
        <v>-392.08359999999999</v>
      </c>
      <c r="H7320" s="1">
        <v>-4.507661E-6</v>
      </c>
      <c r="I7320">
        <v>15.19061</v>
      </c>
      <c r="J7320">
        <v>-412.51589999999999</v>
      </c>
      <c r="K7320">
        <v>1.1101399999999999</v>
      </c>
      <c r="L7320">
        <v>31.331150000000001</v>
      </c>
      <c r="M7320">
        <v>0.58023649999999904</v>
      </c>
      <c r="N7320">
        <v>0</v>
      </c>
      <c r="O7320">
        <v>-0.81441030000000003</v>
      </c>
      <c r="P7320">
        <v>0.62557799999999997</v>
      </c>
      <c r="Q7320">
        <v>-6.0103179999999997E-3</v>
      </c>
      <c r="R7320">
        <v>-0.78013889999999997</v>
      </c>
      <c r="S7320">
        <v>2.4133909999999998</v>
      </c>
      <c r="T7320">
        <v>-0.1308029</v>
      </c>
      <c r="U7320">
        <v>-1.9099729999999999</v>
      </c>
      <c r="V7320">
        <v>-5.6816709999999999E-2</v>
      </c>
      <c r="W7320">
        <v>1.7293129999999999E-3</v>
      </c>
      <c r="X7320">
        <v>0.99838309999999997</v>
      </c>
      <c r="Y7320">
        <v>-0.27785680000000001</v>
      </c>
      <c r="Z7320">
        <v>3.8081139999999999E-2</v>
      </c>
      <c r="AA7320">
        <v>0.95986740000000004</v>
      </c>
      <c r="AB7320">
        <v>17</v>
      </c>
      <c r="AC7320">
        <v>20.432300000000001</v>
      </c>
      <c r="AD7320">
        <v>-1.1101445076609999</v>
      </c>
      <c r="AE7320">
        <v>-16.140539999999898</v>
      </c>
      <c r="AF7320">
        <v>-7.2619683549098104</v>
      </c>
      <c r="AG7320">
        <v>-1.1101445076609999</v>
      </c>
      <c r="AH7320">
        <v>24.955993130935202</v>
      </c>
      <c r="AI7320">
        <v>92.445757718502193</v>
      </c>
      <c r="AJ7320">
        <v>106.224518264854</v>
      </c>
      <c r="AK7320">
        <v>26.014807290596799</v>
      </c>
      <c r="AL7320">
        <v>89.900917611455299</v>
      </c>
      <c r="AM7320">
        <v>93.257116663329995</v>
      </c>
      <c r="AN7320">
        <v>0.99999997171214206</v>
      </c>
    </row>
    <row r="7321" spans="1:40" x14ac:dyDescent="0.25">
      <c r="A7321" t="str">
        <f>"20190312154108787"</f>
        <v>20190312154108787</v>
      </c>
      <c r="B7321" t="str">
        <f>"1552376468784012"</f>
        <v>1552376468784012</v>
      </c>
      <c r="C7321" t="s">
        <v>40</v>
      </c>
      <c r="D7321">
        <v>4.0973490000000004</v>
      </c>
      <c r="E7321">
        <v>0.41359679999999999</v>
      </c>
      <c r="F7321" t="s">
        <v>42</v>
      </c>
      <c r="G7321">
        <v>-392.38400000000001</v>
      </c>
      <c r="H7321" s="1">
        <v>-4.3232170000000002E-6</v>
      </c>
      <c r="I7321">
        <v>15.42976</v>
      </c>
      <c r="J7321">
        <v>-412.46640000000002</v>
      </c>
      <c r="K7321">
        <v>1.110144</v>
      </c>
      <c r="L7321">
        <v>31.262969999999999</v>
      </c>
      <c r="M7321">
        <v>0.58079559999999997</v>
      </c>
      <c r="N7321">
        <v>0</v>
      </c>
      <c r="O7321">
        <v>-0.81401319999999999</v>
      </c>
      <c r="P7321">
        <v>0.62652719999999995</v>
      </c>
      <c r="Q7321">
        <v>-6.0205349999999996E-3</v>
      </c>
      <c r="R7321">
        <v>-0.77937659999999997</v>
      </c>
      <c r="S7321">
        <v>2.4152529999999999</v>
      </c>
      <c r="T7321">
        <v>-0.1331859</v>
      </c>
      <c r="U7321">
        <v>-1.907715</v>
      </c>
      <c r="V7321">
        <v>-5.7347519999999999E-2</v>
      </c>
      <c r="W7321">
        <v>1.567188E-3</v>
      </c>
      <c r="X7321">
        <v>0.99835309999999999</v>
      </c>
      <c r="Y7321">
        <v>-0.27808539999999998</v>
      </c>
      <c r="Z7321">
        <v>3.8762419999999999E-2</v>
      </c>
      <c r="AA7321">
        <v>0.95977389999999996</v>
      </c>
      <c r="AB7321">
        <v>17</v>
      </c>
      <c r="AC7321">
        <v>20.0824</v>
      </c>
      <c r="AD7321">
        <v>-1.110148323217</v>
      </c>
      <c r="AE7321">
        <v>-15.833209999999999</v>
      </c>
      <c r="AF7321">
        <v>-7.1382391157343799</v>
      </c>
      <c r="AG7321">
        <v>-1.110148323217</v>
      </c>
      <c r="AH7321">
        <v>24.5067534028042</v>
      </c>
      <c r="AI7321">
        <v>92.490353592966102</v>
      </c>
      <c r="AJ7321">
        <v>106.239595438054</v>
      </c>
      <c r="AK7321">
        <v>25.549321895478901</v>
      </c>
      <c r="AL7321">
        <v>89.910206709917205</v>
      </c>
      <c r="AM7321">
        <v>93.287578405357493</v>
      </c>
      <c r="AN7321">
        <v>1.0000000532039901</v>
      </c>
    </row>
    <row r="7322" spans="1:40" x14ac:dyDescent="0.25">
      <c r="A7322" t="str">
        <f>"20190312154108799"</f>
        <v>20190312154108799</v>
      </c>
      <c r="B7322" t="str">
        <f>"1552376468793771"</f>
        <v>1552376468793771</v>
      </c>
      <c r="C7322" t="s">
        <v>40</v>
      </c>
      <c r="D7322">
        <v>4.071644</v>
      </c>
      <c r="E7322">
        <v>0.41354160000000001</v>
      </c>
      <c r="F7322" t="s">
        <v>42</v>
      </c>
      <c r="G7322">
        <v>-392.19630000000001</v>
      </c>
      <c r="H7322" s="1">
        <v>-4.4347260000000004E-6</v>
      </c>
      <c r="I7322">
        <v>15.301410000000001</v>
      </c>
      <c r="J7322">
        <v>-412.4128</v>
      </c>
      <c r="K7322">
        <v>1.110152</v>
      </c>
      <c r="L7322">
        <v>31.18927</v>
      </c>
      <c r="M7322">
        <v>0.58140509999999901</v>
      </c>
      <c r="N7322">
        <v>0</v>
      </c>
      <c r="O7322">
        <v>-0.81357919999999995</v>
      </c>
      <c r="P7322">
        <v>0.62707519999999894</v>
      </c>
      <c r="Q7322">
        <v>-6.3114390000000003E-3</v>
      </c>
      <c r="R7322">
        <v>-0.77893319999999999</v>
      </c>
      <c r="S7322">
        <v>2.4182130000000002</v>
      </c>
      <c r="T7322">
        <v>-0.13244020000000001</v>
      </c>
      <c r="U7322">
        <v>-1.9042049999999999</v>
      </c>
      <c r="V7322">
        <v>-5.730329E-2</v>
      </c>
      <c r="W7322">
        <v>1.118485E-3</v>
      </c>
      <c r="X7322">
        <v>0.99835620000000003</v>
      </c>
      <c r="Y7322">
        <v>-0.27880559999999899</v>
      </c>
      <c r="Z7322">
        <v>3.8538429999999999E-2</v>
      </c>
      <c r="AA7322">
        <v>0.95957400000000004</v>
      </c>
      <c r="AB7322">
        <v>17</v>
      </c>
      <c r="AC7322">
        <v>20.2165</v>
      </c>
      <c r="AD7322">
        <v>-1.110156434726</v>
      </c>
      <c r="AE7322">
        <v>-15.88786</v>
      </c>
      <c r="AF7322">
        <v>-7.1972298369415997</v>
      </c>
      <c r="AG7322">
        <v>-1.110156434726</v>
      </c>
      <c r="AH7322">
        <v>24.634789038944401</v>
      </c>
      <c r="AI7322">
        <v>92.476858794658099</v>
      </c>
      <c r="AJ7322">
        <v>106.286100843946</v>
      </c>
      <c r="AK7322">
        <v>25.688623856264101</v>
      </c>
      <c r="AL7322">
        <v>89.935915517334607</v>
      </c>
      <c r="AM7322">
        <v>93.285038196152897</v>
      </c>
      <c r="AN7322">
        <v>1.0000000100659701</v>
      </c>
    </row>
    <row r="7323" spans="1:40" x14ac:dyDescent="0.25">
      <c r="A7323" t="str">
        <f>"20190312154108810"</f>
        <v>20190312154108810</v>
      </c>
      <c r="B7323" t="str">
        <f>"1552376468803532"</f>
        <v>1552376468803532</v>
      </c>
      <c r="C7323" t="s">
        <v>40</v>
      </c>
      <c r="D7323">
        <v>4.1028630000000001</v>
      </c>
      <c r="E7323">
        <v>0.41347349999999999</v>
      </c>
      <c r="F7323" t="s">
        <v>42</v>
      </c>
      <c r="G7323">
        <v>-392.20389999999998</v>
      </c>
      <c r="H7323" s="1">
        <v>-4.4307130000000003E-6</v>
      </c>
      <c r="I7323">
        <v>15.30372</v>
      </c>
      <c r="J7323">
        <v>-412.363</v>
      </c>
      <c r="K7323">
        <v>1.1101700000000001</v>
      </c>
      <c r="L7323">
        <v>31.120940000000001</v>
      </c>
      <c r="M7323">
        <v>0.58198700000000003</v>
      </c>
      <c r="N7323">
        <v>0</v>
      </c>
      <c r="O7323">
        <v>-0.81316440000000001</v>
      </c>
      <c r="P7323">
        <v>0.62768559999999995</v>
      </c>
      <c r="Q7323">
        <v>-6.251894E-3</v>
      </c>
      <c r="R7323">
        <v>-0.77844199999999997</v>
      </c>
      <c r="S7323">
        <v>2.4199220000000001</v>
      </c>
      <c r="T7323">
        <v>-0.1329362</v>
      </c>
      <c r="U7323">
        <v>-1.9022220000000001</v>
      </c>
      <c r="V7323">
        <v>-5.737184E-2</v>
      </c>
      <c r="W7323">
        <v>1.048867E-3</v>
      </c>
      <c r="X7323">
        <v>0.99835229999999997</v>
      </c>
      <c r="Y7323">
        <v>-0.27892990000000001</v>
      </c>
      <c r="Z7323">
        <v>3.8668380000000002E-2</v>
      </c>
      <c r="AA7323">
        <v>0.95953259999999996</v>
      </c>
      <c r="AB7323">
        <v>17</v>
      </c>
      <c r="AC7323">
        <v>20.159099999999999</v>
      </c>
      <c r="AD7323">
        <v>-1.1101744307129999</v>
      </c>
      <c r="AE7323">
        <v>-15.817220000000001</v>
      </c>
      <c r="AF7323">
        <v>-7.1739763162570602</v>
      </c>
      <c r="AG7323">
        <v>-1.1101744307129999</v>
      </c>
      <c r="AH7323">
        <v>24.548926126767299</v>
      </c>
      <c r="AI7323">
        <v>92.485501439669306</v>
      </c>
      <c r="AJ7323">
        <v>106.290040164358</v>
      </c>
      <c r="AK7323">
        <v>25.5997694800228</v>
      </c>
      <c r="AL7323">
        <v>89.939904334899794</v>
      </c>
      <c r="AM7323">
        <v>93.288972174930507</v>
      </c>
      <c r="AN7323">
        <v>0.99999997153112896</v>
      </c>
    </row>
    <row r="7324" spans="1:40" x14ac:dyDescent="0.25">
      <c r="A7324" t="str">
        <f>"20190312154108822"</f>
        <v>20190312154108822</v>
      </c>
      <c r="B7324" t="str">
        <f>"1552376468813292"</f>
        <v>1552376468813292</v>
      </c>
      <c r="C7324" t="s">
        <v>40</v>
      </c>
      <c r="D7324">
        <v>4.0944419999999999</v>
      </c>
      <c r="E7324">
        <v>0.41339219999999999</v>
      </c>
      <c r="F7324" t="s">
        <v>42</v>
      </c>
      <c r="G7324">
        <v>-392.08300000000003</v>
      </c>
      <c r="H7324" s="1">
        <v>-4.5047649999999997E-6</v>
      </c>
      <c r="I7324">
        <v>15.208399999999999</v>
      </c>
      <c r="J7324">
        <v>-412.31060000000002</v>
      </c>
      <c r="K7324">
        <v>1.1101859999999999</v>
      </c>
      <c r="L7324">
        <v>31.049160000000001</v>
      </c>
      <c r="M7324">
        <v>0.58260669999999903</v>
      </c>
      <c r="N7324">
        <v>0</v>
      </c>
      <c r="O7324">
        <v>-0.81272180000000005</v>
      </c>
      <c r="P7324">
        <v>0.62810929999999998</v>
      </c>
      <c r="Q7324">
        <v>-6.3256170000000004E-3</v>
      </c>
      <c r="R7324">
        <v>-0.77809980000000001</v>
      </c>
      <c r="S7324">
        <v>2.4216310000000001</v>
      </c>
      <c r="T7324">
        <v>-0.13256589999999999</v>
      </c>
      <c r="U7324">
        <v>-1.9001159999999999</v>
      </c>
      <c r="V7324">
        <v>-5.7154770000000001E-2</v>
      </c>
      <c r="W7324">
        <v>8.4907210000000001E-4</v>
      </c>
      <c r="X7324">
        <v>0.99836499999999995</v>
      </c>
      <c r="Y7324">
        <v>-0.27904830000000003</v>
      </c>
      <c r="Z7324">
        <v>3.8546570000000002E-2</v>
      </c>
      <c r="AA7324">
        <v>0.95950310000000005</v>
      </c>
      <c r="AB7324">
        <v>17</v>
      </c>
      <c r="AC7324">
        <v>20.227599999999899</v>
      </c>
      <c r="AD7324">
        <v>-1.110190504765</v>
      </c>
      <c r="AE7324">
        <v>-15.8407599999999</v>
      </c>
      <c r="AF7324">
        <v>-7.1972298170976696</v>
      </c>
      <c r="AG7324">
        <v>-1.110190504765</v>
      </c>
      <c r="AH7324">
        <v>24.613557304850801</v>
      </c>
      <c r="AI7324">
        <v>92.478900641026499</v>
      </c>
      <c r="AJ7324">
        <v>106.299403772172</v>
      </c>
      <c r="AK7324">
        <v>25.668265293863701</v>
      </c>
      <c r="AL7324">
        <v>89.951351747827601</v>
      </c>
      <c r="AM7324">
        <v>93.276513714439901</v>
      </c>
      <c r="AN7324">
        <v>1.0000000309410899</v>
      </c>
    </row>
    <row r="7325" spans="1:40" x14ac:dyDescent="0.25">
      <c r="A7325" t="str">
        <f>"20190312154108833"</f>
        <v>20190312154108833</v>
      </c>
      <c r="B7325" t="str">
        <f>"1552376468824028"</f>
        <v>1552376468824028</v>
      </c>
      <c r="C7325" t="s">
        <v>40</v>
      </c>
      <c r="D7325">
        <v>4.0594739999999998</v>
      </c>
      <c r="E7325">
        <v>0.4133308</v>
      </c>
      <c r="F7325" t="s">
        <v>42</v>
      </c>
      <c r="G7325">
        <v>-392.0437</v>
      </c>
      <c r="H7325" s="1">
        <v>-4.529693E-6</v>
      </c>
      <c r="I7325">
        <v>15.1725799999999</v>
      </c>
      <c r="J7325">
        <v>-412.25709999999998</v>
      </c>
      <c r="K7325">
        <v>1.1102030000000001</v>
      </c>
      <c r="L7325">
        <v>30.97607</v>
      </c>
      <c r="M7325">
        <v>0.58325139999999998</v>
      </c>
      <c r="N7325">
        <v>0</v>
      </c>
      <c r="O7325">
        <v>-0.81226030000000005</v>
      </c>
      <c r="P7325">
        <v>0.62851579999999996</v>
      </c>
      <c r="Q7325">
        <v>-6.0158429999999999E-3</v>
      </c>
      <c r="R7325">
        <v>-0.77777410000000002</v>
      </c>
      <c r="S7325">
        <v>2.4232480000000001</v>
      </c>
      <c r="T7325">
        <v>-0.1327422</v>
      </c>
      <c r="U7325">
        <v>-1.898315</v>
      </c>
      <c r="V7325">
        <v>-5.6884360000000002E-2</v>
      </c>
      <c r="W7325">
        <v>1.0445750000000001E-3</v>
      </c>
      <c r="X7325">
        <v>0.99838020000000005</v>
      </c>
      <c r="Y7325">
        <v>-0.27903810000000001</v>
      </c>
      <c r="Z7325">
        <v>3.857965E-2</v>
      </c>
      <c r="AA7325">
        <v>0.95950469999999999</v>
      </c>
      <c r="AB7325">
        <v>17</v>
      </c>
      <c r="AC7325">
        <v>20.213399999999901</v>
      </c>
      <c r="AD7325">
        <v>-1.1102075296930001</v>
      </c>
      <c r="AE7325">
        <v>-15.80349</v>
      </c>
      <c r="AF7325">
        <v>-7.1878608891835203</v>
      </c>
      <c r="AG7325">
        <v>-1.1102075296930001</v>
      </c>
      <c r="AH7325">
        <v>24.580648400684701</v>
      </c>
      <c r="AI7325">
        <v>92.482246396672707</v>
      </c>
      <c r="AJ7325">
        <v>106.299949057288</v>
      </c>
      <c r="AK7325">
        <v>25.634082404473201</v>
      </c>
      <c r="AL7325">
        <v>89.940150248594193</v>
      </c>
      <c r="AM7325">
        <v>93.260995904286403</v>
      </c>
      <c r="AN7325">
        <v>0.99999997265078899</v>
      </c>
    </row>
    <row r="7326" spans="1:40" x14ac:dyDescent="0.25">
      <c r="A7326" t="str">
        <f>"20190312154108845"</f>
        <v>20190312154108845</v>
      </c>
      <c r="B7326" t="str">
        <f>"1552376468833787"</f>
        <v>1552376468833787</v>
      </c>
      <c r="C7326" t="s">
        <v>40</v>
      </c>
      <c r="D7326">
        <v>4.0593019999999997</v>
      </c>
      <c r="E7326">
        <v>0.41325479999999998</v>
      </c>
      <c r="F7326" t="s">
        <v>42</v>
      </c>
      <c r="G7326">
        <v>-391.81259999999997</v>
      </c>
      <c r="H7326" s="1">
        <v>-4.6727589999999999E-6</v>
      </c>
      <c r="I7326">
        <v>14.982010000000001</v>
      </c>
      <c r="J7326">
        <v>-412.2063</v>
      </c>
      <c r="K7326">
        <v>1.110225</v>
      </c>
      <c r="L7326">
        <v>30.906739999999999</v>
      </c>
      <c r="M7326">
        <v>0.58387869999999997</v>
      </c>
      <c r="N7326">
        <v>0</v>
      </c>
      <c r="O7326">
        <v>-0.81181000000000003</v>
      </c>
      <c r="P7326">
        <v>0.62894399999999995</v>
      </c>
      <c r="Q7326">
        <v>-6.1359279999999997E-3</v>
      </c>
      <c r="R7326">
        <v>-0.77742650000000002</v>
      </c>
      <c r="S7326">
        <v>2.4246219999999998</v>
      </c>
      <c r="T7326">
        <v>-0.13166530000000001</v>
      </c>
      <c r="U7326">
        <v>-1.89682</v>
      </c>
      <c r="V7326">
        <v>-5.6663480000000002E-2</v>
      </c>
      <c r="W7326">
        <v>8.2952190000000004E-4</v>
      </c>
      <c r="X7326">
        <v>0.99839299999999997</v>
      </c>
      <c r="Y7326">
        <v>-0.2789394</v>
      </c>
      <c r="Z7326">
        <v>3.8248419999999998E-2</v>
      </c>
      <c r="AA7326">
        <v>0.95954669999999997</v>
      </c>
      <c r="AB7326">
        <v>17</v>
      </c>
      <c r="AC7326">
        <v>20.393699999999999</v>
      </c>
      <c r="AD7326">
        <v>-1.110229672759</v>
      </c>
      <c r="AE7326">
        <v>-15.92473</v>
      </c>
      <c r="AF7326">
        <v>-7.24454321937489</v>
      </c>
      <c r="AG7326">
        <v>-1.110229672759</v>
      </c>
      <c r="AH7326">
        <v>24.790284191940401</v>
      </c>
      <c r="AI7326">
        <v>92.461453924309396</v>
      </c>
      <c r="AJ7326">
        <v>106.290113429066</v>
      </c>
      <c r="AK7326">
        <v>25.8510001102633</v>
      </c>
      <c r="AL7326">
        <v>89.952471891153195</v>
      </c>
      <c r="AM7326">
        <v>93.248319182083605</v>
      </c>
      <c r="AN7326">
        <v>1.0000000102606399</v>
      </c>
    </row>
    <row r="7327" spans="1:40" x14ac:dyDescent="0.25">
      <c r="A7327" t="str">
        <f>"20190312154108859"</f>
        <v>20190312154108859</v>
      </c>
      <c r="B7327" t="str">
        <f>"1552376468853308"</f>
        <v>1552376468853308</v>
      </c>
      <c r="C7327" t="s">
        <v>40</v>
      </c>
      <c r="D7327">
        <v>4.0922099999999997</v>
      </c>
      <c r="E7327">
        <v>0.41328500000000001</v>
      </c>
      <c r="F7327" t="s">
        <v>42</v>
      </c>
      <c r="G7327">
        <v>-391.74689999999998</v>
      </c>
      <c r="H7327" s="1">
        <v>-4.713996E-6</v>
      </c>
      <c r="I7327">
        <v>14.924630000000001</v>
      </c>
      <c r="J7327">
        <v>-412.14319999999998</v>
      </c>
      <c r="K7327">
        <v>1.1102529999999999</v>
      </c>
      <c r="L7327">
        <v>30.820830000000001</v>
      </c>
      <c r="M7327">
        <v>0.58466879999999999</v>
      </c>
      <c r="N7327">
        <v>0</v>
      </c>
      <c r="O7327">
        <v>-0.81124200000000002</v>
      </c>
      <c r="P7327">
        <v>0.62936219999999998</v>
      </c>
      <c r="Q7327">
        <v>-6.044046E-3</v>
      </c>
      <c r="R7327">
        <v>-0.77708880000000002</v>
      </c>
      <c r="S7327">
        <v>2.426056</v>
      </c>
      <c r="T7327">
        <v>-0.13164999999999999</v>
      </c>
      <c r="U7327">
        <v>-1.8951420000000001</v>
      </c>
      <c r="V7327">
        <v>-5.6228340000000002E-2</v>
      </c>
      <c r="W7327">
        <v>8.137862E-4</v>
      </c>
      <c r="X7327">
        <v>0.99841760000000002</v>
      </c>
      <c r="Y7327">
        <v>-0.27869310000000003</v>
      </c>
      <c r="Z7327">
        <v>3.8220009999999999E-2</v>
      </c>
      <c r="AA7327">
        <v>0.95961940000000001</v>
      </c>
      <c r="AB7327">
        <v>17</v>
      </c>
      <c r="AC7327">
        <v>20.3963</v>
      </c>
      <c r="AD7327">
        <v>-1.1102577139959999</v>
      </c>
      <c r="AE7327">
        <v>-15.8962</v>
      </c>
      <c r="AF7327">
        <v>-7.2391554389240103</v>
      </c>
      <c r="AG7327">
        <v>-1.1102577139959999</v>
      </c>
      <c r="AH7327">
        <v>24.775679858514799</v>
      </c>
      <c r="AI7327">
        <v>92.4629951382299</v>
      </c>
      <c r="AJ7327">
        <v>106.287727291373</v>
      </c>
      <c r="AK7327">
        <v>25.835486372662</v>
      </c>
      <c r="AL7327">
        <v>89.953373479991697</v>
      </c>
      <c r="AM7327">
        <v>93.223347678491095</v>
      </c>
      <c r="AN7327">
        <v>0.99999999622844704</v>
      </c>
    </row>
    <row r="7328" spans="1:40" x14ac:dyDescent="0.25">
      <c r="A7328" t="str">
        <f>"20190312154108872"</f>
        <v>20190312154108872</v>
      </c>
      <c r="B7328" t="str">
        <f>"1552376468864043"</f>
        <v>1552376468864043</v>
      </c>
      <c r="C7328" t="s">
        <v>40</v>
      </c>
      <c r="D7328">
        <v>4.1683589999999997</v>
      </c>
      <c r="E7328">
        <v>0.41407250000000001</v>
      </c>
      <c r="F7328" t="s">
        <v>42</v>
      </c>
      <c r="G7328">
        <v>-391.51569999999998</v>
      </c>
      <c r="H7328" s="1">
        <v>-4.858747E-6</v>
      </c>
      <c r="I7328">
        <v>14.72472</v>
      </c>
      <c r="J7328">
        <v>-412.07819999999998</v>
      </c>
      <c r="K7328">
        <v>1.1102879999999999</v>
      </c>
      <c r="L7328">
        <v>30.73273</v>
      </c>
      <c r="M7328">
        <v>0.58551540000000002</v>
      </c>
      <c r="N7328">
        <v>0</v>
      </c>
      <c r="O7328">
        <v>-0.81063209999999997</v>
      </c>
      <c r="P7328">
        <v>0.62972859999999997</v>
      </c>
      <c r="Q7328">
        <v>-5.7823299999999996E-3</v>
      </c>
      <c r="R7328">
        <v>-0.77679419999999899</v>
      </c>
      <c r="S7328">
        <v>2.427063</v>
      </c>
      <c r="T7328">
        <v>-0.13063449999999999</v>
      </c>
      <c r="U7328">
        <v>-1.8938900000000001</v>
      </c>
      <c r="V7328">
        <v>-5.5657030000000003E-2</v>
      </c>
      <c r="W7328">
        <v>9.9069260000000004E-4</v>
      </c>
      <c r="X7328">
        <v>0.99844940000000004</v>
      </c>
      <c r="Y7328">
        <v>-0.27820309999999998</v>
      </c>
      <c r="Z7328">
        <v>3.7898090000000002E-2</v>
      </c>
      <c r="AA7328">
        <v>0.95977429999999997</v>
      </c>
      <c r="AB7328">
        <v>17</v>
      </c>
      <c r="AC7328">
        <v>20.5625</v>
      </c>
      <c r="AD7328">
        <v>-1.110292858747</v>
      </c>
      <c r="AE7328">
        <v>-16.008009999999999</v>
      </c>
      <c r="AF7328">
        <v>-7.2826382924888202</v>
      </c>
      <c r="AG7328">
        <v>-1.110292858747</v>
      </c>
      <c r="AH7328">
        <v>24.971527122463002</v>
      </c>
      <c r="AI7328">
        <v>92.4441403921752</v>
      </c>
      <c r="AJ7328">
        <v>106.258674209855</v>
      </c>
      <c r="AK7328">
        <v>26.0354899619599</v>
      </c>
      <c r="AL7328">
        <v>89.943237482841297</v>
      </c>
      <c r="AM7328">
        <v>93.190563345420699</v>
      </c>
      <c r="AN7328">
        <v>0.99999994541030202</v>
      </c>
    </row>
    <row r="7329" spans="1:40" x14ac:dyDescent="0.25">
      <c r="A7329" t="str">
        <f>"20190312154108885"</f>
        <v>20190312154108885</v>
      </c>
      <c r="B7329" t="str">
        <f>"1552376468873804"</f>
        <v>1552376468873804</v>
      </c>
      <c r="C7329" t="s">
        <v>40</v>
      </c>
      <c r="D7329">
        <v>4.1501150000000004</v>
      </c>
      <c r="E7329">
        <v>0.41407250000000001</v>
      </c>
      <c r="F7329" t="s">
        <v>42</v>
      </c>
      <c r="G7329">
        <v>-391.10059999999999</v>
      </c>
      <c r="H7329" s="1">
        <v>-5.1283289999999998E-6</v>
      </c>
      <c r="I7329">
        <v>14.31115</v>
      </c>
      <c r="J7329">
        <v>-412.02019999999999</v>
      </c>
      <c r="K7329">
        <v>1.1103229999999999</v>
      </c>
      <c r="L7329">
        <v>30.654140000000002</v>
      </c>
      <c r="M7329">
        <v>0.58629109999999995</v>
      </c>
      <c r="N7329">
        <v>0</v>
      </c>
      <c r="O7329">
        <v>-0.810071599999999</v>
      </c>
      <c r="P7329">
        <v>0.63012699999999999</v>
      </c>
      <c r="Q7329">
        <v>-5.7102309999999996E-3</v>
      </c>
      <c r="R7329">
        <v>-0.77647129999999998</v>
      </c>
      <c r="S7329">
        <v>2.4230040000000002</v>
      </c>
      <c r="T7329">
        <v>-0.1282433</v>
      </c>
      <c r="U7329">
        <v>-1.8967590000000001</v>
      </c>
      <c r="V7329">
        <v>-5.5213289999999998E-2</v>
      </c>
      <c r="W7329">
        <v>9.9975270000000004E-4</v>
      </c>
      <c r="X7329">
        <v>0.99847410000000003</v>
      </c>
      <c r="Y7329">
        <v>-0.27582420000000002</v>
      </c>
      <c r="Z7329">
        <v>3.7173030000000003E-2</v>
      </c>
      <c r="AA7329">
        <v>0.96048900000000004</v>
      </c>
      <c r="AB7329">
        <v>17</v>
      </c>
      <c r="AC7329">
        <v>20.919599999999999</v>
      </c>
      <c r="AD7329">
        <v>-1.1103281283290001</v>
      </c>
      <c r="AE7329">
        <v>-16.34299</v>
      </c>
      <c r="AF7329">
        <v>-7.3519350783291202</v>
      </c>
      <c r="AG7329">
        <v>-1.1103281283290001</v>
      </c>
      <c r="AH7329">
        <v>25.460024249765901</v>
      </c>
      <c r="AI7329">
        <v>92.399219020957204</v>
      </c>
      <c r="AJ7329">
        <v>106.10680660281599</v>
      </c>
      <c r="AK7329">
        <v>26.523510566046699</v>
      </c>
      <c r="AL7329">
        <v>89.942718381201104</v>
      </c>
      <c r="AM7329">
        <v>93.165099546189495</v>
      </c>
      <c r="AN7329">
        <v>1.0000000176344399</v>
      </c>
    </row>
    <row r="7330" spans="1:40" x14ac:dyDescent="0.25">
      <c r="A7330" t="str">
        <f>"20190312154108901"</f>
        <v>20190312154108901</v>
      </c>
      <c r="B7330" t="str">
        <f>"1552376468893323"</f>
        <v>1552376468893323</v>
      </c>
      <c r="C7330" t="s">
        <v>40</v>
      </c>
      <c r="D7330">
        <v>4.3266859999999996</v>
      </c>
      <c r="E7330">
        <v>0.43908639999999999</v>
      </c>
      <c r="F7330" t="s">
        <v>42</v>
      </c>
      <c r="G7330">
        <v>-391.00630000000001</v>
      </c>
      <c r="H7330" s="1">
        <v>-5.1891159999999996E-6</v>
      </c>
      <c r="I7330">
        <v>14.219580000000001</v>
      </c>
      <c r="J7330">
        <v>-411.94600000000003</v>
      </c>
      <c r="K7330">
        <v>1.1103700000000001</v>
      </c>
      <c r="L7330">
        <v>30.554079999999999</v>
      </c>
      <c r="M7330">
        <v>0.58730830000000001</v>
      </c>
      <c r="N7330">
        <v>0</v>
      </c>
      <c r="O7330">
        <v>-0.80933520000000003</v>
      </c>
      <c r="P7330">
        <v>0.63048519999999997</v>
      </c>
      <c r="Q7330">
        <v>-5.4529510000000002E-3</v>
      </c>
      <c r="R7330">
        <v>-0.77618259999999994</v>
      </c>
      <c r="S7330">
        <v>2.4238590000000002</v>
      </c>
      <c r="T7330">
        <v>-0.12807189999999999</v>
      </c>
      <c r="U7330">
        <v>-1.8956599999999999</v>
      </c>
      <c r="V7330">
        <v>-5.441911E-2</v>
      </c>
      <c r="W7330">
        <v>1.194779E-3</v>
      </c>
      <c r="X7330">
        <v>0.99851749999999995</v>
      </c>
      <c r="Y7330">
        <v>-0.27505400000000002</v>
      </c>
      <c r="Z7330">
        <v>3.7088790000000003E-2</v>
      </c>
      <c r="AA7330">
        <v>0.96071309999999999</v>
      </c>
      <c r="AB7330">
        <v>18</v>
      </c>
      <c r="AC7330">
        <v>20.939699999999899</v>
      </c>
      <c r="AD7330">
        <v>-1.1103751891159901</v>
      </c>
      <c r="AE7330">
        <v>-16.334499999999998</v>
      </c>
      <c r="AF7330">
        <v>-7.3411828076194201</v>
      </c>
      <c r="AG7330">
        <v>-1.1103751891159901</v>
      </c>
      <c r="AH7330">
        <v>25.474193729076099</v>
      </c>
      <c r="AI7330">
        <v>92.3983592942607</v>
      </c>
      <c r="AJ7330">
        <v>106.075985008404</v>
      </c>
      <c r="AK7330">
        <v>26.534137337060599</v>
      </c>
      <c r="AL7330">
        <v>89.931544191781597</v>
      </c>
      <c r="AM7330">
        <v>93.119528464066093</v>
      </c>
      <c r="AN7330">
        <v>1.0000000324181499</v>
      </c>
    </row>
    <row r="7331" spans="1:40" x14ac:dyDescent="0.25">
      <c r="A7331" t="str">
        <f>"20190312154108911"</f>
        <v>20190312154108911</v>
      </c>
      <c r="B7331" t="str">
        <f>"1552376468904060"</f>
        <v>1552376468904060</v>
      </c>
      <c r="C7331" t="s">
        <v>40</v>
      </c>
      <c r="D7331">
        <v>4.1513749999999998</v>
      </c>
      <c r="E7331">
        <v>0.43926999999999999</v>
      </c>
      <c r="F7331" t="s">
        <v>86</v>
      </c>
      <c r="G7331">
        <v>-388.42669999999998</v>
      </c>
      <c r="H7331">
        <v>3.260834E-2</v>
      </c>
      <c r="I7331">
        <v>9.6163240000000005</v>
      </c>
      <c r="J7331">
        <v>-411.89229999999998</v>
      </c>
      <c r="K7331">
        <v>1.1104000000000001</v>
      </c>
      <c r="L7331">
        <v>30.481839999999998</v>
      </c>
      <c r="M7331">
        <v>0.58807180000000003</v>
      </c>
      <c r="N7331">
        <v>0</v>
      </c>
      <c r="O7331">
        <v>-0.80878079999999997</v>
      </c>
      <c r="P7331">
        <v>0.63103260000000005</v>
      </c>
      <c r="Q7331">
        <v>-5.1134960000000004E-3</v>
      </c>
      <c r="R7331">
        <v>-0.77573970000000003</v>
      </c>
      <c r="S7331">
        <v>2.2697750000000001</v>
      </c>
      <c r="T7331">
        <v>-0.1040111</v>
      </c>
      <c r="U7331">
        <v>-2.0206300000000001</v>
      </c>
      <c r="V7331">
        <v>-5.41815E-2</v>
      </c>
      <c r="W7331">
        <v>1.505199E-3</v>
      </c>
      <c r="X7331">
        <v>0.99853000000000003</v>
      </c>
      <c r="Y7331">
        <v>-0.21266199999999999</v>
      </c>
      <c r="Z7331">
        <v>2.983367E-2</v>
      </c>
      <c r="AA7331">
        <v>0.97667029999999999</v>
      </c>
      <c r="AB7331">
        <v>18</v>
      </c>
      <c r="AC7331">
        <v>23.465599999999899</v>
      </c>
      <c r="AD7331">
        <v>-1.0777916599999999</v>
      </c>
      <c r="AE7331">
        <v>-20.865516</v>
      </c>
      <c r="AF7331">
        <v>-6.7003628585050903</v>
      </c>
      <c r="AG7331">
        <v>-1.0777916599999999</v>
      </c>
      <c r="AH7331">
        <v>30.639681923199301</v>
      </c>
      <c r="AI7331">
        <v>91.968151690141696</v>
      </c>
      <c r="AJ7331">
        <v>102.33539747418</v>
      </c>
      <c r="AK7331">
        <v>31.3822657826491</v>
      </c>
      <c r="AL7331">
        <v>89.913758420057903</v>
      </c>
      <c r="AM7331">
        <v>93.105895597467196</v>
      </c>
      <c r="AN7331">
        <v>1.00000003073313</v>
      </c>
    </row>
    <row r="7332" spans="1:40" x14ac:dyDescent="0.25">
      <c r="A7332" t="str">
        <f>"20190312154108922"</f>
        <v>20190312154108922</v>
      </c>
      <c r="B7332" t="str">
        <f>"1552376468913820"</f>
        <v>1552376468913820</v>
      </c>
      <c r="C7332" t="s">
        <v>40</v>
      </c>
      <c r="D7332">
        <v>4.1699190000000002</v>
      </c>
      <c r="E7332">
        <v>0.4395155</v>
      </c>
      <c r="F7332" t="s">
        <v>86</v>
      </c>
      <c r="G7332">
        <v>-388.43740000000003</v>
      </c>
      <c r="H7332">
        <v>5.5128240000000002E-2</v>
      </c>
      <c r="I7332">
        <v>9.6111830000000005</v>
      </c>
      <c r="J7332">
        <v>-411.84140000000002</v>
      </c>
      <c r="K7332">
        <v>1.1104419999999999</v>
      </c>
      <c r="L7332">
        <v>30.413599999999999</v>
      </c>
      <c r="M7332">
        <v>0.588812</v>
      </c>
      <c r="N7332">
        <v>0</v>
      </c>
      <c r="O7332">
        <v>-0.80824200000000002</v>
      </c>
      <c r="P7332">
        <v>0.63164500000000001</v>
      </c>
      <c r="Q7332">
        <v>-5.324896E-3</v>
      </c>
      <c r="R7332">
        <v>-0.77523949999999997</v>
      </c>
      <c r="S7332">
        <v>2.270111</v>
      </c>
      <c r="T7332">
        <v>-0.1021357</v>
      </c>
      <c r="U7332">
        <v>-2.0199889999999998</v>
      </c>
      <c r="V7332">
        <v>-5.405629E-2</v>
      </c>
      <c r="W7332">
        <v>1.275841E-3</v>
      </c>
      <c r="X7332">
        <v>0.99853709999999996</v>
      </c>
      <c r="Y7332">
        <v>-0.21200769999999999</v>
      </c>
      <c r="Z7332">
        <v>2.9275800000000001E-2</v>
      </c>
      <c r="AA7332">
        <v>0.97682939999999996</v>
      </c>
      <c r="AB7332">
        <v>18</v>
      </c>
      <c r="AC7332">
        <v>23.404</v>
      </c>
      <c r="AD7332">
        <v>-1.05531376</v>
      </c>
      <c r="AE7332">
        <v>-20.802416999999998</v>
      </c>
      <c r="AF7332">
        <v>-6.6599692975879599</v>
      </c>
      <c r="AG7332">
        <v>-1.05531376</v>
      </c>
      <c r="AH7332">
        <v>30.559924622595801</v>
      </c>
      <c r="AI7332">
        <v>91.932464092036</v>
      </c>
      <c r="AJ7332">
        <v>102.294323001655</v>
      </c>
      <c r="AK7332">
        <v>31.295013518380198</v>
      </c>
      <c r="AL7332">
        <v>89.926899677378202</v>
      </c>
      <c r="AM7332">
        <v>93.098710084059803</v>
      </c>
      <c r="AN7332">
        <v>1.00000002516761</v>
      </c>
    </row>
    <row r="7333" spans="1:40" x14ac:dyDescent="0.25">
      <c r="A7333" t="str">
        <f>"20190312154108933"</f>
        <v>20190312154108933</v>
      </c>
      <c r="B7333" t="str">
        <f>"1552376468923579"</f>
        <v>1552376468923579</v>
      </c>
      <c r="C7333" t="s">
        <v>40</v>
      </c>
      <c r="D7333">
        <v>4.1566390000000002</v>
      </c>
      <c r="E7333">
        <v>0.43973709999999999</v>
      </c>
      <c r="F7333" t="s">
        <v>86</v>
      </c>
      <c r="G7333">
        <v>-388.45339999999999</v>
      </c>
      <c r="H7333">
        <v>5.6965849999999998E-2</v>
      </c>
      <c r="I7333">
        <v>9.6093460000000004</v>
      </c>
      <c r="J7333">
        <v>-411.78980000000001</v>
      </c>
      <c r="K7333">
        <v>1.1104810000000001</v>
      </c>
      <c r="L7333">
        <v>30.34442</v>
      </c>
      <c r="M7333">
        <v>0.58958080000000002</v>
      </c>
      <c r="N7333">
        <v>0</v>
      </c>
      <c r="O7333">
        <v>-0.8076816</v>
      </c>
      <c r="P7333">
        <v>0.63238609999999995</v>
      </c>
      <c r="Q7333">
        <v>-5.1383310000000003E-3</v>
      </c>
      <c r="R7333">
        <v>-0.7746364</v>
      </c>
      <c r="S7333">
        <v>2.2701720000000001</v>
      </c>
      <c r="T7333">
        <v>-0.10225629999999999</v>
      </c>
      <c r="U7333">
        <v>-2.0193789999999998</v>
      </c>
      <c r="V7333">
        <v>-5.4061039999999998E-2</v>
      </c>
      <c r="W7333">
        <v>1.4527469999999999E-3</v>
      </c>
      <c r="X7333">
        <v>0.9985366</v>
      </c>
      <c r="Y7333">
        <v>-0.21123700000000001</v>
      </c>
      <c r="Z7333">
        <v>2.9289829999999999E-2</v>
      </c>
      <c r="AA7333">
        <v>0.97699590000000003</v>
      </c>
      <c r="AB7333">
        <v>18</v>
      </c>
      <c r="AC7333">
        <v>23.336400000000001</v>
      </c>
      <c r="AD7333">
        <v>-1.05351515</v>
      </c>
      <c r="AE7333">
        <v>-20.735074000000001</v>
      </c>
      <c r="AF7333">
        <v>-6.6159931559268399</v>
      </c>
      <c r="AG7333">
        <v>-1.05351515</v>
      </c>
      <c r="AH7333">
        <v>30.472011607244202</v>
      </c>
      <c r="AI7333">
        <v>91.935061578777095</v>
      </c>
      <c r="AJ7333">
        <v>102.249768154801</v>
      </c>
      <c r="AK7333">
        <v>31.1997556240843</v>
      </c>
      <c r="AL7333">
        <v>89.916763700921805</v>
      </c>
      <c r="AM7333">
        <v>93.098983389973</v>
      </c>
      <c r="AN7333">
        <v>1.0000000240296401</v>
      </c>
    </row>
    <row r="7334" spans="1:40" x14ac:dyDescent="0.25">
      <c r="A7334" t="str">
        <f>"20190312154108944"</f>
        <v>20190312154108944</v>
      </c>
      <c r="B7334" t="str">
        <f>"1552376468933341"</f>
        <v>1552376468933341</v>
      </c>
      <c r="C7334" t="s">
        <v>40</v>
      </c>
      <c r="D7334">
        <v>4.1574999999999998</v>
      </c>
      <c r="E7334">
        <v>0.43982850000000001</v>
      </c>
      <c r="F7334" t="s">
        <v>86</v>
      </c>
      <c r="G7334">
        <v>-388.34350000000001</v>
      </c>
      <c r="H7334">
        <v>7.9985780000000006E-2</v>
      </c>
      <c r="I7334">
        <v>9.5019810000000007</v>
      </c>
      <c r="J7334">
        <v>-411.73989999999998</v>
      </c>
      <c r="K7334">
        <v>1.110525</v>
      </c>
      <c r="L7334">
        <v>30.277950000000001</v>
      </c>
      <c r="M7334">
        <v>0.59034690000000001</v>
      </c>
      <c r="N7334">
        <v>0</v>
      </c>
      <c r="O7334">
        <v>-0.80712159999999999</v>
      </c>
      <c r="P7334">
        <v>0.63296430000000004</v>
      </c>
      <c r="Q7334">
        <v>-5.3767859999999997E-3</v>
      </c>
      <c r="R7334">
        <v>-0.77416249999999998</v>
      </c>
      <c r="S7334">
        <v>2.2706300000000001</v>
      </c>
      <c r="T7334">
        <v>-9.9797129999999998E-2</v>
      </c>
      <c r="U7334">
        <v>-2.0184630000000001</v>
      </c>
      <c r="V7334">
        <v>-5.3859169999999998E-2</v>
      </c>
      <c r="W7334">
        <v>1.218144E-3</v>
      </c>
      <c r="X7334">
        <v>0.99854779999999999</v>
      </c>
      <c r="Y7334">
        <v>-0.2106461</v>
      </c>
      <c r="Z7334">
        <v>2.8566939999999999E-2</v>
      </c>
      <c r="AA7334">
        <v>0.97714489999999998</v>
      </c>
      <c r="AB7334">
        <v>18</v>
      </c>
      <c r="AC7334">
        <v>23.3963999999999</v>
      </c>
      <c r="AD7334">
        <v>-1.0305392200000001</v>
      </c>
      <c r="AE7334">
        <v>-20.775969</v>
      </c>
      <c r="AF7334">
        <v>-6.6116886291735701</v>
      </c>
      <c r="AG7334">
        <v>-1.0305392200000001</v>
      </c>
      <c r="AH7334">
        <v>30.548280200823399</v>
      </c>
      <c r="AI7334">
        <v>91.888435548214801</v>
      </c>
      <c r="AJ7334">
        <v>102.2123928477</v>
      </c>
      <c r="AK7334">
        <v>31.2725736203646</v>
      </c>
      <c r="AL7334">
        <v>89.930205472802797</v>
      </c>
      <c r="AM7334">
        <v>93.087399304824999</v>
      </c>
      <c r="AN7334">
        <v>1.0000000014763599</v>
      </c>
    </row>
    <row r="7335" spans="1:40" x14ac:dyDescent="0.25">
      <c r="A7335" t="str">
        <f>"20190312154108954"</f>
        <v>20190312154108954</v>
      </c>
      <c r="B7335" t="str">
        <f>"1552376468944076"</f>
        <v>1552376468944076</v>
      </c>
      <c r="C7335" t="s">
        <v>40</v>
      </c>
      <c r="D7335">
        <v>4.192564</v>
      </c>
      <c r="E7335">
        <v>0.43992290000000001</v>
      </c>
      <c r="F7335" t="s">
        <v>86</v>
      </c>
      <c r="G7335">
        <v>-388.44839999999999</v>
      </c>
      <c r="H7335">
        <v>7.470533E-2</v>
      </c>
      <c r="I7335">
        <v>9.5916060000000005</v>
      </c>
      <c r="J7335">
        <v>-411.68860000000001</v>
      </c>
      <c r="K7335">
        <v>1.110568</v>
      </c>
      <c r="L7335">
        <v>30.209589999999999</v>
      </c>
      <c r="M7335">
        <v>0.59114889999999998</v>
      </c>
      <c r="N7335">
        <v>0</v>
      </c>
      <c r="O7335">
        <v>-0.80653419999999998</v>
      </c>
      <c r="P7335">
        <v>0.63376269999999901</v>
      </c>
      <c r="Q7335">
        <v>-5.4976309999999898E-3</v>
      </c>
      <c r="R7335">
        <v>-0.77350799999999997</v>
      </c>
      <c r="S7335">
        <v>2.2713930000000002</v>
      </c>
      <c r="T7335">
        <v>-0.1010132</v>
      </c>
      <c r="U7335">
        <v>-2.017334</v>
      </c>
      <c r="V7335">
        <v>-5.3897269999999997E-2</v>
      </c>
      <c r="W7335">
        <v>1.107518E-3</v>
      </c>
      <c r="X7335">
        <v>0.99854589999999999</v>
      </c>
      <c r="Y7335">
        <v>-0.21010000000000001</v>
      </c>
      <c r="Z7335">
        <v>2.8894220000000002E-2</v>
      </c>
      <c r="AA7335">
        <v>0.97725280000000003</v>
      </c>
      <c r="AB7335">
        <v>18</v>
      </c>
      <c r="AC7335">
        <v>23.240200000000002</v>
      </c>
      <c r="AD7335">
        <v>-1.03586267</v>
      </c>
      <c r="AE7335">
        <v>-20.617984</v>
      </c>
      <c r="AF7335">
        <v>-6.5485869115436204</v>
      </c>
      <c r="AG7335">
        <v>-1.03586267</v>
      </c>
      <c r="AH7335">
        <v>30.334497194659001</v>
      </c>
      <c r="AI7335">
        <v>91.911769994361293</v>
      </c>
      <c r="AJ7335">
        <v>102.18202009809499</v>
      </c>
      <c r="AK7335">
        <v>31.0505832805427</v>
      </c>
      <c r="AL7335">
        <v>89.936543881692202</v>
      </c>
      <c r="AM7335">
        <v>93.089584970029904</v>
      </c>
      <c r="AN7335">
        <v>1.00000002835819</v>
      </c>
    </row>
    <row r="7336" spans="1:40" x14ac:dyDescent="0.25">
      <c r="A7336" t="str">
        <f>"20190312154108966"</f>
        <v>20190312154108966</v>
      </c>
      <c r="B7336" t="str">
        <f>"1552376468963595"</f>
        <v>1552376468963595</v>
      </c>
      <c r="C7336" t="s">
        <v>40</v>
      </c>
      <c r="D7336">
        <v>4.144171</v>
      </c>
      <c r="E7336">
        <v>0.43979800000000002</v>
      </c>
      <c r="F7336" t="s">
        <v>86</v>
      </c>
      <c r="G7336">
        <v>-388.44909999999999</v>
      </c>
      <c r="H7336">
        <v>6.0641769999999998E-2</v>
      </c>
      <c r="I7336">
        <v>9.6056690000000007</v>
      </c>
      <c r="J7336">
        <v>-411.6345</v>
      </c>
      <c r="K7336">
        <v>1.1106210000000001</v>
      </c>
      <c r="L7336">
        <v>30.137820000000001</v>
      </c>
      <c r="M7336">
        <v>0.59202900000000003</v>
      </c>
      <c r="N7336">
        <v>0</v>
      </c>
      <c r="O7336">
        <v>-0.8058883</v>
      </c>
      <c r="P7336">
        <v>0.63457859999999999</v>
      </c>
      <c r="Q7336">
        <v>-6.0222289999999996E-3</v>
      </c>
      <c r="R7336">
        <v>-0.77283519999999895</v>
      </c>
      <c r="S7336">
        <v>2.2730410000000001</v>
      </c>
      <c r="T7336">
        <v>-0.102692699999999</v>
      </c>
      <c r="U7336">
        <v>-2.0152589999999999</v>
      </c>
      <c r="V7336">
        <v>-5.3862060000000003E-2</v>
      </c>
      <c r="W7336">
        <v>6.130377E-4</v>
      </c>
      <c r="X7336">
        <v>0.9985482</v>
      </c>
      <c r="Y7336">
        <v>-0.20987130000000001</v>
      </c>
      <c r="Z7336">
        <v>2.935459E-2</v>
      </c>
      <c r="AA7336">
        <v>0.97728820000000005</v>
      </c>
      <c r="AB7336">
        <v>18</v>
      </c>
      <c r="AC7336">
        <v>23.185400000000001</v>
      </c>
      <c r="AD7336">
        <v>-1.0499792299999999</v>
      </c>
      <c r="AE7336">
        <v>-20.532150999999999</v>
      </c>
      <c r="AF7336">
        <v>-6.5218665624082401</v>
      </c>
      <c r="AG7336">
        <v>-1.0499792299999999</v>
      </c>
      <c r="AH7336">
        <v>30.2389837361969</v>
      </c>
      <c r="AI7336">
        <v>91.944000440328693</v>
      </c>
      <c r="AJ7336">
        <v>102.170974459777</v>
      </c>
      <c r="AK7336">
        <v>30.952113615055001</v>
      </c>
      <c r="AL7336">
        <v>89.964875524996103</v>
      </c>
      <c r="AM7336">
        <v>93.087563414956193</v>
      </c>
      <c r="AN7336">
        <v>1.0000000025229501</v>
      </c>
    </row>
    <row r="7337" spans="1:40" x14ac:dyDescent="0.25">
      <c r="A7337" t="str">
        <f>"20190312154108978"</f>
        <v>20190312154108978</v>
      </c>
      <c r="B7337" t="str">
        <f>"1552376468973356"</f>
        <v>1552376468973356</v>
      </c>
      <c r="C7337" t="s">
        <v>40</v>
      </c>
      <c r="D7337">
        <v>4.1453309999999997</v>
      </c>
      <c r="E7337">
        <v>0.43978800000000001</v>
      </c>
      <c r="F7337" t="s">
        <v>86</v>
      </c>
      <c r="G7337">
        <v>-388.42169999999999</v>
      </c>
      <c r="H7337">
        <v>2.8497330000000001E-2</v>
      </c>
      <c r="I7337">
        <v>9.6163240000000005</v>
      </c>
      <c r="J7337">
        <v>-411.58</v>
      </c>
      <c r="K7337">
        <v>1.1106750000000001</v>
      </c>
      <c r="L7337">
        <v>30.06561</v>
      </c>
      <c r="M7337">
        <v>0.59292599999999995</v>
      </c>
      <c r="N7337">
        <v>0</v>
      </c>
      <c r="O7337">
        <v>-0.80522819999999995</v>
      </c>
      <c r="P7337">
        <v>0.63538240000000001</v>
      </c>
      <c r="Q7337">
        <v>-6.1827499999999999E-3</v>
      </c>
      <c r="R7337">
        <v>-0.77217290000000005</v>
      </c>
      <c r="S7337">
        <v>2.2760310000000001</v>
      </c>
      <c r="T7337">
        <v>-0.1061029</v>
      </c>
      <c r="U7337">
        <v>-2.012146</v>
      </c>
      <c r="V7337">
        <v>-5.3789219999999999E-2</v>
      </c>
      <c r="W7337">
        <v>4.890602E-4</v>
      </c>
      <c r="X7337">
        <v>0.9985522</v>
      </c>
      <c r="Y7337">
        <v>-0.21014340000000001</v>
      </c>
      <c r="Z7337">
        <v>3.0309920000000001E-2</v>
      </c>
      <c r="AA7337">
        <v>0.97720059999999997</v>
      </c>
      <c r="AB7337">
        <v>18</v>
      </c>
      <c r="AC7337">
        <v>23.158300000000001</v>
      </c>
      <c r="AD7337">
        <v>-1.0821776700000001</v>
      </c>
      <c r="AE7337">
        <v>-20.449285999999901</v>
      </c>
      <c r="AF7337">
        <v>-6.5149603033360499</v>
      </c>
      <c r="AG7337">
        <v>-1.0821776700000001</v>
      </c>
      <c r="AH7337">
        <v>30.161192544290301</v>
      </c>
      <c r="AI7337">
        <v>92.008594744084306</v>
      </c>
      <c r="AJ7337">
        <v>102.188892223309</v>
      </c>
      <c r="AK7337">
        <v>30.875772896516199</v>
      </c>
      <c r="AL7337">
        <v>89.971978913712206</v>
      </c>
      <c r="AM7337">
        <v>93.083383703833405</v>
      </c>
      <c r="AN7337">
        <v>1.0000000077464599</v>
      </c>
    </row>
    <row r="7338" spans="1:40" x14ac:dyDescent="0.25">
      <c r="A7338" t="str">
        <f>"20190312154108990"</f>
        <v>20190312154108990</v>
      </c>
      <c r="B7338" t="str">
        <f>"1552376468984092"</f>
        <v>1552376468984092</v>
      </c>
      <c r="C7338" t="s">
        <v>40</v>
      </c>
      <c r="D7338">
        <v>4.1270759999999997</v>
      </c>
      <c r="E7338">
        <v>0.43948379999999998</v>
      </c>
      <c r="F7338" t="s">
        <v>86</v>
      </c>
      <c r="G7338">
        <v>-388.40129999999999</v>
      </c>
      <c r="H7338">
        <v>1.2120739999999901E-3</v>
      </c>
      <c r="I7338">
        <v>9.6163240000000005</v>
      </c>
      <c r="J7338">
        <v>-411.51679999999999</v>
      </c>
      <c r="K7338">
        <v>1.110741</v>
      </c>
      <c r="L7338">
        <v>29.98245</v>
      </c>
      <c r="M7338">
        <v>0.59401630000000005</v>
      </c>
      <c r="N7338">
        <v>0</v>
      </c>
      <c r="O7338">
        <v>-0.80442349999999996</v>
      </c>
      <c r="P7338">
        <v>0.63631959999999999</v>
      </c>
      <c r="Q7338">
        <v>-6.5264650000000004E-3</v>
      </c>
      <c r="R7338">
        <v>-0.77139829999999998</v>
      </c>
      <c r="S7338">
        <v>2.2780459999999998</v>
      </c>
      <c r="T7338">
        <v>-0.1090401</v>
      </c>
      <c r="U7338">
        <v>-2.0097960000000001</v>
      </c>
      <c r="V7338">
        <v>-5.3649710000000003E-2</v>
      </c>
      <c r="W7338">
        <v>2.144019E-4</v>
      </c>
      <c r="X7338">
        <v>0.9985598</v>
      </c>
      <c r="Y7338">
        <v>-0.2097908</v>
      </c>
      <c r="Z7338">
        <v>3.112003E-2</v>
      </c>
      <c r="AA7338">
        <v>0.97725090000000003</v>
      </c>
      <c r="AB7338">
        <v>18</v>
      </c>
      <c r="AC7338">
        <v>23.115500000000001</v>
      </c>
      <c r="AD7338">
        <v>-1.1095289259999901</v>
      </c>
      <c r="AE7338">
        <v>-20.366126000000001</v>
      </c>
      <c r="AF7338">
        <v>-6.4885786749995802</v>
      </c>
      <c r="AG7338">
        <v>-1.1095289259999901</v>
      </c>
      <c r="AH7338">
        <v>30.075678685850001</v>
      </c>
      <c r="AI7338">
        <v>92.065279460727396</v>
      </c>
      <c r="AJ7338">
        <v>102.174493795537</v>
      </c>
      <c r="AK7338">
        <v>30.787646160006801</v>
      </c>
      <c r="AL7338">
        <v>89.987715675987104</v>
      </c>
      <c r="AM7338">
        <v>93.075378518919393</v>
      </c>
      <c r="AN7338">
        <v>1.00000000576364</v>
      </c>
    </row>
    <row r="7339" spans="1:40" x14ac:dyDescent="0.25">
      <c r="A7339" t="str">
        <f>"20190312154109000"</f>
        <v>20190312154109000</v>
      </c>
      <c r="B7339" t="str">
        <f>"1552376468993852"</f>
        <v>1552376468993852</v>
      </c>
      <c r="C7339" t="s">
        <v>40</v>
      </c>
      <c r="D7339">
        <v>4.1310219999999997</v>
      </c>
      <c r="E7339">
        <v>0.43931160000000002</v>
      </c>
      <c r="F7339" t="s">
        <v>86</v>
      </c>
      <c r="G7339">
        <v>-389.13589999999999</v>
      </c>
      <c r="H7339" s="1">
        <v>-2.805804E-6</v>
      </c>
      <c r="I7339">
        <v>10.319839999999999</v>
      </c>
      <c r="J7339">
        <v>-411.46769999999998</v>
      </c>
      <c r="K7339">
        <v>1.1107929999999999</v>
      </c>
      <c r="L7339">
        <v>29.91788</v>
      </c>
      <c r="M7339">
        <v>0.59487639999999997</v>
      </c>
      <c r="N7339">
        <v>0</v>
      </c>
      <c r="O7339">
        <v>-0.80378700000000003</v>
      </c>
      <c r="P7339">
        <v>0.63705119999999904</v>
      </c>
      <c r="Q7339">
        <v>-7.0409790000000002E-3</v>
      </c>
      <c r="R7339">
        <v>-0.77078939999999996</v>
      </c>
      <c r="S7339">
        <v>2.2825009999999999</v>
      </c>
      <c r="T7339">
        <v>-0.1132785</v>
      </c>
      <c r="U7339">
        <v>-2.00528</v>
      </c>
      <c r="V7339">
        <v>-5.3530189999999998E-2</v>
      </c>
      <c r="W7339">
        <v>-2.4165739999999999E-4</v>
      </c>
      <c r="X7339">
        <v>0.99856619999999996</v>
      </c>
      <c r="Y7339">
        <v>-0.21074670000000001</v>
      </c>
      <c r="Z7339">
        <v>3.2315209999999997E-2</v>
      </c>
      <c r="AA7339">
        <v>0.97700640000000005</v>
      </c>
      <c r="AB7339">
        <v>18</v>
      </c>
      <c r="AC7339">
        <v>22.331799999999902</v>
      </c>
      <c r="AD7339">
        <v>-1.1107958058039999</v>
      </c>
      <c r="AE7339">
        <v>-19.598040000000001</v>
      </c>
      <c r="AF7339">
        <v>-6.2829700832373696</v>
      </c>
      <c r="AG7339">
        <v>-1.1107958058039999</v>
      </c>
      <c r="AH7339">
        <v>28.997485743174199</v>
      </c>
      <c r="AI7339">
        <v>92.144032480955701</v>
      </c>
      <c r="AJ7339">
        <v>102.22546522891101</v>
      </c>
      <c r="AK7339">
        <v>29.691139415903798</v>
      </c>
      <c r="AL7339">
        <v>90.013845949274497</v>
      </c>
      <c r="AM7339">
        <v>93.068520716506498</v>
      </c>
      <c r="AN7339">
        <v>0.99999999771108705</v>
      </c>
    </row>
    <row r="7340" spans="1:40" x14ac:dyDescent="0.25">
      <c r="A7340" t="str">
        <f>"20190312154109011"</f>
        <v>20190312154109011</v>
      </c>
      <c r="B7340" t="str">
        <f>"1552376469003611"</f>
        <v>1552376469003611</v>
      </c>
      <c r="C7340" t="s">
        <v>40</v>
      </c>
      <c r="D7340">
        <v>4.1182699999999999</v>
      </c>
      <c r="E7340">
        <v>0.43908580000000003</v>
      </c>
      <c r="F7340" t="s">
        <v>86</v>
      </c>
      <c r="G7340">
        <v>-389.90559999999999</v>
      </c>
      <c r="H7340" s="1">
        <v>-2.3217350000000001E-6</v>
      </c>
      <c r="I7340">
        <v>11.028280000000001</v>
      </c>
      <c r="J7340">
        <v>-411.41550000000001</v>
      </c>
      <c r="K7340">
        <v>1.1108469999999999</v>
      </c>
      <c r="L7340">
        <v>29.849609999999998</v>
      </c>
      <c r="M7340">
        <v>0.59581660000000003</v>
      </c>
      <c r="N7340">
        <v>0</v>
      </c>
      <c r="O7340">
        <v>-0.80308979999999996</v>
      </c>
      <c r="P7340">
        <v>0.63766969999999901</v>
      </c>
      <c r="Q7340">
        <v>-7.2594299999999999E-3</v>
      </c>
      <c r="R7340">
        <v>-0.77027559999999995</v>
      </c>
      <c r="S7340">
        <v>2.285431</v>
      </c>
      <c r="T7340">
        <v>-0.1177367</v>
      </c>
      <c r="U7340">
        <v>-2.002167</v>
      </c>
      <c r="V7340">
        <v>-5.316307E-2</v>
      </c>
      <c r="W7340">
        <v>-3.868408E-4</v>
      </c>
      <c r="X7340">
        <v>0.99858579999999997</v>
      </c>
      <c r="Y7340">
        <v>-0.21093780000000001</v>
      </c>
      <c r="Z7340">
        <v>3.356307E-2</v>
      </c>
      <c r="AA7340">
        <v>0.97692310000000004</v>
      </c>
      <c r="AB7340">
        <v>18</v>
      </c>
      <c r="AC7340">
        <v>21.509899999999998</v>
      </c>
      <c r="AD7340">
        <v>-1.110849321735</v>
      </c>
      <c r="AE7340">
        <v>-18.82133</v>
      </c>
      <c r="AF7340">
        <v>-6.05132922807217</v>
      </c>
      <c r="AG7340">
        <v>-1.110849321735</v>
      </c>
      <c r="AH7340">
        <v>27.889734380767699</v>
      </c>
      <c r="AI7340">
        <v>92.229075702032404</v>
      </c>
      <c r="AJ7340">
        <v>102.24190561944</v>
      </c>
      <c r="AK7340">
        <v>28.560284583174202</v>
      </c>
      <c r="AL7340">
        <v>90.022164345053397</v>
      </c>
      <c r="AM7340">
        <v>93.047456332769897</v>
      </c>
      <c r="AN7340">
        <v>1.00000003080963</v>
      </c>
    </row>
    <row r="7341" spans="1:40" x14ac:dyDescent="0.25">
      <c r="A7341" t="str">
        <f>"20190312154109024"</f>
        <v>20190312154109024</v>
      </c>
      <c r="B7341" t="str">
        <f>"1552376469013372"</f>
        <v>1552376469013372</v>
      </c>
      <c r="C7341" t="s">
        <v>40</v>
      </c>
      <c r="D7341">
        <v>4.1543419999999998</v>
      </c>
      <c r="E7341">
        <v>0.4389924</v>
      </c>
      <c r="F7341" t="s">
        <v>42</v>
      </c>
      <c r="G7341">
        <v>-390.42660000000001</v>
      </c>
      <c r="H7341" s="1">
        <v>-5.9431349999999998E-6</v>
      </c>
      <c r="I7341">
        <v>11.513680000000001</v>
      </c>
      <c r="J7341">
        <v>-411.3587</v>
      </c>
      <c r="K7341">
        <v>1.110903</v>
      </c>
      <c r="L7341">
        <v>29.77542</v>
      </c>
      <c r="M7341">
        <v>0.596862</v>
      </c>
      <c r="N7341">
        <v>0</v>
      </c>
      <c r="O7341">
        <v>-0.80231239999999904</v>
      </c>
      <c r="P7341">
        <v>0.63854040000000001</v>
      </c>
      <c r="Q7341">
        <v>-7.541496E-3</v>
      </c>
      <c r="R7341">
        <v>-0.76955180000000001</v>
      </c>
      <c r="S7341">
        <v>2.2883909999999998</v>
      </c>
      <c r="T7341">
        <v>-0.121115</v>
      </c>
      <c r="U7341">
        <v>-1.9991460000000001</v>
      </c>
      <c r="V7341">
        <v>-5.2992129999999998E-2</v>
      </c>
      <c r="W7341">
        <v>-5.8591630000000001E-4</v>
      </c>
      <c r="X7341">
        <v>0.9985948</v>
      </c>
      <c r="Y7341">
        <v>-0.21099229999999999</v>
      </c>
      <c r="Z7341">
        <v>3.4496390000000002E-2</v>
      </c>
      <c r="AA7341">
        <v>0.97687880000000005</v>
      </c>
      <c r="AB7341">
        <v>18</v>
      </c>
      <c r="AC7341">
        <v>20.932099999999899</v>
      </c>
      <c r="AD7341">
        <v>-1.1109089431350001</v>
      </c>
      <c r="AE7341">
        <v>-18.26174</v>
      </c>
      <c r="AF7341">
        <v>-5.8850815315939702</v>
      </c>
      <c r="AG7341">
        <v>-1.1109089431350001</v>
      </c>
      <c r="AH7341">
        <v>27.102535766183401</v>
      </c>
      <c r="AI7341">
        <v>92.293794653375599</v>
      </c>
      <c r="AJ7341">
        <v>102.251098618705</v>
      </c>
      <c r="AK7341">
        <v>27.756364103943799</v>
      </c>
      <c r="AL7341">
        <v>90.033570531653297</v>
      </c>
      <c r="AM7341">
        <v>93.037648627165197</v>
      </c>
      <c r="AN7341">
        <v>1.00000004186344</v>
      </c>
    </row>
    <row r="7342" spans="1:40" x14ac:dyDescent="0.25">
      <c r="A7342" t="str">
        <f>"20190312154109034"</f>
        <v>20190312154109034</v>
      </c>
      <c r="B7342" t="str">
        <f>"1552376469024107"</f>
        <v>1552376469024107</v>
      </c>
      <c r="C7342" t="s">
        <v>40</v>
      </c>
      <c r="D7342">
        <v>4.1523479999999999</v>
      </c>
      <c r="E7342">
        <v>0.43881559999999997</v>
      </c>
      <c r="F7342" t="s">
        <v>42</v>
      </c>
      <c r="G7342">
        <v>-390.90910000000002</v>
      </c>
      <c r="H7342" s="1">
        <v>-5.6358189999999998E-6</v>
      </c>
      <c r="I7342">
        <v>11.96049</v>
      </c>
      <c r="J7342">
        <v>-411.2978</v>
      </c>
      <c r="K7342">
        <v>1.110962</v>
      </c>
      <c r="L7342">
        <v>29.696169999999999</v>
      </c>
      <c r="M7342">
        <v>0.59800609999999998</v>
      </c>
      <c r="N7342">
        <v>0</v>
      </c>
      <c r="O7342">
        <v>-0.80145900000000003</v>
      </c>
      <c r="P7342">
        <v>0.63959460000000001</v>
      </c>
      <c r="Q7342">
        <v>-8.0749489999999997E-3</v>
      </c>
      <c r="R7342">
        <v>-0.76867010000000002</v>
      </c>
      <c r="S7342">
        <v>2.291229</v>
      </c>
      <c r="T7342">
        <v>-0.1244692</v>
      </c>
      <c r="U7342">
        <v>-1.9960329999999999</v>
      </c>
      <c r="V7342">
        <v>-5.2937350000000001E-2</v>
      </c>
      <c r="W7342">
        <v>-1.0265389999999999E-3</v>
      </c>
      <c r="X7342">
        <v>0.99859730000000002</v>
      </c>
      <c r="Y7342">
        <v>-0.21092060000000001</v>
      </c>
      <c r="Z7342">
        <v>3.541863E-2</v>
      </c>
      <c r="AA7342">
        <v>0.97686130000000004</v>
      </c>
      <c r="AB7342">
        <v>18</v>
      </c>
      <c r="AC7342">
        <v>20.388699999999901</v>
      </c>
      <c r="AD7342">
        <v>-1.1109676358189999</v>
      </c>
      <c r="AE7342">
        <v>-17.735679999999999</v>
      </c>
      <c r="AF7342">
        <v>-5.7251354705610398</v>
      </c>
      <c r="AG7342">
        <v>-1.1109676358189999</v>
      </c>
      <c r="AH7342">
        <v>26.363118226078399</v>
      </c>
      <c r="AI7342">
        <v>92.358171151307701</v>
      </c>
      <c r="AJ7342">
        <v>102.25236894808999</v>
      </c>
      <c r="AK7342">
        <v>27.000470881936501</v>
      </c>
      <c r="AL7342">
        <v>90.058816362995003</v>
      </c>
      <c r="AM7342">
        <v>93.034506782159696</v>
      </c>
      <c r="AN7342">
        <v>0.99999999218731495</v>
      </c>
    </row>
    <row r="7343" spans="1:40" x14ac:dyDescent="0.25">
      <c r="A7343" t="str">
        <f>"20190312154109045"</f>
        <v>20190312154109045</v>
      </c>
      <c r="B7343" t="str">
        <f>"1552376469033867"</f>
        <v>1552376469033867</v>
      </c>
      <c r="C7343" t="s">
        <v>40</v>
      </c>
      <c r="D7343">
        <v>4.1420649999999997</v>
      </c>
      <c r="E7343">
        <v>0.438697</v>
      </c>
      <c r="F7343" t="s">
        <v>42</v>
      </c>
      <c r="G7343">
        <v>-391.44119999999998</v>
      </c>
      <c r="H7343" s="1">
        <v>-5.2953559999999998E-6</v>
      </c>
      <c r="I7343">
        <v>12.46185</v>
      </c>
      <c r="J7343">
        <v>-411.24759999999998</v>
      </c>
      <c r="K7343">
        <v>1.1109990000000001</v>
      </c>
      <c r="L7343">
        <v>29.6312</v>
      </c>
      <c r="M7343">
        <v>0.59898050000000003</v>
      </c>
      <c r="N7343">
        <v>0</v>
      </c>
      <c r="O7343">
        <v>-0.80073030000000001</v>
      </c>
      <c r="P7343">
        <v>0.64060039999999996</v>
      </c>
      <c r="Q7343">
        <v>-8.3085539999999992E-3</v>
      </c>
      <c r="R7343">
        <v>-0.767829599999999</v>
      </c>
      <c r="S7343">
        <v>2.2949519999999999</v>
      </c>
      <c r="T7343">
        <v>-0.12840180000000001</v>
      </c>
      <c r="U7343">
        <v>-1.9918819999999999</v>
      </c>
      <c r="V7343">
        <v>-5.3031139999999997E-2</v>
      </c>
      <c r="W7343">
        <v>-1.182298E-3</v>
      </c>
      <c r="X7343">
        <v>0.99859209999999998</v>
      </c>
      <c r="Y7343">
        <v>-0.21148610000000001</v>
      </c>
      <c r="Z7343">
        <v>3.6516159999999999E-2</v>
      </c>
      <c r="AA7343">
        <v>0.97669859999999997</v>
      </c>
      <c r="AB7343">
        <v>18</v>
      </c>
      <c r="AC7343">
        <v>19.8064</v>
      </c>
      <c r="AD7343">
        <v>-1.111004295356</v>
      </c>
      <c r="AE7343">
        <v>-17.169350000000001</v>
      </c>
      <c r="AF7343">
        <v>-5.5656289093334204</v>
      </c>
      <c r="AG7343">
        <v>-1.111004295356</v>
      </c>
      <c r="AH7343">
        <v>25.566419589292799</v>
      </c>
      <c r="AI7343">
        <v>92.431383150039395</v>
      </c>
      <c r="AJ7343">
        <v>102.28127495838</v>
      </c>
      <c r="AK7343">
        <v>26.188783215653299</v>
      </c>
      <c r="AL7343">
        <v>90.067740705311195</v>
      </c>
      <c r="AM7343">
        <v>93.039888794547693</v>
      </c>
      <c r="AN7343">
        <v>0.99999994091033295</v>
      </c>
    </row>
    <row r="7344" spans="1:40" x14ac:dyDescent="0.25">
      <c r="A7344" t="str">
        <f>"20190312154109062"</f>
        <v>20190312154109062</v>
      </c>
      <c r="B7344" t="str">
        <f>"1552376469053387"</f>
        <v>1552376469053387</v>
      </c>
      <c r="C7344" t="s">
        <v>40</v>
      </c>
      <c r="D7344">
        <v>4.1698510000000004</v>
      </c>
      <c r="E7344">
        <v>0.4385715</v>
      </c>
      <c r="F7344" t="s">
        <v>42</v>
      </c>
      <c r="G7344">
        <v>-391.73050000000001</v>
      </c>
      <c r="H7344" s="1">
        <v>-5.1078429999999997E-6</v>
      </c>
      <c r="I7344">
        <v>12.74807</v>
      </c>
      <c r="J7344">
        <v>-411.17140000000001</v>
      </c>
      <c r="K7344">
        <v>1.1110660000000001</v>
      </c>
      <c r="L7344">
        <v>29.53284</v>
      </c>
      <c r="M7344">
        <v>0.6004853</v>
      </c>
      <c r="N7344">
        <v>0</v>
      </c>
      <c r="O7344">
        <v>-0.79960129999999996</v>
      </c>
      <c r="P7344">
        <v>0.64203730000000003</v>
      </c>
      <c r="Q7344">
        <v>-8.832398E-3</v>
      </c>
      <c r="R7344">
        <v>-0.76662280000000005</v>
      </c>
      <c r="S7344">
        <v>2.2983699999999998</v>
      </c>
      <c r="T7344">
        <v>-0.13083399999999901</v>
      </c>
      <c r="U7344">
        <v>-1.9881899999999999</v>
      </c>
      <c r="V7344">
        <v>-5.3024450000000001E-2</v>
      </c>
      <c r="W7344">
        <v>-1.5858999999999999E-3</v>
      </c>
      <c r="X7344">
        <v>0.99859200000000004</v>
      </c>
      <c r="Y7344">
        <v>-0.21124090000000001</v>
      </c>
      <c r="Z7344">
        <v>3.7159980000000002E-2</v>
      </c>
      <c r="AA7344">
        <v>0.97672740000000002</v>
      </c>
      <c r="AB7344">
        <v>18</v>
      </c>
      <c r="AC7344">
        <v>19.440899999999999</v>
      </c>
      <c r="AD7344">
        <v>-1.11107110784299</v>
      </c>
      <c r="AE7344">
        <v>-16.784770000000002</v>
      </c>
      <c r="AF7344">
        <v>-5.4559021981701203</v>
      </c>
      <c r="AG7344">
        <v>-1.11107110784299</v>
      </c>
      <c r="AH7344">
        <v>25.048915806582301</v>
      </c>
      <c r="AI7344">
        <v>92.481641472897394</v>
      </c>
      <c r="AJ7344">
        <v>102.287673968242</v>
      </c>
      <c r="AK7344">
        <v>25.660271450004799</v>
      </c>
      <c r="AL7344">
        <v>90.090865410736995</v>
      </c>
      <c r="AM7344">
        <v>93.039506328535495</v>
      </c>
      <c r="AN7344">
        <v>1.0000000449202999</v>
      </c>
    </row>
    <row r="7345" spans="1:40" x14ac:dyDescent="0.25">
      <c r="A7345" t="str">
        <f>"20190312154109074"</f>
        <v>20190312154109074</v>
      </c>
      <c r="B7345" t="str">
        <f>"1552376469064126"</f>
        <v>1552376469064126</v>
      </c>
      <c r="C7345" t="s">
        <v>40</v>
      </c>
      <c r="D7345">
        <v>4.1708889999999998</v>
      </c>
      <c r="E7345">
        <v>0.43840089999999998</v>
      </c>
      <c r="F7345" t="s">
        <v>42</v>
      </c>
      <c r="G7345">
        <v>-392.24700000000001</v>
      </c>
      <c r="H7345" s="1">
        <v>-4.7773089999999996E-6</v>
      </c>
      <c r="I7345">
        <v>13.23484</v>
      </c>
      <c r="J7345">
        <v>-411.10410000000002</v>
      </c>
      <c r="K7345">
        <v>1.11112099999999</v>
      </c>
      <c r="L7345">
        <v>29.44641</v>
      </c>
      <c r="M7345">
        <v>0.60185359999999999</v>
      </c>
      <c r="N7345">
        <v>0</v>
      </c>
      <c r="O7345">
        <v>-0.79857060000000002</v>
      </c>
      <c r="P7345">
        <v>0.64376460000000002</v>
      </c>
      <c r="Q7345">
        <v>-9.0025939999999992E-3</v>
      </c>
      <c r="R7345">
        <v>-0.76517080000000004</v>
      </c>
      <c r="S7345">
        <v>2.302765</v>
      </c>
      <c r="T7345">
        <v>-0.13519819999999999</v>
      </c>
      <c r="U7345">
        <v>-1.983185</v>
      </c>
      <c r="V7345">
        <v>-5.3566780000000001E-2</v>
      </c>
      <c r="W7345">
        <v>-1.64969799999999E-3</v>
      </c>
      <c r="X7345">
        <v>0.99856290000000003</v>
      </c>
      <c r="Y7345">
        <v>-0.21166389999999999</v>
      </c>
      <c r="Z7345">
        <v>3.8363519999999998E-2</v>
      </c>
      <c r="AA7345">
        <v>0.97658929999999999</v>
      </c>
      <c r="AB7345">
        <v>18</v>
      </c>
      <c r="AC7345">
        <v>18.857099999999999</v>
      </c>
      <c r="AD7345">
        <v>-1.11112577730899</v>
      </c>
      <c r="AE7345">
        <v>-16.211569999999899</v>
      </c>
      <c r="AF7345">
        <v>-5.2913219052685996</v>
      </c>
      <c r="AG7345">
        <v>-1.11112577730899</v>
      </c>
      <c r="AH7345">
        <v>24.247583560358901</v>
      </c>
      <c r="AI7345">
        <v>92.563454055927707</v>
      </c>
      <c r="AJ7345">
        <v>102.310136125684</v>
      </c>
      <c r="AK7345">
        <v>24.843067373308902</v>
      </c>
      <c r="AL7345">
        <v>90.094520776373798</v>
      </c>
      <c r="AM7345">
        <v>93.070624287406403</v>
      </c>
      <c r="AN7345">
        <v>0.99999999333973399</v>
      </c>
    </row>
    <row r="7346" spans="1:40" x14ac:dyDescent="0.25">
      <c r="A7346" t="str">
        <f>"20190312154109091"</f>
        <v>20190312154109091</v>
      </c>
      <c r="B7346" t="str">
        <f>"1552376469083644"</f>
        <v>1552376469083644</v>
      </c>
      <c r="C7346" t="s">
        <v>40</v>
      </c>
      <c r="D7346">
        <v>4.1935529999999996</v>
      </c>
      <c r="E7346">
        <v>0.43815890000000002</v>
      </c>
      <c r="F7346" t="s">
        <v>42</v>
      </c>
      <c r="G7346">
        <v>-392.38200000000001</v>
      </c>
      <c r="H7346" s="1">
        <v>-4.6827799999999997E-6</v>
      </c>
      <c r="I7346">
        <v>13.408149999999999</v>
      </c>
      <c r="J7346">
        <v>-411.02550000000002</v>
      </c>
      <c r="K7346">
        <v>1.1111799999999901</v>
      </c>
      <c r="L7346">
        <v>29.346039999999999</v>
      </c>
      <c r="M7346">
        <v>0.60349419999999898</v>
      </c>
      <c r="N7346">
        <v>0</v>
      </c>
      <c r="O7346">
        <v>-0.79733030000000005</v>
      </c>
      <c r="P7346">
        <v>0.64615250000000002</v>
      </c>
      <c r="Q7346">
        <v>-9.3196949999999994E-3</v>
      </c>
      <c r="R7346">
        <v>-0.76315159999999904</v>
      </c>
      <c r="S7346">
        <v>2.3081049999999999</v>
      </c>
      <c r="T7346">
        <v>-0.1369821</v>
      </c>
      <c r="U7346">
        <v>-1.9772339999999999</v>
      </c>
      <c r="V7346">
        <v>-5.4634740000000001E-2</v>
      </c>
      <c r="W7346">
        <v>-1.838374E-3</v>
      </c>
      <c r="X7346">
        <v>0.99850470000000002</v>
      </c>
      <c r="Y7346">
        <v>-0.212205</v>
      </c>
      <c r="Z7346">
        <v>3.8826470000000002E-2</v>
      </c>
      <c r="AA7346">
        <v>0.97645349999999997</v>
      </c>
      <c r="AB7346">
        <v>18</v>
      </c>
      <c r="AC7346">
        <v>18.6435</v>
      </c>
      <c r="AD7346">
        <v>-1.1111846827799901</v>
      </c>
      <c r="AE7346">
        <v>-15.937889999999999</v>
      </c>
      <c r="AF7346">
        <v>-5.2360119099178002</v>
      </c>
      <c r="AG7346">
        <v>-1.1111846827799901</v>
      </c>
      <c r="AH7346">
        <v>23.910640480985101</v>
      </c>
      <c r="AI7346">
        <v>92.599253413678497</v>
      </c>
      <c r="AJ7346">
        <v>102.35179978077301</v>
      </c>
      <c r="AK7346">
        <v>24.502434171546501</v>
      </c>
      <c r="AL7346">
        <v>90.105331132257703</v>
      </c>
      <c r="AM7346">
        <v>93.131904777014</v>
      </c>
      <c r="AN7346">
        <v>0.99999998517795996</v>
      </c>
    </row>
    <row r="7347" spans="1:40" x14ac:dyDescent="0.25">
      <c r="A7347" t="str">
        <f>"20190312154109105"</f>
        <v>20190312154109105</v>
      </c>
      <c r="B7347" t="str">
        <f>"1552376469093404"</f>
        <v>1552376469093404</v>
      </c>
      <c r="C7347" t="s">
        <v>40</v>
      </c>
      <c r="D7347">
        <v>4.1673070000000001</v>
      </c>
      <c r="E7347">
        <v>0.43806919999999999</v>
      </c>
      <c r="F7347" t="s">
        <v>42</v>
      </c>
      <c r="G7347">
        <v>-392.67149999999998</v>
      </c>
      <c r="H7347" s="1">
        <v>-4.4864470000000002E-6</v>
      </c>
      <c r="I7347">
        <v>13.743359999999999</v>
      </c>
      <c r="J7347">
        <v>-410.95389999999998</v>
      </c>
      <c r="K7347">
        <v>1.111235</v>
      </c>
      <c r="L7347">
        <v>29.254909999999999</v>
      </c>
      <c r="M7347">
        <v>0.60502149999999999</v>
      </c>
      <c r="N7347">
        <v>0</v>
      </c>
      <c r="O7347">
        <v>-0.79617079999999996</v>
      </c>
      <c r="P7347">
        <v>0.64782259999999903</v>
      </c>
      <c r="Q7347">
        <v>-9.686053E-3</v>
      </c>
      <c r="R7347">
        <v>-0.76173019999999902</v>
      </c>
      <c r="S7347">
        <v>2.3157649999999999</v>
      </c>
      <c r="T7347">
        <v>-0.14020089999999999</v>
      </c>
      <c r="U7347">
        <v>-1.968628</v>
      </c>
      <c r="V7347">
        <v>-5.4908499999999999E-2</v>
      </c>
      <c r="W7347">
        <v>-2.077012E-3</v>
      </c>
      <c r="X7347">
        <v>0.99848919999999997</v>
      </c>
      <c r="Y7347">
        <v>-0.21399770000000001</v>
      </c>
      <c r="Z7347">
        <v>3.9714230000000003E-2</v>
      </c>
      <c r="AA7347">
        <v>0.97602650000000002</v>
      </c>
      <c r="AB7347">
        <v>18</v>
      </c>
      <c r="AC7347">
        <v>18.282399999999999</v>
      </c>
      <c r="AD7347">
        <v>-1.1112394864470001</v>
      </c>
      <c r="AE7347">
        <v>-15.5115499999999</v>
      </c>
      <c r="AF7347">
        <v>-5.1601649914616203</v>
      </c>
      <c r="AG7347">
        <v>-1.1112394864470001</v>
      </c>
      <c r="AH7347">
        <v>23.361619359955199</v>
      </c>
      <c r="AI7347">
        <v>92.659324222558098</v>
      </c>
      <c r="AJ7347">
        <v>102.45562035045</v>
      </c>
      <c r="AK7347">
        <v>23.950520141633302</v>
      </c>
      <c r="AL7347">
        <v>90.119004110739596</v>
      </c>
      <c r="AM7347">
        <v>93.147615197002693</v>
      </c>
      <c r="AN7347">
        <v>0.99999996993386797</v>
      </c>
    </row>
    <row r="7348" spans="1:40" x14ac:dyDescent="0.25">
      <c r="A7348" t="str">
        <f>"20190312154109116"</f>
        <v>20190312154109116</v>
      </c>
      <c r="B7348" t="str">
        <f>"1552376469113900"</f>
        <v>1552376469113900</v>
      </c>
      <c r="C7348" t="s">
        <v>40</v>
      </c>
      <c r="D7348">
        <v>4.1930069999999997</v>
      </c>
      <c r="E7348">
        <v>0.43797900000000001</v>
      </c>
      <c r="F7348" t="s">
        <v>42</v>
      </c>
      <c r="G7348">
        <v>-392.86149999999998</v>
      </c>
      <c r="H7348" s="1">
        <v>-4.359817E-6</v>
      </c>
      <c r="I7348">
        <v>13.95116</v>
      </c>
      <c r="J7348">
        <v>-410.89249999999998</v>
      </c>
      <c r="K7348">
        <v>1.1112820000000001</v>
      </c>
      <c r="L7348">
        <v>29.177219999999998</v>
      </c>
      <c r="M7348">
        <v>0.60634460000000001</v>
      </c>
      <c r="N7348">
        <v>0</v>
      </c>
      <c r="O7348">
        <v>-0.79516219999999904</v>
      </c>
      <c r="P7348">
        <v>0.64932919999999905</v>
      </c>
      <c r="Q7348">
        <v>-9.9460429999999999E-3</v>
      </c>
      <c r="R7348">
        <v>-0.76044259999999997</v>
      </c>
      <c r="S7348">
        <v>2.3206790000000002</v>
      </c>
      <c r="T7348">
        <v>-0.14253650000000001</v>
      </c>
      <c r="U7348">
        <v>-1.962982</v>
      </c>
      <c r="V7348">
        <v>-5.522556E-2</v>
      </c>
      <c r="W7348">
        <v>-2.222992E-3</v>
      </c>
      <c r="X7348">
        <v>0.99847140000000001</v>
      </c>
      <c r="Y7348">
        <v>-0.214751</v>
      </c>
      <c r="Z7348">
        <v>4.0344049999999999E-2</v>
      </c>
      <c r="AA7348">
        <v>0.97583520000000001</v>
      </c>
      <c r="AB7348">
        <v>18</v>
      </c>
      <c r="AC7348">
        <v>18.030999999999999</v>
      </c>
      <c r="AD7348">
        <v>-1.111286359817</v>
      </c>
      <c r="AE7348">
        <v>-15.22606</v>
      </c>
      <c r="AF7348">
        <v>-5.09419630556682</v>
      </c>
      <c r="AG7348">
        <v>-1.111286359817</v>
      </c>
      <c r="AH7348">
        <v>22.989939194901101</v>
      </c>
      <c r="AI7348">
        <v>92.701969084234193</v>
      </c>
      <c r="AJ7348">
        <v>102.493941225643</v>
      </c>
      <c r="AK7348">
        <v>23.573779874225</v>
      </c>
      <c r="AL7348">
        <v>90.127368168164693</v>
      </c>
      <c r="AM7348">
        <v>93.165810036205102</v>
      </c>
      <c r="AN7348">
        <v>0.99999997039435196</v>
      </c>
    </row>
    <row r="7349" spans="1:40" x14ac:dyDescent="0.25">
      <c r="A7349" t="str">
        <f>"20190312154109129"</f>
        <v>20190312154109129</v>
      </c>
      <c r="B7349" t="str">
        <f>"1552376469123660"</f>
        <v>1552376469123660</v>
      </c>
      <c r="C7349" t="s">
        <v>40</v>
      </c>
      <c r="D7349">
        <v>4.2599200000000002</v>
      </c>
      <c r="E7349">
        <v>0.43791760000000002</v>
      </c>
      <c r="F7349" t="s">
        <v>42</v>
      </c>
      <c r="G7349">
        <v>-393.05450000000002</v>
      </c>
      <c r="H7349" s="1">
        <v>-4.2324819999999996E-6</v>
      </c>
      <c r="I7349">
        <v>14.15457</v>
      </c>
      <c r="J7349">
        <v>-410.83120000000002</v>
      </c>
      <c r="K7349">
        <v>1.111332</v>
      </c>
      <c r="L7349">
        <v>29.10004</v>
      </c>
      <c r="M7349">
        <v>0.60770259999999998</v>
      </c>
      <c r="N7349">
        <v>0</v>
      </c>
      <c r="O7349">
        <v>-0.79412369999999899</v>
      </c>
      <c r="P7349">
        <v>0.65078069999999999</v>
      </c>
      <c r="Q7349">
        <v>-1.037422E-2</v>
      </c>
      <c r="R7349">
        <v>-0.75919510000000001</v>
      </c>
      <c r="S7349">
        <v>2.3249209999999998</v>
      </c>
      <c r="T7349">
        <v>-0.14483950000000001</v>
      </c>
      <c r="U7349">
        <v>-1.9579770000000001</v>
      </c>
      <c r="V7349">
        <v>-5.542739E-2</v>
      </c>
      <c r="W7349">
        <v>-2.5227560000000001E-3</v>
      </c>
      <c r="X7349">
        <v>0.99845950000000006</v>
      </c>
      <c r="Y7349">
        <v>-0.2151632</v>
      </c>
      <c r="Z7349">
        <v>4.0958429999999997E-2</v>
      </c>
      <c r="AA7349">
        <v>0.9757188</v>
      </c>
      <c r="AB7349">
        <v>18</v>
      </c>
      <c r="AC7349">
        <v>17.776700000000002</v>
      </c>
      <c r="AD7349">
        <v>-1.111336232482</v>
      </c>
      <c r="AE7349">
        <v>-14.94547</v>
      </c>
      <c r="AF7349">
        <v>-5.023159646591</v>
      </c>
      <c r="AG7349">
        <v>-1.111336232482</v>
      </c>
      <c r="AH7349">
        <v>22.6204404352004</v>
      </c>
      <c r="AI7349">
        <v>92.745883306867498</v>
      </c>
      <c r="AJ7349">
        <v>102.520106193827</v>
      </c>
      <c r="AK7349">
        <v>23.198093166017198</v>
      </c>
      <c r="AL7349">
        <v>90.144543429703305</v>
      </c>
      <c r="AM7349">
        <v>93.177394086816307</v>
      </c>
      <c r="AN7349">
        <v>0.999999966500148</v>
      </c>
    </row>
    <row r="7350" spans="1:40" x14ac:dyDescent="0.25">
      <c r="A7350" t="str">
        <f>"20190312154109143"</f>
        <v>20190312154109143</v>
      </c>
      <c r="B7350" t="str">
        <f>"1552376469133420"</f>
        <v>1552376469133420</v>
      </c>
      <c r="C7350" t="s">
        <v>40</v>
      </c>
      <c r="D7350">
        <v>4.2371970000000001</v>
      </c>
      <c r="E7350">
        <v>0.43793700000000002</v>
      </c>
      <c r="F7350" t="s">
        <v>42</v>
      </c>
      <c r="G7350">
        <v>-393.18169999999998</v>
      </c>
      <c r="H7350" s="1">
        <v>-4.1463779999999996E-6</v>
      </c>
      <c r="I7350">
        <v>14.301080000000001</v>
      </c>
      <c r="J7350">
        <v>-410.76280000000003</v>
      </c>
      <c r="K7350">
        <v>1.1113869999999999</v>
      </c>
      <c r="L7350">
        <v>29.014189999999999</v>
      </c>
      <c r="M7350">
        <v>0.60923329999999998</v>
      </c>
      <c r="N7350">
        <v>0</v>
      </c>
      <c r="O7350">
        <v>-0.79294819999999999</v>
      </c>
      <c r="P7350">
        <v>0.65234979999999998</v>
      </c>
      <c r="Q7350">
        <v>-1.079461E-2</v>
      </c>
      <c r="R7350">
        <v>-0.75784099999999999</v>
      </c>
      <c r="S7350">
        <v>2.3291930000000001</v>
      </c>
      <c r="T7350">
        <v>-0.14666189999999901</v>
      </c>
      <c r="U7350">
        <v>-1.953003</v>
      </c>
      <c r="V7350">
        <v>-5.5568279999999998E-2</v>
      </c>
      <c r="W7350">
        <v>-2.795124E-3</v>
      </c>
      <c r="X7350">
        <v>0.99845099999999998</v>
      </c>
      <c r="Y7350">
        <v>-0.2153639</v>
      </c>
      <c r="Z7350">
        <v>4.1426419999999999E-2</v>
      </c>
      <c r="AA7350">
        <v>0.97565480000000004</v>
      </c>
      <c r="AB7350">
        <v>18</v>
      </c>
      <c r="AC7350">
        <v>17.581099999999999</v>
      </c>
      <c r="AD7350">
        <v>-1.111391146378</v>
      </c>
      <c r="AE7350">
        <v>-14.71311</v>
      </c>
      <c r="AF7350">
        <v>-4.9656838257739597</v>
      </c>
      <c r="AG7350">
        <v>-1.111391146378</v>
      </c>
      <c r="AH7350">
        <v>22.326015503107101</v>
      </c>
      <c r="AI7350">
        <v>92.781967161659196</v>
      </c>
      <c r="AJ7350">
        <v>102.539438215676</v>
      </c>
      <c r="AK7350">
        <v>22.898562714344699</v>
      </c>
      <c r="AL7350">
        <v>90.160149013277007</v>
      </c>
      <c r="AM7350">
        <v>93.185481105015199</v>
      </c>
      <c r="AN7350">
        <v>1.00000002293066</v>
      </c>
    </row>
    <row r="7351" spans="1:40" x14ac:dyDescent="0.25">
      <c r="A7351" t="str">
        <f>"20190312154109155"</f>
        <v>20190312154109155</v>
      </c>
      <c r="B7351" t="str">
        <f>"1552376469144155"</f>
        <v>1552376469144155</v>
      </c>
      <c r="C7351" t="s">
        <v>40</v>
      </c>
      <c r="D7351">
        <v>4.2363359999999997</v>
      </c>
      <c r="E7351">
        <v>0.43792890000000001</v>
      </c>
      <c r="F7351" t="s">
        <v>42</v>
      </c>
      <c r="G7351">
        <v>-393.35469999999998</v>
      </c>
      <c r="H7351" s="1">
        <v>-4.0334339999999999E-6</v>
      </c>
      <c r="I7351">
        <v>14.47669</v>
      </c>
      <c r="J7351">
        <v>-410.69279999999998</v>
      </c>
      <c r="K7351">
        <v>1.111442</v>
      </c>
      <c r="L7351">
        <v>28.926760000000002</v>
      </c>
      <c r="M7351">
        <v>0.61082239999999999</v>
      </c>
      <c r="N7351">
        <v>0</v>
      </c>
      <c r="O7351">
        <v>-0.79172339999999997</v>
      </c>
      <c r="P7351">
        <v>0.6540859</v>
      </c>
      <c r="Q7351">
        <v>-1.150662E-2</v>
      </c>
      <c r="R7351">
        <v>-0.75633309999999998</v>
      </c>
      <c r="S7351">
        <v>2.3329770000000001</v>
      </c>
      <c r="T7351">
        <v>-0.1489453</v>
      </c>
      <c r="U7351">
        <v>-1.9482729999999999</v>
      </c>
      <c r="V7351">
        <v>-5.5858119999999997E-2</v>
      </c>
      <c r="W7351">
        <v>-3.3502599999999999E-3</v>
      </c>
      <c r="X7351">
        <v>0.99843309999999996</v>
      </c>
      <c r="Y7351">
        <v>-0.21532390000000001</v>
      </c>
      <c r="Z7351">
        <v>4.2020009999999997E-2</v>
      </c>
      <c r="AA7351">
        <v>0.97563820000000001</v>
      </c>
      <c r="AB7351">
        <v>18</v>
      </c>
      <c r="AC7351">
        <v>17.338099999999901</v>
      </c>
      <c r="AD7351">
        <v>-1.1114460334339999</v>
      </c>
      <c r="AE7351">
        <v>-14.450069999999901</v>
      </c>
      <c r="AF7351">
        <v>-4.8888693607543301</v>
      </c>
      <c r="AG7351">
        <v>-1.1114460334339999</v>
      </c>
      <c r="AH7351">
        <v>21.978433161178799</v>
      </c>
      <c r="AI7351">
        <v>92.826018278748606</v>
      </c>
      <c r="AJ7351">
        <v>102.54066465397101</v>
      </c>
      <c r="AK7351">
        <v>22.543022870328699</v>
      </c>
      <c r="AL7351">
        <v>90.191956116503604</v>
      </c>
      <c r="AM7351">
        <v>93.2021191387784</v>
      </c>
      <c r="AN7351">
        <v>1.0000000044938</v>
      </c>
    </row>
    <row r="7352" spans="1:40" x14ac:dyDescent="0.25">
      <c r="A7352" t="str">
        <f>"20190312154109168"</f>
        <v>20190312154109168</v>
      </c>
      <c r="B7352" t="str">
        <f>"1552376469163676"</f>
        <v>1552376469163676</v>
      </c>
      <c r="C7352" t="s">
        <v>40</v>
      </c>
      <c r="D7352">
        <v>4.2527439999999999</v>
      </c>
      <c r="E7352">
        <v>0.43804379999999998</v>
      </c>
      <c r="F7352" t="s">
        <v>42</v>
      </c>
      <c r="G7352">
        <v>-393.64339999999999</v>
      </c>
      <c r="H7352" s="1">
        <v>-3.847723E-6</v>
      </c>
      <c r="I7352">
        <v>14.75436</v>
      </c>
      <c r="J7352">
        <v>-410.63170000000002</v>
      </c>
      <c r="K7352">
        <v>1.111491</v>
      </c>
      <c r="L7352">
        <v>28.850860000000001</v>
      </c>
      <c r="M7352">
        <v>0.61224330000000005</v>
      </c>
      <c r="N7352">
        <v>0</v>
      </c>
      <c r="O7352">
        <v>-0.79062339999999998</v>
      </c>
      <c r="P7352">
        <v>0.65552310000000003</v>
      </c>
      <c r="Q7352">
        <v>-1.185931E-2</v>
      </c>
      <c r="R7352">
        <v>-0.75508209999999998</v>
      </c>
      <c r="S7352">
        <v>2.3372799999999998</v>
      </c>
      <c r="T7352">
        <v>-0.15236629999999901</v>
      </c>
      <c r="U7352">
        <v>-1.942871</v>
      </c>
      <c r="V7352">
        <v>-5.5965199999999903E-2</v>
      </c>
      <c r="W7352">
        <v>-3.563381E-3</v>
      </c>
      <c r="X7352">
        <v>0.99842640000000005</v>
      </c>
      <c r="Y7352">
        <v>-0.21574679999999999</v>
      </c>
      <c r="Z7352">
        <v>4.2944919999999998E-2</v>
      </c>
      <c r="AA7352">
        <v>0.9755045</v>
      </c>
      <c r="AB7352">
        <v>18</v>
      </c>
      <c r="AC7352">
        <v>16.988299999999999</v>
      </c>
      <c r="AD7352">
        <v>-1.111494847723</v>
      </c>
      <c r="AE7352">
        <v>-14.096499999999899</v>
      </c>
      <c r="AF7352">
        <v>-4.7888939038869296</v>
      </c>
      <c r="AG7352">
        <v>-1.111494847723</v>
      </c>
      <c r="AH7352">
        <v>21.492293201354698</v>
      </c>
      <c r="AI7352">
        <v>92.8897279216024</v>
      </c>
      <c r="AJ7352">
        <v>102.561394028173</v>
      </c>
      <c r="AK7352">
        <v>22.047394237691702</v>
      </c>
      <c r="AL7352">
        <v>90.204167116260805</v>
      </c>
      <c r="AM7352">
        <v>93.208266273736498</v>
      </c>
      <c r="AN7352">
        <v>1.0000000387560699</v>
      </c>
    </row>
    <row r="7353" spans="1:40" x14ac:dyDescent="0.25">
      <c r="A7353" t="str">
        <f>"20190312154109182"</f>
        <v>20190312154109182</v>
      </c>
      <c r="B7353" t="str">
        <f>"1552376469173437"</f>
        <v>1552376469173437</v>
      </c>
      <c r="C7353" t="s">
        <v>40</v>
      </c>
      <c r="D7353">
        <v>4.2413360000000004</v>
      </c>
      <c r="E7353">
        <v>0.43807279999999998</v>
      </c>
      <c r="F7353" t="s">
        <v>42</v>
      </c>
      <c r="G7353">
        <v>-393.9085</v>
      </c>
      <c r="H7353" s="1">
        <v>-3.679751E-6</v>
      </c>
      <c r="I7353">
        <v>14.99478</v>
      </c>
      <c r="J7353">
        <v>-410.5641</v>
      </c>
      <c r="K7353">
        <v>1.1115469999999901</v>
      </c>
      <c r="L7353">
        <v>28.767330000000001</v>
      </c>
      <c r="M7353">
        <v>0.61382729999999996</v>
      </c>
      <c r="N7353">
        <v>0</v>
      </c>
      <c r="O7353">
        <v>-0.78939239999999999</v>
      </c>
      <c r="P7353">
        <v>0.65716370000000002</v>
      </c>
      <c r="Q7353">
        <v>-1.231779E-2</v>
      </c>
      <c r="R7353">
        <v>-0.75364739999999997</v>
      </c>
      <c r="S7353">
        <v>2.3402099999999999</v>
      </c>
      <c r="T7353">
        <v>-0.1555406</v>
      </c>
      <c r="U7353">
        <v>-1.938995</v>
      </c>
      <c r="V7353">
        <v>-5.613605E-2</v>
      </c>
      <c r="W7353">
        <v>-3.8685730000000002E-3</v>
      </c>
      <c r="X7353">
        <v>0.99841559999999996</v>
      </c>
      <c r="Y7353">
        <v>-0.2153098</v>
      </c>
      <c r="Z7353">
        <v>4.377988E-2</v>
      </c>
      <c r="AA7353">
        <v>0.97556390000000004</v>
      </c>
      <c r="AB7353">
        <v>18</v>
      </c>
      <c r="AC7353">
        <v>16.6555999999999</v>
      </c>
      <c r="AD7353">
        <v>-1.11155067975099</v>
      </c>
      <c r="AE7353">
        <v>-13.772550000000001</v>
      </c>
      <c r="AF7353">
        <v>-4.6816307353083904</v>
      </c>
      <c r="AG7353">
        <v>-1.11155067975099</v>
      </c>
      <c r="AH7353">
        <v>21.0407499619145</v>
      </c>
      <c r="AI7353">
        <v>92.951979764560605</v>
      </c>
      <c r="AJ7353">
        <v>102.54413906268699</v>
      </c>
      <c r="AK7353">
        <v>21.583937782880199</v>
      </c>
      <c r="AL7353">
        <v>90.221653466017003</v>
      </c>
      <c r="AM7353">
        <v>93.218074620341199</v>
      </c>
      <c r="AN7353">
        <v>0.99999996614500797</v>
      </c>
    </row>
    <row r="7354" spans="1:40" x14ac:dyDescent="0.25">
      <c r="A7354" t="str">
        <f>"20190312154109192"</f>
        <v>20190312154109192</v>
      </c>
      <c r="B7354" t="str">
        <f>"1552376469184171"</f>
        <v>1552376469184171</v>
      </c>
      <c r="C7354" t="s">
        <v>40</v>
      </c>
      <c r="D7354">
        <v>4.2717349999999996</v>
      </c>
      <c r="E7354">
        <v>0.43814120000000001</v>
      </c>
      <c r="F7354" t="s">
        <v>42</v>
      </c>
      <c r="G7354">
        <v>-394.08089999999999</v>
      </c>
      <c r="H7354" s="1">
        <v>-3.5677709999999998E-6</v>
      </c>
      <c r="I7354">
        <v>15.16662</v>
      </c>
      <c r="J7354">
        <v>-410.50670000000002</v>
      </c>
      <c r="K7354">
        <v>1.1115930000000001</v>
      </c>
      <c r="L7354">
        <v>28.69669</v>
      </c>
      <c r="M7354">
        <v>0.61519829999999998</v>
      </c>
      <c r="N7354">
        <v>0</v>
      </c>
      <c r="O7354">
        <v>-0.78832290000000005</v>
      </c>
      <c r="P7354">
        <v>0.65862270000000001</v>
      </c>
      <c r="Q7354">
        <v>-1.266687E-2</v>
      </c>
      <c r="R7354">
        <v>-0.75236700000000001</v>
      </c>
      <c r="S7354">
        <v>2.3440249999999998</v>
      </c>
      <c r="T7354">
        <v>-0.15806999999999999</v>
      </c>
      <c r="U7354">
        <v>-1.934113</v>
      </c>
      <c r="V7354">
        <v>-5.6336909999999997E-2</v>
      </c>
      <c r="W7354">
        <v>-4.0885670000000004E-3</v>
      </c>
      <c r="X7354">
        <v>0.99840340000000005</v>
      </c>
      <c r="Y7354">
        <v>-0.2155705</v>
      </c>
      <c r="Z7354">
        <v>4.4449460000000003E-2</v>
      </c>
      <c r="AA7354">
        <v>0.97547609999999996</v>
      </c>
      <c r="AB7354">
        <v>18</v>
      </c>
      <c r="AC7354">
        <v>16.425799999999999</v>
      </c>
      <c r="AD7354">
        <v>-1.111596567771</v>
      </c>
      <c r="AE7354">
        <v>-13.53007</v>
      </c>
      <c r="AF7354">
        <v>-4.6127529370948102</v>
      </c>
      <c r="AG7354">
        <v>-1.111596567771</v>
      </c>
      <c r="AH7354">
        <v>20.715477160296398</v>
      </c>
      <c r="AI7354">
        <v>92.9982640207391</v>
      </c>
      <c r="AJ7354">
        <v>102.55335301836401</v>
      </c>
      <c r="AK7354">
        <v>21.251920632425598</v>
      </c>
      <c r="AL7354">
        <v>90.234258296215302</v>
      </c>
      <c r="AM7354">
        <v>93.229604239846097</v>
      </c>
      <c r="AN7354">
        <v>0.99999995647000905</v>
      </c>
    </row>
    <row r="7355" spans="1:40" x14ac:dyDescent="0.25">
      <c r="A7355" t="str">
        <f>"20190312154109204"</f>
        <v>20190312154109204</v>
      </c>
      <c r="B7355" t="str">
        <f>"1552376469193932"</f>
        <v>1552376469193932</v>
      </c>
      <c r="C7355" t="s">
        <v>40</v>
      </c>
      <c r="D7355">
        <v>4.2992049999999997</v>
      </c>
      <c r="E7355">
        <v>0.43819439999999998</v>
      </c>
      <c r="F7355" t="s">
        <v>42</v>
      </c>
      <c r="G7355">
        <v>-394.17989999999998</v>
      </c>
      <c r="H7355" s="1">
        <v>-3.5017509999999998E-6</v>
      </c>
      <c r="I7355">
        <v>15.274990000000001</v>
      </c>
      <c r="J7355">
        <v>-410.44650000000001</v>
      </c>
      <c r="K7355">
        <v>1.1116429999999999</v>
      </c>
      <c r="L7355">
        <v>28.622859999999999</v>
      </c>
      <c r="M7355">
        <v>0.61665969999999903</v>
      </c>
      <c r="N7355">
        <v>0</v>
      </c>
      <c r="O7355">
        <v>-0.78717879999999996</v>
      </c>
      <c r="P7355">
        <v>0.65995539999999997</v>
      </c>
      <c r="Q7355">
        <v>-1.266048E-2</v>
      </c>
      <c r="R7355">
        <v>-0.75119829999999999</v>
      </c>
      <c r="S7355">
        <v>2.3474430000000002</v>
      </c>
      <c r="T7355">
        <v>-0.1598234</v>
      </c>
      <c r="U7355">
        <v>-1.9297489999999999</v>
      </c>
      <c r="V7355">
        <v>-5.6254110000000003E-2</v>
      </c>
      <c r="W7355">
        <v>-3.9478789999999996E-3</v>
      </c>
      <c r="X7355">
        <v>0.99840870000000004</v>
      </c>
      <c r="Y7355">
        <v>-0.21551690000000001</v>
      </c>
      <c r="Z7355">
        <v>4.4890960000000001E-2</v>
      </c>
      <c r="AA7355">
        <v>0.97546770000000005</v>
      </c>
      <c r="AB7355">
        <v>18</v>
      </c>
      <c r="AC7355">
        <v>16.2666</v>
      </c>
      <c r="AD7355">
        <v>-1.111646501751</v>
      </c>
      <c r="AE7355">
        <v>-13.34787</v>
      </c>
      <c r="AF7355">
        <v>-4.5610830100806901</v>
      </c>
      <c r="AG7355">
        <v>-1.111646501751</v>
      </c>
      <c r="AH7355">
        <v>20.481777841590699</v>
      </c>
      <c r="AI7355">
        <v>93.032535466104605</v>
      </c>
      <c r="AJ7355">
        <v>102.55433469331901</v>
      </c>
      <c r="AK7355">
        <v>21.012911738309299</v>
      </c>
      <c r="AL7355">
        <v>90.226197387457603</v>
      </c>
      <c r="AM7355">
        <v>93.224850539133598</v>
      </c>
      <c r="AN7355">
        <v>1.00000002143809</v>
      </c>
    </row>
    <row r="7356" spans="1:40" x14ac:dyDescent="0.25">
      <c r="A7356" t="str">
        <f>"20190312154109216"</f>
        <v>20190312154109216</v>
      </c>
      <c r="B7356" t="str">
        <f>"1552376469203692"</f>
        <v>1552376469203692</v>
      </c>
      <c r="C7356" t="s">
        <v>40</v>
      </c>
      <c r="D7356">
        <v>4.3054839999999999</v>
      </c>
      <c r="E7356">
        <v>0.43827850000000002</v>
      </c>
      <c r="F7356" t="s">
        <v>42</v>
      </c>
      <c r="G7356">
        <v>-394.15109999999999</v>
      </c>
      <c r="H7356" s="1">
        <v>-3.5160439999999998E-6</v>
      </c>
      <c r="I7356">
        <v>15.27106</v>
      </c>
      <c r="J7356">
        <v>-410.38600000000002</v>
      </c>
      <c r="K7356">
        <v>1.1116889999999999</v>
      </c>
      <c r="L7356">
        <v>28.549099999999999</v>
      </c>
      <c r="M7356">
        <v>0.61813759999999995</v>
      </c>
      <c r="N7356">
        <v>0</v>
      </c>
      <c r="O7356">
        <v>-0.78601719999999997</v>
      </c>
      <c r="P7356">
        <v>0.66152159999999904</v>
      </c>
      <c r="Q7356">
        <v>-1.265083E-2</v>
      </c>
      <c r="R7356">
        <v>-0.74981980000000004</v>
      </c>
      <c r="S7356">
        <v>2.3505250000000002</v>
      </c>
      <c r="T7356">
        <v>-0.16034970000000001</v>
      </c>
      <c r="U7356">
        <v>-1.925934</v>
      </c>
      <c r="V7356">
        <v>-5.6460749999999997E-2</v>
      </c>
      <c r="W7356">
        <v>-3.8067779999999998E-3</v>
      </c>
      <c r="X7356">
        <v>0.9983976</v>
      </c>
      <c r="Y7356">
        <v>-0.21525059999999999</v>
      </c>
      <c r="Z7356">
        <v>4.498191E-2</v>
      </c>
      <c r="AA7356">
        <v>0.97552229999999995</v>
      </c>
      <c r="AB7356">
        <v>18</v>
      </c>
      <c r="AC7356">
        <v>16.2348999999999</v>
      </c>
      <c r="AD7356">
        <v>-1.1116925160440001</v>
      </c>
      <c r="AE7356">
        <v>-13.278040000000001</v>
      </c>
      <c r="AF7356">
        <v>-4.5406862488907498</v>
      </c>
      <c r="AG7356">
        <v>-1.1116925160440001</v>
      </c>
      <c r="AH7356">
        <v>20.415659428238499</v>
      </c>
      <c r="AI7356">
        <v>93.042642883202603</v>
      </c>
      <c r="AJ7356">
        <v>102.539165333055</v>
      </c>
      <c r="AK7356">
        <v>20.944040721668699</v>
      </c>
      <c r="AL7356">
        <v>90.2181128315069</v>
      </c>
      <c r="AM7356">
        <v>93.2367072530147</v>
      </c>
      <c r="AN7356">
        <v>1.00000003776753</v>
      </c>
    </row>
    <row r="7357" spans="1:40" x14ac:dyDescent="0.25">
      <c r="A7357" t="str">
        <f>"20190312154109227"</f>
        <v>20190312154109227</v>
      </c>
      <c r="B7357" t="str">
        <f>"1552376469213451"</f>
        <v>1552376469213451</v>
      </c>
      <c r="C7357" t="s">
        <v>40</v>
      </c>
      <c r="D7357">
        <v>4.3071089999999996</v>
      </c>
      <c r="E7357">
        <v>0.43836120000000001</v>
      </c>
      <c r="F7357" t="s">
        <v>42</v>
      </c>
      <c r="G7357">
        <v>-394.14179999999999</v>
      </c>
      <c r="H7357" s="1">
        <v>-3.51674E-6</v>
      </c>
      <c r="I7357">
        <v>15.29195</v>
      </c>
      <c r="J7357">
        <v>-410.33330000000001</v>
      </c>
      <c r="K7357">
        <v>1.1117360000000001</v>
      </c>
      <c r="L7357">
        <v>28.485199999999999</v>
      </c>
      <c r="M7357">
        <v>0.61945950000000005</v>
      </c>
      <c r="N7357">
        <v>0</v>
      </c>
      <c r="O7357">
        <v>-0.78497419999999996</v>
      </c>
      <c r="P7357">
        <v>0.66291979999999995</v>
      </c>
      <c r="Q7357">
        <v>-1.2513659999999999E-2</v>
      </c>
      <c r="R7357">
        <v>-0.74858590000000003</v>
      </c>
      <c r="S7357">
        <v>2.354187</v>
      </c>
      <c r="T7357">
        <v>-0.16111220000000001</v>
      </c>
      <c r="U7357">
        <v>-1.921295</v>
      </c>
      <c r="V7357">
        <v>-5.6642669999999999E-2</v>
      </c>
      <c r="W7357">
        <v>-3.5543649999999999E-3</v>
      </c>
      <c r="X7357">
        <v>0.99838819999999995</v>
      </c>
      <c r="Y7357">
        <v>-0.21549470000000001</v>
      </c>
      <c r="Z7357">
        <v>4.5153499999999999E-2</v>
      </c>
      <c r="AA7357">
        <v>0.97546049999999995</v>
      </c>
      <c r="AB7357">
        <v>18</v>
      </c>
      <c r="AC7357">
        <v>16.191500000000001</v>
      </c>
      <c r="AD7357">
        <v>-1.1117395167399999</v>
      </c>
      <c r="AE7357">
        <v>-13.193250000000001</v>
      </c>
      <c r="AF7357">
        <v>-4.5245999460102002</v>
      </c>
      <c r="AG7357">
        <v>-1.1117395167399999</v>
      </c>
      <c r="AH7357">
        <v>20.329610170871799</v>
      </c>
      <c r="AI7357">
        <v>93.055529016127807</v>
      </c>
      <c r="AJ7357">
        <v>102.54736142212199</v>
      </c>
      <c r="AK7357">
        <v>20.8566780462309</v>
      </c>
      <c r="AL7357">
        <v>90.2036505397638</v>
      </c>
      <c r="AM7357">
        <v>93.247144348754503</v>
      </c>
      <c r="AN7357">
        <v>1.0000000117372601</v>
      </c>
    </row>
    <row r="7358" spans="1:40" x14ac:dyDescent="0.25">
      <c r="A7358" t="str">
        <f>"20190312154109238"</f>
        <v>20190312154109238</v>
      </c>
      <c r="B7358" t="str">
        <f>"1552376469233949"</f>
        <v>1552376469233949</v>
      </c>
      <c r="C7358" t="s">
        <v>40</v>
      </c>
      <c r="D7358">
        <v>4.3067840000000004</v>
      </c>
      <c r="E7358">
        <v>0.43854880000000002</v>
      </c>
      <c r="F7358" t="s">
        <v>42</v>
      </c>
      <c r="G7358">
        <v>-394.10660000000001</v>
      </c>
      <c r="H7358" s="1">
        <v>-3.5346329999999999E-6</v>
      </c>
      <c r="I7358">
        <v>15.284829999999999</v>
      </c>
      <c r="J7358">
        <v>-410.27390000000003</v>
      </c>
      <c r="K7358">
        <v>1.1117889999999999</v>
      </c>
      <c r="L7358">
        <v>28.4133</v>
      </c>
      <c r="M7358">
        <v>0.62095559999999905</v>
      </c>
      <c r="N7358">
        <v>0</v>
      </c>
      <c r="O7358">
        <v>-0.78378959999999998</v>
      </c>
      <c r="P7358">
        <v>0.66470119999999999</v>
      </c>
      <c r="Q7358">
        <v>-1.234011E-2</v>
      </c>
      <c r="R7358">
        <v>-0.74700739999999999</v>
      </c>
      <c r="S7358">
        <v>2.3571170000000001</v>
      </c>
      <c r="T7358">
        <v>-0.16149340000000001</v>
      </c>
      <c r="U7358">
        <v>-1.917511</v>
      </c>
      <c r="V7358">
        <v>-5.7114980000000003E-2</v>
      </c>
      <c r="W7358">
        <v>-3.251777E-3</v>
      </c>
      <c r="X7358">
        <v>0.99836230000000004</v>
      </c>
      <c r="Y7358">
        <v>-0.21516379999999999</v>
      </c>
      <c r="Z7358">
        <v>4.5202109999999997E-2</v>
      </c>
      <c r="AA7358">
        <v>0.97553129999999999</v>
      </c>
      <c r="AB7358">
        <v>18</v>
      </c>
      <c r="AC7358">
        <v>16.167300000000001</v>
      </c>
      <c r="AD7358">
        <v>-1.111792534633</v>
      </c>
      <c r="AE7358">
        <v>-13.12847</v>
      </c>
      <c r="AF7358">
        <v>-4.5069195439487304</v>
      </c>
      <c r="AG7358">
        <v>-1.111792534633</v>
      </c>
      <c r="AH7358">
        <v>20.272255736765999</v>
      </c>
      <c r="AI7358">
        <v>93.064460329990297</v>
      </c>
      <c r="AJ7358">
        <v>102.534123724984</v>
      </c>
      <c r="AK7358">
        <v>20.796941098934099</v>
      </c>
      <c r="AL7358">
        <v>90.186313428504107</v>
      </c>
      <c r="AM7358">
        <v>93.274246471847107</v>
      </c>
      <c r="AN7358">
        <v>0.99999998852767302</v>
      </c>
    </row>
    <row r="7359" spans="1:40" x14ac:dyDescent="0.25">
      <c r="A7359" t="str">
        <f>"20190312154109249"</f>
        <v>20190312154109249</v>
      </c>
      <c r="B7359" t="str">
        <f>"1552376469243708"</f>
        <v>1552376469243708</v>
      </c>
      <c r="C7359" t="s">
        <v>40</v>
      </c>
      <c r="D7359">
        <v>4.3192199999999996</v>
      </c>
      <c r="E7359">
        <v>0.43862289999999998</v>
      </c>
      <c r="F7359" t="s">
        <v>42</v>
      </c>
      <c r="G7359">
        <v>-394.15899999999999</v>
      </c>
      <c r="H7359" s="1">
        <v>-3.4973119999999999E-6</v>
      </c>
      <c r="I7359">
        <v>15.3558</v>
      </c>
      <c r="J7359">
        <v>-410.2158</v>
      </c>
      <c r="K7359">
        <v>1.1118479999999999</v>
      </c>
      <c r="L7359">
        <v>28.34357</v>
      </c>
      <c r="M7359">
        <v>0.62246099999999904</v>
      </c>
      <c r="N7359">
        <v>0</v>
      </c>
      <c r="O7359">
        <v>-0.78259299999999998</v>
      </c>
      <c r="P7359">
        <v>0.6663713</v>
      </c>
      <c r="Q7359">
        <v>-1.1932969999999999E-2</v>
      </c>
      <c r="R7359">
        <v>-0.74552479999999999</v>
      </c>
      <c r="S7359">
        <v>2.3606569999999998</v>
      </c>
      <c r="T7359">
        <v>-0.1628655</v>
      </c>
      <c r="U7359">
        <v>-1.9127810000000001</v>
      </c>
      <c r="V7359">
        <v>-5.7427359999999997E-2</v>
      </c>
      <c r="W7359">
        <v>-2.7080799999999999E-3</v>
      </c>
      <c r="X7359">
        <v>0.99834599999999996</v>
      </c>
      <c r="Y7359">
        <v>-0.2151653</v>
      </c>
      <c r="Z7359">
        <v>4.5533650000000002E-2</v>
      </c>
      <c r="AA7359">
        <v>0.97551549999999998</v>
      </c>
      <c r="AB7359">
        <v>18</v>
      </c>
      <c r="AC7359">
        <v>16.056799999999999</v>
      </c>
      <c r="AD7359">
        <v>-1.1118514973119999</v>
      </c>
      <c r="AE7359">
        <v>-12.987769999999999</v>
      </c>
      <c r="AF7359">
        <v>-4.4688089957725401</v>
      </c>
      <c r="AG7359">
        <v>-1.1118514973119999</v>
      </c>
      <c r="AH7359">
        <v>20.1015179159883</v>
      </c>
      <c r="AI7359">
        <v>93.090607458367899</v>
      </c>
      <c r="AJ7359">
        <v>102.533710375</v>
      </c>
      <c r="AK7359">
        <v>20.622257153851301</v>
      </c>
      <c r="AL7359">
        <v>90.155161746478598</v>
      </c>
      <c r="AM7359">
        <v>93.292168717927197</v>
      </c>
      <c r="AN7359">
        <v>0.99999998554492797</v>
      </c>
    </row>
    <row r="7360" spans="1:40" x14ac:dyDescent="0.25">
      <c r="A7360" t="str">
        <f>"20190312154109262"</f>
        <v>20190312154109262</v>
      </c>
      <c r="B7360" t="str">
        <f>"1552376469253468"</f>
        <v>1552376469253468</v>
      </c>
      <c r="C7360" t="s">
        <v>40</v>
      </c>
      <c r="D7360">
        <v>4.3099629999999998</v>
      </c>
      <c r="E7360">
        <v>0.43873259999999997</v>
      </c>
      <c r="F7360" t="s">
        <v>42</v>
      </c>
      <c r="G7360">
        <v>-394.07170000000002</v>
      </c>
      <c r="H7360" s="1">
        <v>-3.5454750000000001E-6</v>
      </c>
      <c r="I7360">
        <v>15.31667</v>
      </c>
      <c r="J7360">
        <v>-410.15039999999999</v>
      </c>
      <c r="K7360">
        <v>1.111917</v>
      </c>
      <c r="L7360">
        <v>28.265260000000001</v>
      </c>
      <c r="M7360">
        <v>0.62417239999999996</v>
      </c>
      <c r="N7360">
        <v>0</v>
      </c>
      <c r="O7360">
        <v>-0.78122659999999999</v>
      </c>
      <c r="P7360">
        <v>0.66826919999999901</v>
      </c>
      <c r="Q7360">
        <v>-1.168192E-2</v>
      </c>
      <c r="R7360">
        <v>-0.74382809999999999</v>
      </c>
      <c r="S7360">
        <v>2.364471</v>
      </c>
      <c r="T7360">
        <v>-0.1628426</v>
      </c>
      <c r="U7360">
        <v>-1.9079280000000001</v>
      </c>
      <c r="V7360">
        <v>-5.7784450000000001E-2</v>
      </c>
      <c r="W7360">
        <v>-2.2983510000000001E-3</v>
      </c>
      <c r="X7360">
        <v>0.99832639999999995</v>
      </c>
      <c r="Y7360">
        <v>-0.21501000000000001</v>
      </c>
      <c r="Z7360">
        <v>4.5462809999999999E-2</v>
      </c>
      <c r="AA7360">
        <v>0.97555309999999995</v>
      </c>
      <c r="AB7360">
        <v>18</v>
      </c>
      <c r="AC7360">
        <v>16.078699999999898</v>
      </c>
      <c r="AD7360">
        <v>-1.1119205454750001</v>
      </c>
      <c r="AE7360">
        <v>-12.9485899999999</v>
      </c>
      <c r="AF7360">
        <v>-4.4662093945726298</v>
      </c>
      <c r="AG7360">
        <v>-1.1119205454750001</v>
      </c>
      <c r="AH7360">
        <v>20.094315968902499</v>
      </c>
      <c r="AI7360">
        <v>93.091937116240899</v>
      </c>
      <c r="AJ7360">
        <v>102.53099730431801</v>
      </c>
      <c r="AK7360">
        <v>20.614677487501702</v>
      </c>
      <c r="AL7360">
        <v>90.131685932947804</v>
      </c>
      <c r="AM7360">
        <v>93.3126592489226</v>
      </c>
      <c r="AN7360">
        <v>0.99999996300803995</v>
      </c>
    </row>
    <row r="7361" spans="1:40" x14ac:dyDescent="0.25">
      <c r="A7361" t="str">
        <f>"20190312154109280"</f>
        <v>20190312154109280</v>
      </c>
      <c r="B7361" t="str">
        <f>"1552376469273964"</f>
        <v>1552376469273964</v>
      </c>
      <c r="C7361" t="s">
        <v>40</v>
      </c>
      <c r="D7361">
        <v>4.3537080000000001</v>
      </c>
      <c r="E7361">
        <v>0.43887589999999999</v>
      </c>
      <c r="F7361" t="s">
        <v>42</v>
      </c>
      <c r="G7361">
        <v>-393.98540000000003</v>
      </c>
      <c r="H7361" s="1">
        <v>-3.592603E-6</v>
      </c>
      <c r="I7361">
        <v>15.28097</v>
      </c>
      <c r="J7361">
        <v>-410.05489999999998</v>
      </c>
      <c r="K7361">
        <v>1.112026</v>
      </c>
      <c r="L7361">
        <v>28.151730000000001</v>
      </c>
      <c r="M7361">
        <v>0.62672910000000004</v>
      </c>
      <c r="N7361">
        <v>0</v>
      </c>
      <c r="O7361">
        <v>-0.77917369999999997</v>
      </c>
      <c r="P7361">
        <v>0.67084569999999999</v>
      </c>
      <c r="Q7361">
        <v>-1.1223469999999999E-2</v>
      </c>
      <c r="R7361">
        <v>-0.7415119</v>
      </c>
      <c r="S7361">
        <v>2.368652</v>
      </c>
      <c r="T7361">
        <v>-0.16292980000000001</v>
      </c>
      <c r="U7361">
        <v>-1.9025879999999999</v>
      </c>
      <c r="V7361">
        <v>-5.7973990000000003E-2</v>
      </c>
      <c r="W7361">
        <v>-1.5882330000000001E-3</v>
      </c>
      <c r="X7361">
        <v>0.9983168</v>
      </c>
      <c r="Y7361">
        <v>-0.21398729999999999</v>
      </c>
      <c r="Z7361">
        <v>4.5375840000000001E-2</v>
      </c>
      <c r="AA7361">
        <v>0.97578200000000004</v>
      </c>
      <c r="AB7361">
        <v>18</v>
      </c>
      <c r="AC7361">
        <v>16.069499999999898</v>
      </c>
      <c r="AD7361">
        <v>-1.1120295926029999</v>
      </c>
      <c r="AE7361">
        <v>-12.870760000000001</v>
      </c>
      <c r="AF7361">
        <v>-4.4417144985885404</v>
      </c>
      <c r="AG7361">
        <v>-1.1120295926029999</v>
      </c>
      <c r="AH7361">
        <v>20.0423059235296</v>
      </c>
      <c r="AI7361">
        <v>93.100670951838396</v>
      </c>
      <c r="AJ7361">
        <v>102.495755335767</v>
      </c>
      <c r="AK7361">
        <v>20.558683426575399</v>
      </c>
      <c r="AL7361">
        <v>90.090999088808701</v>
      </c>
      <c r="AM7361">
        <v>93.323532742900397</v>
      </c>
      <c r="AN7361">
        <v>0.99999996958141002</v>
      </c>
    </row>
    <row r="7362" spans="1:40" x14ac:dyDescent="0.25">
      <c r="A7362" t="str">
        <f>"20190312154109292"</f>
        <v>20190312154109292</v>
      </c>
      <c r="B7362" t="str">
        <f>"1552376469283725"</f>
        <v>1552376469283725</v>
      </c>
      <c r="C7362" t="s">
        <v>40</v>
      </c>
      <c r="D7362">
        <v>4.3574570000000001</v>
      </c>
      <c r="E7362">
        <v>0.43895529999999999</v>
      </c>
      <c r="F7362" t="s">
        <v>42</v>
      </c>
      <c r="G7362">
        <v>-393.77589999999998</v>
      </c>
      <c r="H7362" s="1">
        <v>-3.7132150000000001E-6</v>
      </c>
      <c r="I7362">
        <v>15.15954</v>
      </c>
      <c r="J7362">
        <v>-409.98630000000003</v>
      </c>
      <c r="K7362">
        <v>1.1121049999999999</v>
      </c>
      <c r="L7362">
        <v>28.070830000000001</v>
      </c>
      <c r="M7362">
        <v>0.62861080000000003</v>
      </c>
      <c r="N7362">
        <v>0</v>
      </c>
      <c r="O7362">
        <v>-0.77765379999999995</v>
      </c>
      <c r="P7362">
        <v>0.67264060000000003</v>
      </c>
      <c r="Q7362">
        <v>-1.111038E-2</v>
      </c>
      <c r="R7362">
        <v>-0.7398863</v>
      </c>
      <c r="S7362">
        <v>2.3745419999999999</v>
      </c>
      <c r="T7362">
        <v>-0.16220670000000001</v>
      </c>
      <c r="U7362">
        <v>-1.895111</v>
      </c>
      <c r="V7362">
        <v>-5.7977830000000001E-2</v>
      </c>
      <c r="W7362">
        <v>-1.2758100000000001E-3</v>
      </c>
      <c r="X7362">
        <v>0.99831709999999996</v>
      </c>
      <c r="Y7362">
        <v>-0.2146914</v>
      </c>
      <c r="Z7362">
        <v>4.5118209999999999E-2</v>
      </c>
      <c r="AA7362">
        <v>0.97563920000000004</v>
      </c>
      <c r="AB7362">
        <v>18</v>
      </c>
      <c r="AC7362">
        <v>16.2104</v>
      </c>
      <c r="AD7362">
        <v>-1.1121087132149901</v>
      </c>
      <c r="AE7362">
        <v>-12.9112899999999</v>
      </c>
      <c r="AF7362">
        <v>-4.4772408538872801</v>
      </c>
      <c r="AG7362">
        <v>-1.1121087132149901</v>
      </c>
      <c r="AH7362">
        <v>20.1734941039247</v>
      </c>
      <c r="AI7362">
        <v>93.080557124325907</v>
      </c>
      <c r="AJ7362">
        <v>102.513223200285</v>
      </c>
      <c r="AK7362">
        <v>20.6942585229529</v>
      </c>
      <c r="AL7362">
        <v>90.073098545052105</v>
      </c>
      <c r="AM7362">
        <v>93.323751392314406</v>
      </c>
      <c r="AN7362">
        <v>1.0000000443075301</v>
      </c>
    </row>
    <row r="7363" spans="1:40" x14ac:dyDescent="0.25">
      <c r="A7363" t="str">
        <f>"20190312154109305"</f>
        <v>20190312154109305</v>
      </c>
      <c r="B7363" t="str">
        <f>"1552376469293484"</f>
        <v>1552376469293484</v>
      </c>
      <c r="C7363" t="s">
        <v>40</v>
      </c>
      <c r="D7363">
        <v>4.3397410000000001</v>
      </c>
      <c r="E7363">
        <v>0.4390365</v>
      </c>
      <c r="F7363" t="s">
        <v>42</v>
      </c>
      <c r="G7363">
        <v>-393.6472</v>
      </c>
      <c r="H7363" s="1">
        <v>-3.78645E-6</v>
      </c>
      <c r="I7363">
        <v>15.08962</v>
      </c>
      <c r="J7363">
        <v>-409.9255</v>
      </c>
      <c r="K7363">
        <v>1.112177</v>
      </c>
      <c r="L7363">
        <v>27.999659999999999</v>
      </c>
      <c r="M7363">
        <v>0.63030759999999997</v>
      </c>
      <c r="N7363">
        <v>0</v>
      </c>
      <c r="O7363">
        <v>-0.77627639999999998</v>
      </c>
      <c r="P7363">
        <v>0.67406060000000001</v>
      </c>
      <c r="Q7363">
        <v>-1.086092E-2</v>
      </c>
      <c r="R7363">
        <v>-0.73859609999999998</v>
      </c>
      <c r="S7363">
        <v>2.3786010000000002</v>
      </c>
      <c r="T7363">
        <v>-0.16189779999999901</v>
      </c>
      <c r="U7363">
        <v>-1.8897710000000001</v>
      </c>
      <c r="V7363">
        <v>-5.7713649999999998E-2</v>
      </c>
      <c r="W7363">
        <v>-8.3662560000000001E-4</v>
      </c>
      <c r="X7363">
        <v>0.99833280000000002</v>
      </c>
      <c r="Y7363">
        <v>-0.21471580000000001</v>
      </c>
      <c r="Z7363">
        <v>4.4971799999999999E-2</v>
      </c>
      <c r="AA7363">
        <v>0.97564070000000003</v>
      </c>
      <c r="AB7363">
        <v>18</v>
      </c>
      <c r="AC7363">
        <v>16.278300000000002</v>
      </c>
      <c r="AD7363">
        <v>-1.11218078645</v>
      </c>
      <c r="AE7363">
        <v>-12.910039999999899</v>
      </c>
      <c r="AF7363">
        <v>-4.4865484580755801</v>
      </c>
      <c r="AG7363">
        <v>-1.11218078645</v>
      </c>
      <c r="AH7363">
        <v>20.225226024594502</v>
      </c>
      <c r="AI7363">
        <v>93.072961275343204</v>
      </c>
      <c r="AJ7363">
        <v>102.50735452720301</v>
      </c>
      <c r="AK7363">
        <v>20.7467065076446</v>
      </c>
      <c r="AL7363">
        <v>90.047935122825294</v>
      </c>
      <c r="AM7363">
        <v>93.308588295164597</v>
      </c>
      <c r="AN7363">
        <v>0.99999997244727801</v>
      </c>
    </row>
    <row r="7364" spans="1:40" x14ac:dyDescent="0.25">
      <c r="A7364" t="str">
        <f>"20190312154109315"</f>
        <v>20190312154109315</v>
      </c>
      <c r="B7364" t="str">
        <f>"1552376469304221"</f>
        <v>1552376469304221</v>
      </c>
      <c r="C7364" t="s">
        <v>40</v>
      </c>
      <c r="D7364">
        <v>4.3268870000000001</v>
      </c>
      <c r="E7364">
        <v>0.43911480000000003</v>
      </c>
      <c r="F7364" t="s">
        <v>42</v>
      </c>
      <c r="G7364">
        <v>-393.44889999999998</v>
      </c>
      <c r="H7364" s="1">
        <v>-3.9035960000000001E-6</v>
      </c>
      <c r="I7364">
        <v>14.9576799999999</v>
      </c>
      <c r="J7364">
        <v>-409.86590000000001</v>
      </c>
      <c r="K7364">
        <v>1.112255</v>
      </c>
      <c r="L7364">
        <v>27.930050000000001</v>
      </c>
      <c r="M7364">
        <v>0.63198889999999996</v>
      </c>
      <c r="N7364">
        <v>0</v>
      </c>
      <c r="O7364">
        <v>-0.77490579999999998</v>
      </c>
      <c r="P7364">
        <v>0.6754985</v>
      </c>
      <c r="Q7364">
        <v>-1.0943609999999999E-2</v>
      </c>
      <c r="R7364">
        <v>-0.73728050000000001</v>
      </c>
      <c r="S7364">
        <v>2.38205</v>
      </c>
      <c r="T7364">
        <v>-0.1607895</v>
      </c>
      <c r="U7364">
        <v>-1.8854979999999999</v>
      </c>
      <c r="V7364">
        <v>-5.7494679999999999E-2</v>
      </c>
      <c r="W7364">
        <v>-7.2694269999999997E-4</v>
      </c>
      <c r="X7364">
        <v>0.99834560000000006</v>
      </c>
      <c r="Y7364">
        <v>-0.21437590000000001</v>
      </c>
      <c r="Z7364">
        <v>4.4595349999999999E-2</v>
      </c>
      <c r="AA7364">
        <v>0.97573270000000001</v>
      </c>
      <c r="AB7364">
        <v>18</v>
      </c>
      <c r="AC7364">
        <v>16.417000000000002</v>
      </c>
      <c r="AD7364">
        <v>-1.112258903596</v>
      </c>
      <c r="AE7364">
        <v>-12.97237</v>
      </c>
      <c r="AF7364">
        <v>-4.5107395219304598</v>
      </c>
      <c r="AG7364">
        <v>-1.112258903596</v>
      </c>
      <c r="AH7364">
        <v>20.3712962202673</v>
      </c>
      <c r="AI7364">
        <v>93.051441945254098</v>
      </c>
      <c r="AJ7364">
        <v>102.48534014235899</v>
      </c>
      <c r="AK7364">
        <v>20.894343746507399</v>
      </c>
      <c r="AL7364">
        <v>90.041650750166298</v>
      </c>
      <c r="AM7364">
        <v>93.296020821214697</v>
      </c>
      <c r="AN7364">
        <v>1.0000000518566701</v>
      </c>
    </row>
    <row r="7365" spans="1:40" x14ac:dyDescent="0.25">
      <c r="A7365" t="str">
        <f>"20190312154109326"</f>
        <v>20190312154109326</v>
      </c>
      <c r="B7365" t="str">
        <f>"1552376469313980"</f>
        <v>1552376469313980</v>
      </c>
      <c r="C7365" t="s">
        <v>40</v>
      </c>
      <c r="D7365">
        <v>4.3493719999999998</v>
      </c>
      <c r="E7365">
        <v>0.43922749999999999</v>
      </c>
      <c r="F7365" t="s">
        <v>42</v>
      </c>
      <c r="G7365">
        <v>-393.39429999999999</v>
      </c>
      <c r="H7365" s="1">
        <v>-3.9325159999999996E-6</v>
      </c>
      <c r="I7365">
        <v>14.940029999999901</v>
      </c>
      <c r="J7365">
        <v>-409.80900000000003</v>
      </c>
      <c r="K7365">
        <v>1.11232999999999</v>
      </c>
      <c r="L7365">
        <v>27.8642</v>
      </c>
      <c r="M7365">
        <v>0.63364569999999998</v>
      </c>
      <c r="N7365">
        <v>0</v>
      </c>
      <c r="O7365">
        <v>-0.77354889999999998</v>
      </c>
      <c r="P7365">
        <v>0.6766877</v>
      </c>
      <c r="Q7365">
        <v>-1.088224E-2</v>
      </c>
      <c r="R7365">
        <v>-0.73619009999999996</v>
      </c>
      <c r="S7365">
        <v>2.385345</v>
      </c>
      <c r="T7365">
        <v>-0.16107299999999999</v>
      </c>
      <c r="U7365">
        <v>-1.881165</v>
      </c>
      <c r="V7365">
        <v>-5.6968650000000003E-2</v>
      </c>
      <c r="W7365">
        <v>-4.7226450000000002E-4</v>
      </c>
      <c r="X7365">
        <v>0.99837580000000004</v>
      </c>
      <c r="Y7365">
        <v>-0.21403059999999999</v>
      </c>
      <c r="Z7365">
        <v>4.460708E-2</v>
      </c>
      <c r="AA7365">
        <v>0.97580789999999995</v>
      </c>
      <c r="AB7365">
        <v>18</v>
      </c>
      <c r="AC7365">
        <v>16.4147</v>
      </c>
      <c r="AD7365">
        <v>-1.11233393251599</v>
      </c>
      <c r="AE7365">
        <v>-12.92417</v>
      </c>
      <c r="AF7365">
        <v>-4.49574398307763</v>
      </c>
      <c r="AG7365">
        <v>-1.11233393251599</v>
      </c>
      <c r="AH7365">
        <v>20.342092842213798</v>
      </c>
      <c r="AI7365">
        <v>93.056289812619696</v>
      </c>
      <c r="AJ7365">
        <v>102.462437628172</v>
      </c>
      <c r="AK7365">
        <v>20.862639860287398</v>
      </c>
      <c r="AL7365">
        <v>90.027058765183</v>
      </c>
      <c r="AM7365">
        <v>93.265831886994803</v>
      </c>
      <c r="AN7365">
        <v>0.99999994407110804</v>
      </c>
    </row>
    <row r="7366" spans="1:40" x14ac:dyDescent="0.25">
      <c r="A7366" t="str">
        <f>"20190312154109338"</f>
        <v>20190312154109338</v>
      </c>
      <c r="B7366" t="str">
        <f>"1552376469323741"</f>
        <v>1552376469323741</v>
      </c>
      <c r="C7366" t="s">
        <v>40</v>
      </c>
      <c r="D7366">
        <v>4.3288149999999996</v>
      </c>
      <c r="E7366">
        <v>0.43933359999999999</v>
      </c>
      <c r="F7366" t="s">
        <v>42</v>
      </c>
      <c r="G7366">
        <v>-393.3408</v>
      </c>
      <c r="H7366" s="1">
        <v>-3.9624149999999997E-6</v>
      </c>
      <c r="I7366">
        <v>14.914149999999999</v>
      </c>
      <c r="J7366">
        <v>-409.75060000000002</v>
      </c>
      <c r="K7366">
        <v>1.1124069999999999</v>
      </c>
      <c r="L7366">
        <v>27.796690000000002</v>
      </c>
      <c r="M7366">
        <v>0.635356699999999</v>
      </c>
      <c r="N7366">
        <v>0</v>
      </c>
      <c r="O7366">
        <v>-0.77214130000000003</v>
      </c>
      <c r="P7366">
        <v>0.67792769999999902</v>
      </c>
      <c r="Q7366">
        <v>-1.081115E-2</v>
      </c>
      <c r="R7366">
        <v>-0.73504919999999996</v>
      </c>
      <c r="S7366">
        <v>2.3878780000000002</v>
      </c>
      <c r="T7366">
        <v>-0.1612876</v>
      </c>
      <c r="U7366">
        <v>-1.8777470000000001</v>
      </c>
      <c r="V7366">
        <v>-5.6440690000000002E-2</v>
      </c>
      <c r="W7366">
        <v>-2.018992E-4</v>
      </c>
      <c r="X7366">
        <v>0.99840589999999996</v>
      </c>
      <c r="Y7366">
        <v>-0.21323159999999999</v>
      </c>
      <c r="Z7366">
        <v>4.4589610000000002E-2</v>
      </c>
      <c r="AA7366">
        <v>0.97598359999999995</v>
      </c>
      <c r="AB7366">
        <v>18</v>
      </c>
      <c r="AC7366">
        <v>16.409800000000001</v>
      </c>
      <c r="AD7366">
        <v>-1.11241096241499</v>
      </c>
      <c r="AE7366">
        <v>-12.882540000000001</v>
      </c>
      <c r="AF7366">
        <v>-4.4732265710733001</v>
      </c>
      <c r="AG7366">
        <v>-1.11241096241499</v>
      </c>
      <c r="AH7366">
        <v>20.316673340334798</v>
      </c>
      <c r="AI7366">
        <v>93.060852489022096</v>
      </c>
      <c r="AJ7366">
        <v>102.416990164848</v>
      </c>
      <c r="AK7366">
        <v>20.833012977563399</v>
      </c>
      <c r="AL7366">
        <v>90.011567972510804</v>
      </c>
      <c r="AM7366">
        <v>93.235532882683202</v>
      </c>
      <c r="AN7366">
        <v>0.99999996670288505</v>
      </c>
    </row>
    <row r="7367" spans="1:40" x14ac:dyDescent="0.25">
      <c r="A7367" t="str">
        <f>"20190312154109349"</f>
        <v>20190312154109349</v>
      </c>
      <c r="B7367" t="str">
        <f>"1552376469343260"</f>
        <v>1552376469343260</v>
      </c>
      <c r="C7367" t="s">
        <v>40</v>
      </c>
      <c r="D7367">
        <v>4.334695</v>
      </c>
      <c r="E7367">
        <v>0.43943840000000001</v>
      </c>
      <c r="F7367" t="s">
        <v>42</v>
      </c>
      <c r="G7367">
        <v>-393.30990000000003</v>
      </c>
      <c r="H7367" s="1">
        <v>-3.97828E-6</v>
      </c>
      <c r="I7367">
        <v>14.907</v>
      </c>
      <c r="J7367">
        <v>-409.69200000000001</v>
      </c>
      <c r="K7367">
        <v>1.112487</v>
      </c>
      <c r="L7367">
        <v>27.729679999999998</v>
      </c>
      <c r="M7367">
        <v>0.63714019999999905</v>
      </c>
      <c r="N7367">
        <v>0</v>
      </c>
      <c r="O7367">
        <v>-0.7706674</v>
      </c>
      <c r="P7367">
        <v>0.67921019999999999</v>
      </c>
      <c r="Q7367">
        <v>-1.082233E-2</v>
      </c>
      <c r="R7367">
        <v>-0.73386439999999997</v>
      </c>
      <c r="S7367">
        <v>2.390533</v>
      </c>
      <c r="T7367">
        <v>-0.16174849999999999</v>
      </c>
      <c r="U7367">
        <v>-1.874207</v>
      </c>
      <c r="V7367">
        <v>-5.5875569999999999E-2</v>
      </c>
      <c r="W7367" s="1">
        <v>-1.6744100000000001E-5</v>
      </c>
      <c r="X7367">
        <v>0.99843780000000004</v>
      </c>
      <c r="Y7367">
        <v>-0.21238879999999999</v>
      </c>
      <c r="Z7367">
        <v>4.4635399999999999E-2</v>
      </c>
      <c r="AA7367">
        <v>0.97616530000000001</v>
      </c>
      <c r="AB7367">
        <v>18</v>
      </c>
      <c r="AC7367">
        <v>16.382099999999902</v>
      </c>
      <c r="AD7367">
        <v>-1.1124909782799901</v>
      </c>
      <c r="AE7367">
        <v>-12.822679999999901</v>
      </c>
      <c r="AF7367">
        <v>-4.4428770139105396</v>
      </c>
      <c r="AG7367">
        <v>-1.1124909782799901</v>
      </c>
      <c r="AH7367">
        <v>20.263032140395499</v>
      </c>
      <c r="AI7367">
        <v>93.069747666248801</v>
      </c>
      <c r="AJ7367">
        <v>102.366983120103</v>
      </c>
      <c r="AK7367">
        <v>20.774197068965002</v>
      </c>
      <c r="AL7367">
        <v>90.000959366204199</v>
      </c>
      <c r="AM7367">
        <v>93.203102346938905</v>
      </c>
      <c r="AN7367">
        <v>1.0000000600360099</v>
      </c>
    </row>
    <row r="7368" spans="1:40" x14ac:dyDescent="0.25">
      <c r="A7368" t="str">
        <f>"20190312154109359"</f>
        <v>20190312154109359</v>
      </c>
      <c r="B7368" t="str">
        <f>"1552376469353996"</f>
        <v>1552376469353996</v>
      </c>
      <c r="C7368" t="s">
        <v>40</v>
      </c>
      <c r="D7368">
        <v>4.3479460000000003</v>
      </c>
      <c r="E7368">
        <v>0.44520179999999998</v>
      </c>
      <c r="F7368" t="s">
        <v>42</v>
      </c>
      <c r="G7368">
        <v>-393.30349999999999</v>
      </c>
      <c r="H7368" s="1">
        <v>-3.9793049999999997E-6</v>
      </c>
      <c r="I7368">
        <v>14.91832</v>
      </c>
      <c r="J7368">
        <v>-409.63889999999998</v>
      </c>
      <c r="K7368">
        <v>1.112563</v>
      </c>
      <c r="L7368">
        <v>27.669039999999999</v>
      </c>
      <c r="M7368">
        <v>0.63876460000000002</v>
      </c>
      <c r="N7368">
        <v>0</v>
      </c>
      <c r="O7368">
        <v>-0.76931879999999997</v>
      </c>
      <c r="P7368">
        <v>0.68027029999999999</v>
      </c>
      <c r="Q7368">
        <v>-1.091515E-2</v>
      </c>
      <c r="R7368">
        <v>-0.73288030000000004</v>
      </c>
      <c r="S7368">
        <v>2.3930660000000001</v>
      </c>
      <c r="T7368">
        <v>-0.16244710000000001</v>
      </c>
      <c r="U7368">
        <v>-1.8707279999999999</v>
      </c>
      <c r="V7368">
        <v>-5.521189E-2</v>
      </c>
      <c r="W7368" s="1">
        <v>6.7206890000000001E-5</v>
      </c>
      <c r="X7368">
        <v>0.99847470000000005</v>
      </c>
      <c r="Y7368">
        <v>-0.211701</v>
      </c>
      <c r="Z7368">
        <v>4.4755250000000003E-2</v>
      </c>
      <c r="AA7368">
        <v>0.97630919999999999</v>
      </c>
      <c r="AB7368">
        <v>18</v>
      </c>
      <c r="AC7368">
        <v>16.3353999999999</v>
      </c>
      <c r="AD7368">
        <v>-1.1125669793049999</v>
      </c>
      <c r="AE7368">
        <v>-12.750719999999999</v>
      </c>
      <c r="AF7368">
        <v>-4.4099939974883</v>
      </c>
      <c r="AG7368">
        <v>-1.1125669793049999</v>
      </c>
      <c r="AH7368">
        <v>20.1869551654007</v>
      </c>
      <c r="AI7368">
        <v>93.082019826259497</v>
      </c>
      <c r="AJ7368">
        <v>102.32309867632399</v>
      </c>
      <c r="AK7368">
        <v>20.6929700911015</v>
      </c>
      <c r="AL7368">
        <v>89.996149329007295</v>
      </c>
      <c r="AM7368">
        <v>93.165017556367502</v>
      </c>
      <c r="AN7368">
        <v>1.00000004192711</v>
      </c>
    </row>
    <row r="7369" spans="1:40" x14ac:dyDescent="0.25">
      <c r="A7369" t="str">
        <f>"20190312154109370"</f>
        <v>20190312154109370</v>
      </c>
      <c r="B7369" t="str">
        <f>"1552376469363756"</f>
        <v>1552376469363756</v>
      </c>
      <c r="C7369" t="s">
        <v>40</v>
      </c>
      <c r="D7369">
        <v>4.3411660000000003</v>
      </c>
      <c r="E7369">
        <v>0.44416729999999999</v>
      </c>
      <c r="F7369" t="s">
        <v>42</v>
      </c>
      <c r="G7369">
        <v>-396.65120000000002</v>
      </c>
      <c r="H7369" s="1">
        <v>-1.9854800000000002E-6</v>
      </c>
      <c r="I7369">
        <v>17.237079999999999</v>
      </c>
      <c r="J7369">
        <v>-409.57530000000003</v>
      </c>
      <c r="K7369">
        <v>1.1126510000000001</v>
      </c>
      <c r="L7369">
        <v>27.597169999999998</v>
      </c>
      <c r="M7369">
        <v>0.64076669999999902</v>
      </c>
      <c r="N7369">
        <v>0</v>
      </c>
      <c r="O7369">
        <v>-0.76764919999999903</v>
      </c>
      <c r="P7369">
        <v>0.68187089999999995</v>
      </c>
      <c r="Q7369">
        <v>-1.0852219999999999E-2</v>
      </c>
      <c r="R7369">
        <v>-0.7313923</v>
      </c>
      <c r="S7369">
        <v>2.362457</v>
      </c>
      <c r="T7369">
        <v>-0.20237669999999999</v>
      </c>
      <c r="U7369">
        <v>-1.897583</v>
      </c>
      <c r="V7369">
        <v>-5.479291E-2</v>
      </c>
      <c r="W7369">
        <v>3.2741219999999998E-4</v>
      </c>
      <c r="X7369">
        <v>0.99849770000000004</v>
      </c>
      <c r="Y7369">
        <v>-0.19569600000000001</v>
      </c>
      <c r="Z7369">
        <v>5.5406629999999998E-2</v>
      </c>
      <c r="AA7369">
        <v>0.97909809999999997</v>
      </c>
      <c r="AB7369">
        <v>18</v>
      </c>
      <c r="AC7369">
        <v>12.924099999999999</v>
      </c>
      <c r="AD7369">
        <v>-1.11265298548</v>
      </c>
      <c r="AE7369">
        <v>-10.36009</v>
      </c>
      <c r="AF7369">
        <v>-3.2682451261496199</v>
      </c>
      <c r="AG7369">
        <v>-1.11265298548</v>
      </c>
      <c r="AH7369">
        <v>16.162396612313302</v>
      </c>
      <c r="AI7369">
        <v>93.860258201167895</v>
      </c>
      <c r="AJ7369">
        <v>101.431793853106</v>
      </c>
      <c r="AK7369">
        <v>16.5270229359197</v>
      </c>
      <c r="AL7369">
        <v>89.9812406626978</v>
      </c>
      <c r="AM7369">
        <v>93.140975627586897</v>
      </c>
      <c r="AN7369">
        <v>1.0000000135451499</v>
      </c>
    </row>
    <row r="7370" spans="1:40" x14ac:dyDescent="0.25">
      <c r="A7370" t="str">
        <f>"20190312154109381"</f>
        <v>20190312154109381</v>
      </c>
      <c r="B7370" t="str">
        <f>"1552376469373516"</f>
        <v>1552376469373516</v>
      </c>
      <c r="C7370" t="s">
        <v>40</v>
      </c>
      <c r="D7370">
        <v>4.2853019999999997</v>
      </c>
      <c r="E7370">
        <v>0.44416729999999999</v>
      </c>
      <c r="F7370" t="s">
        <v>42</v>
      </c>
      <c r="G7370">
        <v>-396.49110000000002</v>
      </c>
      <c r="H7370" s="1">
        <v>-2.0693479999999999E-6</v>
      </c>
      <c r="I7370">
        <v>17.19116</v>
      </c>
      <c r="J7370">
        <v>-409.52050000000003</v>
      </c>
      <c r="K7370">
        <v>1.1127279999999999</v>
      </c>
      <c r="L7370">
        <v>27.535520000000002</v>
      </c>
      <c r="M7370">
        <v>0.64251359999999902</v>
      </c>
      <c r="N7370">
        <v>0</v>
      </c>
      <c r="O7370">
        <v>-0.766185</v>
      </c>
      <c r="P7370">
        <v>0.683168</v>
      </c>
      <c r="Q7370">
        <v>-1.0886130000000001E-2</v>
      </c>
      <c r="R7370">
        <v>-0.7301801</v>
      </c>
      <c r="S7370">
        <v>2.3724980000000002</v>
      </c>
      <c r="T7370">
        <v>-0.20175199999999999</v>
      </c>
      <c r="U7370">
        <v>-1.886871</v>
      </c>
      <c r="V7370">
        <v>-5.4290119999999997E-2</v>
      </c>
      <c r="W7370">
        <v>4.5806569999999998E-4</v>
      </c>
      <c r="X7370">
        <v>0.99852510000000005</v>
      </c>
      <c r="Y7370">
        <v>-0.19819890000000001</v>
      </c>
      <c r="Z7370">
        <v>5.5184740000000003E-2</v>
      </c>
      <c r="AA7370">
        <v>0.97860709999999995</v>
      </c>
      <c r="AB7370">
        <v>18</v>
      </c>
      <c r="AC7370">
        <v>13.029400000000001</v>
      </c>
      <c r="AD7370">
        <v>-1.112730069348</v>
      </c>
      <c r="AE7370">
        <v>-10.34436</v>
      </c>
      <c r="AF7370">
        <v>-3.3219061885765901</v>
      </c>
      <c r="AG7370">
        <v>-1.112730069348</v>
      </c>
      <c r="AH7370">
        <v>16.2257871839819</v>
      </c>
      <c r="AI7370">
        <v>93.843602851732697</v>
      </c>
      <c r="AJ7370">
        <v>101.570282115599</v>
      </c>
      <c r="AK7370">
        <v>16.599680679844599</v>
      </c>
      <c r="AL7370">
        <v>89.973754767762401</v>
      </c>
      <c r="AM7370">
        <v>93.112125135484007</v>
      </c>
      <c r="AN7370">
        <v>1.0000000011418999</v>
      </c>
    </row>
    <row r="7371" spans="1:40" x14ac:dyDescent="0.25">
      <c r="A7371" t="str">
        <f>"20190312154109391"</f>
        <v>20190312154109391</v>
      </c>
      <c r="B7371" t="str">
        <f>"1552376469384252"</f>
        <v>1552376469384252</v>
      </c>
      <c r="C7371" t="s">
        <v>40</v>
      </c>
      <c r="D7371">
        <v>4.5057850000000004</v>
      </c>
      <c r="E7371">
        <v>0.41464259999999997</v>
      </c>
      <c r="F7371" t="s">
        <v>42</v>
      </c>
      <c r="G7371">
        <v>-396.40949999999998</v>
      </c>
      <c r="H7371" s="1">
        <v>-2.1156999999999999E-6</v>
      </c>
      <c r="I7371">
        <v>17.147300000000001</v>
      </c>
      <c r="J7371">
        <v>-409.46530000000001</v>
      </c>
      <c r="K7371">
        <v>1.1128020000000001</v>
      </c>
      <c r="L7371">
        <v>27.473880000000001</v>
      </c>
      <c r="M7371">
        <v>0.64430989999999999</v>
      </c>
      <c r="N7371">
        <v>0</v>
      </c>
      <c r="O7371">
        <v>-0.76467269999999998</v>
      </c>
      <c r="P7371">
        <v>0.68462639999999997</v>
      </c>
      <c r="Q7371">
        <v>-1.125044E-2</v>
      </c>
      <c r="R7371">
        <v>-0.7288076</v>
      </c>
      <c r="S7371">
        <v>2.376007</v>
      </c>
      <c r="T7371">
        <v>-0.20165060000000001</v>
      </c>
      <c r="U7371">
        <v>-1.882568</v>
      </c>
      <c r="V7371">
        <v>-5.3943970000000001E-2</v>
      </c>
      <c r="W7371">
        <v>2.49211E-4</v>
      </c>
      <c r="X7371">
        <v>0.99854390000000004</v>
      </c>
      <c r="Y7371">
        <v>-0.1976945</v>
      </c>
      <c r="Z7371">
        <v>5.5056389999999997E-2</v>
      </c>
      <c r="AA7371">
        <v>0.97871640000000004</v>
      </c>
      <c r="AB7371">
        <v>18</v>
      </c>
      <c r="AC7371">
        <v>13.0558</v>
      </c>
      <c r="AD7371">
        <v>-1.1128041156999999</v>
      </c>
      <c r="AE7371">
        <v>-10.3265799999999</v>
      </c>
      <c r="AF7371">
        <v>-3.3153136834458001</v>
      </c>
      <c r="AG7371">
        <v>-1.1128041156999999</v>
      </c>
      <c r="AH7371">
        <v>16.237016393928499</v>
      </c>
      <c r="AI7371">
        <v>93.841619074689902</v>
      </c>
      <c r="AJ7371">
        <v>101.540165634437</v>
      </c>
      <c r="AK7371">
        <v>16.6093449357964</v>
      </c>
      <c r="AL7371">
        <v>89.985721260874399</v>
      </c>
      <c r="AM7371">
        <v>93.092262970089905</v>
      </c>
      <c r="AN7371">
        <v>0.99999996711634598</v>
      </c>
    </row>
    <row r="7372" spans="1:40" x14ac:dyDescent="0.25">
      <c r="A7372" t="str">
        <f>"20190312154109403"</f>
        <v>20190312154109403</v>
      </c>
      <c r="B7372" t="str">
        <f>"1552376469393651"</f>
        <v>1552376469393651</v>
      </c>
      <c r="C7372" t="s">
        <v>40</v>
      </c>
      <c r="D7372">
        <v>4.2822209999999998</v>
      </c>
      <c r="E7372">
        <v>0.40818969999999999</v>
      </c>
      <c r="F7372" t="s">
        <v>42</v>
      </c>
      <c r="G7372">
        <v>-392.32249999999999</v>
      </c>
      <c r="H7372" s="1">
        <v>-4.2628850000000001E-6</v>
      </c>
      <c r="I7372">
        <v>15.93389</v>
      </c>
      <c r="J7372">
        <v>-409.40499999999997</v>
      </c>
      <c r="K7372">
        <v>1.1128769999999999</v>
      </c>
      <c r="L7372">
        <v>27.4068</v>
      </c>
      <c r="M7372">
        <v>0.64630750000000003</v>
      </c>
      <c r="N7372">
        <v>0</v>
      </c>
      <c r="O7372">
        <v>-0.76298219999999894</v>
      </c>
      <c r="P7372">
        <v>0.68630389999999997</v>
      </c>
      <c r="Q7372">
        <v>-1.16141E-2</v>
      </c>
      <c r="R7372">
        <v>-0.72722229999999999</v>
      </c>
      <c r="S7372">
        <v>2.551056</v>
      </c>
      <c r="T7372">
        <v>-0.16559860000000001</v>
      </c>
      <c r="U7372">
        <v>-1.717285</v>
      </c>
      <c r="V7372">
        <v>-5.3634000000000001E-2</v>
      </c>
      <c r="W7372" s="1">
        <v>4.7030509999999997E-5</v>
      </c>
      <c r="X7372">
        <v>0.99856069999999997</v>
      </c>
      <c r="Y7372">
        <v>-0.27091749999999998</v>
      </c>
      <c r="Z7372">
        <v>4.5844379999999997E-2</v>
      </c>
      <c r="AA7372">
        <v>0.96151019999999998</v>
      </c>
      <c r="AB7372">
        <v>18</v>
      </c>
      <c r="AC7372">
        <v>17.0824999999999</v>
      </c>
      <c r="AD7372">
        <v>-1.112881262885</v>
      </c>
      <c r="AE7372">
        <v>-11.472910000000001</v>
      </c>
      <c r="AF7372">
        <v>-5.6026354504882301</v>
      </c>
      <c r="AG7372">
        <v>-1.112881262885</v>
      </c>
      <c r="AH7372">
        <v>19.737876326484901</v>
      </c>
      <c r="AI7372">
        <v>93.104694252201099</v>
      </c>
      <c r="AJ7372">
        <v>105.846698657156</v>
      </c>
      <c r="AK7372">
        <v>20.547792839523201</v>
      </c>
      <c r="AL7372">
        <v>89.9973053503751</v>
      </c>
      <c r="AM7372">
        <v>93.074476932078895</v>
      </c>
      <c r="AN7372">
        <v>1.0000000398761699</v>
      </c>
    </row>
    <row r="7373" spans="1:40" x14ac:dyDescent="0.25">
      <c r="A7373" t="str">
        <f>"20190312154109414"</f>
        <v>20190312154109414</v>
      </c>
      <c r="B7373" t="str">
        <f>"1552376469403411"</f>
        <v>1552376469403411</v>
      </c>
      <c r="C7373" t="s">
        <v>40</v>
      </c>
      <c r="D7373">
        <v>4.3003169999999997</v>
      </c>
      <c r="E7373">
        <v>0.4032886</v>
      </c>
      <c r="F7373" t="s">
        <v>42</v>
      </c>
      <c r="G7373">
        <v>-393.33600000000001</v>
      </c>
      <c r="H7373" s="1">
        <v>-3.5909679999999898E-6</v>
      </c>
      <c r="I7373">
        <v>17.020820000000001</v>
      </c>
      <c r="J7373">
        <v>-409.34570000000002</v>
      </c>
      <c r="K7373">
        <v>1.1129549999999999</v>
      </c>
      <c r="L7373">
        <v>27.341370000000001</v>
      </c>
      <c r="M7373">
        <v>0.64830069999999995</v>
      </c>
      <c r="N7373">
        <v>0</v>
      </c>
      <c r="O7373">
        <v>-0.76128699999999905</v>
      </c>
      <c r="P7373">
        <v>0.68829830000000003</v>
      </c>
      <c r="Q7373">
        <v>-1.197055E-2</v>
      </c>
      <c r="R7373">
        <v>-0.72532919999999901</v>
      </c>
      <c r="S7373">
        <v>2.59259</v>
      </c>
      <c r="T7373">
        <v>-0.17955389999999999</v>
      </c>
      <c r="U7373">
        <v>-1.6756899999999999</v>
      </c>
      <c r="V7373">
        <v>-5.3764939999999997E-2</v>
      </c>
      <c r="W7373">
        <v>-1.625322E-4</v>
      </c>
      <c r="X7373">
        <v>0.99855360000000004</v>
      </c>
      <c r="Y7373">
        <v>-0.286136</v>
      </c>
      <c r="Z7373">
        <v>4.9731919999999999E-2</v>
      </c>
      <c r="AA7373">
        <v>0.95689760000000001</v>
      </c>
      <c r="AB7373">
        <v>18</v>
      </c>
      <c r="AC7373">
        <v>16.009699999999999</v>
      </c>
      <c r="AD7373">
        <v>-1.112958590968</v>
      </c>
      <c r="AE7373">
        <v>-10.320550000000001</v>
      </c>
      <c r="AF7373">
        <v>-5.4788596216001304</v>
      </c>
      <c r="AG7373">
        <v>-1.112958590968</v>
      </c>
      <c r="AH7373">
        <v>18.175302444828699</v>
      </c>
      <c r="AI7373">
        <v>93.355341836232896</v>
      </c>
      <c r="AJ7373">
        <v>106.775186438682</v>
      </c>
      <c r="AK7373">
        <v>19.015735550838102</v>
      </c>
      <c r="AL7373">
        <v>90.009312409195203</v>
      </c>
      <c r="AM7373">
        <v>93.081990261564897</v>
      </c>
      <c r="AN7373">
        <v>0.99999999363143899</v>
      </c>
    </row>
    <row r="7374" spans="1:40" x14ac:dyDescent="0.25">
      <c r="A7374" t="str">
        <f>"20190312154109424"</f>
        <v>20190312154109424</v>
      </c>
      <c r="B7374" t="str">
        <f>"1552376469414146"</f>
        <v>1552376469414146</v>
      </c>
      <c r="C7374" t="s">
        <v>40</v>
      </c>
      <c r="D7374">
        <v>4.3708039999999997</v>
      </c>
      <c r="E7374">
        <v>0.40114070000000002</v>
      </c>
      <c r="F7374" t="s">
        <v>42</v>
      </c>
      <c r="G7374">
        <v>-394.03859999999997</v>
      </c>
      <c r="H7374" s="1">
        <v>-3.1252990000000001E-6</v>
      </c>
      <c r="I7374">
        <v>17.77373</v>
      </c>
      <c r="J7374">
        <v>-409.28719999999998</v>
      </c>
      <c r="K7374">
        <v>1.11303</v>
      </c>
      <c r="L7374">
        <v>27.277439999999999</v>
      </c>
      <c r="M7374">
        <v>0.65031719999999904</v>
      </c>
      <c r="N7374">
        <v>0</v>
      </c>
      <c r="O7374">
        <v>-0.75956279999999998</v>
      </c>
      <c r="P7374">
        <v>0.69015709999999997</v>
      </c>
      <c r="Q7374">
        <v>-1.2141000000000001E-2</v>
      </c>
      <c r="R7374">
        <v>-0.72355819999999904</v>
      </c>
      <c r="S7374">
        <v>2.6257320000000002</v>
      </c>
      <c r="T7374">
        <v>-0.19091369999999999</v>
      </c>
      <c r="U7374">
        <v>-1.641205</v>
      </c>
      <c r="V7374">
        <v>-5.3679230000000001E-2</v>
      </c>
      <c r="W7374">
        <v>-1.9647269999999999E-4</v>
      </c>
      <c r="X7374">
        <v>0.99855819999999995</v>
      </c>
      <c r="Y7374">
        <v>-0.29790559999999899</v>
      </c>
      <c r="Z7374">
        <v>5.2872879999999997E-2</v>
      </c>
      <c r="AA7374">
        <v>0.95312989999999997</v>
      </c>
      <c r="AB7374">
        <v>18</v>
      </c>
      <c r="AC7374">
        <v>15.2486</v>
      </c>
      <c r="AD7374">
        <v>-1.113033125299</v>
      </c>
      <c r="AE7374">
        <v>-9.5037099999999999</v>
      </c>
      <c r="AF7374">
        <v>-5.3816025802271801</v>
      </c>
      <c r="AG7374">
        <v>-1.113033125299</v>
      </c>
      <c r="AH7374">
        <v>17.0708864098631</v>
      </c>
      <c r="AI7374">
        <v>93.5582900075471</v>
      </c>
      <c r="AJ7374">
        <v>107.49747455556</v>
      </c>
      <c r="AK7374">
        <v>17.9336458058023</v>
      </c>
      <c r="AL7374">
        <v>90.0112570567007</v>
      </c>
      <c r="AM7374">
        <v>93.077072372742094</v>
      </c>
      <c r="AN7374">
        <v>0.99999998856107697</v>
      </c>
    </row>
    <row r="7375" spans="1:40" x14ac:dyDescent="0.25">
      <c r="A7375" t="str">
        <f>"20190312154109435"</f>
        <v>20190312154109435</v>
      </c>
      <c r="B7375" t="str">
        <f>"1552376469423907"</f>
        <v>1552376469423907</v>
      </c>
      <c r="C7375" t="s">
        <v>40</v>
      </c>
      <c r="D7375">
        <v>4.3330479999999998</v>
      </c>
      <c r="E7375">
        <v>0.39972380000000002</v>
      </c>
      <c r="F7375" t="s">
        <v>42</v>
      </c>
      <c r="G7375">
        <v>-394.38819999999998</v>
      </c>
      <c r="H7375" s="1">
        <v>-2.8970450000000001E-6</v>
      </c>
      <c r="I7375">
        <v>18.128910000000001</v>
      </c>
      <c r="J7375">
        <v>-409.22890000000001</v>
      </c>
      <c r="K7375">
        <v>1.113108</v>
      </c>
      <c r="L7375">
        <v>27.213930000000001</v>
      </c>
      <c r="M7375">
        <v>0.65234539999999996</v>
      </c>
      <c r="N7375">
        <v>0</v>
      </c>
      <c r="O7375">
        <v>-0.75781940000000003</v>
      </c>
      <c r="P7375">
        <v>0.69231929999999997</v>
      </c>
      <c r="Q7375">
        <v>-1.241861E-2</v>
      </c>
      <c r="R7375">
        <v>-0.72148459999999903</v>
      </c>
      <c r="S7375">
        <v>2.6423030000000001</v>
      </c>
      <c r="T7375">
        <v>-0.1973935</v>
      </c>
      <c r="U7375">
        <v>-1.6224670000000001</v>
      </c>
      <c r="V7375">
        <v>-5.3999199999999997E-2</v>
      </c>
      <c r="W7375">
        <v>-3.4563440000000002E-4</v>
      </c>
      <c r="X7375">
        <v>0.99854089999999995</v>
      </c>
      <c r="Y7375">
        <v>-0.30282910000000002</v>
      </c>
      <c r="Z7375">
        <v>5.4606839999999997E-2</v>
      </c>
      <c r="AA7375">
        <v>0.95147919999999997</v>
      </c>
      <c r="AB7375">
        <v>18</v>
      </c>
      <c r="AC7375">
        <v>14.8407</v>
      </c>
      <c r="AD7375">
        <v>-1.1131108970450001</v>
      </c>
      <c r="AE7375">
        <v>-9.0850199999999894</v>
      </c>
      <c r="AF7375">
        <v>-5.2987295205017304</v>
      </c>
      <c r="AG7375">
        <v>-1.1131108970450001</v>
      </c>
      <c r="AH7375">
        <v>16.499834135692002</v>
      </c>
      <c r="AI7375">
        <v>93.6751239398736</v>
      </c>
      <c r="AJ7375">
        <v>107.80381632797101</v>
      </c>
      <c r="AK7375">
        <v>17.3654852194203</v>
      </c>
      <c r="AL7375">
        <v>90.019803393144699</v>
      </c>
      <c r="AM7375">
        <v>93.095432080981894</v>
      </c>
      <c r="AN7375">
        <v>0.99999998101829402</v>
      </c>
    </row>
    <row r="7376" spans="1:40" x14ac:dyDescent="0.25">
      <c r="A7376" t="str">
        <f>"20190312154109446"</f>
        <v>20190312154109446</v>
      </c>
      <c r="B7376" t="str">
        <f>"1552376469443427"</f>
        <v>1552376469443427</v>
      </c>
      <c r="C7376" t="s">
        <v>40</v>
      </c>
      <c r="D7376">
        <v>4.2849539999999999</v>
      </c>
      <c r="E7376">
        <v>0.39810909999999999</v>
      </c>
      <c r="F7376" t="s">
        <v>42</v>
      </c>
      <c r="G7376">
        <v>-394.63080000000002</v>
      </c>
      <c r="H7376" s="1">
        <v>-2.7374849999999998E-6</v>
      </c>
      <c r="I7376">
        <v>18.381889999999999</v>
      </c>
      <c r="J7376">
        <v>-409.1712</v>
      </c>
      <c r="K7376">
        <v>1.1131879999999901</v>
      </c>
      <c r="L7376">
        <v>27.151700000000002</v>
      </c>
      <c r="M7376">
        <v>0.65442140000000004</v>
      </c>
      <c r="N7376">
        <v>0</v>
      </c>
      <c r="O7376">
        <v>-0.75602480000000005</v>
      </c>
      <c r="P7376">
        <v>0.69461839999999997</v>
      </c>
      <c r="Q7376">
        <v>-1.2079889999999999E-2</v>
      </c>
      <c r="R7376">
        <v>-0.7192771</v>
      </c>
      <c r="S7376">
        <v>2.6554259999999998</v>
      </c>
      <c r="T7376">
        <v>-0.2024773</v>
      </c>
      <c r="U7376">
        <v>-1.6065670000000001</v>
      </c>
      <c r="V7376">
        <v>-5.4444859999999998E-2</v>
      </c>
      <c r="W7376">
        <v>1.08544E-4</v>
      </c>
      <c r="X7376">
        <v>0.99851679999999998</v>
      </c>
      <c r="Y7376">
        <v>-0.30638729999999997</v>
      </c>
      <c r="Z7376">
        <v>5.5942230000000003E-2</v>
      </c>
      <c r="AA7376">
        <v>0.95026169999999999</v>
      </c>
      <c r="AB7376">
        <v>18</v>
      </c>
      <c r="AC7376">
        <v>14.540399999999901</v>
      </c>
      <c r="AD7376">
        <v>-1.1131907374850001</v>
      </c>
      <c r="AE7376">
        <v>-8.7698099999999997</v>
      </c>
      <c r="AF7376">
        <v>-5.2316850565297299</v>
      </c>
      <c r="AG7376">
        <v>-1.1131907374850001</v>
      </c>
      <c r="AH7376">
        <v>16.077928042546699</v>
      </c>
      <c r="AI7376">
        <v>93.766876192268498</v>
      </c>
      <c r="AJ7376">
        <v>108.02465363487001</v>
      </c>
      <c r="AK7376">
        <v>16.944305600703998</v>
      </c>
      <c r="AL7376">
        <v>89.993780887065597</v>
      </c>
      <c r="AM7376">
        <v>93.121003826721605</v>
      </c>
      <c r="AN7376">
        <v>1.00000002722222</v>
      </c>
    </row>
    <row r="7377" spans="1:40" x14ac:dyDescent="0.25">
      <c r="A7377" t="str">
        <f>"20190312154109459"</f>
        <v>20190312154109459</v>
      </c>
      <c r="B7377" t="str">
        <f>"1552376469454162"</f>
        <v>1552376469454162</v>
      </c>
      <c r="C7377" t="s">
        <v>40</v>
      </c>
      <c r="D7377">
        <v>4.2975440000000003</v>
      </c>
      <c r="E7377">
        <v>0.39770549999999999</v>
      </c>
      <c r="F7377" t="s">
        <v>42</v>
      </c>
      <c r="G7377">
        <v>-395.04660000000001</v>
      </c>
      <c r="H7377" s="1">
        <v>-2.476412E-6</v>
      </c>
      <c r="I7377">
        <v>18.745819999999998</v>
      </c>
      <c r="J7377">
        <v>-409.10680000000002</v>
      </c>
      <c r="K7377">
        <v>1.1132690000000001</v>
      </c>
      <c r="L7377">
        <v>27.08249</v>
      </c>
      <c r="M7377">
        <v>0.65675399999999995</v>
      </c>
      <c r="N7377">
        <v>0</v>
      </c>
      <c r="O7377">
        <v>-0.75399740000000004</v>
      </c>
      <c r="P7377">
        <v>0.69714960000000004</v>
      </c>
      <c r="Q7377">
        <v>-1.162644E-2</v>
      </c>
      <c r="R7377">
        <v>-0.71683200000000002</v>
      </c>
      <c r="S7377">
        <v>2.6699220000000001</v>
      </c>
      <c r="T7377">
        <v>-0.21042159999999999</v>
      </c>
      <c r="U7377">
        <v>-1.5889279999999999</v>
      </c>
      <c r="V7377">
        <v>-5.487765E-2</v>
      </c>
      <c r="W7377">
        <v>6.8790119999999897E-4</v>
      </c>
      <c r="X7377">
        <v>0.99849279999999996</v>
      </c>
      <c r="Y7377">
        <v>-0.31021840000000001</v>
      </c>
      <c r="Z7377">
        <v>5.80472E-2</v>
      </c>
      <c r="AA7377">
        <v>0.9488915</v>
      </c>
      <c r="AB7377">
        <v>18</v>
      </c>
      <c r="AC7377">
        <v>14.0602</v>
      </c>
      <c r="AD7377">
        <v>-1.113271476412</v>
      </c>
      <c r="AE7377">
        <v>-8.3366699999999998</v>
      </c>
      <c r="AF7377">
        <v>-5.1029580416496199</v>
      </c>
      <c r="AG7377">
        <v>-1.113271476412</v>
      </c>
      <c r="AH7377">
        <v>15.4495146805021</v>
      </c>
      <c r="AI7377">
        <v>93.914241890827498</v>
      </c>
      <c r="AJ7377">
        <v>108.27833356649801</v>
      </c>
      <c r="AK7377">
        <v>16.308496497779299</v>
      </c>
      <c r="AL7377">
        <v>89.960586159464995</v>
      </c>
      <c r="AM7377">
        <v>93.145838962572697</v>
      </c>
      <c r="AN7377">
        <v>0.99999995066471004</v>
      </c>
    </row>
    <row r="7378" spans="1:40" x14ac:dyDescent="0.25">
      <c r="A7378" t="str">
        <f>"20190312154109470"</f>
        <v>20190312154109470</v>
      </c>
      <c r="B7378" t="str">
        <f>"1552376469463923"</f>
        <v>1552376469463923</v>
      </c>
      <c r="C7378" t="s">
        <v>40</v>
      </c>
      <c r="D7378">
        <v>4.4721880000000001</v>
      </c>
      <c r="E7378">
        <v>0.3974647</v>
      </c>
      <c r="F7378" t="s">
        <v>42</v>
      </c>
      <c r="G7378">
        <v>-395.0806</v>
      </c>
      <c r="H7378" s="1">
        <v>-2.4469529999999998E-6</v>
      </c>
      <c r="I7378">
        <v>18.82113</v>
      </c>
      <c r="J7378">
        <v>-409.03829999999999</v>
      </c>
      <c r="K7378">
        <v>1.113354</v>
      </c>
      <c r="L7378">
        <v>27.009889999999999</v>
      </c>
      <c r="M7378">
        <v>0.65931139999999999</v>
      </c>
      <c r="N7378">
        <v>0</v>
      </c>
      <c r="O7378">
        <v>-0.75175970000000003</v>
      </c>
      <c r="P7378">
        <v>0.69990240000000004</v>
      </c>
      <c r="Q7378">
        <v>-1.1262670000000001E-2</v>
      </c>
      <c r="R7378">
        <v>-0.714149699999999</v>
      </c>
      <c r="S7378">
        <v>2.6778870000000001</v>
      </c>
      <c r="T7378">
        <v>-0.21254719999999999</v>
      </c>
      <c r="U7378">
        <v>-1.5772710000000001</v>
      </c>
      <c r="V7378">
        <v>-5.5326599999999997E-2</v>
      </c>
      <c r="W7378">
        <v>1.172368E-3</v>
      </c>
      <c r="X7378">
        <v>0.99846760000000001</v>
      </c>
      <c r="Y7378">
        <v>-0.31125649999999999</v>
      </c>
      <c r="Z7378">
        <v>5.8514990000000003E-2</v>
      </c>
      <c r="AA7378">
        <v>0.94852270000000005</v>
      </c>
      <c r="AB7378">
        <v>18</v>
      </c>
      <c r="AC7378">
        <v>13.9576999999999</v>
      </c>
      <c r="AD7378">
        <v>-1.113356446953</v>
      </c>
      <c r="AE7378">
        <v>-8.1887600000000003</v>
      </c>
      <c r="AF7378">
        <v>-5.0703158938837101</v>
      </c>
      <c r="AG7378">
        <v>-1.113356446953</v>
      </c>
      <c r="AH7378">
        <v>15.2873621981445</v>
      </c>
      <c r="AI7378">
        <v>93.9543207960253</v>
      </c>
      <c r="AJ7378">
        <v>108.34898731728499</v>
      </c>
      <c r="AK7378">
        <v>16.1446928994948</v>
      </c>
      <c r="AL7378">
        <v>89.932828244677296</v>
      </c>
      <c r="AM7378">
        <v>93.171602394979701</v>
      </c>
      <c r="AN7378">
        <v>0.99999997768202298</v>
      </c>
    </row>
    <row r="7379" spans="1:40" x14ac:dyDescent="0.25">
      <c r="A7379" t="str">
        <f>"20190312154109483"</f>
        <v>20190312154109483</v>
      </c>
      <c r="B7379" t="str">
        <f>"1552376469473682"</f>
        <v>1552376469473682</v>
      </c>
      <c r="C7379" t="s">
        <v>40</v>
      </c>
      <c r="D7379">
        <v>4.3391929999999999</v>
      </c>
      <c r="E7379">
        <v>0.397316</v>
      </c>
      <c r="F7379" t="s">
        <v>42</v>
      </c>
      <c r="G7379">
        <v>-395.09140000000002</v>
      </c>
      <c r="H7379" s="1">
        <v>-2.4317540000000002E-6</v>
      </c>
      <c r="I7379">
        <v>18.87819</v>
      </c>
      <c r="J7379">
        <v>-408.97340000000003</v>
      </c>
      <c r="K7379">
        <v>1.1134310000000001</v>
      </c>
      <c r="L7379">
        <v>26.94162</v>
      </c>
      <c r="M7379">
        <v>0.6617653</v>
      </c>
      <c r="N7379">
        <v>0</v>
      </c>
      <c r="O7379">
        <v>-0.7495984</v>
      </c>
      <c r="P7379">
        <v>0.702758199999999</v>
      </c>
      <c r="Q7379">
        <v>-1.129812E-2</v>
      </c>
      <c r="R7379">
        <v>-0.7113391</v>
      </c>
      <c r="S7379">
        <v>2.685333</v>
      </c>
      <c r="T7379">
        <v>-0.21436520000000001</v>
      </c>
      <c r="U7379">
        <v>-1.565674</v>
      </c>
      <c r="V7379">
        <v>-5.6063109999999999E-2</v>
      </c>
      <c r="W7379">
        <v>1.241986E-3</v>
      </c>
      <c r="X7379">
        <v>0.99842640000000005</v>
      </c>
      <c r="Y7379">
        <v>-0.31232199999999999</v>
      </c>
      <c r="Z7379">
        <v>5.8907939999999999E-2</v>
      </c>
      <c r="AA7379">
        <v>0.94814810000000005</v>
      </c>
      <c r="AB7379">
        <v>18</v>
      </c>
      <c r="AC7379">
        <v>13.882</v>
      </c>
      <c r="AD7379">
        <v>-1.113433431754</v>
      </c>
      <c r="AE7379">
        <v>-8.0634300000000003</v>
      </c>
      <c r="AF7379">
        <v>-5.0459827645028499</v>
      </c>
      <c r="AG7379">
        <v>-1.113433431754</v>
      </c>
      <c r="AH7379">
        <v>15.1593269454739</v>
      </c>
      <c r="AI7379">
        <v>93.986463990345001</v>
      </c>
      <c r="AJ7379">
        <v>108.410704753991</v>
      </c>
      <c r="AK7379">
        <v>16.0158318393512</v>
      </c>
      <c r="AL7379">
        <v>89.928839421814601</v>
      </c>
      <c r="AM7379">
        <v>93.213867315857598</v>
      </c>
      <c r="AN7379">
        <v>0.99999994552452598</v>
      </c>
    </row>
    <row r="7380" spans="1:40" x14ac:dyDescent="0.25">
      <c r="A7380" t="str">
        <f>"20190312154109496"</f>
        <v>20190312154109496</v>
      </c>
      <c r="B7380" t="str">
        <f>"1552376469483443"</f>
        <v>1552376469483443</v>
      </c>
      <c r="C7380" t="s">
        <v>40</v>
      </c>
      <c r="D7380">
        <v>4.3288699999999896</v>
      </c>
      <c r="E7380">
        <v>0.39716869999999999</v>
      </c>
      <c r="F7380" t="s">
        <v>42</v>
      </c>
      <c r="G7380">
        <v>-395.14440000000002</v>
      </c>
      <c r="H7380" s="1">
        <v>-2.392132E-6</v>
      </c>
      <c r="I7380">
        <v>18.960270000000001</v>
      </c>
      <c r="J7380">
        <v>-408.90289999999999</v>
      </c>
      <c r="K7380">
        <v>1.1135079999999999</v>
      </c>
      <c r="L7380">
        <v>26.867830000000001</v>
      </c>
      <c r="M7380">
        <v>0.66447400000000001</v>
      </c>
      <c r="N7380">
        <v>0</v>
      </c>
      <c r="O7380">
        <v>-0.74719650000000004</v>
      </c>
      <c r="P7380">
        <v>0.70565500000000003</v>
      </c>
      <c r="Q7380">
        <v>-1.132144E-2</v>
      </c>
      <c r="R7380">
        <v>-0.70846549999999997</v>
      </c>
      <c r="S7380">
        <v>2.6924440000000001</v>
      </c>
      <c r="T7380">
        <v>-0.21677920000000001</v>
      </c>
      <c r="U7380">
        <v>-1.553925</v>
      </c>
      <c r="V7380">
        <v>-5.6522999999999997E-2</v>
      </c>
      <c r="W7380">
        <v>1.329724E-3</v>
      </c>
      <c r="X7380">
        <v>0.99840039999999997</v>
      </c>
      <c r="Y7380">
        <v>-0.31303130000000001</v>
      </c>
      <c r="Z7380">
        <v>5.9445230000000002E-2</v>
      </c>
      <c r="AA7380">
        <v>0.94788059999999996</v>
      </c>
      <c r="AB7380">
        <v>18</v>
      </c>
      <c r="AC7380">
        <v>13.7584999999999</v>
      </c>
      <c r="AD7380">
        <v>-1.113510392132</v>
      </c>
      <c r="AE7380">
        <v>-7.9075599999999904</v>
      </c>
      <c r="AF7380">
        <v>-5.0017396598906299</v>
      </c>
      <c r="AG7380">
        <v>-1.113510392132</v>
      </c>
      <c r="AH7380">
        <v>14.9782112457052</v>
      </c>
      <c r="AI7380">
        <v>94.033495544793098</v>
      </c>
      <c r="AJ7380">
        <v>108.465936836555</v>
      </c>
      <c r="AK7380">
        <v>15.830480635144299</v>
      </c>
      <c r="AL7380">
        <v>89.923812403532196</v>
      </c>
      <c r="AM7380">
        <v>93.240259170960996</v>
      </c>
      <c r="AN7380">
        <v>0.99999998820753699</v>
      </c>
    </row>
    <row r="7381" spans="1:40" x14ac:dyDescent="0.25">
      <c r="A7381" t="str">
        <f>"20190312154109508"</f>
        <v>20190312154109508</v>
      </c>
      <c r="B7381" t="str">
        <f>"1552376469503939"</f>
        <v>1552376469503939</v>
      </c>
      <c r="C7381" t="s">
        <v>40</v>
      </c>
      <c r="D7381">
        <v>4.3147219999999997</v>
      </c>
      <c r="E7381">
        <v>0.39698600000000001</v>
      </c>
      <c r="F7381" t="s">
        <v>42</v>
      </c>
      <c r="G7381">
        <v>-395.30790000000002</v>
      </c>
      <c r="H7381" s="1">
        <v>-2.289138E-6</v>
      </c>
      <c r="I7381">
        <v>19.1051</v>
      </c>
      <c r="J7381">
        <v>-408.8322</v>
      </c>
      <c r="K7381">
        <v>1.1135820000000001</v>
      </c>
      <c r="L7381">
        <v>26.794889999999999</v>
      </c>
      <c r="M7381">
        <v>0.66725080000000003</v>
      </c>
      <c r="N7381">
        <v>0</v>
      </c>
      <c r="O7381">
        <v>-0.74471560000000003</v>
      </c>
      <c r="P7381">
        <v>0.70863920000000002</v>
      </c>
      <c r="Q7381">
        <v>-1.1525809999999999E-2</v>
      </c>
      <c r="R7381">
        <v>-0.70547740000000003</v>
      </c>
      <c r="S7381">
        <v>2.6999819999999999</v>
      </c>
      <c r="T7381">
        <v>-0.2211446</v>
      </c>
      <c r="U7381">
        <v>-1.541687</v>
      </c>
      <c r="V7381">
        <v>-5.7021450000000001E-2</v>
      </c>
      <c r="W7381">
        <v>1.2243429999999999E-3</v>
      </c>
      <c r="X7381">
        <v>0.99837220000000004</v>
      </c>
      <c r="Y7381">
        <v>-0.31379879999999999</v>
      </c>
      <c r="Z7381">
        <v>6.0504950000000002E-2</v>
      </c>
      <c r="AA7381">
        <v>0.94755979999999995</v>
      </c>
      <c r="AB7381">
        <v>18</v>
      </c>
      <c r="AC7381">
        <v>13.524299999999901</v>
      </c>
      <c r="AD7381">
        <v>-1.1135842891379999</v>
      </c>
      <c r="AE7381">
        <v>-7.6897900000000003</v>
      </c>
      <c r="AF7381">
        <v>-4.9159844963332304</v>
      </c>
      <c r="AG7381">
        <v>-1.1135842891379999</v>
      </c>
      <c r="AH7381">
        <v>14.676901854429</v>
      </c>
      <c r="AI7381">
        <v>94.115042324204595</v>
      </c>
      <c r="AJ7381">
        <v>108.518120042958</v>
      </c>
      <c r="AK7381">
        <v>15.5183253472063</v>
      </c>
      <c r="AL7381">
        <v>89.929850295704995</v>
      </c>
      <c r="AM7381">
        <v>93.268863944013006</v>
      </c>
      <c r="AN7381">
        <v>0.99999999725436195</v>
      </c>
    </row>
    <row r="7382" spans="1:40" x14ac:dyDescent="0.25">
      <c r="A7382" t="str">
        <f>"20190312154109520"</f>
        <v>20190312154109520</v>
      </c>
      <c r="B7382" t="str">
        <f>"1552376469513699"</f>
        <v>1552376469513699</v>
      </c>
      <c r="C7382" t="s">
        <v>40</v>
      </c>
      <c r="D7382">
        <v>4.3339400000000001</v>
      </c>
      <c r="E7382">
        <v>0.39694059999999998</v>
      </c>
      <c r="F7382" t="s">
        <v>42</v>
      </c>
      <c r="G7382">
        <v>-395.66120000000001</v>
      </c>
      <c r="H7382" s="1">
        <v>-2.0774779999999998E-6</v>
      </c>
      <c r="I7382">
        <v>19.356950000000001</v>
      </c>
      <c r="J7382">
        <v>-408.76929999999999</v>
      </c>
      <c r="K7382">
        <v>1.11365</v>
      </c>
      <c r="L7382">
        <v>26.73029</v>
      </c>
      <c r="M7382">
        <v>0.66974350000000005</v>
      </c>
      <c r="N7382">
        <v>0</v>
      </c>
      <c r="O7382">
        <v>-0.74247280000000004</v>
      </c>
      <c r="P7382">
        <v>0.71124580000000004</v>
      </c>
      <c r="Q7382">
        <v>-1.1430859999999999E-2</v>
      </c>
      <c r="R7382">
        <v>-0.7028508</v>
      </c>
      <c r="S7382">
        <v>2.7075809999999998</v>
      </c>
      <c r="T7382">
        <v>-0.22892019999999999</v>
      </c>
      <c r="U7382">
        <v>-1.5290220000000001</v>
      </c>
      <c r="V7382">
        <v>-5.7369910000000003E-2</v>
      </c>
      <c r="W7382">
        <v>1.4045869999999999E-3</v>
      </c>
      <c r="X7382">
        <v>0.99835200000000002</v>
      </c>
      <c r="Y7382">
        <v>-0.31496960000000002</v>
      </c>
      <c r="Z7382">
        <v>6.2513460000000007E-2</v>
      </c>
      <c r="AA7382">
        <v>0.94704080000000002</v>
      </c>
      <c r="AB7382">
        <v>18</v>
      </c>
      <c r="AC7382">
        <v>13.108099999999901</v>
      </c>
      <c r="AD7382">
        <v>-1.1136520774779901</v>
      </c>
      <c r="AE7382">
        <v>-7.3733399999999998</v>
      </c>
      <c r="AF7382">
        <v>-4.7684414019388797</v>
      </c>
      <c r="AG7382">
        <v>-1.1136520774779901</v>
      </c>
      <c r="AH7382">
        <v>14.1771014602769</v>
      </c>
      <c r="AI7382">
        <v>94.258054244248896</v>
      </c>
      <c r="AJ7382">
        <v>108.590268984571</v>
      </c>
      <c r="AK7382">
        <v>14.9989486354338</v>
      </c>
      <c r="AL7382">
        <v>89.919523066291902</v>
      </c>
      <c r="AM7382">
        <v>93.288862762257907</v>
      </c>
      <c r="AN7382">
        <v>0.99999999767102399</v>
      </c>
    </row>
    <row r="7383" spans="1:40" x14ac:dyDescent="0.25">
      <c r="A7383" t="str">
        <f>"20190312154109532"</f>
        <v>20190312154109532</v>
      </c>
      <c r="B7383" t="str">
        <f>"1552376469523459"</f>
        <v>1552376469523459</v>
      </c>
      <c r="C7383" t="s">
        <v>40</v>
      </c>
      <c r="D7383">
        <v>4.3160339999999904</v>
      </c>
      <c r="E7383">
        <v>0.39689449999999998</v>
      </c>
      <c r="F7383" t="s">
        <v>42</v>
      </c>
      <c r="G7383">
        <v>-395.72250000000003</v>
      </c>
      <c r="H7383" s="1">
        <v>-2.0353269999999999E-6</v>
      </c>
      <c r="I7383">
        <v>19.431139999999999</v>
      </c>
      <c r="J7383">
        <v>-408.70499999999998</v>
      </c>
      <c r="K7383">
        <v>1.113713</v>
      </c>
      <c r="L7383">
        <v>26.66498</v>
      </c>
      <c r="M7383">
        <v>0.67233849999999995</v>
      </c>
      <c r="N7383">
        <v>0</v>
      </c>
      <c r="O7383">
        <v>-0.74012230000000001</v>
      </c>
      <c r="P7383">
        <v>0.71380769999999905</v>
      </c>
      <c r="Q7383">
        <v>-1.1597110000000001E-2</v>
      </c>
      <c r="R7383">
        <v>-0.70024629999999999</v>
      </c>
      <c r="S7383">
        <v>2.7138369999999998</v>
      </c>
      <c r="T7383">
        <v>-0.2316484</v>
      </c>
      <c r="U7383">
        <v>-1.5182800000000001</v>
      </c>
      <c r="V7383">
        <v>-5.7521299999999997E-2</v>
      </c>
      <c r="W7383">
        <v>1.319233E-3</v>
      </c>
      <c r="X7383">
        <v>0.99834339999999999</v>
      </c>
      <c r="Y7383">
        <v>-0.3153841</v>
      </c>
      <c r="Z7383">
        <v>6.3119750000000002E-2</v>
      </c>
      <c r="AA7383">
        <v>0.9468626</v>
      </c>
      <c r="AB7383">
        <v>18</v>
      </c>
      <c r="AC7383">
        <v>12.9824999999999</v>
      </c>
      <c r="AD7383">
        <v>-1.113715035327</v>
      </c>
      <c r="AE7383">
        <v>-7.2338399999999998</v>
      </c>
      <c r="AF7383">
        <v>-4.7189751937535798</v>
      </c>
      <c r="AG7383">
        <v>-1.113715035327</v>
      </c>
      <c r="AH7383">
        <v>14.005179016337999</v>
      </c>
      <c r="AI7383">
        <v>94.309596551783201</v>
      </c>
      <c r="AJ7383">
        <v>108.62098707931101</v>
      </c>
      <c r="AK7383">
        <v>14.820733022993499</v>
      </c>
      <c r="AL7383">
        <v>89.924413494400696</v>
      </c>
      <c r="AM7383">
        <v>93.297550760465597</v>
      </c>
      <c r="AN7383">
        <v>0.99999999232647896</v>
      </c>
    </row>
    <row r="7384" spans="1:40" x14ac:dyDescent="0.25">
      <c r="A7384" t="str">
        <f>"20190312154109542"</f>
        <v>20190312154109542</v>
      </c>
      <c r="B7384" t="str">
        <f>"1552376469534195"</f>
        <v>1552376469534195</v>
      </c>
      <c r="C7384" t="s">
        <v>40</v>
      </c>
      <c r="D7384">
        <v>4.3457559999999997</v>
      </c>
      <c r="E7384">
        <v>0.39684999999999998</v>
      </c>
      <c r="F7384" t="s">
        <v>42</v>
      </c>
      <c r="G7384">
        <v>-395.85090000000002</v>
      </c>
      <c r="H7384" s="1">
        <v>-1.9557050000000001E-6</v>
      </c>
      <c r="I7384">
        <v>19.537800000000001</v>
      </c>
      <c r="J7384">
        <v>-408.6454</v>
      </c>
      <c r="K7384">
        <v>1.1137699999999999</v>
      </c>
      <c r="L7384">
        <v>26.604949999999999</v>
      </c>
      <c r="M7384">
        <v>0.67476939999999996</v>
      </c>
      <c r="N7384">
        <v>0</v>
      </c>
      <c r="O7384">
        <v>-0.73790529999999999</v>
      </c>
      <c r="P7384">
        <v>0.71614149999999999</v>
      </c>
      <c r="Q7384">
        <v>-1.1569899999999999E-2</v>
      </c>
      <c r="R7384">
        <v>-0.69785980000000003</v>
      </c>
      <c r="S7384">
        <v>2.7196660000000001</v>
      </c>
      <c r="T7384">
        <v>-0.23563919999999999</v>
      </c>
      <c r="U7384">
        <v>-1.507965</v>
      </c>
      <c r="V7384">
        <v>-5.7569849999999999E-2</v>
      </c>
      <c r="W7384">
        <v>1.4184149999999999E-3</v>
      </c>
      <c r="X7384">
        <v>0.99834049999999996</v>
      </c>
      <c r="Y7384">
        <v>-0.3157952</v>
      </c>
      <c r="Z7384">
        <v>6.4075110000000005E-2</v>
      </c>
      <c r="AA7384">
        <v>0.94666139999999999</v>
      </c>
      <c r="AB7384">
        <v>18</v>
      </c>
      <c r="AC7384">
        <v>12.7944999999999</v>
      </c>
      <c r="AD7384">
        <v>-1.1137719557050001</v>
      </c>
      <c r="AE7384">
        <v>-7.0671499999999901</v>
      </c>
      <c r="AF7384">
        <v>-4.6458825473710803</v>
      </c>
      <c r="AG7384">
        <v>-1.1137719557050001</v>
      </c>
      <c r="AH7384">
        <v>13.769534515787701</v>
      </c>
      <c r="AI7384">
        <v>94.382681443310503</v>
      </c>
      <c r="AJ7384">
        <v>108.644550332362</v>
      </c>
      <c r="AK7384">
        <v>14.5747999435584</v>
      </c>
      <c r="AL7384">
        <v>89.918730781823697</v>
      </c>
      <c r="AM7384">
        <v>93.300337425166603</v>
      </c>
      <c r="AN7384">
        <v>1.0000000267351901</v>
      </c>
    </row>
    <row r="7385" spans="1:40" x14ac:dyDescent="0.25">
      <c r="A7385" t="str">
        <f>"20190312154109553"</f>
        <v>20190312154109553</v>
      </c>
      <c r="B7385" t="str">
        <f>"1552376469543955"</f>
        <v>1552376469543955</v>
      </c>
      <c r="C7385" t="s">
        <v>40</v>
      </c>
      <c r="D7385">
        <v>4.3398209999999997</v>
      </c>
      <c r="E7385">
        <v>0.39688889999999999</v>
      </c>
      <c r="F7385" t="s">
        <v>42</v>
      </c>
      <c r="G7385">
        <v>-395.95510000000002</v>
      </c>
      <c r="H7385" s="1">
        <v>-1.895212E-6</v>
      </c>
      <c r="I7385">
        <v>19.62641</v>
      </c>
      <c r="J7385">
        <v>-408.58589999999998</v>
      </c>
      <c r="K7385">
        <v>1.1138239999999999</v>
      </c>
      <c r="L7385">
        <v>26.545439999999999</v>
      </c>
      <c r="M7385">
        <v>0.67721889999999996</v>
      </c>
      <c r="N7385">
        <v>0</v>
      </c>
      <c r="O7385">
        <v>-0.73565630000000004</v>
      </c>
      <c r="P7385">
        <v>0.71812849999999995</v>
      </c>
      <c r="Q7385">
        <v>-1.1532239999999999E-2</v>
      </c>
      <c r="R7385">
        <v>-0.69581519999999997</v>
      </c>
      <c r="S7385">
        <v>2.725006</v>
      </c>
      <c r="T7385">
        <v>-0.2391607</v>
      </c>
      <c r="U7385">
        <v>-1.498505</v>
      </c>
      <c r="V7385">
        <v>-5.7097589999999997E-2</v>
      </c>
      <c r="W7385">
        <v>1.5285639999999901E-3</v>
      </c>
      <c r="X7385">
        <v>0.99836740000000002</v>
      </c>
      <c r="Y7385">
        <v>-0.31588169999999999</v>
      </c>
      <c r="Z7385">
        <v>6.4887299999999995E-2</v>
      </c>
      <c r="AA7385">
        <v>0.94657720000000001</v>
      </c>
      <c r="AB7385">
        <v>18</v>
      </c>
      <c r="AC7385">
        <v>12.630799999999899</v>
      </c>
      <c r="AD7385">
        <v>-1.1138258952119999</v>
      </c>
      <c r="AE7385">
        <v>-6.9190300000000002</v>
      </c>
      <c r="AF7385">
        <v>-4.5792638627577897</v>
      </c>
      <c r="AG7385">
        <v>-1.1138258952119999</v>
      </c>
      <c r="AH7385">
        <v>13.563970532230099</v>
      </c>
      <c r="AI7385">
        <v>94.448780423762003</v>
      </c>
      <c r="AJ7385">
        <v>108.654937896786</v>
      </c>
      <c r="AK7385">
        <v>14.3593719308614</v>
      </c>
      <c r="AL7385">
        <v>89.912419697205905</v>
      </c>
      <c r="AM7385">
        <v>93.273235033948396</v>
      </c>
      <c r="AN7385">
        <v>0.99999996833723404</v>
      </c>
    </row>
    <row r="7386" spans="1:40" x14ac:dyDescent="0.25">
      <c r="A7386" t="str">
        <f>"20190312154109570"</f>
        <v>20190312154109570</v>
      </c>
      <c r="B7386" t="str">
        <f>"1552376469563474"</f>
        <v>1552376469563474</v>
      </c>
      <c r="C7386" t="s">
        <v>40</v>
      </c>
      <c r="D7386">
        <v>4.3401519999999998</v>
      </c>
      <c r="E7386">
        <v>0.39704450000000002</v>
      </c>
      <c r="F7386" t="s">
        <v>42</v>
      </c>
      <c r="G7386">
        <v>-396.04109999999997</v>
      </c>
      <c r="H7386" s="1">
        <v>-1.8721109999999999E-6</v>
      </c>
      <c r="I7386">
        <v>19.692419999999998</v>
      </c>
      <c r="J7386">
        <v>-408.49459999999999</v>
      </c>
      <c r="K7386">
        <v>1.1139030000000001</v>
      </c>
      <c r="L7386">
        <v>26.455169999999999</v>
      </c>
      <c r="M7386">
        <v>0.68103689999999995</v>
      </c>
      <c r="N7386">
        <v>0</v>
      </c>
      <c r="O7386">
        <v>-0.73212100000000002</v>
      </c>
      <c r="P7386">
        <v>0.72094169999999902</v>
      </c>
      <c r="Q7386">
        <v>-1.1464520000000001E-2</v>
      </c>
      <c r="R7386">
        <v>-0.69290079999999998</v>
      </c>
      <c r="S7386">
        <v>2.7291259999999999</v>
      </c>
      <c r="T7386">
        <v>-0.24231269999999999</v>
      </c>
      <c r="U7386">
        <v>-1.490875</v>
      </c>
      <c r="V7386">
        <v>-5.5948339999999999E-2</v>
      </c>
      <c r="W7386">
        <v>1.70404E-3</v>
      </c>
      <c r="X7386">
        <v>0.99843219999999999</v>
      </c>
      <c r="Y7386">
        <v>-0.31353229999999999</v>
      </c>
      <c r="Z7386">
        <v>6.5446480000000001E-2</v>
      </c>
      <c r="AA7386">
        <v>0.94731949999999998</v>
      </c>
      <c r="AB7386">
        <v>18</v>
      </c>
      <c r="AC7386">
        <v>12.4535</v>
      </c>
      <c r="AD7386">
        <v>-1.1139048721109901</v>
      </c>
      <c r="AE7386">
        <v>-6.7627499999999996</v>
      </c>
      <c r="AF7386">
        <v>-4.4845025229675102</v>
      </c>
      <c r="AG7386">
        <v>-1.1139048721109901</v>
      </c>
      <c r="AH7386">
        <v>13.351214520428799</v>
      </c>
      <c r="AI7386">
        <v>94.522039912596</v>
      </c>
      <c r="AJ7386">
        <v>108.566542752187</v>
      </c>
      <c r="AK7386">
        <v>14.1282156025849</v>
      </c>
      <c r="AL7386">
        <v>89.902365651577796</v>
      </c>
      <c r="AM7386">
        <v>93.207283181256301</v>
      </c>
      <c r="AN7386">
        <v>0.99999998924895805</v>
      </c>
    </row>
    <row r="7387" spans="1:40" x14ac:dyDescent="0.25">
      <c r="A7387" t="str">
        <f>"20190312154109581"</f>
        <v>20190312154109581</v>
      </c>
      <c r="B7387" t="str">
        <f>"1552376469574211"</f>
        <v>1552376469574211</v>
      </c>
      <c r="C7387" t="s">
        <v>40</v>
      </c>
      <c r="D7387">
        <v>4.3280209999999997</v>
      </c>
      <c r="E7387">
        <v>0.39715109999999998</v>
      </c>
      <c r="F7387" t="s">
        <v>42</v>
      </c>
      <c r="G7387">
        <v>-396.13350000000003</v>
      </c>
      <c r="H7387" s="1">
        <v>-1.8474089999999999E-6</v>
      </c>
      <c r="I7387">
        <v>19.763629999999999</v>
      </c>
      <c r="J7387">
        <v>-408.43299999999999</v>
      </c>
      <c r="K7387">
        <v>1.1139540000000001</v>
      </c>
      <c r="L7387">
        <v>26.394780000000001</v>
      </c>
      <c r="M7387">
        <v>0.68363739999999995</v>
      </c>
      <c r="N7387">
        <v>0</v>
      </c>
      <c r="O7387">
        <v>-0.72969229999999996</v>
      </c>
      <c r="P7387">
        <v>0.72307730000000003</v>
      </c>
      <c r="Q7387">
        <v>-1.1667169999999999E-2</v>
      </c>
      <c r="R7387">
        <v>-0.69066899999999998</v>
      </c>
      <c r="S7387">
        <v>2.7345579999999998</v>
      </c>
      <c r="T7387">
        <v>-0.24642040000000001</v>
      </c>
      <c r="U7387">
        <v>-1.480316</v>
      </c>
      <c r="V7387">
        <v>-5.5478920000000001E-2</v>
      </c>
      <c r="W7387">
        <v>1.5671890000000001E-3</v>
      </c>
      <c r="X7387">
        <v>0.99845859999999997</v>
      </c>
      <c r="Y7387">
        <v>-0.31369079999999999</v>
      </c>
      <c r="Z7387">
        <v>6.6402989999999995E-2</v>
      </c>
      <c r="AA7387">
        <v>0.9472005</v>
      </c>
      <c r="AB7387">
        <v>18</v>
      </c>
      <c r="AC7387">
        <v>12.2995</v>
      </c>
      <c r="AD7387">
        <v>-1.1139558474089899</v>
      </c>
      <c r="AE7387">
        <v>-6.6311499999999901</v>
      </c>
      <c r="AF7387">
        <v>-4.4139158486803698</v>
      </c>
      <c r="AG7387">
        <v>-1.1139558474089899</v>
      </c>
      <c r="AH7387">
        <v>13.1646823971407</v>
      </c>
      <c r="AI7387">
        <v>94.586880910024107</v>
      </c>
      <c r="AJ7387">
        <v>108.535511521342</v>
      </c>
      <c r="AK7387">
        <v>13.9295518006429</v>
      </c>
      <c r="AL7387">
        <v>89.910206645265106</v>
      </c>
      <c r="AM7387">
        <v>93.180344861461407</v>
      </c>
      <c r="AN7387">
        <v>0.99999997127984297</v>
      </c>
    </row>
    <row r="7388" spans="1:40" x14ac:dyDescent="0.25">
      <c r="A7388" t="str">
        <f>"20190312154109591"</f>
        <v>20190312154109591</v>
      </c>
      <c r="B7388" t="str">
        <f>"1552376469583971"</f>
        <v>1552376469583971</v>
      </c>
      <c r="C7388" t="s">
        <v>40</v>
      </c>
      <c r="D7388">
        <v>4.3149800000000003</v>
      </c>
      <c r="E7388">
        <v>0.39725090000000002</v>
      </c>
      <c r="F7388" t="s">
        <v>42</v>
      </c>
      <c r="G7388">
        <v>-396.15210000000002</v>
      </c>
      <c r="H7388" s="1">
        <v>-1.8464260000000001E-6</v>
      </c>
      <c r="I7388">
        <v>19.793030000000002</v>
      </c>
      <c r="J7388">
        <v>-408.37290000000002</v>
      </c>
      <c r="K7388">
        <v>1.113999</v>
      </c>
      <c r="L7388">
        <v>26.33661</v>
      </c>
      <c r="M7388">
        <v>0.68619399999999997</v>
      </c>
      <c r="N7388">
        <v>0</v>
      </c>
      <c r="O7388">
        <v>-0.72728740000000003</v>
      </c>
      <c r="P7388">
        <v>0.72508680000000003</v>
      </c>
      <c r="Q7388">
        <v>-1.194859E-2</v>
      </c>
      <c r="R7388">
        <v>-0.68855369999999905</v>
      </c>
      <c r="S7388">
        <v>2.7387079999999999</v>
      </c>
      <c r="T7388">
        <v>-0.2484189</v>
      </c>
      <c r="U7388">
        <v>-1.472229</v>
      </c>
      <c r="V7388">
        <v>-5.4884750000000003E-2</v>
      </c>
      <c r="W7388">
        <v>1.3468899999999999E-3</v>
      </c>
      <c r="X7388">
        <v>0.99849180000000004</v>
      </c>
      <c r="Y7388">
        <v>-0.31309229999999999</v>
      </c>
      <c r="Z7388">
        <v>6.6766969999999995E-2</v>
      </c>
      <c r="AA7388">
        <v>0.94737289999999996</v>
      </c>
      <c r="AB7388">
        <v>18</v>
      </c>
      <c r="AC7388">
        <v>12.220799999999899</v>
      </c>
      <c r="AD7388">
        <v>-1.1140008464260001</v>
      </c>
      <c r="AE7388">
        <v>-6.5435799999999897</v>
      </c>
      <c r="AF7388">
        <v>-4.3700666088867202</v>
      </c>
      <c r="AG7388">
        <v>-1.1140008464260001</v>
      </c>
      <c r="AH7388">
        <v>13.0618050590883</v>
      </c>
      <c r="AI7388">
        <v>94.624031046555103</v>
      </c>
      <c r="AJ7388">
        <v>108.498610494831</v>
      </c>
      <c r="AK7388">
        <v>13.818438097468499</v>
      </c>
      <c r="AL7388">
        <v>89.922828865146499</v>
      </c>
      <c r="AM7388">
        <v>93.146248294219205</v>
      </c>
      <c r="AN7388">
        <v>1.00000001228123</v>
      </c>
    </row>
    <row r="7389" spans="1:40" x14ac:dyDescent="0.25">
      <c r="A7389" t="str">
        <f>"20190312154109604"</f>
        <v>20190312154109604</v>
      </c>
      <c r="B7389" t="str">
        <f>"1552376469593342"</f>
        <v>1552376469593342</v>
      </c>
      <c r="C7389" t="s">
        <v>40</v>
      </c>
      <c r="D7389">
        <v>4.3561959999999997</v>
      </c>
      <c r="E7389">
        <v>0.39736110000000002</v>
      </c>
      <c r="F7389" t="s">
        <v>42</v>
      </c>
      <c r="G7389">
        <v>-396.21780000000001</v>
      </c>
      <c r="H7389" s="1">
        <v>-1.828948E-6</v>
      </c>
      <c r="I7389">
        <v>19.84412</v>
      </c>
      <c r="J7389">
        <v>-408.3098</v>
      </c>
      <c r="K7389">
        <v>1.1140380000000001</v>
      </c>
      <c r="L7389">
        <v>26.275849999999998</v>
      </c>
      <c r="M7389">
        <v>0.68890200000000001</v>
      </c>
      <c r="N7389">
        <v>0</v>
      </c>
      <c r="O7389">
        <v>-0.72472159999999997</v>
      </c>
      <c r="P7389">
        <v>0.72734270000000001</v>
      </c>
      <c r="Q7389">
        <v>-1.21612E-2</v>
      </c>
      <c r="R7389">
        <v>-0.68616669999999902</v>
      </c>
      <c r="S7389">
        <v>2.7422789999999999</v>
      </c>
      <c r="T7389">
        <v>-0.25132650000000001</v>
      </c>
      <c r="U7389">
        <v>-1.4647520000000001</v>
      </c>
      <c r="V7389">
        <v>-5.4438159999999999E-2</v>
      </c>
      <c r="W7389">
        <v>1.1938249999999999E-3</v>
      </c>
      <c r="X7389">
        <v>0.99851639999999997</v>
      </c>
      <c r="Y7389">
        <v>-0.31201859999999998</v>
      </c>
      <c r="Z7389">
        <v>6.7349530000000005E-2</v>
      </c>
      <c r="AA7389">
        <v>0.94768580000000002</v>
      </c>
      <c r="AB7389">
        <v>18</v>
      </c>
      <c r="AC7389">
        <v>12.091999999999899</v>
      </c>
      <c r="AD7389">
        <v>-1.11403982894799</v>
      </c>
      <c r="AE7389">
        <v>-6.4317299999999902</v>
      </c>
      <c r="AF7389">
        <v>-4.3044403854408904</v>
      </c>
      <c r="AG7389">
        <v>-1.11403982894799</v>
      </c>
      <c r="AH7389">
        <v>12.907271455725899</v>
      </c>
      <c r="AI7389">
        <v>94.680821775350296</v>
      </c>
      <c r="AJ7389">
        <v>108.44300488802</v>
      </c>
      <c r="AK7389">
        <v>13.6516280422554</v>
      </c>
      <c r="AL7389">
        <v>89.931598847707605</v>
      </c>
      <c r="AM7389">
        <v>93.120621761880898</v>
      </c>
      <c r="AN7389">
        <v>0.99999996977563699</v>
      </c>
    </row>
    <row r="7390" spans="1:40" x14ac:dyDescent="0.25">
      <c r="A7390" t="str">
        <f>"20190312154109613"</f>
        <v>20190312154109613</v>
      </c>
      <c r="B7390" t="str">
        <f>"1552376469604078"</f>
        <v>1552376469604078</v>
      </c>
      <c r="C7390" t="s">
        <v>40</v>
      </c>
      <c r="D7390">
        <v>4.370895</v>
      </c>
      <c r="E7390">
        <v>0.39749859999999998</v>
      </c>
      <c r="F7390" t="s">
        <v>42</v>
      </c>
      <c r="G7390">
        <v>-396.28440000000001</v>
      </c>
      <c r="H7390" s="1">
        <v>-1.8121199999999999E-6</v>
      </c>
      <c r="I7390">
        <v>19.899100000000001</v>
      </c>
      <c r="J7390">
        <v>-408.2473</v>
      </c>
      <c r="K7390">
        <v>1.1140760000000001</v>
      </c>
      <c r="L7390">
        <v>26.21631</v>
      </c>
      <c r="M7390">
        <v>0.69158799999999998</v>
      </c>
      <c r="N7390">
        <v>0</v>
      </c>
      <c r="O7390">
        <v>-0.72215779999999996</v>
      </c>
      <c r="P7390">
        <v>0.72969899999999999</v>
      </c>
      <c r="Q7390">
        <v>-1.270424E-2</v>
      </c>
      <c r="R7390">
        <v>-0.683650599999999</v>
      </c>
      <c r="S7390">
        <v>2.746429</v>
      </c>
      <c r="T7390">
        <v>-0.25443080000000001</v>
      </c>
      <c r="U7390">
        <v>-1.4563600000000001</v>
      </c>
      <c r="V7390">
        <v>-5.4167739999999999E-2</v>
      </c>
      <c r="W7390">
        <v>7.0459029999999897E-4</v>
      </c>
      <c r="X7390">
        <v>0.99853159999999996</v>
      </c>
      <c r="Y7390">
        <v>-0.3112859</v>
      </c>
      <c r="Z7390">
        <v>6.7987519999999996E-2</v>
      </c>
      <c r="AA7390">
        <v>0.94788119999999998</v>
      </c>
      <c r="AB7390">
        <v>18</v>
      </c>
      <c r="AC7390">
        <v>11.9628999999999</v>
      </c>
      <c r="AD7390">
        <v>-1.1140778121199999</v>
      </c>
      <c r="AE7390">
        <v>-6.3172099999999904</v>
      </c>
      <c r="AF7390">
        <v>-4.2418427080143797</v>
      </c>
      <c r="AG7390">
        <v>-1.1140778121199999</v>
      </c>
      <c r="AH7390">
        <v>12.750199037735801</v>
      </c>
      <c r="AI7390">
        <v>94.739518894057994</v>
      </c>
      <c r="AJ7390">
        <v>108.401683162525</v>
      </c>
      <c r="AK7390">
        <v>13.4833962499391</v>
      </c>
      <c r="AL7390">
        <v>89.959629946117303</v>
      </c>
      <c r="AM7390">
        <v>93.105103398409199</v>
      </c>
      <c r="AN7390">
        <v>0.99999999835137898</v>
      </c>
    </row>
    <row r="7391" spans="1:40" x14ac:dyDescent="0.25">
      <c r="A7391" t="str">
        <f>"20190312154109625"</f>
        <v>20190312154109625</v>
      </c>
      <c r="B7391" t="str">
        <f>"1552376469613839"</f>
        <v>1552376469613839</v>
      </c>
      <c r="C7391" t="s">
        <v>40</v>
      </c>
      <c r="D7391">
        <v>4.5574050000000002</v>
      </c>
      <c r="E7391">
        <v>0.39756750000000002</v>
      </c>
      <c r="F7391" t="s">
        <v>42</v>
      </c>
      <c r="G7391">
        <v>-396.41730000000001</v>
      </c>
      <c r="H7391" s="1">
        <v>-1.7732349999999999E-6</v>
      </c>
      <c r="I7391">
        <v>19.989139999999999</v>
      </c>
      <c r="J7391">
        <v>-408.18619999999999</v>
      </c>
      <c r="K7391">
        <v>1.114107</v>
      </c>
      <c r="L7391">
        <v>26.1586</v>
      </c>
      <c r="M7391">
        <v>0.69423979999999996</v>
      </c>
      <c r="N7391">
        <v>0</v>
      </c>
      <c r="O7391">
        <v>-0.71960809999999997</v>
      </c>
      <c r="P7391">
        <v>0.73209499999999905</v>
      </c>
      <c r="Q7391">
        <v>-1.325604E-2</v>
      </c>
      <c r="R7391">
        <v>-0.68107399999999996</v>
      </c>
      <c r="S7391">
        <v>2.7503660000000001</v>
      </c>
      <c r="T7391">
        <v>-0.25901190000000002</v>
      </c>
      <c r="U7391">
        <v>-1.447754</v>
      </c>
      <c r="V7391">
        <v>-5.400253E-2</v>
      </c>
      <c r="W7391">
        <v>2.0105040000000001E-4</v>
      </c>
      <c r="X7391">
        <v>0.99854080000000001</v>
      </c>
      <c r="Y7391">
        <v>-0.31057990000000002</v>
      </c>
      <c r="Z7391">
        <v>6.9019430000000007E-2</v>
      </c>
      <c r="AA7391">
        <v>0.94803820000000005</v>
      </c>
      <c r="AB7391">
        <v>18</v>
      </c>
      <c r="AC7391">
        <v>11.768899999999901</v>
      </c>
      <c r="AD7391">
        <v>-1.1141087732349999</v>
      </c>
      <c r="AE7391">
        <v>-6.1694599999999999</v>
      </c>
      <c r="AF7391">
        <v>-4.1570965030599796</v>
      </c>
      <c r="AG7391">
        <v>-1.1141087732349999</v>
      </c>
      <c r="AH7391">
        <v>12.5232283949648</v>
      </c>
      <c r="AI7391">
        <v>94.826209336894905</v>
      </c>
      <c r="AJ7391">
        <v>108.36363066008199</v>
      </c>
      <c r="AK7391">
        <v>13.242127439607501</v>
      </c>
      <c r="AL7391">
        <v>89.988480660780198</v>
      </c>
      <c r="AM7391">
        <v>93.095622906946105</v>
      </c>
      <c r="AN7391">
        <v>1.00000002146615</v>
      </c>
    </row>
    <row r="7392" spans="1:40" x14ac:dyDescent="0.25">
      <c r="A7392" t="str">
        <f>"20190312154109637"</f>
        <v>20190312154109637</v>
      </c>
      <c r="B7392" t="str">
        <f>"1552376469633359"</f>
        <v>1552376469633359</v>
      </c>
      <c r="C7392" t="s">
        <v>40</v>
      </c>
      <c r="D7392">
        <v>4.3641439999999996</v>
      </c>
      <c r="E7392">
        <v>0.39779330000000002</v>
      </c>
      <c r="F7392" t="s">
        <v>42</v>
      </c>
      <c r="G7392">
        <v>-396.48140000000001</v>
      </c>
      <c r="H7392" s="1">
        <v>-1.758131E-6</v>
      </c>
      <c r="I7392">
        <v>20.046140000000001</v>
      </c>
      <c r="J7392">
        <v>-408.1216</v>
      </c>
      <c r="K7392">
        <v>1.114142</v>
      </c>
      <c r="L7392">
        <v>26.097930000000002</v>
      </c>
      <c r="M7392">
        <v>0.69703819999999905</v>
      </c>
      <c r="N7392">
        <v>0</v>
      </c>
      <c r="O7392">
        <v>-0.71689650000000005</v>
      </c>
      <c r="P7392">
        <v>0.73472019999999905</v>
      </c>
      <c r="Q7392">
        <v>-1.3887750000000001E-2</v>
      </c>
      <c r="R7392">
        <v>-0.67822780000000005</v>
      </c>
      <c r="S7392">
        <v>2.7547299999999999</v>
      </c>
      <c r="T7392">
        <v>-0.26220549999999998</v>
      </c>
      <c r="U7392">
        <v>-1.4385680000000001</v>
      </c>
      <c r="V7392">
        <v>-5.3972050000000001E-2</v>
      </c>
      <c r="W7392">
        <v>-3.829177E-4</v>
      </c>
      <c r="X7392">
        <v>0.99854240000000005</v>
      </c>
      <c r="Y7392">
        <v>-0.30991469999999999</v>
      </c>
      <c r="Z7392">
        <v>6.9663989999999995E-2</v>
      </c>
      <c r="AA7392">
        <v>0.94820870000000002</v>
      </c>
      <c r="AB7392">
        <v>18</v>
      </c>
      <c r="AC7392">
        <v>11.640199999999901</v>
      </c>
      <c r="AD7392">
        <v>-1.1141437581310001</v>
      </c>
      <c r="AE7392">
        <v>-6.0517899999999898</v>
      </c>
      <c r="AF7392">
        <v>-4.0973466491330397</v>
      </c>
      <c r="AG7392">
        <v>-1.1141437581310001</v>
      </c>
      <c r="AH7392">
        <v>12.3642281274171</v>
      </c>
      <c r="AI7392">
        <v>94.8889462750832</v>
      </c>
      <c r="AJ7392">
        <v>108.33453438506901</v>
      </c>
      <c r="AK7392">
        <v>13.0730143067219</v>
      </c>
      <c r="AL7392">
        <v>90.0219395680611</v>
      </c>
      <c r="AM7392">
        <v>93.093874129230699</v>
      </c>
      <c r="AN7392">
        <v>1.00000002670246</v>
      </c>
    </row>
    <row r="7393" spans="1:40" x14ac:dyDescent="0.25">
      <c r="A7393" t="str">
        <f>"20190312154109647"</f>
        <v>20190312154109647</v>
      </c>
      <c r="B7393" t="str">
        <f>"1552376469644095"</f>
        <v>1552376469644095</v>
      </c>
      <c r="C7393" t="s">
        <v>40</v>
      </c>
      <c r="D7393">
        <v>4.3707729999999998</v>
      </c>
      <c r="E7393">
        <v>0.3979144</v>
      </c>
      <c r="F7393" t="s">
        <v>42</v>
      </c>
      <c r="G7393">
        <v>-396.5797</v>
      </c>
      <c r="H7393" s="1">
        <v>-1.731215E-6</v>
      </c>
      <c r="I7393">
        <v>20.119630000000001</v>
      </c>
      <c r="J7393">
        <v>-408.06169999999997</v>
      </c>
      <c r="K7393">
        <v>1.1141589999999999</v>
      </c>
      <c r="L7393">
        <v>26.04251</v>
      </c>
      <c r="M7393">
        <v>0.69964919999999997</v>
      </c>
      <c r="N7393">
        <v>0</v>
      </c>
      <c r="O7393">
        <v>-0.71434770000000003</v>
      </c>
      <c r="P7393">
        <v>0.73716550000000003</v>
      </c>
      <c r="Q7393">
        <v>-1.4601080000000001E-2</v>
      </c>
      <c r="R7393">
        <v>-0.67555449999999995</v>
      </c>
      <c r="S7393">
        <v>2.758972</v>
      </c>
      <c r="T7393">
        <v>-0.2663237</v>
      </c>
      <c r="U7393">
        <v>-1.429047</v>
      </c>
      <c r="V7393">
        <v>-5.3939170000000002E-2</v>
      </c>
      <c r="W7393">
        <v>-1.056495E-3</v>
      </c>
      <c r="X7393">
        <v>0.99854370000000003</v>
      </c>
      <c r="Y7393">
        <v>-0.3095366</v>
      </c>
      <c r="Z7393">
        <v>7.0572759999999998E-2</v>
      </c>
      <c r="AA7393">
        <v>0.94826500000000002</v>
      </c>
      <c r="AB7393">
        <v>18</v>
      </c>
      <c r="AC7393">
        <v>11.4819999999999</v>
      </c>
      <c r="AD7393">
        <v>-1.1141607312149999</v>
      </c>
      <c r="AE7393">
        <v>-5.9228800000000001</v>
      </c>
      <c r="AF7393">
        <v>-4.02864372066181</v>
      </c>
      <c r="AG7393">
        <v>-1.1141607312149999</v>
      </c>
      <c r="AH7393">
        <v>12.1750390803562</v>
      </c>
      <c r="AI7393">
        <v>94.965342019853097</v>
      </c>
      <c r="AJ7393">
        <v>108.30905422507701</v>
      </c>
      <c r="AK7393">
        <v>12.872563884914699</v>
      </c>
      <c r="AL7393">
        <v>90.060532713687095</v>
      </c>
      <c r="AM7393">
        <v>93.091988968796201</v>
      </c>
      <c r="AN7393">
        <v>1.0000000355258301</v>
      </c>
    </row>
    <row r="7394" spans="1:40" x14ac:dyDescent="0.25">
      <c r="A7394" t="str">
        <f>"20190312154109660"</f>
        <v>20190312154109660</v>
      </c>
      <c r="B7394" t="str">
        <f>"1552376469653854"</f>
        <v>1552376469653854</v>
      </c>
      <c r="C7394" t="s">
        <v>40</v>
      </c>
      <c r="D7394">
        <v>4.373132</v>
      </c>
      <c r="E7394">
        <v>0.39808539999999998</v>
      </c>
      <c r="F7394" t="s">
        <v>42</v>
      </c>
      <c r="G7394">
        <v>-396.69810000000001</v>
      </c>
      <c r="H7394" s="1">
        <v>-1.6975299999999901E-6</v>
      </c>
      <c r="I7394">
        <v>20.20346</v>
      </c>
      <c r="J7394">
        <v>-407.99200000000002</v>
      </c>
      <c r="K7394">
        <v>1.1141760000000001</v>
      </c>
      <c r="L7394">
        <v>25.978269999999998</v>
      </c>
      <c r="M7394">
        <v>0.70267959999999996</v>
      </c>
      <c r="N7394">
        <v>0</v>
      </c>
      <c r="O7394">
        <v>-0.7113661</v>
      </c>
      <c r="P7394">
        <v>0.73999329999999996</v>
      </c>
      <c r="Q7394">
        <v>-1.5489289999999999E-2</v>
      </c>
      <c r="R7394">
        <v>-0.67243569999999997</v>
      </c>
      <c r="S7394">
        <v>2.7631230000000002</v>
      </c>
      <c r="T7394">
        <v>-0.27091459999999901</v>
      </c>
      <c r="U7394">
        <v>-1.4198</v>
      </c>
      <c r="V7394">
        <v>-5.3889109999999997E-2</v>
      </c>
      <c r="W7394">
        <v>-1.8997510000000001E-3</v>
      </c>
      <c r="X7394">
        <v>0.99854509999999996</v>
      </c>
      <c r="Y7394">
        <v>-0.3084903</v>
      </c>
      <c r="Z7394">
        <v>7.154423E-2</v>
      </c>
      <c r="AA7394">
        <v>0.94853319999999997</v>
      </c>
      <c r="AB7394">
        <v>18</v>
      </c>
      <c r="AC7394">
        <v>11.293899999999899</v>
      </c>
      <c r="AD7394">
        <v>-1.11417769753</v>
      </c>
      <c r="AE7394">
        <v>-5.7748100000000004</v>
      </c>
      <c r="AF7394">
        <v>-3.9462073454252802</v>
      </c>
      <c r="AG7394">
        <v>-1.11417769753</v>
      </c>
      <c r="AH7394">
        <v>11.952979198750301</v>
      </c>
      <c r="AI7394">
        <v>95.058313275204796</v>
      </c>
      <c r="AJ7394">
        <v>108.270342846734</v>
      </c>
      <c r="AK7394">
        <v>12.6367581317567</v>
      </c>
      <c r="AL7394">
        <v>90.108847781968706</v>
      </c>
      <c r="AM7394">
        <v>93.089120585660098</v>
      </c>
      <c r="AN7394">
        <v>0.99999998098223097</v>
      </c>
    </row>
    <row r="7395" spans="1:40" x14ac:dyDescent="0.25">
      <c r="A7395" t="str">
        <f>"20190312154109672"</f>
        <v>20190312154109672</v>
      </c>
      <c r="B7395" t="str">
        <f>"1552376469663614"</f>
        <v>1552376469663614</v>
      </c>
      <c r="C7395" t="s">
        <v>40</v>
      </c>
      <c r="D7395">
        <v>4.3551529999999996</v>
      </c>
      <c r="E7395">
        <v>0.39820359999999999</v>
      </c>
      <c r="F7395" t="s">
        <v>42</v>
      </c>
      <c r="G7395">
        <v>-396.79500000000002</v>
      </c>
      <c r="H7395" s="1">
        <v>-1.6717969999999999E-6</v>
      </c>
      <c r="I7395">
        <v>20.279</v>
      </c>
      <c r="J7395">
        <v>-407.91950000000003</v>
      </c>
      <c r="K7395">
        <v>1.1141829999999999</v>
      </c>
      <c r="L7395">
        <v>25.912289999999999</v>
      </c>
      <c r="M7395">
        <v>0.70583390000000001</v>
      </c>
      <c r="N7395">
        <v>0</v>
      </c>
      <c r="O7395">
        <v>-0.70823590000000003</v>
      </c>
      <c r="P7395">
        <v>0.74306949999999905</v>
      </c>
      <c r="Q7395">
        <v>-1.6591089999999999E-2</v>
      </c>
      <c r="R7395">
        <v>-0.66900890000000002</v>
      </c>
      <c r="S7395">
        <v>2.7680359999999999</v>
      </c>
      <c r="T7395">
        <v>-0.27543959999999901</v>
      </c>
      <c r="U7395">
        <v>-1.408936</v>
      </c>
      <c r="V7395">
        <v>-5.4038959999999997E-2</v>
      </c>
      <c r="W7395">
        <v>-2.9610919999999998E-3</v>
      </c>
      <c r="X7395">
        <v>0.99853440000000004</v>
      </c>
      <c r="Y7395">
        <v>-0.30780730000000001</v>
      </c>
      <c r="Z7395">
        <v>7.2491079999999999E-2</v>
      </c>
      <c r="AA7395">
        <v>0.9486831</v>
      </c>
      <c r="AB7395">
        <v>18</v>
      </c>
      <c r="AC7395">
        <v>11.124499999999999</v>
      </c>
      <c r="AD7395">
        <v>-1.1141846717970001</v>
      </c>
      <c r="AE7395">
        <v>-5.6332899999999899</v>
      </c>
      <c r="AF7395">
        <v>-3.8720799701765101</v>
      </c>
      <c r="AG7395">
        <v>-1.1141846717970001</v>
      </c>
      <c r="AH7395">
        <v>11.7491301258378</v>
      </c>
      <c r="AI7395">
        <v>95.146525481555102</v>
      </c>
      <c r="AJ7395">
        <v>108.240313795403</v>
      </c>
      <c r="AK7395">
        <v>12.4208079242929</v>
      </c>
      <c r="AL7395">
        <v>90.169658328620997</v>
      </c>
      <c r="AM7395">
        <v>93.097726958077004</v>
      </c>
      <c r="AN7395">
        <v>0.99999996262353597</v>
      </c>
    </row>
    <row r="7396" spans="1:40" x14ac:dyDescent="0.25">
      <c r="A7396" t="str">
        <f>"20190312154109685"</f>
        <v>20190312154109685</v>
      </c>
      <c r="B7396" t="str">
        <f>"1552376469673374"</f>
        <v>1552376469673374</v>
      </c>
      <c r="C7396" t="s">
        <v>40</v>
      </c>
      <c r="D7396">
        <v>4.3812350000000002</v>
      </c>
      <c r="E7396">
        <v>0.39836909999999998</v>
      </c>
      <c r="F7396" t="s">
        <v>42</v>
      </c>
      <c r="G7396">
        <v>-396.90089999999998</v>
      </c>
      <c r="H7396" s="1">
        <v>-1.6442529999999901E-6</v>
      </c>
      <c r="I7396">
        <v>20.363589999999999</v>
      </c>
      <c r="J7396">
        <v>-407.84820000000002</v>
      </c>
      <c r="K7396">
        <v>1.114182</v>
      </c>
      <c r="L7396">
        <v>25.847989999999999</v>
      </c>
      <c r="M7396">
        <v>0.7089278</v>
      </c>
      <c r="N7396">
        <v>0</v>
      </c>
      <c r="O7396">
        <v>-0.70513809999999999</v>
      </c>
      <c r="P7396">
        <v>0.74605630000000001</v>
      </c>
      <c r="Q7396">
        <v>-1.7544170000000001E-2</v>
      </c>
      <c r="R7396">
        <v>-0.66565169999999996</v>
      </c>
      <c r="S7396">
        <v>2.7735599999999998</v>
      </c>
      <c r="T7396">
        <v>-0.2804586</v>
      </c>
      <c r="U7396">
        <v>-1.396698</v>
      </c>
      <c r="V7396">
        <v>-5.4144499999999998E-2</v>
      </c>
      <c r="W7396">
        <v>-3.8770789999999999E-3</v>
      </c>
      <c r="X7396">
        <v>0.99852560000000001</v>
      </c>
      <c r="Y7396">
        <v>-0.30763170000000001</v>
      </c>
      <c r="Z7396">
        <v>7.357851E-2</v>
      </c>
      <c r="AA7396">
        <v>0.94865639999999996</v>
      </c>
      <c r="AB7396">
        <v>18</v>
      </c>
      <c r="AC7396">
        <v>10.9473</v>
      </c>
      <c r="AD7396">
        <v>-1.114183644253</v>
      </c>
      <c r="AE7396">
        <v>-5.4843999999999999</v>
      </c>
      <c r="AF7396">
        <v>-3.8002337914406499</v>
      </c>
      <c r="AG7396">
        <v>-1.114183644253</v>
      </c>
      <c r="AH7396">
        <v>11.533773631771901</v>
      </c>
      <c r="AI7396">
        <v>95.242202386719697</v>
      </c>
      <c r="AJ7396">
        <v>108.23640352271499</v>
      </c>
      <c r="AK7396">
        <v>12.1947167351967</v>
      </c>
      <c r="AL7396">
        <v>90.222140816461106</v>
      </c>
      <c r="AM7396">
        <v>93.103792411084697</v>
      </c>
      <c r="AN7396">
        <v>1.00000001623859</v>
      </c>
    </row>
    <row r="7397" spans="1:40" x14ac:dyDescent="0.25">
      <c r="A7397" t="str">
        <f>"20190312154109698"</f>
        <v>20190312154109698</v>
      </c>
      <c r="B7397" t="str">
        <f>"1552376469693400"</f>
        <v>1552376469693400</v>
      </c>
      <c r="C7397" t="s">
        <v>40</v>
      </c>
      <c r="D7397">
        <v>4.3370649999999999</v>
      </c>
      <c r="E7397">
        <v>0.39866689999999999</v>
      </c>
      <c r="F7397" t="s">
        <v>42</v>
      </c>
      <c r="G7397">
        <v>-396.97579999999999</v>
      </c>
      <c r="H7397" s="1">
        <v>-1.626362E-6</v>
      </c>
      <c r="I7397">
        <v>20.42933</v>
      </c>
      <c r="J7397">
        <v>-407.77719999999999</v>
      </c>
      <c r="K7397">
        <v>1.1141779999999999</v>
      </c>
      <c r="L7397">
        <v>25.784269999999999</v>
      </c>
      <c r="M7397">
        <v>0.71199869999999899</v>
      </c>
      <c r="N7397">
        <v>0</v>
      </c>
      <c r="O7397">
        <v>-0.70203629999999995</v>
      </c>
      <c r="P7397">
        <v>0.74905540000000004</v>
      </c>
      <c r="Q7397">
        <v>-1.8282940000000001E-2</v>
      </c>
      <c r="R7397">
        <v>-0.66225500000000004</v>
      </c>
      <c r="S7397">
        <v>2.7788089999999999</v>
      </c>
      <c r="T7397">
        <v>-0.28476659999999998</v>
      </c>
      <c r="U7397">
        <v>-1.3849180000000001</v>
      </c>
      <c r="V7397">
        <v>-5.4303839999999999E-2</v>
      </c>
      <c r="W7397">
        <v>-4.5813099999999999E-3</v>
      </c>
      <c r="X7397">
        <v>0.99851389999999995</v>
      </c>
      <c r="Y7397">
        <v>-0.30732330000000002</v>
      </c>
      <c r="Z7397">
        <v>7.4466760000000007E-2</v>
      </c>
      <c r="AA7397">
        <v>0.94868699999999995</v>
      </c>
      <c r="AB7397">
        <v>17</v>
      </c>
      <c r="AC7397">
        <v>10.801399999999999</v>
      </c>
      <c r="AD7397">
        <v>-1.1141796263619901</v>
      </c>
      <c r="AE7397">
        <v>-5.35494</v>
      </c>
      <c r="AF7397">
        <v>-3.7387147512014298</v>
      </c>
      <c r="AG7397">
        <v>-1.1141796263619901</v>
      </c>
      <c r="AH7397">
        <v>11.3541311321337</v>
      </c>
      <c r="AI7397">
        <v>95.324973895760706</v>
      </c>
      <c r="AJ7397">
        <v>108.22580070426601</v>
      </c>
      <c r="AK7397">
        <v>12.0056519188396</v>
      </c>
      <c r="AL7397">
        <v>90.262490658464699</v>
      </c>
      <c r="AM7397">
        <v>93.112944921551502</v>
      </c>
      <c r="AN7397">
        <v>0.99999995196663405</v>
      </c>
    </row>
    <row r="7398" spans="1:40" x14ac:dyDescent="0.25">
      <c r="A7398" t="str">
        <f>"20190312154109709"</f>
        <v>20190312154109709</v>
      </c>
      <c r="B7398" t="str">
        <f>"1552376469704137"</f>
        <v>1552376469704137</v>
      </c>
      <c r="C7398" t="s">
        <v>40</v>
      </c>
      <c r="D7398">
        <v>4.3873300000000004</v>
      </c>
      <c r="E7398">
        <v>0.3987752</v>
      </c>
      <c r="F7398" t="s">
        <v>42</v>
      </c>
      <c r="G7398">
        <v>-397.07870000000003</v>
      </c>
      <c r="H7398" s="1">
        <v>-1.5973139999999999E-6</v>
      </c>
      <c r="I7398">
        <v>20.50309</v>
      </c>
      <c r="J7398">
        <v>-407.70519999999999</v>
      </c>
      <c r="K7398">
        <v>1.114161</v>
      </c>
      <c r="L7398">
        <v>25.720669999999998</v>
      </c>
      <c r="M7398">
        <v>0.71509239999999996</v>
      </c>
      <c r="N7398">
        <v>0</v>
      </c>
      <c r="O7398">
        <v>-0.69888450000000002</v>
      </c>
      <c r="P7398">
        <v>0.75226300000000001</v>
      </c>
      <c r="Q7398">
        <v>-1.868146E-2</v>
      </c>
      <c r="R7398">
        <v>-0.65859820000000002</v>
      </c>
      <c r="S7398">
        <v>2.7832029999999999</v>
      </c>
      <c r="T7398">
        <v>-0.289854099999999</v>
      </c>
      <c r="U7398">
        <v>-1.373901</v>
      </c>
      <c r="V7398">
        <v>-5.4747480000000001E-2</v>
      </c>
      <c r="W7398">
        <v>-4.9522100000000003E-3</v>
      </c>
      <c r="X7398">
        <v>0.99848789999999998</v>
      </c>
      <c r="Y7398">
        <v>-0.30662260000000002</v>
      </c>
      <c r="Z7398">
        <v>7.5540099999999999E-2</v>
      </c>
      <c r="AA7398">
        <v>0.94882889999999998</v>
      </c>
      <c r="AB7398">
        <v>17</v>
      </c>
      <c r="AC7398">
        <v>10.626499999999901</v>
      </c>
      <c r="AD7398">
        <v>-1.1141625973139999</v>
      </c>
      <c r="AE7398">
        <v>-5.2175799999999999</v>
      </c>
      <c r="AF7398">
        <v>-3.6635695378862798</v>
      </c>
      <c r="AG7398">
        <v>-1.1141625973139999</v>
      </c>
      <c r="AH7398">
        <v>11.1478153075547</v>
      </c>
      <c r="AI7398">
        <v>95.423894961945905</v>
      </c>
      <c r="AJ7398">
        <v>108.192366750614</v>
      </c>
      <c r="AK7398">
        <v>11.787149196626499</v>
      </c>
      <c r="AL7398">
        <v>90.283741906592894</v>
      </c>
      <c r="AM7398">
        <v>93.138407325147</v>
      </c>
      <c r="AN7398">
        <v>0.99999994869832098</v>
      </c>
    </row>
    <row r="7399" spans="1:40" x14ac:dyDescent="0.25">
      <c r="A7399" t="str">
        <f>"20190312154109720"</f>
        <v>20190312154109720</v>
      </c>
      <c r="B7399" t="str">
        <f>"1552376469713897"</f>
        <v>1552376469713897</v>
      </c>
      <c r="C7399" t="s">
        <v>40</v>
      </c>
      <c r="D7399">
        <v>4.3645800000000001</v>
      </c>
      <c r="E7399">
        <v>0.3987752</v>
      </c>
      <c r="F7399" t="s">
        <v>42</v>
      </c>
      <c r="G7399">
        <v>-397.08350000000002</v>
      </c>
      <c r="H7399" s="1">
        <v>-1.604282E-6</v>
      </c>
      <c r="I7399">
        <v>20.53772</v>
      </c>
      <c r="J7399">
        <v>-407.64150000000001</v>
      </c>
      <c r="K7399">
        <v>1.114142</v>
      </c>
      <c r="L7399">
        <v>25.6647</v>
      </c>
      <c r="M7399">
        <v>0.71781280000000003</v>
      </c>
      <c r="N7399">
        <v>0</v>
      </c>
      <c r="O7399">
        <v>-0.69608950000000003</v>
      </c>
      <c r="P7399">
        <v>0.75520220000000005</v>
      </c>
      <c r="Q7399">
        <v>-1.8703109999999998E-2</v>
      </c>
      <c r="R7399">
        <v>-0.65522530000000001</v>
      </c>
      <c r="S7399">
        <v>2.7891539999999999</v>
      </c>
      <c r="T7399">
        <v>-0.29256840000000001</v>
      </c>
      <c r="U7399">
        <v>-1.360992</v>
      </c>
      <c r="V7399">
        <v>-5.5320729999999999E-2</v>
      </c>
      <c r="W7399">
        <v>-4.9525259999999996E-3</v>
      </c>
      <c r="X7399">
        <v>0.99845640000000002</v>
      </c>
      <c r="Y7399">
        <v>-0.30719679999999999</v>
      </c>
      <c r="Z7399">
        <v>7.6050800000000002E-2</v>
      </c>
      <c r="AA7399">
        <v>0.94860230000000001</v>
      </c>
      <c r="AB7399">
        <v>17</v>
      </c>
      <c r="AC7399">
        <v>10.5579999999999</v>
      </c>
      <c r="AD7399">
        <v>-1.1141436042820001</v>
      </c>
      <c r="AE7399">
        <v>-5.1269799999999996</v>
      </c>
      <c r="AF7399">
        <v>-3.6367057688447799</v>
      </c>
      <c r="AG7399">
        <v>-1.1141436042820001</v>
      </c>
      <c r="AH7399">
        <v>11.049080710714399</v>
      </c>
      <c r="AI7399">
        <v>95.471161585526204</v>
      </c>
      <c r="AJ7399">
        <v>108.218496290145</v>
      </c>
      <c r="AK7399">
        <v>11.685423799417499</v>
      </c>
      <c r="AL7399">
        <v>90.283759984475495</v>
      </c>
      <c r="AM7399">
        <v>93.171302084041798</v>
      </c>
      <c r="AN7399">
        <v>1.00000004669123</v>
      </c>
    </row>
    <row r="7400" spans="1:40" x14ac:dyDescent="0.25">
      <c r="A7400" t="str">
        <f>"20190312154109731"</f>
        <v>20190312154109731</v>
      </c>
      <c r="B7400" t="str">
        <f>"1552376469723657"</f>
        <v>1552376469723657</v>
      </c>
      <c r="C7400" t="s">
        <v>40</v>
      </c>
      <c r="D7400">
        <v>4.352652</v>
      </c>
      <c r="E7400">
        <v>0.3991363</v>
      </c>
      <c r="F7400" t="s">
        <v>42</v>
      </c>
      <c r="G7400">
        <v>-397.02109999999999</v>
      </c>
      <c r="H7400" s="1">
        <v>-1.634487E-6</v>
      </c>
      <c r="I7400">
        <v>20.540369999999999</v>
      </c>
      <c r="J7400">
        <v>-407.57990000000001</v>
      </c>
      <c r="K7400">
        <v>1.1141209999999999</v>
      </c>
      <c r="L7400">
        <v>25.610990000000001</v>
      </c>
      <c r="M7400">
        <v>0.7204294</v>
      </c>
      <c r="N7400">
        <v>0</v>
      </c>
      <c r="O7400">
        <v>-0.69338060000000001</v>
      </c>
      <c r="P7400">
        <v>0.75813140000000001</v>
      </c>
      <c r="Q7400">
        <v>-1.8398850000000001E-2</v>
      </c>
      <c r="R7400">
        <v>-0.65184219999999904</v>
      </c>
      <c r="S7400">
        <v>2.795105</v>
      </c>
      <c r="T7400">
        <v>-0.29322290000000001</v>
      </c>
      <c r="U7400">
        <v>-1.348633</v>
      </c>
      <c r="V7400">
        <v>-5.6032079999999998E-2</v>
      </c>
      <c r="W7400">
        <v>-4.631629E-3</v>
      </c>
      <c r="X7400">
        <v>0.99841820000000003</v>
      </c>
      <c r="Y7400">
        <v>-0.3077992</v>
      </c>
      <c r="Z7400">
        <v>7.6027300000000006E-2</v>
      </c>
      <c r="AA7400">
        <v>0.94840899999999995</v>
      </c>
      <c r="AB7400">
        <v>17</v>
      </c>
      <c r="AC7400">
        <v>10.5588</v>
      </c>
      <c r="AD7400">
        <v>-1.1141226344870001</v>
      </c>
      <c r="AE7400">
        <v>-5.0706199999999901</v>
      </c>
      <c r="AF7400">
        <v>-3.6357259848612999</v>
      </c>
      <c r="AG7400">
        <v>-1.1141226344870001</v>
      </c>
      <c r="AH7400">
        <v>11.0241412743009</v>
      </c>
      <c r="AI7400">
        <v>95.482298807388901</v>
      </c>
      <c r="AJ7400">
        <v>108.25238767686101</v>
      </c>
      <c r="AK7400">
        <v>11.6615377852759</v>
      </c>
      <c r="AL7400">
        <v>90.265373749665997</v>
      </c>
      <c r="AM7400">
        <v>93.2121185451294</v>
      </c>
      <c r="AN7400">
        <v>0.99999997403377905</v>
      </c>
    </row>
    <row r="7401" spans="1:40" x14ac:dyDescent="0.25">
      <c r="A7401" t="str">
        <f>"20190312154109742"</f>
        <v>20190312154109742</v>
      </c>
      <c r="B7401" t="str">
        <f>"1552376469733418"</f>
        <v>1552376469733418</v>
      </c>
      <c r="C7401" t="s">
        <v>40</v>
      </c>
      <c r="D7401">
        <v>4.3697189999999999</v>
      </c>
      <c r="E7401">
        <v>0.39924199999999999</v>
      </c>
      <c r="F7401" t="s">
        <v>42</v>
      </c>
      <c r="G7401">
        <v>-397.0102</v>
      </c>
      <c r="H7401" s="1">
        <v>-1.644258E-6</v>
      </c>
      <c r="I7401">
        <v>20.557780000000001</v>
      </c>
      <c r="J7401">
        <v>-407.51920000000001</v>
      </c>
      <c r="K7401">
        <v>1.1141019999999999</v>
      </c>
      <c r="L7401">
        <v>25.558499999999999</v>
      </c>
      <c r="M7401">
        <v>0.72298530000000005</v>
      </c>
      <c r="N7401">
        <v>0</v>
      </c>
      <c r="O7401">
        <v>-0.69071490000000002</v>
      </c>
      <c r="P7401">
        <v>0.76103129999999997</v>
      </c>
      <c r="Q7401">
        <v>-1.8424340000000001E-2</v>
      </c>
      <c r="R7401">
        <v>-0.64845350000000002</v>
      </c>
      <c r="S7401">
        <v>2.7993160000000001</v>
      </c>
      <c r="T7401">
        <v>-0.2950699</v>
      </c>
      <c r="U7401">
        <v>-1.3383179999999999</v>
      </c>
      <c r="V7401">
        <v>-5.6798559999999998E-2</v>
      </c>
      <c r="W7401">
        <v>-4.643159E-3</v>
      </c>
      <c r="X7401">
        <v>0.99837489999999995</v>
      </c>
      <c r="Y7401">
        <v>-0.30764900000000001</v>
      </c>
      <c r="Z7401">
        <v>7.6300300000000001E-2</v>
      </c>
      <c r="AA7401">
        <v>0.94843569999999999</v>
      </c>
      <c r="AB7401">
        <v>17</v>
      </c>
      <c r="AC7401">
        <v>10.509</v>
      </c>
      <c r="AD7401">
        <v>-1.1141036442579999</v>
      </c>
      <c r="AE7401">
        <v>-5.0007200000000003</v>
      </c>
      <c r="AF7401">
        <v>-3.6105625405155801</v>
      </c>
      <c r="AG7401">
        <v>-1.1141036442579999</v>
      </c>
      <c r="AH7401">
        <v>10.9526881317615</v>
      </c>
      <c r="AI7401">
        <v>95.517988738333401</v>
      </c>
      <c r="AJ7401">
        <v>108.244845885232</v>
      </c>
      <c r="AK7401">
        <v>11.5861454375799</v>
      </c>
      <c r="AL7401">
        <v>90.266034360068105</v>
      </c>
      <c r="AM7401">
        <v>93.256105107902201</v>
      </c>
      <c r="AN7401">
        <v>1.0000000381467899</v>
      </c>
    </row>
    <row r="7402" spans="1:40" x14ac:dyDescent="0.25">
      <c r="A7402" t="str">
        <f>"20190312154109752"</f>
        <v>20190312154109752</v>
      </c>
      <c r="B7402" t="str">
        <f>"1552376469744154"</f>
        <v>1552376469744154</v>
      </c>
      <c r="C7402" t="s">
        <v>40</v>
      </c>
      <c r="D7402">
        <v>4.3713100000000003</v>
      </c>
      <c r="E7402">
        <v>0.39936949999999999</v>
      </c>
      <c r="F7402" t="s">
        <v>42</v>
      </c>
      <c r="G7402">
        <v>-397.00240000000002</v>
      </c>
      <c r="H7402" s="1">
        <v>-1.654552E-6</v>
      </c>
      <c r="I7402">
        <v>20.582660000000001</v>
      </c>
      <c r="J7402">
        <v>-407.4554</v>
      </c>
      <c r="K7402">
        <v>1.114077</v>
      </c>
      <c r="L7402">
        <v>25.50375</v>
      </c>
      <c r="M7402">
        <v>0.72565100000000005</v>
      </c>
      <c r="N7402">
        <v>0</v>
      </c>
      <c r="O7402">
        <v>-0.68791340000000001</v>
      </c>
      <c r="P7402">
        <v>0.7640498</v>
      </c>
      <c r="Q7402">
        <v>-1.8686950000000001E-2</v>
      </c>
      <c r="R7402">
        <v>-0.64488669999999904</v>
      </c>
      <c r="S7402">
        <v>2.8042910000000001</v>
      </c>
      <c r="T7402">
        <v>-0.29707689999999998</v>
      </c>
      <c r="U7402">
        <v>-1.326813</v>
      </c>
      <c r="V7402">
        <v>-5.7600159999999997E-2</v>
      </c>
      <c r="W7402">
        <v>-4.8929159999999998E-3</v>
      </c>
      <c r="X7402">
        <v>0.99832770000000004</v>
      </c>
      <c r="Y7402">
        <v>-0.30775930000000001</v>
      </c>
      <c r="Z7402">
        <v>7.6604710000000006E-2</v>
      </c>
      <c r="AA7402">
        <v>0.94837539999999998</v>
      </c>
      <c r="AB7402">
        <v>17</v>
      </c>
      <c r="AC7402">
        <v>10.4529999999999</v>
      </c>
      <c r="AD7402">
        <v>-1.1140786545520001</v>
      </c>
      <c r="AE7402">
        <v>-4.9210900000000004</v>
      </c>
      <c r="AF7402">
        <v>-3.5867860391974999</v>
      </c>
      <c r="AG7402">
        <v>-1.1140786545520001</v>
      </c>
      <c r="AH7402">
        <v>10.870563811593</v>
      </c>
      <c r="AI7402">
        <v>95.558793425574393</v>
      </c>
      <c r="AJ7402">
        <v>108.26051326440199</v>
      </c>
      <c r="AK7402">
        <v>11.501102682848501</v>
      </c>
      <c r="AL7402">
        <v>90.2803445667478</v>
      </c>
      <c r="AM7402">
        <v>93.302113422291995</v>
      </c>
      <c r="AN7402">
        <v>0.99999995782314799</v>
      </c>
    </row>
    <row r="7403" spans="1:40" x14ac:dyDescent="0.25">
      <c r="A7403" t="str">
        <f>"20190312154109762"</f>
        <v>20190312154109762</v>
      </c>
      <c r="B7403" t="str">
        <f>"1552376469753913"</f>
        <v>1552376469753913</v>
      </c>
      <c r="C7403" t="s">
        <v>40</v>
      </c>
      <c r="D7403">
        <v>4.3513339999999996</v>
      </c>
      <c r="E7403">
        <v>0.39951160000000002</v>
      </c>
      <c r="F7403" t="s">
        <v>42</v>
      </c>
      <c r="G7403">
        <v>-397.01679999999999</v>
      </c>
      <c r="H7403" s="1">
        <v>-1.657692E-6</v>
      </c>
      <c r="I7403">
        <v>20.61992</v>
      </c>
      <c r="J7403">
        <v>-407.39879999999999</v>
      </c>
      <c r="K7403">
        <v>1.114053</v>
      </c>
      <c r="L7403">
        <v>25.45551</v>
      </c>
      <c r="M7403">
        <v>0.72799930000000002</v>
      </c>
      <c r="N7403">
        <v>0</v>
      </c>
      <c r="O7403">
        <v>-0.68542740000000002</v>
      </c>
      <c r="P7403">
        <v>0.76672819999999997</v>
      </c>
      <c r="Q7403">
        <v>-1.9294530000000001E-2</v>
      </c>
      <c r="R7403">
        <v>-0.64168219999999898</v>
      </c>
      <c r="S7403">
        <v>2.809631</v>
      </c>
      <c r="T7403">
        <v>-0.29986119999999999</v>
      </c>
      <c r="U7403">
        <v>-1.314514</v>
      </c>
      <c r="V7403">
        <v>-5.835067E-2</v>
      </c>
      <c r="W7403">
        <v>-5.4913419999999998E-3</v>
      </c>
      <c r="X7403">
        <v>0.99828110000000003</v>
      </c>
      <c r="Y7403">
        <v>-0.30853999999999998</v>
      </c>
      <c r="Z7403">
        <v>7.7154550000000002E-2</v>
      </c>
      <c r="AA7403">
        <v>0.94807710000000001</v>
      </c>
      <c r="AB7403">
        <v>17</v>
      </c>
      <c r="AC7403">
        <v>10.382</v>
      </c>
      <c r="AD7403">
        <v>-1.1140546576920001</v>
      </c>
      <c r="AE7403">
        <v>-4.8355899999999998</v>
      </c>
      <c r="AF7403">
        <v>-3.5624641101518901</v>
      </c>
      <c r="AG7403">
        <v>-1.1140546576920001</v>
      </c>
      <c r="AH7403">
        <v>10.771734289285799</v>
      </c>
      <c r="AI7403">
        <v>95.608073897835993</v>
      </c>
      <c r="AJ7403">
        <v>108.300256971919</v>
      </c>
      <c r="AK7403">
        <v>11.4001108729442</v>
      </c>
      <c r="AL7403">
        <v>90.314632284429806</v>
      </c>
      <c r="AM7403">
        <v>93.345197527408203</v>
      </c>
      <c r="AN7403">
        <v>1.0000000550718</v>
      </c>
    </row>
    <row r="7404" spans="1:40" x14ac:dyDescent="0.25">
      <c r="A7404" t="str">
        <f>"20190312154109773"</f>
        <v>20190312154109773</v>
      </c>
      <c r="B7404" t="str">
        <f>"1552376469763673"</f>
        <v>1552376469763673</v>
      </c>
      <c r="C7404" t="s">
        <v>40</v>
      </c>
      <c r="D7404">
        <v>4.3654129999999904</v>
      </c>
      <c r="E7404">
        <v>0.39965909999999999</v>
      </c>
      <c r="F7404" t="s">
        <v>42</v>
      </c>
      <c r="G7404">
        <v>-397.04629999999997</v>
      </c>
      <c r="H7404" s="1">
        <v>-1.6542519999999999E-6</v>
      </c>
      <c r="I7404">
        <v>20.659389999999998</v>
      </c>
      <c r="J7404">
        <v>-407.33440000000002</v>
      </c>
      <c r="K7404">
        <v>1.114017</v>
      </c>
      <c r="L7404">
        <v>25.401029999999999</v>
      </c>
      <c r="M7404">
        <v>0.73064659999999904</v>
      </c>
      <c r="N7404">
        <v>0</v>
      </c>
      <c r="O7404">
        <v>-0.68260449999999995</v>
      </c>
      <c r="P7404">
        <v>0.76967859999999999</v>
      </c>
      <c r="Q7404">
        <v>-1.999298E-2</v>
      </c>
      <c r="R7404">
        <v>-0.63811850000000003</v>
      </c>
      <c r="S7404">
        <v>2.8140260000000001</v>
      </c>
      <c r="T7404">
        <v>-0.302822599999999</v>
      </c>
      <c r="U7404">
        <v>-1.3036799999999999</v>
      </c>
      <c r="V7404">
        <v>-5.909872E-2</v>
      </c>
      <c r="W7404">
        <v>-6.179571E-3</v>
      </c>
      <c r="X7404">
        <v>0.99823300000000004</v>
      </c>
      <c r="Y7404">
        <v>-0.30836429999999998</v>
      </c>
      <c r="Z7404">
        <v>7.7686389999999994E-2</v>
      </c>
      <c r="AA7404">
        <v>0.94809089999999996</v>
      </c>
      <c r="AB7404">
        <v>17</v>
      </c>
      <c r="AC7404">
        <v>10.2881</v>
      </c>
      <c r="AD7404">
        <v>-1.1140186542520001</v>
      </c>
      <c r="AE7404">
        <v>-4.7416400000000003</v>
      </c>
      <c r="AF7404">
        <v>-3.5245229086838599</v>
      </c>
      <c r="AG7404">
        <v>-1.1140186542520001</v>
      </c>
      <c r="AH7404">
        <v>10.6517304437406</v>
      </c>
      <c r="AI7404">
        <v>95.670388125067802</v>
      </c>
      <c r="AJ7404">
        <v>108.30872657467999</v>
      </c>
      <c r="AK7404">
        <v>11.274868546549399</v>
      </c>
      <c r="AL7404">
        <v>90.354065596630804</v>
      </c>
      <c r="AM7404">
        <v>93.388146243161501</v>
      </c>
      <c r="AN7404">
        <v>0.99999998404619095</v>
      </c>
    </row>
    <row r="7405" spans="1:40" x14ac:dyDescent="0.25">
      <c r="A7405" t="str">
        <f>"20190312154109785"</f>
        <v>20190312154109785</v>
      </c>
      <c r="B7405" t="str">
        <f>"1552376469773434"</f>
        <v>1552376469773434</v>
      </c>
      <c r="C7405" t="s">
        <v>40</v>
      </c>
      <c r="D7405">
        <v>4.3860250000000001</v>
      </c>
      <c r="E7405">
        <v>0.3998332</v>
      </c>
      <c r="F7405" t="s">
        <v>42</v>
      </c>
      <c r="G7405">
        <v>-397.0575</v>
      </c>
      <c r="H7405" s="1">
        <v>-1.657998E-6</v>
      </c>
      <c r="I7405">
        <v>20.693429999999999</v>
      </c>
      <c r="J7405">
        <v>-407.2715</v>
      </c>
      <c r="K7405">
        <v>1.113988</v>
      </c>
      <c r="L7405">
        <v>25.348210000000002</v>
      </c>
      <c r="M7405">
        <v>0.73321000000000003</v>
      </c>
      <c r="N7405">
        <v>0</v>
      </c>
      <c r="O7405">
        <v>-0.67984999999999995</v>
      </c>
      <c r="P7405">
        <v>0.77241439999999995</v>
      </c>
      <c r="Q7405">
        <v>-2.0549890000000001E-2</v>
      </c>
      <c r="R7405">
        <v>-0.63478619999999997</v>
      </c>
      <c r="S7405">
        <v>2.819153</v>
      </c>
      <c r="T7405">
        <v>-0.30559609999999998</v>
      </c>
      <c r="U7405">
        <v>-1.291382</v>
      </c>
      <c r="V7405">
        <v>-5.9642090000000002E-2</v>
      </c>
      <c r="W7405">
        <v>-6.7269640000000002E-3</v>
      </c>
      <c r="X7405">
        <v>0.99819709999999995</v>
      </c>
      <c r="Y7405">
        <v>-0.30879459999999997</v>
      </c>
      <c r="Z7405">
        <v>7.8192349999999994E-2</v>
      </c>
      <c r="AA7405">
        <v>0.94790920000000001</v>
      </c>
      <c r="AB7405">
        <v>17</v>
      </c>
      <c r="AC7405">
        <v>10.214</v>
      </c>
      <c r="AD7405">
        <v>-1.113989657998</v>
      </c>
      <c r="AE7405">
        <v>-4.6547799999999997</v>
      </c>
      <c r="AF7405">
        <v>-3.4969786178181002</v>
      </c>
      <c r="AG7405">
        <v>-1.113989657998</v>
      </c>
      <c r="AH7405">
        <v>10.5507421953644</v>
      </c>
      <c r="AI7405">
        <v>95.723212191610202</v>
      </c>
      <c r="AJ7405">
        <v>108.337460198275</v>
      </c>
      <c r="AK7405">
        <v>11.170854635373599</v>
      </c>
      <c r="AL7405">
        <v>90.385429575944002</v>
      </c>
      <c r="AM7405">
        <v>93.419346906022497</v>
      </c>
      <c r="AN7405">
        <v>0.99999994069631504</v>
      </c>
    </row>
    <row r="7406" spans="1:40" x14ac:dyDescent="0.25">
      <c r="A7406" t="str">
        <f>"20190312154109795"</f>
        <v>20190312154109795</v>
      </c>
      <c r="B7406" t="str">
        <f>"1552376469784169"</f>
        <v>1552376469784169</v>
      </c>
      <c r="C7406" t="s">
        <v>40</v>
      </c>
      <c r="D7406">
        <v>4.4027669999999999</v>
      </c>
      <c r="E7406">
        <v>0.3998332</v>
      </c>
      <c r="F7406" t="s">
        <v>42</v>
      </c>
      <c r="G7406">
        <v>-397.05369999999999</v>
      </c>
      <c r="H7406" s="1">
        <v>-1.665592E-6</v>
      </c>
      <c r="I7406">
        <v>20.71527</v>
      </c>
      <c r="J7406">
        <v>-407.21050000000002</v>
      </c>
      <c r="K7406">
        <v>1.113961</v>
      </c>
      <c r="L7406">
        <v>25.297329999999999</v>
      </c>
      <c r="M7406">
        <v>0.73567369999999899</v>
      </c>
      <c r="N7406">
        <v>0</v>
      </c>
      <c r="O7406">
        <v>-0.67718299999999998</v>
      </c>
      <c r="P7406">
        <v>0.7748758</v>
      </c>
      <c r="Q7406">
        <v>-2.131794E-2</v>
      </c>
      <c r="R7406">
        <v>-0.63175429999999999</v>
      </c>
      <c r="S7406">
        <v>2.8235779999999999</v>
      </c>
      <c r="T7406">
        <v>-0.30784139999999999</v>
      </c>
      <c r="U7406">
        <v>-1.280273</v>
      </c>
      <c r="V7406">
        <v>-5.9909270000000001E-2</v>
      </c>
      <c r="W7406">
        <v>-7.4840139999999998E-3</v>
      </c>
      <c r="X7406">
        <v>0.99817579999999995</v>
      </c>
      <c r="Y7406">
        <v>-0.30894490000000002</v>
      </c>
      <c r="Z7406">
        <v>7.8559039999999997E-2</v>
      </c>
      <c r="AA7406">
        <v>0.9478299</v>
      </c>
      <c r="AB7406">
        <v>17</v>
      </c>
      <c r="AC7406">
        <v>10.1568</v>
      </c>
      <c r="AD7406">
        <v>-1.1139626655920001</v>
      </c>
      <c r="AE7406">
        <v>-4.5820599999999896</v>
      </c>
      <c r="AF7406">
        <v>-3.4727653990768399</v>
      </c>
      <c r="AG7406">
        <v>-1.1139626655920001</v>
      </c>
      <c r="AH7406">
        <v>10.4714207832422</v>
      </c>
      <c r="AI7406">
        <v>95.765796520407605</v>
      </c>
      <c r="AJ7406">
        <v>108.347701143466</v>
      </c>
      <c r="AK7406">
        <v>11.088357207317801</v>
      </c>
      <c r="AL7406">
        <v>90.428806406413699</v>
      </c>
      <c r="AM7406">
        <v>93.434701158344296</v>
      </c>
      <c r="AN7406">
        <v>1.0000000294015601</v>
      </c>
    </row>
    <row r="7407" spans="1:40" x14ac:dyDescent="0.25">
      <c r="A7407" t="str">
        <f>"20190312154109806"</f>
        <v>20190312154109806</v>
      </c>
      <c r="B7407" t="str">
        <f>"1552376469804196"</f>
        <v>1552376469804196</v>
      </c>
      <c r="C7407" t="s">
        <v>40</v>
      </c>
      <c r="D7407">
        <v>4.3761299999999999</v>
      </c>
      <c r="E7407">
        <v>0.40806969999999998</v>
      </c>
      <c r="F7407" t="s">
        <v>42</v>
      </c>
      <c r="G7407">
        <v>-397.04329999999999</v>
      </c>
      <c r="H7407" s="1">
        <v>-1.6760830000000001E-6</v>
      </c>
      <c r="I7407">
        <v>20.736090000000001</v>
      </c>
      <c r="J7407">
        <v>-407.14690000000002</v>
      </c>
      <c r="K7407">
        <v>1.113939</v>
      </c>
      <c r="L7407">
        <v>25.244779999999999</v>
      </c>
      <c r="M7407">
        <v>0.73821719999999902</v>
      </c>
      <c r="N7407">
        <v>0</v>
      </c>
      <c r="O7407">
        <v>-0.67440919999999904</v>
      </c>
      <c r="P7407">
        <v>0.77753159999999999</v>
      </c>
      <c r="Q7407">
        <v>-2.1651110000000001E-2</v>
      </c>
      <c r="R7407">
        <v>-0.62847129999999995</v>
      </c>
      <c r="S7407">
        <v>2.8284910000000001</v>
      </c>
      <c r="T7407">
        <v>-0.30990060000000003</v>
      </c>
      <c r="U7407">
        <v>-1.268921</v>
      </c>
      <c r="V7407">
        <v>-6.0365080000000002E-2</v>
      </c>
      <c r="W7407">
        <v>-7.8097039999999998E-3</v>
      </c>
      <c r="X7407">
        <v>0.99814579999999997</v>
      </c>
      <c r="Y7407">
        <v>-0.30910569999999998</v>
      </c>
      <c r="Z7407">
        <v>7.8856800000000005E-2</v>
      </c>
      <c r="AA7407">
        <v>0.9477527</v>
      </c>
      <c r="AB7407">
        <v>17</v>
      </c>
      <c r="AC7407">
        <v>10.1036</v>
      </c>
      <c r="AD7407">
        <v>-1.113940676083</v>
      </c>
      <c r="AE7407">
        <v>-4.5086899999999899</v>
      </c>
      <c r="AF7407">
        <v>-3.4509483444475699</v>
      </c>
      <c r="AG7407">
        <v>-1.113940676083</v>
      </c>
      <c r="AH7407">
        <v>10.395069894115901</v>
      </c>
      <c r="AI7407">
        <v>95.807162328057899</v>
      </c>
      <c r="AJ7407">
        <v>108.365099704193</v>
      </c>
      <c r="AK7407">
        <v>11.009422619258199</v>
      </c>
      <c r="AL7407">
        <v>90.447467633314801</v>
      </c>
      <c r="AM7407">
        <v>93.4608740149055</v>
      </c>
      <c r="AN7407">
        <v>0.99999998620880604</v>
      </c>
    </row>
    <row r="7408" spans="1:40" x14ac:dyDescent="0.25">
      <c r="A7408" t="str">
        <f>"20190312154109815"</f>
        <v>20190312154109815</v>
      </c>
      <c r="B7408" t="str">
        <f>"1552376469813956"</f>
        <v>1552376469813956</v>
      </c>
      <c r="C7408" t="s">
        <v>40</v>
      </c>
      <c r="D7408">
        <v>4.3944789999999996</v>
      </c>
      <c r="E7408">
        <v>0.40842020000000001</v>
      </c>
      <c r="F7408" t="s">
        <v>42</v>
      </c>
      <c r="G7408">
        <v>-397.67680000000001</v>
      </c>
      <c r="H7408" s="1">
        <v>-1.3963910000000001E-6</v>
      </c>
      <c r="I7408">
        <v>20.810410000000001</v>
      </c>
      <c r="J7408">
        <v>-407.08839999999998</v>
      </c>
      <c r="K7408">
        <v>1.1139159999999999</v>
      </c>
      <c r="L7408">
        <v>25.196660000000001</v>
      </c>
      <c r="M7408">
        <v>0.74053729999999995</v>
      </c>
      <c r="N7408">
        <v>0</v>
      </c>
      <c r="O7408">
        <v>-0.67186049999999997</v>
      </c>
      <c r="P7408">
        <v>0.77986480000000002</v>
      </c>
      <c r="Q7408">
        <v>-2.1703460000000001E-2</v>
      </c>
      <c r="R7408">
        <v>-0.62557159999999901</v>
      </c>
      <c r="S7408">
        <v>2.7923580000000001</v>
      </c>
      <c r="T7408">
        <v>-0.32845800000000003</v>
      </c>
      <c r="U7408">
        <v>-1.307526</v>
      </c>
      <c r="V7408">
        <v>-6.0640159999999999E-2</v>
      </c>
      <c r="W7408">
        <v>-7.853914E-3</v>
      </c>
      <c r="X7408">
        <v>0.99812880000000004</v>
      </c>
      <c r="Y7408">
        <v>-0.28993449999999998</v>
      </c>
      <c r="Z7408">
        <v>8.2954150000000004E-2</v>
      </c>
      <c r="AA7408">
        <v>0.95344459999999998</v>
      </c>
      <c r="AB7408">
        <v>17</v>
      </c>
      <c r="AC7408">
        <v>9.4115999999999609</v>
      </c>
      <c r="AD7408">
        <v>-1.1139173963909901</v>
      </c>
      <c r="AE7408">
        <v>-4.3862500000000004</v>
      </c>
      <c r="AF7408">
        <v>-3.0404297178622199</v>
      </c>
      <c r="AG7408">
        <v>-1.1139173963909901</v>
      </c>
      <c r="AH7408">
        <v>9.80478241917878</v>
      </c>
      <c r="AI7408">
        <v>96.193052344023002</v>
      </c>
      <c r="AJ7408">
        <v>107.22848570543201</v>
      </c>
      <c r="AK7408">
        <v>10.325637177563401</v>
      </c>
      <c r="AL7408">
        <v>90.450000748013693</v>
      </c>
      <c r="AM7408">
        <v>93.476665480240598</v>
      </c>
      <c r="AN7408">
        <v>1.00000000717969</v>
      </c>
    </row>
    <row r="7409" spans="1:40" x14ac:dyDescent="0.25">
      <c r="A7409" t="str">
        <f>"20190312154109826"</f>
        <v>20190312154109826</v>
      </c>
      <c r="B7409" t="str">
        <f>"1552376469823717"</f>
        <v>1552376469823717</v>
      </c>
      <c r="C7409" t="s">
        <v>40</v>
      </c>
      <c r="D7409">
        <v>4.3649089999999999</v>
      </c>
      <c r="E7409">
        <v>0.40888639999999998</v>
      </c>
      <c r="F7409" t="s">
        <v>42</v>
      </c>
      <c r="G7409">
        <v>-397.68830000000003</v>
      </c>
      <c r="H7409" s="1">
        <v>-1.3958320000000001E-6</v>
      </c>
      <c r="I7409">
        <v>20.82874</v>
      </c>
      <c r="J7409">
        <v>-407.03140000000002</v>
      </c>
      <c r="K7409">
        <v>1.113899</v>
      </c>
      <c r="L7409">
        <v>25.15024</v>
      </c>
      <c r="M7409">
        <v>0.7427783</v>
      </c>
      <c r="N7409">
        <v>0</v>
      </c>
      <c r="O7409">
        <v>-0.66938209999999998</v>
      </c>
      <c r="P7409">
        <v>0.78214729999999999</v>
      </c>
      <c r="Q7409">
        <v>-2.154768E-2</v>
      </c>
      <c r="R7409">
        <v>-0.62272099999999997</v>
      </c>
      <c r="S7409">
        <v>2.7955930000000002</v>
      </c>
      <c r="T7409">
        <v>-0.3312774</v>
      </c>
      <c r="U7409">
        <v>-1.2990109999999999</v>
      </c>
      <c r="V7409">
        <v>-6.095246E-2</v>
      </c>
      <c r="W7409">
        <v>-7.6926859999999998E-3</v>
      </c>
      <c r="X7409">
        <v>0.99811099999999997</v>
      </c>
      <c r="Y7409">
        <v>-0.28948180000000001</v>
      </c>
      <c r="Z7409">
        <v>8.3430550000000006E-2</v>
      </c>
      <c r="AA7409">
        <v>0.95354059999999896</v>
      </c>
      <c r="AB7409">
        <v>17</v>
      </c>
      <c r="AC7409">
        <v>9.3430999999999909</v>
      </c>
      <c r="AD7409">
        <v>-1.113900395832</v>
      </c>
      <c r="AE7409">
        <v>-4.3215000000000003</v>
      </c>
      <c r="AF7409">
        <v>-3.0092690315667401</v>
      </c>
      <c r="AG7409">
        <v>-1.113900395832</v>
      </c>
      <c r="AH7409">
        <v>9.7198017002469097</v>
      </c>
      <c r="AI7409">
        <v>96.247544493324995</v>
      </c>
      <c r="AJ7409">
        <v>107.202623977323</v>
      </c>
      <c r="AK7409">
        <v>10.2357715531514</v>
      </c>
      <c r="AL7409">
        <v>90.440762799626697</v>
      </c>
      <c r="AM7409">
        <v>93.494588398410002</v>
      </c>
      <c r="AN7409">
        <v>0.99999997405947205</v>
      </c>
    </row>
    <row r="7410" spans="1:40" x14ac:dyDescent="0.25">
      <c r="A7410" t="str">
        <f>"20190312154109838"</f>
        <v>20190312154109838</v>
      </c>
      <c r="B7410" t="str">
        <f>"1552376469833477"</f>
        <v>1552376469833477</v>
      </c>
      <c r="C7410" t="s">
        <v>40</v>
      </c>
      <c r="D7410">
        <v>4.439076</v>
      </c>
      <c r="E7410">
        <v>0.4092402</v>
      </c>
      <c r="F7410" t="s">
        <v>42</v>
      </c>
      <c r="G7410">
        <v>-397.6146</v>
      </c>
      <c r="H7410" s="1">
        <v>-1.423922E-6</v>
      </c>
      <c r="I7410">
        <v>20.803470000000001</v>
      </c>
      <c r="J7410">
        <v>-406.96050000000002</v>
      </c>
      <c r="K7410">
        <v>1.1138790000000001</v>
      </c>
      <c r="L7410">
        <v>25.092739999999999</v>
      </c>
      <c r="M7410">
        <v>0.7455446</v>
      </c>
      <c r="N7410">
        <v>0</v>
      </c>
      <c r="O7410">
        <v>-0.66629959999999999</v>
      </c>
      <c r="P7410">
        <v>0.78499479999999999</v>
      </c>
      <c r="Q7410">
        <v>-2.1383220000000001E-2</v>
      </c>
      <c r="R7410">
        <v>-0.61913319999999905</v>
      </c>
      <c r="S7410">
        <v>2.7981569999999998</v>
      </c>
      <c r="T7410">
        <v>-0.33099109999999998</v>
      </c>
      <c r="U7410">
        <v>-1.2916259999999999</v>
      </c>
      <c r="V7410">
        <v>-6.1393250000000003E-2</v>
      </c>
      <c r="W7410">
        <v>-7.52220699999999E-3</v>
      </c>
      <c r="X7410">
        <v>0.99808529999999995</v>
      </c>
      <c r="Y7410">
        <v>-0.28795229999999999</v>
      </c>
      <c r="Z7410">
        <v>8.3029510000000001E-2</v>
      </c>
      <c r="AA7410">
        <v>0.95403859999999996</v>
      </c>
      <c r="AB7410">
        <v>17</v>
      </c>
      <c r="AC7410">
        <v>9.3459000000000199</v>
      </c>
      <c r="AD7410">
        <v>-1.1138804239219999</v>
      </c>
      <c r="AE7410">
        <v>-4.2892699999999904</v>
      </c>
      <c r="AF7410">
        <v>-2.9945069314949402</v>
      </c>
      <c r="AG7410">
        <v>-1.1138804239219999</v>
      </c>
      <c r="AH7410">
        <v>9.7127829905871899</v>
      </c>
      <c r="AI7410">
        <v>96.254179897716696</v>
      </c>
      <c r="AJ7410">
        <v>107.13483175702</v>
      </c>
      <c r="AK7410">
        <v>10.224771625019599</v>
      </c>
      <c r="AL7410">
        <v>90.430994782461497</v>
      </c>
      <c r="AM7410">
        <v>93.519887316224299</v>
      </c>
      <c r="AN7410">
        <v>0.99999999040990095</v>
      </c>
    </row>
    <row r="7411" spans="1:40" x14ac:dyDescent="0.25">
      <c r="A7411" t="str">
        <f>"20190312154109850"</f>
        <v>20190312154109850</v>
      </c>
      <c r="B7411" t="str">
        <f>"1552376469844212"</f>
        <v>1552376469844212</v>
      </c>
      <c r="C7411" t="s">
        <v>40</v>
      </c>
      <c r="D7411">
        <v>4.3647710000000002</v>
      </c>
      <c r="E7411">
        <v>0.4092402</v>
      </c>
      <c r="F7411" t="s">
        <v>42</v>
      </c>
      <c r="G7411">
        <v>-397.45679999999999</v>
      </c>
      <c r="H7411" s="1">
        <v>-1.483972E-6</v>
      </c>
      <c r="I7411">
        <v>20.748750000000001</v>
      </c>
      <c r="J7411">
        <v>-406.89049999999997</v>
      </c>
      <c r="K7411">
        <v>1.1138619999999999</v>
      </c>
      <c r="L7411">
        <v>25.03668</v>
      </c>
      <c r="M7411">
        <v>0.74824409999999997</v>
      </c>
      <c r="N7411">
        <v>0</v>
      </c>
      <c r="O7411">
        <v>-0.66326680000000005</v>
      </c>
      <c r="P7411">
        <v>0.78777439999999999</v>
      </c>
      <c r="Q7411">
        <v>-2.0856059999999999E-2</v>
      </c>
      <c r="R7411">
        <v>-0.61561100000000002</v>
      </c>
      <c r="S7411">
        <v>2.8024290000000001</v>
      </c>
      <c r="T7411">
        <v>-0.32845829999999998</v>
      </c>
      <c r="U7411">
        <v>-1.280945</v>
      </c>
      <c r="V7411">
        <v>-6.1825140000000001E-2</v>
      </c>
      <c r="W7411">
        <v>-6.991026E-3</v>
      </c>
      <c r="X7411">
        <v>0.99806249999999996</v>
      </c>
      <c r="Y7411">
        <v>-0.28770679999999998</v>
      </c>
      <c r="Z7411">
        <v>8.2124799999999998E-2</v>
      </c>
      <c r="AA7411">
        <v>0.95419089999999995</v>
      </c>
      <c r="AB7411">
        <v>17</v>
      </c>
      <c r="AC7411">
        <v>9.4336999999999804</v>
      </c>
      <c r="AD7411">
        <v>-1.1138634839720001</v>
      </c>
      <c r="AE7411">
        <v>-4.2879299999999896</v>
      </c>
      <c r="AF7411">
        <v>-3.0141330604254701</v>
      </c>
      <c r="AG7411">
        <v>-1.1138634839720001</v>
      </c>
      <c r="AH7411">
        <v>9.7906593098946395</v>
      </c>
      <c r="AI7411">
        <v>96.205504814028501</v>
      </c>
      <c r="AJ7411">
        <v>107.111402403274</v>
      </c>
      <c r="AK7411">
        <v>10.3044990023437</v>
      </c>
      <c r="AL7411">
        <v>90.400559551914995</v>
      </c>
      <c r="AM7411">
        <v>93.5446669188768</v>
      </c>
      <c r="AN7411">
        <v>0.99999998814340096</v>
      </c>
    </row>
    <row r="7412" spans="1:40" x14ac:dyDescent="0.25">
      <c r="A7412" t="str">
        <f>"20190312154109861"</f>
        <v>20190312154109861</v>
      </c>
      <c r="B7412" t="str">
        <f>"1552376469853975"</f>
        <v>1552376469853975</v>
      </c>
      <c r="C7412" t="s">
        <v>40</v>
      </c>
      <c r="D7412">
        <v>4.3320939999999997</v>
      </c>
      <c r="E7412">
        <v>0.40379300000000001</v>
      </c>
      <c r="F7412" t="s">
        <v>42</v>
      </c>
      <c r="G7412">
        <v>-397.31319999999999</v>
      </c>
      <c r="H7412" s="1">
        <v>-1.541817E-6</v>
      </c>
      <c r="I7412">
        <v>20.71105</v>
      </c>
      <c r="J7412">
        <v>-406.82600000000002</v>
      </c>
      <c r="K7412">
        <v>1.1138479999999999</v>
      </c>
      <c r="L7412">
        <v>24.985199999999999</v>
      </c>
      <c r="M7412">
        <v>0.75071569999999899</v>
      </c>
      <c r="N7412">
        <v>0</v>
      </c>
      <c r="O7412">
        <v>-0.6604679</v>
      </c>
      <c r="P7412">
        <v>0.79040069999999996</v>
      </c>
      <c r="Q7412">
        <v>-2.0485039999999999E-2</v>
      </c>
      <c r="R7412">
        <v>-0.61224789999999996</v>
      </c>
      <c r="S7412">
        <v>2.8083499999999999</v>
      </c>
      <c r="T7412">
        <v>-0.32661709999999999</v>
      </c>
      <c r="U7412">
        <v>-1.268402</v>
      </c>
      <c r="V7412">
        <v>-6.236212E-2</v>
      </c>
      <c r="W7412">
        <v>-6.6181299999999998E-3</v>
      </c>
      <c r="X7412">
        <v>0.99803160000000002</v>
      </c>
      <c r="Y7412">
        <v>-0.28848819999999997</v>
      </c>
      <c r="Z7412">
        <v>8.1439319999999996E-2</v>
      </c>
      <c r="AA7412">
        <v>0.95401369999999996</v>
      </c>
      <c r="AB7412">
        <v>17</v>
      </c>
      <c r="AC7412">
        <v>9.5127999999999702</v>
      </c>
      <c r="AD7412">
        <v>-1.113849541817</v>
      </c>
      <c r="AE7412">
        <v>-4.2741499999999899</v>
      </c>
      <c r="AF7412">
        <v>-3.0398711858991998</v>
      </c>
      <c r="AG7412">
        <v>-1.113849541817</v>
      </c>
      <c r="AH7412">
        <v>9.8529896050299897</v>
      </c>
      <c r="AI7412">
        <v>96.165330766193605</v>
      </c>
      <c r="AJ7412">
        <v>107.146183161785</v>
      </c>
      <c r="AK7412">
        <v>10.3712526623111</v>
      </c>
      <c r="AL7412">
        <v>90.379193702789706</v>
      </c>
      <c r="AM7412">
        <v>93.575484885056298</v>
      </c>
      <c r="AN7412">
        <v>0.99999995412707399</v>
      </c>
    </row>
    <row r="7413" spans="1:40" x14ac:dyDescent="0.25">
      <c r="A7413" t="str">
        <f>"20190312154109872"</f>
        <v>20190312154109872</v>
      </c>
      <c r="B7413" t="str">
        <f>"1552376469863733"</f>
        <v>1552376469863733</v>
      </c>
      <c r="C7413" t="s">
        <v>40</v>
      </c>
      <c r="D7413">
        <v>4.4116739999999997</v>
      </c>
      <c r="E7413">
        <v>0.40293250000000003</v>
      </c>
      <c r="F7413" t="s">
        <v>42</v>
      </c>
      <c r="G7413">
        <v>-393.58139999999997</v>
      </c>
      <c r="H7413" s="1">
        <v>-3.0749899999999999E-6</v>
      </c>
      <c r="I7413">
        <v>19.27572</v>
      </c>
      <c r="J7413">
        <v>-406.7559</v>
      </c>
      <c r="K7413">
        <v>1.1138349999999999</v>
      </c>
      <c r="L7413">
        <v>24.92981</v>
      </c>
      <c r="M7413">
        <v>0.75337730000000003</v>
      </c>
      <c r="N7413">
        <v>0</v>
      </c>
      <c r="O7413">
        <v>-0.65742990000000001</v>
      </c>
      <c r="P7413">
        <v>0.79304680000000005</v>
      </c>
      <c r="Q7413">
        <v>-2.025124E-2</v>
      </c>
      <c r="R7413">
        <v>-0.60882380000000003</v>
      </c>
      <c r="S7413">
        <v>2.8407900000000001</v>
      </c>
      <c r="T7413">
        <v>-0.23890649999999999</v>
      </c>
      <c r="U7413">
        <v>-1.2246090000000001</v>
      </c>
      <c r="V7413">
        <v>-6.2652990000000006E-2</v>
      </c>
      <c r="W7413">
        <v>-6.3806669999999996E-3</v>
      </c>
      <c r="X7413">
        <v>0.99801499999999999</v>
      </c>
      <c r="Y7413">
        <v>-0.30310599999999999</v>
      </c>
      <c r="Z7413">
        <v>5.9692540000000002E-2</v>
      </c>
      <c r="AA7413">
        <v>0.95108539999999997</v>
      </c>
      <c r="AB7413">
        <v>17</v>
      </c>
      <c r="AC7413">
        <v>13.1745</v>
      </c>
      <c r="AD7413">
        <v>-1.1138380749899901</v>
      </c>
      <c r="AE7413">
        <v>-5.6540900000000001</v>
      </c>
      <c r="AF7413">
        <v>-4.3756941666242604</v>
      </c>
      <c r="AG7413">
        <v>-1.1138380749899901</v>
      </c>
      <c r="AH7413">
        <v>13.5620979326743</v>
      </c>
      <c r="AI7413">
        <v>94.469223224194593</v>
      </c>
      <c r="AJ7413">
        <v>107.881849077046</v>
      </c>
      <c r="AK7413">
        <v>14.293978978317201</v>
      </c>
      <c r="AL7413">
        <v>90.365587761104194</v>
      </c>
      <c r="AM7413">
        <v>93.592177723021805</v>
      </c>
      <c r="AN7413">
        <v>1.0000000251461501</v>
      </c>
    </row>
    <row r="7414" spans="1:40" x14ac:dyDescent="0.25">
      <c r="A7414" t="str">
        <f>"20190312154109885"</f>
        <v>20190312154109885</v>
      </c>
      <c r="B7414" t="str">
        <f>"1552376469873492"</f>
        <v>1552376469873492</v>
      </c>
      <c r="C7414" t="s">
        <v>40</v>
      </c>
      <c r="D7414">
        <v>4.4424060000000001</v>
      </c>
      <c r="E7414">
        <v>0.40303870000000003</v>
      </c>
      <c r="F7414" t="s">
        <v>42</v>
      </c>
      <c r="G7414">
        <v>-392.73239999999998</v>
      </c>
      <c r="H7414" s="1">
        <v>-3.5267649999999999E-6</v>
      </c>
      <c r="I7414">
        <v>18.991409999999998</v>
      </c>
      <c r="J7414">
        <v>-406.68360000000001</v>
      </c>
      <c r="K7414">
        <v>1.1138239999999999</v>
      </c>
      <c r="L7414">
        <v>24.87323</v>
      </c>
      <c r="M7414">
        <v>0.75609579999999998</v>
      </c>
      <c r="N7414">
        <v>0</v>
      </c>
      <c r="O7414">
        <v>-0.65430169999999999</v>
      </c>
      <c r="P7414">
        <v>0.79561850000000001</v>
      </c>
      <c r="Q7414">
        <v>-2.0138900000000001E-2</v>
      </c>
      <c r="R7414">
        <v>-0.60546359999999999</v>
      </c>
      <c r="S7414">
        <v>2.8504640000000001</v>
      </c>
      <c r="T7414">
        <v>-0.22640289999999999</v>
      </c>
      <c r="U7414">
        <v>-1.2070620000000001</v>
      </c>
      <c r="V7414">
        <v>-6.2741089999999999E-2</v>
      </c>
      <c r="W7414">
        <v>-6.2634980000000002E-3</v>
      </c>
      <c r="X7414">
        <v>0.99801019999999896</v>
      </c>
      <c r="Y7414">
        <v>-0.30553639999999999</v>
      </c>
      <c r="Z7414">
        <v>5.641811E-2</v>
      </c>
      <c r="AA7414">
        <v>0.95050749999999995</v>
      </c>
      <c r="AB7414">
        <v>17</v>
      </c>
      <c r="AC7414">
        <v>13.9512</v>
      </c>
      <c r="AD7414">
        <v>-1.113827526765</v>
      </c>
      <c r="AE7414">
        <v>-5.8818199999999896</v>
      </c>
      <c r="AF7414">
        <v>-4.6563619648420902</v>
      </c>
      <c r="AG7414">
        <v>-1.113827526765</v>
      </c>
      <c r="AH7414">
        <v>14.320923714477299</v>
      </c>
      <c r="AI7414">
        <v>94.2301633183354</v>
      </c>
      <c r="AJ7414">
        <v>108.011622020825</v>
      </c>
      <c r="AK7414">
        <v>15.1000388920985</v>
      </c>
      <c r="AL7414">
        <v>90.358874340643197</v>
      </c>
      <c r="AM7414">
        <v>93.597232894062898</v>
      </c>
      <c r="AN7414">
        <v>1.0000000175428101</v>
      </c>
    </row>
    <row r="7415" spans="1:40" x14ac:dyDescent="0.25">
      <c r="A7415" t="str">
        <f>"20190312154109898"</f>
        <v>20190312154109898</v>
      </c>
      <c r="B7415" t="str">
        <f>"1552376469893520"</f>
        <v>1552376469893520</v>
      </c>
      <c r="C7415" t="s">
        <v>40</v>
      </c>
      <c r="D7415">
        <v>4.4085039999999998</v>
      </c>
      <c r="E7415">
        <v>0.4034529</v>
      </c>
      <c r="F7415" t="s">
        <v>42</v>
      </c>
      <c r="G7415">
        <v>-392.41059999999999</v>
      </c>
      <c r="H7415" s="1">
        <v>-3.6959550000000001E-6</v>
      </c>
      <c r="I7415">
        <v>18.89528</v>
      </c>
      <c r="J7415">
        <v>-406.60879999999997</v>
      </c>
      <c r="K7415">
        <v>1.1138110000000001</v>
      </c>
      <c r="L7415">
        <v>24.814910000000001</v>
      </c>
      <c r="M7415">
        <v>0.75889309999999999</v>
      </c>
      <c r="N7415">
        <v>0</v>
      </c>
      <c r="O7415">
        <v>-0.65105489999999999</v>
      </c>
      <c r="P7415">
        <v>0.79841799999999996</v>
      </c>
      <c r="Q7415">
        <v>-2.0039029999999999E-2</v>
      </c>
      <c r="R7415">
        <v>-0.60177000000000003</v>
      </c>
      <c r="S7415">
        <v>2.8550420000000001</v>
      </c>
      <c r="T7415">
        <v>-0.22279889999999999</v>
      </c>
      <c r="U7415">
        <v>-1.19577</v>
      </c>
      <c r="V7415">
        <v>-6.3091369999999994E-2</v>
      </c>
      <c r="W7415">
        <v>-6.1615790000000004E-3</v>
      </c>
      <c r="X7415">
        <v>0.99798880000000001</v>
      </c>
      <c r="Y7415">
        <v>-0.30527379999999998</v>
      </c>
      <c r="Z7415">
        <v>5.5316740000000003E-2</v>
      </c>
      <c r="AA7415">
        <v>0.95065659999999996</v>
      </c>
      <c r="AB7415">
        <v>17</v>
      </c>
      <c r="AC7415">
        <v>14.1981999999999</v>
      </c>
      <c r="AD7415">
        <v>-1.1138146959549999</v>
      </c>
      <c r="AE7415">
        <v>-5.9196299999999997</v>
      </c>
      <c r="AF7415">
        <v>-4.7271543809764802</v>
      </c>
      <c r="AG7415">
        <v>-1.1138146959549999</v>
      </c>
      <c r="AH7415">
        <v>14.5541445700563</v>
      </c>
      <c r="AI7415">
        <v>94.162992127600205</v>
      </c>
      <c r="AJ7415">
        <v>107.993683427991</v>
      </c>
      <c r="AK7415">
        <v>15.3430667040396</v>
      </c>
      <c r="AL7415">
        <v>90.353034682575597</v>
      </c>
      <c r="AM7415">
        <v>93.617340228852697</v>
      </c>
      <c r="AN7415">
        <v>1.00000006547484</v>
      </c>
    </row>
    <row r="7416" spans="1:40" x14ac:dyDescent="0.25">
      <c r="A7416" t="str">
        <f>"20190312154109911"</f>
        <v>20190312154109911</v>
      </c>
      <c r="B7416" t="str">
        <f>"1552376469903279"</f>
        <v>1552376469903279</v>
      </c>
      <c r="C7416" t="s">
        <v>40</v>
      </c>
      <c r="D7416">
        <v>4.4536519999999999</v>
      </c>
      <c r="E7416">
        <v>0.4111592</v>
      </c>
      <c r="F7416" t="s">
        <v>42</v>
      </c>
      <c r="G7416">
        <v>-392.23070000000001</v>
      </c>
      <c r="H7416" s="1">
        <v>-3.7882789999999999E-6</v>
      </c>
      <c r="I7416">
        <v>18.85426</v>
      </c>
      <c r="J7416">
        <v>-406.5324</v>
      </c>
      <c r="K7416">
        <v>1.1137980000000001</v>
      </c>
      <c r="L7416">
        <v>24.756229999999999</v>
      </c>
      <c r="M7416">
        <v>0.761715699999999</v>
      </c>
      <c r="N7416">
        <v>0</v>
      </c>
      <c r="O7416">
        <v>-0.64775019999999905</v>
      </c>
      <c r="P7416">
        <v>0.80101309999999903</v>
      </c>
      <c r="Q7416">
        <v>-2.0214309999999999E-2</v>
      </c>
      <c r="R7416">
        <v>-0.59830509999999903</v>
      </c>
      <c r="S7416">
        <v>2.8586429999999998</v>
      </c>
      <c r="T7416">
        <v>-0.22144730000000001</v>
      </c>
      <c r="U7416">
        <v>-1.1850889999999901</v>
      </c>
      <c r="V7416">
        <v>-6.3072749999999997E-2</v>
      </c>
      <c r="W7416">
        <v>-6.3323930000000004E-3</v>
      </c>
      <c r="X7416">
        <v>0.99798880000000001</v>
      </c>
      <c r="Y7416">
        <v>-0.30462299999999998</v>
      </c>
      <c r="Z7416">
        <v>5.477282E-2</v>
      </c>
      <c r="AA7416">
        <v>0.95089690000000004</v>
      </c>
      <c r="AB7416">
        <v>17</v>
      </c>
      <c r="AC7416">
        <v>14.301699999999901</v>
      </c>
      <c r="AD7416">
        <v>-1.1138017882789999</v>
      </c>
      <c r="AE7416">
        <v>-5.9019699999999897</v>
      </c>
      <c r="AF7416">
        <v>-4.7442167876867902</v>
      </c>
      <c r="AG7416">
        <v>-1.1138017882789999</v>
      </c>
      <c r="AH7416">
        <v>14.642483609176599</v>
      </c>
      <c r="AI7416">
        <v>94.138877660312701</v>
      </c>
      <c r="AJ7416">
        <v>107.952508801663</v>
      </c>
      <c r="AK7416">
        <v>15.432124727241799</v>
      </c>
      <c r="AL7416">
        <v>90.362821833209907</v>
      </c>
      <c r="AM7416">
        <v>93.616275485547405</v>
      </c>
      <c r="AN7416">
        <v>0.99999995795955299</v>
      </c>
    </row>
    <row r="7417" spans="1:40" x14ac:dyDescent="0.25">
      <c r="A7417" t="str">
        <f>"20190312154109927"</f>
        <v>20190312154109927</v>
      </c>
      <c r="B7417" t="str">
        <f>"1552376469923776"</f>
        <v>1552376469923776</v>
      </c>
      <c r="C7417" t="s">
        <v>40</v>
      </c>
      <c r="D7417">
        <v>4.4353179999999996</v>
      </c>
      <c r="E7417">
        <v>0.41079490000000002</v>
      </c>
      <c r="F7417" t="s">
        <v>42</v>
      </c>
      <c r="G7417">
        <v>-395.31580000000002</v>
      </c>
      <c r="H7417" s="1">
        <v>-2.2747049999999999E-6</v>
      </c>
      <c r="I7417">
        <v>19.91695</v>
      </c>
      <c r="J7417">
        <v>-406.4359</v>
      </c>
      <c r="K7417">
        <v>1.113791</v>
      </c>
      <c r="L7417">
        <v>24.682739999999999</v>
      </c>
      <c r="M7417">
        <v>0.76525159999999903</v>
      </c>
      <c r="N7417">
        <v>0</v>
      </c>
      <c r="O7417">
        <v>-0.64356919999999995</v>
      </c>
      <c r="P7417">
        <v>0.80414929999999996</v>
      </c>
      <c r="Q7417">
        <v>-1.999064E-2</v>
      </c>
      <c r="R7417">
        <v>-0.59409119999999904</v>
      </c>
      <c r="S7417">
        <v>2.827118</v>
      </c>
      <c r="T7417">
        <v>-0.28073029999999999</v>
      </c>
      <c r="U7417">
        <v>-1.219727</v>
      </c>
      <c r="V7417">
        <v>-6.2853930000000002E-2</v>
      </c>
      <c r="W7417">
        <v>-6.1018180000000002E-3</v>
      </c>
      <c r="X7417">
        <v>0.99800409999999995</v>
      </c>
      <c r="Y7417">
        <v>-0.28453270000000003</v>
      </c>
      <c r="Z7417">
        <v>6.8635680000000004E-2</v>
      </c>
      <c r="AA7417">
        <v>0.95620620000000001</v>
      </c>
      <c r="AB7417">
        <v>17</v>
      </c>
      <c r="AC7417">
        <v>11.1200999999999</v>
      </c>
      <c r="AD7417">
        <v>-1.1137932747049999</v>
      </c>
      <c r="AE7417">
        <v>-4.7657899999999902</v>
      </c>
      <c r="AF7417">
        <v>-3.4803940213752198</v>
      </c>
      <c r="AG7417">
        <v>-1.1137932747049999</v>
      </c>
      <c r="AH7417">
        <v>11.4806948475285</v>
      </c>
      <c r="AI7417">
        <v>95.304252896956697</v>
      </c>
      <c r="AJ7417">
        <v>106.86477760344501</v>
      </c>
      <c r="AK7417">
        <v>12.0482377211304</v>
      </c>
      <c r="AL7417">
        <v>90.349610582591595</v>
      </c>
      <c r="AM7417">
        <v>93.603707460864996</v>
      </c>
      <c r="AN7417">
        <v>1.00000001615807</v>
      </c>
    </row>
    <row r="7418" spans="1:40" x14ac:dyDescent="0.25">
      <c r="A7418" t="str">
        <f>"20190312154109939"</f>
        <v>20190312154109939</v>
      </c>
      <c r="B7418" t="str">
        <f>"1552376469933535"</f>
        <v>1552376469933535</v>
      </c>
      <c r="C7418" t="s">
        <v>40</v>
      </c>
      <c r="D7418">
        <v>4.42089</v>
      </c>
      <c r="E7418">
        <v>0.41112470000000001</v>
      </c>
      <c r="F7418" t="s">
        <v>42</v>
      </c>
      <c r="G7418">
        <v>-395.01799999999997</v>
      </c>
      <c r="H7418" s="1">
        <v>-2.3952730000000001E-6</v>
      </c>
      <c r="I7418">
        <v>19.84102</v>
      </c>
      <c r="J7418">
        <v>-406.3664</v>
      </c>
      <c r="K7418">
        <v>1.113785</v>
      </c>
      <c r="L7418">
        <v>24.63016</v>
      </c>
      <c r="M7418">
        <v>0.76777709999999999</v>
      </c>
      <c r="N7418">
        <v>0</v>
      </c>
      <c r="O7418">
        <v>-0.64055399999999996</v>
      </c>
      <c r="P7418">
        <v>0.80639229999999995</v>
      </c>
      <c r="Q7418">
        <v>-1.964776E-2</v>
      </c>
      <c r="R7418">
        <v>-0.59105450000000004</v>
      </c>
      <c r="S7418">
        <v>2.8354490000000001</v>
      </c>
      <c r="T7418">
        <v>-0.27659270000000002</v>
      </c>
      <c r="U7418">
        <v>-1.2023619999999999</v>
      </c>
      <c r="V7418">
        <v>-6.2699870000000005E-2</v>
      </c>
      <c r="W7418">
        <v>-5.7543680000000002E-3</v>
      </c>
      <c r="X7418">
        <v>0.99801580000000001</v>
      </c>
      <c r="Y7418">
        <v>-0.28683890000000001</v>
      </c>
      <c r="Z7418">
        <v>6.7459259999999993E-2</v>
      </c>
      <c r="AA7418">
        <v>0.95560069999999997</v>
      </c>
      <c r="AB7418">
        <v>17</v>
      </c>
      <c r="AC7418">
        <v>11.3483999999999</v>
      </c>
      <c r="AD7418">
        <v>-1.113787395273</v>
      </c>
      <c r="AE7418">
        <v>-4.7891399999999997</v>
      </c>
      <c r="AF7418">
        <v>-3.5635099945311501</v>
      </c>
      <c r="AG7418">
        <v>-1.113787395273</v>
      </c>
      <c r="AH7418">
        <v>11.686423598086201</v>
      </c>
      <c r="AI7418">
        <v>95.208807435069502</v>
      </c>
      <c r="AJ7418">
        <v>106.95789670930399</v>
      </c>
      <c r="AK7418">
        <v>12.2683178291443</v>
      </c>
      <c r="AL7418">
        <v>90.329702832354897</v>
      </c>
      <c r="AM7418">
        <v>93.594855644487694</v>
      </c>
      <c r="AN7418">
        <v>0.99999996174936701</v>
      </c>
    </row>
    <row r="7419" spans="1:40" x14ac:dyDescent="0.25">
      <c r="A7419" t="str">
        <f>"20190312154109950"</f>
        <v>20190312154109950</v>
      </c>
      <c r="B7419" t="str">
        <f>"1552376469943295"</f>
        <v>1552376469943295</v>
      </c>
      <c r="C7419" t="s">
        <v>40</v>
      </c>
      <c r="D7419">
        <v>4.4171399999999998</v>
      </c>
      <c r="E7419">
        <v>0.41129939999999998</v>
      </c>
      <c r="F7419" t="s">
        <v>42</v>
      </c>
      <c r="G7419">
        <v>-394.90190000000001</v>
      </c>
      <c r="H7419" s="1">
        <v>-2.4414980000000002E-6</v>
      </c>
      <c r="I7419">
        <v>19.80846</v>
      </c>
      <c r="J7419">
        <v>-406.2971</v>
      </c>
      <c r="K7419">
        <v>1.1137760000000001</v>
      </c>
      <c r="L7419">
        <v>24.578309999999998</v>
      </c>
      <c r="M7419">
        <v>0.77027319999999999</v>
      </c>
      <c r="N7419">
        <v>0</v>
      </c>
      <c r="O7419">
        <v>-0.63755050000000002</v>
      </c>
      <c r="P7419">
        <v>0.8088571</v>
      </c>
      <c r="Q7419">
        <v>-1.9187340000000001E-2</v>
      </c>
      <c r="R7419">
        <v>-0.58769249999999995</v>
      </c>
      <c r="S7419">
        <v>2.8385310000000001</v>
      </c>
      <c r="T7419">
        <v>-0.27576580000000001</v>
      </c>
      <c r="U7419">
        <v>-1.1938169999999999</v>
      </c>
      <c r="V7419">
        <v>-6.2967960000000003E-2</v>
      </c>
      <c r="W7419">
        <v>-5.2936729999999996E-3</v>
      </c>
      <c r="X7419">
        <v>0.99800149999999999</v>
      </c>
      <c r="Y7419">
        <v>-0.28594449999999999</v>
      </c>
      <c r="Z7419">
        <v>6.7001140000000001E-2</v>
      </c>
      <c r="AA7419">
        <v>0.955901</v>
      </c>
      <c r="AB7419">
        <v>17</v>
      </c>
      <c r="AC7419">
        <v>11.3951999999999</v>
      </c>
      <c r="AD7419">
        <v>-1.1137784414980001</v>
      </c>
      <c r="AE7419">
        <v>-4.7698499999999999</v>
      </c>
      <c r="AF7419">
        <v>-3.5623440476932</v>
      </c>
      <c r="AG7419">
        <v>-1.1137784414980001</v>
      </c>
      <c r="AH7419">
        <v>11.7243626548373</v>
      </c>
      <c r="AI7419">
        <v>95.193565561067402</v>
      </c>
      <c r="AJ7419">
        <v>106.900940933839</v>
      </c>
      <c r="AK7419">
        <v>12.304124397657199</v>
      </c>
      <c r="AL7419">
        <v>90.303306540512494</v>
      </c>
      <c r="AM7419">
        <v>93.610237434831404</v>
      </c>
      <c r="AN7419">
        <v>0.99999999048132104</v>
      </c>
    </row>
    <row r="7420" spans="1:40" x14ac:dyDescent="0.25">
      <c r="A7420" t="str">
        <f>"20190312154109961"</f>
        <v>20190312154109961</v>
      </c>
      <c r="B7420" t="str">
        <f>"1552376469954032"</f>
        <v>1552376469954032</v>
      </c>
      <c r="C7420" t="s">
        <v>40</v>
      </c>
      <c r="D7420">
        <v>4.4386989999999997</v>
      </c>
      <c r="E7420">
        <v>0.41157929999999998</v>
      </c>
      <c r="F7420" t="s">
        <v>42</v>
      </c>
      <c r="G7420">
        <v>-394.78109999999998</v>
      </c>
      <c r="H7420" s="1">
        <v>-2.4924870000000001E-6</v>
      </c>
      <c r="I7420">
        <v>19.785409999999999</v>
      </c>
      <c r="J7420">
        <v>-406.2296</v>
      </c>
      <c r="K7420">
        <v>1.113766</v>
      </c>
      <c r="L7420">
        <v>24.528110000000002</v>
      </c>
      <c r="M7420">
        <v>0.77268239999999999</v>
      </c>
      <c r="N7420">
        <v>0</v>
      </c>
      <c r="O7420">
        <v>-0.63462819999999998</v>
      </c>
      <c r="P7420">
        <v>0.81105229999999995</v>
      </c>
      <c r="Q7420">
        <v>-1.8523689999999999E-2</v>
      </c>
      <c r="R7420">
        <v>-0.58468050000000005</v>
      </c>
      <c r="S7420">
        <v>2.842743</v>
      </c>
      <c r="T7420">
        <v>-0.27493820000000002</v>
      </c>
      <c r="U7420">
        <v>-1.183136</v>
      </c>
      <c r="V7420">
        <v>-6.2914380000000006E-2</v>
      </c>
      <c r="W7420">
        <v>-4.6269479999999997E-3</v>
      </c>
      <c r="X7420">
        <v>0.99800820000000001</v>
      </c>
      <c r="Y7420">
        <v>-0.28590860000000001</v>
      </c>
      <c r="Z7420">
        <v>6.6576469999999999E-2</v>
      </c>
      <c r="AA7420">
        <v>0.95594129999999999</v>
      </c>
      <c r="AB7420">
        <v>17</v>
      </c>
      <c r="AC7420">
        <v>11.448499999999999</v>
      </c>
      <c r="AD7420">
        <v>-1.1137684924869999</v>
      </c>
      <c r="AE7420">
        <v>-4.7427000000000001</v>
      </c>
      <c r="AF7420">
        <v>-3.57245782336742</v>
      </c>
      <c r="AG7420">
        <v>-1.1137684924869999</v>
      </c>
      <c r="AH7420">
        <v>11.7621291294221</v>
      </c>
      <c r="AI7420">
        <v>95.177100272883905</v>
      </c>
      <c r="AJ7420">
        <v>106.894870303104</v>
      </c>
      <c r="AK7420">
        <v>12.343039204823</v>
      </c>
      <c r="AL7420">
        <v>90.2651055390035</v>
      </c>
      <c r="AM7420">
        <v>93.607149413565594</v>
      </c>
      <c r="AN7420">
        <v>0.99999999756290903</v>
      </c>
    </row>
    <row r="7421" spans="1:40" x14ac:dyDescent="0.25">
      <c r="A7421" t="str">
        <f>"20190312154109972"</f>
        <v>20190312154109972</v>
      </c>
      <c r="B7421" t="str">
        <f>"1552376469963792"</f>
        <v>1552376469963792</v>
      </c>
      <c r="C7421" t="s">
        <v>40</v>
      </c>
      <c r="D7421">
        <v>4.489719</v>
      </c>
      <c r="E7421">
        <v>0.41179919999999998</v>
      </c>
      <c r="F7421" t="s">
        <v>42</v>
      </c>
      <c r="G7421">
        <v>-394.57940000000002</v>
      </c>
      <c r="H7421" s="1">
        <v>-2.5701939999999998E-6</v>
      </c>
      <c r="I7421">
        <v>19.719139999999999</v>
      </c>
      <c r="J7421">
        <v>-406.16149999999999</v>
      </c>
      <c r="K7421">
        <v>1.11375</v>
      </c>
      <c r="L7421">
        <v>24.477969999999999</v>
      </c>
      <c r="M7421">
        <v>0.775088</v>
      </c>
      <c r="N7421">
        <v>0</v>
      </c>
      <c r="O7421">
        <v>-0.63168819999999903</v>
      </c>
      <c r="P7421">
        <v>0.8134093</v>
      </c>
      <c r="Q7421">
        <v>-1.7924180000000001E-2</v>
      </c>
      <c r="R7421">
        <v>-0.58141569999999998</v>
      </c>
      <c r="S7421">
        <v>2.8458559999999999</v>
      </c>
      <c r="T7421">
        <v>-0.27206669999999999</v>
      </c>
      <c r="U7421">
        <v>-1.1747129999999999</v>
      </c>
      <c r="V7421">
        <v>-6.3147750000000002E-2</v>
      </c>
      <c r="W7421">
        <v>-4.0273560000000002E-3</v>
      </c>
      <c r="X7421">
        <v>0.99799610000000005</v>
      </c>
      <c r="Y7421">
        <v>-0.28513189999999999</v>
      </c>
      <c r="Z7421">
        <v>6.5635990000000005E-2</v>
      </c>
      <c r="AA7421">
        <v>0.95623829999999999</v>
      </c>
      <c r="AB7421">
        <v>17</v>
      </c>
      <c r="AC7421">
        <v>11.582099999999899</v>
      </c>
      <c r="AD7421">
        <v>-1.1137525701940001</v>
      </c>
      <c r="AE7421">
        <v>-4.7588299999999997</v>
      </c>
      <c r="AF7421">
        <v>-3.5996638441648199</v>
      </c>
      <c r="AG7421">
        <v>-1.1137525701940001</v>
      </c>
      <c r="AH7421">
        <v>11.8904233551615</v>
      </c>
      <c r="AI7421">
        <v>95.122866061697806</v>
      </c>
      <c r="AJ7421">
        <v>106.84297385694499</v>
      </c>
      <c r="AK7421">
        <v>12.473178910910001</v>
      </c>
      <c r="AL7421">
        <v>90.230751116696297</v>
      </c>
      <c r="AM7421">
        <v>93.620537765808095</v>
      </c>
      <c r="AN7421">
        <v>1.00000003677081</v>
      </c>
    </row>
    <row r="7422" spans="1:40" x14ac:dyDescent="0.25">
      <c r="A7422" t="str">
        <f>"20190312154109984"</f>
        <v>20190312154109984</v>
      </c>
      <c r="B7422" t="str">
        <f>"1552376469973552"</f>
        <v>1552376469973552</v>
      </c>
      <c r="C7422" t="s">
        <v>40</v>
      </c>
      <c r="D7422">
        <v>4.4348219999999996</v>
      </c>
      <c r="E7422">
        <v>0.41219080000000002</v>
      </c>
      <c r="F7422" t="s">
        <v>42</v>
      </c>
      <c r="G7422">
        <v>-394.55470000000003</v>
      </c>
      <c r="H7422" s="1">
        <v>-2.5858459999999999E-6</v>
      </c>
      <c r="I7422">
        <v>19.734059999999999</v>
      </c>
      <c r="J7422">
        <v>-406.09550000000002</v>
      </c>
      <c r="K7422">
        <v>1.113729</v>
      </c>
      <c r="L7422">
        <v>24.429690000000001</v>
      </c>
      <c r="M7422">
        <v>0.77739519999999995</v>
      </c>
      <c r="N7422">
        <v>0</v>
      </c>
      <c r="O7422">
        <v>-0.62884659999999903</v>
      </c>
      <c r="P7422">
        <v>0.81553129999999996</v>
      </c>
      <c r="Q7422">
        <v>-1.789369E-2</v>
      </c>
      <c r="R7422">
        <v>-0.57843669999999903</v>
      </c>
      <c r="S7422">
        <v>2.8496700000000001</v>
      </c>
      <c r="T7422">
        <v>-0.27344400000000002</v>
      </c>
      <c r="U7422">
        <v>-1.164703</v>
      </c>
      <c r="V7422">
        <v>-6.3145850000000003E-2</v>
      </c>
      <c r="W7422">
        <v>-3.9949850000000004E-3</v>
      </c>
      <c r="X7422">
        <v>0.99799629999999995</v>
      </c>
      <c r="Y7422">
        <v>-0.28492960000000001</v>
      </c>
      <c r="Z7422">
        <v>6.5743449999999995E-2</v>
      </c>
      <c r="AA7422">
        <v>0.95629120000000001</v>
      </c>
      <c r="AB7422">
        <v>17</v>
      </c>
      <c r="AC7422">
        <v>11.5407999999999</v>
      </c>
      <c r="AD7422">
        <v>-1.113731585846</v>
      </c>
      <c r="AE7422">
        <v>-4.6956300000000004</v>
      </c>
      <c r="AF7422">
        <v>-3.5788133889478302</v>
      </c>
      <c r="AG7422">
        <v>-1.113731585846</v>
      </c>
      <c r="AH7422">
        <v>11.8313027178054</v>
      </c>
      <c r="AI7422">
        <v>95.148585409789902</v>
      </c>
      <c r="AJ7422">
        <v>106.829875255085</v>
      </c>
      <c r="AK7422">
        <v>12.410802847462101</v>
      </c>
      <c r="AL7422">
        <v>90.228896391661294</v>
      </c>
      <c r="AM7422">
        <v>93.620428396598498</v>
      </c>
      <c r="AN7422">
        <v>0.99999998654553102</v>
      </c>
    </row>
    <row r="7423" spans="1:40" x14ac:dyDescent="0.25">
      <c r="A7423" t="str">
        <f>"20190312154109997"</f>
        <v>20190312154109997</v>
      </c>
      <c r="B7423" t="str">
        <f>"1552376469993579"</f>
        <v>1552376469993579</v>
      </c>
      <c r="C7423" t="s">
        <v>40</v>
      </c>
      <c r="D7423">
        <v>4.4742800000000003</v>
      </c>
      <c r="E7423">
        <v>0.4130992</v>
      </c>
      <c r="F7423" t="s">
        <v>42</v>
      </c>
      <c r="G7423">
        <v>-394.50080000000003</v>
      </c>
      <c r="H7423" s="1">
        <v>-2.6094270000000001E-6</v>
      </c>
      <c r="I7423">
        <v>19.726949999999999</v>
      </c>
      <c r="J7423">
        <v>-406.01909999999998</v>
      </c>
      <c r="K7423">
        <v>1.1136969999999999</v>
      </c>
      <c r="L7423">
        <v>24.374110000000002</v>
      </c>
      <c r="M7423">
        <v>0.78004189999999995</v>
      </c>
      <c r="N7423">
        <v>0</v>
      </c>
      <c r="O7423">
        <v>-0.62556069999999997</v>
      </c>
      <c r="P7423">
        <v>0.81811739999999999</v>
      </c>
      <c r="Q7423">
        <v>-1.787385E-2</v>
      </c>
      <c r="R7423">
        <v>-0.5747738</v>
      </c>
      <c r="S7423">
        <v>2.8520509999999999</v>
      </c>
      <c r="T7423">
        <v>-0.27395340000000001</v>
      </c>
      <c r="U7423">
        <v>-1.1567689999999999</v>
      </c>
      <c r="V7423">
        <v>-6.3410430000000004E-2</v>
      </c>
      <c r="W7423">
        <v>-3.975396E-3</v>
      </c>
      <c r="X7423">
        <v>0.99797959999999997</v>
      </c>
      <c r="Y7423">
        <v>-0.2834508</v>
      </c>
      <c r="Z7423">
        <v>6.5570379999999998E-2</v>
      </c>
      <c r="AA7423">
        <v>0.95674250000000005</v>
      </c>
      <c r="AB7423">
        <v>17</v>
      </c>
      <c r="AC7423">
        <v>11.518299999999901</v>
      </c>
      <c r="AD7423">
        <v>-1.113699609427</v>
      </c>
      <c r="AE7423">
        <v>-4.6471600000000004</v>
      </c>
      <c r="AF7423">
        <v>-3.5522291876880701</v>
      </c>
      <c r="AG7423">
        <v>-1.113699609427</v>
      </c>
      <c r="AH7423">
        <v>11.7982178609616</v>
      </c>
      <c r="AI7423">
        <v>95.164793720734906</v>
      </c>
      <c r="AJ7423">
        <v>106.75609433978001</v>
      </c>
      <c r="AK7423">
        <v>12.371604734900499</v>
      </c>
      <c r="AL7423">
        <v>90.227774016240303</v>
      </c>
      <c r="AM7423">
        <v>93.635618001523497</v>
      </c>
      <c r="AN7423">
        <v>0.99999998421114999</v>
      </c>
    </row>
    <row r="7424" spans="1:40" x14ac:dyDescent="0.25">
      <c r="A7424" t="str">
        <f>"20190312154110009"</f>
        <v>20190312154110009</v>
      </c>
      <c r="B7424" t="str">
        <f>"1552376470003339"</f>
        <v>1552376470003339</v>
      </c>
      <c r="C7424" t="s">
        <v>40</v>
      </c>
      <c r="D7424">
        <v>4.3850429999999996</v>
      </c>
      <c r="E7424">
        <v>0.41370899999999999</v>
      </c>
      <c r="F7424" t="s">
        <v>42</v>
      </c>
      <c r="G7424">
        <v>-394.46519999999998</v>
      </c>
      <c r="H7424" s="1">
        <v>-2.623608E-6</v>
      </c>
      <c r="I7424">
        <v>19.71706</v>
      </c>
      <c r="J7424">
        <v>-405.94639999999998</v>
      </c>
      <c r="K7424">
        <v>1.11365</v>
      </c>
      <c r="L7424">
        <v>24.321899999999999</v>
      </c>
      <c r="M7424">
        <v>0.78251090000000001</v>
      </c>
      <c r="N7424">
        <v>0</v>
      </c>
      <c r="O7424">
        <v>-0.62246950000000001</v>
      </c>
      <c r="P7424">
        <v>0.82037789999999999</v>
      </c>
      <c r="Q7424">
        <v>-1.833535E-2</v>
      </c>
      <c r="R7424">
        <v>-0.57152809999999998</v>
      </c>
      <c r="S7424">
        <v>2.8529969999999998</v>
      </c>
      <c r="T7424">
        <v>-0.27500520000000001</v>
      </c>
      <c r="U7424">
        <v>-1.1499629999999901</v>
      </c>
      <c r="V7424">
        <v>-6.3406009999999999E-2</v>
      </c>
      <c r="W7424">
        <v>-4.4351770000000002E-3</v>
      </c>
      <c r="X7424">
        <v>0.99797800000000003</v>
      </c>
      <c r="Y7424">
        <v>-0.28171839999999998</v>
      </c>
      <c r="Z7424">
        <v>6.5548720000000005E-2</v>
      </c>
      <c r="AA7424">
        <v>0.95725550000000004</v>
      </c>
      <c r="AB7424">
        <v>17</v>
      </c>
      <c r="AC7424">
        <v>11.481199999999999</v>
      </c>
      <c r="AD7424">
        <v>-1.113652623608</v>
      </c>
      <c r="AE7424">
        <v>-4.6048399999999896</v>
      </c>
      <c r="AF7424">
        <v>-3.5152382034374798</v>
      </c>
      <c r="AG7424">
        <v>-1.113652623608</v>
      </c>
      <c r="AH7424">
        <v>11.7564873024193</v>
      </c>
      <c r="AI7424">
        <v>95.185758227063204</v>
      </c>
      <c r="AJ7424">
        <v>106.646881811508</v>
      </c>
      <c r="AK7424">
        <v>12.3212059265691</v>
      </c>
      <c r="AL7424">
        <v>90.254117746274005</v>
      </c>
      <c r="AM7424">
        <v>93.6353710745054</v>
      </c>
      <c r="AN7424">
        <v>1.0000000406915699</v>
      </c>
    </row>
    <row r="7425" spans="1:40" x14ac:dyDescent="0.25">
      <c r="A7425" t="str">
        <f>"20190312154110019"</f>
        <v>20190312154110019</v>
      </c>
      <c r="B7425" t="str">
        <f>"1552376470014074"</f>
        <v>1552376470014074</v>
      </c>
      <c r="C7425" t="s">
        <v>40</v>
      </c>
      <c r="D7425">
        <v>4.4165130000000001</v>
      </c>
      <c r="E7425">
        <v>0.41405259999999999</v>
      </c>
      <c r="F7425" t="s">
        <v>42</v>
      </c>
      <c r="G7425">
        <v>-394.55110000000002</v>
      </c>
      <c r="H7425" s="1">
        <v>-2.5946839999999999E-6</v>
      </c>
      <c r="I7425">
        <v>19.760899999999999</v>
      </c>
      <c r="J7425">
        <v>-405.88060000000002</v>
      </c>
      <c r="K7425">
        <v>1.1136079999999999</v>
      </c>
      <c r="L7425">
        <v>24.274750000000001</v>
      </c>
      <c r="M7425">
        <v>0.7847248</v>
      </c>
      <c r="N7425">
        <v>0</v>
      </c>
      <c r="O7425">
        <v>-0.61967620000000001</v>
      </c>
      <c r="P7425">
        <v>0.8224745</v>
      </c>
      <c r="Q7425">
        <v>-1.8668859999999999E-2</v>
      </c>
      <c r="R7425">
        <v>-0.56849550000000004</v>
      </c>
      <c r="S7425">
        <v>2.854584</v>
      </c>
      <c r="T7425">
        <v>-0.27897440000000001</v>
      </c>
      <c r="U7425">
        <v>-1.1425479999999999</v>
      </c>
      <c r="V7425">
        <v>-6.3525849999999995E-2</v>
      </c>
      <c r="W7425">
        <v>-4.7681249999999998E-3</v>
      </c>
      <c r="X7425">
        <v>0.99796879999999999</v>
      </c>
      <c r="Y7425">
        <v>-0.28054610000000002</v>
      </c>
      <c r="Z7425">
        <v>6.6249799999999998E-2</v>
      </c>
      <c r="AA7425">
        <v>0.9575515</v>
      </c>
      <c r="AB7425">
        <v>17</v>
      </c>
      <c r="AC7425">
        <v>11.3294999999999</v>
      </c>
      <c r="AD7425">
        <v>-1.113610594684</v>
      </c>
      <c r="AE7425">
        <v>-4.5138499999999997</v>
      </c>
      <c r="AF7425">
        <v>-3.4500872030657201</v>
      </c>
      <c r="AG7425">
        <v>-1.113610594684</v>
      </c>
      <c r="AH7425">
        <v>11.5922272434068</v>
      </c>
      <c r="AI7425">
        <v>95.2606151239832</v>
      </c>
      <c r="AJ7425">
        <v>106.574096617986</v>
      </c>
      <c r="AK7425">
        <v>12.145903125257201</v>
      </c>
      <c r="AL7425">
        <v>90.2731944746415</v>
      </c>
      <c r="AM7425">
        <v>93.642257085419899</v>
      </c>
      <c r="AN7425">
        <v>0.99999999720383903</v>
      </c>
    </row>
    <row r="7426" spans="1:40" x14ac:dyDescent="0.25">
      <c r="A7426" t="str">
        <f>"20190312154110030"</f>
        <v>20190312154110030</v>
      </c>
      <c r="B7426" t="str">
        <f>"1552376470023835"</f>
        <v>1552376470023835</v>
      </c>
      <c r="C7426" t="s">
        <v>40</v>
      </c>
      <c r="D7426">
        <v>4.4128470000000002</v>
      </c>
      <c r="E7426">
        <v>0.41450690000000001</v>
      </c>
      <c r="F7426" t="s">
        <v>42</v>
      </c>
      <c r="G7426">
        <v>-394.52600000000001</v>
      </c>
      <c r="H7426" s="1">
        <v>-2.6080209999999998E-6</v>
      </c>
      <c r="I7426">
        <v>19.76643</v>
      </c>
      <c r="J7426">
        <v>-405.81110000000001</v>
      </c>
      <c r="K7426">
        <v>1.113553</v>
      </c>
      <c r="L7426">
        <v>24.225460000000002</v>
      </c>
      <c r="M7426">
        <v>0.78701279999999996</v>
      </c>
      <c r="N7426">
        <v>0</v>
      </c>
      <c r="O7426">
        <v>-0.61676819999999999</v>
      </c>
      <c r="P7426">
        <v>0.82467539999999995</v>
      </c>
      <c r="Q7426">
        <v>-1.9645059999999999E-2</v>
      </c>
      <c r="R7426">
        <v>-0.56526569999999898</v>
      </c>
      <c r="S7426">
        <v>2.8570859999999998</v>
      </c>
      <c r="T7426">
        <v>-0.28021040000000003</v>
      </c>
      <c r="U7426">
        <v>-1.1343989999999999</v>
      </c>
      <c r="V7426">
        <v>-6.3725859999999995E-2</v>
      </c>
      <c r="W7426">
        <v>-5.7448619999999999E-3</v>
      </c>
      <c r="X7426">
        <v>0.99795089999999997</v>
      </c>
      <c r="Y7426">
        <v>-0.27962540000000002</v>
      </c>
      <c r="Z7426">
        <v>6.6287470000000001E-2</v>
      </c>
      <c r="AA7426">
        <v>0.95781819999999895</v>
      </c>
      <c r="AB7426">
        <v>17</v>
      </c>
      <c r="AC7426">
        <v>11.2851</v>
      </c>
      <c r="AD7426">
        <v>-1.1135556080210001</v>
      </c>
      <c r="AE7426">
        <v>-4.4590300000000003</v>
      </c>
      <c r="AF7426">
        <v>-3.4225118595738699</v>
      </c>
      <c r="AG7426">
        <v>-1.1135556080210001</v>
      </c>
      <c r="AH7426">
        <v>11.5357623203135</v>
      </c>
      <c r="AI7426">
        <v>95.287299623687403</v>
      </c>
      <c r="AJ7426">
        <v>106.524943424711</v>
      </c>
      <c r="AK7426">
        <v>12.0841799817713</v>
      </c>
      <c r="AL7426">
        <v>90.329158159120595</v>
      </c>
      <c r="AM7426">
        <v>93.6537590097698</v>
      </c>
      <c r="AN7426">
        <v>0.99999999374147397</v>
      </c>
    </row>
    <row r="7427" spans="1:40" x14ac:dyDescent="0.25">
      <c r="A7427" t="str">
        <f>"20190312154110041"</f>
        <v>20190312154110041</v>
      </c>
      <c r="B7427" t="str">
        <f>"1552376470033594"</f>
        <v>1552376470033594</v>
      </c>
      <c r="C7427" t="s">
        <v>40</v>
      </c>
      <c r="D7427">
        <v>4.4475930000000004</v>
      </c>
      <c r="E7427">
        <v>0.41490850000000001</v>
      </c>
      <c r="F7427" t="s">
        <v>42</v>
      </c>
      <c r="G7427">
        <v>-394.56959999999998</v>
      </c>
      <c r="H7427" s="1">
        <v>-2.5956179999999998E-6</v>
      </c>
      <c r="I7427">
        <v>19.797350000000002</v>
      </c>
      <c r="J7427">
        <v>-405.74860000000001</v>
      </c>
      <c r="K7427">
        <v>1.1134900000000001</v>
      </c>
      <c r="L7427">
        <v>24.181339999999999</v>
      </c>
      <c r="M7427">
        <v>0.78904379999999996</v>
      </c>
      <c r="N7427">
        <v>0</v>
      </c>
      <c r="O7427">
        <v>-0.61416759999999904</v>
      </c>
      <c r="P7427">
        <v>0.8266464</v>
      </c>
      <c r="Q7427">
        <v>-2.035739E-2</v>
      </c>
      <c r="R7427">
        <v>-0.56235380000000001</v>
      </c>
      <c r="S7427">
        <v>2.8591000000000002</v>
      </c>
      <c r="T7427">
        <v>-0.2832153</v>
      </c>
      <c r="U7427">
        <v>-1.1262209999999999</v>
      </c>
      <c r="V7427">
        <v>-6.3936389999999996E-2</v>
      </c>
      <c r="W7427">
        <v>-6.4579829999999996E-3</v>
      </c>
      <c r="X7427">
        <v>0.99793310000000002</v>
      </c>
      <c r="Y7427">
        <v>-0.27899950000000001</v>
      </c>
      <c r="Z7427">
        <v>6.6783040000000002E-2</v>
      </c>
      <c r="AA7427">
        <v>0.95796619999999999</v>
      </c>
      <c r="AB7427">
        <v>17</v>
      </c>
      <c r="AC7427">
        <v>11.179</v>
      </c>
      <c r="AD7427">
        <v>-1.113492595618</v>
      </c>
      <c r="AE7427">
        <v>-4.3839899999999901</v>
      </c>
      <c r="AF7427">
        <v>-3.3779275304265401</v>
      </c>
      <c r="AG7427">
        <v>-1.113492595618</v>
      </c>
      <c r="AH7427">
        <v>11.416256169247401</v>
      </c>
      <c r="AI7427">
        <v>95.343185129543997</v>
      </c>
      <c r="AJ7427">
        <v>106.482827159981</v>
      </c>
      <c r="AK7427">
        <v>11.9574731897332</v>
      </c>
      <c r="AL7427">
        <v>90.370017734738894</v>
      </c>
      <c r="AM7427">
        <v>93.665862216803703</v>
      </c>
      <c r="AN7427">
        <v>1.00000001979313</v>
      </c>
    </row>
    <row r="7428" spans="1:40" x14ac:dyDescent="0.25">
      <c r="A7428" t="str">
        <f>"20190312154110052"</f>
        <v>20190312154110052</v>
      </c>
      <c r="B7428" t="str">
        <f>"1552376470043355"</f>
        <v>1552376470043355</v>
      </c>
      <c r="C7428" t="s">
        <v>40</v>
      </c>
      <c r="D7428">
        <v>4.3802199999999996</v>
      </c>
      <c r="E7428">
        <v>0.41538359999999902</v>
      </c>
      <c r="F7428" t="s">
        <v>42</v>
      </c>
      <c r="G7428">
        <v>-394.59750000000003</v>
      </c>
      <c r="H7428" s="1">
        <v>-2.588688E-6</v>
      </c>
      <c r="I7428">
        <v>19.820820000000001</v>
      </c>
      <c r="J7428">
        <v>-405.68040000000002</v>
      </c>
      <c r="K7428">
        <v>1.113424</v>
      </c>
      <c r="L7428">
        <v>24.13345</v>
      </c>
      <c r="M7428">
        <v>0.79122019999999904</v>
      </c>
      <c r="N7428">
        <v>0</v>
      </c>
      <c r="O7428">
        <v>-0.61136159999999995</v>
      </c>
      <c r="P7428">
        <v>0.82867819999999903</v>
      </c>
      <c r="Q7428">
        <v>-2.1354169999999999E-2</v>
      </c>
      <c r="R7428">
        <v>-0.55931790000000003</v>
      </c>
      <c r="S7428">
        <v>2.8610229999999999</v>
      </c>
      <c r="T7428">
        <v>-0.28568779999999999</v>
      </c>
      <c r="U7428">
        <v>-1.1187739999999999</v>
      </c>
      <c r="V7428">
        <v>-6.4030160000000003E-2</v>
      </c>
      <c r="W7428">
        <v>-7.4548390000000004E-3</v>
      </c>
      <c r="X7428">
        <v>0.99792009999999998</v>
      </c>
      <c r="Y7428">
        <v>-0.27792539999999999</v>
      </c>
      <c r="Z7428">
        <v>6.7110210000000003E-2</v>
      </c>
      <c r="AA7428">
        <v>0.95825550000000004</v>
      </c>
      <c r="AB7428">
        <v>17</v>
      </c>
      <c r="AC7428">
        <v>11.082899999999899</v>
      </c>
      <c r="AD7428">
        <v>-1.1134265886879999</v>
      </c>
      <c r="AE7428">
        <v>-4.3126299999999897</v>
      </c>
      <c r="AF7428">
        <v>-3.3345393140257702</v>
      </c>
      <c r="AG7428">
        <v>-1.1134265886879999</v>
      </c>
      <c r="AH7428">
        <v>11.307655982792999</v>
      </c>
      <c r="AI7428">
        <v>95.3953327903521</v>
      </c>
      <c r="AJ7428">
        <v>106.43037595196201</v>
      </c>
      <c r="AK7428">
        <v>11.841535163583099</v>
      </c>
      <c r="AL7428">
        <v>90.427134776136995</v>
      </c>
      <c r="AM7428">
        <v>93.671271623196304</v>
      </c>
      <c r="AN7428">
        <v>0.99999998099907506</v>
      </c>
    </row>
    <row r="7429" spans="1:40" x14ac:dyDescent="0.25">
      <c r="A7429" t="str">
        <f>"20190312154110073"</f>
        <v>20190312154110073</v>
      </c>
      <c r="B7429" t="str">
        <f>"1552376470063851"</f>
        <v>1552376470063851</v>
      </c>
      <c r="C7429" t="s">
        <v>40</v>
      </c>
      <c r="D7429">
        <v>4.4691789999999996</v>
      </c>
      <c r="E7429">
        <v>0.41646509999999998</v>
      </c>
      <c r="F7429" t="s">
        <v>42</v>
      </c>
      <c r="G7429">
        <v>-394.67039999999997</v>
      </c>
      <c r="H7429" s="1">
        <v>-2.5640389999999999E-6</v>
      </c>
      <c r="I7429">
        <v>19.85774</v>
      </c>
      <c r="J7429">
        <v>-405.55540000000002</v>
      </c>
      <c r="K7429">
        <v>1.1132869999999999</v>
      </c>
      <c r="L7429">
        <v>24.046569999999999</v>
      </c>
      <c r="M7429">
        <v>0.79509849999999904</v>
      </c>
      <c r="N7429">
        <v>0</v>
      </c>
      <c r="O7429">
        <v>-0.60630949999999995</v>
      </c>
      <c r="P7429">
        <v>0.83233789999999996</v>
      </c>
      <c r="Q7429">
        <v>-2.3575349999999998E-2</v>
      </c>
      <c r="R7429">
        <v>-0.55376740000000002</v>
      </c>
      <c r="S7429">
        <v>2.862457</v>
      </c>
      <c r="T7429">
        <v>-0.28947709999999999</v>
      </c>
      <c r="U7429">
        <v>-1.1116330000000001</v>
      </c>
      <c r="V7429">
        <v>-6.4292550000000004E-2</v>
      </c>
      <c r="W7429">
        <v>-9.6777800000000004E-3</v>
      </c>
      <c r="X7429">
        <v>0.9978842</v>
      </c>
      <c r="Y7429">
        <v>-0.27398670000000003</v>
      </c>
      <c r="Z7429">
        <v>6.7444180000000006E-2</v>
      </c>
      <c r="AA7429">
        <v>0.95936569999999999</v>
      </c>
      <c r="AB7429">
        <v>17</v>
      </c>
      <c r="AC7429">
        <v>10.885</v>
      </c>
      <c r="AD7429">
        <v>-1.1132895640389999</v>
      </c>
      <c r="AE7429">
        <v>-4.1888300000000003</v>
      </c>
      <c r="AF7429">
        <v>-3.2399646600642198</v>
      </c>
      <c r="AG7429">
        <v>-1.1132895640389999</v>
      </c>
      <c r="AH7429">
        <v>11.0944488261275</v>
      </c>
      <c r="AI7429">
        <v>95.501935557300399</v>
      </c>
      <c r="AJ7429">
        <v>106.27963931651701</v>
      </c>
      <c r="AK7429">
        <v>11.6113556231572</v>
      </c>
      <c r="AL7429">
        <v>90.554504586190106</v>
      </c>
      <c r="AM7429">
        <v>93.686407028029905</v>
      </c>
      <c r="AN7429">
        <v>1.00000003401043</v>
      </c>
    </row>
    <row r="7430" spans="1:40" x14ac:dyDescent="0.25">
      <c r="A7430" t="str">
        <f>"20190312154110087"</f>
        <v>20190312154110087</v>
      </c>
      <c r="B7430" t="str">
        <f>"1552376470073611"</f>
        <v>1552376470073611</v>
      </c>
      <c r="C7430" t="s">
        <v>40</v>
      </c>
      <c r="D7430">
        <v>4.4562470000000003</v>
      </c>
      <c r="E7430">
        <v>0.4170469</v>
      </c>
      <c r="F7430" t="s">
        <v>42</v>
      </c>
      <c r="G7430">
        <v>-394.94409999999999</v>
      </c>
      <c r="H7430" s="1">
        <v>-2.4650780000000002E-6</v>
      </c>
      <c r="I7430">
        <v>19.97204</v>
      </c>
      <c r="J7430">
        <v>-405.47969999999998</v>
      </c>
      <c r="K7430">
        <v>1.1132</v>
      </c>
      <c r="L7430">
        <v>23.994420000000002</v>
      </c>
      <c r="M7430">
        <v>0.79736499999999999</v>
      </c>
      <c r="N7430">
        <v>0</v>
      </c>
      <c r="O7430">
        <v>-0.60332580000000002</v>
      </c>
      <c r="P7430">
        <v>0.834599599999999</v>
      </c>
      <c r="Q7430">
        <v>-2.4338100000000001E-2</v>
      </c>
      <c r="R7430">
        <v>-0.55031909999999995</v>
      </c>
      <c r="S7430">
        <v>2.8641049999999999</v>
      </c>
      <c r="T7430">
        <v>-0.30048940000000002</v>
      </c>
      <c r="U7430">
        <v>-1.0997619999999999</v>
      </c>
      <c r="V7430">
        <v>-6.4664620000000006E-2</v>
      </c>
      <c r="W7430">
        <v>-1.0443849999999999E-2</v>
      </c>
      <c r="X7430">
        <v>0.99785239999999997</v>
      </c>
      <c r="Y7430">
        <v>-0.2737755</v>
      </c>
      <c r="Z7430">
        <v>6.9788370000000002E-2</v>
      </c>
      <c r="AA7430">
        <v>0.95925830000000001</v>
      </c>
      <c r="AB7430">
        <v>17</v>
      </c>
      <c r="AC7430">
        <v>10.535599999999899</v>
      </c>
      <c r="AD7430">
        <v>-1.1132024650779999</v>
      </c>
      <c r="AE7430">
        <v>-4.0223800000000001</v>
      </c>
      <c r="AF7430">
        <v>-3.1190286567102401</v>
      </c>
      <c r="AG7430">
        <v>-1.1132024650779999</v>
      </c>
      <c r="AH7430">
        <v>10.724149790067001</v>
      </c>
      <c r="AI7430">
        <v>95.692057885066802</v>
      </c>
      <c r="AJ7430">
        <v>106.21662728754301</v>
      </c>
      <c r="AK7430">
        <v>11.2238562094063</v>
      </c>
      <c r="AL7430">
        <v>90.5983994057259</v>
      </c>
      <c r="AM7430">
        <v>93.707799273640703</v>
      </c>
      <c r="AN7430">
        <v>0.99999999963416297</v>
      </c>
    </row>
    <row r="7431" spans="1:40" x14ac:dyDescent="0.25">
      <c r="A7431" t="str">
        <f>"20190312154110102"</f>
        <v>20190312154110102</v>
      </c>
      <c r="B7431" t="str">
        <f>"1552376470093637"</f>
        <v>1552376470093637</v>
      </c>
      <c r="C7431" t="s">
        <v>40</v>
      </c>
      <c r="D7431">
        <v>4.4790140000000003</v>
      </c>
      <c r="E7431">
        <v>0.43034840000000002</v>
      </c>
      <c r="F7431" t="s">
        <v>42</v>
      </c>
      <c r="G7431">
        <v>-395.03989999999999</v>
      </c>
      <c r="H7431" s="1">
        <v>-2.4315949999999998E-6</v>
      </c>
      <c r="I7431">
        <v>20.016359999999999</v>
      </c>
      <c r="J7431">
        <v>-405.3818</v>
      </c>
      <c r="K7431">
        <v>1.113086</v>
      </c>
      <c r="L7431">
        <v>23.92737</v>
      </c>
      <c r="M7431">
        <v>0.80022119999999997</v>
      </c>
      <c r="N7431">
        <v>0</v>
      </c>
      <c r="O7431">
        <v>-0.59953299999999998</v>
      </c>
      <c r="P7431">
        <v>0.83746379999999998</v>
      </c>
      <c r="Q7431">
        <v>-2.5195780000000001E-2</v>
      </c>
      <c r="R7431">
        <v>-0.54591190000000001</v>
      </c>
      <c r="S7431">
        <v>2.8656619999999999</v>
      </c>
      <c r="T7431">
        <v>-0.30556650000000002</v>
      </c>
      <c r="U7431">
        <v>-1.0919490000000001</v>
      </c>
      <c r="V7431">
        <v>-6.5167879999999997E-2</v>
      </c>
      <c r="W7431">
        <v>-1.1306160000000001E-2</v>
      </c>
      <c r="X7431">
        <v>0.99781019999999998</v>
      </c>
      <c r="Y7431">
        <v>-0.2715631</v>
      </c>
      <c r="Z7431">
        <v>7.0561269999999995E-2</v>
      </c>
      <c r="AA7431">
        <v>0.95983050000000003</v>
      </c>
      <c r="AB7431">
        <v>17</v>
      </c>
      <c r="AC7431">
        <v>10.341900000000001</v>
      </c>
      <c r="AD7431">
        <v>-1.113088431595</v>
      </c>
      <c r="AE7431">
        <v>-3.9110100000000001</v>
      </c>
      <c r="AF7431">
        <v>-3.04014318557206</v>
      </c>
      <c r="AG7431">
        <v>-1.113088431595</v>
      </c>
      <c r="AH7431">
        <v>10.5151157487315</v>
      </c>
      <c r="AI7431">
        <v>95.806509942657399</v>
      </c>
      <c r="AJ7431">
        <v>106.12570415710501</v>
      </c>
      <c r="AK7431">
        <v>11.0022313943378</v>
      </c>
      <c r="AL7431">
        <v>90.647809092312798</v>
      </c>
      <c r="AM7431">
        <v>93.736731803831603</v>
      </c>
      <c r="AN7431">
        <v>0.99999993853083802</v>
      </c>
    </row>
    <row r="7432" spans="1:40" x14ac:dyDescent="0.25">
      <c r="A7432" t="str">
        <f>"20190312154110116"</f>
        <v>20190312154110116</v>
      </c>
      <c r="B7432" t="str">
        <f>"1552376470103397"</f>
        <v>1552376470103397</v>
      </c>
      <c r="C7432" t="s">
        <v>40</v>
      </c>
      <c r="D7432">
        <v>4.4908010000000003</v>
      </c>
      <c r="E7432">
        <v>0.43052750000000001</v>
      </c>
      <c r="F7432" t="s">
        <v>42</v>
      </c>
      <c r="G7432">
        <v>-396.36130000000003</v>
      </c>
      <c r="H7432" s="1">
        <v>-1.8532849999999999E-6</v>
      </c>
      <c r="I7432">
        <v>20.1905</v>
      </c>
      <c r="J7432">
        <v>-405.29770000000002</v>
      </c>
      <c r="K7432">
        <v>1.1129899999999999</v>
      </c>
      <c r="L7432">
        <v>23.870180000000001</v>
      </c>
      <c r="M7432">
        <v>0.80259440000000004</v>
      </c>
      <c r="N7432">
        <v>0</v>
      </c>
      <c r="O7432">
        <v>-0.59635260000000001</v>
      </c>
      <c r="P7432">
        <v>0.83992239999999996</v>
      </c>
      <c r="Q7432">
        <v>-2.5628229999999998E-2</v>
      </c>
      <c r="R7432">
        <v>-0.54210119999999995</v>
      </c>
      <c r="S7432">
        <v>2.8123779999999998</v>
      </c>
      <c r="T7432">
        <v>-0.34703539999999999</v>
      </c>
      <c r="U7432">
        <v>-1.1650700000000001</v>
      </c>
      <c r="V7432">
        <v>-6.5732810000000003E-2</v>
      </c>
      <c r="W7432">
        <v>-1.1743780000000001E-2</v>
      </c>
      <c r="X7432">
        <v>0.99776819999999999</v>
      </c>
      <c r="Y7432">
        <v>-0.23910410000000001</v>
      </c>
      <c r="Z7432">
        <v>7.8769770000000003E-2</v>
      </c>
      <c r="AA7432">
        <v>0.96779360000000003</v>
      </c>
      <c r="AB7432">
        <v>17</v>
      </c>
      <c r="AC7432">
        <v>8.9363999999999901</v>
      </c>
      <c r="AD7432">
        <v>-1.1129918532849901</v>
      </c>
      <c r="AE7432">
        <v>-3.6796799999999901</v>
      </c>
      <c r="AF7432">
        <v>-2.3450964273576802</v>
      </c>
      <c r="AG7432">
        <v>-1.1129918532849901</v>
      </c>
      <c r="AH7432">
        <v>9.2450387770336508</v>
      </c>
      <c r="AI7432">
        <v>96.655876506413506</v>
      </c>
      <c r="AJ7432">
        <v>104.23343934268701</v>
      </c>
      <c r="AK7432">
        <v>9.60255018773349</v>
      </c>
      <c r="AL7432">
        <v>90.672884463584296</v>
      </c>
      <c r="AM7432">
        <v>93.769190165293196</v>
      </c>
      <c r="AN7432">
        <v>1.00000004980521</v>
      </c>
    </row>
    <row r="7433" spans="1:40" x14ac:dyDescent="0.25">
      <c r="A7433" t="str">
        <f>"20190312154110133"</f>
        <v>20190312154110133</v>
      </c>
      <c r="B7433" t="str">
        <f>"1552376470123893"</f>
        <v>1552376470123893</v>
      </c>
      <c r="C7433" t="s">
        <v>40</v>
      </c>
      <c r="D7433">
        <v>4.4633570000000002</v>
      </c>
      <c r="E7433">
        <v>0.43120969999999997</v>
      </c>
      <c r="F7433" t="s">
        <v>42</v>
      </c>
      <c r="G7433">
        <v>-396.21339999999998</v>
      </c>
      <c r="H7433" s="1">
        <v>-1.9118289999999998E-6</v>
      </c>
      <c r="I7433">
        <v>20.147790000000001</v>
      </c>
      <c r="J7433">
        <v>-405.19110000000001</v>
      </c>
      <c r="K7433">
        <v>1.1128629999999999</v>
      </c>
      <c r="L7433">
        <v>23.798249999999999</v>
      </c>
      <c r="M7433">
        <v>0.80548359999999997</v>
      </c>
      <c r="N7433">
        <v>0</v>
      </c>
      <c r="O7433">
        <v>-0.59244469999999905</v>
      </c>
      <c r="P7433">
        <v>0.84295229999999999</v>
      </c>
      <c r="Q7433">
        <v>-2.642537E-2</v>
      </c>
      <c r="R7433">
        <v>-0.53733909999999996</v>
      </c>
      <c r="S7433">
        <v>2.8164060000000002</v>
      </c>
      <c r="T7433">
        <v>-0.34506140000000002</v>
      </c>
      <c r="U7433">
        <v>-1.154053</v>
      </c>
      <c r="V7433">
        <v>-6.6513329999999996E-2</v>
      </c>
      <c r="W7433">
        <v>-1.254945E-2</v>
      </c>
      <c r="X7433">
        <v>0.9977066</v>
      </c>
      <c r="Y7433">
        <v>-0.23819170000000001</v>
      </c>
      <c r="Z7433">
        <v>7.7893320000000002E-2</v>
      </c>
      <c r="AA7433">
        <v>0.96808950000000005</v>
      </c>
      <c r="AB7433">
        <v>17</v>
      </c>
      <c r="AC7433">
        <v>8.97770000000002</v>
      </c>
      <c r="AD7433">
        <v>-1.1128649118289999</v>
      </c>
      <c r="AE7433">
        <v>-3.65045999999999</v>
      </c>
      <c r="AF7433">
        <v>-2.34769344506143</v>
      </c>
      <c r="AG7433">
        <v>-1.1128649118289999</v>
      </c>
      <c r="AH7433">
        <v>9.2727826103577904</v>
      </c>
      <c r="AI7433">
        <v>96.636140060677306</v>
      </c>
      <c r="AJ7433">
        <v>104.20765770441901</v>
      </c>
      <c r="AK7433">
        <v>9.6298821468862492</v>
      </c>
      <c r="AL7433">
        <v>90.719049405010693</v>
      </c>
      <c r="AM7433">
        <v>93.814049487424498</v>
      </c>
      <c r="AN7433">
        <v>0.99999998572327498</v>
      </c>
    </row>
    <row r="7434" spans="1:40" x14ac:dyDescent="0.25">
      <c r="A7434" t="str">
        <f>"20190312154110145"</f>
        <v>20190312154110145</v>
      </c>
      <c r="B7434" t="str">
        <f>"1552376470133654"</f>
        <v>1552376470133654</v>
      </c>
      <c r="C7434" t="s">
        <v>40</v>
      </c>
      <c r="D7434">
        <v>4.4632610000000001</v>
      </c>
      <c r="E7434">
        <v>0.43162610000000001</v>
      </c>
      <c r="F7434" t="s">
        <v>42</v>
      </c>
      <c r="G7434">
        <v>-396.30360000000002</v>
      </c>
      <c r="H7434" s="1">
        <v>-1.881978E-6</v>
      </c>
      <c r="I7434">
        <v>20.19585</v>
      </c>
      <c r="J7434">
        <v>-405.11649999999997</v>
      </c>
      <c r="K7434">
        <v>1.1127819999999999</v>
      </c>
      <c r="L7434">
        <v>23.74823</v>
      </c>
      <c r="M7434">
        <v>0.80743500000000001</v>
      </c>
      <c r="N7434">
        <v>0</v>
      </c>
      <c r="O7434">
        <v>-0.5897831</v>
      </c>
      <c r="P7434">
        <v>0.8448966</v>
      </c>
      <c r="Q7434">
        <v>-2.6609939999999999E-2</v>
      </c>
      <c r="R7434">
        <v>-0.53426779999999996</v>
      </c>
      <c r="S7434">
        <v>2.8193969999999999</v>
      </c>
      <c r="T7434">
        <v>-0.3530354</v>
      </c>
      <c r="U7434">
        <v>-1.142792</v>
      </c>
      <c r="V7434">
        <v>-6.6849049999999993E-2</v>
      </c>
      <c r="W7434">
        <v>-1.273903E-2</v>
      </c>
      <c r="X7434">
        <v>0.99768179999999995</v>
      </c>
      <c r="Y7434">
        <v>-0.23845859999999999</v>
      </c>
      <c r="Z7434">
        <v>7.9450419999999994E-2</v>
      </c>
      <c r="AA7434">
        <v>0.96789729999999996</v>
      </c>
      <c r="AB7434">
        <v>17</v>
      </c>
      <c r="AC7434">
        <v>8.8128999999999493</v>
      </c>
      <c r="AD7434">
        <v>-1.112783881978</v>
      </c>
      <c r="AE7434">
        <v>-3.5523799999999901</v>
      </c>
      <c r="AF7434">
        <v>-2.2981032208553098</v>
      </c>
      <c r="AG7434">
        <v>-1.112783881978</v>
      </c>
      <c r="AH7434">
        <v>9.0872872401700207</v>
      </c>
      <c r="AI7434">
        <v>96.770328635945603</v>
      </c>
      <c r="AJ7434">
        <v>104.1920951904</v>
      </c>
      <c r="AK7434">
        <v>9.4391925378738009</v>
      </c>
      <c r="AL7434">
        <v>90.729912377913706</v>
      </c>
      <c r="AM7434">
        <v>93.833338307478996</v>
      </c>
      <c r="AN7434">
        <v>1.0000000262112401</v>
      </c>
    </row>
    <row r="7435" spans="1:40" x14ac:dyDescent="0.25">
      <c r="A7435" t="str">
        <f>"20190312154110158"</f>
        <v>20190312154110158</v>
      </c>
      <c r="B7435" t="str">
        <f>"1552376470154150"</f>
        <v>1552376470154150</v>
      </c>
      <c r="C7435" t="s">
        <v>40</v>
      </c>
      <c r="D7435">
        <v>4.4735559999999897</v>
      </c>
      <c r="E7435">
        <v>0.43207580000000001</v>
      </c>
      <c r="F7435" t="s">
        <v>42</v>
      </c>
      <c r="G7435">
        <v>-396.30549999999999</v>
      </c>
      <c r="H7435" s="1">
        <v>-1.8828429999999999E-6</v>
      </c>
      <c r="I7435">
        <v>20.202359999999999</v>
      </c>
      <c r="J7435">
        <v>-405.04289999999997</v>
      </c>
      <c r="K7435">
        <v>1.1127009999999999</v>
      </c>
      <c r="L7435">
        <v>23.699010000000001</v>
      </c>
      <c r="M7435">
        <v>0.80932230000000005</v>
      </c>
      <c r="N7435">
        <v>0</v>
      </c>
      <c r="O7435">
        <v>-0.58719069999999995</v>
      </c>
      <c r="P7435">
        <v>0.84672190000000003</v>
      </c>
      <c r="Q7435">
        <v>-2.6834839999999999E-2</v>
      </c>
      <c r="R7435">
        <v>-0.531358199999999</v>
      </c>
      <c r="S7435">
        <v>2.8215029999999999</v>
      </c>
      <c r="T7435">
        <v>-0.3563385</v>
      </c>
      <c r="U7435">
        <v>-1.1354679999999999</v>
      </c>
      <c r="V7435">
        <v>-6.7078609999999997E-2</v>
      </c>
      <c r="W7435">
        <v>-1.2968199999999999E-2</v>
      </c>
      <c r="X7435">
        <v>0.99766339999999998</v>
      </c>
      <c r="Y7435">
        <v>-0.23768400000000001</v>
      </c>
      <c r="Z7435">
        <v>7.989483E-2</v>
      </c>
      <c r="AA7435">
        <v>0.9680512</v>
      </c>
      <c r="AB7435">
        <v>17</v>
      </c>
      <c r="AC7435">
        <v>8.7373999999999796</v>
      </c>
      <c r="AD7435">
        <v>-1.1127028828429999</v>
      </c>
      <c r="AE7435">
        <v>-3.49664999999999</v>
      </c>
      <c r="AF7435">
        <v>-2.2691183229752698</v>
      </c>
      <c r="AG7435">
        <v>-1.1127028828429999</v>
      </c>
      <c r="AH7435">
        <v>8.9996987849908905</v>
      </c>
      <c r="AI7435">
        <v>96.836327257823299</v>
      </c>
      <c r="AJ7435">
        <v>104.15119223101</v>
      </c>
      <c r="AK7435">
        <v>9.3478117166380592</v>
      </c>
      <c r="AL7435">
        <v>90.743043965402293</v>
      </c>
      <c r="AM7435">
        <v>93.8465332909892</v>
      </c>
      <c r="AN7435">
        <v>0.99999998691516601</v>
      </c>
    </row>
    <row r="7436" spans="1:40" x14ac:dyDescent="0.25">
      <c r="A7436" t="str">
        <f>"20190312154110170"</f>
        <v>20190312154110170</v>
      </c>
      <c r="B7436" t="str">
        <f>"1552376470163910"</f>
        <v>1552376470163910</v>
      </c>
      <c r="C7436" t="s">
        <v>40</v>
      </c>
      <c r="D7436">
        <v>4.4812240000000001</v>
      </c>
      <c r="E7436">
        <v>0.43685590000000002</v>
      </c>
      <c r="F7436" t="s">
        <v>42</v>
      </c>
      <c r="G7436">
        <v>-396.24439999999998</v>
      </c>
      <c r="H7436" s="1">
        <v>-1.9058860000000001E-6</v>
      </c>
      <c r="I7436">
        <v>20.18056</v>
      </c>
      <c r="J7436">
        <v>-404.96370000000002</v>
      </c>
      <c r="K7436">
        <v>1.112619</v>
      </c>
      <c r="L7436">
        <v>23.64648</v>
      </c>
      <c r="M7436">
        <v>0.81126369999999903</v>
      </c>
      <c r="N7436">
        <v>0</v>
      </c>
      <c r="O7436">
        <v>-0.58450630000000003</v>
      </c>
      <c r="P7436">
        <v>0.84856699999999996</v>
      </c>
      <c r="Q7436">
        <v>-2.6761509999999999E-2</v>
      </c>
      <c r="R7436">
        <v>-0.52841110000000002</v>
      </c>
      <c r="S7436">
        <v>2.823242</v>
      </c>
      <c r="T7436">
        <v>-0.35704340000000001</v>
      </c>
      <c r="U7436">
        <v>-1.1289979999999999</v>
      </c>
      <c r="V7436">
        <v>-6.7246619999999993E-2</v>
      </c>
      <c r="W7436">
        <v>-1.289996E-2</v>
      </c>
      <c r="X7436">
        <v>0.99765300000000001</v>
      </c>
      <c r="Y7436">
        <v>-0.23658499999999999</v>
      </c>
      <c r="Z7436">
        <v>7.9731949999999996E-2</v>
      </c>
      <c r="AA7436">
        <v>0.96833380000000002</v>
      </c>
      <c r="AB7436">
        <v>17</v>
      </c>
      <c r="AC7436">
        <v>8.7193000000000307</v>
      </c>
      <c r="AD7436">
        <v>-1.1126209058859999</v>
      </c>
      <c r="AE7436">
        <v>-3.4659200000000001</v>
      </c>
      <c r="AF7436">
        <v>-2.2532599213404998</v>
      </c>
      <c r="AG7436">
        <v>-1.1126209058859999</v>
      </c>
      <c r="AH7436">
        <v>8.9742420792389002</v>
      </c>
      <c r="AI7436">
        <v>96.856725126409501</v>
      </c>
      <c r="AJ7436">
        <v>104.094511489439</v>
      </c>
      <c r="AK7436">
        <v>9.3194488275925593</v>
      </c>
      <c r="AL7436">
        <v>90.739133755259402</v>
      </c>
      <c r="AM7436">
        <v>93.856178646354607</v>
      </c>
      <c r="AN7436">
        <v>1.0000000126392099</v>
      </c>
    </row>
    <row r="7437" spans="1:40" x14ac:dyDescent="0.25">
      <c r="A7437" t="str">
        <f>"20190312154110185"</f>
        <v>20190312154110185</v>
      </c>
      <c r="B7437" t="str">
        <f>"1552376470173669"</f>
        <v>1552376470173669</v>
      </c>
      <c r="C7437" t="s">
        <v>40</v>
      </c>
      <c r="D7437">
        <v>4.5077669999999896</v>
      </c>
      <c r="E7437">
        <v>0.43718230000000002</v>
      </c>
      <c r="F7437" t="s">
        <v>42</v>
      </c>
      <c r="G7437">
        <v>-396.32530000000003</v>
      </c>
      <c r="H7437" s="1">
        <v>-1.846812E-6</v>
      </c>
      <c r="I7437">
        <v>20.102209999999999</v>
      </c>
      <c r="J7437">
        <v>-404.8741</v>
      </c>
      <c r="K7437">
        <v>1.1125350000000001</v>
      </c>
      <c r="L7437">
        <v>23.58728</v>
      </c>
      <c r="M7437">
        <v>0.81340649999999903</v>
      </c>
      <c r="N7437">
        <v>0</v>
      </c>
      <c r="O7437">
        <v>-0.58152119999999996</v>
      </c>
      <c r="P7437">
        <v>0.85068429999999995</v>
      </c>
      <c r="Q7437">
        <v>-2.6524269999999999E-2</v>
      </c>
      <c r="R7437">
        <v>-0.52500780000000002</v>
      </c>
      <c r="S7437">
        <v>2.8068849999999999</v>
      </c>
      <c r="T7437">
        <v>-0.36152430000000002</v>
      </c>
      <c r="U7437">
        <v>-1.1516420000000001</v>
      </c>
      <c r="V7437">
        <v>-6.7584099999999994E-2</v>
      </c>
      <c r="W7437">
        <v>-1.26699E-2</v>
      </c>
      <c r="X7437">
        <v>0.9976332</v>
      </c>
      <c r="Y7437">
        <v>-0.2242866</v>
      </c>
      <c r="Z7437">
        <v>7.9956769999999996E-2</v>
      </c>
      <c r="AA7437">
        <v>0.97123760000000003</v>
      </c>
      <c r="AB7437">
        <v>17</v>
      </c>
      <c r="AC7437">
        <v>8.5487999999999698</v>
      </c>
      <c r="AD7437">
        <v>-1.112536846812</v>
      </c>
      <c r="AE7437">
        <v>-3.4850699999999999</v>
      </c>
      <c r="AF7437">
        <v>-2.1061595191069298</v>
      </c>
      <c r="AG7437">
        <v>-1.112536846812</v>
      </c>
      <c r="AH7437">
        <v>8.8526386107338197</v>
      </c>
      <c r="AI7437">
        <v>96.970411965794995</v>
      </c>
      <c r="AJ7437">
        <v>103.38262650956599</v>
      </c>
      <c r="AK7437">
        <v>9.1674891070398505</v>
      </c>
      <c r="AL7437">
        <v>90.725951169780899</v>
      </c>
      <c r="AM7437">
        <v>93.875548897562595</v>
      </c>
      <c r="AN7437">
        <v>1.00000006934052</v>
      </c>
    </row>
    <row r="7438" spans="1:40" x14ac:dyDescent="0.25">
      <c r="A7438" t="str">
        <f>"20190312154110195"</f>
        <v>20190312154110195</v>
      </c>
      <c r="B7438" t="str">
        <f>"1552376470183431"</f>
        <v>1552376470183431</v>
      </c>
      <c r="C7438" t="s">
        <v>40</v>
      </c>
      <c r="D7438">
        <v>4.5253170000000003</v>
      </c>
      <c r="E7438">
        <v>0.4377895</v>
      </c>
      <c r="F7438" t="s">
        <v>42</v>
      </c>
      <c r="G7438">
        <v>-396.24459999999999</v>
      </c>
      <c r="H7438" s="1">
        <v>-1.878245E-6</v>
      </c>
      <c r="I7438">
        <v>20.07694</v>
      </c>
      <c r="J7438">
        <v>-404.80849999999998</v>
      </c>
      <c r="K7438">
        <v>1.1124769999999999</v>
      </c>
      <c r="L7438">
        <v>23.544070000000001</v>
      </c>
      <c r="M7438">
        <v>0.81494270000000002</v>
      </c>
      <c r="N7438">
        <v>0</v>
      </c>
      <c r="O7438">
        <v>-0.5793663</v>
      </c>
      <c r="P7438">
        <v>0.85216270000000005</v>
      </c>
      <c r="Q7438">
        <v>-2.6140920000000002E-2</v>
      </c>
      <c r="R7438">
        <v>-0.52262390000000003</v>
      </c>
      <c r="S7438">
        <v>2.8098749999999999</v>
      </c>
      <c r="T7438">
        <v>-0.36225469999999999</v>
      </c>
      <c r="U7438">
        <v>-1.1430049999999901</v>
      </c>
      <c r="V7438">
        <v>-6.7747580000000002E-2</v>
      </c>
      <c r="W7438">
        <v>-1.229151E-2</v>
      </c>
      <c r="X7438">
        <v>0.99762680000000004</v>
      </c>
      <c r="Y7438">
        <v>-0.2246206</v>
      </c>
      <c r="Z7438">
        <v>7.991202E-2</v>
      </c>
      <c r="AA7438">
        <v>0.97116400000000003</v>
      </c>
      <c r="AB7438">
        <v>17</v>
      </c>
      <c r="AC7438">
        <v>8.5638999999999896</v>
      </c>
      <c r="AD7438">
        <v>-1.1124788782449999</v>
      </c>
      <c r="AE7438">
        <v>-3.46713</v>
      </c>
      <c r="AF7438">
        <v>-2.1058087116870898</v>
      </c>
      <c r="AG7438">
        <v>-1.1124788782449999</v>
      </c>
      <c r="AH7438">
        <v>8.8602783846604005</v>
      </c>
      <c r="AI7438">
        <v>96.964481294500601</v>
      </c>
      <c r="AJ7438">
        <v>103.3693547359</v>
      </c>
      <c r="AK7438">
        <v>9.17477916019992</v>
      </c>
      <c r="AL7438">
        <v>90.704269364382597</v>
      </c>
      <c r="AM7438">
        <v>93.884919684246</v>
      </c>
      <c r="AN7438">
        <v>1.00000002394608</v>
      </c>
    </row>
    <row r="7439" spans="1:40" x14ac:dyDescent="0.25">
      <c r="A7439" t="str">
        <f>"20190312154110207"</f>
        <v>20190312154110207</v>
      </c>
      <c r="B7439" t="str">
        <f>"1552376470203456"</f>
        <v>1552376470203456</v>
      </c>
      <c r="C7439" t="s">
        <v>40</v>
      </c>
      <c r="D7439">
        <v>4.5035100000000003</v>
      </c>
      <c r="E7439">
        <v>0.43824570000000002</v>
      </c>
      <c r="F7439" t="s">
        <v>42</v>
      </c>
      <c r="G7439">
        <v>-396.1266</v>
      </c>
      <c r="H7439" s="1">
        <v>-1.9201609999999998E-6</v>
      </c>
      <c r="I7439">
        <v>20.02496</v>
      </c>
      <c r="J7439">
        <v>-404.74299999999999</v>
      </c>
      <c r="K7439">
        <v>1.112428</v>
      </c>
      <c r="L7439">
        <v>23.501249999999999</v>
      </c>
      <c r="M7439">
        <v>0.81642369999999898</v>
      </c>
      <c r="N7439">
        <v>0</v>
      </c>
      <c r="O7439">
        <v>-0.57727799999999996</v>
      </c>
      <c r="P7439">
        <v>0.85366710000000001</v>
      </c>
      <c r="Q7439">
        <v>-2.5805229999999998E-2</v>
      </c>
      <c r="R7439">
        <v>-0.52017999999999998</v>
      </c>
      <c r="S7439">
        <v>2.8106689999999999</v>
      </c>
      <c r="T7439">
        <v>-0.36015570000000002</v>
      </c>
      <c r="U7439">
        <v>-1.1392819999999999</v>
      </c>
      <c r="V7439">
        <v>-6.8061339999999998E-2</v>
      </c>
      <c r="W7439">
        <v>-1.1962550000000001E-2</v>
      </c>
      <c r="X7439">
        <v>0.99760939999999998</v>
      </c>
      <c r="Y7439">
        <v>-0.2234015</v>
      </c>
      <c r="Z7439">
        <v>7.9182619999999995E-2</v>
      </c>
      <c r="AA7439">
        <v>0.9715049</v>
      </c>
      <c r="AB7439">
        <v>17</v>
      </c>
      <c r="AC7439">
        <v>8.6164000000000502</v>
      </c>
      <c r="AD7439">
        <v>-1.112429920161</v>
      </c>
      <c r="AE7439">
        <v>-3.4762899999999899</v>
      </c>
      <c r="AF7439">
        <v>-2.1059598379848201</v>
      </c>
      <c r="AG7439">
        <v>-1.112429920161</v>
      </c>
      <c r="AH7439">
        <v>8.9145439150654404</v>
      </c>
      <c r="AI7439">
        <v>96.924396653785394</v>
      </c>
      <c r="AJ7439">
        <v>103.29178797082</v>
      </c>
      <c r="AK7439">
        <v>9.22722387178856</v>
      </c>
      <c r="AL7439">
        <v>90.685419987925101</v>
      </c>
      <c r="AM7439">
        <v>93.902924333964506</v>
      </c>
      <c r="AN7439">
        <v>0.999999981786728</v>
      </c>
    </row>
    <row r="7440" spans="1:40" x14ac:dyDescent="0.25">
      <c r="A7440" t="str">
        <f>"20190312154110219"</f>
        <v>20190312154110219</v>
      </c>
      <c r="B7440" t="str">
        <f>"1552376470214192"</f>
        <v>1552376470214192</v>
      </c>
      <c r="C7440" t="s">
        <v>40</v>
      </c>
      <c r="D7440">
        <v>4.5162339999999999</v>
      </c>
      <c r="E7440">
        <v>0.43824570000000002</v>
      </c>
      <c r="F7440" t="s">
        <v>42</v>
      </c>
      <c r="G7440">
        <v>-396.04050000000001</v>
      </c>
      <c r="H7440" s="1">
        <v>-1.9516920000000001E-6</v>
      </c>
      <c r="I7440">
        <v>19.990390000000001</v>
      </c>
      <c r="J7440">
        <v>-404.67140000000001</v>
      </c>
      <c r="K7440">
        <v>1.1123780000000001</v>
      </c>
      <c r="L7440">
        <v>23.45459</v>
      </c>
      <c r="M7440">
        <v>0.81802379999999997</v>
      </c>
      <c r="N7440">
        <v>0</v>
      </c>
      <c r="O7440">
        <v>-0.57500899999999999</v>
      </c>
      <c r="P7440">
        <v>0.85529639999999996</v>
      </c>
      <c r="Q7440">
        <v>-2.545907E-2</v>
      </c>
      <c r="R7440">
        <v>-0.51751359999999902</v>
      </c>
      <c r="S7440">
        <v>2.812103</v>
      </c>
      <c r="T7440">
        <v>-0.35946790000000001</v>
      </c>
      <c r="U7440">
        <v>-1.1344909999999999</v>
      </c>
      <c r="V7440">
        <v>-6.841266E-2</v>
      </c>
      <c r="W7440">
        <v>-1.1623680000000001E-2</v>
      </c>
      <c r="X7440">
        <v>0.99758939999999996</v>
      </c>
      <c r="Y7440">
        <v>-0.22232850000000001</v>
      </c>
      <c r="Z7440">
        <v>7.8745019999999999E-2</v>
      </c>
      <c r="AA7440">
        <v>0.97178659999999994</v>
      </c>
      <c r="AB7440">
        <v>17</v>
      </c>
      <c r="AC7440">
        <v>8.6308999999999898</v>
      </c>
      <c r="AD7440">
        <v>-1.1123799516920001</v>
      </c>
      <c r="AE7440">
        <v>-3.4641999999999999</v>
      </c>
      <c r="AF7440">
        <v>-2.0992298558464899</v>
      </c>
      <c r="AG7440">
        <v>-1.1123799516920001</v>
      </c>
      <c r="AH7440">
        <v>8.9254514737779793</v>
      </c>
      <c r="AI7440">
        <v>96.917303798657699</v>
      </c>
      <c r="AJ7440">
        <v>103.23518915586099</v>
      </c>
      <c r="AK7440">
        <v>9.2362242910926096</v>
      </c>
      <c r="AL7440">
        <v>90.666002799929203</v>
      </c>
      <c r="AM7440">
        <v>93.923086164309396</v>
      </c>
      <c r="AN7440">
        <v>1.00000000648868</v>
      </c>
    </row>
    <row r="7441" spans="1:40" x14ac:dyDescent="0.25">
      <c r="A7441" t="str">
        <f>"20190312154110228"</f>
        <v>20190312154110228</v>
      </c>
      <c r="B7441" t="str">
        <f>"1552376470223952"</f>
        <v>1552376470223952</v>
      </c>
      <c r="C7441" t="s">
        <v>40</v>
      </c>
      <c r="D7441">
        <v>4.4543080000000002</v>
      </c>
      <c r="E7441">
        <v>0.43483129999999998</v>
      </c>
      <c r="F7441" t="s">
        <v>42</v>
      </c>
      <c r="G7441">
        <v>-395.93610000000001</v>
      </c>
      <c r="H7441" s="1">
        <v>-1.9932720000000001E-6</v>
      </c>
      <c r="I7441">
        <v>19.961130000000001</v>
      </c>
      <c r="J7441">
        <v>-404.60270000000003</v>
      </c>
      <c r="K7441">
        <v>1.1123430000000001</v>
      </c>
      <c r="L7441">
        <v>23.410029999999999</v>
      </c>
      <c r="M7441">
        <v>0.81951030000000002</v>
      </c>
      <c r="N7441">
        <v>0</v>
      </c>
      <c r="O7441">
        <v>-0.57288819999999996</v>
      </c>
      <c r="P7441">
        <v>0.85665780000000002</v>
      </c>
      <c r="Q7441">
        <v>-2.5284859999999999E-2</v>
      </c>
      <c r="R7441">
        <v>-0.51526499999999997</v>
      </c>
      <c r="S7441">
        <v>2.815582</v>
      </c>
      <c r="T7441">
        <v>-0.3585412</v>
      </c>
      <c r="U7441">
        <v>-1.126007</v>
      </c>
      <c r="V7441">
        <v>-6.8454660000000001E-2</v>
      </c>
      <c r="W7441">
        <v>-1.145527E-2</v>
      </c>
      <c r="X7441">
        <v>0.99758849999999999</v>
      </c>
      <c r="Y7441">
        <v>-0.222779</v>
      </c>
      <c r="Z7441">
        <v>7.8335379999999996E-2</v>
      </c>
      <c r="AA7441">
        <v>0.97171660000000004</v>
      </c>
      <c r="AB7441">
        <v>17</v>
      </c>
      <c r="AC7441">
        <v>8.6666000000000096</v>
      </c>
      <c r="AD7441">
        <v>-1.112344993272</v>
      </c>
      <c r="AE7441">
        <v>-3.4489000000000001</v>
      </c>
      <c r="AF7441">
        <v>-2.1088100516181698</v>
      </c>
      <c r="AG7441">
        <v>-1.112344993272</v>
      </c>
      <c r="AH7441">
        <v>8.9518137146196697</v>
      </c>
      <c r="AI7441">
        <v>96.896339682116206</v>
      </c>
      <c r="AJ7441">
        <v>103.255686444565</v>
      </c>
      <c r="AK7441">
        <v>9.2638739196470006</v>
      </c>
      <c r="AL7441">
        <v>90.656352953574199</v>
      </c>
      <c r="AM7441">
        <v>93.925490633992396</v>
      </c>
      <c r="AN7441">
        <v>1.00000003950936</v>
      </c>
    </row>
    <row r="7442" spans="1:40" x14ac:dyDescent="0.25">
      <c r="A7442" t="str">
        <f>"20190312154110241"</f>
        <v>20190312154110241</v>
      </c>
      <c r="B7442" t="str">
        <f>"1552376470233712"</f>
        <v>1552376470233712</v>
      </c>
      <c r="C7442" t="s">
        <v>40</v>
      </c>
      <c r="D7442">
        <v>4.4863869999999997</v>
      </c>
      <c r="E7442">
        <v>0.43483129999999998</v>
      </c>
      <c r="F7442" t="s">
        <v>42</v>
      </c>
      <c r="G7442">
        <v>-395.23860000000002</v>
      </c>
      <c r="H7442" s="1">
        <v>-2.277117E-6</v>
      </c>
      <c r="I7442">
        <v>19.788900000000002</v>
      </c>
      <c r="J7442">
        <v>-404.53089999999997</v>
      </c>
      <c r="K7442">
        <v>1.112303</v>
      </c>
      <c r="L7442">
        <v>23.363679999999999</v>
      </c>
      <c r="M7442">
        <v>0.82104100000000002</v>
      </c>
      <c r="N7442">
        <v>0</v>
      </c>
      <c r="O7442">
        <v>-0.57069259999999999</v>
      </c>
      <c r="P7442">
        <v>0.8581434</v>
      </c>
      <c r="Q7442">
        <v>-2.4944810000000001E-2</v>
      </c>
      <c r="R7442">
        <v>-0.51280400000000004</v>
      </c>
      <c r="S7442">
        <v>2.8330989999999998</v>
      </c>
      <c r="T7442">
        <v>-0.336541799999999</v>
      </c>
      <c r="U7442">
        <v>-1.0955809999999999</v>
      </c>
      <c r="V7442">
        <v>-6.8656149999999999E-2</v>
      </c>
      <c r="W7442">
        <v>-1.1122190000000001E-2</v>
      </c>
      <c r="X7442">
        <v>0.99757839999999998</v>
      </c>
      <c r="Y7442">
        <v>-0.2318442</v>
      </c>
      <c r="Z7442">
        <v>7.3648099999999994E-2</v>
      </c>
      <c r="AA7442">
        <v>0.96996090000000001</v>
      </c>
      <c r="AB7442">
        <v>17</v>
      </c>
      <c r="AC7442">
        <v>9.2922999999999494</v>
      </c>
      <c r="AD7442">
        <v>-1.1123052771169999</v>
      </c>
      <c r="AE7442">
        <v>-3.5747799999999899</v>
      </c>
      <c r="AF7442">
        <v>-2.3390502115451199</v>
      </c>
      <c r="AG7442">
        <v>-1.1123052771169999</v>
      </c>
      <c r="AH7442">
        <v>9.5512227934902398</v>
      </c>
      <c r="AI7442">
        <v>96.453540619619702</v>
      </c>
      <c r="AJ7442">
        <v>103.760644995406</v>
      </c>
      <c r="AK7442">
        <v>9.8961727840877494</v>
      </c>
      <c r="AL7442">
        <v>90.637267674174396</v>
      </c>
      <c r="AM7442">
        <v>93.937048407442504</v>
      </c>
      <c r="AN7442">
        <v>1.00000001709488</v>
      </c>
    </row>
    <row r="7443" spans="1:40" x14ac:dyDescent="0.25">
      <c r="A7443" t="str">
        <f>"20190312154110252"</f>
        <v>20190312154110252</v>
      </c>
      <c r="B7443" t="str">
        <f>"1552376470243472"</f>
        <v>1552376470243472</v>
      </c>
      <c r="C7443" t="s">
        <v>40</v>
      </c>
      <c r="D7443">
        <v>4.5511379999999999</v>
      </c>
      <c r="E7443">
        <v>0.41484549999999998</v>
      </c>
      <c r="F7443" t="s">
        <v>42</v>
      </c>
      <c r="G7443">
        <v>-395.12090000000001</v>
      </c>
      <c r="H7443" s="1">
        <v>-2.3241989999999999E-6</v>
      </c>
      <c r="I7443">
        <v>19.756640000000001</v>
      </c>
      <c r="J7443">
        <v>-404.46039999999999</v>
      </c>
      <c r="K7443">
        <v>1.1122749999999999</v>
      </c>
      <c r="L7443">
        <v>23.318359999999998</v>
      </c>
      <c r="M7443">
        <v>0.82251439999999998</v>
      </c>
      <c r="N7443">
        <v>0</v>
      </c>
      <c r="O7443">
        <v>-0.5685675</v>
      </c>
      <c r="P7443">
        <v>0.85976059999999999</v>
      </c>
      <c r="Q7443">
        <v>-2.4453559999999999E-2</v>
      </c>
      <c r="R7443">
        <v>-0.510111799999999</v>
      </c>
      <c r="S7443">
        <v>2.8364259999999999</v>
      </c>
      <c r="T7443">
        <v>-0.33527649999999998</v>
      </c>
      <c r="U7443">
        <v>-1.08725</v>
      </c>
      <c r="V7443">
        <v>-6.9213990000000003E-2</v>
      </c>
      <c r="W7443">
        <v>-1.064025E-2</v>
      </c>
      <c r="X7443">
        <v>0.99754509999999996</v>
      </c>
      <c r="Y7443">
        <v>-0.23223640000000001</v>
      </c>
      <c r="Z7443">
        <v>7.3175009999999999E-2</v>
      </c>
      <c r="AA7443">
        <v>0.96990290000000001</v>
      </c>
      <c r="AB7443">
        <v>17</v>
      </c>
      <c r="AC7443">
        <v>9.3394999999999797</v>
      </c>
      <c r="AD7443">
        <v>-1.1122773241989901</v>
      </c>
      <c r="AE7443">
        <v>-3.5617200000000002</v>
      </c>
      <c r="AF7443">
        <v>-2.35168975364518</v>
      </c>
      <c r="AG7443">
        <v>-1.1122773241989901</v>
      </c>
      <c r="AH7443">
        <v>9.5891894045312291</v>
      </c>
      <c r="AI7443">
        <v>96.427529613886506</v>
      </c>
      <c r="AJ7443">
        <v>103.779480508323</v>
      </c>
      <c r="AK7443">
        <v>9.9358018790282401</v>
      </c>
      <c r="AL7443">
        <v>90.609652916521398</v>
      </c>
      <c r="AM7443">
        <v>93.969067672471496</v>
      </c>
      <c r="AN7443">
        <v>1.00000000893289</v>
      </c>
    </row>
    <row r="7444" spans="1:40" x14ac:dyDescent="0.25">
      <c r="A7444" t="str">
        <f>"20190312154110263"</f>
        <v>20190312154110263</v>
      </c>
      <c r="B7444" t="str">
        <f>"1552376470254208"</f>
        <v>1552376470254208</v>
      </c>
      <c r="C7444" t="s">
        <v>40</v>
      </c>
      <c r="D7444">
        <v>4.4684999999999997</v>
      </c>
      <c r="E7444">
        <v>0.41553859999999898</v>
      </c>
      <c r="F7444" t="s">
        <v>86</v>
      </c>
      <c r="G7444">
        <v>-386.20749999999998</v>
      </c>
      <c r="H7444" s="1">
        <v>-2.1819790000000001E-6</v>
      </c>
      <c r="I7444">
        <v>17.424499999999998</v>
      </c>
      <c r="J7444">
        <v>-404.39389999999997</v>
      </c>
      <c r="K7444">
        <v>1.112252</v>
      </c>
      <c r="L7444">
        <v>23.275849999999998</v>
      </c>
      <c r="M7444">
        <v>0.82387880000000002</v>
      </c>
      <c r="N7444">
        <v>0</v>
      </c>
      <c r="O7444">
        <v>-0.56658909999999996</v>
      </c>
      <c r="P7444">
        <v>0.86122919999999903</v>
      </c>
      <c r="Q7444">
        <v>-2.3823609999999999E-2</v>
      </c>
      <c r="R7444">
        <v>-0.50765839999999995</v>
      </c>
      <c r="S7444">
        <v>2.9240719999999998</v>
      </c>
      <c r="T7444">
        <v>-0.17818439999999999</v>
      </c>
      <c r="U7444">
        <v>-0.94418329999999995</v>
      </c>
      <c r="V7444">
        <v>-6.9673929999999995E-2</v>
      </c>
      <c r="W7444">
        <v>-1.001865E-2</v>
      </c>
      <c r="X7444">
        <v>0.9975195</v>
      </c>
      <c r="Y7444">
        <v>-0.28476659999999998</v>
      </c>
      <c r="Z7444">
        <v>3.9765950000000001E-2</v>
      </c>
      <c r="AA7444">
        <v>0.9577717</v>
      </c>
      <c r="AB7444">
        <v>17</v>
      </c>
      <c r="AC7444">
        <v>18.1863999999999</v>
      </c>
      <c r="AD7444">
        <v>-1.1122541819789999</v>
      </c>
      <c r="AE7444">
        <v>-5.8513500000000001</v>
      </c>
      <c r="AF7444">
        <v>-5.4654375564169797</v>
      </c>
      <c r="AG7444">
        <v>-1.1122541819789999</v>
      </c>
      <c r="AH7444">
        <v>18.238715368243401</v>
      </c>
      <c r="AI7444">
        <v>93.343230850572596</v>
      </c>
      <c r="AJ7444">
        <v>106.681439980836</v>
      </c>
      <c r="AK7444">
        <v>19.072463273846399</v>
      </c>
      <c r="AL7444">
        <v>90.574035969628397</v>
      </c>
      <c r="AM7444">
        <v>93.995459940856406</v>
      </c>
      <c r="AN7444">
        <v>0.99999999137485795</v>
      </c>
    </row>
    <row r="7445" spans="1:40" x14ac:dyDescent="0.25">
      <c r="A7445" t="str">
        <f>"20190312154110274"</f>
        <v>20190312154110274</v>
      </c>
      <c r="B7445" t="str">
        <f>"1552376470263968"</f>
        <v>1552376470263968</v>
      </c>
      <c r="C7445" t="s">
        <v>40</v>
      </c>
      <c r="D7445">
        <v>4.5202030000000004</v>
      </c>
      <c r="E7445">
        <v>0.41515580000000002</v>
      </c>
      <c r="F7445" t="s">
        <v>86</v>
      </c>
      <c r="G7445">
        <v>-386.13339999999999</v>
      </c>
      <c r="H7445" s="1">
        <v>-2.220922E-6</v>
      </c>
      <c r="I7445">
        <v>17.40239</v>
      </c>
      <c r="J7445">
        <v>-404.32709999999997</v>
      </c>
      <c r="K7445">
        <v>1.1122320000000001</v>
      </c>
      <c r="L7445">
        <v>23.233219999999999</v>
      </c>
      <c r="M7445">
        <v>0.82523419999999903</v>
      </c>
      <c r="N7445">
        <v>0</v>
      </c>
      <c r="O7445">
        <v>-0.56461329999999998</v>
      </c>
      <c r="P7445">
        <v>0.86259629999999998</v>
      </c>
      <c r="Q7445">
        <v>-2.356718E-2</v>
      </c>
      <c r="R7445">
        <v>-0.50534380000000001</v>
      </c>
      <c r="S7445">
        <v>2.9240719999999998</v>
      </c>
      <c r="T7445">
        <v>-0.17810609999999999</v>
      </c>
      <c r="U7445">
        <v>-0.94052119999999995</v>
      </c>
      <c r="V7445">
        <v>-6.9968039999999995E-2</v>
      </c>
      <c r="W7445">
        <v>-9.7697389999999995E-3</v>
      </c>
      <c r="X7445">
        <v>0.99750139999999998</v>
      </c>
      <c r="Y7445">
        <v>-0.28356130000000002</v>
      </c>
      <c r="Z7445">
        <v>3.9629339999999999E-2</v>
      </c>
      <c r="AA7445">
        <v>0.95813490000000001</v>
      </c>
      <c r="AB7445">
        <v>16</v>
      </c>
      <c r="AC7445">
        <v>18.1936999999999</v>
      </c>
      <c r="AD7445">
        <v>-1.112234220922</v>
      </c>
      <c r="AE7445">
        <v>-5.8308299999999997</v>
      </c>
      <c r="AF7445">
        <v>-5.4427056755566703</v>
      </c>
      <c r="AG7445">
        <v>-1.112234220922</v>
      </c>
      <c r="AH7445">
        <v>18.246222741128399</v>
      </c>
      <c r="AI7445">
        <v>93.343051640178402</v>
      </c>
      <c r="AJ7445">
        <v>106.609430981841</v>
      </c>
      <c r="AK7445">
        <v>19.073142225438399</v>
      </c>
      <c r="AL7445">
        <v>90.559773711869994</v>
      </c>
      <c r="AM7445">
        <v>94.012343311918301</v>
      </c>
      <c r="AN7445">
        <v>1.00000000871176</v>
      </c>
    </row>
    <row r="7446" spans="1:40" x14ac:dyDescent="0.25">
      <c r="A7446" t="str">
        <f>"20190312154110286"</f>
        <v>20190312154110286</v>
      </c>
      <c r="B7446" t="str">
        <f>"1552376470283488"</f>
        <v>1552376470283488</v>
      </c>
      <c r="C7446" t="s">
        <v>40</v>
      </c>
      <c r="D7446">
        <v>4.5161210000000001</v>
      </c>
      <c r="E7446">
        <v>0.41562179999999999</v>
      </c>
      <c r="F7446" t="s">
        <v>86</v>
      </c>
      <c r="G7446">
        <v>-386.77690000000001</v>
      </c>
      <c r="H7446" s="1">
        <v>-1.871118E-6</v>
      </c>
      <c r="I7446">
        <v>17.65954</v>
      </c>
      <c r="J7446">
        <v>-404.25439999999998</v>
      </c>
      <c r="K7446">
        <v>1.1122160000000001</v>
      </c>
      <c r="L7446">
        <v>23.187190000000001</v>
      </c>
      <c r="M7446">
        <v>0.82668109999999995</v>
      </c>
      <c r="N7446">
        <v>0</v>
      </c>
      <c r="O7446">
        <v>-0.56249269999999996</v>
      </c>
      <c r="P7446">
        <v>0.86389179999999999</v>
      </c>
      <c r="Q7446">
        <v>-2.2934309999999999E-2</v>
      </c>
      <c r="R7446">
        <v>-0.50315540000000003</v>
      </c>
      <c r="S7446">
        <v>2.9280400000000002</v>
      </c>
      <c r="T7446">
        <v>-0.18556300000000001</v>
      </c>
      <c r="U7446">
        <v>-0.92990110000000004</v>
      </c>
      <c r="V7446">
        <v>-6.9948490000000002E-2</v>
      </c>
      <c r="W7446">
        <v>-9.1430220000000006E-3</v>
      </c>
      <c r="X7446">
        <v>0.99750870000000003</v>
      </c>
      <c r="Y7446">
        <v>-0.28452490000000003</v>
      </c>
      <c r="Z7446">
        <v>4.1188019999999999E-2</v>
      </c>
      <c r="AA7446">
        <v>0.95778350000000001</v>
      </c>
      <c r="AB7446">
        <v>16</v>
      </c>
      <c r="AC7446">
        <v>17.4774999999999</v>
      </c>
      <c r="AD7446">
        <v>-1.112217871118</v>
      </c>
      <c r="AE7446">
        <v>-5.5276500000000004</v>
      </c>
      <c r="AF7446">
        <v>-5.24258918415922</v>
      </c>
      <c r="AG7446">
        <v>-1.112217871118</v>
      </c>
      <c r="AH7446">
        <v>17.494934055454099</v>
      </c>
      <c r="AI7446">
        <v>93.484906738604707</v>
      </c>
      <c r="AJ7446">
        <v>106.681542513502</v>
      </c>
      <c r="AK7446">
        <v>18.297390184159699</v>
      </c>
      <c r="AL7446">
        <v>90.523863873405801</v>
      </c>
      <c r="AM7446">
        <v>94.011196610767598</v>
      </c>
      <c r="AN7446">
        <v>0.99999999634013104</v>
      </c>
    </row>
    <row r="7447" spans="1:40" x14ac:dyDescent="0.25">
      <c r="A7447" t="str">
        <f>"20190312154110300"</f>
        <v>20190312154110300</v>
      </c>
      <c r="B7447" t="str">
        <f>"1552376470293754"</f>
        <v>1552376470293754</v>
      </c>
      <c r="C7447" t="s">
        <v>40</v>
      </c>
      <c r="D7447">
        <v>4.5717999999999996</v>
      </c>
      <c r="E7447">
        <v>0.41552280000000003</v>
      </c>
      <c r="F7447" t="s">
        <v>86</v>
      </c>
      <c r="G7447">
        <v>-387.4205</v>
      </c>
      <c r="H7447" s="1">
        <v>-1.529956E-6</v>
      </c>
      <c r="I7447">
        <v>17.867729999999899</v>
      </c>
      <c r="J7447">
        <v>-404.17500000000001</v>
      </c>
      <c r="K7447">
        <v>1.1122050000000001</v>
      </c>
      <c r="L7447">
        <v>23.137049999999999</v>
      </c>
      <c r="M7447">
        <v>0.82824609999999999</v>
      </c>
      <c r="N7447">
        <v>0</v>
      </c>
      <c r="O7447">
        <v>-0.56018619999999997</v>
      </c>
      <c r="P7447">
        <v>0.86533950000000004</v>
      </c>
      <c r="Q7447">
        <v>-2.2592069999999999E-2</v>
      </c>
      <c r="R7447">
        <v>-0.50067669999999997</v>
      </c>
      <c r="S7447">
        <v>2.9285580000000002</v>
      </c>
      <c r="T7447">
        <v>-0.19348979999999999</v>
      </c>
      <c r="U7447">
        <v>-0.92541499999999999</v>
      </c>
      <c r="V7447">
        <v>-7.0034319999999997E-2</v>
      </c>
      <c r="W7447">
        <v>-8.8080910000000005E-3</v>
      </c>
      <c r="X7447">
        <v>0.99750570000000005</v>
      </c>
      <c r="Y7447">
        <v>-0.28311999999999998</v>
      </c>
      <c r="Z7447">
        <v>4.278564E-2</v>
      </c>
      <c r="AA7447">
        <v>0.95812960000000003</v>
      </c>
      <c r="AB7447">
        <v>16</v>
      </c>
      <c r="AC7447">
        <v>16.7545</v>
      </c>
      <c r="AD7447">
        <v>-1.11220652995599</v>
      </c>
      <c r="AE7447">
        <v>-5.2693199999999996</v>
      </c>
      <c r="AF7447">
        <v>-5.0017904826566602</v>
      </c>
      <c r="AG7447">
        <v>-1.11220652995599</v>
      </c>
      <c r="AH7447">
        <v>16.763111010870698</v>
      </c>
      <c r="AI7447">
        <v>93.637886620967393</v>
      </c>
      <c r="AJ7447">
        <v>106.614093233136</v>
      </c>
      <c r="AK7447">
        <v>17.528742172798498</v>
      </c>
      <c r="AL7447">
        <v>90.504672963121806</v>
      </c>
      <c r="AM7447">
        <v>94.016114475648706</v>
      </c>
      <c r="AN7447">
        <v>1.0000000049886999</v>
      </c>
    </row>
    <row r="7448" spans="1:40" x14ac:dyDescent="0.25">
      <c r="A7448" t="str">
        <f>"20190312154110312"</f>
        <v>20190312154110312</v>
      </c>
      <c r="B7448" t="str">
        <f>"1552376470303514"</f>
        <v>1552376470303514</v>
      </c>
      <c r="C7448" t="s">
        <v>40</v>
      </c>
      <c r="D7448">
        <v>4.4904169999999999</v>
      </c>
      <c r="E7448">
        <v>0.4160259</v>
      </c>
      <c r="F7448" t="s">
        <v>86</v>
      </c>
      <c r="G7448">
        <v>-387.82310000000001</v>
      </c>
      <c r="H7448" s="1">
        <v>-1.311551E-6</v>
      </c>
      <c r="I7448">
        <v>18.02609</v>
      </c>
      <c r="J7448">
        <v>-404.09219999999999</v>
      </c>
      <c r="K7448">
        <v>1.112198</v>
      </c>
      <c r="L7448">
        <v>23.085170000000002</v>
      </c>
      <c r="M7448">
        <v>0.82984899999999995</v>
      </c>
      <c r="N7448">
        <v>0</v>
      </c>
      <c r="O7448">
        <v>-0.55780920000000001</v>
      </c>
      <c r="P7448">
        <v>0.86657419999999996</v>
      </c>
      <c r="Q7448">
        <v>-2.214443E-2</v>
      </c>
      <c r="R7448">
        <v>-0.49855690000000003</v>
      </c>
      <c r="S7448">
        <v>2.9314580000000001</v>
      </c>
      <c r="T7448">
        <v>-0.19938890000000001</v>
      </c>
      <c r="U7448">
        <v>-0.91625979999999996</v>
      </c>
      <c r="V7448">
        <v>-6.9625039999999999E-2</v>
      </c>
      <c r="W7448">
        <v>-8.3647719999999995E-3</v>
      </c>
      <c r="X7448">
        <v>0.99753809999999998</v>
      </c>
      <c r="Y7448">
        <v>-0.28327799999999997</v>
      </c>
      <c r="Z7448">
        <v>4.3952079999999998E-2</v>
      </c>
      <c r="AA7448">
        <v>0.95803020000000005</v>
      </c>
      <c r="AB7448">
        <v>16</v>
      </c>
      <c r="AC7448">
        <v>16.269099999999899</v>
      </c>
      <c r="AD7448">
        <v>-1.112199311551</v>
      </c>
      <c r="AE7448">
        <v>-5.0590799999999998</v>
      </c>
      <c r="AF7448">
        <v>-4.8565720438243103</v>
      </c>
      <c r="AG7448">
        <v>-1.112199311551</v>
      </c>
      <c r="AH7448">
        <v>16.255256476040099</v>
      </c>
      <c r="AI7448">
        <v>93.750800951453996</v>
      </c>
      <c r="AJ7448">
        <v>106.63453211599</v>
      </c>
      <c r="AK7448">
        <v>17.001665872122999</v>
      </c>
      <c r="AL7448">
        <v>90.479271750941905</v>
      </c>
      <c r="AM7448">
        <v>93.992591202400007</v>
      </c>
      <c r="AN7448">
        <v>0.999999938278609</v>
      </c>
    </row>
    <row r="7449" spans="1:40" x14ac:dyDescent="0.25">
      <c r="A7449" t="str">
        <f>"20190312154110330"</f>
        <v>20190312154110330</v>
      </c>
      <c r="B7449" t="str">
        <f>"1552376470324013"</f>
        <v>1552376470324013</v>
      </c>
      <c r="C7449" t="s">
        <v>40</v>
      </c>
      <c r="D7449">
        <v>4.4453060000000004</v>
      </c>
      <c r="E7449">
        <v>0.41734100000000002</v>
      </c>
      <c r="F7449" t="s">
        <v>86</v>
      </c>
      <c r="G7449">
        <v>-387.7294</v>
      </c>
      <c r="H7449" s="1">
        <v>-1.3616809999999999E-6</v>
      </c>
      <c r="I7449">
        <v>17.993220000000001</v>
      </c>
      <c r="J7449">
        <v>-403.983</v>
      </c>
      <c r="K7449">
        <v>1.112187</v>
      </c>
      <c r="L7449">
        <v>23.017119999999998</v>
      </c>
      <c r="M7449">
        <v>0.83193490000000003</v>
      </c>
      <c r="N7449">
        <v>0</v>
      </c>
      <c r="O7449">
        <v>-0.55469349999999995</v>
      </c>
      <c r="P7449">
        <v>0.86768449999999997</v>
      </c>
      <c r="Q7449">
        <v>-2.161482E-2</v>
      </c>
      <c r="R7449">
        <v>-0.49664510000000001</v>
      </c>
      <c r="S7449">
        <v>2.931915</v>
      </c>
      <c r="T7449">
        <v>-0.1992854</v>
      </c>
      <c r="U7449">
        <v>-0.91238399999999997</v>
      </c>
      <c r="V7449">
        <v>-6.8094100000000005E-2</v>
      </c>
      <c r="W7449">
        <v>-7.8348919999999996E-3</v>
      </c>
      <c r="X7449">
        <v>0.99764810000000004</v>
      </c>
      <c r="Y7449">
        <v>-0.28088940000000001</v>
      </c>
      <c r="Z7449">
        <v>4.3688680000000001E-2</v>
      </c>
      <c r="AA7449">
        <v>0.95874519999999996</v>
      </c>
      <c r="AB7449">
        <v>16</v>
      </c>
      <c r="AC7449">
        <v>16.253599999999999</v>
      </c>
      <c r="AD7449">
        <v>-1.112188361681</v>
      </c>
      <c r="AE7449">
        <v>-5.0239000000000003</v>
      </c>
      <c r="AF7449">
        <v>-4.8161070690562102</v>
      </c>
      <c r="AG7449">
        <v>-1.112188361681</v>
      </c>
      <c r="AH7449">
        <v>16.2408756297827</v>
      </c>
      <c r="AI7449">
        <v>93.756355948433693</v>
      </c>
      <c r="AJ7449">
        <v>106.51731941381099</v>
      </c>
      <c r="AK7449">
        <v>16.9763921807474</v>
      </c>
      <c r="AL7449">
        <v>90.448910854581399</v>
      </c>
      <c r="AM7449">
        <v>93.904646117077505</v>
      </c>
      <c r="AN7449">
        <v>0.99999996171053496</v>
      </c>
    </row>
    <row r="7450" spans="1:40" x14ac:dyDescent="0.25">
      <c r="A7450" t="str">
        <f>"20190312154110341"</f>
        <v>20190312154110341</v>
      </c>
      <c r="B7450" t="str">
        <f>"1552376470333771"</f>
        <v>1552376470333771</v>
      </c>
      <c r="C7450" t="s">
        <v>40</v>
      </c>
      <c r="D7450">
        <v>4.4496710000000004</v>
      </c>
      <c r="E7450">
        <v>0.41784019999999999</v>
      </c>
      <c r="F7450" t="s">
        <v>86</v>
      </c>
      <c r="G7450">
        <v>-387.09620000000001</v>
      </c>
      <c r="H7450" s="1">
        <v>-1.7054720000000001E-6</v>
      </c>
      <c r="I7450">
        <v>17.74248</v>
      </c>
      <c r="J7450">
        <v>-403.91719999999998</v>
      </c>
      <c r="K7450">
        <v>1.1121810000000001</v>
      </c>
      <c r="L7450">
        <v>22.97635</v>
      </c>
      <c r="M7450">
        <v>0.83317730000000001</v>
      </c>
      <c r="N7450">
        <v>0</v>
      </c>
      <c r="O7450">
        <v>-0.55282589999999998</v>
      </c>
      <c r="P7450">
        <v>0.868388099999999</v>
      </c>
      <c r="Q7450">
        <v>-2.136441E-2</v>
      </c>
      <c r="R7450">
        <v>-0.495425</v>
      </c>
      <c r="S7450">
        <v>2.9290159999999998</v>
      </c>
      <c r="T7450">
        <v>-0.1929092</v>
      </c>
      <c r="U7450">
        <v>-0.91488650000000005</v>
      </c>
      <c r="V7450">
        <v>-6.7263600000000007E-2</v>
      </c>
      <c r="W7450">
        <v>-7.5845779999999998E-3</v>
      </c>
      <c r="X7450">
        <v>0.99770639999999999</v>
      </c>
      <c r="Y7450">
        <v>-0.2778255</v>
      </c>
      <c r="Z7450">
        <v>4.2130729999999998E-2</v>
      </c>
      <c r="AA7450">
        <v>0.95970730000000004</v>
      </c>
      <c r="AB7450">
        <v>16</v>
      </c>
      <c r="AC7450">
        <v>16.820999999999898</v>
      </c>
      <c r="AD7450">
        <v>-1.1121827054719999</v>
      </c>
      <c r="AE7450">
        <v>-5.2338699999999996</v>
      </c>
      <c r="AF7450">
        <v>-4.9192274535009801</v>
      </c>
      <c r="AG7450">
        <v>-1.1121827054719999</v>
      </c>
      <c r="AH7450">
        <v>16.842845638036501</v>
      </c>
      <c r="AI7450">
        <v>93.626830455589399</v>
      </c>
      <c r="AJ7450">
        <v>106.281304114504</v>
      </c>
      <c r="AK7450">
        <v>17.581729104281901</v>
      </c>
      <c r="AL7450">
        <v>90.434568480053699</v>
      </c>
      <c r="AM7450">
        <v>93.856943583586499</v>
      </c>
      <c r="AN7450">
        <v>0.99999998915467903</v>
      </c>
    </row>
    <row r="7451" spans="1:40" x14ac:dyDescent="0.25">
      <c r="A7451" t="str">
        <f>"20190312154110352"</f>
        <v>20190312154110352</v>
      </c>
      <c r="B7451" t="str">
        <f>"1552376470343530"</f>
        <v>1552376470343530</v>
      </c>
      <c r="C7451" t="s">
        <v>40</v>
      </c>
      <c r="D7451">
        <v>4.5668329999999999</v>
      </c>
      <c r="E7451">
        <v>0.41813349999999999</v>
      </c>
      <c r="F7451" t="s">
        <v>86</v>
      </c>
      <c r="G7451">
        <v>-386.90300000000002</v>
      </c>
      <c r="H7451" s="1">
        <v>-1.810505E-6</v>
      </c>
      <c r="I7451">
        <v>17.665129999999898</v>
      </c>
      <c r="J7451">
        <v>-403.84480000000002</v>
      </c>
      <c r="K7451">
        <v>1.112174</v>
      </c>
      <c r="L7451">
        <v>22.931760000000001</v>
      </c>
      <c r="M7451">
        <v>0.83452879999999996</v>
      </c>
      <c r="N7451">
        <v>0</v>
      </c>
      <c r="O7451">
        <v>-0.55078349999999998</v>
      </c>
      <c r="P7451">
        <v>0.86913609999999897</v>
      </c>
      <c r="Q7451">
        <v>-2.1310599999999999E-2</v>
      </c>
      <c r="R7451">
        <v>-0.4941141</v>
      </c>
      <c r="S7451">
        <v>2.928436</v>
      </c>
      <c r="T7451">
        <v>-0.19142629999999999</v>
      </c>
      <c r="U7451">
        <v>-0.91415409999999997</v>
      </c>
      <c r="V7451">
        <v>-6.6326389999999999E-2</v>
      </c>
      <c r="W7451">
        <v>-7.5304809999999899E-3</v>
      </c>
      <c r="X7451">
        <v>0.99776949999999998</v>
      </c>
      <c r="Y7451">
        <v>-0.27566590000000002</v>
      </c>
      <c r="Z7451">
        <v>4.1643159999999999E-2</v>
      </c>
      <c r="AA7451">
        <v>0.96035099999999995</v>
      </c>
      <c r="AB7451">
        <v>16</v>
      </c>
      <c r="AC7451">
        <v>16.941800000000001</v>
      </c>
      <c r="AD7451">
        <v>-1.1121758105049999</v>
      </c>
      <c r="AE7451">
        <v>-5.2666300000000001</v>
      </c>
      <c r="AF7451">
        <v>-4.9172775827448296</v>
      </c>
      <c r="AG7451">
        <v>-1.1121758105049999</v>
      </c>
      <c r="AH7451">
        <v>16.9741861777383</v>
      </c>
      <c r="AI7451">
        <v>93.601105786960801</v>
      </c>
      <c r="AJ7451">
        <v>106.155853531598</v>
      </c>
      <c r="AK7451">
        <v>17.707048039008601</v>
      </c>
      <c r="AL7451">
        <v>90.431468884372606</v>
      </c>
      <c r="AM7451">
        <v>93.803122299814206</v>
      </c>
      <c r="AN7451">
        <v>0.99999993664238396</v>
      </c>
    </row>
    <row r="7452" spans="1:40" x14ac:dyDescent="0.25">
      <c r="A7452" t="str">
        <f>"20190312154110364"</f>
        <v>20190312154110364</v>
      </c>
      <c r="B7452" t="str">
        <f>"1552376470353290"</f>
        <v>1552376470353290</v>
      </c>
      <c r="C7452" t="s">
        <v>40</v>
      </c>
      <c r="D7452">
        <v>4.4821629999999999</v>
      </c>
      <c r="E7452">
        <v>0.41878320000000002</v>
      </c>
      <c r="F7452" t="s">
        <v>86</v>
      </c>
      <c r="G7452">
        <v>-386.94040000000001</v>
      </c>
      <c r="H7452" s="1">
        <v>-1.791901E-6</v>
      </c>
      <c r="I7452">
        <v>17.670369999999998</v>
      </c>
      <c r="J7452">
        <v>-403.78089999999997</v>
      </c>
      <c r="K7452">
        <v>1.112168</v>
      </c>
      <c r="L7452">
        <v>22.892579999999999</v>
      </c>
      <c r="M7452">
        <v>0.83571149999999905</v>
      </c>
      <c r="N7452">
        <v>0</v>
      </c>
      <c r="O7452">
        <v>-0.54898740000000001</v>
      </c>
      <c r="P7452">
        <v>0.86968639999999997</v>
      </c>
      <c r="Q7452">
        <v>-2.1304050000000001E-2</v>
      </c>
      <c r="R7452">
        <v>-0.49314469999999999</v>
      </c>
      <c r="S7452">
        <v>2.9287719999999999</v>
      </c>
      <c r="T7452">
        <v>-0.19268959999999999</v>
      </c>
      <c r="U7452">
        <v>-0.91156009999999998</v>
      </c>
      <c r="V7452">
        <v>-6.5292970000000006E-2</v>
      </c>
      <c r="W7452">
        <v>-7.5223579999999998E-3</v>
      </c>
      <c r="X7452">
        <v>0.9978378</v>
      </c>
      <c r="Y7452">
        <v>-0.27439089999999999</v>
      </c>
      <c r="Z7452">
        <v>4.178581E-2</v>
      </c>
      <c r="AA7452">
        <v>0.96070990000000001</v>
      </c>
      <c r="AB7452">
        <v>16</v>
      </c>
      <c r="AC7452">
        <v>16.840499999999899</v>
      </c>
      <c r="AD7452">
        <v>-1.1121697919010001</v>
      </c>
      <c r="AE7452">
        <v>-5.2222099999999898</v>
      </c>
      <c r="AF7452">
        <v>-4.8621017979619801</v>
      </c>
      <c r="AG7452">
        <v>-1.1121697919010001</v>
      </c>
      <c r="AH7452">
        <v>16.875269686626901</v>
      </c>
      <c r="AI7452">
        <v>93.623652685348603</v>
      </c>
      <c r="AJ7452">
        <v>106.07274638917001</v>
      </c>
      <c r="AK7452">
        <v>17.5969225302651</v>
      </c>
      <c r="AL7452">
        <v>90.431003423143295</v>
      </c>
      <c r="AM7452">
        <v>93.743780834517494</v>
      </c>
      <c r="AN7452">
        <v>1.00000001645507</v>
      </c>
    </row>
    <row r="7453" spans="1:40" x14ac:dyDescent="0.25">
      <c r="A7453" t="str">
        <f>"20190312154110373"</f>
        <v>20190312154110373</v>
      </c>
      <c r="B7453" t="str">
        <f>"1552376470364026"</f>
        <v>1552376470364026</v>
      </c>
      <c r="C7453" t="s">
        <v>40</v>
      </c>
      <c r="D7453">
        <v>4.436013</v>
      </c>
      <c r="E7453">
        <v>0.41915750000000002</v>
      </c>
      <c r="F7453" t="s">
        <v>86</v>
      </c>
      <c r="G7453">
        <v>-386.68810000000002</v>
      </c>
      <c r="H7453" s="1">
        <v>-1.9303060000000001E-6</v>
      </c>
      <c r="I7453">
        <v>17.562360000000002</v>
      </c>
      <c r="J7453">
        <v>-403.71469999999999</v>
      </c>
      <c r="K7453">
        <v>1.1121570000000001</v>
      </c>
      <c r="L7453">
        <v>22.852049999999998</v>
      </c>
      <c r="M7453">
        <v>0.836929699999999</v>
      </c>
      <c r="N7453">
        <v>0</v>
      </c>
      <c r="O7453">
        <v>-0.54712879999999997</v>
      </c>
      <c r="P7453">
        <v>0.87009130000000001</v>
      </c>
      <c r="Q7453">
        <v>-2.1928650000000001E-2</v>
      </c>
      <c r="R7453">
        <v>-0.49240289999999998</v>
      </c>
      <c r="S7453">
        <v>2.9272770000000001</v>
      </c>
      <c r="T7453">
        <v>-0.190468</v>
      </c>
      <c r="U7453">
        <v>-0.91284180000000004</v>
      </c>
      <c r="V7453">
        <v>-6.3915609999999998E-2</v>
      </c>
      <c r="W7453">
        <v>-8.1436960000000006E-3</v>
      </c>
      <c r="X7453">
        <v>0.99792210000000003</v>
      </c>
      <c r="Y7453">
        <v>-0.27177040000000002</v>
      </c>
      <c r="Z7453">
        <v>4.1142360000000003E-2</v>
      </c>
      <c r="AA7453">
        <v>0.96148230000000001</v>
      </c>
      <c r="AB7453">
        <v>16</v>
      </c>
      <c r="AC7453">
        <v>17.026599999999899</v>
      </c>
      <c r="AD7453">
        <v>-1.112158930306</v>
      </c>
      <c r="AE7453">
        <v>-5.2896899999999896</v>
      </c>
      <c r="AF7453">
        <v>-4.8701805276302998</v>
      </c>
      <c r="AG7453">
        <v>-1.112158930306</v>
      </c>
      <c r="AH7453">
        <v>17.079456616401199</v>
      </c>
      <c r="AI7453">
        <v>93.583221773889605</v>
      </c>
      <c r="AJ7453">
        <v>105.91541805140901</v>
      </c>
      <c r="AK7453">
        <v>17.795038470582199</v>
      </c>
      <c r="AL7453">
        <v>90.466604558101906</v>
      </c>
      <c r="AM7453">
        <v>93.664714305553204</v>
      </c>
      <c r="AN7453">
        <v>1.0000000213273099</v>
      </c>
    </row>
    <row r="7454" spans="1:40" x14ac:dyDescent="0.25">
      <c r="A7454" t="str">
        <f>"20190312154110385"</f>
        <v>20190312154110385</v>
      </c>
      <c r="B7454" t="str">
        <f>"1552376470373786"</f>
        <v>1552376470373786</v>
      </c>
      <c r="C7454" t="s">
        <v>40</v>
      </c>
      <c r="D7454">
        <v>4.4176029999999997</v>
      </c>
      <c r="E7454">
        <v>0.41959400000000002</v>
      </c>
      <c r="F7454" t="s">
        <v>86</v>
      </c>
      <c r="G7454">
        <v>-386.75369999999998</v>
      </c>
      <c r="H7454" s="1">
        <v>-1.8994979999999999E-6</v>
      </c>
      <c r="I7454">
        <v>17.56129</v>
      </c>
      <c r="J7454">
        <v>-403.64699999999999</v>
      </c>
      <c r="K7454">
        <v>1.11215</v>
      </c>
      <c r="L7454">
        <v>22.810970000000001</v>
      </c>
      <c r="M7454">
        <v>0.83815969999999995</v>
      </c>
      <c r="N7454">
        <v>0</v>
      </c>
      <c r="O7454">
        <v>-0.54524280000000003</v>
      </c>
      <c r="P7454">
        <v>0.87076330000000002</v>
      </c>
      <c r="Q7454">
        <v>-2.2144029999999999E-2</v>
      </c>
      <c r="R7454">
        <v>-0.49120429999999998</v>
      </c>
      <c r="S7454">
        <v>2.926453</v>
      </c>
      <c r="T7454">
        <v>-0.1918927</v>
      </c>
      <c r="U7454">
        <v>-0.91287229999999997</v>
      </c>
      <c r="V7454">
        <v>-6.3038979999999994E-2</v>
      </c>
      <c r="W7454">
        <v>-8.3583500000000005E-3</v>
      </c>
      <c r="X7454">
        <v>0.99797610000000003</v>
      </c>
      <c r="Y7454">
        <v>-0.26950190000000002</v>
      </c>
      <c r="Z7454">
        <v>4.1289720000000002E-2</v>
      </c>
      <c r="AA7454">
        <v>0.96211429999999998</v>
      </c>
      <c r="AB7454">
        <v>16</v>
      </c>
      <c r="AC7454">
        <v>16.8933</v>
      </c>
      <c r="AD7454">
        <v>-1.112151899498</v>
      </c>
      <c r="AE7454">
        <v>-5.2496799999999997</v>
      </c>
      <c r="AF7454">
        <v>-4.7924161331101098</v>
      </c>
      <c r="AG7454">
        <v>-1.112151899498</v>
      </c>
      <c r="AH7454">
        <v>16.956305553823402</v>
      </c>
      <c r="AI7454">
        <v>93.611534200227098</v>
      </c>
      <c r="AJ7454">
        <v>105.782057318575</v>
      </c>
      <c r="AK7454">
        <v>17.655606256231302</v>
      </c>
      <c r="AL7454">
        <v>90.478903737954496</v>
      </c>
      <c r="AM7454">
        <v>93.614390290129094</v>
      </c>
      <c r="AN7454">
        <v>1.0000000355926799</v>
      </c>
    </row>
    <row r="7455" spans="1:40" x14ac:dyDescent="0.25">
      <c r="A7455" t="str">
        <f>"20190312154110396"</f>
        <v>20190312154110396</v>
      </c>
      <c r="B7455" t="str">
        <f>"1552376470383545"</f>
        <v>1552376470383545</v>
      </c>
      <c r="C7455" t="s">
        <v>40</v>
      </c>
      <c r="D7455">
        <v>4.413176</v>
      </c>
      <c r="E7455">
        <v>0.41996850000000002</v>
      </c>
      <c r="F7455" t="s">
        <v>86</v>
      </c>
      <c r="G7455">
        <v>-386.67570000000001</v>
      </c>
      <c r="H7455" s="1">
        <v>-1.9432380000000001E-6</v>
      </c>
      <c r="I7455">
        <v>17.522779999999901</v>
      </c>
      <c r="J7455">
        <v>-403.5797</v>
      </c>
      <c r="K7455">
        <v>1.112142</v>
      </c>
      <c r="L7455">
        <v>22.77017</v>
      </c>
      <c r="M7455">
        <v>0.83937619999999902</v>
      </c>
      <c r="N7455">
        <v>0</v>
      </c>
      <c r="O7455">
        <v>-0.54336819999999997</v>
      </c>
      <c r="P7455">
        <v>0.87125300000000006</v>
      </c>
      <c r="Q7455">
        <v>-2.234413E-2</v>
      </c>
      <c r="R7455">
        <v>-0.49032579999999998</v>
      </c>
      <c r="S7455">
        <v>2.926056</v>
      </c>
      <c r="T7455">
        <v>-0.19174740000000001</v>
      </c>
      <c r="U7455">
        <v>-0.91174319999999998</v>
      </c>
      <c r="V7455">
        <v>-6.1812020000000002E-2</v>
      </c>
      <c r="W7455">
        <v>-8.5557800000000007E-3</v>
      </c>
      <c r="X7455">
        <v>0.99805120000000003</v>
      </c>
      <c r="Y7455">
        <v>-0.26765850000000002</v>
      </c>
      <c r="Z7455">
        <v>4.1110300000000002E-2</v>
      </c>
      <c r="AA7455">
        <v>0.96263639999999995</v>
      </c>
      <c r="AB7455">
        <v>16</v>
      </c>
      <c r="AC7455">
        <v>16.9039999999999</v>
      </c>
      <c r="AD7455">
        <v>-1.112143943238</v>
      </c>
      <c r="AE7455">
        <v>-5.2473900000000002</v>
      </c>
      <c r="AF7455">
        <v>-4.7622347298039003</v>
      </c>
      <c r="AG7455">
        <v>-1.112143943238</v>
      </c>
      <c r="AH7455">
        <v>16.9747542828969</v>
      </c>
      <c r="AI7455">
        <v>93.609551687508997</v>
      </c>
      <c r="AJ7455">
        <v>105.67136202147699</v>
      </c>
      <c r="AK7455">
        <v>17.6651642148314</v>
      </c>
      <c r="AL7455">
        <v>90.490216034672997</v>
      </c>
      <c r="AM7455">
        <v>93.543956639601703</v>
      </c>
      <c r="AN7455">
        <v>1.0000000625046599</v>
      </c>
    </row>
    <row r="7456" spans="1:40" x14ac:dyDescent="0.25">
      <c r="A7456" t="str">
        <f>"20190312154110407"</f>
        <v>20190312154110407</v>
      </c>
      <c r="B7456" t="str">
        <f>"1552376470404042"</f>
        <v>1552376470404042</v>
      </c>
      <c r="C7456" t="s">
        <v>40</v>
      </c>
      <c r="D7456">
        <v>4.4136860000000002</v>
      </c>
      <c r="E7456">
        <v>0.42068830000000002</v>
      </c>
      <c r="F7456" t="s">
        <v>86</v>
      </c>
      <c r="G7456">
        <v>-386.5779</v>
      </c>
      <c r="H7456" s="1">
        <v>-1.9980740000000001E-6</v>
      </c>
      <c r="I7456">
        <v>17.474160000000001</v>
      </c>
      <c r="J7456">
        <v>-403.51029999999997</v>
      </c>
      <c r="K7456">
        <v>1.1121319999999999</v>
      </c>
      <c r="L7456">
        <v>22.728449999999999</v>
      </c>
      <c r="M7456">
        <v>0.84061569999999997</v>
      </c>
      <c r="N7456">
        <v>0</v>
      </c>
      <c r="O7456">
        <v>-0.54144879999999995</v>
      </c>
      <c r="P7456">
        <v>0.87181319999999995</v>
      </c>
      <c r="Q7456">
        <v>-2.2484839999999999E-2</v>
      </c>
      <c r="R7456">
        <v>-0.48932229999999999</v>
      </c>
      <c r="S7456">
        <v>2.9255070000000001</v>
      </c>
      <c r="T7456">
        <v>-0.1913668</v>
      </c>
      <c r="U7456">
        <v>-0.91128540000000002</v>
      </c>
      <c r="V7456">
        <v>-6.067782E-2</v>
      </c>
      <c r="W7456">
        <v>-8.6940149999999994E-3</v>
      </c>
      <c r="X7456">
        <v>0.99811950000000005</v>
      </c>
      <c r="Y7456">
        <v>-0.26555440000000002</v>
      </c>
      <c r="Z7456">
        <v>4.087023E-2</v>
      </c>
      <c r="AA7456">
        <v>0.96322920000000001</v>
      </c>
      <c r="AB7456">
        <v>16</v>
      </c>
      <c r="AC7456">
        <v>16.932399999999902</v>
      </c>
      <c r="AD7456">
        <v>-1.1121339980739999</v>
      </c>
      <c r="AE7456">
        <v>-5.2542899999999904</v>
      </c>
      <c r="AF7456">
        <v>-4.7330357234703104</v>
      </c>
      <c r="AG7456">
        <v>-1.1121339980739999</v>
      </c>
      <c r="AH7456">
        <v>17.013316750077301</v>
      </c>
      <c r="AI7456">
        <v>93.603549775324595</v>
      </c>
      <c r="AJ7456">
        <v>105.546351514828</v>
      </c>
      <c r="AK7456">
        <v>17.694389394036101</v>
      </c>
      <c r="AL7456">
        <v>90.498136661930303</v>
      </c>
      <c r="AM7456">
        <v>93.478851663973899</v>
      </c>
      <c r="AN7456">
        <v>0.99999996000850999</v>
      </c>
    </row>
    <row r="7457" spans="1:40" x14ac:dyDescent="0.25">
      <c r="A7457" t="str">
        <f>"20190312154110420"</f>
        <v>20190312154110420</v>
      </c>
      <c r="B7457" t="str">
        <f>"1552376470413802"</f>
        <v>1552376470413802</v>
      </c>
      <c r="C7457" t="s">
        <v>40</v>
      </c>
      <c r="D7457">
        <v>4.3824620000000003</v>
      </c>
      <c r="E7457">
        <v>0.42099890000000001</v>
      </c>
      <c r="F7457" t="s">
        <v>86</v>
      </c>
      <c r="G7457">
        <v>-386.60939999999999</v>
      </c>
      <c r="H7457" s="1">
        <v>-1.987116E-6</v>
      </c>
      <c r="I7457">
        <v>17.451989999999999</v>
      </c>
      <c r="J7457">
        <v>-403.43599999999998</v>
      </c>
      <c r="K7457">
        <v>1.1121259999999999</v>
      </c>
      <c r="L7457">
        <v>22.68393</v>
      </c>
      <c r="M7457">
        <v>0.84193309999999999</v>
      </c>
      <c r="N7457">
        <v>0</v>
      </c>
      <c r="O7457">
        <v>-0.53939839999999994</v>
      </c>
      <c r="P7457">
        <v>0.87257809999999902</v>
      </c>
      <c r="Q7457">
        <v>-2.2959779999999999E-2</v>
      </c>
      <c r="R7457">
        <v>-0.4879346</v>
      </c>
      <c r="S7457">
        <v>2.9237980000000001</v>
      </c>
      <c r="T7457">
        <v>-0.1923957</v>
      </c>
      <c r="U7457">
        <v>-0.91281129999999999</v>
      </c>
      <c r="V7457">
        <v>-5.9824179999999998E-2</v>
      </c>
      <c r="W7457">
        <v>-9.1682610000000005E-3</v>
      </c>
      <c r="X7457">
        <v>0.99816680000000002</v>
      </c>
      <c r="Y7457">
        <v>-0.26257779999999997</v>
      </c>
      <c r="Z7457">
        <v>4.090477E-2</v>
      </c>
      <c r="AA7457">
        <v>0.96404339999999999</v>
      </c>
      <c r="AB7457">
        <v>16</v>
      </c>
      <c r="AC7457">
        <v>16.8265999999999</v>
      </c>
      <c r="AD7457">
        <v>-1.1121279871159999</v>
      </c>
      <c r="AE7457">
        <v>-5.2319399999999998</v>
      </c>
      <c r="AF7457">
        <v>-4.6532252861568102</v>
      </c>
      <c r="AG7457">
        <v>-1.1121279871159999</v>
      </c>
      <c r="AH7457">
        <v>16.923244444120598</v>
      </c>
      <c r="AI7457">
        <v>93.625663366022494</v>
      </c>
      <c r="AJ7457">
        <v>105.374151986857</v>
      </c>
      <c r="AK7457">
        <v>17.5865157646111</v>
      </c>
      <c r="AL7457">
        <v>90.5253100333763</v>
      </c>
      <c r="AM7457">
        <v>93.429865308261597</v>
      </c>
      <c r="AN7457">
        <v>0.99999997507233795</v>
      </c>
    </row>
    <row r="7458" spans="1:40" x14ac:dyDescent="0.25">
      <c r="A7458" t="str">
        <f>"20190312154110430"</f>
        <v>20190312154110430</v>
      </c>
      <c r="B7458" t="str">
        <f>"1552376470423563"</f>
        <v>1552376470423563</v>
      </c>
      <c r="C7458" t="s">
        <v>40</v>
      </c>
      <c r="D7458">
        <v>4.4095789999999999</v>
      </c>
      <c r="E7458">
        <v>0.4212765</v>
      </c>
      <c r="F7458" t="s">
        <v>86</v>
      </c>
      <c r="G7458">
        <v>-386.66759999999999</v>
      </c>
      <c r="H7458" s="1">
        <v>-1.9573779999999999E-6</v>
      </c>
      <c r="I7458">
        <v>17.46453</v>
      </c>
      <c r="J7458">
        <v>-403.36720000000003</v>
      </c>
      <c r="K7458">
        <v>1.1121179999999999</v>
      </c>
      <c r="L7458">
        <v>22.642969999999998</v>
      </c>
      <c r="M7458">
        <v>0.84313930000000004</v>
      </c>
      <c r="N7458">
        <v>0</v>
      </c>
      <c r="O7458">
        <v>-0.53751079999999996</v>
      </c>
      <c r="P7458">
        <v>0.87320640000000005</v>
      </c>
      <c r="Q7458">
        <v>-2.2802900000000001E-2</v>
      </c>
      <c r="R7458">
        <v>-0.48681669999999999</v>
      </c>
      <c r="S7458">
        <v>2.9240719999999998</v>
      </c>
      <c r="T7458">
        <v>-0.1939322</v>
      </c>
      <c r="U7458">
        <v>-0.91015630000000003</v>
      </c>
      <c r="V7458">
        <v>-5.8869930000000001E-2</v>
      </c>
      <c r="W7458">
        <v>-9.0096399999999993E-3</v>
      </c>
      <c r="X7458">
        <v>0.99822500000000003</v>
      </c>
      <c r="Y7458">
        <v>-0.26122220000000002</v>
      </c>
      <c r="Z7458">
        <v>4.1090479999999999E-2</v>
      </c>
      <c r="AA7458">
        <v>0.96440369999999997</v>
      </c>
      <c r="AB7458">
        <v>16</v>
      </c>
      <c r="AC7458">
        <v>16.6996</v>
      </c>
      <c r="AD7458">
        <v>-1.1121199573779901</v>
      </c>
      <c r="AE7458">
        <v>-5.1784400000000002</v>
      </c>
      <c r="AF7458">
        <v>-4.59194746466137</v>
      </c>
      <c r="AG7458">
        <v>-1.1121199573779901</v>
      </c>
      <c r="AH7458">
        <v>16.797267915795299</v>
      </c>
      <c r="AI7458">
        <v>93.654229058576405</v>
      </c>
      <c r="AJ7458">
        <v>105.289637826289</v>
      </c>
      <c r="AK7458">
        <v>17.449097448086398</v>
      </c>
      <c r="AL7458">
        <v>90.5162213328516</v>
      </c>
      <c r="AM7458">
        <v>93.375087013949695</v>
      </c>
      <c r="AN7458">
        <v>0.99999999644806703</v>
      </c>
    </row>
    <row r="7459" spans="1:40" x14ac:dyDescent="0.25">
      <c r="A7459" t="str">
        <f>"20190312154110442"</f>
        <v>20190312154110442</v>
      </c>
      <c r="B7459" t="str">
        <f>"1552376470434299"</f>
        <v>1552376470434299</v>
      </c>
      <c r="C7459" t="s">
        <v>40</v>
      </c>
      <c r="D7459">
        <v>4.4233669999999998</v>
      </c>
      <c r="E7459">
        <v>0.42156519999999997</v>
      </c>
      <c r="F7459" t="s">
        <v>86</v>
      </c>
      <c r="G7459">
        <v>-386.56299999999999</v>
      </c>
      <c r="H7459" s="1">
        <v>-2.0141829999999999E-6</v>
      </c>
      <c r="I7459">
        <v>17.42315</v>
      </c>
      <c r="J7459">
        <v>-403.29450000000003</v>
      </c>
      <c r="K7459">
        <v>1.1121160000000001</v>
      </c>
      <c r="L7459">
        <v>22.599789999999999</v>
      </c>
      <c r="M7459">
        <v>0.84440720000000002</v>
      </c>
      <c r="N7459">
        <v>0</v>
      </c>
      <c r="O7459">
        <v>-0.53551709999999997</v>
      </c>
      <c r="P7459">
        <v>0.87393480000000001</v>
      </c>
      <c r="Q7459">
        <v>-2.321252E-2</v>
      </c>
      <c r="R7459">
        <v>-0.4854887</v>
      </c>
      <c r="S7459">
        <v>2.924194</v>
      </c>
      <c r="T7459">
        <v>-0.19352510000000001</v>
      </c>
      <c r="U7459">
        <v>-0.90832520000000005</v>
      </c>
      <c r="V7459">
        <v>-5.8021469999999999E-2</v>
      </c>
      <c r="W7459">
        <v>-9.4183759999999991E-3</v>
      </c>
      <c r="X7459">
        <v>0.99827089999999996</v>
      </c>
      <c r="Y7459">
        <v>-0.25951540000000001</v>
      </c>
      <c r="Z7459">
        <v>4.0847000000000001E-2</v>
      </c>
      <c r="AA7459">
        <v>0.96487469999999997</v>
      </c>
      <c r="AB7459">
        <v>16</v>
      </c>
      <c r="AC7459">
        <v>16.731499999999901</v>
      </c>
      <c r="AD7459">
        <v>-1.1121180141829901</v>
      </c>
      <c r="AE7459">
        <v>-5.1766399999999901</v>
      </c>
      <c r="AF7459">
        <v>-4.57083640876297</v>
      </c>
      <c r="AG7459">
        <v>-1.1121180141829901</v>
      </c>
      <c r="AH7459">
        <v>16.8341740584871</v>
      </c>
      <c r="AI7459">
        <v>93.647942770792298</v>
      </c>
      <c r="AJ7459">
        <v>105.190784218133</v>
      </c>
      <c r="AK7459">
        <v>17.479095176369501</v>
      </c>
      <c r="AL7459">
        <v>90.539641176708002</v>
      </c>
      <c r="AM7459">
        <v>93.326401162900396</v>
      </c>
      <c r="AN7459">
        <v>0.99999999328712397</v>
      </c>
    </row>
    <row r="7460" spans="1:40" x14ac:dyDescent="0.25">
      <c r="A7460" t="str">
        <f>"20190312154110453"</f>
        <v>20190312154110453</v>
      </c>
      <c r="B7460" t="str">
        <f>"1552376470444301"</f>
        <v>1552376470444301</v>
      </c>
      <c r="C7460" t="s">
        <v>40</v>
      </c>
      <c r="D7460">
        <v>4.4237909999999996</v>
      </c>
      <c r="E7460">
        <v>0.42134199999999999</v>
      </c>
      <c r="F7460" t="s">
        <v>86</v>
      </c>
      <c r="G7460">
        <v>-386.613</v>
      </c>
      <c r="H7460" s="1">
        <v>-1.988818E-6</v>
      </c>
      <c r="I7460">
        <v>17.432729999999999</v>
      </c>
      <c r="J7460">
        <v>-403.2303</v>
      </c>
      <c r="K7460">
        <v>1.1121099999999999</v>
      </c>
      <c r="L7460">
        <v>22.561920000000001</v>
      </c>
      <c r="M7460">
        <v>0.84551520000000002</v>
      </c>
      <c r="N7460">
        <v>0</v>
      </c>
      <c r="O7460">
        <v>-0.53376619999999997</v>
      </c>
      <c r="P7460">
        <v>0.87462589999999996</v>
      </c>
      <c r="Q7460">
        <v>-2.3251049999999999E-2</v>
      </c>
      <c r="R7460">
        <v>-0.48424109999999998</v>
      </c>
      <c r="S7460">
        <v>2.9243769999999998</v>
      </c>
      <c r="T7460">
        <v>-0.19496230000000001</v>
      </c>
      <c r="U7460">
        <v>-0.90582280000000004</v>
      </c>
      <c r="V7460">
        <v>-5.7376919999999998E-2</v>
      </c>
      <c r="W7460">
        <v>-9.4565499999999993E-3</v>
      </c>
      <c r="X7460">
        <v>0.99830779999999997</v>
      </c>
      <c r="Y7460">
        <v>-0.258268</v>
      </c>
      <c r="Z7460">
        <v>4.101983E-2</v>
      </c>
      <c r="AA7460">
        <v>0.965202</v>
      </c>
      <c r="AB7460">
        <v>16</v>
      </c>
      <c r="AC7460">
        <v>16.617299999999901</v>
      </c>
      <c r="AD7460">
        <v>-1.112111988818</v>
      </c>
      <c r="AE7460">
        <v>-5.1291900000000004</v>
      </c>
      <c r="AF7460">
        <v>-4.5149300117709501</v>
      </c>
      <c r="AG7460">
        <v>-1.112111988818</v>
      </c>
      <c r="AH7460">
        <v>16.7212487833308</v>
      </c>
      <c r="AI7460">
        <v>93.673886903459504</v>
      </c>
      <c r="AJ7460">
        <v>105.11019099532299</v>
      </c>
      <c r="AK7460">
        <v>17.3557352757209</v>
      </c>
      <c r="AL7460">
        <v>90.541828479357605</v>
      </c>
      <c r="AM7460">
        <v>93.289409056505093</v>
      </c>
      <c r="AN7460">
        <v>1.00000000041371</v>
      </c>
    </row>
    <row r="7461" spans="1:40" x14ac:dyDescent="0.25">
      <c r="A7461" t="str">
        <f>"20190312154110464"</f>
        <v>20190312154110464</v>
      </c>
      <c r="B7461" t="str">
        <f>"1552376470454061"</f>
        <v>1552376470454061</v>
      </c>
      <c r="C7461" t="s">
        <v>40</v>
      </c>
      <c r="D7461">
        <v>4.4385709999999996</v>
      </c>
      <c r="E7461">
        <v>0.42134199999999999</v>
      </c>
      <c r="F7461" t="s">
        <v>86</v>
      </c>
      <c r="G7461">
        <v>-386.46519999999998</v>
      </c>
      <c r="H7461" s="1">
        <v>-2.0634270000000001E-6</v>
      </c>
      <c r="I7461">
        <v>17.405999999999999</v>
      </c>
      <c r="J7461">
        <v>-403.16079999999999</v>
      </c>
      <c r="K7461">
        <v>1.1121049999999999</v>
      </c>
      <c r="L7461">
        <v>22.521090000000001</v>
      </c>
      <c r="M7461">
        <v>0.84670749999999995</v>
      </c>
      <c r="N7461">
        <v>0</v>
      </c>
      <c r="O7461">
        <v>-0.53187269999999998</v>
      </c>
      <c r="P7461">
        <v>0.87536639999999999</v>
      </c>
      <c r="Q7461">
        <v>-2.361079E-2</v>
      </c>
      <c r="R7461">
        <v>-0.48288310000000001</v>
      </c>
      <c r="S7461">
        <v>2.9265439999999998</v>
      </c>
      <c r="T7461">
        <v>-0.19413169999999999</v>
      </c>
      <c r="U7461">
        <v>-0.90002439999999995</v>
      </c>
      <c r="V7461">
        <v>-5.6685510000000001E-2</v>
      </c>
      <c r="W7461">
        <v>-9.81601E-3</v>
      </c>
      <c r="X7461">
        <v>0.9983438</v>
      </c>
      <c r="Y7461">
        <v>-0.2580712</v>
      </c>
      <c r="Z7461">
        <v>4.0725230000000001E-2</v>
      </c>
      <c r="AA7461">
        <v>0.96526719999999999</v>
      </c>
      <c r="AB7461">
        <v>16</v>
      </c>
      <c r="AC7461">
        <v>16.695599999999999</v>
      </c>
      <c r="AD7461">
        <v>-1.1121070634269901</v>
      </c>
      <c r="AE7461">
        <v>-5.1150900000000004</v>
      </c>
      <c r="AF7461">
        <v>-4.5310198507336299</v>
      </c>
      <c r="AG7461">
        <v>-1.1121070634269901</v>
      </c>
      <c r="AH7461">
        <v>16.7904279002606</v>
      </c>
      <c r="AI7461">
        <v>93.658916551633993</v>
      </c>
      <c r="AJ7461">
        <v>105.101955271931</v>
      </c>
      <c r="AK7461">
        <v>17.426571437954099</v>
      </c>
      <c r="AL7461">
        <v>90.562424992614098</v>
      </c>
      <c r="AM7461">
        <v>93.249739180285999</v>
      </c>
      <c r="AN7461">
        <v>0.99999997204735902</v>
      </c>
    </row>
    <row r="7462" spans="1:40" x14ac:dyDescent="0.25">
      <c r="A7462" t="str">
        <f>"20190312154110474"</f>
        <v>20190312154110474</v>
      </c>
      <c r="B7462" t="str">
        <f>"1552376470463820"</f>
        <v>1552376470463820</v>
      </c>
      <c r="C7462" t="s">
        <v>40</v>
      </c>
      <c r="D7462">
        <v>4.4037689999999996</v>
      </c>
      <c r="E7462">
        <v>0.40208149999999998</v>
      </c>
      <c r="F7462" t="s">
        <v>86</v>
      </c>
      <c r="G7462">
        <v>-386.45170000000002</v>
      </c>
      <c r="H7462" s="1">
        <v>-2.0689589999999999E-6</v>
      </c>
      <c r="I7462">
        <v>17.410879999999999</v>
      </c>
      <c r="J7462">
        <v>-403.09469999999999</v>
      </c>
      <c r="K7462">
        <v>1.1121019999999999</v>
      </c>
      <c r="L7462">
        <v>22.482389999999999</v>
      </c>
      <c r="M7462">
        <v>0.84783399999999998</v>
      </c>
      <c r="N7462">
        <v>0</v>
      </c>
      <c r="O7462">
        <v>-0.53007530000000003</v>
      </c>
      <c r="P7462">
        <v>0.87615759999999898</v>
      </c>
      <c r="Q7462">
        <v>-2.4090460000000001E-2</v>
      </c>
      <c r="R7462">
        <v>-0.48142239999999997</v>
      </c>
      <c r="S7462">
        <v>2.9278870000000001</v>
      </c>
      <c r="T7462">
        <v>-0.1948714</v>
      </c>
      <c r="U7462">
        <v>-0.89544679999999999</v>
      </c>
      <c r="V7462">
        <v>-5.6223950000000002E-2</v>
      </c>
      <c r="W7462">
        <v>-1.029646E-2</v>
      </c>
      <c r="X7462">
        <v>0.99836510000000001</v>
      </c>
      <c r="Y7462">
        <v>-0.257519</v>
      </c>
      <c r="Z7462">
        <v>4.0760329999999997E-2</v>
      </c>
      <c r="AA7462">
        <v>0.96541319999999997</v>
      </c>
      <c r="AB7462">
        <v>16</v>
      </c>
      <c r="AC7462">
        <v>16.642999999999901</v>
      </c>
      <c r="AD7462">
        <v>-1.112104068959</v>
      </c>
      <c r="AE7462">
        <v>-5.07151</v>
      </c>
      <c r="AF7462">
        <v>-4.5042885729518103</v>
      </c>
      <c r="AG7462">
        <v>-1.112104068959</v>
      </c>
      <c r="AH7462">
        <v>16.7320821556733</v>
      </c>
      <c r="AI7462">
        <v>93.672234868975295</v>
      </c>
      <c r="AJ7462">
        <v>105.06688284653301</v>
      </c>
      <c r="AK7462">
        <v>17.3634087745701</v>
      </c>
      <c r="AL7462">
        <v>90.589954119792495</v>
      </c>
      <c r="AM7462">
        <v>93.223265680109407</v>
      </c>
      <c r="AN7462">
        <v>1.00000001127007</v>
      </c>
    </row>
    <row r="7463" spans="1:40" x14ac:dyDescent="0.25">
      <c r="A7463" t="str">
        <f>"20190312154110487"</f>
        <v>20190312154110487</v>
      </c>
      <c r="B7463" t="str">
        <f>"1552376470484316"</f>
        <v>1552376470484316</v>
      </c>
      <c r="C7463" t="s">
        <v>40</v>
      </c>
      <c r="D7463">
        <v>4.3918150000000002</v>
      </c>
      <c r="E7463">
        <v>0.39767540000000001</v>
      </c>
      <c r="F7463" t="s">
        <v>86</v>
      </c>
      <c r="G7463">
        <v>-382.1114</v>
      </c>
      <c r="H7463" s="1">
        <v>-4.1590810000000002E-6</v>
      </c>
      <c r="I7463">
        <v>17.194189999999999</v>
      </c>
      <c r="J7463">
        <v>-403.02670000000001</v>
      </c>
      <c r="K7463">
        <v>1.1121019999999999</v>
      </c>
      <c r="L7463">
        <v>22.44284</v>
      </c>
      <c r="M7463">
        <v>0.84898399999999996</v>
      </c>
      <c r="N7463">
        <v>0</v>
      </c>
      <c r="O7463">
        <v>-0.52823160000000002</v>
      </c>
      <c r="P7463">
        <v>0.87703500000000001</v>
      </c>
      <c r="Q7463">
        <v>-2.4356340000000001E-2</v>
      </c>
      <c r="R7463">
        <v>-0.47980869999999998</v>
      </c>
      <c r="S7463">
        <v>3.0036930000000002</v>
      </c>
      <c r="T7463">
        <v>-0.15919449999999999</v>
      </c>
      <c r="U7463">
        <v>-0.75698849999999995</v>
      </c>
      <c r="V7463">
        <v>-5.588721E-2</v>
      </c>
      <c r="W7463">
        <v>-1.056386E-2</v>
      </c>
      <c r="X7463">
        <v>0.99838119999999997</v>
      </c>
      <c r="Y7463">
        <v>-0.30376540000000002</v>
      </c>
      <c r="Z7463">
        <v>3.3912070000000002E-2</v>
      </c>
      <c r="AA7463">
        <v>0.95214310000000002</v>
      </c>
      <c r="AB7463">
        <v>16</v>
      </c>
      <c r="AC7463">
        <v>20.915299999999998</v>
      </c>
      <c r="AD7463">
        <v>-1.112106159081</v>
      </c>
      <c r="AE7463">
        <v>-5.2486499999999996</v>
      </c>
      <c r="AF7463">
        <v>-6.5752651437731</v>
      </c>
      <c r="AG7463">
        <v>-1.112106159081</v>
      </c>
      <c r="AH7463">
        <v>20.476822573119701</v>
      </c>
      <c r="AI7463">
        <v>92.960126218348506</v>
      </c>
      <c r="AJ7463">
        <v>107.802223690947</v>
      </c>
      <c r="AK7463">
        <v>21.5353466308534</v>
      </c>
      <c r="AL7463">
        <v>90.605275852606297</v>
      </c>
      <c r="AM7463">
        <v>93.203949476349194</v>
      </c>
      <c r="AN7463">
        <v>0.99999999794656103</v>
      </c>
    </row>
    <row r="7464" spans="1:40" x14ac:dyDescent="0.25">
      <c r="A7464" t="str">
        <f>"20190312154110499"</f>
        <v>20190312154110499</v>
      </c>
      <c r="B7464" t="str">
        <f>"1552376470494076"</f>
        <v>1552376470494076</v>
      </c>
      <c r="C7464" t="s">
        <v>40</v>
      </c>
      <c r="D7464">
        <v>4.3899189999999999</v>
      </c>
      <c r="E7464">
        <v>0.39691690000000002</v>
      </c>
      <c r="F7464" t="s">
        <v>86</v>
      </c>
      <c r="G7464">
        <v>-383.23399999999998</v>
      </c>
      <c r="H7464" s="1">
        <v>-3.5340750000000001E-6</v>
      </c>
      <c r="I7464">
        <v>17.725939999999898</v>
      </c>
      <c r="J7464">
        <v>-402.94850000000002</v>
      </c>
      <c r="K7464">
        <v>1.112101</v>
      </c>
      <c r="L7464">
        <v>22.39761</v>
      </c>
      <c r="M7464">
        <v>0.85029719999999998</v>
      </c>
      <c r="N7464">
        <v>0</v>
      </c>
      <c r="O7464">
        <v>-0.52611509999999995</v>
      </c>
      <c r="P7464">
        <v>0.8779981</v>
      </c>
      <c r="Q7464">
        <v>-2.4625439999999998E-2</v>
      </c>
      <c r="R7464">
        <v>-0.47803069999999998</v>
      </c>
      <c r="S7464">
        <v>3.021973</v>
      </c>
      <c r="T7464">
        <v>-0.16979810000000001</v>
      </c>
      <c r="U7464">
        <v>-0.7201843</v>
      </c>
      <c r="V7464">
        <v>-5.5418130000000003E-2</v>
      </c>
      <c r="W7464">
        <v>-1.083426E-2</v>
      </c>
      <c r="X7464">
        <v>0.99840439999999997</v>
      </c>
      <c r="Y7464">
        <v>-0.31354140000000003</v>
      </c>
      <c r="Z7464">
        <v>3.6203060000000002E-2</v>
      </c>
      <c r="AA7464">
        <v>0.94888419999999896</v>
      </c>
      <c r="AB7464">
        <v>16</v>
      </c>
      <c r="AC7464">
        <v>19.714499999999902</v>
      </c>
      <c r="AD7464">
        <v>-1.112104534075</v>
      </c>
      <c r="AE7464">
        <v>-4.6716699999999998</v>
      </c>
      <c r="AF7464">
        <v>-6.3811942649774096</v>
      </c>
      <c r="AG7464">
        <v>-1.112104534075</v>
      </c>
      <c r="AH7464">
        <v>19.1651754993946</v>
      </c>
      <c r="AI7464">
        <v>93.151282801007895</v>
      </c>
      <c r="AJ7464">
        <v>108.415580721803</v>
      </c>
      <c r="AK7464">
        <v>20.230184592946401</v>
      </c>
      <c r="AL7464">
        <v>90.620769549195401</v>
      </c>
      <c r="AM7464">
        <v>93.177039307371004</v>
      </c>
      <c r="AN7464">
        <v>0.99999994813089998</v>
      </c>
    </row>
    <row r="7465" spans="1:40" x14ac:dyDescent="0.25">
      <c r="A7465" t="str">
        <f>"20190312154110511"</f>
        <v>20190312154110511</v>
      </c>
      <c r="B7465" t="str">
        <f>"1552376470503837"</f>
        <v>1552376470503837</v>
      </c>
      <c r="C7465" t="s">
        <v>40</v>
      </c>
      <c r="D7465">
        <v>4.392849</v>
      </c>
      <c r="E7465">
        <v>0.39680729999999997</v>
      </c>
      <c r="F7465" t="s">
        <v>86</v>
      </c>
      <c r="G7465">
        <v>-383.51639999999998</v>
      </c>
      <c r="H7465" s="1">
        <v>-3.3789989999999999E-6</v>
      </c>
      <c r="I7465">
        <v>17.847819999999999</v>
      </c>
      <c r="J7465">
        <v>-402.8716</v>
      </c>
      <c r="K7465">
        <v>1.1120989999999999</v>
      </c>
      <c r="L7465">
        <v>22.353359999999999</v>
      </c>
      <c r="M7465">
        <v>0.85158159999999905</v>
      </c>
      <c r="N7465">
        <v>0</v>
      </c>
      <c r="O7465">
        <v>-0.52403359999999999</v>
      </c>
      <c r="P7465">
        <v>0.87897959999999997</v>
      </c>
      <c r="Q7465">
        <v>-2.4718609999999998E-2</v>
      </c>
      <c r="R7465">
        <v>-0.47621869999999999</v>
      </c>
      <c r="S7465">
        <v>3.0262449999999999</v>
      </c>
      <c r="T7465">
        <v>-0.1731924</v>
      </c>
      <c r="U7465">
        <v>-0.70855709999999905</v>
      </c>
      <c r="V7465">
        <v>-5.5033400000000003E-2</v>
      </c>
      <c r="W7465">
        <v>-1.092897E-2</v>
      </c>
      <c r="X7465">
        <v>0.99842470000000005</v>
      </c>
      <c r="Y7465">
        <v>-0.31492979999999998</v>
      </c>
      <c r="Z7465">
        <v>3.6839150000000001E-2</v>
      </c>
      <c r="AA7465">
        <v>0.94839980000000002</v>
      </c>
      <c r="AB7465">
        <v>16</v>
      </c>
      <c r="AC7465">
        <v>19.3552</v>
      </c>
      <c r="AD7465">
        <v>-1.1121023789990001</v>
      </c>
      <c r="AE7465">
        <v>-4.5055399999999999</v>
      </c>
      <c r="AF7465">
        <v>-6.2868747452591398</v>
      </c>
      <c r="AG7465">
        <v>-1.1121023789990001</v>
      </c>
      <c r="AH7465">
        <v>18.786614687874799</v>
      </c>
      <c r="AI7465">
        <v>93.213018244257299</v>
      </c>
      <c r="AJ7465">
        <v>108.502636849468</v>
      </c>
      <c r="AK7465">
        <v>19.841836033861</v>
      </c>
      <c r="AL7465">
        <v>90.626196321868207</v>
      </c>
      <c r="AM7465">
        <v>93.1549640018319</v>
      </c>
      <c r="AN7465">
        <v>0.99999999953545504</v>
      </c>
    </row>
    <row r="7466" spans="1:40" x14ac:dyDescent="0.25">
      <c r="A7466" t="str">
        <f>"20190312154110524"</f>
        <v>20190312154110524</v>
      </c>
      <c r="B7466" t="str">
        <f>"1552376470513596"</f>
        <v>1552376470513596</v>
      </c>
      <c r="C7466" t="s">
        <v>40</v>
      </c>
      <c r="D7466">
        <v>4.350009</v>
      </c>
      <c r="E7466">
        <v>0.39653040000000001</v>
      </c>
      <c r="F7466" t="s">
        <v>86</v>
      </c>
      <c r="G7466">
        <v>-383.81700000000001</v>
      </c>
      <c r="H7466" s="1">
        <v>-3.220497E-6</v>
      </c>
      <c r="I7466">
        <v>17.94023</v>
      </c>
      <c r="J7466">
        <v>-402.79719999999998</v>
      </c>
      <c r="K7466">
        <v>1.112101</v>
      </c>
      <c r="L7466">
        <v>22.310790000000001</v>
      </c>
      <c r="M7466">
        <v>0.85281659999999904</v>
      </c>
      <c r="N7466">
        <v>0</v>
      </c>
      <c r="O7466">
        <v>-0.52202139999999997</v>
      </c>
      <c r="P7466">
        <v>0.88004139999999997</v>
      </c>
      <c r="Q7466">
        <v>-2.4628420000000002E-2</v>
      </c>
      <c r="R7466">
        <v>-0.47425820000000002</v>
      </c>
      <c r="S7466">
        <v>3.0281069999999999</v>
      </c>
      <c r="T7466">
        <v>-0.17673239999999901</v>
      </c>
      <c r="U7466">
        <v>-0.70132450000000002</v>
      </c>
      <c r="V7466">
        <v>-5.4903479999999998E-2</v>
      </c>
      <c r="W7466">
        <v>-1.0841419999999999E-2</v>
      </c>
      <c r="X7466">
        <v>0.99843280000000001</v>
      </c>
      <c r="Y7466">
        <v>-0.31492120000000001</v>
      </c>
      <c r="Z7466">
        <v>3.7485549999999999E-2</v>
      </c>
      <c r="AA7466">
        <v>0.94837729999999998</v>
      </c>
      <c r="AB7466">
        <v>16</v>
      </c>
      <c r="AC7466">
        <v>18.9802</v>
      </c>
      <c r="AD7466">
        <v>-1.112104220497</v>
      </c>
      <c r="AE7466">
        <v>-4.3705600000000002</v>
      </c>
      <c r="AF7466">
        <v>-6.16130750100342</v>
      </c>
      <c r="AG7466">
        <v>-1.112104220497</v>
      </c>
      <c r="AH7466">
        <v>18.409958426568402</v>
      </c>
      <c r="AI7466">
        <v>93.278592396237599</v>
      </c>
      <c r="AJ7466">
        <v>108.503978725479</v>
      </c>
      <c r="AK7466">
        <v>19.445437901655598</v>
      </c>
      <c r="AL7466">
        <v>90.621179783648998</v>
      </c>
      <c r="AM7466">
        <v>93.147505435868993</v>
      </c>
      <c r="AN7466">
        <v>0.99999999230978298</v>
      </c>
    </row>
    <row r="7467" spans="1:40" x14ac:dyDescent="0.25">
      <c r="A7467" t="str">
        <f>"20190312154110537"</f>
        <v>20190312154110537</v>
      </c>
      <c r="B7467" t="str">
        <f>"1552376470534095"</f>
        <v>1552376470534095</v>
      </c>
      <c r="C7467" t="s">
        <v>40</v>
      </c>
      <c r="D7467">
        <v>4.3572290000000002</v>
      </c>
      <c r="E7467">
        <v>0.39692149999999998</v>
      </c>
      <c r="F7467" t="s">
        <v>86</v>
      </c>
      <c r="G7467">
        <v>-383.79910000000001</v>
      </c>
      <c r="H7467" s="1">
        <v>-3.2237300000000001E-6</v>
      </c>
      <c r="I7467">
        <v>17.96969</v>
      </c>
      <c r="J7467">
        <v>-402.71370000000002</v>
      </c>
      <c r="K7467">
        <v>1.112106</v>
      </c>
      <c r="L7467">
        <v>22.263179999999998</v>
      </c>
      <c r="M7467">
        <v>0.85419519999999904</v>
      </c>
      <c r="N7467">
        <v>0</v>
      </c>
      <c r="O7467">
        <v>-0.51976259999999996</v>
      </c>
      <c r="P7467">
        <v>0.88121179999999999</v>
      </c>
      <c r="Q7467">
        <v>-2.464297E-2</v>
      </c>
      <c r="R7467">
        <v>-0.47207909999999997</v>
      </c>
      <c r="S7467">
        <v>3.0307620000000002</v>
      </c>
      <c r="T7467">
        <v>-0.17741390000000001</v>
      </c>
      <c r="U7467">
        <v>-0.69253540000000002</v>
      </c>
      <c r="V7467">
        <v>-5.4731120000000001E-2</v>
      </c>
      <c r="W7467">
        <v>-1.085876E-2</v>
      </c>
      <c r="X7467">
        <v>0.9984421</v>
      </c>
      <c r="Y7467">
        <v>-0.3151986</v>
      </c>
      <c r="Z7467">
        <v>3.7513650000000003E-2</v>
      </c>
      <c r="AA7467">
        <v>0.94828400000000002</v>
      </c>
      <c r="AB7467">
        <v>16</v>
      </c>
      <c r="AC7467">
        <v>18.9146</v>
      </c>
      <c r="AD7467">
        <v>-1.1121092237299901</v>
      </c>
      <c r="AE7467">
        <v>-4.2934899999999896</v>
      </c>
      <c r="AF7467">
        <v>-6.1440323704731696</v>
      </c>
      <c r="AG7467">
        <v>-1.1121092237299901</v>
      </c>
      <c r="AH7467">
        <v>18.329909625907899</v>
      </c>
      <c r="AI7467">
        <v>93.292380133518506</v>
      </c>
      <c r="AJ7467">
        <v>108.530720881869</v>
      </c>
      <c r="AK7467">
        <v>19.3641810461707</v>
      </c>
      <c r="AL7467">
        <v>90.622173335217695</v>
      </c>
      <c r="AM7467">
        <v>93.137614992537294</v>
      </c>
      <c r="AN7467">
        <v>1.0000000176088</v>
      </c>
    </row>
    <row r="7468" spans="1:40" x14ac:dyDescent="0.25">
      <c r="A7468" t="str">
        <f>"20190312154110547"</f>
        <v>20190312154110547</v>
      </c>
      <c r="B7468" t="str">
        <f>"1552376470543855"</f>
        <v>1552376470543855</v>
      </c>
      <c r="C7468" t="s">
        <v>40</v>
      </c>
      <c r="D7468">
        <v>4.3128609999999998</v>
      </c>
      <c r="E7468">
        <v>0.39684380000000002</v>
      </c>
      <c r="F7468" t="s">
        <v>86</v>
      </c>
      <c r="G7468">
        <v>-383.61880000000002</v>
      </c>
      <c r="H7468" s="1">
        <v>-3.3160020000000002E-6</v>
      </c>
      <c r="I7468">
        <v>17.92989</v>
      </c>
      <c r="J7468">
        <v>-402.64949999999999</v>
      </c>
      <c r="K7468">
        <v>1.1121110000000001</v>
      </c>
      <c r="L7468">
        <v>22.226959999999998</v>
      </c>
      <c r="M7468">
        <v>0.85524829999999996</v>
      </c>
      <c r="N7468">
        <v>0</v>
      </c>
      <c r="O7468">
        <v>-0.51802799999999904</v>
      </c>
      <c r="P7468">
        <v>0.8820846</v>
      </c>
      <c r="Q7468">
        <v>-2.4231200000000001E-2</v>
      </c>
      <c r="R7468">
        <v>-0.47046779999999999</v>
      </c>
      <c r="S7468">
        <v>3.0309750000000002</v>
      </c>
      <c r="T7468">
        <v>-0.1765283</v>
      </c>
      <c r="U7468">
        <v>-0.68783570000000005</v>
      </c>
      <c r="V7468">
        <v>-5.453711E-2</v>
      </c>
      <c r="W7468">
        <v>-1.044841E-2</v>
      </c>
      <c r="X7468">
        <v>0.99845709999999999</v>
      </c>
      <c r="Y7468">
        <v>-0.31470029999999999</v>
      </c>
      <c r="Z7468">
        <v>3.7234950000000003E-2</v>
      </c>
      <c r="AA7468">
        <v>0.94846050000000004</v>
      </c>
      <c r="AB7468">
        <v>16</v>
      </c>
      <c r="AC7468">
        <v>19.0306999999999</v>
      </c>
      <c r="AD7468">
        <v>-1.1121143160019999</v>
      </c>
      <c r="AE7468">
        <v>-4.2970699999999997</v>
      </c>
      <c r="AF7468">
        <v>-6.1639551462217304</v>
      </c>
      <c r="AG7468">
        <v>-1.1121143160019999</v>
      </c>
      <c r="AH7468">
        <v>18.443872093017699</v>
      </c>
      <c r="AI7468">
        <v>93.273070123662706</v>
      </c>
      <c r="AJ7468">
        <v>108.47966449151799</v>
      </c>
      <c r="AK7468">
        <v>19.478386973260601</v>
      </c>
      <c r="AL7468">
        <v>90.598660674694401</v>
      </c>
      <c r="AM7468">
        <v>93.126468052715097</v>
      </c>
      <c r="AN7468">
        <v>1.0000000230895401</v>
      </c>
    </row>
    <row r="7469" spans="1:40" x14ac:dyDescent="0.25">
      <c r="A7469" t="str">
        <f>"20190312154110558"</f>
        <v>20190312154110558</v>
      </c>
      <c r="B7469" t="str">
        <f>"1552376470553614"</f>
        <v>1552376470553614</v>
      </c>
      <c r="C7469" t="s">
        <v>40</v>
      </c>
      <c r="D7469">
        <v>4.3561990000000002</v>
      </c>
      <c r="E7469">
        <v>0.39695200000000003</v>
      </c>
      <c r="F7469" t="s">
        <v>86</v>
      </c>
      <c r="G7469">
        <v>-383.35980000000001</v>
      </c>
      <c r="H7469" s="1">
        <v>-3.4454730000000002E-6</v>
      </c>
      <c r="I7469">
        <v>17.890219999999999</v>
      </c>
      <c r="J7469">
        <v>-402.58359999999999</v>
      </c>
      <c r="K7469">
        <v>1.1121129999999999</v>
      </c>
      <c r="L7469">
        <v>22.189820000000001</v>
      </c>
      <c r="M7469">
        <v>0.85632529999999996</v>
      </c>
      <c r="N7469">
        <v>0</v>
      </c>
      <c r="O7469">
        <v>-0.51624590000000004</v>
      </c>
      <c r="P7469">
        <v>0.88303290000000001</v>
      </c>
      <c r="Q7469">
        <v>-2.3942270000000002E-2</v>
      </c>
      <c r="R7469">
        <v>-0.46870050000000002</v>
      </c>
      <c r="S7469">
        <v>3.0325929999999999</v>
      </c>
      <c r="T7469">
        <v>-0.174839299999999</v>
      </c>
      <c r="U7469">
        <v>-0.68179319999999999</v>
      </c>
      <c r="V7469">
        <v>-5.4463009999999999E-2</v>
      </c>
      <c r="W7469">
        <v>-1.016161E-2</v>
      </c>
      <c r="X7469">
        <v>0.99846409999999997</v>
      </c>
      <c r="Y7469">
        <v>-0.31465799999999999</v>
      </c>
      <c r="Z7469">
        <v>3.678497E-2</v>
      </c>
      <c r="AA7469">
        <v>0.94849209999999995</v>
      </c>
      <c r="AB7469">
        <v>16</v>
      </c>
      <c r="AC7469">
        <v>19.223799999999901</v>
      </c>
      <c r="AD7469">
        <v>-1.1121164454729999</v>
      </c>
      <c r="AE7469">
        <v>-4.2995999999999901</v>
      </c>
      <c r="AF7469">
        <v>-6.2231321222845404</v>
      </c>
      <c r="AG7469">
        <v>-1.1121164454729999</v>
      </c>
      <c r="AH7469">
        <v>18.6239588524449</v>
      </c>
      <c r="AI7469">
        <v>93.241547398435699</v>
      </c>
      <c r="AJ7469">
        <v>108.476874533182</v>
      </c>
      <c r="AK7469">
        <v>19.6676388958426</v>
      </c>
      <c r="AL7469">
        <v>90.582227375618004</v>
      </c>
      <c r="AM7469">
        <v>93.122206660346606</v>
      </c>
      <c r="AN7469">
        <v>1.00000001838243</v>
      </c>
    </row>
    <row r="7470" spans="1:40" x14ac:dyDescent="0.25">
      <c r="A7470" t="str">
        <f>"20190312154110569"</f>
        <v>20190312154110569</v>
      </c>
      <c r="B7470" t="str">
        <f>"1552376470563373"</f>
        <v>1552376470563373</v>
      </c>
      <c r="C7470" t="s">
        <v>40</v>
      </c>
      <c r="D7470">
        <v>4.3404870000000004</v>
      </c>
      <c r="E7470">
        <v>0.39692260000000001</v>
      </c>
      <c r="F7470" t="s">
        <v>86</v>
      </c>
      <c r="G7470">
        <v>-383.012</v>
      </c>
      <c r="H7470" s="1">
        <v>-3.6213930000000002E-6</v>
      </c>
      <c r="I7470">
        <v>17.82545</v>
      </c>
      <c r="J7470">
        <v>-402.51760000000002</v>
      </c>
      <c r="K7470">
        <v>1.112115</v>
      </c>
      <c r="L7470">
        <v>22.15286</v>
      </c>
      <c r="M7470">
        <v>0.85740139999999998</v>
      </c>
      <c r="N7470">
        <v>0</v>
      </c>
      <c r="O7470">
        <v>-0.51445659999999904</v>
      </c>
      <c r="P7470">
        <v>0.8838937</v>
      </c>
      <c r="Q7470">
        <v>-2.405036E-2</v>
      </c>
      <c r="R7470">
        <v>-0.46706900000000001</v>
      </c>
      <c r="S7470">
        <v>3.03363</v>
      </c>
      <c r="T7470">
        <v>-0.17237949999999999</v>
      </c>
      <c r="U7470">
        <v>-0.67648319999999995</v>
      </c>
      <c r="V7470">
        <v>-5.4219169999999997E-2</v>
      </c>
      <c r="W7470">
        <v>-1.027088E-2</v>
      </c>
      <c r="X7470">
        <v>0.99847620000000004</v>
      </c>
      <c r="Y7470">
        <v>-0.31436350000000002</v>
      </c>
      <c r="Z7470">
        <v>3.617302E-2</v>
      </c>
      <c r="AA7470">
        <v>0.94861320000000005</v>
      </c>
      <c r="AB7470">
        <v>16</v>
      </c>
      <c r="AC7470">
        <v>19.505600000000001</v>
      </c>
      <c r="AD7470">
        <v>-1.1121186213930001</v>
      </c>
      <c r="AE7470">
        <v>-4.3274099999999898</v>
      </c>
      <c r="AF7470">
        <v>-6.3055449045180696</v>
      </c>
      <c r="AG7470">
        <v>-1.1121186213930001</v>
      </c>
      <c r="AH7470">
        <v>18.893725016602101</v>
      </c>
      <c r="AI7470">
        <v>93.195759067980902</v>
      </c>
      <c r="AJ7470">
        <v>108.455788594993</v>
      </c>
      <c r="AK7470">
        <v>19.949174152679099</v>
      </c>
      <c r="AL7470">
        <v>90.588488443101696</v>
      </c>
      <c r="AM7470">
        <v>93.108217897041698</v>
      </c>
      <c r="AN7470">
        <v>0.999999965668951</v>
      </c>
    </row>
    <row r="7471" spans="1:40" x14ac:dyDescent="0.25">
      <c r="A7471" t="str">
        <f>"20190312154110578"</f>
        <v>20190312154110578</v>
      </c>
      <c r="B7471" t="str">
        <f>"1552376470574108"</f>
        <v>1552376470574108</v>
      </c>
      <c r="C7471" t="s">
        <v>40</v>
      </c>
      <c r="D7471">
        <v>4.4413790000000004</v>
      </c>
      <c r="E7471">
        <v>0.39705420000000002</v>
      </c>
      <c r="F7471" t="s">
        <v>86</v>
      </c>
      <c r="G7471">
        <v>-382.7414</v>
      </c>
      <c r="H7471" s="1">
        <v>-3.7568350000000001E-6</v>
      </c>
      <c r="I7471">
        <v>17.782910000000001</v>
      </c>
      <c r="J7471">
        <v>-402.4572</v>
      </c>
      <c r="K7471">
        <v>1.112117</v>
      </c>
      <c r="L7471">
        <v>22.119140000000002</v>
      </c>
      <c r="M7471">
        <v>0.85838130000000001</v>
      </c>
      <c r="N7471">
        <v>0</v>
      </c>
      <c r="O7471">
        <v>-0.5128201</v>
      </c>
      <c r="P7471">
        <v>0.88466540000000005</v>
      </c>
      <c r="Q7471">
        <v>-2.405728E-2</v>
      </c>
      <c r="R7471">
        <v>-0.46560580000000001</v>
      </c>
      <c r="S7471">
        <v>3.035034</v>
      </c>
      <c r="T7471">
        <v>-0.1706761</v>
      </c>
      <c r="U7471">
        <v>-0.67065430000000004</v>
      </c>
      <c r="V7471">
        <v>-5.3967300000000003E-2</v>
      </c>
      <c r="W7471">
        <v>-1.027866E-2</v>
      </c>
      <c r="X7471">
        <v>0.99848979999999998</v>
      </c>
      <c r="Y7471">
        <v>-0.31440810000000002</v>
      </c>
      <c r="Z7471">
        <v>3.5735000000000003E-2</v>
      </c>
      <c r="AA7471">
        <v>0.94861510000000004</v>
      </c>
      <c r="AB7471">
        <v>16</v>
      </c>
      <c r="AC7471">
        <v>19.715800000000002</v>
      </c>
      <c r="AD7471">
        <v>-1.112120756835</v>
      </c>
      <c r="AE7471">
        <v>-4.3362299999999898</v>
      </c>
      <c r="AF7471">
        <v>-6.3698169947307601</v>
      </c>
      <c r="AG7471">
        <v>-1.112120756835</v>
      </c>
      <c r="AH7471">
        <v>19.091324793071099</v>
      </c>
      <c r="AI7471">
        <v>93.162838878213407</v>
      </c>
      <c r="AJ7471">
        <v>108.451267056003</v>
      </c>
      <c r="AK7471">
        <v>20.156638198833601</v>
      </c>
      <c r="AL7471">
        <v>90.588934207291999</v>
      </c>
      <c r="AM7471">
        <v>93.093765023899905</v>
      </c>
      <c r="AN7471">
        <v>1.0000000005123599</v>
      </c>
    </row>
    <row r="7472" spans="1:40" x14ac:dyDescent="0.25">
      <c r="A7472" t="str">
        <f>"20190312154110589"</f>
        <v>20190312154110589</v>
      </c>
      <c r="B7472" t="str">
        <f>"1552376470583869"</f>
        <v>1552376470583869</v>
      </c>
      <c r="C7472" t="s">
        <v>40</v>
      </c>
      <c r="D7472">
        <v>4.3350660000000003</v>
      </c>
      <c r="E7472">
        <v>0.39716780000000002</v>
      </c>
      <c r="F7472" t="s">
        <v>86</v>
      </c>
      <c r="G7472">
        <v>-382.41419999999999</v>
      </c>
      <c r="H7472" s="1">
        <v>-3.9230959999999996E-6</v>
      </c>
      <c r="I7472">
        <v>17.717549999999999</v>
      </c>
      <c r="J7472">
        <v>-402.38819999999998</v>
      </c>
      <c r="K7472">
        <v>1.112117</v>
      </c>
      <c r="L7472">
        <v>22.080960000000001</v>
      </c>
      <c r="M7472">
        <v>0.85949640000000005</v>
      </c>
      <c r="N7472">
        <v>0</v>
      </c>
      <c r="O7472">
        <v>-0.51094899999999999</v>
      </c>
      <c r="P7472">
        <v>0.88566180000000005</v>
      </c>
      <c r="Q7472">
        <v>-2.4096860000000001E-2</v>
      </c>
      <c r="R7472">
        <v>-0.46370519999999998</v>
      </c>
      <c r="S7472">
        <v>3.0356749999999999</v>
      </c>
      <c r="T7472">
        <v>-0.168439899999999</v>
      </c>
      <c r="U7472">
        <v>-0.66665649999999999</v>
      </c>
      <c r="V7472">
        <v>-5.3934429999999998E-2</v>
      </c>
      <c r="W7472">
        <v>-1.0320340000000001E-2</v>
      </c>
      <c r="X7472">
        <v>0.99849120000000002</v>
      </c>
      <c r="Y7472">
        <v>-0.31360749999999998</v>
      </c>
      <c r="Z7472">
        <v>3.5158519999999999E-2</v>
      </c>
      <c r="AA7472">
        <v>0.94890160000000001</v>
      </c>
      <c r="AB7472">
        <v>16</v>
      </c>
      <c r="AC7472">
        <v>19.973999999999901</v>
      </c>
      <c r="AD7472">
        <v>-1.1121209230959901</v>
      </c>
      <c r="AE7472">
        <v>-4.36341</v>
      </c>
      <c r="AF7472">
        <v>-6.4369500938726096</v>
      </c>
      <c r="AG7472">
        <v>-1.1121209230959901</v>
      </c>
      <c r="AH7472">
        <v>19.341742579740401</v>
      </c>
      <c r="AI7472">
        <v>93.122764935479196</v>
      </c>
      <c r="AJ7472">
        <v>108.407490889822</v>
      </c>
      <c r="AK7472">
        <v>20.415047035937398</v>
      </c>
      <c r="AL7472">
        <v>90.591322390237806</v>
      </c>
      <c r="AM7472">
        <v>93.091880027009907</v>
      </c>
      <c r="AN7472">
        <v>1.00000005431728</v>
      </c>
    </row>
    <row r="7473" spans="1:40" x14ac:dyDescent="0.25">
      <c r="A7473" t="str">
        <f>"20190312154110600"</f>
        <v>20190312154110600</v>
      </c>
      <c r="B7473" t="str">
        <f>"1552376470593629"</f>
        <v>1552376470593629</v>
      </c>
      <c r="C7473" t="s">
        <v>40</v>
      </c>
      <c r="D7473">
        <v>4.3104809999999896</v>
      </c>
      <c r="E7473">
        <v>0.39722059999999998</v>
      </c>
      <c r="F7473" t="s">
        <v>86</v>
      </c>
      <c r="G7473">
        <v>-382.31389999999999</v>
      </c>
      <c r="H7473" s="1">
        <v>-3.9713950000000003E-6</v>
      </c>
      <c r="I7473">
        <v>17.712540000000001</v>
      </c>
      <c r="J7473">
        <v>-402.32830000000001</v>
      </c>
      <c r="K7473">
        <v>1.112117</v>
      </c>
      <c r="L7473">
        <v>22.047820000000002</v>
      </c>
      <c r="M7473">
        <v>0.86046219999999995</v>
      </c>
      <c r="N7473">
        <v>0</v>
      </c>
      <c r="O7473">
        <v>-0.50932100000000002</v>
      </c>
      <c r="P7473">
        <v>0.88648739999999904</v>
      </c>
      <c r="Q7473">
        <v>-2.4415269999999999E-2</v>
      </c>
      <c r="R7473">
        <v>-0.46210879999999999</v>
      </c>
      <c r="S7473">
        <v>3.0367130000000002</v>
      </c>
      <c r="T7473">
        <v>-0.16823450000000001</v>
      </c>
      <c r="U7473">
        <v>-0.66082759999999996</v>
      </c>
      <c r="V7473">
        <v>-5.3837599999999999E-2</v>
      </c>
      <c r="W7473">
        <v>-1.064026E-2</v>
      </c>
      <c r="X7473">
        <v>0.99849299999999996</v>
      </c>
      <c r="Y7473">
        <v>-0.31362129999999999</v>
      </c>
      <c r="Z7473">
        <v>3.5039050000000002E-2</v>
      </c>
      <c r="AA7473">
        <v>0.94890149999999995</v>
      </c>
      <c r="AB7473">
        <v>16</v>
      </c>
      <c r="AC7473">
        <v>20.014399999999998</v>
      </c>
      <c r="AD7473">
        <v>-1.112120971395</v>
      </c>
      <c r="AE7473">
        <v>-4.33528</v>
      </c>
      <c r="AF7473">
        <v>-6.4450383650740601</v>
      </c>
      <c r="AG7473">
        <v>-1.112120971395</v>
      </c>
      <c r="AH7473">
        <v>19.3744577832739</v>
      </c>
      <c r="AI7473">
        <v>93.117637134295904</v>
      </c>
      <c r="AJ7473">
        <v>108.40003748405999</v>
      </c>
      <c r="AK7473">
        <v>20.448592787234901</v>
      </c>
      <c r="AL7473">
        <v>90.609653503079997</v>
      </c>
      <c r="AM7473">
        <v>93.0863342759895</v>
      </c>
      <c r="AN7473">
        <v>0.99999998667781298</v>
      </c>
    </row>
    <row r="7474" spans="1:40" x14ac:dyDescent="0.25">
      <c r="A7474" t="str">
        <f>"20190312154110610"</f>
        <v>20190312154110610</v>
      </c>
      <c r="B7474" t="str">
        <f>"1552376470603388"</f>
        <v>1552376470603388</v>
      </c>
      <c r="C7474" t="s">
        <v>40</v>
      </c>
      <c r="D7474">
        <v>4.32742</v>
      </c>
      <c r="E7474">
        <v>0.39736939999999998</v>
      </c>
      <c r="F7474" t="s">
        <v>86</v>
      </c>
      <c r="G7474">
        <v>-382.30689999999998</v>
      </c>
      <c r="H7474" s="1">
        <v>-3.9723790000000003E-6</v>
      </c>
      <c r="I7474">
        <v>17.725660000000001</v>
      </c>
      <c r="J7474">
        <v>-402.26420000000002</v>
      </c>
      <c r="K7474">
        <v>1.1121179999999999</v>
      </c>
      <c r="L7474">
        <v>22.012630000000001</v>
      </c>
      <c r="M7474">
        <v>0.86149149999999997</v>
      </c>
      <c r="N7474">
        <v>0</v>
      </c>
      <c r="O7474">
        <v>-0.50757790000000003</v>
      </c>
      <c r="P7474">
        <v>0.88740839999999999</v>
      </c>
      <c r="Q7474">
        <v>-2.4546700000000001E-2</v>
      </c>
      <c r="R7474">
        <v>-0.46033020000000002</v>
      </c>
      <c r="S7474">
        <v>3.0376590000000001</v>
      </c>
      <c r="T7474">
        <v>-0.16873170000000001</v>
      </c>
      <c r="U7474">
        <v>-0.655761699999999</v>
      </c>
      <c r="V7474">
        <v>-5.3816099999999902E-2</v>
      </c>
      <c r="W7474">
        <v>-1.077356E-2</v>
      </c>
      <c r="X7474">
        <v>0.99849270000000001</v>
      </c>
      <c r="Y7474">
        <v>-0.3132684</v>
      </c>
      <c r="Z7474">
        <v>3.5049669999999998E-2</v>
      </c>
      <c r="AA7474">
        <v>0.94901760000000002</v>
      </c>
      <c r="AB7474">
        <v>16</v>
      </c>
      <c r="AC7474">
        <v>19.9573</v>
      </c>
      <c r="AD7474">
        <v>-1.1121219723789999</v>
      </c>
      <c r="AE7474">
        <v>-4.2869699999999904</v>
      </c>
      <c r="AF7474">
        <v>-6.4182790437458204</v>
      </c>
      <c r="AG7474">
        <v>-1.1121219723789999</v>
      </c>
      <c r="AH7474">
        <v>19.313595444227701</v>
      </c>
      <c r="AI7474">
        <v>93.127760129828303</v>
      </c>
      <c r="AJ7474">
        <v>108.382639138333</v>
      </c>
      <c r="AK7474">
        <v>20.382494698837299</v>
      </c>
      <c r="AL7474">
        <v>90.617291486678099</v>
      </c>
      <c r="AM7474">
        <v>93.085105057552298</v>
      </c>
      <c r="AN7474">
        <v>0.99999995708378497</v>
      </c>
    </row>
    <row r="7475" spans="1:40" x14ac:dyDescent="0.25">
      <c r="A7475" t="str">
        <f>"20190312154110621"</f>
        <v>20190312154110621</v>
      </c>
      <c r="B7475" t="str">
        <f>"1552376470614126"</f>
        <v>1552376470614126</v>
      </c>
      <c r="C7475" t="s">
        <v>40</v>
      </c>
      <c r="D7475">
        <v>4.3512329999999997</v>
      </c>
      <c r="E7475">
        <v>0.39745340000000001</v>
      </c>
      <c r="F7475" t="s">
        <v>86</v>
      </c>
      <c r="G7475">
        <v>-382.17230000000001</v>
      </c>
      <c r="H7475" s="1">
        <v>-4.038838E-6</v>
      </c>
      <c r="I7475">
        <v>17.709869999999999</v>
      </c>
      <c r="J7475">
        <v>-402.19560000000001</v>
      </c>
      <c r="K7475">
        <v>1.112115</v>
      </c>
      <c r="L7475">
        <v>21.97504</v>
      </c>
      <c r="M7475">
        <v>0.86258989999999902</v>
      </c>
      <c r="N7475">
        <v>0</v>
      </c>
      <c r="O7475">
        <v>-0.50570939999999998</v>
      </c>
      <c r="P7475">
        <v>0.88836899999999996</v>
      </c>
      <c r="Q7475">
        <v>-2.469878E-2</v>
      </c>
      <c r="R7475">
        <v>-0.45846599999999998</v>
      </c>
      <c r="S7475">
        <v>3.0384519999999999</v>
      </c>
      <c r="T7475">
        <v>-0.1681832</v>
      </c>
      <c r="U7475">
        <v>-0.65069580000000005</v>
      </c>
      <c r="V7475">
        <v>-5.3745540000000001E-2</v>
      </c>
      <c r="W7475">
        <v>-1.0927279999999999E-2</v>
      </c>
      <c r="X7475">
        <v>0.99849489999999996</v>
      </c>
      <c r="Y7475">
        <v>-0.31278400000000001</v>
      </c>
      <c r="Z7475">
        <v>3.4835480000000002E-2</v>
      </c>
      <c r="AA7475">
        <v>0.94918530000000001</v>
      </c>
      <c r="AB7475">
        <v>16</v>
      </c>
      <c r="AC7475">
        <v>20.023299999999999</v>
      </c>
      <c r="AD7475">
        <v>-1.112119038838</v>
      </c>
      <c r="AE7475">
        <v>-4.2651699999999897</v>
      </c>
      <c r="AF7475">
        <v>-6.4285422863681303</v>
      </c>
      <c r="AG7475">
        <v>-1.112119038838</v>
      </c>
      <c r="AH7475">
        <v>19.3735735187514</v>
      </c>
      <c r="AI7475">
        <v>93.118552452635598</v>
      </c>
      <c r="AJ7475">
        <v>108.356884890351</v>
      </c>
      <c r="AK7475">
        <v>20.442561374999801</v>
      </c>
      <c r="AL7475">
        <v>90.626099469070994</v>
      </c>
      <c r="AM7475">
        <v>93.081061101296299</v>
      </c>
      <c r="AN7475">
        <v>1.0000000269220399</v>
      </c>
    </row>
    <row r="7476" spans="1:40" x14ac:dyDescent="0.25">
      <c r="A7476" t="str">
        <f>"20190312154110631"</f>
        <v>20190312154110631</v>
      </c>
      <c r="B7476" t="str">
        <f>"1552376470623885"</f>
        <v>1552376470623885</v>
      </c>
      <c r="C7476" t="s">
        <v>40</v>
      </c>
      <c r="D7476">
        <v>4.3460330000000003</v>
      </c>
      <c r="E7476">
        <v>0.39762910000000001</v>
      </c>
      <c r="F7476" t="s">
        <v>86</v>
      </c>
      <c r="G7476">
        <v>-382.1379</v>
      </c>
      <c r="H7476" s="1">
        <v>-4.05330499999999E-6</v>
      </c>
      <c r="I7476">
        <v>17.719760000000001</v>
      </c>
      <c r="J7476">
        <v>-402.1309</v>
      </c>
      <c r="K7476">
        <v>1.112114</v>
      </c>
      <c r="L7476">
        <v>21.93985</v>
      </c>
      <c r="M7476">
        <v>0.86362090000000002</v>
      </c>
      <c r="N7476">
        <v>0</v>
      </c>
      <c r="O7476">
        <v>-0.50394649999999996</v>
      </c>
      <c r="P7476">
        <v>0.88935319999999995</v>
      </c>
      <c r="Q7476">
        <v>-2.4775330000000002E-2</v>
      </c>
      <c r="R7476">
        <v>-0.4565495</v>
      </c>
      <c r="S7476">
        <v>3.0394899999999998</v>
      </c>
      <c r="T7476">
        <v>-0.16852829999999999</v>
      </c>
      <c r="U7476">
        <v>-0.64483639999999998</v>
      </c>
      <c r="V7476">
        <v>-5.385786E-2</v>
      </c>
      <c r="W7476">
        <v>-1.1006119999999999E-2</v>
      </c>
      <c r="X7476">
        <v>0.99848789999999998</v>
      </c>
      <c r="Y7476">
        <v>-0.31265890000000002</v>
      </c>
      <c r="Z7476">
        <v>3.4819469999999998E-2</v>
      </c>
      <c r="AA7476">
        <v>0.94922700000000004</v>
      </c>
      <c r="AB7476">
        <v>16</v>
      </c>
      <c r="AC7476">
        <v>19.992999999999899</v>
      </c>
      <c r="AD7476">
        <v>-1.1121180533049999</v>
      </c>
      <c r="AE7476">
        <v>-4.2200899999999901</v>
      </c>
      <c r="AF7476">
        <v>-6.4124824728451397</v>
      </c>
      <c r="AG7476">
        <v>-1.1121180533049999</v>
      </c>
      <c r="AH7476">
        <v>19.337699237072901</v>
      </c>
      <c r="AI7476">
        <v>93.124523877984899</v>
      </c>
      <c r="AJ7476">
        <v>108.345791667672</v>
      </c>
      <c r="AK7476">
        <v>20.4035131732876</v>
      </c>
      <c r="AL7476">
        <v>90.630616991468301</v>
      </c>
      <c r="AM7476">
        <v>93.087509208693902</v>
      </c>
      <c r="AN7476">
        <v>0.99999994510381995</v>
      </c>
    </row>
    <row r="7477" spans="1:40" x14ac:dyDescent="0.25">
      <c r="A7477" t="str">
        <f>"20190312154110643"</f>
        <v>20190312154110643</v>
      </c>
      <c r="B7477" t="str">
        <f>"1552376470633645"</f>
        <v>1552376470633645</v>
      </c>
      <c r="C7477" t="s">
        <v>40</v>
      </c>
      <c r="D7477">
        <v>4.3466899999999997</v>
      </c>
      <c r="E7477">
        <v>0.39782139999999999</v>
      </c>
      <c r="F7477" t="s">
        <v>86</v>
      </c>
      <c r="G7477">
        <v>-382.0926</v>
      </c>
      <c r="H7477" s="1">
        <v>-4.0738660000000004E-6</v>
      </c>
      <c r="I7477">
        <v>17.724699999999999</v>
      </c>
      <c r="J7477">
        <v>-402.06279999999998</v>
      </c>
      <c r="K7477">
        <v>1.112114</v>
      </c>
      <c r="L7477">
        <v>21.903020000000001</v>
      </c>
      <c r="M7477">
        <v>0.86470100000000005</v>
      </c>
      <c r="N7477">
        <v>0</v>
      </c>
      <c r="O7477">
        <v>-0.50209090000000001</v>
      </c>
      <c r="P7477">
        <v>0.89023949999999996</v>
      </c>
      <c r="Q7477">
        <v>-2.4563789999999999E-2</v>
      </c>
      <c r="R7477">
        <v>-0.45483020000000002</v>
      </c>
      <c r="S7477">
        <v>3.040222</v>
      </c>
      <c r="T7477">
        <v>-0.16873150000000001</v>
      </c>
      <c r="U7477">
        <v>-0.63952640000000005</v>
      </c>
      <c r="V7477">
        <v>-5.3646579999999999E-2</v>
      </c>
      <c r="W7477">
        <v>-1.079511E-2</v>
      </c>
      <c r="X7477">
        <v>0.99850170000000005</v>
      </c>
      <c r="Y7477">
        <v>-0.31225330000000001</v>
      </c>
      <c r="Z7477">
        <v>3.4764080000000003E-2</v>
      </c>
      <c r="AA7477">
        <v>0.94936259999999995</v>
      </c>
      <c r="AB7477">
        <v>16</v>
      </c>
      <c r="AC7477">
        <v>19.970199999999899</v>
      </c>
      <c r="AD7477">
        <v>-1.1121180738659999</v>
      </c>
      <c r="AE7477">
        <v>-4.1783200000000003</v>
      </c>
      <c r="AF7477">
        <v>-6.3954876036036099</v>
      </c>
      <c r="AG7477">
        <v>-1.1121180738659999</v>
      </c>
      <c r="AH7477">
        <v>19.3106797390003</v>
      </c>
      <c r="AI7477">
        <v>93.129275094946294</v>
      </c>
      <c r="AJ7477">
        <v>108.324310388101</v>
      </c>
      <c r="AK7477">
        <v>20.3725653828944</v>
      </c>
      <c r="AL7477">
        <v>90.618526214335205</v>
      </c>
      <c r="AM7477">
        <v>93.075378035084299</v>
      </c>
      <c r="AN7477">
        <v>1.00000006742424</v>
      </c>
    </row>
    <row r="7478" spans="1:40" x14ac:dyDescent="0.25">
      <c r="A7478" t="str">
        <f>"20190312154110653"</f>
        <v>20190312154110653</v>
      </c>
      <c r="B7478" t="str">
        <f>"1552376470643405"</f>
        <v>1552376470643405</v>
      </c>
      <c r="C7478" t="s">
        <v>40</v>
      </c>
      <c r="D7478">
        <v>4.3537080000000001</v>
      </c>
      <c r="E7478">
        <v>0.39810509999999999</v>
      </c>
      <c r="F7478" t="s">
        <v>86</v>
      </c>
      <c r="G7478">
        <v>-381.89240000000001</v>
      </c>
      <c r="H7478" s="1">
        <v>-4.1745719999999999E-6</v>
      </c>
      <c r="I7478">
        <v>17.6904</v>
      </c>
      <c r="J7478">
        <v>-401.99459999999999</v>
      </c>
      <c r="K7478">
        <v>1.1121129999999999</v>
      </c>
      <c r="L7478">
        <v>21.866299999999999</v>
      </c>
      <c r="M7478">
        <v>0.865778099999999</v>
      </c>
      <c r="N7478">
        <v>0</v>
      </c>
      <c r="O7478">
        <v>-0.50023139999999999</v>
      </c>
      <c r="P7478">
        <v>0.89122780000000001</v>
      </c>
      <c r="Q7478">
        <v>-2.440666E-2</v>
      </c>
      <c r="R7478">
        <v>-0.452899</v>
      </c>
      <c r="S7478">
        <v>3.0407709999999999</v>
      </c>
      <c r="T7478">
        <v>-0.16765669999999999</v>
      </c>
      <c r="U7478">
        <v>-0.63507080000000005</v>
      </c>
      <c r="V7478">
        <v>-5.3668569999999999E-2</v>
      </c>
      <c r="W7478">
        <v>-1.063968E-2</v>
      </c>
      <c r="X7478">
        <v>0.99850209999999995</v>
      </c>
      <c r="Y7478">
        <v>-0.3115964</v>
      </c>
      <c r="Z7478">
        <v>3.4439669999999999E-2</v>
      </c>
      <c r="AA7478">
        <v>0.9495903</v>
      </c>
      <c r="AB7478">
        <v>16</v>
      </c>
      <c r="AC7478">
        <v>20.1021999999999</v>
      </c>
      <c r="AD7478">
        <v>-1.112117174572</v>
      </c>
      <c r="AE7478">
        <v>-4.1758999999999897</v>
      </c>
      <c r="AF7478">
        <v>-6.4221399888452897</v>
      </c>
      <c r="AG7478">
        <v>-1.112117174572</v>
      </c>
      <c r="AH7478">
        <v>19.437848092270698</v>
      </c>
      <c r="AI7478">
        <v>93.109576303709602</v>
      </c>
      <c r="AJ7478">
        <v>108.28322284293699</v>
      </c>
      <c r="AK7478">
        <v>20.5014786077613</v>
      </c>
      <c r="AL7478">
        <v>90.609620273137907</v>
      </c>
      <c r="AM7478">
        <v>93.076634996352098</v>
      </c>
      <c r="AN7478">
        <v>0.99999998095037801</v>
      </c>
    </row>
    <row r="7479" spans="1:40" x14ac:dyDescent="0.25">
      <c r="A7479" t="str">
        <f>"20190312154110664"</f>
        <v>20190312154110664</v>
      </c>
      <c r="B7479" t="str">
        <f>"1552376470654141"</f>
        <v>1552376470654141</v>
      </c>
      <c r="C7479" t="s">
        <v>40</v>
      </c>
      <c r="D7479">
        <v>4.3333199999999996</v>
      </c>
      <c r="E7479">
        <v>0.39831100000000003</v>
      </c>
      <c r="F7479" t="s">
        <v>86</v>
      </c>
      <c r="G7479">
        <v>-381.76190000000003</v>
      </c>
      <c r="H7479" s="1">
        <v>-4.2394660000000001E-6</v>
      </c>
      <c r="I7479">
        <v>17.672319999999999</v>
      </c>
      <c r="J7479">
        <v>-401.92910000000001</v>
      </c>
      <c r="K7479">
        <v>1.1121099999999999</v>
      </c>
      <c r="L7479">
        <v>21.831209999999999</v>
      </c>
      <c r="M7479">
        <v>0.86680829999999998</v>
      </c>
      <c r="N7479">
        <v>0</v>
      </c>
      <c r="O7479">
        <v>-0.498444</v>
      </c>
      <c r="P7479">
        <v>0.89219319999999902</v>
      </c>
      <c r="Q7479">
        <v>-2.4121360000000001E-2</v>
      </c>
      <c r="R7479">
        <v>-0.4510092</v>
      </c>
      <c r="S7479">
        <v>3.0411990000000002</v>
      </c>
      <c r="T7479">
        <v>-0.16716339999999999</v>
      </c>
      <c r="U7479">
        <v>-0.63040160000000001</v>
      </c>
      <c r="V7479">
        <v>-5.3729680000000002E-2</v>
      </c>
      <c r="W7479">
        <v>-1.0356189999999999E-2</v>
      </c>
      <c r="X7479">
        <v>0.99850179999999999</v>
      </c>
      <c r="Y7479">
        <v>-0.3110695</v>
      </c>
      <c r="Z7479">
        <v>3.4243889999999999E-2</v>
      </c>
      <c r="AA7479">
        <v>0.94977</v>
      </c>
      <c r="AB7479">
        <v>16</v>
      </c>
      <c r="AC7479">
        <v>20.167199999999902</v>
      </c>
      <c r="AD7479">
        <v>-1.112114239466</v>
      </c>
      <c r="AE7479">
        <v>-4.1588900000000004</v>
      </c>
      <c r="AF7479">
        <v>-6.4291413434908797</v>
      </c>
      <c r="AG7479">
        <v>-1.112114239466</v>
      </c>
      <c r="AH7479">
        <v>19.499119164052299</v>
      </c>
      <c r="AI7479">
        <v>93.10044156104</v>
      </c>
      <c r="AJ7479">
        <v>108.248134580154</v>
      </c>
      <c r="AK7479">
        <v>20.561768033661799</v>
      </c>
      <c r="AL7479">
        <v>90.593376593607999</v>
      </c>
      <c r="AM7479">
        <v>93.080132404890605</v>
      </c>
      <c r="AN7479">
        <v>0.99999998689372904</v>
      </c>
    </row>
    <row r="7480" spans="1:40" x14ac:dyDescent="0.25">
      <c r="A7480" t="str">
        <f>"20190312154110675"</f>
        <v>20190312154110675</v>
      </c>
      <c r="B7480" t="str">
        <f>"1552376470663901"</f>
        <v>1552376470663901</v>
      </c>
      <c r="C7480" t="s">
        <v>40</v>
      </c>
      <c r="D7480">
        <v>4.3529470000000003</v>
      </c>
      <c r="E7480">
        <v>0.39855499999999999</v>
      </c>
      <c r="F7480" t="s">
        <v>86</v>
      </c>
      <c r="G7480">
        <v>-381.54950000000002</v>
      </c>
      <c r="H7480" s="1">
        <v>-4.3454239999999997E-6</v>
      </c>
      <c r="I7480">
        <v>17.641189999999899</v>
      </c>
      <c r="J7480">
        <v>-401.86059999999998</v>
      </c>
      <c r="K7480">
        <v>1.112104</v>
      </c>
      <c r="L7480">
        <v>21.794650000000001</v>
      </c>
      <c r="M7480">
        <v>0.86788140000000003</v>
      </c>
      <c r="N7480">
        <v>0</v>
      </c>
      <c r="O7480">
        <v>-0.4965735</v>
      </c>
      <c r="P7480">
        <v>0.89313569999999998</v>
      </c>
      <c r="Q7480">
        <v>-2.396204E-2</v>
      </c>
      <c r="R7480">
        <v>-0.44914870000000001</v>
      </c>
      <c r="S7480">
        <v>3.0418400000000001</v>
      </c>
      <c r="T7480">
        <v>-0.16599269999999999</v>
      </c>
      <c r="U7480">
        <v>-0.62539669999999903</v>
      </c>
      <c r="V7480">
        <v>-5.3660260000000001E-2</v>
      </c>
      <c r="W7480">
        <v>-1.019808E-2</v>
      </c>
      <c r="X7480">
        <v>0.99850720000000004</v>
      </c>
      <c r="Y7480">
        <v>-0.31057689999999999</v>
      </c>
      <c r="Z7480">
        <v>3.3905589999999999E-2</v>
      </c>
      <c r="AA7480">
        <v>0.94994339999999999</v>
      </c>
      <c r="AB7480">
        <v>16</v>
      </c>
      <c r="AC7480">
        <v>20.3110999999999</v>
      </c>
      <c r="AD7480">
        <v>-1.1121083454239999</v>
      </c>
      <c r="AE7480">
        <v>-4.1534599999999999</v>
      </c>
      <c r="AF7480">
        <v>-6.46328167657874</v>
      </c>
      <c r="AG7480">
        <v>-1.1121083454239999</v>
      </c>
      <c r="AH7480">
        <v>19.635556254876001</v>
      </c>
      <c r="AI7480">
        <v>93.079427980823297</v>
      </c>
      <c r="AJ7480">
        <v>108.219587639625</v>
      </c>
      <c r="AK7480">
        <v>20.701832393321201</v>
      </c>
      <c r="AL7480">
        <v>90.584317056255301</v>
      </c>
      <c r="AM7480">
        <v>93.076143845869098</v>
      </c>
      <c r="AN7480">
        <v>1.0000000263953901</v>
      </c>
    </row>
    <row r="7481" spans="1:40" x14ac:dyDescent="0.25">
      <c r="A7481" t="str">
        <f>"20190312154110687"</f>
        <v>20190312154110687</v>
      </c>
      <c r="B7481" t="str">
        <f>"1552376470683421"</f>
        <v>1552376470683421</v>
      </c>
      <c r="C7481" t="s">
        <v>40</v>
      </c>
      <c r="D7481">
        <v>4.3273390000000003</v>
      </c>
      <c r="E7481">
        <v>0.3991364</v>
      </c>
      <c r="F7481" t="s">
        <v>86</v>
      </c>
      <c r="G7481">
        <v>-381.4348</v>
      </c>
      <c r="H7481" s="1">
        <v>-4.4021910000000004E-6</v>
      </c>
      <c r="I7481">
        <v>17.626560000000001</v>
      </c>
      <c r="J7481">
        <v>-401.79140000000001</v>
      </c>
      <c r="K7481">
        <v>1.1121000000000001</v>
      </c>
      <c r="L7481">
        <v>21.75797</v>
      </c>
      <c r="M7481">
        <v>0.86896039999999997</v>
      </c>
      <c r="N7481">
        <v>0</v>
      </c>
      <c r="O7481">
        <v>-0.49468319999999999</v>
      </c>
      <c r="P7481">
        <v>0.89412000000000003</v>
      </c>
      <c r="Q7481">
        <v>-2.40048E-2</v>
      </c>
      <c r="R7481">
        <v>-0.44718400000000003</v>
      </c>
      <c r="S7481">
        <v>3.0423279999999999</v>
      </c>
      <c r="T7481">
        <v>-0.16564379999999901</v>
      </c>
      <c r="U7481">
        <v>-0.62081909999999996</v>
      </c>
      <c r="V7481">
        <v>-5.3681649999999997E-2</v>
      </c>
      <c r="W7481">
        <v>-1.0242599999999999E-2</v>
      </c>
      <c r="X7481">
        <v>0.99850559999999999</v>
      </c>
      <c r="Y7481">
        <v>-0.30991750000000001</v>
      </c>
      <c r="Z7481">
        <v>3.3731179999999999E-2</v>
      </c>
      <c r="AA7481">
        <v>0.95016489999999998</v>
      </c>
      <c r="AB7481">
        <v>16</v>
      </c>
      <c r="AC7481">
        <v>20.3566</v>
      </c>
      <c r="AD7481">
        <v>-1.112104402191</v>
      </c>
      <c r="AE7481">
        <v>-4.13140999999999</v>
      </c>
      <c r="AF7481">
        <v>-6.4621489259935796</v>
      </c>
      <c r="AG7481">
        <v>-1.112104402191</v>
      </c>
      <c r="AH7481">
        <v>19.678348155526301</v>
      </c>
      <c r="AI7481">
        <v>93.073437312888998</v>
      </c>
      <c r="AJ7481">
        <v>108.179600381673</v>
      </c>
      <c r="AK7481">
        <v>20.742071523191601</v>
      </c>
      <c r="AL7481">
        <v>90.586867994343805</v>
      </c>
      <c r="AM7481">
        <v>93.0773726205733</v>
      </c>
      <c r="AN7481">
        <v>1.0000000318164199</v>
      </c>
    </row>
    <row r="7482" spans="1:40" x14ac:dyDescent="0.25">
      <c r="A7482" t="str">
        <f>"20190312154110700"</f>
        <v>20190312154110700</v>
      </c>
      <c r="B7482" t="str">
        <f>"1552376470694157"</f>
        <v>1552376470694157</v>
      </c>
      <c r="C7482" t="s">
        <v>40</v>
      </c>
      <c r="D7482">
        <v>4.3366170000000004</v>
      </c>
      <c r="E7482">
        <v>0.39937250000000002</v>
      </c>
      <c r="F7482" t="s">
        <v>86</v>
      </c>
      <c r="G7482">
        <v>-381.37279999999998</v>
      </c>
      <c r="H7482" s="1">
        <v>-4.4348560000000001E-6</v>
      </c>
      <c r="I7482">
        <v>17.607789999999898</v>
      </c>
      <c r="J7482">
        <v>-401.70819999999998</v>
      </c>
      <c r="K7482">
        <v>1.1120950000000001</v>
      </c>
      <c r="L7482">
        <v>21.714079999999999</v>
      </c>
      <c r="M7482">
        <v>0.87024990000000002</v>
      </c>
      <c r="N7482">
        <v>0</v>
      </c>
      <c r="O7482">
        <v>-0.49241089999999998</v>
      </c>
      <c r="P7482">
        <v>0.8952251</v>
      </c>
      <c r="Q7482">
        <v>-2.3997939999999999E-2</v>
      </c>
      <c r="R7482">
        <v>-0.44496760000000002</v>
      </c>
      <c r="S7482">
        <v>3.0416259999999999</v>
      </c>
      <c r="T7482">
        <v>-0.165663</v>
      </c>
      <c r="U7482">
        <v>-0.61822509999999997</v>
      </c>
      <c r="V7482">
        <v>-5.3545959999999997E-2</v>
      </c>
      <c r="W7482">
        <v>-1.023697E-2</v>
      </c>
      <c r="X7482">
        <v>0.99851290000000004</v>
      </c>
      <c r="Y7482">
        <v>-0.30817240000000001</v>
      </c>
      <c r="Z7482">
        <v>3.3594270000000002E-2</v>
      </c>
      <c r="AA7482">
        <v>0.95073719999999995</v>
      </c>
      <c r="AB7482">
        <v>16</v>
      </c>
      <c r="AC7482">
        <v>20.3354</v>
      </c>
      <c r="AD7482">
        <v>-1.112099434856</v>
      </c>
      <c r="AE7482">
        <v>-4.1062900000000004</v>
      </c>
      <c r="AF7482">
        <v>-6.42205298835486</v>
      </c>
      <c r="AG7482">
        <v>-1.112099434856</v>
      </c>
      <c r="AH7482">
        <v>19.664293452862101</v>
      </c>
      <c r="AI7482">
        <v>93.077254670685505</v>
      </c>
      <c r="AJ7482">
        <v>108.086234194611</v>
      </c>
      <c r="AK7482">
        <v>20.716272993434899</v>
      </c>
      <c r="AL7482">
        <v>90.586545427653505</v>
      </c>
      <c r="AM7482">
        <v>93.0695865053017</v>
      </c>
      <c r="AN7482">
        <v>0.99999998842675597</v>
      </c>
    </row>
    <row r="7483" spans="1:40" x14ac:dyDescent="0.25">
      <c r="A7483" t="str">
        <f>"20190312154110712"</f>
        <v>20190312154110712</v>
      </c>
      <c r="B7483" t="str">
        <f>"1552376470703917"</f>
        <v>1552376470703917</v>
      </c>
      <c r="C7483" t="s">
        <v>40</v>
      </c>
      <c r="D7483">
        <v>4.4317339999999996</v>
      </c>
      <c r="E7483">
        <v>0.39951599999999998</v>
      </c>
      <c r="F7483" t="s">
        <v>86</v>
      </c>
      <c r="G7483">
        <v>-381.2953</v>
      </c>
      <c r="H7483" s="1">
        <v>-4.4719460000000003E-6</v>
      </c>
      <c r="I7483">
        <v>17.60529</v>
      </c>
      <c r="J7483">
        <v>-401.63459999999998</v>
      </c>
      <c r="K7483">
        <v>1.112088</v>
      </c>
      <c r="L7483">
        <v>21.675540000000002</v>
      </c>
      <c r="M7483">
        <v>0.87138459999999995</v>
      </c>
      <c r="N7483">
        <v>0</v>
      </c>
      <c r="O7483">
        <v>-0.49040040000000001</v>
      </c>
      <c r="P7483">
        <v>0.89621459999999997</v>
      </c>
      <c r="Q7483">
        <v>-2.422784E-2</v>
      </c>
      <c r="R7483">
        <v>-0.44295879999999999</v>
      </c>
      <c r="S7483">
        <v>3.042297</v>
      </c>
      <c r="T7483">
        <v>-0.165744899999999</v>
      </c>
      <c r="U7483">
        <v>-0.61236569999999901</v>
      </c>
      <c r="V7483">
        <v>-5.3476320000000001E-2</v>
      </c>
      <c r="W7483">
        <v>-1.046823E-2</v>
      </c>
      <c r="X7483">
        <v>0.99851420000000002</v>
      </c>
      <c r="Y7483">
        <v>-0.3077783</v>
      </c>
      <c r="Z7483">
        <v>3.3508709999999997E-2</v>
      </c>
      <c r="AA7483">
        <v>0.95086789999999999</v>
      </c>
      <c r="AB7483">
        <v>16</v>
      </c>
      <c r="AC7483">
        <v>20.339299999999898</v>
      </c>
      <c r="AD7483">
        <v>-1.1120924719459999</v>
      </c>
      <c r="AE7483">
        <v>-4.0702499999999899</v>
      </c>
      <c r="AF7483">
        <v>-6.4098538474183302</v>
      </c>
      <c r="AG7483">
        <v>-1.1120924719459999</v>
      </c>
      <c r="AH7483">
        <v>19.6648152323503</v>
      </c>
      <c r="AI7483">
        <v>93.077723668406506</v>
      </c>
      <c r="AJ7483">
        <v>108.053661484004</v>
      </c>
      <c r="AK7483">
        <v>20.712989502577798</v>
      </c>
      <c r="AL7483">
        <v>90.599796380496002</v>
      </c>
      <c r="AM7483">
        <v>93.065597944751801</v>
      </c>
      <c r="AN7483">
        <v>0.99999995412085596</v>
      </c>
    </row>
    <row r="7484" spans="1:40" x14ac:dyDescent="0.25">
      <c r="A7484" t="str">
        <f>"20190312154110724"</f>
        <v>20190312154110724</v>
      </c>
      <c r="B7484" t="str">
        <f>"1552376470713677"</f>
        <v>1552376470713677</v>
      </c>
      <c r="C7484" t="s">
        <v>40</v>
      </c>
      <c r="D7484">
        <v>4.3909050000000001</v>
      </c>
      <c r="E7484">
        <v>0.39951599999999998</v>
      </c>
      <c r="F7484" t="s">
        <v>86</v>
      </c>
      <c r="G7484">
        <v>-381.33730000000003</v>
      </c>
      <c r="H7484" s="1">
        <v>-4.4477779999999998E-6</v>
      </c>
      <c r="I7484">
        <v>17.629549999999998</v>
      </c>
      <c r="J7484">
        <v>-401.56459999999998</v>
      </c>
      <c r="K7484">
        <v>1.1120810000000001</v>
      </c>
      <c r="L7484">
        <v>21.63907</v>
      </c>
      <c r="M7484">
        <v>0.87245799999999996</v>
      </c>
      <c r="N7484">
        <v>0</v>
      </c>
      <c r="O7484">
        <v>-0.48848799999999998</v>
      </c>
      <c r="P7484">
        <v>0.89717579999999997</v>
      </c>
      <c r="Q7484">
        <v>-2.4233749999999998E-2</v>
      </c>
      <c r="R7484">
        <v>-0.44100830000000002</v>
      </c>
      <c r="S7484">
        <v>3.043091</v>
      </c>
      <c r="T7484">
        <v>-0.16673160000000001</v>
      </c>
      <c r="U7484">
        <v>-0.60659790000000002</v>
      </c>
      <c r="V7484">
        <v>-5.3458220000000001E-2</v>
      </c>
      <c r="W7484">
        <v>-1.0475709999999999E-2</v>
      </c>
      <c r="X7484">
        <v>0.99851509999999999</v>
      </c>
      <c r="Y7484">
        <v>-0.30746250000000003</v>
      </c>
      <c r="Z7484">
        <v>3.3610210000000001E-2</v>
      </c>
      <c r="AA7484">
        <v>0.95096639999999999</v>
      </c>
      <c r="AB7484">
        <v>16</v>
      </c>
      <c r="AC7484">
        <v>20.2272999999999</v>
      </c>
      <c r="AD7484">
        <v>-1.11208544777799</v>
      </c>
      <c r="AE7484">
        <v>-4.0095200000000002</v>
      </c>
      <c r="AF7484">
        <v>-6.3647710831431903</v>
      </c>
      <c r="AG7484">
        <v>-1.11208544777799</v>
      </c>
      <c r="AH7484">
        <v>19.551135163034299</v>
      </c>
      <c r="AI7484">
        <v>93.095938508322007</v>
      </c>
      <c r="AJ7484">
        <v>108.03239159456599</v>
      </c>
      <c r="AK7484">
        <v>20.591112916673801</v>
      </c>
      <c r="AL7484">
        <v>90.600224970903596</v>
      </c>
      <c r="AM7484">
        <v>93.064559560468894</v>
      </c>
      <c r="AN7484">
        <v>0.99999996335678998</v>
      </c>
    </row>
    <row r="7485" spans="1:40" x14ac:dyDescent="0.25">
      <c r="A7485" t="str">
        <f>"20190312154110737"</f>
        <v>20190312154110737</v>
      </c>
      <c r="B7485" t="str">
        <f>"1552376470734172"</f>
        <v>1552376470734172</v>
      </c>
      <c r="C7485" t="s">
        <v>40</v>
      </c>
      <c r="D7485">
        <v>4.3318209999999997</v>
      </c>
      <c r="E7485">
        <v>0.38881860000000001</v>
      </c>
      <c r="F7485" t="s">
        <v>86</v>
      </c>
      <c r="G7485">
        <v>-381.1979</v>
      </c>
      <c r="H7485" s="1">
        <v>-4.5143000000000001E-6</v>
      </c>
      <c r="I7485">
        <v>17.625999999999902</v>
      </c>
      <c r="J7485">
        <v>-401.48500000000001</v>
      </c>
      <c r="K7485">
        <v>1.112074</v>
      </c>
      <c r="L7485">
        <v>21.597750000000001</v>
      </c>
      <c r="M7485">
        <v>0.87367240000000002</v>
      </c>
      <c r="N7485">
        <v>0</v>
      </c>
      <c r="O7485">
        <v>-0.486313</v>
      </c>
      <c r="P7485">
        <v>0.89834269999999905</v>
      </c>
      <c r="Q7485">
        <v>-2.4454920000000002E-2</v>
      </c>
      <c r="R7485">
        <v>-0.43861430000000001</v>
      </c>
      <c r="S7485">
        <v>3.0444640000000001</v>
      </c>
      <c r="T7485">
        <v>-0.1662372</v>
      </c>
      <c r="U7485">
        <v>-0.59988399999999997</v>
      </c>
      <c r="V7485">
        <v>-5.3629019999999999E-2</v>
      </c>
      <c r="W7485">
        <v>-1.0699780000000001E-2</v>
      </c>
      <c r="X7485">
        <v>0.99850360000000005</v>
      </c>
      <c r="Y7485">
        <v>-0.30720219999999998</v>
      </c>
      <c r="Z7485">
        <v>3.3397540000000003E-2</v>
      </c>
      <c r="AA7485">
        <v>0.95105799999999996</v>
      </c>
      <c r="AB7485">
        <v>16</v>
      </c>
      <c r="AC7485">
        <v>20.287099999999999</v>
      </c>
      <c r="AD7485">
        <v>-1.1120785143</v>
      </c>
      <c r="AE7485">
        <v>-3.9717500000000001</v>
      </c>
      <c r="AF7485">
        <v>-6.3780416962608601</v>
      </c>
      <c r="AG7485">
        <v>-1.1120785143</v>
      </c>
      <c r="AH7485">
        <v>19.600996586888801</v>
      </c>
      <c r="AI7485">
        <v>93.088196089546997</v>
      </c>
      <c r="AJ7485">
        <v>108.02456395519501</v>
      </c>
      <c r="AK7485">
        <v>20.642558022213102</v>
      </c>
      <c r="AL7485">
        <v>90.613063935035399</v>
      </c>
      <c r="AM7485">
        <v>93.0743674719198</v>
      </c>
      <c r="AN7485">
        <v>0.99999999814558405</v>
      </c>
    </row>
    <row r="7486" spans="1:40" x14ac:dyDescent="0.25">
      <c r="A7486" t="str">
        <f>"20190312154110746"</f>
        <v>20190312154110746</v>
      </c>
      <c r="B7486" t="str">
        <f>"1552376470743932"</f>
        <v>1552376470743932</v>
      </c>
      <c r="C7486" t="s">
        <v>40</v>
      </c>
      <c r="D7486">
        <v>4.3286379999999998</v>
      </c>
      <c r="E7486">
        <v>0.38801580000000002</v>
      </c>
      <c r="F7486" t="s">
        <v>87</v>
      </c>
      <c r="G7486">
        <v>-378.97480000000002</v>
      </c>
      <c r="H7486" s="1">
        <v>-8.5234789999999998E-7</v>
      </c>
      <c r="I7486">
        <v>17.83323</v>
      </c>
      <c r="J7486">
        <v>-401.42239999999998</v>
      </c>
      <c r="K7486">
        <v>1.1120719999999999</v>
      </c>
      <c r="L7486">
        <v>21.565519999999999</v>
      </c>
      <c r="M7486">
        <v>0.87462199999999901</v>
      </c>
      <c r="N7486">
        <v>0</v>
      </c>
      <c r="O7486">
        <v>-0.48460310000000001</v>
      </c>
      <c r="P7486">
        <v>0.89935619999999905</v>
      </c>
      <c r="Q7486">
        <v>-2.4857850000000001E-2</v>
      </c>
      <c r="R7486">
        <v>-0.43650949999999999</v>
      </c>
      <c r="S7486">
        <v>3.0835880000000002</v>
      </c>
      <c r="T7486">
        <v>-0.1523389</v>
      </c>
      <c r="U7486">
        <v>-0.51568599999999998</v>
      </c>
      <c r="V7486">
        <v>-5.4006819999999997E-2</v>
      </c>
      <c r="W7486">
        <v>-1.110624E-2</v>
      </c>
      <c r="X7486">
        <v>0.9984788</v>
      </c>
      <c r="Y7486">
        <v>-0.33282089999999998</v>
      </c>
      <c r="Z7486">
        <v>3.0896179999999999E-2</v>
      </c>
      <c r="AA7486">
        <v>0.94248379999999998</v>
      </c>
      <c r="AB7486">
        <v>16</v>
      </c>
      <c r="AC7486">
        <v>22.447599999999898</v>
      </c>
      <c r="AD7486">
        <v>-1.1120728523479</v>
      </c>
      <c r="AE7486">
        <v>-3.7322899999999999</v>
      </c>
      <c r="AF7486">
        <v>-7.5964382453740198</v>
      </c>
      <c r="AG7486">
        <v>-1.1120728523479</v>
      </c>
      <c r="AH7486">
        <v>21.392855839453901</v>
      </c>
      <c r="AI7486">
        <v>92.804486940270394</v>
      </c>
      <c r="AJ7486">
        <v>109.54955838254899</v>
      </c>
      <c r="AK7486">
        <v>22.728767256768801</v>
      </c>
      <c r="AL7486">
        <v>90.636353761184594</v>
      </c>
      <c r="AM7486">
        <v>93.096060209398502</v>
      </c>
      <c r="AN7486">
        <v>0.99999999961144403</v>
      </c>
    </row>
    <row r="7487" spans="1:40" x14ac:dyDescent="0.25">
      <c r="A7487" t="str">
        <f>"20190312154110757"</f>
        <v>20190312154110757</v>
      </c>
      <c r="B7487" t="str">
        <f>"1552376470753693"</f>
        <v>1552376470753693</v>
      </c>
      <c r="C7487" t="s">
        <v>40</v>
      </c>
      <c r="D7487">
        <v>4.3694199999999999</v>
      </c>
      <c r="E7487">
        <v>0.38776529999999998</v>
      </c>
      <c r="F7487" t="s">
        <v>87</v>
      </c>
      <c r="G7487">
        <v>-378.31549999999999</v>
      </c>
      <c r="H7487" s="1">
        <v>-1.1138010000000001E-6</v>
      </c>
      <c r="I7487">
        <v>17.802150000000001</v>
      </c>
      <c r="J7487">
        <v>-401.35579999999999</v>
      </c>
      <c r="K7487">
        <v>1.1120669999999999</v>
      </c>
      <c r="L7487">
        <v>21.531310000000001</v>
      </c>
      <c r="M7487">
        <v>0.87562779999999996</v>
      </c>
      <c r="N7487">
        <v>0</v>
      </c>
      <c r="O7487">
        <v>-0.48278369999999998</v>
      </c>
      <c r="P7487">
        <v>0.90040480000000001</v>
      </c>
      <c r="Q7487">
        <v>-2.496719E-2</v>
      </c>
      <c r="R7487">
        <v>-0.43433640000000001</v>
      </c>
      <c r="S7487">
        <v>3.0875849999999998</v>
      </c>
      <c r="T7487">
        <v>-0.14859720000000001</v>
      </c>
      <c r="U7487">
        <v>-0.50286869999999995</v>
      </c>
      <c r="V7487">
        <v>-5.43405E-2</v>
      </c>
      <c r="W7487">
        <v>-1.1218870000000001E-2</v>
      </c>
      <c r="X7487">
        <v>0.99845950000000006</v>
      </c>
      <c r="Y7487">
        <v>-0.3349124</v>
      </c>
      <c r="Z7487">
        <v>3.008972E-2</v>
      </c>
      <c r="AA7487">
        <v>0.94176870000000001</v>
      </c>
      <c r="AB7487">
        <v>16</v>
      </c>
      <c r="AC7487">
        <v>23.040299999999998</v>
      </c>
      <c r="AD7487">
        <v>-1.112068113801</v>
      </c>
      <c r="AE7487">
        <v>-3.7291599999999998</v>
      </c>
      <c r="AF7487">
        <v>-7.8410942393348897</v>
      </c>
      <c r="AG7487">
        <v>-1.112068113801</v>
      </c>
      <c r="AH7487">
        <v>21.9274783229564</v>
      </c>
      <c r="AI7487">
        <v>92.7340445514224</v>
      </c>
      <c r="AJ7487">
        <v>109.67665161777001</v>
      </c>
      <c r="AK7487">
        <v>23.313810498577599</v>
      </c>
      <c r="AL7487">
        <v>90.642807346130596</v>
      </c>
      <c r="AM7487">
        <v>93.115211688856505</v>
      </c>
      <c r="AN7487">
        <v>1.0000000630622801</v>
      </c>
    </row>
    <row r="7488" spans="1:40" x14ac:dyDescent="0.25">
      <c r="A7488" t="str">
        <f>"20190312154110768"</f>
        <v>20190312154110768</v>
      </c>
      <c r="B7488" t="str">
        <f>"1552376470763453"</f>
        <v>1552376470763453</v>
      </c>
      <c r="C7488" t="s">
        <v>40</v>
      </c>
      <c r="D7488">
        <v>4.3852260000000003</v>
      </c>
      <c r="E7488">
        <v>0.38764690000000002</v>
      </c>
      <c r="F7488" t="s">
        <v>87</v>
      </c>
      <c r="G7488">
        <v>-377.7885</v>
      </c>
      <c r="H7488" s="1">
        <v>-1.354236E-6</v>
      </c>
      <c r="I7488">
        <v>17.765090000000001</v>
      </c>
      <c r="J7488">
        <v>-401.29169999999999</v>
      </c>
      <c r="K7488">
        <v>1.112063</v>
      </c>
      <c r="L7488">
        <v>21.49869</v>
      </c>
      <c r="M7488">
        <v>0.87659069999999994</v>
      </c>
      <c r="N7488">
        <v>0</v>
      </c>
      <c r="O7488">
        <v>-0.48103309999999999</v>
      </c>
      <c r="P7488">
        <v>0.90139950000000002</v>
      </c>
      <c r="Q7488">
        <v>-2.4710889999999999E-2</v>
      </c>
      <c r="R7488">
        <v>-0.43228250000000001</v>
      </c>
      <c r="S7488">
        <v>3.0896300000000001</v>
      </c>
      <c r="T7488">
        <v>-0.14579020000000001</v>
      </c>
      <c r="U7488">
        <v>-0.49374390000000001</v>
      </c>
      <c r="V7488">
        <v>-5.4626319999999999E-2</v>
      </c>
      <c r="W7488">
        <v>-1.096537E-2</v>
      </c>
      <c r="X7488">
        <v>0.99844659999999996</v>
      </c>
      <c r="Y7488">
        <v>-0.33587319999999998</v>
      </c>
      <c r="Z7488">
        <v>2.9464339999999999E-2</v>
      </c>
      <c r="AA7488">
        <v>0.94144620000000001</v>
      </c>
      <c r="AB7488">
        <v>16</v>
      </c>
      <c r="AC7488">
        <v>23.5032</v>
      </c>
      <c r="AD7488">
        <v>-1.112064354236</v>
      </c>
      <c r="AE7488">
        <v>-3.7335999999999898</v>
      </c>
      <c r="AF7488">
        <v>-8.0162603854845198</v>
      </c>
      <c r="AG7488">
        <v>-1.112064354236</v>
      </c>
      <c r="AH7488">
        <v>22.352057004172501</v>
      </c>
      <c r="AI7488">
        <v>92.681291192686402</v>
      </c>
      <c r="AJ7488">
        <v>109.72967956872399</v>
      </c>
      <c r="AK7488">
        <v>23.772075425036601</v>
      </c>
      <c r="AL7488">
        <v>90.6282820483585</v>
      </c>
      <c r="AM7488">
        <v>93.131604922128005</v>
      </c>
      <c r="AN7488">
        <v>0.99999994361376798</v>
      </c>
    </row>
    <row r="7489" spans="1:40" x14ac:dyDescent="0.25">
      <c r="A7489" t="str">
        <f>"20190312154110779"</f>
        <v>20190312154110779</v>
      </c>
      <c r="B7489" t="str">
        <f>"1552376470774190"</f>
        <v>1552376470774190</v>
      </c>
      <c r="C7489" t="s">
        <v>40</v>
      </c>
      <c r="D7489">
        <v>4.3631209999999996</v>
      </c>
      <c r="E7489">
        <v>0.38773649999999998</v>
      </c>
      <c r="F7489" t="s">
        <v>87</v>
      </c>
      <c r="G7489">
        <v>-378.27969999999999</v>
      </c>
      <c r="H7489" s="1">
        <v>-1.1059629999999999E-6</v>
      </c>
      <c r="I7489">
        <v>17.88326</v>
      </c>
      <c r="J7489">
        <v>-401.2278</v>
      </c>
      <c r="K7489">
        <v>1.1120639999999999</v>
      </c>
      <c r="L7489">
        <v>21.466190000000001</v>
      </c>
      <c r="M7489">
        <v>0.87754690000000002</v>
      </c>
      <c r="N7489">
        <v>0</v>
      </c>
      <c r="O7489">
        <v>-0.4792863</v>
      </c>
      <c r="P7489">
        <v>0.90239009999999997</v>
      </c>
      <c r="Q7489">
        <v>-2.4217300000000001E-2</v>
      </c>
      <c r="R7489">
        <v>-0.43023919999999999</v>
      </c>
      <c r="S7489">
        <v>3.0911870000000001</v>
      </c>
      <c r="T7489">
        <v>-0.14938270000000001</v>
      </c>
      <c r="U7489">
        <v>-0.4856567</v>
      </c>
      <c r="V7489">
        <v>-5.4908449999999998E-2</v>
      </c>
      <c r="W7489">
        <v>-1.0474499999999999E-2</v>
      </c>
      <c r="X7489">
        <v>0.99843649999999995</v>
      </c>
      <c r="Y7489">
        <v>-0.33643390000000001</v>
      </c>
      <c r="Z7489">
        <v>3.01243E-2</v>
      </c>
      <c r="AA7489">
        <v>0.94122519999999998</v>
      </c>
      <c r="AB7489">
        <v>16</v>
      </c>
      <c r="AC7489">
        <v>22.9481</v>
      </c>
      <c r="AD7489">
        <v>-1.112065105963</v>
      </c>
      <c r="AE7489">
        <v>-3.5829300000000002</v>
      </c>
      <c r="AF7489">
        <v>-7.8373240294411302</v>
      </c>
      <c r="AG7489">
        <v>-1.112065105963</v>
      </c>
      <c r="AH7489">
        <v>21.8074330174822</v>
      </c>
      <c r="AI7489">
        <v>92.747499240057493</v>
      </c>
      <c r="AJ7489">
        <v>109.767815043889</v>
      </c>
      <c r="AK7489">
        <v>23.199665332808799</v>
      </c>
      <c r="AL7489">
        <v>90.600155587933699</v>
      </c>
      <c r="AM7489">
        <v>93.147778141363005</v>
      </c>
      <c r="AN7489">
        <v>1.00000004878195</v>
      </c>
    </row>
    <row r="7490" spans="1:40" x14ac:dyDescent="0.25">
      <c r="A7490" t="str">
        <f>"20190312154110789"</f>
        <v>20190312154110789</v>
      </c>
      <c r="B7490" t="str">
        <f>"1552376470783949"</f>
        <v>1552376470783949</v>
      </c>
      <c r="C7490" t="s">
        <v>40</v>
      </c>
      <c r="D7490">
        <v>4.3151780000000004</v>
      </c>
      <c r="E7490">
        <v>0.38805650000000003</v>
      </c>
      <c r="F7490" t="s">
        <v>87</v>
      </c>
      <c r="G7490">
        <v>-377.31139999999999</v>
      </c>
      <c r="H7490" s="1">
        <v>-1.5810199999999999E-6</v>
      </c>
      <c r="I7490">
        <v>17.757909999999999</v>
      </c>
      <c r="J7490">
        <v>-401.1567</v>
      </c>
      <c r="K7490">
        <v>1.1120639999999999</v>
      </c>
      <c r="L7490">
        <v>21.43036</v>
      </c>
      <c r="M7490">
        <v>0.87860579999999999</v>
      </c>
      <c r="N7490">
        <v>0</v>
      </c>
      <c r="O7490">
        <v>-0.47734280000000001</v>
      </c>
      <c r="P7490">
        <v>0.9034392</v>
      </c>
      <c r="Q7490">
        <v>-2.378688E-2</v>
      </c>
      <c r="R7490">
        <v>-0.42805650000000001</v>
      </c>
      <c r="S7490">
        <v>3.0920719999999999</v>
      </c>
      <c r="T7490">
        <v>-0.14377529999999999</v>
      </c>
      <c r="U7490">
        <v>-0.4794312</v>
      </c>
      <c r="V7490">
        <v>-5.5119599999999998E-2</v>
      </c>
      <c r="W7490">
        <v>-1.004674E-2</v>
      </c>
      <c r="X7490">
        <v>0.99842920000000002</v>
      </c>
      <c r="Y7490">
        <v>-0.33630789999999999</v>
      </c>
      <c r="Z7490">
        <v>2.891204E-2</v>
      </c>
      <c r="AA7490">
        <v>0.94130820000000004</v>
      </c>
      <c r="AB7490">
        <v>16</v>
      </c>
      <c r="AC7490">
        <v>23.845300000000002</v>
      </c>
      <c r="AD7490">
        <v>-1.11206558102</v>
      </c>
      <c r="AE7490">
        <v>-3.67245</v>
      </c>
      <c r="AF7490">
        <v>-8.1392520161868998</v>
      </c>
      <c r="AG7490">
        <v>-1.11206558102</v>
      </c>
      <c r="AH7490">
        <v>22.657720054915199</v>
      </c>
      <c r="AI7490">
        <v>92.644678435031494</v>
      </c>
      <c r="AJ7490">
        <v>109.75962981351999</v>
      </c>
      <c r="AK7490">
        <v>24.100962456433201</v>
      </c>
      <c r="AL7490">
        <v>90.575645491410498</v>
      </c>
      <c r="AM7490">
        <v>93.1598814703909</v>
      </c>
      <c r="AN7490">
        <v>0.99999998735071305</v>
      </c>
    </row>
    <row r="7491" spans="1:40" x14ac:dyDescent="0.25">
      <c r="A7491" t="str">
        <f>"20190312154110800"</f>
        <v>20190312154110800</v>
      </c>
      <c r="B7491" t="str">
        <f>"1552376470793709"</f>
        <v>1552376470793709</v>
      </c>
      <c r="C7491" t="s">
        <v>40</v>
      </c>
      <c r="D7491">
        <v>4.3476559999999997</v>
      </c>
      <c r="E7491">
        <v>0.38823000000000002</v>
      </c>
      <c r="F7491" t="s">
        <v>87</v>
      </c>
      <c r="G7491">
        <v>-376.6816</v>
      </c>
      <c r="H7491" s="1">
        <v>-1.8930370000000001E-6</v>
      </c>
      <c r="I7491">
        <v>17.677229999999899</v>
      </c>
      <c r="J7491">
        <v>-401.09629999999999</v>
      </c>
      <c r="K7491">
        <v>1.1120669999999999</v>
      </c>
      <c r="L7491">
        <v>21.39996</v>
      </c>
      <c r="M7491">
        <v>0.87950209999999995</v>
      </c>
      <c r="N7491">
        <v>0</v>
      </c>
      <c r="O7491">
        <v>-0.47568939999999998</v>
      </c>
      <c r="P7491">
        <v>0.9043407</v>
      </c>
      <c r="Q7491">
        <v>-2.291458E-2</v>
      </c>
      <c r="R7491">
        <v>-0.42619600000000002</v>
      </c>
      <c r="S7491">
        <v>3.0922550000000002</v>
      </c>
      <c r="T7491">
        <v>-0.14050179999999901</v>
      </c>
      <c r="U7491">
        <v>-0.4741821</v>
      </c>
      <c r="V7491">
        <v>-5.5310980000000003E-2</v>
      </c>
      <c r="W7491">
        <v>-9.1767069999999992E-3</v>
      </c>
      <c r="X7491">
        <v>0.99842699999999995</v>
      </c>
      <c r="Y7491">
        <v>-0.33614379999999999</v>
      </c>
      <c r="Z7491">
        <v>2.8189289999999999E-2</v>
      </c>
      <c r="AA7491">
        <v>0.94138869999999997</v>
      </c>
      <c r="AB7491">
        <v>16</v>
      </c>
      <c r="AC7491">
        <v>24.4146999999999</v>
      </c>
      <c r="AD7491">
        <v>-1.112068893037</v>
      </c>
      <c r="AE7491">
        <v>-3.7227299999999999</v>
      </c>
      <c r="AF7491">
        <v>-8.3236042834323403</v>
      </c>
      <c r="AG7491">
        <v>-1.112068893037</v>
      </c>
      <c r="AH7491">
        <v>23.198879590792899</v>
      </c>
      <c r="AI7491">
        <v>92.583433631766496</v>
      </c>
      <c r="AJ7491">
        <v>109.737650131357</v>
      </c>
      <c r="AK7491">
        <v>24.6719901864066</v>
      </c>
      <c r="AL7491">
        <v>90.525793963215094</v>
      </c>
      <c r="AM7491">
        <v>93.170837474801303</v>
      </c>
      <c r="AN7491">
        <v>0.99999999539446205</v>
      </c>
    </row>
    <row r="7492" spans="1:40" x14ac:dyDescent="0.25">
      <c r="A7492" t="str">
        <f>"20190312154110810"</f>
        <v>20190312154110810</v>
      </c>
      <c r="B7492" t="str">
        <f>"1552376470803469"</f>
        <v>1552376470803469</v>
      </c>
      <c r="C7492" t="s">
        <v>40</v>
      </c>
      <c r="D7492">
        <v>4.3259720000000002</v>
      </c>
      <c r="E7492">
        <v>0.38850240000000003</v>
      </c>
      <c r="F7492" t="s">
        <v>87</v>
      </c>
      <c r="G7492">
        <v>-375.84660000000002</v>
      </c>
      <c r="H7492" s="1">
        <v>-2.3067420000000002E-6</v>
      </c>
      <c r="I7492">
        <v>17.57037</v>
      </c>
      <c r="J7492">
        <v>-401.02949999999998</v>
      </c>
      <c r="K7492">
        <v>1.11207099999999</v>
      </c>
      <c r="L7492">
        <v>21.366579999999999</v>
      </c>
      <c r="M7492">
        <v>0.88049049999999995</v>
      </c>
      <c r="N7492">
        <v>0</v>
      </c>
      <c r="O7492">
        <v>-0.47385699999999997</v>
      </c>
      <c r="P7492">
        <v>0.90533280000000005</v>
      </c>
      <c r="Q7492">
        <v>-2.1446759999999999E-2</v>
      </c>
      <c r="R7492">
        <v>-0.42416110000000001</v>
      </c>
      <c r="S7492">
        <v>3.0928339999999999</v>
      </c>
      <c r="T7492">
        <v>-0.136216899999999</v>
      </c>
      <c r="U7492">
        <v>-0.46908569999999999</v>
      </c>
      <c r="V7492">
        <v>-5.5501149999999999E-2</v>
      </c>
      <c r="W7492">
        <v>-7.7113529999999998E-3</v>
      </c>
      <c r="X7492">
        <v>0.99842880000000001</v>
      </c>
      <c r="Y7492">
        <v>-0.33577390000000001</v>
      </c>
      <c r="Z7492">
        <v>2.7252149999999999E-2</v>
      </c>
      <c r="AA7492">
        <v>0.9415483</v>
      </c>
      <c r="AB7492">
        <v>16</v>
      </c>
      <c r="AC7492">
        <v>25.182899999999901</v>
      </c>
      <c r="AD7492">
        <v>-1.1120733067419999</v>
      </c>
      <c r="AE7492">
        <v>-3.7962099999999999</v>
      </c>
      <c r="AF7492">
        <v>-8.5750580952026194</v>
      </c>
      <c r="AG7492">
        <v>-1.1120733067419999</v>
      </c>
      <c r="AH7492">
        <v>23.9288880589848</v>
      </c>
      <c r="AI7492">
        <v>92.505079364550099</v>
      </c>
      <c r="AJ7492">
        <v>109.71544009503199</v>
      </c>
      <c r="AK7492">
        <v>25.4432704681433</v>
      </c>
      <c r="AL7492">
        <v>90.441832379832405</v>
      </c>
      <c r="AM7492">
        <v>93.181711351286907</v>
      </c>
      <c r="AN7492">
        <v>0.99999995564292499</v>
      </c>
    </row>
    <row r="7493" spans="1:40" x14ac:dyDescent="0.25">
      <c r="A7493" t="str">
        <f>"20190312154110822"</f>
        <v>20190312154110822</v>
      </c>
      <c r="B7493" t="str">
        <f>"1552376470814205"</f>
        <v>1552376470814205</v>
      </c>
      <c r="C7493" t="s">
        <v>40</v>
      </c>
      <c r="D7493">
        <v>4.3308720000000003</v>
      </c>
      <c r="E7493">
        <v>0.3888761</v>
      </c>
      <c r="F7493" t="s">
        <v>87</v>
      </c>
      <c r="G7493">
        <v>-374.62389999999999</v>
      </c>
      <c r="H7493" s="1">
        <v>-2.914115E-6</v>
      </c>
      <c r="I7493">
        <v>17.404540000000001</v>
      </c>
      <c r="J7493">
        <v>-400.96</v>
      </c>
      <c r="K7493">
        <v>1.112085</v>
      </c>
      <c r="L7493">
        <v>21.331969999999998</v>
      </c>
      <c r="M7493">
        <v>0.88151740000000001</v>
      </c>
      <c r="N7493">
        <v>0</v>
      </c>
      <c r="O7493">
        <v>-0.47194449999999999</v>
      </c>
      <c r="P7493">
        <v>0.90624510000000003</v>
      </c>
      <c r="Q7493">
        <v>-1.8209199999999998E-2</v>
      </c>
      <c r="R7493">
        <v>-0.42236099999999999</v>
      </c>
      <c r="S7493">
        <v>3.09314</v>
      </c>
      <c r="T7493">
        <v>-0.13026789999999999</v>
      </c>
      <c r="U7493">
        <v>-0.4641113</v>
      </c>
      <c r="V7493">
        <v>-5.5365600000000001E-2</v>
      </c>
      <c r="W7493">
        <v>-4.4745089999999998E-3</v>
      </c>
      <c r="X7493">
        <v>0.99845609999999996</v>
      </c>
      <c r="Y7493">
        <v>-0.33528720000000001</v>
      </c>
      <c r="Z7493">
        <v>2.5984770000000001E-2</v>
      </c>
      <c r="AA7493">
        <v>0.94175759999999997</v>
      </c>
      <c r="AB7493">
        <v>16</v>
      </c>
      <c r="AC7493">
        <v>26.336099999999899</v>
      </c>
      <c r="AD7493">
        <v>-1.112087914115</v>
      </c>
      <c r="AE7493">
        <v>-3.9274300000000002</v>
      </c>
      <c r="AF7493">
        <v>-8.95234052684809</v>
      </c>
      <c r="AG7493">
        <v>-1.112087914115</v>
      </c>
      <c r="AH7493">
        <v>25.028053188168499</v>
      </c>
      <c r="AI7493">
        <v>92.395729389731699</v>
      </c>
      <c r="AJ7493">
        <v>109.681735977003</v>
      </c>
      <c r="AK7493">
        <v>26.604221221963201</v>
      </c>
      <c r="AL7493">
        <v>90.256371342406098</v>
      </c>
      <c r="AM7493">
        <v>93.173869985317594</v>
      </c>
      <c r="AN7493">
        <v>0.99999997726068002</v>
      </c>
    </row>
    <row r="7494" spans="1:40" x14ac:dyDescent="0.25">
      <c r="A7494" t="str">
        <f>"20190312154110832"</f>
        <v>20190312154110832</v>
      </c>
      <c r="B7494" t="str">
        <f>"1552376470823965"</f>
        <v>1552376470823965</v>
      </c>
      <c r="C7494" t="s">
        <v>40</v>
      </c>
      <c r="D7494">
        <v>4.3762569999999998</v>
      </c>
      <c r="E7494">
        <v>0.38921929999999999</v>
      </c>
      <c r="F7494" t="s">
        <v>87</v>
      </c>
      <c r="G7494">
        <v>-371.85489999999999</v>
      </c>
      <c r="H7494" s="1">
        <v>-4.2955720000000001E-6</v>
      </c>
      <c r="I7494">
        <v>16.995729999999998</v>
      </c>
      <c r="J7494">
        <v>-400.8929</v>
      </c>
      <c r="K7494">
        <v>1.112107</v>
      </c>
      <c r="L7494">
        <v>21.298829999999999</v>
      </c>
      <c r="M7494">
        <v>0.88250529999999905</v>
      </c>
      <c r="N7494">
        <v>0</v>
      </c>
      <c r="O7494">
        <v>-0.47009459999999997</v>
      </c>
      <c r="P7494">
        <v>0.90696350000000003</v>
      </c>
      <c r="Q7494">
        <v>-1.430824E-2</v>
      </c>
      <c r="R7494">
        <v>-0.42096640000000002</v>
      </c>
      <c r="S7494">
        <v>3.0932309999999998</v>
      </c>
      <c r="T7494">
        <v>-0.1181905</v>
      </c>
      <c r="U7494">
        <v>-0.46084589999999998</v>
      </c>
      <c r="V7494">
        <v>-5.4857179999999998E-2</v>
      </c>
      <c r="W7494">
        <v>-5.7256180000000002E-4</v>
      </c>
      <c r="X7494">
        <v>0.99849399999999999</v>
      </c>
      <c r="Y7494">
        <v>-0.3344067</v>
      </c>
      <c r="Z7494">
        <v>2.3501089999999999E-2</v>
      </c>
      <c r="AA7494">
        <v>0.94213579999999997</v>
      </c>
      <c r="AB7494">
        <v>16</v>
      </c>
      <c r="AC7494">
        <v>29.038</v>
      </c>
      <c r="AD7494">
        <v>-1.1121112955720001</v>
      </c>
      <c r="AE7494">
        <v>-4.3030999999999997</v>
      </c>
      <c r="AF7494">
        <v>-9.8399387076557705</v>
      </c>
      <c r="AG7494">
        <v>-1.1121112955720001</v>
      </c>
      <c r="AH7494">
        <v>27.612125089089201</v>
      </c>
      <c r="AI7494">
        <v>92.172710686487406</v>
      </c>
      <c r="AJ7494">
        <v>109.614184446359</v>
      </c>
      <c r="AK7494">
        <v>29.334120699957399</v>
      </c>
      <c r="AL7494">
        <v>90.032805377983607</v>
      </c>
      <c r="AM7494">
        <v>93.144664111984397</v>
      </c>
      <c r="AN7494">
        <v>0.999999953030282</v>
      </c>
    </row>
    <row r="7495" spans="1:40" x14ac:dyDescent="0.25">
      <c r="A7495" t="str">
        <f>"20190312154110844"</f>
        <v>20190312154110844</v>
      </c>
      <c r="B7495" t="str">
        <f>"1552376470833725"</f>
        <v>1552376470833725</v>
      </c>
      <c r="C7495" t="s">
        <v>40</v>
      </c>
      <c r="D7495">
        <v>4.3165040000000001</v>
      </c>
      <c r="E7495">
        <v>0.38941819999999999</v>
      </c>
      <c r="F7495" t="s">
        <v>88</v>
      </c>
      <c r="G7495">
        <v>-368.8338</v>
      </c>
      <c r="H7495" s="1">
        <v>-1.265439E-6</v>
      </c>
      <c r="I7495">
        <v>16.545159999999999</v>
      </c>
      <c r="J7495">
        <v>-400.8261</v>
      </c>
      <c r="K7495">
        <v>1.1121369999999999</v>
      </c>
      <c r="L7495">
        <v>21.265989999999999</v>
      </c>
      <c r="M7495">
        <v>0.88349159999999904</v>
      </c>
      <c r="N7495">
        <v>0</v>
      </c>
      <c r="O7495">
        <v>-0.46823819999999999</v>
      </c>
      <c r="P7495">
        <v>0.90755200000000003</v>
      </c>
      <c r="Q7495">
        <v>-9.5366989999999992E-3</v>
      </c>
      <c r="R7495">
        <v>-0.41983150000000002</v>
      </c>
      <c r="S7495">
        <v>3.0931700000000002</v>
      </c>
      <c r="T7495">
        <v>-0.1072997</v>
      </c>
      <c r="U7495">
        <v>-0.45864870000000002</v>
      </c>
      <c r="V7495">
        <v>-5.4057290000000001E-2</v>
      </c>
      <c r="W7495">
        <v>4.2007479999999998E-3</v>
      </c>
      <c r="X7495">
        <v>0.998529</v>
      </c>
      <c r="Y7495">
        <v>-0.33317459999999999</v>
      </c>
      <c r="Z7495">
        <v>2.1261349999999998E-2</v>
      </c>
      <c r="AA7495">
        <v>0.94262539999999995</v>
      </c>
      <c r="AB7495">
        <v>16</v>
      </c>
      <c r="AC7495">
        <v>31.9923</v>
      </c>
      <c r="AD7495">
        <v>-1.112138265439</v>
      </c>
      <c r="AE7495">
        <v>-4.7208299999999896</v>
      </c>
      <c r="AF7495">
        <v>-10.797490402468201</v>
      </c>
      <c r="AG7495">
        <v>-1.112138265439</v>
      </c>
      <c r="AH7495">
        <v>30.442377940586301</v>
      </c>
      <c r="AI7495">
        <v>91.971969765011295</v>
      </c>
      <c r="AJ7495">
        <v>109.52889200705999</v>
      </c>
      <c r="AK7495">
        <v>32.319669323653997</v>
      </c>
      <c r="AL7495">
        <v>89.7593141610174</v>
      </c>
      <c r="AM7495">
        <v>93.098792384110197</v>
      </c>
      <c r="AN7495">
        <v>1.0000000003634499</v>
      </c>
    </row>
    <row r="7496" spans="1:40" x14ac:dyDescent="0.25">
      <c r="A7496" t="str">
        <f>"20190312154110855"</f>
        <v>20190312154110855</v>
      </c>
      <c r="B7496" t="str">
        <f>"1552376470843485"</f>
        <v>1552376470843485</v>
      </c>
      <c r="C7496" t="s">
        <v>40</v>
      </c>
      <c r="D7496">
        <v>4.3003519999999904</v>
      </c>
      <c r="E7496">
        <v>0.38975080000000001</v>
      </c>
      <c r="F7496" t="s">
        <v>88</v>
      </c>
      <c r="G7496">
        <v>-364.12599999999998</v>
      </c>
      <c r="H7496" s="1">
        <v>-3.4448859999999999E-6</v>
      </c>
      <c r="I7496">
        <v>15.851850000000001</v>
      </c>
      <c r="J7496">
        <v>-400.75740000000002</v>
      </c>
      <c r="K7496">
        <v>1.112168</v>
      </c>
      <c r="L7496">
        <v>21.232330000000001</v>
      </c>
      <c r="M7496">
        <v>0.88450549999999994</v>
      </c>
      <c r="N7496">
        <v>0</v>
      </c>
      <c r="O7496">
        <v>-0.46631990000000001</v>
      </c>
      <c r="P7496">
        <v>0.90772339999999996</v>
      </c>
      <c r="Q7496">
        <v>-4.5673149999999997E-3</v>
      </c>
      <c r="R7496">
        <v>-0.41954419999999998</v>
      </c>
      <c r="S7496">
        <v>3.0934750000000002</v>
      </c>
      <c r="T7496">
        <v>-9.3742850000000003E-2</v>
      </c>
      <c r="U7496">
        <v>-0.45635989999999999</v>
      </c>
      <c r="V7496">
        <v>-5.2246620000000001E-2</v>
      </c>
      <c r="W7496">
        <v>9.1773810000000001E-3</v>
      </c>
      <c r="X7496">
        <v>0.99859200000000004</v>
      </c>
      <c r="Y7496">
        <v>-0.33193159999999999</v>
      </c>
      <c r="Z7496">
        <v>1.8506379999999999E-2</v>
      </c>
      <c r="AA7496">
        <v>0.94312189999999996</v>
      </c>
      <c r="AB7496">
        <v>16</v>
      </c>
      <c r="AC7496">
        <v>36.631399999999999</v>
      </c>
      <c r="AD7496">
        <v>-1.1121714448860001</v>
      </c>
      <c r="AE7496">
        <v>-5.3804799999999897</v>
      </c>
      <c r="AF7496">
        <v>-12.312982640875701</v>
      </c>
      <c r="AG7496">
        <v>-1.1121714448860001</v>
      </c>
      <c r="AH7496">
        <v>34.881642495150999</v>
      </c>
      <c r="AI7496">
        <v>91.722133380857699</v>
      </c>
      <c r="AJ7496">
        <v>109.44268539204199</v>
      </c>
      <c r="AK7496">
        <v>37.007775534296201</v>
      </c>
      <c r="AL7496">
        <v>89.474167398162194</v>
      </c>
      <c r="AM7496">
        <v>92.995000767240896</v>
      </c>
      <c r="AN7496">
        <v>0.99999995804371999</v>
      </c>
    </row>
    <row r="7497" spans="1:40" x14ac:dyDescent="0.25">
      <c r="A7497" t="str">
        <f>"20190312154110865"</f>
        <v>20190312154110865</v>
      </c>
      <c r="B7497" t="str">
        <f>"1552376470854221"</f>
        <v>1552376470854221</v>
      </c>
      <c r="C7497" t="s">
        <v>40</v>
      </c>
      <c r="D7497">
        <v>4.3270220000000004</v>
      </c>
      <c r="E7497">
        <v>0.38998270000000002</v>
      </c>
      <c r="F7497" t="s">
        <v>42</v>
      </c>
      <c r="G7497">
        <v>-357.96030000000002</v>
      </c>
      <c r="H7497" s="1">
        <v>-1.9362519999999999E-6</v>
      </c>
      <c r="I7497">
        <v>14.89547</v>
      </c>
      <c r="J7497">
        <v>-400.69349999999997</v>
      </c>
      <c r="K7497">
        <v>1.112201</v>
      </c>
      <c r="L7497">
        <v>21.20129</v>
      </c>
      <c r="M7497">
        <v>0.88545509999999905</v>
      </c>
      <c r="N7497">
        <v>0</v>
      </c>
      <c r="O7497">
        <v>-0.4645146</v>
      </c>
      <c r="P7497">
        <v>0.90759559999999995</v>
      </c>
      <c r="Q7497">
        <v>-3.9225350000000002E-4</v>
      </c>
      <c r="R7497">
        <v>-0.41984559999999999</v>
      </c>
      <c r="S7497">
        <v>3.0928650000000002</v>
      </c>
      <c r="T7497">
        <v>-8.0374360000000006E-2</v>
      </c>
      <c r="U7497">
        <v>-0.45794679999999999</v>
      </c>
      <c r="V7497">
        <v>-4.9901870000000001E-2</v>
      </c>
      <c r="W7497">
        <v>1.336184E-2</v>
      </c>
      <c r="X7497">
        <v>0.99866469999999896</v>
      </c>
      <c r="Y7497">
        <v>-0.32959699999999997</v>
      </c>
      <c r="Z7497">
        <v>1.5798909999999999E-2</v>
      </c>
      <c r="AA7497">
        <v>0.94398950000000004</v>
      </c>
      <c r="AB7497">
        <v>16</v>
      </c>
      <c r="AC7497">
        <v>42.733199999999897</v>
      </c>
      <c r="AD7497">
        <v>-1.1122029362520001</v>
      </c>
      <c r="AE7497">
        <v>-6.30581999999999</v>
      </c>
      <c r="AF7497">
        <v>-14.2586164788961</v>
      </c>
      <c r="AG7497">
        <v>-1.1122029362520001</v>
      </c>
      <c r="AH7497">
        <v>40.744448352017102</v>
      </c>
      <c r="AI7497">
        <v>91.4758948919185</v>
      </c>
      <c r="AJ7497">
        <v>109.28761527228799</v>
      </c>
      <c r="AK7497">
        <v>43.181653636398103</v>
      </c>
      <c r="AL7497">
        <v>89.234400147547603</v>
      </c>
      <c r="AM7497">
        <v>92.860610225817595</v>
      </c>
      <c r="AN7497">
        <v>0.999999959211885</v>
      </c>
    </row>
    <row r="7498" spans="1:40" x14ac:dyDescent="0.25">
      <c r="A7498" t="str">
        <f>"20190312154110876"</f>
        <v>20190312154110876</v>
      </c>
      <c r="B7498" t="str">
        <f>"1552376470873741"</f>
        <v>1552376470873741</v>
      </c>
      <c r="C7498" t="s">
        <v>40</v>
      </c>
      <c r="D7498">
        <v>4.3303629999999904</v>
      </c>
      <c r="E7498">
        <v>0.39074940000000002</v>
      </c>
      <c r="F7498" t="s">
        <v>42</v>
      </c>
      <c r="G7498">
        <v>-350.7593</v>
      </c>
      <c r="H7498" s="1">
        <v>-4.9852750000000003E-6</v>
      </c>
      <c r="I7498">
        <v>13.76038</v>
      </c>
      <c r="J7498">
        <v>-400.62299999999999</v>
      </c>
      <c r="K7498">
        <v>1.112233</v>
      </c>
      <c r="L7498">
        <v>21.167179999999998</v>
      </c>
      <c r="M7498">
        <v>0.88650130000000005</v>
      </c>
      <c r="N7498">
        <v>0</v>
      </c>
      <c r="O7498">
        <v>-0.4625146</v>
      </c>
      <c r="P7498">
        <v>0.90753879999999998</v>
      </c>
      <c r="Q7498">
        <v>1.397201E-3</v>
      </c>
      <c r="R7498">
        <v>-0.4199659</v>
      </c>
      <c r="S7498">
        <v>3.0922550000000002</v>
      </c>
      <c r="T7498">
        <v>-6.8875069999999997E-2</v>
      </c>
      <c r="U7498">
        <v>-0.4607849</v>
      </c>
      <c r="V7498">
        <v>-4.7522839999999997E-2</v>
      </c>
      <c r="W7498">
        <v>1.516028E-2</v>
      </c>
      <c r="X7498">
        <v>0.99875510000000001</v>
      </c>
      <c r="Y7498">
        <v>-0.32665680000000002</v>
      </c>
      <c r="Z7498">
        <v>1.3468569999999999E-2</v>
      </c>
      <c r="AA7498">
        <v>0.94504710000000003</v>
      </c>
      <c r="AB7498">
        <v>15</v>
      </c>
      <c r="AC7498">
        <v>49.863700000000001</v>
      </c>
      <c r="AD7498">
        <v>-1.112237985275</v>
      </c>
      <c r="AE7498">
        <v>-7.4067999999999898</v>
      </c>
      <c r="AF7498">
        <v>-16.4901384170253</v>
      </c>
      <c r="AG7498">
        <v>-1.112237985275</v>
      </c>
      <c r="AH7498">
        <v>47.6114719126141</v>
      </c>
      <c r="AI7498">
        <v>91.264554524010606</v>
      </c>
      <c r="AJ7498">
        <v>109.103425665122</v>
      </c>
      <c r="AK7498">
        <v>50.398551527143901</v>
      </c>
      <c r="AL7498">
        <v>89.131346665056995</v>
      </c>
      <c r="AM7498">
        <v>92.724197403585904</v>
      </c>
      <c r="AN7498">
        <v>1.0000000020936699</v>
      </c>
    </row>
    <row r="7499" spans="1:40" x14ac:dyDescent="0.25">
      <c r="A7499" t="str">
        <f>"20190312154110889"</f>
        <v>20190312154110889</v>
      </c>
      <c r="B7499" t="str">
        <f>"1552376470883503"</f>
        <v>1552376470883503</v>
      </c>
      <c r="C7499" t="s">
        <v>40</v>
      </c>
      <c r="D7499">
        <v>4.3689489999999997</v>
      </c>
      <c r="E7499">
        <v>0.39117020000000002</v>
      </c>
      <c r="F7499" t="s">
        <v>42</v>
      </c>
      <c r="G7499">
        <v>-349.52499999999998</v>
      </c>
      <c r="H7499" s="1">
        <v>-1.7887079999999999E-6</v>
      </c>
      <c r="I7499">
        <v>13.448829999999999</v>
      </c>
      <c r="J7499">
        <v>-400.5489</v>
      </c>
      <c r="K7499">
        <v>1.112271</v>
      </c>
      <c r="L7499">
        <v>21.131679999999999</v>
      </c>
      <c r="M7499">
        <v>0.88761590000000001</v>
      </c>
      <c r="N7499">
        <v>0</v>
      </c>
      <c r="O7499">
        <v>-0.46037230000000001</v>
      </c>
      <c r="P7499">
        <v>0.90765980000000002</v>
      </c>
      <c r="Q7499">
        <v>2.6691800000000002E-3</v>
      </c>
      <c r="R7499">
        <v>-0.41969859999999998</v>
      </c>
      <c r="S7499">
        <v>3.0897830000000002</v>
      </c>
      <c r="T7499">
        <v>-6.7254300000000003E-2</v>
      </c>
      <c r="U7499">
        <v>-0.46670529999999999</v>
      </c>
      <c r="V7499">
        <v>-4.5410150000000003E-2</v>
      </c>
      <c r="W7499">
        <v>1.6440429999999999E-2</v>
      </c>
      <c r="X7499">
        <v>0.99883310000000003</v>
      </c>
      <c r="Y7499">
        <v>-0.32249949999999999</v>
      </c>
      <c r="Z7499">
        <v>1.3073069999999999E-2</v>
      </c>
      <c r="AA7499">
        <v>0.94647939999999997</v>
      </c>
      <c r="AB7499">
        <v>15</v>
      </c>
      <c r="AC7499">
        <v>51.023899999999998</v>
      </c>
      <c r="AD7499">
        <v>-1.1122727887079999</v>
      </c>
      <c r="AE7499">
        <v>-7.6828500000000002</v>
      </c>
      <c r="AF7499">
        <v>-16.664455627702399</v>
      </c>
      <c r="AG7499">
        <v>-1.1122727887079999</v>
      </c>
      <c r="AH7499">
        <v>48.808686685479501</v>
      </c>
      <c r="AI7499">
        <v>91.235453675061507</v>
      </c>
      <c r="AJ7499">
        <v>108.851134775283</v>
      </c>
      <c r="AK7499">
        <v>51.587102342402098</v>
      </c>
      <c r="AL7499">
        <v>89.057990276310903</v>
      </c>
      <c r="AM7499">
        <v>92.6030571065304</v>
      </c>
      <c r="AN7499">
        <v>0.99999996555860804</v>
      </c>
    </row>
    <row r="7500" spans="1:40" x14ac:dyDescent="0.25">
      <c r="A7500" t="str">
        <f>"20190312154110902"</f>
        <v>20190312154110902</v>
      </c>
      <c r="B7500" t="str">
        <f>"1552376470894237"</f>
        <v>1552376470894237</v>
      </c>
      <c r="C7500" t="s">
        <v>40</v>
      </c>
      <c r="D7500">
        <v>4.3350689999999998</v>
      </c>
      <c r="E7500">
        <v>0.39130359999999997</v>
      </c>
      <c r="F7500" t="s">
        <v>42</v>
      </c>
      <c r="G7500">
        <v>-345.69080000000002</v>
      </c>
      <c r="H7500" s="1">
        <v>-3.264819E-6</v>
      </c>
      <c r="I7500">
        <v>12.804880000000001</v>
      </c>
      <c r="J7500">
        <v>-400.47030000000001</v>
      </c>
      <c r="K7500">
        <v>1.112312</v>
      </c>
      <c r="L7500">
        <v>21.094270000000002</v>
      </c>
      <c r="M7500">
        <v>0.88880230000000005</v>
      </c>
      <c r="N7500">
        <v>0</v>
      </c>
      <c r="O7500">
        <v>-0.45807730000000002</v>
      </c>
      <c r="P7500">
        <v>0.90809580000000001</v>
      </c>
      <c r="Q7500">
        <v>2.7200079999999999E-3</v>
      </c>
      <c r="R7500">
        <v>-0.41875420000000002</v>
      </c>
      <c r="S7500">
        <v>3.0886230000000001</v>
      </c>
      <c r="T7500">
        <v>-6.2623380000000006E-2</v>
      </c>
      <c r="U7500">
        <v>-0.46881099999999998</v>
      </c>
      <c r="V7500">
        <v>-4.3869770000000002E-2</v>
      </c>
      <c r="W7500">
        <v>1.6497169999999999E-2</v>
      </c>
      <c r="X7500">
        <v>0.99890109999999999</v>
      </c>
      <c r="Y7500">
        <v>-0.31939269999999997</v>
      </c>
      <c r="Z7500">
        <v>1.210425E-2</v>
      </c>
      <c r="AA7500">
        <v>0.94754519999999998</v>
      </c>
      <c r="AB7500">
        <v>15</v>
      </c>
      <c r="AC7500">
        <v>54.779499999999899</v>
      </c>
      <c r="AD7500">
        <v>-1.112315264819</v>
      </c>
      <c r="AE7500">
        <v>-8.2893899999999991</v>
      </c>
      <c r="AF7500">
        <v>-17.720208305163499</v>
      </c>
      <c r="AG7500">
        <v>-1.112315264819</v>
      </c>
      <c r="AH7500">
        <v>52.469313215015802</v>
      </c>
      <c r="AI7500">
        <v>91.150622343269006</v>
      </c>
      <c r="AJ7500">
        <v>108.66112055770201</v>
      </c>
      <c r="AK7500">
        <v>55.391983687914298</v>
      </c>
      <c r="AL7500">
        <v>89.054738962428203</v>
      </c>
      <c r="AM7500">
        <v>92.514701901418107</v>
      </c>
      <c r="AN7500">
        <v>1.00000006045953</v>
      </c>
    </row>
    <row r="7501" spans="1:40" x14ac:dyDescent="0.25">
      <c r="A7501" t="str">
        <f>"20190312154110913"</f>
        <v>20190312154110913</v>
      </c>
      <c r="B7501" t="str">
        <f>"1552376470903997"</f>
        <v>1552376470903997</v>
      </c>
      <c r="C7501" t="s">
        <v>40</v>
      </c>
      <c r="D7501">
        <v>4.3200900000000004</v>
      </c>
      <c r="E7501">
        <v>0.39144610000000002</v>
      </c>
      <c r="F7501" t="s">
        <v>42</v>
      </c>
      <c r="G7501">
        <v>-346.3449</v>
      </c>
      <c r="H7501" s="1">
        <v>-3.0115840000000001E-6</v>
      </c>
      <c r="I7501">
        <v>12.92004</v>
      </c>
      <c r="J7501">
        <v>-400.39519999999999</v>
      </c>
      <c r="K7501">
        <v>1.1123540000000001</v>
      </c>
      <c r="L7501">
        <v>21.058810000000001</v>
      </c>
      <c r="M7501">
        <v>0.8899475</v>
      </c>
      <c r="N7501">
        <v>0</v>
      </c>
      <c r="O7501">
        <v>-0.45584819999999998</v>
      </c>
      <c r="P7501">
        <v>0.90881619999999996</v>
      </c>
      <c r="Q7501">
        <v>2.278717E-3</v>
      </c>
      <c r="R7501">
        <v>-0.41719060000000002</v>
      </c>
      <c r="S7501">
        <v>3.0886840000000002</v>
      </c>
      <c r="T7501">
        <v>-6.3474660000000002E-2</v>
      </c>
      <c r="U7501">
        <v>-0.46646120000000002</v>
      </c>
      <c r="V7501">
        <v>-4.3085569999999997E-2</v>
      </c>
      <c r="W7501">
        <v>1.6057579999999998E-2</v>
      </c>
      <c r="X7501">
        <v>0.99894229999999995</v>
      </c>
      <c r="Y7501">
        <v>-0.31772139999999999</v>
      </c>
      <c r="Z7501">
        <v>1.221206E-2</v>
      </c>
      <c r="AA7501">
        <v>0.94810550000000005</v>
      </c>
      <c r="AB7501">
        <v>15</v>
      </c>
      <c r="AC7501">
        <v>54.050299999999901</v>
      </c>
      <c r="AD7501">
        <v>-1.112357011584</v>
      </c>
      <c r="AE7501">
        <v>-8.1387699999999992</v>
      </c>
      <c r="AF7501">
        <v>-17.3901557163883</v>
      </c>
      <c r="AG7501">
        <v>-1.112357011584</v>
      </c>
      <c r="AH7501">
        <v>51.795596835961497</v>
      </c>
      <c r="AI7501">
        <v>91.166326169498006</v>
      </c>
      <c r="AJ7501">
        <v>108.559262011558</v>
      </c>
      <c r="AK7501">
        <v>54.648318414704399</v>
      </c>
      <c r="AL7501">
        <v>89.079928862724401</v>
      </c>
      <c r="AM7501">
        <v>92.469704439972801</v>
      </c>
      <c r="AN7501">
        <v>0.99999996547348502</v>
      </c>
    </row>
    <row r="7502" spans="1:40" x14ac:dyDescent="0.25">
      <c r="A7502" t="str">
        <f>"20190312154110926"</f>
        <v>20190312154110926</v>
      </c>
      <c r="B7502" t="str">
        <f>"1552376470913757"</f>
        <v>1552376470913757</v>
      </c>
      <c r="C7502" t="s">
        <v>40</v>
      </c>
      <c r="D7502">
        <v>4.3548140000000002</v>
      </c>
      <c r="E7502">
        <v>0.39164670000000001</v>
      </c>
      <c r="F7502" t="s">
        <v>42</v>
      </c>
      <c r="G7502">
        <v>-348.15620000000001</v>
      </c>
      <c r="H7502" s="1">
        <v>-2.3086440000000002E-6</v>
      </c>
      <c r="I7502">
        <v>13.245369999999999</v>
      </c>
      <c r="J7502">
        <v>-400.32350000000002</v>
      </c>
      <c r="K7502">
        <v>1.1123940000000001</v>
      </c>
      <c r="L7502">
        <v>21.02524</v>
      </c>
      <c r="M7502">
        <v>0.89105489999999998</v>
      </c>
      <c r="N7502">
        <v>0</v>
      </c>
      <c r="O7502">
        <v>-0.45367990000000002</v>
      </c>
      <c r="P7502">
        <v>0.90979840000000001</v>
      </c>
      <c r="Q7502">
        <v>1.842055E-3</v>
      </c>
      <c r="R7502">
        <v>-0.41504629999999998</v>
      </c>
      <c r="S7502">
        <v>3.0891109999999999</v>
      </c>
      <c r="T7502">
        <v>-6.5778260000000005E-2</v>
      </c>
      <c r="U7502">
        <v>-0.46203610000000001</v>
      </c>
      <c r="V7502">
        <v>-4.3008709999999999E-2</v>
      </c>
      <c r="W7502">
        <v>1.5619900000000001E-2</v>
      </c>
      <c r="X7502">
        <v>0.99895259999999997</v>
      </c>
      <c r="Y7502">
        <v>-0.31674940000000001</v>
      </c>
      <c r="Z7502">
        <v>1.260437E-2</v>
      </c>
      <c r="AA7502">
        <v>0.94842550000000003</v>
      </c>
      <c r="AB7502">
        <v>15</v>
      </c>
      <c r="AC7502">
        <v>52.167299999999997</v>
      </c>
      <c r="AD7502">
        <v>-1.1123963086440001</v>
      </c>
      <c r="AE7502">
        <v>-7.7798699999999901</v>
      </c>
      <c r="AF7502">
        <v>-16.7291608257026</v>
      </c>
      <c r="AG7502">
        <v>-1.1123963086440001</v>
      </c>
      <c r="AH7502">
        <v>49.996155289566097</v>
      </c>
      <c r="AI7502">
        <v>91.208748447454298</v>
      </c>
      <c r="AJ7502">
        <v>108.500702131418</v>
      </c>
      <c r="AK7502">
        <v>52.732511709742397</v>
      </c>
      <c r="AL7502">
        <v>89.105009269858797</v>
      </c>
      <c r="AM7502">
        <v>92.465278806862102</v>
      </c>
      <c r="AN7502">
        <v>1.0000000137293099</v>
      </c>
    </row>
    <row r="7503" spans="1:40" x14ac:dyDescent="0.25">
      <c r="A7503" t="str">
        <f>"20190312154110940"</f>
        <v>20190312154110940</v>
      </c>
      <c r="B7503" t="str">
        <f>"1552376470934253"</f>
        <v>1552376470934253</v>
      </c>
      <c r="C7503" t="s">
        <v>40</v>
      </c>
      <c r="D7503">
        <v>4.2919660000000004</v>
      </c>
      <c r="E7503">
        <v>0.39189780000000002</v>
      </c>
      <c r="F7503" t="s">
        <v>42</v>
      </c>
      <c r="G7503">
        <v>-350.3723</v>
      </c>
      <c r="H7503" s="1">
        <v>-5.1703439999999998E-6</v>
      </c>
      <c r="I7503">
        <v>13.65279</v>
      </c>
      <c r="J7503">
        <v>-400.24059999999997</v>
      </c>
      <c r="K7503">
        <v>1.1124459999999901</v>
      </c>
      <c r="L7503">
        <v>20.986689999999999</v>
      </c>
      <c r="M7503">
        <v>0.89234269999999904</v>
      </c>
      <c r="N7503">
        <v>0</v>
      </c>
      <c r="O7503">
        <v>-0.45114149999999997</v>
      </c>
      <c r="P7503">
        <v>0.91094600000000003</v>
      </c>
      <c r="Q7503">
        <v>1.9282749999999999E-3</v>
      </c>
      <c r="R7503">
        <v>-0.41252159999999899</v>
      </c>
      <c r="S7503">
        <v>3.089569</v>
      </c>
      <c r="T7503">
        <v>-6.8803909999999996E-2</v>
      </c>
      <c r="U7503">
        <v>-0.4559937</v>
      </c>
      <c r="V7503">
        <v>-4.2937679999999999E-2</v>
      </c>
      <c r="W7503">
        <v>1.5704760000000002E-2</v>
      </c>
      <c r="X7503">
        <v>0.99895429999999996</v>
      </c>
      <c r="Y7503">
        <v>-0.31587019999999999</v>
      </c>
      <c r="Z7503">
        <v>1.312518E-2</v>
      </c>
      <c r="AA7503">
        <v>0.94871159999999999</v>
      </c>
      <c r="AB7503">
        <v>15</v>
      </c>
      <c r="AC7503">
        <v>49.868299999999898</v>
      </c>
      <c r="AD7503">
        <v>-1.1124511703440001</v>
      </c>
      <c r="AE7503">
        <v>-7.3338999999999999</v>
      </c>
      <c r="AF7503">
        <v>-15.947102150665501</v>
      </c>
      <c r="AG7503">
        <v>-1.1124511703440001</v>
      </c>
      <c r="AH7503">
        <v>47.789644057529202</v>
      </c>
      <c r="AI7503">
        <v>91.264950439655607</v>
      </c>
      <c r="AJ7503">
        <v>108.45352847858101</v>
      </c>
      <c r="AK7503">
        <v>50.392436870581101</v>
      </c>
      <c r="AL7503">
        <v>89.100146531052999</v>
      </c>
      <c r="AM7503">
        <v>92.461208162532401</v>
      </c>
      <c r="AN7503">
        <v>0.99999998866946405</v>
      </c>
    </row>
    <row r="7504" spans="1:40" x14ac:dyDescent="0.25">
      <c r="A7504" t="str">
        <f>"20190312154110954"</f>
        <v>20190312154110954</v>
      </c>
      <c r="B7504" t="str">
        <f>"1552376470944013"</f>
        <v>1552376470944013</v>
      </c>
      <c r="C7504" t="s">
        <v>40</v>
      </c>
      <c r="D7504">
        <v>4.3152309999999998</v>
      </c>
      <c r="E7504">
        <v>0.39206950000000002</v>
      </c>
      <c r="F7504" t="s">
        <v>42</v>
      </c>
      <c r="G7504">
        <v>-353.9803</v>
      </c>
      <c r="H7504" s="1">
        <v>-3.5138889999999998E-6</v>
      </c>
      <c r="I7504">
        <v>14.265280000000001</v>
      </c>
      <c r="J7504">
        <v>-400.14389999999997</v>
      </c>
      <c r="K7504">
        <v>1.1125080000000001</v>
      </c>
      <c r="L7504">
        <v>20.942229999999999</v>
      </c>
      <c r="M7504">
        <v>0.89387039999999995</v>
      </c>
      <c r="N7504">
        <v>0</v>
      </c>
      <c r="O7504">
        <v>-0.44810650000000002</v>
      </c>
      <c r="P7504">
        <v>0.91207859999999996</v>
      </c>
      <c r="Q7504">
        <v>3.9396739999999998E-3</v>
      </c>
      <c r="R7504">
        <v>-0.40999649999999999</v>
      </c>
      <c r="S7504">
        <v>3.0901179999999999</v>
      </c>
      <c r="T7504">
        <v>-7.4310059999999997E-2</v>
      </c>
      <c r="U7504">
        <v>-0.4489746</v>
      </c>
      <c r="V7504">
        <v>-4.2319860000000001E-2</v>
      </c>
      <c r="W7504">
        <v>1.7718169999999998E-2</v>
      </c>
      <c r="X7504">
        <v>0.99894700000000003</v>
      </c>
      <c r="Y7504">
        <v>-0.31475150000000002</v>
      </c>
      <c r="Z7504">
        <v>1.40982E-2</v>
      </c>
      <c r="AA7504">
        <v>0.94906939999999995</v>
      </c>
      <c r="AB7504">
        <v>15</v>
      </c>
      <c r="AC7504">
        <v>46.163599999999903</v>
      </c>
      <c r="AD7504">
        <v>-1.112511513889</v>
      </c>
      <c r="AE7504">
        <v>-6.6769499999999997</v>
      </c>
      <c r="AF7504">
        <v>-14.710957108253</v>
      </c>
      <c r="AG7504">
        <v>-1.112511513889</v>
      </c>
      <c r="AH7504">
        <v>44.235439572229097</v>
      </c>
      <c r="AI7504">
        <v>91.367087251865101</v>
      </c>
      <c r="AJ7504">
        <v>108.395084249988</v>
      </c>
      <c r="AK7504">
        <v>46.630720078696299</v>
      </c>
      <c r="AL7504">
        <v>88.984770521032701</v>
      </c>
      <c r="AM7504">
        <v>92.425854747781202</v>
      </c>
      <c r="AN7504">
        <v>1.00000000645378</v>
      </c>
    </row>
    <row r="7505" spans="1:40" x14ac:dyDescent="0.25">
      <c r="A7505" t="str">
        <f>"20190312154110968"</f>
        <v>20190312154110968</v>
      </c>
      <c r="B7505" t="str">
        <f>"1552376470963534"</f>
        <v>1552376470963534</v>
      </c>
      <c r="C7505" t="s">
        <v>40</v>
      </c>
      <c r="D7505">
        <v>4.3418549999999998</v>
      </c>
      <c r="E7505">
        <v>0.39241140000000002</v>
      </c>
      <c r="F7505" t="s">
        <v>42</v>
      </c>
      <c r="G7505">
        <v>-350.66879999999998</v>
      </c>
      <c r="H7505" s="1">
        <v>-5.0037799999999997E-6</v>
      </c>
      <c r="I7505">
        <v>13.874969999999999</v>
      </c>
      <c r="J7505">
        <v>-400.07339999999999</v>
      </c>
      <c r="K7505">
        <v>1.1125510000000001</v>
      </c>
      <c r="L7505">
        <v>20.91019</v>
      </c>
      <c r="M7505">
        <v>0.89500139999999995</v>
      </c>
      <c r="N7505">
        <v>0</v>
      </c>
      <c r="O7505">
        <v>-0.44584289999999999</v>
      </c>
      <c r="P7505">
        <v>0.91292669999999998</v>
      </c>
      <c r="Q7505">
        <v>4.6269839999999998E-3</v>
      </c>
      <c r="R7505">
        <v>-0.40809669999999998</v>
      </c>
      <c r="S7505">
        <v>3.0910030000000002</v>
      </c>
      <c r="T7505">
        <v>-6.9505209999999998E-2</v>
      </c>
      <c r="U7505">
        <v>-0.44152829999999899</v>
      </c>
      <c r="V7505">
        <v>-4.1875389999999998E-2</v>
      </c>
      <c r="W7505">
        <v>1.8408040000000001E-2</v>
      </c>
      <c r="X7505">
        <v>0.99895319999999999</v>
      </c>
      <c r="Y7505">
        <v>-0.3146544</v>
      </c>
      <c r="Z7505">
        <v>1.3140290000000001E-2</v>
      </c>
      <c r="AA7505">
        <v>0.94911540000000005</v>
      </c>
      <c r="AB7505">
        <v>15</v>
      </c>
      <c r="AC7505">
        <v>49.404600000000002</v>
      </c>
      <c r="AD7505">
        <v>-1.11255600378</v>
      </c>
      <c r="AE7505">
        <v>-7.03521999999999</v>
      </c>
      <c r="AF7505">
        <v>-15.7238895225088</v>
      </c>
      <c r="AG7505">
        <v>-1.11255600378</v>
      </c>
      <c r="AH7505">
        <v>47.3349173720975</v>
      </c>
      <c r="AI7505">
        <v>91.277796542010606</v>
      </c>
      <c r="AJ7505">
        <v>108.37564783563499</v>
      </c>
      <c r="AK7505">
        <v>49.890609188512698</v>
      </c>
      <c r="AL7505">
        <v>88.945237371675304</v>
      </c>
      <c r="AM7505">
        <v>92.400391962313805</v>
      </c>
      <c r="AN7505">
        <v>0.99999995000726505</v>
      </c>
    </row>
    <row r="7506" spans="1:40" x14ac:dyDescent="0.25">
      <c r="A7506" t="str">
        <f>"20190312154110979"</f>
        <v>20190312154110979</v>
      </c>
      <c r="B7506" t="str">
        <f>"1552376470974269"</f>
        <v>1552376470974269</v>
      </c>
      <c r="C7506" t="s">
        <v>40</v>
      </c>
      <c r="D7506">
        <v>4.2958540000000003</v>
      </c>
      <c r="E7506">
        <v>0.39241140000000002</v>
      </c>
      <c r="F7506" t="s">
        <v>42</v>
      </c>
      <c r="G7506">
        <v>-352.15159999999997</v>
      </c>
      <c r="H7506" s="1">
        <v>-4.3225800000000002E-6</v>
      </c>
      <c r="I7506">
        <v>14.129079999999901</v>
      </c>
      <c r="J7506">
        <v>-399.99869999999999</v>
      </c>
      <c r="K7506">
        <v>1.1125940000000001</v>
      </c>
      <c r="L7506">
        <v>20.876370000000001</v>
      </c>
      <c r="M7506">
        <v>0.89620379999999999</v>
      </c>
      <c r="N7506">
        <v>0</v>
      </c>
      <c r="O7506">
        <v>-0.44342110000000001</v>
      </c>
      <c r="P7506">
        <v>0.91376919999999995</v>
      </c>
      <c r="Q7506">
        <v>4.9686280000000001E-3</v>
      </c>
      <c r="R7506">
        <v>-0.4062036</v>
      </c>
      <c r="S7506">
        <v>3.090973</v>
      </c>
      <c r="T7506">
        <v>-7.1760180000000007E-2</v>
      </c>
      <c r="U7506">
        <v>-0.43737789999999999</v>
      </c>
      <c r="V7506">
        <v>-4.1247779999999998E-2</v>
      </c>
      <c r="W7506">
        <v>1.8752729999999999E-2</v>
      </c>
      <c r="X7506">
        <v>0.998973</v>
      </c>
      <c r="Y7506">
        <v>-0.3133242</v>
      </c>
      <c r="Z7506">
        <v>1.350314E-2</v>
      </c>
      <c r="AA7506">
        <v>0.94955020000000001</v>
      </c>
      <c r="AB7506">
        <v>15</v>
      </c>
      <c r="AC7506">
        <v>47.847099999999998</v>
      </c>
      <c r="AD7506">
        <v>-1.11259832257999</v>
      </c>
      <c r="AE7506">
        <v>-6.7472899999999996</v>
      </c>
      <c r="AF7506">
        <v>-15.1629183191311</v>
      </c>
      <c r="AG7506">
        <v>-1.11259832257999</v>
      </c>
      <c r="AH7506">
        <v>45.852840982897398</v>
      </c>
      <c r="AI7506">
        <v>91.319723565450403</v>
      </c>
      <c r="AJ7506">
        <v>108.29835665257301</v>
      </c>
      <c r="AK7506">
        <v>48.307711529143297</v>
      </c>
      <c r="AL7506">
        <v>88.9254847853379</v>
      </c>
      <c r="AM7506">
        <v>92.364410269194806</v>
      </c>
      <c r="AN7506">
        <v>1.00000004948318</v>
      </c>
    </row>
    <row r="7507" spans="1:40" x14ac:dyDescent="0.25">
      <c r="A7507" t="str">
        <f>"20190312154110990"</f>
        <v>20190312154110990</v>
      </c>
      <c r="B7507" t="str">
        <f>"1552376470984030"</f>
        <v>1552376470984030</v>
      </c>
      <c r="C7507" t="s">
        <v>40</v>
      </c>
      <c r="D7507">
        <v>4.3030799999999996</v>
      </c>
      <c r="E7507">
        <v>0.39782519999999999</v>
      </c>
      <c r="F7507" t="s">
        <v>42</v>
      </c>
      <c r="G7507">
        <v>-351.17599999999999</v>
      </c>
      <c r="H7507" s="1">
        <v>-4.7513039999999998E-6</v>
      </c>
      <c r="I7507">
        <v>14.07164</v>
      </c>
      <c r="J7507">
        <v>-399.92520000000002</v>
      </c>
      <c r="K7507">
        <v>1.1126309999999999</v>
      </c>
      <c r="L7507">
        <v>20.84357</v>
      </c>
      <c r="M7507">
        <v>0.89740750000000002</v>
      </c>
      <c r="N7507">
        <v>0</v>
      </c>
      <c r="O7507">
        <v>-0.44098009999999899</v>
      </c>
      <c r="P7507">
        <v>0.91458930000000005</v>
      </c>
      <c r="Q7507">
        <v>4.7127699999999998E-3</v>
      </c>
      <c r="R7507">
        <v>-0.40435710000000002</v>
      </c>
      <c r="S7507">
        <v>3.0919490000000001</v>
      </c>
      <c r="T7507">
        <v>-7.0461029999999994E-2</v>
      </c>
      <c r="U7507">
        <v>-0.43093870000000001</v>
      </c>
      <c r="V7507">
        <v>-4.0547239999999998E-2</v>
      </c>
      <c r="W7507">
        <v>1.850243E-2</v>
      </c>
      <c r="X7507">
        <v>0.99900630000000001</v>
      </c>
      <c r="Y7507">
        <v>-0.3127279</v>
      </c>
      <c r="Z7507">
        <v>1.32012E-2</v>
      </c>
      <c r="AA7507">
        <v>0.94975100000000001</v>
      </c>
      <c r="AB7507">
        <v>15</v>
      </c>
      <c r="AC7507">
        <v>48.749200000000002</v>
      </c>
      <c r="AD7507">
        <v>-1.1126357513039999</v>
      </c>
      <c r="AE7507">
        <v>-6.7719300000000002</v>
      </c>
      <c r="AF7507">
        <v>-15.4138828836467</v>
      </c>
      <c r="AG7507">
        <v>-1.1126357513039999</v>
      </c>
      <c r="AH7507">
        <v>46.714898384748601</v>
      </c>
      <c r="AI7507">
        <v>91.295703482963404</v>
      </c>
      <c r="AJ7507">
        <v>108.260640667808</v>
      </c>
      <c r="AK7507">
        <v>49.204750532476503</v>
      </c>
      <c r="AL7507">
        <v>88.939828357745398</v>
      </c>
      <c r="AM7507">
        <v>92.324220859839699</v>
      </c>
      <c r="AN7507">
        <v>1.0000000030136</v>
      </c>
    </row>
    <row r="7508" spans="1:40" x14ac:dyDescent="0.25">
      <c r="A7508" t="str">
        <f>"20190312154111002"</f>
        <v>20190312154111002</v>
      </c>
      <c r="B7508" t="str">
        <f>"1552376470993788"</f>
        <v>1552376470993788</v>
      </c>
      <c r="C7508" t="s">
        <v>40</v>
      </c>
      <c r="D7508">
        <v>4.2749309999999996</v>
      </c>
      <c r="E7508">
        <v>0.3980455</v>
      </c>
      <c r="F7508" t="s">
        <v>87</v>
      </c>
      <c r="G7508">
        <v>-373.9187</v>
      </c>
      <c r="H7508" s="1">
        <v>-3.3304349999999998E-6</v>
      </c>
      <c r="I7508">
        <v>16.936779999999999</v>
      </c>
      <c r="J7508">
        <v>-399.85320000000002</v>
      </c>
      <c r="K7508">
        <v>1.112665</v>
      </c>
      <c r="L7508">
        <v>20.81165</v>
      </c>
      <c r="M7508">
        <v>0.89859339999999999</v>
      </c>
      <c r="N7508">
        <v>0</v>
      </c>
      <c r="O7508">
        <v>-0.43855810000000001</v>
      </c>
      <c r="P7508">
        <v>0.91525599999999996</v>
      </c>
      <c r="Q7508">
        <v>4.1836269999999997E-3</v>
      </c>
      <c r="R7508">
        <v>-0.40285169999999998</v>
      </c>
      <c r="S7508">
        <v>3.0764770000000001</v>
      </c>
      <c r="T7508">
        <v>-0.13162079999999901</v>
      </c>
      <c r="U7508">
        <v>-0.46215820000000002</v>
      </c>
      <c r="V7508">
        <v>-3.9496749999999997E-2</v>
      </c>
      <c r="W7508">
        <v>1.7980860000000001E-2</v>
      </c>
      <c r="X7508">
        <v>0.99905790000000005</v>
      </c>
      <c r="Y7508">
        <v>-0.2996007</v>
      </c>
      <c r="Z7508">
        <v>2.4374340000000001E-2</v>
      </c>
      <c r="AA7508">
        <v>0.95375330000000003</v>
      </c>
      <c r="AB7508">
        <v>15</v>
      </c>
      <c r="AC7508">
        <v>25.9345</v>
      </c>
      <c r="AD7508">
        <v>-1.112668330435</v>
      </c>
      <c r="AE7508">
        <v>-3.87487</v>
      </c>
      <c r="AF7508">
        <v>-7.8784437406682502</v>
      </c>
      <c r="AG7508">
        <v>-1.112668330435</v>
      </c>
      <c r="AH7508">
        <v>24.9614430969723</v>
      </c>
      <c r="AI7508">
        <v>92.434087592183005</v>
      </c>
      <c r="AJ7508">
        <v>107.516974358745</v>
      </c>
      <c r="AK7508">
        <v>26.198884481439599</v>
      </c>
      <c r="AL7508">
        <v>88.9697170838256</v>
      </c>
      <c r="AM7508">
        <v>92.263952079327794</v>
      </c>
      <c r="AN7508">
        <v>0.99999999606965595</v>
      </c>
    </row>
    <row r="7509" spans="1:40" x14ac:dyDescent="0.25">
      <c r="A7509" t="str">
        <f>"20190312154111013"</f>
        <v>20190312154111013</v>
      </c>
      <c r="B7509" t="str">
        <f>"1552376471003550"</f>
        <v>1552376471003550</v>
      </c>
      <c r="C7509" t="s">
        <v>40</v>
      </c>
      <c r="D7509">
        <v>4.3217160000000003</v>
      </c>
      <c r="E7509">
        <v>0.39807550000000003</v>
      </c>
      <c r="F7509" t="s">
        <v>87</v>
      </c>
      <c r="G7509">
        <v>-375.58260000000001</v>
      </c>
      <c r="H7509" s="1">
        <v>-2.4979599999999998E-6</v>
      </c>
      <c r="I7509">
        <v>17.195869999999999</v>
      </c>
      <c r="J7509">
        <v>-399.78699999999998</v>
      </c>
      <c r="K7509">
        <v>1.1126929999999999</v>
      </c>
      <c r="L7509">
        <v>20.782530000000001</v>
      </c>
      <c r="M7509">
        <v>0.89969219999999905</v>
      </c>
      <c r="N7509">
        <v>0</v>
      </c>
      <c r="O7509">
        <v>-0.4362994</v>
      </c>
      <c r="P7509">
        <v>0.91595289999999996</v>
      </c>
      <c r="Q7509">
        <v>3.4981840000000001E-3</v>
      </c>
      <c r="R7509">
        <v>-0.40127089999999999</v>
      </c>
      <c r="S7509">
        <v>3.0765989999999999</v>
      </c>
      <c r="T7509">
        <v>-0.14104430000000001</v>
      </c>
      <c r="U7509">
        <v>-0.45834350000000001</v>
      </c>
      <c r="V7509">
        <v>-3.8710210000000002E-2</v>
      </c>
      <c r="W7509">
        <v>1.7302430000000001E-2</v>
      </c>
      <c r="X7509">
        <v>0.99910069999999995</v>
      </c>
      <c r="Y7509">
        <v>-0.29827629999999999</v>
      </c>
      <c r="Z7509">
        <v>2.5997630000000001E-2</v>
      </c>
      <c r="AA7509">
        <v>0.95412549999999996</v>
      </c>
      <c r="AB7509">
        <v>15</v>
      </c>
      <c r="AC7509">
        <v>24.2043999999999</v>
      </c>
      <c r="AD7509">
        <v>-1.1126954979599999</v>
      </c>
      <c r="AE7509">
        <v>-3.58665999999999</v>
      </c>
      <c r="AF7509">
        <v>-7.3190616756003903</v>
      </c>
      <c r="AG7509">
        <v>-1.1126954979599999</v>
      </c>
      <c r="AH7509">
        <v>23.295491465340099</v>
      </c>
      <c r="AI7509">
        <v>92.609065322928302</v>
      </c>
      <c r="AJ7509">
        <v>107.441864185049</v>
      </c>
      <c r="AK7509">
        <v>24.443540612893099</v>
      </c>
      <c r="AL7509">
        <v>89.008594345944303</v>
      </c>
      <c r="AM7509">
        <v>92.218818201244204</v>
      </c>
      <c r="AN7509">
        <v>1.00000003159131</v>
      </c>
    </row>
    <row r="7510" spans="1:40" x14ac:dyDescent="0.25">
      <c r="A7510" t="str">
        <f>"20190312154111025"</f>
        <v>20190312154111025</v>
      </c>
      <c r="B7510" t="str">
        <f>"1552376471014284"</f>
        <v>1552376471014284</v>
      </c>
      <c r="C7510" t="s">
        <v>40</v>
      </c>
      <c r="D7510">
        <v>4.3318989999999999</v>
      </c>
      <c r="E7510">
        <v>0.39838059999999997</v>
      </c>
      <c r="F7510" t="s">
        <v>87</v>
      </c>
      <c r="G7510">
        <v>-376.45530000000002</v>
      </c>
      <c r="H7510" s="1">
        <v>-2.0584730000000002E-6</v>
      </c>
      <c r="I7510">
        <v>17.34769</v>
      </c>
      <c r="J7510">
        <v>-399.7174</v>
      </c>
      <c r="K7510">
        <v>1.112717</v>
      </c>
      <c r="L7510">
        <v>20.752199999999998</v>
      </c>
      <c r="M7510">
        <v>0.90085669999999995</v>
      </c>
      <c r="N7510">
        <v>0</v>
      </c>
      <c r="O7510">
        <v>-0.43389</v>
      </c>
      <c r="P7510">
        <v>0.9167594</v>
      </c>
      <c r="Q7510">
        <v>2.7348939999999999E-3</v>
      </c>
      <c r="R7510">
        <v>-0.39943050000000002</v>
      </c>
      <c r="S7510">
        <v>3.0773009999999998</v>
      </c>
      <c r="T7510">
        <v>-0.1467572</v>
      </c>
      <c r="U7510">
        <v>-0.45303339999999998</v>
      </c>
      <c r="V7510">
        <v>-3.8040860000000003E-2</v>
      </c>
      <c r="W7510">
        <v>1.6544840000000002E-2</v>
      </c>
      <c r="X7510">
        <v>0.99913920000000001</v>
      </c>
      <c r="Y7510">
        <v>-0.29730889999999999</v>
      </c>
      <c r="Z7510">
        <v>2.6922919999999999E-2</v>
      </c>
      <c r="AA7510">
        <v>0.95440170000000002</v>
      </c>
      <c r="AB7510">
        <v>15</v>
      </c>
      <c r="AC7510">
        <v>23.262099999999901</v>
      </c>
      <c r="AD7510">
        <v>-1.112719058473</v>
      </c>
      <c r="AE7510">
        <v>-3.4045099999999899</v>
      </c>
      <c r="AF7510">
        <v>-7.0112021116611798</v>
      </c>
      <c r="AG7510">
        <v>-1.112719058473</v>
      </c>
      <c r="AH7510">
        <v>22.3850628374934</v>
      </c>
      <c r="AI7510">
        <v>92.715835739067501</v>
      </c>
      <c r="AJ7510">
        <v>107.391023338637</v>
      </c>
      <c r="AK7510">
        <v>23.483741971674402</v>
      </c>
      <c r="AL7510">
        <v>89.052007233037401</v>
      </c>
      <c r="AM7510">
        <v>92.180405360482894</v>
      </c>
      <c r="AN7510">
        <v>0.99999998986840199</v>
      </c>
    </row>
    <row r="7511" spans="1:40" x14ac:dyDescent="0.25">
      <c r="A7511" t="str">
        <f>"20190312154111035"</f>
        <v>20190312154111035</v>
      </c>
      <c r="B7511" t="str">
        <f>"1552376471024047"</f>
        <v>1552376471024047</v>
      </c>
      <c r="C7511" t="s">
        <v>40</v>
      </c>
      <c r="D7511">
        <v>4.3356139999999996</v>
      </c>
      <c r="E7511">
        <v>0.3985822</v>
      </c>
      <c r="F7511" t="s">
        <v>87</v>
      </c>
      <c r="G7511">
        <v>-376.35770000000002</v>
      </c>
      <c r="H7511" s="1">
        <v>-2.1054359999999999E-6</v>
      </c>
      <c r="I7511">
        <v>17.3432</v>
      </c>
      <c r="J7511">
        <v>-399.64839999999998</v>
      </c>
      <c r="K7511">
        <v>1.1127389999999999</v>
      </c>
      <c r="L7511">
        <v>20.72232</v>
      </c>
      <c r="M7511">
        <v>0.90201350000000002</v>
      </c>
      <c r="N7511">
        <v>0</v>
      </c>
      <c r="O7511">
        <v>-0.43147980000000002</v>
      </c>
      <c r="P7511">
        <v>0.91751749999999999</v>
      </c>
      <c r="Q7511">
        <v>1.901455E-3</v>
      </c>
      <c r="R7511">
        <v>-0.39769110000000002</v>
      </c>
      <c r="S7511">
        <v>3.0771790000000001</v>
      </c>
      <c r="T7511">
        <v>-0.1465786</v>
      </c>
      <c r="U7511">
        <v>-0.44906620000000003</v>
      </c>
      <c r="V7511">
        <v>-3.7261429999999998E-2</v>
      </c>
      <c r="W7511">
        <v>1.5718590000000001E-2</v>
      </c>
      <c r="X7511">
        <v>0.99918189999999996</v>
      </c>
      <c r="Y7511">
        <v>-0.29596080000000002</v>
      </c>
      <c r="Z7511">
        <v>2.6760260000000001E-2</v>
      </c>
      <c r="AA7511">
        <v>0.95482520000000004</v>
      </c>
      <c r="AB7511">
        <v>15</v>
      </c>
      <c r="AC7511">
        <v>23.290699999999902</v>
      </c>
      <c r="AD7511">
        <v>-1.1127411054359999</v>
      </c>
      <c r="AE7511">
        <v>-3.3791199999999999</v>
      </c>
      <c r="AF7511">
        <v>-6.9865254238975103</v>
      </c>
      <c r="AG7511">
        <v>-1.1127411054359999</v>
      </c>
      <c r="AH7511">
        <v>22.418642124803501</v>
      </c>
      <c r="AI7511">
        <v>92.713037833603906</v>
      </c>
      <c r="AJ7511">
        <v>107.30907604827</v>
      </c>
      <c r="AK7511">
        <v>23.508407963673498</v>
      </c>
      <c r="AL7511">
        <v>89.099354023667104</v>
      </c>
      <c r="AM7511">
        <v>92.135681032316498</v>
      </c>
      <c r="AN7511">
        <v>0.99999997876242097</v>
      </c>
    </row>
    <row r="7512" spans="1:40" x14ac:dyDescent="0.25">
      <c r="A7512" t="str">
        <f>"20190312154111045"</f>
        <v>20190312154111045</v>
      </c>
      <c r="B7512" t="str">
        <f>"1552376471033806"</f>
        <v>1552376471033806</v>
      </c>
      <c r="C7512" t="s">
        <v>40</v>
      </c>
      <c r="D7512">
        <v>4.3254900000000003</v>
      </c>
      <c r="E7512">
        <v>0.39864690000000003</v>
      </c>
      <c r="F7512" t="s">
        <v>87</v>
      </c>
      <c r="G7512">
        <v>-377.1728</v>
      </c>
      <c r="H7512" s="1">
        <v>-1.696761E-6</v>
      </c>
      <c r="I7512">
        <v>17.475020000000001</v>
      </c>
      <c r="J7512">
        <v>-399.58850000000001</v>
      </c>
      <c r="K7512">
        <v>1.112752</v>
      </c>
      <c r="L7512">
        <v>20.69669</v>
      </c>
      <c r="M7512">
        <v>0.90302709999999997</v>
      </c>
      <c r="N7512">
        <v>0</v>
      </c>
      <c r="O7512">
        <v>-0.42935420000000002</v>
      </c>
      <c r="P7512">
        <v>0.91824249999999996</v>
      </c>
      <c r="Q7512">
        <v>1.293605E-3</v>
      </c>
      <c r="R7512">
        <v>-0.39601639999999999</v>
      </c>
      <c r="S7512">
        <v>3.0773009999999998</v>
      </c>
      <c r="T7512">
        <v>-0.1523534</v>
      </c>
      <c r="U7512">
        <v>-0.44461060000000002</v>
      </c>
      <c r="V7512">
        <v>-3.6728619999999997E-2</v>
      </c>
      <c r="W7512">
        <v>1.511594E-2</v>
      </c>
      <c r="X7512">
        <v>0.99921099999999996</v>
      </c>
      <c r="Y7512">
        <v>-0.29501189999999999</v>
      </c>
      <c r="Z7512">
        <v>2.7698839999999999E-2</v>
      </c>
      <c r="AA7512">
        <v>0.95509200000000005</v>
      </c>
      <c r="AB7512">
        <v>15</v>
      </c>
      <c r="AC7512">
        <v>22.415700000000001</v>
      </c>
      <c r="AD7512">
        <v>-1.1127536967610001</v>
      </c>
      <c r="AE7512">
        <v>-3.22167</v>
      </c>
      <c r="AF7512">
        <v>-6.6995057841144803</v>
      </c>
      <c r="AG7512">
        <v>-1.1127536967610001</v>
      </c>
      <c r="AH7512">
        <v>21.575260942548901</v>
      </c>
      <c r="AI7512">
        <v>92.819850116909393</v>
      </c>
      <c r="AJ7512">
        <v>107.25050667902499</v>
      </c>
      <c r="AK7512">
        <v>22.618874491895401</v>
      </c>
      <c r="AL7512">
        <v>89.1338874950182</v>
      </c>
      <c r="AM7512">
        <v>92.105108846521105</v>
      </c>
      <c r="AN7512">
        <v>1.0000000528450901</v>
      </c>
    </row>
    <row r="7513" spans="1:40" x14ac:dyDescent="0.25">
      <c r="A7513" t="str">
        <f>"20190312154111057"</f>
        <v>20190312154111057</v>
      </c>
      <c r="B7513" t="str">
        <f>"1552376471043565"</f>
        <v>1552376471043565</v>
      </c>
      <c r="C7513" t="s">
        <v>40</v>
      </c>
      <c r="D7513">
        <v>4.3408319999999998</v>
      </c>
      <c r="E7513">
        <v>0.39903359999999999</v>
      </c>
      <c r="F7513" t="s">
        <v>87</v>
      </c>
      <c r="G7513">
        <v>-377.90210000000002</v>
      </c>
      <c r="H7513" s="1">
        <v>-1.3297040000000001E-6</v>
      </c>
      <c r="I7513">
        <v>17.60069</v>
      </c>
      <c r="J7513">
        <v>-399.51799999999997</v>
      </c>
      <c r="K7513">
        <v>1.112771</v>
      </c>
      <c r="L7513">
        <v>20.66666</v>
      </c>
      <c r="M7513">
        <v>0.90421629999999997</v>
      </c>
      <c r="N7513">
        <v>0</v>
      </c>
      <c r="O7513">
        <v>-0.426844</v>
      </c>
      <c r="P7513">
        <v>0.91920579999999996</v>
      </c>
      <c r="Q7513">
        <v>5.4955110000000004E-4</v>
      </c>
      <c r="R7513">
        <v>-0.39377800000000002</v>
      </c>
      <c r="S7513">
        <v>3.0777890000000001</v>
      </c>
      <c r="T7513">
        <v>-0.157924799999999</v>
      </c>
      <c r="U7513">
        <v>-0.43939210000000001</v>
      </c>
      <c r="V7513">
        <v>-3.6384060000000003E-2</v>
      </c>
      <c r="W7513">
        <v>1.437692E-2</v>
      </c>
      <c r="X7513">
        <v>0.99923439999999997</v>
      </c>
      <c r="Y7513">
        <v>-0.29390850000000002</v>
      </c>
      <c r="Z7513">
        <v>2.8567370000000002E-2</v>
      </c>
      <c r="AA7513">
        <v>0.95540650000000005</v>
      </c>
      <c r="AB7513">
        <v>15</v>
      </c>
      <c r="AC7513">
        <v>21.6159</v>
      </c>
      <c r="AD7513">
        <v>-1.112772329704</v>
      </c>
      <c r="AE7513">
        <v>-3.0659700000000001</v>
      </c>
      <c r="AF7513">
        <v>-6.4382276761614099</v>
      </c>
      <c r="AG7513">
        <v>-1.112772329704</v>
      </c>
      <c r="AH7513">
        <v>20.802154260952602</v>
      </c>
      <c r="AI7513">
        <v>92.925361518220399</v>
      </c>
      <c r="AJ7513">
        <v>107.197198097354</v>
      </c>
      <c r="AK7513">
        <v>21.804097315970498</v>
      </c>
      <c r="AL7513">
        <v>89.176234733111301</v>
      </c>
      <c r="AM7513">
        <v>92.085329041718595</v>
      </c>
      <c r="AN7513">
        <v>0.99999994089706301</v>
      </c>
    </row>
    <row r="7514" spans="1:40" x14ac:dyDescent="0.25">
      <c r="A7514" t="str">
        <f>"20190312154111067"</f>
        <v>20190312154111067</v>
      </c>
      <c r="B7514" t="str">
        <f>"1552376471064061"</f>
        <v>1552376471064061</v>
      </c>
      <c r="C7514" t="s">
        <v>40</v>
      </c>
      <c r="D7514">
        <v>4.333539</v>
      </c>
      <c r="E7514">
        <v>0.39950859999999999</v>
      </c>
      <c r="F7514" t="s">
        <v>87</v>
      </c>
      <c r="G7514">
        <v>-378.46519999999998</v>
      </c>
      <c r="H7514" s="1">
        <v>-1.0854499999999999E-6</v>
      </c>
      <c r="I7514">
        <v>17.692629999999902</v>
      </c>
      <c r="J7514">
        <v>-399.4556</v>
      </c>
      <c r="K7514">
        <v>1.1127830000000001</v>
      </c>
      <c r="L7514">
        <v>20.640440000000002</v>
      </c>
      <c r="M7514">
        <v>0.90527899999999994</v>
      </c>
      <c r="N7514">
        <v>0</v>
      </c>
      <c r="O7514">
        <v>-0.42458509999999999</v>
      </c>
      <c r="P7514">
        <v>0.92013619999999996</v>
      </c>
      <c r="Q7514" s="1">
        <v>3.5816799999999999E-5</v>
      </c>
      <c r="R7514">
        <v>-0.39159870000000002</v>
      </c>
      <c r="S7514">
        <v>3.0775760000000001</v>
      </c>
      <c r="T7514">
        <v>-0.16266900000000001</v>
      </c>
      <c r="U7514">
        <v>-0.43475340000000001</v>
      </c>
      <c r="V7514">
        <v>-3.6255200000000001E-2</v>
      </c>
      <c r="W7514">
        <v>1.386628E-2</v>
      </c>
      <c r="X7514">
        <v>0.99924639999999998</v>
      </c>
      <c r="Y7514">
        <v>-0.29287429999999998</v>
      </c>
      <c r="Z7514">
        <v>2.9296550000000001E-2</v>
      </c>
      <c r="AA7514">
        <v>0.95570200000000005</v>
      </c>
      <c r="AB7514">
        <v>15</v>
      </c>
      <c r="AC7514">
        <v>20.990400000000001</v>
      </c>
      <c r="AD7514">
        <v>-1.11278408545</v>
      </c>
      <c r="AE7514">
        <v>-2.94781</v>
      </c>
      <c r="AF7514">
        <v>-6.2270744308289396</v>
      </c>
      <c r="AG7514">
        <v>-1.11278408545</v>
      </c>
      <c r="AH7514">
        <v>20.200090204597998</v>
      </c>
      <c r="AI7514">
        <v>93.013467254298803</v>
      </c>
      <c r="AJ7514">
        <v>107.132941636341</v>
      </c>
      <c r="AK7514">
        <v>21.167389746064899</v>
      </c>
      <c r="AL7514">
        <v>89.205495248911106</v>
      </c>
      <c r="AM7514">
        <v>92.077925067122905</v>
      </c>
      <c r="AN7514">
        <v>1.0000000405805101</v>
      </c>
    </row>
    <row r="7515" spans="1:40" x14ac:dyDescent="0.25">
      <c r="A7515" t="str">
        <f>"20190312154111079"</f>
        <v>20190312154111079</v>
      </c>
      <c r="B7515" t="str">
        <f>"1552376471073822"</f>
        <v>1552376471073822</v>
      </c>
      <c r="C7515" t="s">
        <v>40</v>
      </c>
      <c r="D7515">
        <v>4.3076850000000002</v>
      </c>
      <c r="E7515">
        <v>0.39972089999999999</v>
      </c>
      <c r="F7515" t="s">
        <v>87</v>
      </c>
      <c r="G7515">
        <v>-378.87830000000002</v>
      </c>
      <c r="H7515" s="1">
        <v>-9.0910330000000001E-7</v>
      </c>
      <c r="I7515">
        <v>17.759219999999999</v>
      </c>
      <c r="J7515">
        <v>-399.38299999999998</v>
      </c>
      <c r="K7515">
        <v>1.1127929999999999</v>
      </c>
      <c r="L7515">
        <v>20.610050000000001</v>
      </c>
      <c r="M7515">
        <v>0.9065124</v>
      </c>
      <c r="N7515">
        <v>0</v>
      </c>
      <c r="O7515">
        <v>-0.42194549999999997</v>
      </c>
      <c r="P7515">
        <v>0.92128880000000002</v>
      </c>
      <c r="Q7515" s="1">
        <v>-7.0706009999999998E-5</v>
      </c>
      <c r="R7515">
        <v>-0.38887880000000002</v>
      </c>
      <c r="S7515">
        <v>3.0770569999999999</v>
      </c>
      <c r="T7515">
        <v>-0.16640139999999901</v>
      </c>
      <c r="U7515">
        <v>-0.43084719999999999</v>
      </c>
      <c r="V7515">
        <v>-3.6294319999999998E-2</v>
      </c>
      <c r="W7515">
        <v>1.376139E-2</v>
      </c>
      <c r="X7515">
        <v>0.99924639999999998</v>
      </c>
      <c r="Y7515">
        <v>-0.29121710000000001</v>
      </c>
      <c r="Z7515">
        <v>2.980358E-2</v>
      </c>
      <c r="AA7515">
        <v>0.95619259999999995</v>
      </c>
      <c r="AB7515">
        <v>15</v>
      </c>
      <c r="AC7515">
        <v>20.5047</v>
      </c>
      <c r="AD7515">
        <v>-1.1127939091032999</v>
      </c>
      <c r="AE7515">
        <v>-2.85082999999999</v>
      </c>
      <c r="AF7515">
        <v>-6.0506688846898697</v>
      </c>
      <c r="AG7515">
        <v>-1.1127939091032999</v>
      </c>
      <c r="AH7515">
        <v>19.735587956226698</v>
      </c>
      <c r="AI7515">
        <v>93.085740340204495</v>
      </c>
      <c r="AJ7515">
        <v>107.04484324184099</v>
      </c>
      <c r="AK7515">
        <v>20.6722600654658</v>
      </c>
      <c r="AL7515">
        <v>89.211505552912399</v>
      </c>
      <c r="AM7515">
        <v>92.080165216251899</v>
      </c>
      <c r="AN7515">
        <v>1.0000000107159699</v>
      </c>
    </row>
    <row r="7516" spans="1:40" x14ac:dyDescent="0.25">
      <c r="A7516" t="str">
        <f>"20190312154111092"</f>
        <v>20190312154111092</v>
      </c>
      <c r="B7516" t="str">
        <f>"1552376471083581"</f>
        <v>1552376471083581</v>
      </c>
      <c r="C7516" t="s">
        <v>40</v>
      </c>
      <c r="D7516">
        <v>4.320659</v>
      </c>
      <c r="E7516">
        <v>0.39993210000000001</v>
      </c>
      <c r="F7516" t="s">
        <v>87</v>
      </c>
      <c r="G7516">
        <v>-378.62279999999998</v>
      </c>
      <c r="H7516" s="1">
        <v>-1.008454E-6</v>
      </c>
      <c r="I7516">
        <v>17.754579999999901</v>
      </c>
      <c r="J7516">
        <v>-399.30029999999999</v>
      </c>
      <c r="K7516">
        <v>1.1128049999999901</v>
      </c>
      <c r="L7516">
        <v>20.575869999999998</v>
      </c>
      <c r="M7516">
        <v>0.90792320000000004</v>
      </c>
      <c r="N7516">
        <v>0</v>
      </c>
      <c r="O7516">
        <v>-0.41890110000000003</v>
      </c>
      <c r="P7516">
        <v>0.9225757</v>
      </c>
      <c r="Q7516">
        <v>-2.268758E-4</v>
      </c>
      <c r="R7516">
        <v>-0.3858164</v>
      </c>
      <c r="S7516">
        <v>3.0776059999999998</v>
      </c>
      <c r="T7516">
        <v>-0.16496649999999999</v>
      </c>
      <c r="U7516">
        <v>-0.4233093</v>
      </c>
      <c r="V7516">
        <v>-3.6260569999999999E-2</v>
      </c>
      <c r="W7516">
        <v>1.3607859999999999E-2</v>
      </c>
      <c r="X7516">
        <v>0.99924970000000002</v>
      </c>
      <c r="Y7516">
        <v>-0.29035029999999901</v>
      </c>
      <c r="Z7516">
        <v>2.9378950000000001E-2</v>
      </c>
      <c r="AA7516">
        <v>0.95646940000000003</v>
      </c>
      <c r="AB7516">
        <v>15</v>
      </c>
      <c r="AC7516">
        <v>20.677499999999998</v>
      </c>
      <c r="AD7516">
        <v>-1.1128060084539999</v>
      </c>
      <c r="AE7516">
        <v>-2.8212899999999999</v>
      </c>
      <c r="AF7516">
        <v>-6.0836169065499197</v>
      </c>
      <c r="AG7516">
        <v>-1.1128060084539999</v>
      </c>
      <c r="AH7516">
        <v>19.9008074620453</v>
      </c>
      <c r="AI7516">
        <v>93.060964918747601</v>
      </c>
      <c r="AJ7516">
        <v>106.998234528742</v>
      </c>
      <c r="AK7516">
        <v>20.839646578565301</v>
      </c>
      <c r="AL7516">
        <v>89.220302975925605</v>
      </c>
      <c r="AM7516">
        <v>92.078225715334099</v>
      </c>
      <c r="AN7516">
        <v>0.99999998287029701</v>
      </c>
    </row>
    <row r="7517" spans="1:40" x14ac:dyDescent="0.25">
      <c r="A7517" t="str">
        <f>"20190312154111106"</f>
        <v>20190312154111106</v>
      </c>
      <c r="B7517" t="str">
        <f>"1552376471094317"</f>
        <v>1552376471094317</v>
      </c>
      <c r="C7517" t="s">
        <v>40</v>
      </c>
      <c r="D7517">
        <v>4.2845969999999998</v>
      </c>
      <c r="E7517">
        <v>0.4000861</v>
      </c>
      <c r="F7517" t="s">
        <v>87</v>
      </c>
      <c r="G7517">
        <v>-378.2801</v>
      </c>
      <c r="H7517" s="1">
        <v>-1.142567E-6</v>
      </c>
      <c r="I7517">
        <v>17.745159999999998</v>
      </c>
      <c r="J7517">
        <v>-399.22059999999999</v>
      </c>
      <c r="K7517">
        <v>1.1128150000000001</v>
      </c>
      <c r="L7517">
        <v>20.543240000000001</v>
      </c>
      <c r="M7517">
        <v>0.90928209999999998</v>
      </c>
      <c r="N7517">
        <v>0</v>
      </c>
      <c r="O7517">
        <v>-0.4159428</v>
      </c>
      <c r="P7517">
        <v>0.92389279999999996</v>
      </c>
      <c r="Q7517">
        <v>3.5045669999999999E-4</v>
      </c>
      <c r="R7517">
        <v>-0.38265130000000003</v>
      </c>
      <c r="S7517">
        <v>3.0783689999999999</v>
      </c>
      <c r="T7517">
        <v>-0.1629679</v>
      </c>
      <c r="U7517">
        <v>-0.4145508</v>
      </c>
      <c r="V7517">
        <v>-3.6436570000000001E-2</v>
      </c>
      <c r="W7517">
        <v>1.4186209999999999E-2</v>
      </c>
      <c r="X7517">
        <v>0.99923530000000005</v>
      </c>
      <c r="Y7517">
        <v>-0.28996630000000001</v>
      </c>
      <c r="Z7517">
        <v>2.8873240000000001E-2</v>
      </c>
      <c r="AA7517">
        <v>0.95660120000000004</v>
      </c>
      <c r="AB7517">
        <v>15</v>
      </c>
      <c r="AC7517">
        <v>20.940499999999901</v>
      </c>
      <c r="AD7517">
        <v>-1.11281614256699</v>
      </c>
      <c r="AE7517">
        <v>-2.7980799999999899</v>
      </c>
      <c r="AF7517">
        <v>-6.1493540956715202</v>
      </c>
      <c r="AG7517">
        <v>-1.11281614256699</v>
      </c>
      <c r="AH7517">
        <v>20.1507515033971</v>
      </c>
      <c r="AI7517">
        <v>93.023542353219497</v>
      </c>
      <c r="AJ7517">
        <v>106.970484789396</v>
      </c>
      <c r="AK7517">
        <v>21.097528331839499</v>
      </c>
      <c r="AL7517">
        <v>89.187162797588101</v>
      </c>
      <c r="AM7517">
        <v>92.088334076564806</v>
      </c>
      <c r="AN7517">
        <v>1.0000000284768</v>
      </c>
    </row>
    <row r="7518" spans="1:40" x14ac:dyDescent="0.25">
      <c r="A7518" t="str">
        <f>"20190312154111119"</f>
        <v>20190312154111119</v>
      </c>
      <c r="B7518" t="str">
        <f>"1552376471113837"</f>
        <v>1552376471113837</v>
      </c>
      <c r="C7518" t="s">
        <v>40</v>
      </c>
      <c r="D7518">
        <v>4.2708919999999999</v>
      </c>
      <c r="E7518">
        <v>0.4004453</v>
      </c>
      <c r="F7518" t="s">
        <v>87</v>
      </c>
      <c r="G7518">
        <v>-377.91230000000002</v>
      </c>
      <c r="H7518" s="1">
        <v>-1.300097E-6</v>
      </c>
      <c r="I7518">
        <v>17.740389999999898</v>
      </c>
      <c r="J7518">
        <v>-399.13639999999998</v>
      </c>
      <c r="K7518">
        <v>1.1128279999999999</v>
      </c>
      <c r="L7518">
        <v>20.509119999999999</v>
      </c>
      <c r="M7518">
        <v>0.9107113</v>
      </c>
      <c r="N7518">
        <v>0</v>
      </c>
      <c r="O7518">
        <v>-0.41280430000000001</v>
      </c>
      <c r="P7518">
        <v>0.92535049999999996</v>
      </c>
      <c r="Q7518">
        <v>1.1892300000000001E-3</v>
      </c>
      <c r="R7518">
        <v>-0.37911080000000003</v>
      </c>
      <c r="S7518">
        <v>3.0794069999999998</v>
      </c>
      <c r="T7518">
        <v>-0.16082099999999999</v>
      </c>
      <c r="U7518">
        <v>-0.40505980000000003</v>
      </c>
      <c r="V7518">
        <v>-3.6821100000000002E-2</v>
      </c>
      <c r="W7518">
        <v>1.5024879999999999E-2</v>
      </c>
      <c r="X7518">
        <v>0.99920889999999996</v>
      </c>
      <c r="Y7518">
        <v>-0.28963440000000001</v>
      </c>
      <c r="Z7518">
        <v>2.833571E-2</v>
      </c>
      <c r="AA7518">
        <v>0.95671779999999995</v>
      </c>
      <c r="AB7518">
        <v>15</v>
      </c>
      <c r="AC7518">
        <v>21.2240999999999</v>
      </c>
      <c r="AD7518">
        <v>-1.112829300097</v>
      </c>
      <c r="AE7518">
        <v>-2.7687300000000001</v>
      </c>
      <c r="AF7518">
        <v>-6.2236789126107199</v>
      </c>
      <c r="AG7518">
        <v>-1.112829300097</v>
      </c>
      <c r="AH7518">
        <v>20.418798590762901</v>
      </c>
      <c r="AI7518">
        <v>92.984262574779393</v>
      </c>
      <c r="AJ7518">
        <v>106.951296129458</v>
      </c>
      <c r="AK7518">
        <v>21.3752170550048</v>
      </c>
      <c r="AL7518">
        <v>89.139105380982798</v>
      </c>
      <c r="AM7518">
        <v>92.110409002339395</v>
      </c>
      <c r="AN7518">
        <v>0.99999998313171701</v>
      </c>
    </row>
    <row r="7519" spans="1:40" x14ac:dyDescent="0.25">
      <c r="A7519" t="str">
        <f>"20190312154111142"</f>
        <v>20190312154111142</v>
      </c>
      <c r="B7519" t="str">
        <f>"1552376471134333"</f>
        <v>1552376471134333</v>
      </c>
      <c r="C7519" t="s">
        <v>40</v>
      </c>
      <c r="D7519">
        <v>4.3141429999999996</v>
      </c>
      <c r="E7519">
        <v>0.40088269999999998</v>
      </c>
      <c r="F7519" t="s">
        <v>87</v>
      </c>
      <c r="G7519">
        <v>-377.43369999999999</v>
      </c>
      <c r="H7519" s="1">
        <v>-1.5300519999999999E-6</v>
      </c>
      <c r="I7519">
        <v>17.719279999999898</v>
      </c>
      <c r="J7519">
        <v>-399.00150000000002</v>
      </c>
      <c r="K7519">
        <v>1.1128389999999999</v>
      </c>
      <c r="L7519">
        <v>20.455290000000002</v>
      </c>
      <c r="M7519">
        <v>0.91299929999999996</v>
      </c>
      <c r="N7519">
        <v>0</v>
      </c>
      <c r="O7519">
        <v>-0.40771869999999999</v>
      </c>
      <c r="P7519">
        <v>0.9276953</v>
      </c>
      <c r="Q7519">
        <v>2.47065E-3</v>
      </c>
      <c r="R7519">
        <v>-0.3733301</v>
      </c>
      <c r="S7519">
        <v>3.0800480000000001</v>
      </c>
      <c r="T7519">
        <v>-0.15793289999999999</v>
      </c>
      <c r="U7519">
        <v>-0.39593509999999998</v>
      </c>
      <c r="V7519">
        <v>-3.7489300000000003E-2</v>
      </c>
      <c r="W7519">
        <v>1.6305030000000002E-2</v>
      </c>
      <c r="X7519">
        <v>0.99916400000000005</v>
      </c>
      <c r="Y7519">
        <v>-0.28715020000000002</v>
      </c>
      <c r="Z7519">
        <v>2.7529629999999999E-2</v>
      </c>
      <c r="AA7519">
        <v>0.9574899</v>
      </c>
      <c r="AB7519">
        <v>15</v>
      </c>
      <c r="AC7519">
        <v>21.567799999999998</v>
      </c>
      <c r="AD7519">
        <v>-1.1128405300519999</v>
      </c>
      <c r="AE7519">
        <v>-2.7360099999999998</v>
      </c>
      <c r="AF7519">
        <v>-6.2797889121505799</v>
      </c>
      <c r="AG7519">
        <v>-1.1128405300519999</v>
      </c>
      <c r="AH7519">
        <v>20.754586750085501</v>
      </c>
      <c r="AI7519">
        <v>92.937911121734203</v>
      </c>
      <c r="AJ7519">
        <v>106.834426518985</v>
      </c>
      <c r="AK7519">
        <v>21.712370529108998</v>
      </c>
      <c r="AL7519">
        <v>89.065749197567897</v>
      </c>
      <c r="AM7519">
        <v>92.148767912308202</v>
      </c>
      <c r="AN7519">
        <v>1.0000000002568901</v>
      </c>
    </row>
    <row r="7520" spans="1:40" x14ac:dyDescent="0.25">
      <c r="A7520" t="str">
        <f>"20190312154111152"</f>
        <v>20190312154111152</v>
      </c>
      <c r="B7520" t="str">
        <f>"1552376471144094"</f>
        <v>1552376471144094</v>
      </c>
      <c r="C7520" t="s">
        <v>40</v>
      </c>
      <c r="D7520">
        <v>4.3151440000000001</v>
      </c>
      <c r="E7520">
        <v>0.4011633</v>
      </c>
      <c r="F7520" t="s">
        <v>87</v>
      </c>
      <c r="G7520">
        <v>-376.52569999999997</v>
      </c>
      <c r="H7520" s="1">
        <v>-1.9654939999999999E-6</v>
      </c>
      <c r="I7520">
        <v>17.684360000000002</v>
      </c>
      <c r="J7520">
        <v>-398.9246</v>
      </c>
      <c r="K7520">
        <v>1.1128439999999999</v>
      </c>
      <c r="L7520">
        <v>20.424990000000001</v>
      </c>
      <c r="M7520">
        <v>0.91429850000000001</v>
      </c>
      <c r="N7520">
        <v>0</v>
      </c>
      <c r="O7520">
        <v>-0.40479720000000002</v>
      </c>
      <c r="P7520">
        <v>0.92901330000000004</v>
      </c>
      <c r="Q7520">
        <v>2.7766169999999999E-3</v>
      </c>
      <c r="R7520">
        <v>-0.37003619999999998</v>
      </c>
      <c r="S7520">
        <v>3.0813290000000002</v>
      </c>
      <c r="T7520">
        <v>-0.15256549999999999</v>
      </c>
      <c r="U7520">
        <v>-0.37988280000000002</v>
      </c>
      <c r="V7520">
        <v>-3.7841180000000002E-2</v>
      </c>
      <c r="W7520">
        <v>1.6610159999999999E-2</v>
      </c>
      <c r="X7520">
        <v>0.99914570000000003</v>
      </c>
      <c r="Y7520">
        <v>-0.28910619999999998</v>
      </c>
      <c r="Z7520">
        <v>2.6514289999999999E-2</v>
      </c>
      <c r="AA7520">
        <v>0.95692980000000005</v>
      </c>
      <c r="AB7520">
        <v>15</v>
      </c>
      <c r="AC7520">
        <v>22.398900000000001</v>
      </c>
      <c r="AD7520">
        <v>-1.1128459654939999</v>
      </c>
      <c r="AE7520">
        <v>-2.7406299999999901</v>
      </c>
      <c r="AF7520">
        <v>-6.5459862359129097</v>
      </c>
      <c r="AG7520">
        <v>-1.1128459654939999</v>
      </c>
      <c r="AH7520">
        <v>21.538430589487501</v>
      </c>
      <c r="AI7520">
        <v>92.830125653578904</v>
      </c>
      <c r="AJ7520">
        <v>106.905140139764</v>
      </c>
      <c r="AK7520">
        <v>22.538685724812101</v>
      </c>
      <c r="AL7520">
        <v>89.048264159469198</v>
      </c>
      <c r="AM7520">
        <v>92.168957073763593</v>
      </c>
      <c r="AN7520">
        <v>0.99999999107375404</v>
      </c>
    </row>
    <row r="7521" spans="1:40" x14ac:dyDescent="0.25">
      <c r="A7521" t="str">
        <f>"20190312154111173"</f>
        <v>20190312154111173</v>
      </c>
      <c r="B7521" t="str">
        <f>"1552376471163614"</f>
        <v>1552376471163614</v>
      </c>
      <c r="C7521" t="s">
        <v>40</v>
      </c>
      <c r="D7521">
        <v>4.2980029999999996</v>
      </c>
      <c r="E7521">
        <v>0.40166210000000002</v>
      </c>
      <c r="F7521" t="s">
        <v>87</v>
      </c>
      <c r="G7521">
        <v>-376.40179999999998</v>
      </c>
      <c r="H7521" s="1">
        <v>-2.018959E-6</v>
      </c>
      <c r="I7521">
        <v>17.713170000000002</v>
      </c>
      <c r="J7521">
        <v>-398.80619999999999</v>
      </c>
      <c r="K7521">
        <v>1.112843</v>
      </c>
      <c r="L7521">
        <v>20.378969999999999</v>
      </c>
      <c r="M7521">
        <v>0.9162865</v>
      </c>
      <c r="N7521">
        <v>0</v>
      </c>
      <c r="O7521">
        <v>-0.40027649999999998</v>
      </c>
      <c r="P7521">
        <v>0.93100850000000002</v>
      </c>
      <c r="Q7521">
        <v>3.026515E-3</v>
      </c>
      <c r="R7521">
        <v>-0.36498570000000002</v>
      </c>
      <c r="S7521">
        <v>3.0818479999999999</v>
      </c>
      <c r="T7521">
        <v>-0.1522733</v>
      </c>
      <c r="U7521">
        <v>-0.37106319999999998</v>
      </c>
      <c r="V7521">
        <v>-3.8333649999999997E-2</v>
      </c>
      <c r="W7521">
        <v>1.6858080000000001E-2</v>
      </c>
      <c r="X7521">
        <v>0.99912279999999998</v>
      </c>
      <c r="Y7521">
        <v>-0.28710649999999999</v>
      </c>
      <c r="Z7521">
        <v>2.6213139999999999E-2</v>
      </c>
      <c r="AA7521">
        <v>0.9575399</v>
      </c>
      <c r="AB7521">
        <v>15</v>
      </c>
      <c r="AC7521">
        <v>22.404399999999999</v>
      </c>
      <c r="AD7521">
        <v>-1.112845018959</v>
      </c>
      <c r="AE7521">
        <v>-2.6657999999999999</v>
      </c>
      <c r="AF7521">
        <v>-6.5101261251873304</v>
      </c>
      <c r="AG7521">
        <v>-1.112845018959</v>
      </c>
      <c r="AH7521">
        <v>21.545627116837899</v>
      </c>
      <c r="AI7521">
        <v>92.830564220700296</v>
      </c>
      <c r="AJ7521">
        <v>106.81247183161901</v>
      </c>
      <c r="AK7521">
        <v>22.535177258230998</v>
      </c>
      <c r="AL7521">
        <v>89.034057424938197</v>
      </c>
      <c r="AM7521">
        <v>92.197206983596601</v>
      </c>
      <c r="AN7521">
        <v>1.00000001653172</v>
      </c>
    </row>
    <row r="7522" spans="1:40" x14ac:dyDescent="0.25">
      <c r="A7522" t="str">
        <f>"20190312154111185"</f>
        <v>20190312154111185</v>
      </c>
      <c r="B7522" t="str">
        <f>"1552376471174350"</f>
        <v>1552376471174350</v>
      </c>
      <c r="C7522" t="s">
        <v>40</v>
      </c>
      <c r="D7522">
        <v>4.2958749999999997</v>
      </c>
      <c r="E7522">
        <v>0.40166210000000002</v>
      </c>
      <c r="F7522" t="s">
        <v>87</v>
      </c>
      <c r="G7522">
        <v>-376.30990000000003</v>
      </c>
      <c r="H7522" s="1">
        <v>-2.0529229999999999E-6</v>
      </c>
      <c r="I7522">
        <v>17.766439999999999</v>
      </c>
      <c r="J7522">
        <v>-398.73509999999999</v>
      </c>
      <c r="K7522">
        <v>1.1128420000000001</v>
      </c>
      <c r="L7522">
        <v>20.35172</v>
      </c>
      <c r="M7522">
        <v>0.91747599999999996</v>
      </c>
      <c r="N7522">
        <v>0</v>
      </c>
      <c r="O7522">
        <v>-0.39754230000000002</v>
      </c>
      <c r="P7522">
        <v>0.93214399999999997</v>
      </c>
      <c r="Q7522">
        <v>3.068164E-3</v>
      </c>
      <c r="R7522">
        <v>-0.36207529999999999</v>
      </c>
      <c r="S7522">
        <v>3.0824579999999999</v>
      </c>
      <c r="T7522">
        <v>-0.1524829</v>
      </c>
      <c r="U7522">
        <v>-0.35797119999999999</v>
      </c>
      <c r="V7522">
        <v>-3.8475599999999999E-2</v>
      </c>
      <c r="W7522">
        <v>1.6899560000000001E-2</v>
      </c>
      <c r="X7522">
        <v>0.99911660000000002</v>
      </c>
      <c r="Y7522">
        <v>-0.2882827</v>
      </c>
      <c r="Z7522">
        <v>2.615965E-2</v>
      </c>
      <c r="AA7522">
        <v>0.95718800000000004</v>
      </c>
      <c r="AB7522">
        <v>15</v>
      </c>
      <c r="AC7522">
        <v>22.425199999999901</v>
      </c>
      <c r="AD7522">
        <v>-1.1128440529229999</v>
      </c>
      <c r="AE7522">
        <v>-2.58528</v>
      </c>
      <c r="AF7522">
        <v>-6.5278161636762899</v>
      </c>
      <c r="AG7522">
        <v>-1.1128440529229999</v>
      </c>
      <c r="AH7522">
        <v>21.552100597462999</v>
      </c>
      <c r="AI7522">
        <v>92.829141384071704</v>
      </c>
      <c r="AJ7522">
        <v>106.850793304048</v>
      </c>
      <c r="AK7522">
        <v>22.546481896651699</v>
      </c>
      <c r="AL7522">
        <v>89.031680415908497</v>
      </c>
      <c r="AM7522">
        <v>92.205348922225895</v>
      </c>
      <c r="AN7522">
        <v>0.99999997365955595</v>
      </c>
    </row>
    <row r="7523" spans="1:40" x14ac:dyDescent="0.25">
      <c r="A7523" t="str">
        <f>"20190312154111195"</f>
        <v>20190312154111195</v>
      </c>
      <c r="B7523" t="str">
        <f>"1552376471184110"</f>
        <v>1552376471184110</v>
      </c>
      <c r="C7523" t="s">
        <v>40</v>
      </c>
      <c r="D7523">
        <v>4.3140679999999998</v>
      </c>
      <c r="E7523">
        <v>0.40730830000000001</v>
      </c>
      <c r="F7523" t="s">
        <v>87</v>
      </c>
      <c r="G7523">
        <v>-376.24009999999998</v>
      </c>
      <c r="H7523" s="1">
        <v>-2.07819E-6</v>
      </c>
      <c r="I7523">
        <v>17.810189999999999</v>
      </c>
      <c r="J7523">
        <v>-398.66789999999997</v>
      </c>
      <c r="K7523">
        <v>1.1128420000000001</v>
      </c>
      <c r="L7523">
        <v>20.32611</v>
      </c>
      <c r="M7523">
        <v>0.91859559999999996</v>
      </c>
      <c r="N7523">
        <v>0</v>
      </c>
      <c r="O7523">
        <v>-0.39494859999999998</v>
      </c>
      <c r="P7523">
        <v>0.93322210000000005</v>
      </c>
      <c r="Q7523">
        <v>3.210718E-3</v>
      </c>
      <c r="R7523">
        <v>-0.35928599999999999</v>
      </c>
      <c r="S7523">
        <v>3.0835880000000002</v>
      </c>
      <c r="T7523">
        <v>-0.15254709999999999</v>
      </c>
      <c r="U7523">
        <v>-0.3483887</v>
      </c>
      <c r="V7523">
        <v>-3.8641300000000003E-2</v>
      </c>
      <c r="W7523">
        <v>1.704116E-2</v>
      </c>
      <c r="X7523">
        <v>0.99910779999999999</v>
      </c>
      <c r="Y7523">
        <v>-0.28855589999999998</v>
      </c>
      <c r="Z7523">
        <v>2.6057650000000002E-2</v>
      </c>
      <c r="AA7523">
        <v>0.95710839999999997</v>
      </c>
      <c r="AB7523">
        <v>15</v>
      </c>
      <c r="AC7523">
        <v>22.427799999999898</v>
      </c>
      <c r="AD7523">
        <v>-1.11284407819</v>
      </c>
      <c r="AE7523">
        <v>-2.5159199999999999</v>
      </c>
      <c r="AF7523">
        <v>-6.5314815670023503</v>
      </c>
      <c r="AG7523">
        <v>-1.11284407819</v>
      </c>
      <c r="AH7523">
        <v>21.545486190940899</v>
      </c>
      <c r="AI7523">
        <v>92.829802266804194</v>
      </c>
      <c r="AJ7523">
        <v>106.86460056422101</v>
      </c>
      <c r="AK7523">
        <v>22.541221098389499</v>
      </c>
      <c r="AL7523">
        <v>89.023566164752495</v>
      </c>
      <c r="AM7523">
        <v>92.214856584212001</v>
      </c>
      <c r="AN7523">
        <v>0.99999997361033699</v>
      </c>
    </row>
    <row r="7524" spans="1:40" x14ac:dyDescent="0.25">
      <c r="A7524" t="str">
        <f>"20190312154111208"</f>
        <v>20190312154111208</v>
      </c>
      <c r="B7524" t="str">
        <f>"1552376471203630"</f>
        <v>1552376471203630</v>
      </c>
      <c r="C7524" t="s">
        <v>40</v>
      </c>
      <c r="D7524">
        <v>4.3362600000000002</v>
      </c>
      <c r="E7524">
        <v>0.40752759999999999</v>
      </c>
      <c r="F7524" t="s">
        <v>87</v>
      </c>
      <c r="G7524">
        <v>-379.7602</v>
      </c>
      <c r="H7524" s="1">
        <v>-5.1038050000000001E-7</v>
      </c>
      <c r="I7524">
        <v>17.984939999999899</v>
      </c>
      <c r="J7524">
        <v>-398.59410000000003</v>
      </c>
      <c r="K7524">
        <v>1.1128439999999999</v>
      </c>
      <c r="L7524">
        <v>20.298369999999998</v>
      </c>
      <c r="M7524">
        <v>0.91982470000000005</v>
      </c>
      <c r="N7524">
        <v>0</v>
      </c>
      <c r="O7524">
        <v>-0.39207750000000002</v>
      </c>
      <c r="P7524">
        <v>0.93427439999999995</v>
      </c>
      <c r="Q7524">
        <v>3.2829740000000001E-3</v>
      </c>
      <c r="R7524">
        <v>-0.35653970000000001</v>
      </c>
      <c r="S7524">
        <v>3.069</v>
      </c>
      <c r="T7524">
        <v>-0.18063009999999999</v>
      </c>
      <c r="U7524">
        <v>-0.38000489999999998</v>
      </c>
      <c r="V7524">
        <v>-3.8459739999999999E-2</v>
      </c>
      <c r="W7524">
        <v>1.7115539999999999E-2</v>
      </c>
      <c r="X7524">
        <v>0.99911360000000005</v>
      </c>
      <c r="Y7524">
        <v>-0.27500780000000002</v>
      </c>
      <c r="Z7524">
        <v>3.041013E-2</v>
      </c>
      <c r="AA7524">
        <v>0.96096090000000001</v>
      </c>
      <c r="AB7524">
        <v>15</v>
      </c>
      <c r="AC7524">
        <v>18.8339</v>
      </c>
      <c r="AD7524">
        <v>-1.1128445103805</v>
      </c>
      <c r="AE7524">
        <v>-2.3134299999999999</v>
      </c>
      <c r="AF7524">
        <v>-5.2388994323971403</v>
      </c>
      <c r="AG7524">
        <v>-1.1128445103805</v>
      </c>
      <c r="AH7524">
        <v>18.170238152274301</v>
      </c>
      <c r="AI7524">
        <v>93.367872015105903</v>
      </c>
      <c r="AJ7524">
        <v>106.083493573482</v>
      </c>
      <c r="AK7524">
        <v>18.943126581359799</v>
      </c>
      <c r="AL7524">
        <v>89.019303947555102</v>
      </c>
      <c r="AM7524">
        <v>92.204447366606999</v>
      </c>
      <c r="AN7524">
        <v>1.00000003950765</v>
      </c>
    </row>
    <row r="7525" spans="1:40" x14ac:dyDescent="0.25">
      <c r="A7525" t="str">
        <f>"20190312154111224"</f>
        <v>20190312154111224</v>
      </c>
      <c r="B7525" t="str">
        <f>"1552376471214365"</f>
        <v>1552376471214365</v>
      </c>
      <c r="C7525" t="s">
        <v>40</v>
      </c>
      <c r="D7525">
        <v>4.271261</v>
      </c>
      <c r="E7525">
        <v>0.40819699999999998</v>
      </c>
      <c r="F7525" t="s">
        <v>86</v>
      </c>
      <c r="G7525">
        <v>-380.66809999999998</v>
      </c>
      <c r="H7525" s="1">
        <v>-4.6762969999999997E-6</v>
      </c>
      <c r="I7525">
        <v>18.124669999999998</v>
      </c>
      <c r="J7525">
        <v>-398.49220000000003</v>
      </c>
      <c r="K7525">
        <v>1.1128480000000001</v>
      </c>
      <c r="L7525">
        <v>20.260439999999999</v>
      </c>
      <c r="M7525">
        <v>0.9215139</v>
      </c>
      <c r="N7525">
        <v>0</v>
      </c>
      <c r="O7525">
        <v>-0.3880905</v>
      </c>
      <c r="P7525">
        <v>0.93568249999999997</v>
      </c>
      <c r="Q7525">
        <v>3.386876E-3</v>
      </c>
      <c r="R7525">
        <v>-0.35282729999999901</v>
      </c>
      <c r="S7525">
        <v>3.0696409999999998</v>
      </c>
      <c r="T7525">
        <v>-0.19056339999999999</v>
      </c>
      <c r="U7525">
        <v>-0.37222290000000002</v>
      </c>
      <c r="V7525">
        <v>-3.8100929999999998E-2</v>
      </c>
      <c r="W7525">
        <v>1.7221859999999999E-2</v>
      </c>
      <c r="X7525">
        <v>0.9991255</v>
      </c>
      <c r="Y7525">
        <v>-0.2731557</v>
      </c>
      <c r="Z7525">
        <v>3.1795869999999997E-2</v>
      </c>
      <c r="AA7525">
        <v>0.96144419999999997</v>
      </c>
      <c r="AB7525">
        <v>15</v>
      </c>
      <c r="AC7525">
        <v>17.824100000000001</v>
      </c>
      <c r="AD7525">
        <v>-1.1128526762969999</v>
      </c>
      <c r="AE7525">
        <v>-2.1357699999999902</v>
      </c>
      <c r="AF7525">
        <v>-4.9307630704280196</v>
      </c>
      <c r="AG7525">
        <v>-1.1128526762969999</v>
      </c>
      <c r="AH7525">
        <v>17.189675762368701</v>
      </c>
      <c r="AI7525">
        <v>93.560927923558793</v>
      </c>
      <c r="AJ7525">
        <v>106.005244529099</v>
      </c>
      <c r="AK7525">
        <v>17.917472431992302</v>
      </c>
      <c r="AL7525">
        <v>89.013211342310996</v>
      </c>
      <c r="AM7525">
        <v>92.183875004931906</v>
      </c>
      <c r="AN7525">
        <v>1.00000001903948</v>
      </c>
    </row>
    <row r="7526" spans="1:40" x14ac:dyDescent="0.25">
      <c r="A7526" t="str">
        <f>"20190312154111234"</f>
        <v>20190312154111234</v>
      </c>
      <c r="B7526" t="str">
        <f>"1552376471224126"</f>
        <v>1552376471224126</v>
      </c>
      <c r="C7526" t="s">
        <v>40</v>
      </c>
      <c r="D7526">
        <v>4.3185289999999998</v>
      </c>
      <c r="E7526">
        <v>0.40875119999999998</v>
      </c>
      <c r="F7526" t="s">
        <v>86</v>
      </c>
      <c r="G7526">
        <v>-380.47550000000001</v>
      </c>
      <c r="H7526" s="1">
        <v>-4.7684400000000002E-6</v>
      </c>
      <c r="I7526">
        <v>18.118510000000001</v>
      </c>
      <c r="J7526">
        <v>-398.42529999999999</v>
      </c>
      <c r="K7526">
        <v>1.112852</v>
      </c>
      <c r="L7526">
        <v>20.235779999999998</v>
      </c>
      <c r="M7526">
        <v>0.92261879999999996</v>
      </c>
      <c r="N7526">
        <v>0</v>
      </c>
      <c r="O7526">
        <v>-0.38545629999999997</v>
      </c>
      <c r="P7526">
        <v>0.93667089999999997</v>
      </c>
      <c r="Q7526">
        <v>3.5504360000000001E-3</v>
      </c>
      <c r="R7526">
        <v>-0.35019309999999998</v>
      </c>
      <c r="S7526">
        <v>3.0693359999999998</v>
      </c>
      <c r="T7526">
        <v>-0.18958610000000001</v>
      </c>
      <c r="U7526">
        <v>-0.36489870000000002</v>
      </c>
      <c r="V7526">
        <v>-3.8058420000000003E-2</v>
      </c>
      <c r="W7526">
        <v>1.7385390000000001E-2</v>
      </c>
      <c r="X7526">
        <v>0.99912429999999997</v>
      </c>
      <c r="Y7526">
        <v>-0.27267529999999901</v>
      </c>
      <c r="Z7526">
        <v>3.1478800000000001E-2</v>
      </c>
      <c r="AA7526">
        <v>0.96159099999999997</v>
      </c>
      <c r="AB7526">
        <v>15</v>
      </c>
      <c r="AC7526">
        <v>17.9497999999999</v>
      </c>
      <c r="AD7526">
        <v>-1.1128567684399999</v>
      </c>
      <c r="AE7526">
        <v>-2.1172699999999902</v>
      </c>
      <c r="AF7526">
        <v>-4.9471671024538901</v>
      </c>
      <c r="AG7526">
        <v>-1.1128567684399999</v>
      </c>
      <c r="AH7526">
        <v>17.3130241080068</v>
      </c>
      <c r="AI7526">
        <v>93.536658355695806</v>
      </c>
      <c r="AJ7526">
        <v>105.947197355824</v>
      </c>
      <c r="AK7526">
        <v>18.040335814254899</v>
      </c>
      <c r="AL7526">
        <v>89.0038403725422</v>
      </c>
      <c r="AM7526">
        <v>92.181443382981598</v>
      </c>
      <c r="AN7526">
        <v>1.0000000309844099</v>
      </c>
    </row>
    <row r="7527" spans="1:40" x14ac:dyDescent="0.25">
      <c r="A7527" t="str">
        <f>"20190312154111252"</f>
        <v>20190312154111252</v>
      </c>
      <c r="B7527" t="str">
        <f>"1552376471243645"</f>
        <v>1552376471243645</v>
      </c>
      <c r="C7527" t="s">
        <v>40</v>
      </c>
      <c r="D7527">
        <v>4.2890459999999999</v>
      </c>
      <c r="E7527">
        <v>0.4098096</v>
      </c>
      <c r="F7527" t="s">
        <v>86</v>
      </c>
      <c r="G7527">
        <v>-380.16950000000003</v>
      </c>
      <c r="H7527" s="1">
        <v>-4.9179080000000002E-6</v>
      </c>
      <c r="I7527">
        <v>18.091329999999999</v>
      </c>
      <c r="J7527">
        <v>-398.31990000000002</v>
      </c>
      <c r="K7527">
        <v>1.1128579999999999</v>
      </c>
      <c r="L7527">
        <v>20.197569999999999</v>
      </c>
      <c r="M7527">
        <v>0.92435469999999997</v>
      </c>
      <c r="N7527">
        <v>0</v>
      </c>
      <c r="O7527">
        <v>-0.38127480000000002</v>
      </c>
      <c r="P7527">
        <v>0.93823000000000001</v>
      </c>
      <c r="Q7527">
        <v>3.1710509999999998E-3</v>
      </c>
      <c r="R7527">
        <v>-0.34599770000000002</v>
      </c>
      <c r="S7527">
        <v>3.0687259999999998</v>
      </c>
      <c r="T7527">
        <v>-0.1870667</v>
      </c>
      <c r="U7527">
        <v>-0.36047360000000001</v>
      </c>
      <c r="V7527">
        <v>-3.8004820000000002E-2</v>
      </c>
      <c r="W7527">
        <v>1.7007310000000001E-2</v>
      </c>
      <c r="X7527">
        <v>0.99913280000000004</v>
      </c>
      <c r="Y7527">
        <v>-0.26970680000000002</v>
      </c>
      <c r="Z7527">
        <v>3.0746389999999998E-2</v>
      </c>
      <c r="AA7527">
        <v>0.96245150000000002</v>
      </c>
      <c r="AB7527">
        <v>15</v>
      </c>
      <c r="AC7527">
        <v>18.150399999999902</v>
      </c>
      <c r="AD7527">
        <v>-1.1128629179079901</v>
      </c>
      <c r="AE7527">
        <v>-2.1062400000000001</v>
      </c>
      <c r="AF7527">
        <v>-4.9554877111583799</v>
      </c>
      <c r="AG7527">
        <v>-1.1128629179079901</v>
      </c>
      <c r="AH7527">
        <v>17.517225660963501</v>
      </c>
      <c r="AI7527">
        <v>93.498173609667006</v>
      </c>
      <c r="AJ7527">
        <v>105.795798061421</v>
      </c>
      <c r="AK7527">
        <v>18.238654478513901</v>
      </c>
      <c r="AL7527">
        <v>89.025505917678302</v>
      </c>
      <c r="AM7527">
        <v>92.178355570355293</v>
      </c>
      <c r="AN7527">
        <v>0.99999998348625396</v>
      </c>
    </row>
    <row r="7528" spans="1:40" x14ac:dyDescent="0.25">
      <c r="A7528" t="str">
        <f>"20190312154111269"</f>
        <v>20190312154111269</v>
      </c>
      <c r="B7528" t="str">
        <f>"1552376471264141"</f>
        <v>1552376471264141</v>
      </c>
      <c r="C7528" t="s">
        <v>40</v>
      </c>
      <c r="D7528">
        <v>4.2413210000000001</v>
      </c>
      <c r="E7528">
        <v>0.40534759999999997</v>
      </c>
      <c r="F7528" t="s">
        <v>87</v>
      </c>
      <c r="G7528">
        <v>-379.76659999999998</v>
      </c>
      <c r="H7528" s="1">
        <v>-4.9037439999999999E-7</v>
      </c>
      <c r="I7528">
        <v>18.050889999999999</v>
      </c>
      <c r="J7528">
        <v>-398.21929999999998</v>
      </c>
      <c r="K7528">
        <v>1.1128670000000001</v>
      </c>
      <c r="L7528">
        <v>20.161619999999999</v>
      </c>
      <c r="M7528">
        <v>0.92600470000000001</v>
      </c>
      <c r="N7528">
        <v>0</v>
      </c>
      <c r="O7528">
        <v>-0.37724970000000002</v>
      </c>
      <c r="P7528">
        <v>0.93966479999999997</v>
      </c>
      <c r="Q7528">
        <v>2.3105629999999999E-3</v>
      </c>
      <c r="R7528">
        <v>-0.34208909999999998</v>
      </c>
      <c r="S7528">
        <v>3.0672299999999999</v>
      </c>
      <c r="T7528">
        <v>-0.18397759999999999</v>
      </c>
      <c r="U7528">
        <v>-0.35488890000000001</v>
      </c>
      <c r="V7528">
        <v>-3.7812900000000003E-2</v>
      </c>
      <c r="W7528">
        <v>1.614817E-2</v>
      </c>
      <c r="X7528">
        <v>0.99915430000000005</v>
      </c>
      <c r="Y7528">
        <v>-0.26723909999999901</v>
      </c>
      <c r="Z7528">
        <v>2.9962409999999998E-2</v>
      </c>
      <c r="AA7528">
        <v>0.96316429999999997</v>
      </c>
      <c r="AB7528">
        <v>15</v>
      </c>
      <c r="AC7528">
        <v>18.4527</v>
      </c>
      <c r="AD7528">
        <v>-1.11286749037439</v>
      </c>
      <c r="AE7528">
        <v>-2.1107300000000002</v>
      </c>
      <c r="AF7528">
        <v>-4.9893125273262999</v>
      </c>
      <c r="AG7528">
        <v>-1.11286749037439</v>
      </c>
      <c r="AH7528">
        <v>17.821346931537501</v>
      </c>
      <c r="AI7528">
        <v>93.441257496335595</v>
      </c>
      <c r="AJ7528">
        <v>105.64026504153099</v>
      </c>
      <c r="AK7528">
        <v>18.540014023745702</v>
      </c>
      <c r="AL7528">
        <v>89.074737747711097</v>
      </c>
      <c r="AM7528">
        <v>92.167319047725201</v>
      </c>
      <c r="AN7528">
        <v>0.99999994700462302</v>
      </c>
    </row>
    <row r="7529" spans="1:40" x14ac:dyDescent="0.25">
      <c r="A7529" t="str">
        <f>"20190312154111282"</f>
        <v>20190312154111282</v>
      </c>
      <c r="B7529" t="str">
        <f>"1552376471273902"</f>
        <v>1552376471273902</v>
      </c>
      <c r="C7529" t="s">
        <v>40</v>
      </c>
      <c r="D7529">
        <v>4.2286839999999897</v>
      </c>
      <c r="E7529">
        <v>0.40607379999999998</v>
      </c>
      <c r="F7529" t="s">
        <v>42</v>
      </c>
      <c r="G7529">
        <v>-348.64400000000001</v>
      </c>
      <c r="H7529" s="1">
        <v>-1.644727E-6</v>
      </c>
      <c r="I7529">
        <v>15.11673</v>
      </c>
      <c r="J7529">
        <v>-398.14409999999998</v>
      </c>
      <c r="K7529">
        <v>1.11287</v>
      </c>
      <c r="L7529">
        <v>20.135069999999999</v>
      </c>
      <c r="M7529">
        <v>0.92723409999999995</v>
      </c>
      <c r="N7529">
        <v>0</v>
      </c>
      <c r="O7529">
        <v>-0.37421769999999999</v>
      </c>
      <c r="P7529">
        <v>0.94077849999999996</v>
      </c>
      <c r="Q7529">
        <v>1.7851290000000001E-3</v>
      </c>
      <c r="R7529">
        <v>-0.33901789999999998</v>
      </c>
      <c r="S7529">
        <v>3.078735</v>
      </c>
      <c r="T7529">
        <v>-6.9111590000000001E-2</v>
      </c>
      <c r="U7529">
        <v>-0.3132935</v>
      </c>
      <c r="V7529">
        <v>-3.7805579999999998E-2</v>
      </c>
      <c r="W7529">
        <v>1.562324E-2</v>
      </c>
      <c r="X7529">
        <v>0.99916300000000002</v>
      </c>
      <c r="Y7529">
        <v>-0.27829409999999999</v>
      </c>
      <c r="Z7529">
        <v>1.129643E-2</v>
      </c>
      <c r="AA7529">
        <v>0.96042950000000005</v>
      </c>
      <c r="AB7529">
        <v>15</v>
      </c>
      <c r="AC7529">
        <v>49.500099999999897</v>
      </c>
      <c r="AD7529">
        <v>-1.112871644727</v>
      </c>
      <c r="AE7529">
        <v>-5.0183400000000002</v>
      </c>
      <c r="AF7529">
        <v>-13.8650744484677</v>
      </c>
      <c r="AG7529">
        <v>-1.112871644727</v>
      </c>
      <c r="AH7529">
        <v>47.756970569095003</v>
      </c>
      <c r="AI7529">
        <v>91.281993818354294</v>
      </c>
      <c r="AJ7529">
        <v>106.189369471943</v>
      </c>
      <c r="AK7529">
        <v>49.741401374474698</v>
      </c>
      <c r="AL7529">
        <v>89.104817887832496</v>
      </c>
      <c r="AM7529">
        <v>92.166881038012605</v>
      </c>
      <c r="AN7529">
        <v>1.0000000240381099</v>
      </c>
    </row>
    <row r="7530" spans="1:40" x14ac:dyDescent="0.25">
      <c r="A7530" t="str">
        <f>"20190312154111295"</f>
        <v>20190312154111295</v>
      </c>
      <c r="B7530" t="str">
        <f>"1552376471283662"</f>
        <v>1552376471283662</v>
      </c>
      <c r="C7530" t="s">
        <v>40</v>
      </c>
      <c r="D7530">
        <v>4.2215309999999997</v>
      </c>
      <c r="E7530">
        <v>0.40645189999999998</v>
      </c>
      <c r="F7530" t="s">
        <v>42</v>
      </c>
      <c r="G7530">
        <v>-348.74430000000001</v>
      </c>
      <c r="H7530" s="1">
        <v>-1.5940619999999999E-6</v>
      </c>
      <c r="I7530">
        <v>15.178890000000001</v>
      </c>
      <c r="J7530">
        <v>-398.05439999999999</v>
      </c>
      <c r="K7530">
        <v>1.112879</v>
      </c>
      <c r="L7530">
        <v>20.10379</v>
      </c>
      <c r="M7530">
        <v>0.92869630000000003</v>
      </c>
      <c r="N7530">
        <v>0</v>
      </c>
      <c r="O7530">
        <v>-0.37057390000000001</v>
      </c>
      <c r="P7530">
        <v>0.94199719999999998</v>
      </c>
      <c r="Q7530">
        <v>1.3846329999999999E-3</v>
      </c>
      <c r="R7530">
        <v>-0.33561859999999999</v>
      </c>
      <c r="S7530">
        <v>3.077728</v>
      </c>
      <c r="T7530">
        <v>-6.9334629999999994E-2</v>
      </c>
      <c r="U7530">
        <v>-0.30877690000000002</v>
      </c>
      <c r="V7530">
        <v>-3.7488510000000003E-2</v>
      </c>
      <c r="W7530">
        <v>1.522512E-2</v>
      </c>
      <c r="X7530">
        <v>0.99918110000000004</v>
      </c>
      <c r="Y7530">
        <v>-0.27588550000000001</v>
      </c>
      <c r="Z7530">
        <v>1.1234579999999999E-2</v>
      </c>
      <c r="AA7530">
        <v>0.9611248</v>
      </c>
      <c r="AB7530">
        <v>15</v>
      </c>
      <c r="AC7530">
        <v>49.310099999999899</v>
      </c>
      <c r="AD7530">
        <v>-1.1128805940619999</v>
      </c>
      <c r="AE7530">
        <v>-4.9249000000000001</v>
      </c>
      <c r="AF7530">
        <v>-13.6937510678701</v>
      </c>
      <c r="AG7530">
        <v>-1.1128805940619999</v>
      </c>
      <c r="AH7530">
        <v>47.599859767240702</v>
      </c>
      <c r="AI7530">
        <v>91.287140222600399</v>
      </c>
      <c r="AJ7530">
        <v>106.049717081498</v>
      </c>
      <c r="AK7530">
        <v>49.542950773913503</v>
      </c>
      <c r="AL7530">
        <v>89.127631203662602</v>
      </c>
      <c r="AM7530">
        <v>92.148685935651997</v>
      </c>
      <c r="AN7530">
        <v>1.00000003162912</v>
      </c>
    </row>
    <row r="7531" spans="1:40" x14ac:dyDescent="0.25">
      <c r="A7531" t="str">
        <f>"20190312154111309"</f>
        <v>20190312154111309</v>
      </c>
      <c r="B7531" t="str">
        <f>"1552376471304158"</f>
        <v>1552376471304158</v>
      </c>
      <c r="C7531" t="s">
        <v>40</v>
      </c>
      <c r="D7531">
        <v>4.3917679999999999</v>
      </c>
      <c r="E7531">
        <v>0.40694859999999999</v>
      </c>
      <c r="F7531" t="s">
        <v>42</v>
      </c>
      <c r="G7531">
        <v>-347.45089999999999</v>
      </c>
      <c r="H7531" s="1">
        <v>-2.0386109999999999E-6</v>
      </c>
      <c r="I7531">
        <v>15.162369999999999</v>
      </c>
      <c r="J7531">
        <v>-397.97649999999999</v>
      </c>
      <c r="K7531">
        <v>1.112887</v>
      </c>
      <c r="L7531">
        <v>20.077089999999998</v>
      </c>
      <c r="M7531">
        <v>0.92996630000000002</v>
      </c>
      <c r="N7531">
        <v>0</v>
      </c>
      <c r="O7531">
        <v>-0.36737530000000002</v>
      </c>
      <c r="P7531">
        <v>0.94306950000000001</v>
      </c>
      <c r="Q7531">
        <v>2.7206350000000002E-4</v>
      </c>
      <c r="R7531">
        <v>-0.33259610000000001</v>
      </c>
      <c r="S7531">
        <v>3.0777589999999999</v>
      </c>
      <c r="T7531">
        <v>-6.7686560000000007E-2</v>
      </c>
      <c r="U7531">
        <v>-0.300537099999999</v>
      </c>
      <c r="V7531">
        <v>-3.7247549999999997E-2</v>
      </c>
      <c r="W7531">
        <v>1.4114689999999999E-2</v>
      </c>
      <c r="X7531">
        <v>0.99920640000000005</v>
      </c>
      <c r="Y7531">
        <v>-0.27513459999999901</v>
      </c>
      <c r="Z7531">
        <v>1.089617E-2</v>
      </c>
      <c r="AA7531">
        <v>0.96134390000000003</v>
      </c>
      <c r="AB7531">
        <v>15</v>
      </c>
      <c r="AC7531">
        <v>50.525599999999997</v>
      </c>
      <c r="AD7531">
        <v>-1.112889038611</v>
      </c>
      <c r="AE7531">
        <v>-4.9147199999999902</v>
      </c>
      <c r="AF7531">
        <v>-13.985997539609301</v>
      </c>
      <c r="AG7531">
        <v>-1.112889038611</v>
      </c>
      <c r="AH7531">
        <v>48.774043726377101</v>
      </c>
      <c r="AI7531">
        <v>91.256484446431799</v>
      </c>
      <c r="AJ7531">
        <v>106.000288252498</v>
      </c>
      <c r="AK7531">
        <v>50.751886571956803</v>
      </c>
      <c r="AL7531">
        <v>89.191260992767099</v>
      </c>
      <c r="AM7531">
        <v>92.134833922862299</v>
      </c>
      <c r="AN7531">
        <v>1.00000001712787</v>
      </c>
    </row>
    <row r="7532" spans="1:40" x14ac:dyDescent="0.25">
      <c r="A7532" t="str">
        <f>"20190312154111325"</f>
        <v>20190312154111325</v>
      </c>
      <c r="B7532" t="str">
        <f>"1552376471313917"</f>
        <v>1552376471313917</v>
      </c>
      <c r="C7532" t="s">
        <v>40</v>
      </c>
      <c r="D7532">
        <v>4.2533459999999996</v>
      </c>
      <c r="E7532">
        <v>0.41250140000000002</v>
      </c>
      <c r="F7532" t="s">
        <v>42</v>
      </c>
      <c r="G7532">
        <v>-349.58949999999999</v>
      </c>
      <c r="H7532" s="1">
        <v>-1.2348659999999999E-6</v>
      </c>
      <c r="I7532">
        <v>15.447850000000001</v>
      </c>
      <c r="J7532">
        <v>-397.87459999999999</v>
      </c>
      <c r="K7532">
        <v>1.112897</v>
      </c>
      <c r="L7532">
        <v>20.04251</v>
      </c>
      <c r="M7532">
        <v>0.9316238</v>
      </c>
      <c r="N7532">
        <v>0</v>
      </c>
      <c r="O7532">
        <v>-0.36315160000000002</v>
      </c>
      <c r="P7532">
        <v>0.94439240000000002</v>
      </c>
      <c r="Q7532">
        <v>-1.644459E-3</v>
      </c>
      <c r="R7532">
        <v>-0.32881690000000002</v>
      </c>
      <c r="S7532">
        <v>3.0773009999999998</v>
      </c>
      <c r="T7532">
        <v>-7.0777060000000003E-2</v>
      </c>
      <c r="U7532">
        <v>-0.29440309999999997</v>
      </c>
      <c r="V7532">
        <v>-3.6702930000000002E-2</v>
      </c>
      <c r="W7532">
        <v>1.2197970000000001E-2</v>
      </c>
      <c r="X7532">
        <v>0.99925180000000002</v>
      </c>
      <c r="Y7532">
        <v>-0.27264349999999998</v>
      </c>
      <c r="Z7532">
        <v>1.1277860000000001E-2</v>
      </c>
      <c r="AA7532">
        <v>0.96204900000000004</v>
      </c>
      <c r="AB7532">
        <v>15</v>
      </c>
      <c r="AC7532">
        <v>48.2851</v>
      </c>
      <c r="AD7532">
        <v>-1.1128982348659999</v>
      </c>
      <c r="AE7532">
        <v>-4.5946599999999904</v>
      </c>
      <c r="AF7532">
        <v>-13.248654196767299</v>
      </c>
      <c r="AG7532">
        <v>-1.1128982348659999</v>
      </c>
      <c r="AH7532">
        <v>46.632175740736798</v>
      </c>
      <c r="AI7532">
        <v>91.315103312091694</v>
      </c>
      <c r="AJ7532">
        <v>105.860363335193</v>
      </c>
      <c r="AK7532">
        <v>48.490464988713498</v>
      </c>
      <c r="AL7532">
        <v>89.301090487137401</v>
      </c>
      <c r="AM7532">
        <v>92.103551926409395</v>
      </c>
      <c r="AN7532">
        <v>1.0000000276729699</v>
      </c>
    </row>
    <row r="7533" spans="1:40" x14ac:dyDescent="0.25">
      <c r="A7533" t="str">
        <f>"20190312154111341"</f>
        <v>20190312154111341</v>
      </c>
      <c r="B7533" t="str">
        <f>"1552376471334413"</f>
        <v>1552376471334413</v>
      </c>
      <c r="C7533" t="s">
        <v>40</v>
      </c>
      <c r="D7533">
        <v>4.2452860000000001</v>
      </c>
      <c r="E7533">
        <v>0.41354380000000002</v>
      </c>
      <c r="F7533" t="s">
        <v>42</v>
      </c>
      <c r="G7533">
        <v>-349.39229999999998</v>
      </c>
      <c r="H7533" s="1">
        <v>-1.4442169999999999E-6</v>
      </c>
      <c r="I7533">
        <v>14.913180000000001</v>
      </c>
      <c r="J7533">
        <v>-397.78309999999999</v>
      </c>
      <c r="K7533">
        <v>1.112906</v>
      </c>
      <c r="L7533">
        <v>20.011990000000001</v>
      </c>
      <c r="M7533">
        <v>0.93310649999999995</v>
      </c>
      <c r="N7533">
        <v>0</v>
      </c>
      <c r="O7533">
        <v>-0.3593248</v>
      </c>
      <c r="P7533">
        <v>0.94563889999999995</v>
      </c>
      <c r="Q7533">
        <v>-2.8270999999999999E-3</v>
      </c>
      <c r="R7533">
        <v>-0.325206099999999</v>
      </c>
      <c r="S7533">
        <v>3.0636899999999998</v>
      </c>
      <c r="T7533">
        <v>-7.0326330000000006E-2</v>
      </c>
      <c r="U7533">
        <v>-0.3241272</v>
      </c>
      <c r="V7533">
        <v>-3.6411819999999998E-2</v>
      </c>
      <c r="W7533">
        <v>1.1005010000000001E-2</v>
      </c>
      <c r="X7533">
        <v>0.99927630000000001</v>
      </c>
      <c r="Y7533">
        <v>-0.2590286</v>
      </c>
      <c r="Z7533">
        <v>1.100865E-2</v>
      </c>
      <c r="AA7533">
        <v>0.96580690000000002</v>
      </c>
      <c r="AB7533">
        <v>15</v>
      </c>
      <c r="AC7533">
        <v>48.390799999999999</v>
      </c>
      <c r="AD7533">
        <v>-1.1129074442169999</v>
      </c>
      <c r="AE7533">
        <v>-5.0988100000000003</v>
      </c>
      <c r="AF7533">
        <v>-12.6249277396418</v>
      </c>
      <c r="AG7533">
        <v>-1.1129074442169999</v>
      </c>
      <c r="AH7533">
        <v>46.965981348683997</v>
      </c>
      <c r="AI7533">
        <v>91.310909375813296</v>
      </c>
      <c r="AJ7533">
        <v>105.046009482714</v>
      </c>
      <c r="AK7533">
        <v>48.645973805192803</v>
      </c>
      <c r="AL7533">
        <v>89.369446662540597</v>
      </c>
      <c r="AM7533">
        <v>92.086831254149899</v>
      </c>
      <c r="AN7533">
        <v>1.0000000273112499</v>
      </c>
    </row>
    <row r="7534" spans="1:40" x14ac:dyDescent="0.25">
      <c r="A7534" t="str">
        <f>"20190312154111351"</f>
        <v>20190312154111351</v>
      </c>
      <c r="B7534" t="str">
        <f>"1552376471344174"</f>
        <v>1552376471344174</v>
      </c>
      <c r="C7534" t="s">
        <v>40</v>
      </c>
      <c r="D7534">
        <v>4.2494540000000001</v>
      </c>
      <c r="E7534">
        <v>0.41395500000000002</v>
      </c>
      <c r="F7534" t="s">
        <v>42</v>
      </c>
      <c r="G7534">
        <v>-356.86930000000001</v>
      </c>
      <c r="H7534" s="1">
        <v>-2.0831379999999998E-6</v>
      </c>
      <c r="I7534">
        <v>15.73884</v>
      </c>
      <c r="J7534">
        <v>-397.7131</v>
      </c>
      <c r="K7534">
        <v>1.1129119999999999</v>
      </c>
      <c r="L7534">
        <v>19.988980000000002</v>
      </c>
      <c r="M7534">
        <v>0.93424359999999995</v>
      </c>
      <c r="N7534">
        <v>0</v>
      </c>
      <c r="O7534">
        <v>-0.35635889999999998</v>
      </c>
      <c r="P7534">
        <v>0.94655060000000002</v>
      </c>
      <c r="Q7534">
        <v>-4.0008999999999999E-3</v>
      </c>
      <c r="R7534">
        <v>-0.32253080000000001</v>
      </c>
      <c r="S7534">
        <v>3.0622560000000001</v>
      </c>
      <c r="T7534">
        <v>-8.3297250000000003E-2</v>
      </c>
      <c r="U7534">
        <v>-0.3198242</v>
      </c>
      <c r="V7534">
        <v>-3.6054419999999997E-2</v>
      </c>
      <c r="W7534">
        <v>9.8101170000000001E-3</v>
      </c>
      <c r="X7534">
        <v>0.99930169999999996</v>
      </c>
      <c r="Y7534">
        <v>-0.25719320000000001</v>
      </c>
      <c r="Z7534">
        <v>1.2945699999999999E-2</v>
      </c>
      <c r="AA7534">
        <v>0.9662733</v>
      </c>
      <c r="AB7534">
        <v>15</v>
      </c>
      <c r="AC7534">
        <v>40.843799999999902</v>
      </c>
      <c r="AD7534">
        <v>-1.112914083138</v>
      </c>
      <c r="AE7534">
        <v>-4.2501399999999903</v>
      </c>
      <c r="AF7534">
        <v>-10.577660155854099</v>
      </c>
      <c r="AG7534">
        <v>-1.112914083138</v>
      </c>
      <c r="AH7534">
        <v>39.647425706108599</v>
      </c>
      <c r="AI7534">
        <v>91.553573794952101</v>
      </c>
      <c r="AJ7534">
        <v>104.938180860617</v>
      </c>
      <c r="AK7534">
        <v>41.049285465773899</v>
      </c>
      <c r="AL7534">
        <v>89.437912696665606</v>
      </c>
      <c r="AM7534">
        <v>92.066313342374002</v>
      </c>
      <c r="AN7534">
        <v>1.00000002360998</v>
      </c>
    </row>
    <row r="7535" spans="1:40" x14ac:dyDescent="0.25">
      <c r="A7535" t="str">
        <f>"20190312154111363"</f>
        <v>20190312154111363</v>
      </c>
      <c r="B7535" t="str">
        <f>"1552376471353934"</f>
        <v>1552376471353934</v>
      </c>
      <c r="C7535" t="s">
        <v>40</v>
      </c>
      <c r="D7535">
        <v>4.2835640000000001</v>
      </c>
      <c r="E7535">
        <v>0.41435660000000002</v>
      </c>
      <c r="F7535" t="s">
        <v>42</v>
      </c>
      <c r="G7535">
        <v>-359.57080000000002</v>
      </c>
      <c r="H7535" s="1">
        <v>-1.0740640000000001E-6</v>
      </c>
      <c r="I7535">
        <v>16.076029999999999</v>
      </c>
      <c r="J7535">
        <v>-397.64120000000003</v>
      </c>
      <c r="K7535">
        <v>1.112916</v>
      </c>
      <c r="L7535">
        <v>19.965610000000002</v>
      </c>
      <c r="M7535">
        <v>0.93540820000000002</v>
      </c>
      <c r="N7535">
        <v>0</v>
      </c>
      <c r="O7535">
        <v>-0.3532922</v>
      </c>
      <c r="P7535">
        <v>0.94745950000000001</v>
      </c>
      <c r="Q7535">
        <v>-5.1542200000000002E-3</v>
      </c>
      <c r="R7535">
        <v>-0.31983470000000003</v>
      </c>
      <c r="S7535">
        <v>3.0619809999999998</v>
      </c>
      <c r="T7535">
        <v>-8.9342469999999993E-2</v>
      </c>
      <c r="U7535">
        <v>-0.31411739999999999</v>
      </c>
      <c r="V7535">
        <v>-3.561214E-2</v>
      </c>
      <c r="W7535">
        <v>8.6223659999999994E-3</v>
      </c>
      <c r="X7535">
        <v>0.99932849999999995</v>
      </c>
      <c r="Y7535">
        <v>-0.2557644</v>
      </c>
      <c r="Z7535">
        <v>1.3783719999999999E-2</v>
      </c>
      <c r="AA7535">
        <v>0.96664090000000003</v>
      </c>
      <c r="AB7535">
        <v>15</v>
      </c>
      <c r="AC7535">
        <v>38.070399999999999</v>
      </c>
      <c r="AD7535">
        <v>-1.112917074064</v>
      </c>
      <c r="AE7535">
        <v>-3.88958</v>
      </c>
      <c r="AF7535">
        <v>-9.8043006516273792</v>
      </c>
      <c r="AG7535">
        <v>-1.112917074064</v>
      </c>
      <c r="AH7535">
        <v>36.957892901135899</v>
      </c>
      <c r="AI7535">
        <v>91.667199785618493</v>
      </c>
      <c r="AJ7535">
        <v>104.85737666685201</v>
      </c>
      <c r="AK7535">
        <v>38.252434476423602</v>
      </c>
      <c r="AL7535">
        <v>89.505968702272597</v>
      </c>
      <c r="AM7535">
        <v>92.040932733215996</v>
      </c>
      <c r="AN7535">
        <v>1.0000000103115301</v>
      </c>
    </row>
    <row r="7536" spans="1:40" x14ac:dyDescent="0.25">
      <c r="A7536" t="str">
        <f>"20190312154111375"</f>
        <v>20190312154111375</v>
      </c>
      <c r="B7536" t="str">
        <f>"1552376471363694"</f>
        <v>1552376471363694</v>
      </c>
      <c r="C7536" t="s">
        <v>40</v>
      </c>
      <c r="D7536">
        <v>4.2842159999999998</v>
      </c>
      <c r="E7536">
        <v>0.41484520000000003</v>
      </c>
      <c r="F7536" t="s">
        <v>88</v>
      </c>
      <c r="G7536">
        <v>-361.58240000000001</v>
      </c>
      <c r="H7536" s="1">
        <v>-4.5614449999999998E-6</v>
      </c>
      <c r="I7536">
        <v>16.335639999999898</v>
      </c>
      <c r="J7536">
        <v>-397.56209999999999</v>
      </c>
      <c r="K7536">
        <v>1.1129209999999901</v>
      </c>
      <c r="L7536">
        <v>19.940190000000001</v>
      </c>
      <c r="M7536">
        <v>0.93668560000000001</v>
      </c>
      <c r="N7536">
        <v>0</v>
      </c>
      <c r="O7536">
        <v>-0.34989330000000002</v>
      </c>
      <c r="P7536">
        <v>0.94832890000000003</v>
      </c>
      <c r="Q7536">
        <v>-6.0275199999999998E-3</v>
      </c>
      <c r="R7536">
        <v>-0.31723210000000002</v>
      </c>
      <c r="S7536">
        <v>3.0618289999999999</v>
      </c>
      <c r="T7536">
        <v>-9.4500299999999995E-2</v>
      </c>
      <c r="U7536">
        <v>-0.30822749999999999</v>
      </c>
      <c r="V7536">
        <v>-3.471987E-2</v>
      </c>
      <c r="W7536">
        <v>7.6997159999999997E-3</v>
      </c>
      <c r="X7536">
        <v>0.99936740000000002</v>
      </c>
      <c r="Y7536">
        <v>-0.2540618</v>
      </c>
      <c r="Z7536">
        <v>1.4457619999999999E-2</v>
      </c>
      <c r="AA7536">
        <v>0.96707989999999999</v>
      </c>
      <c r="AB7536">
        <v>15</v>
      </c>
      <c r="AC7536">
        <v>35.979699999999902</v>
      </c>
      <c r="AD7536">
        <v>-1.11292556144499</v>
      </c>
      <c r="AE7536">
        <v>-3.6045500000000001</v>
      </c>
      <c r="AF7536">
        <v>-9.2049035229290901</v>
      </c>
      <c r="AG7536">
        <v>-1.11292556144499</v>
      </c>
      <c r="AH7536">
        <v>34.933188414469903</v>
      </c>
      <c r="AI7536">
        <v>91.764560375747294</v>
      </c>
      <c r="AJ7536">
        <v>104.761905818816</v>
      </c>
      <c r="AK7536">
        <v>36.142724094520098</v>
      </c>
      <c r="AL7536">
        <v>89.558834400661397</v>
      </c>
      <c r="AM7536">
        <v>91.989760958298206</v>
      </c>
      <c r="AN7536">
        <v>0.99999997759102799</v>
      </c>
    </row>
    <row r="7537" spans="1:40" x14ac:dyDescent="0.25">
      <c r="A7537" t="str">
        <f>"20190312154111392"</f>
        <v>20190312154111392</v>
      </c>
      <c r="B7537" t="str">
        <f>"1552376471384193"</f>
        <v>1552376471384193</v>
      </c>
      <c r="C7537" t="s">
        <v>40</v>
      </c>
      <c r="D7537">
        <v>4.3708780000000003</v>
      </c>
      <c r="E7537">
        <v>0.4146823</v>
      </c>
      <c r="F7537" t="s">
        <v>88</v>
      </c>
      <c r="G7537">
        <v>-363.04419999999999</v>
      </c>
      <c r="H7537" s="1">
        <v>-3.8376969999999998E-6</v>
      </c>
      <c r="I7537">
        <v>16.520250000000001</v>
      </c>
      <c r="J7537">
        <v>-397.4631</v>
      </c>
      <c r="K7537">
        <v>1.1129230000000001</v>
      </c>
      <c r="L7537">
        <v>19.90897</v>
      </c>
      <c r="M7537">
        <v>0.93828739999999999</v>
      </c>
      <c r="N7537">
        <v>0</v>
      </c>
      <c r="O7537">
        <v>-0.34557969999999999</v>
      </c>
      <c r="P7537">
        <v>0.94935519999999995</v>
      </c>
      <c r="Q7537">
        <v>-7.3971359999999899E-3</v>
      </c>
      <c r="R7537">
        <v>-0.31411790000000001</v>
      </c>
      <c r="S7537">
        <v>3.061401</v>
      </c>
      <c r="T7537">
        <v>-9.8705409999999993E-2</v>
      </c>
      <c r="U7537">
        <v>-0.30331419999999998</v>
      </c>
      <c r="V7537">
        <v>-3.3388729999999998E-2</v>
      </c>
      <c r="W7537">
        <v>6.2248929999999996E-3</v>
      </c>
      <c r="X7537">
        <v>0.99942299999999995</v>
      </c>
      <c r="Y7537">
        <v>-0.25111149999999999</v>
      </c>
      <c r="Z7537">
        <v>1.4926699999999999E-2</v>
      </c>
      <c r="AA7537">
        <v>0.96784309999999996</v>
      </c>
      <c r="AB7537">
        <v>15</v>
      </c>
      <c r="AC7537">
        <v>34.418900000000001</v>
      </c>
      <c r="AD7537">
        <v>-1.1129268376969901</v>
      </c>
      <c r="AE7537">
        <v>-3.38871999999999</v>
      </c>
      <c r="AF7537">
        <v>-8.7066983267213693</v>
      </c>
      <c r="AG7537">
        <v>-1.1129268376969901</v>
      </c>
      <c r="AH7537">
        <v>33.4344752437487</v>
      </c>
      <c r="AI7537">
        <v>91.845001945114404</v>
      </c>
      <c r="AJ7537">
        <v>104.596260546577</v>
      </c>
      <c r="AK7537">
        <v>34.567460663511902</v>
      </c>
      <c r="AL7537">
        <v>89.643337580047998</v>
      </c>
      <c r="AM7537">
        <v>91.913426126494699</v>
      </c>
      <c r="AN7537">
        <v>0.99999994475643506</v>
      </c>
    </row>
    <row r="7538" spans="1:40" x14ac:dyDescent="0.25">
      <c r="A7538" t="str">
        <f>"20190312154111405"</f>
        <v>20190312154111405</v>
      </c>
      <c r="B7538" t="str">
        <f>"1552376471393949"</f>
        <v>1552376471393949</v>
      </c>
      <c r="C7538" t="s">
        <v>40</v>
      </c>
      <c r="D7538">
        <v>4.4007329999999998</v>
      </c>
      <c r="E7538">
        <v>0.4146823</v>
      </c>
      <c r="F7538" t="s">
        <v>88</v>
      </c>
      <c r="G7538">
        <v>-366.09820000000002</v>
      </c>
      <c r="H7538" s="1">
        <v>-2.3224730000000001E-6</v>
      </c>
      <c r="I7538">
        <v>16.923760000000001</v>
      </c>
      <c r="J7538">
        <v>-397.38420000000002</v>
      </c>
      <c r="K7538">
        <v>1.112922</v>
      </c>
      <c r="L7538">
        <v>19.884429999999998</v>
      </c>
      <c r="M7538">
        <v>0.93956090000000003</v>
      </c>
      <c r="N7538">
        <v>0</v>
      </c>
      <c r="O7538">
        <v>-0.34210669999999999</v>
      </c>
      <c r="P7538">
        <v>0.95026759999999999</v>
      </c>
      <c r="Q7538">
        <v>-7.632865E-3</v>
      </c>
      <c r="R7538">
        <v>-0.31134139999999999</v>
      </c>
      <c r="S7538">
        <v>3.0627749999999998</v>
      </c>
      <c r="T7538">
        <v>-0.1086767</v>
      </c>
      <c r="U7538">
        <v>-0.29150389999999998</v>
      </c>
      <c r="V7538">
        <v>-3.2610569999999998E-2</v>
      </c>
      <c r="W7538">
        <v>5.875379E-3</v>
      </c>
      <c r="X7538">
        <v>0.99945090000000003</v>
      </c>
      <c r="Y7538">
        <v>-0.25120920000000002</v>
      </c>
      <c r="Z7538">
        <v>1.631724E-2</v>
      </c>
      <c r="AA7538">
        <v>0.96779530000000002</v>
      </c>
      <c r="AB7538">
        <v>15</v>
      </c>
      <c r="AC7538">
        <v>31.285999999999898</v>
      </c>
      <c r="AD7538">
        <v>-1.1129243224730001</v>
      </c>
      <c r="AE7538">
        <v>-2.9606699999999901</v>
      </c>
      <c r="AF7538">
        <v>-7.9122430736021201</v>
      </c>
      <c r="AG7538">
        <v>-1.1129243224730001</v>
      </c>
      <c r="AH7538">
        <v>30.372738167552502</v>
      </c>
      <c r="AI7538">
        <v>92.030788461287003</v>
      </c>
      <c r="AJ7538">
        <v>104.601302607435</v>
      </c>
      <c r="AK7538">
        <v>31.406136578669098</v>
      </c>
      <c r="AL7538">
        <v>89.663363655383606</v>
      </c>
      <c r="AM7538">
        <v>91.868811554955002</v>
      </c>
      <c r="AN7538">
        <v>1.0000000354324601</v>
      </c>
    </row>
    <row r="7539" spans="1:40" x14ac:dyDescent="0.25">
      <c r="A7539" t="str">
        <f>"20190312154111415"</f>
        <v>20190312154111415</v>
      </c>
      <c r="B7539" t="str">
        <f>"1552376471403709"</f>
        <v>1552376471403709</v>
      </c>
      <c r="C7539" t="s">
        <v>40</v>
      </c>
      <c r="D7539">
        <v>4.3576699999999997</v>
      </c>
      <c r="E7539">
        <v>0.40253280000000002</v>
      </c>
      <c r="F7539" t="s">
        <v>88</v>
      </c>
      <c r="G7539">
        <v>-366.03379999999999</v>
      </c>
      <c r="H7539" s="1">
        <v>-2.3404949999999999E-6</v>
      </c>
      <c r="I7539">
        <v>16.993819999999999</v>
      </c>
      <c r="J7539">
        <v>-397.31659999999999</v>
      </c>
      <c r="K7539">
        <v>1.1129169999999999</v>
      </c>
      <c r="L7539">
        <v>19.86365</v>
      </c>
      <c r="M7539">
        <v>0.94064729999999996</v>
      </c>
      <c r="N7539">
        <v>0</v>
      </c>
      <c r="O7539">
        <v>-0.33911259999999999</v>
      </c>
      <c r="P7539">
        <v>0.95103579999999999</v>
      </c>
      <c r="Q7539">
        <v>-7.6355429999999998E-3</v>
      </c>
      <c r="R7539">
        <v>-0.3089865</v>
      </c>
      <c r="S7539">
        <v>3.0635680000000001</v>
      </c>
      <c r="T7539">
        <v>-0.10875509999999999</v>
      </c>
      <c r="U7539">
        <v>-0.28247070000000002</v>
      </c>
      <c r="V7539">
        <v>-3.190192E-2</v>
      </c>
      <c r="W7539">
        <v>5.7618929999999997E-3</v>
      </c>
      <c r="X7539">
        <v>0.99947439999999999</v>
      </c>
      <c r="Y7539">
        <v>-0.25097989999999998</v>
      </c>
      <c r="Z7539">
        <v>1.622436E-2</v>
      </c>
      <c r="AA7539">
        <v>0.9678563</v>
      </c>
      <c r="AB7539">
        <v>15</v>
      </c>
      <c r="AC7539">
        <v>31.282800000000002</v>
      </c>
      <c r="AD7539">
        <v>-1.112919340495</v>
      </c>
      <c r="AE7539">
        <v>-2.8698299999999999</v>
      </c>
      <c r="AF7539">
        <v>-7.8997117837703001</v>
      </c>
      <c r="AG7539">
        <v>-1.112919340495</v>
      </c>
      <c r="AH7539">
        <v>30.3639841050861</v>
      </c>
      <c r="AI7539">
        <v>92.031531438768496</v>
      </c>
      <c r="AJ7539">
        <v>104.583187430135</v>
      </c>
      <c r="AK7539">
        <v>31.3945149103949</v>
      </c>
      <c r="AL7539">
        <v>89.669866023715798</v>
      </c>
      <c r="AM7539">
        <v>91.828185909819098</v>
      </c>
      <c r="AN7539">
        <v>1.0000000040829899</v>
      </c>
    </row>
    <row r="7540" spans="1:40" x14ac:dyDescent="0.25">
      <c r="A7540" t="str">
        <f>"20190312154111426"</f>
        <v>20190312154111426</v>
      </c>
      <c r="B7540" t="str">
        <f>"1552376471424206"</f>
        <v>1552376471424206</v>
      </c>
      <c r="C7540" t="s">
        <v>40</v>
      </c>
      <c r="D7540">
        <v>4.355442</v>
      </c>
      <c r="E7540">
        <v>0.40163359999999998</v>
      </c>
      <c r="F7540" t="s">
        <v>87</v>
      </c>
      <c r="G7540">
        <v>-379.25009999999997</v>
      </c>
      <c r="H7540" s="1">
        <v>-4.8364309999999998E-7</v>
      </c>
      <c r="I7540">
        <v>18.821670000000001</v>
      </c>
      <c r="J7540">
        <v>-397.25319999999999</v>
      </c>
      <c r="K7540">
        <v>1.1129100000000001</v>
      </c>
      <c r="L7540">
        <v>19.844539999999999</v>
      </c>
      <c r="M7540">
        <v>0.94166700000000003</v>
      </c>
      <c r="N7540">
        <v>0</v>
      </c>
      <c r="O7540">
        <v>-0.33627580000000001</v>
      </c>
      <c r="P7540">
        <v>0.9518105</v>
      </c>
      <c r="Q7540">
        <v>-7.7925959999999997E-3</v>
      </c>
      <c r="R7540">
        <v>-0.30658750000000001</v>
      </c>
      <c r="S7540">
        <v>3.09491</v>
      </c>
      <c r="T7540">
        <v>-0.19064999999999999</v>
      </c>
      <c r="U7540">
        <v>-0.1784973</v>
      </c>
      <c r="V7540">
        <v>-3.1406789999999997E-2</v>
      </c>
      <c r="W7540">
        <v>5.4786569999999996E-3</v>
      </c>
      <c r="X7540">
        <v>0.99949169999999998</v>
      </c>
      <c r="Y7540">
        <v>-0.280383099999999</v>
      </c>
      <c r="Z7540">
        <v>2.8940540000000001E-2</v>
      </c>
      <c r="AA7540">
        <v>0.95945179999999997</v>
      </c>
      <c r="AB7540">
        <v>15</v>
      </c>
      <c r="AC7540">
        <v>18.0031</v>
      </c>
      <c r="AD7540">
        <v>-1.1129104836431001</v>
      </c>
      <c r="AE7540">
        <v>-1.02286999999999</v>
      </c>
      <c r="AF7540">
        <v>-5.0719471449077496</v>
      </c>
      <c r="AG7540">
        <v>-1.1129104836431001</v>
      </c>
      <c r="AH7540">
        <v>17.232822386541201</v>
      </c>
      <c r="AI7540">
        <v>93.5451299280667</v>
      </c>
      <c r="AJ7540">
        <v>106.40015818825501</v>
      </c>
      <c r="AK7540">
        <v>17.9981494879728</v>
      </c>
      <c r="AL7540">
        <v>89.6860945156361</v>
      </c>
      <c r="AM7540">
        <v>91.799799442043096</v>
      </c>
      <c r="AN7540">
        <v>1.00000003025475</v>
      </c>
    </row>
    <row r="7541" spans="1:40" x14ac:dyDescent="0.25">
      <c r="A7541" t="str">
        <f>"20190312154111437"</f>
        <v>20190312154111437</v>
      </c>
      <c r="B7541" t="str">
        <f>"1552376471433966"</f>
        <v>1552376471433966</v>
      </c>
      <c r="C7541" t="s">
        <v>40</v>
      </c>
      <c r="D7541">
        <v>4.389672</v>
      </c>
      <c r="E7541">
        <v>0.40194819999999998</v>
      </c>
      <c r="F7541" t="s">
        <v>87</v>
      </c>
      <c r="G7541">
        <v>-379.1728</v>
      </c>
      <c r="H7541" s="1">
        <v>-5.0058909999999998E-7</v>
      </c>
      <c r="I7541">
        <v>18.88851</v>
      </c>
      <c r="J7541">
        <v>-397.18529999999998</v>
      </c>
      <c r="K7541">
        <v>1.1129020000000001</v>
      </c>
      <c r="L7541">
        <v>19.82413</v>
      </c>
      <c r="M7541">
        <v>0.94275310000000001</v>
      </c>
      <c r="N7541">
        <v>0</v>
      </c>
      <c r="O7541">
        <v>-0.3332252</v>
      </c>
      <c r="P7541">
        <v>0.95265909999999998</v>
      </c>
      <c r="Q7541">
        <v>-7.980717E-3</v>
      </c>
      <c r="R7541">
        <v>-0.3039365</v>
      </c>
      <c r="S7541">
        <v>3.097534</v>
      </c>
      <c r="T7541">
        <v>-0.19066350000000001</v>
      </c>
      <c r="U7541">
        <v>-0.16378779999999901</v>
      </c>
      <c r="V7541">
        <v>-3.0950749999999999E-2</v>
      </c>
      <c r="W7541">
        <v>5.1505980000000002E-3</v>
      </c>
      <c r="X7541">
        <v>0.9995077</v>
      </c>
      <c r="Y7541">
        <v>-0.2818679</v>
      </c>
      <c r="Z7541">
        <v>2.8793659999999999E-2</v>
      </c>
      <c r="AA7541">
        <v>0.95902109999999996</v>
      </c>
      <c r="AB7541">
        <v>15</v>
      </c>
      <c r="AC7541">
        <v>18.0124999999999</v>
      </c>
      <c r="AD7541">
        <v>-1.1129025005891</v>
      </c>
      <c r="AE7541">
        <v>-0.93562000000000001</v>
      </c>
      <c r="AF7541">
        <v>-5.1011940482090301</v>
      </c>
      <c r="AG7541">
        <v>-1.1129025005891</v>
      </c>
      <c r="AH7541">
        <v>17.229054844376702</v>
      </c>
      <c r="AI7541">
        <v>93.544186119063497</v>
      </c>
      <c r="AJ7541">
        <v>106.493015386869</v>
      </c>
      <c r="AK7541">
        <v>18.002807101222899</v>
      </c>
      <c r="AL7541">
        <v>89.704891185513205</v>
      </c>
      <c r="AM7541">
        <v>91.7736540268494</v>
      </c>
      <c r="AN7541">
        <v>1.0000000599723</v>
      </c>
    </row>
    <row r="7542" spans="1:40" x14ac:dyDescent="0.25">
      <c r="A7542" t="str">
        <f>"20190312154111449"</f>
        <v>20190312154111449</v>
      </c>
      <c r="B7542" t="str">
        <f>"1552376471443726"</f>
        <v>1552376471443726</v>
      </c>
      <c r="C7542" t="s">
        <v>40</v>
      </c>
      <c r="D7542">
        <v>4.3723010000000002</v>
      </c>
      <c r="E7542">
        <v>0.40217269999999999</v>
      </c>
      <c r="F7542" t="s">
        <v>87</v>
      </c>
      <c r="G7542">
        <v>-379.2432</v>
      </c>
      <c r="H7542" s="1">
        <v>-4.6308640000000002E-7</v>
      </c>
      <c r="I7542">
        <v>18.912279999999999</v>
      </c>
      <c r="J7542">
        <v>-397.108</v>
      </c>
      <c r="K7542">
        <v>1.1128800000000001</v>
      </c>
      <c r="L7542">
        <v>19.801390000000001</v>
      </c>
      <c r="M7542">
        <v>0.94398930000000003</v>
      </c>
      <c r="N7542">
        <v>0</v>
      </c>
      <c r="O7542">
        <v>-0.3297137</v>
      </c>
      <c r="P7542">
        <v>0.95361859999999998</v>
      </c>
      <c r="Q7542">
        <v>-8.4926519999999998E-3</v>
      </c>
      <c r="R7542">
        <v>-0.3008982</v>
      </c>
      <c r="S7542">
        <v>3.0972900000000001</v>
      </c>
      <c r="T7542">
        <v>-0.19211719999999999</v>
      </c>
      <c r="U7542">
        <v>-0.15740970000000001</v>
      </c>
      <c r="V7542">
        <v>-3.0409889999999998E-2</v>
      </c>
      <c r="W7542">
        <v>4.4553769999999999E-3</v>
      </c>
      <c r="X7542">
        <v>0.99952759999999996</v>
      </c>
      <c r="Y7542">
        <v>-0.28025349999999999</v>
      </c>
      <c r="Z7542">
        <v>2.8761599999999998E-2</v>
      </c>
      <c r="AA7542">
        <v>0.95949510000000005</v>
      </c>
      <c r="AB7542">
        <v>15</v>
      </c>
      <c r="AC7542">
        <v>17.864799999999999</v>
      </c>
      <c r="AD7542">
        <v>-1.11288046308639</v>
      </c>
      <c r="AE7542">
        <v>-0.88910999999999796</v>
      </c>
      <c r="AF7542">
        <v>-5.0319174475856796</v>
      </c>
      <c r="AG7542">
        <v>-1.11288046308639</v>
      </c>
      <c r="AH7542">
        <v>17.092650629554399</v>
      </c>
      <c r="AI7542">
        <v>93.573962035168805</v>
      </c>
      <c r="AJ7542">
        <v>106.403938644108</v>
      </c>
      <c r="AK7542">
        <v>17.852658112125599</v>
      </c>
      <c r="AL7542">
        <v>89.744724861665603</v>
      </c>
      <c r="AM7542">
        <v>91.742644279598593</v>
      </c>
      <c r="AN7542">
        <v>1.00000001747789</v>
      </c>
    </row>
    <row r="7543" spans="1:40" x14ac:dyDescent="0.25">
      <c r="A7543" t="str">
        <f>"20190312154111462"</f>
        <v>20190312154111462</v>
      </c>
      <c r="B7543" t="str">
        <f>"1552376471453485"</f>
        <v>1552376471453485</v>
      </c>
      <c r="C7543" t="s">
        <v>40</v>
      </c>
      <c r="D7543">
        <v>4.3973009999999997</v>
      </c>
      <c r="E7543">
        <v>0.40250469999999999</v>
      </c>
      <c r="F7543" t="s">
        <v>87</v>
      </c>
      <c r="G7543">
        <v>-379.26069999999999</v>
      </c>
      <c r="H7543" s="1">
        <v>-4.4958490000000002E-7</v>
      </c>
      <c r="I7543">
        <v>18.941960000000002</v>
      </c>
      <c r="J7543">
        <v>-397.02699999999999</v>
      </c>
      <c r="K7543">
        <v>1.112859</v>
      </c>
      <c r="L7543">
        <v>19.77786</v>
      </c>
      <c r="M7543">
        <v>0.94527380000000005</v>
      </c>
      <c r="N7543">
        <v>0</v>
      </c>
      <c r="O7543">
        <v>-0.32602140000000002</v>
      </c>
      <c r="P7543">
        <v>0.95476499999999997</v>
      </c>
      <c r="Q7543">
        <v>-9.5974230000000008E-3</v>
      </c>
      <c r="R7543">
        <v>-0.29720730000000001</v>
      </c>
      <c r="S7543">
        <v>3.0971069999999998</v>
      </c>
      <c r="T7543">
        <v>-0.19312199999999999</v>
      </c>
      <c r="U7543">
        <v>-0.14913940000000001</v>
      </c>
      <c r="V7543">
        <v>-3.0355710000000001E-2</v>
      </c>
      <c r="W7543">
        <v>3.147899E-3</v>
      </c>
      <c r="X7543">
        <v>0.99953420000000004</v>
      </c>
      <c r="Y7543">
        <v>-0.27905089999999999</v>
      </c>
      <c r="Z7543">
        <v>2.8661280000000001E-2</v>
      </c>
      <c r="AA7543">
        <v>0.95984849999999999</v>
      </c>
      <c r="AB7543">
        <v>15</v>
      </c>
      <c r="AC7543">
        <v>17.766300000000001</v>
      </c>
      <c r="AD7543">
        <v>-1.11285944958489</v>
      </c>
      <c r="AE7543">
        <v>-0.83589999999999798</v>
      </c>
      <c r="AF7543">
        <v>-4.9829505701236396</v>
      </c>
      <c r="AG7543">
        <v>-1.11285944958489</v>
      </c>
      <c r="AH7543">
        <v>17.001408933830799</v>
      </c>
      <c r="AI7543">
        <v>93.594284903739705</v>
      </c>
      <c r="AJ7543">
        <v>106.33535698276501</v>
      </c>
      <c r="AK7543">
        <v>17.751511436330301</v>
      </c>
      <c r="AL7543">
        <v>89.819638374672607</v>
      </c>
      <c r="AM7543">
        <v>91.739529914868299</v>
      </c>
      <c r="AN7543">
        <v>0.99999999768367898</v>
      </c>
    </row>
    <row r="7544" spans="1:40" x14ac:dyDescent="0.25">
      <c r="A7544" t="str">
        <f>"20190312154111473"</f>
        <v>20190312154111473</v>
      </c>
      <c r="B7544" t="str">
        <f>"1552376471464222"</f>
        <v>1552376471464222</v>
      </c>
      <c r="C7544" t="s">
        <v>40</v>
      </c>
      <c r="D7544">
        <v>4.3544910000000003</v>
      </c>
      <c r="E7544">
        <v>0.40235759999999998</v>
      </c>
      <c r="F7544" t="s">
        <v>87</v>
      </c>
      <c r="G7544">
        <v>-379.428</v>
      </c>
      <c r="H7544" s="1">
        <v>-3.7202309999999999E-7</v>
      </c>
      <c r="I7544">
        <v>18.984390000000001</v>
      </c>
      <c r="J7544">
        <v>-396.95960000000002</v>
      </c>
      <c r="K7544">
        <v>1.112835</v>
      </c>
      <c r="L7544">
        <v>19.758479999999999</v>
      </c>
      <c r="M7544">
        <v>0.94633659999999997</v>
      </c>
      <c r="N7544">
        <v>0</v>
      </c>
      <c r="O7544">
        <v>-0.3229301</v>
      </c>
      <c r="P7544">
        <v>0.95560100000000003</v>
      </c>
      <c r="Q7544">
        <v>-1.034204E-2</v>
      </c>
      <c r="R7544">
        <v>-0.29448220000000003</v>
      </c>
      <c r="S7544">
        <v>3.0966800000000001</v>
      </c>
      <c r="T7544">
        <v>-0.19581589999999999</v>
      </c>
      <c r="U7544">
        <v>-0.13961789999999999</v>
      </c>
      <c r="V7544">
        <v>-2.9931590000000001E-2</v>
      </c>
      <c r="W7544">
        <v>2.2290370000000001E-3</v>
      </c>
      <c r="X7544">
        <v>0.99954940000000003</v>
      </c>
      <c r="Y7544">
        <v>-0.27882420000000002</v>
      </c>
      <c r="Z7544">
        <v>2.8875680000000001E-2</v>
      </c>
      <c r="AA7544">
        <v>0.95990790000000004</v>
      </c>
      <c r="AB7544">
        <v>15</v>
      </c>
      <c r="AC7544">
        <v>17.531599999999901</v>
      </c>
      <c r="AD7544">
        <v>-1.1128353720230999</v>
      </c>
      <c r="AE7544">
        <v>-0.77409000000000106</v>
      </c>
      <c r="AF7544">
        <v>-4.9095906402393004</v>
      </c>
      <c r="AG7544">
        <v>-1.1128353720230999</v>
      </c>
      <c r="AH7544">
        <v>16.774688938456499</v>
      </c>
      <c r="AI7544">
        <v>93.643059005702597</v>
      </c>
      <c r="AJ7544">
        <v>106.313618308946</v>
      </c>
      <c r="AK7544">
        <v>17.513785193439102</v>
      </c>
      <c r="AL7544">
        <v>89.872285473569605</v>
      </c>
      <c r="AM7544">
        <v>91.715214328044695</v>
      </c>
      <c r="AN7544">
        <v>0.99999993586311497</v>
      </c>
    </row>
    <row r="7545" spans="1:40" x14ac:dyDescent="0.25">
      <c r="A7545" t="str">
        <f>"20190312154111483"</f>
        <v>20190312154111483</v>
      </c>
      <c r="B7545" t="str">
        <f>"1552376471473982"</f>
        <v>1552376471473982</v>
      </c>
      <c r="C7545" t="s">
        <v>40</v>
      </c>
      <c r="D7545">
        <v>4.3729740000000001</v>
      </c>
      <c r="E7545">
        <v>0.40257130000000002</v>
      </c>
      <c r="F7545" t="s">
        <v>87</v>
      </c>
      <c r="G7545">
        <v>-379.75549999999998</v>
      </c>
      <c r="H7545" s="1">
        <v>-2.317029E-7</v>
      </c>
      <c r="I7545">
        <v>19.039079999999998</v>
      </c>
      <c r="J7545">
        <v>-396.89429999999999</v>
      </c>
      <c r="K7545">
        <v>1.1128180000000001</v>
      </c>
      <c r="L7545">
        <v>19.74005</v>
      </c>
      <c r="M7545">
        <v>0.9473589</v>
      </c>
      <c r="N7545">
        <v>0</v>
      </c>
      <c r="O7545">
        <v>-0.31992540000000003</v>
      </c>
      <c r="P7545">
        <v>0.95648080000000002</v>
      </c>
      <c r="Q7545">
        <v>-1.1403989999999999E-2</v>
      </c>
      <c r="R7545">
        <v>-0.29157230000000001</v>
      </c>
      <c r="S7545">
        <v>3.097321</v>
      </c>
      <c r="T7545">
        <v>-0.20034779999999999</v>
      </c>
      <c r="U7545">
        <v>-0.12951660000000001</v>
      </c>
      <c r="V7545">
        <v>-2.9788189999999999E-2</v>
      </c>
      <c r="W7545">
        <v>9.8973909999999993E-4</v>
      </c>
      <c r="X7545">
        <v>0.99955579999999999</v>
      </c>
      <c r="Y7545">
        <v>-0.27886139999999998</v>
      </c>
      <c r="Z7545">
        <v>2.9357270000000001E-2</v>
      </c>
      <c r="AA7545">
        <v>0.95988249999999997</v>
      </c>
      <c r="AB7545">
        <v>15</v>
      </c>
      <c r="AC7545">
        <v>17.1388</v>
      </c>
      <c r="AD7545">
        <v>-1.1128182317028901</v>
      </c>
      <c r="AE7545">
        <v>-0.70097000000000098</v>
      </c>
      <c r="AF7545">
        <v>-4.7992508357839503</v>
      </c>
      <c r="AG7545">
        <v>-1.1128182317028901</v>
      </c>
      <c r="AH7545">
        <v>16.393164303597999</v>
      </c>
      <c r="AI7545">
        <v>93.727470819370694</v>
      </c>
      <c r="AJ7545">
        <v>106.317881415553</v>
      </c>
      <c r="AK7545">
        <v>17.1174474991554</v>
      </c>
      <c r="AL7545">
        <v>89.943292120701102</v>
      </c>
      <c r="AM7545">
        <v>91.706990815236793</v>
      </c>
      <c r="AN7545">
        <v>1.00000005658029</v>
      </c>
    </row>
    <row r="7546" spans="1:40" x14ac:dyDescent="0.25">
      <c r="A7546" t="str">
        <f>"20190312154111495"</f>
        <v>20190312154111495</v>
      </c>
      <c r="B7546" t="str">
        <f>"1552376471483742"</f>
        <v>1552376471483742</v>
      </c>
      <c r="C7546" t="s">
        <v>40</v>
      </c>
      <c r="D7546">
        <v>4.3981500000000002</v>
      </c>
      <c r="E7546">
        <v>0.40268900000000002</v>
      </c>
      <c r="F7546" t="s">
        <v>86</v>
      </c>
      <c r="G7546">
        <v>-380.1574</v>
      </c>
      <c r="H7546" s="1">
        <v>-4.7477579999999998E-6</v>
      </c>
      <c r="I7546">
        <v>19.082660000000001</v>
      </c>
      <c r="J7546">
        <v>-396.82029999999997</v>
      </c>
      <c r="K7546">
        <v>1.112792</v>
      </c>
      <c r="L7546">
        <v>19.719329999999999</v>
      </c>
      <c r="M7546">
        <v>0.94850710000000005</v>
      </c>
      <c r="N7546">
        <v>0</v>
      </c>
      <c r="O7546">
        <v>-0.3165133</v>
      </c>
      <c r="P7546">
        <v>0.95750310000000005</v>
      </c>
      <c r="Q7546">
        <v>-1.1958180000000001E-2</v>
      </c>
      <c r="R7546">
        <v>-0.28817549999999997</v>
      </c>
      <c r="S7546">
        <v>3.0969540000000002</v>
      </c>
      <c r="T7546">
        <v>-0.20591470000000001</v>
      </c>
      <c r="U7546">
        <v>-0.1216431</v>
      </c>
      <c r="V7546">
        <v>-2.9730530000000002E-2</v>
      </c>
      <c r="W7546">
        <v>2.2966069999999999E-4</v>
      </c>
      <c r="X7546">
        <v>0.9995579</v>
      </c>
      <c r="Y7546">
        <v>-0.27777619999999997</v>
      </c>
      <c r="Z7546">
        <v>2.992593E-2</v>
      </c>
      <c r="AA7546">
        <v>0.96017960000000002</v>
      </c>
      <c r="AB7546">
        <v>15</v>
      </c>
      <c r="AC7546">
        <v>16.662899999999901</v>
      </c>
      <c r="AD7546">
        <v>-1.1127967477580001</v>
      </c>
      <c r="AE7546">
        <v>-0.63666999999999796</v>
      </c>
      <c r="AF7546">
        <v>-4.6497945429277099</v>
      </c>
      <c r="AG7546">
        <v>-1.1127967477580001</v>
      </c>
      <c r="AH7546">
        <v>15.9366498758568</v>
      </c>
      <c r="AI7546">
        <v>93.834879549495099</v>
      </c>
      <c r="AJ7546">
        <v>106.2655224864</v>
      </c>
      <c r="AK7546">
        <v>16.638380785368199</v>
      </c>
      <c r="AL7546">
        <v>89.9868414107425</v>
      </c>
      <c r="AM7546">
        <v>91.703685022334</v>
      </c>
      <c r="AN7546">
        <v>0.99999997630526305</v>
      </c>
    </row>
    <row r="7547" spans="1:40" x14ac:dyDescent="0.25">
      <c r="A7547" t="str">
        <f>"20190312154111510"</f>
        <v>20190312154111510</v>
      </c>
      <c r="B7547" t="str">
        <f>"1552376471504237"</f>
        <v>1552376471504237</v>
      </c>
      <c r="C7547" t="s">
        <v>40</v>
      </c>
      <c r="D7547">
        <v>4.3604820000000002</v>
      </c>
      <c r="E7547">
        <v>0.40291199999999999</v>
      </c>
      <c r="F7547" t="s">
        <v>86</v>
      </c>
      <c r="G7547">
        <v>-380.37369999999999</v>
      </c>
      <c r="H7547" s="1">
        <v>-4.6376259999999997E-6</v>
      </c>
      <c r="I7547">
        <v>19.127140000000001</v>
      </c>
      <c r="J7547">
        <v>-396.738</v>
      </c>
      <c r="K7547">
        <v>1.1127609999999999</v>
      </c>
      <c r="L7547">
        <v>19.69678</v>
      </c>
      <c r="M7547">
        <v>0.94977080000000003</v>
      </c>
      <c r="N7547">
        <v>0</v>
      </c>
      <c r="O7547">
        <v>-0.31271019999999999</v>
      </c>
      <c r="P7547">
        <v>0.95869490000000002</v>
      </c>
      <c r="Q7547">
        <v>-1.2271280000000001E-2</v>
      </c>
      <c r="R7547">
        <v>-0.28417179999999997</v>
      </c>
      <c r="S7547">
        <v>3.0969540000000002</v>
      </c>
      <c r="T7547">
        <v>-0.20954400000000001</v>
      </c>
      <c r="U7547">
        <v>-0.1115112</v>
      </c>
      <c r="V7547">
        <v>-2.98964E-2</v>
      </c>
      <c r="W7547">
        <v>-3.2297990000000002E-4</v>
      </c>
      <c r="X7547">
        <v>0.99955300000000002</v>
      </c>
      <c r="Y7547">
        <v>-0.27702779999999999</v>
      </c>
      <c r="Z7547">
        <v>3.018562E-2</v>
      </c>
      <c r="AA7547">
        <v>0.96038760000000001</v>
      </c>
      <c r="AB7547">
        <v>15</v>
      </c>
      <c r="AC7547">
        <v>16.3643</v>
      </c>
      <c r="AD7547">
        <v>-1.112765637626</v>
      </c>
      <c r="AE7547">
        <v>-0.56963999999999904</v>
      </c>
      <c r="AF7547">
        <v>-4.5555550778021301</v>
      </c>
      <c r="AG7547">
        <v>-1.112765637626</v>
      </c>
      <c r="AH7547">
        <v>15.6493539278122</v>
      </c>
      <c r="AI7547">
        <v>93.9056528763779</v>
      </c>
      <c r="AJ7547">
        <v>106.230373014867</v>
      </c>
      <c r="AK7547">
        <v>16.336878765207899</v>
      </c>
      <c r="AL7547">
        <v>90.018505384544596</v>
      </c>
      <c r="AM7547">
        <v>91.7131928190894</v>
      </c>
      <c r="AN7547">
        <v>1.00000004942898</v>
      </c>
    </row>
    <row r="7548" spans="1:40" x14ac:dyDescent="0.25">
      <c r="A7548" t="str">
        <f>"20190312154111532"</f>
        <v>20190312154111532</v>
      </c>
      <c r="B7548" t="str">
        <f>"1552376471523757"</f>
        <v>1552376471523757</v>
      </c>
      <c r="C7548" t="s">
        <v>40</v>
      </c>
      <c r="D7548">
        <v>4.3845289999999997</v>
      </c>
      <c r="E7548">
        <v>0.4034336</v>
      </c>
      <c r="F7548" t="s">
        <v>86</v>
      </c>
      <c r="G7548">
        <v>-380.6223</v>
      </c>
      <c r="H7548" s="1">
        <v>-4.5115919999999999E-6</v>
      </c>
      <c r="I7548">
        <v>19.175229999999999</v>
      </c>
      <c r="J7548">
        <v>-396.59190000000001</v>
      </c>
      <c r="K7548">
        <v>1.1127089999999999</v>
      </c>
      <c r="L7548">
        <v>19.657440000000001</v>
      </c>
      <c r="M7548">
        <v>0.95197589999999999</v>
      </c>
      <c r="N7548">
        <v>0</v>
      </c>
      <c r="O7548">
        <v>-0.30594860000000001</v>
      </c>
      <c r="P7548">
        <v>0.9608911</v>
      </c>
      <c r="Q7548">
        <v>-1.294118E-2</v>
      </c>
      <c r="R7548">
        <v>-0.27662429999999999</v>
      </c>
      <c r="S7548">
        <v>3.0968019999999998</v>
      </c>
      <c r="T7548">
        <v>-0.21382899999999999</v>
      </c>
      <c r="U7548">
        <v>-0.10021969999999999</v>
      </c>
      <c r="V7548">
        <v>-3.063656E-2</v>
      </c>
      <c r="W7548">
        <v>-1.429512E-3</v>
      </c>
      <c r="X7548">
        <v>0.99952949999999996</v>
      </c>
      <c r="Y7548">
        <v>-0.27365800000000001</v>
      </c>
      <c r="Z7548">
        <v>3.0244759999999999E-2</v>
      </c>
      <c r="AA7548">
        <v>0.96135139999999997</v>
      </c>
      <c r="AB7548">
        <v>15</v>
      </c>
      <c r="AC7548">
        <v>15.9696</v>
      </c>
      <c r="AD7548">
        <v>-1.1127135115919999</v>
      </c>
      <c r="AE7548">
        <v>-0.48221000000000203</v>
      </c>
      <c r="AF7548">
        <v>-4.4057585333262796</v>
      </c>
      <c r="AG7548">
        <v>-1.1127135115919999</v>
      </c>
      <c r="AH7548">
        <v>15.2771587794862</v>
      </c>
      <c r="AI7548">
        <v>94.003206466168706</v>
      </c>
      <c r="AJ7548">
        <v>106.086958584987</v>
      </c>
      <c r="AK7548">
        <v>15.938645487822701</v>
      </c>
      <c r="AL7548">
        <v>90.081905037841295</v>
      </c>
      <c r="AM7548">
        <v>91.755622211128397</v>
      </c>
      <c r="AN7548">
        <v>0.99999993184171798</v>
      </c>
    </row>
    <row r="7549" spans="1:40" x14ac:dyDescent="0.25">
      <c r="A7549" t="str">
        <f>"20190312154111545"</f>
        <v>20190312154111545</v>
      </c>
      <c r="B7549" t="str">
        <f>"1552376471533517"</f>
        <v>1552376471533517</v>
      </c>
      <c r="C7549" t="s">
        <v>40</v>
      </c>
      <c r="D7549">
        <v>4.3340019999999999</v>
      </c>
      <c r="E7549">
        <v>0.4037212</v>
      </c>
      <c r="F7549" t="s">
        <v>86</v>
      </c>
      <c r="G7549">
        <v>-380.76749999999998</v>
      </c>
      <c r="H7549" s="1">
        <v>-4.4296540000000001E-6</v>
      </c>
      <c r="I7549">
        <v>19.25019</v>
      </c>
      <c r="J7549">
        <v>-396.50659999999999</v>
      </c>
      <c r="K7549">
        <v>1.1126780000000001</v>
      </c>
      <c r="L7549">
        <v>19.634979999999999</v>
      </c>
      <c r="M7549">
        <v>0.95323970000000002</v>
      </c>
      <c r="N7549">
        <v>0</v>
      </c>
      <c r="O7549">
        <v>-0.30199769999999998</v>
      </c>
      <c r="P7549">
        <v>0.96207880000000001</v>
      </c>
      <c r="Q7549">
        <v>-1.3513580000000001E-2</v>
      </c>
      <c r="R7549">
        <v>-0.27243709999999999</v>
      </c>
      <c r="S7549">
        <v>3.0961910000000001</v>
      </c>
      <c r="T7549">
        <v>-0.21771199999999999</v>
      </c>
      <c r="U7549">
        <v>-7.9681399999999999E-2</v>
      </c>
      <c r="V7549">
        <v>-3.083526E-2</v>
      </c>
      <c r="W7549">
        <v>-2.257003E-3</v>
      </c>
      <c r="X7549">
        <v>0.99952189999999996</v>
      </c>
      <c r="Y7549">
        <v>-0.27598660000000003</v>
      </c>
      <c r="Z7549">
        <v>3.062227E-2</v>
      </c>
      <c r="AA7549">
        <v>0.96067360000000002</v>
      </c>
      <c r="AB7549">
        <v>15</v>
      </c>
      <c r="AC7549">
        <v>15.739100000000001</v>
      </c>
      <c r="AD7549">
        <v>-1.1126824296539899</v>
      </c>
      <c r="AE7549">
        <v>-0.38478999999999802</v>
      </c>
      <c r="AF7549">
        <v>-4.3648613846178197</v>
      </c>
      <c r="AG7549">
        <v>-1.1126824296539899</v>
      </c>
      <c r="AH7549">
        <v>15.045186004804499</v>
      </c>
      <c r="AI7549">
        <v>94.062742775063597</v>
      </c>
      <c r="AJ7549">
        <v>106.17833240214701</v>
      </c>
      <c r="AK7549">
        <v>15.705021458608501</v>
      </c>
      <c r="AL7549">
        <v>90.129316860184403</v>
      </c>
      <c r="AM7549">
        <v>91.767014908530996</v>
      </c>
      <c r="AN7549">
        <v>0.999999967950709</v>
      </c>
    </row>
    <row r="7550" spans="1:40" x14ac:dyDescent="0.25">
      <c r="A7550" t="str">
        <f>"20190312154111562"</f>
        <v>20190312154111562</v>
      </c>
      <c r="B7550" t="str">
        <f>"1552376471554013"</f>
        <v>1552376471554013</v>
      </c>
      <c r="C7550" t="s">
        <v>40</v>
      </c>
      <c r="D7550">
        <v>4.3653250000000003</v>
      </c>
      <c r="E7550">
        <v>0.40851759999999998</v>
      </c>
      <c r="F7550" t="s">
        <v>86</v>
      </c>
      <c r="G7550">
        <v>-380.86720000000003</v>
      </c>
      <c r="H7550" s="1">
        <v>-4.3754590000000002E-6</v>
      </c>
      <c r="I7550">
        <v>19.290109999999999</v>
      </c>
      <c r="J7550">
        <v>-396.39859999999999</v>
      </c>
      <c r="K7550">
        <v>1.112644</v>
      </c>
      <c r="L7550">
        <v>19.607030000000002</v>
      </c>
      <c r="M7550">
        <v>0.95481240000000001</v>
      </c>
      <c r="N7550">
        <v>0</v>
      </c>
      <c r="O7550">
        <v>-0.29699969999999998</v>
      </c>
      <c r="P7550">
        <v>0.96361969999999997</v>
      </c>
      <c r="Q7550">
        <v>-1.417649E-2</v>
      </c>
      <c r="R7550">
        <v>-0.266901</v>
      </c>
      <c r="S7550">
        <v>3.0958860000000001</v>
      </c>
      <c r="T7550">
        <v>-0.22025990000000001</v>
      </c>
      <c r="U7550">
        <v>-6.8267820000000007E-2</v>
      </c>
      <c r="V7550">
        <v>-3.133466E-2</v>
      </c>
      <c r="W7550">
        <v>-3.242315E-3</v>
      </c>
      <c r="X7550">
        <v>0.99950369999999999</v>
      </c>
      <c r="Y7550">
        <v>-0.27447100000000002</v>
      </c>
      <c r="Z7550">
        <v>3.059158E-2</v>
      </c>
      <c r="AA7550">
        <v>0.96110870000000004</v>
      </c>
      <c r="AB7550">
        <v>15</v>
      </c>
      <c r="AC7550">
        <v>15.5313999999999</v>
      </c>
      <c r="AD7550">
        <v>-1.112648375459</v>
      </c>
      <c r="AE7550">
        <v>-0.31691999999999598</v>
      </c>
      <c r="AF7550">
        <v>-4.2884904633646697</v>
      </c>
      <c r="AG7550">
        <v>-1.112648375459</v>
      </c>
      <c r="AH7550">
        <v>14.848455271434901</v>
      </c>
      <c r="AI7550">
        <v>94.1176856808395</v>
      </c>
      <c r="AJ7550">
        <v>106.109631310745</v>
      </c>
      <c r="AK7550">
        <v>15.495346424316599</v>
      </c>
      <c r="AL7550">
        <v>90.1857712890003</v>
      </c>
      <c r="AM7550">
        <v>91.795647120442496</v>
      </c>
      <c r="AN7550">
        <v>1.00000000991878</v>
      </c>
    </row>
    <row r="7551" spans="1:40" x14ac:dyDescent="0.25">
      <c r="A7551" t="str">
        <f>"20190312154111574"</f>
        <v>20190312154111574</v>
      </c>
      <c r="B7551" t="str">
        <f>"1552376471563773"</f>
        <v>1552376471563773</v>
      </c>
      <c r="C7551" t="s">
        <v>40</v>
      </c>
      <c r="D7551">
        <v>4.3739520000000001</v>
      </c>
      <c r="E7551">
        <v>0.40925149999999999</v>
      </c>
      <c r="F7551" t="s">
        <v>86</v>
      </c>
      <c r="G7551">
        <v>-382.56229999999999</v>
      </c>
      <c r="H7551" s="1">
        <v>-3.5861849999999999E-6</v>
      </c>
      <c r="I7551">
        <v>19.222380000000001</v>
      </c>
      <c r="J7551">
        <v>-396.31990000000002</v>
      </c>
      <c r="K7551">
        <v>1.112622</v>
      </c>
      <c r="L7551">
        <v>19.587070000000001</v>
      </c>
      <c r="M7551">
        <v>0.95593830000000002</v>
      </c>
      <c r="N7551">
        <v>0</v>
      </c>
      <c r="O7551">
        <v>-0.29336449999999997</v>
      </c>
      <c r="P7551">
        <v>0.96463940000000004</v>
      </c>
      <c r="Q7551">
        <v>-1.402839E-2</v>
      </c>
      <c r="R7551">
        <v>-0.26320130000000003</v>
      </c>
      <c r="S7551">
        <v>3.0858150000000002</v>
      </c>
      <c r="T7551">
        <v>-0.24814639999999999</v>
      </c>
      <c r="U7551">
        <v>-8.5784910000000006E-2</v>
      </c>
      <c r="V7551">
        <v>-3.1366110000000003E-2</v>
      </c>
      <c r="W7551">
        <v>-3.3233989999999999E-3</v>
      </c>
      <c r="X7551">
        <v>0.99950240000000001</v>
      </c>
      <c r="Y7551">
        <v>-0.26492660000000001</v>
      </c>
      <c r="Z7551">
        <v>3.3893449999999999E-2</v>
      </c>
      <c r="AA7551">
        <v>0.96367270000000005</v>
      </c>
      <c r="AB7551">
        <v>15</v>
      </c>
      <c r="AC7551">
        <v>13.7576</v>
      </c>
      <c r="AD7551">
        <v>-1.1126255861849901</v>
      </c>
      <c r="AE7551">
        <v>-0.36469000000000301</v>
      </c>
      <c r="AF7551">
        <v>-3.6636448202116001</v>
      </c>
      <c r="AG7551">
        <v>-1.1126255861849901</v>
      </c>
      <c r="AH7551">
        <v>13.1730958844032</v>
      </c>
      <c r="AI7551">
        <v>94.652109253006103</v>
      </c>
      <c r="AJ7551">
        <v>105.542084168908</v>
      </c>
      <c r="AK7551">
        <v>13.7182609773753</v>
      </c>
      <c r="AL7551">
        <v>90.190417093963006</v>
      </c>
      <c r="AM7551">
        <v>91.7974505318344</v>
      </c>
      <c r="AN7551">
        <v>0.99999996272160196</v>
      </c>
    </row>
    <row r="7552" spans="1:40" x14ac:dyDescent="0.25">
      <c r="A7552" t="str">
        <f>"20190312154111585"</f>
        <v>20190312154111585</v>
      </c>
      <c r="B7552" t="str">
        <f>"1552376471573534"</f>
        <v>1552376471573534</v>
      </c>
      <c r="C7552" t="s">
        <v>40</v>
      </c>
      <c r="D7552">
        <v>4.3627000000000002</v>
      </c>
      <c r="E7552">
        <v>0.40963280000000002</v>
      </c>
      <c r="F7552" t="s">
        <v>86</v>
      </c>
      <c r="G7552">
        <v>-381.83929999999998</v>
      </c>
      <c r="H7552" s="1">
        <v>-3.9299919999999901E-6</v>
      </c>
      <c r="I7552">
        <v>19.210719999999998</v>
      </c>
      <c r="J7552">
        <v>-396.2473</v>
      </c>
      <c r="K7552">
        <v>1.112611</v>
      </c>
      <c r="L7552">
        <v>19.568999999999999</v>
      </c>
      <c r="M7552">
        <v>0.95696009999999998</v>
      </c>
      <c r="N7552">
        <v>0</v>
      </c>
      <c r="O7552">
        <v>-0.29002149999999999</v>
      </c>
      <c r="P7552">
        <v>0.96563770000000004</v>
      </c>
      <c r="Q7552">
        <v>-1.3762160000000001E-2</v>
      </c>
      <c r="R7552">
        <v>-0.25952769999999997</v>
      </c>
      <c r="S7552">
        <v>3.084625</v>
      </c>
      <c r="T7552">
        <v>-0.2370102</v>
      </c>
      <c r="U7552">
        <v>-8.0169679999999993E-2</v>
      </c>
      <c r="V7552">
        <v>-3.1678280000000003E-2</v>
      </c>
      <c r="W7552">
        <v>-3.265656E-3</v>
      </c>
      <c r="X7552">
        <v>0.99949279999999996</v>
      </c>
      <c r="Y7552">
        <v>-0.26346720000000001</v>
      </c>
      <c r="Z7552">
        <v>3.208855E-2</v>
      </c>
      <c r="AA7552">
        <v>0.96413450000000001</v>
      </c>
      <c r="AB7552">
        <v>15</v>
      </c>
      <c r="AC7552">
        <v>14.407999999999999</v>
      </c>
      <c r="AD7552">
        <v>-1.1126149299920001</v>
      </c>
      <c r="AE7552">
        <v>-0.35827999999999999</v>
      </c>
      <c r="AF7552">
        <v>-3.8132651178756101</v>
      </c>
      <c r="AG7552">
        <v>-1.1126149299920001</v>
      </c>
      <c r="AH7552">
        <v>13.810284985764801</v>
      </c>
      <c r="AI7552">
        <v>94.440576224823701</v>
      </c>
      <c r="AJ7552">
        <v>105.435775046979</v>
      </c>
      <c r="AK7552">
        <v>14.3702078700932</v>
      </c>
      <c r="AL7552">
        <v>90.187108635421197</v>
      </c>
      <c r="AM7552">
        <v>91.815345102722802</v>
      </c>
      <c r="AN7552">
        <v>1.00000001759235</v>
      </c>
    </row>
    <row r="7553" spans="1:40" x14ac:dyDescent="0.25">
      <c r="A7553" t="str">
        <f>"20190312154111599"</f>
        <v>20190312154111599</v>
      </c>
      <c r="B7553" t="str">
        <f>"1552376471594029"</f>
        <v>1552376471594029</v>
      </c>
      <c r="C7553" t="s">
        <v>40</v>
      </c>
      <c r="D7553">
        <v>4.3085610000000001</v>
      </c>
      <c r="E7553">
        <v>0.41058820000000001</v>
      </c>
      <c r="F7553" t="s">
        <v>86</v>
      </c>
      <c r="G7553">
        <v>-381.2242</v>
      </c>
      <c r="H7553" s="1">
        <v>-4.2193509999999999E-6</v>
      </c>
      <c r="I7553">
        <v>19.218779999999999</v>
      </c>
      <c r="J7553">
        <v>-396.16210000000001</v>
      </c>
      <c r="K7553">
        <v>1.112592</v>
      </c>
      <c r="L7553">
        <v>19.547940000000001</v>
      </c>
      <c r="M7553">
        <v>0.95814469999999996</v>
      </c>
      <c r="N7553">
        <v>0</v>
      </c>
      <c r="O7553">
        <v>-0.28609309999999899</v>
      </c>
      <c r="P7553">
        <v>0.96682990000000002</v>
      </c>
      <c r="Q7553">
        <v>-1.286559E-2</v>
      </c>
      <c r="R7553">
        <v>-0.25509769999999998</v>
      </c>
      <c r="S7553">
        <v>3.0841980000000002</v>
      </c>
      <c r="T7553">
        <v>-0.22841549999999999</v>
      </c>
      <c r="U7553">
        <v>-7.1899409999999997E-2</v>
      </c>
      <c r="V7553">
        <v>-3.2167330000000001E-2</v>
      </c>
      <c r="W7553">
        <v>-2.6121489999999998E-3</v>
      </c>
      <c r="X7553">
        <v>0.99947909999999995</v>
      </c>
      <c r="Y7553">
        <v>-0.2622178</v>
      </c>
      <c r="Z7553">
        <v>3.0608989999999999E-2</v>
      </c>
      <c r="AA7553">
        <v>0.96452309999999997</v>
      </c>
      <c r="AB7553">
        <v>15</v>
      </c>
      <c r="AC7553">
        <v>14.937900000000001</v>
      </c>
      <c r="AD7553">
        <v>-1.1125962193509999</v>
      </c>
      <c r="AE7553">
        <v>-0.32916000000000101</v>
      </c>
      <c r="AF7553">
        <v>-3.9366360581236601</v>
      </c>
      <c r="AG7553">
        <v>-1.1125962193509999</v>
      </c>
      <c r="AH7553">
        <v>14.3281819706178</v>
      </c>
      <c r="AI7553">
        <v>94.282102147150795</v>
      </c>
      <c r="AJ7553">
        <v>105.362814789054</v>
      </c>
      <c r="AK7553">
        <v>14.900730599019999</v>
      </c>
      <c r="AL7553">
        <v>90.149665280983896</v>
      </c>
      <c r="AM7553">
        <v>91.843376502914495</v>
      </c>
      <c r="AN7553">
        <v>1.0000000158892599</v>
      </c>
    </row>
    <row r="7554" spans="1:40" x14ac:dyDescent="0.25">
      <c r="A7554" t="str">
        <f>"20190312154111611"</f>
        <v>20190312154111611</v>
      </c>
      <c r="B7554" t="str">
        <f>"1552376471603790"</f>
        <v>1552376471603790</v>
      </c>
      <c r="C7554" t="s">
        <v>40</v>
      </c>
      <c r="D7554">
        <v>4.2843900000000001</v>
      </c>
      <c r="E7554">
        <v>0.40666859999999999</v>
      </c>
      <c r="F7554" t="s">
        <v>86</v>
      </c>
      <c r="G7554">
        <v>-380.77809999999999</v>
      </c>
      <c r="H7554" s="1">
        <v>-4.429781E-6</v>
      </c>
      <c r="I7554">
        <v>19.221270000000001</v>
      </c>
      <c r="J7554">
        <v>-396.07780000000002</v>
      </c>
      <c r="K7554">
        <v>1.1125830000000001</v>
      </c>
      <c r="L7554">
        <v>19.52759</v>
      </c>
      <c r="M7554">
        <v>0.9592965</v>
      </c>
      <c r="N7554">
        <v>0</v>
      </c>
      <c r="O7554">
        <v>-0.28221469999999999</v>
      </c>
      <c r="P7554">
        <v>0.96800209999999998</v>
      </c>
      <c r="Q7554">
        <v>-1.217799E-2</v>
      </c>
      <c r="R7554">
        <v>-0.25064710000000001</v>
      </c>
      <c r="S7554">
        <v>3.082703</v>
      </c>
      <c r="T7554">
        <v>-0.22294549999999999</v>
      </c>
      <c r="U7554">
        <v>-6.5460210000000005E-2</v>
      </c>
      <c r="V7554">
        <v>-3.2726869999999998E-2</v>
      </c>
      <c r="W7554">
        <v>-2.1579530000000002E-3</v>
      </c>
      <c r="X7554">
        <v>0.99946199999999996</v>
      </c>
      <c r="Y7554">
        <v>-0.26039990000000002</v>
      </c>
      <c r="Z7554">
        <v>2.9558299999999999E-2</v>
      </c>
      <c r="AA7554">
        <v>0.96504829999999997</v>
      </c>
      <c r="AB7554">
        <v>15</v>
      </c>
      <c r="AC7554">
        <v>15.2997</v>
      </c>
      <c r="AD7554">
        <v>-1.1125874297809999</v>
      </c>
      <c r="AE7554">
        <v>-0.30631999999999898</v>
      </c>
      <c r="AF7554">
        <v>-4.0030000735577804</v>
      </c>
      <c r="AG7554">
        <v>-1.1125874297809999</v>
      </c>
      <c r="AH7554">
        <v>14.6865391878666</v>
      </c>
      <c r="AI7554">
        <v>94.180275689008695</v>
      </c>
      <c r="AJ7554">
        <v>105.246332003932</v>
      </c>
      <c r="AK7554">
        <v>15.2629058076944</v>
      </c>
      <c r="AL7554">
        <v>90.123641695606295</v>
      </c>
      <c r="AM7554">
        <v>91.875450785263396</v>
      </c>
      <c r="AN7554">
        <v>0.99999999711257304</v>
      </c>
    </row>
    <row r="7555" spans="1:40" x14ac:dyDescent="0.25">
      <c r="A7555" t="str">
        <f>"20190312154111626"</f>
        <v>20190312154111626</v>
      </c>
      <c r="B7555" t="str">
        <f>"1552376471613549"</f>
        <v>1552376471613549</v>
      </c>
      <c r="C7555" t="s">
        <v>40</v>
      </c>
      <c r="D7555">
        <v>4.2904730000000004</v>
      </c>
      <c r="E7555">
        <v>0.40745049999999999</v>
      </c>
      <c r="F7555" t="s">
        <v>88</v>
      </c>
      <c r="G7555">
        <v>-361.63470000000001</v>
      </c>
      <c r="H7555" s="1">
        <v>-4.0244479999999996E-6</v>
      </c>
      <c r="I7555">
        <v>19.223559999999999</v>
      </c>
      <c r="J7555">
        <v>-395.98360000000002</v>
      </c>
      <c r="K7555">
        <v>1.1125780000000001</v>
      </c>
      <c r="L7555">
        <v>19.50525</v>
      </c>
      <c r="M7555">
        <v>0.96056260000000004</v>
      </c>
      <c r="N7555">
        <v>0</v>
      </c>
      <c r="O7555">
        <v>-0.27788359999999901</v>
      </c>
      <c r="P7555">
        <v>0.96936060000000002</v>
      </c>
      <c r="Q7555">
        <v>-1.143592E-2</v>
      </c>
      <c r="R7555">
        <v>-0.24537519999999999</v>
      </c>
      <c r="S7555">
        <v>3.0908509999999998</v>
      </c>
      <c r="T7555">
        <v>-9.9841120000000005E-2</v>
      </c>
      <c r="U7555">
        <v>-2.7282710000000002E-2</v>
      </c>
      <c r="V7555">
        <v>-3.3661940000000001E-2</v>
      </c>
      <c r="W7555">
        <v>-1.672424E-3</v>
      </c>
      <c r="X7555">
        <v>0.99943179999999998</v>
      </c>
      <c r="Y7555">
        <v>-0.26912560000000002</v>
      </c>
      <c r="Z7555">
        <v>1.3226699999999999E-2</v>
      </c>
      <c r="AA7555">
        <v>0.96301420000000004</v>
      </c>
      <c r="AB7555">
        <v>15</v>
      </c>
      <c r="AC7555">
        <v>34.3489</v>
      </c>
      <c r="AD7555">
        <v>-1.112582024448</v>
      </c>
      <c r="AE7555">
        <v>-0.281690000000001</v>
      </c>
      <c r="AF7555">
        <v>-9.2651598680996106</v>
      </c>
      <c r="AG7555">
        <v>-1.112582024448</v>
      </c>
      <c r="AH7555">
        <v>33.0395415510147</v>
      </c>
      <c r="AI7555">
        <v>91.857079457809903</v>
      </c>
      <c r="AJ7555">
        <v>105.66489901198401</v>
      </c>
      <c r="AK7555">
        <v>34.332088955433498</v>
      </c>
      <c r="AL7555">
        <v>90.095822888801493</v>
      </c>
      <c r="AM7555">
        <v>91.929054366401601</v>
      </c>
      <c r="AN7555">
        <v>0.99999992302891605</v>
      </c>
    </row>
    <row r="7556" spans="1:40" x14ac:dyDescent="0.25">
      <c r="A7556" t="str">
        <f>"20190312154111636"</f>
        <v>20190312154111636</v>
      </c>
      <c r="B7556" t="str">
        <f>"1552376471624286"</f>
        <v>1552376471624286</v>
      </c>
      <c r="C7556" t="s">
        <v>40</v>
      </c>
      <c r="D7556">
        <v>4.2933859999999999</v>
      </c>
      <c r="E7556">
        <v>0.40739229999999998</v>
      </c>
      <c r="F7556" t="s">
        <v>88</v>
      </c>
      <c r="G7556">
        <v>-362.76589999999999</v>
      </c>
      <c r="H7556" s="1">
        <v>-3.47076E-6</v>
      </c>
      <c r="I7556">
        <v>19.330359999999999</v>
      </c>
      <c r="J7556">
        <v>-395.90890000000002</v>
      </c>
      <c r="K7556">
        <v>1.1125719999999999</v>
      </c>
      <c r="L7556">
        <v>19.487729999999999</v>
      </c>
      <c r="M7556">
        <v>0.96154989999999996</v>
      </c>
      <c r="N7556">
        <v>0</v>
      </c>
      <c r="O7556">
        <v>-0.274455</v>
      </c>
      <c r="P7556">
        <v>0.97028890000000001</v>
      </c>
      <c r="Q7556">
        <v>-1.122195E-2</v>
      </c>
      <c r="R7556">
        <v>-0.24168890000000001</v>
      </c>
      <c r="S7556">
        <v>3.0895079999999999</v>
      </c>
      <c r="T7556">
        <v>-0.103479</v>
      </c>
      <c r="U7556">
        <v>-1.6265870000000002E-2</v>
      </c>
      <c r="V7556">
        <v>-3.3895450000000001E-2</v>
      </c>
      <c r="W7556">
        <v>-1.654495E-3</v>
      </c>
      <c r="X7556">
        <v>0.99942399999999998</v>
      </c>
      <c r="Y7556">
        <v>-0.26910009999999901</v>
      </c>
      <c r="Z7556">
        <v>1.360395E-2</v>
      </c>
      <c r="AA7556">
        <v>0.96301619999999999</v>
      </c>
      <c r="AB7556">
        <v>15</v>
      </c>
      <c r="AC7556">
        <v>33.143000000000001</v>
      </c>
      <c r="AD7556">
        <v>-1.11257547076</v>
      </c>
      <c r="AE7556">
        <v>-0.15737000000000001</v>
      </c>
      <c r="AF7556">
        <v>-8.9353046965976795</v>
      </c>
      <c r="AG7556">
        <v>-1.11257547076</v>
      </c>
      <c r="AH7556">
        <v>31.877454010355699</v>
      </c>
      <c r="AI7556">
        <v>91.924779981999095</v>
      </c>
      <c r="AJ7556">
        <v>105.65827487364901</v>
      </c>
      <c r="AK7556">
        <v>33.124757635060803</v>
      </c>
      <c r="AL7556">
        <v>90.094795625364299</v>
      </c>
      <c r="AM7556">
        <v>91.942440984000797</v>
      </c>
      <c r="AN7556">
        <v>0.99999998533020296</v>
      </c>
    </row>
    <row r="7557" spans="1:40" x14ac:dyDescent="0.25">
      <c r="A7557" t="str">
        <f>"20190312154111649"</f>
        <v>20190312154111649</v>
      </c>
      <c r="B7557" t="str">
        <f>"1552376471643806"</f>
        <v>1552376471643806</v>
      </c>
      <c r="C7557" t="s">
        <v>40</v>
      </c>
      <c r="D7557">
        <v>4.3251520000000001</v>
      </c>
      <c r="E7557">
        <v>0.40821390000000002</v>
      </c>
      <c r="F7557" t="s">
        <v>88</v>
      </c>
      <c r="G7557">
        <v>-363.142</v>
      </c>
      <c r="H7557" s="1">
        <v>-3.2725180000000001E-6</v>
      </c>
      <c r="I7557">
        <v>19.44566</v>
      </c>
      <c r="J7557">
        <v>-395.83</v>
      </c>
      <c r="K7557">
        <v>1.112573</v>
      </c>
      <c r="L7557">
        <v>19.469760000000001</v>
      </c>
      <c r="M7557">
        <v>0.9625766</v>
      </c>
      <c r="N7557">
        <v>0</v>
      </c>
      <c r="O7557">
        <v>-0.27083970000000002</v>
      </c>
      <c r="P7557">
        <v>0.9712151</v>
      </c>
      <c r="Q7557">
        <v>-1.11679E-2</v>
      </c>
      <c r="R7557">
        <v>-0.23794309999999999</v>
      </c>
      <c r="S7557">
        <v>3.089661</v>
      </c>
      <c r="T7557">
        <v>-0.10490720000000001</v>
      </c>
      <c r="U7557">
        <v>-3.9672850000000001E-3</v>
      </c>
      <c r="V7557">
        <v>-3.3995039999999997E-2</v>
      </c>
      <c r="W7557">
        <v>-1.7972769999999999E-3</v>
      </c>
      <c r="X7557">
        <v>0.99942039999999999</v>
      </c>
      <c r="Y7557">
        <v>-0.26930769999999998</v>
      </c>
      <c r="Z7557">
        <v>1.367671E-2</v>
      </c>
      <c r="AA7557">
        <v>0.96295710000000001</v>
      </c>
      <c r="AB7557">
        <v>15</v>
      </c>
      <c r="AC7557">
        <v>32.687999999999903</v>
      </c>
      <c r="AD7557">
        <v>-1.112576272518</v>
      </c>
      <c r="AE7557">
        <v>-2.41000000000006E-2</v>
      </c>
      <c r="AF7557">
        <v>-8.8201989852763596</v>
      </c>
      <c r="AG7557">
        <v>-1.112576272518</v>
      </c>
      <c r="AH7557">
        <v>31.436263423665501</v>
      </c>
      <c r="AI7557">
        <v>91.951635786666202</v>
      </c>
      <c r="AJ7557">
        <v>105.672740107167</v>
      </c>
      <c r="AK7557">
        <v>32.669135191249403</v>
      </c>
      <c r="AL7557">
        <v>90.102976440667902</v>
      </c>
      <c r="AM7557">
        <v>91.948150792462599</v>
      </c>
      <c r="AN7557">
        <v>1.0000000144426799</v>
      </c>
    </row>
    <row r="7558" spans="1:40" x14ac:dyDescent="0.25">
      <c r="A7558" t="str">
        <f>"20190312154111661"</f>
        <v>20190312154111661</v>
      </c>
      <c r="B7558" t="str">
        <f>"1552376471653566"</f>
        <v>1552376471653566</v>
      </c>
      <c r="C7558" t="s">
        <v>40</v>
      </c>
      <c r="D7558">
        <v>4.3378480000000001</v>
      </c>
      <c r="E7558">
        <v>0.4089102</v>
      </c>
      <c r="F7558" t="s">
        <v>88</v>
      </c>
      <c r="G7558">
        <v>-364.28440000000001</v>
      </c>
      <c r="H7558" s="1">
        <v>-2.724939E-6</v>
      </c>
      <c r="I7558">
        <v>19.48846</v>
      </c>
      <c r="J7558">
        <v>-395.7527</v>
      </c>
      <c r="K7558">
        <v>1.112571</v>
      </c>
      <c r="L7558">
        <v>19.45224</v>
      </c>
      <c r="M7558">
        <v>0.96356980000000003</v>
      </c>
      <c r="N7558">
        <v>0</v>
      </c>
      <c r="O7558">
        <v>-0.2672908</v>
      </c>
      <c r="P7558">
        <v>0.97215569999999896</v>
      </c>
      <c r="Q7558">
        <v>-1.1356359999999999E-2</v>
      </c>
      <c r="R7558">
        <v>-0.2340614</v>
      </c>
      <c r="S7558">
        <v>3.0880740000000002</v>
      </c>
      <c r="T7558">
        <v>-0.1089125</v>
      </c>
      <c r="U7558">
        <v>1.8310550000000001E-3</v>
      </c>
      <c r="V7558">
        <v>-3.4300980000000002E-2</v>
      </c>
      <c r="W7558">
        <v>-2.177633E-3</v>
      </c>
      <c r="X7558">
        <v>0.9994092</v>
      </c>
      <c r="Y7558">
        <v>-0.26754450000000002</v>
      </c>
      <c r="Z7558">
        <v>1.405385E-2</v>
      </c>
      <c r="AA7558">
        <v>0.96344300000000005</v>
      </c>
      <c r="AB7558">
        <v>15</v>
      </c>
      <c r="AC7558">
        <v>31.468299999999999</v>
      </c>
      <c r="AD7558">
        <v>-1.112573724939</v>
      </c>
      <c r="AE7558">
        <v>3.6220000000000099E-2</v>
      </c>
      <c r="AF7558">
        <v>-8.4359179931596397</v>
      </c>
      <c r="AG7558">
        <v>-1.112573724939</v>
      </c>
      <c r="AH7558">
        <v>30.275724564587801</v>
      </c>
      <c r="AI7558">
        <v>92.027398315535706</v>
      </c>
      <c r="AJ7558">
        <v>105.569770685691</v>
      </c>
      <c r="AK7558">
        <v>31.4487206511095</v>
      </c>
      <c r="AL7558">
        <v>90.1247692758227</v>
      </c>
      <c r="AM7558">
        <v>91.965691587964002</v>
      </c>
      <c r="AN7558">
        <v>1.0000000241795399</v>
      </c>
    </row>
    <row r="7559" spans="1:40" x14ac:dyDescent="0.25">
      <c r="A7559" t="str">
        <f>"20190312154111672"</f>
        <v>20190312154111672</v>
      </c>
      <c r="B7559" t="str">
        <f>"1552376471664301"</f>
        <v>1552376471664301</v>
      </c>
      <c r="C7559" t="s">
        <v>40</v>
      </c>
      <c r="D7559">
        <v>4.3413930000000001</v>
      </c>
      <c r="E7559">
        <v>0.4093678</v>
      </c>
      <c r="F7559" t="s">
        <v>88</v>
      </c>
      <c r="G7559">
        <v>-364.90109999999999</v>
      </c>
      <c r="H7559" s="1">
        <v>-2.4241330000000001E-6</v>
      </c>
      <c r="I7559">
        <v>19.540690000000001</v>
      </c>
      <c r="J7559">
        <v>-395.67770000000002</v>
      </c>
      <c r="K7559">
        <v>1.112576</v>
      </c>
      <c r="L7559">
        <v>19.435639999999999</v>
      </c>
      <c r="M7559">
        <v>0.96451710000000002</v>
      </c>
      <c r="N7559">
        <v>0</v>
      </c>
      <c r="O7559">
        <v>-0.2638587</v>
      </c>
      <c r="P7559">
        <v>0.97305450000000004</v>
      </c>
      <c r="Q7559">
        <v>-1.131825E-2</v>
      </c>
      <c r="R7559">
        <v>-0.23029810000000001</v>
      </c>
      <c r="S7559">
        <v>3.086792</v>
      </c>
      <c r="T7559">
        <v>-0.11131630000000001</v>
      </c>
      <c r="U7559">
        <v>8.8500980000000007E-3</v>
      </c>
      <c r="V7559">
        <v>-3.460833E-2</v>
      </c>
      <c r="W7559">
        <v>-2.3188649999999998E-3</v>
      </c>
      <c r="X7559">
        <v>0.99939829999999996</v>
      </c>
      <c r="Y7559">
        <v>-0.26629269999999999</v>
      </c>
      <c r="Z7559">
        <v>1.422764E-2</v>
      </c>
      <c r="AA7559">
        <v>0.96378719999999996</v>
      </c>
      <c r="AB7559">
        <v>16</v>
      </c>
      <c r="AC7559">
        <v>30.776599999999998</v>
      </c>
      <c r="AD7559">
        <v>-1.1125784241329999</v>
      </c>
      <c r="AE7559">
        <v>0.10504999999999801</v>
      </c>
      <c r="AF7559">
        <v>-8.2116160017822999</v>
      </c>
      <c r="AG7559">
        <v>-1.1125784241329999</v>
      </c>
      <c r="AH7559">
        <v>29.619397168353</v>
      </c>
      <c r="AI7559">
        <v>92.0730400890982</v>
      </c>
      <c r="AJ7559">
        <v>105.495383862699</v>
      </c>
      <c r="AK7559">
        <v>30.756741646787098</v>
      </c>
      <c r="AL7559">
        <v>90.132861291801902</v>
      </c>
      <c r="AM7559">
        <v>91.983312552018603</v>
      </c>
      <c r="AN7559">
        <v>1.0000000378415801</v>
      </c>
    </row>
    <row r="7560" spans="1:40" x14ac:dyDescent="0.25">
      <c r="A7560" t="str">
        <f>"20190312154111683"</f>
        <v>20190312154111683</v>
      </c>
      <c r="B7560" t="str">
        <f>"1552376471674061"</f>
        <v>1552376471674061</v>
      </c>
      <c r="C7560" t="s">
        <v>40</v>
      </c>
      <c r="D7560">
        <v>4.3296640000000002</v>
      </c>
      <c r="E7560">
        <v>0.4093678</v>
      </c>
      <c r="F7560" t="s">
        <v>88</v>
      </c>
      <c r="G7560">
        <v>-365.76249999999999</v>
      </c>
      <c r="H7560" s="1">
        <v>-2.0056319999999999E-6</v>
      </c>
      <c r="I7560">
        <v>19.604569999999999</v>
      </c>
      <c r="J7560">
        <v>-395.59960000000001</v>
      </c>
      <c r="K7560">
        <v>1.112579</v>
      </c>
      <c r="L7560">
        <v>19.418610000000001</v>
      </c>
      <c r="M7560">
        <v>0.96549039999999997</v>
      </c>
      <c r="N7560">
        <v>0</v>
      </c>
      <c r="O7560">
        <v>-0.26028079999999998</v>
      </c>
      <c r="P7560">
        <v>0.97393110000000005</v>
      </c>
      <c r="Q7560">
        <v>-1.12792E-2</v>
      </c>
      <c r="R7560">
        <v>-0.2265646</v>
      </c>
      <c r="S7560">
        <v>3.0858759999999998</v>
      </c>
      <c r="T7560">
        <v>-0.1147667</v>
      </c>
      <c r="U7560">
        <v>1.742554E-2</v>
      </c>
      <c r="V7560">
        <v>-3.4734609999999999E-2</v>
      </c>
      <c r="W7560">
        <v>-2.4587160000000001E-3</v>
      </c>
      <c r="X7560">
        <v>0.99939350000000005</v>
      </c>
      <c r="Y7560">
        <v>-0.26537909999999998</v>
      </c>
      <c r="Z7560">
        <v>1.452707E-2</v>
      </c>
      <c r="AA7560">
        <v>0.96403470000000002</v>
      </c>
      <c r="AB7560">
        <v>16</v>
      </c>
      <c r="AC7560">
        <v>29.8371</v>
      </c>
      <c r="AD7560">
        <v>-1.112581005632</v>
      </c>
      <c r="AE7560">
        <v>0.18596000000000101</v>
      </c>
      <c r="AF7560">
        <v>-7.9348609423676804</v>
      </c>
      <c r="AG7560">
        <v>-1.112581005632</v>
      </c>
      <c r="AH7560">
        <v>28.720281683840099</v>
      </c>
      <c r="AI7560">
        <v>92.138409757210297</v>
      </c>
      <c r="AJ7560">
        <v>105.444451106351</v>
      </c>
      <c r="AK7560">
        <v>29.817015857860799</v>
      </c>
      <c r="AL7560">
        <v>90.1408741983618</v>
      </c>
      <c r="AM7560">
        <v>91.990553068979594</v>
      </c>
      <c r="AN7560">
        <v>0.99999995312923395</v>
      </c>
    </row>
    <row r="7561" spans="1:40" x14ac:dyDescent="0.25">
      <c r="A7561" t="str">
        <f>"20190312154111694"</f>
        <v>20190312154111694</v>
      </c>
      <c r="B7561" t="str">
        <f>"1552376471683822"</f>
        <v>1552376471683822</v>
      </c>
      <c r="C7561" t="s">
        <v>40</v>
      </c>
      <c r="D7561">
        <v>4.3622199999999998</v>
      </c>
      <c r="E7561">
        <v>0.4156224</v>
      </c>
      <c r="F7561" t="s">
        <v>88</v>
      </c>
      <c r="G7561">
        <v>-365.73599999999999</v>
      </c>
      <c r="H7561" s="1">
        <v>-2.038673E-6</v>
      </c>
      <c r="I7561">
        <v>19.701250000000002</v>
      </c>
      <c r="J7561">
        <v>-395.52300000000002</v>
      </c>
      <c r="K7561">
        <v>1.112584</v>
      </c>
      <c r="L7561">
        <v>19.40213</v>
      </c>
      <c r="M7561">
        <v>0.96643100000000004</v>
      </c>
      <c r="N7561">
        <v>0</v>
      </c>
      <c r="O7561">
        <v>-0.256772</v>
      </c>
      <c r="P7561">
        <v>0.97480420000000001</v>
      </c>
      <c r="Q7561">
        <v>-1.1267249999999999E-2</v>
      </c>
      <c r="R7561">
        <v>-0.22277830000000001</v>
      </c>
      <c r="S7561">
        <v>3.085785</v>
      </c>
      <c r="T7561">
        <v>-0.11496190000000001</v>
      </c>
      <c r="U7561">
        <v>2.920532E-2</v>
      </c>
      <c r="V7561">
        <v>-3.4986209999999997E-2</v>
      </c>
      <c r="W7561">
        <v>-2.6177420000000002E-3</v>
      </c>
      <c r="X7561">
        <v>0.9993843</v>
      </c>
      <c r="Y7561">
        <v>-0.26555790000000001</v>
      </c>
      <c r="Z7561">
        <v>1.442922E-2</v>
      </c>
      <c r="AA7561">
        <v>0.96398689999999998</v>
      </c>
      <c r="AB7561">
        <v>16</v>
      </c>
      <c r="AC7561">
        <v>29.786999999999999</v>
      </c>
      <c r="AD7561">
        <v>-1.112586038673</v>
      </c>
      <c r="AE7561">
        <v>0.299120000000002</v>
      </c>
      <c r="AF7561">
        <v>-7.9268032168212299</v>
      </c>
      <c r="AG7561">
        <v>-1.112586038673</v>
      </c>
      <c r="AH7561">
        <v>28.671416216709702</v>
      </c>
      <c r="AI7561">
        <v>92.141956285141504</v>
      </c>
      <c r="AJ7561">
        <v>105.454556047762</v>
      </c>
      <c r="AK7561">
        <v>29.7678041649609</v>
      </c>
      <c r="AL7561">
        <v>90.149985749760305</v>
      </c>
      <c r="AM7561">
        <v>92.0049783481996</v>
      </c>
      <c r="AN7561">
        <v>0.99999993327491399</v>
      </c>
    </row>
    <row r="7562" spans="1:40" x14ac:dyDescent="0.25">
      <c r="A7562" t="str">
        <f>"20190312154111706"</f>
        <v>20190312154111706</v>
      </c>
      <c r="B7562" t="str">
        <f>"1552376471693581"</f>
        <v>1552376471693581</v>
      </c>
      <c r="C7562" t="s">
        <v>40</v>
      </c>
      <c r="D7562">
        <v>4.3966070000000004</v>
      </c>
      <c r="E7562">
        <v>0.41591810000000001</v>
      </c>
      <c r="F7562" t="s">
        <v>87</v>
      </c>
      <c r="G7562">
        <v>-373.43110000000001</v>
      </c>
      <c r="H7562" s="1">
        <v>-3.1307310000000002E-6</v>
      </c>
      <c r="I7562">
        <v>19.362220000000001</v>
      </c>
      <c r="J7562">
        <v>-395.44920000000002</v>
      </c>
      <c r="K7562">
        <v>1.112584</v>
      </c>
      <c r="L7562">
        <v>19.386659999999999</v>
      </c>
      <c r="M7562">
        <v>0.9673235</v>
      </c>
      <c r="N7562">
        <v>0</v>
      </c>
      <c r="O7562">
        <v>-0.25339460000000003</v>
      </c>
      <c r="P7562">
        <v>0.97561810000000004</v>
      </c>
      <c r="Q7562">
        <v>-1.1319279999999999E-2</v>
      </c>
      <c r="R7562">
        <v>-0.2191844</v>
      </c>
      <c r="S7562">
        <v>3.074554</v>
      </c>
      <c r="T7562">
        <v>-0.15483959999999999</v>
      </c>
      <c r="U7562">
        <v>-5.5541990000000001E-3</v>
      </c>
      <c r="V7562">
        <v>-3.5175850000000002E-2</v>
      </c>
      <c r="W7562">
        <v>-2.82672E-3</v>
      </c>
      <c r="X7562">
        <v>0.99937710000000002</v>
      </c>
      <c r="Y7562">
        <v>-0.25102249999999998</v>
      </c>
      <c r="Z7562">
        <v>1.8964120000000001E-2</v>
      </c>
      <c r="AA7562">
        <v>0.96779550000000003</v>
      </c>
      <c r="AB7562">
        <v>16</v>
      </c>
      <c r="AC7562">
        <v>22.0181</v>
      </c>
      <c r="AD7562">
        <v>-1.112587130731</v>
      </c>
      <c r="AE7562">
        <v>-2.4439999999998401E-2</v>
      </c>
      <c r="AF7562">
        <v>-5.5416887674524</v>
      </c>
      <c r="AG7562">
        <v>-1.112587130731</v>
      </c>
      <c r="AH7562">
        <v>21.251370780318101</v>
      </c>
      <c r="AI7562">
        <v>92.900099728832899</v>
      </c>
      <c r="AJ7562">
        <v>104.615453935725</v>
      </c>
      <c r="AK7562">
        <v>21.990200648501101</v>
      </c>
      <c r="AL7562">
        <v>90.161959348128605</v>
      </c>
      <c r="AM7562">
        <v>92.015851744670599</v>
      </c>
      <c r="AN7562">
        <v>0.99999995938679398</v>
      </c>
    </row>
    <row r="7563" spans="1:40" x14ac:dyDescent="0.25">
      <c r="A7563" t="str">
        <f>"20190312154111719"</f>
        <v>20190312154111719</v>
      </c>
      <c r="B7563" t="str">
        <f>"1552376471713810"</f>
        <v>1552376471713810</v>
      </c>
      <c r="C7563" t="s">
        <v>40</v>
      </c>
      <c r="D7563">
        <v>4.4545399999999997</v>
      </c>
      <c r="E7563">
        <v>0.4175951</v>
      </c>
      <c r="F7563" t="s">
        <v>87</v>
      </c>
      <c r="G7563">
        <v>-373.4547</v>
      </c>
      <c r="H7563" s="1">
        <v>-3.1107589999999999E-6</v>
      </c>
      <c r="I7563">
        <v>19.411770000000001</v>
      </c>
      <c r="J7563">
        <v>-395.35930000000002</v>
      </c>
      <c r="K7563">
        <v>1.112592</v>
      </c>
      <c r="L7563">
        <v>19.368010000000002</v>
      </c>
      <c r="M7563">
        <v>0.96839520000000001</v>
      </c>
      <c r="N7563">
        <v>0</v>
      </c>
      <c r="O7563">
        <v>-0.24927350000000001</v>
      </c>
      <c r="P7563">
        <v>0.97653999999999996</v>
      </c>
      <c r="Q7563">
        <v>-1.1524599999999999E-2</v>
      </c>
      <c r="R7563">
        <v>-0.21502779999999999</v>
      </c>
      <c r="S7563">
        <v>3.0739749999999999</v>
      </c>
      <c r="T7563">
        <v>-0.1554961</v>
      </c>
      <c r="U7563">
        <v>3.5095209999999998E-3</v>
      </c>
      <c r="V7563">
        <v>-3.5172479999999999E-2</v>
      </c>
      <c r="W7563">
        <v>-3.2181800000000002E-3</v>
      </c>
      <c r="X7563">
        <v>0.99937609999999999</v>
      </c>
      <c r="Y7563">
        <v>-0.24975510000000001</v>
      </c>
      <c r="Z7563">
        <v>1.8814009999999999E-2</v>
      </c>
      <c r="AA7563">
        <v>0.96812619999999905</v>
      </c>
      <c r="AB7563">
        <v>16</v>
      </c>
      <c r="AC7563">
        <v>21.904599999999999</v>
      </c>
      <c r="AD7563">
        <v>-1.112595110759</v>
      </c>
      <c r="AE7563">
        <v>4.3759999999998897E-2</v>
      </c>
      <c r="AF7563">
        <v>-5.4886552507082298</v>
      </c>
      <c r="AG7563">
        <v>-1.112595110759</v>
      </c>
      <c r="AH7563">
        <v>21.147621420148301</v>
      </c>
      <c r="AI7563">
        <v>92.915194867501</v>
      </c>
      <c r="AJ7563">
        <v>104.549530259177</v>
      </c>
      <c r="AK7563">
        <v>21.876587852577199</v>
      </c>
      <c r="AL7563">
        <v>90.184388445446103</v>
      </c>
      <c r="AM7563">
        <v>92.015660791840304</v>
      </c>
      <c r="AN7563">
        <v>1.0000000246415299</v>
      </c>
    </row>
    <row r="7564" spans="1:40" x14ac:dyDescent="0.25">
      <c r="A7564" t="str">
        <f>"20190312154111733"</f>
        <v>20190312154111733</v>
      </c>
      <c r="B7564" t="str">
        <f>"1552376471723571"</f>
        <v>1552376471723571</v>
      </c>
      <c r="C7564" t="s">
        <v>40</v>
      </c>
      <c r="D7564">
        <v>4.3912230000000001</v>
      </c>
      <c r="E7564">
        <v>0.41804360000000002</v>
      </c>
      <c r="F7564" t="s">
        <v>87</v>
      </c>
      <c r="G7564">
        <v>-373.73829999999998</v>
      </c>
      <c r="H7564" s="1">
        <v>-2.979981E-6</v>
      </c>
      <c r="I7564">
        <v>19.393360000000001</v>
      </c>
      <c r="J7564">
        <v>-395.26100000000002</v>
      </c>
      <c r="K7564">
        <v>1.1126049999999901</v>
      </c>
      <c r="L7564">
        <v>19.348210000000002</v>
      </c>
      <c r="M7564">
        <v>0.96954490000000004</v>
      </c>
      <c r="N7564">
        <v>0</v>
      </c>
      <c r="O7564">
        <v>-0.2447706</v>
      </c>
      <c r="P7564">
        <v>0.97754450000000004</v>
      </c>
      <c r="Q7564">
        <v>-1.170002E-2</v>
      </c>
      <c r="R7564">
        <v>-0.21040449999999999</v>
      </c>
      <c r="S7564">
        <v>3.0709840000000002</v>
      </c>
      <c r="T7564">
        <v>-0.1580297</v>
      </c>
      <c r="U7564">
        <v>3.6010740000000001E-3</v>
      </c>
      <c r="V7564">
        <v>-3.5252970000000002E-2</v>
      </c>
      <c r="W7564">
        <v>-3.5893269999999998E-3</v>
      </c>
      <c r="X7564">
        <v>0.99937189999999998</v>
      </c>
      <c r="Y7564">
        <v>-0.2452725</v>
      </c>
      <c r="Z7564">
        <v>1.879749E-2</v>
      </c>
      <c r="AA7564">
        <v>0.96927200000000002</v>
      </c>
      <c r="AB7564">
        <v>16</v>
      </c>
      <c r="AC7564">
        <v>21.522699999999901</v>
      </c>
      <c r="AD7564">
        <v>-1.11260797998099</v>
      </c>
      <c r="AE7564">
        <v>4.5149999999999503E-2</v>
      </c>
      <c r="AF7564">
        <v>-5.2979274055528398</v>
      </c>
      <c r="AG7564">
        <v>-1.11260797998099</v>
      </c>
      <c r="AH7564">
        <v>20.801315220873398</v>
      </c>
      <c r="AI7564">
        <v>92.967137316501706</v>
      </c>
      <c r="AJ7564">
        <v>104.288977938861</v>
      </c>
      <c r="AK7564">
        <v>21.4942002928642</v>
      </c>
      <c r="AL7564">
        <v>90.205653745433807</v>
      </c>
      <c r="AM7564">
        <v>92.020278169748096</v>
      </c>
      <c r="AN7564">
        <v>0.99999992483586897</v>
      </c>
    </row>
    <row r="7565" spans="1:40" x14ac:dyDescent="0.25">
      <c r="A7565" t="str">
        <f>"20190312154111749"</f>
        <v>20190312154111749</v>
      </c>
      <c r="B7565" t="str">
        <f>"1552376471744066"</f>
        <v>1552376471744066</v>
      </c>
      <c r="C7565" t="s">
        <v>40</v>
      </c>
      <c r="D7565">
        <v>4.4238099999999996</v>
      </c>
      <c r="E7565">
        <v>0.41919669999999998</v>
      </c>
      <c r="F7565" t="s">
        <v>87</v>
      </c>
      <c r="G7565">
        <v>-373.9298</v>
      </c>
      <c r="H7565" s="1">
        <v>-2.8792939999999999E-6</v>
      </c>
      <c r="I7565">
        <v>19.450620000000001</v>
      </c>
      <c r="J7565">
        <v>-395.14690000000002</v>
      </c>
      <c r="K7565">
        <v>1.112617</v>
      </c>
      <c r="L7565">
        <v>19.32574</v>
      </c>
      <c r="M7565">
        <v>0.9708521</v>
      </c>
      <c r="N7565">
        <v>0</v>
      </c>
      <c r="O7565">
        <v>-0.23954030000000001</v>
      </c>
      <c r="P7565">
        <v>0.97870460000000004</v>
      </c>
      <c r="Q7565">
        <v>-1.2007429999999999E-2</v>
      </c>
      <c r="R7565">
        <v>-0.20492299999999999</v>
      </c>
      <c r="S7565">
        <v>3.0701900000000002</v>
      </c>
      <c r="T7565">
        <v>-0.16013720000000001</v>
      </c>
      <c r="U7565">
        <v>1.473999E-2</v>
      </c>
      <c r="V7565">
        <v>-3.5460190000000003E-2</v>
      </c>
      <c r="W7565">
        <v>-4.1185730000000004E-3</v>
      </c>
      <c r="X7565">
        <v>0.99936259999999999</v>
      </c>
      <c r="Y7565">
        <v>-0.24355460000000001</v>
      </c>
      <c r="Z7565">
        <v>1.8742869999999998E-2</v>
      </c>
      <c r="AA7565">
        <v>0.96970610000000002</v>
      </c>
      <c r="AB7565">
        <v>16</v>
      </c>
      <c r="AC7565">
        <v>21.217099999999999</v>
      </c>
      <c r="AD7565">
        <v>-1.1126198792940001</v>
      </c>
      <c r="AE7565">
        <v>0.124880000000001</v>
      </c>
      <c r="AF7565">
        <v>-5.1894936655070003</v>
      </c>
      <c r="AG7565">
        <v>-1.1126198792940001</v>
      </c>
      <c r="AH7565">
        <v>20.5130302945166</v>
      </c>
      <c r="AI7565">
        <v>93.010015333682404</v>
      </c>
      <c r="AJ7565">
        <v>104.197109834535</v>
      </c>
      <c r="AK7565">
        <v>21.188515270398099</v>
      </c>
      <c r="AL7565">
        <v>90.235977518361693</v>
      </c>
      <c r="AM7565">
        <v>92.032162506788495</v>
      </c>
      <c r="AN7565">
        <v>0.999999996998576</v>
      </c>
    </row>
    <row r="7566" spans="1:40" x14ac:dyDescent="0.25">
      <c r="A7566" t="str">
        <f>"20190312154111762"</f>
        <v>20190312154111762</v>
      </c>
      <c r="B7566" t="str">
        <f>"1552376471753827"</f>
        <v>1552376471753827</v>
      </c>
      <c r="C7566" t="s">
        <v>40</v>
      </c>
      <c r="D7566">
        <v>4.3788830000000001</v>
      </c>
      <c r="E7566">
        <v>0.4197398</v>
      </c>
      <c r="F7566" t="s">
        <v>87</v>
      </c>
      <c r="G7566">
        <v>-374.02249999999998</v>
      </c>
      <c r="H7566" s="1">
        <v>-2.8294759999999999E-6</v>
      </c>
      <c r="I7566">
        <v>19.484380000000002</v>
      </c>
      <c r="J7566">
        <v>-395.05720000000002</v>
      </c>
      <c r="K7566">
        <v>1.1126290000000001</v>
      </c>
      <c r="L7566">
        <v>19.308530000000001</v>
      </c>
      <c r="M7566">
        <v>0.97185949999999999</v>
      </c>
      <c r="N7566">
        <v>0</v>
      </c>
      <c r="O7566">
        <v>-0.23542579999999999</v>
      </c>
      <c r="P7566">
        <v>0.97954909999999995</v>
      </c>
      <c r="Q7566">
        <v>-1.1894800000000001E-2</v>
      </c>
      <c r="R7566">
        <v>-0.20085359999999999</v>
      </c>
      <c r="S7566">
        <v>3.0681150000000001</v>
      </c>
      <c r="T7566">
        <v>-0.16159770000000001</v>
      </c>
      <c r="U7566">
        <v>2.3040769999999999E-2</v>
      </c>
      <c r="V7566">
        <v>-3.5380599999999998E-2</v>
      </c>
      <c r="W7566">
        <v>-4.1748779999999999E-3</v>
      </c>
      <c r="X7566">
        <v>0.99936519999999995</v>
      </c>
      <c r="Y7566">
        <v>-0.24206759999999999</v>
      </c>
      <c r="Z7566">
        <v>1.867622E-2</v>
      </c>
      <c r="AA7566">
        <v>0.97007960000000004</v>
      </c>
      <c r="AB7566">
        <v>16</v>
      </c>
      <c r="AC7566">
        <v>21.034700000000001</v>
      </c>
      <c r="AD7566">
        <v>-1.112631829476</v>
      </c>
      <c r="AE7566">
        <v>0.17585000000000001</v>
      </c>
      <c r="AF7566">
        <v>-5.1088829299979404</v>
      </c>
      <c r="AG7566">
        <v>-1.112631829476</v>
      </c>
      <c r="AH7566">
        <v>20.345104937737901</v>
      </c>
      <c r="AI7566">
        <v>93.036191490758995</v>
      </c>
      <c r="AJ7566">
        <v>104.09614765179199</v>
      </c>
      <c r="AK7566">
        <v>21.006235486349102</v>
      </c>
      <c r="AL7566">
        <v>90.239203581931804</v>
      </c>
      <c r="AM7566">
        <v>92.027599881446505</v>
      </c>
      <c r="AN7566">
        <v>1.00000000971685</v>
      </c>
    </row>
    <row r="7567" spans="1:40" x14ac:dyDescent="0.25">
      <c r="A7567" t="str">
        <f>"20190312154111774"</f>
        <v>20190312154111774</v>
      </c>
      <c r="B7567" t="str">
        <f>"1552376471763587"</f>
        <v>1552376471763587</v>
      </c>
      <c r="C7567" t="s">
        <v>40</v>
      </c>
      <c r="D7567">
        <v>4.3747030000000002</v>
      </c>
      <c r="E7567">
        <v>0.42028749999999998</v>
      </c>
      <c r="F7567" t="s">
        <v>87</v>
      </c>
      <c r="G7567">
        <v>-374.00490000000002</v>
      </c>
      <c r="H7567" s="1">
        <v>-2.8305560000000001E-6</v>
      </c>
      <c r="I7567">
        <v>19.52533</v>
      </c>
      <c r="J7567">
        <v>-394.97649999999999</v>
      </c>
      <c r="K7567">
        <v>1.1126400000000001</v>
      </c>
      <c r="L7567">
        <v>19.293330000000001</v>
      </c>
      <c r="M7567">
        <v>0.97275029999999996</v>
      </c>
      <c r="N7567">
        <v>0</v>
      </c>
      <c r="O7567">
        <v>-0.23172229999999999</v>
      </c>
      <c r="P7567">
        <v>0.98038670000000006</v>
      </c>
      <c r="Q7567">
        <v>-1.164166E-2</v>
      </c>
      <c r="R7567">
        <v>-0.19673959999999999</v>
      </c>
      <c r="S7567">
        <v>3.0671080000000002</v>
      </c>
      <c r="T7567">
        <v>-0.1620992</v>
      </c>
      <c r="U7567">
        <v>3.158569E-2</v>
      </c>
      <c r="V7567">
        <v>-3.576994E-2</v>
      </c>
      <c r="W7567">
        <v>-4.0750309999999998E-3</v>
      </c>
      <c r="X7567">
        <v>0.99935169999999995</v>
      </c>
      <c r="Y7567">
        <v>-0.24107880000000001</v>
      </c>
      <c r="Z7567">
        <v>1.8523390000000001E-2</v>
      </c>
      <c r="AA7567">
        <v>0.97032870000000004</v>
      </c>
      <c r="AB7567">
        <v>16</v>
      </c>
      <c r="AC7567">
        <v>20.971599999999899</v>
      </c>
      <c r="AD7567">
        <v>-1.1126428305560001</v>
      </c>
      <c r="AE7567">
        <v>0.23200000000000201</v>
      </c>
      <c r="AF7567">
        <v>-5.0711496108221397</v>
      </c>
      <c r="AG7567">
        <v>-1.1126428305560001</v>
      </c>
      <c r="AH7567">
        <v>20.289892499728701</v>
      </c>
      <c r="AI7567">
        <v>93.045310821526797</v>
      </c>
      <c r="AJ7567">
        <v>104.032725845766</v>
      </c>
      <c r="AK7567">
        <v>20.943597353231201</v>
      </c>
      <c r="AL7567">
        <v>90.233482733834506</v>
      </c>
      <c r="AM7567">
        <v>92.049921007217705</v>
      </c>
      <c r="AN7567">
        <v>0.99999995738907099</v>
      </c>
    </row>
    <row r="7568" spans="1:40" x14ac:dyDescent="0.25">
      <c r="A7568" t="str">
        <f>"20190312154111787"</f>
        <v>20190312154111787</v>
      </c>
      <c r="B7568" t="str">
        <f>"1552376471774322"</f>
        <v>1552376471774322</v>
      </c>
      <c r="C7568" t="s">
        <v>40</v>
      </c>
      <c r="D7568">
        <v>4.4087610000000002</v>
      </c>
      <c r="E7568">
        <v>0.42072349999999997</v>
      </c>
      <c r="F7568" t="s">
        <v>87</v>
      </c>
      <c r="G7568">
        <v>-373.9006</v>
      </c>
      <c r="H7568" s="1">
        <v>-2.872054E-6</v>
      </c>
      <c r="I7568">
        <v>19.569179999999999</v>
      </c>
      <c r="J7568">
        <v>-394.89089999999999</v>
      </c>
      <c r="K7568">
        <v>1.1126510000000001</v>
      </c>
      <c r="L7568">
        <v>19.277650000000001</v>
      </c>
      <c r="M7568">
        <v>0.97367840000000005</v>
      </c>
      <c r="N7568">
        <v>0</v>
      </c>
      <c r="O7568">
        <v>-0.22779640000000001</v>
      </c>
      <c r="P7568">
        <v>0.98119780000000001</v>
      </c>
      <c r="Q7568">
        <v>-1.1429E-2</v>
      </c>
      <c r="R7568">
        <v>-0.19266539999999999</v>
      </c>
      <c r="S7568">
        <v>3.0661320000000001</v>
      </c>
      <c r="T7568">
        <v>-0.16186819999999999</v>
      </c>
      <c r="U7568">
        <v>4.0130619999999999E-2</v>
      </c>
      <c r="V7568">
        <v>-3.589051E-2</v>
      </c>
      <c r="W7568">
        <v>-4.018733E-3</v>
      </c>
      <c r="X7568">
        <v>0.9993476</v>
      </c>
      <c r="Y7568">
        <v>-0.23987939999999999</v>
      </c>
      <c r="Z7568">
        <v>1.8268969999999999E-2</v>
      </c>
      <c r="AA7568">
        <v>0.97063080000000002</v>
      </c>
      <c r="AB7568">
        <v>16</v>
      </c>
      <c r="AC7568">
        <v>20.990299999999898</v>
      </c>
      <c r="AD7568">
        <v>-1.112653872054</v>
      </c>
      <c r="AE7568">
        <v>0.29152999999999801</v>
      </c>
      <c r="AF7568">
        <v>-5.0513303786696504</v>
      </c>
      <c r="AG7568">
        <v>-1.112653872054</v>
      </c>
      <c r="AH7568">
        <v>20.314924138809399</v>
      </c>
      <c r="AI7568">
        <v>93.042510358334198</v>
      </c>
      <c r="AJ7568">
        <v>103.96348608530801</v>
      </c>
      <c r="AK7568">
        <v>20.963064661424099</v>
      </c>
      <c r="AL7568">
        <v>90.230257070665502</v>
      </c>
      <c r="AM7568">
        <v>92.056833197461003</v>
      </c>
      <c r="AN7568">
        <v>0.999999952274371</v>
      </c>
    </row>
    <row r="7569" spans="1:40" x14ac:dyDescent="0.25">
      <c r="A7569" t="str">
        <f>"20190312154111798"</f>
        <v>20190312154111798</v>
      </c>
      <c r="B7569" t="str">
        <f>"1552376471793843"</f>
        <v>1552376471793843</v>
      </c>
      <c r="C7569" t="s">
        <v>40</v>
      </c>
      <c r="D7569">
        <v>4.4340359999999999</v>
      </c>
      <c r="E7569">
        <v>0.42775619999999998</v>
      </c>
      <c r="F7569" t="s">
        <v>87</v>
      </c>
      <c r="G7569">
        <v>-373.77550000000002</v>
      </c>
      <c r="H7569" s="1">
        <v>-2.923236E-6</v>
      </c>
      <c r="I7569">
        <v>19.61778</v>
      </c>
      <c r="J7569">
        <v>-394.80829999999997</v>
      </c>
      <c r="K7569">
        <v>1.1126579999999999</v>
      </c>
      <c r="L7569">
        <v>19.262730000000001</v>
      </c>
      <c r="M7569">
        <v>0.97455879999999995</v>
      </c>
      <c r="N7569">
        <v>0</v>
      </c>
      <c r="O7569">
        <v>-0.22400510000000001</v>
      </c>
      <c r="P7569">
        <v>0.98192460000000004</v>
      </c>
      <c r="Q7569">
        <v>-1.1017600000000001E-2</v>
      </c>
      <c r="R7569">
        <v>-0.18895200000000001</v>
      </c>
      <c r="S7569">
        <v>3.065369</v>
      </c>
      <c r="T7569">
        <v>-0.161525799999999</v>
      </c>
      <c r="U7569">
        <v>4.9377440000000002E-2</v>
      </c>
      <c r="V7569">
        <v>-3.5783799999999998E-2</v>
      </c>
      <c r="W7569">
        <v>-3.7553420000000001E-3</v>
      </c>
      <c r="X7569">
        <v>0.99935249999999998</v>
      </c>
      <c r="Y7569">
        <v>-0.23904039999999999</v>
      </c>
      <c r="Z7569">
        <v>1.801763E-2</v>
      </c>
      <c r="AA7569">
        <v>0.97084250000000005</v>
      </c>
      <c r="AB7569">
        <v>16</v>
      </c>
      <c r="AC7569">
        <v>21.032799999999899</v>
      </c>
      <c r="AD7569">
        <v>-1.1126609232360001</v>
      </c>
      <c r="AE7569">
        <v>0.35505000000000198</v>
      </c>
      <c r="AF7569">
        <v>-5.0435049322175303</v>
      </c>
      <c r="AG7569">
        <v>-1.1126609232360001</v>
      </c>
      <c r="AH7569">
        <v>20.361780815799602</v>
      </c>
      <c r="AI7569">
        <v>93.036218804295004</v>
      </c>
      <c r="AJ7569">
        <v>103.91186119481</v>
      </c>
      <c r="AK7569">
        <v>21.006595971790901</v>
      </c>
      <c r="AL7569">
        <v>90.215165752726904</v>
      </c>
      <c r="AM7569">
        <v>92.050712984513893</v>
      </c>
      <c r="AN7569">
        <v>1.0000000010961101</v>
      </c>
    </row>
    <row r="7570" spans="1:40" x14ac:dyDescent="0.25">
      <c r="A7570" t="str">
        <f>"20190312154111816"</f>
        <v>20190312154111816</v>
      </c>
      <c r="B7570" t="str">
        <f>"1552376471803464"</f>
        <v>1552376471803464</v>
      </c>
      <c r="C7570" t="s">
        <v>40</v>
      </c>
      <c r="D7570">
        <v>4.3948589999999896</v>
      </c>
      <c r="E7570">
        <v>0.42828620000000001</v>
      </c>
      <c r="F7570" t="s">
        <v>87</v>
      </c>
      <c r="G7570">
        <v>-373.86739999999998</v>
      </c>
      <c r="H7570" s="1">
        <v>-2.9349259999999999E-6</v>
      </c>
      <c r="I7570">
        <v>19.30331</v>
      </c>
      <c r="J7570">
        <v>-394.68380000000002</v>
      </c>
      <c r="K7570">
        <v>1.112673</v>
      </c>
      <c r="L7570">
        <v>19.240939999999998</v>
      </c>
      <c r="M7570">
        <v>0.97585630000000001</v>
      </c>
      <c r="N7570">
        <v>0</v>
      </c>
      <c r="O7570">
        <v>-0.21829100000000001</v>
      </c>
      <c r="P7570">
        <v>0.98300969999999999</v>
      </c>
      <c r="Q7570">
        <v>-1.094228E-2</v>
      </c>
      <c r="R7570">
        <v>-0.18322740000000001</v>
      </c>
      <c r="S7570">
        <v>3.0545650000000002</v>
      </c>
      <c r="T7570">
        <v>-0.1622989</v>
      </c>
      <c r="U7570">
        <v>5.9204100000000001E-3</v>
      </c>
      <c r="V7570">
        <v>-3.5749959999999997E-2</v>
      </c>
      <c r="W7570">
        <v>-3.9021730000000001E-3</v>
      </c>
      <c r="X7570">
        <v>0.99935320000000005</v>
      </c>
      <c r="Y7570">
        <v>-0.21957389999999999</v>
      </c>
      <c r="Z7570">
        <v>1.7349670000000001E-2</v>
      </c>
      <c r="AA7570">
        <v>0.97544160000000002</v>
      </c>
      <c r="AB7570">
        <v>16</v>
      </c>
      <c r="AC7570">
        <v>20.816400000000002</v>
      </c>
      <c r="AD7570">
        <v>-1.112675934926</v>
      </c>
      <c r="AE7570">
        <v>6.2370000000001299E-2</v>
      </c>
      <c r="AF7570">
        <v>-4.59190074129961</v>
      </c>
      <c r="AG7570">
        <v>-1.112675934926</v>
      </c>
      <c r="AH7570">
        <v>20.242907953322</v>
      </c>
      <c r="AI7570">
        <v>93.068367286510593</v>
      </c>
      <c r="AJ7570">
        <v>102.78068682524901</v>
      </c>
      <c r="AK7570">
        <v>20.786989261573598</v>
      </c>
      <c r="AL7570">
        <v>90.223578599504094</v>
      </c>
      <c r="AM7570">
        <v>92.048773887250505</v>
      </c>
      <c r="AN7570">
        <v>1.0000000524721799</v>
      </c>
    </row>
    <row r="7571" spans="1:40" x14ac:dyDescent="0.25">
      <c r="A7571" t="str">
        <f>"20190312154111827"</f>
        <v>20190312154111827</v>
      </c>
      <c r="B7571" t="str">
        <f>"1552376471814201"</f>
        <v>1552376471814201</v>
      </c>
      <c r="C7571" t="s">
        <v>40</v>
      </c>
      <c r="D7571">
        <v>4.4311280000000002</v>
      </c>
      <c r="E7571">
        <v>0.42756870000000002</v>
      </c>
      <c r="F7571" t="s">
        <v>87</v>
      </c>
      <c r="G7571">
        <v>-373.52589999999998</v>
      </c>
      <c r="H7571" s="1">
        <v>-3.0833760000000002E-6</v>
      </c>
      <c r="I7571">
        <v>19.376470000000001</v>
      </c>
      <c r="J7571">
        <v>-394.601</v>
      </c>
      <c r="K7571">
        <v>1.1126739999999999</v>
      </c>
      <c r="L7571">
        <v>19.226929999999999</v>
      </c>
      <c r="M7571">
        <v>0.97669989999999995</v>
      </c>
      <c r="N7571">
        <v>0</v>
      </c>
      <c r="O7571">
        <v>-0.21449019999999999</v>
      </c>
      <c r="P7571">
        <v>0.98367640000000001</v>
      </c>
      <c r="Q7571">
        <v>-1.0862790000000001E-2</v>
      </c>
      <c r="R7571">
        <v>-0.17961969999999999</v>
      </c>
      <c r="S7571">
        <v>3.053741</v>
      </c>
      <c r="T7571">
        <v>-0.16059329999999999</v>
      </c>
      <c r="U7571">
        <v>1.9561769999999999E-2</v>
      </c>
      <c r="V7571">
        <v>-3.5524550000000002E-2</v>
      </c>
      <c r="W7571">
        <v>-3.9700020000000003E-3</v>
      </c>
      <c r="X7571">
        <v>0.9993609</v>
      </c>
      <c r="Y7571">
        <v>-0.2201506</v>
      </c>
      <c r="Z7571">
        <v>1.6992440000000001E-2</v>
      </c>
      <c r="AA7571">
        <v>0.97531789999999996</v>
      </c>
      <c r="AB7571">
        <v>16</v>
      </c>
      <c r="AC7571">
        <v>21.075099999999999</v>
      </c>
      <c r="AD7571">
        <v>-1.112677083376</v>
      </c>
      <c r="AE7571">
        <v>0.14954000000000101</v>
      </c>
      <c r="AF7571">
        <v>-4.6536069196698397</v>
      </c>
      <c r="AG7571">
        <v>-1.112677083376</v>
      </c>
      <c r="AH7571">
        <v>20.4953740690876</v>
      </c>
      <c r="AI7571">
        <v>93.030503213183195</v>
      </c>
      <c r="AJ7571">
        <v>102.792482485078</v>
      </c>
      <c r="AK7571">
        <v>21.046483456542099</v>
      </c>
      <c r="AL7571">
        <v>90.227464960976604</v>
      </c>
      <c r="AM7571">
        <v>92.035851227068093</v>
      </c>
      <c r="AN7571">
        <v>0.99999998150869596</v>
      </c>
    </row>
    <row r="7572" spans="1:40" x14ac:dyDescent="0.25">
      <c r="A7572" t="str">
        <f>"20190312154111840"</f>
        <v>20190312154111840</v>
      </c>
      <c r="B7572" t="str">
        <f>"1552376471833720"</f>
        <v>1552376471833720</v>
      </c>
      <c r="C7572" t="s">
        <v>40</v>
      </c>
      <c r="D7572">
        <v>4.4401149999999996</v>
      </c>
      <c r="E7572">
        <v>0.42803920000000001</v>
      </c>
      <c r="F7572" t="s">
        <v>87</v>
      </c>
      <c r="G7572">
        <v>-372.19349999999997</v>
      </c>
      <c r="H7572" s="1">
        <v>-3.6928309999999998E-6</v>
      </c>
      <c r="I7572">
        <v>19.491309999999999</v>
      </c>
      <c r="J7572">
        <v>-394.51519999999999</v>
      </c>
      <c r="K7572">
        <v>1.1126780000000001</v>
      </c>
      <c r="L7572">
        <v>19.212620000000001</v>
      </c>
      <c r="M7572">
        <v>0.9775568</v>
      </c>
      <c r="N7572">
        <v>0</v>
      </c>
      <c r="O7572">
        <v>-0.21055550000000001</v>
      </c>
      <c r="P7572">
        <v>0.98433419999999905</v>
      </c>
      <c r="Q7572">
        <v>-1.1039770000000001E-2</v>
      </c>
      <c r="R7572">
        <v>-0.1759675</v>
      </c>
      <c r="S7572">
        <v>3.0546880000000001</v>
      </c>
      <c r="T7572">
        <v>-0.1516853</v>
      </c>
      <c r="U7572">
        <v>3.6041259999999999E-2</v>
      </c>
      <c r="V7572">
        <v>-3.5206170000000002E-2</v>
      </c>
      <c r="W7572">
        <v>-4.30088E-3</v>
      </c>
      <c r="X7572">
        <v>0.9993708</v>
      </c>
      <c r="Y7572">
        <v>-0.22154960000000001</v>
      </c>
      <c r="Z7572">
        <v>1.5890020000000001E-2</v>
      </c>
      <c r="AA7572">
        <v>0.97501959999999999</v>
      </c>
      <c r="AB7572">
        <v>16</v>
      </c>
      <c r="AC7572">
        <v>22.3217</v>
      </c>
      <c r="AD7572">
        <v>-1.1126816928309999</v>
      </c>
      <c r="AE7572">
        <v>0.27869000000000099</v>
      </c>
      <c r="AF7572">
        <v>-4.9601910006615499</v>
      </c>
      <c r="AG7572">
        <v>-1.1126816928309999</v>
      </c>
      <c r="AH7572">
        <v>21.708651274220699</v>
      </c>
      <c r="AI7572">
        <v>92.860546615473893</v>
      </c>
      <c r="AJ7572">
        <v>102.870520635745</v>
      </c>
      <c r="AK7572">
        <v>22.295898624149</v>
      </c>
      <c r="AL7572">
        <v>90.246423035859806</v>
      </c>
      <c r="AM7572">
        <v>92.017600591054403</v>
      </c>
      <c r="AN7572">
        <v>0.99999998393374101</v>
      </c>
    </row>
    <row r="7573" spans="1:40" x14ac:dyDescent="0.25">
      <c r="A7573" t="str">
        <f>"20190312154111851"</f>
        <v>20190312154111851</v>
      </c>
      <c r="B7573" t="str">
        <f>"1552376471843481"</f>
        <v>1552376471843481</v>
      </c>
      <c r="C7573" t="s">
        <v>40</v>
      </c>
      <c r="D7573">
        <v>4.4173519999999904</v>
      </c>
      <c r="E7573">
        <v>0.42830469999999998</v>
      </c>
      <c r="F7573" t="s">
        <v>87</v>
      </c>
      <c r="G7573">
        <v>-371.50349999999997</v>
      </c>
      <c r="H7573" s="1">
        <v>-4.0103259999999998E-6</v>
      </c>
      <c r="I7573">
        <v>19.540299999999998</v>
      </c>
      <c r="J7573">
        <v>-394.43299999999999</v>
      </c>
      <c r="K7573">
        <v>1.1126750000000001</v>
      </c>
      <c r="L7573">
        <v>19.199339999999999</v>
      </c>
      <c r="M7573">
        <v>0.97835989999999995</v>
      </c>
      <c r="N7573">
        <v>0</v>
      </c>
      <c r="O7573">
        <v>-0.20679729999999999</v>
      </c>
      <c r="P7573">
        <v>0.98492500000000005</v>
      </c>
      <c r="Q7573">
        <v>-1.095906E-2</v>
      </c>
      <c r="R7573">
        <v>-0.17263589999999901</v>
      </c>
      <c r="S7573">
        <v>3.053925</v>
      </c>
      <c r="T7573">
        <v>-0.14766609999999999</v>
      </c>
      <c r="U7573">
        <v>4.348755E-2</v>
      </c>
      <c r="V7573">
        <v>-3.4746779999999998E-2</v>
      </c>
      <c r="W7573">
        <v>-4.3728700000000001E-3</v>
      </c>
      <c r="X7573">
        <v>0.99938660000000001</v>
      </c>
      <c r="Y7573">
        <v>-0.2202153</v>
      </c>
      <c r="Z7573">
        <v>1.526284E-2</v>
      </c>
      <c r="AA7573">
        <v>0.97533190000000003</v>
      </c>
      <c r="AB7573">
        <v>16</v>
      </c>
      <c r="AC7573">
        <v>22.929500000000001</v>
      </c>
      <c r="AD7573">
        <v>-1.112679010326</v>
      </c>
      <c r="AE7573">
        <v>0.34095999999999899</v>
      </c>
      <c r="AF7573">
        <v>-5.0635381151183596</v>
      </c>
      <c r="AG7573">
        <v>-1.112679010326</v>
      </c>
      <c r="AH7573">
        <v>22.310791409354</v>
      </c>
      <c r="AI7573">
        <v>92.784383841357098</v>
      </c>
      <c r="AJ7573">
        <v>102.786936135454</v>
      </c>
      <c r="AK7573">
        <v>22.905215260612199</v>
      </c>
      <c r="AL7573">
        <v>90.250547789227497</v>
      </c>
      <c r="AM7573">
        <v>91.991263676683602</v>
      </c>
      <c r="AN7573">
        <v>1.0000000184859801</v>
      </c>
    </row>
    <row r="7574" spans="1:40" x14ac:dyDescent="0.25">
      <c r="A7574" t="str">
        <f>"20190312154111862"</f>
        <v>20190312154111862</v>
      </c>
      <c r="B7574" t="str">
        <f>"1552376471854217"</f>
        <v>1552376471854217</v>
      </c>
      <c r="C7574" t="s">
        <v>40</v>
      </c>
      <c r="D7574">
        <v>4.4239569999999997</v>
      </c>
      <c r="E7574">
        <v>0.4287455</v>
      </c>
      <c r="F7574" t="s">
        <v>87</v>
      </c>
      <c r="G7574">
        <v>-371.42910000000001</v>
      </c>
      <c r="H7574" s="1">
        <v>-4.0366919999999996E-6</v>
      </c>
      <c r="I7574">
        <v>19.589739999999999</v>
      </c>
      <c r="J7574">
        <v>-394.35399999999998</v>
      </c>
      <c r="K7574">
        <v>1.1126720000000001</v>
      </c>
      <c r="L7574">
        <v>19.18683</v>
      </c>
      <c r="M7574">
        <v>0.97911700000000002</v>
      </c>
      <c r="N7574">
        <v>0</v>
      </c>
      <c r="O7574">
        <v>-0.20318639999999999</v>
      </c>
      <c r="P7574">
        <v>0.98546940000000005</v>
      </c>
      <c r="Q7574">
        <v>-1.0909469999999999E-2</v>
      </c>
      <c r="R7574">
        <v>-0.16950209999999999</v>
      </c>
      <c r="S7574">
        <v>3.0533450000000002</v>
      </c>
      <c r="T7574">
        <v>-0.14768789999999901</v>
      </c>
      <c r="U7574">
        <v>5.181885E-2</v>
      </c>
      <c r="V7574">
        <v>-3.4237330000000003E-2</v>
      </c>
      <c r="W7574">
        <v>-4.474418E-3</v>
      </c>
      <c r="X7574">
        <v>0.99940370000000001</v>
      </c>
      <c r="Y7574">
        <v>-0.2192848</v>
      </c>
      <c r="Z7574">
        <v>1.507402E-2</v>
      </c>
      <c r="AA7574">
        <v>0.97554450000000004</v>
      </c>
      <c r="AB7574">
        <v>16</v>
      </c>
      <c r="AC7574">
        <v>22.924900000000001</v>
      </c>
      <c r="AD7574">
        <v>-1.1126760366920001</v>
      </c>
      <c r="AE7574">
        <v>0.40290999999999799</v>
      </c>
      <c r="AF7574">
        <v>-5.0407671511695602</v>
      </c>
      <c r="AG7574">
        <v>-1.1126760366920001</v>
      </c>
      <c r="AH7574">
        <v>22.3122537287386</v>
      </c>
      <c r="AI7574">
        <v>92.784814250601698</v>
      </c>
      <c r="AJ7574">
        <v>102.730503697139</v>
      </c>
      <c r="AK7574">
        <v>22.901616709100502</v>
      </c>
      <c r="AL7574">
        <v>90.256366126356895</v>
      </c>
      <c r="AM7574">
        <v>91.962057630369401</v>
      </c>
      <c r="AN7574">
        <v>0.99999998537782797</v>
      </c>
    </row>
    <row r="7575" spans="1:40" x14ac:dyDescent="0.25">
      <c r="A7575" t="str">
        <f>"20190312154111873"</f>
        <v>20190312154111873</v>
      </c>
      <c r="B7575" t="str">
        <f>"1552376471863976"</f>
        <v>1552376471863976</v>
      </c>
      <c r="C7575" t="s">
        <v>40</v>
      </c>
      <c r="D7575">
        <v>4.4229710000000004</v>
      </c>
      <c r="E7575">
        <v>0.42926550000000002</v>
      </c>
      <c r="F7575" t="s">
        <v>87</v>
      </c>
      <c r="G7575">
        <v>-371.25130000000001</v>
      </c>
      <c r="H7575" s="1">
        <v>-4.1187019999999997E-6</v>
      </c>
      <c r="I7575">
        <v>19.626359999999998</v>
      </c>
      <c r="J7575">
        <v>-394.2654</v>
      </c>
      <c r="K7575">
        <v>1.112663</v>
      </c>
      <c r="L7575">
        <v>19.173069999999999</v>
      </c>
      <c r="M7575">
        <v>0.97994789999999998</v>
      </c>
      <c r="N7575">
        <v>0</v>
      </c>
      <c r="O7575">
        <v>-0.1991462</v>
      </c>
      <c r="P7575">
        <v>0.98605580000000004</v>
      </c>
      <c r="Q7575">
        <v>-1.068232E-2</v>
      </c>
      <c r="R7575">
        <v>-0.16607169999999999</v>
      </c>
      <c r="S7575">
        <v>3.0525509999999998</v>
      </c>
      <c r="T7575">
        <v>-0.147017799999999</v>
      </c>
      <c r="U7575">
        <v>5.807495E-2</v>
      </c>
      <c r="V7575">
        <v>-3.359351E-2</v>
      </c>
      <c r="W7575">
        <v>-4.4228719999999996E-3</v>
      </c>
      <c r="X7575">
        <v>0.99942580000000003</v>
      </c>
      <c r="Y7575">
        <v>-0.21727450000000001</v>
      </c>
      <c r="Z7575">
        <v>1.4769859999999999E-2</v>
      </c>
      <c r="AA7575">
        <v>0.97599880000000006</v>
      </c>
      <c r="AB7575">
        <v>17</v>
      </c>
      <c r="AC7575">
        <v>23.0140999999999</v>
      </c>
      <c r="AD7575">
        <v>-1.1126671187020001</v>
      </c>
      <c r="AE7575">
        <v>0.45328999999999903</v>
      </c>
      <c r="AF7575">
        <v>-5.0157594509378898</v>
      </c>
      <c r="AG7575">
        <v>-1.1126671187020001</v>
      </c>
      <c r="AH7575">
        <v>22.410466811223099</v>
      </c>
      <c r="AI7575">
        <v>92.773854934714905</v>
      </c>
      <c r="AJ7575">
        <v>102.61564781448</v>
      </c>
      <c r="AK7575">
        <v>22.991844068791998</v>
      </c>
      <c r="AL7575">
        <v>90.253412723179096</v>
      </c>
      <c r="AM7575">
        <v>91.925147372150704</v>
      </c>
      <c r="AN7575">
        <v>1.00000000770824</v>
      </c>
    </row>
    <row r="7576" spans="1:40" x14ac:dyDescent="0.25">
      <c r="A7576" t="str">
        <f>"20190312154111886"</f>
        <v>20190312154111886</v>
      </c>
      <c r="B7576" t="str">
        <f>"1552376471873737"</f>
        <v>1552376471873737</v>
      </c>
      <c r="C7576" t="s">
        <v>40</v>
      </c>
      <c r="D7576">
        <v>4.4301000000000004</v>
      </c>
      <c r="E7576">
        <v>0.42987350000000002</v>
      </c>
      <c r="F7576" t="s">
        <v>87</v>
      </c>
      <c r="G7576">
        <v>-371.08350000000002</v>
      </c>
      <c r="H7576" s="1">
        <v>-4.2080780000000002E-6</v>
      </c>
      <c r="I7576">
        <v>19.664069999999999</v>
      </c>
      <c r="J7576">
        <v>-394.1798</v>
      </c>
      <c r="K7576">
        <v>1.1126510000000001</v>
      </c>
      <c r="L7576">
        <v>19.160219999999999</v>
      </c>
      <c r="M7576">
        <v>0.98073180000000004</v>
      </c>
      <c r="N7576">
        <v>0</v>
      </c>
      <c r="O7576">
        <v>-0.19525619999999999</v>
      </c>
      <c r="P7576">
        <v>0.9866741</v>
      </c>
      <c r="Q7576">
        <v>-1.026024E-2</v>
      </c>
      <c r="R7576">
        <v>-0.16238669999999999</v>
      </c>
      <c r="S7576">
        <v>3.0516969999999999</v>
      </c>
      <c r="T7576">
        <v>-0.14647260000000001</v>
      </c>
      <c r="U7576">
        <v>6.4636230000000003E-2</v>
      </c>
      <c r="V7576">
        <v>-3.3363829999999997E-2</v>
      </c>
      <c r="W7576">
        <v>-4.1827840000000002E-3</v>
      </c>
      <c r="X7576">
        <v>0.9994345</v>
      </c>
      <c r="Y7576">
        <v>-0.2155135</v>
      </c>
      <c r="Z7576">
        <v>1.4493249999999999E-2</v>
      </c>
      <c r="AA7576">
        <v>0.97639330000000002</v>
      </c>
      <c r="AB7576">
        <v>17</v>
      </c>
      <c r="AC7576">
        <v>23.0962999999999</v>
      </c>
      <c r="AD7576">
        <v>-1.1126552080779999</v>
      </c>
      <c r="AE7576">
        <v>0.50384999999999902</v>
      </c>
      <c r="AF7576">
        <v>-4.99235723572097</v>
      </c>
      <c r="AG7576">
        <v>-1.1126552080779999</v>
      </c>
      <c r="AH7576">
        <v>22.501153154578802</v>
      </c>
      <c r="AI7576">
        <v>92.763800822803603</v>
      </c>
      <c r="AJ7576">
        <v>102.50963914950501</v>
      </c>
      <c r="AK7576">
        <v>23.075171194747998</v>
      </c>
      <c r="AL7576">
        <v>90.239656573362495</v>
      </c>
      <c r="AM7576">
        <v>91.911978244060606</v>
      </c>
      <c r="AN7576">
        <v>0.99999998031225401</v>
      </c>
    </row>
    <row r="7577" spans="1:40" x14ac:dyDescent="0.25">
      <c r="A7577" t="str">
        <f>"20190312154111898"</f>
        <v>20190312154111898</v>
      </c>
      <c r="B7577" t="str">
        <f>"1552376471883496"</f>
        <v>1552376471883496</v>
      </c>
      <c r="C7577" t="s">
        <v>40</v>
      </c>
      <c r="D7577">
        <v>4.4325640000000002</v>
      </c>
      <c r="E7577">
        <v>0.43033979999999999</v>
      </c>
      <c r="F7577" t="s">
        <v>87</v>
      </c>
      <c r="G7577">
        <v>-370.83940000000001</v>
      </c>
      <c r="H7577" s="1">
        <v>-4.3343780000000002E-6</v>
      </c>
      <c r="I7577">
        <v>19.705169999999999</v>
      </c>
      <c r="J7577">
        <v>-394.09199999999998</v>
      </c>
      <c r="K7577">
        <v>1.1126339999999999</v>
      </c>
      <c r="L7577">
        <v>19.147189999999998</v>
      </c>
      <c r="M7577">
        <v>0.98151699999999997</v>
      </c>
      <c r="N7577">
        <v>0</v>
      </c>
      <c r="O7577">
        <v>-0.19127640000000001</v>
      </c>
      <c r="P7577">
        <v>0.98728380000000004</v>
      </c>
      <c r="Q7577">
        <v>-9.7695070000000002E-3</v>
      </c>
      <c r="R7577">
        <v>-0.15866769999999999</v>
      </c>
      <c r="S7577">
        <v>3.0506899999999999</v>
      </c>
      <c r="T7577">
        <v>-0.1454289</v>
      </c>
      <c r="U7577">
        <v>7.1228029999999998E-2</v>
      </c>
      <c r="V7577">
        <v>-3.3079360000000002E-2</v>
      </c>
      <c r="W7577">
        <v>-3.8819599999999998E-3</v>
      </c>
      <c r="X7577">
        <v>0.99944520000000003</v>
      </c>
      <c r="Y7577">
        <v>-0.2136806</v>
      </c>
      <c r="Z7577">
        <v>1.416425E-2</v>
      </c>
      <c r="AA7577">
        <v>0.97680089999999997</v>
      </c>
      <c r="AB7577">
        <v>17</v>
      </c>
      <c r="AC7577">
        <v>23.252599999999902</v>
      </c>
      <c r="AD7577">
        <v>-1.112638334378</v>
      </c>
      <c r="AE7577">
        <v>0.55798000000000403</v>
      </c>
      <c r="AF7577">
        <v>-4.9840296745210297</v>
      </c>
      <c r="AG7577">
        <v>-1.112638334378</v>
      </c>
      <c r="AH7577">
        <v>22.664658417921199</v>
      </c>
      <c r="AI7577">
        <v>92.744987292535797</v>
      </c>
      <c r="AJ7577">
        <v>102.40212524706899</v>
      </c>
      <c r="AK7577">
        <v>23.232848664352002</v>
      </c>
      <c r="AL7577">
        <v>90.222420480484502</v>
      </c>
      <c r="AM7577">
        <v>91.895667810573201</v>
      </c>
      <c r="AN7577">
        <v>1.00000001073724</v>
      </c>
    </row>
    <row r="7578" spans="1:40" x14ac:dyDescent="0.25">
      <c r="A7578" t="str">
        <f>"20190312154111910"</f>
        <v>20190312154111910</v>
      </c>
      <c r="B7578" t="str">
        <f>"1552376471903525"</f>
        <v>1552376471903525</v>
      </c>
      <c r="C7578" t="s">
        <v>40</v>
      </c>
      <c r="D7578">
        <v>4.4515349999999998</v>
      </c>
      <c r="E7578">
        <v>0.43118489999999998</v>
      </c>
      <c r="F7578" t="s">
        <v>87</v>
      </c>
      <c r="G7578">
        <v>-370.58789999999999</v>
      </c>
      <c r="H7578" s="1">
        <v>-4.4668799999999998E-6</v>
      </c>
      <c r="I7578">
        <v>19.756319999999999</v>
      </c>
      <c r="J7578">
        <v>-393.99900000000002</v>
      </c>
      <c r="K7578">
        <v>1.1126069999999999</v>
      </c>
      <c r="L7578">
        <v>19.133939999999999</v>
      </c>
      <c r="M7578">
        <v>0.98232419999999998</v>
      </c>
      <c r="N7578">
        <v>0</v>
      </c>
      <c r="O7578">
        <v>-0.18709339999999999</v>
      </c>
      <c r="P7578">
        <v>0.98793770000000003</v>
      </c>
      <c r="Q7578">
        <v>-9.7009560000000002E-3</v>
      </c>
      <c r="R7578">
        <v>-0.15454849999999901</v>
      </c>
      <c r="S7578">
        <v>3.0498959999999999</v>
      </c>
      <c r="T7578">
        <v>-0.1443759</v>
      </c>
      <c r="U7578">
        <v>7.9040529999999998E-2</v>
      </c>
      <c r="V7578">
        <v>-3.2988799999999999E-2</v>
      </c>
      <c r="W7578">
        <v>-4.0303279999999997E-3</v>
      </c>
      <c r="X7578">
        <v>0.99944759999999999</v>
      </c>
      <c r="Y7578">
        <v>-0.21203820000000001</v>
      </c>
      <c r="Z7578">
        <v>1.3831349999999999E-2</v>
      </c>
      <c r="AA7578">
        <v>0.97716349999999996</v>
      </c>
      <c r="AB7578">
        <v>17</v>
      </c>
      <c r="AC7578">
        <v>23.411100000000001</v>
      </c>
      <c r="AD7578">
        <v>-1.11261146688</v>
      </c>
      <c r="AE7578">
        <v>0.62238000000000304</v>
      </c>
      <c r="AF7578">
        <v>-4.9802885069016796</v>
      </c>
      <c r="AG7578">
        <v>-1.11261146688</v>
      </c>
      <c r="AH7578">
        <v>22.829722615563401</v>
      </c>
      <c r="AI7578">
        <v>92.726102277635206</v>
      </c>
      <c r="AJ7578">
        <v>102.306238508671</v>
      </c>
      <c r="AK7578">
        <v>23.393106091149502</v>
      </c>
      <c r="AL7578">
        <v>90.230921408509801</v>
      </c>
      <c r="AM7578">
        <v>91.890477353544696</v>
      </c>
      <c r="AN7578">
        <v>1.00000000480749</v>
      </c>
    </row>
    <row r="7579" spans="1:40" x14ac:dyDescent="0.25">
      <c r="A7579" t="str">
        <f>"20190312154111923"</f>
        <v>20190312154111923</v>
      </c>
      <c r="B7579" t="str">
        <f>"1552376471914260"</f>
        <v>1552376471914260</v>
      </c>
      <c r="C7579" t="s">
        <v>40</v>
      </c>
      <c r="D7579">
        <v>4.5061580000000001</v>
      </c>
      <c r="E7579">
        <v>0.43118489999999998</v>
      </c>
      <c r="F7579" t="s">
        <v>87</v>
      </c>
      <c r="G7579">
        <v>-370.5582</v>
      </c>
      <c r="H7579" s="1">
        <v>-4.4894069999999997E-6</v>
      </c>
      <c r="I7579">
        <v>19.788180000000001</v>
      </c>
      <c r="J7579">
        <v>-393.90690000000001</v>
      </c>
      <c r="K7579">
        <v>1.1125780000000001</v>
      </c>
      <c r="L7579">
        <v>19.121089999999999</v>
      </c>
      <c r="M7579">
        <v>0.98310229999999998</v>
      </c>
      <c r="N7579">
        <v>0</v>
      </c>
      <c r="O7579">
        <v>-0.18296780000000001</v>
      </c>
      <c r="P7579">
        <v>0.98857689999999998</v>
      </c>
      <c r="Q7579">
        <v>-9.6598570000000009E-3</v>
      </c>
      <c r="R7579">
        <v>-0.15040799999999999</v>
      </c>
      <c r="S7579">
        <v>3.048492</v>
      </c>
      <c r="T7579">
        <v>-0.14469560000000001</v>
      </c>
      <c r="U7579">
        <v>8.5083010000000001E-2</v>
      </c>
      <c r="V7579">
        <v>-3.297829E-2</v>
      </c>
      <c r="W7579">
        <v>-4.2099779999999996E-3</v>
      </c>
      <c r="X7579">
        <v>0.99944719999999998</v>
      </c>
      <c r="Y7579">
        <v>-0.20988680000000001</v>
      </c>
      <c r="Z7579">
        <v>1.3623990000000001E-2</v>
      </c>
      <c r="AA7579">
        <v>0.97763069999999996</v>
      </c>
      <c r="AB7579">
        <v>17</v>
      </c>
      <c r="AC7579">
        <v>23.348700000000001</v>
      </c>
      <c r="AD7579">
        <v>-1.112582489407</v>
      </c>
      <c r="AE7579">
        <v>0.66709000000000096</v>
      </c>
      <c r="AF7579">
        <v>-4.9168034922653598</v>
      </c>
      <c r="AG7579">
        <v>-1.112582489407</v>
      </c>
      <c r="AH7579">
        <v>22.7807937565921</v>
      </c>
      <c r="AI7579">
        <v>92.733188282488996</v>
      </c>
      <c r="AJ7579">
        <v>102.17938631809</v>
      </c>
      <c r="AK7579">
        <v>23.3318957771904</v>
      </c>
      <c r="AL7579">
        <v>90.241214684139294</v>
      </c>
      <c r="AM7579">
        <v>91.889876253386205</v>
      </c>
      <c r="AN7579">
        <v>0.99999999855696198</v>
      </c>
    </row>
    <row r="7580" spans="1:40" x14ac:dyDescent="0.25">
      <c r="A7580" t="str">
        <f>"20190312154111940"</f>
        <v>20190312154111940</v>
      </c>
      <c r="B7580" t="str">
        <f>"1552376471933780"</f>
        <v>1552376471933780</v>
      </c>
      <c r="C7580" t="s">
        <v>40</v>
      </c>
      <c r="D7580">
        <v>4.4829800000000004</v>
      </c>
      <c r="E7580">
        <v>0.43248950000000003</v>
      </c>
      <c r="F7580" t="s">
        <v>87</v>
      </c>
      <c r="G7580">
        <v>-370.48809999999997</v>
      </c>
      <c r="H7580" s="1">
        <v>-4.5450550000000001E-6</v>
      </c>
      <c r="I7580">
        <v>19.872800000000002</v>
      </c>
      <c r="J7580">
        <v>-393.77589999999998</v>
      </c>
      <c r="K7580">
        <v>1.11252</v>
      </c>
      <c r="L7580">
        <v>19.103390000000001</v>
      </c>
      <c r="M7580">
        <v>0.98416800000000004</v>
      </c>
      <c r="N7580">
        <v>0</v>
      </c>
      <c r="O7580">
        <v>-0.17715629999999999</v>
      </c>
      <c r="P7580">
        <v>0.98945249999999996</v>
      </c>
      <c r="Q7580">
        <v>-1.0171970000000001E-2</v>
      </c>
      <c r="R7580">
        <v>-0.14450089999999999</v>
      </c>
      <c r="S7580">
        <v>3.0481259999999999</v>
      </c>
      <c r="T7580">
        <v>-0.14481060000000001</v>
      </c>
      <c r="U7580">
        <v>9.783936E-2</v>
      </c>
      <c r="V7580">
        <v>-3.3034870000000001E-2</v>
      </c>
      <c r="W7580">
        <v>-5.0483150000000003E-3</v>
      </c>
      <c r="X7580">
        <v>0.99944140000000004</v>
      </c>
      <c r="Y7580">
        <v>-0.20820859999999999</v>
      </c>
      <c r="Z7580">
        <v>1.3323750000000001E-2</v>
      </c>
      <c r="AA7580">
        <v>0.97799369999999997</v>
      </c>
      <c r="AB7580">
        <v>17</v>
      </c>
      <c r="AC7580">
        <v>23.287800000000001</v>
      </c>
      <c r="AD7580">
        <v>-1.1125245450550001</v>
      </c>
      <c r="AE7580">
        <v>0.76941000000000004</v>
      </c>
      <c r="AF7580">
        <v>-4.87177351215822</v>
      </c>
      <c r="AG7580">
        <v>-1.1125245450550001</v>
      </c>
      <c r="AH7580">
        <v>22.731310148955298</v>
      </c>
      <c r="AI7580">
        <v>92.739836313267205</v>
      </c>
      <c r="AJ7580">
        <v>102.09663312922299</v>
      </c>
      <c r="AK7580">
        <v>23.274113282896899</v>
      </c>
      <c r="AL7580">
        <v>90.289248386207504</v>
      </c>
      <c r="AM7580">
        <v>91.893127286130607</v>
      </c>
      <c r="AN7580">
        <v>0.99999995007710596</v>
      </c>
    </row>
    <row r="7581" spans="1:40" x14ac:dyDescent="0.25">
      <c r="A7581" t="str">
        <f>"20190312154111963"</f>
        <v>20190312154111963</v>
      </c>
      <c r="B7581" t="str">
        <f>"1552376471954275"</f>
        <v>1552376471954275</v>
      </c>
      <c r="C7581" t="s">
        <v>40</v>
      </c>
      <c r="D7581">
        <v>4.440607</v>
      </c>
      <c r="E7581">
        <v>0.43350670000000002</v>
      </c>
      <c r="F7581" t="s">
        <v>88</v>
      </c>
      <c r="G7581">
        <v>-366.80840000000001</v>
      </c>
      <c r="H7581" s="1">
        <v>-1.619142E-6</v>
      </c>
      <c r="I7581">
        <v>20.029859999999999</v>
      </c>
      <c r="J7581">
        <v>-393.60239999999999</v>
      </c>
      <c r="K7581">
        <v>1.11243799999999</v>
      </c>
      <c r="L7581">
        <v>19.081050000000001</v>
      </c>
      <c r="M7581">
        <v>0.98550400000000005</v>
      </c>
      <c r="N7581">
        <v>0</v>
      </c>
      <c r="O7581">
        <v>-0.1695808</v>
      </c>
      <c r="P7581">
        <v>0.99049089999999995</v>
      </c>
      <c r="Q7581">
        <v>-1.005064E-2</v>
      </c>
      <c r="R7581">
        <v>-0.1372109</v>
      </c>
      <c r="S7581">
        <v>3.0459900000000002</v>
      </c>
      <c r="T7581">
        <v>-0.12565970000000001</v>
      </c>
      <c r="U7581">
        <v>0.1046448</v>
      </c>
      <c r="V7581">
        <v>-3.2703599999999999E-2</v>
      </c>
      <c r="W7581">
        <v>-5.3782780000000002E-3</v>
      </c>
      <c r="X7581">
        <v>0.99945059999999997</v>
      </c>
      <c r="Y7581">
        <v>-0.2030043</v>
      </c>
      <c r="Z7581">
        <v>1.115492E-2</v>
      </c>
      <c r="AA7581">
        <v>0.97911429999999999</v>
      </c>
      <c r="AB7581">
        <v>17</v>
      </c>
      <c r="AC7581">
        <v>26.793999999999901</v>
      </c>
      <c r="AD7581">
        <v>-1.1124396191419901</v>
      </c>
      <c r="AE7581">
        <v>0.94880999999999804</v>
      </c>
      <c r="AF7581">
        <v>-5.4694541100393996</v>
      </c>
      <c r="AG7581">
        <v>-1.1124396191419901</v>
      </c>
      <c r="AH7581">
        <v>26.1999061310099</v>
      </c>
      <c r="AI7581">
        <v>92.380052543342401</v>
      </c>
      <c r="AJ7581">
        <v>101.791635990838</v>
      </c>
      <c r="AK7581">
        <v>26.787824313329299</v>
      </c>
      <c r="AL7581">
        <v>90.308154123280602</v>
      </c>
      <c r="AM7581">
        <v>91.874139583994804</v>
      </c>
      <c r="AN7581">
        <v>0.99999997658378204</v>
      </c>
    </row>
    <row r="7582" spans="1:40" x14ac:dyDescent="0.25">
      <c r="A7582" t="str">
        <f>"20190312154111973"</f>
        <v>20190312154111973</v>
      </c>
      <c r="B7582" t="str">
        <f>"1552376471964037"</f>
        <v>1552376471964037</v>
      </c>
      <c r="C7582" t="s">
        <v>40</v>
      </c>
      <c r="D7582">
        <v>4.4639639999999998</v>
      </c>
      <c r="E7582">
        <v>0.43402790000000002</v>
      </c>
      <c r="F7582" t="s">
        <v>88</v>
      </c>
      <c r="G7582">
        <v>-361.59649999999999</v>
      </c>
      <c r="H7582" s="1">
        <v>-4.1608029999999999E-6</v>
      </c>
      <c r="I7582">
        <v>20.322800000000001</v>
      </c>
      <c r="J7582">
        <v>-393.51409999999998</v>
      </c>
      <c r="K7582">
        <v>1.1123909999999999</v>
      </c>
      <c r="L7582">
        <v>19.070070000000001</v>
      </c>
      <c r="M7582">
        <v>0.98615260000000005</v>
      </c>
      <c r="N7582">
        <v>0</v>
      </c>
      <c r="O7582">
        <v>-0.1657739</v>
      </c>
      <c r="P7582">
        <v>0.99097639999999998</v>
      </c>
      <c r="Q7582">
        <v>-9.6460000000000001E-3</v>
      </c>
      <c r="R7582">
        <v>-0.1336917</v>
      </c>
      <c r="S7582">
        <v>3.044098</v>
      </c>
      <c r="T7582">
        <v>-0.1058048</v>
      </c>
      <c r="U7582">
        <v>0.118103</v>
      </c>
      <c r="V7582">
        <v>-3.2396710000000002E-2</v>
      </c>
      <c r="W7582">
        <v>-5.2084799999999997E-3</v>
      </c>
      <c r="X7582">
        <v>0.9994615</v>
      </c>
      <c r="Y7582">
        <v>-0.20366039999999999</v>
      </c>
      <c r="Z7582">
        <v>9.2795440000000007E-3</v>
      </c>
      <c r="AA7582">
        <v>0.97899760000000002</v>
      </c>
      <c r="AB7582">
        <v>17</v>
      </c>
      <c r="AC7582">
        <v>31.9176</v>
      </c>
      <c r="AD7582">
        <v>-1.1123951608029901</v>
      </c>
      <c r="AE7582">
        <v>1.2527299999999899</v>
      </c>
      <c r="AF7582">
        <v>-6.5186541529508801</v>
      </c>
      <c r="AG7582">
        <v>-1.1123951608029901</v>
      </c>
      <c r="AH7582">
        <v>31.230422975526899</v>
      </c>
      <c r="AI7582">
        <v>91.996952488116605</v>
      </c>
      <c r="AJ7582">
        <v>101.789942496984</v>
      </c>
      <c r="AK7582">
        <v>31.922869454199802</v>
      </c>
      <c r="AL7582">
        <v>90.298425276194706</v>
      </c>
      <c r="AM7582">
        <v>91.856544824287496</v>
      </c>
      <c r="AN7582">
        <v>0.999999982532492</v>
      </c>
    </row>
    <row r="7583" spans="1:40" x14ac:dyDescent="0.25">
      <c r="A7583" t="str">
        <f>"20190312154111986"</f>
        <v>20190312154111986</v>
      </c>
      <c r="B7583" t="str">
        <f>"1552376471973797"</f>
        <v>1552376471973797</v>
      </c>
      <c r="C7583" t="s">
        <v>40</v>
      </c>
      <c r="D7583">
        <v>4.4816929999999999</v>
      </c>
      <c r="E7583">
        <v>0.4345407</v>
      </c>
      <c r="F7583" t="s">
        <v>42</v>
      </c>
      <c r="G7583">
        <v>-358.35309999999998</v>
      </c>
      <c r="H7583" s="1">
        <v>-9.2597319999999999E-7</v>
      </c>
      <c r="I7583">
        <v>20.507560000000002</v>
      </c>
      <c r="J7583">
        <v>-393.42149999999998</v>
      </c>
      <c r="K7583">
        <v>1.1123430000000001</v>
      </c>
      <c r="L7583">
        <v>19.05893</v>
      </c>
      <c r="M7583">
        <v>0.98680599999999996</v>
      </c>
      <c r="N7583">
        <v>0</v>
      </c>
      <c r="O7583">
        <v>-0.16184609999999999</v>
      </c>
      <c r="P7583">
        <v>0.99147260000000004</v>
      </c>
      <c r="Q7583">
        <v>-8.8480319999999901E-3</v>
      </c>
      <c r="R7583">
        <v>-0.1300154</v>
      </c>
      <c r="S7583">
        <v>3.0431520000000001</v>
      </c>
      <c r="T7583">
        <v>-9.6276760000000003E-2</v>
      </c>
      <c r="U7583">
        <v>0.12442019999999999</v>
      </c>
      <c r="V7583">
        <v>-3.2129440000000002E-2</v>
      </c>
      <c r="W7583">
        <v>-4.6608500000000002E-3</v>
      </c>
      <c r="X7583">
        <v>0.9994729</v>
      </c>
      <c r="Y7583">
        <v>-0.20184369999999999</v>
      </c>
      <c r="Z7583">
        <v>8.2949979999999996E-3</v>
      </c>
      <c r="AA7583">
        <v>0.97938259999999999</v>
      </c>
      <c r="AB7583">
        <v>17</v>
      </c>
      <c r="AC7583">
        <v>35.068399999999997</v>
      </c>
      <c r="AD7583">
        <v>-1.1123439259732</v>
      </c>
      <c r="AE7583">
        <v>1.4486300000000001</v>
      </c>
      <c r="AF7583">
        <v>-7.09814138463513</v>
      </c>
      <c r="AG7583">
        <v>-1.1123439259732</v>
      </c>
      <c r="AH7583">
        <v>34.337103861080699</v>
      </c>
      <c r="AI7583">
        <v>91.817045898383498</v>
      </c>
      <c r="AJ7583">
        <v>101.679628838619</v>
      </c>
      <c r="AK7583">
        <v>35.080730062137498</v>
      </c>
      <c r="AL7583">
        <v>90.267047987164204</v>
      </c>
      <c r="AM7583">
        <v>91.841218092930006</v>
      </c>
      <c r="AN7583">
        <v>1.0000000511359199</v>
      </c>
    </row>
    <row r="7584" spans="1:40" x14ac:dyDescent="0.25">
      <c r="A7584" t="str">
        <f>"20190312154112001"</f>
        <v>20190312154112001</v>
      </c>
      <c r="B7584" t="str">
        <f>"1552376471994292"</f>
        <v>1552376471994292</v>
      </c>
      <c r="C7584" t="s">
        <v>40</v>
      </c>
      <c r="D7584">
        <v>4.5280699999999996</v>
      </c>
      <c r="E7584">
        <v>0.43517489999999998</v>
      </c>
      <c r="F7584" t="s">
        <v>42</v>
      </c>
      <c r="G7584">
        <v>-354.4588</v>
      </c>
      <c r="H7584" s="1">
        <v>-2.658431E-6</v>
      </c>
      <c r="I7584">
        <v>20.73986</v>
      </c>
      <c r="J7584">
        <v>-393.30709999999999</v>
      </c>
      <c r="K7584">
        <v>1.112279</v>
      </c>
      <c r="L7584">
        <v>19.045470000000002</v>
      </c>
      <c r="M7584">
        <v>0.98758239999999997</v>
      </c>
      <c r="N7584">
        <v>0</v>
      </c>
      <c r="O7584">
        <v>-0.15704749999999901</v>
      </c>
      <c r="P7584">
        <v>0.99207369999999995</v>
      </c>
      <c r="Q7584">
        <v>-8.1046799999999995E-3</v>
      </c>
      <c r="R7584">
        <v>-0.12539690000000001</v>
      </c>
      <c r="S7584">
        <v>3.0422669999999998</v>
      </c>
      <c r="T7584">
        <v>-8.6853739999999999E-2</v>
      </c>
      <c r="U7584">
        <v>0.13125609999999999</v>
      </c>
      <c r="V7584">
        <v>-3.1929810000000003E-2</v>
      </c>
      <c r="W7584">
        <v>-4.2310999999999998E-3</v>
      </c>
      <c r="X7584">
        <v>0.99948110000000001</v>
      </c>
      <c r="Y7584">
        <v>-0.19932730000000001</v>
      </c>
      <c r="Z7584">
        <v>7.313801E-3</v>
      </c>
      <c r="AA7584">
        <v>0.97990569999999999</v>
      </c>
      <c r="AB7584">
        <v>18</v>
      </c>
      <c r="AC7584">
        <v>38.848300000000002</v>
      </c>
      <c r="AD7584">
        <v>-1.112281658431</v>
      </c>
      <c r="AE7584">
        <v>1.6943899999999901</v>
      </c>
      <c r="AF7584">
        <v>-7.7680886943710998</v>
      </c>
      <c r="AG7584">
        <v>-1.112281658431</v>
      </c>
      <c r="AH7584">
        <v>38.068975043687097</v>
      </c>
      <c r="AI7584">
        <v>91.639794009188606</v>
      </c>
      <c r="AJ7584">
        <v>101.53304589712199</v>
      </c>
      <c r="AK7584">
        <v>38.869361112940503</v>
      </c>
      <c r="AL7584">
        <v>90.242424910057593</v>
      </c>
      <c r="AM7584">
        <v>91.829770843229696</v>
      </c>
      <c r="AN7584">
        <v>0.99999994211552601</v>
      </c>
    </row>
    <row r="7585" spans="1:40" x14ac:dyDescent="0.25">
      <c r="A7585" t="str">
        <f>"20190312154112017"</f>
        <v>20190312154112017</v>
      </c>
      <c r="B7585" t="str">
        <f>"1552376472014320"</f>
        <v>1552376472014320</v>
      </c>
      <c r="C7585" t="s">
        <v>40</v>
      </c>
      <c r="D7585">
        <v>4.5047360000000003</v>
      </c>
      <c r="E7585">
        <v>0.435838</v>
      </c>
      <c r="F7585" t="s">
        <v>42</v>
      </c>
      <c r="G7585">
        <v>-348.85809999999998</v>
      </c>
      <c r="H7585" s="1">
        <v>-8.6459130000000005E-7</v>
      </c>
      <c r="I7585">
        <v>21.090979999999998</v>
      </c>
      <c r="J7585">
        <v>-393.17630000000003</v>
      </c>
      <c r="K7585">
        <v>1.1121970000000001</v>
      </c>
      <c r="L7585">
        <v>19.030670000000001</v>
      </c>
      <c r="M7585">
        <v>0.98842260000000004</v>
      </c>
      <c r="N7585">
        <v>0</v>
      </c>
      <c r="O7585">
        <v>-0.15167939999999999</v>
      </c>
      <c r="P7585">
        <v>0.99274499999999999</v>
      </c>
      <c r="Q7585">
        <v>-6.8558569999999999E-3</v>
      </c>
      <c r="R7585">
        <v>-0.1200445</v>
      </c>
      <c r="S7585">
        <v>3.041077</v>
      </c>
      <c r="T7585">
        <v>-7.6099040000000007E-2</v>
      </c>
      <c r="U7585">
        <v>0.13995360000000001</v>
      </c>
      <c r="V7585">
        <v>-3.1898459999999997E-2</v>
      </c>
      <c r="W7585">
        <v>-3.3475969999999999E-3</v>
      </c>
      <c r="X7585">
        <v>0.99948550000000003</v>
      </c>
      <c r="Y7585">
        <v>-0.19685179999999999</v>
      </c>
      <c r="Z7585">
        <v>6.246578E-3</v>
      </c>
      <c r="AA7585">
        <v>0.98041339999999999</v>
      </c>
      <c r="AB7585">
        <v>18</v>
      </c>
      <c r="AC7585">
        <v>44.318199999999997</v>
      </c>
      <c r="AD7585">
        <v>-1.1121978645913</v>
      </c>
      <c r="AE7585">
        <v>2.0603099999999901</v>
      </c>
      <c r="AF7585">
        <v>-8.7531759770236306</v>
      </c>
      <c r="AG7585">
        <v>-1.1121978645913</v>
      </c>
      <c r="AH7585">
        <v>43.465595599524598</v>
      </c>
      <c r="AI7585">
        <v>91.4369298071326</v>
      </c>
      <c r="AJ7585">
        <v>101.386033519148</v>
      </c>
      <c r="AK7585">
        <v>44.352148477792497</v>
      </c>
      <c r="AL7585">
        <v>90.191803539492994</v>
      </c>
      <c r="AM7585">
        <v>91.827967476684194</v>
      </c>
      <c r="AN7585">
        <v>0.99999999143314799</v>
      </c>
    </row>
    <row r="7586" spans="1:40" x14ac:dyDescent="0.25">
      <c r="A7586" t="str">
        <f>"20190312154112028"</f>
        <v>20190312154112028</v>
      </c>
      <c r="B7586" t="str">
        <f>"1552376472024081"</f>
        <v>1552376472024081</v>
      </c>
      <c r="C7586" t="s">
        <v>40</v>
      </c>
      <c r="D7586">
        <v>4.4593790000000002</v>
      </c>
      <c r="E7586">
        <v>0.43642550000000002</v>
      </c>
      <c r="F7586" t="s">
        <v>42</v>
      </c>
      <c r="G7586">
        <v>-342.33190000000002</v>
      </c>
      <c r="H7586" s="1">
        <v>-3.7868669999999998E-6</v>
      </c>
      <c r="I7586">
        <v>21.55172</v>
      </c>
      <c r="J7586">
        <v>-393.08109999999999</v>
      </c>
      <c r="K7586">
        <v>1.1121299999999901</v>
      </c>
      <c r="L7586">
        <v>19.02036</v>
      </c>
      <c r="M7586">
        <v>0.98899769999999998</v>
      </c>
      <c r="N7586">
        <v>0</v>
      </c>
      <c r="O7586">
        <v>-0.14788999999999999</v>
      </c>
      <c r="P7586">
        <v>0.99315779999999998</v>
      </c>
      <c r="Q7586">
        <v>-6.649505E-3</v>
      </c>
      <c r="R7586">
        <v>-0.1165918</v>
      </c>
      <c r="S7586">
        <v>3.0397340000000002</v>
      </c>
      <c r="T7586">
        <v>-6.6493029999999995E-2</v>
      </c>
      <c r="U7586">
        <v>0.15072629999999901</v>
      </c>
      <c r="V7586">
        <v>-3.154291E-2</v>
      </c>
      <c r="W7586">
        <v>-3.407359E-3</v>
      </c>
      <c r="X7586">
        <v>0.99949659999999996</v>
      </c>
      <c r="Y7586">
        <v>-0.19660720000000001</v>
      </c>
      <c r="Z7586">
        <v>5.3754919999999999E-3</v>
      </c>
      <c r="AA7586">
        <v>0.98046759999999999</v>
      </c>
      <c r="AB7586">
        <v>18</v>
      </c>
      <c r="AC7586">
        <v>50.749199999999902</v>
      </c>
      <c r="AD7586">
        <v>-1.11213378686699</v>
      </c>
      <c r="AE7586">
        <v>2.5313599999999901</v>
      </c>
      <c r="AF7586">
        <v>-10.0040765413756</v>
      </c>
      <c r="AG7586">
        <v>-1.11213378686699</v>
      </c>
      <c r="AH7586">
        <v>49.7929275088186</v>
      </c>
      <c r="AI7586">
        <v>91.254438783287796</v>
      </c>
      <c r="AJ7586">
        <v>101.36025600276</v>
      </c>
      <c r="AK7586">
        <v>50.800137981151799</v>
      </c>
      <c r="AL7586">
        <v>90.195227665932507</v>
      </c>
      <c r="AM7586">
        <v>91.807585923607405</v>
      </c>
      <c r="AN7586">
        <v>1.0000000093390899</v>
      </c>
    </row>
    <row r="7587" spans="1:40" x14ac:dyDescent="0.25">
      <c r="A7587" t="str">
        <f>"20190312154112051"</f>
        <v>20190312154112051</v>
      </c>
      <c r="B7587" t="str">
        <f>"1552376472043601"</f>
        <v>1552376472043601</v>
      </c>
      <c r="C7587" t="s">
        <v>40</v>
      </c>
      <c r="D7587">
        <v>4.5002890000000004</v>
      </c>
      <c r="E7587">
        <v>0.43748209999999998</v>
      </c>
      <c r="F7587" t="s">
        <v>42</v>
      </c>
      <c r="G7587">
        <v>-338.392</v>
      </c>
      <c r="H7587" s="1">
        <v>-1.262538E-6</v>
      </c>
      <c r="I7587">
        <v>21.83522</v>
      </c>
      <c r="J7587">
        <v>-392.90210000000002</v>
      </c>
      <c r="K7587">
        <v>1.1120080000000001</v>
      </c>
      <c r="L7587">
        <v>19.00159</v>
      </c>
      <c r="M7587">
        <v>0.99001629999999996</v>
      </c>
      <c r="N7587">
        <v>0</v>
      </c>
      <c r="O7587">
        <v>-0.14092150000000001</v>
      </c>
      <c r="P7587">
        <v>0.99392519999999995</v>
      </c>
      <c r="Q7587">
        <v>-6.5650439999999999E-3</v>
      </c>
      <c r="R7587">
        <v>-0.10986170000000001</v>
      </c>
      <c r="S7587">
        <v>3.038605</v>
      </c>
      <c r="T7587">
        <v>-6.1791659999999998E-2</v>
      </c>
      <c r="U7587">
        <v>0.1564026</v>
      </c>
      <c r="V7587">
        <v>-3.1271199999999999E-2</v>
      </c>
      <c r="W7587">
        <v>-3.8240510000000002E-3</v>
      </c>
      <c r="X7587">
        <v>0.99950360000000005</v>
      </c>
      <c r="Y7587">
        <v>-0.19155810000000001</v>
      </c>
      <c r="Z7587">
        <v>4.8051830000000002E-3</v>
      </c>
      <c r="AA7587">
        <v>0.98146949999999999</v>
      </c>
      <c r="AB7587">
        <v>18</v>
      </c>
      <c r="AC7587">
        <v>54.510100000000001</v>
      </c>
      <c r="AD7587">
        <v>-1.11200926253799</v>
      </c>
      <c r="AE7587">
        <v>2.8336299999999901</v>
      </c>
      <c r="AF7587">
        <v>-10.4826806443081</v>
      </c>
      <c r="AG7587">
        <v>-1.11200926253799</v>
      </c>
      <c r="AH7587">
        <v>53.544582145341998</v>
      </c>
      <c r="AI7587">
        <v>91.167584026012094</v>
      </c>
      <c r="AJ7587">
        <v>101.076970150252</v>
      </c>
      <c r="AK7587">
        <v>54.572387112987798</v>
      </c>
      <c r="AL7587">
        <v>90.219102521578606</v>
      </c>
      <c r="AM7587">
        <v>91.792013068634901</v>
      </c>
      <c r="AN7587">
        <v>0.99999997886422498</v>
      </c>
    </row>
    <row r="7588" spans="1:40" x14ac:dyDescent="0.25">
      <c r="A7588" t="str">
        <f>"20190312154112063"</f>
        <v>20190312154112063</v>
      </c>
      <c r="B7588" t="str">
        <f>"1552376472054337"</f>
        <v>1552376472054337</v>
      </c>
      <c r="C7588" t="s">
        <v>40</v>
      </c>
      <c r="D7588">
        <v>4.461627</v>
      </c>
      <c r="E7588">
        <v>0.43748209999999998</v>
      </c>
      <c r="F7588" t="s">
        <v>42</v>
      </c>
      <c r="G7588">
        <v>-330.95119999999997</v>
      </c>
      <c r="H7588" s="1">
        <v>-4.4521299999999997E-6</v>
      </c>
      <c r="I7588">
        <v>22.433949999999999</v>
      </c>
      <c r="J7588">
        <v>-392.80619999999999</v>
      </c>
      <c r="K7588">
        <v>1.111944</v>
      </c>
      <c r="L7588">
        <v>18.991910000000001</v>
      </c>
      <c r="M7588">
        <v>0.99052549999999995</v>
      </c>
      <c r="N7588">
        <v>0</v>
      </c>
      <c r="O7588">
        <v>-0.13730200000000001</v>
      </c>
      <c r="P7588">
        <v>0.99413779999999996</v>
      </c>
      <c r="Q7588">
        <v>-6.4906529999999999E-3</v>
      </c>
      <c r="R7588">
        <v>-0.1079256</v>
      </c>
      <c r="S7588">
        <v>3.0365600000000001</v>
      </c>
      <c r="T7588">
        <v>-5.4505940000000003E-2</v>
      </c>
      <c r="U7588">
        <v>0.16824339999999999</v>
      </c>
      <c r="V7588">
        <v>-2.9563949999999999E-2</v>
      </c>
      <c r="W7588">
        <v>-4.0035089999999997E-3</v>
      </c>
      <c r="X7588">
        <v>0.99955490000000002</v>
      </c>
      <c r="Y7588">
        <v>-0.1918366</v>
      </c>
      <c r="Z7588">
        <v>4.1792309999999899E-3</v>
      </c>
      <c r="AA7588">
        <v>0.98141800000000001</v>
      </c>
      <c r="AB7588">
        <v>18</v>
      </c>
      <c r="AC7588">
        <v>61.854999999999997</v>
      </c>
      <c r="AD7588">
        <v>-1.11194845213</v>
      </c>
      <c r="AE7588">
        <v>3.4420399999999902</v>
      </c>
      <c r="AF7588">
        <v>-11.898454355683301</v>
      </c>
      <c r="AG7588">
        <v>-1.11194845213</v>
      </c>
      <c r="AH7588">
        <v>60.777000453071899</v>
      </c>
      <c r="AI7588">
        <v>91.028618500187093</v>
      </c>
      <c r="AJ7588">
        <v>101.07683247078801</v>
      </c>
      <c r="AK7588">
        <v>61.940725128845401</v>
      </c>
      <c r="AL7588">
        <v>90.229384775594298</v>
      </c>
      <c r="AM7588">
        <v>91.694149944551199</v>
      </c>
      <c r="AN7588">
        <v>1.0000000266689599</v>
      </c>
    </row>
    <row r="7589" spans="1:40" x14ac:dyDescent="0.25">
      <c r="A7589" t="str">
        <f>"20190312154112074"</f>
        <v>20190312154112074</v>
      </c>
      <c r="B7589" t="str">
        <f>"1552376472064097"</f>
        <v>1552376472064097</v>
      </c>
      <c r="C7589" t="s">
        <v>40</v>
      </c>
      <c r="D7589">
        <v>4.4931020000000004</v>
      </c>
      <c r="E7589">
        <v>0.45204149999999998</v>
      </c>
      <c r="F7589" t="s">
        <v>42</v>
      </c>
      <c r="G7589">
        <v>-330.6397</v>
      </c>
      <c r="H7589" s="1">
        <v>-4.5800920000000002E-6</v>
      </c>
      <c r="I7589">
        <v>22.557780000000001</v>
      </c>
      <c r="J7589">
        <v>-392.71190000000001</v>
      </c>
      <c r="K7589">
        <v>1.1118790000000001</v>
      </c>
      <c r="L7589">
        <v>18.982600000000001</v>
      </c>
      <c r="M7589">
        <v>0.99100239999999995</v>
      </c>
      <c r="N7589">
        <v>0</v>
      </c>
      <c r="O7589">
        <v>-0.133821</v>
      </c>
      <c r="P7589">
        <v>0.99438199999999999</v>
      </c>
      <c r="Q7589">
        <v>-6.0829650000000001E-3</v>
      </c>
      <c r="R7589">
        <v>-0.1056753</v>
      </c>
      <c r="S7589">
        <v>3.0362550000000001</v>
      </c>
      <c r="T7589">
        <v>-5.4308410000000001E-2</v>
      </c>
      <c r="U7589">
        <v>0.17416379999999901</v>
      </c>
      <c r="V7589">
        <v>-2.831614E-2</v>
      </c>
      <c r="W7589">
        <v>-3.8464340000000001E-3</v>
      </c>
      <c r="X7589">
        <v>0.99959160000000002</v>
      </c>
      <c r="Y7589">
        <v>-0.19030230000000001</v>
      </c>
      <c r="Z7589">
        <v>4.0887570000000002E-3</v>
      </c>
      <c r="AA7589">
        <v>0.98171710000000001</v>
      </c>
      <c r="AB7589">
        <v>19</v>
      </c>
      <c r="AC7589">
        <v>62.072200000000002</v>
      </c>
      <c r="AD7589">
        <v>-1.1118835800919999</v>
      </c>
      <c r="AE7589">
        <v>3.5751799999999898</v>
      </c>
      <c r="AF7589">
        <v>-11.845824110339301</v>
      </c>
      <c r="AG7589">
        <v>-1.1118835800919999</v>
      </c>
      <c r="AH7589">
        <v>61.015940469969799</v>
      </c>
      <c r="AI7589">
        <v>91.024844985861293</v>
      </c>
      <c r="AJ7589">
        <v>100.986903412644</v>
      </c>
      <c r="AK7589">
        <v>62.165141561679597</v>
      </c>
      <c r="AL7589">
        <v>90.220384981599906</v>
      </c>
      <c r="AM7589">
        <v>91.622624234036806</v>
      </c>
      <c r="AN7589">
        <v>0.99999998281478697</v>
      </c>
    </row>
    <row r="7590" spans="1:40" x14ac:dyDescent="0.25">
      <c r="A7590" t="str">
        <f>"20190312154112085"</f>
        <v>20190312154112085</v>
      </c>
      <c r="B7590" t="str">
        <f>"1552376472073857"</f>
        <v>1552376472073857</v>
      </c>
      <c r="C7590" t="s">
        <v>40</v>
      </c>
      <c r="D7590">
        <v>4.4610729999999998</v>
      </c>
      <c r="E7590">
        <v>0.45268649999999999</v>
      </c>
      <c r="F7590" t="s">
        <v>89</v>
      </c>
      <c r="G7590">
        <v>-276.36860000000001</v>
      </c>
      <c r="H7590">
        <v>2.9945249999999999</v>
      </c>
      <c r="I7590">
        <v>21.311119999999999</v>
      </c>
      <c r="J7590">
        <v>-392.62290000000002</v>
      </c>
      <c r="K7590">
        <v>1.1118129999999999</v>
      </c>
      <c r="L7590">
        <v>18.974150000000002</v>
      </c>
      <c r="M7590">
        <v>0.99142649999999999</v>
      </c>
      <c r="N7590">
        <v>0</v>
      </c>
      <c r="O7590">
        <v>-0.13064729999999999</v>
      </c>
      <c r="P7590">
        <v>0.99459710000000001</v>
      </c>
      <c r="Q7590">
        <v>-5.4388459999999998E-3</v>
      </c>
      <c r="R7590">
        <v>-0.1036681</v>
      </c>
      <c r="S7590">
        <v>3.023682</v>
      </c>
      <c r="T7590">
        <v>4.892838E-2</v>
      </c>
      <c r="U7590">
        <v>6.0516359999999998E-2</v>
      </c>
      <c r="V7590">
        <v>-2.713695E-2</v>
      </c>
      <c r="W7590">
        <v>-3.4338089999999999E-3</v>
      </c>
      <c r="X7590">
        <v>0.99962580000000001</v>
      </c>
      <c r="Y7590">
        <v>-0.15042329999999901</v>
      </c>
      <c r="Z7590">
        <v>-3.326748E-3</v>
      </c>
      <c r="AA7590">
        <v>0.9886161</v>
      </c>
      <c r="AB7590">
        <v>19</v>
      </c>
      <c r="AC7590">
        <v>116.2543</v>
      </c>
      <c r="AD7590">
        <v>1.8827119999999999</v>
      </c>
      <c r="AE7590">
        <v>2.33697</v>
      </c>
      <c r="AF7590">
        <v>-17.500698151308001</v>
      </c>
      <c r="AG7590">
        <v>1.8827119999999999</v>
      </c>
      <c r="AH7590">
        <v>114.92242096029101</v>
      </c>
      <c r="AI7590">
        <v>89.0721331898974</v>
      </c>
      <c r="AJ7590">
        <v>98.658634433161097</v>
      </c>
      <c r="AK7590">
        <v>116.26255579348199</v>
      </c>
      <c r="AL7590">
        <v>90.196743155388006</v>
      </c>
      <c r="AM7590">
        <v>91.555032813253405</v>
      </c>
      <c r="AN7590">
        <v>0.99999997256259499</v>
      </c>
    </row>
    <row r="7591" spans="1:40" x14ac:dyDescent="0.25">
      <c r="A7591" t="str">
        <f>"20190312154112097"</f>
        <v>20190312154112097</v>
      </c>
      <c r="B7591" t="str">
        <f>"1552376472094353"</f>
        <v>1552376472094353</v>
      </c>
      <c r="C7591" t="s">
        <v>40</v>
      </c>
      <c r="D7591">
        <v>4.477614</v>
      </c>
      <c r="E7591">
        <v>0.45337280000000002</v>
      </c>
      <c r="F7591" t="s">
        <v>89</v>
      </c>
      <c r="G7591">
        <v>-276.31279999999998</v>
      </c>
      <c r="H7591">
        <v>2.7796120000000002</v>
      </c>
      <c r="I7591">
        <v>21.354230000000001</v>
      </c>
      <c r="J7591">
        <v>-392.52569999999997</v>
      </c>
      <c r="K7591">
        <v>1.111739</v>
      </c>
      <c r="L7591">
        <v>18.965029999999999</v>
      </c>
      <c r="M7591">
        <v>0.99187250000000005</v>
      </c>
      <c r="N7591">
        <v>0</v>
      </c>
      <c r="O7591">
        <v>-0.127221</v>
      </c>
      <c r="P7591">
        <v>0.99483330000000003</v>
      </c>
      <c r="Q7591">
        <v>-4.4658889999999998E-3</v>
      </c>
      <c r="R7591">
        <v>-0.1014239</v>
      </c>
      <c r="S7591">
        <v>3.0229490000000001</v>
      </c>
      <c r="T7591">
        <v>4.3346879999999997E-2</v>
      </c>
      <c r="U7591">
        <v>6.1859129999999998E-2</v>
      </c>
      <c r="V7591">
        <v>-2.5944390000000001E-2</v>
      </c>
      <c r="W7591">
        <v>-2.7125059999999999E-3</v>
      </c>
      <c r="X7591">
        <v>0.99965970000000004</v>
      </c>
      <c r="Y7591">
        <v>-0.14745899999999901</v>
      </c>
      <c r="Z7591">
        <v>-2.87791E-3</v>
      </c>
      <c r="AA7591">
        <v>0.98906400000000005</v>
      </c>
      <c r="AB7591">
        <v>19</v>
      </c>
      <c r="AC7591">
        <v>116.2129</v>
      </c>
      <c r="AD7591">
        <v>1.6678729999999899</v>
      </c>
      <c r="AE7591">
        <v>2.3892000000000002</v>
      </c>
      <c r="AF7591">
        <v>-17.151004178121699</v>
      </c>
      <c r="AG7591">
        <v>1.6678729999999899</v>
      </c>
      <c r="AH7591">
        <v>114.940974312039</v>
      </c>
      <c r="AI7591">
        <v>89.177759048416405</v>
      </c>
      <c r="AJ7591">
        <v>98.486815358627794</v>
      </c>
      <c r="AK7591">
        <v>116.22549772086499</v>
      </c>
      <c r="AL7591">
        <v>90.155415337463296</v>
      </c>
      <c r="AM7591">
        <v>91.486676345112699</v>
      </c>
      <c r="AN7591">
        <v>0.99999999243268101</v>
      </c>
    </row>
    <row r="7592" spans="1:40" x14ac:dyDescent="0.25">
      <c r="A7592" t="str">
        <f>"20190312154112108"</f>
        <v>20190312154112108</v>
      </c>
      <c r="B7592" t="str">
        <f>"1552376472103646"</f>
        <v>1552376472103646</v>
      </c>
      <c r="C7592" t="s">
        <v>40</v>
      </c>
      <c r="D7592">
        <v>4.4881260000000003</v>
      </c>
      <c r="E7592">
        <v>0.45374619999999999</v>
      </c>
      <c r="F7592" t="s">
        <v>89</v>
      </c>
      <c r="G7592">
        <v>-276.2559</v>
      </c>
      <c r="H7592">
        <v>2.504848</v>
      </c>
      <c r="I7592">
        <v>21.416450000000001</v>
      </c>
      <c r="J7592">
        <v>-392.42610000000002</v>
      </c>
      <c r="K7592">
        <v>1.1116569999999999</v>
      </c>
      <c r="L7592">
        <v>18.95609</v>
      </c>
      <c r="M7592">
        <v>0.99229440000000002</v>
      </c>
      <c r="N7592">
        <v>0</v>
      </c>
      <c r="O7592">
        <v>-0.1238914</v>
      </c>
      <c r="P7592">
        <v>0.99504879999999996</v>
      </c>
      <c r="Q7592">
        <v>-3.2164770000000001E-3</v>
      </c>
      <c r="R7592">
        <v>-9.9337969999999998E-2</v>
      </c>
      <c r="S7592">
        <v>3.0222470000000001</v>
      </c>
      <c r="T7592">
        <v>3.6211609999999998E-2</v>
      </c>
      <c r="U7592">
        <v>6.3720700000000005E-2</v>
      </c>
      <c r="V7592">
        <v>-2.4693630000000001E-2</v>
      </c>
      <c r="W7592">
        <v>-1.709302E-3</v>
      </c>
      <c r="X7592">
        <v>0.99969359999999996</v>
      </c>
      <c r="Y7592">
        <v>-0.14476149999999999</v>
      </c>
      <c r="Z7592">
        <v>-2.3489420000000001E-3</v>
      </c>
      <c r="AA7592">
        <v>0.9894638</v>
      </c>
      <c r="AB7592">
        <v>19</v>
      </c>
      <c r="AC7592">
        <v>116.17019999999999</v>
      </c>
      <c r="AD7592">
        <v>1.3931910000000001</v>
      </c>
      <c r="AE7592">
        <v>2.4603600000000001</v>
      </c>
      <c r="AF7592">
        <v>-16.831493578510401</v>
      </c>
      <c r="AG7592">
        <v>1.3931910000000001</v>
      </c>
      <c r="AH7592">
        <v>114.95385351481301</v>
      </c>
      <c r="AI7592">
        <v>89.312958785836202</v>
      </c>
      <c r="AJ7592">
        <v>98.330031520113707</v>
      </c>
      <c r="AK7592">
        <v>116.187902103236</v>
      </c>
      <c r="AL7592">
        <v>90.097935838646194</v>
      </c>
      <c r="AM7592">
        <v>91.414986682416298</v>
      </c>
      <c r="AN7592">
        <v>0.99999999547843199</v>
      </c>
    </row>
    <row r="7593" spans="1:40" x14ac:dyDescent="0.25">
      <c r="A7593" t="str">
        <f>"20190312154112122"</f>
        <v>20190312154112122</v>
      </c>
      <c r="B7593" t="str">
        <f>"1552376472114381"</f>
        <v>1552376472114381</v>
      </c>
      <c r="C7593" t="s">
        <v>40</v>
      </c>
      <c r="D7593">
        <v>4.4964149999999998</v>
      </c>
      <c r="E7593">
        <v>0.45402360000000003</v>
      </c>
      <c r="F7593" t="s">
        <v>89</v>
      </c>
      <c r="G7593">
        <v>-276.27929999999998</v>
      </c>
      <c r="H7593">
        <v>2.4411849999999999</v>
      </c>
      <c r="I7593">
        <v>21.544920000000001</v>
      </c>
      <c r="J7593">
        <v>-392.31569999999999</v>
      </c>
      <c r="K7593">
        <v>1.1115619999999999</v>
      </c>
      <c r="L7593">
        <v>18.94632</v>
      </c>
      <c r="M7593">
        <v>0.99273880000000003</v>
      </c>
      <c r="N7593">
        <v>0</v>
      </c>
      <c r="O7593">
        <v>-0.12028320000000001</v>
      </c>
      <c r="P7593">
        <v>0.99531420000000004</v>
      </c>
      <c r="Q7593">
        <v>-2.322569E-3</v>
      </c>
      <c r="R7593">
        <v>-9.6668939999999995E-2</v>
      </c>
      <c r="S7593">
        <v>3.0217290000000001</v>
      </c>
      <c r="T7593">
        <v>3.458965E-2</v>
      </c>
      <c r="U7593">
        <v>6.7352289999999995E-2</v>
      </c>
      <c r="V7593">
        <v>-2.374598E-2</v>
      </c>
      <c r="W7593">
        <v>-1.0851649999999999E-3</v>
      </c>
      <c r="X7593">
        <v>0.99971739999999998</v>
      </c>
      <c r="Y7593">
        <v>-0.14235829999999999</v>
      </c>
      <c r="Z7593">
        <v>-2.189276E-3</v>
      </c>
      <c r="AA7593">
        <v>0.98981280000000005</v>
      </c>
      <c r="AB7593">
        <v>19</v>
      </c>
      <c r="AC7593">
        <v>116.0364</v>
      </c>
      <c r="AD7593">
        <v>1.32962299999999</v>
      </c>
      <c r="AE7593">
        <v>2.5985999999999998</v>
      </c>
      <c r="AF7593">
        <v>-16.534804054526798</v>
      </c>
      <c r="AG7593">
        <v>1.32962299999999</v>
      </c>
      <c r="AH7593">
        <v>114.86628749578399</v>
      </c>
      <c r="AI7593">
        <v>89.343573633535001</v>
      </c>
      <c r="AJ7593">
        <v>98.191359950183298</v>
      </c>
      <c r="AK7593">
        <v>116.057880583387</v>
      </c>
      <c r="AL7593">
        <v>90.062175388984897</v>
      </c>
      <c r="AM7593">
        <v>91.360673178518994</v>
      </c>
      <c r="AN7593">
        <v>0.99999996450599804</v>
      </c>
    </row>
    <row r="7594" spans="1:40" x14ac:dyDescent="0.25">
      <c r="A7594" t="str">
        <f>"20190312154112134"</f>
        <v>20190312154112134</v>
      </c>
      <c r="B7594" t="str">
        <f>"1552376472124140"</f>
        <v>1552376472124140</v>
      </c>
      <c r="C7594" t="s">
        <v>40</v>
      </c>
      <c r="D7594">
        <v>4.4815480000000001</v>
      </c>
      <c r="E7594">
        <v>0.45446350000000002</v>
      </c>
      <c r="F7594" t="s">
        <v>89</v>
      </c>
      <c r="G7594">
        <v>-277.18830000000003</v>
      </c>
      <c r="H7594">
        <v>2.428337</v>
      </c>
      <c r="I7594">
        <v>21.743040000000001</v>
      </c>
      <c r="J7594">
        <v>-392.19889999999998</v>
      </c>
      <c r="K7594">
        <v>1.111448</v>
      </c>
      <c r="L7594">
        <v>18.93628</v>
      </c>
      <c r="M7594">
        <v>0.99317719999999998</v>
      </c>
      <c r="N7594">
        <v>0</v>
      </c>
      <c r="O7594">
        <v>-0.1166097</v>
      </c>
      <c r="P7594">
        <v>0.9955657</v>
      </c>
      <c r="Q7594">
        <v>-1.3868859999999999E-3</v>
      </c>
      <c r="R7594">
        <v>-9.4059169999999998E-2</v>
      </c>
      <c r="S7594">
        <v>3.0213009999999998</v>
      </c>
      <c r="T7594">
        <v>3.4556150000000001E-2</v>
      </c>
      <c r="U7594">
        <v>7.3394780000000007E-2</v>
      </c>
      <c r="V7594">
        <v>-2.2672919999999999E-2</v>
      </c>
      <c r="W7594">
        <v>-4.2319470000000002E-4</v>
      </c>
      <c r="X7594">
        <v>0.99974289999999999</v>
      </c>
      <c r="Y7594">
        <v>-0.1406782</v>
      </c>
      <c r="Z7594">
        <v>-2.1360340000000002E-3</v>
      </c>
      <c r="AA7594">
        <v>0.99005310000000002</v>
      </c>
      <c r="AB7594">
        <v>19</v>
      </c>
      <c r="AC7594">
        <v>115.010599999999</v>
      </c>
      <c r="AD7594">
        <v>1.316889</v>
      </c>
      <c r="AE7594">
        <v>2.8067600000000001</v>
      </c>
      <c r="AF7594">
        <v>-16.196849300575199</v>
      </c>
      <c r="AG7594">
        <v>1.316889</v>
      </c>
      <c r="AH7594">
        <v>113.88375817069399</v>
      </c>
      <c r="AI7594">
        <v>89.3440925350653</v>
      </c>
      <c r="AJ7594">
        <v>98.094472220958096</v>
      </c>
      <c r="AK7594">
        <v>115.03730916091899</v>
      </c>
      <c r="AL7594">
        <v>90.024247269654893</v>
      </c>
      <c r="AM7594">
        <v>91.299173997796501</v>
      </c>
      <c r="AN7594">
        <v>1.00000005324774</v>
      </c>
    </row>
    <row r="7595" spans="1:40" x14ac:dyDescent="0.25">
      <c r="A7595" t="str">
        <f>"20190312154112154"</f>
        <v>20190312154112154</v>
      </c>
      <c r="B7595" t="str">
        <f>"1552376472143660"</f>
        <v>1552376472143660</v>
      </c>
      <c r="C7595" t="s">
        <v>40</v>
      </c>
      <c r="D7595">
        <v>4.5056520000000004</v>
      </c>
      <c r="E7595">
        <v>0.4552194</v>
      </c>
      <c r="F7595" t="s">
        <v>89</v>
      </c>
      <c r="G7595">
        <v>-276.92360000000002</v>
      </c>
      <c r="H7595">
        <v>2.4387799999999999</v>
      </c>
      <c r="I7595">
        <v>21.910630000000001</v>
      </c>
      <c r="J7595">
        <v>-392.0394</v>
      </c>
      <c r="K7595">
        <v>1.111299</v>
      </c>
      <c r="L7595">
        <v>18.923100000000002</v>
      </c>
      <c r="M7595">
        <v>0.99372190000000005</v>
      </c>
      <c r="N7595">
        <v>0</v>
      </c>
      <c r="O7595">
        <v>-0.1118753</v>
      </c>
      <c r="P7595">
        <v>0.99582959999999998</v>
      </c>
      <c r="Q7595">
        <v>-6.4255300000000003E-4</v>
      </c>
      <c r="R7595">
        <v>-9.1231439999999997E-2</v>
      </c>
      <c r="S7595">
        <v>3.0207519999999999</v>
      </c>
      <c r="T7595">
        <v>3.478229E-2</v>
      </c>
      <c r="U7595">
        <v>7.794189E-2</v>
      </c>
      <c r="V7595">
        <v>-2.0750290000000001E-2</v>
      </c>
      <c r="W7595" s="1">
        <v>-2.419789E-5</v>
      </c>
      <c r="X7595">
        <v>0.99978469999999997</v>
      </c>
      <c r="Y7595">
        <v>-0.1374532</v>
      </c>
      <c r="Z7595">
        <v>-2.0775540000000001E-3</v>
      </c>
      <c r="AA7595">
        <v>0.99050609999999994</v>
      </c>
      <c r="AB7595">
        <v>19</v>
      </c>
      <c r="AC7595">
        <v>115.115799999999</v>
      </c>
      <c r="AD7595">
        <v>1.3274809999999999</v>
      </c>
      <c r="AE7595">
        <v>2.9875299999999898</v>
      </c>
      <c r="AF7595">
        <v>-15.8452885254096</v>
      </c>
      <c r="AG7595">
        <v>1.3274809999999999</v>
      </c>
      <c r="AH7595">
        <v>114.043745411548</v>
      </c>
      <c r="AI7595">
        <v>89.339446081814998</v>
      </c>
      <c r="AJ7595">
        <v>97.910060622282202</v>
      </c>
      <c r="AK7595">
        <v>115.14691155976701</v>
      </c>
      <c r="AL7595">
        <v>90.0013864369553</v>
      </c>
      <c r="AM7595">
        <v>91.188989363421697</v>
      </c>
      <c r="AN7595">
        <v>1.0000000107373499</v>
      </c>
    </row>
    <row r="7596" spans="1:40" x14ac:dyDescent="0.25">
      <c r="A7596" t="str">
        <f>"20190312154112176"</f>
        <v>20190312154112176</v>
      </c>
      <c r="B7596" t="str">
        <f>"1552376472164157"</f>
        <v>1552376472164157</v>
      </c>
      <c r="C7596" t="s">
        <v>40</v>
      </c>
      <c r="D7596">
        <v>4.5086149999999998</v>
      </c>
      <c r="E7596">
        <v>0.45617429999999898</v>
      </c>
      <c r="F7596" t="s">
        <v>89</v>
      </c>
      <c r="G7596">
        <v>-276.94420000000002</v>
      </c>
      <c r="H7596">
        <v>2.361726</v>
      </c>
      <c r="I7596">
        <v>21.999389999999998</v>
      </c>
      <c r="J7596">
        <v>-391.84190000000001</v>
      </c>
      <c r="K7596">
        <v>1.111084</v>
      </c>
      <c r="L7596">
        <v>18.907319999999999</v>
      </c>
      <c r="M7596">
        <v>0.99432489999999996</v>
      </c>
      <c r="N7596">
        <v>0</v>
      </c>
      <c r="O7596">
        <v>-0.1063856</v>
      </c>
      <c r="P7596">
        <v>0.99619749999999996</v>
      </c>
      <c r="Q7596">
        <v>-6.4091759999999995E-4</v>
      </c>
      <c r="R7596">
        <v>-8.7119710000000003E-2</v>
      </c>
      <c r="S7596">
        <v>3.0199889999999998</v>
      </c>
      <c r="T7596">
        <v>3.2809970000000001E-2</v>
      </c>
      <c r="U7596">
        <v>8.0718990000000004E-2</v>
      </c>
      <c r="V7596">
        <v>-1.935344E-2</v>
      </c>
      <c r="W7596">
        <v>-4.2211180000000003E-4</v>
      </c>
      <c r="X7596">
        <v>0.99981260000000005</v>
      </c>
      <c r="Y7596">
        <v>-0.13290060000000001</v>
      </c>
      <c r="Z7596">
        <v>-1.8761120000000001E-3</v>
      </c>
      <c r="AA7596">
        <v>0.9911276</v>
      </c>
      <c r="AB7596">
        <v>20</v>
      </c>
      <c r="AC7596">
        <v>114.8977</v>
      </c>
      <c r="AD7596">
        <v>1.250642</v>
      </c>
      <c r="AE7596">
        <v>3.0920699999999899</v>
      </c>
      <c r="AF7596">
        <v>-15.2961727194088</v>
      </c>
      <c r="AG7596">
        <v>1.250642</v>
      </c>
      <c r="AH7596">
        <v>113.903212452248</v>
      </c>
      <c r="AI7596">
        <v>89.376521658449505</v>
      </c>
      <c r="AJ7596">
        <v>97.648546644659703</v>
      </c>
      <c r="AK7596">
        <v>114.93249676316999</v>
      </c>
      <c r="AL7596">
        <v>90.024185225716494</v>
      </c>
      <c r="AM7596">
        <v>91.108939781041201</v>
      </c>
      <c r="AN7596">
        <v>0.99999998446848204</v>
      </c>
    </row>
    <row r="7597" spans="1:40" x14ac:dyDescent="0.25">
      <c r="A7597" t="str">
        <f>"20190312154112192"</f>
        <v>20190312154112192</v>
      </c>
      <c r="B7597" t="str">
        <f>"1552376472183677"</f>
        <v>1552376472183677</v>
      </c>
      <c r="C7597" t="s">
        <v>40</v>
      </c>
      <c r="D7597">
        <v>4.5222619999999996</v>
      </c>
      <c r="E7597">
        <v>0.45689039999999997</v>
      </c>
      <c r="F7597" t="s">
        <v>89</v>
      </c>
      <c r="G7597">
        <v>-276.79759999999999</v>
      </c>
      <c r="H7597">
        <v>2.267525</v>
      </c>
      <c r="I7597">
        <v>22.175190000000001</v>
      </c>
      <c r="J7597">
        <v>-391.69970000000001</v>
      </c>
      <c r="K7597">
        <v>1.1109249999999999</v>
      </c>
      <c r="L7597">
        <v>18.89639</v>
      </c>
      <c r="M7597">
        <v>0.99470720000000001</v>
      </c>
      <c r="N7597">
        <v>0</v>
      </c>
      <c r="O7597">
        <v>-0.1027496</v>
      </c>
      <c r="P7597">
        <v>0.99642500000000001</v>
      </c>
      <c r="Q7597">
        <v>-8.9034809999999896E-4</v>
      </c>
      <c r="R7597">
        <v>-8.4479199999999893E-2</v>
      </c>
      <c r="S7597">
        <v>3.0189509999999999</v>
      </c>
      <c r="T7597">
        <v>3.0346870000000001E-2</v>
      </c>
      <c r="U7597">
        <v>8.575439E-2</v>
      </c>
      <c r="V7597">
        <v>-1.83451E-2</v>
      </c>
      <c r="W7597">
        <v>-9.2948409999999999E-4</v>
      </c>
      <c r="X7597">
        <v>0.99983129999999998</v>
      </c>
      <c r="Y7597">
        <v>-0.13094</v>
      </c>
      <c r="Z7597">
        <v>-1.6895879999999999E-3</v>
      </c>
      <c r="AA7597">
        <v>0.99138890000000002</v>
      </c>
      <c r="AB7597">
        <v>20</v>
      </c>
      <c r="AC7597">
        <v>114.9021</v>
      </c>
      <c r="AD7597">
        <v>1.1566000000000001</v>
      </c>
      <c r="AE7597">
        <v>3.2787999999999999</v>
      </c>
      <c r="AF7597">
        <v>-15.0660662744053</v>
      </c>
      <c r="AG7597">
        <v>1.1566000000000001</v>
      </c>
      <c r="AH7597">
        <v>113.945520842147</v>
      </c>
      <c r="AI7597">
        <v>89.423458710317703</v>
      </c>
      <c r="AJ7597">
        <v>97.5320528276837</v>
      </c>
      <c r="AK7597">
        <v>114.943054581532</v>
      </c>
      <c r="AL7597">
        <v>90.053255522788305</v>
      </c>
      <c r="AM7597">
        <v>91.051156205840002</v>
      </c>
      <c r="AN7597">
        <v>1.0000000175471899</v>
      </c>
    </row>
    <row r="7598" spans="1:40" x14ac:dyDescent="0.25">
      <c r="A7598" t="str">
        <f>"20190312154112209"</f>
        <v>20190312154112209</v>
      </c>
      <c r="B7598" t="str">
        <f>"1552376472203703"</f>
        <v>1552376472203703</v>
      </c>
      <c r="C7598" t="s">
        <v>40</v>
      </c>
      <c r="D7598">
        <v>4.5378210000000001</v>
      </c>
      <c r="E7598">
        <v>0.46342529999999998</v>
      </c>
      <c r="F7598" t="s">
        <v>89</v>
      </c>
      <c r="G7598">
        <v>-276.73169999999999</v>
      </c>
      <c r="H7598">
        <v>2.2202419999999998</v>
      </c>
      <c r="I7598">
        <v>22.252400000000002</v>
      </c>
      <c r="J7598">
        <v>-391.54539999999997</v>
      </c>
      <c r="K7598">
        <v>1.110743</v>
      </c>
      <c r="L7598">
        <v>18.88486</v>
      </c>
      <c r="M7598">
        <v>0.99508209999999997</v>
      </c>
      <c r="N7598">
        <v>0</v>
      </c>
      <c r="O7598">
        <v>-9.9053500000000003E-2</v>
      </c>
      <c r="P7598">
        <v>0.99659039999999999</v>
      </c>
      <c r="Q7598">
        <v>-8.7305529999999996E-4</v>
      </c>
      <c r="R7598">
        <v>-8.2504850000000005E-2</v>
      </c>
      <c r="S7598">
        <v>3.0182190000000002</v>
      </c>
      <c r="T7598">
        <v>2.9122470000000001E-2</v>
      </c>
      <c r="U7598">
        <v>8.8104249999999995E-2</v>
      </c>
      <c r="V7598">
        <v>-1.6610630000000001E-2</v>
      </c>
      <c r="W7598">
        <v>-1.1657289999999999E-3</v>
      </c>
      <c r="X7598">
        <v>0.99986140000000001</v>
      </c>
      <c r="Y7598">
        <v>-0.1280357</v>
      </c>
      <c r="Z7598">
        <v>-1.5722539999999999E-3</v>
      </c>
      <c r="AA7598">
        <v>0.99176830000000005</v>
      </c>
      <c r="AB7598">
        <v>20</v>
      </c>
      <c r="AC7598">
        <v>114.813699999999</v>
      </c>
      <c r="AD7598">
        <v>1.10949899999999</v>
      </c>
      <c r="AE7598">
        <v>3.36754</v>
      </c>
      <c r="AF7598">
        <v>-14.722304116682</v>
      </c>
      <c r="AG7598">
        <v>1.10949899999999</v>
      </c>
      <c r="AH7598">
        <v>113.90486452867199</v>
      </c>
      <c r="AI7598">
        <v>89.446527409440193</v>
      </c>
      <c r="AJ7598">
        <v>97.364700065395496</v>
      </c>
      <c r="AK7598">
        <v>114.85771802465101</v>
      </c>
      <c r="AL7598">
        <v>90.066791363838902</v>
      </c>
      <c r="AM7598">
        <v>90.951763368126507</v>
      </c>
      <c r="AN7598">
        <v>1.0000000455815199</v>
      </c>
    </row>
    <row r="7599" spans="1:40" x14ac:dyDescent="0.25">
      <c r="A7599" t="str">
        <f>"20190312154112222"</f>
        <v>20190312154112222</v>
      </c>
      <c r="B7599" t="str">
        <f>"1552376472213464"</f>
        <v>1552376472213464</v>
      </c>
      <c r="C7599" t="s">
        <v>40</v>
      </c>
      <c r="D7599">
        <v>4.5521289999999999</v>
      </c>
      <c r="E7599">
        <v>0.46394990000000003</v>
      </c>
      <c r="F7599" t="s">
        <v>90</v>
      </c>
      <c r="G7599">
        <v>-273.40989999999999</v>
      </c>
      <c r="H7599">
        <v>1.9348590000000001</v>
      </c>
      <c r="I7599">
        <v>20.547609999999999</v>
      </c>
      <c r="J7599">
        <v>-391.42430000000002</v>
      </c>
      <c r="K7599">
        <v>1.110603</v>
      </c>
      <c r="L7599">
        <v>18.87595</v>
      </c>
      <c r="M7599">
        <v>0.99534990000000001</v>
      </c>
      <c r="N7599">
        <v>0</v>
      </c>
      <c r="O7599">
        <v>-9.6325599999999997E-2</v>
      </c>
      <c r="P7599">
        <v>0.99672380000000005</v>
      </c>
      <c r="Q7599">
        <v>-4.9975889999999998E-4</v>
      </c>
      <c r="R7599">
        <v>-8.0880439999999998E-2</v>
      </c>
      <c r="S7599">
        <v>3.0138240000000001</v>
      </c>
      <c r="T7599">
        <v>2.1024580000000001E-2</v>
      </c>
      <c r="U7599">
        <v>4.2419430000000001E-2</v>
      </c>
      <c r="V7599">
        <v>-1.5500699999999999E-2</v>
      </c>
      <c r="W7599">
        <v>-9.7748489999999991E-4</v>
      </c>
      <c r="X7599">
        <v>0.99987939999999997</v>
      </c>
      <c r="Y7599">
        <v>-0.11031920000000001</v>
      </c>
      <c r="Z7599">
        <v>-1.056034E-3</v>
      </c>
      <c r="AA7599">
        <v>0.99389559999999999</v>
      </c>
      <c r="AB7599">
        <v>20</v>
      </c>
      <c r="AC7599">
        <v>118.01439999999999</v>
      </c>
      <c r="AD7599">
        <v>0.82425599999999999</v>
      </c>
      <c r="AE7599">
        <v>1.6716599999999899</v>
      </c>
      <c r="AF7599">
        <v>-13.0310586658504</v>
      </c>
      <c r="AG7599">
        <v>0.82425599999999999</v>
      </c>
      <c r="AH7599">
        <v>117.298874112479</v>
      </c>
      <c r="AI7599">
        <v>89.599852321390102</v>
      </c>
      <c r="AJ7599">
        <v>96.339154570545205</v>
      </c>
      <c r="AK7599">
        <v>118.02336106026399</v>
      </c>
      <c r="AL7599">
        <v>90.056005767058096</v>
      </c>
      <c r="AM7599">
        <v>90.888160664362502</v>
      </c>
      <c r="AN7599">
        <v>1.00000002086078</v>
      </c>
    </row>
    <row r="7600" spans="1:40" x14ac:dyDescent="0.25">
      <c r="A7600" t="str">
        <f>"20190312154112234"</f>
        <v>20190312154112234</v>
      </c>
      <c r="B7600" t="str">
        <f>"1552376472224200"</f>
        <v>1552376472224200</v>
      </c>
      <c r="C7600" t="s">
        <v>40</v>
      </c>
      <c r="D7600">
        <v>4.5346460000000004</v>
      </c>
      <c r="E7600">
        <v>0.46442</v>
      </c>
      <c r="F7600" t="s">
        <v>90</v>
      </c>
      <c r="G7600">
        <v>-273.40989999999999</v>
      </c>
      <c r="H7600">
        <v>1.7934969999999999</v>
      </c>
      <c r="I7600">
        <v>20.574259999999999</v>
      </c>
      <c r="J7600">
        <v>-391.30869999999999</v>
      </c>
      <c r="K7600">
        <v>1.1104700000000001</v>
      </c>
      <c r="L7600">
        <v>18.867609999999999</v>
      </c>
      <c r="M7600">
        <v>0.99558469999999999</v>
      </c>
      <c r="N7600">
        <v>0</v>
      </c>
      <c r="O7600">
        <v>-9.3866249999999998E-2</v>
      </c>
      <c r="P7600">
        <v>0.99684070000000002</v>
      </c>
      <c r="Q7600">
        <v>-2.5852580000000001E-4</v>
      </c>
      <c r="R7600">
        <v>-7.9427780000000003E-2</v>
      </c>
      <c r="S7600">
        <v>3.0134280000000002</v>
      </c>
      <c r="T7600">
        <v>1.7437339999999999E-2</v>
      </c>
      <c r="U7600">
        <v>4.3365479999999998E-2</v>
      </c>
      <c r="V7600">
        <v>-1.4488010000000001E-2</v>
      </c>
      <c r="W7600">
        <v>-9.003552E-4</v>
      </c>
      <c r="X7600">
        <v>0.99989459999999997</v>
      </c>
      <c r="Y7600">
        <v>-0.10817889999999999</v>
      </c>
      <c r="Z7600">
        <v>-8.555921E-4</v>
      </c>
      <c r="AA7600">
        <v>0.99413110000000005</v>
      </c>
      <c r="AB7600">
        <v>21</v>
      </c>
      <c r="AC7600">
        <v>117.89879999999999</v>
      </c>
      <c r="AD7600">
        <v>0.68302700000000005</v>
      </c>
      <c r="AE7600">
        <v>1.70664999999999</v>
      </c>
      <c r="AF7600">
        <v>-12.765405994287701</v>
      </c>
      <c r="AG7600">
        <v>0.68302700000000005</v>
      </c>
      <c r="AH7600">
        <v>117.21412500488</v>
      </c>
      <c r="AI7600">
        <v>89.668093821057695</v>
      </c>
      <c r="AJ7600">
        <v>96.215399764750899</v>
      </c>
      <c r="AK7600">
        <v>117.90917359027399</v>
      </c>
      <c r="AL7600">
        <v>90.0515865619479</v>
      </c>
      <c r="AM7600">
        <v>90.830131237315996</v>
      </c>
      <c r="AN7600">
        <v>0.99999996209120201</v>
      </c>
    </row>
    <row r="7601" spans="1:40" x14ac:dyDescent="0.25">
      <c r="A7601" t="str">
        <f>"20190312154112254"</f>
        <v>20190312154112254</v>
      </c>
      <c r="B7601" t="str">
        <f>"1552376472243737"</f>
        <v>1552376472243737</v>
      </c>
      <c r="C7601" t="s">
        <v>40</v>
      </c>
      <c r="D7601">
        <v>4.528772</v>
      </c>
      <c r="E7601">
        <v>0.465279</v>
      </c>
      <c r="F7601" t="s">
        <v>90</v>
      </c>
      <c r="G7601">
        <v>-273.40989999999999</v>
      </c>
      <c r="H7601">
        <v>1.6481950000000001</v>
      </c>
      <c r="I7601">
        <v>20.597930000000002</v>
      </c>
      <c r="J7601">
        <v>-391.1336</v>
      </c>
      <c r="K7601">
        <v>1.110279</v>
      </c>
      <c r="L7601">
        <v>18.85519</v>
      </c>
      <c r="M7601">
        <v>0.9959015</v>
      </c>
      <c r="N7601">
        <v>0</v>
      </c>
      <c r="O7601">
        <v>-9.0440709999999994E-2</v>
      </c>
      <c r="P7601">
        <v>0.99694609999999995</v>
      </c>
      <c r="Q7601">
        <v>-5.0889890000000001E-4</v>
      </c>
      <c r="R7601">
        <v>-7.8091149999999998E-2</v>
      </c>
      <c r="S7601">
        <v>3.0130309999999998</v>
      </c>
      <c r="T7601">
        <v>1.3742209999999999E-2</v>
      </c>
      <c r="U7601">
        <v>4.4219969999999997E-2</v>
      </c>
      <c r="V7601">
        <v>-1.2387250000000001E-2</v>
      </c>
      <c r="W7601">
        <v>-1.370111E-3</v>
      </c>
      <c r="X7601">
        <v>0.99992230000000004</v>
      </c>
      <c r="Y7601">
        <v>-0.1050435</v>
      </c>
      <c r="Z7601">
        <v>-6.5164779999999896E-4</v>
      </c>
      <c r="AA7601">
        <v>0.9944674</v>
      </c>
      <c r="AB7601">
        <v>21</v>
      </c>
      <c r="AC7601">
        <v>117.72369999999999</v>
      </c>
      <c r="AD7601">
        <v>0.53791599999999995</v>
      </c>
      <c r="AE7601">
        <v>1.74273999999999</v>
      </c>
      <c r="AF7601">
        <v>-12.382358134206999</v>
      </c>
      <c r="AG7601">
        <v>0.53791599999999995</v>
      </c>
      <c r="AH7601">
        <v>117.081190642678</v>
      </c>
      <c r="AI7601">
        <v>89.738222899712099</v>
      </c>
      <c r="AJ7601">
        <v>96.037087578071294</v>
      </c>
      <c r="AK7601">
        <v>117.73536999939201</v>
      </c>
      <c r="AL7601">
        <v>90.078501605182296</v>
      </c>
      <c r="AM7601">
        <v>90.709755988888006</v>
      </c>
      <c r="AN7601">
        <v>0.99999996360200105</v>
      </c>
    </row>
    <row r="7602" spans="1:40" x14ac:dyDescent="0.25">
      <c r="A7602" t="str">
        <f>"20190312154112266"</f>
        <v>20190312154112266</v>
      </c>
      <c r="B7602" t="str">
        <f>"1552376472253479"</f>
        <v>1552376472253479</v>
      </c>
      <c r="C7602" t="s">
        <v>40</v>
      </c>
      <c r="D7602">
        <v>4.5595299999999996</v>
      </c>
      <c r="E7602">
        <v>0.46551900000000002</v>
      </c>
      <c r="F7602" t="s">
        <v>90</v>
      </c>
      <c r="G7602">
        <v>-273.40989999999999</v>
      </c>
      <c r="H7602">
        <v>1.5273639999999999</v>
      </c>
      <c r="I7602">
        <v>20.47711</v>
      </c>
      <c r="J7602">
        <v>-391.0204</v>
      </c>
      <c r="K7602">
        <v>1.1101490000000001</v>
      </c>
      <c r="L7602">
        <v>18.847349999999999</v>
      </c>
      <c r="M7602">
        <v>0.99608339999999995</v>
      </c>
      <c r="N7602">
        <v>0</v>
      </c>
      <c r="O7602">
        <v>-8.8413919999999993E-2</v>
      </c>
      <c r="P7602">
        <v>0.99704700000000002</v>
      </c>
      <c r="Q7602">
        <v>-5.5016199999999998E-4</v>
      </c>
      <c r="R7602">
        <v>-7.6793860000000005E-2</v>
      </c>
      <c r="S7602">
        <v>3.0124819999999999</v>
      </c>
      <c r="T7602">
        <v>1.067305E-2</v>
      </c>
      <c r="U7602">
        <v>4.1503909999999998E-2</v>
      </c>
      <c r="V7602">
        <v>-1.1653449999999999E-2</v>
      </c>
      <c r="W7602">
        <v>-1.5404609999999999E-3</v>
      </c>
      <c r="X7602">
        <v>0.99993089999999996</v>
      </c>
      <c r="Y7602">
        <v>-0.10212640000000001</v>
      </c>
      <c r="Z7602">
        <v>-4.9387490000000003E-4</v>
      </c>
      <c r="AA7602">
        <v>0.99477130000000002</v>
      </c>
      <c r="AB7602">
        <v>21</v>
      </c>
      <c r="AC7602">
        <v>117.6105</v>
      </c>
      <c r="AD7602">
        <v>0.417214999999999</v>
      </c>
      <c r="AE7602">
        <v>1.6297600000000001</v>
      </c>
      <c r="AF7602">
        <v>-12.0216360089204</v>
      </c>
      <c r="AG7602">
        <v>0.417214999999999</v>
      </c>
      <c r="AH7602">
        <v>117.004350198761</v>
      </c>
      <c r="AI7602">
        <v>89.796765047886495</v>
      </c>
      <c r="AJ7602">
        <v>95.866281814556601</v>
      </c>
      <c r="AK7602">
        <v>117.621051543172</v>
      </c>
      <c r="AL7602">
        <v>90.088261949564497</v>
      </c>
      <c r="AM7602">
        <v>90.667709413869005</v>
      </c>
      <c r="AN7602">
        <v>0.99999999034590203</v>
      </c>
    </row>
    <row r="7603" spans="1:40" x14ac:dyDescent="0.25">
      <c r="A7603" t="str">
        <f>"20190312154112277"</f>
        <v>20190312154112277</v>
      </c>
      <c r="B7603" t="str">
        <f>"1552376472264215"</f>
        <v>1552376472264215</v>
      </c>
      <c r="C7603" t="s">
        <v>40</v>
      </c>
      <c r="D7603">
        <v>4.5323630000000001</v>
      </c>
      <c r="E7603">
        <v>0.46568619999999999</v>
      </c>
      <c r="F7603" t="s">
        <v>90</v>
      </c>
      <c r="G7603">
        <v>-273.40989999999999</v>
      </c>
      <c r="H7603">
        <v>1.5103489999999999</v>
      </c>
      <c r="I7603">
        <v>20.546479999999999</v>
      </c>
      <c r="J7603">
        <v>-390.91059999999999</v>
      </c>
      <c r="K7603">
        <v>1.1100270000000001</v>
      </c>
      <c r="L7603">
        <v>18.839749999999999</v>
      </c>
      <c r="M7603">
        <v>0.99625019999999997</v>
      </c>
      <c r="N7603">
        <v>0</v>
      </c>
      <c r="O7603">
        <v>-8.6513389999999996E-2</v>
      </c>
      <c r="P7603">
        <v>0.99710719999999997</v>
      </c>
      <c r="Q7603">
        <v>-7.9340859999999999E-4</v>
      </c>
      <c r="R7603">
        <v>-7.6005240000000002E-2</v>
      </c>
      <c r="S7603">
        <v>3.012238</v>
      </c>
      <c r="T7603">
        <v>1.0249970000000001E-2</v>
      </c>
      <c r="U7603">
        <v>4.3518069999999999E-2</v>
      </c>
      <c r="V7603">
        <v>-1.0535330000000001E-2</v>
      </c>
      <c r="W7603">
        <v>-1.9016650000000001E-3</v>
      </c>
      <c r="X7603">
        <v>0.99994269999999996</v>
      </c>
      <c r="Y7603">
        <v>-0.10089480000000001</v>
      </c>
      <c r="Z7603">
        <v>-4.6579100000000001E-4</v>
      </c>
      <c r="AA7603">
        <v>0.99489700000000003</v>
      </c>
      <c r="AB7603">
        <v>21</v>
      </c>
      <c r="AC7603">
        <v>117.50069999999999</v>
      </c>
      <c r="AD7603">
        <v>0.40032199999999901</v>
      </c>
      <c r="AE7603">
        <v>1.7067300000000001</v>
      </c>
      <c r="AF7603">
        <v>-11.8655820565666</v>
      </c>
      <c r="AG7603">
        <v>0.40032199999999901</v>
      </c>
      <c r="AH7603">
        <v>116.911140959335</v>
      </c>
      <c r="AI7603">
        <v>89.8048137651774</v>
      </c>
      <c r="AJ7603">
        <v>95.795237212727301</v>
      </c>
      <c r="AK7603">
        <v>117.51241285778499</v>
      </c>
      <c r="AL7603">
        <v>90.108957443521902</v>
      </c>
      <c r="AM7603">
        <v>90.603642199468098</v>
      </c>
      <c r="AN7603">
        <v>1.00000000639563</v>
      </c>
    </row>
    <row r="7604" spans="1:40" x14ac:dyDescent="0.25">
      <c r="A7604" t="str">
        <f>"20190312154112290"</f>
        <v>20190312154112290</v>
      </c>
      <c r="B7604" t="str">
        <f>"1552376472283736"</f>
        <v>1552376472283736</v>
      </c>
      <c r="C7604" t="s">
        <v>40</v>
      </c>
      <c r="D7604">
        <v>4.585108</v>
      </c>
      <c r="E7604">
        <v>0.4660011</v>
      </c>
      <c r="F7604" t="s">
        <v>90</v>
      </c>
      <c r="G7604">
        <v>-273.40989999999999</v>
      </c>
      <c r="H7604">
        <v>1.3918729999999999</v>
      </c>
      <c r="I7604">
        <v>20.582599999999999</v>
      </c>
      <c r="J7604">
        <v>-390.78649999999999</v>
      </c>
      <c r="K7604">
        <v>1.1098859999999999</v>
      </c>
      <c r="L7604">
        <v>18.831299999999999</v>
      </c>
      <c r="M7604">
        <v>0.99641429999999998</v>
      </c>
      <c r="N7604">
        <v>0</v>
      </c>
      <c r="O7604">
        <v>-8.4598939999999997E-2</v>
      </c>
      <c r="P7604">
        <v>0.99716830000000001</v>
      </c>
      <c r="Q7604">
        <v>-1.0606159999999999E-3</v>
      </c>
      <c r="R7604">
        <v>-7.5195150000000002E-2</v>
      </c>
      <c r="S7604">
        <v>3.0121150000000001</v>
      </c>
      <c r="T7604">
        <v>7.2251559999999999E-3</v>
      </c>
      <c r="U7604">
        <v>4.4677729999999999E-2</v>
      </c>
      <c r="V7604">
        <v>-9.4253010000000005E-3</v>
      </c>
      <c r="W7604">
        <v>-2.2844380000000002E-3</v>
      </c>
      <c r="X7604">
        <v>0.99995299999999998</v>
      </c>
      <c r="Y7604">
        <v>-9.9367040000000004E-2</v>
      </c>
      <c r="Z7604">
        <v>-3.219346E-4</v>
      </c>
      <c r="AA7604">
        <v>0.99505080000000001</v>
      </c>
      <c r="AB7604">
        <v>21</v>
      </c>
      <c r="AC7604">
        <v>117.3766</v>
      </c>
      <c r="AD7604">
        <v>0.28198699999999899</v>
      </c>
      <c r="AE7604">
        <v>1.7513000000000001</v>
      </c>
      <c r="AF7604">
        <v>-11.6748980554929</v>
      </c>
      <c r="AG7604">
        <v>0.28198699999999899</v>
      </c>
      <c r="AH7604">
        <v>116.80698182336501</v>
      </c>
      <c r="AI7604">
        <v>89.862366697876894</v>
      </c>
      <c r="AJ7604">
        <v>95.707776233266699</v>
      </c>
      <c r="AK7604">
        <v>117.38932559631699</v>
      </c>
      <c r="AL7604">
        <v>90.130888766062199</v>
      </c>
      <c r="AM7604">
        <v>90.5400393577182</v>
      </c>
      <c r="AN7604">
        <v>1.00000002858245</v>
      </c>
    </row>
    <row r="7605" spans="1:40" x14ac:dyDescent="0.25">
      <c r="A7605" t="str">
        <f>"20190312154112303"</f>
        <v>20190312154112303</v>
      </c>
      <c r="B7605" t="str">
        <f>"1552376472293499"</f>
        <v>1552376472293499</v>
      </c>
      <c r="C7605" t="s">
        <v>40</v>
      </c>
      <c r="D7605">
        <v>4.6290559999999896</v>
      </c>
      <c r="E7605">
        <v>0.46610760000000001</v>
      </c>
      <c r="F7605" t="s">
        <v>91</v>
      </c>
      <c r="G7605">
        <v>-279.68</v>
      </c>
      <c r="H7605">
        <v>1.144434</v>
      </c>
      <c r="I7605">
        <v>20.485029999999998</v>
      </c>
      <c r="J7605">
        <v>-390.66140000000001</v>
      </c>
      <c r="K7605">
        <v>1.1097490000000001</v>
      </c>
      <c r="L7605">
        <v>18.822849999999999</v>
      </c>
      <c r="M7605">
        <v>0.99656699999999998</v>
      </c>
      <c r="N7605">
        <v>0</v>
      </c>
      <c r="O7605">
        <v>-8.2780350000000003E-2</v>
      </c>
      <c r="P7605">
        <v>0.99724489999999999</v>
      </c>
      <c r="Q7605">
        <v>-1.070108E-3</v>
      </c>
      <c r="R7605">
        <v>-7.4172909999999995E-2</v>
      </c>
      <c r="S7605">
        <v>3.0119319999999998</v>
      </c>
      <c r="T7605">
        <v>9.3662740000000002E-4</v>
      </c>
      <c r="U7605">
        <v>4.483032E-2</v>
      </c>
      <c r="V7605">
        <v>-8.6256790000000007E-3</v>
      </c>
      <c r="W7605">
        <v>-2.4029030000000001E-3</v>
      </c>
      <c r="X7605">
        <v>0.99995990000000001</v>
      </c>
      <c r="Y7605">
        <v>-9.7602770000000005E-2</v>
      </c>
      <c r="Z7605" s="1">
        <v>-4.0897869999999998E-5</v>
      </c>
      <c r="AA7605">
        <v>0.99522540000000004</v>
      </c>
      <c r="AB7605">
        <v>21</v>
      </c>
      <c r="AC7605">
        <v>110.98139999999999</v>
      </c>
      <c r="AD7605">
        <v>3.4685000000000001E-2</v>
      </c>
      <c r="AE7605">
        <v>1.66217999999999</v>
      </c>
      <c r="AF7605">
        <v>-10.843560640200501</v>
      </c>
      <c r="AG7605">
        <v>3.4685000000000001E-2</v>
      </c>
      <c r="AH7605">
        <v>110.462884150544</v>
      </c>
      <c r="AI7605">
        <v>89.982095365623906</v>
      </c>
      <c r="AJ7605">
        <v>95.606462967373702</v>
      </c>
      <c r="AK7605">
        <v>110.993841204201</v>
      </c>
      <c r="AL7605">
        <v>90.137676334490806</v>
      </c>
      <c r="AM7605">
        <v>90.494222563106305</v>
      </c>
      <c r="AN7605">
        <v>0.99999998894452402</v>
      </c>
    </row>
    <row r="7606" spans="1:40" x14ac:dyDescent="0.25">
      <c r="A7606" t="str">
        <f>"20190312154112321"</f>
        <v>20190312154112321</v>
      </c>
      <c r="B7606" t="str">
        <f>"1552376472313524"</f>
        <v>1552376472313524</v>
      </c>
      <c r="C7606" t="s">
        <v>40</v>
      </c>
      <c r="D7606">
        <v>4.5864349999999998</v>
      </c>
      <c r="E7606">
        <v>0.46606700000000001</v>
      </c>
      <c r="F7606" t="s">
        <v>91</v>
      </c>
      <c r="G7606">
        <v>-279.68</v>
      </c>
      <c r="H7606">
        <v>1.0886830000000001</v>
      </c>
      <c r="I7606">
        <v>20.55912</v>
      </c>
      <c r="J7606">
        <v>-390.50310000000002</v>
      </c>
      <c r="K7606">
        <v>1.109586</v>
      </c>
      <c r="L7606">
        <v>18.812159999999999</v>
      </c>
      <c r="M7606">
        <v>0.99674030000000002</v>
      </c>
      <c r="N7606">
        <v>0</v>
      </c>
      <c r="O7606">
        <v>-8.0666379999999996E-2</v>
      </c>
      <c r="P7606">
        <v>0.99725189999999997</v>
      </c>
      <c r="Q7606">
        <v>-1.3248660000000001E-3</v>
      </c>
      <c r="R7606">
        <v>-7.4076920000000004E-2</v>
      </c>
      <c r="S7606">
        <v>3.0118100000000001</v>
      </c>
      <c r="T7606">
        <v>-5.7160849999999999E-4</v>
      </c>
      <c r="U7606">
        <v>4.7119139999999997E-2</v>
      </c>
      <c r="V7606">
        <v>-6.6010849999999996E-3</v>
      </c>
      <c r="W7606">
        <v>-2.7777890000000001E-3</v>
      </c>
      <c r="X7606">
        <v>0.99997440000000004</v>
      </c>
      <c r="Y7606">
        <v>-9.6248470000000003E-2</v>
      </c>
      <c r="Z7606" s="1">
        <v>2.4431490000000001E-5</v>
      </c>
      <c r="AA7606">
        <v>0.9953573</v>
      </c>
      <c r="AB7606">
        <v>21</v>
      </c>
      <c r="AC7606">
        <v>110.8231</v>
      </c>
      <c r="AD7606">
        <v>-2.09029999999998E-2</v>
      </c>
      <c r="AE7606">
        <v>1.7469599999999901</v>
      </c>
      <c r="AF7606">
        <v>-10.680972481505799</v>
      </c>
      <c r="AG7606">
        <v>-2.09029999999998E-2</v>
      </c>
      <c r="AH7606">
        <v>110.32101937450599</v>
      </c>
      <c r="AI7606">
        <v>90.010805553481404</v>
      </c>
      <c r="AJ7606">
        <v>95.5299815134792</v>
      </c>
      <c r="AK7606">
        <v>110.836866276145</v>
      </c>
      <c r="AL7606">
        <v>90.159155783506804</v>
      </c>
      <c r="AM7606">
        <v>90.378218499485499</v>
      </c>
      <c r="AN7606">
        <v>1.0000000455451299</v>
      </c>
    </row>
    <row r="7607" spans="1:40" x14ac:dyDescent="0.25">
      <c r="A7607" t="str">
        <f>"20190312154112334"</f>
        <v>20190312154112334</v>
      </c>
      <c r="B7607" t="str">
        <f>"1552376472324259"</f>
        <v>1552376472324259</v>
      </c>
      <c r="C7607" t="s">
        <v>40</v>
      </c>
      <c r="D7607">
        <v>4.6039519999999996</v>
      </c>
      <c r="E7607">
        <v>0.4661381</v>
      </c>
      <c r="F7607" t="s">
        <v>91</v>
      </c>
      <c r="G7607">
        <v>-279.68</v>
      </c>
      <c r="H7607">
        <v>0.93221039999999999</v>
      </c>
      <c r="I7607">
        <v>20.574059999999999</v>
      </c>
      <c r="J7607">
        <v>-390.3596</v>
      </c>
      <c r="K7607">
        <v>1.1094440000000001</v>
      </c>
      <c r="L7607">
        <v>18.802610000000001</v>
      </c>
      <c r="M7607">
        <v>0.99687720000000002</v>
      </c>
      <c r="N7607">
        <v>0</v>
      </c>
      <c r="O7607">
        <v>-7.8954099999999999E-2</v>
      </c>
      <c r="P7607">
        <v>0.99732390000000004</v>
      </c>
      <c r="Q7607">
        <v>-1.5652029999999901E-3</v>
      </c>
      <c r="R7607">
        <v>-7.3095980000000005E-2</v>
      </c>
      <c r="S7607">
        <v>3.0117799999999999</v>
      </c>
      <c r="T7607">
        <v>-4.820347E-3</v>
      </c>
      <c r="U7607">
        <v>4.788208E-2</v>
      </c>
      <c r="V7607">
        <v>-5.866291E-3</v>
      </c>
      <c r="W7607">
        <v>-3.1154899999999998E-3</v>
      </c>
      <c r="X7607">
        <v>0.99997789999999998</v>
      </c>
      <c r="Y7607">
        <v>-9.4790620000000006E-2</v>
      </c>
      <c r="Z7607">
        <v>2.021302E-4</v>
      </c>
      <c r="AA7607">
        <v>0.99549719999999997</v>
      </c>
      <c r="AB7607">
        <v>22</v>
      </c>
      <c r="AC7607">
        <v>110.67959999999999</v>
      </c>
      <c r="AD7607">
        <v>-0.17723359999999999</v>
      </c>
      <c r="AE7607">
        <v>1.77144999999999</v>
      </c>
      <c r="AF7607">
        <v>-10.5045104136048</v>
      </c>
      <c r="AG7607">
        <v>-0.17723359999999999</v>
      </c>
      <c r="AH7607">
        <v>110.193939620001</v>
      </c>
      <c r="AI7607">
        <v>90.091737359167794</v>
      </c>
      <c r="AJ7607">
        <v>95.445407239712793</v>
      </c>
      <c r="AK7607">
        <v>110.693633420152</v>
      </c>
      <c r="AL7607">
        <v>90.178504724013393</v>
      </c>
      <c r="AM7607">
        <v>90.336117288194899</v>
      </c>
      <c r="AN7607">
        <v>0.999999960068222</v>
      </c>
    </row>
    <row r="7608" spans="1:40" x14ac:dyDescent="0.25">
      <c r="A7608" t="str">
        <f>"20190312154112356"</f>
        <v>20190312154112356</v>
      </c>
      <c r="B7608" t="str">
        <f>"1552376472343779"</f>
        <v>1552376472343779</v>
      </c>
      <c r="C7608" t="s">
        <v>40</v>
      </c>
      <c r="D7608">
        <v>4.5814629999999896</v>
      </c>
      <c r="E7608">
        <v>0.46628969999999997</v>
      </c>
      <c r="F7608" t="s">
        <v>91</v>
      </c>
      <c r="G7608">
        <v>-279.68</v>
      </c>
      <c r="H7608">
        <v>0.82216699999999998</v>
      </c>
      <c r="I7608">
        <v>20.654219999999999</v>
      </c>
      <c r="J7608">
        <v>-390.15109999999999</v>
      </c>
      <c r="K7608">
        <v>1.1092439999999999</v>
      </c>
      <c r="L7608">
        <v>18.788789999999999</v>
      </c>
      <c r="M7608">
        <v>0.99704859999999995</v>
      </c>
      <c r="N7608">
        <v>0</v>
      </c>
      <c r="O7608">
        <v>-7.6756480000000002E-2</v>
      </c>
      <c r="P7608">
        <v>0.99739679999999997</v>
      </c>
      <c r="Q7608">
        <v>-1.6998740000000001E-3</v>
      </c>
      <c r="R7608">
        <v>-7.2088029999999997E-2</v>
      </c>
      <c r="S7608">
        <v>3.0117189999999998</v>
      </c>
      <c r="T7608">
        <v>-7.8170300000000009E-3</v>
      </c>
      <c r="U7608">
        <v>5.0384520000000002E-2</v>
      </c>
      <c r="V7608">
        <v>-4.6732639999999999E-3</v>
      </c>
      <c r="W7608">
        <v>-3.369627E-3</v>
      </c>
      <c r="X7608">
        <v>0.99998339999999997</v>
      </c>
      <c r="Y7608">
        <v>-9.3423080000000006E-2</v>
      </c>
      <c r="Z7608">
        <v>3.2032810000000002E-4</v>
      </c>
      <c r="AA7608">
        <v>0.99562640000000002</v>
      </c>
      <c r="AB7608">
        <v>22</v>
      </c>
      <c r="AC7608">
        <v>110.471099999999</v>
      </c>
      <c r="AD7608">
        <v>-0.28707700000000003</v>
      </c>
      <c r="AE7608">
        <v>1.8654299999999999</v>
      </c>
      <c r="AF7608">
        <v>-10.3392404358639</v>
      </c>
      <c r="AG7608">
        <v>-0.28707700000000003</v>
      </c>
      <c r="AH7608">
        <v>110.001268387076</v>
      </c>
      <c r="AI7608">
        <v>90.148871786086005</v>
      </c>
      <c r="AJ7608">
        <v>95.369570137101206</v>
      </c>
      <c r="AK7608">
        <v>110.486475881711</v>
      </c>
      <c r="AL7608">
        <v>90.193065771565301</v>
      </c>
      <c r="AM7608">
        <v>90.267760799313905</v>
      </c>
      <c r="AN7608">
        <v>0.99999999702904596</v>
      </c>
    </row>
    <row r="7609" spans="1:40" x14ac:dyDescent="0.25">
      <c r="A7609" t="str">
        <f>"20190312154112370"</f>
        <v>20190312154112370</v>
      </c>
      <c r="B7609" t="str">
        <f>"1552376472364275"</f>
        <v>1552376472364275</v>
      </c>
      <c r="C7609" t="s">
        <v>40</v>
      </c>
      <c r="D7609">
        <v>4.5436050000000003</v>
      </c>
      <c r="E7609">
        <v>0.46658149999999998</v>
      </c>
      <c r="F7609" t="s">
        <v>91</v>
      </c>
      <c r="G7609">
        <v>-279.68</v>
      </c>
      <c r="H7609">
        <v>0.69716309999999904</v>
      </c>
      <c r="I7609">
        <v>20.708629999999999</v>
      </c>
      <c r="J7609">
        <v>-390.01499999999999</v>
      </c>
      <c r="K7609">
        <v>1.109119</v>
      </c>
      <c r="L7609">
        <v>18.779789999999998</v>
      </c>
      <c r="M7609">
        <v>0.99714119999999995</v>
      </c>
      <c r="N7609">
        <v>0</v>
      </c>
      <c r="O7609">
        <v>-7.5542709999999999E-2</v>
      </c>
      <c r="P7609">
        <v>0.99745720000000004</v>
      </c>
      <c r="Q7609">
        <v>-2.1931009999999998E-3</v>
      </c>
      <c r="R7609">
        <v>-7.1235329999999999E-2</v>
      </c>
      <c r="S7609">
        <v>3.0115970000000001</v>
      </c>
      <c r="T7609">
        <v>-1.123381E-2</v>
      </c>
      <c r="U7609">
        <v>5.2337649999999999E-2</v>
      </c>
      <c r="V7609">
        <v>-4.3113400000000003E-3</v>
      </c>
      <c r="W7609">
        <v>-3.9262999999999998E-3</v>
      </c>
      <c r="X7609">
        <v>0.99998299999999996</v>
      </c>
      <c r="Y7609">
        <v>-9.2856670000000002E-2</v>
      </c>
      <c r="Z7609">
        <v>4.5478339999999997E-4</v>
      </c>
      <c r="AA7609">
        <v>0.99567939999999999</v>
      </c>
      <c r="AB7609">
        <v>22</v>
      </c>
      <c r="AC7609">
        <v>110.334999999999</v>
      </c>
      <c r="AD7609">
        <v>-0.41195589999999999</v>
      </c>
      <c r="AE7609">
        <v>1.9288400000000001</v>
      </c>
      <c r="AF7609">
        <v>-10.2582017637418</v>
      </c>
      <c r="AG7609">
        <v>-0.41195589999999999</v>
      </c>
      <c r="AH7609">
        <v>109.872483075099</v>
      </c>
      <c r="AI7609">
        <v>90.213893576875705</v>
      </c>
      <c r="AJ7609">
        <v>95.333935541614906</v>
      </c>
      <c r="AK7609">
        <v>110.35108947435501</v>
      </c>
      <c r="AL7609">
        <v>90.224960996673801</v>
      </c>
      <c r="AM7609">
        <v>90.247024254906094</v>
      </c>
      <c r="AN7609">
        <v>1.00000000188664</v>
      </c>
    </row>
    <row r="7610" spans="1:40" x14ac:dyDescent="0.25">
      <c r="A7610" t="str">
        <f>"20190312154112387"</f>
        <v>20190312154112387</v>
      </c>
      <c r="B7610" t="str">
        <f>"1552376472383795"</f>
        <v>1552376472383795</v>
      </c>
      <c r="C7610" t="s">
        <v>40</v>
      </c>
      <c r="D7610">
        <v>4.5673490000000001</v>
      </c>
      <c r="E7610">
        <v>0.46687970000000001</v>
      </c>
      <c r="F7610" t="s">
        <v>91</v>
      </c>
      <c r="G7610">
        <v>-279.68</v>
      </c>
      <c r="H7610">
        <v>0.58154019999999995</v>
      </c>
      <c r="I7610">
        <v>20.709700000000002</v>
      </c>
      <c r="J7610">
        <v>-389.83659999999998</v>
      </c>
      <c r="K7610">
        <v>1.1089560000000001</v>
      </c>
      <c r="L7610">
        <v>18.76801</v>
      </c>
      <c r="M7610">
        <v>0.99724659999999998</v>
      </c>
      <c r="N7610">
        <v>0</v>
      </c>
      <c r="O7610">
        <v>-7.4136549999999996E-2</v>
      </c>
      <c r="P7610">
        <v>0.99748559999999997</v>
      </c>
      <c r="Q7610">
        <v>-3.3305050000000001E-3</v>
      </c>
      <c r="R7610">
        <v>-7.0793679999999998E-2</v>
      </c>
      <c r="S7610">
        <v>3.0113829999999999</v>
      </c>
      <c r="T7610">
        <v>-1.4399169999999999E-2</v>
      </c>
      <c r="U7610">
        <v>5.2673339999999999E-2</v>
      </c>
      <c r="V7610">
        <v>-3.3428799999999999E-3</v>
      </c>
      <c r="W7610">
        <v>-5.13394E-3</v>
      </c>
      <c r="X7610">
        <v>0.99998120000000001</v>
      </c>
      <c r="Y7610">
        <v>-9.1564039999999999E-2</v>
      </c>
      <c r="Z7610">
        <v>5.7316699999999997E-4</v>
      </c>
      <c r="AA7610">
        <v>0.99579899999999999</v>
      </c>
      <c r="AB7610">
        <v>22</v>
      </c>
      <c r="AC7610">
        <v>110.156599999999</v>
      </c>
      <c r="AD7610">
        <v>-0.52741579999999999</v>
      </c>
      <c r="AE7610">
        <v>1.9416899999999999</v>
      </c>
      <c r="AF7610">
        <v>-10.1027576212913</v>
      </c>
      <c r="AG7610">
        <v>-0.52741579999999999</v>
      </c>
      <c r="AH7610">
        <v>109.706994564306</v>
      </c>
      <c r="AI7610">
        <v>90.274286494166603</v>
      </c>
      <c r="AJ7610">
        <v>95.261445635793805</v>
      </c>
      <c r="AK7610">
        <v>110.172449075589</v>
      </c>
      <c r="AL7610">
        <v>90.294154396392798</v>
      </c>
      <c r="AM7610">
        <v>90.191535802819402</v>
      </c>
      <c r="AN7610">
        <v>0.99999996627002796</v>
      </c>
    </row>
    <row r="7611" spans="1:40" x14ac:dyDescent="0.25">
      <c r="A7611" t="str">
        <f>"20190312154112400"</f>
        <v>20190312154112400</v>
      </c>
      <c r="B7611" t="str">
        <f>"1552376472393556"</f>
        <v>1552376472393556</v>
      </c>
      <c r="C7611" t="s">
        <v>40</v>
      </c>
      <c r="D7611">
        <v>4.5647580000000003</v>
      </c>
      <c r="E7611">
        <v>0.46704699999999999</v>
      </c>
      <c r="F7611" t="s">
        <v>91</v>
      </c>
      <c r="G7611">
        <v>-279.68</v>
      </c>
      <c r="H7611">
        <v>0.36965039999999999</v>
      </c>
      <c r="I7611">
        <v>20.660329999999998</v>
      </c>
      <c r="J7611">
        <v>-389.70209999999997</v>
      </c>
      <c r="K7611">
        <v>1.108835</v>
      </c>
      <c r="L7611">
        <v>18.759119999999999</v>
      </c>
      <c r="M7611">
        <v>0.99731460000000005</v>
      </c>
      <c r="N7611">
        <v>0</v>
      </c>
      <c r="O7611">
        <v>-7.3215260000000004E-2</v>
      </c>
      <c r="P7611">
        <v>0.99752200000000002</v>
      </c>
      <c r="Q7611">
        <v>-3.8465259999999999E-3</v>
      </c>
      <c r="R7611">
        <v>-7.0249329999999999E-2</v>
      </c>
      <c r="S7611">
        <v>3.0111690000000002</v>
      </c>
      <c r="T7611">
        <v>-2.0209069999999999E-2</v>
      </c>
      <c r="U7611">
        <v>5.1727290000000002E-2</v>
      </c>
      <c r="V7611">
        <v>-2.9652229999999999E-3</v>
      </c>
      <c r="W7611">
        <v>-5.6948509999999999E-3</v>
      </c>
      <c r="X7611">
        <v>0.99997939999999996</v>
      </c>
      <c r="Y7611">
        <v>-9.0330740000000007E-2</v>
      </c>
      <c r="Z7611">
        <v>7.9417660000000005E-4</v>
      </c>
      <c r="AA7611">
        <v>0.99591149999999995</v>
      </c>
      <c r="AB7611">
        <v>22</v>
      </c>
      <c r="AC7611">
        <v>110.022099999999</v>
      </c>
      <c r="AD7611">
        <v>-0.73918459999999997</v>
      </c>
      <c r="AE7611">
        <v>1.9012099999999901</v>
      </c>
      <c r="AF7611">
        <v>-9.9509676074581197</v>
      </c>
      <c r="AG7611">
        <v>-0.73918459999999997</v>
      </c>
      <c r="AH7611">
        <v>109.582674806591</v>
      </c>
      <c r="AI7611">
        <v>90.384896396076698</v>
      </c>
      <c r="AJ7611">
        <v>95.188675989968701</v>
      </c>
      <c r="AK7611">
        <v>110.03604304029</v>
      </c>
      <c r="AL7611">
        <v>90.326292686991806</v>
      </c>
      <c r="AM7611">
        <v>90.169897765155198</v>
      </c>
      <c r="AN7611">
        <v>1.00000001214985</v>
      </c>
    </row>
    <row r="7612" spans="1:40" x14ac:dyDescent="0.25">
      <c r="A7612" t="str">
        <f>"20190312154112412"</f>
        <v>20190312154112412</v>
      </c>
      <c r="B7612" t="str">
        <f>"1552376472403824"</f>
        <v>1552376472403824</v>
      </c>
      <c r="C7612" t="s">
        <v>40</v>
      </c>
      <c r="D7612">
        <v>4.534707</v>
      </c>
      <c r="E7612">
        <v>0.46704699999999999</v>
      </c>
      <c r="F7612" t="s">
        <v>91</v>
      </c>
      <c r="G7612">
        <v>-279.68</v>
      </c>
      <c r="H7612">
        <v>0.26385350000000002</v>
      </c>
      <c r="I7612">
        <v>20.662590000000002</v>
      </c>
      <c r="J7612">
        <v>-389.57670000000002</v>
      </c>
      <c r="K7612">
        <v>1.108725</v>
      </c>
      <c r="L7612">
        <v>18.750789999999999</v>
      </c>
      <c r="M7612">
        <v>0.99736760000000002</v>
      </c>
      <c r="N7612">
        <v>0</v>
      </c>
      <c r="O7612">
        <v>-7.2487499999999996E-2</v>
      </c>
      <c r="P7612">
        <v>0.99753429999999998</v>
      </c>
      <c r="Q7612">
        <v>-4.7904360000000003E-3</v>
      </c>
      <c r="R7612">
        <v>-7.0016620000000002E-2</v>
      </c>
      <c r="S7612">
        <v>3.011047</v>
      </c>
      <c r="T7612">
        <v>-2.3125050000000001E-2</v>
      </c>
      <c r="U7612">
        <v>5.2093510000000003E-2</v>
      </c>
      <c r="V7612">
        <v>-2.4688309999999999E-3</v>
      </c>
      <c r="W7612">
        <v>-6.6723160000000002E-3</v>
      </c>
      <c r="X7612">
        <v>0.99997469999999999</v>
      </c>
      <c r="Y7612">
        <v>-8.9724709999999999E-2</v>
      </c>
      <c r="Z7612">
        <v>9.0089599999999999E-4</v>
      </c>
      <c r="AA7612">
        <v>0.99596620000000002</v>
      </c>
      <c r="AB7612">
        <v>23</v>
      </c>
      <c r="AC7612">
        <v>109.8967</v>
      </c>
      <c r="AD7612">
        <v>-0.8448715</v>
      </c>
      <c r="AE7612">
        <v>1.91179999999999</v>
      </c>
      <c r="AF7612">
        <v>-9.8723380532810694</v>
      </c>
      <c r="AG7612">
        <v>-0.8448715</v>
      </c>
      <c r="AH7612">
        <v>109.46254657327199</v>
      </c>
      <c r="AI7612">
        <v>90.440433191856201</v>
      </c>
      <c r="AJ7612">
        <v>95.153516882252603</v>
      </c>
      <c r="AK7612">
        <v>109.910081288276</v>
      </c>
      <c r="AL7612">
        <v>90.382298380078893</v>
      </c>
      <c r="AM7612">
        <v>90.141456888084306</v>
      </c>
      <c r="AN7612">
        <v>1.0000000077836999</v>
      </c>
    </row>
    <row r="7613" spans="1:40" x14ac:dyDescent="0.25">
      <c r="A7613" t="str">
        <f>"20190312154112425"</f>
        <v>20190312154112425</v>
      </c>
      <c r="B7613" t="str">
        <f>"1552376472413584"</f>
        <v>1552376472413584</v>
      </c>
      <c r="C7613" t="s">
        <v>40</v>
      </c>
      <c r="D7613">
        <v>4.5286739999999996</v>
      </c>
      <c r="E7613">
        <v>0.47242679999999998</v>
      </c>
      <c r="F7613" t="s">
        <v>91</v>
      </c>
      <c r="G7613">
        <v>-279.68</v>
      </c>
      <c r="H7613">
        <v>0.16739029999999999</v>
      </c>
      <c r="I7613">
        <v>20.678840000000001</v>
      </c>
      <c r="J7613">
        <v>-389.45940000000002</v>
      </c>
      <c r="K7613">
        <v>1.10863</v>
      </c>
      <c r="L7613">
        <v>18.742979999999999</v>
      </c>
      <c r="M7613">
        <v>0.99741020000000002</v>
      </c>
      <c r="N7613">
        <v>0</v>
      </c>
      <c r="O7613">
        <v>-7.1900580000000006E-2</v>
      </c>
      <c r="P7613">
        <v>0.99754279999999995</v>
      </c>
      <c r="Q7613">
        <v>-5.450936E-3</v>
      </c>
      <c r="R7613">
        <v>-6.9848629999999995E-2</v>
      </c>
      <c r="S7613">
        <v>3.0110169999999998</v>
      </c>
      <c r="T7613">
        <v>-2.5791169999999999E-2</v>
      </c>
      <c r="U7613">
        <v>5.282593E-2</v>
      </c>
      <c r="V7613">
        <v>-2.0492150000000001E-3</v>
      </c>
      <c r="W7613">
        <v>-7.3587829999999998E-3</v>
      </c>
      <c r="X7613">
        <v>0.9999709</v>
      </c>
      <c r="Y7613">
        <v>-8.9379849999999997E-2</v>
      </c>
      <c r="Z7613">
        <v>9.982719000000001E-4</v>
      </c>
      <c r="AA7613">
        <v>0.99599709999999997</v>
      </c>
      <c r="AB7613">
        <v>23</v>
      </c>
      <c r="AC7613">
        <v>109.7794</v>
      </c>
      <c r="AD7613">
        <v>-0.94123969999999901</v>
      </c>
      <c r="AE7613">
        <v>1.9358599999999999</v>
      </c>
      <c r="AF7613">
        <v>-9.8233428480658596</v>
      </c>
      <c r="AG7613">
        <v>-0.94123969999999901</v>
      </c>
      <c r="AH7613">
        <v>109.348042893064</v>
      </c>
      <c r="AI7613">
        <v>90.491197081109704</v>
      </c>
      <c r="AJ7613">
        <v>95.1334184989893</v>
      </c>
      <c r="AK7613">
        <v>109.792433625578</v>
      </c>
      <c r="AL7613">
        <v>90.421630981643602</v>
      </c>
      <c r="AM7613">
        <v>90.117414623223397</v>
      </c>
      <c r="AN7613">
        <v>1.00000007590808</v>
      </c>
    </row>
    <row r="7614" spans="1:40" x14ac:dyDescent="0.25">
      <c r="A7614" t="str">
        <f>"20190312154112443"</f>
        <v>20190312154112443</v>
      </c>
      <c r="B7614" t="str">
        <f>"1552376472434083"</f>
        <v>1552376472434083</v>
      </c>
      <c r="C7614" t="s">
        <v>40</v>
      </c>
      <c r="D7614">
        <v>4.52712</v>
      </c>
      <c r="E7614">
        <v>0.4722884</v>
      </c>
      <c r="F7614" t="s">
        <v>43</v>
      </c>
      <c r="G7614">
        <v>-311.78809999999999</v>
      </c>
      <c r="H7614">
        <v>-0.05</v>
      </c>
      <c r="I7614">
        <v>19.032959999999999</v>
      </c>
      <c r="J7614">
        <v>-389.25779999999997</v>
      </c>
      <c r="K7614">
        <v>1.1084769999999999</v>
      </c>
      <c r="L7614">
        <v>18.729489999999998</v>
      </c>
      <c r="M7614">
        <v>0.99746950000000001</v>
      </c>
      <c r="N7614">
        <v>0</v>
      </c>
      <c r="O7614">
        <v>-7.107057E-2</v>
      </c>
      <c r="P7614">
        <v>0.99754500000000002</v>
      </c>
      <c r="Q7614">
        <v>-6.2334690000000002E-3</v>
      </c>
      <c r="R7614">
        <v>-6.9752729999999999E-2</v>
      </c>
      <c r="S7614">
        <v>3.0079349999999998</v>
      </c>
      <c r="T7614">
        <v>-4.4869659999999999E-2</v>
      </c>
      <c r="U7614">
        <v>1.1230469999999999E-2</v>
      </c>
      <c r="V7614">
        <v>-1.3148980000000001E-3</v>
      </c>
      <c r="W7614">
        <v>-8.1756910000000006E-3</v>
      </c>
      <c r="X7614">
        <v>0.99996569999999996</v>
      </c>
      <c r="Y7614">
        <v>-7.4778150000000002E-2</v>
      </c>
      <c r="Z7614">
        <v>1.6171740000000001E-3</v>
      </c>
      <c r="AA7614">
        <v>0.9971989</v>
      </c>
      <c r="AB7614">
        <v>23</v>
      </c>
      <c r="AC7614">
        <v>77.469699999999904</v>
      </c>
      <c r="AD7614">
        <v>-1.158477</v>
      </c>
      <c r="AE7614">
        <v>0.30347000000000002</v>
      </c>
      <c r="AF7614">
        <v>-5.80722958194408</v>
      </c>
      <c r="AG7614">
        <v>-1.158477</v>
      </c>
      <c r="AH7614">
        <v>77.234962024031205</v>
      </c>
      <c r="AI7614">
        <v>90.856918587998805</v>
      </c>
      <c r="AJ7614">
        <v>94.299928900510594</v>
      </c>
      <c r="AK7614">
        <v>77.461637881150395</v>
      </c>
      <c r="AL7614">
        <v>90.468437814094202</v>
      </c>
      <c r="AM7614">
        <v>90.075340646652606</v>
      </c>
      <c r="AN7614">
        <v>0.99999998602828299</v>
      </c>
    </row>
    <row r="7615" spans="1:40" x14ac:dyDescent="0.25">
      <c r="A7615" t="str">
        <f>"20190312154112454"</f>
        <v>20190312154112454</v>
      </c>
      <c r="B7615" t="str">
        <f>"1552376472443840"</f>
        <v>1552376472443840</v>
      </c>
      <c r="C7615" t="s">
        <v>40</v>
      </c>
      <c r="D7615">
        <v>4.4716719999999999</v>
      </c>
      <c r="E7615">
        <v>0.47247519999999998</v>
      </c>
      <c r="F7615" t="s">
        <v>43</v>
      </c>
      <c r="G7615">
        <v>-312.31229999999999</v>
      </c>
      <c r="H7615">
        <v>-0.05</v>
      </c>
      <c r="I7615">
        <v>19.0519</v>
      </c>
      <c r="J7615">
        <v>-389.13819999999998</v>
      </c>
      <c r="K7615">
        <v>1.1083909999999999</v>
      </c>
      <c r="L7615">
        <v>18.72147</v>
      </c>
      <c r="M7615">
        <v>0.99749770000000004</v>
      </c>
      <c r="N7615">
        <v>0</v>
      </c>
      <c r="O7615">
        <v>-7.0672189999999996E-2</v>
      </c>
      <c r="P7615">
        <v>0.99754670000000001</v>
      </c>
      <c r="Q7615">
        <v>-6.2916279999999996E-3</v>
      </c>
      <c r="R7615">
        <v>-6.9720539999999998E-2</v>
      </c>
      <c r="S7615">
        <v>3.007965</v>
      </c>
      <c r="T7615">
        <v>-4.528737E-2</v>
      </c>
      <c r="U7615">
        <v>1.260376E-2</v>
      </c>
      <c r="V7615">
        <v>-9.4917540000000005E-4</v>
      </c>
      <c r="W7615">
        <v>-8.2490010000000006E-3</v>
      </c>
      <c r="X7615">
        <v>0.99996549999999995</v>
      </c>
      <c r="Y7615">
        <v>-7.4834849999999994E-2</v>
      </c>
      <c r="Z7615">
        <v>1.6266539999999999E-3</v>
      </c>
      <c r="AA7615">
        <v>0.99719460000000004</v>
      </c>
      <c r="AB7615">
        <v>23</v>
      </c>
      <c r="AC7615">
        <v>76.825899999999905</v>
      </c>
      <c r="AD7615">
        <v>-1.1583909999999999</v>
      </c>
      <c r="AE7615">
        <v>0.330429999999999</v>
      </c>
      <c r="AF7615">
        <v>-5.7577596488664797</v>
      </c>
      <c r="AG7615">
        <v>-1.1583909999999999</v>
      </c>
      <c r="AH7615">
        <v>76.593038026514705</v>
      </c>
      <c r="AI7615">
        <v>90.864036191438402</v>
      </c>
      <c r="AJ7615">
        <v>94.299033136443597</v>
      </c>
      <c r="AK7615">
        <v>76.817882944104397</v>
      </c>
      <c r="AL7615">
        <v>90.472638315050304</v>
      </c>
      <c r="AM7615">
        <v>90.054385604407798</v>
      </c>
      <c r="AN7615">
        <v>0.99999997407084296</v>
      </c>
    </row>
    <row r="7616" spans="1:40" x14ac:dyDescent="0.25">
      <c r="A7616" t="str">
        <f>"20190312154112466"</f>
        <v>20190312154112466</v>
      </c>
      <c r="B7616" t="str">
        <f>"1552376472453599"</f>
        <v>1552376472453599</v>
      </c>
      <c r="C7616" t="s">
        <v>40</v>
      </c>
      <c r="D7616">
        <v>4.471927</v>
      </c>
      <c r="E7616">
        <v>0.47247879999999998</v>
      </c>
      <c r="F7616" t="s">
        <v>43</v>
      </c>
      <c r="G7616">
        <v>-309.07249999999999</v>
      </c>
      <c r="H7616">
        <v>-0.05</v>
      </c>
      <c r="I7616">
        <v>19.01717</v>
      </c>
      <c r="J7616">
        <v>-389.02289999999999</v>
      </c>
      <c r="K7616">
        <v>1.1083130000000001</v>
      </c>
      <c r="L7616">
        <v>18.713650000000001</v>
      </c>
      <c r="M7616">
        <v>0.99751780000000001</v>
      </c>
      <c r="N7616">
        <v>0</v>
      </c>
      <c r="O7616">
        <v>-7.0389599999999997E-2</v>
      </c>
      <c r="P7616">
        <v>0.99757300000000004</v>
      </c>
      <c r="Q7616">
        <v>-5.7768339999999998E-3</v>
      </c>
      <c r="R7616">
        <v>-6.9391030000000006E-2</v>
      </c>
      <c r="S7616">
        <v>3.0078740000000002</v>
      </c>
      <c r="T7616">
        <v>-4.351795E-2</v>
      </c>
      <c r="U7616">
        <v>1.1108399999999999E-2</v>
      </c>
      <c r="V7616">
        <v>-9.9829220000000008E-4</v>
      </c>
      <c r="W7616">
        <v>-7.7434039999999997E-3</v>
      </c>
      <c r="X7616">
        <v>0.99996949999999996</v>
      </c>
      <c r="Y7616">
        <v>-7.4058059999999995E-2</v>
      </c>
      <c r="Z7616">
        <v>1.5534500000000001E-3</v>
      </c>
      <c r="AA7616">
        <v>0.99725269999999999</v>
      </c>
      <c r="AB7616">
        <v>23</v>
      </c>
      <c r="AC7616">
        <v>79.950400000000002</v>
      </c>
      <c r="AD7616">
        <v>-1.1583129999999999</v>
      </c>
      <c r="AE7616">
        <v>0.30351999999999801</v>
      </c>
      <c r="AF7616">
        <v>-5.9292092662323004</v>
      </c>
      <c r="AG7616">
        <v>-1.1583129999999999</v>
      </c>
      <c r="AH7616">
        <v>79.713992050486794</v>
      </c>
      <c r="AI7616">
        <v>90.830205381236894</v>
      </c>
      <c r="AJ7616">
        <v>94.253886016675096</v>
      </c>
      <c r="AK7616">
        <v>79.942590276734407</v>
      </c>
      <c r="AL7616">
        <v>90.443668811449299</v>
      </c>
      <c r="AM7616">
        <v>90.057199655368194</v>
      </c>
      <c r="AN7616">
        <v>0.99999997891153602</v>
      </c>
    </row>
    <row r="7617" spans="1:40" x14ac:dyDescent="0.25">
      <c r="A7617" t="str">
        <f>"20190312154112478"</f>
        <v>20190312154112478</v>
      </c>
      <c r="B7617" t="str">
        <f>"1552376472474096"</f>
        <v>1552376472474096</v>
      </c>
      <c r="C7617" t="s">
        <v>40</v>
      </c>
      <c r="D7617">
        <v>4.4701019999999998</v>
      </c>
      <c r="E7617">
        <v>0.47259620000000002</v>
      </c>
      <c r="F7617" t="s">
        <v>43</v>
      </c>
      <c r="G7617">
        <v>-300.2953</v>
      </c>
      <c r="H7617">
        <v>-0.05</v>
      </c>
      <c r="I7617">
        <v>19.06654</v>
      </c>
      <c r="J7617">
        <v>-388.89940000000001</v>
      </c>
      <c r="K7617">
        <v>1.108231</v>
      </c>
      <c r="L7617">
        <v>18.70532</v>
      </c>
      <c r="M7617">
        <v>0.99753689999999995</v>
      </c>
      <c r="N7617">
        <v>0</v>
      </c>
      <c r="O7617">
        <v>-7.0117380000000007E-2</v>
      </c>
      <c r="P7617">
        <v>0.99759549999999997</v>
      </c>
      <c r="Q7617">
        <v>-5.3754090000000003E-3</v>
      </c>
      <c r="R7617">
        <v>-6.9099369999999993E-2</v>
      </c>
      <c r="S7617">
        <v>3.0078740000000002</v>
      </c>
      <c r="T7617">
        <v>-3.926694E-2</v>
      </c>
      <c r="U7617">
        <v>1.196289E-2</v>
      </c>
      <c r="V7617">
        <v>-1.019275E-3</v>
      </c>
      <c r="W7617">
        <v>-7.3500909999999996E-3</v>
      </c>
      <c r="X7617">
        <v>0.99997250000000004</v>
      </c>
      <c r="Y7617">
        <v>-7.4072040000000006E-2</v>
      </c>
      <c r="Z7617">
        <v>1.3982619999999999E-3</v>
      </c>
      <c r="AA7617">
        <v>0.99725189999999997</v>
      </c>
      <c r="AB7617">
        <v>23</v>
      </c>
      <c r="AC7617">
        <v>88.604100000000003</v>
      </c>
      <c r="AD7617">
        <v>-1.158231</v>
      </c>
      <c r="AE7617">
        <v>0.36121999999999899</v>
      </c>
      <c r="AF7617">
        <v>-6.5719067761295404</v>
      </c>
      <c r="AG7617">
        <v>-1.158231</v>
      </c>
      <c r="AH7617">
        <v>88.345598347909103</v>
      </c>
      <c r="AI7617">
        <v>90.749048346289101</v>
      </c>
      <c r="AJ7617">
        <v>94.254317952421104</v>
      </c>
      <c r="AK7617">
        <v>88.597269738821893</v>
      </c>
      <c r="AL7617">
        <v>90.4211329718906</v>
      </c>
      <c r="AM7617">
        <v>90.058401741485596</v>
      </c>
      <c r="AN7617">
        <v>1.00000003175774</v>
      </c>
    </row>
    <row r="7618" spans="1:40" x14ac:dyDescent="0.25">
      <c r="A7618" t="str">
        <f>"20190312154112489"</f>
        <v>20190312154112489</v>
      </c>
      <c r="B7618" t="str">
        <f>"1552376472483855"</f>
        <v>1552376472483855</v>
      </c>
      <c r="C7618" t="s">
        <v>40</v>
      </c>
      <c r="D7618">
        <v>4.4645739999999998</v>
      </c>
      <c r="E7618">
        <v>0.47268399999999999</v>
      </c>
      <c r="F7618" t="s">
        <v>43</v>
      </c>
      <c r="G7618">
        <v>-286.26920000000001</v>
      </c>
      <c r="H7618">
        <v>-0.05</v>
      </c>
      <c r="I7618">
        <v>19.105180000000001</v>
      </c>
      <c r="J7618">
        <v>-388.7704</v>
      </c>
      <c r="K7618">
        <v>1.108155</v>
      </c>
      <c r="L7618">
        <v>18.696470000000001</v>
      </c>
      <c r="M7618">
        <v>0.99754880000000001</v>
      </c>
      <c r="N7618">
        <v>0</v>
      </c>
      <c r="O7618">
        <v>-6.9948179999999999E-2</v>
      </c>
      <c r="P7618">
        <v>0.99760760000000004</v>
      </c>
      <c r="Q7618">
        <v>-5.2339489999999999E-3</v>
      </c>
      <c r="R7618">
        <v>-6.8934280000000001E-2</v>
      </c>
      <c r="S7618">
        <v>3.0078429999999998</v>
      </c>
      <c r="T7618">
        <v>-3.3944960000000003E-2</v>
      </c>
      <c r="U7618">
        <v>1.171875E-2</v>
      </c>
      <c r="V7618">
        <v>-1.0164149999999999E-3</v>
      </c>
      <c r="W7618">
        <v>-7.2110769999999998E-3</v>
      </c>
      <c r="X7618">
        <v>0.99997349999999996</v>
      </c>
      <c r="Y7618">
        <v>-7.3825139999999997E-2</v>
      </c>
      <c r="Z7618">
        <v>1.2054769999999999E-3</v>
      </c>
      <c r="AA7618">
        <v>0.99727049999999995</v>
      </c>
      <c r="AB7618">
        <v>24</v>
      </c>
      <c r="AC7618">
        <v>102.501199999999</v>
      </c>
      <c r="AD7618">
        <v>-1.1581549999999901</v>
      </c>
      <c r="AE7618">
        <v>0.40870999999999502</v>
      </c>
      <c r="AF7618">
        <v>-7.5765271130342997</v>
      </c>
      <c r="AG7618">
        <v>-1.1581549999999901</v>
      </c>
      <c r="AH7618">
        <v>102.208498422734</v>
      </c>
      <c r="AI7618">
        <v>90.647431569013094</v>
      </c>
      <c r="AJ7618">
        <v>94.239476318940305</v>
      </c>
      <c r="AK7618">
        <v>102.495474221688</v>
      </c>
      <c r="AL7618">
        <v>90.413167851752405</v>
      </c>
      <c r="AM7618">
        <v>90.058237812980096</v>
      </c>
      <c r="AN7618">
        <v>1.0000000167166001</v>
      </c>
    </row>
    <row r="7619" spans="1:40" x14ac:dyDescent="0.25">
      <c r="A7619" t="str">
        <f>"20190312154112502"</f>
        <v>20190312154112502</v>
      </c>
      <c r="B7619" t="str">
        <f>"1552376472493615"</f>
        <v>1552376472493615</v>
      </c>
      <c r="C7619" t="s">
        <v>40</v>
      </c>
      <c r="D7619">
        <v>4.4778219999999997</v>
      </c>
      <c r="E7619">
        <v>0.4728929</v>
      </c>
      <c r="F7619" t="s">
        <v>43</v>
      </c>
      <c r="G7619">
        <v>-280.20330000000001</v>
      </c>
      <c r="H7619">
        <v>-0.05</v>
      </c>
      <c r="I7619">
        <v>19.109559999999998</v>
      </c>
      <c r="J7619">
        <v>-388.64010000000002</v>
      </c>
      <c r="K7619">
        <v>1.108082</v>
      </c>
      <c r="L7619">
        <v>18.687560000000001</v>
      </c>
      <c r="M7619">
        <v>0.99755760000000004</v>
      </c>
      <c r="N7619">
        <v>0</v>
      </c>
      <c r="O7619">
        <v>-6.9821679999999997E-2</v>
      </c>
      <c r="P7619">
        <v>0.99763610000000003</v>
      </c>
      <c r="Q7619">
        <v>-5.4703019999999998E-3</v>
      </c>
      <c r="R7619">
        <v>-6.850291E-2</v>
      </c>
      <c r="S7619">
        <v>3.0078130000000001</v>
      </c>
      <c r="T7619">
        <v>-3.2086249999999997E-2</v>
      </c>
      <c r="U7619">
        <v>1.1444090000000001E-2</v>
      </c>
      <c r="V7619">
        <v>-1.323011E-3</v>
      </c>
      <c r="W7619">
        <v>-7.4473630000000002E-3</v>
      </c>
      <c r="X7619">
        <v>0.99997139999999995</v>
      </c>
      <c r="Y7619">
        <v>-7.3608629999999994E-2</v>
      </c>
      <c r="Z7619">
        <v>1.1369819999999999E-3</v>
      </c>
      <c r="AA7619">
        <v>0.99728660000000002</v>
      </c>
      <c r="AB7619">
        <v>24</v>
      </c>
      <c r="AC7619">
        <v>108.43680000000001</v>
      </c>
      <c r="AD7619">
        <v>-1.1580820000000001</v>
      </c>
      <c r="AE7619">
        <v>0.42199999999999999</v>
      </c>
      <c r="AF7619">
        <v>-7.99131245489506</v>
      </c>
      <c r="AG7619">
        <v>-1.1580820000000001</v>
      </c>
      <c r="AH7619">
        <v>108.130360003476</v>
      </c>
      <c r="AI7619">
        <v>90.611948647249207</v>
      </c>
      <c r="AJ7619">
        <v>94.226727742627801</v>
      </c>
      <c r="AK7619">
        <v>108.431439090108</v>
      </c>
      <c r="AL7619">
        <v>90.426706409811601</v>
      </c>
      <c r="AM7619">
        <v>90.075805070344401</v>
      </c>
      <c r="AN7619">
        <v>1.0000000071958599</v>
      </c>
    </row>
    <row r="7620" spans="1:40" x14ac:dyDescent="0.25">
      <c r="A7620" t="str">
        <f>"20190312154112521"</f>
        <v>20190312154112521</v>
      </c>
      <c r="B7620" t="str">
        <f>"1552376472514619"</f>
        <v>1552376472514619</v>
      </c>
      <c r="C7620" t="s">
        <v>40</v>
      </c>
      <c r="D7620">
        <v>4.474316</v>
      </c>
      <c r="E7620">
        <v>0.4731244</v>
      </c>
      <c r="F7620" t="s">
        <v>43</v>
      </c>
      <c r="G7620">
        <v>-281.5539</v>
      </c>
      <c r="H7620">
        <v>-0.05</v>
      </c>
      <c r="I7620">
        <v>19.081969999999998</v>
      </c>
      <c r="J7620">
        <v>-388.43380000000002</v>
      </c>
      <c r="K7620">
        <v>1.107982</v>
      </c>
      <c r="L7620">
        <v>18.673249999999999</v>
      </c>
      <c r="M7620">
        <v>0.99756259999999997</v>
      </c>
      <c r="N7620">
        <v>0</v>
      </c>
      <c r="O7620">
        <v>-6.9750210000000007E-2</v>
      </c>
      <c r="P7620">
        <v>0.99765559999999998</v>
      </c>
      <c r="Q7620">
        <v>-6.090023E-3</v>
      </c>
      <c r="R7620">
        <v>-6.8167430000000001E-2</v>
      </c>
      <c r="S7620">
        <v>3.0076900000000002</v>
      </c>
      <c r="T7620">
        <v>-3.2526609999999997E-2</v>
      </c>
      <c r="U7620">
        <v>1.107788E-2</v>
      </c>
      <c r="V7620">
        <v>-1.5895480000000001E-3</v>
      </c>
      <c r="W7620">
        <v>-8.0599499999999998E-3</v>
      </c>
      <c r="X7620">
        <v>0.99996629999999997</v>
      </c>
      <c r="Y7620">
        <v>-7.3415699999999903E-2</v>
      </c>
      <c r="Z7620">
        <v>1.1508169999999999E-3</v>
      </c>
      <c r="AA7620">
        <v>0.99730070000000004</v>
      </c>
      <c r="AB7620">
        <v>24</v>
      </c>
      <c r="AC7620">
        <v>106.87990000000001</v>
      </c>
      <c r="AD7620">
        <v>-1.1579820000000001</v>
      </c>
      <c r="AE7620">
        <v>0.40872000000000203</v>
      </c>
      <c r="AF7620">
        <v>-7.8617112348454903</v>
      </c>
      <c r="AG7620">
        <v>-1.1579820000000001</v>
      </c>
      <c r="AH7620">
        <v>106.57857289349499</v>
      </c>
      <c r="AI7620">
        <v>90.620810718447899</v>
      </c>
      <c r="AJ7620">
        <v>94.218751814115393</v>
      </c>
      <c r="AK7620">
        <v>106.87441052874399</v>
      </c>
      <c r="AL7620">
        <v>90.461806097295906</v>
      </c>
      <c r="AM7620">
        <v>90.091077384331498</v>
      </c>
      <c r="AN7620">
        <v>1.0000000452962601</v>
      </c>
    </row>
    <row r="7621" spans="1:40" x14ac:dyDescent="0.25">
      <c r="A7621" t="str">
        <f>"20190312154112534"</f>
        <v>20190312154112534</v>
      </c>
      <c r="B7621" t="str">
        <f>"1552376472524378"</f>
        <v>1552376472524378</v>
      </c>
      <c r="C7621" t="s">
        <v>40</v>
      </c>
      <c r="D7621">
        <v>4.423381</v>
      </c>
      <c r="E7621">
        <v>0.4731244</v>
      </c>
      <c r="F7621" t="s">
        <v>92</v>
      </c>
      <c r="G7621">
        <v>-279.68</v>
      </c>
      <c r="H7621">
        <v>-4.6521430000000003E-2</v>
      </c>
      <c r="I7621">
        <v>19.04073</v>
      </c>
      <c r="J7621">
        <v>-388.29730000000001</v>
      </c>
      <c r="K7621">
        <v>1.1079270000000001</v>
      </c>
      <c r="L7621">
        <v>18.663730000000001</v>
      </c>
      <c r="M7621">
        <v>0.99756080000000003</v>
      </c>
      <c r="N7621">
        <v>0</v>
      </c>
      <c r="O7621">
        <v>-6.9777770000000003E-2</v>
      </c>
      <c r="P7621">
        <v>0.997641</v>
      </c>
      <c r="Q7621">
        <v>-6.8936529999999996E-3</v>
      </c>
      <c r="R7621">
        <v>-6.8301890000000004E-2</v>
      </c>
      <c r="S7621">
        <v>3.0075069999999999</v>
      </c>
      <c r="T7621">
        <v>-3.1926870000000003E-2</v>
      </c>
      <c r="U7621">
        <v>1.0162350000000001E-2</v>
      </c>
      <c r="V7621">
        <v>-1.4832070000000001E-3</v>
      </c>
      <c r="W7621">
        <v>-8.8550209999999994E-3</v>
      </c>
      <c r="X7621">
        <v>0.99995970000000001</v>
      </c>
      <c r="Y7621">
        <v>-7.3140199999999905E-2</v>
      </c>
      <c r="Z7621">
        <v>1.1284960000000001E-3</v>
      </c>
      <c r="AA7621">
        <v>0.99732100000000001</v>
      </c>
      <c r="AB7621">
        <v>24</v>
      </c>
      <c r="AC7621">
        <v>108.6173</v>
      </c>
      <c r="AD7621">
        <v>-1.15444843</v>
      </c>
      <c r="AE7621">
        <v>0.377000000000002</v>
      </c>
      <c r="AF7621">
        <v>-7.9542688147802201</v>
      </c>
      <c r="AG7621">
        <v>-1.15444843</v>
      </c>
      <c r="AH7621">
        <v>108.3140089977</v>
      </c>
      <c r="AI7621">
        <v>90.609015368424394</v>
      </c>
      <c r="AJ7621">
        <v>94.200097441016197</v>
      </c>
      <c r="AK7621">
        <v>108.611821127854</v>
      </c>
      <c r="AL7621">
        <v>90.507361958161695</v>
      </c>
      <c r="AM7621">
        <v>90.084984863812295</v>
      </c>
      <c r="AN7621">
        <v>1.000000006462</v>
      </c>
    </row>
    <row r="7622" spans="1:40" x14ac:dyDescent="0.25">
      <c r="A7622" t="str">
        <f>"20190312154112546"</f>
        <v>20190312154112546</v>
      </c>
      <c r="B7622" t="str">
        <f>"1552376472534138"</f>
        <v>1552376472534138</v>
      </c>
      <c r="C7622" t="s">
        <v>40</v>
      </c>
      <c r="D7622">
        <v>4.429754</v>
      </c>
      <c r="E7622">
        <v>0.47625909999999999</v>
      </c>
      <c r="F7622" t="s">
        <v>43</v>
      </c>
      <c r="G7622">
        <v>-286.82780000000002</v>
      </c>
      <c r="H7622">
        <v>-0.05</v>
      </c>
      <c r="I7622">
        <v>18.993189999999998</v>
      </c>
      <c r="J7622">
        <v>-388.16090000000003</v>
      </c>
      <c r="K7622">
        <v>1.1078779999999999</v>
      </c>
      <c r="L7622">
        <v>18.654109999999999</v>
      </c>
      <c r="M7622">
        <v>0.99755439999999995</v>
      </c>
      <c r="N7622">
        <v>0</v>
      </c>
      <c r="O7622">
        <v>-6.9866979999999995E-2</v>
      </c>
      <c r="P7622">
        <v>0.99762720000000005</v>
      </c>
      <c r="Q7622">
        <v>-7.7422319999999999E-3</v>
      </c>
      <c r="R7622">
        <v>-6.8410369999999998E-2</v>
      </c>
      <c r="S7622">
        <v>3.007568</v>
      </c>
      <c r="T7622">
        <v>-3.4321070000000002E-2</v>
      </c>
      <c r="U7622">
        <v>9.765625E-3</v>
      </c>
      <c r="V7622">
        <v>-1.465077E-3</v>
      </c>
      <c r="W7622">
        <v>-9.6917449999999999E-3</v>
      </c>
      <c r="X7622">
        <v>0.99995199999999995</v>
      </c>
      <c r="Y7622">
        <v>-7.3096519999999998E-2</v>
      </c>
      <c r="Z7622">
        <v>1.2138590000000001E-3</v>
      </c>
      <c r="AA7622">
        <v>0.99732410000000005</v>
      </c>
      <c r="AB7622">
        <v>24</v>
      </c>
      <c r="AC7622">
        <v>101.3331</v>
      </c>
      <c r="AD7622">
        <v>-1.157878</v>
      </c>
      <c r="AE7622">
        <v>0.33907999999999899</v>
      </c>
      <c r="AF7622">
        <v>-7.4171342022064097</v>
      </c>
      <c r="AG7622">
        <v>-1.157878</v>
      </c>
      <c r="AH7622">
        <v>101.048589367657</v>
      </c>
      <c r="AI7622">
        <v>90.6547408962699</v>
      </c>
      <c r="AJ7622">
        <v>94.198076659242602</v>
      </c>
      <c r="AK7622">
        <v>101.327054503868</v>
      </c>
      <c r="AL7622">
        <v>90.555304756292202</v>
      </c>
      <c r="AM7622">
        <v>90.083946698137794</v>
      </c>
      <c r="AN7622">
        <v>1.0000000393378701</v>
      </c>
    </row>
    <row r="7623" spans="1:40" x14ac:dyDescent="0.25">
      <c r="A7623" t="str">
        <f>"20190312154112560"</f>
        <v>20190312154112560</v>
      </c>
      <c r="B7623" t="str">
        <f>"1552376472553658"</f>
        <v>1552376472553658</v>
      </c>
      <c r="C7623" t="s">
        <v>40</v>
      </c>
      <c r="D7623">
        <v>4.4414160000000003</v>
      </c>
      <c r="E7623">
        <v>0.47536970000000001</v>
      </c>
      <c r="F7623" t="s">
        <v>92</v>
      </c>
      <c r="G7623">
        <v>-279.68</v>
      </c>
      <c r="H7623">
        <v>0.34657290000000002</v>
      </c>
      <c r="I7623">
        <v>18.067080000000001</v>
      </c>
      <c r="J7623">
        <v>-388.01170000000002</v>
      </c>
      <c r="K7623">
        <v>1.1078269999999999</v>
      </c>
      <c r="L7623">
        <v>18.64359</v>
      </c>
      <c r="M7623">
        <v>0.99754480000000001</v>
      </c>
      <c r="N7623">
        <v>0</v>
      </c>
      <c r="O7623">
        <v>-7.0005189999999995E-2</v>
      </c>
      <c r="P7623">
        <v>0.99759710000000001</v>
      </c>
      <c r="Q7623">
        <v>-8.4886700000000002E-3</v>
      </c>
      <c r="R7623">
        <v>-6.8761829999999996E-2</v>
      </c>
      <c r="S7623">
        <v>3.0058289999999999</v>
      </c>
      <c r="T7623">
        <v>-2.1094439999999999E-2</v>
      </c>
      <c r="U7623">
        <v>-1.6265870000000002E-2</v>
      </c>
      <c r="V7623">
        <v>-1.252885E-3</v>
      </c>
      <c r="W7623">
        <v>-1.042328E-2</v>
      </c>
      <c r="X7623">
        <v>0.99994490000000003</v>
      </c>
      <c r="Y7623">
        <v>-6.4602880000000001E-2</v>
      </c>
      <c r="Z7623">
        <v>7.1763389999999995E-4</v>
      </c>
      <c r="AA7623">
        <v>0.99791079999999999</v>
      </c>
      <c r="AB7623">
        <v>24</v>
      </c>
      <c r="AC7623">
        <v>108.3317</v>
      </c>
      <c r="AD7623">
        <v>-0.76125410000000004</v>
      </c>
      <c r="AE7623">
        <v>-0.57651000000000197</v>
      </c>
      <c r="AF7623">
        <v>-7.00835340315491</v>
      </c>
      <c r="AG7623">
        <v>-0.76125410000000004</v>
      </c>
      <c r="AH7623">
        <v>108.10094190836899</v>
      </c>
      <c r="AI7623">
        <v>90.402628825722104</v>
      </c>
      <c r="AJ7623">
        <v>93.709383941270502</v>
      </c>
      <c r="AK7623">
        <v>108.33055970826</v>
      </c>
      <c r="AL7623">
        <v>90.597220761935105</v>
      </c>
      <c r="AM7623">
        <v>90.071788940720893</v>
      </c>
      <c r="AN7623">
        <v>1.0000000087613901</v>
      </c>
    </row>
    <row r="7624" spans="1:40" x14ac:dyDescent="0.25">
      <c r="A7624" t="str">
        <f>"20190312154112577"</f>
        <v>20190312154112577</v>
      </c>
      <c r="B7624" t="str">
        <f>"1552376472564393"</f>
        <v>1552376472564393</v>
      </c>
      <c r="C7624" t="s">
        <v>40</v>
      </c>
      <c r="D7624">
        <v>4.4456480000000003</v>
      </c>
      <c r="E7624">
        <v>0.47547210000000001</v>
      </c>
      <c r="F7624" t="s">
        <v>92</v>
      </c>
      <c r="G7624">
        <v>-279.68</v>
      </c>
      <c r="H7624">
        <v>0.21311720000000001</v>
      </c>
      <c r="I7624">
        <v>18.278479999999998</v>
      </c>
      <c r="J7624">
        <v>-387.82979999999998</v>
      </c>
      <c r="K7624">
        <v>1.107764</v>
      </c>
      <c r="L7624">
        <v>18.630579999999998</v>
      </c>
      <c r="M7624">
        <v>0.99752750000000001</v>
      </c>
      <c r="N7624">
        <v>0</v>
      </c>
      <c r="O7624">
        <v>-7.0252590000000004E-2</v>
      </c>
      <c r="P7624">
        <v>0.99751389999999995</v>
      </c>
      <c r="Q7624">
        <v>-8.8276339999999991E-3</v>
      </c>
      <c r="R7624">
        <v>-6.9915550000000007E-2</v>
      </c>
      <c r="S7624">
        <v>3.006256</v>
      </c>
      <c r="T7624">
        <v>-2.4828550000000001E-2</v>
      </c>
      <c r="U7624">
        <v>-1.013184E-2</v>
      </c>
      <c r="V7624">
        <v>-3.455121E-4</v>
      </c>
      <c r="W7624">
        <v>-1.074076E-2</v>
      </c>
      <c r="X7624">
        <v>0.9999422</v>
      </c>
      <c r="Y7624">
        <v>-6.6885730000000004E-2</v>
      </c>
      <c r="Z7624">
        <v>8.5602469999999996E-4</v>
      </c>
      <c r="AA7624">
        <v>0.99776030000000004</v>
      </c>
      <c r="AB7624">
        <v>25</v>
      </c>
      <c r="AC7624">
        <v>108.149799999999</v>
      </c>
      <c r="AD7624">
        <v>-0.89464679999999996</v>
      </c>
      <c r="AE7624">
        <v>-0.35210000000000002</v>
      </c>
      <c r="AF7624">
        <v>-7.24609081235067</v>
      </c>
      <c r="AG7624">
        <v>-0.89464679999999996</v>
      </c>
      <c r="AH7624">
        <v>107.899938651018</v>
      </c>
      <c r="AI7624">
        <v>90.4739865667282</v>
      </c>
      <c r="AJ7624">
        <v>93.841966797654607</v>
      </c>
      <c r="AK7624">
        <v>108.146673484907</v>
      </c>
      <c r="AL7624">
        <v>90.615412084756102</v>
      </c>
      <c r="AM7624">
        <v>90.019797528609999</v>
      </c>
      <c r="AN7624">
        <v>0.99999994332241204</v>
      </c>
    </row>
    <row r="7625" spans="1:40" x14ac:dyDescent="0.25">
      <c r="A7625" t="str">
        <f>"20190312154112589"</f>
        <v>20190312154112589</v>
      </c>
      <c r="B7625" t="str">
        <f>"1552376472583914"</f>
        <v>1552376472583914</v>
      </c>
      <c r="C7625" t="s">
        <v>40</v>
      </c>
      <c r="D7625">
        <v>4.4515789999999997</v>
      </c>
      <c r="E7625">
        <v>0.4761224</v>
      </c>
      <c r="F7625" t="s">
        <v>92</v>
      </c>
      <c r="G7625">
        <v>-279.68</v>
      </c>
      <c r="H7625">
        <v>0.1473979</v>
      </c>
      <c r="I7625">
        <v>18.113489999999999</v>
      </c>
      <c r="J7625">
        <v>-387.69200000000001</v>
      </c>
      <c r="K7625">
        <v>1.1077239999999999</v>
      </c>
      <c r="L7625">
        <v>18.620640000000002</v>
      </c>
      <c r="M7625">
        <v>0.9975098</v>
      </c>
      <c r="N7625">
        <v>0</v>
      </c>
      <c r="O7625">
        <v>-7.0504199999999906E-2</v>
      </c>
      <c r="P7625">
        <v>0.99745899999999998</v>
      </c>
      <c r="Q7625">
        <v>-8.6107219999999995E-3</v>
      </c>
      <c r="R7625">
        <v>-7.0722160000000006E-2</v>
      </c>
      <c r="S7625">
        <v>3.006256</v>
      </c>
      <c r="T7625">
        <v>-2.669537E-2</v>
      </c>
      <c r="U7625">
        <v>-1.4373779999999999E-2</v>
      </c>
      <c r="V7625">
        <v>2.0976680000000001E-4</v>
      </c>
      <c r="W7625">
        <v>-1.050412E-2</v>
      </c>
      <c r="X7625">
        <v>0.99994479999999997</v>
      </c>
      <c r="Y7625">
        <v>-6.5728809999999999E-2</v>
      </c>
      <c r="Z7625">
        <v>9.1746820000000002E-4</v>
      </c>
      <c r="AA7625">
        <v>0.99783710000000003</v>
      </c>
      <c r="AB7625">
        <v>25</v>
      </c>
      <c r="AC7625">
        <v>108.01199999999901</v>
      </c>
      <c r="AD7625">
        <v>-0.96032609999999996</v>
      </c>
      <c r="AE7625">
        <v>-0.50714999999999899</v>
      </c>
      <c r="AF7625">
        <v>-7.1088625550987103</v>
      </c>
      <c r="AG7625">
        <v>-0.96032609999999996</v>
      </c>
      <c r="AH7625">
        <v>107.770446712131</v>
      </c>
      <c r="AI7625">
        <v>90.509433444882902</v>
      </c>
      <c r="AJ7625">
        <v>93.773934536638293</v>
      </c>
      <c r="AK7625">
        <v>108.00892249058801</v>
      </c>
      <c r="AL7625">
        <v>90.601852816510302</v>
      </c>
      <c r="AM7625">
        <v>89.987980584382598</v>
      </c>
      <c r="AN7625">
        <v>0.99999999179306198</v>
      </c>
    </row>
    <row r="7626" spans="1:40" x14ac:dyDescent="0.25">
      <c r="A7626" t="str">
        <f>"20190312154112603"</f>
        <v>20190312154112603</v>
      </c>
      <c r="B7626" t="str">
        <f>"1552376472593675"</f>
        <v>1552376472593675</v>
      </c>
      <c r="C7626" t="s">
        <v>40</v>
      </c>
      <c r="D7626">
        <v>4.4982550000000003</v>
      </c>
      <c r="E7626">
        <v>0.4761977</v>
      </c>
      <c r="F7626" t="s">
        <v>92</v>
      </c>
      <c r="G7626">
        <v>-279.68</v>
      </c>
      <c r="H7626">
        <v>0.10611710000000001</v>
      </c>
      <c r="I7626">
        <v>17.833269999999999</v>
      </c>
      <c r="J7626">
        <v>-387.52839999999998</v>
      </c>
      <c r="K7626">
        <v>1.1076760000000001</v>
      </c>
      <c r="L7626">
        <v>18.60876</v>
      </c>
      <c r="M7626">
        <v>0.99748619999999999</v>
      </c>
      <c r="N7626">
        <v>0</v>
      </c>
      <c r="O7626">
        <v>-7.0837590000000006E-2</v>
      </c>
      <c r="P7626">
        <v>0.9973862</v>
      </c>
      <c r="Q7626">
        <v>-8.7280250000000004E-3</v>
      </c>
      <c r="R7626">
        <v>-7.1728180000000002E-2</v>
      </c>
      <c r="S7626">
        <v>3.00589</v>
      </c>
      <c r="T7626">
        <v>-2.7873869999999999E-2</v>
      </c>
      <c r="U7626">
        <v>-2.191162E-2</v>
      </c>
      <c r="V7626">
        <v>8.8294250000000001E-4</v>
      </c>
      <c r="W7626">
        <v>-1.0596390000000001E-2</v>
      </c>
      <c r="X7626">
        <v>0.99994349999999999</v>
      </c>
      <c r="Y7626">
        <v>-6.3559000000000004E-2</v>
      </c>
      <c r="Z7626">
        <v>9.5108949999999997E-4</v>
      </c>
      <c r="AA7626">
        <v>0.99797760000000002</v>
      </c>
      <c r="AB7626">
        <v>25</v>
      </c>
      <c r="AC7626">
        <v>107.848399999999</v>
      </c>
      <c r="AD7626">
        <v>-1.0015589</v>
      </c>
      <c r="AE7626">
        <v>-0.77548999999999702</v>
      </c>
      <c r="AF7626">
        <v>-6.86559947288477</v>
      </c>
      <c r="AG7626">
        <v>-1.0015589</v>
      </c>
      <c r="AH7626">
        <v>107.62312172675399</v>
      </c>
      <c r="AI7626">
        <v>90.532107228572201</v>
      </c>
      <c r="AJ7626">
        <v>93.650122338635398</v>
      </c>
      <c r="AK7626">
        <v>107.84653868606</v>
      </c>
      <c r="AL7626">
        <v>90.607139767282007</v>
      </c>
      <c r="AM7626">
        <v>89.949408275912504</v>
      </c>
      <c r="AN7626">
        <v>1.00000003313036</v>
      </c>
    </row>
    <row r="7627" spans="1:40" x14ac:dyDescent="0.25">
      <c r="A7627" t="str">
        <f>"20190312154112622"</f>
        <v>20190312154112622</v>
      </c>
      <c r="B7627" t="str">
        <f>"1552376472613708"</f>
        <v>1552376472613708</v>
      </c>
      <c r="C7627" t="s">
        <v>40</v>
      </c>
      <c r="D7627">
        <v>4.4223790000000003</v>
      </c>
      <c r="E7627">
        <v>0.4765915</v>
      </c>
      <c r="F7627" t="s">
        <v>92</v>
      </c>
      <c r="G7627">
        <v>-279.68</v>
      </c>
      <c r="H7627">
        <v>0.15380050000000001</v>
      </c>
      <c r="I7627">
        <v>17.690079999999998</v>
      </c>
      <c r="J7627">
        <v>-387.32549999999998</v>
      </c>
      <c r="K7627">
        <v>1.107615</v>
      </c>
      <c r="L7627">
        <v>18.593869999999999</v>
      </c>
      <c r="M7627">
        <v>0.9974518</v>
      </c>
      <c r="N7627">
        <v>0</v>
      </c>
      <c r="O7627">
        <v>-7.1319030000000005E-2</v>
      </c>
      <c r="P7627">
        <v>0.99722670000000002</v>
      </c>
      <c r="Q7627">
        <v>-9.9663319999999996E-3</v>
      </c>
      <c r="R7627">
        <v>-7.3752979999999996E-2</v>
      </c>
      <c r="S7627">
        <v>3.005798</v>
      </c>
      <c r="T7627">
        <v>-2.6584980000000001E-2</v>
      </c>
      <c r="U7627">
        <v>-2.5604249999999999E-2</v>
      </c>
      <c r="V7627">
        <v>2.4285090000000001E-3</v>
      </c>
      <c r="W7627">
        <v>-1.1801229999999999E-2</v>
      </c>
      <c r="X7627">
        <v>0.99992740000000002</v>
      </c>
      <c r="Y7627">
        <v>-6.2815029999999994E-2</v>
      </c>
      <c r="Z7627">
        <v>9.0808860000000003E-4</v>
      </c>
      <c r="AA7627">
        <v>0.99802480000000005</v>
      </c>
      <c r="AB7627">
        <v>25</v>
      </c>
      <c r="AC7627">
        <v>107.645499999999</v>
      </c>
      <c r="AD7627">
        <v>-0.95381450000000001</v>
      </c>
      <c r="AE7627">
        <v>-0.90379000000000398</v>
      </c>
      <c r="AF7627">
        <v>-6.7751656535946898</v>
      </c>
      <c r="AG7627">
        <v>-0.95381450000000001</v>
      </c>
      <c r="AH7627">
        <v>107.42740957047999</v>
      </c>
      <c r="AI7627">
        <v>90.507689397656094</v>
      </c>
      <c r="AJ7627">
        <v>93.608715423130207</v>
      </c>
      <c r="AK7627">
        <v>107.645069365753</v>
      </c>
      <c r="AL7627">
        <v>90.676176377235294</v>
      </c>
      <c r="AM7627">
        <v>89.860846854850607</v>
      </c>
      <c r="AN7627">
        <v>0.99999998597811701</v>
      </c>
    </row>
    <row r="7628" spans="1:40" x14ac:dyDescent="0.25">
      <c r="A7628" t="str">
        <f>"20190312154112634"</f>
        <v>20190312154112634</v>
      </c>
      <c r="B7628" t="str">
        <f>"1552376472624437"</f>
        <v>1552376472624437</v>
      </c>
      <c r="C7628" t="s">
        <v>40</v>
      </c>
      <c r="D7628">
        <v>4.3775409999999999</v>
      </c>
      <c r="E7628">
        <v>0.47684870000000001</v>
      </c>
      <c r="F7628" t="s">
        <v>92</v>
      </c>
      <c r="G7628">
        <v>-279.68</v>
      </c>
      <c r="H7628">
        <v>0.1272539</v>
      </c>
      <c r="I7628">
        <v>17.340170000000001</v>
      </c>
      <c r="J7628">
        <v>-387.17809999999997</v>
      </c>
      <c r="K7628">
        <v>1.1075699999999999</v>
      </c>
      <c r="L7628">
        <v>18.582979999999999</v>
      </c>
      <c r="M7628">
        <v>0.99742410000000004</v>
      </c>
      <c r="N7628">
        <v>0</v>
      </c>
      <c r="O7628">
        <v>-7.1708939999999999E-2</v>
      </c>
      <c r="P7628">
        <v>0.99711810000000001</v>
      </c>
      <c r="Q7628">
        <v>-1.099251E-2</v>
      </c>
      <c r="R7628">
        <v>-7.5066069999999999E-2</v>
      </c>
      <c r="S7628">
        <v>3.005493</v>
      </c>
      <c r="T7628">
        <v>-2.7371880000000001E-2</v>
      </c>
      <c r="U7628">
        <v>-3.5003659999999999E-2</v>
      </c>
      <c r="V7628">
        <v>3.3527909999999999E-3</v>
      </c>
      <c r="W7628">
        <v>-1.2800850000000001E-2</v>
      </c>
      <c r="X7628">
        <v>0.99991240000000003</v>
      </c>
      <c r="Y7628">
        <v>-6.008293E-2</v>
      </c>
      <c r="Z7628">
        <v>9.2613139999999999E-4</v>
      </c>
      <c r="AA7628">
        <v>0.998193</v>
      </c>
      <c r="AB7628">
        <v>25</v>
      </c>
      <c r="AC7628">
        <v>107.498099999999</v>
      </c>
      <c r="AD7628">
        <v>-0.98031610000000002</v>
      </c>
      <c r="AE7628">
        <v>-1.24280999999999</v>
      </c>
      <c r="AF7628">
        <v>-6.4684379735414002</v>
      </c>
      <c r="AG7628">
        <v>-0.98031610000000002</v>
      </c>
      <c r="AH7628">
        <v>107.30155446629</v>
      </c>
      <c r="AI7628">
        <v>90.522496070789899</v>
      </c>
      <c r="AJ7628">
        <v>93.449775120464807</v>
      </c>
      <c r="AK7628">
        <v>107.500815347399</v>
      </c>
      <c r="AL7628">
        <v>90.733454743745298</v>
      </c>
      <c r="AM7628">
        <v>89.807883116607698</v>
      </c>
      <c r="AN7628">
        <v>0.99999995532098496</v>
      </c>
    </row>
    <row r="7629" spans="1:40" x14ac:dyDescent="0.25">
      <c r="A7629" t="str">
        <f>"20190312154112645"</f>
        <v>20190312154112645</v>
      </c>
      <c r="B7629" t="str">
        <f>"1552376472634198"</f>
        <v>1552376472634198</v>
      </c>
      <c r="C7629" t="s">
        <v>40</v>
      </c>
      <c r="D7629">
        <v>4.432328</v>
      </c>
      <c r="E7629">
        <v>0.47684870000000001</v>
      </c>
      <c r="F7629" t="s">
        <v>43</v>
      </c>
      <c r="G7629">
        <v>-281.0548</v>
      </c>
      <c r="H7629">
        <v>-0.05</v>
      </c>
      <c r="I7629">
        <v>17.1389</v>
      </c>
      <c r="J7629">
        <v>-387.05549999999999</v>
      </c>
      <c r="K7629">
        <v>1.1075429999999999</v>
      </c>
      <c r="L7629">
        <v>18.573789999999999</v>
      </c>
      <c r="M7629">
        <v>0.99739869999999997</v>
      </c>
      <c r="N7629">
        <v>0</v>
      </c>
      <c r="O7629">
        <v>-7.2060120000000005E-2</v>
      </c>
      <c r="P7629">
        <v>0.99701850000000003</v>
      </c>
      <c r="Q7629">
        <v>-1.2533330000000001E-2</v>
      </c>
      <c r="R7629">
        <v>-7.6140180000000002E-2</v>
      </c>
      <c r="S7629">
        <v>3.0052189999999999</v>
      </c>
      <c r="T7629">
        <v>-3.2780289999999997E-2</v>
      </c>
      <c r="U7629">
        <v>-4.0893550000000001E-2</v>
      </c>
      <c r="V7629">
        <v>4.0764290000000003E-3</v>
      </c>
      <c r="W7629">
        <v>-1.431788E-2</v>
      </c>
      <c r="X7629">
        <v>0.99988920000000003</v>
      </c>
      <c r="Y7629">
        <v>-5.8474940000000003E-2</v>
      </c>
      <c r="Z7629">
        <v>1.1042420000000001E-3</v>
      </c>
      <c r="AA7629">
        <v>0.99828830000000002</v>
      </c>
      <c r="AB7629">
        <v>25</v>
      </c>
      <c r="AC7629">
        <v>106.00069999999999</v>
      </c>
      <c r="AD7629">
        <v>-1.157543</v>
      </c>
      <c r="AE7629">
        <v>-1.43488999999999</v>
      </c>
      <c r="AF7629">
        <v>-6.2065355961877398</v>
      </c>
      <c r="AG7629">
        <v>-1.157543</v>
      </c>
      <c r="AH7629">
        <v>105.815910397667</v>
      </c>
      <c r="AI7629">
        <v>90.625670616310401</v>
      </c>
      <c r="AJ7629">
        <v>93.356785699520898</v>
      </c>
      <c r="AK7629">
        <v>106.004093709586</v>
      </c>
      <c r="AL7629">
        <v>90.820382114342095</v>
      </c>
      <c r="AM7629">
        <v>89.766413235397707</v>
      </c>
      <c r="AN7629">
        <v>1.00000001561886</v>
      </c>
    </row>
    <row r="7630" spans="1:40" x14ac:dyDescent="0.25">
      <c r="A7630" t="str">
        <f>"20190312154112657"</f>
        <v>20190312154112657</v>
      </c>
      <c r="B7630" t="str">
        <f>"1552376472653717"</f>
        <v>1552376472653717</v>
      </c>
      <c r="C7630" t="s">
        <v>40</v>
      </c>
      <c r="D7630">
        <v>4.9147910000000001</v>
      </c>
      <c r="E7630">
        <v>0.47769929999999999</v>
      </c>
      <c r="F7630" t="s">
        <v>43</v>
      </c>
      <c r="G7630">
        <v>-294.05529999999999</v>
      </c>
      <c r="H7630">
        <v>-0.05</v>
      </c>
      <c r="I7630">
        <v>17.20909</v>
      </c>
      <c r="J7630">
        <v>-386.9205</v>
      </c>
      <c r="K7630">
        <v>1.1075109999999999</v>
      </c>
      <c r="L7630">
        <v>18.563659999999999</v>
      </c>
      <c r="M7630">
        <v>0.99737010000000004</v>
      </c>
      <c r="N7630">
        <v>0</v>
      </c>
      <c r="O7630">
        <v>-7.2455530000000004E-2</v>
      </c>
      <c r="P7630">
        <v>0.9969034</v>
      </c>
      <c r="Q7630">
        <v>-1.3737610000000001E-2</v>
      </c>
      <c r="R7630">
        <v>-7.7426750000000003E-2</v>
      </c>
      <c r="S7630">
        <v>3.0051269999999999</v>
      </c>
      <c r="T7630">
        <v>-3.7403819999999997E-2</v>
      </c>
      <c r="U7630">
        <v>-4.4097900000000002E-2</v>
      </c>
      <c r="V7630">
        <v>4.9688809999999996E-3</v>
      </c>
      <c r="W7630">
        <v>-1.549566E-2</v>
      </c>
      <c r="X7630">
        <v>0.99986759999999997</v>
      </c>
      <c r="Y7630">
        <v>-5.7803699999999902E-2</v>
      </c>
      <c r="Z7630">
        <v>1.260733E-3</v>
      </c>
      <c r="AA7630">
        <v>0.99832719999999997</v>
      </c>
      <c r="AB7630">
        <v>25</v>
      </c>
      <c r="AC7630">
        <v>92.865200000000002</v>
      </c>
      <c r="AD7630">
        <v>-1.157511</v>
      </c>
      <c r="AE7630">
        <v>-1.3545700000000001</v>
      </c>
      <c r="AF7630">
        <v>-5.3767627832882896</v>
      </c>
      <c r="AG7630">
        <v>-1.157511</v>
      </c>
      <c r="AH7630">
        <v>92.704862945159405</v>
      </c>
      <c r="AI7630">
        <v>90.7141567187888</v>
      </c>
      <c r="AJ7630">
        <v>93.319362884745402</v>
      </c>
      <c r="AK7630">
        <v>92.867868627548901</v>
      </c>
      <c r="AL7630">
        <v>90.887871443017005</v>
      </c>
      <c r="AM7630">
        <v>89.715268734989905</v>
      </c>
      <c r="AN7630">
        <v>1.0000000113934899</v>
      </c>
    </row>
    <row r="7631" spans="1:40" x14ac:dyDescent="0.25">
      <c r="A7631" t="str">
        <f>"20190312154112778"</f>
        <v>20190312154112778</v>
      </c>
      <c r="B7631" t="str">
        <f>"1552376472773766"</f>
        <v>1552376472773766</v>
      </c>
      <c r="C7631" t="s">
        <v>40</v>
      </c>
      <c r="D7631">
        <v>3.7917329999999998</v>
      </c>
      <c r="E7631">
        <v>0.48681750000000001</v>
      </c>
      <c r="F7631" t="s">
        <v>43</v>
      </c>
      <c r="G7631">
        <v>-306.43939999999998</v>
      </c>
      <c r="H7631">
        <v>-0.05</v>
      </c>
      <c r="I7631">
        <v>17.09958</v>
      </c>
      <c r="J7631">
        <v>-385.49650000000003</v>
      </c>
      <c r="K7631">
        <v>1.1074189999999999</v>
      </c>
      <c r="L7631">
        <v>18.452480000000001</v>
      </c>
      <c r="M7631">
        <v>0.99701119999999999</v>
      </c>
      <c r="N7631">
        <v>0</v>
      </c>
      <c r="O7631">
        <v>-7.7244090000000001E-2</v>
      </c>
      <c r="P7631">
        <v>0.99588410000000005</v>
      </c>
      <c r="Q7631">
        <v>-1.8037170000000002E-2</v>
      </c>
      <c r="R7631">
        <v>-8.8824020000000004E-2</v>
      </c>
      <c r="S7631">
        <v>3.004486</v>
      </c>
      <c r="T7631">
        <v>-4.3211699999999999E-2</v>
      </c>
      <c r="U7631">
        <v>-5.4656980000000001E-2</v>
      </c>
      <c r="V7631">
        <v>1.159958E-2</v>
      </c>
      <c r="W7631">
        <v>-1.9451179999999998E-2</v>
      </c>
      <c r="X7631">
        <v>0.99974350000000001</v>
      </c>
      <c r="Y7631">
        <v>-5.9082870000000003E-2</v>
      </c>
      <c r="Z7631">
        <v>1.5345999999999999E-3</v>
      </c>
      <c r="AA7631">
        <v>0.99825189999999997</v>
      </c>
      <c r="AB7631">
        <v>27</v>
      </c>
      <c r="AC7631">
        <v>79.057100000000005</v>
      </c>
      <c r="AD7631">
        <v>-1.157419</v>
      </c>
      <c r="AE7631">
        <v>-1.35289999999999</v>
      </c>
      <c r="AF7631">
        <v>-4.7568228247982898</v>
      </c>
      <c r="AG7631">
        <v>-1.157419</v>
      </c>
      <c r="AH7631">
        <v>78.908489143097697</v>
      </c>
      <c r="AI7631">
        <v>90.838823900444297</v>
      </c>
      <c r="AJ7631">
        <v>93.449773878597796</v>
      </c>
      <c r="AK7631">
        <v>79.060208961110504</v>
      </c>
      <c r="AL7631">
        <v>91.114540828686401</v>
      </c>
      <c r="AM7631">
        <v>89.3352523346678</v>
      </c>
      <c r="AN7631">
        <v>0.99999998222590902</v>
      </c>
    </row>
    <row r="7632" spans="1:40" x14ac:dyDescent="0.25">
      <c r="A7632" t="str">
        <f>"20190312154112792"</f>
        <v>20190312154112792</v>
      </c>
      <c r="B7632" t="str">
        <f>"1552376472783526"</f>
        <v>1552376472783526</v>
      </c>
      <c r="C7632" t="s">
        <v>40</v>
      </c>
      <c r="D7632">
        <v>3.9971920000000001</v>
      </c>
      <c r="E7632">
        <v>0.48868519999999999</v>
      </c>
      <c r="F7632" t="s">
        <v>41</v>
      </c>
      <c r="G7632">
        <v>-384.61250000000001</v>
      </c>
      <c r="H7632">
        <v>0.87245130000000004</v>
      </c>
      <c r="I7632">
        <v>18.41377</v>
      </c>
      <c r="J7632">
        <v>-385.32679999999999</v>
      </c>
      <c r="K7632">
        <v>1.107416</v>
      </c>
      <c r="L7632">
        <v>18.438749999999999</v>
      </c>
      <c r="M7632">
        <v>0.99696609999999997</v>
      </c>
      <c r="N7632">
        <v>0</v>
      </c>
      <c r="O7632">
        <v>-7.782762E-2</v>
      </c>
      <c r="P7632">
        <v>0.99580259999999998</v>
      </c>
      <c r="Q7632">
        <v>-1.8368019999999999E-2</v>
      </c>
      <c r="R7632">
        <v>-8.9666410000000002E-2</v>
      </c>
      <c r="S7632">
        <v>2.986542</v>
      </c>
      <c r="T7632">
        <v>-0.79367529999999997</v>
      </c>
      <c r="U7632">
        <v>-0.12960819999999901</v>
      </c>
      <c r="V7632">
        <v>1.18601E-2</v>
      </c>
      <c r="W7632">
        <v>-1.973463E-2</v>
      </c>
      <c r="X7632">
        <v>0.99973489999999998</v>
      </c>
      <c r="Y7632">
        <v>-3.0774269999999999E-2</v>
      </c>
      <c r="Z7632">
        <v>2.4314329999999999E-2</v>
      </c>
      <c r="AA7632">
        <v>0.99923059999999997</v>
      </c>
      <c r="AB7632">
        <v>27</v>
      </c>
      <c r="AC7632">
        <v>0.71429999999997995</v>
      </c>
      <c r="AD7632">
        <v>-0.234964699999999</v>
      </c>
      <c r="AE7632">
        <v>-2.4979999999999301E-2</v>
      </c>
      <c r="AF7632">
        <v>-2.7695022135601401E-2</v>
      </c>
      <c r="AG7632">
        <v>-0.234964699999999</v>
      </c>
      <c r="AH7632">
        <v>0.64443244594143201</v>
      </c>
      <c r="AI7632">
        <v>110.01521277681201</v>
      </c>
      <c r="AJ7632">
        <v>92.460819701683803</v>
      </c>
      <c r="AK7632">
        <v>0.68649005956331099</v>
      </c>
      <c r="AL7632">
        <v>91.130784422602602</v>
      </c>
      <c r="AM7632">
        <v>89.320318017426899</v>
      </c>
      <c r="AN7632">
        <v>0.999999993935628</v>
      </c>
    </row>
    <row r="7633" spans="1:40" x14ac:dyDescent="0.25">
      <c r="A7633" t="str">
        <f>"20190312154112805"</f>
        <v>20190312154112805</v>
      </c>
      <c r="B7633" t="str">
        <f>"1552376472794262"</f>
        <v>1552376472794262</v>
      </c>
      <c r="C7633" t="s">
        <v>40</v>
      </c>
      <c r="D7633">
        <v>4.3691760000000004</v>
      </c>
      <c r="E7633">
        <v>0.48759340000000001</v>
      </c>
      <c r="F7633" t="s">
        <v>41</v>
      </c>
      <c r="G7633">
        <v>-384.59800000000001</v>
      </c>
      <c r="H7633">
        <v>0.91007979999999999</v>
      </c>
      <c r="I7633">
        <v>18.402609999999999</v>
      </c>
      <c r="J7633">
        <v>-385.16930000000002</v>
      </c>
      <c r="K7633">
        <v>1.107415</v>
      </c>
      <c r="L7633">
        <v>18.425899999999999</v>
      </c>
      <c r="M7633">
        <v>0.99692360000000002</v>
      </c>
      <c r="N7633">
        <v>0</v>
      </c>
      <c r="O7633">
        <v>-7.8368969999999996E-2</v>
      </c>
      <c r="P7633">
        <v>0.99572620000000001</v>
      </c>
      <c r="Q7633">
        <v>-1.8692919999999998E-2</v>
      </c>
      <c r="R7633">
        <v>-9.0442880000000003E-2</v>
      </c>
      <c r="S7633">
        <v>2.9845890000000002</v>
      </c>
      <c r="T7633">
        <v>-0.80788439999999995</v>
      </c>
      <c r="U7633">
        <v>-0.14654539999999999</v>
      </c>
      <c r="V7633">
        <v>1.2096829999999999E-2</v>
      </c>
      <c r="W7633">
        <v>-2.0014790000000001E-2</v>
      </c>
      <c r="X7633">
        <v>0.99972649999999996</v>
      </c>
      <c r="Y7633">
        <v>-2.5657180000000002E-2</v>
      </c>
      <c r="Z7633">
        <v>2.420953E-2</v>
      </c>
      <c r="AA7633">
        <v>0.99937759999999998</v>
      </c>
      <c r="AB7633">
        <v>27</v>
      </c>
      <c r="AC7633">
        <v>0.57130000000000702</v>
      </c>
      <c r="AD7633">
        <v>-0.19733519999999999</v>
      </c>
      <c r="AE7633">
        <v>-2.3289999999999301E-2</v>
      </c>
      <c r="AF7633">
        <v>-1.9259768917257201E-2</v>
      </c>
      <c r="AG7633">
        <v>-0.19733519999999999</v>
      </c>
      <c r="AH7633">
        <v>0.51055441791586798</v>
      </c>
      <c r="AI7633">
        <v>111.118399202161</v>
      </c>
      <c r="AJ7633">
        <v>92.160358302225106</v>
      </c>
      <c r="AK7633">
        <v>0.54770241327859503</v>
      </c>
      <c r="AL7633">
        <v>91.146839572672306</v>
      </c>
      <c r="AM7633">
        <v>89.306746914060597</v>
      </c>
      <c r="AN7633">
        <v>0.99999999995852096</v>
      </c>
    </row>
    <row r="7634" spans="1:40" x14ac:dyDescent="0.25">
      <c r="A7634" t="str">
        <f>"20190312154112822"</f>
        <v>20190312154112822</v>
      </c>
      <c r="B7634" t="str">
        <f>"1552376472813785"</f>
        <v>1552376472813785</v>
      </c>
      <c r="C7634" t="s">
        <v>40</v>
      </c>
      <c r="D7634">
        <v>4.5681699999999896</v>
      </c>
      <c r="E7634">
        <v>0.4865913</v>
      </c>
      <c r="F7634" t="s">
        <v>41</v>
      </c>
      <c r="G7634">
        <v>-384.35890000000001</v>
      </c>
      <c r="H7634">
        <v>0.89683599999999997</v>
      </c>
      <c r="I7634">
        <v>18.38729</v>
      </c>
      <c r="J7634">
        <v>-384.95949999999999</v>
      </c>
      <c r="K7634">
        <v>1.107418</v>
      </c>
      <c r="L7634">
        <v>18.408719999999999</v>
      </c>
      <c r="M7634">
        <v>0.9968669</v>
      </c>
      <c r="N7634">
        <v>0</v>
      </c>
      <c r="O7634">
        <v>-7.9088049999999993E-2</v>
      </c>
      <c r="P7634">
        <v>0.99565190000000003</v>
      </c>
      <c r="Q7634">
        <v>-1.9298570000000001E-2</v>
      </c>
      <c r="R7634">
        <v>-9.1131279999999995E-2</v>
      </c>
      <c r="S7634">
        <v>2.985474</v>
      </c>
      <c r="T7634">
        <v>-0.77571800000000002</v>
      </c>
      <c r="U7634">
        <v>-0.14163210000000001</v>
      </c>
      <c r="V7634">
        <v>1.206666E-2</v>
      </c>
      <c r="W7634">
        <v>-2.0557849999999999E-2</v>
      </c>
      <c r="X7634">
        <v>0.99971589999999999</v>
      </c>
      <c r="Y7634">
        <v>-2.821311E-2</v>
      </c>
      <c r="Z7634">
        <v>2.378123E-2</v>
      </c>
      <c r="AA7634">
        <v>0.99931899999999996</v>
      </c>
      <c r="AB7634">
        <v>27</v>
      </c>
      <c r="AC7634">
        <v>0.60059999999998503</v>
      </c>
      <c r="AD7634">
        <v>-0.21058199999999999</v>
      </c>
      <c r="AE7634">
        <v>-2.1430000000002201E-2</v>
      </c>
      <c r="AF7634">
        <v>-2.32792704585854E-2</v>
      </c>
      <c r="AG7634">
        <v>-0.21058199999999999</v>
      </c>
      <c r="AH7634">
        <v>0.53475731643649704</v>
      </c>
      <c r="AI7634">
        <v>111.475531751955</v>
      </c>
      <c r="AJ7634">
        <v>92.492649118666407</v>
      </c>
      <c r="AK7634">
        <v>0.575197436224683</v>
      </c>
      <c r="AL7634">
        <v>91.177960958558103</v>
      </c>
      <c r="AM7634">
        <v>89.308468416611902</v>
      </c>
      <c r="AN7634">
        <v>1.00000005509649</v>
      </c>
    </row>
    <row r="7635" spans="1:40" x14ac:dyDescent="0.25">
      <c r="A7635" t="str">
        <f>"20190312154112833"</f>
        <v>20190312154112833</v>
      </c>
      <c r="B7635" t="str">
        <f>"1552376472823542"</f>
        <v>1552376472823542</v>
      </c>
      <c r="C7635" t="s">
        <v>40</v>
      </c>
      <c r="D7635">
        <v>4.611281</v>
      </c>
      <c r="E7635">
        <v>0.48630139999999999</v>
      </c>
      <c r="F7635" t="s">
        <v>41</v>
      </c>
      <c r="G7635">
        <v>-384.1071</v>
      </c>
      <c r="H7635">
        <v>0.91018889999999997</v>
      </c>
      <c r="I7635">
        <v>18.36844</v>
      </c>
      <c r="J7635">
        <v>-384.81479999999999</v>
      </c>
      <c r="K7635">
        <v>1.107418</v>
      </c>
      <c r="L7635">
        <v>18.39676</v>
      </c>
      <c r="M7635">
        <v>0.99682749999999998</v>
      </c>
      <c r="N7635">
        <v>0</v>
      </c>
      <c r="O7635">
        <v>-7.9583260000000003E-2</v>
      </c>
      <c r="P7635">
        <v>0.99558880000000005</v>
      </c>
      <c r="Q7635">
        <v>-1.9715179999999999E-2</v>
      </c>
      <c r="R7635">
        <v>-9.1730610000000004E-2</v>
      </c>
      <c r="S7635">
        <v>2.9868769999999998</v>
      </c>
      <c r="T7635">
        <v>-0.69088609999999995</v>
      </c>
      <c r="U7635">
        <v>-0.13974</v>
      </c>
      <c r="V7635">
        <v>1.2171799999999899E-2</v>
      </c>
      <c r="W7635">
        <v>-2.092842E-2</v>
      </c>
      <c r="X7635">
        <v>0.99970689999999995</v>
      </c>
      <c r="Y7635">
        <v>-3.002931E-2</v>
      </c>
      <c r="Z7635">
        <v>2.1561799999999999E-2</v>
      </c>
      <c r="AA7635">
        <v>0.99931650000000005</v>
      </c>
      <c r="AB7635">
        <v>27</v>
      </c>
      <c r="AC7635">
        <v>0.70769999999998801</v>
      </c>
      <c r="AD7635">
        <v>-0.19722909999999999</v>
      </c>
      <c r="AE7635">
        <v>-2.8320000000000699E-2</v>
      </c>
      <c r="AF7635">
        <v>-2.6069409919834901E-2</v>
      </c>
      <c r="AG7635">
        <v>-0.19722909999999999</v>
      </c>
      <c r="AH7635">
        <v>0.65677974325063004</v>
      </c>
      <c r="AI7635">
        <v>106.70244487714101</v>
      </c>
      <c r="AJ7635">
        <v>92.273035194093495</v>
      </c>
      <c r="AK7635">
        <v>0.68624963618550805</v>
      </c>
      <c r="AL7635">
        <v>91.199197667507505</v>
      </c>
      <c r="AM7635">
        <v>89.302437232619297</v>
      </c>
      <c r="AN7635">
        <v>1.00000001869327</v>
      </c>
    </row>
    <row r="7636" spans="1:40" x14ac:dyDescent="0.25">
      <c r="A7636" t="str">
        <f>"20190312154112845"</f>
        <v>20190312154112845</v>
      </c>
      <c r="B7636" t="str">
        <f>"1552376472834277"</f>
        <v>1552376472834277</v>
      </c>
      <c r="C7636" t="s">
        <v>40</v>
      </c>
      <c r="D7636">
        <v>4.5559519999999996</v>
      </c>
      <c r="E7636">
        <v>0.48651040000000001</v>
      </c>
      <c r="F7636" t="s">
        <v>41</v>
      </c>
      <c r="G7636">
        <v>-384.09059999999999</v>
      </c>
      <c r="H7636">
        <v>0.95098919999999998</v>
      </c>
      <c r="I7636">
        <v>18.362079999999999</v>
      </c>
      <c r="J7636">
        <v>-384.6798</v>
      </c>
      <c r="K7636">
        <v>1.1074200000000001</v>
      </c>
      <c r="L7636">
        <v>18.385529999999999</v>
      </c>
      <c r="M7636">
        <v>0.99679059999999997</v>
      </c>
      <c r="N7636">
        <v>0</v>
      </c>
      <c r="O7636">
        <v>-8.0044500000000005E-2</v>
      </c>
      <c r="P7636">
        <v>0.9955505</v>
      </c>
      <c r="Q7636">
        <v>-2.0359889999999999E-2</v>
      </c>
      <c r="R7636">
        <v>-9.2004799999999998E-2</v>
      </c>
      <c r="S7636">
        <v>2.9874879999999999</v>
      </c>
      <c r="T7636">
        <v>-0.64501600000000003</v>
      </c>
      <c r="U7636">
        <v>-0.1414185</v>
      </c>
      <c r="V7636">
        <v>1.1984409999999999E-2</v>
      </c>
      <c r="W7636">
        <v>-2.1524560000000002E-2</v>
      </c>
      <c r="X7636">
        <v>0.99969649999999999</v>
      </c>
      <c r="Y7636">
        <v>-3.0291430000000001E-2</v>
      </c>
      <c r="Z7636">
        <v>2.02852E-2</v>
      </c>
      <c r="AA7636">
        <v>0.99933519999999998</v>
      </c>
      <c r="AB7636">
        <v>27</v>
      </c>
      <c r="AC7636">
        <v>0.58920000000000505</v>
      </c>
      <c r="AD7636">
        <v>-0.15643080000000001</v>
      </c>
      <c r="AE7636">
        <v>-2.3450000000000401E-2</v>
      </c>
      <c r="AF7636">
        <v>-2.2223471639517298E-2</v>
      </c>
      <c r="AG7636">
        <v>-0.15643080000000001</v>
      </c>
      <c r="AH7636">
        <v>0.55044754217355396</v>
      </c>
      <c r="AI7636">
        <v>105.852269512635</v>
      </c>
      <c r="AJ7636">
        <v>92.311973203859495</v>
      </c>
      <c r="AK7636">
        <v>0.57267527846525601</v>
      </c>
      <c r="AL7636">
        <v>91.233361678489004</v>
      </c>
      <c r="AM7636">
        <v>89.313168324668894</v>
      </c>
      <c r="AN7636">
        <v>1.0000000124392401</v>
      </c>
    </row>
    <row r="7637" spans="1:40" x14ac:dyDescent="0.25">
      <c r="A7637" t="str">
        <f>"20190312154112856"</f>
        <v>20190312154112856</v>
      </c>
      <c r="B7637" t="str">
        <f>"1552376472853798"</f>
        <v>1552376472853798</v>
      </c>
      <c r="C7637" t="s">
        <v>40</v>
      </c>
      <c r="D7637">
        <v>4.4588419999999998</v>
      </c>
      <c r="E7637">
        <v>0.48690369999999999</v>
      </c>
      <c r="F7637" t="s">
        <v>41</v>
      </c>
      <c r="G7637">
        <v>-383.84690000000001</v>
      </c>
      <c r="H7637">
        <v>0.94052709999999995</v>
      </c>
      <c r="I7637">
        <v>18.344639999999998</v>
      </c>
      <c r="J7637">
        <v>-384.52910000000003</v>
      </c>
      <c r="K7637">
        <v>1.107421</v>
      </c>
      <c r="L7637">
        <v>18.372959999999999</v>
      </c>
      <c r="M7637">
        <v>0.99674929999999995</v>
      </c>
      <c r="N7637">
        <v>0</v>
      </c>
      <c r="O7637">
        <v>-8.0559389999999995E-2</v>
      </c>
      <c r="P7637">
        <v>0.99551199999999995</v>
      </c>
      <c r="Q7637">
        <v>-2.1012840000000001E-2</v>
      </c>
      <c r="R7637">
        <v>-9.2273170000000002E-2</v>
      </c>
      <c r="S7637">
        <v>2.9876710000000002</v>
      </c>
      <c r="T7637">
        <v>-0.59857119999999997</v>
      </c>
      <c r="U7637">
        <v>-0.14614869999999999</v>
      </c>
      <c r="V7637">
        <v>1.1737630000000001E-2</v>
      </c>
      <c r="W7637">
        <v>-2.2120810000000001E-2</v>
      </c>
      <c r="X7637">
        <v>0.99968639999999998</v>
      </c>
      <c r="Y7637">
        <v>-2.9584360000000001E-2</v>
      </c>
      <c r="Z7637">
        <v>1.8883589999999999E-2</v>
      </c>
      <c r="AA7637">
        <v>0.99938389999999999</v>
      </c>
      <c r="AB7637">
        <v>28</v>
      </c>
      <c r="AC7637">
        <v>0.68220000000002201</v>
      </c>
      <c r="AD7637">
        <v>-0.16689389999999901</v>
      </c>
      <c r="AE7637">
        <v>-2.8320000000000699E-2</v>
      </c>
      <c r="AF7637">
        <v>-2.52227290491908E-2</v>
      </c>
      <c r="AG7637">
        <v>-0.16689389999999901</v>
      </c>
      <c r="AH7637">
        <v>0.64379963060620005</v>
      </c>
      <c r="AI7637">
        <v>104.522358404087</v>
      </c>
      <c r="AJ7637">
        <v>92.243581915013095</v>
      </c>
      <c r="AK7637">
        <v>0.665558205032872</v>
      </c>
      <c r="AL7637">
        <v>91.267532440063206</v>
      </c>
      <c r="AM7637">
        <v>89.327303283293205</v>
      </c>
      <c r="AN7637">
        <v>1.0000000002690099</v>
      </c>
    </row>
    <row r="7638" spans="1:40" x14ac:dyDescent="0.25">
      <c r="A7638" t="str">
        <f>"20190312154112868"</f>
        <v>20190312154112868</v>
      </c>
      <c r="B7638" t="str">
        <f>"1552376472863557"</f>
        <v>1552376472863557</v>
      </c>
      <c r="C7638" t="s">
        <v>40</v>
      </c>
      <c r="D7638">
        <v>4.4984570000000001</v>
      </c>
      <c r="E7638">
        <v>0.4871106</v>
      </c>
      <c r="F7638" t="s">
        <v>41</v>
      </c>
      <c r="G7638">
        <v>-383.82819999999998</v>
      </c>
      <c r="H7638">
        <v>0.9848922</v>
      </c>
      <c r="I7638">
        <v>18.336760000000002</v>
      </c>
      <c r="J7638">
        <v>-384.38830000000002</v>
      </c>
      <c r="K7638">
        <v>1.1074250000000001</v>
      </c>
      <c r="L7638">
        <v>18.36111</v>
      </c>
      <c r="M7638">
        <v>0.99671050000000005</v>
      </c>
      <c r="N7638">
        <v>0</v>
      </c>
      <c r="O7638">
        <v>-8.1038520000000003E-2</v>
      </c>
      <c r="P7638">
        <v>0.99546780000000001</v>
      </c>
      <c r="Q7638">
        <v>-2.1791060000000001E-2</v>
      </c>
      <c r="R7638">
        <v>-9.2572189999999999E-2</v>
      </c>
      <c r="S7638">
        <v>2.9882810000000002</v>
      </c>
      <c r="T7638">
        <v>-0.52237559999999905</v>
      </c>
      <c r="U7638">
        <v>-0.1536865</v>
      </c>
      <c r="V7638">
        <v>1.155685E-2</v>
      </c>
      <c r="W7638">
        <v>-2.2831339999999999E-2</v>
      </c>
      <c r="X7638">
        <v>0.99967249999999996</v>
      </c>
      <c r="Y7638">
        <v>-2.8091919999999999E-2</v>
      </c>
      <c r="Z7638">
        <v>1.64669E-2</v>
      </c>
      <c r="AA7638">
        <v>0.99946970000000002</v>
      </c>
      <c r="AB7638">
        <v>28</v>
      </c>
      <c r="AC7638">
        <v>0.56010000000003302</v>
      </c>
      <c r="AD7638">
        <v>-0.1225328</v>
      </c>
      <c r="AE7638">
        <v>-2.43499999999983E-2</v>
      </c>
      <c r="AF7638">
        <v>-2.0156893302504999E-2</v>
      </c>
      <c r="AG7638">
        <v>-0.1225328</v>
      </c>
      <c r="AH7638">
        <v>0.53468910439847905</v>
      </c>
      <c r="AI7638">
        <v>102.898541006211</v>
      </c>
      <c r="AJ7638">
        <v>92.158933607148896</v>
      </c>
      <c r="AK7638">
        <v>0.54891987191747404</v>
      </c>
      <c r="AL7638">
        <v>91.308253138768407</v>
      </c>
      <c r="AM7638">
        <v>89.337653848602102</v>
      </c>
      <c r="AN7638">
        <v>0.99999996906218303</v>
      </c>
    </row>
    <row r="7639" spans="1:40" x14ac:dyDescent="0.25">
      <c r="A7639" t="str">
        <f>"20190312154112881"</f>
        <v>20190312154112881</v>
      </c>
      <c r="B7639" t="str">
        <f>"1552376472874293"</f>
        <v>1552376472874293</v>
      </c>
      <c r="C7639" t="s">
        <v>40</v>
      </c>
      <c r="D7639">
        <v>4.4592790000000004</v>
      </c>
      <c r="E7639">
        <v>0.48678389999999999</v>
      </c>
      <c r="F7639" t="s">
        <v>41</v>
      </c>
      <c r="G7639">
        <v>-383.58370000000002</v>
      </c>
      <c r="H7639">
        <v>0.9735258</v>
      </c>
      <c r="I7639">
        <v>18.318470000000001</v>
      </c>
      <c r="J7639">
        <v>-384.24259999999998</v>
      </c>
      <c r="K7639">
        <v>1.1074269999999999</v>
      </c>
      <c r="L7639">
        <v>18.34882</v>
      </c>
      <c r="M7639">
        <v>0.99667019999999995</v>
      </c>
      <c r="N7639">
        <v>0</v>
      </c>
      <c r="O7639">
        <v>-8.1533159999999993E-2</v>
      </c>
      <c r="P7639">
        <v>0.99543689999999996</v>
      </c>
      <c r="Q7639">
        <v>-2.2448599999999999E-2</v>
      </c>
      <c r="R7639">
        <v>-9.2745919999999996E-2</v>
      </c>
      <c r="S7639">
        <v>2.9880979999999999</v>
      </c>
      <c r="T7639">
        <v>-0.49727860000000002</v>
      </c>
      <c r="U7639">
        <v>-0.15765379999999901</v>
      </c>
      <c r="V7639">
        <v>1.123535E-2</v>
      </c>
      <c r="W7639">
        <v>-2.3413070000000001E-2</v>
      </c>
      <c r="X7639">
        <v>0.99966279999999996</v>
      </c>
      <c r="Y7639">
        <v>-2.7417259999999999E-2</v>
      </c>
      <c r="Z7639">
        <v>1.5712670000000001E-2</v>
      </c>
      <c r="AA7639">
        <v>0.99950059999999996</v>
      </c>
      <c r="AB7639">
        <v>28</v>
      </c>
      <c r="AC7639">
        <v>0.65889999999995996</v>
      </c>
      <c r="AD7639">
        <v>-0.133901199999999</v>
      </c>
      <c r="AE7639">
        <v>-3.03499999999985E-2</v>
      </c>
      <c r="AF7639">
        <v>-2.2544207164087601E-2</v>
      </c>
      <c r="AG7639">
        <v>-0.133901199999999</v>
      </c>
      <c r="AH7639">
        <v>0.63309072776081798</v>
      </c>
      <c r="AI7639">
        <v>101.934937853712</v>
      </c>
      <c r="AJ7639">
        <v>92.039427058944298</v>
      </c>
      <c r="AK7639">
        <v>0.647488719758745</v>
      </c>
      <c r="AL7639">
        <v>91.341592606445502</v>
      </c>
      <c r="AM7639">
        <v>89.356071834310697</v>
      </c>
      <c r="AN7639">
        <v>1.0000000593201399</v>
      </c>
    </row>
    <row r="7640" spans="1:40" x14ac:dyDescent="0.25">
      <c r="A7640" t="str">
        <f>"20190312154112891"</f>
        <v>20190312154112891</v>
      </c>
      <c r="B7640" t="str">
        <f>"1552376472884054"</f>
        <v>1552376472884054</v>
      </c>
      <c r="C7640" t="s">
        <v>40</v>
      </c>
      <c r="D7640">
        <v>4.4927580000000003</v>
      </c>
      <c r="E7640">
        <v>0.48654760000000002</v>
      </c>
      <c r="F7640" t="s">
        <v>41</v>
      </c>
      <c r="G7640">
        <v>-383.33690000000001</v>
      </c>
      <c r="H7640">
        <v>0.96338769999999996</v>
      </c>
      <c r="I7640">
        <v>18.30123</v>
      </c>
      <c r="J7640">
        <v>-384.09269999999998</v>
      </c>
      <c r="K7640">
        <v>1.1074349999999999</v>
      </c>
      <c r="L7640">
        <v>18.33606</v>
      </c>
      <c r="M7640">
        <v>0.99662870000000003</v>
      </c>
      <c r="N7640">
        <v>0</v>
      </c>
      <c r="O7640">
        <v>-8.2039600000000004E-2</v>
      </c>
      <c r="P7640">
        <v>0.99540720000000005</v>
      </c>
      <c r="Q7640">
        <v>-2.3253289999999999E-2</v>
      </c>
      <c r="R7640">
        <v>-9.2865329999999996E-2</v>
      </c>
      <c r="S7640">
        <v>2.988464</v>
      </c>
      <c r="T7640">
        <v>-0.4752517</v>
      </c>
      <c r="U7640">
        <v>-0.15682979999999899</v>
      </c>
      <c r="V7640">
        <v>1.084748E-2</v>
      </c>
      <c r="W7640">
        <v>-2.412226E-2</v>
      </c>
      <c r="X7640">
        <v>0.99965020000000004</v>
      </c>
      <c r="Y7640">
        <v>-2.831753E-2</v>
      </c>
      <c r="Z7640">
        <v>1.517461E-2</v>
      </c>
      <c r="AA7640">
        <v>0.99948380000000003</v>
      </c>
      <c r="AB7640">
        <v>28</v>
      </c>
      <c r="AC7640">
        <v>0.75579999999996506</v>
      </c>
      <c r="AD7640">
        <v>-0.14404729999999899</v>
      </c>
      <c r="AE7640">
        <v>-3.4829999999999403E-2</v>
      </c>
      <c r="AF7640">
        <v>-2.6338272043086801E-2</v>
      </c>
      <c r="AG7640">
        <v>-0.14404729999999899</v>
      </c>
      <c r="AH7640">
        <v>0.72966146392090203</v>
      </c>
      <c r="AI7640">
        <v>101.160452390092</v>
      </c>
      <c r="AJ7640">
        <v>92.067283244593398</v>
      </c>
      <c r="AK7640">
        <v>0.74421044143622495</v>
      </c>
      <c r="AL7640">
        <v>91.382237711748999</v>
      </c>
      <c r="AM7640">
        <v>89.378292096994898</v>
      </c>
      <c r="AN7640">
        <v>1.00000003680494</v>
      </c>
    </row>
    <row r="7641" spans="1:40" x14ac:dyDescent="0.25">
      <c r="A7641" t="str">
        <f>"20190312154112903"</f>
        <v>20190312154112903</v>
      </c>
      <c r="B7641" t="str">
        <f>"1552376472893815"</f>
        <v>1552376472893815</v>
      </c>
      <c r="C7641" t="s">
        <v>40</v>
      </c>
      <c r="D7641">
        <v>4.4908710000000003</v>
      </c>
      <c r="E7641">
        <v>0.48648750000000002</v>
      </c>
      <c r="F7641" t="s">
        <v>41</v>
      </c>
      <c r="G7641">
        <v>-383.32530000000003</v>
      </c>
      <c r="H7641">
        <v>0.98998330000000001</v>
      </c>
      <c r="I7641">
        <v>18.295870000000001</v>
      </c>
      <c r="J7641">
        <v>-383.94889999999998</v>
      </c>
      <c r="K7641">
        <v>1.1074440000000001</v>
      </c>
      <c r="L7641">
        <v>18.323789999999999</v>
      </c>
      <c r="M7641">
        <v>0.9965889</v>
      </c>
      <c r="N7641">
        <v>0</v>
      </c>
      <c r="O7641">
        <v>-8.2523289999999999E-2</v>
      </c>
      <c r="P7641">
        <v>0.99538199999999999</v>
      </c>
      <c r="Q7641">
        <v>-2.3650210000000001E-2</v>
      </c>
      <c r="R7641">
        <v>-9.3034710000000007E-2</v>
      </c>
      <c r="S7641">
        <v>2.9885860000000002</v>
      </c>
      <c r="T7641">
        <v>-0.45737679999999997</v>
      </c>
      <c r="U7641">
        <v>-0.15631099999999901</v>
      </c>
      <c r="V7641">
        <v>1.053248E-2</v>
      </c>
      <c r="W7641">
        <v>-2.4415280000000001E-2</v>
      </c>
      <c r="X7641">
        <v>0.99964640000000005</v>
      </c>
      <c r="Y7641">
        <v>-2.9064900000000001E-2</v>
      </c>
      <c r="Z7641">
        <v>1.474015E-2</v>
      </c>
      <c r="AA7641">
        <v>0.99946889999999999</v>
      </c>
      <c r="AB7641">
        <v>28</v>
      </c>
      <c r="AC7641">
        <v>0.62359999999995297</v>
      </c>
      <c r="AD7641">
        <v>-0.1174607</v>
      </c>
      <c r="AE7641">
        <v>-2.7919999999998099E-2</v>
      </c>
      <c r="AF7641">
        <v>-2.2828453764827599E-2</v>
      </c>
      <c r="AG7641">
        <v>-0.1174607</v>
      </c>
      <c r="AH7641">
        <v>0.60244555161732805</v>
      </c>
      <c r="AI7641">
        <v>101.025007959699</v>
      </c>
      <c r="AJ7641">
        <v>92.170069243010801</v>
      </c>
      <c r="AK7641">
        <v>0.61421396679763796</v>
      </c>
      <c r="AL7641">
        <v>91.399031543411397</v>
      </c>
      <c r="AM7641">
        <v>89.396342223922403</v>
      </c>
      <c r="AN7641">
        <v>0.99999998203269402</v>
      </c>
    </row>
    <row r="7642" spans="1:40" x14ac:dyDescent="0.25">
      <c r="A7642" t="str">
        <f>"20190312154112914"</f>
        <v>20190312154112914</v>
      </c>
      <c r="B7642" t="str">
        <f>"1552376472904550"</f>
        <v>1552376472904550</v>
      </c>
      <c r="C7642" t="s">
        <v>40</v>
      </c>
      <c r="D7642">
        <v>4.488823</v>
      </c>
      <c r="E7642">
        <v>0.48641689999999999</v>
      </c>
      <c r="F7642" t="s">
        <v>41</v>
      </c>
      <c r="G7642">
        <v>-383.07769999999999</v>
      </c>
      <c r="H7642">
        <v>0.97873540000000003</v>
      </c>
      <c r="I7642">
        <v>18.277670000000001</v>
      </c>
      <c r="J7642">
        <v>-383.80119999999999</v>
      </c>
      <c r="K7642">
        <v>1.1074550000000001</v>
      </c>
      <c r="L7642">
        <v>18.311070000000001</v>
      </c>
      <c r="M7642">
        <v>0.99654799999999999</v>
      </c>
      <c r="N7642">
        <v>0</v>
      </c>
      <c r="O7642">
        <v>-8.3018320000000007E-2</v>
      </c>
      <c r="P7642">
        <v>0.99537500000000001</v>
      </c>
      <c r="Q7642">
        <v>-2.422177E-2</v>
      </c>
      <c r="R7642">
        <v>-9.2965249999999999E-2</v>
      </c>
      <c r="S7642">
        <v>2.9887389999999998</v>
      </c>
      <c r="T7642">
        <v>-0.44145230000000002</v>
      </c>
      <c r="U7642">
        <v>-0.15722659999999999</v>
      </c>
      <c r="V7642">
        <v>9.9661119999999992E-3</v>
      </c>
      <c r="W7642">
        <v>-2.4868979999999999E-2</v>
      </c>
      <c r="X7642">
        <v>0.99964109999999995</v>
      </c>
      <c r="Y7642">
        <v>-2.9338570000000001E-2</v>
      </c>
      <c r="Z7642">
        <v>1.4324160000000001E-2</v>
      </c>
      <c r="AA7642">
        <v>0.99946690000000005</v>
      </c>
      <c r="AB7642">
        <v>28</v>
      </c>
      <c r="AC7642">
        <v>0.72350000000000103</v>
      </c>
      <c r="AD7642">
        <v>-0.12871959999999899</v>
      </c>
      <c r="AE7642">
        <v>-3.3400000000000298E-2</v>
      </c>
      <c r="AF7642">
        <v>-2.5959120152351599E-2</v>
      </c>
      <c r="AG7642">
        <v>-0.12871959999999899</v>
      </c>
      <c r="AH7642">
        <v>0.70161446307373898</v>
      </c>
      <c r="AI7642">
        <v>100.389036982625</v>
      </c>
      <c r="AJ7642">
        <v>92.118927082366298</v>
      </c>
      <c r="AK7642">
        <v>0.71379651591857396</v>
      </c>
      <c r="AL7642">
        <v>91.425034425461106</v>
      </c>
      <c r="AM7642">
        <v>89.428797757296095</v>
      </c>
      <c r="AN7642">
        <v>1.00000005918192</v>
      </c>
    </row>
    <row r="7643" spans="1:40" x14ac:dyDescent="0.25">
      <c r="A7643" t="str">
        <f>"20190312154112926"</f>
        <v>20190312154112926</v>
      </c>
      <c r="B7643" t="str">
        <f>"1552376472914309"</f>
        <v>1552376472914309</v>
      </c>
      <c r="C7643" t="s">
        <v>40</v>
      </c>
      <c r="D7643">
        <v>4.4664479999999998</v>
      </c>
      <c r="E7643">
        <v>0.4865081</v>
      </c>
      <c r="F7643" t="s">
        <v>41</v>
      </c>
      <c r="G7643">
        <v>-383.0675</v>
      </c>
      <c r="H7643">
        <v>1.0020070000000001</v>
      </c>
      <c r="I7643">
        <v>18.272210000000001</v>
      </c>
      <c r="J7643">
        <v>-383.66019999999997</v>
      </c>
      <c r="K7643">
        <v>1.1074729999999999</v>
      </c>
      <c r="L7643">
        <v>18.298860000000001</v>
      </c>
      <c r="M7643">
        <v>0.99650899999999998</v>
      </c>
      <c r="N7643">
        <v>0</v>
      </c>
      <c r="O7643">
        <v>-8.3484269999999999E-2</v>
      </c>
      <c r="P7643">
        <v>0.9953514</v>
      </c>
      <c r="Q7643">
        <v>-2.424314E-2</v>
      </c>
      <c r="R7643">
        <v>-9.3211359999999993E-2</v>
      </c>
      <c r="S7643">
        <v>2.9888309999999998</v>
      </c>
      <c r="T7643">
        <v>-0.42950240000000001</v>
      </c>
      <c r="U7643">
        <v>-0.15710450000000001</v>
      </c>
      <c r="V7643">
        <v>9.7462610000000009E-3</v>
      </c>
      <c r="W7643">
        <v>-2.4762240000000001E-2</v>
      </c>
      <c r="X7643">
        <v>0.99964580000000003</v>
      </c>
      <c r="Y7643">
        <v>-2.990224E-2</v>
      </c>
      <c r="Z7643">
        <v>1.4046589999999999E-2</v>
      </c>
      <c r="AA7643">
        <v>0.99945410000000001</v>
      </c>
      <c r="AB7643">
        <v>28</v>
      </c>
      <c r="AC7643">
        <v>0.59269999999997902</v>
      </c>
      <c r="AD7643">
        <v>-0.105466</v>
      </c>
      <c r="AE7643">
        <v>-2.665E-2</v>
      </c>
      <c r="AF7643">
        <v>-2.22219648257489E-2</v>
      </c>
      <c r="AG7643">
        <v>-0.105466</v>
      </c>
      <c r="AH7643">
        <v>0.57469579107034396</v>
      </c>
      <c r="AI7643">
        <v>100.39139928245</v>
      </c>
      <c r="AJ7643">
        <v>92.214372935044906</v>
      </c>
      <c r="AK7643">
        <v>0.58471543946665605</v>
      </c>
      <c r="AL7643">
        <v>91.418916956956494</v>
      </c>
      <c r="AM7643">
        <v>89.4414002154992</v>
      </c>
      <c r="AN7643">
        <v>0.99999994179546703</v>
      </c>
    </row>
    <row r="7644" spans="1:40" x14ac:dyDescent="0.25">
      <c r="A7644" t="str">
        <f>"20190312154112938"</f>
        <v>20190312154112938</v>
      </c>
      <c r="B7644" t="str">
        <f>"1552376472933830"</f>
        <v>1552376472933830</v>
      </c>
      <c r="C7644" t="s">
        <v>40</v>
      </c>
      <c r="D7644">
        <v>4.498075</v>
      </c>
      <c r="E7644">
        <v>0.48635719999999999</v>
      </c>
      <c r="F7644" t="s">
        <v>41</v>
      </c>
      <c r="G7644">
        <v>-382.81869999999998</v>
      </c>
      <c r="H7644">
        <v>0.99028910000000003</v>
      </c>
      <c r="I7644">
        <v>18.253900000000002</v>
      </c>
      <c r="J7644">
        <v>-383.5102</v>
      </c>
      <c r="K7644">
        <v>1.107494</v>
      </c>
      <c r="L7644">
        <v>18.285830000000001</v>
      </c>
      <c r="M7644">
        <v>0.99646769999999996</v>
      </c>
      <c r="N7644">
        <v>0</v>
      </c>
      <c r="O7644">
        <v>-8.3977540000000003E-2</v>
      </c>
      <c r="P7644">
        <v>0.99532399999999999</v>
      </c>
      <c r="Q7644">
        <v>-2.5068420000000001E-2</v>
      </c>
      <c r="R7644">
        <v>-9.328583E-2</v>
      </c>
      <c r="S7644">
        <v>2.988953</v>
      </c>
      <c r="T7644">
        <v>-0.41612729999999998</v>
      </c>
      <c r="U7644">
        <v>-0.15899659999999999</v>
      </c>
      <c r="V7644">
        <v>9.3265320000000002E-3</v>
      </c>
      <c r="W7644">
        <v>-2.544573E-2</v>
      </c>
      <c r="X7644">
        <v>0.99963270000000004</v>
      </c>
      <c r="Y7644">
        <v>-2.9835E-2</v>
      </c>
      <c r="Z7644">
        <v>1.3675939999999999E-2</v>
      </c>
      <c r="AA7644">
        <v>0.9994613</v>
      </c>
      <c r="AB7644">
        <v>28</v>
      </c>
      <c r="AC7644">
        <v>0.69150000000001899</v>
      </c>
      <c r="AD7644">
        <v>-0.1172049</v>
      </c>
      <c r="AE7644">
        <v>-3.1929999999995497E-2</v>
      </c>
      <c r="AF7644">
        <v>-2.55216255474023E-2</v>
      </c>
      <c r="AG7644">
        <v>-0.1172049</v>
      </c>
      <c r="AH7644">
        <v>0.67246133505713601</v>
      </c>
      <c r="AI7644">
        <v>99.879930376643699</v>
      </c>
      <c r="AJ7644">
        <v>92.173478045245901</v>
      </c>
      <c r="AK7644">
        <v>0.683075829686146</v>
      </c>
      <c r="AL7644">
        <v>91.458090310025199</v>
      </c>
      <c r="AM7644">
        <v>89.465448242566296</v>
      </c>
      <c r="AN7644">
        <v>1.00000000214183</v>
      </c>
    </row>
    <row r="7645" spans="1:40" x14ac:dyDescent="0.25">
      <c r="A7645" t="str">
        <f>"20190312154112957"</f>
        <v>20190312154112957</v>
      </c>
      <c r="B7645" t="str">
        <f>"1552376472943590"</f>
        <v>1552376472943590</v>
      </c>
      <c r="C7645" t="s">
        <v>40</v>
      </c>
      <c r="D7645">
        <v>4.4564629999999896</v>
      </c>
      <c r="E7645">
        <v>0.48623280000000002</v>
      </c>
      <c r="F7645" t="s">
        <v>41</v>
      </c>
      <c r="G7645">
        <v>-382.56659999999999</v>
      </c>
      <c r="H7645">
        <v>0.98232589999999997</v>
      </c>
      <c r="I7645">
        <v>18.23536</v>
      </c>
      <c r="J7645">
        <v>-383.2706</v>
      </c>
      <c r="K7645">
        <v>1.1075299999999999</v>
      </c>
      <c r="L7645">
        <v>18.264890000000001</v>
      </c>
      <c r="M7645">
        <v>0.99640289999999998</v>
      </c>
      <c r="N7645">
        <v>0</v>
      </c>
      <c r="O7645">
        <v>-8.4743750000000007E-2</v>
      </c>
      <c r="P7645">
        <v>0.9953149</v>
      </c>
      <c r="Q7645">
        <v>-2.6374539999999998E-2</v>
      </c>
      <c r="R7645">
        <v>-9.3022069999999998E-2</v>
      </c>
      <c r="S7645">
        <v>2.9892270000000001</v>
      </c>
      <c r="T7645">
        <v>-0.3965262</v>
      </c>
      <c r="U7645">
        <v>-0.1588135</v>
      </c>
      <c r="V7645">
        <v>8.2944349999999993E-3</v>
      </c>
      <c r="W7645">
        <v>-2.650102E-2</v>
      </c>
      <c r="X7645">
        <v>0.99961440000000001</v>
      </c>
      <c r="Y7645">
        <v>-3.0755020000000001E-2</v>
      </c>
      <c r="Z7645">
        <v>1.3197769999999999E-2</v>
      </c>
      <c r="AA7645">
        <v>0.99943979999999999</v>
      </c>
      <c r="AB7645">
        <v>28</v>
      </c>
      <c r="AC7645">
        <v>0.70400000000000695</v>
      </c>
      <c r="AD7645">
        <v>-0.12520409999999901</v>
      </c>
      <c r="AE7645">
        <v>-2.9530000000001101E-2</v>
      </c>
      <c r="AF7645">
        <v>-2.9310375622560499E-2</v>
      </c>
      <c r="AG7645">
        <v>-0.12520409999999901</v>
      </c>
      <c r="AH7645">
        <v>0.68242327030288097</v>
      </c>
      <c r="AI7645">
        <v>100.38705794316699</v>
      </c>
      <c r="AJ7645">
        <v>92.459367041551701</v>
      </c>
      <c r="AK7645">
        <v>0.69443263505312403</v>
      </c>
      <c r="AL7645">
        <v>91.518574346056496</v>
      </c>
      <c r="AM7645">
        <v>89.524591469860695</v>
      </c>
      <c r="AN7645">
        <v>1.0000000252001799</v>
      </c>
    </row>
    <row r="7646" spans="1:40" x14ac:dyDescent="0.25">
      <c r="A7646" t="str">
        <f>"20190312154112969"</f>
        <v>20190312154112969</v>
      </c>
      <c r="B7646" t="str">
        <f>"1552376472964085"</f>
        <v>1552376472964085</v>
      </c>
      <c r="C7646" t="s">
        <v>40</v>
      </c>
      <c r="D7646">
        <v>4.4931179999999999</v>
      </c>
      <c r="E7646">
        <v>0.48608770000000001</v>
      </c>
      <c r="F7646" t="s">
        <v>41</v>
      </c>
      <c r="G7646">
        <v>-382.55309999999997</v>
      </c>
      <c r="H7646">
        <v>1.0135289999999999</v>
      </c>
      <c r="I7646">
        <v>18.226769999999998</v>
      </c>
      <c r="J7646">
        <v>-383.10899999999998</v>
      </c>
      <c r="K7646">
        <v>1.1075619999999999</v>
      </c>
      <c r="L7646">
        <v>18.250640000000001</v>
      </c>
      <c r="M7646">
        <v>0.99636040000000003</v>
      </c>
      <c r="N7646">
        <v>0</v>
      </c>
      <c r="O7646">
        <v>-8.5243490000000005E-2</v>
      </c>
      <c r="P7646">
        <v>0.99527849999999995</v>
      </c>
      <c r="Q7646">
        <v>-2.7169450000000001E-2</v>
      </c>
      <c r="R7646">
        <v>-9.3184260000000005E-2</v>
      </c>
      <c r="S7646">
        <v>2.9890439999999998</v>
      </c>
      <c r="T7646">
        <v>-0.39150649999999998</v>
      </c>
      <c r="U7646">
        <v>-0.15740970000000001</v>
      </c>
      <c r="V7646">
        <v>7.9573189999999992E-3</v>
      </c>
      <c r="W7646">
        <v>-2.711715E-2</v>
      </c>
      <c r="X7646">
        <v>0.99960059999999995</v>
      </c>
      <c r="Y7646">
        <v>-3.1733650000000002E-2</v>
      </c>
      <c r="Z7646">
        <v>1.316178E-2</v>
      </c>
      <c r="AA7646">
        <v>0.99940969999999996</v>
      </c>
      <c r="AB7646">
        <v>28</v>
      </c>
      <c r="AC7646">
        <v>0.55590000000006501</v>
      </c>
      <c r="AD7646">
        <v>-9.4033000000000005E-2</v>
      </c>
      <c r="AE7646">
        <v>-2.3869999999998701E-2</v>
      </c>
      <c r="AF7646">
        <v>-2.2948310098630499E-2</v>
      </c>
      <c r="AG7646">
        <v>-9.4033000000000005E-2</v>
      </c>
      <c r="AH7646">
        <v>0.54047508071274097</v>
      </c>
      <c r="AI7646">
        <v>99.860938403965505</v>
      </c>
      <c r="AJ7646">
        <v>92.431290691325202</v>
      </c>
      <c r="AK7646">
        <v>0.54907389566143705</v>
      </c>
      <c r="AL7646">
        <v>91.553888712294196</v>
      </c>
      <c r="AM7646">
        <v>89.543906671515401</v>
      </c>
      <c r="AN7646">
        <v>1.00000000913507</v>
      </c>
    </row>
    <row r="7647" spans="1:40" x14ac:dyDescent="0.25">
      <c r="A7647" t="str">
        <f>"20190312154112992"</f>
        <v>20190312154112992</v>
      </c>
      <c r="B7647" t="str">
        <f>"1552376472983605"</f>
        <v>1552376472983605</v>
      </c>
      <c r="C7647" t="s">
        <v>40</v>
      </c>
      <c r="D7647">
        <v>4.4626390000000002</v>
      </c>
      <c r="E7647">
        <v>0.48598140000000001</v>
      </c>
      <c r="F7647" t="s">
        <v>41</v>
      </c>
      <c r="G7647">
        <v>-382.3</v>
      </c>
      <c r="H7647">
        <v>1.0053879999999999</v>
      </c>
      <c r="I7647">
        <v>18.207830000000001</v>
      </c>
      <c r="J7647">
        <v>-382.82769999999999</v>
      </c>
      <c r="K7647">
        <v>1.107631</v>
      </c>
      <c r="L7647">
        <v>18.225709999999999</v>
      </c>
      <c r="M7647">
        <v>0.99628810000000001</v>
      </c>
      <c r="N7647">
        <v>0</v>
      </c>
      <c r="O7647">
        <v>-8.608093E-2</v>
      </c>
      <c r="P7647">
        <v>0.99523110000000004</v>
      </c>
      <c r="Q7647">
        <v>-2.866343E-2</v>
      </c>
      <c r="R7647">
        <v>-9.3240500000000004E-2</v>
      </c>
      <c r="S7647">
        <v>2.9891969999999999</v>
      </c>
      <c r="T7647">
        <v>-0.37746669999999999</v>
      </c>
      <c r="U7647">
        <v>-0.15734860000000001</v>
      </c>
      <c r="V7647">
        <v>7.1770130000000003E-3</v>
      </c>
      <c r="W7647">
        <v>-2.8292009999999999E-2</v>
      </c>
      <c r="X7647">
        <v>0.99957390000000002</v>
      </c>
      <c r="Y7647">
        <v>-3.2652750000000001E-2</v>
      </c>
      <c r="Z7647">
        <v>1.285554E-2</v>
      </c>
      <c r="AA7647">
        <v>0.9993841</v>
      </c>
      <c r="AB7647">
        <v>29</v>
      </c>
      <c r="AC7647">
        <v>0.52769999999998096</v>
      </c>
      <c r="AD7647">
        <v>-0.102243</v>
      </c>
      <c r="AE7647">
        <v>-1.7880000000001599E-2</v>
      </c>
      <c r="AF7647">
        <v>-2.6613359939379799E-2</v>
      </c>
      <c r="AG7647">
        <v>-0.102243</v>
      </c>
      <c r="AH7647">
        <v>0.50822360320291005</v>
      </c>
      <c r="AI7647">
        <v>101.359613333205</v>
      </c>
      <c r="AJ7647">
        <v>92.997581602133394</v>
      </c>
      <c r="AK7647">
        <v>0.51908875236207097</v>
      </c>
      <c r="AL7647">
        <v>91.621229155840993</v>
      </c>
      <c r="AM7647">
        <v>89.588619222495495</v>
      </c>
      <c r="AN7647">
        <v>0.99999996445332495</v>
      </c>
    </row>
    <row r="7648" spans="1:40" x14ac:dyDescent="0.25">
      <c r="A7648" t="str">
        <f>"20190312154113007"</f>
        <v>20190312154113007</v>
      </c>
      <c r="B7648" t="str">
        <f>"1552376472994342"</f>
        <v>1552376472994342</v>
      </c>
      <c r="C7648" t="s">
        <v>40</v>
      </c>
      <c r="D7648">
        <v>4.4717010000000004</v>
      </c>
      <c r="E7648">
        <v>0.48595310000000003</v>
      </c>
      <c r="F7648" t="s">
        <v>41</v>
      </c>
      <c r="G7648">
        <v>-382.03989999999999</v>
      </c>
      <c r="H7648">
        <v>1.0106630000000001</v>
      </c>
      <c r="I7648">
        <v>18.183959999999999</v>
      </c>
      <c r="J7648">
        <v>-382.63</v>
      </c>
      <c r="K7648">
        <v>1.107685</v>
      </c>
      <c r="L7648">
        <v>18.208069999999999</v>
      </c>
      <c r="M7648">
        <v>0.99624029999999997</v>
      </c>
      <c r="N7648">
        <v>0</v>
      </c>
      <c r="O7648">
        <v>-8.6632319999999999E-2</v>
      </c>
      <c r="P7648">
        <v>0.99522409999999994</v>
      </c>
      <c r="Q7648">
        <v>-2.8897659999999999E-2</v>
      </c>
      <c r="R7648">
        <v>-9.3243930000000003E-2</v>
      </c>
      <c r="S7648">
        <v>2.9890750000000001</v>
      </c>
      <c r="T7648">
        <v>-0.3678669</v>
      </c>
      <c r="U7648">
        <v>-0.15716550000000001</v>
      </c>
      <c r="V7648">
        <v>6.6294739999999998E-3</v>
      </c>
      <c r="W7648">
        <v>-2.8296709999999999E-2</v>
      </c>
      <c r="X7648">
        <v>0.99957759999999996</v>
      </c>
      <c r="Y7648">
        <v>-3.3302640000000001E-2</v>
      </c>
      <c r="Z7648">
        <v>1.2638709999999999E-2</v>
      </c>
      <c r="AA7648">
        <v>0.99936539999999996</v>
      </c>
      <c r="AB7648">
        <v>29</v>
      </c>
      <c r="AC7648">
        <v>0.59010000000000595</v>
      </c>
      <c r="AD7648">
        <v>-9.7022000000000094E-2</v>
      </c>
      <c r="AE7648">
        <v>-2.4110000000003799E-2</v>
      </c>
      <c r="AF7648">
        <v>-2.6390171499083698E-2</v>
      </c>
      <c r="AG7648">
        <v>-9.7022000000000094E-2</v>
      </c>
      <c r="AH7648">
        <v>0.57446664106231304</v>
      </c>
      <c r="AI7648">
        <v>99.576341884442797</v>
      </c>
      <c r="AJ7648">
        <v>92.630236527545506</v>
      </c>
      <c r="AK7648">
        <v>0.58319947816263296</v>
      </c>
      <c r="AL7648">
        <v>91.621498470150001</v>
      </c>
      <c r="AM7648">
        <v>89.620004178389706</v>
      </c>
      <c r="AN7648">
        <v>1.0000000160720499</v>
      </c>
    </row>
    <row r="7649" spans="1:40" x14ac:dyDescent="0.25">
      <c r="A7649" t="str">
        <f>"20190312154113023"</f>
        <v>20190312154113023</v>
      </c>
      <c r="B7649" t="str">
        <f>"1552376473013862"</f>
        <v>1552376473013862</v>
      </c>
      <c r="C7649" t="s">
        <v>40</v>
      </c>
      <c r="D7649">
        <v>4.4893289999999997</v>
      </c>
      <c r="E7649">
        <v>0.48580449999999997</v>
      </c>
      <c r="F7649" t="s">
        <v>41</v>
      </c>
      <c r="G7649">
        <v>-381.78320000000002</v>
      </c>
      <c r="H7649">
        <v>1.0050749999999999</v>
      </c>
      <c r="I7649">
        <v>18.16339</v>
      </c>
      <c r="J7649">
        <v>-382.40699999999998</v>
      </c>
      <c r="K7649">
        <v>1.107758</v>
      </c>
      <c r="L7649">
        <v>18.188079999999999</v>
      </c>
      <c r="M7649">
        <v>0.99618910000000005</v>
      </c>
      <c r="N7649">
        <v>0</v>
      </c>
      <c r="O7649">
        <v>-8.7215680000000004E-2</v>
      </c>
      <c r="P7649">
        <v>0.9952143</v>
      </c>
      <c r="Q7649">
        <v>-2.8979910000000001E-2</v>
      </c>
      <c r="R7649">
        <v>-9.3320330000000007E-2</v>
      </c>
      <c r="S7649">
        <v>2.9891359999999998</v>
      </c>
      <c r="T7649">
        <v>-0.36220469999999999</v>
      </c>
      <c r="U7649">
        <v>-0.15722659999999999</v>
      </c>
      <c r="V7649">
        <v>6.1239519999999898E-3</v>
      </c>
      <c r="W7649">
        <v>-2.8117920000000001E-2</v>
      </c>
      <c r="X7649">
        <v>0.99958590000000003</v>
      </c>
      <c r="Y7649">
        <v>-3.3887569999999999E-2</v>
      </c>
      <c r="Z7649">
        <v>1.255073E-2</v>
      </c>
      <c r="AA7649">
        <v>0.99934690000000004</v>
      </c>
      <c r="AB7649">
        <v>29</v>
      </c>
      <c r="AC7649">
        <v>0.62379999999996005</v>
      </c>
      <c r="AD7649">
        <v>-0.102683</v>
      </c>
      <c r="AE7649">
        <v>-2.4689999999999601E-2</v>
      </c>
      <c r="AF7649">
        <v>-2.90240354692601E-2</v>
      </c>
      <c r="AG7649">
        <v>-0.102683</v>
      </c>
      <c r="AH7649">
        <v>0.60715066779436899</v>
      </c>
      <c r="AI7649">
        <v>99.588442347467094</v>
      </c>
      <c r="AJ7649">
        <v>92.7368655516795</v>
      </c>
      <c r="AK7649">
        <v>0.61645610267647599</v>
      </c>
      <c r="AL7649">
        <v>91.611250432164695</v>
      </c>
      <c r="AM7649">
        <v>89.648982429903199</v>
      </c>
      <c r="AN7649">
        <v>1.0000000458460101</v>
      </c>
    </row>
    <row r="7650" spans="1:40" x14ac:dyDescent="0.25">
      <c r="A7650" t="str">
        <f>"20190312154113036"</f>
        <v>20190312154113036</v>
      </c>
      <c r="B7650" t="str">
        <f>"1552376473023622"</f>
        <v>1552376473023622</v>
      </c>
      <c r="C7650" t="s">
        <v>40</v>
      </c>
      <c r="D7650">
        <v>4.5135139999999998</v>
      </c>
      <c r="E7650">
        <v>0.4856145</v>
      </c>
      <c r="F7650" t="s">
        <v>41</v>
      </c>
      <c r="G7650">
        <v>-381.52370000000002</v>
      </c>
      <c r="H7650">
        <v>1.003511</v>
      </c>
      <c r="I7650">
        <v>18.141369999999998</v>
      </c>
      <c r="J7650">
        <v>-382.24099999999999</v>
      </c>
      <c r="K7650">
        <v>1.1078129999999999</v>
      </c>
      <c r="L7650">
        <v>18.173159999999999</v>
      </c>
      <c r="M7650">
        <v>0.99615299999999996</v>
      </c>
      <c r="N7650">
        <v>0</v>
      </c>
      <c r="O7650">
        <v>-8.7625060000000005E-2</v>
      </c>
      <c r="P7650">
        <v>0.99522010000000005</v>
      </c>
      <c r="Q7650">
        <v>-2.8442180000000001E-2</v>
      </c>
      <c r="R7650">
        <v>-9.3425129999999995E-2</v>
      </c>
      <c r="S7650">
        <v>2.9894409999999998</v>
      </c>
      <c r="T7650">
        <v>-0.35272779999999998</v>
      </c>
      <c r="U7650">
        <v>-0.15682979999999899</v>
      </c>
      <c r="V7650">
        <v>5.8201529999999998E-3</v>
      </c>
      <c r="W7650">
        <v>-2.7385679999999999E-2</v>
      </c>
      <c r="X7650">
        <v>0.99960800000000005</v>
      </c>
      <c r="Y7650">
        <v>-3.4474539999999998E-2</v>
      </c>
      <c r="Z7650">
        <v>1.230585E-2</v>
      </c>
      <c r="AA7650">
        <v>0.99932980000000005</v>
      </c>
      <c r="AB7650">
        <v>29</v>
      </c>
      <c r="AC7650">
        <v>0.71729999999996596</v>
      </c>
      <c r="AD7650">
        <v>-0.10430199999999901</v>
      </c>
      <c r="AE7650">
        <v>-3.17899999999973E-2</v>
      </c>
      <c r="AF7650">
        <v>-3.05412744831083E-2</v>
      </c>
      <c r="AG7650">
        <v>-0.10430199999999901</v>
      </c>
      <c r="AH7650">
        <v>0.70250205926382803</v>
      </c>
      <c r="AI7650">
        <v>98.437279221687106</v>
      </c>
      <c r="AJ7650">
        <v>92.489366233379997</v>
      </c>
      <c r="AK7650">
        <v>0.71085921244714201</v>
      </c>
      <c r="AL7650">
        <v>91.569280075785997</v>
      </c>
      <c r="AM7650">
        <v>89.666402795095706</v>
      </c>
      <c r="AN7650">
        <v>1.0000000016570001</v>
      </c>
    </row>
    <row r="7651" spans="1:40" x14ac:dyDescent="0.25">
      <c r="A7651" t="str">
        <f>"20190312154113048"</f>
        <v>20190312154113048</v>
      </c>
      <c r="B7651" t="str">
        <f>"1552376473044118"</f>
        <v>1552376473044118</v>
      </c>
      <c r="C7651" t="s">
        <v>40</v>
      </c>
      <c r="D7651">
        <v>4.4953669999999999</v>
      </c>
      <c r="E7651">
        <v>0.48529339999999999</v>
      </c>
      <c r="F7651" t="s">
        <v>41</v>
      </c>
      <c r="G7651">
        <v>-381.51499999999999</v>
      </c>
      <c r="H7651">
        <v>1.02369</v>
      </c>
      <c r="I7651">
        <v>18.134899999999998</v>
      </c>
      <c r="J7651">
        <v>-382.08620000000002</v>
      </c>
      <c r="K7651">
        <v>1.107856</v>
      </c>
      <c r="L7651">
        <v>18.159210000000002</v>
      </c>
      <c r="M7651">
        <v>0.99612259999999997</v>
      </c>
      <c r="N7651">
        <v>0</v>
      </c>
      <c r="O7651">
        <v>-8.7969439999999996E-2</v>
      </c>
      <c r="P7651">
        <v>0.99520459999999999</v>
      </c>
      <c r="Q7651">
        <v>-2.817238E-2</v>
      </c>
      <c r="R7651">
        <v>-9.3673179999999995E-2</v>
      </c>
      <c r="S7651">
        <v>2.9898380000000002</v>
      </c>
      <c r="T7651">
        <v>-0.34635529999999998</v>
      </c>
      <c r="U7651">
        <v>-0.15597529999999901</v>
      </c>
      <c r="V7651">
        <v>5.7256709999999999E-3</v>
      </c>
      <c r="W7651">
        <v>-2.6938630000000002E-2</v>
      </c>
      <c r="X7651">
        <v>0.99962070000000003</v>
      </c>
      <c r="Y7651">
        <v>-3.5135399999999997E-2</v>
      </c>
      <c r="Z7651">
        <v>1.216125E-2</v>
      </c>
      <c r="AA7651">
        <v>0.99930859999999999</v>
      </c>
      <c r="AB7651">
        <v>29</v>
      </c>
      <c r="AC7651">
        <v>0.57120000000003202</v>
      </c>
      <c r="AD7651">
        <v>-8.4165999999999894E-2</v>
      </c>
      <c r="AE7651">
        <v>-2.4310000000003301E-2</v>
      </c>
      <c r="AF7651">
        <v>-2.5480196459747601E-2</v>
      </c>
      <c r="AG7651">
        <v>-8.4165999999999894E-2</v>
      </c>
      <c r="AH7651">
        <v>0.55900891524177498</v>
      </c>
      <c r="AI7651">
        <v>98.553555375879696</v>
      </c>
      <c r="AJ7651">
        <v>92.609793668691907</v>
      </c>
      <c r="AK7651">
        <v>0.56588348914543696</v>
      </c>
      <c r="AL7651">
        <v>91.5436565328028</v>
      </c>
      <c r="AM7651">
        <v>89.671822326607298</v>
      </c>
      <c r="AN7651">
        <v>1.0000000084815801</v>
      </c>
    </row>
    <row r="7652" spans="1:40" x14ac:dyDescent="0.25">
      <c r="A7652" t="str">
        <f>"20190312154113060"</f>
        <v>20190312154113060</v>
      </c>
      <c r="B7652" t="str">
        <f>"1552376473053878"</f>
        <v>1552376473053878</v>
      </c>
      <c r="C7652" t="s">
        <v>40</v>
      </c>
      <c r="D7652">
        <v>4.5251440000000001</v>
      </c>
      <c r="E7652">
        <v>0.48515589999999997</v>
      </c>
      <c r="F7652" t="s">
        <v>41</v>
      </c>
      <c r="G7652">
        <v>-381.25749999999999</v>
      </c>
      <c r="H7652">
        <v>1.0143310000000001</v>
      </c>
      <c r="I7652">
        <v>18.11637</v>
      </c>
      <c r="J7652">
        <v>-381.92529999999999</v>
      </c>
      <c r="K7652">
        <v>1.107909</v>
      </c>
      <c r="L7652">
        <v>18.144680000000001</v>
      </c>
      <c r="M7652">
        <v>0.99609210000000004</v>
      </c>
      <c r="N7652">
        <v>0</v>
      </c>
      <c r="O7652">
        <v>-8.8310260000000002E-2</v>
      </c>
      <c r="P7652">
        <v>0.99519400000000002</v>
      </c>
      <c r="Q7652">
        <v>-2.7725949999999999E-2</v>
      </c>
      <c r="R7652">
        <v>-9.3915780000000004E-2</v>
      </c>
      <c r="S7652">
        <v>2.9903559999999998</v>
      </c>
      <c r="T7652">
        <v>-0.33748790000000001</v>
      </c>
      <c r="U7652">
        <v>-0.15454100000000001</v>
      </c>
      <c r="V7652">
        <v>5.6294229999999997E-3</v>
      </c>
      <c r="W7652">
        <v>-2.6310099999999999E-2</v>
      </c>
      <c r="X7652">
        <v>0.99963800000000003</v>
      </c>
      <c r="Y7652">
        <v>-3.5998299999999997E-2</v>
      </c>
      <c r="Z7652">
        <v>1.193671E-2</v>
      </c>
      <c r="AA7652">
        <v>0.99928059999999996</v>
      </c>
      <c r="AB7652">
        <v>29</v>
      </c>
      <c r="AC7652">
        <v>0.66779999999999895</v>
      </c>
      <c r="AD7652">
        <v>-9.3578000000000106E-2</v>
      </c>
      <c r="AE7652">
        <v>-2.8309999999997601E-2</v>
      </c>
      <c r="AF7652">
        <v>-3.01826468625544E-2</v>
      </c>
      <c r="AG7652">
        <v>-9.3578000000000106E-2</v>
      </c>
      <c r="AH7652">
        <v>0.65485525824031898</v>
      </c>
      <c r="AI7652">
        <v>98.123929653583403</v>
      </c>
      <c r="AJ7652">
        <v>92.638927074416401</v>
      </c>
      <c r="AK7652">
        <v>0.66219577429988496</v>
      </c>
      <c r="AL7652">
        <v>91.507631626221993</v>
      </c>
      <c r="AM7652">
        <v>89.677344429256607</v>
      </c>
      <c r="AN7652">
        <v>1.00000002140466</v>
      </c>
    </row>
    <row r="7653" spans="1:40" x14ac:dyDescent="0.25">
      <c r="A7653" t="str">
        <f>"20190312154113079"</f>
        <v>20190312154113079</v>
      </c>
      <c r="B7653" t="str">
        <f>"1552376473074373"</f>
        <v>1552376473074373</v>
      </c>
      <c r="C7653" t="s">
        <v>40</v>
      </c>
      <c r="D7653">
        <v>4.5284149999999999</v>
      </c>
      <c r="E7653">
        <v>0.48493609999999998</v>
      </c>
      <c r="F7653" t="s">
        <v>41</v>
      </c>
      <c r="G7653">
        <v>-380.99930000000001</v>
      </c>
      <c r="H7653">
        <v>1.004837</v>
      </c>
      <c r="I7653">
        <v>18.096720000000001</v>
      </c>
      <c r="J7653">
        <v>-381.68830000000003</v>
      </c>
      <c r="K7653">
        <v>1.107988</v>
      </c>
      <c r="L7653">
        <v>18.123200000000001</v>
      </c>
      <c r="M7653">
        <v>0.9960523</v>
      </c>
      <c r="N7653">
        <v>0</v>
      </c>
      <c r="O7653">
        <v>-8.8752919999999999E-2</v>
      </c>
      <c r="P7653">
        <v>0.99515790000000004</v>
      </c>
      <c r="Q7653">
        <v>-2.765082E-2</v>
      </c>
      <c r="R7653">
        <v>-9.4320760000000003E-2</v>
      </c>
      <c r="S7653">
        <v>2.9906619999999999</v>
      </c>
      <c r="T7653">
        <v>-0.3328623</v>
      </c>
      <c r="U7653">
        <v>-0.15448000000000001</v>
      </c>
      <c r="V7653">
        <v>5.595638E-3</v>
      </c>
      <c r="W7653">
        <v>-2.597412E-2</v>
      </c>
      <c r="X7653">
        <v>0.99964699999999995</v>
      </c>
      <c r="Y7653">
        <v>-3.6483790000000002E-2</v>
      </c>
      <c r="Z7653">
        <v>1.184874E-2</v>
      </c>
      <c r="AA7653">
        <v>0.99926400000000004</v>
      </c>
      <c r="AB7653">
        <v>29</v>
      </c>
      <c r="AC7653">
        <v>0.68900000000002104</v>
      </c>
      <c r="AD7653">
        <v>-0.10315100000000001</v>
      </c>
      <c r="AE7653">
        <v>-2.64799999999994E-2</v>
      </c>
      <c r="AF7653">
        <v>-3.4014096165657502E-2</v>
      </c>
      <c r="AG7653">
        <v>-0.10315100000000001</v>
      </c>
      <c r="AH7653">
        <v>0.67355669947101304</v>
      </c>
      <c r="AI7653">
        <v>98.695932656188504</v>
      </c>
      <c r="AJ7653">
        <v>92.890937079901207</v>
      </c>
      <c r="AK7653">
        <v>0.68225780680125003</v>
      </c>
      <c r="AL7653">
        <v>91.488374773632998</v>
      </c>
      <c r="AM7653">
        <v>89.679283694548801</v>
      </c>
      <c r="AN7653">
        <v>1.00000004534169</v>
      </c>
    </row>
    <row r="7654" spans="1:40" x14ac:dyDescent="0.25">
      <c r="A7654" t="str">
        <f>"20190312154113089"</f>
        <v>20190312154113089</v>
      </c>
      <c r="B7654" t="str">
        <f>"1552376473084134"</f>
        <v>1552376473084134</v>
      </c>
      <c r="C7654" t="s">
        <v>40</v>
      </c>
      <c r="D7654">
        <v>4.5323000000000002</v>
      </c>
      <c r="E7654">
        <v>0.48485889999999998</v>
      </c>
      <c r="F7654" t="s">
        <v>41</v>
      </c>
      <c r="G7654">
        <v>-380.73630000000003</v>
      </c>
      <c r="H7654">
        <v>1.003644</v>
      </c>
      <c r="I7654">
        <v>18.073820000000001</v>
      </c>
      <c r="J7654">
        <v>-381.53410000000002</v>
      </c>
      <c r="K7654">
        <v>1.1080380000000001</v>
      </c>
      <c r="L7654">
        <v>18.109220000000001</v>
      </c>
      <c r="M7654">
        <v>0.99603019999999998</v>
      </c>
      <c r="N7654">
        <v>0</v>
      </c>
      <c r="O7654">
        <v>-8.8997259999999995E-2</v>
      </c>
      <c r="P7654">
        <v>0.99515480000000001</v>
      </c>
      <c r="Q7654">
        <v>-2.750329E-2</v>
      </c>
      <c r="R7654">
        <v>-9.4394580000000006E-2</v>
      </c>
      <c r="S7654">
        <v>2.9908450000000002</v>
      </c>
      <c r="T7654">
        <v>-0.3277466</v>
      </c>
      <c r="U7654">
        <v>-0.1545715</v>
      </c>
      <c r="V7654">
        <v>5.4270569999999999E-3</v>
      </c>
      <c r="W7654">
        <v>-2.5662959999999999E-2</v>
      </c>
      <c r="X7654">
        <v>0.99965590000000004</v>
      </c>
      <c r="Y7654">
        <v>-3.6722240000000003E-2</v>
      </c>
      <c r="Z7654">
        <v>1.1706589999999999E-2</v>
      </c>
      <c r="AA7654">
        <v>0.99925699999999995</v>
      </c>
      <c r="AB7654">
        <v>29</v>
      </c>
      <c r="AC7654">
        <v>0.79779999999999496</v>
      </c>
      <c r="AD7654">
        <v>-0.104393999999999</v>
      </c>
      <c r="AE7654">
        <v>-3.5399999999999203E-2</v>
      </c>
      <c r="AF7654">
        <v>-3.51420724351688E-2</v>
      </c>
      <c r="AG7654">
        <v>-0.104393999999999</v>
      </c>
      <c r="AH7654">
        <v>0.784380685550356</v>
      </c>
      <c r="AI7654">
        <v>97.573491269294095</v>
      </c>
      <c r="AJ7654">
        <v>92.565268240873493</v>
      </c>
      <c r="AK7654">
        <v>0.79207710000699105</v>
      </c>
      <c r="AL7654">
        <v>91.470540771488004</v>
      </c>
      <c r="AM7654">
        <v>89.688948560743896</v>
      </c>
      <c r="AN7654">
        <v>0.99999997943422603</v>
      </c>
    </row>
    <row r="7655" spans="1:40" x14ac:dyDescent="0.25">
      <c r="A7655" t="str">
        <f>"20190312154113102"</f>
        <v>20190312154113102</v>
      </c>
      <c r="B7655" t="str">
        <f>"1552376473093894"</f>
        <v>1552376473093894</v>
      </c>
      <c r="C7655" t="s">
        <v>40</v>
      </c>
      <c r="D7655">
        <v>4.5383519999999997</v>
      </c>
      <c r="E7655">
        <v>0.48481049999999998</v>
      </c>
      <c r="F7655" t="s">
        <v>41</v>
      </c>
      <c r="G7655">
        <v>-380.72919999999999</v>
      </c>
      <c r="H7655">
        <v>1.0204329999999999</v>
      </c>
      <c r="I7655">
        <v>18.067440000000001</v>
      </c>
      <c r="J7655">
        <v>-381.3784</v>
      </c>
      <c r="K7655">
        <v>1.1080810000000001</v>
      </c>
      <c r="L7655">
        <v>18.095120000000001</v>
      </c>
      <c r="M7655">
        <v>0.9959981</v>
      </c>
      <c r="N7655">
        <v>0</v>
      </c>
      <c r="O7655">
        <v>-8.9353810000000006E-2</v>
      </c>
      <c r="P7655">
        <v>0.99509159999999997</v>
      </c>
      <c r="Q7655">
        <v>-2.8035830000000001E-2</v>
      </c>
      <c r="R7655">
        <v>-9.4904370000000002E-2</v>
      </c>
      <c r="S7655">
        <v>2.990936</v>
      </c>
      <c r="T7655">
        <v>-0.3254919</v>
      </c>
      <c r="U7655">
        <v>-0.1545715</v>
      </c>
      <c r="V7655">
        <v>5.5846730000000001E-3</v>
      </c>
      <c r="W7655">
        <v>-2.608771E-2</v>
      </c>
      <c r="X7655">
        <v>0.99964399999999998</v>
      </c>
      <c r="Y7655">
        <v>-3.708761E-2</v>
      </c>
      <c r="Z7655">
        <v>1.1684490000000001E-2</v>
      </c>
      <c r="AA7655">
        <v>0.99924369999999996</v>
      </c>
      <c r="AB7655">
        <v>29</v>
      </c>
      <c r="AC7655">
        <v>0.64920000000000699</v>
      </c>
      <c r="AD7655">
        <v>-8.7647999999999907E-2</v>
      </c>
      <c r="AE7655">
        <v>-2.7680000000003702E-2</v>
      </c>
      <c r="AF7655">
        <v>-2.98953927591664E-2</v>
      </c>
      <c r="AG7655">
        <v>-8.7647999999999907E-2</v>
      </c>
      <c r="AH7655">
        <v>0.63747793383864804</v>
      </c>
      <c r="AI7655">
        <v>97.820128364388196</v>
      </c>
      <c r="AJ7655">
        <v>92.684996140871903</v>
      </c>
      <c r="AK7655">
        <v>0.644169249920715</v>
      </c>
      <c r="AL7655">
        <v>91.494885361650304</v>
      </c>
      <c r="AM7655">
        <v>89.679911184382703</v>
      </c>
      <c r="AN7655">
        <v>0.99999994196077802</v>
      </c>
    </row>
    <row r="7656" spans="1:40" x14ac:dyDescent="0.25">
      <c r="A7656" t="str">
        <f>"20190312154113114"</f>
        <v>20190312154113114</v>
      </c>
      <c r="B7656" t="str">
        <f>"1552376473103654"</f>
        <v>1552376473103654</v>
      </c>
      <c r="C7656" t="s">
        <v>40</v>
      </c>
      <c r="D7656">
        <v>4.5070319999999997</v>
      </c>
      <c r="E7656">
        <v>0.48474319999999999</v>
      </c>
      <c r="F7656" t="s">
        <v>41</v>
      </c>
      <c r="G7656">
        <v>-380.46859999999998</v>
      </c>
      <c r="H7656">
        <v>1.009142</v>
      </c>
      <c r="I7656">
        <v>18.047450000000001</v>
      </c>
      <c r="J7656">
        <v>-381.21089999999998</v>
      </c>
      <c r="K7656">
        <v>1.1081179999999999</v>
      </c>
      <c r="L7656">
        <v>18.07996</v>
      </c>
      <c r="M7656">
        <v>0.99594959999999999</v>
      </c>
      <c r="N7656">
        <v>0</v>
      </c>
      <c r="O7656">
        <v>-8.9890819999999996E-2</v>
      </c>
      <c r="P7656">
        <v>0.99502460000000004</v>
      </c>
      <c r="Q7656">
        <v>-2.825898E-2</v>
      </c>
      <c r="R7656">
        <v>-9.5537999999999998E-2</v>
      </c>
      <c r="S7656">
        <v>2.9907530000000002</v>
      </c>
      <c r="T7656">
        <v>-0.32526339999999998</v>
      </c>
      <c r="U7656">
        <v>-0.1557617</v>
      </c>
      <c r="V7656">
        <v>5.6858809999999899E-3</v>
      </c>
      <c r="W7656">
        <v>-2.6274599999999999E-2</v>
      </c>
      <c r="X7656">
        <v>0.99963860000000004</v>
      </c>
      <c r="Y7656">
        <v>-3.7223720000000002E-2</v>
      </c>
      <c r="Z7656">
        <v>1.1742209999999999E-2</v>
      </c>
      <c r="AA7656">
        <v>0.99923799999999996</v>
      </c>
      <c r="AB7656">
        <v>30</v>
      </c>
      <c r="AC7656">
        <v>0.74229999999999996</v>
      </c>
      <c r="AD7656">
        <v>-9.8975999999999897E-2</v>
      </c>
      <c r="AE7656">
        <v>-3.2509999999998401E-2</v>
      </c>
      <c r="AF7656">
        <v>-3.3748840454125503E-2</v>
      </c>
      <c r="AG7656">
        <v>-9.8975999999999897E-2</v>
      </c>
      <c r="AH7656">
        <v>0.72927644469712005</v>
      </c>
      <c r="AI7656">
        <v>97.720687571869405</v>
      </c>
      <c r="AJ7656">
        <v>92.649595421159006</v>
      </c>
      <c r="AK7656">
        <v>0.73673561444935598</v>
      </c>
      <c r="AL7656">
        <v>91.505596944036299</v>
      </c>
      <c r="AM7656">
        <v>89.674108751967793</v>
      </c>
      <c r="AN7656">
        <v>1.0000000072289299</v>
      </c>
    </row>
    <row r="7657" spans="1:40" x14ac:dyDescent="0.25">
      <c r="A7657" t="str">
        <f>"20190312154113127"</f>
        <v>20190312154113127</v>
      </c>
      <c r="B7657" t="str">
        <f>"1552376473124150"</f>
        <v>1552376473124150</v>
      </c>
      <c r="C7657" t="s">
        <v>40</v>
      </c>
      <c r="D7657">
        <v>4.5431030000000003</v>
      </c>
      <c r="E7657">
        <v>0.48472989999999999</v>
      </c>
      <c r="F7657" t="s">
        <v>41</v>
      </c>
      <c r="G7657">
        <v>-380.46</v>
      </c>
      <c r="H7657">
        <v>1.0266379999999999</v>
      </c>
      <c r="I7657">
        <v>18.040189999999999</v>
      </c>
      <c r="J7657">
        <v>-381.0505</v>
      </c>
      <c r="K7657">
        <v>1.1081179999999999</v>
      </c>
      <c r="L7657">
        <v>18.065429999999999</v>
      </c>
      <c r="M7657">
        <v>0.99592919999999996</v>
      </c>
      <c r="N7657">
        <v>0</v>
      </c>
      <c r="O7657">
        <v>-9.0112150000000002E-2</v>
      </c>
      <c r="P7657">
        <v>0.99498960000000003</v>
      </c>
      <c r="Q7657">
        <v>-2.8463760000000001E-2</v>
      </c>
      <c r="R7657">
        <v>-9.584194E-2</v>
      </c>
      <c r="S7657">
        <v>2.9906920000000001</v>
      </c>
      <c r="T7657">
        <v>-0.32448909999999997</v>
      </c>
      <c r="U7657">
        <v>-0.157196</v>
      </c>
      <c r="V7657">
        <v>5.7692150000000003E-3</v>
      </c>
      <c r="W7657">
        <v>-2.6271949999999999E-2</v>
      </c>
      <c r="X7657">
        <v>0.99963820000000003</v>
      </c>
      <c r="Y7657">
        <v>-3.697056E-2</v>
      </c>
      <c r="Z7657">
        <v>1.17246E-2</v>
      </c>
      <c r="AA7657">
        <v>0.99924760000000001</v>
      </c>
      <c r="AB7657">
        <v>30</v>
      </c>
      <c r="AC7657">
        <v>0.59050000000002001</v>
      </c>
      <c r="AD7657">
        <v>-8.1479999999999997E-2</v>
      </c>
      <c r="AE7657">
        <v>-2.5240000000000099E-2</v>
      </c>
      <c r="AF7657">
        <v>-2.7550441250723399E-2</v>
      </c>
      <c r="AG7657">
        <v>-8.1479999999999997E-2</v>
      </c>
      <c r="AH7657">
        <v>0.57936124689822599</v>
      </c>
      <c r="AI7657">
        <v>97.996520097721998</v>
      </c>
      <c r="AJ7657">
        <v>92.722542780799699</v>
      </c>
      <c r="AK7657">
        <v>0.58571108203667899</v>
      </c>
      <c r="AL7657">
        <v>91.505445046015097</v>
      </c>
      <c r="AM7657">
        <v>89.669332363770593</v>
      </c>
      <c r="AN7657">
        <v>1.0000000150488699</v>
      </c>
    </row>
    <row r="7658" spans="1:40" x14ac:dyDescent="0.25">
      <c r="A7658" t="str">
        <f>"20190312154113142"</f>
        <v>20190312154113142</v>
      </c>
      <c r="B7658" t="str">
        <f>"1552376473133910"</f>
        <v>1552376473133910</v>
      </c>
      <c r="C7658" t="s">
        <v>40</v>
      </c>
      <c r="D7658">
        <v>4.5618420000000004</v>
      </c>
      <c r="E7658">
        <v>0.48473810000000001</v>
      </c>
      <c r="F7658" t="s">
        <v>41</v>
      </c>
      <c r="G7658">
        <v>-380.2</v>
      </c>
      <c r="H7658">
        <v>1.0165120000000001</v>
      </c>
      <c r="I7658">
        <v>18.02018</v>
      </c>
      <c r="J7658">
        <v>-380.84699999999998</v>
      </c>
      <c r="K7658">
        <v>1.108096</v>
      </c>
      <c r="L7658">
        <v>18.046970000000002</v>
      </c>
      <c r="M7658">
        <v>0.99592320000000001</v>
      </c>
      <c r="N7658">
        <v>0</v>
      </c>
      <c r="O7658">
        <v>-9.0170399999999998E-2</v>
      </c>
      <c r="P7658">
        <v>0.99496649999999998</v>
      </c>
      <c r="Q7658">
        <v>-2.8486810000000001E-2</v>
      </c>
      <c r="R7658">
        <v>-9.6073909999999998E-2</v>
      </c>
      <c r="S7658">
        <v>2.990631</v>
      </c>
      <c r="T7658">
        <v>-0.32209369999999998</v>
      </c>
      <c r="U7658">
        <v>-0.15829470000000001</v>
      </c>
      <c r="V7658">
        <v>5.9415249999999996E-3</v>
      </c>
      <c r="W7658">
        <v>-2.5956369999999999E-2</v>
      </c>
      <c r="X7658">
        <v>0.99964540000000002</v>
      </c>
      <c r="Y7658">
        <v>-3.6674190000000002E-2</v>
      </c>
      <c r="Z7658">
        <v>1.1628970000000001E-2</v>
      </c>
      <c r="AA7658">
        <v>0.99925960000000003</v>
      </c>
      <c r="AB7658">
        <v>30</v>
      </c>
      <c r="AC7658">
        <v>0.64699999999999103</v>
      </c>
      <c r="AD7658">
        <v>-9.1583999999999804E-2</v>
      </c>
      <c r="AE7658">
        <v>-2.6790000000001798E-2</v>
      </c>
      <c r="AF7658">
        <v>-3.1038710403632201E-2</v>
      </c>
      <c r="AG7658">
        <v>-9.1583999999999804E-2</v>
      </c>
      <c r="AH7658">
        <v>0.63409642164880498</v>
      </c>
      <c r="AI7658">
        <v>98.208832896961198</v>
      </c>
      <c r="AJ7658">
        <v>92.8023636698274</v>
      </c>
      <c r="AK7658">
        <v>0.64142755050538602</v>
      </c>
      <c r="AL7658">
        <v>91.487357527350696</v>
      </c>
      <c r="AM7658">
        <v>89.659458946382799</v>
      </c>
      <c r="AN7658">
        <v>0.99999998030203097</v>
      </c>
    </row>
    <row r="7659" spans="1:40" x14ac:dyDescent="0.25">
      <c r="A7659" t="str">
        <f>"20190312154113159"</f>
        <v>20190312154113159</v>
      </c>
      <c r="B7659" t="str">
        <f>"1552376473154405"</f>
        <v>1552376473154405</v>
      </c>
      <c r="C7659" t="s">
        <v>40</v>
      </c>
      <c r="D7659">
        <v>4.5340870000000004</v>
      </c>
      <c r="E7659">
        <v>0.48462690000000003</v>
      </c>
      <c r="F7659" t="s">
        <v>41</v>
      </c>
      <c r="G7659">
        <v>-379.9366</v>
      </c>
      <c r="H7659">
        <v>1.0105219999999999</v>
      </c>
      <c r="I7659">
        <v>17.99803</v>
      </c>
      <c r="J7659">
        <v>-380.63560000000001</v>
      </c>
      <c r="K7659">
        <v>1.1080570000000001</v>
      </c>
      <c r="L7659">
        <v>18.027740000000001</v>
      </c>
      <c r="M7659">
        <v>0.9959422</v>
      </c>
      <c r="N7659">
        <v>0</v>
      </c>
      <c r="O7659">
        <v>-8.9947659999999999E-2</v>
      </c>
      <c r="P7659">
        <v>0.99497789999999997</v>
      </c>
      <c r="Q7659">
        <v>-2.8207550000000001E-2</v>
      </c>
      <c r="R7659">
        <v>-9.6038009999999993E-2</v>
      </c>
      <c r="S7659">
        <v>2.9906009999999998</v>
      </c>
      <c r="T7659">
        <v>-0.32050009999999901</v>
      </c>
      <c r="U7659">
        <v>-0.15914919999999999</v>
      </c>
      <c r="V7659">
        <v>6.124689E-3</v>
      </c>
      <c r="W7659">
        <v>-2.528062E-2</v>
      </c>
      <c r="X7659">
        <v>0.99966160000000004</v>
      </c>
      <c r="Y7659">
        <v>-3.6176809999999997E-2</v>
      </c>
      <c r="Z7659">
        <v>1.152152E-2</v>
      </c>
      <c r="AA7659">
        <v>0.99927900000000003</v>
      </c>
      <c r="AB7659">
        <v>30</v>
      </c>
      <c r="AC7659">
        <v>0.69900000000001195</v>
      </c>
      <c r="AD7659">
        <v>-9.7535000000000094E-2</v>
      </c>
      <c r="AE7659">
        <v>-2.9709999999997901E-2</v>
      </c>
      <c r="AF7659">
        <v>-3.26495720926211E-2</v>
      </c>
      <c r="AG7659">
        <v>-9.7535000000000094E-2</v>
      </c>
      <c r="AH7659">
        <v>0.68551598300679795</v>
      </c>
      <c r="AI7659">
        <v>98.088628322536593</v>
      </c>
      <c r="AJ7659">
        <v>92.726807494055905</v>
      </c>
      <c r="AK7659">
        <v>0.69318917601229701</v>
      </c>
      <c r="AL7659">
        <v>91.448627209024806</v>
      </c>
      <c r="AM7659">
        <v>89.648966770564698</v>
      </c>
      <c r="AN7659">
        <v>0.99999996803874502</v>
      </c>
    </row>
    <row r="7660" spans="1:40" x14ac:dyDescent="0.25">
      <c r="A7660" t="str">
        <f>"20190312154113175"</f>
        <v>20190312154113175</v>
      </c>
      <c r="B7660" t="str">
        <f>"1552376473164166"</f>
        <v>1552376473164166</v>
      </c>
      <c r="C7660" t="s">
        <v>40</v>
      </c>
      <c r="D7660">
        <v>4.5587770000000001</v>
      </c>
      <c r="E7660">
        <v>0.4879</v>
      </c>
      <c r="F7660" t="s">
        <v>41</v>
      </c>
      <c r="G7660">
        <v>-379.67160000000001</v>
      </c>
      <c r="H7660">
        <v>1.005765</v>
      </c>
      <c r="I7660">
        <v>17.976700000000001</v>
      </c>
      <c r="J7660">
        <v>-380.40570000000002</v>
      </c>
      <c r="K7660">
        <v>1.1080380000000001</v>
      </c>
      <c r="L7660">
        <v>18.00684</v>
      </c>
      <c r="M7660">
        <v>0.99596819999999997</v>
      </c>
      <c r="N7660">
        <v>0</v>
      </c>
      <c r="O7660">
        <v>-8.9648580000000005E-2</v>
      </c>
      <c r="P7660">
        <v>0.99503730000000001</v>
      </c>
      <c r="Q7660">
        <v>-2.775851E-2</v>
      </c>
      <c r="R7660">
        <v>-9.5554120000000006E-2</v>
      </c>
      <c r="S7660">
        <v>2.9908450000000002</v>
      </c>
      <c r="T7660">
        <v>-0.31734509999999899</v>
      </c>
      <c r="U7660">
        <v>-0.15850829999999999</v>
      </c>
      <c r="V7660">
        <v>5.9374600000000003E-3</v>
      </c>
      <c r="W7660">
        <v>-2.4493870000000001E-2</v>
      </c>
      <c r="X7660">
        <v>0.99968239999999997</v>
      </c>
      <c r="Y7660">
        <v>-3.6110829999999997E-2</v>
      </c>
      <c r="Z7660">
        <v>1.137294E-2</v>
      </c>
      <c r="AA7660">
        <v>0.99928309999999998</v>
      </c>
      <c r="AB7660">
        <v>30</v>
      </c>
      <c r="AC7660">
        <v>0.73410000000001197</v>
      </c>
      <c r="AD7660">
        <v>-0.102272999999999</v>
      </c>
      <c r="AE7660">
        <v>-3.0139999999999299E-2</v>
      </c>
      <c r="AF7660">
        <v>-3.5112366328315402E-2</v>
      </c>
      <c r="AG7660">
        <v>-0.102272999999999</v>
      </c>
      <c r="AH7660">
        <v>0.71989687384565904</v>
      </c>
      <c r="AI7660">
        <v>98.076211343403202</v>
      </c>
      <c r="AJ7660">
        <v>92.792340750734496</v>
      </c>
      <c r="AK7660">
        <v>0.72797263257002098</v>
      </c>
      <c r="AL7660">
        <v>91.403535667629299</v>
      </c>
      <c r="AM7660">
        <v>89.6597045232227</v>
      </c>
      <c r="AN7660">
        <v>1.00000005198429</v>
      </c>
    </row>
    <row r="7661" spans="1:40" x14ac:dyDescent="0.25">
      <c r="A7661" t="str">
        <f>"20190312154113193"</f>
        <v>20190312154113193</v>
      </c>
      <c r="B7661" t="str">
        <f>"1552376473183685"</f>
        <v>1552376473183685</v>
      </c>
      <c r="C7661" t="s">
        <v>40</v>
      </c>
      <c r="D7661">
        <v>4.5698600000000003</v>
      </c>
      <c r="E7661">
        <v>0.48583229999999999</v>
      </c>
      <c r="F7661" t="s">
        <v>42</v>
      </c>
      <c r="G7661">
        <v>-339.87360000000001</v>
      </c>
      <c r="H7661" s="1">
        <v>-1.143823E-6</v>
      </c>
      <c r="I7661">
        <v>15.426640000000001</v>
      </c>
      <c r="J7661">
        <v>-380.17349999999999</v>
      </c>
      <c r="K7661">
        <v>1.108082</v>
      </c>
      <c r="L7661">
        <v>17.985749999999999</v>
      </c>
      <c r="M7661">
        <v>0.99598209999999998</v>
      </c>
      <c r="N7661">
        <v>0</v>
      </c>
      <c r="O7661">
        <v>-8.9484859999999999E-2</v>
      </c>
      <c r="P7661">
        <v>0.99509550000000002</v>
      </c>
      <c r="Q7661">
        <v>-2.7612270000000001E-2</v>
      </c>
      <c r="R7661">
        <v>-9.4988359999999994E-2</v>
      </c>
      <c r="S7661">
        <v>2.994415</v>
      </c>
      <c r="T7661">
        <v>-8.1859349999999997E-2</v>
      </c>
      <c r="U7661">
        <v>-0.1906128</v>
      </c>
      <c r="V7661">
        <v>5.5371830000000002E-3</v>
      </c>
      <c r="W7661">
        <v>-2.4092059999999998E-2</v>
      </c>
      <c r="X7661">
        <v>0.99969439999999998</v>
      </c>
      <c r="Y7661">
        <v>-2.5989169999999999E-2</v>
      </c>
      <c r="Z7661">
        <v>2.793986E-3</v>
      </c>
      <c r="AA7661">
        <v>0.9996583</v>
      </c>
      <c r="AB7661">
        <v>30</v>
      </c>
      <c r="AC7661">
        <v>40.299899999999901</v>
      </c>
      <c r="AD7661">
        <v>-1.1080831438230001</v>
      </c>
      <c r="AE7661">
        <v>-2.55911</v>
      </c>
      <c r="AF7661">
        <v>-1.0566139441897999</v>
      </c>
      <c r="AG7661">
        <v>-1.1080831438230001</v>
      </c>
      <c r="AH7661">
        <v>40.336851951494197</v>
      </c>
      <c r="AI7661">
        <v>91.573022363373099</v>
      </c>
      <c r="AJ7661">
        <v>91.500505756969801</v>
      </c>
      <c r="AK7661">
        <v>40.365900295143199</v>
      </c>
      <c r="AL7661">
        <v>91.380506940095003</v>
      </c>
      <c r="AM7661">
        <v>89.682649045590296</v>
      </c>
      <c r="AN7661">
        <v>0.99999999057098898</v>
      </c>
    </row>
    <row r="7662" spans="1:40" x14ac:dyDescent="0.25">
      <c r="A7662" t="str">
        <f>"20190312154113207"</f>
        <v>20190312154113207</v>
      </c>
      <c r="B7662" t="str">
        <f>"1552376473194422"</f>
        <v>1552376473194422</v>
      </c>
      <c r="C7662" t="s">
        <v>40</v>
      </c>
      <c r="D7662">
        <v>4.5966329999999997</v>
      </c>
      <c r="E7662">
        <v>0.48509160000000001</v>
      </c>
      <c r="F7662" t="s">
        <v>42</v>
      </c>
      <c r="G7662">
        <v>-345.71719999999999</v>
      </c>
      <c r="H7662" s="1">
        <v>-2.4599010000000002E-6</v>
      </c>
      <c r="I7662">
        <v>16.00665</v>
      </c>
      <c r="J7662">
        <v>-379.9905</v>
      </c>
      <c r="K7662">
        <v>1.1081510000000001</v>
      </c>
      <c r="L7662">
        <v>17.96921</v>
      </c>
      <c r="M7662">
        <v>0.99598600000000004</v>
      </c>
      <c r="N7662">
        <v>0</v>
      </c>
      <c r="O7662">
        <v>-8.9433730000000003E-2</v>
      </c>
      <c r="P7662">
        <v>0.99510969999999999</v>
      </c>
      <c r="Q7662">
        <v>-2.770825E-2</v>
      </c>
      <c r="R7662">
        <v>-9.4812010000000002E-2</v>
      </c>
      <c r="S7662">
        <v>2.9956969999999998</v>
      </c>
      <c r="T7662">
        <v>-9.6338869999999993E-2</v>
      </c>
      <c r="U7662">
        <v>-0.17205809999999999</v>
      </c>
      <c r="V7662">
        <v>5.4163240000000001E-3</v>
      </c>
      <c r="W7662">
        <v>-2.401493E-2</v>
      </c>
      <c r="X7662">
        <v>0.9996969</v>
      </c>
      <c r="Y7662">
        <v>-3.2113910000000002E-2</v>
      </c>
      <c r="Z7662">
        <v>3.384111E-3</v>
      </c>
      <c r="AA7662">
        <v>0.99947850000000005</v>
      </c>
      <c r="AB7662">
        <v>30</v>
      </c>
      <c r="AC7662">
        <v>34.273299999999999</v>
      </c>
      <c r="AD7662">
        <v>-1.1081534599009999</v>
      </c>
      <c r="AE7662">
        <v>-1.9625600000000001</v>
      </c>
      <c r="AF7662">
        <v>-1.1093583203661701</v>
      </c>
      <c r="AG7662">
        <v>-1.1081534599009999</v>
      </c>
      <c r="AH7662">
        <v>34.275762339894399</v>
      </c>
      <c r="AI7662">
        <v>91.850789278207998</v>
      </c>
      <c r="AJ7662">
        <v>91.853769689256097</v>
      </c>
      <c r="AK7662">
        <v>34.311609754638098</v>
      </c>
      <c r="AL7662">
        <v>91.376086462273705</v>
      </c>
      <c r="AM7662">
        <v>89.689576441427604</v>
      </c>
      <c r="AN7662">
        <v>0.99999997264909302</v>
      </c>
    </row>
    <row r="7663" spans="1:40" x14ac:dyDescent="0.25">
      <c r="A7663" t="str">
        <f>"20190312154113225"</f>
        <v>20190312154113225</v>
      </c>
      <c r="B7663" t="str">
        <f>"1552376473213942"</f>
        <v>1552376473213942</v>
      </c>
      <c r="C7663" t="s">
        <v>40</v>
      </c>
      <c r="D7663">
        <v>4.6055739999999998</v>
      </c>
      <c r="E7663">
        <v>0.48398960000000002</v>
      </c>
      <c r="F7663" t="s">
        <v>42</v>
      </c>
      <c r="G7663">
        <v>-346.21550000000002</v>
      </c>
      <c r="H7663" s="1">
        <v>-2.2290659999999999E-6</v>
      </c>
      <c r="I7663">
        <v>16.102879999999999</v>
      </c>
      <c r="J7663">
        <v>-379.7389</v>
      </c>
      <c r="K7663">
        <v>1.1082829999999999</v>
      </c>
      <c r="L7663">
        <v>17.946560000000002</v>
      </c>
      <c r="M7663">
        <v>0.99598710000000001</v>
      </c>
      <c r="N7663">
        <v>0</v>
      </c>
      <c r="O7663">
        <v>-8.9413370000000006E-2</v>
      </c>
      <c r="P7663">
        <v>0.99514559999999996</v>
      </c>
      <c r="Q7663">
        <v>-2.8513549999999999E-2</v>
      </c>
      <c r="R7663">
        <v>-9.4194749999999994E-2</v>
      </c>
      <c r="S7663">
        <v>2.9962460000000002</v>
      </c>
      <c r="T7663">
        <v>-9.8306299999999999E-2</v>
      </c>
      <c r="U7663">
        <v>-0.16555790000000001</v>
      </c>
      <c r="V7663">
        <v>4.8268749999999996E-3</v>
      </c>
      <c r="W7663">
        <v>-2.460246E-2</v>
      </c>
      <c r="X7663">
        <v>0.99968559999999995</v>
      </c>
      <c r="Y7663">
        <v>-3.4261739999999999E-2</v>
      </c>
      <c r="Z7663">
        <v>3.487371E-3</v>
      </c>
      <c r="AA7663">
        <v>0.99940680000000004</v>
      </c>
      <c r="AB7663">
        <v>30</v>
      </c>
      <c r="AC7663">
        <v>33.523399999999903</v>
      </c>
      <c r="AD7663">
        <v>-1.1082852290659999</v>
      </c>
      <c r="AE7663">
        <v>-1.84368</v>
      </c>
      <c r="AF7663">
        <v>-1.1599034356481299</v>
      </c>
      <c r="AG7663">
        <v>-1.1082852290659999</v>
      </c>
      <c r="AH7663">
        <v>33.517451345744902</v>
      </c>
      <c r="AI7663">
        <v>91.892715247461993</v>
      </c>
      <c r="AJ7663">
        <v>91.981984269037</v>
      </c>
      <c r="AK7663">
        <v>33.555822398555001</v>
      </c>
      <c r="AL7663">
        <v>91.409759450389501</v>
      </c>
      <c r="AM7663">
        <v>89.7233556064147</v>
      </c>
      <c r="AN7663">
        <v>0.99999993930383602</v>
      </c>
    </row>
    <row r="7664" spans="1:40" x14ac:dyDescent="0.25">
      <c r="A7664" t="str">
        <f>"20190312154113238"</f>
        <v>20190312154113238</v>
      </c>
      <c r="B7664" t="str">
        <f>"1552376473234438"</f>
        <v>1552376473234438</v>
      </c>
      <c r="C7664" t="s">
        <v>40</v>
      </c>
      <c r="D7664">
        <v>4.6148819999999997</v>
      </c>
      <c r="E7664">
        <v>0.48310570000000003</v>
      </c>
      <c r="F7664" t="s">
        <v>42</v>
      </c>
      <c r="G7664">
        <v>-346.4796</v>
      </c>
      <c r="H7664" s="1">
        <v>-2.093808E-6</v>
      </c>
      <c r="I7664">
        <v>16.226769999999998</v>
      </c>
      <c r="J7664">
        <v>-379.57069999999999</v>
      </c>
      <c r="K7664">
        <v>1.108379</v>
      </c>
      <c r="L7664">
        <v>17.93149</v>
      </c>
      <c r="M7664">
        <v>0.99598730000000002</v>
      </c>
      <c r="N7664">
        <v>0</v>
      </c>
      <c r="O7664">
        <v>-8.9403930000000006E-2</v>
      </c>
      <c r="P7664">
        <v>0.9951778</v>
      </c>
      <c r="Q7664">
        <v>-2.8492340000000001E-2</v>
      </c>
      <c r="R7664">
        <v>-9.3858250000000004E-2</v>
      </c>
      <c r="S7664">
        <v>2.9971009999999998</v>
      </c>
      <c r="T7664">
        <v>-9.9870799999999996E-2</v>
      </c>
      <c r="U7664">
        <v>-0.1549683</v>
      </c>
      <c r="V7664">
        <v>4.5044719999999998E-3</v>
      </c>
      <c r="W7664">
        <v>-2.4442180000000001E-2</v>
      </c>
      <c r="X7664">
        <v>0.99969110000000005</v>
      </c>
      <c r="Y7664">
        <v>-3.7784869999999998E-2</v>
      </c>
      <c r="Z7664">
        <v>3.6006160000000001E-3</v>
      </c>
      <c r="AA7664">
        <v>0.99927940000000004</v>
      </c>
      <c r="AB7664">
        <v>30</v>
      </c>
      <c r="AC7664">
        <v>33.091099999999898</v>
      </c>
      <c r="AD7664">
        <v>-1.1083810938079901</v>
      </c>
      <c r="AE7664">
        <v>-1.70471999999999</v>
      </c>
      <c r="AF7664">
        <v>-1.2591961929219599</v>
      </c>
      <c r="AG7664">
        <v>-1.1083810938079901</v>
      </c>
      <c r="AH7664">
        <v>33.073985167456598</v>
      </c>
      <c r="AI7664">
        <v>91.917999211369704</v>
      </c>
      <c r="AJ7664">
        <v>92.180317819771204</v>
      </c>
      <c r="AK7664">
        <v>33.116500095247403</v>
      </c>
      <c r="AL7664">
        <v>91.400573230729094</v>
      </c>
      <c r="AM7664">
        <v>89.741834764834607</v>
      </c>
      <c r="AN7664">
        <v>1.0000000029251801</v>
      </c>
    </row>
    <row r="7665" spans="1:40" x14ac:dyDescent="0.25">
      <c r="A7665" t="str">
        <f>"20190312154113250"</f>
        <v>20190312154113250</v>
      </c>
      <c r="B7665" t="str">
        <f>"1552376473244198"</f>
        <v>1552376473244198</v>
      </c>
      <c r="C7665" t="s">
        <v>40</v>
      </c>
      <c r="D7665">
        <v>4.5920249999999996</v>
      </c>
      <c r="E7665">
        <v>0.482767</v>
      </c>
      <c r="F7665" t="s">
        <v>42</v>
      </c>
      <c r="G7665">
        <v>-346.60610000000003</v>
      </c>
      <c r="H7665" s="1">
        <v>-2.0237179999999999E-6</v>
      </c>
      <c r="I7665">
        <v>16.315899999999999</v>
      </c>
      <c r="J7665">
        <v>-379.40929999999997</v>
      </c>
      <c r="K7665">
        <v>1.1084689999999999</v>
      </c>
      <c r="L7665">
        <v>17.917179999999998</v>
      </c>
      <c r="M7665">
        <v>0.99599260000000001</v>
      </c>
      <c r="N7665">
        <v>0</v>
      </c>
      <c r="O7665">
        <v>-8.9338269999999997E-2</v>
      </c>
      <c r="P7665">
        <v>0.99520679999999995</v>
      </c>
      <c r="Q7665">
        <v>-2.8290659999999999E-2</v>
      </c>
      <c r="R7665">
        <v>-9.3610990000000005E-2</v>
      </c>
      <c r="S7665">
        <v>2.9977719999999999</v>
      </c>
      <c r="T7665">
        <v>-0.100795</v>
      </c>
      <c r="U7665">
        <v>-0.1469116</v>
      </c>
      <c r="V7665">
        <v>4.3266470000000003E-3</v>
      </c>
      <c r="W7665">
        <v>-2.411603E-2</v>
      </c>
      <c r="X7665">
        <v>0.99969980000000003</v>
      </c>
      <c r="Y7665">
        <v>-4.0406549999999999E-2</v>
      </c>
      <c r="Z7665">
        <v>3.6752830000000001E-3</v>
      </c>
      <c r="AA7665">
        <v>0.99917659999999997</v>
      </c>
      <c r="AB7665">
        <v>30</v>
      </c>
      <c r="AC7665">
        <v>32.803199999999897</v>
      </c>
      <c r="AD7665">
        <v>-1.108471023718</v>
      </c>
      <c r="AE7665">
        <v>-1.60127999999999</v>
      </c>
      <c r="AF7665">
        <v>-1.3342098672003599</v>
      </c>
      <c r="AG7665">
        <v>-1.108471023718</v>
      </c>
      <c r="AH7665">
        <v>32.777746850321698</v>
      </c>
      <c r="AI7665">
        <v>91.935277236705105</v>
      </c>
      <c r="AJ7665">
        <v>92.330923382229301</v>
      </c>
      <c r="AK7665">
        <v>32.823612119386397</v>
      </c>
      <c r="AL7665">
        <v>91.381880710963301</v>
      </c>
      <c r="AM7665">
        <v>89.752028494199706</v>
      </c>
      <c r="AN7665">
        <v>0.99999999644863102</v>
      </c>
    </row>
    <row r="7666" spans="1:40" x14ac:dyDescent="0.25">
      <c r="A7666" t="str">
        <f>"20190312154113261"</f>
        <v>20190312154113261</v>
      </c>
      <c r="B7666" t="str">
        <f>"1552376473253958"</f>
        <v>1552376473253958</v>
      </c>
      <c r="C7666" t="s">
        <v>40</v>
      </c>
      <c r="D7666">
        <v>4.5313559999999997</v>
      </c>
      <c r="E7666">
        <v>0.48267529999999997</v>
      </c>
      <c r="F7666" t="s">
        <v>42</v>
      </c>
      <c r="G7666">
        <v>-346.52080000000001</v>
      </c>
      <c r="H7666" s="1">
        <v>-2.0553940000000001E-6</v>
      </c>
      <c r="I7666">
        <v>16.34365</v>
      </c>
      <c r="J7666">
        <v>-379.25150000000002</v>
      </c>
      <c r="K7666">
        <v>1.1085590000000001</v>
      </c>
      <c r="L7666">
        <v>17.903199999999998</v>
      </c>
      <c r="M7666">
        <v>0.99600089999999997</v>
      </c>
      <c r="N7666">
        <v>0</v>
      </c>
      <c r="O7666">
        <v>-8.9240929999999996E-2</v>
      </c>
      <c r="P7666">
        <v>0.99521110000000002</v>
      </c>
      <c r="Q7666">
        <v>-2.840051E-2</v>
      </c>
      <c r="R7666">
        <v>-9.3532320000000002E-2</v>
      </c>
      <c r="S7666">
        <v>2.9980769999999999</v>
      </c>
      <c r="T7666">
        <v>-0.10104680000000001</v>
      </c>
      <c r="U7666">
        <v>-0.14343259999999999</v>
      </c>
      <c r="V7666">
        <v>4.3503830000000002E-3</v>
      </c>
      <c r="W7666">
        <v>-2.4107449999999999E-2</v>
      </c>
      <c r="X7666">
        <v>0.99969989999999997</v>
      </c>
      <c r="Y7666">
        <v>-4.1469730000000003E-2</v>
      </c>
      <c r="Z7666">
        <v>3.6988640000000001E-3</v>
      </c>
      <c r="AA7666">
        <v>0.99913289999999999</v>
      </c>
      <c r="AB7666">
        <v>30</v>
      </c>
      <c r="AC7666">
        <v>32.730699999999999</v>
      </c>
      <c r="AD7666">
        <v>-1.108561055394</v>
      </c>
      <c r="AE7666">
        <v>-1.55954999999999</v>
      </c>
      <c r="AF7666">
        <v>-1.3660539153998099</v>
      </c>
      <c r="AG7666">
        <v>-1.108561055394</v>
      </c>
      <c r="AH7666">
        <v>32.701853361354502</v>
      </c>
      <c r="AI7666">
        <v>91.939837326793395</v>
      </c>
      <c r="AJ7666">
        <v>92.392024837582198</v>
      </c>
      <c r="AK7666">
        <v>32.749140815918302</v>
      </c>
      <c r="AL7666">
        <v>91.381388975638998</v>
      </c>
      <c r="AM7666">
        <v>89.750668163752195</v>
      </c>
      <c r="AN7666">
        <v>0.99999999251887906</v>
      </c>
    </row>
    <row r="7667" spans="1:40" x14ac:dyDescent="0.25">
      <c r="A7667" t="str">
        <f>"20190312154113272"</f>
        <v>20190312154113272</v>
      </c>
      <c r="B7667" t="str">
        <f>"1552376473263718"</f>
        <v>1552376473263718</v>
      </c>
      <c r="C7667" t="s">
        <v>40</v>
      </c>
      <c r="D7667">
        <v>4.5244140000000002</v>
      </c>
      <c r="E7667">
        <v>0.48255819999999999</v>
      </c>
      <c r="F7667" t="s">
        <v>42</v>
      </c>
      <c r="G7667">
        <v>-347.91120000000001</v>
      </c>
      <c r="H7667" s="1">
        <v>-1.548588E-6</v>
      </c>
      <c r="I7667">
        <v>16.415229999999902</v>
      </c>
      <c r="J7667">
        <v>-379.08980000000003</v>
      </c>
      <c r="K7667">
        <v>1.1086419999999999</v>
      </c>
      <c r="L7667">
        <v>17.888950000000001</v>
      </c>
      <c r="M7667">
        <v>0.9960154</v>
      </c>
      <c r="N7667">
        <v>0</v>
      </c>
      <c r="O7667">
        <v>-8.9073520000000003E-2</v>
      </c>
      <c r="P7667">
        <v>0.99525600000000003</v>
      </c>
      <c r="Q7667">
        <v>-2.769276E-2</v>
      </c>
      <c r="R7667">
        <v>-9.3267450000000002E-2</v>
      </c>
      <c r="S7667">
        <v>2.9980769999999999</v>
      </c>
      <c r="T7667">
        <v>-0.10604719999999999</v>
      </c>
      <c r="U7667">
        <v>-0.14233399999999999</v>
      </c>
      <c r="V7667">
        <v>4.2546140000000003E-3</v>
      </c>
      <c r="W7667">
        <v>-2.3284719999999998E-2</v>
      </c>
      <c r="X7667">
        <v>0.99971980000000005</v>
      </c>
      <c r="Y7667">
        <v>-4.1659620000000001E-2</v>
      </c>
      <c r="Z7667">
        <v>3.8793040000000001E-3</v>
      </c>
      <c r="AA7667">
        <v>0.99912429999999997</v>
      </c>
      <c r="AB7667">
        <v>30</v>
      </c>
      <c r="AC7667">
        <v>31.178599999999999</v>
      </c>
      <c r="AD7667">
        <v>-1.108643548588</v>
      </c>
      <c r="AE7667">
        <v>-1.4737199999999999</v>
      </c>
      <c r="AF7667">
        <v>-1.3077027046726</v>
      </c>
      <c r="AG7667">
        <v>-1.108643548588</v>
      </c>
      <c r="AH7667">
        <v>31.146642275403298</v>
      </c>
      <c r="AI7667">
        <v>92.036750822485402</v>
      </c>
      <c r="AJ7667">
        <v>92.404171403427995</v>
      </c>
      <c r="AK7667">
        <v>31.193789476650299</v>
      </c>
      <c r="AL7667">
        <v>91.334236795080102</v>
      </c>
      <c r="AM7667">
        <v>89.7561617225617</v>
      </c>
      <c r="AN7667">
        <v>0.99999997921890305</v>
      </c>
    </row>
    <row r="7668" spans="1:40" x14ac:dyDescent="0.25">
      <c r="A7668" t="str">
        <f>"20190312154113283"</f>
        <v>20190312154113283</v>
      </c>
      <c r="B7668" t="str">
        <f>"1552376473274454"</f>
        <v>1552376473274454</v>
      </c>
      <c r="C7668" t="s">
        <v>40</v>
      </c>
      <c r="D7668">
        <v>4.5215589999999999</v>
      </c>
      <c r="E7668">
        <v>0.48246830000000002</v>
      </c>
      <c r="F7668" t="s">
        <v>42</v>
      </c>
      <c r="G7668">
        <v>-347.94920000000002</v>
      </c>
      <c r="H7668" s="1">
        <v>-1.531859E-6</v>
      </c>
      <c r="I7668">
        <v>16.42952</v>
      </c>
      <c r="J7668">
        <v>-378.94549999999998</v>
      </c>
      <c r="K7668">
        <v>1.1087129999999901</v>
      </c>
      <c r="L7668">
        <v>17.87631</v>
      </c>
      <c r="M7668">
        <v>0.99603459999999999</v>
      </c>
      <c r="N7668">
        <v>0</v>
      </c>
      <c r="O7668">
        <v>-8.8854630000000004E-2</v>
      </c>
      <c r="P7668">
        <v>0.99527239999999995</v>
      </c>
      <c r="Q7668">
        <v>-2.7462299999999999E-2</v>
      </c>
      <c r="R7668">
        <v>-9.3161839999999996E-2</v>
      </c>
      <c r="S7668">
        <v>2.9981689999999999</v>
      </c>
      <c r="T7668">
        <v>-0.10673829999999999</v>
      </c>
      <c r="U7668">
        <v>-0.14050289999999999</v>
      </c>
      <c r="V7668">
        <v>4.371013E-3</v>
      </c>
      <c r="W7668">
        <v>-2.295527E-2</v>
      </c>
      <c r="X7668">
        <v>0.99972700000000003</v>
      </c>
      <c r="Y7668">
        <v>-4.204919E-2</v>
      </c>
      <c r="Z7668">
        <v>3.9037059999999998E-3</v>
      </c>
      <c r="AA7668">
        <v>0.99910790000000005</v>
      </c>
      <c r="AB7668">
        <v>30</v>
      </c>
      <c r="AC7668">
        <v>30.996299999999898</v>
      </c>
      <c r="AD7668">
        <v>-1.1087145318589999</v>
      </c>
      <c r="AE7668">
        <v>-1.44679</v>
      </c>
      <c r="AF7668">
        <v>-1.3114506803400501</v>
      </c>
      <c r="AG7668">
        <v>-1.1087145318589999</v>
      </c>
      <c r="AH7668">
        <v>30.962721396343898</v>
      </c>
      <c r="AI7668">
        <v>92.048938139159205</v>
      </c>
      <c r="AJ7668">
        <v>92.425358609810203</v>
      </c>
      <c r="AK7668">
        <v>31.010309045021302</v>
      </c>
      <c r="AL7668">
        <v>91.315355543690103</v>
      </c>
      <c r="AM7668">
        <v>89.749492610190799</v>
      </c>
      <c r="AN7668">
        <v>1.0000000623522001</v>
      </c>
    </row>
    <row r="7669" spans="1:40" x14ac:dyDescent="0.25">
      <c r="A7669" t="str">
        <f>"20190312154113294"</f>
        <v>20190312154113294</v>
      </c>
      <c r="B7669" t="str">
        <f>"1552376473284215"</f>
        <v>1552376473284215</v>
      </c>
      <c r="C7669" t="s">
        <v>40</v>
      </c>
      <c r="D7669">
        <v>4.5091769999999904</v>
      </c>
      <c r="E7669">
        <v>0.48233559999999998</v>
      </c>
      <c r="F7669" t="s">
        <v>42</v>
      </c>
      <c r="G7669">
        <v>-348.44450000000001</v>
      </c>
      <c r="H7669" s="1">
        <v>-1.355699E-6</v>
      </c>
      <c r="I7669">
        <v>16.458069999999999</v>
      </c>
      <c r="J7669">
        <v>-378.78300000000002</v>
      </c>
      <c r="K7669">
        <v>1.1088</v>
      </c>
      <c r="L7669">
        <v>17.862120000000001</v>
      </c>
      <c r="M7669">
        <v>0.99606050000000002</v>
      </c>
      <c r="N7669">
        <v>0</v>
      </c>
      <c r="O7669">
        <v>-8.8557410000000003E-2</v>
      </c>
      <c r="P7669">
        <v>0.9952761</v>
      </c>
      <c r="Q7669">
        <v>-2.7481140000000001E-2</v>
      </c>
      <c r="R7669">
        <v>-9.3114909999999995E-2</v>
      </c>
      <c r="S7669">
        <v>2.99823</v>
      </c>
      <c r="T7669">
        <v>-0.108986</v>
      </c>
      <c r="U7669">
        <v>-0.13940429999999901</v>
      </c>
      <c r="V7669">
        <v>4.62642E-3</v>
      </c>
      <c r="W7669">
        <v>-2.286521E-2</v>
      </c>
      <c r="X7669">
        <v>0.99972780000000006</v>
      </c>
      <c r="Y7669">
        <v>-4.2113980000000002E-2</v>
      </c>
      <c r="Z7669">
        <v>3.9762460000000001E-3</v>
      </c>
      <c r="AA7669">
        <v>0.99910489999999996</v>
      </c>
      <c r="AB7669">
        <v>31</v>
      </c>
      <c r="AC7669">
        <v>30.3385</v>
      </c>
      <c r="AD7669">
        <v>-1.108801355699</v>
      </c>
      <c r="AE7669">
        <v>-1.40404999999999</v>
      </c>
      <c r="AF7669">
        <v>-1.2864790879903401</v>
      </c>
      <c r="AG7669">
        <v>-1.108801355699</v>
      </c>
      <c r="AH7669">
        <v>30.3032496058233</v>
      </c>
      <c r="AI7669">
        <v>92.0936438652286</v>
      </c>
      <c r="AJ7669">
        <v>92.430946797951094</v>
      </c>
      <c r="AK7669">
        <v>30.350805682272501</v>
      </c>
      <c r="AL7669">
        <v>91.310194281428096</v>
      </c>
      <c r="AM7669">
        <v>89.734855379581106</v>
      </c>
      <c r="AN7669">
        <v>0.99999994784159896</v>
      </c>
    </row>
    <row r="7670" spans="1:40" x14ac:dyDescent="0.25">
      <c r="A7670" t="str">
        <f>"20190312154113307"</f>
        <v>20190312154113307</v>
      </c>
      <c r="B7670" t="str">
        <f>"1552376473303733"</f>
        <v>1552376473303733</v>
      </c>
      <c r="C7670" t="s">
        <v>40</v>
      </c>
      <c r="D7670">
        <v>4.4810749999999997</v>
      </c>
      <c r="E7670">
        <v>0.48217300000000002</v>
      </c>
      <c r="F7670" t="s">
        <v>42</v>
      </c>
      <c r="G7670">
        <v>-348.17700000000002</v>
      </c>
      <c r="H7670" s="1">
        <v>-1.448591E-6</v>
      </c>
      <c r="I7670">
        <v>16.451179999999901</v>
      </c>
      <c r="J7670">
        <v>-378.62560000000002</v>
      </c>
      <c r="K7670">
        <v>1.108894</v>
      </c>
      <c r="L7670">
        <v>17.848510000000001</v>
      </c>
      <c r="M7670">
        <v>0.99609530000000002</v>
      </c>
      <c r="N7670">
        <v>0</v>
      </c>
      <c r="O7670">
        <v>-8.8158470000000003E-2</v>
      </c>
      <c r="P7670">
        <v>0.99529210000000001</v>
      </c>
      <c r="Q7670">
        <v>-2.7157509999999999E-2</v>
      </c>
      <c r="R7670">
        <v>-9.3037839999999997E-2</v>
      </c>
      <c r="S7670">
        <v>2.9983219999999999</v>
      </c>
      <c r="T7670">
        <v>-0.1086236</v>
      </c>
      <c r="U7670">
        <v>-0.13821410000000001</v>
      </c>
      <c r="V7670">
        <v>4.9525589999999996E-3</v>
      </c>
      <c r="W7670">
        <v>-2.2437530000000001E-2</v>
      </c>
      <c r="X7670">
        <v>0.99973599999999996</v>
      </c>
      <c r="Y7670">
        <v>-4.2111900000000001E-2</v>
      </c>
      <c r="Z7670">
        <v>3.9485459999999998E-3</v>
      </c>
      <c r="AA7670">
        <v>0.99910509999999997</v>
      </c>
      <c r="AB7670">
        <v>31</v>
      </c>
      <c r="AC7670">
        <v>30.448599999999999</v>
      </c>
      <c r="AD7670">
        <v>-1.1088954485910001</v>
      </c>
      <c r="AE7670">
        <v>-1.39733</v>
      </c>
      <c r="AF7670">
        <v>-1.29073419269578</v>
      </c>
      <c r="AG7670">
        <v>-1.1088954485910001</v>
      </c>
      <c r="AH7670">
        <v>30.412980023688199</v>
      </c>
      <c r="AI7670">
        <v>92.086274698718299</v>
      </c>
      <c r="AJ7670">
        <v>92.430188309914001</v>
      </c>
      <c r="AK7670">
        <v>30.460548218857699</v>
      </c>
      <c r="AL7670">
        <v>91.285683639206695</v>
      </c>
      <c r="AM7670">
        <v>89.716166660712801</v>
      </c>
      <c r="AN7670">
        <v>1.00000002014457</v>
      </c>
    </row>
    <row r="7671" spans="1:40" x14ac:dyDescent="0.25">
      <c r="A7671" t="str">
        <f>"20190312154113325"</f>
        <v>20190312154113325</v>
      </c>
      <c r="B7671" t="str">
        <f>"1552376473314470"</f>
        <v>1552376473314470</v>
      </c>
      <c r="C7671" t="s">
        <v>40</v>
      </c>
      <c r="D7671">
        <v>4.4861180000000003</v>
      </c>
      <c r="E7671">
        <v>0.48218569999999999</v>
      </c>
      <c r="F7671" t="s">
        <v>42</v>
      </c>
      <c r="G7671">
        <v>-347.37849999999997</v>
      </c>
      <c r="H7671" s="1">
        <v>-1.727624E-6</v>
      </c>
      <c r="I7671">
        <v>16.423679999999901</v>
      </c>
      <c r="J7671">
        <v>-378.38639999999998</v>
      </c>
      <c r="K7671">
        <v>1.109054</v>
      </c>
      <c r="L7671">
        <v>17.828029999999998</v>
      </c>
      <c r="M7671">
        <v>0.99615790000000004</v>
      </c>
      <c r="N7671">
        <v>0</v>
      </c>
      <c r="O7671">
        <v>-8.7441820000000003E-2</v>
      </c>
      <c r="P7671">
        <v>0.99524319999999999</v>
      </c>
      <c r="Q7671">
        <v>-2.7322679999999998E-2</v>
      </c>
      <c r="R7671">
        <v>-9.3512919999999999E-2</v>
      </c>
      <c r="S7671">
        <v>2.9984739999999999</v>
      </c>
      <c r="T7671">
        <v>-0.1064097</v>
      </c>
      <c r="U7671">
        <v>-0.136718799999999</v>
      </c>
      <c r="V7671">
        <v>6.1564810000000001E-3</v>
      </c>
      <c r="W7671">
        <v>-2.2442070000000001E-2</v>
      </c>
      <c r="X7671">
        <v>0.99972919999999998</v>
      </c>
      <c r="Y7671">
        <v>-4.1896719999999998E-2</v>
      </c>
      <c r="Z7671">
        <v>3.8388580000000001E-3</v>
      </c>
      <c r="AA7671">
        <v>0.99911459999999996</v>
      </c>
      <c r="AB7671">
        <v>31</v>
      </c>
      <c r="AC7671">
        <v>31.007899999999999</v>
      </c>
      <c r="AD7671">
        <v>-1.1090557276240001</v>
      </c>
      <c r="AE7671">
        <v>-1.40435</v>
      </c>
      <c r="AF7671">
        <v>-1.3107747955006599</v>
      </c>
      <c r="AG7671">
        <v>-1.1090557276240001</v>
      </c>
      <c r="AH7671">
        <v>30.972384867928</v>
      </c>
      <c r="AI7671">
        <v>92.048932247091102</v>
      </c>
      <c r="AJ7671">
        <v>92.423354712217701</v>
      </c>
      <c r="AK7671">
        <v>31.019941321326701</v>
      </c>
      <c r="AL7671">
        <v>91.285943839256007</v>
      </c>
      <c r="AM7671">
        <v>89.647168534152001</v>
      </c>
      <c r="AN7671">
        <v>1.00000001104841</v>
      </c>
    </row>
    <row r="7672" spans="1:40" x14ac:dyDescent="0.25">
      <c r="A7672" t="str">
        <f>"20190312154113335"</f>
        <v>20190312154113335</v>
      </c>
      <c r="B7672" t="str">
        <f>"1552376473324230"</f>
        <v>1552376473324230</v>
      </c>
      <c r="C7672" t="s">
        <v>40</v>
      </c>
      <c r="D7672">
        <v>4.4881989999999998</v>
      </c>
      <c r="E7672">
        <v>0.4821531</v>
      </c>
      <c r="F7672" t="s">
        <v>42</v>
      </c>
      <c r="G7672">
        <v>-346.98469999999998</v>
      </c>
      <c r="H7672" s="1">
        <v>-1.8733009999999999E-6</v>
      </c>
      <c r="I7672">
        <v>16.379819999999999</v>
      </c>
      <c r="J7672">
        <v>-378.22500000000002</v>
      </c>
      <c r="K7672">
        <v>1.1091740000000001</v>
      </c>
      <c r="L7672">
        <v>17.814360000000001</v>
      </c>
      <c r="M7672">
        <v>0.99620609999999998</v>
      </c>
      <c r="N7672">
        <v>0</v>
      </c>
      <c r="O7672">
        <v>-8.6881899999999998E-2</v>
      </c>
      <c r="P7672">
        <v>0.99520180000000003</v>
      </c>
      <c r="Q7672">
        <v>-2.7733069999999999E-2</v>
      </c>
      <c r="R7672">
        <v>-9.3831410000000004E-2</v>
      </c>
      <c r="S7672">
        <v>2.9984130000000002</v>
      </c>
      <c r="T7672">
        <v>-0.1058992</v>
      </c>
      <c r="U7672">
        <v>-0.13827509999999901</v>
      </c>
      <c r="V7672">
        <v>7.0449079999999999E-3</v>
      </c>
      <c r="W7672">
        <v>-2.274195E-2</v>
      </c>
      <c r="X7672">
        <v>0.99971650000000001</v>
      </c>
      <c r="Y7672">
        <v>-4.0818519999999997E-2</v>
      </c>
      <c r="Z7672">
        <v>3.781764E-3</v>
      </c>
      <c r="AA7672">
        <v>0.99915940000000003</v>
      </c>
      <c r="AB7672">
        <v>31</v>
      </c>
      <c r="AC7672">
        <v>31.240300000000001</v>
      </c>
      <c r="AD7672">
        <v>-1.109175873301</v>
      </c>
      <c r="AE7672">
        <v>-1.4345399999999899</v>
      </c>
      <c r="AF7672">
        <v>-1.2835205727972101</v>
      </c>
      <c r="AG7672">
        <v>-1.109175873301</v>
      </c>
      <c r="AH7672">
        <v>31.2075458311954</v>
      </c>
      <c r="AI7672">
        <v>92.033826776770098</v>
      </c>
      <c r="AJ7672">
        <v>92.355163982273098</v>
      </c>
      <c r="AK7672">
        <v>31.253617598365601</v>
      </c>
      <c r="AL7672">
        <v>91.303130158722496</v>
      </c>
      <c r="AM7672">
        <v>89.596248722350495</v>
      </c>
      <c r="AN7672">
        <v>0.99999995369538897</v>
      </c>
    </row>
    <row r="7673" spans="1:40" x14ac:dyDescent="0.25">
      <c r="A7673" t="str">
        <f>"20190312154113347"</f>
        <v>20190312154113347</v>
      </c>
      <c r="B7673" t="str">
        <f>"1552376473343750"</f>
        <v>1552376473343750</v>
      </c>
      <c r="C7673" t="s">
        <v>40</v>
      </c>
      <c r="D7673">
        <v>4.480111</v>
      </c>
      <c r="E7673">
        <v>0.48201119999999997</v>
      </c>
      <c r="F7673" t="s">
        <v>42</v>
      </c>
      <c r="G7673">
        <v>-346.84179999999998</v>
      </c>
      <c r="H7673" s="1">
        <v>-1.9273900000000001E-6</v>
      </c>
      <c r="I7673">
        <v>16.35934</v>
      </c>
      <c r="J7673">
        <v>-378.07940000000002</v>
      </c>
      <c r="K7673">
        <v>1.1092959999999901</v>
      </c>
      <c r="L7673">
        <v>17.802219999999998</v>
      </c>
      <c r="M7673">
        <v>0.99625790000000003</v>
      </c>
      <c r="N7673">
        <v>0</v>
      </c>
      <c r="O7673">
        <v>-8.6281449999999996E-2</v>
      </c>
      <c r="P7673">
        <v>0.99519120000000005</v>
      </c>
      <c r="Q7673">
        <v>-2.8049870000000001E-2</v>
      </c>
      <c r="R7673">
        <v>-9.3852409999999997E-2</v>
      </c>
      <c r="S7673">
        <v>2.9984130000000002</v>
      </c>
      <c r="T7673">
        <v>-0.10597280000000001</v>
      </c>
      <c r="U7673">
        <v>-0.13900760000000001</v>
      </c>
      <c r="V7673">
        <v>7.6749610000000001E-3</v>
      </c>
      <c r="W7673">
        <v>-2.2957669999999999E-2</v>
      </c>
      <c r="X7673">
        <v>0.99970700000000001</v>
      </c>
      <c r="Y7673">
        <v>-3.997357E-2</v>
      </c>
      <c r="Z7673">
        <v>3.748319E-3</v>
      </c>
      <c r="AA7673">
        <v>0.99919369999999996</v>
      </c>
      <c r="AB7673">
        <v>31</v>
      </c>
      <c r="AC7673">
        <v>31.2376</v>
      </c>
      <c r="AD7673">
        <v>-1.1092979273900001</v>
      </c>
      <c r="AE7673">
        <v>-1.4428799999999999</v>
      </c>
      <c r="AF7673">
        <v>-1.2561802257464401</v>
      </c>
      <c r="AG7673">
        <v>-1.1092979273900001</v>
      </c>
      <c r="AH7673">
        <v>31.206331435084699</v>
      </c>
      <c r="AI7673">
        <v>92.034201686119502</v>
      </c>
      <c r="AJ7673">
        <v>92.305140801933206</v>
      </c>
      <c r="AK7673">
        <v>31.251298409628099</v>
      </c>
      <c r="AL7673">
        <v>91.315493141914502</v>
      </c>
      <c r="AM7673">
        <v>89.560136885991696</v>
      </c>
      <c r="AN7673">
        <v>1.0000000227435899</v>
      </c>
    </row>
    <row r="7674" spans="1:40" x14ac:dyDescent="0.25">
      <c r="A7674" t="str">
        <f>"20190312154113360"</f>
        <v>20190312154113360</v>
      </c>
      <c r="B7674" t="str">
        <f>"1552376473354486"</f>
        <v>1552376473354486</v>
      </c>
      <c r="C7674" t="s">
        <v>40</v>
      </c>
      <c r="D7674">
        <v>4.4396230000000001</v>
      </c>
      <c r="E7674">
        <v>0.48194039999999999</v>
      </c>
      <c r="F7674" t="s">
        <v>42</v>
      </c>
      <c r="G7674">
        <v>-346.40190000000001</v>
      </c>
      <c r="H7674" s="1">
        <v>-2.1062939999999999E-6</v>
      </c>
      <c r="I7674">
        <v>16.344239999999999</v>
      </c>
      <c r="J7674">
        <v>-377.9024</v>
      </c>
      <c r="K7674">
        <v>1.1094409999999999</v>
      </c>
      <c r="L7674">
        <v>17.78754</v>
      </c>
      <c r="M7674">
        <v>0.99632359999999998</v>
      </c>
      <c r="N7674">
        <v>0</v>
      </c>
      <c r="O7674">
        <v>-8.5513229999999996E-2</v>
      </c>
      <c r="P7674">
        <v>0.99521059999999995</v>
      </c>
      <c r="Q7674">
        <v>-2.835244E-2</v>
      </c>
      <c r="R7674">
        <v>-9.3554739999999997E-2</v>
      </c>
      <c r="S7674">
        <v>2.998535</v>
      </c>
      <c r="T7674">
        <v>-0.105004</v>
      </c>
      <c r="U7674">
        <v>-0.1380005</v>
      </c>
      <c r="V7674">
        <v>8.1545839999999994E-3</v>
      </c>
      <c r="W7674">
        <v>-2.3136239999999999E-2</v>
      </c>
      <c r="X7674">
        <v>0.99969909999999995</v>
      </c>
      <c r="Y7674">
        <v>-3.9542069999999999E-2</v>
      </c>
      <c r="Z7674">
        <v>3.679636E-3</v>
      </c>
      <c r="AA7674">
        <v>0.99921110000000002</v>
      </c>
      <c r="AB7674">
        <v>31</v>
      </c>
      <c r="AC7674">
        <v>31.500499999999899</v>
      </c>
      <c r="AD7674">
        <v>-1.109443106294</v>
      </c>
      <c r="AE7674">
        <v>-1.4433</v>
      </c>
      <c r="AF7674">
        <v>-1.2541799850292099</v>
      </c>
      <c r="AG7674">
        <v>-1.109443106294</v>
      </c>
      <c r="AH7674">
        <v>31.469580279973201</v>
      </c>
      <c r="AI7674">
        <v>92.017495381247699</v>
      </c>
      <c r="AJ7674">
        <v>92.282242417549895</v>
      </c>
      <c r="AK7674">
        <v>31.5140970747795</v>
      </c>
      <c r="AL7674">
        <v>91.325727148873398</v>
      </c>
      <c r="AM7674">
        <v>89.532646488617203</v>
      </c>
      <c r="AN7674">
        <v>1.0000000366911701</v>
      </c>
    </row>
    <row r="7675" spans="1:40" x14ac:dyDescent="0.25">
      <c r="A7675" t="str">
        <f>"20190312154113373"</f>
        <v>20190312154113373</v>
      </c>
      <c r="B7675" t="str">
        <f>"1552376473364246"</f>
        <v>1552376473364246</v>
      </c>
      <c r="C7675" t="s">
        <v>40</v>
      </c>
      <c r="D7675">
        <v>4.4123020000000004</v>
      </c>
      <c r="E7675">
        <v>0.48184709999999997</v>
      </c>
      <c r="F7675" t="s">
        <v>42</v>
      </c>
      <c r="G7675">
        <v>-346.09059999999999</v>
      </c>
      <c r="H7675" s="1">
        <v>-2.2409380000000002E-6</v>
      </c>
      <c r="I7675">
        <v>16.337989999999898</v>
      </c>
      <c r="J7675">
        <v>-377.71960000000001</v>
      </c>
      <c r="K7675">
        <v>1.109607</v>
      </c>
      <c r="L7675">
        <v>17.772670000000002</v>
      </c>
      <c r="M7675">
        <v>0.99640019999999996</v>
      </c>
      <c r="N7675">
        <v>0</v>
      </c>
      <c r="O7675">
        <v>-8.4605509999999995E-2</v>
      </c>
      <c r="P7675">
        <v>0.99522160000000004</v>
      </c>
      <c r="Q7675">
        <v>-2.8712560000000002E-2</v>
      </c>
      <c r="R7675">
        <v>-9.3324030000000002E-2</v>
      </c>
      <c r="S7675">
        <v>2.9986269999999999</v>
      </c>
      <c r="T7675">
        <v>-0.1045778</v>
      </c>
      <c r="U7675">
        <v>-0.1366272</v>
      </c>
      <c r="V7675">
        <v>8.8425599999999993E-3</v>
      </c>
      <c r="W7675">
        <v>-2.3362359999999999E-2</v>
      </c>
      <c r="X7675">
        <v>0.99968800000000002</v>
      </c>
      <c r="Y7675">
        <v>-3.9091319999999999E-2</v>
      </c>
      <c r="Z7675">
        <v>3.6252860000000001E-3</v>
      </c>
      <c r="AA7675">
        <v>0.99922909999999998</v>
      </c>
      <c r="AB7675">
        <v>31</v>
      </c>
      <c r="AC7675">
        <v>31.629000000000001</v>
      </c>
      <c r="AD7675">
        <v>-1.1096092409379901</v>
      </c>
      <c r="AE7675">
        <v>-1.43468</v>
      </c>
      <c r="AF7675">
        <v>-1.2449609427358601</v>
      </c>
      <c r="AG7675">
        <v>-1.1096092409379901</v>
      </c>
      <c r="AH7675">
        <v>31.598165830919001</v>
      </c>
      <c r="AI7675">
        <v>92.009628830061999</v>
      </c>
      <c r="AJ7675">
        <v>92.256274377887706</v>
      </c>
      <c r="AK7675">
        <v>31.642143484517099</v>
      </c>
      <c r="AL7675">
        <v>91.338686363149804</v>
      </c>
      <c r="AM7675">
        <v>89.493213727124399</v>
      </c>
      <c r="AN7675">
        <v>1.0000000440380601</v>
      </c>
    </row>
    <row r="7676" spans="1:40" x14ac:dyDescent="0.25">
      <c r="A7676" t="str">
        <f>"20190312154113386"</f>
        <v>20190312154113386</v>
      </c>
      <c r="B7676" t="str">
        <f>"1552376473374006"</f>
        <v>1552376473374006</v>
      </c>
      <c r="C7676" t="s">
        <v>40</v>
      </c>
      <c r="D7676">
        <v>4.4283890000000001</v>
      </c>
      <c r="E7676">
        <v>0.48178700000000002</v>
      </c>
      <c r="F7676" t="s">
        <v>42</v>
      </c>
      <c r="G7676">
        <v>-345.89429999999999</v>
      </c>
      <c r="H7676" s="1">
        <v>-2.3252319999999998E-6</v>
      </c>
      <c r="I7676">
        <v>16.337479999999999</v>
      </c>
      <c r="J7676">
        <v>-377.54450000000003</v>
      </c>
      <c r="K7676">
        <v>1.109766</v>
      </c>
      <c r="L7676">
        <v>17.758700000000001</v>
      </c>
      <c r="M7676">
        <v>0.99648049999999999</v>
      </c>
      <c r="N7676">
        <v>0</v>
      </c>
      <c r="O7676">
        <v>-8.3649310000000004E-2</v>
      </c>
      <c r="P7676">
        <v>0.99525079999999999</v>
      </c>
      <c r="Q7676">
        <v>-2.8903439999999999E-2</v>
      </c>
      <c r="R7676">
        <v>-9.295581E-2</v>
      </c>
      <c r="S7676">
        <v>2.9987490000000001</v>
      </c>
      <c r="T7676">
        <v>-0.1045533</v>
      </c>
      <c r="U7676">
        <v>-0.13522339999999999</v>
      </c>
      <c r="V7676">
        <v>9.4399229999999994E-3</v>
      </c>
      <c r="W7676">
        <v>-2.342079E-2</v>
      </c>
      <c r="X7676">
        <v>0.99968109999999999</v>
      </c>
      <c r="Y7676">
        <v>-3.8602039999999997E-2</v>
      </c>
      <c r="Z7676">
        <v>3.5826320000000001E-3</v>
      </c>
      <c r="AA7676">
        <v>0.99924829999999998</v>
      </c>
      <c r="AB7676">
        <v>31</v>
      </c>
      <c r="AC7676">
        <v>31.650200000000002</v>
      </c>
      <c r="AD7676">
        <v>-1.1097683252320001</v>
      </c>
      <c r="AE7676">
        <v>-1.4212199999999999</v>
      </c>
      <c r="AF7676">
        <v>-1.22980853087774</v>
      </c>
      <c r="AG7676">
        <v>-1.1097683252320001</v>
      </c>
      <c r="AH7676">
        <v>31.619360395437401</v>
      </c>
      <c r="AI7676">
        <v>92.008610227355106</v>
      </c>
      <c r="AJ7676">
        <v>92.227348647760607</v>
      </c>
      <c r="AK7676">
        <v>31.662722033565998</v>
      </c>
      <c r="AL7676">
        <v>91.342035166190101</v>
      </c>
      <c r="AM7676">
        <v>89.458975795906397</v>
      </c>
      <c r="AN7676">
        <v>0.99999997362383897</v>
      </c>
    </row>
    <row r="7677" spans="1:40" x14ac:dyDescent="0.25">
      <c r="A7677" t="str">
        <f>"20190312154113404"</f>
        <v>20190312154113404</v>
      </c>
      <c r="B7677" t="str">
        <f>"1552376473393526"</f>
        <v>1552376473393526</v>
      </c>
      <c r="C7677" t="s">
        <v>40</v>
      </c>
      <c r="D7677">
        <v>4.4053879999999896</v>
      </c>
      <c r="E7677">
        <v>0.48166579999999898</v>
      </c>
      <c r="F7677" t="s">
        <v>42</v>
      </c>
      <c r="G7677">
        <v>-345.63080000000002</v>
      </c>
      <c r="H7677" s="1">
        <v>-2.4384529999999998E-6</v>
      </c>
      <c r="I7677">
        <v>16.33643</v>
      </c>
      <c r="J7677">
        <v>-377.29349999999999</v>
      </c>
      <c r="K7677">
        <v>1.110001</v>
      </c>
      <c r="L7677">
        <v>17.739070000000002</v>
      </c>
      <c r="M7677">
        <v>0.99660439999999995</v>
      </c>
      <c r="N7677">
        <v>0</v>
      </c>
      <c r="O7677">
        <v>-8.2145869999999996E-2</v>
      </c>
      <c r="P7677">
        <v>0.99524869999999999</v>
      </c>
      <c r="Q7677">
        <v>-2.9094510000000001E-2</v>
      </c>
      <c r="R7677">
        <v>-9.2917459999999993E-2</v>
      </c>
      <c r="S7677">
        <v>2.9988100000000002</v>
      </c>
      <c r="T7677">
        <v>-0.1042807</v>
      </c>
      <c r="U7677">
        <v>-0.13363649999999999</v>
      </c>
      <c r="V7677">
        <v>1.092071E-2</v>
      </c>
      <c r="W7677">
        <v>-2.341178E-2</v>
      </c>
      <c r="X7677">
        <v>0.99966630000000001</v>
      </c>
      <c r="Y7677">
        <v>-3.7625100000000002E-2</v>
      </c>
      <c r="Z7677">
        <v>3.5042559999999999E-3</v>
      </c>
      <c r="AA7677">
        <v>0.9992858</v>
      </c>
      <c r="AB7677">
        <v>31</v>
      </c>
      <c r="AC7677">
        <v>31.662699999999901</v>
      </c>
      <c r="AD7677">
        <v>-1.110003438453</v>
      </c>
      <c r="AE7677">
        <v>-1.4026400000000001</v>
      </c>
      <c r="AF7677">
        <v>-1.2016280160184001</v>
      </c>
      <c r="AG7677">
        <v>-1.110003438453</v>
      </c>
      <c r="AH7677">
        <v>31.632109818865899</v>
      </c>
      <c r="AI7677">
        <v>92.008296158963702</v>
      </c>
      <c r="AJ7677">
        <v>92.175483253581206</v>
      </c>
      <c r="AK7677">
        <v>31.674380642958901</v>
      </c>
      <c r="AL7677">
        <v>91.341518697395301</v>
      </c>
      <c r="AM7677">
        <v>89.374105436004498</v>
      </c>
      <c r="AN7677">
        <v>1.00000004235268</v>
      </c>
    </row>
    <row r="7678" spans="1:40" x14ac:dyDescent="0.25">
      <c r="A7678" t="str">
        <f>"20190312154113419"</f>
        <v>20190312154113419</v>
      </c>
      <c r="B7678" t="str">
        <f>"1552376473414023"</f>
        <v>1552376473414023</v>
      </c>
      <c r="C7678" t="s">
        <v>40</v>
      </c>
      <c r="D7678">
        <v>4.4113179999999996</v>
      </c>
      <c r="E7678">
        <v>0.48143459999999899</v>
      </c>
      <c r="F7678" t="s">
        <v>42</v>
      </c>
      <c r="G7678">
        <v>-345.02530000000002</v>
      </c>
      <c r="H7678" s="1">
        <v>-2.702594E-6</v>
      </c>
      <c r="I7678">
        <v>16.311900000000001</v>
      </c>
      <c r="J7678">
        <v>-377.07889999999998</v>
      </c>
      <c r="K7678">
        <v>1.110206</v>
      </c>
      <c r="L7678">
        <v>17.72269</v>
      </c>
      <c r="M7678">
        <v>0.99671869999999996</v>
      </c>
      <c r="N7678">
        <v>0</v>
      </c>
      <c r="O7678">
        <v>-8.0734189999999997E-2</v>
      </c>
      <c r="P7678">
        <v>0.99534089999999997</v>
      </c>
      <c r="Q7678">
        <v>-2.9319830000000002E-2</v>
      </c>
      <c r="R7678">
        <v>-9.1855210000000007E-2</v>
      </c>
      <c r="S7678">
        <v>2.9989319999999999</v>
      </c>
      <c r="T7678">
        <v>-0.103161</v>
      </c>
      <c r="U7678">
        <v>-0.13262939999999901</v>
      </c>
      <c r="V7678">
        <v>1.127939E-2</v>
      </c>
      <c r="W7678">
        <v>-2.3458989999999999E-2</v>
      </c>
      <c r="X7678">
        <v>0.99966109999999997</v>
      </c>
      <c r="Y7678">
        <v>-3.6549489999999997E-2</v>
      </c>
      <c r="Z7678">
        <v>3.3997049999999998E-3</v>
      </c>
      <c r="AA7678">
        <v>0.99932609999999999</v>
      </c>
      <c r="AB7678">
        <v>31</v>
      </c>
      <c r="AC7678">
        <v>32.053599999999904</v>
      </c>
      <c r="AD7678">
        <v>-1.110208702594</v>
      </c>
      <c r="AE7678">
        <v>-1.41078999999999</v>
      </c>
      <c r="AF7678">
        <v>-1.1802674685688399</v>
      </c>
      <c r="AG7678">
        <v>-1.110208702594</v>
      </c>
      <c r="AH7678">
        <v>32.024519725841799</v>
      </c>
      <c r="AI7678">
        <v>91.984157882591802</v>
      </c>
      <c r="AJ7678">
        <v>92.110687439171599</v>
      </c>
      <c r="AK7678">
        <v>32.065487027823401</v>
      </c>
      <c r="AL7678">
        <v>91.344224522701097</v>
      </c>
      <c r="AM7678">
        <v>89.353546897845504</v>
      </c>
      <c r="AN7678">
        <v>0.99999993185189795</v>
      </c>
    </row>
    <row r="7679" spans="1:40" x14ac:dyDescent="0.25">
      <c r="A7679" t="str">
        <f>"20190312154113431"</f>
        <v>20190312154113431</v>
      </c>
      <c r="B7679" t="str">
        <f>"1552376473423782"</f>
        <v>1552376473423782</v>
      </c>
      <c r="C7679" t="s">
        <v>40</v>
      </c>
      <c r="D7679">
        <v>4.3735530000000002</v>
      </c>
      <c r="E7679">
        <v>0.4814235</v>
      </c>
      <c r="F7679" t="s">
        <v>42</v>
      </c>
      <c r="G7679">
        <v>-344.37349999999998</v>
      </c>
      <c r="H7679" s="1">
        <v>-2.978879E-6</v>
      </c>
      <c r="I7679">
        <v>16.33061</v>
      </c>
      <c r="J7679">
        <v>-376.90589999999997</v>
      </c>
      <c r="K7679">
        <v>1.110365</v>
      </c>
      <c r="L7679">
        <v>17.709810000000001</v>
      </c>
      <c r="M7679">
        <v>0.99681790000000003</v>
      </c>
      <c r="N7679">
        <v>0</v>
      </c>
      <c r="O7679">
        <v>-7.9488539999999996E-2</v>
      </c>
      <c r="P7679">
        <v>0.99542839999999999</v>
      </c>
      <c r="Q7679">
        <v>-2.902215E-2</v>
      </c>
      <c r="R7679">
        <v>-9.0996750000000001E-2</v>
      </c>
      <c r="S7679">
        <v>2.9993289999999999</v>
      </c>
      <c r="T7679">
        <v>-0.1018145</v>
      </c>
      <c r="U7679">
        <v>-0.12765499999999999</v>
      </c>
      <c r="V7679">
        <v>1.1671000000000001E-2</v>
      </c>
      <c r="W7679">
        <v>-2.3006929999999998E-2</v>
      </c>
      <c r="X7679">
        <v>0.99966719999999998</v>
      </c>
      <c r="Y7679">
        <v>-3.6963080000000002E-2</v>
      </c>
      <c r="Z7679">
        <v>3.319982E-3</v>
      </c>
      <c r="AA7679">
        <v>0.99931110000000001</v>
      </c>
      <c r="AB7679">
        <v>31</v>
      </c>
      <c r="AC7679">
        <v>32.532400000000003</v>
      </c>
      <c r="AD7679">
        <v>-1.110367978879</v>
      </c>
      <c r="AE7679">
        <v>-1.3792</v>
      </c>
      <c r="AF7679">
        <v>-1.2097565586827901</v>
      </c>
      <c r="AG7679">
        <v>-1.110367978879</v>
      </c>
      <c r="AH7679">
        <v>32.501295232445898</v>
      </c>
      <c r="AI7679">
        <v>91.955327940009894</v>
      </c>
      <c r="AJ7679">
        <v>92.131667692788696</v>
      </c>
      <c r="AK7679">
        <v>32.542750648437902</v>
      </c>
      <c r="AL7679">
        <v>91.318316280032903</v>
      </c>
      <c r="AM7679">
        <v>89.331108729687401</v>
      </c>
      <c r="AN7679">
        <v>1.00000002091243</v>
      </c>
    </row>
    <row r="7680" spans="1:40" x14ac:dyDescent="0.25">
      <c r="A7680" t="str">
        <f>"20190312154113447"</f>
        <v>20190312154113447</v>
      </c>
      <c r="B7680" t="str">
        <f>"1552376473433542"</f>
        <v>1552376473433542</v>
      </c>
      <c r="C7680" t="s">
        <v>40</v>
      </c>
      <c r="D7680">
        <v>4.3882029999999999</v>
      </c>
      <c r="E7680">
        <v>0.481379</v>
      </c>
      <c r="F7680" t="s">
        <v>42</v>
      </c>
      <c r="G7680">
        <v>-343.57960000000003</v>
      </c>
      <c r="H7680" s="1">
        <v>-3.321258E-6</v>
      </c>
      <c r="I7680">
        <v>16.320509999999999</v>
      </c>
      <c r="J7680">
        <v>-376.69709999999998</v>
      </c>
      <c r="K7680">
        <v>1.1105560000000001</v>
      </c>
      <c r="L7680">
        <v>17.69473</v>
      </c>
      <c r="M7680">
        <v>0.99694260000000001</v>
      </c>
      <c r="N7680">
        <v>0</v>
      </c>
      <c r="O7680">
        <v>-7.7894569999999996E-2</v>
      </c>
      <c r="P7680">
        <v>0.99557470000000003</v>
      </c>
      <c r="Q7680">
        <v>-2.861843E-2</v>
      </c>
      <c r="R7680">
        <v>-8.9511820000000006E-2</v>
      </c>
      <c r="S7680">
        <v>2.9994200000000002</v>
      </c>
      <c r="T7680">
        <v>-9.9934819999999994E-2</v>
      </c>
      <c r="U7680">
        <v>-0.12503049999999999</v>
      </c>
      <c r="V7680">
        <v>1.1782859999999999E-2</v>
      </c>
      <c r="W7680">
        <v>-2.240696E-2</v>
      </c>
      <c r="X7680">
        <v>0.99967950000000005</v>
      </c>
      <c r="Y7680">
        <v>-3.624318E-2</v>
      </c>
      <c r="Z7680">
        <v>3.1938209999999999E-3</v>
      </c>
      <c r="AA7680">
        <v>0.9993379</v>
      </c>
      <c r="AB7680">
        <v>31</v>
      </c>
      <c r="AC7680">
        <v>33.1174999999999</v>
      </c>
      <c r="AD7680">
        <v>-1.1105593212579901</v>
      </c>
      <c r="AE7680">
        <v>-1.37421999999999</v>
      </c>
      <c r="AF7680">
        <v>-1.2083214288136299</v>
      </c>
      <c r="AG7680">
        <v>-1.1105593212579901</v>
      </c>
      <c r="AH7680">
        <v>33.086775448446602</v>
      </c>
      <c r="AI7680">
        <v>91.921134352255606</v>
      </c>
      <c r="AJ7680">
        <v>92.091499212825397</v>
      </c>
      <c r="AK7680">
        <v>33.127452245189197</v>
      </c>
      <c r="AL7680">
        <v>91.283931686011101</v>
      </c>
      <c r="AM7680">
        <v>89.324706680385901</v>
      </c>
      <c r="AN7680">
        <v>1.0000000051832301</v>
      </c>
    </row>
    <row r="7681" spans="1:40" x14ac:dyDescent="0.25">
      <c r="A7681" t="str">
        <f>"20190312154113458"</f>
        <v>20190312154113458</v>
      </c>
      <c r="B7681" t="str">
        <f>"1552376473454038"</f>
        <v>1552376473454038</v>
      </c>
      <c r="C7681" t="s">
        <v>40</v>
      </c>
      <c r="D7681">
        <v>4.3222399999999999</v>
      </c>
      <c r="E7681">
        <v>0.48129450000000001</v>
      </c>
      <c r="F7681" t="s">
        <v>42</v>
      </c>
      <c r="G7681">
        <v>-342.64640000000003</v>
      </c>
      <c r="H7681" s="1">
        <v>-3.7200099999999998E-6</v>
      </c>
      <c r="I7681">
        <v>16.329429999999999</v>
      </c>
      <c r="J7681">
        <v>-376.54489999999998</v>
      </c>
      <c r="K7681">
        <v>1.1106929999999999</v>
      </c>
      <c r="L7681">
        <v>17.683869999999999</v>
      </c>
      <c r="M7681">
        <v>0.99703520000000001</v>
      </c>
      <c r="N7681">
        <v>0</v>
      </c>
      <c r="O7681">
        <v>-7.6689519999999997E-2</v>
      </c>
      <c r="P7681">
        <v>0.99567620000000001</v>
      </c>
      <c r="Q7681">
        <v>-2.8599869999999999E-2</v>
      </c>
      <c r="R7681">
        <v>-8.8379869999999999E-2</v>
      </c>
      <c r="S7681">
        <v>2.9997250000000002</v>
      </c>
      <c r="T7681">
        <v>-9.7835539999999999E-2</v>
      </c>
      <c r="U7681">
        <v>-0.1202698</v>
      </c>
      <c r="V7681">
        <v>1.185951E-2</v>
      </c>
      <c r="W7681">
        <v>-2.2239979999999999E-2</v>
      </c>
      <c r="X7681">
        <v>0.99968230000000002</v>
      </c>
      <c r="Y7681">
        <v>-3.6625999999999999E-2</v>
      </c>
      <c r="Z7681">
        <v>3.093672E-3</v>
      </c>
      <c r="AA7681">
        <v>0.99932430000000005</v>
      </c>
      <c r="AB7681">
        <v>31</v>
      </c>
      <c r="AC7681">
        <v>33.898499999999899</v>
      </c>
      <c r="AD7681">
        <v>-1.11069672001</v>
      </c>
      <c r="AE7681">
        <v>-1.3544400000000001</v>
      </c>
      <c r="AF7681">
        <v>-1.2479224321452</v>
      </c>
      <c r="AG7681">
        <v>-1.11069672001</v>
      </c>
      <c r="AH7681">
        <v>33.866239330361097</v>
      </c>
      <c r="AI7681">
        <v>91.877159062943505</v>
      </c>
      <c r="AJ7681">
        <v>92.1103126493377</v>
      </c>
      <c r="AK7681">
        <v>33.907419895677599</v>
      </c>
      <c r="AL7681">
        <v>91.274362080552095</v>
      </c>
      <c r="AM7681">
        <v>89.320316068642498</v>
      </c>
      <c r="AN7681">
        <v>0.99999998281056501</v>
      </c>
    </row>
    <row r="7682" spans="1:40" x14ac:dyDescent="0.25">
      <c r="A7682" t="str">
        <f>"20190312154113469"</f>
        <v>20190312154113469</v>
      </c>
      <c r="B7682" t="str">
        <f>"1552376473463798"</f>
        <v>1552376473463798</v>
      </c>
      <c r="C7682" t="s">
        <v>40</v>
      </c>
      <c r="D7682">
        <v>4.3286480000000003</v>
      </c>
      <c r="E7682">
        <v>0.48126580000000002</v>
      </c>
      <c r="F7682" t="s">
        <v>42</v>
      </c>
      <c r="G7682">
        <v>-341.73649999999998</v>
      </c>
      <c r="H7682" s="1">
        <v>-4.109333E-6</v>
      </c>
      <c r="I7682">
        <v>16.335039999999999</v>
      </c>
      <c r="J7682">
        <v>-376.38589999999999</v>
      </c>
      <c r="K7682">
        <v>1.11083</v>
      </c>
      <c r="L7682">
        <v>17.672999999999998</v>
      </c>
      <c r="M7682">
        <v>0.99713739999999995</v>
      </c>
      <c r="N7682">
        <v>0</v>
      </c>
      <c r="O7682">
        <v>-7.5334520000000002E-2</v>
      </c>
      <c r="P7682">
        <v>0.99579899999999999</v>
      </c>
      <c r="Q7682">
        <v>-2.8714509999999999E-2</v>
      </c>
      <c r="R7682">
        <v>-8.6948129999999998E-2</v>
      </c>
      <c r="S7682">
        <v>2.9999690000000001</v>
      </c>
      <c r="T7682">
        <v>-9.5725770000000002E-2</v>
      </c>
      <c r="U7682">
        <v>-0.1162415</v>
      </c>
      <c r="V7682">
        <v>1.178599E-2</v>
      </c>
      <c r="W7682">
        <v>-2.218494E-2</v>
      </c>
      <c r="X7682">
        <v>0.99968440000000003</v>
      </c>
      <c r="Y7682">
        <v>-3.6614359999999999E-2</v>
      </c>
      <c r="Z7682">
        <v>2.9835909999999998E-3</v>
      </c>
      <c r="AA7682">
        <v>0.99932500000000002</v>
      </c>
      <c r="AB7682">
        <v>31</v>
      </c>
      <c r="AC7682">
        <v>34.6494</v>
      </c>
      <c r="AD7682">
        <v>-1.1108341093330001</v>
      </c>
      <c r="AE7682">
        <v>-1.33795999999999</v>
      </c>
      <c r="AF7682">
        <v>-1.2748842102476501</v>
      </c>
      <c r="AG7682">
        <v>-1.1108341093330001</v>
      </c>
      <c r="AH7682">
        <v>34.616204538238698</v>
      </c>
      <c r="AI7682">
        <v>91.836746620335504</v>
      </c>
      <c r="AJ7682">
        <v>92.109199623036204</v>
      </c>
      <c r="AK7682">
        <v>34.657479694882298</v>
      </c>
      <c r="AL7682">
        <v>91.271207732929795</v>
      </c>
      <c r="AM7682">
        <v>89.324530622580198</v>
      </c>
      <c r="AN7682">
        <v>0.99999999036322096</v>
      </c>
    </row>
    <row r="7683" spans="1:40" x14ac:dyDescent="0.25">
      <c r="A7683" t="str">
        <f>"20190312154113481"</f>
        <v>20190312154113481</v>
      </c>
      <c r="B7683" t="str">
        <f>"1552376473473558"</f>
        <v>1552376473473558</v>
      </c>
      <c r="C7683" t="s">
        <v>40</v>
      </c>
      <c r="D7683">
        <v>4.3087390000000001</v>
      </c>
      <c r="E7683">
        <v>0.48129090000000002</v>
      </c>
      <c r="F7683" t="s">
        <v>42</v>
      </c>
      <c r="G7683">
        <v>-341.9205</v>
      </c>
      <c r="H7683" s="1">
        <v>-4.0207110000000004E-6</v>
      </c>
      <c r="I7683">
        <v>16.389769999999999</v>
      </c>
      <c r="J7683">
        <v>-376.22919999999999</v>
      </c>
      <c r="K7683">
        <v>1.110962</v>
      </c>
      <c r="L7683">
        <v>17.662379999999999</v>
      </c>
      <c r="M7683">
        <v>0.99723819999999996</v>
      </c>
      <c r="N7683">
        <v>0</v>
      </c>
      <c r="O7683">
        <v>-7.3971430000000005E-2</v>
      </c>
      <c r="P7683">
        <v>0.99593229999999999</v>
      </c>
      <c r="Q7683">
        <v>-2.874293E-2</v>
      </c>
      <c r="R7683">
        <v>-8.539745E-2</v>
      </c>
      <c r="S7683">
        <v>3.0001220000000002</v>
      </c>
      <c r="T7683">
        <v>-9.6695069999999994E-2</v>
      </c>
      <c r="U7683">
        <v>-0.1116943</v>
      </c>
      <c r="V7683">
        <v>1.160046E-2</v>
      </c>
      <c r="W7683">
        <v>-2.2043130000000001E-2</v>
      </c>
      <c r="X7683">
        <v>0.99968970000000001</v>
      </c>
      <c r="Y7683">
        <v>-3.6762290000000003E-2</v>
      </c>
      <c r="Z7683">
        <v>2.9723549999999999E-3</v>
      </c>
      <c r="AA7683">
        <v>0.99931959999999997</v>
      </c>
      <c r="AB7683">
        <v>31</v>
      </c>
      <c r="AC7683">
        <v>34.308699999999902</v>
      </c>
      <c r="AD7683">
        <v>-1.1109660207109999</v>
      </c>
      <c r="AE7683">
        <v>-1.27260999999999</v>
      </c>
      <c r="AF7683">
        <v>-1.26746914485853</v>
      </c>
      <c r="AG7683">
        <v>-1.1109660207109999</v>
      </c>
      <c r="AH7683">
        <v>34.272953398692401</v>
      </c>
      <c r="AI7683">
        <v>91.855338972116797</v>
      </c>
      <c r="AJ7683">
        <v>92.117925253475207</v>
      </c>
      <c r="AK7683">
        <v>34.314371015673402</v>
      </c>
      <c r="AL7683">
        <v>91.263080639869997</v>
      </c>
      <c r="AM7683">
        <v>89.335166134206801</v>
      </c>
      <c r="AN7683">
        <v>0.99999998326924899</v>
      </c>
    </row>
    <row r="7684" spans="1:40" x14ac:dyDescent="0.25">
      <c r="A7684" t="str">
        <f>"20190312154113492"</f>
        <v>20190312154113492</v>
      </c>
      <c r="B7684" t="str">
        <f>"1552376473484293"</f>
        <v>1552376473484293</v>
      </c>
      <c r="C7684" t="s">
        <v>40</v>
      </c>
      <c r="D7684">
        <v>4.2986089999999999</v>
      </c>
      <c r="E7684">
        <v>0.4813132</v>
      </c>
      <c r="F7684" t="s">
        <v>42</v>
      </c>
      <c r="G7684">
        <v>-341.9151</v>
      </c>
      <c r="H7684" s="1">
        <v>-4.014796E-6</v>
      </c>
      <c r="I7684">
        <v>16.436139999999899</v>
      </c>
      <c r="J7684">
        <v>-376.07060000000001</v>
      </c>
      <c r="K7684">
        <v>1.111094</v>
      </c>
      <c r="L7684">
        <v>17.652010000000001</v>
      </c>
      <c r="M7684">
        <v>0.99734299999999998</v>
      </c>
      <c r="N7684">
        <v>0</v>
      </c>
      <c r="O7684">
        <v>-7.2529560000000007E-2</v>
      </c>
      <c r="P7684">
        <v>0.99606760000000005</v>
      </c>
      <c r="Q7684">
        <v>-2.8775419999999999E-2</v>
      </c>
      <c r="R7684">
        <v>-8.3794209999999994E-2</v>
      </c>
      <c r="S7684">
        <v>3.0002439999999999</v>
      </c>
      <c r="T7684">
        <v>-9.7136860000000005E-2</v>
      </c>
      <c r="U7684">
        <v>-0.10720830000000001</v>
      </c>
      <c r="V7684">
        <v>1.1441079999999999E-2</v>
      </c>
      <c r="W7684">
        <v>-2.189485E-2</v>
      </c>
      <c r="X7684">
        <v>0.99969479999999999</v>
      </c>
      <c r="Y7684">
        <v>-3.681152E-2</v>
      </c>
      <c r="Z7684">
        <v>2.9401890000000002E-3</v>
      </c>
      <c r="AA7684">
        <v>0.99931789999999998</v>
      </c>
      <c r="AB7684">
        <v>31</v>
      </c>
      <c r="AC7684">
        <v>34.155500000000004</v>
      </c>
      <c r="AD7684">
        <v>-1.1110980147959999</v>
      </c>
      <c r="AE7684">
        <v>-1.21587</v>
      </c>
      <c r="AF7684">
        <v>-1.26333807537095</v>
      </c>
      <c r="AG7684">
        <v>-1.1110980147959999</v>
      </c>
      <c r="AH7684">
        <v>34.117668857302597</v>
      </c>
      <c r="AI7684">
        <v>91.863995522970697</v>
      </c>
      <c r="AJ7684">
        <v>92.120628011611998</v>
      </c>
      <c r="AK7684">
        <v>34.1591260155719</v>
      </c>
      <c r="AL7684">
        <v>91.254582764712396</v>
      </c>
      <c r="AM7684">
        <v>89.344302901790002</v>
      </c>
      <c r="AN7684">
        <v>0.99999998795756395</v>
      </c>
    </row>
    <row r="7685" spans="1:40" x14ac:dyDescent="0.25">
      <c r="A7685" t="str">
        <f>"20190312154113503"</f>
        <v>20190312154113503</v>
      </c>
      <c r="B7685" t="str">
        <f>"1552376473494054"</f>
        <v>1552376473494054</v>
      </c>
      <c r="C7685" t="s">
        <v>40</v>
      </c>
      <c r="D7685">
        <v>4.2738440000000004</v>
      </c>
      <c r="E7685">
        <v>0.48131190000000001</v>
      </c>
      <c r="F7685" t="s">
        <v>42</v>
      </c>
      <c r="G7685">
        <v>-341.94110000000001</v>
      </c>
      <c r="H7685" s="1">
        <v>-3.9949380000000003E-6</v>
      </c>
      <c r="I7685">
        <v>16.48518</v>
      </c>
      <c r="J7685">
        <v>-375.91059999999999</v>
      </c>
      <c r="K7685">
        <v>1.111219</v>
      </c>
      <c r="L7685">
        <v>17.641779999999901</v>
      </c>
      <c r="M7685">
        <v>0.99744960000000005</v>
      </c>
      <c r="N7685">
        <v>0</v>
      </c>
      <c r="O7685">
        <v>-7.1029889999999998E-2</v>
      </c>
      <c r="P7685">
        <v>0.99622770000000005</v>
      </c>
      <c r="Q7685">
        <v>-2.8379100000000001E-2</v>
      </c>
      <c r="R7685">
        <v>-8.2006510000000005E-2</v>
      </c>
      <c r="S7685">
        <v>3.0003660000000001</v>
      </c>
      <c r="T7685">
        <v>-9.7677829999999993E-2</v>
      </c>
      <c r="U7685">
        <v>-0.1025696</v>
      </c>
      <c r="V7685">
        <v>1.115093E-2</v>
      </c>
      <c r="W7685">
        <v>-2.1312459999999998E-2</v>
      </c>
      <c r="X7685">
        <v>0.99971069999999995</v>
      </c>
      <c r="Y7685">
        <v>-3.6853730000000001E-2</v>
      </c>
      <c r="Z7685">
        <v>2.9085650000000001E-3</v>
      </c>
      <c r="AA7685">
        <v>0.99931650000000005</v>
      </c>
      <c r="AB7685">
        <v>31</v>
      </c>
      <c r="AC7685">
        <v>33.969499999999897</v>
      </c>
      <c r="AD7685">
        <v>-1.1112229949379999</v>
      </c>
      <c r="AE7685">
        <v>-1.1565999999999901</v>
      </c>
      <c r="AF7685">
        <v>-1.2578860196695301</v>
      </c>
      <c r="AG7685">
        <v>-1.1112229949379999</v>
      </c>
      <c r="AH7685">
        <v>33.929584397489599</v>
      </c>
      <c r="AI7685">
        <v>91.874528592095402</v>
      </c>
      <c r="AJ7685">
        <v>92.123178612253199</v>
      </c>
      <c r="AK7685">
        <v>33.971072858673899</v>
      </c>
      <c r="AL7685">
        <v>91.221206441292594</v>
      </c>
      <c r="AM7685">
        <v>89.360940387775301</v>
      </c>
      <c r="AN7685">
        <v>1.0000000239428</v>
      </c>
    </row>
    <row r="7686" spans="1:40" x14ac:dyDescent="0.25">
      <c r="A7686" t="str">
        <f>"20190312154113516"</f>
        <v>20190312154113516</v>
      </c>
      <c r="B7686" t="str">
        <f>"1552376473503814"</f>
        <v>1552376473503814</v>
      </c>
      <c r="C7686" t="s">
        <v>40</v>
      </c>
      <c r="D7686">
        <v>4.3035269999999999</v>
      </c>
      <c r="E7686">
        <v>0.48132269999999999</v>
      </c>
      <c r="F7686" t="s">
        <v>42</v>
      </c>
      <c r="G7686">
        <v>-341.47449999999998</v>
      </c>
      <c r="H7686" s="1">
        <v>-4.187754E-6</v>
      </c>
      <c r="I7686">
        <v>16.52657</v>
      </c>
      <c r="J7686">
        <v>-375.74279999999999</v>
      </c>
      <c r="K7686">
        <v>1.1113489999999999</v>
      </c>
      <c r="L7686">
        <v>17.63129</v>
      </c>
      <c r="M7686">
        <v>0.99756140000000004</v>
      </c>
      <c r="N7686">
        <v>0</v>
      </c>
      <c r="O7686">
        <v>-6.9422689999999995E-2</v>
      </c>
      <c r="P7686">
        <v>0.99639730000000004</v>
      </c>
      <c r="Q7686">
        <v>-2.7906319999999998E-2</v>
      </c>
      <c r="R7686">
        <v>-8.0088729999999997E-2</v>
      </c>
      <c r="S7686">
        <v>3.00061</v>
      </c>
      <c r="T7686">
        <v>-9.6827269999999993E-2</v>
      </c>
      <c r="U7686">
        <v>-9.7167970000000006E-2</v>
      </c>
      <c r="V7686">
        <v>1.083718E-2</v>
      </c>
      <c r="W7686">
        <v>-2.064148E-2</v>
      </c>
      <c r="X7686">
        <v>0.99972819999999996</v>
      </c>
      <c r="Y7686">
        <v>-3.7045160000000001E-2</v>
      </c>
      <c r="Z7686">
        <v>2.8345179999999998E-3</v>
      </c>
      <c r="AA7686">
        <v>0.99930960000000002</v>
      </c>
      <c r="AB7686">
        <v>31</v>
      </c>
      <c r="AC7686">
        <v>34.268300000000004</v>
      </c>
      <c r="AD7686">
        <v>-1.1113531877539999</v>
      </c>
      <c r="AE7686">
        <v>-1.1047199999999999</v>
      </c>
      <c r="AF7686">
        <v>-1.27566426934643</v>
      </c>
      <c r="AG7686">
        <v>-1.1113531877539999</v>
      </c>
      <c r="AH7686">
        <v>34.226351655685903</v>
      </c>
      <c r="AI7686">
        <v>91.858490435670404</v>
      </c>
      <c r="AJ7686">
        <v>92.134506272517001</v>
      </c>
      <c r="AK7686">
        <v>34.268142244578897</v>
      </c>
      <c r="AL7686">
        <v>91.182753692974103</v>
      </c>
      <c r="AM7686">
        <v>89.378930837139094</v>
      </c>
      <c r="AN7686">
        <v>0.99999999452109101</v>
      </c>
    </row>
    <row r="7687" spans="1:40" x14ac:dyDescent="0.25">
      <c r="A7687" t="str">
        <f>"20190312154113528"</f>
        <v>20190312154113528</v>
      </c>
      <c r="B7687" t="str">
        <f>"1552376473524311"</f>
        <v>1552376473524311</v>
      </c>
      <c r="C7687" t="s">
        <v>40</v>
      </c>
      <c r="D7687">
        <v>4.295318</v>
      </c>
      <c r="E7687">
        <v>0.48137190000000002</v>
      </c>
      <c r="F7687" t="s">
        <v>42</v>
      </c>
      <c r="G7687">
        <v>-341.02910000000003</v>
      </c>
      <c r="H7687" s="1">
        <v>-4.3705760000000003E-6</v>
      </c>
      <c r="I7687">
        <v>16.573160000000001</v>
      </c>
      <c r="J7687">
        <v>-375.57389999999998</v>
      </c>
      <c r="K7687">
        <v>1.1114649999999999</v>
      </c>
      <c r="L7687">
        <v>17.621220000000001</v>
      </c>
      <c r="M7687">
        <v>0.99767510000000004</v>
      </c>
      <c r="N7687">
        <v>0</v>
      </c>
      <c r="O7687">
        <v>-6.7747329999999994E-2</v>
      </c>
      <c r="P7687">
        <v>0.99657150000000005</v>
      </c>
      <c r="Q7687">
        <v>-2.7665660000000002E-2</v>
      </c>
      <c r="R7687">
        <v>-7.7975509999999998E-2</v>
      </c>
      <c r="S7687">
        <v>3.0007929999999998</v>
      </c>
      <c r="T7687">
        <v>-9.6069929999999998E-2</v>
      </c>
      <c r="U7687">
        <v>-9.1461180000000003E-2</v>
      </c>
      <c r="V7687">
        <v>1.0396870000000001E-2</v>
      </c>
      <c r="W7687">
        <v>-2.0199350000000001E-2</v>
      </c>
      <c r="X7687">
        <v>0.99974189999999996</v>
      </c>
      <c r="Y7687">
        <v>-3.7269200000000002E-2</v>
      </c>
      <c r="Z7687">
        <v>2.7624080000000001E-3</v>
      </c>
      <c r="AA7687">
        <v>0.99930140000000001</v>
      </c>
      <c r="AB7687">
        <v>31</v>
      </c>
      <c r="AC7687">
        <v>34.544799999999903</v>
      </c>
      <c r="AD7687">
        <v>-1.1114693705759999</v>
      </c>
      <c r="AE7687">
        <v>-1.04805999999999</v>
      </c>
      <c r="AF7687">
        <v>-1.2933923026634899</v>
      </c>
      <c r="AG7687">
        <v>-1.1114693705759999</v>
      </c>
      <c r="AH7687">
        <v>34.500751768891803</v>
      </c>
      <c r="AI7687">
        <v>91.843896920643601</v>
      </c>
      <c r="AJ7687">
        <v>92.146945478383401</v>
      </c>
      <c r="AK7687">
        <v>34.542873366716499</v>
      </c>
      <c r="AL7687">
        <v>91.157416234279907</v>
      </c>
      <c r="AM7687">
        <v>89.404170918987305</v>
      </c>
      <c r="AN7687">
        <v>0.99999998763091402</v>
      </c>
    </row>
    <row r="7688" spans="1:40" x14ac:dyDescent="0.25">
      <c r="A7688" t="str">
        <f>"20190312154113540"</f>
        <v>20190312154113540</v>
      </c>
      <c r="B7688" t="str">
        <f>"1552376473534070"</f>
        <v>1552376473534070</v>
      </c>
      <c r="C7688" t="s">
        <v>40</v>
      </c>
      <c r="D7688">
        <v>4.2855660000000002</v>
      </c>
      <c r="E7688">
        <v>0.48142190000000001</v>
      </c>
      <c r="F7688" t="s">
        <v>42</v>
      </c>
      <c r="G7688">
        <v>-341.10109999999997</v>
      </c>
      <c r="H7688" s="1">
        <v>-4.3279069999999997E-6</v>
      </c>
      <c r="I7688">
        <v>16.63955</v>
      </c>
      <c r="J7688">
        <v>-375.40129999999999</v>
      </c>
      <c r="K7688">
        <v>1.1115740000000001</v>
      </c>
      <c r="L7688">
        <v>17.61111</v>
      </c>
      <c r="M7688">
        <v>0.9977895</v>
      </c>
      <c r="N7688">
        <v>0</v>
      </c>
      <c r="O7688">
        <v>-6.6016190000000002E-2</v>
      </c>
      <c r="P7688">
        <v>0.99677990000000005</v>
      </c>
      <c r="Q7688">
        <v>-2.745357E-2</v>
      </c>
      <c r="R7688">
        <v>-7.5340690000000002E-2</v>
      </c>
      <c r="S7688">
        <v>3.0009459999999999</v>
      </c>
      <c r="T7688">
        <v>-9.6756339999999996E-2</v>
      </c>
      <c r="U7688">
        <v>-8.5449220000000006E-2</v>
      </c>
      <c r="V7688">
        <v>9.4892680000000004E-3</v>
      </c>
      <c r="W7688">
        <v>-1.9782959999999999E-2</v>
      </c>
      <c r="X7688">
        <v>0.99975930000000002</v>
      </c>
      <c r="Y7688">
        <v>-3.7537180000000003E-2</v>
      </c>
      <c r="Z7688">
        <v>2.7307630000000002E-3</v>
      </c>
      <c r="AA7688">
        <v>0.9992915</v>
      </c>
      <c r="AB7688">
        <v>31</v>
      </c>
      <c r="AC7688">
        <v>34.300199999999997</v>
      </c>
      <c r="AD7688">
        <v>-1.111578327907</v>
      </c>
      <c r="AE7688">
        <v>-0.97155999999999998</v>
      </c>
      <c r="AF7688">
        <v>-1.2936361597708601</v>
      </c>
      <c r="AG7688">
        <v>-1.111578327907</v>
      </c>
      <c r="AH7688">
        <v>34.253566618373704</v>
      </c>
      <c r="AI7688">
        <v>91.8573563798397</v>
      </c>
      <c r="AJ7688">
        <v>92.162831214561507</v>
      </c>
      <c r="AK7688">
        <v>34.2960045336524</v>
      </c>
      <c r="AL7688">
        <v>91.133554021988601</v>
      </c>
      <c r="AM7688">
        <v>89.456190424167303</v>
      </c>
      <c r="AN7688">
        <v>1.00000003482501</v>
      </c>
    </row>
    <row r="7689" spans="1:40" x14ac:dyDescent="0.25">
      <c r="A7689" t="str">
        <f>"20190312154113552"</f>
        <v>20190312154113552</v>
      </c>
      <c r="B7689" t="str">
        <f>"1552376473543831"</f>
        <v>1552376473543831</v>
      </c>
      <c r="C7689" t="s">
        <v>40</v>
      </c>
      <c r="D7689">
        <v>4.2964529999999996</v>
      </c>
      <c r="E7689">
        <v>0.48145579999999999</v>
      </c>
      <c r="F7689" t="s">
        <v>42</v>
      </c>
      <c r="G7689">
        <v>-340.9649</v>
      </c>
      <c r="H7689" s="1">
        <v>-4.3726159999999999E-6</v>
      </c>
      <c r="I7689">
        <v>16.717029999999902</v>
      </c>
      <c r="J7689">
        <v>-375.21890000000002</v>
      </c>
      <c r="K7689">
        <v>1.111677</v>
      </c>
      <c r="L7689">
        <v>17.60089</v>
      </c>
      <c r="M7689">
        <v>0.99790959999999995</v>
      </c>
      <c r="N7689">
        <v>0</v>
      </c>
      <c r="O7689">
        <v>-6.4148579999999997E-2</v>
      </c>
      <c r="P7689">
        <v>0.99699309999999997</v>
      </c>
      <c r="Q7689">
        <v>-2.747219E-2</v>
      </c>
      <c r="R7689">
        <v>-7.2459060000000006E-2</v>
      </c>
      <c r="S7689">
        <v>3.001099</v>
      </c>
      <c r="T7689">
        <v>-9.6872810000000004E-2</v>
      </c>
      <c r="U7689">
        <v>-7.7911380000000002E-2</v>
      </c>
      <c r="V7689">
        <v>8.472505E-3</v>
      </c>
      <c r="W7689">
        <v>-1.9582519999999999E-2</v>
      </c>
      <c r="X7689">
        <v>0.99977240000000001</v>
      </c>
      <c r="Y7689">
        <v>-3.8176979999999999E-2</v>
      </c>
      <c r="Z7689">
        <v>2.6842329999999998E-3</v>
      </c>
      <c r="AA7689">
        <v>0.99926740000000003</v>
      </c>
      <c r="AB7689">
        <v>31</v>
      </c>
      <c r="AC7689">
        <v>34.253999999999998</v>
      </c>
      <c r="AD7689">
        <v>-1.111681372616</v>
      </c>
      <c r="AE7689">
        <v>-0.88386000000000198</v>
      </c>
      <c r="AF7689">
        <v>-1.3139903956316401</v>
      </c>
      <c r="AG7689">
        <v>-1.111681372616</v>
      </c>
      <c r="AH7689">
        <v>34.204142727367604</v>
      </c>
      <c r="AI7689">
        <v>91.860164689802602</v>
      </c>
      <c r="AJ7689">
        <v>92.199999621459199</v>
      </c>
      <c r="AK7689">
        <v>34.247420135656498</v>
      </c>
      <c r="AL7689">
        <v>91.122067408325904</v>
      </c>
      <c r="AM7689">
        <v>89.514462333484502</v>
      </c>
      <c r="AN7689">
        <v>1.0000000551161401</v>
      </c>
    </row>
    <row r="7690" spans="1:40" x14ac:dyDescent="0.25">
      <c r="A7690" t="str">
        <f>"20190312154113573"</f>
        <v>20190312154113573</v>
      </c>
      <c r="B7690" t="str">
        <f>"1552376473564328"</f>
        <v>1552376473564328</v>
      </c>
      <c r="C7690" t="s">
        <v>40</v>
      </c>
      <c r="D7690">
        <v>4.2843030000000004</v>
      </c>
      <c r="E7690">
        <v>0.48161769999999998</v>
      </c>
      <c r="F7690" t="s">
        <v>42</v>
      </c>
      <c r="G7690">
        <v>-341.04250000000002</v>
      </c>
      <c r="H7690" s="1">
        <v>-4.3229609999999999E-6</v>
      </c>
      <c r="I7690">
        <v>16.809179999999898</v>
      </c>
      <c r="J7690">
        <v>-374.95510000000002</v>
      </c>
      <c r="K7690">
        <v>1.111799</v>
      </c>
      <c r="L7690">
        <v>17.5867</v>
      </c>
      <c r="M7690">
        <v>0.99807939999999995</v>
      </c>
      <c r="N7690">
        <v>0</v>
      </c>
      <c r="O7690">
        <v>-6.14064E-2</v>
      </c>
      <c r="P7690">
        <v>0.99734809999999996</v>
      </c>
      <c r="Q7690">
        <v>-2.8727260000000001E-2</v>
      </c>
      <c r="R7690">
        <v>-6.6870529999999997E-2</v>
      </c>
      <c r="S7690">
        <v>3.001312</v>
      </c>
      <c r="T7690">
        <v>-9.762585E-2</v>
      </c>
      <c r="U7690">
        <v>-6.9519040000000004E-2</v>
      </c>
      <c r="V7690">
        <v>5.6284769999999998E-3</v>
      </c>
      <c r="W7690">
        <v>-2.0525000000000002E-2</v>
      </c>
      <c r="X7690">
        <v>0.99977349999999998</v>
      </c>
      <c r="Y7690">
        <v>-3.8226379999999997E-2</v>
      </c>
      <c r="Z7690">
        <v>2.6168440000000001E-3</v>
      </c>
      <c r="AA7690">
        <v>0.99926570000000003</v>
      </c>
      <c r="AB7690">
        <v>31</v>
      </c>
      <c r="AC7690">
        <v>33.912599999999998</v>
      </c>
      <c r="AD7690">
        <v>-1.111803322961</v>
      </c>
      <c r="AE7690">
        <v>-0.77752000000000199</v>
      </c>
      <c r="AF7690">
        <v>-1.30506563235175</v>
      </c>
      <c r="AG7690">
        <v>-1.111803322961</v>
      </c>
      <c r="AH7690">
        <v>33.8599696472643</v>
      </c>
      <c r="AI7690">
        <v>91.879255861225801</v>
      </c>
      <c r="AJ7690">
        <v>92.207260044554801</v>
      </c>
      <c r="AK7690">
        <v>33.903345667461103</v>
      </c>
      <c r="AL7690">
        <v>91.176078455966802</v>
      </c>
      <c r="AM7690">
        <v>89.677442370435301</v>
      </c>
      <c r="AN7690">
        <v>1.00000000334029</v>
      </c>
    </row>
    <row r="7691" spans="1:40" x14ac:dyDescent="0.25">
      <c r="A7691" t="str">
        <f>"20190312154113586"</f>
        <v>20190312154113586</v>
      </c>
      <c r="B7691" t="str">
        <f>"1552376473574087"</f>
        <v>1552376473574087</v>
      </c>
      <c r="C7691" t="s">
        <v>40</v>
      </c>
      <c r="D7691">
        <v>4.2654290000000001</v>
      </c>
      <c r="E7691">
        <v>0.4816705</v>
      </c>
      <c r="F7691" t="s">
        <v>42</v>
      </c>
      <c r="G7691">
        <v>-341.98759999999999</v>
      </c>
      <c r="H7691" s="1">
        <v>-3.8848550000000001E-6</v>
      </c>
      <c r="I7691">
        <v>16.993310000000001</v>
      </c>
      <c r="J7691">
        <v>-374.76670000000001</v>
      </c>
      <c r="K7691">
        <v>1.111866</v>
      </c>
      <c r="L7691">
        <v>17.577059999999999</v>
      </c>
      <c r="M7691">
        <v>0.99819729999999995</v>
      </c>
      <c r="N7691">
        <v>0</v>
      </c>
      <c r="O7691">
        <v>-5.9426439999999997E-2</v>
      </c>
      <c r="P7691">
        <v>0.99756429999999996</v>
      </c>
      <c r="Q7691">
        <v>-2.9411409999999999E-2</v>
      </c>
      <c r="R7691">
        <v>-6.3252470000000005E-2</v>
      </c>
      <c r="S7691">
        <v>3.0014340000000002</v>
      </c>
      <c r="T7691">
        <v>-0.10122100000000001</v>
      </c>
      <c r="U7691">
        <v>-5.4016109999999999E-2</v>
      </c>
      <c r="V7691">
        <v>3.9913860000000004E-3</v>
      </c>
      <c r="W7691">
        <v>-2.0981199999999998E-2</v>
      </c>
      <c r="X7691">
        <v>0.99977190000000005</v>
      </c>
      <c r="Y7691">
        <v>-4.1399610000000003E-2</v>
      </c>
      <c r="Z7691">
        <v>2.7001239999999999E-3</v>
      </c>
      <c r="AA7691">
        <v>0.999139</v>
      </c>
      <c r="AB7691">
        <v>31</v>
      </c>
      <c r="AC7691">
        <v>32.7791</v>
      </c>
      <c r="AD7691">
        <v>-1.1118698848549999</v>
      </c>
      <c r="AE7691">
        <v>-0.58374999999999799</v>
      </c>
      <c r="AF7691">
        <v>-1.3637272052571201</v>
      </c>
      <c r="AG7691">
        <v>-1.1118698848549999</v>
      </c>
      <c r="AH7691">
        <v>32.718223653119402</v>
      </c>
      <c r="AI7691">
        <v>91.944657622693498</v>
      </c>
      <c r="AJ7691">
        <v>92.386761967151102</v>
      </c>
      <c r="AK7691">
        <v>32.765502675020002</v>
      </c>
      <c r="AL7691">
        <v>91.2022224289706</v>
      </c>
      <c r="AM7691">
        <v>89.771259467049603</v>
      </c>
      <c r="AN7691">
        <v>0.99999999697262498</v>
      </c>
    </row>
    <row r="7692" spans="1:40" x14ac:dyDescent="0.25">
      <c r="A7692" t="str">
        <f>"20190312154113605"</f>
        <v>20190312154113605</v>
      </c>
      <c r="B7692" t="str">
        <f>"1552376473593606"</f>
        <v>1552376473593606</v>
      </c>
      <c r="C7692" t="s">
        <v>40</v>
      </c>
      <c r="D7692">
        <v>4.2239360000000001</v>
      </c>
      <c r="E7692">
        <v>0.48975269999999999</v>
      </c>
      <c r="F7692" t="s">
        <v>42</v>
      </c>
      <c r="G7692">
        <v>-342.64760000000001</v>
      </c>
      <c r="H7692" s="1">
        <v>-3.5808690000000001E-6</v>
      </c>
      <c r="I7692">
        <v>17.110959999999999</v>
      </c>
      <c r="J7692">
        <v>-374.49709999999999</v>
      </c>
      <c r="K7692">
        <v>1.1119479999999999</v>
      </c>
      <c r="L7692">
        <v>17.5639</v>
      </c>
      <c r="M7692">
        <v>0.99836020000000003</v>
      </c>
      <c r="N7692">
        <v>0</v>
      </c>
      <c r="O7692">
        <v>-5.6571469999999999E-2</v>
      </c>
      <c r="P7692">
        <v>0.99788449999999995</v>
      </c>
      <c r="Q7692">
        <v>-3.1023559999999999E-2</v>
      </c>
      <c r="R7692">
        <v>-5.7130840000000002E-2</v>
      </c>
      <c r="S7692">
        <v>3.0014949999999998</v>
      </c>
      <c r="T7692">
        <v>-0.1039028</v>
      </c>
      <c r="U7692">
        <v>-4.3548580000000003E-2</v>
      </c>
      <c r="V7692">
        <v>7.3027140000000003E-4</v>
      </c>
      <c r="W7692">
        <v>-2.2274599999999999E-2</v>
      </c>
      <c r="X7692">
        <v>0.99975159999999996</v>
      </c>
      <c r="Y7692">
        <v>-4.2024470000000001E-2</v>
      </c>
      <c r="Z7692">
        <v>2.6838610000000001E-3</v>
      </c>
      <c r="AA7692">
        <v>0.99911300000000003</v>
      </c>
      <c r="AB7692">
        <v>31</v>
      </c>
      <c r="AC7692">
        <v>31.8494999999999</v>
      </c>
      <c r="AD7692">
        <v>-1.1119515808689999</v>
      </c>
      <c r="AE7692">
        <v>-0.45293999999999801</v>
      </c>
      <c r="AF7692">
        <v>-1.3479847224516801</v>
      </c>
      <c r="AG7692">
        <v>-1.1119515808689999</v>
      </c>
      <c r="AH7692">
        <v>31.785380011220099</v>
      </c>
      <c r="AI7692">
        <v>92.001769897334697</v>
      </c>
      <c r="AJ7692">
        <v>92.428398941115603</v>
      </c>
      <c r="AK7692">
        <v>31.8333768486448</v>
      </c>
      <c r="AL7692">
        <v>91.276346160156393</v>
      </c>
      <c r="AM7692">
        <v>89.958148142321093</v>
      </c>
      <c r="AN7692">
        <v>0.99999997640201799</v>
      </c>
    </row>
    <row r="7693" spans="1:40" x14ac:dyDescent="0.25">
      <c r="A7693" t="str">
        <f>"20190312154113618"</f>
        <v>20190312154113618</v>
      </c>
      <c r="B7693" t="str">
        <f>"1552376473614102"</f>
        <v>1552376473614102</v>
      </c>
      <c r="C7693" t="s">
        <v>40</v>
      </c>
      <c r="D7693">
        <v>4.2053479999999999</v>
      </c>
      <c r="E7693">
        <v>0.49013469999999998</v>
      </c>
      <c r="F7693" t="s">
        <v>43</v>
      </c>
      <c r="G7693">
        <v>-314.19740000000002</v>
      </c>
      <c r="H7693">
        <v>-0.05</v>
      </c>
      <c r="I7693">
        <v>15.74539</v>
      </c>
      <c r="J7693">
        <v>-374.30200000000002</v>
      </c>
      <c r="K7693">
        <v>1.1120000000000001</v>
      </c>
      <c r="L7693">
        <v>17.55481</v>
      </c>
      <c r="M7693">
        <v>0.99847350000000001</v>
      </c>
      <c r="N7693">
        <v>0</v>
      </c>
      <c r="O7693">
        <v>-5.4496700000000002E-2</v>
      </c>
      <c r="P7693">
        <v>0.99802919999999995</v>
      </c>
      <c r="Q7693">
        <v>-3.1697790000000003E-2</v>
      </c>
      <c r="R7693">
        <v>-5.4157869999999997E-2</v>
      </c>
      <c r="S7693">
        <v>2.9993590000000001</v>
      </c>
      <c r="T7693">
        <v>-5.7796239999999999E-2</v>
      </c>
      <c r="U7693">
        <v>-9.0454099999999996E-2</v>
      </c>
      <c r="V7693">
        <v>-1.6524500000000001E-4</v>
      </c>
      <c r="W7693">
        <v>-2.2712980000000001E-2</v>
      </c>
      <c r="X7693">
        <v>0.99974200000000002</v>
      </c>
      <c r="Y7693">
        <v>-2.4360219999999998E-2</v>
      </c>
      <c r="Z7693">
        <v>1.2838560000000001E-3</v>
      </c>
      <c r="AA7693">
        <v>0.99970239999999999</v>
      </c>
      <c r="AB7693">
        <v>31</v>
      </c>
      <c r="AC7693">
        <v>60.104599999999898</v>
      </c>
      <c r="AD7693">
        <v>-1.1619999999999999</v>
      </c>
      <c r="AE7693">
        <v>-1.80942</v>
      </c>
      <c r="AF7693">
        <v>-1.46835544362627</v>
      </c>
      <c r="AG7693">
        <v>-1.1619999999999999</v>
      </c>
      <c r="AH7693">
        <v>60.0914461307054</v>
      </c>
      <c r="AI7693">
        <v>91.107471088573504</v>
      </c>
      <c r="AJ7693">
        <v>91.399763805906403</v>
      </c>
      <c r="AK7693">
        <v>60.120613850727501</v>
      </c>
      <c r="AL7693">
        <v>91.301469828140497</v>
      </c>
      <c r="AM7693">
        <v>90.009470284332707</v>
      </c>
      <c r="AN7693">
        <v>0.99999998666519496</v>
      </c>
    </row>
    <row r="7694" spans="1:40" x14ac:dyDescent="0.25">
      <c r="A7694" t="str">
        <f>"20190312154113630"</f>
        <v>20190312154113630</v>
      </c>
      <c r="B7694" t="str">
        <f>"1552376473623862"</f>
        <v>1552376473623862</v>
      </c>
      <c r="C7694" t="s">
        <v>40</v>
      </c>
      <c r="D7694">
        <v>4.2389590000000004</v>
      </c>
      <c r="E7694">
        <v>0.49042809999999998</v>
      </c>
      <c r="F7694" t="s">
        <v>43</v>
      </c>
      <c r="G7694">
        <v>-316.5591</v>
      </c>
      <c r="H7694">
        <v>-0.05</v>
      </c>
      <c r="I7694">
        <v>15.926819999999999</v>
      </c>
      <c r="J7694">
        <v>-374.13319999999999</v>
      </c>
      <c r="K7694">
        <v>1.1120399999999999</v>
      </c>
      <c r="L7694">
        <v>17.54739</v>
      </c>
      <c r="M7694">
        <v>0.99856820000000002</v>
      </c>
      <c r="N7694">
        <v>0</v>
      </c>
      <c r="O7694">
        <v>-5.2699210000000003E-2</v>
      </c>
      <c r="P7694">
        <v>0.99814510000000001</v>
      </c>
      <c r="Q7694">
        <v>-3.2534279999999999E-2</v>
      </c>
      <c r="R7694">
        <v>-5.1460400000000003E-2</v>
      </c>
      <c r="S7694">
        <v>2.9994200000000002</v>
      </c>
      <c r="T7694">
        <v>-6.0359360000000001E-2</v>
      </c>
      <c r="U7694">
        <v>-8.4564210000000001E-2</v>
      </c>
      <c r="V7694">
        <v>-1.0614520000000001E-3</v>
      </c>
      <c r="W7694">
        <v>-2.335541E-2</v>
      </c>
      <c r="X7694">
        <v>0.99972669999999997</v>
      </c>
      <c r="Y7694">
        <v>-2.4521729999999999E-2</v>
      </c>
      <c r="Z7694">
        <v>1.3063230000000001E-3</v>
      </c>
      <c r="AA7694">
        <v>0.99969850000000005</v>
      </c>
      <c r="AB7694">
        <v>31</v>
      </c>
      <c r="AC7694">
        <v>57.574099999999902</v>
      </c>
      <c r="AD7694">
        <v>-1.16204</v>
      </c>
      <c r="AE7694">
        <v>-1.6205699999999901</v>
      </c>
      <c r="AF7694">
        <v>-1.4153435210031999</v>
      </c>
      <c r="AG7694">
        <v>-1.16204</v>
      </c>
      <c r="AH7694">
        <v>57.556068444466099</v>
      </c>
      <c r="AI7694">
        <v>91.156278249899302</v>
      </c>
      <c r="AJ7694">
        <v>91.408658942295204</v>
      </c>
      <c r="AK7694">
        <v>57.585193835117998</v>
      </c>
      <c r="AL7694">
        <v>91.338288056531596</v>
      </c>
      <c r="AM7694">
        <v>90.060833322649998</v>
      </c>
      <c r="AN7694">
        <v>1.00000003827475</v>
      </c>
    </row>
    <row r="7695" spans="1:40" x14ac:dyDescent="0.25">
      <c r="A7695" t="str">
        <f>"20190312154113648"</f>
        <v>20190312154113648</v>
      </c>
      <c r="B7695" t="str">
        <f>"1552376473644358"</f>
        <v>1552376473644358</v>
      </c>
      <c r="C7695" t="s">
        <v>40</v>
      </c>
      <c r="D7695">
        <v>4.214753</v>
      </c>
      <c r="E7695">
        <v>0.49105169999999998</v>
      </c>
      <c r="F7695" t="s">
        <v>42</v>
      </c>
      <c r="G7695">
        <v>-322.649</v>
      </c>
      <c r="H7695" s="1">
        <v>-4.0621529999999996E-6</v>
      </c>
      <c r="I7695">
        <v>16.19538</v>
      </c>
      <c r="J7695">
        <v>-373.9008</v>
      </c>
      <c r="K7695">
        <v>1.112082</v>
      </c>
      <c r="L7695">
        <v>17.53763</v>
      </c>
      <c r="M7695">
        <v>0.99869319999999895</v>
      </c>
      <c r="N7695">
        <v>0</v>
      </c>
      <c r="O7695">
        <v>-5.0227439999999998E-2</v>
      </c>
      <c r="P7695">
        <v>0.99832180000000004</v>
      </c>
      <c r="Q7695">
        <v>-3.2450779999999999E-2</v>
      </c>
      <c r="R7695">
        <v>-4.796773E-2</v>
      </c>
      <c r="S7695">
        <v>2.99939</v>
      </c>
      <c r="T7695">
        <v>-6.4785960000000004E-2</v>
      </c>
      <c r="U7695">
        <v>-7.8765870000000002E-2</v>
      </c>
      <c r="V7695">
        <v>-2.0859099999999998E-3</v>
      </c>
      <c r="W7695">
        <v>-2.3015239999999999E-2</v>
      </c>
      <c r="X7695">
        <v>0.99973290000000004</v>
      </c>
      <c r="Y7695">
        <v>-2.397664E-2</v>
      </c>
      <c r="Z7695">
        <v>1.3429819999999999E-3</v>
      </c>
      <c r="AA7695">
        <v>0.99971160000000003</v>
      </c>
      <c r="AB7695">
        <v>31</v>
      </c>
      <c r="AC7695">
        <v>51.251800000000003</v>
      </c>
      <c r="AD7695">
        <v>-1.112086062153</v>
      </c>
      <c r="AE7695">
        <v>-1.3422499999999999</v>
      </c>
      <c r="AF7695">
        <v>-1.2332254926989501</v>
      </c>
      <c r="AG7695">
        <v>-1.112086062153</v>
      </c>
      <c r="AH7695">
        <v>51.230421303455699</v>
      </c>
      <c r="AI7695">
        <v>91.243194692015507</v>
      </c>
      <c r="AJ7695">
        <v>91.378965285469107</v>
      </c>
      <c r="AK7695">
        <v>51.257327743992398</v>
      </c>
      <c r="AL7695">
        <v>91.318792612005595</v>
      </c>
      <c r="AM7695">
        <v>90.119545596645096</v>
      </c>
      <c r="AN7695">
        <v>0.99999996181759698</v>
      </c>
    </row>
    <row r="7696" spans="1:40" x14ac:dyDescent="0.25">
      <c r="A7696" t="str">
        <f>"20190312154113659"</f>
        <v>20190312154113659</v>
      </c>
      <c r="B7696" t="str">
        <f>"1552376473654119"</f>
        <v>1552376473654119</v>
      </c>
      <c r="C7696" t="s">
        <v>40</v>
      </c>
      <c r="D7696">
        <v>4.2023390000000003</v>
      </c>
      <c r="E7696">
        <v>0.49140230000000001</v>
      </c>
      <c r="F7696" t="s">
        <v>42</v>
      </c>
      <c r="G7696">
        <v>-320.69490000000002</v>
      </c>
      <c r="H7696" s="1">
        <v>-4.9782260000000003E-6</v>
      </c>
      <c r="I7696">
        <v>16.23845</v>
      </c>
      <c r="J7696">
        <v>-373.73509999999999</v>
      </c>
      <c r="K7696">
        <v>1.112115</v>
      </c>
      <c r="L7696">
        <v>17.530909999999999</v>
      </c>
      <c r="M7696">
        <v>0.99877839999999996</v>
      </c>
      <c r="N7696">
        <v>0</v>
      </c>
      <c r="O7696">
        <v>-4.846789E-2</v>
      </c>
      <c r="P7696">
        <v>0.99840930000000006</v>
      </c>
      <c r="Q7696">
        <v>-3.2556710000000003E-2</v>
      </c>
      <c r="R7696">
        <v>-4.6035630000000001E-2</v>
      </c>
      <c r="S7696">
        <v>2.9995120000000002</v>
      </c>
      <c r="T7696">
        <v>-6.2694550000000002E-2</v>
      </c>
      <c r="U7696">
        <v>-7.3242189999999999E-2</v>
      </c>
      <c r="V7696">
        <v>-2.259437E-3</v>
      </c>
      <c r="W7696">
        <v>-2.294154E-2</v>
      </c>
      <c r="X7696">
        <v>0.99973429999999996</v>
      </c>
      <c r="Y7696">
        <v>-2.4057809999999999E-2</v>
      </c>
      <c r="Z7696">
        <v>1.2637519999999999E-3</v>
      </c>
      <c r="AA7696">
        <v>0.99970979999999998</v>
      </c>
      <c r="AB7696">
        <v>31</v>
      </c>
      <c r="AC7696">
        <v>53.040199999999899</v>
      </c>
      <c r="AD7696">
        <v>-1.1121199782260001</v>
      </c>
      <c r="AE7696">
        <v>-1.2924599999999999</v>
      </c>
      <c r="AF7696">
        <v>-1.2793625721306301</v>
      </c>
      <c r="AG7696">
        <v>-1.1121199782260001</v>
      </c>
      <c r="AH7696">
        <v>53.017209544871697</v>
      </c>
      <c r="AI7696">
        <v>91.201343905046301</v>
      </c>
      <c r="AJ7696">
        <v>91.382340815253301</v>
      </c>
      <c r="AK7696">
        <v>53.044303062268398</v>
      </c>
      <c r="AL7696">
        <v>91.314568688336706</v>
      </c>
      <c r="AM7696">
        <v>90.129490389362005</v>
      </c>
      <c r="AN7696">
        <v>1.0000000449548001</v>
      </c>
    </row>
    <row r="7697" spans="1:40" x14ac:dyDescent="0.25">
      <c r="A7697" t="str">
        <f>"20190312154113670"</f>
        <v>20190312154113670</v>
      </c>
      <c r="B7697" t="str">
        <f>"1552376473663878"</f>
        <v>1552376473663878</v>
      </c>
      <c r="C7697" t="s">
        <v>40</v>
      </c>
      <c r="D7697">
        <v>4.2129159999999999</v>
      </c>
      <c r="E7697">
        <v>0.49140230000000001</v>
      </c>
      <c r="F7697" t="s">
        <v>42</v>
      </c>
      <c r="G7697">
        <v>-320.01310000000001</v>
      </c>
      <c r="H7697" s="1">
        <v>-5.2943479999999999E-6</v>
      </c>
      <c r="I7697">
        <v>16.273219999999998</v>
      </c>
      <c r="J7697">
        <v>-373.57670000000002</v>
      </c>
      <c r="K7697">
        <v>1.1121379999999901</v>
      </c>
      <c r="L7697">
        <v>17.52487</v>
      </c>
      <c r="M7697">
        <v>0.99885639999999998</v>
      </c>
      <c r="N7697">
        <v>0</v>
      </c>
      <c r="O7697">
        <v>-4.6794179999999998E-2</v>
      </c>
      <c r="P7697">
        <v>0.99850019999999995</v>
      </c>
      <c r="Q7697">
        <v>-3.2057540000000002E-2</v>
      </c>
      <c r="R7697">
        <v>-4.4380799999999998E-2</v>
      </c>
      <c r="S7697">
        <v>2.9994809999999998</v>
      </c>
      <c r="T7697">
        <v>-6.2093500000000003E-2</v>
      </c>
      <c r="U7697">
        <v>-7.0220950000000004E-2</v>
      </c>
      <c r="V7697">
        <v>-2.246123E-3</v>
      </c>
      <c r="W7697">
        <v>-2.2276959999999998E-2</v>
      </c>
      <c r="X7697">
        <v>0.99974929999999995</v>
      </c>
      <c r="Y7697">
        <v>-2.338962E-2</v>
      </c>
      <c r="Z7697">
        <v>1.210158E-3</v>
      </c>
      <c r="AA7697">
        <v>0.99972570000000005</v>
      </c>
      <c r="AB7697">
        <v>31</v>
      </c>
      <c r="AC7697">
        <v>53.563600000000001</v>
      </c>
      <c r="AD7697">
        <v>-1.1121432943480001</v>
      </c>
      <c r="AE7697">
        <v>-1.2516499999999899</v>
      </c>
      <c r="AF7697">
        <v>-1.2557654846528301</v>
      </c>
      <c r="AG7697">
        <v>-1.1121432943480001</v>
      </c>
      <c r="AH7697">
        <v>53.540422095589101</v>
      </c>
      <c r="AI7697">
        <v>91.189651480721295</v>
      </c>
      <c r="AJ7697">
        <v>91.343599289339494</v>
      </c>
      <c r="AK7697">
        <v>53.566693082861299</v>
      </c>
      <c r="AL7697">
        <v>91.276481400230296</v>
      </c>
      <c r="AM7697">
        <v>90.128725423100605</v>
      </c>
      <c r="AN7697">
        <v>0.999999985432931</v>
      </c>
    </row>
    <row r="7698" spans="1:40" x14ac:dyDescent="0.25">
      <c r="A7698" t="str">
        <f>"20190312154113682"</f>
        <v>20190312154113682</v>
      </c>
      <c r="B7698" t="str">
        <f>"1552376473673638"</f>
        <v>1552376473673638</v>
      </c>
      <c r="C7698" t="s">
        <v>40</v>
      </c>
      <c r="D7698">
        <v>4.225841</v>
      </c>
      <c r="E7698">
        <v>0.49573339999999999</v>
      </c>
      <c r="F7698" t="s">
        <v>43</v>
      </c>
      <c r="G7698">
        <v>-316.07979999999998</v>
      </c>
      <c r="H7698">
        <v>-0.05</v>
      </c>
      <c r="I7698">
        <v>16.274840000000001</v>
      </c>
      <c r="J7698">
        <v>-373.41879999999998</v>
      </c>
      <c r="K7698">
        <v>1.112169</v>
      </c>
      <c r="L7698">
        <v>17.519069999999999</v>
      </c>
      <c r="M7698">
        <v>0.99893140000000002</v>
      </c>
      <c r="N7698">
        <v>0</v>
      </c>
      <c r="O7698">
        <v>-4.5133729999999997E-2</v>
      </c>
      <c r="P7698">
        <v>0.9985714</v>
      </c>
      <c r="Q7698">
        <v>-3.1598090000000002E-2</v>
      </c>
      <c r="R7698">
        <v>-4.3092760000000001E-2</v>
      </c>
      <c r="S7698">
        <v>2.9996640000000001</v>
      </c>
      <c r="T7698">
        <v>-6.0629839999999997E-2</v>
      </c>
      <c r="U7698">
        <v>-6.5216060000000006E-2</v>
      </c>
      <c r="V7698">
        <v>-1.8785989999999999E-3</v>
      </c>
      <c r="W7698">
        <v>-2.1651779999999999E-2</v>
      </c>
      <c r="X7698">
        <v>0.99976379999999998</v>
      </c>
      <c r="Y7698">
        <v>-2.339749E-2</v>
      </c>
      <c r="Z7698">
        <v>1.148158E-3</v>
      </c>
      <c r="AA7698">
        <v>0.99972559999999999</v>
      </c>
      <c r="AB7698">
        <v>31</v>
      </c>
      <c r="AC7698">
        <v>57.338999999999999</v>
      </c>
      <c r="AD7698">
        <v>-1.162169</v>
      </c>
      <c r="AE7698">
        <v>-1.2442299999999999</v>
      </c>
      <c r="AF7698">
        <v>-1.34453702933033</v>
      </c>
      <c r="AG7698">
        <v>-1.162169</v>
      </c>
      <c r="AH7698">
        <v>57.313189047214699</v>
      </c>
      <c r="AI7698">
        <v>91.161337342038607</v>
      </c>
      <c r="AJ7698">
        <v>91.3438821133537</v>
      </c>
      <c r="AK7698">
        <v>57.340736439023701</v>
      </c>
      <c r="AL7698">
        <v>91.240652571672697</v>
      </c>
      <c r="AM7698">
        <v>90.107661096968599</v>
      </c>
      <c r="AN7698">
        <v>0.99999999225090497</v>
      </c>
    </row>
    <row r="7699" spans="1:40" x14ac:dyDescent="0.25">
      <c r="A7699" t="str">
        <f>"20190312154113694"</f>
        <v>20190312154113694</v>
      </c>
      <c r="B7699" t="str">
        <f>"1552376473684375"</f>
        <v>1552376473684375</v>
      </c>
      <c r="C7699" t="s">
        <v>40</v>
      </c>
      <c r="D7699">
        <v>4.221635</v>
      </c>
      <c r="E7699">
        <v>0.49625619999999998</v>
      </c>
      <c r="F7699" t="s">
        <v>43</v>
      </c>
      <c r="G7699">
        <v>-315.36059999999998</v>
      </c>
      <c r="H7699">
        <v>-0.05</v>
      </c>
      <c r="I7699">
        <v>15.6635299999999</v>
      </c>
      <c r="J7699">
        <v>-373.2552</v>
      </c>
      <c r="K7699">
        <v>1.112188</v>
      </c>
      <c r="L7699">
        <v>17.513310000000001</v>
      </c>
      <c r="M7699">
        <v>0.99900549999999999</v>
      </c>
      <c r="N7699">
        <v>0</v>
      </c>
      <c r="O7699">
        <v>-4.3420970000000003E-2</v>
      </c>
      <c r="P7699">
        <v>0.99864940000000002</v>
      </c>
      <c r="Q7699">
        <v>-3.1061330000000002E-2</v>
      </c>
      <c r="R7699">
        <v>-4.1649899999999997E-2</v>
      </c>
      <c r="S7699">
        <v>2.998291</v>
      </c>
      <c r="T7699">
        <v>-6.00177E-2</v>
      </c>
      <c r="U7699">
        <v>-9.5825199999999999E-2</v>
      </c>
      <c r="V7699">
        <v>-1.614994E-3</v>
      </c>
      <c r="W7699">
        <v>-2.0945809999999999E-2</v>
      </c>
      <c r="X7699">
        <v>0.99977930000000004</v>
      </c>
      <c r="Y7699">
        <v>-1.147656E-2</v>
      </c>
      <c r="Z7699">
        <v>9.8337500000000009E-4</v>
      </c>
      <c r="AA7699">
        <v>0.99993370000000004</v>
      </c>
      <c r="AB7699">
        <v>31</v>
      </c>
      <c r="AC7699">
        <v>57.894599999999997</v>
      </c>
      <c r="AD7699">
        <v>-1.162188</v>
      </c>
      <c r="AE7699">
        <v>-1.84978</v>
      </c>
      <c r="AF7699">
        <v>-0.66566549723579205</v>
      </c>
      <c r="AG7699">
        <v>-1.162188</v>
      </c>
      <c r="AH7699">
        <v>57.8970081531481</v>
      </c>
      <c r="AI7699">
        <v>91.1498888974632</v>
      </c>
      <c r="AJ7699">
        <v>90.658723901913802</v>
      </c>
      <c r="AK7699">
        <v>57.912497309192702</v>
      </c>
      <c r="AL7699">
        <v>91.200194291672403</v>
      </c>
      <c r="AM7699">
        <v>90.0925526860335</v>
      </c>
      <c r="AN7699">
        <v>0.99999999193533295</v>
      </c>
    </row>
    <row r="7700" spans="1:40" x14ac:dyDescent="0.25">
      <c r="A7700" t="str">
        <f>"20190312154113705"</f>
        <v>20190312154113705</v>
      </c>
      <c r="B7700" t="str">
        <f>"1552376473694134"</f>
        <v>1552376473694134</v>
      </c>
      <c r="C7700" t="s">
        <v>40</v>
      </c>
      <c r="D7700">
        <v>4.2026209999999997</v>
      </c>
      <c r="E7700">
        <v>0.49694969999999999</v>
      </c>
      <c r="F7700" t="s">
        <v>43</v>
      </c>
      <c r="G7700">
        <v>-316.34089999999998</v>
      </c>
      <c r="H7700">
        <v>-0.05</v>
      </c>
      <c r="I7700">
        <v>15.698320000000001</v>
      </c>
      <c r="J7700">
        <v>-373.1001</v>
      </c>
      <c r="K7700">
        <v>1.1122050000000001</v>
      </c>
      <c r="L7700">
        <v>17.508179999999999</v>
      </c>
      <c r="M7700">
        <v>0.99907250000000003</v>
      </c>
      <c r="N7700">
        <v>0</v>
      </c>
      <c r="O7700">
        <v>-4.1811960000000002E-2</v>
      </c>
      <c r="P7700">
        <v>0.99870749999999997</v>
      </c>
      <c r="Q7700">
        <v>-3.0839020000000002E-2</v>
      </c>
      <c r="R7700">
        <v>-4.0401489999999998E-2</v>
      </c>
      <c r="S7700">
        <v>2.9981689999999999</v>
      </c>
      <c r="T7700">
        <v>-6.1222550000000001E-2</v>
      </c>
      <c r="U7700">
        <v>-9.5611570000000007E-2</v>
      </c>
      <c r="V7700">
        <v>-1.257932E-3</v>
      </c>
      <c r="W7700">
        <v>-2.0555170000000001E-2</v>
      </c>
      <c r="X7700">
        <v>0.99978789999999995</v>
      </c>
      <c r="Y7700">
        <v>-9.9362570000000004E-3</v>
      </c>
      <c r="Z7700">
        <v>9.5462279999999997E-4</v>
      </c>
      <c r="AA7700">
        <v>0.99995020000000001</v>
      </c>
      <c r="AB7700">
        <v>31</v>
      </c>
      <c r="AC7700">
        <v>56.7592</v>
      </c>
      <c r="AD7700">
        <v>-1.1622049999999999</v>
      </c>
      <c r="AE7700">
        <v>-1.80985999999999</v>
      </c>
      <c r="AF7700">
        <v>-0.56482539258693898</v>
      </c>
      <c r="AG7700">
        <v>-1.1622049999999999</v>
      </c>
      <c r="AH7700">
        <v>56.761462326871602</v>
      </c>
      <c r="AI7700">
        <v>91.172923322915494</v>
      </c>
      <c r="AJ7700">
        <v>90.570123491054304</v>
      </c>
      <c r="AK7700">
        <v>56.776168888636697</v>
      </c>
      <c r="AL7700">
        <v>91.177807472255793</v>
      </c>
      <c r="AM7700">
        <v>90.072089446653393</v>
      </c>
      <c r="AN7700">
        <v>0.99999997119652695</v>
      </c>
    </row>
    <row r="7701" spans="1:40" x14ac:dyDescent="0.25">
      <c r="A7701" t="str">
        <f>"20190312154113716"</f>
        <v>20190312154113716</v>
      </c>
      <c r="B7701" t="str">
        <f>"1552376473713655"</f>
        <v>1552376473713655</v>
      </c>
      <c r="C7701" t="s">
        <v>40</v>
      </c>
      <c r="D7701">
        <v>4.2548180000000002</v>
      </c>
      <c r="E7701">
        <v>0.49683319999999997</v>
      </c>
      <c r="F7701" t="s">
        <v>43</v>
      </c>
      <c r="G7701">
        <v>-313.88150000000002</v>
      </c>
      <c r="H7701">
        <v>-0.05</v>
      </c>
      <c r="I7701">
        <v>15.584720000000001</v>
      </c>
      <c r="J7701">
        <v>-372.93459999999999</v>
      </c>
      <c r="K7701">
        <v>1.1122270000000001</v>
      </c>
      <c r="L7701">
        <v>17.50281</v>
      </c>
      <c r="M7701">
        <v>0.9991409</v>
      </c>
      <c r="N7701">
        <v>0</v>
      </c>
      <c r="O7701">
        <v>-4.0101079999999997E-2</v>
      </c>
      <c r="P7701">
        <v>0.99877479999999996</v>
      </c>
      <c r="Q7701">
        <v>-3.0802630000000001E-2</v>
      </c>
      <c r="R7701">
        <v>-3.8737140000000003E-2</v>
      </c>
      <c r="S7701">
        <v>2.998138</v>
      </c>
      <c r="T7701">
        <v>-5.8840509999999999E-2</v>
      </c>
      <c r="U7701">
        <v>-9.7381590000000004E-2</v>
      </c>
      <c r="V7701">
        <v>-1.2140779999999999E-3</v>
      </c>
      <c r="W7701">
        <v>-2.0338499999999999E-2</v>
      </c>
      <c r="X7701">
        <v>0.99979240000000003</v>
      </c>
      <c r="Y7701">
        <v>-7.6355169999999997E-3</v>
      </c>
      <c r="Z7701">
        <v>8.6138389999999897E-4</v>
      </c>
      <c r="AA7701">
        <v>0.99997049999999998</v>
      </c>
      <c r="AB7701">
        <v>31</v>
      </c>
      <c r="AC7701">
        <v>59.053099999999901</v>
      </c>
      <c r="AD7701">
        <v>-1.1622269999999999</v>
      </c>
      <c r="AE7701">
        <v>-1.9180900000000001</v>
      </c>
      <c r="AF7701">
        <v>-0.45150091623477001</v>
      </c>
      <c r="AG7701">
        <v>-1.1622269999999999</v>
      </c>
      <c r="AH7701">
        <v>59.059663559468298</v>
      </c>
      <c r="AI7701">
        <v>91.127337322068001</v>
      </c>
      <c r="AJ7701">
        <v>90.438007794930996</v>
      </c>
      <c r="AK7701">
        <v>59.072823569171597</v>
      </c>
      <c r="AL7701">
        <v>91.165390582415995</v>
      </c>
      <c r="AM7701">
        <v>90.069575955176205</v>
      </c>
      <c r="AN7701">
        <v>0.9999999858327</v>
      </c>
    </row>
    <row r="7702" spans="1:40" x14ac:dyDescent="0.25">
      <c r="A7702" t="str">
        <f>"20190312154113729"</f>
        <v>20190312154113729</v>
      </c>
      <c r="B7702" t="str">
        <f>"1552376473724390"</f>
        <v>1552376473724390</v>
      </c>
      <c r="C7702" t="s">
        <v>40</v>
      </c>
      <c r="D7702">
        <v>4.2578500000000004</v>
      </c>
      <c r="E7702">
        <v>0.4966159</v>
      </c>
      <c r="F7702" t="s">
        <v>42</v>
      </c>
      <c r="G7702">
        <v>-323.20080000000002</v>
      </c>
      <c r="H7702" s="1">
        <v>-3.8380829999999999E-6</v>
      </c>
      <c r="I7702">
        <v>15.9881299999999</v>
      </c>
      <c r="J7702">
        <v>-372.77969999999999</v>
      </c>
      <c r="K7702">
        <v>1.112239</v>
      </c>
      <c r="L7702">
        <v>17.49823</v>
      </c>
      <c r="M7702">
        <v>0.99920039999999999</v>
      </c>
      <c r="N7702">
        <v>0</v>
      </c>
      <c r="O7702">
        <v>-3.853239E-2</v>
      </c>
      <c r="P7702">
        <v>0.99882740000000003</v>
      </c>
      <c r="Q7702">
        <v>-3.0918910000000001E-2</v>
      </c>
      <c r="R7702">
        <v>-3.7256320000000002E-2</v>
      </c>
      <c r="S7702">
        <v>2.9980769999999999</v>
      </c>
      <c r="T7702">
        <v>-6.7048070000000001E-2</v>
      </c>
      <c r="U7702">
        <v>-9.1308589999999995E-2</v>
      </c>
      <c r="V7702">
        <v>-1.12779E-3</v>
      </c>
      <c r="W7702">
        <v>-2.025834E-2</v>
      </c>
      <c r="X7702">
        <v>0.99979410000000002</v>
      </c>
      <c r="Y7702">
        <v>-8.0860959999999992E-3</v>
      </c>
      <c r="Z7702">
        <v>9.5156709999999999E-4</v>
      </c>
      <c r="AA7702">
        <v>0.99996689999999999</v>
      </c>
      <c r="AB7702">
        <v>31</v>
      </c>
      <c r="AC7702">
        <v>49.578899999999898</v>
      </c>
      <c r="AD7702">
        <v>-1.1122428380830001</v>
      </c>
      <c r="AE7702">
        <v>-1.5101</v>
      </c>
      <c r="AF7702">
        <v>-0.40132204881205602</v>
      </c>
      <c r="AG7702">
        <v>-1.1122428380830001</v>
      </c>
      <c r="AH7702">
        <v>49.575340284974203</v>
      </c>
      <c r="AI7702">
        <v>91.285196311486203</v>
      </c>
      <c r="AJ7702">
        <v>90.463810378837707</v>
      </c>
      <c r="AK7702">
        <v>49.589439479477001</v>
      </c>
      <c r="AL7702">
        <v>91.160796839288395</v>
      </c>
      <c r="AM7702">
        <v>90.064630887269502</v>
      </c>
      <c r="AN7702">
        <v>0.99999995732232305</v>
      </c>
    </row>
    <row r="7703" spans="1:40" x14ac:dyDescent="0.25">
      <c r="A7703" t="str">
        <f>"20190312154113742"</f>
        <v>20190312154113742</v>
      </c>
      <c r="B7703" t="str">
        <f>"1552376473734150"</f>
        <v>1552376473734150</v>
      </c>
      <c r="C7703" t="s">
        <v>40</v>
      </c>
      <c r="D7703">
        <v>4.2707860000000002</v>
      </c>
      <c r="E7703">
        <v>0.49668259999999997</v>
      </c>
      <c r="F7703" t="s">
        <v>42</v>
      </c>
      <c r="G7703">
        <v>-327.82549999999998</v>
      </c>
      <c r="H7703" s="1">
        <v>-1.7221659999999999E-6</v>
      </c>
      <c r="I7703">
        <v>16.222909999999999</v>
      </c>
      <c r="J7703">
        <v>-372.57940000000002</v>
      </c>
      <c r="K7703">
        <v>1.112252</v>
      </c>
      <c r="L7703">
        <v>17.49249</v>
      </c>
      <c r="M7703">
        <v>0.99927310000000003</v>
      </c>
      <c r="N7703">
        <v>0</v>
      </c>
      <c r="O7703">
        <v>-3.6519759999999998E-2</v>
      </c>
      <c r="P7703">
        <v>0.99889950000000005</v>
      </c>
      <c r="Q7703">
        <v>-3.1148490000000001E-2</v>
      </c>
      <c r="R7703">
        <v>-3.5065249999999999E-2</v>
      </c>
      <c r="S7703">
        <v>2.9980470000000001</v>
      </c>
      <c r="T7703">
        <v>-7.4176549999999994E-2</v>
      </c>
      <c r="U7703">
        <v>-8.5052489999999994E-2</v>
      </c>
      <c r="V7703">
        <v>-1.3089519999999999E-3</v>
      </c>
      <c r="W7703">
        <v>-2.0223669999999999E-2</v>
      </c>
      <c r="X7703">
        <v>0.99979459999999998</v>
      </c>
      <c r="Y7703">
        <v>-8.1546339999999991E-3</v>
      </c>
      <c r="Z7703">
        <v>1.0038689999999999E-3</v>
      </c>
      <c r="AA7703">
        <v>0.99996629999999997</v>
      </c>
      <c r="AB7703">
        <v>31</v>
      </c>
      <c r="AC7703">
        <v>44.753900000000002</v>
      </c>
      <c r="AD7703">
        <v>-1.112253722166</v>
      </c>
      <c r="AE7703">
        <v>-1.2695799999999999</v>
      </c>
      <c r="AF7703">
        <v>-0.36554081779835901</v>
      </c>
      <c r="AG7703">
        <v>-1.112253722166</v>
      </c>
      <c r="AH7703">
        <v>44.742796631456301</v>
      </c>
      <c r="AI7703">
        <v>91.423965449066898</v>
      </c>
      <c r="AJ7703">
        <v>90.468086076863202</v>
      </c>
      <c r="AK7703">
        <v>44.758111877466497</v>
      </c>
      <c r="AL7703">
        <v>91.158809965618403</v>
      </c>
      <c r="AM7703">
        <v>90.075012789962301</v>
      </c>
      <c r="AN7703">
        <v>0.99999997618638303</v>
      </c>
    </row>
    <row r="7704" spans="1:40" x14ac:dyDescent="0.25">
      <c r="A7704" t="str">
        <f>"20190312154113755"</f>
        <v>20190312154113755</v>
      </c>
      <c r="B7704" t="str">
        <f>"1552376473743910"</f>
        <v>1552376473743910</v>
      </c>
      <c r="C7704" t="s">
        <v>40</v>
      </c>
      <c r="D7704">
        <v>4.2637729999999996</v>
      </c>
      <c r="E7704">
        <v>0.49689909999999998</v>
      </c>
      <c r="F7704" t="s">
        <v>42</v>
      </c>
      <c r="G7704">
        <v>-331.4033</v>
      </c>
      <c r="H7704" s="1">
        <v>-4.2392839999999998E-6</v>
      </c>
      <c r="I7704">
        <v>16.40851</v>
      </c>
      <c r="J7704">
        <v>-372.39490000000001</v>
      </c>
      <c r="K7704">
        <v>1.1122590000000001</v>
      </c>
      <c r="L7704">
        <v>17.48752</v>
      </c>
      <c r="M7704">
        <v>0.99933530000000004</v>
      </c>
      <c r="N7704">
        <v>0</v>
      </c>
      <c r="O7704">
        <v>-3.4693410000000001E-2</v>
      </c>
      <c r="P7704">
        <v>0.99895400000000001</v>
      </c>
      <c r="Q7704">
        <v>-3.1647880000000003E-2</v>
      </c>
      <c r="R7704">
        <v>-3.3011230000000003E-2</v>
      </c>
      <c r="S7704">
        <v>2.9980159999999998</v>
      </c>
      <c r="T7704">
        <v>-8.098292E-2</v>
      </c>
      <c r="U7704">
        <v>-7.8918459999999996E-2</v>
      </c>
      <c r="V7704">
        <v>-1.5373029999999901E-3</v>
      </c>
      <c r="W7704">
        <v>-2.0462500000000002E-2</v>
      </c>
      <c r="X7704">
        <v>0.99978940000000005</v>
      </c>
      <c r="Y7704">
        <v>-8.3692799999999998E-3</v>
      </c>
      <c r="Z7704">
        <v>1.049618E-3</v>
      </c>
      <c r="AA7704">
        <v>0.99996439999999998</v>
      </c>
      <c r="AB7704">
        <v>31</v>
      </c>
      <c r="AC7704">
        <v>40.991599999999998</v>
      </c>
      <c r="AD7704">
        <v>-1.1122632392839999</v>
      </c>
      <c r="AE7704">
        <v>-1.07901</v>
      </c>
      <c r="AF7704">
        <v>-0.34361434067645302</v>
      </c>
      <c r="AG7704">
        <v>-1.1122632392839999</v>
      </c>
      <c r="AH7704">
        <v>40.974210562747601</v>
      </c>
      <c r="AI7704">
        <v>91.554883011538607</v>
      </c>
      <c r="AJ7704">
        <v>90.480477591301707</v>
      </c>
      <c r="AK7704">
        <v>40.990744462243597</v>
      </c>
      <c r="AL7704">
        <v>91.172496767435007</v>
      </c>
      <c r="AM7704">
        <v>90.088099458062203</v>
      </c>
      <c r="AN7704">
        <v>0.99999996077956099</v>
      </c>
    </row>
    <row r="7705" spans="1:40" x14ac:dyDescent="0.25">
      <c r="A7705" t="str">
        <f>"20190312154113774"</f>
        <v>20190312154113774</v>
      </c>
      <c r="B7705" t="str">
        <f>"1552376473764405"</f>
        <v>1552376473764405</v>
      </c>
      <c r="C7705" t="s">
        <v>40</v>
      </c>
      <c r="D7705">
        <v>4.2598029999999998</v>
      </c>
      <c r="E7705">
        <v>0.49719940000000001</v>
      </c>
      <c r="F7705" t="s">
        <v>42</v>
      </c>
      <c r="G7705">
        <v>-334.43680000000001</v>
      </c>
      <c r="H7705" s="1">
        <v>-2.913581E-6</v>
      </c>
      <c r="I7705">
        <v>16.545760000000001</v>
      </c>
      <c r="J7705">
        <v>-372.15989999999999</v>
      </c>
      <c r="K7705">
        <v>1.112268</v>
      </c>
      <c r="L7705">
        <v>17.481719999999999</v>
      </c>
      <c r="M7705">
        <v>0.99940770000000001</v>
      </c>
      <c r="N7705">
        <v>0</v>
      </c>
      <c r="O7705">
        <v>-3.2416599999999997E-2</v>
      </c>
      <c r="P7705">
        <v>0.99904150000000003</v>
      </c>
      <c r="Q7705">
        <v>-3.1652590000000001E-2</v>
      </c>
      <c r="R7705">
        <v>-3.0233820000000002E-2</v>
      </c>
      <c r="S7705">
        <v>2.9978639999999999</v>
      </c>
      <c r="T7705">
        <v>-8.7844370000000005E-2</v>
      </c>
      <c r="U7705">
        <v>-7.4371339999999994E-2</v>
      </c>
      <c r="V7705">
        <v>-2.0431339999999998E-3</v>
      </c>
      <c r="W7705">
        <v>-2.0124260000000001E-2</v>
      </c>
      <c r="X7705">
        <v>0.9997954</v>
      </c>
      <c r="Y7705">
        <v>-7.6041819999999897E-3</v>
      </c>
      <c r="Z7705">
        <v>1.060744E-3</v>
      </c>
      <c r="AA7705">
        <v>0.99997049999999998</v>
      </c>
      <c r="AB7705">
        <v>31</v>
      </c>
      <c r="AC7705">
        <v>37.723099999999903</v>
      </c>
      <c r="AD7705">
        <v>-1.1122709135810001</v>
      </c>
      <c r="AE7705">
        <v>-0.93596000000000101</v>
      </c>
      <c r="AF7705">
        <v>-0.28721864257410401</v>
      </c>
      <c r="AG7705">
        <v>-1.1122709135810001</v>
      </c>
      <c r="AH7705">
        <v>37.700858450748697</v>
      </c>
      <c r="AI7705">
        <v>91.689831581236305</v>
      </c>
      <c r="AJ7705">
        <v>90.43649132489</v>
      </c>
      <c r="AK7705">
        <v>37.718355863653798</v>
      </c>
      <c r="AL7705">
        <v>91.153113003953393</v>
      </c>
      <c r="AM7705">
        <v>90.117086748172994</v>
      </c>
      <c r="AN7705">
        <v>1.0000000010491199</v>
      </c>
    </row>
    <row r="7706" spans="1:40" x14ac:dyDescent="0.25">
      <c r="A7706" t="str">
        <f>"20190312154113788"</f>
        <v>20190312154113788</v>
      </c>
      <c r="B7706" t="str">
        <f>"1552376473783926"</f>
        <v>1552376473783926</v>
      </c>
      <c r="C7706" t="s">
        <v>40</v>
      </c>
      <c r="D7706">
        <v>4.2259419999999999</v>
      </c>
      <c r="E7706">
        <v>0.49761339999999998</v>
      </c>
      <c r="F7706" t="s">
        <v>42</v>
      </c>
      <c r="G7706">
        <v>-337.2407</v>
      </c>
      <c r="H7706" s="1">
        <v>-1.704923E-6</v>
      </c>
      <c r="I7706">
        <v>16.685369999999999</v>
      </c>
      <c r="J7706">
        <v>-371.95499999999998</v>
      </c>
      <c r="K7706">
        <v>1.112263</v>
      </c>
      <c r="L7706">
        <v>17.477079999999901</v>
      </c>
      <c r="M7706">
        <v>0.99946520000000005</v>
      </c>
      <c r="N7706">
        <v>0</v>
      </c>
      <c r="O7706">
        <v>-3.0481299999999999E-2</v>
      </c>
      <c r="P7706">
        <v>0.99910089999999996</v>
      </c>
      <c r="Q7706">
        <v>-3.1754650000000002E-2</v>
      </c>
      <c r="R7706">
        <v>-2.8090380000000002E-2</v>
      </c>
      <c r="S7706">
        <v>2.9977719999999999</v>
      </c>
      <c r="T7706">
        <v>-9.5486879999999996E-2</v>
      </c>
      <c r="U7706">
        <v>-6.8359379999999997E-2</v>
      </c>
      <c r="V7706">
        <v>-2.256245E-3</v>
      </c>
      <c r="W7706">
        <v>-1.992911E-2</v>
      </c>
      <c r="X7706">
        <v>0.99979879999999999</v>
      </c>
      <c r="Y7706">
        <v>-7.6693079999999997E-3</v>
      </c>
      <c r="Z7706">
        <v>1.0925049999999999E-3</v>
      </c>
      <c r="AA7706">
        <v>0.99997000000000003</v>
      </c>
      <c r="AB7706">
        <v>31</v>
      </c>
      <c r="AC7706">
        <v>34.714299999999902</v>
      </c>
      <c r="AD7706">
        <v>-1.1122647049229999</v>
      </c>
      <c r="AE7706">
        <v>-0.79170999999999403</v>
      </c>
      <c r="AF7706">
        <v>-0.266595564247253</v>
      </c>
      <c r="AG7706">
        <v>-1.1122647049229999</v>
      </c>
      <c r="AH7706">
        <v>34.686710616512201</v>
      </c>
      <c r="AI7706">
        <v>91.8365640044087</v>
      </c>
      <c r="AJ7706">
        <v>90.440355964514296</v>
      </c>
      <c r="AK7706">
        <v>34.7055629454754</v>
      </c>
      <c r="AL7706">
        <v>91.141929547664105</v>
      </c>
      <c r="AM7706">
        <v>90.129299111579698</v>
      </c>
      <c r="AN7706">
        <v>0.999999950274164</v>
      </c>
    </row>
    <row r="7707" spans="1:40" x14ac:dyDescent="0.25">
      <c r="A7707" t="str">
        <f>"20190312154113806"</f>
        <v>20190312154113806</v>
      </c>
      <c r="B7707" t="str">
        <f>"1552376473793686"</f>
        <v>1552376473793686</v>
      </c>
      <c r="C7707" t="s">
        <v>40</v>
      </c>
      <c r="D7707">
        <v>4.2711730000000001</v>
      </c>
      <c r="E7707">
        <v>0.49778109999999998</v>
      </c>
      <c r="F7707" t="s">
        <v>42</v>
      </c>
      <c r="G7707">
        <v>-338.38889999999998</v>
      </c>
      <c r="H7707" s="1">
        <v>-1.2978329999999999E-6</v>
      </c>
      <c r="I7707">
        <v>16.746759999999998</v>
      </c>
      <c r="J7707">
        <v>-371.70139999999998</v>
      </c>
      <c r="K7707">
        <v>1.1122350000000001</v>
      </c>
      <c r="L7707">
        <v>17.471769999999999</v>
      </c>
      <c r="M7707">
        <v>0.99952929999999995</v>
      </c>
      <c r="N7707">
        <v>0</v>
      </c>
      <c r="O7707">
        <v>-2.815206E-2</v>
      </c>
      <c r="P7707">
        <v>0.99917529999999999</v>
      </c>
      <c r="Q7707">
        <v>-3.1664909999999998E-2</v>
      </c>
      <c r="R7707">
        <v>-2.542436E-2</v>
      </c>
      <c r="S7707">
        <v>2.9977109999999998</v>
      </c>
      <c r="T7707">
        <v>-9.9333519999999995E-2</v>
      </c>
      <c r="U7707">
        <v>-6.5216060000000006E-2</v>
      </c>
      <c r="V7707">
        <v>-2.6004750000000001E-3</v>
      </c>
      <c r="W7707">
        <v>-1.9482940000000001E-2</v>
      </c>
      <c r="X7707">
        <v>0.9998068</v>
      </c>
      <c r="Y7707">
        <v>-6.3870289999999998E-3</v>
      </c>
      <c r="Z7707">
        <v>1.038179E-3</v>
      </c>
      <c r="AA7707">
        <v>0.99997910000000001</v>
      </c>
      <c r="AB7707">
        <v>31</v>
      </c>
      <c r="AC7707">
        <v>33.3125</v>
      </c>
      <c r="AD7707">
        <v>-1.112236297833</v>
      </c>
      <c r="AE7707">
        <v>-0.72501000000000104</v>
      </c>
      <c r="AF7707">
        <v>-0.212925356421967</v>
      </c>
      <c r="AG7707">
        <v>-1.112236297833</v>
      </c>
      <c r="AH7707">
        <v>33.282622318195898</v>
      </c>
      <c r="AI7707">
        <v>91.913954856726093</v>
      </c>
      <c r="AJ7707">
        <v>90.366544370371301</v>
      </c>
      <c r="AK7707">
        <v>33.301882156498301</v>
      </c>
      <c r="AL7707">
        <v>91.116360876249402</v>
      </c>
      <c r="AM7707">
        <v>90.149024697811498</v>
      </c>
      <c r="AN7707">
        <v>0.99999999237375403</v>
      </c>
    </row>
    <row r="7708" spans="1:40" x14ac:dyDescent="0.25">
      <c r="A7708" t="str">
        <f>"20190312154113820"</f>
        <v>20190312154113820</v>
      </c>
      <c r="B7708" t="str">
        <f>"1552376473814182"</f>
        <v>1552376473814182</v>
      </c>
      <c r="C7708" t="s">
        <v>40</v>
      </c>
      <c r="D7708">
        <v>4.2566870000000003</v>
      </c>
      <c r="E7708">
        <v>0.49805189999999999</v>
      </c>
      <c r="F7708" t="s">
        <v>42</v>
      </c>
      <c r="G7708">
        <v>-338.56599999999997</v>
      </c>
      <c r="H7708" s="1">
        <v>-1.2168060000000001E-6</v>
      </c>
      <c r="I7708">
        <v>16.82471</v>
      </c>
      <c r="J7708">
        <v>-371.51620000000003</v>
      </c>
      <c r="K7708">
        <v>1.112206</v>
      </c>
      <c r="L7708">
        <v>17.468170000000001</v>
      </c>
      <c r="M7708">
        <v>0.99957130000000005</v>
      </c>
      <c r="N7708">
        <v>0</v>
      </c>
      <c r="O7708">
        <v>-2.649901E-2</v>
      </c>
      <c r="P7708">
        <v>0.99919250000000004</v>
      </c>
      <c r="Q7708">
        <v>-3.2423269999999997E-2</v>
      </c>
      <c r="R7708">
        <v>-2.3732110000000001E-2</v>
      </c>
      <c r="S7708">
        <v>2.9978030000000002</v>
      </c>
      <c r="T7708">
        <v>-0.1006256</v>
      </c>
      <c r="U7708">
        <v>-5.8532710000000002E-2</v>
      </c>
      <c r="V7708">
        <v>-2.6390649999999999E-3</v>
      </c>
      <c r="W7708">
        <v>-1.9990529999999999E-2</v>
      </c>
      <c r="X7708">
        <v>0.99979669999999998</v>
      </c>
      <c r="Y7708">
        <v>-6.962546E-3</v>
      </c>
      <c r="Z7708">
        <v>1.0058860000000001E-3</v>
      </c>
      <c r="AA7708">
        <v>0.99997530000000001</v>
      </c>
      <c r="AB7708">
        <v>31</v>
      </c>
      <c r="AC7708">
        <v>32.950200000000002</v>
      </c>
      <c r="AD7708">
        <v>-1.112207216806</v>
      </c>
      <c r="AE7708">
        <v>-0.64346000000000003</v>
      </c>
      <c r="AF7708">
        <v>-0.22971972671590801</v>
      </c>
      <c r="AG7708">
        <v>-1.112207216806</v>
      </c>
      <c r="AH7708">
        <v>32.9181888927424</v>
      </c>
      <c r="AI7708">
        <v>91.935069933956498</v>
      </c>
      <c r="AJ7708">
        <v>90.399832360166499</v>
      </c>
      <c r="AK7708">
        <v>32.937773695625303</v>
      </c>
      <c r="AL7708">
        <v>91.145449283228501</v>
      </c>
      <c r="AM7708">
        <v>90.151237681804105</v>
      </c>
      <c r="AN7708">
        <v>1.0000000136423199</v>
      </c>
    </row>
    <row r="7709" spans="1:40" x14ac:dyDescent="0.25">
      <c r="A7709" t="str">
        <f>"20190312154113830"</f>
        <v>20190312154113830</v>
      </c>
      <c r="B7709" t="str">
        <f>"1552376473823942"</f>
        <v>1552376473823942</v>
      </c>
      <c r="C7709" t="s">
        <v>40</v>
      </c>
      <c r="D7709">
        <v>4.2712849999999998</v>
      </c>
      <c r="E7709">
        <v>0.50254509999999997</v>
      </c>
      <c r="F7709" t="s">
        <v>42</v>
      </c>
      <c r="G7709">
        <v>-339.28210000000001</v>
      </c>
      <c r="H7709" s="1">
        <v>-9.6103330000000008E-7</v>
      </c>
      <c r="I7709">
        <v>16.870200000000001</v>
      </c>
      <c r="J7709">
        <v>-371.35430000000002</v>
      </c>
      <c r="K7709">
        <v>1.1121719999999999</v>
      </c>
      <c r="L7709">
        <v>17.46536</v>
      </c>
      <c r="M7709">
        <v>0.99960470000000001</v>
      </c>
      <c r="N7709">
        <v>0</v>
      </c>
      <c r="O7709">
        <v>-2.5104410000000001E-2</v>
      </c>
      <c r="P7709">
        <v>0.99919409999999997</v>
      </c>
      <c r="Q7709">
        <v>-3.3106579999999997E-2</v>
      </c>
      <c r="R7709">
        <v>-2.269819E-2</v>
      </c>
      <c r="S7709">
        <v>2.9977420000000001</v>
      </c>
      <c r="T7709">
        <v>-0.1034342</v>
      </c>
      <c r="U7709">
        <v>-5.5603029999999998E-2</v>
      </c>
      <c r="V7709">
        <v>-2.278151E-3</v>
      </c>
      <c r="W7709">
        <v>-2.0465839999999999E-2</v>
      </c>
      <c r="X7709">
        <v>0.99978800000000001</v>
      </c>
      <c r="Y7709">
        <v>-6.5440150000000002E-3</v>
      </c>
      <c r="Z7709">
        <v>9.7867669999999996E-4</v>
      </c>
      <c r="AA7709">
        <v>0.99997809999999998</v>
      </c>
      <c r="AB7709">
        <v>31</v>
      </c>
      <c r="AC7709">
        <v>32.072200000000002</v>
      </c>
      <c r="AD7709">
        <v>-1.1121729610333</v>
      </c>
      <c r="AE7709">
        <v>-0.59515999999999902</v>
      </c>
      <c r="AF7709">
        <v>-0.209993336539464</v>
      </c>
      <c r="AG7709">
        <v>-1.1121729610333</v>
      </c>
      <c r="AH7709">
        <v>32.038519429592597</v>
      </c>
      <c r="AI7709">
        <v>91.988102859229599</v>
      </c>
      <c r="AJ7709">
        <v>90.375534195496002</v>
      </c>
      <c r="AK7709">
        <v>32.058505160675097</v>
      </c>
      <c r="AL7709">
        <v>91.172688079276796</v>
      </c>
      <c r="AM7709">
        <v>90.130555889334005</v>
      </c>
      <c r="AN7709">
        <v>1.0000000427614399</v>
      </c>
    </row>
    <row r="7710" spans="1:40" x14ac:dyDescent="0.25">
      <c r="A7710" t="str">
        <f>"20190312154113842"</f>
        <v>20190312154113842</v>
      </c>
      <c r="B7710" t="str">
        <f>"1552376473833703"</f>
        <v>1552376473833703</v>
      </c>
      <c r="C7710" t="s">
        <v>40</v>
      </c>
      <c r="D7710">
        <v>4.2624190000000004</v>
      </c>
      <c r="E7710">
        <v>0.5026351</v>
      </c>
      <c r="F7710" t="s">
        <v>42</v>
      </c>
      <c r="G7710">
        <v>-345.88170000000002</v>
      </c>
      <c r="H7710" s="1">
        <v>-2.2634190000000001E-6</v>
      </c>
      <c r="I7710">
        <v>16.716479999999901</v>
      </c>
      <c r="J7710">
        <v>-371.19499999999999</v>
      </c>
      <c r="K7710">
        <v>1.1121319999999999</v>
      </c>
      <c r="L7710">
        <v>17.462710000000001</v>
      </c>
      <c r="M7710">
        <v>0.99963519999999995</v>
      </c>
      <c r="N7710">
        <v>0</v>
      </c>
      <c r="O7710">
        <v>-2.3760159999999999E-2</v>
      </c>
      <c r="P7710">
        <v>0.99918580000000001</v>
      </c>
      <c r="Q7710">
        <v>-3.4220279999999999E-2</v>
      </c>
      <c r="R7710">
        <v>-2.137704E-2</v>
      </c>
      <c r="S7710">
        <v>2.9960939999999998</v>
      </c>
      <c r="T7710">
        <v>-0.13081400000000001</v>
      </c>
      <c r="U7710">
        <v>-8.8073730000000003E-2</v>
      </c>
      <c r="V7710">
        <v>-2.2518870000000002E-3</v>
      </c>
      <c r="W7710">
        <v>-2.138499E-2</v>
      </c>
      <c r="X7710">
        <v>0.99976880000000001</v>
      </c>
      <c r="Y7710">
        <v>5.6405819999999999E-3</v>
      </c>
      <c r="Z7710">
        <v>9.1355560000000002E-4</v>
      </c>
      <c r="AA7710">
        <v>0.99998370000000003</v>
      </c>
      <c r="AB7710">
        <v>31</v>
      </c>
      <c r="AC7710">
        <v>25.313299999999899</v>
      </c>
      <c r="AD7710">
        <v>-1.1121342634189999</v>
      </c>
      <c r="AE7710">
        <v>-0.74623000000000395</v>
      </c>
      <c r="AF7710">
        <v>0.144243448733445</v>
      </c>
      <c r="AG7710">
        <v>-1.1121342634189999</v>
      </c>
      <c r="AH7710">
        <v>25.2751392165498</v>
      </c>
      <c r="AI7710">
        <v>92.519411979028803</v>
      </c>
      <c r="AJ7710">
        <v>89.673020550231598</v>
      </c>
      <c r="AK7710">
        <v>25.300006150361899</v>
      </c>
      <c r="AL7710">
        <v>91.225363054870996</v>
      </c>
      <c r="AM7710">
        <v>90.129053239956505</v>
      </c>
      <c r="AN7710">
        <v>1.0000000211229001</v>
      </c>
    </row>
    <row r="7711" spans="1:40" x14ac:dyDescent="0.25">
      <c r="A7711" t="str">
        <f>"20190312154113854"</f>
        <v>20190312154113854</v>
      </c>
      <c r="B7711" t="str">
        <f>"1552376473844438"</f>
        <v>1552376473844438</v>
      </c>
      <c r="C7711" t="s">
        <v>40</v>
      </c>
      <c r="D7711">
        <v>4.2745179999999996</v>
      </c>
      <c r="E7711">
        <v>0.50283180000000005</v>
      </c>
      <c r="F7711" t="s">
        <v>42</v>
      </c>
      <c r="G7711">
        <v>-346.37699999999899</v>
      </c>
      <c r="H7711" s="1">
        <v>-2.0432600000000002E-6</v>
      </c>
      <c r="I7711">
        <v>16.759840000000001</v>
      </c>
      <c r="J7711">
        <v>-371.0301</v>
      </c>
      <c r="K7711">
        <v>1.1120939999999999</v>
      </c>
      <c r="L7711">
        <v>17.460139999999999</v>
      </c>
      <c r="M7711">
        <v>0.99966390000000005</v>
      </c>
      <c r="N7711">
        <v>0</v>
      </c>
      <c r="O7711">
        <v>-2.2402519999999999E-2</v>
      </c>
      <c r="P7711">
        <v>0.99917020000000001</v>
      </c>
      <c r="Q7711">
        <v>-3.5194099999999999E-2</v>
      </c>
      <c r="R7711">
        <v>-2.0499960000000001E-2</v>
      </c>
      <c r="S7711">
        <v>2.9960019999999998</v>
      </c>
      <c r="T7711">
        <v>-0.1342555</v>
      </c>
      <c r="U7711">
        <v>-8.4838869999999997E-2</v>
      </c>
      <c r="V7711">
        <v>-1.769886E-3</v>
      </c>
      <c r="W7711">
        <v>-2.2164440000000001E-2</v>
      </c>
      <c r="X7711">
        <v>0.9997528</v>
      </c>
      <c r="Y7711">
        <v>5.9199839999999997E-3</v>
      </c>
      <c r="Z7711">
        <v>8.7058130000000004E-4</v>
      </c>
      <c r="AA7711">
        <v>0.99998209999999998</v>
      </c>
      <c r="AB7711">
        <v>31</v>
      </c>
      <c r="AC7711">
        <v>24.653099999999998</v>
      </c>
      <c r="AD7711">
        <v>-1.11209604326</v>
      </c>
      <c r="AE7711">
        <v>-0.70029999999999804</v>
      </c>
      <c r="AF7711">
        <v>0.14748576575861899</v>
      </c>
      <c r="AG7711">
        <v>-1.11209604326</v>
      </c>
      <c r="AH7711">
        <v>24.612558094399098</v>
      </c>
      <c r="AI7711">
        <v>92.587051630988697</v>
      </c>
      <c r="AJ7711">
        <v>89.656670763662802</v>
      </c>
      <c r="AK7711">
        <v>24.638111242761799</v>
      </c>
      <c r="AL7711">
        <v>91.270032832744704</v>
      </c>
      <c r="AM7711">
        <v>90.101431966063402</v>
      </c>
      <c r="AN7711">
        <v>1.0000000280024</v>
      </c>
    </row>
    <row r="7712" spans="1:40" x14ac:dyDescent="0.25">
      <c r="A7712" t="str">
        <f>"20190312154113865"</f>
        <v>20190312154113865</v>
      </c>
      <c r="B7712" t="str">
        <f>"1552376473854199"</f>
        <v>1552376473854199</v>
      </c>
      <c r="C7712" t="s">
        <v>40</v>
      </c>
      <c r="D7712">
        <v>4.2067690000000004</v>
      </c>
      <c r="E7712">
        <v>0.50283180000000005</v>
      </c>
      <c r="F7712" t="s">
        <v>42</v>
      </c>
      <c r="G7712">
        <v>-344.9076</v>
      </c>
      <c r="H7712" s="1">
        <v>-2.6790909999999999E-6</v>
      </c>
      <c r="I7712">
        <v>16.728929999999998</v>
      </c>
      <c r="J7712">
        <v>-370.88130000000001</v>
      </c>
      <c r="K7712">
        <v>1.112053</v>
      </c>
      <c r="L7712">
        <v>17.458069999999999</v>
      </c>
      <c r="M7712">
        <v>0.99968760000000001</v>
      </c>
      <c r="N7712">
        <v>0</v>
      </c>
      <c r="O7712">
        <v>-2.122624E-2</v>
      </c>
      <c r="P7712">
        <v>0.99917739999999999</v>
      </c>
      <c r="Q7712">
        <v>-3.544481E-2</v>
      </c>
      <c r="R7712">
        <v>-1.971142E-2</v>
      </c>
      <c r="S7712">
        <v>2.9963069999999998</v>
      </c>
      <c r="T7712">
        <v>-0.1275599</v>
      </c>
      <c r="U7712">
        <v>-8.3862300000000001E-2</v>
      </c>
      <c r="V7712">
        <v>-1.3851709999999999E-3</v>
      </c>
      <c r="W7712">
        <v>-2.2252729999999998E-2</v>
      </c>
      <c r="X7712">
        <v>0.99975139999999996</v>
      </c>
      <c r="Y7712">
        <v>6.764595E-3</v>
      </c>
      <c r="Z7712">
        <v>7.5912729999999995E-4</v>
      </c>
      <c r="AA7712">
        <v>0.9999768</v>
      </c>
      <c r="AB7712">
        <v>31</v>
      </c>
      <c r="AC7712">
        <v>25.973700000000001</v>
      </c>
      <c r="AD7712">
        <v>-1.1120556790909999</v>
      </c>
      <c r="AE7712">
        <v>-0.72914000000000401</v>
      </c>
      <c r="AF7712">
        <v>0.17727897855830799</v>
      </c>
      <c r="AG7712">
        <v>-1.1120556790909999</v>
      </c>
      <c r="AH7712">
        <v>25.9358198676928</v>
      </c>
      <c r="AI7712">
        <v>92.455122231300706</v>
      </c>
      <c r="AJ7712">
        <v>89.608372546687306</v>
      </c>
      <c r="AK7712">
        <v>25.960255158203701</v>
      </c>
      <c r="AL7712">
        <v>91.2750927833075</v>
      </c>
      <c r="AM7712">
        <v>90.079384136316193</v>
      </c>
      <c r="AN7712">
        <v>0.99999998224655495</v>
      </c>
    </row>
    <row r="7713" spans="1:40" x14ac:dyDescent="0.25">
      <c r="A7713" t="str">
        <f>"20190312154113876"</f>
        <v>20190312154113876</v>
      </c>
      <c r="B7713" t="str">
        <f>"1552376473863961"</f>
        <v>1552376473863961</v>
      </c>
      <c r="C7713" t="s">
        <v>40</v>
      </c>
      <c r="D7713">
        <v>4.1989850000000004</v>
      </c>
      <c r="E7713">
        <v>0.50695170000000001</v>
      </c>
      <c r="F7713" t="s">
        <v>42</v>
      </c>
      <c r="G7713">
        <v>-344.90949999999998</v>
      </c>
      <c r="H7713" s="1">
        <v>-2.6742740000000001E-6</v>
      </c>
      <c r="I7713">
        <v>16.751439999999999</v>
      </c>
      <c r="J7713">
        <v>-370.72070000000002</v>
      </c>
      <c r="K7713">
        <v>1.1120030000000001</v>
      </c>
      <c r="L7713">
        <v>17.4559</v>
      </c>
      <c r="M7713">
        <v>0.99971109999999996</v>
      </c>
      <c r="N7713">
        <v>0</v>
      </c>
      <c r="O7713">
        <v>-1.9973459999999998E-2</v>
      </c>
      <c r="P7713">
        <v>0.9991949</v>
      </c>
      <c r="Q7713">
        <v>-3.5492309999999999E-2</v>
      </c>
      <c r="R7713">
        <v>-1.8706009999999999E-2</v>
      </c>
      <c r="S7713">
        <v>2.9963069999999998</v>
      </c>
      <c r="T7713">
        <v>-0.1282954</v>
      </c>
      <c r="U7713">
        <v>-8.151245E-2</v>
      </c>
      <c r="V7713">
        <v>-1.142047E-3</v>
      </c>
      <c r="W7713">
        <v>-2.213012E-2</v>
      </c>
      <c r="X7713">
        <v>0.99975440000000004</v>
      </c>
      <c r="Y7713">
        <v>7.232619E-3</v>
      </c>
      <c r="Z7713">
        <v>6.9990380000000004E-4</v>
      </c>
      <c r="AA7713">
        <v>0.99997360000000002</v>
      </c>
      <c r="AB7713">
        <v>31</v>
      </c>
      <c r="AC7713">
        <v>25.811199999999999</v>
      </c>
      <c r="AD7713">
        <v>-1.1120056742739901</v>
      </c>
      <c r="AE7713">
        <v>-0.70446000000000097</v>
      </c>
      <c r="AF7713">
        <v>0.18838498415282301</v>
      </c>
      <c r="AG7713">
        <v>-1.1120056742739901</v>
      </c>
      <c r="AH7713">
        <v>25.772321791960799</v>
      </c>
      <c r="AI7713">
        <v>92.4705589052638</v>
      </c>
      <c r="AJ7713">
        <v>89.581199071873002</v>
      </c>
      <c r="AK7713">
        <v>25.7969885077745</v>
      </c>
      <c r="AL7713">
        <v>91.268066053824896</v>
      </c>
      <c r="AM7713">
        <v>90.065450519291005</v>
      </c>
      <c r="AN7713">
        <v>0.99999995340096104</v>
      </c>
    </row>
    <row r="7714" spans="1:40" x14ac:dyDescent="0.25">
      <c r="A7714" t="str">
        <f>"20190312154113895"</f>
        <v>20190312154113895</v>
      </c>
      <c r="B7714" t="str">
        <f>"1552376473884453"</f>
        <v>1552376473884453</v>
      </c>
      <c r="C7714" t="s">
        <v>40</v>
      </c>
      <c r="D7714">
        <v>4.2207150000000002</v>
      </c>
      <c r="E7714">
        <v>0.50665329999999997</v>
      </c>
      <c r="F7714" t="s">
        <v>43</v>
      </c>
      <c r="G7714">
        <v>-302.27100000000002</v>
      </c>
      <c r="H7714">
        <v>-0.05</v>
      </c>
      <c r="I7714">
        <v>14.898479999999999</v>
      </c>
      <c r="J7714">
        <v>-370.48250000000002</v>
      </c>
      <c r="K7714">
        <v>1.1119209999999999</v>
      </c>
      <c r="L7714">
        <v>17.453029999999998</v>
      </c>
      <c r="M7714">
        <v>0.9997414</v>
      </c>
      <c r="N7714">
        <v>0</v>
      </c>
      <c r="O7714">
        <v>-1.822754E-2</v>
      </c>
      <c r="P7714">
        <v>0.9992432</v>
      </c>
      <c r="Q7714">
        <v>-3.4782340000000002E-2</v>
      </c>
      <c r="R7714">
        <v>-1.7409290000000001E-2</v>
      </c>
      <c r="S7714">
        <v>2.9985050000000002</v>
      </c>
      <c r="T7714">
        <v>-5.0902610000000001E-2</v>
      </c>
      <c r="U7714">
        <v>-0.11203</v>
      </c>
      <c r="V7714">
        <v>-7.0443220000000002E-4</v>
      </c>
      <c r="W7714">
        <v>-2.119366E-2</v>
      </c>
      <c r="X7714">
        <v>0.99977510000000003</v>
      </c>
      <c r="Y7714">
        <v>1.9113069999999999E-2</v>
      </c>
      <c r="Z7714">
        <v>1.4712659999999999E-4</v>
      </c>
      <c r="AA7714">
        <v>0.99981730000000002</v>
      </c>
      <c r="AB7714">
        <v>31</v>
      </c>
      <c r="AC7714">
        <v>68.211500000000001</v>
      </c>
      <c r="AD7714">
        <v>-1.161921</v>
      </c>
      <c r="AE7714">
        <v>-2.5545499999999901</v>
      </c>
      <c r="AF7714">
        <v>1.31030305482452</v>
      </c>
      <c r="AG7714">
        <v>-1.161921</v>
      </c>
      <c r="AH7714">
        <v>68.226963996203096</v>
      </c>
      <c r="AI7714">
        <v>90.975486234763494</v>
      </c>
      <c r="AJ7714">
        <v>88.899766272608204</v>
      </c>
      <c r="AK7714">
        <v>68.249436412654106</v>
      </c>
      <c r="AL7714">
        <v>91.214398243908605</v>
      </c>
      <c r="AM7714">
        <v>90.0403700645615</v>
      </c>
      <c r="AN7714">
        <v>0.99999995901446403</v>
      </c>
    </row>
    <row r="7715" spans="1:40" x14ac:dyDescent="0.25">
      <c r="A7715" t="str">
        <f>"20190312154113906"</f>
        <v>20190312154113906</v>
      </c>
      <c r="B7715" t="str">
        <f>"1552376473894214"</f>
        <v>1552376473894214</v>
      </c>
      <c r="C7715" t="s">
        <v>40</v>
      </c>
      <c r="D7715">
        <v>4.2521950000000004</v>
      </c>
      <c r="E7715">
        <v>0.50690440000000003</v>
      </c>
      <c r="F7715" t="s">
        <v>43</v>
      </c>
      <c r="G7715">
        <v>-305.75760000000002</v>
      </c>
      <c r="H7715">
        <v>-0.05</v>
      </c>
      <c r="I7715">
        <v>15.17117</v>
      </c>
      <c r="J7715">
        <v>-370.32100000000003</v>
      </c>
      <c r="K7715">
        <v>1.1118539999999999</v>
      </c>
      <c r="L7715">
        <v>17.45129</v>
      </c>
      <c r="M7715">
        <v>0.99975939999999996</v>
      </c>
      <c r="N7715">
        <v>0</v>
      </c>
      <c r="O7715">
        <v>-1.7107239999999999E-2</v>
      </c>
      <c r="P7715">
        <v>0.9992704</v>
      </c>
      <c r="Q7715">
        <v>-3.4454360000000003E-2</v>
      </c>
      <c r="R7715">
        <v>-1.6483589999999999E-2</v>
      </c>
      <c r="S7715">
        <v>2.9985659999999998</v>
      </c>
      <c r="T7715">
        <v>-5.3829309999999998E-2</v>
      </c>
      <c r="U7715">
        <v>-0.105712899999999</v>
      </c>
      <c r="V7715">
        <v>-5.1708240000000001E-4</v>
      </c>
      <c r="W7715">
        <v>-2.0726089999999999E-2</v>
      </c>
      <c r="X7715">
        <v>0.99978509999999998</v>
      </c>
      <c r="Y7715">
        <v>1.8129039999999999E-2</v>
      </c>
      <c r="Z7715">
        <v>1.4431860000000001E-4</v>
      </c>
      <c r="AA7715">
        <v>0.99983569999999999</v>
      </c>
      <c r="AB7715">
        <v>31</v>
      </c>
      <c r="AC7715">
        <v>64.563399999999902</v>
      </c>
      <c r="AD7715">
        <v>-1.1618539999999999</v>
      </c>
      <c r="AE7715">
        <v>-2.2801199999999899</v>
      </c>
      <c r="AF7715">
        <v>1.17480060758736</v>
      </c>
      <c r="AG7715">
        <v>-1.1618539999999999</v>
      </c>
      <c r="AH7715">
        <v>64.572075312265099</v>
      </c>
      <c r="AI7715">
        <v>91.030648875373501</v>
      </c>
      <c r="AJ7715">
        <v>88.957696637624196</v>
      </c>
      <c r="AK7715">
        <v>64.593211495618803</v>
      </c>
      <c r="AL7715">
        <v>91.187602469619407</v>
      </c>
      <c r="AM7715">
        <v>90.029633004671595</v>
      </c>
      <c r="AN7715">
        <v>1.0000000421814501</v>
      </c>
    </row>
    <row r="7716" spans="1:40" x14ac:dyDescent="0.25">
      <c r="A7716" t="str">
        <f>"20190312154113918"</f>
        <v>20190312154113918</v>
      </c>
      <c r="B7716" t="str">
        <f>"1552376473913736"</f>
        <v>1552376473913736</v>
      </c>
      <c r="C7716" t="s">
        <v>40</v>
      </c>
      <c r="D7716">
        <v>4.2855910000000002</v>
      </c>
      <c r="E7716">
        <v>0.50639820000000002</v>
      </c>
      <c r="F7716" t="s">
        <v>43</v>
      </c>
      <c r="G7716">
        <v>-306.27620000000002</v>
      </c>
      <c r="H7716">
        <v>-0.05</v>
      </c>
      <c r="I7716">
        <v>15.210419999999999</v>
      </c>
      <c r="J7716">
        <v>-370.16500000000002</v>
      </c>
      <c r="K7716">
        <v>1.111793</v>
      </c>
      <c r="L7716">
        <v>17.449679999999901</v>
      </c>
      <c r="M7716">
        <v>0.99977530000000003</v>
      </c>
      <c r="N7716">
        <v>0</v>
      </c>
      <c r="O7716">
        <v>-1.6046319999999999E-2</v>
      </c>
      <c r="P7716">
        <v>0.999278</v>
      </c>
      <c r="Q7716">
        <v>-3.4732789999999999E-2</v>
      </c>
      <c r="R7716">
        <v>-1.540534E-2</v>
      </c>
      <c r="S7716">
        <v>2.9986269999999999</v>
      </c>
      <c r="T7716">
        <v>-5.4398889999999998E-2</v>
      </c>
      <c r="U7716">
        <v>-0.1049194</v>
      </c>
      <c r="V7716">
        <v>-5.3805710000000002E-4</v>
      </c>
      <c r="W7716">
        <v>-2.087514E-2</v>
      </c>
      <c r="X7716">
        <v>0.99978199999999995</v>
      </c>
      <c r="Y7716">
        <v>1.8924750000000001E-2</v>
      </c>
      <c r="Z7716">
        <v>1.1939290000000001E-4</v>
      </c>
      <c r="AA7716">
        <v>0.99982090000000001</v>
      </c>
      <c r="AB7716">
        <v>31</v>
      </c>
      <c r="AC7716">
        <v>63.888800000000003</v>
      </c>
      <c r="AD7716">
        <v>-1.1617930000000001</v>
      </c>
      <c r="AE7716">
        <v>-2.23925999999999</v>
      </c>
      <c r="AF7716">
        <v>1.21329242795595</v>
      </c>
      <c r="AG7716">
        <v>-1.1617930000000001</v>
      </c>
      <c r="AH7716">
        <v>63.895405023442699</v>
      </c>
      <c r="AI7716">
        <v>91.041491285819006</v>
      </c>
      <c r="AJ7716">
        <v>88.912156797733402</v>
      </c>
      <c r="AK7716">
        <v>63.917482933860697</v>
      </c>
      <c r="AL7716">
        <v>91.196144238833696</v>
      </c>
      <c r="AM7716">
        <v>90.030835120046902</v>
      </c>
      <c r="AN7716">
        <v>1.00000005424972</v>
      </c>
    </row>
    <row r="7717" spans="1:40" x14ac:dyDescent="0.25">
      <c r="A7717" t="str">
        <f>"20190312154113929"</f>
        <v>20190312154113929</v>
      </c>
      <c r="B7717" t="str">
        <f>"1552376473924470"</f>
        <v>1552376473924470</v>
      </c>
      <c r="C7717" t="s">
        <v>40</v>
      </c>
      <c r="D7717">
        <v>4.2617919999999998</v>
      </c>
      <c r="E7717">
        <v>0.50664759999999998</v>
      </c>
      <c r="F7717" t="s">
        <v>43</v>
      </c>
      <c r="G7717">
        <v>-317.38040000000001</v>
      </c>
      <c r="H7717">
        <v>-0.05</v>
      </c>
      <c r="I7717">
        <v>15.732100000000001</v>
      </c>
      <c r="J7717">
        <v>-369.99790000000002</v>
      </c>
      <c r="K7717">
        <v>1.1117109999999999</v>
      </c>
      <c r="L7717">
        <v>17.448149999999998</v>
      </c>
      <c r="M7717">
        <v>0.99978979999999995</v>
      </c>
      <c r="N7717">
        <v>0</v>
      </c>
      <c r="O7717">
        <v>-1.499004E-2</v>
      </c>
      <c r="P7717">
        <v>0.99927220000000005</v>
      </c>
      <c r="Q7717">
        <v>-3.5238909999999998E-2</v>
      </c>
      <c r="R7717">
        <v>-1.4610379999999999E-2</v>
      </c>
      <c r="S7717">
        <v>2.9983520000000001</v>
      </c>
      <c r="T7717">
        <v>-6.599402E-2</v>
      </c>
      <c r="U7717">
        <v>-9.7564700000000004E-2</v>
      </c>
      <c r="V7717">
        <v>-2.7966539999999999E-4</v>
      </c>
      <c r="W7717">
        <v>-2.125726E-2</v>
      </c>
      <c r="X7717">
        <v>0.99977400000000005</v>
      </c>
      <c r="Y7717">
        <v>1.7534379999999999E-2</v>
      </c>
      <c r="Z7717">
        <v>1.369156E-4</v>
      </c>
      <c r="AA7717">
        <v>0.99984629999999997</v>
      </c>
      <c r="AB7717">
        <v>31</v>
      </c>
      <c r="AC7717">
        <v>52.6175</v>
      </c>
      <c r="AD7717">
        <v>-1.1617109999999999</v>
      </c>
      <c r="AE7717">
        <v>-1.7160499999999901</v>
      </c>
      <c r="AF7717">
        <v>0.92659035846373505</v>
      </c>
      <c r="AG7717">
        <v>-1.1617109999999999</v>
      </c>
      <c r="AH7717">
        <v>52.611694417326099</v>
      </c>
      <c r="AI7717">
        <v>91.264737966327203</v>
      </c>
      <c r="AJ7717">
        <v>88.991018453225607</v>
      </c>
      <c r="AK7717">
        <v>52.632675512480098</v>
      </c>
      <c r="AL7717">
        <v>91.218043026595396</v>
      </c>
      <c r="AM7717">
        <v>90.016027268840602</v>
      </c>
      <c r="AN7717">
        <v>1.0000000001957201</v>
      </c>
    </row>
    <row r="7718" spans="1:40" x14ac:dyDescent="0.25">
      <c r="A7718" t="str">
        <f>"20190312154113942"</f>
        <v>20190312154113942</v>
      </c>
      <c r="B7718" t="str">
        <f>"1552376473934231"</f>
        <v>1552376473934231</v>
      </c>
      <c r="C7718" t="s">
        <v>40</v>
      </c>
      <c r="D7718">
        <v>4.2476979999999998</v>
      </c>
      <c r="E7718">
        <v>0.50707579999999997</v>
      </c>
      <c r="F7718" t="s">
        <v>42</v>
      </c>
      <c r="G7718">
        <v>-320.78930000000003</v>
      </c>
      <c r="H7718" s="1">
        <v>-5.0019749999999997E-6</v>
      </c>
      <c r="I7718">
        <v>15.85295</v>
      </c>
      <c r="J7718">
        <v>-369.82839999999999</v>
      </c>
      <c r="K7718">
        <v>1.1116330000000001</v>
      </c>
      <c r="L7718">
        <v>17.44669</v>
      </c>
      <c r="M7718">
        <v>0.9998032</v>
      </c>
      <c r="N7718">
        <v>0</v>
      </c>
      <c r="O7718">
        <v>-1.3951440000000001E-2</v>
      </c>
      <c r="P7718">
        <v>0.99925200000000003</v>
      </c>
      <c r="Q7718">
        <v>-3.6238359999999997E-2</v>
      </c>
      <c r="R7718">
        <v>-1.351519E-2</v>
      </c>
      <c r="S7718">
        <v>2.998383</v>
      </c>
      <c r="T7718">
        <v>-6.7739250000000001E-2</v>
      </c>
      <c r="U7718">
        <v>-9.7198489999999999E-2</v>
      </c>
      <c r="V7718">
        <v>-3.3734310000000002E-4</v>
      </c>
      <c r="W7718">
        <v>-2.2138560000000002E-2</v>
      </c>
      <c r="X7718">
        <v>0.99975480000000005</v>
      </c>
      <c r="Y7718">
        <v>1.845016E-2</v>
      </c>
      <c r="Z7718">
        <v>1.067418E-4</v>
      </c>
      <c r="AA7718">
        <v>0.99982979999999999</v>
      </c>
      <c r="AB7718">
        <v>31</v>
      </c>
      <c r="AC7718">
        <v>49.039099999999898</v>
      </c>
      <c r="AD7718">
        <v>-1.1116380019750001</v>
      </c>
      <c r="AE7718">
        <v>-1.5937399999999999</v>
      </c>
      <c r="AF7718">
        <v>0.90888419533383402</v>
      </c>
      <c r="AG7718">
        <v>-1.1116380019750001</v>
      </c>
      <c r="AH7718">
        <v>49.031394933124197</v>
      </c>
      <c r="AI7718">
        <v>91.298562320616497</v>
      </c>
      <c r="AJ7718">
        <v>88.938042346184403</v>
      </c>
      <c r="AK7718">
        <v>49.052415828539601</v>
      </c>
      <c r="AL7718">
        <v>91.268549759538701</v>
      </c>
      <c r="AM7718">
        <v>90.019333075614398</v>
      </c>
      <c r="AN7718">
        <v>0.99999994488113797</v>
      </c>
    </row>
    <row r="7719" spans="1:40" x14ac:dyDescent="0.25">
      <c r="A7719" t="str">
        <f>"20190312154113953"</f>
        <v>20190312154113953</v>
      </c>
      <c r="B7719" t="str">
        <f>"1552376473943991"</f>
        <v>1552376473943991</v>
      </c>
      <c r="C7719" t="s">
        <v>40</v>
      </c>
      <c r="D7719">
        <v>4.1947130000000001</v>
      </c>
      <c r="E7719">
        <v>0.50731309999999996</v>
      </c>
      <c r="F7719" t="s">
        <v>42</v>
      </c>
      <c r="G7719">
        <v>-322.04399999999998</v>
      </c>
      <c r="H7719" s="1">
        <v>-4.4013020000000002E-6</v>
      </c>
      <c r="I7719">
        <v>15.895709999999999</v>
      </c>
      <c r="J7719">
        <v>-369.6617</v>
      </c>
      <c r="K7719">
        <v>1.1115539999999999</v>
      </c>
      <c r="L7719">
        <v>17.44537</v>
      </c>
      <c r="M7719">
        <v>0.9998148</v>
      </c>
      <c r="N7719">
        <v>0</v>
      </c>
      <c r="O7719">
        <v>-1.297598E-2</v>
      </c>
      <c r="P7719">
        <v>0.99922480000000002</v>
      </c>
      <c r="Q7719">
        <v>-3.719426E-2</v>
      </c>
      <c r="R7719">
        <v>-1.289126E-2</v>
      </c>
      <c r="S7719">
        <v>2.998383</v>
      </c>
      <c r="T7719">
        <v>-6.9753170000000003E-2</v>
      </c>
      <c r="U7719">
        <v>-9.732056E-2</v>
      </c>
      <c r="V7719" s="1">
        <v>1.3611340000000001E-5</v>
      </c>
      <c r="W7719">
        <v>-2.298528E-2</v>
      </c>
      <c r="X7719">
        <v>0.99973579999999995</v>
      </c>
      <c r="Y7719">
        <v>1.9465650000000001E-2</v>
      </c>
      <c r="Z7719" s="1">
        <v>7.5425689999999998E-5</v>
      </c>
      <c r="AA7719">
        <v>0.99981050000000005</v>
      </c>
      <c r="AB7719">
        <v>31</v>
      </c>
      <c r="AC7719">
        <v>47.6176999999999</v>
      </c>
      <c r="AD7719">
        <v>-1.1115584013019999</v>
      </c>
      <c r="AE7719">
        <v>-1.54965999999999</v>
      </c>
      <c r="AF7719">
        <v>0.93107395150817396</v>
      </c>
      <c r="AG7719">
        <v>-1.1115584013019999</v>
      </c>
      <c r="AH7719">
        <v>47.607885825430799</v>
      </c>
      <c r="AI7719">
        <v>91.337254645115607</v>
      </c>
      <c r="AJ7719">
        <v>88.879601412537895</v>
      </c>
      <c r="AK7719">
        <v>47.629961721063097</v>
      </c>
      <c r="AL7719">
        <v>91.317075530417</v>
      </c>
      <c r="AM7719">
        <v>89.9992199215678</v>
      </c>
      <c r="AN7719">
        <v>0.99999999654179295</v>
      </c>
    </row>
    <row r="7720" spans="1:40" x14ac:dyDescent="0.25">
      <c r="A7720" t="str">
        <f>"20190312154113966"</f>
        <v>20190312154113966</v>
      </c>
      <c r="B7720" t="str">
        <f>"1552376473953751"</f>
        <v>1552376473953751</v>
      </c>
      <c r="C7720" t="s">
        <v>40</v>
      </c>
      <c r="D7720">
        <v>4.230486</v>
      </c>
      <c r="E7720">
        <v>0.5075904</v>
      </c>
      <c r="F7720" t="s">
        <v>42</v>
      </c>
      <c r="G7720">
        <v>-323.60550000000001</v>
      </c>
      <c r="H7720" s="1">
        <v>-3.6535179999999999E-6</v>
      </c>
      <c r="I7720">
        <v>15.9500299999999</v>
      </c>
      <c r="J7720">
        <v>-369.51190000000003</v>
      </c>
      <c r="K7720">
        <v>1.1114869999999999</v>
      </c>
      <c r="L7720">
        <v>17.444310000000002</v>
      </c>
      <c r="M7720">
        <v>0.99982400000000005</v>
      </c>
      <c r="N7720">
        <v>0</v>
      </c>
      <c r="O7720">
        <v>-1.215542E-2</v>
      </c>
      <c r="P7720">
        <v>0.9991892</v>
      </c>
      <c r="Q7720">
        <v>-3.8292800000000002E-2</v>
      </c>
      <c r="R7720">
        <v>-1.244058E-2</v>
      </c>
      <c r="S7720">
        <v>2.998383</v>
      </c>
      <c r="T7720">
        <v>-7.2365520000000003E-2</v>
      </c>
      <c r="U7720">
        <v>-9.7351069999999998E-2</v>
      </c>
      <c r="V7720">
        <v>3.8319679999999998E-4</v>
      </c>
      <c r="W7720">
        <v>-2.3994680000000001E-2</v>
      </c>
      <c r="X7720">
        <v>0.99971200000000005</v>
      </c>
      <c r="Y7720">
        <v>2.029574E-2</v>
      </c>
      <c r="Z7720" s="1">
        <v>4.844237E-5</v>
      </c>
      <c r="AA7720">
        <v>0.99979399999999996</v>
      </c>
      <c r="AB7720">
        <v>31</v>
      </c>
      <c r="AC7720">
        <v>45.906399999999998</v>
      </c>
      <c r="AD7720">
        <v>-1.111490653518</v>
      </c>
      <c r="AE7720">
        <v>-1.4942800000000001</v>
      </c>
      <c r="AF7720">
        <v>0.93555315654679805</v>
      </c>
      <c r="AG7720">
        <v>-1.111490653518</v>
      </c>
      <c r="AH7720">
        <v>45.894297246197198</v>
      </c>
      <c r="AI7720">
        <v>91.387058105280005</v>
      </c>
      <c r="AJ7720">
        <v>88.832189889187603</v>
      </c>
      <c r="AK7720">
        <v>45.917286406144299</v>
      </c>
      <c r="AL7720">
        <v>91.374925868233305</v>
      </c>
      <c r="AM7720">
        <v>89.978038116689902</v>
      </c>
      <c r="AN7720">
        <v>0.999999987226045</v>
      </c>
    </row>
    <row r="7721" spans="1:40" x14ac:dyDescent="0.25">
      <c r="A7721" t="str">
        <f>"20190312154113985"</f>
        <v>20190312154113985</v>
      </c>
      <c r="B7721" t="str">
        <f>"1552376473974246"</f>
        <v>1552376473974246</v>
      </c>
      <c r="C7721" t="s">
        <v>40</v>
      </c>
      <c r="D7721">
        <v>4.3176360000000003</v>
      </c>
      <c r="E7721">
        <v>0.50790379999999902</v>
      </c>
      <c r="F7721" t="s">
        <v>42</v>
      </c>
      <c r="G7721">
        <v>-325.01119999999997</v>
      </c>
      <c r="H7721" s="1">
        <v>-2.9826859999999999E-6</v>
      </c>
      <c r="I7721">
        <v>15.985860000000001</v>
      </c>
      <c r="J7721">
        <v>-369.23840000000001</v>
      </c>
      <c r="K7721">
        <v>1.1113580000000001</v>
      </c>
      <c r="L7721">
        <v>17.442540000000001</v>
      </c>
      <c r="M7721">
        <v>0.99983789999999995</v>
      </c>
      <c r="N7721">
        <v>0</v>
      </c>
      <c r="O7721">
        <v>-1.075044E-2</v>
      </c>
      <c r="P7721">
        <v>0.99915960000000004</v>
      </c>
      <c r="Q7721">
        <v>-3.9218870000000003E-2</v>
      </c>
      <c r="R7721">
        <v>-1.194019E-2</v>
      </c>
      <c r="S7721">
        <v>2.9983520000000001</v>
      </c>
      <c r="T7721">
        <v>-7.4889659999999997E-2</v>
      </c>
      <c r="U7721">
        <v>-9.8266599999999996E-2</v>
      </c>
      <c r="V7721">
        <v>1.28225E-3</v>
      </c>
      <c r="W7721">
        <v>-2.4770540000000001E-2</v>
      </c>
      <c r="X7721">
        <v>0.99969229999999998</v>
      </c>
      <c r="Y7721">
        <v>2.2004760000000002E-2</v>
      </c>
      <c r="Z7721" s="1">
        <v>-6.2775219999999998E-6</v>
      </c>
      <c r="AA7721">
        <v>0.99975789999999998</v>
      </c>
      <c r="AB7721">
        <v>31</v>
      </c>
      <c r="AC7721">
        <v>44.227200000000003</v>
      </c>
      <c r="AD7721">
        <v>-1.111360982686</v>
      </c>
      <c r="AE7721">
        <v>-1.45668</v>
      </c>
      <c r="AF7721">
        <v>0.98046591196645705</v>
      </c>
      <c r="AG7721">
        <v>-1.111360982686</v>
      </c>
      <c r="AH7721">
        <v>44.212418072366603</v>
      </c>
      <c r="AI7721">
        <v>91.439578476821296</v>
      </c>
      <c r="AJ7721">
        <v>88.729602339736502</v>
      </c>
      <c r="AK7721">
        <v>44.237250688125798</v>
      </c>
      <c r="AL7721">
        <v>91.419392633090595</v>
      </c>
      <c r="AM7721">
        <v>89.926509914108905</v>
      </c>
      <c r="AN7721">
        <v>0.99999995924812102</v>
      </c>
    </row>
    <row r="7722" spans="1:40" x14ac:dyDescent="0.25">
      <c r="A7722" t="str">
        <f>"20190312154114001"</f>
        <v>20190312154114001</v>
      </c>
      <c r="B7722" t="str">
        <f>"1552376473993767"</f>
        <v>1552376473993767</v>
      </c>
      <c r="C7722" t="s">
        <v>40</v>
      </c>
      <c r="D7722">
        <v>4.2966759999999997</v>
      </c>
      <c r="E7722">
        <v>0.50813699999999995</v>
      </c>
      <c r="F7722" t="s">
        <v>42</v>
      </c>
      <c r="G7722">
        <v>-327.70960000000002</v>
      </c>
      <c r="H7722" s="1">
        <v>-1.8077869999999999E-6</v>
      </c>
      <c r="I7722">
        <v>16.068300000000001</v>
      </c>
      <c r="J7722">
        <v>-369.02289999999999</v>
      </c>
      <c r="K7722">
        <v>1.1112660000000001</v>
      </c>
      <c r="L7722">
        <v>17.441279999999999</v>
      </c>
      <c r="M7722">
        <v>0.99984680000000004</v>
      </c>
      <c r="N7722">
        <v>0</v>
      </c>
      <c r="O7722">
        <v>-9.7356769999999999E-3</v>
      </c>
      <c r="P7722">
        <v>0.99917599999999995</v>
      </c>
      <c r="Q7722">
        <v>-3.906449E-2</v>
      </c>
      <c r="R7722">
        <v>-1.1024040000000001E-2</v>
      </c>
      <c r="S7722">
        <v>2.9981689999999999</v>
      </c>
      <c r="T7722">
        <v>-8.0234650000000005E-2</v>
      </c>
      <c r="U7722">
        <v>-9.9212649999999999E-2</v>
      </c>
      <c r="V7722">
        <v>1.37352E-3</v>
      </c>
      <c r="W7722">
        <v>-2.4512329999999999E-2</v>
      </c>
      <c r="X7722">
        <v>0.99969859999999999</v>
      </c>
      <c r="Y7722">
        <v>2.3335169999999999E-2</v>
      </c>
      <c r="Z7722" s="1">
        <v>-5.1662790000000002E-5</v>
      </c>
      <c r="AA7722">
        <v>0.9997277</v>
      </c>
      <c r="AB7722">
        <v>31</v>
      </c>
      <c r="AC7722">
        <v>41.313299999999899</v>
      </c>
      <c r="AD7722">
        <v>-1.111267807787</v>
      </c>
      <c r="AE7722">
        <v>-1.3729799999999901</v>
      </c>
      <c r="AF7722">
        <v>0.96995839111514803</v>
      </c>
      <c r="AG7722">
        <v>-1.111267807787</v>
      </c>
      <c r="AH7722">
        <v>41.294864745840599</v>
      </c>
      <c r="AI7722">
        <v>91.5410644529546</v>
      </c>
      <c r="AJ7722">
        <v>88.654450004338699</v>
      </c>
      <c r="AK7722">
        <v>41.321200246343103</v>
      </c>
      <c r="AL7722">
        <v>91.404593716072995</v>
      </c>
      <c r="AM7722">
        <v>89.921279424060103</v>
      </c>
      <c r="AN7722">
        <v>1.00000001586058</v>
      </c>
    </row>
    <row r="7723" spans="1:40" x14ac:dyDescent="0.25">
      <c r="A7723" t="str">
        <f>"20190312154114017"</f>
        <v>20190312154114017</v>
      </c>
      <c r="B7723" t="str">
        <f>"1552376474003527"</f>
        <v>1552376474003527</v>
      </c>
      <c r="C7723" t="s">
        <v>40</v>
      </c>
      <c r="D7723">
        <v>4.3053429999999997</v>
      </c>
      <c r="E7723">
        <v>0.50817409999999996</v>
      </c>
      <c r="F7723" t="s">
        <v>42</v>
      </c>
      <c r="G7723">
        <v>-328.8261</v>
      </c>
      <c r="H7723" s="1">
        <v>-1.364401E-6</v>
      </c>
      <c r="I7723">
        <v>16.123370000000001</v>
      </c>
      <c r="J7723">
        <v>-368.80369999999999</v>
      </c>
      <c r="K7723">
        <v>1.1111789999999999</v>
      </c>
      <c r="L7723">
        <v>17.440190000000001</v>
      </c>
      <c r="M7723">
        <v>0.99985420000000003</v>
      </c>
      <c r="N7723">
        <v>0</v>
      </c>
      <c r="O7723">
        <v>-8.7812259999999996E-3</v>
      </c>
      <c r="P7723">
        <v>0.99922849999999996</v>
      </c>
      <c r="Q7723">
        <v>-3.760252E-2</v>
      </c>
      <c r="R7723">
        <v>-1.133894E-2</v>
      </c>
      <c r="S7723">
        <v>2.9981080000000002</v>
      </c>
      <c r="T7723">
        <v>-8.2884669999999994E-2</v>
      </c>
      <c r="U7723">
        <v>-9.8297120000000002E-2</v>
      </c>
      <c r="V7723">
        <v>2.6312229999999998E-3</v>
      </c>
      <c r="W7723">
        <v>-2.2951300000000001E-2</v>
      </c>
      <c r="X7723">
        <v>0.99973319999999999</v>
      </c>
      <c r="Y7723">
        <v>2.3984269999999999E-2</v>
      </c>
      <c r="Z7723" s="1">
        <v>-8.8711880000000006E-5</v>
      </c>
      <c r="AA7723">
        <v>0.9997123</v>
      </c>
      <c r="AB7723">
        <v>31</v>
      </c>
      <c r="AC7723">
        <v>39.977600000000002</v>
      </c>
      <c r="AD7723">
        <v>-1.1111803644010001</v>
      </c>
      <c r="AE7723">
        <v>-1.3168200000000001</v>
      </c>
      <c r="AF7723">
        <v>0.96493455885796997</v>
      </c>
      <c r="AG7723">
        <v>-1.1111803644010001</v>
      </c>
      <c r="AH7723">
        <v>39.956787033466298</v>
      </c>
      <c r="AI7723">
        <v>91.592495358391503</v>
      </c>
      <c r="AJ7723">
        <v>88.616607141517306</v>
      </c>
      <c r="AK7723">
        <v>39.983879883559197</v>
      </c>
      <c r="AL7723">
        <v>91.315127998480605</v>
      </c>
      <c r="AM7723">
        <v>89.849202142373997</v>
      </c>
      <c r="AN7723">
        <v>1.00000007834419</v>
      </c>
    </row>
    <row r="7724" spans="1:40" x14ac:dyDescent="0.25">
      <c r="A7724" t="str">
        <f>"20190312154114030"</f>
        <v>20190312154114030</v>
      </c>
      <c r="B7724" t="str">
        <f>"1552376474023643"</f>
        <v>1552376474023643</v>
      </c>
      <c r="C7724" t="s">
        <v>40</v>
      </c>
      <c r="D7724">
        <v>4.33094</v>
      </c>
      <c r="E7724">
        <v>0.50857969999999997</v>
      </c>
      <c r="F7724" t="s">
        <v>42</v>
      </c>
      <c r="G7724">
        <v>-327.11430000000001</v>
      </c>
      <c r="H7724" s="1">
        <v>-2.0394349999999998E-6</v>
      </c>
      <c r="I7724">
        <v>16.056829999999898</v>
      </c>
      <c r="J7724">
        <v>-368.63490000000002</v>
      </c>
      <c r="K7724">
        <v>1.1111120000000001</v>
      </c>
      <c r="L7724">
        <v>17.439450000000001</v>
      </c>
      <c r="M7724">
        <v>0.99985889999999999</v>
      </c>
      <c r="N7724">
        <v>0</v>
      </c>
      <c r="O7724">
        <v>-8.1190440000000006E-3</v>
      </c>
      <c r="P7724">
        <v>0.99925850000000005</v>
      </c>
      <c r="Q7724">
        <v>-3.6935429999999998E-2</v>
      </c>
      <c r="R7724">
        <v>-1.08865E-2</v>
      </c>
      <c r="S7724">
        <v>2.9981990000000001</v>
      </c>
      <c r="T7724">
        <v>-7.9913499999999998E-2</v>
      </c>
      <c r="U7724">
        <v>-9.9487300000000001E-2</v>
      </c>
      <c r="V7724">
        <v>2.8342749999999998E-3</v>
      </c>
      <c r="W7724">
        <v>-2.221981E-2</v>
      </c>
      <c r="X7724">
        <v>0.99974909999999995</v>
      </c>
      <c r="Y7724">
        <v>2.5041549999999999E-2</v>
      </c>
      <c r="Z7724">
        <v>-1.172555E-4</v>
      </c>
      <c r="AA7724">
        <v>0.99968639999999998</v>
      </c>
      <c r="AB7724">
        <v>30</v>
      </c>
      <c r="AC7724">
        <v>41.520600000000002</v>
      </c>
      <c r="AD7724">
        <v>-1.1111140394349901</v>
      </c>
      <c r="AE7724">
        <v>-1.38262</v>
      </c>
      <c r="AF7724">
        <v>1.0446830860665901</v>
      </c>
      <c r="AG7724">
        <v>-1.1111140394349901</v>
      </c>
      <c r="AH7724">
        <v>41.500771049829901</v>
      </c>
      <c r="AI7724">
        <v>91.533147279225801</v>
      </c>
      <c r="AJ7724">
        <v>88.558019712248196</v>
      </c>
      <c r="AK7724">
        <v>41.528784413817696</v>
      </c>
      <c r="AL7724">
        <v>91.273206106918707</v>
      </c>
      <c r="AM7724">
        <v>89.837567685306794</v>
      </c>
      <c r="AN7724">
        <v>1.0000000080110101</v>
      </c>
    </row>
    <row r="7725" spans="1:40" x14ac:dyDescent="0.25">
      <c r="A7725" t="str">
        <f>"20190312154114044"</f>
        <v>20190312154114044</v>
      </c>
      <c r="B7725" t="str">
        <f>"1552376474034378"</f>
        <v>1552376474034378</v>
      </c>
      <c r="C7725" t="s">
        <v>40</v>
      </c>
      <c r="D7725">
        <v>4.3393769999999998</v>
      </c>
      <c r="E7725">
        <v>0.50869920000000002</v>
      </c>
      <c r="F7725" t="s">
        <v>42</v>
      </c>
      <c r="G7725">
        <v>-327.01979999999998</v>
      </c>
      <c r="H7725" s="1">
        <v>-2.0822690000000002E-6</v>
      </c>
      <c r="I7725">
        <v>16.03229</v>
      </c>
      <c r="J7725">
        <v>-368.44799999999998</v>
      </c>
      <c r="K7725">
        <v>1.11104</v>
      </c>
      <c r="L7725">
        <v>17.438690000000001</v>
      </c>
      <c r="M7725">
        <v>0.99986330000000001</v>
      </c>
      <c r="N7725">
        <v>0</v>
      </c>
      <c r="O7725">
        <v>-7.4220689999999999E-3</v>
      </c>
      <c r="P7725">
        <v>0.99928110000000003</v>
      </c>
      <c r="Q7725">
        <v>-3.6350100000000003E-2</v>
      </c>
      <c r="R7725">
        <v>-1.0773329999999999E-2</v>
      </c>
      <c r="S7725">
        <v>2.9981689999999999</v>
      </c>
      <c r="T7725">
        <v>-8.0050469999999999E-2</v>
      </c>
      <c r="U7725">
        <v>-0.10137939999999999</v>
      </c>
      <c r="V7725">
        <v>3.4115479999999999E-3</v>
      </c>
      <c r="W7725">
        <v>-2.1566800000000001E-2</v>
      </c>
      <c r="X7725">
        <v>0.99976160000000003</v>
      </c>
      <c r="Y7725">
        <v>2.6368140000000002E-2</v>
      </c>
      <c r="Z7725">
        <v>-1.537589E-4</v>
      </c>
      <c r="AA7725">
        <v>0.99965230000000005</v>
      </c>
      <c r="AB7725">
        <v>30</v>
      </c>
      <c r="AC7725">
        <v>41.428199999999997</v>
      </c>
      <c r="AD7725">
        <v>-1.1110420822689999</v>
      </c>
      <c r="AE7725">
        <v>-1.4064000000000001</v>
      </c>
      <c r="AF7725">
        <v>1.09805588083059</v>
      </c>
      <c r="AG7725">
        <v>-1.1110420822689999</v>
      </c>
      <c r="AH7725">
        <v>41.407750703749898</v>
      </c>
      <c r="AI7725">
        <v>91.536436931861701</v>
      </c>
      <c r="AJ7725">
        <v>88.480979393271099</v>
      </c>
      <c r="AK7725">
        <v>41.437205016384702</v>
      </c>
      <c r="AL7725">
        <v>91.235782415681996</v>
      </c>
      <c r="AM7725">
        <v>89.804486846339998</v>
      </c>
      <c r="AN7725">
        <v>1.0000000111782701</v>
      </c>
    </row>
    <row r="7726" spans="1:40" x14ac:dyDescent="0.25">
      <c r="A7726" t="str">
        <f>"20190312154114054"</f>
        <v>20190312154114054</v>
      </c>
      <c r="B7726" t="str">
        <f>"1552376474044140"</f>
        <v>1552376474044140</v>
      </c>
      <c r="C7726" t="s">
        <v>40</v>
      </c>
      <c r="D7726">
        <v>4.3548460000000002</v>
      </c>
      <c r="E7726">
        <v>0.50880130000000001</v>
      </c>
      <c r="F7726" t="s">
        <v>42</v>
      </c>
      <c r="G7726">
        <v>-326.67059999999998</v>
      </c>
      <c r="H7726" s="1">
        <v>-2.2201900000000001E-6</v>
      </c>
      <c r="I7726">
        <v>16.01793</v>
      </c>
      <c r="J7726">
        <v>-368.29289999999997</v>
      </c>
      <c r="K7726">
        <v>1.1109830000000001</v>
      </c>
      <c r="L7726">
        <v>17.438110000000002</v>
      </c>
      <c r="M7726">
        <v>0.99986649999999999</v>
      </c>
      <c r="N7726">
        <v>0</v>
      </c>
      <c r="O7726">
        <v>-6.8772659999999999E-3</v>
      </c>
      <c r="P7726">
        <v>0.99929349999999995</v>
      </c>
      <c r="Q7726">
        <v>-3.6092899999999997E-2</v>
      </c>
      <c r="R7726">
        <v>-1.049273E-2</v>
      </c>
      <c r="S7726">
        <v>2.9981080000000002</v>
      </c>
      <c r="T7726">
        <v>-7.9732659999999997E-2</v>
      </c>
      <c r="U7726">
        <v>-0.1019592</v>
      </c>
      <c r="V7726">
        <v>3.6713520000000001E-3</v>
      </c>
      <c r="W7726">
        <v>-2.1258320000000001E-2</v>
      </c>
      <c r="X7726">
        <v>0.99976730000000003</v>
      </c>
      <c r="Y7726">
        <v>2.7106209999999999E-2</v>
      </c>
      <c r="Z7726">
        <v>-1.7744310000000001E-4</v>
      </c>
      <c r="AA7726">
        <v>0.99963250000000003</v>
      </c>
      <c r="AB7726">
        <v>30</v>
      </c>
      <c r="AC7726">
        <v>41.622300000000003</v>
      </c>
      <c r="AD7726">
        <v>-1.1109852201899999</v>
      </c>
      <c r="AE7726">
        <v>-1.42018</v>
      </c>
      <c r="AF7726">
        <v>1.13306100202731</v>
      </c>
      <c r="AG7726">
        <v>-1.1109852201899999</v>
      </c>
      <c r="AH7726">
        <v>41.601478309909503</v>
      </c>
      <c r="AI7726">
        <v>91.529177834739798</v>
      </c>
      <c r="AJ7726">
        <v>88.439873519260601</v>
      </c>
      <c r="AK7726">
        <v>41.631732043762803</v>
      </c>
      <c r="AL7726">
        <v>91.218103744151506</v>
      </c>
      <c r="AM7726">
        <v>89.789599010518799</v>
      </c>
      <c r="AN7726">
        <v>1.00000002457201</v>
      </c>
    </row>
    <row r="7727" spans="1:40" x14ac:dyDescent="0.25">
      <c r="A7727" t="str">
        <f>"20190312154114066"</f>
        <v>20190312154114066</v>
      </c>
      <c r="B7727" t="str">
        <f>"1552376474063659"</f>
        <v>1552376474063659</v>
      </c>
      <c r="C7727" t="s">
        <v>40</v>
      </c>
      <c r="D7727">
        <v>4.3048510000000002</v>
      </c>
      <c r="E7727">
        <v>0.50902320000000001</v>
      </c>
      <c r="F7727" t="s">
        <v>42</v>
      </c>
      <c r="G7727">
        <v>-326.74549999999999</v>
      </c>
      <c r="H7727" s="1">
        <v>-2.1893960000000001E-6</v>
      </c>
      <c r="I7727">
        <v>16.02561</v>
      </c>
      <c r="J7727">
        <v>-368.14280000000002</v>
      </c>
      <c r="K7727">
        <v>1.11093</v>
      </c>
      <c r="L7727">
        <v>17.43759</v>
      </c>
      <c r="M7727">
        <v>0.99986889999999995</v>
      </c>
      <c r="N7727">
        <v>0</v>
      </c>
      <c r="O7727">
        <v>-6.4028569999999996E-3</v>
      </c>
      <c r="P7727">
        <v>0.99929860000000004</v>
      </c>
      <c r="Q7727">
        <v>-3.6021129999999998E-2</v>
      </c>
      <c r="R7727">
        <v>-1.0241989999999999E-2</v>
      </c>
      <c r="S7727">
        <v>2.998138</v>
      </c>
      <c r="T7727">
        <v>-8.0170749999999999E-2</v>
      </c>
      <c r="U7727">
        <v>-0.1019287</v>
      </c>
      <c r="V7727">
        <v>3.89121E-3</v>
      </c>
      <c r="W7727">
        <v>-2.114255E-2</v>
      </c>
      <c r="X7727">
        <v>0.99976889999999996</v>
      </c>
      <c r="Y7727">
        <v>2.756958E-2</v>
      </c>
      <c r="Z7727">
        <v>-1.9728859999999999E-4</v>
      </c>
      <c r="AA7727">
        <v>0.99961979999999995</v>
      </c>
      <c r="AB7727">
        <v>30</v>
      </c>
      <c r="AC7727">
        <v>41.397300000000001</v>
      </c>
      <c r="AD7727">
        <v>-1.110932189396</v>
      </c>
      <c r="AE7727">
        <v>-1.41197999999999</v>
      </c>
      <c r="AF7727">
        <v>1.1460363648095699</v>
      </c>
      <c r="AG7727">
        <v>-1.110932189396</v>
      </c>
      <c r="AH7727">
        <v>41.3757302722818</v>
      </c>
      <c r="AI7727">
        <v>91.537424261570195</v>
      </c>
      <c r="AJ7727">
        <v>88.413411387371994</v>
      </c>
      <c r="AK7727">
        <v>41.406504624799197</v>
      </c>
      <c r="AL7727">
        <v>91.211469149108595</v>
      </c>
      <c r="AM7727">
        <v>89.776999680203502</v>
      </c>
      <c r="AN7727">
        <v>1.00000000117148</v>
      </c>
    </row>
    <row r="7728" spans="1:40" x14ac:dyDescent="0.25">
      <c r="A7728" t="str">
        <f>"20190312154114078"</f>
        <v>20190312154114078</v>
      </c>
      <c r="B7728" t="str">
        <f>"1552376474074394"</f>
        <v>1552376474074394</v>
      </c>
      <c r="C7728" t="s">
        <v>40</v>
      </c>
      <c r="D7728">
        <v>4.3260319999999997</v>
      </c>
      <c r="E7728">
        <v>0.50902320000000001</v>
      </c>
      <c r="F7728" t="s">
        <v>42</v>
      </c>
      <c r="G7728">
        <v>-328.56360000000001</v>
      </c>
      <c r="H7728" s="1">
        <v>-1.476976E-6</v>
      </c>
      <c r="I7728">
        <v>16.079059999999998</v>
      </c>
      <c r="J7728">
        <v>-367.98079999999999</v>
      </c>
      <c r="K7728">
        <v>1.110867</v>
      </c>
      <c r="L7728">
        <v>17.437100000000001</v>
      </c>
      <c r="M7728">
        <v>0.99987130000000002</v>
      </c>
      <c r="N7728">
        <v>0</v>
      </c>
      <c r="O7728">
        <v>-5.9107919999999998E-3</v>
      </c>
      <c r="P7728">
        <v>0.99931239999999999</v>
      </c>
      <c r="Q7728">
        <v>-3.5714990000000002E-2</v>
      </c>
      <c r="R7728">
        <v>-9.9650680000000005E-3</v>
      </c>
      <c r="S7728">
        <v>2.9980159999999998</v>
      </c>
      <c r="T7728">
        <v>-8.4150199999999994E-2</v>
      </c>
      <c r="U7728">
        <v>-0.10290530000000001</v>
      </c>
      <c r="V7728">
        <v>4.1019510000000004E-3</v>
      </c>
      <c r="W7728">
        <v>-2.0790779999999998E-2</v>
      </c>
      <c r="X7728">
        <v>0.99977539999999998</v>
      </c>
      <c r="Y7728">
        <v>2.838684E-2</v>
      </c>
      <c r="Z7728">
        <v>-2.3235420000000001E-4</v>
      </c>
      <c r="AA7728">
        <v>0.99959699999999996</v>
      </c>
      <c r="AB7728">
        <v>30</v>
      </c>
      <c r="AC7728">
        <v>39.417199999999902</v>
      </c>
      <c r="AD7728">
        <v>-1.110868476976</v>
      </c>
      <c r="AE7728">
        <v>-1.3580399999999899</v>
      </c>
      <c r="AF7728">
        <v>1.1241117229798001</v>
      </c>
      <c r="AG7728">
        <v>-1.110868476976</v>
      </c>
      <c r="AH7728">
        <v>39.393288483428599</v>
      </c>
      <c r="AI7728">
        <v>91.614623640917898</v>
      </c>
      <c r="AJ7728">
        <v>88.365473239844704</v>
      </c>
      <c r="AK7728">
        <v>39.424977279353101</v>
      </c>
      <c r="AL7728">
        <v>91.191309822464405</v>
      </c>
      <c r="AM7728">
        <v>89.7649240406231</v>
      </c>
      <c r="AN7728">
        <v>0.99999996649008605</v>
      </c>
    </row>
    <row r="7729" spans="1:40" x14ac:dyDescent="0.25">
      <c r="A7729" t="str">
        <f>"20190312154114094"</f>
        <v>20190312154114094</v>
      </c>
      <c r="B7729" t="str">
        <f>"1552376474084156"</f>
        <v>1552376474084156</v>
      </c>
      <c r="C7729" t="s">
        <v>40</v>
      </c>
      <c r="D7729">
        <v>4.3230069999999996</v>
      </c>
      <c r="E7729">
        <v>0.51310659999999997</v>
      </c>
      <c r="F7729" t="s">
        <v>42</v>
      </c>
      <c r="G7729">
        <v>-327.98050000000001</v>
      </c>
      <c r="H7729" s="1">
        <v>-1.7019589999999999E-6</v>
      </c>
      <c r="I7729">
        <v>16.075129999999898</v>
      </c>
      <c r="J7729">
        <v>-367.75450000000001</v>
      </c>
      <c r="K7729">
        <v>1.110781</v>
      </c>
      <c r="L7729">
        <v>17.436429999999898</v>
      </c>
      <c r="M7729">
        <v>0.99987369999999998</v>
      </c>
      <c r="N7729">
        <v>0</v>
      </c>
      <c r="O7729">
        <v>-5.3160350000000002E-3</v>
      </c>
      <c r="P7729">
        <v>0.99932619999999905</v>
      </c>
      <c r="Q7729">
        <v>-3.534615E-2</v>
      </c>
      <c r="R7729">
        <v>-9.8981020000000006E-3</v>
      </c>
      <c r="S7729">
        <v>2.9980769999999999</v>
      </c>
      <c r="T7729">
        <v>-8.3261130000000003E-2</v>
      </c>
      <c r="U7729">
        <v>-0.1020813</v>
      </c>
      <c r="V7729">
        <v>4.6235729999999997E-3</v>
      </c>
      <c r="W7729">
        <v>-2.0365870000000001E-2</v>
      </c>
      <c r="X7729">
        <v>0.9997819</v>
      </c>
      <c r="Y7729">
        <v>2.8706160000000001E-2</v>
      </c>
      <c r="Z7729">
        <v>-2.5083860000000001E-4</v>
      </c>
      <c r="AA7729">
        <v>0.99958780000000003</v>
      </c>
      <c r="AB7729">
        <v>30</v>
      </c>
      <c r="AC7729">
        <v>39.774000000000001</v>
      </c>
      <c r="AD7729">
        <v>-1.110782701959</v>
      </c>
      <c r="AE7729">
        <v>-1.3613</v>
      </c>
      <c r="AF7729">
        <v>1.1489220259746</v>
      </c>
      <c r="AG7729">
        <v>-1.110782701959</v>
      </c>
      <c r="AH7729">
        <v>39.749709382905202</v>
      </c>
      <c r="AI7729">
        <v>91.600013078772506</v>
      </c>
      <c r="AJ7729">
        <v>88.344388890323103</v>
      </c>
      <c r="AK7729">
        <v>39.7818206729929</v>
      </c>
      <c r="AL7729">
        <v>91.166959079972003</v>
      </c>
      <c r="AM7729">
        <v>89.735032880006699</v>
      </c>
      <c r="AN7729">
        <v>0.99999999682787599</v>
      </c>
    </row>
    <row r="7730" spans="1:40" x14ac:dyDescent="0.25">
      <c r="A7730" t="str">
        <f>"20190312154114108"</f>
        <v>20190312154114108</v>
      </c>
      <c r="B7730" t="str">
        <f>"1552376474103676"</f>
        <v>1552376474103676</v>
      </c>
      <c r="C7730" t="s">
        <v>40</v>
      </c>
      <c r="D7730">
        <v>4.310505</v>
      </c>
      <c r="E7730">
        <v>0.51371250000000002</v>
      </c>
      <c r="F7730" t="s">
        <v>42</v>
      </c>
      <c r="G7730">
        <v>-344.75729999999999</v>
      </c>
      <c r="H7730" s="1">
        <v>-2.8003780000000001E-6</v>
      </c>
      <c r="I7730">
        <v>16.408750000000001</v>
      </c>
      <c r="J7730">
        <v>-367.57499999999999</v>
      </c>
      <c r="K7730">
        <v>1.110717</v>
      </c>
      <c r="L7730">
        <v>17.435939999999999</v>
      </c>
      <c r="M7730">
        <v>0.99987530000000002</v>
      </c>
      <c r="N7730">
        <v>0</v>
      </c>
      <c r="O7730">
        <v>-4.9036039999999998E-3</v>
      </c>
      <c r="P7730">
        <v>0.99933799999999995</v>
      </c>
      <c r="Q7730">
        <v>-3.5098230000000001E-2</v>
      </c>
      <c r="R7730">
        <v>-9.5871570000000007E-3</v>
      </c>
      <c r="S7730">
        <v>2.9955440000000002</v>
      </c>
      <c r="T7730">
        <v>-0.1446866</v>
      </c>
      <c r="U7730">
        <v>-0.1338501</v>
      </c>
      <c r="V7730">
        <v>4.720714E-3</v>
      </c>
      <c r="W7730">
        <v>-2.0079320000000001E-2</v>
      </c>
      <c r="X7730">
        <v>0.99978730000000005</v>
      </c>
      <c r="Y7730">
        <v>3.9698240000000003E-2</v>
      </c>
      <c r="Z7730">
        <v>-7.2107839999999905E-4</v>
      </c>
      <c r="AA7730">
        <v>0.99921139999999997</v>
      </c>
      <c r="AB7730">
        <v>30</v>
      </c>
      <c r="AC7730">
        <v>22.817699999999999</v>
      </c>
      <c r="AD7730">
        <v>-1.1107198003780001</v>
      </c>
      <c r="AE7730">
        <v>-1.0271899999999901</v>
      </c>
      <c r="AF7730">
        <v>0.91311677694238302</v>
      </c>
      <c r="AG7730">
        <v>-1.1107198003780001</v>
      </c>
      <c r="AH7730">
        <v>22.7686209080764</v>
      </c>
      <c r="AI7730">
        <v>92.790601686292405</v>
      </c>
      <c r="AJ7730">
        <v>87.703430680066703</v>
      </c>
      <c r="AK7730">
        <v>22.813977706199701</v>
      </c>
      <c r="AL7730">
        <v>91.150537549459102</v>
      </c>
      <c r="AM7730">
        <v>89.729467479278497</v>
      </c>
      <c r="AN7730">
        <v>1.0000000547368</v>
      </c>
    </row>
    <row r="7731" spans="1:40" x14ac:dyDescent="0.25">
      <c r="A7731" t="str">
        <f>"20190312154114122"</f>
        <v>20190312154114122</v>
      </c>
      <c r="B7731" t="str">
        <f>"1552376474114410"</f>
        <v>1552376474114410</v>
      </c>
      <c r="C7731" t="s">
        <v>40</v>
      </c>
      <c r="D7731">
        <v>4.3217249999999998</v>
      </c>
      <c r="E7731">
        <v>0.51377079999999997</v>
      </c>
      <c r="F7731" t="s">
        <v>42</v>
      </c>
      <c r="G7731">
        <v>-344.64080000000001</v>
      </c>
      <c r="H7731" s="1">
        <v>-2.8552350000000001E-6</v>
      </c>
      <c r="I7731">
        <v>16.38119</v>
      </c>
      <c r="J7731">
        <v>-367.39359999999999</v>
      </c>
      <c r="K7731">
        <v>1.110649</v>
      </c>
      <c r="L7731">
        <v>17.435489999999898</v>
      </c>
      <c r="M7731">
        <v>0.9998764</v>
      </c>
      <c r="N7731">
        <v>0</v>
      </c>
      <c r="O7731">
        <v>-4.5235989999999997E-3</v>
      </c>
      <c r="P7731">
        <v>0.99935350000000001</v>
      </c>
      <c r="Q7731">
        <v>-3.4688530000000002E-2</v>
      </c>
      <c r="R7731">
        <v>-9.4488509999999994E-3</v>
      </c>
      <c r="S7731">
        <v>2.9955750000000001</v>
      </c>
      <c r="T7731">
        <v>-0.14507809999999999</v>
      </c>
      <c r="U7731">
        <v>-0.1377563</v>
      </c>
      <c r="V7731">
        <v>4.9577739999999999E-3</v>
      </c>
      <c r="W7731">
        <v>-1.9633149999999999E-2</v>
      </c>
      <c r="X7731">
        <v>0.99979499999999999</v>
      </c>
      <c r="Y7731">
        <v>4.1375160000000001E-2</v>
      </c>
      <c r="Z7731">
        <v>-7.8194500000000004E-4</v>
      </c>
      <c r="AA7731">
        <v>0.99914340000000001</v>
      </c>
      <c r="AB7731">
        <v>30</v>
      </c>
      <c r="AC7731">
        <v>22.752799999999901</v>
      </c>
      <c r="AD7731">
        <v>-1.110651855235</v>
      </c>
      <c r="AE7731">
        <v>-1.05429999999999</v>
      </c>
      <c r="AF7731">
        <v>0.94909634336972004</v>
      </c>
      <c r="AG7731">
        <v>-1.110651855235</v>
      </c>
      <c r="AH7731">
        <v>22.703355446541501</v>
      </c>
      <c r="AI7731">
        <v>92.798245986493697</v>
      </c>
      <c r="AJ7731">
        <v>87.606187748977604</v>
      </c>
      <c r="AK7731">
        <v>22.750311644998199</v>
      </c>
      <c r="AL7731">
        <v>91.124968867102297</v>
      </c>
      <c r="AM7731">
        <v>89.715884558624197</v>
      </c>
      <c r="AN7731">
        <v>1.00000004106347</v>
      </c>
    </row>
    <row r="7732" spans="1:40" x14ac:dyDescent="0.25">
      <c r="A7732" t="str">
        <f>"20190312154114133"</f>
        <v>20190312154114133</v>
      </c>
      <c r="B7732" t="str">
        <f>"1552376474124171"</f>
        <v>1552376474124171</v>
      </c>
      <c r="C7732" t="s">
        <v>40</v>
      </c>
      <c r="D7732">
        <v>4.3390740000000001</v>
      </c>
      <c r="E7732">
        <v>0.51385230000000004</v>
      </c>
      <c r="F7732" t="s">
        <v>42</v>
      </c>
      <c r="G7732">
        <v>-344.52390000000003</v>
      </c>
      <c r="H7732" s="1">
        <v>-2.9049809999999998E-6</v>
      </c>
      <c r="I7732">
        <v>16.38345</v>
      </c>
      <c r="J7732">
        <v>-367.2174</v>
      </c>
      <c r="K7732">
        <v>1.1105849999999999</v>
      </c>
      <c r="L7732">
        <v>17.43506</v>
      </c>
      <c r="M7732">
        <v>0.99987729999999997</v>
      </c>
      <c r="N7732">
        <v>0</v>
      </c>
      <c r="O7732">
        <v>-4.2012270000000001E-3</v>
      </c>
      <c r="P7732">
        <v>0.99936309999999995</v>
      </c>
      <c r="Q7732">
        <v>-3.4452650000000001E-2</v>
      </c>
      <c r="R7732">
        <v>-9.2842110000000005E-3</v>
      </c>
      <c r="S7732">
        <v>2.9955440000000002</v>
      </c>
      <c r="T7732">
        <v>-0.1454762</v>
      </c>
      <c r="U7732">
        <v>-0.13778689999999999</v>
      </c>
      <c r="V7732">
        <v>5.111768E-3</v>
      </c>
      <c r="W7732">
        <v>-1.9365420000000001E-2</v>
      </c>
      <c r="X7732">
        <v>0.9997994</v>
      </c>
      <c r="Y7732">
        <v>4.1706899999999998E-2</v>
      </c>
      <c r="Z7732">
        <v>-8.0778169999999995E-4</v>
      </c>
      <c r="AA7732">
        <v>0.9991295</v>
      </c>
      <c r="AB7732">
        <v>30</v>
      </c>
      <c r="AC7732">
        <v>22.693499999999901</v>
      </c>
      <c r="AD7732">
        <v>-1.1105879049809999</v>
      </c>
      <c r="AE7732">
        <v>-1.0516099999999999</v>
      </c>
      <c r="AF7732">
        <v>0.95396946676463001</v>
      </c>
      <c r="AG7732">
        <v>-1.1105879049809999</v>
      </c>
      <c r="AH7732">
        <v>22.6436033349704</v>
      </c>
      <c r="AI7732">
        <v>92.805418752804897</v>
      </c>
      <c r="AJ7732">
        <v>87.5875694440346</v>
      </c>
      <c r="AK7732">
        <v>22.690884408274901</v>
      </c>
      <c r="AL7732">
        <v>91.109626202713002</v>
      </c>
      <c r="AM7732">
        <v>89.707061056206996</v>
      </c>
      <c r="AN7732">
        <v>0.999999994952111</v>
      </c>
    </row>
    <row r="7733" spans="1:40" x14ac:dyDescent="0.25">
      <c r="A7733" t="str">
        <f>"20190312154114152"</f>
        <v>20190312154114152</v>
      </c>
      <c r="B7733" t="str">
        <f>"1552376474143691"</f>
        <v>1552376474143691</v>
      </c>
      <c r="C7733" t="s">
        <v>40</v>
      </c>
      <c r="D7733">
        <v>4.3523990000000001</v>
      </c>
      <c r="E7733">
        <v>0.51401160000000001</v>
      </c>
      <c r="F7733" t="s">
        <v>42</v>
      </c>
      <c r="G7733">
        <v>-344.36700000000002</v>
      </c>
      <c r="H7733" s="1">
        <v>-2.9724289999999999E-6</v>
      </c>
      <c r="I7733">
        <v>16.382770000000001</v>
      </c>
      <c r="J7733">
        <v>-366.99</v>
      </c>
      <c r="K7733">
        <v>1.1105149999999999</v>
      </c>
      <c r="L7733">
        <v>17.434479999999901</v>
      </c>
      <c r="M7733">
        <v>0.9998783</v>
      </c>
      <c r="N7733">
        <v>0</v>
      </c>
      <c r="O7733">
        <v>-3.8562729999999999E-3</v>
      </c>
      <c r="P7733">
        <v>0.99935929999999995</v>
      </c>
      <c r="Q7733">
        <v>-3.4585570000000003E-2</v>
      </c>
      <c r="R7733">
        <v>-9.221412E-3</v>
      </c>
      <c r="S7733">
        <v>2.9956049999999999</v>
      </c>
      <c r="T7733">
        <v>-0.14559369999999999</v>
      </c>
      <c r="U7733">
        <v>-0.13793949999999999</v>
      </c>
      <c r="V7733">
        <v>5.3897540000000001E-3</v>
      </c>
      <c r="W7733">
        <v>-1.9462299999999998E-2</v>
      </c>
      <c r="X7733">
        <v>0.99979609999999997</v>
      </c>
      <c r="Y7733">
        <v>4.2100520000000002E-2</v>
      </c>
      <c r="Z7733">
        <v>-8.3471809999999995E-4</v>
      </c>
      <c r="AA7733">
        <v>0.99911300000000003</v>
      </c>
      <c r="AB7733">
        <v>30</v>
      </c>
      <c r="AC7733">
        <v>22.623000000000001</v>
      </c>
      <c r="AD7733">
        <v>-1.110517972429</v>
      </c>
      <c r="AE7733">
        <v>-1.0517099999999899</v>
      </c>
      <c r="AF7733">
        <v>0.962138344605314</v>
      </c>
      <c r="AG7733">
        <v>-1.110517972429</v>
      </c>
      <c r="AH7733">
        <v>22.572613490138199</v>
      </c>
      <c r="AI7733">
        <v>92.813991826504406</v>
      </c>
      <c r="AJ7733">
        <v>87.559293791590704</v>
      </c>
      <c r="AK7733">
        <v>22.6203854992884</v>
      </c>
      <c r="AL7733">
        <v>91.115178018341595</v>
      </c>
      <c r="AM7733">
        <v>89.691129855986404</v>
      </c>
      <c r="AN7733">
        <v>1.00000003607233</v>
      </c>
    </row>
    <row r="7734" spans="1:40" x14ac:dyDescent="0.25">
      <c r="A7734" t="str">
        <f>"20190312154114175"</f>
        <v>20190312154114175</v>
      </c>
      <c r="B7734" t="str">
        <f>"1552376474164187"</f>
        <v>1552376474164187</v>
      </c>
      <c r="C7734" t="s">
        <v>40</v>
      </c>
      <c r="D7734">
        <v>4.3630550000000001</v>
      </c>
      <c r="E7734">
        <v>0.51410109999999998</v>
      </c>
      <c r="F7734" t="s">
        <v>42</v>
      </c>
      <c r="G7734">
        <v>-344.25560000000002</v>
      </c>
      <c r="H7734" s="1">
        <v>-3.0208240000000002E-6</v>
      </c>
      <c r="I7734">
        <v>16.379189999999902</v>
      </c>
      <c r="J7734">
        <v>-366.68099999999998</v>
      </c>
      <c r="K7734">
        <v>1.1104149999999999</v>
      </c>
      <c r="L7734">
        <v>17.43375</v>
      </c>
      <c r="M7734">
        <v>0.99987890000000001</v>
      </c>
      <c r="N7734">
        <v>0</v>
      </c>
      <c r="O7734">
        <v>-3.4837610000000001E-3</v>
      </c>
      <c r="P7734">
        <v>0.99936740000000002</v>
      </c>
      <c r="Q7734">
        <v>-3.424721E-2</v>
      </c>
      <c r="R7734">
        <v>-9.5903510000000004E-3</v>
      </c>
      <c r="S7734">
        <v>2.9955750000000001</v>
      </c>
      <c r="T7734">
        <v>-0.1463265</v>
      </c>
      <c r="U7734">
        <v>-0.1390381</v>
      </c>
      <c r="V7734">
        <v>6.1256050000000001E-3</v>
      </c>
      <c r="W7734">
        <v>-1.908106E-2</v>
      </c>
      <c r="X7734">
        <v>0.9997992</v>
      </c>
      <c r="Y7734">
        <v>4.2837060000000003E-2</v>
      </c>
      <c r="Z7734">
        <v>-8.7506170000000002E-4</v>
      </c>
      <c r="AA7734">
        <v>0.99908169999999996</v>
      </c>
      <c r="AB7734">
        <v>30</v>
      </c>
      <c r="AC7734">
        <v>22.4253999999999</v>
      </c>
      <c r="AD7734">
        <v>-1.110418020824</v>
      </c>
      <c r="AE7734">
        <v>-1.0545599999999999</v>
      </c>
      <c r="AF7734">
        <v>0.97403696149257102</v>
      </c>
      <c r="AG7734">
        <v>-1.110418020824</v>
      </c>
      <c r="AH7734">
        <v>22.374201163884202</v>
      </c>
      <c r="AI7734">
        <v>92.838539438990097</v>
      </c>
      <c r="AJ7734">
        <v>87.507263359017998</v>
      </c>
      <c r="AK7734">
        <v>22.422904671457701</v>
      </c>
      <c r="AL7734">
        <v>91.093330530577404</v>
      </c>
      <c r="AM7734">
        <v>89.648962589724803</v>
      </c>
      <c r="AN7734">
        <v>1.00000002510398</v>
      </c>
    </row>
    <row r="7735" spans="1:40" x14ac:dyDescent="0.25">
      <c r="A7735" t="str">
        <f>"20190312154114196"</f>
        <v>20190312154114196</v>
      </c>
      <c r="B7735" t="str">
        <f>"1552376474183707"</f>
        <v>1552376474183707</v>
      </c>
      <c r="C7735" t="s">
        <v>40</v>
      </c>
      <c r="D7735">
        <v>4.3049869999999997</v>
      </c>
      <c r="E7735">
        <v>0.51419389999999998</v>
      </c>
      <c r="F7735" t="s">
        <v>42</v>
      </c>
      <c r="G7735">
        <v>-343.70330000000001</v>
      </c>
      <c r="H7735" s="1">
        <v>-3.2623749999999998E-6</v>
      </c>
      <c r="I7735">
        <v>16.353120000000001</v>
      </c>
      <c r="J7735">
        <v>-366.39920000000001</v>
      </c>
      <c r="K7735">
        <v>1.110344</v>
      </c>
      <c r="L7735">
        <v>17.433070000000001</v>
      </c>
      <c r="M7735">
        <v>0.99987919999999997</v>
      </c>
      <c r="N7735">
        <v>0</v>
      </c>
      <c r="O7735">
        <v>-3.2389710000000002E-3</v>
      </c>
      <c r="P7735">
        <v>0.99937969999999998</v>
      </c>
      <c r="Q7735">
        <v>-3.3874330000000001E-2</v>
      </c>
      <c r="R7735">
        <v>-9.6329390000000001E-3</v>
      </c>
      <c r="S7735">
        <v>2.9955750000000001</v>
      </c>
      <c r="T7735">
        <v>-0.1447639</v>
      </c>
      <c r="U7735">
        <v>-0.1408691</v>
      </c>
      <c r="V7735">
        <v>6.4085019999999999E-3</v>
      </c>
      <c r="W7735">
        <v>-1.8676040000000001E-2</v>
      </c>
      <c r="X7735">
        <v>0.99980500000000005</v>
      </c>
      <c r="Y7735">
        <v>4.3690710000000001E-2</v>
      </c>
      <c r="Z7735">
        <v>-8.9813619999999997E-4</v>
      </c>
      <c r="AA7735">
        <v>0.99904470000000001</v>
      </c>
      <c r="AB7735">
        <v>30</v>
      </c>
      <c r="AC7735">
        <v>22.695899999999899</v>
      </c>
      <c r="AD7735">
        <v>-1.1103472623749999</v>
      </c>
      <c r="AE7735">
        <v>-1.07995</v>
      </c>
      <c r="AF7735">
        <v>1.0040268255761</v>
      </c>
      <c r="AG7735">
        <v>-1.1103472623749999</v>
      </c>
      <c r="AH7735">
        <v>22.6452017265695</v>
      </c>
      <c r="AI7735">
        <v>92.804347453548402</v>
      </c>
      <c r="AJ7735">
        <v>87.461323170695707</v>
      </c>
      <c r="AK7735">
        <v>22.6946271647403</v>
      </c>
      <c r="AL7735">
        <v>91.070120537617797</v>
      </c>
      <c r="AM7735">
        <v>89.632753297689703</v>
      </c>
      <c r="AN7735">
        <v>0.99999995069648095</v>
      </c>
    </row>
    <row r="7736" spans="1:40" x14ac:dyDescent="0.25">
      <c r="A7736" t="str">
        <f>"20190312154114210"</f>
        <v>20190312154114210</v>
      </c>
      <c r="B7736" t="str">
        <f>"1552376474204203"</f>
        <v>1552376474204203</v>
      </c>
      <c r="C7736" t="s">
        <v>40</v>
      </c>
      <c r="D7736">
        <v>4.3492259999999998</v>
      </c>
      <c r="E7736">
        <v>0.51430329999999902</v>
      </c>
      <c r="F7736" t="s">
        <v>42</v>
      </c>
      <c r="G7736">
        <v>-343.1551</v>
      </c>
      <c r="H7736" s="1">
        <v>-3.5010579999999999E-6</v>
      </c>
      <c r="I7736">
        <v>16.33353</v>
      </c>
      <c r="J7736">
        <v>-366.22320000000002</v>
      </c>
      <c r="K7736">
        <v>1.1103069999999999</v>
      </c>
      <c r="L7736">
        <v>17.43262</v>
      </c>
      <c r="M7736">
        <v>0.99987939999999997</v>
      </c>
      <c r="N7736">
        <v>0</v>
      </c>
      <c r="O7736">
        <v>-3.126387E-3</v>
      </c>
      <c r="P7736">
        <v>0.99939429999999996</v>
      </c>
      <c r="Q7736">
        <v>-3.3376019999999999E-2</v>
      </c>
      <c r="R7736">
        <v>-9.8601479999999991E-3</v>
      </c>
      <c r="S7736">
        <v>2.9956049999999999</v>
      </c>
      <c r="T7736">
        <v>-0.14309669999999999</v>
      </c>
      <c r="U7736">
        <v>-0.14169309999999999</v>
      </c>
      <c r="V7736">
        <v>6.7459499999999997E-3</v>
      </c>
      <c r="W7736">
        <v>-1.816044E-2</v>
      </c>
      <c r="X7736">
        <v>0.99981229999999999</v>
      </c>
      <c r="Y7736">
        <v>4.4077430000000001E-2</v>
      </c>
      <c r="Z7736">
        <v>-9.0238769999999996E-4</v>
      </c>
      <c r="AA7736">
        <v>0.99902769999999996</v>
      </c>
      <c r="AB7736">
        <v>30</v>
      </c>
      <c r="AC7736">
        <v>23.068100000000001</v>
      </c>
      <c r="AD7736">
        <v>-1.1103105010580001</v>
      </c>
      <c r="AE7736">
        <v>-1.0990899999999999</v>
      </c>
      <c r="AF7736">
        <v>1.0245882108139901</v>
      </c>
      <c r="AG7736">
        <v>-1.1103105010580001</v>
      </c>
      <c r="AH7736">
        <v>23.018218846447802</v>
      </c>
      <c r="AI7736">
        <v>92.758860411556995</v>
      </c>
      <c r="AJ7736">
        <v>87.451329500173799</v>
      </c>
      <c r="AK7736">
        <v>23.067747381863398</v>
      </c>
      <c r="AL7736">
        <v>91.040573797390905</v>
      </c>
      <c r="AM7736">
        <v>89.613418840097694</v>
      </c>
      <c r="AN7736">
        <v>0.99999997232684201</v>
      </c>
    </row>
    <row r="7737" spans="1:40" x14ac:dyDescent="0.25">
      <c r="A7737" t="str">
        <f>"20190312154114224"</f>
        <v>20190312154114224</v>
      </c>
      <c r="B7737" t="str">
        <f>"1552376474214469"</f>
        <v>1552376474214469</v>
      </c>
      <c r="C7737" t="s">
        <v>40</v>
      </c>
      <c r="D7737">
        <v>4.319903</v>
      </c>
      <c r="E7737">
        <v>0.51425639999999995</v>
      </c>
      <c r="F7737" t="s">
        <v>42</v>
      </c>
      <c r="G7737">
        <v>-342.70139999999998</v>
      </c>
      <c r="H7737" s="1">
        <v>-3.7002070000000001E-6</v>
      </c>
      <c r="I7737">
        <v>16.307980000000001</v>
      </c>
      <c r="J7737">
        <v>-366.02699999999999</v>
      </c>
      <c r="K7737">
        <v>1.1102730000000001</v>
      </c>
      <c r="L7737">
        <v>17.43216</v>
      </c>
      <c r="M7737">
        <v>0.99987939999999997</v>
      </c>
      <c r="N7737">
        <v>0</v>
      </c>
      <c r="O7737">
        <v>-3.0184370000000001E-3</v>
      </c>
      <c r="P7737">
        <v>0.99940289999999998</v>
      </c>
      <c r="Q7737">
        <v>-3.299966E-2</v>
      </c>
      <c r="R7737">
        <v>-1.0235950000000001E-2</v>
      </c>
      <c r="S7737">
        <v>2.9956670000000001</v>
      </c>
      <c r="T7737">
        <v>-0.1414059</v>
      </c>
      <c r="U7737">
        <v>-0.14321900000000001</v>
      </c>
      <c r="V7737">
        <v>7.2277280000000001E-3</v>
      </c>
      <c r="W7737">
        <v>-1.77664999999999E-2</v>
      </c>
      <c r="X7737">
        <v>0.99981609999999999</v>
      </c>
      <c r="Y7737">
        <v>4.4692320000000001E-2</v>
      </c>
      <c r="Z7737">
        <v>-9.112953E-4</v>
      </c>
      <c r="AA7737">
        <v>0.99900040000000001</v>
      </c>
      <c r="AB7737">
        <v>30</v>
      </c>
      <c r="AC7737">
        <v>23.325600000000001</v>
      </c>
      <c r="AD7737">
        <v>-1.110276700207</v>
      </c>
      <c r="AE7737">
        <v>-1.12417999999999</v>
      </c>
      <c r="AF7737">
        <v>1.05138328412242</v>
      </c>
      <c r="AG7737">
        <v>-1.110276700207</v>
      </c>
      <c r="AH7737">
        <v>23.276273214473299</v>
      </c>
      <c r="AI7737">
        <v>92.728157438895195</v>
      </c>
      <c r="AJ7737">
        <v>87.413722328414593</v>
      </c>
      <c r="AK7737">
        <v>23.326444562255102</v>
      </c>
      <c r="AL7737">
        <v>91.017998964186205</v>
      </c>
      <c r="AM7737">
        <v>89.585812734707503</v>
      </c>
      <c r="AN7737">
        <v>1.0000000611967399</v>
      </c>
    </row>
    <row r="7738" spans="1:40" x14ac:dyDescent="0.25">
      <c r="A7738" t="str">
        <f>"20190312154114240"</f>
        <v>20190312154114240</v>
      </c>
      <c r="B7738" t="str">
        <f>"1552376474233989"</f>
        <v>1552376474233989</v>
      </c>
      <c r="C7738" t="s">
        <v>40</v>
      </c>
      <c r="D7738">
        <v>4.3394919999999999</v>
      </c>
      <c r="E7738">
        <v>0.51436199999999999</v>
      </c>
      <c r="F7738" t="s">
        <v>42</v>
      </c>
      <c r="G7738">
        <v>-342.4067</v>
      </c>
      <c r="H7738" s="1">
        <v>-3.8285580000000002E-6</v>
      </c>
      <c r="I7738">
        <v>16.297059999999998</v>
      </c>
      <c r="J7738">
        <v>-365.8032</v>
      </c>
      <c r="K7738">
        <v>1.110241</v>
      </c>
      <c r="L7738">
        <v>17.431609999999999</v>
      </c>
      <c r="M7738">
        <v>0.99987950000000003</v>
      </c>
      <c r="N7738">
        <v>0</v>
      </c>
      <c r="O7738">
        <v>-2.9180479999999999E-3</v>
      </c>
      <c r="P7738">
        <v>0.99941869999999999</v>
      </c>
      <c r="Q7738">
        <v>-3.2155740000000002E-2</v>
      </c>
      <c r="R7738">
        <v>-1.13425E-2</v>
      </c>
      <c r="S7738">
        <v>2.9957280000000002</v>
      </c>
      <c r="T7738">
        <v>-0.14081469999999999</v>
      </c>
      <c r="U7738">
        <v>-0.14395139999999901</v>
      </c>
      <c r="V7738">
        <v>8.4323799999999997E-3</v>
      </c>
      <c r="W7738">
        <v>-1.6904579999999999E-2</v>
      </c>
      <c r="X7738">
        <v>0.99982150000000003</v>
      </c>
      <c r="Y7738">
        <v>4.5035239999999997E-2</v>
      </c>
      <c r="Z7738">
        <v>-9.202298E-4</v>
      </c>
      <c r="AA7738">
        <v>0.99898500000000001</v>
      </c>
      <c r="AB7738">
        <v>30</v>
      </c>
      <c r="AC7738">
        <v>23.3965</v>
      </c>
      <c r="AD7738">
        <v>-1.110244828558</v>
      </c>
      <c r="AE7738">
        <v>-1.13454999999999</v>
      </c>
      <c r="AF7738">
        <v>1.06387507515408</v>
      </c>
      <c r="AG7738">
        <v>-1.110244828558</v>
      </c>
      <c r="AH7738">
        <v>23.347260682616199</v>
      </c>
      <c r="AI7738">
        <v>92.719748078057194</v>
      </c>
      <c r="AJ7738">
        <v>87.390982358299894</v>
      </c>
      <c r="AK7738">
        <v>23.397842959061599</v>
      </c>
      <c r="AL7738">
        <v>90.968607272091305</v>
      </c>
      <c r="AM7738">
        <v>89.516785415769803</v>
      </c>
      <c r="AN7738">
        <v>0.99999995085984394</v>
      </c>
    </row>
    <row r="7739" spans="1:40" x14ac:dyDescent="0.25">
      <c r="A7739" t="str">
        <f>"20190312154114253"</f>
        <v>20190312154114253</v>
      </c>
      <c r="B7739" t="str">
        <f>"1552376474243750"</f>
        <v>1552376474243750</v>
      </c>
      <c r="C7739" t="s">
        <v>40</v>
      </c>
      <c r="D7739">
        <v>4.3450259999999998</v>
      </c>
      <c r="E7739">
        <v>0.51438019999999995</v>
      </c>
      <c r="F7739" t="s">
        <v>42</v>
      </c>
      <c r="G7739">
        <v>-341.94600000000003</v>
      </c>
      <c r="H7739" s="1">
        <v>-4.0341050000000004E-6</v>
      </c>
      <c r="I7739">
        <v>16.252489999999899</v>
      </c>
      <c r="J7739">
        <v>-365.63080000000002</v>
      </c>
      <c r="K7739">
        <v>1.1102240000000001</v>
      </c>
      <c r="L7739">
        <v>17.431179999999902</v>
      </c>
      <c r="M7739">
        <v>0.99987950000000003</v>
      </c>
      <c r="N7739">
        <v>0</v>
      </c>
      <c r="O7739">
        <v>-2.8539139999999999E-3</v>
      </c>
      <c r="P7739">
        <v>0.99941389999999997</v>
      </c>
      <c r="Q7739">
        <v>-3.2071639999999998E-2</v>
      </c>
      <c r="R7739">
        <v>-1.1979770000000001E-2</v>
      </c>
      <c r="S7739">
        <v>2.9955440000000002</v>
      </c>
      <c r="T7739">
        <v>-0.139404</v>
      </c>
      <c r="U7739">
        <v>-0.1480408</v>
      </c>
      <c r="V7739">
        <v>9.1329280000000002E-3</v>
      </c>
      <c r="W7739">
        <v>-1.6808719999999999E-2</v>
      </c>
      <c r="X7739">
        <v>0.99981699999999996</v>
      </c>
      <c r="Y7739">
        <v>4.6462030000000001E-2</v>
      </c>
      <c r="Z7739">
        <v>-9.4718860000000005E-4</v>
      </c>
      <c r="AA7739">
        <v>0.99891960000000002</v>
      </c>
      <c r="AB7739">
        <v>30</v>
      </c>
      <c r="AC7739">
        <v>23.684799999999999</v>
      </c>
      <c r="AD7739">
        <v>-1.1102280341049999</v>
      </c>
      <c r="AE7739">
        <v>-1.17868999999999</v>
      </c>
      <c r="AF7739">
        <v>1.10865294558869</v>
      </c>
      <c r="AG7739">
        <v>-1.1102280341049999</v>
      </c>
      <c r="AH7739">
        <v>23.6362606743619</v>
      </c>
      <c r="AI7739">
        <v>92.686336716448906</v>
      </c>
      <c r="AJ7739">
        <v>87.3145239151646</v>
      </c>
      <c r="AK7739">
        <v>23.688278458086799</v>
      </c>
      <c r="AL7739">
        <v>90.963114081687095</v>
      </c>
      <c r="AM7739">
        <v>89.476640549765705</v>
      </c>
      <c r="AN7739">
        <v>0.99999998846544502</v>
      </c>
    </row>
    <row r="7740" spans="1:40" x14ac:dyDescent="0.25">
      <c r="A7740" t="str">
        <f>"20190312154114265"</f>
        <v>20190312154114265</v>
      </c>
      <c r="B7740" t="str">
        <f>"1552376474253510"</f>
        <v>1552376474253510</v>
      </c>
      <c r="C7740" t="s">
        <v>40</v>
      </c>
      <c r="D7740">
        <v>4.3708369999999999</v>
      </c>
      <c r="E7740">
        <v>0.51434079999999904</v>
      </c>
      <c r="F7740" t="s">
        <v>42</v>
      </c>
      <c r="G7740">
        <v>-341.8716</v>
      </c>
      <c r="H7740" s="1">
        <v>-4.0680639999999999E-6</v>
      </c>
      <c r="I7740">
        <v>16.24117</v>
      </c>
      <c r="J7740">
        <v>-365.47840000000002</v>
      </c>
      <c r="K7740">
        <v>1.1102110000000001</v>
      </c>
      <c r="L7740">
        <v>17.430789999999998</v>
      </c>
      <c r="M7740">
        <v>0.99987939999999997</v>
      </c>
      <c r="N7740">
        <v>0</v>
      </c>
      <c r="O7740">
        <v>-2.8027500000000001E-3</v>
      </c>
      <c r="P7740">
        <v>0.99940739999999995</v>
      </c>
      <c r="Q7740">
        <v>-3.2015929999999998E-2</v>
      </c>
      <c r="R7740">
        <v>-1.264907E-2</v>
      </c>
      <c r="S7740">
        <v>2.9955440000000002</v>
      </c>
      <c r="T7740">
        <v>-0.13997670000000001</v>
      </c>
      <c r="U7740">
        <v>-0.1500244</v>
      </c>
      <c r="V7740">
        <v>9.8527119999999996E-3</v>
      </c>
      <c r="W7740">
        <v>-1.6743790000000001E-2</v>
      </c>
      <c r="X7740">
        <v>0.99981129999999996</v>
      </c>
      <c r="Y7740">
        <v>4.7171780000000003E-2</v>
      </c>
      <c r="Z7740">
        <v>-9.7001179999999995E-4</v>
      </c>
      <c r="AA7740">
        <v>0.9988863</v>
      </c>
      <c r="AB7740">
        <v>30</v>
      </c>
      <c r="AC7740">
        <v>23.6068</v>
      </c>
      <c r="AD7740">
        <v>-1.1102150680639999</v>
      </c>
      <c r="AE7740">
        <v>-1.1896199999999899</v>
      </c>
      <c r="AF7740">
        <v>1.1209705982631799</v>
      </c>
      <c r="AG7740">
        <v>-1.1102150680639999</v>
      </c>
      <c r="AH7740">
        <v>23.558068804439401</v>
      </c>
      <c r="AI7740">
        <v>92.695122332520697</v>
      </c>
      <c r="AJ7740">
        <v>87.275732701862907</v>
      </c>
      <c r="AK7740">
        <v>23.610839848981001</v>
      </c>
      <c r="AL7740">
        <v>90.959393300303702</v>
      </c>
      <c r="AM7740">
        <v>89.435392917180494</v>
      </c>
      <c r="AN7740">
        <v>1.0000000330225001</v>
      </c>
    </row>
    <row r="7741" spans="1:40" x14ac:dyDescent="0.25">
      <c r="A7741" t="str">
        <f>"20190312154114276"</f>
        <v>20190312154114276</v>
      </c>
      <c r="B7741" t="str">
        <f>"1552376474264246"</f>
        <v>1552376474264246</v>
      </c>
      <c r="C7741" t="s">
        <v>40</v>
      </c>
      <c r="D7741">
        <v>4.3742929999999998</v>
      </c>
      <c r="E7741">
        <v>0.51429879999999994</v>
      </c>
      <c r="F7741" t="s">
        <v>42</v>
      </c>
      <c r="G7741">
        <v>-341.28160000000003</v>
      </c>
      <c r="H7741" s="1">
        <v>-4.3275730000000002E-6</v>
      </c>
      <c r="I7741">
        <v>16.20504</v>
      </c>
      <c r="J7741">
        <v>-365.31939999999997</v>
      </c>
      <c r="K7741">
        <v>1.110196</v>
      </c>
      <c r="L7741">
        <v>17.430389999999999</v>
      </c>
      <c r="M7741">
        <v>0.99987950000000003</v>
      </c>
      <c r="N7741">
        <v>0</v>
      </c>
      <c r="O7741">
        <v>-2.7527480000000002E-3</v>
      </c>
      <c r="P7741">
        <v>0.99938819999999995</v>
      </c>
      <c r="Q7741">
        <v>-3.2282970000000001E-2</v>
      </c>
      <c r="R7741">
        <v>-1.345264E-2</v>
      </c>
      <c r="S7741">
        <v>2.9954830000000001</v>
      </c>
      <c r="T7741">
        <v>-0.1374407</v>
      </c>
      <c r="U7741">
        <v>-0.15173339999999999</v>
      </c>
      <c r="V7741">
        <v>1.070603E-2</v>
      </c>
      <c r="W7741">
        <v>-1.700192E-2</v>
      </c>
      <c r="X7741">
        <v>0.99979810000000002</v>
      </c>
      <c r="Y7741">
        <v>4.7792210000000002E-2</v>
      </c>
      <c r="Z7741">
        <v>-9.6897110000000004E-4</v>
      </c>
      <c r="AA7741">
        <v>0.99885679999999999</v>
      </c>
      <c r="AB7741">
        <v>30</v>
      </c>
      <c r="AC7741">
        <v>24.037799999999901</v>
      </c>
      <c r="AD7741">
        <v>-1.1102003275729999</v>
      </c>
      <c r="AE7741">
        <v>-1.2253499999999899</v>
      </c>
      <c r="AF7741">
        <v>1.1567066391696601</v>
      </c>
      <c r="AG7741">
        <v>-1.1102003275729999</v>
      </c>
      <c r="AH7741">
        <v>23.9900416097828</v>
      </c>
      <c r="AI7741">
        <v>92.646547668332204</v>
      </c>
      <c r="AJ7741">
        <v>87.239557853102994</v>
      </c>
      <c r="AK7741">
        <v>24.043556547556602</v>
      </c>
      <c r="AL7741">
        <v>90.974185233791204</v>
      </c>
      <c r="AM7741">
        <v>89.386489241866698</v>
      </c>
      <c r="AN7741">
        <v>0.99999996256282797</v>
      </c>
    </row>
    <row r="7742" spans="1:40" x14ac:dyDescent="0.25">
      <c r="A7742" t="str">
        <f>"20190312154114289"</f>
        <v>20190312154114289</v>
      </c>
      <c r="B7742" t="str">
        <f>"1552376474283766"</f>
        <v>1552376474283766</v>
      </c>
      <c r="C7742" t="s">
        <v>40</v>
      </c>
      <c r="D7742">
        <v>4.3740430000000003</v>
      </c>
      <c r="E7742">
        <v>0.51422939999999995</v>
      </c>
      <c r="F7742" t="s">
        <v>42</v>
      </c>
      <c r="G7742">
        <v>-340.87450000000001</v>
      </c>
      <c r="H7742" s="1">
        <v>-4.5075310000000003E-6</v>
      </c>
      <c r="I7742">
        <v>16.175090000000001</v>
      </c>
      <c r="J7742">
        <v>-365.16079999999999</v>
      </c>
      <c r="K7742">
        <v>1.1101920000000001</v>
      </c>
      <c r="L7742">
        <v>17.430019999999999</v>
      </c>
      <c r="M7742">
        <v>0.99987950000000003</v>
      </c>
      <c r="N7742">
        <v>0</v>
      </c>
      <c r="O7742">
        <v>-2.706225E-3</v>
      </c>
      <c r="P7742">
        <v>0.99936349999999996</v>
      </c>
      <c r="Q7742">
        <v>-3.2612660000000002E-2</v>
      </c>
      <c r="R7742">
        <v>-1.4469249999999999E-2</v>
      </c>
      <c r="S7742">
        <v>2.9953919999999998</v>
      </c>
      <c r="T7742">
        <v>-0.13603970000000001</v>
      </c>
      <c r="U7742">
        <v>-0.15380859999999999</v>
      </c>
      <c r="V7742">
        <v>1.176878E-2</v>
      </c>
      <c r="W7742">
        <v>-1.732419E-2</v>
      </c>
      <c r="X7742">
        <v>0.99978069999999997</v>
      </c>
      <c r="Y7742">
        <v>4.8530570000000002E-2</v>
      </c>
      <c r="Z7742">
        <v>-9.7797360000000002E-4</v>
      </c>
      <c r="AA7742">
        <v>0.99882119999999996</v>
      </c>
      <c r="AB7742">
        <v>30</v>
      </c>
      <c r="AC7742">
        <v>24.286299999999901</v>
      </c>
      <c r="AD7742">
        <v>-1.1101965075309901</v>
      </c>
      <c r="AE7742">
        <v>-1.2549300000000001</v>
      </c>
      <c r="AF7742">
        <v>1.1867202852916101</v>
      </c>
      <c r="AG7742">
        <v>-1.1101965075309901</v>
      </c>
      <c r="AH7742">
        <v>24.239090829161398</v>
      </c>
      <c r="AI7742">
        <v>92.619290088705696</v>
      </c>
      <c r="AJ7742">
        <v>87.197097220982002</v>
      </c>
      <c r="AK7742">
        <v>24.293504595780199</v>
      </c>
      <c r="AL7742">
        <v>90.992652588813002</v>
      </c>
      <c r="AM7742">
        <v>89.325581818333504</v>
      </c>
      <c r="AN7742">
        <v>1.00000003991716</v>
      </c>
    </row>
    <row r="7743" spans="1:40" x14ac:dyDescent="0.25">
      <c r="A7743" t="str">
        <f>"20190312154114307"</f>
        <v>20190312154114307</v>
      </c>
      <c r="B7743" t="str">
        <f>"1552376474293525"</f>
        <v>1552376474293525</v>
      </c>
      <c r="C7743" t="s">
        <v>40</v>
      </c>
      <c r="D7743">
        <v>4.4020919999999997</v>
      </c>
      <c r="E7743">
        <v>0.5126387</v>
      </c>
      <c r="F7743" t="s">
        <v>42</v>
      </c>
      <c r="G7743">
        <v>-340.66410000000002</v>
      </c>
      <c r="H7743" s="1">
        <v>-4.6020140000000001E-6</v>
      </c>
      <c r="I7743">
        <v>16.15128</v>
      </c>
      <c r="J7743">
        <v>-364.9221</v>
      </c>
      <c r="K7743">
        <v>1.110193</v>
      </c>
      <c r="L7743">
        <v>17.429500000000001</v>
      </c>
      <c r="M7743">
        <v>0.99987950000000003</v>
      </c>
      <c r="N7743">
        <v>0</v>
      </c>
      <c r="O7743">
        <v>-2.636865E-3</v>
      </c>
      <c r="P7743">
        <v>0.99935130000000005</v>
      </c>
      <c r="Q7743">
        <v>-3.2478899999999998E-2</v>
      </c>
      <c r="R7743">
        <v>-1.55722E-2</v>
      </c>
      <c r="S7743">
        <v>2.995209</v>
      </c>
      <c r="T7743">
        <v>-0.13574330000000001</v>
      </c>
      <c r="U7743">
        <v>-0.1563416</v>
      </c>
      <c r="V7743">
        <v>1.2940510000000001E-2</v>
      </c>
      <c r="W7743">
        <v>-1.7180279999999999E-2</v>
      </c>
      <c r="X7743">
        <v>0.99976869999999995</v>
      </c>
      <c r="Y7743">
        <v>4.944457E-2</v>
      </c>
      <c r="Z7743">
        <v>-9.9970960000000009E-4</v>
      </c>
      <c r="AA7743">
        <v>0.99877640000000001</v>
      </c>
      <c r="AB7743">
        <v>30</v>
      </c>
      <c r="AC7743">
        <v>24.2579999999999</v>
      </c>
      <c r="AD7743">
        <v>-1.1101976020139901</v>
      </c>
      <c r="AE7743">
        <v>-1.2782199999999999</v>
      </c>
      <c r="AF7743">
        <v>1.21171203443594</v>
      </c>
      <c r="AG7743">
        <v>-1.1101976020139901</v>
      </c>
      <c r="AH7743">
        <v>24.21071640461</v>
      </c>
      <c r="AI7743">
        <v>92.622217231189197</v>
      </c>
      <c r="AJ7743">
        <v>87.134818156889907</v>
      </c>
      <c r="AK7743">
        <v>24.266428941942898</v>
      </c>
      <c r="AL7743">
        <v>90.984405929846403</v>
      </c>
      <c r="AM7743">
        <v>89.258433269058898</v>
      </c>
      <c r="AN7743">
        <v>1.00000003615981</v>
      </c>
    </row>
    <row r="7744" spans="1:40" x14ac:dyDescent="0.25">
      <c r="A7744" t="str">
        <f>"20190312154114318"</f>
        <v>20190312154114318</v>
      </c>
      <c r="B7744" t="str">
        <f>"1552376474313553"</f>
        <v>1552376474313553</v>
      </c>
      <c r="C7744" t="s">
        <v>40</v>
      </c>
      <c r="D7744">
        <v>4.3477880000000004</v>
      </c>
      <c r="E7744">
        <v>0.51269480000000001</v>
      </c>
      <c r="F7744" t="s">
        <v>42</v>
      </c>
      <c r="G7744">
        <v>-334.01400000000001</v>
      </c>
      <c r="H7744" s="1">
        <v>-3.207821E-6</v>
      </c>
      <c r="I7744">
        <v>15.9095</v>
      </c>
      <c r="J7744">
        <v>-364.7765</v>
      </c>
      <c r="K7744">
        <v>1.110195</v>
      </c>
      <c r="L7744">
        <v>17.42914</v>
      </c>
      <c r="M7744">
        <v>0.99987950000000003</v>
      </c>
      <c r="N7744">
        <v>0</v>
      </c>
      <c r="O7744">
        <v>-2.5943149999999998E-3</v>
      </c>
      <c r="P7744">
        <v>0.99934060000000002</v>
      </c>
      <c r="Q7744">
        <v>-3.2402390000000003E-2</v>
      </c>
      <c r="R7744">
        <v>-1.6401530000000001E-2</v>
      </c>
      <c r="S7744">
        <v>2.9961850000000001</v>
      </c>
      <c r="T7744">
        <v>-0.1076206</v>
      </c>
      <c r="U7744">
        <v>-0.14733889999999999</v>
      </c>
      <c r="V7744">
        <v>1.3812130000000001E-2</v>
      </c>
      <c r="W7744">
        <v>-1.7098240000000001E-2</v>
      </c>
      <c r="X7744">
        <v>0.99975840000000005</v>
      </c>
      <c r="Y7744">
        <v>4.6496240000000001E-2</v>
      </c>
      <c r="Z7744">
        <v>-7.4117249999999997E-4</v>
      </c>
      <c r="AA7744">
        <v>0.99891819999999998</v>
      </c>
      <c r="AB7744">
        <v>30</v>
      </c>
      <c r="AC7744">
        <v>30.7624999999999</v>
      </c>
      <c r="AD7744">
        <v>-1.110198207821</v>
      </c>
      <c r="AE7744">
        <v>-1.5196400000000001</v>
      </c>
      <c r="AF7744">
        <v>1.4379496360680299</v>
      </c>
      <c r="AG7744">
        <v>-1.110198207821</v>
      </c>
      <c r="AH7744">
        <v>30.726417438401398</v>
      </c>
      <c r="AI7744">
        <v>92.067034393706393</v>
      </c>
      <c r="AJ7744">
        <v>87.320599509297594</v>
      </c>
      <c r="AK7744">
        <v>30.7800742009407</v>
      </c>
      <c r="AL7744">
        <v>90.979704737409605</v>
      </c>
      <c r="AM7744">
        <v>89.208482357761895</v>
      </c>
      <c r="AN7744">
        <v>0.99999999155839703</v>
      </c>
    </row>
    <row r="7745" spans="1:40" x14ac:dyDescent="0.25">
      <c r="A7745" t="str">
        <f>"20190312154114329"</f>
        <v>20190312154114329</v>
      </c>
      <c r="B7745" t="str">
        <f>"1552376474324288"</f>
        <v>1552376474324288</v>
      </c>
      <c r="C7745" t="s">
        <v>40</v>
      </c>
      <c r="D7745">
        <v>4.3603459999999998</v>
      </c>
      <c r="E7745">
        <v>0.51279540000000001</v>
      </c>
      <c r="F7745" t="s">
        <v>42</v>
      </c>
      <c r="G7745">
        <v>-334.2457</v>
      </c>
      <c r="H7745" s="1">
        <v>-3.1104969999999998E-6</v>
      </c>
      <c r="I7745">
        <v>15.897729999999999</v>
      </c>
      <c r="J7745">
        <v>-364.61939999999998</v>
      </c>
      <c r="K7745">
        <v>1.1101970000000001</v>
      </c>
      <c r="L7745">
        <v>17.428799999999999</v>
      </c>
      <c r="M7745">
        <v>0.99987969999999904</v>
      </c>
      <c r="N7745">
        <v>0</v>
      </c>
      <c r="O7745">
        <v>-2.546853E-3</v>
      </c>
      <c r="P7745">
        <v>0.99934920000000005</v>
      </c>
      <c r="Q7745">
        <v>-3.1907140000000001E-2</v>
      </c>
      <c r="R7745">
        <v>-1.6837069999999999E-2</v>
      </c>
      <c r="S7745">
        <v>2.9959720000000001</v>
      </c>
      <c r="T7745">
        <v>-0.108943</v>
      </c>
      <c r="U7745">
        <v>-0.1502686</v>
      </c>
      <c r="V7745">
        <v>1.429513E-2</v>
      </c>
      <c r="W7745">
        <v>-1.659799E-2</v>
      </c>
      <c r="X7745">
        <v>0.99975999999999998</v>
      </c>
      <c r="Y7745">
        <v>4.7520140000000002E-2</v>
      </c>
      <c r="Z7745">
        <v>-7.7063160000000002E-4</v>
      </c>
      <c r="AA7745">
        <v>0.99887000000000004</v>
      </c>
      <c r="AB7745">
        <v>30</v>
      </c>
      <c r="AC7745">
        <v>30.3736999999999</v>
      </c>
      <c r="AD7745">
        <v>-1.1102001104969901</v>
      </c>
      <c r="AE7745">
        <v>-1.5310699999999899</v>
      </c>
      <c r="AF7745">
        <v>1.45176398413427</v>
      </c>
      <c r="AG7745">
        <v>-1.1102001104969901</v>
      </c>
      <c r="AH7745">
        <v>30.3370736654417</v>
      </c>
      <c r="AI7745">
        <v>92.093438393367506</v>
      </c>
      <c r="AJ7745">
        <v>87.260232091320702</v>
      </c>
      <c r="AK7745">
        <v>30.3920746500368</v>
      </c>
      <c r="AL7745">
        <v>90.951038493047093</v>
      </c>
      <c r="AM7745">
        <v>89.180808588613999</v>
      </c>
      <c r="AN7745">
        <v>0.99999995080687698</v>
      </c>
    </row>
    <row r="7746" spans="1:40" x14ac:dyDescent="0.25">
      <c r="A7746" t="str">
        <f>"20190312154114341"</f>
        <v>20190312154114341</v>
      </c>
      <c r="B7746" t="str">
        <f>"1552376474334049"</f>
        <v>1552376474334049</v>
      </c>
      <c r="C7746" t="s">
        <v>40</v>
      </c>
      <c r="D7746">
        <v>4.3622059999999996</v>
      </c>
      <c r="E7746">
        <v>0.512822</v>
      </c>
      <c r="F7746" t="s">
        <v>42</v>
      </c>
      <c r="G7746">
        <v>-333.48970000000003</v>
      </c>
      <c r="H7746" s="1">
        <v>-3.4441600000000002E-6</v>
      </c>
      <c r="I7746">
        <v>15.84515</v>
      </c>
      <c r="J7746">
        <v>-364.46800000000002</v>
      </c>
      <c r="K7746">
        <v>1.1102000000000001</v>
      </c>
      <c r="L7746">
        <v>17.428470000000001</v>
      </c>
      <c r="M7746">
        <v>0.99987950000000003</v>
      </c>
      <c r="N7746">
        <v>0</v>
      </c>
      <c r="O7746">
        <v>-2.5002140000000002E-3</v>
      </c>
      <c r="P7746">
        <v>0.99935379999999996</v>
      </c>
      <c r="Q7746">
        <v>-3.1696009999999997E-2</v>
      </c>
      <c r="R7746">
        <v>-1.694584E-2</v>
      </c>
      <c r="S7746">
        <v>2.9959720000000001</v>
      </c>
      <c r="T7746">
        <v>-0.1068474</v>
      </c>
      <c r="U7746">
        <v>-0.15240479999999901</v>
      </c>
      <c r="V7746">
        <v>1.4450370000000001E-2</v>
      </c>
      <c r="W7746">
        <v>-1.638249E-2</v>
      </c>
      <c r="X7746">
        <v>0.99976129999999996</v>
      </c>
      <c r="Y7746">
        <v>4.8277750000000001E-2</v>
      </c>
      <c r="Z7746">
        <v>-7.709622E-4</v>
      </c>
      <c r="AA7746">
        <v>0.99883370000000005</v>
      </c>
      <c r="AB7746">
        <v>30</v>
      </c>
      <c r="AC7746">
        <v>30.978299999999901</v>
      </c>
      <c r="AD7746">
        <v>-1.1102034441599999</v>
      </c>
      <c r="AE7746">
        <v>-1.5833200000000001</v>
      </c>
      <c r="AF7746">
        <v>1.5039270135777301</v>
      </c>
      <c r="AG7746">
        <v>-1.1102034441599999</v>
      </c>
      <c r="AH7746">
        <v>30.942524169485502</v>
      </c>
      <c r="AI7746">
        <v>92.052443801926003</v>
      </c>
      <c r="AJ7746">
        <v>87.217392060861698</v>
      </c>
      <c r="AK7746">
        <v>30.998937887108099</v>
      </c>
      <c r="AL7746">
        <v>90.938689594148002</v>
      </c>
      <c r="AM7746">
        <v>89.171914771577207</v>
      </c>
      <c r="AN7746">
        <v>0.99999992807471005</v>
      </c>
    </row>
    <row r="7747" spans="1:40" x14ac:dyDescent="0.25">
      <c r="A7747" t="str">
        <f>"20190312154114352"</f>
        <v>20190312154114352</v>
      </c>
      <c r="B7747" t="str">
        <f>"1552376474343808"</f>
        <v>1552376474343808</v>
      </c>
      <c r="C7747" t="s">
        <v>40</v>
      </c>
      <c r="D7747">
        <v>4.4010680000000004</v>
      </c>
      <c r="E7747">
        <v>0.51271529999999998</v>
      </c>
      <c r="F7747" t="s">
        <v>42</v>
      </c>
      <c r="G7747">
        <v>-333.34379999999999</v>
      </c>
      <c r="H7747" s="1">
        <v>-3.5076250000000001E-6</v>
      </c>
      <c r="I7747">
        <v>15.84003</v>
      </c>
      <c r="J7747">
        <v>-364.30720000000002</v>
      </c>
      <c r="K7747">
        <v>1.1102019999999999</v>
      </c>
      <c r="L7747">
        <v>17.428129999999999</v>
      </c>
      <c r="M7747">
        <v>0.99987979999999999</v>
      </c>
      <c r="N7747">
        <v>0</v>
      </c>
      <c r="O7747">
        <v>-2.4492749999999999E-3</v>
      </c>
      <c r="P7747">
        <v>0.99936849999999999</v>
      </c>
      <c r="Q7747">
        <v>-3.1332840000000001E-2</v>
      </c>
      <c r="R7747">
        <v>-1.6767130000000002E-2</v>
      </c>
      <c r="S7747">
        <v>2.9959720000000001</v>
      </c>
      <c r="T7747">
        <v>-0.1068667</v>
      </c>
      <c r="U7747">
        <v>-0.1528931</v>
      </c>
      <c r="V7747">
        <v>1.4322430000000001E-2</v>
      </c>
      <c r="W7747">
        <v>-1.60153E-2</v>
      </c>
      <c r="X7747">
        <v>0.99976920000000002</v>
      </c>
      <c r="Y7747">
        <v>4.8490819999999997E-2</v>
      </c>
      <c r="Z7747">
        <v>-7.767103E-4</v>
      </c>
      <c r="AA7747">
        <v>0.99882329999999997</v>
      </c>
      <c r="AB7747">
        <v>30</v>
      </c>
      <c r="AC7747">
        <v>30.9634</v>
      </c>
      <c r="AD7747">
        <v>-1.1102055076249999</v>
      </c>
      <c r="AE7747">
        <v>-1.5881000000000001</v>
      </c>
      <c r="AF7747">
        <v>1.5103118859509701</v>
      </c>
      <c r="AG7747">
        <v>-1.1102055076249999</v>
      </c>
      <c r="AH7747">
        <v>30.927540798385401</v>
      </c>
      <c r="AI7747">
        <v>92.053418170827499</v>
      </c>
      <c r="AJ7747">
        <v>87.204245627649698</v>
      </c>
      <c r="AK7747">
        <v>30.984292441458098</v>
      </c>
      <c r="AL7747">
        <v>90.917648293935798</v>
      </c>
      <c r="AM7747">
        <v>89.179251910419296</v>
      </c>
      <c r="AN7747">
        <v>1.00000003755191</v>
      </c>
    </row>
    <row r="7748" spans="1:40" x14ac:dyDescent="0.25">
      <c r="A7748" t="str">
        <f>"20190312154114364"</f>
        <v>20190312154114364</v>
      </c>
      <c r="B7748" t="str">
        <f>"1552376474353569"</f>
        <v>1552376474353569</v>
      </c>
      <c r="C7748" t="s">
        <v>40</v>
      </c>
      <c r="D7748">
        <v>4.3817750000000002</v>
      </c>
      <c r="E7748">
        <v>0.51271529999999998</v>
      </c>
      <c r="F7748" t="s">
        <v>42</v>
      </c>
      <c r="G7748">
        <v>-332.83449999999999</v>
      </c>
      <c r="H7748" s="1">
        <v>-3.7267729999999999E-6</v>
      </c>
      <c r="I7748">
        <v>15.836370000000001</v>
      </c>
      <c r="J7748">
        <v>-364.16399999999999</v>
      </c>
      <c r="K7748">
        <v>1.110204</v>
      </c>
      <c r="L7748">
        <v>17.427800000000001</v>
      </c>
      <c r="M7748">
        <v>0.99987969999999904</v>
      </c>
      <c r="N7748">
        <v>0</v>
      </c>
      <c r="O7748">
        <v>-2.40237E-3</v>
      </c>
      <c r="P7748">
        <v>0.99937229999999999</v>
      </c>
      <c r="Q7748">
        <v>-3.1256760000000001E-2</v>
      </c>
      <c r="R7748">
        <v>-1.6673759999999999E-2</v>
      </c>
      <c r="S7748">
        <v>2.9960330000000002</v>
      </c>
      <c r="T7748">
        <v>-0.1056856</v>
      </c>
      <c r="U7748">
        <v>-0.15151979999999901</v>
      </c>
      <c r="V7748">
        <v>1.4275670000000001E-2</v>
      </c>
      <c r="W7748">
        <v>-1.5936280000000001E-2</v>
      </c>
      <c r="X7748">
        <v>0.99977110000000002</v>
      </c>
      <c r="Y7748">
        <v>4.8080869999999998E-2</v>
      </c>
      <c r="Z7748">
        <v>-7.625539E-4</v>
      </c>
      <c r="AA7748">
        <v>0.99884309999999998</v>
      </c>
      <c r="AB7748">
        <v>30</v>
      </c>
      <c r="AC7748">
        <v>31.329499999999999</v>
      </c>
      <c r="AD7748">
        <v>-1.1102077267729999</v>
      </c>
      <c r="AE7748">
        <v>-1.5914299999999999</v>
      </c>
      <c r="AF7748">
        <v>1.5142548927826001</v>
      </c>
      <c r="AG7748">
        <v>-1.1102077267729999</v>
      </c>
      <c r="AH7748">
        <v>31.2940370214111</v>
      </c>
      <c r="AI7748">
        <v>92.029437949164006</v>
      </c>
      <c r="AJ7748">
        <v>87.229734345580695</v>
      </c>
      <c r="AK7748">
        <v>31.350315503585499</v>
      </c>
      <c r="AL7748">
        <v>90.913120232463598</v>
      </c>
      <c r="AM7748">
        <v>89.181932685980897</v>
      </c>
      <c r="AN7748">
        <v>1.0000000060846901</v>
      </c>
    </row>
    <row r="7749" spans="1:40" x14ac:dyDescent="0.25">
      <c r="A7749" t="str">
        <f>"20190312154114375"</f>
        <v>20190312154114375</v>
      </c>
      <c r="B7749" t="str">
        <f>"1552376474364305"</f>
        <v>1552376474364305</v>
      </c>
      <c r="C7749" t="s">
        <v>40</v>
      </c>
      <c r="D7749">
        <v>4.385345</v>
      </c>
      <c r="E7749">
        <v>0.51274770000000003</v>
      </c>
      <c r="F7749" t="s">
        <v>42</v>
      </c>
      <c r="G7749">
        <v>-332.62540000000001</v>
      </c>
      <c r="H7749" s="1">
        <v>-3.8166629999999998E-6</v>
      </c>
      <c r="I7749">
        <v>15.83527</v>
      </c>
      <c r="J7749">
        <v>-364.01799999999997</v>
      </c>
      <c r="K7749">
        <v>1.110204</v>
      </c>
      <c r="L7749">
        <v>17.427520000000001</v>
      </c>
      <c r="M7749">
        <v>0.99987979999999999</v>
      </c>
      <c r="N7749">
        <v>0</v>
      </c>
      <c r="O7749">
        <v>-2.35403E-3</v>
      </c>
      <c r="P7749">
        <v>0.9993824</v>
      </c>
      <c r="Q7749">
        <v>-3.09742E-2</v>
      </c>
      <c r="R7749">
        <v>-1.6609809999999999E-2</v>
      </c>
      <c r="S7749">
        <v>2.9960330000000002</v>
      </c>
      <c r="T7749">
        <v>-0.1054652</v>
      </c>
      <c r="U7749">
        <v>-0.15127560000000001</v>
      </c>
      <c r="V7749">
        <v>1.425977E-2</v>
      </c>
      <c r="W7749">
        <v>-1.5650939999999999E-2</v>
      </c>
      <c r="X7749">
        <v>0.99977579999999999</v>
      </c>
      <c r="Y7749">
        <v>4.8048059999999997E-2</v>
      </c>
      <c r="Z7749">
        <v>-7.620894E-4</v>
      </c>
      <c r="AA7749">
        <v>0.99884470000000003</v>
      </c>
      <c r="AB7749">
        <v>30</v>
      </c>
      <c r="AC7749">
        <v>31.392600000000002</v>
      </c>
      <c r="AD7749">
        <v>-1.1102078166630001</v>
      </c>
      <c r="AE7749">
        <v>-1.5922499999999999</v>
      </c>
      <c r="AF7749">
        <v>1.51644603014146</v>
      </c>
      <c r="AG7749">
        <v>-1.1102078166630001</v>
      </c>
      <c r="AH7749">
        <v>31.357143821508998</v>
      </c>
      <c r="AI7749">
        <v>92.025359924872106</v>
      </c>
      <c r="AJ7749">
        <v>87.231306576433596</v>
      </c>
      <c r="AK7749">
        <v>31.4134149465051</v>
      </c>
      <c r="AL7749">
        <v>90.896769446310003</v>
      </c>
      <c r="AM7749">
        <v>89.182847552885804</v>
      </c>
      <c r="AN7749">
        <v>0.99999997161448695</v>
      </c>
    </row>
    <row r="7750" spans="1:40" x14ac:dyDescent="0.25">
      <c r="A7750" t="str">
        <f>"20190312154114387"</f>
        <v>20190312154114387</v>
      </c>
      <c r="B7750" t="str">
        <f>"1552376474383824"</f>
        <v>1552376474383824</v>
      </c>
      <c r="C7750" t="s">
        <v>40</v>
      </c>
      <c r="D7750">
        <v>4.3720339999999904</v>
      </c>
      <c r="E7750">
        <v>0.51289439999999997</v>
      </c>
      <c r="F7750" t="s">
        <v>42</v>
      </c>
      <c r="G7750">
        <v>-342.16300000000001</v>
      </c>
      <c r="H7750" s="1">
        <v>-3.9276189999999998E-6</v>
      </c>
      <c r="I7750">
        <v>16.32809</v>
      </c>
      <c r="J7750">
        <v>-363.85980000000001</v>
      </c>
      <c r="K7750">
        <v>1.110206</v>
      </c>
      <c r="L7750">
        <v>17.42719</v>
      </c>
      <c r="M7750">
        <v>0.99987999999999999</v>
      </c>
      <c r="N7750">
        <v>0</v>
      </c>
      <c r="O7750">
        <v>-2.3004380000000001E-3</v>
      </c>
      <c r="P7750">
        <v>0.99938800000000005</v>
      </c>
      <c r="Q7750">
        <v>-3.0869600000000001E-2</v>
      </c>
      <c r="R7750">
        <v>-1.6474639999999999E-2</v>
      </c>
      <c r="S7750">
        <v>2.9946290000000002</v>
      </c>
      <c r="T7750">
        <v>-0.15212339999999999</v>
      </c>
      <c r="U7750">
        <v>-0.15063480000000001</v>
      </c>
      <c r="V7750">
        <v>1.4178100000000001E-2</v>
      </c>
      <c r="W7750">
        <v>-1.554407E-2</v>
      </c>
      <c r="X7750">
        <v>0.99977859999999996</v>
      </c>
      <c r="Y7750">
        <v>4.788158E-2</v>
      </c>
      <c r="Z7750">
        <v>-1.09789E-3</v>
      </c>
      <c r="AA7750">
        <v>0.99885239999999997</v>
      </c>
      <c r="AB7750">
        <v>30</v>
      </c>
      <c r="AC7750">
        <v>21.6968</v>
      </c>
      <c r="AD7750">
        <v>-1.1102099276189901</v>
      </c>
      <c r="AE7750">
        <v>-1.0991</v>
      </c>
      <c r="AF7750">
        <v>1.04644619634085</v>
      </c>
      <c r="AG7750">
        <v>-1.1102099276189901</v>
      </c>
      <c r="AH7750">
        <v>21.642749192604501</v>
      </c>
      <c r="AI7750">
        <v>92.933111977322199</v>
      </c>
      <c r="AJ7750">
        <v>87.2318538274654</v>
      </c>
      <c r="AK7750">
        <v>21.696456123966499</v>
      </c>
      <c r="AL7750">
        <v>90.8906455268515</v>
      </c>
      <c r="AM7750">
        <v>89.187529277157395</v>
      </c>
      <c r="AN7750">
        <v>0.99999994282486504</v>
      </c>
    </row>
    <row r="7751" spans="1:40" x14ac:dyDescent="0.25">
      <c r="A7751" t="str">
        <f>"20190312154114401"</f>
        <v>20190312154114401</v>
      </c>
      <c r="B7751" t="str">
        <f>"1552376474393585"</f>
        <v>1552376474393585</v>
      </c>
      <c r="C7751" t="s">
        <v>40</v>
      </c>
      <c r="D7751">
        <v>4.3901329999999996</v>
      </c>
      <c r="E7751">
        <v>0.51300020000000002</v>
      </c>
      <c r="F7751" t="s">
        <v>42</v>
      </c>
      <c r="G7751">
        <v>-341.72149999999999</v>
      </c>
      <c r="H7751" s="1">
        <v>-4.1205919999999998E-6</v>
      </c>
      <c r="I7751">
        <v>16.30789</v>
      </c>
      <c r="J7751">
        <v>-363.68630000000002</v>
      </c>
      <c r="K7751">
        <v>1.110209</v>
      </c>
      <c r="L7751">
        <v>17.426880000000001</v>
      </c>
      <c r="M7751">
        <v>0.99987999999999999</v>
      </c>
      <c r="N7751">
        <v>0</v>
      </c>
      <c r="O7751">
        <v>-2.2412420000000001E-3</v>
      </c>
      <c r="P7751">
        <v>0.99939440000000002</v>
      </c>
      <c r="Q7751">
        <v>-3.0753969999999999E-2</v>
      </c>
      <c r="R7751">
        <v>-1.629191E-2</v>
      </c>
      <c r="S7751">
        <v>2.9946899999999999</v>
      </c>
      <c r="T7751">
        <v>-0.15018010000000001</v>
      </c>
      <c r="U7751">
        <v>-0.1513977</v>
      </c>
      <c r="V7751">
        <v>1.405446E-2</v>
      </c>
      <c r="W7751">
        <v>-1.542629E-2</v>
      </c>
      <c r="X7751">
        <v>0.99978219999999995</v>
      </c>
      <c r="Y7751">
        <v>4.8194540000000001E-2</v>
      </c>
      <c r="Z7751">
        <v>-1.0946560000000001E-3</v>
      </c>
      <c r="AA7751">
        <v>0.99883739999999999</v>
      </c>
      <c r="AB7751">
        <v>29</v>
      </c>
      <c r="AC7751">
        <v>21.9648</v>
      </c>
      <c r="AD7751">
        <v>-1.1102131205920001</v>
      </c>
      <c r="AE7751">
        <v>-1.1189899999999999</v>
      </c>
      <c r="AF7751">
        <v>1.0670339624860901</v>
      </c>
      <c r="AG7751">
        <v>-1.1102131205920001</v>
      </c>
      <c r="AH7751">
        <v>21.911418494287101</v>
      </c>
      <c r="AI7751">
        <v>92.897168721784894</v>
      </c>
      <c r="AJ7751">
        <v>87.212034276852194</v>
      </c>
      <c r="AK7751">
        <v>21.965459136608601</v>
      </c>
      <c r="AL7751">
        <v>90.883896393771394</v>
      </c>
      <c r="AM7751">
        <v>89.194616383433797</v>
      </c>
      <c r="AN7751">
        <v>0.99999997285294695</v>
      </c>
    </row>
    <row r="7752" spans="1:40" x14ac:dyDescent="0.25">
      <c r="A7752" t="str">
        <f>"20190312154114413"</f>
        <v>20190312154114413</v>
      </c>
      <c r="B7752" t="str">
        <f>"1552376474404320"</f>
        <v>1552376474404320</v>
      </c>
      <c r="C7752" t="s">
        <v>40</v>
      </c>
      <c r="D7752">
        <v>4.3846309999999997</v>
      </c>
      <c r="E7752">
        <v>0.51318490000000005</v>
      </c>
      <c r="F7752" t="s">
        <v>42</v>
      </c>
      <c r="G7752">
        <v>-341.69420000000002</v>
      </c>
      <c r="H7752" s="1">
        <v>-4.1314139999999999E-6</v>
      </c>
      <c r="I7752">
        <v>16.31296</v>
      </c>
      <c r="J7752">
        <v>-363.50330000000002</v>
      </c>
      <c r="K7752">
        <v>1.110209</v>
      </c>
      <c r="L7752">
        <v>17.42651</v>
      </c>
      <c r="M7752">
        <v>0.99988010000000005</v>
      </c>
      <c r="N7752">
        <v>0</v>
      </c>
      <c r="O7752">
        <v>-2.1781019999999999E-3</v>
      </c>
      <c r="P7752">
        <v>0.99939920000000004</v>
      </c>
      <c r="Q7752">
        <v>-3.0640730000000001E-2</v>
      </c>
      <c r="R7752">
        <v>-1.6208589999999998E-2</v>
      </c>
      <c r="S7752">
        <v>2.9946899999999999</v>
      </c>
      <c r="T7752">
        <v>-0.1511787</v>
      </c>
      <c r="U7752">
        <v>-0.15167240000000001</v>
      </c>
      <c r="V7752">
        <v>1.4034080000000001E-2</v>
      </c>
      <c r="W7752">
        <v>-1.5311419999999999E-2</v>
      </c>
      <c r="X7752">
        <v>0.99978429999999996</v>
      </c>
      <c r="Y7752">
        <v>4.8347950000000001E-2</v>
      </c>
      <c r="Z7752">
        <v>-1.108974E-3</v>
      </c>
      <c r="AA7752">
        <v>0.99883</v>
      </c>
      <c r="AB7752">
        <v>29</v>
      </c>
      <c r="AC7752">
        <v>21.809100000000001</v>
      </c>
      <c r="AD7752">
        <v>-1.110213131414</v>
      </c>
      <c r="AE7752">
        <v>-1.11355</v>
      </c>
      <c r="AF7752">
        <v>1.06329106481725</v>
      </c>
      <c r="AG7752">
        <v>-1.110213131414</v>
      </c>
      <c r="AH7752">
        <v>21.755243660186601</v>
      </c>
      <c r="AI7752">
        <v>92.917905732375502</v>
      </c>
      <c r="AJ7752">
        <v>87.201886087137396</v>
      </c>
      <c r="AK7752">
        <v>21.809488480929001</v>
      </c>
      <c r="AL7752">
        <v>90.877314007941493</v>
      </c>
      <c r="AM7752">
        <v>89.195785784372404</v>
      </c>
      <c r="AN7752">
        <v>1.00000002075517</v>
      </c>
    </row>
    <row r="7753" spans="1:40" x14ac:dyDescent="0.25">
      <c r="A7753" t="str">
        <f>"20190312154114432"</f>
        <v>20190312154114432</v>
      </c>
      <c r="B7753" t="str">
        <f>"1552376474424346"</f>
        <v>1552376474424346</v>
      </c>
      <c r="C7753" t="s">
        <v>40</v>
      </c>
      <c r="D7753">
        <v>4.3946709999999998</v>
      </c>
      <c r="E7753">
        <v>0.51330310000000001</v>
      </c>
      <c r="F7753" t="s">
        <v>42</v>
      </c>
      <c r="G7753">
        <v>-341.5865</v>
      </c>
      <c r="H7753" s="1">
        <v>-4.1785319999999999E-6</v>
      </c>
      <c r="I7753">
        <v>16.307929999999999</v>
      </c>
      <c r="J7753">
        <v>-363.2808</v>
      </c>
      <c r="K7753">
        <v>1.110214</v>
      </c>
      <c r="L7753">
        <v>17.426120000000001</v>
      </c>
      <c r="M7753">
        <v>0.99988030000000006</v>
      </c>
      <c r="N7753">
        <v>0</v>
      </c>
      <c r="O7753">
        <v>-2.1012499999999998E-3</v>
      </c>
      <c r="P7753">
        <v>0.99939290000000003</v>
      </c>
      <c r="Q7753">
        <v>-3.069359E-2</v>
      </c>
      <c r="R7753">
        <v>-1.647962E-2</v>
      </c>
      <c r="S7753">
        <v>2.99472</v>
      </c>
      <c r="T7753">
        <v>-0.15169949999999999</v>
      </c>
      <c r="U7753">
        <v>-0.152832</v>
      </c>
      <c r="V7753">
        <v>1.438237E-2</v>
      </c>
      <c r="W7753">
        <v>-1.5363099999999999E-2</v>
      </c>
      <c r="X7753">
        <v>0.99977850000000001</v>
      </c>
      <c r="Y7753">
        <v>4.8808890000000001E-2</v>
      </c>
      <c r="Z7753">
        <v>-1.128315E-3</v>
      </c>
      <c r="AA7753">
        <v>0.99880749999999996</v>
      </c>
      <c r="AB7753">
        <v>29</v>
      </c>
      <c r="AC7753">
        <v>21.694299999999998</v>
      </c>
      <c r="AD7753">
        <v>-1.110218178532</v>
      </c>
      <c r="AE7753">
        <v>-1.11819</v>
      </c>
      <c r="AF7753">
        <v>1.0698027020766601</v>
      </c>
      <c r="AG7753">
        <v>-1.110218178532</v>
      </c>
      <c r="AH7753">
        <v>21.640078089955399</v>
      </c>
      <c r="AI7753">
        <v>92.933340136555998</v>
      </c>
      <c r="AJ7753">
        <v>87.169819870412098</v>
      </c>
      <c r="AK7753">
        <v>21.694931250517499</v>
      </c>
      <c r="AL7753">
        <v>90.880275452730004</v>
      </c>
      <c r="AM7753">
        <v>89.175825181894794</v>
      </c>
      <c r="AN7753">
        <v>0.99999996323533702</v>
      </c>
    </row>
    <row r="7754" spans="1:40" x14ac:dyDescent="0.25">
      <c r="A7754" t="str">
        <f>"20190312154114444"</f>
        <v>20190312154114444</v>
      </c>
      <c r="B7754" t="str">
        <f>"1552376474434107"</f>
        <v>1552376474434107</v>
      </c>
      <c r="C7754" t="s">
        <v>40</v>
      </c>
      <c r="D7754">
        <v>4.3954510000000004</v>
      </c>
      <c r="E7754">
        <v>0.51309459999999996</v>
      </c>
      <c r="F7754" t="s">
        <v>42</v>
      </c>
      <c r="G7754">
        <v>-341.65039999999999</v>
      </c>
      <c r="H7754" s="1">
        <v>-4.150796E-6</v>
      </c>
      <c r="I7754">
        <v>16.309739999999898</v>
      </c>
      <c r="J7754">
        <v>-363.1112</v>
      </c>
      <c r="K7754">
        <v>1.1102160000000001</v>
      </c>
      <c r="L7754">
        <v>17.425809999999998</v>
      </c>
      <c r="M7754">
        <v>0.99988049999999995</v>
      </c>
      <c r="N7754">
        <v>0</v>
      </c>
      <c r="O7754">
        <v>-2.0425019999999999E-3</v>
      </c>
      <c r="P7754">
        <v>0.99938570000000004</v>
      </c>
      <c r="Q7754">
        <v>-3.0770820000000001E-2</v>
      </c>
      <c r="R7754">
        <v>-1.6790329999999999E-2</v>
      </c>
      <c r="S7754">
        <v>2.9945680000000001</v>
      </c>
      <c r="T7754">
        <v>-0.153700799999999</v>
      </c>
      <c r="U7754">
        <v>-0.15454100000000001</v>
      </c>
      <c r="V7754">
        <v>1.475135E-2</v>
      </c>
      <c r="W7754">
        <v>-1.543987E-2</v>
      </c>
      <c r="X7754">
        <v>0.99977199999999999</v>
      </c>
      <c r="Y7754">
        <v>4.9436170000000002E-2</v>
      </c>
      <c r="Z7754">
        <v>-1.1623110000000001E-3</v>
      </c>
      <c r="AA7754">
        <v>0.99877660000000001</v>
      </c>
      <c r="AB7754">
        <v>29</v>
      </c>
      <c r="AC7754">
        <v>21.460799999999999</v>
      </c>
      <c r="AD7754">
        <v>-1.1102201507959999</v>
      </c>
      <c r="AE7754">
        <v>-1.1160699999999999</v>
      </c>
      <c r="AF7754">
        <v>1.06937460453935</v>
      </c>
      <c r="AG7754">
        <v>-1.1102201507959999</v>
      </c>
      <c r="AH7754">
        <v>21.405902076681802</v>
      </c>
      <c r="AI7754">
        <v>92.965302120044498</v>
      </c>
      <c r="AJ7754">
        <v>87.140052475238093</v>
      </c>
      <c r="AK7754">
        <v>21.461332543543499</v>
      </c>
      <c r="AL7754">
        <v>90.884674519719297</v>
      </c>
      <c r="AM7754">
        <v>89.154678494641601</v>
      </c>
      <c r="AN7754">
        <v>1.0000000219482099</v>
      </c>
    </row>
    <row r="7755" spans="1:40" x14ac:dyDescent="0.25">
      <c r="A7755" t="str">
        <f>"20190312154114456"</f>
        <v>20190312154114456</v>
      </c>
      <c r="B7755" t="str">
        <f>"1552376474443868"</f>
        <v>1552376474443868</v>
      </c>
      <c r="C7755" t="s">
        <v>40</v>
      </c>
      <c r="D7755">
        <v>4.3274869999999996</v>
      </c>
      <c r="E7755">
        <v>0.51309459999999996</v>
      </c>
      <c r="F7755" t="s">
        <v>42</v>
      </c>
      <c r="G7755">
        <v>-341.36799999999999</v>
      </c>
      <c r="H7755" s="1">
        <v>-4.2720839999999997E-6</v>
      </c>
      <c r="I7755">
        <v>16.30893</v>
      </c>
      <c r="J7755">
        <v>-362.95030000000003</v>
      </c>
      <c r="K7755">
        <v>1.1102190000000001</v>
      </c>
      <c r="L7755">
        <v>17.425539999999899</v>
      </c>
      <c r="M7755">
        <v>0.99988060000000001</v>
      </c>
      <c r="N7755">
        <v>0</v>
      </c>
      <c r="O7755">
        <v>-1.9868500000000001E-3</v>
      </c>
      <c r="P7755">
        <v>0.99938210000000005</v>
      </c>
      <c r="Q7755">
        <v>-3.065124E-2</v>
      </c>
      <c r="R7755">
        <v>-1.7203739999999999E-2</v>
      </c>
      <c r="S7755">
        <v>2.9945369999999998</v>
      </c>
      <c r="T7755">
        <v>-0.15290219999999999</v>
      </c>
      <c r="U7755">
        <v>-0.15380859999999999</v>
      </c>
      <c r="V7755">
        <v>1.5220539999999999E-2</v>
      </c>
      <c r="W7755">
        <v>-1.532008E-2</v>
      </c>
      <c r="X7755">
        <v>0.99976679999999996</v>
      </c>
      <c r="Y7755">
        <v>4.9249469999999997E-2</v>
      </c>
      <c r="Z7755">
        <v>-1.1543759999999999E-3</v>
      </c>
      <c r="AA7755">
        <v>0.9987859</v>
      </c>
      <c r="AB7755">
        <v>29</v>
      </c>
      <c r="AC7755">
        <v>21.582299999999901</v>
      </c>
      <c r="AD7755">
        <v>-1.110223272084</v>
      </c>
      <c r="AE7755">
        <v>-1.1166099999999901</v>
      </c>
      <c r="AF7755">
        <v>1.0708957112488</v>
      </c>
      <c r="AG7755">
        <v>-1.110223272084</v>
      </c>
      <c r="AH7755">
        <v>21.5276614364236</v>
      </c>
      <c r="AI7755">
        <v>92.948599490988201</v>
      </c>
      <c r="AJ7755">
        <v>87.152163125233102</v>
      </c>
      <c r="AK7755">
        <v>21.582854775481501</v>
      </c>
      <c r="AL7755">
        <v>90.877810255241897</v>
      </c>
      <c r="AM7755">
        <v>89.127791261924699</v>
      </c>
      <c r="AN7755">
        <v>1.00000001203566</v>
      </c>
    </row>
    <row r="7756" spans="1:40" x14ac:dyDescent="0.25">
      <c r="A7756" t="str">
        <f>"20190312154114469"</f>
        <v>20190312154114469</v>
      </c>
      <c r="B7756" t="str">
        <f>"1552376474453627"</f>
        <v>1552376474453627</v>
      </c>
      <c r="C7756" t="s">
        <v>40</v>
      </c>
      <c r="D7756">
        <v>4.3374779999999999</v>
      </c>
      <c r="E7756">
        <v>0.5237733</v>
      </c>
      <c r="F7756" t="s">
        <v>42</v>
      </c>
      <c r="G7756">
        <v>-341.15499999999997</v>
      </c>
      <c r="H7756" s="1">
        <v>-4.3655650000000003E-6</v>
      </c>
      <c r="I7756">
        <v>16.297079999999902</v>
      </c>
      <c r="J7756">
        <v>-362.78820000000002</v>
      </c>
      <c r="K7756">
        <v>1.110222</v>
      </c>
      <c r="L7756">
        <v>17.425260000000002</v>
      </c>
      <c r="M7756">
        <v>0.99988069999999896</v>
      </c>
      <c r="N7756">
        <v>0</v>
      </c>
      <c r="O7756">
        <v>-1.9307149999999999E-3</v>
      </c>
      <c r="P7756">
        <v>0.99937370000000003</v>
      </c>
      <c r="Q7756">
        <v>-3.0699589999999999E-2</v>
      </c>
      <c r="R7756">
        <v>-1.7603440000000001E-2</v>
      </c>
      <c r="S7756">
        <v>2.994507</v>
      </c>
      <c r="T7756">
        <v>-0.15253559999999999</v>
      </c>
      <c r="U7756">
        <v>-0.15502929999999901</v>
      </c>
      <c r="V7756">
        <v>1.567644E-2</v>
      </c>
      <c r="W7756">
        <v>-1.536875E-2</v>
      </c>
      <c r="X7756">
        <v>0.99975899999999995</v>
      </c>
      <c r="Y7756">
        <v>4.9711749999999999E-2</v>
      </c>
      <c r="Z7756">
        <v>-1.166226E-3</v>
      </c>
      <c r="AA7756">
        <v>0.99876290000000001</v>
      </c>
      <c r="AB7756">
        <v>29</v>
      </c>
      <c r="AC7756">
        <v>21.633199999999999</v>
      </c>
      <c r="AD7756">
        <v>-1.110226365565</v>
      </c>
      <c r="AE7756">
        <v>-1.12818</v>
      </c>
      <c r="AF7756">
        <v>1.0835593176474301</v>
      </c>
      <c r="AG7756">
        <v>-1.110226365565</v>
      </c>
      <c r="AH7756">
        <v>21.578658561859601</v>
      </c>
      <c r="AI7756">
        <v>92.941582759518298</v>
      </c>
      <c r="AJ7756">
        <v>87.125341522148801</v>
      </c>
      <c r="AK7756">
        <v>21.6343525141607</v>
      </c>
      <c r="AL7756">
        <v>90.880599176515602</v>
      </c>
      <c r="AM7756">
        <v>89.101663252950402</v>
      </c>
      <c r="AN7756">
        <v>1.00000000366431</v>
      </c>
    </row>
    <row r="7757" spans="1:40" x14ac:dyDescent="0.25">
      <c r="A7757" t="str">
        <f>"20190312154114486"</f>
        <v>20190312154114486</v>
      </c>
      <c r="B7757" t="str">
        <f>"1552376474474123"</f>
        <v>1552376474474123</v>
      </c>
      <c r="C7757" t="s">
        <v>40</v>
      </c>
      <c r="D7757">
        <v>4.3471669999999998</v>
      </c>
      <c r="E7757">
        <v>0.52496519999999902</v>
      </c>
      <c r="F7757" t="s">
        <v>41</v>
      </c>
      <c r="G7757">
        <v>-361.96269999999998</v>
      </c>
      <c r="H7757">
        <v>1.0233749999999999</v>
      </c>
      <c r="I7757">
        <v>17.358920000000001</v>
      </c>
      <c r="J7757">
        <v>-362.56450000000001</v>
      </c>
      <c r="K7757">
        <v>1.110225</v>
      </c>
      <c r="L7757">
        <v>17.424900000000001</v>
      </c>
      <c r="M7757">
        <v>0.99988089999999996</v>
      </c>
      <c r="N7757">
        <v>0</v>
      </c>
      <c r="O7757">
        <v>-1.853244E-3</v>
      </c>
      <c r="P7757">
        <v>0.9993609</v>
      </c>
      <c r="Q7757">
        <v>-3.0454430000000001E-2</v>
      </c>
      <c r="R7757">
        <v>-1.872472E-2</v>
      </c>
      <c r="S7757">
        <v>2.9880369999999998</v>
      </c>
      <c r="T7757">
        <v>-0.31439669999999997</v>
      </c>
      <c r="U7757">
        <v>-0.238678</v>
      </c>
      <c r="V7757">
        <v>1.6874839999999999E-2</v>
      </c>
      <c r="W7757">
        <v>-1.512433E-2</v>
      </c>
      <c r="X7757">
        <v>0.99974320000000005</v>
      </c>
      <c r="Y7757">
        <v>7.7362360000000005E-2</v>
      </c>
      <c r="Z7757">
        <v>-3.8582009999999999E-3</v>
      </c>
      <c r="AA7757">
        <v>0.99699559999999998</v>
      </c>
      <c r="AB7757">
        <v>29</v>
      </c>
      <c r="AC7757">
        <v>0.60180000000002498</v>
      </c>
      <c r="AD7757">
        <v>-8.6850000000000094E-2</v>
      </c>
      <c r="AE7757">
        <v>-6.5979999999999706E-2</v>
      </c>
      <c r="AF7757">
        <v>6.3556479272198596E-2</v>
      </c>
      <c r="AG7757">
        <v>-8.6850000000000094E-2</v>
      </c>
      <c r="AH7757">
        <v>0.58978349587870005</v>
      </c>
      <c r="AI7757">
        <v>98.329482019220293</v>
      </c>
      <c r="AJ7757">
        <v>83.849404968309599</v>
      </c>
      <c r="AK7757">
        <v>0.59952224359766504</v>
      </c>
      <c r="AL7757">
        <v>90.866593329641603</v>
      </c>
      <c r="AM7757">
        <v>89.0329863645497</v>
      </c>
      <c r="AN7757">
        <v>0.99999998576460702</v>
      </c>
    </row>
    <row r="7758" spans="1:40" x14ac:dyDescent="0.25">
      <c r="A7758" t="str">
        <f>"20190312154114497"</f>
        <v>20190312154114497</v>
      </c>
      <c r="B7758" t="str">
        <f>"1552376474483883"</f>
        <v>1552376474483883</v>
      </c>
      <c r="C7758" t="s">
        <v>40</v>
      </c>
      <c r="D7758">
        <v>4.3189659999999996</v>
      </c>
      <c r="E7758">
        <v>0.52531219999999901</v>
      </c>
      <c r="F7758" t="s">
        <v>41</v>
      </c>
      <c r="G7758">
        <v>-361.7208</v>
      </c>
      <c r="H7758">
        <v>0.98588319999999996</v>
      </c>
      <c r="I7758">
        <v>17.354299999999999</v>
      </c>
      <c r="J7758">
        <v>-362.42039999999997</v>
      </c>
      <c r="K7758">
        <v>1.1102259999999999</v>
      </c>
      <c r="L7758">
        <v>17.424679999999999</v>
      </c>
      <c r="M7758">
        <v>0.99988089999999996</v>
      </c>
      <c r="N7758">
        <v>0</v>
      </c>
      <c r="O7758">
        <v>-1.8031830000000001E-3</v>
      </c>
      <c r="P7758">
        <v>0.99936320000000001</v>
      </c>
      <c r="Q7758">
        <v>-2.9988669999999999E-2</v>
      </c>
      <c r="R7758">
        <v>-1.9344960000000001E-2</v>
      </c>
      <c r="S7758">
        <v>2.9838870000000002</v>
      </c>
      <c r="T7758">
        <v>-0.43976510000000002</v>
      </c>
      <c r="U7758">
        <v>-0.24938959999999999</v>
      </c>
      <c r="V7758">
        <v>1.754497E-2</v>
      </c>
      <c r="W7758">
        <v>-1.4659129999999999E-2</v>
      </c>
      <c r="X7758">
        <v>0.99973860000000003</v>
      </c>
      <c r="Y7758">
        <v>8.0645399999999895E-2</v>
      </c>
      <c r="Z7758">
        <v>-5.6368130000000001E-3</v>
      </c>
      <c r="AA7758">
        <v>0.99672689999999997</v>
      </c>
      <c r="AB7758">
        <v>29</v>
      </c>
      <c r="AC7758">
        <v>0.69959999999997502</v>
      </c>
      <c r="AD7758">
        <v>-0.124342799999999</v>
      </c>
      <c r="AE7758">
        <v>-7.0380000000000095E-2</v>
      </c>
      <c r="AF7758">
        <v>6.7022248634553694E-2</v>
      </c>
      <c r="AG7758">
        <v>-0.124342799999999</v>
      </c>
      <c r="AH7758">
        <v>0.67850688897287403</v>
      </c>
      <c r="AI7758">
        <v>100.335553003635</v>
      </c>
      <c r="AJ7758">
        <v>84.358679302908499</v>
      </c>
      <c r="AK7758">
        <v>0.69305462418738695</v>
      </c>
      <c r="AL7758">
        <v>90.839936371053398</v>
      </c>
      <c r="AM7758">
        <v>88.994587635037504</v>
      </c>
      <c r="AN7758">
        <v>0.99999999219730895</v>
      </c>
    </row>
    <row r="7759" spans="1:40" x14ac:dyDescent="0.25">
      <c r="A7759" t="str">
        <f>"20190312154114508"</f>
        <v>20190312154114508</v>
      </c>
      <c r="B7759" t="str">
        <f>"1552376474504378"</f>
        <v>1552376474504378</v>
      </c>
      <c r="C7759" t="s">
        <v>40</v>
      </c>
      <c r="D7759">
        <v>4.3745949999999896</v>
      </c>
      <c r="E7759">
        <v>0.52572109999999905</v>
      </c>
      <c r="F7759" t="s">
        <v>41</v>
      </c>
      <c r="G7759">
        <v>-361.4742</v>
      </c>
      <c r="H7759">
        <v>0.95875809999999995</v>
      </c>
      <c r="I7759">
        <v>17.34375</v>
      </c>
      <c r="J7759">
        <v>-362.27069999999998</v>
      </c>
      <c r="K7759">
        <v>1.1102289999999999</v>
      </c>
      <c r="L7759">
        <v>17.424469999999999</v>
      </c>
      <c r="M7759">
        <v>0.99988100000000002</v>
      </c>
      <c r="N7759">
        <v>0</v>
      </c>
      <c r="O7759">
        <v>-1.7512109999999999E-3</v>
      </c>
      <c r="P7759">
        <v>0.99935249999999998</v>
      </c>
      <c r="Q7759">
        <v>-2.9939520000000001E-2</v>
      </c>
      <c r="R7759">
        <v>-1.9960450000000001E-2</v>
      </c>
      <c r="S7759">
        <v>2.982666</v>
      </c>
      <c r="T7759">
        <v>-0.47743049999999998</v>
      </c>
      <c r="U7759">
        <v>-0.25347900000000001</v>
      </c>
      <c r="V7759">
        <v>1.8212699999999998E-2</v>
      </c>
      <c r="W7759">
        <v>-1.461108E-2</v>
      </c>
      <c r="X7759">
        <v>0.99972740000000004</v>
      </c>
      <c r="Y7759">
        <v>8.1920309999999996E-2</v>
      </c>
      <c r="Z7759">
        <v>-6.22538E-3</v>
      </c>
      <c r="AA7759">
        <v>0.99661949999999999</v>
      </c>
      <c r="AB7759">
        <v>29</v>
      </c>
      <c r="AC7759">
        <v>0.79649999999998</v>
      </c>
      <c r="AD7759">
        <v>-0.15147089999999999</v>
      </c>
      <c r="AE7759">
        <v>-8.0719999999999403E-2</v>
      </c>
      <c r="AF7759">
        <v>7.6583400638607205E-2</v>
      </c>
      <c r="AG7759">
        <v>-0.15147089999999999</v>
      </c>
      <c r="AH7759">
        <v>0.76910822358846698</v>
      </c>
      <c r="AI7759">
        <v>101.087982717792</v>
      </c>
      <c r="AJ7759">
        <v>84.313558110066097</v>
      </c>
      <c r="AK7759">
        <v>0.78761406182951799</v>
      </c>
      <c r="AL7759">
        <v>90.837182982122599</v>
      </c>
      <c r="AM7759">
        <v>88.956320067624901</v>
      </c>
      <c r="AN7759">
        <v>1.0000000302054</v>
      </c>
    </row>
    <row r="7760" spans="1:40" x14ac:dyDescent="0.25">
      <c r="A7760" t="str">
        <f>"20190312154114519"</f>
        <v>20190312154114519</v>
      </c>
      <c r="B7760" t="str">
        <f>"1552376474513670"</f>
        <v>1552376474513670</v>
      </c>
      <c r="C7760" t="s">
        <v>40</v>
      </c>
      <c r="D7760">
        <v>4.3959979999999996</v>
      </c>
      <c r="E7760">
        <v>0.52574889999999996</v>
      </c>
      <c r="F7760" t="s">
        <v>41</v>
      </c>
      <c r="G7760">
        <v>-361.46899999999999</v>
      </c>
      <c r="H7760">
        <v>0.96923300000000001</v>
      </c>
      <c r="I7760">
        <v>17.354610000000001</v>
      </c>
      <c r="J7760">
        <v>-362.13170000000002</v>
      </c>
      <c r="K7760">
        <v>1.110231</v>
      </c>
      <c r="L7760">
        <v>17.424289999999999</v>
      </c>
      <c r="M7760">
        <v>0.99988109999999997</v>
      </c>
      <c r="N7760">
        <v>0</v>
      </c>
      <c r="O7760">
        <v>-1.7026949999999999E-3</v>
      </c>
      <c r="P7760">
        <v>0.99934860000000003</v>
      </c>
      <c r="Q7760">
        <v>-2.9673100000000001E-2</v>
      </c>
      <c r="R7760">
        <v>-2.0542609999999999E-2</v>
      </c>
      <c r="S7760">
        <v>2.9810490000000001</v>
      </c>
      <c r="T7760">
        <v>-0.52427699999999999</v>
      </c>
      <c r="U7760">
        <v>-0.25784299999999999</v>
      </c>
      <c r="V7760">
        <v>1.884307E-2</v>
      </c>
      <c r="W7760">
        <v>-1.434567E-2</v>
      </c>
      <c r="X7760">
        <v>0.99971960000000004</v>
      </c>
      <c r="Y7760">
        <v>8.3233639999999998E-2</v>
      </c>
      <c r="Z7760">
        <v>-6.9535229999999996E-3</v>
      </c>
      <c r="AA7760">
        <v>0.9965058</v>
      </c>
      <c r="AB7760">
        <v>29</v>
      </c>
      <c r="AC7760">
        <v>0.66270000000002904</v>
      </c>
      <c r="AD7760">
        <v>-0.14099799999999901</v>
      </c>
      <c r="AE7760">
        <v>-6.9679999999998105E-2</v>
      </c>
      <c r="AF7760">
        <v>6.5613664897623103E-2</v>
      </c>
      <c r="AG7760">
        <v>-0.14099799999999901</v>
      </c>
      <c r="AH7760">
        <v>0.63441307265940405</v>
      </c>
      <c r="AI7760">
        <v>102.465898933143</v>
      </c>
      <c r="AJ7760">
        <v>84.095223694290098</v>
      </c>
      <c r="AK7760">
        <v>0.65319639909176197</v>
      </c>
      <c r="AL7760">
        <v>90.821974483632701</v>
      </c>
      <c r="AM7760">
        <v>88.920196661598496</v>
      </c>
      <c r="AN7760">
        <v>1.0000000690794599</v>
      </c>
    </row>
    <row r="7761" spans="1:40" x14ac:dyDescent="0.25">
      <c r="A7761" t="str">
        <f>"20190312154114531"</f>
        <v>20190312154114531</v>
      </c>
      <c r="B7761" t="str">
        <f>"1552376474524404"</f>
        <v>1552376474524404</v>
      </c>
      <c r="C7761" t="s">
        <v>40</v>
      </c>
      <c r="D7761">
        <v>4.3265690000000001</v>
      </c>
      <c r="E7761">
        <v>0.52583619999999898</v>
      </c>
      <c r="F7761" t="s">
        <v>41</v>
      </c>
      <c r="G7761">
        <v>-361.2208</v>
      </c>
      <c r="H7761">
        <v>0.94605819999999996</v>
      </c>
      <c r="I7761">
        <v>17.344819999999999</v>
      </c>
      <c r="J7761">
        <v>-361.9821</v>
      </c>
      <c r="K7761">
        <v>1.110231</v>
      </c>
      <c r="L7761">
        <v>17.424099999999999</v>
      </c>
      <c r="M7761">
        <v>0.99988120000000003</v>
      </c>
      <c r="N7761">
        <v>0</v>
      </c>
      <c r="O7761">
        <v>-1.650239E-3</v>
      </c>
      <c r="P7761">
        <v>0.99935909999999994</v>
      </c>
      <c r="Q7761">
        <v>-2.9138710000000002E-2</v>
      </c>
      <c r="R7761">
        <v>-2.0794300000000002E-2</v>
      </c>
      <c r="S7761">
        <v>2.9806210000000002</v>
      </c>
      <c r="T7761">
        <v>-0.53722990000000004</v>
      </c>
      <c r="U7761">
        <v>-0.25967410000000002</v>
      </c>
      <c r="V7761">
        <v>1.9147109999999998E-2</v>
      </c>
      <c r="W7761">
        <v>-1.381249E-2</v>
      </c>
      <c r="X7761">
        <v>0.99972130000000003</v>
      </c>
      <c r="Y7761">
        <v>8.3833399999999905E-2</v>
      </c>
      <c r="Z7761">
        <v>-7.1863409999999997E-3</v>
      </c>
      <c r="AA7761">
        <v>0.9964539</v>
      </c>
      <c r="AB7761">
        <v>29</v>
      </c>
      <c r="AC7761">
        <v>0.76130000000000497</v>
      </c>
      <c r="AD7761">
        <v>-0.16417279999999901</v>
      </c>
      <c r="AE7761">
        <v>-7.9279999999997103E-2</v>
      </c>
      <c r="AF7761">
        <v>7.4591810993198907E-2</v>
      </c>
      <c r="AG7761">
        <v>-0.16417279999999901</v>
      </c>
      <c r="AH7761">
        <v>0.72794079316595395</v>
      </c>
      <c r="AI7761">
        <v>102.645238297612</v>
      </c>
      <c r="AJ7761">
        <v>84.149343990329399</v>
      </c>
      <c r="AK7761">
        <v>0.74994296108581704</v>
      </c>
      <c r="AL7761">
        <v>90.791422518736795</v>
      </c>
      <c r="AM7761">
        <v>88.9027797207399</v>
      </c>
      <c r="AN7761">
        <v>1.00000003718752</v>
      </c>
    </row>
    <row r="7762" spans="1:40" x14ac:dyDescent="0.25">
      <c r="A7762" t="str">
        <f>"20190312154114542"</f>
        <v>20190312154114542</v>
      </c>
      <c r="B7762" t="str">
        <f>"1552376474534165"</f>
        <v>1552376474534165</v>
      </c>
      <c r="C7762" t="s">
        <v>40</v>
      </c>
      <c r="D7762">
        <v>4.3198080000000001</v>
      </c>
      <c r="E7762">
        <v>0.52575450000000001</v>
      </c>
      <c r="F7762" t="s">
        <v>41</v>
      </c>
      <c r="G7762">
        <v>-361.20949999999999</v>
      </c>
      <c r="H7762">
        <v>0.96888200000000002</v>
      </c>
      <c r="I7762">
        <v>17.356310000000001</v>
      </c>
      <c r="J7762">
        <v>-361.834</v>
      </c>
      <c r="K7762">
        <v>1.110231</v>
      </c>
      <c r="L7762">
        <v>17.42389</v>
      </c>
      <c r="M7762">
        <v>0.99988140000000003</v>
      </c>
      <c r="N7762">
        <v>0</v>
      </c>
      <c r="O7762">
        <v>-1.5972979999999901E-3</v>
      </c>
      <c r="P7762">
        <v>0.99935799999999997</v>
      </c>
      <c r="Q7762">
        <v>-2.8711170000000001E-2</v>
      </c>
      <c r="R7762">
        <v>-2.1439900000000001E-2</v>
      </c>
      <c r="S7762">
        <v>2.980591</v>
      </c>
      <c r="T7762">
        <v>-0.54528529999999997</v>
      </c>
      <c r="U7762">
        <v>-0.26107789999999997</v>
      </c>
      <c r="V7762">
        <v>1.9845620000000001E-2</v>
      </c>
      <c r="W7762">
        <v>-1.338634E-2</v>
      </c>
      <c r="X7762">
        <v>0.99971339999999997</v>
      </c>
      <c r="Y7762">
        <v>8.4304820000000003E-2</v>
      </c>
      <c r="Z7762">
        <v>-7.3445630000000001E-3</v>
      </c>
      <c r="AA7762">
        <v>0.99641290000000005</v>
      </c>
      <c r="AB7762">
        <v>29</v>
      </c>
      <c r="AC7762">
        <v>0.62450000000001105</v>
      </c>
      <c r="AD7762">
        <v>-0.141348999999999</v>
      </c>
      <c r="AE7762">
        <v>-6.7579999999999502E-2</v>
      </c>
      <c r="AF7762">
        <v>6.3373277931781005E-2</v>
      </c>
      <c r="AG7762">
        <v>-0.141348999999999</v>
      </c>
      <c r="AH7762">
        <v>0.59450353420194002</v>
      </c>
      <c r="AI7762">
        <v>103.301643505657</v>
      </c>
      <c r="AJ7762">
        <v>83.915324741381099</v>
      </c>
      <c r="AK7762">
        <v>0.614353452285748</v>
      </c>
      <c r="AL7762">
        <v>90.767003722193195</v>
      </c>
      <c r="AM7762">
        <v>88.862753125378802</v>
      </c>
      <c r="AN7762">
        <v>0.99999996243566902</v>
      </c>
    </row>
    <row r="7763" spans="1:40" x14ac:dyDescent="0.25">
      <c r="A7763" t="str">
        <f>"20190312154114553"</f>
        <v>20190312154114553</v>
      </c>
      <c r="B7763" t="str">
        <f>"1552376474543926"</f>
        <v>1552376474543926</v>
      </c>
      <c r="C7763" t="s">
        <v>40</v>
      </c>
      <c r="D7763">
        <v>4.2985319999999998</v>
      </c>
      <c r="E7763">
        <v>0.5256364</v>
      </c>
      <c r="F7763" t="s">
        <v>41</v>
      </c>
      <c r="G7763">
        <v>-360.96039999999999</v>
      </c>
      <c r="H7763">
        <v>0.94864859999999895</v>
      </c>
      <c r="I7763">
        <v>17.346779999999999</v>
      </c>
      <c r="J7763">
        <v>-361.68310000000002</v>
      </c>
      <c r="K7763">
        <v>1.1102350000000001</v>
      </c>
      <c r="L7763">
        <v>17.42371</v>
      </c>
      <c r="M7763">
        <v>0.99988140000000003</v>
      </c>
      <c r="N7763">
        <v>0</v>
      </c>
      <c r="O7763">
        <v>-1.5419629999999999E-3</v>
      </c>
      <c r="P7763">
        <v>0.99935790000000002</v>
      </c>
      <c r="Q7763">
        <v>-2.8406089999999998E-2</v>
      </c>
      <c r="R7763">
        <v>-2.1842170000000001E-2</v>
      </c>
      <c r="S7763">
        <v>2.9804689999999998</v>
      </c>
      <c r="T7763">
        <v>-0.55124779999999995</v>
      </c>
      <c r="U7763">
        <v>-0.26214599999999999</v>
      </c>
      <c r="V7763">
        <v>2.0303189999999999E-2</v>
      </c>
      <c r="W7763">
        <v>-1.308283E-2</v>
      </c>
      <c r="X7763">
        <v>0.99970829999999999</v>
      </c>
      <c r="Y7763">
        <v>8.4680809999999995E-2</v>
      </c>
      <c r="Z7763">
        <v>-7.4682759999999898E-3</v>
      </c>
      <c r="AA7763">
        <v>0.99638020000000005</v>
      </c>
      <c r="AB7763">
        <v>29</v>
      </c>
      <c r="AC7763">
        <v>0.72270000000003098</v>
      </c>
      <c r="AD7763">
        <v>-0.16158639999999999</v>
      </c>
      <c r="AE7763">
        <v>-7.6930000000000803E-2</v>
      </c>
      <c r="AF7763">
        <v>7.2244287815143401E-2</v>
      </c>
      <c r="AG7763">
        <v>-0.16158639999999999</v>
      </c>
      <c r="AH7763">
        <v>0.68877107925708503</v>
      </c>
      <c r="AI7763">
        <v>103.133356348446</v>
      </c>
      <c r="AJ7763">
        <v>84.012215861779396</v>
      </c>
      <c r="AK7763">
        <v>0.71115047733081505</v>
      </c>
      <c r="AL7763">
        <v>90.749612303736299</v>
      </c>
      <c r="AM7763">
        <v>88.836533416087704</v>
      </c>
      <c r="AN7763">
        <v>1.00000003252693</v>
      </c>
    </row>
    <row r="7764" spans="1:40" x14ac:dyDescent="0.25">
      <c r="A7764" t="str">
        <f>"20190312154114565"</f>
        <v>20190312154114565</v>
      </c>
      <c r="B7764" t="str">
        <f>"1552376474553686"</f>
        <v>1552376474553686</v>
      </c>
      <c r="C7764" t="s">
        <v>40</v>
      </c>
      <c r="D7764">
        <v>4.3734390000000003</v>
      </c>
      <c r="E7764">
        <v>0.52588819999999903</v>
      </c>
      <c r="F7764" t="s">
        <v>41</v>
      </c>
      <c r="G7764">
        <v>-360.94830000000002</v>
      </c>
      <c r="H7764">
        <v>0.97297180000000005</v>
      </c>
      <c r="I7764">
        <v>17.358809999999998</v>
      </c>
      <c r="J7764">
        <v>-361.54590000000002</v>
      </c>
      <c r="K7764">
        <v>1.110239</v>
      </c>
      <c r="L7764">
        <v>17.423549999999999</v>
      </c>
      <c r="M7764">
        <v>0.99988140000000003</v>
      </c>
      <c r="N7764">
        <v>0</v>
      </c>
      <c r="O7764">
        <v>-1.4880360000000001E-3</v>
      </c>
      <c r="P7764">
        <v>0.99935870000000004</v>
      </c>
      <c r="Q7764">
        <v>-2.8012180000000001E-2</v>
      </c>
      <c r="R7764">
        <v>-2.2310340000000001E-2</v>
      </c>
      <c r="S7764">
        <v>2.9803769999999998</v>
      </c>
      <c r="T7764">
        <v>-0.55674069999999998</v>
      </c>
      <c r="U7764">
        <v>-0.2621155</v>
      </c>
      <c r="V7764">
        <v>2.0825119999999999E-2</v>
      </c>
      <c r="W7764">
        <v>-1.2690409999999999E-2</v>
      </c>
      <c r="X7764">
        <v>0.9997026</v>
      </c>
      <c r="Y7764">
        <v>8.4697999999999996E-2</v>
      </c>
      <c r="Z7764">
        <v>-7.5532269999999896E-3</v>
      </c>
      <c r="AA7764">
        <v>0.99637810000000004</v>
      </c>
      <c r="AB7764">
        <v>29</v>
      </c>
      <c r="AC7764">
        <v>0.59759999999999902</v>
      </c>
      <c r="AD7764">
        <v>-0.13726719999999901</v>
      </c>
      <c r="AE7764">
        <v>-6.4739999999996897E-2</v>
      </c>
      <c r="AF7764">
        <v>6.0685872244251697E-2</v>
      </c>
      <c r="AG7764">
        <v>-0.13726719999999901</v>
      </c>
      <c r="AH7764">
        <v>0.56807138905040999</v>
      </c>
      <c r="AI7764">
        <v>103.51036618708901</v>
      </c>
      <c r="AJ7764">
        <v>83.902338066485399</v>
      </c>
      <c r="AK7764">
        <v>0.58756290075493001</v>
      </c>
      <c r="AL7764">
        <v>90.727126443562597</v>
      </c>
      <c r="AM7764">
        <v>88.806626154481606</v>
      </c>
      <c r="AN7764">
        <v>1.0000000102878699</v>
      </c>
    </row>
    <row r="7765" spans="1:40" x14ac:dyDescent="0.25">
      <c r="A7765" t="str">
        <f>"20190312154114576"</f>
        <v>20190312154114576</v>
      </c>
      <c r="B7765" t="str">
        <f>"1552376474564421"</f>
        <v>1552376474564421</v>
      </c>
      <c r="C7765" t="s">
        <v>40</v>
      </c>
      <c r="D7765">
        <v>4.342498</v>
      </c>
      <c r="E7765">
        <v>0.52600979999999997</v>
      </c>
      <c r="F7765" t="s">
        <v>41</v>
      </c>
      <c r="G7765">
        <v>-360.70069999999998</v>
      </c>
      <c r="H7765">
        <v>0.95090810000000003</v>
      </c>
      <c r="I7765">
        <v>17.348179999999999</v>
      </c>
      <c r="J7765">
        <v>-361.39870000000002</v>
      </c>
      <c r="K7765">
        <v>1.110242</v>
      </c>
      <c r="L7765">
        <v>17.423369999999998</v>
      </c>
      <c r="M7765">
        <v>0.99988160000000004</v>
      </c>
      <c r="N7765">
        <v>0</v>
      </c>
      <c r="O7765">
        <v>-1.4293279999999999E-3</v>
      </c>
      <c r="P7765">
        <v>0.99935980000000002</v>
      </c>
      <c r="Q7765">
        <v>-2.7658209999999999E-2</v>
      </c>
      <c r="R7765">
        <v>-2.2696540000000001E-2</v>
      </c>
      <c r="S7765">
        <v>2.980286</v>
      </c>
      <c r="T7765">
        <v>-0.56179369999999995</v>
      </c>
      <c r="U7765">
        <v>-0.2651367</v>
      </c>
      <c r="V7765">
        <v>2.127012E-2</v>
      </c>
      <c r="W7765">
        <v>-1.233807E-2</v>
      </c>
      <c r="X7765">
        <v>0.99969759999999996</v>
      </c>
      <c r="Y7765">
        <v>8.5716749999999994E-2</v>
      </c>
      <c r="Z7765">
        <v>-7.7264519999999904E-3</v>
      </c>
      <c r="AA7765">
        <v>0.9962896</v>
      </c>
      <c r="AB7765">
        <v>29</v>
      </c>
      <c r="AC7765">
        <v>0.69800000000003504</v>
      </c>
      <c r="AD7765">
        <v>-0.159333899999999</v>
      </c>
      <c r="AE7765">
        <v>-7.5190000000002699E-2</v>
      </c>
      <c r="AF7765">
        <v>7.0557680365040107E-2</v>
      </c>
      <c r="AG7765">
        <v>-0.159333899999999</v>
      </c>
      <c r="AH7765">
        <v>0.66390857072501597</v>
      </c>
      <c r="AI7765">
        <v>103.42256301002401</v>
      </c>
      <c r="AJ7765">
        <v>83.933593139220307</v>
      </c>
      <c r="AK7765">
        <v>0.68639658232674705</v>
      </c>
      <c r="AL7765">
        <v>90.706937297169006</v>
      </c>
      <c r="AM7765">
        <v>88.781127153865896</v>
      </c>
      <c r="AN7765">
        <v>0.99999996871094898</v>
      </c>
    </row>
    <row r="7766" spans="1:40" x14ac:dyDescent="0.25">
      <c r="A7766" t="str">
        <f>"20190312154114587"</f>
        <v>20190312154114587</v>
      </c>
      <c r="B7766" t="str">
        <f>"1552376474574181"</f>
        <v>1552376474574181</v>
      </c>
      <c r="C7766" t="s">
        <v>40</v>
      </c>
      <c r="D7766">
        <v>4.3424040000000002</v>
      </c>
      <c r="E7766">
        <v>0.52603089999999997</v>
      </c>
      <c r="F7766" t="s">
        <v>41</v>
      </c>
      <c r="G7766">
        <v>-360.68849999999998</v>
      </c>
      <c r="H7766">
        <v>0.97534480000000001</v>
      </c>
      <c r="I7766">
        <v>17.359549999999999</v>
      </c>
      <c r="J7766">
        <v>-361.25009999999997</v>
      </c>
      <c r="K7766">
        <v>1.1101369999999999</v>
      </c>
      <c r="L7766">
        <v>17.423220000000001</v>
      </c>
      <c r="M7766">
        <v>0.99988790000000005</v>
      </c>
      <c r="N7766">
        <v>0</v>
      </c>
      <c r="O7766">
        <v>-1.3586710000000001E-3</v>
      </c>
      <c r="P7766">
        <v>0.99936080000000005</v>
      </c>
      <c r="Q7766">
        <v>-2.734549E-2</v>
      </c>
      <c r="R7766">
        <v>-2.3028880000000002E-2</v>
      </c>
      <c r="S7766">
        <v>2.9802249999999999</v>
      </c>
      <c r="T7766">
        <v>-0.56608859999999905</v>
      </c>
      <c r="U7766">
        <v>-0.26702880000000001</v>
      </c>
      <c r="V7766">
        <v>2.1673250000000002E-2</v>
      </c>
      <c r="W7766">
        <v>-1.244221E-2</v>
      </c>
      <c r="X7766">
        <v>0.99968769999999996</v>
      </c>
      <c r="Y7766">
        <v>8.6381059999999996E-2</v>
      </c>
      <c r="Z7766">
        <v>-7.8601250000000008E-3</v>
      </c>
      <c r="AA7766">
        <v>0.99623110000000004</v>
      </c>
      <c r="AB7766">
        <v>29</v>
      </c>
      <c r="AC7766">
        <v>0.56159999999999799</v>
      </c>
      <c r="AD7766">
        <v>-0.1347922</v>
      </c>
      <c r="AE7766">
        <v>-6.3670000000001795E-2</v>
      </c>
      <c r="AF7766">
        <v>5.9521484940906297E-2</v>
      </c>
      <c r="AG7766">
        <v>-0.1347922</v>
      </c>
      <c r="AH7766">
        <v>0.53145876823120797</v>
      </c>
      <c r="AI7766">
        <v>104.14679041559</v>
      </c>
      <c r="AJ7766">
        <v>83.609706675308303</v>
      </c>
      <c r="AK7766">
        <v>0.55150717736058796</v>
      </c>
      <c r="AL7766">
        <v>90.712904502786898</v>
      </c>
      <c r="AM7766">
        <v>88.758020877816705</v>
      </c>
      <c r="AN7766">
        <v>1.00000001794326</v>
      </c>
    </row>
    <row r="7767" spans="1:40" x14ac:dyDescent="0.25">
      <c r="A7767" t="str">
        <f>"20190312154114600"</f>
        <v>20190312154114600</v>
      </c>
      <c r="B7767" t="str">
        <f>"1552376474593701"</f>
        <v>1552376474593701</v>
      </c>
      <c r="C7767" t="s">
        <v>40</v>
      </c>
      <c r="D7767">
        <v>4.310092</v>
      </c>
      <c r="E7767">
        <v>0.52602190000000004</v>
      </c>
      <c r="F7767" t="s">
        <v>41</v>
      </c>
      <c r="G7767">
        <v>-360.43770000000001</v>
      </c>
      <c r="H7767">
        <v>0.95473529999999995</v>
      </c>
      <c r="I7767">
        <v>17.349789999999999</v>
      </c>
      <c r="J7767">
        <v>-361.08960000000002</v>
      </c>
      <c r="K7767">
        <v>1.110034</v>
      </c>
      <c r="L7767">
        <v>17.423069999999999</v>
      </c>
      <c r="M7767">
        <v>0.99989349999999999</v>
      </c>
      <c r="N7767">
        <v>0</v>
      </c>
      <c r="O7767">
        <v>-1.282016E-3</v>
      </c>
      <c r="P7767">
        <v>0.99937719999999997</v>
      </c>
      <c r="Q7767">
        <v>-2.6965300000000001E-2</v>
      </c>
      <c r="R7767">
        <v>-2.2769439999999998E-2</v>
      </c>
      <c r="S7767">
        <v>2.9801639999999998</v>
      </c>
      <c r="T7767">
        <v>-0.57005950000000005</v>
      </c>
      <c r="U7767">
        <v>-0.26806639999999998</v>
      </c>
      <c r="V7767">
        <v>2.1490530000000001E-2</v>
      </c>
      <c r="W7767">
        <v>-1.2428089999999999E-2</v>
      </c>
      <c r="X7767">
        <v>0.99969180000000002</v>
      </c>
      <c r="Y7767">
        <v>8.6773829999999996E-2</v>
      </c>
      <c r="Z7767">
        <v>-7.9659899999999992E-3</v>
      </c>
      <c r="AA7767">
        <v>0.99619619999999998</v>
      </c>
      <c r="AB7767">
        <v>29</v>
      </c>
      <c r="AC7767">
        <v>0.65190000000001103</v>
      </c>
      <c r="AD7767">
        <v>-0.15529869999999901</v>
      </c>
      <c r="AE7767">
        <v>-7.3280000000003995E-2</v>
      </c>
      <c r="AF7767">
        <v>6.8599587813840193E-2</v>
      </c>
      <c r="AG7767">
        <v>-0.15529869999999901</v>
      </c>
      <c r="AH7767">
        <v>0.617392950842093</v>
      </c>
      <c r="AI7767">
        <v>104.036296228281</v>
      </c>
      <c r="AJ7767">
        <v>83.659774239224205</v>
      </c>
      <c r="AK7767">
        <v>0.64031058512211503</v>
      </c>
      <c r="AL7767">
        <v>90.712095438292906</v>
      </c>
      <c r="AM7767">
        <v>88.768493403769</v>
      </c>
      <c r="AN7767">
        <v>0.99999999764398395</v>
      </c>
    </row>
    <row r="7768" spans="1:40" x14ac:dyDescent="0.25">
      <c r="A7768" t="str">
        <f>"20190312154114612"</f>
        <v>20190312154114612</v>
      </c>
      <c r="B7768" t="str">
        <f>"1552376474604437"</f>
        <v>1552376474604437</v>
      </c>
      <c r="C7768" t="s">
        <v>40</v>
      </c>
      <c r="D7768">
        <v>4.335699</v>
      </c>
      <c r="E7768">
        <v>0.52594719999999995</v>
      </c>
      <c r="F7768" t="s">
        <v>41</v>
      </c>
      <c r="G7768">
        <v>-360.18830000000003</v>
      </c>
      <c r="H7768">
        <v>0.93587399999999998</v>
      </c>
      <c r="I7768">
        <v>17.342359999999999</v>
      </c>
      <c r="J7768">
        <v>-360.92230000000001</v>
      </c>
      <c r="K7768">
        <v>1.110023</v>
      </c>
      <c r="L7768">
        <v>17.422940000000001</v>
      </c>
      <c r="M7768">
        <v>0.99989150000000004</v>
      </c>
      <c r="N7768">
        <v>0</v>
      </c>
      <c r="O7768">
        <v>-1.2025829999999999E-3</v>
      </c>
      <c r="P7768">
        <v>0.99936800000000003</v>
      </c>
      <c r="Q7768">
        <v>-2.677906E-2</v>
      </c>
      <c r="R7768">
        <v>-2.3382190000000001E-2</v>
      </c>
      <c r="S7768">
        <v>2.9802550000000001</v>
      </c>
      <c r="T7768">
        <v>-0.57590719999999995</v>
      </c>
      <c r="U7768">
        <v>-0.2670593</v>
      </c>
      <c r="V7768">
        <v>2.2182810000000001E-2</v>
      </c>
      <c r="W7768">
        <v>-1.20994E-2</v>
      </c>
      <c r="X7768">
        <v>0.99968069999999998</v>
      </c>
      <c r="Y7768">
        <v>8.6488679999999998E-2</v>
      </c>
      <c r="Z7768">
        <v>-8.0340469999999903E-3</v>
      </c>
      <c r="AA7768">
        <v>0.99622040000000001</v>
      </c>
      <c r="AB7768">
        <v>29</v>
      </c>
      <c r="AC7768">
        <v>0.73399999999998</v>
      </c>
      <c r="AD7768">
        <v>-0.174149</v>
      </c>
      <c r="AE7768">
        <v>-8.0580000000001206E-2</v>
      </c>
      <c r="AF7768">
        <v>7.5497807881376E-2</v>
      </c>
      <c r="AG7768">
        <v>-0.174149</v>
      </c>
      <c r="AH7768">
        <v>0.69541592502954697</v>
      </c>
      <c r="AI7768">
        <v>103.98022058082501</v>
      </c>
      <c r="AJ7768">
        <v>83.803952403021498</v>
      </c>
      <c r="AK7768">
        <v>0.72085442495735097</v>
      </c>
      <c r="AL7768">
        <v>90.693261479241997</v>
      </c>
      <c r="AM7768">
        <v>88.728821267071993</v>
      </c>
      <c r="AN7768">
        <v>0.99999998724617301</v>
      </c>
    </row>
    <row r="7769" spans="1:40" x14ac:dyDescent="0.25">
      <c r="A7769" t="str">
        <f>"20190312154114625"</f>
        <v>20190312154114625</v>
      </c>
      <c r="B7769" t="str">
        <f>"1552376474613729"</f>
        <v>1552376474613729</v>
      </c>
      <c r="C7769" t="s">
        <v>40</v>
      </c>
      <c r="D7769">
        <v>4.3239020000000004</v>
      </c>
      <c r="E7769">
        <v>0.52598769999999995</v>
      </c>
      <c r="F7769" t="s">
        <v>41</v>
      </c>
      <c r="G7769">
        <v>-360.17399999999998</v>
      </c>
      <c r="H7769">
        <v>0.96493180000000001</v>
      </c>
      <c r="I7769">
        <v>17.35568</v>
      </c>
      <c r="J7769">
        <v>-360.76159999999999</v>
      </c>
      <c r="K7769">
        <v>1.1100540000000001</v>
      </c>
      <c r="L7769">
        <v>17.422820000000002</v>
      </c>
      <c r="M7769">
        <v>0.99988679999999996</v>
      </c>
      <c r="N7769">
        <v>0</v>
      </c>
      <c r="O7769">
        <v>-1.1203719999999999E-3</v>
      </c>
      <c r="P7769">
        <v>0.99935799999999997</v>
      </c>
      <c r="Q7769">
        <v>-2.684139E-2</v>
      </c>
      <c r="R7769">
        <v>-2.3734709999999999E-2</v>
      </c>
      <c r="S7769">
        <v>2.9801329999999999</v>
      </c>
      <c r="T7769">
        <v>-0.57779380000000002</v>
      </c>
      <c r="U7769">
        <v>-0.26809690000000003</v>
      </c>
      <c r="V7769">
        <v>2.261765E-2</v>
      </c>
      <c r="W7769">
        <v>-1.18286E-2</v>
      </c>
      <c r="X7769">
        <v>0.99967419999999996</v>
      </c>
      <c r="Y7769">
        <v>8.6898920000000004E-2</v>
      </c>
      <c r="Z7769">
        <v>-8.1151739999999993E-3</v>
      </c>
      <c r="AA7769">
        <v>0.99618410000000002</v>
      </c>
      <c r="AB7769">
        <v>29</v>
      </c>
      <c r="AC7769">
        <v>0.58759999999995205</v>
      </c>
      <c r="AD7769">
        <v>-0.14512219999999901</v>
      </c>
      <c r="AE7769">
        <v>-6.7140000000001906E-2</v>
      </c>
      <c r="AF7769">
        <v>6.2706005476680995E-2</v>
      </c>
      <c r="AG7769">
        <v>-0.14512219999999901</v>
      </c>
      <c r="AH7769">
        <v>0.55430027325575004</v>
      </c>
      <c r="AI7769">
        <v>104.582381856238</v>
      </c>
      <c r="AJ7769">
        <v>83.545773093729395</v>
      </c>
      <c r="AK7769">
        <v>0.57640375518127895</v>
      </c>
      <c r="AL7769">
        <v>90.677744669476297</v>
      </c>
      <c r="AM7769">
        <v>88.703902895570906</v>
      </c>
      <c r="AN7769">
        <v>0.99999999000756101</v>
      </c>
    </row>
    <row r="7770" spans="1:40" x14ac:dyDescent="0.25">
      <c r="A7770" t="str">
        <f>"20190312154114643"</f>
        <v>20190312154114643</v>
      </c>
      <c r="B7770" t="str">
        <f>"1552376474634224"</f>
        <v>1552376474634224</v>
      </c>
      <c r="C7770" t="s">
        <v>40</v>
      </c>
      <c r="D7770">
        <v>4.3240150000000002</v>
      </c>
      <c r="E7770">
        <v>0.52651630000000005</v>
      </c>
      <c r="F7770" t="s">
        <v>41</v>
      </c>
      <c r="G7770">
        <v>-359.92610000000002</v>
      </c>
      <c r="H7770">
        <v>0.94720199999999999</v>
      </c>
      <c r="I7770">
        <v>17.346989999999899</v>
      </c>
      <c r="J7770">
        <v>-360.52300000000002</v>
      </c>
      <c r="K7770">
        <v>1.11012</v>
      </c>
      <c r="L7770">
        <v>17.422699999999999</v>
      </c>
      <c r="M7770">
        <v>0.99987749999999997</v>
      </c>
      <c r="N7770">
        <v>0</v>
      </c>
      <c r="O7770">
        <v>-9.8232110000000001E-4</v>
      </c>
      <c r="P7770">
        <v>0.99933919999999998</v>
      </c>
      <c r="Q7770">
        <v>-2.6578170000000002E-2</v>
      </c>
      <c r="R7770">
        <v>-2.4805649999999999E-2</v>
      </c>
      <c r="S7770">
        <v>2.979889</v>
      </c>
      <c r="T7770">
        <v>-0.580874</v>
      </c>
      <c r="U7770">
        <v>-0.269287099999999</v>
      </c>
      <c r="V7770">
        <v>2.3826710000000001E-2</v>
      </c>
      <c r="W7770">
        <v>-1.09468E-2</v>
      </c>
      <c r="X7770">
        <v>0.99965610000000005</v>
      </c>
      <c r="Y7770">
        <v>8.7409299999999995E-2</v>
      </c>
      <c r="Z7770">
        <v>-8.2339449999999995E-3</v>
      </c>
      <c r="AA7770">
        <v>0.99613850000000004</v>
      </c>
      <c r="AB7770">
        <v>29</v>
      </c>
      <c r="AC7770">
        <v>0.59690000000000498</v>
      </c>
      <c r="AD7770">
        <v>-0.16291800000000001</v>
      </c>
      <c r="AE7770">
        <v>-7.5710000000000804E-2</v>
      </c>
      <c r="AF7770">
        <v>6.9991956532854296E-2</v>
      </c>
      <c r="AG7770">
        <v>-0.16291800000000001</v>
      </c>
      <c r="AH7770">
        <v>0.55619559813741504</v>
      </c>
      <c r="AI7770">
        <v>106.205071745968</v>
      </c>
      <c r="AJ7770">
        <v>82.827569871413104</v>
      </c>
      <c r="AK7770">
        <v>0.58377623460597805</v>
      </c>
      <c r="AL7770">
        <v>90.627218009467995</v>
      </c>
      <c r="AM7770">
        <v>88.634618953636803</v>
      </c>
      <c r="AN7770">
        <v>0.99999993140343402</v>
      </c>
    </row>
    <row r="7771" spans="1:40" x14ac:dyDescent="0.25">
      <c r="A7771" t="str">
        <f>"20190312154114655"</f>
        <v>20190312154114655</v>
      </c>
      <c r="B7771" t="str">
        <f>"1552376474643984"</f>
        <v>1552376474643984</v>
      </c>
      <c r="C7771" t="s">
        <v>40</v>
      </c>
      <c r="D7771">
        <v>4.2697430000000001</v>
      </c>
      <c r="E7771">
        <v>0.52651630000000005</v>
      </c>
      <c r="F7771" t="s">
        <v>41</v>
      </c>
      <c r="G7771">
        <v>-359.67270000000002</v>
      </c>
      <c r="H7771">
        <v>0.94261859999999997</v>
      </c>
      <c r="I7771">
        <v>17.34374</v>
      </c>
      <c r="J7771">
        <v>-360.3689</v>
      </c>
      <c r="K7771">
        <v>1.110141</v>
      </c>
      <c r="L7771">
        <v>17.422639999999902</v>
      </c>
      <c r="M7771">
        <v>0.99987199999999998</v>
      </c>
      <c r="N7771">
        <v>0</v>
      </c>
      <c r="O7771">
        <v>-8.8004770000000003E-4</v>
      </c>
      <c r="P7771">
        <v>0.99932779999999999</v>
      </c>
      <c r="Q7771">
        <v>-2.6524849999999999E-2</v>
      </c>
      <c r="R7771">
        <v>-2.5307409999999999E-2</v>
      </c>
      <c r="S7771">
        <v>2.9795229999999999</v>
      </c>
      <c r="T7771">
        <v>-0.58695920000000001</v>
      </c>
      <c r="U7771">
        <v>-0.27618409999999999</v>
      </c>
      <c r="V7771">
        <v>2.4431120000000001E-2</v>
      </c>
      <c r="W7771">
        <v>-1.054038E-2</v>
      </c>
      <c r="X7771">
        <v>0.99964589999999998</v>
      </c>
      <c r="Y7771">
        <v>8.9728779999999994E-2</v>
      </c>
      <c r="Z7771">
        <v>-8.5644799999999993E-3</v>
      </c>
      <c r="AA7771">
        <v>0.99592939999999996</v>
      </c>
      <c r="AB7771">
        <v>29</v>
      </c>
      <c r="AC7771">
        <v>0.69619999999997595</v>
      </c>
      <c r="AD7771">
        <v>-0.16752239999999999</v>
      </c>
      <c r="AE7771">
        <v>-7.8899999999997306E-2</v>
      </c>
      <c r="AF7771">
        <v>7.4053862779081506E-2</v>
      </c>
      <c r="AG7771">
        <v>-0.16752239999999999</v>
      </c>
      <c r="AH7771">
        <v>0.65861878570992904</v>
      </c>
      <c r="AI7771">
        <v>104.18505555298501</v>
      </c>
      <c r="AJ7771">
        <v>83.584714039972695</v>
      </c>
      <c r="AK7771">
        <v>0.68361278073503295</v>
      </c>
      <c r="AL7771">
        <v>90.603930500358103</v>
      </c>
      <c r="AM7771">
        <v>88.599982790676705</v>
      </c>
      <c r="AN7771">
        <v>0.999999952310903</v>
      </c>
    </row>
    <row r="7772" spans="1:40" x14ac:dyDescent="0.25">
      <c r="A7772" t="str">
        <f>"20190312154114667"</f>
        <v>20190312154114667</v>
      </c>
      <c r="B7772" t="str">
        <f>"1552376474664480"</f>
        <v>1552376474664480</v>
      </c>
      <c r="C7772" t="s">
        <v>40</v>
      </c>
      <c r="D7772">
        <v>4.328449</v>
      </c>
      <c r="E7772">
        <v>0.54351139999999998</v>
      </c>
      <c r="F7772" t="s">
        <v>41</v>
      </c>
      <c r="G7772">
        <v>-359.65899999999999</v>
      </c>
      <c r="H7772">
        <v>0.97032549999999995</v>
      </c>
      <c r="I7772">
        <v>17.356310000000001</v>
      </c>
      <c r="J7772">
        <v>-360.22719999999998</v>
      </c>
      <c r="K7772">
        <v>1.1101209999999999</v>
      </c>
      <c r="L7772">
        <v>17.422639999999902</v>
      </c>
      <c r="M7772">
        <v>0.99986960000000003</v>
      </c>
      <c r="N7772">
        <v>0</v>
      </c>
      <c r="O7772">
        <v>-7.7017519999999996E-4</v>
      </c>
      <c r="P7772">
        <v>0.99932560000000004</v>
      </c>
      <c r="Q7772">
        <v>-2.6273189999999998E-2</v>
      </c>
      <c r="R7772">
        <v>-2.565947E-2</v>
      </c>
      <c r="S7772">
        <v>2.9794010000000002</v>
      </c>
      <c r="T7772">
        <v>-0.58682809999999996</v>
      </c>
      <c r="U7772">
        <v>-0.2777405</v>
      </c>
      <c r="V7772">
        <v>2.4893189999999999E-2</v>
      </c>
      <c r="W7772">
        <v>-1.014197E-2</v>
      </c>
      <c r="X7772">
        <v>0.99963869999999999</v>
      </c>
      <c r="Y7772">
        <v>9.0344640000000004E-2</v>
      </c>
      <c r="Z7772">
        <v>-8.6440839999999998E-3</v>
      </c>
      <c r="AA7772">
        <v>0.99587300000000001</v>
      </c>
      <c r="AB7772">
        <v>29</v>
      </c>
      <c r="AC7772">
        <v>0.56819999999999005</v>
      </c>
      <c r="AD7772">
        <v>-0.13979549999999899</v>
      </c>
      <c r="AE7772">
        <v>-6.63299999999971E-2</v>
      </c>
      <c r="AF7772">
        <v>6.2179096272035599E-2</v>
      </c>
      <c r="AG7772">
        <v>-0.13979549999999899</v>
      </c>
      <c r="AH7772">
        <v>0.53622841555215905</v>
      </c>
      <c r="AI7772">
        <v>104.518720538243</v>
      </c>
      <c r="AJ7772">
        <v>83.385729190280799</v>
      </c>
      <c r="AK7772">
        <v>0.55762885101027104</v>
      </c>
      <c r="AL7772">
        <v>90.581102021496804</v>
      </c>
      <c r="AM7772">
        <v>88.573504591929606</v>
      </c>
      <c r="AN7772">
        <v>1.0000000305007699</v>
      </c>
    </row>
    <row r="7773" spans="1:40" x14ac:dyDescent="0.25">
      <c r="A7773" t="str">
        <f>"20190312154114679"</f>
        <v>20190312154114679</v>
      </c>
      <c r="B7773" t="str">
        <f>"1552376474674242"</f>
        <v>1552376474674242</v>
      </c>
      <c r="C7773" t="s">
        <v>40</v>
      </c>
      <c r="D7773">
        <v>4.3295890000000004</v>
      </c>
      <c r="E7773">
        <v>0.54418559999999905</v>
      </c>
      <c r="F7773" t="s">
        <v>41</v>
      </c>
      <c r="G7773">
        <v>-359.42779999999999</v>
      </c>
      <c r="H7773">
        <v>0.91873249999999995</v>
      </c>
      <c r="I7773">
        <v>17.311399999999999</v>
      </c>
      <c r="J7773">
        <v>-360.07499999999999</v>
      </c>
      <c r="K7773">
        <v>1.110093</v>
      </c>
      <c r="L7773">
        <v>17.422639999999902</v>
      </c>
      <c r="M7773">
        <v>0.99986790000000003</v>
      </c>
      <c r="N7773">
        <v>0</v>
      </c>
      <c r="O7773">
        <v>-6.4771960000000004E-4</v>
      </c>
      <c r="P7773">
        <v>0.99932160000000003</v>
      </c>
      <c r="Q7773">
        <v>-2.6132659999999999E-2</v>
      </c>
      <c r="R7773">
        <v>-2.595076E-2</v>
      </c>
      <c r="S7773">
        <v>2.9727779999999999</v>
      </c>
      <c r="T7773">
        <v>-0.71180969999999999</v>
      </c>
      <c r="U7773">
        <v>-0.41192630000000002</v>
      </c>
      <c r="V7773">
        <v>2.5307099999999999E-2</v>
      </c>
      <c r="W7773">
        <v>-9.8894599999999992E-3</v>
      </c>
      <c r="X7773">
        <v>0.99963080000000004</v>
      </c>
      <c r="Y7773">
        <v>0.13294300000000001</v>
      </c>
      <c r="Z7773">
        <v>-1.547045E-2</v>
      </c>
      <c r="AA7773">
        <v>0.99100290000000002</v>
      </c>
      <c r="AB7773">
        <v>29</v>
      </c>
      <c r="AC7773">
        <v>0.647199999999997</v>
      </c>
      <c r="AD7773">
        <v>-0.19136049999999999</v>
      </c>
      <c r="AE7773">
        <v>-0.11123999999999799</v>
      </c>
      <c r="AF7773">
        <v>0.10214693152215799</v>
      </c>
      <c r="AG7773">
        <v>-0.19136049999999999</v>
      </c>
      <c r="AH7773">
        <v>0.59661083913539104</v>
      </c>
      <c r="AI7773">
        <v>107.544127232962</v>
      </c>
      <c r="AJ7773">
        <v>80.284476584472401</v>
      </c>
      <c r="AK7773">
        <v>0.63482070693501902</v>
      </c>
      <c r="AL7773">
        <v>90.566633559852804</v>
      </c>
      <c r="AM7773">
        <v>88.549784216612906</v>
      </c>
      <c r="AN7773">
        <v>0.99999999351906999</v>
      </c>
    </row>
    <row r="7774" spans="1:40" x14ac:dyDescent="0.25">
      <c r="A7774" t="str">
        <f>"20190312154114691"</f>
        <v>20190312154114691</v>
      </c>
      <c r="B7774" t="str">
        <f>"1552376474684000"</f>
        <v>1552376474684000</v>
      </c>
      <c r="C7774" t="s">
        <v>40</v>
      </c>
      <c r="D7774">
        <v>4.2795949999999996</v>
      </c>
      <c r="E7774">
        <v>0.54448289999999999</v>
      </c>
      <c r="F7774" t="s">
        <v>41</v>
      </c>
      <c r="G7774">
        <v>-359.18220000000002</v>
      </c>
      <c r="H7774">
        <v>0.89487139999999998</v>
      </c>
      <c r="I7774">
        <v>17.297049999999999</v>
      </c>
      <c r="J7774">
        <v>-359.91329999999999</v>
      </c>
      <c r="K7774">
        <v>1.1100429999999999</v>
      </c>
      <c r="L7774">
        <v>17.42267</v>
      </c>
      <c r="M7774">
        <v>0.99986830000000004</v>
      </c>
      <c r="N7774">
        <v>0</v>
      </c>
      <c r="O7774">
        <v>-5.0411290000000001E-4</v>
      </c>
      <c r="P7774">
        <v>0.99932259999999995</v>
      </c>
      <c r="Q7774">
        <v>-2.5972849999999999E-2</v>
      </c>
      <c r="R7774">
        <v>-2.6079959999999999E-2</v>
      </c>
      <c r="S7774">
        <v>2.9724430000000002</v>
      </c>
      <c r="T7774">
        <v>-0.71662340000000002</v>
      </c>
      <c r="U7774">
        <v>-0.4180603</v>
      </c>
      <c r="V7774">
        <v>2.5580229999999999E-2</v>
      </c>
      <c r="W7774">
        <v>-9.7390429999999993E-3</v>
      </c>
      <c r="X7774">
        <v>0.99962530000000005</v>
      </c>
      <c r="Y7774">
        <v>0.1349958</v>
      </c>
      <c r="Z7774">
        <v>-1.5848569999999999E-2</v>
      </c>
      <c r="AA7774">
        <v>0.99071940000000003</v>
      </c>
      <c r="AB7774">
        <v>29</v>
      </c>
      <c r="AC7774">
        <v>0.731099999999969</v>
      </c>
      <c r="AD7774">
        <v>-0.21517159999999999</v>
      </c>
      <c r="AE7774">
        <v>-0.12562000000000101</v>
      </c>
      <c r="AF7774">
        <v>0.11553109231663899</v>
      </c>
      <c r="AG7774">
        <v>-0.21517159999999999</v>
      </c>
      <c r="AH7774">
        <v>0.67442042528132795</v>
      </c>
      <c r="AI7774">
        <v>107.45658997087</v>
      </c>
      <c r="AJ7774">
        <v>80.279340736918201</v>
      </c>
      <c r="AK7774">
        <v>0.71727899786281402</v>
      </c>
      <c r="AL7774">
        <v>90.558014899253294</v>
      </c>
      <c r="AM7774">
        <v>88.534131314538698</v>
      </c>
      <c r="AN7774">
        <v>0.99999996876274899</v>
      </c>
    </row>
    <row r="7775" spans="1:40" x14ac:dyDescent="0.25">
      <c r="A7775" t="str">
        <f>"20190312154114703"</f>
        <v>20190312154114703</v>
      </c>
      <c r="B7775" t="str">
        <f>"1552376474693761"</f>
        <v>1552376474693761</v>
      </c>
      <c r="C7775" t="s">
        <v>40</v>
      </c>
      <c r="D7775">
        <v>4.2614320000000001</v>
      </c>
      <c r="E7775">
        <v>0.54378859999999996</v>
      </c>
      <c r="F7775" t="s">
        <v>41</v>
      </c>
      <c r="G7775">
        <v>-359.1671</v>
      </c>
      <c r="H7775">
        <v>0.93027680000000001</v>
      </c>
      <c r="I7775">
        <v>17.316970000000001</v>
      </c>
      <c r="J7775">
        <v>-359.76819999999998</v>
      </c>
      <c r="K7775">
        <v>1.1100030000000001</v>
      </c>
      <c r="L7775">
        <v>17.422729999999898</v>
      </c>
      <c r="M7775">
        <v>0.9998688</v>
      </c>
      <c r="N7775">
        <v>0</v>
      </c>
      <c r="O7775">
        <v>-3.7081050000000002E-4</v>
      </c>
      <c r="P7775">
        <v>0.99932920000000003</v>
      </c>
      <c r="Q7775">
        <v>-2.560399E-2</v>
      </c>
      <c r="R7775">
        <v>-2.6190479999999999E-2</v>
      </c>
      <c r="S7775">
        <v>2.9724430000000002</v>
      </c>
      <c r="T7775">
        <v>-0.71614919999999904</v>
      </c>
      <c r="U7775">
        <v>-0.42095949999999999</v>
      </c>
      <c r="V7775">
        <v>2.582425E-2</v>
      </c>
      <c r="W7775">
        <v>-9.3956490000000007E-3</v>
      </c>
      <c r="X7775">
        <v>0.99962229999999996</v>
      </c>
      <c r="Y7775">
        <v>0.13604740000000001</v>
      </c>
      <c r="Z7775">
        <v>-1.5993159999999999E-2</v>
      </c>
      <c r="AA7775">
        <v>0.99057320000000004</v>
      </c>
      <c r="AB7775">
        <v>29</v>
      </c>
      <c r="AC7775">
        <v>0.60109999999997399</v>
      </c>
      <c r="AD7775">
        <v>-0.1797262</v>
      </c>
      <c r="AE7775">
        <v>-0.105759999999996</v>
      </c>
      <c r="AF7775">
        <v>9.7115775091701495E-2</v>
      </c>
      <c r="AG7775">
        <v>-0.1797262</v>
      </c>
      <c r="AH7775">
        <v>0.55317148618497303</v>
      </c>
      <c r="AI7775">
        <v>107.745046956523</v>
      </c>
      <c r="AJ7775">
        <v>80.042525871561807</v>
      </c>
      <c r="AK7775">
        <v>0.58968777659554195</v>
      </c>
      <c r="AL7775">
        <v>90.538338977766699</v>
      </c>
      <c r="AM7775">
        <v>88.520149558898297</v>
      </c>
      <c r="AN7775">
        <v>0.99999995638273997</v>
      </c>
    </row>
    <row r="7776" spans="1:40" x14ac:dyDescent="0.25">
      <c r="A7776" t="str">
        <f>"20190312154114713"</f>
        <v>20190312154114713</v>
      </c>
      <c r="B7776" t="str">
        <f>"1552376474704496"</f>
        <v>1552376474704496</v>
      </c>
      <c r="C7776" t="s">
        <v>40</v>
      </c>
      <c r="D7776">
        <v>4.2804820000000001</v>
      </c>
      <c r="E7776">
        <v>0.54327630000000005</v>
      </c>
      <c r="F7776" t="s">
        <v>41</v>
      </c>
      <c r="G7776">
        <v>-358.92180000000002</v>
      </c>
      <c r="H7776">
        <v>0.90783919999999996</v>
      </c>
      <c r="I7776">
        <v>17.304079999999999</v>
      </c>
      <c r="J7776">
        <v>-359.62279999999998</v>
      </c>
      <c r="K7776">
        <v>1.109972</v>
      </c>
      <c r="L7776">
        <v>17.42285</v>
      </c>
      <c r="M7776">
        <v>0.99986940000000002</v>
      </c>
      <c r="N7776">
        <v>0</v>
      </c>
      <c r="O7776">
        <v>-2.32391E-4</v>
      </c>
      <c r="P7776">
        <v>0.99934049999999996</v>
      </c>
      <c r="Q7776">
        <v>-2.5437379999999999E-2</v>
      </c>
      <c r="R7776">
        <v>-2.591543E-2</v>
      </c>
      <c r="S7776">
        <v>2.9729000000000001</v>
      </c>
      <c r="T7776">
        <v>-0.71007659999999995</v>
      </c>
      <c r="U7776">
        <v>-0.41604609999999898</v>
      </c>
      <c r="V7776">
        <v>2.5687629999999999E-2</v>
      </c>
      <c r="W7776">
        <v>-9.2714479999999998E-3</v>
      </c>
      <c r="X7776">
        <v>0.99962700000000004</v>
      </c>
      <c r="Y7776">
        <v>0.1346559</v>
      </c>
      <c r="Z7776">
        <v>-1.5729960000000001E-2</v>
      </c>
      <c r="AA7776">
        <v>0.99076750000000002</v>
      </c>
      <c r="AB7776">
        <v>29</v>
      </c>
      <c r="AC7776">
        <v>0.70099999999996498</v>
      </c>
      <c r="AD7776">
        <v>-0.2021328</v>
      </c>
      <c r="AE7776">
        <v>-0.118770000000001</v>
      </c>
      <c r="AF7776">
        <v>0.10973752520991401</v>
      </c>
      <c r="AG7776">
        <v>-0.2021328</v>
      </c>
      <c r="AH7776">
        <v>0.64860410712114003</v>
      </c>
      <c r="AI7776">
        <v>107.080930884545</v>
      </c>
      <c r="AJ7776">
        <v>80.397049869287599</v>
      </c>
      <c r="AK7776">
        <v>0.68817678037656005</v>
      </c>
      <c r="AL7776">
        <v>90.531222463612806</v>
      </c>
      <c r="AM7776">
        <v>88.527981988873506</v>
      </c>
      <c r="AN7776">
        <v>0.99999997660601603</v>
      </c>
    </row>
    <row r="7777" spans="1:40" x14ac:dyDescent="0.25">
      <c r="A7777" t="str">
        <f>"20190312154114726"</f>
        <v>20190312154114726</v>
      </c>
      <c r="B7777" t="str">
        <f>"1552376474714763"</f>
        <v>1552376474714763</v>
      </c>
      <c r="C7777" t="s">
        <v>40</v>
      </c>
      <c r="D7777">
        <v>4.2877130000000001</v>
      </c>
      <c r="E7777">
        <v>0.54310459999999905</v>
      </c>
      <c r="F7777" t="s">
        <v>41</v>
      </c>
      <c r="G7777">
        <v>-358.90780000000001</v>
      </c>
      <c r="H7777">
        <v>0.93933060000000002</v>
      </c>
      <c r="I7777">
        <v>17.323720000000002</v>
      </c>
      <c r="J7777">
        <v>-359.47890000000001</v>
      </c>
      <c r="K7777">
        <v>1.1099490000000001</v>
      </c>
      <c r="L7777">
        <v>17.422969999999999</v>
      </c>
      <c r="M7777">
        <v>0.99987009999999998</v>
      </c>
      <c r="N7777">
        <v>0</v>
      </c>
      <c r="O7777" s="1">
        <v>-8.6817510000000001E-5</v>
      </c>
      <c r="P7777">
        <v>0.99935529999999995</v>
      </c>
      <c r="Q7777">
        <v>-2.510884E-2</v>
      </c>
      <c r="R7777">
        <v>-2.5670539999999999E-2</v>
      </c>
      <c r="S7777">
        <v>2.9732059999999998</v>
      </c>
      <c r="T7777">
        <v>-0.70964490000000002</v>
      </c>
      <c r="U7777">
        <v>-0.41143800000000003</v>
      </c>
      <c r="V7777">
        <v>2.5588400000000001E-2</v>
      </c>
      <c r="W7777">
        <v>-8.983174E-3</v>
      </c>
      <c r="X7777">
        <v>0.99963219999999997</v>
      </c>
      <c r="Y7777">
        <v>0.13331670000000001</v>
      </c>
      <c r="Z7777">
        <v>-1.5597919999999999E-2</v>
      </c>
      <c r="AA7777">
        <v>0.99095080000000002</v>
      </c>
      <c r="AB7777">
        <v>29</v>
      </c>
      <c r="AC7777">
        <v>0.57110000000000105</v>
      </c>
      <c r="AD7777">
        <v>-0.1706184</v>
      </c>
      <c r="AE7777">
        <v>-9.9249999999997798E-2</v>
      </c>
      <c r="AF7777">
        <v>9.1291188153585903E-2</v>
      </c>
      <c r="AG7777">
        <v>-0.1706184</v>
      </c>
      <c r="AH7777">
        <v>0.52557427118876499</v>
      </c>
      <c r="AI7777">
        <v>107.736521359687</v>
      </c>
      <c r="AJ7777">
        <v>80.146154082620797</v>
      </c>
      <c r="AK7777">
        <v>0.56006520512227398</v>
      </c>
      <c r="AL7777">
        <v>90.514704879830205</v>
      </c>
      <c r="AM7777">
        <v>88.533673456128</v>
      </c>
      <c r="AN7777">
        <v>0.99999999945325702</v>
      </c>
    </row>
    <row r="7778" spans="1:40" x14ac:dyDescent="0.25">
      <c r="A7778" t="str">
        <f>"20190312154114737"</f>
        <v>20190312154114737</v>
      </c>
      <c r="B7778" t="str">
        <f>"1552376474734283"</f>
        <v>1552376474734283</v>
      </c>
      <c r="C7778" t="s">
        <v>40</v>
      </c>
      <c r="D7778">
        <v>4.2291189999999999</v>
      </c>
      <c r="E7778">
        <v>0.54345690000000002</v>
      </c>
      <c r="F7778" t="s">
        <v>41</v>
      </c>
      <c r="G7778">
        <v>-358.66419999999999</v>
      </c>
      <c r="H7778">
        <v>0.91538059999999999</v>
      </c>
      <c r="I7778">
        <v>17.310849999999999</v>
      </c>
      <c r="J7778">
        <v>-359.3329</v>
      </c>
      <c r="K7778">
        <v>1.1099300000000001</v>
      </c>
      <c r="L7778">
        <v>17.423159999999999</v>
      </c>
      <c r="M7778">
        <v>0.99987079999999995</v>
      </c>
      <c r="N7778">
        <v>0</v>
      </c>
      <c r="O7778" s="1">
        <v>6.4267489999999993E-5</v>
      </c>
      <c r="P7778">
        <v>0.99937489999999995</v>
      </c>
      <c r="Q7778">
        <v>-2.4705910000000001E-2</v>
      </c>
      <c r="R7778">
        <v>-2.5293119999999999E-2</v>
      </c>
      <c r="S7778">
        <v>2.9735719999999999</v>
      </c>
      <c r="T7778">
        <v>-0.71026049999999996</v>
      </c>
      <c r="U7778">
        <v>-0.40936280000000003</v>
      </c>
      <c r="V7778">
        <v>2.5361990000000001E-2</v>
      </c>
      <c r="W7778">
        <v>-8.6205320000000002E-3</v>
      </c>
      <c r="X7778">
        <v>0.99964120000000001</v>
      </c>
      <c r="Y7778">
        <v>0.13277610000000001</v>
      </c>
      <c r="Z7778">
        <v>-1.558199E-2</v>
      </c>
      <c r="AA7778">
        <v>0.9910236</v>
      </c>
      <c r="AB7778">
        <v>29</v>
      </c>
      <c r="AC7778">
        <v>0.66870000000000096</v>
      </c>
      <c r="AD7778">
        <v>-0.19454939999999901</v>
      </c>
      <c r="AE7778">
        <v>-0.11230999999999999</v>
      </c>
      <c r="AF7778">
        <v>0.103807348493045</v>
      </c>
      <c r="AG7778">
        <v>-0.19454939999999901</v>
      </c>
      <c r="AH7778">
        <v>0.617831621513249</v>
      </c>
      <c r="AI7778">
        <v>107.25154725020499</v>
      </c>
      <c r="AJ7778">
        <v>80.462314771412693</v>
      </c>
      <c r="AK7778">
        <v>0.65600407558429596</v>
      </c>
      <c r="AL7778">
        <v>90.493926200465793</v>
      </c>
      <c r="AM7778">
        <v>88.546655223111401</v>
      </c>
      <c r="AN7778">
        <v>1.0000000364230801</v>
      </c>
    </row>
    <row r="7779" spans="1:40" x14ac:dyDescent="0.25">
      <c r="A7779" t="str">
        <f>"20190312154114754"</f>
        <v>20190312154114754</v>
      </c>
      <c r="B7779" t="str">
        <f>"1552376474744042"</f>
        <v>1552376474744042</v>
      </c>
      <c r="C7779" t="s">
        <v>40</v>
      </c>
      <c r="D7779">
        <v>4.3084759999999998</v>
      </c>
      <c r="E7779">
        <v>0.54345690000000002</v>
      </c>
      <c r="F7779" t="s">
        <v>41</v>
      </c>
      <c r="G7779">
        <v>-358.65010000000001</v>
      </c>
      <c r="H7779">
        <v>0.94604670000000002</v>
      </c>
      <c r="I7779">
        <v>17.328769999999999</v>
      </c>
      <c r="J7779">
        <v>-359.11110000000002</v>
      </c>
      <c r="K7779">
        <v>1.109915</v>
      </c>
      <c r="L7779">
        <v>17.42343</v>
      </c>
      <c r="M7779">
        <v>0.99987179999999998</v>
      </c>
      <c r="N7779">
        <v>0</v>
      </c>
      <c r="O7779">
        <v>3.0909479999999999E-4</v>
      </c>
      <c r="P7779">
        <v>0.99941120000000006</v>
      </c>
      <c r="Q7779">
        <v>-2.4397539999999999E-2</v>
      </c>
      <c r="R7779">
        <v>-2.4135859999999999E-2</v>
      </c>
      <c r="S7779">
        <v>2.9738159999999998</v>
      </c>
      <c r="T7779">
        <v>-0.71381839999999996</v>
      </c>
      <c r="U7779">
        <v>-0.41122439999999999</v>
      </c>
      <c r="V7779">
        <v>2.4449289999999999E-2</v>
      </c>
      <c r="W7779">
        <v>-8.3738999999999897E-3</v>
      </c>
      <c r="X7779">
        <v>0.99966600000000005</v>
      </c>
      <c r="Y7779">
        <v>0.13355249999999999</v>
      </c>
      <c r="Z7779">
        <v>-1.5805199999999998E-2</v>
      </c>
      <c r="AA7779">
        <v>0.99091569999999995</v>
      </c>
      <c r="AB7779">
        <v>29</v>
      </c>
      <c r="AC7779">
        <v>0.46100000000001201</v>
      </c>
      <c r="AD7779">
        <v>-0.16386829999999999</v>
      </c>
      <c r="AE7779">
        <v>-9.4659999999997496E-2</v>
      </c>
      <c r="AF7779">
        <v>8.4551348006225505E-2</v>
      </c>
      <c r="AG7779">
        <v>-0.16386829999999999</v>
      </c>
      <c r="AH7779">
        <v>0.41112515726825599</v>
      </c>
      <c r="AI7779">
        <v>111.326374342601</v>
      </c>
      <c r="AJ7779">
        <v>78.378675525261698</v>
      </c>
      <c r="AK7779">
        <v>0.45058367162315999</v>
      </c>
      <c r="AL7779">
        <v>90.479794735184001</v>
      </c>
      <c r="AM7779">
        <v>88.598970139180096</v>
      </c>
      <c r="AN7779">
        <v>1.0000000007693499</v>
      </c>
    </row>
    <row r="7780" spans="1:40" x14ac:dyDescent="0.25">
      <c r="A7780" t="str">
        <f>"20190312154114865"</f>
        <v>20190312154114865</v>
      </c>
      <c r="B7780" t="str">
        <f>"1552376474853861"</f>
        <v>1552376474853861</v>
      </c>
      <c r="C7780" t="s">
        <v>40</v>
      </c>
      <c r="D7780">
        <v>4.3521769999999904</v>
      </c>
      <c r="E7780">
        <v>0.52272220000000003</v>
      </c>
      <c r="F7780" t="s">
        <v>41</v>
      </c>
      <c r="G7780">
        <v>-357.20359999999999</v>
      </c>
      <c r="H7780">
        <v>0.77875719999999904</v>
      </c>
      <c r="I7780">
        <v>17.313269999999999</v>
      </c>
      <c r="J7780">
        <v>-357.71199999999999</v>
      </c>
      <c r="K7780">
        <v>1.1097170000000001</v>
      </c>
      <c r="L7780">
        <v>17.426570000000002</v>
      </c>
      <c r="M7780">
        <v>0.99987720000000002</v>
      </c>
      <c r="N7780">
        <v>0</v>
      </c>
      <c r="O7780">
        <v>1.9415739999999999E-3</v>
      </c>
      <c r="P7780">
        <v>0.99951610000000002</v>
      </c>
      <c r="Q7780">
        <v>-2.329382E-2</v>
      </c>
      <c r="R7780">
        <v>-2.0621670000000002E-2</v>
      </c>
      <c r="S7780">
        <v>2.954437</v>
      </c>
      <c r="T7780">
        <v>-1.528759</v>
      </c>
      <c r="U7780">
        <v>-0.52014159999999998</v>
      </c>
      <c r="V7780">
        <v>2.256681E-2</v>
      </c>
      <c r="W7780">
        <v>-7.7342330000000001E-3</v>
      </c>
      <c r="X7780">
        <v>0.99971540000000003</v>
      </c>
      <c r="Y7780">
        <v>0.1559749</v>
      </c>
      <c r="Z7780">
        <v>-3.8660090000000001E-2</v>
      </c>
      <c r="AA7780">
        <v>0.9870042</v>
      </c>
      <c r="AB7780">
        <v>28</v>
      </c>
      <c r="AC7780">
        <v>0.50839999999999397</v>
      </c>
      <c r="AD7780">
        <v>-0.33095980000000003</v>
      </c>
      <c r="AE7780">
        <v>-0.113299999999998</v>
      </c>
      <c r="AF7780">
        <v>8.1416776949886499E-2</v>
      </c>
      <c r="AG7780">
        <v>-0.33095980000000003</v>
      </c>
      <c r="AH7780">
        <v>0.36202103817342701</v>
      </c>
      <c r="AI7780">
        <v>131.73050193287199</v>
      </c>
      <c r="AJ7780">
        <v>77.325334435006198</v>
      </c>
      <c r="AK7780">
        <v>0.49721455415656701</v>
      </c>
      <c r="AL7780">
        <v>90.443143335566504</v>
      </c>
      <c r="AM7780">
        <v>88.706868551146997</v>
      </c>
      <c r="AN7780">
        <v>0.99999998013541702</v>
      </c>
    </row>
    <row r="7781" spans="1:40" x14ac:dyDescent="0.25">
      <c r="A7781" t="str">
        <f>"20190312154114876"</f>
        <v>20190312154114876</v>
      </c>
      <c r="B7781" t="str">
        <f>"1552376474864596"</f>
        <v>1552376474864596</v>
      </c>
      <c r="C7781" t="s">
        <v>40</v>
      </c>
      <c r="D7781">
        <v>4.3604989999999999</v>
      </c>
      <c r="E7781">
        <v>0.51997409999999999</v>
      </c>
      <c r="F7781" t="s">
        <v>41</v>
      </c>
      <c r="G7781">
        <v>-356.87849999999997</v>
      </c>
      <c r="H7781">
        <v>0.95275010000000004</v>
      </c>
      <c r="I7781">
        <v>17.360429999999901</v>
      </c>
      <c r="J7781">
        <v>-357.5761</v>
      </c>
      <c r="K7781">
        <v>1.109685</v>
      </c>
      <c r="L7781">
        <v>17.427</v>
      </c>
      <c r="M7781">
        <v>0.99987809999999999</v>
      </c>
      <c r="N7781">
        <v>0</v>
      </c>
      <c r="O7781">
        <v>2.0923700000000001E-3</v>
      </c>
      <c r="P7781">
        <v>0.99952700000000005</v>
      </c>
      <c r="Q7781">
        <v>-2.3098440000000001E-2</v>
      </c>
      <c r="R7781">
        <v>-2.0304699999999998E-2</v>
      </c>
      <c r="S7781">
        <v>2.9834900000000002</v>
      </c>
      <c r="T7781">
        <v>-0.56186910000000001</v>
      </c>
      <c r="U7781">
        <v>-0.23562620000000001</v>
      </c>
      <c r="V7781">
        <v>2.2400670000000001E-2</v>
      </c>
      <c r="W7781">
        <v>-7.61241E-3</v>
      </c>
      <c r="X7781">
        <v>0.9997201</v>
      </c>
      <c r="Y7781">
        <v>7.9393820000000004E-2</v>
      </c>
      <c r="Z7781">
        <v>-7.7896830000000004E-3</v>
      </c>
      <c r="AA7781">
        <v>0.9968129</v>
      </c>
      <c r="AB7781">
        <v>28</v>
      </c>
      <c r="AC7781">
        <v>0.69760000000002198</v>
      </c>
      <c r="AD7781">
        <v>-0.15693489999999999</v>
      </c>
      <c r="AE7781">
        <v>-6.6570000000002197E-2</v>
      </c>
      <c r="AF7781">
        <v>6.4780773963774796E-2</v>
      </c>
      <c r="AG7781">
        <v>-0.15693489999999999</v>
      </c>
      <c r="AH7781">
        <v>0.66415061378973395</v>
      </c>
      <c r="AI7781">
        <v>103.234218944258</v>
      </c>
      <c r="AJ7781">
        <v>84.429033435700703</v>
      </c>
      <c r="AK7781">
        <v>0.68550794985225105</v>
      </c>
      <c r="AL7781">
        <v>90.436163173774005</v>
      </c>
      <c r="AM7781">
        <v>88.716391600736003</v>
      </c>
      <c r="AN7781">
        <v>1.0000000085732299</v>
      </c>
    </row>
    <row r="7782" spans="1:40" x14ac:dyDescent="0.25">
      <c r="A7782" t="str">
        <f>"20190312154114888"</f>
        <v>20190312154114888</v>
      </c>
      <c r="B7782" t="str">
        <f>"1552376474884117"</f>
        <v>1552376474884117</v>
      </c>
      <c r="C7782" t="s">
        <v>40</v>
      </c>
      <c r="D7782">
        <v>5.3433390000000003</v>
      </c>
      <c r="E7782">
        <v>0.51822800000000002</v>
      </c>
      <c r="F7782" t="s">
        <v>41</v>
      </c>
      <c r="G7782">
        <v>-356.85489999999999</v>
      </c>
      <c r="H7782">
        <v>1.0000309999999999</v>
      </c>
      <c r="I7782">
        <v>17.374929999999999</v>
      </c>
      <c r="J7782">
        <v>-357.43259999999998</v>
      </c>
      <c r="K7782">
        <v>1.109659</v>
      </c>
      <c r="L7782">
        <v>17.42746</v>
      </c>
      <c r="M7782">
        <v>0.99987910000000002</v>
      </c>
      <c r="N7782">
        <v>0</v>
      </c>
      <c r="O7782">
        <v>2.2531959999999998E-3</v>
      </c>
      <c r="P7782">
        <v>0.99953199999999998</v>
      </c>
      <c r="Q7782">
        <v>-2.2994529999999999E-2</v>
      </c>
      <c r="R7782">
        <v>-2.0183039999999999E-2</v>
      </c>
      <c r="S7782">
        <v>2.9866030000000001</v>
      </c>
      <c r="T7782">
        <v>-0.45404739999999999</v>
      </c>
      <c r="U7782">
        <v>-0.21432499999999999</v>
      </c>
      <c r="V7782">
        <v>2.2439580000000001E-2</v>
      </c>
      <c r="W7782">
        <v>-7.599008E-3</v>
      </c>
      <c r="X7782">
        <v>0.99971929999999998</v>
      </c>
      <c r="Y7782">
        <v>7.2965639999999998E-2</v>
      </c>
      <c r="Z7782">
        <v>-5.8479760000000004E-3</v>
      </c>
      <c r="AA7782">
        <v>0.99731729999999996</v>
      </c>
      <c r="AB7782">
        <v>28</v>
      </c>
      <c r="AC7782">
        <v>0.577699999999992</v>
      </c>
      <c r="AD7782">
        <v>-0.109628</v>
      </c>
      <c r="AE7782">
        <v>-5.2530000000000798E-2</v>
      </c>
      <c r="AF7782">
        <v>5.1975343366840399E-2</v>
      </c>
      <c r="AG7782">
        <v>-0.109628</v>
      </c>
      <c r="AH7782">
        <v>0.55766270645314897</v>
      </c>
      <c r="AI7782">
        <v>101.074854349208</v>
      </c>
      <c r="AJ7782">
        <v>84.675294572439299</v>
      </c>
      <c r="AK7782">
        <v>0.57070783144333304</v>
      </c>
      <c r="AL7782">
        <v>90.435395286307894</v>
      </c>
      <c r="AM7782">
        <v>88.714161690166094</v>
      </c>
      <c r="AN7782">
        <v>0.99999997923282502</v>
      </c>
    </row>
    <row r="7783" spans="1:40" x14ac:dyDescent="0.25">
      <c r="A7783" t="str">
        <f>"20190312154114899"</f>
        <v>20190312154114899</v>
      </c>
      <c r="B7783" t="str">
        <f>"1552376474893877"</f>
        <v>1552376474893877</v>
      </c>
      <c r="C7783" t="s">
        <v>40</v>
      </c>
      <c r="D7783">
        <v>4.3591660000000001</v>
      </c>
      <c r="E7783">
        <v>0.51558689999999996</v>
      </c>
      <c r="F7783" t="s">
        <v>41</v>
      </c>
      <c r="G7783">
        <v>-356.58780000000002</v>
      </c>
      <c r="H7783">
        <v>1.0330589999999999</v>
      </c>
      <c r="I7783">
        <v>17.370049999999999</v>
      </c>
      <c r="J7783">
        <v>-357.29390000000001</v>
      </c>
      <c r="K7783">
        <v>1.109637</v>
      </c>
      <c r="L7783">
        <v>17.427979999999899</v>
      </c>
      <c r="M7783">
        <v>0.99988010000000005</v>
      </c>
      <c r="N7783">
        <v>0</v>
      </c>
      <c r="O7783">
        <v>2.4093780000000002E-3</v>
      </c>
      <c r="P7783">
        <v>0.99953669999999994</v>
      </c>
      <c r="Q7783">
        <v>-2.293713E-2</v>
      </c>
      <c r="R7783">
        <v>-2.001491E-2</v>
      </c>
      <c r="S7783">
        <v>2.9910890000000001</v>
      </c>
      <c r="T7783">
        <v>-0.27122410000000002</v>
      </c>
      <c r="U7783">
        <v>-0.20285030000000001</v>
      </c>
      <c r="V7783">
        <v>2.242765E-2</v>
      </c>
      <c r="W7783">
        <v>-7.6265100000000004E-3</v>
      </c>
      <c r="X7783">
        <v>0.99971940000000004</v>
      </c>
      <c r="Y7783">
        <v>6.9771949999999999E-2</v>
      </c>
      <c r="Z7783">
        <v>-3.371102E-3</v>
      </c>
      <c r="AA7783">
        <v>0.99755729999999998</v>
      </c>
      <c r="AB7783">
        <v>28</v>
      </c>
      <c r="AC7783">
        <v>0.70609999999999196</v>
      </c>
      <c r="AD7783">
        <v>-7.6577999999999993E-2</v>
      </c>
      <c r="AE7783">
        <v>-5.7929999999998899E-2</v>
      </c>
      <c r="AF7783">
        <v>5.8942653252709601E-2</v>
      </c>
      <c r="AG7783">
        <v>-7.6577999999999993E-2</v>
      </c>
      <c r="AH7783">
        <v>0.69780574688729302</v>
      </c>
      <c r="AI7783">
        <v>96.240596665502295</v>
      </c>
      <c r="AJ7783">
        <v>85.171768742758204</v>
      </c>
      <c r="AK7783">
        <v>0.70446524885575601</v>
      </c>
      <c r="AL7783">
        <v>90.436971062307094</v>
      </c>
      <c r="AM7783">
        <v>88.714845205128299</v>
      </c>
      <c r="AN7783">
        <v>1.0000000209378299</v>
      </c>
    </row>
    <row r="7784" spans="1:40" x14ac:dyDescent="0.25">
      <c r="A7784" t="str">
        <f>"20190312154114909"</f>
        <v>20190312154114909</v>
      </c>
      <c r="B7784" t="str">
        <f>"1552376474903638"</f>
        <v>1552376474903638</v>
      </c>
      <c r="C7784" t="s">
        <v>40</v>
      </c>
      <c r="D7784">
        <v>4.3814529999999996</v>
      </c>
      <c r="E7784">
        <v>0.51558689999999996</v>
      </c>
      <c r="F7784" t="s">
        <v>41</v>
      </c>
      <c r="G7784">
        <v>-356.33370000000002</v>
      </c>
      <c r="H7784">
        <v>1.0404519999999999</v>
      </c>
      <c r="I7784">
        <v>17.369250000000001</v>
      </c>
      <c r="J7784">
        <v>-357.15280000000001</v>
      </c>
      <c r="K7784">
        <v>1.109637</v>
      </c>
      <c r="L7784">
        <v>17.4285</v>
      </c>
      <c r="M7784">
        <v>0.99988060000000001</v>
      </c>
      <c r="N7784">
        <v>0</v>
      </c>
      <c r="O7784">
        <v>2.5700580000000001E-3</v>
      </c>
      <c r="P7784">
        <v>0.99953999999999998</v>
      </c>
      <c r="Q7784">
        <v>-2.289304E-2</v>
      </c>
      <c r="R7784">
        <v>-1.9895489999999998E-2</v>
      </c>
      <c r="S7784">
        <v>2.9927980000000001</v>
      </c>
      <c r="T7784">
        <v>-0.2156894</v>
      </c>
      <c r="U7784">
        <v>-0.18212890000000001</v>
      </c>
      <c r="V7784">
        <v>2.246892E-2</v>
      </c>
      <c r="W7784">
        <v>-7.6438590000000002E-3</v>
      </c>
      <c r="X7784">
        <v>0.99971829999999995</v>
      </c>
      <c r="Y7784">
        <v>6.3138979999999997E-2</v>
      </c>
      <c r="Z7784">
        <v>-2.454997E-3</v>
      </c>
      <c r="AA7784">
        <v>0.99800180000000005</v>
      </c>
      <c r="AB7784">
        <v>28</v>
      </c>
      <c r="AC7784">
        <v>0.81909999999999095</v>
      </c>
      <c r="AD7784">
        <v>-6.9184999999999802E-2</v>
      </c>
      <c r="AE7784">
        <v>-5.9249999999998602E-2</v>
      </c>
      <c r="AF7784">
        <v>6.0922805354905601E-2</v>
      </c>
      <c r="AG7784">
        <v>-6.9184999999999802E-2</v>
      </c>
      <c r="AH7784">
        <v>0.813173789989458</v>
      </c>
      <c r="AI7784">
        <v>94.849499913286195</v>
      </c>
      <c r="AJ7784">
        <v>85.715416982802296</v>
      </c>
      <c r="AK7784">
        <v>0.818382407657405</v>
      </c>
      <c r="AL7784">
        <v>90.437965133603896</v>
      </c>
      <c r="AM7784">
        <v>88.712479720406293</v>
      </c>
      <c r="AN7784">
        <v>0.99999998015063296</v>
      </c>
    </row>
    <row r="7785" spans="1:40" x14ac:dyDescent="0.25">
      <c r="A7785" t="str">
        <f>"20190312154114922"</f>
        <v>20190312154114922</v>
      </c>
      <c r="B7785" t="str">
        <f>"1552376474913908"</f>
        <v>1552376474913908</v>
      </c>
      <c r="C7785" t="s">
        <v>40</v>
      </c>
      <c r="D7785">
        <v>4.3655229999999996</v>
      </c>
      <c r="E7785">
        <v>0.51303520000000002</v>
      </c>
      <c r="F7785" t="s">
        <v>41</v>
      </c>
      <c r="G7785">
        <v>-356.32549999999998</v>
      </c>
      <c r="H7785">
        <v>1.050079</v>
      </c>
      <c r="I7785">
        <v>17.377939999999999</v>
      </c>
      <c r="J7785">
        <v>-356.9941</v>
      </c>
      <c r="K7785">
        <v>1.1096379999999999</v>
      </c>
      <c r="L7785">
        <v>17.429079999999999</v>
      </c>
      <c r="M7785">
        <v>0.99988100000000002</v>
      </c>
      <c r="N7785">
        <v>0</v>
      </c>
      <c r="O7785">
        <v>2.751421E-3</v>
      </c>
      <c r="P7785">
        <v>0.99954189999999998</v>
      </c>
      <c r="Q7785">
        <v>-2.2885450000000002E-2</v>
      </c>
      <c r="R7785">
        <v>-1.981016E-2</v>
      </c>
      <c r="S7785">
        <v>2.9927980000000001</v>
      </c>
      <c r="T7785">
        <v>-0.2155157</v>
      </c>
      <c r="U7785">
        <v>-0.1818237</v>
      </c>
      <c r="V7785">
        <v>2.2564859999999999E-2</v>
      </c>
      <c r="W7785">
        <v>-7.6914259999999899E-3</v>
      </c>
      <c r="X7785">
        <v>0.99971580000000004</v>
      </c>
      <c r="Y7785">
        <v>6.3218209999999997E-2</v>
      </c>
      <c r="Z7785">
        <v>-2.4689109999999998E-3</v>
      </c>
      <c r="AA7785">
        <v>0.99799669999999896</v>
      </c>
      <c r="AB7785">
        <v>28</v>
      </c>
      <c r="AC7785">
        <v>0.66860000000002595</v>
      </c>
      <c r="AD7785">
        <v>-5.9558999999999897E-2</v>
      </c>
      <c r="AE7785">
        <v>-5.1140000000000102E-2</v>
      </c>
      <c r="AF7785">
        <v>5.2564927342537301E-2</v>
      </c>
      <c r="AG7785">
        <v>-5.9558999999999897E-2</v>
      </c>
      <c r="AH7785">
        <v>0.66322448628728603</v>
      </c>
      <c r="AI7785">
        <v>95.115564449927106</v>
      </c>
      <c r="AJ7785">
        <v>85.468403232504002</v>
      </c>
      <c r="AK7785">
        <v>0.66796486829665003</v>
      </c>
      <c r="AL7785">
        <v>90.440690590794404</v>
      </c>
      <c r="AM7785">
        <v>88.706980769989997</v>
      </c>
      <c r="AN7785">
        <v>1.0000000058551799</v>
      </c>
    </row>
    <row r="7786" spans="1:40" x14ac:dyDescent="0.25">
      <c r="A7786" t="str">
        <f>"20190312154114933"</f>
        <v>20190312154114933</v>
      </c>
      <c r="B7786" t="str">
        <f>"1552376474923665"</f>
        <v>1552376474923665</v>
      </c>
      <c r="C7786" t="s">
        <v>40</v>
      </c>
      <c r="D7786">
        <v>4.3528390000000003</v>
      </c>
      <c r="E7786">
        <v>0.51232559999999905</v>
      </c>
      <c r="F7786" t="s">
        <v>42</v>
      </c>
      <c r="G7786">
        <v>-331.01299999999998</v>
      </c>
      <c r="H7786" s="1">
        <v>-4.4757280000000001E-6</v>
      </c>
      <c r="I7786">
        <v>16.019400000000001</v>
      </c>
      <c r="J7786">
        <v>-356.8535</v>
      </c>
      <c r="K7786">
        <v>1.1096520000000001</v>
      </c>
      <c r="L7786">
        <v>17.42963</v>
      </c>
      <c r="M7786">
        <v>0.99988109999999997</v>
      </c>
      <c r="N7786">
        <v>0</v>
      </c>
      <c r="O7786">
        <v>2.9130100000000002E-3</v>
      </c>
      <c r="P7786">
        <v>0.99954469999999995</v>
      </c>
      <c r="Q7786">
        <v>-2.2844389999999999E-2</v>
      </c>
      <c r="R7786">
        <v>-1.9719560000000001E-2</v>
      </c>
      <c r="S7786">
        <v>2.9952390000000002</v>
      </c>
      <c r="T7786">
        <v>-0.1279255</v>
      </c>
      <c r="U7786">
        <v>-0.16250609999999999</v>
      </c>
      <c r="V7786">
        <v>2.263573E-2</v>
      </c>
      <c r="W7786">
        <v>-7.682838E-3</v>
      </c>
      <c r="X7786">
        <v>0.99971429999999994</v>
      </c>
      <c r="Y7786">
        <v>5.7029469999999999E-2</v>
      </c>
      <c r="Z7786">
        <v>-1.3406879999999901E-3</v>
      </c>
      <c r="AA7786">
        <v>0.99837160000000003</v>
      </c>
      <c r="AB7786">
        <v>28</v>
      </c>
      <c r="AC7786">
        <v>25.840499999999899</v>
      </c>
      <c r="AD7786">
        <v>-1.1096564757279901</v>
      </c>
      <c r="AE7786">
        <v>-1.4102299999999901</v>
      </c>
      <c r="AF7786">
        <v>1.4827800646060501</v>
      </c>
      <c r="AG7786">
        <v>-1.1096564757279901</v>
      </c>
      <c r="AH7786">
        <v>25.788866829295699</v>
      </c>
      <c r="AI7786">
        <v>92.459774609705903</v>
      </c>
      <c r="AJ7786">
        <v>86.709292974859196</v>
      </c>
      <c r="AK7786">
        <v>25.855282372336699</v>
      </c>
      <c r="AL7786">
        <v>90.440198504215402</v>
      </c>
      <c r="AM7786">
        <v>88.702919192981895</v>
      </c>
      <c r="AN7786">
        <v>1.0000000419484201</v>
      </c>
    </row>
    <row r="7787" spans="1:40" x14ac:dyDescent="0.25">
      <c r="A7787" t="str">
        <f>"20190312154114945"</f>
        <v>20190312154114945</v>
      </c>
      <c r="B7787" t="str">
        <f>"1552376474934401"</f>
        <v>1552376474934401</v>
      </c>
      <c r="C7787" t="s">
        <v>40</v>
      </c>
      <c r="D7787">
        <v>4.3869069999999999</v>
      </c>
      <c r="E7787">
        <v>0.51171199999999994</v>
      </c>
      <c r="F7787" t="s">
        <v>42</v>
      </c>
      <c r="G7787">
        <v>-329.94400000000002</v>
      </c>
      <c r="H7787" s="1">
        <v>-9.6196519999999898E-7</v>
      </c>
      <c r="I7787">
        <v>16.022410000000001</v>
      </c>
      <c r="J7787">
        <v>-356.71710000000002</v>
      </c>
      <c r="K7787">
        <v>1.1096790000000001</v>
      </c>
      <c r="L7787">
        <v>17.430209999999999</v>
      </c>
      <c r="M7787">
        <v>0.99988080000000001</v>
      </c>
      <c r="N7787">
        <v>0</v>
      </c>
      <c r="O7787">
        <v>3.069998E-3</v>
      </c>
      <c r="P7787">
        <v>0.99953760000000003</v>
      </c>
      <c r="Q7787">
        <v>-2.3056139999999999E-2</v>
      </c>
      <c r="R7787">
        <v>-1.9823940000000002E-2</v>
      </c>
      <c r="S7787">
        <v>2.9954830000000001</v>
      </c>
      <c r="T7787">
        <v>-0.12352340000000001</v>
      </c>
      <c r="U7787">
        <v>-0.1566467</v>
      </c>
      <c r="V7787">
        <v>2.2897089999999998E-2</v>
      </c>
      <c r="W7787">
        <v>-7.9159439999999994E-3</v>
      </c>
      <c r="X7787">
        <v>0.99970650000000005</v>
      </c>
      <c r="Y7787">
        <v>5.5239450000000002E-2</v>
      </c>
      <c r="Z7787">
        <v>-1.264154E-3</v>
      </c>
      <c r="AA7787">
        <v>0.99847229999999998</v>
      </c>
      <c r="AB7787">
        <v>28</v>
      </c>
      <c r="AC7787">
        <v>26.773099999999999</v>
      </c>
      <c r="AD7787">
        <v>-1.1096799619652</v>
      </c>
      <c r="AE7787">
        <v>-1.4077999999999899</v>
      </c>
      <c r="AF7787">
        <v>1.48744789617628</v>
      </c>
      <c r="AG7787">
        <v>-1.1096799619652</v>
      </c>
      <c r="AH7787">
        <v>26.722870696526901</v>
      </c>
      <c r="AI7787">
        <v>92.374197575021</v>
      </c>
      <c r="AJ7787">
        <v>86.814091002439994</v>
      </c>
      <c r="AK7787">
        <v>26.787230336955702</v>
      </c>
      <c r="AL7787">
        <v>90.453554913256099</v>
      </c>
      <c r="AM7787">
        <v>88.687937619392997</v>
      </c>
      <c r="AN7787">
        <v>1.00000001252106</v>
      </c>
    </row>
    <row r="7788" spans="1:40" x14ac:dyDescent="0.25">
      <c r="A7788" t="str">
        <f>"20190312154114956"</f>
        <v>20190312154114956</v>
      </c>
      <c r="B7788" t="str">
        <f>"1552376474944162"</f>
        <v>1552376474944162</v>
      </c>
      <c r="C7788" t="s">
        <v>40</v>
      </c>
      <c r="D7788">
        <v>4.3051370000000002</v>
      </c>
      <c r="E7788">
        <v>0.51114950000000003</v>
      </c>
      <c r="F7788" t="s">
        <v>42</v>
      </c>
      <c r="G7788">
        <v>-328.98320000000001</v>
      </c>
      <c r="H7788" s="1">
        <v>-1.3311170000000001E-6</v>
      </c>
      <c r="I7788">
        <v>16.021729999999899</v>
      </c>
      <c r="J7788">
        <v>-356.56799999999998</v>
      </c>
      <c r="K7788">
        <v>1.109704</v>
      </c>
      <c r="L7788">
        <v>17.430820000000001</v>
      </c>
      <c r="M7788">
        <v>0.99988060000000001</v>
      </c>
      <c r="N7788">
        <v>0</v>
      </c>
      <c r="O7788">
        <v>3.2418059999999999E-3</v>
      </c>
      <c r="P7788">
        <v>0.99954299999999996</v>
      </c>
      <c r="Q7788">
        <v>-2.2825970000000001E-2</v>
      </c>
      <c r="R7788">
        <v>-1.9824290000000001E-2</v>
      </c>
      <c r="S7788">
        <v>2.9955750000000001</v>
      </c>
      <c r="T7788">
        <v>-0.1198578</v>
      </c>
      <c r="U7788">
        <v>-0.15213009999999999</v>
      </c>
      <c r="V7788">
        <v>2.3068999999999999E-2</v>
      </c>
      <c r="W7788">
        <v>-7.7042899999999999E-3</v>
      </c>
      <c r="X7788">
        <v>0.99970420000000004</v>
      </c>
      <c r="Y7788">
        <v>5.3911720000000003E-2</v>
      </c>
      <c r="Z7788">
        <v>-1.2070150000000001E-3</v>
      </c>
      <c r="AA7788">
        <v>0.99854500000000002</v>
      </c>
      <c r="AB7788">
        <v>28</v>
      </c>
      <c r="AC7788">
        <v>27.584800000000001</v>
      </c>
      <c r="AD7788">
        <v>-1.109705331117</v>
      </c>
      <c r="AE7788">
        <v>-1.40909</v>
      </c>
      <c r="AF7788">
        <v>1.4961024388567501</v>
      </c>
      <c r="AG7788">
        <v>-1.109705331117</v>
      </c>
      <c r="AH7788">
        <v>27.535639845915899</v>
      </c>
      <c r="AI7788">
        <v>92.304415414180994</v>
      </c>
      <c r="AJ7788">
        <v>86.889988643446102</v>
      </c>
      <c r="AK7788">
        <v>27.598572973134999</v>
      </c>
      <c r="AL7788">
        <v>90.4414276631897</v>
      </c>
      <c r="AM7788">
        <v>88.678087174661599</v>
      </c>
      <c r="AN7788">
        <v>1.0000000111715199</v>
      </c>
    </row>
    <row r="7789" spans="1:40" x14ac:dyDescent="0.25">
      <c r="A7789" t="str">
        <f>"20190312154114969"</f>
        <v>20190312154114969</v>
      </c>
      <c r="B7789" t="str">
        <f>"1552376474963683"</f>
        <v>1552376474963683</v>
      </c>
      <c r="C7789" t="s">
        <v>40</v>
      </c>
      <c r="D7789">
        <v>4.3661519999999996</v>
      </c>
      <c r="E7789">
        <v>0.50990170000000001</v>
      </c>
      <c r="F7789" t="s">
        <v>42</v>
      </c>
      <c r="G7789">
        <v>-327.43700000000001</v>
      </c>
      <c r="H7789" s="1">
        <v>-1.9321800000000002E-6</v>
      </c>
      <c r="I7789">
        <v>15.994249999999999</v>
      </c>
      <c r="J7789">
        <v>-356.4237</v>
      </c>
      <c r="K7789">
        <v>1.109737</v>
      </c>
      <c r="L7789">
        <v>17.43149</v>
      </c>
      <c r="M7789">
        <v>0.99988010000000005</v>
      </c>
      <c r="N7789">
        <v>0</v>
      </c>
      <c r="O7789">
        <v>3.4066159999999999E-3</v>
      </c>
      <c r="P7789">
        <v>0.99953610000000004</v>
      </c>
      <c r="Q7789">
        <v>-2.309336E-2</v>
      </c>
      <c r="R7789">
        <v>-1.9864489999999999E-2</v>
      </c>
      <c r="S7789">
        <v>2.995819</v>
      </c>
      <c r="T7789">
        <v>-0.11412170000000001</v>
      </c>
      <c r="U7789">
        <v>-0.14773559999999999</v>
      </c>
      <c r="V7789">
        <v>2.3274039999999999E-2</v>
      </c>
      <c r="W7789">
        <v>-7.9837659999999998E-3</v>
      </c>
      <c r="X7789">
        <v>0.99969730000000001</v>
      </c>
      <c r="Y7789">
        <v>5.2616129999999997E-2</v>
      </c>
      <c r="Z7789">
        <v>-1.1308620000000001E-3</v>
      </c>
      <c r="AA7789">
        <v>0.99861420000000001</v>
      </c>
      <c r="AB7789">
        <v>28</v>
      </c>
      <c r="AC7789">
        <v>28.9866999999999</v>
      </c>
      <c r="AD7789">
        <v>-1.10973893218</v>
      </c>
      <c r="AE7789">
        <v>-1.4372400000000001</v>
      </c>
      <c r="AF7789">
        <v>1.53374698766922</v>
      </c>
      <c r="AG7789">
        <v>-1.10973893218</v>
      </c>
      <c r="AH7789">
        <v>28.9393228359788</v>
      </c>
      <c r="AI7789">
        <v>92.192975917613694</v>
      </c>
      <c r="AJ7789">
        <v>86.966235536206696</v>
      </c>
      <c r="AK7789">
        <v>29.001177674790799</v>
      </c>
      <c r="AL7789">
        <v>90.457440930229794</v>
      </c>
      <c r="AM7789">
        <v>88.666332880204806</v>
      </c>
      <c r="AN7789">
        <v>1.0000000565423699</v>
      </c>
    </row>
    <row r="7790" spans="1:40" x14ac:dyDescent="0.25">
      <c r="A7790" t="str">
        <f>"20190312154114983"</f>
        <v>20190312154114983</v>
      </c>
      <c r="B7790" t="str">
        <f>"1552376474974417"</f>
        <v>1552376474974417</v>
      </c>
      <c r="C7790" t="s">
        <v>40</v>
      </c>
      <c r="D7790">
        <v>4.3730650000000004</v>
      </c>
      <c r="E7790">
        <v>0.50952419999999998</v>
      </c>
      <c r="F7790" t="s">
        <v>42</v>
      </c>
      <c r="G7790">
        <v>-328.4812</v>
      </c>
      <c r="H7790" s="1">
        <v>-1.4909469999999901E-6</v>
      </c>
      <c r="I7790">
        <v>16.145510000000002</v>
      </c>
      <c r="J7790">
        <v>-356.25189999999998</v>
      </c>
      <c r="K7790">
        <v>1.1097729999999999</v>
      </c>
      <c r="L7790">
        <v>17.432279999999999</v>
      </c>
      <c r="M7790">
        <v>0.99987979999999999</v>
      </c>
      <c r="N7790">
        <v>0</v>
      </c>
      <c r="O7790">
        <v>3.6020689999999998E-3</v>
      </c>
      <c r="P7790">
        <v>0.99953599999999998</v>
      </c>
      <c r="Q7790">
        <v>-2.3245129999999999E-2</v>
      </c>
      <c r="R7790">
        <v>-1.9682970000000001E-2</v>
      </c>
      <c r="S7790">
        <v>2.995911</v>
      </c>
      <c r="T7790">
        <v>-0.1189828</v>
      </c>
      <c r="U7790">
        <v>-0.13787839999999901</v>
      </c>
      <c r="V7790">
        <v>2.3288050000000001E-2</v>
      </c>
      <c r="W7790">
        <v>-8.1481039999999998E-3</v>
      </c>
      <c r="X7790">
        <v>0.99969560000000002</v>
      </c>
      <c r="Y7790">
        <v>4.9530119999999997E-2</v>
      </c>
      <c r="Z7790">
        <v>-1.1255830000000001E-3</v>
      </c>
      <c r="AA7790">
        <v>0.99877199999999999</v>
      </c>
      <c r="AB7790">
        <v>28</v>
      </c>
      <c r="AC7790">
        <v>27.770699999999898</v>
      </c>
      <c r="AD7790">
        <v>-1.109774490947</v>
      </c>
      <c r="AE7790">
        <v>-1.28676999999999</v>
      </c>
      <c r="AF7790">
        <v>1.38459858341098</v>
      </c>
      <c r="AG7790">
        <v>-1.109774490947</v>
      </c>
      <c r="AH7790">
        <v>27.721708439186401</v>
      </c>
      <c r="AI7790">
        <v>92.289628827243803</v>
      </c>
      <c r="AJ7790">
        <v>87.140660146220299</v>
      </c>
      <c r="AK7790">
        <v>27.7784418469647</v>
      </c>
      <c r="AL7790">
        <v>90.466857132137093</v>
      </c>
      <c r="AM7790">
        <v>88.665528090046095</v>
      </c>
      <c r="AN7790">
        <v>1.0000000087654699</v>
      </c>
    </row>
    <row r="7791" spans="1:40" x14ac:dyDescent="0.25">
      <c r="A7791" t="str">
        <f>"20190312154114994"</f>
        <v>20190312154114994</v>
      </c>
      <c r="B7791" t="str">
        <f>"1552376474984178"</f>
        <v>1552376474984178</v>
      </c>
      <c r="C7791" t="s">
        <v>40</v>
      </c>
      <c r="D7791">
        <v>4.3892089999999904</v>
      </c>
      <c r="E7791">
        <v>0.5091639</v>
      </c>
      <c r="F7791" t="s">
        <v>42</v>
      </c>
      <c r="G7791">
        <v>-328.71440000000001</v>
      </c>
      <c r="H7791" s="1">
        <v>-1.3875850000000001E-6</v>
      </c>
      <c r="I7791">
        <v>16.197479999999999</v>
      </c>
      <c r="J7791">
        <v>-356.08949999999999</v>
      </c>
      <c r="K7791">
        <v>1.1098110000000001</v>
      </c>
      <c r="L7791">
        <v>17.433039999999998</v>
      </c>
      <c r="M7791">
        <v>0.99987910000000002</v>
      </c>
      <c r="N7791">
        <v>0</v>
      </c>
      <c r="O7791">
        <v>3.7855290000000002E-3</v>
      </c>
      <c r="P7791">
        <v>0.99953270000000005</v>
      </c>
      <c r="Q7791">
        <v>-2.324478E-2</v>
      </c>
      <c r="R7791">
        <v>-1.9854980000000001E-2</v>
      </c>
      <c r="S7791">
        <v>2.995911</v>
      </c>
      <c r="T7791">
        <v>-0.1207367</v>
      </c>
      <c r="U7791">
        <v>-0.1343384</v>
      </c>
      <c r="V7791">
        <v>2.364349E-2</v>
      </c>
      <c r="W7791">
        <v>-8.1568430000000004E-3</v>
      </c>
      <c r="X7791">
        <v>0.9996872</v>
      </c>
      <c r="Y7791">
        <v>4.853503E-2</v>
      </c>
      <c r="Z7791">
        <v>-1.1295459999999999E-3</v>
      </c>
      <c r="AA7791">
        <v>0.99882079999999995</v>
      </c>
      <c r="AB7791">
        <v>28</v>
      </c>
      <c r="AC7791">
        <v>27.3750999999999</v>
      </c>
      <c r="AD7791">
        <v>-1.1098123875849999</v>
      </c>
      <c r="AE7791">
        <v>-1.23555999999999</v>
      </c>
      <c r="AF7791">
        <v>1.33699918559734</v>
      </c>
      <c r="AG7791">
        <v>-1.1098123875849999</v>
      </c>
      <c r="AH7791">
        <v>27.3254061657554</v>
      </c>
      <c r="AI7791">
        <v>92.322995039128998</v>
      </c>
      <c r="AJ7791">
        <v>87.198820513957202</v>
      </c>
      <c r="AK7791">
        <v>27.380596642174002</v>
      </c>
      <c r="AL7791">
        <v>90.467357849808394</v>
      </c>
      <c r="AM7791">
        <v>88.6451565154386</v>
      </c>
      <c r="AN7791">
        <v>1.00000002327547</v>
      </c>
    </row>
    <row r="7792" spans="1:40" x14ac:dyDescent="0.25">
      <c r="A7792" t="str">
        <f>"20190312154115012"</f>
        <v>20190312154115012</v>
      </c>
      <c r="B7792" t="str">
        <f>"1552376475003697"</f>
        <v>1552376475003697</v>
      </c>
      <c r="C7792" t="s">
        <v>40</v>
      </c>
      <c r="D7792">
        <v>4.3660629999999996</v>
      </c>
      <c r="E7792">
        <v>0.50868539999999995</v>
      </c>
      <c r="F7792" t="s">
        <v>42</v>
      </c>
      <c r="G7792">
        <v>-328.80110000000002</v>
      </c>
      <c r="H7792" s="1">
        <v>-1.34523599999999E-6</v>
      </c>
      <c r="I7792">
        <v>16.231390000000001</v>
      </c>
      <c r="J7792">
        <v>-355.87810000000002</v>
      </c>
      <c r="K7792">
        <v>1.1098570000000001</v>
      </c>
      <c r="L7792">
        <v>17.43411</v>
      </c>
      <c r="M7792">
        <v>0.99987839999999995</v>
      </c>
      <c r="N7792">
        <v>0</v>
      </c>
      <c r="O7792">
        <v>4.022683E-3</v>
      </c>
      <c r="P7792">
        <v>0.99953340000000002</v>
      </c>
      <c r="Q7792">
        <v>-2.347546E-2</v>
      </c>
      <c r="R7792">
        <v>-1.9547519999999999E-2</v>
      </c>
      <c r="S7792">
        <v>2.9959410000000002</v>
      </c>
      <c r="T7792">
        <v>-0.12184449999999999</v>
      </c>
      <c r="U7792">
        <v>-0.1319275</v>
      </c>
      <c r="V7792">
        <v>2.3573139999999999E-2</v>
      </c>
      <c r="W7792">
        <v>-8.3950069999999995E-3</v>
      </c>
      <c r="X7792">
        <v>0.99968679999999999</v>
      </c>
      <c r="Y7792">
        <v>4.7968770000000001E-2</v>
      </c>
      <c r="Z7792">
        <v>-1.1380439999999999E-3</v>
      </c>
      <c r="AA7792">
        <v>0.99884819999999996</v>
      </c>
      <c r="AB7792">
        <v>28</v>
      </c>
      <c r="AC7792">
        <v>27.077000000000002</v>
      </c>
      <c r="AD7792">
        <v>-1.10985834523599</v>
      </c>
      <c r="AE7792">
        <v>-1.20271999999999</v>
      </c>
      <c r="AF7792">
        <v>1.3094491513023201</v>
      </c>
      <c r="AG7792">
        <v>-1.10985834523599</v>
      </c>
      <c r="AH7792">
        <v>27.026624256992399</v>
      </c>
      <c r="AI7792">
        <v>92.348799044457493</v>
      </c>
      <c r="AJ7792">
        <v>87.226169072054901</v>
      </c>
      <c r="AK7792">
        <v>27.081079397892999</v>
      </c>
      <c r="AL7792">
        <v>90.481004152028902</v>
      </c>
      <c r="AM7792">
        <v>88.649185747037393</v>
      </c>
      <c r="AN7792">
        <v>0.99999993358311201</v>
      </c>
    </row>
    <row r="7793" spans="1:40" x14ac:dyDescent="0.25">
      <c r="A7793" t="str">
        <f>"20190312154115026"</f>
        <v>20190312154115026</v>
      </c>
      <c r="B7793" t="str">
        <f>"1552376475013965"</f>
        <v>1552376475013965</v>
      </c>
      <c r="C7793" t="s">
        <v>40</v>
      </c>
      <c r="D7793">
        <v>4.3134870000000003</v>
      </c>
      <c r="E7793">
        <v>0.50858970000000003</v>
      </c>
      <c r="F7793" t="s">
        <v>42</v>
      </c>
      <c r="G7793">
        <v>-328.21629999999999</v>
      </c>
      <c r="H7793" s="1">
        <v>-1.5622620000000001E-6</v>
      </c>
      <c r="I7793">
        <v>16.25975</v>
      </c>
      <c r="J7793">
        <v>-355.70830000000001</v>
      </c>
      <c r="K7793">
        <v>1.1099000000000001</v>
      </c>
      <c r="L7793">
        <v>17.434999999999999</v>
      </c>
      <c r="M7793">
        <v>0.99987749999999997</v>
      </c>
      <c r="N7793">
        <v>0</v>
      </c>
      <c r="O7793">
        <v>4.2133149999999996E-3</v>
      </c>
      <c r="P7793">
        <v>0.9995425</v>
      </c>
      <c r="Q7793">
        <v>-2.3360949999999998E-2</v>
      </c>
      <c r="R7793">
        <v>-1.9209509999999999E-2</v>
      </c>
      <c r="S7793">
        <v>2.9960939999999998</v>
      </c>
      <c r="T7793">
        <v>-0.1202109</v>
      </c>
      <c r="U7793">
        <v>-0.12719730000000001</v>
      </c>
      <c r="V7793">
        <v>2.3425649999999999E-2</v>
      </c>
      <c r="W7793">
        <v>-8.2838140000000005E-3</v>
      </c>
      <c r="X7793">
        <v>0.9996912</v>
      </c>
      <c r="Y7793">
        <v>4.658499E-2</v>
      </c>
      <c r="Z7793">
        <v>-1.1026860000000001E-3</v>
      </c>
      <c r="AA7793">
        <v>0.99891370000000002</v>
      </c>
      <c r="AB7793">
        <v>28</v>
      </c>
      <c r="AC7793">
        <v>27.492000000000001</v>
      </c>
      <c r="AD7793">
        <v>-1.1099015622620001</v>
      </c>
      <c r="AE7793">
        <v>-1.1752499999999899</v>
      </c>
      <c r="AF7793">
        <v>1.28898811808118</v>
      </c>
      <c r="AG7793">
        <v>-1.1099015622620001</v>
      </c>
      <c r="AH7793">
        <v>27.4421577631989</v>
      </c>
      <c r="AI7793">
        <v>92.313524795583206</v>
      </c>
      <c r="AJ7793">
        <v>87.310731267774003</v>
      </c>
      <c r="AK7793">
        <v>27.4948248684505</v>
      </c>
      <c r="AL7793">
        <v>90.474633037871897</v>
      </c>
      <c r="AM7793">
        <v>88.657640186770905</v>
      </c>
      <c r="AN7793">
        <v>0.99999993900487205</v>
      </c>
    </row>
    <row r="7794" spans="1:40" x14ac:dyDescent="0.25">
      <c r="A7794" t="str">
        <f>"20190312154115040"</f>
        <v>20190312154115040</v>
      </c>
      <c r="B7794" t="str">
        <f>"1552376475034461"</f>
        <v>1552376475034461</v>
      </c>
      <c r="C7794" t="s">
        <v>40</v>
      </c>
      <c r="D7794">
        <v>4.4018810000000004</v>
      </c>
      <c r="E7794">
        <v>0.50848660000000001</v>
      </c>
      <c r="F7794" t="s">
        <v>42</v>
      </c>
      <c r="G7794">
        <v>-327.3997</v>
      </c>
      <c r="H7794" s="1">
        <v>-1.8784709999999999E-6</v>
      </c>
      <c r="I7794">
        <v>16.249960000000002</v>
      </c>
      <c r="J7794">
        <v>-355.53789999999998</v>
      </c>
      <c r="K7794">
        <v>1.1099410000000001</v>
      </c>
      <c r="L7794">
        <v>17.43591</v>
      </c>
      <c r="M7794">
        <v>0.99987689999999996</v>
      </c>
      <c r="N7794">
        <v>0</v>
      </c>
      <c r="O7794">
        <v>4.4044080000000003E-3</v>
      </c>
      <c r="P7794">
        <v>0.99954659999999995</v>
      </c>
      <c r="Q7794">
        <v>-2.342816E-2</v>
      </c>
      <c r="R7794">
        <v>-1.893044E-2</v>
      </c>
      <c r="S7794">
        <v>2.9962460000000002</v>
      </c>
      <c r="T7794">
        <v>-0.11747440000000001</v>
      </c>
      <c r="U7794">
        <v>-0.12542719999999999</v>
      </c>
      <c r="V7794">
        <v>2.3337449999999999E-2</v>
      </c>
      <c r="W7794">
        <v>-8.3527800000000006E-3</v>
      </c>
      <c r="X7794">
        <v>0.99969269999999999</v>
      </c>
      <c r="Y7794">
        <v>4.6186680000000001E-2</v>
      </c>
      <c r="Z7794">
        <v>-1.0772480000000001E-3</v>
      </c>
      <c r="AA7794">
        <v>0.99893220000000005</v>
      </c>
      <c r="AB7794">
        <v>28</v>
      </c>
      <c r="AC7794">
        <v>28.138199999999902</v>
      </c>
      <c r="AD7794">
        <v>-1.1099428784709999</v>
      </c>
      <c r="AE7794">
        <v>-1.1859499999999901</v>
      </c>
      <c r="AF7794">
        <v>1.30785325635009</v>
      </c>
      <c r="AG7794">
        <v>-1.1099428784709999</v>
      </c>
      <c r="AH7794">
        <v>28.089074012686801</v>
      </c>
      <c r="AI7794">
        <v>92.260425457222993</v>
      </c>
      <c r="AJ7794">
        <v>87.334180846759196</v>
      </c>
      <c r="AK7794">
        <v>28.141402456590701</v>
      </c>
      <c r="AL7794">
        <v>90.478584630311801</v>
      </c>
      <c r="AM7794">
        <v>88.662694477593902</v>
      </c>
      <c r="AN7794">
        <v>0.99999994996975905</v>
      </c>
    </row>
    <row r="7795" spans="1:40" x14ac:dyDescent="0.25">
      <c r="A7795" t="str">
        <f>"20190312154115054"</f>
        <v>20190312154115054</v>
      </c>
      <c r="B7795" t="str">
        <f>"1552376475044221"</f>
        <v>1552376475044221</v>
      </c>
      <c r="C7795" t="s">
        <v>40</v>
      </c>
      <c r="D7795">
        <v>4.3796889999999999</v>
      </c>
      <c r="E7795">
        <v>0.50843379999999905</v>
      </c>
      <c r="F7795" t="s">
        <v>42</v>
      </c>
      <c r="G7795">
        <v>-326.46249999999998</v>
      </c>
      <c r="H7795" s="1">
        <v>-2.2525940000000001E-6</v>
      </c>
      <c r="I7795">
        <v>16.234210000000001</v>
      </c>
      <c r="J7795">
        <v>-355.34219999999999</v>
      </c>
      <c r="K7795">
        <v>1.1099920000000001</v>
      </c>
      <c r="L7795">
        <v>17.437010000000001</v>
      </c>
      <c r="M7795">
        <v>0.99987579999999998</v>
      </c>
      <c r="N7795">
        <v>0</v>
      </c>
      <c r="O7795">
        <v>4.6246840000000004E-3</v>
      </c>
      <c r="P7795">
        <v>0.99955329999999998</v>
      </c>
      <c r="Q7795">
        <v>-2.3266760000000001E-2</v>
      </c>
      <c r="R7795">
        <v>-1.8755859999999999E-2</v>
      </c>
      <c r="S7795">
        <v>2.9963380000000002</v>
      </c>
      <c r="T7795">
        <v>-0.1143841</v>
      </c>
      <c r="U7795">
        <v>-0.1238403</v>
      </c>
      <c r="V7795">
        <v>2.338324E-2</v>
      </c>
      <c r="W7795">
        <v>-8.1914220000000003E-3</v>
      </c>
      <c r="X7795">
        <v>0.99969300000000005</v>
      </c>
      <c r="Y7795">
        <v>4.5879419999999997E-2</v>
      </c>
      <c r="Z7795">
        <v>-1.0514529999999999E-3</v>
      </c>
      <c r="AA7795">
        <v>0.99894640000000001</v>
      </c>
      <c r="AB7795">
        <v>28</v>
      </c>
      <c r="AC7795">
        <v>28.8797</v>
      </c>
      <c r="AD7795">
        <v>-1.1099942525939901</v>
      </c>
      <c r="AE7795">
        <v>-1.2028000000000001</v>
      </c>
      <c r="AF7795">
        <v>1.33439395272182</v>
      </c>
      <c r="AG7795">
        <v>-1.1099942525939901</v>
      </c>
      <c r="AH7795">
        <v>28.831310383040002</v>
      </c>
      <c r="AI7795">
        <v>92.202421054688202</v>
      </c>
      <c r="AJ7795">
        <v>87.350081586024203</v>
      </c>
      <c r="AK7795">
        <v>28.883510050979702</v>
      </c>
      <c r="AL7795">
        <v>90.469339164783605</v>
      </c>
      <c r="AM7795">
        <v>88.660071931571693</v>
      </c>
      <c r="AN7795">
        <v>0.99999998477813901</v>
      </c>
    </row>
    <row r="7796" spans="1:40" x14ac:dyDescent="0.25">
      <c r="A7796" t="str">
        <f>"20190312154115066"</f>
        <v>20190312154115066</v>
      </c>
      <c r="B7796" t="str">
        <f>"1552376475053981"</f>
        <v>1552376475053981</v>
      </c>
      <c r="C7796" t="s">
        <v>40</v>
      </c>
      <c r="D7796">
        <v>4.412153</v>
      </c>
      <c r="E7796">
        <v>0.50836809999999999</v>
      </c>
      <c r="F7796" t="s">
        <v>42</v>
      </c>
      <c r="G7796">
        <v>-325.80410000000001</v>
      </c>
      <c r="H7796" s="1">
        <v>-2.565329E-6</v>
      </c>
      <c r="I7796">
        <v>16.225829999999998</v>
      </c>
      <c r="J7796">
        <v>-355.20949999999999</v>
      </c>
      <c r="K7796">
        <v>1.11002</v>
      </c>
      <c r="L7796">
        <v>17.437809999999999</v>
      </c>
      <c r="M7796">
        <v>0.99987510000000002</v>
      </c>
      <c r="N7796">
        <v>0</v>
      </c>
      <c r="O7796">
        <v>4.7746849999999999E-3</v>
      </c>
      <c r="P7796">
        <v>0.99955649999999996</v>
      </c>
      <c r="Q7796">
        <v>-2.3073969999999999E-2</v>
      </c>
      <c r="R7796">
        <v>-1.8843080000000002E-2</v>
      </c>
      <c r="S7796">
        <v>2.9963989999999998</v>
      </c>
      <c r="T7796">
        <v>-0.1125997</v>
      </c>
      <c r="U7796">
        <v>-0.1228638</v>
      </c>
      <c r="V7796">
        <v>2.3620120000000001E-2</v>
      </c>
      <c r="W7796">
        <v>-7.9979379999999996E-3</v>
      </c>
      <c r="X7796">
        <v>0.99968900000000005</v>
      </c>
      <c r="Y7796">
        <v>4.570457E-2</v>
      </c>
      <c r="Z7796">
        <v>-1.0373979999999999E-3</v>
      </c>
      <c r="AA7796">
        <v>0.99895449999999997</v>
      </c>
      <c r="AB7796">
        <v>28</v>
      </c>
      <c r="AC7796">
        <v>29.405399999999901</v>
      </c>
      <c r="AD7796">
        <v>-1.1100225653289999</v>
      </c>
      <c r="AE7796">
        <v>-1.2119800000000001</v>
      </c>
      <c r="AF7796">
        <v>1.3504625198534399</v>
      </c>
      <c r="AG7796">
        <v>-1.1100225653289999</v>
      </c>
      <c r="AH7796">
        <v>29.357514267361999</v>
      </c>
      <c r="AI7796">
        <v>92.163065913247095</v>
      </c>
      <c r="AJ7796">
        <v>87.366217924093903</v>
      </c>
      <c r="AK7796">
        <v>29.409514499077201</v>
      </c>
      <c r="AL7796">
        <v>90.458252983810894</v>
      </c>
      <c r="AM7796">
        <v>88.646497624870406</v>
      </c>
      <c r="AN7796">
        <v>0.99999998690103298</v>
      </c>
    </row>
    <row r="7797" spans="1:40" x14ac:dyDescent="0.25">
      <c r="A7797" t="str">
        <f>"20190312154115078"</f>
        <v>20190312154115078</v>
      </c>
      <c r="B7797" t="str">
        <f>"1552376475063741"</f>
        <v>1552376475063741</v>
      </c>
      <c r="C7797" t="s">
        <v>40</v>
      </c>
      <c r="D7797">
        <v>4.4003069999999997</v>
      </c>
      <c r="E7797">
        <v>0.50836340000000002</v>
      </c>
      <c r="F7797" t="s">
        <v>42</v>
      </c>
      <c r="G7797">
        <v>-325.09559999999999</v>
      </c>
      <c r="H7797" s="1">
        <v>-2.9038539999999998E-6</v>
      </c>
      <c r="I7797">
        <v>16.205490000000001</v>
      </c>
      <c r="J7797">
        <v>-355.07010000000002</v>
      </c>
      <c r="K7797">
        <v>1.1100540000000001</v>
      </c>
      <c r="L7797">
        <v>17.43863</v>
      </c>
      <c r="M7797">
        <v>0.99987429999999999</v>
      </c>
      <c r="N7797">
        <v>0</v>
      </c>
      <c r="O7797">
        <v>4.9324299999999998E-3</v>
      </c>
      <c r="P7797">
        <v>0.99955669999999996</v>
      </c>
      <c r="Q7797">
        <v>-2.307816E-2</v>
      </c>
      <c r="R7797">
        <v>-1.8815999999999999E-2</v>
      </c>
      <c r="S7797">
        <v>2.9964599999999999</v>
      </c>
      <c r="T7797">
        <v>-0.1104517</v>
      </c>
      <c r="U7797">
        <v>-0.1226196</v>
      </c>
      <c r="V7797">
        <v>2.375089E-2</v>
      </c>
      <c r="W7797">
        <v>-8.0013519999999998E-3</v>
      </c>
      <c r="X7797">
        <v>0.99968590000000002</v>
      </c>
      <c r="Y7797">
        <v>4.5781269999999999E-2</v>
      </c>
      <c r="Z7797">
        <v>-1.0248270000000001E-3</v>
      </c>
      <c r="AA7797">
        <v>0.99895100000000003</v>
      </c>
      <c r="AB7797">
        <v>28</v>
      </c>
      <c r="AC7797">
        <v>29.974499999999999</v>
      </c>
      <c r="AD7797">
        <v>-1.110056903854</v>
      </c>
      <c r="AE7797">
        <v>-1.2331399999999899</v>
      </c>
      <c r="AF7797">
        <v>1.37910070595505</v>
      </c>
      <c r="AG7797">
        <v>-1.110056903854</v>
      </c>
      <c r="AH7797">
        <v>29.9270774582223</v>
      </c>
      <c r="AI7797">
        <v>92.121994733188998</v>
      </c>
      <c r="AJ7797">
        <v>87.361560306178305</v>
      </c>
      <c r="AK7797">
        <v>29.9793947616925</v>
      </c>
      <c r="AL7797">
        <v>90.458448586112198</v>
      </c>
      <c r="AM7797">
        <v>88.639002710981998</v>
      </c>
      <c r="AN7797">
        <v>1.0000000125342099</v>
      </c>
    </row>
    <row r="7798" spans="1:40" x14ac:dyDescent="0.25">
      <c r="A7798" t="str">
        <f>"20190312154115089"</f>
        <v>20190312154115089</v>
      </c>
      <c r="B7798" t="str">
        <f>"1552376475074477"</f>
        <v>1552376475074477</v>
      </c>
      <c r="C7798" t="s">
        <v>40</v>
      </c>
      <c r="D7798">
        <v>4.4284509999999999</v>
      </c>
      <c r="E7798">
        <v>0.50834380000000001</v>
      </c>
      <c r="F7798" t="s">
        <v>42</v>
      </c>
      <c r="G7798">
        <v>-324.56670000000003</v>
      </c>
      <c r="H7798" s="1">
        <v>-3.1564380000000002E-6</v>
      </c>
      <c r="I7798">
        <v>16.191009999999999</v>
      </c>
      <c r="J7798">
        <v>-354.93290000000002</v>
      </c>
      <c r="K7798">
        <v>1.110082</v>
      </c>
      <c r="L7798">
        <v>17.43948</v>
      </c>
      <c r="M7798">
        <v>0.99987349999999997</v>
      </c>
      <c r="N7798">
        <v>0</v>
      </c>
      <c r="O7798">
        <v>5.0880860000000003E-3</v>
      </c>
      <c r="P7798">
        <v>0.99955839999999996</v>
      </c>
      <c r="Q7798">
        <v>-2.290669E-2</v>
      </c>
      <c r="R7798">
        <v>-1.8925549999999999E-2</v>
      </c>
      <c r="S7798">
        <v>2.9964900000000001</v>
      </c>
      <c r="T7798">
        <v>-0.109046</v>
      </c>
      <c r="U7798">
        <v>-0.1225586</v>
      </c>
      <c r="V7798">
        <v>2.401592E-2</v>
      </c>
      <c r="W7798">
        <v>-7.8287180000000001E-3</v>
      </c>
      <c r="X7798">
        <v>0.99968089999999998</v>
      </c>
      <c r="Y7798">
        <v>4.5916709999999999E-2</v>
      </c>
      <c r="Z7798">
        <v>-1.0199059999999999E-3</v>
      </c>
      <c r="AA7798">
        <v>0.99894479999999997</v>
      </c>
      <c r="AB7798">
        <v>28</v>
      </c>
      <c r="AC7798">
        <v>30.3661999999999</v>
      </c>
      <c r="AD7798">
        <v>-1.1100851564380001</v>
      </c>
      <c r="AE7798">
        <v>-1.24846999999999</v>
      </c>
      <c r="AF7798">
        <v>1.4011079590979401</v>
      </c>
      <c r="AG7798">
        <v>-1.1100851564380001</v>
      </c>
      <c r="AH7798">
        <v>30.319004296018399</v>
      </c>
      <c r="AI7798">
        <v>92.094629504143697</v>
      </c>
      <c r="AJ7798">
        <v>87.354118263079698</v>
      </c>
      <c r="AK7798">
        <v>30.371654779902499</v>
      </c>
      <c r="AL7798">
        <v>90.448557092478893</v>
      </c>
      <c r="AM7798">
        <v>88.623814624107098</v>
      </c>
      <c r="AN7798">
        <v>0.99999997753188896</v>
      </c>
    </row>
    <row r="7799" spans="1:40" x14ac:dyDescent="0.25">
      <c r="A7799" t="str">
        <f>"20190312154115101"</f>
        <v>20190312154115101</v>
      </c>
      <c r="B7799" t="str">
        <f>"1552376475093997"</f>
        <v>1552376475093997</v>
      </c>
      <c r="C7799" t="s">
        <v>40</v>
      </c>
      <c r="D7799">
        <v>4.4239009999999999</v>
      </c>
      <c r="E7799">
        <v>0.50833269999999997</v>
      </c>
      <c r="F7799" t="s">
        <v>42</v>
      </c>
      <c r="G7799">
        <v>-324.13929999999999</v>
      </c>
      <c r="H7799" s="1">
        <v>-3.360766E-6</v>
      </c>
      <c r="I7799">
        <v>16.17812</v>
      </c>
      <c r="J7799">
        <v>-354.77629999999999</v>
      </c>
      <c r="K7799">
        <v>1.110112</v>
      </c>
      <c r="L7799">
        <v>17.440460000000002</v>
      </c>
      <c r="M7799">
        <v>0.99987250000000005</v>
      </c>
      <c r="N7799">
        <v>0</v>
      </c>
      <c r="O7799">
        <v>5.2657909999999997E-3</v>
      </c>
      <c r="P7799">
        <v>0.99956339999999999</v>
      </c>
      <c r="Q7799">
        <v>-2.2647899999999999E-2</v>
      </c>
      <c r="R7799">
        <v>-1.8974930000000001E-2</v>
      </c>
      <c r="S7799">
        <v>2.9964900000000001</v>
      </c>
      <c r="T7799">
        <v>-0.10802109999999999</v>
      </c>
      <c r="U7799">
        <v>-0.1227417</v>
      </c>
      <c r="V7799">
        <v>2.4242719999999999E-2</v>
      </c>
      <c r="W7799">
        <v>-7.5685609999999997E-3</v>
      </c>
      <c r="X7799">
        <v>0.9996775</v>
      </c>
      <c r="Y7799">
        <v>4.6155559999999998E-2</v>
      </c>
      <c r="Z7799">
        <v>-1.02103E-3</v>
      </c>
      <c r="AA7799">
        <v>0.99893370000000004</v>
      </c>
      <c r="AB7799">
        <v>28</v>
      </c>
      <c r="AC7799">
        <v>30.636999999999901</v>
      </c>
      <c r="AD7799">
        <v>-1.1101153607659999</v>
      </c>
      <c r="AE7799">
        <v>-1.26234</v>
      </c>
      <c r="AF7799">
        <v>1.42180529137821</v>
      </c>
      <c r="AG7799">
        <v>-1.1101153607659999</v>
      </c>
      <c r="AH7799">
        <v>30.589832724215398</v>
      </c>
      <c r="AI7799">
        <v>92.076131691395602</v>
      </c>
      <c r="AJ7799">
        <v>87.338826410097795</v>
      </c>
      <c r="AK7799">
        <v>30.6429723182376</v>
      </c>
      <c r="AL7799">
        <v>90.433650721554102</v>
      </c>
      <c r="AM7799">
        <v>88.610818639224505</v>
      </c>
      <c r="AN7799">
        <v>1.0000000482974201</v>
      </c>
    </row>
    <row r="7800" spans="1:40" x14ac:dyDescent="0.25">
      <c r="A7800" t="str">
        <f>"20190312154115114"</f>
        <v>20190312154115114</v>
      </c>
      <c r="B7800" t="str">
        <f>"1552376475103759"</f>
        <v>1552376475103759</v>
      </c>
      <c r="C7800" t="s">
        <v>40</v>
      </c>
      <c r="D7800">
        <v>4.4376119999999997</v>
      </c>
      <c r="E7800">
        <v>0.50833430000000002</v>
      </c>
      <c r="F7800" t="s">
        <v>42</v>
      </c>
      <c r="G7800">
        <v>-323.4323</v>
      </c>
      <c r="H7800" s="1">
        <v>-3.6987989999999998E-6</v>
      </c>
      <c r="I7800">
        <v>16.156269999999999</v>
      </c>
      <c r="J7800">
        <v>-354.61880000000002</v>
      </c>
      <c r="K7800">
        <v>1.1101369999999999</v>
      </c>
      <c r="L7800">
        <v>17.441469999999999</v>
      </c>
      <c r="M7800">
        <v>0.99987170000000003</v>
      </c>
      <c r="N7800">
        <v>0</v>
      </c>
      <c r="O7800">
        <v>5.4445099999999996E-3</v>
      </c>
      <c r="P7800">
        <v>0.99955570000000005</v>
      </c>
      <c r="Q7800">
        <v>-2.2779009999999999E-2</v>
      </c>
      <c r="R7800">
        <v>-1.923064E-2</v>
      </c>
      <c r="S7800">
        <v>2.9965820000000001</v>
      </c>
      <c r="T7800">
        <v>-0.10613060000000001</v>
      </c>
      <c r="U7800">
        <v>-0.1227722</v>
      </c>
      <c r="V7800">
        <v>2.4676989999999999E-2</v>
      </c>
      <c r="W7800">
        <v>-7.6982659999999996E-3</v>
      </c>
      <c r="X7800">
        <v>0.9996659</v>
      </c>
      <c r="Y7800">
        <v>4.6343950000000002E-2</v>
      </c>
      <c r="Z7800">
        <v>-1.012801E-3</v>
      </c>
      <c r="AA7800">
        <v>0.99892499999999995</v>
      </c>
      <c r="AB7800">
        <v>28</v>
      </c>
      <c r="AC7800">
        <v>31.186499999999999</v>
      </c>
      <c r="AD7800">
        <v>-1.1101406987989999</v>
      </c>
      <c r="AE7800">
        <v>-1.2851999999999899</v>
      </c>
      <c r="AF7800">
        <v>1.45315720420726</v>
      </c>
      <c r="AG7800">
        <v>-1.1101406987989999</v>
      </c>
      <c r="AH7800">
        <v>31.139648356496402</v>
      </c>
      <c r="AI7800">
        <v>92.039534694830095</v>
      </c>
      <c r="AJ7800">
        <v>87.328183850039295</v>
      </c>
      <c r="AK7800">
        <v>31.193297004284801</v>
      </c>
      <c r="AL7800">
        <v>90.441082479712705</v>
      </c>
      <c r="AM7800">
        <v>88.585927264505401</v>
      </c>
      <c r="AN7800">
        <v>1.00000006437883</v>
      </c>
    </row>
    <row r="7801" spans="1:40" x14ac:dyDescent="0.25">
      <c r="A7801" t="str">
        <f>"20190312154115126"</f>
        <v>20190312154115126</v>
      </c>
      <c r="B7801" t="str">
        <f>"1552376475114024"</f>
        <v>1552376475114024</v>
      </c>
      <c r="C7801" t="s">
        <v>40</v>
      </c>
      <c r="D7801">
        <v>4.4455</v>
      </c>
      <c r="E7801">
        <v>0.5083259</v>
      </c>
      <c r="F7801" t="s">
        <v>42</v>
      </c>
      <c r="G7801">
        <v>-323.28739999999999</v>
      </c>
      <c r="H7801" s="1">
        <v>-3.7685279999999999E-6</v>
      </c>
      <c r="I7801">
        <v>16.1495</v>
      </c>
      <c r="J7801">
        <v>-354.46620000000001</v>
      </c>
      <c r="K7801">
        <v>1.1101650000000001</v>
      </c>
      <c r="L7801">
        <v>17.44247</v>
      </c>
      <c r="M7801">
        <v>0.9998707</v>
      </c>
      <c r="N7801">
        <v>0</v>
      </c>
      <c r="O7801">
        <v>5.61679E-3</v>
      </c>
      <c r="P7801">
        <v>0.99955859999999996</v>
      </c>
      <c r="Q7801">
        <v>-2.260854E-2</v>
      </c>
      <c r="R7801">
        <v>-1.928212E-2</v>
      </c>
      <c r="S7801">
        <v>2.9965820000000001</v>
      </c>
      <c r="T7801">
        <v>-0.10617550000000001</v>
      </c>
      <c r="U7801">
        <v>-0.1235657</v>
      </c>
      <c r="V7801">
        <v>2.4900660000000002E-2</v>
      </c>
      <c r="W7801">
        <v>-7.5264310000000001E-3</v>
      </c>
      <c r="X7801">
        <v>0.99966160000000004</v>
      </c>
      <c r="Y7801">
        <v>4.6779710000000002E-2</v>
      </c>
      <c r="Z7801">
        <v>-1.027039E-3</v>
      </c>
      <c r="AA7801">
        <v>0.99890469999999998</v>
      </c>
      <c r="AB7801">
        <v>28</v>
      </c>
      <c r="AC7801">
        <v>31.178799999999999</v>
      </c>
      <c r="AD7801">
        <v>-1.1101687685279999</v>
      </c>
      <c r="AE7801">
        <v>-1.29297</v>
      </c>
      <c r="AF7801">
        <v>1.4662385127586901</v>
      </c>
      <c r="AG7801">
        <v>-1.1101687685279999</v>
      </c>
      <c r="AH7801">
        <v>31.131643192238101</v>
      </c>
      <c r="AI7801">
        <v>92.0400690240822</v>
      </c>
      <c r="AJ7801">
        <v>87.303475326781296</v>
      </c>
      <c r="AK7801">
        <v>31.185918904527099</v>
      </c>
      <c r="AL7801">
        <v>90.4312368015717</v>
      </c>
      <c r="AM7801">
        <v>88.573109377277206</v>
      </c>
      <c r="AN7801">
        <v>1.00000000227329</v>
      </c>
    </row>
    <row r="7802" spans="1:40" x14ac:dyDescent="0.25">
      <c r="A7802" t="str">
        <f>"20190312154115139"</f>
        <v>20190312154115139</v>
      </c>
      <c r="B7802" t="str">
        <f>"1552376475134520"</f>
        <v>1552376475134520</v>
      </c>
      <c r="C7802" t="s">
        <v>40</v>
      </c>
      <c r="D7802">
        <v>4.4803519999999999</v>
      </c>
      <c r="E7802">
        <v>0.50832920000000004</v>
      </c>
      <c r="F7802" t="s">
        <v>42</v>
      </c>
      <c r="G7802">
        <v>-322.79180000000002</v>
      </c>
      <c r="H7802" s="1">
        <v>-4.0053439999999999E-6</v>
      </c>
      <c r="I7802">
        <v>16.135069999999999</v>
      </c>
      <c r="J7802">
        <v>-354.31330000000003</v>
      </c>
      <c r="K7802">
        <v>1.1101890000000001</v>
      </c>
      <c r="L7802">
        <v>17.443539999999999</v>
      </c>
      <c r="M7802">
        <v>0.99986969999999997</v>
      </c>
      <c r="N7802">
        <v>0</v>
      </c>
      <c r="O7802">
        <v>5.7883500000000003E-3</v>
      </c>
      <c r="P7802">
        <v>0.99955950000000005</v>
      </c>
      <c r="Q7802">
        <v>-2.2333950000000002E-2</v>
      </c>
      <c r="R7802">
        <v>-1.9557990000000001E-2</v>
      </c>
      <c r="S7802">
        <v>2.9965820000000001</v>
      </c>
      <c r="T7802">
        <v>-0.1050285</v>
      </c>
      <c r="U7802">
        <v>-0.1236877</v>
      </c>
      <c r="V7802">
        <v>2.5347789999999999E-2</v>
      </c>
      <c r="W7802">
        <v>-7.2504589999999999E-3</v>
      </c>
      <c r="X7802">
        <v>0.9996524</v>
      </c>
      <c r="Y7802">
        <v>4.6992199999999998E-2</v>
      </c>
      <c r="Z7802">
        <v>-1.0256810000000001E-3</v>
      </c>
      <c r="AA7802">
        <v>0.99889479999999997</v>
      </c>
      <c r="AB7802">
        <v>28</v>
      </c>
      <c r="AC7802">
        <v>31.5215</v>
      </c>
      <c r="AD7802">
        <v>-1.1101930053439999</v>
      </c>
      <c r="AE7802">
        <v>-1.30846999999999</v>
      </c>
      <c r="AF7802">
        <v>1.4890822971926201</v>
      </c>
      <c r="AG7802">
        <v>-1.1101930053439999</v>
      </c>
      <c r="AH7802">
        <v>31.474421426904399</v>
      </c>
      <c r="AI7802">
        <v>92.017893531656497</v>
      </c>
      <c r="AJ7802">
        <v>87.291306525085105</v>
      </c>
      <c r="AK7802">
        <v>31.529178529662101</v>
      </c>
      <c r="AL7802">
        <v>90.415424339946696</v>
      </c>
      <c r="AM7802">
        <v>88.547484858975494</v>
      </c>
      <c r="AN7802">
        <v>1.0000000002196701</v>
      </c>
    </row>
    <row r="7803" spans="1:40" x14ac:dyDescent="0.25">
      <c r="A7803" t="str">
        <f>"20190312154115156"</f>
        <v>20190312154115156</v>
      </c>
      <c r="B7803" t="str">
        <f>"1552376475144280"</f>
        <v>1552376475144280</v>
      </c>
      <c r="C7803" t="s">
        <v>40</v>
      </c>
      <c r="D7803">
        <v>4.4885169999999999</v>
      </c>
      <c r="E7803">
        <v>0.50834009999999996</v>
      </c>
      <c r="F7803" t="s">
        <v>42</v>
      </c>
      <c r="G7803">
        <v>-322.47370000000001</v>
      </c>
      <c r="H7803" s="1">
        <v>-4.158291E-6</v>
      </c>
      <c r="I7803">
        <v>16.120539999999998</v>
      </c>
      <c r="J7803">
        <v>-354.10169999999999</v>
      </c>
      <c r="K7803">
        <v>1.1102240000000001</v>
      </c>
      <c r="L7803">
        <v>17.445039999999999</v>
      </c>
      <c r="M7803">
        <v>0.99986830000000004</v>
      </c>
      <c r="N7803">
        <v>0</v>
      </c>
      <c r="O7803">
        <v>6.0219210000000004E-3</v>
      </c>
      <c r="P7803">
        <v>0.99956389999999995</v>
      </c>
      <c r="Q7803">
        <v>-2.206812E-2</v>
      </c>
      <c r="R7803">
        <v>-1.963517E-2</v>
      </c>
      <c r="S7803">
        <v>2.996521</v>
      </c>
      <c r="T7803">
        <v>-0.1044837</v>
      </c>
      <c r="U7803">
        <v>-0.1245117</v>
      </c>
      <c r="V7803">
        <v>2.5658380000000001E-2</v>
      </c>
      <c r="W7803">
        <v>-6.9830350000000003E-3</v>
      </c>
      <c r="X7803">
        <v>0.99964640000000005</v>
      </c>
      <c r="Y7803">
        <v>4.7500460000000001E-2</v>
      </c>
      <c r="Z7803">
        <v>-1.0373730000000001E-3</v>
      </c>
      <c r="AA7803">
        <v>0.9988707</v>
      </c>
      <c r="AB7803">
        <v>27</v>
      </c>
      <c r="AC7803">
        <v>31.627999999999901</v>
      </c>
      <c r="AD7803">
        <v>-1.1102281582910001</v>
      </c>
      <c r="AE7803">
        <v>-1.3245</v>
      </c>
      <c r="AF7803">
        <v>1.5130977543162301</v>
      </c>
      <c r="AG7803">
        <v>-1.1102281582910001</v>
      </c>
      <c r="AH7803">
        <v>31.580603973568</v>
      </c>
      <c r="AI7803">
        <v>92.011120628041695</v>
      </c>
      <c r="AJ7803">
        <v>87.256928057999502</v>
      </c>
      <c r="AK7803">
        <v>31.636318033439299</v>
      </c>
      <c r="AL7803">
        <v>90.400101677358094</v>
      </c>
      <c r="AM7803">
        <v>88.529685932878905</v>
      </c>
      <c r="AN7803">
        <v>1.0000000201374899</v>
      </c>
    </row>
    <row r="7804" spans="1:40" x14ac:dyDescent="0.25">
      <c r="A7804" t="str">
        <f>"20190312154115169"</f>
        <v>20190312154115169</v>
      </c>
      <c r="B7804" t="str">
        <f>"1552376475163800"</f>
        <v>1552376475163800</v>
      </c>
      <c r="C7804" t="s">
        <v>40</v>
      </c>
      <c r="D7804">
        <v>4.5468479999999998</v>
      </c>
      <c r="E7804">
        <v>0.50813109999999995</v>
      </c>
      <c r="F7804" t="s">
        <v>42</v>
      </c>
      <c r="G7804">
        <v>-322.14069999999998</v>
      </c>
      <c r="H7804" s="1">
        <v>-4.316981E-6</v>
      </c>
      <c r="I7804">
        <v>16.113420000000001</v>
      </c>
      <c r="J7804">
        <v>-353.9425</v>
      </c>
      <c r="K7804">
        <v>1.110242</v>
      </c>
      <c r="L7804">
        <v>17.446169999999999</v>
      </c>
      <c r="M7804">
        <v>0.99986710000000001</v>
      </c>
      <c r="N7804">
        <v>0</v>
      </c>
      <c r="O7804">
        <v>6.193619E-3</v>
      </c>
      <c r="P7804">
        <v>0.9995716</v>
      </c>
      <c r="Q7804">
        <v>-2.1759179999999999E-2</v>
      </c>
      <c r="R7804">
        <v>-1.9581129999999999E-2</v>
      </c>
      <c r="S7804">
        <v>2.9965519999999999</v>
      </c>
      <c r="T7804">
        <v>-0.10409119999999999</v>
      </c>
      <c r="U7804">
        <v>-0.1248474</v>
      </c>
      <c r="V7804">
        <v>2.5775719999999998E-2</v>
      </c>
      <c r="W7804">
        <v>-6.6732249999999996E-3</v>
      </c>
      <c r="X7804">
        <v>0.99964549999999996</v>
      </c>
      <c r="Y7804">
        <v>4.7783239999999998E-2</v>
      </c>
      <c r="Z7804">
        <v>-1.0443329999999999E-3</v>
      </c>
      <c r="AA7804">
        <v>0.9988572</v>
      </c>
      <c r="AB7804">
        <v>27</v>
      </c>
      <c r="AC7804">
        <v>31.8018</v>
      </c>
      <c r="AD7804">
        <v>-1.110246316981</v>
      </c>
      <c r="AE7804">
        <v>-1.3327500000000001</v>
      </c>
      <c r="AF7804">
        <v>1.5278561666228401</v>
      </c>
      <c r="AG7804">
        <v>-1.110246316981</v>
      </c>
      <c r="AH7804">
        <v>31.7542998577816</v>
      </c>
      <c r="AI7804">
        <v>92.000142049014201</v>
      </c>
      <c r="AJ7804">
        <v>87.245341535943894</v>
      </c>
      <c r="AK7804">
        <v>31.8104157597502</v>
      </c>
      <c r="AL7804">
        <v>90.382350457409004</v>
      </c>
      <c r="AM7804">
        <v>88.522963586981902</v>
      </c>
      <c r="AN7804">
        <v>1.00000002267183</v>
      </c>
    </row>
    <row r="7805" spans="1:40" x14ac:dyDescent="0.25">
      <c r="A7805" t="str">
        <f>"20190312154115183"</f>
        <v>20190312154115183</v>
      </c>
      <c r="B7805" t="str">
        <f>"1552376475174535"</f>
        <v>1552376475174535</v>
      </c>
      <c r="C7805" t="s">
        <v>40</v>
      </c>
      <c r="D7805">
        <v>4.6908519999999996</v>
      </c>
      <c r="E7805">
        <v>0.50817009999999996</v>
      </c>
      <c r="F7805" t="s">
        <v>42</v>
      </c>
      <c r="G7805">
        <v>-322.56079999999997</v>
      </c>
      <c r="H7805" s="1">
        <v>-4.1104520000000002E-6</v>
      </c>
      <c r="I7805">
        <v>16.158190000000001</v>
      </c>
      <c r="J7805">
        <v>-353.78210000000001</v>
      </c>
      <c r="K7805">
        <v>1.110257</v>
      </c>
      <c r="L7805">
        <v>17.447329999999901</v>
      </c>
      <c r="M7805">
        <v>0.99986609999999998</v>
      </c>
      <c r="N7805">
        <v>0</v>
      </c>
      <c r="O7805">
        <v>6.3637540000000001E-3</v>
      </c>
      <c r="P7805">
        <v>0.99957879999999999</v>
      </c>
      <c r="Q7805">
        <v>-2.1514950000000001E-2</v>
      </c>
      <c r="R7805">
        <v>-1.947842E-2</v>
      </c>
      <c r="S7805">
        <v>2.9965519999999999</v>
      </c>
      <c r="T7805">
        <v>-0.10601439999999999</v>
      </c>
      <c r="U7805">
        <v>-0.12298580000000001</v>
      </c>
      <c r="V7805">
        <v>2.5843040000000001E-2</v>
      </c>
      <c r="W7805">
        <v>-6.4283250000000004E-3</v>
      </c>
      <c r="X7805">
        <v>0.99964540000000002</v>
      </c>
      <c r="Y7805">
        <v>4.7332689999999997E-2</v>
      </c>
      <c r="Z7805">
        <v>-1.061682E-3</v>
      </c>
      <c r="AA7805">
        <v>0.99887859999999995</v>
      </c>
      <c r="AB7805">
        <v>27</v>
      </c>
      <c r="AC7805">
        <v>31.221299999999999</v>
      </c>
      <c r="AD7805">
        <v>-1.1102611104519999</v>
      </c>
      <c r="AE7805">
        <v>-1.28913999999999</v>
      </c>
      <c r="AF7805">
        <v>1.4859452390404</v>
      </c>
      <c r="AG7805">
        <v>-1.1102611104519999</v>
      </c>
      <c r="AH7805">
        <v>31.173108981811701</v>
      </c>
      <c r="AI7805">
        <v>92.037472164637705</v>
      </c>
      <c r="AJ7805">
        <v>87.270917220299197</v>
      </c>
      <c r="AK7805">
        <v>31.228247414459801</v>
      </c>
      <c r="AL7805">
        <v>90.368318407967806</v>
      </c>
      <c r="AM7805">
        <v>88.519107489548304</v>
      </c>
      <c r="AN7805">
        <v>1.00000005590995</v>
      </c>
    </row>
    <row r="7806" spans="1:40" x14ac:dyDescent="0.25">
      <c r="A7806" t="str">
        <f>"20190312154115202"</f>
        <v>20190312154115202</v>
      </c>
      <c r="B7806" t="str">
        <f>"1552376475194060"</f>
        <v>1552376475194060</v>
      </c>
      <c r="C7806" t="s">
        <v>40</v>
      </c>
      <c r="D7806">
        <v>4.577515</v>
      </c>
      <c r="E7806">
        <v>0.50806649999999998</v>
      </c>
      <c r="F7806" t="s">
        <v>42</v>
      </c>
      <c r="G7806">
        <v>-322.49259999999998</v>
      </c>
      <c r="H7806" s="1">
        <v>-4.1417789999999999E-6</v>
      </c>
      <c r="I7806">
        <v>16.163139999999999</v>
      </c>
      <c r="J7806">
        <v>-353.5505</v>
      </c>
      <c r="K7806">
        <v>1.110274</v>
      </c>
      <c r="L7806">
        <v>17.449069999999999</v>
      </c>
      <c r="M7806">
        <v>0.99986459999999999</v>
      </c>
      <c r="N7806">
        <v>0</v>
      </c>
      <c r="O7806">
        <v>6.6023640000000003E-3</v>
      </c>
      <c r="P7806">
        <v>0.99958139999999995</v>
      </c>
      <c r="Q7806">
        <v>-2.1465399999999999E-2</v>
      </c>
      <c r="R7806">
        <v>-1.9403009999999998E-2</v>
      </c>
      <c r="S7806">
        <v>2.9965820000000001</v>
      </c>
      <c r="T7806">
        <v>-0.1063293</v>
      </c>
      <c r="U7806">
        <v>-0.12298580000000001</v>
      </c>
      <c r="V7806">
        <v>2.600593E-2</v>
      </c>
      <c r="W7806">
        <v>-6.3783149999999999E-3</v>
      </c>
      <c r="X7806">
        <v>0.99964140000000001</v>
      </c>
      <c r="Y7806">
        <v>4.7570149999999999E-2</v>
      </c>
      <c r="Z7806">
        <v>-1.0774949999999999E-3</v>
      </c>
      <c r="AA7806">
        <v>0.99886730000000001</v>
      </c>
      <c r="AB7806">
        <v>27</v>
      </c>
      <c r="AC7806">
        <v>31.0579</v>
      </c>
      <c r="AD7806">
        <v>-1.110278141779</v>
      </c>
      <c r="AE7806">
        <v>-1.28593</v>
      </c>
      <c r="AF7806">
        <v>1.4890810851704299</v>
      </c>
      <c r="AG7806">
        <v>-1.110278141779</v>
      </c>
      <c r="AH7806">
        <v>31.0091709145217</v>
      </c>
      <c r="AI7806">
        <v>92.048231537434305</v>
      </c>
      <c r="AJ7806">
        <v>87.250730384039898</v>
      </c>
      <c r="AK7806">
        <v>31.064751098895702</v>
      </c>
      <c r="AL7806">
        <v>90.365453022519901</v>
      </c>
      <c r="AM7806">
        <v>88.509771583990002</v>
      </c>
      <c r="AN7806">
        <v>0.99999995994568103</v>
      </c>
    </row>
    <row r="7807" spans="1:40" x14ac:dyDescent="0.25">
      <c r="A7807" t="str">
        <f>"20190312154115214"</f>
        <v>20190312154115214</v>
      </c>
      <c r="B7807" t="str">
        <f>"1552376475203816"</f>
        <v>1552376475203816</v>
      </c>
      <c r="C7807" t="s">
        <v>40</v>
      </c>
      <c r="D7807">
        <v>4.5645689999999997</v>
      </c>
      <c r="E7807">
        <v>0.50798370000000004</v>
      </c>
      <c r="F7807" t="s">
        <v>42</v>
      </c>
      <c r="G7807">
        <v>-322.9246</v>
      </c>
      <c r="H7807" s="1">
        <v>-3.9303999999999997E-6</v>
      </c>
      <c r="I7807">
        <v>16.20364</v>
      </c>
      <c r="J7807">
        <v>-353.39170000000001</v>
      </c>
      <c r="K7807">
        <v>1.1102829999999999</v>
      </c>
      <c r="L7807">
        <v>17.450320000000001</v>
      </c>
      <c r="M7807">
        <v>0.99986339999999996</v>
      </c>
      <c r="N7807">
        <v>0</v>
      </c>
      <c r="O7807">
        <v>6.7612039999999998E-3</v>
      </c>
      <c r="P7807">
        <v>0.99958659999999999</v>
      </c>
      <c r="Q7807">
        <v>-2.135099E-2</v>
      </c>
      <c r="R7807">
        <v>-1.9263929999999999E-2</v>
      </c>
      <c r="S7807">
        <v>2.9965519999999999</v>
      </c>
      <c r="T7807">
        <v>-0.1086336</v>
      </c>
      <c r="U7807">
        <v>-0.1218567</v>
      </c>
      <c r="V7807">
        <v>2.6025369999999999E-2</v>
      </c>
      <c r="W7807">
        <v>-6.2638750000000003E-3</v>
      </c>
      <c r="X7807">
        <v>0.99964169999999997</v>
      </c>
      <c r="Y7807">
        <v>4.7352030000000003E-2</v>
      </c>
      <c r="Z7807">
        <v>-1.102654E-3</v>
      </c>
      <c r="AA7807">
        <v>0.99887760000000003</v>
      </c>
      <c r="AB7807">
        <v>27</v>
      </c>
      <c r="AC7807">
        <v>30.467099999999999</v>
      </c>
      <c r="AD7807">
        <v>-1.11028693039999</v>
      </c>
      <c r="AE7807">
        <v>-1.24668</v>
      </c>
      <c r="AF7807">
        <v>1.4507457938505399</v>
      </c>
      <c r="AG7807">
        <v>-1.11028693039999</v>
      </c>
      <c r="AH7807">
        <v>30.4176453792012</v>
      </c>
      <c r="AI7807">
        <v>92.088077174944999</v>
      </c>
      <c r="AJ7807">
        <v>87.269391850000702</v>
      </c>
      <c r="AK7807">
        <v>30.4724556089764</v>
      </c>
      <c r="AL7807">
        <v>90.358895932727293</v>
      </c>
      <c r="AM7807">
        <v>88.508658555990905</v>
      </c>
      <c r="AN7807">
        <v>1.00000004219627</v>
      </c>
    </row>
    <row r="7808" spans="1:40" x14ac:dyDescent="0.25">
      <c r="A7808" t="str">
        <f>"20190312154115227"</f>
        <v>20190312154115227</v>
      </c>
      <c r="B7808" t="str">
        <f>"1552376475214084"</f>
        <v>1552376475214084</v>
      </c>
      <c r="C7808" t="s">
        <v>40</v>
      </c>
      <c r="D7808">
        <v>4.6056869999999996</v>
      </c>
      <c r="E7808">
        <v>0.50795140000000005</v>
      </c>
      <c r="F7808" t="s">
        <v>42</v>
      </c>
      <c r="G7808">
        <v>-323.04320000000001</v>
      </c>
      <c r="H7808" s="1">
        <v>-3.8701539999999998E-6</v>
      </c>
      <c r="I7808">
        <v>16.227319999999999</v>
      </c>
      <c r="J7808">
        <v>-353.24529999999999</v>
      </c>
      <c r="K7808">
        <v>1.1102909999999999</v>
      </c>
      <c r="L7808">
        <v>17.451419999999999</v>
      </c>
      <c r="M7808">
        <v>0.99986260000000005</v>
      </c>
      <c r="N7808">
        <v>0</v>
      </c>
      <c r="O7808">
        <v>6.9025279999999998E-3</v>
      </c>
      <c r="P7808">
        <v>0.99958519999999895</v>
      </c>
      <c r="Q7808">
        <v>-2.1459349999999999E-2</v>
      </c>
      <c r="R7808">
        <v>-1.92214E-2</v>
      </c>
      <c r="S7808">
        <v>2.9965820000000001</v>
      </c>
      <c r="T7808">
        <v>-0.1096287</v>
      </c>
      <c r="U7808">
        <v>-0.12075809999999999</v>
      </c>
      <c r="V7808">
        <v>2.6124129999999999E-2</v>
      </c>
      <c r="W7808">
        <v>-6.3725379999999996E-3</v>
      </c>
      <c r="X7808">
        <v>0.99963840000000004</v>
      </c>
      <c r="Y7808">
        <v>4.7126580000000001E-2</v>
      </c>
      <c r="Z7808">
        <v>-1.113791E-3</v>
      </c>
      <c r="AA7808">
        <v>0.99888829999999995</v>
      </c>
      <c r="AB7808">
        <v>27</v>
      </c>
      <c r="AC7808">
        <v>30.202099999999898</v>
      </c>
      <c r="AD7808">
        <v>-1.1102948701540001</v>
      </c>
      <c r="AE7808">
        <v>-1.2241</v>
      </c>
      <c r="AF7808">
        <v>1.4306350809486099</v>
      </c>
      <c r="AG7808">
        <v>-1.1102948701540001</v>
      </c>
      <c r="AH7808">
        <v>30.152247345364</v>
      </c>
      <c r="AI7808">
        <v>92.106479543662303</v>
      </c>
      <c r="AJ7808">
        <v>87.283521730059206</v>
      </c>
      <c r="AK7808">
        <v>30.206580266715701</v>
      </c>
      <c r="AL7808">
        <v>90.3651220015809</v>
      </c>
      <c r="AM7808">
        <v>88.502996905713402</v>
      </c>
      <c r="AN7808">
        <v>1.00000000508168</v>
      </c>
    </row>
    <row r="7809" spans="1:40" x14ac:dyDescent="0.25">
      <c r="A7809" t="str">
        <f>"20190312154115240"</f>
        <v>20190312154115240</v>
      </c>
      <c r="B7809" t="str">
        <f>"1552376475234579"</f>
        <v>1552376475234579</v>
      </c>
      <c r="C7809" t="s">
        <v>40</v>
      </c>
      <c r="D7809">
        <v>4.6349210000000003</v>
      </c>
      <c r="E7809">
        <v>0.50779940000000001</v>
      </c>
      <c r="F7809" t="s">
        <v>42</v>
      </c>
      <c r="G7809">
        <v>-323.28809999999999</v>
      </c>
      <c r="H7809" s="1">
        <v>-3.7506760000000001E-6</v>
      </c>
      <c r="I7809">
        <v>16.248149999999999</v>
      </c>
      <c r="J7809">
        <v>-353.08150000000001</v>
      </c>
      <c r="K7809">
        <v>1.1102970000000001</v>
      </c>
      <c r="L7809">
        <v>17.452729999999999</v>
      </c>
      <c r="M7809">
        <v>0.99986140000000001</v>
      </c>
      <c r="N7809">
        <v>0</v>
      </c>
      <c r="O7809">
        <v>7.0573060000000002E-3</v>
      </c>
      <c r="P7809">
        <v>0.99959699999999996</v>
      </c>
      <c r="Q7809">
        <v>-2.1181539999999999E-2</v>
      </c>
      <c r="R7809">
        <v>-1.891E-2</v>
      </c>
      <c r="S7809">
        <v>2.9965820000000001</v>
      </c>
      <c r="T7809">
        <v>-0.11106149999999999</v>
      </c>
      <c r="U7809">
        <v>-0.1203613</v>
      </c>
      <c r="V7809">
        <v>2.5967259999999999E-2</v>
      </c>
      <c r="W7809">
        <v>-6.095156E-3</v>
      </c>
      <c r="X7809">
        <v>0.99964419999999998</v>
      </c>
      <c r="Y7809">
        <v>4.7148099999999998E-2</v>
      </c>
      <c r="Z7809">
        <v>-1.134473E-3</v>
      </c>
      <c r="AA7809">
        <v>0.99888719999999998</v>
      </c>
      <c r="AB7809">
        <v>27</v>
      </c>
      <c r="AC7809">
        <v>29.793399999999998</v>
      </c>
      <c r="AD7809">
        <v>-1.1103007506760001</v>
      </c>
      <c r="AE7809">
        <v>-1.20458</v>
      </c>
      <c r="AF7809">
        <v>1.41287603781335</v>
      </c>
      <c r="AG7809">
        <v>-1.1103007506760001</v>
      </c>
      <c r="AH7809">
        <v>29.7429161431564</v>
      </c>
      <c r="AI7809">
        <v>92.135448559676803</v>
      </c>
      <c r="AJ7809">
        <v>87.280326320679194</v>
      </c>
      <c r="AK7809">
        <v>29.7971483057357</v>
      </c>
      <c r="AL7809">
        <v>90.349228880830495</v>
      </c>
      <c r="AM7809">
        <v>88.511990675819902</v>
      </c>
      <c r="AN7809">
        <v>0.99999998805610502</v>
      </c>
    </row>
    <row r="7810" spans="1:40" x14ac:dyDescent="0.25">
      <c r="A7810" t="str">
        <f>"20190312154115257"</f>
        <v>20190312154115257</v>
      </c>
      <c r="B7810" t="str">
        <f>"1552376475244339"</f>
        <v>1552376475244339</v>
      </c>
      <c r="C7810" t="s">
        <v>40</v>
      </c>
      <c r="D7810">
        <v>4.6019139999999998</v>
      </c>
      <c r="E7810">
        <v>0.48159689999999999</v>
      </c>
      <c r="F7810" t="s">
        <v>42</v>
      </c>
      <c r="G7810">
        <v>-323.10879999999997</v>
      </c>
      <c r="H7810" s="1">
        <v>-3.8314890000000004E-6</v>
      </c>
      <c r="I7810">
        <v>16.270520000000001</v>
      </c>
      <c r="J7810">
        <v>-352.87650000000002</v>
      </c>
      <c r="K7810">
        <v>1.1103050000000001</v>
      </c>
      <c r="L7810">
        <v>17.45438</v>
      </c>
      <c r="M7810">
        <v>0.99985999999999997</v>
      </c>
      <c r="N7810">
        <v>0</v>
      </c>
      <c r="O7810">
        <v>7.241908E-3</v>
      </c>
      <c r="P7810">
        <v>0.99959799999999999</v>
      </c>
      <c r="Q7810">
        <v>-2.1038589999999999E-2</v>
      </c>
      <c r="R7810">
        <v>-1.9009100000000001E-2</v>
      </c>
      <c r="S7810">
        <v>2.996613</v>
      </c>
      <c r="T7810">
        <v>-0.11100549999999999</v>
      </c>
      <c r="U7810">
        <v>-0.1181946</v>
      </c>
      <c r="V7810">
        <v>2.6250800000000001E-2</v>
      </c>
      <c r="W7810">
        <v>-5.9530080000000001E-3</v>
      </c>
      <c r="X7810">
        <v>0.99963769999999996</v>
      </c>
      <c r="Y7810">
        <v>4.6611279999999998E-2</v>
      </c>
      <c r="Z7810">
        <v>-1.130804E-3</v>
      </c>
      <c r="AA7810">
        <v>0.99891249999999998</v>
      </c>
      <c r="AB7810">
        <v>27</v>
      </c>
      <c r="AC7810">
        <v>29.767700000000001</v>
      </c>
      <c r="AD7810">
        <v>-1.1103088314889999</v>
      </c>
      <c r="AE7810">
        <v>-1.1838599999999899</v>
      </c>
      <c r="AF7810">
        <v>1.3974872755444501</v>
      </c>
      <c r="AG7810">
        <v>-1.1103088314889999</v>
      </c>
      <c r="AH7810">
        <v>29.717067037676301</v>
      </c>
      <c r="AI7810">
        <v>92.137367865015705</v>
      </c>
      <c r="AJ7810">
        <v>87.307568196318201</v>
      </c>
      <c r="AK7810">
        <v>29.770620243930701</v>
      </c>
      <c r="AL7810">
        <v>90.341084235770793</v>
      </c>
      <c r="AM7810">
        <v>88.495740550301505</v>
      </c>
      <c r="AN7810">
        <v>1.0000000370330799</v>
      </c>
    </row>
    <row r="7811" spans="1:40" x14ac:dyDescent="0.25">
      <c r="A7811" t="str">
        <f>"20190312154115268"</f>
        <v>20190312154115268</v>
      </c>
      <c r="B7811" t="str">
        <f>"1552376475263859"</f>
        <v>1552376475263859</v>
      </c>
      <c r="C7811" t="s">
        <v>40</v>
      </c>
      <c r="D7811">
        <v>4.6414239999999998</v>
      </c>
      <c r="E7811">
        <v>0.47096579999999899</v>
      </c>
      <c r="F7811" t="s">
        <v>42</v>
      </c>
      <c r="G7811">
        <v>-323.56240000000003</v>
      </c>
      <c r="H7811" s="1">
        <v>-3.2501480000000001E-6</v>
      </c>
      <c r="I7811">
        <v>18.338979999999999</v>
      </c>
      <c r="J7811">
        <v>-352.74520000000001</v>
      </c>
      <c r="K7811">
        <v>1.1103069999999999</v>
      </c>
      <c r="L7811">
        <v>17.455439999999999</v>
      </c>
      <c r="M7811">
        <v>0.99985919999999895</v>
      </c>
      <c r="N7811">
        <v>0</v>
      </c>
      <c r="O7811">
        <v>7.3524829999999999E-3</v>
      </c>
      <c r="P7811">
        <v>0.99960039999999994</v>
      </c>
      <c r="Q7811">
        <v>-2.0907410000000001E-2</v>
      </c>
      <c r="R7811">
        <v>-1.9031079999999999E-2</v>
      </c>
      <c r="S7811">
        <v>3.0005190000000002</v>
      </c>
      <c r="T7811">
        <v>-0.1136484</v>
      </c>
      <c r="U7811">
        <v>9.0545650000000005E-2</v>
      </c>
      <c r="V7811">
        <v>2.6383190000000001E-2</v>
      </c>
      <c r="W7811">
        <v>-5.8225999999999998E-3</v>
      </c>
      <c r="X7811">
        <v>0.99963489999999999</v>
      </c>
      <c r="Y7811">
        <v>-2.2801080000000001E-2</v>
      </c>
      <c r="Z7811">
        <v>1.5321329999999999E-4</v>
      </c>
      <c r="AA7811">
        <v>0.99973999999999996</v>
      </c>
      <c r="AB7811">
        <v>27</v>
      </c>
      <c r="AC7811">
        <v>29.182799999999901</v>
      </c>
      <c r="AD7811">
        <v>-1.110310250148</v>
      </c>
      <c r="AE7811">
        <v>0.88353999999999999</v>
      </c>
      <c r="AF7811">
        <v>-0.66795963621362697</v>
      </c>
      <c r="AG7811">
        <v>-1.110310250148</v>
      </c>
      <c r="AH7811">
        <v>29.146355679228801</v>
      </c>
      <c r="AI7811">
        <v>92.181016074028093</v>
      </c>
      <c r="AJ7811">
        <v>91.312842347682505</v>
      </c>
      <c r="AK7811">
        <v>29.175143672436501</v>
      </c>
      <c r="AL7811">
        <v>90.333612306101202</v>
      </c>
      <c r="AM7811">
        <v>88.488153435733196</v>
      </c>
      <c r="AN7811">
        <v>0.99999995434167099</v>
      </c>
    </row>
    <row r="7812" spans="1:40" x14ac:dyDescent="0.25">
      <c r="A7812" t="str">
        <f>"20190312154115279"</f>
        <v>20190312154115279</v>
      </c>
      <c r="B7812" t="str">
        <f>"1552376475274596"</f>
        <v>1552376475274596</v>
      </c>
      <c r="C7812" t="s">
        <v>40</v>
      </c>
      <c r="D7812">
        <v>4.6655629999999997</v>
      </c>
      <c r="E7812">
        <v>0.46850180000000002</v>
      </c>
      <c r="F7812" t="s">
        <v>42</v>
      </c>
      <c r="G7812">
        <v>-323.98239999999998</v>
      </c>
      <c r="H7812" s="1">
        <v>-2.9104410000000002E-6</v>
      </c>
      <c r="I7812">
        <v>19.134920000000001</v>
      </c>
      <c r="J7812">
        <v>-352.61219999999997</v>
      </c>
      <c r="K7812">
        <v>1.1103069999999999</v>
      </c>
      <c r="L7812">
        <v>17.45654</v>
      </c>
      <c r="M7812">
        <v>0.99985840000000004</v>
      </c>
      <c r="N7812">
        <v>0</v>
      </c>
      <c r="O7812">
        <v>7.4631749999999998E-3</v>
      </c>
      <c r="P7812">
        <v>0.99959969999999998</v>
      </c>
      <c r="Q7812">
        <v>-2.0974090000000001E-2</v>
      </c>
      <c r="R7812">
        <v>-1.8987339999999998E-2</v>
      </c>
      <c r="S7812">
        <v>3.002075</v>
      </c>
      <c r="T7812">
        <v>-0.1158869</v>
      </c>
      <c r="U7812">
        <v>0.175293</v>
      </c>
      <c r="V7812">
        <v>2.6450169999999999E-2</v>
      </c>
      <c r="W7812">
        <v>-5.8901489999999999E-3</v>
      </c>
      <c r="X7812">
        <v>0.99963279999999999</v>
      </c>
      <c r="Y7812">
        <v>-5.0806200000000003E-2</v>
      </c>
      <c r="Z7812">
        <v>6.9166029999999997E-4</v>
      </c>
      <c r="AA7812">
        <v>0.99870829999999999</v>
      </c>
      <c r="AB7812">
        <v>27</v>
      </c>
      <c r="AC7812">
        <v>28.6297999999999</v>
      </c>
      <c r="AD7812">
        <v>-1.1103099104409999</v>
      </c>
      <c r="AE7812">
        <v>1.67838</v>
      </c>
      <c r="AF7812">
        <v>-1.46244772392642</v>
      </c>
      <c r="AG7812">
        <v>-1.1103099104409999</v>
      </c>
      <c r="AH7812">
        <v>28.598664482926399</v>
      </c>
      <c r="AI7812">
        <v>92.220427045421005</v>
      </c>
      <c r="AJ7812">
        <v>92.927379998011901</v>
      </c>
      <c r="AK7812">
        <v>28.657549644891802</v>
      </c>
      <c r="AL7812">
        <v>90.3374826230705</v>
      </c>
      <c r="AM7812">
        <v>88.484313859308003</v>
      </c>
      <c r="AN7812">
        <v>1.00000002009205</v>
      </c>
    </row>
    <row r="7813" spans="1:40" x14ac:dyDescent="0.25">
      <c r="A7813" t="str">
        <f>"20190312154115290"</f>
        <v>20190312154115290</v>
      </c>
      <c r="B7813" t="str">
        <f>"1552376475284355"</f>
        <v>1552376475284355</v>
      </c>
      <c r="C7813" t="s">
        <v>40</v>
      </c>
      <c r="D7813">
        <v>4.6473579999999997</v>
      </c>
      <c r="E7813">
        <v>0.46710889999999999</v>
      </c>
      <c r="F7813" t="s">
        <v>42</v>
      </c>
      <c r="G7813">
        <v>-323.92950000000002</v>
      </c>
      <c r="H7813" s="1">
        <v>-2.9025530000000001E-6</v>
      </c>
      <c r="I7813">
        <v>19.320329999999998</v>
      </c>
      <c r="J7813">
        <v>-352.47890000000001</v>
      </c>
      <c r="K7813">
        <v>1.110309</v>
      </c>
      <c r="L7813">
        <v>17.457639999999898</v>
      </c>
      <c r="M7813">
        <v>0.99985769999999996</v>
      </c>
      <c r="N7813">
        <v>0</v>
      </c>
      <c r="O7813">
        <v>7.5675480000000003E-3</v>
      </c>
      <c r="P7813">
        <v>0.99960179999999998</v>
      </c>
      <c r="Q7813">
        <v>-2.0874029999999998E-2</v>
      </c>
      <c r="R7813">
        <v>-1.8990259999999998E-2</v>
      </c>
      <c r="S7813">
        <v>3.002472</v>
      </c>
      <c r="T7813">
        <v>-0.116226</v>
      </c>
      <c r="U7813">
        <v>0.19509889999999999</v>
      </c>
      <c r="V7813">
        <v>2.6557130000000002E-2</v>
      </c>
      <c r="W7813">
        <v>-5.7911330000000004E-3</v>
      </c>
      <c r="X7813">
        <v>0.99963049999999998</v>
      </c>
      <c r="Y7813">
        <v>-5.725127E-2</v>
      </c>
      <c r="Z7813">
        <v>8.139849E-4</v>
      </c>
      <c r="AA7813">
        <v>0.99835940000000001</v>
      </c>
      <c r="AB7813">
        <v>27</v>
      </c>
      <c r="AC7813">
        <v>28.549399999999899</v>
      </c>
      <c r="AD7813">
        <v>-1.1103119025529999</v>
      </c>
      <c r="AE7813">
        <v>1.86269</v>
      </c>
      <c r="AF7813">
        <v>-1.64408699205866</v>
      </c>
      <c r="AG7813">
        <v>-1.1103119025529999</v>
      </c>
      <c r="AH7813">
        <v>28.5197266158989</v>
      </c>
      <c r="AI7813">
        <v>92.225785430294195</v>
      </c>
      <c r="AJ7813">
        <v>93.2992989875425</v>
      </c>
      <c r="AK7813">
        <v>28.588644962712301</v>
      </c>
      <c r="AL7813">
        <v>90.331809341658499</v>
      </c>
      <c r="AM7813">
        <v>88.478184058304393</v>
      </c>
      <c r="AN7813">
        <v>0.99999997745275504</v>
      </c>
    </row>
    <row r="7814" spans="1:40" x14ac:dyDescent="0.25">
      <c r="A7814" t="str">
        <f>"20190312154115301"</f>
        <v>20190312154115301</v>
      </c>
      <c r="B7814" t="str">
        <f>"1552376475294115"</f>
        <v>1552376475294115</v>
      </c>
      <c r="C7814" t="s">
        <v>40</v>
      </c>
      <c r="D7814">
        <v>4.6275760000000004</v>
      </c>
      <c r="E7814">
        <v>0.46601130000000002</v>
      </c>
      <c r="F7814" t="s">
        <v>42</v>
      </c>
      <c r="G7814">
        <v>-325.1705</v>
      </c>
      <c r="H7814" s="1">
        <v>-2.313493E-6</v>
      </c>
      <c r="I7814">
        <v>19.333970000000001</v>
      </c>
      <c r="J7814">
        <v>-352.33800000000002</v>
      </c>
      <c r="K7814">
        <v>1.110311</v>
      </c>
      <c r="L7814">
        <v>17.458829999999999</v>
      </c>
      <c r="M7814">
        <v>0.99985690000000005</v>
      </c>
      <c r="N7814">
        <v>0</v>
      </c>
      <c r="O7814">
        <v>7.6748969999999904E-3</v>
      </c>
      <c r="P7814">
        <v>0.9995984</v>
      </c>
      <c r="Q7814">
        <v>-2.0907909999999998E-2</v>
      </c>
      <c r="R7814">
        <v>-1.9137520000000002E-2</v>
      </c>
      <c r="S7814">
        <v>3.0025019999999998</v>
      </c>
      <c r="T7814">
        <v>-0.1220767</v>
      </c>
      <c r="U7814">
        <v>0.2062988</v>
      </c>
      <c r="V7814">
        <v>2.681161E-2</v>
      </c>
      <c r="W7814">
        <v>-5.8262260000000003E-3</v>
      </c>
      <c r="X7814">
        <v>0.9996235</v>
      </c>
      <c r="Y7814">
        <v>-6.0843899999999999E-2</v>
      </c>
      <c r="Z7814">
        <v>9.2337579999999999E-4</v>
      </c>
      <c r="AA7814">
        <v>0.99814689999999995</v>
      </c>
      <c r="AB7814">
        <v>27</v>
      </c>
      <c r="AC7814">
        <v>27.1675</v>
      </c>
      <c r="AD7814">
        <v>-1.1103133134929899</v>
      </c>
      <c r="AE7814">
        <v>1.87514</v>
      </c>
      <c r="AF7814">
        <v>-1.66378746694595</v>
      </c>
      <c r="AG7814">
        <v>-1.1103133134929899</v>
      </c>
      <c r="AH7814">
        <v>27.1359827667033</v>
      </c>
      <c r="AI7814">
        <v>92.338657154933998</v>
      </c>
      <c r="AJ7814">
        <v>93.508581743331902</v>
      </c>
      <c r="AK7814">
        <v>27.2096039130323</v>
      </c>
      <c r="AL7814">
        <v>90.333820057386504</v>
      </c>
      <c r="AM7814">
        <v>88.463597671578498</v>
      </c>
      <c r="AN7814">
        <v>0.99999997454622203</v>
      </c>
    </row>
    <row r="7815" spans="1:40" x14ac:dyDescent="0.25">
      <c r="A7815" t="str">
        <f>"20190312154115313"</f>
        <v>20190312154115313</v>
      </c>
      <c r="B7815" t="str">
        <f>"1552376475303876"</f>
        <v>1552376475303876</v>
      </c>
      <c r="C7815" t="s">
        <v>40</v>
      </c>
      <c r="D7815">
        <v>4.6226070000000004</v>
      </c>
      <c r="E7815">
        <v>0.4650726</v>
      </c>
      <c r="F7815" t="s">
        <v>42</v>
      </c>
      <c r="G7815">
        <v>-326.2534</v>
      </c>
      <c r="H7815" s="1">
        <v>-1.8033289999999999E-6</v>
      </c>
      <c r="I7815">
        <v>19.32413</v>
      </c>
      <c r="J7815">
        <v>-352.19170000000003</v>
      </c>
      <c r="K7815">
        <v>1.1103130000000001</v>
      </c>
      <c r="L7815">
        <v>17.460049999999999</v>
      </c>
      <c r="M7815">
        <v>0.99985619999999997</v>
      </c>
      <c r="N7815">
        <v>0</v>
      </c>
      <c r="O7815">
        <v>7.7819469999999896E-3</v>
      </c>
      <c r="P7815">
        <v>0.99960119999999997</v>
      </c>
      <c r="Q7815">
        <v>-2.0701420000000002E-2</v>
      </c>
      <c r="R7815">
        <v>-1.9212710000000001E-2</v>
      </c>
      <c r="S7815">
        <v>3.0026860000000002</v>
      </c>
      <c r="T7815">
        <v>-0.12781199999999901</v>
      </c>
      <c r="U7815">
        <v>0.21472169999999999</v>
      </c>
      <c r="V7815">
        <v>2.6993619999999999E-2</v>
      </c>
      <c r="W7815">
        <v>-5.6210799999999997E-3</v>
      </c>
      <c r="X7815">
        <v>0.99961979999999995</v>
      </c>
      <c r="Y7815">
        <v>-6.3512369999999999E-2</v>
      </c>
      <c r="Z7815">
        <v>1.018712E-3</v>
      </c>
      <c r="AA7815">
        <v>0.99798050000000005</v>
      </c>
      <c r="AB7815">
        <v>27</v>
      </c>
      <c r="AC7815">
        <v>25.938300000000002</v>
      </c>
      <c r="AD7815">
        <v>-1.11031480332899</v>
      </c>
      <c r="AE7815">
        <v>1.86408</v>
      </c>
      <c r="AF7815">
        <v>-1.6591256673186701</v>
      </c>
      <c r="AG7815">
        <v>-1.11031480332899</v>
      </c>
      <c r="AH7815">
        <v>25.904799378334999</v>
      </c>
      <c r="AI7815">
        <v>92.449260381995899</v>
      </c>
      <c r="AJ7815">
        <v>93.664619646062405</v>
      </c>
      <c r="AK7815">
        <v>25.981611339065001</v>
      </c>
      <c r="AL7815">
        <v>90.322065856893801</v>
      </c>
      <c r="AM7815">
        <v>88.453167166976996</v>
      </c>
      <c r="AN7815">
        <v>0.99999999830655495</v>
      </c>
    </row>
    <row r="7816" spans="1:40" x14ac:dyDescent="0.25">
      <c r="A7816" t="str">
        <f>"20190312154115325"</f>
        <v>20190312154115325</v>
      </c>
      <c r="B7816" t="str">
        <f>"1552376475314089"</f>
        <v>1552376475314089</v>
      </c>
      <c r="C7816" t="s">
        <v>40</v>
      </c>
      <c r="D7816">
        <v>4.5893069999999998</v>
      </c>
      <c r="E7816">
        <v>0.4646035</v>
      </c>
      <c r="F7816" t="s">
        <v>42</v>
      </c>
      <c r="G7816">
        <v>-326.92469999999997</v>
      </c>
      <c r="H7816" s="1">
        <v>-1.4851939999999901E-6</v>
      </c>
      <c r="I7816">
        <v>19.328720000000001</v>
      </c>
      <c r="J7816">
        <v>-352.05549999999999</v>
      </c>
      <c r="K7816">
        <v>1.1103130000000001</v>
      </c>
      <c r="L7816">
        <v>17.46124</v>
      </c>
      <c r="M7816">
        <v>0.99985539999999995</v>
      </c>
      <c r="N7816">
        <v>0</v>
      </c>
      <c r="O7816">
        <v>7.8776920000000004E-3</v>
      </c>
      <c r="P7816">
        <v>0.99960369999999998</v>
      </c>
      <c r="Q7816">
        <v>-2.04633E-2</v>
      </c>
      <c r="R7816">
        <v>-1.934176E-2</v>
      </c>
      <c r="S7816">
        <v>3.002777</v>
      </c>
      <c r="T7816">
        <v>-0.13195219999999999</v>
      </c>
      <c r="U7816">
        <v>0.22207640000000001</v>
      </c>
      <c r="V7816">
        <v>2.7218200000000001E-2</v>
      </c>
      <c r="W7816">
        <v>-5.3843140000000003E-3</v>
      </c>
      <c r="X7816">
        <v>0.99961500000000003</v>
      </c>
      <c r="Y7816">
        <v>-6.5840529999999994E-2</v>
      </c>
      <c r="Z7816">
        <v>1.0984149999999999E-3</v>
      </c>
      <c r="AA7816">
        <v>0.99782959999999998</v>
      </c>
      <c r="AB7816">
        <v>27</v>
      </c>
      <c r="AC7816">
        <v>25.130800000000001</v>
      </c>
      <c r="AD7816">
        <v>-1.1103144851939999</v>
      </c>
      <c r="AE7816">
        <v>1.86748</v>
      </c>
      <c r="AF7816">
        <v>-1.6661923091378601</v>
      </c>
      <c r="AG7816">
        <v>-1.1103144851939999</v>
      </c>
      <c r="AH7816">
        <v>25.0960147820754</v>
      </c>
      <c r="AI7816">
        <v>92.527708063516201</v>
      </c>
      <c r="AJ7816">
        <v>93.7984471652438</v>
      </c>
      <c r="AK7816">
        <v>25.175761220054699</v>
      </c>
      <c r="AL7816">
        <v>90.3084999631062</v>
      </c>
      <c r="AM7816">
        <v>88.440296759035206</v>
      </c>
      <c r="AN7816">
        <v>0.99999998473674501</v>
      </c>
    </row>
    <row r="7817" spans="1:40" x14ac:dyDescent="0.25">
      <c r="A7817" t="str">
        <f>"20190312154115336"</f>
        <v>20190312154115336</v>
      </c>
      <c r="B7817" t="str">
        <f>"1552376475323849"</f>
        <v>1552376475323849</v>
      </c>
      <c r="C7817" t="s">
        <v>40</v>
      </c>
      <c r="D7817">
        <v>4.576047</v>
      </c>
      <c r="E7817">
        <v>0.46418140000000002</v>
      </c>
      <c r="F7817" t="s">
        <v>42</v>
      </c>
      <c r="G7817">
        <v>-327.45319999999998</v>
      </c>
      <c r="H7817" s="1">
        <v>-1.238903E-6</v>
      </c>
      <c r="I7817">
        <v>19.308730000000001</v>
      </c>
      <c r="J7817">
        <v>-351.91539999999998</v>
      </c>
      <c r="K7817">
        <v>1.1103149999999999</v>
      </c>
      <c r="L7817">
        <v>17.46246</v>
      </c>
      <c r="M7817">
        <v>0.99985460000000004</v>
      </c>
      <c r="N7817">
        <v>0</v>
      </c>
      <c r="O7817">
        <v>7.9746909999999904E-3</v>
      </c>
      <c r="P7817">
        <v>0.99960309999999997</v>
      </c>
      <c r="Q7817">
        <v>-2.037595E-2</v>
      </c>
      <c r="R7817">
        <v>-1.9460379999999999E-2</v>
      </c>
      <c r="S7817">
        <v>3.0028079999999999</v>
      </c>
      <c r="T7817">
        <v>-0.13551859999999999</v>
      </c>
      <c r="U7817">
        <v>0.22549440000000001</v>
      </c>
      <c r="V7817">
        <v>2.743375E-2</v>
      </c>
      <c r="W7817">
        <v>-5.2984379999999999E-3</v>
      </c>
      <c r="X7817">
        <v>0.99960959999999999</v>
      </c>
      <c r="Y7817">
        <v>-6.6868499999999997E-2</v>
      </c>
      <c r="Z7817">
        <v>1.1467980000000001E-3</v>
      </c>
      <c r="AA7817">
        <v>0.99776109999999896</v>
      </c>
      <c r="AB7817">
        <v>27</v>
      </c>
      <c r="AC7817">
        <v>24.462199999999999</v>
      </c>
      <c r="AD7817">
        <v>-1.1103162389029999</v>
      </c>
      <c r="AE7817">
        <v>1.8462699999999901</v>
      </c>
      <c r="AF7817">
        <v>-1.64773524731137</v>
      </c>
      <c r="AG7817">
        <v>-1.1103162389029999</v>
      </c>
      <c r="AH7817">
        <v>24.426110241781</v>
      </c>
      <c r="AI7817">
        <v>92.596758766377405</v>
      </c>
      <c r="AJ7817">
        <v>93.859208865264307</v>
      </c>
      <c r="AK7817">
        <v>24.5067887561639</v>
      </c>
      <c r="AL7817">
        <v>90.303579550303795</v>
      </c>
      <c r="AM7817">
        <v>88.427942634768101</v>
      </c>
      <c r="AN7817">
        <v>1.00000001824823</v>
      </c>
    </row>
    <row r="7818" spans="1:40" x14ac:dyDescent="0.25">
      <c r="A7818" t="str">
        <f>"20190312154115347"</f>
        <v>20190312154115347</v>
      </c>
      <c r="B7818" t="str">
        <f>"1552376475334584"</f>
        <v>1552376475334584</v>
      </c>
      <c r="C7818" t="s">
        <v>40</v>
      </c>
      <c r="D7818">
        <v>4.5608639999999996</v>
      </c>
      <c r="E7818">
        <v>0.46378960000000002</v>
      </c>
      <c r="F7818" t="s">
        <v>42</v>
      </c>
      <c r="G7818">
        <v>-327.85019999999997</v>
      </c>
      <c r="H7818" s="1">
        <v>-1.0538200000000001E-6</v>
      </c>
      <c r="I7818">
        <v>19.294350000000001</v>
      </c>
      <c r="J7818">
        <v>-351.79360000000003</v>
      </c>
      <c r="K7818">
        <v>1.11032</v>
      </c>
      <c r="L7818">
        <v>17.4635</v>
      </c>
      <c r="M7818">
        <v>0.99985400000000002</v>
      </c>
      <c r="N7818">
        <v>0</v>
      </c>
      <c r="O7818">
        <v>8.0553929999999992E-3</v>
      </c>
      <c r="P7818">
        <v>0.99960389999999999</v>
      </c>
      <c r="Q7818">
        <v>-2.015548E-2</v>
      </c>
      <c r="R7818">
        <v>-1.9639730000000001E-2</v>
      </c>
      <c r="S7818">
        <v>3.002777</v>
      </c>
      <c r="T7818">
        <v>-0.13854149999999901</v>
      </c>
      <c r="U7818">
        <v>0.22857669999999999</v>
      </c>
      <c r="V7818">
        <v>2.7693760000000001E-2</v>
      </c>
      <c r="W7818">
        <v>-5.0793560000000001E-3</v>
      </c>
      <c r="X7818">
        <v>0.99960360000000004</v>
      </c>
      <c r="Y7818">
        <v>-6.7803459999999996E-2</v>
      </c>
      <c r="Z7818">
        <v>1.1901289999999901E-3</v>
      </c>
      <c r="AA7818">
        <v>0.99769799999999997</v>
      </c>
      <c r="AB7818">
        <v>27</v>
      </c>
      <c r="AC7818">
        <v>23.9434</v>
      </c>
      <c r="AD7818">
        <v>-1.1103210538199999</v>
      </c>
      <c r="AE7818">
        <v>1.8308500000000001</v>
      </c>
      <c r="AF7818">
        <v>-1.6344009483611699</v>
      </c>
      <c r="AG7818">
        <v>-1.1103210538199999</v>
      </c>
      <c r="AH7818">
        <v>23.906262938033901</v>
      </c>
      <c r="AI7818">
        <v>92.65299473943</v>
      </c>
      <c r="AJ7818">
        <v>93.911058157332306</v>
      </c>
      <c r="AK7818">
        <v>23.9877778663421</v>
      </c>
      <c r="AL7818">
        <v>90.291026898116897</v>
      </c>
      <c r="AM7818">
        <v>88.413041143545499</v>
      </c>
      <c r="AN7818">
        <v>1.00000005066663</v>
      </c>
    </row>
    <row r="7819" spans="1:40" x14ac:dyDescent="0.25">
      <c r="A7819" t="str">
        <f>"20190312154115358"</f>
        <v>20190312154115358</v>
      </c>
      <c r="B7819" t="str">
        <f>"1552376475354105"</f>
        <v>1552376475354105</v>
      </c>
      <c r="C7819" t="s">
        <v>40</v>
      </c>
      <c r="D7819">
        <v>4.5381929999999997</v>
      </c>
      <c r="E7819">
        <v>0.46309440000000002</v>
      </c>
      <c r="F7819" t="s">
        <v>42</v>
      </c>
      <c r="G7819">
        <v>-328.15559999999999</v>
      </c>
      <c r="H7819" s="1">
        <v>-9.1140419999999996E-7</v>
      </c>
      <c r="I7819">
        <v>19.28321</v>
      </c>
      <c r="J7819">
        <v>-351.65269999999998</v>
      </c>
      <c r="K7819">
        <v>1.1103229999999999</v>
      </c>
      <c r="L7819">
        <v>17.46472</v>
      </c>
      <c r="M7819">
        <v>0.99985310000000005</v>
      </c>
      <c r="N7819">
        <v>0</v>
      </c>
      <c r="O7819">
        <v>8.1486660000000006E-3</v>
      </c>
      <c r="P7819">
        <v>0.99960979999999999</v>
      </c>
      <c r="Q7819">
        <v>-1.990343E-2</v>
      </c>
      <c r="R7819">
        <v>-1.960431E-2</v>
      </c>
      <c r="S7819">
        <v>3.0028990000000002</v>
      </c>
      <c r="T7819">
        <v>-0.1410517</v>
      </c>
      <c r="U7819">
        <v>0.23117070000000001</v>
      </c>
      <c r="V7819">
        <v>2.7751370000000001E-2</v>
      </c>
      <c r="W7819">
        <v>-4.8289020000000004E-3</v>
      </c>
      <c r="X7819">
        <v>0.99960320000000003</v>
      </c>
      <c r="Y7819">
        <v>-6.8561070000000002E-2</v>
      </c>
      <c r="Z7819">
        <v>1.2249660000000001E-3</v>
      </c>
      <c r="AA7819">
        <v>0.99764620000000004</v>
      </c>
      <c r="AB7819">
        <v>27</v>
      </c>
      <c r="AC7819">
        <v>23.4970999999999</v>
      </c>
      <c r="AD7819">
        <v>-1.1103239114041901</v>
      </c>
      <c r="AE7819">
        <v>1.8184899999999999</v>
      </c>
      <c r="AF7819">
        <v>-1.62333464335938</v>
      </c>
      <c r="AG7819">
        <v>-1.1103239114041901</v>
      </c>
      <c r="AH7819">
        <v>23.459069578068199</v>
      </c>
      <c r="AI7819">
        <v>92.703346949779899</v>
      </c>
      <c r="AJ7819">
        <v>93.958477144241002</v>
      </c>
      <c r="AK7819">
        <v>23.541367420377501</v>
      </c>
      <c r="AL7819">
        <v>90.276676777585394</v>
      </c>
      <c r="AM7819">
        <v>88.409740926573207</v>
      </c>
      <c r="AN7819">
        <v>1.0000000071408199</v>
      </c>
    </row>
    <row r="7820" spans="1:40" x14ac:dyDescent="0.25">
      <c r="A7820" t="str">
        <f>"20190312154115370"</f>
        <v>20190312154115370</v>
      </c>
      <c r="B7820" t="str">
        <f>"1552376475363865"</f>
        <v>1552376475363865</v>
      </c>
      <c r="C7820" t="s">
        <v>40</v>
      </c>
      <c r="D7820">
        <v>4.5431489999999997</v>
      </c>
      <c r="E7820">
        <v>0.462835</v>
      </c>
      <c r="F7820" t="s">
        <v>42</v>
      </c>
      <c r="G7820">
        <v>-327.67309999999998</v>
      </c>
      <c r="H7820" s="1">
        <v>-1.126548E-6</v>
      </c>
      <c r="I7820">
        <v>19.356210000000001</v>
      </c>
      <c r="J7820">
        <v>-351.51119999999997</v>
      </c>
      <c r="K7820">
        <v>1.1103259999999999</v>
      </c>
      <c r="L7820">
        <v>17.465969999999999</v>
      </c>
      <c r="M7820">
        <v>0.99985250000000003</v>
      </c>
      <c r="N7820">
        <v>0</v>
      </c>
      <c r="O7820">
        <v>8.2394600000000005E-3</v>
      </c>
      <c r="P7820">
        <v>0.99960839999999995</v>
      </c>
      <c r="Q7820">
        <v>-1.971117E-2</v>
      </c>
      <c r="R7820">
        <v>-1.9871679999999999E-2</v>
      </c>
      <c r="S7820">
        <v>3.0030519999999998</v>
      </c>
      <c r="T7820">
        <v>-0.1390496</v>
      </c>
      <c r="U7820">
        <v>0.23687739999999999</v>
      </c>
      <c r="V7820">
        <v>2.8109479999999999E-2</v>
      </c>
      <c r="W7820">
        <v>-4.6383589999999999E-3</v>
      </c>
      <c r="X7820">
        <v>0.99959410000000004</v>
      </c>
      <c r="Y7820">
        <v>-7.0350990000000002E-2</v>
      </c>
      <c r="Z7820">
        <v>1.2446060000000001E-3</v>
      </c>
      <c r="AA7820">
        <v>0.99752149999999995</v>
      </c>
      <c r="AB7820">
        <v>27</v>
      </c>
      <c r="AC7820">
        <v>23.838100000000001</v>
      </c>
      <c r="AD7820">
        <v>-1.1103271265479999</v>
      </c>
      <c r="AE7820">
        <v>1.8902399999999899</v>
      </c>
      <c r="AF7820">
        <v>-1.6900966990752799</v>
      </c>
      <c r="AG7820">
        <v>-1.1103271265479999</v>
      </c>
      <c r="AH7820">
        <v>23.801552264403</v>
      </c>
      <c r="AI7820">
        <v>92.664176626798593</v>
      </c>
      <c r="AJ7820">
        <v>94.061632017730403</v>
      </c>
      <c r="AK7820">
        <v>23.887300880913301</v>
      </c>
      <c r="AL7820">
        <v>90.265759344590606</v>
      </c>
      <c r="AM7820">
        <v>88.389215947097696</v>
      </c>
      <c r="AN7820">
        <v>1.0000000109974401</v>
      </c>
    </row>
    <row r="7821" spans="1:40" x14ac:dyDescent="0.25">
      <c r="A7821" t="str">
        <f>"20190312154115381"</f>
        <v>20190312154115381</v>
      </c>
      <c r="B7821" t="str">
        <f>"1552376475374601"</f>
        <v>1552376475374601</v>
      </c>
      <c r="C7821" t="s">
        <v>40</v>
      </c>
      <c r="D7821">
        <v>4.5400210000000003</v>
      </c>
      <c r="E7821">
        <v>0.46260089999999998</v>
      </c>
      <c r="F7821" t="s">
        <v>42</v>
      </c>
      <c r="G7821">
        <v>-327.12990000000002</v>
      </c>
      <c r="H7821" s="1">
        <v>-1.375767E-6</v>
      </c>
      <c r="I7821">
        <v>19.398679999999999</v>
      </c>
      <c r="J7821">
        <v>-351.38240000000002</v>
      </c>
      <c r="K7821">
        <v>1.110325</v>
      </c>
      <c r="L7821">
        <v>17.46716</v>
      </c>
      <c r="M7821">
        <v>0.99985179999999996</v>
      </c>
      <c r="N7821">
        <v>0</v>
      </c>
      <c r="O7821">
        <v>8.3215049999999999E-3</v>
      </c>
      <c r="P7821">
        <v>0.99960740000000003</v>
      </c>
      <c r="Q7821">
        <v>-1.9646919999999998E-2</v>
      </c>
      <c r="R7821">
        <v>-1.9982880000000001E-2</v>
      </c>
      <c r="S7821">
        <v>3.0032350000000001</v>
      </c>
      <c r="T7821">
        <v>-0.1367681</v>
      </c>
      <c r="U7821">
        <v>0.23806759999999999</v>
      </c>
      <c r="V7821">
        <v>2.830239E-2</v>
      </c>
      <c r="W7821">
        <v>-4.5757150000000002E-3</v>
      </c>
      <c r="X7821">
        <v>0.9995889</v>
      </c>
      <c r="Y7821">
        <v>-7.0659159999999999E-2</v>
      </c>
      <c r="Z7821">
        <v>1.2273869999999999E-3</v>
      </c>
      <c r="AA7821">
        <v>0.99749980000000005</v>
      </c>
      <c r="AB7821">
        <v>27</v>
      </c>
      <c r="AC7821">
        <v>24.252500000000001</v>
      </c>
      <c r="AD7821">
        <v>-1.1103263757670001</v>
      </c>
      <c r="AE7821">
        <v>1.9315199999999899</v>
      </c>
      <c r="AF7821">
        <v>-1.7260179771217301</v>
      </c>
      <c r="AG7821">
        <v>-1.1103263757670001</v>
      </c>
      <c r="AH7821">
        <v>24.217295888142601</v>
      </c>
      <c r="AI7821">
        <v>92.618453653200007</v>
      </c>
      <c r="AJ7821">
        <v>94.076698079228507</v>
      </c>
      <c r="AK7821">
        <v>24.304102181564399</v>
      </c>
      <c r="AL7821">
        <v>90.262170081595698</v>
      </c>
      <c r="AM7821">
        <v>88.378158894751394</v>
      </c>
      <c r="AN7821">
        <v>0.999999965725341</v>
      </c>
    </row>
    <row r="7822" spans="1:40" x14ac:dyDescent="0.25">
      <c r="A7822" t="str">
        <f>"20190312154115392"</f>
        <v>20190312154115392</v>
      </c>
      <c r="B7822" t="str">
        <f>"1552376475384361"</f>
        <v>1552376475384361</v>
      </c>
      <c r="C7822" t="s">
        <v>40</v>
      </c>
      <c r="D7822">
        <v>4.5327520000000003</v>
      </c>
      <c r="E7822">
        <v>0.46243400000000001</v>
      </c>
      <c r="F7822" t="s">
        <v>42</v>
      </c>
      <c r="G7822">
        <v>-326.93959999999998</v>
      </c>
      <c r="H7822" s="1">
        <v>-1.4624529999999999E-6</v>
      </c>
      <c r="I7822">
        <v>19.417359999999999</v>
      </c>
      <c r="J7822">
        <v>-351.24299999999999</v>
      </c>
      <c r="K7822">
        <v>1.110328</v>
      </c>
      <c r="L7822">
        <v>17.468409999999999</v>
      </c>
      <c r="M7822">
        <v>0.99985109999999999</v>
      </c>
      <c r="N7822">
        <v>0</v>
      </c>
      <c r="O7822">
        <v>8.4094619999999995E-3</v>
      </c>
      <c r="P7822">
        <v>0.99961250000000001</v>
      </c>
      <c r="Q7822">
        <v>-1.9215690000000001E-2</v>
      </c>
      <c r="R7822">
        <v>-2.0142230000000001E-2</v>
      </c>
      <c r="S7822">
        <v>3.0033259999999999</v>
      </c>
      <c r="T7822">
        <v>-0.13642739999999901</v>
      </c>
      <c r="U7822">
        <v>0.239624</v>
      </c>
      <c r="V7822">
        <v>2.8549700000000001E-2</v>
      </c>
      <c r="W7822">
        <v>-4.1462219999999998E-3</v>
      </c>
      <c r="X7822">
        <v>0.99958380000000002</v>
      </c>
      <c r="Y7822">
        <v>-7.1082670000000001E-2</v>
      </c>
      <c r="Z7822">
        <v>1.229883E-3</v>
      </c>
      <c r="AA7822">
        <v>0.99746970000000001</v>
      </c>
      <c r="AB7822">
        <v>27</v>
      </c>
      <c r="AC7822">
        <v>24.3034</v>
      </c>
      <c r="AD7822">
        <v>-1.110329462453</v>
      </c>
      <c r="AE7822">
        <v>1.94895</v>
      </c>
      <c r="AF7822">
        <v>-1.7408689726816999</v>
      </c>
      <c r="AG7822">
        <v>-1.110329462453</v>
      </c>
      <c r="AH7822">
        <v>24.268601504169101</v>
      </c>
      <c r="AI7822">
        <v>92.612847361563198</v>
      </c>
      <c r="AJ7822">
        <v>94.102992370043495</v>
      </c>
      <c r="AK7822">
        <v>24.356282049265999</v>
      </c>
      <c r="AL7822">
        <v>90.237561696278306</v>
      </c>
      <c r="AM7822">
        <v>88.363986360069205</v>
      </c>
      <c r="AN7822">
        <v>1.0000000248747001</v>
      </c>
    </row>
    <row r="7823" spans="1:40" x14ac:dyDescent="0.25">
      <c r="A7823" t="str">
        <f>"20190312154115403"</f>
        <v>20190312154115403</v>
      </c>
      <c r="B7823" t="str">
        <f>"1552376475394121"</f>
        <v>1552376475394121</v>
      </c>
      <c r="C7823" t="s">
        <v>40</v>
      </c>
      <c r="D7823">
        <v>4.5208979999999999</v>
      </c>
      <c r="E7823">
        <v>0.46222869999999999</v>
      </c>
      <c r="F7823" t="s">
        <v>42</v>
      </c>
      <c r="G7823">
        <v>-326.90260000000001</v>
      </c>
      <c r="H7823" s="1">
        <v>-1.4798119999999999E-6</v>
      </c>
      <c r="I7823">
        <v>19.417829999999999</v>
      </c>
      <c r="J7823">
        <v>-351.11709999999999</v>
      </c>
      <c r="K7823">
        <v>1.11032999999999</v>
      </c>
      <c r="L7823">
        <v>17.469539999999999</v>
      </c>
      <c r="M7823">
        <v>0.99985049999999998</v>
      </c>
      <c r="N7823">
        <v>0</v>
      </c>
      <c r="O7823">
        <v>8.4881909999999904E-3</v>
      </c>
      <c r="P7823">
        <v>0.99961849999999997</v>
      </c>
      <c r="Q7823">
        <v>-1.8961059999999998E-2</v>
      </c>
      <c r="R7823">
        <v>-2.008501E-2</v>
      </c>
      <c r="S7823">
        <v>3.0033569999999998</v>
      </c>
      <c r="T7823">
        <v>-0.13700390000000001</v>
      </c>
      <c r="U7823">
        <v>0.24053959999999999</v>
      </c>
      <c r="V7823">
        <v>2.8571249999999999E-2</v>
      </c>
      <c r="W7823">
        <v>-3.893161E-3</v>
      </c>
      <c r="X7823">
        <v>0.99958420000000003</v>
      </c>
      <c r="Y7823">
        <v>-7.1304779999999998E-2</v>
      </c>
      <c r="Z7823">
        <v>1.2365189999999999E-3</v>
      </c>
      <c r="AA7823">
        <v>0.99745379999999995</v>
      </c>
      <c r="AB7823">
        <v>27</v>
      </c>
      <c r="AC7823">
        <v>24.214499999999902</v>
      </c>
      <c r="AD7823">
        <v>-1.1103314798120001</v>
      </c>
      <c r="AE7823">
        <v>1.9482900000000001</v>
      </c>
      <c r="AF7823">
        <v>-1.7390262323119601</v>
      </c>
      <c r="AG7823">
        <v>-1.1103314798120001</v>
      </c>
      <c r="AH7823">
        <v>24.1796539450757</v>
      </c>
      <c r="AI7823">
        <v>92.622415257860496</v>
      </c>
      <c r="AJ7823">
        <v>94.113689816700003</v>
      </c>
      <c r="AK7823">
        <v>24.267523836093101</v>
      </c>
      <c r="AL7823">
        <v>90.223062252627301</v>
      </c>
      <c r="AM7823">
        <v>88.362752784330894</v>
      </c>
      <c r="AN7823">
        <v>1.00000002295938</v>
      </c>
    </row>
    <row r="7824" spans="1:40" x14ac:dyDescent="0.25">
      <c r="A7824" t="str">
        <f>"20190312154115415"</f>
        <v>20190312154115415</v>
      </c>
      <c r="B7824" t="str">
        <f>"1552376475403881"</f>
        <v>1552376475403881</v>
      </c>
      <c r="C7824" t="s">
        <v>40</v>
      </c>
      <c r="D7824">
        <v>4.5098409999999998</v>
      </c>
      <c r="E7824">
        <v>0.46210820000000002</v>
      </c>
      <c r="F7824" t="s">
        <v>42</v>
      </c>
      <c r="G7824">
        <v>-326.97829999999999</v>
      </c>
      <c r="H7824" s="1">
        <v>-1.444104E-6</v>
      </c>
      <c r="I7824">
        <v>19.41752</v>
      </c>
      <c r="J7824">
        <v>-350.97370000000001</v>
      </c>
      <c r="K7824">
        <v>1.110333</v>
      </c>
      <c r="L7824">
        <v>17.470859999999998</v>
      </c>
      <c r="M7824">
        <v>0.99984980000000001</v>
      </c>
      <c r="N7824">
        <v>0</v>
      </c>
      <c r="O7824">
        <v>8.5778339999999995E-3</v>
      </c>
      <c r="P7824">
        <v>0.99961940000000005</v>
      </c>
      <c r="Q7824">
        <v>-1.880279E-2</v>
      </c>
      <c r="R7824">
        <v>-2.0193619999999999E-2</v>
      </c>
      <c r="S7824">
        <v>3.003387</v>
      </c>
      <c r="T7824">
        <v>-0.13814939999999901</v>
      </c>
      <c r="U7824">
        <v>0.24237059999999999</v>
      </c>
      <c r="V7824">
        <v>2.8769380000000001E-2</v>
      </c>
      <c r="W7824">
        <v>-3.7366999999999999E-3</v>
      </c>
      <c r="X7824">
        <v>0.99957910000000005</v>
      </c>
      <c r="Y7824">
        <v>-7.1817190000000003E-2</v>
      </c>
      <c r="Z7824">
        <v>1.2544489999999999E-3</v>
      </c>
      <c r="AA7824">
        <v>0.997417</v>
      </c>
      <c r="AB7824">
        <v>27</v>
      </c>
      <c r="AC7824">
        <v>23.9954</v>
      </c>
      <c r="AD7824">
        <v>-1.110334444104</v>
      </c>
      <c r="AE7824">
        <v>1.9466599999999901</v>
      </c>
      <c r="AF7824">
        <v>-1.7370414760986901</v>
      </c>
      <c r="AG7824">
        <v>-1.110334444104</v>
      </c>
      <c r="AH7824">
        <v>23.960249439896199</v>
      </c>
      <c r="AI7824">
        <v>92.646292547288297</v>
      </c>
      <c r="AJ7824">
        <v>94.146506591547407</v>
      </c>
      <c r="AK7824">
        <v>24.048777700529701</v>
      </c>
      <c r="AL7824">
        <v>90.214097635693804</v>
      </c>
      <c r="AM7824">
        <v>88.351396977887703</v>
      </c>
      <c r="AN7824">
        <v>1.0000000086546399</v>
      </c>
    </row>
    <row r="7825" spans="1:40" x14ac:dyDescent="0.25">
      <c r="A7825" t="str">
        <f>"20190312154115432"</f>
        <v>20190312154115432</v>
      </c>
      <c r="B7825" t="str">
        <f>"1552376475423909"</f>
        <v>1552376475423909</v>
      </c>
      <c r="C7825" t="s">
        <v>40</v>
      </c>
      <c r="D7825">
        <v>4.5202830000000001</v>
      </c>
      <c r="E7825">
        <v>0.46181030000000001</v>
      </c>
      <c r="F7825" t="s">
        <v>42</v>
      </c>
      <c r="G7825">
        <v>-327.09539999999998</v>
      </c>
      <c r="H7825" s="1">
        <v>-1.3912929999999999E-6</v>
      </c>
      <c r="I7825">
        <v>19.403120000000001</v>
      </c>
      <c r="J7825">
        <v>-350.77609999999999</v>
      </c>
      <c r="K7825">
        <v>1.1103369999999999</v>
      </c>
      <c r="L7825">
        <v>17.47269</v>
      </c>
      <c r="M7825">
        <v>0.99984879999999998</v>
      </c>
      <c r="N7825">
        <v>0</v>
      </c>
      <c r="O7825">
        <v>8.7012219999999998E-3</v>
      </c>
      <c r="P7825">
        <v>0.99962530000000005</v>
      </c>
      <c r="Q7825">
        <v>-1.8466679999999999E-2</v>
      </c>
      <c r="R7825">
        <v>-2.0215509999999999E-2</v>
      </c>
      <c r="S7825">
        <v>3.0034179999999999</v>
      </c>
      <c r="T7825">
        <v>-0.13965859999999999</v>
      </c>
      <c r="U7825">
        <v>0.24304200000000001</v>
      </c>
      <c r="V7825">
        <v>2.8914519999999999E-2</v>
      </c>
      <c r="W7825">
        <v>-3.4032799999999998E-3</v>
      </c>
      <c r="X7825">
        <v>0.99957609999999997</v>
      </c>
      <c r="Y7825">
        <v>-7.1913399999999905E-2</v>
      </c>
      <c r="Z7825">
        <v>1.2646230000000001E-3</v>
      </c>
      <c r="AA7825">
        <v>0.99741009999999997</v>
      </c>
      <c r="AB7825">
        <v>27</v>
      </c>
      <c r="AC7825">
        <v>23.680700000000002</v>
      </c>
      <c r="AD7825">
        <v>-1.110338391293</v>
      </c>
      <c r="AE7825">
        <v>1.9304300000000001</v>
      </c>
      <c r="AF7825">
        <v>-1.7205249585659199</v>
      </c>
      <c r="AG7825">
        <v>-1.110338391293</v>
      </c>
      <c r="AH7825">
        <v>23.644962628451999</v>
      </c>
      <c r="AI7825">
        <v>92.681485232716</v>
      </c>
      <c r="AJ7825">
        <v>94.161790727370601</v>
      </c>
      <c r="AK7825">
        <v>23.733464036611299</v>
      </c>
      <c r="AL7825">
        <v>90.1949939557975</v>
      </c>
      <c r="AM7825">
        <v>88.343079517378001</v>
      </c>
      <c r="AN7825">
        <v>1.00000000573639</v>
      </c>
    </row>
    <row r="7826" spans="1:40" x14ac:dyDescent="0.25">
      <c r="A7826" t="str">
        <f>"20190312154115447"</f>
        <v>20190312154115447</v>
      </c>
      <c r="B7826" t="str">
        <f>"1552376475433668"</f>
        <v>1552376475433668</v>
      </c>
      <c r="C7826" t="s">
        <v>40</v>
      </c>
      <c r="D7826">
        <v>4.5072859999999997</v>
      </c>
      <c r="E7826">
        <v>0.46170030000000001</v>
      </c>
      <c r="F7826" t="s">
        <v>42</v>
      </c>
      <c r="G7826">
        <v>-326.97199999999998</v>
      </c>
      <c r="H7826" s="1">
        <v>-1.447111E-6</v>
      </c>
      <c r="I7826">
        <v>19.4175</v>
      </c>
      <c r="J7826">
        <v>-350.5985</v>
      </c>
      <c r="K7826">
        <v>1.1103479999999999</v>
      </c>
      <c r="L7826">
        <v>17.47437</v>
      </c>
      <c r="M7826">
        <v>0.99984779999999995</v>
      </c>
      <c r="N7826">
        <v>0</v>
      </c>
      <c r="O7826">
        <v>8.8128119999999997E-3</v>
      </c>
      <c r="P7826">
        <v>0.99964459999999999</v>
      </c>
      <c r="Q7826">
        <v>-1.7634460000000001E-2</v>
      </c>
      <c r="R7826">
        <v>-1.9997859999999999E-2</v>
      </c>
      <c r="S7826">
        <v>3.0035400000000001</v>
      </c>
      <c r="T7826">
        <v>-0.14009949999999999</v>
      </c>
      <c r="U7826">
        <v>0.24539179999999999</v>
      </c>
      <c r="V7826">
        <v>2.8808340000000002E-2</v>
      </c>
      <c r="W7826">
        <v>-2.573596E-3</v>
      </c>
      <c r="X7826">
        <v>0.99958159999999896</v>
      </c>
      <c r="Y7826">
        <v>-7.2572999999999999E-2</v>
      </c>
      <c r="Z7826">
        <v>1.278675E-3</v>
      </c>
      <c r="AA7826">
        <v>0.99736230000000003</v>
      </c>
      <c r="AB7826">
        <v>27</v>
      </c>
      <c r="AC7826">
        <v>23.6265</v>
      </c>
      <c r="AD7826">
        <v>-1.11034944711099</v>
      </c>
      <c r="AE7826">
        <v>1.94313</v>
      </c>
      <c r="AF7826">
        <v>-1.73101754491975</v>
      </c>
      <c r="AG7826">
        <v>-1.11034944711099</v>
      </c>
      <c r="AH7826">
        <v>23.5909553265653</v>
      </c>
      <c r="AI7826">
        <v>92.687522500910205</v>
      </c>
      <c r="AJ7826">
        <v>94.196632700470403</v>
      </c>
      <c r="AK7826">
        <v>23.680423789609801</v>
      </c>
      <c r="AL7826">
        <v>90.147456357727705</v>
      </c>
      <c r="AM7826">
        <v>88.349169771782798</v>
      </c>
      <c r="AN7826">
        <v>0.99999995945424203</v>
      </c>
    </row>
    <row r="7827" spans="1:40" x14ac:dyDescent="0.25">
      <c r="A7827" t="str">
        <f>"20190312154115460"</f>
        <v>20190312154115460</v>
      </c>
      <c r="B7827" t="str">
        <f>"1552376475454164"</f>
        <v>1552376475454164</v>
      </c>
      <c r="C7827" t="s">
        <v>40</v>
      </c>
      <c r="D7827">
        <v>4.4862169999999999</v>
      </c>
      <c r="E7827">
        <v>0.46148430000000001</v>
      </c>
      <c r="F7827" t="s">
        <v>42</v>
      </c>
      <c r="G7827">
        <v>-326.48860000000002</v>
      </c>
      <c r="H7827" s="1">
        <v>-1.668699E-6</v>
      </c>
      <c r="I7827">
        <v>19.45635</v>
      </c>
      <c r="J7827">
        <v>-350.44459999999998</v>
      </c>
      <c r="K7827">
        <v>1.1103529999999999</v>
      </c>
      <c r="L7827">
        <v>17.475829999999998</v>
      </c>
      <c r="M7827">
        <v>0.99984700000000004</v>
      </c>
      <c r="N7827">
        <v>0</v>
      </c>
      <c r="O7827">
        <v>8.9098600000000003E-3</v>
      </c>
      <c r="P7827">
        <v>0.99965479999999995</v>
      </c>
      <c r="Q7827">
        <v>-1.7148759999999999E-2</v>
      </c>
      <c r="R7827">
        <v>-1.991952E-2</v>
      </c>
      <c r="S7827">
        <v>3.0036320000000001</v>
      </c>
      <c r="T7827">
        <v>-0.13832849999999999</v>
      </c>
      <c r="U7827">
        <v>0.24691769999999999</v>
      </c>
      <c r="V7827">
        <v>2.8826839999999999E-2</v>
      </c>
      <c r="W7827">
        <v>-2.0902719999999998E-3</v>
      </c>
      <c r="X7827">
        <v>0.99958219999999998</v>
      </c>
      <c r="Y7827">
        <v>-7.2978429999999997E-2</v>
      </c>
      <c r="Z7827">
        <v>1.2673210000000001E-3</v>
      </c>
      <c r="AA7827">
        <v>0.99733269999999996</v>
      </c>
      <c r="AB7827">
        <v>27</v>
      </c>
      <c r="AC7827">
        <v>23.9559999999999</v>
      </c>
      <c r="AD7827">
        <v>-1.110354668699</v>
      </c>
      <c r="AE7827">
        <v>1.9805200000000001</v>
      </c>
      <c r="AF7827">
        <v>-1.76321038563127</v>
      </c>
      <c r="AG7827">
        <v>-1.110354668699</v>
      </c>
      <c r="AH7827">
        <v>23.921655024858399</v>
      </c>
      <c r="AI7827">
        <v>92.6503710748554</v>
      </c>
      <c r="AJ7827">
        <v>94.215517609229707</v>
      </c>
      <c r="AK7827">
        <v>24.012233912791899</v>
      </c>
      <c r="AL7827">
        <v>90.119763855009097</v>
      </c>
      <c r="AM7827">
        <v>88.348111227813902</v>
      </c>
      <c r="AN7827">
        <v>0.99999996524912904</v>
      </c>
    </row>
    <row r="7828" spans="1:40" x14ac:dyDescent="0.25">
      <c r="A7828" t="str">
        <f>"20190312154115471"</f>
        <v>20190312154115471</v>
      </c>
      <c r="B7828" t="str">
        <f>"1552376475463926"</f>
        <v>1552376475463926</v>
      </c>
      <c r="C7828" t="s">
        <v>40</v>
      </c>
      <c r="D7828">
        <v>4.4973359999999998</v>
      </c>
      <c r="E7828">
        <v>0.46141959999999999</v>
      </c>
      <c r="F7828" t="s">
        <v>42</v>
      </c>
      <c r="G7828">
        <v>-326.36450000000002</v>
      </c>
      <c r="H7828" s="1">
        <v>-1.7247139999999999E-6</v>
      </c>
      <c r="I7828">
        <v>19.471270000000001</v>
      </c>
      <c r="J7828">
        <v>-350.29590000000002</v>
      </c>
      <c r="K7828">
        <v>1.1103559999999999</v>
      </c>
      <c r="L7828">
        <v>17.477260000000001</v>
      </c>
      <c r="M7828">
        <v>0.99984620000000002</v>
      </c>
      <c r="N7828">
        <v>0</v>
      </c>
      <c r="O7828">
        <v>9.0043459999999999E-3</v>
      </c>
      <c r="P7828">
        <v>0.9996642</v>
      </c>
      <c r="Q7828">
        <v>-1.6852369999999998E-2</v>
      </c>
      <c r="R7828">
        <v>-1.969827E-2</v>
      </c>
      <c r="S7828">
        <v>3.0036320000000001</v>
      </c>
      <c r="T7828">
        <v>-0.13850029999999999</v>
      </c>
      <c r="U7828">
        <v>0.24890139999999999</v>
      </c>
      <c r="V7828">
        <v>2.870023E-2</v>
      </c>
      <c r="W7828">
        <v>-1.7963460000000001E-3</v>
      </c>
      <c r="X7828">
        <v>0.99958650000000004</v>
      </c>
      <c r="Y7828">
        <v>-7.3537710000000006E-2</v>
      </c>
      <c r="Z7828">
        <v>1.2773789999999999E-3</v>
      </c>
      <c r="AA7828">
        <v>0.99729159999999994</v>
      </c>
      <c r="AB7828">
        <v>27</v>
      </c>
      <c r="AC7828">
        <v>23.9314</v>
      </c>
      <c r="AD7828">
        <v>-1.110357724714</v>
      </c>
      <c r="AE7828">
        <v>1.9940099999999901</v>
      </c>
      <c r="AF7828">
        <v>-1.7746241833407801</v>
      </c>
      <c r="AG7828">
        <v>-1.110357724714</v>
      </c>
      <c r="AH7828">
        <v>23.897296650117401</v>
      </c>
      <c r="AI7828">
        <v>92.652968266714197</v>
      </c>
      <c r="AJ7828">
        <v>94.247015363892601</v>
      </c>
      <c r="AK7828">
        <v>23.988809317109499</v>
      </c>
      <c r="AL7828">
        <v>90.102923094498394</v>
      </c>
      <c r="AM7828">
        <v>88.355369545239896</v>
      </c>
      <c r="AN7828">
        <v>1.00000005052162</v>
      </c>
    </row>
    <row r="7829" spans="1:40" x14ac:dyDescent="0.25">
      <c r="A7829" t="str">
        <f>"20190312154115483"</f>
        <v>20190312154115483</v>
      </c>
      <c r="B7829" t="str">
        <f>"1552376475473684"</f>
        <v>1552376475473684</v>
      </c>
      <c r="C7829" t="s">
        <v>40</v>
      </c>
      <c r="D7829">
        <v>4.4589230000000004</v>
      </c>
      <c r="E7829">
        <v>0.46132630000000002</v>
      </c>
      <c r="F7829" t="s">
        <v>42</v>
      </c>
      <c r="G7829">
        <v>-326.16579999999999</v>
      </c>
      <c r="H7829" s="1">
        <v>-1.815976E-6</v>
      </c>
      <c r="I7829">
        <v>19.486429999999999</v>
      </c>
      <c r="J7829">
        <v>-350.15550000000002</v>
      </c>
      <c r="K7829">
        <v>1.1103620000000001</v>
      </c>
      <c r="L7829">
        <v>17.47861</v>
      </c>
      <c r="M7829">
        <v>0.9998454</v>
      </c>
      <c r="N7829">
        <v>0</v>
      </c>
      <c r="O7829">
        <v>9.0941219999999996E-3</v>
      </c>
      <c r="P7829">
        <v>0.9996678</v>
      </c>
      <c r="Q7829">
        <v>-1.6672900000000001E-2</v>
      </c>
      <c r="R7829">
        <v>-1.9659880000000001E-2</v>
      </c>
      <c r="S7829">
        <v>3.0036010000000002</v>
      </c>
      <c r="T7829">
        <v>-0.138212</v>
      </c>
      <c r="U7829">
        <v>0.25009160000000002</v>
      </c>
      <c r="V7829">
        <v>2.8751559999999999E-2</v>
      </c>
      <c r="W7829">
        <v>-1.619269E-3</v>
      </c>
      <c r="X7829">
        <v>0.99958530000000001</v>
      </c>
      <c r="Y7829">
        <v>-7.3841519999999994E-2</v>
      </c>
      <c r="Z7829">
        <v>1.2775670000000001E-3</v>
      </c>
      <c r="AA7829">
        <v>0.99726919999999997</v>
      </c>
      <c r="AB7829">
        <v>27</v>
      </c>
      <c r="AC7829">
        <v>23.989699999999999</v>
      </c>
      <c r="AD7829">
        <v>-1.1103638159760001</v>
      </c>
      <c r="AE7829">
        <v>2.0078200000000002</v>
      </c>
      <c r="AF7829">
        <v>-1.78574798365061</v>
      </c>
      <c r="AG7829">
        <v>-1.1103638159760001</v>
      </c>
      <c r="AH7829">
        <v>23.956005138204201</v>
      </c>
      <c r="AI7829">
        <v>92.646435233127406</v>
      </c>
      <c r="AJ7829">
        <v>94.263104013271899</v>
      </c>
      <c r="AK7829">
        <v>24.048118135243101</v>
      </c>
      <c r="AL7829">
        <v>90.092777317996905</v>
      </c>
      <c r="AM7829">
        <v>88.352427787307604</v>
      </c>
      <c r="AN7829">
        <v>1.0000000231052999</v>
      </c>
    </row>
    <row r="7830" spans="1:40" x14ac:dyDescent="0.25">
      <c r="A7830" t="str">
        <f>"20190312154115495"</f>
        <v>20190312154115495</v>
      </c>
      <c r="B7830" t="str">
        <f>"1552376475484420"</f>
        <v>1552376475484420</v>
      </c>
      <c r="C7830" t="s">
        <v>40</v>
      </c>
      <c r="D7830">
        <v>4.4967079999999999</v>
      </c>
      <c r="E7830">
        <v>0.46130759999999998</v>
      </c>
      <c r="F7830" t="s">
        <v>42</v>
      </c>
      <c r="G7830">
        <v>-326.17610000000002</v>
      </c>
      <c r="H7830" s="1">
        <v>-1.811717E-6</v>
      </c>
      <c r="I7830">
        <v>19.482769999999999</v>
      </c>
      <c r="J7830">
        <v>-350.02440000000001</v>
      </c>
      <c r="K7830">
        <v>1.110366</v>
      </c>
      <c r="L7830">
        <v>17.479890000000001</v>
      </c>
      <c r="M7830">
        <v>0.99984470000000003</v>
      </c>
      <c r="N7830">
        <v>0</v>
      </c>
      <c r="O7830">
        <v>9.1782349999999999E-3</v>
      </c>
      <c r="P7830">
        <v>0.99966739999999998</v>
      </c>
      <c r="Q7830">
        <v>-1.6585720000000002E-2</v>
      </c>
      <c r="R7830">
        <v>-1.9755600000000002E-2</v>
      </c>
      <c r="S7830">
        <v>3.0036010000000002</v>
      </c>
      <c r="T7830">
        <v>-0.1390817</v>
      </c>
      <c r="U7830">
        <v>0.25103760000000003</v>
      </c>
      <c r="V7830">
        <v>2.89313E-2</v>
      </c>
      <c r="W7830">
        <v>-1.5343689999999901E-3</v>
      </c>
      <c r="X7830">
        <v>0.99958020000000003</v>
      </c>
      <c r="Y7830">
        <v>-7.406857E-2</v>
      </c>
      <c r="Z7830">
        <v>1.2869400000000001E-3</v>
      </c>
      <c r="AA7830">
        <v>0.99725229999999998</v>
      </c>
      <c r="AB7830">
        <v>27</v>
      </c>
      <c r="AC7830">
        <v>23.848299999999899</v>
      </c>
      <c r="AD7830">
        <v>-1.1103678117169999</v>
      </c>
      <c r="AE7830">
        <v>2.0028800000000002</v>
      </c>
      <c r="AF7830">
        <v>-1.7800537702930299</v>
      </c>
      <c r="AG7830">
        <v>-1.1103678117169999</v>
      </c>
      <c r="AH7830">
        <v>23.8144169695451</v>
      </c>
      <c r="AI7830">
        <v>92.662116289613095</v>
      </c>
      <c r="AJ7830">
        <v>94.274732434307595</v>
      </c>
      <c r="AK7830">
        <v>23.906651034843598</v>
      </c>
      <c r="AL7830">
        <v>90.087912904580804</v>
      </c>
      <c r="AM7830">
        <v>88.342125287465393</v>
      </c>
      <c r="AN7830">
        <v>0.99999997531997797</v>
      </c>
    </row>
    <row r="7831" spans="1:40" x14ac:dyDescent="0.25">
      <c r="A7831" t="str">
        <f>"20190312154115506"</f>
        <v>20190312154115506</v>
      </c>
      <c r="B7831" t="str">
        <f>"1552376475494180"</f>
        <v>1552376475494180</v>
      </c>
      <c r="C7831" t="s">
        <v>40</v>
      </c>
      <c r="D7831">
        <v>4.481884</v>
      </c>
      <c r="E7831">
        <v>0.46134249999999999</v>
      </c>
      <c r="F7831" t="s">
        <v>42</v>
      </c>
      <c r="G7831">
        <v>-326.18869999999998</v>
      </c>
      <c r="H7831" s="1">
        <v>-1.807791E-6</v>
      </c>
      <c r="I7831">
        <v>19.471550000000001</v>
      </c>
      <c r="J7831">
        <v>-349.88839999999999</v>
      </c>
      <c r="K7831">
        <v>1.110368</v>
      </c>
      <c r="L7831">
        <v>17.48123</v>
      </c>
      <c r="M7831">
        <v>0.99984379999999995</v>
      </c>
      <c r="N7831">
        <v>0</v>
      </c>
      <c r="O7831">
        <v>9.2658069999999992E-3</v>
      </c>
      <c r="P7831">
        <v>0.99966829999999995</v>
      </c>
      <c r="Q7831">
        <v>-1.663796E-2</v>
      </c>
      <c r="R7831">
        <v>-1.966014E-2</v>
      </c>
      <c r="S7831">
        <v>3.0036320000000001</v>
      </c>
      <c r="T7831">
        <v>-0.13992180000000001</v>
      </c>
      <c r="U7831">
        <v>0.25097659999999999</v>
      </c>
      <c r="V7831">
        <v>2.8923569999999999E-2</v>
      </c>
      <c r="W7831">
        <v>-1.5891739999999901E-3</v>
      </c>
      <c r="X7831">
        <v>0.99958040000000004</v>
      </c>
      <c r="Y7831">
        <v>-7.3959629999999998E-2</v>
      </c>
      <c r="Z7831">
        <v>1.288092E-3</v>
      </c>
      <c r="AA7831">
        <v>0.99726040000000005</v>
      </c>
      <c r="AB7831">
        <v>27</v>
      </c>
      <c r="AC7831">
        <v>23.6997</v>
      </c>
      <c r="AD7831">
        <v>-1.110369807791</v>
      </c>
      <c r="AE7831">
        <v>1.9903200000000001</v>
      </c>
      <c r="AF7831">
        <v>-1.76676180085929</v>
      </c>
      <c r="AG7831">
        <v>-1.110369807791</v>
      </c>
      <c r="AH7831">
        <v>23.665542528120401</v>
      </c>
      <c r="AI7831">
        <v>92.678861706996997</v>
      </c>
      <c r="AJ7831">
        <v>94.269522165748498</v>
      </c>
      <c r="AK7831">
        <v>23.7573624697967</v>
      </c>
      <c r="AL7831">
        <v>90.091052998048298</v>
      </c>
      <c r="AM7831">
        <v>88.342568330516897</v>
      </c>
      <c r="AN7831">
        <v>1.0000000372198501</v>
      </c>
    </row>
    <row r="7832" spans="1:40" x14ac:dyDescent="0.25">
      <c r="A7832" t="str">
        <f>"20190312154115524"</f>
        <v>20190312154115524</v>
      </c>
      <c r="B7832" t="str">
        <f>"1552376475514210"</f>
        <v>1552376475514210</v>
      </c>
      <c r="C7832" t="s">
        <v>40</v>
      </c>
      <c r="D7832">
        <v>4.5042839999999904</v>
      </c>
      <c r="E7832">
        <v>0.49421789999999999</v>
      </c>
      <c r="F7832" t="s">
        <v>42</v>
      </c>
      <c r="G7832">
        <v>-326.34190000000001</v>
      </c>
      <c r="H7832" s="1">
        <v>-1.7394250000000001E-6</v>
      </c>
      <c r="I7832">
        <v>19.44875</v>
      </c>
      <c r="J7832">
        <v>-349.67070000000001</v>
      </c>
      <c r="K7832">
        <v>1.1103700000000001</v>
      </c>
      <c r="L7832">
        <v>17.4834</v>
      </c>
      <c r="M7832">
        <v>0.99984260000000003</v>
      </c>
      <c r="N7832">
        <v>0</v>
      </c>
      <c r="O7832">
        <v>9.4064349999999994E-3</v>
      </c>
      <c r="P7832">
        <v>0.99965700000000002</v>
      </c>
      <c r="Q7832">
        <v>-1.647504E-2</v>
      </c>
      <c r="R7832">
        <v>-2.0358020000000001E-2</v>
      </c>
      <c r="S7832">
        <v>3.0036010000000002</v>
      </c>
      <c r="T7832">
        <v>-0.14163889999999901</v>
      </c>
      <c r="U7832">
        <v>0.25097659999999999</v>
      </c>
      <c r="V7832">
        <v>2.9761719999999998E-2</v>
      </c>
      <c r="W7832">
        <v>-1.4305489999999999E-3</v>
      </c>
      <c r="X7832">
        <v>0.999556</v>
      </c>
      <c r="Y7832">
        <v>-7.3818800000000004E-2</v>
      </c>
      <c r="Z7832">
        <v>1.293967E-3</v>
      </c>
      <c r="AA7832">
        <v>0.99727080000000001</v>
      </c>
      <c r="AB7832">
        <v>27</v>
      </c>
      <c r="AC7832">
        <v>23.328800000000001</v>
      </c>
      <c r="AD7832">
        <v>-1.1103717394249999</v>
      </c>
      <c r="AE7832">
        <v>1.9653499999999999</v>
      </c>
      <c r="AF7832">
        <v>-1.7418790483537301</v>
      </c>
      <c r="AG7832">
        <v>-1.1103717394249999</v>
      </c>
      <c r="AH7832">
        <v>23.2938578181403</v>
      </c>
      <c r="AI7832">
        <v>92.721522660846205</v>
      </c>
      <c r="AJ7832">
        <v>94.276531384491605</v>
      </c>
      <c r="AK7832">
        <v>23.385270579374101</v>
      </c>
      <c r="AL7832">
        <v>90.081964447896098</v>
      </c>
      <c r="AM7832">
        <v>88.294525473917901</v>
      </c>
      <c r="AN7832">
        <v>1.00000000179189</v>
      </c>
    </row>
    <row r="7833" spans="1:40" x14ac:dyDescent="0.25">
      <c r="A7833" t="str">
        <f>"20190312154115536"</f>
        <v>20190312154115536</v>
      </c>
      <c r="B7833" t="str">
        <f>"1552376475523967"</f>
        <v>1552376475523967</v>
      </c>
      <c r="C7833" t="s">
        <v>40</v>
      </c>
      <c r="D7833">
        <v>4.4039250000000001</v>
      </c>
      <c r="E7833">
        <v>0.50352330000000001</v>
      </c>
      <c r="F7833" t="s">
        <v>42</v>
      </c>
      <c r="G7833">
        <v>-324.37509999999997</v>
      </c>
      <c r="H7833" s="1">
        <v>-3.037947E-6</v>
      </c>
      <c r="I7833">
        <v>17.369610000000002</v>
      </c>
      <c r="J7833">
        <v>-349.52940000000001</v>
      </c>
      <c r="K7833">
        <v>1.1103719999999999</v>
      </c>
      <c r="L7833">
        <v>17.4848</v>
      </c>
      <c r="M7833">
        <v>0.99984189999999995</v>
      </c>
      <c r="N7833">
        <v>0</v>
      </c>
      <c r="O7833">
        <v>9.4977640000000006E-3</v>
      </c>
      <c r="P7833">
        <v>0.99965669999999995</v>
      </c>
      <c r="Q7833">
        <v>-1.620392E-2</v>
      </c>
      <c r="R7833">
        <v>-2.059364E-2</v>
      </c>
      <c r="S7833">
        <v>2.998596</v>
      </c>
      <c r="T7833">
        <v>-0.13162570000000001</v>
      </c>
      <c r="U7833">
        <v>-1.3488770000000001E-2</v>
      </c>
      <c r="V7833">
        <v>3.008864E-2</v>
      </c>
      <c r="W7833">
        <v>-1.1621730000000001E-3</v>
      </c>
      <c r="X7833">
        <v>0.99954659999999995</v>
      </c>
      <c r="Y7833">
        <v>1.3974250000000001E-2</v>
      </c>
      <c r="Z7833">
        <v>-7.2330949999999995E-4</v>
      </c>
      <c r="AA7833">
        <v>0.99990210000000002</v>
      </c>
      <c r="AB7833">
        <v>26</v>
      </c>
      <c r="AC7833">
        <v>25.154299999999999</v>
      </c>
      <c r="AD7833">
        <v>-1.1103750379470001</v>
      </c>
      <c r="AE7833">
        <v>-0.115189999999998</v>
      </c>
      <c r="AF7833">
        <v>0.353432733439625</v>
      </c>
      <c r="AG7833">
        <v>-1.1103750379470001</v>
      </c>
      <c r="AH7833">
        <v>25.1031568850992</v>
      </c>
      <c r="AI7833">
        <v>92.532433233217404</v>
      </c>
      <c r="AJ7833">
        <v>89.193373718203503</v>
      </c>
      <c r="AK7833">
        <v>25.1301876837374</v>
      </c>
      <c r="AL7833">
        <v>90.0665876202075</v>
      </c>
      <c r="AM7833">
        <v>88.275786593870293</v>
      </c>
      <c r="AN7833">
        <v>1.00000004123734</v>
      </c>
    </row>
    <row r="7834" spans="1:40" x14ac:dyDescent="0.25">
      <c r="A7834" t="str">
        <f>"20190312154115547"</f>
        <v>20190312154115547</v>
      </c>
      <c r="B7834" t="str">
        <f>"1552376475533727"</f>
        <v>1552376475533727</v>
      </c>
      <c r="C7834" t="s">
        <v>40</v>
      </c>
      <c r="D7834">
        <v>4.3524050000000001</v>
      </c>
      <c r="E7834">
        <v>0.51011930000000005</v>
      </c>
      <c r="F7834" t="s">
        <v>42</v>
      </c>
      <c r="G7834">
        <v>-323.15269999999998</v>
      </c>
      <c r="H7834" s="1">
        <v>-3.7334920000000001E-6</v>
      </c>
      <c r="I7834">
        <v>16.705939999999998</v>
      </c>
      <c r="J7834">
        <v>-349.41079999999999</v>
      </c>
      <c r="K7834">
        <v>1.110374</v>
      </c>
      <c r="L7834">
        <v>17.486049999999999</v>
      </c>
      <c r="M7834">
        <v>0.99984119999999999</v>
      </c>
      <c r="N7834">
        <v>0</v>
      </c>
      <c r="O7834">
        <v>9.5740670000000003E-3</v>
      </c>
      <c r="P7834">
        <v>0.9996543</v>
      </c>
      <c r="Q7834">
        <v>-1.6087770000000001E-2</v>
      </c>
      <c r="R7834">
        <v>-2.0806939999999999E-2</v>
      </c>
      <c r="S7834">
        <v>2.9971619999999999</v>
      </c>
      <c r="T7834">
        <v>-0.1261708</v>
      </c>
      <c r="U7834">
        <v>-8.8500980000000007E-2</v>
      </c>
      <c r="V7834">
        <v>3.037801E-2</v>
      </c>
      <c r="W7834">
        <v>-1.048492E-3</v>
      </c>
      <c r="X7834">
        <v>0.99953789999999998</v>
      </c>
      <c r="Y7834">
        <v>3.9042E-2</v>
      </c>
      <c r="Z7834">
        <v>-1.224054E-3</v>
      </c>
      <c r="AA7834">
        <v>0.99923680000000004</v>
      </c>
      <c r="AB7834">
        <v>26</v>
      </c>
      <c r="AC7834">
        <v>26.258099999999999</v>
      </c>
      <c r="AD7834">
        <v>-1.110377733492</v>
      </c>
      <c r="AE7834">
        <v>-0.78010999999999997</v>
      </c>
      <c r="AF7834">
        <v>1.0296598389424501</v>
      </c>
      <c r="AG7834">
        <v>-1.110377733492</v>
      </c>
      <c r="AH7834">
        <v>26.202612523962699</v>
      </c>
      <c r="AI7834">
        <v>92.424679623861294</v>
      </c>
      <c r="AJ7834">
        <v>87.749658560141896</v>
      </c>
      <c r="AK7834">
        <v>26.2463338616252</v>
      </c>
      <c r="AL7834">
        <v>90.060074179371597</v>
      </c>
      <c r="AM7834">
        <v>88.259199412601603</v>
      </c>
      <c r="AN7834">
        <v>0.99999996818172099</v>
      </c>
    </row>
    <row r="7835" spans="1:40" x14ac:dyDescent="0.25">
      <c r="A7835" t="str">
        <f>"20190312154115559"</f>
        <v>20190312154115559</v>
      </c>
      <c r="B7835" t="str">
        <f>"1552376475554222"</f>
        <v>1552376475554222</v>
      </c>
      <c r="C7835" t="s">
        <v>40</v>
      </c>
      <c r="D7835">
        <v>4.3289479999999996</v>
      </c>
      <c r="E7835">
        <v>0.51697689999999996</v>
      </c>
      <c r="F7835" t="s">
        <v>42</v>
      </c>
      <c r="G7835">
        <v>-323.48899999999998</v>
      </c>
      <c r="H7835" s="1">
        <v>-3.653598E-6</v>
      </c>
      <c r="I7835">
        <v>16.260110000000001</v>
      </c>
      <c r="J7835">
        <v>-349.2758</v>
      </c>
      <c r="K7835">
        <v>1.110376</v>
      </c>
      <c r="L7835">
        <v>17.48743</v>
      </c>
      <c r="M7835">
        <v>0.99984039999999996</v>
      </c>
      <c r="N7835">
        <v>0</v>
      </c>
      <c r="O7835">
        <v>9.6609799999999996E-3</v>
      </c>
      <c r="P7835">
        <v>0.99965579999999998</v>
      </c>
      <c r="Q7835">
        <v>-1.5969690000000002E-2</v>
      </c>
      <c r="R7835">
        <v>-2.0814699999999998E-2</v>
      </c>
      <c r="S7835">
        <v>2.9960330000000002</v>
      </c>
      <c r="T7835">
        <v>-0.12833699999999901</v>
      </c>
      <c r="U7835">
        <v>-0.14169309999999999</v>
      </c>
      <c r="V7835">
        <v>3.0472829999999999E-2</v>
      </c>
      <c r="W7835">
        <v>-9.3319200000000001E-4</v>
      </c>
      <c r="X7835">
        <v>0.99953510000000001</v>
      </c>
      <c r="Y7835">
        <v>5.6829009999999999E-2</v>
      </c>
      <c r="Z7835">
        <v>-1.6293970000000001E-3</v>
      </c>
      <c r="AA7835">
        <v>0.99838260000000001</v>
      </c>
      <c r="AB7835">
        <v>26</v>
      </c>
      <c r="AC7835">
        <v>25.7867999999999</v>
      </c>
      <c r="AD7835">
        <v>-1.1103796535979999</v>
      </c>
      <c r="AE7835">
        <v>-1.22731999999999</v>
      </c>
      <c r="AF7835">
        <v>1.47369031778228</v>
      </c>
      <c r="AG7835">
        <v>-1.1103796535979999</v>
      </c>
      <c r="AH7835">
        <v>25.726145172056398</v>
      </c>
      <c r="AI7835">
        <v>92.467399305204395</v>
      </c>
      <c r="AJ7835">
        <v>86.721465295597397</v>
      </c>
      <c r="AK7835">
        <v>25.792232387708701</v>
      </c>
      <c r="AL7835">
        <v>90.053467974034504</v>
      </c>
      <c r="AM7835">
        <v>88.253764257929205</v>
      </c>
      <c r="AN7835">
        <v>0.99999994017376204</v>
      </c>
    </row>
    <row r="7836" spans="1:40" x14ac:dyDescent="0.25">
      <c r="A7836" t="str">
        <f>"20190312154115568"</f>
        <v>20190312154115568</v>
      </c>
      <c r="B7836" t="str">
        <f>"1552376475563983"</f>
        <v>1552376475563983</v>
      </c>
      <c r="C7836" t="s">
        <v>40</v>
      </c>
      <c r="D7836">
        <v>4.3285989999999996</v>
      </c>
      <c r="E7836">
        <v>0.51874319999999996</v>
      </c>
      <c r="F7836" t="s">
        <v>42</v>
      </c>
      <c r="G7836">
        <v>-321.78550000000001</v>
      </c>
      <c r="H7836" s="1">
        <v>-4.5611630000000001E-6</v>
      </c>
      <c r="I7836">
        <v>15.6835</v>
      </c>
      <c r="J7836">
        <v>-349.14940000000001</v>
      </c>
      <c r="K7836">
        <v>1.110376</v>
      </c>
      <c r="L7836">
        <v>17.48874</v>
      </c>
      <c r="M7836">
        <v>0.99983960000000005</v>
      </c>
      <c r="N7836">
        <v>0</v>
      </c>
      <c r="O7836">
        <v>9.7406679999999992E-3</v>
      </c>
      <c r="P7836">
        <v>0.99965380000000004</v>
      </c>
      <c r="Q7836">
        <v>-1.5819199999999999E-2</v>
      </c>
      <c r="R7836">
        <v>-2.102861E-2</v>
      </c>
      <c r="S7836">
        <v>2.9949949999999999</v>
      </c>
      <c r="T7836">
        <v>-0.12097289999999999</v>
      </c>
      <c r="U7836">
        <v>-0.19653319999999999</v>
      </c>
      <c r="V7836">
        <v>3.0766160000000001E-2</v>
      </c>
      <c r="W7836">
        <v>-7.853545E-4</v>
      </c>
      <c r="X7836">
        <v>0.99952629999999998</v>
      </c>
      <c r="Y7836">
        <v>7.5128550000000002E-2</v>
      </c>
      <c r="Z7836">
        <v>-1.9079699999999999E-3</v>
      </c>
      <c r="AA7836">
        <v>0.99717210000000001</v>
      </c>
      <c r="AB7836">
        <v>26</v>
      </c>
      <c r="AC7836">
        <v>27.363900000000001</v>
      </c>
      <c r="AD7836">
        <v>-1.110380561163</v>
      </c>
      <c r="AE7836">
        <v>-1.80523999999999</v>
      </c>
      <c r="AF7836">
        <v>2.06833615195427</v>
      </c>
      <c r="AG7836">
        <v>-1.110380561163</v>
      </c>
      <c r="AH7836">
        <v>27.300257528524099</v>
      </c>
      <c r="AI7836">
        <v>92.322453034435995</v>
      </c>
      <c r="AJ7836">
        <v>85.667404672804807</v>
      </c>
      <c r="AK7836">
        <v>27.401004006273698</v>
      </c>
      <c r="AL7836">
        <v>90.044997502947297</v>
      </c>
      <c r="AM7836">
        <v>88.236950122038905</v>
      </c>
      <c r="AN7836">
        <v>0.99999999888726299</v>
      </c>
    </row>
    <row r="7837" spans="1:40" x14ac:dyDescent="0.25">
      <c r="A7837" t="str">
        <f>"20190312154115580"</f>
        <v>20190312154115580</v>
      </c>
      <c r="B7837" t="str">
        <f>"1552376475573743"</f>
        <v>1552376475573743</v>
      </c>
      <c r="C7837" t="s">
        <v>40</v>
      </c>
      <c r="D7837">
        <v>4.3144729999999996</v>
      </c>
      <c r="E7837">
        <v>0.52022100000000004</v>
      </c>
      <c r="F7837" t="s">
        <v>42</v>
      </c>
      <c r="G7837">
        <v>-320.4033</v>
      </c>
      <c r="H7837" s="1">
        <v>-5.2541360000000004E-6</v>
      </c>
      <c r="I7837">
        <v>15.46021</v>
      </c>
      <c r="J7837">
        <v>-349.01499999999999</v>
      </c>
      <c r="K7837">
        <v>1.110379</v>
      </c>
      <c r="L7837">
        <v>17.490110000000001</v>
      </c>
      <c r="M7837">
        <v>0.99983880000000003</v>
      </c>
      <c r="N7837">
        <v>0</v>
      </c>
      <c r="O7837">
        <v>9.8247030000000006E-3</v>
      </c>
      <c r="P7837">
        <v>0.9996526</v>
      </c>
      <c r="Q7837">
        <v>-1.5961400000000001E-2</v>
      </c>
      <c r="R7837">
        <v>-2.0977030000000001E-2</v>
      </c>
      <c r="S7837">
        <v>2.9947810000000001</v>
      </c>
      <c r="T7837">
        <v>-0.1156798</v>
      </c>
      <c r="U7837">
        <v>-0.2113342</v>
      </c>
      <c r="V7837">
        <v>3.0798679999999998E-2</v>
      </c>
      <c r="W7837">
        <v>-9.3039570000000001E-4</v>
      </c>
      <c r="X7837">
        <v>0.9995252</v>
      </c>
      <c r="Y7837">
        <v>8.0123739999999999E-2</v>
      </c>
      <c r="Z7837">
        <v>-1.923938E-3</v>
      </c>
      <c r="AA7837">
        <v>0.99678310000000003</v>
      </c>
      <c r="AB7837">
        <v>26</v>
      </c>
      <c r="AC7837">
        <v>28.6116999999999</v>
      </c>
      <c r="AD7837">
        <v>-1.1103842541360001</v>
      </c>
      <c r="AE7837">
        <v>-2.0299</v>
      </c>
      <c r="AF7837">
        <v>2.3074772811234898</v>
      </c>
      <c r="AG7837">
        <v>-1.1103842541360001</v>
      </c>
      <c r="AH7837">
        <v>28.547592631966701</v>
      </c>
      <c r="AI7837">
        <v>92.220214330659203</v>
      </c>
      <c r="AJ7837">
        <v>85.378877905779802</v>
      </c>
      <c r="AK7837">
        <v>28.662212923559402</v>
      </c>
      <c r="AL7837">
        <v>90.053307753251602</v>
      </c>
      <c r="AM7837">
        <v>88.235085805528698</v>
      </c>
      <c r="AN7837">
        <v>1.0000000248804699</v>
      </c>
    </row>
    <row r="7838" spans="1:40" x14ac:dyDescent="0.25">
      <c r="A7838" t="str">
        <f>"20190312154115591"</f>
        <v>20190312154115591</v>
      </c>
      <c r="B7838" t="str">
        <f>"1552376475584478"</f>
        <v>1552376475584478</v>
      </c>
      <c r="C7838" t="s">
        <v>40</v>
      </c>
      <c r="D7838">
        <v>4.2546280000000003</v>
      </c>
      <c r="E7838">
        <v>0.52148039999999996</v>
      </c>
      <c r="F7838" t="s">
        <v>42</v>
      </c>
      <c r="G7838">
        <v>-320.11020000000002</v>
      </c>
      <c r="H7838" s="1">
        <v>-5.4144089999999998E-6</v>
      </c>
      <c r="I7838">
        <v>15.33766</v>
      </c>
      <c r="J7838">
        <v>-348.88319999999999</v>
      </c>
      <c r="K7838">
        <v>1.1103769999999999</v>
      </c>
      <c r="L7838">
        <v>17.491489999999999</v>
      </c>
      <c r="M7838">
        <v>0.99983809999999995</v>
      </c>
      <c r="N7838">
        <v>0</v>
      </c>
      <c r="O7838">
        <v>9.9053930000000002E-3</v>
      </c>
      <c r="P7838">
        <v>0.99965999999999999</v>
      </c>
      <c r="Q7838">
        <v>-1.5791380000000001E-2</v>
      </c>
      <c r="R7838">
        <v>-2.0746299999999999E-2</v>
      </c>
      <c r="S7838">
        <v>2.994507</v>
      </c>
      <c r="T7838">
        <v>-0.1150347</v>
      </c>
      <c r="U7838">
        <v>-0.22299189999999999</v>
      </c>
      <c r="V7838">
        <v>3.0648769999999999E-2</v>
      </c>
      <c r="W7838">
        <v>-7.6315710000000002E-4</v>
      </c>
      <c r="X7838">
        <v>0.99952989999999997</v>
      </c>
      <c r="Y7838">
        <v>8.4067950000000002E-2</v>
      </c>
      <c r="Z7838">
        <v>-1.9918459999999998E-3</v>
      </c>
      <c r="AA7838">
        <v>0.99645810000000001</v>
      </c>
      <c r="AB7838">
        <v>26</v>
      </c>
      <c r="AC7838">
        <v>28.7729999999999</v>
      </c>
      <c r="AD7838">
        <v>-1.110382414409</v>
      </c>
      <c r="AE7838">
        <v>-2.1538299999999899</v>
      </c>
      <c r="AF7838">
        <v>2.4351579340468601</v>
      </c>
      <c r="AG7838">
        <v>-1.110382414409</v>
      </c>
      <c r="AH7838">
        <v>28.7077356717868</v>
      </c>
      <c r="AI7838">
        <v>92.207112681987198</v>
      </c>
      <c r="AJ7838">
        <v>85.151444001190995</v>
      </c>
      <c r="AK7838">
        <v>28.832222090417499</v>
      </c>
      <c r="AL7838">
        <v>90.043725686261894</v>
      </c>
      <c r="AM7838">
        <v>88.243679237712897</v>
      </c>
      <c r="AN7838">
        <v>0.99999997525263995</v>
      </c>
    </row>
    <row r="7839" spans="1:40" x14ac:dyDescent="0.25">
      <c r="A7839" t="str">
        <f>"20190312154115604"</f>
        <v>20190312154115604</v>
      </c>
      <c r="B7839" t="str">
        <f>"1552376475594239"</f>
        <v>1552376475594239</v>
      </c>
      <c r="C7839" t="s">
        <v>40</v>
      </c>
      <c r="D7839">
        <v>4.2591099999999997</v>
      </c>
      <c r="E7839">
        <v>0.5225282</v>
      </c>
      <c r="F7839" t="s">
        <v>43</v>
      </c>
      <c r="G7839">
        <v>-318.45830000000001</v>
      </c>
      <c r="H7839">
        <v>-0.05</v>
      </c>
      <c r="I7839">
        <v>15.130549999999999</v>
      </c>
      <c r="J7839">
        <v>-348.738</v>
      </c>
      <c r="K7839">
        <v>1.1103749999999999</v>
      </c>
      <c r="L7839">
        <v>17.493040000000001</v>
      </c>
      <c r="M7839">
        <v>0.99983719999999998</v>
      </c>
      <c r="N7839">
        <v>0</v>
      </c>
      <c r="O7839">
        <v>9.9916090000000003E-3</v>
      </c>
      <c r="P7839">
        <v>0.99966600000000005</v>
      </c>
      <c r="Q7839">
        <v>-1.5561739999999999E-2</v>
      </c>
      <c r="R7839">
        <v>-2.0639089999999999E-2</v>
      </c>
      <c r="S7839">
        <v>2.9943849999999999</v>
      </c>
      <c r="T7839">
        <v>-0.114203</v>
      </c>
      <c r="U7839">
        <v>-0.23236080000000001</v>
      </c>
      <c r="V7839">
        <v>3.0627399999999999E-2</v>
      </c>
      <c r="W7839">
        <v>-5.3670319999999999E-4</v>
      </c>
      <c r="X7839">
        <v>0.99953069999999999</v>
      </c>
      <c r="Y7839">
        <v>8.7254899999999996E-2</v>
      </c>
      <c r="Z7839">
        <v>-2.0412469999999999E-3</v>
      </c>
      <c r="AA7839">
        <v>0.99618390000000001</v>
      </c>
      <c r="AB7839">
        <v>26</v>
      </c>
      <c r="AC7839">
        <v>30.279699999999998</v>
      </c>
      <c r="AD7839">
        <v>-1.1603749999999999</v>
      </c>
      <c r="AE7839">
        <v>-2.3624900000000002</v>
      </c>
      <c r="AF7839">
        <v>2.6610648162909998</v>
      </c>
      <c r="AG7839">
        <v>-1.1603749999999999</v>
      </c>
      <c r="AH7839">
        <v>30.210482777455798</v>
      </c>
      <c r="AI7839">
        <v>92.191155671907197</v>
      </c>
      <c r="AJ7839">
        <v>84.966141838486905</v>
      </c>
      <c r="AK7839">
        <v>30.349645891576401</v>
      </c>
      <c r="AL7839">
        <v>90.030750830518897</v>
      </c>
      <c r="AM7839">
        <v>88.244904478358507</v>
      </c>
      <c r="AN7839">
        <v>0.999999972961787</v>
      </c>
    </row>
    <row r="7840" spans="1:40" x14ac:dyDescent="0.25">
      <c r="A7840" t="str">
        <f>"20190312154115616"</f>
        <v>20190312154115616</v>
      </c>
      <c r="B7840" t="str">
        <f>"1552376475604000"</f>
        <v>1552376475604000</v>
      </c>
      <c r="C7840" t="s">
        <v>40</v>
      </c>
      <c r="D7840">
        <v>4.2457649999999996</v>
      </c>
      <c r="E7840">
        <v>0.52332500000000004</v>
      </c>
      <c r="F7840" t="s">
        <v>43</v>
      </c>
      <c r="G7840">
        <v>-318.1585</v>
      </c>
      <c r="H7840">
        <v>-0.05</v>
      </c>
      <c r="I7840">
        <v>15.038040000000001</v>
      </c>
      <c r="J7840">
        <v>-348.59019999999998</v>
      </c>
      <c r="K7840">
        <v>1.110376</v>
      </c>
      <c r="L7840">
        <v>17.494629999999901</v>
      </c>
      <c r="M7840">
        <v>0.99983659999999996</v>
      </c>
      <c r="N7840">
        <v>0</v>
      </c>
      <c r="O7840">
        <v>1.00771E-2</v>
      </c>
      <c r="P7840">
        <v>0.99966949999999999</v>
      </c>
      <c r="Q7840">
        <v>-1.5643770000000001E-2</v>
      </c>
      <c r="R7840">
        <v>-2.041463E-2</v>
      </c>
      <c r="S7840">
        <v>2.9942630000000001</v>
      </c>
      <c r="T7840">
        <v>-0.11362079999999999</v>
      </c>
      <c r="U7840">
        <v>-0.24038699999999999</v>
      </c>
      <c r="V7840">
        <v>3.048845E-2</v>
      </c>
      <c r="W7840">
        <v>-6.2204230000000005E-4</v>
      </c>
      <c r="X7840">
        <v>0.9995349</v>
      </c>
      <c r="Y7840">
        <v>8.9995309999999995E-2</v>
      </c>
      <c r="Z7840">
        <v>-2.0858500000000002E-3</v>
      </c>
      <c r="AA7840">
        <v>0.99594000000000005</v>
      </c>
      <c r="AB7840">
        <v>26</v>
      </c>
      <c r="AC7840">
        <v>30.4316999999999</v>
      </c>
      <c r="AD7840">
        <v>-1.1603760000000001</v>
      </c>
      <c r="AE7840">
        <v>-2.4565899999999901</v>
      </c>
      <c r="AF7840">
        <v>2.7591773695865598</v>
      </c>
      <c r="AG7840">
        <v>-1.1603760000000001</v>
      </c>
      <c r="AH7840">
        <v>30.361538473002</v>
      </c>
      <c r="AI7840">
        <v>92.179726568547906</v>
      </c>
      <c r="AJ7840">
        <v>84.807372543809393</v>
      </c>
      <c r="AK7840">
        <v>30.508729089652199</v>
      </c>
      <c r="AL7840">
        <v>90.035640401678705</v>
      </c>
      <c r="AM7840">
        <v>88.252869364087999</v>
      </c>
      <c r="AN7840">
        <v>0.999999974419017</v>
      </c>
    </row>
    <row r="7841" spans="1:40" x14ac:dyDescent="0.25">
      <c r="A7841" t="str">
        <f>"20190312154115629"</f>
        <v>20190312154115629</v>
      </c>
      <c r="B7841" t="str">
        <f>"1552376475624494"</f>
        <v>1552376475624494</v>
      </c>
      <c r="C7841" t="s">
        <v>40</v>
      </c>
      <c r="D7841">
        <v>4.2671390000000002</v>
      </c>
      <c r="E7841">
        <v>0.52475879999999997</v>
      </c>
      <c r="F7841" t="s">
        <v>43</v>
      </c>
      <c r="G7841">
        <v>-317.88630000000001</v>
      </c>
      <c r="H7841">
        <v>-0.05</v>
      </c>
      <c r="I7841">
        <v>14.97139</v>
      </c>
      <c r="J7841">
        <v>-348.45049999999998</v>
      </c>
      <c r="K7841">
        <v>1.110374</v>
      </c>
      <c r="L7841">
        <v>17.496120000000001</v>
      </c>
      <c r="M7841">
        <v>0.99983569999999999</v>
      </c>
      <c r="N7841">
        <v>0</v>
      </c>
      <c r="O7841">
        <v>1.0151469999999999E-2</v>
      </c>
      <c r="P7841">
        <v>0.99967269999999997</v>
      </c>
      <c r="Q7841">
        <v>-1.529288E-2</v>
      </c>
      <c r="R7841">
        <v>-2.0507839999999999E-2</v>
      </c>
      <c r="S7841">
        <v>2.994202</v>
      </c>
      <c r="T7841">
        <v>-0.1131582</v>
      </c>
      <c r="U7841">
        <v>-0.24606320000000001</v>
      </c>
      <c r="V7841">
        <v>3.0656159999999998E-2</v>
      </c>
      <c r="W7841">
        <v>-2.7444850000000001E-4</v>
      </c>
      <c r="X7841">
        <v>0.99953000000000003</v>
      </c>
      <c r="Y7841">
        <v>9.1945669999999993E-2</v>
      </c>
      <c r="Z7841">
        <v>-2.116831E-3</v>
      </c>
      <c r="AA7841">
        <v>0.99576180000000003</v>
      </c>
      <c r="AB7841">
        <v>26</v>
      </c>
      <c r="AC7841">
        <v>30.5641999999999</v>
      </c>
      <c r="AD7841">
        <v>-1.160374</v>
      </c>
      <c r="AE7841">
        <v>-2.5247299999999999</v>
      </c>
      <c r="AF7841">
        <v>2.8308538264809102</v>
      </c>
      <c r="AG7841">
        <v>-1.160374</v>
      </c>
      <c r="AH7841">
        <v>30.493338385786899</v>
      </c>
      <c r="AI7841">
        <v>92.169923908155198</v>
      </c>
      <c r="AJ7841">
        <v>84.696139380242798</v>
      </c>
      <c r="AK7841">
        <v>30.646433513818199</v>
      </c>
      <c r="AL7841">
        <v>90.015724740183401</v>
      </c>
      <c r="AM7841">
        <v>88.243256196425406</v>
      </c>
      <c r="AN7841">
        <v>1.0000000481839599</v>
      </c>
    </row>
    <row r="7842" spans="1:40" x14ac:dyDescent="0.25">
      <c r="A7842" t="str">
        <f>"20190312154115644"</f>
        <v>20190312154115644</v>
      </c>
      <c r="B7842" t="str">
        <f>"1552376475634255"</f>
        <v>1552376475634255</v>
      </c>
      <c r="C7842" t="s">
        <v>40</v>
      </c>
      <c r="D7842">
        <v>4.2425240000000004</v>
      </c>
      <c r="E7842">
        <v>0.5253698</v>
      </c>
      <c r="F7842" t="s">
        <v>43</v>
      </c>
      <c r="G7842">
        <v>-316.2998</v>
      </c>
      <c r="H7842">
        <v>-0.05</v>
      </c>
      <c r="I7842">
        <v>14.72734</v>
      </c>
      <c r="J7842">
        <v>-348.27609999999999</v>
      </c>
      <c r="K7842">
        <v>1.110368</v>
      </c>
      <c r="L7842">
        <v>17.497989999999898</v>
      </c>
      <c r="M7842">
        <v>0.99983500000000003</v>
      </c>
      <c r="N7842">
        <v>0</v>
      </c>
      <c r="O7842">
        <v>1.0238250000000001E-2</v>
      </c>
      <c r="P7842">
        <v>0.99968080000000004</v>
      </c>
      <c r="Q7842">
        <v>-1.50686E-2</v>
      </c>
      <c r="R7842">
        <v>-2.0289749999999999E-2</v>
      </c>
      <c r="S7842">
        <v>2.994049</v>
      </c>
      <c r="T7842">
        <v>-0.108060199999999</v>
      </c>
      <c r="U7842">
        <v>-0.25784299999999999</v>
      </c>
      <c r="V7842">
        <v>3.052477E-2</v>
      </c>
      <c r="W7842" s="1">
        <v>-5.4367399999999997E-5</v>
      </c>
      <c r="X7842">
        <v>0.99953400000000003</v>
      </c>
      <c r="Y7842">
        <v>9.5929440000000005E-2</v>
      </c>
      <c r="Z7842">
        <v>-2.096161E-3</v>
      </c>
      <c r="AA7842">
        <v>0.99538590000000005</v>
      </c>
      <c r="AB7842">
        <v>26</v>
      </c>
      <c r="AC7842">
        <v>31.976299999999899</v>
      </c>
      <c r="AD7842">
        <v>-1.1603680000000001</v>
      </c>
      <c r="AE7842">
        <v>-2.7706499999999901</v>
      </c>
      <c r="AF7842">
        <v>3.0938791626291802</v>
      </c>
      <c r="AG7842">
        <v>-1.1603680000000001</v>
      </c>
      <c r="AH7842">
        <v>31.904553553429501</v>
      </c>
      <c r="AI7842">
        <v>92.073211676536204</v>
      </c>
      <c r="AJ7842">
        <v>84.461176953768103</v>
      </c>
      <c r="AK7842">
        <v>32.075209736056699</v>
      </c>
      <c r="AL7842">
        <v>90.003115022593093</v>
      </c>
      <c r="AM7842">
        <v>88.250787776588993</v>
      </c>
      <c r="AN7842">
        <v>0.99999999084768298</v>
      </c>
    </row>
    <row r="7843" spans="1:40" x14ac:dyDescent="0.25">
      <c r="A7843" t="str">
        <f>"20190312154115659"</f>
        <v>20190312154115659</v>
      </c>
      <c r="B7843" t="str">
        <f>"1552376475653775"</f>
        <v>1552376475653775</v>
      </c>
      <c r="C7843" t="s">
        <v>40</v>
      </c>
      <c r="D7843">
        <v>4.2533390000000004</v>
      </c>
      <c r="E7843">
        <v>0.52627579999999996</v>
      </c>
      <c r="F7843" t="s">
        <v>43</v>
      </c>
      <c r="G7843">
        <v>-315.84500000000003</v>
      </c>
      <c r="H7843">
        <v>-0.05</v>
      </c>
      <c r="I7843">
        <v>14.659090000000001</v>
      </c>
      <c r="J7843">
        <v>-348.09739999999999</v>
      </c>
      <c r="K7843">
        <v>1.110358</v>
      </c>
      <c r="L7843">
        <v>17.49991</v>
      </c>
      <c r="M7843">
        <v>0.99983420000000001</v>
      </c>
      <c r="N7843">
        <v>0</v>
      </c>
      <c r="O7843">
        <v>1.031807E-2</v>
      </c>
      <c r="P7843">
        <v>0.99969430000000004</v>
      </c>
      <c r="Q7843">
        <v>-1.444052E-2</v>
      </c>
      <c r="R7843">
        <v>-2.0082949999999999E-2</v>
      </c>
      <c r="S7843">
        <v>2.9940190000000002</v>
      </c>
      <c r="T7843">
        <v>-0.1071246</v>
      </c>
      <c r="U7843">
        <v>-0.26208500000000001</v>
      </c>
      <c r="V7843">
        <v>3.039762E-2</v>
      </c>
      <c r="W7843">
        <v>5.6964549999999998E-4</v>
      </c>
      <c r="X7843">
        <v>0.99953769999999997</v>
      </c>
      <c r="Y7843">
        <v>9.7409579999999996E-2</v>
      </c>
      <c r="Z7843">
        <v>-2.1071879999999999E-3</v>
      </c>
      <c r="AA7843">
        <v>0.99524210000000002</v>
      </c>
      <c r="AB7843">
        <v>26</v>
      </c>
      <c r="AC7843">
        <v>32.252399999999902</v>
      </c>
      <c r="AD7843">
        <v>-1.160358</v>
      </c>
      <c r="AE7843">
        <v>-2.8408199999999999</v>
      </c>
      <c r="AF7843">
        <v>3.1694178939439799</v>
      </c>
      <c r="AG7843">
        <v>-1.160358</v>
      </c>
      <c r="AH7843">
        <v>32.180035303038302</v>
      </c>
      <c r="AI7843">
        <v>92.055159623947205</v>
      </c>
      <c r="AJ7843">
        <v>84.375068671176095</v>
      </c>
      <c r="AK7843">
        <v>32.3565497632149</v>
      </c>
      <c r="AL7843">
        <v>89.967361714507604</v>
      </c>
      <c r="AM7843">
        <v>88.258076012599105</v>
      </c>
      <c r="AN7843">
        <v>0.99999997675947405</v>
      </c>
    </row>
    <row r="7844" spans="1:40" x14ac:dyDescent="0.25">
      <c r="A7844" t="str">
        <f>"20190312154115682"</f>
        <v>20190312154115682</v>
      </c>
      <c r="B7844" t="str">
        <f>"1552376475674275"</f>
        <v>1552376475674275</v>
      </c>
      <c r="C7844" t="s">
        <v>40</v>
      </c>
      <c r="D7844">
        <v>4.2583970000000004</v>
      </c>
      <c r="E7844">
        <v>0.52698409999999996</v>
      </c>
      <c r="F7844" t="s">
        <v>43</v>
      </c>
      <c r="G7844">
        <v>-315.40750000000003</v>
      </c>
      <c r="H7844">
        <v>-0.05</v>
      </c>
      <c r="I7844">
        <v>14.56601</v>
      </c>
      <c r="J7844">
        <v>-347.83260000000001</v>
      </c>
      <c r="K7844">
        <v>1.1103430000000001</v>
      </c>
      <c r="L7844">
        <v>17.502779999999898</v>
      </c>
      <c r="M7844">
        <v>0.99983330000000004</v>
      </c>
      <c r="N7844">
        <v>0</v>
      </c>
      <c r="O7844">
        <v>1.0413199999999999E-2</v>
      </c>
      <c r="P7844">
        <v>0.9997106</v>
      </c>
      <c r="Q7844">
        <v>-1.3795440000000001E-2</v>
      </c>
      <c r="R7844">
        <v>-1.97155E-2</v>
      </c>
      <c r="S7844">
        <v>2.9939580000000001</v>
      </c>
      <c r="T7844">
        <v>-0.1062734</v>
      </c>
      <c r="U7844">
        <v>-0.26870729999999998</v>
      </c>
      <c r="V7844">
        <v>3.012563E-2</v>
      </c>
      <c r="W7844">
        <v>1.2076529999999999E-3</v>
      </c>
      <c r="X7844">
        <v>0.99954540000000003</v>
      </c>
      <c r="Y7844">
        <v>9.9689600000000003E-2</v>
      </c>
      <c r="Z7844">
        <v>-2.134038E-3</v>
      </c>
      <c r="AA7844">
        <v>0.99501629999999996</v>
      </c>
      <c r="AB7844">
        <v>26</v>
      </c>
      <c r="AC7844">
        <v>32.425099999999901</v>
      </c>
      <c r="AD7844">
        <v>-1.1603429999999999</v>
      </c>
      <c r="AE7844">
        <v>-2.9367699999999899</v>
      </c>
      <c r="AF7844">
        <v>3.2701441272356599</v>
      </c>
      <c r="AG7844">
        <v>-1.1603429999999999</v>
      </c>
      <c r="AH7844">
        <v>32.351664801948999</v>
      </c>
      <c r="AI7844">
        <v>92.043716824348706</v>
      </c>
      <c r="AJ7844">
        <v>84.228080308442003</v>
      </c>
      <c r="AK7844">
        <v>32.537216444376597</v>
      </c>
      <c r="AL7844">
        <v>89.930806563810606</v>
      </c>
      <c r="AM7844">
        <v>88.273666112294805</v>
      </c>
      <c r="AN7844">
        <v>1.00000000933491</v>
      </c>
    </row>
    <row r="7845" spans="1:40" x14ac:dyDescent="0.25">
      <c r="A7845" t="str">
        <f>"20190312154115692"</f>
        <v>20190312154115692</v>
      </c>
      <c r="B7845" t="str">
        <f>"1552376475684031"</f>
        <v>1552376475684031</v>
      </c>
      <c r="C7845" t="s">
        <v>40</v>
      </c>
      <c r="D7845">
        <v>4.2459119999999997</v>
      </c>
      <c r="E7845">
        <v>0.52728240000000004</v>
      </c>
      <c r="F7845" t="s">
        <v>43</v>
      </c>
      <c r="G7845">
        <v>-314.8005</v>
      </c>
      <c r="H7845">
        <v>-0.05</v>
      </c>
      <c r="I7845">
        <v>14.48804</v>
      </c>
      <c r="J7845">
        <v>-347.70249999999999</v>
      </c>
      <c r="K7845">
        <v>1.1103350000000001</v>
      </c>
      <c r="L7845">
        <v>17.504179999999899</v>
      </c>
      <c r="M7845">
        <v>0.99983290000000002</v>
      </c>
      <c r="N7845">
        <v>0</v>
      </c>
      <c r="O7845">
        <v>1.045077E-2</v>
      </c>
      <c r="P7845">
        <v>0.99972039999999995</v>
      </c>
      <c r="Q7845">
        <v>-1.337343E-2</v>
      </c>
      <c r="R7845">
        <v>-1.950025E-2</v>
      </c>
      <c r="S7845">
        <v>2.9940190000000002</v>
      </c>
      <c r="T7845">
        <v>-0.10517310000000001</v>
      </c>
      <c r="U7845">
        <v>-0.27325440000000001</v>
      </c>
      <c r="V7845">
        <v>2.9947999999999999E-2</v>
      </c>
      <c r="W7845">
        <v>1.625839E-3</v>
      </c>
      <c r="X7845">
        <v>0.99955020000000006</v>
      </c>
      <c r="Y7845">
        <v>0.10122440000000001</v>
      </c>
      <c r="Z7845">
        <v>-2.1399800000000001E-3</v>
      </c>
      <c r="AA7845">
        <v>0.99486129999999995</v>
      </c>
      <c r="AB7845">
        <v>26</v>
      </c>
      <c r="AC7845">
        <v>32.901999999999902</v>
      </c>
      <c r="AD7845">
        <v>-1.1603349999999999</v>
      </c>
      <c r="AE7845">
        <v>-3.0161399999999898</v>
      </c>
      <c r="AF7845">
        <v>3.3557263658780498</v>
      </c>
      <c r="AG7845">
        <v>-1.1603349999999999</v>
      </c>
      <c r="AH7845">
        <v>32.828189470844997</v>
      </c>
      <c r="AI7845">
        <v>92.013830804928205</v>
      </c>
      <c r="AJ7845">
        <v>84.163447670990195</v>
      </c>
      <c r="AK7845">
        <v>33.019650220566703</v>
      </c>
      <c r="AL7845">
        <v>89.906846252071801</v>
      </c>
      <c r="AM7845">
        <v>88.283847240269594</v>
      </c>
      <c r="AN7845">
        <v>1.0000000641882401</v>
      </c>
    </row>
    <row r="7846" spans="1:40" x14ac:dyDescent="0.25">
      <c r="A7846" t="str">
        <f>"20190312154115706"</f>
        <v>20190312154115706</v>
      </c>
      <c r="B7846" t="str">
        <f>"1552376475693792"</f>
        <v>1552376475693792</v>
      </c>
      <c r="C7846" t="s">
        <v>40</v>
      </c>
      <c r="D7846">
        <v>4.261628</v>
      </c>
      <c r="E7846">
        <v>0.52760099999999999</v>
      </c>
      <c r="F7846" t="s">
        <v>43</v>
      </c>
      <c r="G7846">
        <v>-314.23059999999998</v>
      </c>
      <c r="H7846">
        <v>-0.05</v>
      </c>
      <c r="I7846">
        <v>14.42999</v>
      </c>
      <c r="J7846">
        <v>-347.54730000000001</v>
      </c>
      <c r="K7846">
        <v>1.110325</v>
      </c>
      <c r="L7846">
        <v>17.50583</v>
      </c>
      <c r="M7846">
        <v>0.99983250000000001</v>
      </c>
      <c r="N7846">
        <v>0</v>
      </c>
      <c r="O7846">
        <v>1.0485799999999899E-2</v>
      </c>
      <c r="P7846">
        <v>0.99972589999999995</v>
      </c>
      <c r="Q7846">
        <v>-1.317172E-2</v>
      </c>
      <c r="R7846">
        <v>-1.9352060000000001E-2</v>
      </c>
      <c r="S7846">
        <v>2.9941409999999999</v>
      </c>
      <c r="T7846">
        <v>-0.1037946</v>
      </c>
      <c r="U7846">
        <v>-0.27499390000000001</v>
      </c>
      <c r="V7846">
        <v>2.9834880000000001E-2</v>
      </c>
      <c r="W7846">
        <v>1.82325E-3</v>
      </c>
      <c r="X7846">
        <v>0.99955320000000003</v>
      </c>
      <c r="Y7846">
        <v>0.1018302</v>
      </c>
      <c r="Z7846">
        <v>-2.1234919999999998E-3</v>
      </c>
      <c r="AA7846">
        <v>0.99479960000000001</v>
      </c>
      <c r="AB7846">
        <v>26</v>
      </c>
      <c r="AC7846">
        <v>33.316699999999997</v>
      </c>
      <c r="AD7846">
        <v>-1.1603250000000001</v>
      </c>
      <c r="AE7846">
        <v>-3.0758399999999901</v>
      </c>
      <c r="AF7846">
        <v>3.4209481252496801</v>
      </c>
      <c r="AG7846">
        <v>-1.1603250000000001</v>
      </c>
      <c r="AH7846">
        <v>33.242631457557202</v>
      </c>
      <c r="AI7846">
        <v>91.988588496400197</v>
      </c>
      <c r="AJ7846">
        <v>84.124462062319495</v>
      </c>
      <c r="AK7846">
        <v>33.438328104201702</v>
      </c>
      <c r="AL7846">
        <v>89.895535414419996</v>
      </c>
      <c r="AM7846">
        <v>88.290330790042901</v>
      </c>
      <c r="AN7846">
        <v>1.0000000219677001</v>
      </c>
    </row>
    <row r="7847" spans="1:40" x14ac:dyDescent="0.25">
      <c r="A7847" t="str">
        <f>"20190312154115718"</f>
        <v>20190312154115718</v>
      </c>
      <c r="B7847" t="str">
        <f>"1552376475714286"</f>
        <v>1552376475714286</v>
      </c>
      <c r="C7847" t="s">
        <v>40</v>
      </c>
      <c r="D7847">
        <v>4.2789159999999997</v>
      </c>
      <c r="E7847">
        <v>0.52808669999999902</v>
      </c>
      <c r="F7847" t="s">
        <v>43</v>
      </c>
      <c r="G7847">
        <v>-314.08019999999999</v>
      </c>
      <c r="H7847">
        <v>-0.05</v>
      </c>
      <c r="I7847">
        <v>14.408779999999901</v>
      </c>
      <c r="J7847">
        <v>-347.41739999999999</v>
      </c>
      <c r="K7847">
        <v>1.110312</v>
      </c>
      <c r="L7847">
        <v>17.50723</v>
      </c>
      <c r="M7847">
        <v>0.99983250000000001</v>
      </c>
      <c r="N7847">
        <v>0</v>
      </c>
      <c r="O7847">
        <v>1.051061E-2</v>
      </c>
      <c r="P7847">
        <v>0.99973129999999999</v>
      </c>
      <c r="Q7847">
        <v>-1.305721E-2</v>
      </c>
      <c r="R7847">
        <v>-1.9166409999999998E-2</v>
      </c>
      <c r="S7847">
        <v>2.994049</v>
      </c>
      <c r="T7847">
        <v>-0.10380540000000001</v>
      </c>
      <c r="U7847">
        <v>-0.27706910000000001</v>
      </c>
      <c r="V7847">
        <v>2.967407E-2</v>
      </c>
      <c r="W7847">
        <v>1.933876E-3</v>
      </c>
      <c r="X7847">
        <v>0.99955769999999999</v>
      </c>
      <c r="Y7847">
        <v>0.1025408</v>
      </c>
      <c r="Z7847">
        <v>-2.13686E-3</v>
      </c>
      <c r="AA7847">
        <v>0.99472649999999996</v>
      </c>
      <c r="AB7847">
        <v>26</v>
      </c>
      <c r="AC7847">
        <v>33.337200000000003</v>
      </c>
      <c r="AD7847">
        <v>-1.160312</v>
      </c>
      <c r="AE7847">
        <v>-3.0984500000000001</v>
      </c>
      <c r="AF7847">
        <v>3.4445753979404001</v>
      </c>
      <c r="AG7847">
        <v>-1.160312</v>
      </c>
      <c r="AH7847">
        <v>33.262838001104797</v>
      </c>
      <c r="AI7847">
        <v>91.987227794889705</v>
      </c>
      <c r="AJ7847">
        <v>84.087736921224504</v>
      </c>
      <c r="AK7847">
        <v>33.4608400297599</v>
      </c>
      <c r="AL7847">
        <v>89.889196991714002</v>
      </c>
      <c r="AM7847">
        <v>88.299548132926205</v>
      </c>
      <c r="AN7847">
        <v>0.99999994296801697</v>
      </c>
    </row>
    <row r="7848" spans="1:40" x14ac:dyDescent="0.25">
      <c r="A7848" t="str">
        <f>"20190312154115728"</f>
        <v>20190312154115728</v>
      </c>
      <c r="B7848" t="str">
        <f>"1552376475724046"</f>
        <v>1552376475724046</v>
      </c>
      <c r="C7848" t="s">
        <v>40</v>
      </c>
      <c r="D7848">
        <v>4.3016940000000004</v>
      </c>
      <c r="E7848">
        <v>0.52828280000000005</v>
      </c>
      <c r="F7848" t="s">
        <v>43</v>
      </c>
      <c r="G7848">
        <v>-314.18869999999998</v>
      </c>
      <c r="H7848">
        <v>-0.05</v>
      </c>
      <c r="I7848">
        <v>14.395720000000001</v>
      </c>
      <c r="J7848">
        <v>-347.27749999999997</v>
      </c>
      <c r="K7848">
        <v>1.110304</v>
      </c>
      <c r="L7848">
        <v>17.508700000000001</v>
      </c>
      <c r="M7848">
        <v>0.99983230000000001</v>
      </c>
      <c r="N7848">
        <v>0</v>
      </c>
      <c r="O7848">
        <v>1.0526249999999999E-2</v>
      </c>
      <c r="P7848">
        <v>0.99973109999999998</v>
      </c>
      <c r="Q7848">
        <v>-1.290847E-2</v>
      </c>
      <c r="R7848">
        <v>-1.9272399999999999E-2</v>
      </c>
      <c r="S7848">
        <v>2.9940799999999999</v>
      </c>
      <c r="T7848">
        <v>-0.10455</v>
      </c>
      <c r="U7848">
        <v>-0.28036499999999998</v>
      </c>
      <c r="V7848">
        <v>2.9795729999999999E-2</v>
      </c>
      <c r="W7848">
        <v>2.0788339999999999E-3</v>
      </c>
      <c r="X7848">
        <v>0.9995539</v>
      </c>
      <c r="Y7848">
        <v>0.10363940000000001</v>
      </c>
      <c r="Z7848">
        <v>-2.1717239999999999E-3</v>
      </c>
      <c r="AA7848">
        <v>0.99461259999999996</v>
      </c>
      <c r="AB7848">
        <v>26</v>
      </c>
      <c r="AC7848">
        <v>33.0887999999999</v>
      </c>
      <c r="AD7848">
        <v>-1.160304</v>
      </c>
      <c r="AE7848">
        <v>-3.1129799999999999</v>
      </c>
      <c r="AF7848">
        <v>3.4569340654233698</v>
      </c>
      <c r="AG7848">
        <v>-1.160304</v>
      </c>
      <c r="AH7848">
        <v>33.013955245258501</v>
      </c>
      <c r="AI7848">
        <v>92.001944969418602</v>
      </c>
      <c r="AJ7848">
        <v>84.0222686362346</v>
      </c>
      <c r="AK7848">
        <v>33.2147247382999</v>
      </c>
      <c r="AL7848">
        <v>89.880891506020305</v>
      </c>
      <c r="AM7848">
        <v>88.292574122577705</v>
      </c>
      <c r="AN7848">
        <v>1.0000000530411199</v>
      </c>
    </row>
    <row r="7849" spans="1:40" x14ac:dyDescent="0.25">
      <c r="A7849" t="str">
        <f>"20190312154115740"</f>
        <v>20190312154115740</v>
      </c>
      <c r="B7849" t="str">
        <f>"1552376475733808"</f>
        <v>1552376475733808</v>
      </c>
      <c r="C7849" t="s">
        <v>40</v>
      </c>
      <c r="D7849">
        <v>4.3338380000000001</v>
      </c>
      <c r="E7849">
        <v>0.52851179999999998</v>
      </c>
      <c r="F7849" t="s">
        <v>43</v>
      </c>
      <c r="G7849">
        <v>-314.05829999999997</v>
      </c>
      <c r="H7849">
        <v>-0.05</v>
      </c>
      <c r="I7849">
        <v>14.37764</v>
      </c>
      <c r="J7849">
        <v>-347.14929999999998</v>
      </c>
      <c r="K7849">
        <v>1.110298</v>
      </c>
      <c r="L7849">
        <v>17.510069999999999</v>
      </c>
      <c r="M7849">
        <v>0.99983230000000001</v>
      </c>
      <c r="N7849">
        <v>0</v>
      </c>
      <c r="O7849">
        <v>1.0537980000000001E-2</v>
      </c>
      <c r="P7849">
        <v>0.99973259999999997</v>
      </c>
      <c r="Q7849">
        <v>-1.3030999999999999E-2</v>
      </c>
      <c r="R7849">
        <v>-1.9114989999999998E-2</v>
      </c>
      <c r="S7849">
        <v>2.9939879999999999</v>
      </c>
      <c r="T7849">
        <v>-0.104576</v>
      </c>
      <c r="U7849">
        <v>-0.282196</v>
      </c>
      <c r="V7849">
        <v>2.965023E-2</v>
      </c>
      <c r="W7849">
        <v>1.9534259999999999E-3</v>
      </c>
      <c r="X7849">
        <v>0.99955839999999996</v>
      </c>
      <c r="Y7849">
        <v>0.1042564</v>
      </c>
      <c r="Z7849">
        <v>-2.1834250000000001E-3</v>
      </c>
      <c r="AA7849">
        <v>0.99454810000000005</v>
      </c>
      <c r="AB7849">
        <v>26</v>
      </c>
      <c r="AC7849">
        <v>33.091000000000001</v>
      </c>
      <c r="AD7849">
        <v>-1.1602980000000001</v>
      </c>
      <c r="AE7849">
        <v>-3.1324299999999998</v>
      </c>
      <c r="AF7849">
        <v>3.4767708087692402</v>
      </c>
      <c r="AG7849">
        <v>-1.1602980000000001</v>
      </c>
      <c r="AH7849">
        <v>33.015917284787598</v>
      </c>
      <c r="AI7849">
        <v>92.001692231143295</v>
      </c>
      <c r="AJ7849">
        <v>83.988572077892599</v>
      </c>
      <c r="AK7849">
        <v>33.218745022373298</v>
      </c>
      <c r="AL7849">
        <v>89.8880768604633</v>
      </c>
      <c r="AM7849">
        <v>88.300914655574402</v>
      </c>
      <c r="AN7849">
        <v>0.99999997351137404</v>
      </c>
    </row>
    <row r="7850" spans="1:40" x14ac:dyDescent="0.25">
      <c r="A7850" t="str">
        <f>"20190312154115751"</f>
        <v>20190312154115751</v>
      </c>
      <c r="B7850" t="str">
        <f>"1552376475744543"</f>
        <v>1552376475744543</v>
      </c>
      <c r="C7850" t="s">
        <v>40</v>
      </c>
      <c r="D7850">
        <v>4.308662</v>
      </c>
      <c r="E7850">
        <v>0.52872559999999902</v>
      </c>
      <c r="F7850" t="s">
        <v>43</v>
      </c>
      <c r="G7850">
        <v>-314.02229999999997</v>
      </c>
      <c r="H7850">
        <v>-0.05</v>
      </c>
      <c r="I7850">
        <v>14.37256</v>
      </c>
      <c r="J7850">
        <v>-347.01960000000003</v>
      </c>
      <c r="K7850">
        <v>1.1102909999999999</v>
      </c>
      <c r="L7850">
        <v>17.51144</v>
      </c>
      <c r="M7850">
        <v>0.99983219999999995</v>
      </c>
      <c r="N7850">
        <v>0</v>
      </c>
      <c r="O7850">
        <v>1.0544069999999999E-2</v>
      </c>
      <c r="P7850">
        <v>0.99973520000000005</v>
      </c>
      <c r="Q7850">
        <v>-1.283376E-2</v>
      </c>
      <c r="R7850">
        <v>-1.9115679999999999E-2</v>
      </c>
      <c r="S7850">
        <v>2.9940190000000002</v>
      </c>
      <c r="T7850">
        <v>-0.10486769999999999</v>
      </c>
      <c r="U7850">
        <v>-0.28356930000000002</v>
      </c>
      <c r="V7850">
        <v>2.965694E-2</v>
      </c>
      <c r="W7850">
        <v>2.1470209999999998E-3</v>
      </c>
      <c r="X7850">
        <v>0.9995579</v>
      </c>
      <c r="Y7850">
        <v>0.104713</v>
      </c>
      <c r="Z7850">
        <v>-2.1976320000000001E-3</v>
      </c>
      <c r="AA7850">
        <v>0.99450000000000005</v>
      </c>
      <c r="AB7850">
        <v>26</v>
      </c>
      <c r="AC7850">
        <v>32.997300000000003</v>
      </c>
      <c r="AD7850">
        <v>-1.160291</v>
      </c>
      <c r="AE7850">
        <v>-3.1388799999999999</v>
      </c>
      <c r="AF7850">
        <v>3.4824031447586501</v>
      </c>
      <c r="AG7850">
        <v>-1.160291</v>
      </c>
      <c r="AH7850">
        <v>32.922023537860802</v>
      </c>
      <c r="AI7850">
        <v>92.007285609642494</v>
      </c>
      <c r="AJ7850">
        <v>83.9618595994868</v>
      </c>
      <c r="AK7850">
        <v>33.126017579762902</v>
      </c>
      <c r="AL7850">
        <v>89.876984672227707</v>
      </c>
      <c r="AM7850">
        <v>88.300529519646702</v>
      </c>
      <c r="AN7850">
        <v>1.00000006962087</v>
      </c>
    </row>
    <row r="7851" spans="1:40" x14ac:dyDescent="0.25">
      <c r="A7851" t="str">
        <f>"20190312154115763"</f>
        <v>20190312154115763</v>
      </c>
      <c r="B7851" t="str">
        <f>"1552376475754302"</f>
        <v>1552376475754302</v>
      </c>
      <c r="C7851" t="s">
        <v>40</v>
      </c>
      <c r="D7851">
        <v>4.2925559999999896</v>
      </c>
      <c r="E7851">
        <v>0.52887169999999994</v>
      </c>
      <c r="F7851" t="s">
        <v>43</v>
      </c>
      <c r="G7851">
        <v>-313.98259999999999</v>
      </c>
      <c r="H7851">
        <v>-0.05</v>
      </c>
      <c r="I7851">
        <v>14.36389</v>
      </c>
      <c r="J7851">
        <v>-346.8895</v>
      </c>
      <c r="K7851">
        <v>1.110284</v>
      </c>
      <c r="L7851">
        <v>17.512820000000001</v>
      </c>
      <c r="M7851">
        <v>0.99983219999999995</v>
      </c>
      <c r="N7851">
        <v>0</v>
      </c>
      <c r="O7851">
        <v>1.054738E-2</v>
      </c>
      <c r="P7851">
        <v>0.99973610000000002</v>
      </c>
      <c r="Q7851">
        <v>-1.245509E-2</v>
      </c>
      <c r="R7851">
        <v>-1.9314709999999999E-2</v>
      </c>
      <c r="S7851">
        <v>2.9939879999999999</v>
      </c>
      <c r="T7851">
        <v>-0.10515190000000001</v>
      </c>
      <c r="U7851">
        <v>-0.2852478</v>
      </c>
      <c r="V7851">
        <v>2.985935E-2</v>
      </c>
      <c r="W7851">
        <v>2.5222909999999999E-3</v>
      </c>
      <c r="X7851">
        <v>0.99955090000000002</v>
      </c>
      <c r="Y7851">
        <v>0.105269</v>
      </c>
      <c r="Z7851">
        <v>-2.213404E-3</v>
      </c>
      <c r="AA7851">
        <v>0.99444129999999997</v>
      </c>
      <c r="AB7851">
        <v>26</v>
      </c>
      <c r="AC7851">
        <v>32.9069</v>
      </c>
      <c r="AD7851">
        <v>-1.1602840000000001</v>
      </c>
      <c r="AE7851">
        <v>-3.14893</v>
      </c>
      <c r="AF7851">
        <v>3.4915738432291201</v>
      </c>
      <c r="AG7851">
        <v>-1.1602840000000001</v>
      </c>
      <c r="AH7851">
        <v>32.831405534554001</v>
      </c>
      <c r="AI7851">
        <v>92.012688736325799</v>
      </c>
      <c r="AJ7851">
        <v>83.929491608445403</v>
      </c>
      <c r="AK7851">
        <v>33.036926858255498</v>
      </c>
      <c r="AL7851">
        <v>89.855483213745302</v>
      </c>
      <c r="AM7851">
        <v>88.288925450280402</v>
      </c>
      <c r="AN7851">
        <v>0.99999997221255998</v>
      </c>
    </row>
    <row r="7852" spans="1:40" x14ac:dyDescent="0.25">
      <c r="A7852" t="str">
        <f>"20190312154115772"</f>
        <v>20190312154115772</v>
      </c>
      <c r="B7852" t="str">
        <f>"1552376475764062"</f>
        <v>1552376475764062</v>
      </c>
      <c r="C7852" t="s">
        <v>40</v>
      </c>
      <c r="D7852">
        <v>4.2881049999999998</v>
      </c>
      <c r="E7852">
        <v>0.52910559999999995</v>
      </c>
      <c r="F7852" t="s">
        <v>43</v>
      </c>
      <c r="G7852">
        <v>-313.59969999999998</v>
      </c>
      <c r="H7852">
        <v>-0.05</v>
      </c>
      <c r="I7852">
        <v>14.321109999999999</v>
      </c>
      <c r="J7852">
        <v>-346.76249999999999</v>
      </c>
      <c r="K7852">
        <v>1.110282</v>
      </c>
      <c r="L7852">
        <v>17.51416</v>
      </c>
      <c r="M7852">
        <v>0.99983219999999995</v>
      </c>
      <c r="N7852">
        <v>0</v>
      </c>
      <c r="O7852">
        <v>1.0547620000000001E-2</v>
      </c>
      <c r="P7852">
        <v>0.99973029999999996</v>
      </c>
      <c r="Q7852">
        <v>-1.24963E-2</v>
      </c>
      <c r="R7852">
        <v>-1.9577319999999999E-2</v>
      </c>
      <c r="S7852">
        <v>2.9939269999999998</v>
      </c>
      <c r="T7852">
        <v>-0.10435030000000001</v>
      </c>
      <c r="U7852">
        <v>-0.28704829999999998</v>
      </c>
      <c r="V7852">
        <v>3.0122240000000002E-2</v>
      </c>
      <c r="W7852">
        <v>2.4774689999999999E-3</v>
      </c>
      <c r="X7852">
        <v>0.99954310000000002</v>
      </c>
      <c r="Y7852">
        <v>0.1058645</v>
      </c>
      <c r="Z7852">
        <v>-2.2068819999999999E-3</v>
      </c>
      <c r="AA7852">
        <v>0.99437810000000004</v>
      </c>
      <c r="AB7852">
        <v>26</v>
      </c>
      <c r="AC7852">
        <v>33.162799999999997</v>
      </c>
      <c r="AD7852">
        <v>-1.160282</v>
      </c>
      <c r="AE7852">
        <v>-3.1930499999999902</v>
      </c>
      <c r="AF7852">
        <v>3.5384085318906799</v>
      </c>
      <c r="AG7852">
        <v>-1.160282</v>
      </c>
      <c r="AH7852">
        <v>33.087141296606099</v>
      </c>
      <c r="AI7852">
        <v>91.997016670129995</v>
      </c>
      <c r="AJ7852">
        <v>83.895868394982003</v>
      </c>
      <c r="AK7852">
        <v>33.296028418411403</v>
      </c>
      <c r="AL7852">
        <v>89.858051329830502</v>
      </c>
      <c r="AM7852">
        <v>88.273856287455203</v>
      </c>
      <c r="AN7852">
        <v>0.99999994797643499</v>
      </c>
    </row>
    <row r="7853" spans="1:40" x14ac:dyDescent="0.25">
      <c r="A7853" t="str">
        <f>"20190312154115784"</f>
        <v>20190312154115784</v>
      </c>
      <c r="B7853" t="str">
        <f>"1552376475773823"</f>
        <v>1552376475773823</v>
      </c>
      <c r="C7853" t="s">
        <v>40</v>
      </c>
      <c r="D7853">
        <v>4.2990159999999999</v>
      </c>
      <c r="E7853">
        <v>0.52933540000000001</v>
      </c>
      <c r="F7853" t="s">
        <v>43</v>
      </c>
      <c r="G7853">
        <v>-313.79660000000001</v>
      </c>
      <c r="H7853">
        <v>-0.05</v>
      </c>
      <c r="I7853">
        <v>14.325200000000001</v>
      </c>
      <c r="J7853">
        <v>-346.6404</v>
      </c>
      <c r="K7853">
        <v>1.1102810000000001</v>
      </c>
      <c r="L7853">
        <v>17.515439999999899</v>
      </c>
      <c r="M7853">
        <v>0.99983219999999995</v>
      </c>
      <c r="N7853">
        <v>0</v>
      </c>
      <c r="O7853">
        <v>1.0544049999999999E-2</v>
      </c>
      <c r="P7853">
        <v>0.99972749999999999</v>
      </c>
      <c r="Q7853">
        <v>-1.2304860000000001E-2</v>
      </c>
      <c r="R7853">
        <v>-1.9839949999999999E-2</v>
      </c>
      <c r="S7853">
        <v>2.9938660000000001</v>
      </c>
      <c r="T7853">
        <v>-0.10537349999999999</v>
      </c>
      <c r="U7853">
        <v>-0.28961179999999997</v>
      </c>
      <c r="V7853">
        <v>3.038126E-2</v>
      </c>
      <c r="W7853">
        <v>2.6658189999999998E-3</v>
      </c>
      <c r="X7853">
        <v>0.99953479999999995</v>
      </c>
      <c r="Y7853">
        <v>0.1067046</v>
      </c>
      <c r="Z7853">
        <v>-2.2430829999999999E-3</v>
      </c>
      <c r="AA7853">
        <v>0.99428830000000001</v>
      </c>
      <c r="AB7853">
        <v>26</v>
      </c>
      <c r="AC7853">
        <v>32.843799999999902</v>
      </c>
      <c r="AD7853">
        <v>-1.1602809999999999</v>
      </c>
      <c r="AE7853">
        <v>-3.19023999999999</v>
      </c>
      <c r="AF7853">
        <v>3.53204130811211</v>
      </c>
      <c r="AG7853">
        <v>-1.1602809999999999</v>
      </c>
      <c r="AH7853">
        <v>32.767819503171403</v>
      </c>
      <c r="AI7853">
        <v>92.016278529865602</v>
      </c>
      <c r="AJ7853">
        <v>83.8478445939366</v>
      </c>
      <c r="AK7853">
        <v>32.978046679474403</v>
      </c>
      <c r="AL7853">
        <v>89.847259637163603</v>
      </c>
      <c r="AM7853">
        <v>88.259007890920699</v>
      </c>
      <c r="AN7853">
        <v>0.99999997198058299</v>
      </c>
    </row>
    <row r="7854" spans="1:40" x14ac:dyDescent="0.25">
      <c r="A7854" t="str">
        <f>"20190312154115795"</f>
        <v>20190312154115795</v>
      </c>
      <c r="B7854" t="str">
        <f>"1552376475784559"</f>
        <v>1552376475784559</v>
      </c>
      <c r="C7854" t="s">
        <v>40</v>
      </c>
      <c r="D7854">
        <v>4.3367719999999998</v>
      </c>
      <c r="E7854">
        <v>0.52951230000000005</v>
      </c>
      <c r="F7854" t="s">
        <v>43</v>
      </c>
      <c r="G7854">
        <v>-313.88479999999998</v>
      </c>
      <c r="H7854">
        <v>-0.05</v>
      </c>
      <c r="I7854">
        <v>14.31828</v>
      </c>
      <c r="J7854">
        <v>-346.51159999999999</v>
      </c>
      <c r="K7854">
        <v>1.1102780000000001</v>
      </c>
      <c r="L7854">
        <v>17.516779999999901</v>
      </c>
      <c r="M7854">
        <v>0.99983230000000001</v>
      </c>
      <c r="N7854">
        <v>0</v>
      </c>
      <c r="O7854">
        <v>1.053835E-2</v>
      </c>
      <c r="P7854">
        <v>0.99972079999999997</v>
      </c>
      <c r="Q7854">
        <v>-1.2158260000000001E-2</v>
      </c>
      <c r="R7854">
        <v>-2.0269280000000001E-2</v>
      </c>
      <c r="S7854">
        <v>2.9937130000000001</v>
      </c>
      <c r="T7854">
        <v>-0.10604470000000001</v>
      </c>
      <c r="U7854">
        <v>-0.29220580000000002</v>
      </c>
      <c r="V7854">
        <v>3.0804689999999999E-2</v>
      </c>
      <c r="W7854">
        <v>2.8093459999999999E-3</v>
      </c>
      <c r="X7854">
        <v>0.99952149999999995</v>
      </c>
      <c r="Y7854">
        <v>0.1075557</v>
      </c>
      <c r="Z7854">
        <v>-2.2722150000000002E-3</v>
      </c>
      <c r="AA7854">
        <v>0.99419650000000004</v>
      </c>
      <c r="AB7854">
        <v>26</v>
      </c>
      <c r="AC7854">
        <v>32.626800000000003</v>
      </c>
      <c r="AD7854">
        <v>-1.1602779999999999</v>
      </c>
      <c r="AE7854">
        <v>-3.1984999999999899</v>
      </c>
      <c r="AF7854">
        <v>3.5377620636168201</v>
      </c>
      <c r="AG7854">
        <v>-1.1602779999999999</v>
      </c>
      <c r="AH7854">
        <v>32.550503538099598</v>
      </c>
      <c r="AI7854">
        <v>92.029529025386793</v>
      </c>
      <c r="AJ7854">
        <v>83.797136879907001</v>
      </c>
      <c r="AK7854">
        <v>32.762742346145103</v>
      </c>
      <c r="AL7854">
        <v>89.839036123324306</v>
      </c>
      <c r="AM7854">
        <v>88.234735090724598</v>
      </c>
      <c r="AN7854">
        <v>1.0000000251565899</v>
      </c>
    </row>
    <row r="7855" spans="1:40" x14ac:dyDescent="0.25">
      <c r="A7855" t="str">
        <f>"20190312154115807"</f>
        <v>20190312154115807</v>
      </c>
      <c r="B7855" t="str">
        <f>"1552376475794319"</f>
        <v>1552376475794319</v>
      </c>
      <c r="C7855" t="s">
        <v>40</v>
      </c>
      <c r="D7855">
        <v>4.2940189999999996</v>
      </c>
      <c r="E7855">
        <v>0.52967259999999905</v>
      </c>
      <c r="F7855" t="s">
        <v>43</v>
      </c>
      <c r="G7855">
        <v>-313.84190000000001</v>
      </c>
      <c r="H7855">
        <v>-0.05</v>
      </c>
      <c r="I7855">
        <v>14.298830000000001</v>
      </c>
      <c r="J7855">
        <v>-346.38630000000001</v>
      </c>
      <c r="K7855">
        <v>1.110274</v>
      </c>
      <c r="L7855">
        <v>17.518129999999999</v>
      </c>
      <c r="M7855">
        <v>0.99983250000000001</v>
      </c>
      <c r="N7855">
        <v>0</v>
      </c>
      <c r="O7855">
        <v>1.052722E-2</v>
      </c>
      <c r="P7855">
        <v>0.99971339999999997</v>
      </c>
      <c r="Q7855">
        <v>-1.219513E-2</v>
      </c>
      <c r="R7855">
        <v>-2.06001E-2</v>
      </c>
      <c r="S7855">
        <v>2.9935299999999998</v>
      </c>
      <c r="T7855">
        <v>-0.1063163</v>
      </c>
      <c r="U7855">
        <v>-0.29486079999999998</v>
      </c>
      <c r="V7855">
        <v>3.1124530000000001E-2</v>
      </c>
      <c r="W7855">
        <v>2.768815E-3</v>
      </c>
      <c r="X7855">
        <v>0.9995117</v>
      </c>
      <c r="Y7855">
        <v>0.10842300000000001</v>
      </c>
      <c r="Z7855">
        <v>-2.293036E-3</v>
      </c>
      <c r="AA7855">
        <v>0.99410220000000005</v>
      </c>
      <c r="AB7855">
        <v>26</v>
      </c>
      <c r="AC7855">
        <v>32.544400000000003</v>
      </c>
      <c r="AD7855">
        <v>-1.160274</v>
      </c>
      <c r="AE7855">
        <v>-3.2193000000000001</v>
      </c>
      <c r="AF7855">
        <v>3.5572842993702101</v>
      </c>
      <c r="AG7855">
        <v>-1.160274</v>
      </c>
      <c r="AH7855">
        <v>32.467833250131797</v>
      </c>
      <c r="AI7855">
        <v>92.034492824810201</v>
      </c>
      <c r="AJ7855">
        <v>83.7474222691107</v>
      </c>
      <c r="AK7855">
        <v>32.682727904812097</v>
      </c>
      <c r="AL7855">
        <v>89.841358386810299</v>
      </c>
      <c r="AM7855">
        <v>88.216400938454001</v>
      </c>
      <c r="AN7855">
        <v>1.0000000205705499</v>
      </c>
    </row>
    <row r="7856" spans="1:40" x14ac:dyDescent="0.25">
      <c r="A7856" t="str">
        <f>"20190312154115818"</f>
        <v>20190312154115818</v>
      </c>
      <c r="B7856" t="str">
        <f>"1552376475813839"</f>
        <v>1552376475813839</v>
      </c>
      <c r="C7856" t="s">
        <v>40</v>
      </c>
      <c r="D7856">
        <v>4.3236400000000001</v>
      </c>
      <c r="E7856">
        <v>0.52995749999999997</v>
      </c>
      <c r="F7856" t="s">
        <v>43</v>
      </c>
      <c r="G7856">
        <v>-313.9588</v>
      </c>
      <c r="H7856">
        <v>-0.05</v>
      </c>
      <c r="I7856">
        <v>14.299799999999999</v>
      </c>
      <c r="J7856">
        <v>-346.25420000000003</v>
      </c>
      <c r="K7856">
        <v>1.1102700000000001</v>
      </c>
      <c r="L7856">
        <v>17.519500000000001</v>
      </c>
      <c r="M7856">
        <v>0.99983290000000002</v>
      </c>
      <c r="N7856">
        <v>0</v>
      </c>
      <c r="O7856">
        <v>1.0513939999999999E-2</v>
      </c>
      <c r="P7856">
        <v>0.99971069999999995</v>
      </c>
      <c r="Q7856">
        <v>-1.1964590000000001E-2</v>
      </c>
      <c r="R7856">
        <v>-2.0882939999999999E-2</v>
      </c>
      <c r="S7856">
        <v>2.993439</v>
      </c>
      <c r="T7856">
        <v>-0.1071068</v>
      </c>
      <c r="U7856">
        <v>-0.29708859999999998</v>
      </c>
      <c r="V7856">
        <v>3.139376E-2</v>
      </c>
      <c r="W7856">
        <v>2.995789E-3</v>
      </c>
      <c r="X7856">
        <v>0.99950260000000002</v>
      </c>
      <c r="Y7856">
        <v>0.1091438</v>
      </c>
      <c r="Z7856">
        <v>-2.3224470000000001E-3</v>
      </c>
      <c r="AA7856">
        <v>0.99402330000000005</v>
      </c>
      <c r="AB7856">
        <v>26</v>
      </c>
      <c r="AC7856">
        <v>32.295400000000001</v>
      </c>
      <c r="AD7856">
        <v>-1.1602699999999999</v>
      </c>
      <c r="AE7856">
        <v>-3.2197</v>
      </c>
      <c r="AF7856">
        <v>3.5545690174193498</v>
      </c>
      <c r="AG7856">
        <v>-1.1602699999999999</v>
      </c>
      <c r="AH7856">
        <v>32.218582653228196</v>
      </c>
      <c r="AI7856">
        <v>92.050041845665007</v>
      </c>
      <c r="AJ7856">
        <v>83.704208978557901</v>
      </c>
      <c r="AK7856">
        <v>32.434830900675202</v>
      </c>
      <c r="AL7856">
        <v>89.828353676410103</v>
      </c>
      <c r="AM7856">
        <v>88.200966371689702</v>
      </c>
      <c r="AN7856">
        <v>0.99999999516271498</v>
      </c>
    </row>
    <row r="7857" spans="1:40" x14ac:dyDescent="0.25">
      <c r="A7857" t="str">
        <f>"20190312154115831"</f>
        <v>20190312154115831</v>
      </c>
      <c r="B7857" t="str">
        <f>"1552376475824574"</f>
        <v>1552376475824574</v>
      </c>
      <c r="C7857" t="s">
        <v>40</v>
      </c>
      <c r="D7857">
        <v>4.3319580000000002</v>
      </c>
      <c r="E7857">
        <v>0.53011649999999999</v>
      </c>
      <c r="F7857" t="s">
        <v>43</v>
      </c>
      <c r="G7857">
        <v>-313.90519999999998</v>
      </c>
      <c r="H7857">
        <v>-0.05</v>
      </c>
      <c r="I7857">
        <v>14.275180000000001</v>
      </c>
      <c r="J7857">
        <v>-346.10359999999997</v>
      </c>
      <c r="K7857">
        <v>1.110266</v>
      </c>
      <c r="L7857">
        <v>17.521059999999999</v>
      </c>
      <c r="M7857">
        <v>0.99983299999999997</v>
      </c>
      <c r="N7857">
        <v>0</v>
      </c>
      <c r="O7857">
        <v>1.049223E-2</v>
      </c>
      <c r="P7857">
        <v>0.99970559999999997</v>
      </c>
      <c r="Q7857">
        <v>-1.1931519999999999E-2</v>
      </c>
      <c r="R7857">
        <v>-2.1141750000000001E-2</v>
      </c>
      <c r="S7857">
        <v>2.9932859999999999</v>
      </c>
      <c r="T7857">
        <v>-0.10736080000000001</v>
      </c>
      <c r="U7857">
        <v>-0.30020140000000001</v>
      </c>
      <c r="V7857">
        <v>3.1630900000000003E-2</v>
      </c>
      <c r="W7857">
        <v>3.0248760000000001E-3</v>
      </c>
      <c r="X7857">
        <v>0.99949500000000002</v>
      </c>
      <c r="Y7857">
        <v>0.1101497</v>
      </c>
      <c r="Z7857">
        <v>-2.345162E-3</v>
      </c>
      <c r="AA7857">
        <v>0.99391220000000002</v>
      </c>
      <c r="AB7857">
        <v>26</v>
      </c>
      <c r="AC7857">
        <v>32.1983999999999</v>
      </c>
      <c r="AD7857">
        <v>-1.160266</v>
      </c>
      <c r="AE7857">
        <v>-3.2458800000000001</v>
      </c>
      <c r="AF7857">
        <v>3.5789715426712099</v>
      </c>
      <c r="AG7857">
        <v>-1.160266</v>
      </c>
      <c r="AH7857">
        <v>32.121276600605903</v>
      </c>
      <c r="AI7857">
        <v>92.055993560745904</v>
      </c>
      <c r="AJ7857">
        <v>83.642293341348093</v>
      </c>
      <c r="AK7857">
        <v>32.340866793372101</v>
      </c>
      <c r="AL7857">
        <v>89.826687100308106</v>
      </c>
      <c r="AM7857">
        <v>88.187372214482195</v>
      </c>
      <c r="AN7857">
        <v>0.99999995936731201</v>
      </c>
    </row>
    <row r="7858" spans="1:40" x14ac:dyDescent="0.25">
      <c r="A7858" t="str">
        <f>"20190312154115843"</f>
        <v>20190312154115843</v>
      </c>
      <c r="B7858" t="str">
        <f>"1552376475834335"</f>
        <v>1552376475834335</v>
      </c>
      <c r="C7858" t="s">
        <v>40</v>
      </c>
      <c r="D7858">
        <v>4.3033390000000002</v>
      </c>
      <c r="E7858">
        <v>0.53028949999999997</v>
      </c>
      <c r="F7858" t="s">
        <v>43</v>
      </c>
      <c r="G7858">
        <v>-313.98919999999998</v>
      </c>
      <c r="H7858">
        <v>-0.05</v>
      </c>
      <c r="I7858">
        <v>14.278499999999999</v>
      </c>
      <c r="J7858">
        <v>-345.96359999999999</v>
      </c>
      <c r="K7858">
        <v>1.110258</v>
      </c>
      <c r="L7858">
        <v>17.52252</v>
      </c>
      <c r="M7858">
        <v>0.99983330000000004</v>
      </c>
      <c r="N7858">
        <v>0</v>
      </c>
      <c r="O7858">
        <v>1.0468969999999999E-2</v>
      </c>
      <c r="P7858">
        <v>0.99970479999999995</v>
      </c>
      <c r="Q7858">
        <v>-1.175706E-2</v>
      </c>
      <c r="R7858">
        <v>-2.1269940000000001E-2</v>
      </c>
      <c r="S7858">
        <v>2.9931640000000002</v>
      </c>
      <c r="T7858">
        <v>-0.1081405</v>
      </c>
      <c r="U7858">
        <v>-0.30221559999999997</v>
      </c>
      <c r="V7858">
        <v>3.1736019999999997E-2</v>
      </c>
      <c r="W7858">
        <v>3.1951060000000001E-3</v>
      </c>
      <c r="X7858">
        <v>0.99949120000000002</v>
      </c>
      <c r="Y7858">
        <v>0.11079120000000001</v>
      </c>
      <c r="Z7858">
        <v>-2.3729139999999998E-3</v>
      </c>
      <c r="AA7858">
        <v>0.99384090000000003</v>
      </c>
      <c r="AB7858">
        <v>26</v>
      </c>
      <c r="AC7858">
        <v>31.974399999999999</v>
      </c>
      <c r="AD7858">
        <v>-1.160258</v>
      </c>
      <c r="AE7858">
        <v>-3.2440199999999999</v>
      </c>
      <c r="AF7858">
        <v>3.5739606017948198</v>
      </c>
      <c r="AG7858">
        <v>-1.160258</v>
      </c>
      <c r="AH7858">
        <v>31.897109336177401</v>
      </c>
      <c r="AI7858">
        <v>92.070273038184496</v>
      </c>
      <c r="AJ7858">
        <v>83.606871428160204</v>
      </c>
      <c r="AK7858">
        <v>32.117673904157598</v>
      </c>
      <c r="AL7858">
        <v>89.816933603518095</v>
      </c>
      <c r="AM7858">
        <v>88.181345378452505</v>
      </c>
      <c r="AN7858">
        <v>1.0000000212726099</v>
      </c>
    </row>
    <row r="7859" spans="1:40" x14ac:dyDescent="0.25">
      <c r="A7859" t="str">
        <f>"20190312154115860"</f>
        <v>20190312154115860</v>
      </c>
      <c r="B7859" t="str">
        <f>"1552376475853854"</f>
        <v>1552376475853854</v>
      </c>
      <c r="C7859" t="s">
        <v>40</v>
      </c>
      <c r="D7859">
        <v>4.3920059999999896</v>
      </c>
      <c r="E7859">
        <v>0.53051459999999995</v>
      </c>
      <c r="F7859" t="s">
        <v>43</v>
      </c>
      <c r="G7859">
        <v>-313.91649999999998</v>
      </c>
      <c r="H7859">
        <v>-0.05</v>
      </c>
      <c r="I7859">
        <v>14.26787</v>
      </c>
      <c r="J7859">
        <v>-345.7688</v>
      </c>
      <c r="K7859">
        <v>1.110249</v>
      </c>
      <c r="L7859">
        <v>17.524539999999998</v>
      </c>
      <c r="M7859">
        <v>0.99983379999999999</v>
      </c>
      <c r="N7859">
        <v>0</v>
      </c>
      <c r="O7859">
        <v>1.0431660000000001E-2</v>
      </c>
      <c r="P7859">
        <v>0.99969770000000002</v>
      </c>
      <c r="Q7859">
        <v>-1.160014E-2</v>
      </c>
      <c r="R7859">
        <v>-2.1679839999999999E-2</v>
      </c>
      <c r="S7859">
        <v>2.9931950000000001</v>
      </c>
      <c r="T7859">
        <v>-0.1083679</v>
      </c>
      <c r="U7859">
        <v>-0.30398560000000002</v>
      </c>
      <c r="V7859">
        <v>3.2108739999999997E-2</v>
      </c>
      <c r="W7859">
        <v>3.3472160000000001E-3</v>
      </c>
      <c r="X7859">
        <v>0.9994788</v>
      </c>
      <c r="Y7859">
        <v>0.11133410000000001</v>
      </c>
      <c r="Z7859">
        <v>-2.3862610000000002E-3</v>
      </c>
      <c r="AA7859">
        <v>0.9937802</v>
      </c>
      <c r="AB7859">
        <v>26</v>
      </c>
      <c r="AC7859">
        <v>31.8523</v>
      </c>
      <c r="AD7859">
        <v>-1.1602490000000001</v>
      </c>
      <c r="AE7859">
        <v>-3.25666999999999</v>
      </c>
      <c r="AF7859">
        <v>3.5840959229278102</v>
      </c>
      <c r="AG7859">
        <v>-1.1602490000000001</v>
      </c>
      <c r="AH7859">
        <v>31.774866003172502</v>
      </c>
      <c r="AI7859">
        <v>92.078041765533996</v>
      </c>
      <c r="AJ7859">
        <v>83.564433938072796</v>
      </c>
      <c r="AK7859">
        <v>31.997406626886502</v>
      </c>
      <c r="AL7859">
        <v>89.808218296441495</v>
      </c>
      <c r="AM7859">
        <v>88.159978185359194</v>
      </c>
      <c r="AN7859">
        <v>1.00000002334438</v>
      </c>
    </row>
    <row r="7860" spans="1:40" x14ac:dyDescent="0.25">
      <c r="A7860" t="str">
        <f>"20190312154115872"</f>
        <v>20190312154115872</v>
      </c>
      <c r="B7860" t="str">
        <f>"1552376475864591"</f>
        <v>1552376475864591</v>
      </c>
      <c r="C7860" t="s">
        <v>40</v>
      </c>
      <c r="D7860">
        <v>4.3872839999999904</v>
      </c>
      <c r="E7860">
        <v>0.53059769999999995</v>
      </c>
      <c r="F7860" t="s">
        <v>43</v>
      </c>
      <c r="G7860">
        <v>-314.50479999999999</v>
      </c>
      <c r="H7860">
        <v>-0.05</v>
      </c>
      <c r="I7860">
        <v>14.318569999999999</v>
      </c>
      <c r="J7860">
        <v>-345.62209999999999</v>
      </c>
      <c r="K7860">
        <v>1.110242</v>
      </c>
      <c r="L7860">
        <v>17.526</v>
      </c>
      <c r="M7860">
        <v>0.99983420000000001</v>
      </c>
      <c r="N7860">
        <v>0</v>
      </c>
      <c r="O7860">
        <v>1.039939E-2</v>
      </c>
      <c r="P7860">
        <v>0.99969790000000003</v>
      </c>
      <c r="Q7860">
        <v>-1.1624209999999999E-2</v>
      </c>
      <c r="R7860">
        <v>-2.1664639999999999E-2</v>
      </c>
      <c r="S7860">
        <v>2.9929809999999999</v>
      </c>
      <c r="T7860">
        <v>-0.1110733</v>
      </c>
      <c r="U7860">
        <v>-0.3069153</v>
      </c>
      <c r="V7860">
        <v>3.2061249999999999E-2</v>
      </c>
      <c r="W7860">
        <v>3.319083E-3</v>
      </c>
      <c r="X7860">
        <v>0.99948040000000005</v>
      </c>
      <c r="Y7860">
        <v>0.1122673</v>
      </c>
      <c r="Z7860">
        <v>-2.4619160000000002E-3</v>
      </c>
      <c r="AA7860">
        <v>0.99367499999999997</v>
      </c>
      <c r="AB7860">
        <v>26</v>
      </c>
      <c r="AC7860">
        <v>31.1173</v>
      </c>
      <c r="AD7860">
        <v>-1.160242</v>
      </c>
      <c r="AE7860">
        <v>-3.2074299999999898</v>
      </c>
      <c r="AF7860">
        <v>3.52604306239843</v>
      </c>
      <c r="AG7860">
        <v>-1.160242</v>
      </c>
      <c r="AH7860">
        <v>31.039558777984301</v>
      </c>
      <c r="AI7860">
        <v>92.127021275391499</v>
      </c>
      <c r="AJ7860">
        <v>83.519075840640099</v>
      </c>
      <c r="AK7860">
        <v>31.260731762202798</v>
      </c>
      <c r="AL7860">
        <v>89.809830204039002</v>
      </c>
      <c r="AM7860">
        <v>88.162700717439094</v>
      </c>
      <c r="AN7860">
        <v>1.00000000502384</v>
      </c>
    </row>
    <row r="7861" spans="1:40" x14ac:dyDescent="0.25">
      <c r="A7861" t="str">
        <f>"20190312154115884"</f>
        <v>20190312154115884</v>
      </c>
      <c r="B7861" t="str">
        <f>"1552376475874350"</f>
        <v>1552376475874350</v>
      </c>
      <c r="C7861" t="s">
        <v>40</v>
      </c>
      <c r="D7861">
        <v>4.3816860000000002</v>
      </c>
      <c r="E7861">
        <v>0.53067730000000002</v>
      </c>
      <c r="F7861" t="s">
        <v>43</v>
      </c>
      <c r="G7861">
        <v>-314.8621</v>
      </c>
      <c r="H7861">
        <v>-0.05</v>
      </c>
      <c r="I7861">
        <v>14.365740000000001</v>
      </c>
      <c r="J7861">
        <v>-345.49869999999999</v>
      </c>
      <c r="K7861">
        <v>1.1102379999999901</v>
      </c>
      <c r="L7861">
        <v>17.527249999999999</v>
      </c>
      <c r="M7861">
        <v>0.99983460000000002</v>
      </c>
      <c r="N7861">
        <v>0</v>
      </c>
      <c r="O7861">
        <v>1.0369639999999999E-2</v>
      </c>
      <c r="P7861">
        <v>0.99969300000000005</v>
      </c>
      <c r="Q7861">
        <v>-1.170591E-2</v>
      </c>
      <c r="R7861">
        <v>-2.1840729999999999E-2</v>
      </c>
      <c r="S7861">
        <v>2.99295</v>
      </c>
      <c r="T7861">
        <v>-0.1128918</v>
      </c>
      <c r="U7861">
        <v>-0.30749510000000002</v>
      </c>
      <c r="V7861">
        <v>3.2207670000000001E-2</v>
      </c>
      <c r="W7861">
        <v>3.2342059999999999E-3</v>
      </c>
      <c r="X7861">
        <v>0.99947600000000003</v>
      </c>
      <c r="Y7861">
        <v>0.1124264</v>
      </c>
      <c r="Z7861">
        <v>-2.5040679999999999E-3</v>
      </c>
      <c r="AA7861">
        <v>0.99365689999999995</v>
      </c>
      <c r="AB7861">
        <v>26</v>
      </c>
      <c r="AC7861">
        <v>30.636599999999898</v>
      </c>
      <c r="AD7861">
        <v>-1.1602380000000001</v>
      </c>
      <c r="AE7861">
        <v>-3.1615099999999998</v>
      </c>
      <c r="AF7861">
        <v>3.4741358169818701</v>
      </c>
      <c r="AG7861">
        <v>-1.1602380000000001</v>
      </c>
      <c r="AH7861">
        <v>30.558799077798302</v>
      </c>
      <c r="AI7861">
        <v>92.160423826662907</v>
      </c>
      <c r="AJ7861">
        <v>83.514066454204894</v>
      </c>
      <c r="AK7861">
        <v>30.777523827766402</v>
      </c>
      <c r="AL7861">
        <v>89.814693329431705</v>
      </c>
      <c r="AM7861">
        <v>88.1543076559431</v>
      </c>
      <c r="AN7861">
        <v>1.0000000343356299</v>
      </c>
    </row>
    <row r="7862" spans="1:40" x14ac:dyDescent="0.25">
      <c r="A7862" t="str">
        <f>"20190312154115893"</f>
        <v>20190312154115893</v>
      </c>
      <c r="B7862" t="str">
        <f>"1552376475884111"</f>
        <v>1552376475884111</v>
      </c>
      <c r="C7862" t="s">
        <v>40</v>
      </c>
      <c r="D7862">
        <v>4.3973079999999998</v>
      </c>
      <c r="E7862">
        <v>0.53077779999999997</v>
      </c>
      <c r="F7862" t="s">
        <v>43</v>
      </c>
      <c r="G7862">
        <v>-315.13299999999998</v>
      </c>
      <c r="H7862">
        <v>-0.05</v>
      </c>
      <c r="I7862">
        <v>14.395860000000001</v>
      </c>
      <c r="J7862">
        <v>-345.37810000000002</v>
      </c>
      <c r="K7862">
        <v>1.1102350000000001</v>
      </c>
      <c r="L7862">
        <v>17.528500000000001</v>
      </c>
      <c r="M7862">
        <v>0.99983480000000002</v>
      </c>
      <c r="N7862">
        <v>0</v>
      </c>
      <c r="O7862">
        <v>1.0339009999999999E-2</v>
      </c>
      <c r="P7862">
        <v>0.99968769999999996</v>
      </c>
      <c r="Q7862">
        <v>-1.173188E-2</v>
      </c>
      <c r="R7862">
        <v>-2.2066309999999999E-2</v>
      </c>
      <c r="S7862">
        <v>2.9927980000000001</v>
      </c>
      <c r="T7862">
        <v>-0.11435099999999999</v>
      </c>
      <c r="U7862">
        <v>-0.30862430000000002</v>
      </c>
      <c r="V7862">
        <v>3.2402559999999997E-2</v>
      </c>
      <c r="W7862">
        <v>3.2051190000000002E-3</v>
      </c>
      <c r="X7862">
        <v>0.99946979999999996</v>
      </c>
      <c r="Y7862">
        <v>0.1127696</v>
      </c>
      <c r="Z7862">
        <v>-2.5418609999999999E-3</v>
      </c>
      <c r="AA7862">
        <v>0.99361790000000005</v>
      </c>
      <c r="AB7862">
        <v>26</v>
      </c>
      <c r="AC7862">
        <v>30.245100000000001</v>
      </c>
      <c r="AD7862">
        <v>-1.1602349999999999</v>
      </c>
      <c r="AE7862">
        <v>-3.1326399999999999</v>
      </c>
      <c r="AF7862">
        <v>3.4402030870087299</v>
      </c>
      <c r="AG7862">
        <v>-1.1602349999999999</v>
      </c>
      <c r="AH7862">
        <v>30.167169041403</v>
      </c>
      <c r="AI7862">
        <v>92.188351416941202</v>
      </c>
      <c r="AJ7862">
        <v>83.494209640184096</v>
      </c>
      <c r="AK7862">
        <v>30.384851990879799</v>
      </c>
      <c r="AL7862">
        <v>89.816359901372607</v>
      </c>
      <c r="AM7862">
        <v>88.143135576343795</v>
      </c>
      <c r="AN7862">
        <v>1.00000003989719</v>
      </c>
    </row>
    <row r="7863" spans="1:40" x14ac:dyDescent="0.25">
      <c r="A7863" t="str">
        <f>"20190312154115905"</f>
        <v>20190312154115905</v>
      </c>
      <c r="B7863" t="str">
        <f>"1552376475893871"</f>
        <v>1552376475893871</v>
      </c>
      <c r="C7863" t="s">
        <v>40</v>
      </c>
      <c r="D7863">
        <v>4.389621</v>
      </c>
      <c r="E7863">
        <v>0.53085300000000002</v>
      </c>
      <c r="F7863" t="s">
        <v>43</v>
      </c>
      <c r="G7863">
        <v>-315.3784</v>
      </c>
      <c r="H7863">
        <v>-0.05</v>
      </c>
      <c r="I7863">
        <v>14.420120000000001</v>
      </c>
      <c r="J7863">
        <v>-345.26</v>
      </c>
      <c r="K7863">
        <v>1.1102289999999999</v>
      </c>
      <c r="L7863">
        <v>17.52966</v>
      </c>
      <c r="M7863">
        <v>0.99983520000000004</v>
      </c>
      <c r="N7863">
        <v>0</v>
      </c>
      <c r="O7863">
        <v>1.030612E-2</v>
      </c>
      <c r="P7863">
        <v>0.99968089999999998</v>
      </c>
      <c r="Q7863">
        <v>-1.185252E-2</v>
      </c>
      <c r="R7863">
        <v>-2.230468E-2</v>
      </c>
      <c r="S7863">
        <v>2.992737</v>
      </c>
      <c r="T7863">
        <v>-0.115743899999999</v>
      </c>
      <c r="U7863">
        <v>-0.31008909999999901</v>
      </c>
      <c r="V7863">
        <v>3.2608119999999997E-2</v>
      </c>
      <c r="W7863">
        <v>3.0806649999999998E-3</v>
      </c>
      <c r="X7863">
        <v>0.9994634</v>
      </c>
      <c r="Y7863">
        <v>0.1132177</v>
      </c>
      <c r="Z7863">
        <v>-2.5801579999999999E-3</v>
      </c>
      <c r="AA7863">
        <v>0.99356690000000003</v>
      </c>
      <c r="AB7863">
        <v>26</v>
      </c>
      <c r="AC7863">
        <v>29.881599999999899</v>
      </c>
      <c r="AD7863">
        <v>-1.160229</v>
      </c>
      <c r="AE7863">
        <v>-3.1095399999999902</v>
      </c>
      <c r="AF7863">
        <v>3.4122833985292802</v>
      </c>
      <c r="AG7863">
        <v>-1.160229</v>
      </c>
      <c r="AH7863">
        <v>29.803512006658298</v>
      </c>
      <c r="AI7863">
        <v>92.214901923033693</v>
      </c>
      <c r="AJ7863">
        <v>83.468494217632497</v>
      </c>
      <c r="AK7863">
        <v>30.020645183862101</v>
      </c>
      <c r="AL7863">
        <v>89.823490606555794</v>
      </c>
      <c r="AM7863">
        <v>88.131352101831695</v>
      </c>
      <c r="AN7863">
        <v>0.999999933963166</v>
      </c>
    </row>
    <row r="7864" spans="1:40" x14ac:dyDescent="0.25">
      <c r="A7864" t="str">
        <f>"20190312154115915"</f>
        <v>20190312154115915</v>
      </c>
      <c r="B7864" t="str">
        <f>"1552376475903632"</f>
        <v>1552376475903632</v>
      </c>
      <c r="C7864" t="s">
        <v>40</v>
      </c>
      <c r="D7864">
        <v>4.3891229999999997</v>
      </c>
      <c r="E7864">
        <v>0.53092090000000003</v>
      </c>
      <c r="F7864" t="s">
        <v>43</v>
      </c>
      <c r="G7864">
        <v>-315.60879999999997</v>
      </c>
      <c r="H7864">
        <v>-0.05</v>
      </c>
      <c r="I7864">
        <v>14.444900000000001</v>
      </c>
      <c r="J7864">
        <v>-345.13440000000003</v>
      </c>
      <c r="K7864">
        <v>1.110225</v>
      </c>
      <c r="L7864">
        <v>17.530940000000001</v>
      </c>
      <c r="M7864">
        <v>0.99983560000000005</v>
      </c>
      <c r="N7864">
        <v>0</v>
      </c>
      <c r="O7864">
        <v>1.0269840000000001E-2</v>
      </c>
      <c r="P7864">
        <v>0.99967470000000003</v>
      </c>
      <c r="Q7864">
        <v>-1.174566E-2</v>
      </c>
      <c r="R7864">
        <v>-2.263389E-2</v>
      </c>
      <c r="S7864">
        <v>2.992645</v>
      </c>
      <c r="T7864">
        <v>-0.11709990000000001</v>
      </c>
      <c r="U7864">
        <v>-0.31134030000000001</v>
      </c>
      <c r="V7864">
        <v>3.2901050000000001E-2</v>
      </c>
      <c r="W7864">
        <v>3.184138E-3</v>
      </c>
      <c r="X7864">
        <v>0.99945349999999999</v>
      </c>
      <c r="Y7864">
        <v>0.11359329999999999</v>
      </c>
      <c r="Z7864">
        <v>-2.6162970000000001E-3</v>
      </c>
      <c r="AA7864">
        <v>0.99352390000000002</v>
      </c>
      <c r="AB7864">
        <v>26</v>
      </c>
      <c r="AC7864">
        <v>29.525600000000001</v>
      </c>
      <c r="AD7864">
        <v>-1.1602250000000001</v>
      </c>
      <c r="AE7864">
        <v>-3.0860400000000001</v>
      </c>
      <c r="AF7864">
        <v>3.38396541426158</v>
      </c>
      <c r="AG7864">
        <v>-1.1602250000000001</v>
      </c>
      <c r="AH7864">
        <v>29.447366403402601</v>
      </c>
      <c r="AI7864">
        <v>92.241547493946598</v>
      </c>
      <c r="AJ7864">
        <v>83.444569309104807</v>
      </c>
      <c r="AK7864">
        <v>29.663862393016</v>
      </c>
      <c r="AL7864">
        <v>89.817562015312205</v>
      </c>
      <c r="AM7864">
        <v>88.114558792130694</v>
      </c>
      <c r="AN7864">
        <v>0.99999995824407695</v>
      </c>
    </row>
    <row r="7865" spans="1:40" x14ac:dyDescent="0.25">
      <c r="A7865" t="str">
        <f>"20190312154115926"</f>
        <v>20190312154115926</v>
      </c>
      <c r="B7865" t="str">
        <f>"1552376475914367"</f>
        <v>1552376475914367</v>
      </c>
      <c r="C7865" t="s">
        <v>40</v>
      </c>
      <c r="D7865">
        <v>4.3783940000000001</v>
      </c>
      <c r="E7865">
        <v>0.53099909999999995</v>
      </c>
      <c r="F7865" t="s">
        <v>43</v>
      </c>
      <c r="G7865">
        <v>-315.69450000000001</v>
      </c>
      <c r="H7865">
        <v>-0.05</v>
      </c>
      <c r="I7865">
        <v>14.45299</v>
      </c>
      <c r="J7865">
        <v>-345.01549999999997</v>
      </c>
      <c r="K7865">
        <v>1.110225</v>
      </c>
      <c r="L7865">
        <v>17.5321</v>
      </c>
      <c r="M7865">
        <v>0.99983599999999995</v>
      </c>
      <c r="N7865">
        <v>0</v>
      </c>
      <c r="O7865">
        <v>1.023263E-2</v>
      </c>
      <c r="P7865">
        <v>0.99966460000000001</v>
      </c>
      <c r="Q7865">
        <v>-1.1741069999999999E-2</v>
      </c>
      <c r="R7865">
        <v>-2.3085540000000002E-2</v>
      </c>
      <c r="S7865">
        <v>2.9924930000000001</v>
      </c>
      <c r="T7865">
        <v>-0.11793389999999999</v>
      </c>
      <c r="U7865">
        <v>-0.31286619999999998</v>
      </c>
      <c r="V7865">
        <v>3.3315200000000003E-2</v>
      </c>
      <c r="W7865">
        <v>3.1855690000000001E-3</v>
      </c>
      <c r="X7865">
        <v>0.99943979999999999</v>
      </c>
      <c r="Y7865">
        <v>0.114061</v>
      </c>
      <c r="Z7865">
        <v>-2.642705E-3</v>
      </c>
      <c r="AA7865">
        <v>0.99347030000000003</v>
      </c>
      <c r="AB7865">
        <v>26</v>
      </c>
      <c r="AC7865">
        <v>29.320999999999898</v>
      </c>
      <c r="AD7865">
        <v>-1.1602250000000001</v>
      </c>
      <c r="AE7865">
        <v>-3.07911</v>
      </c>
      <c r="AF7865">
        <v>3.3737882581954399</v>
      </c>
      <c r="AG7865">
        <v>-1.1602250000000001</v>
      </c>
      <c r="AH7865">
        <v>29.242665907142801</v>
      </c>
      <c r="AI7865">
        <v>92.257105350228997</v>
      </c>
      <c r="AJ7865">
        <v>83.418762069367304</v>
      </c>
      <c r="AK7865">
        <v>29.4594989539628</v>
      </c>
      <c r="AL7865">
        <v>89.817480028988996</v>
      </c>
      <c r="AM7865">
        <v>88.090816644299593</v>
      </c>
      <c r="AN7865">
        <v>0.99999998211246599</v>
      </c>
    </row>
    <row r="7866" spans="1:40" x14ac:dyDescent="0.25">
      <c r="A7866" t="str">
        <f>"20190312154115936"</f>
        <v>20190312154115936</v>
      </c>
      <c r="B7866" t="str">
        <f>"1552376475924127"</f>
        <v>1552376475924127</v>
      </c>
      <c r="C7866" t="s">
        <v>40</v>
      </c>
      <c r="D7866">
        <v>4.3954040000000001</v>
      </c>
      <c r="E7866">
        <v>0.53105829999999998</v>
      </c>
      <c r="F7866" t="s">
        <v>43</v>
      </c>
      <c r="G7866">
        <v>-315.92059999999998</v>
      </c>
      <c r="H7866">
        <v>-0.05</v>
      </c>
      <c r="I7866">
        <v>14.47139</v>
      </c>
      <c r="J7866">
        <v>-344.89260000000002</v>
      </c>
      <c r="K7866">
        <v>1.1102240000000001</v>
      </c>
      <c r="L7866">
        <v>17.533290000000001</v>
      </c>
      <c r="M7866">
        <v>0.99983650000000002</v>
      </c>
      <c r="N7866">
        <v>0</v>
      </c>
      <c r="O7866">
        <v>1.0193519999999999E-2</v>
      </c>
      <c r="P7866">
        <v>0.9996604</v>
      </c>
      <c r="Q7866">
        <v>-1.1620149999999999E-2</v>
      </c>
      <c r="R7866">
        <v>-2.3328189999999999E-2</v>
      </c>
      <c r="S7866">
        <v>2.99234</v>
      </c>
      <c r="T7866">
        <v>-0.1193264</v>
      </c>
      <c r="U7866">
        <v>-0.31478879999999998</v>
      </c>
      <c r="V7866">
        <v>3.351875E-2</v>
      </c>
      <c r="W7866">
        <v>3.3033469999999999E-3</v>
      </c>
      <c r="X7866">
        <v>0.9994326</v>
      </c>
      <c r="Y7866">
        <v>0.11465599999999999</v>
      </c>
      <c r="Z7866">
        <v>-2.6842020000000001E-3</v>
      </c>
      <c r="AA7866">
        <v>0.9934016</v>
      </c>
      <c r="AB7866">
        <v>26</v>
      </c>
      <c r="AC7866">
        <v>28.972000000000001</v>
      </c>
      <c r="AD7866">
        <v>-1.1602239999999999</v>
      </c>
      <c r="AE7866">
        <v>-3.0619000000000001</v>
      </c>
      <c r="AF7866">
        <v>3.3517845616864199</v>
      </c>
      <c r="AG7866">
        <v>-1.1602239999999999</v>
      </c>
      <c r="AH7866">
        <v>28.893454409562899</v>
      </c>
      <c r="AI7866">
        <v>92.284189578894797</v>
      </c>
      <c r="AJ7866">
        <v>83.382980634482706</v>
      </c>
      <c r="AK7866">
        <v>29.1103467378117</v>
      </c>
      <c r="AL7866">
        <v>89.810731808795794</v>
      </c>
      <c r="AM7866">
        <v>88.079146754717598</v>
      </c>
      <c r="AN7866">
        <v>0.99999997032286103</v>
      </c>
    </row>
    <row r="7867" spans="1:40" x14ac:dyDescent="0.25">
      <c r="A7867" t="str">
        <f>"20190312154115949"</f>
        <v>20190312154115949</v>
      </c>
      <c r="B7867" t="str">
        <f>"1552376475943647"</f>
        <v>1552376475943647</v>
      </c>
      <c r="C7867" t="s">
        <v>40</v>
      </c>
      <c r="D7867">
        <v>4.3950089999999999</v>
      </c>
      <c r="E7867">
        <v>0.53117890000000001</v>
      </c>
      <c r="F7867" t="s">
        <v>43</v>
      </c>
      <c r="G7867">
        <v>-316.0378</v>
      </c>
      <c r="H7867">
        <v>-0.05</v>
      </c>
      <c r="I7867">
        <v>14.48625</v>
      </c>
      <c r="J7867">
        <v>-344.76089999999999</v>
      </c>
      <c r="K7867">
        <v>1.1102240000000001</v>
      </c>
      <c r="L7867">
        <v>17.534610000000001</v>
      </c>
      <c r="M7867">
        <v>0.99983699999999998</v>
      </c>
      <c r="N7867">
        <v>0</v>
      </c>
      <c r="O7867">
        <v>1.014905E-2</v>
      </c>
      <c r="P7867">
        <v>0.99965159999999997</v>
      </c>
      <c r="Q7867">
        <v>-1.1644170000000001E-2</v>
      </c>
      <c r="R7867">
        <v>-2.36939E-2</v>
      </c>
      <c r="S7867">
        <v>2.9922490000000002</v>
      </c>
      <c r="T7867">
        <v>-0.1203157</v>
      </c>
      <c r="U7867">
        <v>-0.31597900000000001</v>
      </c>
      <c r="V7867">
        <v>3.3839889999999997E-2</v>
      </c>
      <c r="W7867">
        <v>3.2756909999999998E-3</v>
      </c>
      <c r="X7867">
        <v>0.99942189999999997</v>
      </c>
      <c r="Y7867">
        <v>0.11500390000000001</v>
      </c>
      <c r="Z7867">
        <v>-2.711654E-3</v>
      </c>
      <c r="AA7867">
        <v>0.99336139999999995</v>
      </c>
      <c r="AB7867">
        <v>26</v>
      </c>
      <c r="AC7867">
        <v>28.723099999999899</v>
      </c>
      <c r="AD7867">
        <v>-1.1602239999999999</v>
      </c>
      <c r="AE7867">
        <v>-3.0483600000000002</v>
      </c>
      <c r="AF7867">
        <v>3.3343677968741301</v>
      </c>
      <c r="AG7867">
        <v>-1.1602239999999999</v>
      </c>
      <c r="AH7867">
        <v>28.644462395987901</v>
      </c>
      <c r="AI7867">
        <v>92.303917950259006</v>
      </c>
      <c r="AJ7867">
        <v>83.360348411056904</v>
      </c>
      <c r="AK7867">
        <v>28.861208468984302</v>
      </c>
      <c r="AL7867">
        <v>89.812316395299604</v>
      </c>
      <c r="AM7867">
        <v>88.060736478998706</v>
      </c>
      <c r="AN7867">
        <v>1.00000000125317</v>
      </c>
    </row>
    <row r="7868" spans="1:40" x14ac:dyDescent="0.25">
      <c r="A7868" t="str">
        <f>"20190312154115960"</f>
        <v>20190312154115960</v>
      </c>
      <c r="B7868" t="str">
        <f>"1552376475954383"</f>
        <v>1552376475954383</v>
      </c>
      <c r="C7868" t="s">
        <v>40</v>
      </c>
      <c r="D7868">
        <v>4.4079569999999997</v>
      </c>
      <c r="E7868">
        <v>0.53125889999999998</v>
      </c>
      <c r="F7868" t="s">
        <v>43</v>
      </c>
      <c r="G7868">
        <v>-316.56619999999998</v>
      </c>
      <c r="H7868">
        <v>-0.05</v>
      </c>
      <c r="I7868">
        <v>14.5381</v>
      </c>
      <c r="J7868">
        <v>-344.63010000000003</v>
      </c>
      <c r="K7868">
        <v>1.1102240000000001</v>
      </c>
      <c r="L7868">
        <v>17.535889999999998</v>
      </c>
      <c r="M7868">
        <v>0.99983750000000005</v>
      </c>
      <c r="N7868">
        <v>0</v>
      </c>
      <c r="O7868">
        <v>1.010465E-2</v>
      </c>
      <c r="P7868">
        <v>0.99964339999999996</v>
      </c>
      <c r="Q7868">
        <v>-1.1446710000000001E-2</v>
      </c>
      <c r="R7868">
        <v>-2.4133310000000002E-2</v>
      </c>
      <c r="S7868">
        <v>2.9920650000000002</v>
      </c>
      <c r="T7868">
        <v>-0.1231247</v>
      </c>
      <c r="U7868">
        <v>-0.31799319999999998</v>
      </c>
      <c r="V7868">
        <v>3.4234870000000001E-2</v>
      </c>
      <c r="W7868">
        <v>3.4697619999999999E-3</v>
      </c>
      <c r="X7868">
        <v>0.99940779999999996</v>
      </c>
      <c r="Y7868">
        <v>0.11562219999999999</v>
      </c>
      <c r="Z7868">
        <v>-2.7858399999999999E-3</v>
      </c>
      <c r="AA7868">
        <v>0.99328939999999999</v>
      </c>
      <c r="AB7868">
        <v>25</v>
      </c>
      <c r="AC7868">
        <v>28.0639</v>
      </c>
      <c r="AD7868">
        <v>-1.1602239999999999</v>
      </c>
      <c r="AE7868">
        <v>-2.99778999999999</v>
      </c>
      <c r="AF7868">
        <v>3.2757088019408802</v>
      </c>
      <c r="AG7868">
        <v>-1.1602239999999999</v>
      </c>
      <c r="AH7868">
        <v>27.984880373949998</v>
      </c>
      <c r="AI7868">
        <v>92.357983289725496</v>
      </c>
      <c r="AJ7868">
        <v>83.323748803829901</v>
      </c>
      <c r="AK7868">
        <v>28.199821230454301</v>
      </c>
      <c r="AL7868">
        <v>89.801196884194596</v>
      </c>
      <c r="AM7868">
        <v>88.038091278372505</v>
      </c>
      <c r="AN7868">
        <v>1.0000000081365401</v>
      </c>
    </row>
    <row r="7869" spans="1:40" x14ac:dyDescent="0.25">
      <c r="A7869" t="str">
        <f>"20190312154115971"</f>
        <v>20190312154115971</v>
      </c>
      <c r="B7869" t="str">
        <f>"1552376475964143"</f>
        <v>1552376475964143</v>
      </c>
      <c r="C7869" t="s">
        <v>40</v>
      </c>
      <c r="D7869">
        <v>4.3972600000000002</v>
      </c>
      <c r="E7869">
        <v>0.53133180000000002</v>
      </c>
      <c r="F7869" t="s">
        <v>43</v>
      </c>
      <c r="G7869">
        <v>-316.62459999999999</v>
      </c>
      <c r="H7869">
        <v>-0.05</v>
      </c>
      <c r="I7869">
        <v>14.54167</v>
      </c>
      <c r="J7869">
        <v>-344.49599999999998</v>
      </c>
      <c r="K7869">
        <v>1.1102259999999999</v>
      </c>
      <c r="L7869">
        <v>17.53717</v>
      </c>
      <c r="M7869">
        <v>0.99983809999999995</v>
      </c>
      <c r="N7869">
        <v>0</v>
      </c>
      <c r="O7869">
        <v>1.005818E-2</v>
      </c>
      <c r="P7869">
        <v>0.99964430000000004</v>
      </c>
      <c r="Q7869">
        <v>-1.119064E-2</v>
      </c>
      <c r="R7869">
        <v>-2.4211139999999999E-2</v>
      </c>
      <c r="S7869">
        <v>2.991943</v>
      </c>
      <c r="T7869">
        <v>-0.1239516</v>
      </c>
      <c r="U7869">
        <v>-0.31988529999999998</v>
      </c>
      <c r="V7869">
        <v>3.4266240000000003E-2</v>
      </c>
      <c r="W7869">
        <v>3.7224850000000002E-3</v>
      </c>
      <c r="X7869">
        <v>0.99940580000000001</v>
      </c>
      <c r="Y7869">
        <v>0.116199499999999</v>
      </c>
      <c r="Z7869">
        <v>-2.8145539999999999E-3</v>
      </c>
      <c r="AA7869">
        <v>0.99322189999999999</v>
      </c>
      <c r="AB7869">
        <v>25</v>
      </c>
      <c r="AC7869">
        <v>27.871399999999898</v>
      </c>
      <c r="AD7869">
        <v>-1.160226</v>
      </c>
      <c r="AE7869">
        <v>-2.9954999999999901</v>
      </c>
      <c r="AF7869">
        <v>3.27011321156896</v>
      </c>
      <c r="AG7869">
        <v>-1.160226</v>
      </c>
      <c r="AH7869">
        <v>27.7922466053795</v>
      </c>
      <c r="AI7869">
        <v>92.374144943820795</v>
      </c>
      <c r="AJ7869">
        <v>83.289274299622207</v>
      </c>
      <c r="AK7869">
        <v>28.008011999457999</v>
      </c>
      <c r="AL7869">
        <v>89.786716826042195</v>
      </c>
      <c r="AM7869">
        <v>88.036291027834906</v>
      </c>
      <c r="AN7869">
        <v>0.99999999258597605</v>
      </c>
    </row>
    <row r="7870" spans="1:40" x14ac:dyDescent="0.25">
      <c r="A7870" t="str">
        <f>"20190312154115984"</f>
        <v>20190312154115984</v>
      </c>
      <c r="B7870" t="str">
        <f>"1552376475973903"</f>
        <v>1552376475973903</v>
      </c>
      <c r="C7870" t="s">
        <v>40</v>
      </c>
      <c r="D7870">
        <v>4.3851009999999997</v>
      </c>
      <c r="E7870">
        <v>0.5314065</v>
      </c>
      <c r="F7870" t="s">
        <v>43</v>
      </c>
      <c r="G7870">
        <v>-316.63389999999998</v>
      </c>
      <c r="H7870">
        <v>-0.05</v>
      </c>
      <c r="I7870">
        <v>14.55086</v>
      </c>
      <c r="J7870">
        <v>-344.36290000000002</v>
      </c>
      <c r="K7870">
        <v>1.1102270000000001</v>
      </c>
      <c r="L7870">
        <v>17.53848</v>
      </c>
      <c r="M7870">
        <v>0.99983849999999996</v>
      </c>
      <c r="N7870">
        <v>0</v>
      </c>
      <c r="O7870">
        <v>1.001177E-2</v>
      </c>
      <c r="P7870">
        <v>0.99964050000000004</v>
      </c>
      <c r="Q7870">
        <v>-1.1055560000000001E-2</v>
      </c>
      <c r="R7870">
        <v>-2.4429340000000001E-2</v>
      </c>
      <c r="S7870">
        <v>2.9919129999999998</v>
      </c>
      <c r="T7870">
        <v>-0.1245885</v>
      </c>
      <c r="U7870">
        <v>-0.32067869999999998</v>
      </c>
      <c r="V7870">
        <v>3.4438160000000002E-2</v>
      </c>
      <c r="W7870">
        <v>3.854091E-3</v>
      </c>
      <c r="X7870">
        <v>0.99939940000000005</v>
      </c>
      <c r="Y7870">
        <v>0.11641360000000001</v>
      </c>
      <c r="Z7870">
        <v>-2.8315089999999998E-3</v>
      </c>
      <c r="AA7870">
        <v>0.99319679999999999</v>
      </c>
      <c r="AB7870">
        <v>25</v>
      </c>
      <c r="AC7870">
        <v>27.728999999999999</v>
      </c>
      <c r="AD7870">
        <v>-1.1602269999999999</v>
      </c>
      <c r="AE7870">
        <v>-2.9876200000000002</v>
      </c>
      <c r="AF7870">
        <v>3.2594765657542202</v>
      </c>
      <c r="AG7870">
        <v>-1.1602269999999999</v>
      </c>
      <c r="AH7870">
        <v>27.6498435123993</v>
      </c>
      <c r="AI7870">
        <v>92.386299020953501</v>
      </c>
      <c r="AJ7870">
        <v>83.276768233480794</v>
      </c>
      <c r="AK7870">
        <v>27.865465372650799</v>
      </c>
      <c r="AL7870">
        <v>89.779176305328704</v>
      </c>
      <c r="AM7870">
        <v>88.026433883655997</v>
      </c>
      <c r="AN7870">
        <v>1.0000000008009899</v>
      </c>
    </row>
    <row r="7871" spans="1:40" x14ac:dyDescent="0.25">
      <c r="A7871" t="str">
        <f>"20190312154116009"</f>
        <v>20190312154116009</v>
      </c>
      <c r="B7871" t="str">
        <f>"1552376476004159"</f>
        <v>1552376476004159</v>
      </c>
      <c r="C7871" t="s">
        <v>40</v>
      </c>
      <c r="D7871">
        <v>4.3627909999999996</v>
      </c>
      <c r="E7871">
        <v>0.53457219999999905</v>
      </c>
      <c r="F7871" t="s">
        <v>43</v>
      </c>
      <c r="G7871">
        <v>-316.69220000000001</v>
      </c>
      <c r="H7871">
        <v>-0.05</v>
      </c>
      <c r="I7871">
        <v>14.56155</v>
      </c>
      <c r="J7871">
        <v>-344.08179999999999</v>
      </c>
      <c r="K7871">
        <v>1.110228</v>
      </c>
      <c r="L7871">
        <v>17.5412</v>
      </c>
      <c r="M7871">
        <v>0.9998397</v>
      </c>
      <c r="N7871">
        <v>0</v>
      </c>
      <c r="O7871">
        <v>9.9141899999999998E-3</v>
      </c>
      <c r="P7871">
        <v>0.99962709999999999</v>
      </c>
      <c r="Q7871">
        <v>-1.111904E-2</v>
      </c>
      <c r="R7871">
        <v>-2.494528E-2</v>
      </c>
      <c r="S7871">
        <v>2.9917910000000001</v>
      </c>
      <c r="T7871">
        <v>-0.1254451</v>
      </c>
      <c r="U7871">
        <v>-0.32186890000000001</v>
      </c>
      <c r="V7871">
        <v>3.485622E-2</v>
      </c>
      <c r="W7871">
        <v>3.783996E-3</v>
      </c>
      <c r="X7871">
        <v>0.99938519999999997</v>
      </c>
      <c r="Y7871">
        <v>0.11670990000000001</v>
      </c>
      <c r="Z7871">
        <v>-2.8531279999999999E-3</v>
      </c>
      <c r="AA7871">
        <v>0.99316199999999999</v>
      </c>
      <c r="AB7871">
        <v>25</v>
      </c>
      <c r="AC7871">
        <v>27.389599999999898</v>
      </c>
      <c r="AD7871">
        <v>-1.160228</v>
      </c>
      <c r="AE7871">
        <v>-2.9796499999999901</v>
      </c>
      <c r="AF7871">
        <v>3.24532416593089</v>
      </c>
      <c r="AG7871">
        <v>-1.160228</v>
      </c>
      <c r="AH7871">
        <v>27.310277554051002</v>
      </c>
      <c r="AI7871">
        <v>92.415669661274904</v>
      </c>
      <c r="AJ7871">
        <v>83.223229366712502</v>
      </c>
      <c r="AK7871">
        <v>27.5268871838656</v>
      </c>
      <c r="AL7871">
        <v>89.783192487816294</v>
      </c>
      <c r="AM7871">
        <v>88.002466827759804</v>
      </c>
      <c r="AN7871">
        <v>1.0000000263387201</v>
      </c>
    </row>
    <row r="7872" spans="1:40" x14ac:dyDescent="0.25">
      <c r="A7872" t="str">
        <f>"20190312154116022"</f>
        <v>20190312154116022</v>
      </c>
      <c r="B7872" t="str">
        <f>"1552376476013919"</f>
        <v>1552376476013919</v>
      </c>
      <c r="C7872" t="s">
        <v>40</v>
      </c>
      <c r="D7872">
        <v>4.3977550000000001</v>
      </c>
      <c r="E7872">
        <v>0.53457219999999905</v>
      </c>
      <c r="F7872" t="s">
        <v>42</v>
      </c>
      <c r="G7872">
        <v>-326.54910000000001</v>
      </c>
      <c r="H7872" s="1">
        <v>-2.4035189999999998E-6</v>
      </c>
      <c r="I7872">
        <v>15.504300000000001</v>
      </c>
      <c r="J7872">
        <v>-343.92610000000002</v>
      </c>
      <c r="K7872">
        <v>1.1102270000000001</v>
      </c>
      <c r="L7872">
        <v>17.542660000000001</v>
      </c>
      <c r="M7872">
        <v>0.99984019999999996</v>
      </c>
      <c r="N7872">
        <v>0</v>
      </c>
      <c r="O7872">
        <v>9.8607E-3</v>
      </c>
      <c r="P7872">
        <v>0.99963400000000002</v>
      </c>
      <c r="Q7872">
        <v>-1.107439E-2</v>
      </c>
      <c r="R7872">
        <v>-2.469002E-2</v>
      </c>
      <c r="S7872">
        <v>2.9903559999999998</v>
      </c>
      <c r="T7872">
        <v>-0.18936</v>
      </c>
      <c r="U7872">
        <v>-0.347412099999999</v>
      </c>
      <c r="V7872">
        <v>3.4547639999999998E-2</v>
      </c>
      <c r="W7872">
        <v>3.8250039999999999E-3</v>
      </c>
      <c r="X7872">
        <v>0.9993957</v>
      </c>
      <c r="Y7872">
        <v>0.1249252</v>
      </c>
      <c r="Z7872">
        <v>-4.5600459999999999E-3</v>
      </c>
      <c r="AA7872">
        <v>0.99215569999999997</v>
      </c>
      <c r="AB7872">
        <v>25</v>
      </c>
      <c r="AC7872">
        <v>17.376999999999999</v>
      </c>
      <c r="AD7872">
        <v>-1.1102294035189999</v>
      </c>
      <c r="AE7872">
        <v>-2.0383599999999999</v>
      </c>
      <c r="AF7872">
        <v>2.2007676554707598</v>
      </c>
      <c r="AG7872">
        <v>-1.1102294035189999</v>
      </c>
      <c r="AH7872">
        <v>17.286447112464099</v>
      </c>
      <c r="AI7872">
        <v>93.645454360245495</v>
      </c>
      <c r="AJ7872">
        <v>82.744605779611305</v>
      </c>
      <c r="AK7872">
        <v>17.461306977824499</v>
      </c>
      <c r="AL7872">
        <v>89.780842872681305</v>
      </c>
      <c r="AM7872">
        <v>88.020157515688197</v>
      </c>
      <c r="AN7872">
        <v>0.99999996763182897</v>
      </c>
    </row>
    <row r="7873" spans="1:40" x14ac:dyDescent="0.25">
      <c r="A7873" t="str">
        <f>"20190312154116035"</f>
        <v>20190312154116035</v>
      </c>
      <c r="B7873" t="str">
        <f>"1552376476023679"</f>
        <v>1552376476023679</v>
      </c>
      <c r="C7873" t="s">
        <v>40</v>
      </c>
      <c r="D7873">
        <v>4.3910090000000004</v>
      </c>
      <c r="E7873">
        <v>0.52233279999999904</v>
      </c>
      <c r="F7873" t="s">
        <v>42</v>
      </c>
      <c r="G7873">
        <v>-326.38290000000001</v>
      </c>
      <c r="H7873" s="1">
        <v>-2.4660760000000002E-6</v>
      </c>
      <c r="I7873">
        <v>15.50906</v>
      </c>
      <c r="J7873">
        <v>-343.77359999999999</v>
      </c>
      <c r="K7873">
        <v>1.1102270000000001</v>
      </c>
      <c r="L7873">
        <v>17.544129999999999</v>
      </c>
      <c r="M7873">
        <v>0.99984079999999997</v>
      </c>
      <c r="N7873">
        <v>0</v>
      </c>
      <c r="O7873">
        <v>9.8087009999999995E-3</v>
      </c>
      <c r="P7873">
        <v>0.99962819999999997</v>
      </c>
      <c r="Q7873">
        <v>-1.1051450000000001E-2</v>
      </c>
      <c r="R7873">
        <v>-2.492287E-2</v>
      </c>
      <c r="S7873">
        <v>2.9904169999999999</v>
      </c>
      <c r="T7873">
        <v>-0.1892501</v>
      </c>
      <c r="U7873">
        <v>-0.34664919999999999</v>
      </c>
      <c r="V7873">
        <v>3.4728719999999998E-2</v>
      </c>
      <c r="W7873">
        <v>3.844077E-3</v>
      </c>
      <c r="X7873">
        <v>0.99938939999999998</v>
      </c>
      <c r="Y7873">
        <v>0.1246225</v>
      </c>
      <c r="Z7873">
        <v>-4.5445650000000004E-3</v>
      </c>
      <c r="AA7873">
        <v>0.99219380000000001</v>
      </c>
      <c r="AB7873">
        <v>25</v>
      </c>
      <c r="AC7873">
        <v>17.390699999999899</v>
      </c>
      <c r="AD7873">
        <v>-1.1102294660759999</v>
      </c>
      <c r="AE7873">
        <v>-2.0350700000000002</v>
      </c>
      <c r="AF7873">
        <v>2.1967391249277801</v>
      </c>
      <c r="AG7873">
        <v>-1.1102294660759999</v>
      </c>
      <c r="AH7873">
        <v>17.3003428477565</v>
      </c>
      <c r="AI7873">
        <v>93.642686725427495</v>
      </c>
      <c r="AJ7873">
        <v>82.763501054590506</v>
      </c>
      <c r="AK7873">
        <v>17.474556786947499</v>
      </c>
      <c r="AL7873">
        <v>89.779750073055197</v>
      </c>
      <c r="AM7873">
        <v>88.009776042320198</v>
      </c>
      <c r="AN7873">
        <v>1.0000000168765899</v>
      </c>
    </row>
    <row r="7874" spans="1:40" x14ac:dyDescent="0.25">
      <c r="A7874" t="str">
        <f>"20190312154116050"</f>
        <v>20190312154116050</v>
      </c>
      <c r="B7874" t="str">
        <f>"1552376476044174"</f>
        <v>1552376476044174</v>
      </c>
      <c r="C7874" t="s">
        <v>40</v>
      </c>
      <c r="D7874">
        <v>4.4184469999999996</v>
      </c>
      <c r="E7874">
        <v>0.51887039999999995</v>
      </c>
      <c r="F7874" t="s">
        <v>42</v>
      </c>
      <c r="G7874">
        <v>-321.72230000000002</v>
      </c>
      <c r="H7874" s="1">
        <v>-4.5882789999999998E-6</v>
      </c>
      <c r="I7874">
        <v>15.698969999999999</v>
      </c>
      <c r="J7874">
        <v>-343.61439999999999</v>
      </c>
      <c r="K7874">
        <v>1.1102259999999999</v>
      </c>
      <c r="L7874">
        <v>17.545649999999998</v>
      </c>
      <c r="M7874">
        <v>0.99984130000000004</v>
      </c>
      <c r="N7874">
        <v>0</v>
      </c>
      <c r="O7874">
        <v>9.7550959999999996E-3</v>
      </c>
      <c r="P7874">
        <v>0.99963199999999997</v>
      </c>
      <c r="Q7874">
        <v>-1.090819E-2</v>
      </c>
      <c r="R7874">
        <v>-2.4839050000000001E-2</v>
      </c>
      <c r="S7874">
        <v>2.9931950000000001</v>
      </c>
      <c r="T7874">
        <v>-0.1507001</v>
      </c>
      <c r="U7874">
        <v>-0.25045780000000001</v>
      </c>
      <c r="V7874">
        <v>3.4591190000000001E-2</v>
      </c>
      <c r="W7874">
        <v>3.9837889999999997E-3</v>
      </c>
      <c r="X7874">
        <v>0.99939359999999999</v>
      </c>
      <c r="Y7874">
        <v>9.2973310000000003E-2</v>
      </c>
      <c r="Z7874">
        <v>-2.8250150000000002E-3</v>
      </c>
      <c r="AA7874">
        <v>0.99566460000000001</v>
      </c>
      <c r="AB7874">
        <v>25</v>
      </c>
      <c r="AC7874">
        <v>21.8920999999999</v>
      </c>
      <c r="AD7874">
        <v>-1.110230588279</v>
      </c>
      <c r="AE7874">
        <v>-1.8466799999999901</v>
      </c>
      <c r="AF7874">
        <v>2.0549276832802201</v>
      </c>
      <c r="AG7874">
        <v>-1.110230588279</v>
      </c>
      <c r="AH7874">
        <v>21.8173263461373</v>
      </c>
      <c r="AI7874">
        <v>92.900315417626601</v>
      </c>
      <c r="AJ7874">
        <v>84.619305964250302</v>
      </c>
      <c r="AK7874">
        <v>21.9419932694484</v>
      </c>
      <c r="AL7874">
        <v>89.771745098783299</v>
      </c>
      <c r="AM7874">
        <v>88.017659597356797</v>
      </c>
      <c r="AN7874">
        <v>0.99999999436068598</v>
      </c>
    </row>
    <row r="7875" spans="1:40" x14ac:dyDescent="0.25">
      <c r="A7875" t="str">
        <f>"20190312154116062"</f>
        <v>20190312154116062</v>
      </c>
      <c r="B7875" t="str">
        <f>"1552376476053935"</f>
        <v>1552376476053935</v>
      </c>
      <c r="C7875" t="s">
        <v>40</v>
      </c>
      <c r="D7875">
        <v>4.3916740000000001</v>
      </c>
      <c r="E7875">
        <v>0.51814259999999901</v>
      </c>
      <c r="F7875" t="s">
        <v>42</v>
      </c>
      <c r="G7875">
        <v>-322.41890000000001</v>
      </c>
      <c r="H7875" s="1">
        <v>-4.2108530000000004E-6</v>
      </c>
      <c r="I7875">
        <v>15.970420000000001</v>
      </c>
      <c r="J7875">
        <v>-343.47699999999998</v>
      </c>
      <c r="K7875">
        <v>1.110225</v>
      </c>
      <c r="L7875">
        <v>17.546939999999999</v>
      </c>
      <c r="M7875">
        <v>0.99984189999999995</v>
      </c>
      <c r="N7875">
        <v>0</v>
      </c>
      <c r="O7875">
        <v>9.7089959999999993E-3</v>
      </c>
      <c r="P7875">
        <v>0.99963500000000005</v>
      </c>
      <c r="Q7875">
        <v>-1.0615889999999999E-2</v>
      </c>
      <c r="R7875">
        <v>-2.4844959999999999E-2</v>
      </c>
      <c r="S7875">
        <v>2.9938959999999999</v>
      </c>
      <c r="T7875">
        <v>-0.1568214</v>
      </c>
      <c r="U7875">
        <v>-0.2225037</v>
      </c>
      <c r="V7875">
        <v>3.4551129999999999E-2</v>
      </c>
      <c r="W7875">
        <v>4.272751E-3</v>
      </c>
      <c r="X7875">
        <v>0.9993938</v>
      </c>
      <c r="Y7875">
        <v>8.3667229999999995E-2</v>
      </c>
      <c r="Z7875">
        <v>-2.6943610000000002E-3</v>
      </c>
      <c r="AA7875">
        <v>0.99649010000000005</v>
      </c>
      <c r="AB7875">
        <v>25</v>
      </c>
      <c r="AC7875">
        <v>21.0580999999999</v>
      </c>
      <c r="AD7875">
        <v>-1.1102292108530001</v>
      </c>
      <c r="AE7875">
        <v>-1.5765199999999899</v>
      </c>
      <c r="AF7875">
        <v>1.77601223287372</v>
      </c>
      <c r="AG7875">
        <v>-1.1102292108530001</v>
      </c>
      <c r="AH7875">
        <v>20.983797021202498</v>
      </c>
      <c r="AI7875">
        <v>93.017861748888194</v>
      </c>
      <c r="AJ7875">
        <v>85.162168985429503</v>
      </c>
      <c r="AK7875">
        <v>21.088066904744402</v>
      </c>
      <c r="AL7875">
        <v>89.755188656436502</v>
      </c>
      <c r="AM7875">
        <v>88.019953909976294</v>
      </c>
      <c r="AN7875">
        <v>1.00000000223191</v>
      </c>
    </row>
    <row r="7876" spans="1:40" x14ac:dyDescent="0.25">
      <c r="A7876" t="str">
        <f>"20190312154116075"</f>
        <v>20190312154116075</v>
      </c>
      <c r="B7876" t="str">
        <f>"1552376476063696"</f>
        <v>1552376476063696</v>
      </c>
      <c r="C7876" t="s">
        <v>40</v>
      </c>
      <c r="D7876">
        <v>4.3844629999999896</v>
      </c>
      <c r="E7876">
        <v>0.51783559999999995</v>
      </c>
      <c r="F7876" t="s">
        <v>42</v>
      </c>
      <c r="G7876">
        <v>-321.73140000000001</v>
      </c>
      <c r="H7876" s="1">
        <v>-4.5354860000000001E-6</v>
      </c>
      <c r="I7876">
        <v>15.97235</v>
      </c>
      <c r="J7876">
        <v>-343.32810000000001</v>
      </c>
      <c r="K7876">
        <v>1.1102289999999999</v>
      </c>
      <c r="L7876">
        <v>17.548310000000001</v>
      </c>
      <c r="M7876">
        <v>0.99984229999999996</v>
      </c>
      <c r="N7876">
        <v>0</v>
      </c>
      <c r="O7876">
        <v>9.6595020000000004E-3</v>
      </c>
      <c r="P7876">
        <v>0.9996353</v>
      </c>
      <c r="Q7876">
        <v>-1.058887E-2</v>
      </c>
      <c r="R7876">
        <v>-2.4837729999999999E-2</v>
      </c>
      <c r="S7876">
        <v>2.994049</v>
      </c>
      <c r="T7876">
        <v>-0.15286240000000001</v>
      </c>
      <c r="U7876">
        <v>-0.21679689999999999</v>
      </c>
      <c r="V7876">
        <v>3.449464E-2</v>
      </c>
      <c r="W7876">
        <v>4.2961149999999997E-3</v>
      </c>
      <c r="X7876">
        <v>0.9993957</v>
      </c>
      <c r="Y7876">
        <v>8.1733719999999996E-2</v>
      </c>
      <c r="Z7876">
        <v>-2.574692E-3</v>
      </c>
      <c r="AA7876">
        <v>0.99665090000000001</v>
      </c>
      <c r="AB7876">
        <v>25</v>
      </c>
      <c r="AC7876">
        <v>21.596699999999998</v>
      </c>
      <c r="AD7876">
        <v>-1.110233535486</v>
      </c>
      <c r="AE7876">
        <v>-1.57596</v>
      </c>
      <c r="AF7876">
        <v>1.7798442471285201</v>
      </c>
      <c r="AG7876">
        <v>-1.110233535486</v>
      </c>
      <c r="AH7876">
        <v>21.523886846891301</v>
      </c>
      <c r="AI7876">
        <v>92.942756865338396</v>
      </c>
      <c r="AJ7876">
        <v>85.272876321555501</v>
      </c>
      <c r="AK7876">
        <v>21.6258680529854</v>
      </c>
      <c r="AL7876">
        <v>89.753849997561105</v>
      </c>
      <c r="AM7876">
        <v>88.023192407091997</v>
      </c>
      <c r="AN7876">
        <v>1.0000000509856499</v>
      </c>
    </row>
    <row r="7877" spans="1:40" x14ac:dyDescent="0.25">
      <c r="A7877" t="str">
        <f>"20190312154116087"</f>
        <v>20190312154116087</v>
      </c>
      <c r="B7877" t="str">
        <f>"1552376476074432"</f>
        <v>1552376476074432</v>
      </c>
      <c r="C7877" t="s">
        <v>40</v>
      </c>
      <c r="D7877">
        <v>4.3680219999999998</v>
      </c>
      <c r="E7877">
        <v>0.51760390000000001</v>
      </c>
      <c r="F7877" t="s">
        <v>42</v>
      </c>
      <c r="G7877">
        <v>-321.78030000000001</v>
      </c>
      <c r="H7877" s="1">
        <v>-4.5062390000000002E-6</v>
      </c>
      <c r="I7877">
        <v>16.00675</v>
      </c>
      <c r="J7877">
        <v>-343.1979</v>
      </c>
      <c r="K7877">
        <v>1.1102289999999999</v>
      </c>
      <c r="L7877">
        <v>17.549529999999901</v>
      </c>
      <c r="M7877">
        <v>0.99984280000000003</v>
      </c>
      <c r="N7877">
        <v>0</v>
      </c>
      <c r="O7877">
        <v>9.6164389999999992E-3</v>
      </c>
      <c r="P7877">
        <v>0.99963360000000001</v>
      </c>
      <c r="Q7877">
        <v>-1.041487E-2</v>
      </c>
      <c r="R7877">
        <v>-2.4984719999999998E-2</v>
      </c>
      <c r="S7877">
        <v>2.99411</v>
      </c>
      <c r="T7877">
        <v>-0.15426970000000001</v>
      </c>
      <c r="U7877">
        <v>-0.2142029</v>
      </c>
      <c r="V7877">
        <v>3.4598440000000001E-2</v>
      </c>
      <c r="W7877">
        <v>4.4672979999999998E-3</v>
      </c>
      <c r="X7877">
        <v>0.99939129999999998</v>
      </c>
      <c r="Y7877">
        <v>8.0829349999999994E-2</v>
      </c>
      <c r="Z7877">
        <v>-2.5729250000000002E-3</v>
      </c>
      <c r="AA7877">
        <v>0.99672459999999996</v>
      </c>
      <c r="AB7877">
        <v>25</v>
      </c>
      <c r="AC7877">
        <v>21.4176</v>
      </c>
      <c r="AD7877">
        <v>-1.1102335062389901</v>
      </c>
      <c r="AE7877">
        <v>-1.54277999999999</v>
      </c>
      <c r="AF7877">
        <v>1.7440303192495401</v>
      </c>
      <c r="AG7877">
        <v>-1.1102335062389901</v>
      </c>
      <c r="AH7877">
        <v>21.344712024952901</v>
      </c>
      <c r="AI7877">
        <v>92.967653257543603</v>
      </c>
      <c r="AJ7877">
        <v>85.3288622663094</v>
      </c>
      <c r="AK7877">
        <v>21.444602855287499</v>
      </c>
      <c r="AL7877">
        <v>89.744041824771998</v>
      </c>
      <c r="AM7877">
        <v>88.017239888888099</v>
      </c>
      <c r="AN7877">
        <v>0.99999998965877201</v>
      </c>
    </row>
    <row r="7878" spans="1:40" x14ac:dyDescent="0.25">
      <c r="A7878" t="str">
        <f>"20190312154116099"</f>
        <v>20190312154116099</v>
      </c>
      <c r="B7878" t="str">
        <f>"1552376476093951"</f>
        <v>1552376476093951</v>
      </c>
      <c r="C7878" t="s">
        <v>40</v>
      </c>
      <c r="D7878">
        <v>4.3840170000000001</v>
      </c>
      <c r="E7878">
        <v>0.51738629999999997</v>
      </c>
      <c r="F7878" t="s">
        <v>42</v>
      </c>
      <c r="G7878">
        <v>-321.75479999999999</v>
      </c>
      <c r="H7878" s="1">
        <v>-4.5149310000000004E-6</v>
      </c>
      <c r="I7878">
        <v>16.025749999999999</v>
      </c>
      <c r="J7878">
        <v>-343.0609</v>
      </c>
      <c r="K7878">
        <v>1.1102320000000001</v>
      </c>
      <c r="L7878">
        <v>17.55078</v>
      </c>
      <c r="M7878">
        <v>0.99984320000000004</v>
      </c>
      <c r="N7878">
        <v>0</v>
      </c>
      <c r="O7878">
        <v>9.5711730000000005E-3</v>
      </c>
      <c r="P7878">
        <v>0.99963060000000004</v>
      </c>
      <c r="Q7878">
        <v>-1.0502630000000001E-2</v>
      </c>
      <c r="R7878">
        <v>-2.5068469999999999E-2</v>
      </c>
      <c r="S7878">
        <v>2.9941409999999999</v>
      </c>
      <c r="T7878">
        <v>-0.15502389999999999</v>
      </c>
      <c r="U7878">
        <v>-0.2127686</v>
      </c>
      <c r="V7878">
        <v>3.4636699999999999E-2</v>
      </c>
      <c r="W7878">
        <v>4.3762230000000003E-3</v>
      </c>
      <c r="X7878">
        <v>0.99939040000000001</v>
      </c>
      <c r="Y7878">
        <v>8.0307989999999996E-2</v>
      </c>
      <c r="Z7878">
        <v>-2.5696930000000001E-3</v>
      </c>
      <c r="AA7878">
        <v>0.99676679999999995</v>
      </c>
      <c r="AB7878">
        <v>25</v>
      </c>
      <c r="AC7878">
        <v>21.306100000000001</v>
      </c>
      <c r="AD7878">
        <v>-1.1102365149309901</v>
      </c>
      <c r="AE7878">
        <v>-1.5250300000000001</v>
      </c>
      <c r="AF7878">
        <v>1.72424909020816</v>
      </c>
      <c r="AG7878">
        <v>-1.1102365149309901</v>
      </c>
      <c r="AH7878">
        <v>21.233164683296099</v>
      </c>
      <c r="AI7878">
        <v>92.983344710156103</v>
      </c>
      <c r="AJ7878">
        <v>85.357456305322302</v>
      </c>
      <c r="AK7878">
        <v>21.331969963229898</v>
      </c>
      <c r="AL7878">
        <v>89.749260094553605</v>
      </c>
      <c r="AM7878">
        <v>88.015047259735596</v>
      </c>
      <c r="AN7878">
        <v>1.0000000119633901</v>
      </c>
    </row>
    <row r="7879" spans="1:40" x14ac:dyDescent="0.25">
      <c r="A7879" t="str">
        <f>"20190312154116112"</f>
        <v>20190312154116112</v>
      </c>
      <c r="B7879" t="str">
        <f>"1552376476103712"</f>
        <v>1552376476103712</v>
      </c>
      <c r="C7879" t="s">
        <v>40</v>
      </c>
      <c r="D7879">
        <v>4.3648230000000003</v>
      </c>
      <c r="E7879">
        <v>0.51725929999999998</v>
      </c>
      <c r="F7879" t="s">
        <v>42</v>
      </c>
      <c r="G7879">
        <v>-322.09230000000002</v>
      </c>
      <c r="H7879" s="1">
        <v>-4.3472459999999996E-6</v>
      </c>
      <c r="I7879">
        <v>16.071619999999999</v>
      </c>
      <c r="J7879">
        <v>-342.91570000000002</v>
      </c>
      <c r="K7879">
        <v>1.110233</v>
      </c>
      <c r="L7879">
        <v>17.552119999999999</v>
      </c>
      <c r="M7879">
        <v>0.99984379999999995</v>
      </c>
      <c r="N7879">
        <v>0</v>
      </c>
      <c r="O7879">
        <v>9.5234059999999999E-3</v>
      </c>
      <c r="P7879">
        <v>0.99962700000000004</v>
      </c>
      <c r="Q7879">
        <v>-1.0315319999999999E-2</v>
      </c>
      <c r="R7879">
        <v>-2.5285530000000001E-2</v>
      </c>
      <c r="S7879">
        <v>2.9941409999999999</v>
      </c>
      <c r="T7879">
        <v>-0.1585329</v>
      </c>
      <c r="U7879">
        <v>-0.21121219999999999</v>
      </c>
      <c r="V7879">
        <v>3.4806299999999998E-2</v>
      </c>
      <c r="W7879">
        <v>4.5598030000000003E-3</v>
      </c>
      <c r="X7879">
        <v>0.99938369999999999</v>
      </c>
      <c r="Y7879">
        <v>7.9740190000000002E-2</v>
      </c>
      <c r="Z7879">
        <v>-2.610298E-3</v>
      </c>
      <c r="AA7879">
        <v>0.99681229999999998</v>
      </c>
      <c r="AB7879">
        <v>25</v>
      </c>
      <c r="AC7879">
        <v>20.8233999999999</v>
      </c>
      <c r="AD7879">
        <v>-1.1102373472460001</v>
      </c>
      <c r="AE7879">
        <v>-1.4804999999999899</v>
      </c>
      <c r="AF7879">
        <v>1.6740297219821501</v>
      </c>
      <c r="AG7879">
        <v>-1.1102373472460001</v>
      </c>
      <c r="AH7879">
        <v>20.7496664574162</v>
      </c>
      <c r="AI7879">
        <v>93.052862772243202</v>
      </c>
      <c r="AJ7879">
        <v>85.387513884765099</v>
      </c>
      <c r="AK7879">
        <v>20.846670251417201</v>
      </c>
      <c r="AL7879">
        <v>89.7387416338957</v>
      </c>
      <c r="AM7879">
        <v>88.005322328930703</v>
      </c>
      <c r="AN7879">
        <v>1.0000000250743799</v>
      </c>
    </row>
    <row r="7880" spans="1:40" x14ac:dyDescent="0.25">
      <c r="A7880" t="str">
        <f>"20190312154116128"</f>
        <v>20190312154116128</v>
      </c>
      <c r="B7880" t="str">
        <f>"1552376476124207"</f>
        <v>1552376476124207</v>
      </c>
      <c r="C7880" t="s">
        <v>40</v>
      </c>
      <c r="D7880">
        <v>4.39628</v>
      </c>
      <c r="E7880">
        <v>0.51713290000000001</v>
      </c>
      <c r="F7880" t="s">
        <v>42</v>
      </c>
      <c r="G7880">
        <v>-321.96850000000001</v>
      </c>
      <c r="H7880" s="1">
        <v>-4.4048419999999996E-6</v>
      </c>
      <c r="I7880">
        <v>16.076829999999902</v>
      </c>
      <c r="J7880">
        <v>-342.74810000000002</v>
      </c>
      <c r="K7880">
        <v>1.1102350000000001</v>
      </c>
      <c r="L7880">
        <v>17.553650000000001</v>
      </c>
      <c r="M7880">
        <v>0.99984439999999997</v>
      </c>
      <c r="N7880">
        <v>0</v>
      </c>
      <c r="O7880">
        <v>9.4682540000000006E-3</v>
      </c>
      <c r="P7880">
        <v>0.99962510000000004</v>
      </c>
      <c r="Q7880">
        <v>-1.007425E-2</v>
      </c>
      <c r="R7880">
        <v>-2.545998E-2</v>
      </c>
      <c r="S7880">
        <v>2.9941409999999999</v>
      </c>
      <c r="T7880">
        <v>-0.15869510000000001</v>
      </c>
      <c r="U7880">
        <v>-0.21087649999999999</v>
      </c>
      <c r="V7880">
        <v>3.4925440000000002E-2</v>
      </c>
      <c r="W7880">
        <v>4.7963119999999996E-3</v>
      </c>
      <c r="X7880">
        <v>0.9993784</v>
      </c>
      <c r="Y7880">
        <v>7.9574060000000002E-2</v>
      </c>
      <c r="Z7880">
        <v>-2.6056629999999998E-3</v>
      </c>
      <c r="AA7880">
        <v>0.99682559999999998</v>
      </c>
      <c r="AB7880">
        <v>25</v>
      </c>
      <c r="AC7880">
        <v>20.779599999999999</v>
      </c>
      <c r="AD7880">
        <v>-1.1102394048419999</v>
      </c>
      <c r="AE7880">
        <v>-1.47682</v>
      </c>
      <c r="AF7880">
        <v>1.6687821999929</v>
      </c>
      <c r="AG7880">
        <v>-1.1102394048419999</v>
      </c>
      <c r="AH7880">
        <v>20.705872114496099</v>
      </c>
      <c r="AI7880">
        <v>93.059333446978997</v>
      </c>
      <c r="AJ7880">
        <v>85.392226945086904</v>
      </c>
      <c r="AK7880">
        <v>20.8026586182859</v>
      </c>
      <c r="AL7880">
        <v>89.725190508406101</v>
      </c>
      <c r="AM7880">
        <v>87.9984895976649</v>
      </c>
      <c r="AN7880">
        <v>0.99999998867727702</v>
      </c>
    </row>
    <row r="7881" spans="1:40" x14ac:dyDescent="0.25">
      <c r="A7881" t="str">
        <f>"20190312154116140"</f>
        <v>20190312154116140</v>
      </c>
      <c r="B7881" t="str">
        <f>"1552376476133968"</f>
        <v>1552376476133968</v>
      </c>
      <c r="C7881" t="s">
        <v>40</v>
      </c>
      <c r="D7881">
        <v>4.3837440000000001</v>
      </c>
      <c r="E7881">
        <v>0.51713989999999999</v>
      </c>
      <c r="F7881" t="s">
        <v>42</v>
      </c>
      <c r="G7881">
        <v>-321.65159999999997</v>
      </c>
      <c r="H7881" s="1">
        <v>-4.5556540000000003E-6</v>
      </c>
      <c r="I7881">
        <v>16.071089999999899</v>
      </c>
      <c r="J7881">
        <v>-342.59969999999998</v>
      </c>
      <c r="K7881">
        <v>1.1102379999999901</v>
      </c>
      <c r="L7881">
        <v>17.555019999999999</v>
      </c>
      <c r="M7881">
        <v>0.99984490000000004</v>
      </c>
      <c r="N7881">
        <v>0</v>
      </c>
      <c r="O7881">
        <v>9.4195930000000004E-3</v>
      </c>
      <c r="P7881">
        <v>0.99962379999999995</v>
      </c>
      <c r="Q7881">
        <v>-1.0101590000000001E-2</v>
      </c>
      <c r="R7881">
        <v>-2.5504949999999998E-2</v>
      </c>
      <c r="S7881">
        <v>2.994202</v>
      </c>
      <c r="T7881">
        <v>-0.15757560000000001</v>
      </c>
      <c r="U7881">
        <v>-0.21041869999999999</v>
      </c>
      <c r="V7881">
        <v>3.4921809999999998E-2</v>
      </c>
      <c r="W7881">
        <v>4.7653180000000002E-3</v>
      </c>
      <c r="X7881">
        <v>0.99937869999999995</v>
      </c>
      <c r="Y7881">
        <v>7.9374550000000002E-2</v>
      </c>
      <c r="Z7881">
        <v>-2.5794720000000002E-3</v>
      </c>
      <c r="AA7881">
        <v>0.99684150000000005</v>
      </c>
      <c r="AB7881">
        <v>25</v>
      </c>
      <c r="AC7881">
        <v>20.9481</v>
      </c>
      <c r="AD7881">
        <v>-1.1102425556540001</v>
      </c>
      <c r="AE7881">
        <v>-1.48393</v>
      </c>
      <c r="AF7881">
        <v>1.6765227966679701</v>
      </c>
      <c r="AG7881">
        <v>-1.1102425556540001</v>
      </c>
      <c r="AH7881">
        <v>20.874846901836101</v>
      </c>
      <c r="AI7881">
        <v>93.0346924307226</v>
      </c>
      <c r="AJ7881">
        <v>85.408256329927397</v>
      </c>
      <c r="AK7881">
        <v>20.9714711070833</v>
      </c>
      <c r="AL7881">
        <v>89.726966360899993</v>
      </c>
      <c r="AM7881">
        <v>87.998698057150193</v>
      </c>
      <c r="AN7881">
        <v>1.0000000135414999</v>
      </c>
    </row>
    <row r="7882" spans="1:40" x14ac:dyDescent="0.25">
      <c r="A7882" t="str">
        <f>"20190312154116153"</f>
        <v>20190312154116153</v>
      </c>
      <c r="B7882" t="str">
        <f>"1552376476143727"</f>
        <v>1552376476143727</v>
      </c>
      <c r="C7882" t="s">
        <v>40</v>
      </c>
      <c r="D7882">
        <v>4.4072719999999999</v>
      </c>
      <c r="E7882">
        <v>0.51707429999999999</v>
      </c>
      <c r="F7882" t="s">
        <v>42</v>
      </c>
      <c r="G7882">
        <v>-321.6712</v>
      </c>
      <c r="H7882" s="1">
        <v>-4.544297E-6</v>
      </c>
      <c r="I7882">
        <v>16.082979999999999</v>
      </c>
      <c r="J7882">
        <v>-342.45209999999997</v>
      </c>
      <c r="K7882">
        <v>1.1102379999999901</v>
      </c>
      <c r="L7882">
        <v>17.556339999999999</v>
      </c>
      <c r="M7882">
        <v>0.9998454</v>
      </c>
      <c r="N7882">
        <v>0</v>
      </c>
      <c r="O7882">
        <v>9.3715269999999993E-3</v>
      </c>
      <c r="P7882">
        <v>0.99961880000000003</v>
      </c>
      <c r="Q7882">
        <v>-1.000116E-2</v>
      </c>
      <c r="R7882">
        <v>-2.5733280000000001E-2</v>
      </c>
      <c r="S7882">
        <v>2.9941710000000001</v>
      </c>
      <c r="T7882">
        <v>-0.15883910000000001</v>
      </c>
      <c r="U7882">
        <v>-0.21060180000000001</v>
      </c>
      <c r="V7882">
        <v>3.510199E-2</v>
      </c>
      <c r="W7882">
        <v>4.8625919999999998E-3</v>
      </c>
      <c r="X7882">
        <v>0.99937189999999998</v>
      </c>
      <c r="Y7882">
        <v>7.9386090000000006E-2</v>
      </c>
      <c r="Z7882">
        <v>-2.597907E-3</v>
      </c>
      <c r="AA7882">
        <v>0.99684050000000002</v>
      </c>
      <c r="AB7882">
        <v>25</v>
      </c>
      <c r="AC7882">
        <v>20.7808999999999</v>
      </c>
      <c r="AD7882">
        <v>-1.1102425442970001</v>
      </c>
      <c r="AE7882">
        <v>-1.47335999999999</v>
      </c>
      <c r="AF7882">
        <v>1.66334159744683</v>
      </c>
      <c r="AG7882">
        <v>-1.1102425442970001</v>
      </c>
      <c r="AH7882">
        <v>20.707367648586001</v>
      </c>
      <c r="AI7882">
        <v>93.059187101579496</v>
      </c>
      <c r="AJ7882">
        <v>85.407515225375107</v>
      </c>
      <c r="AK7882">
        <v>20.803711657073901</v>
      </c>
      <c r="AL7882">
        <v>89.721392901433006</v>
      </c>
      <c r="AM7882">
        <v>87.988367072280298</v>
      </c>
      <c r="AN7882">
        <v>0.99999999450626398</v>
      </c>
    </row>
    <row r="7883" spans="1:40" x14ac:dyDescent="0.25">
      <c r="A7883" t="str">
        <f>"20190312154116166"</f>
        <v>20190312154116166</v>
      </c>
      <c r="B7883" t="str">
        <f>"1552376476154464"</f>
        <v>1552376476154464</v>
      </c>
      <c r="C7883" t="s">
        <v>40</v>
      </c>
      <c r="D7883">
        <v>4.3820069999999998</v>
      </c>
      <c r="E7883">
        <v>0.51702269999999995</v>
      </c>
      <c r="F7883" t="s">
        <v>42</v>
      </c>
      <c r="G7883">
        <v>-321.63420000000002</v>
      </c>
      <c r="H7883" s="1">
        <v>-4.5604130000000001E-6</v>
      </c>
      <c r="I7883">
        <v>16.09074</v>
      </c>
      <c r="J7883">
        <v>-342.3184</v>
      </c>
      <c r="K7883">
        <v>1.110239</v>
      </c>
      <c r="L7883">
        <v>17.557559999999999</v>
      </c>
      <c r="M7883">
        <v>0.99984589999999995</v>
      </c>
      <c r="N7883">
        <v>0</v>
      </c>
      <c r="O7883">
        <v>9.3277489999999998E-3</v>
      </c>
      <c r="P7883">
        <v>0.99962340000000005</v>
      </c>
      <c r="Q7883">
        <v>-9.8388850000000003E-3</v>
      </c>
      <c r="R7883">
        <v>-2.562161E-2</v>
      </c>
      <c r="S7883">
        <v>2.9940799999999999</v>
      </c>
      <c r="T7883">
        <v>-0.15967799999999999</v>
      </c>
      <c r="U7883">
        <v>-0.2107849</v>
      </c>
      <c r="V7883">
        <v>3.4946539999999998E-2</v>
      </c>
      <c r="W7883">
        <v>5.0218529999999997E-3</v>
      </c>
      <c r="X7883">
        <v>0.99937659999999995</v>
      </c>
      <c r="Y7883">
        <v>7.9403970000000004E-2</v>
      </c>
      <c r="Z7883">
        <v>-2.6098279999999998E-3</v>
      </c>
      <c r="AA7883">
        <v>0.99683909999999998</v>
      </c>
      <c r="AB7883">
        <v>25</v>
      </c>
      <c r="AC7883">
        <v>20.684199999999901</v>
      </c>
      <c r="AD7883">
        <v>-1.1102435604130001</v>
      </c>
      <c r="AE7883">
        <v>-1.46682</v>
      </c>
      <c r="AF7883">
        <v>1.65497025386908</v>
      </c>
      <c r="AG7883">
        <v>-1.1102435604130001</v>
      </c>
      <c r="AH7883">
        <v>20.610532329403899</v>
      </c>
      <c r="AI7883">
        <v>93.073542563876998</v>
      </c>
      <c r="AJ7883">
        <v>85.409152998286899</v>
      </c>
      <c r="AK7883">
        <v>20.7066561811905</v>
      </c>
      <c r="AL7883">
        <v>89.712267818194604</v>
      </c>
      <c r="AM7883">
        <v>87.997277777058699</v>
      </c>
      <c r="AN7883">
        <v>1.00000003414654</v>
      </c>
    </row>
    <row r="7884" spans="1:40" x14ac:dyDescent="0.25">
      <c r="A7884" t="str">
        <f>"20190312154116180"</f>
        <v>20190312154116180</v>
      </c>
      <c r="B7884" t="str">
        <f>"1552376476173983"</f>
        <v>1552376476173983</v>
      </c>
      <c r="C7884" t="s">
        <v>40</v>
      </c>
      <c r="D7884">
        <v>4.5548719999999996</v>
      </c>
      <c r="E7884">
        <v>0.4970984</v>
      </c>
      <c r="F7884" t="s">
        <v>42</v>
      </c>
      <c r="G7884">
        <v>-321.5419</v>
      </c>
      <c r="H7884" s="1">
        <v>-4.6023890000000001E-6</v>
      </c>
      <c r="I7884">
        <v>16.10022</v>
      </c>
      <c r="J7884">
        <v>-342.15440000000001</v>
      </c>
      <c r="K7884">
        <v>1.110239</v>
      </c>
      <c r="L7884">
        <v>17.55902</v>
      </c>
      <c r="M7884">
        <v>0.99984649999999997</v>
      </c>
      <c r="N7884">
        <v>0</v>
      </c>
      <c r="O7884">
        <v>9.2739039999999995E-3</v>
      </c>
      <c r="P7884">
        <v>0.99962249999999997</v>
      </c>
      <c r="Q7884">
        <v>-9.9085719999999992E-3</v>
      </c>
      <c r="R7884">
        <v>-2.5625780000000001E-2</v>
      </c>
      <c r="S7884">
        <v>2.9941710000000001</v>
      </c>
      <c r="T7884">
        <v>-0.1600007</v>
      </c>
      <c r="U7884">
        <v>-0.21002199999999999</v>
      </c>
      <c r="V7884">
        <v>3.4897160000000003E-2</v>
      </c>
      <c r="W7884">
        <v>4.9479440000000001E-3</v>
      </c>
      <c r="X7884">
        <v>0.99937869999999995</v>
      </c>
      <c r="Y7884">
        <v>7.9095380000000007E-2</v>
      </c>
      <c r="Z7884">
        <v>-2.6039359999999998E-3</v>
      </c>
      <c r="AA7884">
        <v>0.99686370000000002</v>
      </c>
      <c r="AB7884">
        <v>25</v>
      </c>
      <c r="AC7884">
        <v>20.612500000000001</v>
      </c>
      <c r="AD7884">
        <v>-1.1102436023890001</v>
      </c>
      <c r="AE7884">
        <v>-1.4588000000000001</v>
      </c>
      <c r="AF7884">
        <v>1.6451675765177101</v>
      </c>
      <c r="AG7884">
        <v>-1.1102436023890001</v>
      </c>
      <c r="AH7884">
        <v>20.538793284098499</v>
      </c>
      <c r="AI7884">
        <v>93.084305708121406</v>
      </c>
      <c r="AJ7884">
        <v>85.420357275109495</v>
      </c>
      <c r="AK7884">
        <v>20.6344674459604</v>
      </c>
      <c r="AL7884">
        <v>89.716502546084996</v>
      </c>
      <c r="AM7884">
        <v>88.000109553856902</v>
      </c>
      <c r="AN7884">
        <v>1.0000000399697899</v>
      </c>
    </row>
    <row r="7885" spans="1:40" x14ac:dyDescent="0.25">
      <c r="A7885" t="str">
        <f>"20190312154116195"</f>
        <v>20190312154116195</v>
      </c>
      <c r="B7885" t="str">
        <f>"1552376476183743"</f>
        <v>1552376476183743</v>
      </c>
      <c r="C7885" t="s">
        <v>40</v>
      </c>
      <c r="D7885">
        <v>4.4510949999999996</v>
      </c>
      <c r="E7885">
        <v>0.48837540000000002</v>
      </c>
      <c r="F7885" t="s">
        <v>43</v>
      </c>
      <c r="G7885">
        <v>-318.30669999999998</v>
      </c>
      <c r="H7885">
        <v>-0.05</v>
      </c>
      <c r="I7885">
        <v>17.149539999999998</v>
      </c>
      <c r="J7885">
        <v>-341.98759999999999</v>
      </c>
      <c r="K7885">
        <v>1.110239</v>
      </c>
      <c r="L7885">
        <v>17.56052</v>
      </c>
      <c r="M7885">
        <v>0.99984689999999998</v>
      </c>
      <c r="N7885">
        <v>0</v>
      </c>
      <c r="O7885">
        <v>9.2194029999999993E-3</v>
      </c>
      <c r="P7885">
        <v>0.99961979999999995</v>
      </c>
      <c r="Q7885">
        <v>-1.0030799999999999E-2</v>
      </c>
      <c r="R7885">
        <v>-2.5679230000000001E-2</v>
      </c>
      <c r="S7885">
        <v>2.9983520000000001</v>
      </c>
      <c r="T7885">
        <v>-0.14587620000000001</v>
      </c>
      <c r="U7885">
        <v>-5.1483149999999998E-2</v>
      </c>
      <c r="V7885">
        <v>3.4895929999999999E-2</v>
      </c>
      <c r="W7885">
        <v>4.8220600000000004E-3</v>
      </c>
      <c r="X7885">
        <v>0.99937929999999997</v>
      </c>
      <c r="Y7885">
        <v>2.634423E-2</v>
      </c>
      <c r="Z7885">
        <v>-1.088725E-3</v>
      </c>
      <c r="AA7885">
        <v>0.99965230000000005</v>
      </c>
      <c r="AB7885">
        <v>25</v>
      </c>
      <c r="AC7885">
        <v>23.680900000000001</v>
      </c>
      <c r="AD7885">
        <v>-1.160239</v>
      </c>
      <c r="AE7885">
        <v>-0.41098000000000201</v>
      </c>
      <c r="AF7885">
        <v>0.62780386019759205</v>
      </c>
      <c r="AG7885">
        <v>-1.160239</v>
      </c>
      <c r="AH7885">
        <v>23.619423003841</v>
      </c>
      <c r="AI7885">
        <v>92.811245301989004</v>
      </c>
      <c r="AJ7885">
        <v>88.477437652346694</v>
      </c>
      <c r="AK7885">
        <v>23.656234595944799</v>
      </c>
      <c r="AL7885">
        <v>89.723715237678903</v>
      </c>
      <c r="AM7885">
        <v>88.000181185264395</v>
      </c>
      <c r="AN7885">
        <v>0.99999998173084903</v>
      </c>
    </row>
    <row r="7886" spans="1:40" x14ac:dyDescent="0.25">
      <c r="A7886" t="str">
        <f>"20190312154116207"</f>
        <v>20190312154116207</v>
      </c>
      <c r="B7886" t="str">
        <f>"1552376476194479"</f>
        <v>1552376476194479</v>
      </c>
      <c r="C7886" t="s">
        <v>40</v>
      </c>
      <c r="D7886">
        <v>4.3586359999999997</v>
      </c>
      <c r="E7886">
        <v>0.48074909999999998</v>
      </c>
      <c r="F7886" t="s">
        <v>43</v>
      </c>
      <c r="G7886">
        <v>-318.62090000000001</v>
      </c>
      <c r="H7886">
        <v>-0.05</v>
      </c>
      <c r="I7886">
        <v>17.700520000000001</v>
      </c>
      <c r="J7886">
        <v>-341.86059999999998</v>
      </c>
      <c r="K7886">
        <v>1.110233</v>
      </c>
      <c r="L7886">
        <v>17.561679999999999</v>
      </c>
      <c r="M7886">
        <v>0.99984740000000005</v>
      </c>
      <c r="N7886">
        <v>0</v>
      </c>
      <c r="O7886">
        <v>9.1776480000000001E-3</v>
      </c>
      <c r="P7886">
        <v>0.99961540000000004</v>
      </c>
      <c r="Q7886">
        <v>-1.016602E-2</v>
      </c>
      <c r="R7886">
        <v>-2.5802209999999999E-2</v>
      </c>
      <c r="S7886">
        <v>3.0001220000000002</v>
      </c>
      <c r="T7886">
        <v>-0.14896719999999999</v>
      </c>
      <c r="U7886">
        <v>1.7974850000000001E-2</v>
      </c>
      <c r="V7886">
        <v>3.4977189999999998E-2</v>
      </c>
      <c r="W7886">
        <v>4.6833029999999998E-3</v>
      </c>
      <c r="X7886">
        <v>0.99937710000000002</v>
      </c>
      <c r="Y7886">
        <v>3.1722679999999998E-3</v>
      </c>
      <c r="Z7886">
        <v>-5.3417030000000004E-4</v>
      </c>
      <c r="AA7886">
        <v>0.99999479999999996</v>
      </c>
      <c r="AB7886">
        <v>25</v>
      </c>
      <c r="AC7886">
        <v>23.2396999999999</v>
      </c>
      <c r="AD7886">
        <v>-1.1602330000000001</v>
      </c>
      <c r="AE7886">
        <v>0.13884000000000099</v>
      </c>
      <c r="AF7886">
        <v>7.4290042358578307E-2</v>
      </c>
      <c r="AG7886">
        <v>-1.1602330000000001</v>
      </c>
      <c r="AH7886">
        <v>23.182216553325201</v>
      </c>
      <c r="AI7886">
        <v>92.865157109609001</v>
      </c>
      <c r="AJ7886">
        <v>89.816389804378801</v>
      </c>
      <c r="AK7886">
        <v>23.211351187510498</v>
      </c>
      <c r="AL7886">
        <v>89.731665512959395</v>
      </c>
      <c r="AM7886">
        <v>87.995523715963699</v>
      </c>
      <c r="AN7886">
        <v>0.999999962575847</v>
      </c>
    </row>
    <row r="7887" spans="1:40" x14ac:dyDescent="0.25">
      <c r="A7887" t="str">
        <f>"20190312154116217"</f>
        <v>20190312154116217</v>
      </c>
      <c r="B7887" t="str">
        <f>"1552376476204239"</f>
        <v>1552376476204239</v>
      </c>
      <c r="C7887" t="s">
        <v>40</v>
      </c>
      <c r="D7887">
        <v>4.4774219999999998</v>
      </c>
      <c r="E7887">
        <v>0.47482289999999999</v>
      </c>
      <c r="F7887" t="s">
        <v>43</v>
      </c>
      <c r="G7887">
        <v>-316.55990000000003</v>
      </c>
      <c r="H7887">
        <v>-0.05</v>
      </c>
      <c r="I7887">
        <v>18.220669999999998</v>
      </c>
      <c r="J7887">
        <v>-341.74250000000001</v>
      </c>
      <c r="K7887">
        <v>1.1102320000000001</v>
      </c>
      <c r="L7887">
        <v>17.56268</v>
      </c>
      <c r="M7887">
        <v>0.99984779999999995</v>
      </c>
      <c r="N7887">
        <v>0</v>
      </c>
      <c r="O7887">
        <v>9.13893E-3</v>
      </c>
      <c r="P7887">
        <v>0.99961580000000005</v>
      </c>
      <c r="Q7887">
        <v>-1.002491E-2</v>
      </c>
      <c r="R7887">
        <v>-2.5833680000000001E-2</v>
      </c>
      <c r="S7887">
        <v>3.00177</v>
      </c>
      <c r="T7887">
        <v>-0.13765469999999999</v>
      </c>
      <c r="U7887">
        <v>7.8186039999999998E-2</v>
      </c>
      <c r="V7887">
        <v>3.4969979999999998E-2</v>
      </c>
      <c r="W7887">
        <v>4.8215840000000003E-3</v>
      </c>
      <c r="X7887">
        <v>0.99937670000000001</v>
      </c>
      <c r="Y7887">
        <v>-1.6891739999999999E-2</v>
      </c>
      <c r="Z7887" s="1">
        <v>-3.1789589999999997E-5</v>
      </c>
      <c r="AA7887">
        <v>0.99985729999999995</v>
      </c>
      <c r="AB7887">
        <v>25</v>
      </c>
      <c r="AC7887">
        <v>25.182599999999901</v>
      </c>
      <c r="AD7887">
        <v>-1.1602319999999999</v>
      </c>
      <c r="AE7887">
        <v>0.65799000000000096</v>
      </c>
      <c r="AF7887">
        <v>-0.42688953859412299</v>
      </c>
      <c r="AG7887">
        <v>-1.1602319999999999</v>
      </c>
      <c r="AH7887">
        <v>25.1342460531997</v>
      </c>
      <c r="AI7887">
        <v>92.642596623955299</v>
      </c>
      <c r="AJ7887">
        <v>90.973039626864804</v>
      </c>
      <c r="AK7887">
        <v>25.16463187958</v>
      </c>
      <c r="AL7887">
        <v>89.723742506949506</v>
      </c>
      <c r="AM7887">
        <v>87.995935768931403</v>
      </c>
      <c r="AN7887">
        <v>0.99999996783817902</v>
      </c>
    </row>
    <row r="7888" spans="1:40" x14ac:dyDescent="0.25">
      <c r="A7888" t="str">
        <f>"20190312154116228"</f>
        <v>20190312154116228</v>
      </c>
      <c r="B7888" t="str">
        <f>"1552376476223759"</f>
        <v>1552376476223759</v>
      </c>
      <c r="C7888" t="s">
        <v>40</v>
      </c>
      <c r="D7888">
        <v>4.4691519999999896</v>
      </c>
      <c r="E7888">
        <v>0.46793990000000002</v>
      </c>
      <c r="F7888" t="s">
        <v>43</v>
      </c>
      <c r="G7888">
        <v>-316.59160000000003</v>
      </c>
      <c r="H7888">
        <v>-0.05</v>
      </c>
      <c r="I7888">
        <v>18.61243</v>
      </c>
      <c r="J7888">
        <v>-341.61810000000003</v>
      </c>
      <c r="K7888">
        <v>1.110231</v>
      </c>
      <c r="L7888">
        <v>17.56381</v>
      </c>
      <c r="M7888">
        <v>0.99984830000000002</v>
      </c>
      <c r="N7888">
        <v>0</v>
      </c>
      <c r="O7888">
        <v>9.0973470000000004E-3</v>
      </c>
      <c r="P7888">
        <v>0.99961529999999998</v>
      </c>
      <c r="Q7888">
        <v>-9.8954119999999993E-3</v>
      </c>
      <c r="R7888">
        <v>-2.591506E-2</v>
      </c>
      <c r="S7888">
        <v>3.0029910000000002</v>
      </c>
      <c r="T7888">
        <v>-0.1385304</v>
      </c>
      <c r="U7888">
        <v>0.12533569999999999</v>
      </c>
      <c r="V7888">
        <v>3.5009609999999997E-2</v>
      </c>
      <c r="W7888">
        <v>4.9479449999999996E-3</v>
      </c>
      <c r="X7888">
        <v>0.99937469999999995</v>
      </c>
      <c r="Y7888">
        <v>-3.2583559999999998E-2</v>
      </c>
      <c r="Z7888">
        <v>3.3154229999999999E-4</v>
      </c>
      <c r="AA7888">
        <v>0.99946900000000005</v>
      </c>
      <c r="AB7888">
        <v>25</v>
      </c>
      <c r="AC7888">
        <v>25.026499999999999</v>
      </c>
      <c r="AD7888">
        <v>-1.160231</v>
      </c>
      <c r="AE7888">
        <v>1.0486199999999899</v>
      </c>
      <c r="AF7888">
        <v>-0.81911930968908597</v>
      </c>
      <c r="AG7888">
        <v>-1.160231</v>
      </c>
      <c r="AH7888">
        <v>24.981407434661499</v>
      </c>
      <c r="AI7888">
        <v>92.657695518096304</v>
      </c>
      <c r="AJ7888">
        <v>91.878007513490601</v>
      </c>
      <c r="AK7888">
        <v>25.021746738255999</v>
      </c>
      <c r="AL7888">
        <v>89.716502469795898</v>
      </c>
      <c r="AM7888">
        <v>87.9936624908228</v>
      </c>
      <c r="AN7888">
        <v>0.99999997297608201</v>
      </c>
    </row>
    <row r="7889" spans="1:40" x14ac:dyDescent="0.25">
      <c r="A7889" t="str">
        <f>"20190312154116240"</f>
        <v>20190312154116240</v>
      </c>
      <c r="B7889" t="str">
        <f>"1552376476234496"</f>
        <v>1552376476234496</v>
      </c>
      <c r="C7889" t="s">
        <v>40</v>
      </c>
      <c r="D7889">
        <v>4.452356</v>
      </c>
      <c r="E7889">
        <v>0.4663099</v>
      </c>
      <c r="F7889" t="s">
        <v>43</v>
      </c>
      <c r="G7889">
        <v>-316.7373</v>
      </c>
      <c r="H7889">
        <v>-0.05</v>
      </c>
      <c r="I7889">
        <v>19.054379999999998</v>
      </c>
      <c r="J7889">
        <v>-341.49250000000001</v>
      </c>
      <c r="K7889">
        <v>1.1102369999999999</v>
      </c>
      <c r="L7889">
        <v>17.564879999999999</v>
      </c>
      <c r="M7889">
        <v>0.99984870000000003</v>
      </c>
      <c r="N7889">
        <v>0</v>
      </c>
      <c r="O7889">
        <v>9.0550470000000001E-3</v>
      </c>
      <c r="P7889">
        <v>0.99960550000000004</v>
      </c>
      <c r="Q7889">
        <v>-9.9143289999999995E-3</v>
      </c>
      <c r="R7889">
        <v>-2.6277910000000002E-2</v>
      </c>
      <c r="S7889">
        <v>3.0044249999999999</v>
      </c>
      <c r="T7889">
        <v>-0.140101</v>
      </c>
      <c r="U7889">
        <v>0.17999270000000001</v>
      </c>
      <c r="V7889">
        <v>3.5330180000000003E-2</v>
      </c>
      <c r="W7889">
        <v>4.9260099999999998E-3</v>
      </c>
      <c r="X7889">
        <v>0.99936349999999996</v>
      </c>
      <c r="Y7889">
        <v>-5.0714580000000002E-2</v>
      </c>
      <c r="Z7889">
        <v>7.5909289999999895E-4</v>
      </c>
      <c r="AA7889">
        <v>0.99871290000000001</v>
      </c>
      <c r="AB7889">
        <v>25</v>
      </c>
      <c r="AC7889">
        <v>24.755199999999999</v>
      </c>
      <c r="AD7889">
        <v>-1.160237</v>
      </c>
      <c r="AE7889">
        <v>1.4894999999999901</v>
      </c>
      <c r="AF7889">
        <v>-1.2624914479123901</v>
      </c>
      <c r="AG7889">
        <v>-1.160237</v>
      </c>
      <c r="AH7889">
        <v>24.713582625160701</v>
      </c>
      <c r="AI7889">
        <v>92.684415607389596</v>
      </c>
      <c r="AJ7889">
        <v>92.924408299051805</v>
      </c>
      <c r="AK7889">
        <v>24.772993374295002</v>
      </c>
      <c r="AL7889">
        <v>89.717759260502106</v>
      </c>
      <c r="AM7889">
        <v>87.975283751987305</v>
      </c>
      <c r="AN7889">
        <v>0.99999994616279897</v>
      </c>
    </row>
    <row r="7890" spans="1:40" x14ac:dyDescent="0.25">
      <c r="A7890" t="str">
        <f>"20190312154116252"</f>
        <v>20190312154116252</v>
      </c>
      <c r="B7890" t="str">
        <f>"1552376476244255"</f>
        <v>1552376476244255</v>
      </c>
      <c r="C7890" t="s">
        <v>40</v>
      </c>
      <c r="D7890">
        <v>4.4356280000000003</v>
      </c>
      <c r="E7890">
        <v>0.4647831</v>
      </c>
      <c r="F7890" t="s">
        <v>43</v>
      </c>
      <c r="G7890">
        <v>-316.53960000000001</v>
      </c>
      <c r="H7890">
        <v>-0.05</v>
      </c>
      <c r="I7890">
        <v>19.1584</v>
      </c>
      <c r="J7890">
        <v>-341.35840000000002</v>
      </c>
      <c r="K7890">
        <v>1.1102350000000001</v>
      </c>
      <c r="L7890">
        <v>17.56607</v>
      </c>
      <c r="M7890">
        <v>0.99984910000000005</v>
      </c>
      <c r="N7890">
        <v>0</v>
      </c>
      <c r="O7890">
        <v>9.0091070000000006E-3</v>
      </c>
      <c r="P7890">
        <v>0.99960400000000005</v>
      </c>
      <c r="Q7890">
        <v>-9.9944189999999992E-3</v>
      </c>
      <c r="R7890">
        <v>-2.630528E-2</v>
      </c>
      <c r="S7890">
        <v>3.004883</v>
      </c>
      <c r="T7890">
        <v>-0.1397185</v>
      </c>
      <c r="U7890">
        <v>0.1918945</v>
      </c>
      <c r="V7890">
        <v>3.5311450000000001E-2</v>
      </c>
      <c r="W7890">
        <v>4.8420879999999996E-3</v>
      </c>
      <c r="X7890">
        <v>0.99936460000000005</v>
      </c>
      <c r="Y7890">
        <v>-5.4687560000000003E-2</v>
      </c>
      <c r="Z7890">
        <v>8.5117259999999996E-4</v>
      </c>
      <c r="AA7890">
        <v>0.99850309999999998</v>
      </c>
      <c r="AB7890">
        <v>25</v>
      </c>
      <c r="AC7890">
        <v>24.8188</v>
      </c>
      <c r="AD7890">
        <v>-1.1602349999999999</v>
      </c>
      <c r="AE7890">
        <v>1.59233</v>
      </c>
      <c r="AF7890">
        <v>-1.36567316817899</v>
      </c>
      <c r="AG7890">
        <v>-1.1602349999999999</v>
      </c>
      <c r="AH7890">
        <v>24.7782113665514</v>
      </c>
      <c r="AI7890">
        <v>92.676848883331203</v>
      </c>
      <c r="AJ7890">
        <v>93.154716030923296</v>
      </c>
      <c r="AK7890">
        <v>24.842925894165599</v>
      </c>
      <c r="AL7890">
        <v>89.722567702251098</v>
      </c>
      <c r="AM7890">
        <v>87.976358471298894</v>
      </c>
      <c r="AN7890">
        <v>0.99999997402523</v>
      </c>
    </row>
    <row r="7891" spans="1:40" x14ac:dyDescent="0.25">
      <c r="A7891" t="str">
        <f>"20190312154116264"</f>
        <v>20190312154116264</v>
      </c>
      <c r="B7891" t="str">
        <f>"1552376476254016"</f>
        <v>1552376476254016</v>
      </c>
      <c r="C7891" t="s">
        <v>40</v>
      </c>
      <c r="D7891">
        <v>4.4583219999999999</v>
      </c>
      <c r="E7891">
        <v>0.46359410000000001</v>
      </c>
      <c r="F7891" t="s">
        <v>43</v>
      </c>
      <c r="G7891">
        <v>-316.62400000000002</v>
      </c>
      <c r="H7891">
        <v>-0.05</v>
      </c>
      <c r="I7891">
        <v>19.244420000000002</v>
      </c>
      <c r="J7891">
        <v>-341.22379999999998</v>
      </c>
      <c r="K7891">
        <v>1.1102339999999999</v>
      </c>
      <c r="L7891">
        <v>17.5672</v>
      </c>
      <c r="M7891">
        <v>0.99984969999999995</v>
      </c>
      <c r="N7891">
        <v>0</v>
      </c>
      <c r="O7891">
        <v>8.9616100000000001E-3</v>
      </c>
      <c r="P7891">
        <v>0.99959799999999999</v>
      </c>
      <c r="Q7891">
        <v>-1.005342E-2</v>
      </c>
      <c r="R7891">
        <v>-2.6515739999999999E-2</v>
      </c>
      <c r="S7891">
        <v>3.005188</v>
      </c>
      <c r="T7891">
        <v>-0.14096700000000001</v>
      </c>
      <c r="U7891">
        <v>0.2039185</v>
      </c>
      <c r="V7891">
        <v>3.5474520000000002E-2</v>
      </c>
      <c r="W7891">
        <v>4.7800999999999998E-3</v>
      </c>
      <c r="X7891">
        <v>0.99935909999999994</v>
      </c>
      <c r="Y7891">
        <v>-5.870061E-2</v>
      </c>
      <c r="Z7891">
        <v>9.5475900000000001E-4</v>
      </c>
      <c r="AA7891">
        <v>0.99827520000000003</v>
      </c>
      <c r="AB7891">
        <v>25</v>
      </c>
      <c r="AC7891">
        <v>24.599799999999899</v>
      </c>
      <c r="AD7891">
        <v>-1.160234</v>
      </c>
      <c r="AE7891">
        <v>1.6772199999999999</v>
      </c>
      <c r="AF7891">
        <v>-1.45345631674373</v>
      </c>
      <c r="AG7891">
        <v>-1.160234</v>
      </c>
      <c r="AH7891">
        <v>24.559465005090399</v>
      </c>
      <c r="AI7891">
        <v>92.700029210934701</v>
      </c>
      <c r="AJ7891">
        <v>93.386877251779097</v>
      </c>
      <c r="AK7891">
        <v>24.629778714712302</v>
      </c>
      <c r="AL7891">
        <v>89.726119387879194</v>
      </c>
      <c r="AM7891">
        <v>87.9670098404915</v>
      </c>
      <c r="AN7891">
        <v>0.99999995083902304</v>
      </c>
    </row>
    <row r="7892" spans="1:40" x14ac:dyDescent="0.25">
      <c r="A7892" t="str">
        <f>"20190312154116276"</f>
        <v>20190312154116276</v>
      </c>
      <c r="B7892" t="str">
        <f>"1552376476263775"</f>
        <v>1552376476263775</v>
      </c>
      <c r="C7892" t="s">
        <v>40</v>
      </c>
      <c r="D7892">
        <v>4.4762779999999998</v>
      </c>
      <c r="E7892">
        <v>0.46258909999999998</v>
      </c>
      <c r="F7892" t="s">
        <v>43</v>
      </c>
      <c r="G7892">
        <v>-316.88189999999997</v>
      </c>
      <c r="H7892">
        <v>-0.05</v>
      </c>
      <c r="I7892">
        <v>19.29073</v>
      </c>
      <c r="J7892">
        <v>-341.09219999999999</v>
      </c>
      <c r="K7892">
        <v>1.110231</v>
      </c>
      <c r="L7892">
        <v>17.568359999999998</v>
      </c>
      <c r="M7892">
        <v>0.99985000000000002</v>
      </c>
      <c r="N7892">
        <v>0</v>
      </c>
      <c r="O7892">
        <v>8.9145849999999992E-3</v>
      </c>
      <c r="P7892">
        <v>0.99958769999999997</v>
      </c>
      <c r="Q7892">
        <v>-1.043066E-2</v>
      </c>
      <c r="R7892">
        <v>-2.6751270000000001E-2</v>
      </c>
      <c r="S7892">
        <v>3.0054319999999999</v>
      </c>
      <c r="T7892">
        <v>-0.14325079999999901</v>
      </c>
      <c r="U7892">
        <v>0.21279909999999999</v>
      </c>
      <c r="V7892">
        <v>3.5662770000000003E-2</v>
      </c>
      <c r="W7892">
        <v>4.3995880000000003E-3</v>
      </c>
      <c r="X7892">
        <v>0.99935419999999997</v>
      </c>
      <c r="Y7892">
        <v>-6.1672299999999999E-2</v>
      </c>
      <c r="Z7892">
        <v>1.042963E-3</v>
      </c>
      <c r="AA7892">
        <v>0.99809590000000004</v>
      </c>
      <c r="AB7892">
        <v>25</v>
      </c>
      <c r="AC7892">
        <v>24.2103</v>
      </c>
      <c r="AD7892">
        <v>-1.160231</v>
      </c>
      <c r="AE7892">
        <v>1.72236999999999</v>
      </c>
      <c r="AF7892">
        <v>-1.5030184932549799</v>
      </c>
      <c r="AG7892">
        <v>-1.160231</v>
      </c>
      <c r="AH7892">
        <v>24.1694651969391</v>
      </c>
      <c r="AI7892">
        <v>92.743026162971702</v>
      </c>
      <c r="AJ7892">
        <v>93.558451245347399</v>
      </c>
      <c r="AK7892">
        <v>24.243932199015902</v>
      </c>
      <c r="AL7892">
        <v>89.747921363609095</v>
      </c>
      <c r="AM7892">
        <v>87.956220635011903</v>
      </c>
      <c r="AN7892">
        <v>1.00000000329814</v>
      </c>
    </row>
    <row r="7893" spans="1:40" x14ac:dyDescent="0.25">
      <c r="A7893" t="str">
        <f>"20190312154116289"</f>
        <v>20190312154116289</v>
      </c>
      <c r="B7893" t="str">
        <f>"1552376476284272"</f>
        <v>1552376476284272</v>
      </c>
      <c r="C7893" t="s">
        <v>40</v>
      </c>
      <c r="D7893">
        <v>4.4495040000000001</v>
      </c>
      <c r="E7893">
        <v>0.46099479999999998</v>
      </c>
      <c r="F7893" t="s">
        <v>43</v>
      </c>
      <c r="G7893">
        <v>-317.32369999999997</v>
      </c>
      <c r="H7893">
        <v>-0.05</v>
      </c>
      <c r="I7893">
        <v>19.308900000000001</v>
      </c>
      <c r="J7893">
        <v>-340.95699999999999</v>
      </c>
      <c r="K7893">
        <v>1.110228</v>
      </c>
      <c r="L7893">
        <v>17.569520000000001</v>
      </c>
      <c r="M7893">
        <v>0.99985060000000003</v>
      </c>
      <c r="N7893">
        <v>0</v>
      </c>
      <c r="O7893">
        <v>8.8637379999999995E-3</v>
      </c>
      <c r="P7893">
        <v>0.99957629999999997</v>
      </c>
      <c r="Q7893">
        <v>-1.0508490000000001E-2</v>
      </c>
      <c r="R7893">
        <v>-2.7149329999999999E-2</v>
      </c>
      <c r="S7893">
        <v>3.0055540000000001</v>
      </c>
      <c r="T7893">
        <v>-0.1467127</v>
      </c>
      <c r="U7893">
        <v>0.22009280000000001</v>
      </c>
      <c r="V7893">
        <v>3.6010100000000003E-2</v>
      </c>
      <c r="W7893">
        <v>4.318049E-3</v>
      </c>
      <c r="X7893">
        <v>0.99934210000000001</v>
      </c>
      <c r="Y7893">
        <v>-6.412379E-2</v>
      </c>
      <c r="Z7893">
        <v>1.1301989999999999E-3</v>
      </c>
      <c r="AA7893">
        <v>0.99794130000000003</v>
      </c>
      <c r="AB7893">
        <v>25</v>
      </c>
      <c r="AC7893">
        <v>23.633299999999998</v>
      </c>
      <c r="AD7893">
        <v>-1.160228</v>
      </c>
      <c r="AE7893">
        <v>1.7393799999999999</v>
      </c>
      <c r="AF7893">
        <v>-1.52615082374286</v>
      </c>
      <c r="AG7893">
        <v>-1.160228</v>
      </c>
      <c r="AH7893">
        <v>23.591239200376101</v>
      </c>
      <c r="AI7893">
        <v>92.809700555020996</v>
      </c>
      <c r="AJ7893">
        <v>93.701387821403799</v>
      </c>
      <c r="AK7893">
        <v>23.669005732353</v>
      </c>
      <c r="AL7893">
        <v>89.752593248428994</v>
      </c>
      <c r="AM7893">
        <v>87.936307840796502</v>
      </c>
      <c r="AN7893">
        <v>1.00000000284079</v>
      </c>
    </row>
    <row r="7894" spans="1:40" x14ac:dyDescent="0.25">
      <c r="A7894" t="str">
        <f>"20190312154116300"</f>
        <v>20190312154116300</v>
      </c>
      <c r="B7894" t="str">
        <f>"1552376476294032"</f>
        <v>1552376476294032</v>
      </c>
      <c r="C7894" t="s">
        <v>40</v>
      </c>
      <c r="D7894">
        <v>4.4344060000000001</v>
      </c>
      <c r="E7894">
        <v>0.4604164</v>
      </c>
      <c r="F7894" t="s">
        <v>43</v>
      </c>
      <c r="G7894">
        <v>-317.66719999999998</v>
      </c>
      <c r="H7894">
        <v>-0.05</v>
      </c>
      <c r="I7894">
        <v>19.36392</v>
      </c>
      <c r="J7894">
        <v>-340.82369999999997</v>
      </c>
      <c r="K7894">
        <v>1.1102259999999999</v>
      </c>
      <c r="L7894">
        <v>17.570620000000002</v>
      </c>
      <c r="M7894">
        <v>0.99985119999999905</v>
      </c>
      <c r="N7894">
        <v>0</v>
      </c>
      <c r="O7894">
        <v>8.8127090000000002E-3</v>
      </c>
      <c r="P7894">
        <v>0.99957510000000005</v>
      </c>
      <c r="Q7894">
        <v>-1.0584140000000001E-2</v>
      </c>
      <c r="R7894">
        <v>-2.7161870000000001E-2</v>
      </c>
      <c r="S7894">
        <v>3.005951</v>
      </c>
      <c r="T7894">
        <v>-0.14974760000000001</v>
      </c>
      <c r="U7894">
        <v>0.2315979</v>
      </c>
      <c r="V7894">
        <v>3.5971679999999999E-2</v>
      </c>
      <c r="W7894">
        <v>4.2388950000000003E-3</v>
      </c>
      <c r="X7894">
        <v>0.9993438</v>
      </c>
      <c r="Y7894">
        <v>-6.7955299999999996E-2</v>
      </c>
      <c r="Z7894">
        <v>1.251009E-3</v>
      </c>
      <c r="AA7894">
        <v>0.99768760000000001</v>
      </c>
      <c r="AB7894">
        <v>25</v>
      </c>
      <c r="AC7894">
        <v>23.156499999999902</v>
      </c>
      <c r="AD7894">
        <v>-1.160226</v>
      </c>
      <c r="AE7894">
        <v>1.7932999999999899</v>
      </c>
      <c r="AF7894">
        <v>-1.58518072600908</v>
      </c>
      <c r="AG7894">
        <v>-1.160226</v>
      </c>
      <c r="AH7894">
        <v>23.1137278353971</v>
      </c>
      <c r="AI7894">
        <v>92.866907113570903</v>
      </c>
      <c r="AJ7894">
        <v>93.9233035249094</v>
      </c>
      <c r="AK7894">
        <v>23.197054484438201</v>
      </c>
      <c r="AL7894">
        <v>89.757128474582899</v>
      </c>
      <c r="AM7894">
        <v>87.938511244268199</v>
      </c>
      <c r="AN7894">
        <v>0.99999998029564097</v>
      </c>
    </row>
    <row r="7895" spans="1:40" x14ac:dyDescent="0.25">
      <c r="A7895" t="str">
        <f>"20190312154116316"</f>
        <v>20190312154116316</v>
      </c>
      <c r="B7895" t="str">
        <f>"1552376476303792"</f>
        <v>1552376476303792</v>
      </c>
      <c r="C7895" t="s">
        <v>40</v>
      </c>
      <c r="D7895">
        <v>4.4383489999999997</v>
      </c>
      <c r="E7895">
        <v>0.45986670000000002</v>
      </c>
      <c r="F7895" t="s">
        <v>43</v>
      </c>
      <c r="G7895">
        <v>-318.0179</v>
      </c>
      <c r="H7895">
        <v>-0.05</v>
      </c>
      <c r="I7895">
        <v>19.362400000000001</v>
      </c>
      <c r="J7895">
        <v>-340.64569999999998</v>
      </c>
      <c r="K7895">
        <v>1.1102270000000001</v>
      </c>
      <c r="L7895">
        <v>17.572140000000001</v>
      </c>
      <c r="M7895">
        <v>0.99985190000000002</v>
      </c>
      <c r="N7895">
        <v>0</v>
      </c>
      <c r="O7895">
        <v>8.7410439999999999E-3</v>
      </c>
      <c r="P7895">
        <v>0.99956880000000004</v>
      </c>
      <c r="Q7895">
        <v>-1.055087E-2</v>
      </c>
      <c r="R7895">
        <v>-2.7409019999999999E-2</v>
      </c>
      <c r="S7895">
        <v>3.0060419999999999</v>
      </c>
      <c r="T7895">
        <v>-0.15292999999999901</v>
      </c>
      <c r="U7895">
        <v>0.23617550000000001</v>
      </c>
      <c r="V7895">
        <v>3.6147140000000001E-2</v>
      </c>
      <c r="W7895">
        <v>4.2675050000000004E-3</v>
      </c>
      <c r="X7895">
        <v>0.99933740000000004</v>
      </c>
      <c r="Y7895">
        <v>-6.9529309999999997E-2</v>
      </c>
      <c r="Z7895">
        <v>1.3210369999999999E-3</v>
      </c>
      <c r="AA7895">
        <v>0.99757899999999999</v>
      </c>
      <c r="AB7895">
        <v>25</v>
      </c>
      <c r="AC7895">
        <v>22.627799999999901</v>
      </c>
      <c r="AD7895">
        <v>-1.1602269999999999</v>
      </c>
      <c r="AE7895">
        <v>1.79026</v>
      </c>
      <c r="AF7895">
        <v>-1.5882296732806001</v>
      </c>
      <c r="AG7895">
        <v>-1.1602269999999999</v>
      </c>
      <c r="AH7895">
        <v>22.583581454447199</v>
      </c>
      <c r="AI7895">
        <v>92.933740374951597</v>
      </c>
      <c r="AJ7895">
        <v>94.022802084768301</v>
      </c>
      <c r="AK7895">
        <v>22.669070371240899</v>
      </c>
      <c r="AL7895">
        <v>89.755489240403705</v>
      </c>
      <c r="AM7895">
        <v>87.928451351188997</v>
      </c>
      <c r="AN7895">
        <v>1.00000003318393</v>
      </c>
    </row>
    <row r="7896" spans="1:40" x14ac:dyDescent="0.25">
      <c r="A7896" t="str">
        <f>"20190312154116329"</f>
        <v>20190312154116329</v>
      </c>
      <c r="B7896" t="str">
        <f>"1552376476324287"</f>
        <v>1552376476324287</v>
      </c>
      <c r="C7896" t="s">
        <v>40</v>
      </c>
      <c r="D7896">
        <v>4.4339599999999999</v>
      </c>
      <c r="E7896">
        <v>0.45897789999999999</v>
      </c>
      <c r="F7896" t="s">
        <v>43</v>
      </c>
      <c r="G7896">
        <v>-318.18150000000003</v>
      </c>
      <c r="H7896">
        <v>-0.05</v>
      </c>
      <c r="I7896">
        <v>19.364139999999999</v>
      </c>
      <c r="J7896">
        <v>-340.52</v>
      </c>
      <c r="K7896">
        <v>1.1102240000000001</v>
      </c>
      <c r="L7896">
        <v>17.573179999999901</v>
      </c>
      <c r="M7896">
        <v>0.99985239999999997</v>
      </c>
      <c r="N7896">
        <v>0</v>
      </c>
      <c r="O7896">
        <v>8.6871420000000001E-3</v>
      </c>
      <c r="P7896">
        <v>0.99957079999999998</v>
      </c>
      <c r="Q7896">
        <v>-1.0257260000000001E-2</v>
      </c>
      <c r="R7896">
        <v>-2.7446979999999999E-2</v>
      </c>
      <c r="S7896">
        <v>3.006195</v>
      </c>
      <c r="T7896">
        <v>-0.15526309999999999</v>
      </c>
      <c r="U7896">
        <v>0.2398071</v>
      </c>
      <c r="V7896">
        <v>3.6131139999999999E-2</v>
      </c>
      <c r="W7896">
        <v>4.5578959999999996E-3</v>
      </c>
      <c r="X7896">
        <v>0.99933669999999997</v>
      </c>
      <c r="Y7896">
        <v>-7.0772589999999996E-2</v>
      </c>
      <c r="Z7896">
        <v>1.3758450000000001E-3</v>
      </c>
      <c r="AA7896">
        <v>0.99749149999999998</v>
      </c>
      <c r="AB7896">
        <v>25</v>
      </c>
      <c r="AC7896">
        <v>22.3384999999999</v>
      </c>
      <c r="AD7896">
        <v>-1.1602239999999999</v>
      </c>
      <c r="AE7896">
        <v>1.7909600000000001</v>
      </c>
      <c r="AF7896">
        <v>-1.59254476928069</v>
      </c>
      <c r="AG7896">
        <v>-1.1602239999999999</v>
      </c>
      <c r="AH7896">
        <v>22.293462435626601</v>
      </c>
      <c r="AI7896">
        <v>92.971611369276403</v>
      </c>
      <c r="AJ7896">
        <v>94.086012083826503</v>
      </c>
      <c r="AK7896">
        <v>22.380366081479401</v>
      </c>
      <c r="AL7896">
        <v>89.738850901150002</v>
      </c>
      <c r="AM7896">
        <v>87.929366044245398</v>
      </c>
      <c r="AN7896">
        <v>1.00000003683026</v>
      </c>
    </row>
    <row r="7897" spans="1:40" x14ac:dyDescent="0.25">
      <c r="A7897" t="str">
        <f>"20190312154116339"</f>
        <v>20190312154116339</v>
      </c>
      <c r="B7897" t="str">
        <f>"1552376476334047"</f>
        <v>1552376476334047</v>
      </c>
      <c r="C7897" t="s">
        <v>40</v>
      </c>
      <c r="D7897">
        <v>4.4357989999999896</v>
      </c>
      <c r="E7897">
        <v>0.45856459999999999</v>
      </c>
      <c r="F7897" t="s">
        <v>43</v>
      </c>
      <c r="G7897">
        <v>-318.5163</v>
      </c>
      <c r="H7897">
        <v>-0.05</v>
      </c>
      <c r="I7897">
        <v>19.379670000000001</v>
      </c>
      <c r="J7897">
        <v>-340.40050000000002</v>
      </c>
      <c r="K7897">
        <v>1.11022</v>
      </c>
      <c r="L7897">
        <v>17.574189999999899</v>
      </c>
      <c r="M7897">
        <v>0.99985279999999999</v>
      </c>
      <c r="N7897">
        <v>0</v>
      </c>
      <c r="O7897">
        <v>8.6349080000000002E-3</v>
      </c>
      <c r="P7897">
        <v>0.99957949999999995</v>
      </c>
      <c r="Q7897">
        <v>-1.003516E-2</v>
      </c>
      <c r="R7897">
        <v>-2.7206939999999999E-2</v>
      </c>
      <c r="S7897">
        <v>3.0064389999999999</v>
      </c>
      <c r="T7897">
        <v>-0.15852569999999999</v>
      </c>
      <c r="U7897">
        <v>0.2468262</v>
      </c>
      <c r="V7897">
        <v>3.5839250000000003E-2</v>
      </c>
      <c r="W7897">
        <v>4.776761E-3</v>
      </c>
      <c r="X7897">
        <v>0.99934610000000001</v>
      </c>
      <c r="Y7897">
        <v>-7.3124949999999994E-2</v>
      </c>
      <c r="Z7897">
        <v>1.4690910000000001E-3</v>
      </c>
      <c r="AA7897">
        <v>0.99732169999999998</v>
      </c>
      <c r="AB7897">
        <v>25</v>
      </c>
      <c r="AC7897">
        <v>21.8842</v>
      </c>
      <c r="AD7897">
        <v>-1.16022</v>
      </c>
      <c r="AE7897">
        <v>1.80548</v>
      </c>
      <c r="AF7897">
        <v>-1.6119237927527501</v>
      </c>
      <c r="AG7897">
        <v>-1.16022</v>
      </c>
      <c r="AH7897">
        <v>21.838009995637801</v>
      </c>
      <c r="AI7897">
        <v>93.032942187385203</v>
      </c>
      <c r="AJ7897">
        <v>94.221504028202901</v>
      </c>
      <c r="AK7897">
        <v>21.9281346523506</v>
      </c>
      <c r="AL7897">
        <v>89.726310700022793</v>
      </c>
      <c r="AM7897">
        <v>87.946098840967593</v>
      </c>
      <c r="AN7897">
        <v>0.99999994843571005</v>
      </c>
    </row>
    <row r="7898" spans="1:40" x14ac:dyDescent="0.25">
      <c r="A7898" t="str">
        <f>"20190312154116350"</f>
        <v>20190312154116350</v>
      </c>
      <c r="B7898" t="str">
        <f>"1552376476343807"</f>
        <v>1552376476343807</v>
      </c>
      <c r="C7898" t="s">
        <v>40</v>
      </c>
      <c r="D7898">
        <v>4.4638499999999999</v>
      </c>
      <c r="E7898">
        <v>0.45824549999999997</v>
      </c>
      <c r="F7898" t="s">
        <v>43</v>
      </c>
      <c r="G7898">
        <v>-318.62490000000003</v>
      </c>
      <c r="H7898">
        <v>-0.05</v>
      </c>
      <c r="I7898">
        <v>19.39114</v>
      </c>
      <c r="J7898">
        <v>-340.26990000000001</v>
      </c>
      <c r="K7898">
        <v>1.1102179999999999</v>
      </c>
      <c r="L7898">
        <v>17.57526</v>
      </c>
      <c r="M7898">
        <v>0.9998534</v>
      </c>
      <c r="N7898">
        <v>0</v>
      </c>
      <c r="O7898">
        <v>8.5746190000000003E-3</v>
      </c>
      <c r="P7898">
        <v>0.99958130000000001</v>
      </c>
      <c r="Q7898">
        <v>-9.8498949999999991E-3</v>
      </c>
      <c r="R7898">
        <v>-2.7207970000000001E-2</v>
      </c>
      <c r="S7898">
        <v>3.0064389999999999</v>
      </c>
      <c r="T7898">
        <v>-0.16018550000000001</v>
      </c>
      <c r="U7898">
        <v>0.25085449999999998</v>
      </c>
      <c r="V7898">
        <v>3.5779970000000001E-2</v>
      </c>
      <c r="W7898">
        <v>4.9584349999999998E-3</v>
      </c>
      <c r="X7898">
        <v>0.9993474</v>
      </c>
      <c r="Y7898">
        <v>-7.4508340000000006E-2</v>
      </c>
      <c r="Z7898">
        <v>1.5243380000000001E-3</v>
      </c>
      <c r="AA7898">
        <v>0.99721919999999997</v>
      </c>
      <c r="AB7898">
        <v>25</v>
      </c>
      <c r="AC7898">
        <v>21.6449999999999</v>
      </c>
      <c r="AD7898">
        <v>-1.160218</v>
      </c>
      <c r="AE7898">
        <v>1.8158799999999999</v>
      </c>
      <c r="AF7898">
        <v>-1.62555732405066</v>
      </c>
      <c r="AG7898">
        <v>-1.160218</v>
      </c>
      <c r="AH7898">
        <v>21.598154435587499</v>
      </c>
      <c r="AI7898">
        <v>93.066225758637998</v>
      </c>
      <c r="AJ7898">
        <v>94.304178230503396</v>
      </c>
      <c r="AK7898">
        <v>21.690293161799001</v>
      </c>
      <c r="AL7898">
        <v>89.715901439944801</v>
      </c>
      <c r="AM7898">
        <v>87.949495863940498</v>
      </c>
      <c r="AN7898">
        <v>1.0000000091087999</v>
      </c>
    </row>
    <row r="7899" spans="1:40" x14ac:dyDescent="0.25">
      <c r="A7899" t="str">
        <f>"20190312154116362"</f>
        <v>20190312154116362</v>
      </c>
      <c r="B7899" t="str">
        <f>"1552376476354543"</f>
        <v>1552376476354543</v>
      </c>
      <c r="C7899" t="s">
        <v>40</v>
      </c>
      <c r="D7899">
        <v>4.4498490000000004</v>
      </c>
      <c r="E7899">
        <v>0.45793339999999999</v>
      </c>
      <c r="F7899" t="s">
        <v>43</v>
      </c>
      <c r="G7899">
        <v>-318.58670000000001</v>
      </c>
      <c r="H7899">
        <v>-0.05</v>
      </c>
      <c r="I7899">
        <v>19.402920000000002</v>
      </c>
      <c r="J7899">
        <v>-340.14769999999999</v>
      </c>
      <c r="K7899">
        <v>1.110214</v>
      </c>
      <c r="L7899">
        <v>17.576229999999999</v>
      </c>
      <c r="M7899">
        <v>0.99985400000000002</v>
      </c>
      <c r="N7899">
        <v>0</v>
      </c>
      <c r="O7899">
        <v>8.5160010000000005E-3</v>
      </c>
      <c r="P7899">
        <v>0.99958689999999994</v>
      </c>
      <c r="Q7899">
        <v>-9.7128279999999997E-3</v>
      </c>
      <c r="R7899">
        <v>-2.7052179999999999E-2</v>
      </c>
      <c r="S7899">
        <v>3.0065309999999998</v>
      </c>
      <c r="T7899">
        <v>-0.1608725</v>
      </c>
      <c r="U7899">
        <v>0.25341799999999998</v>
      </c>
      <c r="V7899">
        <v>3.5565890000000003E-2</v>
      </c>
      <c r="W7899">
        <v>5.0924239999999999E-3</v>
      </c>
      <c r="X7899">
        <v>0.99935439999999998</v>
      </c>
      <c r="Y7899">
        <v>-7.5406470000000003E-2</v>
      </c>
      <c r="Z7899">
        <v>1.557864E-3</v>
      </c>
      <c r="AA7899">
        <v>0.99715169999999997</v>
      </c>
      <c r="AB7899">
        <v>25</v>
      </c>
      <c r="AC7899">
        <v>21.5609999999999</v>
      </c>
      <c r="AD7899">
        <v>-1.1602139999999901</v>
      </c>
      <c r="AE7899">
        <v>1.8266899999999999</v>
      </c>
      <c r="AF7899">
        <v>-1.6382801033099801</v>
      </c>
      <c r="AG7899">
        <v>-1.1602139999999901</v>
      </c>
      <c r="AH7899">
        <v>21.5139240538733</v>
      </c>
      <c r="AI7899">
        <v>93.077991973341099</v>
      </c>
      <c r="AJ7899">
        <v>94.354655464396401</v>
      </c>
      <c r="AK7899">
        <v>21.6073826832063</v>
      </c>
      <c r="AL7899">
        <v>89.708224348186505</v>
      </c>
      <c r="AM7899">
        <v>87.961768399469406</v>
      </c>
      <c r="AN7899">
        <v>1.00000004105652</v>
      </c>
    </row>
    <row r="7900" spans="1:40" x14ac:dyDescent="0.25">
      <c r="A7900" t="str">
        <f>"20190312154116373"</f>
        <v>20190312154116373</v>
      </c>
      <c r="B7900" t="str">
        <f>"1552376476364303"</f>
        <v>1552376476364303</v>
      </c>
      <c r="C7900" t="s">
        <v>40</v>
      </c>
      <c r="D7900">
        <v>4.4403610000000002</v>
      </c>
      <c r="E7900">
        <v>0.4576885</v>
      </c>
      <c r="F7900" t="s">
        <v>43</v>
      </c>
      <c r="G7900">
        <v>-318.61</v>
      </c>
      <c r="H7900">
        <v>-0.05</v>
      </c>
      <c r="I7900">
        <v>19.412579999999998</v>
      </c>
      <c r="J7900">
        <v>-340.02539999999999</v>
      </c>
      <c r="K7900">
        <v>1.110212</v>
      </c>
      <c r="L7900">
        <v>17.577210000000001</v>
      </c>
      <c r="M7900">
        <v>0.99985449999999998</v>
      </c>
      <c r="N7900">
        <v>0</v>
      </c>
      <c r="O7900">
        <v>8.4552350000000002E-3</v>
      </c>
      <c r="P7900">
        <v>0.99959089999999995</v>
      </c>
      <c r="Q7900">
        <v>-9.4609140000000008E-3</v>
      </c>
      <c r="R7900">
        <v>-2.7001150000000002E-2</v>
      </c>
      <c r="S7900">
        <v>3.0065919999999999</v>
      </c>
      <c r="T7900">
        <v>-0.16196160000000001</v>
      </c>
      <c r="U7900">
        <v>0.25634770000000001</v>
      </c>
      <c r="V7900">
        <v>3.5453980000000003E-2</v>
      </c>
      <c r="W7900">
        <v>5.34133E-3</v>
      </c>
      <c r="X7900">
        <v>0.99935700000000005</v>
      </c>
      <c r="Y7900">
        <v>-7.6427190000000006E-2</v>
      </c>
      <c r="Z7900">
        <v>1.5989870000000001E-3</v>
      </c>
      <c r="AA7900">
        <v>0.99707389999999996</v>
      </c>
      <c r="AB7900">
        <v>24</v>
      </c>
      <c r="AC7900">
        <v>21.415399999999899</v>
      </c>
      <c r="AD7900">
        <v>-1.160212</v>
      </c>
      <c r="AE7900">
        <v>1.83536999999999</v>
      </c>
      <c r="AF7900">
        <v>-1.6494063968052599</v>
      </c>
      <c r="AG7900">
        <v>-1.160212</v>
      </c>
      <c r="AH7900">
        <v>21.367894976409701</v>
      </c>
      <c r="AI7900">
        <v>93.098735470468696</v>
      </c>
      <c r="AJ7900">
        <v>94.413958182696604</v>
      </c>
      <c r="AK7900">
        <v>21.462841588886601</v>
      </c>
      <c r="AL7900">
        <v>89.6939628677803</v>
      </c>
      <c r="AM7900">
        <v>87.968181703426197</v>
      </c>
      <c r="AN7900">
        <v>0.99999996397650404</v>
      </c>
    </row>
    <row r="7901" spans="1:40" x14ac:dyDescent="0.25">
      <c r="A7901" t="str">
        <f>"20190312154116383"</f>
        <v>20190312154116383</v>
      </c>
      <c r="B7901" t="str">
        <f>"1552376476374064"</f>
        <v>1552376476374064</v>
      </c>
      <c r="C7901" t="s">
        <v>40</v>
      </c>
      <c r="D7901">
        <v>4.4390919999999996</v>
      </c>
      <c r="E7901">
        <v>0.45741369999999998</v>
      </c>
      <c r="F7901" t="s">
        <v>43</v>
      </c>
      <c r="G7901">
        <v>-318.43709999999999</v>
      </c>
      <c r="H7901">
        <v>-0.05</v>
      </c>
      <c r="I7901">
        <v>19.433150000000001</v>
      </c>
      <c r="J7901">
        <v>-339.90870000000001</v>
      </c>
      <c r="K7901">
        <v>1.1102099999999999</v>
      </c>
      <c r="L7901">
        <v>17.578129999999899</v>
      </c>
      <c r="M7901">
        <v>0.99985500000000005</v>
      </c>
      <c r="N7901">
        <v>0</v>
      </c>
      <c r="O7901">
        <v>8.3945900000000004E-3</v>
      </c>
      <c r="P7901">
        <v>0.99959390000000004</v>
      </c>
      <c r="Q7901">
        <v>-9.3747750000000001E-3</v>
      </c>
      <c r="R7901">
        <v>-2.6905410000000001E-2</v>
      </c>
      <c r="S7901">
        <v>3.0066830000000002</v>
      </c>
      <c r="T7901">
        <v>-0.1615867</v>
      </c>
      <c r="U7901">
        <v>0.25848389999999999</v>
      </c>
      <c r="V7901">
        <v>3.5298019999999999E-2</v>
      </c>
      <c r="W7901">
        <v>5.4242980000000001E-3</v>
      </c>
      <c r="X7901">
        <v>0.99936210000000003</v>
      </c>
      <c r="Y7901">
        <v>-7.7187640000000002E-2</v>
      </c>
      <c r="Z7901">
        <v>1.6188280000000001E-3</v>
      </c>
      <c r="AA7901">
        <v>0.99701530000000005</v>
      </c>
      <c r="AB7901">
        <v>24</v>
      </c>
      <c r="AC7901">
        <v>21.471599999999999</v>
      </c>
      <c r="AD7901">
        <v>-1.16021</v>
      </c>
      <c r="AE7901">
        <v>1.8550199999999999</v>
      </c>
      <c r="AF7901">
        <v>-1.6698501493717299</v>
      </c>
      <c r="AG7901">
        <v>-1.16021</v>
      </c>
      <c r="AH7901">
        <v>21.424327061026801</v>
      </c>
      <c r="AI7901">
        <v>93.090405286059493</v>
      </c>
      <c r="AJ7901">
        <v>94.456724766178993</v>
      </c>
      <c r="AK7901">
        <v>21.5206012179796</v>
      </c>
      <c r="AL7901">
        <v>89.689209090612707</v>
      </c>
      <c r="AM7901">
        <v>87.977122426918299</v>
      </c>
      <c r="AN7901">
        <v>0.99999999007056095</v>
      </c>
    </row>
    <row r="7902" spans="1:40" x14ac:dyDescent="0.25">
      <c r="A7902" t="str">
        <f>"20190312154116394"</f>
        <v>20190312154116394</v>
      </c>
      <c r="B7902" t="str">
        <f>"1552376476383824"</f>
        <v>1552376476383824</v>
      </c>
      <c r="C7902" t="s">
        <v>40</v>
      </c>
      <c r="D7902">
        <v>4.4668760000000001</v>
      </c>
      <c r="E7902">
        <v>0.4572794</v>
      </c>
      <c r="F7902" t="s">
        <v>43</v>
      </c>
      <c r="G7902">
        <v>-318.45280000000002</v>
      </c>
      <c r="H7902">
        <v>-0.05</v>
      </c>
      <c r="I7902">
        <v>19.44031</v>
      </c>
      <c r="J7902">
        <v>-339.78820000000002</v>
      </c>
      <c r="K7902">
        <v>1.110209</v>
      </c>
      <c r="L7902">
        <v>17.5791</v>
      </c>
      <c r="M7902">
        <v>0.99985559999999996</v>
      </c>
      <c r="N7902">
        <v>0</v>
      </c>
      <c r="O7902">
        <v>8.3307859999999997E-3</v>
      </c>
      <c r="P7902">
        <v>0.99959540000000002</v>
      </c>
      <c r="Q7902">
        <v>-9.2472679999999995E-3</v>
      </c>
      <c r="R7902">
        <v>-2.689913E-2</v>
      </c>
      <c r="S7902">
        <v>3.0067140000000001</v>
      </c>
      <c r="T7902">
        <v>-0.1625857</v>
      </c>
      <c r="U7902">
        <v>0.26095580000000002</v>
      </c>
      <c r="V7902">
        <v>3.5227960000000003E-2</v>
      </c>
      <c r="W7902">
        <v>5.5482739999999997E-3</v>
      </c>
      <c r="X7902">
        <v>0.99936389999999997</v>
      </c>
      <c r="Y7902">
        <v>-7.8061399999999906E-2</v>
      </c>
      <c r="Z7902">
        <v>1.655751E-3</v>
      </c>
      <c r="AA7902">
        <v>0.99694720000000003</v>
      </c>
      <c r="AB7902">
        <v>24</v>
      </c>
      <c r="AC7902">
        <v>21.3354</v>
      </c>
      <c r="AD7902">
        <v>-1.160209</v>
      </c>
      <c r="AE7902">
        <v>1.86121</v>
      </c>
      <c r="AF7902">
        <v>-1.67845930703885</v>
      </c>
      <c r="AG7902">
        <v>-1.160209</v>
      </c>
      <c r="AH7902">
        <v>21.287691410573501</v>
      </c>
      <c r="AI7902">
        <v>93.109980847184005</v>
      </c>
      <c r="AJ7902">
        <v>94.508243126687105</v>
      </c>
      <c r="AK7902">
        <v>21.385254643348802</v>
      </c>
      <c r="AL7902">
        <v>89.682105684772907</v>
      </c>
      <c r="AM7902">
        <v>87.981137769902702</v>
      </c>
      <c r="AN7902">
        <v>0.99999999856667499</v>
      </c>
    </row>
    <row r="7903" spans="1:40" x14ac:dyDescent="0.25">
      <c r="A7903" t="str">
        <f>"20190312154116406"</f>
        <v>20190312154116406</v>
      </c>
      <c r="B7903" t="str">
        <f>"1552376476394559"</f>
        <v>1552376476394559</v>
      </c>
      <c r="C7903" t="s">
        <v>40</v>
      </c>
      <c r="D7903">
        <v>4.4375609999999996</v>
      </c>
      <c r="E7903">
        <v>0.45710909999999899</v>
      </c>
      <c r="F7903" t="s">
        <v>43</v>
      </c>
      <c r="G7903">
        <v>-318.61320000000001</v>
      </c>
      <c r="H7903">
        <v>-0.05</v>
      </c>
      <c r="I7903">
        <v>19.424610000000001</v>
      </c>
      <c r="J7903">
        <v>-339.66820000000001</v>
      </c>
      <c r="K7903">
        <v>1.1102069999999999</v>
      </c>
      <c r="L7903">
        <v>17.580020000000001</v>
      </c>
      <c r="M7903">
        <v>0.99985630000000003</v>
      </c>
      <c r="N7903">
        <v>0</v>
      </c>
      <c r="O7903">
        <v>8.2639469999999902E-3</v>
      </c>
      <c r="P7903">
        <v>0.9995984</v>
      </c>
      <c r="Q7903">
        <v>-9.1194180000000007E-3</v>
      </c>
      <c r="R7903">
        <v>-2.6831959999999998E-2</v>
      </c>
      <c r="S7903">
        <v>3.0067750000000002</v>
      </c>
      <c r="T7903">
        <v>-0.16474559999999999</v>
      </c>
      <c r="U7903">
        <v>0.26205440000000002</v>
      </c>
      <c r="V7903">
        <v>3.5094060000000003E-2</v>
      </c>
      <c r="W7903">
        <v>5.6732040000000003E-3</v>
      </c>
      <c r="X7903">
        <v>0.99936789999999998</v>
      </c>
      <c r="Y7903">
        <v>-7.8484410000000004E-2</v>
      </c>
      <c r="Z7903">
        <v>1.692865E-3</v>
      </c>
      <c r="AA7903">
        <v>0.99691390000000002</v>
      </c>
      <c r="AB7903">
        <v>24</v>
      </c>
      <c r="AC7903">
        <v>21.055</v>
      </c>
      <c r="AD7903">
        <v>-1.160207</v>
      </c>
      <c r="AE7903">
        <v>1.84459</v>
      </c>
      <c r="AF7903">
        <v>-1.6654919331968401</v>
      </c>
      <c r="AG7903">
        <v>-1.160207</v>
      </c>
      <c r="AH7903">
        <v>21.006228433000899</v>
      </c>
      <c r="AI7903">
        <v>93.151454160211202</v>
      </c>
      <c r="AJ7903">
        <v>94.533248528929406</v>
      </c>
      <c r="AK7903">
        <v>21.1040654055518</v>
      </c>
      <c r="AL7903">
        <v>89.674947607217504</v>
      </c>
      <c r="AM7903">
        <v>87.988813110106193</v>
      </c>
      <c r="AN7903">
        <v>0.999999988920659</v>
      </c>
    </row>
    <row r="7904" spans="1:40" x14ac:dyDescent="0.25">
      <c r="A7904" t="str">
        <f>"20190312154116417"</f>
        <v>20190312154116417</v>
      </c>
      <c r="B7904" t="str">
        <f>"1552376476414079"</f>
        <v>1552376476414079</v>
      </c>
      <c r="C7904" t="s">
        <v>40</v>
      </c>
      <c r="D7904">
        <v>4.4112080000000002</v>
      </c>
      <c r="E7904">
        <v>0.45681110000000003</v>
      </c>
      <c r="F7904" t="s">
        <v>43</v>
      </c>
      <c r="G7904">
        <v>-318.7346</v>
      </c>
      <c r="H7904">
        <v>-0.05</v>
      </c>
      <c r="I7904">
        <v>19.415769999999998</v>
      </c>
      <c r="J7904">
        <v>-339.54759999999999</v>
      </c>
      <c r="K7904">
        <v>1.110206</v>
      </c>
      <c r="L7904">
        <v>17.580929999999999</v>
      </c>
      <c r="M7904">
        <v>0.99985690000000005</v>
      </c>
      <c r="N7904">
        <v>0</v>
      </c>
      <c r="O7904">
        <v>8.1962739999999999E-3</v>
      </c>
      <c r="P7904">
        <v>0.99960110000000002</v>
      </c>
      <c r="Q7904">
        <v>-9.007971E-3</v>
      </c>
      <c r="R7904">
        <v>-2.6775899999999998E-2</v>
      </c>
      <c r="S7904">
        <v>3.0067439999999999</v>
      </c>
      <c r="T7904">
        <v>-0.1666434</v>
      </c>
      <c r="U7904">
        <v>0.26367190000000001</v>
      </c>
      <c r="V7904">
        <v>3.4970300000000003E-2</v>
      </c>
      <c r="W7904">
        <v>5.7814429999999998E-3</v>
      </c>
      <c r="X7904">
        <v>0.99937160000000003</v>
      </c>
      <c r="Y7904">
        <v>-7.9081520000000002E-2</v>
      </c>
      <c r="Z7904">
        <v>1.732557E-3</v>
      </c>
      <c r="AA7904">
        <v>0.99686660000000005</v>
      </c>
      <c r="AB7904">
        <v>24</v>
      </c>
      <c r="AC7904">
        <v>20.812999999999899</v>
      </c>
      <c r="AD7904">
        <v>-1.1602059999999901</v>
      </c>
      <c r="AE7904">
        <v>1.83484</v>
      </c>
      <c r="AF7904">
        <v>-1.6590549877747001</v>
      </c>
      <c r="AG7904">
        <v>-1.1602059999999901</v>
      </c>
      <c r="AH7904">
        <v>20.763318332892101</v>
      </c>
      <c r="AI7904">
        <v>93.188089262814202</v>
      </c>
      <c r="AJ7904">
        <v>94.568408639429606</v>
      </c>
      <c r="AK7904">
        <v>20.861781554026301</v>
      </c>
      <c r="AL7904">
        <v>89.668745861589898</v>
      </c>
      <c r="AM7904">
        <v>87.995907226374797</v>
      </c>
      <c r="AN7904">
        <v>0.99999997092590498</v>
      </c>
    </row>
    <row r="7905" spans="1:40" x14ac:dyDescent="0.25">
      <c r="A7905" t="str">
        <f>"20190312154116427"</f>
        <v>20190312154116427</v>
      </c>
      <c r="B7905" t="str">
        <f>"1552376476423840"</f>
        <v>1552376476423840</v>
      </c>
      <c r="C7905" t="s">
        <v>40</v>
      </c>
      <c r="D7905">
        <v>4.4305919999999999</v>
      </c>
      <c r="E7905">
        <v>0.45662609999999898</v>
      </c>
      <c r="F7905" t="s">
        <v>42</v>
      </c>
      <c r="G7905">
        <v>-319.96179999999998</v>
      </c>
      <c r="H7905" s="1">
        <v>-4.7790159999999999E-6</v>
      </c>
      <c r="I7905">
        <v>19.315149999999999</v>
      </c>
      <c r="J7905">
        <v>-339.42860000000002</v>
      </c>
      <c r="K7905">
        <v>1.1102069999999999</v>
      </c>
      <c r="L7905">
        <v>17.58182</v>
      </c>
      <c r="M7905">
        <v>0.99985740000000001</v>
      </c>
      <c r="N7905">
        <v>0</v>
      </c>
      <c r="O7905">
        <v>8.1262230000000001E-3</v>
      </c>
      <c r="P7905">
        <v>0.99960269999999996</v>
      </c>
      <c r="Q7905">
        <v>-8.7577030000000004E-3</v>
      </c>
      <c r="R7905">
        <v>-2.6788320000000001E-2</v>
      </c>
      <c r="S7905">
        <v>3.0068049999999999</v>
      </c>
      <c r="T7905">
        <v>-0.17043900000000001</v>
      </c>
      <c r="U7905">
        <v>0.26623540000000001</v>
      </c>
      <c r="V7905">
        <v>3.4913020000000003E-2</v>
      </c>
      <c r="W7905">
        <v>6.0284419999999898E-3</v>
      </c>
      <c r="X7905">
        <v>0.99937220000000004</v>
      </c>
      <c r="Y7905">
        <v>-7.9986390000000004E-2</v>
      </c>
      <c r="Z7905">
        <v>1.8013910000000001E-3</v>
      </c>
      <c r="AA7905">
        <v>0.99679430000000002</v>
      </c>
      <c r="AB7905">
        <v>24</v>
      </c>
      <c r="AC7905">
        <v>19.466799999999999</v>
      </c>
      <c r="AD7905">
        <v>-1.110211779016</v>
      </c>
      <c r="AE7905">
        <v>1.73332999999999</v>
      </c>
      <c r="AF7905">
        <v>-1.56999754991457</v>
      </c>
      <c r="AG7905">
        <v>-1.110211779016</v>
      </c>
      <c r="AH7905">
        <v>19.417584392664601</v>
      </c>
      <c r="AI7905">
        <v>93.261735845207198</v>
      </c>
      <c r="AJ7905">
        <v>94.622561363527794</v>
      </c>
      <c r="AK7905">
        <v>19.512561240064201</v>
      </c>
      <c r="AL7905">
        <v>89.654593633741399</v>
      </c>
      <c r="AM7905">
        <v>87.999188382933497</v>
      </c>
      <c r="AN7905">
        <v>1.00000002760565</v>
      </c>
    </row>
    <row r="7906" spans="1:40" x14ac:dyDescent="0.25">
      <c r="A7906" t="str">
        <f>"20190312154116441"</f>
        <v>20190312154116441</v>
      </c>
      <c r="B7906" t="str">
        <f>"1552376476434575"</f>
        <v>1552376476434575</v>
      </c>
      <c r="C7906" t="s">
        <v>40</v>
      </c>
      <c r="D7906">
        <v>4.4467840000000001</v>
      </c>
      <c r="E7906">
        <v>0.4564742</v>
      </c>
      <c r="F7906" t="s">
        <v>42</v>
      </c>
      <c r="G7906">
        <v>-319.99610000000001</v>
      </c>
      <c r="H7906" s="1">
        <v>-4.7634E-6</v>
      </c>
      <c r="I7906">
        <v>19.311879999999999</v>
      </c>
      <c r="J7906">
        <v>-339.29539999999997</v>
      </c>
      <c r="K7906">
        <v>1.110206</v>
      </c>
      <c r="L7906">
        <v>17.582820000000002</v>
      </c>
      <c r="M7906">
        <v>0.99985809999999997</v>
      </c>
      <c r="N7906">
        <v>0</v>
      </c>
      <c r="O7906">
        <v>8.0468139999999994E-3</v>
      </c>
      <c r="P7906">
        <v>0.99960009999999999</v>
      </c>
      <c r="Q7906">
        <v>-8.5925649999999999E-3</v>
      </c>
      <c r="R7906">
        <v>-2.6945790000000001E-2</v>
      </c>
      <c r="S7906">
        <v>3.006866</v>
      </c>
      <c r="T7906">
        <v>-0.17178740000000001</v>
      </c>
      <c r="U7906">
        <v>0.2677002</v>
      </c>
      <c r="V7906">
        <v>3.4990960000000002E-2</v>
      </c>
      <c r="W7906">
        <v>6.190086E-3</v>
      </c>
      <c r="X7906">
        <v>0.99936840000000005</v>
      </c>
      <c r="Y7906">
        <v>-8.0542749999999996E-2</v>
      </c>
      <c r="Z7906">
        <v>1.8359159999999999E-3</v>
      </c>
      <c r="AA7906">
        <v>0.99674949999999995</v>
      </c>
      <c r="AB7906">
        <v>24</v>
      </c>
      <c r="AC7906">
        <v>19.299299999999899</v>
      </c>
      <c r="AD7906">
        <v>-1.1102107634</v>
      </c>
      <c r="AE7906">
        <v>1.72905999999999</v>
      </c>
      <c r="AF7906">
        <v>-1.56853978360183</v>
      </c>
      <c r="AG7906">
        <v>-1.1102107634</v>
      </c>
      <c r="AH7906">
        <v>19.249396412933098</v>
      </c>
      <c r="AI7906">
        <v>93.290002338787303</v>
      </c>
      <c r="AJ7906">
        <v>94.6584624097502</v>
      </c>
      <c r="AK7906">
        <v>19.345080699086001</v>
      </c>
      <c r="AL7906">
        <v>89.645331911689595</v>
      </c>
      <c r="AM7906">
        <v>87.994717784974</v>
      </c>
      <c r="AN7906">
        <v>0.99999994168248296</v>
      </c>
    </row>
    <row r="7907" spans="1:40" x14ac:dyDescent="0.25">
      <c r="A7907" t="str">
        <f>"20190312154116452"</f>
        <v>20190312154116452</v>
      </c>
      <c r="B7907" t="str">
        <f>"1552376476444336"</f>
        <v>1552376476444336</v>
      </c>
      <c r="C7907" t="s">
        <v>40</v>
      </c>
      <c r="D7907">
        <v>4.4259550000000001</v>
      </c>
      <c r="E7907">
        <v>0.45635720000000002</v>
      </c>
      <c r="F7907" t="s">
        <v>42</v>
      </c>
      <c r="G7907">
        <v>-320.0428</v>
      </c>
      <c r="H7907" s="1">
        <v>-4.743208E-6</v>
      </c>
      <c r="I7907">
        <v>19.301310000000001</v>
      </c>
      <c r="J7907">
        <v>-339.17259999999999</v>
      </c>
      <c r="K7907">
        <v>1.1102050000000001</v>
      </c>
      <c r="L7907">
        <v>17.583739999999999</v>
      </c>
      <c r="M7907">
        <v>0.99985869999999999</v>
      </c>
      <c r="N7907">
        <v>0</v>
      </c>
      <c r="O7907">
        <v>7.9717060000000003E-3</v>
      </c>
      <c r="P7907">
        <v>0.99959949999999997</v>
      </c>
      <c r="Q7907">
        <v>-8.3470200000000001E-3</v>
      </c>
      <c r="R7907">
        <v>-2.703788E-2</v>
      </c>
      <c r="S7907">
        <v>3.0069889999999999</v>
      </c>
      <c r="T7907">
        <v>-0.17339889999999999</v>
      </c>
      <c r="U7907">
        <v>0.26840209999999998</v>
      </c>
      <c r="V7907">
        <v>3.500839E-2</v>
      </c>
      <c r="W7907">
        <v>6.4318369999999897E-3</v>
      </c>
      <c r="X7907">
        <v>0.99936630000000004</v>
      </c>
      <c r="Y7907">
        <v>-8.0842079999999997E-2</v>
      </c>
      <c r="Z7907">
        <v>1.8659410000000001E-3</v>
      </c>
      <c r="AA7907">
        <v>0.99672519999999998</v>
      </c>
      <c r="AB7907">
        <v>24</v>
      </c>
      <c r="AC7907">
        <v>19.1297999999999</v>
      </c>
      <c r="AD7907">
        <v>-1.11020974320799</v>
      </c>
      <c r="AE7907">
        <v>1.71757</v>
      </c>
      <c r="AF7907">
        <v>-1.5597900003671601</v>
      </c>
      <c r="AG7907">
        <v>-1.11020974320799</v>
      </c>
      <c r="AH7907">
        <v>19.079138305490801</v>
      </c>
      <c r="AI7907">
        <v>93.3192210968556</v>
      </c>
      <c r="AJ7907">
        <v>94.673747426932096</v>
      </c>
      <c r="AK7907">
        <v>19.174958383245698</v>
      </c>
      <c r="AL7907">
        <v>89.631480336665504</v>
      </c>
      <c r="AM7907">
        <v>87.993715500128403</v>
      </c>
      <c r="AN7907">
        <v>0.99999997873663804</v>
      </c>
    </row>
    <row r="7908" spans="1:40" x14ac:dyDescent="0.25">
      <c r="A7908" t="str">
        <f>"20190312154116463"</f>
        <v>20190312154116463</v>
      </c>
      <c r="B7908" t="str">
        <f>"1552376476454096"</f>
        <v>1552376476454096</v>
      </c>
      <c r="C7908" t="s">
        <v>40</v>
      </c>
      <c r="D7908">
        <v>4.4576260000000003</v>
      </c>
      <c r="E7908">
        <v>0.45621929999999999</v>
      </c>
      <c r="F7908" t="s">
        <v>42</v>
      </c>
      <c r="G7908">
        <v>-320.01319999999998</v>
      </c>
      <c r="H7908" s="1">
        <v>-4.7576869999999996E-6</v>
      </c>
      <c r="I7908">
        <v>19.29832</v>
      </c>
      <c r="J7908">
        <v>-339.05160000000001</v>
      </c>
      <c r="K7908">
        <v>1.1102050000000001</v>
      </c>
      <c r="L7908">
        <v>17.584629999999901</v>
      </c>
      <c r="M7908">
        <v>0.99985950000000001</v>
      </c>
      <c r="N7908">
        <v>0</v>
      </c>
      <c r="O7908">
        <v>7.8964840000000005E-3</v>
      </c>
      <c r="P7908">
        <v>0.99959659999999995</v>
      </c>
      <c r="Q7908">
        <v>-8.4190689999999995E-3</v>
      </c>
      <c r="R7908">
        <v>-2.7129899999999998E-2</v>
      </c>
      <c r="S7908">
        <v>3.0070800000000002</v>
      </c>
      <c r="T7908">
        <v>-0.17424829999999999</v>
      </c>
      <c r="U7908">
        <v>0.26910400000000001</v>
      </c>
      <c r="V7908">
        <v>3.5025050000000002E-2</v>
      </c>
      <c r="W7908">
        <v>6.3569759999999899E-3</v>
      </c>
      <c r="X7908">
        <v>0.99936619999999998</v>
      </c>
      <c r="Y7908">
        <v>-8.1143359999999998E-2</v>
      </c>
      <c r="Z7908">
        <v>1.8880419999999999E-3</v>
      </c>
      <c r="AA7908">
        <v>0.99670060000000005</v>
      </c>
      <c r="AB7908">
        <v>24</v>
      </c>
      <c r="AC7908">
        <v>19.038399999999999</v>
      </c>
      <c r="AD7908">
        <v>-1.11020975768699</v>
      </c>
      <c r="AE7908">
        <v>1.7136899999999999</v>
      </c>
      <c r="AF7908">
        <v>-1.5580281309242601</v>
      </c>
      <c r="AG7908">
        <v>-1.11020975768699</v>
      </c>
      <c r="AH7908">
        <v>18.9872915969536</v>
      </c>
      <c r="AI7908">
        <v>93.335159014305702</v>
      </c>
      <c r="AJ7908">
        <v>94.690973743391396</v>
      </c>
      <c r="AK7908">
        <v>19.0834289253938</v>
      </c>
      <c r="AL7908">
        <v>89.635769645530402</v>
      </c>
      <c r="AM7908">
        <v>87.992761317702801</v>
      </c>
      <c r="AN7908">
        <v>0.999999983486903</v>
      </c>
    </row>
    <row r="7909" spans="1:40" x14ac:dyDescent="0.25">
      <c r="A7909" t="str">
        <f>"20190312154116475"</f>
        <v>20190312154116475</v>
      </c>
      <c r="B7909" t="str">
        <f>"1552376476463856"</f>
        <v>1552376476463856</v>
      </c>
      <c r="C7909" t="s">
        <v>40</v>
      </c>
      <c r="D7909">
        <v>4.4468300000000003</v>
      </c>
      <c r="E7909">
        <v>0.45603719999999998</v>
      </c>
      <c r="F7909" t="s">
        <v>42</v>
      </c>
      <c r="G7909">
        <v>-320.10180000000003</v>
      </c>
      <c r="H7909" s="1">
        <v>-4.718122E-6</v>
      </c>
      <c r="I7909">
        <v>19.285450000000001</v>
      </c>
      <c r="J7909">
        <v>-338.91770000000002</v>
      </c>
      <c r="K7909">
        <v>1.1102050000000001</v>
      </c>
      <c r="L7909">
        <v>17.585599999999999</v>
      </c>
      <c r="M7909">
        <v>0.99986019999999998</v>
      </c>
      <c r="N7909">
        <v>0</v>
      </c>
      <c r="O7909">
        <v>7.8125650000000005E-3</v>
      </c>
      <c r="P7909">
        <v>0.99959010000000004</v>
      </c>
      <c r="Q7909">
        <v>-8.1138019999999998E-3</v>
      </c>
      <c r="R7909">
        <v>-2.7459819999999999E-2</v>
      </c>
      <c r="S7909">
        <v>3.0070800000000002</v>
      </c>
      <c r="T7909">
        <v>-0.1761752</v>
      </c>
      <c r="U7909">
        <v>0.26989750000000001</v>
      </c>
      <c r="V7909">
        <v>3.5271030000000002E-2</v>
      </c>
      <c r="W7909">
        <v>6.6588069999999897E-3</v>
      </c>
      <c r="X7909">
        <v>0.99935560000000001</v>
      </c>
      <c r="Y7909">
        <v>-8.1484490000000007E-2</v>
      </c>
      <c r="Z7909">
        <v>1.9237290000000001E-3</v>
      </c>
      <c r="AA7909">
        <v>0.99667269999999997</v>
      </c>
      <c r="AB7909">
        <v>24</v>
      </c>
      <c r="AC7909">
        <v>18.815899999999999</v>
      </c>
      <c r="AD7909">
        <v>-1.1102097181220001</v>
      </c>
      <c r="AE7909">
        <v>1.6998500000000001</v>
      </c>
      <c r="AF7909">
        <v>-1.54743789073684</v>
      </c>
      <c r="AG7909">
        <v>-1.1102097181220001</v>
      </c>
      <c r="AH7909">
        <v>18.763810864469701</v>
      </c>
      <c r="AI7909">
        <v>93.374676435366197</v>
      </c>
      <c r="AJ7909">
        <v>94.714472755853095</v>
      </c>
      <c r="AK7909">
        <v>18.860215476009099</v>
      </c>
      <c r="AL7909">
        <v>89.618475642924807</v>
      </c>
      <c r="AM7909">
        <v>87.978654764300899</v>
      </c>
      <c r="AN7909">
        <v>1.0000000002596401</v>
      </c>
    </row>
    <row r="7910" spans="1:40" x14ac:dyDescent="0.25">
      <c r="A7910" t="str">
        <f>"20190312154116487"</f>
        <v>20190312154116487</v>
      </c>
      <c r="B7910" t="str">
        <f>"1552376476484351"</f>
        <v>1552376476484351</v>
      </c>
      <c r="C7910" t="s">
        <v>40</v>
      </c>
      <c r="D7910">
        <v>4.4304449999999997</v>
      </c>
      <c r="E7910">
        <v>0.45566810000000002</v>
      </c>
      <c r="F7910" t="s">
        <v>42</v>
      </c>
      <c r="G7910">
        <v>-319.97449999999998</v>
      </c>
      <c r="H7910" s="1">
        <v>-4.7777309999999998E-6</v>
      </c>
      <c r="I7910">
        <v>19.288630000000001</v>
      </c>
      <c r="J7910">
        <v>-338.79199999999997</v>
      </c>
      <c r="K7910">
        <v>1.110206</v>
      </c>
      <c r="L7910">
        <v>17.58652</v>
      </c>
      <c r="M7910">
        <v>0.99986070000000005</v>
      </c>
      <c r="N7910">
        <v>0</v>
      </c>
      <c r="O7910">
        <v>7.732109E-3</v>
      </c>
      <c r="P7910">
        <v>0.99958729999999996</v>
      </c>
      <c r="Q7910">
        <v>-8.203564E-3</v>
      </c>
      <c r="R7910">
        <v>-2.7529950000000001E-2</v>
      </c>
      <c r="S7910">
        <v>3.0072329999999998</v>
      </c>
      <c r="T7910">
        <v>-0.17624600000000001</v>
      </c>
      <c r="U7910">
        <v>0.27035520000000002</v>
      </c>
      <c r="V7910">
        <v>3.5260840000000002E-2</v>
      </c>
      <c r="W7910">
        <v>6.5658259999999899E-3</v>
      </c>
      <c r="X7910">
        <v>0.99935660000000004</v>
      </c>
      <c r="Y7910">
        <v>-8.1710089999999999E-2</v>
      </c>
      <c r="Z7910">
        <v>1.935684E-3</v>
      </c>
      <c r="AA7910">
        <v>0.99665429999999999</v>
      </c>
      <c r="AB7910">
        <v>24</v>
      </c>
      <c r="AC7910">
        <v>18.8174999999999</v>
      </c>
      <c r="AD7910">
        <v>-1.110210777731</v>
      </c>
      <c r="AE7910">
        <v>1.70210999999999</v>
      </c>
      <c r="AF7910">
        <v>-1.5511885694516701</v>
      </c>
      <c r="AG7910">
        <v>-1.110210777731</v>
      </c>
      <c r="AH7910">
        <v>18.765310309483699</v>
      </c>
      <c r="AI7910">
        <v>93.374357255360195</v>
      </c>
      <c r="AJ7910">
        <v>94.725472087654794</v>
      </c>
      <c r="AK7910">
        <v>18.8620154002748</v>
      </c>
      <c r="AL7910">
        <v>89.623803187740194</v>
      </c>
      <c r="AM7910">
        <v>87.979240278532799</v>
      </c>
      <c r="AN7910">
        <v>1.0000000254360599</v>
      </c>
    </row>
    <row r="7911" spans="1:40" x14ac:dyDescent="0.25">
      <c r="A7911" t="str">
        <f>"20190312154116499"</f>
        <v>20190312154116499</v>
      </c>
      <c r="B7911" t="str">
        <f>"1552376476494112"</f>
        <v>1552376476494112</v>
      </c>
      <c r="C7911" t="s">
        <v>40</v>
      </c>
      <c r="D7911">
        <v>4.4454149999999997</v>
      </c>
      <c r="E7911">
        <v>0.45549620000000002</v>
      </c>
      <c r="F7911" t="s">
        <v>42</v>
      </c>
      <c r="G7911">
        <v>-320.06330000000003</v>
      </c>
      <c r="H7911" s="1">
        <v>-4.7359870000000003E-6</v>
      </c>
      <c r="I7911">
        <v>19.287310000000002</v>
      </c>
      <c r="J7911">
        <v>-338.66329999999999</v>
      </c>
      <c r="K7911">
        <v>1.110206</v>
      </c>
      <c r="L7911">
        <v>17.587429999999902</v>
      </c>
      <c r="M7911">
        <v>0.99986149999999996</v>
      </c>
      <c r="N7911">
        <v>0</v>
      </c>
      <c r="O7911">
        <v>7.6491519999999898E-3</v>
      </c>
      <c r="P7911">
        <v>0.99958590000000003</v>
      </c>
      <c r="Q7911">
        <v>-8.1415380000000002E-3</v>
      </c>
      <c r="R7911">
        <v>-2.7603320000000001E-2</v>
      </c>
      <c r="S7911">
        <v>3.0073240000000001</v>
      </c>
      <c r="T7911">
        <v>-0.17826989999999901</v>
      </c>
      <c r="U7911">
        <v>0.27310180000000001</v>
      </c>
      <c r="V7911">
        <v>3.5251379999999999E-2</v>
      </c>
      <c r="W7911">
        <v>6.6249519999999999E-3</v>
      </c>
      <c r="X7911">
        <v>0.99935649999999998</v>
      </c>
      <c r="Y7911">
        <v>-8.2688150000000002E-2</v>
      </c>
      <c r="Z7911">
        <v>1.9915419999999998E-3</v>
      </c>
      <c r="AA7911">
        <v>0.9965735</v>
      </c>
      <c r="AB7911">
        <v>24</v>
      </c>
      <c r="AC7911">
        <v>18.599999999999898</v>
      </c>
      <c r="AD7911">
        <v>-1.1102107359869999</v>
      </c>
      <c r="AE7911">
        <v>1.6998800000000001</v>
      </c>
      <c r="AF7911">
        <v>-1.55205670529091</v>
      </c>
      <c r="AG7911">
        <v>-1.1102107359869999</v>
      </c>
      <c r="AH7911">
        <v>18.546929121089399</v>
      </c>
      <c r="AI7911">
        <v>93.413708152223094</v>
      </c>
      <c r="AJ7911">
        <v>94.783519072849003</v>
      </c>
      <c r="AK7911">
        <v>18.644839171133999</v>
      </c>
      <c r="AL7911">
        <v>89.620415427371597</v>
      </c>
      <c r="AM7911">
        <v>87.979781769393696</v>
      </c>
      <c r="AN7911">
        <v>0.99999998193657802</v>
      </c>
    </row>
    <row r="7912" spans="1:40" x14ac:dyDescent="0.25">
      <c r="A7912" t="str">
        <f>"20190312154116511"</f>
        <v>20190312154116511</v>
      </c>
      <c r="B7912" t="str">
        <f>"1552376476503873"</f>
        <v>1552376476503873</v>
      </c>
      <c r="C7912" t="s">
        <v>40</v>
      </c>
      <c r="D7912">
        <v>4.4111359999999999</v>
      </c>
      <c r="E7912">
        <v>0.45532139999999999</v>
      </c>
      <c r="F7912" t="s">
        <v>42</v>
      </c>
      <c r="G7912">
        <v>-319.9984</v>
      </c>
      <c r="H7912" s="1">
        <v>-4.7662820000000004E-6</v>
      </c>
      <c r="I7912">
        <v>19.2896</v>
      </c>
      <c r="J7912">
        <v>-338.52749999999997</v>
      </c>
      <c r="K7912">
        <v>1.110201</v>
      </c>
      <c r="L7912">
        <v>17.588379999999901</v>
      </c>
      <c r="M7912">
        <v>0.99986229999999998</v>
      </c>
      <c r="N7912">
        <v>0</v>
      </c>
      <c r="O7912">
        <v>7.5605339999999998E-3</v>
      </c>
      <c r="P7912">
        <v>0.99958060000000004</v>
      </c>
      <c r="Q7912">
        <v>-8.0411559999999903E-3</v>
      </c>
      <c r="R7912">
        <v>-2.7826170000000001E-2</v>
      </c>
      <c r="S7912">
        <v>3.0073850000000002</v>
      </c>
      <c r="T7912">
        <v>-0.1788824</v>
      </c>
      <c r="U7912">
        <v>0.27426149999999999</v>
      </c>
      <c r="V7912">
        <v>3.5385729999999997E-2</v>
      </c>
      <c r="W7912">
        <v>6.721749E-3</v>
      </c>
      <c r="X7912">
        <v>0.99935110000000005</v>
      </c>
      <c r="Y7912">
        <v>-8.3153930000000001E-2</v>
      </c>
      <c r="Z7912">
        <v>2.0173650000000001E-3</v>
      </c>
      <c r="AA7912">
        <v>0.99653460000000005</v>
      </c>
      <c r="AB7912">
        <v>24</v>
      </c>
      <c r="AC7912">
        <v>18.5290999999999</v>
      </c>
      <c r="AD7912">
        <v>-1.110205766282</v>
      </c>
      <c r="AE7912">
        <v>1.70122</v>
      </c>
      <c r="AF7912">
        <v>-1.5555284726659999</v>
      </c>
      <c r="AG7912">
        <v>-1.110205766282</v>
      </c>
      <c r="AH7912">
        <v>18.475660079218599</v>
      </c>
      <c r="AI7912">
        <v>93.426684232576093</v>
      </c>
      <c r="AJ7912">
        <v>94.812576023097094</v>
      </c>
      <c r="AK7912">
        <v>18.574235947559</v>
      </c>
      <c r="AL7912">
        <v>89.614869242083401</v>
      </c>
      <c r="AM7912">
        <v>87.972077784751505</v>
      </c>
      <c r="AN7912">
        <v>0.99999997643423</v>
      </c>
    </row>
    <row r="7913" spans="1:40" x14ac:dyDescent="0.25">
      <c r="A7913" t="str">
        <f>"20190312154116522"</f>
        <v>20190312154116522</v>
      </c>
      <c r="B7913" t="str">
        <f>"1552376476514608"</f>
        <v>1552376476514608</v>
      </c>
      <c r="C7913" t="s">
        <v>40</v>
      </c>
      <c r="D7913">
        <v>4.5052849999999998</v>
      </c>
      <c r="E7913">
        <v>0.45554030000000001</v>
      </c>
      <c r="F7913" t="s">
        <v>43</v>
      </c>
      <c r="G7913">
        <v>-319.07670000000002</v>
      </c>
      <c r="H7913">
        <v>-0.05</v>
      </c>
      <c r="I7913">
        <v>19.366700000000002</v>
      </c>
      <c r="J7913">
        <v>-338.41359999999997</v>
      </c>
      <c r="K7913">
        <v>1.1102019999999999</v>
      </c>
      <c r="L7913">
        <v>17.589110000000002</v>
      </c>
      <c r="M7913">
        <v>0.99986280000000005</v>
      </c>
      <c r="N7913">
        <v>0</v>
      </c>
      <c r="O7913">
        <v>7.4858040000000004E-3</v>
      </c>
      <c r="P7913">
        <v>0.99957249999999997</v>
      </c>
      <c r="Q7913">
        <v>-8.0999490000000004E-3</v>
      </c>
      <c r="R7913">
        <v>-2.8094919999999999E-2</v>
      </c>
      <c r="S7913">
        <v>3.0074770000000002</v>
      </c>
      <c r="T7913">
        <v>-0.17938979999999999</v>
      </c>
      <c r="U7913">
        <v>0.27496340000000002</v>
      </c>
      <c r="V7913">
        <v>3.5579550000000001E-2</v>
      </c>
      <c r="W7913">
        <v>6.6602379999999997E-3</v>
      </c>
      <c r="X7913">
        <v>0.99934460000000003</v>
      </c>
      <c r="Y7913">
        <v>-8.3454909999999993E-2</v>
      </c>
      <c r="Z7913">
        <v>2.0363870000000002E-3</v>
      </c>
      <c r="AA7913">
        <v>0.99650950000000005</v>
      </c>
      <c r="AB7913">
        <v>24</v>
      </c>
      <c r="AC7913">
        <v>19.336899999999901</v>
      </c>
      <c r="AD7913">
        <v>-1.160202</v>
      </c>
      <c r="AE7913">
        <v>1.77759</v>
      </c>
      <c r="AF7913">
        <v>-1.6269642639591999</v>
      </c>
      <c r="AG7913">
        <v>-1.160202</v>
      </c>
      <c r="AH7913">
        <v>19.2808382819291</v>
      </c>
      <c r="AI7913">
        <v>93.431389135059305</v>
      </c>
      <c r="AJ7913">
        <v>94.823331572784596</v>
      </c>
      <c r="AK7913">
        <v>19.384112212090201</v>
      </c>
      <c r="AL7913">
        <v>89.618393630273204</v>
      </c>
      <c r="AM7913">
        <v>87.960966246005498</v>
      </c>
      <c r="AN7913">
        <v>0.99999994634878797</v>
      </c>
    </row>
    <row r="7914" spans="1:40" x14ac:dyDescent="0.25">
      <c r="A7914" t="str">
        <f>"20190312154116533"</f>
        <v>20190312154116533</v>
      </c>
      <c r="B7914" t="str">
        <f>"1552376476524368"</f>
        <v>1552376476524368</v>
      </c>
      <c r="C7914" t="s">
        <v>40</v>
      </c>
      <c r="D7914">
        <v>4.6672779999999996</v>
      </c>
      <c r="E7914">
        <v>0.45554030000000001</v>
      </c>
      <c r="F7914" t="s">
        <v>43</v>
      </c>
      <c r="G7914">
        <v>-319.04259999999999</v>
      </c>
      <c r="H7914">
        <v>-0.05</v>
      </c>
      <c r="I7914">
        <v>19.343430000000001</v>
      </c>
      <c r="J7914">
        <v>-338.2944</v>
      </c>
      <c r="K7914">
        <v>1.1102000000000001</v>
      </c>
      <c r="L7914">
        <v>17.589939999999999</v>
      </c>
      <c r="M7914">
        <v>0.99986339999999996</v>
      </c>
      <c r="N7914">
        <v>0</v>
      </c>
      <c r="O7914">
        <v>7.4072019999999999E-3</v>
      </c>
      <c r="P7914">
        <v>0.99956909999999999</v>
      </c>
      <c r="Q7914">
        <v>-7.9445130000000003E-3</v>
      </c>
      <c r="R7914">
        <v>-2.8260839999999999E-2</v>
      </c>
      <c r="S7914">
        <v>3.0074770000000002</v>
      </c>
      <c r="T7914">
        <v>-0.1801295</v>
      </c>
      <c r="U7914">
        <v>0.27236939999999998</v>
      </c>
      <c r="V7914">
        <v>3.5666919999999998E-2</v>
      </c>
      <c r="W7914">
        <v>6.812345E-3</v>
      </c>
      <c r="X7914">
        <v>0.99934049999999996</v>
      </c>
      <c r="Y7914">
        <v>-8.2680900000000002E-2</v>
      </c>
      <c r="Z7914">
        <v>2.026431E-3</v>
      </c>
      <c r="AA7914">
        <v>0.99657399999999996</v>
      </c>
      <c r="AB7914">
        <v>24</v>
      </c>
      <c r="AC7914">
        <v>19.251799999999999</v>
      </c>
      <c r="AD7914">
        <v>-1.1601999999999999</v>
      </c>
      <c r="AE7914">
        <v>1.75348999999999</v>
      </c>
      <c r="AF7914">
        <v>-1.6050430949468999</v>
      </c>
      <c r="AG7914">
        <v>-1.1601999999999999</v>
      </c>
      <c r="AH7914">
        <v>19.195122160054801</v>
      </c>
      <c r="AI7914">
        <v>93.446888739321494</v>
      </c>
      <c r="AJ7914">
        <v>94.779795657570901</v>
      </c>
      <c r="AK7914">
        <v>19.2970189955875</v>
      </c>
      <c r="AL7914">
        <v>89.6096783584306</v>
      </c>
      <c r="AM7914">
        <v>87.955955008777394</v>
      </c>
      <c r="AN7914">
        <v>0.99999998608346696</v>
      </c>
    </row>
    <row r="7915" spans="1:40" x14ac:dyDescent="0.25">
      <c r="A7915" t="str">
        <f>"20190312154116543"</f>
        <v>20190312154116543</v>
      </c>
      <c r="B7915" t="str">
        <f>"1552376476534128"</f>
        <v>1552376476534128</v>
      </c>
      <c r="C7915" t="s">
        <v>40</v>
      </c>
      <c r="D7915">
        <v>4.5342659999999997</v>
      </c>
      <c r="E7915">
        <v>0.4906819</v>
      </c>
      <c r="F7915" t="s">
        <v>43</v>
      </c>
      <c r="G7915">
        <v>-318.87029999999999</v>
      </c>
      <c r="H7915">
        <v>-0.05</v>
      </c>
      <c r="I7915">
        <v>19.345890000000001</v>
      </c>
      <c r="J7915">
        <v>-338.17989999999998</v>
      </c>
      <c r="K7915">
        <v>1.1101970000000001</v>
      </c>
      <c r="L7915">
        <v>17.590699999999998</v>
      </c>
      <c r="M7915">
        <v>0.99986399999999998</v>
      </c>
      <c r="N7915">
        <v>0</v>
      </c>
      <c r="O7915">
        <v>7.3309830000000001E-3</v>
      </c>
      <c r="P7915">
        <v>0.99956489999999998</v>
      </c>
      <c r="Q7915">
        <v>-7.9066459999999998E-3</v>
      </c>
      <c r="R7915">
        <v>-2.8420620000000001E-2</v>
      </c>
      <c r="S7915">
        <v>3.0075379999999998</v>
      </c>
      <c r="T7915">
        <v>-0.179640299999999</v>
      </c>
      <c r="U7915">
        <v>0.27188109999999999</v>
      </c>
      <c r="V7915">
        <v>3.5750299999999999E-2</v>
      </c>
      <c r="W7915">
        <v>6.8476300000000004E-3</v>
      </c>
      <c r="X7915">
        <v>0.99933729999999998</v>
      </c>
      <c r="Y7915">
        <v>-8.2595299999999996E-2</v>
      </c>
      <c r="Z7915">
        <v>2.0229010000000001E-3</v>
      </c>
      <c r="AA7915">
        <v>0.9965811</v>
      </c>
      <c r="AB7915">
        <v>24</v>
      </c>
      <c r="AC7915">
        <v>19.3095999999999</v>
      </c>
      <c r="AD7915">
        <v>-1.1601969999999999</v>
      </c>
      <c r="AE7915">
        <v>1.75519</v>
      </c>
      <c r="AF7915">
        <v>-1.60781225770056</v>
      </c>
      <c r="AG7915">
        <v>-1.1601969999999999</v>
      </c>
      <c r="AH7915">
        <v>19.253014299762899</v>
      </c>
      <c r="AI7915">
        <v>93.436570868358203</v>
      </c>
      <c r="AJ7915">
        <v>94.773673401169503</v>
      </c>
      <c r="AK7915">
        <v>19.354836009682298</v>
      </c>
      <c r="AL7915">
        <v>89.607656637707507</v>
      </c>
      <c r="AM7915">
        <v>87.951174074854194</v>
      </c>
      <c r="AN7915">
        <v>1.00000000657899</v>
      </c>
    </row>
    <row r="7916" spans="1:40" x14ac:dyDescent="0.25">
      <c r="A7916" t="str">
        <f>"20190312154116554"</f>
        <v>20190312154116554</v>
      </c>
      <c r="B7916" t="str">
        <f>"1552376476543888"</f>
        <v>1552376476543888</v>
      </c>
      <c r="C7916" t="s">
        <v>40</v>
      </c>
      <c r="D7916">
        <v>4.4307259999999999</v>
      </c>
      <c r="E7916">
        <v>0.50066199999999905</v>
      </c>
      <c r="F7916" t="s">
        <v>42</v>
      </c>
      <c r="G7916">
        <v>-321.25310000000002</v>
      </c>
      <c r="H7916" s="1">
        <v>-4.4830659999999998E-6</v>
      </c>
      <c r="I7916">
        <v>17.542300000000001</v>
      </c>
      <c r="J7916">
        <v>-338.05810000000002</v>
      </c>
      <c r="K7916">
        <v>1.110195</v>
      </c>
      <c r="L7916">
        <v>17.591519999999999</v>
      </c>
      <c r="M7916">
        <v>0.99986459999999999</v>
      </c>
      <c r="N7916">
        <v>0</v>
      </c>
      <c r="O7916">
        <v>7.2496969999999899E-3</v>
      </c>
      <c r="P7916">
        <v>0.99956540000000005</v>
      </c>
      <c r="Q7916">
        <v>-7.7102709999999899E-3</v>
      </c>
      <c r="R7916">
        <v>-2.8451879999999999E-2</v>
      </c>
      <c r="S7916">
        <v>2.9995120000000002</v>
      </c>
      <c r="T7916">
        <v>-0.19673399999999999</v>
      </c>
      <c r="U7916">
        <v>-8.5754390000000007E-3</v>
      </c>
      <c r="V7916">
        <v>3.570065E-2</v>
      </c>
      <c r="W7916">
        <v>7.0407450000000002E-3</v>
      </c>
      <c r="X7916">
        <v>0.9993377</v>
      </c>
      <c r="Y7916">
        <v>1.00721E-2</v>
      </c>
      <c r="Z7916">
        <v>-8.0498919999999995E-4</v>
      </c>
      <c r="AA7916">
        <v>0.99994899999999998</v>
      </c>
      <c r="AB7916">
        <v>24</v>
      </c>
      <c r="AC7916">
        <v>16.805</v>
      </c>
      <c r="AD7916">
        <v>-1.110199483066</v>
      </c>
      <c r="AE7916">
        <v>-4.9220000000001797E-2</v>
      </c>
      <c r="AF7916">
        <v>0.170319821480266</v>
      </c>
      <c r="AG7916">
        <v>-1.110199483066</v>
      </c>
      <c r="AH7916">
        <v>16.731180394488099</v>
      </c>
      <c r="AI7916">
        <v>93.796107031461503</v>
      </c>
      <c r="AJ7916">
        <v>89.416761421446097</v>
      </c>
      <c r="AK7916">
        <v>16.768838633807999</v>
      </c>
      <c r="AL7916">
        <v>89.5965916831979</v>
      </c>
      <c r="AM7916">
        <v>87.954017881654806</v>
      </c>
      <c r="AN7916">
        <v>0.99999997357093295</v>
      </c>
    </row>
    <row r="7917" spans="1:40" x14ac:dyDescent="0.25">
      <c r="A7917" t="str">
        <f>"20190312154116567"</f>
        <v>20190312154116567</v>
      </c>
      <c r="B7917" t="str">
        <f>"1552376476564383"</f>
        <v>1552376476564383</v>
      </c>
      <c r="C7917" t="s">
        <v>40</v>
      </c>
      <c r="D7917">
        <v>4.3410789999999997</v>
      </c>
      <c r="E7917">
        <v>0.51709910000000003</v>
      </c>
      <c r="F7917" t="s">
        <v>43</v>
      </c>
      <c r="G7917">
        <v>-318.95519999999999</v>
      </c>
      <c r="H7917">
        <v>-0.05</v>
      </c>
      <c r="I7917">
        <v>17.027889999999999</v>
      </c>
      <c r="J7917">
        <v>-337.93529999999998</v>
      </c>
      <c r="K7917">
        <v>1.110195</v>
      </c>
      <c r="L7917">
        <v>17.592320000000001</v>
      </c>
      <c r="M7917">
        <v>0.99986540000000002</v>
      </c>
      <c r="N7917">
        <v>0</v>
      </c>
      <c r="O7917">
        <v>7.1663830000000001E-3</v>
      </c>
      <c r="P7917">
        <v>0.99956040000000002</v>
      </c>
      <c r="Q7917">
        <v>-7.5990550000000004E-3</v>
      </c>
      <c r="R7917">
        <v>-2.8663279999999999E-2</v>
      </c>
      <c r="S7917">
        <v>2.9973749999999999</v>
      </c>
      <c r="T7917">
        <v>-0.18204239999999999</v>
      </c>
      <c r="U7917">
        <v>-8.8439939999999995E-2</v>
      </c>
      <c r="V7917">
        <v>3.5828680000000002E-2</v>
      </c>
      <c r="W7917">
        <v>7.1489839999999997E-3</v>
      </c>
      <c r="X7917">
        <v>0.99933240000000001</v>
      </c>
      <c r="Y7917">
        <v>3.6575709999999997E-2</v>
      </c>
      <c r="Z7917">
        <v>-1.544234E-3</v>
      </c>
      <c r="AA7917">
        <v>0.99932969999999999</v>
      </c>
      <c r="AB7917">
        <v>24</v>
      </c>
      <c r="AC7917">
        <v>18.9801</v>
      </c>
      <c r="AD7917">
        <v>-1.1601950000000001</v>
      </c>
      <c r="AE7917">
        <v>-0.56443000000000099</v>
      </c>
      <c r="AF7917">
        <v>0.69784379599928603</v>
      </c>
      <c r="AG7917">
        <v>-1.1601950000000001</v>
      </c>
      <c r="AH7917">
        <v>18.904991059198601</v>
      </c>
      <c r="AI7917">
        <v>93.509440408760099</v>
      </c>
      <c r="AJ7917">
        <v>87.8859890134556</v>
      </c>
      <c r="AK7917">
        <v>18.953409333152099</v>
      </c>
      <c r="AL7917">
        <v>89.590389909711106</v>
      </c>
      <c r="AM7917">
        <v>87.946675950594596</v>
      </c>
      <c r="AN7917">
        <v>1.0000000239862601</v>
      </c>
    </row>
    <row r="7918" spans="1:40" x14ac:dyDescent="0.25">
      <c r="A7918" t="str">
        <f>"20190312154116578"</f>
        <v>20190312154116578</v>
      </c>
      <c r="B7918" t="str">
        <f>"1552376476574144"</f>
        <v>1552376476574144</v>
      </c>
      <c r="C7918" t="s">
        <v>40</v>
      </c>
      <c r="D7918">
        <v>4.321358</v>
      </c>
      <c r="E7918">
        <v>0.52127020000000002</v>
      </c>
      <c r="F7918" t="s">
        <v>43</v>
      </c>
      <c r="G7918">
        <v>-317.67619999999999</v>
      </c>
      <c r="H7918">
        <v>-0.05</v>
      </c>
      <c r="I7918">
        <v>16.101839999999999</v>
      </c>
      <c r="J7918">
        <v>-337.81599999999997</v>
      </c>
      <c r="K7918">
        <v>1.110195</v>
      </c>
      <c r="L7918">
        <v>17.593109999999999</v>
      </c>
      <c r="M7918">
        <v>0.99986600000000003</v>
      </c>
      <c r="N7918">
        <v>0</v>
      </c>
      <c r="O7918">
        <v>7.0854519999999999E-3</v>
      </c>
      <c r="P7918">
        <v>0.99955579999999999</v>
      </c>
      <c r="Q7918">
        <v>-7.57765E-3</v>
      </c>
      <c r="R7918">
        <v>-2.882585E-2</v>
      </c>
      <c r="S7918">
        <v>2.993652</v>
      </c>
      <c r="T7918">
        <v>-0.17143989999999901</v>
      </c>
      <c r="U7918">
        <v>-0.22024540000000001</v>
      </c>
      <c r="V7918">
        <v>3.5910259999999999E-2</v>
      </c>
      <c r="W7918">
        <v>7.1675799999999998E-3</v>
      </c>
      <c r="X7918">
        <v>0.99932929999999998</v>
      </c>
      <c r="Y7918">
        <v>8.0295350000000001E-2</v>
      </c>
      <c r="Z7918">
        <v>-2.6991519999999998E-3</v>
      </c>
      <c r="AA7918">
        <v>0.99676750000000003</v>
      </c>
      <c r="AB7918">
        <v>24</v>
      </c>
      <c r="AC7918">
        <v>20.139799999999902</v>
      </c>
      <c r="AD7918">
        <v>-1.1601950000000001</v>
      </c>
      <c r="AE7918">
        <v>-1.4912700000000001</v>
      </c>
      <c r="AF7918">
        <v>1.6285726145916599</v>
      </c>
      <c r="AG7918">
        <v>-1.1601950000000001</v>
      </c>
      <c r="AH7918">
        <v>20.062510961014599</v>
      </c>
      <c r="AI7918">
        <v>93.298844954943405</v>
      </c>
      <c r="AJ7918">
        <v>85.359195460456505</v>
      </c>
      <c r="AK7918">
        <v>20.1619108037868</v>
      </c>
      <c r="AL7918">
        <v>89.589324394278194</v>
      </c>
      <c r="AM7918">
        <v>87.941998277961005</v>
      </c>
      <c r="AN7918">
        <v>0.99999998540740698</v>
      </c>
    </row>
    <row r="7919" spans="1:40" x14ac:dyDescent="0.25">
      <c r="A7919" t="str">
        <f>"20190312154116588"</f>
        <v>20190312154116588</v>
      </c>
      <c r="B7919" t="str">
        <f>"1552376476574144"</f>
        <v>1552376476574144</v>
      </c>
      <c r="C7919" t="s">
        <v>40</v>
      </c>
      <c r="D7919">
        <v>4.321358</v>
      </c>
      <c r="E7919">
        <v>0.52127020000000002</v>
      </c>
      <c r="F7919" t="s">
        <v>43</v>
      </c>
      <c r="G7919">
        <v>-316.23099999999999</v>
      </c>
      <c r="H7919">
        <v>-0.05</v>
      </c>
      <c r="I7919">
        <v>15.759869999999999</v>
      </c>
      <c r="J7919">
        <v>-337.69510000000002</v>
      </c>
      <c r="K7919">
        <v>1.1101939999999999</v>
      </c>
      <c r="L7919">
        <v>17.59384</v>
      </c>
      <c r="M7919">
        <v>0.99986660000000005</v>
      </c>
      <c r="N7919">
        <v>0</v>
      </c>
      <c r="O7919">
        <v>7.0017739999999997E-3</v>
      </c>
      <c r="P7919">
        <v>0.99955620000000001</v>
      </c>
      <c r="Q7919">
        <v>-7.4136159999999996E-3</v>
      </c>
      <c r="R7919">
        <v>-2.8851870000000002E-2</v>
      </c>
      <c r="S7919">
        <v>2.9927980000000001</v>
      </c>
      <c r="T7919">
        <v>-0.1608627</v>
      </c>
      <c r="U7919">
        <v>-0.25418089999999999</v>
      </c>
      <c r="V7919">
        <v>3.5852809999999999E-2</v>
      </c>
      <c r="W7919">
        <v>7.3292230000000002E-3</v>
      </c>
      <c r="X7919">
        <v>0.99933019999999995</v>
      </c>
      <c r="Y7919">
        <v>9.1460420000000001E-2</v>
      </c>
      <c r="Z7919">
        <v>-2.8272850000000001E-3</v>
      </c>
      <c r="AA7919">
        <v>0.99580469999999999</v>
      </c>
      <c r="AB7919">
        <v>24</v>
      </c>
      <c r="AC7919">
        <v>21.464099999999998</v>
      </c>
      <c r="AD7919">
        <v>-1.1601939999999999</v>
      </c>
      <c r="AE7919">
        <v>-1.8339699999999901</v>
      </c>
      <c r="AF7919">
        <v>1.9784895172764101</v>
      </c>
      <c r="AG7919">
        <v>-1.1601939999999999</v>
      </c>
      <c r="AH7919">
        <v>21.3886928397223</v>
      </c>
      <c r="AI7919">
        <v>93.091698069964195</v>
      </c>
      <c r="AJ7919">
        <v>84.715084804273502</v>
      </c>
      <c r="AK7919">
        <v>21.511314517704299</v>
      </c>
      <c r="AL7919">
        <v>89.580062693195003</v>
      </c>
      <c r="AM7919">
        <v>87.945289737563698</v>
      </c>
      <c r="AN7919">
        <v>0.99999999506335902</v>
      </c>
    </row>
    <row r="7920" spans="1:40" x14ac:dyDescent="0.25">
      <c r="A7920" t="str">
        <f>"20190312154116600"</f>
        <v>20190312154116600</v>
      </c>
      <c r="B7920" t="str">
        <f>"1552376476593664"</f>
        <v>1552376476593664</v>
      </c>
      <c r="C7920" t="s">
        <v>40</v>
      </c>
      <c r="D7920">
        <v>4.3098229999999997</v>
      </c>
      <c r="E7920">
        <v>0.52715859999999903</v>
      </c>
      <c r="F7920" t="s">
        <v>43</v>
      </c>
      <c r="G7920">
        <v>-316.0455</v>
      </c>
      <c r="H7920">
        <v>-0.05</v>
      </c>
      <c r="I7920">
        <v>15.7547</v>
      </c>
      <c r="J7920">
        <v>-337.58150000000001</v>
      </c>
      <c r="K7920">
        <v>1.110193</v>
      </c>
      <c r="L7920">
        <v>17.594539999999999</v>
      </c>
      <c r="M7920">
        <v>0.99986710000000001</v>
      </c>
      <c r="N7920">
        <v>0</v>
      </c>
      <c r="O7920">
        <v>6.9228619999999897E-3</v>
      </c>
      <c r="P7920">
        <v>0.99955590000000005</v>
      </c>
      <c r="Q7920">
        <v>-7.2795530000000002E-3</v>
      </c>
      <c r="R7920">
        <v>-2.8900240000000001E-2</v>
      </c>
      <c r="S7920">
        <v>2.9928279999999998</v>
      </c>
      <c r="T7920">
        <v>-0.16038469999999999</v>
      </c>
      <c r="U7920">
        <v>-0.25424190000000002</v>
      </c>
      <c r="V7920">
        <v>3.582229E-2</v>
      </c>
      <c r="W7920">
        <v>7.4598729999999997E-3</v>
      </c>
      <c r="X7920">
        <v>0.9993303</v>
      </c>
      <c r="Y7920">
        <v>9.1402170000000005E-2</v>
      </c>
      <c r="Z7920">
        <v>-2.813088E-3</v>
      </c>
      <c r="AA7920">
        <v>0.99581010000000003</v>
      </c>
      <c r="AB7920">
        <v>24</v>
      </c>
      <c r="AC7920">
        <v>21.535999999999898</v>
      </c>
      <c r="AD7920">
        <v>-1.160193</v>
      </c>
      <c r="AE7920">
        <v>-1.8398399999999899</v>
      </c>
      <c r="AF7920">
        <v>1.98318895202481</v>
      </c>
      <c r="AG7920">
        <v>-1.160193</v>
      </c>
      <c r="AH7920">
        <v>21.4609124536642</v>
      </c>
      <c r="AI7920">
        <v>93.081337436736206</v>
      </c>
      <c r="AJ7920">
        <v>84.720328797979406</v>
      </c>
      <c r="AK7920">
        <v>21.583555072335098</v>
      </c>
      <c r="AL7920">
        <v>89.572576783041399</v>
      </c>
      <c r="AM7920">
        <v>87.947037534560494</v>
      </c>
      <c r="AN7920">
        <v>0.99999996733205399</v>
      </c>
    </row>
    <row r="7921" spans="1:40" x14ac:dyDescent="0.25">
      <c r="A7921" t="str">
        <f>"20190312154116611"</f>
        <v>20190312154116611</v>
      </c>
      <c r="B7921" t="str">
        <f>"1552376476604399"</f>
        <v>1552376476604399</v>
      </c>
      <c r="C7921" t="s">
        <v>40</v>
      </c>
      <c r="D7921">
        <v>4.3238940000000001</v>
      </c>
      <c r="E7921">
        <v>0.52911900000000001</v>
      </c>
      <c r="F7921" t="s">
        <v>43</v>
      </c>
      <c r="G7921">
        <v>-314.60669999999999</v>
      </c>
      <c r="H7921">
        <v>-0.05</v>
      </c>
      <c r="I7921">
        <v>15.278919999999999</v>
      </c>
      <c r="J7921">
        <v>-337.45859999999999</v>
      </c>
      <c r="K7921">
        <v>1.110193</v>
      </c>
      <c r="L7921">
        <v>17.595310000000001</v>
      </c>
      <c r="M7921">
        <v>0.99986790000000003</v>
      </c>
      <c r="N7921">
        <v>0</v>
      </c>
      <c r="O7921">
        <v>6.8351239999999997E-3</v>
      </c>
      <c r="P7921">
        <v>0.999552</v>
      </c>
      <c r="Q7921">
        <v>-7.2463550000000003E-3</v>
      </c>
      <c r="R7921">
        <v>-2.90469E-2</v>
      </c>
      <c r="S7921">
        <v>2.9915159999999998</v>
      </c>
      <c r="T7921">
        <v>-0.151066899999999</v>
      </c>
      <c r="U7921">
        <v>-0.3015137</v>
      </c>
      <c r="V7921">
        <v>3.5881320000000001E-2</v>
      </c>
      <c r="W7921">
        <v>7.4903900000000004E-3</v>
      </c>
      <c r="X7921">
        <v>0.99932799999999999</v>
      </c>
      <c r="Y7921">
        <v>0.106937</v>
      </c>
      <c r="Z7921">
        <v>-3.0356900000000002E-3</v>
      </c>
      <c r="AA7921">
        <v>0.99426110000000001</v>
      </c>
      <c r="AB7921">
        <v>24</v>
      </c>
      <c r="AC7921">
        <v>22.851900000000001</v>
      </c>
      <c r="AD7921">
        <v>-1.160193</v>
      </c>
      <c r="AE7921">
        <v>-2.3163900000000002</v>
      </c>
      <c r="AF7921">
        <v>2.4662560615451201</v>
      </c>
      <c r="AG7921">
        <v>-1.160193</v>
      </c>
      <c r="AH7921">
        <v>22.777417536108899</v>
      </c>
      <c r="AI7921">
        <v>92.898989128510905</v>
      </c>
      <c r="AJ7921">
        <v>83.820295820526596</v>
      </c>
      <c r="AK7921">
        <v>22.939904454303999</v>
      </c>
      <c r="AL7921">
        <v>89.570828258567403</v>
      </c>
      <c r="AM7921">
        <v>87.9436527198596</v>
      </c>
      <c r="AN7921">
        <v>1.0000000133256399</v>
      </c>
    </row>
    <row r="7922" spans="1:40" x14ac:dyDescent="0.25">
      <c r="A7922" t="str">
        <f>"20190312154116622"</f>
        <v>20190312154116622</v>
      </c>
      <c r="B7922" t="str">
        <f>"1552376476614160"</f>
        <v>1552376476614160</v>
      </c>
      <c r="C7922" t="s">
        <v>40</v>
      </c>
      <c r="D7922">
        <v>4.2770950000000001</v>
      </c>
      <c r="E7922">
        <v>0.53067430000000004</v>
      </c>
      <c r="F7922" t="s">
        <v>43</v>
      </c>
      <c r="G7922">
        <v>-314.05790000000002</v>
      </c>
      <c r="H7922">
        <v>-0.05</v>
      </c>
      <c r="I7922">
        <v>15.11055</v>
      </c>
      <c r="J7922">
        <v>-337.3304</v>
      </c>
      <c r="K7922">
        <v>1.1101909999999999</v>
      </c>
      <c r="L7922">
        <v>17.596070000000001</v>
      </c>
      <c r="M7922">
        <v>0.99986850000000005</v>
      </c>
      <c r="N7922">
        <v>0</v>
      </c>
      <c r="O7922">
        <v>6.7418929999999997E-3</v>
      </c>
      <c r="P7922">
        <v>0.99955439999999995</v>
      </c>
      <c r="Q7922">
        <v>-6.8250009999999998E-3</v>
      </c>
      <c r="R7922">
        <v>-2.9061259999999998E-2</v>
      </c>
      <c r="S7922">
        <v>2.991028</v>
      </c>
      <c r="T7922">
        <v>-0.148293799999999</v>
      </c>
      <c r="U7922">
        <v>-0.3175964</v>
      </c>
      <c r="V7922">
        <v>3.58027E-2</v>
      </c>
      <c r="W7922">
        <v>7.9085639999999999E-3</v>
      </c>
      <c r="X7922">
        <v>0.99932759999999998</v>
      </c>
      <c r="Y7922">
        <v>0.1121476</v>
      </c>
      <c r="Z7922">
        <v>-3.1038179999999999E-3</v>
      </c>
      <c r="AA7922">
        <v>0.99368670000000003</v>
      </c>
      <c r="AB7922">
        <v>24</v>
      </c>
      <c r="AC7922">
        <v>23.272499999999901</v>
      </c>
      <c r="AD7922">
        <v>-1.160191</v>
      </c>
      <c r="AE7922">
        <v>-2.4855200000000002</v>
      </c>
      <c r="AF7922">
        <v>2.6359042287930099</v>
      </c>
      <c r="AG7922">
        <v>-1.160191</v>
      </c>
      <c r="AH7922">
        <v>23.198208524340799</v>
      </c>
      <c r="AI7922">
        <v>92.844821382533794</v>
      </c>
      <c r="AJ7922">
        <v>83.517550112739897</v>
      </c>
      <c r="AK7922">
        <v>23.376289547288</v>
      </c>
      <c r="AL7922">
        <v>89.546867944139905</v>
      </c>
      <c r="AM7922">
        <v>87.948153731519099</v>
      </c>
      <c r="AN7922">
        <v>1.0000000154167901</v>
      </c>
    </row>
    <row r="7923" spans="1:40" x14ac:dyDescent="0.25">
      <c r="A7923" t="str">
        <f>"20190312154116634"</f>
        <v>20190312154116634</v>
      </c>
      <c r="B7923" t="str">
        <f>"1552376476623920"</f>
        <v>1552376476623920</v>
      </c>
      <c r="C7923" t="s">
        <v>40</v>
      </c>
      <c r="D7923">
        <v>4.3132859999999997</v>
      </c>
      <c r="E7923">
        <v>0.53203420000000001</v>
      </c>
      <c r="F7923" t="s">
        <v>43</v>
      </c>
      <c r="G7923">
        <v>-313.4828</v>
      </c>
      <c r="H7923">
        <v>-0.05</v>
      </c>
      <c r="I7923">
        <v>14.964320000000001</v>
      </c>
      <c r="J7923">
        <v>-337.21030000000002</v>
      </c>
      <c r="K7923">
        <v>1.1101890000000001</v>
      </c>
      <c r="L7923">
        <v>17.596800000000002</v>
      </c>
      <c r="M7923">
        <v>0.99986900000000001</v>
      </c>
      <c r="N7923">
        <v>0</v>
      </c>
      <c r="O7923">
        <v>6.6530089999999997E-3</v>
      </c>
      <c r="P7923">
        <v>0.99955269999999996</v>
      </c>
      <c r="Q7923">
        <v>-6.4702199999999996E-3</v>
      </c>
      <c r="R7923">
        <v>-2.9194290000000001E-2</v>
      </c>
      <c r="S7923">
        <v>2.990723</v>
      </c>
      <c r="T7923">
        <v>-0.1454994</v>
      </c>
      <c r="U7923">
        <v>-0.330047599999999</v>
      </c>
      <c r="V7923">
        <v>3.5847080000000003E-2</v>
      </c>
      <c r="W7923">
        <v>8.2599819999999904E-3</v>
      </c>
      <c r="X7923">
        <v>0.99932310000000002</v>
      </c>
      <c r="Y7923">
        <v>0.11615880000000001</v>
      </c>
      <c r="Z7923">
        <v>-3.1379419999999999E-3</v>
      </c>
      <c r="AA7923">
        <v>0.99322569999999999</v>
      </c>
      <c r="AB7923">
        <v>24</v>
      </c>
      <c r="AC7923">
        <v>23.727499999999999</v>
      </c>
      <c r="AD7923">
        <v>-1.1601889999999999</v>
      </c>
      <c r="AE7923">
        <v>-2.6324800000000002</v>
      </c>
      <c r="AF7923">
        <v>2.78372362793545</v>
      </c>
      <c r="AG7923">
        <v>-1.1601889999999999</v>
      </c>
      <c r="AH7923">
        <v>23.653594233200899</v>
      </c>
      <c r="AI7923">
        <v>92.788843586324802</v>
      </c>
      <c r="AJ7923">
        <v>83.287898616775905</v>
      </c>
      <c r="AK7923">
        <v>23.845076554738998</v>
      </c>
      <c r="AL7923">
        <v>89.526732486829005</v>
      </c>
      <c r="AM7923">
        <v>87.945603256690902</v>
      </c>
      <c r="AN7923">
        <v>0.99999994932038705</v>
      </c>
    </row>
    <row r="7924" spans="1:40" x14ac:dyDescent="0.25">
      <c r="A7924" t="str">
        <f>"20190312154116645"</f>
        <v>20190312154116645</v>
      </c>
      <c r="B7924" t="str">
        <f>"1552376476634656"</f>
        <v>1552376476634656</v>
      </c>
      <c r="C7924" t="s">
        <v>40</v>
      </c>
      <c r="D7924">
        <v>4.2825240000000004</v>
      </c>
      <c r="E7924">
        <v>0.53322049999999999</v>
      </c>
      <c r="F7924" t="s">
        <v>43</v>
      </c>
      <c r="G7924">
        <v>-312.98869999999999</v>
      </c>
      <c r="H7924">
        <v>-0.05</v>
      </c>
      <c r="I7924">
        <v>14.832280000000001</v>
      </c>
      <c r="J7924">
        <v>-337.09769999999997</v>
      </c>
      <c r="K7924">
        <v>1.1101909999999999</v>
      </c>
      <c r="L7924">
        <v>17.597470000000001</v>
      </c>
      <c r="M7924">
        <v>0.99986980000000003</v>
      </c>
      <c r="N7924">
        <v>0</v>
      </c>
      <c r="O7924">
        <v>6.5659000000000004E-3</v>
      </c>
      <c r="P7924">
        <v>0.99955229999999995</v>
      </c>
      <c r="Q7924">
        <v>-6.1642340000000002E-3</v>
      </c>
      <c r="R7924">
        <v>-2.928209E-2</v>
      </c>
      <c r="S7924">
        <v>2.9904169999999999</v>
      </c>
      <c r="T7924">
        <v>-0.1432379</v>
      </c>
      <c r="U7924">
        <v>-0.34130860000000002</v>
      </c>
      <c r="V7924">
        <v>3.5847879999999999E-2</v>
      </c>
      <c r="W7924">
        <v>8.5632390000000003E-3</v>
      </c>
      <c r="X7924">
        <v>0.9993206</v>
      </c>
      <c r="Y7924">
        <v>0.1197767</v>
      </c>
      <c r="Z7924">
        <v>-3.1710520000000002E-3</v>
      </c>
      <c r="AA7924">
        <v>0.99279580000000001</v>
      </c>
      <c r="AB7924">
        <v>24</v>
      </c>
      <c r="AC7924">
        <v>24.108999999999899</v>
      </c>
      <c r="AD7924">
        <v>-1.160191</v>
      </c>
      <c r="AE7924">
        <v>-2.76519</v>
      </c>
      <c r="AF7924">
        <v>2.9167779008996799</v>
      </c>
      <c r="AG7924">
        <v>-1.160191</v>
      </c>
      <c r="AH7924">
        <v>24.0353838978866</v>
      </c>
      <c r="AI7924">
        <v>92.743433556075601</v>
      </c>
      <c r="AJ7924">
        <v>83.080790037456396</v>
      </c>
      <c r="AK7924">
        <v>24.239499078950502</v>
      </c>
      <c r="AL7924">
        <v>89.509356564810602</v>
      </c>
      <c r="AM7924">
        <v>87.945552312771397</v>
      </c>
      <c r="AN7924">
        <v>1.0000000305735099</v>
      </c>
    </row>
    <row r="7925" spans="1:40" x14ac:dyDescent="0.25">
      <c r="A7925" t="str">
        <f>"20190312154116659"</f>
        <v>20190312154116659</v>
      </c>
      <c r="B7925" t="str">
        <f>"1552376476644416"</f>
        <v>1552376476644416</v>
      </c>
      <c r="C7925" t="s">
        <v>40</v>
      </c>
      <c r="D7925">
        <v>4.3007609999999996</v>
      </c>
      <c r="E7925">
        <v>0.53425809999999996</v>
      </c>
      <c r="F7925" t="s">
        <v>43</v>
      </c>
      <c r="G7925">
        <v>-312.90410000000003</v>
      </c>
      <c r="H7925">
        <v>-0.05</v>
      </c>
      <c r="I7925">
        <v>14.75691</v>
      </c>
      <c r="J7925">
        <v>-336.96300000000002</v>
      </c>
      <c r="K7925">
        <v>1.1101890000000001</v>
      </c>
      <c r="L7925">
        <v>17.598240000000001</v>
      </c>
      <c r="M7925">
        <v>0.9998705</v>
      </c>
      <c r="N7925">
        <v>0</v>
      </c>
      <c r="O7925">
        <v>6.4603630000000002E-3</v>
      </c>
      <c r="P7925">
        <v>0.99955050000000001</v>
      </c>
      <c r="Q7925">
        <v>-5.84258E-3</v>
      </c>
      <c r="R7925">
        <v>-2.9410100000000002E-2</v>
      </c>
      <c r="S7925">
        <v>2.990173</v>
      </c>
      <c r="T7925">
        <v>-0.14339170000000001</v>
      </c>
      <c r="U7925">
        <v>-0.3510742</v>
      </c>
      <c r="V7925">
        <v>3.5870640000000002E-2</v>
      </c>
      <c r="W7925">
        <v>8.8817540000000004E-3</v>
      </c>
      <c r="X7925">
        <v>0.99931700000000001</v>
      </c>
      <c r="Y7925">
        <v>0.12287629999999999</v>
      </c>
      <c r="Z7925">
        <v>-3.2430979999999998E-3</v>
      </c>
      <c r="AA7925">
        <v>0.99241670000000004</v>
      </c>
      <c r="AB7925">
        <v>24</v>
      </c>
      <c r="AC7925">
        <v>24.058899999999898</v>
      </c>
      <c r="AD7925">
        <v>-1.1601889999999999</v>
      </c>
      <c r="AE7925">
        <v>-2.8413299999999899</v>
      </c>
      <c r="AF7925">
        <v>2.9898596928336398</v>
      </c>
      <c r="AG7925">
        <v>-1.1601889999999999</v>
      </c>
      <c r="AH7925">
        <v>23.985031172971901</v>
      </c>
      <c r="AI7925">
        <v>92.748081427288</v>
      </c>
      <c r="AJ7925">
        <v>82.894434164510301</v>
      </c>
      <c r="AK7925">
        <v>24.198492099033501</v>
      </c>
      <c r="AL7925">
        <v>89.4911063042085</v>
      </c>
      <c r="AM7925">
        <v>87.944241652971598</v>
      </c>
      <c r="AN7925">
        <v>1.0000000274285601</v>
      </c>
    </row>
    <row r="7926" spans="1:40" x14ac:dyDescent="0.25">
      <c r="A7926" t="str">
        <f>"20190312154116671"</f>
        <v>20190312154116671</v>
      </c>
      <c r="B7926" t="str">
        <f>"1552376476663937"</f>
        <v>1552376476663937</v>
      </c>
      <c r="C7926" t="s">
        <v>40</v>
      </c>
      <c r="D7926">
        <v>4.3160590000000001</v>
      </c>
      <c r="E7926">
        <v>0.53598000000000001</v>
      </c>
      <c r="F7926" t="s">
        <v>43</v>
      </c>
      <c r="G7926">
        <v>-312.82130000000001</v>
      </c>
      <c r="H7926">
        <v>-0.05</v>
      </c>
      <c r="I7926">
        <v>14.693849999999999</v>
      </c>
      <c r="J7926">
        <v>-336.81490000000002</v>
      </c>
      <c r="K7926">
        <v>1.110188</v>
      </c>
      <c r="L7926">
        <v>17.599060000000001</v>
      </c>
      <c r="M7926">
        <v>0.99987119999999996</v>
      </c>
      <c r="N7926">
        <v>0</v>
      </c>
      <c r="O7926">
        <v>6.3372749999999999E-3</v>
      </c>
      <c r="P7926">
        <v>0.99954430000000005</v>
      </c>
      <c r="Q7926">
        <v>-5.7493730000000003E-3</v>
      </c>
      <c r="R7926">
        <v>-2.9634779999999999E-2</v>
      </c>
      <c r="S7926">
        <v>2.98996</v>
      </c>
      <c r="T7926">
        <v>-0.14368989999999901</v>
      </c>
      <c r="U7926">
        <v>-0.35971069999999999</v>
      </c>
      <c r="V7926">
        <v>3.597231E-2</v>
      </c>
      <c r="W7926">
        <v>8.9704439999999993E-3</v>
      </c>
      <c r="X7926">
        <v>0.99931250000000005</v>
      </c>
      <c r="Y7926">
        <v>0.125585</v>
      </c>
      <c r="Z7926">
        <v>-3.3084389999999998E-3</v>
      </c>
      <c r="AA7926">
        <v>0.9920774</v>
      </c>
      <c r="AB7926">
        <v>24</v>
      </c>
      <c r="AC7926">
        <v>23.993600000000001</v>
      </c>
      <c r="AD7926">
        <v>-1.160188</v>
      </c>
      <c r="AE7926">
        <v>-2.9052099999999998</v>
      </c>
      <c r="AF7926">
        <v>3.0501935659660102</v>
      </c>
      <c r="AG7926">
        <v>-1.160188</v>
      </c>
      <c r="AH7926">
        <v>23.919586316583</v>
      </c>
      <c r="AI7926">
        <v>92.754608708514695</v>
      </c>
      <c r="AJ7926">
        <v>82.732939586467296</v>
      </c>
      <c r="AK7926">
        <v>24.141174920489501</v>
      </c>
      <c r="AL7926">
        <v>89.486024511906393</v>
      </c>
      <c r="AM7926">
        <v>87.938410656561601</v>
      </c>
      <c r="AN7926">
        <v>0.99999997430427101</v>
      </c>
    </row>
    <row r="7927" spans="1:40" x14ac:dyDescent="0.25">
      <c r="A7927" t="str">
        <f>"20190312154116687"</f>
        <v>20190312154116687</v>
      </c>
      <c r="B7927" t="str">
        <f>"1552376476673696"</f>
        <v>1552376476673696</v>
      </c>
      <c r="C7927" t="s">
        <v>40</v>
      </c>
      <c r="D7927">
        <v>4.2994469999999998</v>
      </c>
      <c r="E7927">
        <v>0.53672569999999997</v>
      </c>
      <c r="F7927" t="s">
        <v>43</v>
      </c>
      <c r="G7927">
        <v>-312.68259999999998</v>
      </c>
      <c r="H7927">
        <v>-0.05</v>
      </c>
      <c r="I7927">
        <v>14.57925</v>
      </c>
      <c r="J7927">
        <v>-336.65730000000002</v>
      </c>
      <c r="K7927">
        <v>1.110182</v>
      </c>
      <c r="L7927">
        <v>17.599910000000001</v>
      </c>
      <c r="M7927">
        <v>0.99987230000000005</v>
      </c>
      <c r="N7927">
        <v>0</v>
      </c>
      <c r="O7927">
        <v>6.200405E-3</v>
      </c>
      <c r="P7927">
        <v>0.99954969999999999</v>
      </c>
      <c r="Q7927">
        <v>-4.9678860000000004E-3</v>
      </c>
      <c r="R7927">
        <v>-2.9598380000000001E-2</v>
      </c>
      <c r="S7927">
        <v>2.9894409999999998</v>
      </c>
      <c r="T7927">
        <v>-0.1437206</v>
      </c>
      <c r="U7927">
        <v>-0.37408449999999999</v>
      </c>
      <c r="V7927">
        <v>3.5799699999999997E-2</v>
      </c>
      <c r="W7927">
        <v>9.7481300000000007E-3</v>
      </c>
      <c r="X7927">
        <v>0.99931139999999996</v>
      </c>
      <c r="Y7927">
        <v>0.13016249999999999</v>
      </c>
      <c r="Z7927">
        <v>-3.411744E-3</v>
      </c>
      <c r="AA7927">
        <v>0.9914868</v>
      </c>
      <c r="AB7927">
        <v>24</v>
      </c>
      <c r="AC7927">
        <v>23.974699999999999</v>
      </c>
      <c r="AD7927">
        <v>-1.160182</v>
      </c>
      <c r="AE7927">
        <v>-3.0206599999999999</v>
      </c>
      <c r="AF7927">
        <v>3.1619819440989101</v>
      </c>
      <c r="AG7927">
        <v>-1.160182</v>
      </c>
      <c r="AH7927">
        <v>23.900412810852799</v>
      </c>
      <c r="AI7927">
        <v>92.755120695351295</v>
      </c>
      <c r="AJ7927">
        <v>82.463636500211393</v>
      </c>
      <c r="AK7927">
        <v>24.1365673743618</v>
      </c>
      <c r="AL7927">
        <v>89.441464424016203</v>
      </c>
      <c r="AM7927">
        <v>87.948292282433599</v>
      </c>
      <c r="AN7927">
        <v>0.999999959364272</v>
      </c>
    </row>
    <row r="7928" spans="1:40" x14ac:dyDescent="0.25">
      <c r="A7928" t="str">
        <f>"20190312154116708"</f>
        <v>20190312154116708</v>
      </c>
      <c r="B7928" t="str">
        <f>"1552376476703952"</f>
        <v>1552376476703952</v>
      </c>
      <c r="C7928" t="s">
        <v>40</v>
      </c>
      <c r="D7928">
        <v>4.2862669999999996</v>
      </c>
      <c r="E7928">
        <v>0.53855690000000001</v>
      </c>
      <c r="F7928" t="s">
        <v>43</v>
      </c>
      <c r="G7928">
        <v>-312.3716</v>
      </c>
      <c r="H7928">
        <v>-0.05</v>
      </c>
      <c r="I7928">
        <v>14.513529999999999</v>
      </c>
      <c r="J7928">
        <v>-336.42579999999998</v>
      </c>
      <c r="K7928">
        <v>1.1101700000000001</v>
      </c>
      <c r="L7928">
        <v>17.601099999999999</v>
      </c>
      <c r="M7928">
        <v>0.99987369999999998</v>
      </c>
      <c r="N7928">
        <v>0</v>
      </c>
      <c r="O7928">
        <v>5.9866399999999997E-3</v>
      </c>
      <c r="P7928">
        <v>0.99955970000000005</v>
      </c>
      <c r="Q7928">
        <v>-4.2171730000000003E-3</v>
      </c>
      <c r="R7928">
        <v>-2.9375229999999999E-2</v>
      </c>
      <c r="S7928">
        <v>2.9894099999999999</v>
      </c>
      <c r="T7928">
        <v>-0.1428111</v>
      </c>
      <c r="U7928">
        <v>-0.37991330000000001</v>
      </c>
      <c r="V7928">
        <v>3.5363459999999999E-2</v>
      </c>
      <c r="W7928">
        <v>1.0492909999999999E-2</v>
      </c>
      <c r="X7928">
        <v>0.99931939999999997</v>
      </c>
      <c r="Y7928">
        <v>0.1318549</v>
      </c>
      <c r="Z7928">
        <v>-3.419872E-3</v>
      </c>
      <c r="AA7928">
        <v>0.99126320000000001</v>
      </c>
      <c r="AB7928">
        <v>24</v>
      </c>
      <c r="AC7928">
        <v>24.054199999999899</v>
      </c>
      <c r="AD7928">
        <v>-1.1601699999999999</v>
      </c>
      <c r="AE7928">
        <v>-3.0875699999999902</v>
      </c>
      <c r="AF7928">
        <v>3.2241553959268501</v>
      </c>
      <c r="AG7928">
        <v>-1.1601699999999999</v>
      </c>
      <c r="AH7928">
        <v>23.980401839024001</v>
      </c>
      <c r="AI7928">
        <v>92.745143601547497</v>
      </c>
      <c r="AJ7928">
        <v>82.342525727133193</v>
      </c>
      <c r="AK7928">
        <v>24.2239725232475</v>
      </c>
      <c r="AL7928">
        <v>89.398789491082596</v>
      </c>
      <c r="AM7928">
        <v>87.973288757608401</v>
      </c>
      <c r="AN7928">
        <v>0.99999996933989899</v>
      </c>
    </row>
    <row r="7929" spans="1:40" x14ac:dyDescent="0.25">
      <c r="A7929" t="str">
        <f>"20190312154116720"</f>
        <v>20190312154116720</v>
      </c>
      <c r="B7929" t="str">
        <f>"1552376476713712"</f>
        <v>1552376476713712</v>
      </c>
      <c r="C7929" t="s">
        <v>40</v>
      </c>
      <c r="D7929">
        <v>4.3112870000000001</v>
      </c>
      <c r="E7929">
        <v>0.53906140000000002</v>
      </c>
      <c r="F7929" t="s">
        <v>43</v>
      </c>
      <c r="G7929">
        <v>-312.01190000000003</v>
      </c>
      <c r="H7929">
        <v>-0.05</v>
      </c>
      <c r="I7929">
        <v>14.385479999999999</v>
      </c>
      <c r="J7929">
        <v>-336.3064</v>
      </c>
      <c r="K7929">
        <v>1.1101639999999999</v>
      </c>
      <c r="L7929">
        <v>17.601679999999899</v>
      </c>
      <c r="M7929">
        <v>0.9998745</v>
      </c>
      <c r="N7929">
        <v>0</v>
      </c>
      <c r="O7929">
        <v>5.8700879999999999E-3</v>
      </c>
      <c r="P7929">
        <v>0.99956659999999997</v>
      </c>
      <c r="Q7929">
        <v>-3.5681480000000002E-3</v>
      </c>
      <c r="R7929">
        <v>-2.9226709999999999E-2</v>
      </c>
      <c r="S7929">
        <v>2.9891359999999998</v>
      </c>
      <c r="T7929">
        <v>-0.14204629999999999</v>
      </c>
      <c r="U7929">
        <v>-0.39370729999999998</v>
      </c>
      <c r="V7929">
        <v>3.5098900000000002E-2</v>
      </c>
      <c r="W7929">
        <v>1.113899E-2</v>
      </c>
      <c r="X7929">
        <v>0.99932180000000004</v>
      </c>
      <c r="Y7929">
        <v>0.13624539999999999</v>
      </c>
      <c r="Z7929">
        <v>-3.4991879999999999E-3</v>
      </c>
      <c r="AA7929">
        <v>0.99066900000000002</v>
      </c>
      <c r="AB7929">
        <v>24</v>
      </c>
      <c r="AC7929">
        <v>24.2944999999999</v>
      </c>
      <c r="AD7929">
        <v>-1.160164</v>
      </c>
      <c r="AE7929">
        <v>-3.21619999999999</v>
      </c>
      <c r="AF7929">
        <v>3.3512600796767802</v>
      </c>
      <c r="AG7929">
        <v>-1.160164</v>
      </c>
      <c r="AH7929">
        <v>24.2209163814608</v>
      </c>
      <c r="AI7929">
        <v>92.716489715963604</v>
      </c>
      <c r="AJ7929">
        <v>82.1224435032033</v>
      </c>
      <c r="AK7929">
        <v>24.4791690011375</v>
      </c>
      <c r="AL7929">
        <v>89.361769708489504</v>
      </c>
      <c r="AM7929">
        <v>87.988443249748499</v>
      </c>
      <c r="AN7929">
        <v>1.0000000349173299</v>
      </c>
    </row>
    <row r="7930" spans="1:40" x14ac:dyDescent="0.25">
      <c r="A7930" t="str">
        <f>"20190312154116730"</f>
        <v>20190312154116730</v>
      </c>
      <c r="B7930" t="str">
        <f>"1552376476724447"</f>
        <v>1552376476724447</v>
      </c>
      <c r="C7930" t="s">
        <v>40</v>
      </c>
      <c r="D7930">
        <v>4.2868269999999997</v>
      </c>
      <c r="E7930">
        <v>0.53949820000000004</v>
      </c>
      <c r="F7930" t="s">
        <v>43</v>
      </c>
      <c r="G7930">
        <v>-311.46570000000003</v>
      </c>
      <c r="H7930">
        <v>-0.05</v>
      </c>
      <c r="I7930">
        <v>14.299989999999999</v>
      </c>
      <c r="J7930">
        <v>-336.1943</v>
      </c>
      <c r="K7930">
        <v>1.1101589999999999</v>
      </c>
      <c r="L7930">
        <v>17.6022</v>
      </c>
      <c r="M7930">
        <v>0.99987499999999996</v>
      </c>
      <c r="N7930">
        <v>0</v>
      </c>
      <c r="O7930">
        <v>5.7538279999999999E-3</v>
      </c>
      <c r="P7930">
        <v>0.99957359999999995</v>
      </c>
      <c r="Q7930">
        <v>-3.311942E-3</v>
      </c>
      <c r="R7930">
        <v>-2.90107E-2</v>
      </c>
      <c r="S7930">
        <v>2.9891969999999999</v>
      </c>
      <c r="T7930">
        <v>-0.13960790000000001</v>
      </c>
      <c r="U7930">
        <v>-0.3973083</v>
      </c>
      <c r="V7930">
        <v>3.476713E-2</v>
      </c>
      <c r="W7930">
        <v>1.1391699999999999E-2</v>
      </c>
      <c r="X7930">
        <v>0.99933050000000001</v>
      </c>
      <c r="Y7930">
        <v>0.13730490000000001</v>
      </c>
      <c r="Z7930">
        <v>-3.458062E-3</v>
      </c>
      <c r="AA7930">
        <v>0.99052280000000004</v>
      </c>
      <c r="AB7930">
        <v>24</v>
      </c>
      <c r="AC7930">
        <v>24.728599999999901</v>
      </c>
      <c r="AD7930">
        <v>-1.1601589999999999</v>
      </c>
      <c r="AE7930">
        <v>-3.3022100000000001</v>
      </c>
      <c r="AF7930">
        <v>3.4370222463256899</v>
      </c>
      <c r="AG7930">
        <v>-1.1601589999999999</v>
      </c>
      <c r="AH7930">
        <v>24.6558694035953</v>
      </c>
      <c r="AI7930">
        <v>92.668249981204795</v>
      </c>
      <c r="AJ7930">
        <v>82.064122561506494</v>
      </c>
      <c r="AK7930">
        <v>24.921295850620702</v>
      </c>
      <c r="AL7930">
        <v>89.347289541860505</v>
      </c>
      <c r="AM7930">
        <v>88.007459288002195</v>
      </c>
      <c r="AN7930">
        <v>0.99999998619378805</v>
      </c>
    </row>
    <row r="7931" spans="1:40" x14ac:dyDescent="0.25">
      <c r="A7931" t="str">
        <f>"20190312154116742"</f>
        <v>20190312154116742</v>
      </c>
      <c r="B7931" t="str">
        <f>"1552376476734208"</f>
        <v>1552376476734208</v>
      </c>
      <c r="C7931" t="s">
        <v>40</v>
      </c>
      <c r="D7931">
        <v>4.2897280000000002</v>
      </c>
      <c r="E7931">
        <v>0.53987399999999997</v>
      </c>
      <c r="F7931" t="s">
        <v>43</v>
      </c>
      <c r="G7931">
        <v>-311.42329999999998</v>
      </c>
      <c r="H7931">
        <v>-0.05</v>
      </c>
      <c r="I7931">
        <v>14.28622</v>
      </c>
      <c r="J7931">
        <v>-336.0736</v>
      </c>
      <c r="K7931">
        <v>1.1101540000000001</v>
      </c>
      <c r="L7931">
        <v>17.602779999999999</v>
      </c>
      <c r="M7931">
        <v>0.99987579999999998</v>
      </c>
      <c r="N7931">
        <v>0</v>
      </c>
      <c r="O7931">
        <v>5.6239640000000004E-3</v>
      </c>
      <c r="P7931">
        <v>0.99958219999999998</v>
      </c>
      <c r="Q7931">
        <v>-3.1885419999999999E-3</v>
      </c>
      <c r="R7931">
        <v>-2.8730869999999999E-2</v>
      </c>
      <c r="S7931">
        <v>2.989166</v>
      </c>
      <c r="T7931">
        <v>-0.1399987</v>
      </c>
      <c r="U7931">
        <v>-0.40014650000000002</v>
      </c>
      <c r="V7931">
        <v>3.435767E-2</v>
      </c>
      <c r="W7931">
        <v>1.1512329999999999E-2</v>
      </c>
      <c r="X7931">
        <v>0.99934330000000005</v>
      </c>
      <c r="Y7931">
        <v>0.1381</v>
      </c>
      <c r="Z7931">
        <v>-3.4800209999999998E-3</v>
      </c>
      <c r="AA7931">
        <v>0.99041219999999996</v>
      </c>
      <c r="AB7931">
        <v>24</v>
      </c>
      <c r="AC7931">
        <v>24.650300000000001</v>
      </c>
      <c r="AD7931">
        <v>-1.1601539999999999</v>
      </c>
      <c r="AE7931">
        <v>-3.3165599999999902</v>
      </c>
      <c r="AF7931">
        <v>3.4476539655174001</v>
      </c>
      <c r="AG7931">
        <v>-1.1601539999999999</v>
      </c>
      <c r="AH7931">
        <v>24.577782397140101</v>
      </c>
      <c r="AI7931">
        <v>92.676382631891201</v>
      </c>
      <c r="AJ7931">
        <v>82.014924072754695</v>
      </c>
      <c r="AK7931">
        <v>24.8455159481713</v>
      </c>
      <c r="AL7931">
        <v>89.340377512495493</v>
      </c>
      <c r="AM7931">
        <v>88.030932488290901</v>
      </c>
      <c r="AN7931">
        <v>1.00000000724237</v>
      </c>
    </row>
    <row r="7932" spans="1:40" x14ac:dyDescent="0.25">
      <c r="A7932" t="str">
        <f>"20190312154116752"</f>
        <v>20190312154116752</v>
      </c>
      <c r="B7932" t="str">
        <f>"1552376476743968"</f>
        <v>1552376476743968</v>
      </c>
      <c r="C7932" t="s">
        <v>40</v>
      </c>
      <c r="D7932">
        <v>4.2876469999999998</v>
      </c>
      <c r="E7932">
        <v>0.54021049999999904</v>
      </c>
      <c r="F7932" t="s">
        <v>43</v>
      </c>
      <c r="G7932">
        <v>-311.0797</v>
      </c>
      <c r="H7932">
        <v>-0.05</v>
      </c>
      <c r="I7932">
        <v>14.23869</v>
      </c>
      <c r="J7932">
        <v>-335.94990000000001</v>
      </c>
      <c r="K7932">
        <v>1.1101449999999999</v>
      </c>
      <c r="L7932">
        <v>17.60333</v>
      </c>
      <c r="M7932">
        <v>0.99987669999999995</v>
      </c>
      <c r="N7932">
        <v>0</v>
      </c>
      <c r="O7932">
        <v>5.4840139999999997E-3</v>
      </c>
      <c r="P7932">
        <v>0.99958829999999999</v>
      </c>
      <c r="Q7932">
        <v>-2.96094E-3</v>
      </c>
      <c r="R7932">
        <v>-2.854464E-2</v>
      </c>
      <c r="S7932">
        <v>2.989258</v>
      </c>
      <c r="T7932">
        <v>-0.13875419999999999</v>
      </c>
      <c r="U7932">
        <v>-0.40234379999999997</v>
      </c>
      <c r="V7932">
        <v>3.4031949999999998E-2</v>
      </c>
      <c r="W7932">
        <v>1.1736430000000001E-2</v>
      </c>
      <c r="X7932">
        <v>0.99935189999999996</v>
      </c>
      <c r="Y7932">
        <v>0.13867479999999999</v>
      </c>
      <c r="Z7932">
        <v>-3.4556579999999999E-3</v>
      </c>
      <c r="AA7932">
        <v>0.99033190000000004</v>
      </c>
      <c r="AB7932">
        <v>24</v>
      </c>
      <c r="AC7932">
        <v>24.870200000000001</v>
      </c>
      <c r="AD7932">
        <v>-1.160145</v>
      </c>
      <c r="AE7932">
        <v>-3.3646400000000001</v>
      </c>
      <c r="AF7932">
        <v>3.4935272845033101</v>
      </c>
      <c r="AG7932">
        <v>-1.160145</v>
      </c>
      <c r="AH7932">
        <v>24.798379959415499</v>
      </c>
      <c r="AI7932">
        <v>92.652368282469496</v>
      </c>
      <c r="AJ7932">
        <v>81.9810996980287</v>
      </c>
      <c r="AK7932">
        <v>25.0701080556134</v>
      </c>
      <c r="AL7932">
        <v>89.327536702120199</v>
      </c>
      <c r="AM7932">
        <v>88.049602065429497</v>
      </c>
      <c r="AN7932">
        <v>1.0000000687217701</v>
      </c>
    </row>
    <row r="7933" spans="1:40" x14ac:dyDescent="0.25">
      <c r="A7933" t="str">
        <f>"20190312154116764"</f>
        <v>20190312154116764</v>
      </c>
      <c r="B7933" t="str">
        <f>"1552376476754703"</f>
        <v>1552376476754703</v>
      </c>
      <c r="C7933" t="s">
        <v>40</v>
      </c>
      <c r="D7933">
        <v>4.298171</v>
      </c>
      <c r="E7933">
        <v>0.54057290000000002</v>
      </c>
      <c r="F7933" t="s">
        <v>43</v>
      </c>
      <c r="G7933">
        <v>-310.85180000000003</v>
      </c>
      <c r="H7933">
        <v>-0.05</v>
      </c>
      <c r="I7933">
        <v>14.207599999999999</v>
      </c>
      <c r="J7933">
        <v>-335.83699999999999</v>
      </c>
      <c r="K7933">
        <v>1.1101399999999999</v>
      </c>
      <c r="L7933">
        <v>17.60379</v>
      </c>
      <c r="M7933">
        <v>0.99987760000000003</v>
      </c>
      <c r="N7933">
        <v>0</v>
      </c>
      <c r="O7933">
        <v>5.3488950000000002E-3</v>
      </c>
      <c r="P7933">
        <v>0.99958590000000003</v>
      </c>
      <c r="Q7933">
        <v>-3.2119710000000001E-3</v>
      </c>
      <c r="R7933">
        <v>-2.8601330000000001E-2</v>
      </c>
      <c r="S7933">
        <v>2.9893190000000001</v>
      </c>
      <c r="T7933">
        <v>-0.13817929999999901</v>
      </c>
      <c r="U7933">
        <v>-0.40444950000000002</v>
      </c>
      <c r="V7933">
        <v>3.3953539999999997E-2</v>
      </c>
      <c r="W7933">
        <v>1.1482289999999999E-2</v>
      </c>
      <c r="X7933">
        <v>0.99935750000000001</v>
      </c>
      <c r="Y7933">
        <v>0.13922419999999999</v>
      </c>
      <c r="Z7933">
        <v>-3.4475410000000001E-3</v>
      </c>
      <c r="AA7933">
        <v>0.99025490000000005</v>
      </c>
      <c r="AB7933">
        <v>24</v>
      </c>
      <c r="AC7933">
        <v>24.985199999999899</v>
      </c>
      <c r="AD7933">
        <v>-1.1601399999999999</v>
      </c>
      <c r="AE7933">
        <v>-3.3961899999999998</v>
      </c>
      <c r="AF7933">
        <v>3.5223425519252101</v>
      </c>
      <c r="AG7933">
        <v>-1.1601399999999999</v>
      </c>
      <c r="AH7933">
        <v>24.913933901353801</v>
      </c>
      <c r="AI7933">
        <v>92.639888795947996</v>
      </c>
      <c r="AJ7933">
        <v>81.952832266466302</v>
      </c>
      <c r="AK7933">
        <v>25.188428381177999</v>
      </c>
      <c r="AL7933">
        <v>89.342098819163297</v>
      </c>
      <c r="AM7933">
        <v>88.054103241441396</v>
      </c>
      <c r="AN7933">
        <v>1.0000000493342101</v>
      </c>
    </row>
    <row r="7934" spans="1:40" x14ac:dyDescent="0.25">
      <c r="A7934" t="str">
        <f>"20190312154116775"</f>
        <v>20190312154116775</v>
      </c>
      <c r="B7934" t="str">
        <f>"1552376476764464"</f>
        <v>1552376476764464</v>
      </c>
      <c r="C7934" t="s">
        <v>40</v>
      </c>
      <c r="D7934">
        <v>4.3222139999999998</v>
      </c>
      <c r="E7934">
        <v>0.54101599999999905</v>
      </c>
      <c r="F7934" t="s">
        <v>43</v>
      </c>
      <c r="G7934">
        <v>-311.0428</v>
      </c>
      <c r="H7934">
        <v>-0.05</v>
      </c>
      <c r="I7934">
        <v>14.2244299999999</v>
      </c>
      <c r="J7934">
        <v>-335.72239999999999</v>
      </c>
      <c r="K7934">
        <v>1.110136</v>
      </c>
      <c r="L7934">
        <v>17.60425</v>
      </c>
      <c r="M7934">
        <v>0.99987820000000005</v>
      </c>
      <c r="N7934">
        <v>0</v>
      </c>
      <c r="O7934">
        <v>5.208168E-3</v>
      </c>
      <c r="P7934">
        <v>0.9995752</v>
      </c>
      <c r="Q7934">
        <v>-3.5384600000000002E-3</v>
      </c>
      <c r="R7934">
        <v>-2.8928200000000001E-2</v>
      </c>
      <c r="S7934">
        <v>2.9891359999999998</v>
      </c>
      <c r="T7934">
        <v>-0.13986409999999999</v>
      </c>
      <c r="U7934">
        <v>-0.40740969999999999</v>
      </c>
      <c r="V7934">
        <v>3.4139929999999999E-2</v>
      </c>
      <c r="W7934">
        <v>1.115186E-2</v>
      </c>
      <c r="X7934">
        <v>0.99935479999999999</v>
      </c>
      <c r="Y7934">
        <v>0.14005129999999999</v>
      </c>
      <c r="Z7934">
        <v>-3.5022109999999999E-3</v>
      </c>
      <c r="AA7934">
        <v>0.99013810000000002</v>
      </c>
      <c r="AB7934">
        <v>24</v>
      </c>
      <c r="AC7934">
        <v>24.679599999999901</v>
      </c>
      <c r="AD7934">
        <v>-1.1601360000000001</v>
      </c>
      <c r="AE7934">
        <v>-3.37982</v>
      </c>
      <c r="AF7934">
        <v>3.50073026713223</v>
      </c>
      <c r="AG7934">
        <v>-1.1601360000000001</v>
      </c>
      <c r="AH7934">
        <v>24.608283742950999</v>
      </c>
      <c r="AI7934">
        <v>92.672295748359701</v>
      </c>
      <c r="AJ7934">
        <v>81.903530755647296</v>
      </c>
      <c r="AK7934">
        <v>24.8830998212702</v>
      </c>
      <c r="AL7934">
        <v>89.361032216586693</v>
      </c>
      <c r="AM7934">
        <v>88.0434241220009</v>
      </c>
      <c r="AN7934">
        <v>0.99999995754245097</v>
      </c>
    </row>
    <row r="7935" spans="1:40" x14ac:dyDescent="0.25">
      <c r="A7935" t="str">
        <f>"20190312154116785"</f>
        <v>20190312154116785</v>
      </c>
      <c r="B7935" t="str">
        <f>"1552376476774224"</f>
        <v>1552376476774224</v>
      </c>
      <c r="C7935" t="s">
        <v>40</v>
      </c>
      <c r="D7935">
        <v>4.2678000000000003</v>
      </c>
      <c r="E7935">
        <v>0.54137999999999997</v>
      </c>
      <c r="F7935" t="s">
        <v>43</v>
      </c>
      <c r="G7935">
        <v>-311.16430000000003</v>
      </c>
      <c r="H7935">
        <v>-0.05</v>
      </c>
      <c r="I7935">
        <v>14.2204</v>
      </c>
      <c r="J7935">
        <v>-335.60730000000001</v>
      </c>
      <c r="K7935">
        <v>1.1101270000000001</v>
      </c>
      <c r="L7935">
        <v>17.604710000000001</v>
      </c>
      <c r="M7935">
        <v>0.99987899999999996</v>
      </c>
      <c r="N7935">
        <v>0</v>
      </c>
      <c r="O7935">
        <v>5.0577219999999997E-3</v>
      </c>
      <c r="P7935">
        <v>0.99955910000000003</v>
      </c>
      <c r="Q7935">
        <v>-3.822279E-3</v>
      </c>
      <c r="R7935">
        <v>-2.9444209999999998E-2</v>
      </c>
      <c r="S7935">
        <v>2.988861</v>
      </c>
      <c r="T7935">
        <v>-0.1411955</v>
      </c>
      <c r="U7935">
        <v>-0.4118347</v>
      </c>
      <c r="V7935">
        <v>3.4505609999999999E-2</v>
      </c>
      <c r="W7935">
        <v>1.086435E-2</v>
      </c>
      <c r="X7935">
        <v>0.99934540000000005</v>
      </c>
      <c r="Y7935">
        <v>0.14134910000000001</v>
      </c>
      <c r="Z7935">
        <v>-3.5589020000000001E-3</v>
      </c>
      <c r="AA7935">
        <v>0.98995339999999998</v>
      </c>
      <c r="AB7935">
        <v>24</v>
      </c>
      <c r="AC7935">
        <v>24.442999999999898</v>
      </c>
      <c r="AD7935">
        <v>-1.1601269999999999</v>
      </c>
      <c r="AE7935">
        <v>-3.3843100000000002</v>
      </c>
      <c r="AF7935">
        <v>3.5001694853979402</v>
      </c>
      <c r="AG7935">
        <v>-1.1601269999999999</v>
      </c>
      <c r="AH7935">
        <v>24.371699279776301</v>
      </c>
      <c r="AI7935">
        <v>92.697665165629203</v>
      </c>
      <c r="AJ7935">
        <v>81.827284343015094</v>
      </c>
      <c r="AK7935">
        <v>24.649073144166898</v>
      </c>
      <c r="AL7935">
        <v>89.377506320312506</v>
      </c>
      <c r="AM7935">
        <v>88.022464789773807</v>
      </c>
      <c r="AN7935">
        <v>0.99999994986177598</v>
      </c>
    </row>
    <row r="7936" spans="1:40" x14ac:dyDescent="0.25">
      <c r="A7936" t="str">
        <f>"20190312154116797"</f>
        <v>20190312154116797</v>
      </c>
      <c r="B7936" t="str">
        <f>"1552376476784960"</f>
        <v>1552376476784960</v>
      </c>
      <c r="C7936" t="s">
        <v>40</v>
      </c>
      <c r="D7936">
        <v>4.2965970000000002</v>
      </c>
      <c r="E7936">
        <v>0.54172349999999903</v>
      </c>
      <c r="F7936" t="s">
        <v>43</v>
      </c>
      <c r="G7936">
        <v>-311.3064</v>
      </c>
      <c r="H7936">
        <v>-0.05</v>
      </c>
      <c r="I7936">
        <v>14.21997</v>
      </c>
      <c r="J7936">
        <v>-335.4873</v>
      </c>
      <c r="K7936">
        <v>1.1101190000000001</v>
      </c>
      <c r="L7936">
        <v>17.605129999999999</v>
      </c>
      <c r="M7936">
        <v>0.99987979999999999</v>
      </c>
      <c r="N7936">
        <v>0</v>
      </c>
      <c r="O7936">
        <v>4.8983890000000004E-3</v>
      </c>
      <c r="P7936">
        <v>0.99952949999999996</v>
      </c>
      <c r="Q7936">
        <v>-4.1490030000000001E-3</v>
      </c>
      <c r="R7936">
        <v>-3.0388829999999999E-2</v>
      </c>
      <c r="S7936">
        <v>2.988556</v>
      </c>
      <c r="T7936">
        <v>-0.1426743</v>
      </c>
      <c r="U7936">
        <v>-0.41625980000000001</v>
      </c>
      <c r="V7936">
        <v>3.5290839999999997E-2</v>
      </c>
      <c r="W7936">
        <v>1.053392E-2</v>
      </c>
      <c r="X7936">
        <v>0.99932160000000003</v>
      </c>
      <c r="Y7936">
        <v>0.1426384</v>
      </c>
      <c r="Z7936">
        <v>-3.6191790000000001E-3</v>
      </c>
      <c r="AA7936">
        <v>0.98976830000000005</v>
      </c>
      <c r="AB7936">
        <v>24</v>
      </c>
      <c r="AC7936">
        <v>24.180900000000001</v>
      </c>
      <c r="AD7936">
        <v>-1.1601189999999999</v>
      </c>
      <c r="AE7936">
        <v>-3.3851599999999902</v>
      </c>
      <c r="AF7936">
        <v>3.4956880735642502</v>
      </c>
      <c r="AG7936">
        <v>-1.1601189999999999</v>
      </c>
      <c r="AH7936">
        <v>24.109598366572001</v>
      </c>
      <c r="AI7936">
        <v>92.726399950071993</v>
      </c>
      <c r="AJ7936">
        <v>81.750086866375995</v>
      </c>
      <c r="AK7936">
        <v>24.389310047626001</v>
      </c>
      <c r="AL7936">
        <v>89.396439699974906</v>
      </c>
      <c r="AM7936">
        <v>87.977451662979504</v>
      </c>
      <c r="AN7936">
        <v>1.0000000335425101</v>
      </c>
    </row>
    <row r="7937" spans="1:40" x14ac:dyDescent="0.25">
      <c r="A7937" t="str">
        <f>"20190312154116808"</f>
        <v>20190312154116808</v>
      </c>
      <c r="B7937" t="str">
        <f>"1552376476794720"</f>
        <v>1552376476794720</v>
      </c>
      <c r="C7937" t="s">
        <v>40</v>
      </c>
      <c r="D7937">
        <v>4.2723309999999897</v>
      </c>
      <c r="E7937">
        <v>0.5420933</v>
      </c>
      <c r="F7937" t="s">
        <v>43</v>
      </c>
      <c r="G7937">
        <v>-311.40690000000001</v>
      </c>
      <c r="H7937">
        <v>-0.05</v>
      </c>
      <c r="I7937">
        <v>14.20546</v>
      </c>
      <c r="J7937">
        <v>-335.37139999999999</v>
      </c>
      <c r="K7937">
        <v>1.110112</v>
      </c>
      <c r="L7937">
        <v>17.605499999999999</v>
      </c>
      <c r="M7937">
        <v>0.99988069999999896</v>
      </c>
      <c r="N7937">
        <v>0</v>
      </c>
      <c r="O7937">
        <v>4.7346009999999997E-3</v>
      </c>
      <c r="P7937">
        <v>0.99950709999999998</v>
      </c>
      <c r="Q7937">
        <v>-4.4560779999999996E-3</v>
      </c>
      <c r="R7937">
        <v>-3.1078789999999999E-2</v>
      </c>
      <c r="S7937">
        <v>2.9879760000000002</v>
      </c>
      <c r="T7937">
        <v>-0.14395150000000001</v>
      </c>
      <c r="U7937">
        <v>-0.42184450000000001</v>
      </c>
      <c r="V7937">
        <v>3.5816939999999999E-2</v>
      </c>
      <c r="W7937">
        <v>1.022256E-2</v>
      </c>
      <c r="X7937">
        <v>0.99930609999999997</v>
      </c>
      <c r="Y7937">
        <v>0.14431189999999999</v>
      </c>
      <c r="Z7937">
        <v>-3.6840110000000001E-3</v>
      </c>
      <c r="AA7937">
        <v>0.9895254</v>
      </c>
      <c r="AB7937">
        <v>23</v>
      </c>
      <c r="AC7937">
        <v>23.964499999999902</v>
      </c>
      <c r="AD7937">
        <v>-1.160112</v>
      </c>
      <c r="AE7937">
        <v>-3.40003999999999</v>
      </c>
      <c r="AF7937">
        <v>3.50542366796796</v>
      </c>
      <c r="AG7937">
        <v>-1.160112</v>
      </c>
      <c r="AH7937">
        <v>23.8932430709161</v>
      </c>
      <c r="AI7937">
        <v>92.750358609105902</v>
      </c>
      <c r="AJ7937">
        <v>81.653569968032699</v>
      </c>
      <c r="AK7937">
        <v>24.1768674437028</v>
      </c>
      <c r="AL7937">
        <v>89.414280264895297</v>
      </c>
      <c r="AM7937">
        <v>87.947294212575699</v>
      </c>
      <c r="AN7937">
        <v>1.0000000177105599</v>
      </c>
    </row>
    <row r="7938" spans="1:40" x14ac:dyDescent="0.25">
      <c r="A7938" t="str">
        <f>"20190312154116820"</f>
        <v>20190312154116820</v>
      </c>
      <c r="B7938" t="str">
        <f>"1552376476814240"</f>
        <v>1552376476814240</v>
      </c>
      <c r="C7938" t="s">
        <v>40</v>
      </c>
      <c r="D7938">
        <v>4.2693430000000001</v>
      </c>
      <c r="E7938">
        <v>0.54266230000000004</v>
      </c>
      <c r="F7938" t="s">
        <v>43</v>
      </c>
      <c r="G7938">
        <v>-311.49549999999999</v>
      </c>
      <c r="H7938">
        <v>-0.05</v>
      </c>
      <c r="I7938">
        <v>14.1937</v>
      </c>
      <c r="J7938">
        <v>-335.25279999999998</v>
      </c>
      <c r="K7938">
        <v>1.110104</v>
      </c>
      <c r="L7938">
        <v>17.605899999999998</v>
      </c>
      <c r="M7938">
        <v>0.99988160000000004</v>
      </c>
      <c r="N7938">
        <v>0</v>
      </c>
      <c r="O7938">
        <v>4.5651540000000001E-3</v>
      </c>
      <c r="P7938">
        <v>0.99947280000000005</v>
      </c>
      <c r="Q7938">
        <v>-4.5547419999999996E-3</v>
      </c>
      <c r="R7938">
        <v>-3.2149160000000003E-2</v>
      </c>
      <c r="S7938">
        <v>2.9875180000000001</v>
      </c>
      <c r="T7938">
        <v>-0.1451617</v>
      </c>
      <c r="U7938">
        <v>-0.42691040000000002</v>
      </c>
      <c r="V7938">
        <v>3.6717899999999998E-2</v>
      </c>
      <c r="W7938">
        <v>1.011957E-2</v>
      </c>
      <c r="X7938">
        <v>0.99927440000000001</v>
      </c>
      <c r="Y7938">
        <v>0.145805399999999</v>
      </c>
      <c r="Z7938">
        <v>-3.7429619999999999E-3</v>
      </c>
      <c r="AA7938">
        <v>0.98930620000000002</v>
      </c>
      <c r="AB7938">
        <v>23</v>
      </c>
      <c r="AC7938">
        <v>23.757299999999901</v>
      </c>
      <c r="AD7938">
        <v>-1.160104</v>
      </c>
      <c r="AE7938">
        <v>-3.4121999999999901</v>
      </c>
      <c r="AF7938">
        <v>3.51242573973507</v>
      </c>
      <c r="AG7938">
        <v>-1.160104</v>
      </c>
      <c r="AH7938">
        <v>23.686135155608099</v>
      </c>
      <c r="AI7938">
        <v>92.773719690426702</v>
      </c>
      <c r="AJ7938">
        <v>81.565057452044897</v>
      </c>
      <c r="AK7938">
        <v>23.973234543500901</v>
      </c>
      <c r="AL7938">
        <v>89.420181433658399</v>
      </c>
      <c r="AM7938">
        <v>87.895638421880804</v>
      </c>
      <c r="AN7938">
        <v>0.99999996818637704</v>
      </c>
    </row>
    <row r="7939" spans="1:40" x14ac:dyDescent="0.25">
      <c r="A7939" t="str">
        <f>"20190312154116830"</f>
        <v>20190312154116830</v>
      </c>
      <c r="B7939" t="str">
        <f>"1552376476824000"</f>
        <v>1552376476824000</v>
      </c>
      <c r="C7939" t="s">
        <v>40</v>
      </c>
      <c r="D7939">
        <v>4.2561559999999998</v>
      </c>
      <c r="E7939">
        <v>0.54296259999999996</v>
      </c>
      <c r="F7939" t="s">
        <v>43</v>
      </c>
      <c r="G7939">
        <v>-311.4271</v>
      </c>
      <c r="H7939">
        <v>-0.05</v>
      </c>
      <c r="I7939">
        <v>14.139480000000001</v>
      </c>
      <c r="J7939">
        <v>-335.13440000000003</v>
      </c>
      <c r="K7939">
        <v>1.1100969999999999</v>
      </c>
      <c r="L7939">
        <v>17.60623</v>
      </c>
      <c r="M7939">
        <v>0.99988250000000001</v>
      </c>
      <c r="N7939">
        <v>0</v>
      </c>
      <c r="O7939">
        <v>4.3887539999999999E-3</v>
      </c>
      <c r="P7939">
        <v>0.99943950000000004</v>
      </c>
      <c r="Q7939">
        <v>-4.7736369999999998E-3</v>
      </c>
      <c r="R7939">
        <v>-3.3137819999999998E-2</v>
      </c>
      <c r="S7939">
        <v>2.9869379999999999</v>
      </c>
      <c r="T7939">
        <v>-0.1454375</v>
      </c>
      <c r="U7939">
        <v>-0.43457030000000002</v>
      </c>
      <c r="V7939">
        <v>3.7530029999999999E-2</v>
      </c>
      <c r="W7939">
        <v>9.8964199999999995E-3</v>
      </c>
      <c r="X7939">
        <v>0.99924650000000004</v>
      </c>
      <c r="Y7939">
        <v>0.14813950000000001</v>
      </c>
      <c r="Z7939">
        <v>-3.7980549999999998E-3</v>
      </c>
      <c r="AA7939">
        <v>0.98895920000000004</v>
      </c>
      <c r="AB7939">
        <v>23</v>
      </c>
      <c r="AC7939">
        <v>23.7073</v>
      </c>
      <c r="AD7939">
        <v>-1.1600969999999999</v>
      </c>
      <c r="AE7939">
        <v>-3.4667500000000002</v>
      </c>
      <c r="AF7939">
        <v>3.5624215234146499</v>
      </c>
      <c r="AG7939">
        <v>-1.1600969999999999</v>
      </c>
      <c r="AH7939">
        <v>23.636441519007001</v>
      </c>
      <c r="AI7939">
        <v>92.778540568512497</v>
      </c>
      <c r="AJ7939">
        <v>81.429042649354997</v>
      </c>
      <c r="AK7939">
        <v>23.9315281551625</v>
      </c>
      <c r="AL7939">
        <v>89.432967648525903</v>
      </c>
      <c r="AM7939">
        <v>87.849077197805698</v>
      </c>
      <c r="AN7939">
        <v>1.0000000050214299</v>
      </c>
    </row>
    <row r="7940" spans="1:40" x14ac:dyDescent="0.25">
      <c r="A7940" t="str">
        <f>"20190312154116842"</f>
        <v>20190312154116842</v>
      </c>
      <c r="B7940" t="str">
        <f>"1552376476834736"</f>
        <v>1552376476834736</v>
      </c>
      <c r="C7940" t="s">
        <v>40</v>
      </c>
      <c r="D7940">
        <v>4.2920780000000001</v>
      </c>
      <c r="E7940">
        <v>0.54327019999999904</v>
      </c>
      <c r="F7940" t="s">
        <v>43</v>
      </c>
      <c r="G7940">
        <v>-311.42919999999998</v>
      </c>
      <c r="H7940">
        <v>-0.05</v>
      </c>
      <c r="I7940">
        <v>14.113340000000001</v>
      </c>
      <c r="J7940">
        <v>-335.01530000000002</v>
      </c>
      <c r="K7940">
        <v>1.1100920000000001</v>
      </c>
      <c r="L7940">
        <v>17.606570000000001</v>
      </c>
      <c r="M7940">
        <v>0.99988319999999997</v>
      </c>
      <c r="N7940">
        <v>0</v>
      </c>
      <c r="O7940">
        <v>4.2078360000000004E-3</v>
      </c>
      <c r="P7940">
        <v>0.99940680000000004</v>
      </c>
      <c r="Q7940">
        <v>-5.0197230000000002E-3</v>
      </c>
      <c r="R7940">
        <v>-3.407582E-2</v>
      </c>
      <c r="S7940">
        <v>2.9863590000000002</v>
      </c>
      <c r="T7940">
        <v>-0.14614820000000001</v>
      </c>
      <c r="U7940">
        <v>-0.44003300000000001</v>
      </c>
      <c r="V7940">
        <v>3.828724E-2</v>
      </c>
      <c r="W7940">
        <v>9.6460920000000002E-3</v>
      </c>
      <c r="X7940">
        <v>0.9992202</v>
      </c>
      <c r="Y7940">
        <v>0.14975539999999901</v>
      </c>
      <c r="Z7940">
        <v>-3.847325E-3</v>
      </c>
      <c r="AA7940">
        <v>0.98871560000000003</v>
      </c>
      <c r="AB7940">
        <v>23</v>
      </c>
      <c r="AC7940">
        <v>23.586099999999998</v>
      </c>
      <c r="AD7940">
        <v>-1.1600919999999999</v>
      </c>
      <c r="AE7940">
        <v>-3.4932300000000001</v>
      </c>
      <c r="AF7940">
        <v>3.5839719656835101</v>
      </c>
      <c r="AG7940">
        <v>-1.1600919999999999</v>
      </c>
      <c r="AH7940">
        <v>23.515522846819099</v>
      </c>
      <c r="AI7940">
        <v>92.792094777798496</v>
      </c>
      <c r="AJ7940">
        <v>81.334306784576498</v>
      </c>
      <c r="AK7940">
        <v>23.815341342473701</v>
      </c>
      <c r="AL7940">
        <v>89.4473110594991</v>
      </c>
      <c r="AM7940">
        <v>87.805664247667096</v>
      </c>
      <c r="AN7940">
        <v>0.99999998396286405</v>
      </c>
    </row>
    <row r="7941" spans="1:40" x14ac:dyDescent="0.25">
      <c r="A7941" t="str">
        <f>"20190312154116853"</f>
        <v>20190312154116853</v>
      </c>
      <c r="B7941" t="str">
        <f>"1552376476844496"</f>
        <v>1552376476844496</v>
      </c>
      <c r="C7941" t="s">
        <v>40</v>
      </c>
      <c r="D7941">
        <v>4.2706999999999997</v>
      </c>
      <c r="E7941">
        <v>0.54353370000000001</v>
      </c>
      <c r="F7941" t="s">
        <v>43</v>
      </c>
      <c r="G7941">
        <v>-311.4948</v>
      </c>
      <c r="H7941">
        <v>-0.05</v>
      </c>
      <c r="I7941">
        <v>14.09947</v>
      </c>
      <c r="J7941">
        <v>-334.89760000000001</v>
      </c>
      <c r="K7941">
        <v>1.1100859999999999</v>
      </c>
      <c r="L7941">
        <v>17.606870000000001</v>
      </c>
      <c r="M7941">
        <v>0.99988390000000005</v>
      </c>
      <c r="N7941">
        <v>0</v>
      </c>
      <c r="O7941">
        <v>4.024728E-3</v>
      </c>
      <c r="P7941">
        <v>0.99938610000000005</v>
      </c>
      <c r="Q7941">
        <v>-5.1088569999999996E-3</v>
      </c>
      <c r="R7941">
        <v>-3.4657680000000003E-2</v>
      </c>
      <c r="S7941">
        <v>2.9859010000000001</v>
      </c>
      <c r="T7941">
        <v>-0.14727219999999999</v>
      </c>
      <c r="U7941">
        <v>-0.44522089999999998</v>
      </c>
      <c r="V7941">
        <v>3.868605E-2</v>
      </c>
      <c r="W7941">
        <v>9.5526350000000003E-3</v>
      </c>
      <c r="X7941">
        <v>0.99920580000000003</v>
      </c>
      <c r="Y7941">
        <v>0.15127260000000001</v>
      </c>
      <c r="Z7941">
        <v>-3.9051860000000002E-3</v>
      </c>
      <c r="AA7941">
        <v>0.98848440000000004</v>
      </c>
      <c r="AB7941">
        <v>23</v>
      </c>
      <c r="AC7941">
        <v>23.402799999999999</v>
      </c>
      <c r="AD7941">
        <v>-1.160086</v>
      </c>
      <c r="AE7941">
        <v>-3.5073999999999899</v>
      </c>
      <c r="AF7941">
        <v>3.5929369607515298</v>
      </c>
      <c r="AG7941">
        <v>-1.160086</v>
      </c>
      <c r="AH7941">
        <v>23.332419064400899</v>
      </c>
      <c r="AI7941">
        <v>92.813291966413701</v>
      </c>
      <c r="AJ7941">
        <v>81.245840069861899</v>
      </c>
      <c r="AK7941">
        <v>23.635921283676499</v>
      </c>
      <c r="AL7941">
        <v>89.452666032499494</v>
      </c>
      <c r="AM7941">
        <v>87.782798240130106</v>
      </c>
      <c r="AN7941">
        <v>1.00000004702684</v>
      </c>
    </row>
    <row r="7942" spans="1:40" x14ac:dyDescent="0.25">
      <c r="A7942" t="str">
        <f>"20190312154116865"</f>
        <v>20190312154116865</v>
      </c>
      <c r="B7942" t="str">
        <f>"1552376476854256"</f>
        <v>1552376476854256</v>
      </c>
      <c r="C7942" t="s">
        <v>40</v>
      </c>
      <c r="D7942">
        <v>4.2367039999999996</v>
      </c>
      <c r="E7942">
        <v>0.5437767</v>
      </c>
      <c r="F7942" t="s">
        <v>43</v>
      </c>
      <c r="G7942">
        <v>-311.45979999999997</v>
      </c>
      <c r="H7942">
        <v>-0.05</v>
      </c>
      <c r="I7942">
        <v>14.08145</v>
      </c>
      <c r="J7942">
        <v>-334.78050000000002</v>
      </c>
      <c r="K7942">
        <v>1.110082</v>
      </c>
      <c r="L7942">
        <v>17.607119999999998</v>
      </c>
      <c r="M7942">
        <v>0.99988480000000002</v>
      </c>
      <c r="N7942">
        <v>0</v>
      </c>
      <c r="O7942">
        <v>3.8372839999999998E-3</v>
      </c>
      <c r="P7942">
        <v>0.99936539999999996</v>
      </c>
      <c r="Q7942">
        <v>-5.2767339999999999E-3</v>
      </c>
      <c r="R7942">
        <v>-3.5230169999999998E-2</v>
      </c>
      <c r="S7942">
        <v>2.9855040000000002</v>
      </c>
      <c r="T7942">
        <v>-0.14777119999999999</v>
      </c>
      <c r="U7942">
        <v>-0.44906620000000003</v>
      </c>
      <c r="V7942">
        <v>3.907099E-2</v>
      </c>
      <c r="W7942">
        <v>9.3809819999999995E-3</v>
      </c>
      <c r="X7942">
        <v>0.99919239999999998</v>
      </c>
      <c r="Y7942">
        <v>0.15234919999999999</v>
      </c>
      <c r="Z7942">
        <v>-3.9358020000000004E-3</v>
      </c>
      <c r="AA7942">
        <v>0.9883189</v>
      </c>
      <c r="AB7942">
        <v>23</v>
      </c>
      <c r="AC7942">
        <v>23.320699999999999</v>
      </c>
      <c r="AD7942">
        <v>-1.1600820000000001</v>
      </c>
      <c r="AE7942">
        <v>-3.5256699999999999</v>
      </c>
      <c r="AF7942">
        <v>3.6064170334828898</v>
      </c>
      <c r="AG7942">
        <v>-1.1600820000000001</v>
      </c>
      <c r="AH7942">
        <v>23.250748570760699</v>
      </c>
      <c r="AI7942">
        <v>92.822671501014298</v>
      </c>
      <c r="AJ7942">
        <v>81.183128274129402</v>
      </c>
      <c r="AK7942">
        <v>23.557362822838499</v>
      </c>
      <c r="AL7942">
        <v>89.462501439224596</v>
      </c>
      <c r="AM7942">
        <v>87.760728639869697</v>
      </c>
      <c r="AN7942">
        <v>0.99999999865031197</v>
      </c>
    </row>
    <row r="7943" spans="1:40" x14ac:dyDescent="0.25">
      <c r="A7943" t="str">
        <f>"20190312154116876"</f>
        <v>20190312154116876</v>
      </c>
      <c r="B7943" t="str">
        <f>"1552376476864016"</f>
        <v>1552376476864016</v>
      </c>
      <c r="C7943" t="s">
        <v>40</v>
      </c>
      <c r="D7943">
        <v>4.267112</v>
      </c>
      <c r="E7943">
        <v>0.544077699999999</v>
      </c>
      <c r="F7943" t="s">
        <v>43</v>
      </c>
      <c r="G7943">
        <v>-311.39109999999999</v>
      </c>
      <c r="H7943">
        <v>-0.05</v>
      </c>
      <c r="I7943">
        <v>14.059889999999999</v>
      </c>
      <c r="J7943">
        <v>-334.6592</v>
      </c>
      <c r="K7943">
        <v>1.110074</v>
      </c>
      <c r="L7943">
        <v>17.607389999999999</v>
      </c>
      <c r="M7943">
        <v>0.99988560000000004</v>
      </c>
      <c r="N7943">
        <v>0</v>
      </c>
      <c r="O7943">
        <v>3.6410240000000001E-3</v>
      </c>
      <c r="P7943">
        <v>0.9993573</v>
      </c>
      <c r="Q7943">
        <v>-5.2985319999999999E-3</v>
      </c>
      <c r="R7943">
        <v>-3.5450000000000002E-2</v>
      </c>
      <c r="S7943">
        <v>2.9851679999999998</v>
      </c>
      <c r="T7943">
        <v>-0.14806</v>
      </c>
      <c r="U7943">
        <v>-0.45272829999999997</v>
      </c>
      <c r="V7943">
        <v>3.9095030000000003E-2</v>
      </c>
      <c r="W7943">
        <v>9.3561890000000009E-3</v>
      </c>
      <c r="X7943">
        <v>0.99919170000000002</v>
      </c>
      <c r="Y7943">
        <v>0.1533552</v>
      </c>
      <c r="Z7943">
        <v>-3.95868E-3</v>
      </c>
      <c r="AA7943">
        <v>0.98816320000000002</v>
      </c>
      <c r="AB7943">
        <v>23</v>
      </c>
      <c r="AC7943">
        <v>23.2681</v>
      </c>
      <c r="AD7943">
        <v>-1.160074</v>
      </c>
      <c r="AE7943">
        <v>-3.5474999999999901</v>
      </c>
      <c r="AF7943">
        <v>3.62340321328421</v>
      </c>
      <c r="AG7943">
        <v>-1.160074</v>
      </c>
      <c r="AH7943">
        <v>23.198672711420201</v>
      </c>
      <c r="AI7943">
        <v>92.828514327940198</v>
      </c>
      <c r="AJ7943">
        <v>81.1226906161736</v>
      </c>
      <c r="AK7943">
        <v>23.508577968543801</v>
      </c>
      <c r="AL7943">
        <v>89.463922040038597</v>
      </c>
      <c r="AM7943">
        <v>87.759350673750902</v>
      </c>
      <c r="AN7943">
        <v>1.0000000064960901</v>
      </c>
    </row>
    <row r="7944" spans="1:40" x14ac:dyDescent="0.25">
      <c r="A7944" t="str">
        <f>"20190312154116898"</f>
        <v>20190312154116898</v>
      </c>
      <c r="B7944" t="str">
        <f>"1552376476884513"</f>
        <v>1552376476884513</v>
      </c>
      <c r="C7944" t="s">
        <v>40</v>
      </c>
      <c r="D7944">
        <v>4.2428509999999999</v>
      </c>
      <c r="E7944">
        <v>0.54457019999999901</v>
      </c>
      <c r="F7944" t="s">
        <v>43</v>
      </c>
      <c r="G7944">
        <v>-311.34530000000001</v>
      </c>
      <c r="H7944">
        <v>-0.05</v>
      </c>
      <c r="I7944">
        <v>14.04805</v>
      </c>
      <c r="J7944">
        <v>-334.43869999999998</v>
      </c>
      <c r="K7944">
        <v>1.1100680000000001</v>
      </c>
      <c r="L7944">
        <v>17.607759999999999</v>
      </c>
      <c r="M7944">
        <v>0.99988679999999996</v>
      </c>
      <c r="N7944">
        <v>0</v>
      </c>
      <c r="O7944">
        <v>3.2720779999999999E-3</v>
      </c>
      <c r="P7944">
        <v>0.99935850000000004</v>
      </c>
      <c r="Q7944">
        <v>-5.3321820000000004E-3</v>
      </c>
      <c r="R7944">
        <v>-3.5407180000000003E-2</v>
      </c>
      <c r="S7944">
        <v>2.984985</v>
      </c>
      <c r="T7944">
        <v>-0.14852939999999901</v>
      </c>
      <c r="U7944">
        <v>-0.45571899999999999</v>
      </c>
      <c r="V7944">
        <v>3.8683679999999998E-2</v>
      </c>
      <c r="W7944">
        <v>9.3170890000000006E-3</v>
      </c>
      <c r="X7944">
        <v>0.99920810000000004</v>
      </c>
      <c r="Y7944">
        <v>0.15396570000000001</v>
      </c>
      <c r="Z7944">
        <v>-3.9680030000000003E-3</v>
      </c>
      <c r="AA7944">
        <v>0.98806819999999895</v>
      </c>
      <c r="AB7944">
        <v>23</v>
      </c>
      <c r="AC7944">
        <v>23.0933999999999</v>
      </c>
      <c r="AD7944">
        <v>-1.1600680000000001</v>
      </c>
      <c r="AE7944">
        <v>-3.5597099999999902</v>
      </c>
      <c r="AF7944">
        <v>3.6263241032496798</v>
      </c>
      <c r="AG7944">
        <v>-1.1600680000000001</v>
      </c>
      <c r="AH7944">
        <v>23.024874278374</v>
      </c>
      <c r="AI7944">
        <v>92.849246334547303</v>
      </c>
      <c r="AJ7944">
        <v>81.049668612284606</v>
      </c>
      <c r="AK7944">
        <v>23.337540997315099</v>
      </c>
      <c r="AL7944">
        <v>89.466162415829899</v>
      </c>
      <c r="AM7944">
        <v>87.782939033865304</v>
      </c>
      <c r="AN7944">
        <v>1.00000003117569</v>
      </c>
    </row>
    <row r="7945" spans="1:40" x14ac:dyDescent="0.25">
      <c r="A7945" t="str">
        <f>"20190312154116909"</f>
        <v>20190312154116909</v>
      </c>
      <c r="B7945" t="str">
        <f>"1552376476904032"</f>
        <v>1552376476904032</v>
      </c>
      <c r="C7945" t="s">
        <v>40</v>
      </c>
      <c r="D7945">
        <v>4.2372540000000001</v>
      </c>
      <c r="E7945">
        <v>0.54498979999999997</v>
      </c>
      <c r="F7945" t="s">
        <v>43</v>
      </c>
      <c r="G7945">
        <v>-311.2441</v>
      </c>
      <c r="H7945">
        <v>-0.05</v>
      </c>
      <c r="I7945">
        <v>14.03735</v>
      </c>
      <c r="J7945">
        <v>-334.31619999999998</v>
      </c>
      <c r="K7945">
        <v>1.1100589999999999</v>
      </c>
      <c r="L7945">
        <v>17.60791</v>
      </c>
      <c r="M7945">
        <v>0.99988750000000004</v>
      </c>
      <c r="N7945">
        <v>0</v>
      </c>
      <c r="O7945">
        <v>3.06201E-3</v>
      </c>
      <c r="P7945">
        <v>0.99935759999999996</v>
      </c>
      <c r="Q7945">
        <v>-5.4971500000000001E-3</v>
      </c>
      <c r="R7945">
        <v>-3.541888E-2</v>
      </c>
      <c r="S7945">
        <v>2.9848940000000002</v>
      </c>
      <c r="T7945">
        <v>-0.14928820000000001</v>
      </c>
      <c r="U7945">
        <v>-0.45947270000000001</v>
      </c>
      <c r="V7945">
        <v>3.848501E-2</v>
      </c>
      <c r="W7945">
        <v>9.1492499999999994E-3</v>
      </c>
      <c r="X7945">
        <v>0.99921729999999997</v>
      </c>
      <c r="Y7945">
        <v>0.15497369999999999</v>
      </c>
      <c r="Z7945">
        <v>-4.0025999999999898E-3</v>
      </c>
      <c r="AA7945">
        <v>0.98791050000000002</v>
      </c>
      <c r="AB7945">
        <v>23</v>
      </c>
      <c r="AC7945">
        <v>23.072099999999899</v>
      </c>
      <c r="AD7945">
        <v>-1.160059</v>
      </c>
      <c r="AE7945">
        <v>-3.57056</v>
      </c>
      <c r="AF7945">
        <v>3.6322301840421898</v>
      </c>
      <c r="AG7945">
        <v>-1.160059</v>
      </c>
      <c r="AH7945">
        <v>23.004261824554199</v>
      </c>
      <c r="AI7945">
        <v>92.851598750863005</v>
      </c>
      <c r="AJ7945">
        <v>81.027426076425499</v>
      </c>
      <c r="AK7945">
        <v>23.318123747119699</v>
      </c>
      <c r="AL7945">
        <v>89.475779280028704</v>
      </c>
      <c r="AM7945">
        <v>87.794334334374398</v>
      </c>
      <c r="AN7945">
        <v>1.00000000869477</v>
      </c>
    </row>
    <row r="7946" spans="1:40" x14ac:dyDescent="0.25">
      <c r="A7946" t="str">
        <f>"20190312154116921"</f>
        <v>20190312154116921</v>
      </c>
      <c r="B7946" t="str">
        <f>"1552376476913792"</f>
        <v>1552376476913792</v>
      </c>
      <c r="C7946" t="s">
        <v>40</v>
      </c>
      <c r="D7946">
        <v>4.2741220000000002</v>
      </c>
      <c r="E7946">
        <v>0.545199199999999</v>
      </c>
      <c r="F7946" t="s">
        <v>43</v>
      </c>
      <c r="G7946">
        <v>-311.25889999999998</v>
      </c>
      <c r="H7946">
        <v>-0.05</v>
      </c>
      <c r="I7946">
        <v>14.03227</v>
      </c>
      <c r="J7946">
        <v>-334.20229999999998</v>
      </c>
      <c r="K7946">
        <v>1.1100540000000001</v>
      </c>
      <c r="L7946">
        <v>17.608059999999998</v>
      </c>
      <c r="M7946">
        <v>0.9998882</v>
      </c>
      <c r="N7946">
        <v>0</v>
      </c>
      <c r="O7946">
        <v>2.8653580000000001E-3</v>
      </c>
      <c r="P7946">
        <v>0.99936780000000003</v>
      </c>
      <c r="Q7946">
        <v>-5.575801E-3</v>
      </c>
      <c r="R7946">
        <v>-3.5113739999999997E-2</v>
      </c>
      <c r="S7946">
        <v>2.9847410000000001</v>
      </c>
      <c r="T7946">
        <v>-0.15016779999999999</v>
      </c>
      <c r="U7946">
        <v>-0.4628601</v>
      </c>
      <c r="V7946">
        <v>3.7983679999999999E-2</v>
      </c>
      <c r="W7946">
        <v>9.0686680000000002E-3</v>
      </c>
      <c r="X7946">
        <v>0.99923720000000005</v>
      </c>
      <c r="Y7946">
        <v>0.15587889999999999</v>
      </c>
      <c r="Z7946">
        <v>-4.0388000000000004E-3</v>
      </c>
      <c r="AA7946">
        <v>0.98776790000000003</v>
      </c>
      <c r="AB7946">
        <v>23</v>
      </c>
      <c r="AC7946">
        <v>22.9434</v>
      </c>
      <c r="AD7946">
        <v>-1.1600539999999999</v>
      </c>
      <c r="AE7946">
        <v>-3.57579</v>
      </c>
      <c r="AF7946">
        <v>3.63245739640494</v>
      </c>
      <c r="AG7946">
        <v>-1.1600539999999999</v>
      </c>
      <c r="AH7946">
        <v>22.8759638731654</v>
      </c>
      <c r="AI7946">
        <v>92.867156793667604</v>
      </c>
      <c r="AJ7946">
        <v>80.977374514507403</v>
      </c>
      <c r="AK7946">
        <v>23.191597511727799</v>
      </c>
      <c r="AL7946">
        <v>89.4803964709985</v>
      </c>
      <c r="AM7946">
        <v>87.823082211795196</v>
      </c>
      <c r="AN7946">
        <v>0.99999999127473804</v>
      </c>
    </row>
    <row r="7947" spans="1:40" x14ac:dyDescent="0.25">
      <c r="A7947" t="str">
        <f>"20190312154116931"</f>
        <v>20190312154116931</v>
      </c>
      <c r="B7947" t="str">
        <f>"1552376476924528"</f>
        <v>1552376476924528</v>
      </c>
      <c r="C7947" t="s">
        <v>40</v>
      </c>
      <c r="D7947">
        <v>4.2422399999999998</v>
      </c>
      <c r="E7947">
        <v>0.54541830000000002</v>
      </c>
      <c r="F7947" t="s">
        <v>43</v>
      </c>
      <c r="G7947">
        <v>-311.20960000000002</v>
      </c>
      <c r="H7947">
        <v>-0.05</v>
      </c>
      <c r="I7947">
        <v>14.036670000000001</v>
      </c>
      <c r="J7947">
        <v>-334.08940000000001</v>
      </c>
      <c r="K7947">
        <v>1.110052</v>
      </c>
      <c r="L7947">
        <v>17.608149999999998</v>
      </c>
      <c r="M7947">
        <v>0.99988880000000002</v>
      </c>
      <c r="N7947">
        <v>0</v>
      </c>
      <c r="O7947">
        <v>2.668892E-3</v>
      </c>
      <c r="P7947">
        <v>0.99936650000000005</v>
      </c>
      <c r="Q7947">
        <v>-6.0416559999999899E-3</v>
      </c>
      <c r="R7947">
        <v>-3.5074019999999997E-2</v>
      </c>
      <c r="S7947">
        <v>2.9848020000000002</v>
      </c>
      <c r="T7947">
        <v>-0.150592899999999</v>
      </c>
      <c r="U7947">
        <v>-0.46362300000000001</v>
      </c>
      <c r="V7947">
        <v>3.7747120000000002E-2</v>
      </c>
      <c r="W7947">
        <v>8.5999539999999999E-3</v>
      </c>
      <c r="X7947">
        <v>0.99925030000000004</v>
      </c>
      <c r="Y7947">
        <v>0.15592739999999999</v>
      </c>
      <c r="Z7947">
        <v>-4.0414229999999997E-3</v>
      </c>
      <c r="AA7947">
        <v>0.98776019999999998</v>
      </c>
      <c r="AB7947">
        <v>23</v>
      </c>
      <c r="AC7947">
        <v>22.8797999999999</v>
      </c>
      <c r="AD7947">
        <v>-1.1600520000000001</v>
      </c>
      <c r="AE7947">
        <v>-3.57147999999999</v>
      </c>
      <c r="AF7947">
        <v>3.6234443665045002</v>
      </c>
      <c r="AG7947">
        <v>-1.1600520000000001</v>
      </c>
      <c r="AH7947">
        <v>22.8129354690757</v>
      </c>
      <c r="AI7947">
        <v>92.875040661482899</v>
      </c>
      <c r="AJ7947">
        <v>80.974936501536803</v>
      </c>
      <c r="AK7947">
        <v>23.128015358782299</v>
      </c>
      <c r="AL7947">
        <v>89.507252849504894</v>
      </c>
      <c r="AM7947">
        <v>87.836655332613901</v>
      </c>
      <c r="AN7947">
        <v>0.99999998316359295</v>
      </c>
    </row>
    <row r="7948" spans="1:40" x14ac:dyDescent="0.25">
      <c r="A7948" t="str">
        <f>"20190312154116943"</f>
        <v>20190312154116943</v>
      </c>
      <c r="B7948" t="str">
        <f>"1552376476934287"</f>
        <v>1552376476934287</v>
      </c>
      <c r="C7948" t="s">
        <v>40</v>
      </c>
      <c r="D7948">
        <v>4.2301449999999896</v>
      </c>
      <c r="E7948">
        <v>0.5456261</v>
      </c>
      <c r="F7948" t="s">
        <v>43</v>
      </c>
      <c r="G7948">
        <v>-311.31389999999999</v>
      </c>
      <c r="H7948">
        <v>-0.05</v>
      </c>
      <c r="I7948">
        <v>14.05795</v>
      </c>
      <c r="J7948">
        <v>-333.97239999999999</v>
      </c>
      <c r="K7948">
        <v>1.1100460000000001</v>
      </c>
      <c r="L7948">
        <v>17.608280000000001</v>
      </c>
      <c r="M7948">
        <v>0.99988940000000004</v>
      </c>
      <c r="N7948">
        <v>0</v>
      </c>
      <c r="O7948">
        <v>2.463313E-3</v>
      </c>
      <c r="P7948">
        <v>0.99935640000000003</v>
      </c>
      <c r="Q7948">
        <v>-6.3452200000000004E-3</v>
      </c>
      <c r="R7948">
        <v>-3.5303149999999998E-2</v>
      </c>
      <c r="S7948">
        <v>2.9846499999999998</v>
      </c>
      <c r="T7948">
        <v>-0.15202019999999999</v>
      </c>
      <c r="U7948">
        <v>-0.4652405</v>
      </c>
      <c r="V7948">
        <v>3.7770819999999997E-2</v>
      </c>
      <c r="W7948">
        <v>8.2933580000000007E-3</v>
      </c>
      <c r="X7948">
        <v>0.99925200000000003</v>
      </c>
      <c r="Y7948">
        <v>0.15625069999999999</v>
      </c>
      <c r="Z7948">
        <v>-4.0774920000000003E-3</v>
      </c>
      <c r="AA7948">
        <v>0.98770899999999995</v>
      </c>
      <c r="AB7948">
        <v>23</v>
      </c>
      <c r="AC7948">
        <v>22.6585</v>
      </c>
      <c r="AD7948">
        <v>-1.1600459999999999</v>
      </c>
      <c r="AE7948">
        <v>-3.5503300000000002</v>
      </c>
      <c r="AF7948">
        <v>3.5969380996549298</v>
      </c>
      <c r="AG7948">
        <v>-1.1600459999999999</v>
      </c>
      <c r="AH7948">
        <v>22.5918875116168</v>
      </c>
      <c r="AI7948">
        <v>92.9029371409232</v>
      </c>
      <c r="AJ7948">
        <v>80.953655351663997</v>
      </c>
      <c r="AK7948">
        <v>22.905830082151802</v>
      </c>
      <c r="AL7948">
        <v>89.524820135229007</v>
      </c>
      <c r="AM7948">
        <v>87.835302020715005</v>
      </c>
      <c r="AN7948">
        <v>0.99999998706719395</v>
      </c>
    </row>
    <row r="7949" spans="1:40" x14ac:dyDescent="0.25">
      <c r="A7949" t="str">
        <f>"20190312154116953"</f>
        <v>20190312154116953</v>
      </c>
      <c r="B7949" t="str">
        <f>"1552376476944048"</f>
        <v>1552376476944048</v>
      </c>
      <c r="C7949" t="s">
        <v>40</v>
      </c>
      <c r="D7949">
        <v>4.2309919999999996</v>
      </c>
      <c r="E7949">
        <v>0.54583899999999996</v>
      </c>
      <c r="F7949" t="s">
        <v>43</v>
      </c>
      <c r="G7949">
        <v>-311.34519999999998</v>
      </c>
      <c r="H7949">
        <v>-0.05</v>
      </c>
      <c r="I7949">
        <v>14.06291</v>
      </c>
      <c r="J7949">
        <v>-333.85669999999999</v>
      </c>
      <c r="K7949">
        <v>1.110042</v>
      </c>
      <c r="L7949">
        <v>17.608309999999999</v>
      </c>
      <c r="M7949">
        <v>0.9998899</v>
      </c>
      <c r="N7949">
        <v>0</v>
      </c>
      <c r="O7949">
        <v>2.259109E-3</v>
      </c>
      <c r="P7949">
        <v>0.99935430000000003</v>
      </c>
      <c r="Q7949">
        <v>-6.8725619999999996E-3</v>
      </c>
      <c r="R7949">
        <v>-3.5268250000000001E-2</v>
      </c>
      <c r="S7949">
        <v>2.9844360000000001</v>
      </c>
      <c r="T7949">
        <v>-0.1530059</v>
      </c>
      <c r="U7949">
        <v>-0.4676208</v>
      </c>
      <c r="V7949">
        <v>3.7531420000000003E-2</v>
      </c>
      <c r="W7949">
        <v>7.763608E-3</v>
      </c>
      <c r="X7949">
        <v>0.99926530000000002</v>
      </c>
      <c r="Y7949">
        <v>0.15682560000000001</v>
      </c>
      <c r="Z7949">
        <v>-4.108174E-3</v>
      </c>
      <c r="AA7949">
        <v>0.98761779999999999</v>
      </c>
      <c r="AB7949">
        <v>23</v>
      </c>
      <c r="AC7949">
        <v>22.511500000000002</v>
      </c>
      <c r="AD7949">
        <v>-1.160042</v>
      </c>
      <c r="AE7949">
        <v>-3.5453999999999901</v>
      </c>
      <c r="AF7949">
        <v>3.58695789610745</v>
      </c>
      <c r="AG7949">
        <v>-1.160042</v>
      </c>
      <c r="AH7949">
        <v>22.445272473070801</v>
      </c>
      <c r="AI7949">
        <v>92.9215865314479</v>
      </c>
      <c r="AJ7949">
        <v>80.920390376378805</v>
      </c>
      <c r="AK7949">
        <v>22.759662141178701</v>
      </c>
      <c r="AL7949">
        <v>89.555173563824695</v>
      </c>
      <c r="AM7949">
        <v>87.849038039456403</v>
      </c>
      <c r="AN7949">
        <v>1.00000001044024</v>
      </c>
    </row>
    <row r="7950" spans="1:40" x14ac:dyDescent="0.25">
      <c r="A7950" t="str">
        <f>"20190312154116964"</f>
        <v>20190312154116964</v>
      </c>
      <c r="B7950" t="str">
        <f>"1552376476954784"</f>
        <v>1552376476954784</v>
      </c>
      <c r="C7950" t="s">
        <v>40</v>
      </c>
      <c r="D7950">
        <v>4.2367949999999999</v>
      </c>
      <c r="E7950">
        <v>0.54603869999999999</v>
      </c>
      <c r="F7950" t="s">
        <v>43</v>
      </c>
      <c r="G7950">
        <v>-311.488</v>
      </c>
      <c r="H7950">
        <v>-0.05</v>
      </c>
      <c r="I7950">
        <v>14.0914</v>
      </c>
      <c r="J7950">
        <v>-333.74549999999999</v>
      </c>
      <c r="K7950">
        <v>1.110039</v>
      </c>
      <c r="L7950">
        <v>17.608370000000001</v>
      </c>
      <c r="M7950">
        <v>0.99989030000000001</v>
      </c>
      <c r="N7950">
        <v>0</v>
      </c>
      <c r="O7950">
        <v>2.0608699999999998E-3</v>
      </c>
      <c r="P7950">
        <v>0.99933870000000002</v>
      </c>
      <c r="Q7950">
        <v>-7.3969419999999897E-3</v>
      </c>
      <c r="R7950">
        <v>-3.5600470000000002E-2</v>
      </c>
      <c r="S7950">
        <v>2.9843139999999999</v>
      </c>
      <c r="T7950">
        <v>-0.1547666</v>
      </c>
      <c r="U7950">
        <v>-0.46920780000000001</v>
      </c>
      <c r="V7950">
        <v>3.7665079999999997E-2</v>
      </c>
      <c r="W7950">
        <v>7.2357659999999898E-3</v>
      </c>
      <c r="X7950">
        <v>0.99926420000000005</v>
      </c>
      <c r="Y7950">
        <v>0.1571437</v>
      </c>
      <c r="Z7950">
        <v>-4.1533610000000004E-3</v>
      </c>
      <c r="AA7950">
        <v>0.98756699999999997</v>
      </c>
      <c r="AB7950">
        <v>23</v>
      </c>
      <c r="AC7950">
        <v>22.2575</v>
      </c>
      <c r="AD7950">
        <v>-1.160039</v>
      </c>
      <c r="AE7950">
        <v>-3.5169700000000002</v>
      </c>
      <c r="AF7950">
        <v>3.5534199307262799</v>
      </c>
      <c r="AG7950">
        <v>-1.160039</v>
      </c>
      <c r="AH7950">
        <v>22.1913918336225</v>
      </c>
      <c r="AI7950">
        <v>92.954798574465698</v>
      </c>
      <c r="AJ7950">
        <v>80.902681325098499</v>
      </c>
      <c r="AK7950">
        <v>22.504007536413901</v>
      </c>
      <c r="AL7950">
        <v>89.585417519805304</v>
      </c>
      <c r="AM7950">
        <v>87.841382715360396</v>
      </c>
      <c r="AN7950">
        <v>0.999999977981326</v>
      </c>
    </row>
    <row r="7951" spans="1:40" x14ac:dyDescent="0.25">
      <c r="A7951" t="str">
        <f>"20190312154116976"</f>
        <v>20190312154116976</v>
      </c>
      <c r="B7951" t="str">
        <f>"1552376476964543"</f>
        <v>1552376476964543</v>
      </c>
      <c r="C7951" t="s">
        <v>40</v>
      </c>
      <c r="D7951">
        <v>4.2153619999999998</v>
      </c>
      <c r="E7951">
        <v>0.54622250000000006</v>
      </c>
      <c r="F7951" t="s">
        <v>43</v>
      </c>
      <c r="G7951">
        <v>-311.6189</v>
      </c>
      <c r="H7951">
        <v>-0.05</v>
      </c>
      <c r="I7951">
        <v>14.109920000000001</v>
      </c>
      <c r="J7951">
        <v>-333.63080000000002</v>
      </c>
      <c r="K7951">
        <v>1.1100399999999999</v>
      </c>
      <c r="L7951">
        <v>17.608370000000001</v>
      </c>
      <c r="M7951">
        <v>0.99989090000000003</v>
      </c>
      <c r="N7951">
        <v>0</v>
      </c>
      <c r="O7951">
        <v>1.8552410000000001E-3</v>
      </c>
      <c r="P7951">
        <v>0.99931409999999998</v>
      </c>
      <c r="Q7951">
        <v>-7.8721620000000003E-3</v>
      </c>
      <c r="R7951">
        <v>-3.6193349999999999E-2</v>
      </c>
      <c r="S7951">
        <v>2.9840089999999999</v>
      </c>
      <c r="T7951">
        <v>-0.1564432</v>
      </c>
      <c r="U7951">
        <v>-0.47180179999999999</v>
      </c>
      <c r="V7951">
        <v>3.8051990000000001E-2</v>
      </c>
      <c r="W7951">
        <v>6.7575100000000004E-3</v>
      </c>
      <c r="X7951">
        <v>0.9992529</v>
      </c>
      <c r="Y7951">
        <v>0.1577885</v>
      </c>
      <c r="Z7951">
        <v>-4.2045169999999996E-3</v>
      </c>
      <c r="AA7951">
        <v>0.98746400000000001</v>
      </c>
      <c r="AB7951">
        <v>23</v>
      </c>
      <c r="AC7951">
        <v>22.011900000000001</v>
      </c>
      <c r="AD7951">
        <v>-1.16004</v>
      </c>
      <c r="AE7951">
        <v>-3.4984500000000001</v>
      </c>
      <c r="AF7951">
        <v>3.5297239897743098</v>
      </c>
      <c r="AG7951">
        <v>-1.16004</v>
      </c>
      <c r="AH7951">
        <v>21.945921118421602</v>
      </c>
      <c r="AI7951">
        <v>92.987459889214804</v>
      </c>
      <c r="AJ7951">
        <v>80.862949629838099</v>
      </c>
      <c r="AK7951">
        <v>22.258214168741699</v>
      </c>
      <c r="AL7951">
        <v>89.612820245614202</v>
      </c>
      <c r="AM7951">
        <v>87.819205242556606</v>
      </c>
      <c r="AN7951">
        <v>0.99999998802138501</v>
      </c>
    </row>
    <row r="7952" spans="1:40" x14ac:dyDescent="0.25">
      <c r="A7952" t="str">
        <f>"20190312154116988"</f>
        <v>20190312154116988</v>
      </c>
      <c r="B7952" t="str">
        <f>"1552376476984064"</f>
        <v>1552376476984064</v>
      </c>
      <c r="C7952" t="s">
        <v>40</v>
      </c>
      <c r="D7952">
        <v>4.2224649999999997</v>
      </c>
      <c r="E7952">
        <v>0.54658879999999999</v>
      </c>
      <c r="F7952" t="s">
        <v>43</v>
      </c>
      <c r="G7952">
        <v>-311.7011</v>
      </c>
      <c r="H7952">
        <v>-0.05</v>
      </c>
      <c r="I7952">
        <v>14.116099999999999</v>
      </c>
      <c r="J7952">
        <v>-333.50490000000002</v>
      </c>
      <c r="K7952">
        <v>1.1100399999999999</v>
      </c>
      <c r="L7952">
        <v>17.608339999999998</v>
      </c>
      <c r="M7952">
        <v>0.99989119999999998</v>
      </c>
      <c r="N7952">
        <v>0</v>
      </c>
      <c r="O7952">
        <v>1.626848E-3</v>
      </c>
      <c r="P7952">
        <v>0.99929120000000005</v>
      </c>
      <c r="Q7952">
        <v>-8.2699680000000008E-3</v>
      </c>
      <c r="R7952">
        <v>-3.6727290000000003E-2</v>
      </c>
      <c r="S7952">
        <v>2.9835820000000002</v>
      </c>
      <c r="T7952">
        <v>-0.15782550000000001</v>
      </c>
      <c r="U7952">
        <v>-0.4751282</v>
      </c>
      <c r="V7952">
        <v>3.8357629999999997E-2</v>
      </c>
      <c r="W7952">
        <v>6.3560219999999898E-3</v>
      </c>
      <c r="X7952">
        <v>0.99924389999999996</v>
      </c>
      <c r="Y7952">
        <v>0.15865389999999999</v>
      </c>
      <c r="Z7952">
        <v>-4.2525779999999999E-3</v>
      </c>
      <c r="AA7952">
        <v>0.98732509999999996</v>
      </c>
      <c r="AB7952">
        <v>23</v>
      </c>
      <c r="AC7952">
        <v>21.803799999999999</v>
      </c>
      <c r="AD7952">
        <v>-1.16004</v>
      </c>
      <c r="AE7952">
        <v>-3.49223999999999</v>
      </c>
      <c r="AF7952">
        <v>3.5180016032577202</v>
      </c>
      <c r="AG7952">
        <v>-1.16004</v>
      </c>
      <c r="AH7952">
        <v>21.7380959269926</v>
      </c>
      <c r="AI7952">
        <v>93.015496181554695</v>
      </c>
      <c r="AJ7952">
        <v>80.807195838895694</v>
      </c>
      <c r="AK7952">
        <v>22.051458967906299</v>
      </c>
      <c r="AL7952">
        <v>89.635824327113895</v>
      </c>
      <c r="AM7952">
        <v>87.801686067996101</v>
      </c>
      <c r="AN7952">
        <v>1.00000003924104</v>
      </c>
    </row>
    <row r="7953" spans="1:40" x14ac:dyDescent="0.25">
      <c r="A7953" t="str">
        <f>"20190312154116999"</f>
        <v>20190312154116999</v>
      </c>
      <c r="B7953" t="str">
        <f>"1552376476984064"</f>
        <v>1552376476984064</v>
      </c>
      <c r="C7953" t="s">
        <v>40</v>
      </c>
      <c r="D7953">
        <v>4.2224649999999997</v>
      </c>
      <c r="E7953">
        <v>0.54658879999999999</v>
      </c>
      <c r="F7953" t="s">
        <v>43</v>
      </c>
      <c r="G7953">
        <v>-311.82400000000001</v>
      </c>
      <c r="H7953">
        <v>-0.05</v>
      </c>
      <c r="I7953">
        <v>14.12241</v>
      </c>
      <c r="J7953">
        <v>-333.3877</v>
      </c>
      <c r="K7953">
        <v>1.1100380000000001</v>
      </c>
      <c r="L7953">
        <v>17.608309999999999</v>
      </c>
      <c r="M7953">
        <v>0.99989159999999999</v>
      </c>
      <c r="N7953">
        <v>0</v>
      </c>
      <c r="O7953">
        <v>1.4131160000000001E-3</v>
      </c>
      <c r="P7953">
        <v>0.99926839999999995</v>
      </c>
      <c r="Q7953">
        <v>-8.2807980000000007E-3</v>
      </c>
      <c r="R7953">
        <v>-3.7340070000000003E-2</v>
      </c>
      <c r="S7953">
        <v>2.9831850000000002</v>
      </c>
      <c r="T7953">
        <v>-0.15961529999999999</v>
      </c>
      <c r="U7953">
        <v>-0.47964479999999998</v>
      </c>
      <c r="V7953">
        <v>3.8756529999999997E-2</v>
      </c>
      <c r="W7953">
        <v>6.3421930000000003E-3</v>
      </c>
      <c r="X7953">
        <v>0.99922849999999996</v>
      </c>
      <c r="Y7953">
        <v>0.15991429999999901</v>
      </c>
      <c r="Z7953">
        <v>-4.3229130000000003E-3</v>
      </c>
      <c r="AA7953">
        <v>0.98712149999999999</v>
      </c>
      <c r="AB7953">
        <v>23</v>
      </c>
      <c r="AC7953">
        <v>21.563699999999901</v>
      </c>
      <c r="AD7953">
        <v>-1.1600379999999999</v>
      </c>
      <c r="AE7953">
        <v>-3.4858999999999898</v>
      </c>
      <c r="AF7953">
        <v>3.50648249018007</v>
      </c>
      <c r="AG7953">
        <v>-1.1600379999999999</v>
      </c>
      <c r="AH7953">
        <v>21.4981209357281</v>
      </c>
      <c r="AI7953">
        <v>93.048476477769896</v>
      </c>
      <c r="AJ7953">
        <v>80.736263132169199</v>
      </c>
      <c r="AK7953">
        <v>21.8130766143287</v>
      </c>
      <c r="AL7953">
        <v>89.636616651641106</v>
      </c>
      <c r="AM7953">
        <v>87.778813294354805</v>
      </c>
      <c r="AN7953">
        <v>0.999999943620968</v>
      </c>
    </row>
    <row r="7954" spans="1:40" x14ac:dyDescent="0.25">
      <c r="A7954" t="str">
        <f>"20190312154117010"</f>
        <v>20190312154117010</v>
      </c>
      <c r="B7954" t="str">
        <f>"1552376477004561"</f>
        <v>1552376477004561</v>
      </c>
      <c r="C7954" t="s">
        <v>40</v>
      </c>
      <c r="D7954">
        <v>4.2075879999999897</v>
      </c>
      <c r="E7954">
        <v>0.54699469999999994</v>
      </c>
      <c r="F7954" t="s">
        <v>43</v>
      </c>
      <c r="G7954">
        <v>-311.69540000000001</v>
      </c>
      <c r="H7954">
        <v>-0.05</v>
      </c>
      <c r="I7954">
        <v>14.10712</v>
      </c>
      <c r="J7954">
        <v>-333.27179999999998</v>
      </c>
      <c r="K7954">
        <v>1.1100399999999999</v>
      </c>
      <c r="L7954">
        <v>17.608219999999999</v>
      </c>
      <c r="M7954">
        <v>0.999892</v>
      </c>
      <c r="N7954">
        <v>0</v>
      </c>
      <c r="O7954">
        <v>1.199327E-3</v>
      </c>
      <c r="P7954">
        <v>0.99924559999999996</v>
      </c>
      <c r="Q7954">
        <v>-8.2976330000000004E-3</v>
      </c>
      <c r="R7954">
        <v>-3.7946220000000003E-2</v>
      </c>
      <c r="S7954">
        <v>2.9828800000000002</v>
      </c>
      <c r="T7954">
        <v>-0.159515299999999</v>
      </c>
      <c r="U7954">
        <v>-0.48144530000000002</v>
      </c>
      <c r="V7954">
        <v>3.9149080000000003E-2</v>
      </c>
      <c r="W7954">
        <v>6.3216909999999999E-3</v>
      </c>
      <c r="X7954">
        <v>0.99921340000000003</v>
      </c>
      <c r="Y7954">
        <v>0.16029979999999999</v>
      </c>
      <c r="Z7954">
        <v>-4.3193210000000001E-3</v>
      </c>
      <c r="AA7954">
        <v>0.98705889999999996</v>
      </c>
      <c r="AB7954">
        <v>23</v>
      </c>
      <c r="AC7954">
        <v>21.5763999999999</v>
      </c>
      <c r="AD7954">
        <v>-1.16004</v>
      </c>
      <c r="AE7954">
        <v>-3.5011000000000001</v>
      </c>
      <c r="AF7954">
        <v>3.5170717855927598</v>
      </c>
      <c r="AG7954">
        <v>-1.16004</v>
      </c>
      <c r="AH7954">
        <v>21.511598877672</v>
      </c>
      <c r="AI7954">
        <v>93.046386658475498</v>
      </c>
      <c r="AJ7954">
        <v>80.714494476240603</v>
      </c>
      <c r="AK7954">
        <v>21.828063886210199</v>
      </c>
      <c r="AL7954">
        <v>89.637791379722501</v>
      </c>
      <c r="AM7954">
        <v>87.756304753499407</v>
      </c>
      <c r="AN7954">
        <v>1.0000000164907501</v>
      </c>
    </row>
    <row r="7955" spans="1:40" x14ac:dyDescent="0.25">
      <c r="A7955" t="str">
        <f>"20190312154117021"</f>
        <v>20190312154117021</v>
      </c>
      <c r="B7955" t="str">
        <f>"1552376477014320"</f>
        <v>1552376477014320</v>
      </c>
      <c r="C7955" t="s">
        <v>40</v>
      </c>
      <c r="D7955">
        <v>4.1895119999999997</v>
      </c>
      <c r="E7955">
        <v>0.54716699999999996</v>
      </c>
      <c r="F7955" t="s">
        <v>43</v>
      </c>
      <c r="G7955">
        <v>-311.75709999999998</v>
      </c>
      <c r="H7955">
        <v>-0.05</v>
      </c>
      <c r="I7955">
        <v>14.098660000000001</v>
      </c>
      <c r="J7955">
        <v>-333.16079999999999</v>
      </c>
      <c r="K7955">
        <v>1.1100369999999999</v>
      </c>
      <c r="L7955">
        <v>17.60812</v>
      </c>
      <c r="M7955">
        <v>0.99989209999999995</v>
      </c>
      <c r="N7955">
        <v>0</v>
      </c>
      <c r="O7955">
        <v>9.9376229999999992E-4</v>
      </c>
      <c r="P7955">
        <v>0.99922100000000003</v>
      </c>
      <c r="Q7955">
        <v>-8.4585509999999999E-3</v>
      </c>
      <c r="R7955">
        <v>-3.8547369999999997E-2</v>
      </c>
      <c r="S7955">
        <v>2.9824830000000002</v>
      </c>
      <c r="T7955">
        <v>-0.1608108</v>
      </c>
      <c r="U7955">
        <v>-0.48651119999999998</v>
      </c>
      <c r="V7955">
        <v>3.9544679999999999E-2</v>
      </c>
      <c r="W7955">
        <v>6.1571839999999996E-3</v>
      </c>
      <c r="X7955">
        <v>0.9991989</v>
      </c>
      <c r="Y7955">
        <v>0.16174549999999999</v>
      </c>
      <c r="Z7955">
        <v>-4.3820220000000002E-3</v>
      </c>
      <c r="AA7955">
        <v>0.9868228</v>
      </c>
      <c r="AB7955">
        <v>23</v>
      </c>
      <c r="AC7955">
        <v>21.403700000000001</v>
      </c>
      <c r="AD7955">
        <v>-1.160037</v>
      </c>
      <c r="AE7955">
        <v>-3.50945999999999</v>
      </c>
      <c r="AF7955">
        <v>3.5206598385812198</v>
      </c>
      <c r="AG7955">
        <v>-1.160037</v>
      </c>
      <c r="AH7955">
        <v>21.339160479715499</v>
      </c>
      <c r="AI7955">
        <v>93.070219204747005</v>
      </c>
      <c r="AJ7955">
        <v>80.631403346806906</v>
      </c>
      <c r="AK7955">
        <v>21.6587280679041</v>
      </c>
      <c r="AL7955">
        <v>89.6472171377428</v>
      </c>
      <c r="AM7955">
        <v>87.733622965884905</v>
      </c>
      <c r="AN7955">
        <v>1.00000006719615</v>
      </c>
    </row>
    <row r="7956" spans="1:40" x14ac:dyDescent="0.25">
      <c r="A7956" t="str">
        <f>"20190312154117032"</f>
        <v>20190312154117032</v>
      </c>
      <c r="B7956" t="str">
        <f>"1552376477024588"</f>
        <v>1552376477024588</v>
      </c>
      <c r="C7956" t="s">
        <v>40</v>
      </c>
      <c r="D7956">
        <v>4.2020839999999904</v>
      </c>
      <c r="E7956">
        <v>0.54733769999999904</v>
      </c>
      <c r="F7956" t="s">
        <v>43</v>
      </c>
      <c r="G7956">
        <v>-311.77539999999999</v>
      </c>
      <c r="H7956">
        <v>-0.05</v>
      </c>
      <c r="I7956">
        <v>14.096629999999999</v>
      </c>
      <c r="J7956">
        <v>-333.04629999999997</v>
      </c>
      <c r="K7956">
        <v>1.1100350000000001</v>
      </c>
      <c r="L7956">
        <v>17.608000000000001</v>
      </c>
      <c r="M7956">
        <v>0.99989240000000001</v>
      </c>
      <c r="N7956">
        <v>0</v>
      </c>
      <c r="O7956">
        <v>7.8027149999999998E-4</v>
      </c>
      <c r="P7956">
        <v>0.99920180000000003</v>
      </c>
      <c r="Q7956">
        <v>-8.4356919999999998E-3</v>
      </c>
      <c r="R7956">
        <v>-3.9043620000000001E-2</v>
      </c>
      <c r="S7956">
        <v>2.982056</v>
      </c>
      <c r="T7956">
        <v>-0.1617596</v>
      </c>
      <c r="U7956">
        <v>-0.48965449999999999</v>
      </c>
      <c r="V7956">
        <v>3.9827670000000003E-2</v>
      </c>
      <c r="W7956">
        <v>6.176735E-3</v>
      </c>
      <c r="X7956">
        <v>0.99918750000000001</v>
      </c>
      <c r="Y7956">
        <v>0.16256670000000001</v>
      </c>
      <c r="Z7956">
        <v>-4.4186999999999898E-3</v>
      </c>
      <c r="AA7956">
        <v>0.98668769999999995</v>
      </c>
      <c r="AB7956">
        <v>23</v>
      </c>
      <c r="AC7956">
        <v>21.270899999999902</v>
      </c>
      <c r="AD7956">
        <v>-1.1600349999999999</v>
      </c>
      <c r="AE7956">
        <v>-3.5113699999999999</v>
      </c>
      <c r="AF7956">
        <v>3.5177827446200398</v>
      </c>
      <c r="AG7956">
        <v>-1.1600349999999999</v>
      </c>
      <c r="AH7956">
        <v>21.2067534466754</v>
      </c>
      <c r="AI7956">
        <v>93.088902111390894</v>
      </c>
      <c r="AJ7956">
        <v>80.581520831658096</v>
      </c>
      <c r="AK7956">
        <v>21.527816154632401</v>
      </c>
      <c r="AL7956">
        <v>89.646096912772407</v>
      </c>
      <c r="AM7956">
        <v>87.717395377073501</v>
      </c>
      <c r="AN7956">
        <v>1.00000002775456</v>
      </c>
    </row>
    <row r="7957" spans="1:40" x14ac:dyDescent="0.25">
      <c r="A7957" t="str">
        <f>"20190312154117044"</f>
        <v>20190312154117044</v>
      </c>
      <c r="B7957" t="str">
        <f>"1552376477034348"</f>
        <v>1552376477034348</v>
      </c>
      <c r="C7957" t="s">
        <v>40</v>
      </c>
      <c r="D7957">
        <v>4.2211100000000004</v>
      </c>
      <c r="E7957">
        <v>0.54752270000000003</v>
      </c>
      <c r="F7957" t="s">
        <v>43</v>
      </c>
      <c r="G7957">
        <v>-311.70639999999997</v>
      </c>
      <c r="H7957">
        <v>-0.05</v>
      </c>
      <c r="I7957">
        <v>14.08356</v>
      </c>
      <c r="J7957">
        <v>-332.9307</v>
      </c>
      <c r="K7957">
        <v>1.110031</v>
      </c>
      <c r="L7957">
        <v>17.607849999999999</v>
      </c>
      <c r="M7957">
        <v>0.99989269999999997</v>
      </c>
      <c r="N7957">
        <v>0</v>
      </c>
      <c r="O7957">
        <v>5.6308589999999896E-4</v>
      </c>
      <c r="P7957">
        <v>0.9991719</v>
      </c>
      <c r="Q7957">
        <v>-8.5551120000000001E-3</v>
      </c>
      <c r="R7957">
        <v>-3.9781360000000002E-2</v>
      </c>
      <c r="S7957">
        <v>2.9817809999999998</v>
      </c>
      <c r="T7957">
        <v>-0.16208889999999901</v>
      </c>
      <c r="U7957">
        <v>-0.49246220000000002</v>
      </c>
      <c r="V7957">
        <v>4.034824E-2</v>
      </c>
      <c r="W7957">
        <v>6.0537129999999996E-3</v>
      </c>
      <c r="X7957">
        <v>0.99916729999999998</v>
      </c>
      <c r="Y7957">
        <v>0.16326969999999999</v>
      </c>
      <c r="Z7957">
        <v>-4.4349940000000003E-3</v>
      </c>
      <c r="AA7957">
        <v>0.98657150000000005</v>
      </c>
      <c r="AB7957">
        <v>23</v>
      </c>
      <c r="AC7957">
        <v>21.224299999999999</v>
      </c>
      <c r="AD7957">
        <v>-1.160031</v>
      </c>
      <c r="AE7957">
        <v>-3.5242899999999899</v>
      </c>
      <c r="AF7957">
        <v>3.5259914165411801</v>
      </c>
      <c r="AG7957">
        <v>-1.160031</v>
      </c>
      <c r="AH7957">
        <v>21.160795397743598</v>
      </c>
      <c r="AI7957">
        <v>93.095213103573798</v>
      </c>
      <c r="AJ7957">
        <v>80.539805964262996</v>
      </c>
      <c r="AK7957">
        <v>21.483890459031201</v>
      </c>
      <c r="AL7957">
        <v>89.653145662491994</v>
      </c>
      <c r="AM7957">
        <v>87.687545933536896</v>
      </c>
      <c r="AN7957">
        <v>0.99999996065073604</v>
      </c>
    </row>
    <row r="7958" spans="1:40" x14ac:dyDescent="0.25">
      <c r="A7958" t="str">
        <f>"20190312154117055"</f>
        <v>20190312154117055</v>
      </c>
      <c r="B7958" t="str">
        <f>"1552376477044107"</f>
        <v>1552376477044107</v>
      </c>
      <c r="C7958" t="s">
        <v>40</v>
      </c>
      <c r="D7958">
        <v>4.2249939999999997</v>
      </c>
      <c r="E7958">
        <v>0.54764119999999905</v>
      </c>
      <c r="F7958" t="s">
        <v>43</v>
      </c>
      <c r="G7958">
        <v>-311.73309999999998</v>
      </c>
      <c r="H7958">
        <v>-0.05</v>
      </c>
      <c r="I7958">
        <v>14.080120000000001</v>
      </c>
      <c r="J7958">
        <v>-332.81330000000003</v>
      </c>
      <c r="K7958">
        <v>1.1100289999999999</v>
      </c>
      <c r="L7958">
        <v>17.607669999999999</v>
      </c>
      <c r="M7958">
        <v>0.99989280000000003</v>
      </c>
      <c r="N7958">
        <v>0</v>
      </c>
      <c r="O7958">
        <v>3.4196699999999999E-4</v>
      </c>
      <c r="P7958">
        <v>0.99915240000000005</v>
      </c>
      <c r="Q7958">
        <v>-8.6486640000000004E-3</v>
      </c>
      <c r="R7958">
        <v>-4.0249710000000001E-2</v>
      </c>
      <c r="S7958">
        <v>2.9813230000000002</v>
      </c>
      <c r="T7958">
        <v>-0.1631522</v>
      </c>
      <c r="U7958">
        <v>-0.49615480000000001</v>
      </c>
      <c r="V7958">
        <v>4.0595590000000001E-2</v>
      </c>
      <c r="W7958">
        <v>5.9569169999999999E-3</v>
      </c>
      <c r="X7958">
        <v>0.99915790000000004</v>
      </c>
      <c r="Y7958">
        <v>0.16426079999999901</v>
      </c>
      <c r="Z7958">
        <v>-4.479177E-3</v>
      </c>
      <c r="AA7958">
        <v>0.98640669999999997</v>
      </c>
      <c r="AB7958">
        <v>23</v>
      </c>
      <c r="AC7958">
        <v>21.080200000000001</v>
      </c>
      <c r="AD7958">
        <v>-1.160029</v>
      </c>
      <c r="AE7958">
        <v>-3.5275500000000002</v>
      </c>
      <c r="AF7958">
        <v>3.5243774076667802</v>
      </c>
      <c r="AG7958">
        <v>-1.160029</v>
      </c>
      <c r="AH7958">
        <v>21.0170815238803</v>
      </c>
      <c r="AI7958">
        <v>93.115793713486298</v>
      </c>
      <c r="AJ7958">
        <v>80.480578257215399</v>
      </c>
      <c r="AK7958">
        <v>21.342085633179</v>
      </c>
      <c r="AL7958">
        <v>89.658691777727896</v>
      </c>
      <c r="AM7958">
        <v>87.673363380580994</v>
      </c>
      <c r="AN7958">
        <v>0.99999999796000105</v>
      </c>
    </row>
    <row r="7959" spans="1:40" x14ac:dyDescent="0.25">
      <c r="A7959" t="str">
        <f>"20190312154117067"</f>
        <v>20190312154117067</v>
      </c>
      <c r="B7959" t="str">
        <f>"1552376477053868"</f>
        <v>1552376477053868</v>
      </c>
      <c r="C7959" t="s">
        <v>40</v>
      </c>
      <c r="D7959">
        <v>4.2247750000000002</v>
      </c>
      <c r="E7959">
        <v>0.54784889999999997</v>
      </c>
      <c r="F7959" t="s">
        <v>43</v>
      </c>
      <c r="G7959">
        <v>-311.69439999999997</v>
      </c>
      <c r="H7959">
        <v>-0.05</v>
      </c>
      <c r="I7959">
        <v>14.0758799999999</v>
      </c>
      <c r="J7959">
        <v>-332.69799999999998</v>
      </c>
      <c r="K7959">
        <v>1.110028</v>
      </c>
      <c r="L7959">
        <v>17.60745</v>
      </c>
      <c r="M7959">
        <v>0.99989289999999997</v>
      </c>
      <c r="N7959">
        <v>0</v>
      </c>
      <c r="O7959">
        <v>1.2215729999999901E-4</v>
      </c>
      <c r="P7959">
        <v>0.99913379999999996</v>
      </c>
      <c r="Q7959">
        <v>-8.7815730000000009E-3</v>
      </c>
      <c r="R7959">
        <v>-4.067701E-2</v>
      </c>
      <c r="S7959">
        <v>2.9810789999999998</v>
      </c>
      <c r="T7959">
        <v>-0.1637458</v>
      </c>
      <c r="U7959">
        <v>-0.49853520000000001</v>
      </c>
      <c r="V7959">
        <v>4.0803190000000003E-2</v>
      </c>
      <c r="W7959">
        <v>5.8210199999999997E-3</v>
      </c>
      <c r="X7959">
        <v>0.99915030000000005</v>
      </c>
      <c r="Y7959">
        <v>0.1648212</v>
      </c>
      <c r="Z7959">
        <v>-4.4988090000000003E-3</v>
      </c>
      <c r="AA7959">
        <v>0.9863132</v>
      </c>
      <c r="AB7959">
        <v>23</v>
      </c>
      <c r="AC7959">
        <v>21.003599999999999</v>
      </c>
      <c r="AD7959">
        <v>-1.1600280000000001</v>
      </c>
      <c r="AE7959">
        <v>-3.5315699999999999</v>
      </c>
      <c r="AF7959">
        <v>3.52368304991424</v>
      </c>
      <c r="AG7959">
        <v>-1.1600280000000001</v>
      </c>
      <c r="AH7959">
        <v>20.941047154963801</v>
      </c>
      <c r="AI7959">
        <v>93.126788161464404</v>
      </c>
      <c r="AJ7959">
        <v>80.448497829298503</v>
      </c>
      <c r="AK7959">
        <v>21.2670981364044</v>
      </c>
      <c r="AL7959">
        <v>89.666478255770102</v>
      </c>
      <c r="AM7959">
        <v>87.661460703619795</v>
      </c>
      <c r="AN7959">
        <v>1.0000000532890501</v>
      </c>
    </row>
    <row r="7960" spans="1:40" x14ac:dyDescent="0.25">
      <c r="A7960" t="str">
        <f>"20190312154117079"</f>
        <v>20190312154117079</v>
      </c>
      <c r="B7960" t="str">
        <f>"1552376477074364"</f>
        <v>1552376477074364</v>
      </c>
      <c r="C7960" t="s">
        <v>40</v>
      </c>
      <c r="D7960">
        <v>4.158563</v>
      </c>
      <c r="E7960">
        <v>0.54817519999999997</v>
      </c>
      <c r="F7960" t="s">
        <v>43</v>
      </c>
      <c r="G7960">
        <v>-311.70749999999998</v>
      </c>
      <c r="H7960">
        <v>-0.05</v>
      </c>
      <c r="I7960">
        <v>14.076739999999999</v>
      </c>
      <c r="J7960">
        <v>-332.57470000000001</v>
      </c>
      <c r="K7960">
        <v>1.1100289999999999</v>
      </c>
      <c r="L7960">
        <v>17.60718</v>
      </c>
      <c r="M7960">
        <v>0.99989300000000003</v>
      </c>
      <c r="N7960">
        <v>0</v>
      </c>
      <c r="O7960">
        <v>-1.138647E-4</v>
      </c>
      <c r="P7960">
        <v>0.99911039999999995</v>
      </c>
      <c r="Q7960">
        <v>-8.7633190000000003E-3</v>
      </c>
      <c r="R7960">
        <v>-4.1254449999999998E-2</v>
      </c>
      <c r="S7960">
        <v>2.9807130000000002</v>
      </c>
      <c r="T7960">
        <v>-0.1647274</v>
      </c>
      <c r="U7960">
        <v>-0.50137330000000002</v>
      </c>
      <c r="V7960">
        <v>4.114495E-2</v>
      </c>
      <c r="W7960">
        <v>5.8362789999999998E-3</v>
      </c>
      <c r="X7960">
        <v>0.99913609999999997</v>
      </c>
      <c r="Y7960">
        <v>0.1655179</v>
      </c>
      <c r="Z7960">
        <v>-4.5320899999999999E-3</v>
      </c>
      <c r="AA7960">
        <v>0.98619639999999997</v>
      </c>
      <c r="AB7960">
        <v>23</v>
      </c>
      <c r="AC7960">
        <v>20.8672</v>
      </c>
      <c r="AD7960">
        <v>-1.160029</v>
      </c>
      <c r="AE7960">
        <v>-3.53044</v>
      </c>
      <c r="AF7960">
        <v>3.5174958435815</v>
      </c>
      <c r="AG7960">
        <v>-1.160029</v>
      </c>
      <c r="AH7960">
        <v>20.805095796139</v>
      </c>
      <c r="AI7960">
        <v>93.146768827011201</v>
      </c>
      <c r="AJ7960">
        <v>80.403809125933407</v>
      </c>
      <c r="AK7960">
        <v>21.132213688512898</v>
      </c>
      <c r="AL7960">
        <v>89.665603932698502</v>
      </c>
      <c r="AM7960">
        <v>87.641862072860107</v>
      </c>
      <c r="AN7960">
        <v>0.99999995769313799</v>
      </c>
    </row>
    <row r="7961" spans="1:40" x14ac:dyDescent="0.25">
      <c r="A7961" t="str">
        <f>"20190312154117091"</f>
        <v>20190312154117091</v>
      </c>
      <c r="B7961" t="str">
        <f>"1552376477084123"</f>
        <v>1552376477084123</v>
      </c>
      <c r="C7961" t="s">
        <v>40</v>
      </c>
      <c r="D7961">
        <v>4.143319</v>
      </c>
      <c r="E7961">
        <v>0.5482667</v>
      </c>
      <c r="F7961" t="s">
        <v>43</v>
      </c>
      <c r="G7961">
        <v>-311.68209999999999</v>
      </c>
      <c r="H7961">
        <v>-0.05</v>
      </c>
      <c r="I7961">
        <v>14.06236</v>
      </c>
      <c r="J7961">
        <v>-332.4409</v>
      </c>
      <c r="K7961">
        <v>1.1100289999999999</v>
      </c>
      <c r="L7961">
        <v>17.6069</v>
      </c>
      <c r="M7961">
        <v>0.99989280000000003</v>
      </c>
      <c r="N7961">
        <v>0</v>
      </c>
      <c r="O7961">
        <v>-3.7265760000000002E-4</v>
      </c>
      <c r="P7961">
        <v>0.99910429999999995</v>
      </c>
      <c r="Q7961">
        <v>-8.6209979999999995E-3</v>
      </c>
      <c r="R7961">
        <v>-4.1428640000000003E-2</v>
      </c>
      <c r="S7961">
        <v>2.9803769999999998</v>
      </c>
      <c r="T7961">
        <v>-0.16548060000000001</v>
      </c>
      <c r="U7961">
        <v>-0.50567629999999997</v>
      </c>
      <c r="V7961">
        <v>4.1060619999999999E-2</v>
      </c>
      <c r="W7961">
        <v>5.9750360000000004E-3</v>
      </c>
      <c r="X7961">
        <v>0.99913879999999999</v>
      </c>
      <c r="Y7961">
        <v>0.16666149999999999</v>
      </c>
      <c r="Z7961">
        <v>-4.569984E-3</v>
      </c>
      <c r="AA7961">
        <v>0.98600359999999998</v>
      </c>
      <c r="AB7961">
        <v>23</v>
      </c>
      <c r="AC7961">
        <v>20.758800000000001</v>
      </c>
      <c r="AD7961">
        <v>-1.160029</v>
      </c>
      <c r="AE7961">
        <v>-3.54454</v>
      </c>
      <c r="AF7961">
        <v>3.5261038952287098</v>
      </c>
      <c r="AG7961">
        <v>-1.160029</v>
      </c>
      <c r="AH7961">
        <v>20.697318617186799</v>
      </c>
      <c r="AI7961">
        <v>93.162446844159007</v>
      </c>
      <c r="AJ7961">
        <v>80.331616346130005</v>
      </c>
      <c r="AK7961">
        <v>21.0275551099536</v>
      </c>
      <c r="AL7961">
        <v>89.657653620669706</v>
      </c>
      <c r="AM7961">
        <v>87.646696185651507</v>
      </c>
      <c r="AN7961">
        <v>1.0000000086177101</v>
      </c>
    </row>
    <row r="7962" spans="1:40" x14ac:dyDescent="0.25">
      <c r="A7962" t="str">
        <f>"20190312154117104"</f>
        <v>20190312154117104</v>
      </c>
      <c r="B7962" t="str">
        <f>"1552376477093883"</f>
        <v>1552376477093883</v>
      </c>
      <c r="C7962" t="s">
        <v>40</v>
      </c>
      <c r="D7962">
        <v>4.1601140000000001</v>
      </c>
      <c r="E7962">
        <v>0.54842860000000004</v>
      </c>
      <c r="F7962" t="s">
        <v>43</v>
      </c>
      <c r="G7962">
        <v>-311.48399999999998</v>
      </c>
      <c r="H7962">
        <v>-0.05</v>
      </c>
      <c r="I7962">
        <v>14.042680000000001</v>
      </c>
      <c r="J7962">
        <v>-332.31740000000002</v>
      </c>
      <c r="K7962">
        <v>1.110028</v>
      </c>
      <c r="L7962">
        <v>17.606570000000001</v>
      </c>
      <c r="M7962">
        <v>0.99989280000000003</v>
      </c>
      <c r="N7962">
        <v>0</v>
      </c>
      <c r="O7962">
        <v>-6.1381109999999995E-4</v>
      </c>
      <c r="P7962">
        <v>0.999085</v>
      </c>
      <c r="Q7962">
        <v>-8.3937349999999994E-3</v>
      </c>
      <c r="R7962">
        <v>-4.1938169999999997E-2</v>
      </c>
      <c r="S7962">
        <v>2.9802550000000001</v>
      </c>
      <c r="T7962">
        <v>-0.16496629999999901</v>
      </c>
      <c r="U7962">
        <v>-0.5068665</v>
      </c>
      <c r="V7962">
        <v>4.132922E-2</v>
      </c>
      <c r="W7962">
        <v>6.1986690000000004E-3</v>
      </c>
      <c r="X7962">
        <v>0.99912639999999997</v>
      </c>
      <c r="Y7962">
        <v>0.16681470000000001</v>
      </c>
      <c r="Z7962">
        <v>-4.5468009999999996E-3</v>
      </c>
      <c r="AA7962">
        <v>0.98597780000000002</v>
      </c>
      <c r="AB7962">
        <v>23</v>
      </c>
      <c r="AC7962">
        <v>20.833399999999902</v>
      </c>
      <c r="AD7962">
        <v>-1.1600280000000001</v>
      </c>
      <c r="AE7962">
        <v>-3.5638899999999998</v>
      </c>
      <c r="AF7962">
        <v>3.5404355354088302</v>
      </c>
      <c r="AG7962">
        <v>-1.1600280000000001</v>
      </c>
      <c r="AH7962">
        <v>20.7730105074587</v>
      </c>
      <c r="AI7962">
        <v>93.150908188706893</v>
      </c>
      <c r="AJ7962">
        <v>80.327766356275205</v>
      </c>
      <c r="AK7962">
        <v>21.104461952017601</v>
      </c>
      <c r="AL7962">
        <v>89.644840169440499</v>
      </c>
      <c r="AM7962">
        <v>87.631290050257306</v>
      </c>
      <c r="AN7962">
        <v>1.0000000455500599</v>
      </c>
    </row>
    <row r="7963" spans="1:40" x14ac:dyDescent="0.25">
      <c r="A7963" t="str">
        <f>"20190312154117123"</f>
        <v>20190312154117123</v>
      </c>
      <c r="B7963" t="str">
        <f>"1552376477114379"</f>
        <v>1552376477114379</v>
      </c>
      <c r="C7963" t="s">
        <v>40</v>
      </c>
      <c r="D7963">
        <v>4.1767250000000002</v>
      </c>
      <c r="E7963">
        <v>0.54867529999999998</v>
      </c>
      <c r="F7963" t="s">
        <v>43</v>
      </c>
      <c r="G7963">
        <v>-311.30020000000002</v>
      </c>
      <c r="H7963">
        <v>-0.05</v>
      </c>
      <c r="I7963">
        <v>14.01192</v>
      </c>
      <c r="J7963">
        <v>-332.12389999999999</v>
      </c>
      <c r="K7963">
        <v>1.1100270000000001</v>
      </c>
      <c r="L7963">
        <v>17.606020000000001</v>
      </c>
      <c r="M7963">
        <v>0.99989249999999996</v>
      </c>
      <c r="N7963">
        <v>0</v>
      </c>
      <c r="O7963">
        <v>-9.9611280000000001E-4</v>
      </c>
      <c r="P7963">
        <v>0.99905750000000004</v>
      </c>
      <c r="Q7963">
        <v>-8.1631189999999999E-3</v>
      </c>
      <c r="R7963">
        <v>-4.2633619999999997E-2</v>
      </c>
      <c r="S7963">
        <v>2.9799500000000001</v>
      </c>
      <c r="T7963">
        <v>-0.1644765</v>
      </c>
      <c r="U7963">
        <v>-0.50967410000000002</v>
      </c>
      <c r="V7963">
        <v>4.1643029999999998E-2</v>
      </c>
      <c r="W7963">
        <v>6.4237309999999898E-3</v>
      </c>
      <c r="X7963">
        <v>0.99911190000000005</v>
      </c>
      <c r="Y7963">
        <v>0.16735839999999999</v>
      </c>
      <c r="Z7963">
        <v>-4.527367E-3</v>
      </c>
      <c r="AA7963">
        <v>0.98588569999999998</v>
      </c>
      <c r="AB7963">
        <v>23</v>
      </c>
      <c r="AC7963">
        <v>20.823699999999899</v>
      </c>
      <c r="AD7963">
        <v>-1.1600269999999999</v>
      </c>
      <c r="AE7963">
        <v>-3.5940999999999899</v>
      </c>
      <c r="AF7963">
        <v>3.5626172779933301</v>
      </c>
      <c r="AG7963">
        <v>-1.1600269999999999</v>
      </c>
      <c r="AH7963">
        <v>20.764695666790601</v>
      </c>
      <c r="AI7963">
        <v>93.151570716393493</v>
      </c>
      <c r="AJ7963">
        <v>80.264500279037506</v>
      </c>
      <c r="AK7963">
        <v>21.100011626646499</v>
      </c>
      <c r="AL7963">
        <v>89.631944792762894</v>
      </c>
      <c r="AM7963">
        <v>87.6132907164681</v>
      </c>
      <c r="AN7963">
        <v>0.99999999749457502</v>
      </c>
    </row>
    <row r="7964" spans="1:40" x14ac:dyDescent="0.25">
      <c r="A7964" t="str">
        <f>"20190312154117134"</f>
        <v>20190312154117134</v>
      </c>
      <c r="B7964" t="str">
        <f>"1552376477124646"</f>
        <v>1552376477124646</v>
      </c>
      <c r="C7964" t="s">
        <v>40</v>
      </c>
      <c r="D7964">
        <v>4.1897539999999998</v>
      </c>
      <c r="E7964">
        <v>0.54867529999999998</v>
      </c>
      <c r="F7964" t="s">
        <v>43</v>
      </c>
      <c r="G7964">
        <v>-311.08319999999998</v>
      </c>
      <c r="H7964">
        <v>-0.05</v>
      </c>
      <c r="I7964">
        <v>13.97757</v>
      </c>
      <c r="J7964">
        <v>-332.0025</v>
      </c>
      <c r="K7964">
        <v>1.1100270000000001</v>
      </c>
      <c r="L7964">
        <v>17.605619999999998</v>
      </c>
      <c r="M7964">
        <v>0.99989229999999996</v>
      </c>
      <c r="N7964">
        <v>0</v>
      </c>
      <c r="O7964">
        <v>-1.238828E-3</v>
      </c>
      <c r="P7964">
        <v>0.99904470000000001</v>
      </c>
      <c r="Q7964">
        <v>-8.2732099999999996E-3</v>
      </c>
      <c r="R7964">
        <v>-4.2911310000000001E-2</v>
      </c>
      <c r="S7964">
        <v>2.979584</v>
      </c>
      <c r="T7964">
        <v>-0.16427159999999999</v>
      </c>
      <c r="U7964">
        <v>-0.51382450000000002</v>
      </c>
      <c r="V7964">
        <v>4.1677989999999998E-2</v>
      </c>
      <c r="W7964">
        <v>6.3107240000000002E-3</v>
      </c>
      <c r="X7964">
        <v>0.99911119999999998</v>
      </c>
      <c r="Y7964">
        <v>0.16847239999999999</v>
      </c>
      <c r="Z7964">
        <v>-4.5389439999999996E-3</v>
      </c>
      <c r="AA7964">
        <v>0.98569589999999996</v>
      </c>
      <c r="AB7964">
        <v>23</v>
      </c>
      <c r="AC7964">
        <v>20.9193</v>
      </c>
      <c r="AD7964">
        <v>-1.1600269999999999</v>
      </c>
      <c r="AE7964">
        <v>-3.62805</v>
      </c>
      <c r="AF7964">
        <v>3.5914080011692802</v>
      </c>
      <c r="AG7964">
        <v>-1.1600269999999999</v>
      </c>
      <c r="AH7964">
        <v>20.861503444380102</v>
      </c>
      <c r="AI7964">
        <v>93.136669985547002</v>
      </c>
      <c r="AJ7964">
        <v>80.232004292835697</v>
      </c>
      <c r="AK7964">
        <v>21.2001462266531</v>
      </c>
      <c r="AL7964">
        <v>89.638419761762805</v>
      </c>
      <c r="AM7964">
        <v>87.6112876836076</v>
      </c>
      <c r="AN7964">
        <v>1.00000003502664</v>
      </c>
    </row>
    <row r="7965" spans="1:40" x14ac:dyDescent="0.25">
      <c r="A7965" t="str">
        <f>"20190312154117146"</f>
        <v>20190312154117146</v>
      </c>
      <c r="B7965" t="str">
        <f>"1552376477134406"</f>
        <v>1552376477134406</v>
      </c>
      <c r="C7965" t="s">
        <v>40</v>
      </c>
      <c r="D7965">
        <v>4.1357200000000001</v>
      </c>
      <c r="E7965">
        <v>0.54896350000000005</v>
      </c>
      <c r="F7965" t="s">
        <v>43</v>
      </c>
      <c r="G7965">
        <v>-310.98829999999998</v>
      </c>
      <c r="H7965">
        <v>-0.05</v>
      </c>
      <c r="I7965">
        <v>13.976000000000001</v>
      </c>
      <c r="J7965">
        <v>-331.8904</v>
      </c>
      <c r="K7965">
        <v>1.110025</v>
      </c>
      <c r="L7965">
        <v>17.60519</v>
      </c>
      <c r="M7965">
        <v>0.99989209999999995</v>
      </c>
      <c r="N7965">
        <v>0</v>
      </c>
      <c r="O7965">
        <v>-1.4660490000000001E-3</v>
      </c>
      <c r="P7965">
        <v>0.99902829999999998</v>
      </c>
      <c r="Q7965">
        <v>-8.1320880000000009E-3</v>
      </c>
      <c r="R7965">
        <v>-4.3318089999999997E-2</v>
      </c>
      <c r="S7965">
        <v>2.9794619999999998</v>
      </c>
      <c r="T7965">
        <v>-0.16447229999999999</v>
      </c>
      <c r="U7965">
        <v>-0.51461789999999996</v>
      </c>
      <c r="V7965">
        <v>4.1857999999999999E-2</v>
      </c>
      <c r="W7965">
        <v>6.4485260000000004E-3</v>
      </c>
      <c r="X7965">
        <v>0.99910279999999996</v>
      </c>
      <c r="Y7965">
        <v>0.16850970000000001</v>
      </c>
      <c r="Z7965">
        <v>-4.5331440000000002E-3</v>
      </c>
      <c r="AA7965">
        <v>0.98568960000000005</v>
      </c>
      <c r="AB7965">
        <v>23</v>
      </c>
      <c r="AC7965">
        <v>20.902100000000001</v>
      </c>
      <c r="AD7965">
        <v>-1.1600250000000001</v>
      </c>
      <c r="AE7965">
        <v>-3.6291899999999999</v>
      </c>
      <c r="AF7965">
        <v>3.5878121445389599</v>
      </c>
      <c r="AG7965">
        <v>-1.1600250000000001</v>
      </c>
      <c r="AH7965">
        <v>20.845074110347301</v>
      </c>
      <c r="AI7965">
        <v>93.1391511353591</v>
      </c>
      <c r="AJ7965">
        <v>80.234053084566398</v>
      </c>
      <c r="AK7965">
        <v>21.1833700966348</v>
      </c>
      <c r="AL7965">
        <v>89.630524130300401</v>
      </c>
      <c r="AM7965">
        <v>87.600962558726394</v>
      </c>
      <c r="AN7965">
        <v>1.0000000403097</v>
      </c>
    </row>
    <row r="7966" spans="1:40" x14ac:dyDescent="0.25">
      <c r="A7966" t="str">
        <f>"20190312154117157"</f>
        <v>20190312154117157</v>
      </c>
      <c r="B7966" t="str">
        <f>"1552376477144167"</f>
        <v>1552376477144167</v>
      </c>
      <c r="C7966" t="s">
        <v>40</v>
      </c>
      <c r="D7966">
        <v>4.2200989999999896</v>
      </c>
      <c r="E7966">
        <v>0.54908789999999996</v>
      </c>
      <c r="F7966" t="s">
        <v>43</v>
      </c>
      <c r="G7966">
        <v>-310.90750000000003</v>
      </c>
      <c r="H7966">
        <v>-0.05</v>
      </c>
      <c r="I7966">
        <v>13.956099999999999</v>
      </c>
      <c r="J7966">
        <v>-331.77339999999998</v>
      </c>
      <c r="K7966">
        <v>1.1100219999999901</v>
      </c>
      <c r="L7966">
        <v>17.604800000000001</v>
      </c>
      <c r="M7966">
        <v>0.99989159999999999</v>
      </c>
      <c r="N7966">
        <v>0</v>
      </c>
      <c r="O7966">
        <v>-1.704239E-3</v>
      </c>
      <c r="P7966">
        <v>0.99902400000000002</v>
      </c>
      <c r="Q7966">
        <v>-8.1755149999999995E-3</v>
      </c>
      <c r="R7966">
        <v>-4.340807E-2</v>
      </c>
      <c r="S7966">
        <v>2.9791560000000001</v>
      </c>
      <c r="T7966">
        <v>-0.16470029999999999</v>
      </c>
      <c r="U7966">
        <v>-0.51809689999999997</v>
      </c>
      <c r="V7966">
        <v>4.1709789999999997E-2</v>
      </c>
      <c r="W7966">
        <v>6.4022740000000003E-3</v>
      </c>
      <c r="X7966">
        <v>0.99910929999999998</v>
      </c>
      <c r="Y7966">
        <v>0.16940759999999999</v>
      </c>
      <c r="Z7966">
        <v>-4.5509809999999999E-3</v>
      </c>
      <c r="AA7966">
        <v>0.98553559999999996</v>
      </c>
      <c r="AB7966">
        <v>23</v>
      </c>
      <c r="AC7966">
        <v>20.8658999999999</v>
      </c>
      <c r="AD7966">
        <v>-1.1600220000000001</v>
      </c>
      <c r="AE7966">
        <v>-3.6486999999999998</v>
      </c>
      <c r="AF7966">
        <v>3.6023270104529201</v>
      </c>
      <c r="AG7966">
        <v>-1.1600220000000001</v>
      </c>
      <c r="AH7966">
        <v>20.809680227020198</v>
      </c>
      <c r="AI7966">
        <v>93.143950656500706</v>
      </c>
      <c r="AJ7966">
        <v>80.178957520131902</v>
      </c>
      <c r="AK7966">
        <v>21.151009481383099</v>
      </c>
      <c r="AL7966">
        <v>89.633174230838705</v>
      </c>
      <c r="AM7966">
        <v>87.609462686471105</v>
      </c>
      <c r="AN7966">
        <v>1.0000000445203501</v>
      </c>
    </row>
    <row r="7967" spans="1:40" x14ac:dyDescent="0.25">
      <c r="A7967" t="str">
        <f>"20190312154117177"</f>
        <v>20190312154117177</v>
      </c>
      <c r="B7967" t="str">
        <f>"1552376477164662"</f>
        <v>1552376477164662</v>
      </c>
      <c r="C7967" t="s">
        <v>40</v>
      </c>
      <c r="D7967">
        <v>4.2420429999999998</v>
      </c>
      <c r="E7967">
        <v>0.548983</v>
      </c>
      <c r="F7967" t="s">
        <v>43</v>
      </c>
      <c r="G7967">
        <v>-310.84629999999999</v>
      </c>
      <c r="H7967">
        <v>-0.05</v>
      </c>
      <c r="I7967">
        <v>13.956239999999999</v>
      </c>
      <c r="J7967">
        <v>-331.57380000000001</v>
      </c>
      <c r="K7967">
        <v>1.110015</v>
      </c>
      <c r="L7967">
        <v>17.60397</v>
      </c>
      <c r="M7967">
        <v>0.99989090000000003</v>
      </c>
      <c r="N7967">
        <v>0</v>
      </c>
      <c r="O7967">
        <v>-2.1197189999999999E-3</v>
      </c>
      <c r="P7967">
        <v>0.9990019</v>
      </c>
      <c r="Q7967">
        <v>-8.3231490000000002E-3</v>
      </c>
      <c r="R7967">
        <v>-4.3888669999999998E-2</v>
      </c>
      <c r="S7967">
        <v>2.9790040000000002</v>
      </c>
      <c r="T7967">
        <v>-0.16513129999999901</v>
      </c>
      <c r="U7967">
        <v>-0.51937869999999997</v>
      </c>
      <c r="V7967">
        <v>4.1775310000000003E-2</v>
      </c>
      <c r="W7967">
        <v>6.2487360000000004E-3</v>
      </c>
      <c r="X7967">
        <v>0.99910750000000004</v>
      </c>
      <c r="Y7967">
        <v>0.1694175</v>
      </c>
      <c r="Z7967">
        <v>-4.540367E-3</v>
      </c>
      <c r="AA7967">
        <v>0.98553389999999996</v>
      </c>
      <c r="AB7967">
        <v>23</v>
      </c>
      <c r="AC7967">
        <v>20.727499999999999</v>
      </c>
      <c r="AD7967">
        <v>-1.160015</v>
      </c>
      <c r="AE7967">
        <v>-3.6477300000000001</v>
      </c>
      <c r="AF7967">
        <v>3.5928655256641902</v>
      </c>
      <c r="AG7967">
        <v>-1.160015</v>
      </c>
      <c r="AH7967">
        <v>20.672383818074</v>
      </c>
      <c r="AI7967">
        <v>93.164401945733701</v>
      </c>
      <c r="AJ7967">
        <v>80.140465904688696</v>
      </c>
      <c r="AK7967">
        <v>21.014322977614501</v>
      </c>
      <c r="AL7967">
        <v>89.641971473452102</v>
      </c>
      <c r="AM7967">
        <v>87.605707559001004</v>
      </c>
      <c r="AN7967">
        <v>1.0000000098917201</v>
      </c>
    </row>
    <row r="7968" spans="1:40" x14ac:dyDescent="0.25">
      <c r="A7968" t="str">
        <f>"20190312154117190"</f>
        <v>20190312154117190</v>
      </c>
      <c r="B7968" t="str">
        <f>"1552376477184183"</f>
        <v>1552376477184183</v>
      </c>
      <c r="C7968" t="s">
        <v>40</v>
      </c>
      <c r="D7968">
        <v>4.2649800000000004</v>
      </c>
      <c r="E7968">
        <v>0.52280629999999995</v>
      </c>
      <c r="F7968" t="s">
        <v>43</v>
      </c>
      <c r="G7968">
        <v>-310.67970000000003</v>
      </c>
      <c r="H7968">
        <v>-0.05</v>
      </c>
      <c r="I7968">
        <v>13.956619999999999</v>
      </c>
      <c r="J7968">
        <v>-331.44830000000002</v>
      </c>
      <c r="K7968">
        <v>1.110012</v>
      </c>
      <c r="L7968">
        <v>17.60342</v>
      </c>
      <c r="M7968">
        <v>0.99989039999999996</v>
      </c>
      <c r="N7968">
        <v>0</v>
      </c>
      <c r="O7968">
        <v>-2.3878580000000001E-3</v>
      </c>
      <c r="P7968">
        <v>0.99899009999999999</v>
      </c>
      <c r="Q7968">
        <v>-8.5927969999999992E-3</v>
      </c>
      <c r="R7968">
        <v>-4.4103280000000002E-2</v>
      </c>
      <c r="S7968">
        <v>2.97879</v>
      </c>
      <c r="T7968">
        <v>-0.16537850000000001</v>
      </c>
      <c r="U7968">
        <v>-0.51998900000000003</v>
      </c>
      <c r="V7968">
        <v>4.1721979999999999E-2</v>
      </c>
      <c r="W7968">
        <v>5.9759909999999999E-3</v>
      </c>
      <c r="X7968">
        <v>0.99911139999999998</v>
      </c>
      <c r="Y7968">
        <v>0.16936089999999901</v>
      </c>
      <c r="Z7968">
        <v>-4.5310719999999997E-3</v>
      </c>
      <c r="AA7968">
        <v>0.98554370000000002</v>
      </c>
      <c r="AB7968">
        <v>23</v>
      </c>
      <c r="AC7968">
        <v>20.7685999999999</v>
      </c>
      <c r="AD7968">
        <v>-1.160012</v>
      </c>
      <c r="AE7968">
        <v>-3.64679999999999</v>
      </c>
      <c r="AF7968">
        <v>3.5863382430343802</v>
      </c>
      <c r="AG7968">
        <v>-1.160012</v>
      </c>
      <c r="AH7968">
        <v>20.714559771515699</v>
      </c>
      <c r="AI7968">
        <v>93.158319014369894</v>
      </c>
      <c r="AJ7968">
        <v>80.177675560638804</v>
      </c>
      <c r="AK7968">
        <v>21.054701051339901</v>
      </c>
      <c r="AL7968">
        <v>89.657598903671897</v>
      </c>
      <c r="AM7968">
        <v>87.608769865054199</v>
      </c>
      <c r="AN7968">
        <v>1.0000000128467501</v>
      </c>
    </row>
    <row r="7969" spans="1:40" x14ac:dyDescent="0.25">
      <c r="A7969" t="str">
        <f>"20190312154117201"</f>
        <v>20190312154117201</v>
      </c>
      <c r="B7969" t="str">
        <f>"1552376477193942"</f>
        <v>1552376477193942</v>
      </c>
      <c r="C7969" t="s">
        <v>40</v>
      </c>
      <c r="D7969">
        <v>4.2600639999999999</v>
      </c>
      <c r="E7969">
        <v>0.52170039999999995</v>
      </c>
      <c r="F7969" t="s">
        <v>43</v>
      </c>
      <c r="G7969">
        <v>-310.3141</v>
      </c>
      <c r="H7969">
        <v>-0.05</v>
      </c>
      <c r="I7969">
        <v>15.39603</v>
      </c>
      <c r="J7969">
        <v>-331.33429999999998</v>
      </c>
      <c r="K7969">
        <v>1.110006</v>
      </c>
      <c r="L7969">
        <v>17.60284</v>
      </c>
      <c r="M7969">
        <v>0.9998899</v>
      </c>
      <c r="N7969">
        <v>0</v>
      </c>
      <c r="O7969">
        <v>-2.6339430000000001E-3</v>
      </c>
      <c r="P7969">
        <v>0.99897919999999996</v>
      </c>
      <c r="Q7969">
        <v>-8.7176040000000003E-3</v>
      </c>
      <c r="R7969">
        <v>-4.433028E-2</v>
      </c>
      <c r="S7969">
        <v>2.987854</v>
      </c>
      <c r="T7969">
        <v>-0.16399749999999999</v>
      </c>
      <c r="U7969">
        <v>-0.31207279999999998</v>
      </c>
      <c r="V7969">
        <v>4.1702879999999998E-2</v>
      </c>
      <c r="W7969">
        <v>5.8481999999999996E-3</v>
      </c>
      <c r="X7969">
        <v>0.99911300000000003</v>
      </c>
      <c r="Y7969">
        <v>0.1011151</v>
      </c>
      <c r="Z7969">
        <v>-2.6213320000000001E-3</v>
      </c>
      <c r="AA7969">
        <v>0.99487130000000001</v>
      </c>
      <c r="AB7969">
        <v>23</v>
      </c>
      <c r="AC7969">
        <v>21.0201999999999</v>
      </c>
      <c r="AD7969">
        <v>-1.1600059999999901</v>
      </c>
      <c r="AE7969">
        <v>-2.2068099999999999</v>
      </c>
      <c r="AF7969">
        <v>2.1449693177421998</v>
      </c>
      <c r="AG7969">
        <v>-1.1600059999999901</v>
      </c>
      <c r="AH7969">
        <v>20.962795815211098</v>
      </c>
      <c r="AI7969">
        <v>93.150894396162997</v>
      </c>
      <c r="AJ7969">
        <v>84.157675601622799</v>
      </c>
      <c r="AK7969">
        <v>21.104153991200999</v>
      </c>
      <c r="AL7969">
        <v>89.664920932040701</v>
      </c>
      <c r="AM7969">
        <v>87.609867105070606</v>
      </c>
      <c r="AN7969">
        <v>1.0000000592062599</v>
      </c>
    </row>
    <row r="7970" spans="1:40" x14ac:dyDescent="0.25">
      <c r="A7970" t="str">
        <f>"20190312154117212"</f>
        <v>20190312154117212</v>
      </c>
      <c r="B7970" t="str">
        <f>"1552376477204678"</f>
        <v>1552376477204678</v>
      </c>
      <c r="C7970" t="s">
        <v>40</v>
      </c>
      <c r="D7970">
        <v>4.2303940000000004</v>
      </c>
      <c r="E7970">
        <v>0.52103650000000001</v>
      </c>
      <c r="F7970" t="s">
        <v>43</v>
      </c>
      <c r="G7970">
        <v>-311.2396</v>
      </c>
      <c r="H7970">
        <v>-0.05</v>
      </c>
      <c r="I7970">
        <v>15.56001</v>
      </c>
      <c r="J7970">
        <v>-331.2124</v>
      </c>
      <c r="K7970">
        <v>1.110004</v>
      </c>
      <c r="L7970">
        <v>17.602229999999999</v>
      </c>
      <c r="M7970">
        <v>0.99988920000000003</v>
      </c>
      <c r="N7970">
        <v>0</v>
      </c>
      <c r="O7970">
        <v>-2.901257E-3</v>
      </c>
      <c r="P7970">
        <v>0.99896569999999996</v>
      </c>
      <c r="Q7970">
        <v>-8.8815760000000004E-3</v>
      </c>
      <c r="R7970">
        <v>-4.4598470000000001E-2</v>
      </c>
      <c r="S7970">
        <v>2.9880979999999999</v>
      </c>
      <c r="T7970">
        <v>-0.172493799999999</v>
      </c>
      <c r="U7970">
        <v>-0.30377199999999999</v>
      </c>
      <c r="V7970">
        <v>4.170401E-2</v>
      </c>
      <c r="W7970">
        <v>5.6803560000000001E-3</v>
      </c>
      <c r="X7970">
        <v>0.9991139</v>
      </c>
      <c r="Y7970">
        <v>9.8095409999999994E-2</v>
      </c>
      <c r="Z7970">
        <v>-2.654843E-3</v>
      </c>
      <c r="AA7970">
        <v>0.99517350000000004</v>
      </c>
      <c r="AB7970">
        <v>23</v>
      </c>
      <c r="AC7970">
        <v>19.972799999999999</v>
      </c>
      <c r="AD7970">
        <v>-1.160004</v>
      </c>
      <c r="AE7970">
        <v>-2.0422199999999902</v>
      </c>
      <c r="AF7970">
        <v>1.97765700760332</v>
      </c>
      <c r="AG7970">
        <v>-1.160004</v>
      </c>
      <c r="AH7970">
        <v>19.912168966162199</v>
      </c>
      <c r="AI7970">
        <v>93.317769846778603</v>
      </c>
      <c r="AJ7970">
        <v>84.328040717171007</v>
      </c>
      <c r="AK7970">
        <v>20.043732423297101</v>
      </c>
      <c r="AL7970">
        <v>89.674537837179599</v>
      </c>
      <c r="AM7970">
        <v>87.609804566654702</v>
      </c>
      <c r="AN7970">
        <v>1.0000000380337799</v>
      </c>
    </row>
    <row r="7971" spans="1:40" x14ac:dyDescent="0.25">
      <c r="A7971" t="str">
        <f>"20190312154117223"</f>
        <v>20190312154117223</v>
      </c>
      <c r="B7971" t="str">
        <f>"1552376477214439"</f>
        <v>1552376477214439</v>
      </c>
      <c r="C7971" t="s">
        <v>40</v>
      </c>
      <c r="D7971">
        <v>4.2498589999999998</v>
      </c>
      <c r="E7971">
        <v>0.5205786</v>
      </c>
      <c r="F7971" t="s">
        <v>43</v>
      </c>
      <c r="G7971">
        <v>-312.35160000000002</v>
      </c>
      <c r="H7971">
        <v>-0.05</v>
      </c>
      <c r="I7971">
        <v>15.71396</v>
      </c>
      <c r="J7971">
        <v>-331.10509999999999</v>
      </c>
      <c r="K7971">
        <v>1.109999</v>
      </c>
      <c r="L7971">
        <v>17.601649999999999</v>
      </c>
      <c r="M7971">
        <v>0.99988849999999996</v>
      </c>
      <c r="N7971">
        <v>0</v>
      </c>
      <c r="O7971">
        <v>-3.1413970000000002E-3</v>
      </c>
      <c r="P7971">
        <v>0.99895009999999995</v>
      </c>
      <c r="Q7971">
        <v>-9.0200509999999994E-3</v>
      </c>
      <c r="R7971">
        <v>-4.4914610000000001E-2</v>
      </c>
      <c r="S7971">
        <v>2.988159</v>
      </c>
      <c r="T7971">
        <v>-0.1837821</v>
      </c>
      <c r="U7971">
        <v>-0.29916379999999998</v>
      </c>
      <c r="V7971">
        <v>4.1780390000000001E-2</v>
      </c>
      <c r="W7971">
        <v>5.5392139999999998E-3</v>
      </c>
      <c r="X7971">
        <v>0.99911150000000004</v>
      </c>
      <c r="Y7971">
        <v>9.6317520000000004E-2</v>
      </c>
      <c r="Z7971">
        <v>-2.7592200000000002E-3</v>
      </c>
      <c r="AA7971">
        <v>0.99534679999999998</v>
      </c>
      <c r="AB7971">
        <v>23</v>
      </c>
      <c r="AC7971">
        <v>18.753499999999899</v>
      </c>
      <c r="AD7971">
        <v>-1.159999</v>
      </c>
      <c r="AE7971">
        <v>-1.8876899999999901</v>
      </c>
      <c r="AF7971">
        <v>1.8218616014051401</v>
      </c>
      <c r="AG7971">
        <v>-1.159999</v>
      </c>
      <c r="AH7971">
        <v>18.6885519483731</v>
      </c>
      <c r="AI7971">
        <v>93.535079037682294</v>
      </c>
      <c r="AJ7971">
        <v>84.432089622782399</v>
      </c>
      <c r="AK7971">
        <v>18.812941059327098</v>
      </c>
      <c r="AL7971">
        <v>89.682624804601801</v>
      </c>
      <c r="AM7971">
        <v>87.605426320617994</v>
      </c>
      <c r="AN7971">
        <v>1.00000003665626</v>
      </c>
    </row>
    <row r="7972" spans="1:40" x14ac:dyDescent="0.25">
      <c r="A7972" t="str">
        <f>"20190312154117235"</f>
        <v>20190312154117235</v>
      </c>
      <c r="B7972" t="str">
        <f>"1552376477224708"</f>
        <v>1552376477224708</v>
      </c>
      <c r="C7972" t="s">
        <v>40</v>
      </c>
      <c r="D7972">
        <v>4.2619189999999998</v>
      </c>
      <c r="E7972">
        <v>0.52046539999999997</v>
      </c>
      <c r="F7972" t="s">
        <v>43</v>
      </c>
      <c r="G7972">
        <v>-312.78820000000002</v>
      </c>
      <c r="H7972">
        <v>-0.05</v>
      </c>
      <c r="I7972">
        <v>15.785399999999999</v>
      </c>
      <c r="J7972">
        <v>-330.98559999999998</v>
      </c>
      <c r="K7972">
        <v>1.1099920000000001</v>
      </c>
      <c r="L7972">
        <v>17.60098</v>
      </c>
      <c r="M7972">
        <v>0.99988759999999999</v>
      </c>
      <c r="N7972">
        <v>0</v>
      </c>
      <c r="O7972">
        <v>-3.4119490000000001E-3</v>
      </c>
      <c r="P7972">
        <v>0.9989285</v>
      </c>
      <c r="Q7972">
        <v>-9.1271760000000007E-3</v>
      </c>
      <c r="R7972">
        <v>-4.5376619999999999E-2</v>
      </c>
      <c r="S7972">
        <v>2.9881289999999998</v>
      </c>
      <c r="T7972">
        <v>-0.1892363</v>
      </c>
      <c r="U7972">
        <v>-0.29629519999999998</v>
      </c>
      <c r="V7972">
        <v>4.1971910000000001E-2</v>
      </c>
      <c r="W7972">
        <v>5.4285890000000002E-3</v>
      </c>
      <c r="X7972">
        <v>0.99910399999999999</v>
      </c>
      <c r="Y7972">
        <v>9.5095449999999998E-2</v>
      </c>
      <c r="Z7972">
        <v>-2.7854709999999999E-3</v>
      </c>
      <c r="AA7972">
        <v>0.99546429999999997</v>
      </c>
      <c r="AB7972">
        <v>23</v>
      </c>
      <c r="AC7972">
        <v>18.197399999999899</v>
      </c>
      <c r="AD7972">
        <v>-1.1599919999999999</v>
      </c>
      <c r="AE7972">
        <v>-1.81558</v>
      </c>
      <c r="AF7972">
        <v>1.74644761262404</v>
      </c>
      <c r="AG7972">
        <v>-1.1599919999999999</v>
      </c>
      <c r="AH7972">
        <v>18.130543565026102</v>
      </c>
      <c r="AI7972">
        <v>93.643972814428906</v>
      </c>
      <c r="AJ7972">
        <v>84.497887015827303</v>
      </c>
      <c r="AK7972">
        <v>18.2513635289809</v>
      </c>
      <c r="AL7972">
        <v>89.688963220455705</v>
      </c>
      <c r="AM7972">
        <v>87.594444498460803</v>
      </c>
      <c r="AN7972">
        <v>0.99999995681178799</v>
      </c>
    </row>
    <row r="7973" spans="1:40" x14ac:dyDescent="0.25">
      <c r="A7973" t="str">
        <f>"20190312154117247"</f>
        <v>20190312154117247</v>
      </c>
      <c r="B7973" t="str">
        <f>"1552376477234466"</f>
        <v>1552376477234466</v>
      </c>
      <c r="C7973" t="s">
        <v>40</v>
      </c>
      <c r="D7973">
        <v>4.2573939999999997</v>
      </c>
      <c r="E7973">
        <v>0.52053570000000005</v>
      </c>
      <c r="F7973" t="s">
        <v>43</v>
      </c>
      <c r="G7973">
        <v>-313.25569999999999</v>
      </c>
      <c r="H7973">
        <v>-0.05</v>
      </c>
      <c r="I7973">
        <v>15.840820000000001</v>
      </c>
      <c r="J7973">
        <v>-330.8775</v>
      </c>
      <c r="K7973">
        <v>1.109985</v>
      </c>
      <c r="L7973">
        <v>17.60031</v>
      </c>
      <c r="M7973">
        <v>0.99988679999999996</v>
      </c>
      <c r="N7973">
        <v>0</v>
      </c>
      <c r="O7973">
        <v>-3.6646280000000001E-3</v>
      </c>
      <c r="P7973">
        <v>0.99890420000000002</v>
      </c>
      <c r="Q7973">
        <v>-9.4397920000000007E-3</v>
      </c>
      <c r="R7973">
        <v>-4.5844339999999997E-2</v>
      </c>
      <c r="S7973">
        <v>2.987946</v>
      </c>
      <c r="T7973">
        <v>-0.1954882</v>
      </c>
      <c r="U7973">
        <v>-0.29663089999999998</v>
      </c>
      <c r="V7973">
        <v>4.2187059999999998E-2</v>
      </c>
      <c r="W7973">
        <v>5.112452E-3</v>
      </c>
      <c r="X7973">
        <v>0.9990966</v>
      </c>
      <c r="Y7973">
        <v>9.4949249999999999E-2</v>
      </c>
      <c r="Z7973">
        <v>-2.8562219999999998E-3</v>
      </c>
      <c r="AA7973">
        <v>0.99547799999999997</v>
      </c>
      <c r="AB7973">
        <v>23</v>
      </c>
      <c r="AC7973">
        <v>17.6218</v>
      </c>
      <c r="AD7973">
        <v>-1.159985</v>
      </c>
      <c r="AE7973">
        <v>-1.75948999999999</v>
      </c>
      <c r="AF7973">
        <v>1.6876532868286001</v>
      </c>
      <c r="AG7973">
        <v>-1.159985</v>
      </c>
      <c r="AH7973">
        <v>17.552821901457399</v>
      </c>
      <c r="AI7973">
        <v>93.763610294017099</v>
      </c>
      <c r="AJ7973">
        <v>84.508057250460794</v>
      </c>
      <c r="AK7973">
        <v>17.671878664167298</v>
      </c>
      <c r="AL7973">
        <v>89.707076786945194</v>
      </c>
      <c r="AM7973">
        <v>87.5821102168685</v>
      </c>
      <c r="AN7973">
        <v>0.99999995066422598</v>
      </c>
    </row>
    <row r="7974" spans="1:40" x14ac:dyDescent="0.25">
      <c r="A7974" t="str">
        <f>"20190312154117258"</f>
        <v>20190312154117258</v>
      </c>
      <c r="B7974" t="str">
        <f>"1552376477253985"</f>
        <v>1552376477253985</v>
      </c>
      <c r="C7974" t="s">
        <v>40</v>
      </c>
      <c r="D7974">
        <v>4.2309489999999998</v>
      </c>
      <c r="E7974">
        <v>0.52037809999999995</v>
      </c>
      <c r="F7974" t="s">
        <v>41</v>
      </c>
      <c r="G7974">
        <v>-330.03059999999999</v>
      </c>
      <c r="H7974">
        <v>1.0526260000000001</v>
      </c>
      <c r="I7974">
        <v>17.51557</v>
      </c>
      <c r="J7974">
        <v>-330.7568</v>
      </c>
      <c r="K7974">
        <v>1.1099779999999999</v>
      </c>
      <c r="L7974">
        <v>17.59958</v>
      </c>
      <c r="M7974">
        <v>0.99988569999999999</v>
      </c>
      <c r="N7974">
        <v>0</v>
      </c>
      <c r="O7974">
        <v>-3.9491489999999999E-3</v>
      </c>
      <c r="P7974">
        <v>0.998888</v>
      </c>
      <c r="Q7974">
        <v>-9.6432419999999998E-3</v>
      </c>
      <c r="R7974">
        <v>-4.6149570000000001E-2</v>
      </c>
      <c r="S7974">
        <v>2.9877009999999999</v>
      </c>
      <c r="T7974">
        <v>-0.20233229999999999</v>
      </c>
      <c r="U7974">
        <v>-0.2984619</v>
      </c>
      <c r="V7974">
        <v>4.2208219999999998E-2</v>
      </c>
      <c r="W7974">
        <v>4.9055069999999999E-3</v>
      </c>
      <c r="X7974">
        <v>0.99909680000000001</v>
      </c>
      <c r="Y7974">
        <v>9.5264210000000002E-2</v>
      </c>
      <c r="Z7974">
        <v>-2.947575E-3</v>
      </c>
      <c r="AA7974">
        <v>0.99544759999999999</v>
      </c>
      <c r="AB7974">
        <v>23</v>
      </c>
      <c r="AC7974">
        <v>0.72620000000000495</v>
      </c>
      <c r="AD7974">
        <v>-5.7352E-2</v>
      </c>
      <c r="AE7974">
        <v>-8.4009999999999196E-2</v>
      </c>
      <c r="AF7974">
        <v>8.0644817834214996E-2</v>
      </c>
      <c r="AG7974">
        <v>-5.7352E-2</v>
      </c>
      <c r="AH7974">
        <v>0.72208189889796004</v>
      </c>
      <c r="AI7974">
        <v>94.513291583402193</v>
      </c>
      <c r="AJ7974">
        <v>83.627400343420504</v>
      </c>
      <c r="AK7974">
        <v>0.72883132977637399</v>
      </c>
      <c r="AL7974">
        <v>89.718934027170405</v>
      </c>
      <c r="AM7974">
        <v>87.580899386420896</v>
      </c>
      <c r="AN7974">
        <v>1.00000000680236</v>
      </c>
    </row>
    <row r="7975" spans="1:40" x14ac:dyDescent="0.25">
      <c r="A7975" t="str">
        <f>"20190312154117279"</f>
        <v>20190312154117279</v>
      </c>
      <c r="B7975" t="str">
        <f>"1552376477274482"</f>
        <v>1552376477274482</v>
      </c>
      <c r="C7975" t="s">
        <v>40</v>
      </c>
      <c r="D7975">
        <v>4.2506409999999999</v>
      </c>
      <c r="E7975">
        <v>0.52062679999999995</v>
      </c>
      <c r="F7975" t="s">
        <v>41</v>
      </c>
      <c r="G7975">
        <v>-329.83580000000001</v>
      </c>
      <c r="H7975">
        <v>1.0457179999999999</v>
      </c>
      <c r="I7975">
        <v>17.507619999999999</v>
      </c>
      <c r="J7975">
        <v>-330.55270000000002</v>
      </c>
      <c r="K7975">
        <v>1.109958</v>
      </c>
      <c r="L7975">
        <v>17.598179999999999</v>
      </c>
      <c r="M7975">
        <v>0.99988370000000004</v>
      </c>
      <c r="N7975">
        <v>0</v>
      </c>
      <c r="O7975">
        <v>-4.4497649999999996E-3</v>
      </c>
      <c r="P7975">
        <v>0.99882550000000003</v>
      </c>
      <c r="Q7975">
        <v>-9.9497849999999992E-3</v>
      </c>
      <c r="R7975">
        <v>-4.7421430000000001E-2</v>
      </c>
      <c r="S7975">
        <v>2.9875790000000002</v>
      </c>
      <c r="T7975">
        <v>-0.20842769999999999</v>
      </c>
      <c r="U7975">
        <v>-0.29797360000000001</v>
      </c>
      <c r="V7975">
        <v>4.2980030000000002E-2</v>
      </c>
      <c r="W7975">
        <v>4.5912740000000002E-3</v>
      </c>
      <c r="X7975">
        <v>0.99906539999999999</v>
      </c>
      <c r="Y7975">
        <v>9.45989E-2</v>
      </c>
      <c r="Z7975">
        <v>-2.9783919999999998E-3</v>
      </c>
      <c r="AA7975">
        <v>0.99551100000000003</v>
      </c>
      <c r="AB7975">
        <v>22</v>
      </c>
      <c r="AC7975">
        <v>0.71690000000000897</v>
      </c>
      <c r="AD7975">
        <v>-6.4240000000000005E-2</v>
      </c>
      <c r="AE7975">
        <v>-9.0559999999996393E-2</v>
      </c>
      <c r="AF7975">
        <v>8.6683624732929607E-2</v>
      </c>
      <c r="AG7975">
        <v>-6.4240000000000005E-2</v>
      </c>
      <c r="AH7975">
        <v>0.71167123331149396</v>
      </c>
      <c r="AI7975">
        <v>95.120266346897495</v>
      </c>
      <c r="AJ7975">
        <v>83.055415860405702</v>
      </c>
      <c r="AK7975">
        <v>0.71980328751676403</v>
      </c>
      <c r="AL7975">
        <v>89.736938457760701</v>
      </c>
      <c r="AM7975">
        <v>87.536640933078203</v>
      </c>
      <c r="AN7975">
        <v>1.0000000181264499</v>
      </c>
    </row>
    <row r="7976" spans="1:40" x14ac:dyDescent="0.25">
      <c r="A7976" t="str">
        <f>"20190312154117291"</f>
        <v>20190312154117291</v>
      </c>
      <c r="B7976" t="str">
        <f>"1552376477284242"</f>
        <v>1552376477284242</v>
      </c>
      <c r="C7976" t="s">
        <v>40</v>
      </c>
      <c r="D7976">
        <v>4.2527530000000002</v>
      </c>
      <c r="E7976">
        <v>0.52072039999999997</v>
      </c>
      <c r="F7976" t="s">
        <v>41</v>
      </c>
      <c r="G7976">
        <v>-329.63740000000001</v>
      </c>
      <c r="H7976">
        <v>1.043706</v>
      </c>
      <c r="I7976">
        <v>17.50497</v>
      </c>
      <c r="J7976">
        <v>-330.42570000000001</v>
      </c>
      <c r="K7976">
        <v>1.109947</v>
      </c>
      <c r="L7976">
        <v>17.59723</v>
      </c>
      <c r="M7976">
        <v>0.9998823</v>
      </c>
      <c r="N7976">
        <v>0</v>
      </c>
      <c r="O7976">
        <v>-4.7717439999999996E-3</v>
      </c>
      <c r="P7976">
        <v>0.99879649999999998</v>
      </c>
      <c r="Q7976">
        <v>-1.0012170000000001E-2</v>
      </c>
      <c r="R7976">
        <v>-4.8019230000000003E-2</v>
      </c>
      <c r="S7976">
        <v>2.9869690000000002</v>
      </c>
      <c r="T7976">
        <v>-0.21616389999999999</v>
      </c>
      <c r="U7976">
        <v>-0.30361939999999998</v>
      </c>
      <c r="V7976">
        <v>4.3256160000000002E-2</v>
      </c>
      <c r="W7976">
        <v>4.5245169999999996E-3</v>
      </c>
      <c r="X7976">
        <v>0.99905379999999999</v>
      </c>
      <c r="Y7976">
        <v>9.6141470000000007E-2</v>
      </c>
      <c r="Z7976">
        <v>-3.1213859999999999E-3</v>
      </c>
      <c r="AA7976">
        <v>0.99536279999999999</v>
      </c>
      <c r="AB7976">
        <v>22</v>
      </c>
      <c r="AC7976">
        <v>0.78829999999999201</v>
      </c>
      <c r="AD7976">
        <v>-6.6240999999999994E-2</v>
      </c>
      <c r="AE7976">
        <v>-9.2259999999999495E-2</v>
      </c>
      <c r="AF7976">
        <v>8.7884807940539295E-2</v>
      </c>
      <c r="AG7976">
        <v>-6.6240999999999994E-2</v>
      </c>
      <c r="AH7976">
        <v>0.78327528172289296</v>
      </c>
      <c r="AI7976">
        <v>94.803956629198893</v>
      </c>
      <c r="AJ7976">
        <v>83.598092290460997</v>
      </c>
      <c r="AK7976">
        <v>0.79096888466350102</v>
      </c>
      <c r="AL7976">
        <v>89.7407633951034</v>
      </c>
      <c r="AM7976">
        <v>87.520805741595197</v>
      </c>
      <c r="AN7976">
        <v>1.00000003096323</v>
      </c>
    </row>
    <row r="7977" spans="1:40" x14ac:dyDescent="0.25">
      <c r="A7977" t="str">
        <f>"20190312154117303"</f>
        <v>20190312154117303</v>
      </c>
      <c r="B7977" t="str">
        <f>"1552376477294002"</f>
        <v>1552376477294002</v>
      </c>
      <c r="C7977" t="s">
        <v>40</v>
      </c>
      <c r="D7977">
        <v>4.2579079999999996</v>
      </c>
      <c r="E7977">
        <v>0.52079979999999904</v>
      </c>
      <c r="F7977" t="s">
        <v>41</v>
      </c>
      <c r="G7977">
        <v>-329.63060000000002</v>
      </c>
      <c r="H7977">
        <v>1.0517749999999999</v>
      </c>
      <c r="I7977">
        <v>17.515599999999999</v>
      </c>
      <c r="J7977">
        <v>-330.30470000000003</v>
      </c>
      <c r="K7977">
        <v>1.109939</v>
      </c>
      <c r="L7977">
        <v>17.596339999999898</v>
      </c>
      <c r="M7977">
        <v>0.99988080000000001</v>
      </c>
      <c r="N7977">
        <v>0</v>
      </c>
      <c r="O7977">
        <v>-5.0834590000000002E-3</v>
      </c>
      <c r="P7977">
        <v>0.99875559999999997</v>
      </c>
      <c r="Q7977">
        <v>-1.0135760000000001E-2</v>
      </c>
      <c r="R7977">
        <v>-4.8836829999999998E-2</v>
      </c>
      <c r="S7977">
        <v>2.9867249999999999</v>
      </c>
      <c r="T7977">
        <v>-0.21846470000000001</v>
      </c>
      <c r="U7977">
        <v>-0.30603029999999998</v>
      </c>
      <c r="V7977">
        <v>4.3762210000000003E-2</v>
      </c>
      <c r="W7977">
        <v>4.3967269999999996E-3</v>
      </c>
      <c r="X7977">
        <v>0.99903229999999998</v>
      </c>
      <c r="Y7977">
        <v>9.6628989999999998E-2</v>
      </c>
      <c r="Z7977">
        <v>-3.1497000000000001E-3</v>
      </c>
      <c r="AA7977">
        <v>0.99531550000000002</v>
      </c>
      <c r="AB7977">
        <v>22</v>
      </c>
      <c r="AC7977">
        <v>0.67410000000000903</v>
      </c>
      <c r="AD7977">
        <v>-5.8164000000000098E-2</v>
      </c>
      <c r="AE7977">
        <v>-8.0739999999998702E-2</v>
      </c>
      <c r="AF7977">
        <v>7.6748527311721798E-2</v>
      </c>
      <c r="AG7977">
        <v>-5.8164000000000098E-2</v>
      </c>
      <c r="AH7977">
        <v>0.66958725194873003</v>
      </c>
      <c r="AI7977">
        <v>94.932427746528205</v>
      </c>
      <c r="AJ7977">
        <v>83.461255873939606</v>
      </c>
      <c r="AK7977">
        <v>0.67647651497503603</v>
      </c>
      <c r="AL7977">
        <v>89.748085287421503</v>
      </c>
      <c r="AM7977">
        <v>87.491784783580599</v>
      </c>
      <c r="AN7977">
        <v>0.999999999337843</v>
      </c>
    </row>
    <row r="7978" spans="1:40" x14ac:dyDescent="0.25">
      <c r="A7978" t="str">
        <f>"20190312154117316"</f>
        <v>20190312154117316</v>
      </c>
      <c r="B7978" t="str">
        <f>"1552376477304738"</f>
        <v>1552376477304738</v>
      </c>
      <c r="C7978" t="s">
        <v>40</v>
      </c>
      <c r="D7978">
        <v>4.2639779999999998</v>
      </c>
      <c r="E7978">
        <v>0.52083440000000003</v>
      </c>
      <c r="F7978" t="s">
        <v>41</v>
      </c>
      <c r="G7978">
        <v>-329.43599999999998</v>
      </c>
      <c r="H7978">
        <v>1.045647</v>
      </c>
      <c r="I7978">
        <v>17.50611</v>
      </c>
      <c r="J7978">
        <v>-330.1814</v>
      </c>
      <c r="K7978">
        <v>1.1099349999999999</v>
      </c>
      <c r="L7978">
        <v>17.595369999999999</v>
      </c>
      <c r="M7978">
        <v>0.99987910000000002</v>
      </c>
      <c r="N7978">
        <v>0</v>
      </c>
      <c r="O7978">
        <v>-5.4062549999999996E-3</v>
      </c>
      <c r="P7978">
        <v>0.99872229999999995</v>
      </c>
      <c r="Q7978">
        <v>-1.013414E-2</v>
      </c>
      <c r="R7978">
        <v>-4.9510909999999998E-2</v>
      </c>
      <c r="S7978">
        <v>2.9863590000000002</v>
      </c>
      <c r="T7978">
        <v>-0.22095870000000001</v>
      </c>
      <c r="U7978">
        <v>-0.30896000000000001</v>
      </c>
      <c r="V7978">
        <v>4.4114340000000002E-2</v>
      </c>
      <c r="W7978">
        <v>4.3938650000000003E-3</v>
      </c>
      <c r="X7978">
        <v>0.99901680000000004</v>
      </c>
      <c r="Y7978">
        <v>9.7279760000000007E-2</v>
      </c>
      <c r="Z7978">
        <v>-3.1859800000000001E-3</v>
      </c>
      <c r="AA7978">
        <v>0.99525200000000003</v>
      </c>
      <c r="AB7978">
        <v>22</v>
      </c>
      <c r="AC7978">
        <v>0.74540000000001705</v>
      </c>
      <c r="AD7978">
        <v>-6.4288000000000095E-2</v>
      </c>
      <c r="AE7978">
        <v>-8.9260000000003004E-2</v>
      </c>
      <c r="AF7978">
        <v>8.4607991174490693E-2</v>
      </c>
      <c r="AG7978">
        <v>-6.4288000000000095E-2</v>
      </c>
      <c r="AH7978">
        <v>0.74044185770734905</v>
      </c>
      <c r="AI7978">
        <v>94.930272144379103</v>
      </c>
      <c r="AJ7978">
        <v>83.481262678038803</v>
      </c>
      <c r="AK7978">
        <v>0.74802780948283798</v>
      </c>
      <c r="AL7978">
        <v>89.748249263113195</v>
      </c>
      <c r="AM7978">
        <v>87.471589488984094</v>
      </c>
      <c r="AN7978">
        <v>0.99999997386275596</v>
      </c>
    </row>
    <row r="7979" spans="1:40" x14ac:dyDescent="0.25">
      <c r="A7979" t="str">
        <f>"20190312154117327"</f>
        <v>20190312154117327</v>
      </c>
      <c r="B7979" t="str">
        <f>"1552376477324258"</f>
        <v>1552376477324258</v>
      </c>
      <c r="C7979" t="s">
        <v>40</v>
      </c>
      <c r="D7979">
        <v>4.2913079999999999</v>
      </c>
      <c r="E7979">
        <v>0.52090590000000003</v>
      </c>
      <c r="F7979" t="s">
        <v>41</v>
      </c>
      <c r="G7979">
        <v>-329.42230000000001</v>
      </c>
      <c r="H7979">
        <v>1.0531469999999901</v>
      </c>
      <c r="I7979">
        <v>17.515899999999998</v>
      </c>
      <c r="J7979">
        <v>-330.07029999999997</v>
      </c>
      <c r="K7979">
        <v>1.1099300000000001</v>
      </c>
      <c r="L7979">
        <v>17.59442</v>
      </c>
      <c r="M7979">
        <v>0.99987740000000003</v>
      </c>
      <c r="N7979">
        <v>0</v>
      </c>
      <c r="O7979">
        <v>-5.7066299999999999E-3</v>
      </c>
      <c r="P7979">
        <v>0.99868469999999998</v>
      </c>
      <c r="Q7979">
        <v>-1.016749E-2</v>
      </c>
      <c r="R7979">
        <v>-5.025686E-2</v>
      </c>
      <c r="S7979">
        <v>2.986145</v>
      </c>
      <c r="T7979">
        <v>-0.22329280000000001</v>
      </c>
      <c r="U7979">
        <v>-0.31118770000000001</v>
      </c>
      <c r="V7979">
        <v>4.4560349999999999E-2</v>
      </c>
      <c r="W7979">
        <v>4.3561959999999997E-3</v>
      </c>
      <c r="X7979">
        <v>0.99899720000000003</v>
      </c>
      <c r="Y7979">
        <v>9.7716960000000005E-2</v>
      </c>
      <c r="Z7979">
        <v>-3.2135589999999999E-3</v>
      </c>
      <c r="AA7979">
        <v>0.99520900000000001</v>
      </c>
      <c r="AB7979">
        <v>22</v>
      </c>
      <c r="AC7979">
        <v>0.64799999999996705</v>
      </c>
      <c r="AD7979">
        <v>-5.6783E-2</v>
      </c>
      <c r="AE7979">
        <v>-7.8520000000001006E-2</v>
      </c>
      <c r="AF7979">
        <v>7.4258475701163104E-2</v>
      </c>
      <c r="AG7979">
        <v>-5.6783E-2</v>
      </c>
      <c r="AH7979">
        <v>0.64356733903087404</v>
      </c>
      <c r="AI7979">
        <v>95.009178437965801</v>
      </c>
      <c r="AJ7979">
        <v>83.417993333019993</v>
      </c>
      <c r="AK7979">
        <v>0.65032111312008001</v>
      </c>
      <c r="AL7979">
        <v>89.750407565921904</v>
      </c>
      <c r="AM7979">
        <v>87.446010092202599</v>
      </c>
      <c r="AN7979">
        <v>1.00000000342177</v>
      </c>
    </row>
    <row r="7980" spans="1:40" x14ac:dyDescent="0.25">
      <c r="A7980" t="str">
        <f>"20190312154117338"</f>
        <v>20190312154117338</v>
      </c>
      <c r="B7980" t="str">
        <f>"1552376477334018"</f>
        <v>1552376477334018</v>
      </c>
      <c r="C7980" t="s">
        <v>40</v>
      </c>
      <c r="D7980">
        <v>4.2764329999999999</v>
      </c>
      <c r="E7980">
        <v>0.5208988</v>
      </c>
      <c r="F7980" t="s">
        <v>41</v>
      </c>
      <c r="G7980">
        <v>-329.23570000000001</v>
      </c>
      <c r="H7980">
        <v>1.046853</v>
      </c>
      <c r="I7980">
        <v>17.506550000000001</v>
      </c>
      <c r="J7980">
        <v>-329.95650000000001</v>
      </c>
      <c r="K7980">
        <v>1.1099239999999999</v>
      </c>
      <c r="L7980">
        <v>17.593409999999999</v>
      </c>
      <c r="M7980">
        <v>0.99987559999999998</v>
      </c>
      <c r="N7980">
        <v>0</v>
      </c>
      <c r="O7980">
        <v>-6.0171399999999998E-3</v>
      </c>
      <c r="P7980">
        <v>0.99865360000000003</v>
      </c>
      <c r="Q7980">
        <v>-1.0184779999999999E-2</v>
      </c>
      <c r="R7980">
        <v>-5.0866139999999997E-2</v>
      </c>
      <c r="S7980">
        <v>2.9858699999999998</v>
      </c>
      <c r="T7980">
        <v>-0.22563559999999999</v>
      </c>
      <c r="U7980">
        <v>-0.3139343</v>
      </c>
      <c r="V7980">
        <v>4.4859650000000001E-2</v>
      </c>
      <c r="W7980">
        <v>4.3352149999999999E-3</v>
      </c>
      <c r="X7980">
        <v>0.99898390000000004</v>
      </c>
      <c r="Y7980">
        <v>9.8316689999999998E-2</v>
      </c>
      <c r="Z7980">
        <v>-3.2465240000000002E-3</v>
      </c>
      <c r="AA7980">
        <v>0.99514990000000003</v>
      </c>
      <c r="AB7980">
        <v>22</v>
      </c>
      <c r="AC7980">
        <v>0.720799999999997</v>
      </c>
      <c r="AD7980">
        <v>-6.3070999999999794E-2</v>
      </c>
      <c r="AE7980">
        <v>-8.6860000000001394E-2</v>
      </c>
      <c r="AF7980">
        <v>8.1902700093215097E-2</v>
      </c>
      <c r="AG7980">
        <v>-6.3070999999999794E-2</v>
      </c>
      <c r="AH7980">
        <v>0.71590677538757197</v>
      </c>
      <c r="AI7980">
        <v>95.002266339941997</v>
      </c>
      <c r="AJ7980">
        <v>83.473500436216199</v>
      </c>
      <c r="AK7980">
        <v>0.72333153834834996</v>
      </c>
      <c r="AL7980">
        <v>89.751609701000504</v>
      </c>
      <c r="AM7980">
        <v>87.428844381290901</v>
      </c>
      <c r="AN7980">
        <v>1.00000000737321</v>
      </c>
    </row>
    <row r="7981" spans="1:40" x14ac:dyDescent="0.25">
      <c r="A7981" t="str">
        <f>"20190312154117350"</f>
        <v>20190312154117350</v>
      </c>
      <c r="B7981" t="str">
        <f>"1552376477343778"</f>
        <v>1552376477343778</v>
      </c>
      <c r="C7981" t="s">
        <v>40</v>
      </c>
      <c r="D7981">
        <v>4.2479019999999998</v>
      </c>
      <c r="E7981">
        <v>0.52090909999999901</v>
      </c>
      <c r="F7981" t="s">
        <v>41</v>
      </c>
      <c r="G7981">
        <v>-329.0412</v>
      </c>
      <c r="H7981">
        <v>1.0402530000000001</v>
      </c>
      <c r="I7981">
        <v>17.496320000000001</v>
      </c>
      <c r="J7981">
        <v>-329.83170000000001</v>
      </c>
      <c r="K7981">
        <v>1.1099159999999999</v>
      </c>
      <c r="L7981">
        <v>17.59225</v>
      </c>
      <c r="M7981">
        <v>0.99987349999999997</v>
      </c>
      <c r="N7981">
        <v>0</v>
      </c>
      <c r="O7981">
        <v>-6.3696250000000003E-3</v>
      </c>
      <c r="P7981">
        <v>0.99862340000000005</v>
      </c>
      <c r="Q7981">
        <v>-1.01259E-2</v>
      </c>
      <c r="R7981">
        <v>-5.1467150000000003E-2</v>
      </c>
      <c r="S7981">
        <v>2.9855960000000001</v>
      </c>
      <c r="T7981">
        <v>-0.22720360000000001</v>
      </c>
      <c r="U7981">
        <v>-0.31564330000000002</v>
      </c>
      <c r="V7981">
        <v>4.5109030000000001E-2</v>
      </c>
      <c r="W7981">
        <v>4.3900509999999998E-3</v>
      </c>
      <c r="X7981">
        <v>0.99897239999999998</v>
      </c>
      <c r="Y7981">
        <v>9.8535499999999998E-2</v>
      </c>
      <c r="Z7981">
        <v>-3.2508039999999999E-3</v>
      </c>
      <c r="AA7981">
        <v>0.99512820000000002</v>
      </c>
      <c r="AB7981">
        <v>22</v>
      </c>
      <c r="AC7981">
        <v>0.79050000000000797</v>
      </c>
      <c r="AD7981">
        <v>-6.9662999999999795E-2</v>
      </c>
      <c r="AE7981">
        <v>-9.5929999999999099E-2</v>
      </c>
      <c r="AF7981">
        <v>9.0201982860931201E-2</v>
      </c>
      <c r="AG7981">
        <v>-6.9662999999999795E-2</v>
      </c>
      <c r="AH7981">
        <v>0.78508652223321995</v>
      </c>
      <c r="AI7981">
        <v>95.037770198277997</v>
      </c>
      <c r="AJ7981">
        <v>83.4457796027949</v>
      </c>
      <c r="AK7981">
        <v>0.79331593874905604</v>
      </c>
      <c r="AL7981">
        <v>89.748467792005101</v>
      </c>
      <c r="AM7981">
        <v>87.414540647545806</v>
      </c>
      <c r="AN7981">
        <v>0.999999976548541</v>
      </c>
    </row>
    <row r="7982" spans="1:40" x14ac:dyDescent="0.25">
      <c r="A7982" t="str">
        <f>"20190312154117362"</f>
        <v>20190312154117362</v>
      </c>
      <c r="B7982" t="str">
        <f>"1552376477354514"</f>
        <v>1552376477354514</v>
      </c>
      <c r="C7982" t="s">
        <v>40</v>
      </c>
      <c r="D7982">
        <v>4.2751999999999999</v>
      </c>
      <c r="E7982">
        <v>0.52090409999999998</v>
      </c>
      <c r="F7982" t="s">
        <v>41</v>
      </c>
      <c r="G7982">
        <v>-329.03489999999999</v>
      </c>
      <c r="H7982">
        <v>1.0488839999999999</v>
      </c>
      <c r="I7982">
        <v>17.507200000000001</v>
      </c>
      <c r="J7982">
        <v>-329.72620000000001</v>
      </c>
      <c r="K7982">
        <v>1.109909</v>
      </c>
      <c r="L7982">
        <v>17.591249999999999</v>
      </c>
      <c r="M7982">
        <v>0.99987170000000003</v>
      </c>
      <c r="N7982">
        <v>0</v>
      </c>
      <c r="O7982">
        <v>-6.6721460000000003E-3</v>
      </c>
      <c r="P7982">
        <v>0.9985927</v>
      </c>
      <c r="Q7982">
        <v>-1.0065380000000001E-2</v>
      </c>
      <c r="R7982">
        <v>-5.2070539999999998E-2</v>
      </c>
      <c r="S7982">
        <v>2.9854430000000001</v>
      </c>
      <c r="T7982">
        <v>-0.2285537</v>
      </c>
      <c r="U7982">
        <v>-0.31747439999999999</v>
      </c>
      <c r="V7982">
        <v>4.541038E-2</v>
      </c>
      <c r="W7982">
        <v>4.446317E-3</v>
      </c>
      <c r="X7982">
        <v>0.99895849999999997</v>
      </c>
      <c r="Y7982">
        <v>9.8840150000000002E-2</v>
      </c>
      <c r="Z7982">
        <v>-3.2586780000000001E-3</v>
      </c>
      <c r="AA7982">
        <v>0.99509800000000004</v>
      </c>
      <c r="AB7982">
        <v>22</v>
      </c>
      <c r="AC7982">
        <v>0.69130000000001202</v>
      </c>
      <c r="AD7982">
        <v>-6.10250000000001E-2</v>
      </c>
      <c r="AE7982">
        <v>-8.4049999999997696E-2</v>
      </c>
      <c r="AF7982">
        <v>7.8829843842964195E-2</v>
      </c>
      <c r="AG7982">
        <v>-6.10250000000001E-2</v>
      </c>
      <c r="AH7982">
        <v>0.68657320719868498</v>
      </c>
      <c r="AI7982">
        <v>95.046318533906899</v>
      </c>
      <c r="AJ7982">
        <v>83.450187675369094</v>
      </c>
      <c r="AK7982">
        <v>0.69377299150975502</v>
      </c>
      <c r="AL7982">
        <v>89.745243956639598</v>
      </c>
      <c r="AM7982">
        <v>87.397256043220096</v>
      </c>
      <c r="AN7982">
        <v>0.99999997853442901</v>
      </c>
    </row>
    <row r="7983" spans="1:40" x14ac:dyDescent="0.25">
      <c r="A7983" t="str">
        <f>"20190312154117373"</f>
        <v>20190312154117373</v>
      </c>
      <c r="B7983" t="str">
        <f>"1552376477364273"</f>
        <v>1552376477364273</v>
      </c>
      <c r="C7983" t="s">
        <v>40</v>
      </c>
      <c r="D7983">
        <v>4.2472139999999996</v>
      </c>
      <c r="E7983">
        <v>0.52092640000000001</v>
      </c>
      <c r="F7983" t="s">
        <v>41</v>
      </c>
      <c r="G7983">
        <v>-328.8417</v>
      </c>
      <c r="H7983">
        <v>1.041858</v>
      </c>
      <c r="I7983">
        <v>17.49643</v>
      </c>
      <c r="J7983">
        <v>-329.61290000000002</v>
      </c>
      <c r="K7983">
        <v>1.1099019999999999</v>
      </c>
      <c r="L7983">
        <v>17.590119999999999</v>
      </c>
      <c r="M7983">
        <v>0.99986929999999996</v>
      </c>
      <c r="N7983">
        <v>0</v>
      </c>
      <c r="O7983">
        <v>-7.0032829999999999E-3</v>
      </c>
      <c r="P7983">
        <v>0.99856350000000005</v>
      </c>
      <c r="Q7983">
        <v>-9.8826650000000005E-3</v>
      </c>
      <c r="R7983">
        <v>-5.2663620000000001E-2</v>
      </c>
      <c r="S7983">
        <v>2.9852599999999998</v>
      </c>
      <c r="T7983">
        <v>-0.22964409999999999</v>
      </c>
      <c r="U7983">
        <v>-0.3191833</v>
      </c>
      <c r="V7983">
        <v>4.5673110000000003E-2</v>
      </c>
      <c r="W7983">
        <v>4.625606E-3</v>
      </c>
      <c r="X7983">
        <v>0.99894570000000005</v>
      </c>
      <c r="Y7983">
        <v>9.9077979999999996E-2</v>
      </c>
      <c r="Z7983">
        <v>-3.2580270000000001E-3</v>
      </c>
      <c r="AA7983">
        <v>0.99507429999999997</v>
      </c>
      <c r="AB7983">
        <v>22</v>
      </c>
      <c r="AC7983">
        <v>0.77120000000002098</v>
      </c>
      <c r="AD7983">
        <v>-6.8043999999999993E-2</v>
      </c>
      <c r="AE7983">
        <v>-9.3690000000002202E-2</v>
      </c>
      <c r="AF7983">
        <v>8.7614061443094401E-2</v>
      </c>
      <c r="AG7983">
        <v>-6.8043999999999993E-2</v>
      </c>
      <c r="AH7983">
        <v>0.76596118589570805</v>
      </c>
      <c r="AI7983">
        <v>95.043814810043699</v>
      </c>
      <c r="AJ7983">
        <v>83.474613186409499</v>
      </c>
      <c r="AK7983">
        <v>0.773952678138214</v>
      </c>
      <c r="AL7983">
        <v>89.734971345550804</v>
      </c>
      <c r="AM7983">
        <v>87.382184786610395</v>
      </c>
      <c r="AN7983">
        <v>0.99999997037821398</v>
      </c>
    </row>
    <row r="7984" spans="1:40" x14ac:dyDescent="0.25">
      <c r="A7984" t="str">
        <f>"20190312154117383"</f>
        <v>20190312154117383</v>
      </c>
      <c r="B7984" t="str">
        <f>"1552376477374035"</f>
        <v>1552376477374035</v>
      </c>
      <c r="C7984" t="s">
        <v>40</v>
      </c>
      <c r="D7984">
        <v>4.2966930000000003</v>
      </c>
      <c r="E7984">
        <v>0.52093089999999997</v>
      </c>
      <c r="F7984" t="s">
        <v>41</v>
      </c>
      <c r="G7984">
        <v>-328.83510000000001</v>
      </c>
      <c r="H7984">
        <v>1.049971</v>
      </c>
      <c r="I7984">
        <v>17.506209999999999</v>
      </c>
      <c r="J7984">
        <v>-329.50819999999999</v>
      </c>
      <c r="K7984">
        <v>1.109893</v>
      </c>
      <c r="L7984">
        <v>17.589020000000001</v>
      </c>
      <c r="M7984">
        <v>0.99986719999999896</v>
      </c>
      <c r="N7984">
        <v>0</v>
      </c>
      <c r="O7984">
        <v>-7.3151010000000001E-3</v>
      </c>
      <c r="P7984">
        <v>0.99854080000000001</v>
      </c>
      <c r="Q7984">
        <v>-9.7303089999999995E-3</v>
      </c>
      <c r="R7984">
        <v>-5.311979E-2</v>
      </c>
      <c r="S7984">
        <v>2.9851070000000002</v>
      </c>
      <c r="T7984">
        <v>-0.2299842</v>
      </c>
      <c r="U7984">
        <v>-0.321106</v>
      </c>
      <c r="V7984">
        <v>4.5818089999999999E-2</v>
      </c>
      <c r="W7984">
        <v>4.7743780000000001E-3</v>
      </c>
      <c r="X7984">
        <v>0.9989384</v>
      </c>
      <c r="Y7984">
        <v>9.9405789999999994E-2</v>
      </c>
      <c r="Z7984">
        <v>-3.2515500000000002E-3</v>
      </c>
      <c r="AA7984">
        <v>0.99504170000000003</v>
      </c>
      <c r="AB7984">
        <v>22</v>
      </c>
      <c r="AC7984">
        <v>0.67309999999997605</v>
      </c>
      <c r="AD7984">
        <v>-5.9922000000000003E-2</v>
      </c>
      <c r="AE7984">
        <v>-8.2810000000001993E-2</v>
      </c>
      <c r="AF7984">
        <v>7.7280134158884295E-2</v>
      </c>
      <c r="AG7984">
        <v>-5.9922000000000003E-2</v>
      </c>
      <c r="AH7984">
        <v>0.66846901600347797</v>
      </c>
      <c r="AI7984">
        <v>95.088627840079795</v>
      </c>
      <c r="AJ7984">
        <v>83.405444442269001</v>
      </c>
      <c r="AK7984">
        <v>0.67558396263993203</v>
      </c>
      <c r="AL7984">
        <v>89.726447254140794</v>
      </c>
      <c r="AM7984">
        <v>87.373867515126506</v>
      </c>
      <c r="AN7984">
        <v>1.0000000095255399</v>
      </c>
    </row>
    <row r="7985" spans="1:40" x14ac:dyDescent="0.25">
      <c r="A7985" t="str">
        <f>"20190312154117393"</f>
        <v>20190312154117393</v>
      </c>
      <c r="B7985" t="str">
        <f>"1552376477383794"</f>
        <v>1552376477383794</v>
      </c>
      <c r="C7985" t="s">
        <v>40</v>
      </c>
      <c r="D7985">
        <v>4.3201280000000004</v>
      </c>
      <c r="E7985">
        <v>0.52092170000000004</v>
      </c>
      <c r="F7985" t="s">
        <v>41</v>
      </c>
      <c r="G7985">
        <v>-328.64280000000002</v>
      </c>
      <c r="H7985">
        <v>1.043083</v>
      </c>
      <c r="I7985">
        <v>17.495239999999999</v>
      </c>
      <c r="J7985">
        <v>-329.40010000000001</v>
      </c>
      <c r="K7985">
        <v>1.1098859999999999</v>
      </c>
      <c r="L7985">
        <v>17.587889999999899</v>
      </c>
      <c r="M7985">
        <v>0.9998648</v>
      </c>
      <c r="N7985">
        <v>0</v>
      </c>
      <c r="O7985">
        <v>-7.6413469999999997E-3</v>
      </c>
      <c r="P7985">
        <v>0.99852529999999995</v>
      </c>
      <c r="Q7985">
        <v>-9.5644179999999999E-3</v>
      </c>
      <c r="R7985">
        <v>-5.3441389999999998E-2</v>
      </c>
      <c r="S7985">
        <v>2.984985</v>
      </c>
      <c r="T7985">
        <v>-0.23043630000000001</v>
      </c>
      <c r="U7985">
        <v>-0.32241819999999999</v>
      </c>
      <c r="V7985">
        <v>4.5814000000000001E-2</v>
      </c>
      <c r="W7985">
        <v>4.9369770000000004E-3</v>
      </c>
      <c r="X7985">
        <v>0.99893779999999999</v>
      </c>
      <c r="Y7985">
        <v>9.9517439999999999E-2</v>
      </c>
      <c r="Z7985">
        <v>-3.2371969999999998E-3</v>
      </c>
      <c r="AA7985">
        <v>0.99503050000000004</v>
      </c>
      <c r="AB7985">
        <v>22</v>
      </c>
      <c r="AC7985">
        <v>0.75729999999998598</v>
      </c>
      <c r="AD7985">
        <v>-6.6803000000000098E-2</v>
      </c>
      <c r="AE7985">
        <v>-9.2649999999998997E-2</v>
      </c>
      <c r="AF7985">
        <v>8.6199033879138701E-2</v>
      </c>
      <c r="AG7985">
        <v>-6.6803000000000098E-2</v>
      </c>
      <c r="AH7985">
        <v>0.75221895634284097</v>
      </c>
      <c r="AI7985">
        <v>95.042178861469097</v>
      </c>
      <c r="AJ7985">
        <v>83.462819142772005</v>
      </c>
      <c r="AK7985">
        <v>0.76008306949451898</v>
      </c>
      <c r="AL7985">
        <v>89.717130908722794</v>
      </c>
      <c r="AM7985">
        <v>87.374100036458501</v>
      </c>
      <c r="AN7985">
        <v>1.0000000123033601</v>
      </c>
    </row>
    <row r="7986" spans="1:40" x14ac:dyDescent="0.25">
      <c r="A7986" t="str">
        <f>"20190312154117404"</f>
        <v>20190312154117404</v>
      </c>
      <c r="B7986" t="str">
        <f>"1552376477394530"</f>
        <v>1552376477394530</v>
      </c>
      <c r="C7986" t="s">
        <v>40</v>
      </c>
      <c r="D7986">
        <v>4.2972149999999996</v>
      </c>
      <c r="E7986">
        <v>0.52094879999999999</v>
      </c>
      <c r="F7986" t="s">
        <v>41</v>
      </c>
      <c r="G7986">
        <v>-328.6361</v>
      </c>
      <c r="H7986">
        <v>1.050773</v>
      </c>
      <c r="I7986">
        <v>17.504829999999998</v>
      </c>
      <c r="J7986">
        <v>-329.29770000000002</v>
      </c>
      <c r="K7986">
        <v>1.1098790000000001</v>
      </c>
      <c r="L7986">
        <v>17.586760000000002</v>
      </c>
      <c r="M7986">
        <v>0.99986240000000004</v>
      </c>
      <c r="N7986">
        <v>0</v>
      </c>
      <c r="O7986">
        <v>-7.9569730000000009E-3</v>
      </c>
      <c r="P7986">
        <v>0.99849410000000005</v>
      </c>
      <c r="Q7986">
        <v>-9.6828439999999995E-3</v>
      </c>
      <c r="R7986">
        <v>-5.4003089999999997E-2</v>
      </c>
      <c r="S7986">
        <v>2.9848940000000002</v>
      </c>
      <c r="T7986">
        <v>-0.2309437</v>
      </c>
      <c r="U7986">
        <v>-0.32330320000000001</v>
      </c>
      <c r="V7986">
        <v>4.6060419999999998E-2</v>
      </c>
      <c r="W7986">
        <v>4.8149079999999997E-3</v>
      </c>
      <c r="X7986">
        <v>0.99892709999999996</v>
      </c>
      <c r="Y7986">
        <v>9.9498030000000001E-2</v>
      </c>
      <c r="Z7986">
        <v>-3.2192940000000001E-3</v>
      </c>
      <c r="AA7986">
        <v>0.99503249999999999</v>
      </c>
      <c r="AB7986">
        <v>22</v>
      </c>
      <c r="AC7986">
        <v>0.66160000000002095</v>
      </c>
      <c r="AD7986">
        <v>-5.9106000000000103E-2</v>
      </c>
      <c r="AE7986">
        <v>-8.1930000000003306E-2</v>
      </c>
      <c r="AF7986">
        <v>7.6064591816392593E-2</v>
      </c>
      <c r="AG7986">
        <v>-5.9106000000000103E-2</v>
      </c>
      <c r="AH7986">
        <v>0.65706601952769705</v>
      </c>
      <c r="AI7986">
        <v>95.1062553315152</v>
      </c>
      <c r="AJ7986">
        <v>83.396604635254704</v>
      </c>
      <c r="AK7986">
        <v>0.664089674202337</v>
      </c>
      <c r="AL7986">
        <v>89.724125040243393</v>
      </c>
      <c r="AM7986">
        <v>87.3599677852051</v>
      </c>
      <c r="AN7986">
        <v>1.00000004837201</v>
      </c>
    </row>
    <row r="7987" spans="1:40" x14ac:dyDescent="0.25">
      <c r="A7987" t="str">
        <f>"20190312154117416"</f>
        <v>20190312154117416</v>
      </c>
      <c r="B7987" t="str">
        <f>"1552376477404289"</f>
        <v>1552376477404289</v>
      </c>
      <c r="C7987" t="s">
        <v>40</v>
      </c>
      <c r="D7987">
        <v>4.3005279999999999</v>
      </c>
      <c r="E7987">
        <v>0.5209876</v>
      </c>
      <c r="F7987" t="s">
        <v>41</v>
      </c>
      <c r="G7987">
        <v>-328.44459999999998</v>
      </c>
      <c r="H7987">
        <v>1.04338</v>
      </c>
      <c r="I7987">
        <v>17.493819999999999</v>
      </c>
      <c r="J7987">
        <v>-329.18860000000001</v>
      </c>
      <c r="K7987">
        <v>1.1098779999999999</v>
      </c>
      <c r="L7987">
        <v>17.585509999999999</v>
      </c>
      <c r="M7987">
        <v>0.99985979999999997</v>
      </c>
      <c r="N7987">
        <v>0</v>
      </c>
      <c r="O7987">
        <v>-8.2959690000000003E-3</v>
      </c>
      <c r="P7987">
        <v>0.99847850000000005</v>
      </c>
      <c r="Q7987">
        <v>-9.5854119999999998E-3</v>
      </c>
      <c r="R7987">
        <v>-5.430571E-2</v>
      </c>
      <c r="S7987">
        <v>2.9846499999999998</v>
      </c>
      <c r="T7987">
        <v>-0.23270099999999999</v>
      </c>
      <c r="U7987">
        <v>-0.32516479999999998</v>
      </c>
      <c r="V7987">
        <v>4.6024799999999998E-2</v>
      </c>
      <c r="W7987">
        <v>4.9093210000000003E-3</v>
      </c>
      <c r="X7987">
        <v>0.99892820000000004</v>
      </c>
      <c r="Y7987">
        <v>9.9778790000000006E-2</v>
      </c>
      <c r="Z7987">
        <v>-3.2284589999999999E-3</v>
      </c>
      <c r="AA7987">
        <v>0.99500440000000001</v>
      </c>
      <c r="AB7987">
        <v>22</v>
      </c>
      <c r="AC7987">
        <v>0.74400000000002797</v>
      </c>
      <c r="AD7987">
        <v>-6.6498000000000099E-2</v>
      </c>
      <c r="AE7987">
        <v>-9.1689999999999799E-2</v>
      </c>
      <c r="AF7987">
        <v>8.4846326247443496E-2</v>
      </c>
      <c r="AG7987">
        <v>-6.6498000000000099E-2</v>
      </c>
      <c r="AH7987">
        <v>0.73892049332540999</v>
      </c>
      <c r="AI7987">
        <v>95.109001282751507</v>
      </c>
      <c r="AJ7987">
        <v>83.449716474936494</v>
      </c>
      <c r="AK7987">
        <v>0.74674251153791604</v>
      </c>
      <c r="AL7987">
        <v>89.718715487016993</v>
      </c>
      <c r="AM7987">
        <v>87.362009422430205</v>
      </c>
      <c r="AN7987">
        <v>0.99999996620148002</v>
      </c>
    </row>
    <row r="7988" spans="1:40" x14ac:dyDescent="0.25">
      <c r="A7988" t="str">
        <f>"20190312154117427"</f>
        <v>20190312154117427</v>
      </c>
      <c r="B7988" t="str">
        <f>"1552376477423810"</f>
        <v>1552376477423810</v>
      </c>
      <c r="C7988" t="s">
        <v>40</v>
      </c>
      <c r="D7988">
        <v>4.3055279999999998</v>
      </c>
      <c r="E7988">
        <v>0.52106200000000003</v>
      </c>
      <c r="F7988" t="s">
        <v>41</v>
      </c>
      <c r="G7988">
        <v>-328.43790000000001</v>
      </c>
      <c r="H7988">
        <v>1.0510250000000001</v>
      </c>
      <c r="I7988">
        <v>17.503450000000001</v>
      </c>
      <c r="J7988">
        <v>-329.07260000000002</v>
      </c>
      <c r="K7988">
        <v>1.1098749999999999</v>
      </c>
      <c r="L7988">
        <v>17.584139999999898</v>
      </c>
      <c r="M7988">
        <v>0.99985670000000004</v>
      </c>
      <c r="N7988">
        <v>0</v>
      </c>
      <c r="O7988">
        <v>-8.6647600000000005E-3</v>
      </c>
      <c r="P7988">
        <v>0.99844829999999996</v>
      </c>
      <c r="Q7988">
        <v>-9.5892970000000001E-3</v>
      </c>
      <c r="R7988">
        <v>-5.4859110000000003E-2</v>
      </c>
      <c r="S7988">
        <v>2.9845579999999998</v>
      </c>
      <c r="T7988">
        <v>-0.23402049999999999</v>
      </c>
      <c r="U7988">
        <v>-0.32623289999999999</v>
      </c>
      <c r="V7988">
        <v>4.6210210000000002E-2</v>
      </c>
      <c r="W7988">
        <v>4.9012150000000004E-3</v>
      </c>
      <c r="X7988">
        <v>0.99891969999999997</v>
      </c>
      <c r="Y7988">
        <v>9.9765019999999996E-2</v>
      </c>
      <c r="Z7988">
        <v>-3.217424E-3</v>
      </c>
      <c r="AA7988">
        <v>0.99500580000000005</v>
      </c>
      <c r="AB7988">
        <v>22</v>
      </c>
      <c r="AC7988">
        <v>0.63470000000000903</v>
      </c>
      <c r="AD7988">
        <v>-5.8849999999999798E-2</v>
      </c>
      <c r="AE7988">
        <v>-8.0689999999997E-2</v>
      </c>
      <c r="AF7988">
        <v>7.4556088238533699E-2</v>
      </c>
      <c r="AG7988">
        <v>-5.8849999999999798E-2</v>
      </c>
      <c r="AH7988">
        <v>0.63004494543141198</v>
      </c>
      <c r="AI7988">
        <v>95.299525271991897</v>
      </c>
      <c r="AJ7988">
        <v>83.251313425047201</v>
      </c>
      <c r="AK7988">
        <v>0.63716447331682202</v>
      </c>
      <c r="AL7988">
        <v>89.719179937834198</v>
      </c>
      <c r="AM7988">
        <v>87.351374926729306</v>
      </c>
      <c r="AN7988">
        <v>0.99999998623240505</v>
      </c>
    </row>
    <row r="7989" spans="1:40" x14ac:dyDescent="0.25">
      <c r="A7989" t="str">
        <f>"20190312154117439"</f>
        <v>20190312154117439</v>
      </c>
      <c r="B7989" t="str">
        <f>"1552376477434547"</f>
        <v>1552376477434547</v>
      </c>
      <c r="C7989" t="s">
        <v>40</v>
      </c>
      <c r="D7989">
        <v>4.3241829999999997</v>
      </c>
      <c r="E7989">
        <v>0.52108999999999905</v>
      </c>
      <c r="F7989" t="s">
        <v>41</v>
      </c>
      <c r="G7989">
        <v>-328.24630000000002</v>
      </c>
      <c r="H7989">
        <v>1.0443849999999999</v>
      </c>
      <c r="I7989">
        <v>17.49296</v>
      </c>
      <c r="J7989">
        <v>-328.95609999999999</v>
      </c>
      <c r="K7989">
        <v>1.1098699999999999</v>
      </c>
      <c r="L7989">
        <v>17.582729999999898</v>
      </c>
      <c r="M7989">
        <v>0.99985329999999994</v>
      </c>
      <c r="N7989">
        <v>0</v>
      </c>
      <c r="O7989">
        <v>-9.0378390000000006E-3</v>
      </c>
      <c r="P7989">
        <v>0.99842160000000002</v>
      </c>
      <c r="Q7989">
        <v>-9.5571340000000001E-3</v>
      </c>
      <c r="R7989">
        <v>-5.534414E-2</v>
      </c>
      <c r="S7989">
        <v>2.9844059999999999</v>
      </c>
      <c r="T7989">
        <v>-0.23642260000000001</v>
      </c>
      <c r="U7989">
        <v>-0.32839970000000002</v>
      </c>
      <c r="V7989">
        <v>4.6322790000000003E-2</v>
      </c>
      <c r="W7989">
        <v>4.9303020000000001E-3</v>
      </c>
      <c r="X7989">
        <v>0.99891439999999998</v>
      </c>
      <c r="Y7989">
        <v>0.1001075</v>
      </c>
      <c r="Z7989">
        <v>-3.2344740000000002E-3</v>
      </c>
      <c r="AA7989">
        <v>0.99497139999999995</v>
      </c>
      <c r="AB7989">
        <v>22</v>
      </c>
      <c r="AC7989">
        <v>0.70979999999997201</v>
      </c>
      <c r="AD7989">
        <v>-6.5485000000000002E-2</v>
      </c>
      <c r="AE7989">
        <v>-8.9769999999997893E-2</v>
      </c>
      <c r="AF7989">
        <v>8.2658118312092493E-2</v>
      </c>
      <c r="AG7989">
        <v>-6.5485000000000002E-2</v>
      </c>
      <c r="AH7989">
        <v>0.704678893708097</v>
      </c>
      <c r="AI7989">
        <v>95.273235510612295</v>
      </c>
      <c r="AJ7989">
        <v>83.309834939289004</v>
      </c>
      <c r="AK7989">
        <v>0.71252578408473299</v>
      </c>
      <c r="AL7989">
        <v>89.717513371552997</v>
      </c>
      <c r="AM7989">
        <v>87.344917347781902</v>
      </c>
      <c r="AN7989">
        <v>1.00000004363927</v>
      </c>
    </row>
    <row r="7990" spans="1:40" x14ac:dyDescent="0.25">
      <c r="A7990" t="str">
        <f>"20190312154117450"</f>
        <v>20190312154117450</v>
      </c>
      <c r="B7990" t="str">
        <f>"1552376477444306"</f>
        <v>1552376477444306</v>
      </c>
      <c r="C7990" t="s">
        <v>40</v>
      </c>
      <c r="D7990">
        <v>4.3167210000000003</v>
      </c>
      <c r="E7990">
        <v>0.52105119999999905</v>
      </c>
      <c r="F7990" t="s">
        <v>41</v>
      </c>
      <c r="G7990">
        <v>-328.05270000000002</v>
      </c>
      <c r="H7990">
        <v>1.0378810000000001</v>
      </c>
      <c r="I7990">
        <v>17.48265</v>
      </c>
      <c r="J7990">
        <v>-328.84750000000003</v>
      </c>
      <c r="K7990">
        <v>1.109866</v>
      </c>
      <c r="L7990">
        <v>17.581329999999902</v>
      </c>
      <c r="M7990">
        <v>0.99985020000000002</v>
      </c>
      <c r="N7990">
        <v>0</v>
      </c>
      <c r="O7990">
        <v>-9.3926610000000001E-3</v>
      </c>
      <c r="P7990">
        <v>0.99841250000000004</v>
      </c>
      <c r="Q7990">
        <v>-9.4288759999999992E-3</v>
      </c>
      <c r="R7990">
        <v>-5.5532560000000002E-2</v>
      </c>
      <c r="S7990">
        <v>2.9842219999999999</v>
      </c>
      <c r="T7990">
        <v>-0.2378007</v>
      </c>
      <c r="U7990">
        <v>-0.330047599999999</v>
      </c>
      <c r="V7990">
        <v>4.6156830000000003E-2</v>
      </c>
      <c r="W7990">
        <v>5.0552319999999998E-3</v>
      </c>
      <c r="X7990">
        <v>0.99892139999999996</v>
      </c>
      <c r="Y7990">
        <v>0.1003011</v>
      </c>
      <c r="Z7990">
        <v>-3.232909E-3</v>
      </c>
      <c r="AA7990">
        <v>0.9949519</v>
      </c>
      <c r="AB7990">
        <v>22</v>
      </c>
      <c r="AC7990">
        <v>0.79480000000000905</v>
      </c>
      <c r="AD7990">
        <v>-7.1984999999999896E-2</v>
      </c>
      <c r="AE7990">
        <v>-9.8679999999998103E-2</v>
      </c>
      <c r="AF7990">
        <v>9.0478648420779406E-2</v>
      </c>
      <c r="AG7990">
        <v>-7.1984999999999896E-2</v>
      </c>
      <c r="AH7990">
        <v>0.78931550076010204</v>
      </c>
      <c r="AI7990">
        <v>95.177201594659806</v>
      </c>
      <c r="AJ7990">
        <v>83.460769300558795</v>
      </c>
      <c r="AK7990">
        <v>0.79773879546203696</v>
      </c>
      <c r="AL7990">
        <v>89.710355304170704</v>
      </c>
      <c r="AM7990">
        <v>87.354434648335797</v>
      </c>
      <c r="AN7990">
        <v>0.99999998585209104</v>
      </c>
    </row>
    <row r="7991" spans="1:40" x14ac:dyDescent="0.25">
      <c r="A7991" t="str">
        <f>"20190312154117461"</f>
        <v>20190312154117461</v>
      </c>
      <c r="B7991" t="str">
        <f>"1552376477454065"</f>
        <v>1552376477454065</v>
      </c>
      <c r="C7991" t="s">
        <v>40</v>
      </c>
      <c r="D7991">
        <v>4.3196180000000002</v>
      </c>
      <c r="E7991">
        <v>0.52104779999999995</v>
      </c>
      <c r="F7991" t="s">
        <v>41</v>
      </c>
      <c r="G7991">
        <v>-328.04759999999999</v>
      </c>
      <c r="H7991">
        <v>1.0462720000000001</v>
      </c>
      <c r="I7991">
        <v>17.492629999999998</v>
      </c>
      <c r="J7991">
        <v>-328.7337</v>
      </c>
      <c r="K7991">
        <v>1.109861</v>
      </c>
      <c r="L7991">
        <v>17.57986</v>
      </c>
      <c r="M7991">
        <v>0.99984649999999997</v>
      </c>
      <c r="N7991">
        <v>0</v>
      </c>
      <c r="O7991">
        <v>-9.7676240000000008E-3</v>
      </c>
      <c r="P7991">
        <v>0.99837880000000001</v>
      </c>
      <c r="Q7991">
        <v>-9.4985090000000005E-3</v>
      </c>
      <c r="R7991">
        <v>-5.6123520000000003E-2</v>
      </c>
      <c r="S7991">
        <v>2.9841609999999998</v>
      </c>
      <c r="T7991">
        <v>-0.2372358</v>
      </c>
      <c r="U7991">
        <v>-0.33023069999999999</v>
      </c>
      <c r="V7991">
        <v>4.637376E-2</v>
      </c>
      <c r="W7991">
        <v>4.9822759999999999E-3</v>
      </c>
      <c r="X7991">
        <v>0.99891169999999996</v>
      </c>
      <c r="Y7991">
        <v>9.9993960000000007E-2</v>
      </c>
      <c r="Z7991">
        <v>-3.1834889999999999E-3</v>
      </c>
      <c r="AA7991">
        <v>0.99498299999999995</v>
      </c>
      <c r="AB7991">
        <v>22</v>
      </c>
      <c r="AC7991">
        <v>0.68610000000001004</v>
      </c>
      <c r="AD7991">
        <v>-6.3589000000000104E-2</v>
      </c>
      <c r="AE7991">
        <v>-8.7230000000001695E-2</v>
      </c>
      <c r="AF7991">
        <v>7.9848579656571606E-2</v>
      </c>
      <c r="AG7991">
        <v>-6.3589000000000104E-2</v>
      </c>
      <c r="AH7991">
        <v>0.68116133606245099</v>
      </c>
      <c r="AI7991">
        <v>95.297257958045194</v>
      </c>
      <c r="AJ7991">
        <v>83.314062712928205</v>
      </c>
      <c r="AK7991">
        <v>0.68876710312017297</v>
      </c>
      <c r="AL7991">
        <v>89.714535422253704</v>
      </c>
      <c r="AM7991">
        <v>87.341992914366699</v>
      </c>
      <c r="AN7991">
        <v>0.99999996654378298</v>
      </c>
    </row>
    <row r="7992" spans="1:40" x14ac:dyDescent="0.25">
      <c r="A7992" t="str">
        <f>"20190312154117473"</f>
        <v>20190312154117473</v>
      </c>
      <c r="B7992" t="str">
        <f>"1552376477463827"</f>
        <v>1552376477463827</v>
      </c>
      <c r="C7992" t="s">
        <v>40</v>
      </c>
      <c r="D7992">
        <v>4.351</v>
      </c>
      <c r="E7992">
        <v>0.52106339999999995</v>
      </c>
      <c r="F7992" t="s">
        <v>41</v>
      </c>
      <c r="G7992">
        <v>-327.85500000000002</v>
      </c>
      <c r="H7992">
        <v>1.0395909999999999</v>
      </c>
      <c r="I7992">
        <v>17.481729999999999</v>
      </c>
      <c r="J7992">
        <v>-328.61489999999998</v>
      </c>
      <c r="K7992">
        <v>1.109856</v>
      </c>
      <c r="L7992">
        <v>17.578250000000001</v>
      </c>
      <c r="M7992">
        <v>0.99984260000000003</v>
      </c>
      <c r="N7992">
        <v>0</v>
      </c>
      <c r="O7992">
        <v>-1.016355E-2</v>
      </c>
      <c r="P7992">
        <v>0.9983417</v>
      </c>
      <c r="Q7992">
        <v>-9.5830329999999995E-3</v>
      </c>
      <c r="R7992">
        <v>-5.6762899999999998E-2</v>
      </c>
      <c r="S7992">
        <v>2.9839169999999999</v>
      </c>
      <c r="T7992">
        <v>-0.23854510000000001</v>
      </c>
      <c r="U7992">
        <v>-0.33197019999999999</v>
      </c>
      <c r="V7992">
        <v>4.6617760000000001E-2</v>
      </c>
      <c r="W7992">
        <v>4.8940620000000002E-3</v>
      </c>
      <c r="X7992">
        <v>0.99890080000000003</v>
      </c>
      <c r="Y7992">
        <v>0.1001794</v>
      </c>
      <c r="Z7992">
        <v>-3.1770409999999998E-3</v>
      </c>
      <c r="AA7992">
        <v>0.99496430000000002</v>
      </c>
      <c r="AB7992">
        <v>22</v>
      </c>
      <c r="AC7992">
        <v>0.75989999999995905</v>
      </c>
      <c r="AD7992">
        <v>-7.0264999999999994E-2</v>
      </c>
      <c r="AE7992">
        <v>-9.6520000000001702E-2</v>
      </c>
      <c r="AF7992">
        <v>8.8050041646703603E-2</v>
      </c>
      <c r="AG7992">
        <v>-7.0264999999999994E-2</v>
      </c>
      <c r="AH7992">
        <v>0.75449334920099098</v>
      </c>
      <c r="AI7992">
        <v>95.284875662745804</v>
      </c>
      <c r="AJ7992">
        <v>83.343640717551807</v>
      </c>
      <c r="AK7992">
        <v>0.76285660123480303</v>
      </c>
      <c r="AL7992">
        <v>89.719589779910095</v>
      </c>
      <c r="AM7992">
        <v>87.327998655196595</v>
      </c>
      <c r="AN7992">
        <v>0.99999998781545796</v>
      </c>
    </row>
    <row r="7993" spans="1:40" x14ac:dyDescent="0.25">
      <c r="A7993" t="str">
        <f>"20190312154117486"</f>
        <v>20190312154117486</v>
      </c>
      <c r="B7993" t="str">
        <f>"1552376477474562"</f>
        <v>1552376477474562</v>
      </c>
      <c r="C7993" t="s">
        <v>40</v>
      </c>
      <c r="D7993">
        <v>4.3634389999999996</v>
      </c>
      <c r="E7993">
        <v>0.52111149999999995</v>
      </c>
      <c r="F7993" t="s">
        <v>41</v>
      </c>
      <c r="G7993">
        <v>-327.84890000000001</v>
      </c>
      <c r="H7993">
        <v>1.0482370000000001</v>
      </c>
      <c r="I7993">
        <v>17.49213</v>
      </c>
      <c r="J7993">
        <v>-328.49630000000002</v>
      </c>
      <c r="K7993">
        <v>1.1098440000000001</v>
      </c>
      <c r="L7993">
        <v>17.576599999999999</v>
      </c>
      <c r="M7993">
        <v>0.99983869999999997</v>
      </c>
      <c r="N7993">
        <v>0</v>
      </c>
      <c r="O7993">
        <v>-1.0563639999999999E-2</v>
      </c>
      <c r="P7993">
        <v>0.99832940000000003</v>
      </c>
      <c r="Q7993">
        <v>-9.4119000000000008E-3</v>
      </c>
      <c r="R7993">
        <v>-5.7008759999999999E-2</v>
      </c>
      <c r="S7993">
        <v>2.9837039999999999</v>
      </c>
      <c r="T7993">
        <v>-0.23988960000000001</v>
      </c>
      <c r="U7993">
        <v>-0.33392329999999998</v>
      </c>
      <c r="V7993">
        <v>4.6464230000000002E-2</v>
      </c>
      <c r="W7993">
        <v>5.0623839999999996E-3</v>
      </c>
      <c r="X7993">
        <v>0.99890710000000005</v>
      </c>
      <c r="Y7993">
        <v>0.1004297</v>
      </c>
      <c r="Z7993">
        <v>-3.1730090000000001E-3</v>
      </c>
      <c r="AA7993">
        <v>0.99493909999999997</v>
      </c>
      <c r="AB7993">
        <v>22</v>
      </c>
      <c r="AC7993">
        <v>0.64740000000000397</v>
      </c>
      <c r="AD7993">
        <v>-6.1606999999999898E-2</v>
      </c>
      <c r="AE7993">
        <v>-8.4469999999999601E-2</v>
      </c>
      <c r="AF7993">
        <v>7.6940587266809704E-2</v>
      </c>
      <c r="AG7993">
        <v>-6.1606999999999898E-2</v>
      </c>
      <c r="AH7993">
        <v>0.64253516217201401</v>
      </c>
      <c r="AI7993">
        <v>95.438226991884804</v>
      </c>
      <c r="AJ7993">
        <v>83.171611204951503</v>
      </c>
      <c r="AK7993">
        <v>0.65005131416325701</v>
      </c>
      <c r="AL7993">
        <v>89.709945515899093</v>
      </c>
      <c r="AM7993">
        <v>87.336802652910293</v>
      </c>
      <c r="AN7993">
        <v>0.99999997341583202</v>
      </c>
    </row>
    <row r="7994" spans="1:40" x14ac:dyDescent="0.25">
      <c r="A7994" t="str">
        <f>"20190312154117503"</f>
        <v>20190312154117503</v>
      </c>
      <c r="B7994" t="str">
        <f>"1552376477494083"</f>
        <v>1552376477494083</v>
      </c>
      <c r="C7994" t="s">
        <v>40</v>
      </c>
      <c r="D7994">
        <v>4.3654830000000002</v>
      </c>
      <c r="E7994">
        <v>0.52114899999999997</v>
      </c>
      <c r="F7994" t="s">
        <v>41</v>
      </c>
      <c r="G7994">
        <v>-327.6574</v>
      </c>
      <c r="H7994">
        <v>1.0421590000000001</v>
      </c>
      <c r="I7994">
        <v>17.48244</v>
      </c>
      <c r="J7994">
        <v>-328.33049999999997</v>
      </c>
      <c r="K7994">
        <v>1.109837</v>
      </c>
      <c r="L7994">
        <v>17.574189999999899</v>
      </c>
      <c r="M7994">
        <v>0.99983239999999995</v>
      </c>
      <c r="N7994">
        <v>0</v>
      </c>
      <c r="O7994">
        <v>-1.1127990000000001E-2</v>
      </c>
      <c r="P7994">
        <v>0.99827379999999999</v>
      </c>
      <c r="Q7994">
        <v>-9.4035160000000007E-3</v>
      </c>
      <c r="R7994">
        <v>-5.7973240000000002E-2</v>
      </c>
      <c r="S7994">
        <v>2.9836429999999998</v>
      </c>
      <c r="T7994">
        <v>-0.24070349999999999</v>
      </c>
      <c r="U7994">
        <v>-0.3349915</v>
      </c>
      <c r="V7994">
        <v>4.68656E-2</v>
      </c>
      <c r="W7994">
        <v>5.0652450000000003E-3</v>
      </c>
      <c r="X7994">
        <v>0.99888840000000001</v>
      </c>
      <c r="Y7994">
        <v>0.1002226</v>
      </c>
      <c r="Z7994">
        <v>-3.1301269999999999E-3</v>
      </c>
      <c r="AA7994">
        <v>0.99496010000000001</v>
      </c>
      <c r="AB7994">
        <v>22</v>
      </c>
      <c r="AC7994">
        <v>0.67309999999997605</v>
      </c>
      <c r="AD7994">
        <v>-6.7678000000000099E-2</v>
      </c>
      <c r="AE7994">
        <v>-9.17499999999975E-2</v>
      </c>
      <c r="AF7994">
        <v>8.3425261239123402E-2</v>
      </c>
      <c r="AG7994">
        <v>-6.7678000000000099E-2</v>
      </c>
      <c r="AH7994">
        <v>0.66745477311714796</v>
      </c>
      <c r="AI7994">
        <v>95.745436685679806</v>
      </c>
      <c r="AJ7994">
        <v>82.875540259974201</v>
      </c>
      <c r="AK7994">
        <v>0.67604434769745703</v>
      </c>
      <c r="AL7994">
        <v>89.709781609431204</v>
      </c>
      <c r="AM7994">
        <v>87.313780605193898</v>
      </c>
      <c r="AN7994">
        <v>1.0000000384124099</v>
      </c>
    </row>
    <row r="7995" spans="1:40" x14ac:dyDescent="0.25">
      <c r="A7995" t="str">
        <f>"20190312154117515"</f>
        <v>20190312154117515</v>
      </c>
      <c r="B7995" t="str">
        <f>"1552376477503843"</f>
        <v>1552376477503843</v>
      </c>
      <c r="C7995" t="s">
        <v>40</v>
      </c>
      <c r="D7995">
        <v>4.35344</v>
      </c>
      <c r="E7995">
        <v>0.52110809999999996</v>
      </c>
      <c r="F7995" t="s">
        <v>41</v>
      </c>
      <c r="G7995">
        <v>-327.46280000000002</v>
      </c>
      <c r="H7995">
        <v>1.0392980000000001</v>
      </c>
      <c r="I7995">
        <v>17.47561</v>
      </c>
      <c r="J7995">
        <v>-328.20569999999998</v>
      </c>
      <c r="K7995">
        <v>1.109837</v>
      </c>
      <c r="L7995">
        <v>17.572329999999901</v>
      </c>
      <c r="M7995">
        <v>0.99982760000000004</v>
      </c>
      <c r="N7995">
        <v>0</v>
      </c>
      <c r="O7995">
        <v>-1.1556540000000001E-2</v>
      </c>
      <c r="P7995">
        <v>0.99825070000000005</v>
      </c>
      <c r="Q7995">
        <v>-9.3822790000000003E-3</v>
      </c>
      <c r="R7995">
        <v>-5.8377239999999997E-2</v>
      </c>
      <c r="S7995">
        <v>2.983276</v>
      </c>
      <c r="T7995">
        <v>-0.24246799999999999</v>
      </c>
      <c r="U7995">
        <v>-0.33810420000000002</v>
      </c>
      <c r="V7995">
        <v>4.684174E-2</v>
      </c>
      <c r="W7995">
        <v>5.0833650000000003E-3</v>
      </c>
      <c r="X7995">
        <v>0.99888940000000004</v>
      </c>
      <c r="Y7995">
        <v>0.10083</v>
      </c>
      <c r="Z7995">
        <v>-3.1431089999999998E-3</v>
      </c>
      <c r="AA7995">
        <v>0.99489870000000002</v>
      </c>
      <c r="AB7995">
        <v>22</v>
      </c>
      <c r="AC7995">
        <v>0.74289999999996303</v>
      </c>
      <c r="AD7995">
        <v>-7.0539000000000102E-2</v>
      </c>
      <c r="AE7995">
        <v>-9.6719999999997697E-2</v>
      </c>
      <c r="AF7995">
        <v>8.7352861477475494E-2</v>
      </c>
      <c r="AG7995">
        <v>-7.0539000000000102E-2</v>
      </c>
      <c r="AH7995">
        <v>0.73743062985483498</v>
      </c>
      <c r="AI7995">
        <v>95.426300072453003</v>
      </c>
      <c r="AJ7995">
        <v>83.244468276952503</v>
      </c>
      <c r="AK7995">
        <v>0.74592908964418403</v>
      </c>
      <c r="AL7995">
        <v>89.708743388688802</v>
      </c>
      <c r="AM7995">
        <v>87.315148883214505</v>
      </c>
      <c r="AN7995">
        <v>1.0000000113191501</v>
      </c>
    </row>
    <row r="7996" spans="1:40" x14ac:dyDescent="0.25">
      <c r="A7996" t="str">
        <f>"20190312154117527"</f>
        <v>20190312154117527</v>
      </c>
      <c r="B7996" t="str">
        <f>"1552376477514577"</f>
        <v>1552376477514577</v>
      </c>
      <c r="C7996" t="s">
        <v>40</v>
      </c>
      <c r="D7996">
        <v>4.3505929999999999</v>
      </c>
      <c r="E7996">
        <v>0.52111509999999905</v>
      </c>
      <c r="F7996" t="s">
        <v>41</v>
      </c>
      <c r="G7996">
        <v>-327.45569999999998</v>
      </c>
      <c r="H7996">
        <v>1.048962</v>
      </c>
      <c r="I7996">
        <v>17.486879999999999</v>
      </c>
      <c r="J7996">
        <v>-328.09480000000002</v>
      </c>
      <c r="K7996">
        <v>1.1098349999999999</v>
      </c>
      <c r="L7996">
        <v>17.570620000000002</v>
      </c>
      <c r="M7996">
        <v>0.99982320000000002</v>
      </c>
      <c r="N7996">
        <v>0</v>
      </c>
      <c r="O7996">
        <v>-1.1940249999999999E-2</v>
      </c>
      <c r="P7996">
        <v>0.9982164</v>
      </c>
      <c r="Q7996">
        <v>-9.3942839999999993E-3</v>
      </c>
      <c r="R7996">
        <v>-5.8960199999999997E-2</v>
      </c>
      <c r="S7996">
        <v>2.9831539999999999</v>
      </c>
      <c r="T7996">
        <v>-0.24210380000000001</v>
      </c>
      <c r="U7996">
        <v>-0.33892820000000001</v>
      </c>
      <c r="V7996">
        <v>4.7041590000000001E-2</v>
      </c>
      <c r="W7996">
        <v>5.0685820000000003E-3</v>
      </c>
      <c r="X7996">
        <v>0.99888010000000005</v>
      </c>
      <c r="Y7996">
        <v>0.1007265</v>
      </c>
      <c r="Z7996">
        <v>-3.1033219999999999E-3</v>
      </c>
      <c r="AA7996">
        <v>0.9949093</v>
      </c>
      <c r="AB7996">
        <v>22</v>
      </c>
      <c r="AC7996">
        <v>0.63910000000004097</v>
      </c>
      <c r="AD7996">
        <v>-6.0872999999999899E-2</v>
      </c>
      <c r="AE7996">
        <v>-8.3740000000002299E-2</v>
      </c>
      <c r="AF7996">
        <v>7.5429450594110894E-2</v>
      </c>
      <c r="AG7996">
        <v>-6.0872999999999899E-2</v>
      </c>
      <c r="AH7996">
        <v>0.63439619681269099</v>
      </c>
      <c r="AI7996">
        <v>95.442886406606704</v>
      </c>
      <c r="AJ7996">
        <v>83.2193882305545</v>
      </c>
      <c r="AK7996">
        <v>0.64175825563551203</v>
      </c>
      <c r="AL7996">
        <v>89.709590407927905</v>
      </c>
      <c r="AM7996">
        <v>87.303685784036603</v>
      </c>
      <c r="AN7996">
        <v>1.00000002794461</v>
      </c>
    </row>
    <row r="7997" spans="1:40" x14ac:dyDescent="0.25">
      <c r="A7997" t="str">
        <f>"20190312154117538"</f>
        <v>20190312154117538</v>
      </c>
      <c r="B7997" t="str">
        <f>"1552376477534098"</f>
        <v>1552376477534098</v>
      </c>
      <c r="C7997" t="s">
        <v>40</v>
      </c>
      <c r="D7997">
        <v>4.3701429999999997</v>
      </c>
      <c r="E7997">
        <v>0.52113739999999997</v>
      </c>
      <c r="F7997" t="s">
        <v>41</v>
      </c>
      <c r="G7997">
        <v>-327.26549999999997</v>
      </c>
      <c r="H7997">
        <v>1.0425530000000001</v>
      </c>
      <c r="I7997">
        <v>17.47588</v>
      </c>
      <c r="J7997">
        <v>-327.98140000000001</v>
      </c>
      <c r="K7997">
        <v>1.1098330000000001</v>
      </c>
      <c r="L7997">
        <v>17.568819999999999</v>
      </c>
      <c r="M7997">
        <v>0.9998184</v>
      </c>
      <c r="N7997">
        <v>0</v>
      </c>
      <c r="O7997">
        <v>-1.2333729999999999E-2</v>
      </c>
      <c r="P7997">
        <v>0.99818929999999995</v>
      </c>
      <c r="Q7997">
        <v>-9.3055829999999992E-3</v>
      </c>
      <c r="R7997">
        <v>-5.9430169999999997E-2</v>
      </c>
      <c r="S7997">
        <v>2.9830019999999999</v>
      </c>
      <c r="T7997">
        <v>-0.2420118</v>
      </c>
      <c r="U7997">
        <v>-0.34069820000000001</v>
      </c>
      <c r="V7997">
        <v>4.7118930000000003E-2</v>
      </c>
      <c r="W7997">
        <v>5.1544119999999997E-3</v>
      </c>
      <c r="X7997">
        <v>0.99887599999999999</v>
      </c>
      <c r="Y7997">
        <v>0.10092429999999999</v>
      </c>
      <c r="Z7997">
        <v>-3.078426E-3</v>
      </c>
      <c r="AA7997">
        <v>0.99488929999999998</v>
      </c>
      <c r="AB7997">
        <v>22</v>
      </c>
      <c r="AC7997">
        <v>0.71590000000003295</v>
      </c>
      <c r="AD7997">
        <v>-6.7279999999999895E-2</v>
      </c>
      <c r="AE7997">
        <v>-9.2940000000002201E-2</v>
      </c>
      <c r="AF7997">
        <v>8.3378076601119705E-2</v>
      </c>
      <c r="AG7997">
        <v>-6.7279999999999895E-2</v>
      </c>
      <c r="AH7997">
        <v>0.71081794638179197</v>
      </c>
      <c r="AI7997">
        <v>95.370421947013696</v>
      </c>
      <c r="AJ7997">
        <v>83.309846575993305</v>
      </c>
      <c r="AK7997">
        <v>0.71884675345732096</v>
      </c>
      <c r="AL7997">
        <v>89.704672642488106</v>
      </c>
      <c r="AM7997">
        <v>87.299248324572801</v>
      </c>
      <c r="AN7997">
        <v>1.0000000124516999</v>
      </c>
    </row>
    <row r="7998" spans="1:40" x14ac:dyDescent="0.25">
      <c r="A7998" t="str">
        <f>"20190312154117550"</f>
        <v>20190312154117550</v>
      </c>
      <c r="B7998" t="str">
        <f>"1552376477543858"</f>
        <v>1552376477543858</v>
      </c>
      <c r="C7998" t="s">
        <v>40</v>
      </c>
      <c r="D7998">
        <v>4.3764079999999996</v>
      </c>
      <c r="E7998">
        <v>0.52117519999999995</v>
      </c>
      <c r="F7998" t="s">
        <v>41</v>
      </c>
      <c r="G7998">
        <v>-327.07330000000002</v>
      </c>
      <c r="H7998">
        <v>1.036384</v>
      </c>
      <c r="I7998">
        <v>17.464289999999998</v>
      </c>
      <c r="J7998">
        <v>-327.87029999999999</v>
      </c>
      <c r="K7998">
        <v>1.109837</v>
      </c>
      <c r="L7998">
        <v>17.566990000000001</v>
      </c>
      <c r="M7998">
        <v>0.99981370000000003</v>
      </c>
      <c r="N7998">
        <v>0</v>
      </c>
      <c r="O7998">
        <v>-1.2721120000000001E-2</v>
      </c>
      <c r="P7998">
        <v>0.9981698</v>
      </c>
      <c r="Q7998">
        <v>-9.4773989999999992E-3</v>
      </c>
      <c r="R7998">
        <v>-5.9730779999999997E-2</v>
      </c>
      <c r="S7998">
        <v>2.9828190000000001</v>
      </c>
      <c r="T7998">
        <v>-0.2412253</v>
      </c>
      <c r="U7998">
        <v>-0.34228520000000001</v>
      </c>
      <c r="V7998">
        <v>4.703251E-2</v>
      </c>
      <c r="W7998">
        <v>4.9794150000000001E-3</v>
      </c>
      <c r="X7998">
        <v>0.99888089999999996</v>
      </c>
      <c r="Y7998">
        <v>0.1010708</v>
      </c>
      <c r="Z7998">
        <v>-3.043278E-3</v>
      </c>
      <c r="AA7998">
        <v>0.99487460000000005</v>
      </c>
      <c r="AB7998">
        <v>22</v>
      </c>
      <c r="AC7998">
        <v>0.79699999999996796</v>
      </c>
      <c r="AD7998">
        <v>-7.3453000000000199E-2</v>
      </c>
      <c r="AE7998">
        <v>-0.102700000000002</v>
      </c>
      <c r="AF7998">
        <v>9.1785016149757898E-2</v>
      </c>
      <c r="AG7998">
        <v>-7.3453000000000199E-2</v>
      </c>
      <c r="AH7998">
        <v>0.79162798014510605</v>
      </c>
      <c r="AI7998">
        <v>95.266062679450798</v>
      </c>
      <c r="AJ7998">
        <v>83.386392260614898</v>
      </c>
      <c r="AK7998">
        <v>0.80030912236912</v>
      </c>
      <c r="AL7998">
        <v>89.714699343362</v>
      </c>
      <c r="AM7998">
        <v>87.304207616501898</v>
      </c>
      <c r="AN7998">
        <v>0.99999995197772495</v>
      </c>
    </row>
    <row r="7999" spans="1:40" x14ac:dyDescent="0.25">
      <c r="A7999" t="str">
        <f>"20190312154117562"</f>
        <v>20190312154117562</v>
      </c>
      <c r="B7999" t="str">
        <f>"1552376477554594"</f>
        <v>1552376477554594</v>
      </c>
      <c r="C7999" t="s">
        <v>40</v>
      </c>
      <c r="D7999">
        <v>4.3950069999999997</v>
      </c>
      <c r="E7999">
        <v>0.52121030000000002</v>
      </c>
      <c r="F7999" t="s">
        <v>41</v>
      </c>
      <c r="G7999">
        <v>-327.06869999999998</v>
      </c>
      <c r="H7999">
        <v>1.0448329999999999</v>
      </c>
      <c r="I7999">
        <v>17.474339999999899</v>
      </c>
      <c r="J7999">
        <v>-327.7552</v>
      </c>
      <c r="K7999">
        <v>1.1098380000000001</v>
      </c>
      <c r="L7999">
        <v>17.565089999999898</v>
      </c>
      <c r="M7999">
        <v>0.99980849999999999</v>
      </c>
      <c r="N7999">
        <v>0</v>
      </c>
      <c r="O7999">
        <v>-1.312281E-2</v>
      </c>
      <c r="P7999">
        <v>0.99814099999999994</v>
      </c>
      <c r="Q7999">
        <v>-9.2390500000000004E-3</v>
      </c>
      <c r="R7999">
        <v>-6.0247250000000002E-2</v>
      </c>
      <c r="S7999">
        <v>2.982666</v>
      </c>
      <c r="T7999">
        <v>-0.2417484</v>
      </c>
      <c r="U7999">
        <v>-0.34350589999999998</v>
      </c>
      <c r="V7999">
        <v>4.7148179999999998E-2</v>
      </c>
      <c r="W7999">
        <v>5.2149700000000002E-3</v>
      </c>
      <c r="X7999">
        <v>0.99887429999999999</v>
      </c>
      <c r="Y7999">
        <v>0.10107869999999999</v>
      </c>
      <c r="Z7999">
        <v>-3.0178750000000002E-3</v>
      </c>
      <c r="AA7999">
        <v>0.99487389999999998</v>
      </c>
      <c r="AB7999">
        <v>22</v>
      </c>
      <c r="AC7999">
        <v>0.68650000000002298</v>
      </c>
      <c r="AD7999">
        <v>-6.5004999999999896E-2</v>
      </c>
      <c r="AE7999">
        <v>-9.0749999999999803E-2</v>
      </c>
      <c r="AF7999">
        <v>8.1018467300701294E-2</v>
      </c>
      <c r="AG7999">
        <v>-6.5004999999999896E-2</v>
      </c>
      <c r="AH7999">
        <v>0.68162521599340498</v>
      </c>
      <c r="AI7999">
        <v>95.409836162749201</v>
      </c>
      <c r="AJ7999">
        <v>83.221584261396004</v>
      </c>
      <c r="AK7999">
        <v>0.68949443590707205</v>
      </c>
      <c r="AL7999">
        <v>89.701202876448903</v>
      </c>
      <c r="AM7999">
        <v>87.297569672125405</v>
      </c>
      <c r="AN7999">
        <v>1.00000000699495</v>
      </c>
    </row>
    <row r="8000" spans="1:40" x14ac:dyDescent="0.25">
      <c r="A8000" t="str">
        <f>"20190312154117572"</f>
        <v>20190312154117572</v>
      </c>
      <c r="B8000" t="str">
        <f>"1552376477564355"</f>
        <v>1552376477564355</v>
      </c>
      <c r="C8000" t="s">
        <v>40</v>
      </c>
      <c r="D8000">
        <v>4.3890229999999999</v>
      </c>
      <c r="E8000">
        <v>0.52120010000000006</v>
      </c>
      <c r="F8000" t="s">
        <v>41</v>
      </c>
      <c r="G8000">
        <v>-326.87720000000002</v>
      </c>
      <c r="H8000">
        <v>1.0387949999999999</v>
      </c>
      <c r="I8000">
        <v>17.463550000000001</v>
      </c>
      <c r="J8000">
        <v>-327.6447</v>
      </c>
      <c r="K8000">
        <v>1.1098380000000001</v>
      </c>
      <c r="L8000">
        <v>17.563199999999998</v>
      </c>
      <c r="M8000">
        <v>0.9998032</v>
      </c>
      <c r="N8000">
        <v>0</v>
      </c>
      <c r="O8000">
        <v>-1.350924E-2</v>
      </c>
      <c r="P8000">
        <v>0.99812449999999997</v>
      </c>
      <c r="Q8000">
        <v>-8.97787699999999E-3</v>
      </c>
      <c r="R8000">
        <v>-6.055493E-2</v>
      </c>
      <c r="S8000">
        <v>2.982513</v>
      </c>
      <c r="T8000">
        <v>-0.24130289999999999</v>
      </c>
      <c r="U8000">
        <v>-0.34527590000000002</v>
      </c>
      <c r="V8000">
        <v>4.7070500000000001E-2</v>
      </c>
      <c r="W8000">
        <v>5.473889E-3</v>
      </c>
      <c r="X8000">
        <v>0.9988766</v>
      </c>
      <c r="Y8000">
        <v>0.10128429999999999</v>
      </c>
      <c r="Z8000">
        <v>-2.9895579999999998E-3</v>
      </c>
      <c r="AA8000">
        <v>0.99485299999999999</v>
      </c>
      <c r="AB8000">
        <v>22</v>
      </c>
      <c r="AC8000">
        <v>0.76749999999998397</v>
      </c>
      <c r="AD8000">
        <v>-7.1042999999999704E-2</v>
      </c>
      <c r="AE8000">
        <v>-9.9649999999996894E-2</v>
      </c>
      <c r="AF8000">
        <v>8.8525545134313294E-2</v>
      </c>
      <c r="AG8000">
        <v>-7.1042999999999704E-2</v>
      </c>
      <c r="AH8000">
        <v>0.76235264036647199</v>
      </c>
      <c r="AI8000">
        <v>95.288635820488395</v>
      </c>
      <c r="AJ8000">
        <v>83.376392225325304</v>
      </c>
      <c r="AK8000">
        <v>0.77075640007985602</v>
      </c>
      <c r="AL8000">
        <v>89.686367705522599</v>
      </c>
      <c r="AM8000">
        <v>87.302021738369405</v>
      </c>
      <c r="AN8000">
        <v>1.0000000287292901</v>
      </c>
    </row>
    <row r="8001" spans="1:40" x14ac:dyDescent="0.25">
      <c r="A8001" t="str">
        <f>"20190312154117582"</f>
        <v>20190312154117582</v>
      </c>
      <c r="B8001" t="str">
        <f>"1552376477574115"</f>
        <v>1552376477574115</v>
      </c>
      <c r="C8001" t="s">
        <v>40</v>
      </c>
      <c r="D8001">
        <v>4.3784409999999996</v>
      </c>
      <c r="E8001">
        <v>0.52117659999999999</v>
      </c>
      <c r="F8001" t="s">
        <v>41</v>
      </c>
      <c r="G8001">
        <v>-326.87130000000002</v>
      </c>
      <c r="H8001">
        <v>1.0474669999999999</v>
      </c>
      <c r="I8001">
        <v>17.473559999999999</v>
      </c>
      <c r="J8001">
        <v>-327.54430000000002</v>
      </c>
      <c r="K8001">
        <v>1.109842</v>
      </c>
      <c r="L8001">
        <v>17.561429999999898</v>
      </c>
      <c r="M8001">
        <v>0.99979839999999998</v>
      </c>
      <c r="N8001">
        <v>0</v>
      </c>
      <c r="O8001">
        <v>-1.3860859999999999E-2</v>
      </c>
      <c r="P8001">
        <v>0.99809910000000002</v>
      </c>
      <c r="Q8001">
        <v>-8.9298929999999995E-3</v>
      </c>
      <c r="R8001">
        <v>-6.0975759999999997E-2</v>
      </c>
      <c r="S8001">
        <v>2.9824220000000001</v>
      </c>
      <c r="T8001">
        <v>-0.2404869</v>
      </c>
      <c r="U8001">
        <v>-0.34606930000000002</v>
      </c>
      <c r="V8001">
        <v>4.7140359999999999E-2</v>
      </c>
      <c r="W8001">
        <v>5.5191880000000004E-3</v>
      </c>
      <c r="X8001">
        <v>0.99887309999999996</v>
      </c>
      <c r="Y8001">
        <v>0.101202399999999</v>
      </c>
      <c r="Z8001">
        <v>-2.948038E-3</v>
      </c>
      <c r="AA8001">
        <v>0.99486149999999995</v>
      </c>
      <c r="AB8001">
        <v>22</v>
      </c>
      <c r="AC8001">
        <v>0.67300000000000104</v>
      </c>
      <c r="AD8001">
        <v>-6.2375E-2</v>
      </c>
      <c r="AE8001">
        <v>-8.7869999999998699E-2</v>
      </c>
      <c r="AF8001">
        <v>7.7874487466411499E-2</v>
      </c>
      <c r="AG8001">
        <v>-6.2375E-2</v>
      </c>
      <c r="AH8001">
        <v>0.668507219178887</v>
      </c>
      <c r="AI8001">
        <v>95.294944463860503</v>
      </c>
      <c r="AJ8001">
        <v>83.355554594338003</v>
      </c>
      <c r="AK8001">
        <v>0.67591196062611902</v>
      </c>
      <c r="AL8001">
        <v>89.683772238695994</v>
      </c>
      <c r="AM8001">
        <v>87.298013991851803</v>
      </c>
      <c r="AN8001">
        <v>1.0000000724403499</v>
      </c>
    </row>
    <row r="8002" spans="1:40" x14ac:dyDescent="0.25">
      <c r="A8002" t="str">
        <f>"20190312154117593"</f>
        <v>20190312154117593</v>
      </c>
      <c r="B8002" t="str">
        <f>"1552376477583874"</f>
        <v>1552376477583874</v>
      </c>
      <c r="C8002" t="s">
        <v>40</v>
      </c>
      <c r="D8002">
        <v>4.3875159999999997</v>
      </c>
      <c r="E8002">
        <v>0.52120820000000001</v>
      </c>
      <c r="F8002" t="s">
        <v>41</v>
      </c>
      <c r="G8002">
        <v>-326.68189999999998</v>
      </c>
      <c r="H8002">
        <v>1.040389</v>
      </c>
      <c r="I8002">
        <v>17.460840000000001</v>
      </c>
      <c r="J8002">
        <v>-327.44150000000002</v>
      </c>
      <c r="K8002">
        <v>1.1098429999999999</v>
      </c>
      <c r="L8002">
        <v>17.5596</v>
      </c>
      <c r="M8002">
        <v>0.9997935</v>
      </c>
      <c r="N8002">
        <v>0</v>
      </c>
      <c r="O8002">
        <v>-1.422117E-2</v>
      </c>
      <c r="P8002">
        <v>0.99808479999999999</v>
      </c>
      <c r="Q8002">
        <v>-8.8296350000000006E-3</v>
      </c>
      <c r="R8002">
        <v>-6.1226360000000001E-2</v>
      </c>
      <c r="S8002">
        <v>2.9823909999999998</v>
      </c>
      <c r="T8002">
        <v>-0.2401664</v>
      </c>
      <c r="U8002">
        <v>-0.34716799999999998</v>
      </c>
      <c r="V8002">
        <v>4.703131E-2</v>
      </c>
      <c r="W8002">
        <v>5.6178909999999999E-3</v>
      </c>
      <c r="X8002">
        <v>0.99887760000000003</v>
      </c>
      <c r="Y8002">
        <v>0.10120850000000001</v>
      </c>
      <c r="Z8002">
        <v>-2.9154749999999998E-3</v>
      </c>
      <c r="AA8002">
        <v>0.99486090000000005</v>
      </c>
      <c r="AB8002">
        <v>22</v>
      </c>
      <c r="AC8002">
        <v>0.75960000000003403</v>
      </c>
      <c r="AD8002">
        <v>-6.9454000000000099E-2</v>
      </c>
      <c r="AE8002">
        <v>-9.8759999999998599E-2</v>
      </c>
      <c r="AF8002">
        <v>8.7229326409431901E-2</v>
      </c>
      <c r="AG8002">
        <v>-6.9454000000000099E-2</v>
      </c>
      <c r="AH8002">
        <v>0.75472293680338998</v>
      </c>
      <c r="AI8002">
        <v>95.223304959202494</v>
      </c>
      <c r="AJ8002">
        <v>83.407124126752805</v>
      </c>
      <c r="AK8002">
        <v>0.76291514917386305</v>
      </c>
      <c r="AL8002">
        <v>89.678116857080298</v>
      </c>
      <c r="AM8002">
        <v>87.304267403460003</v>
      </c>
      <c r="AN8002">
        <v>0.99999998230068099</v>
      </c>
    </row>
    <row r="8003" spans="1:40" x14ac:dyDescent="0.25">
      <c r="A8003" t="str">
        <f>"20190312154117604"</f>
        <v>20190312154117604</v>
      </c>
      <c r="B8003" t="str">
        <f>"1552376477594611"</f>
        <v>1552376477594611</v>
      </c>
      <c r="C8003" t="s">
        <v>40</v>
      </c>
      <c r="D8003">
        <v>4.3939240000000002</v>
      </c>
      <c r="E8003">
        <v>0.52128059999999998</v>
      </c>
      <c r="F8003" t="s">
        <v>41</v>
      </c>
      <c r="G8003">
        <v>-326.67599999999999</v>
      </c>
      <c r="H8003">
        <v>1.0482899999999999</v>
      </c>
      <c r="I8003">
        <v>17.470009999999998</v>
      </c>
      <c r="J8003">
        <v>-327.34210000000002</v>
      </c>
      <c r="K8003">
        <v>1.1098440000000001</v>
      </c>
      <c r="L8003">
        <v>17.557829999999999</v>
      </c>
      <c r="M8003">
        <v>0.99978860000000003</v>
      </c>
      <c r="N8003">
        <v>0</v>
      </c>
      <c r="O8003">
        <v>-1.456968E-2</v>
      </c>
      <c r="P8003">
        <v>0.99805739999999998</v>
      </c>
      <c r="Q8003">
        <v>-8.7428230000000003E-3</v>
      </c>
      <c r="R8003">
        <v>-6.1686289999999998E-2</v>
      </c>
      <c r="S8003">
        <v>2.9823</v>
      </c>
      <c r="T8003">
        <v>-0.23981739999999999</v>
      </c>
      <c r="U8003">
        <v>-0.34823609999999999</v>
      </c>
      <c r="V8003">
        <v>4.714343E-2</v>
      </c>
      <c r="W8003">
        <v>5.7018119999999997E-3</v>
      </c>
      <c r="X8003">
        <v>0.99887190000000003</v>
      </c>
      <c r="Y8003">
        <v>0.10121860000000001</v>
      </c>
      <c r="Z8003">
        <v>-2.883811E-3</v>
      </c>
      <c r="AA8003">
        <v>0.99486010000000002</v>
      </c>
      <c r="AB8003">
        <v>22</v>
      </c>
      <c r="AC8003">
        <v>0.666100000000028</v>
      </c>
      <c r="AD8003">
        <v>-6.1554000000000102E-2</v>
      </c>
      <c r="AE8003">
        <v>-8.7819999999997095E-2</v>
      </c>
      <c r="AF8003">
        <v>7.7454665844602796E-2</v>
      </c>
      <c r="AG8003">
        <v>-6.1554000000000102E-2</v>
      </c>
      <c r="AH8003">
        <v>0.66175440936902097</v>
      </c>
      <c r="AI8003">
        <v>95.278328743762799</v>
      </c>
      <c r="AJ8003">
        <v>83.324222438693695</v>
      </c>
      <c r="AK8003">
        <v>0.66910912301091896</v>
      </c>
      <c r="AL8003">
        <v>89.673308480737703</v>
      </c>
      <c r="AM8003">
        <v>87.297835045282099</v>
      </c>
      <c r="AN8003">
        <v>1.0000000431309199</v>
      </c>
    </row>
    <row r="8004" spans="1:40" x14ac:dyDescent="0.25">
      <c r="A8004" t="str">
        <f>"20190312154117614"</f>
        <v>20190312154117614</v>
      </c>
      <c r="B8004" t="str">
        <f>"1552376477604371"</f>
        <v>1552376477604371</v>
      </c>
      <c r="C8004" t="s">
        <v>40</v>
      </c>
      <c r="D8004">
        <v>4.3748139999999998</v>
      </c>
      <c r="E8004">
        <v>0.5213295</v>
      </c>
      <c r="F8004" t="s">
        <v>41</v>
      </c>
      <c r="G8004">
        <v>-326.4873</v>
      </c>
      <c r="H8004">
        <v>1.0411490000000001</v>
      </c>
      <c r="I8004">
        <v>17.457460000000001</v>
      </c>
      <c r="J8004">
        <v>-327.23820000000001</v>
      </c>
      <c r="K8004">
        <v>1.1098509999999999</v>
      </c>
      <c r="L8004">
        <v>17.555879999999998</v>
      </c>
      <c r="M8004">
        <v>0.99978319999999998</v>
      </c>
      <c r="N8004">
        <v>0</v>
      </c>
      <c r="O8004">
        <v>-1.4934040000000001E-2</v>
      </c>
      <c r="P8004">
        <v>0.99802579999999996</v>
      </c>
      <c r="Q8004">
        <v>-8.75077199999999E-3</v>
      </c>
      <c r="R8004">
        <v>-6.2191389999999999E-2</v>
      </c>
      <c r="S8004">
        <v>2.9821170000000001</v>
      </c>
      <c r="T8004">
        <v>-0.23971700000000001</v>
      </c>
      <c r="U8004">
        <v>-0.35018919999999998</v>
      </c>
      <c r="V8004">
        <v>4.7285010000000002E-2</v>
      </c>
      <c r="W8004">
        <v>5.6913229999999999E-3</v>
      </c>
      <c r="X8004">
        <v>0.99886520000000001</v>
      </c>
      <c r="Y8004">
        <v>0.10150629999999999</v>
      </c>
      <c r="Z8004">
        <v>-2.865051E-3</v>
      </c>
      <c r="AA8004">
        <v>0.99483080000000002</v>
      </c>
      <c r="AB8004">
        <v>22</v>
      </c>
      <c r="AC8004">
        <v>0.75090000000000101</v>
      </c>
      <c r="AD8004">
        <v>-6.8701999999999999E-2</v>
      </c>
      <c r="AE8004">
        <v>-9.8419999999997204E-2</v>
      </c>
      <c r="AF8004">
        <v>8.64821598458934E-2</v>
      </c>
      <c r="AG8004">
        <v>-6.8701999999999999E-2</v>
      </c>
      <c r="AH8004">
        <v>0.74614574783939203</v>
      </c>
      <c r="AI8004">
        <v>95.225934146243802</v>
      </c>
      <c r="AJ8004">
        <v>83.388622613364205</v>
      </c>
      <c r="AK8004">
        <v>0.75427621319674198</v>
      </c>
      <c r="AL8004">
        <v>89.673909443856601</v>
      </c>
      <c r="AM8004">
        <v>87.289713898979002</v>
      </c>
      <c r="AN8004">
        <v>0.99999997554961495</v>
      </c>
    </row>
    <row r="8005" spans="1:40" x14ac:dyDescent="0.25">
      <c r="A8005" t="str">
        <f>"20190312154117625"</f>
        <v>20190312154117625</v>
      </c>
      <c r="B8005" t="str">
        <f>"1552376477614130"</f>
        <v>1552376477614130</v>
      </c>
      <c r="C8005" t="s">
        <v>40</v>
      </c>
      <c r="D8005">
        <v>4.4077820000000001</v>
      </c>
      <c r="E8005">
        <v>0.52137599999999995</v>
      </c>
      <c r="F8005" t="s">
        <v>41</v>
      </c>
      <c r="G8005">
        <v>-326.48129999999998</v>
      </c>
      <c r="H8005">
        <v>1.048943</v>
      </c>
      <c r="I8005">
        <v>17.4665</v>
      </c>
      <c r="J8005">
        <v>-327.1386</v>
      </c>
      <c r="K8005">
        <v>1.1098509999999999</v>
      </c>
      <c r="L8005">
        <v>17.553989999999999</v>
      </c>
      <c r="M8005">
        <v>0.9997779</v>
      </c>
      <c r="N8005">
        <v>0</v>
      </c>
      <c r="O8005">
        <v>-1.528266E-2</v>
      </c>
      <c r="P8005">
        <v>0.99800040000000001</v>
      </c>
      <c r="Q8005">
        <v>-9.0945609999999993E-3</v>
      </c>
      <c r="R8005">
        <v>-6.2550309999999998E-2</v>
      </c>
      <c r="S8005">
        <v>2.9818419999999999</v>
      </c>
      <c r="T8005">
        <v>-0.23998520000000001</v>
      </c>
      <c r="U8005">
        <v>-0.35211179999999997</v>
      </c>
      <c r="V8005">
        <v>4.7295400000000001E-2</v>
      </c>
      <c r="W8005">
        <v>5.3456210000000001E-3</v>
      </c>
      <c r="X8005">
        <v>0.99886660000000005</v>
      </c>
      <c r="Y8005">
        <v>0.1018023</v>
      </c>
      <c r="Z8005">
        <v>-2.8523469999999999E-3</v>
      </c>
      <c r="AA8005">
        <v>0.99480060000000003</v>
      </c>
      <c r="AB8005">
        <v>22</v>
      </c>
      <c r="AC8005">
        <v>0.65730000000001998</v>
      </c>
      <c r="AD8005">
        <v>-6.09079999999999E-2</v>
      </c>
      <c r="AE8005">
        <v>-8.7489999999998902E-2</v>
      </c>
      <c r="AF8005">
        <v>7.6785580464023298E-2</v>
      </c>
      <c r="AG8005">
        <v>-6.09079999999999E-2</v>
      </c>
      <c r="AH8005">
        <v>0.653050572494562</v>
      </c>
      <c r="AI8005">
        <v>95.292137909482804</v>
      </c>
      <c r="AJ8005">
        <v>83.2939621163857</v>
      </c>
      <c r="AK8005">
        <v>0.66036418745013103</v>
      </c>
      <c r="AL8005">
        <v>89.693717006106397</v>
      </c>
      <c r="AM8005">
        <v>87.289123046253295</v>
      </c>
      <c r="AN8005">
        <v>0.99999995756029603</v>
      </c>
    </row>
    <row r="8006" spans="1:40" x14ac:dyDescent="0.25">
      <c r="A8006" t="str">
        <f>"20190312154117636"</f>
        <v>20190312154117636</v>
      </c>
      <c r="B8006" t="str">
        <f>"1552376477623890"</f>
        <v>1552376477623890</v>
      </c>
      <c r="C8006" t="s">
        <v>40</v>
      </c>
      <c r="D8006">
        <v>4.3983850000000002</v>
      </c>
      <c r="E8006">
        <v>0.5214221</v>
      </c>
      <c r="F8006" t="s">
        <v>41</v>
      </c>
      <c r="G8006">
        <v>-326.29349999999999</v>
      </c>
      <c r="H8006">
        <v>1.0414730000000001</v>
      </c>
      <c r="I8006">
        <v>17.453679999999999</v>
      </c>
      <c r="J8006">
        <v>-327.02449999999999</v>
      </c>
      <c r="K8006">
        <v>1.1098509999999999</v>
      </c>
      <c r="L8006">
        <v>17.551819999999999</v>
      </c>
      <c r="M8006">
        <v>0.99977179999999999</v>
      </c>
      <c r="N8006">
        <v>0</v>
      </c>
      <c r="O8006">
        <v>-1.568253E-2</v>
      </c>
      <c r="P8006">
        <v>0.99797309999999995</v>
      </c>
      <c r="Q8006">
        <v>-9.0279469999999997E-3</v>
      </c>
      <c r="R8006">
        <v>-6.2991829999999999E-2</v>
      </c>
      <c r="S8006">
        <v>2.9817200000000001</v>
      </c>
      <c r="T8006">
        <v>-0.24126549999999999</v>
      </c>
      <c r="U8006">
        <v>-0.35345460000000001</v>
      </c>
      <c r="V8006">
        <v>4.733801E-2</v>
      </c>
      <c r="W8006">
        <v>5.4095159999999996E-3</v>
      </c>
      <c r="X8006">
        <v>0.99886430000000004</v>
      </c>
      <c r="Y8006">
        <v>0.1018491</v>
      </c>
      <c r="Z8006">
        <v>-2.8372649999999998E-3</v>
      </c>
      <c r="AA8006">
        <v>0.99479580000000001</v>
      </c>
      <c r="AB8006">
        <v>22</v>
      </c>
      <c r="AC8006">
        <v>0.73099999999999399</v>
      </c>
      <c r="AD8006">
        <v>-6.8377999999999994E-2</v>
      </c>
      <c r="AE8006">
        <v>-9.8140000000004293E-2</v>
      </c>
      <c r="AF8006">
        <v>8.5924283634522203E-2</v>
      </c>
      <c r="AG8006">
        <v>-6.8377999999999994E-2</v>
      </c>
      <c r="AH8006">
        <v>0.726207660285767</v>
      </c>
      <c r="AI8006">
        <v>95.341932544291396</v>
      </c>
      <c r="AJ8006">
        <v>83.252183057711207</v>
      </c>
      <c r="AK8006">
        <v>0.73446313676033703</v>
      </c>
      <c r="AL8006">
        <v>89.690056058516305</v>
      </c>
      <c r="AM8006">
        <v>87.286678136778093</v>
      </c>
      <c r="AN8006">
        <v>1.0000000199343</v>
      </c>
    </row>
    <row r="8007" spans="1:40" x14ac:dyDescent="0.25">
      <c r="A8007" t="str">
        <f>"20190312154117647"</f>
        <v>20190312154117647</v>
      </c>
      <c r="B8007" t="str">
        <f>"1552376477644386"</f>
        <v>1552376477644386</v>
      </c>
      <c r="C8007" t="s">
        <v>40</v>
      </c>
      <c r="D8007">
        <v>4.4005769999999904</v>
      </c>
      <c r="E8007">
        <v>0.52143620000000002</v>
      </c>
      <c r="F8007" t="s">
        <v>41</v>
      </c>
      <c r="G8007">
        <v>-326.28649999999999</v>
      </c>
      <c r="H8007">
        <v>1.05009</v>
      </c>
      <c r="I8007">
        <v>17.46378</v>
      </c>
      <c r="J8007">
        <v>-326.92439999999999</v>
      </c>
      <c r="K8007">
        <v>1.1098479999999999</v>
      </c>
      <c r="L8007">
        <v>17.54984</v>
      </c>
      <c r="M8007">
        <v>0.9997663</v>
      </c>
      <c r="N8007">
        <v>0</v>
      </c>
      <c r="O8007">
        <v>-1.6033660000000002E-2</v>
      </c>
      <c r="P8007">
        <v>0.99794170000000004</v>
      </c>
      <c r="Q8007">
        <v>-9.2342469999999992E-3</v>
      </c>
      <c r="R8007">
        <v>-6.3460929999999999E-2</v>
      </c>
      <c r="S8007">
        <v>2.9814759999999998</v>
      </c>
      <c r="T8007">
        <v>-0.2414538</v>
      </c>
      <c r="U8007">
        <v>-0.35516360000000002</v>
      </c>
      <c r="V8007">
        <v>4.74563E-2</v>
      </c>
      <c r="W8007">
        <v>5.2006650000000001E-3</v>
      </c>
      <c r="X8007">
        <v>0.99885979999999996</v>
      </c>
      <c r="Y8007">
        <v>0.1020715</v>
      </c>
      <c r="Z8007">
        <v>-2.8202919999999999E-3</v>
      </c>
      <c r="AA8007">
        <v>0.99477309999999997</v>
      </c>
      <c r="AB8007">
        <v>22</v>
      </c>
      <c r="AC8007">
        <v>0.63790000000000102</v>
      </c>
      <c r="AD8007">
        <v>-5.9757999999999901E-2</v>
      </c>
      <c r="AE8007">
        <v>-8.6059999999999803E-2</v>
      </c>
      <c r="AF8007">
        <v>7.5172084785482998E-2</v>
      </c>
      <c r="AG8007">
        <v>-5.9757999999999901E-2</v>
      </c>
      <c r="AH8007">
        <v>0.63373585934920396</v>
      </c>
      <c r="AI8007">
        <v>95.349484061668207</v>
      </c>
      <c r="AJ8007">
        <v>83.235333274374398</v>
      </c>
      <c r="AK8007">
        <v>0.64097035837866101</v>
      </c>
      <c r="AL8007">
        <v>89.702022508658999</v>
      </c>
      <c r="AM8007">
        <v>87.279895920367096</v>
      </c>
      <c r="AN8007">
        <v>1.00000002369108</v>
      </c>
    </row>
    <row r="8008" spans="1:40" x14ac:dyDescent="0.25">
      <c r="A8008" t="str">
        <f>"20190312154117658"</f>
        <v>20190312154117658</v>
      </c>
      <c r="B8008" t="str">
        <f>"1552376477654147"</f>
        <v>1552376477654147</v>
      </c>
      <c r="C8008" t="s">
        <v>40</v>
      </c>
      <c r="D8008">
        <v>4.3613080000000002</v>
      </c>
      <c r="E8008">
        <v>0.52141990000000005</v>
      </c>
      <c r="F8008" t="s">
        <v>41</v>
      </c>
      <c r="G8008">
        <v>-326.09949999999998</v>
      </c>
      <c r="H8008">
        <v>1.042751</v>
      </c>
      <c r="I8008">
        <v>17.45092</v>
      </c>
      <c r="J8008">
        <v>-326.82060000000001</v>
      </c>
      <c r="K8008">
        <v>1.109847</v>
      </c>
      <c r="L8008">
        <v>17.547789999999999</v>
      </c>
      <c r="M8008">
        <v>0.99976039999999999</v>
      </c>
      <c r="N8008">
        <v>0</v>
      </c>
      <c r="O8008">
        <v>-1.6398019999999999E-2</v>
      </c>
      <c r="P8008">
        <v>0.99792119999999995</v>
      </c>
      <c r="Q8008">
        <v>-9.1476969999999998E-3</v>
      </c>
      <c r="R8008">
        <v>-6.3793260000000004E-2</v>
      </c>
      <c r="S8008">
        <v>2.9812620000000001</v>
      </c>
      <c r="T8008">
        <v>-0.24241979999999999</v>
      </c>
      <c r="U8008">
        <v>-0.35668949999999999</v>
      </c>
      <c r="V8008">
        <v>4.7425179999999997E-2</v>
      </c>
      <c r="W8008">
        <v>5.2845870000000003E-3</v>
      </c>
      <c r="X8008">
        <v>0.99886079999999999</v>
      </c>
      <c r="Y8008">
        <v>0.1022178</v>
      </c>
      <c r="Z8008">
        <v>-2.808114E-3</v>
      </c>
      <c r="AA8008">
        <v>0.99475809999999998</v>
      </c>
      <c r="AB8008">
        <v>22</v>
      </c>
      <c r="AC8008">
        <v>0.72110000000003505</v>
      </c>
      <c r="AD8008">
        <v>-6.7096000000000003E-2</v>
      </c>
      <c r="AE8008">
        <v>-9.6869999999999096E-2</v>
      </c>
      <c r="AF8008">
        <v>8.4314090975132094E-2</v>
      </c>
      <c r="AG8008">
        <v>-6.7096000000000003E-2</v>
      </c>
      <c r="AH8008">
        <v>0.71649840246185703</v>
      </c>
      <c r="AI8008">
        <v>95.313372410450398</v>
      </c>
      <c r="AJ8008">
        <v>83.288572983355095</v>
      </c>
      <c r="AK8008">
        <v>0.724555518841279</v>
      </c>
      <c r="AL8008">
        <v>89.697214054920593</v>
      </c>
      <c r="AM8008">
        <v>87.281679700056998</v>
      </c>
      <c r="AN8008">
        <v>0.99999998616721597</v>
      </c>
    </row>
    <row r="8009" spans="1:40" x14ac:dyDescent="0.25">
      <c r="A8009" t="str">
        <f>"20190312154117669"</f>
        <v>20190312154117669</v>
      </c>
      <c r="B8009" t="str">
        <f>"1552376477663906"</f>
        <v>1552376477663906</v>
      </c>
      <c r="C8009" t="s">
        <v>40</v>
      </c>
      <c r="D8009">
        <v>4.3853239999999998</v>
      </c>
      <c r="E8009">
        <v>0.52145929999999996</v>
      </c>
      <c r="F8009" t="s">
        <v>41</v>
      </c>
      <c r="G8009">
        <v>-325.90989999999999</v>
      </c>
      <c r="H8009">
        <v>1.0358810000000001</v>
      </c>
      <c r="I8009">
        <v>17.43835</v>
      </c>
      <c r="J8009">
        <v>-326.70420000000001</v>
      </c>
      <c r="K8009">
        <v>1.1098479999999999</v>
      </c>
      <c r="L8009">
        <v>17.54541</v>
      </c>
      <c r="M8009">
        <v>0.99975360000000002</v>
      </c>
      <c r="N8009">
        <v>0</v>
      </c>
      <c r="O8009">
        <v>-1.6807200000000001E-2</v>
      </c>
      <c r="P8009">
        <v>0.99790460000000003</v>
      </c>
      <c r="Q8009">
        <v>-9.0852789999999999E-3</v>
      </c>
      <c r="R8009">
        <v>-6.406154E-2</v>
      </c>
      <c r="S8009">
        <v>2.981201</v>
      </c>
      <c r="T8009">
        <v>-0.24213870000000001</v>
      </c>
      <c r="U8009">
        <v>-0.35760500000000001</v>
      </c>
      <c r="V8009">
        <v>4.728487E-2</v>
      </c>
      <c r="W8009">
        <v>5.3451449999999999E-3</v>
      </c>
      <c r="X8009">
        <v>0.99886719999999896</v>
      </c>
      <c r="Y8009">
        <v>0.1021166</v>
      </c>
      <c r="Z8009">
        <v>-2.7677370000000001E-3</v>
      </c>
      <c r="AA8009">
        <v>0.9947686</v>
      </c>
      <c r="AB8009">
        <v>22</v>
      </c>
      <c r="AC8009">
        <v>0.79430000000002099</v>
      </c>
      <c r="AD8009">
        <v>-7.3966999999999894E-2</v>
      </c>
      <c r="AE8009">
        <v>-0.10706</v>
      </c>
      <c r="AF8009">
        <v>9.2902261135441602E-2</v>
      </c>
      <c r="AG8009">
        <v>-7.3966999999999894E-2</v>
      </c>
      <c r="AH8009">
        <v>0.78926515913765105</v>
      </c>
      <c r="AI8009">
        <v>95.317413155891501</v>
      </c>
      <c r="AJ8009">
        <v>83.286759467961403</v>
      </c>
      <c r="AK8009">
        <v>0.79814875721362899</v>
      </c>
      <c r="AL8009">
        <v>89.6937443095498</v>
      </c>
      <c r="AM8009">
        <v>87.289727330157405</v>
      </c>
      <c r="AN8009">
        <v>1.0000000563709099</v>
      </c>
    </row>
    <row r="8010" spans="1:40" x14ac:dyDescent="0.25">
      <c r="A8010" t="str">
        <f>"20190312154117682"</f>
        <v>20190312154117682</v>
      </c>
      <c r="B8010" t="str">
        <f>"1552376477674641"</f>
        <v>1552376477674641</v>
      </c>
      <c r="C8010" t="s">
        <v>40</v>
      </c>
      <c r="D8010">
        <v>4.3760830000000004</v>
      </c>
      <c r="E8010">
        <v>0.52142659999999996</v>
      </c>
      <c r="F8010" t="s">
        <v>41</v>
      </c>
      <c r="G8010">
        <v>-325.9049</v>
      </c>
      <c r="H8010">
        <v>1.044921</v>
      </c>
      <c r="I8010">
        <v>17.44905</v>
      </c>
      <c r="J8010">
        <v>-326.59039999999999</v>
      </c>
      <c r="K8010">
        <v>1.1098539999999999</v>
      </c>
      <c r="L8010">
        <v>17.543060000000001</v>
      </c>
      <c r="M8010">
        <v>0.99974700000000005</v>
      </c>
      <c r="N8010">
        <v>0</v>
      </c>
      <c r="O8010">
        <v>-1.7208049999999999E-2</v>
      </c>
      <c r="P8010">
        <v>0.99788790000000005</v>
      </c>
      <c r="Q8010">
        <v>-8.9932740000000008E-3</v>
      </c>
      <c r="R8010">
        <v>-6.4335950000000003E-2</v>
      </c>
      <c r="S8010">
        <v>2.9810789999999998</v>
      </c>
      <c r="T8010">
        <v>-0.2421538</v>
      </c>
      <c r="U8010">
        <v>-0.35864259999999998</v>
      </c>
      <c r="V8010">
        <v>4.7159060000000003E-2</v>
      </c>
      <c r="W8010">
        <v>5.4343119999999898E-3</v>
      </c>
      <c r="X8010">
        <v>0.9988726</v>
      </c>
      <c r="Y8010">
        <v>0.1020653</v>
      </c>
      <c r="Z8010">
        <v>-2.7335200000000001E-3</v>
      </c>
      <c r="AA8010">
        <v>0.99477389999999999</v>
      </c>
      <c r="AB8010">
        <v>22</v>
      </c>
      <c r="AC8010">
        <v>0.68549999999999001</v>
      </c>
      <c r="AD8010">
        <v>-6.4933000000000102E-2</v>
      </c>
      <c r="AE8010">
        <v>-9.4010000000000801E-2</v>
      </c>
      <c r="AF8010">
        <v>8.1481123675838998E-2</v>
      </c>
      <c r="AG8010">
        <v>-6.4933000000000102E-2</v>
      </c>
      <c r="AH8010">
        <v>0.68101870122290598</v>
      </c>
      <c r="AI8010">
        <v>95.408167463803494</v>
      </c>
      <c r="AJ8010">
        <v>83.177225510430901</v>
      </c>
      <c r="AK8010">
        <v>0.688942624185651</v>
      </c>
      <c r="AL8010">
        <v>89.6886353221484</v>
      </c>
      <c r="AM8010">
        <v>87.296942385620895</v>
      </c>
      <c r="AN8010">
        <v>0.99999998985887795</v>
      </c>
    </row>
    <row r="8011" spans="1:40" x14ac:dyDescent="0.25">
      <c r="A8011" t="str">
        <f>"20190312154117694"</f>
        <v>20190312154117694</v>
      </c>
      <c r="B8011" t="str">
        <f>"1552376477684402"</f>
        <v>1552376477684402</v>
      </c>
      <c r="C8011" t="s">
        <v>40</v>
      </c>
      <c r="D8011">
        <v>4.3527930000000001</v>
      </c>
      <c r="E8011">
        <v>0.52146979999999998</v>
      </c>
      <c r="F8011" t="s">
        <v>41</v>
      </c>
      <c r="G8011">
        <v>-325.71589999999998</v>
      </c>
      <c r="H8011">
        <v>1.0388269999999999</v>
      </c>
      <c r="I8011">
        <v>17.437379999999902</v>
      </c>
      <c r="J8011">
        <v>-326.4744</v>
      </c>
      <c r="K8011">
        <v>1.109855</v>
      </c>
      <c r="L8011">
        <v>17.540559999999999</v>
      </c>
      <c r="M8011">
        <v>0.99973979999999996</v>
      </c>
      <c r="N8011">
        <v>0</v>
      </c>
      <c r="O8011">
        <v>-1.7617839999999999E-2</v>
      </c>
      <c r="P8011">
        <v>0.99787159999999997</v>
      </c>
      <c r="Q8011">
        <v>-8.9949119999999903E-3</v>
      </c>
      <c r="R8011">
        <v>-6.4585980000000001E-2</v>
      </c>
      <c r="S8011">
        <v>2.9810180000000002</v>
      </c>
      <c r="T8011">
        <v>-0.2420313</v>
      </c>
      <c r="U8011">
        <v>-0.35931400000000002</v>
      </c>
      <c r="V8011">
        <v>4.699996E-2</v>
      </c>
      <c r="W8011">
        <v>5.4300210000000002E-3</v>
      </c>
      <c r="X8011">
        <v>0.99888010000000005</v>
      </c>
      <c r="Y8011">
        <v>0.101883</v>
      </c>
      <c r="Z8011">
        <v>-2.6917199999999999E-3</v>
      </c>
      <c r="AA8011">
        <v>0.99479280000000003</v>
      </c>
      <c r="AB8011">
        <v>22</v>
      </c>
      <c r="AC8011">
        <v>0.75850000000002604</v>
      </c>
      <c r="AD8011">
        <v>-7.1027999999999994E-2</v>
      </c>
      <c r="AE8011">
        <v>-0.10318000000000099</v>
      </c>
      <c r="AF8011">
        <v>8.9032906553197899E-2</v>
      </c>
      <c r="AG8011">
        <v>-7.1027999999999994E-2</v>
      </c>
      <c r="AH8011">
        <v>0.75371106981907499</v>
      </c>
      <c r="AI8011">
        <v>95.346568170213899</v>
      </c>
      <c r="AJ8011">
        <v>83.2630955627031</v>
      </c>
      <c r="AK8011">
        <v>0.76226780858247301</v>
      </c>
      <c r="AL8011">
        <v>89.688881175096597</v>
      </c>
      <c r="AM8011">
        <v>87.306068401868302</v>
      </c>
      <c r="AN8011">
        <v>0.99999996777203504</v>
      </c>
    </row>
    <row r="8012" spans="1:40" x14ac:dyDescent="0.25">
      <c r="A8012" t="str">
        <f>"20190312154117705"</f>
        <v>20190312154117705</v>
      </c>
      <c r="B8012" t="str">
        <f>"1552376477694164"</f>
        <v>1552376477694164</v>
      </c>
      <c r="C8012" t="s">
        <v>40</v>
      </c>
      <c r="D8012">
        <v>4.3451219999999999</v>
      </c>
      <c r="E8012">
        <v>0.52146979999999998</v>
      </c>
      <c r="F8012" t="s">
        <v>41</v>
      </c>
      <c r="G8012">
        <v>-325.7099</v>
      </c>
      <c r="H8012">
        <v>1.0475380000000001</v>
      </c>
      <c r="I8012">
        <v>17.447859999999999</v>
      </c>
      <c r="J8012">
        <v>-326.36020000000002</v>
      </c>
      <c r="K8012">
        <v>1.109855</v>
      </c>
      <c r="L8012">
        <v>17.538119999999999</v>
      </c>
      <c r="M8012">
        <v>0.99973259999999997</v>
      </c>
      <c r="N8012">
        <v>0</v>
      </c>
      <c r="O8012">
        <v>-1.8023359999999999E-2</v>
      </c>
      <c r="P8012">
        <v>0.99785119999999905</v>
      </c>
      <c r="Q8012">
        <v>-8.9744290000000008E-3</v>
      </c>
      <c r="R8012">
        <v>-6.490543E-2</v>
      </c>
      <c r="S8012">
        <v>2.980896</v>
      </c>
      <c r="T8012">
        <v>-0.2428843</v>
      </c>
      <c r="U8012">
        <v>-0.36038209999999998</v>
      </c>
      <c r="V8012">
        <v>4.691447E-2</v>
      </c>
      <c r="W8012">
        <v>5.4481399999999998E-3</v>
      </c>
      <c r="X8012">
        <v>0.99888410000000005</v>
      </c>
      <c r="Y8012">
        <v>0.1018352</v>
      </c>
      <c r="Z8012">
        <v>-2.6664430000000001E-3</v>
      </c>
      <c r="AA8012">
        <v>0.99479770000000001</v>
      </c>
      <c r="AB8012">
        <v>22</v>
      </c>
      <c r="AC8012">
        <v>0.65030000000001498</v>
      </c>
      <c r="AD8012">
        <v>-6.2317000000000101E-2</v>
      </c>
      <c r="AE8012">
        <v>-9.0260000000000604E-2</v>
      </c>
      <c r="AF8012">
        <v>7.7822377152460404E-2</v>
      </c>
      <c r="AG8012">
        <v>-6.2317000000000101E-2</v>
      </c>
      <c r="AH8012">
        <v>0.64600118700183595</v>
      </c>
      <c r="AI8012">
        <v>95.470720676585699</v>
      </c>
      <c r="AJ8012">
        <v>83.130802478385306</v>
      </c>
      <c r="AK8012">
        <v>0.65364919068445404</v>
      </c>
      <c r="AL8012">
        <v>89.687843042359106</v>
      </c>
      <c r="AM8012">
        <v>87.310972049143004</v>
      </c>
      <c r="AN8012">
        <v>1.00000004747882</v>
      </c>
    </row>
    <row r="8013" spans="1:40" x14ac:dyDescent="0.25">
      <c r="A8013" t="str">
        <f>"20190312154117718"</f>
        <v>20190312154117718</v>
      </c>
      <c r="B8013" t="str">
        <f>"1552376477703922"</f>
        <v>1552376477703922</v>
      </c>
      <c r="C8013" t="s">
        <v>40</v>
      </c>
      <c r="D8013">
        <v>4.3403460000000003</v>
      </c>
      <c r="E8013">
        <v>0.5405065</v>
      </c>
      <c r="F8013" t="s">
        <v>41</v>
      </c>
      <c r="G8013">
        <v>-325.52229999999997</v>
      </c>
      <c r="H8013">
        <v>1.0415749999999999</v>
      </c>
      <c r="I8013">
        <v>17.436199999999999</v>
      </c>
      <c r="J8013">
        <v>-326.24149999999997</v>
      </c>
      <c r="K8013">
        <v>1.109856</v>
      </c>
      <c r="L8013">
        <v>17.535520000000002</v>
      </c>
      <c r="M8013">
        <v>0.99972499999999997</v>
      </c>
      <c r="N8013">
        <v>0</v>
      </c>
      <c r="O8013">
        <v>-1.844521E-2</v>
      </c>
      <c r="P8013">
        <v>0.99784349999999999</v>
      </c>
      <c r="Q8013">
        <v>-8.7729390000000004E-3</v>
      </c>
      <c r="R8013">
        <v>-6.504973E-2</v>
      </c>
      <c r="S8013">
        <v>2.9807739999999998</v>
      </c>
      <c r="T8013">
        <v>-0.24281949999999999</v>
      </c>
      <c r="U8013">
        <v>-0.3612976</v>
      </c>
      <c r="V8013">
        <v>4.6637629999999999E-2</v>
      </c>
      <c r="W8013">
        <v>5.6469780000000004E-3</v>
      </c>
      <c r="X8013">
        <v>0.99889589999999995</v>
      </c>
      <c r="Y8013">
        <v>0.1017233</v>
      </c>
      <c r="Z8013">
        <v>-2.627098E-3</v>
      </c>
      <c r="AA8013">
        <v>0.99480930000000001</v>
      </c>
      <c r="AB8013">
        <v>22</v>
      </c>
      <c r="AC8013">
        <v>0.71919999999999995</v>
      </c>
      <c r="AD8013">
        <v>-6.8280999999999994E-2</v>
      </c>
      <c r="AE8013">
        <v>-9.9320000000002295E-2</v>
      </c>
      <c r="AF8013">
        <v>8.5281600792687901E-2</v>
      </c>
      <c r="AG8013">
        <v>-6.8280999999999994E-2</v>
      </c>
      <c r="AH8013">
        <v>0.71458927466951905</v>
      </c>
      <c r="AI8013">
        <v>95.419970143301299</v>
      </c>
      <c r="AJ8013">
        <v>83.1943089386412</v>
      </c>
      <c r="AK8013">
        <v>0.72289216199062001</v>
      </c>
      <c r="AL8013">
        <v>89.676450270108802</v>
      </c>
      <c r="AM8013">
        <v>87.3268483194109</v>
      </c>
      <c r="AN8013">
        <v>0.99999998796467904</v>
      </c>
    </row>
    <row r="8014" spans="1:40" x14ac:dyDescent="0.25">
      <c r="A8014" t="str">
        <f>"20190312154117732"</f>
        <v>20190312154117732</v>
      </c>
      <c r="B8014" t="str">
        <f>"1552376477724419"</f>
        <v>1552376477724419</v>
      </c>
      <c r="C8014" t="s">
        <v>40</v>
      </c>
      <c r="D8014">
        <v>4.3683540000000001</v>
      </c>
      <c r="E8014">
        <v>0.55587030000000004</v>
      </c>
      <c r="F8014" t="s">
        <v>41</v>
      </c>
      <c r="G8014">
        <v>-325.32889999999998</v>
      </c>
      <c r="H8014">
        <v>1.0382709999999999</v>
      </c>
      <c r="I8014">
        <v>17.377770000000002</v>
      </c>
      <c r="J8014">
        <v>-326.10399999999998</v>
      </c>
      <c r="K8014">
        <v>1.109853</v>
      </c>
      <c r="L8014">
        <v>17.53238</v>
      </c>
      <c r="M8014">
        <v>0.99971569999999998</v>
      </c>
      <c r="N8014">
        <v>0</v>
      </c>
      <c r="O8014">
        <v>-1.8939569999999999E-2</v>
      </c>
      <c r="P8014">
        <v>0.99782159999999998</v>
      </c>
      <c r="Q8014">
        <v>-8.5806690000000008E-3</v>
      </c>
      <c r="R8014">
        <v>-6.5410860000000001E-2</v>
      </c>
      <c r="S8014">
        <v>2.9710079999999999</v>
      </c>
      <c r="T8014">
        <v>-0.23299300000000001</v>
      </c>
      <c r="U8014">
        <v>-0.51342770000000004</v>
      </c>
      <c r="V8014">
        <v>4.650555E-2</v>
      </c>
      <c r="W8014">
        <v>5.8362789999999998E-3</v>
      </c>
      <c r="X8014">
        <v>0.99890100000000004</v>
      </c>
      <c r="Y8014">
        <v>0.1511991</v>
      </c>
      <c r="Z8014">
        <v>-4.404608E-3</v>
      </c>
      <c r="AA8014">
        <v>0.98849350000000002</v>
      </c>
      <c r="AB8014">
        <v>21</v>
      </c>
      <c r="AC8014">
        <v>0.77510000000006496</v>
      </c>
      <c r="AD8014">
        <v>-7.1582000000000007E-2</v>
      </c>
      <c r="AE8014">
        <v>-0.154609999999998</v>
      </c>
      <c r="AF8014">
        <v>0.138762459539019</v>
      </c>
      <c r="AG8014">
        <v>-7.1582000000000007E-2</v>
      </c>
      <c r="AH8014">
        <v>0.771560755959116</v>
      </c>
      <c r="AI8014">
        <v>95.217245803851995</v>
      </c>
      <c r="AJ8014">
        <v>79.804548414449002</v>
      </c>
      <c r="AK8014">
        <v>0.78720073871759</v>
      </c>
      <c r="AL8014">
        <v>89.665603952887594</v>
      </c>
      <c r="AM8014">
        <v>87.334421468166198</v>
      </c>
      <c r="AN8014">
        <v>1.00000001806718</v>
      </c>
    </row>
    <row r="8015" spans="1:40" x14ac:dyDescent="0.25">
      <c r="A8015" t="str">
        <f>"20190312154117746"</f>
        <v>20190312154117746</v>
      </c>
      <c r="B8015" t="str">
        <f>"1552376477734178"</f>
        <v>1552376477734178</v>
      </c>
      <c r="C8015" t="s">
        <v>40</v>
      </c>
      <c r="D8015">
        <v>4.3001870000000002</v>
      </c>
      <c r="E8015">
        <v>0.56150049999999996</v>
      </c>
      <c r="F8015" t="s">
        <v>43</v>
      </c>
      <c r="G8015">
        <v>-312.62060000000002</v>
      </c>
      <c r="H8015">
        <v>-0.05</v>
      </c>
      <c r="I8015">
        <v>14.636229999999999</v>
      </c>
      <c r="J8015">
        <v>-325.97199999999998</v>
      </c>
      <c r="K8015">
        <v>1.1098490000000001</v>
      </c>
      <c r="L8015">
        <v>17.529329999999899</v>
      </c>
      <c r="M8015">
        <v>0.9997066</v>
      </c>
      <c r="N8015">
        <v>0</v>
      </c>
      <c r="O8015">
        <v>-1.9419160000000001E-2</v>
      </c>
      <c r="P8015">
        <v>0.99781070000000005</v>
      </c>
      <c r="Q8015">
        <v>-8.2249699999999999E-3</v>
      </c>
      <c r="R8015">
        <v>-6.5623749999999995E-2</v>
      </c>
      <c r="S8015">
        <v>2.9626459999999999</v>
      </c>
      <c r="T8015">
        <v>-0.25484879999999999</v>
      </c>
      <c r="U8015">
        <v>-0.63635249999999999</v>
      </c>
      <c r="V8015">
        <v>4.6239809999999999E-2</v>
      </c>
      <c r="W8015">
        <v>6.1886559999999998E-3</v>
      </c>
      <c r="X8015">
        <v>0.9989112</v>
      </c>
      <c r="Y8015">
        <v>0.1903716</v>
      </c>
      <c r="Z8015">
        <v>-6.4332829999999997E-3</v>
      </c>
      <c r="AA8015">
        <v>0.98169099999999998</v>
      </c>
      <c r="AB8015">
        <v>21</v>
      </c>
      <c r="AC8015">
        <v>13.3513999999999</v>
      </c>
      <c r="AD8015">
        <v>-1.1598489999999999</v>
      </c>
      <c r="AE8015">
        <v>-2.8930999999999898</v>
      </c>
      <c r="AF8015">
        <v>2.6144092242158901</v>
      </c>
      <c r="AG8015">
        <v>-1.1598489999999999</v>
      </c>
      <c r="AH8015">
        <v>13.3091354952376</v>
      </c>
      <c r="AI8015">
        <v>94.887620059108698</v>
      </c>
      <c r="AJ8015">
        <v>78.886483810878303</v>
      </c>
      <c r="AK8015">
        <v>13.6129891252825</v>
      </c>
      <c r="AL8015">
        <v>89.645413867789799</v>
      </c>
      <c r="AM8015">
        <v>87.349658245258297</v>
      </c>
      <c r="AN8015">
        <v>1.0000000024886799</v>
      </c>
    </row>
    <row r="8016" spans="1:40" x14ac:dyDescent="0.25">
      <c r="A8016" t="str">
        <f>"20190312154117758"</f>
        <v>20190312154117758</v>
      </c>
      <c r="B8016" t="str">
        <f>"1552376477743938"</f>
        <v>1552376477743938</v>
      </c>
      <c r="C8016" t="s">
        <v>40</v>
      </c>
      <c r="D8016">
        <v>4.3439009999999998</v>
      </c>
      <c r="E8016">
        <v>0.56493159999999998</v>
      </c>
      <c r="F8016" t="s">
        <v>43</v>
      </c>
      <c r="G8016">
        <v>-313.01979999999998</v>
      </c>
      <c r="H8016">
        <v>-0.05</v>
      </c>
      <c r="I8016">
        <v>14.546569999999999</v>
      </c>
      <c r="J8016">
        <v>-325.85939999999999</v>
      </c>
      <c r="K8016">
        <v>1.1098460000000001</v>
      </c>
      <c r="L8016">
        <v>17.526700000000002</v>
      </c>
      <c r="M8016">
        <v>0.99969850000000005</v>
      </c>
      <c r="N8016">
        <v>0</v>
      </c>
      <c r="O8016">
        <v>-1.9830939999999998E-2</v>
      </c>
      <c r="P8016">
        <v>0.99779600000000002</v>
      </c>
      <c r="Q8016">
        <v>-8.1105569999999991E-3</v>
      </c>
      <c r="R8016">
        <v>-6.5855709999999998E-2</v>
      </c>
      <c r="S8016">
        <v>2.9595340000000001</v>
      </c>
      <c r="T8016">
        <v>-0.26502120000000001</v>
      </c>
      <c r="U8016">
        <v>-0.68154910000000002</v>
      </c>
      <c r="V8016">
        <v>4.606089E-2</v>
      </c>
      <c r="W8016">
        <v>6.3007100000000002E-3</v>
      </c>
      <c r="X8016">
        <v>0.9989188</v>
      </c>
      <c r="Y8016">
        <v>0.20434379999999999</v>
      </c>
      <c r="Z8016">
        <v>-7.2651479999999999E-3</v>
      </c>
      <c r="AA8016">
        <v>0.97887219999999997</v>
      </c>
      <c r="AB8016">
        <v>21</v>
      </c>
      <c r="AC8016">
        <v>12.839600000000001</v>
      </c>
      <c r="AD8016">
        <v>-1.1598459999999999</v>
      </c>
      <c r="AE8016">
        <v>-2.9801299999999999</v>
      </c>
      <c r="AF8016">
        <v>2.7039590257850299</v>
      </c>
      <c r="AG8016">
        <v>-1.1598459999999999</v>
      </c>
      <c r="AH8016">
        <v>12.797091553378101</v>
      </c>
      <c r="AI8016">
        <v>95.067488081551204</v>
      </c>
      <c r="AJ8016">
        <v>78.069185744747799</v>
      </c>
      <c r="AK8016">
        <v>13.1309630028563</v>
      </c>
      <c r="AL8016">
        <v>89.638993533713204</v>
      </c>
      <c r="AM8016">
        <v>87.359918979288906</v>
      </c>
      <c r="AN8016">
        <v>1.00000003676376</v>
      </c>
    </row>
    <row r="8017" spans="1:40" x14ac:dyDescent="0.25">
      <c r="A8017" t="str">
        <f>"20190312154117770"</f>
        <v>20190312154117770</v>
      </c>
      <c r="B8017" t="str">
        <f>"1552376477754674"</f>
        <v>1552376477754674</v>
      </c>
      <c r="C8017" t="s">
        <v>40</v>
      </c>
      <c r="D8017">
        <v>4.3254219999999997</v>
      </c>
      <c r="E8017">
        <v>0.56783869999999903</v>
      </c>
      <c r="F8017" t="s">
        <v>43</v>
      </c>
      <c r="G8017">
        <v>-312.45870000000002</v>
      </c>
      <c r="H8017">
        <v>-0.05</v>
      </c>
      <c r="I8017">
        <v>14.311170000000001</v>
      </c>
      <c r="J8017">
        <v>-325.75209999999998</v>
      </c>
      <c r="K8017">
        <v>1.1098399999999999</v>
      </c>
      <c r="L8017">
        <v>17.52411</v>
      </c>
      <c r="M8017">
        <v>0.99969070000000004</v>
      </c>
      <c r="N8017">
        <v>0</v>
      </c>
      <c r="O8017">
        <v>-2.0232130000000001E-2</v>
      </c>
      <c r="P8017">
        <v>0.99776659999999995</v>
      </c>
      <c r="Q8017">
        <v>-8.2418379999999996E-3</v>
      </c>
      <c r="R8017">
        <v>-6.6288970000000003E-2</v>
      </c>
      <c r="S8017">
        <v>2.9577330000000002</v>
      </c>
      <c r="T8017">
        <v>-0.25599650000000002</v>
      </c>
      <c r="U8017">
        <v>-0.70971680000000004</v>
      </c>
      <c r="V8017">
        <v>4.6093589999999997E-2</v>
      </c>
      <c r="W8017">
        <v>6.1657680000000003E-3</v>
      </c>
      <c r="X8017">
        <v>0.99891810000000003</v>
      </c>
      <c r="Y8017">
        <v>0.2129257</v>
      </c>
      <c r="Z8017">
        <v>-7.3467309999999996E-3</v>
      </c>
      <c r="AA8017">
        <v>0.97704080000000004</v>
      </c>
      <c r="AB8017">
        <v>21</v>
      </c>
      <c r="AC8017">
        <v>13.293399999999901</v>
      </c>
      <c r="AD8017">
        <v>-1.15984</v>
      </c>
      <c r="AE8017">
        <v>-3.2129400000000001</v>
      </c>
      <c r="AF8017">
        <v>2.9222823551902901</v>
      </c>
      <c r="AG8017">
        <v>-1.15984</v>
      </c>
      <c r="AH8017">
        <v>13.260317687433799</v>
      </c>
      <c r="AI8017">
        <v>94.882203817270295</v>
      </c>
      <c r="AJ8017">
        <v>77.571924889365505</v>
      </c>
      <c r="AK8017">
        <v>13.6279487877203</v>
      </c>
      <c r="AL8017">
        <v>89.646725278831994</v>
      </c>
      <c r="AM8017">
        <v>87.358045512914202</v>
      </c>
      <c r="AN8017">
        <v>1.00000000312086</v>
      </c>
    </row>
    <row r="8018" spans="1:40" x14ac:dyDescent="0.25">
      <c r="A8018" t="str">
        <f>"20190312154117782"</f>
        <v>20190312154117782</v>
      </c>
      <c r="B8018" t="str">
        <f>"1552376477764435"</f>
        <v>1552376477764435</v>
      </c>
      <c r="C8018" t="s">
        <v>40</v>
      </c>
      <c r="D8018">
        <v>4.3269719999999996</v>
      </c>
      <c r="E8018">
        <v>0.56973799999999997</v>
      </c>
      <c r="F8018" t="s">
        <v>43</v>
      </c>
      <c r="G8018">
        <v>-312.05279999999999</v>
      </c>
      <c r="H8018">
        <v>-0.05</v>
      </c>
      <c r="I8018">
        <v>14.121869999999999</v>
      </c>
      <c r="J8018">
        <v>-325.6318</v>
      </c>
      <c r="K8018">
        <v>1.1098349999999999</v>
      </c>
      <c r="L8018">
        <v>17.521179999999902</v>
      </c>
      <c r="M8018">
        <v>0.99968140000000005</v>
      </c>
      <c r="N8018">
        <v>0</v>
      </c>
      <c r="O8018">
        <v>-2.0686280000000001E-2</v>
      </c>
      <c r="P8018">
        <v>0.99773339999999999</v>
      </c>
      <c r="Q8018">
        <v>-8.5185580000000007E-3</v>
      </c>
      <c r="R8018">
        <v>-6.6753309999999996E-2</v>
      </c>
      <c r="S8018">
        <v>2.9558719999999998</v>
      </c>
      <c r="T8018">
        <v>-0.25025730000000002</v>
      </c>
      <c r="U8018">
        <v>-0.73410030000000004</v>
      </c>
      <c r="V8018">
        <v>4.6104470000000002E-2</v>
      </c>
      <c r="W8018">
        <v>5.8853919999999997E-3</v>
      </c>
      <c r="X8018">
        <v>0.99891929999999995</v>
      </c>
      <c r="Y8018">
        <v>0.22022939999999999</v>
      </c>
      <c r="Z8018">
        <v>-7.4463940000000003E-3</v>
      </c>
      <c r="AA8018">
        <v>0.9754197</v>
      </c>
      <c r="AB8018">
        <v>21</v>
      </c>
      <c r="AC8018">
        <v>13.579000000000001</v>
      </c>
      <c r="AD8018">
        <v>-1.1598349999999999</v>
      </c>
      <c r="AE8018">
        <v>-3.3993099999999901</v>
      </c>
      <c r="AF8018">
        <v>3.0963963943315398</v>
      </c>
      <c r="AG8018">
        <v>-1.1598349999999999</v>
      </c>
      <c r="AH8018">
        <v>13.553372232695599</v>
      </c>
      <c r="AI8018">
        <v>94.768909713078202</v>
      </c>
      <c r="AJ8018">
        <v>77.131094211874796</v>
      </c>
      <c r="AK8018">
        <v>13.9508704651738</v>
      </c>
      <c r="AL8018">
        <v>89.662789935601197</v>
      </c>
      <c r="AM8018">
        <v>87.357425955931404</v>
      </c>
      <c r="AN8018">
        <v>1.0000000139527301</v>
      </c>
    </row>
    <row r="8019" spans="1:40" x14ac:dyDescent="0.25">
      <c r="A8019" t="str">
        <f>"20190312154117792"</f>
        <v>20190312154117792</v>
      </c>
      <c r="B8019" t="str">
        <f>"1552376477783954"</f>
        <v>1552376477783954</v>
      </c>
      <c r="C8019" t="s">
        <v>40</v>
      </c>
      <c r="D8019">
        <v>4.3202579999999999</v>
      </c>
      <c r="E8019">
        <v>0.57264040000000005</v>
      </c>
      <c r="F8019" t="s">
        <v>43</v>
      </c>
      <c r="G8019">
        <v>-311.40069999999997</v>
      </c>
      <c r="H8019">
        <v>-0.05</v>
      </c>
      <c r="I8019">
        <v>13.90569</v>
      </c>
      <c r="J8019">
        <v>-325.52519999999998</v>
      </c>
      <c r="K8019">
        <v>1.109829</v>
      </c>
      <c r="L8019">
        <v>17.518519999999999</v>
      </c>
      <c r="M8019">
        <v>0.99967269999999997</v>
      </c>
      <c r="N8019">
        <v>0</v>
      </c>
      <c r="O8019">
        <v>-2.1096219999999999E-2</v>
      </c>
      <c r="P8019">
        <v>0.99766589999999999</v>
      </c>
      <c r="Q8019">
        <v>-8.9732259999999904E-3</v>
      </c>
      <c r="R8019">
        <v>-6.7690230000000004E-2</v>
      </c>
      <c r="S8019">
        <v>2.954529</v>
      </c>
      <c r="T8019">
        <v>-0.24079339999999999</v>
      </c>
      <c r="U8019">
        <v>-0.75061040000000001</v>
      </c>
      <c r="V8019">
        <v>4.663262E-2</v>
      </c>
      <c r="W8019">
        <v>5.427159E-3</v>
      </c>
      <c r="X8019">
        <v>0.99889740000000005</v>
      </c>
      <c r="Y8019">
        <v>0.22509390000000001</v>
      </c>
      <c r="Z8019">
        <v>-7.3261209999999997E-3</v>
      </c>
      <c r="AA8019">
        <v>0.9743096</v>
      </c>
      <c r="AB8019">
        <v>21</v>
      </c>
      <c r="AC8019">
        <v>14.124499999999999</v>
      </c>
      <c r="AD8019">
        <v>-1.159829</v>
      </c>
      <c r="AE8019">
        <v>-3.6128300000000002</v>
      </c>
      <c r="AF8019">
        <v>3.2931792895196201</v>
      </c>
      <c r="AG8019">
        <v>-1.159829</v>
      </c>
      <c r="AH8019">
        <v>14.1082929861732</v>
      </c>
      <c r="AI8019">
        <v>94.5771647957406</v>
      </c>
      <c r="AJ8019">
        <v>76.861185582069098</v>
      </c>
      <c r="AK8019">
        <v>14.533897072907401</v>
      </c>
      <c r="AL8019">
        <v>89.689045179104298</v>
      </c>
      <c r="AM8019">
        <v>87.327139071452194</v>
      </c>
      <c r="AN8019">
        <v>1.00000003551481</v>
      </c>
    </row>
    <row r="8020" spans="1:40" x14ac:dyDescent="0.25">
      <c r="A8020" t="str">
        <f>"20190312154117804"</f>
        <v>20190312154117804</v>
      </c>
      <c r="B8020" t="str">
        <f>"1552376477794690"</f>
        <v>1552376477794690</v>
      </c>
      <c r="C8020" t="s">
        <v>40</v>
      </c>
      <c r="D8020">
        <v>4.2883699999999996</v>
      </c>
      <c r="E8020">
        <v>0.57385339999999996</v>
      </c>
      <c r="F8020" t="s">
        <v>43</v>
      </c>
      <c r="G8020">
        <v>-311.1782</v>
      </c>
      <c r="H8020">
        <v>-0.05</v>
      </c>
      <c r="I8020">
        <v>13.74521</v>
      </c>
      <c r="J8020">
        <v>-325.41520000000003</v>
      </c>
      <c r="K8020">
        <v>1.1098190000000001</v>
      </c>
      <c r="L8020">
        <v>17.515689999999999</v>
      </c>
      <c r="M8020">
        <v>0.99966359999999999</v>
      </c>
      <c r="N8020">
        <v>0</v>
      </c>
      <c r="O8020">
        <v>-2.153004E-2</v>
      </c>
      <c r="P8020">
        <v>0.99759659999999994</v>
      </c>
      <c r="Q8020">
        <v>-9.0068330000000005E-3</v>
      </c>
      <c r="R8020">
        <v>-6.8705719999999998E-2</v>
      </c>
      <c r="S8020">
        <v>2.9521480000000002</v>
      </c>
      <c r="T8020">
        <v>-0.23865610000000001</v>
      </c>
      <c r="U8020">
        <v>-0.77642819999999901</v>
      </c>
      <c r="V8020">
        <v>4.7215670000000001E-2</v>
      </c>
      <c r="W8020">
        <v>5.3885360000000002E-3</v>
      </c>
      <c r="X8020">
        <v>0.99887020000000004</v>
      </c>
      <c r="Y8020">
        <v>0.2328276</v>
      </c>
      <c r="Z8020">
        <v>-7.5317219999999898E-3</v>
      </c>
      <c r="AA8020">
        <v>0.97248889999999999</v>
      </c>
      <c r="AB8020">
        <v>21</v>
      </c>
      <c r="AC8020">
        <v>14.237</v>
      </c>
      <c r="AD8020">
        <v>-1.1598189999999999</v>
      </c>
      <c r="AE8020">
        <v>-3.7704799999999898</v>
      </c>
      <c r="AF8020">
        <v>3.4417065142035601</v>
      </c>
      <c r="AG8020">
        <v>-1.1598189999999999</v>
      </c>
      <c r="AH8020">
        <v>14.226658283581999</v>
      </c>
      <c r="AI8020">
        <v>94.530570574928902</v>
      </c>
      <c r="AJ8020">
        <v>76.400320920886301</v>
      </c>
      <c r="AK8020">
        <v>14.682926471262</v>
      </c>
      <c r="AL8020">
        <v>89.691258140292405</v>
      </c>
      <c r="AM8020">
        <v>87.293695948393093</v>
      </c>
      <c r="AN8020">
        <v>1.0000000161308999</v>
      </c>
    </row>
    <row r="8021" spans="1:40" x14ac:dyDescent="0.25">
      <c r="A8021" t="str">
        <f>"20190312154117815"</f>
        <v>20190312154117815</v>
      </c>
      <c r="B8021" t="str">
        <f>"1552376477804451"</f>
        <v>1552376477804451</v>
      </c>
      <c r="C8021" t="s">
        <v>40</v>
      </c>
      <c r="D8021">
        <v>4.2990019999999998</v>
      </c>
      <c r="E8021">
        <v>0.57477999999999996</v>
      </c>
      <c r="F8021" t="s">
        <v>43</v>
      </c>
      <c r="G8021">
        <v>-310.9348</v>
      </c>
      <c r="H8021">
        <v>-0.05</v>
      </c>
      <c r="I8021">
        <v>13.644439999999999</v>
      </c>
      <c r="J8021">
        <v>-325.30849999999998</v>
      </c>
      <c r="K8021">
        <v>1.10981</v>
      </c>
      <c r="L8021">
        <v>17.512910000000002</v>
      </c>
      <c r="M8021">
        <v>0.99965440000000005</v>
      </c>
      <c r="N8021">
        <v>0</v>
      </c>
      <c r="O8021">
        <v>-2.1956610000000001E-2</v>
      </c>
      <c r="P8021">
        <v>0.99750510000000003</v>
      </c>
      <c r="Q8021">
        <v>-9.1276020000000003E-3</v>
      </c>
      <c r="R8021">
        <v>-7.0003300000000004E-2</v>
      </c>
      <c r="S8021">
        <v>2.950806</v>
      </c>
      <c r="T8021">
        <v>-0.23634669999999999</v>
      </c>
      <c r="U8021">
        <v>-0.78887940000000001</v>
      </c>
      <c r="V8021">
        <v>4.8088789999999999E-2</v>
      </c>
      <c r="W8021">
        <v>5.2626529999999999E-3</v>
      </c>
      <c r="X8021">
        <v>0.99882919999999997</v>
      </c>
      <c r="Y8021">
        <v>0.23635709999999999</v>
      </c>
      <c r="Z8021">
        <v>-7.5636309999999899E-3</v>
      </c>
      <c r="AA8021">
        <v>0.97163679999999997</v>
      </c>
      <c r="AB8021">
        <v>21</v>
      </c>
      <c r="AC8021">
        <v>14.3736999999999</v>
      </c>
      <c r="AD8021">
        <v>-1.15981</v>
      </c>
      <c r="AE8021">
        <v>-3.8684699999999999</v>
      </c>
      <c r="AF8021">
        <v>3.5304727167209302</v>
      </c>
      <c r="AG8021">
        <v>-1.15981</v>
      </c>
      <c r="AH8021">
        <v>14.3679524861035</v>
      </c>
      <c r="AI8021">
        <v>94.482260566999202</v>
      </c>
      <c r="AJ8021">
        <v>76.194866175943005</v>
      </c>
      <c r="AK8021">
        <v>14.840736352436799</v>
      </c>
      <c r="AL8021">
        <v>89.698470801913103</v>
      </c>
      <c r="AM8021">
        <v>87.2436140350203</v>
      </c>
      <c r="AN8021">
        <v>0.99999999900645098</v>
      </c>
    </row>
    <row r="8022" spans="1:40" x14ac:dyDescent="0.25">
      <c r="A8022" t="str">
        <f>"20190312154117826"</f>
        <v>20190312154117826</v>
      </c>
      <c r="B8022" t="str">
        <f>"1552376477814210"</f>
        <v>1552376477814210</v>
      </c>
      <c r="C8022" t="s">
        <v>40</v>
      </c>
      <c r="D8022">
        <v>4.311782</v>
      </c>
      <c r="E8022">
        <v>0.57560459999999902</v>
      </c>
      <c r="F8022" t="s">
        <v>43</v>
      </c>
      <c r="G8022">
        <v>-310.71519999999998</v>
      </c>
      <c r="H8022">
        <v>-0.05</v>
      </c>
      <c r="I8022">
        <v>13.55353</v>
      </c>
      <c r="J8022">
        <v>-325.20519999999999</v>
      </c>
      <c r="K8022">
        <v>1.1097939999999999</v>
      </c>
      <c r="L8022">
        <v>17.510159999999999</v>
      </c>
      <c r="M8022">
        <v>0.99964470000000005</v>
      </c>
      <c r="N8022">
        <v>0</v>
      </c>
      <c r="O8022">
        <v>-2.238969E-2</v>
      </c>
      <c r="P8022">
        <v>0.99738850000000001</v>
      </c>
      <c r="Q8022">
        <v>-8.7919160000000003E-3</v>
      </c>
      <c r="R8022">
        <v>-7.1686340000000001E-2</v>
      </c>
      <c r="S8022">
        <v>2.9492189999999998</v>
      </c>
      <c r="T8022">
        <v>-0.23439160000000001</v>
      </c>
      <c r="U8022">
        <v>-0.80017090000000002</v>
      </c>
      <c r="V8022">
        <v>4.9341929999999999E-2</v>
      </c>
      <c r="W8022">
        <v>5.5916660000000003E-3</v>
      </c>
      <c r="X8022">
        <v>0.9987663</v>
      </c>
      <c r="Y8022">
        <v>0.23953640000000001</v>
      </c>
      <c r="Z8022">
        <v>-7.5917049999999998E-3</v>
      </c>
      <c r="AA8022">
        <v>0.97085770000000005</v>
      </c>
      <c r="AB8022">
        <v>21</v>
      </c>
      <c r="AC8022">
        <v>14.49</v>
      </c>
      <c r="AD8022">
        <v>-1.159794</v>
      </c>
      <c r="AE8022">
        <v>-3.9566300000000001</v>
      </c>
      <c r="AF8022">
        <v>3.6096565397109202</v>
      </c>
      <c r="AG8022">
        <v>-1.159794</v>
      </c>
      <c r="AH8022">
        <v>14.4885825907661</v>
      </c>
      <c r="AI8022">
        <v>94.441502717690497</v>
      </c>
      <c r="AJ8022">
        <v>76.010249493696904</v>
      </c>
      <c r="AK8022">
        <v>14.976440429773801</v>
      </c>
      <c r="AL8022">
        <v>89.679619470567403</v>
      </c>
      <c r="AM8022">
        <v>87.171723019653001</v>
      </c>
      <c r="AN8022">
        <v>1.00000000740023</v>
      </c>
    </row>
    <row r="8023" spans="1:40" x14ac:dyDescent="0.25">
      <c r="A8023" t="str">
        <f>"20190312154117837"</f>
        <v>20190312154117837</v>
      </c>
      <c r="B8023" t="str">
        <f>"1552376477823970"</f>
        <v>1552376477823970</v>
      </c>
      <c r="C8023" t="s">
        <v>40</v>
      </c>
      <c r="D8023">
        <v>4.3151619999999999</v>
      </c>
      <c r="E8023">
        <v>0.57631719999999997</v>
      </c>
      <c r="F8023" t="s">
        <v>43</v>
      </c>
      <c r="G8023">
        <v>-310.40460000000002</v>
      </c>
      <c r="H8023">
        <v>-0.05</v>
      </c>
      <c r="I8023">
        <v>13.43379</v>
      </c>
      <c r="J8023">
        <v>-325.101</v>
      </c>
      <c r="K8023">
        <v>1.109782</v>
      </c>
      <c r="L8023">
        <v>17.507390000000001</v>
      </c>
      <c r="M8023">
        <v>0.99963469999999999</v>
      </c>
      <c r="N8023">
        <v>0</v>
      </c>
      <c r="O8023">
        <v>-2.2832209999999999E-2</v>
      </c>
      <c r="P8023">
        <v>0.9972839</v>
      </c>
      <c r="Q8023">
        <v>-8.6665270000000003E-3</v>
      </c>
      <c r="R8023">
        <v>-7.3141699999999907E-2</v>
      </c>
      <c r="S8023">
        <v>2.9475099999999999</v>
      </c>
      <c r="T8023">
        <v>-0.2309698</v>
      </c>
      <c r="U8023">
        <v>-0.81179809999999997</v>
      </c>
      <c r="V8023">
        <v>5.035771E-2</v>
      </c>
      <c r="W8023">
        <v>5.710873E-3</v>
      </c>
      <c r="X8023">
        <v>0.99871489999999996</v>
      </c>
      <c r="Y8023">
        <v>0.24282139999999999</v>
      </c>
      <c r="Z8023">
        <v>-7.5738159999999997E-3</v>
      </c>
      <c r="AA8023">
        <v>0.9700415</v>
      </c>
      <c r="AB8023">
        <v>21</v>
      </c>
      <c r="AC8023">
        <v>14.696399999999899</v>
      </c>
      <c r="AD8023">
        <v>-1.1597819999999901</v>
      </c>
      <c r="AE8023">
        <v>-4.0735999999999999</v>
      </c>
      <c r="AF8023">
        <v>3.71546342958447</v>
      </c>
      <c r="AG8023">
        <v>-1.1597819999999901</v>
      </c>
      <c r="AH8023">
        <v>14.700567738739601</v>
      </c>
      <c r="AI8023">
        <v>94.373951622272799</v>
      </c>
      <c r="AJ8023">
        <v>75.815942707481</v>
      </c>
      <c r="AK8023">
        <v>15.207118551039599</v>
      </c>
      <c r="AL8023">
        <v>89.672789295329594</v>
      </c>
      <c r="AM8023">
        <v>87.113447729843102</v>
      </c>
      <c r="AN8023">
        <v>0.99999998225443798</v>
      </c>
    </row>
    <row r="8024" spans="1:40" x14ac:dyDescent="0.25">
      <c r="A8024" t="str">
        <f>"20190312154117848"</f>
        <v>20190312154117848</v>
      </c>
      <c r="B8024" t="str">
        <f>"1552376477834706"</f>
        <v>1552376477834706</v>
      </c>
      <c r="C8024" t="s">
        <v>40</v>
      </c>
      <c r="D8024">
        <v>4.2906890000000004</v>
      </c>
      <c r="E8024">
        <v>0.57696119999999995</v>
      </c>
      <c r="F8024" t="s">
        <v>43</v>
      </c>
      <c r="G8024">
        <v>-310.14</v>
      </c>
      <c r="H8024">
        <v>-0.05</v>
      </c>
      <c r="I8024">
        <v>13.33366</v>
      </c>
      <c r="J8024">
        <v>-324.99950000000001</v>
      </c>
      <c r="K8024">
        <v>1.109756</v>
      </c>
      <c r="L8024">
        <v>17.504549999999998</v>
      </c>
      <c r="M8024">
        <v>0.99962410000000002</v>
      </c>
      <c r="N8024">
        <v>0</v>
      </c>
      <c r="O8024">
        <v>-2.3298490000000002E-2</v>
      </c>
      <c r="P8024">
        <v>0.99716130000000003</v>
      </c>
      <c r="Q8024">
        <v>-8.4258489999999991E-3</v>
      </c>
      <c r="R8024">
        <v>-7.4824009999999996E-2</v>
      </c>
      <c r="S8024">
        <v>2.9459230000000001</v>
      </c>
      <c r="T8024">
        <v>-0.2283695</v>
      </c>
      <c r="U8024">
        <v>-0.82183839999999997</v>
      </c>
      <c r="V8024">
        <v>5.1577119999999997E-2</v>
      </c>
      <c r="W8024">
        <v>5.9440419999999897E-3</v>
      </c>
      <c r="X8024">
        <v>0.99865130000000002</v>
      </c>
      <c r="Y8024">
        <v>0.24557950000000001</v>
      </c>
      <c r="Z8024">
        <v>-7.5587500000000004E-3</v>
      </c>
      <c r="AA8024">
        <v>0.96934699999999996</v>
      </c>
      <c r="AB8024">
        <v>21</v>
      </c>
      <c r="AC8024">
        <v>14.859500000000001</v>
      </c>
      <c r="AD8024">
        <v>-1.159756</v>
      </c>
      <c r="AE8024">
        <v>-4.1708899999999902</v>
      </c>
      <c r="AF8024">
        <v>3.8020487472379099</v>
      </c>
      <c r="AG8024">
        <v>-1.159756</v>
      </c>
      <c r="AH8024">
        <v>14.8686931304065</v>
      </c>
      <c r="AI8024">
        <v>94.321536279487702</v>
      </c>
      <c r="AJ8024">
        <v>75.6563479646058</v>
      </c>
      <c r="AK8024">
        <v>15.390862356025</v>
      </c>
      <c r="AL8024">
        <v>89.659429466120301</v>
      </c>
      <c r="AM8024">
        <v>87.043484568183302</v>
      </c>
      <c r="AN8024">
        <v>0.99999997496724002</v>
      </c>
    </row>
    <row r="8025" spans="1:40" x14ac:dyDescent="0.25">
      <c r="A8025" t="str">
        <f>"20190312154117859"</f>
        <v>20190312154117859</v>
      </c>
      <c r="B8025" t="str">
        <f>"1552376477844467"</f>
        <v>1552376477844467</v>
      </c>
      <c r="C8025" t="s">
        <v>40</v>
      </c>
      <c r="D8025">
        <v>4.3057239999999997</v>
      </c>
      <c r="E8025">
        <v>0.5775555</v>
      </c>
      <c r="F8025" t="s">
        <v>43</v>
      </c>
      <c r="G8025">
        <v>-309.9753</v>
      </c>
      <c r="H8025">
        <v>-0.05</v>
      </c>
      <c r="I8025">
        <v>13.258620000000001</v>
      </c>
      <c r="J8025">
        <v>-324.89670000000001</v>
      </c>
      <c r="K8025">
        <v>1.1097349999999999</v>
      </c>
      <c r="L8025">
        <v>17.501619999999999</v>
      </c>
      <c r="M8025">
        <v>0.99961290000000003</v>
      </c>
      <c r="N8025">
        <v>0</v>
      </c>
      <c r="O8025">
        <v>-2.377696E-2</v>
      </c>
      <c r="P8025">
        <v>0.99702860000000004</v>
      </c>
      <c r="Q8025">
        <v>-8.1584350000000003E-3</v>
      </c>
      <c r="R8025">
        <v>-7.6600890000000005E-2</v>
      </c>
      <c r="S8025">
        <v>2.9441220000000001</v>
      </c>
      <c r="T8025">
        <v>-0.2272652</v>
      </c>
      <c r="U8025">
        <v>-0.83203130000000003</v>
      </c>
      <c r="V8025">
        <v>5.2879389999999998E-2</v>
      </c>
      <c r="W8025">
        <v>6.2039130000000001E-3</v>
      </c>
      <c r="X8025">
        <v>0.99858159999999896</v>
      </c>
      <c r="Y8025">
        <v>0.24837809999999999</v>
      </c>
      <c r="Z8025">
        <v>-7.5929789999999997E-3</v>
      </c>
      <c r="AA8025">
        <v>0.96863339999999998</v>
      </c>
      <c r="AB8025">
        <v>21</v>
      </c>
      <c r="AC8025">
        <v>14.9214</v>
      </c>
      <c r="AD8025">
        <v>-1.159735</v>
      </c>
      <c r="AE8025">
        <v>-4.2430000000000003</v>
      </c>
      <c r="AF8025">
        <v>3.86537429827521</v>
      </c>
      <c r="AG8025">
        <v>-1.159735</v>
      </c>
      <c r="AH8025">
        <v>14.934608203657501</v>
      </c>
      <c r="AI8025">
        <v>94.299240004008396</v>
      </c>
      <c r="AJ8025">
        <v>75.489133609014701</v>
      </c>
      <c r="AK8025">
        <v>15.470249704925401</v>
      </c>
      <c r="AL8025">
        <v>89.644539676026398</v>
      </c>
      <c r="AM8025">
        <v>86.968761868350896</v>
      </c>
      <c r="AN8025">
        <v>0.99999996514092104</v>
      </c>
    </row>
    <row r="8026" spans="1:40" x14ac:dyDescent="0.25">
      <c r="A8026" t="str">
        <f>"20190312154117869"</f>
        <v>20190312154117869</v>
      </c>
      <c r="B8026" t="str">
        <f>"1552376477854227"</f>
        <v>1552376477854227</v>
      </c>
      <c r="C8026" t="s">
        <v>40</v>
      </c>
      <c r="D8026">
        <v>4.3063510000000003</v>
      </c>
      <c r="E8026">
        <v>0.57803579999999999</v>
      </c>
      <c r="F8026" t="s">
        <v>43</v>
      </c>
      <c r="G8026">
        <v>-309.83980000000003</v>
      </c>
      <c r="H8026">
        <v>-0.05</v>
      </c>
      <c r="I8026">
        <v>13.193820000000001</v>
      </c>
      <c r="J8026">
        <v>-324.7946</v>
      </c>
      <c r="K8026">
        <v>1.109707</v>
      </c>
      <c r="L8026">
        <v>17.498629999999999</v>
      </c>
      <c r="M8026">
        <v>0.9996005</v>
      </c>
      <c r="N8026">
        <v>0</v>
      </c>
      <c r="O8026">
        <v>-2.4288089999999998E-2</v>
      </c>
      <c r="P8026">
        <v>0.9969112</v>
      </c>
      <c r="Q8026">
        <v>-8.2389879999999992E-3</v>
      </c>
      <c r="R8026">
        <v>-7.8105079999999993E-2</v>
      </c>
      <c r="S8026">
        <v>2.9424130000000002</v>
      </c>
      <c r="T8026">
        <v>-0.22663449999999999</v>
      </c>
      <c r="U8026">
        <v>-0.841827399999999</v>
      </c>
      <c r="V8026">
        <v>5.3875649999999997E-2</v>
      </c>
      <c r="W8026">
        <v>6.1152239999999998E-3</v>
      </c>
      <c r="X8026">
        <v>0.99852890000000005</v>
      </c>
      <c r="Y8026">
        <v>0.25101040000000002</v>
      </c>
      <c r="Z8026">
        <v>-7.6336040000000004E-3</v>
      </c>
      <c r="AA8026">
        <v>0.96795430000000005</v>
      </c>
      <c r="AB8026">
        <v>21</v>
      </c>
      <c r="AC8026">
        <v>14.954799999999899</v>
      </c>
      <c r="AD8026">
        <v>-1.159707</v>
      </c>
      <c r="AE8026">
        <v>-4.30480999999999</v>
      </c>
      <c r="AF8026">
        <v>3.9185170513743102</v>
      </c>
      <c r="AG8026">
        <v>-1.159707</v>
      </c>
      <c r="AH8026">
        <v>14.9718087657207</v>
      </c>
      <c r="AI8026">
        <v>94.285468520912602</v>
      </c>
      <c r="AJ8026">
        <v>75.333172672429995</v>
      </c>
      <c r="AK8026">
        <v>15.519495930122</v>
      </c>
      <c r="AL8026">
        <v>89.649621280706199</v>
      </c>
      <c r="AM8026">
        <v>86.911599488887404</v>
      </c>
      <c r="AN8026">
        <v>0.99999997288135101</v>
      </c>
    </row>
    <row r="8027" spans="1:40" x14ac:dyDescent="0.25">
      <c r="A8027" t="str">
        <f>"20190312154117882"</f>
        <v>20190312154117882</v>
      </c>
      <c r="B8027" t="str">
        <f>"1552376477874723"</f>
        <v>1552376477874723</v>
      </c>
      <c r="C8027" t="s">
        <v>40</v>
      </c>
      <c r="D8027">
        <v>4.2887879999999896</v>
      </c>
      <c r="E8027">
        <v>0.57881709999999997</v>
      </c>
      <c r="F8027" t="s">
        <v>43</v>
      </c>
      <c r="G8027">
        <v>-309.88729999999998</v>
      </c>
      <c r="H8027">
        <v>-0.05</v>
      </c>
      <c r="I8027">
        <v>13.190810000000001</v>
      </c>
      <c r="J8027">
        <v>-324.67930000000001</v>
      </c>
      <c r="K8027">
        <v>1.109669</v>
      </c>
      <c r="L8027">
        <v>17.49521</v>
      </c>
      <c r="M8027">
        <v>0.99958570000000002</v>
      </c>
      <c r="N8027">
        <v>0</v>
      </c>
      <c r="O8027">
        <v>-2.4890209999999999E-2</v>
      </c>
      <c r="P8027">
        <v>0.99680290000000005</v>
      </c>
      <c r="Q8027">
        <v>-8.2038370000000003E-3</v>
      </c>
      <c r="R8027">
        <v>-7.9478190000000004E-2</v>
      </c>
      <c r="S8027">
        <v>2.9408259999999999</v>
      </c>
      <c r="T8027">
        <v>-0.22878100000000001</v>
      </c>
      <c r="U8027">
        <v>-0.849823</v>
      </c>
      <c r="V8027">
        <v>5.4650329999999997E-2</v>
      </c>
      <c r="W8027">
        <v>6.1414490000000002E-3</v>
      </c>
      <c r="X8027">
        <v>0.9984866</v>
      </c>
      <c r="Y8027">
        <v>0.25297989999999998</v>
      </c>
      <c r="Z8027">
        <v>-7.7360859999999997E-3</v>
      </c>
      <c r="AA8027">
        <v>0.96744059999999998</v>
      </c>
      <c r="AB8027">
        <v>21</v>
      </c>
      <c r="AC8027">
        <v>14.792</v>
      </c>
      <c r="AD8027">
        <v>-1.1596690000000001</v>
      </c>
      <c r="AE8027">
        <v>-4.3043999999999896</v>
      </c>
      <c r="AF8027">
        <v>3.9126806004644501</v>
      </c>
      <c r="AG8027">
        <v>-1.1596690000000001</v>
      </c>
      <c r="AH8027">
        <v>14.810640748670099</v>
      </c>
      <c r="AI8027">
        <v>94.329180873571801</v>
      </c>
      <c r="AJ8027">
        <v>75.201661544302993</v>
      </c>
      <c r="AK8027">
        <v>15.362583801463201</v>
      </c>
      <c r="AL8027">
        <v>89.6481186566579</v>
      </c>
      <c r="AM8027">
        <v>86.8671466387229</v>
      </c>
      <c r="AN8027">
        <v>0.99999993317224201</v>
      </c>
    </row>
    <row r="8028" spans="1:40" x14ac:dyDescent="0.25">
      <c r="A8028" t="str">
        <f>"20190312154117895"</f>
        <v>20190312154117895</v>
      </c>
      <c r="B8028" t="str">
        <f>"1552376477884482"</f>
        <v>1552376477884482</v>
      </c>
      <c r="C8028" t="s">
        <v>40</v>
      </c>
      <c r="D8028">
        <v>4.3049689999999998</v>
      </c>
      <c r="E8028">
        <v>0.57918890000000001</v>
      </c>
      <c r="F8028" t="s">
        <v>43</v>
      </c>
      <c r="G8028">
        <v>-309.90929999999997</v>
      </c>
      <c r="H8028">
        <v>-0.05</v>
      </c>
      <c r="I8028">
        <v>13.173979999999901</v>
      </c>
      <c r="J8028">
        <v>-324.55590000000001</v>
      </c>
      <c r="K8028">
        <v>1.1096220000000001</v>
      </c>
      <c r="L8028">
        <v>17.491389999999999</v>
      </c>
      <c r="M8028">
        <v>0.99956849999999997</v>
      </c>
      <c r="N8028">
        <v>0</v>
      </c>
      <c r="O8028">
        <v>-2.557539E-2</v>
      </c>
      <c r="P8028">
        <v>0.99667130000000004</v>
      </c>
      <c r="Q8028">
        <v>-8.2346099999999998E-3</v>
      </c>
      <c r="R8028">
        <v>-8.1108730000000004E-2</v>
      </c>
      <c r="S8028">
        <v>2.939117</v>
      </c>
      <c r="T8028">
        <v>-0.23076640000000001</v>
      </c>
      <c r="U8028">
        <v>-0.85989380000000004</v>
      </c>
      <c r="V8028">
        <v>5.5599959999999997E-2</v>
      </c>
      <c r="W8028">
        <v>6.0994880000000001E-3</v>
      </c>
      <c r="X8028">
        <v>0.9984345</v>
      </c>
      <c r="Y8028">
        <v>0.25550630000000002</v>
      </c>
      <c r="Z8028">
        <v>-7.8482399999999994E-3</v>
      </c>
      <c r="AA8028">
        <v>0.96677550000000001</v>
      </c>
      <c r="AB8028">
        <v>21</v>
      </c>
      <c r="AC8028">
        <v>14.646599999999999</v>
      </c>
      <c r="AD8028">
        <v>-1.1596219999999999</v>
      </c>
      <c r="AE8028">
        <v>-4.3174099999999997</v>
      </c>
      <c r="AF8028">
        <v>3.9187651205193501</v>
      </c>
      <c r="AG8028">
        <v>-1.1596219999999999</v>
      </c>
      <c r="AH8028">
        <v>14.6676461272291</v>
      </c>
      <c r="AI8028">
        <v>94.367816827608806</v>
      </c>
      <c r="AJ8028">
        <v>75.041625093863303</v>
      </c>
      <c r="AK8028">
        <v>15.2263352835245</v>
      </c>
      <c r="AL8028">
        <v>89.650522915173994</v>
      </c>
      <c r="AM8028">
        <v>86.812654001242095</v>
      </c>
      <c r="AN8028">
        <v>1.00000000504805</v>
      </c>
    </row>
    <row r="8029" spans="1:40" x14ac:dyDescent="0.25">
      <c r="A8029" t="str">
        <f>"20190312154117909"</f>
        <v>20190312154117909</v>
      </c>
      <c r="B8029" t="str">
        <f>"1552376477904002"</f>
        <v>1552376477904002</v>
      </c>
      <c r="C8029" t="s">
        <v>40</v>
      </c>
      <c r="D8029">
        <v>4.2998089999999998</v>
      </c>
      <c r="E8029">
        <v>0.57983240000000003</v>
      </c>
      <c r="F8029" t="s">
        <v>43</v>
      </c>
      <c r="G8029">
        <v>-309.80220000000003</v>
      </c>
      <c r="H8029">
        <v>-0.05</v>
      </c>
      <c r="I8029">
        <v>13.1326</v>
      </c>
      <c r="J8029">
        <v>-324.42419999999998</v>
      </c>
      <c r="K8029">
        <v>1.109556</v>
      </c>
      <c r="L8029">
        <v>17.487089999999998</v>
      </c>
      <c r="M8029">
        <v>0.99954719999999997</v>
      </c>
      <c r="N8029">
        <v>0</v>
      </c>
      <c r="O8029">
        <v>-2.639325E-2</v>
      </c>
      <c r="P8029">
        <v>0.99657079999999998</v>
      </c>
      <c r="Q8029">
        <v>-8.0015420000000004E-3</v>
      </c>
      <c r="R8029">
        <v>-8.2356650000000003E-2</v>
      </c>
      <c r="S8029">
        <v>2.9374389999999999</v>
      </c>
      <c r="T8029">
        <v>-0.23087849999999999</v>
      </c>
      <c r="U8029">
        <v>-0.86782839999999895</v>
      </c>
      <c r="V8029">
        <v>5.6034649999999998E-2</v>
      </c>
      <c r="W8029">
        <v>6.3207360000000004E-3</v>
      </c>
      <c r="X8029">
        <v>0.99840879999999999</v>
      </c>
      <c r="Y8029">
        <v>0.25726399999999999</v>
      </c>
      <c r="Z8029">
        <v>-7.8582519999999996E-3</v>
      </c>
      <c r="AA8029">
        <v>0.96630919999999998</v>
      </c>
      <c r="AB8029">
        <v>21</v>
      </c>
      <c r="AC8029">
        <v>14.6219999999999</v>
      </c>
      <c r="AD8029">
        <v>-1.159556</v>
      </c>
      <c r="AE8029">
        <v>-4.3544899999999904</v>
      </c>
      <c r="AF8029">
        <v>3.9442264172293</v>
      </c>
      <c r="AG8029">
        <v>-1.159556</v>
      </c>
      <c r="AH8029">
        <v>14.64723617456</v>
      </c>
      <c r="AI8029">
        <v>94.371331285791399</v>
      </c>
      <c r="AJ8029">
        <v>74.928813741073299</v>
      </c>
      <c r="AK8029">
        <v>15.213251450654599</v>
      </c>
      <c r="AL8029">
        <v>89.637846086086796</v>
      </c>
      <c r="AM8029">
        <v>86.787704254413399</v>
      </c>
      <c r="AN8029">
        <v>0.99999998281082203</v>
      </c>
    </row>
    <row r="8030" spans="1:40" x14ac:dyDescent="0.25">
      <c r="A8030" t="str">
        <f>"20190312154117921"</f>
        <v>20190312154117921</v>
      </c>
      <c r="B8030" t="str">
        <f>"1552376477913762"</f>
        <v>1552376477913762</v>
      </c>
      <c r="C8030" t="s">
        <v>40</v>
      </c>
      <c r="D8030">
        <v>4.2781989999999999</v>
      </c>
      <c r="E8030">
        <v>0.58003939999999998</v>
      </c>
      <c r="F8030" t="s">
        <v>43</v>
      </c>
      <c r="G8030">
        <v>-309.71620000000001</v>
      </c>
      <c r="H8030">
        <v>-0.05</v>
      </c>
      <c r="I8030">
        <v>13.09572</v>
      </c>
      <c r="J8030">
        <v>-324.30759999999998</v>
      </c>
      <c r="K8030">
        <v>1.1094889999999999</v>
      </c>
      <c r="L8030">
        <v>17.483219999999999</v>
      </c>
      <c r="M8030">
        <v>0.99952640000000004</v>
      </c>
      <c r="N8030">
        <v>0</v>
      </c>
      <c r="O8030">
        <v>-2.7172189999999999E-2</v>
      </c>
      <c r="P8030">
        <v>0.99645969999999995</v>
      </c>
      <c r="Q8030">
        <v>-7.7732969999999898E-3</v>
      </c>
      <c r="R8030">
        <v>-8.3712529999999993E-2</v>
      </c>
      <c r="S8030">
        <v>2.936035</v>
      </c>
      <c r="T8030">
        <v>-0.2314727</v>
      </c>
      <c r="U8030">
        <v>-0.87661739999999999</v>
      </c>
      <c r="V8030">
        <v>5.6616430000000002E-2</v>
      </c>
      <c r="W8030">
        <v>6.5372159999999898E-3</v>
      </c>
      <c r="X8030">
        <v>0.9983746</v>
      </c>
      <c r="Y8030">
        <v>0.2592873</v>
      </c>
      <c r="Z8030">
        <v>-7.8968230000000007E-3</v>
      </c>
      <c r="AA8030">
        <v>0.96576790000000001</v>
      </c>
      <c r="AB8030">
        <v>21</v>
      </c>
      <c r="AC8030">
        <v>14.591399999999901</v>
      </c>
      <c r="AD8030">
        <v>-1.159489</v>
      </c>
      <c r="AE8030">
        <v>-4.3875000000000002</v>
      </c>
      <c r="AF8030">
        <v>3.9663889543886102</v>
      </c>
      <c r="AG8030">
        <v>-1.159489</v>
      </c>
      <c r="AH8030">
        <v>14.620575109797301</v>
      </c>
      <c r="AI8030">
        <v>94.376815065553103</v>
      </c>
      <c r="AJ8030">
        <v>74.821655827627794</v>
      </c>
      <c r="AK8030">
        <v>15.193349618166501</v>
      </c>
      <c r="AL8030">
        <v>89.625442445091593</v>
      </c>
      <c r="AM8030">
        <v>86.754312572323698</v>
      </c>
      <c r="AN8030">
        <v>0.99999999863206701</v>
      </c>
    </row>
    <row r="8031" spans="1:40" x14ac:dyDescent="0.25">
      <c r="A8031" t="str">
        <f>"20190312154117937"</f>
        <v>20190312154117937</v>
      </c>
      <c r="B8031" t="str">
        <f>"1552376477924499"</f>
        <v>1552376477924499</v>
      </c>
      <c r="C8031" t="s">
        <v>40</v>
      </c>
      <c r="D8031">
        <v>4.2730309999999996</v>
      </c>
      <c r="E8031">
        <v>0.58033869999999999</v>
      </c>
      <c r="F8031" t="s">
        <v>43</v>
      </c>
      <c r="G8031">
        <v>-309.58530000000002</v>
      </c>
      <c r="H8031">
        <v>-0.05</v>
      </c>
      <c r="I8031">
        <v>13.05566</v>
      </c>
      <c r="J8031">
        <v>-324.16079999999999</v>
      </c>
      <c r="K8031">
        <v>1.109389</v>
      </c>
      <c r="L8031">
        <v>17.478089999999899</v>
      </c>
      <c r="M8031">
        <v>0.99949650000000001</v>
      </c>
      <c r="N8031">
        <v>0</v>
      </c>
      <c r="O8031">
        <v>-2.8255240000000001E-2</v>
      </c>
      <c r="P8031">
        <v>0.9962879</v>
      </c>
      <c r="Q8031">
        <v>-6.6917280000000001E-3</v>
      </c>
      <c r="R8031">
        <v>-8.5824990000000004E-2</v>
      </c>
      <c r="S8031">
        <v>2.9346920000000001</v>
      </c>
      <c r="T8031">
        <v>-0.2311281</v>
      </c>
      <c r="U8031">
        <v>-0.88256840000000003</v>
      </c>
      <c r="V8031">
        <v>5.7655329999999998E-2</v>
      </c>
      <c r="W8031">
        <v>7.6000599999999996E-3</v>
      </c>
      <c r="X8031">
        <v>0.99830759999999996</v>
      </c>
      <c r="Y8031">
        <v>0.26016149999999999</v>
      </c>
      <c r="Z8031">
        <v>-7.8368050000000005E-3</v>
      </c>
      <c r="AA8031">
        <v>0.96553330000000004</v>
      </c>
      <c r="AB8031">
        <v>21</v>
      </c>
      <c r="AC8031">
        <v>14.5754999999999</v>
      </c>
      <c r="AD8031">
        <v>-1.159389</v>
      </c>
      <c r="AE8031">
        <v>-4.4224299999999896</v>
      </c>
      <c r="AF8031">
        <v>3.98569439495816</v>
      </c>
      <c r="AG8031">
        <v>-1.159389</v>
      </c>
      <c r="AH8031">
        <v>14.610001590932701</v>
      </c>
      <c r="AI8031">
        <v>94.3779172244314</v>
      </c>
      <c r="AJ8031">
        <v>74.740689124045304</v>
      </c>
      <c r="AK8031">
        <v>15.1882220536302</v>
      </c>
      <c r="AL8031">
        <v>89.564544437604795</v>
      </c>
      <c r="AM8031">
        <v>86.694664388932296</v>
      </c>
      <c r="AN8031">
        <v>0.99999998110358601</v>
      </c>
    </row>
    <row r="8032" spans="1:40" x14ac:dyDescent="0.25">
      <c r="A8032" t="str">
        <f>"20190312154117947"</f>
        <v>20190312154117947</v>
      </c>
      <c r="B8032" t="str">
        <f>"1552376477934258"</f>
        <v>1552376477934258</v>
      </c>
      <c r="C8032" t="s">
        <v>40</v>
      </c>
      <c r="D8032">
        <v>4.2812349999999997</v>
      </c>
      <c r="E8032">
        <v>0.58053730000000003</v>
      </c>
      <c r="F8032" t="s">
        <v>43</v>
      </c>
      <c r="G8032">
        <v>-309.23430000000002</v>
      </c>
      <c r="H8032">
        <v>-0.05</v>
      </c>
      <c r="I8032">
        <v>12.940630000000001</v>
      </c>
      <c r="J8032">
        <v>-324.0616</v>
      </c>
      <c r="K8032">
        <v>1.109305</v>
      </c>
      <c r="L8032">
        <v>17.474329999999998</v>
      </c>
      <c r="M8032">
        <v>0.99947209999999997</v>
      </c>
      <c r="N8032">
        <v>0</v>
      </c>
      <c r="O8032">
        <v>-2.9098079999999998E-2</v>
      </c>
      <c r="P8032">
        <v>0.99615430000000005</v>
      </c>
      <c r="Q8032">
        <v>-6.4125010000000001E-3</v>
      </c>
      <c r="R8032">
        <v>-8.7381559999999997E-2</v>
      </c>
      <c r="S8032">
        <v>2.9328310000000002</v>
      </c>
      <c r="T8032">
        <v>-0.22780230000000001</v>
      </c>
      <c r="U8032">
        <v>-0.89154049999999996</v>
      </c>
      <c r="V8032">
        <v>5.837519E-2</v>
      </c>
      <c r="W8032">
        <v>7.8651740000000008E-3</v>
      </c>
      <c r="X8032">
        <v>0.99826369999999998</v>
      </c>
      <c r="Y8032">
        <v>0.26223730000000001</v>
      </c>
      <c r="Z8032">
        <v>-7.7406760000000002E-3</v>
      </c>
      <c r="AA8032">
        <v>0.96497239999999995</v>
      </c>
      <c r="AB8032">
        <v>21</v>
      </c>
      <c r="AC8032">
        <v>14.8272999999999</v>
      </c>
      <c r="AD8032">
        <v>-1.159305</v>
      </c>
      <c r="AE8032">
        <v>-4.5336999999999898</v>
      </c>
      <c r="AF8032">
        <v>4.0774933796732702</v>
      </c>
      <c r="AG8032">
        <v>-1.159305</v>
      </c>
      <c r="AH8032">
        <v>14.869825372961101</v>
      </c>
      <c r="AI8032">
        <v>94.299866361980705</v>
      </c>
      <c r="AJ8032">
        <v>74.665700312406997</v>
      </c>
      <c r="AK8032">
        <v>15.4622652598726</v>
      </c>
      <c r="AL8032">
        <v>89.549354064494807</v>
      </c>
      <c r="AM8032">
        <v>86.653341755278504</v>
      </c>
      <c r="AN8032">
        <v>0.99999996925363699</v>
      </c>
    </row>
    <row r="8033" spans="1:40" x14ac:dyDescent="0.25">
      <c r="A8033" t="str">
        <f>"20190312154117959"</f>
        <v>20190312154117959</v>
      </c>
      <c r="B8033" t="str">
        <f>"1552376477953779"</f>
        <v>1552376477953779</v>
      </c>
      <c r="C8033" t="s">
        <v>40</v>
      </c>
      <c r="D8033">
        <v>4.2849300000000001</v>
      </c>
      <c r="E8033">
        <v>0.58095369999999902</v>
      </c>
      <c r="F8033" t="s">
        <v>43</v>
      </c>
      <c r="G8033">
        <v>-309.09780000000001</v>
      </c>
      <c r="H8033">
        <v>-0.05</v>
      </c>
      <c r="I8033">
        <v>12.89198</v>
      </c>
      <c r="J8033">
        <v>-323.95530000000002</v>
      </c>
      <c r="K8033">
        <v>1.1092109999999999</v>
      </c>
      <c r="L8033">
        <v>17.470310000000001</v>
      </c>
      <c r="M8033">
        <v>0.99944480000000002</v>
      </c>
      <c r="N8033">
        <v>0</v>
      </c>
      <c r="O8033">
        <v>-3.0023850000000001E-2</v>
      </c>
      <c r="P8033">
        <v>0.99601550000000005</v>
      </c>
      <c r="Q8033">
        <v>-5.9814999999999998E-3</v>
      </c>
      <c r="R8033">
        <v>-8.898143E-2</v>
      </c>
      <c r="S8033">
        <v>2.9313660000000001</v>
      </c>
      <c r="T8033">
        <v>-0.22710540000000001</v>
      </c>
      <c r="U8033">
        <v>-0.89767459999999899</v>
      </c>
      <c r="V8033">
        <v>5.9056959999999999E-2</v>
      </c>
      <c r="W8033">
        <v>8.2809619999999994E-3</v>
      </c>
      <c r="X8033">
        <v>0.99822029999999995</v>
      </c>
      <c r="Y8033">
        <v>0.26332830000000002</v>
      </c>
      <c r="Z8033">
        <v>-7.68986699999999E-3</v>
      </c>
      <c r="AA8033">
        <v>0.96467570000000002</v>
      </c>
      <c r="AB8033">
        <v>21</v>
      </c>
      <c r="AC8033">
        <v>14.8575</v>
      </c>
      <c r="AD8033">
        <v>-1.159211</v>
      </c>
      <c r="AE8033">
        <v>-4.5783300000000002</v>
      </c>
      <c r="AF8033">
        <v>4.1073050607999599</v>
      </c>
      <c r="AG8033">
        <v>-1.159211</v>
      </c>
      <c r="AH8033">
        <v>14.905407201091601</v>
      </c>
      <c r="AI8033">
        <v>94.287824481002602</v>
      </c>
      <c r="AJ8033">
        <v>74.594026683357697</v>
      </c>
      <c r="AK8033">
        <v>15.504350642169699</v>
      </c>
      <c r="AL8033">
        <v>89.525530419949604</v>
      </c>
      <c r="AM8033">
        <v>86.614199322346707</v>
      </c>
      <c r="AN8033">
        <v>1.0000000330940799</v>
      </c>
    </row>
    <row r="8034" spans="1:40" x14ac:dyDescent="0.25">
      <c r="A8034" t="str">
        <f>"20190312154117970"</f>
        <v>20190312154117970</v>
      </c>
      <c r="B8034" t="str">
        <f>"1552376477964514"</f>
        <v>1552376477964514</v>
      </c>
      <c r="C8034" t="s">
        <v>40</v>
      </c>
      <c r="D8034">
        <v>4.2904819999999999</v>
      </c>
      <c r="E8034">
        <v>0.58108309999999996</v>
      </c>
      <c r="F8034" t="s">
        <v>43</v>
      </c>
      <c r="G8034">
        <v>-309.00229999999999</v>
      </c>
      <c r="H8034">
        <v>-0.05</v>
      </c>
      <c r="I8034">
        <v>12.84694</v>
      </c>
      <c r="J8034">
        <v>-323.8449</v>
      </c>
      <c r="K8034">
        <v>1.1090990000000001</v>
      </c>
      <c r="L8034">
        <v>17.465789999999998</v>
      </c>
      <c r="M8034">
        <v>0.99941150000000001</v>
      </c>
      <c r="N8034">
        <v>0</v>
      </c>
      <c r="O8034">
        <v>-3.1114650000000001E-2</v>
      </c>
      <c r="P8034">
        <v>0.9958574</v>
      </c>
      <c r="Q8034">
        <v>-5.7281290000000002E-3</v>
      </c>
      <c r="R8034">
        <v>-9.0750910000000004E-2</v>
      </c>
      <c r="S8034">
        <v>2.9297179999999998</v>
      </c>
      <c r="T8034">
        <v>-0.22712289999999999</v>
      </c>
      <c r="U8034">
        <v>-0.90585329999999997</v>
      </c>
      <c r="V8034">
        <v>5.9743810000000001E-2</v>
      </c>
      <c r="W8034">
        <v>8.5174640000000006E-3</v>
      </c>
      <c r="X8034">
        <v>0.99817739999999999</v>
      </c>
      <c r="Y8034">
        <v>0.2648857</v>
      </c>
      <c r="Z8034">
        <v>-7.6681340000000001E-3</v>
      </c>
      <c r="AA8034">
        <v>0.96424929999999998</v>
      </c>
      <c r="AB8034">
        <v>21</v>
      </c>
      <c r="AC8034">
        <v>14.842599999999999</v>
      </c>
      <c r="AD8034">
        <v>-1.1590989999999901</v>
      </c>
      <c r="AE8034">
        <v>-4.6188499999999904</v>
      </c>
      <c r="AF8034">
        <v>4.1317698907828504</v>
      </c>
      <c r="AG8034">
        <v>-1.1590989999999901</v>
      </c>
      <c r="AH8034">
        <v>14.8963167133615</v>
      </c>
      <c r="AI8034">
        <v>94.288031441077095</v>
      </c>
      <c r="AJ8034">
        <v>74.497658296188206</v>
      </c>
      <c r="AK8034">
        <v>15.5021058100813</v>
      </c>
      <c r="AL8034">
        <v>89.5119793577922</v>
      </c>
      <c r="AM8034">
        <v>86.574767808161397</v>
      </c>
      <c r="AN8034">
        <v>0.99999999594853295</v>
      </c>
    </row>
    <row r="8035" spans="1:40" x14ac:dyDescent="0.25">
      <c r="A8035" t="str">
        <f>"20190312154117982"</f>
        <v>20190312154117982</v>
      </c>
      <c r="B8035" t="str">
        <f>"1552376477974274"</f>
        <v>1552376477974274</v>
      </c>
      <c r="C8035" t="s">
        <v>40</v>
      </c>
      <c r="D8035">
        <v>4.2840309999999997</v>
      </c>
      <c r="E8035">
        <v>0.58116999999999996</v>
      </c>
      <c r="F8035" t="s">
        <v>43</v>
      </c>
      <c r="G8035">
        <v>-308.92680000000001</v>
      </c>
      <c r="H8035">
        <v>-0.05</v>
      </c>
      <c r="I8035">
        <v>12.818149999999999</v>
      </c>
      <c r="J8035">
        <v>-323.73930000000001</v>
      </c>
      <c r="K8035">
        <v>1.1089910000000001</v>
      </c>
      <c r="L8035">
        <v>17.461300000000001</v>
      </c>
      <c r="M8035">
        <v>0.9993765</v>
      </c>
      <c r="N8035">
        <v>0</v>
      </c>
      <c r="O8035">
        <v>-3.2219150000000002E-2</v>
      </c>
      <c r="P8035">
        <v>0.99567399999999995</v>
      </c>
      <c r="Q8035">
        <v>-5.9100159999999997E-3</v>
      </c>
      <c r="R8035">
        <v>-9.2730750000000001E-2</v>
      </c>
      <c r="S8035">
        <v>2.9280089999999999</v>
      </c>
      <c r="T8035">
        <v>-0.2274978</v>
      </c>
      <c r="U8035">
        <v>-0.91220089999999998</v>
      </c>
      <c r="V8035">
        <v>6.0626939999999997E-2</v>
      </c>
      <c r="W8035">
        <v>8.318153E-3</v>
      </c>
      <c r="X8035">
        <v>0.99812590000000001</v>
      </c>
      <c r="Y8035">
        <v>0.2658836</v>
      </c>
      <c r="Z8035">
        <v>-7.6369740000000004E-3</v>
      </c>
      <c r="AA8035">
        <v>0.96397489999999997</v>
      </c>
      <c r="AB8035">
        <v>21</v>
      </c>
      <c r="AC8035">
        <v>14.8125</v>
      </c>
      <c r="AD8035">
        <v>-1.1589909999999899</v>
      </c>
      <c r="AE8035">
        <v>-4.6431500000000003</v>
      </c>
      <c r="AF8035">
        <v>4.1403628936724504</v>
      </c>
      <c r="AG8035">
        <v>-1.1589909999999899</v>
      </c>
      <c r="AH8035">
        <v>14.8715221429823</v>
      </c>
      <c r="AI8035">
        <v>94.293607182099805</v>
      </c>
      <c r="AJ8035">
        <v>74.442328522845202</v>
      </c>
      <c r="AK8035">
        <v>15.4805696238412</v>
      </c>
      <c r="AL8035">
        <v>89.523399474442598</v>
      </c>
      <c r="AM8035">
        <v>86.5240805255537</v>
      </c>
      <c r="AN8035">
        <v>1.00000006488695</v>
      </c>
    </row>
    <row r="8036" spans="1:40" x14ac:dyDescent="0.25">
      <c r="A8036" t="str">
        <f>"20190312154117993"</f>
        <v>20190312154117993</v>
      </c>
      <c r="B8036" t="str">
        <f>"1552376477984034"</f>
        <v>1552376477984034</v>
      </c>
      <c r="C8036" t="s">
        <v>40</v>
      </c>
      <c r="D8036">
        <v>4.3122339999999904</v>
      </c>
      <c r="E8036">
        <v>0.58137289999999997</v>
      </c>
      <c r="F8036" t="s">
        <v>43</v>
      </c>
      <c r="G8036">
        <v>-308.92849999999999</v>
      </c>
      <c r="H8036">
        <v>-0.05</v>
      </c>
      <c r="I8036">
        <v>12.810589999999999</v>
      </c>
      <c r="J8036">
        <v>-323.62490000000003</v>
      </c>
      <c r="K8036">
        <v>1.1088709999999999</v>
      </c>
      <c r="L8036">
        <v>17.456240000000001</v>
      </c>
      <c r="M8036">
        <v>0.9993339</v>
      </c>
      <c r="N8036">
        <v>0</v>
      </c>
      <c r="O8036">
        <v>-3.3509909999999997E-2</v>
      </c>
      <c r="P8036">
        <v>0.99549279999999996</v>
      </c>
      <c r="Q8036">
        <v>-6.0309600000000001E-3</v>
      </c>
      <c r="R8036">
        <v>-9.4645980000000005E-2</v>
      </c>
      <c r="S8036">
        <v>2.9261170000000001</v>
      </c>
      <c r="T8036">
        <v>-0.2289774</v>
      </c>
      <c r="U8036">
        <v>-0.91882319999999995</v>
      </c>
      <c r="V8036">
        <v>6.1260090000000003E-2</v>
      </c>
      <c r="W8036">
        <v>8.1793990000000004E-3</v>
      </c>
      <c r="X8036">
        <v>0.99808830000000004</v>
      </c>
      <c r="Y8036">
        <v>0.26679520000000001</v>
      </c>
      <c r="Z8036">
        <v>-7.6252890000000004E-3</v>
      </c>
      <c r="AA8036">
        <v>0.96372310000000005</v>
      </c>
      <c r="AB8036">
        <v>21</v>
      </c>
      <c r="AC8036">
        <v>14.696400000000001</v>
      </c>
      <c r="AD8036">
        <v>-1.158871</v>
      </c>
      <c r="AE8036">
        <v>-4.6456499999999998</v>
      </c>
      <c r="AF8036">
        <v>4.1271826034461396</v>
      </c>
      <c r="AG8036">
        <v>-1.158871</v>
      </c>
      <c r="AH8036">
        <v>14.760394376679301</v>
      </c>
      <c r="AI8036">
        <v>94.324022598048003</v>
      </c>
      <c r="AJ8036">
        <v>74.378373038901501</v>
      </c>
      <c r="AK8036">
        <v>15.3702914868891</v>
      </c>
      <c r="AL8036">
        <v>89.531349722236996</v>
      </c>
      <c r="AM8036">
        <v>86.487738605394995</v>
      </c>
      <c r="AN8036">
        <v>0.99999997789584905</v>
      </c>
    </row>
    <row r="8037" spans="1:40" x14ac:dyDescent="0.25">
      <c r="A8037" t="str">
        <f>"20190312154118005"</f>
        <v>20190312154118005</v>
      </c>
      <c r="B8037" t="str">
        <f>"1552376477994771"</f>
        <v>1552376477994771</v>
      </c>
      <c r="C8037" t="s">
        <v>40</v>
      </c>
      <c r="D8037">
        <v>4.2946660000000003</v>
      </c>
      <c r="E8037">
        <v>0.58143400000000001</v>
      </c>
      <c r="F8037" t="s">
        <v>43</v>
      </c>
      <c r="G8037">
        <v>-308.90260000000001</v>
      </c>
      <c r="H8037">
        <v>-0.05</v>
      </c>
      <c r="I8037">
        <v>12.794309999999999</v>
      </c>
      <c r="J8037">
        <v>-323.51760000000002</v>
      </c>
      <c r="K8037">
        <v>1.1087530000000001</v>
      </c>
      <c r="L8037">
        <v>17.4512</v>
      </c>
      <c r="M8037">
        <v>0.99928859999999997</v>
      </c>
      <c r="N8037">
        <v>0</v>
      </c>
      <c r="O8037">
        <v>-3.4834410000000003E-2</v>
      </c>
      <c r="P8037">
        <v>0.99529000000000001</v>
      </c>
      <c r="Q8037">
        <v>-6.0562339999999997E-3</v>
      </c>
      <c r="R8037">
        <v>-9.6754690000000004E-2</v>
      </c>
      <c r="S8037">
        <v>2.924194</v>
      </c>
      <c r="T8037">
        <v>-0.2301791</v>
      </c>
      <c r="U8037">
        <v>-0.92596440000000002</v>
      </c>
      <c r="V8037">
        <v>6.2053780000000003E-2</v>
      </c>
      <c r="W8037">
        <v>8.1369619999999993E-3</v>
      </c>
      <c r="X8037">
        <v>0.99803969999999997</v>
      </c>
      <c r="Y8037">
        <v>0.2678334</v>
      </c>
      <c r="Z8037">
        <v>-7.605784E-3</v>
      </c>
      <c r="AA8037">
        <v>0.96343520000000005</v>
      </c>
      <c r="AB8037">
        <v>21</v>
      </c>
      <c r="AC8037">
        <v>14.615</v>
      </c>
      <c r="AD8037">
        <v>-1.1587529999999999</v>
      </c>
      <c r="AE8037">
        <v>-4.65688999999999</v>
      </c>
      <c r="AF8037">
        <v>4.12138539843939</v>
      </c>
      <c r="AG8037">
        <v>-1.1587529999999999</v>
      </c>
      <c r="AH8037">
        <v>14.6845642978173</v>
      </c>
      <c r="AI8037">
        <v>94.344645773720998</v>
      </c>
      <c r="AJ8037">
        <v>74.322637157816999</v>
      </c>
      <c r="AK8037">
        <v>15.295913007539299</v>
      </c>
      <c r="AL8037">
        <v>89.533781303541602</v>
      </c>
      <c r="AM8037">
        <v>86.4421768341724</v>
      </c>
      <c r="AN8037">
        <v>1.00000006226948</v>
      </c>
    </row>
    <row r="8038" spans="1:40" x14ac:dyDescent="0.25">
      <c r="A8038" t="str">
        <f>"20190312154118016"</f>
        <v>20190312154118016</v>
      </c>
      <c r="B8038" t="str">
        <f>"1552376478004530"</f>
        <v>1552376478004530</v>
      </c>
      <c r="C8038" t="s">
        <v>40</v>
      </c>
      <c r="D8038">
        <v>4.3681789999999996</v>
      </c>
      <c r="E8038">
        <v>0.58152740000000003</v>
      </c>
      <c r="F8038" t="s">
        <v>43</v>
      </c>
      <c r="G8038">
        <v>-308.87020000000001</v>
      </c>
      <c r="H8038">
        <v>-0.05</v>
      </c>
      <c r="I8038">
        <v>12.776109999999999</v>
      </c>
      <c r="J8038">
        <v>-323.41460000000001</v>
      </c>
      <c r="K8038">
        <v>1.1086469999999999</v>
      </c>
      <c r="L8038">
        <v>17.44623</v>
      </c>
      <c r="M8038">
        <v>0.99924179999999996</v>
      </c>
      <c r="N8038">
        <v>0</v>
      </c>
      <c r="O8038">
        <v>-3.6148359999999997E-2</v>
      </c>
      <c r="P8038">
        <v>0.99509650000000005</v>
      </c>
      <c r="Q8038">
        <v>-6.4073580000000002E-3</v>
      </c>
      <c r="R8038">
        <v>-9.8702419999999999E-2</v>
      </c>
      <c r="S8038">
        <v>2.9221499999999998</v>
      </c>
      <c r="T8038">
        <v>-0.2311704</v>
      </c>
      <c r="U8038">
        <v>-0.93267820000000001</v>
      </c>
      <c r="V8038">
        <v>6.269537E-2</v>
      </c>
      <c r="W8038">
        <v>7.7693340000000001E-3</v>
      </c>
      <c r="X8038">
        <v>0.99800250000000001</v>
      </c>
      <c r="Y8038">
        <v>0.26876609999999901</v>
      </c>
      <c r="Z8038">
        <v>-7.57595199999999E-3</v>
      </c>
      <c r="AA8038">
        <v>0.96317569999999997</v>
      </c>
      <c r="AB8038">
        <v>21</v>
      </c>
      <c r="AC8038">
        <v>14.5443999999999</v>
      </c>
      <c r="AD8038">
        <v>-1.158647</v>
      </c>
      <c r="AE8038">
        <v>-4.6701199999999901</v>
      </c>
      <c r="AF8038">
        <v>4.11756752962732</v>
      </c>
      <c r="AG8038">
        <v>-1.158647</v>
      </c>
      <c r="AH8038">
        <v>14.619620283284901</v>
      </c>
      <c r="AI8038">
        <v>94.362357618437301</v>
      </c>
      <c r="AJ8038">
        <v>74.270302249668006</v>
      </c>
      <c r="AK8038">
        <v>15.232534997796201</v>
      </c>
      <c r="AL8038">
        <v>89.554845487446897</v>
      </c>
      <c r="AM8038">
        <v>86.405353905302704</v>
      </c>
      <c r="AN8038">
        <v>1.00000003098824</v>
      </c>
    </row>
    <row r="8039" spans="1:40" x14ac:dyDescent="0.25">
      <c r="A8039" t="str">
        <f>"20190312154118027"</f>
        <v>20190312154118027</v>
      </c>
      <c r="B8039" t="str">
        <f>"1552376478014290"</f>
        <v>1552376478014290</v>
      </c>
      <c r="C8039" t="s">
        <v>40</v>
      </c>
      <c r="D8039">
        <v>4.3076040000000004</v>
      </c>
      <c r="E8039">
        <v>0.58168089999999995</v>
      </c>
      <c r="F8039" t="s">
        <v>43</v>
      </c>
      <c r="G8039">
        <v>-308.83370000000002</v>
      </c>
      <c r="H8039">
        <v>-0.05</v>
      </c>
      <c r="I8039">
        <v>12.755509999999999</v>
      </c>
      <c r="J8039">
        <v>-323.31389999999999</v>
      </c>
      <c r="K8039">
        <v>1.1085449999999999</v>
      </c>
      <c r="L8039">
        <v>17.44098</v>
      </c>
      <c r="M8039">
        <v>0.99918899999999999</v>
      </c>
      <c r="N8039">
        <v>0</v>
      </c>
      <c r="O8039">
        <v>-3.7579420000000002E-2</v>
      </c>
      <c r="P8039">
        <v>0.99484740000000005</v>
      </c>
      <c r="Q8039">
        <v>-6.6366810000000002E-3</v>
      </c>
      <c r="R8039">
        <v>-0.1011673</v>
      </c>
      <c r="S8039">
        <v>2.9201350000000001</v>
      </c>
      <c r="T8039">
        <v>-0.23204430000000001</v>
      </c>
      <c r="U8039">
        <v>-0.9394226</v>
      </c>
      <c r="V8039">
        <v>6.3739459999999998E-2</v>
      </c>
      <c r="W8039">
        <v>7.5232909999999997E-3</v>
      </c>
      <c r="X8039">
        <v>0.9979382</v>
      </c>
      <c r="Y8039">
        <v>0.26959300000000003</v>
      </c>
      <c r="Z8039">
        <v>-7.5285179999999997E-3</v>
      </c>
      <c r="AA8039">
        <v>0.96294489999999999</v>
      </c>
      <c r="AB8039">
        <v>21</v>
      </c>
      <c r="AC8039">
        <v>14.4801999999999</v>
      </c>
      <c r="AD8039">
        <v>-1.1585449999999999</v>
      </c>
      <c r="AE8039">
        <v>-4.6854699999999898</v>
      </c>
      <c r="AF8039">
        <v>4.1141052452812001</v>
      </c>
      <c r="AG8039">
        <v>-1.1585449999999999</v>
      </c>
      <c r="AH8039">
        <v>14.561684675707999</v>
      </c>
      <c r="AI8039">
        <v>94.378256257471804</v>
      </c>
      <c r="AJ8039">
        <v>74.223449646094906</v>
      </c>
      <c r="AK8039">
        <v>15.1759925237536</v>
      </c>
      <c r="AL8039">
        <v>89.568943104756102</v>
      </c>
      <c r="AM8039">
        <v>86.345416956868107</v>
      </c>
      <c r="AN8039">
        <v>0.99999998484389996</v>
      </c>
    </row>
    <row r="8040" spans="1:40" x14ac:dyDescent="0.25">
      <c r="A8040" t="str">
        <f>"20190312154118037"</f>
        <v>20190312154118037</v>
      </c>
      <c r="B8040" t="str">
        <f>"1552376478024051"</f>
        <v>1552376478024051</v>
      </c>
      <c r="C8040" t="s">
        <v>40</v>
      </c>
      <c r="D8040">
        <v>4.3361850000000004</v>
      </c>
      <c r="E8040">
        <v>0.58184239999999998</v>
      </c>
      <c r="F8040" t="s">
        <v>43</v>
      </c>
      <c r="G8040">
        <v>-308.8116</v>
      </c>
      <c r="H8040">
        <v>-0.05</v>
      </c>
      <c r="I8040">
        <v>12.72922</v>
      </c>
      <c r="J8040">
        <v>-323.21530000000001</v>
      </c>
      <c r="K8040">
        <v>1.108449</v>
      </c>
      <c r="L8040">
        <v>17.435790000000001</v>
      </c>
      <c r="M8040">
        <v>0.99913450000000004</v>
      </c>
      <c r="N8040">
        <v>0</v>
      </c>
      <c r="O8040">
        <v>-3.8998770000000002E-2</v>
      </c>
      <c r="P8040">
        <v>0.99460420000000005</v>
      </c>
      <c r="Q8040">
        <v>-6.66411E-3</v>
      </c>
      <c r="R8040">
        <v>-0.1035293</v>
      </c>
      <c r="S8040">
        <v>2.9176329999999999</v>
      </c>
      <c r="T8040">
        <v>-0.23308229999999999</v>
      </c>
      <c r="U8040">
        <v>-0.94793700000000003</v>
      </c>
      <c r="V8040">
        <v>6.4693249999999994E-2</v>
      </c>
      <c r="W8040">
        <v>7.4794240000000001E-3</v>
      </c>
      <c r="X8040">
        <v>0.99787720000000002</v>
      </c>
      <c r="Y8040">
        <v>0.27100360000000001</v>
      </c>
      <c r="Z8040">
        <v>-7.5098450000000002E-3</v>
      </c>
      <c r="AA8040">
        <v>0.96254899999999999</v>
      </c>
      <c r="AB8040">
        <v>21</v>
      </c>
      <c r="AC8040">
        <v>14.403700000000001</v>
      </c>
      <c r="AD8040">
        <v>-1.1584490000000001</v>
      </c>
      <c r="AE8040">
        <v>-4.7065700000000001</v>
      </c>
      <c r="AF8040">
        <v>4.1171407567665099</v>
      </c>
      <c r="AG8040">
        <v>-1.1584490000000001</v>
      </c>
      <c r="AH8040">
        <v>14.491613666570601</v>
      </c>
      <c r="AI8040">
        <v>94.3971700935532</v>
      </c>
      <c r="AJ8040">
        <v>74.139883548000896</v>
      </c>
      <c r="AK8040">
        <v>15.1095902908637</v>
      </c>
      <c r="AL8040">
        <v>89.571456589822006</v>
      </c>
      <c r="AM8040">
        <v>86.290655627877001</v>
      </c>
      <c r="AN8040">
        <v>1.0000000323293801</v>
      </c>
    </row>
    <row r="8041" spans="1:40" x14ac:dyDescent="0.25">
      <c r="A8041" t="str">
        <f>"20190312154118048"</f>
        <v>20190312154118048</v>
      </c>
      <c r="B8041" t="str">
        <f>"1552376478044547"</f>
        <v>1552376478044547</v>
      </c>
      <c r="C8041" t="s">
        <v>40</v>
      </c>
      <c r="D8041">
        <v>4.3370160000000002</v>
      </c>
      <c r="E8041">
        <v>0.58208219999999899</v>
      </c>
      <c r="F8041" t="s">
        <v>43</v>
      </c>
      <c r="G8041">
        <v>-308.79759999999999</v>
      </c>
      <c r="H8041">
        <v>-0.05</v>
      </c>
      <c r="I8041">
        <v>12.70706</v>
      </c>
      <c r="J8041">
        <v>-323.11250000000001</v>
      </c>
      <c r="K8041">
        <v>1.1083510000000001</v>
      </c>
      <c r="L8041">
        <v>17.429960000000001</v>
      </c>
      <c r="M8041">
        <v>0.9990694</v>
      </c>
      <c r="N8041">
        <v>0</v>
      </c>
      <c r="O8041">
        <v>-4.0631309999999997E-2</v>
      </c>
      <c r="P8041">
        <v>0.994313</v>
      </c>
      <c r="Q8041">
        <v>-6.2126500000000001E-3</v>
      </c>
      <c r="R8041">
        <v>-0.1063185</v>
      </c>
      <c r="S8041">
        <v>2.9151609999999999</v>
      </c>
      <c r="T8041">
        <v>-0.2342303</v>
      </c>
      <c r="U8041">
        <v>-0.95611570000000001</v>
      </c>
      <c r="V8041">
        <v>6.5865339999999994E-2</v>
      </c>
      <c r="W8041">
        <v>7.9128559999999994E-3</v>
      </c>
      <c r="X8041">
        <v>0.99779709999999999</v>
      </c>
      <c r="Y8041">
        <v>0.27210570000000001</v>
      </c>
      <c r="Z8041">
        <v>-7.4655600000000004E-3</v>
      </c>
      <c r="AA8041">
        <v>0.96223840000000005</v>
      </c>
      <c r="AB8041">
        <v>21</v>
      </c>
      <c r="AC8041">
        <v>14.3149</v>
      </c>
      <c r="AD8041">
        <v>-1.1583509999999999</v>
      </c>
      <c r="AE8041">
        <v>-4.7229000000000001</v>
      </c>
      <c r="AF8041">
        <v>4.1130170779510999</v>
      </c>
      <c r="AG8041">
        <v>-1.1583509999999999</v>
      </c>
      <c r="AH8041">
        <v>14.4099017065332</v>
      </c>
      <c r="AI8041">
        <v>94.420096547547004</v>
      </c>
      <c r="AJ8041">
        <v>74.0696685776593</v>
      </c>
      <c r="AK8041">
        <v>15.030101586971</v>
      </c>
      <c r="AL8041">
        <v>89.546621995360496</v>
      </c>
      <c r="AM8041">
        <v>86.223341466754704</v>
      </c>
      <c r="AN8041">
        <v>0.99999995453589996</v>
      </c>
    </row>
    <row r="8042" spans="1:40" x14ac:dyDescent="0.25">
      <c r="A8042" t="str">
        <f>"20190312154118060"</f>
        <v>20190312154118060</v>
      </c>
      <c r="B8042" t="str">
        <f>"1552376478054307"</f>
        <v>1552376478054307</v>
      </c>
      <c r="C8042" t="s">
        <v>40</v>
      </c>
      <c r="D8042">
        <v>4.6497699999999904</v>
      </c>
      <c r="E8042">
        <v>0.58208219999999899</v>
      </c>
      <c r="F8042" t="s">
        <v>43</v>
      </c>
      <c r="G8042">
        <v>-308.69959999999998</v>
      </c>
      <c r="H8042">
        <v>-0.05</v>
      </c>
      <c r="I8042">
        <v>12.648619999999999</v>
      </c>
      <c r="J8042">
        <v>-323.01569999999998</v>
      </c>
      <c r="K8042">
        <v>1.1082609999999999</v>
      </c>
      <c r="L8042">
        <v>17.42435</v>
      </c>
      <c r="M8042">
        <v>0.99900449999999996</v>
      </c>
      <c r="N8042">
        <v>0</v>
      </c>
      <c r="O8042">
        <v>-4.2193359999999999E-2</v>
      </c>
      <c r="P8042">
        <v>0.99399850000000001</v>
      </c>
      <c r="Q8042">
        <v>-5.4891289999999997E-3</v>
      </c>
      <c r="R8042">
        <v>-0.1092577</v>
      </c>
      <c r="S8042">
        <v>2.9123839999999999</v>
      </c>
      <c r="T8042">
        <v>-0.23406589999999999</v>
      </c>
      <c r="U8042">
        <v>-0.96615600000000001</v>
      </c>
      <c r="V8042">
        <v>6.7260379999999995E-2</v>
      </c>
      <c r="W8042">
        <v>8.6175969999999994E-3</v>
      </c>
      <c r="X8042">
        <v>0.99769819999999998</v>
      </c>
      <c r="Y8042">
        <v>0.2738643</v>
      </c>
      <c r="Z8042">
        <v>-7.4103290000000002E-3</v>
      </c>
      <c r="AA8042">
        <v>0.96173980000000003</v>
      </c>
      <c r="AB8042">
        <v>21</v>
      </c>
      <c r="AC8042">
        <v>14.3161</v>
      </c>
      <c r="AD8042">
        <v>-1.158261</v>
      </c>
      <c r="AE8042">
        <v>-4.7757300000000003</v>
      </c>
      <c r="AF8042">
        <v>4.1429650573459504</v>
      </c>
      <c r="AG8042">
        <v>-1.158261</v>
      </c>
      <c r="AH8042">
        <v>14.419935563370901</v>
      </c>
      <c r="AI8042">
        <v>94.414504925792698</v>
      </c>
      <c r="AJ8042">
        <v>73.970210024157794</v>
      </c>
      <c r="AK8042">
        <v>15.0479324048947</v>
      </c>
      <c r="AL8042">
        <v>89.506241931146903</v>
      </c>
      <c r="AM8042">
        <v>86.143208893579498</v>
      </c>
      <c r="AN8042">
        <v>0.99999995998951796</v>
      </c>
    </row>
    <row r="8043" spans="1:40" x14ac:dyDescent="0.25">
      <c r="A8043" t="str">
        <f>"20190312154118070"</f>
        <v>20190312154118070</v>
      </c>
      <c r="B8043" t="str">
        <f>"1552376478064067"</f>
        <v>1552376478064067</v>
      </c>
      <c r="C8043" t="s">
        <v>40</v>
      </c>
      <c r="D8043">
        <v>4.5503710000000002</v>
      </c>
      <c r="E8043">
        <v>0.60472609999999904</v>
      </c>
      <c r="F8043" t="s">
        <v>43</v>
      </c>
      <c r="G8043">
        <v>-308.51440000000002</v>
      </c>
      <c r="H8043">
        <v>-0.05</v>
      </c>
      <c r="I8043">
        <v>12.56729</v>
      </c>
      <c r="J8043">
        <v>-322.90440000000001</v>
      </c>
      <c r="K8043">
        <v>1.108168</v>
      </c>
      <c r="L8043">
        <v>17.41751</v>
      </c>
      <c r="M8043">
        <v>0.99892150000000002</v>
      </c>
      <c r="N8043">
        <v>0</v>
      </c>
      <c r="O8043">
        <v>-4.4117749999999997E-2</v>
      </c>
      <c r="P8043">
        <v>0.99362320000000004</v>
      </c>
      <c r="Q8043">
        <v>-4.8148740000000002E-3</v>
      </c>
      <c r="R8043">
        <v>-0.1126508</v>
      </c>
      <c r="S8043">
        <v>2.909729</v>
      </c>
      <c r="T8043">
        <v>-0.23240830000000001</v>
      </c>
      <c r="U8043">
        <v>-0.97457890000000003</v>
      </c>
      <c r="V8043">
        <v>6.8750430000000001E-2</v>
      </c>
      <c r="W8043">
        <v>9.2727450000000006E-3</v>
      </c>
      <c r="X8043">
        <v>0.9975908</v>
      </c>
      <c r="Y8043">
        <v>0.27479130000000002</v>
      </c>
      <c r="Z8043">
        <v>-7.2483360000000002E-3</v>
      </c>
      <c r="AA8043">
        <v>0.96147660000000001</v>
      </c>
      <c r="AB8043">
        <v>21</v>
      </c>
      <c r="AC8043">
        <v>14.389999999999899</v>
      </c>
      <c r="AD8043">
        <v>-1.1581680000000001</v>
      </c>
      <c r="AE8043">
        <v>-4.8502199999999904</v>
      </c>
      <c r="AF8043">
        <v>4.1862248538462303</v>
      </c>
      <c r="AG8043">
        <v>-1.1581680000000001</v>
      </c>
      <c r="AH8043">
        <v>14.5056118974175</v>
      </c>
      <c r="AI8043">
        <v>94.386688507906797</v>
      </c>
      <c r="AJ8043">
        <v>73.902205518727996</v>
      </c>
      <c r="AK8043">
        <v>15.141948624985</v>
      </c>
      <c r="AL8043">
        <v>89.468703235563098</v>
      </c>
      <c r="AM8043">
        <v>86.057611045737104</v>
      </c>
      <c r="AN8043">
        <v>1.0000000048348201</v>
      </c>
    </row>
    <row r="8044" spans="1:40" x14ac:dyDescent="0.25">
      <c r="A8044" t="str">
        <f>"20190312154118082"</f>
        <v>20190312154118082</v>
      </c>
      <c r="B8044" t="str">
        <f>"1552376478073827"</f>
        <v>1552376478073827</v>
      </c>
      <c r="C8044" t="s">
        <v>40</v>
      </c>
      <c r="D8044">
        <v>4.5344009999999999</v>
      </c>
      <c r="E8044">
        <v>0.61310989999999999</v>
      </c>
      <c r="F8044" t="s">
        <v>43</v>
      </c>
      <c r="G8044">
        <v>-315.43299999999999</v>
      </c>
      <c r="H8044">
        <v>-0.05</v>
      </c>
      <c r="I8044">
        <v>14.414179999999901</v>
      </c>
      <c r="J8044">
        <v>-322.79910000000001</v>
      </c>
      <c r="K8044">
        <v>1.108079</v>
      </c>
      <c r="L8044">
        <v>17.410799999999998</v>
      </c>
      <c r="M8044">
        <v>0.99883659999999996</v>
      </c>
      <c r="N8044">
        <v>0</v>
      </c>
      <c r="O8044">
        <v>-4.5996240000000001E-2</v>
      </c>
      <c r="P8044">
        <v>0.99326300000000001</v>
      </c>
      <c r="Q8044">
        <v>-3.9443450000000001E-3</v>
      </c>
      <c r="R8044">
        <v>-0.1158169</v>
      </c>
      <c r="S8044">
        <v>2.8855900000000001</v>
      </c>
      <c r="T8044">
        <v>-0.44730599999999998</v>
      </c>
      <c r="U8044">
        <v>-1.1599429999999999</v>
      </c>
      <c r="V8044">
        <v>7.0060150000000002E-2</v>
      </c>
      <c r="W8044">
        <v>1.012529E-2</v>
      </c>
      <c r="X8044">
        <v>0.99749140000000003</v>
      </c>
      <c r="Y8044">
        <v>0.32701669999999999</v>
      </c>
      <c r="Z8044">
        <v>-1.7457230000000001E-2</v>
      </c>
      <c r="AA8044">
        <v>0.94485730000000001</v>
      </c>
      <c r="AB8044">
        <v>21</v>
      </c>
      <c r="AC8044">
        <v>7.3661000000000101</v>
      </c>
      <c r="AD8044">
        <v>-1.1580790000000001</v>
      </c>
      <c r="AE8044">
        <v>-2.9966200000000001</v>
      </c>
      <c r="AF8044">
        <v>2.5994709197167198</v>
      </c>
      <c r="AG8044">
        <v>-1.1580790000000001</v>
      </c>
      <c r="AH8044">
        <v>7.3404764497369497</v>
      </c>
      <c r="AI8044">
        <v>98.458831082841996</v>
      </c>
      <c r="AJ8044">
        <v>70.499501478421806</v>
      </c>
      <c r="AK8044">
        <v>7.87280067967155</v>
      </c>
      <c r="AL8044">
        <v>89.419853714823006</v>
      </c>
      <c r="AM8044">
        <v>85.982351746528593</v>
      </c>
      <c r="AN8044">
        <v>1.00000001959478</v>
      </c>
    </row>
    <row r="8045" spans="1:40" x14ac:dyDescent="0.25">
      <c r="A8045" t="str">
        <f>"20190312154118094"</f>
        <v>20190312154118094</v>
      </c>
      <c r="B8045" t="str">
        <f>"1552376478084563"</f>
        <v>1552376478084563</v>
      </c>
      <c r="C8045" t="s">
        <v>40</v>
      </c>
      <c r="D8045">
        <v>4.5104629999999997</v>
      </c>
      <c r="E8045">
        <v>0.61709080000000005</v>
      </c>
      <c r="F8045" t="s">
        <v>43</v>
      </c>
      <c r="G8045">
        <v>-315.4323</v>
      </c>
      <c r="H8045">
        <v>-0.05</v>
      </c>
      <c r="I8045">
        <v>14.244490000000001</v>
      </c>
      <c r="J8045">
        <v>-322.68369999999999</v>
      </c>
      <c r="K8045">
        <v>1.1079889999999999</v>
      </c>
      <c r="L8045">
        <v>17.403169999999999</v>
      </c>
      <c r="M8045">
        <v>0.9987357</v>
      </c>
      <c r="N8045">
        <v>0</v>
      </c>
      <c r="O8045">
        <v>-4.8133500000000003E-2</v>
      </c>
      <c r="P8045">
        <v>0.99281909999999896</v>
      </c>
      <c r="Q8045">
        <v>-3.4835449999999998E-3</v>
      </c>
      <c r="R8045">
        <v>-0.1195751</v>
      </c>
      <c r="S8045">
        <v>2.8744809999999998</v>
      </c>
      <c r="T8045">
        <v>-0.45187290000000002</v>
      </c>
      <c r="U8045">
        <v>-1.235474</v>
      </c>
      <c r="V8045">
        <v>7.1705619999999998E-2</v>
      </c>
      <c r="W8045">
        <v>1.056586E-2</v>
      </c>
      <c r="X8045">
        <v>0.99736990000000003</v>
      </c>
      <c r="Y8045">
        <v>0.34710790000000002</v>
      </c>
      <c r="Z8045">
        <v>-1.8798680000000002E-2</v>
      </c>
      <c r="AA8045">
        <v>0.93763680000000005</v>
      </c>
      <c r="AB8045">
        <v>21</v>
      </c>
      <c r="AC8045">
        <v>7.2513999999999896</v>
      </c>
      <c r="AD8045">
        <v>-1.1579889999999999</v>
      </c>
      <c r="AE8045">
        <v>-3.1586799999999999</v>
      </c>
      <c r="AF8045">
        <v>2.7470643673183699</v>
      </c>
      <c r="AG8045">
        <v>-1.1579889999999999</v>
      </c>
      <c r="AH8045">
        <v>7.2398652200336198</v>
      </c>
      <c r="AI8045">
        <v>98.505160729421704</v>
      </c>
      <c r="AJ8045">
        <v>69.221459454230697</v>
      </c>
      <c r="AK8045">
        <v>7.8296200141873999</v>
      </c>
      <c r="AL8045">
        <v>89.394609566048203</v>
      </c>
      <c r="AM8045">
        <v>85.887811885969299</v>
      </c>
      <c r="AN8045">
        <v>1.00000002538156</v>
      </c>
    </row>
    <row r="8046" spans="1:40" x14ac:dyDescent="0.25">
      <c r="A8046" t="str">
        <f>"20190312154118107"</f>
        <v>20190312154118107</v>
      </c>
      <c r="B8046" t="str">
        <f>"1552376478094323"</f>
        <v>1552376478094323</v>
      </c>
      <c r="C8046" t="s">
        <v>40</v>
      </c>
      <c r="D8046">
        <v>4.4878539999999996</v>
      </c>
      <c r="E8046">
        <v>0.61942109999999995</v>
      </c>
      <c r="F8046" t="s">
        <v>43</v>
      </c>
      <c r="G8046">
        <v>-315.76990000000001</v>
      </c>
      <c r="H8046">
        <v>-0.05</v>
      </c>
      <c r="I8046">
        <v>14.32164</v>
      </c>
      <c r="J8046">
        <v>-322.57209999999998</v>
      </c>
      <c r="K8046">
        <v>1.10791</v>
      </c>
      <c r="L8046">
        <v>17.39536</v>
      </c>
      <c r="M8046">
        <v>0.99862859999999998</v>
      </c>
      <c r="N8046">
        <v>0</v>
      </c>
      <c r="O8046">
        <v>-5.0306370000000003E-2</v>
      </c>
      <c r="P8046">
        <v>0.9923651</v>
      </c>
      <c r="Q8046">
        <v>-3.2432609999999999E-3</v>
      </c>
      <c r="R8046">
        <v>-0.12329370000000001</v>
      </c>
      <c r="S8046">
        <v>2.8661500000000002</v>
      </c>
      <c r="T8046">
        <v>-0.48004869999999999</v>
      </c>
      <c r="U8046">
        <v>-1.277466</v>
      </c>
      <c r="V8046">
        <v>7.3275480000000004E-2</v>
      </c>
      <c r="W8046">
        <v>1.078758E-2</v>
      </c>
      <c r="X8046">
        <v>0.99725339999999996</v>
      </c>
      <c r="Y8046">
        <v>0.35708309999999999</v>
      </c>
      <c r="Z8046">
        <v>-2.040463E-2</v>
      </c>
      <c r="AA8046">
        <v>0.93384979999999995</v>
      </c>
      <c r="AB8046">
        <v>21</v>
      </c>
      <c r="AC8046">
        <v>6.8021999999999698</v>
      </c>
      <c r="AD8046">
        <v>-1.15791</v>
      </c>
      <c r="AE8046">
        <v>-3.0737199999999998</v>
      </c>
      <c r="AF8046">
        <v>2.6635044660273901</v>
      </c>
      <c r="AG8046">
        <v>-1.15791</v>
      </c>
      <c r="AH8046">
        <v>6.7849603516077499</v>
      </c>
      <c r="AI8046">
        <v>99.026386071530197</v>
      </c>
      <c r="AJ8046">
        <v>68.567010771677204</v>
      </c>
      <c r="AK8046">
        <v>7.3804267208296999</v>
      </c>
      <c r="AL8046">
        <v>89.381905209907103</v>
      </c>
      <c r="AM8046">
        <v>85.797613151908493</v>
      </c>
      <c r="AN8046">
        <v>1.0000000058315199</v>
      </c>
    </row>
    <row r="8047" spans="1:40" x14ac:dyDescent="0.25">
      <c r="A8047" t="str">
        <f>"20190312154118121"</f>
        <v>20190312154118121</v>
      </c>
      <c r="B8047" t="str">
        <f>"1552376478113843"</f>
        <v>1552376478113843</v>
      </c>
      <c r="C8047" t="s">
        <v>40</v>
      </c>
      <c r="D8047">
        <v>4.5098500000000001</v>
      </c>
      <c r="E8047">
        <v>0.62186359999999996</v>
      </c>
      <c r="F8047" t="s">
        <v>43</v>
      </c>
      <c r="G8047">
        <v>-315.88170000000002</v>
      </c>
      <c r="H8047">
        <v>-0.05</v>
      </c>
      <c r="I8047">
        <v>14.33784</v>
      </c>
      <c r="J8047">
        <v>-322.43880000000001</v>
      </c>
      <c r="K8047">
        <v>1.10782</v>
      </c>
      <c r="L8047">
        <v>17.385679999999901</v>
      </c>
      <c r="M8047">
        <v>0.99849049999999995</v>
      </c>
      <c r="N8047">
        <v>0</v>
      </c>
      <c r="O8047">
        <v>-5.297317E-2</v>
      </c>
      <c r="P8047">
        <v>0.99181710000000001</v>
      </c>
      <c r="Q8047">
        <v>-2.9394999999999998E-3</v>
      </c>
      <c r="R8047">
        <v>-0.127634</v>
      </c>
      <c r="S8047">
        <v>2.8591310000000001</v>
      </c>
      <c r="T8047">
        <v>-0.49482769999999998</v>
      </c>
      <c r="U8047">
        <v>-1.30661</v>
      </c>
      <c r="V8047">
        <v>7.4979219999999999E-2</v>
      </c>
      <c r="W8047">
        <v>1.1069849999999999E-2</v>
      </c>
      <c r="X8047">
        <v>0.99712369999999995</v>
      </c>
      <c r="Y8047">
        <v>0.36308380000000001</v>
      </c>
      <c r="Z8047">
        <v>-2.108807E-2</v>
      </c>
      <c r="AA8047">
        <v>0.93151779999999995</v>
      </c>
      <c r="AB8047">
        <v>21</v>
      </c>
      <c r="AC8047">
        <v>6.5570999999999904</v>
      </c>
      <c r="AD8047">
        <v>-1.1578200000000001</v>
      </c>
      <c r="AE8047">
        <v>-3.0478399999999901</v>
      </c>
      <c r="AF8047">
        <v>2.6287729294800899</v>
      </c>
      <c r="AG8047">
        <v>-1.1578200000000001</v>
      </c>
      <c r="AH8047">
        <v>6.54163926744405</v>
      </c>
      <c r="AI8047">
        <v>99.326328061830296</v>
      </c>
      <c r="AJ8047">
        <v>68.107157411157402</v>
      </c>
      <c r="AK8047">
        <v>7.1445110800203402</v>
      </c>
      <c r="AL8047">
        <v>89.365731391776606</v>
      </c>
      <c r="AM8047">
        <v>85.6997078886357</v>
      </c>
      <c r="AN8047">
        <v>1.00000004905625</v>
      </c>
    </row>
    <row r="8048" spans="1:40" x14ac:dyDescent="0.25">
      <c r="A8048" t="str">
        <f>"20190312154118139"</f>
        <v>20190312154118139</v>
      </c>
      <c r="B8048" t="str">
        <f>"1552376478134339"</f>
        <v>1552376478134339</v>
      </c>
      <c r="C8048" t="s">
        <v>40</v>
      </c>
      <c r="D8048">
        <v>4.5409550000000003</v>
      </c>
      <c r="E8048">
        <v>0.62354929999999997</v>
      </c>
      <c r="F8048" t="s">
        <v>43</v>
      </c>
      <c r="G8048">
        <v>-316.03469999999999</v>
      </c>
      <c r="H8048">
        <v>-0.05</v>
      </c>
      <c r="I8048">
        <v>14.3797</v>
      </c>
      <c r="J8048">
        <v>-322.27949999999998</v>
      </c>
      <c r="K8048">
        <v>1.107721</v>
      </c>
      <c r="L8048">
        <v>17.3735</v>
      </c>
      <c r="M8048">
        <v>0.99830810000000003</v>
      </c>
      <c r="N8048">
        <v>0</v>
      </c>
      <c r="O8048">
        <v>-5.6304130000000001E-2</v>
      </c>
      <c r="P8048">
        <v>0.99088639999999995</v>
      </c>
      <c r="Q8048">
        <v>-2.2427419999999998E-3</v>
      </c>
      <c r="R8048">
        <v>-0.1346821</v>
      </c>
      <c r="S8048">
        <v>2.8509829999999998</v>
      </c>
      <c r="T8048">
        <v>-0.51543499999999998</v>
      </c>
      <c r="U8048">
        <v>-1.3381959999999999</v>
      </c>
      <c r="V8048">
        <v>7.8748199999999893E-2</v>
      </c>
      <c r="W8048">
        <v>1.1728799999999999E-2</v>
      </c>
      <c r="X8048">
        <v>0.99682550000000003</v>
      </c>
      <c r="Y8048">
        <v>0.36911860000000002</v>
      </c>
      <c r="Z8048">
        <v>-2.1914039999999999E-2</v>
      </c>
      <c r="AA8048">
        <v>0.9291239</v>
      </c>
      <c r="AB8048">
        <v>21</v>
      </c>
      <c r="AC8048">
        <v>6.2447999999999899</v>
      </c>
      <c r="AD8048">
        <v>-1.157721</v>
      </c>
      <c r="AE8048">
        <v>-2.9937999999999998</v>
      </c>
      <c r="AF8048">
        <v>2.5657026675985799</v>
      </c>
      <c r="AG8048">
        <v>-1.157721</v>
      </c>
      <c r="AH8048">
        <v>6.22938398938033</v>
      </c>
      <c r="AI8048">
        <v>99.750672231534494</v>
      </c>
      <c r="AJ8048">
        <v>67.614657409398703</v>
      </c>
      <c r="AK8048">
        <v>6.8358154582691499</v>
      </c>
      <c r="AL8048">
        <v>89.327973826316807</v>
      </c>
      <c r="AM8048">
        <v>85.483072615720303</v>
      </c>
      <c r="AN8048">
        <v>0.99999996060146401</v>
      </c>
    </row>
    <row r="8049" spans="1:40" x14ac:dyDescent="0.25">
      <c r="A8049" t="str">
        <f>"20190312154118151"</f>
        <v>20190312154118151</v>
      </c>
      <c r="B8049" t="str">
        <f>"1552376478144098"</f>
        <v>1552376478144098</v>
      </c>
      <c r="C8049" t="s">
        <v>40</v>
      </c>
      <c r="D8049">
        <v>4.8390399999999998</v>
      </c>
      <c r="E8049">
        <v>0.62434239999999996</v>
      </c>
      <c r="F8049" t="s">
        <v>43</v>
      </c>
      <c r="G8049">
        <v>-316.06760000000003</v>
      </c>
      <c r="H8049">
        <v>-0.05</v>
      </c>
      <c r="I8049">
        <v>14.373290000000001</v>
      </c>
      <c r="J8049">
        <v>-322.1583</v>
      </c>
      <c r="K8049">
        <v>1.1076539999999999</v>
      </c>
      <c r="L8049">
        <v>17.36365</v>
      </c>
      <c r="M8049">
        <v>0.99815549999999997</v>
      </c>
      <c r="N8049">
        <v>0</v>
      </c>
      <c r="O8049">
        <v>-5.894717E-2</v>
      </c>
      <c r="P8049">
        <v>0.99028609999999995</v>
      </c>
      <c r="Q8049">
        <v>-1.6087880000000001E-3</v>
      </c>
      <c r="R8049">
        <v>-0.13903599999999999</v>
      </c>
      <c r="S8049">
        <v>2.839966</v>
      </c>
      <c r="T8049">
        <v>-0.52928839999999999</v>
      </c>
      <c r="U8049">
        <v>-1.3716429999999999</v>
      </c>
      <c r="V8049">
        <v>8.0496419999999999E-2</v>
      </c>
      <c r="W8049">
        <v>1.234244E-2</v>
      </c>
      <c r="X8049">
        <v>0.99667850000000002</v>
      </c>
      <c r="Y8049">
        <v>0.37665510000000002</v>
      </c>
      <c r="Z8049">
        <v>-2.272095E-2</v>
      </c>
      <c r="AA8049">
        <v>0.92607490000000003</v>
      </c>
      <c r="AB8049">
        <v>21</v>
      </c>
      <c r="AC8049">
        <v>6.0906999999999698</v>
      </c>
      <c r="AD8049">
        <v>-1.157654</v>
      </c>
      <c r="AE8049">
        <v>-2.9903599999999999</v>
      </c>
      <c r="AF8049">
        <v>2.5518100130450301</v>
      </c>
      <c r="AG8049">
        <v>-1.157654</v>
      </c>
      <c r="AH8049">
        <v>6.0794301307572001</v>
      </c>
      <c r="AI8049">
        <v>99.958551400031496</v>
      </c>
      <c r="AJ8049">
        <v>67.230018107968803</v>
      </c>
      <c r="AK8049">
        <v>6.6941293564698503</v>
      </c>
      <c r="AL8049">
        <v>89.292812338116605</v>
      </c>
      <c r="AM8049">
        <v>85.382547084105099</v>
      </c>
      <c r="AN8049">
        <v>1.0000000209101001</v>
      </c>
    </row>
    <row r="8050" spans="1:40" x14ac:dyDescent="0.25">
      <c r="A8050" t="str">
        <f>"20190312154118164"</f>
        <v>20190312154118164</v>
      </c>
      <c r="B8050" t="str">
        <f>"1552376478153860"</f>
        <v>1552376478153860</v>
      </c>
      <c r="C8050" t="s">
        <v>40</v>
      </c>
      <c r="D8050">
        <v>4.5273529999999997</v>
      </c>
      <c r="E8050">
        <v>0.62471080000000001</v>
      </c>
      <c r="F8050" t="s">
        <v>43</v>
      </c>
      <c r="G8050">
        <v>-316.01409999999998</v>
      </c>
      <c r="H8050">
        <v>-0.05</v>
      </c>
      <c r="I8050">
        <v>14.348280000000001</v>
      </c>
      <c r="J8050">
        <v>-322.04500000000002</v>
      </c>
      <c r="K8050">
        <v>1.107599</v>
      </c>
      <c r="L8050">
        <v>17.35416</v>
      </c>
      <c r="M8050">
        <v>0.99800330000000004</v>
      </c>
      <c r="N8050">
        <v>0</v>
      </c>
      <c r="O8050">
        <v>-6.1468620000000002E-2</v>
      </c>
      <c r="P8050">
        <v>0.98960289999999995</v>
      </c>
      <c r="Q8050">
        <v>-1.30193E-3</v>
      </c>
      <c r="R8050">
        <v>-0.14382259999999999</v>
      </c>
      <c r="S8050">
        <v>2.8333439999999999</v>
      </c>
      <c r="T8050">
        <v>-0.53384049999999905</v>
      </c>
      <c r="U8050">
        <v>-1.390503</v>
      </c>
      <c r="V8050">
        <v>8.2801390000000002E-2</v>
      </c>
      <c r="W8050">
        <v>1.262566E-2</v>
      </c>
      <c r="X8050">
        <v>0.99648610000000004</v>
      </c>
      <c r="Y8050">
        <v>0.38005549999999999</v>
      </c>
      <c r="Z8050">
        <v>-2.278883E-2</v>
      </c>
      <c r="AA8050">
        <v>0.92468289999999997</v>
      </c>
      <c r="AB8050">
        <v>21</v>
      </c>
      <c r="AC8050">
        <v>6.0309000000000301</v>
      </c>
      <c r="AD8050">
        <v>-1.157599</v>
      </c>
      <c r="AE8050">
        <v>-3.0058799999999999</v>
      </c>
      <c r="AF8050">
        <v>2.5540698123586201</v>
      </c>
      <c r="AG8050">
        <v>-1.157599</v>
      </c>
      <c r="AH8050">
        <v>6.0264304241556603</v>
      </c>
      <c r="AI8050">
        <v>100.029571635899</v>
      </c>
      <c r="AJ8050">
        <v>67.032216297682993</v>
      </c>
      <c r="AK8050">
        <v>6.6468918833084398</v>
      </c>
      <c r="AL8050">
        <v>89.276583756959397</v>
      </c>
      <c r="AM8050">
        <v>85.250012544132403</v>
      </c>
      <c r="AN8050">
        <v>1.0000000124847801</v>
      </c>
    </row>
    <row r="8051" spans="1:40" x14ac:dyDescent="0.25">
      <c r="A8051" t="str">
        <f>"20190312154118176"</f>
        <v>20190312154118176</v>
      </c>
      <c r="B8051" t="str">
        <f>"1552376478164596"</f>
        <v>1552376478164596</v>
      </c>
      <c r="C8051" t="s">
        <v>40</v>
      </c>
      <c r="D8051">
        <v>4.5174560000000001</v>
      </c>
      <c r="E8051">
        <v>0.62498129999999996</v>
      </c>
      <c r="F8051" t="s">
        <v>43</v>
      </c>
      <c r="G8051">
        <v>-315.96559999999999</v>
      </c>
      <c r="H8051">
        <v>-0.05</v>
      </c>
      <c r="I8051">
        <v>14.32742</v>
      </c>
      <c r="J8051">
        <v>-321.92809999999997</v>
      </c>
      <c r="K8051">
        <v>1.1075390000000001</v>
      </c>
      <c r="L8051">
        <v>17.344059999999999</v>
      </c>
      <c r="M8051">
        <v>0.99783659999999996</v>
      </c>
      <c r="N8051">
        <v>0</v>
      </c>
      <c r="O8051">
        <v>-6.411625E-2</v>
      </c>
      <c r="P8051">
        <v>0.9889</v>
      </c>
      <c r="Q8051">
        <v>-9.5791140000000001E-4</v>
      </c>
      <c r="R8051">
        <v>-0.14857960000000001</v>
      </c>
      <c r="S8051">
        <v>2.8262939999999999</v>
      </c>
      <c r="T8051">
        <v>-0.538157</v>
      </c>
      <c r="U8051">
        <v>-1.4071039999999999</v>
      </c>
      <c r="V8051">
        <v>8.4953479999999998E-2</v>
      </c>
      <c r="W8051">
        <v>1.294702E-2</v>
      </c>
      <c r="X8051">
        <v>0.99630079999999999</v>
      </c>
      <c r="Y8051">
        <v>0.38280120000000001</v>
      </c>
      <c r="Z8051">
        <v>-2.2770309999999998E-2</v>
      </c>
      <c r="AA8051">
        <v>0.92355010000000004</v>
      </c>
      <c r="AB8051">
        <v>21</v>
      </c>
      <c r="AC8051">
        <v>5.9624999999999702</v>
      </c>
      <c r="AD8051">
        <v>-1.1575389999999901</v>
      </c>
      <c r="AE8051">
        <v>-3.01663999999999</v>
      </c>
      <c r="AF8051">
        <v>2.55153222172595</v>
      </c>
      <c r="AG8051">
        <v>-1.1575389999999901</v>
      </c>
      <c r="AH8051">
        <v>5.96467804964779</v>
      </c>
      <c r="AI8051">
        <v>100.116594025567</v>
      </c>
      <c r="AJ8051">
        <v>66.840036168463797</v>
      </c>
      <c r="AK8051">
        <v>6.5899618702217797</v>
      </c>
      <c r="AL8051">
        <v>89.258169671995304</v>
      </c>
      <c r="AM8051">
        <v>85.126240725853506</v>
      </c>
      <c r="AN8051">
        <v>1.0000000015858099</v>
      </c>
    </row>
    <row r="8052" spans="1:40" x14ac:dyDescent="0.25">
      <c r="A8052" t="str">
        <f>"20190312154118188"</f>
        <v>20190312154118188</v>
      </c>
      <c r="B8052" t="str">
        <f>"1552376478184115"</f>
        <v>1552376478184115</v>
      </c>
      <c r="C8052" t="s">
        <v>40</v>
      </c>
      <c r="D8052">
        <v>4.7717210000000003</v>
      </c>
      <c r="E8052">
        <v>0.62553919999999996</v>
      </c>
      <c r="F8052" t="s">
        <v>43</v>
      </c>
      <c r="G8052">
        <v>-315.90800000000002</v>
      </c>
      <c r="H8052">
        <v>-0.05</v>
      </c>
      <c r="I8052">
        <v>14.3052799999999</v>
      </c>
      <c r="J8052">
        <v>-321.81799999999998</v>
      </c>
      <c r="K8052">
        <v>1.1074889999999999</v>
      </c>
      <c r="L8052">
        <v>17.334009999999999</v>
      </c>
      <c r="M8052">
        <v>0.99766739999999998</v>
      </c>
      <c r="N8052">
        <v>0</v>
      </c>
      <c r="O8052">
        <v>-6.6696229999999995E-2</v>
      </c>
      <c r="P8052">
        <v>0.98817520000000003</v>
      </c>
      <c r="Q8052">
        <v>-9.8378120000000005E-4</v>
      </c>
      <c r="R8052">
        <v>-0.15332570000000001</v>
      </c>
      <c r="S8052">
        <v>2.8193049999999999</v>
      </c>
      <c r="T8052">
        <v>-0.54209099999999999</v>
      </c>
      <c r="U8052">
        <v>-1.4230959999999999</v>
      </c>
      <c r="V8052">
        <v>8.7161950000000002E-2</v>
      </c>
      <c r="W8052">
        <v>1.2898389999999999E-2</v>
      </c>
      <c r="X8052">
        <v>0.99611070000000002</v>
      </c>
      <c r="Y8052">
        <v>0.38544099999999998</v>
      </c>
      <c r="Z8052">
        <v>-2.2735370000000001E-2</v>
      </c>
      <c r="AA8052">
        <v>0.9224523</v>
      </c>
      <c r="AB8052">
        <v>21</v>
      </c>
      <c r="AC8052">
        <v>5.9099999999999602</v>
      </c>
      <c r="AD8052">
        <v>-1.157489</v>
      </c>
      <c r="AE8052">
        <v>-3.0287299999999999</v>
      </c>
      <c r="AF8052">
        <v>2.5502913232820501</v>
      </c>
      <c r="AG8052">
        <v>-1.157489</v>
      </c>
      <c r="AH8052">
        <v>5.9190454682332403</v>
      </c>
      <c r="AI8052">
        <v>100.18136171046901</v>
      </c>
      <c r="AJ8052">
        <v>66.690629900945893</v>
      </c>
      <c r="AK8052">
        <v>6.54819561969106</v>
      </c>
      <c r="AL8052">
        <v>89.260956234449694</v>
      </c>
      <c r="AM8052">
        <v>84.999226182065101</v>
      </c>
      <c r="AN8052">
        <v>1.0000000503234401</v>
      </c>
    </row>
    <row r="8053" spans="1:40" x14ac:dyDescent="0.25">
      <c r="A8053" t="str">
        <f>"20190312154118205"</f>
        <v>20190312154118205</v>
      </c>
      <c r="B8053" t="str">
        <f>"1552376478193875"</f>
        <v>1552376478193875</v>
      </c>
      <c r="C8053" t="s">
        <v>40</v>
      </c>
      <c r="D8053">
        <v>4.5231519999999996</v>
      </c>
      <c r="E8053">
        <v>0.62562329999999999</v>
      </c>
      <c r="F8053" t="s">
        <v>43</v>
      </c>
      <c r="G8053">
        <v>-315.90859999999998</v>
      </c>
      <c r="H8053">
        <v>-0.05</v>
      </c>
      <c r="I8053">
        <v>14.30547</v>
      </c>
      <c r="J8053">
        <v>-321.6653</v>
      </c>
      <c r="K8053">
        <v>1.1074200000000001</v>
      </c>
      <c r="L8053">
        <v>17.319610000000001</v>
      </c>
      <c r="M8053">
        <v>0.99741659999999999</v>
      </c>
      <c r="N8053">
        <v>0</v>
      </c>
      <c r="O8053">
        <v>-7.0344779999999996E-2</v>
      </c>
      <c r="P8053">
        <v>0.98686079999999998</v>
      </c>
      <c r="Q8053">
        <v>-1.764269E-3</v>
      </c>
      <c r="R8053">
        <v>-0.1615646</v>
      </c>
      <c r="S8053">
        <v>2.8117679999999998</v>
      </c>
      <c r="T8053">
        <v>-0.55074480000000003</v>
      </c>
      <c r="U8053">
        <v>-1.4410099999999999</v>
      </c>
      <c r="V8053">
        <v>9.182477E-2</v>
      </c>
      <c r="W8053">
        <v>1.2072569999999999E-2</v>
      </c>
      <c r="X8053">
        <v>0.99570199999999998</v>
      </c>
      <c r="Y8053">
        <v>0.3876038</v>
      </c>
      <c r="Z8053">
        <v>-2.2653639999999999E-2</v>
      </c>
      <c r="AA8053">
        <v>0.92154769999999997</v>
      </c>
      <c r="AB8053">
        <v>21</v>
      </c>
      <c r="AC8053">
        <v>5.7567000000000199</v>
      </c>
      <c r="AD8053">
        <v>-1.1574199999999999</v>
      </c>
      <c r="AE8053">
        <v>-3.0141399999999998</v>
      </c>
      <c r="AF8053">
        <v>2.52167221733098</v>
      </c>
      <c r="AG8053">
        <v>-1.1574199999999999</v>
      </c>
      <c r="AH8053">
        <v>5.77138433275264</v>
      </c>
      <c r="AI8053">
        <v>100.41301025462801</v>
      </c>
      <c r="AJ8053">
        <v>66.398196022234202</v>
      </c>
      <c r="AK8053">
        <v>6.4036965062689797</v>
      </c>
      <c r="AL8053">
        <v>89.308275890464301</v>
      </c>
      <c r="AM8053">
        <v>84.731021467629205</v>
      </c>
      <c r="AN8053">
        <v>1.00000000406797</v>
      </c>
    </row>
    <row r="8054" spans="1:40" x14ac:dyDescent="0.25">
      <c r="A8054" t="str">
        <f>"20190312154118216"</f>
        <v>20190312154118216</v>
      </c>
      <c r="B8054" t="str">
        <f>"1552376478204611"</f>
        <v>1552376478204611</v>
      </c>
      <c r="C8054" t="s">
        <v>40</v>
      </c>
      <c r="D8054">
        <v>4.8061800000000003</v>
      </c>
      <c r="E8054">
        <v>0.62583849999999996</v>
      </c>
      <c r="F8054" t="s">
        <v>43</v>
      </c>
      <c r="G8054">
        <v>-315.82900000000001</v>
      </c>
      <c r="H8054">
        <v>-0.05</v>
      </c>
      <c r="I8054">
        <v>14.26346</v>
      </c>
      <c r="J8054">
        <v>-321.56490000000002</v>
      </c>
      <c r="K8054">
        <v>1.1073770000000001</v>
      </c>
      <c r="L8054">
        <v>17.30988</v>
      </c>
      <c r="M8054">
        <v>0.99724159999999995</v>
      </c>
      <c r="N8054">
        <v>0</v>
      </c>
      <c r="O8054">
        <v>-7.2784790000000002E-2</v>
      </c>
      <c r="P8054">
        <v>0.98604400000000003</v>
      </c>
      <c r="Q8054">
        <v>-2.068187E-3</v>
      </c>
      <c r="R8054">
        <v>-0.16647310000000001</v>
      </c>
      <c r="S8054">
        <v>2.7990110000000001</v>
      </c>
      <c r="T8054">
        <v>-0.55508579999999996</v>
      </c>
      <c r="U8054">
        <v>-1.4656979999999999</v>
      </c>
      <c r="V8054">
        <v>9.4342369999999995E-2</v>
      </c>
      <c r="W8054">
        <v>1.174215E-2</v>
      </c>
      <c r="X8054">
        <v>0.99547059999999998</v>
      </c>
      <c r="Y8054">
        <v>0.393314</v>
      </c>
      <c r="Z8054">
        <v>-2.2960189999999998E-2</v>
      </c>
      <c r="AA8054">
        <v>0.91911750000000003</v>
      </c>
      <c r="AB8054">
        <v>20</v>
      </c>
      <c r="AC8054">
        <v>5.7359000000000098</v>
      </c>
      <c r="AD8054">
        <v>-1.1573770000000001</v>
      </c>
      <c r="AE8054">
        <v>-3.0464199999999901</v>
      </c>
      <c r="AF8054">
        <v>2.5401420984793002</v>
      </c>
      <c r="AG8054">
        <v>-1.1573770000000001</v>
      </c>
      <c r="AH8054">
        <v>5.7595378978462897</v>
      </c>
      <c r="AI8054">
        <v>100.418170520705</v>
      </c>
      <c r="AJ8054">
        <v>66.200972621066896</v>
      </c>
      <c r="AK8054">
        <v>6.40032188232151</v>
      </c>
      <c r="AL8054">
        <v>89.327208927139196</v>
      </c>
      <c r="AM8054">
        <v>84.586155463234206</v>
      </c>
      <c r="AN8054">
        <v>1.0000000381640901</v>
      </c>
    </row>
    <row r="8055" spans="1:40" x14ac:dyDescent="0.25">
      <c r="A8055" t="str">
        <f>"20190312154118228"</f>
        <v>20190312154118228</v>
      </c>
      <c r="B8055" t="str">
        <f>"1552376478224133"</f>
        <v>1552376478224133</v>
      </c>
      <c r="C8055" t="s">
        <v>40</v>
      </c>
      <c r="D8055">
        <v>4.5121769999999897</v>
      </c>
      <c r="E8055">
        <v>0.62570930000000002</v>
      </c>
      <c r="F8055" t="s">
        <v>43</v>
      </c>
      <c r="G8055">
        <v>-315.76990000000001</v>
      </c>
      <c r="H8055">
        <v>-0.05</v>
      </c>
      <c r="I8055">
        <v>14.23476</v>
      </c>
      <c r="J8055">
        <v>-321.4624</v>
      </c>
      <c r="K8055">
        <v>1.107334</v>
      </c>
      <c r="L8055">
        <v>17.299440000000001</v>
      </c>
      <c r="M8055">
        <v>0.99705109999999997</v>
      </c>
      <c r="N8055">
        <v>0</v>
      </c>
      <c r="O8055">
        <v>-7.5346679999999999E-2</v>
      </c>
      <c r="P8055">
        <v>0.9851993</v>
      </c>
      <c r="Q8055">
        <v>-1.8499949999999999E-3</v>
      </c>
      <c r="R8055">
        <v>-0.17140349999999999</v>
      </c>
      <c r="S8055">
        <v>2.7912599999999999</v>
      </c>
      <c r="T8055">
        <v>-0.55746149999999905</v>
      </c>
      <c r="U8055">
        <v>-1.481171</v>
      </c>
      <c r="V8055">
        <v>9.6766779999999997E-2</v>
      </c>
      <c r="W8055">
        <v>1.1934780000000001E-2</v>
      </c>
      <c r="X8055">
        <v>0.99523550000000005</v>
      </c>
      <c r="Y8055">
        <v>0.39593929999999999</v>
      </c>
      <c r="Z8055">
        <v>-2.28591E-2</v>
      </c>
      <c r="AA8055">
        <v>0.91799209999999998</v>
      </c>
      <c r="AB8055">
        <v>20</v>
      </c>
      <c r="AC8055">
        <v>5.6924999999999901</v>
      </c>
      <c r="AD8055">
        <v>-1.1573340000000001</v>
      </c>
      <c r="AE8055">
        <v>-3.0646799999999899</v>
      </c>
      <c r="AF8055">
        <v>2.5454388429086601</v>
      </c>
      <c r="AG8055">
        <v>-1.1573340000000001</v>
      </c>
      <c r="AH8055">
        <v>5.7238270846291996</v>
      </c>
      <c r="AI8055">
        <v>100.46740793926899</v>
      </c>
      <c r="AJ8055">
        <v>66.024842726296001</v>
      </c>
      <c r="AK8055">
        <v>6.3703121889966301</v>
      </c>
      <c r="AL8055">
        <v>89.316171224561103</v>
      </c>
      <c r="AM8055">
        <v>84.446585662119404</v>
      </c>
      <c r="AN8055">
        <v>0.99999997457273304</v>
      </c>
    </row>
    <row r="8056" spans="1:40" x14ac:dyDescent="0.25">
      <c r="A8056" t="str">
        <f>"20190312154118239"</f>
        <v>20190312154118239</v>
      </c>
      <c r="B8056" t="str">
        <f>"1552376478233891"</f>
        <v>1552376478233891</v>
      </c>
      <c r="C8056" t="s">
        <v>40</v>
      </c>
      <c r="D8056">
        <v>4.5470639999999998</v>
      </c>
      <c r="E8056">
        <v>0.62573120000000004</v>
      </c>
      <c r="F8056" t="s">
        <v>43</v>
      </c>
      <c r="G8056">
        <v>-315.63319999999999</v>
      </c>
      <c r="H8056">
        <v>-0.05</v>
      </c>
      <c r="I8056">
        <v>14.171419999999999</v>
      </c>
      <c r="J8056">
        <v>-321.34699999999998</v>
      </c>
      <c r="K8056">
        <v>1.1072820000000001</v>
      </c>
      <c r="L8056">
        <v>17.287510000000001</v>
      </c>
      <c r="M8056">
        <v>0.99681900000000001</v>
      </c>
      <c r="N8056">
        <v>0</v>
      </c>
      <c r="O8056">
        <v>-7.8365569999999996E-2</v>
      </c>
      <c r="P8056">
        <v>0.98427019999999998</v>
      </c>
      <c r="Q8056">
        <v>-1.815508E-3</v>
      </c>
      <c r="R8056">
        <v>-0.17666029999999999</v>
      </c>
      <c r="S8056">
        <v>2.784119</v>
      </c>
      <c r="T8056">
        <v>-0.55275989999999997</v>
      </c>
      <c r="U8056">
        <v>-1.4939880000000001</v>
      </c>
      <c r="V8056">
        <v>9.9067230000000006E-2</v>
      </c>
      <c r="W8056">
        <v>1.1898540000000001E-2</v>
      </c>
      <c r="X8056">
        <v>0.99500960000000005</v>
      </c>
      <c r="Y8056">
        <v>0.39752270000000001</v>
      </c>
      <c r="Z8056">
        <v>-2.229356E-2</v>
      </c>
      <c r="AA8056">
        <v>0.91732139999999995</v>
      </c>
      <c r="AB8056">
        <v>20</v>
      </c>
      <c r="AC8056">
        <v>5.7137999999999902</v>
      </c>
      <c r="AD8056">
        <v>-1.1572819999999999</v>
      </c>
      <c r="AE8056">
        <v>-3.1160899999999998</v>
      </c>
      <c r="AF8056">
        <v>2.5772041027887398</v>
      </c>
      <c r="AG8056">
        <v>-1.1572819999999999</v>
      </c>
      <c r="AH8056">
        <v>5.7583707021651804</v>
      </c>
      <c r="AI8056">
        <v>100.394751288378</v>
      </c>
      <c r="AJ8056">
        <v>65.888721854071306</v>
      </c>
      <c r="AK8056">
        <v>6.4140561081510201</v>
      </c>
      <c r="AL8056">
        <v>89.318247786880605</v>
      </c>
      <c r="AM8056">
        <v>84.314136182082805</v>
      </c>
      <c r="AN8056">
        <v>0.99999999770308201</v>
      </c>
    </row>
    <row r="8057" spans="1:40" x14ac:dyDescent="0.25">
      <c r="A8057" t="str">
        <f>"20190312154118251"</f>
        <v>20190312154118251</v>
      </c>
      <c r="B8057" t="str">
        <f>"1552376478244629"</f>
        <v>1552376478244629</v>
      </c>
      <c r="C8057" t="s">
        <v>40</v>
      </c>
      <c r="D8057">
        <v>4.5272249999999996</v>
      </c>
      <c r="E8057">
        <v>0.6256022</v>
      </c>
      <c r="F8057" t="s">
        <v>43</v>
      </c>
      <c r="G8057">
        <v>-315.47239999999999</v>
      </c>
      <c r="H8057">
        <v>-0.05</v>
      </c>
      <c r="I8057">
        <v>14.094469999999999</v>
      </c>
      <c r="J8057">
        <v>-321.24250000000001</v>
      </c>
      <c r="K8057">
        <v>1.1072120000000001</v>
      </c>
      <c r="L8057">
        <v>17.276309999999999</v>
      </c>
      <c r="M8057">
        <v>0.99656690000000003</v>
      </c>
      <c r="N8057">
        <v>0</v>
      </c>
      <c r="O8057">
        <v>-8.1543480000000002E-2</v>
      </c>
      <c r="P8057">
        <v>0.98332330000000001</v>
      </c>
      <c r="Q8057">
        <v>-1.8557560000000001E-3</v>
      </c>
      <c r="R8057">
        <v>-0.18185680000000001</v>
      </c>
      <c r="S8057">
        <v>2.776154</v>
      </c>
      <c r="T8057">
        <v>-0.54688829999999999</v>
      </c>
      <c r="U8057">
        <v>-1.5089109999999999</v>
      </c>
      <c r="V8057">
        <v>0.101149</v>
      </c>
      <c r="W8057">
        <v>1.163868E-2</v>
      </c>
      <c r="X8057">
        <v>0.9948032</v>
      </c>
      <c r="Y8057">
        <v>0.39962330000000001</v>
      </c>
      <c r="Z8057">
        <v>-2.1708499999999999E-2</v>
      </c>
      <c r="AA8057">
        <v>0.91642239999999997</v>
      </c>
      <c r="AB8057">
        <v>20</v>
      </c>
      <c r="AC8057">
        <v>5.77010000000001</v>
      </c>
      <c r="AD8057">
        <v>-1.1572119999999999</v>
      </c>
      <c r="AE8057">
        <v>-3.1818399999999998</v>
      </c>
      <c r="AF8057">
        <v>2.6198749271186301</v>
      </c>
      <c r="AG8057">
        <v>-1.1572119999999999</v>
      </c>
      <c r="AH8057">
        <v>5.83053500187801</v>
      </c>
      <c r="AI8057">
        <v>100.261568464478</v>
      </c>
      <c r="AJ8057">
        <v>65.803854087691704</v>
      </c>
      <c r="AK8057">
        <v>6.4960005122239197</v>
      </c>
      <c r="AL8057">
        <v>89.333137696182504</v>
      </c>
      <c r="AM8057">
        <v>84.194266538642793</v>
      </c>
      <c r="AN8057">
        <v>0.99999999290169095</v>
      </c>
    </row>
    <row r="8058" spans="1:40" x14ac:dyDescent="0.25">
      <c r="A8058" t="str">
        <f>"20190312154118262"</f>
        <v>20190312154118262</v>
      </c>
      <c r="B8058" t="str">
        <f>"1552376478254386"</f>
        <v>1552376478254386</v>
      </c>
      <c r="C8058" t="s">
        <v>40</v>
      </c>
      <c r="D8058">
        <v>4.5286839999999904</v>
      </c>
      <c r="E8058">
        <v>0.62539489999999998</v>
      </c>
      <c r="F8058" t="s">
        <v>43</v>
      </c>
      <c r="G8058">
        <v>-315.3288</v>
      </c>
      <c r="H8058">
        <v>-0.05</v>
      </c>
      <c r="I8058">
        <v>14.02379</v>
      </c>
      <c r="J8058">
        <v>-321.14589999999998</v>
      </c>
      <c r="K8058">
        <v>1.107083</v>
      </c>
      <c r="L8058">
        <v>17.265750000000001</v>
      </c>
      <c r="M8058">
        <v>0.99632619999999905</v>
      </c>
      <c r="N8058">
        <v>0</v>
      </c>
      <c r="O8058">
        <v>-8.4473290000000006E-2</v>
      </c>
      <c r="P8058">
        <v>0.98238809999999999</v>
      </c>
      <c r="Q8058">
        <v>-1.9573059999999998E-3</v>
      </c>
      <c r="R8058">
        <v>-0.18684210000000001</v>
      </c>
      <c r="S8058">
        <v>2.7682500000000001</v>
      </c>
      <c r="T8058">
        <v>-0.54169730000000005</v>
      </c>
      <c r="U8058">
        <v>-1.5225219999999999</v>
      </c>
      <c r="V8058">
        <v>0.103268899999999</v>
      </c>
      <c r="W8058">
        <v>1.126868E-2</v>
      </c>
      <c r="X8058">
        <v>0.99458959999999996</v>
      </c>
      <c r="Y8058">
        <v>0.40159089999999997</v>
      </c>
      <c r="Z8058">
        <v>-2.1190279999999999E-2</v>
      </c>
      <c r="AA8058">
        <v>0.915574</v>
      </c>
      <c r="AB8058">
        <v>20</v>
      </c>
      <c r="AC8058">
        <v>5.8170999999999804</v>
      </c>
      <c r="AD8058">
        <v>-1.1570830000000001</v>
      </c>
      <c r="AE8058">
        <v>-3.2419600000000002</v>
      </c>
      <c r="AF8058">
        <v>2.6586697750828301</v>
      </c>
      <c r="AG8058">
        <v>-1.1570830000000001</v>
      </c>
      <c r="AH8058">
        <v>5.8923086260115998</v>
      </c>
      <c r="AI8058">
        <v>100.14815964331</v>
      </c>
      <c r="AJ8058">
        <v>65.714617967403797</v>
      </c>
      <c r="AK8058">
        <v>6.56708968920013</v>
      </c>
      <c r="AL8058">
        <v>89.354338504724097</v>
      </c>
      <c r="AM8058">
        <v>84.072182408064904</v>
      </c>
      <c r="AN8058">
        <v>0.99999996064215502</v>
      </c>
    </row>
    <row r="8059" spans="1:40" x14ac:dyDescent="0.25">
      <c r="A8059" t="str">
        <f>"20190312154118272"</f>
        <v>20190312154118272</v>
      </c>
      <c r="B8059" t="str">
        <f>"1552376478264147"</f>
        <v>1552376478264147</v>
      </c>
      <c r="C8059" t="s">
        <v>40</v>
      </c>
      <c r="D8059">
        <v>4.503736</v>
      </c>
      <c r="E8059">
        <v>0.62526859999999995</v>
      </c>
      <c r="F8059" t="s">
        <v>43</v>
      </c>
      <c r="G8059">
        <v>-315.18810000000002</v>
      </c>
      <c r="H8059">
        <v>-0.05</v>
      </c>
      <c r="I8059">
        <v>13.952909999999999</v>
      </c>
      <c r="J8059">
        <v>-321.0401</v>
      </c>
      <c r="K8059">
        <v>1.1068450000000001</v>
      </c>
      <c r="L8059">
        <v>17.25385</v>
      </c>
      <c r="M8059">
        <v>0.9960542</v>
      </c>
      <c r="N8059">
        <v>0</v>
      </c>
      <c r="O8059">
        <v>-8.767759E-2</v>
      </c>
      <c r="P8059">
        <v>0.98144089999999995</v>
      </c>
      <c r="Q8059">
        <v>-2.2004799999999999E-3</v>
      </c>
      <c r="R8059">
        <v>-0.1917529</v>
      </c>
      <c r="S8059">
        <v>2.760742</v>
      </c>
      <c r="T8059">
        <v>-0.53617689999999996</v>
      </c>
      <c r="U8059">
        <v>-1.535126</v>
      </c>
      <c r="V8059">
        <v>0.1050426</v>
      </c>
      <c r="W8059">
        <v>1.063739E-2</v>
      </c>
      <c r="X8059">
        <v>0.99441080000000004</v>
      </c>
      <c r="Y8059">
        <v>0.40301110000000001</v>
      </c>
      <c r="Z8059">
        <v>-2.0565920000000001E-2</v>
      </c>
      <c r="AA8059">
        <v>0.914964</v>
      </c>
      <c r="AB8059">
        <v>21</v>
      </c>
      <c r="AC8059">
        <v>5.8519999999999701</v>
      </c>
      <c r="AD8059">
        <v>-1.1568449999999999</v>
      </c>
      <c r="AE8059">
        <v>-3.30093999999999</v>
      </c>
      <c r="AF8059">
        <v>2.6951857767323002</v>
      </c>
      <c r="AG8059">
        <v>-1.1568449999999999</v>
      </c>
      <c r="AH8059">
        <v>5.9427258744672598</v>
      </c>
      <c r="AI8059">
        <v>100.05323260709299</v>
      </c>
      <c r="AJ8059">
        <v>65.604431824030399</v>
      </c>
      <c r="AK8059">
        <v>6.62708891929086</v>
      </c>
      <c r="AL8059">
        <v>89.390510935266903</v>
      </c>
      <c r="AM8059">
        <v>83.970036456283793</v>
      </c>
      <c r="AN8059">
        <v>0.99999997051870504</v>
      </c>
    </row>
    <row r="8060" spans="1:40" x14ac:dyDescent="0.25">
      <c r="A8060" t="str">
        <f>"20190312154118283"</f>
        <v>20190312154118283</v>
      </c>
      <c r="B8060" t="str">
        <f>"1552376478273906"</f>
        <v>1552376478273906</v>
      </c>
      <c r="C8060" t="s">
        <v>40</v>
      </c>
      <c r="D8060">
        <v>4.5787890000000004</v>
      </c>
      <c r="E8060">
        <v>0.62513019999999997</v>
      </c>
      <c r="F8060" t="s">
        <v>43</v>
      </c>
      <c r="G8060">
        <v>-315.12869999999998</v>
      </c>
      <c r="H8060">
        <v>-0.05</v>
      </c>
      <c r="I8060">
        <v>13.930160000000001</v>
      </c>
      <c r="J8060">
        <v>-320.94240000000002</v>
      </c>
      <c r="K8060">
        <v>1.1065659999999999</v>
      </c>
      <c r="L8060">
        <v>17.242550000000001</v>
      </c>
      <c r="M8060">
        <v>0.99580489999999999</v>
      </c>
      <c r="N8060">
        <v>0</v>
      </c>
      <c r="O8060">
        <v>-9.0501129999999999E-2</v>
      </c>
      <c r="P8060">
        <v>0.98052919999999999</v>
      </c>
      <c r="Q8060">
        <v>-2.260892E-3</v>
      </c>
      <c r="R8060">
        <v>-0.19636049999999999</v>
      </c>
      <c r="S8060">
        <v>2.753082</v>
      </c>
      <c r="T8060">
        <v>-0.53877030000000004</v>
      </c>
      <c r="U8060">
        <v>-1.5479130000000001</v>
      </c>
      <c r="V8060">
        <v>0.106895699999999</v>
      </c>
      <c r="W8060">
        <v>1.028884E-2</v>
      </c>
      <c r="X8060">
        <v>0.99421700000000002</v>
      </c>
      <c r="Y8060">
        <v>0.40470319999999999</v>
      </c>
      <c r="Z8060">
        <v>-2.034248E-2</v>
      </c>
      <c r="AA8060">
        <v>0.91422179999999997</v>
      </c>
      <c r="AB8060">
        <v>21</v>
      </c>
      <c r="AC8060">
        <v>5.8137000000000398</v>
      </c>
      <c r="AD8060">
        <v>-1.156566</v>
      </c>
      <c r="AE8060">
        <v>-3.3123900000000002</v>
      </c>
      <c r="AF8060">
        <v>2.6921652296813998</v>
      </c>
      <c r="AG8060">
        <v>-1.156566</v>
      </c>
      <c r="AH8060">
        <v>5.9129759000655202</v>
      </c>
      <c r="AI8060">
        <v>100.09379127548399</v>
      </c>
      <c r="AJ8060">
        <v>65.520327833563897</v>
      </c>
      <c r="AK8060">
        <v>6.5991425602889597</v>
      </c>
      <c r="AL8060">
        <v>89.410482488756401</v>
      </c>
      <c r="AM8060">
        <v>83.863276938497705</v>
      </c>
      <c r="AN8060">
        <v>0.999999996998017</v>
      </c>
    </row>
    <row r="8061" spans="1:40" x14ac:dyDescent="0.25">
      <c r="A8061" t="str">
        <f>"20190312154118297"</f>
        <v>20190312154118297</v>
      </c>
      <c r="B8061" t="str">
        <f>"1552376478284642"</f>
        <v>1552376478284642</v>
      </c>
      <c r="C8061" t="s">
        <v>40</v>
      </c>
      <c r="D8061">
        <v>4.5715859999999999</v>
      </c>
      <c r="E8061">
        <v>0.62501340000000005</v>
      </c>
      <c r="F8061" t="s">
        <v>43</v>
      </c>
      <c r="G8061">
        <v>-314.99250000000001</v>
      </c>
      <c r="H8061">
        <v>-0.05</v>
      </c>
      <c r="I8061">
        <v>13.862439999999999</v>
      </c>
      <c r="J8061">
        <v>-320.81599999999997</v>
      </c>
      <c r="K8061">
        <v>1.1061529999999999</v>
      </c>
      <c r="L8061">
        <v>17.227599999999999</v>
      </c>
      <c r="M8061">
        <v>0.99548009999999998</v>
      </c>
      <c r="N8061">
        <v>0</v>
      </c>
      <c r="O8061">
        <v>-9.404005E-2</v>
      </c>
      <c r="P8061">
        <v>0.97948650000000004</v>
      </c>
      <c r="Q8061">
        <v>-2.2404199999999999E-3</v>
      </c>
      <c r="R8061">
        <v>-0.2014986</v>
      </c>
      <c r="S8061">
        <v>2.7459410000000002</v>
      </c>
      <c r="T8061">
        <v>-0.53376089999999998</v>
      </c>
      <c r="U8061">
        <v>-1.5599369999999999</v>
      </c>
      <c r="V8061">
        <v>0.10857799999999999</v>
      </c>
      <c r="W8061">
        <v>1.000322E-2</v>
      </c>
      <c r="X8061">
        <v>0.99403759999999997</v>
      </c>
      <c r="Y8061">
        <v>0.40562019999999999</v>
      </c>
      <c r="Z8061">
        <v>-1.963906E-2</v>
      </c>
      <c r="AA8061">
        <v>0.9138307</v>
      </c>
      <c r="AB8061">
        <v>21</v>
      </c>
      <c r="AC8061">
        <v>5.8234999999999602</v>
      </c>
      <c r="AD8061">
        <v>-1.156153</v>
      </c>
      <c r="AE8061">
        <v>-3.3651599999999902</v>
      </c>
      <c r="AF8061">
        <v>2.7221199812864301</v>
      </c>
      <c r="AG8061">
        <v>-1.156153</v>
      </c>
      <c r="AH8061">
        <v>5.9386973600072102</v>
      </c>
      <c r="AI8061">
        <v>100.03602867538601</v>
      </c>
      <c r="AJ8061">
        <v>65.374704902991496</v>
      </c>
      <c r="AK8061">
        <v>6.6343615582574698</v>
      </c>
      <c r="AL8061">
        <v>89.426848152561107</v>
      </c>
      <c r="AM8061">
        <v>83.766336870306802</v>
      </c>
      <c r="AN8061">
        <v>0.99999999835406395</v>
      </c>
    </row>
    <row r="8062" spans="1:40" x14ac:dyDescent="0.25">
      <c r="A8062" t="str">
        <f>"20190312154118310"</f>
        <v>20190312154118310</v>
      </c>
      <c r="B8062" t="str">
        <f>"1552376478304163"</f>
        <v>1552376478304163</v>
      </c>
      <c r="C8062" t="s">
        <v>40</v>
      </c>
      <c r="D8062">
        <v>4.562449</v>
      </c>
      <c r="E8062">
        <v>0.62447140000000001</v>
      </c>
      <c r="F8062" t="s">
        <v>43</v>
      </c>
      <c r="G8062">
        <v>-314.84039999999999</v>
      </c>
      <c r="H8062">
        <v>-0.05</v>
      </c>
      <c r="I8062">
        <v>13.794309999999999</v>
      </c>
      <c r="J8062">
        <v>-320.70569999999998</v>
      </c>
      <c r="K8062">
        <v>1.1057589999999999</v>
      </c>
      <c r="L8062">
        <v>17.213899999999999</v>
      </c>
      <c r="M8062">
        <v>0.99520090000000005</v>
      </c>
      <c r="N8062">
        <v>0</v>
      </c>
      <c r="O8062">
        <v>-9.6936830000000002E-2</v>
      </c>
      <c r="P8062">
        <v>0.97858049999999996</v>
      </c>
      <c r="Q8062">
        <v>-2.4982189999999999E-3</v>
      </c>
      <c r="R8062">
        <v>-0.2058498</v>
      </c>
      <c r="S8062">
        <v>2.7380070000000001</v>
      </c>
      <c r="T8062">
        <v>-0.52974489999999996</v>
      </c>
      <c r="U8062">
        <v>-1.5731200000000001</v>
      </c>
      <c r="V8062">
        <v>0.11010540000000001</v>
      </c>
      <c r="W8062">
        <v>9.7695890000000004E-3</v>
      </c>
      <c r="X8062">
        <v>0.99387190000000003</v>
      </c>
      <c r="Y8062">
        <v>0.40748810000000002</v>
      </c>
      <c r="Z8062">
        <v>-1.9179680000000001E-2</v>
      </c>
      <c r="AA8062">
        <v>0.91300910000000002</v>
      </c>
      <c r="AB8062">
        <v>21</v>
      </c>
      <c r="AC8062">
        <v>5.8652999999999897</v>
      </c>
      <c r="AD8062">
        <v>-1.155759</v>
      </c>
      <c r="AE8062">
        <v>-3.4195899999999901</v>
      </c>
      <c r="AF8062">
        <v>2.7550313865327301</v>
      </c>
      <c r="AG8062">
        <v>-1.155759</v>
      </c>
      <c r="AH8062">
        <v>5.9954467189168801</v>
      </c>
      <c r="AI8062">
        <v>99.935368509479801</v>
      </c>
      <c r="AJ8062">
        <v>65.320243522145105</v>
      </c>
      <c r="AK8062">
        <v>6.6986086739137596</v>
      </c>
      <c r="AL8062">
        <v>89.440234877355095</v>
      </c>
      <c r="AM8062">
        <v>83.678305617431405</v>
      </c>
      <c r="AN8062">
        <v>0.99999999879399903</v>
      </c>
    </row>
    <row r="8063" spans="1:40" x14ac:dyDescent="0.25">
      <c r="A8063" t="str">
        <f>"20190312154118323"</f>
        <v>20190312154118323</v>
      </c>
      <c r="B8063" t="str">
        <f>"1552376478313924"</f>
        <v>1552376478313924</v>
      </c>
      <c r="C8063" t="s">
        <v>40</v>
      </c>
      <c r="D8063">
        <v>4.5763470000000002</v>
      </c>
      <c r="E8063">
        <v>0.62420120000000001</v>
      </c>
      <c r="F8063" t="s">
        <v>43</v>
      </c>
      <c r="G8063">
        <v>-314.67790000000002</v>
      </c>
      <c r="H8063">
        <v>-0.05</v>
      </c>
      <c r="I8063">
        <v>13.725680000000001</v>
      </c>
      <c r="J8063">
        <v>-320.57709999999997</v>
      </c>
      <c r="K8063">
        <v>1.1052759999999999</v>
      </c>
      <c r="L8063">
        <v>17.197569999999999</v>
      </c>
      <c r="M8063">
        <v>0.99486410000000003</v>
      </c>
      <c r="N8063">
        <v>0</v>
      </c>
      <c r="O8063">
        <v>-0.1003044</v>
      </c>
      <c r="P8063">
        <v>0.97758869999999998</v>
      </c>
      <c r="Q8063">
        <v>-2.6663609999999999E-3</v>
      </c>
      <c r="R8063">
        <v>-0.21050679999999999</v>
      </c>
      <c r="S8063">
        <v>2.7318419999999999</v>
      </c>
      <c r="T8063">
        <v>-0.52380320000000002</v>
      </c>
      <c r="U8063">
        <v>-1.580902</v>
      </c>
      <c r="V8063">
        <v>0.1114793</v>
      </c>
      <c r="W8063">
        <v>9.7581430000000004E-3</v>
      </c>
      <c r="X8063">
        <v>0.99371889999999996</v>
      </c>
      <c r="Y8063">
        <v>0.40737859999999998</v>
      </c>
      <c r="Z8063">
        <v>-1.8397960000000001E-2</v>
      </c>
      <c r="AA8063">
        <v>0.9130741</v>
      </c>
      <c r="AB8063">
        <v>21</v>
      </c>
      <c r="AC8063">
        <v>5.8991999999999498</v>
      </c>
      <c r="AD8063">
        <v>-1.155276</v>
      </c>
      <c r="AE8063">
        <v>-3.4718900000000001</v>
      </c>
      <c r="AF8063">
        <v>2.7833234625641299</v>
      </c>
      <c r="AG8063">
        <v>-1.155276</v>
      </c>
      <c r="AH8063">
        <v>6.0455138576280403</v>
      </c>
      <c r="AI8063">
        <v>99.847463970895504</v>
      </c>
      <c r="AJ8063">
        <v>65.278900238554897</v>
      </c>
      <c r="AK8063">
        <v>6.7549826007332303</v>
      </c>
      <c r="AL8063">
        <v>89.440890746949904</v>
      </c>
      <c r="AM8063">
        <v>83.599096557620101</v>
      </c>
      <c r="AN8063">
        <v>1.00000005395025</v>
      </c>
    </row>
    <row r="8064" spans="1:40" x14ac:dyDescent="0.25">
      <c r="A8064" t="str">
        <f>"20190312154118341"</f>
        <v>20190312154118341</v>
      </c>
      <c r="B8064" t="str">
        <f>"1552376478334419"</f>
        <v>1552376478334419</v>
      </c>
      <c r="C8064" t="s">
        <v>40</v>
      </c>
      <c r="D8064">
        <v>4.5440779999999998</v>
      </c>
      <c r="E8064">
        <v>0.62378999999999996</v>
      </c>
      <c r="F8064" t="s">
        <v>43</v>
      </c>
      <c r="G8064">
        <v>-314.55329999999998</v>
      </c>
      <c r="H8064">
        <v>-0.05</v>
      </c>
      <c r="I8064">
        <v>13.68019</v>
      </c>
      <c r="J8064">
        <v>-320.43029999999999</v>
      </c>
      <c r="K8064">
        <v>1.1046769999999999</v>
      </c>
      <c r="L8064">
        <v>17.178339999999999</v>
      </c>
      <c r="M8064">
        <v>0.99446369999999895</v>
      </c>
      <c r="N8064">
        <v>0</v>
      </c>
      <c r="O8064">
        <v>-0.10413310000000001</v>
      </c>
      <c r="P8064">
        <v>0.97627790000000003</v>
      </c>
      <c r="Q8064">
        <v>-4.4137550000000001E-3</v>
      </c>
      <c r="R8064">
        <v>-0.2164768</v>
      </c>
      <c r="S8064">
        <v>2.7247620000000001</v>
      </c>
      <c r="T8064">
        <v>-0.52257319999999996</v>
      </c>
      <c r="U8064">
        <v>-1.5910340000000001</v>
      </c>
      <c r="V8064">
        <v>0.1137177</v>
      </c>
      <c r="W8064">
        <v>8.4187640000000005E-3</v>
      </c>
      <c r="X8064">
        <v>0.99347739999999995</v>
      </c>
      <c r="Y8064">
        <v>0.40749580000000002</v>
      </c>
      <c r="Z8064">
        <v>-1.7727710000000001E-2</v>
      </c>
      <c r="AA8064">
        <v>0.91303500000000004</v>
      </c>
      <c r="AB8064">
        <v>21</v>
      </c>
      <c r="AC8064">
        <v>5.8769999999999998</v>
      </c>
      <c r="AD8064">
        <v>-1.154677</v>
      </c>
      <c r="AE8064">
        <v>-3.4981499999999901</v>
      </c>
      <c r="AF8064">
        <v>2.7876205828648799</v>
      </c>
      <c r="AG8064">
        <v>-1.154677</v>
      </c>
      <c r="AH8064">
        <v>6.0372693513289502</v>
      </c>
      <c r="AI8064">
        <v>99.850711815894599</v>
      </c>
      <c r="AJ8064">
        <v>65.215561018439104</v>
      </c>
      <c r="AK8064">
        <v>6.7492761618440804</v>
      </c>
      <c r="AL8064">
        <v>89.517634640349897</v>
      </c>
      <c r="AM8064">
        <v>83.470097890614994</v>
      </c>
      <c r="AN8064">
        <v>0.999999967595668</v>
      </c>
    </row>
    <row r="8065" spans="1:40" x14ac:dyDescent="0.25">
      <c r="A8065" t="str">
        <f>"20190312154118351"</f>
        <v>20190312154118351</v>
      </c>
      <c r="B8065" t="str">
        <f>"1552376478344179"</f>
        <v>1552376478344179</v>
      </c>
      <c r="C8065" t="s">
        <v>40</v>
      </c>
      <c r="D8065">
        <v>4.56203</v>
      </c>
      <c r="E8065">
        <v>0.62358359999999902</v>
      </c>
      <c r="F8065" t="s">
        <v>43</v>
      </c>
      <c r="G8065">
        <v>-314.42070000000001</v>
      </c>
      <c r="H8065">
        <v>-0.05</v>
      </c>
      <c r="I8065">
        <v>13.62885</v>
      </c>
      <c r="J8065">
        <v>-320.30700000000002</v>
      </c>
      <c r="K8065">
        <v>1.1041030000000001</v>
      </c>
      <c r="L8065">
        <v>17.161619999999999</v>
      </c>
      <c r="M8065">
        <v>0.99411550000000004</v>
      </c>
      <c r="N8065">
        <v>0</v>
      </c>
      <c r="O8065">
        <v>-0.1073201</v>
      </c>
      <c r="P8065">
        <v>0.97532300000000005</v>
      </c>
      <c r="Q8065">
        <v>-6.0223799999999999E-3</v>
      </c>
      <c r="R8065">
        <v>-0.22070149999999999</v>
      </c>
      <c r="S8065">
        <v>2.714966</v>
      </c>
      <c r="T8065">
        <v>-0.52165589999999995</v>
      </c>
      <c r="U8065">
        <v>-1.603577</v>
      </c>
      <c r="V8065">
        <v>0.1148269</v>
      </c>
      <c r="W8065">
        <v>7.4112379999999997E-3</v>
      </c>
      <c r="X8065">
        <v>0.99335790000000002</v>
      </c>
      <c r="Y8065">
        <v>0.40916279999999999</v>
      </c>
      <c r="Z8065">
        <v>-1.7328469999999999E-2</v>
      </c>
      <c r="AA8065">
        <v>0.91229680000000002</v>
      </c>
      <c r="AB8065">
        <v>21</v>
      </c>
      <c r="AC8065">
        <v>5.8863000000000003</v>
      </c>
      <c r="AD8065">
        <v>-1.1541030000000001</v>
      </c>
      <c r="AE8065">
        <v>-3.5327700000000002</v>
      </c>
      <c r="AF8065">
        <v>2.8014024469355898</v>
      </c>
      <c r="AG8065">
        <v>-1.1541030000000001</v>
      </c>
      <c r="AH8065">
        <v>6.0602020473220097</v>
      </c>
      <c r="AI8065">
        <v>99.807448187511199</v>
      </c>
      <c r="AJ8065">
        <v>65.190682820357395</v>
      </c>
      <c r="AK8065">
        <v>6.7753862073443196</v>
      </c>
      <c r="AL8065">
        <v>89.575363467207694</v>
      </c>
      <c r="AM8065">
        <v>83.406177297780602</v>
      </c>
      <c r="AN8065">
        <v>1.00000003045235</v>
      </c>
    </row>
    <row r="8066" spans="1:40" x14ac:dyDescent="0.25">
      <c r="A8066" t="str">
        <f>"20190312154118362"</f>
        <v>20190312154118362</v>
      </c>
      <c r="B8066" t="str">
        <f>"1552376478353938"</f>
        <v>1552376478353938</v>
      </c>
      <c r="C8066" t="s">
        <v>40</v>
      </c>
      <c r="D8066">
        <v>4.5648030000000004</v>
      </c>
      <c r="E8066">
        <v>0.62330369999999902</v>
      </c>
      <c r="F8066" t="s">
        <v>43</v>
      </c>
      <c r="G8066">
        <v>-314.4144</v>
      </c>
      <c r="H8066">
        <v>-0.05</v>
      </c>
      <c r="I8066">
        <v>13.650539999999999</v>
      </c>
      <c r="J8066">
        <v>-320.21129999999999</v>
      </c>
      <c r="K8066">
        <v>1.1036189999999999</v>
      </c>
      <c r="L8066">
        <v>17.148350000000001</v>
      </c>
      <c r="M8066">
        <v>0.99383900000000003</v>
      </c>
      <c r="N8066">
        <v>0</v>
      </c>
      <c r="O8066">
        <v>-0.10976900000000001</v>
      </c>
      <c r="P8066">
        <v>0.97459629999999997</v>
      </c>
      <c r="Q8066">
        <v>-7.8931729999999999E-3</v>
      </c>
      <c r="R8066">
        <v>-0.22382929999999901</v>
      </c>
      <c r="S8066">
        <v>2.7075809999999998</v>
      </c>
      <c r="T8066">
        <v>-0.53029250000000006</v>
      </c>
      <c r="U8066">
        <v>-1.613281</v>
      </c>
      <c r="V8066">
        <v>0.1155547</v>
      </c>
      <c r="W8066">
        <v>6.1004419999999898E-3</v>
      </c>
      <c r="X8066">
        <v>0.99328240000000001</v>
      </c>
      <c r="Y8066">
        <v>0.41029939999999998</v>
      </c>
      <c r="Z8066">
        <v>-1.7308569999999999E-2</v>
      </c>
      <c r="AA8066">
        <v>0.9117866</v>
      </c>
      <c r="AB8066">
        <v>21</v>
      </c>
      <c r="AC8066">
        <v>5.7968999999999902</v>
      </c>
      <c r="AD8066">
        <v>-1.153619</v>
      </c>
      <c r="AE8066">
        <v>-3.4978099999999999</v>
      </c>
      <c r="AF8066">
        <v>2.76013839171021</v>
      </c>
      <c r="AG8066">
        <v>-1.153619</v>
      </c>
      <c r="AH8066">
        <v>5.9724594381837504</v>
      </c>
      <c r="AI8066">
        <v>99.945021533347003</v>
      </c>
      <c r="AJ8066">
        <v>65.196247391143203</v>
      </c>
      <c r="AK8066">
        <v>6.6797808706052404</v>
      </c>
      <c r="AL8066">
        <v>89.650468257503206</v>
      </c>
      <c r="AM8066">
        <v>83.364255749146395</v>
      </c>
      <c r="AN8066">
        <v>1.0000000151172199</v>
      </c>
    </row>
    <row r="8067" spans="1:40" x14ac:dyDescent="0.25">
      <c r="A8067" t="str">
        <f>"20190312154118373"</f>
        <v>20190312154118373</v>
      </c>
      <c r="B8067" t="str">
        <f>"1552376478364674"</f>
        <v>1552376478364674</v>
      </c>
      <c r="C8067" t="s">
        <v>40</v>
      </c>
      <c r="D8067">
        <v>4.5222720000000001</v>
      </c>
      <c r="E8067">
        <v>0.62300029999999995</v>
      </c>
      <c r="F8067" t="s">
        <v>43</v>
      </c>
      <c r="G8067">
        <v>-314.42180000000002</v>
      </c>
      <c r="H8067">
        <v>-0.05</v>
      </c>
      <c r="I8067">
        <v>13.678240000000001</v>
      </c>
      <c r="J8067">
        <v>-320.11020000000002</v>
      </c>
      <c r="K8067">
        <v>1.1030719999999901</v>
      </c>
      <c r="L8067">
        <v>17.134</v>
      </c>
      <c r="M8067">
        <v>0.99354189999999998</v>
      </c>
      <c r="N8067">
        <v>0</v>
      </c>
      <c r="O8067">
        <v>-0.11232640000000001</v>
      </c>
      <c r="P8067">
        <v>0.97376200000000002</v>
      </c>
      <c r="Q8067">
        <v>-1.016865E-2</v>
      </c>
      <c r="R8067">
        <v>-0.22734099999999999</v>
      </c>
      <c r="S8067">
        <v>2.7019039999999999</v>
      </c>
      <c r="T8067">
        <v>-0.53838589999999997</v>
      </c>
      <c r="U8067">
        <v>-1.6194759999999999</v>
      </c>
      <c r="V8067">
        <v>0.11656420000000001</v>
      </c>
      <c r="W8067">
        <v>4.5030599999999997E-3</v>
      </c>
      <c r="X8067">
        <v>0.99317290000000003</v>
      </c>
      <c r="Y8067">
        <v>0.41024040000000001</v>
      </c>
      <c r="Z8067">
        <v>-1.7127880000000002E-2</v>
      </c>
      <c r="AA8067">
        <v>0.91181659999999998</v>
      </c>
      <c r="AB8067">
        <v>20</v>
      </c>
      <c r="AC8067">
        <v>5.6883999999999997</v>
      </c>
      <c r="AD8067">
        <v>-1.1530720000000001</v>
      </c>
      <c r="AE8067">
        <v>-3.4557600000000002</v>
      </c>
      <c r="AF8067">
        <v>2.71340728029522</v>
      </c>
      <c r="AG8067">
        <v>-1.1530720000000001</v>
      </c>
      <c r="AH8067">
        <v>5.8646004598313599</v>
      </c>
      <c r="AI8067">
        <v>100.117468701021</v>
      </c>
      <c r="AJ8067">
        <v>65.171173047003094</v>
      </c>
      <c r="AK8067">
        <v>6.5639692762380699</v>
      </c>
      <c r="AL8067">
        <v>89.741992782185307</v>
      </c>
      <c r="AM8067">
        <v>83.306077544624301</v>
      </c>
      <c r="AN8067">
        <v>0.99999994978270501</v>
      </c>
    </row>
    <row r="8068" spans="1:40" x14ac:dyDescent="0.25">
      <c r="A8068" t="str">
        <f>"20190312154118384"</f>
        <v>20190312154118384</v>
      </c>
      <c r="B8068" t="str">
        <f>"1552376478374435"</f>
        <v>1552376478374435</v>
      </c>
      <c r="C8068" t="s">
        <v>40</v>
      </c>
      <c r="D8068">
        <v>4.5181480000000001</v>
      </c>
      <c r="E8068">
        <v>0.62268990000000002</v>
      </c>
      <c r="F8068" t="s">
        <v>43</v>
      </c>
      <c r="G8068">
        <v>-314.4316</v>
      </c>
      <c r="H8068">
        <v>-0.05</v>
      </c>
      <c r="I8068">
        <v>13.70734</v>
      </c>
      <c r="J8068">
        <v>-320.01749999999998</v>
      </c>
      <c r="K8068">
        <v>1.10254599999999</v>
      </c>
      <c r="L8068">
        <v>17.120539999999998</v>
      </c>
      <c r="M8068">
        <v>0.99325770000000002</v>
      </c>
      <c r="N8068">
        <v>0</v>
      </c>
      <c r="O8068">
        <v>-0.1147046</v>
      </c>
      <c r="P8068">
        <v>0.9729968</v>
      </c>
      <c r="Q8068">
        <v>-1.2591400000000001E-2</v>
      </c>
      <c r="R8068">
        <v>-0.23047529999999999</v>
      </c>
      <c r="S8068">
        <v>2.6953740000000002</v>
      </c>
      <c r="T8068">
        <v>-0.54731660000000004</v>
      </c>
      <c r="U8068">
        <v>-1.626495</v>
      </c>
      <c r="V8068">
        <v>0.1173681</v>
      </c>
      <c r="W8068">
        <v>2.815545E-3</v>
      </c>
      <c r="X8068">
        <v>0.99308450000000004</v>
      </c>
      <c r="Y8068">
        <v>0.4106551</v>
      </c>
      <c r="Z8068">
        <v>-1.703868E-2</v>
      </c>
      <c r="AA8068">
        <v>0.91163150000000004</v>
      </c>
      <c r="AB8068">
        <v>20</v>
      </c>
      <c r="AC8068">
        <v>5.5858999999999801</v>
      </c>
      <c r="AD8068">
        <v>-1.1525459999999901</v>
      </c>
      <c r="AE8068">
        <v>-3.41319999999999</v>
      </c>
      <c r="AF8068">
        <v>2.6671678103226899</v>
      </c>
      <c r="AG8068">
        <v>-1.1525459999999901</v>
      </c>
      <c r="AH8068">
        <v>5.7619720373228098</v>
      </c>
      <c r="AI8068">
        <v>100.28842989983499</v>
      </c>
      <c r="AJ8068">
        <v>65.160983378080203</v>
      </c>
      <c r="AK8068">
        <v>6.4530975639166899</v>
      </c>
      <c r="AL8068">
        <v>89.838680943134307</v>
      </c>
      <c r="AM8068">
        <v>83.259740872421304</v>
      </c>
      <c r="AN8068">
        <v>1.0000000111657501</v>
      </c>
    </row>
    <row r="8069" spans="1:40" x14ac:dyDescent="0.25">
      <c r="A8069" t="str">
        <f>"20190312154118394"</f>
        <v>20190312154118394</v>
      </c>
      <c r="B8069" t="str">
        <f>"1552376478384195"</f>
        <v>1552376478384195</v>
      </c>
      <c r="C8069" t="s">
        <v>40</v>
      </c>
      <c r="D8069">
        <v>4.5457470000000004</v>
      </c>
      <c r="E8069">
        <v>0.62243280000000001</v>
      </c>
      <c r="F8069" t="s">
        <v>43</v>
      </c>
      <c r="G8069">
        <v>-314.4477</v>
      </c>
      <c r="H8069">
        <v>-0.05</v>
      </c>
      <c r="I8069">
        <v>13.74034</v>
      </c>
      <c r="J8069">
        <v>-319.91730000000001</v>
      </c>
      <c r="K8069">
        <v>1.101966</v>
      </c>
      <c r="L8069">
        <v>17.105799999999999</v>
      </c>
      <c r="M8069">
        <v>0.99293969999999998</v>
      </c>
      <c r="N8069">
        <v>0</v>
      </c>
      <c r="O8069">
        <v>-0.1172957</v>
      </c>
      <c r="P8069">
        <v>0.97206709999999996</v>
      </c>
      <c r="Q8069">
        <v>-1.45966E-2</v>
      </c>
      <c r="R8069">
        <v>-0.23424890000000001</v>
      </c>
      <c r="S8069">
        <v>2.6894529999999999</v>
      </c>
      <c r="T8069">
        <v>-0.55652029999999997</v>
      </c>
      <c r="U8069">
        <v>-1.632172</v>
      </c>
      <c r="V8069">
        <v>0.11861960000000001</v>
      </c>
      <c r="W8069">
        <v>1.6644629999999999E-3</v>
      </c>
      <c r="X8069">
        <v>0.9929384</v>
      </c>
      <c r="Y8069">
        <v>0.41046100000000002</v>
      </c>
      <c r="Z8069">
        <v>-1.6846259999999998E-2</v>
      </c>
      <c r="AA8069">
        <v>0.91172249999999999</v>
      </c>
      <c r="AB8069">
        <v>20</v>
      </c>
      <c r="AC8069">
        <v>5.4696000000000096</v>
      </c>
      <c r="AD8069">
        <v>-1.151966</v>
      </c>
      <c r="AE8069">
        <v>-3.3654599999999899</v>
      </c>
      <c r="AF8069">
        <v>2.6163759859945301</v>
      </c>
      <c r="AG8069">
        <v>-1.151966</v>
      </c>
      <c r="AH8069">
        <v>5.6450139644569699</v>
      </c>
      <c r="AI8069">
        <v>100.489418074425</v>
      </c>
      <c r="AJ8069">
        <v>65.133012265075493</v>
      </c>
      <c r="AK8069">
        <v>6.3276086813391901</v>
      </c>
      <c r="AL8069">
        <v>89.904633253109594</v>
      </c>
      <c r="AM8069">
        <v>83.187548203928898</v>
      </c>
      <c r="AN8069">
        <v>1.00000002306789</v>
      </c>
    </row>
    <row r="8070" spans="1:40" x14ac:dyDescent="0.25">
      <c r="A8070" t="str">
        <f>"20190312154118405"</f>
        <v>20190312154118405</v>
      </c>
      <c r="B8070" t="str">
        <f>"1552376478393955"</f>
        <v>1552376478393955</v>
      </c>
      <c r="C8070" t="s">
        <v>40</v>
      </c>
      <c r="D8070">
        <v>4.5695319999999997</v>
      </c>
      <c r="E8070">
        <v>0.6221795</v>
      </c>
      <c r="F8070" t="s">
        <v>43</v>
      </c>
      <c r="G8070">
        <v>-314.45150000000001</v>
      </c>
      <c r="H8070">
        <v>-0.05</v>
      </c>
      <c r="I8070">
        <v>13.763669999999999</v>
      </c>
      <c r="J8070">
        <v>-319.8227</v>
      </c>
      <c r="K8070">
        <v>1.1013850000000001</v>
      </c>
      <c r="L8070">
        <v>17.091429999999999</v>
      </c>
      <c r="M8070">
        <v>0.99261339999999998</v>
      </c>
      <c r="N8070">
        <v>0</v>
      </c>
      <c r="O8070">
        <v>-0.1198869</v>
      </c>
      <c r="P8070">
        <v>0.97116749999999996</v>
      </c>
      <c r="Q8070">
        <v>-1.6132870000000001E-2</v>
      </c>
      <c r="R8070">
        <v>-0.23785249999999999</v>
      </c>
      <c r="S8070">
        <v>2.6824949999999999</v>
      </c>
      <c r="T8070">
        <v>-0.56536450000000005</v>
      </c>
      <c r="U8070">
        <v>-1.6402589999999999</v>
      </c>
      <c r="V8070">
        <v>0.1197043</v>
      </c>
      <c r="W8070">
        <v>1.03027E-3</v>
      </c>
      <c r="X8070">
        <v>0.9928091</v>
      </c>
      <c r="Y8070">
        <v>0.4110161</v>
      </c>
      <c r="Z8070">
        <v>-1.6700940000000001E-2</v>
      </c>
      <c r="AA8070">
        <v>0.91147509999999998</v>
      </c>
      <c r="AB8070">
        <v>20</v>
      </c>
      <c r="AC8070">
        <v>5.3711999999999804</v>
      </c>
      <c r="AD8070">
        <v>-1.1513850000000001</v>
      </c>
      <c r="AE8070">
        <v>-3.3277599999999898</v>
      </c>
      <c r="AF8070">
        <v>2.57422420879749</v>
      </c>
      <c r="AG8070">
        <v>-1.1513850000000001</v>
      </c>
      <c r="AH8070">
        <v>5.5472711922603199</v>
      </c>
      <c r="AI8070">
        <v>100.66251659418801</v>
      </c>
      <c r="AJ8070">
        <v>65.106232060192099</v>
      </c>
      <c r="AK8070">
        <v>6.2229040950239103</v>
      </c>
      <c r="AL8070">
        <v>89.940969869452502</v>
      </c>
      <c r="AM8070">
        <v>83.124959438434601</v>
      </c>
      <c r="AN8070">
        <v>1.00000004496878</v>
      </c>
    </row>
    <row r="8071" spans="1:40" x14ac:dyDescent="0.25">
      <c r="A8071" t="str">
        <f>"20190312154118415"</f>
        <v>20190312154118415</v>
      </c>
      <c r="B8071" t="str">
        <f>"1552376478404691"</f>
        <v>1552376478404691</v>
      </c>
      <c r="C8071" t="s">
        <v>40</v>
      </c>
      <c r="D8071">
        <v>4.701505</v>
      </c>
      <c r="E8071">
        <v>0.62189810000000001</v>
      </c>
      <c r="F8071" t="s">
        <v>43</v>
      </c>
      <c r="G8071">
        <v>-314.43880000000001</v>
      </c>
      <c r="H8071">
        <v>-0.05</v>
      </c>
      <c r="I8071">
        <v>13.775729999999999</v>
      </c>
      <c r="J8071">
        <v>-319.72609999999997</v>
      </c>
      <c r="K8071">
        <v>1.100786</v>
      </c>
      <c r="L8071">
        <v>17.076629999999899</v>
      </c>
      <c r="M8071">
        <v>0.99226650000000005</v>
      </c>
      <c r="N8071">
        <v>0</v>
      </c>
      <c r="O8071">
        <v>-0.1225748</v>
      </c>
      <c r="P8071">
        <v>0.97027450000000004</v>
      </c>
      <c r="Q8071">
        <v>-1.685878E-2</v>
      </c>
      <c r="R8071">
        <v>-0.2414201</v>
      </c>
      <c r="S8071">
        <v>2.6759339999999998</v>
      </c>
      <c r="T8071">
        <v>-0.57226509999999997</v>
      </c>
      <c r="U8071">
        <v>-1.64798</v>
      </c>
      <c r="V8071">
        <v>0.1206656</v>
      </c>
      <c r="W8071">
        <v>1.254383E-3</v>
      </c>
      <c r="X8071">
        <v>0.99269240000000003</v>
      </c>
      <c r="Y8071">
        <v>0.41137089999999998</v>
      </c>
      <c r="Z8071">
        <v>-1.6447320000000001E-2</v>
      </c>
      <c r="AA8071">
        <v>0.91131969999999995</v>
      </c>
      <c r="AB8071">
        <v>20</v>
      </c>
      <c r="AC8071">
        <v>5.2872999999999504</v>
      </c>
      <c r="AD8071">
        <v>-1.1507860000000001</v>
      </c>
      <c r="AE8071">
        <v>-3.3008999999999902</v>
      </c>
      <c r="AF8071">
        <v>2.5411662177586001</v>
      </c>
      <c r="AG8071">
        <v>-1.1507860000000001</v>
      </c>
      <c r="AH8071">
        <v>5.4657899261939997</v>
      </c>
      <c r="AI8071">
        <v>100.808741383663</v>
      </c>
      <c r="AJ8071">
        <v>65.065244982598401</v>
      </c>
      <c r="AK8071">
        <v>6.1365050054047403</v>
      </c>
      <c r="AL8071">
        <v>89.928129127976305</v>
      </c>
      <c r="AM8071">
        <v>83.069476595828206</v>
      </c>
      <c r="AN8071">
        <v>0.99999998075891505</v>
      </c>
    </row>
    <row r="8072" spans="1:40" x14ac:dyDescent="0.25">
      <c r="A8072" t="str">
        <f>"20190312154118428"</f>
        <v>20190312154118428</v>
      </c>
      <c r="B8072" t="str">
        <f>"1552376478414451"</f>
        <v>1552376478414451</v>
      </c>
      <c r="C8072" t="s">
        <v>40</v>
      </c>
      <c r="D8072">
        <v>4.5545989999999996</v>
      </c>
      <c r="E8072">
        <v>0.62161049999999995</v>
      </c>
      <c r="F8072" t="s">
        <v>43</v>
      </c>
      <c r="G8072">
        <v>-314.37529999999998</v>
      </c>
      <c r="H8072">
        <v>-0.05</v>
      </c>
      <c r="I8072">
        <v>13.75807</v>
      </c>
      <c r="J8072">
        <v>-319.62130000000002</v>
      </c>
      <c r="K8072">
        <v>1.100063</v>
      </c>
      <c r="L8072">
        <v>17.059999999999999</v>
      </c>
      <c r="M8072">
        <v>0.99184550000000005</v>
      </c>
      <c r="N8072">
        <v>0</v>
      </c>
      <c r="O8072">
        <v>-0.12576419999999999</v>
      </c>
      <c r="P8072">
        <v>0.96925439999999996</v>
      </c>
      <c r="Q8072">
        <v>-1.7837220000000001E-2</v>
      </c>
      <c r="R8072">
        <v>-0.24541270000000001</v>
      </c>
      <c r="S8072">
        <v>2.6699220000000001</v>
      </c>
      <c r="T8072">
        <v>-0.57421540000000004</v>
      </c>
      <c r="U8072">
        <v>-1.6558839999999999</v>
      </c>
      <c r="V8072">
        <v>0.12156160000000001</v>
      </c>
      <c r="W8072">
        <v>1.3278159999999999E-3</v>
      </c>
      <c r="X8072">
        <v>0.99258299999999999</v>
      </c>
      <c r="Y8072">
        <v>0.41132560000000001</v>
      </c>
      <c r="Z8072">
        <v>-1.590778E-2</v>
      </c>
      <c r="AA8072">
        <v>0.91134970000000004</v>
      </c>
      <c r="AB8072">
        <v>20</v>
      </c>
      <c r="AC8072">
        <v>5.2460000000000298</v>
      </c>
      <c r="AD8072">
        <v>-1.1500629999999901</v>
      </c>
      <c r="AE8072">
        <v>-3.3019299999999898</v>
      </c>
      <c r="AF8072">
        <v>2.5287550657564899</v>
      </c>
      <c r="AG8072">
        <v>-1.1500629999999901</v>
      </c>
      <c r="AH8072">
        <v>5.4326737484207204</v>
      </c>
      <c r="AI8072">
        <v>100.86416526161</v>
      </c>
      <c r="AJ8072">
        <v>65.0393618939801</v>
      </c>
      <c r="AK8072">
        <v>6.1017367317295603</v>
      </c>
      <c r="AL8072">
        <v>89.923921724782403</v>
      </c>
      <c r="AM8072">
        <v>83.017758282339003</v>
      </c>
      <c r="AN8072">
        <v>0.99999999878944501</v>
      </c>
    </row>
    <row r="8073" spans="1:40" x14ac:dyDescent="0.25">
      <c r="A8073" t="str">
        <f>"20190312154118439"</f>
        <v>20190312154118439</v>
      </c>
      <c r="B8073" t="str">
        <f>"1552376478433970"</f>
        <v>1552376478433970</v>
      </c>
      <c r="C8073" t="s">
        <v>40</v>
      </c>
      <c r="D8073">
        <v>4.9421910000000002</v>
      </c>
      <c r="E8073">
        <v>0.62112440000000002</v>
      </c>
      <c r="F8073" t="s">
        <v>43</v>
      </c>
      <c r="G8073">
        <v>-314.32229999999998</v>
      </c>
      <c r="H8073">
        <v>-0.05</v>
      </c>
      <c r="I8073">
        <v>13.748150000000001</v>
      </c>
      <c r="J8073">
        <v>-319.51319999999998</v>
      </c>
      <c r="K8073">
        <v>1.0992850000000001</v>
      </c>
      <c r="L8073">
        <v>17.042570000000001</v>
      </c>
      <c r="M8073">
        <v>0.99138809999999999</v>
      </c>
      <c r="N8073">
        <v>0</v>
      </c>
      <c r="O8073">
        <v>-0.12914200000000001</v>
      </c>
      <c r="P8073">
        <v>0.96819290000000002</v>
      </c>
      <c r="Q8073">
        <v>-1.8829849999999999E-2</v>
      </c>
      <c r="R8073">
        <v>-0.2494951</v>
      </c>
      <c r="S8073">
        <v>2.6630859999999998</v>
      </c>
      <c r="T8073">
        <v>-0.57798470000000002</v>
      </c>
      <c r="U8073">
        <v>-1.6644289999999999</v>
      </c>
      <c r="V8073">
        <v>0.12236379999999999</v>
      </c>
      <c r="W8073">
        <v>1.40506299999999E-3</v>
      </c>
      <c r="X8073">
        <v>0.99248429999999999</v>
      </c>
      <c r="Y8073">
        <v>0.41136420000000001</v>
      </c>
      <c r="Z8073">
        <v>-1.5386149999999999E-2</v>
      </c>
      <c r="AA8073">
        <v>0.91134119999999996</v>
      </c>
      <c r="AB8073">
        <v>20</v>
      </c>
      <c r="AC8073">
        <v>5.1908999999999903</v>
      </c>
      <c r="AD8073">
        <v>-1.1492849999999999</v>
      </c>
      <c r="AE8073">
        <v>-3.2944200000000001</v>
      </c>
      <c r="AF8073">
        <v>2.5086352616830299</v>
      </c>
      <c r="AG8073">
        <v>-1.1492849999999999</v>
      </c>
      <c r="AH8073">
        <v>5.3847907943368796</v>
      </c>
      <c r="AI8073">
        <v>100.949562760275</v>
      </c>
      <c r="AJ8073">
        <v>65.020401583732394</v>
      </c>
      <c r="AK8073">
        <v>6.0506263135447096</v>
      </c>
      <c r="AL8073">
        <v>89.9194957920311</v>
      </c>
      <c r="AM8073">
        <v>82.971448978390896</v>
      </c>
      <c r="AN8073">
        <v>0.99999997974948096</v>
      </c>
    </row>
    <row r="8074" spans="1:40" x14ac:dyDescent="0.25">
      <c r="A8074" t="str">
        <f>"20190312154118450"</f>
        <v>20190312154118450</v>
      </c>
      <c r="B8074" t="str">
        <f>"1552376478444708"</f>
        <v>1552376478444708</v>
      </c>
      <c r="C8074" t="s">
        <v>40</v>
      </c>
      <c r="D8074">
        <v>4.5452579999999996</v>
      </c>
      <c r="E8074">
        <v>0.62086790000000003</v>
      </c>
      <c r="F8074" t="s">
        <v>43</v>
      </c>
      <c r="G8074">
        <v>-314.27339999999998</v>
      </c>
      <c r="H8074">
        <v>-0.05</v>
      </c>
      <c r="I8074">
        <v>13.744260000000001</v>
      </c>
      <c r="J8074">
        <v>-319.41090000000003</v>
      </c>
      <c r="K8074">
        <v>1.098455</v>
      </c>
      <c r="L8074">
        <v>17.025539999999999</v>
      </c>
      <c r="M8074">
        <v>0.99091629999999997</v>
      </c>
      <c r="N8074">
        <v>0</v>
      </c>
      <c r="O8074">
        <v>-0.1325501</v>
      </c>
      <c r="P8074">
        <v>0.96717330000000001</v>
      </c>
      <c r="Q8074">
        <v>-1.971262E-2</v>
      </c>
      <c r="R8074">
        <v>-0.25335220000000003</v>
      </c>
      <c r="S8074">
        <v>2.6563720000000002</v>
      </c>
      <c r="T8074">
        <v>-0.5826441</v>
      </c>
      <c r="U8074">
        <v>-1.6721189999999999</v>
      </c>
      <c r="V8074">
        <v>0.1229074</v>
      </c>
      <c r="W8074">
        <v>1.4708670000000001E-3</v>
      </c>
      <c r="X8074">
        <v>0.99241699999999999</v>
      </c>
      <c r="Y8074">
        <v>0.41113870000000002</v>
      </c>
      <c r="Z8074">
        <v>-1.484589E-2</v>
      </c>
      <c r="AA8074">
        <v>0.91145189999999998</v>
      </c>
      <c r="AB8074">
        <v>20</v>
      </c>
      <c r="AC8074">
        <v>5.1375000000000401</v>
      </c>
      <c r="AD8074">
        <v>-1.148455</v>
      </c>
      <c r="AE8074">
        <v>-3.28127999999999</v>
      </c>
      <c r="AF8074">
        <v>2.4830298705531</v>
      </c>
      <c r="AG8074">
        <v>-1.148455</v>
      </c>
      <c r="AH8074">
        <v>5.3377379975854096</v>
      </c>
      <c r="AI8074">
        <v>101.03878529844501</v>
      </c>
      <c r="AJ8074">
        <v>65.052908703594994</v>
      </c>
      <c r="AK8074">
        <v>5.9979857582317599</v>
      </c>
      <c r="AL8074">
        <v>89.915725493834202</v>
      </c>
      <c r="AM8074">
        <v>82.940065172199397</v>
      </c>
      <c r="AN8074">
        <v>0.99999994715674401</v>
      </c>
    </row>
    <row r="8075" spans="1:40" x14ac:dyDescent="0.25">
      <c r="A8075" t="str">
        <f>"20190312154118462"</f>
        <v>20190312154118462</v>
      </c>
      <c r="B8075" t="str">
        <f>"1552376478454467"</f>
        <v>1552376478454467</v>
      </c>
      <c r="C8075" t="s">
        <v>40</v>
      </c>
      <c r="D8075">
        <v>4.5461939999999998</v>
      </c>
      <c r="E8075">
        <v>0.62060380000000004</v>
      </c>
      <c r="F8075" t="s">
        <v>43</v>
      </c>
      <c r="G8075">
        <v>-314.21890000000002</v>
      </c>
      <c r="H8075">
        <v>-0.05</v>
      </c>
      <c r="I8075">
        <v>13.731229999999901</v>
      </c>
      <c r="J8075">
        <v>-319.31360000000001</v>
      </c>
      <c r="K8075">
        <v>1.097628</v>
      </c>
      <c r="L8075">
        <v>17.008939999999999</v>
      </c>
      <c r="M8075">
        <v>0.99044849999999995</v>
      </c>
      <c r="N8075">
        <v>0</v>
      </c>
      <c r="O8075">
        <v>-0.1358491</v>
      </c>
      <c r="P8075">
        <v>0.96626219999999996</v>
      </c>
      <c r="Q8075">
        <v>-2.0489799999999999E-2</v>
      </c>
      <c r="R8075">
        <v>-0.25674419999999998</v>
      </c>
      <c r="S8075">
        <v>2.6494749999999998</v>
      </c>
      <c r="T8075">
        <v>-0.58605839999999998</v>
      </c>
      <c r="U8075">
        <v>-1.6810909999999999</v>
      </c>
      <c r="V8075">
        <v>0.12308529999999999</v>
      </c>
      <c r="W8075">
        <v>1.547161E-3</v>
      </c>
      <c r="X8075">
        <v>0.99239489999999997</v>
      </c>
      <c r="Y8075">
        <v>0.41137000000000001</v>
      </c>
      <c r="Z8075">
        <v>-1.433068E-2</v>
      </c>
      <c r="AA8075">
        <v>0.91135580000000005</v>
      </c>
      <c r="AB8075">
        <v>20</v>
      </c>
      <c r="AC8075">
        <v>5.09469999999998</v>
      </c>
      <c r="AD8075">
        <v>-1.1476280000000001</v>
      </c>
      <c r="AE8075">
        <v>-3.2777099999999999</v>
      </c>
      <c r="AF8075">
        <v>2.4664877262681202</v>
      </c>
      <c r="AG8075">
        <v>-1.1476280000000001</v>
      </c>
      <c r="AH8075">
        <v>5.3025459061421998</v>
      </c>
      <c r="AI8075">
        <v>101.102563040775</v>
      </c>
      <c r="AJ8075">
        <v>65.054430830884101</v>
      </c>
      <c r="AK8075">
        <v>5.9596648242129104</v>
      </c>
      <c r="AL8075">
        <v>89.911354170096999</v>
      </c>
      <c r="AM8075">
        <v>82.929793892179205</v>
      </c>
      <c r="AN8075">
        <v>1.0000000111646199</v>
      </c>
    </row>
    <row r="8076" spans="1:40" x14ac:dyDescent="0.25">
      <c r="A8076" t="str">
        <f>"20190312154118473"</f>
        <v>20190312154118473</v>
      </c>
      <c r="B8076" t="str">
        <f>"1552376478464227"</f>
        <v>1552376478464227</v>
      </c>
      <c r="C8076" t="s">
        <v>40</v>
      </c>
      <c r="D8076">
        <v>4.5293020000000004</v>
      </c>
      <c r="E8076">
        <v>0.62030469999999904</v>
      </c>
      <c r="F8076" t="s">
        <v>43</v>
      </c>
      <c r="G8076">
        <v>-314.16160000000002</v>
      </c>
      <c r="H8076">
        <v>-0.05</v>
      </c>
      <c r="I8076">
        <v>13.7178</v>
      </c>
      <c r="J8076">
        <v>-319.21530000000001</v>
      </c>
      <c r="K8076">
        <v>1.0967340000000001</v>
      </c>
      <c r="L8076">
        <v>16.991700000000002</v>
      </c>
      <c r="M8076">
        <v>0.98995409999999995</v>
      </c>
      <c r="N8076">
        <v>0</v>
      </c>
      <c r="O8076">
        <v>-0.13926279999999999</v>
      </c>
      <c r="P8076">
        <v>0.96533239999999998</v>
      </c>
      <c r="Q8076">
        <v>-2.124444E-2</v>
      </c>
      <c r="R8076">
        <v>-0.26015870000000002</v>
      </c>
      <c r="S8076">
        <v>2.6435240000000002</v>
      </c>
      <c r="T8076">
        <v>-0.58885189999999998</v>
      </c>
      <c r="U8076">
        <v>-1.68869</v>
      </c>
      <c r="V8076">
        <v>0.1231733</v>
      </c>
      <c r="W8076">
        <v>1.588169E-3</v>
      </c>
      <c r="X8076">
        <v>0.99238389999999999</v>
      </c>
      <c r="Y8076">
        <v>0.41103600000000001</v>
      </c>
      <c r="Z8076">
        <v>-1.3711040000000001E-2</v>
      </c>
      <c r="AA8076">
        <v>0.91151599999999999</v>
      </c>
      <c r="AB8076">
        <v>20</v>
      </c>
      <c r="AC8076">
        <v>5.0536999999999903</v>
      </c>
      <c r="AD8076">
        <v>-1.1467339999999999</v>
      </c>
      <c r="AE8076">
        <v>-3.2738999999999998</v>
      </c>
      <c r="AF8076">
        <v>2.4491510605159998</v>
      </c>
      <c r="AG8076">
        <v>-1.1467339999999999</v>
      </c>
      <c r="AH8076">
        <v>5.2693854869655601</v>
      </c>
      <c r="AI8076">
        <v>101.163706349842</v>
      </c>
      <c r="AJ8076">
        <v>65.071525332222805</v>
      </c>
      <c r="AK8076">
        <v>5.9228171670435596</v>
      </c>
      <c r="AL8076">
        <v>89.909004580397493</v>
      </c>
      <c r="AM8076">
        <v>82.924712621296095</v>
      </c>
      <c r="AN8076">
        <v>0.99999999454643596</v>
      </c>
    </row>
    <row r="8077" spans="1:40" x14ac:dyDescent="0.25">
      <c r="A8077" t="str">
        <f>"20190312154118483"</f>
        <v>20190312154118483</v>
      </c>
      <c r="B8077" t="str">
        <f>"1552376478473987"</f>
        <v>1552376478473987</v>
      </c>
      <c r="C8077" t="s">
        <v>40</v>
      </c>
      <c r="D8077">
        <v>4.5388359999999999</v>
      </c>
      <c r="E8077">
        <v>0.62004250000000005</v>
      </c>
      <c r="F8077" t="s">
        <v>43</v>
      </c>
      <c r="G8077">
        <v>-314.09870000000001</v>
      </c>
      <c r="H8077">
        <v>-0.05</v>
      </c>
      <c r="I8077">
        <v>13.70227</v>
      </c>
      <c r="J8077">
        <v>-319.11610000000002</v>
      </c>
      <c r="K8077">
        <v>1.095826</v>
      </c>
      <c r="L8077">
        <v>16.97372</v>
      </c>
      <c r="M8077">
        <v>0.98943729999999996</v>
      </c>
      <c r="N8077">
        <v>0</v>
      </c>
      <c r="O8077">
        <v>-0.14275209999999999</v>
      </c>
      <c r="P8077">
        <v>0.96431880000000003</v>
      </c>
      <c r="Q8077">
        <v>-2.1922230000000001E-2</v>
      </c>
      <c r="R8077">
        <v>-0.26383469999999998</v>
      </c>
      <c r="S8077">
        <v>2.6376949999999999</v>
      </c>
      <c r="T8077">
        <v>-0.5911575</v>
      </c>
      <c r="U8077">
        <v>-1.69574</v>
      </c>
      <c r="V8077">
        <v>0.1234567</v>
      </c>
      <c r="W8077">
        <v>1.645866E-3</v>
      </c>
      <c r="X8077">
        <v>0.99234860000000003</v>
      </c>
      <c r="Y8077">
        <v>0.41049219999999997</v>
      </c>
      <c r="Z8077">
        <v>-1.303732E-2</v>
      </c>
      <c r="AA8077">
        <v>0.91177090000000005</v>
      </c>
      <c r="AB8077">
        <v>20</v>
      </c>
      <c r="AC8077">
        <v>5.0174000000000003</v>
      </c>
      <c r="AD8077">
        <v>-1.145826</v>
      </c>
      <c r="AE8077">
        <v>-3.2714500000000002</v>
      </c>
      <c r="AF8077">
        <v>2.4324361314868201</v>
      </c>
      <c r="AG8077">
        <v>-1.145826</v>
      </c>
      <c r="AH8077">
        <v>5.24132832835393</v>
      </c>
      <c r="AI8077">
        <v>101.216220492829</v>
      </c>
      <c r="AJ8077">
        <v>65.104564247170501</v>
      </c>
      <c r="AK8077">
        <v>5.8907712060174298</v>
      </c>
      <c r="AL8077">
        <v>89.905698782432097</v>
      </c>
      <c r="AM8077">
        <v>82.9083494986657</v>
      </c>
      <c r="AN8077">
        <v>1.0000000047858699</v>
      </c>
    </row>
    <row r="8078" spans="1:40" x14ac:dyDescent="0.25">
      <c r="A8078" t="str">
        <f>"20190312154118494"</f>
        <v>20190312154118494</v>
      </c>
      <c r="B8078" t="str">
        <f>"1552376478484723"</f>
        <v>1552376478484723</v>
      </c>
      <c r="C8078" t="s">
        <v>40</v>
      </c>
      <c r="D8078">
        <v>4.5217219999999996</v>
      </c>
      <c r="E8078">
        <v>0.61980269999999904</v>
      </c>
      <c r="F8078" t="s">
        <v>43</v>
      </c>
      <c r="G8078">
        <v>-314.03680000000003</v>
      </c>
      <c r="H8078">
        <v>-0.05</v>
      </c>
      <c r="I8078">
        <v>13.685029999999999</v>
      </c>
      <c r="J8078">
        <v>-319.02370000000002</v>
      </c>
      <c r="K8078">
        <v>1.0949719999999901</v>
      </c>
      <c r="L8078">
        <v>16.956600000000002</v>
      </c>
      <c r="M8078">
        <v>0.98894099999999996</v>
      </c>
      <c r="N8078">
        <v>0</v>
      </c>
      <c r="O8078">
        <v>-0.14602799999999999</v>
      </c>
      <c r="P8078">
        <v>0.9634104</v>
      </c>
      <c r="Q8078">
        <v>-2.274002E-2</v>
      </c>
      <c r="R8078">
        <v>-0.2670633</v>
      </c>
      <c r="S8078">
        <v>2.631348</v>
      </c>
      <c r="T8078">
        <v>-0.59359479999999998</v>
      </c>
      <c r="U8078">
        <v>-1.703705</v>
      </c>
      <c r="V8078">
        <v>0.12349350000000001</v>
      </c>
      <c r="W8078">
        <v>1.47802E-3</v>
      </c>
      <c r="X8078">
        <v>0.99234429999999996</v>
      </c>
      <c r="Y8078">
        <v>0.41043669999999999</v>
      </c>
      <c r="Z8078">
        <v>-1.2452919999999999E-2</v>
      </c>
      <c r="AA8078">
        <v>0.91180399999999995</v>
      </c>
      <c r="AB8078">
        <v>20</v>
      </c>
      <c r="AC8078">
        <v>4.9868999999999897</v>
      </c>
      <c r="AD8078">
        <v>-1.1449720000000001</v>
      </c>
      <c r="AE8078">
        <v>-3.2715700000000001</v>
      </c>
      <c r="AF8078">
        <v>2.4188616868995401</v>
      </c>
      <c r="AG8078">
        <v>-1.1449720000000001</v>
      </c>
      <c r="AH8078">
        <v>5.2189712008239999</v>
      </c>
      <c r="AI8078">
        <v>101.257428864503</v>
      </c>
      <c r="AJ8078">
        <v>65.133465191882095</v>
      </c>
      <c r="AK8078">
        <v>5.8651098145017597</v>
      </c>
      <c r="AL8078">
        <v>89.915315662775299</v>
      </c>
      <c r="AM8078">
        <v>82.906226725440604</v>
      </c>
      <c r="AN8078">
        <v>1.00000001941393</v>
      </c>
    </row>
    <row r="8079" spans="1:40" x14ac:dyDescent="0.25">
      <c r="A8079" t="str">
        <f>"20190312154118507"</f>
        <v>20190312154118507</v>
      </c>
      <c r="B8079" t="str">
        <f>"1552376478494483"</f>
        <v>1552376478494483</v>
      </c>
      <c r="C8079" t="s">
        <v>40</v>
      </c>
      <c r="D8079">
        <v>4.5197289999999999</v>
      </c>
      <c r="E8079">
        <v>0.61956679999999997</v>
      </c>
      <c r="F8079" t="s">
        <v>43</v>
      </c>
      <c r="G8079">
        <v>-313.9873</v>
      </c>
      <c r="H8079">
        <v>-0.05</v>
      </c>
      <c r="I8079">
        <v>13.67455</v>
      </c>
      <c r="J8079">
        <v>-318.91849999999999</v>
      </c>
      <c r="K8079">
        <v>1.0940449999999999</v>
      </c>
      <c r="L8079">
        <v>16.936429999999898</v>
      </c>
      <c r="M8079">
        <v>0.98835430000000002</v>
      </c>
      <c r="N8079">
        <v>0</v>
      </c>
      <c r="O8079">
        <v>-0.1498215</v>
      </c>
      <c r="P8079">
        <v>0.96234540000000002</v>
      </c>
      <c r="Q8079">
        <v>-2.374416E-2</v>
      </c>
      <c r="R8079">
        <v>-0.2707909</v>
      </c>
      <c r="S8079">
        <v>2.6255489999999999</v>
      </c>
      <c r="T8079">
        <v>-0.59689550000000002</v>
      </c>
      <c r="U8079">
        <v>-1.7109989999999999</v>
      </c>
      <c r="V8079">
        <v>0.1235248</v>
      </c>
      <c r="W8079">
        <v>1.153294E-3</v>
      </c>
      <c r="X8079">
        <v>0.99234080000000002</v>
      </c>
      <c r="Y8079">
        <v>0.40966429999999998</v>
      </c>
      <c r="Z8079">
        <v>-1.1701049999999999E-2</v>
      </c>
      <c r="AA8079">
        <v>0.91216129999999995</v>
      </c>
      <c r="AB8079">
        <v>20</v>
      </c>
      <c r="AC8079">
        <v>4.9311999999999898</v>
      </c>
      <c r="AD8079">
        <v>-1.144045</v>
      </c>
      <c r="AE8079">
        <v>-3.2618799999999899</v>
      </c>
      <c r="AF8079">
        <v>2.3962549681872201</v>
      </c>
      <c r="AG8079">
        <v>-1.144045</v>
      </c>
      <c r="AH8079">
        <v>5.1707720972700901</v>
      </c>
      <c r="AI8079">
        <v>101.35090827351701</v>
      </c>
      <c r="AJ8079">
        <v>65.135906555118794</v>
      </c>
      <c r="AK8079">
        <v>5.8127240530145396</v>
      </c>
      <c r="AL8079">
        <v>89.933921105610906</v>
      </c>
      <c r="AM8079">
        <v>82.904422328991203</v>
      </c>
      <c r="AN8079">
        <v>0.99999998482336505</v>
      </c>
    </row>
    <row r="8080" spans="1:40" x14ac:dyDescent="0.25">
      <c r="A8080" t="str">
        <f>"20190312154118518"</f>
        <v>20190312154118518</v>
      </c>
      <c r="B8080" t="str">
        <f>"1552376478504243"</f>
        <v>1552376478504243</v>
      </c>
      <c r="C8080" t="s">
        <v>40</v>
      </c>
      <c r="D8080">
        <v>4.5255299999999998</v>
      </c>
      <c r="E8080">
        <v>0.61933269999999996</v>
      </c>
      <c r="F8080" t="s">
        <v>43</v>
      </c>
      <c r="G8080">
        <v>-313.93079999999998</v>
      </c>
      <c r="H8080">
        <v>-0.05</v>
      </c>
      <c r="I8080">
        <v>13.6622</v>
      </c>
      <c r="J8080">
        <v>-318.81319999999999</v>
      </c>
      <c r="K8080">
        <v>1.0931379999999999</v>
      </c>
      <c r="L8080">
        <v>16.915890000000001</v>
      </c>
      <c r="M8080">
        <v>0.98774280000000003</v>
      </c>
      <c r="N8080">
        <v>0</v>
      </c>
      <c r="O8080">
        <v>-0.15368189999999901</v>
      </c>
      <c r="P8080">
        <v>0.96113360000000003</v>
      </c>
      <c r="Q8080">
        <v>-2.4572219999999999E-2</v>
      </c>
      <c r="R8080">
        <v>-0.27498820000000002</v>
      </c>
      <c r="S8080">
        <v>2.618805</v>
      </c>
      <c r="T8080">
        <v>-0.60068480000000002</v>
      </c>
      <c r="U8080">
        <v>-1.719147</v>
      </c>
      <c r="V8080">
        <v>0.1239772</v>
      </c>
      <c r="W8080">
        <v>9.6685089999999998E-4</v>
      </c>
      <c r="X8080">
        <v>0.99228459999999996</v>
      </c>
      <c r="Y8080">
        <v>0.40917720000000002</v>
      </c>
      <c r="Z8080">
        <v>-1.0966689999999999E-2</v>
      </c>
      <c r="AA8080">
        <v>0.91238900000000001</v>
      </c>
      <c r="AB8080">
        <v>20</v>
      </c>
      <c r="AC8080">
        <v>4.8824000000000103</v>
      </c>
      <c r="AD8080">
        <v>-1.143138</v>
      </c>
      <c r="AE8080">
        <v>-3.2536900000000002</v>
      </c>
      <c r="AF8080">
        <v>2.3742635780614298</v>
      </c>
      <c r="AG8080">
        <v>-1.143138</v>
      </c>
      <c r="AH8080">
        <v>5.1298438347705702</v>
      </c>
      <c r="AI8080">
        <v>101.43276487534401</v>
      </c>
      <c r="AJ8080">
        <v>65.163719614010702</v>
      </c>
      <c r="AK8080">
        <v>5.7670780985076604</v>
      </c>
      <c r="AL8080">
        <v>89.944603515611107</v>
      </c>
      <c r="AM8080">
        <v>82.878302466035393</v>
      </c>
      <c r="AN8080">
        <v>1.0000000041588299</v>
      </c>
    </row>
    <row r="8081" spans="1:40" x14ac:dyDescent="0.25">
      <c r="A8081" t="str">
        <f>"20190312154118530"</f>
        <v>20190312154118530</v>
      </c>
      <c r="B8081" t="str">
        <f>"1552376478524739"</f>
        <v>1552376478524739</v>
      </c>
      <c r="C8081" t="s">
        <v>40</v>
      </c>
      <c r="D8081">
        <v>4.503298</v>
      </c>
      <c r="E8081">
        <v>0.61894009999999999</v>
      </c>
      <c r="F8081" t="s">
        <v>43</v>
      </c>
      <c r="G8081">
        <v>-313.87509999999997</v>
      </c>
      <c r="H8081">
        <v>-0.05</v>
      </c>
      <c r="I8081">
        <v>13.646879999999999</v>
      </c>
      <c r="J8081">
        <v>-318.70800000000003</v>
      </c>
      <c r="K8081">
        <v>1.0923290000000001</v>
      </c>
      <c r="L8081">
        <v>16.894559999999998</v>
      </c>
      <c r="M8081">
        <v>0.98705799999999999</v>
      </c>
      <c r="N8081">
        <v>0</v>
      </c>
      <c r="O8081">
        <v>-0.15793080000000001</v>
      </c>
      <c r="P8081">
        <v>0.95982429999999996</v>
      </c>
      <c r="Q8081">
        <v>-2.5076899999999999E-2</v>
      </c>
      <c r="R8081">
        <v>-0.27947909999999998</v>
      </c>
      <c r="S8081">
        <v>2.6112669999999998</v>
      </c>
      <c r="T8081">
        <v>-0.60449900000000001</v>
      </c>
      <c r="U8081">
        <v>-1.7286680000000001</v>
      </c>
      <c r="V8081">
        <v>0.1243465</v>
      </c>
      <c r="W8081">
        <v>9.5922149999999996E-4</v>
      </c>
      <c r="X8081">
        <v>0.99223839999999996</v>
      </c>
      <c r="Y8081">
        <v>0.40879929999999998</v>
      </c>
      <c r="Z8081">
        <v>-1.0156139999999999E-2</v>
      </c>
      <c r="AA8081">
        <v>0.91256780000000004</v>
      </c>
      <c r="AB8081">
        <v>20</v>
      </c>
      <c r="AC8081">
        <v>4.8328999999999898</v>
      </c>
      <c r="AD8081">
        <v>-1.1423289999999999</v>
      </c>
      <c r="AE8081">
        <v>-3.2476799999999999</v>
      </c>
      <c r="AF8081">
        <v>2.352776936668</v>
      </c>
      <c r="AG8081">
        <v>-1.1423289999999999</v>
      </c>
      <c r="AH8081">
        <v>5.0894255280292704</v>
      </c>
      <c r="AI8081">
        <v>101.515537539524</v>
      </c>
      <c r="AJ8081">
        <v>65.1894974152912</v>
      </c>
      <c r="AK8081">
        <v>5.7221260964185197</v>
      </c>
      <c r="AL8081">
        <v>89.945040648404898</v>
      </c>
      <c r="AM8081">
        <v>82.856978191632706</v>
      </c>
      <c r="AN8081">
        <v>1.00000000730134</v>
      </c>
    </row>
    <row r="8082" spans="1:40" x14ac:dyDescent="0.25">
      <c r="A8082" t="str">
        <f>"20190312154118542"</f>
        <v>20190312154118542</v>
      </c>
      <c r="B8082" t="str">
        <f>"1552376478534499"</f>
        <v>1552376478534499</v>
      </c>
      <c r="C8082" t="s">
        <v>40</v>
      </c>
      <c r="D8082">
        <v>4.4763349999999997</v>
      </c>
      <c r="E8082">
        <v>0.61869839999999998</v>
      </c>
      <c r="F8082" t="s">
        <v>43</v>
      </c>
      <c r="G8082">
        <v>-313.8372</v>
      </c>
      <c r="H8082">
        <v>-0.05</v>
      </c>
      <c r="I8082">
        <v>13.64418</v>
      </c>
      <c r="J8082">
        <v>-318.60270000000003</v>
      </c>
      <c r="K8082">
        <v>1.091537</v>
      </c>
      <c r="L8082">
        <v>16.872889999999899</v>
      </c>
      <c r="M8082">
        <v>0.9863362</v>
      </c>
      <c r="N8082">
        <v>0</v>
      </c>
      <c r="O8082">
        <v>-0.16229679999999999</v>
      </c>
      <c r="P8082">
        <v>0.95833230000000003</v>
      </c>
      <c r="Q8082">
        <v>-2.5802410000000001E-2</v>
      </c>
      <c r="R8082">
        <v>-0.28448800000000002</v>
      </c>
      <c r="S8082">
        <v>2.6036990000000002</v>
      </c>
      <c r="T8082">
        <v>-0.61063299999999998</v>
      </c>
      <c r="U8082">
        <v>-1.7374879999999999</v>
      </c>
      <c r="V8082">
        <v>0.12513540000000001</v>
      </c>
      <c r="W8082">
        <v>6.8027149999999896E-4</v>
      </c>
      <c r="X8082">
        <v>0.99213949999999995</v>
      </c>
      <c r="Y8082">
        <v>0.40812199999999998</v>
      </c>
      <c r="Z8082">
        <v>-9.3132930000000003E-3</v>
      </c>
      <c r="AA8082">
        <v>0.91287989999999997</v>
      </c>
      <c r="AB8082">
        <v>20</v>
      </c>
      <c r="AC8082">
        <v>4.7655000000000296</v>
      </c>
      <c r="AD8082">
        <v>-1.141537</v>
      </c>
      <c r="AE8082">
        <v>-3.2287099999999902</v>
      </c>
      <c r="AF8082">
        <v>2.3208598497986799</v>
      </c>
      <c r="AG8082">
        <v>-1.141537</v>
      </c>
      <c r="AH8082">
        <v>5.0287191033653302</v>
      </c>
      <c r="AI8082">
        <v>101.646220516179</v>
      </c>
      <c r="AJ8082">
        <v>65.225680642400903</v>
      </c>
      <c r="AK8082">
        <v>5.6548663101198002</v>
      </c>
      <c r="AL8082">
        <v>89.961023313431298</v>
      </c>
      <c r="AM8082">
        <v>82.811423731219193</v>
      </c>
      <c r="AN8082">
        <v>1.00000005928136</v>
      </c>
    </row>
    <row r="8083" spans="1:40" x14ac:dyDescent="0.25">
      <c r="A8083" t="str">
        <f>"20190312154118554"</f>
        <v>20190312154118554</v>
      </c>
      <c r="B8083" t="str">
        <f>"1552376478544259"</f>
        <v>1552376478544259</v>
      </c>
      <c r="C8083" t="s">
        <v>40</v>
      </c>
      <c r="D8083">
        <v>4.4748320000000001</v>
      </c>
      <c r="E8083">
        <v>0.61845649999999996</v>
      </c>
      <c r="F8083" t="s">
        <v>43</v>
      </c>
      <c r="G8083">
        <v>-313.77719999999999</v>
      </c>
      <c r="H8083">
        <v>-0.05</v>
      </c>
      <c r="I8083">
        <v>13.620679999999901</v>
      </c>
      <c r="J8083">
        <v>-318.4939</v>
      </c>
      <c r="K8083">
        <v>1.090724</v>
      </c>
      <c r="L8083">
        <v>16.849979999999999</v>
      </c>
      <c r="M8083">
        <v>0.985541</v>
      </c>
      <c r="N8083">
        <v>0</v>
      </c>
      <c r="O8083">
        <v>-0.16698729999999901</v>
      </c>
      <c r="P8083">
        <v>0.95664640000000001</v>
      </c>
      <c r="Q8083">
        <v>-2.5938050000000001E-2</v>
      </c>
      <c r="R8083">
        <v>-0.29009430000000003</v>
      </c>
      <c r="S8083">
        <v>2.5947879999999999</v>
      </c>
      <c r="T8083">
        <v>-0.61382959999999998</v>
      </c>
      <c r="U8083">
        <v>-1.7487790000000001</v>
      </c>
      <c r="V8083">
        <v>0.12622630000000001</v>
      </c>
      <c r="W8083">
        <v>9.3251840000000005E-4</v>
      </c>
      <c r="X8083">
        <v>0.99200109999999997</v>
      </c>
      <c r="Y8083">
        <v>0.40800229999999998</v>
      </c>
      <c r="Z8083">
        <v>-8.4057300000000001E-3</v>
      </c>
      <c r="AA8083">
        <v>0.91294219999999904</v>
      </c>
      <c r="AB8083">
        <v>20</v>
      </c>
      <c r="AC8083">
        <v>4.7167000000000003</v>
      </c>
      <c r="AD8083">
        <v>-1.1407240000000001</v>
      </c>
      <c r="AE8083">
        <v>-3.2292999999999998</v>
      </c>
      <c r="AF8083">
        <v>2.30420509156896</v>
      </c>
      <c r="AG8083">
        <v>-1.1407240000000001</v>
      </c>
      <c r="AH8083">
        <v>4.9911292954150897</v>
      </c>
      <c r="AI8083">
        <v>101.722782970209</v>
      </c>
      <c r="AJ8083">
        <v>65.219115711792597</v>
      </c>
      <c r="AK8083">
        <v>5.6144442282152101</v>
      </c>
      <c r="AL8083">
        <v>89.946570627112393</v>
      </c>
      <c r="AM8083">
        <v>82.748418740285601</v>
      </c>
      <c r="AN8083">
        <v>1.00000006540173</v>
      </c>
    </row>
    <row r="8084" spans="1:40" x14ac:dyDescent="0.25">
      <c r="A8084" t="str">
        <f>"20190312154118566"</f>
        <v>20190312154118566</v>
      </c>
      <c r="B8084" t="str">
        <f>"1552376478554019"</f>
        <v>1552376478554019</v>
      </c>
      <c r="C8084" t="s">
        <v>40</v>
      </c>
      <c r="D8084">
        <v>4.4857950000000004</v>
      </c>
      <c r="E8084">
        <v>0.61821800000000005</v>
      </c>
      <c r="F8084" t="s">
        <v>43</v>
      </c>
      <c r="G8084">
        <v>-313.69749999999999</v>
      </c>
      <c r="H8084">
        <v>-0.05</v>
      </c>
      <c r="I8084">
        <v>13.580399999999999</v>
      </c>
      <c r="J8084">
        <v>-318.39030000000002</v>
      </c>
      <c r="K8084">
        <v>1.08987099999999</v>
      </c>
      <c r="L8084">
        <v>16.827579999999902</v>
      </c>
      <c r="M8084">
        <v>0.98478259999999995</v>
      </c>
      <c r="N8084">
        <v>0</v>
      </c>
      <c r="O8084">
        <v>-0.17134779999999999</v>
      </c>
      <c r="P8084">
        <v>0.95492390000000005</v>
      </c>
      <c r="Q8084">
        <v>-2.599899E-2</v>
      </c>
      <c r="R8084">
        <v>-0.2957108</v>
      </c>
      <c r="S8084">
        <v>2.5849299999999999</v>
      </c>
      <c r="T8084">
        <v>-0.61477479999999995</v>
      </c>
      <c r="U8084">
        <v>-1.7620849999999999</v>
      </c>
      <c r="V8084">
        <v>0.127666</v>
      </c>
      <c r="W8084">
        <v>1.1408970000000001E-3</v>
      </c>
      <c r="X8084">
        <v>0.99181660000000005</v>
      </c>
      <c r="Y8084">
        <v>0.40883819999999998</v>
      </c>
      <c r="Z8084">
        <v>-7.6308139999999997E-3</v>
      </c>
      <c r="AA8084">
        <v>0.91257500000000003</v>
      </c>
      <c r="AB8084">
        <v>20</v>
      </c>
      <c r="AC8084">
        <v>4.6928000000000303</v>
      </c>
      <c r="AD8084">
        <v>-1.1398710000000001</v>
      </c>
      <c r="AE8084">
        <v>-3.24717999999999</v>
      </c>
      <c r="AF8084">
        <v>2.3028004628795999</v>
      </c>
      <c r="AG8084">
        <v>-1.1398710000000001</v>
      </c>
      <c r="AH8084">
        <v>4.9812331781278001</v>
      </c>
      <c r="AI8084">
        <v>101.734127559729</v>
      </c>
      <c r="AJ8084">
        <v>65.189123276378695</v>
      </c>
      <c r="AK8084">
        <v>5.6048978441503099</v>
      </c>
      <c r="AL8084">
        <v>89.934631405384195</v>
      </c>
      <c r="AM8084">
        <v>82.665255367599201</v>
      </c>
      <c r="AN8084">
        <v>1.00000003861876</v>
      </c>
    </row>
    <row r="8085" spans="1:40" x14ac:dyDescent="0.25">
      <c r="A8085" t="str">
        <f>"20190312154118584"</f>
        <v>20190312154118584</v>
      </c>
      <c r="B8085" t="str">
        <f>"1552376478574515"</f>
        <v>1552376478574515</v>
      </c>
      <c r="C8085" t="s">
        <v>40</v>
      </c>
      <c r="D8085">
        <v>4.4852220000000003</v>
      </c>
      <c r="E8085">
        <v>0.61780139999999995</v>
      </c>
      <c r="F8085" t="s">
        <v>43</v>
      </c>
      <c r="G8085">
        <v>-313.62209999999999</v>
      </c>
      <c r="H8085">
        <v>-0.05</v>
      </c>
      <c r="I8085">
        <v>13.54013</v>
      </c>
      <c r="J8085">
        <v>-318.22890000000001</v>
      </c>
      <c r="K8085">
        <v>1.0884370000000001</v>
      </c>
      <c r="L8085">
        <v>16.79175</v>
      </c>
      <c r="M8085">
        <v>0.98359510000000006</v>
      </c>
      <c r="N8085">
        <v>0</v>
      </c>
      <c r="O8085">
        <v>-0.17796890000000001</v>
      </c>
      <c r="P8085">
        <v>0.95206120000000005</v>
      </c>
      <c r="Q8085">
        <v>-2.5998400000000001E-2</v>
      </c>
      <c r="R8085">
        <v>-0.30480109999999999</v>
      </c>
      <c r="S8085">
        <v>2.5750730000000002</v>
      </c>
      <c r="T8085">
        <v>-0.61557949999999995</v>
      </c>
      <c r="U8085">
        <v>-1.7753599999999901</v>
      </c>
      <c r="V8085">
        <v>0.1304516</v>
      </c>
      <c r="W8085">
        <v>1.4370120000000001E-3</v>
      </c>
      <c r="X8085">
        <v>0.99145360000000005</v>
      </c>
      <c r="Y8085">
        <v>0.40765469999999998</v>
      </c>
      <c r="Z8085">
        <v>-6.1701159999999998E-3</v>
      </c>
      <c r="AA8085">
        <v>0.91311529999999996</v>
      </c>
      <c r="AB8085">
        <v>20</v>
      </c>
      <c r="AC8085">
        <v>4.6068000000000202</v>
      </c>
      <c r="AD8085">
        <v>-1.1384369999999999</v>
      </c>
      <c r="AE8085">
        <v>-3.25162</v>
      </c>
      <c r="AF8085">
        <v>2.28625185767938</v>
      </c>
      <c r="AG8085">
        <v>-1.1384369999999999</v>
      </c>
      <c r="AH8085">
        <v>4.9119145108716697</v>
      </c>
      <c r="AI8085">
        <v>101.866604639804</v>
      </c>
      <c r="AJ8085">
        <v>65.040364735899701</v>
      </c>
      <c r="AK8085">
        <v>5.5362343268527896</v>
      </c>
      <c r="AL8085">
        <v>89.917665245902796</v>
      </c>
      <c r="AM8085">
        <v>82.504302613571198</v>
      </c>
      <c r="AN8085">
        <v>0.999999962949503</v>
      </c>
    </row>
    <row r="8086" spans="1:40" x14ac:dyDescent="0.25">
      <c r="A8086" t="str">
        <f>"20190312154118595"</f>
        <v>20190312154118595</v>
      </c>
      <c r="B8086" t="str">
        <f>"1552376478584275"</f>
        <v>1552376478584275</v>
      </c>
      <c r="C8086" t="s">
        <v>40</v>
      </c>
      <c r="D8086">
        <v>4.4737330000000002</v>
      </c>
      <c r="E8086">
        <v>0.61759609999999998</v>
      </c>
      <c r="F8086" t="s">
        <v>43</v>
      </c>
      <c r="G8086">
        <v>-313.49740000000003</v>
      </c>
      <c r="H8086">
        <v>-0.05</v>
      </c>
      <c r="I8086">
        <v>13.4688</v>
      </c>
      <c r="J8086">
        <v>-318.13369999999998</v>
      </c>
      <c r="K8086">
        <v>1.087526</v>
      </c>
      <c r="L8086">
        <v>16.770109999999999</v>
      </c>
      <c r="M8086">
        <v>0.98289689999999996</v>
      </c>
      <c r="N8086">
        <v>0</v>
      </c>
      <c r="O8086">
        <v>-0.18175269999999999</v>
      </c>
      <c r="P8086">
        <v>0.95054970000000005</v>
      </c>
      <c r="Q8086">
        <v>-2.5884939999999999E-2</v>
      </c>
      <c r="R8086">
        <v>-0.3094925</v>
      </c>
      <c r="S8086">
        <v>2.5588679999999999</v>
      </c>
      <c r="T8086">
        <v>-0.61568880000000004</v>
      </c>
      <c r="U8086">
        <v>-1.7971189999999999</v>
      </c>
      <c r="V8086">
        <v>0.13152839999999999</v>
      </c>
      <c r="W8086">
        <v>1.6735229999999999E-3</v>
      </c>
      <c r="X8086">
        <v>0.99131100000000005</v>
      </c>
      <c r="Y8086">
        <v>0.41203139999999999</v>
      </c>
      <c r="Z8086">
        <v>-5.8866810000000004E-3</v>
      </c>
      <c r="AA8086">
        <v>0.91115069999999998</v>
      </c>
      <c r="AB8086">
        <v>20</v>
      </c>
      <c r="AC8086">
        <v>4.6362999999999497</v>
      </c>
      <c r="AD8086">
        <v>-1.137526</v>
      </c>
      <c r="AE8086">
        <v>-3.3013099999999902</v>
      </c>
      <c r="AF8086">
        <v>2.3109349622368902</v>
      </c>
      <c r="AG8086">
        <v>-1.137526</v>
      </c>
      <c r="AH8086">
        <v>4.9611259137528103</v>
      </c>
      <c r="AI8086">
        <v>101.74147612721001</v>
      </c>
      <c r="AJ8086">
        <v>65.023492824871497</v>
      </c>
      <c r="AK8086">
        <v>5.5899155747179599</v>
      </c>
      <c r="AL8086">
        <v>89.904114151354705</v>
      </c>
      <c r="AM8086">
        <v>82.442067793450505</v>
      </c>
      <c r="AN8086">
        <v>1.0000000097033901</v>
      </c>
    </row>
    <row r="8087" spans="1:40" x14ac:dyDescent="0.25">
      <c r="A8087" t="str">
        <f>"20190312154118606"</f>
        <v>20190312154118606</v>
      </c>
      <c r="B8087" t="str">
        <f>"1552376478594036"</f>
        <v>1552376478594036</v>
      </c>
      <c r="C8087" t="s">
        <v>40</v>
      </c>
      <c r="D8087">
        <v>4.4758649999999998</v>
      </c>
      <c r="E8087">
        <v>0.61736169999999901</v>
      </c>
      <c r="F8087" t="s">
        <v>43</v>
      </c>
      <c r="G8087">
        <v>-313.41770000000002</v>
      </c>
      <c r="H8087">
        <v>-0.05</v>
      </c>
      <c r="I8087">
        <v>13.426159999999999</v>
      </c>
      <c r="J8087">
        <v>-318.03570000000002</v>
      </c>
      <c r="K8087">
        <v>1.086538</v>
      </c>
      <c r="L8087">
        <v>16.7471</v>
      </c>
      <c r="M8087">
        <v>0.98216930000000002</v>
      </c>
      <c r="N8087">
        <v>0</v>
      </c>
      <c r="O8087">
        <v>-0.1856226</v>
      </c>
      <c r="P8087">
        <v>0.94899029999999995</v>
      </c>
      <c r="Q8087">
        <v>-2.5633469999999998E-2</v>
      </c>
      <c r="R8087">
        <v>-0.31426179999999998</v>
      </c>
      <c r="S8087">
        <v>2.5504760000000002</v>
      </c>
      <c r="T8087">
        <v>-0.61519349999999995</v>
      </c>
      <c r="U8087">
        <v>-1.8084720000000001</v>
      </c>
      <c r="V8087">
        <v>0.1326059</v>
      </c>
      <c r="W8087">
        <v>1.972976E-3</v>
      </c>
      <c r="X8087">
        <v>0.99116689999999996</v>
      </c>
      <c r="Y8087">
        <v>0.41262260000000001</v>
      </c>
      <c r="Z8087">
        <v>-5.1619630000000003E-3</v>
      </c>
      <c r="AA8087">
        <v>0.91088749999999996</v>
      </c>
      <c r="AB8087">
        <v>20</v>
      </c>
      <c r="AC8087">
        <v>4.6179999999999897</v>
      </c>
      <c r="AD8087">
        <v>-1.1365379999999901</v>
      </c>
      <c r="AE8087">
        <v>-3.32093999999999</v>
      </c>
      <c r="AF8087">
        <v>2.31323489913192</v>
      </c>
      <c r="AG8087">
        <v>-1.1365379999999901</v>
      </c>
      <c r="AH8087">
        <v>4.9565049459215702</v>
      </c>
      <c r="AI8087">
        <v>101.73826759345199</v>
      </c>
      <c r="AJ8087">
        <v>64.981215104106994</v>
      </c>
      <c r="AK8087">
        <v>5.5865656357865197</v>
      </c>
      <c r="AL8087">
        <v>89.886956731097598</v>
      </c>
      <c r="AM8087">
        <v>82.379781857251899</v>
      </c>
      <c r="AN8087">
        <v>1.00000002050235</v>
      </c>
    </row>
    <row r="8088" spans="1:40" x14ac:dyDescent="0.25">
      <c r="A8088" t="str">
        <f>"20190312154118617"</f>
        <v>20190312154118617</v>
      </c>
      <c r="B8088" t="str">
        <f>"1552376478603794"</f>
        <v>1552376478603794</v>
      </c>
      <c r="C8088" t="s">
        <v>40</v>
      </c>
      <c r="D8088">
        <v>4.4584060000000001</v>
      </c>
      <c r="E8088">
        <v>0.61736169999999901</v>
      </c>
      <c r="F8088" t="s">
        <v>43</v>
      </c>
      <c r="G8088">
        <v>-313.33319999999998</v>
      </c>
      <c r="H8088">
        <v>-0.05</v>
      </c>
      <c r="I8088">
        <v>13.380509999999999</v>
      </c>
      <c r="J8088">
        <v>-317.94119999999998</v>
      </c>
      <c r="K8088">
        <v>1.0855669999999999</v>
      </c>
      <c r="L8088">
        <v>16.724699999999999</v>
      </c>
      <c r="M8088">
        <v>0.98145400000000005</v>
      </c>
      <c r="N8088">
        <v>0</v>
      </c>
      <c r="O8088">
        <v>-0.1893503</v>
      </c>
      <c r="P8088">
        <v>0.94746870000000005</v>
      </c>
      <c r="Q8088">
        <v>-2.5861060000000002E-2</v>
      </c>
      <c r="R8088">
        <v>-0.318801</v>
      </c>
      <c r="S8088">
        <v>2.541992</v>
      </c>
      <c r="T8088">
        <v>-0.6143615</v>
      </c>
      <c r="U8088">
        <v>-1.8198240000000001</v>
      </c>
      <c r="V8088">
        <v>0.1335866</v>
      </c>
      <c r="W8088">
        <v>1.7722269999999999E-3</v>
      </c>
      <c r="X8088">
        <v>0.99103560000000002</v>
      </c>
      <c r="Y8088">
        <v>0.4133579</v>
      </c>
      <c r="Z8088">
        <v>-4.4798889999999999E-3</v>
      </c>
      <c r="AA8088">
        <v>0.91055759999999997</v>
      </c>
      <c r="AB8088">
        <v>20</v>
      </c>
      <c r="AC8088">
        <v>4.6079999999999997</v>
      </c>
      <c r="AD8088">
        <v>-1.135567</v>
      </c>
      <c r="AE8088">
        <v>-3.34418999999999</v>
      </c>
      <c r="AF8088">
        <v>2.31849453924556</v>
      </c>
      <c r="AG8088">
        <v>-1.135567</v>
      </c>
      <c r="AH8088">
        <v>4.9607398048952804</v>
      </c>
      <c r="AI8088">
        <v>101.715890517216</v>
      </c>
      <c r="AJ8088">
        <v>64.950084881601597</v>
      </c>
      <c r="AK8088">
        <v>5.5923044223175999</v>
      </c>
      <c r="AL8088">
        <v>89.8984588235177</v>
      </c>
      <c r="AM8088">
        <v>82.323090427076295</v>
      </c>
      <c r="AN8088">
        <v>1.0000000404777201</v>
      </c>
    </row>
    <row r="8089" spans="1:40" x14ac:dyDescent="0.25">
      <c r="A8089" t="str">
        <f>"20190312154118629"</f>
        <v>20190312154118629</v>
      </c>
      <c r="B8089" t="str">
        <f>"1552376478624291"</f>
        <v>1552376478624291</v>
      </c>
      <c r="C8089" t="s">
        <v>40</v>
      </c>
      <c r="D8089">
        <v>4.4975319999999996</v>
      </c>
      <c r="E8089">
        <v>0.60516359999999902</v>
      </c>
      <c r="F8089" t="s">
        <v>43</v>
      </c>
      <c r="G8089">
        <v>-313.26130000000001</v>
      </c>
      <c r="H8089">
        <v>-0.05</v>
      </c>
      <c r="I8089">
        <v>13.339510000000001</v>
      </c>
      <c r="J8089">
        <v>-317.83629999999999</v>
      </c>
      <c r="K8089">
        <v>1.084444</v>
      </c>
      <c r="L8089">
        <v>16.698910000000001</v>
      </c>
      <c r="M8089">
        <v>0.98060729999999996</v>
      </c>
      <c r="N8089">
        <v>0</v>
      </c>
      <c r="O8089">
        <v>-0.1936891</v>
      </c>
      <c r="P8089">
        <v>0.94584990000000002</v>
      </c>
      <c r="Q8089">
        <v>-2.6443680000000001E-2</v>
      </c>
      <c r="R8089">
        <v>-0.32352540000000002</v>
      </c>
      <c r="S8089">
        <v>2.5330509999999999</v>
      </c>
      <c r="T8089">
        <v>-0.61463690000000004</v>
      </c>
      <c r="U8089">
        <v>-1.8322750000000001</v>
      </c>
      <c r="V8089">
        <v>0.13414379999999901</v>
      </c>
      <c r="W8089">
        <v>1.1065649999999999E-3</v>
      </c>
      <c r="X8089">
        <v>0.99096130000000004</v>
      </c>
      <c r="Y8089">
        <v>0.41386390000000001</v>
      </c>
      <c r="Z8089">
        <v>-3.655836E-3</v>
      </c>
      <c r="AA8089">
        <v>0.91033140000000001</v>
      </c>
      <c r="AB8089">
        <v>20</v>
      </c>
      <c r="AC8089">
        <v>4.5749999999999797</v>
      </c>
      <c r="AD8089">
        <v>-1.134444</v>
      </c>
      <c r="AE8089">
        <v>-3.3593999999999999</v>
      </c>
      <c r="AF8089">
        <v>2.3166563906234301</v>
      </c>
      <c r="AG8089">
        <v>-1.134444</v>
      </c>
      <c r="AH8089">
        <v>4.9418397620380103</v>
      </c>
      <c r="AI8089">
        <v>101.741940551507</v>
      </c>
      <c r="AJ8089">
        <v>64.883558697712999</v>
      </c>
      <c r="AK8089">
        <v>5.5745529197427404</v>
      </c>
      <c r="AL8089">
        <v>89.936598485392807</v>
      </c>
      <c r="AM8089">
        <v>82.290882651329397</v>
      </c>
      <c r="AN8089">
        <v>1.00000004083111</v>
      </c>
    </row>
    <row r="8090" spans="1:40" x14ac:dyDescent="0.25">
      <c r="A8090" t="str">
        <f>"20190312154118640"</f>
        <v>20190312154118640</v>
      </c>
      <c r="B8090" t="str">
        <f>"1552376478634050"</f>
        <v>1552376478634050</v>
      </c>
      <c r="C8090" t="s">
        <v>40</v>
      </c>
      <c r="D8090">
        <v>4.4658670000000003</v>
      </c>
      <c r="E8090">
        <v>0.60461779999999998</v>
      </c>
      <c r="F8090" t="s">
        <v>43</v>
      </c>
      <c r="G8090">
        <v>-312.05669999999998</v>
      </c>
      <c r="H8090">
        <v>-0.05</v>
      </c>
      <c r="I8090">
        <v>12.731479999999999</v>
      </c>
      <c r="J8090">
        <v>-317.74200000000002</v>
      </c>
      <c r="K8090">
        <v>1.083418</v>
      </c>
      <c r="L8090">
        <v>16.675539999999899</v>
      </c>
      <c r="M8090">
        <v>0.97981799999999997</v>
      </c>
      <c r="N8090">
        <v>0</v>
      </c>
      <c r="O8090">
        <v>-0.1976485</v>
      </c>
      <c r="P8090">
        <v>0.94429249999999998</v>
      </c>
      <c r="Q8090">
        <v>-2.6424639999999999E-2</v>
      </c>
      <c r="R8090">
        <v>-0.32804430000000001</v>
      </c>
      <c r="S8090">
        <v>2.5572810000000001</v>
      </c>
      <c r="T8090">
        <v>-0.5019557</v>
      </c>
      <c r="U8090">
        <v>-1.755463</v>
      </c>
      <c r="V8090">
        <v>0.1348792</v>
      </c>
      <c r="W8090">
        <v>1.017872E-3</v>
      </c>
      <c r="X8090">
        <v>0.99086149999999995</v>
      </c>
      <c r="Y8090">
        <v>0.38930870000000001</v>
      </c>
      <c r="Z8090">
        <v>-1.463778E-4</v>
      </c>
      <c r="AA8090">
        <v>0.92110740000000002</v>
      </c>
      <c r="AB8090">
        <v>20</v>
      </c>
      <c r="AC8090">
        <v>5.6853000000000398</v>
      </c>
      <c r="AD8090">
        <v>-1.133418</v>
      </c>
      <c r="AE8090">
        <v>-3.9440599999999901</v>
      </c>
      <c r="AF8090">
        <v>2.6703439876878501</v>
      </c>
      <c r="AG8090">
        <v>-1.133418</v>
      </c>
      <c r="AH8090">
        <v>6.1869266967143597</v>
      </c>
      <c r="AI8090">
        <v>99.547652822363503</v>
      </c>
      <c r="AJ8090">
        <v>66.654453661442304</v>
      </c>
      <c r="AK8090">
        <v>6.8332594949863799</v>
      </c>
      <c r="AL8090">
        <v>89.9416802186947</v>
      </c>
      <c r="AM8090">
        <v>82.248361082016004</v>
      </c>
      <c r="AN8090">
        <v>0.99999997341914804</v>
      </c>
    </row>
    <row r="8091" spans="1:40" x14ac:dyDescent="0.25">
      <c r="A8091" t="str">
        <f>"20190312154118652"</f>
        <v>20190312154118652</v>
      </c>
      <c r="B8091" t="str">
        <f>"1552376478643812"</f>
        <v>1552376478643812</v>
      </c>
      <c r="C8091" t="s">
        <v>40</v>
      </c>
      <c r="D8091">
        <v>4.4602440000000003</v>
      </c>
      <c r="E8091">
        <v>0.60435509999999903</v>
      </c>
      <c r="F8091" t="s">
        <v>43</v>
      </c>
      <c r="G8091">
        <v>-311.95949999999999</v>
      </c>
      <c r="H8091">
        <v>-0.05</v>
      </c>
      <c r="I8091">
        <v>12.676069999999999</v>
      </c>
      <c r="J8091">
        <v>-317.63709999999998</v>
      </c>
      <c r="K8091">
        <v>1.0822419999999999</v>
      </c>
      <c r="L8091">
        <v>16.648769999999999</v>
      </c>
      <c r="M8091">
        <v>0.97888660000000005</v>
      </c>
      <c r="N8091">
        <v>0</v>
      </c>
      <c r="O8091">
        <v>-0.2022313</v>
      </c>
      <c r="P8091">
        <v>0.94263430000000004</v>
      </c>
      <c r="Q8091">
        <v>-2.647675E-2</v>
      </c>
      <c r="R8091">
        <v>-0.33277620000000002</v>
      </c>
      <c r="S8091">
        <v>2.5502319999999998</v>
      </c>
      <c r="T8091">
        <v>-0.49986330000000001</v>
      </c>
      <c r="U8091">
        <v>-1.763855</v>
      </c>
      <c r="V8091">
        <v>0.13521040000000001</v>
      </c>
      <c r="W8091">
        <v>7.7611580000000002E-4</v>
      </c>
      <c r="X8091">
        <v>0.99081660000000005</v>
      </c>
      <c r="Y8091">
        <v>0.38832909999999998</v>
      </c>
      <c r="Z8091">
        <v>7.0580839999999996E-4</v>
      </c>
      <c r="AA8091">
        <v>0.92152049999999996</v>
      </c>
      <c r="AB8091">
        <v>20</v>
      </c>
      <c r="AC8091">
        <v>5.6775999999999804</v>
      </c>
      <c r="AD8091">
        <v>-1.132242</v>
      </c>
      <c r="AE8091">
        <v>-3.9727000000000001</v>
      </c>
      <c r="AF8091">
        <v>2.6705475419777698</v>
      </c>
      <c r="AG8091">
        <v>-1.132242</v>
      </c>
      <c r="AH8091">
        <v>6.1984562950183797</v>
      </c>
      <c r="AI8091">
        <v>99.5231294201606</v>
      </c>
      <c r="AJ8091">
        <v>66.691653305898399</v>
      </c>
      <c r="AK8091">
        <v>6.8435850664531497</v>
      </c>
      <c r="AL8091">
        <v>89.955531835547902</v>
      </c>
      <c r="AM8091">
        <v>82.229211131072901</v>
      </c>
      <c r="AN8091">
        <v>0.999999994729727</v>
      </c>
    </row>
    <row r="8092" spans="1:40" x14ac:dyDescent="0.25">
      <c r="A8092" t="str">
        <f>"20190312154118664"</f>
        <v>20190312154118664</v>
      </c>
      <c r="B8092" t="str">
        <f>"1552376478654547"</f>
        <v>1552376478654547</v>
      </c>
      <c r="C8092" t="s">
        <v>40</v>
      </c>
      <c r="D8092">
        <v>4.44834</v>
      </c>
      <c r="E8092">
        <v>0.60446099999999903</v>
      </c>
      <c r="F8092" t="s">
        <v>43</v>
      </c>
      <c r="G8092">
        <v>-311.8768</v>
      </c>
      <c r="H8092">
        <v>-0.05</v>
      </c>
      <c r="I8092">
        <v>12.62767</v>
      </c>
      <c r="J8092">
        <v>-317.53910000000002</v>
      </c>
      <c r="K8092">
        <v>1.0811120000000001</v>
      </c>
      <c r="L8092">
        <v>16.623259999999998</v>
      </c>
      <c r="M8092">
        <v>0.97798030000000002</v>
      </c>
      <c r="N8092">
        <v>0</v>
      </c>
      <c r="O8092">
        <v>-0.20659440000000001</v>
      </c>
      <c r="P8092">
        <v>0.94096670000000004</v>
      </c>
      <c r="Q8092">
        <v>-2.6091960000000001E-2</v>
      </c>
      <c r="R8092">
        <v>-0.33749259999999998</v>
      </c>
      <c r="S8092">
        <v>2.542084</v>
      </c>
      <c r="T8092">
        <v>-0.4996737</v>
      </c>
      <c r="U8092">
        <v>-1.77456699999999</v>
      </c>
      <c r="V8092">
        <v>0.135756399999999</v>
      </c>
      <c r="W8092">
        <v>9.3251789999999998E-4</v>
      </c>
      <c r="X8092">
        <v>0.99074180000000001</v>
      </c>
      <c r="Y8092">
        <v>0.3882737</v>
      </c>
      <c r="Z8092">
        <v>1.4390799999999999E-3</v>
      </c>
      <c r="AA8092">
        <v>0.921543</v>
      </c>
      <c r="AB8092">
        <v>20</v>
      </c>
      <c r="AC8092">
        <v>5.6623000000000099</v>
      </c>
      <c r="AD8092">
        <v>-1.1311119999999999</v>
      </c>
      <c r="AE8092">
        <v>-3.99559</v>
      </c>
      <c r="AF8092">
        <v>2.6679318294813101</v>
      </c>
      <c r="AG8092">
        <v>-1.1311119999999999</v>
      </c>
      <c r="AH8092">
        <v>6.2006795749864398</v>
      </c>
      <c r="AI8092">
        <v>99.512404750594698</v>
      </c>
      <c r="AJ8092">
        <v>66.719510178691905</v>
      </c>
      <c r="AK8092">
        <v>6.8443919960035604</v>
      </c>
      <c r="AL8092">
        <v>89.946570651838499</v>
      </c>
      <c r="AM8092">
        <v>82.1976354245582</v>
      </c>
      <c r="AN8092">
        <v>0.99999999199891598</v>
      </c>
    </row>
    <row r="8093" spans="1:40" x14ac:dyDescent="0.25">
      <c r="A8093" t="str">
        <f>"20190312154118675"</f>
        <v>20190312154118675</v>
      </c>
      <c r="B8093" t="str">
        <f>"1552376478664307"</f>
        <v>1552376478664307</v>
      </c>
      <c r="C8093" t="s">
        <v>40</v>
      </c>
      <c r="D8093">
        <v>4.4318809999999997</v>
      </c>
      <c r="E8093">
        <v>0.60431400000000002</v>
      </c>
      <c r="F8093" t="s">
        <v>43</v>
      </c>
      <c r="G8093">
        <v>-311.77839999999998</v>
      </c>
      <c r="H8093">
        <v>-0.05</v>
      </c>
      <c r="I8093">
        <v>12.557040000000001</v>
      </c>
      <c r="J8093">
        <v>-317.44150000000002</v>
      </c>
      <c r="K8093">
        <v>1.0799650000000001</v>
      </c>
      <c r="L8093">
        <v>16.5975</v>
      </c>
      <c r="M8093">
        <v>0.97704599999999997</v>
      </c>
      <c r="N8093">
        <v>0</v>
      </c>
      <c r="O8093">
        <v>-0.21099709999999999</v>
      </c>
      <c r="P8093">
        <v>0.93911549999999999</v>
      </c>
      <c r="Q8093">
        <v>-2.5585699999999999E-2</v>
      </c>
      <c r="R8093">
        <v>-0.3426477</v>
      </c>
      <c r="S8093">
        <v>2.533112</v>
      </c>
      <c r="T8093">
        <v>-0.49738100000000002</v>
      </c>
      <c r="U8093">
        <v>-1.788025</v>
      </c>
      <c r="V8093">
        <v>0.1367302</v>
      </c>
      <c r="W8093">
        <v>1.1675990000000001E-3</v>
      </c>
      <c r="X8093">
        <v>0.99060760000000003</v>
      </c>
      <c r="Y8093">
        <v>0.38899719999999999</v>
      </c>
      <c r="Z8093">
        <v>2.1009929999999998E-3</v>
      </c>
      <c r="AA8093">
        <v>0.92123659999999996</v>
      </c>
      <c r="AB8093">
        <v>20</v>
      </c>
      <c r="AC8093">
        <v>5.66310000000004</v>
      </c>
      <c r="AD8093">
        <v>-1.1299649999999899</v>
      </c>
      <c r="AE8093">
        <v>-4.0404600000000004</v>
      </c>
      <c r="AF8093">
        <v>2.68321333021763</v>
      </c>
      <c r="AG8093">
        <v>-1.1299649999999899</v>
      </c>
      <c r="AH8093">
        <v>6.22417544407074</v>
      </c>
      <c r="AI8093">
        <v>99.464906410307506</v>
      </c>
      <c r="AJ8093">
        <v>66.679348803879293</v>
      </c>
      <c r="AK8093">
        <v>6.8714492383525503</v>
      </c>
      <c r="AL8093">
        <v>89.933101487529498</v>
      </c>
      <c r="AM8093">
        <v>82.141313434217594</v>
      </c>
      <c r="AN8093">
        <v>0.99999996402861102</v>
      </c>
    </row>
    <row r="8094" spans="1:40" x14ac:dyDescent="0.25">
      <c r="A8094" t="str">
        <f>"20190312154118685"</f>
        <v>20190312154118685</v>
      </c>
      <c r="B8094" t="str">
        <f>"1552376478674067"</f>
        <v>1552376478674067</v>
      </c>
      <c r="C8094" t="s">
        <v>40</v>
      </c>
      <c r="D8094">
        <v>4.5031400000000001</v>
      </c>
      <c r="E8094">
        <v>0.60401389999999999</v>
      </c>
      <c r="F8094" t="s">
        <v>43</v>
      </c>
      <c r="G8094">
        <v>-311.66340000000002</v>
      </c>
      <c r="H8094">
        <v>-0.05</v>
      </c>
      <c r="I8094">
        <v>12.47569</v>
      </c>
      <c r="J8094">
        <v>-317.35090000000002</v>
      </c>
      <c r="K8094">
        <v>1.0788850000000001</v>
      </c>
      <c r="L8094">
        <v>16.572849999999999</v>
      </c>
      <c r="M8094">
        <v>0.9761495</v>
      </c>
      <c r="N8094">
        <v>0</v>
      </c>
      <c r="O8094">
        <v>-0.21514150000000001</v>
      </c>
      <c r="P8094">
        <v>0.93730460000000004</v>
      </c>
      <c r="Q8094">
        <v>-2.4888489999999999E-2</v>
      </c>
      <c r="R8094">
        <v>-0.34762150000000003</v>
      </c>
      <c r="S8094">
        <v>2.5241090000000002</v>
      </c>
      <c r="T8094">
        <v>-0.49361129999999998</v>
      </c>
      <c r="U8094">
        <v>-1.8005679999999999</v>
      </c>
      <c r="V8094">
        <v>0.13778290000000001</v>
      </c>
      <c r="W8094">
        <v>1.5557450000000001E-3</v>
      </c>
      <c r="X8094">
        <v>0.99046120000000004</v>
      </c>
      <c r="Y8094">
        <v>0.3897505</v>
      </c>
      <c r="Z8094">
        <v>2.7042939999999999E-3</v>
      </c>
      <c r="AA8094">
        <v>0.92091659999999997</v>
      </c>
      <c r="AB8094">
        <v>20</v>
      </c>
      <c r="AC8094">
        <v>5.6875</v>
      </c>
      <c r="AD8094">
        <v>-1.1288849999999999</v>
      </c>
      <c r="AE8094">
        <v>-4.0971599999999899</v>
      </c>
      <c r="AF8094">
        <v>2.7067935548363402</v>
      </c>
      <c r="AG8094">
        <v>-1.1288849999999999</v>
      </c>
      <c r="AH8094">
        <v>6.2733340822461701</v>
      </c>
      <c r="AI8094">
        <v>99.381971963123306</v>
      </c>
      <c r="AJ8094">
        <v>66.660958001417598</v>
      </c>
      <c r="AK8094">
        <v>6.9250150324168898</v>
      </c>
      <c r="AL8094">
        <v>89.910862338717493</v>
      </c>
      <c r="AM8094">
        <v>82.080417634568306</v>
      </c>
      <c r="AN8094">
        <v>0.99999996829017701</v>
      </c>
    </row>
    <row r="8095" spans="1:40" x14ac:dyDescent="0.25">
      <c r="A8095" t="str">
        <f>"20190312154118696"</f>
        <v>20190312154118696</v>
      </c>
      <c r="B8095" t="str">
        <f>"1552376478683827"</f>
        <v>1552376478683827</v>
      </c>
      <c r="C8095" t="s">
        <v>40</v>
      </c>
      <c r="D8095">
        <v>4.4845470000000001</v>
      </c>
      <c r="E8095">
        <v>0.60370230000000003</v>
      </c>
      <c r="F8095" t="s">
        <v>43</v>
      </c>
      <c r="G8095">
        <v>-311.54790000000003</v>
      </c>
      <c r="H8095">
        <v>-0.05</v>
      </c>
      <c r="I8095">
        <v>12.394410000000001</v>
      </c>
      <c r="J8095">
        <v>-317.25490000000002</v>
      </c>
      <c r="K8095">
        <v>1.0777319999999999</v>
      </c>
      <c r="L8095">
        <v>16.546510000000001</v>
      </c>
      <c r="M8095">
        <v>0.9751763</v>
      </c>
      <c r="N8095">
        <v>0</v>
      </c>
      <c r="O8095">
        <v>-0.21954860000000001</v>
      </c>
      <c r="P8095">
        <v>0.93535259999999998</v>
      </c>
      <c r="Q8095">
        <v>-2.4335780000000001E-2</v>
      </c>
      <c r="R8095">
        <v>-0.35287960000000002</v>
      </c>
      <c r="S8095">
        <v>2.5158079999999998</v>
      </c>
      <c r="T8095">
        <v>-0.48941099999999998</v>
      </c>
      <c r="U8095">
        <v>-1.811493</v>
      </c>
      <c r="V8095">
        <v>0.1388741</v>
      </c>
      <c r="W8095">
        <v>1.7660289999999999E-3</v>
      </c>
      <c r="X8095">
        <v>0.99030850000000004</v>
      </c>
      <c r="Y8095">
        <v>0.38975480000000001</v>
      </c>
      <c r="Z8095">
        <v>3.404303E-3</v>
      </c>
      <c r="AA8095">
        <v>0.92091239999999996</v>
      </c>
      <c r="AB8095">
        <v>19</v>
      </c>
      <c r="AC8095">
        <v>5.7069999999999901</v>
      </c>
      <c r="AD8095">
        <v>-1.127732</v>
      </c>
      <c r="AE8095">
        <v>-4.1520999999999999</v>
      </c>
      <c r="AF8095">
        <v>2.72758354143423</v>
      </c>
      <c r="AG8095">
        <v>-1.127732</v>
      </c>
      <c r="AH8095">
        <v>6.3182841652210797</v>
      </c>
      <c r="AI8095">
        <v>99.306316900692494</v>
      </c>
      <c r="AJ8095">
        <v>66.6502933462546</v>
      </c>
      <c r="AK8095">
        <v>6.9736795332027102</v>
      </c>
      <c r="AL8095">
        <v>89.898813942224194</v>
      </c>
      <c r="AM8095">
        <v>82.017287197394097</v>
      </c>
      <c r="AN8095">
        <v>1.0000000298407401</v>
      </c>
    </row>
    <row r="8096" spans="1:40" x14ac:dyDescent="0.25">
      <c r="A8096" t="str">
        <f>"20190312154118710"</f>
        <v>20190312154118710</v>
      </c>
      <c r="B8096" t="str">
        <f>"1552376478704323"</f>
        <v>1552376478704323</v>
      </c>
      <c r="C8096" t="s">
        <v>40</v>
      </c>
      <c r="D8096">
        <v>4.4726339999999896</v>
      </c>
      <c r="E8096">
        <v>0.60327359999999997</v>
      </c>
      <c r="F8096" t="s">
        <v>43</v>
      </c>
      <c r="G8096">
        <v>-311.39830000000001</v>
      </c>
      <c r="H8096">
        <v>-0.05</v>
      </c>
      <c r="I8096">
        <v>12.287979999999999</v>
      </c>
      <c r="J8096">
        <v>-317.1499</v>
      </c>
      <c r="K8096">
        <v>1.076481</v>
      </c>
      <c r="L8096">
        <v>16.516629999999999</v>
      </c>
      <c r="M8096">
        <v>0.97407250000000001</v>
      </c>
      <c r="N8096">
        <v>0</v>
      </c>
      <c r="O8096">
        <v>-0.22444649999999999</v>
      </c>
      <c r="P8096">
        <v>0.93321390000000004</v>
      </c>
      <c r="Q8096">
        <v>-2.435441E-2</v>
      </c>
      <c r="R8096">
        <v>-0.35849490000000001</v>
      </c>
      <c r="S8096">
        <v>2.5070190000000001</v>
      </c>
      <c r="T8096">
        <v>-0.48274420000000001</v>
      </c>
      <c r="U8096">
        <v>-1.822937</v>
      </c>
      <c r="V8096">
        <v>0.13984449999999901</v>
      </c>
      <c r="W8096">
        <v>1.3015909999999999E-3</v>
      </c>
      <c r="X8096">
        <v>0.99017259999999996</v>
      </c>
      <c r="Y8096">
        <v>0.38952880000000001</v>
      </c>
      <c r="Z8096">
        <v>4.1713879999999998E-3</v>
      </c>
      <c r="AA8096">
        <v>0.92100479999999996</v>
      </c>
      <c r="AB8096">
        <v>19</v>
      </c>
      <c r="AC8096">
        <v>5.7515999999999901</v>
      </c>
      <c r="AD8096">
        <v>-1.1264809999999901</v>
      </c>
      <c r="AE8096">
        <v>-4.2286499999999902</v>
      </c>
      <c r="AF8096">
        <v>2.76049035225186</v>
      </c>
      <c r="AG8096">
        <v>-1.1264809999999901</v>
      </c>
      <c r="AH8096">
        <v>6.3949899567159001</v>
      </c>
      <c r="AI8096">
        <v>99.186687848190402</v>
      </c>
      <c r="AJ8096">
        <v>66.651855431423598</v>
      </c>
      <c r="AK8096">
        <v>7.0558601867336996</v>
      </c>
      <c r="AL8096">
        <v>89.925424306354202</v>
      </c>
      <c r="AM8096">
        <v>81.961144732320903</v>
      </c>
      <c r="AN8096">
        <v>0.99999997805507002</v>
      </c>
    </row>
    <row r="8097" spans="1:40" x14ac:dyDescent="0.25">
      <c r="A8097" t="str">
        <f>"20190312154118722"</f>
        <v>20190312154118722</v>
      </c>
      <c r="B8097" t="str">
        <f>"1552376478714083"</f>
        <v>1552376478714083</v>
      </c>
      <c r="C8097" t="s">
        <v>40</v>
      </c>
      <c r="D8097">
        <v>4.4620170000000003</v>
      </c>
      <c r="E8097">
        <v>0.60295100000000001</v>
      </c>
      <c r="F8097" t="s">
        <v>43</v>
      </c>
      <c r="G8097">
        <v>-311.24619999999999</v>
      </c>
      <c r="H8097">
        <v>-0.05</v>
      </c>
      <c r="I8097">
        <v>12.17986</v>
      </c>
      <c r="J8097">
        <v>-317.03800000000001</v>
      </c>
      <c r="K8097">
        <v>1.0751740000000001</v>
      </c>
      <c r="L8097">
        <v>16.48434</v>
      </c>
      <c r="M8097">
        <v>0.97285719999999998</v>
      </c>
      <c r="N8097">
        <v>0</v>
      </c>
      <c r="O8097">
        <v>-0.22971469999999999</v>
      </c>
      <c r="P8097">
        <v>0.93081429999999998</v>
      </c>
      <c r="Q8097">
        <v>-2.4329099999999999E-2</v>
      </c>
      <c r="R8097">
        <v>-0.36468200000000001</v>
      </c>
      <c r="S8097">
        <v>2.4974980000000002</v>
      </c>
      <c r="T8097">
        <v>-0.47654469999999999</v>
      </c>
      <c r="U8097">
        <v>-1.834625</v>
      </c>
      <c r="V8097">
        <v>0.14105329999999999</v>
      </c>
      <c r="W8097">
        <v>8.2093899999999905E-4</v>
      </c>
      <c r="X8097">
        <v>0.99000169999999998</v>
      </c>
      <c r="Y8097">
        <v>0.38913379999999997</v>
      </c>
      <c r="Z8097">
        <v>4.9960350000000002E-3</v>
      </c>
      <c r="AA8097">
        <v>0.92116770000000003</v>
      </c>
      <c r="AB8097">
        <v>19</v>
      </c>
      <c r="AC8097">
        <v>5.7918000000000198</v>
      </c>
      <c r="AD8097">
        <v>-1.1251739999999999</v>
      </c>
      <c r="AE8097">
        <v>-4.3044799999999901</v>
      </c>
      <c r="AF8097">
        <v>2.7904558806624098</v>
      </c>
      <c r="AG8097">
        <v>-1.1251739999999999</v>
      </c>
      <c r="AH8097">
        <v>6.4687133148478502</v>
      </c>
      <c r="AI8097">
        <v>99.074311868729197</v>
      </c>
      <c r="AJ8097">
        <v>66.665730739476999</v>
      </c>
      <c r="AK8097">
        <v>7.1342072090660098</v>
      </c>
      <c r="AL8097">
        <v>89.952963656504906</v>
      </c>
      <c r="AM8097">
        <v>81.891196795948105</v>
      </c>
      <c r="AN8097">
        <v>1.0000000366923101</v>
      </c>
    </row>
    <row r="8098" spans="1:40" x14ac:dyDescent="0.25">
      <c r="A8098" t="str">
        <f>"20190312154118743"</f>
        <v>20190312154118743</v>
      </c>
      <c r="B8098" t="str">
        <f>"1552376478734579"</f>
        <v>1552376478734579</v>
      </c>
      <c r="C8098" t="s">
        <v>40</v>
      </c>
      <c r="D8098">
        <v>4.415279</v>
      </c>
      <c r="E8098">
        <v>0.60204859999999905</v>
      </c>
      <c r="F8098" t="s">
        <v>43</v>
      </c>
      <c r="G8098">
        <v>-311.15499999999997</v>
      </c>
      <c r="H8098">
        <v>-0.05</v>
      </c>
      <c r="I8098">
        <v>12.110950000000001</v>
      </c>
      <c r="J8098">
        <v>-316.86279999999999</v>
      </c>
      <c r="K8098">
        <v>1.073224</v>
      </c>
      <c r="L8098">
        <v>16.432099999999998</v>
      </c>
      <c r="M8098">
        <v>0.97084649999999995</v>
      </c>
      <c r="N8098">
        <v>0</v>
      </c>
      <c r="O8098">
        <v>-0.23816680000000001</v>
      </c>
      <c r="P8098">
        <v>0.92651629999999996</v>
      </c>
      <c r="Q8098">
        <v>-2.503302E-2</v>
      </c>
      <c r="R8098">
        <v>-0.37542140000000002</v>
      </c>
      <c r="S8098">
        <v>2.486389</v>
      </c>
      <c r="T8098">
        <v>-0.47554760000000001</v>
      </c>
      <c r="U8098">
        <v>-1.8483890000000001</v>
      </c>
      <c r="V8098">
        <v>0.1438728</v>
      </c>
      <c r="W8098">
        <v>-7.5972729999999997E-4</v>
      </c>
      <c r="X8098">
        <v>0.98959589999999997</v>
      </c>
      <c r="Y8098">
        <v>0.38651170000000001</v>
      </c>
      <c r="Z8098">
        <v>6.5584819999999896E-3</v>
      </c>
      <c r="AA8098">
        <v>0.9222612</v>
      </c>
      <c r="AB8098">
        <v>19</v>
      </c>
      <c r="AC8098">
        <v>5.7078000000000104</v>
      </c>
      <c r="AD8098">
        <v>-1.123224</v>
      </c>
      <c r="AE8098">
        <v>-4.3211499999999896</v>
      </c>
      <c r="AF8098">
        <v>2.7686509757492899</v>
      </c>
      <c r="AG8098">
        <v>-1.123224</v>
      </c>
      <c r="AH8098">
        <v>6.4150471670691802</v>
      </c>
      <c r="AI8098">
        <v>99.132672609195197</v>
      </c>
      <c r="AJ8098">
        <v>66.655599995686799</v>
      </c>
      <c r="AK8098">
        <v>7.0767146710472799</v>
      </c>
      <c r="AL8098">
        <v>90.043529171948094</v>
      </c>
      <c r="AM8098">
        <v>81.727986631357496</v>
      </c>
      <c r="AN8098">
        <v>1.00000000253111</v>
      </c>
    </row>
    <row r="8099" spans="1:40" x14ac:dyDescent="0.25">
      <c r="A8099" t="str">
        <f>"20190312154118758"</f>
        <v>20190312154118758</v>
      </c>
      <c r="B8099" t="str">
        <f>"1552376478744339"</f>
        <v>1552376478744339</v>
      </c>
      <c r="C8099" t="s">
        <v>40</v>
      </c>
      <c r="D8099">
        <v>4.4517949999999997</v>
      </c>
      <c r="E8099">
        <v>0.60165459999999904</v>
      </c>
      <c r="F8099" t="s">
        <v>43</v>
      </c>
      <c r="G8099">
        <v>-311.27409999999998</v>
      </c>
      <c r="H8099">
        <v>-0.05</v>
      </c>
      <c r="I8099">
        <v>12.198869999999999</v>
      </c>
      <c r="J8099">
        <v>-316.74290000000002</v>
      </c>
      <c r="K8099">
        <v>1.0719639999999999</v>
      </c>
      <c r="L8099">
        <v>16.395420000000001</v>
      </c>
      <c r="M8099">
        <v>0.96938539999999995</v>
      </c>
      <c r="N8099">
        <v>0</v>
      </c>
      <c r="O8099">
        <v>-0.24411250000000001</v>
      </c>
      <c r="P8099">
        <v>0.92354689999999995</v>
      </c>
      <c r="Q8099">
        <v>-2.4819239999999999E-2</v>
      </c>
      <c r="R8099">
        <v>-0.38268160000000001</v>
      </c>
      <c r="S8099">
        <v>2.4672550000000002</v>
      </c>
      <c r="T8099">
        <v>-0.4958669</v>
      </c>
      <c r="U8099">
        <v>-1.868835</v>
      </c>
      <c r="V8099">
        <v>0.14556959999999999</v>
      </c>
      <c r="W8099">
        <v>-1.145149E-3</v>
      </c>
      <c r="X8099">
        <v>0.98934730000000004</v>
      </c>
      <c r="Y8099">
        <v>0.38904040000000001</v>
      </c>
      <c r="Z8099">
        <v>7.6149829999999996E-3</v>
      </c>
      <c r="AA8099">
        <v>0.92118920000000004</v>
      </c>
      <c r="AB8099">
        <v>19</v>
      </c>
      <c r="AC8099">
        <v>5.4688000000000399</v>
      </c>
      <c r="AD8099">
        <v>-1.121964</v>
      </c>
      <c r="AE8099">
        <v>-4.1965500000000002</v>
      </c>
      <c r="AF8099">
        <v>2.66347326020247</v>
      </c>
      <c r="AG8099">
        <v>-1.121964</v>
      </c>
      <c r="AH8099">
        <v>6.1647164167852804</v>
      </c>
      <c r="AI8099">
        <v>99.484862994342194</v>
      </c>
      <c r="AJ8099">
        <v>66.633182338810002</v>
      </c>
      <c r="AK8099">
        <v>6.8085697120975102</v>
      </c>
      <c r="AL8099">
        <v>90.065612222240105</v>
      </c>
      <c r="AM8099">
        <v>81.629729202810793</v>
      </c>
      <c r="AN8099">
        <v>0.999999949913839</v>
      </c>
    </row>
    <row r="8100" spans="1:40" x14ac:dyDescent="0.25">
      <c r="A8100" t="str">
        <f>"20190312154118769"</f>
        <v>20190312154118769</v>
      </c>
      <c r="B8100" t="str">
        <f>"1552376478763860"</f>
        <v>1552376478763860</v>
      </c>
      <c r="C8100" t="s">
        <v>40</v>
      </c>
      <c r="D8100">
        <v>4.4684670000000004</v>
      </c>
      <c r="E8100">
        <v>0.60130439999999996</v>
      </c>
      <c r="F8100" t="s">
        <v>43</v>
      </c>
      <c r="G8100">
        <v>-311.26639999999998</v>
      </c>
      <c r="H8100">
        <v>-0.05</v>
      </c>
      <c r="I8100">
        <v>12.18924</v>
      </c>
      <c r="J8100">
        <v>-316.64440000000002</v>
      </c>
      <c r="K8100">
        <v>1.0710090000000001</v>
      </c>
      <c r="L8100">
        <v>16.364350000000002</v>
      </c>
      <c r="M8100">
        <v>0.96811369999999997</v>
      </c>
      <c r="N8100">
        <v>0</v>
      </c>
      <c r="O8100">
        <v>-0.2491611</v>
      </c>
      <c r="P8100">
        <v>0.92094399999999998</v>
      </c>
      <c r="Q8100">
        <v>-2.4320310000000001E-2</v>
      </c>
      <c r="R8100">
        <v>-0.38893559999999999</v>
      </c>
      <c r="S8100">
        <v>2.4538880000000001</v>
      </c>
      <c r="T8100">
        <v>-0.50272819999999996</v>
      </c>
      <c r="U8100">
        <v>-1.8847050000000001</v>
      </c>
      <c r="V8100">
        <v>0.14712220000000001</v>
      </c>
      <c r="W8100">
        <v>-1.12166E-3</v>
      </c>
      <c r="X8100">
        <v>0.98911769999999999</v>
      </c>
      <c r="Y8100">
        <v>0.39040419999999998</v>
      </c>
      <c r="Z8100">
        <v>8.4575120000000004E-3</v>
      </c>
      <c r="AA8100">
        <v>0.92060469999999905</v>
      </c>
      <c r="AB8100">
        <v>19</v>
      </c>
      <c r="AC8100">
        <v>5.3780000000000401</v>
      </c>
      <c r="AD8100">
        <v>-1.1210089999999999</v>
      </c>
      <c r="AE8100">
        <v>-4.1751100000000001</v>
      </c>
      <c r="AF8100">
        <v>2.6315633854193199</v>
      </c>
      <c r="AG8100">
        <v>-1.1210089999999999</v>
      </c>
      <c r="AH8100">
        <v>6.0839633383538096</v>
      </c>
      <c r="AI8100">
        <v>99.598717639565393</v>
      </c>
      <c r="AJ8100">
        <v>66.609540242803305</v>
      </c>
      <c r="AK8100">
        <v>6.7228265582263802</v>
      </c>
      <c r="AL8100">
        <v>90.064266396743406</v>
      </c>
      <c r="AM8100">
        <v>81.539804272221602</v>
      </c>
      <c r="AN8100">
        <v>1.0000000121536401</v>
      </c>
    </row>
    <row r="8101" spans="1:40" x14ac:dyDescent="0.25">
      <c r="A8101" t="str">
        <f>"20190312154118785"</f>
        <v>20190312154118785</v>
      </c>
      <c r="B8101" t="str">
        <f>"1552376478774595"</f>
        <v>1552376478774595</v>
      </c>
      <c r="C8101" t="s">
        <v>40</v>
      </c>
      <c r="D8101">
        <v>4.4666990000000002</v>
      </c>
      <c r="E8101">
        <v>0.59344390000000002</v>
      </c>
      <c r="F8101" t="s">
        <v>43</v>
      </c>
      <c r="G8101">
        <v>-311.24220000000003</v>
      </c>
      <c r="H8101">
        <v>-0.05</v>
      </c>
      <c r="I8101">
        <v>12.16586</v>
      </c>
      <c r="J8101">
        <v>-316.517</v>
      </c>
      <c r="K8101">
        <v>1.0698110000000001</v>
      </c>
      <c r="L8101">
        <v>16.323550000000001</v>
      </c>
      <c r="M8101">
        <v>0.96641180000000004</v>
      </c>
      <c r="N8101">
        <v>0</v>
      </c>
      <c r="O8101">
        <v>-0.255747</v>
      </c>
      <c r="P8101">
        <v>0.91675870000000004</v>
      </c>
      <c r="Q8101">
        <v>-2.3466270000000001E-2</v>
      </c>
      <c r="R8101">
        <v>-0.398752</v>
      </c>
      <c r="S8101">
        <v>2.4425050000000001</v>
      </c>
      <c r="T8101">
        <v>-0.5068473</v>
      </c>
      <c r="U8101">
        <v>-1.898285</v>
      </c>
      <c r="V8101">
        <v>0.15095430000000001</v>
      </c>
      <c r="W8101">
        <v>-9.1020040000000003E-4</v>
      </c>
      <c r="X8101">
        <v>0.98854039999999999</v>
      </c>
      <c r="Y8101">
        <v>0.38947280000000001</v>
      </c>
      <c r="Z8101">
        <v>9.7388330000000006E-3</v>
      </c>
      <c r="AA8101">
        <v>0.92098650000000004</v>
      </c>
      <c r="AB8101">
        <v>19</v>
      </c>
      <c r="AC8101">
        <v>5.2747999999999697</v>
      </c>
      <c r="AD8101">
        <v>-1.1198109999999999</v>
      </c>
      <c r="AE8101">
        <v>-4.1576899999999997</v>
      </c>
      <c r="AF8101">
        <v>2.5976724089724499</v>
      </c>
      <c r="AG8101">
        <v>-1.1198109999999999</v>
      </c>
      <c r="AH8101">
        <v>5.9962384297079998</v>
      </c>
      <c r="AI8101">
        <v>99.723920284003299</v>
      </c>
      <c r="AJ8101">
        <v>66.576919212074102</v>
      </c>
      <c r="AK8101">
        <v>6.6299889838494304</v>
      </c>
      <c r="AL8101">
        <v>90.052150644679301</v>
      </c>
      <c r="AM8101">
        <v>81.317763360326893</v>
      </c>
      <c r="AN8101">
        <v>1.0000000757926999</v>
      </c>
    </row>
    <row r="8102" spans="1:40" x14ac:dyDescent="0.25">
      <c r="A8102" t="str">
        <f>"20190312154118796"</f>
        <v>20190312154118796</v>
      </c>
      <c r="B8102" t="str">
        <f>"1552376478784355"</f>
        <v>1552376478784355</v>
      </c>
      <c r="C8102" t="s">
        <v>40</v>
      </c>
      <c r="D8102">
        <v>4.4360099999999996</v>
      </c>
      <c r="E8102">
        <v>0.59326829999999997</v>
      </c>
      <c r="F8102" t="s">
        <v>43</v>
      </c>
      <c r="G8102">
        <v>-311.81689999999998</v>
      </c>
      <c r="H8102">
        <v>-0.05</v>
      </c>
      <c r="I8102">
        <v>12.74324</v>
      </c>
      <c r="J8102">
        <v>-316.42430000000002</v>
      </c>
      <c r="K8102">
        <v>1.068959</v>
      </c>
      <c r="L8102">
        <v>16.293329999999902</v>
      </c>
      <c r="M8102">
        <v>0.96513070000000001</v>
      </c>
      <c r="N8102">
        <v>0</v>
      </c>
      <c r="O8102">
        <v>-0.26058360000000003</v>
      </c>
      <c r="P8102">
        <v>0.9140161</v>
      </c>
      <c r="Q8102">
        <v>-2.288927E-2</v>
      </c>
      <c r="R8102">
        <v>-0.40503129999999998</v>
      </c>
      <c r="S8102">
        <v>2.4468079999999999</v>
      </c>
      <c r="T8102">
        <v>-0.58295189999999997</v>
      </c>
      <c r="U8102">
        <v>-1.863831</v>
      </c>
      <c r="V8102">
        <v>0.15278530000000001</v>
      </c>
      <c r="W8102">
        <v>-7.7362380000000003E-4</v>
      </c>
      <c r="X8102">
        <v>0.98825909999999995</v>
      </c>
      <c r="Y8102">
        <v>0.37561850000000002</v>
      </c>
      <c r="Z8102">
        <v>1.361005E-2</v>
      </c>
      <c r="AA8102">
        <v>0.92667440000000001</v>
      </c>
      <c r="AB8102">
        <v>19</v>
      </c>
      <c r="AC8102">
        <v>4.6074000000000401</v>
      </c>
      <c r="AD8102">
        <v>-1.118959</v>
      </c>
      <c r="AE8102">
        <v>-3.5500899999999902</v>
      </c>
      <c r="AF8102">
        <v>2.1469211591028601</v>
      </c>
      <c r="AG8102">
        <v>-1.118959</v>
      </c>
      <c r="AH8102">
        <v>5.1817297535514104</v>
      </c>
      <c r="AI8102">
        <v>101.282250106006</v>
      </c>
      <c r="AJ8102">
        <v>67.494541118127302</v>
      </c>
      <c r="AK8102">
        <v>5.71941106635329</v>
      </c>
      <c r="AL8102">
        <v>90.044325383200302</v>
      </c>
      <c r="AM8102">
        <v>81.211623893506001</v>
      </c>
      <c r="AN8102">
        <v>0.99999999756134195</v>
      </c>
    </row>
    <row r="8103" spans="1:40" x14ac:dyDescent="0.25">
      <c r="A8103" t="str">
        <f>"20190312154118806"</f>
        <v>20190312154118806</v>
      </c>
      <c r="B8103" t="str">
        <f>"1552376478794117"</f>
        <v>1552376478794117</v>
      </c>
      <c r="C8103" t="s">
        <v>40</v>
      </c>
      <c r="D8103">
        <v>4.4904460000000004</v>
      </c>
      <c r="E8103">
        <v>0.59284190000000003</v>
      </c>
      <c r="F8103" t="s">
        <v>43</v>
      </c>
      <c r="G8103">
        <v>-311.7251</v>
      </c>
      <c r="H8103">
        <v>-0.05</v>
      </c>
      <c r="I8103">
        <v>12.667160000000001</v>
      </c>
      <c r="J8103">
        <v>-316.33339999999998</v>
      </c>
      <c r="K8103">
        <v>1.0681499999999999</v>
      </c>
      <c r="L8103">
        <v>16.262969999999999</v>
      </c>
      <c r="M8103">
        <v>0.9638544</v>
      </c>
      <c r="N8103">
        <v>0</v>
      </c>
      <c r="O8103">
        <v>-0.26530819999999999</v>
      </c>
      <c r="P8103">
        <v>0.91129819999999995</v>
      </c>
      <c r="Q8103">
        <v>-2.2532449999999999E-2</v>
      </c>
      <c r="R8103">
        <v>-0.41113050000000001</v>
      </c>
      <c r="S8103">
        <v>2.4350589999999999</v>
      </c>
      <c r="T8103">
        <v>-0.57983790000000002</v>
      </c>
      <c r="U8103">
        <v>-1.879059</v>
      </c>
      <c r="V8103">
        <v>0.15454709999999999</v>
      </c>
      <c r="W8103">
        <v>-8.5334429999999904E-4</v>
      </c>
      <c r="X8103">
        <v>0.98798509999999995</v>
      </c>
      <c r="Y8103">
        <v>0.3769518</v>
      </c>
      <c r="Z8103">
        <v>1.433334E-2</v>
      </c>
      <c r="AA8103">
        <v>0.926122</v>
      </c>
      <c r="AB8103">
        <v>19</v>
      </c>
      <c r="AC8103">
        <v>4.6082999999999803</v>
      </c>
      <c r="AD8103">
        <v>-1.11815</v>
      </c>
      <c r="AE8103">
        <v>-3.5958100000000002</v>
      </c>
      <c r="AF8103">
        <v>2.1646738545790898</v>
      </c>
      <c r="AG8103">
        <v>-1.11815</v>
      </c>
      <c r="AH8103">
        <v>5.2068029533394</v>
      </c>
      <c r="AI8103">
        <v>101.215916746429</v>
      </c>
      <c r="AJ8103">
        <v>67.425412431842801</v>
      </c>
      <c r="AK8103">
        <v>5.7486406492406701</v>
      </c>
      <c r="AL8103">
        <v>90.048893030542999</v>
      </c>
      <c r="AM8103">
        <v>81.109466658579095</v>
      </c>
      <c r="AN8103">
        <v>1.0000000460684499</v>
      </c>
    </row>
    <row r="8104" spans="1:40" x14ac:dyDescent="0.25">
      <c r="A8104" t="str">
        <f>"20190312154118818"</f>
        <v>20190312154118818</v>
      </c>
      <c r="B8104" t="str">
        <f>"1552376478814611"</f>
        <v>1552376478814611</v>
      </c>
      <c r="C8104" t="s">
        <v>40</v>
      </c>
      <c r="D8104">
        <v>4.4895670000000001</v>
      </c>
      <c r="E8104">
        <v>0.59205929999999996</v>
      </c>
      <c r="F8104" t="s">
        <v>43</v>
      </c>
      <c r="G8104">
        <v>-311.62400000000002</v>
      </c>
      <c r="H8104">
        <v>-0.05</v>
      </c>
      <c r="I8104">
        <v>12.587770000000001</v>
      </c>
      <c r="J8104">
        <v>-316.23950000000002</v>
      </c>
      <c r="K8104">
        <v>1.067318</v>
      </c>
      <c r="L8104">
        <v>16.23132</v>
      </c>
      <c r="M8104">
        <v>0.96251209999999998</v>
      </c>
      <c r="N8104">
        <v>0</v>
      </c>
      <c r="O8104">
        <v>-0.27017839999999999</v>
      </c>
      <c r="P8104">
        <v>0.90830129999999998</v>
      </c>
      <c r="Q8104">
        <v>-2.25034E-2</v>
      </c>
      <c r="R8104">
        <v>-0.417711</v>
      </c>
      <c r="S8104">
        <v>2.4242859999999999</v>
      </c>
      <c r="T8104">
        <v>-0.57559869999999902</v>
      </c>
      <c r="U8104">
        <v>-1.891907</v>
      </c>
      <c r="V8104">
        <v>0.15669249999999901</v>
      </c>
      <c r="W8104">
        <v>-1.281347E-3</v>
      </c>
      <c r="X8104">
        <v>0.98764660000000004</v>
      </c>
      <c r="Y8104">
        <v>0.3774149</v>
      </c>
      <c r="Z8104">
        <v>1.513892E-2</v>
      </c>
      <c r="AA8104">
        <v>0.92592050000000004</v>
      </c>
      <c r="AB8104">
        <v>19</v>
      </c>
      <c r="AC8104">
        <v>4.6154999999999902</v>
      </c>
      <c r="AD8104">
        <v>-1.117318</v>
      </c>
      <c r="AE8104">
        <v>-3.6435499999999998</v>
      </c>
      <c r="AF8104">
        <v>2.1818297296298499</v>
      </c>
      <c r="AG8104">
        <v>-1.117318</v>
      </c>
      <c r="AH8104">
        <v>5.2392847214440801</v>
      </c>
      <c r="AI8104">
        <v>101.13735636187</v>
      </c>
      <c r="AJ8104">
        <v>67.391369575970401</v>
      </c>
      <c r="AK8104">
        <v>5.7843655550611599</v>
      </c>
      <c r="AL8104">
        <v>90.073415795725595</v>
      </c>
      <c r="AM8104">
        <v>80.985023570324003</v>
      </c>
      <c r="AN8104">
        <v>0.99999999394897199</v>
      </c>
    </row>
    <row r="8105" spans="1:40" x14ac:dyDescent="0.25">
      <c r="A8105" t="str">
        <f>"20190312154118829"</f>
        <v>20190312154118829</v>
      </c>
      <c r="B8105" t="str">
        <f>"1552376478824371"</f>
        <v>1552376478824371</v>
      </c>
      <c r="C8105" t="s">
        <v>40</v>
      </c>
      <c r="D8105">
        <v>4.4968659999999998</v>
      </c>
      <c r="E8105">
        <v>0.59195690000000001</v>
      </c>
      <c r="F8105" t="s">
        <v>43</v>
      </c>
      <c r="G8105">
        <v>-311.52519999999998</v>
      </c>
      <c r="H8105">
        <v>-0.05</v>
      </c>
      <c r="I8105">
        <v>12.512180000000001</v>
      </c>
      <c r="J8105">
        <v>-316.14580000000001</v>
      </c>
      <c r="K8105">
        <v>1.0665180000000001</v>
      </c>
      <c r="L8105">
        <v>16.198910000000001</v>
      </c>
      <c r="M8105">
        <v>0.96116729999999995</v>
      </c>
      <c r="N8105">
        <v>0</v>
      </c>
      <c r="O8105">
        <v>-0.2749645</v>
      </c>
      <c r="P8105">
        <v>0.90534879999999995</v>
      </c>
      <c r="Q8105">
        <v>-2.228221E-2</v>
      </c>
      <c r="R8105">
        <v>-0.42408430000000003</v>
      </c>
      <c r="S8105">
        <v>2.4131770000000001</v>
      </c>
      <c r="T8105">
        <v>-0.57193850000000002</v>
      </c>
      <c r="U8105">
        <v>-1.903778</v>
      </c>
      <c r="V8105">
        <v>0.15871629999999901</v>
      </c>
      <c r="W8105">
        <v>-1.5209850000000001E-3</v>
      </c>
      <c r="X8105">
        <v>0.98732299999999995</v>
      </c>
      <c r="Y8105">
        <v>0.37777939999999999</v>
      </c>
      <c r="Z8105">
        <v>1.5945870000000001E-2</v>
      </c>
      <c r="AA8105">
        <v>0.92575830000000003</v>
      </c>
      <c r="AB8105">
        <v>19</v>
      </c>
      <c r="AC8105">
        <v>4.62060000000002</v>
      </c>
      <c r="AD8105">
        <v>-1.1165179999999999</v>
      </c>
      <c r="AE8105">
        <v>-3.6867299999999998</v>
      </c>
      <c r="AF8105">
        <v>2.1953674507830501</v>
      </c>
      <c r="AG8105">
        <v>-1.1165179999999999</v>
      </c>
      <c r="AH8105">
        <v>5.2684351467275103</v>
      </c>
      <c r="AI8105">
        <v>101.06850868217001</v>
      </c>
      <c r="AJ8105">
        <v>67.378410206384601</v>
      </c>
      <c r="AK8105">
        <v>5.8157251984215597</v>
      </c>
      <c r="AL8105">
        <v>90.087146059874698</v>
      </c>
      <c r="AM8105">
        <v>80.867595268506903</v>
      </c>
      <c r="AN8105">
        <v>0.99999994180502805</v>
      </c>
    </row>
    <row r="8106" spans="1:40" x14ac:dyDescent="0.25">
      <c r="A8106" t="str">
        <f>"20190312154118840"</f>
        <v>20190312154118840</v>
      </c>
      <c r="B8106" t="str">
        <f>"1552376478834132"</f>
        <v>1552376478834132</v>
      </c>
      <c r="C8106" t="s">
        <v>40</v>
      </c>
      <c r="D8106">
        <v>4.5239599999999998</v>
      </c>
      <c r="E8106">
        <v>0.59195690000000001</v>
      </c>
      <c r="F8106" t="s">
        <v>43</v>
      </c>
      <c r="G8106">
        <v>-311.44589999999999</v>
      </c>
      <c r="H8106">
        <v>-0.05</v>
      </c>
      <c r="I8106">
        <v>12.438890000000001</v>
      </c>
      <c r="J8106">
        <v>-316.05459999999999</v>
      </c>
      <c r="K8106">
        <v>1.0657570000000001</v>
      </c>
      <c r="L8106">
        <v>16.16696</v>
      </c>
      <c r="M8106">
        <v>0.95983960000000002</v>
      </c>
      <c r="N8106">
        <v>0</v>
      </c>
      <c r="O8106">
        <v>-0.2796015</v>
      </c>
      <c r="P8106">
        <v>0.90253150000000004</v>
      </c>
      <c r="Q8106">
        <v>-2.2046409999999999E-2</v>
      </c>
      <c r="R8106">
        <v>-0.43005959999999899</v>
      </c>
      <c r="S8106">
        <v>2.4001769999999998</v>
      </c>
      <c r="T8106">
        <v>-0.57018210000000003</v>
      </c>
      <c r="U8106">
        <v>-1.920166</v>
      </c>
      <c r="V8106">
        <v>0.1604739</v>
      </c>
      <c r="W8106">
        <v>-1.726053E-3</v>
      </c>
      <c r="X8106">
        <v>0.98703859999999999</v>
      </c>
      <c r="Y8106">
        <v>0.3796641</v>
      </c>
      <c r="Z8106">
        <v>1.6611259999999999E-2</v>
      </c>
      <c r="AA8106">
        <v>0.92497529999999994</v>
      </c>
      <c r="AB8106">
        <v>19</v>
      </c>
      <c r="AC8106">
        <v>4.60869999999999</v>
      </c>
      <c r="AD8106">
        <v>-1.1157569999999899</v>
      </c>
      <c r="AE8106">
        <v>-3.7280700000000002</v>
      </c>
      <c r="AF8106">
        <v>2.2119900834008699</v>
      </c>
      <c r="AG8106">
        <v>-1.1157569999999899</v>
      </c>
      <c r="AH8106">
        <v>5.2803623004787399</v>
      </c>
      <c r="AI8106">
        <v>101.028332376462</v>
      </c>
      <c r="AJ8106">
        <v>67.270762535377202</v>
      </c>
      <c r="AK8106">
        <v>5.8326700435075196</v>
      </c>
      <c r="AL8106">
        <v>90.098895598762795</v>
      </c>
      <c r="AM8106">
        <v>80.765582222532501</v>
      </c>
      <c r="AN8106">
        <v>1.00000002486506</v>
      </c>
    </row>
    <row r="8107" spans="1:40" x14ac:dyDescent="0.25">
      <c r="A8107" t="str">
        <f>"20190312154118851"</f>
        <v>20190312154118851</v>
      </c>
      <c r="B8107" t="str">
        <f>"1552376478843892"</f>
        <v>1552376478843892</v>
      </c>
      <c r="C8107" t="s">
        <v>40</v>
      </c>
      <c r="D8107">
        <v>4.5367470000000001</v>
      </c>
      <c r="E8107">
        <v>0.60987690000000006</v>
      </c>
      <c r="F8107" t="s">
        <v>43</v>
      </c>
      <c r="G8107">
        <v>-311.37740000000002</v>
      </c>
      <c r="H8107">
        <v>-0.05</v>
      </c>
      <c r="I8107">
        <v>12.37387</v>
      </c>
      <c r="J8107">
        <v>-315.9624</v>
      </c>
      <c r="K8107">
        <v>1.065032</v>
      </c>
      <c r="L8107">
        <v>16.13409</v>
      </c>
      <c r="M8107">
        <v>0.95848829999999996</v>
      </c>
      <c r="N8107">
        <v>0</v>
      </c>
      <c r="O8107">
        <v>-0.28423470000000001</v>
      </c>
      <c r="P8107">
        <v>0.89943490000000004</v>
      </c>
      <c r="Q8107">
        <v>-2.160165E-2</v>
      </c>
      <c r="R8107">
        <v>-0.43652039999999998</v>
      </c>
      <c r="S8107">
        <v>2.3874819999999999</v>
      </c>
      <c r="T8107">
        <v>-0.56953169999999897</v>
      </c>
      <c r="U8107">
        <v>-1.9361569999999999</v>
      </c>
      <c r="V8107">
        <v>0.16278299999999901</v>
      </c>
      <c r="W8107">
        <v>-1.7306750000000001E-3</v>
      </c>
      <c r="X8107">
        <v>0.98666039999999999</v>
      </c>
      <c r="Y8107">
        <v>0.38138929999999999</v>
      </c>
      <c r="Z8107">
        <v>1.7320769999999999E-2</v>
      </c>
      <c r="AA8107">
        <v>0.92425219999999997</v>
      </c>
      <c r="AB8107">
        <v>19</v>
      </c>
      <c r="AC8107">
        <v>4.5849999999999804</v>
      </c>
      <c r="AD8107">
        <v>-1.115032</v>
      </c>
      <c r="AE8107">
        <v>-3.7602199999999999</v>
      </c>
      <c r="AF8107">
        <v>2.2228978584684298</v>
      </c>
      <c r="AG8107">
        <v>-1.115032</v>
      </c>
      <c r="AH8107">
        <v>5.2782141795230402</v>
      </c>
      <c r="AI8107">
        <v>101.017130047639</v>
      </c>
      <c r="AJ8107">
        <v>67.161810524656303</v>
      </c>
      <c r="AK8107">
        <v>5.8347335993278797</v>
      </c>
      <c r="AL8107">
        <v>90.099160420466603</v>
      </c>
      <c r="AM8107">
        <v>80.631517485386695</v>
      </c>
      <c r="AN8107">
        <v>1.00000002262655</v>
      </c>
    </row>
    <row r="8108" spans="1:40" x14ac:dyDescent="0.25">
      <c r="A8108" t="str">
        <f>"20190312154118863"</f>
        <v>20190312154118863</v>
      </c>
      <c r="B8108" t="str">
        <f>"1552376478854627"</f>
        <v>1552376478854627</v>
      </c>
      <c r="C8108" t="s">
        <v>40</v>
      </c>
      <c r="D8108">
        <v>4.4925269999999999</v>
      </c>
      <c r="E8108">
        <v>0.61538899999999996</v>
      </c>
      <c r="F8108" t="s">
        <v>43</v>
      </c>
      <c r="G8108">
        <v>-310.32299999999998</v>
      </c>
      <c r="H8108">
        <v>-0.05</v>
      </c>
      <c r="I8108">
        <v>11.04799</v>
      </c>
      <c r="J8108">
        <v>-315.87220000000002</v>
      </c>
      <c r="K8108">
        <v>1.06437</v>
      </c>
      <c r="L8108">
        <v>16.10144</v>
      </c>
      <c r="M8108">
        <v>0.95714960000000004</v>
      </c>
      <c r="N8108">
        <v>0</v>
      </c>
      <c r="O8108">
        <v>-0.2887441</v>
      </c>
      <c r="P8108">
        <v>0.89642339999999998</v>
      </c>
      <c r="Q8108">
        <v>-2.0827849999999998E-2</v>
      </c>
      <c r="R8108">
        <v>-0.44270920000000002</v>
      </c>
      <c r="S8108">
        <v>2.3123170000000002</v>
      </c>
      <c r="T8108">
        <v>-0.4571945</v>
      </c>
      <c r="U8108">
        <v>-2.0854490000000001</v>
      </c>
      <c r="V8108">
        <v>0.16494</v>
      </c>
      <c r="W8108">
        <v>-1.3787300000000001E-3</v>
      </c>
      <c r="X8108">
        <v>0.98630260000000003</v>
      </c>
      <c r="Y8108">
        <v>0.42527740000000003</v>
      </c>
      <c r="Z8108">
        <v>1.0966429999999999E-2</v>
      </c>
      <c r="AA8108">
        <v>0.90499660000000004</v>
      </c>
      <c r="AB8108">
        <v>19</v>
      </c>
      <c r="AC8108">
        <v>5.5492000000000399</v>
      </c>
      <c r="AD8108">
        <v>-1.1143700000000001</v>
      </c>
      <c r="AE8108">
        <v>-5.0534499999999998</v>
      </c>
      <c r="AF8108">
        <v>3.1656177907156402</v>
      </c>
      <c r="AG8108">
        <v>-1.1143700000000001</v>
      </c>
      <c r="AH8108">
        <v>6.6261587214407403</v>
      </c>
      <c r="AI8108">
        <v>98.628745165306697</v>
      </c>
      <c r="AJ8108">
        <v>64.464069339354296</v>
      </c>
      <c r="AK8108">
        <v>7.4275794102466897</v>
      </c>
      <c r="AL8108">
        <v>90.078995438145995</v>
      </c>
      <c r="AM8108">
        <v>80.506241560119307</v>
      </c>
      <c r="AN8108">
        <v>0.999999961631585</v>
      </c>
    </row>
    <row r="8109" spans="1:40" x14ac:dyDescent="0.25">
      <c r="A8109" t="str">
        <f>"20190312154118874"</f>
        <v>20190312154118874</v>
      </c>
      <c r="B8109" t="str">
        <f>"1552376478864387"</f>
        <v>1552376478864387</v>
      </c>
      <c r="C8109" t="s">
        <v>40</v>
      </c>
      <c r="D8109">
        <v>4.4442120000000003</v>
      </c>
      <c r="E8109">
        <v>0.61988619999999905</v>
      </c>
      <c r="F8109" t="s">
        <v>43</v>
      </c>
      <c r="G8109">
        <v>-310.85390000000001</v>
      </c>
      <c r="H8109">
        <v>-0.05</v>
      </c>
      <c r="I8109">
        <v>11.391400000000001</v>
      </c>
      <c r="J8109">
        <v>-315.78100000000001</v>
      </c>
      <c r="K8109">
        <v>1.0637449999999999</v>
      </c>
      <c r="L8109">
        <v>16.068020000000001</v>
      </c>
      <c r="M8109">
        <v>0.95577849999999998</v>
      </c>
      <c r="N8109">
        <v>0</v>
      </c>
      <c r="O8109">
        <v>-0.29328219999999999</v>
      </c>
      <c r="P8109">
        <v>0.89333809999999902</v>
      </c>
      <c r="Q8109">
        <v>-2.006231E-2</v>
      </c>
      <c r="R8109">
        <v>-0.44893749999999999</v>
      </c>
      <c r="S8109">
        <v>2.2786559999999998</v>
      </c>
      <c r="T8109">
        <v>-0.50600480000000003</v>
      </c>
      <c r="U8109">
        <v>-2.1387019999999999</v>
      </c>
      <c r="V8109">
        <v>0.16712669999999999</v>
      </c>
      <c r="W8109">
        <v>-1.0253250000000001E-3</v>
      </c>
      <c r="X8109">
        <v>0.98593489999999995</v>
      </c>
      <c r="Y8109">
        <v>0.43849310000000002</v>
      </c>
      <c r="Z8109">
        <v>1.1674210000000001E-2</v>
      </c>
      <c r="AA8109">
        <v>0.89865869999999903</v>
      </c>
      <c r="AB8109">
        <v>19</v>
      </c>
      <c r="AC8109">
        <v>4.9270999999999896</v>
      </c>
      <c r="AD8109">
        <v>-1.113745</v>
      </c>
      <c r="AE8109">
        <v>-4.6766199999999998</v>
      </c>
      <c r="AF8109">
        <v>2.9463015379510602</v>
      </c>
      <c r="AG8109">
        <v>-1.113745</v>
      </c>
      <c r="AH8109">
        <v>5.9230144169507</v>
      </c>
      <c r="AI8109">
        <v>99.556572557354301</v>
      </c>
      <c r="AJ8109">
        <v>63.552742232933397</v>
      </c>
      <c r="AK8109">
        <v>6.7084439671926601</v>
      </c>
      <c r="AL8109">
        <v>90.0587468050647</v>
      </c>
      <c r="AM8109">
        <v>80.379193812958704</v>
      </c>
      <c r="AN8109">
        <v>1.0000000060911201</v>
      </c>
    </row>
    <row r="8110" spans="1:40" x14ac:dyDescent="0.25">
      <c r="A8110" t="str">
        <f>"20190312154118885"</f>
        <v>20190312154118885</v>
      </c>
      <c r="B8110" t="str">
        <f>"1552376478874147"</f>
        <v>1552376478874147</v>
      </c>
      <c r="C8110" t="s">
        <v>40</v>
      </c>
      <c r="D8110">
        <v>4.477862</v>
      </c>
      <c r="E8110">
        <v>0.62303699999999995</v>
      </c>
      <c r="F8110" t="s">
        <v>43</v>
      </c>
      <c r="G8110">
        <v>-311.05880000000002</v>
      </c>
      <c r="H8110">
        <v>-0.05</v>
      </c>
      <c r="I8110">
        <v>11.47781</v>
      </c>
      <c r="J8110">
        <v>-315.69130000000001</v>
      </c>
      <c r="K8110">
        <v>1.0631889999999999</v>
      </c>
      <c r="L8110">
        <v>16.034549999999999</v>
      </c>
      <c r="M8110">
        <v>0.95440219999999998</v>
      </c>
      <c r="N8110">
        <v>0</v>
      </c>
      <c r="O8110">
        <v>-0.29775829999999998</v>
      </c>
      <c r="P8110">
        <v>0.89026179999999999</v>
      </c>
      <c r="Q8110">
        <v>-1.8956219999999999E-2</v>
      </c>
      <c r="R8110">
        <v>-0.45505430000000002</v>
      </c>
      <c r="S8110">
        <v>2.2480769999999999</v>
      </c>
      <c r="T8110">
        <v>-0.53021589999999996</v>
      </c>
      <c r="U8110">
        <v>-2.1852420000000001</v>
      </c>
      <c r="V8110">
        <v>0.1692736</v>
      </c>
      <c r="W8110">
        <v>-2.9664699999999998E-4</v>
      </c>
      <c r="X8110">
        <v>0.98556909999999998</v>
      </c>
      <c r="Y8110">
        <v>0.44970559999999998</v>
      </c>
      <c r="Z8110">
        <v>1.193375E-2</v>
      </c>
      <c r="AA8110">
        <v>0.89309709999999998</v>
      </c>
      <c r="AB8110">
        <v>19</v>
      </c>
      <c r="AC8110">
        <v>4.6324999999999896</v>
      </c>
      <c r="AD8110">
        <v>-1.113189</v>
      </c>
      <c r="AE8110">
        <v>-4.5567399999999996</v>
      </c>
      <c r="AF8110">
        <v>2.8855889239446002</v>
      </c>
      <c r="AG8110">
        <v>-1.113189</v>
      </c>
      <c r="AH8110">
        <v>5.6146164698625904</v>
      </c>
      <c r="AI8110">
        <v>100.000745024889</v>
      </c>
      <c r="AJ8110">
        <v>62.799451015659102</v>
      </c>
      <c r="AK8110">
        <v>6.4101272445533404</v>
      </c>
      <c r="AL8110">
        <v>90.016996620585104</v>
      </c>
      <c r="AM8110">
        <v>80.254412690341695</v>
      </c>
      <c r="AN8110">
        <v>1.0000000452655999</v>
      </c>
    </row>
    <row r="8111" spans="1:40" x14ac:dyDescent="0.25">
      <c r="A8111" t="str">
        <f>"20190312154118896"</f>
        <v>20190312154118896</v>
      </c>
      <c r="B8111" t="str">
        <f>"1552376478884883"</f>
        <v>1552376478884883</v>
      </c>
      <c r="C8111" t="s">
        <v>40</v>
      </c>
      <c r="D8111">
        <v>4.4712620000000003</v>
      </c>
      <c r="E8111">
        <v>0.62447889999999995</v>
      </c>
      <c r="F8111" t="s">
        <v>43</v>
      </c>
      <c r="G8111">
        <v>-311.11290000000002</v>
      </c>
      <c r="H8111">
        <v>-0.05</v>
      </c>
      <c r="I8111">
        <v>11.457470000000001</v>
      </c>
      <c r="J8111">
        <v>-315.601</v>
      </c>
      <c r="K8111">
        <v>1.062654</v>
      </c>
      <c r="L8111">
        <v>16.000579999999999</v>
      </c>
      <c r="M8111">
        <v>0.95299469999999997</v>
      </c>
      <c r="N8111">
        <v>0</v>
      </c>
      <c r="O8111">
        <v>-0.30225970000000002</v>
      </c>
      <c r="P8111">
        <v>0.88716729999999999</v>
      </c>
      <c r="Q8111">
        <v>-1.8480050000000001E-2</v>
      </c>
      <c r="R8111">
        <v>-0.46107779999999998</v>
      </c>
      <c r="S8111">
        <v>2.2225649999999999</v>
      </c>
      <c r="T8111">
        <v>-0.54039419999999905</v>
      </c>
      <c r="U8111">
        <v>-2.221924</v>
      </c>
      <c r="V8111">
        <v>0.1713016</v>
      </c>
      <c r="W8111">
        <v>-1.858873E-4</v>
      </c>
      <c r="X8111">
        <v>0.98521860000000006</v>
      </c>
      <c r="Y8111">
        <v>0.45787129999999998</v>
      </c>
      <c r="Z8111">
        <v>1.216778E-2</v>
      </c>
      <c r="AA8111">
        <v>0.88893519999999904</v>
      </c>
      <c r="AB8111">
        <v>19</v>
      </c>
      <c r="AC8111">
        <v>4.48809999999997</v>
      </c>
      <c r="AD8111">
        <v>-1.112654</v>
      </c>
      <c r="AE8111">
        <v>-4.5431099999999898</v>
      </c>
      <c r="AF8111">
        <v>2.8860345214840102</v>
      </c>
      <c r="AG8111">
        <v>-1.112654</v>
      </c>
      <c r="AH8111">
        <v>5.4850745096653597</v>
      </c>
      <c r="AI8111">
        <v>100.177230103456</v>
      </c>
      <c r="AJ8111">
        <v>62.248386548230897</v>
      </c>
      <c r="AK8111">
        <v>6.2970815906651696</v>
      </c>
      <c r="AL8111">
        <v>90.010650558016096</v>
      </c>
      <c r="AM8111">
        <v>80.136494191373401</v>
      </c>
      <c r="AN8111">
        <v>0.99999998125130396</v>
      </c>
    </row>
    <row r="8112" spans="1:40" x14ac:dyDescent="0.25">
      <c r="A8112" t="str">
        <f>"20190312154118908"</f>
        <v>20190312154118908</v>
      </c>
      <c r="B8112" t="str">
        <f>"1552376478904403"</f>
        <v>1552376478904403</v>
      </c>
      <c r="C8112" t="s">
        <v>40</v>
      </c>
      <c r="D8112">
        <v>4.4454589999999996</v>
      </c>
      <c r="E8112">
        <v>0.62591450000000004</v>
      </c>
      <c r="F8112" t="s">
        <v>43</v>
      </c>
      <c r="G8112">
        <v>-311.14769999999999</v>
      </c>
      <c r="H8112">
        <v>-0.05</v>
      </c>
      <c r="I8112">
        <v>11.459</v>
      </c>
      <c r="J8112">
        <v>-315.5068</v>
      </c>
      <c r="K8112">
        <v>1.062165</v>
      </c>
      <c r="L8112">
        <v>15.964359999999999</v>
      </c>
      <c r="M8112">
        <v>0.95149399999999995</v>
      </c>
      <c r="N8112">
        <v>0</v>
      </c>
      <c r="O8112">
        <v>-0.30697560000000002</v>
      </c>
      <c r="P8112">
        <v>0.88401019999999897</v>
      </c>
      <c r="Q8112">
        <v>-1.858609E-2</v>
      </c>
      <c r="R8112">
        <v>-0.46709810000000002</v>
      </c>
      <c r="S8112">
        <v>2.2025760000000001</v>
      </c>
      <c r="T8112">
        <v>-0.5503207</v>
      </c>
      <c r="U8112">
        <v>-2.2462770000000001</v>
      </c>
      <c r="V8112">
        <v>0.17311550000000001</v>
      </c>
      <c r="W8112">
        <v>-6.3165789999999997E-4</v>
      </c>
      <c r="X8112">
        <v>0.98490129999999998</v>
      </c>
      <c r="Y8112">
        <v>0.4622462</v>
      </c>
      <c r="Z8112">
        <v>1.2826010000000001E-2</v>
      </c>
      <c r="AA8112">
        <v>0.88665890000000003</v>
      </c>
      <c r="AB8112">
        <v>19</v>
      </c>
      <c r="AC8112">
        <v>4.3591000000000104</v>
      </c>
      <c r="AD8112">
        <v>-1.1121650000000001</v>
      </c>
      <c r="AE8112">
        <v>-4.5053599999999996</v>
      </c>
      <c r="AF8112">
        <v>2.85931975678881</v>
      </c>
      <c r="AG8112">
        <v>-1.1121650000000001</v>
      </c>
      <c r="AH8112">
        <v>5.3630741883116304</v>
      </c>
      <c r="AI8112">
        <v>100.36990808744901</v>
      </c>
      <c r="AJ8112">
        <v>61.935718726168602</v>
      </c>
      <c r="AK8112">
        <v>6.1786070605050103</v>
      </c>
      <c r="AL8112">
        <v>90.036191335148601</v>
      </c>
      <c r="AM8112">
        <v>80.030987248304498</v>
      </c>
      <c r="AN8112">
        <v>0.99999997303682098</v>
      </c>
    </row>
    <row r="8113" spans="1:40" x14ac:dyDescent="0.25">
      <c r="A8113" t="str">
        <f>"20190312154118921"</f>
        <v>20190312154118921</v>
      </c>
      <c r="B8113" t="str">
        <f>"1552376478914164"</f>
        <v>1552376478914164</v>
      </c>
      <c r="C8113" t="s">
        <v>40</v>
      </c>
      <c r="D8113">
        <v>4.4778260000000003</v>
      </c>
      <c r="E8113">
        <v>0.62619040000000004</v>
      </c>
      <c r="F8113" t="s">
        <v>43</v>
      </c>
      <c r="G8113">
        <v>-311.10730000000001</v>
      </c>
      <c r="H8113">
        <v>-0.05</v>
      </c>
      <c r="I8113">
        <v>11.38477</v>
      </c>
      <c r="J8113">
        <v>-315.40539999999999</v>
      </c>
      <c r="K8113">
        <v>1.06166</v>
      </c>
      <c r="L8113">
        <v>15.92502</v>
      </c>
      <c r="M8113">
        <v>0.9498472</v>
      </c>
      <c r="N8113">
        <v>0</v>
      </c>
      <c r="O8113">
        <v>-0.31205880000000003</v>
      </c>
      <c r="P8113">
        <v>0.88045249999999997</v>
      </c>
      <c r="Q8113">
        <v>-1.8998839999999999E-2</v>
      </c>
      <c r="R8113">
        <v>-0.47375329999999899</v>
      </c>
      <c r="S8113">
        <v>2.1819459999999999</v>
      </c>
      <c r="T8113">
        <v>-0.55158280000000004</v>
      </c>
      <c r="U8113">
        <v>-2.271271</v>
      </c>
      <c r="V8113">
        <v>0.17527319999999999</v>
      </c>
      <c r="W8113">
        <v>-1.4004519999999999E-3</v>
      </c>
      <c r="X8113">
        <v>0.98451880000000003</v>
      </c>
      <c r="Y8113">
        <v>0.46657399999999999</v>
      </c>
      <c r="Z8113">
        <v>1.336618E-2</v>
      </c>
      <c r="AA8113">
        <v>0.88438119999999998</v>
      </c>
      <c r="AB8113">
        <v>19</v>
      </c>
      <c r="AC8113">
        <v>4.2980999999999696</v>
      </c>
      <c r="AD8113">
        <v>-1.1116600000000001</v>
      </c>
      <c r="AE8113">
        <v>-4.5402500000000003</v>
      </c>
      <c r="AF8113">
        <v>2.8808130050627798</v>
      </c>
      <c r="AG8113">
        <v>-1.1116600000000001</v>
      </c>
      <c r="AH8113">
        <v>5.3319164464909701</v>
      </c>
      <c r="AI8113">
        <v>100.39422815771501</v>
      </c>
      <c r="AJ8113">
        <v>61.617825704900703</v>
      </c>
      <c r="AK8113">
        <v>6.1615099219346998</v>
      </c>
      <c r="AL8113">
        <v>90.080240018310207</v>
      </c>
      <c r="AM8113">
        <v>79.905432560324002</v>
      </c>
      <c r="AN8113">
        <v>0.99999996172874095</v>
      </c>
    </row>
    <row r="8114" spans="1:40" x14ac:dyDescent="0.25">
      <c r="A8114" t="str">
        <f>"20190312154118933"</f>
        <v>20190312154118933</v>
      </c>
      <c r="B8114" t="str">
        <f>"1552376478923924"</f>
        <v>1552376478923924</v>
      </c>
      <c r="C8114" t="s">
        <v>40</v>
      </c>
      <c r="D8114">
        <v>4.473001</v>
      </c>
      <c r="E8114">
        <v>0.62674949999999996</v>
      </c>
      <c r="F8114" t="s">
        <v>43</v>
      </c>
      <c r="G8114">
        <v>-311.06599999999997</v>
      </c>
      <c r="H8114">
        <v>-0.05</v>
      </c>
      <c r="I8114">
        <v>11.333360000000001</v>
      </c>
      <c r="J8114">
        <v>-315.31009999999998</v>
      </c>
      <c r="K8114">
        <v>1.0612250000000001</v>
      </c>
      <c r="L8114">
        <v>15.887479999999901</v>
      </c>
      <c r="M8114">
        <v>0.9482701</v>
      </c>
      <c r="N8114">
        <v>0</v>
      </c>
      <c r="O8114">
        <v>-0.31684030000000002</v>
      </c>
      <c r="P8114">
        <v>0.87697099999999995</v>
      </c>
      <c r="Q8114">
        <v>-1.936154E-2</v>
      </c>
      <c r="R8114">
        <v>-0.48015340000000001</v>
      </c>
      <c r="S8114">
        <v>2.1635439999999999</v>
      </c>
      <c r="T8114">
        <v>-0.55425979999999997</v>
      </c>
      <c r="U8114">
        <v>-2.2893370000000002</v>
      </c>
      <c r="V8114">
        <v>0.17747839999999901</v>
      </c>
      <c r="W8114">
        <v>-2.078585E-3</v>
      </c>
      <c r="X8114">
        <v>0.98412250000000001</v>
      </c>
      <c r="Y8114">
        <v>0.46935969999999999</v>
      </c>
      <c r="Z8114">
        <v>1.4054189999999999E-2</v>
      </c>
      <c r="AA8114">
        <v>0.88289519999999899</v>
      </c>
      <c r="AB8114">
        <v>19</v>
      </c>
      <c r="AC8114">
        <v>4.2441000000000004</v>
      </c>
      <c r="AD8114">
        <v>-1.1112249999999999</v>
      </c>
      <c r="AE8114">
        <v>-4.5541199999999904</v>
      </c>
      <c r="AF8114">
        <v>2.8825716096515701</v>
      </c>
      <c r="AG8114">
        <v>-1.1112249999999999</v>
      </c>
      <c r="AH8114">
        <v>5.2996934304271504</v>
      </c>
      <c r="AI8114">
        <v>100.436556664403</v>
      </c>
      <c r="AJ8114">
        <v>61.457660375498598</v>
      </c>
      <c r="AK8114">
        <v>6.1343940647717501</v>
      </c>
      <c r="AL8114">
        <v>90.119094233737101</v>
      </c>
      <c r="AM8114">
        <v>79.777059611541503</v>
      </c>
      <c r="AN8114">
        <v>0.999999998994206</v>
      </c>
    </row>
    <row r="8115" spans="1:40" x14ac:dyDescent="0.25">
      <c r="A8115" t="str">
        <f>"20190312154118944"</f>
        <v>20190312154118944</v>
      </c>
      <c r="B8115" t="str">
        <f>"1552376478934191"</f>
        <v>1552376478934191</v>
      </c>
      <c r="C8115" t="s">
        <v>40</v>
      </c>
      <c r="D8115">
        <v>4.4826319999999997</v>
      </c>
      <c r="E8115">
        <v>0.62682399999999905</v>
      </c>
      <c r="F8115" t="s">
        <v>43</v>
      </c>
      <c r="G8115">
        <v>-311.04450000000003</v>
      </c>
      <c r="H8115">
        <v>-0.05</v>
      </c>
      <c r="I8115">
        <v>11.295529999999999</v>
      </c>
      <c r="J8115">
        <v>-315.21409999999997</v>
      </c>
      <c r="K8115">
        <v>1.0608169999999999</v>
      </c>
      <c r="L8115">
        <v>15.849119999999999</v>
      </c>
      <c r="M8115">
        <v>0.94665619999999995</v>
      </c>
      <c r="N8115">
        <v>0</v>
      </c>
      <c r="O8115">
        <v>-0.32164910000000002</v>
      </c>
      <c r="P8115">
        <v>0.87339330000000004</v>
      </c>
      <c r="Q8115">
        <v>-1.998753E-2</v>
      </c>
      <c r="R8115">
        <v>-0.48660520000000002</v>
      </c>
      <c r="S8115">
        <v>2.1445310000000002</v>
      </c>
      <c r="T8115">
        <v>-0.55865989999999999</v>
      </c>
      <c r="U8115">
        <v>-2.3085629999999999</v>
      </c>
      <c r="V8115">
        <v>0.17973239999999999</v>
      </c>
      <c r="W8115">
        <v>-3.009154E-3</v>
      </c>
      <c r="X8115">
        <v>0.98371090000000005</v>
      </c>
      <c r="Y8115">
        <v>0.47243410000000002</v>
      </c>
      <c r="Z8115">
        <v>1.4767550000000001E-2</v>
      </c>
      <c r="AA8115">
        <v>0.88124230000000003</v>
      </c>
      <c r="AB8115">
        <v>19</v>
      </c>
      <c r="AC8115">
        <v>4.1695999999999396</v>
      </c>
      <c r="AD8115">
        <v>-1.1108169999999999</v>
      </c>
      <c r="AE8115">
        <v>-4.5535899999999998</v>
      </c>
      <c r="AF8115">
        <v>2.87698244274327</v>
      </c>
      <c r="AG8115">
        <v>-1.1108169999999999</v>
      </c>
      <c r="AH8115">
        <v>5.2431612235484302</v>
      </c>
      <c r="AI8115">
        <v>100.521999088252</v>
      </c>
      <c r="AJ8115">
        <v>61.245920528663397</v>
      </c>
      <c r="AK8115">
        <v>6.0829007882312096</v>
      </c>
      <c r="AL8115">
        <v>90.172412090735605</v>
      </c>
      <c r="AM8115">
        <v>79.645778958451302</v>
      </c>
      <c r="AN8115">
        <v>0.99999996269818203</v>
      </c>
    </row>
    <row r="8116" spans="1:40" x14ac:dyDescent="0.25">
      <c r="A8116" t="str">
        <f>"20190312154118956"</f>
        <v>20190312154118956</v>
      </c>
      <c r="B8116" t="str">
        <f>"1552376478943952"</f>
        <v>1552376478943952</v>
      </c>
      <c r="C8116" t="s">
        <v>40</v>
      </c>
      <c r="D8116">
        <v>4.5128130000000004</v>
      </c>
      <c r="E8116">
        <v>0.62690709999999905</v>
      </c>
      <c r="F8116" t="s">
        <v>43</v>
      </c>
      <c r="G8116">
        <v>-311.01350000000002</v>
      </c>
      <c r="H8116">
        <v>-0.05</v>
      </c>
      <c r="I8116">
        <v>11.258559999999999</v>
      </c>
      <c r="J8116">
        <v>-315.1191</v>
      </c>
      <c r="K8116">
        <v>1.0604279999999999</v>
      </c>
      <c r="L8116">
        <v>15.81082</v>
      </c>
      <c r="M8116">
        <v>0.94503499999999996</v>
      </c>
      <c r="N8116">
        <v>0</v>
      </c>
      <c r="O8116">
        <v>-0.32639990000000002</v>
      </c>
      <c r="P8116">
        <v>0.8699325</v>
      </c>
      <c r="Q8116">
        <v>-2.0539149999999999E-2</v>
      </c>
      <c r="R8116">
        <v>-0.49274309999999899</v>
      </c>
      <c r="S8116">
        <v>2.1269840000000002</v>
      </c>
      <c r="T8116">
        <v>-0.56245369999999995</v>
      </c>
      <c r="U8116">
        <v>-2.3244020000000001</v>
      </c>
      <c r="V8116">
        <v>0.1817136</v>
      </c>
      <c r="W8116">
        <v>-3.8490989999999999E-3</v>
      </c>
      <c r="X8116">
        <v>0.983344</v>
      </c>
      <c r="Y8116">
        <v>0.47461999999999999</v>
      </c>
      <c r="Z8116">
        <v>1.555965E-2</v>
      </c>
      <c r="AA8116">
        <v>0.88005319999999898</v>
      </c>
      <c r="AB8116">
        <v>19</v>
      </c>
      <c r="AC8116">
        <v>4.1055999999999804</v>
      </c>
      <c r="AD8116">
        <v>-1.110428</v>
      </c>
      <c r="AE8116">
        <v>-4.5522599999999898</v>
      </c>
      <c r="AF8116">
        <v>2.8684097821288401</v>
      </c>
      <c r="AG8116">
        <v>-1.110428</v>
      </c>
      <c r="AH8116">
        <v>5.1962894178193402</v>
      </c>
      <c r="AI8116">
        <v>100.596684666394</v>
      </c>
      <c r="AJ8116">
        <v>61.100812034546102</v>
      </c>
      <c r="AK8116">
        <v>6.0383978616134399</v>
      </c>
      <c r="AL8116">
        <v>90.220537664440599</v>
      </c>
      <c r="AM8116">
        <v>79.530333848804204</v>
      </c>
      <c r="AN8116">
        <v>1.00000003516203</v>
      </c>
    </row>
    <row r="8117" spans="1:40" x14ac:dyDescent="0.25">
      <c r="A8117" t="str">
        <f>"20190312154118968"</f>
        <v>20190312154118968</v>
      </c>
      <c r="B8117" t="str">
        <f>"1552376478964446"</f>
        <v>1552376478964446</v>
      </c>
      <c r="C8117" t="s">
        <v>40</v>
      </c>
      <c r="D8117">
        <v>4.5035610000000004</v>
      </c>
      <c r="E8117">
        <v>0.62627909999999998</v>
      </c>
      <c r="F8117" t="s">
        <v>43</v>
      </c>
      <c r="G8117">
        <v>-310.96449999999999</v>
      </c>
      <c r="H8117">
        <v>-0.05</v>
      </c>
      <c r="I8117">
        <v>11.20477</v>
      </c>
      <c r="J8117">
        <v>-315.03030000000001</v>
      </c>
      <c r="K8117">
        <v>1.060093</v>
      </c>
      <c r="L8117">
        <v>15.7742</v>
      </c>
      <c r="M8117">
        <v>0.94350299999999998</v>
      </c>
      <c r="N8117">
        <v>0</v>
      </c>
      <c r="O8117">
        <v>-0.33081759999999999</v>
      </c>
      <c r="P8117">
        <v>0.86636119999999905</v>
      </c>
      <c r="Q8117">
        <v>-2.1041250000000001E-2</v>
      </c>
      <c r="R8117">
        <v>-0.49897469999999999</v>
      </c>
      <c r="S8117">
        <v>2.1101380000000001</v>
      </c>
      <c r="T8117">
        <v>-0.56398519999999996</v>
      </c>
      <c r="U8117">
        <v>-2.3394170000000001</v>
      </c>
      <c r="V8117">
        <v>0.18416689999999999</v>
      </c>
      <c r="W8117">
        <v>-4.616729E-3</v>
      </c>
      <c r="X8117">
        <v>0.98288419999999999</v>
      </c>
      <c r="Y8117">
        <v>0.47682049999999998</v>
      </c>
      <c r="Z8117">
        <v>1.623221E-2</v>
      </c>
      <c r="AA8117">
        <v>0.87885079999999904</v>
      </c>
      <c r="AB8117">
        <v>19</v>
      </c>
      <c r="AC8117">
        <v>4.0658000000000198</v>
      </c>
      <c r="AD8117">
        <v>-1.110093</v>
      </c>
      <c r="AE8117">
        <v>-4.5694299999999997</v>
      </c>
      <c r="AF8117">
        <v>2.8721599551846801</v>
      </c>
      <c r="AG8117">
        <v>-1.110093</v>
      </c>
      <c r="AH8117">
        <v>5.17814107704727</v>
      </c>
      <c r="AI8117">
        <v>100.618149324246</v>
      </c>
      <c r="AJ8117">
        <v>60.984178665640897</v>
      </c>
      <c r="AK8117">
        <v>6.0245127845013098</v>
      </c>
      <c r="AL8117">
        <v>90.264520011739194</v>
      </c>
      <c r="AM8117">
        <v>79.387321451536707</v>
      </c>
      <c r="AN8117">
        <v>1.0000000559259501</v>
      </c>
    </row>
    <row r="8118" spans="1:40" x14ac:dyDescent="0.25">
      <c r="A8118" t="str">
        <f>"20190312154118979"</f>
        <v>20190312154118979</v>
      </c>
      <c r="B8118" t="str">
        <f>"1552376478974207"</f>
        <v>1552376478974207</v>
      </c>
      <c r="C8118" t="s">
        <v>40</v>
      </c>
      <c r="D8118">
        <v>4.5039360000000004</v>
      </c>
      <c r="E8118">
        <v>0.62566940000000004</v>
      </c>
      <c r="F8118" t="s">
        <v>43</v>
      </c>
      <c r="G8118">
        <v>-310.91770000000002</v>
      </c>
      <c r="H8118">
        <v>-0.05</v>
      </c>
      <c r="I8118">
        <v>11.16249</v>
      </c>
      <c r="J8118">
        <v>-314.94439999999997</v>
      </c>
      <c r="K8118">
        <v>1.059777</v>
      </c>
      <c r="L8118">
        <v>15.73868</v>
      </c>
      <c r="M8118">
        <v>0.94200390000000001</v>
      </c>
      <c r="N8118">
        <v>0</v>
      </c>
      <c r="O8118">
        <v>-0.33507629999999999</v>
      </c>
      <c r="P8118">
        <v>0.86296640000000002</v>
      </c>
      <c r="Q8118">
        <v>-2.1258699999999998E-2</v>
      </c>
      <c r="R8118">
        <v>-0.50481399999999998</v>
      </c>
      <c r="S8118">
        <v>2.095612</v>
      </c>
      <c r="T8118">
        <v>-0.56565959999999904</v>
      </c>
      <c r="U8118">
        <v>-2.349945</v>
      </c>
      <c r="V8118">
        <v>0.186362</v>
      </c>
      <c r="W8118">
        <v>-5.0837510000000001E-3</v>
      </c>
      <c r="X8118">
        <v>0.98246800000000001</v>
      </c>
      <c r="Y8118">
        <v>0.47785810000000001</v>
      </c>
      <c r="Z8118">
        <v>1.7009819999999998E-2</v>
      </c>
      <c r="AA8118">
        <v>0.87827239999999995</v>
      </c>
      <c r="AB8118">
        <v>19</v>
      </c>
      <c r="AC8118">
        <v>4.0266999999999404</v>
      </c>
      <c r="AD8118">
        <v>-1.109777</v>
      </c>
      <c r="AE8118">
        <v>-4.5761899999999898</v>
      </c>
      <c r="AF8118">
        <v>2.8670258711390701</v>
      </c>
      <c r="AG8118">
        <v>-1.109777</v>
      </c>
      <c r="AH8118">
        <v>5.1565546144396803</v>
      </c>
      <c r="AI8118">
        <v>100.652755685767</v>
      </c>
      <c r="AJ8118">
        <v>60.9260976001515</v>
      </c>
      <c r="AK8118">
        <v>6.0034571562732904</v>
      </c>
      <c r="AL8118">
        <v>90.291278729521906</v>
      </c>
      <c r="AM8118">
        <v>79.259309285784795</v>
      </c>
      <c r="AN8118">
        <v>1.00000000529611</v>
      </c>
    </row>
    <row r="8119" spans="1:40" x14ac:dyDescent="0.25">
      <c r="A8119" t="str">
        <f>"20190312154118991"</f>
        <v>20190312154118991</v>
      </c>
      <c r="B8119" t="str">
        <f>"1552376478984943"</f>
        <v>1552376478984943</v>
      </c>
      <c r="C8119" t="s">
        <v>40</v>
      </c>
      <c r="D8119">
        <v>4.4913150000000002</v>
      </c>
      <c r="E8119">
        <v>0.6252837</v>
      </c>
      <c r="F8119" t="s">
        <v>43</v>
      </c>
      <c r="G8119">
        <v>-310.86619999999999</v>
      </c>
      <c r="H8119">
        <v>-0.05</v>
      </c>
      <c r="I8119">
        <v>11.11708</v>
      </c>
      <c r="J8119">
        <v>-314.8449</v>
      </c>
      <c r="K8119">
        <v>1.0594399999999999</v>
      </c>
      <c r="L8119">
        <v>15.69678</v>
      </c>
      <c r="M8119">
        <v>0.94025259999999999</v>
      </c>
      <c r="N8119">
        <v>0</v>
      </c>
      <c r="O8119">
        <v>-0.33997480000000002</v>
      </c>
      <c r="P8119">
        <v>0.85893349999999902</v>
      </c>
      <c r="Q8119">
        <v>-2.088458E-2</v>
      </c>
      <c r="R8119">
        <v>-0.51166160000000005</v>
      </c>
      <c r="S8119">
        <v>2.0821230000000002</v>
      </c>
      <c r="T8119">
        <v>-0.56660319999999997</v>
      </c>
      <c r="U8119">
        <v>-2.3595890000000002</v>
      </c>
      <c r="V8119">
        <v>0.18906139999999999</v>
      </c>
      <c r="W8119">
        <v>-4.9861360000000004E-3</v>
      </c>
      <c r="X8119">
        <v>0.98195259999999995</v>
      </c>
      <c r="Y8119">
        <v>0.4779468</v>
      </c>
      <c r="Z8119">
        <v>1.7991650000000001E-2</v>
      </c>
      <c r="AA8119">
        <v>0.87820450000000005</v>
      </c>
      <c r="AB8119">
        <v>19</v>
      </c>
      <c r="AC8119">
        <v>3.9786999999999999</v>
      </c>
      <c r="AD8119">
        <v>-1.10944</v>
      </c>
      <c r="AE8119">
        <v>-4.5796999999999901</v>
      </c>
      <c r="AF8119">
        <v>2.85832904182092</v>
      </c>
      <c r="AG8119">
        <v>-1.10944</v>
      </c>
      <c r="AH8119">
        <v>5.1273926030572303</v>
      </c>
      <c r="AI8119">
        <v>100.70225112674299</v>
      </c>
      <c r="AJ8119">
        <v>60.861972951289403</v>
      </c>
      <c r="AK8119">
        <v>5.97419927109926</v>
      </c>
      <c r="AL8119">
        <v>90.285685735055907</v>
      </c>
      <c r="AM8119">
        <v>79.101849125539701</v>
      </c>
      <c r="AN8119">
        <v>0.99999999158446495</v>
      </c>
    </row>
    <row r="8120" spans="1:40" x14ac:dyDescent="0.25">
      <c r="A8120" t="str">
        <f>"20190312154119003"</f>
        <v>20190312154119003</v>
      </c>
      <c r="B8120" t="str">
        <f>"1552376478994703"</f>
        <v>1552376478994703</v>
      </c>
      <c r="C8120" t="s">
        <v>40</v>
      </c>
      <c r="D8120">
        <v>4.4925739999999896</v>
      </c>
      <c r="E8120">
        <v>0.62479980000000002</v>
      </c>
      <c r="F8120" t="s">
        <v>43</v>
      </c>
      <c r="G8120">
        <v>-310.80059999999997</v>
      </c>
      <c r="H8120">
        <v>-0.05</v>
      </c>
      <c r="I8120">
        <v>11.049609999999999</v>
      </c>
      <c r="J8120">
        <v>-314.7527</v>
      </c>
      <c r="K8120">
        <v>1.0591489999999999</v>
      </c>
      <c r="L8120">
        <v>15.657439999999999</v>
      </c>
      <c r="M8120">
        <v>0.93860829999999995</v>
      </c>
      <c r="N8120">
        <v>0</v>
      </c>
      <c r="O8120">
        <v>-0.34450049999999999</v>
      </c>
      <c r="P8120">
        <v>0.85518660000000002</v>
      </c>
      <c r="Q8120">
        <v>-2.0266389999999999E-2</v>
      </c>
      <c r="R8120">
        <v>-0.51792399999999905</v>
      </c>
      <c r="S8120">
        <v>2.0652469999999998</v>
      </c>
      <c r="T8120">
        <v>-0.56654300000000002</v>
      </c>
      <c r="U8120">
        <v>-2.3731080000000002</v>
      </c>
      <c r="V8120">
        <v>0.19150610000000001</v>
      </c>
      <c r="W8120">
        <v>-4.6137080000000002E-3</v>
      </c>
      <c r="X8120">
        <v>0.98148060000000004</v>
      </c>
      <c r="Y8120">
        <v>0.47977959999999897</v>
      </c>
      <c r="Z8120">
        <v>1.8691360000000001E-2</v>
      </c>
      <c r="AA8120">
        <v>0.87718989999999997</v>
      </c>
      <c r="AB8120">
        <v>19</v>
      </c>
      <c r="AC8120">
        <v>3.9521000000000299</v>
      </c>
      <c r="AD8120">
        <v>-1.1091489999999999</v>
      </c>
      <c r="AE8120">
        <v>-4.6078299999999901</v>
      </c>
      <c r="AF8120">
        <v>2.8681923739944999</v>
      </c>
      <c r="AG8120">
        <v>-1.1091489999999999</v>
      </c>
      <c r="AH8120">
        <v>5.1266151132401996</v>
      </c>
      <c r="AI8120">
        <v>100.69215930755701</v>
      </c>
      <c r="AJ8120">
        <v>60.7742533930478</v>
      </c>
      <c r="AK8120">
        <v>5.9782038705403799</v>
      </c>
      <c r="AL8120">
        <v>90.2643469287447</v>
      </c>
      <c r="AM8120">
        <v>78.959189710810506</v>
      </c>
      <c r="AN8120">
        <v>1.0000000204075301</v>
      </c>
    </row>
    <row r="8121" spans="1:40" x14ac:dyDescent="0.25">
      <c r="A8121" t="str">
        <f>"20190312154119013"</f>
        <v>20190312154119013</v>
      </c>
      <c r="B8121" t="str">
        <f>"1552376479004463"</f>
        <v>1552376479004463</v>
      </c>
      <c r="C8121" t="s">
        <v>40</v>
      </c>
      <c r="D8121">
        <v>4.5042169999999997</v>
      </c>
      <c r="E8121">
        <v>0.62414780000000003</v>
      </c>
      <c r="F8121" t="s">
        <v>43</v>
      </c>
      <c r="G8121">
        <v>-310.72489999999999</v>
      </c>
      <c r="H8121">
        <v>-0.05</v>
      </c>
      <c r="I8121">
        <v>10.97307</v>
      </c>
      <c r="J8121">
        <v>-314.6678</v>
      </c>
      <c r="K8121">
        <v>1.058897</v>
      </c>
      <c r="L8121">
        <v>15.620850000000001</v>
      </c>
      <c r="M8121">
        <v>0.93707850000000004</v>
      </c>
      <c r="N8121">
        <v>0</v>
      </c>
      <c r="O8121">
        <v>-0.34865109999999999</v>
      </c>
      <c r="P8121">
        <v>0.85168060000000001</v>
      </c>
      <c r="Q8121">
        <v>-1.9751149999999999E-2</v>
      </c>
      <c r="R8121">
        <v>-0.52368950000000003</v>
      </c>
      <c r="S8121">
        <v>2.0504150000000001</v>
      </c>
      <c r="T8121">
        <v>-0.56462709999999905</v>
      </c>
      <c r="U8121">
        <v>-2.3846440000000002</v>
      </c>
      <c r="V8121">
        <v>0.19379279999999999</v>
      </c>
      <c r="W8121">
        <v>-4.3165670000000003E-3</v>
      </c>
      <c r="X8121">
        <v>0.98103300000000004</v>
      </c>
      <c r="Y8121">
        <v>0.48117969999999999</v>
      </c>
      <c r="Z8121">
        <v>1.930111E-2</v>
      </c>
      <c r="AA8121">
        <v>0.87640949999999995</v>
      </c>
      <c r="AB8121">
        <v>19</v>
      </c>
      <c r="AC8121">
        <v>3.9428999999999998</v>
      </c>
      <c r="AD8121">
        <v>-1.108897</v>
      </c>
      <c r="AE8121">
        <v>-4.64778</v>
      </c>
      <c r="AF8121">
        <v>2.8856077214948499</v>
      </c>
      <c r="AG8121">
        <v>-1.108897</v>
      </c>
      <c r="AH8121">
        <v>5.1457959825176696</v>
      </c>
      <c r="AI8121">
        <v>100.645091043462</v>
      </c>
      <c r="AJ8121">
        <v>60.717601782369499</v>
      </c>
      <c r="AK8121">
        <v>6.0029659979592296</v>
      </c>
      <c r="AL8121">
        <v>90.247321835529704</v>
      </c>
      <c r="AM8121">
        <v>78.825683763394494</v>
      </c>
      <c r="AN8121">
        <v>1.0000000145857499</v>
      </c>
    </row>
    <row r="8122" spans="1:40" x14ac:dyDescent="0.25">
      <c r="A8122" t="str">
        <f>"20190312154119023"</f>
        <v>20190312154119023</v>
      </c>
      <c r="B8122" t="str">
        <f>"1552376479014222"</f>
        <v>1552376479014222</v>
      </c>
      <c r="C8122" t="s">
        <v>40</v>
      </c>
      <c r="D8122">
        <v>4.5294059999999998</v>
      </c>
      <c r="E8122">
        <v>0.62361089999999997</v>
      </c>
      <c r="F8122" t="s">
        <v>43</v>
      </c>
      <c r="G8122">
        <v>-310.65289999999999</v>
      </c>
      <c r="H8122">
        <v>-0.05</v>
      </c>
      <c r="I8122">
        <v>10.90146</v>
      </c>
      <c r="J8122">
        <v>-314.5849</v>
      </c>
      <c r="K8122">
        <v>1.058675</v>
      </c>
      <c r="L8122">
        <v>15.584630000000001</v>
      </c>
      <c r="M8122">
        <v>0.93556799999999996</v>
      </c>
      <c r="N8122">
        <v>0</v>
      </c>
      <c r="O8122">
        <v>-0.3526939</v>
      </c>
      <c r="P8122">
        <v>0.84824820000000001</v>
      </c>
      <c r="Q8122">
        <v>-1.9461059999999999E-2</v>
      </c>
      <c r="R8122">
        <v>-0.52924159999999998</v>
      </c>
      <c r="S8122">
        <v>2.037048</v>
      </c>
      <c r="T8122">
        <v>-0.56262460000000003</v>
      </c>
      <c r="U8122">
        <v>-2.394501</v>
      </c>
      <c r="V8122">
        <v>0.19596469999999999</v>
      </c>
      <c r="W8122">
        <v>-4.2263589999999998E-3</v>
      </c>
      <c r="X8122">
        <v>0.98060179999999997</v>
      </c>
      <c r="Y8122">
        <v>0.48206840000000001</v>
      </c>
      <c r="Z8122">
        <v>1.9937050000000001E-2</v>
      </c>
      <c r="AA8122">
        <v>0.87590679999999999</v>
      </c>
      <c r="AB8122">
        <v>19</v>
      </c>
      <c r="AC8122">
        <v>3.9320000000000102</v>
      </c>
      <c r="AD8122">
        <v>-1.1086750000000001</v>
      </c>
      <c r="AE8122">
        <v>-4.6831699999999898</v>
      </c>
      <c r="AF8122">
        <v>2.8997892449767799</v>
      </c>
      <c r="AG8122">
        <v>-1.1086750000000001</v>
      </c>
      <c r="AH8122">
        <v>5.1615615881489596</v>
      </c>
      <c r="AI8122">
        <v>100.606660806191</v>
      </c>
      <c r="AJ8122">
        <v>60.672520611009098</v>
      </c>
      <c r="AK8122">
        <v>6.02325957843117</v>
      </c>
      <c r="AL8122">
        <v>90.242153264485694</v>
      </c>
      <c r="AM8122">
        <v>78.698813071156593</v>
      </c>
      <c r="AN8122">
        <v>0.99999995795986196</v>
      </c>
    </row>
    <row r="8123" spans="1:40" x14ac:dyDescent="0.25">
      <c r="A8123" t="str">
        <f>"20190312154119035"</f>
        <v>20190312154119035</v>
      </c>
      <c r="B8123" t="str">
        <f>"1552376479023982"</f>
        <v>1552376479023982</v>
      </c>
      <c r="C8123" t="s">
        <v>40</v>
      </c>
      <c r="D8123">
        <v>4.5364550000000001</v>
      </c>
      <c r="E8123">
        <v>0.62309179999999997</v>
      </c>
      <c r="F8123" t="s">
        <v>43</v>
      </c>
      <c r="G8123">
        <v>-310.58249999999998</v>
      </c>
      <c r="H8123">
        <v>-0.05</v>
      </c>
      <c r="I8123">
        <v>10.8293</v>
      </c>
      <c r="J8123">
        <v>-314.50049999999999</v>
      </c>
      <c r="K8123">
        <v>1.0584579999999999</v>
      </c>
      <c r="L8123">
        <v>15.54745</v>
      </c>
      <c r="M8123">
        <v>0.93401219999999996</v>
      </c>
      <c r="N8123">
        <v>0</v>
      </c>
      <c r="O8123">
        <v>-0.35680299999999998</v>
      </c>
      <c r="P8123">
        <v>0.84478790000000004</v>
      </c>
      <c r="Q8123">
        <v>-1.931708E-2</v>
      </c>
      <c r="R8123">
        <v>-0.53475299999999903</v>
      </c>
      <c r="S8123">
        <v>2.0237120000000002</v>
      </c>
      <c r="T8123">
        <v>-0.56056680000000003</v>
      </c>
      <c r="U8123">
        <v>-2.404388</v>
      </c>
      <c r="V8123">
        <v>0.19803750000000001</v>
      </c>
      <c r="W8123">
        <v>-4.2776480000000002E-3</v>
      </c>
      <c r="X8123">
        <v>0.98018510000000003</v>
      </c>
      <c r="Y8123">
        <v>0.48289219999999999</v>
      </c>
      <c r="Z8123">
        <v>2.0586179999999999E-2</v>
      </c>
      <c r="AA8123">
        <v>0.87543780000000004</v>
      </c>
      <c r="AB8123">
        <v>19</v>
      </c>
      <c r="AC8123">
        <v>3.9180000000000001</v>
      </c>
      <c r="AD8123">
        <v>-1.1084579999999999</v>
      </c>
      <c r="AE8123">
        <v>-4.7181499999999996</v>
      </c>
      <c r="AF8123">
        <v>2.9141289308037899</v>
      </c>
      <c r="AG8123">
        <v>-1.1084579999999999</v>
      </c>
      <c r="AH8123">
        <v>5.1747012112075002</v>
      </c>
      <c r="AI8123">
        <v>100.57237429708999</v>
      </c>
      <c r="AJ8123">
        <v>60.613997559698298</v>
      </c>
      <c r="AK8123">
        <v>6.0413871907355903</v>
      </c>
      <c r="AL8123">
        <v>90.245091926564399</v>
      </c>
      <c r="AM8123">
        <v>78.577673188170905</v>
      </c>
      <c r="AN8123">
        <v>0.99999998997033601</v>
      </c>
    </row>
    <row r="8124" spans="1:40" x14ac:dyDescent="0.25">
      <c r="A8124" t="str">
        <f>"20190312154119045"</f>
        <v>20190312154119045</v>
      </c>
      <c r="B8124" t="str">
        <f>"1552376479034249"</f>
        <v>1552376479034249</v>
      </c>
      <c r="C8124" t="s">
        <v>40</v>
      </c>
      <c r="D8124">
        <v>4.5564349999999996</v>
      </c>
      <c r="E8124">
        <v>0.62257099999999999</v>
      </c>
      <c r="F8124" t="s">
        <v>43</v>
      </c>
      <c r="G8124">
        <v>-310.45929999999998</v>
      </c>
      <c r="H8124">
        <v>-0.05</v>
      </c>
      <c r="I8124">
        <v>10.691420000000001</v>
      </c>
      <c r="J8124">
        <v>-314.4203</v>
      </c>
      <c r="K8124">
        <v>1.058268</v>
      </c>
      <c r="L8124">
        <v>15.511509999999999</v>
      </c>
      <c r="M8124">
        <v>0.93251450000000002</v>
      </c>
      <c r="N8124">
        <v>0</v>
      </c>
      <c r="O8124">
        <v>-0.36070649999999999</v>
      </c>
      <c r="P8124">
        <v>0.84168559999999903</v>
      </c>
      <c r="Q8124">
        <v>-1.9771879999999999E-2</v>
      </c>
      <c r="R8124">
        <v>-0.53960589999999997</v>
      </c>
      <c r="S8124">
        <v>2.0098569999999998</v>
      </c>
      <c r="T8124">
        <v>-0.55127250000000005</v>
      </c>
      <c r="U8124">
        <v>-2.4150700000000001</v>
      </c>
      <c r="V8124">
        <v>0.19957630000000001</v>
      </c>
      <c r="W8124">
        <v>-4.898421E-3</v>
      </c>
      <c r="X8124">
        <v>0.97987000000000002</v>
      </c>
      <c r="Y8124">
        <v>0.48419709999999999</v>
      </c>
      <c r="Z8124">
        <v>2.087174E-2</v>
      </c>
      <c r="AA8124">
        <v>0.87470999999999999</v>
      </c>
      <c r="AB8124">
        <v>19</v>
      </c>
      <c r="AC8124">
        <v>3.9610000000000101</v>
      </c>
      <c r="AD8124">
        <v>-1.108268</v>
      </c>
      <c r="AE8124">
        <v>-4.8200900000000004</v>
      </c>
      <c r="AF8124">
        <v>2.9727093135567499</v>
      </c>
      <c r="AG8124">
        <v>-1.108268</v>
      </c>
      <c r="AH8124">
        <v>5.2669576877780999</v>
      </c>
      <c r="AI8124">
        <v>100.384045601954</v>
      </c>
      <c r="AJ8124">
        <v>60.559300493131303</v>
      </c>
      <c r="AK8124">
        <v>6.1486666772216498</v>
      </c>
      <c r="AL8124">
        <v>90.280659984466297</v>
      </c>
      <c r="AM8124">
        <v>78.487676163626205</v>
      </c>
      <c r="AN8124">
        <v>0.99999995547498999</v>
      </c>
    </row>
    <row r="8125" spans="1:40" x14ac:dyDescent="0.25">
      <c r="A8125" t="str">
        <f>"20190312154119056"</f>
        <v>20190312154119056</v>
      </c>
      <c r="B8125" t="str">
        <f>"1552376479044009"</f>
        <v>1552376479044009</v>
      </c>
      <c r="C8125" t="s">
        <v>40</v>
      </c>
      <c r="D8125">
        <v>4.5518910000000004</v>
      </c>
      <c r="E8125">
        <v>0.62243040000000005</v>
      </c>
      <c r="F8125" t="s">
        <v>43</v>
      </c>
      <c r="G8125">
        <v>-310.34730000000002</v>
      </c>
      <c r="H8125">
        <v>-0.05</v>
      </c>
      <c r="I8125">
        <v>10.57057</v>
      </c>
      <c r="J8125">
        <v>-314.334</v>
      </c>
      <c r="K8125">
        <v>1.058074</v>
      </c>
      <c r="L8125">
        <v>15.472720000000001</v>
      </c>
      <c r="M8125">
        <v>0.93088720000000003</v>
      </c>
      <c r="N8125">
        <v>0</v>
      </c>
      <c r="O8125">
        <v>-0.3648943</v>
      </c>
      <c r="P8125">
        <v>0.83825300000000003</v>
      </c>
      <c r="Q8125">
        <v>-2.0270409999999999E-2</v>
      </c>
      <c r="R8125">
        <v>-0.54490439999999996</v>
      </c>
      <c r="S8125">
        <v>1.997803</v>
      </c>
      <c r="T8125">
        <v>-0.54361079999999995</v>
      </c>
      <c r="U8125">
        <v>-2.4235530000000001</v>
      </c>
      <c r="V8125">
        <v>0.20135069999999999</v>
      </c>
      <c r="W8125">
        <v>-5.5731560000000001E-3</v>
      </c>
      <c r="X8125">
        <v>0.97950329999999997</v>
      </c>
      <c r="Y8125">
        <v>0.48445830000000001</v>
      </c>
      <c r="Z8125">
        <v>2.135886E-2</v>
      </c>
      <c r="AA8125">
        <v>0.87455360000000004</v>
      </c>
      <c r="AB8125">
        <v>19</v>
      </c>
      <c r="AC8125">
        <v>3.9866999999999799</v>
      </c>
      <c r="AD8125">
        <v>-1.108074</v>
      </c>
      <c r="AE8125">
        <v>-4.9021499999999998</v>
      </c>
      <c r="AF8125">
        <v>3.0163301615133502</v>
      </c>
      <c r="AG8125">
        <v>-1.108074</v>
      </c>
      <c r="AH8125">
        <v>5.3366426737380603</v>
      </c>
      <c r="AI8125">
        <v>100.246136772559</v>
      </c>
      <c r="AJ8125">
        <v>60.5243802355998</v>
      </c>
      <c r="AK8125">
        <v>6.2294326113935297</v>
      </c>
      <c r="AL8125">
        <v>90.319319989691195</v>
      </c>
      <c r="AM8125">
        <v>78.383860965784294</v>
      </c>
      <c r="AN8125">
        <v>0.99999993958458799</v>
      </c>
    </row>
    <row r="8126" spans="1:40" x14ac:dyDescent="0.25">
      <c r="A8126" t="str">
        <f>"20190312154119067"</f>
        <v>20190312154119067</v>
      </c>
      <c r="B8126" t="str">
        <f>"1552376479064505"</f>
        <v>1552376479064505</v>
      </c>
      <c r="C8126" t="s">
        <v>40</v>
      </c>
      <c r="D8126">
        <v>4.4601559999999996</v>
      </c>
      <c r="E8126">
        <v>0.62310919999999903</v>
      </c>
      <c r="F8126" t="s">
        <v>43</v>
      </c>
      <c r="G8126">
        <v>-310.30250000000001</v>
      </c>
      <c r="H8126">
        <v>-0.05</v>
      </c>
      <c r="I8126">
        <v>10.52103</v>
      </c>
      <c r="J8126">
        <v>-314.25439999999998</v>
      </c>
      <c r="K8126">
        <v>1.0579179999999999</v>
      </c>
      <c r="L8126">
        <v>15.436159999999999</v>
      </c>
      <c r="M8126">
        <v>0.92936439999999998</v>
      </c>
      <c r="N8126">
        <v>0</v>
      </c>
      <c r="O8126">
        <v>-0.36876209999999998</v>
      </c>
      <c r="P8126">
        <v>0.83523749999999997</v>
      </c>
      <c r="Q8126">
        <v>-2.0954400000000001E-2</v>
      </c>
      <c r="R8126">
        <v>-0.54948989999999998</v>
      </c>
      <c r="S8126">
        <v>1.9826969999999999</v>
      </c>
      <c r="T8126">
        <v>-0.54494379999999998</v>
      </c>
      <c r="U8126">
        <v>-2.4352109999999998</v>
      </c>
      <c r="V8126">
        <v>0.20264299999999999</v>
      </c>
      <c r="W8126">
        <v>-6.4014509999999998E-3</v>
      </c>
      <c r="X8126">
        <v>0.97923179999999999</v>
      </c>
      <c r="Y8126">
        <v>0.48614790000000002</v>
      </c>
      <c r="Z8126">
        <v>2.1982379999999999E-2</v>
      </c>
      <c r="AA8126">
        <v>0.87360000000000004</v>
      </c>
      <c r="AB8126">
        <v>19</v>
      </c>
      <c r="AC8126">
        <v>3.9518999999999598</v>
      </c>
      <c r="AD8126">
        <v>-1.107918</v>
      </c>
      <c r="AE8126">
        <v>-4.9151300000000004</v>
      </c>
      <c r="AF8126">
        <v>3.0179629691762502</v>
      </c>
      <c r="AG8126">
        <v>-1.107918</v>
      </c>
      <c r="AH8126">
        <v>5.32185017595127</v>
      </c>
      <c r="AI8126">
        <v>100.26450403750999</v>
      </c>
      <c r="AJ8126">
        <v>60.442902482405003</v>
      </c>
      <c r="AK8126">
        <v>6.2175294187736503</v>
      </c>
      <c r="AL8126">
        <v>90.366778615033198</v>
      </c>
      <c r="AM8126">
        <v>78.308200353212996</v>
      </c>
      <c r="AN8126">
        <v>1.00000004107757</v>
      </c>
    </row>
    <row r="8127" spans="1:40" x14ac:dyDescent="0.25">
      <c r="A8127" t="str">
        <f>"20190312154119079"</f>
        <v>20190312154119079</v>
      </c>
      <c r="B8127" t="str">
        <f>"1552376479074264"</f>
        <v>1552376479074264</v>
      </c>
      <c r="C8127" t="s">
        <v>40</v>
      </c>
      <c r="D8127">
        <v>4.4538390000000003</v>
      </c>
      <c r="E8127">
        <v>0.6547499</v>
      </c>
      <c r="F8127" t="s">
        <v>43</v>
      </c>
      <c r="G8127">
        <v>-310.26769999999999</v>
      </c>
      <c r="H8127">
        <v>-0.05</v>
      </c>
      <c r="I8127">
        <v>10.46532</v>
      </c>
      <c r="J8127">
        <v>-314.1669</v>
      </c>
      <c r="K8127">
        <v>1.0577479999999999</v>
      </c>
      <c r="L8127">
        <v>15.39587</v>
      </c>
      <c r="M8127">
        <v>0.92767180000000005</v>
      </c>
      <c r="N8127">
        <v>0</v>
      </c>
      <c r="O8127">
        <v>-0.37300699999999998</v>
      </c>
      <c r="P8127">
        <v>0.83189780000000002</v>
      </c>
      <c r="Q8127">
        <v>-2.1654420000000001E-2</v>
      </c>
      <c r="R8127">
        <v>-0.55450639999999995</v>
      </c>
      <c r="S8127">
        <v>1.9656979999999999</v>
      </c>
      <c r="T8127">
        <v>-0.54627169999999903</v>
      </c>
      <c r="U8127">
        <v>-2.4509280000000002</v>
      </c>
      <c r="V8127">
        <v>0.20405709999999999</v>
      </c>
      <c r="W8127">
        <v>-7.2573179999999996E-3</v>
      </c>
      <c r="X8127">
        <v>0.97893209999999997</v>
      </c>
      <c r="Y8127">
        <v>0.488589</v>
      </c>
      <c r="Z8127">
        <v>2.2593120000000001E-2</v>
      </c>
      <c r="AA8127">
        <v>0.87222149999999998</v>
      </c>
      <c r="AB8127">
        <v>19</v>
      </c>
      <c r="AC8127">
        <v>3.8992</v>
      </c>
      <c r="AD8127">
        <v>-1.107748</v>
      </c>
      <c r="AE8127">
        <v>-4.9305500000000002</v>
      </c>
      <c r="AF8127">
        <v>3.0259853389484102</v>
      </c>
      <c r="AG8127">
        <v>-1.107748</v>
      </c>
      <c r="AH8127">
        <v>5.2927357522098699</v>
      </c>
      <c r="AI8127">
        <v>100.298103168829</v>
      </c>
      <c r="AJ8127">
        <v>60.242349642519201</v>
      </c>
      <c r="AK8127">
        <v>6.1965106830986203</v>
      </c>
      <c r="AL8127">
        <v>90.415817336903501</v>
      </c>
      <c r="AM8127">
        <v>78.225377475825198</v>
      </c>
      <c r="AN8127">
        <v>1.00000001256768</v>
      </c>
    </row>
    <row r="8128" spans="1:40" x14ac:dyDescent="0.25">
      <c r="A8128" t="str">
        <f>"20190312154119089"</f>
        <v>20190312154119089</v>
      </c>
      <c r="B8128" t="str">
        <f>"1552376479084025"</f>
        <v>1552376479084025</v>
      </c>
      <c r="C8128" t="s">
        <v>40</v>
      </c>
      <c r="D8128">
        <v>4.4503919999999999</v>
      </c>
      <c r="E8128">
        <v>0.65645019999999998</v>
      </c>
      <c r="F8128" t="s">
        <v>43</v>
      </c>
      <c r="G8128">
        <v>-310.43610000000001</v>
      </c>
      <c r="H8128">
        <v>-0.05</v>
      </c>
      <c r="I8128">
        <v>9.8874359999999992</v>
      </c>
      <c r="J8128">
        <v>-314.0772</v>
      </c>
      <c r="K8128">
        <v>1.057599</v>
      </c>
      <c r="L8128">
        <v>15.353910000000001</v>
      </c>
      <c r="M8128">
        <v>0.9259172</v>
      </c>
      <c r="N8128">
        <v>0</v>
      </c>
      <c r="O8128">
        <v>-0.37734810000000002</v>
      </c>
      <c r="P8128">
        <v>0.82848159999999904</v>
      </c>
      <c r="Q8128">
        <v>-2.2566200000000002E-2</v>
      </c>
      <c r="R8128">
        <v>-0.55956189999999995</v>
      </c>
      <c r="S8128">
        <v>1.810425</v>
      </c>
      <c r="T8128">
        <v>-0.53755920000000001</v>
      </c>
      <c r="U8128">
        <v>-2.6730960000000001</v>
      </c>
      <c r="V8128">
        <v>0.20543120000000001</v>
      </c>
      <c r="W8128">
        <v>-8.3163059999999903E-3</v>
      </c>
      <c r="X8128">
        <v>0.97863619999999996</v>
      </c>
      <c r="Y8128">
        <v>0.55275019999999997</v>
      </c>
      <c r="Z8128">
        <v>1.6237390000000001E-2</v>
      </c>
      <c r="AA8128">
        <v>0.83318879999999995</v>
      </c>
      <c r="AB8128">
        <v>19</v>
      </c>
      <c r="AC8128">
        <v>3.64109999999999</v>
      </c>
      <c r="AD8128">
        <v>-1.107599</v>
      </c>
      <c r="AE8128">
        <v>-5.4664739999999998</v>
      </c>
      <c r="AF8128">
        <v>3.58608908380485</v>
      </c>
      <c r="AG8128">
        <v>-1.107599</v>
      </c>
      <c r="AH8128">
        <v>5.2846179837001603</v>
      </c>
      <c r="AI8128">
        <v>99.838857994202201</v>
      </c>
      <c r="AJ8128">
        <v>55.839575644342702</v>
      </c>
      <c r="AK8128">
        <v>6.4818205540906799</v>
      </c>
      <c r="AL8128">
        <v>90.476494739232905</v>
      </c>
      <c r="AM8128">
        <v>78.144841542816295</v>
      </c>
      <c r="AN8128">
        <v>0.999999975414682</v>
      </c>
    </row>
    <row r="8129" spans="1:40" x14ac:dyDescent="0.25">
      <c r="A8129" t="str">
        <f>"20190312154119101"</f>
        <v>20190312154119101</v>
      </c>
      <c r="B8129" t="str">
        <f>"1552376479094760"</f>
        <v>1552376479094760</v>
      </c>
      <c r="C8129" t="s">
        <v>40</v>
      </c>
      <c r="D8129">
        <v>4.4905520000000001</v>
      </c>
      <c r="E8129">
        <v>0.65658549999999904</v>
      </c>
      <c r="F8129" t="s">
        <v>43</v>
      </c>
      <c r="G8129">
        <v>-310.44400000000002</v>
      </c>
      <c r="H8129">
        <v>-0.05</v>
      </c>
      <c r="I8129">
        <v>9.8697510000000008</v>
      </c>
      <c r="J8129">
        <v>-313.99209999999999</v>
      </c>
      <c r="K8129">
        <v>1.0574619999999999</v>
      </c>
      <c r="L8129">
        <v>15.313689999999999</v>
      </c>
      <c r="M8129">
        <v>0.92422899999999997</v>
      </c>
      <c r="N8129">
        <v>0</v>
      </c>
      <c r="O8129">
        <v>-0.38146999999999998</v>
      </c>
      <c r="P8129">
        <v>0.82540159999999996</v>
      </c>
      <c r="Q8129">
        <v>-2.2961260000000001E-2</v>
      </c>
      <c r="R8129">
        <v>-0.56407890000000005</v>
      </c>
      <c r="S8129">
        <v>1.785736</v>
      </c>
      <c r="T8129">
        <v>-0.54437819999999904</v>
      </c>
      <c r="U8129">
        <v>-2.6954349999999998</v>
      </c>
      <c r="V8129">
        <v>0.20641570000000001</v>
      </c>
      <c r="W8129">
        <v>-8.8424530000000001E-3</v>
      </c>
      <c r="X8129">
        <v>0.97842439999999997</v>
      </c>
      <c r="Y8129">
        <v>0.55745619999999996</v>
      </c>
      <c r="Z8129">
        <v>1.671311E-2</v>
      </c>
      <c r="AA8129">
        <v>0.830038099999999</v>
      </c>
      <c r="AB8129">
        <v>19</v>
      </c>
      <c r="AC8129">
        <v>3.5480999999999701</v>
      </c>
      <c r="AD8129">
        <v>-1.1074619999999999</v>
      </c>
      <c r="AE8129">
        <v>-5.4439390000000003</v>
      </c>
      <c r="AF8129">
        <v>3.57464192222927</v>
      </c>
      <c r="AG8129">
        <v>-1.1074619999999999</v>
      </c>
      <c r="AH8129">
        <v>5.2055119091214799</v>
      </c>
      <c r="AI8129">
        <v>99.947282864947795</v>
      </c>
      <c r="AJ8129">
        <v>55.522487409371301</v>
      </c>
      <c r="AK8129">
        <v>6.41107566556569</v>
      </c>
      <c r="AL8129">
        <v>90.506641855926503</v>
      </c>
      <c r="AM8129">
        <v>78.087141708399301</v>
      </c>
      <c r="AN8129">
        <v>0.99999996834845295</v>
      </c>
    </row>
    <row r="8130" spans="1:40" x14ac:dyDescent="0.25">
      <c r="A8130" t="str">
        <f>"20190312154119116"</f>
        <v>20190312154119116</v>
      </c>
      <c r="B8130" t="str">
        <f>"1552376479104521"</f>
        <v>1552376479104521</v>
      </c>
      <c r="C8130" t="s">
        <v>40</v>
      </c>
      <c r="D8130">
        <v>4.4612150000000002</v>
      </c>
      <c r="E8130">
        <v>0.65640969999999998</v>
      </c>
      <c r="F8130" t="s">
        <v>43</v>
      </c>
      <c r="G8130">
        <v>-310.40120000000002</v>
      </c>
      <c r="H8130">
        <v>-0.05</v>
      </c>
      <c r="I8130">
        <v>9.8238830000000004</v>
      </c>
      <c r="J8130">
        <v>-313.87569999999999</v>
      </c>
      <c r="K8130">
        <v>1.0572979999999901</v>
      </c>
      <c r="L8130">
        <v>15.25806</v>
      </c>
      <c r="M8130">
        <v>0.92189089999999996</v>
      </c>
      <c r="N8130">
        <v>0</v>
      </c>
      <c r="O8130">
        <v>-0.38709349999999998</v>
      </c>
      <c r="P8130">
        <v>0.82111270000000003</v>
      </c>
      <c r="Q8130">
        <v>-2.3143650000000002E-2</v>
      </c>
      <c r="R8130">
        <v>-0.57029669999999999</v>
      </c>
      <c r="S8130">
        <v>1.7700499999999999</v>
      </c>
      <c r="T8130">
        <v>-0.5459001</v>
      </c>
      <c r="U8130">
        <v>-2.7060849999999999</v>
      </c>
      <c r="V8130">
        <v>0.20784369999999999</v>
      </c>
      <c r="W8130">
        <v>-9.196091E-3</v>
      </c>
      <c r="X8130">
        <v>0.97811879999999995</v>
      </c>
      <c r="Y8130">
        <v>0.55732209999999904</v>
      </c>
      <c r="Z8130">
        <v>1.7832540000000001E-2</v>
      </c>
      <c r="AA8130">
        <v>0.83010479999999998</v>
      </c>
      <c r="AB8130">
        <v>19</v>
      </c>
      <c r="AC8130">
        <v>3.4744999999999702</v>
      </c>
      <c r="AD8130">
        <v>-1.1072979999999999</v>
      </c>
      <c r="AE8130">
        <v>-5.434177</v>
      </c>
      <c r="AF8130">
        <v>3.5603369909091902</v>
      </c>
      <c r="AG8130">
        <v>-1.1072979999999999</v>
      </c>
      <c r="AH8130">
        <v>5.1554351999530601</v>
      </c>
      <c r="AI8130">
        <v>100.022607110479</v>
      </c>
      <c r="AJ8130">
        <v>55.371090939689502</v>
      </c>
      <c r="AK8130">
        <v>6.3624382472881704</v>
      </c>
      <c r="AL8130">
        <v>90.526904639947702</v>
      </c>
      <c r="AM8130">
        <v>78.003467518022006</v>
      </c>
      <c r="AN8130">
        <v>0.99999997931640405</v>
      </c>
    </row>
    <row r="8131" spans="1:40" x14ac:dyDescent="0.25">
      <c r="A8131" t="str">
        <f>"20190312154119132"</f>
        <v>20190312154119132</v>
      </c>
      <c r="B8131" t="str">
        <f>"1552376479124042"</f>
        <v>1552376479124042</v>
      </c>
      <c r="C8131" t="s">
        <v>40</v>
      </c>
      <c r="D8131">
        <v>4.4570530000000002</v>
      </c>
      <c r="E8131">
        <v>0.65652659999999996</v>
      </c>
      <c r="F8131" t="s">
        <v>43</v>
      </c>
      <c r="G8131">
        <v>-310.25279999999998</v>
      </c>
      <c r="H8131">
        <v>-0.05</v>
      </c>
      <c r="I8131">
        <v>9.6313630000000003</v>
      </c>
      <c r="J8131">
        <v>-313.75740000000002</v>
      </c>
      <c r="K8131">
        <v>1.0571440000000001</v>
      </c>
      <c r="L8131">
        <v>15.200379999999999</v>
      </c>
      <c r="M8131">
        <v>0.9194734</v>
      </c>
      <c r="N8131">
        <v>0</v>
      </c>
      <c r="O8131">
        <v>-0.39280809999999999</v>
      </c>
      <c r="P8131">
        <v>0.81647340000000002</v>
      </c>
      <c r="Q8131">
        <v>-2.361104E-2</v>
      </c>
      <c r="R8131">
        <v>-0.57690039999999998</v>
      </c>
      <c r="S8131">
        <v>1.750397</v>
      </c>
      <c r="T8131">
        <v>-0.53498599999999996</v>
      </c>
      <c r="U8131">
        <v>-2.7185060000000001</v>
      </c>
      <c r="V8131">
        <v>0.20966009999999999</v>
      </c>
      <c r="W8131">
        <v>-9.8311479999999996E-3</v>
      </c>
      <c r="X8131">
        <v>0.97772490000000001</v>
      </c>
      <c r="Y8131">
        <v>0.55828290000000003</v>
      </c>
      <c r="Z8131">
        <v>1.8446089999999998E-2</v>
      </c>
      <c r="AA8131">
        <v>0.82944560000000001</v>
      </c>
      <c r="AB8131">
        <v>19</v>
      </c>
      <c r="AC8131">
        <v>3.5046000000000301</v>
      </c>
      <c r="AD8131">
        <v>-1.1071439999999999</v>
      </c>
      <c r="AE8131">
        <v>-5.5690169999999899</v>
      </c>
      <c r="AF8131">
        <v>3.6413432257673599</v>
      </c>
      <c r="AG8131">
        <v>-1.1071439999999999</v>
      </c>
      <c r="AH8131">
        <v>5.2617077924281199</v>
      </c>
      <c r="AI8131">
        <v>99.816303202384205</v>
      </c>
      <c r="AJ8131">
        <v>55.3149880184192</v>
      </c>
      <c r="AK8131">
        <v>6.4938984606687997</v>
      </c>
      <c r="AL8131">
        <v>90.563292365330994</v>
      </c>
      <c r="AM8131">
        <v>77.896972187456697</v>
      </c>
      <c r="AN8131">
        <v>0.99999999454150801</v>
      </c>
    </row>
    <row r="8132" spans="1:40" x14ac:dyDescent="0.25">
      <c r="A8132" t="str">
        <f>"20190312154119147"</f>
        <v>20190312154119147</v>
      </c>
      <c r="B8132" t="str">
        <f>"1552376479134776"</f>
        <v>1552376479134776</v>
      </c>
      <c r="C8132" t="s">
        <v>40</v>
      </c>
      <c r="D8132">
        <v>4.4985099999999996</v>
      </c>
      <c r="E8132">
        <v>0.655999</v>
      </c>
      <c r="F8132" t="s">
        <v>43</v>
      </c>
      <c r="G8132">
        <v>-310.06119999999999</v>
      </c>
      <c r="H8132">
        <v>-0.05</v>
      </c>
      <c r="I8132">
        <v>9.3495179999999998</v>
      </c>
      <c r="J8132">
        <v>-313.64389999999997</v>
      </c>
      <c r="K8132">
        <v>1.0570120000000001</v>
      </c>
      <c r="L8132">
        <v>15.14423</v>
      </c>
      <c r="M8132">
        <v>0.91711469999999995</v>
      </c>
      <c r="N8132">
        <v>0</v>
      </c>
      <c r="O8132">
        <v>-0.39828960000000002</v>
      </c>
      <c r="P8132">
        <v>0.81264069999999899</v>
      </c>
      <c r="Q8132">
        <v>-2.407892E-2</v>
      </c>
      <c r="R8132">
        <v>-0.58226769999999906</v>
      </c>
      <c r="S8132">
        <v>1.7273860000000001</v>
      </c>
      <c r="T8132">
        <v>-0.51740719999999996</v>
      </c>
      <c r="U8132">
        <v>-2.7343139999999999</v>
      </c>
      <c r="V8132">
        <v>0.21026639999999999</v>
      </c>
      <c r="W8132">
        <v>-1.0435120000000001E-2</v>
      </c>
      <c r="X8132">
        <v>0.97758840000000002</v>
      </c>
      <c r="Y8132">
        <v>0.56065859999999901</v>
      </c>
      <c r="Z8132">
        <v>1.8599330000000001E-2</v>
      </c>
      <c r="AA8132">
        <v>0.82783819999999997</v>
      </c>
      <c r="AB8132">
        <v>19</v>
      </c>
      <c r="AC8132">
        <v>3.58269999999998</v>
      </c>
      <c r="AD8132">
        <v>-1.1070120000000001</v>
      </c>
      <c r="AE8132">
        <v>-5.7947119999999899</v>
      </c>
      <c r="AF8132">
        <v>3.7879672558356199</v>
      </c>
      <c r="AG8132">
        <v>-1.1070120000000001</v>
      </c>
      <c r="AH8132">
        <v>5.4505540867418301</v>
      </c>
      <c r="AI8132">
        <v>99.468634471159206</v>
      </c>
      <c r="AJ8132">
        <v>55.201889144679001</v>
      </c>
      <c r="AK8132">
        <v>6.7292429999164796</v>
      </c>
      <c r="AL8132">
        <v>90.597899206867297</v>
      </c>
      <c r="AM8132">
        <v>77.861364169943201</v>
      </c>
      <c r="AN8132">
        <v>0.99999996525646595</v>
      </c>
    </row>
    <row r="8133" spans="1:40" x14ac:dyDescent="0.25">
      <c r="A8133" t="str">
        <f>"20190312154119165"</f>
        <v>20190312154119165</v>
      </c>
      <c r="B8133" t="str">
        <f>"1552376479154297"</f>
        <v>1552376479154297</v>
      </c>
      <c r="C8133" t="s">
        <v>40</v>
      </c>
      <c r="D8133">
        <v>4.4585509999999999</v>
      </c>
      <c r="E8133">
        <v>0.65500290000000005</v>
      </c>
      <c r="F8133" t="s">
        <v>43</v>
      </c>
      <c r="G8133">
        <v>-309.93150000000003</v>
      </c>
      <c r="H8133">
        <v>-0.05</v>
      </c>
      <c r="I8133">
        <v>9.1948089999999993</v>
      </c>
      <c r="J8133">
        <v>-313.51080000000002</v>
      </c>
      <c r="K8133">
        <v>1.056867</v>
      </c>
      <c r="L8133">
        <v>15.07742</v>
      </c>
      <c r="M8133">
        <v>0.91430020000000001</v>
      </c>
      <c r="N8133">
        <v>0</v>
      </c>
      <c r="O8133">
        <v>-0.40471479999999999</v>
      </c>
      <c r="P8133">
        <v>0.80752299999999999</v>
      </c>
      <c r="Q8133">
        <v>-2.4440420000000001E-2</v>
      </c>
      <c r="R8133">
        <v>-0.5893292</v>
      </c>
      <c r="S8133">
        <v>1.711395</v>
      </c>
      <c r="T8133">
        <v>-0.51032639999999996</v>
      </c>
      <c r="U8133">
        <v>-2.742645</v>
      </c>
      <c r="V8133">
        <v>0.21192839999999999</v>
      </c>
      <c r="W8133">
        <v>-1.095932E-2</v>
      </c>
      <c r="X8133">
        <v>0.97722379999999998</v>
      </c>
      <c r="Y8133">
        <v>0.55958240000000004</v>
      </c>
      <c r="Z8133">
        <v>1.960019E-2</v>
      </c>
      <c r="AA8133">
        <v>0.82854289999999997</v>
      </c>
      <c r="AB8133">
        <v>18</v>
      </c>
      <c r="AC8133">
        <v>3.5792999999999799</v>
      </c>
      <c r="AD8133">
        <v>-1.106867</v>
      </c>
      <c r="AE8133">
        <v>-5.8826109999999998</v>
      </c>
      <c r="AF8133">
        <v>3.8313937096050301</v>
      </c>
      <c r="AG8133">
        <v>-1.106867</v>
      </c>
      <c r="AH8133">
        <v>5.5116614335845098</v>
      </c>
      <c r="AI8133">
        <v>99.363571756313803</v>
      </c>
      <c r="AJ8133">
        <v>55.195169214220201</v>
      </c>
      <c r="AK8133">
        <v>6.8031716186020796</v>
      </c>
      <c r="AL8133">
        <v>90.627935318502196</v>
      </c>
      <c r="AM8133">
        <v>77.763869060117798</v>
      </c>
      <c r="AN8133">
        <v>1.00000005435392</v>
      </c>
    </row>
    <row r="8134" spans="1:40" x14ac:dyDescent="0.25">
      <c r="A8134" t="str">
        <f>"20190312154119178"</f>
        <v>20190312154119178</v>
      </c>
      <c r="B8134" t="str">
        <f>"1552376479174792"</f>
        <v>1552376479174792</v>
      </c>
      <c r="C8134" t="s">
        <v>40</v>
      </c>
      <c r="D8134">
        <v>4.4743659999999998</v>
      </c>
      <c r="E8134">
        <v>0.65376389999999995</v>
      </c>
      <c r="F8134" t="s">
        <v>43</v>
      </c>
      <c r="G8134">
        <v>-309.7242</v>
      </c>
      <c r="H8134">
        <v>-0.05</v>
      </c>
      <c r="I8134">
        <v>8.919556</v>
      </c>
      <c r="J8134">
        <v>-313.41019999999997</v>
      </c>
      <c r="K8134">
        <v>1.056764</v>
      </c>
      <c r="L8134">
        <v>15.026249999999999</v>
      </c>
      <c r="M8134">
        <v>0.91213670000000002</v>
      </c>
      <c r="N8134">
        <v>0</v>
      </c>
      <c r="O8134">
        <v>-0.40957139999999997</v>
      </c>
      <c r="P8134">
        <v>0.8037145</v>
      </c>
      <c r="Q8134">
        <v>-2.445251E-2</v>
      </c>
      <c r="R8134">
        <v>-0.5945125</v>
      </c>
      <c r="S8134">
        <v>1.6920170000000001</v>
      </c>
      <c r="T8134">
        <v>-0.49458730000000001</v>
      </c>
      <c r="U8134">
        <v>-2.7515559999999999</v>
      </c>
      <c r="V8134">
        <v>0.21301790000000001</v>
      </c>
      <c r="W8134">
        <v>-1.108513E-2</v>
      </c>
      <c r="X8134">
        <v>0.9769854</v>
      </c>
      <c r="Y8134">
        <v>0.56074849999999998</v>
      </c>
      <c r="Z8134">
        <v>1.9750779999999999E-2</v>
      </c>
      <c r="AA8134">
        <v>0.827750599999999</v>
      </c>
      <c r="AB8134">
        <v>18</v>
      </c>
      <c r="AC8134">
        <v>3.6859999999999702</v>
      </c>
      <c r="AD8134">
        <v>-1.1067639999999901</v>
      </c>
      <c r="AE8134">
        <v>-6.1066939999999903</v>
      </c>
      <c r="AF8134">
        <v>3.96551112846667</v>
      </c>
      <c r="AG8134">
        <v>-1.1067639999999901</v>
      </c>
      <c r="AH8134">
        <v>5.7261585380065796</v>
      </c>
      <c r="AI8134">
        <v>99.028749269943106</v>
      </c>
      <c r="AJ8134">
        <v>55.296409022566003</v>
      </c>
      <c r="AK8134">
        <v>7.0525950304887601</v>
      </c>
      <c r="AL8134">
        <v>90.635144179671698</v>
      </c>
      <c r="AM8134">
        <v>77.6999645131976</v>
      </c>
      <c r="AN8134">
        <v>0.99999998882034302</v>
      </c>
    </row>
    <row r="8135" spans="1:40" x14ac:dyDescent="0.25">
      <c r="A8135" t="str">
        <f>"20190312154119191"</f>
        <v>20190312154119191</v>
      </c>
      <c r="B8135" t="str">
        <f>"1552376479184553"</f>
        <v>1552376479184553</v>
      </c>
      <c r="C8135" t="s">
        <v>40</v>
      </c>
      <c r="D8135">
        <v>4.5133369999999999</v>
      </c>
      <c r="E8135">
        <v>0.65323140000000002</v>
      </c>
      <c r="F8135" t="s">
        <v>43</v>
      </c>
      <c r="G8135">
        <v>-309.59140000000002</v>
      </c>
      <c r="H8135">
        <v>-0.05</v>
      </c>
      <c r="I8135">
        <v>8.7662049999999994</v>
      </c>
      <c r="J8135">
        <v>-313.31360000000001</v>
      </c>
      <c r="K8135">
        <v>1.056683</v>
      </c>
      <c r="L8135">
        <v>14.976229999999999</v>
      </c>
      <c r="M8135">
        <v>0.91002430000000001</v>
      </c>
      <c r="N8135">
        <v>0</v>
      </c>
      <c r="O8135">
        <v>-0.41424749999999999</v>
      </c>
      <c r="P8135">
        <v>0.7999465</v>
      </c>
      <c r="Q8135">
        <v>-2.4492710000000001E-2</v>
      </c>
      <c r="R8135">
        <v>-0.59957159999999998</v>
      </c>
      <c r="S8135">
        <v>1.6803279999999901</v>
      </c>
      <c r="T8135">
        <v>-0.48699340000000002</v>
      </c>
      <c r="U8135">
        <v>-2.7545169999999999</v>
      </c>
      <c r="V8135">
        <v>0.214167</v>
      </c>
      <c r="W8135">
        <v>-1.122707E-2</v>
      </c>
      <c r="X8135">
        <v>0.97673259999999995</v>
      </c>
      <c r="Y8135">
        <v>0.55955669999999902</v>
      </c>
      <c r="Z8135">
        <v>2.0377920000000001E-2</v>
      </c>
      <c r="AA8135">
        <v>0.82854150000000004</v>
      </c>
      <c r="AB8135">
        <v>18</v>
      </c>
      <c r="AC8135">
        <v>3.72219999999998</v>
      </c>
      <c r="AD8135">
        <v>-1.1066830000000001</v>
      </c>
      <c r="AE8135">
        <v>-6.2100249999999901</v>
      </c>
      <c r="AF8135">
        <v>4.01605221049509</v>
      </c>
      <c r="AG8135">
        <v>-1.1066830000000001</v>
      </c>
      <c r="AH8135">
        <v>5.8244537811145802</v>
      </c>
      <c r="AI8135">
        <v>98.890492843490193</v>
      </c>
      <c r="AJ8135">
        <v>55.413127893271898</v>
      </c>
      <c r="AK8135">
        <v>7.1608438377227204</v>
      </c>
      <c r="AL8135">
        <v>90.643277202123798</v>
      </c>
      <c r="AM8135">
        <v>77.632547347666303</v>
      </c>
      <c r="AN8135">
        <v>1.0000000614462701</v>
      </c>
    </row>
    <row r="8136" spans="1:40" x14ac:dyDescent="0.25">
      <c r="A8136" t="str">
        <f>"20190312154119209"</f>
        <v>20190312154119209</v>
      </c>
      <c r="B8136" t="str">
        <f>"1552376479204076"</f>
        <v>1552376479204076</v>
      </c>
      <c r="C8136" t="s">
        <v>40</v>
      </c>
      <c r="D8136">
        <v>4.512194</v>
      </c>
      <c r="E8136">
        <v>0.65205199999999996</v>
      </c>
      <c r="F8136" t="s">
        <v>43</v>
      </c>
      <c r="G8136">
        <v>-309.50389999999999</v>
      </c>
      <c r="H8136">
        <v>-0.05</v>
      </c>
      <c r="I8136">
        <v>8.6607509999999994</v>
      </c>
      <c r="J8136">
        <v>-313.18060000000003</v>
      </c>
      <c r="K8136">
        <v>1.056589</v>
      </c>
      <c r="L8136">
        <v>14.906459999999999</v>
      </c>
      <c r="M8136">
        <v>0.90706799999999999</v>
      </c>
      <c r="N8136">
        <v>0</v>
      </c>
      <c r="O8136">
        <v>-0.42068620000000001</v>
      </c>
      <c r="P8136">
        <v>0.79424510000000004</v>
      </c>
      <c r="Q8136">
        <v>-2.3636130000000002E-2</v>
      </c>
      <c r="R8136">
        <v>-0.60713819999999996</v>
      </c>
      <c r="S8136">
        <v>1.6657409999999999</v>
      </c>
      <c r="T8136">
        <v>-0.48388609999999999</v>
      </c>
      <c r="U8136">
        <v>-2.7613829999999999</v>
      </c>
      <c r="V8136">
        <v>0.21651380000000001</v>
      </c>
      <c r="W8136">
        <v>-1.051238E-2</v>
      </c>
      <c r="X8136">
        <v>0.97622299999999995</v>
      </c>
      <c r="Y8136">
        <v>0.55789609999999901</v>
      </c>
      <c r="Z8136">
        <v>2.1502250000000001E-2</v>
      </c>
      <c r="AA8136">
        <v>0.82963220000000004</v>
      </c>
      <c r="AB8136">
        <v>18</v>
      </c>
      <c r="AC8136">
        <v>3.6767000000000398</v>
      </c>
      <c r="AD8136">
        <v>-1.106589</v>
      </c>
      <c r="AE8136">
        <v>-6.2457089999999997</v>
      </c>
      <c r="AF8136">
        <v>4.0252240110882802</v>
      </c>
      <c r="AG8136">
        <v>-1.106589</v>
      </c>
      <c r="AH8136">
        <v>5.8273966671879496</v>
      </c>
      <c r="AI8136">
        <v>98.880323418290402</v>
      </c>
      <c r="AJ8136">
        <v>55.365557305068002</v>
      </c>
      <c r="AK8136">
        <v>7.1683693732337703</v>
      </c>
      <c r="AL8136">
        <v>90.602326076309893</v>
      </c>
      <c r="AM8136">
        <v>77.494944560701001</v>
      </c>
      <c r="AN8136">
        <v>1.0000000407263501</v>
      </c>
    </row>
    <row r="8137" spans="1:40" x14ac:dyDescent="0.25">
      <c r="A8137" t="str">
        <f>"20190312154119221"</f>
        <v>20190312154119221</v>
      </c>
      <c r="B8137" t="str">
        <f>"1552376479214809"</f>
        <v>1552376479214809</v>
      </c>
      <c r="C8137" t="s">
        <v>40</v>
      </c>
      <c r="D8137">
        <v>4.5902699999999896</v>
      </c>
      <c r="E8137">
        <v>0.65143329999999999</v>
      </c>
      <c r="F8137" t="s">
        <v>43</v>
      </c>
      <c r="G8137">
        <v>-309.48919999999998</v>
      </c>
      <c r="H8137">
        <v>-0.05</v>
      </c>
      <c r="I8137">
        <v>8.6963349999999995</v>
      </c>
      <c r="J8137">
        <v>-313.09359999999998</v>
      </c>
      <c r="K8137">
        <v>1.0565359999999999</v>
      </c>
      <c r="L8137">
        <v>14.86026</v>
      </c>
      <c r="M8137">
        <v>0.90510210000000002</v>
      </c>
      <c r="N8137">
        <v>0</v>
      </c>
      <c r="O8137">
        <v>-0.42490169999999999</v>
      </c>
      <c r="P8137">
        <v>0.79067180000000004</v>
      </c>
      <c r="Q8137">
        <v>-2.3087440000000001E-2</v>
      </c>
      <c r="R8137">
        <v>-0.61180469999999998</v>
      </c>
      <c r="S8137">
        <v>1.6458740000000001</v>
      </c>
      <c r="T8137">
        <v>-0.49338989999999999</v>
      </c>
      <c r="U8137">
        <v>-2.7688899999999999</v>
      </c>
      <c r="V8137">
        <v>0.2177193</v>
      </c>
      <c r="W8137">
        <v>-1.004644E-2</v>
      </c>
      <c r="X8137">
        <v>0.97595969999999999</v>
      </c>
      <c r="Y8137">
        <v>0.55937219999999999</v>
      </c>
      <c r="Z8137">
        <v>2.25431E-2</v>
      </c>
      <c r="AA8137">
        <v>0.82861010000000002</v>
      </c>
      <c r="AB8137">
        <v>18</v>
      </c>
      <c r="AC8137">
        <v>3.6043999999999898</v>
      </c>
      <c r="AD8137">
        <v>-1.106536</v>
      </c>
      <c r="AE8137">
        <v>-6.1639249999999901</v>
      </c>
      <c r="AF8137">
        <v>3.95303697589658</v>
      </c>
      <c r="AG8137">
        <v>-1.106536</v>
      </c>
      <c r="AH8137">
        <v>5.7441968072026404</v>
      </c>
      <c r="AI8137">
        <v>99.017042220178297</v>
      </c>
      <c r="AJ8137">
        <v>55.465058713209501</v>
      </c>
      <c r="AK8137">
        <v>7.0602209747272502</v>
      </c>
      <c r="AL8137">
        <v>90.575628305875298</v>
      </c>
      <c r="AM8137">
        <v>77.424242963714605</v>
      </c>
      <c r="AN8137">
        <v>0.99999998028662596</v>
      </c>
    </row>
    <row r="8138" spans="1:40" x14ac:dyDescent="0.25">
      <c r="A8138" t="str">
        <f>"20190312154119231"</f>
        <v>20190312154119231</v>
      </c>
      <c r="B8138" t="str">
        <f>"1552376479224569"</f>
        <v>1552376479224569</v>
      </c>
      <c r="C8138" t="s">
        <v>40</v>
      </c>
      <c r="D8138">
        <v>4.5164179999999998</v>
      </c>
      <c r="E8138">
        <v>0.65077410000000002</v>
      </c>
      <c r="F8138" t="s">
        <v>43</v>
      </c>
      <c r="G8138">
        <v>-309.4076</v>
      </c>
      <c r="H8138">
        <v>-0.05</v>
      </c>
      <c r="I8138">
        <v>8.5976409999999994</v>
      </c>
      <c r="J8138">
        <v>-313.01299999999998</v>
      </c>
      <c r="K8138">
        <v>1.0564929999999999</v>
      </c>
      <c r="L8138">
        <v>14.816890000000001</v>
      </c>
      <c r="M8138">
        <v>0.90325690000000003</v>
      </c>
      <c r="N8138">
        <v>0</v>
      </c>
      <c r="O8138">
        <v>-0.42881249999999999</v>
      </c>
      <c r="P8138">
        <v>0.78734799999999905</v>
      </c>
      <c r="Q8138">
        <v>-2.2331110000000001E-2</v>
      </c>
      <c r="R8138">
        <v>-0.61610410000000004</v>
      </c>
      <c r="S8138">
        <v>1.6330260000000001</v>
      </c>
      <c r="T8138">
        <v>-0.49023630000000001</v>
      </c>
      <c r="U8138">
        <v>-2.7745669999999998</v>
      </c>
      <c r="V8138">
        <v>0.2188145</v>
      </c>
      <c r="W8138">
        <v>-9.3614549999999994E-3</v>
      </c>
      <c r="X8138">
        <v>0.97572150000000002</v>
      </c>
      <c r="Y8138">
        <v>0.55943039999999999</v>
      </c>
      <c r="Z8138">
        <v>2.3083469999999998E-2</v>
      </c>
      <c r="AA8138">
        <v>0.82855590000000001</v>
      </c>
      <c r="AB8138">
        <v>18</v>
      </c>
      <c r="AC8138">
        <v>3.6053999999999702</v>
      </c>
      <c r="AD8138">
        <v>-1.1064929999999999</v>
      </c>
      <c r="AE8138">
        <v>-6.2192489999999898</v>
      </c>
      <c r="AF8138">
        <v>3.9778015834023202</v>
      </c>
      <c r="AG8138">
        <v>-1.1064929999999999</v>
      </c>
      <c r="AH8138">
        <v>5.78711992074326</v>
      </c>
      <c r="AI8138">
        <v>98.954299960812094</v>
      </c>
      <c r="AJ8138">
        <v>55.497147264802599</v>
      </c>
      <c r="AK8138">
        <v>7.1090076081708098</v>
      </c>
      <c r="AL8138">
        <v>90.5363797316855</v>
      </c>
      <c r="AM8138">
        <v>77.360023687767907</v>
      </c>
      <c r="AN8138">
        <v>0.99999993390610598</v>
      </c>
    </row>
    <row r="8139" spans="1:40" x14ac:dyDescent="0.25">
      <c r="A8139" t="str">
        <f>"20190312154119243"</f>
        <v>20190312154119243</v>
      </c>
      <c r="B8139" t="str">
        <f>"1552376479234329"</f>
        <v>1552376479234329</v>
      </c>
      <c r="C8139" t="s">
        <v>40</v>
      </c>
      <c r="D8139">
        <v>4.5438450000000001</v>
      </c>
      <c r="E8139">
        <v>0.65102349999999998</v>
      </c>
      <c r="F8139" t="s">
        <v>43</v>
      </c>
      <c r="G8139">
        <v>-309.35070000000002</v>
      </c>
      <c r="H8139">
        <v>-0.05</v>
      </c>
      <c r="I8139">
        <v>8.5391390000000005</v>
      </c>
      <c r="J8139">
        <v>-312.93220000000002</v>
      </c>
      <c r="K8139">
        <v>1.0564530000000001</v>
      </c>
      <c r="L8139">
        <v>14.77298</v>
      </c>
      <c r="M8139">
        <v>0.90138479999999999</v>
      </c>
      <c r="N8139">
        <v>0</v>
      </c>
      <c r="O8139">
        <v>-0.43273620000000002</v>
      </c>
      <c r="P8139">
        <v>0.78404629999999997</v>
      </c>
      <c r="Q8139">
        <v>-2.1517270000000002E-2</v>
      </c>
      <c r="R8139">
        <v>-0.62032929999999997</v>
      </c>
      <c r="S8139">
        <v>1.621429</v>
      </c>
      <c r="T8139">
        <v>-0.48988890000000002</v>
      </c>
      <c r="U8139">
        <v>-2.7794189999999999</v>
      </c>
      <c r="V8139">
        <v>0.2198174</v>
      </c>
      <c r="W8139">
        <v>-8.6144080000000005E-3</v>
      </c>
      <c r="X8139">
        <v>0.97550300000000001</v>
      </c>
      <c r="Y8139">
        <v>0.55907379999999995</v>
      </c>
      <c r="Z8139">
        <v>2.3790849999999999E-2</v>
      </c>
      <c r="AA8139">
        <v>0.82877649999999903</v>
      </c>
      <c r="AB8139">
        <v>18</v>
      </c>
      <c r="AC8139">
        <v>3.5815000000000001</v>
      </c>
      <c r="AD8139">
        <v>-1.1064529999999999</v>
      </c>
      <c r="AE8139">
        <v>-6.2338409999999902</v>
      </c>
      <c r="AF8139">
        <v>3.9755806444816599</v>
      </c>
      <c r="AG8139">
        <v>-1.1064529999999999</v>
      </c>
      <c r="AH8139">
        <v>5.78951801323411</v>
      </c>
      <c r="AI8139">
        <v>98.953079749363596</v>
      </c>
      <c r="AJ8139">
        <v>55.5231610379561</v>
      </c>
      <c r="AK8139">
        <v>7.1097115643005102</v>
      </c>
      <c r="AL8139">
        <v>90.4935753259807</v>
      </c>
      <c r="AM8139">
        <v>77.301212700111407</v>
      </c>
      <c r="AN8139">
        <v>1.0000000001884699</v>
      </c>
    </row>
    <row r="8140" spans="1:40" x14ac:dyDescent="0.25">
      <c r="A8140" t="str">
        <f>"20190312154119254"</f>
        <v>20190312154119254</v>
      </c>
      <c r="B8140" t="str">
        <f>"1552376479244090"</f>
        <v>1552376479244090</v>
      </c>
      <c r="C8140" t="s">
        <v>40</v>
      </c>
      <c r="D8140">
        <v>4.4330290000000003</v>
      </c>
      <c r="E8140">
        <v>0.65102349999999998</v>
      </c>
      <c r="F8140" t="s">
        <v>43</v>
      </c>
      <c r="G8140">
        <v>-309.3143</v>
      </c>
      <c r="H8140">
        <v>-0.05</v>
      </c>
      <c r="I8140">
        <v>8.4869690000000002</v>
      </c>
      <c r="J8140">
        <v>-312.84500000000003</v>
      </c>
      <c r="K8140">
        <v>1.0564119999999999</v>
      </c>
      <c r="L8140">
        <v>14.72519</v>
      </c>
      <c r="M8140">
        <v>0.89934009999999998</v>
      </c>
      <c r="N8140">
        <v>0</v>
      </c>
      <c r="O8140">
        <v>-0.43697160000000002</v>
      </c>
      <c r="P8140">
        <v>0.78049829999999998</v>
      </c>
      <c r="Q8140">
        <v>-2.0556390000000001E-2</v>
      </c>
      <c r="R8140">
        <v>-0.62481969999999898</v>
      </c>
      <c r="S8140">
        <v>1.605621</v>
      </c>
      <c r="T8140">
        <v>-0.4910487</v>
      </c>
      <c r="U8140">
        <v>-2.7897639999999999</v>
      </c>
      <c r="V8140">
        <v>0.22082660000000001</v>
      </c>
      <c r="W8140">
        <v>-7.7210930000000001E-3</v>
      </c>
      <c r="X8140">
        <v>0.97528250000000005</v>
      </c>
      <c r="Y8140">
        <v>0.56005340000000003</v>
      </c>
      <c r="Z8140">
        <v>2.4486999999999998E-2</v>
      </c>
      <c r="AA8140">
        <v>0.82809449999999996</v>
      </c>
      <c r="AB8140">
        <v>18</v>
      </c>
      <c r="AC8140">
        <v>3.5307000000000199</v>
      </c>
      <c r="AD8140">
        <v>-1.106412</v>
      </c>
      <c r="AE8140">
        <v>-6.2382209999999896</v>
      </c>
      <c r="AF8140">
        <v>3.97329836247728</v>
      </c>
      <c r="AG8140">
        <v>-1.106412</v>
      </c>
      <c r="AH8140">
        <v>5.76460276857651</v>
      </c>
      <c r="AI8140">
        <v>98.980201649361405</v>
      </c>
      <c r="AJ8140">
        <v>55.423137082997698</v>
      </c>
      <c r="AK8140">
        <v>7.0881515552708496</v>
      </c>
      <c r="AL8140">
        <v>90.442390447174304</v>
      </c>
      <c r="AM8140">
        <v>77.242025203566101</v>
      </c>
      <c r="AN8140">
        <v>0.99999997867546198</v>
      </c>
    </row>
    <row r="8141" spans="1:40" x14ac:dyDescent="0.25">
      <c r="A8141" t="str">
        <f>"20190312154119266"</f>
        <v>20190312154119266</v>
      </c>
      <c r="B8141" t="str">
        <f>"1552376479254824"</f>
        <v>1552376479254824</v>
      </c>
      <c r="C8141" t="s">
        <v>40</v>
      </c>
      <c r="D8141">
        <v>4.6584089999999998</v>
      </c>
      <c r="E8141">
        <v>0.65432919999999895</v>
      </c>
      <c r="F8141" t="s">
        <v>43</v>
      </c>
      <c r="G8141">
        <v>-309.2396</v>
      </c>
      <c r="H8141">
        <v>-0.05</v>
      </c>
      <c r="I8141">
        <v>8.3786769999999997</v>
      </c>
      <c r="J8141">
        <v>-312.76280000000003</v>
      </c>
      <c r="K8141">
        <v>1.056381</v>
      </c>
      <c r="L8141">
        <v>14.679410000000001</v>
      </c>
      <c r="M8141">
        <v>0.897385399999999</v>
      </c>
      <c r="N8141">
        <v>0</v>
      </c>
      <c r="O8141">
        <v>-0.44097409999999998</v>
      </c>
      <c r="P8141">
        <v>0.77696940000000003</v>
      </c>
      <c r="Q8141">
        <v>-1.9804169999999999E-2</v>
      </c>
      <c r="R8141">
        <v>-0.62922709999999904</v>
      </c>
      <c r="S8141">
        <v>1.5901179999999999</v>
      </c>
      <c r="T8141">
        <v>-0.48796250000000002</v>
      </c>
      <c r="U8141">
        <v>-2.7990110000000001</v>
      </c>
      <c r="V8141">
        <v>0.222</v>
      </c>
      <c r="W8141">
        <v>-7.0313110000000002E-3</v>
      </c>
      <c r="X8141">
        <v>0.97502129999999998</v>
      </c>
      <c r="Y8141">
        <v>0.56104989999999999</v>
      </c>
      <c r="Z8141">
        <v>2.493604E-2</v>
      </c>
      <c r="AA8141">
        <v>0.82740630000000004</v>
      </c>
      <c r="AB8141">
        <v>18</v>
      </c>
      <c r="AC8141">
        <v>3.5232000000000299</v>
      </c>
      <c r="AD8141">
        <v>-1.1063810000000001</v>
      </c>
      <c r="AE8141">
        <v>-6.3007330000000001</v>
      </c>
      <c r="AF8141">
        <v>4.0069208502885001</v>
      </c>
      <c r="AG8141">
        <v>-1.1063810000000001</v>
      </c>
      <c r="AH8141">
        <v>5.8045013530243903</v>
      </c>
      <c r="AI8141">
        <v>98.914898884896203</v>
      </c>
      <c r="AJ8141">
        <v>55.382189577615897</v>
      </c>
      <c r="AK8141">
        <v>7.1394488285090798</v>
      </c>
      <c r="AL8141">
        <v>90.402867769454701</v>
      </c>
      <c r="AM8141">
        <v>77.173147524929803</v>
      </c>
      <c r="AN8141">
        <v>0.99999998739403395</v>
      </c>
    </row>
    <row r="8142" spans="1:40" x14ac:dyDescent="0.25">
      <c r="A8142" t="str">
        <f>"20190312154119278"</f>
        <v>20190312154119278</v>
      </c>
      <c r="B8142" t="str">
        <f>"1552376479274345"</f>
        <v>1552376479274345</v>
      </c>
      <c r="C8142" t="s">
        <v>40</v>
      </c>
      <c r="D8142">
        <v>4.4116439999999999</v>
      </c>
      <c r="E8142">
        <v>0.65830789999999995</v>
      </c>
      <c r="F8142" t="s">
        <v>43</v>
      </c>
      <c r="G8142">
        <v>-309.15159999999997</v>
      </c>
      <c r="H8142">
        <v>-0.05</v>
      </c>
      <c r="I8142">
        <v>8.1230320000000003</v>
      </c>
      <c r="J8142">
        <v>-312.67570000000001</v>
      </c>
      <c r="K8142">
        <v>1.0563499999999999</v>
      </c>
      <c r="L8142">
        <v>14.630710000000001</v>
      </c>
      <c r="M8142">
        <v>0.89529380000000003</v>
      </c>
      <c r="N8142">
        <v>0</v>
      </c>
      <c r="O8142">
        <v>-0.44520700000000002</v>
      </c>
      <c r="P8142">
        <v>0.77336099999999997</v>
      </c>
      <c r="Q8142">
        <v>-1.9120620000000001E-2</v>
      </c>
      <c r="R8142">
        <v>-0.6336775</v>
      </c>
      <c r="S8142">
        <v>1.5580750000000001</v>
      </c>
      <c r="T8142">
        <v>-0.47736070000000003</v>
      </c>
      <c r="U8142">
        <v>-2.828827</v>
      </c>
      <c r="V8142">
        <v>0.22299289999999999</v>
      </c>
      <c r="W8142">
        <v>-6.4085089999999997E-3</v>
      </c>
      <c r="X8142">
        <v>0.97479899999999997</v>
      </c>
      <c r="Y8142">
        <v>0.56807079999999999</v>
      </c>
      <c r="Z8142">
        <v>2.4426409999999999E-2</v>
      </c>
      <c r="AA8142">
        <v>0.82261709999999999</v>
      </c>
      <c r="AB8142">
        <v>18</v>
      </c>
      <c r="AC8142">
        <v>3.52410000000003</v>
      </c>
      <c r="AD8142">
        <v>-1.1063499999999999</v>
      </c>
      <c r="AE8142">
        <v>-6.5076780000000003</v>
      </c>
      <c r="AF8142">
        <v>4.1647638244832699</v>
      </c>
      <c r="AG8142">
        <v>-1.1063499999999999</v>
      </c>
      <c r="AH8142">
        <v>5.9207736892261904</v>
      </c>
      <c r="AI8142">
        <v>98.689571809264805</v>
      </c>
      <c r="AJ8142">
        <v>54.8768533994755</v>
      </c>
      <c r="AK8142">
        <v>7.3228975901112898</v>
      </c>
      <c r="AL8142">
        <v>90.367183033321396</v>
      </c>
      <c r="AM8142">
        <v>77.114849327867503</v>
      </c>
      <c r="AN8142">
        <v>0.99999999641950599</v>
      </c>
    </row>
    <row r="8143" spans="1:40" x14ac:dyDescent="0.25">
      <c r="A8143" t="str">
        <f>"20190312154119298"</f>
        <v>20190312154119298</v>
      </c>
      <c r="B8143" t="str">
        <f>"1552376479294842"</f>
        <v>1552376479294842</v>
      </c>
      <c r="C8143" t="s">
        <v>40</v>
      </c>
      <c r="D8143">
        <v>4.3957519999999999</v>
      </c>
      <c r="E8143">
        <v>0.66135940000000004</v>
      </c>
      <c r="F8143" t="s">
        <v>43</v>
      </c>
      <c r="G8143">
        <v>-309.10419999999999</v>
      </c>
      <c r="H8143">
        <v>-0.05</v>
      </c>
      <c r="I8143">
        <v>7.9138339999999996</v>
      </c>
      <c r="J8143">
        <v>-312.53300000000002</v>
      </c>
      <c r="K8143">
        <v>1.0563070000000001</v>
      </c>
      <c r="L8143">
        <v>14.549440000000001</v>
      </c>
      <c r="M8143">
        <v>0.89180530000000002</v>
      </c>
      <c r="N8143">
        <v>0</v>
      </c>
      <c r="O8143">
        <v>-0.45215680000000003</v>
      </c>
      <c r="P8143">
        <v>0.76725089999999996</v>
      </c>
      <c r="Q8143">
        <v>-1.7916290000000001E-2</v>
      </c>
      <c r="R8143">
        <v>-0.64109649999999996</v>
      </c>
      <c r="S8143">
        <v>1.5220640000000001</v>
      </c>
      <c r="T8143">
        <v>-0.47148600000000002</v>
      </c>
      <c r="U8143">
        <v>-2.8624879999999999</v>
      </c>
      <c r="V8143">
        <v>0.22479869999999999</v>
      </c>
      <c r="W8143">
        <v>-5.2979480000000002E-3</v>
      </c>
      <c r="X8143">
        <v>0.9743908</v>
      </c>
      <c r="Y8143">
        <v>0.57382789999999995</v>
      </c>
      <c r="Z8143">
        <v>2.4702370000000001E-2</v>
      </c>
      <c r="AA8143">
        <v>0.81860330000000003</v>
      </c>
      <c r="AB8143">
        <v>18</v>
      </c>
      <c r="AC8143">
        <v>3.4288000000000198</v>
      </c>
      <c r="AD8143">
        <v>-1.1063069999999999</v>
      </c>
      <c r="AE8143">
        <v>-6.6356059999999903</v>
      </c>
      <c r="AF8143">
        <v>4.2740646990929596</v>
      </c>
      <c r="AG8143">
        <v>-1.1063069999999999</v>
      </c>
      <c r="AH8143">
        <v>5.9288056985945996</v>
      </c>
      <c r="AI8143">
        <v>98.607333579886998</v>
      </c>
      <c r="AJ8143">
        <v>54.212238398693401</v>
      </c>
      <c r="AK8143">
        <v>7.39204175055644</v>
      </c>
      <c r="AL8143">
        <v>90.303551487362896</v>
      </c>
      <c r="AM8143">
        <v>77.0087729047723</v>
      </c>
      <c r="AN8143">
        <v>0.99999997744966995</v>
      </c>
    </row>
    <row r="8144" spans="1:40" x14ac:dyDescent="0.25">
      <c r="A8144" t="str">
        <f>"20190312154119309"</f>
        <v>20190312154119309</v>
      </c>
      <c r="B8144" t="str">
        <f>"1552376479304601"</f>
        <v>1552376479304601</v>
      </c>
      <c r="C8144" t="s">
        <v>40</v>
      </c>
      <c r="D8144">
        <v>4.4158059999999999</v>
      </c>
      <c r="E8144">
        <v>0.66264219999999996</v>
      </c>
      <c r="F8144" t="s">
        <v>43</v>
      </c>
      <c r="G8144">
        <v>-309.03649999999999</v>
      </c>
      <c r="H8144">
        <v>-0.05</v>
      </c>
      <c r="I8144">
        <v>7.7058259999999903</v>
      </c>
      <c r="J8144">
        <v>-312.45119999999997</v>
      </c>
      <c r="K8144">
        <v>1.0562929999999999</v>
      </c>
      <c r="L8144">
        <v>14.502039999999999</v>
      </c>
      <c r="M8144">
        <v>0.8897718</v>
      </c>
      <c r="N8144">
        <v>0</v>
      </c>
      <c r="O8144">
        <v>-0.45614769999999999</v>
      </c>
      <c r="P8144">
        <v>0.7638528</v>
      </c>
      <c r="Q8144">
        <v>-1.762151E-2</v>
      </c>
      <c r="R8144">
        <v>-0.64515040000000001</v>
      </c>
      <c r="S8144">
        <v>1.479492</v>
      </c>
      <c r="T8144">
        <v>-0.46811330000000001</v>
      </c>
      <c r="U8144">
        <v>-2.8957519999999999</v>
      </c>
      <c r="V8144">
        <v>0.2255926</v>
      </c>
      <c r="W8144">
        <v>-5.0493420000000001E-3</v>
      </c>
      <c r="X8144">
        <v>0.97420870000000004</v>
      </c>
      <c r="Y8144">
        <v>0.58348269999999902</v>
      </c>
      <c r="Z8144">
        <v>2.428719E-2</v>
      </c>
      <c r="AA8144">
        <v>0.81176230000000005</v>
      </c>
      <c r="AB8144">
        <v>18</v>
      </c>
      <c r="AC8144">
        <v>3.4146999999999799</v>
      </c>
      <c r="AD8144">
        <v>-1.106293</v>
      </c>
      <c r="AE8144">
        <v>-6.796214</v>
      </c>
      <c r="AF8144">
        <v>4.3969753321390899</v>
      </c>
      <c r="AG8144">
        <v>-1.106293</v>
      </c>
      <c r="AH8144">
        <v>6.0119119620729604</v>
      </c>
      <c r="AI8144">
        <v>98.448406073728407</v>
      </c>
      <c r="AJ8144">
        <v>53.819113520185901</v>
      </c>
      <c r="AK8144">
        <v>7.5299642570867897</v>
      </c>
      <c r="AL8144">
        <v>90.289307199633299</v>
      </c>
      <c r="AM8144">
        <v>76.962103969525501</v>
      </c>
      <c r="AN8144">
        <v>1.00000005409254</v>
      </c>
    </row>
    <row r="8145" spans="1:40" x14ac:dyDescent="0.25">
      <c r="A8145" t="str">
        <f>"20190312154119322"</f>
        <v>20190312154119322</v>
      </c>
      <c r="B8145" t="str">
        <f>"1552376479314361"</f>
        <v>1552376479314361</v>
      </c>
      <c r="C8145" t="s">
        <v>40</v>
      </c>
      <c r="D8145">
        <v>4.3802779999999997</v>
      </c>
      <c r="E8145">
        <v>0.66364250000000002</v>
      </c>
      <c r="F8145" t="s">
        <v>43</v>
      </c>
      <c r="G8145">
        <v>-309.00049999999999</v>
      </c>
      <c r="H8145">
        <v>-0.05</v>
      </c>
      <c r="I8145">
        <v>7.60981799999999</v>
      </c>
      <c r="J8145">
        <v>-312.36419999999998</v>
      </c>
      <c r="K8145">
        <v>1.0562750000000001</v>
      </c>
      <c r="L8145">
        <v>14.45129</v>
      </c>
      <c r="M8145">
        <v>0.88758459999999995</v>
      </c>
      <c r="N8145">
        <v>0</v>
      </c>
      <c r="O8145">
        <v>-0.46039020000000003</v>
      </c>
      <c r="P8145">
        <v>0.76027919999999904</v>
      </c>
      <c r="Q8145">
        <v>-1.7471850000000001E-2</v>
      </c>
      <c r="R8145">
        <v>-0.64936169999999904</v>
      </c>
      <c r="S8145">
        <v>1.4576720000000001</v>
      </c>
      <c r="T8145">
        <v>-0.46732380000000001</v>
      </c>
      <c r="U8145">
        <v>-2.911438</v>
      </c>
      <c r="V8145">
        <v>0.22632530000000001</v>
      </c>
      <c r="W8145">
        <v>-4.9457140000000004E-3</v>
      </c>
      <c r="X8145">
        <v>0.97403919999999999</v>
      </c>
      <c r="Y8145">
        <v>0.58624240000000005</v>
      </c>
      <c r="Z8145">
        <v>2.4683670000000001E-2</v>
      </c>
      <c r="AA8145">
        <v>0.80975959999999902</v>
      </c>
      <c r="AB8145">
        <v>18</v>
      </c>
      <c r="AC8145">
        <v>3.3636999999999899</v>
      </c>
      <c r="AD8145">
        <v>-1.1062749999999999</v>
      </c>
      <c r="AE8145">
        <v>-6.8414720000000004</v>
      </c>
      <c r="AF8145">
        <v>4.4309970105936403</v>
      </c>
      <c r="AG8145">
        <v>-1.1062749999999999</v>
      </c>
      <c r="AH8145">
        <v>6.0094917068011302</v>
      </c>
      <c r="AI8145">
        <v>98.427988380581496</v>
      </c>
      <c r="AJ8145">
        <v>53.597420596953697</v>
      </c>
      <c r="AK8145">
        <v>7.5479513417632997</v>
      </c>
      <c r="AL8145">
        <v>90.283369699104099</v>
      </c>
      <c r="AM8145">
        <v>76.919014134885003</v>
      </c>
      <c r="AN8145">
        <v>0.99999998232184895</v>
      </c>
    </row>
    <row r="8146" spans="1:40" x14ac:dyDescent="0.25">
      <c r="A8146" t="str">
        <f>"20190312154119333"</f>
        <v>20190312154119333</v>
      </c>
      <c r="B8146" t="str">
        <f>"1552376479324121"</f>
        <v>1552376479324121</v>
      </c>
      <c r="C8146" t="s">
        <v>40</v>
      </c>
      <c r="D8146">
        <v>4.3794959999999996</v>
      </c>
      <c r="E8146">
        <v>0.66459330000000005</v>
      </c>
      <c r="F8146" t="s">
        <v>43</v>
      </c>
      <c r="G8146">
        <v>-308.94220000000001</v>
      </c>
      <c r="H8146">
        <v>-0.05</v>
      </c>
      <c r="I8146">
        <v>7.4838709999999997</v>
      </c>
      <c r="J8146">
        <v>-312.27629999999999</v>
      </c>
      <c r="K8146">
        <v>1.0562579999999999</v>
      </c>
      <c r="L8146">
        <v>14.39944</v>
      </c>
      <c r="M8146">
        <v>0.88535019999999998</v>
      </c>
      <c r="N8146">
        <v>0</v>
      </c>
      <c r="O8146">
        <v>-0.46467380000000003</v>
      </c>
      <c r="P8146">
        <v>0.75655660000000002</v>
      </c>
      <c r="Q8146">
        <v>-1.76873E-2</v>
      </c>
      <c r="R8146">
        <v>-0.65368909999999902</v>
      </c>
      <c r="S8146">
        <v>1.4367369999999999</v>
      </c>
      <c r="T8146">
        <v>-0.46447359999999999</v>
      </c>
      <c r="U8146">
        <v>-2.9252929999999999</v>
      </c>
      <c r="V8146">
        <v>0.22717599999999999</v>
      </c>
      <c r="W8146">
        <v>-5.2065080000000003E-3</v>
      </c>
      <c r="X8146">
        <v>0.97383980000000003</v>
      </c>
      <c r="Y8146">
        <v>0.58854899999999999</v>
      </c>
      <c r="Z8146">
        <v>2.5023070000000001E-2</v>
      </c>
      <c r="AA8146">
        <v>0.80807419999999996</v>
      </c>
      <c r="AB8146">
        <v>18</v>
      </c>
      <c r="AC8146">
        <v>3.3340999999999701</v>
      </c>
      <c r="AD8146">
        <v>-1.106258</v>
      </c>
      <c r="AE8146">
        <v>-6.9155689999999996</v>
      </c>
      <c r="AF8146">
        <v>4.4809269176659097</v>
      </c>
      <c r="AG8146">
        <v>-1.106258</v>
      </c>
      <c r="AH8146">
        <v>6.0406267154556499</v>
      </c>
      <c r="AI8146">
        <v>98.367413032448695</v>
      </c>
      <c r="AJ8146">
        <v>53.432037057701997</v>
      </c>
      <c r="AK8146">
        <v>7.60208418261095</v>
      </c>
      <c r="AL8146">
        <v>90.298312282356804</v>
      </c>
      <c r="AM8146">
        <v>76.868950969579302</v>
      </c>
      <c r="AN8146">
        <v>0.99999999938279704</v>
      </c>
    </row>
    <row r="8147" spans="1:40" x14ac:dyDescent="0.25">
      <c r="A8147" t="str">
        <f>"20190312154119347"</f>
        <v>20190312154119347</v>
      </c>
      <c r="B8147" t="str">
        <f>"1552376479344617"</f>
        <v>1552376479344617</v>
      </c>
      <c r="C8147" t="s">
        <v>40</v>
      </c>
      <c r="D8147">
        <v>4.3993270000000004</v>
      </c>
      <c r="E8147">
        <v>0.66624810000000001</v>
      </c>
      <c r="F8147" t="s">
        <v>43</v>
      </c>
      <c r="G8147">
        <v>-308.91829999999999</v>
      </c>
      <c r="H8147">
        <v>-0.05</v>
      </c>
      <c r="I8147">
        <v>7.4246669999999897</v>
      </c>
      <c r="J8147">
        <v>-312.18619999999999</v>
      </c>
      <c r="K8147">
        <v>1.056243</v>
      </c>
      <c r="L8147">
        <v>14.345549999999999</v>
      </c>
      <c r="M8147">
        <v>0.88302860000000005</v>
      </c>
      <c r="N8147">
        <v>0</v>
      </c>
      <c r="O8147">
        <v>-0.46907189999999999</v>
      </c>
      <c r="P8147">
        <v>0.75276369999999904</v>
      </c>
      <c r="Q8147">
        <v>-1.7745090000000002E-2</v>
      </c>
      <c r="R8147">
        <v>-0.65805170000000002</v>
      </c>
      <c r="S8147">
        <v>1.415009</v>
      </c>
      <c r="T8147">
        <v>-0.4661537</v>
      </c>
      <c r="U8147">
        <v>-2.9390260000000001</v>
      </c>
      <c r="V8147">
        <v>0.22796150000000001</v>
      </c>
      <c r="W8147">
        <v>-5.306641E-3</v>
      </c>
      <c r="X8147">
        <v>0.97365570000000001</v>
      </c>
      <c r="Y8147">
        <v>0.59086190000000005</v>
      </c>
      <c r="Z8147">
        <v>2.5623819999999999E-2</v>
      </c>
      <c r="AA8147">
        <v>0.80636569999999996</v>
      </c>
      <c r="AB8147">
        <v>18</v>
      </c>
      <c r="AC8147">
        <v>3.2678999999999898</v>
      </c>
      <c r="AD8147">
        <v>-1.1062430000000001</v>
      </c>
      <c r="AE8147">
        <v>-6.9208829999999999</v>
      </c>
      <c r="AF8147">
        <v>4.4852848644512804</v>
      </c>
      <c r="AG8147">
        <v>-1.1062430000000001</v>
      </c>
      <c r="AH8147">
        <v>6.0072524104364398</v>
      </c>
      <c r="AI8147">
        <v>98.393895254929305</v>
      </c>
      <c r="AJ8147">
        <v>53.253326784819798</v>
      </c>
      <c r="AK8147">
        <v>7.5781683415597998</v>
      </c>
      <c r="AL8147">
        <v>90.304049555464204</v>
      </c>
      <c r="AM8147">
        <v>76.822724927394802</v>
      </c>
      <c r="AN8147">
        <v>1.00000001403172</v>
      </c>
    </row>
    <row r="8148" spans="1:40" x14ac:dyDescent="0.25">
      <c r="A8148" t="str">
        <f>"20190312154119362"</f>
        <v>20190312154119362</v>
      </c>
      <c r="B8148" t="str">
        <f>"1552376479354377"</f>
        <v>1552376479354377</v>
      </c>
      <c r="C8148" t="s">
        <v>40</v>
      </c>
      <c r="D8148">
        <v>4.3464549999999997</v>
      </c>
      <c r="E8148">
        <v>0.66710290000000005</v>
      </c>
      <c r="F8148" t="s">
        <v>43</v>
      </c>
      <c r="G8148">
        <v>-308.8888</v>
      </c>
      <c r="H8148">
        <v>-0.05</v>
      </c>
      <c r="I8148">
        <v>7.3275300000000003</v>
      </c>
      <c r="J8148">
        <v>-312.08080000000001</v>
      </c>
      <c r="K8148">
        <v>1.0562260000000001</v>
      </c>
      <c r="L8148">
        <v>14.28192</v>
      </c>
      <c r="M8148">
        <v>0.88027730000000004</v>
      </c>
      <c r="N8148">
        <v>0</v>
      </c>
      <c r="O8148">
        <v>-0.47421619999999998</v>
      </c>
      <c r="P8148">
        <v>0.74819639999999998</v>
      </c>
      <c r="Q8148">
        <v>-1.772849E-2</v>
      </c>
      <c r="R8148">
        <v>-0.66324050000000001</v>
      </c>
      <c r="S8148">
        <v>1.3893740000000001</v>
      </c>
      <c r="T8148">
        <v>-0.466109</v>
      </c>
      <c r="U8148">
        <v>-2.957001</v>
      </c>
      <c r="V8148">
        <v>0.22901170000000001</v>
      </c>
      <c r="W8148">
        <v>-5.3389479999999996E-3</v>
      </c>
      <c r="X8148">
        <v>0.97340899999999997</v>
      </c>
      <c r="Y8148">
        <v>0.59379309999999996</v>
      </c>
      <c r="Z8148">
        <v>2.6186020000000001E-2</v>
      </c>
      <c r="AA8148">
        <v>0.80419149999999995</v>
      </c>
      <c r="AB8148">
        <v>18</v>
      </c>
      <c r="AC8148">
        <v>3.1920000000000002</v>
      </c>
      <c r="AD8148">
        <v>-1.1062259999999999</v>
      </c>
      <c r="AE8148">
        <v>-6.9543900000000001</v>
      </c>
      <c r="AF8148">
        <v>4.5142778793756397</v>
      </c>
      <c r="AG8148">
        <v>-1.1062259999999999</v>
      </c>
      <c r="AH8148">
        <v>5.9833829560722798</v>
      </c>
      <c r="AI8148">
        <v>98.3956299170801</v>
      </c>
      <c r="AJ8148">
        <v>52.966572842877603</v>
      </c>
      <c r="AK8148">
        <v>7.5764973658223198</v>
      </c>
      <c r="AL8148">
        <v>90.305900649208795</v>
      </c>
      <c r="AM8148">
        <v>76.760914119713505</v>
      </c>
      <c r="AN8148">
        <v>0.99999997219181802</v>
      </c>
    </row>
    <row r="8149" spans="1:40" x14ac:dyDescent="0.25">
      <c r="A8149" t="str">
        <f>"20190312154119374"</f>
        <v>20190312154119374</v>
      </c>
      <c r="B8149" t="str">
        <f>"1552376479364137"</f>
        <v>1552376479364137</v>
      </c>
      <c r="C8149" t="s">
        <v>40</v>
      </c>
      <c r="D8149">
        <v>4.3580389999999998</v>
      </c>
      <c r="E8149">
        <v>0.66779739999999999</v>
      </c>
      <c r="F8149" t="s">
        <v>43</v>
      </c>
      <c r="G8149">
        <v>-308.81319999999999</v>
      </c>
      <c r="H8149">
        <v>-0.05</v>
      </c>
      <c r="I8149">
        <v>7.1634830000000003</v>
      </c>
      <c r="J8149">
        <v>-311.98379999999997</v>
      </c>
      <c r="K8149">
        <v>1.0562149999999999</v>
      </c>
      <c r="L8149">
        <v>14.22256</v>
      </c>
      <c r="M8149">
        <v>0.87770930000000003</v>
      </c>
      <c r="N8149">
        <v>0</v>
      </c>
      <c r="O8149">
        <v>-0.4789543</v>
      </c>
      <c r="P8149">
        <v>0.74389229999999995</v>
      </c>
      <c r="Q8149">
        <v>-1.7867899999999999E-2</v>
      </c>
      <c r="R8149">
        <v>-0.66806109999999996</v>
      </c>
      <c r="S8149">
        <v>1.3642270000000001</v>
      </c>
      <c r="T8149">
        <v>-0.4618505</v>
      </c>
      <c r="U8149">
        <v>-2.9719540000000002</v>
      </c>
      <c r="V8149">
        <v>0.23005429999999999</v>
      </c>
      <c r="W8149">
        <v>-5.5218580000000001E-3</v>
      </c>
      <c r="X8149">
        <v>0.97316210000000003</v>
      </c>
      <c r="Y8149">
        <v>0.59664980000000001</v>
      </c>
      <c r="Z8149">
        <v>2.6466630000000001E-2</v>
      </c>
      <c r="AA8149">
        <v>0.80206519999999903</v>
      </c>
      <c r="AB8149">
        <v>18</v>
      </c>
      <c r="AC8149">
        <v>3.1705999999999701</v>
      </c>
      <c r="AD8149">
        <v>-1.1062149999999999</v>
      </c>
      <c r="AE8149">
        <v>-7.0590770000000003</v>
      </c>
      <c r="AF8149">
        <v>4.5841050927241698</v>
      </c>
      <c r="AG8149">
        <v>-1.1062149999999999</v>
      </c>
      <c r="AH8149">
        <v>6.0410972587164196</v>
      </c>
      <c r="AI8149">
        <v>98.299317414728193</v>
      </c>
      <c r="AJ8149">
        <v>52.8080479828958</v>
      </c>
      <c r="AK8149">
        <v>7.6637188894580301</v>
      </c>
      <c r="AL8149">
        <v>90.316380775015901</v>
      </c>
      <c r="AM8149">
        <v>76.699524494771197</v>
      </c>
      <c r="AN8149">
        <v>0.999999972370335</v>
      </c>
    </row>
    <row r="8150" spans="1:40" x14ac:dyDescent="0.25">
      <c r="A8150" t="str">
        <f>"20190312154119387"</f>
        <v>20190312154119387</v>
      </c>
      <c r="B8150" t="str">
        <f>"1552376479384633"</f>
        <v>1552376479384633</v>
      </c>
      <c r="C8150" t="s">
        <v>40</v>
      </c>
      <c r="D8150">
        <v>4.8621480000000004</v>
      </c>
      <c r="E8150">
        <v>0.66907919999999999</v>
      </c>
      <c r="F8150" t="s">
        <v>43</v>
      </c>
      <c r="G8150">
        <v>-308.75619999999998</v>
      </c>
      <c r="H8150">
        <v>-0.05</v>
      </c>
      <c r="I8150">
        <v>7.0399479999999999</v>
      </c>
      <c r="J8150">
        <v>-311.89890000000003</v>
      </c>
      <c r="K8150">
        <v>1.056211</v>
      </c>
      <c r="L8150">
        <v>14.169919999999999</v>
      </c>
      <c r="M8150">
        <v>0.8754324</v>
      </c>
      <c r="N8150">
        <v>0</v>
      </c>
      <c r="O8150">
        <v>-0.48310409999999998</v>
      </c>
      <c r="P8150">
        <v>0.73962380000000005</v>
      </c>
      <c r="Q8150">
        <v>-1.839178E-2</v>
      </c>
      <c r="R8150">
        <v>-0.67276939999999996</v>
      </c>
      <c r="S8150">
        <v>1.341248</v>
      </c>
      <c r="T8150">
        <v>-0.45970169999999999</v>
      </c>
      <c r="U8150">
        <v>-2.9848330000000001</v>
      </c>
      <c r="V8150">
        <v>0.23162440000000001</v>
      </c>
      <c r="W8150">
        <v>-6.0907259999999899E-3</v>
      </c>
      <c r="X8150">
        <v>0.97278620000000005</v>
      </c>
      <c r="Y8150">
        <v>0.59930399999999995</v>
      </c>
      <c r="Z8150">
        <v>2.6786819999999999E-2</v>
      </c>
      <c r="AA8150">
        <v>0.80007329999999999</v>
      </c>
      <c r="AB8150">
        <v>18</v>
      </c>
      <c r="AC8150">
        <v>3.14270000000004</v>
      </c>
      <c r="AD8150">
        <v>-1.1062110000000001</v>
      </c>
      <c r="AE8150">
        <v>-7.1299720000000004</v>
      </c>
      <c r="AF8150">
        <v>4.6307617369239997</v>
      </c>
      <c r="AG8150">
        <v>-1.1062110000000001</v>
      </c>
      <c r="AH8150">
        <v>6.0740231872381001</v>
      </c>
      <c r="AI8150">
        <v>98.240936112118504</v>
      </c>
      <c r="AJ8150">
        <v>52.678541491380898</v>
      </c>
      <c r="AK8150">
        <v>7.7176042085472698</v>
      </c>
      <c r="AL8150">
        <v>90.3489750602767</v>
      </c>
      <c r="AM8150">
        <v>76.607020769828296</v>
      </c>
      <c r="AN8150">
        <v>0.99999997526450302</v>
      </c>
    </row>
    <row r="8151" spans="1:40" x14ac:dyDescent="0.25">
      <c r="A8151" t="str">
        <f>"20190312154119399"</f>
        <v>20190312154119399</v>
      </c>
      <c r="B8151" t="str">
        <f>"1552376479394392"</f>
        <v>1552376479394392</v>
      </c>
      <c r="C8151" t="s">
        <v>40</v>
      </c>
      <c r="D8151">
        <v>4.699497</v>
      </c>
      <c r="E8151">
        <v>0.66976590000000003</v>
      </c>
      <c r="F8151" t="s">
        <v>43</v>
      </c>
      <c r="G8151">
        <v>-308.70359999999999</v>
      </c>
      <c r="H8151">
        <v>-0.05</v>
      </c>
      <c r="I8151">
        <v>6.879562</v>
      </c>
      <c r="J8151">
        <v>-311.81970000000001</v>
      </c>
      <c r="K8151">
        <v>1.0562039999999999</v>
      </c>
      <c r="L8151">
        <v>14.12054</v>
      </c>
      <c r="M8151">
        <v>0.87328779999999995</v>
      </c>
      <c r="N8151">
        <v>0</v>
      </c>
      <c r="O8151">
        <v>-0.48697079999999998</v>
      </c>
      <c r="P8151">
        <v>0.73624789999999996</v>
      </c>
      <c r="Q8151">
        <v>-1.8422910000000001E-2</v>
      </c>
      <c r="R8151">
        <v>-0.67646110000000004</v>
      </c>
      <c r="S8151">
        <v>1.3152159999999999</v>
      </c>
      <c r="T8151">
        <v>-0.45533309999999999</v>
      </c>
      <c r="U8151">
        <v>-3.0008240000000002</v>
      </c>
      <c r="V8151">
        <v>0.23218920000000001</v>
      </c>
      <c r="W8151">
        <v>-6.1503010000000004E-3</v>
      </c>
      <c r="X8151">
        <v>0.97265119999999905</v>
      </c>
      <c r="Y8151">
        <v>0.60317749999999903</v>
      </c>
      <c r="Z8151">
        <v>2.6809980000000001E-2</v>
      </c>
      <c r="AA8151">
        <v>0.79715619999999998</v>
      </c>
      <c r="AB8151">
        <v>18</v>
      </c>
      <c r="AC8151">
        <v>3.1161000000000101</v>
      </c>
      <c r="AD8151">
        <v>-1.106204</v>
      </c>
      <c r="AE8151">
        <v>-7.2409780000000001</v>
      </c>
      <c r="AF8151">
        <v>4.71373358151404</v>
      </c>
      <c r="AG8151">
        <v>-1.106204</v>
      </c>
      <c r="AH8151">
        <v>6.1274481089766502</v>
      </c>
      <c r="AI8151">
        <v>98.143229093949302</v>
      </c>
      <c r="AJ8151">
        <v>52.429575384342002</v>
      </c>
      <c r="AK8151">
        <v>7.8095193126920899</v>
      </c>
      <c r="AL8151">
        <v>90.352388510295597</v>
      </c>
      <c r="AM8151">
        <v>76.573747922393494</v>
      </c>
      <c r="AN8151">
        <v>1.0000000038302299</v>
      </c>
    </row>
    <row r="8152" spans="1:40" x14ac:dyDescent="0.25">
      <c r="A8152" t="str">
        <f>"20190312154119410"</f>
        <v>20190312154119410</v>
      </c>
      <c r="B8152" t="str">
        <f>"1552376479404153"</f>
        <v>1552376479404153</v>
      </c>
      <c r="C8152" t="s">
        <v>40</v>
      </c>
      <c r="D8152">
        <v>4.3723970000000003</v>
      </c>
      <c r="E8152">
        <v>0.67038589999999998</v>
      </c>
      <c r="F8152" t="s">
        <v>43</v>
      </c>
      <c r="G8152">
        <v>-308.63580000000002</v>
      </c>
      <c r="H8152">
        <v>-0.05</v>
      </c>
      <c r="I8152">
        <v>6.7217710000000004</v>
      </c>
      <c r="J8152">
        <v>-311.74180000000001</v>
      </c>
      <c r="K8152">
        <v>1.0561969999999901</v>
      </c>
      <c r="L8152">
        <v>14.071260000000001</v>
      </c>
      <c r="M8152">
        <v>0.87115129999999996</v>
      </c>
      <c r="N8152">
        <v>0</v>
      </c>
      <c r="O8152">
        <v>-0.49078349999999998</v>
      </c>
      <c r="P8152">
        <v>0.73318799999999995</v>
      </c>
      <c r="Q8152">
        <v>-1.859278E-2</v>
      </c>
      <c r="R8152">
        <v>-0.67977209999999999</v>
      </c>
      <c r="S8152">
        <v>1.296082</v>
      </c>
      <c r="T8152">
        <v>-0.45031460000000001</v>
      </c>
      <c r="U8152">
        <v>-3.0119020000000001</v>
      </c>
      <c r="V8152">
        <v>0.232321</v>
      </c>
      <c r="W8152">
        <v>-6.3407439999999997E-3</v>
      </c>
      <c r="X8152">
        <v>0.97261850000000005</v>
      </c>
      <c r="Y8152">
        <v>0.60507089999999997</v>
      </c>
      <c r="Z8152">
        <v>2.6958180000000002E-2</v>
      </c>
      <c r="AA8152">
        <v>0.79571499999999995</v>
      </c>
      <c r="AB8152">
        <v>18</v>
      </c>
      <c r="AC8152">
        <v>3.1059999999999901</v>
      </c>
      <c r="AD8152">
        <v>-1.1061970000000001</v>
      </c>
      <c r="AE8152">
        <v>-7.3494890000000002</v>
      </c>
      <c r="AF8152">
        <v>4.7866905362618501</v>
      </c>
      <c r="AG8152">
        <v>-1.1061970000000001</v>
      </c>
      <c r="AH8152">
        <v>6.1944548185878396</v>
      </c>
      <c r="AI8152">
        <v>98.042977297049006</v>
      </c>
      <c r="AJ8152">
        <v>52.305375226427302</v>
      </c>
      <c r="AK8152">
        <v>7.9061589025438899</v>
      </c>
      <c r="AL8152">
        <v>90.363300304868602</v>
      </c>
      <c r="AM8152">
        <v>76.565967538669597</v>
      </c>
      <c r="AN8152">
        <v>0.99999999930886097</v>
      </c>
    </row>
    <row r="8153" spans="1:40" x14ac:dyDescent="0.25">
      <c r="A8153" t="str">
        <f>"20190312154119421"</f>
        <v>20190312154119421</v>
      </c>
      <c r="B8153" t="str">
        <f>"1552376479413913"</f>
        <v>1552376479413913</v>
      </c>
      <c r="C8153" t="s">
        <v>40</v>
      </c>
      <c r="D8153">
        <v>4.3748149999999999</v>
      </c>
      <c r="E8153">
        <v>0.67093159999999996</v>
      </c>
      <c r="F8153" t="s">
        <v>43</v>
      </c>
      <c r="G8153">
        <v>-308.565</v>
      </c>
      <c r="H8153">
        <v>-0.05</v>
      </c>
      <c r="I8153">
        <v>6.5631869999999903</v>
      </c>
      <c r="J8153">
        <v>-311.66180000000003</v>
      </c>
      <c r="K8153">
        <v>1.0561910000000001</v>
      </c>
      <c r="L8153">
        <v>14.020289999999999</v>
      </c>
      <c r="M8153">
        <v>0.86893609999999899</v>
      </c>
      <c r="N8153">
        <v>0</v>
      </c>
      <c r="O8153">
        <v>-0.49469560000000001</v>
      </c>
      <c r="P8153">
        <v>0.73013309999999998</v>
      </c>
      <c r="Q8153">
        <v>-1.9018230000000001E-2</v>
      </c>
      <c r="R8153">
        <v>-0.68304049999999905</v>
      </c>
      <c r="S8153">
        <v>1.2786249999999999</v>
      </c>
      <c r="T8153">
        <v>-0.44523489999999999</v>
      </c>
      <c r="U8153">
        <v>-3.0219420000000001</v>
      </c>
      <c r="V8153">
        <v>0.23229340000000001</v>
      </c>
      <c r="W8153">
        <v>-6.7844259999999997E-3</v>
      </c>
      <c r="X8153">
        <v>0.97262210000000004</v>
      </c>
      <c r="Y8153">
        <v>0.60638510000000001</v>
      </c>
      <c r="Z8153">
        <v>2.7158379999999999E-2</v>
      </c>
      <c r="AA8153">
        <v>0.79470719999999995</v>
      </c>
      <c r="AB8153">
        <v>18</v>
      </c>
      <c r="AC8153">
        <v>3.09680000000002</v>
      </c>
      <c r="AD8153">
        <v>-1.1061909999999999</v>
      </c>
      <c r="AE8153">
        <v>-7.457103</v>
      </c>
      <c r="AF8153">
        <v>4.8571723353419003</v>
      </c>
      <c r="AG8153">
        <v>-1.1061909999999999</v>
      </c>
      <c r="AH8153">
        <v>6.2630925456634197</v>
      </c>
      <c r="AI8153">
        <v>97.945344778952204</v>
      </c>
      <c r="AJ8153">
        <v>52.205599103354302</v>
      </c>
      <c r="AK8153">
        <v>8.0026314334246607</v>
      </c>
      <c r="AL8153">
        <v>90.388721958004695</v>
      </c>
      <c r="AM8153">
        <v>76.567553590110606</v>
      </c>
      <c r="AN8153">
        <v>1.0000000007640499</v>
      </c>
    </row>
    <row r="8154" spans="1:40" x14ac:dyDescent="0.25">
      <c r="A8154" t="str">
        <f>"20190312154119433"</f>
        <v>20190312154119433</v>
      </c>
      <c r="B8154" t="str">
        <f>"1552376479424649"</f>
        <v>1552376479424649</v>
      </c>
      <c r="C8154" t="s">
        <v>40</v>
      </c>
      <c r="D8154">
        <v>4.4057529999999998</v>
      </c>
      <c r="E8154">
        <v>0.67119119999999999</v>
      </c>
      <c r="F8154" t="s">
        <v>43</v>
      </c>
      <c r="G8154">
        <v>-308.48649999999998</v>
      </c>
      <c r="H8154">
        <v>-0.05</v>
      </c>
      <c r="I8154">
        <v>6.390625</v>
      </c>
      <c r="J8154">
        <v>-311.58179999999999</v>
      </c>
      <c r="K8154">
        <v>1.0561849999999999</v>
      </c>
      <c r="L8154">
        <v>13.96875</v>
      </c>
      <c r="M8154">
        <v>0.86669259999999904</v>
      </c>
      <c r="N8154">
        <v>0</v>
      </c>
      <c r="O8154">
        <v>-0.49861620000000001</v>
      </c>
      <c r="P8154">
        <v>0.72711269999999995</v>
      </c>
      <c r="Q8154">
        <v>-1.9463149999999999E-2</v>
      </c>
      <c r="R8154">
        <v>-0.68624219999999903</v>
      </c>
      <c r="S8154">
        <v>1.261566</v>
      </c>
      <c r="T8154">
        <v>-0.43949640000000001</v>
      </c>
      <c r="U8154">
        <v>-3.0313110000000001</v>
      </c>
      <c r="V8154">
        <v>0.23217460000000001</v>
      </c>
      <c r="W8154">
        <v>-7.2453040000000002E-3</v>
      </c>
      <c r="X8154">
        <v>0.97264709999999999</v>
      </c>
      <c r="Y8154">
        <v>0.60752589999999995</v>
      </c>
      <c r="Z8154">
        <v>2.7325550000000001E-2</v>
      </c>
      <c r="AA8154">
        <v>0.79382969999999997</v>
      </c>
      <c r="AB8154">
        <v>18</v>
      </c>
      <c r="AC8154">
        <v>3.0952999999999999</v>
      </c>
      <c r="AD8154">
        <v>-1.106185</v>
      </c>
      <c r="AE8154">
        <v>-7.578125</v>
      </c>
      <c r="AF8154">
        <v>4.9349880032214504</v>
      </c>
      <c r="AG8154">
        <v>-1.106185</v>
      </c>
      <c r="AH8154">
        <v>6.3460934887254297</v>
      </c>
      <c r="AI8154">
        <v>97.834740714184903</v>
      </c>
      <c r="AJ8154">
        <v>52.129868557950203</v>
      </c>
      <c r="AK8154">
        <v>8.1148416135996104</v>
      </c>
      <c r="AL8154">
        <v>90.415128989047702</v>
      </c>
      <c r="AM8154">
        <v>76.574507053119405</v>
      </c>
      <c r="AN8154">
        <v>0.99999996022681004</v>
      </c>
    </row>
    <row r="8155" spans="1:40" x14ac:dyDescent="0.25">
      <c r="A8155" t="str">
        <f>"20190312154119444"</f>
        <v>20190312154119444</v>
      </c>
      <c r="B8155" t="str">
        <f>"1552376479434409"</f>
        <v>1552376479434409</v>
      </c>
      <c r="C8155" t="s">
        <v>40</v>
      </c>
      <c r="D8155">
        <v>4.3762869999999996</v>
      </c>
      <c r="E8155">
        <v>0.67137619999999998</v>
      </c>
      <c r="F8155" t="s">
        <v>43</v>
      </c>
      <c r="G8155">
        <v>-308.42309999999998</v>
      </c>
      <c r="H8155">
        <v>-0.05</v>
      </c>
      <c r="I8155">
        <v>6.2675780000000003</v>
      </c>
      <c r="J8155">
        <v>-311.50670000000002</v>
      </c>
      <c r="K8155">
        <v>1.0561780000000001</v>
      </c>
      <c r="L8155">
        <v>13.919890000000001</v>
      </c>
      <c r="M8155">
        <v>0.86456359999999999</v>
      </c>
      <c r="N8155">
        <v>0</v>
      </c>
      <c r="O8155">
        <v>-0.50229950000000001</v>
      </c>
      <c r="P8155">
        <v>0.72437669999999998</v>
      </c>
      <c r="Q8155">
        <v>-1.9999369999999999E-2</v>
      </c>
      <c r="R8155">
        <v>-0.68911420000000001</v>
      </c>
      <c r="S8155">
        <v>1.2463379999999999</v>
      </c>
      <c r="T8155">
        <v>-0.43647350000000001</v>
      </c>
      <c r="U8155">
        <v>-3.0386959999999998</v>
      </c>
      <c r="V8155">
        <v>0.23188700000000001</v>
      </c>
      <c r="W8155">
        <v>-7.7933639999999997E-3</v>
      </c>
      <c r="X8155">
        <v>0.97271149999999995</v>
      </c>
      <c r="Y8155">
        <v>0.60826329999999995</v>
      </c>
      <c r="Z8155">
        <v>2.765374E-2</v>
      </c>
      <c r="AA8155">
        <v>0.7932534</v>
      </c>
      <c r="AB8155">
        <v>18</v>
      </c>
      <c r="AC8155">
        <v>3.0836000000000401</v>
      </c>
      <c r="AD8155">
        <v>-1.1061780000000001</v>
      </c>
      <c r="AE8155">
        <v>-7.6523119999999896</v>
      </c>
      <c r="AF8155">
        <v>4.9780985970551601</v>
      </c>
      <c r="AG8155">
        <v>-1.1061780000000001</v>
      </c>
      <c r="AH8155">
        <v>6.3954817853220298</v>
      </c>
      <c r="AI8155">
        <v>97.772194887062199</v>
      </c>
      <c r="AJ8155">
        <v>52.103615616423099</v>
      </c>
      <c r="AK8155">
        <v>8.1796871991582005</v>
      </c>
      <c r="AL8155">
        <v>90.446531390185996</v>
      </c>
      <c r="AM8155">
        <v>76.591392237022006</v>
      </c>
      <c r="AN8155">
        <v>0.99999998976184301</v>
      </c>
    </row>
    <row r="8156" spans="1:40" x14ac:dyDescent="0.25">
      <c r="A8156" t="str">
        <f>"20190312154119455"</f>
        <v>20190312154119455</v>
      </c>
      <c r="B8156" t="str">
        <f>"1552376479444169"</f>
        <v>1552376479444169</v>
      </c>
      <c r="C8156" t="s">
        <v>40</v>
      </c>
      <c r="D8156">
        <v>4.4270659999999999</v>
      </c>
      <c r="E8156">
        <v>0.67155759999999998</v>
      </c>
      <c r="F8156" t="s">
        <v>43</v>
      </c>
      <c r="G8156">
        <v>-308.3614</v>
      </c>
      <c r="H8156">
        <v>-0.05</v>
      </c>
      <c r="I8156">
        <v>6.1494600000000004</v>
      </c>
      <c r="J8156">
        <v>-311.42660000000001</v>
      </c>
      <c r="K8156">
        <v>1.0561700000000001</v>
      </c>
      <c r="L8156">
        <v>13.86734</v>
      </c>
      <c r="M8156">
        <v>0.86226689999999995</v>
      </c>
      <c r="N8156">
        <v>0</v>
      </c>
      <c r="O8156">
        <v>-0.50623260000000003</v>
      </c>
      <c r="P8156">
        <v>0.72166009999999903</v>
      </c>
      <c r="Q8156">
        <v>-2.050869E-2</v>
      </c>
      <c r="R8156">
        <v>-0.69194389999999995</v>
      </c>
      <c r="S8156">
        <v>1.2326349999999999</v>
      </c>
      <c r="T8156">
        <v>-0.43349310000000002</v>
      </c>
      <c r="U8156">
        <v>-3.045105</v>
      </c>
      <c r="V8156">
        <v>0.231265</v>
      </c>
      <c r="W8156">
        <v>-8.3104960000000005E-3</v>
      </c>
      <c r="X8156">
        <v>0.97285529999999998</v>
      </c>
      <c r="Y8156">
        <v>0.60833479999999995</v>
      </c>
      <c r="Z8156">
        <v>2.8072730000000001E-2</v>
      </c>
      <c r="AA8156">
        <v>0.79318389999999905</v>
      </c>
      <c r="AB8156">
        <v>18</v>
      </c>
      <c r="AC8156">
        <v>3.0651999999999999</v>
      </c>
      <c r="AD8156">
        <v>-1.1061700000000001</v>
      </c>
      <c r="AE8156">
        <v>-7.7178799999999903</v>
      </c>
      <c r="AF8156">
        <v>5.0147613885491298</v>
      </c>
      <c r="AG8156">
        <v>-1.1061700000000001</v>
      </c>
      <c r="AH8156">
        <v>6.4365901570941499</v>
      </c>
      <c r="AI8156">
        <v>97.720422054302105</v>
      </c>
      <c r="AJ8156">
        <v>52.077766144966901</v>
      </c>
      <c r="AK8156">
        <v>8.2341445641538602</v>
      </c>
      <c r="AL8156">
        <v>90.476161827699997</v>
      </c>
      <c r="AM8156">
        <v>76.627970629683503</v>
      </c>
      <c r="AN8156">
        <v>0.99999999965342701</v>
      </c>
    </row>
    <row r="8157" spans="1:40" x14ac:dyDescent="0.25">
      <c r="A8157" t="str">
        <f>"20190312154119468"</f>
        <v>20190312154119468</v>
      </c>
      <c r="B8157" t="str">
        <f>"1552376479464665"</f>
        <v>1552376479464665</v>
      </c>
      <c r="C8157" t="s">
        <v>40</v>
      </c>
      <c r="D8157">
        <v>4.9467699999999999</v>
      </c>
      <c r="E8157">
        <v>0.67205680000000001</v>
      </c>
      <c r="F8157" t="s">
        <v>43</v>
      </c>
      <c r="G8157">
        <v>-308.31040000000002</v>
      </c>
      <c r="H8157">
        <v>-0.05</v>
      </c>
      <c r="I8157">
        <v>6.0702509999999998</v>
      </c>
      <c r="J8157">
        <v>-311.35180000000003</v>
      </c>
      <c r="K8157">
        <v>1.0561640000000001</v>
      </c>
      <c r="L8157">
        <v>13.817600000000001</v>
      </c>
      <c r="M8157">
        <v>0.86009259999999998</v>
      </c>
      <c r="N8157">
        <v>0</v>
      </c>
      <c r="O8157">
        <v>-0.50991839999999999</v>
      </c>
      <c r="P8157">
        <v>0.71930559999999999</v>
      </c>
      <c r="Q8157">
        <v>-2.083842E-2</v>
      </c>
      <c r="R8157">
        <v>-0.69438120000000003</v>
      </c>
      <c r="S8157">
        <v>1.2193909999999999</v>
      </c>
      <c r="T8157">
        <v>-0.43285190000000001</v>
      </c>
      <c r="U8157">
        <v>-3.051056</v>
      </c>
      <c r="V8157">
        <v>0.23039409999999999</v>
      </c>
      <c r="W8157">
        <v>-8.6429249999999992E-3</v>
      </c>
      <c r="X8157">
        <v>0.97305900000000001</v>
      </c>
      <c r="Y8157">
        <v>0.60846529999999999</v>
      </c>
      <c r="Z8157">
        <v>2.8595470000000001E-2</v>
      </c>
      <c r="AA8157">
        <v>0.79306509999999997</v>
      </c>
      <c r="AB8157">
        <v>18</v>
      </c>
      <c r="AC8157">
        <v>3.0413999999999999</v>
      </c>
      <c r="AD8157">
        <v>-1.1061639999999999</v>
      </c>
      <c r="AE8157">
        <v>-7.7473489999999998</v>
      </c>
      <c r="AF8157">
        <v>5.0243943643204396</v>
      </c>
      <c r="AG8157">
        <v>-1.1061639999999999</v>
      </c>
      <c r="AH8157">
        <v>6.4531496432513302</v>
      </c>
      <c r="AI8157">
        <v>97.702675784712298</v>
      </c>
      <c r="AJ8157">
        <v>52.095829463004897</v>
      </c>
      <c r="AK8157">
        <v>8.2529557033408292</v>
      </c>
      <c r="AL8157">
        <v>90.495209300811695</v>
      </c>
      <c r="AM8157">
        <v>76.679217853782404</v>
      </c>
      <c r="AN8157">
        <v>0.99999997947418195</v>
      </c>
    </row>
    <row r="8158" spans="1:40" x14ac:dyDescent="0.25">
      <c r="A8158" t="str">
        <f>"20190312154119480"</f>
        <v>20190312154119480</v>
      </c>
      <c r="B8158" t="str">
        <f>"1552376479474425"</f>
        <v>1552376479474425</v>
      </c>
      <c r="C8158" t="s">
        <v>40</v>
      </c>
      <c r="D8158">
        <v>4.4312469999999999</v>
      </c>
      <c r="E8158">
        <v>0.67235540000000005</v>
      </c>
      <c r="F8158" t="s">
        <v>43</v>
      </c>
      <c r="G8158">
        <v>-308.23439999999999</v>
      </c>
      <c r="H8158">
        <v>-0.05</v>
      </c>
      <c r="I8158">
        <v>5.910355</v>
      </c>
      <c r="J8158">
        <v>-311.26459999999997</v>
      </c>
      <c r="K8158">
        <v>1.056162</v>
      </c>
      <c r="L8158">
        <v>13.75928</v>
      </c>
      <c r="M8158">
        <v>0.85753400000000002</v>
      </c>
      <c r="N8158">
        <v>0</v>
      </c>
      <c r="O8158">
        <v>-0.5142101</v>
      </c>
      <c r="P8158">
        <v>0.71654849999999903</v>
      </c>
      <c r="Q8158">
        <v>-2.0756400000000001E-2</v>
      </c>
      <c r="R8158">
        <v>-0.69722890000000004</v>
      </c>
      <c r="S8158">
        <v>1.2057800000000001</v>
      </c>
      <c r="T8158">
        <v>-0.42786170000000001</v>
      </c>
      <c r="U8158">
        <v>-3.0585019999999998</v>
      </c>
      <c r="V8158">
        <v>0.2293905</v>
      </c>
      <c r="W8158">
        <v>-8.56382199999999E-3</v>
      </c>
      <c r="X8158">
        <v>0.97329679999999996</v>
      </c>
      <c r="Y8158">
        <v>0.60826619999999998</v>
      </c>
      <c r="Z8158">
        <v>2.8935789999999999E-2</v>
      </c>
      <c r="AA8158">
        <v>0.79320550000000001</v>
      </c>
      <c r="AB8158">
        <v>18</v>
      </c>
      <c r="AC8158">
        <v>3.0301999999999798</v>
      </c>
      <c r="AD8158">
        <v>-1.1061620000000001</v>
      </c>
      <c r="AE8158">
        <v>-7.8489249999999897</v>
      </c>
      <c r="AF8158">
        <v>5.08523813025365</v>
      </c>
      <c r="AG8158">
        <v>-1.1061620000000001</v>
      </c>
      <c r="AH8158">
        <v>6.5224933620522396</v>
      </c>
      <c r="AI8158">
        <v>97.617903237399105</v>
      </c>
      <c r="AJ8158">
        <v>52.0583693713956</v>
      </c>
      <c r="AK8158">
        <v>8.3442291956564301</v>
      </c>
      <c r="AL8158">
        <v>90.4906768545044</v>
      </c>
      <c r="AM8158">
        <v>76.738314226415994</v>
      </c>
      <c r="AN8158">
        <v>1.0000000007138601</v>
      </c>
    </row>
    <row r="8159" spans="1:40" x14ac:dyDescent="0.25">
      <c r="A8159" t="str">
        <f>"20190312154119491"</f>
        <v>20190312154119491</v>
      </c>
      <c r="B8159" t="str">
        <f>"1552376479484186"</f>
        <v>1552376479484186</v>
      </c>
      <c r="C8159" t="s">
        <v>40</v>
      </c>
      <c r="D8159">
        <v>4.3978169999999999</v>
      </c>
      <c r="E8159">
        <v>0.67256649999999996</v>
      </c>
      <c r="F8159" t="s">
        <v>43</v>
      </c>
      <c r="G8159">
        <v>-308.1601</v>
      </c>
      <c r="H8159">
        <v>-0.05</v>
      </c>
      <c r="I8159">
        <v>5.7731629999999896</v>
      </c>
      <c r="J8159">
        <v>-311.18299999999999</v>
      </c>
      <c r="K8159">
        <v>1.056157</v>
      </c>
      <c r="L8159">
        <v>13.703950000000001</v>
      </c>
      <c r="M8159">
        <v>0.85510280000000005</v>
      </c>
      <c r="N8159">
        <v>0</v>
      </c>
      <c r="O8159">
        <v>-0.51824380000000003</v>
      </c>
      <c r="P8159">
        <v>0.71393469999999903</v>
      </c>
      <c r="Q8159">
        <v>-2.024917E-2</v>
      </c>
      <c r="R8159">
        <v>-0.69991990000000004</v>
      </c>
      <c r="S8159">
        <v>1.1916500000000001</v>
      </c>
      <c r="T8159">
        <v>-0.42459000000000002</v>
      </c>
      <c r="U8159">
        <v>-3.0653990000000002</v>
      </c>
      <c r="V8159">
        <v>0.2284659</v>
      </c>
      <c r="W8159">
        <v>-8.0589860000000006E-3</v>
      </c>
      <c r="X8159">
        <v>0.97351860000000001</v>
      </c>
      <c r="Y8159">
        <v>0.60834569999999999</v>
      </c>
      <c r="Z8159">
        <v>2.9322879999999999E-2</v>
      </c>
      <c r="AA8159">
        <v>0.79313029999999995</v>
      </c>
      <c r="AB8159">
        <v>18</v>
      </c>
      <c r="AC8159">
        <v>3.0228999999999902</v>
      </c>
      <c r="AD8159">
        <v>-1.1061570000000001</v>
      </c>
      <c r="AE8159">
        <v>-7.9307869999999996</v>
      </c>
      <c r="AF8159">
        <v>5.1285072025074001</v>
      </c>
      <c r="AG8159">
        <v>-1.1061570000000001</v>
      </c>
      <c r="AH8159">
        <v>6.58388352756345</v>
      </c>
      <c r="AI8159">
        <v>97.550184691187695</v>
      </c>
      <c r="AJ8159">
        <v>52.083240207841499</v>
      </c>
      <c r="AK8159">
        <v>8.4185920283228306</v>
      </c>
      <c r="AL8159">
        <v>90.461750864988502</v>
      </c>
      <c r="AM8159">
        <v>76.792794198210103</v>
      </c>
      <c r="AN8159">
        <v>1.0000000396320501</v>
      </c>
    </row>
    <row r="8160" spans="1:40" x14ac:dyDescent="0.25">
      <c r="A8160" t="str">
        <f>"20190312154119502"</f>
        <v>20190312154119502</v>
      </c>
      <c r="B8160" t="str">
        <f>"1552376479493946"</f>
        <v>1552376479493946</v>
      </c>
      <c r="C8160" t="s">
        <v>40</v>
      </c>
      <c r="D8160">
        <v>4.4128030000000003</v>
      </c>
      <c r="E8160">
        <v>0.67280479999999998</v>
      </c>
      <c r="F8160" t="s">
        <v>43</v>
      </c>
      <c r="G8160">
        <v>-308.07440000000003</v>
      </c>
      <c r="H8160">
        <v>-0.05</v>
      </c>
      <c r="I8160">
        <v>5.6044159999999996</v>
      </c>
      <c r="J8160">
        <v>-311.1121</v>
      </c>
      <c r="K8160">
        <v>1.056152</v>
      </c>
      <c r="L8160">
        <v>13.65546</v>
      </c>
      <c r="M8160">
        <v>0.85296399999999895</v>
      </c>
      <c r="N8160">
        <v>0</v>
      </c>
      <c r="O8160">
        <v>-0.52175629999999995</v>
      </c>
      <c r="P8160">
        <v>0.71162930000000002</v>
      </c>
      <c r="Q8160">
        <v>-1.9310460000000002E-2</v>
      </c>
      <c r="R8160">
        <v>-0.70228979999999996</v>
      </c>
      <c r="S8160">
        <v>1.1788940000000001</v>
      </c>
      <c r="T8160">
        <v>-0.41948530000000001</v>
      </c>
      <c r="U8160">
        <v>-3.071564</v>
      </c>
      <c r="V8160">
        <v>0.22769500000000001</v>
      </c>
      <c r="W8160">
        <v>-7.1222999999999998E-3</v>
      </c>
      <c r="X8160">
        <v>0.97370650000000003</v>
      </c>
      <c r="Y8160">
        <v>0.6085275</v>
      </c>
      <c r="Z8160">
        <v>2.9486970000000001E-2</v>
      </c>
      <c r="AA8160">
        <v>0.79298480000000005</v>
      </c>
      <c r="AB8160">
        <v>18</v>
      </c>
      <c r="AC8160">
        <v>3.0376999999999699</v>
      </c>
      <c r="AD8160">
        <v>-1.106152</v>
      </c>
      <c r="AE8160">
        <v>-8.0510439999999992</v>
      </c>
      <c r="AF8160">
        <v>5.1970230065268597</v>
      </c>
      <c r="AG8160">
        <v>-1.106152</v>
      </c>
      <c r="AH8160">
        <v>6.6820718927693701</v>
      </c>
      <c r="AI8160">
        <v>97.444712363726097</v>
      </c>
      <c r="AJ8160">
        <v>52.125785805386599</v>
      </c>
      <c r="AK8160">
        <v>8.5371368243464403</v>
      </c>
      <c r="AL8160">
        <v>90.408081162586498</v>
      </c>
      <c r="AM8160">
        <v>76.838256115424102</v>
      </c>
      <c r="AN8160">
        <v>1.0000000441622601</v>
      </c>
    </row>
    <row r="8161" spans="1:40" x14ac:dyDescent="0.25">
      <c r="A8161" t="str">
        <f>"20190312154119514"</f>
        <v>20190312154119514</v>
      </c>
      <c r="B8161" t="str">
        <f>"1552376479504682"</f>
        <v>1552376479504682</v>
      </c>
      <c r="C8161" t="s">
        <v>40</v>
      </c>
      <c r="D8161">
        <v>4.4184169999999998</v>
      </c>
      <c r="E8161">
        <v>0.67303659999999998</v>
      </c>
      <c r="F8161" t="s">
        <v>43</v>
      </c>
      <c r="G8161">
        <v>-307.98860000000002</v>
      </c>
      <c r="H8161">
        <v>-0.05</v>
      </c>
      <c r="I8161">
        <v>5.4226679999999998</v>
      </c>
      <c r="J8161">
        <v>-311.03149999999999</v>
      </c>
      <c r="K8161">
        <v>1.0561449999999999</v>
      </c>
      <c r="L8161">
        <v>13.59985</v>
      </c>
      <c r="M8161">
        <v>0.85050519999999996</v>
      </c>
      <c r="N8161">
        <v>0</v>
      </c>
      <c r="O8161">
        <v>-0.52575550000000004</v>
      </c>
      <c r="P8161">
        <v>0.70890059999999999</v>
      </c>
      <c r="Q8161">
        <v>-1.877854E-2</v>
      </c>
      <c r="R8161">
        <v>-0.70505850000000003</v>
      </c>
      <c r="S8161">
        <v>1.167511</v>
      </c>
      <c r="T8161">
        <v>-0.41346749999999999</v>
      </c>
      <c r="U8161">
        <v>-3.0773320000000002</v>
      </c>
      <c r="V8161">
        <v>0.2269169</v>
      </c>
      <c r="W8161">
        <v>-6.5937909999999999E-3</v>
      </c>
      <c r="X8161">
        <v>0.97389179999999997</v>
      </c>
      <c r="Y8161">
        <v>0.60791149999999905</v>
      </c>
      <c r="Z8161">
        <v>2.9705840000000001E-2</v>
      </c>
      <c r="AA8161">
        <v>0.79344890000000001</v>
      </c>
      <c r="AB8161">
        <v>18</v>
      </c>
      <c r="AC8161">
        <v>3.0428999999999702</v>
      </c>
      <c r="AD8161">
        <v>-1.1061449999999999</v>
      </c>
      <c r="AE8161">
        <v>-8.1771820000000002</v>
      </c>
      <c r="AF8161">
        <v>5.2707922428456797</v>
      </c>
      <c r="AG8161">
        <v>-1.1061449999999999</v>
      </c>
      <c r="AH8161">
        <v>6.7790073229012204</v>
      </c>
      <c r="AI8161">
        <v>97.340223050222306</v>
      </c>
      <c r="AJ8161">
        <v>52.1343334967682</v>
      </c>
      <c r="AK8161">
        <v>8.6579297705753895</v>
      </c>
      <c r="AL8161">
        <v>90.377799133802199</v>
      </c>
      <c r="AM8161">
        <v>76.884085327186199</v>
      </c>
      <c r="AN8161">
        <v>0.9999999978463</v>
      </c>
    </row>
    <row r="8162" spans="1:40" x14ac:dyDescent="0.25">
      <c r="A8162" t="str">
        <f>"20190312154119528"</f>
        <v>20190312154119528</v>
      </c>
      <c r="B8162" t="str">
        <f>"1552376479524201"</f>
        <v>1552376479524201</v>
      </c>
      <c r="C8162" t="s">
        <v>40</v>
      </c>
      <c r="D8162">
        <v>4.4132699999999998</v>
      </c>
      <c r="E8162">
        <v>0.67340119999999903</v>
      </c>
      <c r="F8162" t="s">
        <v>43</v>
      </c>
      <c r="G8162">
        <v>-307.91649999999998</v>
      </c>
      <c r="H8162">
        <v>-0.05</v>
      </c>
      <c r="I8162">
        <v>5.2777099999999999</v>
      </c>
      <c r="J8162">
        <v>-310.94690000000003</v>
      </c>
      <c r="K8162">
        <v>1.056135</v>
      </c>
      <c r="L8162">
        <v>13.540649999999999</v>
      </c>
      <c r="M8162">
        <v>0.84788289999999999</v>
      </c>
      <c r="N8162">
        <v>0</v>
      </c>
      <c r="O8162">
        <v>-0.52997459999999996</v>
      </c>
      <c r="P8162">
        <v>0.70599140000000005</v>
      </c>
      <c r="Q8162">
        <v>-1.8678130000000001E-2</v>
      </c>
      <c r="R8162">
        <v>-0.707974199999999</v>
      </c>
      <c r="S8162">
        <v>1.154175</v>
      </c>
      <c r="T8162">
        <v>-0.40985680000000002</v>
      </c>
      <c r="U8162">
        <v>-3.0835880000000002</v>
      </c>
      <c r="V8162">
        <v>0.22609190000000001</v>
      </c>
      <c r="W8162">
        <v>-6.4965810000000004E-3</v>
      </c>
      <c r="X8162">
        <v>0.97408430000000001</v>
      </c>
      <c r="Y8162">
        <v>0.60754549999999996</v>
      </c>
      <c r="Z8162">
        <v>3.0097680000000002E-2</v>
      </c>
      <c r="AA8162">
        <v>0.79371449999999999</v>
      </c>
      <c r="AB8162">
        <v>18</v>
      </c>
      <c r="AC8162">
        <v>3.0304000000000402</v>
      </c>
      <c r="AD8162">
        <v>-1.1061350000000001</v>
      </c>
      <c r="AE8162">
        <v>-8.2629399999999897</v>
      </c>
      <c r="AF8162">
        <v>5.3165889139751199</v>
      </c>
      <c r="AG8162">
        <v>-1.1061350000000001</v>
      </c>
      <c r="AH8162">
        <v>6.84127892311525</v>
      </c>
      <c r="AI8162">
        <v>97.2753994568086</v>
      </c>
      <c r="AJ8162">
        <v>52.148014224127401</v>
      </c>
      <c r="AK8162">
        <v>8.7345720915388405</v>
      </c>
      <c r="AL8162">
        <v>90.372229295361905</v>
      </c>
      <c r="AM8162">
        <v>76.932625088102398</v>
      </c>
      <c r="AN8162">
        <v>0.99999998815839397</v>
      </c>
    </row>
    <row r="8163" spans="1:40" x14ac:dyDescent="0.25">
      <c r="A8163" t="str">
        <f>"20190312154119544"</f>
        <v>20190312154119544</v>
      </c>
      <c r="B8163" t="str">
        <f>"1552376479533961"</f>
        <v>1552376479533961</v>
      </c>
      <c r="C8163" t="s">
        <v>40</v>
      </c>
      <c r="D8163">
        <v>4.3946319999999996</v>
      </c>
      <c r="E8163">
        <v>0.67359329999999995</v>
      </c>
      <c r="F8163" t="s">
        <v>43</v>
      </c>
      <c r="G8163">
        <v>-307.84539999999998</v>
      </c>
      <c r="H8163">
        <v>-0.05</v>
      </c>
      <c r="I8163">
        <v>5.1263120000000004</v>
      </c>
      <c r="J8163">
        <v>-310.83530000000002</v>
      </c>
      <c r="K8163">
        <v>1.056114</v>
      </c>
      <c r="L8163">
        <v>13.46185</v>
      </c>
      <c r="M8163">
        <v>0.84437050000000002</v>
      </c>
      <c r="N8163">
        <v>0</v>
      </c>
      <c r="O8163">
        <v>-0.53555350000000002</v>
      </c>
      <c r="P8163">
        <v>0.70183070000000003</v>
      </c>
      <c r="Q8163">
        <v>-1.9338210000000002E-2</v>
      </c>
      <c r="R8163">
        <v>-0.71208199999999999</v>
      </c>
      <c r="S8163">
        <v>1.13922099999999</v>
      </c>
      <c r="T8163">
        <v>-0.40629769999999998</v>
      </c>
      <c r="U8163">
        <v>-3.0906980000000002</v>
      </c>
      <c r="V8163">
        <v>0.2253559</v>
      </c>
      <c r="W8163">
        <v>-7.1658299999999998E-3</v>
      </c>
      <c r="X8163">
        <v>0.97425010000000001</v>
      </c>
      <c r="Y8163">
        <v>0.60633319999999902</v>
      </c>
      <c r="Z8163">
        <v>3.0743650000000001E-2</v>
      </c>
      <c r="AA8163">
        <v>0.794616199999999</v>
      </c>
      <c r="AB8163">
        <v>18</v>
      </c>
      <c r="AC8163">
        <v>2.9899000000000302</v>
      </c>
      <c r="AD8163">
        <v>-1.106114</v>
      </c>
      <c r="AE8163">
        <v>-8.3355379999999997</v>
      </c>
      <c r="AF8163">
        <v>5.3540991159929296</v>
      </c>
      <c r="AG8163">
        <v>-1.106114</v>
      </c>
      <c r="AH8163">
        <v>6.8821100495645497</v>
      </c>
      <c r="AI8163">
        <v>97.229646312301497</v>
      </c>
      <c r="AJ8163">
        <v>52.118030448158997</v>
      </c>
      <c r="AK8163">
        <v>8.7893858863511998</v>
      </c>
      <c r="AL8163">
        <v>90.410575352504594</v>
      </c>
      <c r="AM8163">
        <v>76.975851745463103</v>
      </c>
      <c r="AN8163">
        <v>0.99999994406720205</v>
      </c>
    </row>
    <row r="8164" spans="1:40" x14ac:dyDescent="0.25">
      <c r="A8164" t="str">
        <f>"20190312154119558"</f>
        <v>20190312154119558</v>
      </c>
      <c r="B8164" t="str">
        <f>"1552376479554457"</f>
        <v>1552376479554457</v>
      </c>
      <c r="C8164" t="s">
        <v>40</v>
      </c>
      <c r="D8164">
        <v>4.6797389999999996</v>
      </c>
      <c r="E8164">
        <v>0.67391849999999998</v>
      </c>
      <c r="F8164" t="s">
        <v>43</v>
      </c>
      <c r="G8164">
        <v>-307.78390000000002</v>
      </c>
      <c r="H8164">
        <v>-0.05</v>
      </c>
      <c r="I8164">
        <v>5.016464</v>
      </c>
      <c r="J8164">
        <v>-310.74810000000002</v>
      </c>
      <c r="K8164">
        <v>1.056098</v>
      </c>
      <c r="L8164">
        <v>13.3996</v>
      </c>
      <c r="M8164">
        <v>0.84158099999999902</v>
      </c>
      <c r="N8164">
        <v>0</v>
      </c>
      <c r="O8164">
        <v>-0.53992620000000002</v>
      </c>
      <c r="P8164">
        <v>0.69799429999999996</v>
      </c>
      <c r="Q8164">
        <v>-1.956689E-2</v>
      </c>
      <c r="R8164">
        <v>-0.71583560000000002</v>
      </c>
      <c r="S8164">
        <v>1.119537</v>
      </c>
      <c r="T8164">
        <v>-0.40582400000000002</v>
      </c>
      <c r="U8164">
        <v>-3.098541</v>
      </c>
      <c r="V8164">
        <v>0.2255288</v>
      </c>
      <c r="W8164">
        <v>-7.4119149999999998E-3</v>
      </c>
      <c r="X8164">
        <v>0.97420830000000003</v>
      </c>
      <c r="Y8164">
        <v>0.60733409999999999</v>
      </c>
      <c r="Z8164">
        <v>3.1280950000000002E-2</v>
      </c>
      <c r="AA8164">
        <v>0.79383049999999999</v>
      </c>
      <c r="AB8164">
        <v>18</v>
      </c>
      <c r="AC8164">
        <v>2.9641999999999999</v>
      </c>
      <c r="AD8164">
        <v>-1.106098</v>
      </c>
      <c r="AE8164">
        <v>-8.3831360000000004</v>
      </c>
      <c r="AF8164">
        <v>5.3721121397694898</v>
      </c>
      <c r="AG8164">
        <v>-1.106098</v>
      </c>
      <c r="AH8164">
        <v>6.9146657990818996</v>
      </c>
      <c r="AI8164">
        <v>97.199512930126303</v>
      </c>
      <c r="AJ8164">
        <v>52.155806553564602</v>
      </c>
      <c r="AK8164">
        <v>8.8258509357939907</v>
      </c>
      <c r="AL8164">
        <v>90.424675338600693</v>
      </c>
      <c r="AM8164">
        <v>76.965660133561698</v>
      </c>
      <c r="AN8164">
        <v>0.99999999395114803</v>
      </c>
    </row>
    <row r="8165" spans="1:40" x14ac:dyDescent="0.25">
      <c r="A8165" t="str">
        <f>"20190312154119571"</f>
        <v>20190312154119571</v>
      </c>
      <c r="B8165" t="str">
        <f>"1552376479564217"</f>
        <v>1552376479564217</v>
      </c>
      <c r="C8165" t="s">
        <v>40</v>
      </c>
      <c r="D8165">
        <v>4.4591050000000001</v>
      </c>
      <c r="E8165">
        <v>0.67400629999999995</v>
      </c>
      <c r="F8165" t="s">
        <v>43</v>
      </c>
      <c r="G8165">
        <v>-307.72699999999998</v>
      </c>
      <c r="H8165">
        <v>-0.05</v>
      </c>
      <c r="I8165">
        <v>4.8752899999999997</v>
      </c>
      <c r="J8165">
        <v>-310.65870000000001</v>
      </c>
      <c r="K8165">
        <v>1.056082</v>
      </c>
      <c r="L8165">
        <v>13.334630000000001</v>
      </c>
      <c r="M8165">
        <v>0.83865959999999995</v>
      </c>
      <c r="N8165">
        <v>0</v>
      </c>
      <c r="O8165">
        <v>-0.54445339999999998</v>
      </c>
      <c r="P8165">
        <v>0.69380529999999996</v>
      </c>
      <c r="Q8165">
        <v>-1.9667540000000001E-2</v>
      </c>
      <c r="R8165">
        <v>-0.71989449999999999</v>
      </c>
      <c r="S8165">
        <v>1.1009519999999999</v>
      </c>
      <c r="T8165">
        <v>-0.40308300000000002</v>
      </c>
      <c r="U8165">
        <v>-3.1064150000000001</v>
      </c>
      <c r="V8165">
        <v>0.22596069999999999</v>
      </c>
      <c r="W8165">
        <v>-7.5335899999999997E-3</v>
      </c>
      <c r="X8165">
        <v>0.97410730000000001</v>
      </c>
      <c r="Y8165">
        <v>0.607936699999999</v>
      </c>
      <c r="Z8165">
        <v>3.1688389999999997E-2</v>
      </c>
      <c r="AA8165">
        <v>0.79335299999999997</v>
      </c>
      <c r="AB8165">
        <v>18</v>
      </c>
      <c r="AC8165">
        <v>2.93169999999997</v>
      </c>
      <c r="AD8165">
        <v>-1.106082</v>
      </c>
      <c r="AE8165">
        <v>-8.4593399999999903</v>
      </c>
      <c r="AF8165">
        <v>5.4162701440517997</v>
      </c>
      <c r="AG8165">
        <v>-1.106082</v>
      </c>
      <c r="AH8165">
        <v>6.9589785007954603</v>
      </c>
      <c r="AI8165">
        <v>97.149246865305798</v>
      </c>
      <c r="AJ8165">
        <v>52.105879637937001</v>
      </c>
      <c r="AK8165">
        <v>8.8874507840327492</v>
      </c>
      <c r="AL8165">
        <v>90.4316469893066</v>
      </c>
      <c r="AM8165">
        <v>76.940245802373198</v>
      </c>
      <c r="AN8165">
        <v>1.0000000124180299</v>
      </c>
    </row>
    <row r="8166" spans="1:40" x14ac:dyDescent="0.25">
      <c r="A8166" t="str">
        <f>"20190312154119583"</f>
        <v>20190312154119583</v>
      </c>
      <c r="B8166" t="str">
        <f>"1552376479573978"</f>
        <v>1552376479573978</v>
      </c>
      <c r="C8166" t="s">
        <v>40</v>
      </c>
      <c r="D8166">
        <v>4.4643490000000003</v>
      </c>
      <c r="E8166">
        <v>0.67412850000000002</v>
      </c>
      <c r="F8166" t="s">
        <v>43</v>
      </c>
      <c r="G8166">
        <v>-307.67919999999998</v>
      </c>
      <c r="H8166">
        <v>-0.05</v>
      </c>
      <c r="I8166">
        <v>4.7615509999999999</v>
      </c>
      <c r="J8166">
        <v>-310.5752</v>
      </c>
      <c r="K8166">
        <v>1.056068</v>
      </c>
      <c r="L8166">
        <v>13.27341</v>
      </c>
      <c r="M8166">
        <v>0.83589119999999995</v>
      </c>
      <c r="N8166">
        <v>0</v>
      </c>
      <c r="O8166">
        <v>-0.54869440000000003</v>
      </c>
      <c r="P8166">
        <v>0.68975159999999902</v>
      </c>
      <c r="Q8166">
        <v>-1.944808E-2</v>
      </c>
      <c r="R8166">
        <v>-0.72378509999999996</v>
      </c>
      <c r="S8166">
        <v>1.0820620000000001</v>
      </c>
      <c r="T8166">
        <v>-0.40168949999999998</v>
      </c>
      <c r="U8166">
        <v>-3.1134339999999998</v>
      </c>
      <c r="V8166">
        <v>0.2265037</v>
      </c>
      <c r="W8166">
        <v>-7.3354789999999998E-3</v>
      </c>
      <c r="X8166">
        <v>0.97398269999999998</v>
      </c>
      <c r="Y8166">
        <v>0.60878500000000002</v>
      </c>
      <c r="Z8166">
        <v>3.2143440000000002E-2</v>
      </c>
      <c r="AA8166">
        <v>0.79268380000000005</v>
      </c>
      <c r="AB8166">
        <v>18</v>
      </c>
      <c r="AC8166">
        <v>2.8960000000000101</v>
      </c>
      <c r="AD8166">
        <v>-1.1060680000000001</v>
      </c>
      <c r="AE8166">
        <v>-8.5118589999999994</v>
      </c>
      <c r="AF8166">
        <v>5.4441873040489597</v>
      </c>
      <c r="AG8166">
        <v>-1.1060680000000001</v>
      </c>
      <c r="AH8166">
        <v>6.9862045874991701</v>
      </c>
      <c r="AI8166">
        <v>97.118293567864498</v>
      </c>
      <c r="AJ8166">
        <v>52.071539841131703</v>
      </c>
      <c r="AK8166">
        <v>8.92578379530819</v>
      </c>
      <c r="AL8166">
        <v>90.420295749353301</v>
      </c>
      <c r="AM8166">
        <v>76.908324846619195</v>
      </c>
      <c r="AN8166">
        <v>1.0000000176325601</v>
      </c>
    </row>
    <row r="8167" spans="1:40" x14ac:dyDescent="0.25">
      <c r="A8167" t="str">
        <f>"20190312154119595"</f>
        <v>20190312154119595</v>
      </c>
      <c r="B8167" t="str">
        <f>"1552376479584714"</f>
        <v>1552376479584714</v>
      </c>
      <c r="C8167" t="s">
        <v>40</v>
      </c>
      <c r="D8167">
        <v>4.4848379999999999</v>
      </c>
      <c r="E8167">
        <v>0.67420609999999903</v>
      </c>
      <c r="F8167" t="s">
        <v>43</v>
      </c>
      <c r="G8167">
        <v>-307.62419999999997</v>
      </c>
      <c r="H8167">
        <v>-0.05</v>
      </c>
      <c r="I8167">
        <v>4.6179350000000001</v>
      </c>
      <c r="J8167">
        <v>-310.49930000000001</v>
      </c>
      <c r="K8167">
        <v>1.056055</v>
      </c>
      <c r="L8167">
        <v>13.217320000000001</v>
      </c>
      <c r="M8167">
        <v>0.83334169999999996</v>
      </c>
      <c r="N8167">
        <v>0</v>
      </c>
      <c r="O8167">
        <v>-0.55255880000000002</v>
      </c>
      <c r="P8167">
        <v>0.68579659999999998</v>
      </c>
      <c r="Q8167">
        <v>-1.9011819999999999E-2</v>
      </c>
      <c r="R8167">
        <v>-0.72754509999999994</v>
      </c>
      <c r="S8167">
        <v>1.0638430000000001</v>
      </c>
      <c r="T8167">
        <v>-0.39874559999999998</v>
      </c>
      <c r="U8167">
        <v>-3.1203609999999999</v>
      </c>
      <c r="V8167">
        <v>0.22731599999999999</v>
      </c>
      <c r="W8167">
        <v>-6.9229230000000001E-3</v>
      </c>
      <c r="X8167">
        <v>0.97379640000000001</v>
      </c>
      <c r="Y8167">
        <v>0.60981879999999999</v>
      </c>
      <c r="Z8167">
        <v>3.2399940000000002E-2</v>
      </c>
      <c r="AA8167">
        <v>0.79187830000000003</v>
      </c>
      <c r="AB8167">
        <v>18</v>
      </c>
      <c r="AC8167">
        <v>2.87510000000003</v>
      </c>
      <c r="AD8167">
        <v>-1.106055</v>
      </c>
      <c r="AE8167">
        <v>-8.5993849999999998</v>
      </c>
      <c r="AF8167">
        <v>5.4963934004758697</v>
      </c>
      <c r="AG8167">
        <v>-1.106055</v>
      </c>
      <c r="AH8167">
        <v>7.0435866712193196</v>
      </c>
      <c r="AI8167">
        <v>97.057205331189195</v>
      </c>
      <c r="AJ8167">
        <v>52.033654413543402</v>
      </c>
      <c r="AK8167">
        <v>9.0025447108469407</v>
      </c>
      <c r="AL8167">
        <v>90.396657454252605</v>
      </c>
      <c r="AM8167">
        <v>76.860574183258507</v>
      </c>
      <c r="AN8167">
        <v>0.99999995968591104</v>
      </c>
    </row>
    <row r="8168" spans="1:40" x14ac:dyDescent="0.25">
      <c r="A8168" t="str">
        <f>"20190312154119608"</f>
        <v>20190312154119608</v>
      </c>
      <c r="B8168" t="str">
        <f>"1552376479604234"</f>
        <v>1552376479604234</v>
      </c>
      <c r="C8168" t="s">
        <v>40</v>
      </c>
      <c r="D8168">
        <v>4.5315329999999996</v>
      </c>
      <c r="E8168">
        <v>0.67415919999999996</v>
      </c>
      <c r="F8168" t="s">
        <v>43</v>
      </c>
      <c r="G8168">
        <v>-307.60270000000003</v>
      </c>
      <c r="H8168">
        <v>-0.05</v>
      </c>
      <c r="I8168">
        <v>4.5621489999999998</v>
      </c>
      <c r="J8168">
        <v>-310.42349999999999</v>
      </c>
      <c r="K8168">
        <v>1.0560400000000001</v>
      </c>
      <c r="L8168">
        <v>13.1604299999999</v>
      </c>
      <c r="M8168">
        <v>0.83074409999999899</v>
      </c>
      <c r="N8168">
        <v>0</v>
      </c>
      <c r="O8168">
        <v>-0.55645659999999997</v>
      </c>
      <c r="P8168">
        <v>0.68172840000000001</v>
      </c>
      <c r="Q8168">
        <v>-1.8167200000000001E-2</v>
      </c>
      <c r="R8168">
        <v>-0.73137989999999997</v>
      </c>
      <c r="S8168">
        <v>1.0464169999999999</v>
      </c>
      <c r="T8168">
        <v>-0.39956239999999998</v>
      </c>
      <c r="U8168">
        <v>-3.1266780000000001</v>
      </c>
      <c r="V8168">
        <v>0.22821089999999999</v>
      </c>
      <c r="W8168">
        <v>-6.1033959999999996E-3</v>
      </c>
      <c r="X8168">
        <v>0.97359260000000003</v>
      </c>
      <c r="Y8168">
        <v>0.61056750000000004</v>
      </c>
      <c r="Z8168">
        <v>3.2984970000000002E-2</v>
      </c>
      <c r="AA8168">
        <v>0.79127700000000001</v>
      </c>
      <c r="AB8168">
        <v>18</v>
      </c>
      <c r="AC8168">
        <v>2.8207999999999598</v>
      </c>
      <c r="AD8168">
        <v>-1.1060399999999999</v>
      </c>
      <c r="AE8168">
        <v>-8.5982809999999894</v>
      </c>
      <c r="AF8168">
        <v>5.4918884648266797</v>
      </c>
      <c r="AG8168">
        <v>-1.1060399999999999</v>
      </c>
      <c r="AH8168">
        <v>7.0237892221306204</v>
      </c>
      <c r="AI8168">
        <v>97.071507567247494</v>
      </c>
      <c r="AJ8168">
        <v>51.978210471984802</v>
      </c>
      <c r="AK8168">
        <v>8.9843073427290303</v>
      </c>
      <c r="AL8168">
        <v>90.349700999675093</v>
      </c>
      <c r="AM8168">
        <v>76.807987163063402</v>
      </c>
      <c r="AN8168">
        <v>1.00000000854815</v>
      </c>
    </row>
    <row r="8169" spans="1:40" x14ac:dyDescent="0.25">
      <c r="A8169" t="str">
        <f>"20190312154119622"</f>
        <v>20190312154119622</v>
      </c>
      <c r="B8169" t="str">
        <f>"1552376479613993"</f>
        <v>1552376479613993</v>
      </c>
      <c r="C8169" t="s">
        <v>40</v>
      </c>
      <c r="D8169">
        <v>4.4976059999999896</v>
      </c>
      <c r="E8169">
        <v>0.67442179999999996</v>
      </c>
      <c r="F8169" t="s">
        <v>43</v>
      </c>
      <c r="G8169">
        <v>-307.62569999999999</v>
      </c>
      <c r="H8169">
        <v>-0.05</v>
      </c>
      <c r="I8169">
        <v>4.6429900000000002</v>
      </c>
      <c r="J8169">
        <v>-310.32859999999999</v>
      </c>
      <c r="K8169">
        <v>1.0560179999999999</v>
      </c>
      <c r="L8169">
        <v>13.088649999999999</v>
      </c>
      <c r="M8169">
        <v>0.82744319999999905</v>
      </c>
      <c r="N8169">
        <v>0</v>
      </c>
      <c r="O8169">
        <v>-0.561353199999999</v>
      </c>
      <c r="P8169">
        <v>0.67631519999999901</v>
      </c>
      <c r="Q8169">
        <v>-1.7288350000000001E-2</v>
      </c>
      <c r="R8169">
        <v>-0.73640890000000003</v>
      </c>
      <c r="S8169">
        <v>1.0289919999999999</v>
      </c>
      <c r="T8169">
        <v>-0.40678599999999998</v>
      </c>
      <c r="U8169">
        <v>-3.1325989999999999</v>
      </c>
      <c r="V8169">
        <v>0.22966780000000001</v>
      </c>
      <c r="W8169">
        <v>-5.2613490000000002E-3</v>
      </c>
      <c r="X8169">
        <v>0.97325490000000003</v>
      </c>
      <c r="Y8169">
        <v>0.61030600000000002</v>
      </c>
      <c r="Z8169">
        <v>3.4331380000000002E-2</v>
      </c>
      <c r="AA8169">
        <v>0.7914215</v>
      </c>
      <c r="AB8169">
        <v>18</v>
      </c>
      <c r="AC8169">
        <v>2.7029000000000001</v>
      </c>
      <c r="AD8169">
        <v>-1.1060179999999999</v>
      </c>
      <c r="AE8169">
        <v>-8.4456600000000002</v>
      </c>
      <c r="AF8169">
        <v>5.3878102186371803</v>
      </c>
      <c r="AG8169">
        <v>-1.1060179999999999</v>
      </c>
      <c r="AH8169">
        <v>6.87136947518227</v>
      </c>
      <c r="AI8169">
        <v>97.218961575324897</v>
      </c>
      <c r="AJ8169">
        <v>51.900163550167797</v>
      </c>
      <c r="AK8169">
        <v>8.8015619768789808</v>
      </c>
      <c r="AL8169">
        <v>90.301454470919097</v>
      </c>
      <c r="AM8169">
        <v>76.722298865690107</v>
      </c>
      <c r="AN8169">
        <v>1.0000000402620699</v>
      </c>
    </row>
    <row r="8170" spans="1:40" x14ac:dyDescent="0.25">
      <c r="A8170" t="str">
        <f>"20190312154119803"</f>
        <v>20190312154119803</v>
      </c>
      <c r="B8170" t="str">
        <f>"1552376479794553"</f>
        <v>1552376479794553</v>
      </c>
      <c r="C8170" t="s">
        <v>40</v>
      </c>
      <c r="D8170">
        <v>4.4128170000000004</v>
      </c>
      <c r="E8170">
        <v>0.67431240000000003</v>
      </c>
      <c r="F8170" t="s">
        <v>43</v>
      </c>
      <c r="G8170">
        <v>-307.55869999999999</v>
      </c>
      <c r="H8170">
        <v>-0.05</v>
      </c>
      <c r="I8170">
        <v>4.4208369999999997</v>
      </c>
      <c r="J8170">
        <v>-309.21809999999999</v>
      </c>
      <c r="K8170">
        <v>1.0558099999999999</v>
      </c>
      <c r="L8170">
        <v>12.17084</v>
      </c>
      <c r="M8170">
        <v>0.78311129999999995</v>
      </c>
      <c r="N8170">
        <v>0</v>
      </c>
      <c r="O8170">
        <v>-0.62170479999999995</v>
      </c>
      <c r="P8170">
        <v>0.61859549999999996</v>
      </c>
      <c r="Q8170">
        <v>-1.903262E-2</v>
      </c>
      <c r="R8170">
        <v>-0.78547919999999904</v>
      </c>
      <c r="S8170">
        <v>1.0041500000000001</v>
      </c>
      <c r="T8170">
        <v>-0.40094449999999998</v>
      </c>
      <c r="U8170">
        <v>-3.1421809999999999</v>
      </c>
      <c r="V8170">
        <v>0.23049500000000001</v>
      </c>
      <c r="W8170">
        <v>-7.1240380000000001E-3</v>
      </c>
      <c r="X8170">
        <v>0.97304740000000001</v>
      </c>
      <c r="Y8170">
        <v>0.55657599999999996</v>
      </c>
      <c r="Z8170">
        <v>4.6396920000000001E-2</v>
      </c>
      <c r="AA8170">
        <v>0.82950020000000002</v>
      </c>
      <c r="AB8170">
        <v>17</v>
      </c>
      <c r="AC8170">
        <v>1.6594</v>
      </c>
      <c r="AD8170">
        <v>-1.10581</v>
      </c>
      <c r="AE8170">
        <v>-7.7500029999999898</v>
      </c>
      <c r="AF8170">
        <v>4.9418115965561498</v>
      </c>
      <c r="AG8170">
        <v>-1.10581</v>
      </c>
      <c r="AH8170">
        <v>6.0015518123461602</v>
      </c>
      <c r="AI8170">
        <v>98.095374937204099</v>
      </c>
      <c r="AJ8170">
        <v>50.531197269584297</v>
      </c>
      <c r="AK8170">
        <v>7.8525754863122703</v>
      </c>
      <c r="AL8170">
        <v>90.408180775529303</v>
      </c>
      <c r="AM8170">
        <v>76.673438969573496</v>
      </c>
      <c r="AN8170">
        <v>0.99999996979459205</v>
      </c>
    </row>
    <row r="8171" spans="1:40" x14ac:dyDescent="0.25">
      <c r="A8171" t="str">
        <f>"20190312154119815"</f>
        <v>20190312154119815</v>
      </c>
      <c r="B8171" t="str">
        <f>"1552376479804314"</f>
        <v>1552376479804314</v>
      </c>
      <c r="C8171" t="s">
        <v>40</v>
      </c>
      <c r="D8171">
        <v>4.4283989999999998</v>
      </c>
      <c r="E8171">
        <v>0.674216699999999</v>
      </c>
      <c r="F8171" t="s">
        <v>43</v>
      </c>
      <c r="G8171">
        <v>-307.11540000000002</v>
      </c>
      <c r="H8171">
        <v>-0.05</v>
      </c>
      <c r="I8171">
        <v>3.3361510000000001</v>
      </c>
      <c r="J8171">
        <v>-309.15069999999997</v>
      </c>
      <c r="K8171">
        <v>1.0558149999999999</v>
      </c>
      <c r="L8171">
        <v>12.11023</v>
      </c>
      <c r="M8171">
        <v>0.7800821</v>
      </c>
      <c r="N8171">
        <v>0</v>
      </c>
      <c r="O8171">
        <v>-0.62550159999999999</v>
      </c>
      <c r="P8171">
        <v>0.61415759999999997</v>
      </c>
      <c r="Q8171">
        <v>-1.9749780000000002E-2</v>
      </c>
      <c r="R8171">
        <v>-0.78893679999999999</v>
      </c>
      <c r="S8171">
        <v>0.76361080000000003</v>
      </c>
      <c r="T8171">
        <v>-0.40156599999999998</v>
      </c>
      <c r="U8171">
        <v>-3.2082519999999999</v>
      </c>
      <c r="V8171">
        <v>0.2312321</v>
      </c>
      <c r="W8171">
        <v>-7.8476139999999993E-3</v>
      </c>
      <c r="X8171">
        <v>0.97286700000000004</v>
      </c>
      <c r="Y8171">
        <v>0.61361290000000002</v>
      </c>
      <c r="Z8171">
        <v>4.3380099999999998E-2</v>
      </c>
      <c r="AA8171">
        <v>0.78841450000000002</v>
      </c>
      <c r="AB8171">
        <v>17</v>
      </c>
      <c r="AC8171">
        <v>2.0352999999999399</v>
      </c>
      <c r="AD8171">
        <v>-1.105815</v>
      </c>
      <c r="AE8171">
        <v>-8.7740789999999897</v>
      </c>
      <c r="AF8171">
        <v>5.4892904533681302</v>
      </c>
      <c r="AG8171">
        <v>-1.105815</v>
      </c>
      <c r="AH8171">
        <v>6.9715959010710904</v>
      </c>
      <c r="AI8171">
        <v>97.103732485450607</v>
      </c>
      <c r="AJ8171">
        <v>51.783835897437399</v>
      </c>
      <c r="AK8171">
        <v>8.9419397170577408</v>
      </c>
      <c r="AL8171">
        <v>90.449639761240306</v>
      </c>
      <c r="AM8171">
        <v>76.629959653038398</v>
      </c>
      <c r="AN8171">
        <v>1.00000003440245</v>
      </c>
    </row>
    <row r="8172" spans="1:40" x14ac:dyDescent="0.25">
      <c r="A8172" t="str">
        <f>"20190312154119827"</f>
        <v>20190312154119827</v>
      </c>
      <c r="B8172" t="str">
        <f>"1552376479824810"</f>
        <v>1552376479824810</v>
      </c>
      <c r="C8172" t="s">
        <v>40</v>
      </c>
      <c r="D8172">
        <v>4.4788779999999999</v>
      </c>
      <c r="E8172">
        <v>0.67415809999999998</v>
      </c>
      <c r="F8172" t="s">
        <v>43</v>
      </c>
      <c r="G8172">
        <v>-307.08580000000001</v>
      </c>
      <c r="H8172">
        <v>-0.05</v>
      </c>
      <c r="I8172">
        <v>3.2167819999999998</v>
      </c>
      <c r="J8172">
        <v>-309.08260000000001</v>
      </c>
      <c r="K8172">
        <v>1.0558240000000001</v>
      </c>
      <c r="L8172">
        <v>12.048159999999999</v>
      </c>
      <c r="M8172">
        <v>0.7769838</v>
      </c>
      <c r="N8172">
        <v>0</v>
      </c>
      <c r="O8172">
        <v>-0.62934599999999996</v>
      </c>
      <c r="P8172">
        <v>0.60960380000000003</v>
      </c>
      <c r="Q8172">
        <v>-2.0633869999999999E-2</v>
      </c>
      <c r="R8172">
        <v>-0.79243799999999998</v>
      </c>
      <c r="S8172">
        <v>0.74575809999999998</v>
      </c>
      <c r="T8172">
        <v>-0.3993891</v>
      </c>
      <c r="U8172">
        <v>-3.2120669999999998</v>
      </c>
      <c r="V8172">
        <v>0.23200380000000001</v>
      </c>
      <c r="W8172">
        <v>-8.7373239999999994E-3</v>
      </c>
      <c r="X8172">
        <v>0.97267559999999997</v>
      </c>
      <c r="Y8172">
        <v>0.61409499999999995</v>
      </c>
      <c r="Z8172">
        <v>4.3710390000000002E-2</v>
      </c>
      <c r="AA8172">
        <v>0.78802079999999997</v>
      </c>
      <c r="AB8172">
        <v>17</v>
      </c>
      <c r="AC8172">
        <v>1.9967999999999999</v>
      </c>
      <c r="AD8172">
        <v>-1.1058239999999999</v>
      </c>
      <c r="AE8172">
        <v>-8.8313779999999902</v>
      </c>
      <c r="AF8172">
        <v>5.5233869998966796</v>
      </c>
      <c r="AG8172">
        <v>-1.1058239999999999</v>
      </c>
      <c r="AH8172">
        <v>7.0057549894987696</v>
      </c>
      <c r="AI8172">
        <v>97.0660084175734</v>
      </c>
      <c r="AJ8172">
        <v>51.747502952793901</v>
      </c>
      <c r="AK8172">
        <v>8.9895079755507492</v>
      </c>
      <c r="AL8172">
        <v>90.500618177480106</v>
      </c>
      <c r="AM8172">
        <v>76.584405256750003</v>
      </c>
      <c r="AN8172">
        <v>0.999999963440239</v>
      </c>
    </row>
    <row r="8173" spans="1:40" x14ac:dyDescent="0.25">
      <c r="A8173" t="str">
        <f>"20190312154119840"</f>
        <v>20190312154119840</v>
      </c>
      <c r="B8173" t="str">
        <f>"1552376479834570"</f>
        <v>1552376479834570</v>
      </c>
      <c r="C8173" t="s">
        <v>40</v>
      </c>
      <c r="D8173">
        <v>4.3329199999999997</v>
      </c>
      <c r="E8173">
        <v>0.67406169999999899</v>
      </c>
      <c r="F8173" t="s">
        <v>43</v>
      </c>
      <c r="G8173">
        <v>-307.03879999999998</v>
      </c>
      <c r="H8173">
        <v>-0.05</v>
      </c>
      <c r="I8173">
        <v>3.0168460000000001</v>
      </c>
      <c r="J8173">
        <v>-309.0061</v>
      </c>
      <c r="K8173">
        <v>1.0558369999999999</v>
      </c>
      <c r="L8173">
        <v>11.977969999999999</v>
      </c>
      <c r="M8173">
        <v>0.77346839999999994</v>
      </c>
      <c r="N8173">
        <v>0</v>
      </c>
      <c r="O8173">
        <v>-0.63366149999999999</v>
      </c>
      <c r="P8173">
        <v>0.60446659999999997</v>
      </c>
      <c r="Q8173">
        <v>-2.1451970000000001E-2</v>
      </c>
      <c r="R8173">
        <v>-0.79634179999999999</v>
      </c>
      <c r="S8173">
        <v>0.72772219999999999</v>
      </c>
      <c r="T8173">
        <v>-0.39374179999999998</v>
      </c>
      <c r="U8173">
        <v>-3.2156980000000002</v>
      </c>
      <c r="V8173">
        <v>0.23285349999999999</v>
      </c>
      <c r="W8173">
        <v>-9.5607399999999999E-3</v>
      </c>
      <c r="X8173">
        <v>0.97246480000000002</v>
      </c>
      <c r="Y8173">
        <v>0.61412619999999996</v>
      </c>
      <c r="Z8173">
        <v>4.3757770000000001E-2</v>
      </c>
      <c r="AA8173">
        <v>0.78799390000000002</v>
      </c>
      <c r="AB8173">
        <v>17</v>
      </c>
      <c r="AC8173">
        <v>1.96730000000002</v>
      </c>
      <c r="AD8173">
        <v>-1.105837</v>
      </c>
      <c r="AE8173">
        <v>-8.9611239999999999</v>
      </c>
      <c r="AF8173">
        <v>5.6037556394681802</v>
      </c>
      <c r="AG8173">
        <v>-1.105837</v>
      </c>
      <c r="AH8173">
        <v>7.0976382881525</v>
      </c>
      <c r="AI8173">
        <v>96.971772623704794</v>
      </c>
      <c r="AJ8173">
        <v>51.708061535730003</v>
      </c>
      <c r="AK8173">
        <v>9.1105116215769506</v>
      </c>
      <c r="AL8173">
        <v>90.547798411134806</v>
      </c>
      <c r="AM8173">
        <v>76.5342449530133</v>
      </c>
      <c r="AN8173">
        <v>0.99999997372531801</v>
      </c>
    </row>
    <row r="8174" spans="1:40" x14ac:dyDescent="0.25">
      <c r="A8174" t="str">
        <f>"20190312154119853"</f>
        <v>20190312154119853</v>
      </c>
      <c r="B8174" t="str">
        <f>"1552376479844329"</f>
        <v>1552376479844329</v>
      </c>
      <c r="C8174" t="s">
        <v>40</v>
      </c>
      <c r="D8174">
        <v>4.2368189999999997</v>
      </c>
      <c r="E8174">
        <v>0.67397839999999998</v>
      </c>
      <c r="F8174" t="s">
        <v>43</v>
      </c>
      <c r="G8174">
        <v>-307.00779999999997</v>
      </c>
      <c r="H8174">
        <v>-0.05</v>
      </c>
      <c r="I8174">
        <v>2.877853</v>
      </c>
      <c r="J8174">
        <v>-308.9314</v>
      </c>
      <c r="K8174">
        <v>1.055847</v>
      </c>
      <c r="L8174">
        <v>11.908480000000001</v>
      </c>
      <c r="M8174">
        <v>0.76999030000000002</v>
      </c>
      <c r="N8174">
        <v>0</v>
      </c>
      <c r="O8174">
        <v>-0.63788350000000005</v>
      </c>
      <c r="P8174">
        <v>0.59952229999999995</v>
      </c>
      <c r="Q8174">
        <v>-2.2152950000000001E-2</v>
      </c>
      <c r="R8174">
        <v>-0.80005179999999998</v>
      </c>
      <c r="S8174">
        <v>0.70706179999999996</v>
      </c>
      <c r="T8174">
        <v>-0.39128740000000001</v>
      </c>
      <c r="U8174">
        <v>-3.2199710000000001</v>
      </c>
      <c r="V8174">
        <v>0.23353489999999999</v>
      </c>
      <c r="W8174">
        <v>-1.026385E-2</v>
      </c>
      <c r="X8174">
        <v>0.97229429999999994</v>
      </c>
      <c r="Y8174">
        <v>0.61486770000000002</v>
      </c>
      <c r="Z8174">
        <v>4.4082650000000001E-2</v>
      </c>
      <c r="AA8174">
        <v>0.78739720000000002</v>
      </c>
      <c r="AB8174">
        <v>17</v>
      </c>
      <c r="AC8174">
        <v>1.92360000000002</v>
      </c>
      <c r="AD8174">
        <v>-1.105847</v>
      </c>
      <c r="AE8174">
        <v>-9.0306270000000008</v>
      </c>
      <c r="AF8174">
        <v>5.6461012202865097</v>
      </c>
      <c r="AG8174">
        <v>-1.105847</v>
      </c>
      <c r="AH8174">
        <v>7.1400170402242296</v>
      </c>
      <c r="AI8174">
        <v>96.926704064494999</v>
      </c>
      <c r="AJ8174">
        <v>51.664159817613701</v>
      </c>
      <c r="AK8174">
        <v>9.1695801382518205</v>
      </c>
      <c r="AL8174">
        <v>90.588085582357195</v>
      </c>
      <c r="AM8174">
        <v>76.493999928928204</v>
      </c>
      <c r="AN8174">
        <v>1.00000005097366</v>
      </c>
    </row>
    <row r="8175" spans="1:40" x14ac:dyDescent="0.25">
      <c r="A8175" t="str">
        <f>"20190312154119864"</f>
        <v>20190312154119864</v>
      </c>
      <c r="B8175" t="str">
        <f>"1552376479854090"</f>
        <v>1552376479854090</v>
      </c>
      <c r="C8175" t="s">
        <v>40</v>
      </c>
      <c r="D8175">
        <v>4.5049270000000003</v>
      </c>
      <c r="E8175">
        <v>0.67355189999999998</v>
      </c>
      <c r="F8175" t="s">
        <v>43</v>
      </c>
      <c r="G8175">
        <v>-306.97550000000001</v>
      </c>
      <c r="H8175">
        <v>-0.05</v>
      </c>
      <c r="I8175">
        <v>2.7323300000000001</v>
      </c>
      <c r="J8175">
        <v>-308.86189999999999</v>
      </c>
      <c r="K8175">
        <v>1.055863</v>
      </c>
      <c r="L8175">
        <v>11.84323</v>
      </c>
      <c r="M8175">
        <v>0.76672229999999997</v>
      </c>
      <c r="N8175">
        <v>0</v>
      </c>
      <c r="O8175">
        <v>-0.64180800000000005</v>
      </c>
      <c r="P8175">
        <v>0.59497159999999905</v>
      </c>
      <c r="Q8175">
        <v>-2.286146E-2</v>
      </c>
      <c r="R8175">
        <v>-0.80342170000000002</v>
      </c>
      <c r="S8175">
        <v>0.68719479999999999</v>
      </c>
      <c r="T8175">
        <v>-0.38854159999999999</v>
      </c>
      <c r="U8175">
        <v>-3.2240600000000001</v>
      </c>
      <c r="V8175">
        <v>0.234065</v>
      </c>
      <c r="W8175">
        <v>-1.0972579999999999E-2</v>
      </c>
      <c r="X8175">
        <v>0.972159</v>
      </c>
      <c r="Y8175">
        <v>0.61570019999999903</v>
      </c>
      <c r="Z8175">
        <v>4.4316889999999998E-2</v>
      </c>
      <c r="AA8175">
        <v>0.78673319999999902</v>
      </c>
      <c r="AB8175">
        <v>17</v>
      </c>
      <c r="AC8175">
        <v>1.8863999999999801</v>
      </c>
      <c r="AD8175">
        <v>-1.10586299999999</v>
      </c>
      <c r="AE8175">
        <v>-9.1109000000000009</v>
      </c>
      <c r="AF8175">
        <v>5.6950038319206904</v>
      </c>
      <c r="AG8175">
        <v>-1.10586299999999</v>
      </c>
      <c r="AH8175">
        <v>7.1929784535394701</v>
      </c>
      <c r="AI8175">
        <v>96.873057192561106</v>
      </c>
      <c r="AJ8175">
        <v>51.629760093725999</v>
      </c>
      <c r="AK8175">
        <v>9.2409382994067997</v>
      </c>
      <c r="AL8175">
        <v>90.628695158268002</v>
      </c>
      <c r="AM8175">
        <v>76.462654998225304</v>
      </c>
      <c r="AN8175">
        <v>0.99999997150892705</v>
      </c>
    </row>
    <row r="8176" spans="1:40" x14ac:dyDescent="0.25">
      <c r="A8176" t="str">
        <f>"20190312154119879"</f>
        <v>20190312154119879</v>
      </c>
      <c r="B8176" t="str">
        <f>"1552376479874585"</f>
        <v>1552376479874585</v>
      </c>
      <c r="C8176" t="s">
        <v>40</v>
      </c>
      <c r="D8176">
        <v>4.5117859999999999</v>
      </c>
      <c r="E8176">
        <v>0.67274299999999998</v>
      </c>
      <c r="F8176" t="s">
        <v>43</v>
      </c>
      <c r="G8176">
        <v>-306.96749999999997</v>
      </c>
      <c r="H8176">
        <v>-0.05</v>
      </c>
      <c r="I8176">
        <v>2.737625</v>
      </c>
      <c r="J8176">
        <v>-308.78309999999999</v>
      </c>
      <c r="K8176">
        <v>1.0558730000000001</v>
      </c>
      <c r="L8176">
        <v>11.768459999999999</v>
      </c>
      <c r="M8176">
        <v>0.76297360000000003</v>
      </c>
      <c r="N8176">
        <v>0</v>
      </c>
      <c r="O8176">
        <v>-0.6462601</v>
      </c>
      <c r="P8176">
        <v>0.58986159999999999</v>
      </c>
      <c r="Q8176">
        <v>-2.4071849999999999E-2</v>
      </c>
      <c r="R8176">
        <v>-0.80714600000000003</v>
      </c>
      <c r="S8176">
        <v>0.67114259999999903</v>
      </c>
      <c r="T8176">
        <v>-0.39177699999999999</v>
      </c>
      <c r="U8176">
        <v>-3.2258610000000001</v>
      </c>
      <c r="V8176">
        <v>0.23453579999999999</v>
      </c>
      <c r="W8176">
        <v>-1.218119E-2</v>
      </c>
      <c r="X8176">
        <v>0.97203119999999998</v>
      </c>
      <c r="Y8176">
        <v>0.61496169999999895</v>
      </c>
      <c r="Z8176">
        <v>4.5428540000000003E-2</v>
      </c>
      <c r="AA8176">
        <v>0.78724740000000004</v>
      </c>
      <c r="AB8176">
        <v>17</v>
      </c>
      <c r="AC8176">
        <v>1.8156000000000101</v>
      </c>
      <c r="AD8176">
        <v>-1.1058729999999899</v>
      </c>
      <c r="AE8176">
        <v>-9.0308349999999997</v>
      </c>
      <c r="AF8176">
        <v>5.6363304950862698</v>
      </c>
      <c r="AG8176">
        <v>-1.1058729999999899</v>
      </c>
      <c r="AH8176">
        <v>7.1197003269709702</v>
      </c>
      <c r="AI8176">
        <v>96.943480124394199</v>
      </c>
      <c r="AJ8176">
        <v>51.633004029438602</v>
      </c>
      <c r="AK8176">
        <v>9.1477488644933302</v>
      </c>
      <c r="AL8176">
        <v>90.697948010840904</v>
      </c>
      <c r="AM8176">
        <v>76.434713478530298</v>
      </c>
      <c r="AN8176">
        <v>1.0000000383224401</v>
      </c>
    </row>
    <row r="8177" spans="1:40" x14ac:dyDescent="0.25">
      <c r="A8177" t="str">
        <f>"20190312154119893"</f>
        <v>20190312154119893</v>
      </c>
      <c r="B8177" t="str">
        <f>"1552376479884346"</f>
        <v>1552376479884346</v>
      </c>
      <c r="C8177" t="s">
        <v>40</v>
      </c>
      <c r="D8177">
        <v>4.4872889999999996</v>
      </c>
      <c r="E8177">
        <v>0.67229189999999905</v>
      </c>
      <c r="F8177" t="s">
        <v>43</v>
      </c>
      <c r="G8177">
        <v>-306.95330000000001</v>
      </c>
      <c r="H8177">
        <v>-0.05</v>
      </c>
      <c r="I8177">
        <v>2.7629999999999999</v>
      </c>
      <c r="J8177">
        <v>-308.70749999999998</v>
      </c>
      <c r="K8177">
        <v>1.0558959999999999</v>
      </c>
      <c r="L8177">
        <v>11.6958</v>
      </c>
      <c r="M8177">
        <v>0.75933470000000003</v>
      </c>
      <c r="N8177">
        <v>0</v>
      </c>
      <c r="O8177">
        <v>-0.650532</v>
      </c>
      <c r="P8177">
        <v>0.58540559999999997</v>
      </c>
      <c r="Q8177">
        <v>-2.4681720000000001E-2</v>
      </c>
      <c r="R8177">
        <v>-0.81036519999999901</v>
      </c>
      <c r="S8177">
        <v>0.65548709999999999</v>
      </c>
      <c r="T8177">
        <v>-0.39614749999999999</v>
      </c>
      <c r="U8177">
        <v>-3.2259519999999999</v>
      </c>
      <c r="V8177">
        <v>0.23441619999999999</v>
      </c>
      <c r="W8177">
        <v>-1.2781280000000001E-2</v>
      </c>
      <c r="X8177">
        <v>0.97205229999999998</v>
      </c>
      <c r="Y8177">
        <v>0.6142128</v>
      </c>
      <c r="Z8177">
        <v>4.6680720000000002E-2</v>
      </c>
      <c r="AA8177">
        <v>0.78775859999999998</v>
      </c>
      <c r="AB8177">
        <v>17</v>
      </c>
      <c r="AC8177">
        <v>1.75419999999996</v>
      </c>
      <c r="AD8177">
        <v>-1.105896</v>
      </c>
      <c r="AE8177">
        <v>-8.9328000000000003</v>
      </c>
      <c r="AF8177">
        <v>5.5603807667210301</v>
      </c>
      <c r="AG8177">
        <v>-1.105896</v>
      </c>
      <c r="AH8177">
        <v>7.0399849142896898</v>
      </c>
      <c r="AI8177">
        <v>97.027639314934802</v>
      </c>
      <c r="AJ8177">
        <v>51.697314986902597</v>
      </c>
      <c r="AK8177">
        <v>9.0389284667577492</v>
      </c>
      <c r="AL8177">
        <v>90.732333344537395</v>
      </c>
      <c r="AM8177">
        <v>76.441659017782399</v>
      </c>
      <c r="AN8177">
        <v>0.999999994938084</v>
      </c>
    </row>
    <row r="8178" spans="1:40" x14ac:dyDescent="0.25">
      <c r="A8178" t="str">
        <f>"20190312154119904"</f>
        <v>20190312154119904</v>
      </c>
      <c r="B8178" t="str">
        <f>"1552376479894105"</f>
        <v>1552376479894105</v>
      </c>
      <c r="C8178" t="s">
        <v>40</v>
      </c>
      <c r="D8178">
        <v>4.7530489999999999</v>
      </c>
      <c r="E8178">
        <v>0.67188959999999998</v>
      </c>
      <c r="F8178" t="s">
        <v>43</v>
      </c>
      <c r="G8178">
        <v>-306.92849999999999</v>
      </c>
      <c r="H8178">
        <v>-0.05</v>
      </c>
      <c r="I8178">
        <v>2.7323460000000002</v>
      </c>
      <c r="J8178">
        <v>-308.6388</v>
      </c>
      <c r="K8178">
        <v>1.0559160000000001</v>
      </c>
      <c r="L8178">
        <v>11.62903</v>
      </c>
      <c r="M8178">
        <v>0.7559922</v>
      </c>
      <c r="N8178">
        <v>0</v>
      </c>
      <c r="O8178">
        <v>-0.65441340000000003</v>
      </c>
      <c r="P8178">
        <v>0.58132189999999995</v>
      </c>
      <c r="Q8178">
        <v>-2.4696280000000001E-2</v>
      </c>
      <c r="R8178">
        <v>-0.81329910000000005</v>
      </c>
      <c r="S8178">
        <v>0.64053340000000003</v>
      </c>
      <c r="T8178">
        <v>-0.3981674</v>
      </c>
      <c r="U8178">
        <v>-3.2272029999999998</v>
      </c>
      <c r="V8178">
        <v>0.23432629999999999</v>
      </c>
      <c r="W8178">
        <v>-1.278749E-2</v>
      </c>
      <c r="X8178">
        <v>0.97207390000000005</v>
      </c>
      <c r="Y8178">
        <v>0.61374849999999903</v>
      </c>
      <c r="Z8178">
        <v>4.7574650000000003E-2</v>
      </c>
      <c r="AA8178">
        <v>0.78806690000000001</v>
      </c>
      <c r="AB8178">
        <v>17</v>
      </c>
      <c r="AC8178">
        <v>1.7103000000000099</v>
      </c>
      <c r="AD8178">
        <v>-1.1059159999999999</v>
      </c>
      <c r="AE8178">
        <v>-8.8966840000000005</v>
      </c>
      <c r="AF8178">
        <v>5.5248658815197196</v>
      </c>
      <c r="AG8178">
        <v>-1.1059159999999999</v>
      </c>
      <c r="AH8178">
        <v>7.0113820299185399</v>
      </c>
      <c r="AI8178">
        <v>97.062409796364904</v>
      </c>
      <c r="AJ8178">
        <v>51.7624101294384</v>
      </c>
      <c r="AK8178">
        <v>8.9948135710142108</v>
      </c>
      <c r="AL8178">
        <v>90.732689176029396</v>
      </c>
      <c r="AM8178">
        <v>76.446956929611403</v>
      </c>
      <c r="AN8178">
        <v>1.0000000009167</v>
      </c>
    </row>
    <row r="8179" spans="1:40" x14ac:dyDescent="0.25">
      <c r="A8179" t="str">
        <f>"20190312154119918"</f>
        <v>20190312154119918</v>
      </c>
      <c r="B8179" t="str">
        <f>"1552376479914603"</f>
        <v>1552376479914603</v>
      </c>
      <c r="C8179" t="s">
        <v>40</v>
      </c>
      <c r="D8179">
        <v>4.4928280000000003</v>
      </c>
      <c r="E8179">
        <v>0.67102680000000003</v>
      </c>
      <c r="F8179" t="s">
        <v>43</v>
      </c>
      <c r="G8179">
        <v>-306.89640000000003</v>
      </c>
      <c r="H8179">
        <v>-0.05</v>
      </c>
      <c r="I8179">
        <v>2.6575319999999998</v>
      </c>
      <c r="J8179">
        <v>-308.56740000000002</v>
      </c>
      <c r="K8179">
        <v>1.055939</v>
      </c>
      <c r="L8179">
        <v>11.559139999999999</v>
      </c>
      <c r="M8179">
        <v>0.7524845</v>
      </c>
      <c r="N8179">
        <v>0</v>
      </c>
      <c r="O8179">
        <v>-0.65844369999999997</v>
      </c>
      <c r="P8179">
        <v>0.57725470000000001</v>
      </c>
      <c r="Q8179">
        <v>-2.43419E-2</v>
      </c>
      <c r="R8179">
        <v>-0.81620109999999901</v>
      </c>
      <c r="S8179">
        <v>0.62701419999999997</v>
      </c>
      <c r="T8179">
        <v>-0.39797100000000002</v>
      </c>
      <c r="U8179">
        <v>-3.2284549999999999</v>
      </c>
      <c r="V8179">
        <v>0.23399690000000001</v>
      </c>
      <c r="W8179">
        <v>-1.242128E-2</v>
      </c>
      <c r="X8179">
        <v>0.97215799999999997</v>
      </c>
      <c r="Y8179">
        <v>0.61278279999999996</v>
      </c>
      <c r="Z8179">
        <v>4.8261640000000001E-2</v>
      </c>
      <c r="AA8179">
        <v>0.78877629999999999</v>
      </c>
      <c r="AB8179">
        <v>17</v>
      </c>
      <c r="AC8179">
        <v>1.67099999999999</v>
      </c>
      <c r="AD8179">
        <v>-1.105939</v>
      </c>
      <c r="AE8179">
        <v>-8.9016079999999995</v>
      </c>
      <c r="AF8179">
        <v>5.5164243405624998</v>
      </c>
      <c r="AG8179">
        <v>-1.105939</v>
      </c>
      <c r="AH8179">
        <v>7.0147964217046601</v>
      </c>
      <c r="AI8179">
        <v>97.064543925144207</v>
      </c>
      <c r="AJ8179">
        <v>51.818547907532498</v>
      </c>
      <c r="AK8179">
        <v>8.9922971155779798</v>
      </c>
      <c r="AL8179">
        <v>90.711705217122201</v>
      </c>
      <c r="AM8179">
        <v>76.466435317957803</v>
      </c>
      <c r="AN8179">
        <v>1.00000000718522</v>
      </c>
    </row>
    <row r="8180" spans="1:40" x14ac:dyDescent="0.25">
      <c r="A8180" t="str">
        <f>"20190312154119932"</f>
        <v>20190312154119932</v>
      </c>
      <c r="B8180" t="str">
        <f>"1552376479924361"</f>
        <v>1552376479924361</v>
      </c>
      <c r="C8180" t="s">
        <v>40</v>
      </c>
      <c r="D8180">
        <v>4.495984</v>
      </c>
      <c r="E8180">
        <v>0.67059709999999995</v>
      </c>
      <c r="F8180" t="s">
        <v>43</v>
      </c>
      <c r="G8180">
        <v>-306.8614</v>
      </c>
      <c r="H8180">
        <v>-0.05</v>
      </c>
      <c r="I8180">
        <v>2.6225890000000001</v>
      </c>
      <c r="J8180">
        <v>-308.48899999999998</v>
      </c>
      <c r="K8180">
        <v>1.0559639999999999</v>
      </c>
      <c r="L8180">
        <v>11.48129</v>
      </c>
      <c r="M8180">
        <v>0.74858780000000003</v>
      </c>
      <c r="N8180">
        <v>0</v>
      </c>
      <c r="O8180">
        <v>-0.66287050000000003</v>
      </c>
      <c r="P8180">
        <v>0.57285589999999997</v>
      </c>
      <c r="Q8180">
        <v>-2.4089050000000001E-2</v>
      </c>
      <c r="R8180">
        <v>-0.81930230000000004</v>
      </c>
      <c r="S8180">
        <v>0.61621090000000001</v>
      </c>
      <c r="T8180">
        <v>-0.3994644</v>
      </c>
      <c r="U8180">
        <v>-3.227875</v>
      </c>
      <c r="V8180">
        <v>0.23350119999999999</v>
      </c>
      <c r="W8180">
        <v>-1.2155060000000001E-2</v>
      </c>
      <c r="X8180">
        <v>0.97228049999999999</v>
      </c>
      <c r="Y8180">
        <v>0.61065829999999999</v>
      </c>
      <c r="Z8180">
        <v>4.930967E-2</v>
      </c>
      <c r="AA8180">
        <v>0.79035749999999905</v>
      </c>
      <c r="AB8180">
        <v>17</v>
      </c>
      <c r="AC8180">
        <v>1.6276000000000199</v>
      </c>
      <c r="AD8180">
        <v>-1.1059639999999999</v>
      </c>
      <c r="AE8180">
        <v>-8.8587009999999999</v>
      </c>
      <c r="AF8180">
        <v>5.47075140996819</v>
      </c>
      <c r="AG8180">
        <v>-1.1059639999999999</v>
      </c>
      <c r="AH8180">
        <v>6.9860192896242204</v>
      </c>
      <c r="AI8180">
        <v>97.104763501710593</v>
      </c>
      <c r="AJ8180">
        <v>51.935505721191298</v>
      </c>
      <c r="AK8180">
        <v>8.9418534361712005</v>
      </c>
      <c r="AL8180">
        <v>90.696450813595703</v>
      </c>
      <c r="AM8180">
        <v>76.495692863080095</v>
      </c>
      <c r="AN8180">
        <v>0.99999996328264595</v>
      </c>
    </row>
    <row r="8181" spans="1:40" x14ac:dyDescent="0.25">
      <c r="A8181" t="str">
        <f>"20190312154119946"</f>
        <v>20190312154119946</v>
      </c>
      <c r="B8181" t="str">
        <f>"1552376479934121"</f>
        <v>1552376479934121</v>
      </c>
      <c r="C8181" t="s">
        <v>40</v>
      </c>
      <c r="D8181">
        <v>4.5160339999999897</v>
      </c>
      <c r="E8181">
        <v>0.67015419999999903</v>
      </c>
      <c r="F8181" t="s">
        <v>43</v>
      </c>
      <c r="G8181">
        <v>-306.82530000000003</v>
      </c>
      <c r="H8181">
        <v>-0.05</v>
      </c>
      <c r="I8181">
        <v>2.5602420000000001</v>
      </c>
      <c r="J8181">
        <v>-308.41180000000003</v>
      </c>
      <c r="K8181">
        <v>1.055982</v>
      </c>
      <c r="L8181">
        <v>11.40381</v>
      </c>
      <c r="M8181">
        <v>0.74470819999999904</v>
      </c>
      <c r="N8181">
        <v>0</v>
      </c>
      <c r="O8181">
        <v>-0.6672264</v>
      </c>
      <c r="P8181">
        <v>0.56884939999999995</v>
      </c>
      <c r="Q8181">
        <v>-2.3123339999999999E-2</v>
      </c>
      <c r="R8181">
        <v>-0.82211690000000004</v>
      </c>
      <c r="S8181">
        <v>0.60217290000000001</v>
      </c>
      <c r="T8181">
        <v>-0.40028849999999999</v>
      </c>
      <c r="U8181">
        <v>-3.2288510000000001</v>
      </c>
      <c r="V8181">
        <v>0.23260729999999999</v>
      </c>
      <c r="W8181">
        <v>-1.117112E-2</v>
      </c>
      <c r="X8181">
        <v>0.9725066</v>
      </c>
      <c r="Y8181">
        <v>0.60941730000000005</v>
      </c>
      <c r="Z8181">
        <v>5.0200399999999999E-2</v>
      </c>
      <c r="AA8181">
        <v>0.79125880000000004</v>
      </c>
      <c r="AB8181">
        <v>17</v>
      </c>
      <c r="AC8181">
        <v>1.5865</v>
      </c>
      <c r="AD8181">
        <v>-1.105982</v>
      </c>
      <c r="AE8181">
        <v>-8.8435679999999994</v>
      </c>
      <c r="AF8181">
        <v>5.4454155526538397</v>
      </c>
      <c r="AG8181">
        <v>-1.105982</v>
      </c>
      <c r="AH8181">
        <v>6.9771939409468899</v>
      </c>
      <c r="AI8181">
        <v>97.122800089268196</v>
      </c>
      <c r="AJ8181">
        <v>52.029412965521701</v>
      </c>
      <c r="AK8181">
        <v>8.91947207041955</v>
      </c>
      <c r="AL8181">
        <v>90.640071329905396</v>
      </c>
      <c r="AM8181">
        <v>76.548521975586993</v>
      </c>
      <c r="AN8181">
        <v>1.00000001848945</v>
      </c>
    </row>
    <row r="8182" spans="1:40" x14ac:dyDescent="0.25">
      <c r="A8182" t="str">
        <f>"20190312154119969"</f>
        <v>20190312154119969</v>
      </c>
      <c r="B8182" t="str">
        <f>"1552376479964377"</f>
        <v>1552376479964377</v>
      </c>
      <c r="C8182" t="s">
        <v>40</v>
      </c>
      <c r="D8182">
        <v>4.5129440000000001</v>
      </c>
      <c r="E8182">
        <v>0.66883400000000004</v>
      </c>
      <c r="F8182" t="s">
        <v>43</v>
      </c>
      <c r="G8182">
        <v>-306.77539999999999</v>
      </c>
      <c r="H8182">
        <v>-0.05</v>
      </c>
      <c r="I8182">
        <v>2.4301759999999999</v>
      </c>
      <c r="J8182">
        <v>-308.28699999999998</v>
      </c>
      <c r="K8182">
        <v>1.0560179999999999</v>
      </c>
      <c r="L8182">
        <v>11.276669999999999</v>
      </c>
      <c r="M8182">
        <v>0.73833780000000004</v>
      </c>
      <c r="N8182">
        <v>0</v>
      </c>
      <c r="O8182">
        <v>-0.67426909999999995</v>
      </c>
      <c r="P8182">
        <v>0.5619651</v>
      </c>
      <c r="Q8182">
        <v>-2.2521260000000001E-2</v>
      </c>
      <c r="R8182">
        <v>-0.82685429999999904</v>
      </c>
      <c r="S8182">
        <v>0.58908079999999996</v>
      </c>
      <c r="T8182">
        <v>-0.39812959999999997</v>
      </c>
      <c r="U8182">
        <v>-3.2303160000000002</v>
      </c>
      <c r="V8182">
        <v>0.23151050000000001</v>
      </c>
      <c r="W8182">
        <v>-1.0546710000000001E-2</v>
      </c>
      <c r="X8182">
        <v>0.97277519999999995</v>
      </c>
      <c r="Y8182">
        <v>0.60508850000000003</v>
      </c>
      <c r="Z8182">
        <v>5.1324870000000002E-2</v>
      </c>
      <c r="AA8182">
        <v>0.79450220000000005</v>
      </c>
      <c r="AB8182">
        <v>17</v>
      </c>
      <c r="AC8182">
        <v>1.51160000000004</v>
      </c>
      <c r="AD8182">
        <v>-1.1060179999999999</v>
      </c>
      <c r="AE8182">
        <v>-8.8464939999999999</v>
      </c>
      <c r="AF8182">
        <v>5.4306012468060496</v>
      </c>
      <c r="AG8182">
        <v>-1.1060179999999999</v>
      </c>
      <c r="AH8182">
        <v>6.9758179951317096</v>
      </c>
      <c r="AI8182">
        <v>97.131157608433995</v>
      </c>
      <c r="AJ8182">
        <v>52.0996159175982</v>
      </c>
      <c r="AK8182">
        <v>8.9093626269974493</v>
      </c>
      <c r="AL8182">
        <v>90.6042931938115</v>
      </c>
      <c r="AM8182">
        <v>76.613223640450698</v>
      </c>
      <c r="AN8182">
        <v>0.999999967218556</v>
      </c>
    </row>
    <row r="8183" spans="1:40" x14ac:dyDescent="0.25">
      <c r="A8183" t="str">
        <f>"20190312154119991"</f>
        <v>20190312154119991</v>
      </c>
      <c r="B8183" t="str">
        <f>"1552376479983897"</f>
        <v>1552376479983897</v>
      </c>
      <c r="C8183" t="s">
        <v>40</v>
      </c>
      <c r="D8183">
        <v>4.5069299999999997</v>
      </c>
      <c r="E8183">
        <v>0.66789409999999905</v>
      </c>
      <c r="F8183" t="s">
        <v>43</v>
      </c>
      <c r="G8183">
        <v>-306.70330000000001</v>
      </c>
      <c r="H8183">
        <v>-0.05</v>
      </c>
      <c r="I8183">
        <v>2.3190770000000001</v>
      </c>
      <c r="J8183">
        <v>-308.16919999999999</v>
      </c>
      <c r="K8183">
        <v>1.0560529999999999</v>
      </c>
      <c r="L8183">
        <v>11.15436</v>
      </c>
      <c r="M8183">
        <v>0.73220629999999998</v>
      </c>
      <c r="N8183">
        <v>0</v>
      </c>
      <c r="O8183">
        <v>-0.6809229</v>
      </c>
      <c r="P8183">
        <v>0.55548699999999995</v>
      </c>
      <c r="Q8183">
        <v>-2.249636E-2</v>
      </c>
      <c r="R8183">
        <v>-0.83122090000000004</v>
      </c>
      <c r="S8183">
        <v>0.57095340000000006</v>
      </c>
      <c r="T8183">
        <v>-0.398731</v>
      </c>
      <c r="U8183">
        <v>-3.2293090000000002</v>
      </c>
      <c r="V8183">
        <v>0.2303105</v>
      </c>
      <c r="W8183">
        <v>-1.050037E-2</v>
      </c>
      <c r="X8183">
        <v>0.97306049999999999</v>
      </c>
      <c r="Y8183">
        <v>0.60218689999999997</v>
      </c>
      <c r="Z8183">
        <v>5.2697880000000002E-2</v>
      </c>
      <c r="AA8183">
        <v>0.79661409999999999</v>
      </c>
      <c r="AB8183">
        <v>17</v>
      </c>
      <c r="AC8183">
        <v>1.46589999999997</v>
      </c>
      <c r="AD8183">
        <v>-1.106053</v>
      </c>
      <c r="AE8183">
        <v>-8.8352830000000004</v>
      </c>
      <c r="AF8183">
        <v>5.3894826498672597</v>
      </c>
      <c r="AG8183">
        <v>-1.106053</v>
      </c>
      <c r="AH8183">
        <v>6.9837465857528898</v>
      </c>
      <c r="AI8183">
        <v>97.146520872002796</v>
      </c>
      <c r="AJ8183">
        <v>52.341986123821798</v>
      </c>
      <c r="AK8183">
        <v>8.8905901292346403</v>
      </c>
      <c r="AL8183">
        <v>90.601637964360904</v>
      </c>
      <c r="AM8183">
        <v>76.683898969628302</v>
      </c>
      <c r="AN8183">
        <v>0.99999996042031702</v>
      </c>
    </row>
    <row r="8184" spans="1:40" x14ac:dyDescent="0.25">
      <c r="A8184" t="str">
        <f>"20190312154120006"</f>
        <v>20190312154120006</v>
      </c>
      <c r="B8184" t="str">
        <f>"1552376479994633"</f>
        <v>1552376479994633</v>
      </c>
      <c r="C8184" t="s">
        <v>40</v>
      </c>
      <c r="D8184">
        <v>4.5275100000000004</v>
      </c>
      <c r="E8184">
        <v>0.66745030000000005</v>
      </c>
      <c r="F8184" t="s">
        <v>43</v>
      </c>
      <c r="G8184">
        <v>-306.6431</v>
      </c>
      <c r="H8184">
        <v>-0.05</v>
      </c>
      <c r="I8184">
        <v>2.2236479999999998</v>
      </c>
      <c r="J8184">
        <v>-308.08909999999997</v>
      </c>
      <c r="K8184">
        <v>1.056068</v>
      </c>
      <c r="L8184">
        <v>11.069850000000001</v>
      </c>
      <c r="M8184">
        <v>0.72796709999999998</v>
      </c>
      <c r="N8184">
        <v>0</v>
      </c>
      <c r="O8184">
        <v>-0.68545319999999899</v>
      </c>
      <c r="P8184">
        <v>0.55052089999999998</v>
      </c>
      <c r="Q8184">
        <v>-2.2422609999999999E-2</v>
      </c>
      <c r="R8184">
        <v>-0.83452000000000004</v>
      </c>
      <c r="S8184">
        <v>0.55187989999999998</v>
      </c>
      <c r="T8184">
        <v>-0.39996700000000002</v>
      </c>
      <c r="U8184">
        <v>-3.229492</v>
      </c>
      <c r="V8184">
        <v>0.23007730000000001</v>
      </c>
      <c r="W8184">
        <v>-1.04207E-2</v>
      </c>
      <c r="X8184">
        <v>0.9731166</v>
      </c>
      <c r="Y8184">
        <v>0.60182019999999903</v>
      </c>
      <c r="Z8184">
        <v>5.3651919999999999E-2</v>
      </c>
      <c r="AA8184">
        <v>0.79682739999999996</v>
      </c>
      <c r="AB8184">
        <v>17</v>
      </c>
      <c r="AC8184">
        <v>1.44599999999996</v>
      </c>
      <c r="AD8184">
        <v>-1.1060680000000001</v>
      </c>
      <c r="AE8184">
        <v>-8.8462019999999999</v>
      </c>
      <c r="AF8184">
        <v>5.3674451050492102</v>
      </c>
      <c r="AG8184">
        <v>-1.1060680000000001</v>
      </c>
      <c r="AH8184">
        <v>7.0103306727102099</v>
      </c>
      <c r="AI8184">
        <v>97.140491490385898</v>
      </c>
      <c r="AJ8184">
        <v>52.560600488594801</v>
      </c>
      <c r="AK8184">
        <v>8.8981790000585104</v>
      </c>
      <c r="AL8184">
        <v>90.597072914484798</v>
      </c>
      <c r="AM8184">
        <v>76.697642186131802</v>
      </c>
      <c r="AN8184">
        <v>1.0000000360796599</v>
      </c>
    </row>
    <row r="8185" spans="1:40" x14ac:dyDescent="0.25">
      <c r="A8185" t="str">
        <f>"20190312154120020"</f>
        <v>20190312154120020</v>
      </c>
      <c r="B8185" t="str">
        <f>"1552376480014154"</f>
        <v>1552376480014154</v>
      </c>
      <c r="C8185" t="s">
        <v>40</v>
      </c>
      <c r="D8185">
        <v>4.543895</v>
      </c>
      <c r="E8185">
        <v>0.66657149999999998</v>
      </c>
      <c r="F8185" t="s">
        <v>43</v>
      </c>
      <c r="G8185">
        <v>-306.61250000000001</v>
      </c>
      <c r="H8185">
        <v>-0.05</v>
      </c>
      <c r="I8185">
        <v>2.1625209999999999</v>
      </c>
      <c r="J8185">
        <v>-308.01519999999999</v>
      </c>
      <c r="K8185">
        <v>1.056084</v>
      </c>
      <c r="L8185">
        <v>10.991059999999999</v>
      </c>
      <c r="M8185">
        <v>0.72400909999999996</v>
      </c>
      <c r="N8185">
        <v>0</v>
      </c>
      <c r="O8185">
        <v>-0.68963299999999905</v>
      </c>
      <c r="P8185">
        <v>0.54587669999999999</v>
      </c>
      <c r="Q8185">
        <v>-2.2004909999999999E-2</v>
      </c>
      <c r="R8185">
        <v>-0.83757680000000001</v>
      </c>
      <c r="S8185">
        <v>0.53555299999999995</v>
      </c>
      <c r="T8185">
        <v>-0.4011807</v>
      </c>
      <c r="U8185">
        <v>-3.2307739999999998</v>
      </c>
      <c r="V8185">
        <v>0.22989319999999999</v>
      </c>
      <c r="W8185">
        <v>-9.9980320000000004E-3</v>
      </c>
      <c r="X8185">
        <v>0.97316449999999999</v>
      </c>
      <c r="Y8185">
        <v>0.60120340000000005</v>
      </c>
      <c r="Z8185">
        <v>5.4543229999999998E-2</v>
      </c>
      <c r="AA8185">
        <v>0.79723239999999995</v>
      </c>
      <c r="AB8185">
        <v>17</v>
      </c>
      <c r="AC8185">
        <v>1.4026999999999801</v>
      </c>
      <c r="AD8185">
        <v>-1.1060840000000001</v>
      </c>
      <c r="AE8185">
        <v>-8.8285389999999992</v>
      </c>
      <c r="AF8185">
        <v>5.3433770342926596</v>
      </c>
      <c r="AG8185">
        <v>-1.1060840000000001</v>
      </c>
      <c r="AH8185">
        <v>6.99765762226607</v>
      </c>
      <c r="AI8185">
        <v>97.160407373378902</v>
      </c>
      <c r="AJ8185">
        <v>52.634824192327599</v>
      </c>
      <c r="AK8185">
        <v>8.8736865024701395</v>
      </c>
      <c r="AL8185">
        <v>90.572854584531498</v>
      </c>
      <c r="AM8185">
        <v>76.708539344721302</v>
      </c>
      <c r="AN8185">
        <v>0.99999999405518103</v>
      </c>
    </row>
    <row r="8186" spans="1:40" x14ac:dyDescent="0.25">
      <c r="A8186" t="str">
        <f>"20190312154120032"</f>
        <v>20190312154120032</v>
      </c>
      <c r="B8186" t="str">
        <f>"1552376480023914"</f>
        <v>1552376480023914</v>
      </c>
      <c r="C8186" t="s">
        <v>40</v>
      </c>
      <c r="D8186">
        <v>4.5478129999999997</v>
      </c>
      <c r="E8186">
        <v>0.66612510000000003</v>
      </c>
      <c r="F8186" t="s">
        <v>43</v>
      </c>
      <c r="G8186">
        <v>-306.57499999999999</v>
      </c>
      <c r="H8186">
        <v>-0.05</v>
      </c>
      <c r="I8186">
        <v>2.1089169999999999</v>
      </c>
      <c r="J8186">
        <v>-307.94459999999998</v>
      </c>
      <c r="K8186">
        <v>1.0561</v>
      </c>
      <c r="L8186">
        <v>10.914949999999999</v>
      </c>
      <c r="M8186">
        <v>0.72018530000000003</v>
      </c>
      <c r="N8186">
        <v>0</v>
      </c>
      <c r="O8186">
        <v>-0.69362489999999999</v>
      </c>
      <c r="P8186">
        <v>0.54132060000000004</v>
      </c>
      <c r="Q8186">
        <v>-2.1867959999999999E-2</v>
      </c>
      <c r="R8186">
        <v>-0.84053180000000005</v>
      </c>
      <c r="S8186">
        <v>0.52371219999999996</v>
      </c>
      <c r="T8186">
        <v>-0.40221469999999998</v>
      </c>
      <c r="U8186">
        <v>-3.229889</v>
      </c>
      <c r="V8186">
        <v>0.2298017</v>
      </c>
      <c r="W8186">
        <v>-9.8577330000000005E-3</v>
      </c>
      <c r="X8186">
        <v>0.97318760000000004</v>
      </c>
      <c r="Y8186">
        <v>0.59961129999999996</v>
      </c>
      <c r="Z8186">
        <v>5.5468240000000002E-2</v>
      </c>
      <c r="AA8186">
        <v>0.79836680000000004</v>
      </c>
      <c r="AB8186">
        <v>17</v>
      </c>
      <c r="AC8186">
        <v>1.3695999999999899</v>
      </c>
      <c r="AD8186">
        <v>-1.1061000000000001</v>
      </c>
      <c r="AE8186">
        <v>-8.8060329999999993</v>
      </c>
      <c r="AF8186">
        <v>5.3107639752061697</v>
      </c>
      <c r="AG8186">
        <v>-1.1061000000000001</v>
      </c>
      <c r="AH8186">
        <v>6.9875814029903696</v>
      </c>
      <c r="AI8186">
        <v>97.182936899750999</v>
      </c>
      <c r="AJ8186">
        <v>52.764115561343203</v>
      </c>
      <c r="AK8186">
        <v>8.8461271228580394</v>
      </c>
      <c r="AL8186">
        <v>90.564815615840502</v>
      </c>
      <c r="AM8186">
        <v>76.713946025540096</v>
      </c>
      <c r="AN8186">
        <v>1.00000005050827</v>
      </c>
    </row>
    <row r="8187" spans="1:40" x14ac:dyDescent="0.25">
      <c r="A8187" t="str">
        <f>"20190312154120046"</f>
        <v>20190312154120046</v>
      </c>
      <c r="B8187" t="str">
        <f>"1552376480034650"</f>
        <v>1552376480034650</v>
      </c>
      <c r="C8187" t="s">
        <v>40</v>
      </c>
      <c r="D8187">
        <v>4.5437940000000001</v>
      </c>
      <c r="E8187">
        <v>0.66566340000000002</v>
      </c>
      <c r="F8187" t="s">
        <v>43</v>
      </c>
      <c r="G8187">
        <v>-306.54640000000001</v>
      </c>
      <c r="H8187">
        <v>-0.05</v>
      </c>
      <c r="I8187">
        <v>2.0426030000000002</v>
      </c>
      <c r="J8187">
        <v>-307.87939999999998</v>
      </c>
      <c r="K8187">
        <v>1.0561149999999999</v>
      </c>
      <c r="L8187">
        <v>10.843780000000001</v>
      </c>
      <c r="M8187">
        <v>0.71660789999999996</v>
      </c>
      <c r="N8187">
        <v>0</v>
      </c>
      <c r="O8187">
        <v>-0.69732050000000001</v>
      </c>
      <c r="P8187">
        <v>0.53685309999999997</v>
      </c>
      <c r="Q8187">
        <v>-2.1516489999999999E-2</v>
      </c>
      <c r="R8187">
        <v>-0.84340139999999997</v>
      </c>
      <c r="S8187">
        <v>0.50915529999999998</v>
      </c>
      <c r="T8187">
        <v>-0.4027829</v>
      </c>
      <c r="U8187">
        <v>-3.2308349999999999</v>
      </c>
      <c r="V8187">
        <v>0.2299698</v>
      </c>
      <c r="W8187">
        <v>-9.5066639999999997E-3</v>
      </c>
      <c r="X8187">
        <v>0.97315130000000005</v>
      </c>
      <c r="Y8187">
        <v>0.59905109999999995</v>
      </c>
      <c r="Z8187">
        <v>5.6199680000000002E-2</v>
      </c>
      <c r="AA8187">
        <v>0.79873609999999995</v>
      </c>
      <c r="AB8187">
        <v>17</v>
      </c>
      <c r="AC8187">
        <v>1.33299999999997</v>
      </c>
      <c r="AD8187">
        <v>-1.106115</v>
      </c>
      <c r="AE8187">
        <v>-8.8011769999999991</v>
      </c>
      <c r="AF8187">
        <v>5.2962703878071196</v>
      </c>
      <c r="AG8187">
        <v>-1.106115</v>
      </c>
      <c r="AH8187">
        <v>6.9853901120720998</v>
      </c>
      <c r="AI8187">
        <v>97.191554025945507</v>
      </c>
      <c r="AJ8187">
        <v>52.8308685860002</v>
      </c>
      <c r="AK8187">
        <v>8.8357028827265491</v>
      </c>
      <c r="AL8187">
        <v>90.544699946166702</v>
      </c>
      <c r="AM8187">
        <v>76.704093972733403</v>
      </c>
      <c r="AN8187">
        <v>0.99999996913206901</v>
      </c>
    </row>
    <row r="8188" spans="1:40" x14ac:dyDescent="0.25">
      <c r="A8188" t="str">
        <f>"20190312154120061"</f>
        <v>20190312154120061</v>
      </c>
      <c r="B8188" t="str">
        <f>"1552376480054320"</f>
        <v>1552376480054320</v>
      </c>
      <c r="C8188" t="s">
        <v>40</v>
      </c>
      <c r="D8188">
        <v>4.5517010000000004</v>
      </c>
      <c r="E8188">
        <v>0.66522569999999903</v>
      </c>
      <c r="F8188" t="s">
        <v>43</v>
      </c>
      <c r="G8188">
        <v>-306.51949999999999</v>
      </c>
      <c r="H8188">
        <v>-0.05</v>
      </c>
      <c r="I8188">
        <v>1.964264</v>
      </c>
      <c r="J8188">
        <v>-307.80549999999999</v>
      </c>
      <c r="K8188">
        <v>1.0561309999999999</v>
      </c>
      <c r="L8188">
        <v>10.76233</v>
      </c>
      <c r="M8188">
        <v>0.71250690000000005</v>
      </c>
      <c r="N8188">
        <v>0</v>
      </c>
      <c r="O8188">
        <v>-0.70151039999999998</v>
      </c>
      <c r="P8188">
        <v>0.53208710000000004</v>
      </c>
      <c r="Q8188">
        <v>-2.1486870000000002E-2</v>
      </c>
      <c r="R8188">
        <v>-0.84641710000000003</v>
      </c>
      <c r="S8188">
        <v>0.49496459999999998</v>
      </c>
      <c r="T8188">
        <v>-0.40257270000000001</v>
      </c>
      <c r="U8188">
        <v>-3.2317200000000001</v>
      </c>
      <c r="V8188">
        <v>0.22975409999999999</v>
      </c>
      <c r="W8188">
        <v>-9.4720889999999995E-3</v>
      </c>
      <c r="X8188">
        <v>0.97320260000000003</v>
      </c>
      <c r="Y8188">
        <v>0.59783090000000005</v>
      </c>
      <c r="Z8188">
        <v>5.6944889999999998E-2</v>
      </c>
      <c r="AA8188">
        <v>0.79959709999999995</v>
      </c>
      <c r="AB8188">
        <v>17</v>
      </c>
      <c r="AC8188">
        <v>1.286</v>
      </c>
      <c r="AD8188">
        <v>-1.106131</v>
      </c>
      <c r="AE8188">
        <v>-8.7980660000000004</v>
      </c>
      <c r="AF8188">
        <v>5.2853274048576102</v>
      </c>
      <c r="AG8188">
        <v>-1.106131</v>
      </c>
      <c r="AH8188">
        <v>6.9809512099558102</v>
      </c>
      <c r="AI8188">
        <v>97.199903246046006</v>
      </c>
      <c r="AJ8188">
        <v>52.870379465961904</v>
      </c>
      <c r="AK8188">
        <v>8.8256382976804293</v>
      </c>
      <c r="AL8188">
        <v>90.542718847373493</v>
      </c>
      <c r="AM8188">
        <v>76.716797946168398</v>
      </c>
      <c r="AN8188">
        <v>0.999999983791796</v>
      </c>
    </row>
    <row r="8189" spans="1:40" x14ac:dyDescent="0.25">
      <c r="A8189" t="str">
        <f>"20190312154120072"</f>
        <v>20190312154120072</v>
      </c>
      <c r="B8189" t="str">
        <f>"1552376480064080"</f>
        <v>1552376480064080</v>
      </c>
      <c r="C8189" t="s">
        <v>40</v>
      </c>
      <c r="D8189">
        <v>4.5434400000000004</v>
      </c>
      <c r="E8189">
        <v>0.62894589999999995</v>
      </c>
      <c r="F8189" t="s">
        <v>43</v>
      </c>
      <c r="G8189">
        <v>-306.48970000000003</v>
      </c>
      <c r="H8189">
        <v>-0.05</v>
      </c>
      <c r="I8189">
        <v>1.893097</v>
      </c>
      <c r="J8189">
        <v>-307.74040000000002</v>
      </c>
      <c r="K8189">
        <v>1.0561430000000001</v>
      </c>
      <c r="L8189">
        <v>10.68979</v>
      </c>
      <c r="M8189">
        <v>0.70885379999999998</v>
      </c>
      <c r="N8189">
        <v>0</v>
      </c>
      <c r="O8189">
        <v>-0.70520169999999904</v>
      </c>
      <c r="P8189">
        <v>0.52742</v>
      </c>
      <c r="Q8189">
        <v>-2.1380590000000001E-2</v>
      </c>
      <c r="R8189">
        <v>-0.84933579999999997</v>
      </c>
      <c r="S8189">
        <v>0.4795837</v>
      </c>
      <c r="T8189">
        <v>-0.4031595</v>
      </c>
      <c r="U8189">
        <v>-3.2326350000000001</v>
      </c>
      <c r="V8189">
        <v>0.2300595</v>
      </c>
      <c r="W8189">
        <v>-9.3682330000000001E-3</v>
      </c>
      <c r="X8189">
        <v>0.97313150000000004</v>
      </c>
      <c r="Y8189">
        <v>0.59743219999999997</v>
      </c>
      <c r="Z8189">
        <v>5.7674799999999998E-2</v>
      </c>
      <c r="AA8189">
        <v>0.79984270000000002</v>
      </c>
      <c r="AB8189">
        <v>17</v>
      </c>
      <c r="AC8189">
        <v>1.2506999999999899</v>
      </c>
      <c r="AD8189">
        <v>-1.1061430000000001</v>
      </c>
      <c r="AE8189">
        <v>-8.7966929999999905</v>
      </c>
      <c r="AF8189">
        <v>5.2724387077360397</v>
      </c>
      <c r="AG8189">
        <v>-1.1061430000000001</v>
      </c>
      <c r="AH8189">
        <v>6.9825554321399599</v>
      </c>
      <c r="AI8189">
        <v>97.205268002291504</v>
      </c>
      <c r="AJ8189">
        <v>52.944010859212597</v>
      </c>
      <c r="AK8189">
        <v>8.8191973912703396</v>
      </c>
      <c r="AL8189">
        <v>90.536768049665199</v>
      </c>
      <c r="AM8189">
        <v>76.698831168856302</v>
      </c>
      <c r="AN8189">
        <v>1.0000000268110201</v>
      </c>
    </row>
    <row r="8190" spans="1:40" x14ac:dyDescent="0.25">
      <c r="A8190" t="str">
        <f>"20190312154120086"</f>
        <v>20190312154120086</v>
      </c>
      <c r="B8190" t="str">
        <f>"1552376480074815"</f>
        <v>1552376480074815</v>
      </c>
      <c r="C8190" t="s">
        <v>40</v>
      </c>
      <c r="D8190">
        <v>4.5437479999999999</v>
      </c>
      <c r="E8190">
        <v>0.62753919999999996</v>
      </c>
      <c r="F8190" t="s">
        <v>43</v>
      </c>
      <c r="G8190">
        <v>-306.13830000000002</v>
      </c>
      <c r="H8190">
        <v>-0.05</v>
      </c>
      <c r="I8190">
        <v>3.7093509999999998</v>
      </c>
      <c r="J8190">
        <v>-307.67579999999998</v>
      </c>
      <c r="K8190">
        <v>1.0561560000000001</v>
      </c>
      <c r="L8190">
        <v>10.61688</v>
      </c>
      <c r="M8190">
        <v>0.70517989999999997</v>
      </c>
      <c r="N8190">
        <v>0</v>
      </c>
      <c r="O8190">
        <v>-0.70887540000000004</v>
      </c>
      <c r="P8190">
        <v>0.52264900000000003</v>
      </c>
      <c r="Q8190">
        <v>-2.1377779999999999E-2</v>
      </c>
      <c r="R8190">
        <v>-0.85227969999999897</v>
      </c>
      <c r="S8190">
        <v>0.70712280000000005</v>
      </c>
      <c r="T8190">
        <v>-0.48819639999999997</v>
      </c>
      <c r="U8190">
        <v>-3.0808110000000002</v>
      </c>
      <c r="V8190">
        <v>0.2304599</v>
      </c>
      <c r="W8190">
        <v>-9.3692389999999997E-3</v>
      </c>
      <c r="X8190">
        <v>0.97303669999999998</v>
      </c>
      <c r="Y8190">
        <v>0.52892329999999999</v>
      </c>
      <c r="Z8190">
        <v>7.7619220000000003E-2</v>
      </c>
      <c r="AA8190">
        <v>0.84511270000000005</v>
      </c>
      <c r="AB8190">
        <v>17</v>
      </c>
      <c r="AC8190">
        <v>1.5374999999999599</v>
      </c>
      <c r="AD8190">
        <v>-1.1061559999999999</v>
      </c>
      <c r="AE8190">
        <v>-6.9075289999999896</v>
      </c>
      <c r="AF8190">
        <v>3.69137156397976</v>
      </c>
      <c r="AG8190">
        <v>-1.1061559999999999</v>
      </c>
      <c r="AH8190">
        <v>5.8387782180578798</v>
      </c>
      <c r="AI8190">
        <v>99.097633721216098</v>
      </c>
      <c r="AJ8190">
        <v>57.698252899175202</v>
      </c>
      <c r="AK8190">
        <v>6.99579417931671</v>
      </c>
      <c r="AL8190">
        <v>90.536825714812394</v>
      </c>
      <c r="AM8190">
        <v>76.675254665021995</v>
      </c>
      <c r="AN8190">
        <v>0.99999998384716904</v>
      </c>
    </row>
    <row r="8191" spans="1:40" x14ac:dyDescent="0.25">
      <c r="A8191" t="str">
        <f>"20190312154120103"</f>
        <v>20190312154120103</v>
      </c>
      <c r="B8191" t="str">
        <f>"1552376480094336"</f>
        <v>1552376480094336</v>
      </c>
      <c r="C8191" t="s">
        <v>40</v>
      </c>
      <c r="D8191">
        <v>4.545255</v>
      </c>
      <c r="E8191">
        <v>0.62666929999999998</v>
      </c>
      <c r="F8191" t="s">
        <v>43</v>
      </c>
      <c r="G8191">
        <v>-306.06779999999998</v>
      </c>
      <c r="H8191">
        <v>-0.05</v>
      </c>
      <c r="I8191">
        <v>3.5400089999999902</v>
      </c>
      <c r="J8191">
        <v>-307.59230000000002</v>
      </c>
      <c r="K8191">
        <v>1.0561750000000001</v>
      </c>
      <c r="L8191">
        <v>10.52158</v>
      </c>
      <c r="M8191">
        <v>0.70036969999999898</v>
      </c>
      <c r="N8191">
        <v>0</v>
      </c>
      <c r="O8191">
        <v>-0.71362879999999995</v>
      </c>
      <c r="P8191">
        <v>0.51638070000000003</v>
      </c>
      <c r="Q8191">
        <v>-2.09704E-2</v>
      </c>
      <c r="R8191">
        <v>-0.85610249999999999</v>
      </c>
      <c r="S8191">
        <v>0.69958500000000001</v>
      </c>
      <c r="T8191">
        <v>-0.48124329999999998</v>
      </c>
      <c r="U8191">
        <v>-3.0788570000000002</v>
      </c>
      <c r="V8191">
        <v>0.23103080000000001</v>
      </c>
      <c r="W8191">
        <v>-8.9673879999999997E-3</v>
      </c>
      <c r="X8191">
        <v>0.97290509999999997</v>
      </c>
      <c r="Y8191">
        <v>0.52506679999999994</v>
      </c>
      <c r="Z8191">
        <v>7.7800330000000001E-2</v>
      </c>
      <c r="AA8191">
        <v>0.84749750000000001</v>
      </c>
      <c r="AB8191">
        <v>17</v>
      </c>
      <c r="AC8191">
        <v>1.5245000000000399</v>
      </c>
      <c r="AD8191">
        <v>-1.1061749999999999</v>
      </c>
      <c r="AE8191">
        <v>-6.9815709999999997</v>
      </c>
      <c r="AF8191">
        <v>3.7131914956853</v>
      </c>
      <c r="AG8191">
        <v>-1.1061749999999999</v>
      </c>
      <c r="AH8191">
        <v>5.9090293063787502</v>
      </c>
      <c r="AI8191">
        <v>99.006670907874394</v>
      </c>
      <c r="AJ8191">
        <v>57.855041417912297</v>
      </c>
      <c r="AK8191">
        <v>7.0659777496039204</v>
      </c>
      <c r="AL8191">
        <v>90.513800377541003</v>
      </c>
      <c r="AM8191">
        <v>76.641685956110194</v>
      </c>
      <c r="AN8191">
        <v>0.999999989101096</v>
      </c>
    </row>
    <row r="8192" spans="1:40" x14ac:dyDescent="0.25">
      <c r="A8192" t="str">
        <f>"20190312154120125"</f>
        <v>20190312154120125</v>
      </c>
      <c r="B8192" t="str">
        <f>"1552376480114830"</f>
        <v>1552376480114830</v>
      </c>
      <c r="C8192" t="s">
        <v>40</v>
      </c>
      <c r="D8192">
        <v>4.6242869999999998</v>
      </c>
      <c r="E8192">
        <v>0.62772830000000002</v>
      </c>
      <c r="F8192" t="s">
        <v>43</v>
      </c>
      <c r="G8192">
        <v>-306.00200000000001</v>
      </c>
      <c r="H8192">
        <v>-0.05</v>
      </c>
      <c r="I8192">
        <v>3.3513639999999998</v>
      </c>
      <c r="J8192">
        <v>-307.48129999999998</v>
      </c>
      <c r="K8192">
        <v>1.0561969999999901</v>
      </c>
      <c r="L8192">
        <v>10.392939999999999</v>
      </c>
      <c r="M8192">
        <v>0.6938725</v>
      </c>
      <c r="N8192">
        <v>0</v>
      </c>
      <c r="O8192">
        <v>-0.71994789999999997</v>
      </c>
      <c r="P8192">
        <v>0.50835559999999902</v>
      </c>
      <c r="Q8192">
        <v>-2.0295830000000001E-2</v>
      </c>
      <c r="R8192">
        <v>-0.86090840000000002</v>
      </c>
      <c r="S8192">
        <v>0.68319700000000005</v>
      </c>
      <c r="T8192">
        <v>-0.47524529999999898</v>
      </c>
      <c r="U8192">
        <v>-3.0805359999999999</v>
      </c>
      <c r="V8192">
        <v>0.23132469999999999</v>
      </c>
      <c r="W8192">
        <v>-8.2939060000000002E-3</v>
      </c>
      <c r="X8192">
        <v>0.97284130000000002</v>
      </c>
      <c r="Y8192">
        <v>0.52178199999999997</v>
      </c>
      <c r="Z8192">
        <v>7.8323580000000004E-2</v>
      </c>
      <c r="AA8192">
        <v>0.84947569999999994</v>
      </c>
      <c r="AB8192">
        <v>17</v>
      </c>
      <c r="AC8192">
        <v>1.4792999999999601</v>
      </c>
      <c r="AD8192">
        <v>-1.1061970000000001</v>
      </c>
      <c r="AE8192">
        <v>-7.0415759999999903</v>
      </c>
      <c r="AF8192">
        <v>3.73311480649211</v>
      </c>
      <c r="AG8192">
        <v>-1.1061970000000001</v>
      </c>
      <c r="AH8192">
        <v>5.9558998115555397</v>
      </c>
      <c r="AI8192">
        <v>98.943452201724</v>
      </c>
      <c r="AJ8192">
        <v>57.920812487246103</v>
      </c>
      <c r="AK8192">
        <v>7.1156560151926298</v>
      </c>
      <c r="AL8192">
        <v>90.475211233866801</v>
      </c>
      <c r="AM8192">
        <v>76.624457172552894</v>
      </c>
      <c r="AN8192">
        <v>1.0000000503462501</v>
      </c>
    </row>
    <row r="8193" spans="1:40" x14ac:dyDescent="0.25">
      <c r="A8193" t="str">
        <f>"20190312154120148"</f>
        <v>20190312154120148</v>
      </c>
      <c r="B8193" t="str">
        <f>"1552376480144112"</f>
        <v>1552376480144112</v>
      </c>
      <c r="C8193" t="s">
        <v>40</v>
      </c>
      <c r="D8193">
        <v>4.4152889999999996</v>
      </c>
      <c r="E8193">
        <v>0.6661783</v>
      </c>
      <c r="F8193" t="s">
        <v>43</v>
      </c>
      <c r="G8193">
        <v>-305.96570000000003</v>
      </c>
      <c r="H8193">
        <v>-0.05</v>
      </c>
      <c r="I8193">
        <v>3.1532589999999998</v>
      </c>
      <c r="J8193">
        <v>-307.37099999999998</v>
      </c>
      <c r="K8193">
        <v>1.0562129999999901</v>
      </c>
      <c r="L8193">
        <v>10.262790000000001</v>
      </c>
      <c r="M8193">
        <v>0.68728979999999995</v>
      </c>
      <c r="N8193">
        <v>0</v>
      </c>
      <c r="O8193">
        <v>-0.72623470000000001</v>
      </c>
      <c r="P8193">
        <v>0.50039699999999998</v>
      </c>
      <c r="Q8193">
        <v>-1.9920440000000001E-2</v>
      </c>
      <c r="R8193">
        <v>-0.86556710000000003</v>
      </c>
      <c r="S8193">
        <v>0.64718629999999999</v>
      </c>
      <c r="T8193">
        <v>-0.47235510000000003</v>
      </c>
      <c r="U8193">
        <v>-3.0914000000000001</v>
      </c>
      <c r="V8193">
        <v>0.2314475</v>
      </c>
      <c r="W8193">
        <v>-7.9174740000000007E-3</v>
      </c>
      <c r="X8193">
        <v>0.97281519999999999</v>
      </c>
      <c r="Y8193">
        <v>0.52411660000000004</v>
      </c>
      <c r="Z8193">
        <v>7.8833449999999999E-2</v>
      </c>
      <c r="AA8193">
        <v>0.84798999999999902</v>
      </c>
      <c r="AB8193">
        <v>17</v>
      </c>
      <c r="AC8193">
        <v>1.40529999999995</v>
      </c>
      <c r="AD8193">
        <v>-1.1062129999999999</v>
      </c>
      <c r="AE8193">
        <v>-7.1095309999999898</v>
      </c>
      <c r="AF8193">
        <v>3.7781188370231802</v>
      </c>
      <c r="AG8193">
        <v>-1.1062129999999999</v>
      </c>
      <c r="AH8193">
        <v>5.9901299495477502</v>
      </c>
      <c r="AI8193">
        <v>98.877801855014098</v>
      </c>
      <c r="AJ8193">
        <v>57.759385328920402</v>
      </c>
      <c r="AK8193">
        <v>7.1679527035623902</v>
      </c>
      <c r="AL8193">
        <v>90.453642574017493</v>
      </c>
      <c r="AM8193">
        <v>76.617265937539003</v>
      </c>
      <c r="AN8193">
        <v>1.00000002250091</v>
      </c>
    </row>
    <row r="8194" spans="1:40" x14ac:dyDescent="0.25">
      <c r="A8194" t="str">
        <f>"20190312154120170"</f>
        <v>20190312154120170</v>
      </c>
      <c r="B8194" t="str">
        <f>"1552376480164608"</f>
        <v>1552376480164608</v>
      </c>
      <c r="C8194" t="s">
        <v>40</v>
      </c>
      <c r="D8194">
        <v>4.4313859999999998</v>
      </c>
      <c r="E8194">
        <v>0.66889580000000004</v>
      </c>
      <c r="F8194" t="s">
        <v>43</v>
      </c>
      <c r="G8194">
        <v>-306.25850000000003</v>
      </c>
      <c r="H8194">
        <v>-0.05</v>
      </c>
      <c r="I8194">
        <v>1.9699100000000001E-2</v>
      </c>
      <c r="J8194">
        <v>-307.26080000000002</v>
      </c>
      <c r="K8194">
        <v>1.0562309999999999</v>
      </c>
      <c r="L8194">
        <v>10.13025</v>
      </c>
      <c r="M8194">
        <v>0.6805795</v>
      </c>
      <c r="N8194">
        <v>0</v>
      </c>
      <c r="O8194">
        <v>-0.73252680000000003</v>
      </c>
      <c r="P8194">
        <v>0.49183719999999997</v>
      </c>
      <c r="Q8194">
        <v>-2.0027940000000001E-2</v>
      </c>
      <c r="R8194">
        <v>-0.87045720000000004</v>
      </c>
      <c r="S8194">
        <v>0.35336299999999998</v>
      </c>
      <c r="T8194">
        <v>-0.35136899999999999</v>
      </c>
      <c r="U8194">
        <v>-3.2535400000000001</v>
      </c>
      <c r="V8194">
        <v>0.2320883</v>
      </c>
      <c r="W8194">
        <v>-8.0309809999999995E-3</v>
      </c>
      <c r="X8194">
        <v>0.97266160000000002</v>
      </c>
      <c r="Y8194">
        <v>0.59731859999999903</v>
      </c>
      <c r="Z8194">
        <v>5.4185259999999999E-2</v>
      </c>
      <c r="AA8194">
        <v>0.80017150000000004</v>
      </c>
      <c r="AB8194">
        <v>17</v>
      </c>
      <c r="AC8194">
        <v>1.00229999999999</v>
      </c>
      <c r="AD8194">
        <v>-1.106231</v>
      </c>
      <c r="AE8194">
        <v>-10.1105509</v>
      </c>
      <c r="AF8194">
        <v>6.0754626387328203</v>
      </c>
      <c r="AG8194">
        <v>-1.106231</v>
      </c>
      <c r="AH8194">
        <v>7.9944948856386304</v>
      </c>
      <c r="AI8194">
        <v>96.286954424999095</v>
      </c>
      <c r="AJ8194">
        <v>52.766771856918197</v>
      </c>
      <c r="AK8194">
        <v>10.101828635276901</v>
      </c>
      <c r="AL8194">
        <v>90.460146248384504</v>
      </c>
      <c r="AM8194">
        <v>76.579509609768394</v>
      </c>
      <c r="AN8194">
        <v>1.00000003188363</v>
      </c>
    </row>
    <row r="8195" spans="1:40" x14ac:dyDescent="0.25">
      <c r="A8195" t="str">
        <f>"20190312154120191"</f>
        <v>20190312154120191</v>
      </c>
      <c r="B8195" t="str">
        <f>"1552376480184128"</f>
        <v>1552376480184128</v>
      </c>
      <c r="C8195" t="s">
        <v>40</v>
      </c>
      <c r="D8195">
        <v>4.4084339999999997</v>
      </c>
      <c r="E8195">
        <v>0.67124519999999999</v>
      </c>
      <c r="F8195" t="s">
        <v>43</v>
      </c>
      <c r="G8195">
        <v>-306.26350000000002</v>
      </c>
      <c r="H8195">
        <v>-0.05</v>
      </c>
      <c r="I8195">
        <v>-0.65812680000000001</v>
      </c>
      <c r="J8195">
        <v>-307.15769999999998</v>
      </c>
      <c r="K8195">
        <v>1.0562469999999999</v>
      </c>
      <c r="L8195">
        <v>10.00394</v>
      </c>
      <c r="M8195">
        <v>0.67417759999999904</v>
      </c>
      <c r="N8195">
        <v>0</v>
      </c>
      <c r="O8195">
        <v>-0.73842319999999995</v>
      </c>
      <c r="P8195">
        <v>0.48390820000000001</v>
      </c>
      <c r="Q8195">
        <v>-2.0199999999999999E-2</v>
      </c>
      <c r="R8195">
        <v>-0.87488569999999999</v>
      </c>
      <c r="S8195">
        <v>0.302124</v>
      </c>
      <c r="T8195">
        <v>-0.335101599999999</v>
      </c>
      <c r="U8195">
        <v>-3.2680359999999999</v>
      </c>
      <c r="V8195">
        <v>0.23245489999999999</v>
      </c>
      <c r="W8195">
        <v>-8.2054039999999995E-3</v>
      </c>
      <c r="X8195">
        <v>0.97257260000000001</v>
      </c>
      <c r="Y8195">
        <v>0.60314789999999996</v>
      </c>
      <c r="Z8195">
        <v>5.2088799999999998E-2</v>
      </c>
      <c r="AA8195">
        <v>0.79592669999999999</v>
      </c>
      <c r="AB8195">
        <v>17</v>
      </c>
      <c r="AC8195">
        <v>0.89419999999995503</v>
      </c>
      <c r="AD8195">
        <v>-1.106247</v>
      </c>
      <c r="AE8195">
        <v>-10.6620668</v>
      </c>
      <c r="AF8195">
        <v>6.4594810536584797</v>
      </c>
      <c r="AG8195">
        <v>-1.106247</v>
      </c>
      <c r="AH8195">
        <v>8.3872222108213208</v>
      </c>
      <c r="AI8195">
        <v>95.965624663176698</v>
      </c>
      <c r="AJ8195">
        <v>52.3980685345594</v>
      </c>
      <c r="AK8195">
        <v>10.6439736152095</v>
      </c>
      <c r="AL8195">
        <v>90.470140277354204</v>
      </c>
      <c r="AM8195">
        <v>76.557894292751399</v>
      </c>
      <c r="AN8195">
        <v>1.00000003572978</v>
      </c>
    </row>
    <row r="8196" spans="1:40" x14ac:dyDescent="0.25">
      <c r="A8196" t="str">
        <f>"20190312154120207"</f>
        <v>20190312154120207</v>
      </c>
      <c r="B8196" t="str">
        <f>"1552376480204623"</f>
        <v>1552376480204623</v>
      </c>
      <c r="C8196" t="s">
        <v>40</v>
      </c>
      <c r="D8196">
        <v>4.4300629999999996</v>
      </c>
      <c r="E8196">
        <v>0.67111560000000003</v>
      </c>
      <c r="F8196" t="s">
        <v>43</v>
      </c>
      <c r="G8196">
        <v>-306.32400000000001</v>
      </c>
      <c r="H8196">
        <v>-0.05</v>
      </c>
      <c r="I8196">
        <v>-0.66175839999999997</v>
      </c>
      <c r="J8196">
        <v>-307.08519999999999</v>
      </c>
      <c r="K8196">
        <v>1.0562640000000001</v>
      </c>
      <c r="L8196">
        <v>9.9138179999999991</v>
      </c>
      <c r="M8196">
        <v>0.66960439999999999</v>
      </c>
      <c r="N8196">
        <v>0</v>
      </c>
      <c r="O8196">
        <v>-0.74257299999999904</v>
      </c>
      <c r="P8196">
        <v>0.47808020000000001</v>
      </c>
      <c r="Q8196">
        <v>-2.0419860000000001E-2</v>
      </c>
      <c r="R8196">
        <v>-0.878079099999999</v>
      </c>
      <c r="S8196">
        <v>0.25634770000000001</v>
      </c>
      <c r="T8196">
        <v>-0.34013529999999997</v>
      </c>
      <c r="U8196">
        <v>-3.2793580000000002</v>
      </c>
      <c r="V8196">
        <v>0.2329098</v>
      </c>
      <c r="W8196">
        <v>-8.4294309999999994E-3</v>
      </c>
      <c r="X8196">
        <v>0.97246180000000004</v>
      </c>
      <c r="Y8196">
        <v>0.60947130000000005</v>
      </c>
      <c r="Z8196">
        <v>5.3025700000000002E-2</v>
      </c>
      <c r="AA8196">
        <v>0.79103290000000004</v>
      </c>
      <c r="AB8196">
        <v>17</v>
      </c>
      <c r="AC8196">
        <v>0.76119999999997301</v>
      </c>
      <c r="AD8196">
        <v>-1.1062639999999999</v>
      </c>
      <c r="AE8196">
        <v>-10.575576399999999</v>
      </c>
      <c r="AF8196">
        <v>6.4467288596049999</v>
      </c>
      <c r="AG8196">
        <v>-1.1062639999999999</v>
      </c>
      <c r="AH8196">
        <v>8.2736741227883996</v>
      </c>
      <c r="AI8196">
        <v>96.020807692638996</v>
      </c>
      <c r="AJ8196">
        <v>52.074786984117502</v>
      </c>
      <c r="AK8196">
        <v>10.5469339865696</v>
      </c>
      <c r="AL8196">
        <v>90.482976543963503</v>
      </c>
      <c r="AM8196">
        <v>76.5310677395927</v>
      </c>
      <c r="AN8196">
        <v>0.99999999135113105</v>
      </c>
    </row>
    <row r="8197" spans="1:40" x14ac:dyDescent="0.25">
      <c r="A8197" t="str">
        <f>"20190312154120225"</f>
        <v>20190312154120225</v>
      </c>
      <c r="B8197" t="str">
        <f>"1552376480214384"</f>
        <v>1552376480214384</v>
      </c>
      <c r="C8197" t="s">
        <v>40</v>
      </c>
      <c r="D8197">
        <v>4.4182639999999997</v>
      </c>
      <c r="E8197">
        <v>0.67087569999999996</v>
      </c>
      <c r="F8197" t="s">
        <v>43</v>
      </c>
      <c r="G8197">
        <v>-306.31670000000003</v>
      </c>
      <c r="H8197">
        <v>-0.05</v>
      </c>
      <c r="I8197">
        <v>-0.7987976</v>
      </c>
      <c r="J8197">
        <v>-307.0018</v>
      </c>
      <c r="K8197">
        <v>1.0562800000000001</v>
      </c>
      <c r="L8197">
        <v>9.808624</v>
      </c>
      <c r="M8197">
        <v>0.66426430000000003</v>
      </c>
      <c r="N8197">
        <v>0</v>
      </c>
      <c r="O8197">
        <v>-0.74735369999999901</v>
      </c>
      <c r="P8197">
        <v>0.47154099999999999</v>
      </c>
      <c r="Q8197">
        <v>-2.015606E-2</v>
      </c>
      <c r="R8197">
        <v>-0.88161389999999995</v>
      </c>
      <c r="S8197">
        <v>0.23535159999999999</v>
      </c>
      <c r="T8197">
        <v>-0.33877030000000002</v>
      </c>
      <c r="U8197">
        <v>-3.2805179999999998</v>
      </c>
      <c r="V8197">
        <v>0.23317309999999999</v>
      </c>
      <c r="W8197">
        <v>-8.1667089999999994E-3</v>
      </c>
      <c r="X8197">
        <v>0.97240099999999996</v>
      </c>
      <c r="Y8197">
        <v>0.6088557</v>
      </c>
      <c r="Z8197">
        <v>5.3525999999999997E-2</v>
      </c>
      <c r="AA8197">
        <v>0.79147309999999904</v>
      </c>
      <c r="AB8197">
        <v>17</v>
      </c>
      <c r="AC8197">
        <v>0.68509999999997695</v>
      </c>
      <c r="AD8197">
        <v>-1.1062799999999999</v>
      </c>
      <c r="AE8197">
        <v>-10.6074216</v>
      </c>
      <c r="AF8197">
        <v>6.4647975503155601</v>
      </c>
      <c r="AG8197">
        <v>-1.1062799999999999</v>
      </c>
      <c r="AH8197">
        <v>8.2936505786124499</v>
      </c>
      <c r="AI8197">
        <v>96.005625545666803</v>
      </c>
      <c r="AJ8197">
        <v>52.064027812979802</v>
      </c>
      <c r="AK8197">
        <v>10.5736513430831</v>
      </c>
      <c r="AL8197">
        <v>90.467923137566203</v>
      </c>
      <c r="AM8197">
        <v>76.515584774851703</v>
      </c>
      <c r="AN8197">
        <v>1.0000000472502399</v>
      </c>
    </row>
    <row r="8198" spans="1:40" x14ac:dyDescent="0.25">
      <c r="A8198" t="str">
        <f>"20190312154120240"</f>
        <v>20190312154120240</v>
      </c>
      <c r="B8198" t="str">
        <f>"1552376480234879"</f>
        <v>1552376480234879</v>
      </c>
      <c r="C8198" t="s">
        <v>40</v>
      </c>
      <c r="D8198">
        <v>4.4497530000000003</v>
      </c>
      <c r="E8198">
        <v>0.67034959999999999</v>
      </c>
      <c r="F8198" t="s">
        <v>42</v>
      </c>
      <c r="G8198">
        <v>-306.30669999999998</v>
      </c>
      <c r="H8198" s="1">
        <v>-5.2005719999999999E-6</v>
      </c>
      <c r="I8198">
        <v>-0.92035290000000003</v>
      </c>
      <c r="J8198">
        <v>-306.92849999999999</v>
      </c>
      <c r="K8198">
        <v>1.0562929999999999</v>
      </c>
      <c r="L8198">
        <v>9.7149959999999993</v>
      </c>
      <c r="M8198">
        <v>0.659506699999999</v>
      </c>
      <c r="N8198">
        <v>0</v>
      </c>
      <c r="O8198">
        <v>-0.75155569999999905</v>
      </c>
      <c r="P8198">
        <v>0.46601530000000002</v>
      </c>
      <c r="Q8198">
        <v>-2.0013019999999999E-2</v>
      </c>
      <c r="R8198">
        <v>-0.88455059999999996</v>
      </c>
      <c r="S8198">
        <v>0.212616</v>
      </c>
      <c r="T8198">
        <v>-0.3230923</v>
      </c>
      <c r="U8198">
        <v>-3.2817379999999998</v>
      </c>
      <c r="V8198">
        <v>0.2330885</v>
      </c>
      <c r="W8198">
        <v>-8.0203710000000001E-3</v>
      </c>
      <c r="X8198">
        <v>0.97242249999999997</v>
      </c>
      <c r="Y8198">
        <v>0.60933130000000002</v>
      </c>
      <c r="Z8198">
        <v>5.1620289999999999E-2</v>
      </c>
      <c r="AA8198">
        <v>0.79123369999999904</v>
      </c>
      <c r="AB8198">
        <v>16</v>
      </c>
      <c r="AC8198">
        <v>0.62180000000000701</v>
      </c>
      <c r="AD8198">
        <v>-1.0562982005720001</v>
      </c>
      <c r="AE8198">
        <v>-10.6353489</v>
      </c>
      <c r="AF8198">
        <v>6.4837301522283299</v>
      </c>
      <c r="AG8198">
        <v>-1.0562982005720001</v>
      </c>
      <c r="AH8198">
        <v>8.3222276723585598</v>
      </c>
      <c r="AI8198">
        <v>95.717682565463406</v>
      </c>
      <c r="AJ8198">
        <v>52.078346762303298</v>
      </c>
      <c r="AK8198">
        <v>10.6025466754934</v>
      </c>
      <c r="AL8198">
        <v>90.459538313728899</v>
      </c>
      <c r="AM8198">
        <v>76.520585782890294</v>
      </c>
      <c r="AN8198">
        <v>1.0000000468447301</v>
      </c>
    </row>
    <row r="8199" spans="1:40" x14ac:dyDescent="0.25">
      <c r="A8199" t="str">
        <f>"20190312154120255"</f>
        <v>20190312154120255</v>
      </c>
      <c r="B8199" t="str">
        <f>"1552376480244640"</f>
        <v>1552376480244640</v>
      </c>
      <c r="C8199" t="s">
        <v>40</v>
      </c>
      <c r="D8199">
        <v>4.4471920000000003</v>
      </c>
      <c r="E8199">
        <v>0.67011209999999999</v>
      </c>
      <c r="F8199" t="s">
        <v>42</v>
      </c>
      <c r="G8199">
        <v>-306.24369999999999</v>
      </c>
      <c r="H8199" s="1">
        <v>-4.8728119999999997E-6</v>
      </c>
      <c r="I8199">
        <v>-1.744764</v>
      </c>
      <c r="J8199">
        <v>-306.85789999999997</v>
      </c>
      <c r="K8199">
        <v>1.0563070000000001</v>
      </c>
      <c r="L8199">
        <v>9.6237179999999896</v>
      </c>
      <c r="M8199">
        <v>0.65486549999999999</v>
      </c>
      <c r="N8199">
        <v>0</v>
      </c>
      <c r="O8199">
        <v>-0.75560329999999998</v>
      </c>
      <c r="P8199">
        <v>0.46044859999999999</v>
      </c>
      <c r="Q8199">
        <v>-1.9807189999999999E-2</v>
      </c>
      <c r="R8199">
        <v>-0.88746569999999902</v>
      </c>
      <c r="S8199">
        <v>0.19607540000000001</v>
      </c>
      <c r="T8199">
        <v>-0.30246149999999999</v>
      </c>
      <c r="U8199">
        <v>-3.2814030000000001</v>
      </c>
      <c r="V8199">
        <v>0.23321420000000001</v>
      </c>
      <c r="W8199">
        <v>-7.8140180000000007E-3</v>
      </c>
      <c r="X8199">
        <v>0.97239399999999998</v>
      </c>
      <c r="Y8199">
        <v>0.608456</v>
      </c>
      <c r="Z8199">
        <v>4.8919209999999998E-2</v>
      </c>
      <c r="AA8199">
        <v>0.79207839999999996</v>
      </c>
      <c r="AB8199">
        <v>16</v>
      </c>
      <c r="AC8199">
        <v>0.61419999999998198</v>
      </c>
      <c r="AD8199">
        <v>-1.05631187281199</v>
      </c>
      <c r="AE8199">
        <v>-11.368481999999901</v>
      </c>
      <c r="AF8199">
        <v>6.9218997941767899</v>
      </c>
      <c r="AG8199">
        <v>-1.05631187281199</v>
      </c>
      <c r="AH8199">
        <v>8.9164918071314094</v>
      </c>
      <c r="AI8199">
        <v>95.346123522397903</v>
      </c>
      <c r="AJ8199">
        <v>52.177701257439303</v>
      </c>
      <c r="AK8199">
        <v>11.3372094308921</v>
      </c>
      <c r="AL8199">
        <v>90.4477148057248</v>
      </c>
      <c r="AM8199">
        <v>76.513201239032199</v>
      </c>
      <c r="AN8199">
        <v>1.0000000065974699</v>
      </c>
    </row>
    <row r="8200" spans="1:40" x14ac:dyDescent="0.25">
      <c r="A8200" t="str">
        <f>"20190312154120270"</f>
        <v>20190312154120270</v>
      </c>
      <c r="B8200" t="str">
        <f>"1552376480264159"</f>
        <v>1552376480264159</v>
      </c>
      <c r="C8200" t="s">
        <v>40</v>
      </c>
      <c r="D8200">
        <v>4.773358</v>
      </c>
      <c r="E8200">
        <v>0.66960039999999998</v>
      </c>
      <c r="F8200" t="s">
        <v>42</v>
      </c>
      <c r="G8200">
        <v>-306.21429999999998</v>
      </c>
      <c r="H8200" s="1">
        <v>-4.655717E-6</v>
      </c>
      <c r="I8200">
        <v>-2.2964920000000002</v>
      </c>
      <c r="J8200">
        <v>-306.79399999999998</v>
      </c>
      <c r="K8200">
        <v>1.0563209999999901</v>
      </c>
      <c r="L8200">
        <v>9.5396730000000005</v>
      </c>
      <c r="M8200">
        <v>0.65059419999999901</v>
      </c>
      <c r="N8200">
        <v>0</v>
      </c>
      <c r="O8200">
        <v>-0.75928399999999996</v>
      </c>
      <c r="P8200">
        <v>0.4556598</v>
      </c>
      <c r="Q8200">
        <v>-1.9457459999999999E-2</v>
      </c>
      <c r="R8200">
        <v>-0.88994150000000005</v>
      </c>
      <c r="S8200">
        <v>0.1772156</v>
      </c>
      <c r="T8200">
        <v>-0.29083350000000002</v>
      </c>
      <c r="U8200">
        <v>-3.2819820000000002</v>
      </c>
      <c r="V8200">
        <v>0.2329793</v>
      </c>
      <c r="W8200">
        <v>-7.4591719999999896E-3</v>
      </c>
      <c r="X8200">
        <v>0.97245309999999996</v>
      </c>
      <c r="Y8200">
        <v>0.60854889999999995</v>
      </c>
      <c r="Z8200">
        <v>4.7505779999999997E-2</v>
      </c>
      <c r="AA8200">
        <v>0.79209300000000005</v>
      </c>
      <c r="AB8200">
        <v>16</v>
      </c>
      <c r="AC8200">
        <v>0.57970000000005895</v>
      </c>
      <c r="AD8200">
        <v>-1.05632565571699</v>
      </c>
      <c r="AE8200">
        <v>-11.8361649999999</v>
      </c>
      <c r="AF8200">
        <v>7.2039236189226203</v>
      </c>
      <c r="AG8200">
        <v>-1.05632565571699</v>
      </c>
      <c r="AH8200">
        <v>9.2913405791084305</v>
      </c>
      <c r="AI8200">
        <v>95.134070066148098</v>
      </c>
      <c r="AJ8200">
        <v>52.212241016088498</v>
      </c>
      <c r="AK8200">
        <v>11.8042936745569</v>
      </c>
      <c r="AL8200">
        <v>90.427383032156499</v>
      </c>
      <c r="AM8200">
        <v>76.527078989613301</v>
      </c>
      <c r="AN8200">
        <v>1.0000000125875099</v>
      </c>
    </row>
    <row r="8201" spans="1:40" x14ac:dyDescent="0.25">
      <c r="A8201" t="str">
        <f>"20190312154120286"</f>
        <v>20190312154120286</v>
      </c>
      <c r="B8201" t="str">
        <f>"1552376480284656"</f>
        <v>1552376480284656</v>
      </c>
      <c r="C8201" t="s">
        <v>40</v>
      </c>
      <c r="D8201">
        <v>4.3910140000000002</v>
      </c>
      <c r="E8201">
        <v>0.66893659999999999</v>
      </c>
      <c r="F8201" t="s">
        <v>42</v>
      </c>
      <c r="G8201">
        <v>-306.15839999999997</v>
      </c>
      <c r="H8201" s="1">
        <v>-4.278377E-6</v>
      </c>
      <c r="I8201">
        <v>-3.2532830000000001</v>
      </c>
      <c r="J8201">
        <v>-306.71980000000002</v>
      </c>
      <c r="K8201">
        <v>1.056335</v>
      </c>
      <c r="L8201">
        <v>9.4411319999999996</v>
      </c>
      <c r="M8201">
        <v>0.64557989999999998</v>
      </c>
      <c r="N8201">
        <v>0</v>
      </c>
      <c r="O8201">
        <v>-0.76355240000000002</v>
      </c>
      <c r="P8201">
        <v>0.45003029999999999</v>
      </c>
      <c r="Q8201">
        <v>-1.9481109999999999E-2</v>
      </c>
      <c r="R8201">
        <v>-0.89280119999999896</v>
      </c>
      <c r="S8201">
        <v>0.16305539999999999</v>
      </c>
      <c r="T8201">
        <v>-0.27096579999999998</v>
      </c>
      <c r="U8201">
        <v>-3.2816160000000001</v>
      </c>
      <c r="V8201">
        <v>0.23271629999999999</v>
      </c>
      <c r="W8201">
        <v>-7.4770929999999998E-3</v>
      </c>
      <c r="X8201">
        <v>0.97251589999999999</v>
      </c>
      <c r="Y8201">
        <v>0.60676219999999903</v>
      </c>
      <c r="Z8201">
        <v>4.485078E-2</v>
      </c>
      <c r="AA8201">
        <v>0.79361700000000002</v>
      </c>
      <c r="AB8201">
        <v>16</v>
      </c>
      <c r="AC8201">
        <v>0.56140000000004797</v>
      </c>
      <c r="AD8201">
        <v>-1.056339278377</v>
      </c>
      <c r="AE8201">
        <v>-12.694414999999999</v>
      </c>
      <c r="AF8201">
        <v>7.7141219536830601</v>
      </c>
      <c r="AG8201">
        <v>-1.056339278377</v>
      </c>
      <c r="AH8201">
        <v>9.9873361060725401</v>
      </c>
      <c r="AI8201">
        <v>94.7848558902175</v>
      </c>
      <c r="AJ8201">
        <v>52.317848787890398</v>
      </c>
      <c r="AK8201">
        <v>12.6637440231156</v>
      </c>
      <c r="AL8201">
        <v>90.428409872627498</v>
      </c>
      <c r="AM8201">
        <v>76.542571845851597</v>
      </c>
      <c r="AN8201">
        <v>0.99999997947911501</v>
      </c>
    </row>
    <row r="8202" spans="1:40" x14ac:dyDescent="0.25">
      <c r="A8202" t="str">
        <f>"20190312154120301"</f>
        <v>20190312154120301</v>
      </c>
      <c r="B8202" t="str">
        <f>"1552376480294415"</f>
        <v>1552376480294415</v>
      </c>
      <c r="C8202" t="s">
        <v>40</v>
      </c>
      <c r="D8202">
        <v>4.360633</v>
      </c>
      <c r="E8202">
        <v>0.6683924</v>
      </c>
      <c r="F8202" t="s">
        <v>42</v>
      </c>
      <c r="G8202">
        <v>-306.11360000000002</v>
      </c>
      <c r="H8202" s="1">
        <v>-3.9520329999999999E-6</v>
      </c>
      <c r="I8202">
        <v>-4.0824239999999996</v>
      </c>
      <c r="J8202">
        <v>-306.65719999999999</v>
      </c>
      <c r="K8202">
        <v>1.056349</v>
      </c>
      <c r="L8202">
        <v>9.357056</v>
      </c>
      <c r="M8202">
        <v>0.64129559999999997</v>
      </c>
      <c r="N8202">
        <v>0</v>
      </c>
      <c r="O8202">
        <v>-0.76715419999999901</v>
      </c>
      <c r="P8202">
        <v>0.4453048</v>
      </c>
      <c r="Q8202">
        <v>-1.972196E-2</v>
      </c>
      <c r="R8202">
        <v>-0.89516200000000001</v>
      </c>
      <c r="S8202">
        <v>0.14706420000000001</v>
      </c>
      <c r="T8202">
        <v>-0.25624229999999998</v>
      </c>
      <c r="U8202">
        <v>-3.2804869999999999</v>
      </c>
      <c r="V8202">
        <v>0.23240749999999999</v>
      </c>
      <c r="W8202">
        <v>-7.7120130000000002E-3</v>
      </c>
      <c r="X8202">
        <v>0.97258789999999995</v>
      </c>
      <c r="Y8202">
        <v>0.60618369999999999</v>
      </c>
      <c r="Z8202">
        <v>4.286334E-2</v>
      </c>
      <c r="AA8202">
        <v>0.79416880000000001</v>
      </c>
      <c r="AB8202">
        <v>16</v>
      </c>
      <c r="AC8202">
        <v>0.543599999999969</v>
      </c>
      <c r="AD8202">
        <v>-1.0563529520329999</v>
      </c>
      <c r="AE8202">
        <v>-13.43948</v>
      </c>
      <c r="AF8202">
        <v>8.1522507212257693</v>
      </c>
      <c r="AG8202">
        <v>-1.0563529520329999</v>
      </c>
      <c r="AH8202">
        <v>10.5945574894626</v>
      </c>
      <c r="AI8202">
        <v>94.518176795415201</v>
      </c>
      <c r="AJ8202">
        <v>52.422605402624598</v>
      </c>
      <c r="AK8202">
        <v>13.409687609281701</v>
      </c>
      <c r="AL8202">
        <v>90.4418701888508</v>
      </c>
      <c r="AM8202">
        <v>76.560739581071402</v>
      </c>
      <c r="AN8202">
        <v>0.99999997221358505</v>
      </c>
    </row>
    <row r="8203" spans="1:40" x14ac:dyDescent="0.25">
      <c r="A8203" t="str">
        <f>"20190312154120313"</f>
        <v>20190312154120313</v>
      </c>
      <c r="B8203" t="str">
        <f>"1552376480304176"</f>
        <v>1552376480304176</v>
      </c>
      <c r="C8203" t="s">
        <v>40</v>
      </c>
      <c r="D8203">
        <v>4.3797899999999998</v>
      </c>
      <c r="E8203">
        <v>0.66783740000000003</v>
      </c>
      <c r="F8203" t="s">
        <v>42</v>
      </c>
      <c r="G8203">
        <v>-306.10899999999998</v>
      </c>
      <c r="H8203" s="1">
        <v>-3.9464729999999997E-6</v>
      </c>
      <c r="I8203">
        <v>-4.0947940000000003</v>
      </c>
      <c r="J8203">
        <v>-306.59699999999998</v>
      </c>
      <c r="K8203">
        <v>1.056357</v>
      </c>
      <c r="L8203">
        <v>9.2752079999999992</v>
      </c>
      <c r="M8203">
        <v>0.63712530000000001</v>
      </c>
      <c r="N8203">
        <v>0</v>
      </c>
      <c r="O8203">
        <v>-0.77062129999999995</v>
      </c>
      <c r="P8203">
        <v>0.44096819999999998</v>
      </c>
      <c r="Q8203">
        <v>-1.9891059999999999E-2</v>
      </c>
      <c r="R8203">
        <v>-0.89730270000000001</v>
      </c>
      <c r="S8203">
        <v>0.13363649999999999</v>
      </c>
      <c r="T8203">
        <v>-0.25751079999999998</v>
      </c>
      <c r="U8203">
        <v>-3.2792050000000001</v>
      </c>
      <c r="V8203">
        <v>0.2318346</v>
      </c>
      <c r="W8203">
        <v>-7.8717609999999997E-3</v>
      </c>
      <c r="X8203">
        <v>0.97272340000000002</v>
      </c>
      <c r="Y8203">
        <v>0.60510359999999996</v>
      </c>
      <c r="Z8203">
        <v>4.3517479999999997E-2</v>
      </c>
      <c r="AA8203">
        <v>0.79495649999999995</v>
      </c>
      <c r="AB8203">
        <v>16</v>
      </c>
      <c r="AC8203">
        <v>0.48799999999994198</v>
      </c>
      <c r="AD8203">
        <v>-1.0563609464729999</v>
      </c>
      <c r="AE8203">
        <v>-13.370001999999999</v>
      </c>
      <c r="AF8203">
        <v>8.09272339312942</v>
      </c>
      <c r="AG8203">
        <v>-1.0563609464729999</v>
      </c>
      <c r="AH8203">
        <v>10.5494941519484</v>
      </c>
      <c r="AI8203">
        <v>94.542575937561494</v>
      </c>
      <c r="AJ8203">
        <v>52.507480845655699</v>
      </c>
      <c r="AK8203">
        <v>13.3379120265854</v>
      </c>
      <c r="AL8203">
        <v>90.451023327262504</v>
      </c>
      <c r="AM8203">
        <v>76.594470901598399</v>
      </c>
      <c r="AN8203">
        <v>1.0000000296429801</v>
      </c>
    </row>
    <row r="8204" spans="1:40" x14ac:dyDescent="0.25">
      <c r="A8204" t="str">
        <f>"20190312154120337"</f>
        <v>20190312154120337</v>
      </c>
      <c r="B8204" t="str">
        <f>"1552376480334431"</f>
        <v>1552376480334431</v>
      </c>
      <c r="C8204" t="s">
        <v>40</v>
      </c>
      <c r="D8204">
        <v>4.4010879999999997</v>
      </c>
      <c r="E8204">
        <v>0.66632469999999999</v>
      </c>
      <c r="F8204" t="s">
        <v>42</v>
      </c>
      <c r="G8204">
        <v>-306.10829999999999</v>
      </c>
      <c r="H8204" s="1">
        <v>-4.020989E-6</v>
      </c>
      <c r="I8204">
        <v>-3.9004129999999999</v>
      </c>
      <c r="J8204">
        <v>-306.49900000000002</v>
      </c>
      <c r="K8204">
        <v>1.0563709999999999</v>
      </c>
      <c r="L8204">
        <v>9.1399539999999995</v>
      </c>
      <c r="M8204">
        <v>0.63022840000000002</v>
      </c>
      <c r="N8204">
        <v>0</v>
      </c>
      <c r="O8204">
        <v>-0.77627209999999902</v>
      </c>
      <c r="P8204">
        <v>0.4333842</v>
      </c>
      <c r="Q8204">
        <v>-2.023546E-2</v>
      </c>
      <c r="R8204">
        <v>-0.90098239999999996</v>
      </c>
      <c r="S8204">
        <v>0.121582</v>
      </c>
      <c r="T8204">
        <v>-0.2627968</v>
      </c>
      <c r="U8204">
        <v>-3.277771</v>
      </c>
      <c r="V8204">
        <v>0.23135749999999999</v>
      </c>
      <c r="W8204">
        <v>-8.2068969999999995E-3</v>
      </c>
      <c r="X8204">
        <v>0.97283419999999998</v>
      </c>
      <c r="Y8204">
        <v>0.60090239999999995</v>
      </c>
      <c r="Z8204">
        <v>4.5215680000000001E-2</v>
      </c>
      <c r="AA8204">
        <v>0.79804249999999999</v>
      </c>
      <c r="AB8204">
        <v>16</v>
      </c>
      <c r="AC8204">
        <v>0.39070000000003802</v>
      </c>
      <c r="AD8204">
        <v>-1.0563750209889999</v>
      </c>
      <c r="AE8204">
        <v>-13.040367</v>
      </c>
      <c r="AF8204">
        <v>7.86440398791233</v>
      </c>
      <c r="AG8204">
        <v>-1.0563750209889999</v>
      </c>
      <c r="AH8204">
        <v>10.3026632819179</v>
      </c>
      <c r="AI8204">
        <v>94.659457576175996</v>
      </c>
      <c r="AJ8204">
        <v>52.644166815108299</v>
      </c>
      <c r="AK8204">
        <v>13.0042165842715</v>
      </c>
      <c r="AL8204">
        <v>90.470225833364907</v>
      </c>
      <c r="AM8204">
        <v>76.622534676732201</v>
      </c>
      <c r="AN8204">
        <v>1.0000000133271201</v>
      </c>
    </row>
    <row r="8205" spans="1:40" x14ac:dyDescent="0.25">
      <c r="A8205" t="str">
        <f>"20190312154120360"</f>
        <v>20190312154120360</v>
      </c>
      <c r="B8205" t="str">
        <f>"1552376480353952"</f>
        <v>1552376480353952</v>
      </c>
      <c r="C8205" t="s">
        <v>40</v>
      </c>
      <c r="D8205">
        <v>4.3938059999999997</v>
      </c>
      <c r="E8205">
        <v>0.665317099999999</v>
      </c>
      <c r="F8205" t="s">
        <v>42</v>
      </c>
      <c r="G8205">
        <v>-306.09820000000002</v>
      </c>
      <c r="H8205" s="1">
        <v>-4.2187940000000004E-6</v>
      </c>
      <c r="I8205">
        <v>-3.380665</v>
      </c>
      <c r="J8205">
        <v>-306.40109999999999</v>
      </c>
      <c r="K8205">
        <v>1.0563910000000001</v>
      </c>
      <c r="L8205">
        <v>9.0020749999999996</v>
      </c>
      <c r="M8205">
        <v>0.62319219999999997</v>
      </c>
      <c r="N8205">
        <v>0</v>
      </c>
      <c r="O8205">
        <v>-0.78193190000000001</v>
      </c>
      <c r="P8205">
        <v>0.4257804</v>
      </c>
      <c r="Q8205">
        <v>-2.0589199999999998E-2</v>
      </c>
      <c r="R8205">
        <v>-0.90459230000000002</v>
      </c>
      <c r="S8205">
        <v>0.10476679999999999</v>
      </c>
      <c r="T8205">
        <v>-0.27615440000000002</v>
      </c>
      <c r="U8205">
        <v>-3.2731020000000002</v>
      </c>
      <c r="V8205">
        <v>0.2307575</v>
      </c>
      <c r="W8205">
        <v>-8.5497850000000007E-3</v>
      </c>
      <c r="X8205">
        <v>0.97297370000000005</v>
      </c>
      <c r="Y8205">
        <v>0.59772029999999998</v>
      </c>
      <c r="Z8205">
        <v>4.8364629999999999E-2</v>
      </c>
      <c r="AA8205">
        <v>0.80024459999999997</v>
      </c>
      <c r="AB8205">
        <v>16</v>
      </c>
      <c r="AC8205">
        <v>0.30289999999996498</v>
      </c>
      <c r="AD8205">
        <v>-1.056395218794</v>
      </c>
      <c r="AE8205">
        <v>-12.38274</v>
      </c>
      <c r="AF8205">
        <v>7.4267597015998099</v>
      </c>
      <c r="AG8205">
        <v>-1.056395218794</v>
      </c>
      <c r="AH8205">
        <v>9.8009905028112101</v>
      </c>
      <c r="AI8205">
        <v>94.910039398770195</v>
      </c>
      <c r="AJ8205">
        <v>52.846751197561801</v>
      </c>
      <c r="AK8205">
        <v>12.342290928340301</v>
      </c>
      <c r="AL8205">
        <v>90.489872578386496</v>
      </c>
      <c r="AM8205">
        <v>76.657829919688893</v>
      </c>
      <c r="AN8205">
        <v>0.99999997176074196</v>
      </c>
    </row>
    <row r="8206" spans="1:40" x14ac:dyDescent="0.25">
      <c r="A8206" t="str">
        <f>"20190312154120381"</f>
        <v>20190312154120381</v>
      </c>
      <c r="B8206" t="str">
        <f>"1552376480374447"</f>
        <v>1552376480374447</v>
      </c>
      <c r="C8206" t="s">
        <v>40</v>
      </c>
      <c r="D8206">
        <v>4.3680450000000004</v>
      </c>
      <c r="E8206">
        <v>0.66450319999999996</v>
      </c>
      <c r="F8206" t="s">
        <v>42</v>
      </c>
      <c r="G8206">
        <v>-306.08550000000002</v>
      </c>
      <c r="H8206" s="1">
        <v>-4.2917389999999999E-6</v>
      </c>
      <c r="I8206">
        <v>-3.1848269999999999</v>
      </c>
      <c r="J8206">
        <v>-306.30810000000002</v>
      </c>
      <c r="K8206">
        <v>1.0564070000000001</v>
      </c>
      <c r="L8206">
        <v>8.8685910000000003</v>
      </c>
      <c r="M8206">
        <v>0.61637779999999998</v>
      </c>
      <c r="N8206">
        <v>0</v>
      </c>
      <c r="O8206">
        <v>-0.78731499999999999</v>
      </c>
      <c r="P8206">
        <v>0.41845860000000001</v>
      </c>
      <c r="Q8206">
        <v>-2.0754379999999999E-2</v>
      </c>
      <c r="R8206">
        <v>-0.90799890000000005</v>
      </c>
      <c r="S8206">
        <v>8.4686280000000003E-2</v>
      </c>
      <c r="T8206">
        <v>-0.28345979999999998</v>
      </c>
      <c r="U8206">
        <v>-3.2700809999999998</v>
      </c>
      <c r="V8206">
        <v>0.23016410000000001</v>
      </c>
      <c r="W8206">
        <v>-8.7043290000000002E-3</v>
      </c>
      <c r="X8206">
        <v>0.97311289999999995</v>
      </c>
      <c r="Y8206">
        <v>0.59563739999999998</v>
      </c>
      <c r="Z8206">
        <v>5.0426430000000001E-2</v>
      </c>
      <c r="AA8206">
        <v>0.80166899999999996</v>
      </c>
      <c r="AB8206">
        <v>16</v>
      </c>
      <c r="AC8206">
        <v>0.22259999999999899</v>
      </c>
      <c r="AD8206">
        <v>-1.0564112917389901</v>
      </c>
      <c r="AE8206">
        <v>-12.053417999999899</v>
      </c>
      <c r="AF8206">
        <v>7.1996919280194502</v>
      </c>
      <c r="AG8206">
        <v>-1.0564112917389901</v>
      </c>
      <c r="AH8206">
        <v>9.5547009902351405</v>
      </c>
      <c r="AI8206">
        <v>95.046247912279895</v>
      </c>
      <c r="AJ8206">
        <v>53.001115697857003</v>
      </c>
      <c r="AK8206">
        <v>12.0101573548601</v>
      </c>
      <c r="AL8206">
        <v>90.4987276144318</v>
      </c>
      <c r="AM8206">
        <v>76.692753385395093</v>
      </c>
      <c r="AN8206">
        <v>0.99999999720928001</v>
      </c>
    </row>
    <row r="8207" spans="1:40" x14ac:dyDescent="0.25">
      <c r="A8207" t="str">
        <f>"20190312154120403"</f>
        <v>20190312154120403</v>
      </c>
      <c r="B8207" t="str">
        <f>"1552376480393968"</f>
        <v>1552376480393968</v>
      </c>
      <c r="C8207" t="s">
        <v>40</v>
      </c>
      <c r="D8207">
        <v>4.3797319999999997</v>
      </c>
      <c r="E8207">
        <v>0.66360640000000004</v>
      </c>
      <c r="F8207" t="s">
        <v>42</v>
      </c>
      <c r="G8207">
        <v>-306.07639999999998</v>
      </c>
      <c r="H8207" s="1">
        <v>-4.3568380000000001E-6</v>
      </c>
      <c r="I8207">
        <v>-3.011088</v>
      </c>
      <c r="J8207">
        <v>-306.21629999999999</v>
      </c>
      <c r="K8207">
        <v>1.056416</v>
      </c>
      <c r="L8207">
        <v>8.7344360000000005</v>
      </c>
      <c r="M8207">
        <v>0.60952069999999903</v>
      </c>
      <c r="N8207">
        <v>0</v>
      </c>
      <c r="O8207">
        <v>-0.79263569999999905</v>
      </c>
      <c r="P8207">
        <v>0.41065109999999999</v>
      </c>
      <c r="Q8207">
        <v>-2.0991220000000001E-2</v>
      </c>
      <c r="R8207">
        <v>-0.91155129999999995</v>
      </c>
      <c r="S8207">
        <v>6.3751219999999997E-2</v>
      </c>
      <c r="T8207">
        <v>-0.290605</v>
      </c>
      <c r="U8207">
        <v>-3.267944</v>
      </c>
      <c r="V8207">
        <v>0.2300633</v>
      </c>
      <c r="W8207">
        <v>-8.9369359999999995E-3</v>
      </c>
      <c r="X8207">
        <v>0.97313459999999996</v>
      </c>
      <c r="Y8207">
        <v>0.59377829999999998</v>
      </c>
      <c r="Z8207">
        <v>5.2470629999999997E-2</v>
      </c>
      <c r="AA8207">
        <v>0.80291599999999996</v>
      </c>
      <c r="AB8207">
        <v>16</v>
      </c>
      <c r="AC8207">
        <v>0.13990000000001099</v>
      </c>
      <c r="AD8207">
        <v>-1.056420356838</v>
      </c>
      <c r="AE8207">
        <v>-11.745524</v>
      </c>
      <c r="AF8207">
        <v>6.9924433456062696</v>
      </c>
      <c r="AG8207">
        <v>-1.056420356838</v>
      </c>
      <c r="AH8207">
        <v>9.3208039275165202</v>
      </c>
      <c r="AI8207">
        <v>95.180469447612793</v>
      </c>
      <c r="AJ8207">
        <v>53.122862658823898</v>
      </c>
      <c r="AK8207">
        <v>11.6999005879136</v>
      </c>
      <c r="AL8207">
        <v>90.512055546166494</v>
      </c>
      <c r="AM8207">
        <v>76.698660142934102</v>
      </c>
      <c r="AN8207">
        <v>0.999999970274558</v>
      </c>
    </row>
    <row r="8208" spans="1:40" x14ac:dyDescent="0.25">
      <c r="A8208" t="str">
        <f>"20190312154120421"</f>
        <v>20190312154120421</v>
      </c>
      <c r="B8208" t="str">
        <f>"1552376480414464"</f>
        <v>1552376480414464</v>
      </c>
      <c r="C8208" t="s">
        <v>40</v>
      </c>
      <c r="D8208">
        <v>4.4207269999999896</v>
      </c>
      <c r="E8208">
        <v>0.66261210000000004</v>
      </c>
      <c r="F8208" t="s">
        <v>42</v>
      </c>
      <c r="G8208">
        <v>-306.06630000000001</v>
      </c>
      <c r="H8208" s="1">
        <v>-4.4514460000000003E-6</v>
      </c>
      <c r="I8208">
        <v>-2.7600899999999999</v>
      </c>
      <c r="J8208">
        <v>-306.1463</v>
      </c>
      <c r="K8208">
        <v>1.0564290000000001</v>
      </c>
      <c r="L8208">
        <v>8.6304929999999995</v>
      </c>
      <c r="M8208">
        <v>0.60420149999999995</v>
      </c>
      <c r="N8208">
        <v>0</v>
      </c>
      <c r="O8208">
        <v>-0.79669789999999996</v>
      </c>
      <c r="P8208">
        <v>0.40461000000000003</v>
      </c>
      <c r="Q8208">
        <v>-2.1098120000000001E-2</v>
      </c>
      <c r="R8208">
        <v>-0.91424629999999996</v>
      </c>
      <c r="S8208">
        <v>4.2602540000000001E-2</v>
      </c>
      <c r="T8208">
        <v>-0.30007279999999997</v>
      </c>
      <c r="U8208">
        <v>-3.2649840000000001</v>
      </c>
      <c r="V8208">
        <v>0.22998689999999999</v>
      </c>
      <c r="W8208">
        <v>-9.0405569999999994E-3</v>
      </c>
      <c r="X8208">
        <v>0.97315169999999995</v>
      </c>
      <c r="Y8208">
        <v>0.59356560000000003</v>
      </c>
      <c r="Z8208">
        <v>5.4761990000000003E-2</v>
      </c>
      <c r="AA8208">
        <v>0.80292030000000003</v>
      </c>
      <c r="AB8208">
        <v>16</v>
      </c>
      <c r="AC8208">
        <v>7.9999999999984001E-2</v>
      </c>
      <c r="AD8208">
        <v>-1.0564334514460001</v>
      </c>
      <c r="AE8208">
        <v>-11.390582999999999</v>
      </c>
      <c r="AF8208">
        <v>6.7610431182730304</v>
      </c>
      <c r="AG8208">
        <v>-1.0564334514460001</v>
      </c>
      <c r="AH8208">
        <v>9.0463498677663399</v>
      </c>
      <c r="AI8208">
        <v>95.343991688830798</v>
      </c>
      <c r="AJ8208">
        <v>53.226369321454101</v>
      </c>
      <c r="AK8208">
        <v>11.343024359249</v>
      </c>
      <c r="AL8208">
        <v>90.517992833083397</v>
      </c>
      <c r="AM8208">
        <v>76.703145708986099</v>
      </c>
      <c r="AN8208">
        <v>0.99999996852768402</v>
      </c>
    </row>
    <row r="8209" spans="1:40" x14ac:dyDescent="0.25">
      <c r="A8209" t="str">
        <f>"20190312154120437"</f>
        <v>20190312154120437</v>
      </c>
      <c r="B8209" t="str">
        <f>"1552376480433984"</f>
        <v>1552376480433984</v>
      </c>
      <c r="C8209" t="s">
        <v>40</v>
      </c>
      <c r="D8209">
        <v>4.4254319999999998</v>
      </c>
      <c r="E8209">
        <v>0.66163000000000005</v>
      </c>
      <c r="F8209" t="s">
        <v>42</v>
      </c>
      <c r="G8209">
        <v>-306.0505</v>
      </c>
      <c r="H8209" s="1">
        <v>-4.5203120000000001E-6</v>
      </c>
      <c r="I8209">
        <v>-2.5734349999999999</v>
      </c>
      <c r="J8209">
        <v>-306.0772</v>
      </c>
      <c r="K8209">
        <v>1.0564530000000001</v>
      </c>
      <c r="L8209">
        <v>8.5266110000000008</v>
      </c>
      <c r="M8209">
        <v>0.59888200000000003</v>
      </c>
      <c r="N8209">
        <v>0</v>
      </c>
      <c r="O8209">
        <v>-0.80070450000000004</v>
      </c>
      <c r="P8209">
        <v>0.3989279</v>
      </c>
      <c r="Q8209">
        <v>-2.1629800000000001E-2</v>
      </c>
      <c r="R8209">
        <v>-0.91672739999999997</v>
      </c>
      <c r="S8209">
        <v>2.7893069999999999E-2</v>
      </c>
      <c r="T8209">
        <v>-0.30757479999999998</v>
      </c>
      <c r="U8209">
        <v>-3.2619630000000002</v>
      </c>
      <c r="V8209">
        <v>0.22953319999999999</v>
      </c>
      <c r="W8209">
        <v>-9.5643529999999994E-3</v>
      </c>
      <c r="X8209">
        <v>0.97325379999999995</v>
      </c>
      <c r="Y8209">
        <v>0.59180710000000003</v>
      </c>
      <c r="Z8209">
        <v>5.6782920000000001E-2</v>
      </c>
      <c r="AA8209">
        <v>0.80407709999999999</v>
      </c>
      <c r="AB8209">
        <v>16</v>
      </c>
      <c r="AC8209">
        <v>2.6700000000005199E-2</v>
      </c>
      <c r="AD8209">
        <v>-1.0564575203119999</v>
      </c>
      <c r="AE8209">
        <v>-11.100046000000001</v>
      </c>
      <c r="AF8209">
        <v>6.5674529122826701</v>
      </c>
      <c r="AG8209">
        <v>-1.0564575203119999</v>
      </c>
      <c r="AH8209">
        <v>8.8248546432194797</v>
      </c>
      <c r="AI8209">
        <v>95.485737793631799</v>
      </c>
      <c r="AJ8209">
        <v>53.343393413141797</v>
      </c>
      <c r="AK8209">
        <v>11.051045186824</v>
      </c>
      <c r="AL8209">
        <v>90.548005436144294</v>
      </c>
      <c r="AM8209">
        <v>76.729790590540006</v>
      </c>
      <c r="AN8209">
        <v>0.99999996298249305</v>
      </c>
    </row>
    <row r="8210" spans="1:40" x14ac:dyDescent="0.25">
      <c r="A8210" t="str">
        <f>"20190312154120460"</f>
        <v>20190312154120460</v>
      </c>
      <c r="B8210" t="str">
        <f>"1552376480454479"</f>
        <v>1552376480454479</v>
      </c>
      <c r="C8210" t="s">
        <v>40</v>
      </c>
      <c r="D8210">
        <v>4.3833769999999896</v>
      </c>
      <c r="E8210">
        <v>0.6606938</v>
      </c>
      <c r="F8210" t="s">
        <v>42</v>
      </c>
      <c r="G8210">
        <v>-306.0274</v>
      </c>
      <c r="H8210" s="1">
        <v>-4.5885339999999999E-6</v>
      </c>
      <c r="I8210">
        <v>-2.3851119999999999</v>
      </c>
      <c r="J8210">
        <v>-305.98689999999999</v>
      </c>
      <c r="K8210">
        <v>1.0564750000000001</v>
      </c>
      <c r="L8210">
        <v>8.3879699999999993</v>
      </c>
      <c r="M8210">
        <v>0.59178120000000001</v>
      </c>
      <c r="N8210">
        <v>0</v>
      </c>
      <c r="O8210">
        <v>-0.80596659999999998</v>
      </c>
      <c r="P8210">
        <v>0.3910595</v>
      </c>
      <c r="Q8210">
        <v>-2.2121040000000002E-2</v>
      </c>
      <c r="R8210">
        <v>-0.92009960000000002</v>
      </c>
      <c r="S8210">
        <v>1.4892580000000001E-2</v>
      </c>
      <c r="T8210">
        <v>-0.31549060000000001</v>
      </c>
      <c r="U8210">
        <v>-3.258575</v>
      </c>
      <c r="V8210">
        <v>0.22925770000000001</v>
      </c>
      <c r="W8210">
        <v>-1.0049249999999999E-2</v>
      </c>
      <c r="X8210">
        <v>0.97331389999999995</v>
      </c>
      <c r="Y8210">
        <v>0.58787129999999999</v>
      </c>
      <c r="Z8210">
        <v>5.9178710000000002E-2</v>
      </c>
      <c r="AA8210">
        <v>0.80678700000000003</v>
      </c>
      <c r="AB8210">
        <v>16</v>
      </c>
      <c r="AC8210">
        <v>-4.0500000000008599E-2</v>
      </c>
      <c r="AD8210">
        <v>-1.0564795885339999</v>
      </c>
      <c r="AE8210">
        <v>-10.773082</v>
      </c>
      <c r="AF8210">
        <v>6.3475868630016503</v>
      </c>
      <c r="AG8210">
        <v>-1.0564795885339999</v>
      </c>
      <c r="AH8210">
        <v>8.5772124004671202</v>
      </c>
      <c r="AI8210">
        <v>95.654370010122307</v>
      </c>
      <c r="AJ8210">
        <v>53.496617918267603</v>
      </c>
      <c r="AK8210">
        <v>10.7227133071376</v>
      </c>
      <c r="AL8210">
        <v>90.575789295628397</v>
      </c>
      <c r="AM8210">
        <v>76.745945336703997</v>
      </c>
      <c r="AN8210">
        <v>1.00000001418403</v>
      </c>
    </row>
    <row r="8211" spans="1:40" x14ac:dyDescent="0.25">
      <c r="A8211" t="str">
        <f>"20190312154120481"</f>
        <v>20190312154120481</v>
      </c>
      <c r="B8211" t="str">
        <f>"1552376480474004"</f>
        <v>1552376480474004</v>
      </c>
      <c r="C8211" t="s">
        <v>40</v>
      </c>
      <c r="D8211">
        <v>4.3961139999999999</v>
      </c>
      <c r="E8211">
        <v>0.66022009999999998</v>
      </c>
      <c r="F8211" t="s">
        <v>42</v>
      </c>
      <c r="G8211">
        <v>-306.00889999999998</v>
      </c>
      <c r="H8211" s="1">
        <v>-4.5195690000000001E-6</v>
      </c>
      <c r="I8211">
        <v>-2.556184</v>
      </c>
      <c r="J8211">
        <v>-305.89940000000001</v>
      </c>
      <c r="K8211">
        <v>1.0564960000000001</v>
      </c>
      <c r="L8211">
        <v>8.2512209999999993</v>
      </c>
      <c r="M8211">
        <v>0.58477179999999995</v>
      </c>
      <c r="N8211">
        <v>0</v>
      </c>
      <c r="O8211">
        <v>-0.81106669999999903</v>
      </c>
      <c r="P8211">
        <v>0.38317250000000003</v>
      </c>
      <c r="Q8211">
        <v>-2.2112619999999999E-2</v>
      </c>
      <c r="R8211">
        <v>-0.92341229999999996</v>
      </c>
      <c r="S8211">
        <v>-6.5612789999999997E-3</v>
      </c>
      <c r="T8211">
        <v>-0.31428830000000002</v>
      </c>
      <c r="U8211">
        <v>-3.2557369999999999</v>
      </c>
      <c r="V8211">
        <v>0.2291483</v>
      </c>
      <c r="W8211">
        <v>-1.003648E-2</v>
      </c>
      <c r="X8211">
        <v>0.97333979999999998</v>
      </c>
      <c r="Y8211">
        <v>0.5861788</v>
      </c>
      <c r="Z8211">
        <v>5.9779499999999999E-2</v>
      </c>
      <c r="AA8211">
        <v>0.80797330000000001</v>
      </c>
      <c r="AB8211">
        <v>16</v>
      </c>
      <c r="AC8211">
        <v>-0.109499999999968</v>
      </c>
      <c r="AD8211">
        <v>-1.05650051956899</v>
      </c>
      <c r="AE8211">
        <v>-10.807404999999999</v>
      </c>
      <c r="AF8211">
        <v>6.3486945585698402</v>
      </c>
      <c r="AG8211">
        <v>-1.05650051956899</v>
      </c>
      <c r="AH8211">
        <v>8.6200509390204996</v>
      </c>
      <c r="AI8211">
        <v>95.636050457006604</v>
      </c>
      <c r="AJ8211">
        <v>53.628237549805498</v>
      </c>
      <c r="AK8211">
        <v>10.757666760834899</v>
      </c>
      <c r="AL8211">
        <v>90.575057588120302</v>
      </c>
      <c r="AM8211">
        <v>76.752387081199203</v>
      </c>
      <c r="AN8211">
        <v>1.0000000202938599</v>
      </c>
    </row>
    <row r="8212" spans="1:40" x14ac:dyDescent="0.25">
      <c r="A8212" t="str">
        <f>"20190312154120504"</f>
        <v>20190312154120504</v>
      </c>
      <c r="B8212" t="str">
        <f>"1552376480494495"</f>
        <v>1552376480494495</v>
      </c>
      <c r="C8212" t="s">
        <v>40</v>
      </c>
      <c r="D8212">
        <v>4.413913</v>
      </c>
      <c r="E8212">
        <v>0.6390865</v>
      </c>
      <c r="F8212" t="s">
        <v>42</v>
      </c>
      <c r="G8212">
        <v>-306.005</v>
      </c>
      <c r="H8212" s="1">
        <v>-4.4386129999999999E-6</v>
      </c>
      <c r="I8212">
        <v>-2.765177</v>
      </c>
      <c r="J8212">
        <v>-305.8141</v>
      </c>
      <c r="K8212">
        <v>1.056511</v>
      </c>
      <c r="L8212">
        <v>8.1152649999999902</v>
      </c>
      <c r="M8212">
        <v>0.57779559999999996</v>
      </c>
      <c r="N8212">
        <v>0</v>
      </c>
      <c r="O8212">
        <v>-0.81605139999999998</v>
      </c>
      <c r="P8212">
        <v>0.3755194</v>
      </c>
      <c r="Q8212">
        <v>-2.1714150000000002E-2</v>
      </c>
      <c r="R8212">
        <v>-0.92656039999999995</v>
      </c>
      <c r="S8212">
        <v>-3.1188960000000002E-2</v>
      </c>
      <c r="T8212">
        <v>-0.31209579999999998</v>
      </c>
      <c r="U8212">
        <v>-3.2543030000000002</v>
      </c>
      <c r="V8212">
        <v>0.2288647</v>
      </c>
      <c r="W8212">
        <v>-9.6312949999999998E-3</v>
      </c>
      <c r="X8212">
        <v>0.97341060000000001</v>
      </c>
      <c r="Y8212">
        <v>0.58535590000000004</v>
      </c>
      <c r="Z8212">
        <v>6.0110740000000003E-2</v>
      </c>
      <c r="AA8212">
        <v>0.80854510000000002</v>
      </c>
      <c r="AB8212">
        <v>16</v>
      </c>
      <c r="AC8212">
        <v>-0.19089999999999899</v>
      </c>
      <c r="AD8212">
        <v>-1.056515438613</v>
      </c>
      <c r="AE8212">
        <v>-10.880442</v>
      </c>
      <c r="AF8212">
        <v>6.3829743144250202</v>
      </c>
      <c r="AG8212">
        <v>-1.056515438613</v>
      </c>
      <c r="AH8212">
        <v>8.6877397769048095</v>
      </c>
      <c r="AI8212">
        <v>95.597252925293802</v>
      </c>
      <c r="AJ8212">
        <v>53.694881444465103</v>
      </c>
      <c r="AK8212">
        <v>10.832146989486899</v>
      </c>
      <c r="AL8212">
        <v>90.551841084135106</v>
      </c>
      <c r="AM8212">
        <v>76.769134130022394</v>
      </c>
      <c r="AN8212">
        <v>1.0000000044709101</v>
      </c>
    </row>
    <row r="8213" spans="1:40" x14ac:dyDescent="0.25">
      <c r="A8213" t="str">
        <f>"20190312154120526"</f>
        <v>20190312154120526</v>
      </c>
      <c r="B8213" t="str">
        <f>"1552376480514015"</f>
        <v>1552376480514015</v>
      </c>
      <c r="C8213" t="s">
        <v>40</v>
      </c>
      <c r="D8213">
        <v>4.4235709999999999</v>
      </c>
      <c r="E8213">
        <v>0.63765179999999999</v>
      </c>
      <c r="F8213" t="s">
        <v>42</v>
      </c>
      <c r="G8213">
        <v>-305.54430000000002</v>
      </c>
      <c r="H8213" s="1">
        <v>-5.1612319999999999E-6</v>
      </c>
      <c r="I8213">
        <v>-0.67062949999999999</v>
      </c>
      <c r="J8213">
        <v>-305.72750000000002</v>
      </c>
      <c r="K8213">
        <v>1.0565310000000001</v>
      </c>
      <c r="L8213">
        <v>7.9746090000000001</v>
      </c>
      <c r="M8213">
        <v>0.57057199999999997</v>
      </c>
      <c r="N8213">
        <v>0</v>
      </c>
      <c r="O8213">
        <v>-0.82111829999999997</v>
      </c>
      <c r="P8213">
        <v>0.36839119999999997</v>
      </c>
      <c r="Q8213">
        <v>-2.0958939999999999E-2</v>
      </c>
      <c r="R8213">
        <v>-0.92943480000000001</v>
      </c>
      <c r="S8213">
        <v>9.7930909999999996E-2</v>
      </c>
      <c r="T8213">
        <v>-0.3834959</v>
      </c>
      <c r="U8213">
        <v>-3.189117</v>
      </c>
      <c r="V8213">
        <v>0.22776940000000001</v>
      </c>
      <c r="W8213">
        <v>-8.8590530000000004E-3</v>
      </c>
      <c r="X8213">
        <v>0.97367479999999995</v>
      </c>
      <c r="Y8213">
        <v>0.54490450000000001</v>
      </c>
      <c r="Z8213">
        <v>7.7883850000000004E-2</v>
      </c>
      <c r="AA8213">
        <v>0.83487319999999998</v>
      </c>
      <c r="AB8213">
        <v>16</v>
      </c>
      <c r="AC8213">
        <v>0.183199999999999</v>
      </c>
      <c r="AD8213">
        <v>-1.0565361612319999</v>
      </c>
      <c r="AE8213">
        <v>-8.6452384999999996</v>
      </c>
      <c r="AF8213">
        <v>4.7124594060070697</v>
      </c>
      <c r="AG8213">
        <v>-1.0565361612319999</v>
      </c>
      <c r="AH8213">
        <v>7.0980924335156699</v>
      </c>
      <c r="AI8213">
        <v>97.068977202698093</v>
      </c>
      <c r="AJ8213">
        <v>56.419615314267297</v>
      </c>
      <c r="AK8213">
        <v>8.5852465606986392</v>
      </c>
      <c r="AL8213">
        <v>90.507592987452796</v>
      </c>
      <c r="AM8213">
        <v>76.833691541804797</v>
      </c>
      <c r="AN8213">
        <v>0.99999999927572802</v>
      </c>
    </row>
    <row r="8214" spans="1:40" x14ac:dyDescent="0.25">
      <c r="A8214" t="str">
        <f>"20190312154120550"</f>
        <v>20190312154120550</v>
      </c>
      <c r="B8214" t="str">
        <f>"1552376480544271"</f>
        <v>1552376480544271</v>
      </c>
      <c r="C8214" t="s">
        <v>40</v>
      </c>
      <c r="D8214">
        <v>4.4241919999999997</v>
      </c>
      <c r="E8214">
        <v>0.636065199999999</v>
      </c>
      <c r="F8214" t="s">
        <v>42</v>
      </c>
      <c r="G8214">
        <v>-305.49400000000003</v>
      </c>
      <c r="H8214" s="1">
        <v>-5.0768290000000004E-6</v>
      </c>
      <c r="I8214">
        <v>-0.86721610000000005</v>
      </c>
      <c r="J8214">
        <v>-305.64069999999998</v>
      </c>
      <c r="K8214">
        <v>1.056554</v>
      </c>
      <c r="L8214">
        <v>7.8307190000000002</v>
      </c>
      <c r="M8214">
        <v>0.56317779999999995</v>
      </c>
      <c r="N8214">
        <v>0</v>
      </c>
      <c r="O8214">
        <v>-0.82620749999999998</v>
      </c>
      <c r="P8214">
        <v>0.3615795</v>
      </c>
      <c r="Q8214">
        <v>-2.0440690000000001E-2</v>
      </c>
      <c r="R8214">
        <v>-0.93211730000000004</v>
      </c>
      <c r="S8214">
        <v>8.4106449999999999E-2</v>
      </c>
      <c r="T8214">
        <v>-0.3806871</v>
      </c>
      <c r="U8214">
        <v>-3.1858520000000001</v>
      </c>
      <c r="V8214">
        <v>0.2261657</v>
      </c>
      <c r="W8214">
        <v>-8.3176169999999994E-3</v>
      </c>
      <c r="X8214">
        <v>0.97405330000000001</v>
      </c>
      <c r="Y8214">
        <v>0.54098239999999997</v>
      </c>
      <c r="Z8214">
        <v>7.8439729999999999E-2</v>
      </c>
      <c r="AA8214">
        <v>0.83736809999999995</v>
      </c>
      <c r="AB8214">
        <v>16</v>
      </c>
      <c r="AC8214">
        <v>0.14669999999995201</v>
      </c>
      <c r="AD8214">
        <v>-1.0565590768290001</v>
      </c>
      <c r="AE8214">
        <v>-8.6979350999999898</v>
      </c>
      <c r="AF8214">
        <v>4.70833138800021</v>
      </c>
      <c r="AG8214">
        <v>-1.0565590768290001</v>
      </c>
      <c r="AH8214">
        <v>7.1640089871383701</v>
      </c>
      <c r="AI8214">
        <v>97.026087069116798</v>
      </c>
      <c r="AJ8214">
        <v>56.686274540874201</v>
      </c>
      <c r="AK8214">
        <v>8.6375764141254994</v>
      </c>
      <c r="AL8214">
        <v>90.476569859692603</v>
      </c>
      <c r="AM8214">
        <v>76.928104412823998</v>
      </c>
      <c r="AN8214">
        <v>0.99999996892496801</v>
      </c>
    </row>
    <row r="8215" spans="1:40" x14ac:dyDescent="0.25">
      <c r="A8215" t="str">
        <f>"20190312154120572"</f>
        <v>20190312154120572</v>
      </c>
      <c r="B8215" t="str">
        <f>"1552376480564767"</f>
        <v>1552376480564767</v>
      </c>
      <c r="C8215" t="s">
        <v>40</v>
      </c>
      <c r="D8215">
        <v>4.4279799999999998</v>
      </c>
      <c r="E8215">
        <v>0.63464830000000005</v>
      </c>
      <c r="F8215" t="s">
        <v>42</v>
      </c>
      <c r="G8215">
        <v>-305.4391</v>
      </c>
      <c r="H8215" s="1">
        <v>-5.012536E-6</v>
      </c>
      <c r="I8215">
        <v>-1.009228</v>
      </c>
      <c r="J8215">
        <v>-305.55759999999998</v>
      </c>
      <c r="K8215">
        <v>1.056575</v>
      </c>
      <c r="L8215">
        <v>7.6903079999999999</v>
      </c>
      <c r="M8215">
        <v>0.55595399999999995</v>
      </c>
      <c r="N8215">
        <v>0</v>
      </c>
      <c r="O8215">
        <v>-0.83108559999999998</v>
      </c>
      <c r="P8215">
        <v>0.3546511</v>
      </c>
      <c r="Q8215">
        <v>-2.0053720000000001E-2</v>
      </c>
      <c r="R8215">
        <v>-0.93478349999999999</v>
      </c>
      <c r="S8215">
        <v>7.2570800000000005E-2</v>
      </c>
      <c r="T8215">
        <v>-0.38031670000000001</v>
      </c>
      <c r="U8215">
        <v>-3.182007</v>
      </c>
      <c r="V8215">
        <v>0.22491259999999999</v>
      </c>
      <c r="W8215">
        <v>-7.9121809999999904E-3</v>
      </c>
      <c r="X8215">
        <v>0.97434679999999996</v>
      </c>
      <c r="Y8215">
        <v>0.53666469999999999</v>
      </c>
      <c r="Z8215">
        <v>7.9477329999999999E-2</v>
      </c>
      <c r="AA8215">
        <v>0.84004429999999997</v>
      </c>
      <c r="AB8215">
        <v>16</v>
      </c>
      <c r="AC8215">
        <v>0.11849999999998299</v>
      </c>
      <c r="AD8215">
        <v>-1.0565800125360001</v>
      </c>
      <c r="AE8215">
        <v>-8.6995360000000002</v>
      </c>
      <c r="AF8215">
        <v>4.6696917724759697</v>
      </c>
      <c r="AG8215">
        <v>-1.0565800125360001</v>
      </c>
      <c r="AH8215">
        <v>7.1906650237089504</v>
      </c>
      <c r="AI8215">
        <v>97.025265553045003</v>
      </c>
      <c r="AJ8215">
        <v>56.999891800117197</v>
      </c>
      <c r="AK8215">
        <v>8.63875257522818</v>
      </c>
      <c r="AL8215">
        <v>90.453339315663698</v>
      </c>
      <c r="AM8215">
        <v>77.001847005836396</v>
      </c>
      <c r="AN8215">
        <v>0.99999998345858798</v>
      </c>
    </row>
    <row r="8216" spans="1:40" x14ac:dyDescent="0.25">
      <c r="A8216" t="str">
        <f>"20190312154120594"</f>
        <v>20190312154120594</v>
      </c>
      <c r="B8216" t="str">
        <f>"1552376480584288"</f>
        <v>1552376480584288</v>
      </c>
      <c r="C8216" t="s">
        <v>40</v>
      </c>
      <c r="D8216">
        <v>4.3973680000000002</v>
      </c>
      <c r="E8216">
        <v>0.6333356</v>
      </c>
      <c r="F8216" t="s">
        <v>42</v>
      </c>
      <c r="G8216">
        <v>-305.39389999999997</v>
      </c>
      <c r="H8216" s="1">
        <v>-4.974042E-6</v>
      </c>
      <c r="I8216">
        <v>-1.0886039999999999</v>
      </c>
      <c r="J8216">
        <v>-305.4803</v>
      </c>
      <c r="K8216">
        <v>1.0565899999999999</v>
      </c>
      <c r="L8216">
        <v>7.5571589999999897</v>
      </c>
      <c r="M8216">
        <v>0.5490971</v>
      </c>
      <c r="N8216">
        <v>0</v>
      </c>
      <c r="O8216">
        <v>-0.83563209999999999</v>
      </c>
      <c r="P8216">
        <v>0.34760580000000002</v>
      </c>
      <c r="Q8216">
        <v>-2.0665579999999999E-2</v>
      </c>
      <c r="R8216">
        <v>-0.93741319999999995</v>
      </c>
      <c r="S8216">
        <v>5.9265140000000001E-2</v>
      </c>
      <c r="T8216">
        <v>-0.38256050000000003</v>
      </c>
      <c r="U8216">
        <v>-3.1786189999999999</v>
      </c>
      <c r="V8216">
        <v>0.2242162</v>
      </c>
      <c r="W8216">
        <v>-8.5129679999999992E-3</v>
      </c>
      <c r="X8216">
        <v>0.97450230000000004</v>
      </c>
      <c r="Y8216">
        <v>0.53322019999999903</v>
      </c>
      <c r="Z8216">
        <v>8.0956330000000007E-2</v>
      </c>
      <c r="AA8216">
        <v>0.84209409999999896</v>
      </c>
      <c r="AB8216">
        <v>16</v>
      </c>
      <c r="AC8216">
        <v>8.6400000000025998E-2</v>
      </c>
      <c r="AD8216">
        <v>-1.056594974042</v>
      </c>
      <c r="AE8216">
        <v>-8.6457629999999899</v>
      </c>
      <c r="AF8216">
        <v>4.6068615159140096</v>
      </c>
      <c r="AG8216">
        <v>-1.056594974042</v>
      </c>
      <c r="AH8216">
        <v>7.1658748154146101</v>
      </c>
      <c r="AI8216">
        <v>97.070198573256107</v>
      </c>
      <c r="AJ8216">
        <v>57.263485484500301</v>
      </c>
      <c r="AK8216">
        <v>8.5842488218931408</v>
      </c>
      <c r="AL8216">
        <v>90.487763002806204</v>
      </c>
      <c r="AM8216">
        <v>77.042730824473594</v>
      </c>
      <c r="AN8216">
        <v>1.0000000538359399</v>
      </c>
    </row>
    <row r="8217" spans="1:40" x14ac:dyDescent="0.25">
      <c r="A8217" t="str">
        <f>"20190312154120616"</f>
        <v>20190312154120616</v>
      </c>
      <c r="B8217" t="str">
        <f>"1552376480604783"</f>
        <v>1552376480604783</v>
      </c>
      <c r="C8217" t="s">
        <v>40</v>
      </c>
      <c r="D8217">
        <v>4.4168599999999998</v>
      </c>
      <c r="E8217">
        <v>0.63240289999999999</v>
      </c>
      <c r="F8217" t="s">
        <v>42</v>
      </c>
      <c r="G8217">
        <v>-305.35570000000001</v>
      </c>
      <c r="H8217" s="1">
        <v>-4.9320660000000001E-6</v>
      </c>
      <c r="I8217">
        <v>-1.1802589999999999</v>
      </c>
      <c r="J8217">
        <v>-305.40010000000001</v>
      </c>
      <c r="K8217">
        <v>1.056611</v>
      </c>
      <c r="L8217">
        <v>7.4163819999999996</v>
      </c>
      <c r="M8217">
        <v>0.54184399999999999</v>
      </c>
      <c r="N8217">
        <v>0</v>
      </c>
      <c r="O8217">
        <v>-0.84035349999999998</v>
      </c>
      <c r="P8217">
        <v>0.34016249999999998</v>
      </c>
      <c r="Q8217">
        <v>-2.1343640000000001E-2</v>
      </c>
      <c r="R8217">
        <v>-0.94012459999999998</v>
      </c>
      <c r="S8217">
        <v>4.5288090000000003E-2</v>
      </c>
      <c r="T8217">
        <v>-0.38395119999999999</v>
      </c>
      <c r="U8217">
        <v>-3.175049</v>
      </c>
      <c r="V8217">
        <v>0.2234942</v>
      </c>
      <c r="W8217">
        <v>-9.1795469999999997E-3</v>
      </c>
      <c r="X8217">
        <v>0.97466209999999998</v>
      </c>
      <c r="Y8217">
        <v>0.52959080000000003</v>
      </c>
      <c r="Z8217">
        <v>8.2310330000000001E-2</v>
      </c>
      <c r="AA8217">
        <v>0.84425030000000001</v>
      </c>
      <c r="AB8217">
        <v>16</v>
      </c>
      <c r="AC8217">
        <v>4.4399999999995998E-2</v>
      </c>
      <c r="AD8217">
        <v>-1.056615932066</v>
      </c>
      <c r="AE8217">
        <v>-8.596641</v>
      </c>
      <c r="AF8217">
        <v>4.5524427072853104</v>
      </c>
      <c r="AG8217">
        <v>-1.056615932066</v>
      </c>
      <c r="AH8217">
        <v>7.1411620268790497</v>
      </c>
      <c r="AI8217">
        <v>97.111781759002696</v>
      </c>
      <c r="AJ8217">
        <v>57.482763701845201</v>
      </c>
      <c r="AK8217">
        <v>8.5344810577533199</v>
      </c>
      <c r="AL8217">
        <v>90.525956653290905</v>
      </c>
      <c r="AM8217">
        <v>77.0850998123734</v>
      </c>
      <c r="AN8217">
        <v>1.0000000653465799</v>
      </c>
    </row>
    <row r="8218" spans="1:40" x14ac:dyDescent="0.25">
      <c r="A8218" t="str">
        <f>"20190312154120638"</f>
        <v>20190312154120638</v>
      </c>
      <c r="B8218" t="str">
        <f>"1552376480634063"</f>
        <v>1552376480634063</v>
      </c>
      <c r="C8218" t="s">
        <v>40</v>
      </c>
      <c r="D8218">
        <v>4.3915430000000004</v>
      </c>
      <c r="E8218">
        <v>0.63076849999999995</v>
      </c>
      <c r="F8218" t="s">
        <v>42</v>
      </c>
      <c r="G8218">
        <v>-305.32600000000002</v>
      </c>
      <c r="H8218" s="1">
        <v>-4.8780090000000002E-6</v>
      </c>
      <c r="I8218">
        <v>-1.307321</v>
      </c>
      <c r="J8218">
        <v>-305.32130000000001</v>
      </c>
      <c r="K8218">
        <v>1.056629</v>
      </c>
      <c r="L8218">
        <v>7.274902</v>
      </c>
      <c r="M8218">
        <v>0.53455010000000003</v>
      </c>
      <c r="N8218">
        <v>0</v>
      </c>
      <c r="O8218">
        <v>-0.84501190000000004</v>
      </c>
      <c r="P8218">
        <v>0.33226489999999997</v>
      </c>
      <c r="Q8218">
        <v>-2.1392069999999999E-2</v>
      </c>
      <c r="R8218">
        <v>-0.94294350000000005</v>
      </c>
      <c r="S8218">
        <v>2.6947019999999999E-2</v>
      </c>
      <c r="T8218">
        <v>-0.38426670000000002</v>
      </c>
      <c r="U8218">
        <v>-3.1726070000000002</v>
      </c>
      <c r="V8218">
        <v>0.22323280000000001</v>
      </c>
      <c r="W8218">
        <v>-9.2221219999999993E-3</v>
      </c>
      <c r="X8218">
        <v>0.97472159999999997</v>
      </c>
      <c r="Y8218">
        <v>0.52712650000000005</v>
      </c>
      <c r="Z8218">
        <v>8.3355579999999999E-2</v>
      </c>
      <c r="AA8218">
        <v>0.84568880000000002</v>
      </c>
      <c r="AB8218">
        <v>16</v>
      </c>
      <c r="AC8218">
        <v>-4.6999999999570701E-3</v>
      </c>
      <c r="AD8218">
        <v>-1.0566338780089899</v>
      </c>
      <c r="AE8218">
        <v>-8.5822229999999902</v>
      </c>
      <c r="AF8218">
        <v>4.5235157652349702</v>
      </c>
      <c r="AG8218">
        <v>-1.0566338780089899</v>
      </c>
      <c r="AH8218">
        <v>7.1420720342777297</v>
      </c>
      <c r="AI8218">
        <v>97.124178718762906</v>
      </c>
      <c r="AJ8218">
        <v>57.651391475513698</v>
      </c>
      <c r="AK8218">
        <v>8.5198511121555196</v>
      </c>
      <c r="AL8218">
        <v>90.528396124905598</v>
      </c>
      <c r="AM8218">
        <v>77.100460652859596</v>
      </c>
      <c r="AN8218">
        <v>1.00000006401828</v>
      </c>
    </row>
    <row r="8219" spans="1:40" x14ac:dyDescent="0.25">
      <c r="A8219" t="str">
        <f>"20190312154120660"</f>
        <v>20190312154120660</v>
      </c>
      <c r="B8219" t="str">
        <f>"1552376480654041"</f>
        <v>1552376480654041</v>
      </c>
      <c r="C8219" t="s">
        <v>40</v>
      </c>
      <c r="D8219">
        <v>4.381475</v>
      </c>
      <c r="E8219">
        <v>0.62978940000000005</v>
      </c>
      <c r="F8219" t="s">
        <v>42</v>
      </c>
      <c r="G8219">
        <v>-305.28719999999998</v>
      </c>
      <c r="H8219" s="1">
        <v>-4.7986640000000002E-6</v>
      </c>
      <c r="I8219">
        <v>-1.4960290000000001</v>
      </c>
      <c r="J8219">
        <v>-305.24340000000001</v>
      </c>
      <c r="K8219">
        <v>1.0566439999999999</v>
      </c>
      <c r="L8219">
        <v>7.132263</v>
      </c>
      <c r="M8219">
        <v>0.52719199999999999</v>
      </c>
      <c r="N8219">
        <v>0</v>
      </c>
      <c r="O8219">
        <v>-0.84962219999999999</v>
      </c>
      <c r="P8219">
        <v>0.32487349999999998</v>
      </c>
      <c r="Q8219">
        <v>-2.0792959999999999E-2</v>
      </c>
      <c r="R8219">
        <v>-0.94552899999999995</v>
      </c>
      <c r="S8219">
        <v>1.229858E-2</v>
      </c>
      <c r="T8219">
        <v>-0.38171490000000002</v>
      </c>
      <c r="U8219">
        <v>-3.1685490000000001</v>
      </c>
      <c r="V8219">
        <v>0.2224112</v>
      </c>
      <c r="W8219">
        <v>-8.6101330000000007E-3</v>
      </c>
      <c r="X8219">
        <v>0.97491490000000003</v>
      </c>
      <c r="Y8219">
        <v>0.52365680000000003</v>
      </c>
      <c r="Z8219">
        <v>8.3855669999999993E-2</v>
      </c>
      <c r="AA8219">
        <v>0.84779230000000005</v>
      </c>
      <c r="AB8219">
        <v>16</v>
      </c>
      <c r="AC8219">
        <v>-4.3799999999975997E-2</v>
      </c>
      <c r="AD8219">
        <v>-1.0566487986640001</v>
      </c>
      <c r="AE8219">
        <v>-8.6282920000000001</v>
      </c>
      <c r="AF8219">
        <v>4.51869692075784</v>
      </c>
      <c r="AG8219">
        <v>-1.0566487986640001</v>
      </c>
      <c r="AH8219">
        <v>7.2004827898396702</v>
      </c>
      <c r="AI8219">
        <v>97.085422908891999</v>
      </c>
      <c r="AJ8219">
        <v>57.889479665149501</v>
      </c>
      <c r="AK8219">
        <v>8.5663341606641605</v>
      </c>
      <c r="AL8219">
        <v>90.493330392697999</v>
      </c>
      <c r="AM8219">
        <v>77.148821122190995</v>
      </c>
      <c r="AN8219">
        <v>0.99999996925886303</v>
      </c>
    </row>
    <row r="8220" spans="1:40" x14ac:dyDescent="0.25">
      <c r="A8220" t="str">
        <f>"20190312154120683"</f>
        <v>20190312154120683</v>
      </c>
      <c r="B8220" t="str">
        <f>"1552376480674532"</f>
        <v>1552376480674532</v>
      </c>
      <c r="C8220" t="s">
        <v>40</v>
      </c>
      <c r="D8220">
        <v>4.4015440000000003</v>
      </c>
      <c r="E8220">
        <v>0.62930399999999997</v>
      </c>
      <c r="F8220" t="s">
        <v>42</v>
      </c>
      <c r="G8220">
        <v>-305.25779999999997</v>
      </c>
      <c r="H8220" s="1">
        <v>-4.709056E-6</v>
      </c>
      <c r="I8220">
        <v>-1.715797</v>
      </c>
      <c r="J8220">
        <v>-305.1694</v>
      </c>
      <c r="K8220">
        <v>1.056662</v>
      </c>
      <c r="L8220">
        <v>6.9938349999999998</v>
      </c>
      <c r="M8220">
        <v>0.52004490000000003</v>
      </c>
      <c r="N8220">
        <v>0</v>
      </c>
      <c r="O8220">
        <v>-0.85401569999999905</v>
      </c>
      <c r="P8220">
        <v>0.31745089999999998</v>
      </c>
      <c r="Q8220">
        <v>-2.061839E-2</v>
      </c>
      <c r="R8220">
        <v>-0.94805079999999997</v>
      </c>
      <c r="S8220">
        <v>-5.1574709999999899E-3</v>
      </c>
      <c r="T8220">
        <v>-0.37812319999999999</v>
      </c>
      <c r="U8220">
        <v>-3.16629</v>
      </c>
      <c r="V8220">
        <v>0.2218784</v>
      </c>
      <c r="W8220">
        <v>-8.4264909999999995E-3</v>
      </c>
      <c r="X8220">
        <v>0.97503790000000001</v>
      </c>
      <c r="Y8220">
        <v>0.52119229999999905</v>
      </c>
      <c r="Z8220">
        <v>8.3990930000000005E-2</v>
      </c>
      <c r="AA8220">
        <v>0.8492963</v>
      </c>
      <c r="AB8220">
        <v>16</v>
      </c>
      <c r="AC8220">
        <v>-8.8399999999978704E-2</v>
      </c>
      <c r="AD8220">
        <v>-1.056666709056</v>
      </c>
      <c r="AE8220">
        <v>-8.7096319999999992</v>
      </c>
      <c r="AF8220">
        <v>4.5385831627528104</v>
      </c>
      <c r="AG8220">
        <v>-1.056666709056</v>
      </c>
      <c r="AH8220">
        <v>7.2857412808380904</v>
      </c>
      <c r="AI8220">
        <v>97.017850844751706</v>
      </c>
      <c r="AJ8220">
        <v>58.07955062117</v>
      </c>
      <c r="AK8220">
        <v>8.6485436733914298</v>
      </c>
      <c r="AL8220">
        <v>90.482808099523396</v>
      </c>
      <c r="AM8220">
        <v>77.180152229525604</v>
      </c>
      <c r="AN8220">
        <v>0.99999996828677096</v>
      </c>
    </row>
    <row r="8221" spans="1:40" x14ac:dyDescent="0.25">
      <c r="A8221" t="str">
        <f>"20190312154120704"</f>
        <v>20190312154120704</v>
      </c>
      <c r="B8221" t="str">
        <f>"1552376480694052"</f>
        <v>1552376480694052</v>
      </c>
      <c r="C8221" t="s">
        <v>40</v>
      </c>
      <c r="D8221">
        <v>4.5925339999999997</v>
      </c>
      <c r="E8221">
        <v>0.61948029999999998</v>
      </c>
      <c r="F8221" t="s">
        <v>42</v>
      </c>
      <c r="G8221">
        <v>-305.24329999999998</v>
      </c>
      <c r="H8221" s="1">
        <v>-4.6583610000000001E-6</v>
      </c>
      <c r="I8221">
        <v>-1.841108</v>
      </c>
      <c r="J8221">
        <v>-305.09620000000001</v>
      </c>
      <c r="K8221">
        <v>1.0566789999999999</v>
      </c>
      <c r="L8221">
        <v>6.8542180000000004</v>
      </c>
      <c r="M8221">
        <v>0.51283089999999998</v>
      </c>
      <c r="N8221">
        <v>0</v>
      </c>
      <c r="O8221">
        <v>-0.85836699999999999</v>
      </c>
      <c r="P8221">
        <v>0.3103282</v>
      </c>
      <c r="Q8221">
        <v>-2.0647889999999999E-2</v>
      </c>
      <c r="R8221">
        <v>-0.95040539999999996</v>
      </c>
      <c r="S8221">
        <v>-2.6489260000000001E-2</v>
      </c>
      <c r="T8221">
        <v>-0.37853779999999998</v>
      </c>
      <c r="U8221">
        <v>-3.165009</v>
      </c>
      <c r="V8221">
        <v>0.22097910000000001</v>
      </c>
      <c r="W8221">
        <v>-8.4426469999999993E-3</v>
      </c>
      <c r="X8221">
        <v>0.97524200000000005</v>
      </c>
      <c r="Y8221">
        <v>0.51973119999999995</v>
      </c>
      <c r="Z8221">
        <v>8.4924760000000002E-2</v>
      </c>
      <c r="AA8221">
        <v>0.85009840000000003</v>
      </c>
      <c r="AB8221">
        <v>16</v>
      </c>
      <c r="AC8221">
        <v>-0.14709999999996601</v>
      </c>
      <c r="AD8221">
        <v>-1.056683658361</v>
      </c>
      <c r="AE8221">
        <v>-8.6953259999999997</v>
      </c>
      <c r="AF8221">
        <v>4.5192596809049901</v>
      </c>
      <c r="AG8221">
        <v>-1.056683658361</v>
      </c>
      <c r="AH8221">
        <v>7.2816181212927402</v>
      </c>
      <c r="AI8221">
        <v>97.029073051778894</v>
      </c>
      <c r="AJ8221">
        <v>58.174628792895298</v>
      </c>
      <c r="AK8221">
        <v>8.6349435945835502</v>
      </c>
      <c r="AL8221">
        <v>90.483733787877796</v>
      </c>
      <c r="AM8221">
        <v>77.232990553951197</v>
      </c>
      <c r="AN8221">
        <v>0.99999999974458798</v>
      </c>
    </row>
    <row r="8222" spans="1:40" x14ac:dyDescent="0.25">
      <c r="A8222" t="str">
        <f>"20190312154120727"</f>
        <v>20190312154120727</v>
      </c>
      <c r="B8222" t="str">
        <f>"1552376480724308"</f>
        <v>1552376480724308</v>
      </c>
      <c r="C8222" t="s">
        <v>40</v>
      </c>
      <c r="D8222">
        <v>4.3988569999999996</v>
      </c>
      <c r="E8222">
        <v>0.61830309999999999</v>
      </c>
      <c r="F8222" t="s">
        <v>42</v>
      </c>
      <c r="G8222">
        <v>-305.02929999999998</v>
      </c>
      <c r="H8222" s="1">
        <v>-4.6120589999999998E-6</v>
      </c>
      <c r="I8222">
        <v>-1.862814</v>
      </c>
      <c r="J8222">
        <v>-305.0231</v>
      </c>
      <c r="K8222">
        <v>1.056697</v>
      </c>
      <c r="L8222">
        <v>6.7117610000000001</v>
      </c>
      <c r="M8222">
        <v>0.50546599999999997</v>
      </c>
      <c r="N8222">
        <v>0</v>
      </c>
      <c r="O8222">
        <v>-0.86272469999999901</v>
      </c>
      <c r="P8222">
        <v>0.30317260000000001</v>
      </c>
      <c r="Q8222">
        <v>-2.0478219999999998E-2</v>
      </c>
      <c r="R8222">
        <v>-0.95271589999999995</v>
      </c>
      <c r="S8222">
        <v>2.4108890000000001E-2</v>
      </c>
      <c r="T8222">
        <v>-0.38068239999999998</v>
      </c>
      <c r="U8222">
        <v>-3.1404109999999998</v>
      </c>
      <c r="V8222">
        <v>0.21997</v>
      </c>
      <c r="W8222">
        <v>-8.2582909999999992E-3</v>
      </c>
      <c r="X8222">
        <v>0.97547169999999905</v>
      </c>
      <c r="Y8222">
        <v>0.49865039999999999</v>
      </c>
      <c r="Z8222">
        <v>8.7633539999999996E-2</v>
      </c>
      <c r="AA8222">
        <v>0.86236199999999996</v>
      </c>
      <c r="AB8222">
        <v>16</v>
      </c>
      <c r="AC8222">
        <v>-6.1999999999784398E-3</v>
      </c>
      <c r="AD8222">
        <v>-1.056701612059</v>
      </c>
      <c r="AE8222">
        <v>-8.5745749999999994</v>
      </c>
      <c r="AF8222">
        <v>4.2750351540448301</v>
      </c>
      <c r="AG8222">
        <v>-1.056701612059</v>
      </c>
      <c r="AH8222">
        <v>7.2845093736192297</v>
      </c>
      <c r="AI8222">
        <v>97.131120856264204</v>
      </c>
      <c r="AJ8222">
        <v>59.592751395297299</v>
      </c>
      <c r="AK8222">
        <v>8.5121454804058398</v>
      </c>
      <c r="AL8222">
        <v>90.473170589781304</v>
      </c>
      <c r="AM8222">
        <v>77.292288703100496</v>
      </c>
      <c r="AN8222">
        <v>1.00000001888556</v>
      </c>
    </row>
    <row r="8223" spans="1:40" x14ac:dyDescent="0.25">
      <c r="A8223" t="str">
        <f>"20190312154120750"</f>
        <v>20190312154120750</v>
      </c>
      <c r="B8223" t="str">
        <f>"1552376480744803"</f>
        <v>1552376480744803</v>
      </c>
      <c r="C8223" t="s">
        <v>40</v>
      </c>
      <c r="D8223">
        <v>4.2112270000000001</v>
      </c>
      <c r="E8223">
        <v>0.61744309999999902</v>
      </c>
      <c r="F8223" t="s">
        <v>42</v>
      </c>
      <c r="G8223">
        <v>-304.99720000000002</v>
      </c>
      <c r="H8223" s="1">
        <v>-4.4984E-6</v>
      </c>
      <c r="I8223">
        <v>-2.1439879999999998</v>
      </c>
      <c r="J8223">
        <v>-304.95030000000003</v>
      </c>
      <c r="K8223">
        <v>1.0567200000000001</v>
      </c>
      <c r="L8223">
        <v>6.5671390000000001</v>
      </c>
      <c r="M8223">
        <v>0.49798249999999999</v>
      </c>
      <c r="N8223">
        <v>0</v>
      </c>
      <c r="O8223">
        <v>-0.867066</v>
      </c>
      <c r="P8223">
        <v>0.29618329999999998</v>
      </c>
      <c r="Q8223">
        <v>-2.0974159999999999E-2</v>
      </c>
      <c r="R8223">
        <v>-0.95490090000000005</v>
      </c>
      <c r="S8223">
        <v>9.1552730000000002E-3</v>
      </c>
      <c r="T8223">
        <v>-0.37442730000000002</v>
      </c>
      <c r="U8223">
        <v>-3.1379090000000001</v>
      </c>
      <c r="V8223">
        <v>0.21866859999999999</v>
      </c>
      <c r="W8223">
        <v>-8.736242E-3</v>
      </c>
      <c r="X8223">
        <v>0.97576010000000002</v>
      </c>
      <c r="Y8223">
        <v>0.49526750000000003</v>
      </c>
      <c r="Z8223">
        <v>8.7154949999999995E-2</v>
      </c>
      <c r="AA8223">
        <v>0.86435769999999901</v>
      </c>
      <c r="AB8223">
        <v>16</v>
      </c>
      <c r="AC8223">
        <v>-4.6899999999993697E-2</v>
      </c>
      <c r="AD8223">
        <v>-1.0567244983999999</v>
      </c>
      <c r="AE8223">
        <v>-8.7111269999999994</v>
      </c>
      <c r="AF8223">
        <v>4.3156094997884296</v>
      </c>
      <c r="AG8223">
        <v>-1.0567244983999999</v>
      </c>
      <c r="AH8223">
        <v>7.4213516499146701</v>
      </c>
      <c r="AI8223">
        <v>97.017279392644895</v>
      </c>
      <c r="AJ8223">
        <v>59.821459342400502</v>
      </c>
      <c r="AK8223">
        <v>8.6497174712168494</v>
      </c>
      <c r="AL8223">
        <v>90.500556149937395</v>
      </c>
      <c r="AM8223">
        <v>77.368664829654705</v>
      </c>
      <c r="AN8223">
        <v>1.0000000256511199</v>
      </c>
    </row>
    <row r="8224" spans="1:40" x14ac:dyDescent="0.25">
      <c r="A8224" t="str">
        <f>"20190312154120774"</f>
        <v>20190312154120774</v>
      </c>
      <c r="B8224" t="str">
        <f>"1552376480764324"</f>
        <v>1552376480764324</v>
      </c>
      <c r="C8224" t="s">
        <v>40</v>
      </c>
      <c r="D8224">
        <v>4.3383180000000001</v>
      </c>
      <c r="E8224">
        <v>0.57655809999999996</v>
      </c>
      <c r="F8224" t="s">
        <v>42</v>
      </c>
      <c r="G8224">
        <v>-304.97160000000002</v>
      </c>
      <c r="H8224" s="1">
        <v>-4.4097810000000002E-6</v>
      </c>
      <c r="I8224">
        <v>-2.3629340000000001</v>
      </c>
      <c r="J8224">
        <v>-304.87819999999999</v>
      </c>
      <c r="K8224">
        <v>1.056735</v>
      </c>
      <c r="L8224">
        <v>6.4205629999999996</v>
      </c>
      <c r="M8224">
        <v>0.49039120000000003</v>
      </c>
      <c r="N8224">
        <v>0</v>
      </c>
      <c r="O8224">
        <v>-0.87138189999999904</v>
      </c>
      <c r="P8224">
        <v>0.2885625</v>
      </c>
      <c r="Q8224">
        <v>-2.0971170000000001E-2</v>
      </c>
      <c r="R8224">
        <v>-0.95723139999999995</v>
      </c>
      <c r="S8224">
        <v>-7.4768069999999898E-3</v>
      </c>
      <c r="T8224">
        <v>-0.37107309999999999</v>
      </c>
      <c r="U8224">
        <v>-3.135834</v>
      </c>
      <c r="V8224">
        <v>0.21792520000000001</v>
      </c>
      <c r="W8224">
        <v>-8.7219589999999996E-3</v>
      </c>
      <c r="X8224">
        <v>0.97592650000000003</v>
      </c>
      <c r="Y8224">
        <v>0.4922726</v>
      </c>
      <c r="Z8224">
        <v>8.7288829999999998E-2</v>
      </c>
      <c r="AA8224">
        <v>0.86605330000000003</v>
      </c>
      <c r="AB8224">
        <v>16</v>
      </c>
      <c r="AC8224">
        <v>-9.3400000000031E-2</v>
      </c>
      <c r="AD8224">
        <v>-1.0567394097809999</v>
      </c>
      <c r="AE8224">
        <v>-8.7834970000000006</v>
      </c>
      <c r="AF8224">
        <v>4.3265800975828901</v>
      </c>
      <c r="AG8224">
        <v>-1.0567394097809999</v>
      </c>
      <c r="AH8224">
        <v>7.5002278357039298</v>
      </c>
      <c r="AI8224">
        <v>96.958193183792105</v>
      </c>
      <c r="AJ8224">
        <v>60.021079872286798</v>
      </c>
      <c r="AK8224">
        <v>8.72292445848597</v>
      </c>
      <c r="AL8224">
        <v>90.499737776287105</v>
      </c>
      <c r="AM8224">
        <v>77.412314164934003</v>
      </c>
      <c r="AN8224">
        <v>0.99999999938304296</v>
      </c>
    </row>
    <row r="8225" spans="1:40" x14ac:dyDescent="0.25">
      <c r="A8225" t="str">
        <f>"20190312154120794"</f>
        <v>20190312154120794</v>
      </c>
      <c r="B8225" t="str">
        <f>"1552376480784819"</f>
        <v>1552376480784819</v>
      </c>
      <c r="C8225" t="s">
        <v>40</v>
      </c>
      <c r="D8225">
        <v>4.3256040000000002</v>
      </c>
      <c r="E8225">
        <v>0.56814030000000004</v>
      </c>
      <c r="F8225" t="s">
        <v>42</v>
      </c>
      <c r="G8225">
        <v>-302.55250000000001</v>
      </c>
      <c r="H8225" s="1">
        <v>-1.3618240000000001E-6</v>
      </c>
      <c r="I8225">
        <v>-18.81954</v>
      </c>
      <c r="J8225">
        <v>-304.81290000000001</v>
      </c>
      <c r="K8225">
        <v>1.0567580000000001</v>
      </c>
      <c r="L8225">
        <v>6.2850039999999998</v>
      </c>
      <c r="M8225">
        <v>0.48336580000000001</v>
      </c>
      <c r="N8225">
        <v>0</v>
      </c>
      <c r="O8225">
        <v>-0.87529889999999999</v>
      </c>
      <c r="P8225">
        <v>0.281622599999999</v>
      </c>
      <c r="Q8225">
        <v>-1.9713310000000001E-2</v>
      </c>
      <c r="R8225">
        <v>-0.95932300000000004</v>
      </c>
      <c r="S8225">
        <v>0.28073120000000001</v>
      </c>
      <c r="T8225">
        <v>-0.12755439999999901</v>
      </c>
      <c r="U8225">
        <v>-3.0466310000000001</v>
      </c>
      <c r="V8225">
        <v>0.21716640000000001</v>
      </c>
      <c r="W8225">
        <v>-7.4525349999999997E-3</v>
      </c>
      <c r="X8225">
        <v>0.97610620000000003</v>
      </c>
      <c r="Y8225">
        <v>0.4010899</v>
      </c>
      <c r="Z8225">
        <v>3.2251080000000001E-2</v>
      </c>
      <c r="AA8225">
        <v>0.91547080000000003</v>
      </c>
      <c r="AB8225">
        <v>16</v>
      </c>
      <c r="AC8225">
        <v>2.2604000000000002</v>
      </c>
      <c r="AD8225">
        <v>-1.0567593618240001</v>
      </c>
      <c r="AE8225">
        <v>-25.104544000000001</v>
      </c>
      <c r="AF8225">
        <v>10.139393714749</v>
      </c>
      <c r="AG8225">
        <v>-1.0567593618240001</v>
      </c>
      <c r="AH8225">
        <v>23.0285176871663</v>
      </c>
      <c r="AI8225">
        <v>92.404919767579997</v>
      </c>
      <c r="AJ8225">
        <v>66.236236858455499</v>
      </c>
      <c r="AK8225">
        <v>25.184055910826299</v>
      </c>
      <c r="AL8225">
        <v>90.427002733688198</v>
      </c>
      <c r="AM8225">
        <v>77.456990293455505</v>
      </c>
      <c r="AN8225">
        <v>1.00000004962266</v>
      </c>
    </row>
    <row r="8226" spans="1:40" x14ac:dyDescent="0.25">
      <c r="A8226" t="str">
        <f>"20190312154120817"</f>
        <v>20190312154120817</v>
      </c>
      <c r="B8226" t="str">
        <f>"1552376480804340"</f>
        <v>1552376480804340</v>
      </c>
      <c r="C8226" t="s">
        <v>40</v>
      </c>
      <c r="D8226">
        <v>4.296392</v>
      </c>
      <c r="E8226">
        <v>0.56478249999999997</v>
      </c>
      <c r="F8226" t="s">
        <v>42</v>
      </c>
      <c r="G8226">
        <v>-301.9486</v>
      </c>
      <c r="H8226" s="1">
        <v>-4.579907E-6</v>
      </c>
      <c r="I8226">
        <v>-20.57067</v>
      </c>
      <c r="J8226">
        <v>-304.745</v>
      </c>
      <c r="K8226">
        <v>1.0567799999999901</v>
      </c>
      <c r="L8226">
        <v>6.1410220000000004</v>
      </c>
      <c r="M8226">
        <v>0.47589900000000002</v>
      </c>
      <c r="N8226">
        <v>0</v>
      </c>
      <c r="O8226">
        <v>-0.87938090000000002</v>
      </c>
      <c r="P8226">
        <v>0.27428350000000001</v>
      </c>
      <c r="Q8226">
        <v>-1.8100580000000002E-2</v>
      </c>
      <c r="R8226">
        <v>-0.96147859999999996</v>
      </c>
      <c r="S8226">
        <v>0.32315060000000001</v>
      </c>
      <c r="T8226">
        <v>-0.11922480000000001</v>
      </c>
      <c r="U8226">
        <v>-3.0298769999999999</v>
      </c>
      <c r="V8226">
        <v>0.2163476</v>
      </c>
      <c r="W8226">
        <v>-5.8274769999999898E-3</v>
      </c>
      <c r="X8226">
        <v>0.97629900000000003</v>
      </c>
      <c r="Y8226">
        <v>0.38003579999999998</v>
      </c>
      <c r="Z8226">
        <v>3.0713649999999999E-2</v>
      </c>
      <c r="AA8226">
        <v>0.92446170000000005</v>
      </c>
      <c r="AB8226">
        <v>15</v>
      </c>
      <c r="AC8226">
        <v>2.7964000000000002</v>
      </c>
      <c r="AD8226">
        <v>-1.0567845799069999</v>
      </c>
      <c r="AE8226">
        <v>-26.711691999999999</v>
      </c>
      <c r="AF8226">
        <v>10.2381891833237</v>
      </c>
      <c r="AG8226">
        <v>-1.0567845799069999</v>
      </c>
      <c r="AH8226">
        <v>24.784781901316801</v>
      </c>
      <c r="AI8226">
        <v>92.256773593070207</v>
      </c>
      <c r="AJ8226">
        <v>67.555278442261795</v>
      </c>
      <c r="AK8226">
        <v>26.836965649970502</v>
      </c>
      <c r="AL8226">
        <v>90.333891730312601</v>
      </c>
      <c r="AM8226">
        <v>77.5051842456336</v>
      </c>
      <c r="AN8226">
        <v>0.99999999045747201</v>
      </c>
    </row>
    <row r="8227" spans="1:40" x14ac:dyDescent="0.25">
      <c r="A8227" t="str">
        <f>"20190312154120840"</f>
        <v>20190312154120840</v>
      </c>
      <c r="B8227" t="str">
        <f>"1552376480834596"</f>
        <v>1552376480834596</v>
      </c>
      <c r="C8227" t="s">
        <v>40</v>
      </c>
      <c r="D8227">
        <v>4.2586079999999997</v>
      </c>
      <c r="E8227">
        <v>0.56184880000000004</v>
      </c>
      <c r="F8227" t="s">
        <v>42</v>
      </c>
      <c r="G8227">
        <v>-301.58920000000001</v>
      </c>
      <c r="H8227" s="1">
        <v>-3.5302979999999998E-6</v>
      </c>
      <c r="I8227">
        <v>-23.16733</v>
      </c>
      <c r="J8227">
        <v>-304.67840000000001</v>
      </c>
      <c r="K8227">
        <v>1.056802</v>
      </c>
      <c r="L8227">
        <v>5.9963069999999998</v>
      </c>
      <c r="M8227">
        <v>0.4683908</v>
      </c>
      <c r="N8227">
        <v>0</v>
      </c>
      <c r="O8227">
        <v>-0.88340280000000004</v>
      </c>
      <c r="P8227">
        <v>0.26688190000000001</v>
      </c>
      <c r="Q8227">
        <v>-1.7112680000000002E-2</v>
      </c>
      <c r="R8227">
        <v>-0.96357720000000002</v>
      </c>
      <c r="S8227">
        <v>0.3257446</v>
      </c>
      <c r="T8227">
        <v>-0.1090812</v>
      </c>
      <c r="U8227">
        <v>-3.0252080000000001</v>
      </c>
      <c r="V8227">
        <v>0.21555569999999999</v>
      </c>
      <c r="W8227">
        <v>-4.827891E-3</v>
      </c>
      <c r="X8227">
        <v>0.9764796</v>
      </c>
      <c r="Y8227">
        <v>0.37119980000000002</v>
      </c>
      <c r="Z8227">
        <v>2.842428E-2</v>
      </c>
      <c r="AA8227">
        <v>0.92811790000000005</v>
      </c>
      <c r="AB8227">
        <v>15</v>
      </c>
      <c r="AC8227">
        <v>3.0891999999999999</v>
      </c>
      <c r="AD8227">
        <v>-1.056805530298</v>
      </c>
      <c r="AE8227">
        <v>-29.163636999999898</v>
      </c>
      <c r="AF8227">
        <v>10.9179392513587</v>
      </c>
      <c r="AG8227">
        <v>-1.056805530298</v>
      </c>
      <c r="AH8227">
        <v>27.177751004550899</v>
      </c>
      <c r="AI8227">
        <v>92.066466338427702</v>
      </c>
      <c r="AJ8227">
        <v>68.113516091106604</v>
      </c>
      <c r="AK8227">
        <v>29.307821227286698</v>
      </c>
      <c r="AL8227">
        <v>90.276618855957807</v>
      </c>
      <c r="AM8227">
        <v>77.551721420050896</v>
      </c>
      <c r="AN8227">
        <v>0.99999998877507801</v>
      </c>
    </row>
    <row r="8228" spans="1:40" x14ac:dyDescent="0.25">
      <c r="A8228" t="str">
        <f>"20190312154120861"</f>
        <v>20190312154120861</v>
      </c>
      <c r="B8228" t="str">
        <f>"1552376480854625"</f>
        <v>1552376480854625</v>
      </c>
      <c r="C8228" t="s">
        <v>40</v>
      </c>
      <c r="D8228">
        <v>4.3175999999999997</v>
      </c>
      <c r="E8228">
        <v>0.56063589999999996</v>
      </c>
      <c r="F8228" t="s">
        <v>42</v>
      </c>
      <c r="G8228">
        <v>-301.07429999999999</v>
      </c>
      <c r="H8228" s="1">
        <v>-1.529931E-6</v>
      </c>
      <c r="I8228">
        <v>-27.51089</v>
      </c>
      <c r="J8228">
        <v>-304.61430000000001</v>
      </c>
      <c r="K8228">
        <v>1.0568200000000001</v>
      </c>
      <c r="L8228">
        <v>5.854279</v>
      </c>
      <c r="M8228">
        <v>0.46101890000000001</v>
      </c>
      <c r="N8228">
        <v>0</v>
      </c>
      <c r="O8228">
        <v>-0.88727250000000002</v>
      </c>
      <c r="P8228">
        <v>0.25951000000000002</v>
      </c>
      <c r="Q8228">
        <v>-1.627609E-2</v>
      </c>
      <c r="R8228">
        <v>-0.96560360000000001</v>
      </c>
      <c r="S8228">
        <v>0.32501219999999997</v>
      </c>
      <c r="T8228">
        <v>-9.5302100000000001E-2</v>
      </c>
      <c r="U8228">
        <v>-3.0216669999999999</v>
      </c>
      <c r="V8228">
        <v>0.2149016</v>
      </c>
      <c r="W8228">
        <v>-3.9812459999999999E-3</v>
      </c>
      <c r="X8228">
        <v>0.97662760000000004</v>
      </c>
      <c r="Y8228">
        <v>0.3635543</v>
      </c>
      <c r="Z8228">
        <v>2.5093890000000001E-2</v>
      </c>
      <c r="AA8228">
        <v>0.93123500000000003</v>
      </c>
      <c r="AB8228">
        <v>15</v>
      </c>
      <c r="AC8228">
        <v>3.54000000000002</v>
      </c>
      <c r="AD8228">
        <v>-1.056821529931</v>
      </c>
      <c r="AE8228">
        <v>-33.365169000000002</v>
      </c>
      <c r="AF8228">
        <v>12.230175218534001</v>
      </c>
      <c r="AG8228">
        <v>-1.056821529931</v>
      </c>
      <c r="AH8228">
        <v>31.208308073035901</v>
      </c>
      <c r="AI8228">
        <v>91.805872174575399</v>
      </c>
      <c r="AJ8228">
        <v>68.600361232146398</v>
      </c>
      <c r="AK8228">
        <v>33.5358397897487</v>
      </c>
      <c r="AL8228">
        <v>90.228109193658099</v>
      </c>
      <c r="AM8228">
        <v>77.590145730640401</v>
      </c>
      <c r="AN8228">
        <v>1.00000000854201</v>
      </c>
    </row>
    <row r="8229" spans="1:40" x14ac:dyDescent="0.25">
      <c r="A8229" t="str">
        <f>"20190312154120883"</f>
        <v>20190312154120883</v>
      </c>
      <c r="B8229" t="str">
        <f>"1552376480874146"</f>
        <v>1552376480874146</v>
      </c>
      <c r="C8229" t="s">
        <v>40</v>
      </c>
      <c r="D8229">
        <v>4.3268110000000002</v>
      </c>
      <c r="E8229">
        <v>0.55926069999999894</v>
      </c>
      <c r="F8229" t="s">
        <v>42</v>
      </c>
      <c r="G8229">
        <v>-300.83800000000002</v>
      </c>
      <c r="H8229" s="1">
        <v>-4.3097639999999997E-6</v>
      </c>
      <c r="I8229">
        <v>-30.785589999999999</v>
      </c>
      <c r="J8229">
        <v>-304.55149999999998</v>
      </c>
      <c r="K8229">
        <v>1.056848</v>
      </c>
      <c r="L8229">
        <v>5.7114560000000001</v>
      </c>
      <c r="M8229">
        <v>0.4536018</v>
      </c>
      <c r="N8229">
        <v>0</v>
      </c>
      <c r="O8229">
        <v>-0.89108739999999997</v>
      </c>
      <c r="P8229">
        <v>0.25172369999999999</v>
      </c>
      <c r="Q8229">
        <v>-1.595736E-2</v>
      </c>
      <c r="R8229">
        <v>-0.96766790000000003</v>
      </c>
      <c r="S8229">
        <v>0.31143189999999998</v>
      </c>
      <c r="T8229">
        <v>-8.7156529999999996E-2</v>
      </c>
      <c r="U8229">
        <v>-3.0216980000000002</v>
      </c>
      <c r="V8229">
        <v>0.21462719999999999</v>
      </c>
      <c r="W8229">
        <v>-3.6566979999999999E-3</v>
      </c>
      <c r="X8229">
        <v>0.97668920000000004</v>
      </c>
      <c r="Y8229">
        <v>0.35991709999999999</v>
      </c>
      <c r="Z8229">
        <v>2.3137000000000001E-2</v>
      </c>
      <c r="AA8229">
        <v>0.93269740000000001</v>
      </c>
      <c r="AB8229">
        <v>15</v>
      </c>
      <c r="AC8229">
        <v>3.71350000000001</v>
      </c>
      <c r="AD8229">
        <v>-1.0568523097639999</v>
      </c>
      <c r="AE8229">
        <v>-36.497045999999997</v>
      </c>
      <c r="AF8229">
        <v>13.236469519530401</v>
      </c>
      <c r="AG8229">
        <v>-1.0568523097639999</v>
      </c>
      <c r="AH8229">
        <v>34.181708966655897</v>
      </c>
      <c r="AI8229">
        <v>91.651515710729399</v>
      </c>
      <c r="AJ8229">
        <v>68.831684544187794</v>
      </c>
      <c r="AK8229">
        <v>36.670291654516099</v>
      </c>
      <c r="AL8229">
        <v>90.209513829291794</v>
      </c>
      <c r="AM8229">
        <v>77.60625894607</v>
      </c>
      <c r="AN8229">
        <v>0.99999999990837096</v>
      </c>
    </row>
    <row r="8230" spans="1:40" x14ac:dyDescent="0.25">
      <c r="A8230" t="str">
        <f>"20190312154120906"</f>
        <v>20190312154120906</v>
      </c>
      <c r="B8230" t="str">
        <f>"1552376480894641"</f>
        <v>1552376480894641</v>
      </c>
      <c r="C8230" t="s">
        <v>40</v>
      </c>
      <c r="D8230">
        <v>4.3296729999999997</v>
      </c>
      <c r="E8230">
        <v>0.558083199999999</v>
      </c>
      <c r="F8230" t="s">
        <v>42</v>
      </c>
      <c r="G8230">
        <v>-300.84589999999997</v>
      </c>
      <c r="H8230" s="1">
        <v>-3.8778390000000004E-6</v>
      </c>
      <c r="I8230">
        <v>-31.89622</v>
      </c>
      <c r="J8230">
        <v>-304.49</v>
      </c>
      <c r="K8230">
        <v>1.056872</v>
      </c>
      <c r="L8230">
        <v>5.5688779999999998</v>
      </c>
      <c r="M8230">
        <v>0.44619829999999999</v>
      </c>
      <c r="N8230">
        <v>0</v>
      </c>
      <c r="O8230">
        <v>-0.89481739999999999</v>
      </c>
      <c r="P8230">
        <v>0.244119</v>
      </c>
      <c r="Q8230">
        <v>-1.520527E-2</v>
      </c>
      <c r="R8230">
        <v>-0.96962590000000004</v>
      </c>
      <c r="S8230">
        <v>0.29769899999999999</v>
      </c>
      <c r="T8230">
        <v>-8.490723E-2</v>
      </c>
      <c r="U8230">
        <v>-3.0213930000000002</v>
      </c>
      <c r="V8230">
        <v>0.21420919999999999</v>
      </c>
      <c r="W8230">
        <v>-2.8960919999999999E-3</v>
      </c>
      <c r="X8230">
        <v>0.97678350000000003</v>
      </c>
      <c r="Y8230">
        <v>0.3563656</v>
      </c>
      <c r="Z8230">
        <v>2.2720150000000001E-2</v>
      </c>
      <c r="AA8230">
        <v>0.93407030000000002</v>
      </c>
      <c r="AB8230">
        <v>15</v>
      </c>
      <c r="AC8230">
        <v>3.6441000000000301</v>
      </c>
      <c r="AD8230">
        <v>-1.0568758778389999</v>
      </c>
      <c r="AE8230">
        <v>-37.465097999999998</v>
      </c>
      <c r="AF8230">
        <v>13.446864153530999</v>
      </c>
      <c r="AG8230">
        <v>-1.0568758778389999</v>
      </c>
      <c r="AH8230">
        <v>35.1263938231941</v>
      </c>
      <c r="AI8230">
        <v>91.609544498494301</v>
      </c>
      <c r="AJ8230">
        <v>69.052470347397602</v>
      </c>
      <c r="AK8230">
        <v>37.627100409237002</v>
      </c>
      <c r="AL8230">
        <v>90.165934082748507</v>
      </c>
      <c r="AM8230">
        <v>77.630810193949998</v>
      </c>
      <c r="AN8230">
        <v>0.99999998729288098</v>
      </c>
    </row>
    <row r="8231" spans="1:40" x14ac:dyDescent="0.25">
      <c r="A8231" t="str">
        <f>"20190312154120929"</f>
        <v>20190312154120929</v>
      </c>
      <c r="B8231" t="str">
        <f>"1552376480914161"</f>
        <v>1552376480914161</v>
      </c>
      <c r="C8231" t="s">
        <v>40</v>
      </c>
      <c r="D8231">
        <v>4.3533929999999996</v>
      </c>
      <c r="E8231">
        <v>0.55727649999999995</v>
      </c>
      <c r="F8231" t="s">
        <v>42</v>
      </c>
      <c r="G8231">
        <v>-300.78309999999999</v>
      </c>
      <c r="H8231" s="1">
        <v>-2.9656449999999998E-6</v>
      </c>
      <c r="I8231">
        <v>-33.98359</v>
      </c>
      <c r="J8231">
        <v>-304.42809999999997</v>
      </c>
      <c r="K8231">
        <v>1.0569040000000001</v>
      </c>
      <c r="L8231">
        <v>5.4217529999999998</v>
      </c>
      <c r="M8231">
        <v>0.43856719999999999</v>
      </c>
      <c r="N8231">
        <v>0</v>
      </c>
      <c r="O8231">
        <v>-0.89858249999999995</v>
      </c>
      <c r="P8231">
        <v>0.2367649</v>
      </c>
      <c r="Q8231">
        <v>-1.516822E-2</v>
      </c>
      <c r="R8231">
        <v>-0.9714488</v>
      </c>
      <c r="S8231">
        <v>0.283172599999999</v>
      </c>
      <c r="T8231">
        <v>-8.0734970000000003E-2</v>
      </c>
      <c r="U8231">
        <v>-3.021423</v>
      </c>
      <c r="V8231">
        <v>0.2132986</v>
      </c>
      <c r="W8231">
        <v>-2.8431620000000002E-3</v>
      </c>
      <c r="X8231">
        <v>0.97698300000000005</v>
      </c>
      <c r="Y8231">
        <v>0.35286050000000002</v>
      </c>
      <c r="Z8231">
        <v>2.177424E-2</v>
      </c>
      <c r="AA8231">
        <v>0.93542250000000005</v>
      </c>
      <c r="AB8231">
        <v>15</v>
      </c>
      <c r="AC8231">
        <v>3.64499999999998</v>
      </c>
      <c r="AD8231">
        <v>-1.0569069656450001</v>
      </c>
      <c r="AE8231">
        <v>-39.405343000000002</v>
      </c>
      <c r="AF8231">
        <v>13.998032167487301</v>
      </c>
      <c r="AG8231">
        <v>-1.0569069656450001</v>
      </c>
      <c r="AH8231">
        <v>36.985003187463498</v>
      </c>
      <c r="AI8231">
        <v>91.530948224683399</v>
      </c>
      <c r="AJ8231">
        <v>69.269418266744296</v>
      </c>
      <c r="AK8231">
        <v>39.559479491933701</v>
      </c>
      <c r="AL8231">
        <v>90.1629013896234</v>
      </c>
      <c r="AM8231">
        <v>77.684221407878198</v>
      </c>
      <c r="AN8231">
        <v>1.0000000793105499</v>
      </c>
    </row>
    <row r="8232" spans="1:40" x14ac:dyDescent="0.25">
      <c r="A8232" t="str">
        <f>"20190312154120951"</f>
        <v>20190312154120951</v>
      </c>
      <c r="B8232" t="str">
        <f>"1552376480943952"</f>
        <v>1552376480943952</v>
      </c>
      <c r="C8232" t="s">
        <v>40</v>
      </c>
      <c r="D8232">
        <v>4.2631949999999996</v>
      </c>
      <c r="E8232">
        <v>0.55621830000000005</v>
      </c>
      <c r="F8232" t="s">
        <v>42</v>
      </c>
      <c r="G8232">
        <v>-300.83789999999999</v>
      </c>
      <c r="H8232" s="1">
        <v>-2.422972E-6</v>
      </c>
      <c r="I8232">
        <v>-35.28257</v>
      </c>
      <c r="J8232">
        <v>-304.36950000000002</v>
      </c>
      <c r="K8232">
        <v>1.0569390000000001</v>
      </c>
      <c r="L8232">
        <v>5.2794800000000004</v>
      </c>
      <c r="M8232">
        <v>0.43120570000000003</v>
      </c>
      <c r="N8232">
        <v>0</v>
      </c>
      <c r="O8232">
        <v>-0.9021382</v>
      </c>
      <c r="P8232">
        <v>0.22943140000000001</v>
      </c>
      <c r="Q8232">
        <v>-1.5096500000000001E-2</v>
      </c>
      <c r="R8232">
        <v>-0.97320779999999996</v>
      </c>
      <c r="S8232">
        <v>0.26654050000000001</v>
      </c>
      <c r="T8232">
        <v>-7.8466889999999997E-2</v>
      </c>
      <c r="U8232">
        <v>-3.021973</v>
      </c>
      <c r="V8232">
        <v>0.2126806</v>
      </c>
      <c r="W8232">
        <v>-2.7570490000000001E-3</v>
      </c>
      <c r="X8232">
        <v>0.97711789999999998</v>
      </c>
      <c r="Y8232">
        <v>0.35033029999999998</v>
      </c>
      <c r="Z8232">
        <v>2.131181E-2</v>
      </c>
      <c r="AA8232">
        <v>0.93638370000000004</v>
      </c>
      <c r="AB8232">
        <v>15</v>
      </c>
      <c r="AC8232">
        <v>3.5316000000000201</v>
      </c>
      <c r="AD8232">
        <v>-1.05694142297199</v>
      </c>
      <c r="AE8232">
        <v>-40.562049999999999</v>
      </c>
      <c r="AF8232">
        <v>14.296451955613</v>
      </c>
      <c r="AG8232">
        <v>-1.05694142297199</v>
      </c>
      <c r="AH8232">
        <v>38.093720825038197</v>
      </c>
      <c r="AI8232">
        <v>91.4880196441149</v>
      </c>
      <c r="AJ8232">
        <v>69.429046835882502</v>
      </c>
      <c r="AK8232">
        <v>40.701808682006899</v>
      </c>
      <c r="AL8232">
        <v>90.157967469413094</v>
      </c>
      <c r="AM8232">
        <v>77.720464106377307</v>
      </c>
      <c r="AN8232">
        <v>1.00000001471797</v>
      </c>
    </row>
    <row r="8233" spans="1:40" x14ac:dyDescent="0.25">
      <c r="A8233" t="str">
        <f>"20190312154120974"</f>
        <v>20190312154120974</v>
      </c>
      <c r="B8233" t="str">
        <f>"1552376480964443"</f>
        <v>1552376480964443</v>
      </c>
      <c r="C8233" t="s">
        <v>40</v>
      </c>
      <c r="D8233">
        <v>4.2813990000000004</v>
      </c>
      <c r="E8233">
        <v>0.55543439999999999</v>
      </c>
      <c r="F8233" t="s">
        <v>42</v>
      </c>
      <c r="G8233">
        <v>-300.84100000000001</v>
      </c>
      <c r="H8233" s="1">
        <v>-1.65287999999999E-6</v>
      </c>
      <c r="I8233">
        <v>-37.079590000000003</v>
      </c>
      <c r="J8233">
        <v>-304.3116</v>
      </c>
      <c r="K8233">
        <v>1.0569710000000001</v>
      </c>
      <c r="L8233">
        <v>5.1353759999999999</v>
      </c>
      <c r="M8233">
        <v>0.42377209999999899</v>
      </c>
      <c r="N8233">
        <v>0</v>
      </c>
      <c r="O8233">
        <v>-0.90565410000000002</v>
      </c>
      <c r="P8233">
        <v>0.22165570000000001</v>
      </c>
      <c r="Q8233">
        <v>-1.4957649999999999E-2</v>
      </c>
      <c r="R8233">
        <v>-0.9750103</v>
      </c>
      <c r="S8233">
        <v>0.2517395</v>
      </c>
      <c r="T8233">
        <v>-7.5406310000000004E-2</v>
      </c>
      <c r="U8233">
        <v>-3.0220639999999999</v>
      </c>
      <c r="V8233">
        <v>0.21244669999999999</v>
      </c>
      <c r="W8233">
        <v>-2.6054379999999999E-3</v>
      </c>
      <c r="X8233">
        <v>0.97716919999999996</v>
      </c>
      <c r="Y8233">
        <v>0.34717959999999998</v>
      </c>
      <c r="Z8233">
        <v>2.0628069999999998E-2</v>
      </c>
      <c r="AA8233">
        <v>0.93757179999999996</v>
      </c>
      <c r="AB8233">
        <v>15</v>
      </c>
      <c r="AC8233">
        <v>3.4705999999999899</v>
      </c>
      <c r="AD8233">
        <v>-1.0569726528800001</v>
      </c>
      <c r="AE8233">
        <v>-42.214965999999997</v>
      </c>
      <c r="AF8233">
        <v>14.738716897048301</v>
      </c>
      <c r="AG8233">
        <v>-1.0569726528800001</v>
      </c>
      <c r="AH8233">
        <v>39.6823177982169</v>
      </c>
      <c r="AI8233">
        <v>91.430333511759599</v>
      </c>
      <c r="AJ8233">
        <v>69.624110016070304</v>
      </c>
      <c r="AK8233">
        <v>42.344224078366999</v>
      </c>
      <c r="AL8233">
        <v>90.149280767533696</v>
      </c>
      <c r="AM8233">
        <v>77.734184159993106</v>
      </c>
      <c r="AN8233">
        <v>1.0000000170383501</v>
      </c>
    </row>
    <row r="8234" spans="1:40" x14ac:dyDescent="0.25">
      <c r="A8234" t="str">
        <f>"20190312154120996"</f>
        <v>20190312154120996</v>
      </c>
      <c r="B8234" t="str">
        <f>"1552376480983964"</f>
        <v>1552376480983964</v>
      </c>
      <c r="C8234" t="s">
        <v>40</v>
      </c>
      <c r="D8234">
        <v>4.2526640000000002</v>
      </c>
      <c r="E8234">
        <v>0.55507620000000002</v>
      </c>
      <c r="F8234" t="s">
        <v>42</v>
      </c>
      <c r="G8234">
        <v>-300.95359999999999</v>
      </c>
      <c r="H8234" s="1">
        <v>-1.1635899999999999E-6</v>
      </c>
      <c r="I8234">
        <v>-38.289969999999997</v>
      </c>
      <c r="J8234">
        <v>-304.2534</v>
      </c>
      <c r="K8234">
        <v>1.0570200000000001</v>
      </c>
      <c r="L8234">
        <v>4.9875489999999996</v>
      </c>
      <c r="M8234">
        <v>0.41618579999999999</v>
      </c>
      <c r="N8234">
        <v>0</v>
      </c>
      <c r="O8234">
        <v>-0.90916540000000001</v>
      </c>
      <c r="P8234">
        <v>0.2144141</v>
      </c>
      <c r="Q8234">
        <v>-1.423493E-2</v>
      </c>
      <c r="R8234">
        <v>-0.97663920000000004</v>
      </c>
      <c r="S8234">
        <v>0.2337341</v>
      </c>
      <c r="T8234">
        <v>-7.3570369999999996E-2</v>
      </c>
      <c r="U8234">
        <v>-3.0226139999999999</v>
      </c>
      <c r="V8234">
        <v>0.21153920000000001</v>
      </c>
      <c r="W8234">
        <v>-1.85911E-3</v>
      </c>
      <c r="X8234">
        <v>0.97736780000000001</v>
      </c>
      <c r="Y8234">
        <v>0.34490110000000002</v>
      </c>
      <c r="Z8234">
        <v>2.0262840000000001E-2</v>
      </c>
      <c r="AA8234">
        <v>0.93842029999999999</v>
      </c>
      <c r="AB8234">
        <v>15</v>
      </c>
      <c r="AC8234">
        <v>3.2997999999999998</v>
      </c>
      <c r="AD8234">
        <v>-1.05702116359</v>
      </c>
      <c r="AE8234">
        <v>-43.277518999999998</v>
      </c>
      <c r="AF8234">
        <v>15.004084858755</v>
      </c>
      <c r="AG8234">
        <v>-1.05702116359</v>
      </c>
      <c r="AH8234">
        <v>40.699842350100901</v>
      </c>
      <c r="AI8234">
        <v>91.3959078674213</v>
      </c>
      <c r="AJ8234">
        <v>69.763482403901406</v>
      </c>
      <c r="AK8234">
        <v>43.390287202461202</v>
      </c>
      <c r="AL8234">
        <v>90.106519212370401</v>
      </c>
      <c r="AM8234">
        <v>77.787410666662794</v>
      </c>
      <c r="AN8234">
        <v>1.0000000529517299</v>
      </c>
    </row>
    <row r="8235" spans="1:40" x14ac:dyDescent="0.25">
      <c r="A8235" t="str">
        <f>"20190312154121020"</f>
        <v>20190312154121020</v>
      </c>
      <c r="B8235" t="str">
        <f>"1552376481014221"</f>
        <v>1552376481014221</v>
      </c>
      <c r="C8235" t="s">
        <v>40</v>
      </c>
      <c r="D8235">
        <v>4.2817089999999904</v>
      </c>
      <c r="E8235">
        <v>0.54259840000000004</v>
      </c>
      <c r="F8235" t="s">
        <v>42</v>
      </c>
      <c r="G8235">
        <v>-301.10680000000002</v>
      </c>
      <c r="H8235" s="1">
        <v>-7.2091359999999899E-7</v>
      </c>
      <c r="I8235">
        <v>-39.416899999999998</v>
      </c>
      <c r="J8235">
        <v>-304.19720000000001</v>
      </c>
      <c r="K8235">
        <v>1.0570820000000001</v>
      </c>
      <c r="L8235">
        <v>4.8410029999999997</v>
      </c>
      <c r="M8235">
        <v>0.40872760000000002</v>
      </c>
      <c r="N8235">
        <v>0</v>
      </c>
      <c r="O8235">
        <v>-0.91254310000000005</v>
      </c>
      <c r="P8235">
        <v>0.20729829999999999</v>
      </c>
      <c r="Q8235">
        <v>-1.470641E-2</v>
      </c>
      <c r="R8235">
        <v>-0.97816729999999996</v>
      </c>
      <c r="S8235">
        <v>0.21426390000000001</v>
      </c>
      <c r="T8235">
        <v>-7.1976899999999899E-2</v>
      </c>
      <c r="U8235">
        <v>-3.023682</v>
      </c>
      <c r="V8235">
        <v>0.21064550000000001</v>
      </c>
      <c r="W8235">
        <v>-2.3039979999999998E-3</v>
      </c>
      <c r="X8235">
        <v>0.97755979999999998</v>
      </c>
      <c r="Y8235">
        <v>0.34324959999999999</v>
      </c>
      <c r="Z8235">
        <v>1.9947119999999999E-2</v>
      </c>
      <c r="AA8235">
        <v>0.93903239999999999</v>
      </c>
      <c r="AB8235">
        <v>15</v>
      </c>
      <c r="AC8235">
        <v>3.0903999999999798</v>
      </c>
      <c r="AD8235">
        <v>-1.0570827209136</v>
      </c>
      <c r="AE8235">
        <v>-44.257902999999999</v>
      </c>
      <c r="AF8235">
        <v>15.262218210727999</v>
      </c>
      <c r="AG8235">
        <v>-1.0570827209136</v>
      </c>
      <c r="AH8235">
        <v>41.631049702292898</v>
      </c>
      <c r="AI8235">
        <v>91.365679531516193</v>
      </c>
      <c r="AJ8235">
        <v>69.866729574556004</v>
      </c>
      <c r="AK8235">
        <v>44.353094907858598</v>
      </c>
      <c r="AL8235">
        <v>90.132009478355002</v>
      </c>
      <c r="AM8235">
        <v>77.839784349969705</v>
      </c>
      <c r="AN8235">
        <v>0.99999999882653601</v>
      </c>
    </row>
    <row r="8236" spans="1:40" x14ac:dyDescent="0.25">
      <c r="A8236" t="str">
        <f>"20190312154121040"</f>
        <v>20190312154121040</v>
      </c>
      <c r="B8236" t="str">
        <f>"1552376481034716"</f>
        <v>1552376481034716</v>
      </c>
      <c r="C8236" t="s">
        <v>40</v>
      </c>
      <c r="D8236">
        <v>4.3028950000000004</v>
      </c>
      <c r="E8236">
        <v>0.54162460000000001</v>
      </c>
      <c r="F8236" t="s">
        <v>69</v>
      </c>
      <c r="G8236">
        <v>-298.56330000000003</v>
      </c>
      <c r="H8236" s="1">
        <v>-7.4140109999999998E-6</v>
      </c>
      <c r="I8236">
        <v>-53.605559999999997</v>
      </c>
      <c r="J8236">
        <v>-304.14550000000003</v>
      </c>
      <c r="K8236">
        <v>1.057148</v>
      </c>
      <c r="L8236">
        <v>4.7033079999999998</v>
      </c>
      <c r="M8236">
        <v>0.40178930000000002</v>
      </c>
      <c r="N8236">
        <v>0</v>
      </c>
      <c r="O8236">
        <v>-0.91561939999999997</v>
      </c>
      <c r="P8236">
        <v>0.2010787</v>
      </c>
      <c r="Q8236">
        <v>-1.530223E-2</v>
      </c>
      <c r="R8236">
        <v>-0.97945599999999999</v>
      </c>
      <c r="S8236">
        <v>0.28964230000000002</v>
      </c>
      <c r="T8236">
        <v>-5.4345369999999997E-2</v>
      </c>
      <c r="U8236">
        <v>-3.0047609999999998</v>
      </c>
      <c r="V8236">
        <v>0.20942910000000001</v>
      </c>
      <c r="W8236">
        <v>-2.8686950000000001E-3</v>
      </c>
      <c r="X8236">
        <v>0.97781960000000001</v>
      </c>
      <c r="Y8236">
        <v>0.31212489999999998</v>
      </c>
      <c r="Z8236">
        <v>1.532533E-2</v>
      </c>
      <c r="AA8236">
        <v>0.94991740000000002</v>
      </c>
      <c r="AB8236">
        <v>15</v>
      </c>
      <c r="AC8236">
        <v>5.5822000000000003</v>
      </c>
      <c r="AD8236">
        <v>-1.057155414011</v>
      </c>
      <c r="AE8236">
        <v>-58.308867999999997</v>
      </c>
      <c r="AF8236">
        <v>18.312635070526401</v>
      </c>
      <c r="AG8236">
        <v>-1.057155414011</v>
      </c>
      <c r="AH8236">
        <v>55.619226689148199</v>
      </c>
      <c r="AI8236">
        <v>91.034284433042998</v>
      </c>
      <c r="AJ8236">
        <v>71.775866117720994</v>
      </c>
      <c r="AK8236">
        <v>58.565933428013501</v>
      </c>
      <c r="AL8236">
        <v>90.164364345963804</v>
      </c>
      <c r="AM8236">
        <v>77.911051030137799</v>
      </c>
      <c r="AN8236">
        <v>0.99999997374098604</v>
      </c>
    </row>
    <row r="8237" spans="1:40" x14ac:dyDescent="0.25">
      <c r="A8237" t="str">
        <f>"20190312154121063"</f>
        <v>20190312154121063</v>
      </c>
      <c r="B8237" t="str">
        <f>"1552376481054519"</f>
        <v>1552376481054519</v>
      </c>
      <c r="C8237" t="s">
        <v>40</v>
      </c>
      <c r="D8237">
        <v>4.3095270000000001</v>
      </c>
      <c r="E8237">
        <v>0.54135500000000003</v>
      </c>
      <c r="F8237" t="s">
        <v>69</v>
      </c>
      <c r="G8237">
        <v>-299.37709999999998</v>
      </c>
      <c r="H8237" s="1">
        <v>-4.0335730000000001E-6</v>
      </c>
      <c r="I8237">
        <v>-46.812910000000002</v>
      </c>
      <c r="J8237">
        <v>-304.09230000000002</v>
      </c>
      <c r="K8237">
        <v>1.0572140000000001</v>
      </c>
      <c r="L8237">
        <v>4.5584410000000002</v>
      </c>
      <c r="M8237">
        <v>0.39455590000000001</v>
      </c>
      <c r="N8237">
        <v>0</v>
      </c>
      <c r="O8237">
        <v>-0.91875989999999996</v>
      </c>
      <c r="P8237">
        <v>0.19388730000000001</v>
      </c>
      <c r="Q8237">
        <v>-1.4655339999999999E-2</v>
      </c>
      <c r="R8237">
        <v>-0.98091439999999996</v>
      </c>
      <c r="S8237">
        <v>0.27813719999999997</v>
      </c>
      <c r="T8237">
        <v>-6.1661840000000002E-2</v>
      </c>
      <c r="U8237">
        <v>-3.0048520000000001</v>
      </c>
      <c r="V8237">
        <v>0.20890059999999999</v>
      </c>
      <c r="W8237">
        <v>-2.1987090000000001E-3</v>
      </c>
      <c r="X8237">
        <v>0.97793439999999998</v>
      </c>
      <c r="Y8237">
        <v>0.30824049999999997</v>
      </c>
      <c r="Z8237">
        <v>1.7498199999999998E-2</v>
      </c>
      <c r="AA8237">
        <v>0.95114750000000003</v>
      </c>
      <c r="AB8237">
        <v>15</v>
      </c>
      <c r="AC8237">
        <v>4.7152000000000296</v>
      </c>
      <c r="AD8237">
        <v>-1.0572180335729999</v>
      </c>
      <c r="AE8237">
        <v>-51.371350999999997</v>
      </c>
      <c r="AF8237">
        <v>15.931682571688</v>
      </c>
      <c r="AG8237">
        <v>-1.0572180335729999</v>
      </c>
      <c r="AH8237">
        <v>49.042800619532102</v>
      </c>
      <c r="AI8237">
        <v>91.174535038301102</v>
      </c>
      <c r="AJ8237">
        <v>72.003475946831799</v>
      </c>
      <c r="AK8237">
        <v>51.576472467034002</v>
      </c>
      <c r="AL8237">
        <v>90.125976848479993</v>
      </c>
      <c r="AM8237">
        <v>77.942037945396393</v>
      </c>
      <c r="AN8237">
        <v>0.99999999285249297</v>
      </c>
    </row>
    <row r="8238" spans="1:40" x14ac:dyDescent="0.25">
      <c r="A8238" t="str">
        <f>"20190312154121085"</f>
        <v>20190312154121085</v>
      </c>
      <c r="B8238" t="str">
        <f>"1552376481075016"</f>
        <v>1552376481075016</v>
      </c>
      <c r="C8238" t="s">
        <v>40</v>
      </c>
      <c r="D8238">
        <v>4.3757469999999996</v>
      </c>
      <c r="E8238">
        <v>0.54171950000000002</v>
      </c>
      <c r="F8238" t="s">
        <v>69</v>
      </c>
      <c r="G8238">
        <v>-299.06470000000002</v>
      </c>
      <c r="H8238" s="1">
        <v>-7.1940720000000004E-6</v>
      </c>
      <c r="I8238">
        <v>-53.996270000000003</v>
      </c>
      <c r="J8238">
        <v>-304.04090000000002</v>
      </c>
      <c r="K8238">
        <v>1.0572859999999999</v>
      </c>
      <c r="L8238">
        <v>4.4150390000000002</v>
      </c>
      <c r="M8238">
        <v>0.38747090000000001</v>
      </c>
      <c r="N8238">
        <v>0</v>
      </c>
      <c r="O8238">
        <v>-0.92177050000000005</v>
      </c>
      <c r="P8238">
        <v>0.1864227</v>
      </c>
      <c r="Q8238">
        <v>-1.3849780000000001E-2</v>
      </c>
      <c r="R8238">
        <v>-0.98237229999999998</v>
      </c>
      <c r="S8238">
        <v>0.25814819999999999</v>
      </c>
      <c r="T8238">
        <v>-5.4283739999999997E-2</v>
      </c>
      <c r="U8238">
        <v>-3.0065309999999998</v>
      </c>
      <c r="V8238">
        <v>0.2088187</v>
      </c>
      <c r="W8238">
        <v>-1.3765889999999999E-3</v>
      </c>
      <c r="X8238">
        <v>0.97795339999999997</v>
      </c>
      <c r="Y8238">
        <v>0.30723620000000001</v>
      </c>
      <c r="Z8238">
        <v>1.5483729999999999E-2</v>
      </c>
      <c r="AA8238">
        <v>0.95150729999999994</v>
      </c>
      <c r="AB8238">
        <v>15</v>
      </c>
      <c r="AC8238">
        <v>4.9762000000000004</v>
      </c>
      <c r="AD8238">
        <v>-1.0572931940719901</v>
      </c>
      <c r="AE8238">
        <v>-58.411309000000003</v>
      </c>
      <c r="AF8238">
        <v>18.041753507981301</v>
      </c>
      <c r="AG8238">
        <v>-1.0572931940719901</v>
      </c>
      <c r="AH8238">
        <v>55.757547188520199</v>
      </c>
      <c r="AI8238">
        <v>91.033582037489097</v>
      </c>
      <c r="AJ8238">
        <v>72.069710937939305</v>
      </c>
      <c r="AK8238">
        <v>58.613367136012997</v>
      </c>
      <c r="AL8238">
        <v>90.078872764851496</v>
      </c>
      <c r="AM8238">
        <v>77.946854355957896</v>
      </c>
      <c r="AN8238">
        <v>0.99999999851926202</v>
      </c>
    </row>
    <row r="8239" spans="1:40" x14ac:dyDescent="0.25">
      <c r="A8239" t="str">
        <f>"20190312154121108"</f>
        <v>20190312154121108</v>
      </c>
      <c r="B8239" t="str">
        <f>"1552376481104296"</f>
        <v>1552376481104296</v>
      </c>
      <c r="C8239" t="s">
        <v>40</v>
      </c>
      <c r="D8239">
        <v>4.3933920000000004</v>
      </c>
      <c r="E8239">
        <v>0.54463890000000004</v>
      </c>
      <c r="F8239" t="s">
        <v>69</v>
      </c>
      <c r="G8239">
        <v>-299.67959999999999</v>
      </c>
      <c r="H8239" s="1">
        <v>-7.1975689999999997E-6</v>
      </c>
      <c r="I8239">
        <v>-52.046320000000001</v>
      </c>
      <c r="J8239">
        <v>-303.99009999999998</v>
      </c>
      <c r="K8239">
        <v>1.0573600000000001</v>
      </c>
      <c r="L8239">
        <v>4.2706600000000003</v>
      </c>
      <c r="M8239">
        <v>0.38043179999999999</v>
      </c>
      <c r="N8239">
        <v>0</v>
      </c>
      <c r="O8239">
        <v>-0.92469820000000003</v>
      </c>
      <c r="P8239">
        <v>0.17859729999999999</v>
      </c>
      <c r="Q8239">
        <v>-1.278731E-2</v>
      </c>
      <c r="R8239">
        <v>-0.98383920000000002</v>
      </c>
      <c r="S8239">
        <v>0.23242189999999999</v>
      </c>
      <c r="T8239">
        <v>-5.6345340000000001E-2</v>
      </c>
      <c r="U8239">
        <v>-3.0089419999999998</v>
      </c>
      <c r="V8239">
        <v>0.20915980000000001</v>
      </c>
      <c r="W8239">
        <v>-3.0175390000000002E-4</v>
      </c>
      <c r="X8239">
        <v>0.97788140000000001</v>
      </c>
      <c r="Y8239">
        <v>0.3081276</v>
      </c>
      <c r="Z8239">
        <v>1.6141840000000001E-2</v>
      </c>
      <c r="AA8239">
        <v>0.9512081</v>
      </c>
      <c r="AB8239">
        <v>15</v>
      </c>
      <c r="AC8239">
        <v>4.3104999999999896</v>
      </c>
      <c r="AD8239">
        <v>-1.057367197569</v>
      </c>
      <c r="AE8239">
        <v>-56.316980000000001</v>
      </c>
      <c r="AF8239">
        <v>17.434535156733901</v>
      </c>
      <c r="AG8239">
        <v>-1.057367197569</v>
      </c>
      <c r="AH8239">
        <v>53.702744385852299</v>
      </c>
      <c r="AI8239">
        <v>91.072857656789196</v>
      </c>
      <c r="AJ8239">
        <v>72.014036676022897</v>
      </c>
      <c r="AK8239">
        <v>56.471814173922901</v>
      </c>
      <c r="AL8239">
        <v>90.017289225655503</v>
      </c>
      <c r="AM8239">
        <v>77.926880175498198</v>
      </c>
      <c r="AN8239">
        <v>0.999999972728707</v>
      </c>
    </row>
    <row r="8240" spans="1:40" x14ac:dyDescent="0.25">
      <c r="A8240" t="str">
        <f>"20190312154121130"</f>
        <v>20190312154121130</v>
      </c>
      <c r="B8240" t="str">
        <f>"1552376481124791"</f>
        <v>1552376481124791</v>
      </c>
      <c r="C8240" t="s">
        <v>40</v>
      </c>
      <c r="D8240">
        <v>4.3214569999999997</v>
      </c>
      <c r="E8240">
        <v>0.5453093</v>
      </c>
      <c r="F8240" t="s">
        <v>69</v>
      </c>
      <c r="G8240">
        <v>-299.39589999999998</v>
      </c>
      <c r="H8240">
        <v>4.3247819999999999E-2</v>
      </c>
      <c r="I8240">
        <v>-70.383709999999994</v>
      </c>
      <c r="J8240">
        <v>-303.93979999999999</v>
      </c>
      <c r="K8240">
        <v>1.057439</v>
      </c>
      <c r="L8240">
        <v>4.12439</v>
      </c>
      <c r="M8240">
        <v>0.37340780000000001</v>
      </c>
      <c r="N8240">
        <v>0</v>
      </c>
      <c r="O8240">
        <v>-0.92755710000000002</v>
      </c>
      <c r="P8240">
        <v>0.1719212</v>
      </c>
      <c r="Q8240">
        <v>-1.31547E-2</v>
      </c>
      <c r="R8240">
        <v>-0.98502279999999998</v>
      </c>
      <c r="S8240">
        <v>0.18554689999999999</v>
      </c>
      <c r="T8240">
        <v>-4.0957090000000002E-2</v>
      </c>
      <c r="U8240">
        <v>-3.0150760000000001</v>
      </c>
      <c r="V8240">
        <v>0.20837040000000001</v>
      </c>
      <c r="W8240">
        <v>-6.4347269999999999E-4</v>
      </c>
      <c r="X8240">
        <v>0.97804979999999997</v>
      </c>
      <c r="Y8240">
        <v>0.31576480000000001</v>
      </c>
      <c r="Z8240">
        <v>1.175609E-2</v>
      </c>
      <c r="AA8240">
        <v>0.94876470000000002</v>
      </c>
      <c r="AB8240">
        <v>15</v>
      </c>
      <c r="AC8240">
        <v>4.5438999999999998</v>
      </c>
      <c r="AD8240">
        <v>-1.0141911800000001</v>
      </c>
      <c r="AE8240">
        <v>-74.508099999999999</v>
      </c>
      <c r="AF8240">
        <v>23.605235092329401</v>
      </c>
      <c r="AG8240">
        <v>-1.0141911800000001</v>
      </c>
      <c r="AH8240">
        <v>70.801414329315705</v>
      </c>
      <c r="AI8240">
        <v>90.7785495999197</v>
      </c>
      <c r="AJ8240">
        <v>71.561581778337995</v>
      </c>
      <c r="AK8240">
        <v>74.639640798607601</v>
      </c>
      <c r="AL8240">
        <v>90.036868271584098</v>
      </c>
      <c r="AM8240">
        <v>77.973127173325196</v>
      </c>
      <c r="AN8240">
        <v>1.00000002446665</v>
      </c>
    </row>
    <row r="8241" spans="1:40" x14ac:dyDescent="0.25">
      <c r="A8241" t="str">
        <f>"20190312154121153"</f>
        <v>20190312154121153</v>
      </c>
      <c r="B8241" t="str">
        <f>"1552376481144820"</f>
        <v>1552376481144820</v>
      </c>
      <c r="C8241" t="s">
        <v>40</v>
      </c>
      <c r="D8241">
        <v>4.3583089999999904</v>
      </c>
      <c r="E8241">
        <v>0.54575200000000001</v>
      </c>
      <c r="F8241" t="s">
        <v>69</v>
      </c>
      <c r="G8241">
        <v>-299.90660000000003</v>
      </c>
      <c r="H8241">
        <v>7.9986550000000003E-2</v>
      </c>
      <c r="I8241">
        <v>-71.971159999999998</v>
      </c>
      <c r="J8241">
        <v>-303.89060000000001</v>
      </c>
      <c r="K8241">
        <v>1.0575220000000001</v>
      </c>
      <c r="L8241">
        <v>3.978424</v>
      </c>
      <c r="M8241">
        <v>0.36652240000000003</v>
      </c>
      <c r="N8241">
        <v>0</v>
      </c>
      <c r="O8241">
        <v>-0.93029969999999995</v>
      </c>
      <c r="P8241">
        <v>0.16691489999999901</v>
      </c>
      <c r="Q8241">
        <v>-1.4243169999999999E-2</v>
      </c>
      <c r="R8241">
        <v>-0.98586859999999998</v>
      </c>
      <c r="S8241">
        <v>0.1599121</v>
      </c>
      <c r="T8241">
        <v>-3.8755890000000001E-2</v>
      </c>
      <c r="U8241">
        <v>-3.0171809999999999</v>
      </c>
      <c r="V8241">
        <v>0.20607619999999999</v>
      </c>
      <c r="W8241">
        <v>-1.6890179999999901E-3</v>
      </c>
      <c r="X8241">
        <v>0.97853449999999997</v>
      </c>
      <c r="Y8241">
        <v>0.31680649999999999</v>
      </c>
      <c r="Z8241">
        <v>1.1168869999999999E-2</v>
      </c>
      <c r="AA8241">
        <v>0.94842439999999995</v>
      </c>
      <c r="AB8241">
        <v>15</v>
      </c>
      <c r="AC8241">
        <v>3.98399999999998</v>
      </c>
      <c r="AD8241">
        <v>-0.97753544999999997</v>
      </c>
      <c r="AE8241">
        <v>-75.949584000000002</v>
      </c>
      <c r="AF8241">
        <v>24.129382825786699</v>
      </c>
      <c r="AG8241">
        <v>-0.97753544999999997</v>
      </c>
      <c r="AH8241">
        <v>72.111537028400704</v>
      </c>
      <c r="AI8241">
        <v>90.736513790384095</v>
      </c>
      <c r="AJ8241">
        <v>71.499142508831795</v>
      </c>
      <c r="AK8241">
        <v>76.047724908164</v>
      </c>
      <c r="AL8241">
        <v>90.096773647933404</v>
      </c>
      <c r="AM8241">
        <v>78.107476888637294</v>
      </c>
      <c r="AN8241">
        <v>1.0000000103392399</v>
      </c>
    </row>
    <row r="8242" spans="1:40" x14ac:dyDescent="0.25">
      <c r="A8242" t="str">
        <f>"20190312154121177"</f>
        <v>20190312154121177</v>
      </c>
      <c r="B8242" t="str">
        <f>"1552376481164339"</f>
        <v>1552376481164339</v>
      </c>
      <c r="C8242" t="s">
        <v>40</v>
      </c>
      <c r="D8242">
        <v>4.395759</v>
      </c>
      <c r="E8242">
        <v>0.54572419999999899</v>
      </c>
      <c r="F8242" t="s">
        <v>69</v>
      </c>
      <c r="G8242">
        <v>-300.37</v>
      </c>
      <c r="H8242">
        <v>7.9986520000000005E-2</v>
      </c>
      <c r="I8242">
        <v>-71.412750000000003</v>
      </c>
      <c r="J8242">
        <v>-303.84129999999999</v>
      </c>
      <c r="K8242">
        <v>1.057606</v>
      </c>
      <c r="L8242">
        <v>3.8289490000000002</v>
      </c>
      <c r="M8242">
        <v>0.35959750000000001</v>
      </c>
      <c r="N8242">
        <v>0</v>
      </c>
      <c r="O8242">
        <v>-0.93299880000000002</v>
      </c>
      <c r="P8242">
        <v>0.16246440000000001</v>
      </c>
      <c r="Q8242">
        <v>-1.5361430000000001E-2</v>
      </c>
      <c r="R8242">
        <v>-0.98659470000000005</v>
      </c>
      <c r="S8242">
        <v>0.14096069999999999</v>
      </c>
      <c r="T8242">
        <v>-3.9139510000000002E-2</v>
      </c>
      <c r="U8242">
        <v>-3.0185849999999999</v>
      </c>
      <c r="V8242">
        <v>0.20320479999999999</v>
      </c>
      <c r="W8242">
        <v>-2.7574259999999999E-3</v>
      </c>
      <c r="X8242">
        <v>0.97913240000000001</v>
      </c>
      <c r="Y8242">
        <v>0.31571909999999997</v>
      </c>
      <c r="Z8242">
        <v>1.132997E-2</v>
      </c>
      <c r="AA8242">
        <v>0.94878510000000005</v>
      </c>
      <c r="AB8242">
        <v>15</v>
      </c>
      <c r="AC8242">
        <v>3.4712999999999798</v>
      </c>
      <c r="AD8242">
        <v>-0.97761947999999999</v>
      </c>
      <c r="AE8242">
        <v>-75.241698999999997</v>
      </c>
      <c r="AF8242">
        <v>23.816412420525001</v>
      </c>
      <c r="AG8242">
        <v>-0.97761947999999999</v>
      </c>
      <c r="AH8242">
        <v>71.443898932817206</v>
      </c>
      <c r="AI8242">
        <v>90.743739671454193</v>
      </c>
      <c r="AJ8242">
        <v>71.563766834706101</v>
      </c>
      <c r="AK8242">
        <v>75.315389763014693</v>
      </c>
      <c r="AL8242">
        <v>90.157989068310499</v>
      </c>
      <c r="AM8242">
        <v>78.275525201247802</v>
      </c>
      <c r="AN8242">
        <v>1.00000002543547</v>
      </c>
    </row>
    <row r="8243" spans="1:40" x14ac:dyDescent="0.25">
      <c r="A8243" t="str">
        <f>"20190312154121200"</f>
        <v>20190312154121200</v>
      </c>
      <c r="B8243" t="str">
        <f>"1552376481184836"</f>
        <v>1552376481184836</v>
      </c>
      <c r="C8243" t="s">
        <v>40</v>
      </c>
      <c r="D8243">
        <v>4.3595220000000001</v>
      </c>
      <c r="E8243">
        <v>0.54545429999999995</v>
      </c>
      <c r="F8243" t="s">
        <v>93</v>
      </c>
      <c r="G8243">
        <v>-299.83960000000002</v>
      </c>
      <c r="H8243">
        <v>0.1031876</v>
      </c>
      <c r="I8243">
        <v>-90.976820000000004</v>
      </c>
      <c r="J8243">
        <v>-303.79199999999997</v>
      </c>
      <c r="K8243">
        <v>1.0576939999999999</v>
      </c>
      <c r="L8243">
        <v>3.6761170000000001</v>
      </c>
      <c r="M8243">
        <v>0.35265869999999999</v>
      </c>
      <c r="N8243">
        <v>0</v>
      </c>
      <c r="O8243">
        <v>-0.93564409999999998</v>
      </c>
      <c r="P8243">
        <v>0.15812129999999999</v>
      </c>
      <c r="Q8243">
        <v>-1.6786769999999999E-2</v>
      </c>
      <c r="R8243">
        <v>-0.98727730000000002</v>
      </c>
      <c r="S8243">
        <v>0.12744140000000001</v>
      </c>
      <c r="T8243">
        <v>-3.039503E-2</v>
      </c>
      <c r="U8243">
        <v>-3.0192869999999998</v>
      </c>
      <c r="V8243">
        <v>0.2002245</v>
      </c>
      <c r="W8243">
        <v>-4.1345269999999998E-3</v>
      </c>
      <c r="X8243">
        <v>0.97974130000000004</v>
      </c>
      <c r="Y8243">
        <v>0.31292039999999999</v>
      </c>
      <c r="Z8243">
        <v>8.8419090000000002E-3</v>
      </c>
      <c r="AA8243">
        <v>0.94973819999999998</v>
      </c>
      <c r="AB8243">
        <v>15</v>
      </c>
      <c r="AC8243">
        <v>3.9524000000000101</v>
      </c>
      <c r="AD8243">
        <v>-0.95450639999999998</v>
      </c>
      <c r="AE8243">
        <v>-94.652936999999994</v>
      </c>
      <c r="AF8243">
        <v>29.6821265216008</v>
      </c>
      <c r="AG8243">
        <v>-0.95450639999999998</v>
      </c>
      <c r="AH8243">
        <v>89.955263470995106</v>
      </c>
      <c r="AI8243">
        <v>90.577322489810797</v>
      </c>
      <c r="AJ8243">
        <v>71.738896659362197</v>
      </c>
      <c r="AK8243">
        <v>94.730613549412297</v>
      </c>
      <c r="AL8243">
        <v>90.236891627083295</v>
      </c>
      <c r="AM8243">
        <v>78.449812197803197</v>
      </c>
      <c r="AN8243">
        <v>0.99999997981972599</v>
      </c>
    </row>
    <row r="8244" spans="1:40" x14ac:dyDescent="0.25">
      <c r="A8244" t="str">
        <f>"20190312154121221"</f>
        <v>20190312154121221</v>
      </c>
      <c r="B8244" t="str">
        <f>"1552376481214114"</f>
        <v>1552376481214114</v>
      </c>
      <c r="C8244" t="s">
        <v>40</v>
      </c>
      <c r="D8244">
        <v>4.2610530000000004</v>
      </c>
      <c r="E8244">
        <v>0.54524869999999903</v>
      </c>
      <c r="F8244" t="s">
        <v>93</v>
      </c>
      <c r="G8244">
        <v>-300.15120000000002</v>
      </c>
      <c r="H8244">
        <v>0.18951029999999999</v>
      </c>
      <c r="I8244">
        <v>-90.976820000000004</v>
      </c>
      <c r="J8244">
        <v>-303.74790000000002</v>
      </c>
      <c r="K8244">
        <v>1.0577620000000001</v>
      </c>
      <c r="L8244">
        <v>3.53653</v>
      </c>
      <c r="M8244">
        <v>0.34642779999999901</v>
      </c>
      <c r="N8244">
        <v>0</v>
      </c>
      <c r="O8244">
        <v>-0.9379691</v>
      </c>
      <c r="P8244">
        <v>0.15441669999999999</v>
      </c>
      <c r="Q8244">
        <v>-1.7486539999999998E-2</v>
      </c>
      <c r="R8244">
        <v>-0.98785120000000004</v>
      </c>
      <c r="S8244">
        <v>0.1161499</v>
      </c>
      <c r="T8244">
        <v>-2.7696129999999999E-2</v>
      </c>
      <c r="U8244">
        <v>-3.0195919999999998</v>
      </c>
      <c r="V8244">
        <v>0.19737499999999999</v>
      </c>
      <c r="W8244">
        <v>-4.7957039999999996E-3</v>
      </c>
      <c r="X8244">
        <v>0.98031630000000003</v>
      </c>
      <c r="Y8244">
        <v>0.31015140000000002</v>
      </c>
      <c r="Z8244">
        <v>8.0924840000000005E-3</v>
      </c>
      <c r="AA8244">
        <v>0.95065279999999996</v>
      </c>
      <c r="AB8244">
        <v>15</v>
      </c>
      <c r="AC8244">
        <v>3.59669999999999</v>
      </c>
      <c r="AD8244">
        <v>-0.86825169999999996</v>
      </c>
      <c r="AE8244">
        <v>-94.513350000000003</v>
      </c>
      <c r="AF8244">
        <v>29.368946453182598</v>
      </c>
      <c r="AG8244">
        <v>-0.86825169999999996</v>
      </c>
      <c r="AH8244">
        <v>89.8980924818608</v>
      </c>
      <c r="AI8244">
        <v>90.525999429412394</v>
      </c>
      <c r="AJ8244">
        <v>71.908222816002095</v>
      </c>
      <c r="AK8244">
        <v>94.577777033834295</v>
      </c>
      <c r="AL8244">
        <v>90.274774660841601</v>
      </c>
      <c r="AM8244">
        <v>78.616368991418</v>
      </c>
      <c r="AN8244">
        <v>0.99999996872377195</v>
      </c>
    </row>
    <row r="8245" spans="1:40" x14ac:dyDescent="0.25">
      <c r="A8245" t="str">
        <f>"20190312154121242"</f>
        <v>20190312154121242</v>
      </c>
      <c r="B8245" t="str">
        <f>"1552376481234611"</f>
        <v>1552376481234611</v>
      </c>
      <c r="C8245" t="s">
        <v>40</v>
      </c>
      <c r="D8245">
        <v>4.2664530000000003</v>
      </c>
      <c r="E8245">
        <v>0.54505800000000004</v>
      </c>
      <c r="F8245" t="s">
        <v>93</v>
      </c>
      <c r="G8245">
        <v>-300.41079999999999</v>
      </c>
      <c r="H8245">
        <v>0.45995330000000001</v>
      </c>
      <c r="I8245">
        <v>-90.976820000000004</v>
      </c>
      <c r="J8245">
        <v>-303.70679999999999</v>
      </c>
      <c r="K8245">
        <v>1.057798</v>
      </c>
      <c r="L8245">
        <v>3.4036249999999999</v>
      </c>
      <c r="M8245">
        <v>0.34056510000000001</v>
      </c>
      <c r="N8245">
        <v>0</v>
      </c>
      <c r="O8245">
        <v>-0.94011420000000001</v>
      </c>
      <c r="P8245">
        <v>0.15105439999999901</v>
      </c>
      <c r="Q8245">
        <v>-1.6993830000000001E-2</v>
      </c>
      <c r="R8245">
        <v>-0.98837969999999997</v>
      </c>
      <c r="S8245">
        <v>0.106628399999999</v>
      </c>
      <c r="T8245">
        <v>-1.9100789999999999E-2</v>
      </c>
      <c r="U8245">
        <v>-3.0198969999999998</v>
      </c>
      <c r="V8245">
        <v>0.1945963</v>
      </c>
      <c r="W8245">
        <v>-4.2747540000000004E-3</v>
      </c>
      <c r="X8245">
        <v>0.98087409999999997</v>
      </c>
      <c r="Y8245">
        <v>0.30721079999999901</v>
      </c>
      <c r="Z8245">
        <v>5.6040899999999999E-3</v>
      </c>
      <c r="AA8245">
        <v>0.95162500000000005</v>
      </c>
      <c r="AB8245">
        <v>15</v>
      </c>
      <c r="AC8245">
        <v>3.29599999999999</v>
      </c>
      <c r="AD8245">
        <v>-0.59784469999999901</v>
      </c>
      <c r="AE8245">
        <v>-94.380444999999995</v>
      </c>
      <c r="AF8245">
        <v>29.045820312324999</v>
      </c>
      <c r="AG8245">
        <v>-0.59784469999999901</v>
      </c>
      <c r="AH8245">
        <v>89.856316100654794</v>
      </c>
      <c r="AI8245">
        <v>90.362723698062595</v>
      </c>
      <c r="AJ8245">
        <v>72.086708636557404</v>
      </c>
      <c r="AK8245">
        <v>94.436087588813194</v>
      </c>
      <c r="AL8245">
        <v>90.244926109394598</v>
      </c>
      <c r="AM8245">
        <v>78.778754572976695</v>
      </c>
      <c r="AN8245">
        <v>0.99999999677313001</v>
      </c>
    </row>
    <row r="8246" spans="1:40" x14ac:dyDescent="0.25">
      <c r="A8246" t="str">
        <f>"20190312154121264"</f>
        <v>20190312154121264</v>
      </c>
      <c r="B8246" t="str">
        <f>"1552376481254638"</f>
        <v>1552376481254638</v>
      </c>
      <c r="C8246" t="s">
        <v>40</v>
      </c>
      <c r="D8246">
        <v>4.354552</v>
      </c>
      <c r="E8246">
        <v>0.51215140000000003</v>
      </c>
      <c r="F8246" t="s">
        <v>93</v>
      </c>
      <c r="G8246">
        <v>-300.654</v>
      </c>
      <c r="H8246">
        <v>0.67069239999999997</v>
      </c>
      <c r="I8246">
        <v>-90.976820000000004</v>
      </c>
      <c r="J8246">
        <v>-303.66460000000001</v>
      </c>
      <c r="K8246">
        <v>1.0578209999999999</v>
      </c>
      <c r="L8246">
        <v>3.2644350000000002</v>
      </c>
      <c r="M8246">
        <v>0.33448299999999997</v>
      </c>
      <c r="N8246">
        <v>0</v>
      </c>
      <c r="O8246">
        <v>-0.94229560000000001</v>
      </c>
      <c r="P8246">
        <v>0.14778849999999999</v>
      </c>
      <c r="Q8246">
        <v>-1.616826E-2</v>
      </c>
      <c r="R8246">
        <v>-0.98888710000000002</v>
      </c>
      <c r="S8246">
        <v>9.7686770000000006E-2</v>
      </c>
      <c r="T8246">
        <v>-1.2386680000000001E-2</v>
      </c>
      <c r="U8246">
        <v>-3.020111</v>
      </c>
      <c r="V8246">
        <v>0.19150739999999999</v>
      </c>
      <c r="W8246">
        <v>-3.4278550000000001E-3</v>
      </c>
      <c r="X8246">
        <v>0.98148519999999995</v>
      </c>
      <c r="Y8246">
        <v>0.30387579999999997</v>
      </c>
      <c r="Z8246">
        <v>3.6496739999999999E-3</v>
      </c>
      <c r="AA8246">
        <v>0.95270469999999896</v>
      </c>
      <c r="AB8246">
        <v>15</v>
      </c>
      <c r="AC8246">
        <v>3.0106000000000099</v>
      </c>
      <c r="AD8246">
        <v>-0.38712859999999899</v>
      </c>
      <c r="AE8246">
        <v>-94.241254999999995</v>
      </c>
      <c r="AF8246">
        <v>28.687609715054101</v>
      </c>
      <c r="AG8246">
        <v>-0.38712859999999899</v>
      </c>
      <c r="AH8246">
        <v>89.817588342399802</v>
      </c>
      <c r="AI8246">
        <v>90.235244900399493</v>
      </c>
      <c r="AJ8246">
        <v>72.286592104050598</v>
      </c>
      <c r="AK8246">
        <v>94.288535863916096</v>
      </c>
      <c r="AL8246">
        <v>90.196402005742499</v>
      </c>
      <c r="AM8246">
        <v>78.959167078792504</v>
      </c>
      <c r="AN8246">
        <v>1.0000000161318501</v>
      </c>
    </row>
    <row r="8247" spans="1:40" x14ac:dyDescent="0.25">
      <c r="A8247" t="str">
        <f>"20190312154121286"</f>
        <v>20190312154121286</v>
      </c>
      <c r="B8247" t="str">
        <f>"1552376481274157"</f>
        <v>1552376481274157</v>
      </c>
      <c r="C8247" t="s">
        <v>40</v>
      </c>
      <c r="D8247">
        <v>4.3355689999999996</v>
      </c>
      <c r="E8247">
        <v>0.49588520000000003</v>
      </c>
      <c r="F8247" t="s">
        <v>93</v>
      </c>
      <c r="G8247">
        <v>-292.62279999999998</v>
      </c>
      <c r="H8247">
        <v>1.57481</v>
      </c>
      <c r="I8247">
        <v>-91.564989999999995</v>
      </c>
      <c r="J8247">
        <v>-303.62189999999998</v>
      </c>
      <c r="K8247">
        <v>1.0578289999999999</v>
      </c>
      <c r="L8247">
        <v>3.1206360000000002</v>
      </c>
      <c r="M8247">
        <v>0.328235099999999</v>
      </c>
      <c r="N8247">
        <v>0</v>
      </c>
      <c r="O8247">
        <v>-0.9444903</v>
      </c>
      <c r="P8247">
        <v>0.1454879</v>
      </c>
      <c r="Q8247">
        <v>-1.513862E-2</v>
      </c>
      <c r="R8247">
        <v>-0.98924449999999997</v>
      </c>
      <c r="S8247">
        <v>0.34722900000000001</v>
      </c>
      <c r="T8247">
        <v>1.625824E-2</v>
      </c>
      <c r="U8247">
        <v>-2.9820859999999998</v>
      </c>
      <c r="V8247">
        <v>0.18730050000000001</v>
      </c>
      <c r="W8247">
        <v>-2.3754890000000002E-3</v>
      </c>
      <c r="X8247">
        <v>0.98229979999999995</v>
      </c>
      <c r="Y8247">
        <v>0.2168187</v>
      </c>
      <c r="Z8247">
        <v>-4.9201790000000002E-3</v>
      </c>
      <c r="AA8247">
        <v>0.9761995</v>
      </c>
      <c r="AB8247">
        <v>15</v>
      </c>
      <c r="AC8247">
        <v>10.9991</v>
      </c>
      <c r="AD8247">
        <v>0.51698099999999902</v>
      </c>
      <c r="AE8247">
        <v>-94.685625999999999</v>
      </c>
      <c r="AF8247">
        <v>20.692061237312501</v>
      </c>
      <c r="AG8247">
        <v>0.51698099999999902</v>
      </c>
      <c r="AH8247">
        <v>93.046504815861994</v>
      </c>
      <c r="AI8247">
        <v>89.689250063665497</v>
      </c>
      <c r="AJ8247">
        <v>77.462355317118593</v>
      </c>
      <c r="AK8247">
        <v>95.320935402729205</v>
      </c>
      <c r="AL8247">
        <v>90.136105620806802</v>
      </c>
      <c r="AM8247">
        <v>79.204683062871197</v>
      </c>
      <c r="AN8247">
        <v>1.0000000086641301</v>
      </c>
    </row>
    <row r="8248" spans="1:40" x14ac:dyDescent="0.25">
      <c r="A8248" t="str">
        <f>"20190312154121308"</f>
        <v>20190312154121308</v>
      </c>
      <c r="B8248" t="str">
        <f>"1552376481294654"</f>
        <v>1552376481294654</v>
      </c>
      <c r="C8248" t="s">
        <v>40</v>
      </c>
      <c r="D8248">
        <v>4.2988439999999999</v>
      </c>
      <c r="E8248">
        <v>0.48938599999999999</v>
      </c>
      <c r="F8248" t="s">
        <v>93</v>
      </c>
      <c r="G8248">
        <v>-288.64339999999999</v>
      </c>
      <c r="H8248">
        <v>2.0907390000000001</v>
      </c>
      <c r="I8248">
        <v>-91.564989999999995</v>
      </c>
      <c r="J8248">
        <v>-303.58100000000002</v>
      </c>
      <c r="K8248">
        <v>1.0578099999999999</v>
      </c>
      <c r="L8248">
        <v>2.9792179999999999</v>
      </c>
      <c r="M8248">
        <v>0.32210149999999999</v>
      </c>
      <c r="N8248">
        <v>0</v>
      </c>
      <c r="O8248">
        <v>-0.94659979999999999</v>
      </c>
      <c r="P8248">
        <v>0.14377970000000001</v>
      </c>
      <c r="Q8248">
        <v>-1.4241719999999999E-2</v>
      </c>
      <c r="R8248">
        <v>-0.98950769999999999</v>
      </c>
      <c r="S8248">
        <v>0.4689026</v>
      </c>
      <c r="T8248">
        <v>3.2335759999999998E-2</v>
      </c>
      <c r="U8248">
        <v>-2.9641419999999998</v>
      </c>
      <c r="V8248">
        <v>0.18263280000000001</v>
      </c>
      <c r="W8248">
        <v>-1.455951E-3</v>
      </c>
      <c r="X8248">
        <v>0.9831801</v>
      </c>
      <c r="Y8248">
        <v>0.17026529999999901</v>
      </c>
      <c r="Z8248">
        <v>-9.9024030000000006E-3</v>
      </c>
      <c r="AA8248">
        <v>0.98534849999999996</v>
      </c>
      <c r="AB8248">
        <v>15</v>
      </c>
      <c r="AC8248">
        <v>14.9375999999999</v>
      </c>
      <c r="AD8248">
        <v>1.032929</v>
      </c>
      <c r="AE8248">
        <v>-94.544207999999998</v>
      </c>
      <c r="AF8248">
        <v>16.312629317075299</v>
      </c>
      <c r="AG8248">
        <v>1.032929</v>
      </c>
      <c r="AH8248">
        <v>94.305375100953199</v>
      </c>
      <c r="AI8248">
        <v>89.3816450338294</v>
      </c>
      <c r="AJ8248">
        <v>80.186276724658001</v>
      </c>
      <c r="AK8248">
        <v>95.711402614771202</v>
      </c>
      <c r="AL8248">
        <v>90.083419878265303</v>
      </c>
      <c r="AM8248">
        <v>79.476837885996801</v>
      </c>
      <c r="AN8248">
        <v>0.99999998423258196</v>
      </c>
    </row>
    <row r="8249" spans="1:40" x14ac:dyDescent="0.25">
      <c r="A8249" t="str">
        <f>"20190312154121330"</f>
        <v>20190312154121330</v>
      </c>
      <c r="B8249" t="str">
        <f>"1552376481324911"</f>
        <v>1552376481324911</v>
      </c>
      <c r="C8249" t="s">
        <v>40</v>
      </c>
      <c r="D8249">
        <v>4.2543790000000001</v>
      </c>
      <c r="E8249">
        <v>0.485425</v>
      </c>
      <c r="F8249" t="s">
        <v>93</v>
      </c>
      <c r="G8249">
        <v>-287.11829999999998</v>
      </c>
      <c r="H8249">
        <v>2.2412369999999999</v>
      </c>
      <c r="I8249">
        <v>-91.564989999999995</v>
      </c>
      <c r="J8249">
        <v>-303.5401</v>
      </c>
      <c r="K8249">
        <v>1.0577829999999999</v>
      </c>
      <c r="L8249">
        <v>2.8345639999999999</v>
      </c>
      <c r="M8249">
        <v>0.31581619999999999</v>
      </c>
      <c r="N8249">
        <v>0</v>
      </c>
      <c r="O8249">
        <v>-0.94871550000000004</v>
      </c>
      <c r="P8249">
        <v>0.14163870000000001</v>
      </c>
      <c r="Q8249">
        <v>-1.375961E-2</v>
      </c>
      <c r="R8249">
        <v>-0.98982309999999996</v>
      </c>
      <c r="S8249">
        <v>0.51498409999999994</v>
      </c>
      <c r="T8249">
        <v>3.7020209999999998E-2</v>
      </c>
      <c r="U8249">
        <v>-2.9575200000000001</v>
      </c>
      <c r="V8249">
        <v>0.1782426</v>
      </c>
      <c r="W8249">
        <v>-9.5460830000000001E-4</v>
      </c>
      <c r="X8249">
        <v>0.98398609999999997</v>
      </c>
      <c r="Y8249">
        <v>0.14841279999999901</v>
      </c>
      <c r="Z8249">
        <v>-1.1409020000000001E-2</v>
      </c>
      <c r="AA8249">
        <v>0.98885970000000001</v>
      </c>
      <c r="AB8249">
        <v>15</v>
      </c>
      <c r="AC8249">
        <v>16.421800000000001</v>
      </c>
      <c r="AD8249">
        <v>1.183454</v>
      </c>
      <c r="AE8249">
        <v>-94.399553999999995</v>
      </c>
      <c r="AF8249">
        <v>14.232537662552</v>
      </c>
      <c r="AG8249">
        <v>1.183454</v>
      </c>
      <c r="AH8249">
        <v>94.739567744551294</v>
      </c>
      <c r="AI8249">
        <v>89.292259041491604</v>
      </c>
      <c r="AJ8249">
        <v>81.456457727817906</v>
      </c>
      <c r="AK8249">
        <v>95.809975410238494</v>
      </c>
      <c r="AL8249">
        <v>90.054695035512296</v>
      </c>
      <c r="AM8249">
        <v>79.732582239477793</v>
      </c>
      <c r="AN8249">
        <v>0.99999999036248799</v>
      </c>
    </row>
    <row r="8250" spans="1:40" x14ac:dyDescent="0.25">
      <c r="A8250" t="str">
        <f>"20190312154121352"</f>
        <v>20190312154121352</v>
      </c>
      <c r="B8250" t="str">
        <f>"1552376481344938"</f>
        <v>1552376481344938</v>
      </c>
      <c r="C8250" t="s">
        <v>40</v>
      </c>
      <c r="D8250">
        <v>4.2855589999999903</v>
      </c>
      <c r="E8250">
        <v>0.48315920000000001</v>
      </c>
      <c r="F8250" t="s">
        <v>93</v>
      </c>
      <c r="G8250">
        <v>-288.13979999999998</v>
      </c>
      <c r="H8250">
        <v>2.0768909999999998</v>
      </c>
      <c r="I8250">
        <v>-81.407030000000006</v>
      </c>
      <c r="J8250">
        <v>-303.50110000000001</v>
      </c>
      <c r="K8250">
        <v>1.057758</v>
      </c>
      <c r="L8250">
        <v>2.6926269999999999</v>
      </c>
      <c r="M8250">
        <v>0.30961670000000002</v>
      </c>
      <c r="N8250">
        <v>0</v>
      </c>
      <c r="O8250">
        <v>-0.95075679999999996</v>
      </c>
      <c r="P8250">
        <v>0.13940729999999901</v>
      </c>
      <c r="Q8250">
        <v>-1.4176350000000001E-2</v>
      </c>
      <c r="R8250">
        <v>-0.99013379999999995</v>
      </c>
      <c r="S8250">
        <v>0.54003909999999999</v>
      </c>
      <c r="T8250">
        <v>3.5737159999999997E-2</v>
      </c>
      <c r="U8250">
        <v>-2.9540709999999999</v>
      </c>
      <c r="V8250">
        <v>0.17403179999999999</v>
      </c>
      <c r="W8250">
        <v>-1.3514130000000001E-3</v>
      </c>
      <c r="X8250">
        <v>0.98473909999999998</v>
      </c>
      <c r="Y8250">
        <v>0.13361779999999901</v>
      </c>
      <c r="Z8250">
        <v>-1.106744E-2</v>
      </c>
      <c r="AA8250">
        <v>0.99097109999999999</v>
      </c>
      <c r="AB8250">
        <v>15</v>
      </c>
      <c r="AC8250">
        <v>15.3613</v>
      </c>
      <c r="AD8250">
        <v>1.0191329999999901</v>
      </c>
      <c r="AE8250">
        <v>-84.099656999999993</v>
      </c>
      <c r="AF8250">
        <v>11.433310937003601</v>
      </c>
      <c r="AG8250">
        <v>1.0191329999999901</v>
      </c>
      <c r="AH8250">
        <v>84.710828261762103</v>
      </c>
      <c r="AI8250">
        <v>89.3169163102542</v>
      </c>
      <c r="AJ8250">
        <v>82.313313117334701</v>
      </c>
      <c r="AK8250">
        <v>85.4849908220598</v>
      </c>
      <c r="AL8250">
        <v>90.077430285281494</v>
      </c>
      <c r="AM8250">
        <v>79.977670913051298</v>
      </c>
      <c r="AN8250">
        <v>0.99999999439857301</v>
      </c>
    </row>
    <row r="8251" spans="1:40" x14ac:dyDescent="0.25">
      <c r="A8251" t="str">
        <f>"20190312154121376"</f>
        <v>20190312154121376</v>
      </c>
      <c r="B8251" t="str">
        <f>"1552376481364458"</f>
        <v>1552376481364458</v>
      </c>
      <c r="C8251" t="s">
        <v>40</v>
      </c>
      <c r="D8251">
        <v>4.2643019999999998</v>
      </c>
      <c r="E8251">
        <v>0.48140500000000003</v>
      </c>
      <c r="F8251" t="s">
        <v>93</v>
      </c>
      <c r="G8251">
        <v>-287.97390000000001</v>
      </c>
      <c r="H8251">
        <v>1.8972260000000001</v>
      </c>
      <c r="I8251">
        <v>-80.464519999999993</v>
      </c>
      <c r="J8251">
        <v>-303.4622</v>
      </c>
      <c r="K8251">
        <v>1.057733</v>
      </c>
      <c r="L8251">
        <v>2.5475159999999999</v>
      </c>
      <c r="M8251">
        <v>0.30323559999999999</v>
      </c>
      <c r="N8251">
        <v>0</v>
      </c>
      <c r="O8251">
        <v>-0.95281110000000002</v>
      </c>
      <c r="P8251">
        <v>0.13659869999999999</v>
      </c>
      <c r="Q8251">
        <v>-1.470251E-2</v>
      </c>
      <c r="R8251">
        <v>-0.9905176</v>
      </c>
      <c r="S8251">
        <v>0.5513306</v>
      </c>
      <c r="T8251">
        <v>2.9807810000000001E-2</v>
      </c>
      <c r="U8251">
        <v>-2.9526979999999998</v>
      </c>
      <c r="V8251">
        <v>0.17021600000000001</v>
      </c>
      <c r="W8251">
        <v>-1.8587359999999999E-3</v>
      </c>
      <c r="X8251">
        <v>0.98540499999999998</v>
      </c>
      <c r="Y8251">
        <v>0.1232171</v>
      </c>
      <c r="Z8251">
        <v>-9.2696989999999993E-3</v>
      </c>
      <c r="AA8251">
        <v>0.99233649999999995</v>
      </c>
      <c r="AB8251">
        <v>15</v>
      </c>
      <c r="AC8251">
        <v>15.488299999999899</v>
      </c>
      <c r="AD8251">
        <v>0.83949299999999905</v>
      </c>
      <c r="AE8251">
        <v>-83.012035999999995</v>
      </c>
      <c r="AF8251">
        <v>10.4147884412194</v>
      </c>
      <c r="AG8251">
        <v>0.83949299999999905</v>
      </c>
      <c r="AH8251">
        <v>83.791458105287205</v>
      </c>
      <c r="AI8251">
        <v>89.430365101573997</v>
      </c>
      <c r="AJ8251">
        <v>82.9148068871297</v>
      </c>
      <c r="AK8251">
        <v>84.440399206674201</v>
      </c>
      <c r="AL8251">
        <v>90.106497791717501</v>
      </c>
      <c r="AM8251">
        <v>80.199604697243998</v>
      </c>
      <c r="AN8251">
        <v>0.99999997779025795</v>
      </c>
    </row>
    <row r="8252" spans="1:40" x14ac:dyDescent="0.25">
      <c r="A8252" t="str">
        <f>"20190312154121398"</f>
        <v>20190312154121398</v>
      </c>
      <c r="B8252" t="str">
        <f>"1552376481394715"</f>
        <v>1552376481394715</v>
      </c>
      <c r="C8252" t="s">
        <v>40</v>
      </c>
      <c r="D8252">
        <v>4.2398089999999904</v>
      </c>
      <c r="E8252">
        <v>0.47940820000000001</v>
      </c>
      <c r="F8252" t="s">
        <v>93</v>
      </c>
      <c r="G8252">
        <v>-287.79939999999999</v>
      </c>
      <c r="H8252">
        <v>1.7747630000000001</v>
      </c>
      <c r="I8252">
        <v>-80.464519999999993</v>
      </c>
      <c r="J8252">
        <v>-303.42469999999997</v>
      </c>
      <c r="K8252">
        <v>1.0577080000000001</v>
      </c>
      <c r="L8252">
        <v>2.4029240000000001</v>
      </c>
      <c r="M8252">
        <v>0.29681550000000001</v>
      </c>
      <c r="N8252">
        <v>0</v>
      </c>
      <c r="O8252">
        <v>-0.95483059999999997</v>
      </c>
      <c r="P8252">
        <v>0.13321479999999999</v>
      </c>
      <c r="Q8252">
        <v>-1.530781E-2</v>
      </c>
      <c r="R8252">
        <v>-0.99096910000000005</v>
      </c>
      <c r="S8252">
        <v>0.55703740000000002</v>
      </c>
      <c r="T8252">
        <v>2.550125E-2</v>
      </c>
      <c r="U8252">
        <v>-2.9522710000000001</v>
      </c>
      <c r="V8252">
        <v>0.1669418</v>
      </c>
      <c r="W8252">
        <v>-2.447875E-3</v>
      </c>
      <c r="X8252">
        <v>0.9859637</v>
      </c>
      <c r="Y8252">
        <v>0.1146519</v>
      </c>
      <c r="Z8252">
        <v>-7.9602860000000004E-3</v>
      </c>
      <c r="AA8252">
        <v>0.99337379999999997</v>
      </c>
      <c r="AB8252">
        <v>15</v>
      </c>
      <c r="AC8252">
        <v>15.6252999999999</v>
      </c>
      <c r="AD8252">
        <v>0.717055</v>
      </c>
      <c r="AE8252">
        <v>-82.867443999999907</v>
      </c>
      <c r="AF8252">
        <v>9.6770909507185596</v>
      </c>
      <c r="AG8252">
        <v>0.717055</v>
      </c>
      <c r="AH8252">
        <v>83.76448508579</v>
      </c>
      <c r="AI8252">
        <v>89.512779326654197</v>
      </c>
      <c r="AJ8252">
        <v>83.409983508228095</v>
      </c>
      <c r="AK8252">
        <v>84.324665542349095</v>
      </c>
      <c r="AL8252">
        <v>90.1402530481394</v>
      </c>
      <c r="AM8252">
        <v>80.389914613808102</v>
      </c>
      <c r="AN8252">
        <v>0.99999998719847205</v>
      </c>
    </row>
    <row r="8253" spans="1:40" x14ac:dyDescent="0.25">
      <c r="A8253" t="str">
        <f>"20190312154121420"</f>
        <v>20190312154121420</v>
      </c>
      <c r="B8253" t="str">
        <f>"1552376481414233"</f>
        <v>1552376481414233</v>
      </c>
      <c r="C8253" t="s">
        <v>40</v>
      </c>
      <c r="D8253">
        <v>4.2415129999999897</v>
      </c>
      <c r="E8253">
        <v>0.47831760000000001</v>
      </c>
      <c r="F8253" t="s">
        <v>93</v>
      </c>
      <c r="G8253">
        <v>-287.6275</v>
      </c>
      <c r="H8253">
        <v>1.6216029999999999</v>
      </c>
      <c r="I8253">
        <v>-80.464519999999993</v>
      </c>
      <c r="J8253">
        <v>-303.38940000000002</v>
      </c>
      <c r="K8253">
        <v>1.057685</v>
      </c>
      <c r="L8253">
        <v>2.2635190000000001</v>
      </c>
      <c r="M8253">
        <v>0.29056650000000001</v>
      </c>
      <c r="N8253">
        <v>0</v>
      </c>
      <c r="O8253">
        <v>-0.95675069999999995</v>
      </c>
      <c r="P8253">
        <v>0.1295355</v>
      </c>
      <c r="Q8253">
        <v>-1.5698360000000001E-2</v>
      </c>
      <c r="R8253">
        <v>-0.99145070000000002</v>
      </c>
      <c r="S8253">
        <v>0.56274409999999997</v>
      </c>
      <c r="T8253">
        <v>2.0088200000000001E-2</v>
      </c>
      <c r="U8253">
        <v>-2.9519959999999998</v>
      </c>
      <c r="V8253">
        <v>0.16415070000000001</v>
      </c>
      <c r="W8253">
        <v>-2.825181E-3</v>
      </c>
      <c r="X8253">
        <v>0.98643119999999995</v>
      </c>
      <c r="Y8253">
        <v>0.10628029999999999</v>
      </c>
      <c r="Z8253">
        <v>-6.2924570000000004E-3</v>
      </c>
      <c r="AA8253">
        <v>0.99431630000000004</v>
      </c>
      <c r="AB8253">
        <v>15</v>
      </c>
      <c r="AC8253">
        <v>15.761900000000001</v>
      </c>
      <c r="AD8253">
        <v>0.56391800000000003</v>
      </c>
      <c r="AE8253">
        <v>-82.728038999999995</v>
      </c>
      <c r="AF8253">
        <v>8.9582785804330705</v>
      </c>
      <c r="AG8253">
        <v>0.56391800000000003</v>
      </c>
      <c r="AH8253">
        <v>83.734575946990105</v>
      </c>
      <c r="AI8253">
        <v>89.616331624551805</v>
      </c>
      <c r="AJ8253">
        <v>83.893482473560198</v>
      </c>
      <c r="AK8253">
        <v>84.2142978814027</v>
      </c>
      <c r="AL8253">
        <v>90.161871167341005</v>
      </c>
      <c r="AM8253">
        <v>80.552061225046202</v>
      </c>
      <c r="AN8253">
        <v>0.99999997314580602</v>
      </c>
    </row>
    <row r="8254" spans="1:40" x14ac:dyDescent="0.25">
      <c r="A8254" t="str">
        <f>"20190312154121443"</f>
        <v>20190312154121443</v>
      </c>
      <c r="B8254" t="str">
        <f>"1552376481434729"</f>
        <v>1552376481434729</v>
      </c>
      <c r="C8254" t="s">
        <v>40</v>
      </c>
      <c r="D8254">
        <v>4.2531600000000003</v>
      </c>
      <c r="E8254">
        <v>0.4773017</v>
      </c>
      <c r="F8254" t="s">
        <v>93</v>
      </c>
      <c r="G8254">
        <v>-287.69060000000002</v>
      </c>
      <c r="H8254">
        <v>1.557194</v>
      </c>
      <c r="I8254">
        <v>-80.464519999999993</v>
      </c>
      <c r="J8254">
        <v>-303.35340000000002</v>
      </c>
      <c r="K8254">
        <v>1.0576509999999999</v>
      </c>
      <c r="L8254">
        <v>2.1162109999999998</v>
      </c>
      <c r="M8254">
        <v>0.28390179999999998</v>
      </c>
      <c r="N8254">
        <v>0</v>
      </c>
      <c r="O8254">
        <v>-0.95874939999999997</v>
      </c>
      <c r="P8254">
        <v>0.1250134</v>
      </c>
      <c r="Q8254">
        <v>-1.5119290000000001E-2</v>
      </c>
      <c r="R8254">
        <v>-0.99203989999999997</v>
      </c>
      <c r="S8254">
        <v>0.56036379999999997</v>
      </c>
      <c r="T8254">
        <v>1.7830249999999999E-2</v>
      </c>
      <c r="U8254">
        <v>-2.9529420000000002</v>
      </c>
      <c r="V8254">
        <v>0.1617905</v>
      </c>
      <c r="W8254">
        <v>-2.2353970000000001E-3</v>
      </c>
      <c r="X8254">
        <v>0.98682259999999999</v>
      </c>
      <c r="Y8254">
        <v>0.1001904</v>
      </c>
      <c r="Z8254">
        <v>-5.6034350000000004E-3</v>
      </c>
      <c r="AA8254">
        <v>0.99495250000000002</v>
      </c>
      <c r="AB8254">
        <v>14</v>
      </c>
      <c r="AC8254">
        <v>15.662800000000001</v>
      </c>
      <c r="AD8254">
        <v>0.49954299999999902</v>
      </c>
      <c r="AE8254">
        <v>-82.580730999999901</v>
      </c>
      <c r="AF8254">
        <v>8.4286605839689308</v>
      </c>
      <c r="AG8254">
        <v>0.49954299999999902</v>
      </c>
      <c r="AH8254">
        <v>83.626306011436498</v>
      </c>
      <c r="AI8254">
        <v>89.659472089741499</v>
      </c>
      <c r="AJ8254">
        <v>84.244618468416306</v>
      </c>
      <c r="AK8254">
        <v>84.051477795259601</v>
      </c>
      <c r="AL8254">
        <v>90.128078919871797</v>
      </c>
      <c r="AM8254">
        <v>80.689138018050201</v>
      </c>
      <c r="AN8254">
        <v>1.00000000338037</v>
      </c>
    </row>
    <row r="8255" spans="1:40" x14ac:dyDescent="0.25">
      <c r="A8255" t="str">
        <f>"20190312154121464"</f>
        <v>20190312154121464</v>
      </c>
      <c r="B8255" t="str">
        <f>"1552376481454756"</f>
        <v>1552376481454756</v>
      </c>
      <c r="C8255" t="s">
        <v>40</v>
      </c>
      <c r="D8255">
        <v>4.2315519999999998</v>
      </c>
      <c r="E8255">
        <v>0.47636440000000002</v>
      </c>
      <c r="F8255" t="s">
        <v>93</v>
      </c>
      <c r="G8255">
        <v>-287.84399999999999</v>
      </c>
      <c r="H8255">
        <v>1.5655650000000001</v>
      </c>
      <c r="I8255">
        <v>-80.464519999999993</v>
      </c>
      <c r="J8255">
        <v>-303.32100000000003</v>
      </c>
      <c r="K8255">
        <v>1.057634</v>
      </c>
      <c r="L8255">
        <v>1.9794309999999999</v>
      </c>
      <c r="M8255">
        <v>0.27766059999999998</v>
      </c>
      <c r="N8255">
        <v>0</v>
      </c>
      <c r="O8255">
        <v>-0.96057550000000003</v>
      </c>
      <c r="P8255">
        <v>0.1208284</v>
      </c>
      <c r="Q8255">
        <v>-1.3916090000000001E-2</v>
      </c>
      <c r="R8255">
        <v>-0.99257609999999996</v>
      </c>
      <c r="S8255">
        <v>0.55487059999999999</v>
      </c>
      <c r="T8255">
        <v>1.817179E-2</v>
      </c>
      <c r="U8255">
        <v>-2.954437</v>
      </c>
      <c r="V8255">
        <v>0.1595471</v>
      </c>
      <c r="W8255">
        <v>-1.0205710000000001E-3</v>
      </c>
      <c r="X8255">
        <v>0.98718980000000001</v>
      </c>
      <c r="Y8255">
        <v>9.5597210000000002E-2</v>
      </c>
      <c r="Z8255">
        <v>-5.7267269999999896E-3</v>
      </c>
      <c r="AA8255">
        <v>0.99540360000000006</v>
      </c>
      <c r="AB8255">
        <v>14</v>
      </c>
      <c r="AC8255">
        <v>15.476999999999901</v>
      </c>
      <c r="AD8255">
        <v>0.50793099999999902</v>
      </c>
      <c r="AE8255">
        <v>-82.443950999999998</v>
      </c>
      <c r="AF8255">
        <v>8.0251154196908399</v>
      </c>
      <c r="AG8255">
        <v>0.50793099999999902</v>
      </c>
      <c r="AH8255">
        <v>83.496252302519906</v>
      </c>
      <c r="AI8255">
        <v>89.653056858475793</v>
      </c>
      <c r="AJ8255">
        <v>84.509967044718707</v>
      </c>
      <c r="AK8255">
        <v>83.882564457497196</v>
      </c>
      <c r="AL8255">
        <v>90.058474420562206</v>
      </c>
      <c r="AM8255">
        <v>80.819385997395401</v>
      </c>
      <c r="AN8255">
        <v>1.0000000099538</v>
      </c>
    </row>
    <row r="8256" spans="1:40" x14ac:dyDescent="0.25">
      <c r="A8256" t="str">
        <f>"20190312154121486"</f>
        <v>20190312154121486</v>
      </c>
      <c r="B8256" t="str">
        <f>"1552376481474276"</f>
        <v>1552376481474276</v>
      </c>
      <c r="C8256" t="s">
        <v>40</v>
      </c>
      <c r="D8256">
        <v>4.2518890000000003</v>
      </c>
      <c r="E8256">
        <v>0.47560590000000003</v>
      </c>
      <c r="F8256" t="s">
        <v>93</v>
      </c>
      <c r="G8256">
        <v>-287.98140000000001</v>
      </c>
      <c r="H8256">
        <v>1.6101589999999999</v>
      </c>
      <c r="I8256">
        <v>-80.464519999999993</v>
      </c>
      <c r="J8256">
        <v>-303.28809999999999</v>
      </c>
      <c r="K8256">
        <v>1.05762</v>
      </c>
      <c r="L8256">
        <v>1.836182</v>
      </c>
      <c r="M8256">
        <v>0.27105459999999998</v>
      </c>
      <c r="N8256">
        <v>0</v>
      </c>
      <c r="O8256">
        <v>-0.96246039999999999</v>
      </c>
      <c r="P8256">
        <v>0.1161478</v>
      </c>
      <c r="Q8256">
        <v>-1.0683049999999999E-2</v>
      </c>
      <c r="R8256">
        <v>-0.99317480000000002</v>
      </c>
      <c r="S8256">
        <v>0.54995729999999998</v>
      </c>
      <c r="T8256">
        <v>1.98096E-2</v>
      </c>
      <c r="U8256">
        <v>-2.9557799999999999</v>
      </c>
      <c r="V8256">
        <v>0.157450799999999</v>
      </c>
      <c r="W8256">
        <v>2.223315E-3</v>
      </c>
      <c r="X8256">
        <v>0.98752430000000002</v>
      </c>
      <c r="Y8256">
        <v>9.0438489999999996E-2</v>
      </c>
      <c r="Z8256">
        <v>-6.2611309999999996E-3</v>
      </c>
      <c r="AA8256">
        <v>0.9958823</v>
      </c>
      <c r="AB8256">
        <v>14</v>
      </c>
      <c r="AC8256">
        <v>15.3066999999999</v>
      </c>
      <c r="AD8256">
        <v>0.552539</v>
      </c>
      <c r="AE8256">
        <v>-82.300701999999902</v>
      </c>
      <c r="AF8256">
        <v>7.5763165459109301</v>
      </c>
      <c r="AG8256">
        <v>0.552539</v>
      </c>
      <c r="AH8256">
        <v>83.364797626971097</v>
      </c>
      <c r="AI8256">
        <v>89.621809676275106</v>
      </c>
      <c r="AJ8256">
        <v>84.807139873800807</v>
      </c>
      <c r="AK8256">
        <v>83.710186686783899</v>
      </c>
      <c r="AL8256">
        <v>89.872613325242796</v>
      </c>
      <c r="AM8256">
        <v>80.941014765648305</v>
      </c>
      <c r="AN8256">
        <v>0.99999997032035903</v>
      </c>
    </row>
    <row r="8257" spans="1:40" x14ac:dyDescent="0.25">
      <c r="A8257" t="str">
        <f>"20190312154121521"</f>
        <v>20190312154121521</v>
      </c>
      <c r="B8257" t="str">
        <f>"1552376481514293"</f>
        <v>1552376481514293</v>
      </c>
      <c r="C8257" t="s">
        <v>40</v>
      </c>
      <c r="D8257">
        <v>4.1921239999999997</v>
      </c>
      <c r="E8257">
        <v>0.4642597</v>
      </c>
      <c r="F8257" t="s">
        <v>93</v>
      </c>
      <c r="G8257">
        <v>-288.13979999999998</v>
      </c>
      <c r="H8257">
        <v>1.845118</v>
      </c>
      <c r="I8257">
        <v>-80.835080000000005</v>
      </c>
      <c r="J8257">
        <v>-303.2407</v>
      </c>
      <c r="K8257">
        <v>1.057579</v>
      </c>
      <c r="L8257">
        <v>1.620422</v>
      </c>
      <c r="M8257">
        <v>0.26096550000000002</v>
      </c>
      <c r="N8257">
        <v>0</v>
      </c>
      <c r="O8257">
        <v>-0.96524480000000001</v>
      </c>
      <c r="P8257">
        <v>0.10643900000000001</v>
      </c>
      <c r="Q8257">
        <v>-8.6548549999999995E-3</v>
      </c>
      <c r="R8257">
        <v>-0.99428170000000005</v>
      </c>
      <c r="S8257">
        <v>0.54193119999999995</v>
      </c>
      <c r="T8257">
        <v>2.8173090000000001E-2</v>
      </c>
      <c r="U8257">
        <v>-2.9575499999999999</v>
      </c>
      <c r="V8257">
        <v>0.15678129999999901</v>
      </c>
      <c r="W8257">
        <v>4.2450939999999996E-3</v>
      </c>
      <c r="X8257">
        <v>0.98762419999999995</v>
      </c>
      <c r="Y8257">
        <v>8.2735899999999904E-2</v>
      </c>
      <c r="Z8257">
        <v>-8.9433550000000001E-3</v>
      </c>
      <c r="AA8257">
        <v>0.99653139999999996</v>
      </c>
      <c r="AB8257">
        <v>14</v>
      </c>
      <c r="AC8257">
        <v>15.100899999999999</v>
      </c>
      <c r="AD8257">
        <v>0.78753899999999999</v>
      </c>
      <c r="AE8257">
        <v>-82.455501999999996</v>
      </c>
      <c r="AF8257">
        <v>6.9420558916903303</v>
      </c>
      <c r="AG8257">
        <v>0.78753899999999999</v>
      </c>
      <c r="AH8257">
        <v>83.531518480946104</v>
      </c>
      <c r="AI8257">
        <v>89.461684462896301</v>
      </c>
      <c r="AJ8257">
        <v>85.249235708542002</v>
      </c>
      <c r="AK8257">
        <v>83.823188542386802</v>
      </c>
      <c r="AL8257">
        <v>89.756773294440194</v>
      </c>
      <c r="AM8257">
        <v>80.979797402862502</v>
      </c>
      <c r="AN8257">
        <v>0.99999997863919898</v>
      </c>
    </row>
    <row r="8258" spans="1:40" x14ac:dyDescent="0.25">
      <c r="A8258" t="str">
        <f>"20190312154121543"</f>
        <v>20190312154121543</v>
      </c>
      <c r="B8258" t="str">
        <f>"1552376481534788"</f>
        <v>1552376481534788</v>
      </c>
      <c r="C8258" t="s">
        <v>40</v>
      </c>
      <c r="D8258">
        <v>4.145823</v>
      </c>
      <c r="E8258">
        <v>0.4651458</v>
      </c>
      <c r="F8258" t="s">
        <v>93</v>
      </c>
      <c r="G8258">
        <v>-286.48349999999999</v>
      </c>
      <c r="H8258">
        <v>1.5915280000000001</v>
      </c>
      <c r="I8258">
        <v>-80.464519999999993</v>
      </c>
      <c r="J8258">
        <v>-303.21100000000001</v>
      </c>
      <c r="K8258">
        <v>1.057539</v>
      </c>
      <c r="L8258">
        <v>1.478577</v>
      </c>
      <c r="M8258">
        <v>0.25423210000000002</v>
      </c>
      <c r="N8258">
        <v>0</v>
      </c>
      <c r="O8258">
        <v>-0.96703989999999995</v>
      </c>
      <c r="P8258">
        <v>9.9524879999999996E-2</v>
      </c>
      <c r="Q8258">
        <v>-9.0569450000000003E-3</v>
      </c>
      <c r="R8258">
        <v>-0.99499389999999999</v>
      </c>
      <c r="S8258">
        <v>0.60281370000000001</v>
      </c>
      <c r="T8258">
        <v>1.9208429999999999E-2</v>
      </c>
      <c r="U8258">
        <v>-2.9528810000000001</v>
      </c>
      <c r="V8258">
        <v>0.15676029999999999</v>
      </c>
      <c r="W8258">
        <v>3.8364480000000001E-3</v>
      </c>
      <c r="X8258">
        <v>0.98762919999999998</v>
      </c>
      <c r="Y8258">
        <v>5.567776E-2</v>
      </c>
      <c r="Z8258">
        <v>-6.1188029999999999E-3</v>
      </c>
      <c r="AA8258">
        <v>0.99843000000000004</v>
      </c>
      <c r="AB8258">
        <v>14</v>
      </c>
      <c r="AC8258">
        <v>16.727499999999999</v>
      </c>
      <c r="AD8258">
        <v>0.53398900000000005</v>
      </c>
      <c r="AE8258">
        <v>-81.943096999999995</v>
      </c>
      <c r="AF8258">
        <v>4.6566812747789204</v>
      </c>
      <c r="AG8258">
        <v>0.53398900000000005</v>
      </c>
      <c r="AH8258">
        <v>83.499853102109398</v>
      </c>
      <c r="AI8258">
        <v>89.634161829194596</v>
      </c>
      <c r="AJ8258">
        <v>86.807993259344599</v>
      </c>
      <c r="AK8258">
        <v>83.631305698409605</v>
      </c>
      <c r="AL8258">
        <v>89.780187176203199</v>
      </c>
      <c r="AM8258">
        <v>80.981030658310203</v>
      </c>
      <c r="AN8258">
        <v>0.999999973340992</v>
      </c>
    </row>
    <row r="8259" spans="1:40" x14ac:dyDescent="0.25">
      <c r="A8259" t="str">
        <f>"20190312154121565"</f>
        <v>20190312154121565</v>
      </c>
      <c r="B8259" t="str">
        <f>"1552376481554815"</f>
        <v>1552376481554815</v>
      </c>
      <c r="C8259" t="s">
        <v>40</v>
      </c>
      <c r="D8259">
        <v>4.2223610000000003</v>
      </c>
      <c r="E8259">
        <v>0.46450350000000001</v>
      </c>
      <c r="F8259" t="s">
        <v>93</v>
      </c>
      <c r="G8259">
        <v>-287.27890000000002</v>
      </c>
      <c r="H8259">
        <v>1.668941</v>
      </c>
      <c r="I8259">
        <v>-80.464519999999993</v>
      </c>
      <c r="J8259">
        <v>-303.18200000000002</v>
      </c>
      <c r="K8259">
        <v>1.0575129999999999</v>
      </c>
      <c r="L8259">
        <v>1.334991</v>
      </c>
      <c r="M8259">
        <v>0.2473486</v>
      </c>
      <c r="N8259">
        <v>0</v>
      </c>
      <c r="O8259">
        <v>-0.96882360000000001</v>
      </c>
      <c r="P8259">
        <v>9.1040769999999993E-2</v>
      </c>
      <c r="Q8259">
        <v>-9.285728E-3</v>
      </c>
      <c r="R8259">
        <v>-0.99580409999999997</v>
      </c>
      <c r="S8259">
        <v>0.57507319999999995</v>
      </c>
      <c r="T8259">
        <v>2.2069220000000001E-2</v>
      </c>
      <c r="U8259">
        <v>-2.9577640000000001</v>
      </c>
      <c r="V8259">
        <v>0.1581525</v>
      </c>
      <c r="W8259">
        <v>3.5908789999999999E-3</v>
      </c>
      <c r="X8259">
        <v>0.98740819999999996</v>
      </c>
      <c r="Y8259">
        <v>5.7908290000000001E-2</v>
      </c>
      <c r="Z8259">
        <v>-7.0439739999999997E-3</v>
      </c>
      <c r="AA8259">
        <v>0.99829699999999999</v>
      </c>
      <c r="AB8259">
        <v>14</v>
      </c>
      <c r="AC8259">
        <v>15.903099999999901</v>
      </c>
      <c r="AD8259">
        <v>0.61142799999999997</v>
      </c>
      <c r="AE8259">
        <v>-81.799510999999995</v>
      </c>
      <c r="AF8259">
        <v>4.8259175633887601</v>
      </c>
      <c r="AG8259">
        <v>0.61142799999999997</v>
      </c>
      <c r="AH8259">
        <v>83.186726592029999</v>
      </c>
      <c r="AI8259">
        <v>89.579586609164096</v>
      </c>
      <c r="AJ8259">
        <v>86.679817188050095</v>
      </c>
      <c r="AK8259">
        <v>83.328835379026899</v>
      </c>
      <c r="AL8259">
        <v>89.794257352686103</v>
      </c>
      <c r="AM8259">
        <v>80.900264159936199</v>
      </c>
      <c r="AN8259">
        <v>1.0000000305477399</v>
      </c>
    </row>
    <row r="8260" spans="1:40" x14ac:dyDescent="0.25">
      <c r="A8260" t="str">
        <f>"20190312154121588"</f>
        <v>20190312154121588</v>
      </c>
      <c r="B8260" t="str">
        <f>"1552376481584096"</f>
        <v>1552376481584096</v>
      </c>
      <c r="C8260" t="s">
        <v>40</v>
      </c>
      <c r="D8260">
        <v>4.1492060000000004</v>
      </c>
      <c r="E8260">
        <v>0.44151649999999998</v>
      </c>
      <c r="F8260" t="s">
        <v>93</v>
      </c>
      <c r="G8260">
        <v>-287.85309999999998</v>
      </c>
      <c r="H8260">
        <v>1.690256</v>
      </c>
      <c r="I8260">
        <v>-80.464519999999993</v>
      </c>
      <c r="J8260">
        <v>-303.15440000000001</v>
      </c>
      <c r="K8260">
        <v>1.057634</v>
      </c>
      <c r="L8260">
        <v>1.1932370000000001</v>
      </c>
      <c r="M8260">
        <v>0.24010860000000001</v>
      </c>
      <c r="N8260">
        <v>0</v>
      </c>
      <c r="O8260">
        <v>-0.97064019999999995</v>
      </c>
      <c r="P8260">
        <v>8.166429E-2</v>
      </c>
      <c r="Q8260">
        <v>-9.3260359999999994E-3</v>
      </c>
      <c r="R8260">
        <v>-0.99661650000000002</v>
      </c>
      <c r="S8260">
        <v>0.55508419999999903</v>
      </c>
      <c r="T8260">
        <v>2.2913220000000002E-2</v>
      </c>
      <c r="U8260">
        <v>-2.962097</v>
      </c>
      <c r="V8260">
        <v>0.16007489999999999</v>
      </c>
      <c r="W8260">
        <v>3.761585E-3</v>
      </c>
      <c r="X8260">
        <v>0.98709769999999997</v>
      </c>
      <c r="Y8260">
        <v>5.7229809999999999E-2</v>
      </c>
      <c r="Z8260">
        <v>-7.3281630000000004E-3</v>
      </c>
      <c r="AA8260">
        <v>0.9983341</v>
      </c>
      <c r="AB8260">
        <v>14</v>
      </c>
      <c r="AC8260">
        <v>15.301299999999999</v>
      </c>
      <c r="AD8260">
        <v>0.63262200000000002</v>
      </c>
      <c r="AE8260">
        <v>-81.657756999999904</v>
      </c>
      <c r="AF8260">
        <v>4.7548856425614199</v>
      </c>
      <c r="AG8260">
        <v>0.63262200000000002</v>
      </c>
      <c r="AH8260">
        <v>82.937987502164304</v>
      </c>
      <c r="AI8260">
        <v>89.563692692837606</v>
      </c>
      <c r="AJ8260">
        <v>86.718789601100397</v>
      </c>
      <c r="AK8260">
        <v>83.076584661250195</v>
      </c>
      <c r="AL8260">
        <v>89.784476546148596</v>
      </c>
      <c r="AM8260">
        <v>80.788690519434795</v>
      </c>
      <c r="AN8260">
        <v>0.99999999623850599</v>
      </c>
    </row>
    <row r="8261" spans="1:40" x14ac:dyDescent="0.25">
      <c r="A8261" t="str">
        <f>"20190312154121610"</f>
        <v>20190312154121610</v>
      </c>
      <c r="B8261" t="str">
        <f>"1552376481604591"</f>
        <v>1552376481604591</v>
      </c>
      <c r="C8261" t="s">
        <v>40</v>
      </c>
      <c r="D8261">
        <v>4.1481219999999999</v>
      </c>
      <c r="E8261">
        <v>0.43635859999999899</v>
      </c>
      <c r="F8261" t="s">
        <v>71</v>
      </c>
      <c r="G8261">
        <v>-277.17500000000001</v>
      </c>
      <c r="H8261">
        <v>2.5142829999999998</v>
      </c>
      <c r="I8261">
        <v>-106.9277</v>
      </c>
      <c r="J8261">
        <v>-303.12799999999999</v>
      </c>
      <c r="K8261">
        <v>1.057901</v>
      </c>
      <c r="L8261">
        <v>1.0540160000000001</v>
      </c>
      <c r="M8261">
        <v>0.2320468</v>
      </c>
      <c r="N8261">
        <v>0</v>
      </c>
      <c r="O8261">
        <v>-0.97259269999999998</v>
      </c>
      <c r="P8261">
        <v>7.1083480000000004E-2</v>
      </c>
      <c r="Q8261">
        <v>-1.059385E-2</v>
      </c>
      <c r="R8261">
        <v>-0.99741449999999998</v>
      </c>
      <c r="S8261">
        <v>0.70941160000000003</v>
      </c>
      <c r="T8261">
        <v>3.9776560000000002E-2</v>
      </c>
      <c r="U8261">
        <v>-2.952423</v>
      </c>
      <c r="V8261">
        <v>0.162352</v>
      </c>
      <c r="W8261">
        <v>2.9199719999999998E-3</v>
      </c>
      <c r="X8261">
        <v>0.98672859999999996</v>
      </c>
      <c r="Y8261">
        <v>-1.5839249999999999E-3</v>
      </c>
      <c r="Z8261">
        <v>-1.274337E-2</v>
      </c>
      <c r="AA8261">
        <v>0.99991759999999996</v>
      </c>
      <c r="AB8261">
        <v>14</v>
      </c>
      <c r="AC8261">
        <v>25.9529999999999</v>
      </c>
      <c r="AD8261">
        <v>1.4563820000000001</v>
      </c>
      <c r="AE8261">
        <v>-107.981715999999</v>
      </c>
      <c r="AF8261">
        <v>-0.18487502355194901</v>
      </c>
      <c r="AG8261">
        <v>1.4563820000000001</v>
      </c>
      <c r="AH8261">
        <v>111.037534273367</v>
      </c>
      <c r="AI8261">
        <v>89.2485456175217</v>
      </c>
      <c r="AJ8261">
        <v>90.095396109686504</v>
      </c>
      <c r="AK8261">
        <v>111.04723879869</v>
      </c>
      <c r="AL8261">
        <v>89.832697692718696</v>
      </c>
      <c r="AM8261">
        <v>80.656518782079004</v>
      </c>
      <c r="AN8261">
        <v>1.00000001409922</v>
      </c>
    </row>
    <row r="8262" spans="1:40" x14ac:dyDescent="0.25">
      <c r="A8262" t="str">
        <f>"20190312154121632"</f>
        <v>20190312154121632</v>
      </c>
      <c r="B8262" t="str">
        <f>"1552376481624111"</f>
        <v>1552376481624111</v>
      </c>
      <c r="C8262" t="s">
        <v>40</v>
      </c>
      <c r="D8262">
        <v>4.1219419999999998</v>
      </c>
      <c r="E8262">
        <v>0.43387550000000003</v>
      </c>
      <c r="F8262" t="s">
        <v>71</v>
      </c>
      <c r="G8262">
        <v>-277.17500000000001</v>
      </c>
      <c r="H8262">
        <v>1.5596490000000001</v>
      </c>
      <c r="I8262">
        <v>-105.6071</v>
      </c>
      <c r="J8262">
        <v>-303.10230000000001</v>
      </c>
      <c r="K8262">
        <v>1.057752</v>
      </c>
      <c r="L8262">
        <v>0.9154968</v>
      </c>
      <c r="M8262">
        <v>0.2237326</v>
      </c>
      <c r="N8262">
        <v>0</v>
      </c>
      <c r="O8262">
        <v>-0.97453639999999997</v>
      </c>
      <c r="P8262">
        <v>6.0733330000000002E-2</v>
      </c>
      <c r="Q8262">
        <v>-1.1559079999999999E-2</v>
      </c>
      <c r="R8262">
        <v>-0.99808730000000001</v>
      </c>
      <c r="S8262">
        <v>0.71942139999999999</v>
      </c>
      <c r="T8262">
        <v>1.390898E-2</v>
      </c>
      <c r="U8262">
        <v>-2.9566650000000001</v>
      </c>
      <c r="V8262">
        <v>0.16415560000000001</v>
      </c>
      <c r="W8262">
        <v>1.882377E-3</v>
      </c>
      <c r="X8262">
        <v>0.98643270000000005</v>
      </c>
      <c r="Y8262">
        <v>-1.3012839999999999E-2</v>
      </c>
      <c r="Z8262">
        <v>-4.4616279999999996E-3</v>
      </c>
      <c r="AA8262">
        <v>0.9999053</v>
      </c>
      <c r="AB8262">
        <v>14</v>
      </c>
      <c r="AC8262">
        <v>25.927299999999999</v>
      </c>
      <c r="AD8262">
        <v>0.50189700000000004</v>
      </c>
      <c r="AE8262">
        <v>-106.52259679999899</v>
      </c>
      <c r="AF8262">
        <v>-1.4346496331132199</v>
      </c>
      <c r="AG8262">
        <v>0.50189700000000004</v>
      </c>
      <c r="AH8262">
        <v>109.62083063622499</v>
      </c>
      <c r="AI8262">
        <v>89.737696600088</v>
      </c>
      <c r="AJ8262">
        <v>90.749808918968895</v>
      </c>
      <c r="AK8262">
        <v>109.631366996605</v>
      </c>
      <c r="AL8262">
        <v>89.892147682851999</v>
      </c>
      <c r="AM8262">
        <v>80.551798391359796</v>
      </c>
      <c r="AN8262">
        <v>1.0000000379919001</v>
      </c>
    </row>
    <row r="8263" spans="1:40" x14ac:dyDescent="0.25">
      <c r="A8263" t="str">
        <f>"20190312154121654"</f>
        <v>20190312154121654</v>
      </c>
      <c r="B8263" t="str">
        <f>"1552376481644607"</f>
        <v>1552376481644607</v>
      </c>
      <c r="C8263" t="s">
        <v>40</v>
      </c>
      <c r="D8263">
        <v>4.1008820000000004</v>
      </c>
      <c r="E8263">
        <v>0.431838</v>
      </c>
      <c r="F8263" t="s">
        <v>71</v>
      </c>
      <c r="G8263">
        <v>-277.17500000000001</v>
      </c>
      <c r="H8263">
        <v>1.293669</v>
      </c>
      <c r="I8263">
        <v>-107.5231</v>
      </c>
      <c r="J8263">
        <v>-303.07859999999999</v>
      </c>
      <c r="K8263">
        <v>1.0571539999999999</v>
      </c>
      <c r="L8263">
        <v>0.78039550000000002</v>
      </c>
      <c r="M8263">
        <v>0.2176893</v>
      </c>
      <c r="N8263">
        <v>0</v>
      </c>
      <c r="O8263">
        <v>-0.97590699999999997</v>
      </c>
      <c r="P8263">
        <v>5.3318400000000002E-2</v>
      </c>
      <c r="Q8263">
        <v>-1.1700250000000001E-2</v>
      </c>
      <c r="R8263">
        <v>-0.99850890000000003</v>
      </c>
      <c r="S8263">
        <v>0.70837399999999995</v>
      </c>
      <c r="T8263">
        <v>6.4458850000000002E-3</v>
      </c>
      <c r="U8263">
        <v>-2.9627080000000001</v>
      </c>
      <c r="V8263">
        <v>0.16536919999999999</v>
      </c>
      <c r="W8263">
        <v>1.1103790000000001E-3</v>
      </c>
      <c r="X8263">
        <v>0.98623110000000003</v>
      </c>
      <c r="Y8263">
        <v>-1.5219180000000001E-2</v>
      </c>
      <c r="Z8263">
        <v>-2.0687739999999998E-3</v>
      </c>
      <c r="AA8263">
        <v>0.99988200000000005</v>
      </c>
      <c r="AB8263">
        <v>14</v>
      </c>
      <c r="AC8263">
        <v>25.903599999999901</v>
      </c>
      <c r="AD8263">
        <v>0.236514999999999</v>
      </c>
      <c r="AE8263">
        <v>-108.3034955</v>
      </c>
      <c r="AF8263">
        <v>-1.7031694754357201</v>
      </c>
      <c r="AG8263">
        <v>0.236514999999999</v>
      </c>
      <c r="AH8263">
        <v>111.344649473079</v>
      </c>
      <c r="AI8263">
        <v>89.878308424358593</v>
      </c>
      <c r="AJ8263">
        <v>90.876349365359005</v>
      </c>
      <c r="AK8263">
        <v>111.357926039821</v>
      </c>
      <c r="AL8263">
        <v>89.936379956180403</v>
      </c>
      <c r="AM8263">
        <v>80.481311306972003</v>
      </c>
      <c r="AN8263">
        <v>0.99999999392868599</v>
      </c>
    </row>
    <row r="8264" spans="1:40" x14ac:dyDescent="0.25">
      <c r="A8264" t="str">
        <f>"20190312154121676"</f>
        <v>20190312154121676</v>
      </c>
      <c r="B8264" t="str">
        <f>"1552376481674863"</f>
        <v>1552376481674863</v>
      </c>
      <c r="C8264" t="s">
        <v>40</v>
      </c>
      <c r="D8264">
        <v>4.0128629999999896</v>
      </c>
      <c r="E8264">
        <v>0.42950859999999902</v>
      </c>
      <c r="F8264" t="s">
        <v>71</v>
      </c>
      <c r="G8264">
        <v>-277.41559999999998</v>
      </c>
      <c r="H8264">
        <v>1.170633</v>
      </c>
      <c r="I8264">
        <v>-107.57089999999999</v>
      </c>
      <c r="J8264">
        <v>-303.05650000000003</v>
      </c>
      <c r="K8264">
        <v>1.0569309999999901</v>
      </c>
      <c r="L8264">
        <v>0.64349369999999995</v>
      </c>
      <c r="M8264">
        <v>0.21400520000000001</v>
      </c>
      <c r="N8264">
        <v>0</v>
      </c>
      <c r="O8264">
        <v>-0.97673030000000005</v>
      </c>
      <c r="P8264">
        <v>4.8980709999999997E-2</v>
      </c>
      <c r="Q8264">
        <v>-9.9783200000000006E-3</v>
      </c>
      <c r="R8264">
        <v>-0.99875000000000003</v>
      </c>
      <c r="S8264">
        <v>0.70272829999999997</v>
      </c>
      <c r="T8264">
        <v>3.107786E-3</v>
      </c>
      <c r="U8264">
        <v>-2.96698</v>
      </c>
      <c r="V8264">
        <v>0.16595009999999999</v>
      </c>
      <c r="W8264">
        <v>1.8566279999999999E-3</v>
      </c>
      <c r="X8264">
        <v>0.98613240000000002</v>
      </c>
      <c r="Y8264">
        <v>-1.6868009999999999E-2</v>
      </c>
      <c r="Z8264">
        <v>-9.9748009999999897E-4</v>
      </c>
      <c r="AA8264">
        <v>0.9998572</v>
      </c>
      <c r="AB8264">
        <v>14</v>
      </c>
      <c r="AC8264">
        <v>25.640899999999998</v>
      </c>
      <c r="AD8264">
        <v>0.113702</v>
      </c>
      <c r="AE8264">
        <v>-108.2143937</v>
      </c>
      <c r="AF8264">
        <v>-1.8859873323185099</v>
      </c>
      <c r="AG8264">
        <v>0.113702</v>
      </c>
      <c r="AH8264">
        <v>111.19455001123799</v>
      </c>
      <c r="AI8264">
        <v>89.941420639899206</v>
      </c>
      <c r="AJ8264">
        <v>90.971709080749704</v>
      </c>
      <c r="AK8264">
        <v>111.210601241807</v>
      </c>
      <c r="AL8264">
        <v>89.893622989991599</v>
      </c>
      <c r="AM8264">
        <v>80.447551201028901</v>
      </c>
      <c r="AN8264">
        <v>0.99999999654365002</v>
      </c>
    </row>
    <row r="8265" spans="1:40" x14ac:dyDescent="0.25">
      <c r="A8265" t="str">
        <f>"20190312154121700"</f>
        <v>20190312154121700</v>
      </c>
      <c r="B8265" t="str">
        <f>"1552376481694383"</f>
        <v>1552376481694383</v>
      </c>
      <c r="C8265" t="s">
        <v>40</v>
      </c>
      <c r="D8265">
        <v>4.0360889999999996</v>
      </c>
      <c r="E8265">
        <v>0.42884260000000002</v>
      </c>
      <c r="F8265" t="s">
        <v>71</v>
      </c>
      <c r="G8265">
        <v>-277.23950000000002</v>
      </c>
      <c r="H8265">
        <v>1.262111</v>
      </c>
      <c r="I8265">
        <v>-107.57089999999999</v>
      </c>
      <c r="J8265">
        <v>-303.03579999999999</v>
      </c>
      <c r="K8265">
        <v>1.0579289999999999</v>
      </c>
      <c r="L8265">
        <v>0.50640870000000004</v>
      </c>
      <c r="M8265">
        <v>0.21016770000000001</v>
      </c>
      <c r="N8265">
        <v>0</v>
      </c>
      <c r="O8265">
        <v>-0.97758020000000001</v>
      </c>
      <c r="P8265">
        <v>4.5315859999999999E-2</v>
      </c>
      <c r="Q8265">
        <v>-7.7844840000000004E-3</v>
      </c>
      <c r="R8265">
        <v>-0.99894260000000001</v>
      </c>
      <c r="S8265">
        <v>0.70834350000000001</v>
      </c>
      <c r="T8265">
        <v>5.6298969999999896E-3</v>
      </c>
      <c r="U8265">
        <v>-2.9690859999999999</v>
      </c>
      <c r="V8265">
        <v>0.16570850000000001</v>
      </c>
      <c r="W8265">
        <v>2.8398640000000001E-3</v>
      </c>
      <c r="X8265">
        <v>0.98617069999999996</v>
      </c>
      <c r="Y8265">
        <v>-2.2428590000000002E-2</v>
      </c>
      <c r="Z8265">
        <v>-1.8075529999999999E-3</v>
      </c>
      <c r="AA8265">
        <v>0.99974680000000005</v>
      </c>
      <c r="AB8265">
        <v>14</v>
      </c>
      <c r="AC8265">
        <v>25.796299999999899</v>
      </c>
      <c r="AD8265">
        <v>0.204181999999999</v>
      </c>
      <c r="AE8265">
        <v>-108.0773087</v>
      </c>
      <c r="AF8265">
        <v>-2.5037927049852402</v>
      </c>
      <c r="AG8265">
        <v>0.204181999999999</v>
      </c>
      <c r="AH8265">
        <v>111.084658668331</v>
      </c>
      <c r="AI8265">
        <v>89.894712885623505</v>
      </c>
      <c r="AJ8265">
        <v>91.291199617410797</v>
      </c>
      <c r="AK8265">
        <v>111.113059806929</v>
      </c>
      <c r="AL8265">
        <v>89.837287561436398</v>
      </c>
      <c r="AM8265">
        <v>80.461566143195896</v>
      </c>
      <c r="AN8265">
        <v>1.00000001066913</v>
      </c>
    </row>
    <row r="8266" spans="1:40" x14ac:dyDescent="0.25">
      <c r="A8266" t="str">
        <f>"20190312154121721"</f>
        <v>20190312154121721</v>
      </c>
      <c r="B8266" t="str">
        <f>"1552376481714882"</f>
        <v>1552376481714882</v>
      </c>
      <c r="C8266" t="s">
        <v>40</v>
      </c>
      <c r="D8266">
        <v>4.0264939999999996</v>
      </c>
      <c r="E8266">
        <v>0.41721510000000001</v>
      </c>
      <c r="F8266" t="s">
        <v>71</v>
      </c>
      <c r="G8266">
        <v>-277.46890000000002</v>
      </c>
      <c r="H8266">
        <v>1.4852129999999999</v>
      </c>
      <c r="I8266">
        <v>-107.57089999999999</v>
      </c>
      <c r="J8266">
        <v>-303.01490000000001</v>
      </c>
      <c r="K8266">
        <v>1.0598719999999999</v>
      </c>
      <c r="L8266">
        <v>0.36611939999999998</v>
      </c>
      <c r="M8266">
        <v>0.20377619999999999</v>
      </c>
      <c r="N8266">
        <v>0</v>
      </c>
      <c r="O8266">
        <v>-0.97895489999999996</v>
      </c>
      <c r="P8266">
        <v>3.9948459999999998E-2</v>
      </c>
      <c r="Q8266">
        <v>-5.4392340000000003E-3</v>
      </c>
      <c r="R8266">
        <v>-0.99918739999999995</v>
      </c>
      <c r="S8266">
        <v>0.70291139999999996</v>
      </c>
      <c r="T8266">
        <v>1.174772E-2</v>
      </c>
      <c r="U8266">
        <v>-2.9713750000000001</v>
      </c>
      <c r="V8266">
        <v>0.16456270000000001</v>
      </c>
      <c r="W8266">
        <v>3.7210540000000001E-3</v>
      </c>
      <c r="X8266">
        <v>0.9863596</v>
      </c>
      <c r="Y8266">
        <v>-2.7059469999999999E-2</v>
      </c>
      <c r="Z8266">
        <v>-3.7772869999999998E-3</v>
      </c>
      <c r="AA8266">
        <v>0.99962669999999998</v>
      </c>
      <c r="AB8266">
        <v>14</v>
      </c>
      <c r="AC8266">
        <v>25.5459999999999</v>
      </c>
      <c r="AD8266">
        <v>0.42534100000000002</v>
      </c>
      <c r="AE8266">
        <v>-107.9370194</v>
      </c>
      <c r="AF8266">
        <v>-3.01352659241704</v>
      </c>
      <c r="AG8266">
        <v>0.42534100000000002</v>
      </c>
      <c r="AH8266">
        <v>110.87630544206</v>
      </c>
      <c r="AI8266">
        <v>89.7802855318306</v>
      </c>
      <c r="AJ8266">
        <v>91.556868779829799</v>
      </c>
      <c r="AK8266">
        <v>110.918066003562</v>
      </c>
      <c r="AL8266">
        <v>89.786798817277798</v>
      </c>
      <c r="AM8266">
        <v>80.528101995942606</v>
      </c>
      <c r="AN8266">
        <v>0.99999999449316002</v>
      </c>
    </row>
    <row r="8267" spans="1:40" x14ac:dyDescent="0.25">
      <c r="A8267" t="str">
        <f>"20190312154121744"</f>
        <v>20190312154121744</v>
      </c>
      <c r="B8267" t="str">
        <f>"1552376481734399"</f>
        <v>1552376481734399</v>
      </c>
      <c r="C8267" t="s">
        <v>40</v>
      </c>
      <c r="D8267">
        <v>4.0587229999999996</v>
      </c>
      <c r="E8267">
        <v>0.41585030000000001</v>
      </c>
      <c r="F8267" t="s">
        <v>71</v>
      </c>
      <c r="G8267">
        <v>-277.17500000000001</v>
      </c>
      <c r="H8267">
        <v>1.775415</v>
      </c>
      <c r="I8267">
        <v>-98.144090000000006</v>
      </c>
      <c r="J8267">
        <v>-302.99430000000001</v>
      </c>
      <c r="K8267">
        <v>1.062039</v>
      </c>
      <c r="L8267">
        <v>0.22747800000000001</v>
      </c>
      <c r="M8267">
        <v>0.1957158</v>
      </c>
      <c r="N8267">
        <v>0</v>
      </c>
      <c r="O8267">
        <v>-0.98061719999999997</v>
      </c>
      <c r="P8267">
        <v>3.2910889999999998E-2</v>
      </c>
      <c r="Q8267">
        <v>-3.58845E-3</v>
      </c>
      <c r="R8267">
        <v>-0.9994518</v>
      </c>
      <c r="S8267">
        <v>0.77941890000000003</v>
      </c>
      <c r="T8267">
        <v>2.1583680000000001E-2</v>
      </c>
      <c r="U8267">
        <v>-2.9714049999999999</v>
      </c>
      <c r="V8267">
        <v>0.16338520000000001</v>
      </c>
      <c r="W8267">
        <v>4.0915530000000004E-3</v>
      </c>
      <c r="X8267">
        <v>0.98655380000000004</v>
      </c>
      <c r="Y8267">
        <v>-5.9490170000000002E-2</v>
      </c>
      <c r="Z8267">
        <v>-6.9309829999999999E-3</v>
      </c>
      <c r="AA8267">
        <v>0.9982048</v>
      </c>
      <c r="AB8267">
        <v>14</v>
      </c>
      <c r="AC8267">
        <v>25.819299999999998</v>
      </c>
      <c r="AD8267">
        <v>0.71337600000000001</v>
      </c>
      <c r="AE8267">
        <v>-98.371567999999996</v>
      </c>
      <c r="AF8267">
        <v>-6.0659396257046696</v>
      </c>
      <c r="AG8267">
        <v>0.71337600000000001</v>
      </c>
      <c r="AH8267">
        <v>101.517428475117</v>
      </c>
      <c r="AI8267">
        <v>89.598098638619206</v>
      </c>
      <c r="AJ8267">
        <v>93.419511271336404</v>
      </c>
      <c r="AK8267">
        <v>101.700997109471</v>
      </c>
      <c r="AL8267">
        <v>89.765570611491697</v>
      </c>
      <c r="AM8267">
        <v>80.596479645953394</v>
      </c>
      <c r="AN8267">
        <v>0.99999993233971296</v>
      </c>
    </row>
    <row r="8268" spans="1:40" x14ac:dyDescent="0.25">
      <c r="A8268" t="str">
        <f>"20190312154121766"</f>
        <v>20190312154121766</v>
      </c>
      <c r="B8268" t="str">
        <f>"1552376481754895"</f>
        <v>1552376481754895</v>
      </c>
      <c r="C8268" t="s">
        <v>40</v>
      </c>
      <c r="D8268">
        <v>4.0360239999999896</v>
      </c>
      <c r="E8268">
        <v>0.4146591</v>
      </c>
      <c r="F8268" t="s">
        <v>71</v>
      </c>
      <c r="G8268">
        <v>-277.17500000000001</v>
      </c>
      <c r="H8268">
        <v>2.1004290000000001</v>
      </c>
      <c r="I8268">
        <v>-99.672659999999993</v>
      </c>
      <c r="J8268">
        <v>-302.97410000000002</v>
      </c>
      <c r="K8268">
        <v>1.06403799999999</v>
      </c>
      <c r="L8268">
        <v>8.7158200000000005E-2</v>
      </c>
      <c r="M8268">
        <v>0.18716099999999999</v>
      </c>
      <c r="N8268">
        <v>0</v>
      </c>
      <c r="O8268">
        <v>-0.98230030000000002</v>
      </c>
      <c r="P8268">
        <v>2.499007E-2</v>
      </c>
      <c r="Q8268">
        <v>-1.9663789999999999E-3</v>
      </c>
      <c r="R8268">
        <v>-0.99968590000000002</v>
      </c>
      <c r="S8268">
        <v>0.76925659999999996</v>
      </c>
      <c r="T8268">
        <v>3.093779E-2</v>
      </c>
      <c r="U8268">
        <v>-2.97641</v>
      </c>
      <c r="V8268">
        <v>0.16259670000000001</v>
      </c>
      <c r="W8268">
        <v>4.2231600000000001E-3</v>
      </c>
      <c r="X8268">
        <v>0.98668350000000005</v>
      </c>
      <c r="Y8268">
        <v>-6.4582410000000007E-2</v>
      </c>
      <c r="Z8268">
        <v>-9.9462049999999996E-3</v>
      </c>
      <c r="AA8268">
        <v>0.99786280000000005</v>
      </c>
      <c r="AB8268">
        <v>14</v>
      </c>
      <c r="AC8268">
        <v>25.799099999999999</v>
      </c>
      <c r="AD8268">
        <v>1.0363910000000001</v>
      </c>
      <c r="AE8268">
        <v>-99.759818199999998</v>
      </c>
      <c r="AF8268">
        <v>-6.6708312391417799</v>
      </c>
      <c r="AG8268">
        <v>1.0363910000000001</v>
      </c>
      <c r="AH8268">
        <v>102.81520807745601</v>
      </c>
      <c r="AI8268">
        <v>89.4236821567373</v>
      </c>
      <c r="AJ8268">
        <v>93.712247540394699</v>
      </c>
      <c r="AK8268">
        <v>103.036600816101</v>
      </c>
      <c r="AL8268">
        <v>89.758030018514503</v>
      </c>
      <c r="AM8268">
        <v>80.642264860649902</v>
      </c>
      <c r="AN8268">
        <v>0.99999992555175998</v>
      </c>
    </row>
    <row r="8269" spans="1:40" x14ac:dyDescent="0.25">
      <c r="A8269" t="str">
        <f>"20190312154121790"</f>
        <v>20190312154121790</v>
      </c>
      <c r="B8269" t="str">
        <f>"1552376481784175"</f>
        <v>1552376481784175</v>
      </c>
      <c r="C8269" t="s">
        <v>40</v>
      </c>
      <c r="D8269">
        <v>4.366384</v>
      </c>
      <c r="E8269">
        <v>0.43142760000000002</v>
      </c>
      <c r="F8269" t="s">
        <v>71</v>
      </c>
      <c r="G8269">
        <v>-277.17500000000001</v>
      </c>
      <c r="H8269">
        <v>2.3578760000000001</v>
      </c>
      <c r="I8269">
        <v>-101.8193</v>
      </c>
      <c r="J8269">
        <v>-302.9545</v>
      </c>
      <c r="K8269">
        <v>1.0657890000000001</v>
      </c>
      <c r="L8269">
        <v>-5.9051510000000001E-2</v>
      </c>
      <c r="M8269">
        <v>0.17890149999999999</v>
      </c>
      <c r="N8269">
        <v>0</v>
      </c>
      <c r="O8269">
        <v>-0.98384919999999998</v>
      </c>
      <c r="P8269">
        <v>1.664272E-2</v>
      </c>
      <c r="Q8269">
        <v>-8.9350369999999896E-4</v>
      </c>
      <c r="R8269">
        <v>-0.99986129999999995</v>
      </c>
      <c r="S8269">
        <v>0.75497440000000005</v>
      </c>
      <c r="T8269">
        <v>3.7862659999999999E-2</v>
      </c>
      <c r="U8269">
        <v>-2.9821469999999999</v>
      </c>
      <c r="V8269">
        <v>0.1625385</v>
      </c>
      <c r="W8269">
        <v>3.7253450000000001E-3</v>
      </c>
      <c r="X8269">
        <v>0.98669519999999999</v>
      </c>
      <c r="Y8269">
        <v>-6.8010929999999997E-2</v>
      </c>
      <c r="Z8269">
        <v>-1.2183630000000001E-2</v>
      </c>
      <c r="AA8269">
        <v>0.9976102</v>
      </c>
      <c r="AB8269">
        <v>14</v>
      </c>
      <c r="AC8269">
        <v>25.779499999999899</v>
      </c>
      <c r="AD8269">
        <v>1.29208699999999</v>
      </c>
      <c r="AE8269">
        <v>-101.76024849</v>
      </c>
      <c r="AF8269">
        <v>-7.1571203401139298</v>
      </c>
      <c r="AG8269">
        <v>1.29208699999999</v>
      </c>
      <c r="AH8269">
        <v>104.71469907530501</v>
      </c>
      <c r="AI8269">
        <v>89.294701840725907</v>
      </c>
      <c r="AJ8269">
        <v>93.910014710891105</v>
      </c>
      <c r="AK8269">
        <v>104.966957004622</v>
      </c>
      <c r="AL8269">
        <v>89.786552966948605</v>
      </c>
      <c r="AM8269">
        <v>80.645664122104193</v>
      </c>
      <c r="AN8269">
        <v>1.00000002994032</v>
      </c>
    </row>
    <row r="8270" spans="1:40" x14ac:dyDescent="0.25">
      <c r="A8270" t="str">
        <f>"20190312154121812"</f>
        <v>20190312154121812</v>
      </c>
      <c r="B8270" t="str">
        <f>"1552376481804671"</f>
        <v>1552376481804671</v>
      </c>
      <c r="C8270" t="s">
        <v>40</v>
      </c>
      <c r="D8270">
        <v>4.2036179999999996</v>
      </c>
      <c r="E8270">
        <v>0.5043668</v>
      </c>
      <c r="F8270" t="s">
        <v>93</v>
      </c>
      <c r="G8270">
        <v>-286.92</v>
      </c>
      <c r="H8270">
        <v>2.7390880000000002</v>
      </c>
      <c r="I8270">
        <v>-80.464519999999993</v>
      </c>
      <c r="J8270">
        <v>-302.93729999999999</v>
      </c>
      <c r="K8270">
        <v>1.0672379999999999</v>
      </c>
      <c r="L8270">
        <v>-0.197876</v>
      </c>
      <c r="M8270">
        <v>0.17184160000000001</v>
      </c>
      <c r="N8270">
        <v>0</v>
      </c>
      <c r="O8270">
        <v>-0.98511459999999995</v>
      </c>
      <c r="P8270">
        <v>9.651827E-3</v>
      </c>
      <c r="Q8270">
        <v>-6.434918E-4</v>
      </c>
      <c r="R8270">
        <v>-0.9999536</v>
      </c>
      <c r="S8270">
        <v>0.59637450000000003</v>
      </c>
      <c r="T8270">
        <v>6.2235829999999999E-2</v>
      </c>
      <c r="U8270">
        <v>-2.9905400000000002</v>
      </c>
      <c r="V8270">
        <v>0.16235169999999999</v>
      </c>
      <c r="W8270">
        <v>2.486528E-3</v>
      </c>
      <c r="X8270">
        <v>0.98672979999999999</v>
      </c>
      <c r="Y8270">
        <v>-2.4095040000000002E-2</v>
      </c>
      <c r="Z8270">
        <v>-2.0143580000000001E-2</v>
      </c>
      <c r="AA8270">
        <v>0.99950669999999997</v>
      </c>
      <c r="AB8270">
        <v>14</v>
      </c>
      <c r="AC8270">
        <v>16.017299999999899</v>
      </c>
      <c r="AD8270">
        <v>1.6718500000000001</v>
      </c>
      <c r="AE8270">
        <v>-80.266643999999999</v>
      </c>
      <c r="AF8270">
        <v>-1.98491895064228</v>
      </c>
      <c r="AG8270">
        <v>1.6718500000000001</v>
      </c>
      <c r="AH8270">
        <v>81.790962011591702</v>
      </c>
      <c r="AI8270">
        <v>88.829351974221794</v>
      </c>
      <c r="AJ8270">
        <v>91.390192231727198</v>
      </c>
      <c r="AK8270">
        <v>81.832123597305895</v>
      </c>
      <c r="AL8270">
        <v>89.857532289981506</v>
      </c>
      <c r="AM8270">
        <v>80.656546905402706</v>
      </c>
      <c r="AN8270">
        <v>0.99999997776121197</v>
      </c>
    </row>
    <row r="8271" spans="1:40" x14ac:dyDescent="0.25">
      <c r="A8271" t="str">
        <f>"20190312154121833"</f>
        <v>20190312154121833</v>
      </c>
      <c r="B8271" t="str">
        <f>"1552376481824191"</f>
        <v>1552376481824191</v>
      </c>
      <c r="C8271" t="s">
        <v>40</v>
      </c>
      <c r="D8271">
        <v>4.2728580000000003</v>
      </c>
      <c r="E8271">
        <v>0.51796030000000004</v>
      </c>
      <c r="F8271" t="s">
        <v>93</v>
      </c>
      <c r="G8271">
        <v>-303.11860000000001</v>
      </c>
      <c r="H8271">
        <v>1.258478</v>
      </c>
      <c r="I8271">
        <v>-91.564989999999995</v>
      </c>
      <c r="J8271">
        <v>-302.92219999999998</v>
      </c>
      <c r="K8271">
        <v>1.068581</v>
      </c>
      <c r="L8271">
        <v>-0.33123780000000003</v>
      </c>
      <c r="M8271">
        <v>0.16542560000000001</v>
      </c>
      <c r="N8271">
        <v>0</v>
      </c>
      <c r="O8271">
        <v>-0.98621740000000002</v>
      </c>
      <c r="P8271">
        <v>4.1653659999999898E-3</v>
      </c>
      <c r="Q8271">
        <v>5.4060589999999997E-4</v>
      </c>
      <c r="R8271">
        <v>-0.99999130000000003</v>
      </c>
      <c r="S8271">
        <v>-5.9509280000000003E-3</v>
      </c>
      <c r="T8271">
        <v>6.2801840000000003E-3</v>
      </c>
      <c r="U8271">
        <v>-3.0002140000000002</v>
      </c>
      <c r="V8271">
        <v>0.16134100000000001</v>
      </c>
      <c r="W8271">
        <v>2.3182049999999998E-3</v>
      </c>
      <c r="X8271">
        <v>0.986896</v>
      </c>
      <c r="Y8271">
        <v>0.16738220000000001</v>
      </c>
      <c r="Z8271">
        <v>-2.0352109999999999E-3</v>
      </c>
      <c r="AA8271">
        <v>0.98589000000000004</v>
      </c>
      <c r="AB8271">
        <v>14</v>
      </c>
      <c r="AC8271">
        <v>-0.19640000000003899</v>
      </c>
      <c r="AD8271">
        <v>0.18989700000000001</v>
      </c>
      <c r="AE8271">
        <v>-91.233752199999998</v>
      </c>
      <c r="AF8271">
        <v>15.2860985269573</v>
      </c>
      <c r="AG8271">
        <v>0.18989700000000001</v>
      </c>
      <c r="AH8271">
        <v>89.943866850400696</v>
      </c>
      <c r="AI8271">
        <v>89.8807425695653</v>
      </c>
      <c r="AJ8271">
        <v>80.354653368168798</v>
      </c>
      <c r="AK8271">
        <v>91.233765969892204</v>
      </c>
      <c r="AL8271">
        <v>89.867176518962694</v>
      </c>
      <c r="AM8271">
        <v>80.715233641854695</v>
      </c>
      <c r="AN8271">
        <v>1.00000000358571</v>
      </c>
    </row>
    <row r="8272" spans="1:40" x14ac:dyDescent="0.25">
      <c r="A8272" t="str">
        <f>"20190312154121855"</f>
        <v>20190312154121855</v>
      </c>
      <c r="B8272" t="str">
        <f>"1552376481844688"</f>
        <v>1552376481844688</v>
      </c>
      <c r="C8272" t="s">
        <v>40</v>
      </c>
      <c r="D8272">
        <v>4.2470089999999896</v>
      </c>
      <c r="E8272">
        <v>0.52366840000000003</v>
      </c>
      <c r="F8272" t="s">
        <v>93</v>
      </c>
      <c r="G8272">
        <v>-306.89460000000003</v>
      </c>
      <c r="H8272">
        <v>0.52756309999999995</v>
      </c>
      <c r="I8272">
        <v>-91.564989999999995</v>
      </c>
      <c r="J8272">
        <v>-302.90809999999999</v>
      </c>
      <c r="K8272">
        <v>1.069987</v>
      </c>
      <c r="L8272">
        <v>-0.4652405</v>
      </c>
      <c r="M8272">
        <v>0.1589872</v>
      </c>
      <c r="N8272">
        <v>0</v>
      </c>
      <c r="O8272">
        <v>-0.98727909999999997</v>
      </c>
      <c r="P8272">
        <v>-6.3923859999999997E-4</v>
      </c>
      <c r="Q8272">
        <v>2.1886430000000001E-3</v>
      </c>
      <c r="R8272">
        <v>-0.9999979</v>
      </c>
      <c r="S8272">
        <v>-0.13064580000000001</v>
      </c>
      <c r="T8272">
        <v>-1.7793059999999999E-2</v>
      </c>
      <c r="U8272">
        <v>-3.0005799999999998</v>
      </c>
      <c r="V8272">
        <v>0.15964539999999999</v>
      </c>
      <c r="W8272">
        <v>2.769292E-3</v>
      </c>
      <c r="X8272">
        <v>0.98717049999999995</v>
      </c>
      <c r="Y8272">
        <v>0.20178189999999999</v>
      </c>
      <c r="Z8272">
        <v>5.752793E-3</v>
      </c>
      <c r="AA8272">
        <v>0.9794136</v>
      </c>
      <c r="AB8272">
        <v>14</v>
      </c>
      <c r="AC8272">
        <v>-3.9865000000000301</v>
      </c>
      <c r="AD8272">
        <v>-0.54242389999999996</v>
      </c>
      <c r="AE8272">
        <v>-91.099749500000001</v>
      </c>
      <c r="AF8272">
        <v>18.418858564716299</v>
      </c>
      <c r="AG8272">
        <v>-0.54242389999999996</v>
      </c>
      <c r="AH8272">
        <v>89.304052395412</v>
      </c>
      <c r="AI8272">
        <v>90.340831001177904</v>
      </c>
      <c r="AJ8272">
        <v>78.346222334043901</v>
      </c>
      <c r="AK8272">
        <v>91.1853187128104</v>
      </c>
      <c r="AL8272">
        <v>89.8413310469126</v>
      </c>
      <c r="AM8272">
        <v>80.813649517843203</v>
      </c>
      <c r="AN8272">
        <v>0.99999995939479402</v>
      </c>
    </row>
    <row r="8273" spans="1:40" x14ac:dyDescent="0.25">
      <c r="A8273" t="str">
        <f>"20190312154121878"</f>
        <v>20190312154121878</v>
      </c>
      <c r="B8273" t="str">
        <f>"1552376481864208"</f>
        <v>1552376481864208</v>
      </c>
      <c r="C8273" t="s">
        <v>40</v>
      </c>
      <c r="D8273">
        <v>4.2343019999999996</v>
      </c>
      <c r="E8273">
        <v>0.52631600000000001</v>
      </c>
      <c r="F8273" t="s">
        <v>93</v>
      </c>
      <c r="G8273">
        <v>-308.69470000000001</v>
      </c>
      <c r="H8273">
        <v>0.47135729999999998</v>
      </c>
      <c r="I8273">
        <v>-91.564989999999995</v>
      </c>
      <c r="J8273">
        <v>-302.89440000000002</v>
      </c>
      <c r="K8273">
        <v>1.071499</v>
      </c>
      <c r="L8273">
        <v>-0.60586549999999995</v>
      </c>
      <c r="M8273">
        <v>0.15212819999999999</v>
      </c>
      <c r="N8273">
        <v>0</v>
      </c>
      <c r="O8273">
        <v>-0.98836060000000003</v>
      </c>
      <c r="P8273">
        <v>-4.5976719999999997E-3</v>
      </c>
      <c r="Q8273">
        <v>3.203474E-3</v>
      </c>
      <c r="R8273">
        <v>-0.9999844</v>
      </c>
      <c r="S8273">
        <v>-0.19055179999999999</v>
      </c>
      <c r="T8273">
        <v>-1.9712569999999999E-2</v>
      </c>
      <c r="U8273">
        <v>-2.9999389999999999</v>
      </c>
      <c r="V8273">
        <v>0.15669520000000001</v>
      </c>
      <c r="W8273">
        <v>2.7545099999999999E-3</v>
      </c>
      <c r="X8273">
        <v>0.98764320000000005</v>
      </c>
      <c r="Y8273">
        <v>0.2144739</v>
      </c>
      <c r="Z8273">
        <v>6.373068E-3</v>
      </c>
      <c r="AA8273">
        <v>0.97670889999999999</v>
      </c>
      <c r="AB8273">
        <v>14</v>
      </c>
      <c r="AC8273">
        <v>-5.8002999999999902</v>
      </c>
      <c r="AD8273">
        <v>-0.6001417</v>
      </c>
      <c r="AE8273">
        <v>-90.959124500000001</v>
      </c>
      <c r="AF8273">
        <v>19.569390694046799</v>
      </c>
      <c r="AG8273">
        <v>-0.6001417</v>
      </c>
      <c r="AH8273">
        <v>89.014181254923301</v>
      </c>
      <c r="AI8273">
        <v>90.377278019471305</v>
      </c>
      <c r="AJ8273">
        <v>77.601010842947005</v>
      </c>
      <c r="AK8273">
        <v>91.141898634385896</v>
      </c>
      <c r="AL8273">
        <v>89.842178007812095</v>
      </c>
      <c r="AM8273">
        <v>80.9848402573475</v>
      </c>
      <c r="AN8273">
        <v>1.0000000317672999</v>
      </c>
    </row>
    <row r="8274" spans="1:40" x14ac:dyDescent="0.25">
      <c r="A8274" t="str">
        <f>"20190312154121901"</f>
        <v>20190312154121901</v>
      </c>
      <c r="B8274" t="str">
        <f>"1552376481894463"</f>
        <v>1552376481894463</v>
      </c>
      <c r="C8274" t="s">
        <v>40</v>
      </c>
      <c r="D8274">
        <v>4.1835019999999998</v>
      </c>
      <c r="E8274">
        <v>0.52865649999999997</v>
      </c>
      <c r="F8274" t="s">
        <v>93</v>
      </c>
      <c r="G8274">
        <v>-309.67790000000002</v>
      </c>
      <c r="H8274">
        <v>0.52828980000000003</v>
      </c>
      <c r="I8274">
        <v>-91.564989999999995</v>
      </c>
      <c r="J8274">
        <v>-302.88170000000002</v>
      </c>
      <c r="K8274">
        <v>1.0729310000000001</v>
      </c>
      <c r="L8274">
        <v>-0.7441101</v>
      </c>
      <c r="M8274">
        <v>0.14538619999999999</v>
      </c>
      <c r="N8274">
        <v>0</v>
      </c>
      <c r="O8274">
        <v>-0.98937509999999995</v>
      </c>
      <c r="P8274">
        <v>-8.0142449999999997E-3</v>
      </c>
      <c r="Q8274">
        <v>3.640524E-3</v>
      </c>
      <c r="R8274">
        <v>-0.99996160000000001</v>
      </c>
      <c r="S8274">
        <v>-0.22366330000000001</v>
      </c>
      <c r="T8274">
        <v>-1.7910120000000002E-2</v>
      </c>
      <c r="U8274">
        <v>-2.9990839999999999</v>
      </c>
      <c r="V8274">
        <v>0.15332979999999999</v>
      </c>
      <c r="W8274">
        <v>2.366366E-3</v>
      </c>
      <c r="X8274">
        <v>0.98817219999999995</v>
      </c>
      <c r="Y8274">
        <v>0.2185628</v>
      </c>
      <c r="Z8274">
        <v>5.7961719999999996E-3</v>
      </c>
      <c r="AA8274">
        <v>0.9758057</v>
      </c>
      <c r="AB8274">
        <v>14</v>
      </c>
      <c r="AC8274">
        <v>-6.79619999999999</v>
      </c>
      <c r="AD8274">
        <v>-0.54464119999999905</v>
      </c>
      <c r="AE8274">
        <v>-90.820879899999994</v>
      </c>
      <c r="AF8274">
        <v>19.927378668626201</v>
      </c>
      <c r="AG8274">
        <v>-0.54464119999999905</v>
      </c>
      <c r="AH8274">
        <v>88.864654972588895</v>
      </c>
      <c r="AI8274">
        <v>90.342645643993194</v>
      </c>
      <c r="AJ8274">
        <v>77.360843630125302</v>
      </c>
      <c r="AK8274">
        <v>91.073179136542905</v>
      </c>
      <c r="AL8274">
        <v>89.864417083734693</v>
      </c>
      <c r="AM8274">
        <v>81.180031809611606</v>
      </c>
      <c r="AN8274">
        <v>0.99999996205446195</v>
      </c>
    </row>
    <row r="8275" spans="1:40" x14ac:dyDescent="0.25">
      <c r="A8275" t="str">
        <f>"20190312154121922"</f>
        <v>20190312154121922</v>
      </c>
      <c r="B8275" t="str">
        <f>"1552376481914959"</f>
        <v>1552376481914959</v>
      </c>
      <c r="C8275" t="s">
        <v>40</v>
      </c>
      <c r="D8275">
        <v>4.2034159999999998</v>
      </c>
      <c r="E8275">
        <v>0.52948300000000004</v>
      </c>
      <c r="F8275" t="s">
        <v>93</v>
      </c>
      <c r="G8275">
        <v>-310.52780000000001</v>
      </c>
      <c r="H8275">
        <v>0.63075829999999999</v>
      </c>
      <c r="I8275">
        <v>-91.564989999999995</v>
      </c>
      <c r="J8275">
        <v>-302.8698</v>
      </c>
      <c r="K8275">
        <v>1.07422</v>
      </c>
      <c r="L8275">
        <v>-0.88171390000000005</v>
      </c>
      <c r="M8275">
        <v>0.13879520000000001</v>
      </c>
      <c r="N8275">
        <v>0</v>
      </c>
      <c r="O8275">
        <v>-0.9903206</v>
      </c>
      <c r="P8275">
        <v>-1.1248569999999999E-2</v>
      </c>
      <c r="Q8275">
        <v>5.5117029999999997E-3</v>
      </c>
      <c r="R8275">
        <v>-0.99992170000000002</v>
      </c>
      <c r="S8275">
        <v>-0.25241089999999999</v>
      </c>
      <c r="T8275">
        <v>-1.4596339999999999E-2</v>
      </c>
      <c r="U8275">
        <v>-2.998138</v>
      </c>
      <c r="V8275">
        <v>0.14994939999999901</v>
      </c>
      <c r="W8275">
        <v>3.516492E-3</v>
      </c>
      <c r="X8275">
        <v>0.98868739999999999</v>
      </c>
      <c r="Y8275">
        <v>0.22138550000000001</v>
      </c>
      <c r="Z8275">
        <v>4.7288259999999898E-3</v>
      </c>
      <c r="AA8275">
        <v>0.97517489999999996</v>
      </c>
      <c r="AB8275">
        <v>14</v>
      </c>
      <c r="AC8275">
        <v>-7.6580000000000101</v>
      </c>
      <c r="AD8275">
        <v>-0.44346170000000001</v>
      </c>
      <c r="AE8275">
        <v>-90.6832761</v>
      </c>
      <c r="AF8275">
        <v>20.1698097681763</v>
      </c>
      <c r="AG8275">
        <v>-0.44346170000000001</v>
      </c>
      <c r="AH8275">
        <v>88.740560059051703</v>
      </c>
      <c r="AI8275">
        <v>90.279199958566906</v>
      </c>
      <c r="AJ8275">
        <v>77.1948126160284</v>
      </c>
      <c r="AK8275">
        <v>91.004971754063803</v>
      </c>
      <c r="AL8275">
        <v>89.798519430757295</v>
      </c>
      <c r="AM8275">
        <v>81.375951885219393</v>
      </c>
      <c r="AN8275">
        <v>0.99999998159755199</v>
      </c>
    </row>
    <row r="8276" spans="1:40" x14ac:dyDescent="0.25">
      <c r="A8276" t="str">
        <f>"20190312154121945"</f>
        <v>20190312154121945</v>
      </c>
      <c r="B8276" t="str">
        <f>"1552376481934479"</f>
        <v>1552376481934479</v>
      </c>
      <c r="C8276" t="s">
        <v>40</v>
      </c>
      <c r="D8276">
        <v>4.2112470000000002</v>
      </c>
      <c r="E8276">
        <v>0.53013109999999997</v>
      </c>
      <c r="F8276" t="s">
        <v>93</v>
      </c>
      <c r="G8276">
        <v>-310.9941</v>
      </c>
      <c r="H8276">
        <v>0.87234500000000004</v>
      </c>
      <c r="I8276">
        <v>-91.564989999999995</v>
      </c>
      <c r="J8276">
        <v>-302.8587</v>
      </c>
      <c r="K8276">
        <v>1.075331</v>
      </c>
      <c r="L8276">
        <v>-1.0170589999999999</v>
      </c>
      <c r="M8276">
        <v>0.13245709999999999</v>
      </c>
      <c r="N8276">
        <v>0</v>
      </c>
      <c r="O8276">
        <v>-0.99118709999999999</v>
      </c>
      <c r="P8276">
        <v>-1.5090259999999999E-2</v>
      </c>
      <c r="Q8276">
        <v>8.3425779999999998E-3</v>
      </c>
      <c r="R8276">
        <v>-0.9998515</v>
      </c>
      <c r="S8276">
        <v>-0.26852419999999999</v>
      </c>
      <c r="T8276">
        <v>-6.671906E-3</v>
      </c>
      <c r="U8276">
        <v>-2.9972530000000002</v>
      </c>
      <c r="V8276">
        <v>0.1474309</v>
      </c>
      <c r="W8276">
        <v>5.6960910000000003E-3</v>
      </c>
      <c r="X8276">
        <v>0.98905589999999999</v>
      </c>
      <c r="Y8276">
        <v>0.22037519999999999</v>
      </c>
      <c r="Z8276">
        <v>2.1648240000000001E-3</v>
      </c>
      <c r="AA8276">
        <v>0.97541279999999997</v>
      </c>
      <c r="AB8276">
        <v>14</v>
      </c>
      <c r="AC8276">
        <v>-8.1354000000000006</v>
      </c>
      <c r="AD8276">
        <v>-0.202986</v>
      </c>
      <c r="AE8276">
        <v>-90.547931000000005</v>
      </c>
      <c r="AF8276">
        <v>20.057352482402099</v>
      </c>
      <c r="AG8276">
        <v>-0.202986</v>
      </c>
      <c r="AH8276">
        <v>88.672051667485704</v>
      </c>
      <c r="AI8276">
        <v>90.127928048686201</v>
      </c>
      <c r="AJ8276">
        <v>77.254354680680507</v>
      </c>
      <c r="AK8276">
        <v>90.912437756562099</v>
      </c>
      <c r="AL8276">
        <v>89.673636243019899</v>
      </c>
      <c r="AM8276">
        <v>81.521788295965194</v>
      </c>
      <c r="AN8276">
        <v>0.99999994452614804</v>
      </c>
    </row>
    <row r="8277" spans="1:40" x14ac:dyDescent="0.25">
      <c r="A8277" t="str">
        <f>"20190312154121967"</f>
        <v>20190312154121967</v>
      </c>
      <c r="B8277" t="str">
        <f>"1552376481954000"</f>
        <v>1552376481954000</v>
      </c>
      <c r="C8277" t="s">
        <v>40</v>
      </c>
      <c r="D8277">
        <v>4.2450449999999904</v>
      </c>
      <c r="E8277">
        <v>0.53061550000000002</v>
      </c>
      <c r="F8277" t="s">
        <v>93</v>
      </c>
      <c r="G8277">
        <v>-311.48590000000002</v>
      </c>
      <c r="H8277">
        <v>1.223257</v>
      </c>
      <c r="I8277">
        <v>-91.564989999999995</v>
      </c>
      <c r="J8277">
        <v>-302.84809999999999</v>
      </c>
      <c r="K8277">
        <v>1.0762890000000001</v>
      </c>
      <c r="L8277">
        <v>-1.1546940000000001</v>
      </c>
      <c r="M8277">
        <v>0.126139</v>
      </c>
      <c r="N8277">
        <v>0</v>
      </c>
      <c r="O8277">
        <v>-0.99200960000000005</v>
      </c>
      <c r="P8277">
        <v>-2.0037510000000001E-2</v>
      </c>
      <c r="Q8277">
        <v>1.026197E-2</v>
      </c>
      <c r="R8277">
        <v>-0.99974680000000005</v>
      </c>
      <c r="S8277">
        <v>-0.28546139999999998</v>
      </c>
      <c r="T8277">
        <v>4.8950909999999999E-3</v>
      </c>
      <c r="U8277">
        <v>-2.9960939999999998</v>
      </c>
      <c r="V8277">
        <v>0.14602570000000001</v>
      </c>
      <c r="W8277">
        <v>7.0121350000000001E-3</v>
      </c>
      <c r="X8277">
        <v>0.98925600000000002</v>
      </c>
      <c r="Y8277">
        <v>0.2196613</v>
      </c>
      <c r="Z8277">
        <v>-1.5906539999999999E-3</v>
      </c>
      <c r="AA8277">
        <v>0.97557490000000002</v>
      </c>
      <c r="AB8277">
        <v>14</v>
      </c>
      <c r="AC8277">
        <v>-8.6378000000000199</v>
      </c>
      <c r="AD8277">
        <v>0.14696799999999999</v>
      </c>
      <c r="AE8277">
        <v>-90.410296000000002</v>
      </c>
      <c r="AF8277">
        <v>19.973051531792699</v>
      </c>
      <c r="AG8277">
        <v>0.14696799999999999</v>
      </c>
      <c r="AH8277">
        <v>88.598347756262299</v>
      </c>
      <c r="AI8277">
        <v>89.907283895031995</v>
      </c>
      <c r="AJ8277">
        <v>77.295968017336094</v>
      </c>
      <c r="AK8277">
        <v>90.821867478181005</v>
      </c>
      <c r="AL8277">
        <v>89.598230988401596</v>
      </c>
      <c r="AM8277">
        <v>81.603112818093805</v>
      </c>
      <c r="AN8277">
        <v>1.0000000543168699</v>
      </c>
    </row>
    <row r="8278" spans="1:40" x14ac:dyDescent="0.25">
      <c r="A8278" t="str">
        <f>"20190312154121993"</f>
        <v>20190312154121993</v>
      </c>
      <c r="B8278" t="str">
        <f>"1552376481984255"</f>
        <v>1552376481984255</v>
      </c>
      <c r="C8278" t="s">
        <v>40</v>
      </c>
      <c r="D8278">
        <v>4.2427190000000001</v>
      </c>
      <c r="E8278">
        <v>0.5309239</v>
      </c>
      <c r="F8278" t="s">
        <v>93</v>
      </c>
      <c r="G8278">
        <v>-312.02600000000001</v>
      </c>
      <c r="H8278">
        <v>1.4405589999999999</v>
      </c>
      <c r="I8278">
        <v>-91.564989999999995</v>
      </c>
      <c r="J8278">
        <v>-302.83699999999999</v>
      </c>
      <c r="K8278">
        <v>1.0772090000000001</v>
      </c>
      <c r="L8278">
        <v>-1.310028</v>
      </c>
      <c r="M8278">
        <v>0.1191301</v>
      </c>
      <c r="N8278">
        <v>0</v>
      </c>
      <c r="O8278">
        <v>-0.99287380000000003</v>
      </c>
      <c r="P8278">
        <v>-2.7103729999999999E-2</v>
      </c>
      <c r="Q8278">
        <v>9.5578490000000002E-3</v>
      </c>
      <c r="R8278">
        <v>-0.99958720000000001</v>
      </c>
      <c r="S8278">
        <v>-0.30398560000000002</v>
      </c>
      <c r="T8278">
        <v>1.2065650000000001E-2</v>
      </c>
      <c r="U8278">
        <v>-2.9945369999999998</v>
      </c>
      <c r="V8278">
        <v>0.1460236</v>
      </c>
      <c r="W8278">
        <v>5.7080119999999897E-3</v>
      </c>
      <c r="X8278">
        <v>0.98926460000000005</v>
      </c>
      <c r="Y8278">
        <v>0.21879589999999999</v>
      </c>
      <c r="Z8278">
        <v>-3.9271559999999898E-3</v>
      </c>
      <c r="AA8278">
        <v>0.97576269999999998</v>
      </c>
      <c r="AB8278">
        <v>14</v>
      </c>
      <c r="AC8278">
        <v>-9.1890000000000196</v>
      </c>
      <c r="AD8278">
        <v>0.36334999999999901</v>
      </c>
      <c r="AE8278">
        <v>-90.254962000000006</v>
      </c>
      <c r="AF8278">
        <v>19.875376943956301</v>
      </c>
      <c r="AG8278">
        <v>0.36334999999999901</v>
      </c>
      <c r="AH8278">
        <v>88.516107222726902</v>
      </c>
      <c r="AI8278">
        <v>89.770521459862294</v>
      </c>
      <c r="AJ8278">
        <v>77.344723400197296</v>
      </c>
      <c r="AK8278">
        <v>90.720801747736601</v>
      </c>
      <c r="AL8278">
        <v>89.672953214273505</v>
      </c>
      <c r="AM8278">
        <v>81.603303807548699</v>
      </c>
      <c r="AN8278">
        <v>0.99999996098555499</v>
      </c>
    </row>
    <row r="8279" spans="1:40" x14ac:dyDescent="0.25">
      <c r="A8279" t="str">
        <f>"20190312154122017"</f>
        <v>20190312154122017</v>
      </c>
      <c r="B8279" t="str">
        <f>"1552376482004751"</f>
        <v>1552376482004751</v>
      </c>
      <c r="C8279" t="s">
        <v>40</v>
      </c>
      <c r="D8279">
        <v>4.3090619999999999</v>
      </c>
      <c r="E8279">
        <v>0.53067129999999996</v>
      </c>
      <c r="F8279" t="s">
        <v>93</v>
      </c>
      <c r="G8279">
        <v>-312.72300000000001</v>
      </c>
      <c r="H8279">
        <v>1.3313520000000001</v>
      </c>
      <c r="I8279">
        <v>-91.564989999999995</v>
      </c>
      <c r="J8279">
        <v>-302.8272</v>
      </c>
      <c r="K8279">
        <v>1.0779350000000001</v>
      </c>
      <c r="L8279">
        <v>-1.4561770000000001</v>
      </c>
      <c r="M8279">
        <v>0.1126621</v>
      </c>
      <c r="N8279">
        <v>0</v>
      </c>
      <c r="O8279">
        <v>-0.99362669999999997</v>
      </c>
      <c r="P8279">
        <v>-3.4017190000000003E-2</v>
      </c>
      <c r="Q8279">
        <v>8.4111800000000007E-3</v>
      </c>
      <c r="R8279">
        <v>-0.99938610000000005</v>
      </c>
      <c r="S8279">
        <v>-0.32775880000000002</v>
      </c>
      <c r="T8279">
        <v>8.4261890000000006E-3</v>
      </c>
      <c r="U8279">
        <v>-2.9922789999999999</v>
      </c>
      <c r="V8279">
        <v>0.14641599999999999</v>
      </c>
      <c r="W8279">
        <v>4.0824930000000004E-3</v>
      </c>
      <c r="X8279">
        <v>0.9892147</v>
      </c>
      <c r="Y8279">
        <v>0.22018289999999999</v>
      </c>
      <c r="Z8279">
        <v>-2.7462519999999998E-3</v>
      </c>
      <c r="AA8279">
        <v>0.97545470000000001</v>
      </c>
      <c r="AB8279">
        <v>14</v>
      </c>
      <c r="AC8279">
        <v>-9.8957999999999995</v>
      </c>
      <c r="AD8279">
        <v>0.253417</v>
      </c>
      <c r="AE8279">
        <v>-90.108812999999998</v>
      </c>
      <c r="AF8279">
        <v>19.9845552411117</v>
      </c>
      <c r="AG8279">
        <v>0.253417</v>
      </c>
      <c r="AH8279">
        <v>88.419534894036602</v>
      </c>
      <c r="AI8279">
        <v>89.8398267003288</v>
      </c>
      <c r="AJ8279">
        <v>77.264020311309196</v>
      </c>
      <c r="AK8279">
        <v>90.650211357937295</v>
      </c>
      <c r="AL8279">
        <v>89.766089735486304</v>
      </c>
      <c r="AM8279">
        <v>81.580644257003797</v>
      </c>
      <c r="AN8279">
        <v>1.0000000172505901</v>
      </c>
    </row>
    <row r="8280" spans="1:40" x14ac:dyDescent="0.25">
      <c r="A8280" t="str">
        <f>"20190312154122036"</f>
        <v>20190312154122036</v>
      </c>
      <c r="B8280" t="str">
        <f>"1552376482024272"</f>
        <v>1552376482024272</v>
      </c>
      <c r="C8280" t="s">
        <v>40</v>
      </c>
      <c r="D8280">
        <v>4.2236339999999997</v>
      </c>
      <c r="E8280">
        <v>0.53035750000000004</v>
      </c>
      <c r="F8280" t="s">
        <v>93</v>
      </c>
      <c r="G8280">
        <v>-313.25650000000002</v>
      </c>
      <c r="H8280">
        <v>1.1234459999999999</v>
      </c>
      <c r="I8280">
        <v>-91.564989999999995</v>
      </c>
      <c r="J8280">
        <v>-302.81959999999998</v>
      </c>
      <c r="K8280">
        <v>1.0785819999999999</v>
      </c>
      <c r="L8280">
        <v>-1.57782</v>
      </c>
      <c r="M8280">
        <v>0.10675999999999999</v>
      </c>
      <c r="N8280">
        <v>0</v>
      </c>
      <c r="O8280">
        <v>-0.99427770000000004</v>
      </c>
      <c r="P8280">
        <v>-4.0727039999999999E-2</v>
      </c>
      <c r="Q8280">
        <v>8.0139259999999993E-3</v>
      </c>
      <c r="R8280">
        <v>-0.99913839999999998</v>
      </c>
      <c r="S8280">
        <v>-0.34606930000000002</v>
      </c>
      <c r="T8280">
        <v>1.5106200000000001E-3</v>
      </c>
      <c r="U8280">
        <v>-2.9900509999999998</v>
      </c>
      <c r="V8280">
        <v>0.14718110000000001</v>
      </c>
      <c r="W8280">
        <v>3.6194880000000001E-3</v>
      </c>
      <c r="X8280">
        <v>0.98910299999999995</v>
      </c>
      <c r="Y8280">
        <v>0.22036849999999999</v>
      </c>
      <c r="Z8280">
        <v>-4.9301970000000005E-4</v>
      </c>
      <c r="AA8280">
        <v>0.97541659999999997</v>
      </c>
      <c r="AB8280">
        <v>14</v>
      </c>
      <c r="AC8280">
        <v>-10.4369</v>
      </c>
      <c r="AD8280">
        <v>4.4864000000000001E-2</v>
      </c>
      <c r="AE8280">
        <v>-89.987169999999907</v>
      </c>
      <c r="AF8280">
        <v>19.9843437614484</v>
      </c>
      <c r="AG8280">
        <v>4.4864000000000001E-2</v>
      </c>
      <c r="AH8280">
        <v>88.358596780888504</v>
      </c>
      <c r="AI8280">
        <v>89.971624825396603</v>
      </c>
      <c r="AJ8280">
        <v>77.255653944707504</v>
      </c>
      <c r="AK8280">
        <v>90.590383780188702</v>
      </c>
      <c r="AL8280">
        <v>89.792618173390807</v>
      </c>
      <c r="AM8280">
        <v>81.536342337562004</v>
      </c>
      <c r="AN8280">
        <v>1.0000000607497901</v>
      </c>
    </row>
    <row r="8281" spans="1:40" x14ac:dyDescent="0.25">
      <c r="A8281" t="str">
        <f>"20190312154122058"</f>
        <v>20190312154122058</v>
      </c>
      <c r="B8281" t="str">
        <f>"1552376482044767"</f>
        <v>1552376482044767</v>
      </c>
      <c r="C8281" t="s">
        <v>40</v>
      </c>
      <c r="D8281">
        <v>4.288672</v>
      </c>
      <c r="E8281">
        <v>0.53014169999999905</v>
      </c>
      <c r="F8281" t="s">
        <v>93</v>
      </c>
      <c r="G8281">
        <v>-313.77109999999999</v>
      </c>
      <c r="H8281">
        <v>0.97767470000000001</v>
      </c>
      <c r="I8281">
        <v>-91.564989999999995</v>
      </c>
      <c r="J8281">
        <v>-302.81200000000001</v>
      </c>
      <c r="K8281">
        <v>1.0793349999999999</v>
      </c>
      <c r="L8281">
        <v>-1.703705</v>
      </c>
      <c r="M8281">
        <v>0.10088129999999999</v>
      </c>
      <c r="N8281">
        <v>0</v>
      </c>
      <c r="O8281">
        <v>-0.99489329999999998</v>
      </c>
      <c r="P8281">
        <v>-4.669587E-2</v>
      </c>
      <c r="Q8281">
        <v>6.2047179999999997E-3</v>
      </c>
      <c r="R8281">
        <v>-0.9988901</v>
      </c>
      <c r="S8281">
        <v>-0.36361690000000002</v>
      </c>
      <c r="T8281">
        <v>-3.3498999999999998E-3</v>
      </c>
      <c r="U8281">
        <v>-2.9877929999999999</v>
      </c>
      <c r="V8281">
        <v>0.14724010000000001</v>
      </c>
      <c r="W8281">
        <v>2.334418E-3</v>
      </c>
      <c r="X8281">
        <v>0.98909800000000003</v>
      </c>
      <c r="Y8281">
        <v>0.220336</v>
      </c>
      <c r="Z8281">
        <v>1.0947820000000001E-3</v>
      </c>
      <c r="AA8281">
        <v>0.97542340000000005</v>
      </c>
      <c r="AB8281">
        <v>13</v>
      </c>
      <c r="AC8281">
        <v>-10.9590999999999</v>
      </c>
      <c r="AD8281">
        <v>-0.1016603</v>
      </c>
      <c r="AE8281">
        <v>-89.861284999999995</v>
      </c>
      <c r="AF8281">
        <v>19.9685359202442</v>
      </c>
      <c r="AG8281">
        <v>-0.1016603</v>
      </c>
      <c r="AH8281">
        <v>88.297164837094499</v>
      </c>
      <c r="AI8281">
        <v>90.064342194174998</v>
      </c>
      <c r="AJ8281">
        <v>77.256835241227805</v>
      </c>
      <c r="AK8281">
        <v>90.527024030858996</v>
      </c>
      <c r="AL8281">
        <v>89.866247576166501</v>
      </c>
      <c r="AM8281">
        <v>81.532956527781494</v>
      </c>
      <c r="AN8281">
        <v>0.99999997507970395</v>
      </c>
    </row>
    <row r="8282" spans="1:40" x14ac:dyDescent="0.25">
      <c r="A8282" t="str">
        <f>"20190312154122079"</f>
        <v>20190312154122079</v>
      </c>
      <c r="B8282" t="str">
        <f>"1552376482074047"</f>
        <v>1552376482074047</v>
      </c>
      <c r="C8282" t="s">
        <v>40</v>
      </c>
      <c r="D8282">
        <v>4.2579549999999999</v>
      </c>
      <c r="E8282">
        <v>0.52959259999999997</v>
      </c>
      <c r="F8282" t="s">
        <v>93</v>
      </c>
      <c r="G8282">
        <v>-312.90989999999999</v>
      </c>
      <c r="H8282">
        <v>0.79638149999999996</v>
      </c>
      <c r="I8282">
        <v>-81.035420000000002</v>
      </c>
      <c r="J8282">
        <v>-302.80459999999999</v>
      </c>
      <c r="K8282">
        <v>1.0802639999999999</v>
      </c>
      <c r="L8282">
        <v>-1.8360289999999999</v>
      </c>
      <c r="M8282">
        <v>9.5875509999999997E-2</v>
      </c>
      <c r="N8282">
        <v>0</v>
      </c>
      <c r="O8282">
        <v>-0.99539069999999996</v>
      </c>
      <c r="P8282">
        <v>-5.0615470000000003E-2</v>
      </c>
      <c r="Q8282">
        <v>2.8944729999999998E-3</v>
      </c>
      <c r="R8282">
        <v>-0.99871399999999999</v>
      </c>
      <c r="S8282">
        <v>-0.38003540000000002</v>
      </c>
      <c r="T8282">
        <v>-1.0648370000000001E-2</v>
      </c>
      <c r="U8282">
        <v>-2.9856259999999999</v>
      </c>
      <c r="V8282">
        <v>0.14613570000000001</v>
      </c>
      <c r="W8282">
        <v>-2.350915E-4</v>
      </c>
      <c r="X8282">
        <v>0.98926449999999999</v>
      </c>
      <c r="Y8282">
        <v>0.2207954</v>
      </c>
      <c r="Z8282">
        <v>3.4837620000000001E-3</v>
      </c>
      <c r="AA8282">
        <v>0.97531389999999996</v>
      </c>
      <c r="AB8282">
        <v>13</v>
      </c>
      <c r="AC8282">
        <v>-10.1053</v>
      </c>
      <c r="AD8282">
        <v>-0.28388249999999898</v>
      </c>
      <c r="AE8282">
        <v>-79.199391000000006</v>
      </c>
      <c r="AF8282">
        <v>17.651826744566399</v>
      </c>
      <c r="AG8282">
        <v>-0.28388249999999898</v>
      </c>
      <c r="AH8282">
        <v>77.864706125108299</v>
      </c>
      <c r="AI8282">
        <v>90.2037212721564</v>
      </c>
      <c r="AJ8282">
        <v>77.227012398581806</v>
      </c>
      <c r="AK8282">
        <v>79.840967157490496</v>
      </c>
      <c r="AL8282">
        <v>90.013469751216604</v>
      </c>
      <c r="AM8282">
        <v>81.596948961825206</v>
      </c>
      <c r="AN8282">
        <v>0.99999997452137601</v>
      </c>
    </row>
    <row r="8283" spans="1:40" x14ac:dyDescent="0.25">
      <c r="A8283" t="str">
        <f>"20190312154122102"</f>
        <v>20190312154122102</v>
      </c>
      <c r="B8283" t="str">
        <f>"1552376482094544"</f>
        <v>1552376482094544</v>
      </c>
      <c r="C8283" t="s">
        <v>40</v>
      </c>
      <c r="D8283">
        <v>4.2576939999999999</v>
      </c>
      <c r="E8283">
        <v>0.52921019999999996</v>
      </c>
      <c r="F8283" t="s">
        <v>93</v>
      </c>
      <c r="G8283">
        <v>-313</v>
      </c>
      <c r="H8283">
        <v>0.50036670000000005</v>
      </c>
      <c r="I8283">
        <v>-80.464519999999993</v>
      </c>
      <c r="J8283">
        <v>-302.79790000000003</v>
      </c>
      <c r="K8283">
        <v>1.0815939999999999</v>
      </c>
      <c r="L8283">
        <v>-1.967743</v>
      </c>
      <c r="M8283">
        <v>9.161859E-2</v>
      </c>
      <c r="N8283">
        <v>0</v>
      </c>
      <c r="O8283">
        <v>-0.99579269999999998</v>
      </c>
      <c r="P8283">
        <v>-5.2530599999999997E-2</v>
      </c>
      <c r="Q8283" s="1">
        <v>-6.543443E-6</v>
      </c>
      <c r="R8283">
        <v>-0.99861960000000005</v>
      </c>
      <c r="S8283">
        <v>-0.3869629</v>
      </c>
      <c r="T8283">
        <v>-2.2009250000000001E-2</v>
      </c>
      <c r="U8283">
        <v>-2.9843139999999999</v>
      </c>
      <c r="V8283">
        <v>0.1437891</v>
      </c>
      <c r="W8283">
        <v>-2.5924490000000001E-3</v>
      </c>
      <c r="X8283">
        <v>0.98960490000000001</v>
      </c>
      <c r="Y8283">
        <v>0.21890299999999999</v>
      </c>
      <c r="Z8283">
        <v>7.2085569999999896E-3</v>
      </c>
      <c r="AA8283">
        <v>0.97572000000000003</v>
      </c>
      <c r="AB8283">
        <v>13</v>
      </c>
      <c r="AC8283">
        <v>-10.2020999999999</v>
      </c>
      <c r="AD8283">
        <v>-0.581227299999999</v>
      </c>
      <c r="AE8283">
        <v>-78.496776999999994</v>
      </c>
      <c r="AF8283">
        <v>17.350030739088499</v>
      </c>
      <c r="AG8283">
        <v>-0.581227299999999</v>
      </c>
      <c r="AH8283">
        <v>77.227764964680802</v>
      </c>
      <c r="AI8283">
        <v>90.420721834506494</v>
      </c>
      <c r="AJ8283">
        <v>77.338130739447905</v>
      </c>
      <c r="AK8283">
        <v>79.154842386688898</v>
      </c>
      <c r="AL8283">
        <v>90.148536561285894</v>
      </c>
      <c r="AM8283">
        <v>81.732806601209106</v>
      </c>
      <c r="AN8283">
        <v>0.99999994208731702</v>
      </c>
    </row>
    <row r="8284" spans="1:40" x14ac:dyDescent="0.25">
      <c r="A8284" t="str">
        <f>"20190312154122125"</f>
        <v>20190312154122125</v>
      </c>
      <c r="B8284" t="str">
        <f>"1552376482114064"</f>
        <v>1552376482114064</v>
      </c>
      <c r="C8284" t="s">
        <v>40</v>
      </c>
      <c r="D8284">
        <v>4.2558069999999999</v>
      </c>
      <c r="E8284">
        <v>0.52873689999999995</v>
      </c>
      <c r="F8284" t="s">
        <v>93</v>
      </c>
      <c r="G8284">
        <v>-313.04509999999999</v>
      </c>
      <c r="H8284">
        <v>0.2375622</v>
      </c>
      <c r="I8284">
        <v>-80.464519999999993</v>
      </c>
      <c r="J8284">
        <v>-302.79140000000001</v>
      </c>
      <c r="K8284">
        <v>1.0835779999999999</v>
      </c>
      <c r="L8284">
        <v>-2.1080320000000001</v>
      </c>
      <c r="M8284">
        <v>8.6987140000000004E-2</v>
      </c>
      <c r="N8284">
        <v>0</v>
      </c>
      <c r="O8284">
        <v>-0.99620869999999995</v>
      </c>
      <c r="P8284">
        <v>-5.4779210000000002E-2</v>
      </c>
      <c r="Q8284">
        <v>-1.7646630000000001E-3</v>
      </c>
      <c r="R8284">
        <v>-0.99849710000000003</v>
      </c>
      <c r="S8284">
        <v>-0.3894958</v>
      </c>
      <c r="T8284">
        <v>-3.2081249999999999E-2</v>
      </c>
      <c r="U8284">
        <v>-2.983673</v>
      </c>
      <c r="V8284">
        <v>0.14140929999999999</v>
      </c>
      <c r="W8284">
        <v>-3.7645930000000001E-3</v>
      </c>
      <c r="X8284">
        <v>0.98994400000000005</v>
      </c>
      <c r="Y8284">
        <v>0.21520149999999999</v>
      </c>
      <c r="Z8284">
        <v>1.0519809999999999E-2</v>
      </c>
      <c r="AA8284">
        <v>0.97651299999999996</v>
      </c>
      <c r="AB8284">
        <v>13</v>
      </c>
      <c r="AC8284">
        <v>-10.253699999999901</v>
      </c>
      <c r="AD8284">
        <v>-0.84601579999999998</v>
      </c>
      <c r="AE8284">
        <v>-78.356487999999999</v>
      </c>
      <c r="AF8284">
        <v>17.028892672635799</v>
      </c>
      <c r="AG8284">
        <v>-0.84601579999999998</v>
      </c>
      <c r="AH8284">
        <v>77.158688106540893</v>
      </c>
      <c r="AI8284">
        <v>90.613440322947397</v>
      </c>
      <c r="AJ8284">
        <v>77.554352711907995</v>
      </c>
      <c r="AK8284">
        <v>79.020010622072604</v>
      </c>
      <c r="AL8284">
        <v>90.215695812322707</v>
      </c>
      <c r="AM8284">
        <v>81.870536965027</v>
      </c>
      <c r="AN8284">
        <v>0.99999994271147097</v>
      </c>
    </row>
    <row r="8285" spans="1:40" x14ac:dyDescent="0.25">
      <c r="A8285" t="str">
        <f>"20190312154122146"</f>
        <v>20190312154122146</v>
      </c>
      <c r="B8285" t="str">
        <f>"1552376482134560"</f>
        <v>1552376482134560</v>
      </c>
      <c r="C8285" t="s">
        <v>40</v>
      </c>
      <c r="D8285">
        <v>4.281091</v>
      </c>
      <c r="E8285">
        <v>0.52827809999999997</v>
      </c>
      <c r="F8285" t="s">
        <v>93</v>
      </c>
      <c r="G8285">
        <v>-313.11099999999999</v>
      </c>
      <c r="H8285">
        <v>8.5372920000000005E-2</v>
      </c>
      <c r="I8285">
        <v>-80.464519999999993</v>
      </c>
      <c r="J8285">
        <v>-302.78539999999998</v>
      </c>
      <c r="K8285">
        <v>1.0858749999999999</v>
      </c>
      <c r="L8285">
        <v>-2.2393800000000001</v>
      </c>
      <c r="M8285">
        <v>8.232979E-2</v>
      </c>
      <c r="N8285">
        <v>0</v>
      </c>
      <c r="O8285">
        <v>-0.99660499999999996</v>
      </c>
      <c r="P8285">
        <v>-5.7194990000000001E-2</v>
      </c>
      <c r="Q8285">
        <v>-2.1290129999999999E-3</v>
      </c>
      <c r="R8285">
        <v>-0.99836080000000005</v>
      </c>
      <c r="S8285">
        <v>-0.3928528</v>
      </c>
      <c r="T8285">
        <v>-3.799963E-2</v>
      </c>
      <c r="U8285">
        <v>-2.98291</v>
      </c>
      <c r="V8285">
        <v>0.13918179999999999</v>
      </c>
      <c r="W8285">
        <v>-3.228056E-3</v>
      </c>
      <c r="X8285">
        <v>0.99026159999999996</v>
      </c>
      <c r="Y8285">
        <v>0.21174499999999999</v>
      </c>
      <c r="Z8285">
        <v>1.2474819999999999E-2</v>
      </c>
      <c r="AA8285">
        <v>0.97724529999999998</v>
      </c>
      <c r="AB8285">
        <v>13</v>
      </c>
      <c r="AC8285">
        <v>-10.3256</v>
      </c>
      <c r="AD8285">
        <v>-1.00050208</v>
      </c>
      <c r="AE8285">
        <v>-78.225139999999996</v>
      </c>
      <c r="AF8285">
        <v>16.728116671139599</v>
      </c>
      <c r="AG8285">
        <v>-1.00050208</v>
      </c>
      <c r="AH8285">
        <v>77.097076014098405</v>
      </c>
      <c r="AI8285">
        <v>90.726590835247805</v>
      </c>
      <c r="AJ8285">
        <v>77.758019532439306</v>
      </c>
      <c r="AK8285">
        <v>78.8973384956616</v>
      </c>
      <c r="AL8285">
        <v>90.1849543032517</v>
      </c>
      <c r="AM8285">
        <v>81.999454847518393</v>
      </c>
      <c r="AN8285">
        <v>1.0000000151156601</v>
      </c>
    </row>
    <row r="8286" spans="1:40" x14ac:dyDescent="0.25">
      <c r="A8286" t="str">
        <f>"20190312154122181"</f>
        <v>20190312154122181</v>
      </c>
      <c r="B8286" t="str">
        <f>"1552376482174575"</f>
        <v>1552376482174575</v>
      </c>
      <c r="C8286" t="s">
        <v>40</v>
      </c>
      <c r="D8286">
        <v>4.3350839999999904</v>
      </c>
      <c r="E8286">
        <v>0.52723350000000002</v>
      </c>
      <c r="F8286" t="s">
        <v>93</v>
      </c>
      <c r="G8286">
        <v>-313.17840000000001</v>
      </c>
      <c r="H8286">
        <v>5.8320049999999998E-2</v>
      </c>
      <c r="I8286">
        <v>-80.464519999999993</v>
      </c>
      <c r="J8286">
        <v>-302.7765</v>
      </c>
      <c r="K8286">
        <v>1.0897589999999999</v>
      </c>
      <c r="L8286">
        <v>-2.442841</v>
      </c>
      <c r="M8286">
        <v>7.4968179999999995E-2</v>
      </c>
      <c r="N8286">
        <v>0</v>
      </c>
      <c r="O8286">
        <v>-0.99718479999999998</v>
      </c>
      <c r="P8286">
        <v>-6.2056269999999997E-2</v>
      </c>
      <c r="Q8286">
        <v>-4.6297179999999997E-3</v>
      </c>
      <c r="R8286">
        <v>-0.998062</v>
      </c>
      <c r="S8286">
        <v>-0.3962097</v>
      </c>
      <c r="T8286">
        <v>-3.9172650000000003E-2</v>
      </c>
      <c r="U8286">
        <v>-2.9821469999999999</v>
      </c>
      <c r="V8286">
        <v>0.13669239999999999</v>
      </c>
      <c r="W8286">
        <v>-3.6228889999999998E-3</v>
      </c>
      <c r="X8286">
        <v>0.99060689999999996</v>
      </c>
      <c r="Y8286">
        <v>0.20563680000000001</v>
      </c>
      <c r="Z8286">
        <v>1.288211E-2</v>
      </c>
      <c r="AA8286">
        <v>0.97854359999999996</v>
      </c>
      <c r="AB8286">
        <v>13</v>
      </c>
      <c r="AC8286">
        <v>-10.401899999999999</v>
      </c>
      <c r="AD8286">
        <v>-1.0314389500000001</v>
      </c>
      <c r="AE8286">
        <v>-78.021678999999907</v>
      </c>
      <c r="AF8286">
        <v>16.218993045183598</v>
      </c>
      <c r="AG8286">
        <v>-1.0314389500000001</v>
      </c>
      <c r="AH8286">
        <v>77.009083863463701</v>
      </c>
      <c r="AI8286">
        <v>90.750887390366501</v>
      </c>
      <c r="AJ8286">
        <v>78.106672487592704</v>
      </c>
      <c r="AK8286">
        <v>78.705264113636503</v>
      </c>
      <c r="AL8286">
        <v>90.207576706766005</v>
      </c>
      <c r="AM8286">
        <v>82.143453404576803</v>
      </c>
      <c r="AN8286">
        <v>0.99999998393503797</v>
      </c>
    </row>
    <row r="8287" spans="1:40" x14ac:dyDescent="0.25">
      <c r="A8287" t="str">
        <f>"20190312154122205"</f>
        <v>20190312154122205</v>
      </c>
      <c r="B8287" t="str">
        <f>"1552376482194096"</f>
        <v>1552376482194096</v>
      </c>
      <c r="C8287" t="s">
        <v>40</v>
      </c>
      <c r="D8287">
        <v>4.3149959999999998</v>
      </c>
      <c r="E8287">
        <v>0.52689469999999905</v>
      </c>
      <c r="F8287" t="s">
        <v>69</v>
      </c>
      <c r="G8287">
        <v>-311.37529999999998</v>
      </c>
      <c r="H8287">
        <v>7.9987909999999995E-2</v>
      </c>
      <c r="I8287">
        <v>-66.16198</v>
      </c>
      <c r="J8287">
        <v>-302.7704</v>
      </c>
      <c r="K8287">
        <v>1.0924259999999999</v>
      </c>
      <c r="L8287">
        <v>-2.5957949999999999</v>
      </c>
      <c r="M8287">
        <v>7.0113099999999998E-2</v>
      </c>
      <c r="N8287">
        <v>0</v>
      </c>
      <c r="O8287">
        <v>-0.99753429999999998</v>
      </c>
      <c r="P8287">
        <v>-6.5294329999999998E-2</v>
      </c>
      <c r="Q8287">
        <v>-6.7469729999999999E-3</v>
      </c>
      <c r="R8287">
        <v>-0.99784320000000004</v>
      </c>
      <c r="S8287">
        <v>-0.40222170000000002</v>
      </c>
      <c r="T8287">
        <v>-4.7234060000000001E-2</v>
      </c>
      <c r="U8287">
        <v>-2.980591</v>
      </c>
      <c r="V8287">
        <v>0.13508339999999999</v>
      </c>
      <c r="W8287">
        <v>-4.1228380000000002E-3</v>
      </c>
      <c r="X8287">
        <v>0.99082570000000003</v>
      </c>
      <c r="Y8287">
        <v>0.20287289999999999</v>
      </c>
      <c r="Z8287">
        <v>1.555142E-2</v>
      </c>
      <c r="AA8287">
        <v>0.9790816</v>
      </c>
      <c r="AB8287">
        <v>13</v>
      </c>
      <c r="AC8287">
        <v>-8.6048999999999793</v>
      </c>
      <c r="AD8287">
        <v>-1.0124380900000001</v>
      </c>
      <c r="AE8287">
        <v>-63.566184999999997</v>
      </c>
      <c r="AF8287">
        <v>13.037319173638201</v>
      </c>
      <c r="AG8287">
        <v>-1.0124380900000001</v>
      </c>
      <c r="AH8287">
        <v>62.790789071736903</v>
      </c>
      <c r="AI8287">
        <v>90.904469440349104</v>
      </c>
      <c r="AJ8287">
        <v>78.270279058774605</v>
      </c>
      <c r="AK8287">
        <v>64.137975602389901</v>
      </c>
      <c r="AL8287">
        <v>90.236221875535307</v>
      </c>
      <c r="AM8287">
        <v>82.236491432834995</v>
      </c>
      <c r="AN8287">
        <v>1.0000000452646101</v>
      </c>
    </row>
    <row r="8288" spans="1:40" x14ac:dyDescent="0.25">
      <c r="A8288" t="str">
        <f>"20190312154122226"</f>
        <v>20190312154122226</v>
      </c>
      <c r="B8288" t="str">
        <f>"1552376482214592"</f>
        <v>1552376482214592</v>
      </c>
      <c r="C8288" t="s">
        <v>40</v>
      </c>
      <c r="D8288">
        <v>4.3165509999999996</v>
      </c>
      <c r="E8288">
        <v>0.51346020000000003</v>
      </c>
      <c r="F8288" t="s">
        <v>69</v>
      </c>
      <c r="G8288">
        <v>-310.39789999999999</v>
      </c>
      <c r="H8288">
        <v>7.9987119999999995E-2</v>
      </c>
      <c r="I8288">
        <v>-58.099870000000003</v>
      </c>
      <c r="J8288">
        <v>-302.76600000000002</v>
      </c>
      <c r="K8288">
        <v>1.0942829999999999</v>
      </c>
      <c r="L8288">
        <v>-2.7163089999999999</v>
      </c>
      <c r="M8288">
        <v>6.6785250000000004E-2</v>
      </c>
      <c r="N8288">
        <v>0</v>
      </c>
      <c r="O8288">
        <v>-0.99775899999999995</v>
      </c>
      <c r="P8288">
        <v>-6.6552379999999994E-2</v>
      </c>
      <c r="Q8288">
        <v>-8.5581189999999994E-3</v>
      </c>
      <c r="R8288">
        <v>-0.99774640000000003</v>
      </c>
      <c r="S8288">
        <v>-0.4094238</v>
      </c>
      <c r="T8288">
        <v>-5.4345009999999999E-2</v>
      </c>
      <c r="U8288">
        <v>-2.9793090000000002</v>
      </c>
      <c r="V8288">
        <v>0.13302459999999999</v>
      </c>
      <c r="W8288">
        <v>-4.8701650000000001E-3</v>
      </c>
      <c r="X8288">
        <v>0.9911008</v>
      </c>
      <c r="Y8288">
        <v>0.20198089999999999</v>
      </c>
      <c r="Z8288">
        <v>1.7904550000000002E-2</v>
      </c>
      <c r="AA8288">
        <v>0.97922580000000004</v>
      </c>
      <c r="AB8288">
        <v>13</v>
      </c>
      <c r="AC8288">
        <v>-7.6319000000000301</v>
      </c>
      <c r="AD8288">
        <v>-1.0142958799999999</v>
      </c>
      <c r="AE8288">
        <v>-55.383560999999901</v>
      </c>
      <c r="AF8288">
        <v>11.3099736823638</v>
      </c>
      <c r="AG8288">
        <v>-1.0142958799999999</v>
      </c>
      <c r="AH8288">
        <v>54.732190209596602</v>
      </c>
      <c r="AI8288">
        <v>91.039721219074707</v>
      </c>
      <c r="AJ8288">
        <v>78.324613130047098</v>
      </c>
      <c r="AK8288">
        <v>55.897736501287802</v>
      </c>
      <c r="AL8288">
        <v>90.279040994954102</v>
      </c>
      <c r="AM8288">
        <v>82.355501471612001</v>
      </c>
      <c r="AN8288">
        <v>1.0000000292364599</v>
      </c>
    </row>
    <row r="8289" spans="1:40" x14ac:dyDescent="0.25">
      <c r="A8289" t="str">
        <f>"20190312154122247"</f>
        <v>20190312154122247</v>
      </c>
      <c r="B8289" t="str">
        <f>"1552376482244848"</f>
        <v>1552376482244848</v>
      </c>
      <c r="C8289" t="s">
        <v>40</v>
      </c>
      <c r="D8289">
        <v>4.3319010000000002</v>
      </c>
      <c r="E8289">
        <v>0.51263029999999998</v>
      </c>
      <c r="F8289" t="s">
        <v>42</v>
      </c>
      <c r="G8289">
        <v>-306.47919999999999</v>
      </c>
      <c r="H8289" s="1">
        <v>-2.344777E-6</v>
      </c>
      <c r="I8289">
        <v>-38.963749999999997</v>
      </c>
      <c r="J8289">
        <v>-302.76170000000002</v>
      </c>
      <c r="K8289">
        <v>1.096158</v>
      </c>
      <c r="L8289">
        <v>-2.8482970000000001</v>
      </c>
      <c r="M8289">
        <v>6.3501340000000003E-2</v>
      </c>
      <c r="N8289">
        <v>0</v>
      </c>
      <c r="O8289">
        <v>-0.99796859999999998</v>
      </c>
      <c r="P8289">
        <v>-6.7574399999999896E-2</v>
      </c>
      <c r="Q8289">
        <v>-9.8912429999999992E-3</v>
      </c>
      <c r="R8289">
        <v>-0.99766529999999998</v>
      </c>
      <c r="S8289">
        <v>-0.30584719999999999</v>
      </c>
      <c r="T8289">
        <v>-9.0133069999999996E-2</v>
      </c>
      <c r="U8289">
        <v>-2.9855960000000001</v>
      </c>
      <c r="V8289">
        <v>0.130777</v>
      </c>
      <c r="W8289">
        <v>-5.2008949999999997E-3</v>
      </c>
      <c r="X8289">
        <v>0.99139820000000001</v>
      </c>
      <c r="Y8289">
        <v>0.164828</v>
      </c>
      <c r="Z8289">
        <v>2.9799829999999999E-2</v>
      </c>
      <c r="AA8289">
        <v>0.98587199999999997</v>
      </c>
      <c r="AB8289">
        <v>13</v>
      </c>
      <c r="AC8289">
        <v>-3.7174999999999701</v>
      </c>
      <c r="AD8289">
        <v>-1.0961603447770001</v>
      </c>
      <c r="AE8289">
        <v>-36.115453000000002</v>
      </c>
      <c r="AF8289">
        <v>5.99793926067938</v>
      </c>
      <c r="AG8289">
        <v>-1.0961603447770001</v>
      </c>
      <c r="AH8289">
        <v>35.7738818578161</v>
      </c>
      <c r="AI8289">
        <v>91.730926220029602</v>
      </c>
      <c r="AJ8289">
        <v>80.482170571633603</v>
      </c>
      <c r="AK8289">
        <v>36.289770818417203</v>
      </c>
      <c r="AL8289">
        <v>90.297990667072</v>
      </c>
      <c r="AM8289">
        <v>82.485403553175203</v>
      </c>
      <c r="AN8289">
        <v>1.00000003200052</v>
      </c>
    </row>
    <row r="8290" spans="1:40" x14ac:dyDescent="0.25">
      <c r="A8290" t="str">
        <f>"20190312154122269"</f>
        <v>20190312154122269</v>
      </c>
      <c r="B8290" t="str">
        <f>"1552376482264368"</f>
        <v>1552376482264368</v>
      </c>
      <c r="C8290" t="s">
        <v>40</v>
      </c>
      <c r="D8290">
        <v>4.3123550000000002</v>
      </c>
      <c r="E8290">
        <v>0.51232949999999999</v>
      </c>
      <c r="F8290" t="s">
        <v>42</v>
      </c>
      <c r="G8290">
        <v>-306.21260000000001</v>
      </c>
      <c r="H8290" s="1">
        <v>-3.1479700000000002E-6</v>
      </c>
      <c r="I8290">
        <v>-36.926090000000002</v>
      </c>
      <c r="J8290">
        <v>-302.7577</v>
      </c>
      <c r="K8290">
        <v>1.097915</v>
      </c>
      <c r="L8290">
        <v>-2.976318</v>
      </c>
      <c r="M8290">
        <v>6.0493739999999997E-2</v>
      </c>
      <c r="N8290">
        <v>0</v>
      </c>
      <c r="O8290">
        <v>-0.99815050000000005</v>
      </c>
      <c r="P8290">
        <v>-6.8200540000000004E-2</v>
      </c>
      <c r="Q8290">
        <v>-1.1403750000000001E-2</v>
      </c>
      <c r="R8290">
        <v>-0.9976064</v>
      </c>
      <c r="S8290">
        <v>-0.30233759999999998</v>
      </c>
      <c r="T8290">
        <v>-9.6035960000000004E-2</v>
      </c>
      <c r="U8290">
        <v>-2.9855960000000001</v>
      </c>
      <c r="V8290">
        <v>0.12841079999999999</v>
      </c>
      <c r="W8290">
        <v>-5.7899350000000004E-3</v>
      </c>
      <c r="X8290">
        <v>0.99170420000000004</v>
      </c>
      <c r="Y8290">
        <v>0.1607015</v>
      </c>
      <c r="Z8290">
        <v>3.1771299999999898E-2</v>
      </c>
      <c r="AA8290">
        <v>0.98649160000000002</v>
      </c>
      <c r="AB8290">
        <v>13</v>
      </c>
      <c r="AC8290">
        <v>-3.4548999999999999</v>
      </c>
      <c r="AD8290">
        <v>-1.09791814797</v>
      </c>
      <c r="AE8290">
        <v>-33.949771999999903</v>
      </c>
      <c r="AF8290">
        <v>5.4966684001099004</v>
      </c>
      <c r="AG8290">
        <v>-1.09791814797</v>
      </c>
      <c r="AH8290">
        <v>33.643764340028603</v>
      </c>
      <c r="AI8290">
        <v>91.844665894688703</v>
      </c>
      <c r="AJ8290">
        <v>80.721080117442995</v>
      </c>
      <c r="AK8290">
        <v>34.1075016195527</v>
      </c>
      <c r="AL8290">
        <v>90.331740679876802</v>
      </c>
      <c r="AM8290">
        <v>82.622107761659905</v>
      </c>
      <c r="AN8290">
        <v>1.0000000386007899</v>
      </c>
    </row>
    <row r="8291" spans="1:40" x14ac:dyDescent="0.25">
      <c r="A8291" t="str">
        <f>"20190312154122291"</f>
        <v>20190312154122291</v>
      </c>
      <c r="B8291" t="str">
        <f>"1552376482284864"</f>
        <v>1552376482284864</v>
      </c>
      <c r="C8291" t="s">
        <v>40</v>
      </c>
      <c r="D8291">
        <v>4.288386</v>
      </c>
      <c r="E8291">
        <v>0.51206189999999996</v>
      </c>
      <c r="F8291" t="s">
        <v>42</v>
      </c>
      <c r="G8291">
        <v>-306.04340000000002</v>
      </c>
      <c r="H8291" s="1">
        <v>-3.6355129999999999E-6</v>
      </c>
      <c r="I8291">
        <v>-35.480200000000004</v>
      </c>
      <c r="J8291">
        <v>-302.75349999999997</v>
      </c>
      <c r="K8291">
        <v>1.099682</v>
      </c>
      <c r="L8291">
        <v>-3.1097410000000001</v>
      </c>
      <c r="M8291">
        <v>5.7480799999999999E-2</v>
      </c>
      <c r="N8291">
        <v>0</v>
      </c>
      <c r="O8291">
        <v>-0.99832299999999996</v>
      </c>
      <c r="P8291">
        <v>-6.8932939999999998E-2</v>
      </c>
      <c r="Q8291">
        <v>-1.25354E-2</v>
      </c>
      <c r="R8291">
        <v>-0.9975427</v>
      </c>
      <c r="S8291">
        <v>-0.30178829999999901</v>
      </c>
      <c r="T8291">
        <v>-0.1008415</v>
      </c>
      <c r="U8291">
        <v>-2.9854129999999999</v>
      </c>
      <c r="V8291">
        <v>0.126147699999999</v>
      </c>
      <c r="W8291">
        <v>-5.971896E-3</v>
      </c>
      <c r="X8291">
        <v>0.99199349999999997</v>
      </c>
      <c r="Y8291">
        <v>0.15754319999999999</v>
      </c>
      <c r="Z8291">
        <v>3.3379260000000001E-2</v>
      </c>
      <c r="AA8291">
        <v>0.98694780000000004</v>
      </c>
      <c r="AB8291">
        <v>13</v>
      </c>
      <c r="AC8291">
        <v>-3.2899000000000398</v>
      </c>
      <c r="AD8291">
        <v>-1.099685635513</v>
      </c>
      <c r="AE8291">
        <v>-32.370458999999997</v>
      </c>
      <c r="AF8291">
        <v>5.13931341677928</v>
      </c>
      <c r="AG8291">
        <v>-1.099685635513</v>
      </c>
      <c r="AH8291">
        <v>32.091167575083396</v>
      </c>
      <c r="AI8291">
        <v>91.937943081564597</v>
      </c>
      <c r="AJ8291">
        <v>80.901495001017594</v>
      </c>
      <c r="AK8291">
        <v>32.518685201356597</v>
      </c>
      <c r="AL8291">
        <v>90.342166468646397</v>
      </c>
      <c r="AM8291">
        <v>82.752831281239395</v>
      </c>
      <c r="AN8291">
        <v>1.00000000489968</v>
      </c>
    </row>
    <row r="8292" spans="1:40" x14ac:dyDescent="0.25">
      <c r="A8292" t="str">
        <f>"20190312154122314"</f>
        <v>20190312154122314</v>
      </c>
      <c r="B8292" t="str">
        <f>"1552376482304384"</f>
        <v>1552376482304384</v>
      </c>
      <c r="C8292" t="s">
        <v>40</v>
      </c>
      <c r="D8292">
        <v>4.3198499999999997</v>
      </c>
      <c r="E8292">
        <v>0.51168829999999998</v>
      </c>
      <c r="F8292" t="s">
        <v>42</v>
      </c>
      <c r="G8292">
        <v>-305.93209999999999</v>
      </c>
      <c r="H8292" s="1">
        <v>-3.9393050000000001E-6</v>
      </c>
      <c r="I8292">
        <v>-34.529499999999999</v>
      </c>
      <c r="J8292">
        <v>-302.74930000000001</v>
      </c>
      <c r="K8292">
        <v>1.10131</v>
      </c>
      <c r="L8292">
        <v>-3.24234</v>
      </c>
      <c r="M8292">
        <v>5.4685440000000002E-2</v>
      </c>
      <c r="N8292">
        <v>0</v>
      </c>
      <c r="O8292">
        <v>-0.99847410000000003</v>
      </c>
      <c r="P8292">
        <v>-6.9676779999999994E-2</v>
      </c>
      <c r="Q8292">
        <v>-1.3640869999999999E-2</v>
      </c>
      <c r="R8292">
        <v>-0.99747660000000005</v>
      </c>
      <c r="S8292">
        <v>-0.30200199999999999</v>
      </c>
      <c r="T8292">
        <v>-0.1044815</v>
      </c>
      <c r="U8292">
        <v>-2.9851990000000002</v>
      </c>
      <c r="V8292">
        <v>0.1241128</v>
      </c>
      <c r="W8292">
        <v>-6.1870939999999998E-3</v>
      </c>
      <c r="X8292">
        <v>0.99224880000000004</v>
      </c>
      <c r="Y8292">
        <v>0.15485079999999901</v>
      </c>
      <c r="Z8292">
        <v>3.4600659999999998E-2</v>
      </c>
      <c r="AA8292">
        <v>0.98733170000000003</v>
      </c>
      <c r="AB8292">
        <v>13</v>
      </c>
      <c r="AC8292">
        <v>-3.1827999999999799</v>
      </c>
      <c r="AD8292">
        <v>-1.101313939305</v>
      </c>
      <c r="AE8292">
        <v>-31.287159999999901</v>
      </c>
      <c r="AF8292">
        <v>4.88305125374825</v>
      </c>
      <c r="AG8292">
        <v>-1.101313939305</v>
      </c>
      <c r="AH8292">
        <v>31.028230330187</v>
      </c>
      <c r="AI8292">
        <v>92.008104824883404</v>
      </c>
      <c r="AJ8292">
        <v>81.056459811249795</v>
      </c>
      <c r="AK8292">
        <v>31.429415510995</v>
      </c>
      <c r="AL8292">
        <v>90.354496644525199</v>
      </c>
      <c r="AM8292">
        <v>82.8703386446428</v>
      </c>
      <c r="AN8292">
        <v>0.999999974178722</v>
      </c>
    </row>
    <row r="8293" spans="1:40" x14ac:dyDescent="0.25">
      <c r="A8293" t="str">
        <f>"20190312154122337"</f>
        <v>20190312154122337</v>
      </c>
      <c r="B8293" t="str">
        <f>"1552376482324880"</f>
        <v>1552376482324880</v>
      </c>
      <c r="C8293" t="s">
        <v>40</v>
      </c>
      <c r="D8293">
        <v>4.2816489999999998</v>
      </c>
      <c r="E8293">
        <v>0.51126559999999999</v>
      </c>
      <c r="F8293" t="s">
        <v>42</v>
      </c>
      <c r="G8293">
        <v>-305.84609999999998</v>
      </c>
      <c r="H8293" s="1">
        <v>-4.1226019999999998E-6</v>
      </c>
      <c r="I8293">
        <v>-33.946040000000004</v>
      </c>
      <c r="J8293">
        <v>-302.74509999999998</v>
      </c>
      <c r="K8293">
        <v>1.1027340000000001</v>
      </c>
      <c r="L8293">
        <v>-3.3723450000000001</v>
      </c>
      <c r="M8293">
        <v>5.2271400000000003E-2</v>
      </c>
      <c r="N8293">
        <v>0</v>
      </c>
      <c r="O8293">
        <v>-0.99859770000000003</v>
      </c>
      <c r="P8293">
        <v>-6.8357039999999994E-2</v>
      </c>
      <c r="Q8293">
        <v>-1.48935E-2</v>
      </c>
      <c r="R8293">
        <v>-0.99755000000000005</v>
      </c>
      <c r="S8293">
        <v>-0.30108639999999998</v>
      </c>
      <c r="T8293">
        <v>-0.10707319999999999</v>
      </c>
      <c r="U8293">
        <v>-2.9851070000000002</v>
      </c>
      <c r="V8293">
        <v>0.12040289999999999</v>
      </c>
      <c r="W8293">
        <v>-6.6654260000000003E-3</v>
      </c>
      <c r="X8293">
        <v>0.99270270000000005</v>
      </c>
      <c r="Y8293">
        <v>0.1521624</v>
      </c>
      <c r="Z8293">
        <v>3.5473900000000003E-2</v>
      </c>
      <c r="AA8293">
        <v>0.98771869999999995</v>
      </c>
      <c r="AB8293">
        <v>13</v>
      </c>
      <c r="AC8293">
        <v>-3.1009999999999902</v>
      </c>
      <c r="AD8293">
        <v>-1.1027381226019899</v>
      </c>
      <c r="AE8293">
        <v>-30.573695000000001</v>
      </c>
      <c r="AF8293">
        <v>4.6889086608410402</v>
      </c>
      <c r="AG8293">
        <v>-1.1027381226019899</v>
      </c>
      <c r="AH8293">
        <v>30.330740005342999</v>
      </c>
      <c r="AI8293">
        <v>92.057769359005405</v>
      </c>
      <c r="AJ8293">
        <v>81.212061779536597</v>
      </c>
      <c r="AK8293">
        <v>30.7108398626359</v>
      </c>
      <c r="AL8293">
        <v>90.381903618419699</v>
      </c>
      <c r="AM8293">
        <v>83.084489762661406</v>
      </c>
      <c r="AN8293">
        <v>0.99999996840973004</v>
      </c>
    </row>
    <row r="8294" spans="1:40" x14ac:dyDescent="0.25">
      <c r="A8294" t="str">
        <f>"20190312154122359"</f>
        <v>20190312154122359</v>
      </c>
      <c r="B8294" t="str">
        <f>"1552376482354159"</f>
        <v>1552376482354159</v>
      </c>
      <c r="C8294" t="s">
        <v>40</v>
      </c>
      <c r="D8294">
        <v>4.26776</v>
      </c>
      <c r="E8294">
        <v>0.5106463</v>
      </c>
      <c r="F8294" t="s">
        <v>42</v>
      </c>
      <c r="G8294">
        <v>-305.7527</v>
      </c>
      <c r="H8294" s="1">
        <v>-4.1067949999999999E-6</v>
      </c>
      <c r="I8294">
        <v>-33.943809999999999</v>
      </c>
      <c r="J8294">
        <v>-302.74059999999997</v>
      </c>
      <c r="K8294">
        <v>1.103961</v>
      </c>
      <c r="L8294">
        <v>-3.5046080000000002</v>
      </c>
      <c r="M8294">
        <v>5.0243049999999997E-2</v>
      </c>
      <c r="N8294">
        <v>0</v>
      </c>
      <c r="O8294">
        <v>-0.99869660000000005</v>
      </c>
      <c r="P8294">
        <v>-6.6739919999999994E-2</v>
      </c>
      <c r="Q8294">
        <v>-1.5398179999999999E-2</v>
      </c>
      <c r="R8294">
        <v>-0.99765179999999998</v>
      </c>
      <c r="S8294">
        <v>-0.29373169999999998</v>
      </c>
      <c r="T8294">
        <v>-0.107694</v>
      </c>
      <c r="U8294">
        <v>-2.9856259999999999</v>
      </c>
      <c r="V8294">
        <v>0.11677999999999999</v>
      </c>
      <c r="W8294">
        <v>-6.5011519999999996E-3</v>
      </c>
      <c r="X8294">
        <v>0.99313649999999998</v>
      </c>
      <c r="Y8294">
        <v>0.14772660000000001</v>
      </c>
      <c r="Z8294">
        <v>3.5695230000000001E-2</v>
      </c>
      <c r="AA8294">
        <v>0.98838389999999998</v>
      </c>
      <c r="AB8294">
        <v>13</v>
      </c>
      <c r="AC8294">
        <v>-3.01210000000003</v>
      </c>
      <c r="AD8294">
        <v>-1.103965106795</v>
      </c>
      <c r="AE8294">
        <v>-30.439202000000002</v>
      </c>
      <c r="AF8294">
        <v>4.5318124069297303</v>
      </c>
      <c r="AG8294">
        <v>-1.103965106795</v>
      </c>
      <c r="AH8294">
        <v>30.210059873222999</v>
      </c>
      <c r="AI8294">
        <v>92.069689226919095</v>
      </c>
      <c r="AJ8294">
        <v>81.468671582644404</v>
      </c>
      <c r="AK8294">
        <v>30.568018911803001</v>
      </c>
      <c r="AL8294">
        <v>90.372491206479907</v>
      </c>
      <c r="AM8294">
        <v>83.293554033499305</v>
      </c>
      <c r="AN8294">
        <v>0.99999997050478795</v>
      </c>
    </row>
    <row r="8295" spans="1:40" x14ac:dyDescent="0.25">
      <c r="A8295" t="str">
        <f>"20190312154122381"</f>
        <v>20190312154122381</v>
      </c>
      <c r="B8295" t="str">
        <f>"1552376482374672"</f>
        <v>1552376482374672</v>
      </c>
      <c r="C8295" t="s">
        <v>40</v>
      </c>
      <c r="D8295">
        <v>4.2993160000000001</v>
      </c>
      <c r="E8295">
        <v>0.51027259999999997</v>
      </c>
      <c r="F8295" t="s">
        <v>42</v>
      </c>
      <c r="G8295">
        <v>-305.64280000000002</v>
      </c>
      <c r="H8295" s="1">
        <v>-4.0690600000000003E-6</v>
      </c>
      <c r="I8295">
        <v>-33.997409999999903</v>
      </c>
      <c r="J8295">
        <v>-302.73610000000002</v>
      </c>
      <c r="K8295">
        <v>1.104976</v>
      </c>
      <c r="L8295">
        <v>-3.6338810000000001</v>
      </c>
      <c r="M8295">
        <v>4.8644050000000001E-2</v>
      </c>
      <c r="N8295">
        <v>0</v>
      </c>
      <c r="O8295">
        <v>-0.99877079999999996</v>
      </c>
      <c r="P8295">
        <v>-6.44623E-2</v>
      </c>
      <c r="Q8295">
        <v>-1.5941730000000001E-2</v>
      </c>
      <c r="R8295">
        <v>-0.99779289999999998</v>
      </c>
      <c r="S8295">
        <v>-0.28424070000000001</v>
      </c>
      <c r="T8295">
        <v>-0.1081196</v>
      </c>
      <c r="U8295">
        <v>-2.986389</v>
      </c>
      <c r="V8295">
        <v>0.11292430000000001</v>
      </c>
      <c r="W8295">
        <v>-6.4793730000000001E-3</v>
      </c>
      <c r="X8295">
        <v>0.99358250000000004</v>
      </c>
      <c r="Y8295">
        <v>0.14300460000000001</v>
      </c>
      <c r="Z8295">
        <v>3.5849279999999997E-2</v>
      </c>
      <c r="AA8295">
        <v>0.98907259999999997</v>
      </c>
      <c r="AB8295">
        <v>13</v>
      </c>
      <c r="AC8295">
        <v>-2.9066999999999998</v>
      </c>
      <c r="AD8295">
        <v>-1.10498006906</v>
      </c>
      <c r="AE8295">
        <v>-30.363529</v>
      </c>
      <c r="AF8295">
        <v>4.3745897416277897</v>
      </c>
      <c r="AG8295">
        <v>-1.10498006906</v>
      </c>
      <c r="AH8295">
        <v>30.146618375815802</v>
      </c>
      <c r="AI8295">
        <v>92.077414223860501</v>
      </c>
      <c r="AJ8295">
        <v>81.743414149402</v>
      </c>
      <c r="AK8295">
        <v>30.482398459728401</v>
      </c>
      <c r="AL8295">
        <v>90.371243312527795</v>
      </c>
      <c r="AM8295">
        <v>83.515947230500103</v>
      </c>
      <c r="AN8295">
        <v>1.0000000320556</v>
      </c>
    </row>
    <row r="8296" spans="1:40" x14ac:dyDescent="0.25">
      <c r="A8296" t="str">
        <f>"20190312154122403"</f>
        <v>20190312154122403</v>
      </c>
      <c r="B8296" t="str">
        <f>"1552376482394176"</f>
        <v>1552376482394176</v>
      </c>
      <c r="C8296" t="s">
        <v>40</v>
      </c>
      <c r="D8296">
        <v>4.2924920000000002</v>
      </c>
      <c r="E8296">
        <v>0.5100074</v>
      </c>
      <c r="F8296" t="s">
        <v>42</v>
      </c>
      <c r="G8296">
        <v>-305.47809999999998</v>
      </c>
      <c r="H8296" s="1">
        <v>-4.2140980000000004E-6</v>
      </c>
      <c r="I8296">
        <v>-33.485320000000002</v>
      </c>
      <c r="J8296">
        <v>-302.7312</v>
      </c>
      <c r="K8296">
        <v>1.105869</v>
      </c>
      <c r="L8296">
        <v>-3.7682190000000002</v>
      </c>
      <c r="M8296">
        <v>4.7252959999999997E-2</v>
      </c>
      <c r="N8296">
        <v>0</v>
      </c>
      <c r="O8296">
        <v>-0.99883279999999997</v>
      </c>
      <c r="P8296">
        <v>-6.1593799999999997E-2</v>
      </c>
      <c r="Q8296">
        <v>-1.7901859999999999E-2</v>
      </c>
      <c r="R8296">
        <v>-0.99794090000000002</v>
      </c>
      <c r="S8296">
        <v>-0.2743835</v>
      </c>
      <c r="T8296">
        <v>-0.1105723</v>
      </c>
      <c r="U8296">
        <v>-2.987152</v>
      </c>
      <c r="V8296">
        <v>0.10868410000000001</v>
      </c>
      <c r="W8296">
        <v>-7.9237539999999999E-3</v>
      </c>
      <c r="X8296">
        <v>0.99404479999999995</v>
      </c>
      <c r="Y8296">
        <v>0.13836279999999901</v>
      </c>
      <c r="Z8296">
        <v>3.6673589999999999E-2</v>
      </c>
      <c r="AA8296">
        <v>0.98970230000000003</v>
      </c>
      <c r="AB8296">
        <v>13</v>
      </c>
      <c r="AC8296">
        <v>-2.7468999999999801</v>
      </c>
      <c r="AD8296">
        <v>-1.1058732140979901</v>
      </c>
      <c r="AE8296">
        <v>-29.717101</v>
      </c>
      <c r="AF8296">
        <v>4.1424346339017202</v>
      </c>
      <c r="AG8296">
        <v>-1.1058732140979901</v>
      </c>
      <c r="AH8296">
        <v>29.513571524778499</v>
      </c>
      <c r="AI8296">
        <v>92.125057933333494</v>
      </c>
      <c r="AJ8296">
        <v>82.010332483152695</v>
      </c>
      <c r="AK8296">
        <v>29.823373793218401</v>
      </c>
      <c r="AL8296">
        <v>90.454002393967002</v>
      </c>
      <c r="AM8296">
        <v>83.760338337458705</v>
      </c>
      <c r="AN8296">
        <v>1.0000000419386501</v>
      </c>
    </row>
    <row r="8297" spans="1:40" x14ac:dyDescent="0.25">
      <c r="A8297" t="str">
        <f>"20190312154122426"</f>
        <v>20190312154122426</v>
      </c>
      <c r="B8297" t="str">
        <f>"1552376482414672"</f>
        <v>1552376482414672</v>
      </c>
      <c r="C8297" t="s">
        <v>40</v>
      </c>
      <c r="D8297">
        <v>4.2236310000000001</v>
      </c>
      <c r="E8297">
        <v>0.50993339999999998</v>
      </c>
      <c r="F8297" t="s">
        <v>42</v>
      </c>
      <c r="G8297">
        <v>-305.2371</v>
      </c>
      <c r="H8297" s="1">
        <v>-4.615365E-6</v>
      </c>
      <c r="I8297">
        <v>-32.180579999999999</v>
      </c>
      <c r="J8297">
        <v>-302.72660000000002</v>
      </c>
      <c r="K8297">
        <v>1.1065719999999999</v>
      </c>
      <c r="L8297">
        <v>-3.8949579999999999</v>
      </c>
      <c r="M8297">
        <v>4.6133059999999997E-2</v>
      </c>
      <c r="N8297">
        <v>0</v>
      </c>
      <c r="O8297">
        <v>-0.99888100000000002</v>
      </c>
      <c r="P8297">
        <v>-5.8142140000000002E-2</v>
      </c>
      <c r="Q8297">
        <v>-1.970703E-2</v>
      </c>
      <c r="R8297">
        <v>-0.9981141</v>
      </c>
      <c r="S8297">
        <v>-0.26351930000000001</v>
      </c>
      <c r="T8297">
        <v>-0.1162941</v>
      </c>
      <c r="U8297">
        <v>-2.987854</v>
      </c>
      <c r="V8297">
        <v>0.10413119999999999</v>
      </c>
      <c r="W8297">
        <v>-9.2998439999999998E-3</v>
      </c>
      <c r="X8297">
        <v>0.99452010000000002</v>
      </c>
      <c r="Y8297">
        <v>0.13365379999999999</v>
      </c>
      <c r="Z8297">
        <v>3.8581419999999998E-2</v>
      </c>
      <c r="AA8297">
        <v>0.99027679999999996</v>
      </c>
      <c r="AB8297">
        <v>13</v>
      </c>
      <c r="AC8297">
        <v>-2.5104999999999702</v>
      </c>
      <c r="AD8297">
        <v>-1.1065766153649901</v>
      </c>
      <c r="AE8297">
        <v>-28.285621999999901</v>
      </c>
      <c r="AF8297">
        <v>3.80701879835678</v>
      </c>
      <c r="AG8297">
        <v>-1.1065766153649901</v>
      </c>
      <c r="AH8297">
        <v>28.0970136053622</v>
      </c>
      <c r="AI8297">
        <v>92.234977457033594</v>
      </c>
      <c r="AJ8297">
        <v>82.283672370446098</v>
      </c>
      <c r="AK8297">
        <v>28.3753427728482</v>
      </c>
      <c r="AL8297">
        <v>90.532849486100503</v>
      </c>
      <c r="AM8297">
        <v>84.022627044954802</v>
      </c>
      <c r="AN8297">
        <v>1.00000001160793</v>
      </c>
    </row>
    <row r="8298" spans="1:40" x14ac:dyDescent="0.25">
      <c r="A8298" t="str">
        <f>"20190312154122447"</f>
        <v>20190312154122447</v>
      </c>
      <c r="B8298" t="str">
        <f>"1552376482434191"</f>
        <v>1552376482434191</v>
      </c>
      <c r="C8298" t="s">
        <v>40</v>
      </c>
      <c r="D8298">
        <v>4.2016929999999997</v>
      </c>
      <c r="E8298">
        <v>0.51005329999999904</v>
      </c>
      <c r="F8298" t="s">
        <v>42</v>
      </c>
      <c r="G8298">
        <v>-305.06459999999998</v>
      </c>
      <c r="H8298" s="1">
        <v>-4.8005440000000004E-6</v>
      </c>
      <c r="I8298">
        <v>-31.546479999999999</v>
      </c>
      <c r="J8298">
        <v>-302.72190000000001</v>
      </c>
      <c r="K8298">
        <v>1.107164</v>
      </c>
      <c r="L8298">
        <v>-4.0202640000000001</v>
      </c>
      <c r="M8298">
        <v>4.5200209999999998E-2</v>
      </c>
      <c r="N8298">
        <v>0</v>
      </c>
      <c r="O8298">
        <v>-0.99891980000000002</v>
      </c>
      <c r="P8298">
        <v>-5.52179E-2</v>
      </c>
      <c r="Q8298">
        <v>-2.0825659999999999E-2</v>
      </c>
      <c r="R8298">
        <v>-0.99825759999999997</v>
      </c>
      <c r="S8298">
        <v>-0.25268550000000001</v>
      </c>
      <c r="T8298">
        <v>-0.1195992</v>
      </c>
      <c r="U8298">
        <v>-2.9885860000000002</v>
      </c>
      <c r="V8298">
        <v>0.1002888</v>
      </c>
      <c r="W8298">
        <v>-1.004734E-2</v>
      </c>
      <c r="X8298">
        <v>0.9949076</v>
      </c>
      <c r="Y8298">
        <v>0.129139</v>
      </c>
      <c r="Z8298">
        <v>3.9687170000000001E-2</v>
      </c>
      <c r="AA8298">
        <v>0.99083200000000005</v>
      </c>
      <c r="AB8298">
        <v>13</v>
      </c>
      <c r="AC8298">
        <v>-2.3426999999999798</v>
      </c>
      <c r="AD8298">
        <v>-1.1071688005439999</v>
      </c>
      <c r="AE8298">
        <v>-27.526216000000002</v>
      </c>
      <c r="AF8298">
        <v>3.57882007342852</v>
      </c>
      <c r="AG8298">
        <v>-1.1071688005439999</v>
      </c>
      <c r="AH8298">
        <v>27.3482559970134</v>
      </c>
      <c r="AI8298">
        <v>92.298723042716802</v>
      </c>
      <c r="AJ8298">
        <v>82.544581518186604</v>
      </c>
      <c r="AK8298">
        <v>27.603638925856298</v>
      </c>
      <c r="AL8298">
        <v>90.575679884924895</v>
      </c>
      <c r="AM8298">
        <v>84.243907156617496</v>
      </c>
      <c r="AN8298">
        <v>0.99999996249213696</v>
      </c>
    </row>
    <row r="8299" spans="1:40" x14ac:dyDescent="0.25">
      <c r="A8299" t="str">
        <f>"20190312154122470"</f>
        <v>20190312154122470</v>
      </c>
      <c r="B8299" t="str">
        <f>"1552376482464448"</f>
        <v>1552376482464448</v>
      </c>
      <c r="C8299" t="s">
        <v>40</v>
      </c>
      <c r="D8299">
        <v>4.1873849999999999</v>
      </c>
      <c r="E8299">
        <v>0.51023030000000003</v>
      </c>
      <c r="F8299" t="s">
        <v>42</v>
      </c>
      <c r="G8299">
        <v>-305.00009999999997</v>
      </c>
      <c r="H8299" s="1">
        <v>-4.7030870000000002E-6</v>
      </c>
      <c r="I8299">
        <v>-31.79927</v>
      </c>
      <c r="J8299">
        <v>-302.71690000000001</v>
      </c>
      <c r="K8299">
        <v>1.107712</v>
      </c>
      <c r="L8299">
        <v>-4.1519170000000001</v>
      </c>
      <c r="M8299">
        <v>4.4403140000000001E-2</v>
      </c>
      <c r="N8299">
        <v>0</v>
      </c>
      <c r="O8299">
        <v>-0.99895179999999995</v>
      </c>
      <c r="P8299">
        <v>-5.2697630000000002E-2</v>
      </c>
      <c r="Q8299">
        <v>-2.1072380000000002E-2</v>
      </c>
      <c r="R8299">
        <v>-0.99838819999999995</v>
      </c>
      <c r="S8299">
        <v>-0.2451477</v>
      </c>
      <c r="T8299">
        <v>-0.1191383</v>
      </c>
      <c r="U8299">
        <v>-2.9891969999999999</v>
      </c>
      <c r="V8299">
        <v>9.6983630000000001E-2</v>
      </c>
      <c r="W8299">
        <v>-9.9537879999999999E-3</v>
      </c>
      <c r="X8299">
        <v>0.99523620000000002</v>
      </c>
      <c r="Y8299">
        <v>0.1258494</v>
      </c>
      <c r="Z8299">
        <v>3.9541119999999999E-2</v>
      </c>
      <c r="AA8299">
        <v>0.99126099999999995</v>
      </c>
      <c r="AB8299">
        <v>13</v>
      </c>
      <c r="AC8299">
        <v>-2.2831999999999599</v>
      </c>
      <c r="AD8299">
        <v>-1.1077167030869901</v>
      </c>
      <c r="AE8299">
        <v>-27.647352999999999</v>
      </c>
      <c r="AF8299">
        <v>3.5030676801234</v>
      </c>
      <c r="AG8299">
        <v>-1.1077167030869901</v>
      </c>
      <c r="AH8299">
        <v>27.474887281122399</v>
      </c>
      <c r="AI8299">
        <v>92.290247269216295</v>
      </c>
      <c r="AJ8299">
        <v>82.733951432188306</v>
      </c>
      <c r="AK8299">
        <v>27.719450762527799</v>
      </c>
      <c r="AL8299">
        <v>90.5703194615987</v>
      </c>
      <c r="AM8299">
        <v>84.434222656945707</v>
      </c>
      <c r="AN8299">
        <v>0.99999999808698203</v>
      </c>
    </row>
    <row r="8300" spans="1:40" x14ac:dyDescent="0.25">
      <c r="A8300" t="str">
        <f>"20190312154122492"</f>
        <v>20190312154122492</v>
      </c>
      <c r="B8300" t="str">
        <f>"1552376482484944"</f>
        <v>1552376482484944</v>
      </c>
      <c r="C8300" t="s">
        <v>40</v>
      </c>
      <c r="D8300">
        <v>4.2188270000000001</v>
      </c>
      <c r="E8300">
        <v>0.51199349999999999</v>
      </c>
      <c r="F8300" t="s">
        <v>42</v>
      </c>
      <c r="G8300">
        <v>-304.98880000000003</v>
      </c>
      <c r="H8300" s="1">
        <v>-4.4326349999999996E-6</v>
      </c>
      <c r="I8300">
        <v>-32.588099999999997</v>
      </c>
      <c r="J8300">
        <v>-302.71199999999999</v>
      </c>
      <c r="K8300">
        <v>1.1081650000000001</v>
      </c>
      <c r="L8300">
        <v>-4.2808229999999998</v>
      </c>
      <c r="M8300">
        <v>4.378671E-2</v>
      </c>
      <c r="N8300">
        <v>0</v>
      </c>
      <c r="O8300">
        <v>-0.99897590000000003</v>
      </c>
      <c r="P8300">
        <v>-5.0573590000000002E-2</v>
      </c>
      <c r="Q8300">
        <v>-1.9123790000000002E-2</v>
      </c>
      <c r="R8300">
        <v>-0.99853769999999997</v>
      </c>
      <c r="S8300">
        <v>-0.23886109999999999</v>
      </c>
      <c r="T8300">
        <v>-0.1164651</v>
      </c>
      <c r="U8300">
        <v>-2.9897770000000001</v>
      </c>
      <c r="V8300">
        <v>9.4253809999999993E-2</v>
      </c>
      <c r="W8300">
        <v>-7.7110769999999898E-3</v>
      </c>
      <c r="X8300">
        <v>0.99551829999999997</v>
      </c>
      <c r="Y8300">
        <v>0.1231532</v>
      </c>
      <c r="Z8300">
        <v>3.8659220000000001E-2</v>
      </c>
      <c r="AA8300">
        <v>0.99163440000000003</v>
      </c>
      <c r="AB8300">
        <v>13</v>
      </c>
      <c r="AC8300">
        <v>-2.2768000000000299</v>
      </c>
      <c r="AD8300">
        <v>-1.108169432635</v>
      </c>
      <c r="AE8300">
        <v>-28.307276999999999</v>
      </c>
      <c r="AF8300">
        <v>3.50883614721335</v>
      </c>
      <c r="AG8300">
        <v>-1.108169432635</v>
      </c>
      <c r="AH8300">
        <v>28.137578747288899</v>
      </c>
      <c r="AI8300">
        <v>92.238052601190603</v>
      </c>
      <c r="AJ8300">
        <v>82.891748004674994</v>
      </c>
      <c r="AK8300">
        <v>28.377161738963601</v>
      </c>
      <c r="AL8300">
        <v>90.441816562245407</v>
      </c>
      <c r="AM8300">
        <v>84.591464957178601</v>
      </c>
      <c r="AN8300">
        <v>0.99999996352145204</v>
      </c>
    </row>
    <row r="8301" spans="1:40" x14ac:dyDescent="0.25">
      <c r="A8301" t="str">
        <f>"20190312154122515"</f>
        <v>20190312154122515</v>
      </c>
      <c r="B8301" t="str">
        <f>"1552376482504464"</f>
        <v>1552376482504464</v>
      </c>
      <c r="C8301" t="s">
        <v>40</v>
      </c>
      <c r="D8301">
        <v>4.2038219999999997</v>
      </c>
      <c r="E8301">
        <v>0.512459</v>
      </c>
      <c r="F8301" t="s">
        <v>69</v>
      </c>
      <c r="G8301">
        <v>-308.04469999999998</v>
      </c>
      <c r="H8301" s="1">
        <v>-7.4533479999999999E-6</v>
      </c>
      <c r="I8301">
        <v>-68.796790000000001</v>
      </c>
      <c r="J8301">
        <v>-302.70699999999999</v>
      </c>
      <c r="K8301">
        <v>1.108552</v>
      </c>
      <c r="L8301">
        <v>-4.4083560000000004</v>
      </c>
      <c r="M8301">
        <v>4.331144E-2</v>
      </c>
      <c r="N8301">
        <v>0</v>
      </c>
      <c r="O8301">
        <v>-0.99899329999999997</v>
      </c>
      <c r="P8301">
        <v>-4.8618559999999998E-2</v>
      </c>
      <c r="Q8301">
        <v>-1.749061E-2</v>
      </c>
      <c r="R8301">
        <v>-0.99866429999999995</v>
      </c>
      <c r="S8301">
        <v>-0.2472229</v>
      </c>
      <c r="T8301">
        <v>-5.1373960000000003E-2</v>
      </c>
      <c r="U8301">
        <v>-2.9909059999999998</v>
      </c>
      <c r="V8301">
        <v>9.1832269999999994E-2</v>
      </c>
      <c r="W8301">
        <v>-5.8180619999999997E-3</v>
      </c>
      <c r="X8301">
        <v>0.99575749999999996</v>
      </c>
      <c r="Y8301">
        <v>0.12545519999999999</v>
      </c>
      <c r="Z8301">
        <v>1.705309E-2</v>
      </c>
      <c r="AA8301">
        <v>0.99195270000000002</v>
      </c>
      <c r="AB8301">
        <v>13</v>
      </c>
      <c r="AC8301">
        <v>-5.3376999999999803</v>
      </c>
      <c r="AD8301">
        <v>-1.1085594533480001</v>
      </c>
      <c r="AE8301">
        <v>-64.388434000000004</v>
      </c>
      <c r="AF8301">
        <v>8.1192464253737793</v>
      </c>
      <c r="AG8301">
        <v>-1.1085594533480001</v>
      </c>
      <c r="AH8301">
        <v>64.077941512978597</v>
      </c>
      <c r="AI8301">
        <v>90.983267744258498</v>
      </c>
      <c r="AJ8301">
        <v>82.778596778066998</v>
      </c>
      <c r="AK8301">
        <v>64.599796091924702</v>
      </c>
      <c r="AL8301">
        <v>90.333352275806305</v>
      </c>
      <c r="AM8301">
        <v>84.730885579044596</v>
      </c>
      <c r="AN8301">
        <v>1.0000000072325099</v>
      </c>
    </row>
    <row r="8302" spans="1:40" x14ac:dyDescent="0.25">
      <c r="A8302" t="str">
        <f>"20190312154122536"</f>
        <v>20190312154122536</v>
      </c>
      <c r="B8302" t="str">
        <f>"1552376482524960"</f>
        <v>1552376482524960</v>
      </c>
      <c r="C8302" t="s">
        <v>40</v>
      </c>
      <c r="D8302">
        <v>4.1645820000000002</v>
      </c>
      <c r="E8302">
        <v>0.51268760000000002</v>
      </c>
      <c r="F8302" t="s">
        <v>69</v>
      </c>
      <c r="G8302">
        <v>-308.08760000000001</v>
      </c>
      <c r="H8302">
        <v>3.6090459999999998E-2</v>
      </c>
      <c r="I8302">
        <v>-70.044529999999995</v>
      </c>
      <c r="J8302">
        <v>-302.702</v>
      </c>
      <c r="K8302">
        <v>1.1088709999999999</v>
      </c>
      <c r="L8302">
        <v>-4.5331419999999998</v>
      </c>
      <c r="M8302">
        <v>4.2955100000000003E-2</v>
      </c>
      <c r="N8302">
        <v>0</v>
      </c>
      <c r="O8302">
        <v>-0.99900619999999996</v>
      </c>
      <c r="P8302">
        <v>-4.6413629999999997E-2</v>
      </c>
      <c r="Q8302">
        <v>-1.7163270000000001E-2</v>
      </c>
      <c r="R8302">
        <v>-0.99877510000000003</v>
      </c>
      <c r="S8302">
        <v>-0.2452087</v>
      </c>
      <c r="T8302">
        <v>-4.8874859999999999E-2</v>
      </c>
      <c r="U8302">
        <v>-2.9912109999999998</v>
      </c>
      <c r="V8302">
        <v>8.9279140000000007E-2</v>
      </c>
      <c r="W8302">
        <v>-5.2637580000000003E-3</v>
      </c>
      <c r="X8302">
        <v>0.99599269999999995</v>
      </c>
      <c r="Y8302">
        <v>0.12443070000000001</v>
      </c>
      <c r="Z8302">
        <v>1.6223979999999999E-2</v>
      </c>
      <c r="AA8302">
        <v>0.99209559999999997</v>
      </c>
      <c r="AB8302">
        <v>13</v>
      </c>
      <c r="AC8302">
        <v>-5.3856000000000099</v>
      </c>
      <c r="AD8302">
        <v>-1.0727805399999999</v>
      </c>
      <c r="AE8302">
        <v>-65.511387999999997</v>
      </c>
      <c r="AF8302">
        <v>8.1926935300566193</v>
      </c>
      <c r="AG8302">
        <v>-1.0727805399999999</v>
      </c>
      <c r="AH8302">
        <v>65.2021903074086</v>
      </c>
      <c r="AI8302">
        <v>90.935257512068404</v>
      </c>
      <c r="AJ8302">
        <v>82.838284142364998</v>
      </c>
      <c r="AK8302">
        <v>65.723638869496199</v>
      </c>
      <c r="AL8302">
        <v>90.3015925209899</v>
      </c>
      <c r="AM8302">
        <v>84.8777907597254</v>
      </c>
      <c r="AN8302">
        <v>0.99999996522035495</v>
      </c>
    </row>
    <row r="8303" spans="1:40" x14ac:dyDescent="0.25">
      <c r="A8303" t="str">
        <f>"20190312154122560"</f>
        <v>20190312154122560</v>
      </c>
      <c r="B8303" t="str">
        <f>"1552376482554240"</f>
        <v>1552376482554240</v>
      </c>
      <c r="C8303" t="s">
        <v>40</v>
      </c>
      <c r="D8303">
        <v>4.1822439999999999</v>
      </c>
      <c r="E8303">
        <v>0.51317609999999902</v>
      </c>
      <c r="F8303" t="s">
        <v>69</v>
      </c>
      <c r="G8303">
        <v>-307.97109999999998</v>
      </c>
      <c r="H8303">
        <v>3.4434770000000003E-2</v>
      </c>
      <c r="I8303">
        <v>-70.091569999999905</v>
      </c>
      <c r="J8303">
        <v>-302.69670000000002</v>
      </c>
      <c r="K8303">
        <v>1.1091260000000001</v>
      </c>
      <c r="L8303">
        <v>-4.6611330000000004</v>
      </c>
      <c r="M8303">
        <v>4.2691689999999997E-2</v>
      </c>
      <c r="N8303">
        <v>0</v>
      </c>
      <c r="O8303">
        <v>-0.99901499999999999</v>
      </c>
      <c r="P8303">
        <v>-4.4686009999999998E-2</v>
      </c>
      <c r="Q8303">
        <v>-1.924814E-2</v>
      </c>
      <c r="R8303">
        <v>-0.99881560000000003</v>
      </c>
      <c r="S8303">
        <v>-0.240448</v>
      </c>
      <c r="T8303">
        <v>-4.9030419999999998E-2</v>
      </c>
      <c r="U8303">
        <v>-2.9916689999999999</v>
      </c>
      <c r="V8303">
        <v>8.7293640000000006E-2</v>
      </c>
      <c r="W8303">
        <v>-7.1459210000000004E-3</v>
      </c>
      <c r="X8303">
        <v>0.99615699999999996</v>
      </c>
      <c r="Y8303">
        <v>0.12258810000000001</v>
      </c>
      <c r="Z8303">
        <v>1.6276329999999999E-2</v>
      </c>
      <c r="AA8303">
        <v>0.99232419999999999</v>
      </c>
      <c r="AB8303">
        <v>13</v>
      </c>
      <c r="AC8303">
        <v>-5.2743999999999502</v>
      </c>
      <c r="AD8303">
        <v>-1.07469123</v>
      </c>
      <c r="AE8303">
        <v>-65.430436999999898</v>
      </c>
      <c r="AF8303">
        <v>8.0609704522282701</v>
      </c>
      <c r="AG8303">
        <v>-1.07469123</v>
      </c>
      <c r="AH8303">
        <v>65.128128659166507</v>
      </c>
      <c r="AI8303">
        <v>90.938204710565302</v>
      </c>
      <c r="AJ8303">
        <v>82.944330026394297</v>
      </c>
      <c r="AK8303">
        <v>65.633888720054401</v>
      </c>
      <c r="AL8303">
        <v>90.409434596115702</v>
      </c>
      <c r="AM8303">
        <v>84.991940677799604</v>
      </c>
      <c r="AN8303">
        <v>1.0000000062101899</v>
      </c>
    </row>
    <row r="8304" spans="1:40" x14ac:dyDescent="0.25">
      <c r="A8304" t="str">
        <f>"20190312154122581"</f>
        <v>20190312154122581</v>
      </c>
      <c r="B8304" t="str">
        <f>"1552376482574736"</f>
        <v>1552376482574736</v>
      </c>
      <c r="C8304" t="s">
        <v>40</v>
      </c>
      <c r="D8304">
        <v>4.1719369999999998</v>
      </c>
      <c r="E8304">
        <v>0.51322760000000001</v>
      </c>
      <c r="F8304" t="s">
        <v>69</v>
      </c>
      <c r="G8304">
        <v>-307.50389999999999</v>
      </c>
      <c r="H8304" s="1">
        <v>-8.0926269999999999E-6</v>
      </c>
      <c r="I8304">
        <v>-64.764569999999907</v>
      </c>
      <c r="J8304">
        <v>-302.69139999999999</v>
      </c>
      <c r="K8304">
        <v>1.1093189999999999</v>
      </c>
      <c r="L8304">
        <v>-4.7886959999999998</v>
      </c>
      <c r="M8304">
        <v>4.2513559999999999E-2</v>
      </c>
      <c r="N8304">
        <v>0</v>
      </c>
      <c r="O8304">
        <v>-0.99902049999999998</v>
      </c>
      <c r="P8304">
        <v>-4.2777099999999998E-2</v>
      </c>
      <c r="Q8304">
        <v>-2.3345020000000001E-2</v>
      </c>
      <c r="R8304">
        <v>-0.99881189999999997</v>
      </c>
      <c r="S8304">
        <v>-0.23928830000000001</v>
      </c>
      <c r="T8304">
        <v>-5.5209759999999997E-2</v>
      </c>
      <c r="U8304">
        <v>-2.9917910000000001</v>
      </c>
      <c r="V8304">
        <v>8.5211129999999996E-2</v>
      </c>
      <c r="W8304">
        <v>-1.1069010000000001E-2</v>
      </c>
      <c r="X8304">
        <v>0.9963014</v>
      </c>
      <c r="Y8304">
        <v>0.12202300000000001</v>
      </c>
      <c r="Z8304">
        <v>1.8327380000000001E-2</v>
      </c>
      <c r="AA8304">
        <v>0.99235799999999996</v>
      </c>
      <c r="AB8304">
        <v>13</v>
      </c>
      <c r="AC8304">
        <v>-4.8125</v>
      </c>
      <c r="AD8304">
        <v>-1.109327092627</v>
      </c>
      <c r="AE8304">
        <v>-59.975873999999898</v>
      </c>
      <c r="AF8304">
        <v>7.3556279640242996</v>
      </c>
      <c r="AG8304">
        <v>-1.109327092627</v>
      </c>
      <c r="AH8304">
        <v>59.696736901883902</v>
      </c>
      <c r="AI8304">
        <v>91.056599498729</v>
      </c>
      <c r="AJ8304">
        <v>82.975615843227303</v>
      </c>
      <c r="AK8304">
        <v>60.158426392952798</v>
      </c>
      <c r="AL8304">
        <v>90.634220527184993</v>
      </c>
      <c r="AM8304">
        <v>85.111533863116804</v>
      </c>
      <c r="AN8304">
        <v>0.99999996965010796</v>
      </c>
    </row>
    <row r="8305" spans="1:40" x14ac:dyDescent="0.25">
      <c r="A8305" t="str">
        <f>"20190312154122604"</f>
        <v>20190312154122604</v>
      </c>
      <c r="B8305" t="str">
        <f>"1552376482594257"</f>
        <v>1552376482594257</v>
      </c>
      <c r="C8305" t="s">
        <v>40</v>
      </c>
      <c r="D8305">
        <v>4.2364220000000001</v>
      </c>
      <c r="E8305">
        <v>0.47684019999999999</v>
      </c>
      <c r="F8305" t="s">
        <v>69</v>
      </c>
      <c r="G8305">
        <v>-306.53120000000001</v>
      </c>
      <c r="H8305" s="1">
        <v>-7.5524599999999999E-6</v>
      </c>
      <c r="I8305">
        <v>-53.927039999999998</v>
      </c>
      <c r="J8305">
        <v>-302.68610000000001</v>
      </c>
      <c r="K8305">
        <v>1.1094599999999999</v>
      </c>
      <c r="L8305">
        <v>-4.9164430000000001</v>
      </c>
      <c r="M8305">
        <v>4.2393970000000003E-2</v>
      </c>
      <c r="N8305">
        <v>0</v>
      </c>
      <c r="O8305">
        <v>-0.99902360000000001</v>
      </c>
      <c r="P8305">
        <v>-4.1085259999999998E-2</v>
      </c>
      <c r="Q8305">
        <v>-2.6997790000000001E-2</v>
      </c>
      <c r="R8305">
        <v>-0.99879099999999998</v>
      </c>
      <c r="S8305">
        <v>-0.23379520000000001</v>
      </c>
      <c r="T8305">
        <v>-6.7545530000000006E-2</v>
      </c>
      <c r="U8305">
        <v>-2.9919739999999999</v>
      </c>
      <c r="V8305">
        <v>8.3402069999999995E-2</v>
      </c>
      <c r="W8305">
        <v>-1.45732E-2</v>
      </c>
      <c r="X8305">
        <v>0.9964094</v>
      </c>
      <c r="Y8305">
        <v>0.12008199999999999</v>
      </c>
      <c r="Z8305">
        <v>2.242355E-2</v>
      </c>
      <c r="AA8305">
        <v>0.99251069999999997</v>
      </c>
      <c r="AB8305">
        <v>13</v>
      </c>
      <c r="AC8305">
        <v>-3.8451</v>
      </c>
      <c r="AD8305">
        <v>-1.10946755246</v>
      </c>
      <c r="AE8305">
        <v>-49.010596999999997</v>
      </c>
      <c r="AF8305">
        <v>5.9165436473061002</v>
      </c>
      <c r="AG8305">
        <v>-1.10946755246</v>
      </c>
      <c r="AH8305">
        <v>48.778663025605603</v>
      </c>
      <c r="AI8305">
        <v>91.293487165996297</v>
      </c>
      <c r="AJ8305">
        <v>83.084167494750403</v>
      </c>
      <c r="AK8305">
        <v>49.148696559990498</v>
      </c>
      <c r="AL8305">
        <v>90.835012422263205</v>
      </c>
      <c r="AM8305">
        <v>85.215346727094797</v>
      </c>
      <c r="AN8305">
        <v>0.99999998792344202</v>
      </c>
    </row>
    <row r="8306" spans="1:40" x14ac:dyDescent="0.25">
      <c r="A8306" t="str">
        <f>"20190312154122626"</f>
        <v>20190312154122626</v>
      </c>
      <c r="B8306" t="str">
        <f>"1552376482614752"</f>
        <v>1552376482614752</v>
      </c>
      <c r="C8306" t="s">
        <v>40</v>
      </c>
      <c r="D8306">
        <v>4.1565450000000004</v>
      </c>
      <c r="E8306">
        <v>0.45927449999999997</v>
      </c>
      <c r="F8306" t="s">
        <v>43</v>
      </c>
      <c r="G8306">
        <v>-300.91250000000002</v>
      </c>
      <c r="H8306">
        <v>-0.05</v>
      </c>
      <c r="I8306">
        <v>-91.845179999999999</v>
      </c>
      <c r="J8306">
        <v>-302.68079999999998</v>
      </c>
      <c r="K8306">
        <v>1.1095660000000001</v>
      </c>
      <c r="L8306">
        <v>-5.0416869999999996</v>
      </c>
      <c r="M8306">
        <v>4.2312870000000002E-2</v>
      </c>
      <c r="N8306">
        <v>0</v>
      </c>
      <c r="O8306">
        <v>-0.99902550000000001</v>
      </c>
      <c r="P8306">
        <v>-3.8371919999999997E-2</v>
      </c>
      <c r="Q8306">
        <v>-2.9284919999999999E-2</v>
      </c>
      <c r="R8306">
        <v>-0.99883429999999995</v>
      </c>
      <c r="S8306">
        <v>6.1309809999999999E-2</v>
      </c>
      <c r="T8306">
        <v>-4.0081739999999998E-2</v>
      </c>
      <c r="U8306">
        <v>-3.0050659999999998</v>
      </c>
      <c r="V8306">
        <v>8.0611879999999997E-2</v>
      </c>
      <c r="W8306">
        <v>-1.673463E-2</v>
      </c>
      <c r="X8306">
        <v>0.99660510000000002</v>
      </c>
      <c r="Y8306">
        <v>2.1929580000000001E-2</v>
      </c>
      <c r="Z8306">
        <v>1.331597E-2</v>
      </c>
      <c r="AA8306">
        <v>0.99967090000000003</v>
      </c>
      <c r="AB8306">
        <v>13</v>
      </c>
      <c r="AC8306">
        <v>1.76829999999995</v>
      </c>
      <c r="AD8306">
        <v>-1.1595659999999901</v>
      </c>
      <c r="AE8306">
        <v>-86.803493000000003</v>
      </c>
      <c r="AF8306">
        <v>1.90613841838173</v>
      </c>
      <c r="AG8306">
        <v>-1.1595659999999901</v>
      </c>
      <c r="AH8306">
        <v>86.785087722273005</v>
      </c>
      <c r="AI8306">
        <v>90.765318901227801</v>
      </c>
      <c r="AJ8306">
        <v>88.741763908196205</v>
      </c>
      <c r="AK8306">
        <v>86.813762779532894</v>
      </c>
      <c r="AL8306">
        <v>90.958868405904298</v>
      </c>
      <c r="AM8306">
        <v>85.375613659171407</v>
      </c>
      <c r="AN8306">
        <v>1.00000002419219</v>
      </c>
    </row>
    <row r="8307" spans="1:40" x14ac:dyDescent="0.25">
      <c r="A8307" t="str">
        <f>"20190312154122649"</f>
        <v>20190312154122649</v>
      </c>
      <c r="B8307" t="str">
        <f>"1552376482644033"</f>
        <v>1552376482644033</v>
      </c>
      <c r="C8307" t="s">
        <v>40</v>
      </c>
      <c r="D8307">
        <v>4.1467099999999997</v>
      </c>
      <c r="E8307">
        <v>0.44728519999999999</v>
      </c>
      <c r="F8307" t="s">
        <v>69</v>
      </c>
      <c r="G8307">
        <v>-298.35930000000002</v>
      </c>
      <c r="H8307" s="1">
        <v>-1.38818E-5</v>
      </c>
      <c r="I8307">
        <v>-67.165049999999994</v>
      </c>
      <c r="J8307">
        <v>-302.67540000000002</v>
      </c>
      <c r="K8307">
        <v>1.1096469999999901</v>
      </c>
      <c r="L8307">
        <v>-5.1685179999999997</v>
      </c>
      <c r="M8307">
        <v>4.2243370000000002E-2</v>
      </c>
      <c r="N8307">
        <v>0</v>
      </c>
      <c r="O8307">
        <v>-0.99902690000000005</v>
      </c>
      <c r="P8307">
        <v>-3.5638179999999998E-2</v>
      </c>
      <c r="Q8307">
        <v>-2.998984E-2</v>
      </c>
      <c r="R8307">
        <v>-0.99891450000000004</v>
      </c>
      <c r="S8307">
        <v>0.20938109999999999</v>
      </c>
      <c r="T8307">
        <v>-5.3761009999999998E-2</v>
      </c>
      <c r="U8307">
        <v>-3.009979</v>
      </c>
      <c r="V8307">
        <v>7.7813030000000005E-2</v>
      </c>
      <c r="W8307">
        <v>-1.7328920000000001E-2</v>
      </c>
      <c r="X8307">
        <v>0.99681739999999996</v>
      </c>
      <c r="Y8307">
        <v>-2.7176720000000001E-2</v>
      </c>
      <c r="Z8307">
        <v>1.780936E-2</v>
      </c>
      <c r="AA8307">
        <v>0.99947200000000003</v>
      </c>
      <c r="AB8307">
        <v>13</v>
      </c>
      <c r="AC8307">
        <v>4.3160999999999996</v>
      </c>
      <c r="AD8307">
        <v>-1.10966088179999</v>
      </c>
      <c r="AE8307">
        <v>-61.996532000000002</v>
      </c>
      <c r="AF8307">
        <v>-1.6925540310674501</v>
      </c>
      <c r="AG8307">
        <v>-1.10966088179999</v>
      </c>
      <c r="AH8307">
        <v>62.103723260193902</v>
      </c>
      <c r="AI8307">
        <v>91.023264399911994</v>
      </c>
      <c r="AJ8307">
        <v>91.561133505310593</v>
      </c>
      <c r="AK8307">
        <v>62.136692293679602</v>
      </c>
      <c r="AL8307">
        <v>90.992923634449497</v>
      </c>
      <c r="AM8307">
        <v>85.536458964744398</v>
      </c>
      <c r="AN8307">
        <v>1.0000000440244501</v>
      </c>
    </row>
    <row r="8308" spans="1:40" x14ac:dyDescent="0.25">
      <c r="A8308" t="str">
        <f>"20190312154122672"</f>
        <v>20190312154122672</v>
      </c>
      <c r="B8308" t="str">
        <f>"1552376482664528"</f>
        <v>1552376482664528</v>
      </c>
      <c r="C8308" t="s">
        <v>40</v>
      </c>
      <c r="D8308">
        <v>4.1715289999999996</v>
      </c>
      <c r="E8308">
        <v>0.44484560000000001</v>
      </c>
      <c r="F8308" t="s">
        <v>69</v>
      </c>
      <c r="G8308">
        <v>-296.78210000000001</v>
      </c>
      <c r="H8308" s="1">
        <v>-1.2215800000000001E-5</v>
      </c>
      <c r="I8308">
        <v>-61.822859999999999</v>
      </c>
      <c r="J8308">
        <v>-302.67009999999999</v>
      </c>
      <c r="K8308">
        <v>1.1097159999999999</v>
      </c>
      <c r="L8308">
        <v>-5.2971190000000004</v>
      </c>
      <c r="M8308">
        <v>4.216429E-2</v>
      </c>
      <c r="N8308">
        <v>0</v>
      </c>
      <c r="O8308">
        <v>-0.99902880000000005</v>
      </c>
      <c r="P8308">
        <v>-3.2290100000000002E-2</v>
      </c>
      <c r="Q8308">
        <v>-3.0205590000000001E-2</v>
      </c>
      <c r="R8308">
        <v>-0.99902190000000002</v>
      </c>
      <c r="S8308">
        <v>0.31338500000000002</v>
      </c>
      <c r="T8308">
        <v>-5.9007530000000002E-2</v>
      </c>
      <c r="U8308">
        <v>-3.0126650000000001</v>
      </c>
      <c r="V8308">
        <v>7.4391609999999997E-2</v>
      </c>
      <c r="W8308">
        <v>-1.7446090000000001E-2</v>
      </c>
      <c r="X8308">
        <v>0.99707650000000003</v>
      </c>
      <c r="Y8308">
        <v>-6.1411149999999998E-2</v>
      </c>
      <c r="Z8308">
        <v>1.9485599999999999E-2</v>
      </c>
      <c r="AA8308">
        <v>0.99792239999999999</v>
      </c>
      <c r="AB8308">
        <v>13</v>
      </c>
      <c r="AC8308">
        <v>5.8879999999999697</v>
      </c>
      <c r="AD8308">
        <v>-1.1097282157999999</v>
      </c>
      <c r="AE8308">
        <v>-56.525740999999996</v>
      </c>
      <c r="AF8308">
        <v>-3.4978664394176202</v>
      </c>
      <c r="AG8308">
        <v>-1.1097282157999999</v>
      </c>
      <c r="AH8308">
        <v>56.702127689325003</v>
      </c>
      <c r="AI8308">
        <v>91.119076812593406</v>
      </c>
      <c r="AJ8308">
        <v>93.530014653555497</v>
      </c>
      <c r="AK8308">
        <v>56.820751938332002</v>
      </c>
      <c r="AL8308">
        <v>90.999638027423401</v>
      </c>
      <c r="AM8308">
        <v>85.733082976750495</v>
      </c>
      <c r="AN8308">
        <v>1.00000001227346</v>
      </c>
    </row>
    <row r="8309" spans="1:40" x14ac:dyDescent="0.25">
      <c r="A8309" t="str">
        <f>"20190312154122693"</f>
        <v>20190312154122693</v>
      </c>
      <c r="B8309" t="str">
        <f>"1552376482684048"</f>
        <v>1552376482684048</v>
      </c>
      <c r="C8309" t="s">
        <v>40</v>
      </c>
      <c r="D8309">
        <v>4.1029350000000004</v>
      </c>
      <c r="E8309">
        <v>0.44317580000000001</v>
      </c>
      <c r="F8309" t="s">
        <v>69</v>
      </c>
      <c r="G8309">
        <v>-295.50920000000002</v>
      </c>
      <c r="H8309" s="1">
        <v>-1.3154039999999999E-5</v>
      </c>
      <c r="I8309">
        <v>-68.179329999999993</v>
      </c>
      <c r="J8309">
        <v>-302.6651</v>
      </c>
      <c r="K8309">
        <v>1.109761</v>
      </c>
      <c r="L8309">
        <v>-5.4171449999999997</v>
      </c>
      <c r="M8309">
        <v>4.2071119999999997E-2</v>
      </c>
      <c r="N8309">
        <v>0</v>
      </c>
      <c r="O8309">
        <v>-0.99903169999999997</v>
      </c>
      <c r="P8309">
        <v>-2.9119610000000001E-2</v>
      </c>
      <c r="Q8309">
        <v>-3.027119E-2</v>
      </c>
      <c r="R8309">
        <v>-0.9991177</v>
      </c>
      <c r="S8309">
        <v>0.34304810000000002</v>
      </c>
      <c r="T8309">
        <v>-5.3162460000000002E-2</v>
      </c>
      <c r="U8309">
        <v>-3.0124209999999998</v>
      </c>
      <c r="V8309">
        <v>7.1133249999999995E-2</v>
      </c>
      <c r="W8309">
        <v>-1.7430359999999999E-2</v>
      </c>
      <c r="X8309">
        <v>0.99731449999999999</v>
      </c>
      <c r="Y8309">
        <v>-7.1224590000000004E-2</v>
      </c>
      <c r="Z8309">
        <v>1.7542510000000001E-2</v>
      </c>
      <c r="AA8309">
        <v>0.99730600000000003</v>
      </c>
      <c r="AB8309">
        <v>13</v>
      </c>
      <c r="AC8309">
        <v>7.1558999999999697</v>
      </c>
      <c r="AD8309">
        <v>-1.1097741540399999</v>
      </c>
      <c r="AE8309">
        <v>-62.762185000000002</v>
      </c>
      <c r="AF8309">
        <v>-4.5074778378823899</v>
      </c>
      <c r="AG8309">
        <v>-1.1097741540399999</v>
      </c>
      <c r="AH8309">
        <v>62.988247768154501</v>
      </c>
      <c r="AI8309">
        <v>91.006801495291299</v>
      </c>
      <c r="AJ8309">
        <v>94.093143926187807</v>
      </c>
      <c r="AK8309">
        <v>63.159071494397303</v>
      </c>
      <c r="AL8309">
        <v>90.998736655691502</v>
      </c>
      <c r="AM8309">
        <v>85.920299161861905</v>
      </c>
      <c r="AN8309">
        <v>0.99999998430777004</v>
      </c>
    </row>
    <row r="8310" spans="1:40" x14ac:dyDescent="0.25">
      <c r="A8310" t="str">
        <f>"20190312154122726"</f>
        <v>20190312154122726</v>
      </c>
      <c r="B8310" t="str">
        <f>"1552376482724064"</f>
        <v>1552376482724064</v>
      </c>
      <c r="C8310" t="s">
        <v>40</v>
      </c>
      <c r="D8310">
        <v>4.1170419999999996</v>
      </c>
      <c r="E8310">
        <v>0.44140089999999998</v>
      </c>
      <c r="F8310" t="s">
        <v>69</v>
      </c>
      <c r="G8310">
        <v>-294.77420000000001</v>
      </c>
      <c r="H8310">
        <v>1.7834699999999998E-2</v>
      </c>
      <c r="I8310">
        <v>-70.383719999999997</v>
      </c>
      <c r="J8310">
        <v>-302.6574</v>
      </c>
      <c r="K8310">
        <v>1.1098190000000001</v>
      </c>
      <c r="L8310">
        <v>-5.6044010000000002</v>
      </c>
      <c r="M8310">
        <v>4.1879640000000003E-2</v>
      </c>
      <c r="N8310">
        <v>0</v>
      </c>
      <c r="O8310">
        <v>-0.9990386</v>
      </c>
      <c r="P8310">
        <v>-2.5590189999999999E-2</v>
      </c>
      <c r="Q8310">
        <v>-3.0735410000000001E-2</v>
      </c>
      <c r="R8310">
        <v>-0.99920019999999998</v>
      </c>
      <c r="S8310">
        <v>0.36581419999999998</v>
      </c>
      <c r="T8310">
        <v>-5.0620560000000002E-2</v>
      </c>
      <c r="U8310">
        <v>-3.0117799999999999</v>
      </c>
      <c r="V8310">
        <v>6.7417149999999995E-2</v>
      </c>
      <c r="W8310">
        <v>-1.778652E-2</v>
      </c>
      <c r="X8310">
        <v>0.99756630000000002</v>
      </c>
      <c r="Y8310">
        <v>-7.8874799999999995E-2</v>
      </c>
      <c r="Z8310">
        <v>1.6695539999999998E-2</v>
      </c>
      <c r="AA8310">
        <v>0.99674470000000004</v>
      </c>
      <c r="AB8310">
        <v>13</v>
      </c>
      <c r="AC8310">
        <v>7.88319999999998</v>
      </c>
      <c r="AD8310">
        <v>-1.0919843</v>
      </c>
      <c r="AE8310">
        <v>-64.779319000000001</v>
      </c>
      <c r="AF8310">
        <v>-5.1616748514801696</v>
      </c>
      <c r="AG8310">
        <v>-1.0919843</v>
      </c>
      <c r="AH8310">
        <v>65.034439083889694</v>
      </c>
      <c r="AI8310">
        <v>90.958940104993701</v>
      </c>
      <c r="AJ8310">
        <v>94.537957615030393</v>
      </c>
      <c r="AK8310">
        <v>65.248092569361802</v>
      </c>
      <c r="AL8310">
        <v>91.019146292056504</v>
      </c>
      <c r="AM8310">
        <v>86.133737151179602</v>
      </c>
      <c r="AN8310">
        <v>0.99999997765176096</v>
      </c>
    </row>
    <row r="8311" spans="1:40" x14ac:dyDescent="0.25">
      <c r="A8311" t="str">
        <f>"20190312154122749"</f>
        <v>20190312154122749</v>
      </c>
      <c r="B8311" t="str">
        <f>"1552376482744560"</f>
        <v>1552376482744560</v>
      </c>
      <c r="C8311" t="s">
        <v>40</v>
      </c>
      <c r="D8311">
        <v>4.1632470000000001</v>
      </c>
      <c r="E8311">
        <v>0.4410097</v>
      </c>
      <c r="F8311" t="s">
        <v>69</v>
      </c>
      <c r="G8311">
        <v>-293.73450000000003</v>
      </c>
      <c r="H8311">
        <v>7.9986570000000007E-2</v>
      </c>
      <c r="I8311">
        <v>-74.485819999999904</v>
      </c>
      <c r="J8311">
        <v>-302.65230000000003</v>
      </c>
      <c r="K8311">
        <v>1.109839</v>
      </c>
      <c r="L8311">
        <v>-5.7286989999999998</v>
      </c>
      <c r="M8311">
        <v>4.172762E-2</v>
      </c>
      <c r="N8311">
        <v>0</v>
      </c>
      <c r="O8311">
        <v>-0.99904389999999998</v>
      </c>
      <c r="P8311">
        <v>-2.4260319999999998E-2</v>
      </c>
      <c r="Q8311">
        <v>-3.1180630000000001E-2</v>
      </c>
      <c r="R8311">
        <v>-0.99921950000000004</v>
      </c>
      <c r="S8311">
        <v>0.39004519999999998</v>
      </c>
      <c r="T8311">
        <v>-4.5017120000000001E-2</v>
      </c>
      <c r="U8311">
        <v>-3.0110169999999998</v>
      </c>
      <c r="V8311">
        <v>6.5936460000000002E-2</v>
      </c>
      <c r="W8311">
        <v>-1.8170519999999999E-2</v>
      </c>
      <c r="X8311">
        <v>0.99765839999999995</v>
      </c>
      <c r="Y8311">
        <v>-8.6954530000000002E-2</v>
      </c>
      <c r="Z8311">
        <v>1.483933E-2</v>
      </c>
      <c r="AA8311">
        <v>0.99610169999999998</v>
      </c>
      <c r="AB8311">
        <v>12</v>
      </c>
      <c r="AC8311">
        <v>8.9177999999999997</v>
      </c>
      <c r="AD8311">
        <v>-1.02985243</v>
      </c>
      <c r="AE8311">
        <v>-68.757120999999898</v>
      </c>
      <c r="AF8311">
        <v>-6.0393839485580001</v>
      </c>
      <c r="AG8311">
        <v>-1.02985243</v>
      </c>
      <c r="AH8311">
        <v>69.054139603032198</v>
      </c>
      <c r="AI8311">
        <v>90.851179817768994</v>
      </c>
      <c r="AJ8311">
        <v>94.998295157128396</v>
      </c>
      <c r="AK8311">
        <v>69.325384606367194</v>
      </c>
      <c r="AL8311">
        <v>91.041151370144604</v>
      </c>
      <c r="AM8311">
        <v>86.218751238991103</v>
      </c>
      <c r="AN8311">
        <v>1.0000000338224799</v>
      </c>
    </row>
    <row r="8312" spans="1:40" x14ac:dyDescent="0.25">
      <c r="A8312" t="str">
        <f>"20190312154122771"</f>
        <v>20190312154122771</v>
      </c>
      <c r="B8312" t="str">
        <f>"1552376482764080"</f>
        <v>1552376482764080</v>
      </c>
      <c r="C8312" t="s">
        <v>40</v>
      </c>
      <c r="D8312">
        <v>4.1632470000000001</v>
      </c>
      <c r="E8312">
        <v>0.44087739999999997</v>
      </c>
      <c r="F8312" t="s">
        <v>69</v>
      </c>
      <c r="G8312">
        <v>-293.88929999999999</v>
      </c>
      <c r="H8312">
        <v>7.9986559999999998E-2</v>
      </c>
      <c r="I8312">
        <v>-72.113659999999996</v>
      </c>
      <c r="J8312">
        <v>-302.6472</v>
      </c>
      <c r="K8312">
        <v>1.109869</v>
      </c>
      <c r="L8312">
        <v>-5.8544919999999996</v>
      </c>
      <c r="M8312">
        <v>4.1560359999999998E-2</v>
      </c>
      <c r="N8312">
        <v>0</v>
      </c>
      <c r="O8312">
        <v>-0.99905010000000005</v>
      </c>
      <c r="P8312">
        <v>-2.3638260000000001E-2</v>
      </c>
      <c r="Q8312">
        <v>-3.1999029999999998E-2</v>
      </c>
      <c r="R8312">
        <v>-0.9992086</v>
      </c>
      <c r="S8312">
        <v>0.39739989999999997</v>
      </c>
      <c r="T8312">
        <v>-4.6703340000000003E-2</v>
      </c>
      <c r="U8312">
        <v>-3.010529</v>
      </c>
      <c r="V8312">
        <v>6.5146679999999998E-2</v>
      </c>
      <c r="W8312">
        <v>-1.8934679999999999E-2</v>
      </c>
      <c r="X8312">
        <v>0.99769600000000003</v>
      </c>
      <c r="Y8312">
        <v>-8.9533050000000003E-2</v>
      </c>
      <c r="Z8312">
        <v>1.5393479999999999E-2</v>
      </c>
      <c r="AA8312">
        <v>0.99586490000000005</v>
      </c>
      <c r="AB8312">
        <v>12</v>
      </c>
      <c r="AC8312">
        <v>8.7578999999999994</v>
      </c>
      <c r="AD8312">
        <v>-1.02988244</v>
      </c>
      <c r="AE8312">
        <v>-66.259168000000003</v>
      </c>
      <c r="AF8312">
        <v>-5.9949171479348102</v>
      </c>
      <c r="AG8312">
        <v>-1.02988244</v>
      </c>
      <c r="AH8312">
        <v>66.550120694654296</v>
      </c>
      <c r="AI8312">
        <v>90.883023157878398</v>
      </c>
      <c r="AJ8312">
        <v>95.1473816228917</v>
      </c>
      <c r="AK8312">
        <v>66.827526169415194</v>
      </c>
      <c r="AL8312">
        <v>91.084942129469894</v>
      </c>
      <c r="AM8312">
        <v>86.264053992939907</v>
      </c>
      <c r="AN8312">
        <v>0.99999996021886095</v>
      </c>
    </row>
    <row r="8313" spans="1:40" x14ac:dyDescent="0.25">
      <c r="A8313" t="str">
        <f>"20190312154122794"</f>
        <v>20190312154122794</v>
      </c>
      <c r="B8313" t="str">
        <f>"1552376482784577"</f>
        <v>1552376482784577</v>
      </c>
      <c r="C8313" t="s">
        <v>40</v>
      </c>
      <c r="D8313">
        <v>4.1361629999999998</v>
      </c>
      <c r="E8313">
        <v>0.44071129999999997</v>
      </c>
      <c r="F8313" t="s">
        <v>69</v>
      </c>
      <c r="G8313">
        <v>-294.0675</v>
      </c>
      <c r="H8313">
        <v>4.135834E-2</v>
      </c>
      <c r="I8313">
        <v>-70.383719999999997</v>
      </c>
      <c r="J8313">
        <v>-302.64229999999998</v>
      </c>
      <c r="K8313">
        <v>1.1098950000000001</v>
      </c>
      <c r="L8313">
        <v>-5.9765629999999996</v>
      </c>
      <c r="M8313">
        <v>4.1390290000000003E-2</v>
      </c>
      <c r="N8313">
        <v>0</v>
      </c>
      <c r="O8313">
        <v>-0.99905650000000001</v>
      </c>
      <c r="P8313">
        <v>-2.3385670000000001E-2</v>
      </c>
      <c r="Q8313">
        <v>-3.2364450000000003E-2</v>
      </c>
      <c r="R8313">
        <v>-0.99920249999999999</v>
      </c>
      <c r="S8313">
        <v>0.40023799999999998</v>
      </c>
      <c r="T8313">
        <v>-4.9845460000000001E-2</v>
      </c>
      <c r="U8313">
        <v>-3.0102540000000002</v>
      </c>
      <c r="V8313">
        <v>6.4723749999999997E-2</v>
      </c>
      <c r="W8313">
        <v>-1.9253659999999999E-2</v>
      </c>
      <c r="X8313">
        <v>0.99771739999999998</v>
      </c>
      <c r="Y8313">
        <v>-9.0634870000000006E-2</v>
      </c>
      <c r="Z8313">
        <v>1.6428689999999999E-2</v>
      </c>
      <c r="AA8313">
        <v>0.99574870000000004</v>
      </c>
      <c r="AB8313">
        <v>12</v>
      </c>
      <c r="AC8313">
        <v>8.5747999999999802</v>
      </c>
      <c r="AD8313">
        <v>-1.0685366599999999</v>
      </c>
      <c r="AE8313">
        <v>-64.407156999999998</v>
      </c>
      <c r="AF8313">
        <v>-5.8997935510341701</v>
      </c>
      <c r="AG8313">
        <v>-1.0685366599999999</v>
      </c>
      <c r="AH8313">
        <v>64.689403218437505</v>
      </c>
      <c r="AI8313">
        <v>90.942412492941898</v>
      </c>
      <c r="AJ8313">
        <v>95.211065103183998</v>
      </c>
      <c r="AK8313">
        <v>64.966670095489604</v>
      </c>
      <c r="AL8313">
        <v>91.103221694259901</v>
      </c>
      <c r="AM8313">
        <v>86.288318994986199</v>
      </c>
      <c r="AN8313">
        <v>0.99999993875010695</v>
      </c>
    </row>
    <row r="8314" spans="1:40" x14ac:dyDescent="0.25">
      <c r="A8314" t="str">
        <f>"20190312154122816"</f>
        <v>20190312154122816</v>
      </c>
      <c r="B8314" t="str">
        <f>"1552376482804098"</f>
        <v>1552376482804098</v>
      </c>
      <c r="C8314" t="s">
        <v>40</v>
      </c>
      <c r="D8314">
        <v>4.1514800000000003</v>
      </c>
      <c r="E8314">
        <v>0.44075720000000002</v>
      </c>
      <c r="F8314" t="s">
        <v>69</v>
      </c>
      <c r="G8314">
        <v>-294.16680000000002</v>
      </c>
      <c r="H8314" s="1">
        <v>-1.292462E-5</v>
      </c>
      <c r="I8314">
        <v>-69.399720000000002</v>
      </c>
      <c r="J8314">
        <v>-302.63729999999998</v>
      </c>
      <c r="K8314">
        <v>1.1099289999999999</v>
      </c>
      <c r="L8314">
        <v>-6.1010439999999999</v>
      </c>
      <c r="M8314">
        <v>4.1214689999999998E-2</v>
      </c>
      <c r="N8314">
        <v>0</v>
      </c>
      <c r="O8314">
        <v>-0.99906329999999999</v>
      </c>
      <c r="P8314">
        <v>-2.3738349999999998E-2</v>
      </c>
      <c r="Q8314">
        <v>-3.2001660000000001E-2</v>
      </c>
      <c r="R8314">
        <v>-0.99920580000000003</v>
      </c>
      <c r="S8314">
        <v>0.4022522</v>
      </c>
      <c r="T8314">
        <v>-5.2676920000000002E-2</v>
      </c>
      <c r="U8314">
        <v>-3.0101010000000001</v>
      </c>
      <c r="V8314">
        <v>6.4900689999999997E-2</v>
      </c>
      <c r="W8314">
        <v>-1.884949E-2</v>
      </c>
      <c r="X8314">
        <v>0.99771370000000004</v>
      </c>
      <c r="Y8314">
        <v>-9.1469019999999998E-2</v>
      </c>
      <c r="Z8314">
        <v>1.7361270000000002E-2</v>
      </c>
      <c r="AA8314">
        <v>0.99565650000000006</v>
      </c>
      <c r="AB8314">
        <v>12</v>
      </c>
      <c r="AC8314">
        <v>8.4704999999999497</v>
      </c>
      <c r="AD8314">
        <v>-1.10994192462</v>
      </c>
      <c r="AE8314">
        <v>-63.298676</v>
      </c>
      <c r="AF8314">
        <v>-5.8524715023702303</v>
      </c>
      <c r="AG8314">
        <v>-1.10994192462</v>
      </c>
      <c r="AH8314">
        <v>63.574818165121101</v>
      </c>
      <c r="AI8314">
        <v>90.996005130757496</v>
      </c>
      <c r="AJ8314">
        <v>95.259621618950305</v>
      </c>
      <c r="AK8314">
        <v>63.853276333249298</v>
      </c>
      <c r="AL8314">
        <v>91.080060171362504</v>
      </c>
      <c r="AM8314">
        <v>86.278186820958197</v>
      </c>
      <c r="AN8314">
        <v>1.0000000150017101</v>
      </c>
    </row>
    <row r="8315" spans="1:40" x14ac:dyDescent="0.25">
      <c r="A8315" t="str">
        <f>"20190312154122840"</f>
        <v>20190312154122840</v>
      </c>
      <c r="B8315" t="str">
        <f>"1552376482834352"</f>
        <v>1552376482834352</v>
      </c>
      <c r="C8315" t="s">
        <v>40</v>
      </c>
      <c r="D8315">
        <v>4.1419329999999999</v>
      </c>
      <c r="E8315">
        <v>0.4209447</v>
      </c>
      <c r="F8315" t="s">
        <v>69</v>
      </c>
      <c r="G8315">
        <v>-294.2439</v>
      </c>
      <c r="H8315" s="1">
        <v>-1.290266E-5</v>
      </c>
      <c r="I8315">
        <v>-69.142080000000007</v>
      </c>
      <c r="J8315">
        <v>-302.63240000000002</v>
      </c>
      <c r="K8315">
        <v>1.109953</v>
      </c>
      <c r="L8315">
        <v>-6.2274779999999996</v>
      </c>
      <c r="M8315">
        <v>4.103735E-2</v>
      </c>
      <c r="N8315">
        <v>0</v>
      </c>
      <c r="O8315">
        <v>-0.99907020000000002</v>
      </c>
      <c r="P8315">
        <v>-2.439001E-2</v>
      </c>
      <c r="Q8315">
        <v>-3.1250489999999999E-2</v>
      </c>
      <c r="R8315">
        <v>-0.99921409999999999</v>
      </c>
      <c r="S8315">
        <v>0.40078740000000002</v>
      </c>
      <c r="T8315">
        <v>-5.299997E-2</v>
      </c>
      <c r="U8315">
        <v>-3.0102229999999999</v>
      </c>
      <c r="V8315">
        <v>6.5375099999999894E-2</v>
      </c>
      <c r="W8315">
        <v>-1.806195E-2</v>
      </c>
      <c r="X8315">
        <v>0.99769730000000001</v>
      </c>
      <c r="Y8315">
        <v>-9.1164149999999999E-2</v>
      </c>
      <c r="Z8315">
        <v>1.7468009999999999E-2</v>
      </c>
      <c r="AA8315">
        <v>0.99568270000000003</v>
      </c>
      <c r="AB8315">
        <v>12</v>
      </c>
      <c r="AC8315">
        <v>8.3885000000000201</v>
      </c>
      <c r="AD8315">
        <v>-1.1099659026599999</v>
      </c>
      <c r="AE8315">
        <v>-62.914602000000002</v>
      </c>
      <c r="AF8315">
        <v>-5.7975853351260804</v>
      </c>
      <c r="AG8315">
        <v>-1.1099659026599999</v>
      </c>
      <c r="AH8315">
        <v>63.186542575192099</v>
      </c>
      <c r="AI8315">
        <v>91.002173556507998</v>
      </c>
      <c r="AJ8315">
        <v>95.242408766105498</v>
      </c>
      <c r="AK8315">
        <v>63.461667033176099</v>
      </c>
      <c r="AL8315">
        <v>91.034929760745797</v>
      </c>
      <c r="AM8315">
        <v>86.250997026215799</v>
      </c>
      <c r="AN8315">
        <v>1.0000000200825501</v>
      </c>
    </row>
    <row r="8316" spans="1:40" x14ac:dyDescent="0.25">
      <c r="A8316" t="str">
        <f>"20190312154122861"</f>
        <v>20190312154122861</v>
      </c>
      <c r="B8316" t="str">
        <f>"1552376482854848"</f>
        <v>1552376482854848</v>
      </c>
      <c r="C8316" t="s">
        <v>40</v>
      </c>
      <c r="D8316">
        <v>4.0895279999999996</v>
      </c>
      <c r="E8316">
        <v>0.40799879999999999</v>
      </c>
      <c r="F8316" t="s">
        <v>43</v>
      </c>
      <c r="G8316">
        <v>-286.65260000000001</v>
      </c>
      <c r="H8316">
        <v>-0.05</v>
      </c>
      <c r="I8316">
        <v>-92.75694</v>
      </c>
      <c r="J8316">
        <v>-302.62759999999997</v>
      </c>
      <c r="K8316">
        <v>1.1099760000000001</v>
      </c>
      <c r="L8316">
        <v>-6.3477169999999896</v>
      </c>
      <c r="M8316">
        <v>4.0872770000000003E-2</v>
      </c>
      <c r="N8316">
        <v>0</v>
      </c>
      <c r="O8316">
        <v>-0.99907659999999998</v>
      </c>
      <c r="P8316">
        <v>-2.51696E-2</v>
      </c>
      <c r="Q8316">
        <v>-3.074998E-2</v>
      </c>
      <c r="R8316">
        <v>-0.9992105</v>
      </c>
      <c r="S8316">
        <v>0.55673219999999901</v>
      </c>
      <c r="T8316">
        <v>-4.0412660000000003E-2</v>
      </c>
      <c r="U8316">
        <v>-3.0146790000000001</v>
      </c>
      <c r="V8316">
        <v>6.5989649999999997E-2</v>
      </c>
      <c r="W8316">
        <v>-1.753157E-2</v>
      </c>
      <c r="X8316">
        <v>0.99766630000000001</v>
      </c>
      <c r="Y8316">
        <v>-0.14123869999999999</v>
      </c>
      <c r="Z8316">
        <v>1.320848E-2</v>
      </c>
      <c r="AA8316">
        <v>0.98988739999999997</v>
      </c>
      <c r="AB8316">
        <v>12</v>
      </c>
      <c r="AC8316">
        <v>15.9749999999999</v>
      </c>
      <c r="AD8316">
        <v>-1.1599759999999999</v>
      </c>
      <c r="AE8316">
        <v>-86.409222999999997</v>
      </c>
      <c r="AF8316">
        <v>-12.427388764901</v>
      </c>
      <c r="AG8316">
        <v>-1.1599759999999999</v>
      </c>
      <c r="AH8316">
        <v>86.974847326933798</v>
      </c>
      <c r="AI8316">
        <v>90.7564218770422</v>
      </c>
      <c r="AJ8316">
        <v>98.1316585851376</v>
      </c>
      <c r="AK8316">
        <v>87.865861421703499</v>
      </c>
      <c r="AL8316">
        <v>91.004536414006097</v>
      </c>
      <c r="AM8316">
        <v>86.215739698100194</v>
      </c>
      <c r="AN8316">
        <v>1.0000000180047299</v>
      </c>
    </row>
    <row r="8317" spans="1:40" x14ac:dyDescent="0.25">
      <c r="A8317" t="str">
        <f>"20190312154122883"</f>
        <v>20190312154122883</v>
      </c>
      <c r="B8317" t="str">
        <f>"1552376482874368"</f>
        <v>1552376482874368</v>
      </c>
      <c r="C8317" t="s">
        <v>40</v>
      </c>
      <c r="D8317">
        <v>4.1042529999999999</v>
      </c>
      <c r="E8317">
        <v>0.40049459999999998</v>
      </c>
      <c r="F8317" t="s">
        <v>69</v>
      </c>
      <c r="G8317">
        <v>-289.73320000000001</v>
      </c>
      <c r="H8317" s="1">
        <v>-2.5311070000000002E-6</v>
      </c>
      <c r="I8317">
        <v>-65.491550000000004</v>
      </c>
      <c r="J8317">
        <v>-302.62279999999998</v>
      </c>
      <c r="K8317">
        <v>1.109999</v>
      </c>
      <c r="L8317">
        <v>-6.4686579999999996</v>
      </c>
      <c r="M8317">
        <v>4.071135E-2</v>
      </c>
      <c r="N8317">
        <v>0</v>
      </c>
      <c r="O8317">
        <v>-0.99908260000000004</v>
      </c>
      <c r="P8317">
        <v>-2.5706099999999999E-2</v>
      </c>
      <c r="Q8317">
        <v>-3.1133549999999999E-2</v>
      </c>
      <c r="R8317">
        <v>-0.99918450000000003</v>
      </c>
      <c r="S8317">
        <v>0.65780640000000001</v>
      </c>
      <c r="T8317">
        <v>-5.6625370000000001E-2</v>
      </c>
      <c r="U8317">
        <v>-3.0172119999999998</v>
      </c>
      <c r="V8317">
        <v>6.6363510000000001E-2</v>
      </c>
      <c r="W8317">
        <v>-1.7888979999999999E-2</v>
      </c>
      <c r="X8317">
        <v>0.9976351</v>
      </c>
      <c r="Y8317">
        <v>-0.17302119999999999</v>
      </c>
      <c r="Z8317">
        <v>1.8383509999999999E-2</v>
      </c>
      <c r="AA8317">
        <v>0.98474649999999997</v>
      </c>
      <c r="AB8317">
        <v>12</v>
      </c>
      <c r="AC8317">
        <v>12.8895999999999</v>
      </c>
      <c r="AD8317">
        <v>-1.110001531107</v>
      </c>
      <c r="AE8317">
        <v>-59.022891999999999</v>
      </c>
      <c r="AF8317">
        <v>-10.4722630335035</v>
      </c>
      <c r="AG8317">
        <v>-1.110001531107</v>
      </c>
      <c r="AH8317">
        <v>59.478671098055997</v>
      </c>
      <c r="AI8317">
        <v>91.052947633150495</v>
      </c>
      <c r="AJ8317">
        <v>99.9855824818044</v>
      </c>
      <c r="AK8317">
        <v>60.403747499908199</v>
      </c>
      <c r="AL8317">
        <v>91.025017768078598</v>
      </c>
      <c r="AM8317">
        <v>86.194244378546401</v>
      </c>
      <c r="AN8317">
        <v>0.99999996190848395</v>
      </c>
    </row>
    <row r="8318" spans="1:40" x14ac:dyDescent="0.25">
      <c r="A8318" t="str">
        <f>"20190312154122905"</f>
        <v>20190312154122905</v>
      </c>
      <c r="B8318" t="str">
        <f>"1552376482894864"</f>
        <v>1552376482894864</v>
      </c>
      <c r="C8318" t="s">
        <v>40</v>
      </c>
      <c r="D8318">
        <v>4.1636449999999998</v>
      </c>
      <c r="E8318">
        <v>0.3972426</v>
      </c>
      <c r="F8318" t="s">
        <v>69</v>
      </c>
      <c r="G8318">
        <v>-290.9221</v>
      </c>
      <c r="H8318" s="1">
        <v>-9.9046830000000004E-6</v>
      </c>
      <c r="I8318">
        <v>-55.806579999999997</v>
      </c>
      <c r="J8318">
        <v>-302.61810000000003</v>
      </c>
      <c r="K8318">
        <v>1.1100110000000001</v>
      </c>
      <c r="L8318">
        <v>-6.5900569999999998</v>
      </c>
      <c r="M8318">
        <v>4.0553529999999997E-2</v>
      </c>
      <c r="N8318">
        <v>0</v>
      </c>
      <c r="O8318">
        <v>-0.9990888</v>
      </c>
      <c r="P8318">
        <v>-2.6370020000000001E-2</v>
      </c>
      <c r="Q8318">
        <v>-3.1329610000000001E-2</v>
      </c>
      <c r="R8318">
        <v>-0.99916119999999997</v>
      </c>
      <c r="S8318">
        <v>0.71591190000000005</v>
      </c>
      <c r="T8318">
        <v>-6.7915799999999998E-2</v>
      </c>
      <c r="U8318">
        <v>-3.0187379999999999</v>
      </c>
      <c r="V8318">
        <v>6.6868419999999998E-2</v>
      </c>
      <c r="W8318">
        <v>-1.8064340000000002E-2</v>
      </c>
      <c r="X8318">
        <v>0.99759830000000005</v>
      </c>
      <c r="Y8318">
        <v>-0.19104760000000001</v>
      </c>
      <c r="Z8318">
        <v>2.1953239999999999E-2</v>
      </c>
      <c r="AA8318">
        <v>0.98133519999999996</v>
      </c>
      <c r="AB8318">
        <v>12</v>
      </c>
      <c r="AC8318">
        <v>11.696</v>
      </c>
      <c r="AD8318">
        <v>-1.1100209046830001</v>
      </c>
      <c r="AE8318">
        <v>-49.216522999999903</v>
      </c>
      <c r="AF8318">
        <v>-9.6856329270527599</v>
      </c>
      <c r="AG8318">
        <v>-1.1100209046830001</v>
      </c>
      <c r="AH8318">
        <v>49.626490434312203</v>
      </c>
      <c r="AI8318">
        <v>91.2576292806515</v>
      </c>
      <c r="AJ8318">
        <v>101.043626422125</v>
      </c>
      <c r="AK8318">
        <v>50.575015417034898</v>
      </c>
      <c r="AL8318">
        <v>91.035066702418305</v>
      </c>
      <c r="AM8318">
        <v>86.165234278356607</v>
      </c>
      <c r="AN8318">
        <v>1.0000000370679101</v>
      </c>
    </row>
    <row r="8319" spans="1:40" x14ac:dyDescent="0.25">
      <c r="A8319" t="str">
        <f>"20190312154122928"</f>
        <v>20190312154122928</v>
      </c>
      <c r="B8319" t="str">
        <f>"1552376482924144"</f>
        <v>1552376482924144</v>
      </c>
      <c r="C8319" t="s">
        <v>40</v>
      </c>
      <c r="D8319">
        <v>4.1195240000000002</v>
      </c>
      <c r="E8319">
        <v>0.39490690000000001</v>
      </c>
      <c r="F8319" t="s">
        <v>69</v>
      </c>
      <c r="G8319">
        <v>-291.16820000000001</v>
      </c>
      <c r="H8319" s="1">
        <v>-1.0064220000000001E-5</v>
      </c>
      <c r="I8319">
        <v>-53.313740000000003</v>
      </c>
      <c r="J8319">
        <v>-302.61329999999998</v>
      </c>
      <c r="K8319">
        <v>1.110026</v>
      </c>
      <c r="L8319">
        <v>-6.7125849999999998</v>
      </c>
      <c r="M8319">
        <v>4.0397710000000003E-2</v>
      </c>
      <c r="N8319">
        <v>0</v>
      </c>
      <c r="O8319">
        <v>-0.99909499999999996</v>
      </c>
      <c r="P8319">
        <v>-2.6397830000000001E-2</v>
      </c>
      <c r="Q8319">
        <v>-3.1034929999999999E-2</v>
      </c>
      <c r="R8319">
        <v>-0.99916959999999999</v>
      </c>
      <c r="S8319">
        <v>0.74002080000000003</v>
      </c>
      <c r="T8319">
        <v>-7.1741940000000004E-2</v>
      </c>
      <c r="U8319">
        <v>-3.019806</v>
      </c>
      <c r="V8319">
        <v>6.6741149999999999E-2</v>
      </c>
      <c r="W8319">
        <v>-1.7757889999999998E-2</v>
      </c>
      <c r="X8319">
        <v>0.99761230000000001</v>
      </c>
      <c r="Y8319">
        <v>-0.198515</v>
      </c>
      <c r="Z8319">
        <v>2.3142880000000001E-2</v>
      </c>
      <c r="AA8319">
        <v>0.97982449999999999</v>
      </c>
      <c r="AB8319">
        <v>12</v>
      </c>
      <c r="AC8319">
        <v>11.445099999999901</v>
      </c>
      <c r="AD8319">
        <v>-1.11003606422</v>
      </c>
      <c r="AE8319">
        <v>-46.601154999999999</v>
      </c>
      <c r="AF8319">
        <v>-9.5478995056338807</v>
      </c>
      <c r="AG8319">
        <v>-1.11003606422</v>
      </c>
      <c r="AH8319">
        <v>47.000353114625597</v>
      </c>
      <c r="AI8319">
        <v>91.325866534317498</v>
      </c>
      <c r="AJ8319">
        <v>101.483106812139</v>
      </c>
      <c r="AK8319">
        <v>47.973198329203001</v>
      </c>
      <c r="AL8319">
        <v>91.017505619336305</v>
      </c>
      <c r="AM8319">
        <v>86.172564788348893</v>
      </c>
      <c r="AN8319">
        <v>1.0000000124359301</v>
      </c>
    </row>
    <row r="8320" spans="1:40" x14ac:dyDescent="0.25">
      <c r="A8320" t="str">
        <f>"20190312154122950"</f>
        <v>20190312154122950</v>
      </c>
      <c r="B8320" t="str">
        <f>"1552376482944640"</f>
        <v>1552376482944640</v>
      </c>
      <c r="C8320" t="s">
        <v>40</v>
      </c>
      <c r="D8320">
        <v>4.2335099999999999</v>
      </c>
      <c r="E8320">
        <v>0.39362520000000001</v>
      </c>
      <c r="F8320" t="s">
        <v>69</v>
      </c>
      <c r="G8320">
        <v>-291.34809999999999</v>
      </c>
      <c r="H8320" s="1">
        <v>-1.0175010000000001E-5</v>
      </c>
      <c r="I8320">
        <v>-51.574809999999999</v>
      </c>
      <c r="J8320">
        <v>-302.60849999999999</v>
      </c>
      <c r="K8320">
        <v>1.1100319999999999</v>
      </c>
      <c r="L8320">
        <v>-6.8347170000000004</v>
      </c>
      <c r="M8320">
        <v>4.024548E-2</v>
      </c>
      <c r="N8320">
        <v>0</v>
      </c>
      <c r="O8320">
        <v>-0.99910120000000002</v>
      </c>
      <c r="P8320">
        <v>-2.6457580000000001E-2</v>
      </c>
      <c r="Q8320">
        <v>-3.0608650000000001E-2</v>
      </c>
      <c r="R8320">
        <v>-0.99918119999999999</v>
      </c>
      <c r="S8320">
        <v>0.75839230000000002</v>
      </c>
      <c r="T8320">
        <v>-7.472956E-2</v>
      </c>
      <c r="U8320">
        <v>-3.020203</v>
      </c>
      <c r="V8320">
        <v>6.6649470000000002E-2</v>
      </c>
      <c r="W8320">
        <v>-1.7333660000000001E-2</v>
      </c>
      <c r="X8320">
        <v>0.99762589999999995</v>
      </c>
      <c r="Y8320">
        <v>-0.20424049999999999</v>
      </c>
      <c r="Z8320">
        <v>2.4071530000000001E-2</v>
      </c>
      <c r="AA8320">
        <v>0.97862479999999996</v>
      </c>
      <c r="AB8320">
        <v>12</v>
      </c>
      <c r="AC8320">
        <v>11.260400000000001</v>
      </c>
      <c r="AD8320">
        <v>-1.11004217500999</v>
      </c>
      <c r="AE8320">
        <v>-44.740093000000002</v>
      </c>
      <c r="AF8320">
        <v>-9.4450616463109505</v>
      </c>
      <c r="AG8320">
        <v>-1.11004217500999</v>
      </c>
      <c r="AH8320">
        <v>45.130932755503302</v>
      </c>
      <c r="AI8320">
        <v>91.379099338567499</v>
      </c>
      <c r="AJ8320">
        <v>101.820335882764</v>
      </c>
      <c r="AK8320">
        <v>46.122038924083498</v>
      </c>
      <c r="AL8320">
        <v>90.993195279120798</v>
      </c>
      <c r="AM8320">
        <v>86.177858759167506</v>
      </c>
      <c r="AN8320">
        <v>1.0000000219855401</v>
      </c>
    </row>
    <row r="8321" spans="1:40" x14ac:dyDescent="0.25">
      <c r="A8321" t="str">
        <f>"20190312154122972"</f>
        <v>20190312154122972</v>
      </c>
      <c r="B8321" t="str">
        <f>"1552376482964160"</f>
        <v>1552376482964160</v>
      </c>
      <c r="C8321" t="s">
        <v>40</v>
      </c>
      <c r="D8321">
        <v>4.0564580000000001</v>
      </c>
      <c r="E8321">
        <v>0.39276660000000002</v>
      </c>
      <c r="F8321" t="s">
        <v>69</v>
      </c>
      <c r="G8321">
        <v>-290.07150000000001</v>
      </c>
      <c r="H8321" s="1">
        <v>-1.0183609999999999E-5</v>
      </c>
      <c r="I8321">
        <v>-56.110140000000001</v>
      </c>
      <c r="J8321">
        <v>-302.60390000000001</v>
      </c>
      <c r="K8321">
        <v>1.1100350000000001</v>
      </c>
      <c r="L8321">
        <v>-6.9560240000000002</v>
      </c>
      <c r="M8321">
        <v>4.0095779999999998E-2</v>
      </c>
      <c r="N8321">
        <v>0</v>
      </c>
      <c r="O8321">
        <v>-0.99910739999999998</v>
      </c>
      <c r="P8321">
        <v>-2.6492499999999999E-2</v>
      </c>
      <c r="Q8321">
        <v>-3.0236119999999998E-2</v>
      </c>
      <c r="R8321">
        <v>-0.99919139999999995</v>
      </c>
      <c r="S8321">
        <v>0.76855469999999904</v>
      </c>
      <c r="T8321">
        <v>-6.8048719999999993E-2</v>
      </c>
      <c r="U8321">
        <v>-3.020721</v>
      </c>
      <c r="V8321">
        <v>6.6535410000000003E-2</v>
      </c>
      <c r="W8321">
        <v>-1.6983410000000001E-2</v>
      </c>
      <c r="X8321">
        <v>0.99763950000000001</v>
      </c>
      <c r="Y8321">
        <v>-0.20745330000000001</v>
      </c>
      <c r="Z8321">
        <v>2.190081E-2</v>
      </c>
      <c r="AA8321">
        <v>0.97799970000000003</v>
      </c>
      <c r="AB8321">
        <v>12</v>
      </c>
      <c r="AC8321">
        <v>12.5323999999999</v>
      </c>
      <c r="AD8321">
        <v>-1.11004518361</v>
      </c>
      <c r="AE8321">
        <v>-49.154115999999902</v>
      </c>
      <c r="AF8321">
        <v>-10.5462231934561</v>
      </c>
      <c r="AG8321">
        <v>-1.11004518361</v>
      </c>
      <c r="AH8321">
        <v>49.593373693121997</v>
      </c>
      <c r="AI8321">
        <v>91.254197870281601</v>
      </c>
      <c r="AJ8321">
        <v>102.005334631843</v>
      </c>
      <c r="AK8321">
        <v>50.714472670249599</v>
      </c>
      <c r="AL8321">
        <v>90.973124514393106</v>
      </c>
      <c r="AM8321">
        <v>86.184432270953096</v>
      </c>
      <c r="AN8321">
        <v>0.99999998447967298</v>
      </c>
    </row>
    <row r="8322" spans="1:40" x14ac:dyDescent="0.25">
      <c r="A8322" t="str">
        <f>"20190312154122995"</f>
        <v>20190312154122995</v>
      </c>
      <c r="B8322" t="str">
        <f>"1552376482984657"</f>
        <v>1552376482984657</v>
      </c>
      <c r="C8322" t="s">
        <v>40</v>
      </c>
      <c r="D8322">
        <v>4.108403</v>
      </c>
      <c r="E8322">
        <v>0.39214529999999997</v>
      </c>
      <c r="F8322" t="s">
        <v>69</v>
      </c>
      <c r="G8322">
        <v>-289.7124</v>
      </c>
      <c r="H8322" s="1">
        <v>-1.7304030000000001E-6</v>
      </c>
      <c r="I8322">
        <v>-57.181829999999998</v>
      </c>
      <c r="J8322">
        <v>-302.59910000000002</v>
      </c>
      <c r="K8322">
        <v>1.1100289999999999</v>
      </c>
      <c r="L8322">
        <v>-7.0796509999999904</v>
      </c>
      <c r="M8322">
        <v>3.9944010000000002E-2</v>
      </c>
      <c r="N8322">
        <v>0</v>
      </c>
      <c r="O8322">
        <v>-0.99911430000000001</v>
      </c>
      <c r="P8322">
        <v>-2.6602850000000001E-2</v>
      </c>
      <c r="Q8322">
        <v>-3.0254219999999998E-2</v>
      </c>
      <c r="R8322">
        <v>-0.99918839999999998</v>
      </c>
      <c r="S8322">
        <v>0.77539060000000004</v>
      </c>
      <c r="T8322">
        <v>-6.6766140000000002E-2</v>
      </c>
      <c r="U8322">
        <v>-3.020966</v>
      </c>
      <c r="V8322">
        <v>6.6493960000000005E-2</v>
      </c>
      <c r="W8322">
        <v>-1.7050829999999999E-2</v>
      </c>
      <c r="X8322">
        <v>0.99764109999999995</v>
      </c>
      <c r="Y8322">
        <v>-0.20966219999999999</v>
      </c>
      <c r="Z8322">
        <v>2.14757E-2</v>
      </c>
      <c r="AA8322">
        <v>0.97753800000000002</v>
      </c>
      <c r="AB8322">
        <v>12</v>
      </c>
      <c r="AC8322">
        <v>12.886699999999999</v>
      </c>
      <c r="AD8322">
        <v>-1.1100307304029999</v>
      </c>
      <c r="AE8322">
        <v>-50.102179</v>
      </c>
      <c r="AF8322">
        <v>-10.8699518759733</v>
      </c>
      <c r="AG8322">
        <v>-1.1100307304029999</v>
      </c>
      <c r="AH8322">
        <v>50.553703010129098</v>
      </c>
      <c r="AI8322">
        <v>91.229769784145404</v>
      </c>
      <c r="AJ8322">
        <v>102.13486133358801</v>
      </c>
      <c r="AK8322">
        <v>51.721029669224002</v>
      </c>
      <c r="AL8322">
        <v>90.976987968546595</v>
      </c>
      <c r="AM8322">
        <v>86.186808362739299</v>
      </c>
      <c r="AN8322">
        <v>0.99999997096468896</v>
      </c>
    </row>
    <row r="8323" spans="1:40" x14ac:dyDescent="0.25">
      <c r="A8323" t="str">
        <f>"20190312154123017"</f>
        <v>20190312154123017</v>
      </c>
      <c r="B8323" t="str">
        <f>"1552376483014912"</f>
        <v>1552376483014912</v>
      </c>
      <c r="C8323" t="s">
        <v>40</v>
      </c>
      <c r="D8323">
        <v>4.0976499999999998</v>
      </c>
      <c r="E8323">
        <v>0.39157530000000002</v>
      </c>
      <c r="F8323" t="s">
        <v>69</v>
      </c>
      <c r="G8323">
        <v>-289.87290000000002</v>
      </c>
      <c r="H8323" s="1">
        <v>-1.8138689999999999E-6</v>
      </c>
      <c r="I8323">
        <v>-56.379159999999999</v>
      </c>
      <c r="J8323">
        <v>-302.59449999999998</v>
      </c>
      <c r="K8323">
        <v>1.1100190000000001</v>
      </c>
      <c r="L8323">
        <v>-7.1985169999999998</v>
      </c>
      <c r="M8323">
        <v>3.980761E-2</v>
      </c>
      <c r="N8323">
        <v>0</v>
      </c>
      <c r="O8323">
        <v>-0.99912049999999997</v>
      </c>
      <c r="P8323">
        <v>-2.6579450000000001E-2</v>
      </c>
      <c r="Q8323">
        <v>-2.9873179999999999E-2</v>
      </c>
      <c r="R8323">
        <v>-0.99920019999999998</v>
      </c>
      <c r="S8323">
        <v>0.77987669999999998</v>
      </c>
      <c r="T8323">
        <v>-6.8024399999999902E-2</v>
      </c>
      <c r="U8323">
        <v>-3.0211489999999999</v>
      </c>
      <c r="V8323">
        <v>6.6334660000000004E-2</v>
      </c>
      <c r="W8323">
        <v>-1.6738010000000001E-2</v>
      </c>
      <c r="X8323">
        <v>0.99765700000000002</v>
      </c>
      <c r="Y8323">
        <v>-0.21114040000000001</v>
      </c>
      <c r="Z8323">
        <v>2.1871620000000001E-2</v>
      </c>
      <c r="AA8323">
        <v>0.97721100000000005</v>
      </c>
      <c r="AB8323">
        <v>12</v>
      </c>
      <c r="AC8323">
        <v>12.721599999999899</v>
      </c>
      <c r="AD8323">
        <v>-1.110020813869</v>
      </c>
      <c r="AE8323">
        <v>-49.180643000000003</v>
      </c>
      <c r="AF8323">
        <v>-10.748448785645801</v>
      </c>
      <c r="AG8323">
        <v>-1.110020813869</v>
      </c>
      <c r="AH8323">
        <v>49.624420123118703</v>
      </c>
      <c r="AI8323">
        <v>91.252372933920398</v>
      </c>
      <c r="AJ8323">
        <v>102.221252935176</v>
      </c>
      <c r="AK8323">
        <v>50.787246135822897</v>
      </c>
      <c r="AL8323">
        <v>90.9590621458225</v>
      </c>
      <c r="AM8323">
        <v>86.195977244222405</v>
      </c>
      <c r="AN8323">
        <v>0.99999996887253695</v>
      </c>
    </row>
    <row r="8324" spans="1:40" x14ac:dyDescent="0.25">
      <c r="A8324" t="str">
        <f>"20190312154123040"</f>
        <v>20190312154123040</v>
      </c>
      <c r="B8324" t="str">
        <f>"1552376483034433"</f>
        <v>1552376483034433</v>
      </c>
      <c r="C8324" t="s">
        <v>40</v>
      </c>
      <c r="D8324">
        <v>4.098732</v>
      </c>
      <c r="E8324">
        <v>0.39105810000000002</v>
      </c>
      <c r="F8324" t="s">
        <v>69</v>
      </c>
      <c r="G8324">
        <v>-290.09190000000001</v>
      </c>
      <c r="H8324" s="1">
        <v>-1.0252140000000001E-5</v>
      </c>
      <c r="I8324">
        <v>-55.349910000000001</v>
      </c>
      <c r="J8324">
        <v>-302.58980000000003</v>
      </c>
      <c r="K8324">
        <v>1.1100110000000001</v>
      </c>
      <c r="L8324">
        <v>-7.3217470000000002</v>
      </c>
      <c r="M8324">
        <v>3.9655419999999997E-2</v>
      </c>
      <c r="N8324">
        <v>0</v>
      </c>
      <c r="O8324">
        <v>-0.99912789999999996</v>
      </c>
      <c r="P8324">
        <v>-2.6669140000000001E-2</v>
      </c>
      <c r="Q8324">
        <v>-2.9372229999999999E-2</v>
      </c>
      <c r="R8324">
        <v>-0.99921329999999997</v>
      </c>
      <c r="S8324">
        <v>0.78445430000000005</v>
      </c>
      <c r="T8324">
        <v>-6.9646949999999999E-2</v>
      </c>
      <c r="U8324">
        <v>-3.0211790000000001</v>
      </c>
      <c r="V8324">
        <v>6.6272940000000002E-2</v>
      </c>
      <c r="W8324">
        <v>-1.631264E-2</v>
      </c>
      <c r="X8324">
        <v>0.99766820000000001</v>
      </c>
      <c r="Y8324">
        <v>-0.21267150000000001</v>
      </c>
      <c r="Z8324">
        <v>2.238509E-2</v>
      </c>
      <c r="AA8324">
        <v>0.97686729999999999</v>
      </c>
      <c r="AB8324">
        <v>12</v>
      </c>
      <c r="AC8324">
        <v>12.4979</v>
      </c>
      <c r="AD8324">
        <v>-1.1100212521399999</v>
      </c>
      <c r="AE8324">
        <v>-48.0281629999999</v>
      </c>
      <c r="AF8324">
        <v>-10.578035913461999</v>
      </c>
      <c r="AG8324">
        <v>-1.1100212521399999</v>
      </c>
      <c r="AH8324">
        <v>48.461785516534299</v>
      </c>
      <c r="AI8324">
        <v>91.281961848993006</v>
      </c>
      <c r="AJ8324">
        <v>102.313156821107</v>
      </c>
      <c r="AK8324">
        <v>49.6152360310547</v>
      </c>
      <c r="AL8324">
        <v>90.934686861878902</v>
      </c>
      <c r="AM8324">
        <v>86.199548797531904</v>
      </c>
      <c r="AN8324">
        <v>1.0000000210456199</v>
      </c>
    </row>
    <row r="8325" spans="1:40" x14ac:dyDescent="0.25">
      <c r="A8325" t="str">
        <f>"20190312154123062"</f>
        <v>20190312154123062</v>
      </c>
      <c r="B8325" t="str">
        <f>"1552376483054928"</f>
        <v>1552376483054928</v>
      </c>
      <c r="C8325" t="s">
        <v>40</v>
      </c>
      <c r="D8325">
        <v>3.9731589999999999</v>
      </c>
      <c r="E8325">
        <v>0.39038469999999997</v>
      </c>
      <c r="F8325" t="s">
        <v>69</v>
      </c>
      <c r="G8325">
        <v>-290.09100000000001</v>
      </c>
      <c r="H8325" s="1">
        <v>-1.0265169999999999E-5</v>
      </c>
      <c r="I8325">
        <v>-55.222670000000001</v>
      </c>
      <c r="J8325">
        <v>-302.58519999999999</v>
      </c>
      <c r="K8325">
        <v>1.110007</v>
      </c>
      <c r="L8325">
        <v>-7.4405210000000004</v>
      </c>
      <c r="M8325">
        <v>3.9499600000000003E-2</v>
      </c>
      <c r="N8325">
        <v>0</v>
      </c>
      <c r="O8325">
        <v>-0.99913479999999999</v>
      </c>
      <c r="P8325">
        <v>-2.6376460000000001E-2</v>
      </c>
      <c r="Q8325">
        <v>-2.892105E-2</v>
      </c>
      <c r="R8325">
        <v>-0.99923390000000001</v>
      </c>
      <c r="S8325">
        <v>0.78836059999999997</v>
      </c>
      <c r="T8325">
        <v>-7.001483E-2</v>
      </c>
      <c r="U8325">
        <v>-3.0213619999999999</v>
      </c>
      <c r="V8325">
        <v>6.5825939999999999E-2</v>
      </c>
      <c r="W8325">
        <v>-1.592988E-2</v>
      </c>
      <c r="X8325">
        <v>0.99770400000000004</v>
      </c>
      <c r="Y8325">
        <v>-0.2139915</v>
      </c>
      <c r="Z8325">
        <v>2.2495270000000001E-2</v>
      </c>
      <c r="AA8325">
        <v>0.97657640000000001</v>
      </c>
      <c r="AB8325">
        <v>12</v>
      </c>
      <c r="AC8325">
        <v>12.4941999999999</v>
      </c>
      <c r="AD8325">
        <v>-1.11001726517</v>
      </c>
      <c r="AE8325">
        <v>-47.782148999999897</v>
      </c>
      <c r="AF8325">
        <v>-10.591561876877099</v>
      </c>
      <c r="AG8325">
        <v>-1.11001726517</v>
      </c>
      <c r="AH8325">
        <v>48.214056072585301</v>
      </c>
      <c r="AI8325">
        <v>91.288164552964801</v>
      </c>
      <c r="AJ8325">
        <v>102.389813545278</v>
      </c>
      <c r="AK8325">
        <v>49.3761939024374</v>
      </c>
      <c r="AL8325">
        <v>90.912753458737598</v>
      </c>
      <c r="AM8325">
        <v>86.225242906980498</v>
      </c>
      <c r="AN8325">
        <v>1.00000004353484</v>
      </c>
    </row>
    <row r="8326" spans="1:40" x14ac:dyDescent="0.25">
      <c r="A8326" t="str">
        <f>"20190312154123178"</f>
        <v>20190312154123178</v>
      </c>
      <c r="B8326" t="str">
        <f>"1552376483174947"</f>
        <v>1552376483174947</v>
      </c>
      <c r="C8326" t="s">
        <v>40</v>
      </c>
      <c r="D8326">
        <v>3.2010450000000001</v>
      </c>
      <c r="E8326">
        <v>0.39038469999999997</v>
      </c>
      <c r="F8326" t="s">
        <v>69</v>
      </c>
      <c r="G8326">
        <v>-290.34300000000002</v>
      </c>
      <c r="H8326" s="1">
        <v>-1.029708E-5</v>
      </c>
      <c r="I8326">
        <v>-53.986060000000002</v>
      </c>
      <c r="J8326">
        <v>-302.5616</v>
      </c>
      <c r="K8326">
        <v>1.1098190000000001</v>
      </c>
      <c r="L8326">
        <v>-8.0704349999999998</v>
      </c>
      <c r="M8326">
        <v>3.8586349999999998E-2</v>
      </c>
      <c r="N8326">
        <v>0</v>
      </c>
      <c r="O8326">
        <v>-0.99918289999999998</v>
      </c>
      <c r="P8326">
        <v>-2.074324E-2</v>
      </c>
      <c r="Q8326">
        <v>-2.741265E-2</v>
      </c>
      <c r="R8326">
        <v>-0.99940910000000005</v>
      </c>
      <c r="S8326">
        <v>0.79461669999999995</v>
      </c>
      <c r="T8326">
        <v>-7.2049020000000005E-2</v>
      </c>
      <c r="U8326">
        <v>-3.0211790000000001</v>
      </c>
      <c r="V8326">
        <v>5.9290870000000002E-2</v>
      </c>
      <c r="W8326">
        <v>-1.541587E-2</v>
      </c>
      <c r="X8326">
        <v>0.9981217</v>
      </c>
      <c r="Y8326">
        <v>-0.21678710000000001</v>
      </c>
      <c r="Z8326">
        <v>2.3137899999999999E-2</v>
      </c>
      <c r="AA8326">
        <v>0.9759447</v>
      </c>
      <c r="AB8326">
        <v>12</v>
      </c>
      <c r="AC8326">
        <v>12.218599999999901</v>
      </c>
      <c r="AD8326">
        <v>-1.1098292970799899</v>
      </c>
      <c r="AE8326">
        <v>-45.915624999999899</v>
      </c>
      <c r="AF8326">
        <v>-10.431962894879399</v>
      </c>
      <c r="AG8326">
        <v>-1.1098292970799899</v>
      </c>
      <c r="AH8326">
        <v>46.327654028144799</v>
      </c>
      <c r="AI8326">
        <v>91.338810289972301</v>
      </c>
      <c r="AJ8326">
        <v>102.690083769811</v>
      </c>
      <c r="AK8326">
        <v>47.500622087087301</v>
      </c>
      <c r="AL8326">
        <v>90.883299283674106</v>
      </c>
      <c r="AM8326">
        <v>86.600485384346101</v>
      </c>
      <c r="AN8326">
        <v>0.99999999216205104</v>
      </c>
    </row>
    <row r="8327" spans="1:40" x14ac:dyDescent="0.25">
      <c r="A8327" t="str">
        <f>"20190312154123195"</f>
        <v>20190312154123195</v>
      </c>
      <c r="B8327" t="str">
        <f>"1552376483184706"</f>
        <v>1552376483184706</v>
      </c>
      <c r="C8327" t="s">
        <v>40</v>
      </c>
      <c r="D8327">
        <v>3.8011810000000001</v>
      </c>
      <c r="E8327">
        <v>0.51103069999999995</v>
      </c>
      <c r="F8327" t="s">
        <v>69</v>
      </c>
      <c r="G8327">
        <v>-289.74549999999999</v>
      </c>
      <c r="H8327" s="1">
        <v>-2.0408259999999999E-6</v>
      </c>
      <c r="I8327">
        <v>-55.697679999999998</v>
      </c>
      <c r="J8327">
        <v>-302.55799999999999</v>
      </c>
      <c r="K8327">
        <v>1.1097699999999999</v>
      </c>
      <c r="L8327">
        <v>-8.1682429999999897</v>
      </c>
      <c r="M8327">
        <v>3.8418109999999998E-2</v>
      </c>
      <c r="N8327">
        <v>0</v>
      </c>
      <c r="O8327">
        <v>-0.999193</v>
      </c>
      <c r="P8327">
        <v>-1.9476719999999999E-2</v>
      </c>
      <c r="Q8327">
        <v>-2.691822E-2</v>
      </c>
      <c r="R8327">
        <v>-0.99944820000000001</v>
      </c>
      <c r="S8327">
        <v>0.81176759999999903</v>
      </c>
      <c r="T8327">
        <v>-7.0295689999999994E-2</v>
      </c>
      <c r="U8327">
        <v>-3.0166930000000001</v>
      </c>
      <c r="V8327">
        <v>5.7858430000000002E-2</v>
      </c>
      <c r="W8327">
        <v>-1.5211290000000001E-2</v>
      </c>
      <c r="X8327">
        <v>0.99820889999999995</v>
      </c>
      <c r="Y8327">
        <v>-0.2224894</v>
      </c>
      <c r="Z8327">
        <v>2.2576869999999999E-2</v>
      </c>
      <c r="AA8327">
        <v>0.97467369999999998</v>
      </c>
      <c r="AB8327">
        <v>12</v>
      </c>
      <c r="AC8327">
        <v>12.8125</v>
      </c>
      <c r="AD8327">
        <v>-1.1097720408259999</v>
      </c>
      <c r="AE8327">
        <v>-47.529437000000001</v>
      </c>
      <c r="AF8327">
        <v>-10.9713471193012</v>
      </c>
      <c r="AG8327">
        <v>-1.1097720408259999</v>
      </c>
      <c r="AH8327">
        <v>47.962232733775302</v>
      </c>
      <c r="AI8327">
        <v>91.2921357564</v>
      </c>
      <c r="AJ8327">
        <v>102.884709114172</v>
      </c>
      <c r="AK8327">
        <v>49.213593857831903</v>
      </c>
      <c r="AL8327">
        <v>90.871576336188795</v>
      </c>
      <c r="AM8327">
        <v>86.6827195365953</v>
      </c>
      <c r="AN8327">
        <v>0.999999994652369</v>
      </c>
    </row>
    <row r="8328" spans="1:40" x14ac:dyDescent="0.25">
      <c r="A8328" t="str">
        <f>"20190312154123219"</f>
        <v>20190312154123219</v>
      </c>
      <c r="B8328" t="str">
        <f>"1552376483214963"</f>
        <v>1552376483214963</v>
      </c>
      <c r="C8328" t="s">
        <v>40</v>
      </c>
      <c r="D8328">
        <v>4.469436</v>
      </c>
      <c r="E8328">
        <v>0.49204300000000001</v>
      </c>
      <c r="F8328" t="s">
        <v>41</v>
      </c>
      <c r="G8328">
        <v>-302.59030000000001</v>
      </c>
      <c r="H8328">
        <v>0.91199969999999997</v>
      </c>
      <c r="I8328">
        <v>-8.8431169999999995</v>
      </c>
      <c r="J8328">
        <v>-302.55340000000001</v>
      </c>
      <c r="K8328">
        <v>1.1097079999999999</v>
      </c>
      <c r="L8328">
        <v>-8.2946779999999993</v>
      </c>
      <c r="M8328">
        <v>3.819202E-2</v>
      </c>
      <c r="N8328">
        <v>0</v>
      </c>
      <c r="O8328">
        <v>-0.99920629999999999</v>
      </c>
      <c r="P8328">
        <v>-1.7636140000000002E-2</v>
      </c>
      <c r="Q8328">
        <v>-2.606029E-2</v>
      </c>
      <c r="R8328">
        <v>-0.99950490000000003</v>
      </c>
      <c r="S8328">
        <v>-0.14144899999999999</v>
      </c>
      <c r="T8328">
        <v>-0.87189899999999998</v>
      </c>
      <c r="U8328">
        <v>-2.9754330000000002</v>
      </c>
      <c r="V8328">
        <v>5.579518E-2</v>
      </c>
      <c r="W8328">
        <v>-1.475364E-2</v>
      </c>
      <c r="X8328">
        <v>0.99833320000000003</v>
      </c>
      <c r="Y8328">
        <v>8.3694710000000005E-2</v>
      </c>
      <c r="Z8328">
        <v>0.28026010000000001</v>
      </c>
      <c r="AA8328">
        <v>0.95626849999999997</v>
      </c>
      <c r="AB8328">
        <v>12</v>
      </c>
      <c r="AC8328">
        <v>-3.6900000000002799E-2</v>
      </c>
      <c r="AD8328">
        <v>-0.197708299999999</v>
      </c>
      <c r="AE8328">
        <v>-0.54843900000000001</v>
      </c>
      <c r="AF8328">
        <v>5.1197075053503398E-2</v>
      </c>
      <c r="AG8328">
        <v>-0.197708299999999</v>
      </c>
      <c r="AH8328">
        <v>0.48401297016660999</v>
      </c>
      <c r="AI8328">
        <v>112.107536628273</v>
      </c>
      <c r="AJ8328">
        <v>83.961919976277898</v>
      </c>
      <c r="AK8328">
        <v>0.525336337666097</v>
      </c>
      <c r="AL8328">
        <v>90.845351995332095</v>
      </c>
      <c r="AM8328">
        <v>86.801162059235295</v>
      </c>
      <c r="AN8328">
        <v>0.99999997511336003</v>
      </c>
    </row>
    <row r="8329" spans="1:40" x14ac:dyDescent="0.25">
      <c r="A8329" t="str">
        <f>"20190312154123241"</f>
        <v>20190312154123241</v>
      </c>
      <c r="B8329" t="str">
        <f>"1552376483234483"</f>
        <v>1552376483234483</v>
      </c>
      <c r="C8329" t="s">
        <v>40</v>
      </c>
      <c r="D8329">
        <v>4.3919110000000003</v>
      </c>
      <c r="E8329">
        <v>0.4936816</v>
      </c>
      <c r="F8329" t="s">
        <v>41</v>
      </c>
      <c r="G8329">
        <v>-302.54989999999998</v>
      </c>
      <c r="H8329">
        <v>0.97340360000000004</v>
      </c>
      <c r="I8329">
        <v>-9.0938700000000008</v>
      </c>
      <c r="J8329">
        <v>-302.5489</v>
      </c>
      <c r="K8329">
        <v>1.109626</v>
      </c>
      <c r="L8329">
        <v>-8.4190670000000001</v>
      </c>
      <c r="M8329">
        <v>3.79619E-2</v>
      </c>
      <c r="N8329">
        <v>0</v>
      </c>
      <c r="O8329">
        <v>-0.99921990000000005</v>
      </c>
      <c r="P8329">
        <v>-1.6083719999999999E-2</v>
      </c>
      <c r="Q8329">
        <v>-2.5092650000000001E-2</v>
      </c>
      <c r="R8329">
        <v>-0.99955559999999999</v>
      </c>
      <c r="S8329">
        <v>1.333618E-2</v>
      </c>
      <c r="T8329">
        <v>-0.50966650000000002</v>
      </c>
      <c r="U8329">
        <v>-2.9884339999999998</v>
      </c>
      <c r="V8329">
        <v>5.4015609999999999E-2</v>
      </c>
      <c r="W8329">
        <v>-1.422972E-2</v>
      </c>
      <c r="X8329">
        <v>0.99843870000000001</v>
      </c>
      <c r="Y8329">
        <v>3.3567670000000001E-2</v>
      </c>
      <c r="Z8329">
        <v>0.16788989999999901</v>
      </c>
      <c r="AA8329">
        <v>0.9852341</v>
      </c>
      <c r="AB8329">
        <v>12</v>
      </c>
      <c r="AC8329">
        <v>-9.9999999997635292E-4</v>
      </c>
      <c r="AD8329">
        <v>-0.13622239999999899</v>
      </c>
      <c r="AE8329">
        <v>-0.67480299999999804</v>
      </c>
      <c r="AF8329">
        <v>2.55753697884443E-2</v>
      </c>
      <c r="AG8329">
        <v>-0.13622239999999899</v>
      </c>
      <c r="AH8329">
        <v>0.64787671527180002</v>
      </c>
      <c r="AI8329">
        <v>101.86505368764701</v>
      </c>
      <c r="AJ8329">
        <v>87.739384278750293</v>
      </c>
      <c r="AK8329">
        <v>0.66253670086490501</v>
      </c>
      <c r="AL8329">
        <v>90.815330413033394</v>
      </c>
      <c r="AM8329">
        <v>86.903312740716004</v>
      </c>
      <c r="AN8329">
        <v>1.00000000435632</v>
      </c>
    </row>
    <row r="8330" spans="1:40" x14ac:dyDescent="0.25">
      <c r="A8330" t="str">
        <f>"20190312154123263"</f>
        <v>20190312154123263</v>
      </c>
      <c r="B8330" t="str">
        <f>"1552376483254511"</f>
        <v>1552376483254511</v>
      </c>
      <c r="C8330" t="s">
        <v>40</v>
      </c>
      <c r="D8330">
        <v>4.4030420000000001</v>
      </c>
      <c r="E8330">
        <v>0.49587639999999999</v>
      </c>
      <c r="F8330" t="s">
        <v>69</v>
      </c>
      <c r="G8330">
        <v>-302.52499999999998</v>
      </c>
      <c r="H8330" s="1">
        <v>-1.0994870000000001E-6</v>
      </c>
      <c r="I8330">
        <v>-41.478009999999998</v>
      </c>
      <c r="J8330">
        <v>-302.5444</v>
      </c>
      <c r="K8330">
        <v>1.10954</v>
      </c>
      <c r="L8330">
        <v>-8.5459589999999999</v>
      </c>
      <c r="M8330">
        <v>3.7719900000000001E-2</v>
      </c>
      <c r="N8330">
        <v>0</v>
      </c>
      <c r="O8330">
        <v>-0.99923419999999996</v>
      </c>
      <c r="P8330">
        <v>-1.497128E-2</v>
      </c>
      <c r="Q8330">
        <v>-2.5230099999999998E-2</v>
      </c>
      <c r="R8330">
        <v>-0.99956970000000001</v>
      </c>
      <c r="S8330">
        <v>2.166748E-3</v>
      </c>
      <c r="T8330">
        <v>-0.10065639999999999</v>
      </c>
      <c r="U8330">
        <v>-2.99884</v>
      </c>
      <c r="V8330">
        <v>5.266216E-2</v>
      </c>
      <c r="W8330">
        <v>-1.4861579999999999E-2</v>
      </c>
      <c r="X8330">
        <v>0.99850179999999999</v>
      </c>
      <c r="Y8330">
        <v>3.7000320000000003E-2</v>
      </c>
      <c r="Z8330">
        <v>3.3498920000000001E-2</v>
      </c>
      <c r="AA8330">
        <v>0.99875360000000002</v>
      </c>
      <c r="AB8330">
        <v>12</v>
      </c>
      <c r="AC8330">
        <v>1.9400000000018701E-2</v>
      </c>
      <c r="AD8330">
        <v>-1.1095410994870001</v>
      </c>
      <c r="AE8330">
        <v>-32.932051000000001</v>
      </c>
      <c r="AF8330">
        <v>1.22148814128834</v>
      </c>
      <c r="AG8330">
        <v>-1.1095410994870001</v>
      </c>
      <c r="AH8330">
        <v>32.872029892512103</v>
      </c>
      <c r="AI8330">
        <v>91.9318582476823</v>
      </c>
      <c r="AJ8330">
        <v>87.871931540937496</v>
      </c>
      <c r="AK8330">
        <v>32.913423765767199</v>
      </c>
      <c r="AL8330">
        <v>90.851537152800105</v>
      </c>
      <c r="AM8330">
        <v>86.980950382355104</v>
      </c>
      <c r="AN8330">
        <v>1.0000000071296</v>
      </c>
    </row>
    <row r="8331" spans="1:40" x14ac:dyDescent="0.25">
      <c r="A8331" t="str">
        <f>"20190312154123285"</f>
        <v>20190312154123285</v>
      </c>
      <c r="B8331" t="str">
        <f>"1552376483275006"</f>
        <v>1552376483275006</v>
      </c>
      <c r="C8331" t="s">
        <v>40</v>
      </c>
      <c r="D8331">
        <v>4.4168430000000001</v>
      </c>
      <c r="E8331">
        <v>0.49728420000000001</v>
      </c>
      <c r="F8331" t="s">
        <v>69</v>
      </c>
      <c r="G8331">
        <v>-302.68110000000001</v>
      </c>
      <c r="H8331" s="1">
        <v>-1.98523E-6</v>
      </c>
      <c r="I8331">
        <v>-42.912840000000003</v>
      </c>
      <c r="J8331">
        <v>-302.54000000000002</v>
      </c>
      <c r="K8331">
        <v>1.1094599999999999</v>
      </c>
      <c r="L8331">
        <v>-8.6701969999999999</v>
      </c>
      <c r="M8331">
        <v>3.7478369999999997E-2</v>
      </c>
      <c r="N8331">
        <v>0</v>
      </c>
      <c r="O8331">
        <v>-0.99924869999999999</v>
      </c>
      <c r="P8331">
        <v>-1.4616290000000001E-2</v>
      </c>
      <c r="Q8331">
        <v>-2.4333670000000002E-2</v>
      </c>
      <c r="R8331">
        <v>-0.99959730000000002</v>
      </c>
      <c r="S8331">
        <v>-1.1932369999999999E-2</v>
      </c>
      <c r="T8331">
        <v>-9.6812250000000002E-2</v>
      </c>
      <c r="U8331">
        <v>-2.9986570000000001</v>
      </c>
      <c r="V8331">
        <v>5.2066960000000002E-2</v>
      </c>
      <c r="W8331">
        <v>-1.447321E-2</v>
      </c>
      <c r="X8331">
        <v>0.9985387</v>
      </c>
      <c r="Y8331">
        <v>4.1454230000000002E-2</v>
      </c>
      <c r="Z8331">
        <v>3.222038E-2</v>
      </c>
      <c r="AA8331">
        <v>0.99862070000000003</v>
      </c>
      <c r="AB8331">
        <v>13</v>
      </c>
      <c r="AC8331">
        <v>-0.14109999999999401</v>
      </c>
      <c r="AD8331">
        <v>-1.1094619852299901</v>
      </c>
      <c r="AE8331">
        <v>-34.242643000000001</v>
      </c>
      <c r="AF8331">
        <v>1.42292810336286</v>
      </c>
      <c r="AG8331">
        <v>-1.1094619852299901</v>
      </c>
      <c r="AH8331">
        <v>34.1774171587059</v>
      </c>
      <c r="AI8331">
        <v>91.8576655880006</v>
      </c>
      <c r="AJ8331">
        <v>87.615948627476101</v>
      </c>
      <c r="AK8331">
        <v>34.225012402104603</v>
      </c>
      <c r="AL8331">
        <v>90.829282812214103</v>
      </c>
      <c r="AM8331">
        <v>87.015120431665395</v>
      </c>
      <c r="AN8331">
        <v>0.99999998876451701</v>
      </c>
    </row>
    <row r="8332" spans="1:40" x14ac:dyDescent="0.25">
      <c r="A8332" t="str">
        <f>"20190312154123308"</f>
        <v>20190312154123308</v>
      </c>
      <c r="B8332" t="str">
        <f>"1552376483305263"</f>
        <v>1552376483305263</v>
      </c>
      <c r="C8332" t="s">
        <v>40</v>
      </c>
      <c r="D8332">
        <v>4.4457879999999896</v>
      </c>
      <c r="E8332">
        <v>0.49774489999999999</v>
      </c>
      <c r="F8332" t="s">
        <v>69</v>
      </c>
      <c r="G8332">
        <v>-302.8</v>
      </c>
      <c r="H8332" s="1">
        <v>-2.8189549999999998E-6</v>
      </c>
      <c r="I8332">
        <v>-44.19847</v>
      </c>
      <c r="J8332">
        <v>-302.53539999999998</v>
      </c>
      <c r="K8332">
        <v>1.1093839999999999</v>
      </c>
      <c r="L8332">
        <v>-8.7997440000000005</v>
      </c>
      <c r="M8332">
        <v>3.7223270000000003E-2</v>
      </c>
      <c r="N8332">
        <v>0</v>
      </c>
      <c r="O8332">
        <v>-0.99926349999999997</v>
      </c>
      <c r="P8332">
        <v>-1.4699780000000001E-2</v>
      </c>
      <c r="Q8332">
        <v>-2.307149E-2</v>
      </c>
      <c r="R8332">
        <v>-0.99962600000000001</v>
      </c>
      <c r="S8332">
        <v>-2.1942139999999999E-2</v>
      </c>
      <c r="T8332">
        <v>-9.3639020000000003E-2</v>
      </c>
      <c r="U8332">
        <v>-2.998596</v>
      </c>
      <c r="V8332">
        <v>5.1896600000000001E-2</v>
      </c>
      <c r="W8332">
        <v>-1.3755389999999999E-2</v>
      </c>
      <c r="X8332">
        <v>0.99855769999999999</v>
      </c>
      <c r="Y8332">
        <v>4.4532530000000001E-2</v>
      </c>
      <c r="Z8332">
        <v>3.116406E-2</v>
      </c>
      <c r="AA8332">
        <v>0.99852169999999896</v>
      </c>
      <c r="AB8332">
        <v>13</v>
      </c>
      <c r="AC8332">
        <v>-0.26460000000002898</v>
      </c>
      <c r="AD8332">
        <v>-1.109386818955</v>
      </c>
      <c r="AE8332">
        <v>-35.398726000000003</v>
      </c>
      <c r="AF8332">
        <v>1.5805778674273601</v>
      </c>
      <c r="AG8332">
        <v>-1.109386818955</v>
      </c>
      <c r="AH8332">
        <v>35.329643819797298</v>
      </c>
      <c r="AI8332">
        <v>91.796758862236999</v>
      </c>
      <c r="AJ8332">
        <v>87.438409078650494</v>
      </c>
      <c r="AK8332">
        <v>35.382378353395303</v>
      </c>
      <c r="AL8332">
        <v>90.788150668782393</v>
      </c>
      <c r="AM8332">
        <v>87.024925713191294</v>
      </c>
      <c r="AN8332">
        <v>0.99999997403745</v>
      </c>
    </row>
    <row r="8333" spans="1:40" x14ac:dyDescent="0.25">
      <c r="A8333" t="str">
        <f>"20190312154123330"</f>
        <v>20190312154123330</v>
      </c>
      <c r="B8333" t="str">
        <f>"1552376483324785"</f>
        <v>1552376483324785</v>
      </c>
      <c r="C8333" t="s">
        <v>40</v>
      </c>
      <c r="D8333">
        <v>4.3901589999999997</v>
      </c>
      <c r="E8333">
        <v>0.49796190000000001</v>
      </c>
      <c r="F8333" t="s">
        <v>69</v>
      </c>
      <c r="G8333">
        <v>-302.8571</v>
      </c>
      <c r="H8333" s="1">
        <v>-3.7624939999999998E-6</v>
      </c>
      <c r="I8333">
        <v>-45.908619999999999</v>
      </c>
      <c r="J8333">
        <v>-302.53089999999997</v>
      </c>
      <c r="K8333">
        <v>1.1093120000000001</v>
      </c>
      <c r="L8333">
        <v>-8.9285580000000007</v>
      </c>
      <c r="M8333">
        <v>3.6968870000000001E-2</v>
      </c>
      <c r="N8333">
        <v>0</v>
      </c>
      <c r="O8333">
        <v>-0.99927779999999999</v>
      </c>
      <c r="P8333">
        <v>-1.4471049999999999E-2</v>
      </c>
      <c r="Q8333">
        <v>-2.1389140000000001E-2</v>
      </c>
      <c r="R8333">
        <v>-0.99966659999999996</v>
      </c>
      <c r="S8333">
        <v>-2.600098E-2</v>
      </c>
      <c r="T8333">
        <v>-8.9646340000000005E-2</v>
      </c>
      <c r="U8333">
        <v>-2.9986570000000001</v>
      </c>
      <c r="V8333">
        <v>5.1415509999999998E-2</v>
      </c>
      <c r="W8333">
        <v>-1.262801E-2</v>
      </c>
      <c r="X8333">
        <v>0.99859750000000003</v>
      </c>
      <c r="Y8333">
        <v>4.5629669999999997E-2</v>
      </c>
      <c r="Z8333">
        <v>2.9835380000000002E-2</v>
      </c>
      <c r="AA8333">
        <v>0.99851279999999998</v>
      </c>
      <c r="AB8333">
        <v>13</v>
      </c>
      <c r="AC8333">
        <v>-0.32620000000002802</v>
      </c>
      <c r="AD8333">
        <v>-1.109315762494</v>
      </c>
      <c r="AE8333">
        <v>-36.980061999999997</v>
      </c>
      <c r="AF8333">
        <v>1.6916187613560201</v>
      </c>
      <c r="AG8333">
        <v>-1.109315762494</v>
      </c>
      <c r="AH8333">
        <v>36.909510601243099</v>
      </c>
      <c r="AI8333">
        <v>91.719702975539406</v>
      </c>
      <c r="AJ8333">
        <v>87.375883979111194</v>
      </c>
      <c r="AK8333">
        <v>36.964904007963597</v>
      </c>
      <c r="AL8333">
        <v>90.723550912118398</v>
      </c>
      <c r="AM8333">
        <v>87.052573549182497</v>
      </c>
      <c r="AN8333">
        <v>0.99999999415568497</v>
      </c>
    </row>
    <row r="8334" spans="1:40" x14ac:dyDescent="0.25">
      <c r="A8334" t="str">
        <f>"20190312154123353"</f>
        <v>20190312154123353</v>
      </c>
      <c r="B8334" t="str">
        <f>"1552376483344303"</f>
        <v>1552376483344303</v>
      </c>
      <c r="C8334" t="s">
        <v>40</v>
      </c>
      <c r="D8334">
        <v>4.4418230000000003</v>
      </c>
      <c r="E8334">
        <v>0.49793549999999998</v>
      </c>
      <c r="F8334" t="s">
        <v>69</v>
      </c>
      <c r="G8334">
        <v>-302.887</v>
      </c>
      <c r="H8334" s="1">
        <v>-4.966862E-6</v>
      </c>
      <c r="I8334">
        <v>-48.563589999999998</v>
      </c>
      <c r="J8334">
        <v>-302.52629999999999</v>
      </c>
      <c r="K8334">
        <v>1.1092379999999999</v>
      </c>
      <c r="L8334">
        <v>-9.0617370000000008</v>
      </c>
      <c r="M8334">
        <v>3.6708299999999999E-2</v>
      </c>
      <c r="N8334">
        <v>0</v>
      </c>
      <c r="O8334">
        <v>-0.99929259999999998</v>
      </c>
      <c r="P8334">
        <v>-1.4458230000000001E-2</v>
      </c>
      <c r="Q8334">
        <v>-2.0427839999999999E-2</v>
      </c>
      <c r="R8334">
        <v>-0.99968679999999999</v>
      </c>
      <c r="S8334">
        <v>-2.6947019999999999E-2</v>
      </c>
      <c r="T8334">
        <v>-8.3931569999999997E-2</v>
      </c>
      <c r="U8334">
        <v>-2.9988100000000002</v>
      </c>
      <c r="V8334">
        <v>5.1143090000000002E-2</v>
      </c>
      <c r="W8334">
        <v>-1.225702E-2</v>
      </c>
      <c r="X8334">
        <v>0.99861610000000001</v>
      </c>
      <c r="Y8334">
        <v>4.5684019999999999E-2</v>
      </c>
      <c r="Z8334">
        <v>2.7933889999999999E-2</v>
      </c>
      <c r="AA8334">
        <v>0.99856529999999999</v>
      </c>
      <c r="AB8334">
        <v>13</v>
      </c>
      <c r="AC8334">
        <v>-0.36070000000000801</v>
      </c>
      <c r="AD8334">
        <v>-1.1092429668620001</v>
      </c>
      <c r="AE8334">
        <v>-39.501852999999997</v>
      </c>
      <c r="AF8334">
        <v>1.8091247540914801</v>
      </c>
      <c r="AG8334">
        <v>-1.1092429668620001</v>
      </c>
      <c r="AH8334">
        <v>39.4308968957071</v>
      </c>
      <c r="AI8334">
        <v>91.609688164625993</v>
      </c>
      <c r="AJ8334">
        <v>87.373060732833693</v>
      </c>
      <c r="AK8334">
        <v>39.487959966745301</v>
      </c>
      <c r="AL8334">
        <v>90.702293113095706</v>
      </c>
      <c r="AM8334">
        <v>87.068217391094393</v>
      </c>
      <c r="AN8334">
        <v>0.99999998268661905</v>
      </c>
    </row>
    <row r="8335" spans="1:40" x14ac:dyDescent="0.25">
      <c r="A8335" t="str">
        <f>"20190312154123375"</f>
        <v>20190312154123375</v>
      </c>
      <c r="B8335" t="str">
        <f>"1552376483364331"</f>
        <v>1552376483364331</v>
      </c>
      <c r="C8335" t="s">
        <v>40</v>
      </c>
      <c r="D8335">
        <v>4.46021</v>
      </c>
      <c r="E8335">
        <v>0.49785370000000001</v>
      </c>
      <c r="F8335" t="s">
        <v>69</v>
      </c>
      <c r="G8335">
        <v>-302.89339999999999</v>
      </c>
      <c r="H8335" s="1">
        <v>-5.8722180000000004E-6</v>
      </c>
      <c r="I8335">
        <v>-50.339700000000001</v>
      </c>
      <c r="J8335">
        <v>-302.52179999999998</v>
      </c>
      <c r="K8335">
        <v>1.1091610000000001</v>
      </c>
      <c r="L8335">
        <v>-9.1921689999999998</v>
      </c>
      <c r="M8335">
        <v>3.6460119999999999E-2</v>
      </c>
      <c r="N8335">
        <v>0</v>
      </c>
      <c r="O8335">
        <v>-0.99930609999999997</v>
      </c>
      <c r="P8335">
        <v>-1.419782E-2</v>
      </c>
      <c r="Q8335">
        <v>-2.046829E-2</v>
      </c>
      <c r="R8335">
        <v>-0.99968950000000001</v>
      </c>
      <c r="S8335">
        <v>-2.6672359999999999E-2</v>
      </c>
      <c r="T8335">
        <v>-8.0588099999999996E-2</v>
      </c>
      <c r="U8335">
        <v>-2.998901</v>
      </c>
      <c r="V8335">
        <v>5.0634739999999998E-2</v>
      </c>
      <c r="W8335">
        <v>-1.2889879999999999E-2</v>
      </c>
      <c r="X8335">
        <v>0.99863400000000002</v>
      </c>
      <c r="Y8335">
        <v>4.5344299999999997E-2</v>
      </c>
      <c r="Z8335">
        <v>2.6821709999999999E-2</v>
      </c>
      <c r="AA8335">
        <v>0.99861129999999998</v>
      </c>
      <c r="AB8335">
        <v>13</v>
      </c>
      <c r="AC8335">
        <v>-0.37159999999999999</v>
      </c>
      <c r="AD8335">
        <v>-1.1091668722179999</v>
      </c>
      <c r="AE8335">
        <v>-41.147531000000001</v>
      </c>
      <c r="AF8335">
        <v>1.8702814530862499</v>
      </c>
      <c r="AG8335">
        <v>-1.1091668722179999</v>
      </c>
      <c r="AH8335">
        <v>41.076777111837302</v>
      </c>
      <c r="AI8335">
        <v>91.545141147393807</v>
      </c>
      <c r="AJ8335">
        <v>87.393045840023902</v>
      </c>
      <c r="AK8335">
        <v>41.134290096703303</v>
      </c>
      <c r="AL8335">
        <v>90.738556215059006</v>
      </c>
      <c r="AM8335">
        <v>87.097360458310803</v>
      </c>
      <c r="AN8335">
        <v>0.99999994592863894</v>
      </c>
    </row>
    <row r="8336" spans="1:40" x14ac:dyDescent="0.25">
      <c r="A8336" t="str">
        <f>"20190312154123397"</f>
        <v>20190312154123397</v>
      </c>
      <c r="B8336" t="str">
        <f>"1552376483384827"</f>
        <v>1552376483384827</v>
      </c>
      <c r="C8336" t="s">
        <v>40</v>
      </c>
      <c r="D8336">
        <v>4.4595250000000002</v>
      </c>
      <c r="E8336">
        <v>0.49756220000000001</v>
      </c>
      <c r="F8336" t="s">
        <v>69</v>
      </c>
      <c r="G8336">
        <v>-302.86680000000001</v>
      </c>
      <c r="H8336" s="1">
        <v>-5.8961409999999998E-6</v>
      </c>
      <c r="I8336">
        <v>-50.391190000000002</v>
      </c>
      <c r="J8336">
        <v>-302.5172</v>
      </c>
      <c r="K8336">
        <v>1.1090880000000001</v>
      </c>
      <c r="L8336">
        <v>-9.3268429999999896</v>
      </c>
      <c r="M8336">
        <v>3.6216390000000001E-2</v>
      </c>
      <c r="N8336">
        <v>0</v>
      </c>
      <c r="O8336">
        <v>-0.99931959999999997</v>
      </c>
      <c r="P8336">
        <v>-1.437137E-2</v>
      </c>
      <c r="Q8336">
        <v>-2.007188E-2</v>
      </c>
      <c r="R8336">
        <v>-0.99969549999999996</v>
      </c>
      <c r="S8336">
        <v>-2.5115970000000001E-2</v>
      </c>
      <c r="T8336">
        <v>-8.0737710000000004E-2</v>
      </c>
      <c r="U8336">
        <v>-2.9989319999999999</v>
      </c>
      <c r="V8336">
        <v>5.0564829999999998E-2</v>
      </c>
      <c r="W8336">
        <v>-1.3111380000000001E-2</v>
      </c>
      <c r="X8336">
        <v>0.99863469999999999</v>
      </c>
      <c r="Y8336">
        <v>4.4582150000000001E-2</v>
      </c>
      <c r="Z8336">
        <v>2.6872070000000001E-2</v>
      </c>
      <c r="AA8336">
        <v>0.99864419999999998</v>
      </c>
      <c r="AB8336">
        <v>13</v>
      </c>
      <c r="AC8336">
        <v>-0.34960000000000901</v>
      </c>
      <c r="AD8336">
        <v>-1.109093896141</v>
      </c>
      <c r="AE8336">
        <v>-41.064346999999998</v>
      </c>
      <c r="AF8336">
        <v>1.8352705936927101</v>
      </c>
      <c r="AG8336">
        <v>-1.109093896141</v>
      </c>
      <c r="AH8336">
        <v>40.994842445464897</v>
      </c>
      <c r="AI8336">
        <v>91.548179240963705</v>
      </c>
      <c r="AJ8336">
        <v>87.436675253082001</v>
      </c>
      <c r="AK8336">
        <v>41.050888109162997</v>
      </c>
      <c r="AL8336">
        <v>90.751248272571402</v>
      </c>
      <c r="AM8336">
        <v>87.101363242343993</v>
      </c>
      <c r="AN8336">
        <v>0.99999998718126104</v>
      </c>
    </row>
    <row r="8337" spans="1:40" x14ac:dyDescent="0.25">
      <c r="A8337" t="str">
        <f>"20190312154123420"</f>
        <v>20190312154123420</v>
      </c>
      <c r="B8337" t="str">
        <f>"1552376483414108"</f>
        <v>1552376483414108</v>
      </c>
      <c r="C8337" t="s">
        <v>40</v>
      </c>
      <c r="D8337">
        <v>4.4609540000000001</v>
      </c>
      <c r="E8337">
        <v>0.49706260000000002</v>
      </c>
      <c r="F8337" t="s">
        <v>69</v>
      </c>
      <c r="G8337">
        <v>-302.83550000000002</v>
      </c>
      <c r="H8337" s="1">
        <v>-5.8900600000000003E-6</v>
      </c>
      <c r="I8337">
        <v>-50.381309999999999</v>
      </c>
      <c r="J8337">
        <v>-302.51229999999998</v>
      </c>
      <c r="K8337">
        <v>1.109013</v>
      </c>
      <c r="L8337">
        <v>-9.4682619999999993</v>
      </c>
      <c r="M8337">
        <v>3.5983630000000003E-2</v>
      </c>
      <c r="N8337">
        <v>0</v>
      </c>
      <c r="O8337">
        <v>-0.9993322</v>
      </c>
      <c r="P8337">
        <v>-1.3936489999999999E-2</v>
      </c>
      <c r="Q8337">
        <v>-1.92956E-2</v>
      </c>
      <c r="R8337">
        <v>-0.99971690000000002</v>
      </c>
      <c r="S8337">
        <v>-2.325439E-2</v>
      </c>
      <c r="T8337">
        <v>-8.1017489999999998E-2</v>
      </c>
      <c r="U8337">
        <v>-2.9989620000000001</v>
      </c>
      <c r="V8337">
        <v>4.9898619999999998E-2</v>
      </c>
      <c r="W8337">
        <v>-1.297658E-2</v>
      </c>
      <c r="X8337">
        <v>0.99866999999999995</v>
      </c>
      <c r="Y8337">
        <v>4.3729329999999997E-2</v>
      </c>
      <c r="Z8337">
        <v>2.696577E-2</v>
      </c>
      <c r="AA8337">
        <v>0.99867939999999999</v>
      </c>
      <c r="AB8337">
        <v>13</v>
      </c>
      <c r="AC8337">
        <v>-0.32320000000004201</v>
      </c>
      <c r="AD8337">
        <v>-1.10901889006</v>
      </c>
      <c r="AE8337">
        <v>-40.913047999999897</v>
      </c>
      <c r="AF8337">
        <v>1.7939023197409001</v>
      </c>
      <c r="AG8337">
        <v>-1.10901889006</v>
      </c>
      <c r="AH8337">
        <v>40.844910721983602</v>
      </c>
      <c r="AI8337">
        <v>91.553812733596502</v>
      </c>
      <c r="AJ8337">
        <v>87.485194153621293</v>
      </c>
      <c r="AK8337">
        <v>40.899324448187301</v>
      </c>
      <c r="AL8337">
        <v>90.743524122519304</v>
      </c>
      <c r="AM8337">
        <v>87.139590925298194</v>
      </c>
      <c r="AN8337">
        <v>1.0000000164031999</v>
      </c>
    </row>
    <row r="8338" spans="1:40" x14ac:dyDescent="0.25">
      <c r="A8338" t="str">
        <f>"20190312154123443"</f>
        <v>20190312154123443</v>
      </c>
      <c r="B8338" t="str">
        <f>"1552376483434603"</f>
        <v>1552376483434603</v>
      </c>
      <c r="C8338" t="s">
        <v>40</v>
      </c>
      <c r="D8338">
        <v>4.4550029999999996</v>
      </c>
      <c r="E8338">
        <v>0.49677460000000001</v>
      </c>
      <c r="F8338" t="s">
        <v>69</v>
      </c>
      <c r="G8338">
        <v>-302.75810000000001</v>
      </c>
      <c r="H8338" s="1">
        <v>-5.9014989999999999E-6</v>
      </c>
      <c r="I8338">
        <v>-50.419820000000001</v>
      </c>
      <c r="J8338">
        <v>-302.50740000000002</v>
      </c>
      <c r="K8338">
        <v>1.1089519999999999</v>
      </c>
      <c r="L8338">
        <v>-9.6094059999999999</v>
      </c>
      <c r="M8338">
        <v>3.5775710000000002E-2</v>
      </c>
      <c r="N8338">
        <v>0</v>
      </c>
      <c r="O8338">
        <v>-0.99934369999999995</v>
      </c>
      <c r="P8338">
        <v>-1.349242E-2</v>
      </c>
      <c r="Q8338">
        <v>-1.7224719999999999E-2</v>
      </c>
      <c r="R8338">
        <v>-0.99976089999999995</v>
      </c>
      <c r="S8338">
        <v>-1.800537E-2</v>
      </c>
      <c r="T8338">
        <v>-8.1217289999999998E-2</v>
      </c>
      <c r="U8338">
        <v>-2.9990230000000002</v>
      </c>
      <c r="V8338">
        <v>4.9249210000000002E-2</v>
      </c>
      <c r="W8338">
        <v>-1.1531380000000001E-2</v>
      </c>
      <c r="X8338">
        <v>0.99871989999999999</v>
      </c>
      <c r="Y8338">
        <v>4.1773230000000001E-2</v>
      </c>
      <c r="Z8338">
        <v>2.7033270000000002E-2</v>
      </c>
      <c r="AA8338">
        <v>0.99876140000000002</v>
      </c>
      <c r="AB8338">
        <v>14</v>
      </c>
      <c r="AC8338">
        <v>-0.25069999999999398</v>
      </c>
      <c r="AD8338">
        <v>-1.1089579014990001</v>
      </c>
      <c r="AE8338">
        <v>-40.810414000000002</v>
      </c>
      <c r="AF8338">
        <v>1.70932249476735</v>
      </c>
      <c r="AG8338">
        <v>-1.1089579014990001</v>
      </c>
      <c r="AH8338">
        <v>40.745234127645801</v>
      </c>
      <c r="AI8338">
        <v>91.557657728414696</v>
      </c>
      <c r="AJ8338">
        <v>87.597766376072798</v>
      </c>
      <c r="AK8338">
        <v>40.796147797740502</v>
      </c>
      <c r="AL8338">
        <v>90.660714083674506</v>
      </c>
      <c r="AM8338">
        <v>87.176898178855396</v>
      </c>
      <c r="AN8338">
        <v>0.99999994803316705</v>
      </c>
    </row>
    <row r="8339" spans="1:40" x14ac:dyDescent="0.25">
      <c r="A8339" t="str">
        <f>"20190312154123465"</f>
        <v>20190312154123465</v>
      </c>
      <c r="B8339" t="str">
        <f>"1552376483454631"</f>
        <v>1552376483454631</v>
      </c>
      <c r="C8339" t="s">
        <v>40</v>
      </c>
      <c r="D8339">
        <v>4.5010960000000004</v>
      </c>
      <c r="E8339">
        <v>0.49651210000000001</v>
      </c>
      <c r="F8339" t="s">
        <v>69</v>
      </c>
      <c r="G8339">
        <v>-302.71620000000001</v>
      </c>
      <c r="H8339" s="1">
        <v>-7.0602029999999996E-6</v>
      </c>
      <c r="I8339">
        <v>-53.270629999999997</v>
      </c>
      <c r="J8339">
        <v>-302.50259999999997</v>
      </c>
      <c r="K8339">
        <v>1.1088929999999999</v>
      </c>
      <c r="L8339">
        <v>-9.7518619999999991</v>
      </c>
      <c r="M8339">
        <v>3.5589669999999997E-2</v>
      </c>
      <c r="N8339">
        <v>0</v>
      </c>
      <c r="O8339">
        <v>-0.99935350000000001</v>
      </c>
      <c r="P8339">
        <v>-1.340014E-2</v>
      </c>
      <c r="Q8339">
        <v>-1.591426E-2</v>
      </c>
      <c r="R8339">
        <v>-0.99978359999999999</v>
      </c>
      <c r="S8339">
        <v>-1.434326E-2</v>
      </c>
      <c r="T8339">
        <v>-7.617736E-2</v>
      </c>
      <c r="U8339">
        <v>-2.9992070000000002</v>
      </c>
      <c r="V8339">
        <v>4.8972259999999997E-2</v>
      </c>
      <c r="W8339">
        <v>-1.0832670000000001E-2</v>
      </c>
      <c r="X8339">
        <v>0.9987414</v>
      </c>
      <c r="Y8339">
        <v>4.0367460000000001E-2</v>
      </c>
      <c r="Z8339">
        <v>2.535637E-2</v>
      </c>
      <c r="AA8339">
        <v>0.9988631</v>
      </c>
      <c r="AB8339">
        <v>14</v>
      </c>
      <c r="AC8339">
        <v>-0.21360000000004201</v>
      </c>
      <c r="AD8339">
        <v>-1.1089000602029999</v>
      </c>
      <c r="AE8339">
        <v>-43.518768000000001</v>
      </c>
      <c r="AF8339">
        <v>1.76115991478431</v>
      </c>
      <c r="AG8339">
        <v>-1.1089000602029999</v>
      </c>
      <c r="AH8339">
        <v>43.4553815230447</v>
      </c>
      <c r="AI8339">
        <v>91.460565406556995</v>
      </c>
      <c r="AJ8339">
        <v>87.679186471988004</v>
      </c>
      <c r="AK8339">
        <v>43.5051896548255</v>
      </c>
      <c r="AL8339">
        <v>90.620678407305505</v>
      </c>
      <c r="AM8339">
        <v>87.192808592646401</v>
      </c>
      <c r="AN8339">
        <v>1.0000000065313901</v>
      </c>
    </row>
    <row r="8340" spans="1:40" x14ac:dyDescent="0.25">
      <c r="A8340" t="str">
        <f>"20190312154123486"</f>
        <v>20190312154123486</v>
      </c>
      <c r="B8340" t="str">
        <f>"1552376483474152"</f>
        <v>1552376483474152</v>
      </c>
      <c r="C8340" t="s">
        <v>40</v>
      </c>
      <c r="D8340">
        <v>4.5088489999999997</v>
      </c>
      <c r="E8340">
        <v>0.49636069999999999</v>
      </c>
      <c r="F8340" t="s">
        <v>69</v>
      </c>
      <c r="G8340">
        <v>-302.68220000000002</v>
      </c>
      <c r="H8340" s="1">
        <v>-7.6211849999999998E-6</v>
      </c>
      <c r="I8340">
        <v>-54.652799999999999</v>
      </c>
      <c r="J8340">
        <v>-302.49790000000002</v>
      </c>
      <c r="K8340">
        <v>1.108835</v>
      </c>
      <c r="L8340">
        <v>-9.8891910000000003</v>
      </c>
      <c r="M8340">
        <v>3.5434529999999999E-2</v>
      </c>
      <c r="N8340">
        <v>0</v>
      </c>
      <c r="O8340">
        <v>-0.99936199999999997</v>
      </c>
      <c r="P8340">
        <v>-1.3455480000000001E-2</v>
      </c>
      <c r="Q8340">
        <v>-1.602145E-2</v>
      </c>
      <c r="R8340">
        <v>-0.99978160000000005</v>
      </c>
      <c r="S8340">
        <v>-1.1993409999999999E-2</v>
      </c>
      <c r="T8340">
        <v>-7.4072479999999996E-2</v>
      </c>
      <c r="U8340">
        <v>-2.999298</v>
      </c>
      <c r="V8340">
        <v>4.8872560000000002E-2</v>
      </c>
      <c r="W8340">
        <v>-1.1510690000000001E-2</v>
      </c>
      <c r="X8340">
        <v>0.99873869999999998</v>
      </c>
      <c r="Y8340">
        <v>3.9429579999999999E-2</v>
      </c>
      <c r="Z8340">
        <v>2.465612E-2</v>
      </c>
      <c r="AA8340">
        <v>0.99891810000000003</v>
      </c>
      <c r="AB8340">
        <v>14</v>
      </c>
      <c r="AC8340">
        <v>-0.18430000000000701</v>
      </c>
      <c r="AD8340">
        <v>-1.108842621185</v>
      </c>
      <c r="AE8340">
        <v>-44.763609000000002</v>
      </c>
      <c r="AF8340">
        <v>1.7692919251802099</v>
      </c>
      <c r="AG8340">
        <v>-1.108842621185</v>
      </c>
      <c r="AH8340">
        <v>44.701537566591497</v>
      </c>
      <c r="AI8340">
        <v>91.419846044032894</v>
      </c>
      <c r="AJ8340">
        <v>87.733409659007705</v>
      </c>
      <c r="AK8340">
        <v>44.7502780627389</v>
      </c>
      <c r="AL8340">
        <v>90.659528516365697</v>
      </c>
      <c r="AM8340">
        <v>87.1985069280868</v>
      </c>
      <c r="AN8340">
        <v>1.0000000069914501</v>
      </c>
    </row>
    <row r="8341" spans="1:40" x14ac:dyDescent="0.25">
      <c r="A8341" t="str">
        <f>"20190312154123509"</f>
        <v>20190312154123509</v>
      </c>
      <c r="B8341" t="str">
        <f>"1552376483504407"</f>
        <v>1552376483504407</v>
      </c>
      <c r="C8341" t="s">
        <v>40</v>
      </c>
      <c r="D8341">
        <v>4.5110519999999896</v>
      </c>
      <c r="E8341">
        <v>0.49608219999999997</v>
      </c>
      <c r="F8341" t="s">
        <v>69</v>
      </c>
      <c r="G8341">
        <v>-302.6549</v>
      </c>
      <c r="H8341" s="1">
        <v>-7.0929570000000004E-6</v>
      </c>
      <c r="I8341">
        <v>-53.359780000000001</v>
      </c>
      <c r="J8341">
        <v>-302.49299999999999</v>
      </c>
      <c r="K8341">
        <v>1.108776</v>
      </c>
      <c r="L8341">
        <v>-10.033390000000001</v>
      </c>
      <c r="M8341">
        <v>3.5298589999999998E-2</v>
      </c>
      <c r="N8341">
        <v>0</v>
      </c>
      <c r="O8341">
        <v>-0.99936939999999996</v>
      </c>
      <c r="P8341">
        <v>-1.373105E-2</v>
      </c>
      <c r="Q8341">
        <v>-1.6555569999999999E-2</v>
      </c>
      <c r="R8341">
        <v>-0.99976900000000002</v>
      </c>
      <c r="S8341">
        <v>-1.083374E-2</v>
      </c>
      <c r="T8341">
        <v>-7.6505660000000003E-2</v>
      </c>
      <c r="U8341">
        <v>-2.999298</v>
      </c>
      <c r="V8341">
        <v>4.9011800000000001E-2</v>
      </c>
      <c r="W8341">
        <v>-1.2626E-2</v>
      </c>
      <c r="X8341">
        <v>0.99871840000000001</v>
      </c>
      <c r="Y8341">
        <v>3.8907270000000001E-2</v>
      </c>
      <c r="Z8341">
        <v>2.5465990000000001E-2</v>
      </c>
      <c r="AA8341">
        <v>0.99891830000000004</v>
      </c>
      <c r="AB8341">
        <v>14</v>
      </c>
      <c r="AC8341">
        <v>-0.16190000000000199</v>
      </c>
      <c r="AD8341">
        <v>-1.1087830929569999</v>
      </c>
      <c r="AE8341">
        <v>-43.326390000000004</v>
      </c>
      <c r="AF8341">
        <v>1.6900640662944999</v>
      </c>
      <c r="AG8341">
        <v>-1.1087830929569999</v>
      </c>
      <c r="AH8341">
        <v>43.265339232851296</v>
      </c>
      <c r="AI8341">
        <v>91.466908808589096</v>
      </c>
      <c r="AJ8341">
        <v>87.763005396562207</v>
      </c>
      <c r="AK8341">
        <v>43.3125304667034</v>
      </c>
      <c r="AL8341">
        <v>90.723435728795707</v>
      </c>
      <c r="AM8341">
        <v>87.190481111015302</v>
      </c>
      <c r="AN8341">
        <v>1.0000000074569</v>
      </c>
    </row>
    <row r="8342" spans="1:40" x14ac:dyDescent="0.25">
      <c r="A8342" t="str">
        <f>"20190312154123531"</f>
        <v>20190312154123531</v>
      </c>
      <c r="B8342" t="str">
        <f>"1552376483524903"</f>
        <v>1552376483524903</v>
      </c>
      <c r="C8342" t="s">
        <v>40</v>
      </c>
      <c r="D8342">
        <v>4.5295589999999999</v>
      </c>
      <c r="E8342">
        <v>0.49596649999999998</v>
      </c>
      <c r="F8342" t="s">
        <v>69</v>
      </c>
      <c r="G8342">
        <v>-302.62299999999999</v>
      </c>
      <c r="H8342" s="1">
        <v>-6.339829E-6</v>
      </c>
      <c r="I8342">
        <v>-51.515270000000001</v>
      </c>
      <c r="J8342">
        <v>-302.48779999999999</v>
      </c>
      <c r="K8342">
        <v>1.1087149999999999</v>
      </c>
      <c r="L8342">
        <v>-10.184570000000001</v>
      </c>
      <c r="M8342">
        <v>3.5185149999999998E-2</v>
      </c>
      <c r="N8342">
        <v>0</v>
      </c>
      <c r="O8342">
        <v>-0.99937529999999997</v>
      </c>
      <c r="P8342">
        <v>-1.3896820000000001E-2</v>
      </c>
      <c r="Q8342">
        <v>-1.7264910000000001E-2</v>
      </c>
      <c r="R8342">
        <v>-0.99975460000000005</v>
      </c>
      <c r="S8342">
        <v>-9.399414E-3</v>
      </c>
      <c r="T8342">
        <v>-8.0167530000000001E-2</v>
      </c>
      <c r="U8342">
        <v>-2.9992369999999999</v>
      </c>
      <c r="V8342">
        <v>4.9063820000000001E-2</v>
      </c>
      <c r="W8342">
        <v>-1.392529E-2</v>
      </c>
      <c r="X8342">
        <v>0.99869859999999999</v>
      </c>
      <c r="Y8342">
        <v>3.8316030000000001E-2</v>
      </c>
      <c r="Z8342">
        <v>2.6685070000000002E-2</v>
      </c>
      <c r="AA8342">
        <v>0.9989093</v>
      </c>
      <c r="AB8342">
        <v>15</v>
      </c>
      <c r="AC8342">
        <v>-0.13519999999999699</v>
      </c>
      <c r="AD8342">
        <v>-1.1087213398289999</v>
      </c>
      <c r="AE8342">
        <v>-41.3307</v>
      </c>
      <c r="AF8342">
        <v>1.58820828914806</v>
      </c>
      <c r="AG8342">
        <v>-1.1087213398289999</v>
      </c>
      <c r="AH8342">
        <v>41.270652540902198</v>
      </c>
      <c r="AI8342">
        <v>91.537722864628407</v>
      </c>
      <c r="AJ8342">
        <v>87.796188184823507</v>
      </c>
      <c r="AK8342">
        <v>41.316079554224302</v>
      </c>
      <c r="AL8342">
        <v>90.797886107512099</v>
      </c>
      <c r="AM8342">
        <v>87.187448266979601</v>
      </c>
      <c r="AN8342">
        <v>1.0000000328882599</v>
      </c>
    </row>
    <row r="8343" spans="1:40" x14ac:dyDescent="0.25">
      <c r="A8343" t="str">
        <f>"20190312154123554"</f>
        <v>20190312154123554</v>
      </c>
      <c r="B8343" t="str">
        <f>"1552376483544424"</f>
        <v>1552376483544424</v>
      </c>
      <c r="C8343" t="s">
        <v>40</v>
      </c>
      <c r="D8343">
        <v>4.5922510000000001</v>
      </c>
      <c r="E8343">
        <v>0.49573270000000003</v>
      </c>
      <c r="F8343" t="s">
        <v>69</v>
      </c>
      <c r="G8343">
        <v>-302.6044</v>
      </c>
      <c r="H8343" s="1">
        <v>-5.596328E-6</v>
      </c>
      <c r="I8343">
        <v>-49.83117</v>
      </c>
      <c r="J8343">
        <v>-302.48270000000002</v>
      </c>
      <c r="K8343">
        <v>1.1086549999999999</v>
      </c>
      <c r="L8343">
        <v>-10.334289999999999</v>
      </c>
      <c r="M8343">
        <v>3.5099930000000001E-2</v>
      </c>
      <c r="N8343">
        <v>0</v>
      </c>
      <c r="O8343">
        <v>-0.99938009999999999</v>
      </c>
      <c r="P8343">
        <v>-1.365038E-2</v>
      </c>
      <c r="Q8343">
        <v>-1.7317019999999999E-2</v>
      </c>
      <c r="R8343">
        <v>-0.99975720000000001</v>
      </c>
      <c r="S8343">
        <v>-8.8195800000000005E-3</v>
      </c>
      <c r="T8343">
        <v>-8.3872199999999994E-2</v>
      </c>
      <c r="U8343">
        <v>-2.9991759999999998</v>
      </c>
      <c r="V8343">
        <v>4.873276E-2</v>
      </c>
      <c r="W8343">
        <v>-1.454181E-2</v>
      </c>
      <c r="X8343">
        <v>0.99870599999999998</v>
      </c>
      <c r="Y8343">
        <v>3.8037609999999999E-2</v>
      </c>
      <c r="Z8343">
        <v>2.7918140000000001E-2</v>
      </c>
      <c r="AA8343">
        <v>0.99888619999999995</v>
      </c>
      <c r="AB8343">
        <v>15</v>
      </c>
      <c r="AC8343">
        <v>-0.12169999999997499</v>
      </c>
      <c r="AD8343">
        <v>-1.1086605963279901</v>
      </c>
      <c r="AE8343">
        <v>-39.496879999999997</v>
      </c>
      <c r="AF8343">
        <v>1.5067806861849999</v>
      </c>
      <c r="AG8343">
        <v>-1.1086605963279901</v>
      </c>
      <c r="AH8343">
        <v>39.437198153140102</v>
      </c>
      <c r="AI8343">
        <v>91.609104448857195</v>
      </c>
      <c r="AJ8343">
        <v>87.811959113448694</v>
      </c>
      <c r="AK8343">
        <v>39.481541440578901</v>
      </c>
      <c r="AL8343">
        <v>90.833213698486901</v>
      </c>
      <c r="AM8343">
        <v>87.206416569048898</v>
      </c>
      <c r="AN8343">
        <v>1.0000000102856399</v>
      </c>
    </row>
    <row r="8344" spans="1:40" x14ac:dyDescent="0.25">
      <c r="A8344" t="str">
        <f>"20190312154123575"</f>
        <v>20190312154123575</v>
      </c>
      <c r="B8344" t="str">
        <f>"1552376483564920"</f>
        <v>1552376483564920</v>
      </c>
      <c r="C8344" t="s">
        <v>40</v>
      </c>
      <c r="D8344">
        <v>4.5284709999999997</v>
      </c>
      <c r="E8344">
        <v>0.49563869999999999</v>
      </c>
      <c r="F8344" t="s">
        <v>69</v>
      </c>
      <c r="G8344">
        <v>-302.56389999999999</v>
      </c>
      <c r="H8344" s="1">
        <v>-5.110944E-6</v>
      </c>
      <c r="I8344">
        <v>-48.883180000000003</v>
      </c>
      <c r="J8344">
        <v>-302.47739999999999</v>
      </c>
      <c r="K8344">
        <v>1.1085969999999901</v>
      </c>
      <c r="L8344">
        <v>-10.486269999999999</v>
      </c>
      <c r="M8344">
        <v>3.5036810000000002E-2</v>
      </c>
      <c r="N8344">
        <v>0</v>
      </c>
      <c r="O8344">
        <v>-0.99938369999999999</v>
      </c>
      <c r="P8344">
        <v>-1.351435E-2</v>
      </c>
      <c r="Q8344">
        <v>-1.7425960000000001E-2</v>
      </c>
      <c r="R8344">
        <v>-0.99975700000000001</v>
      </c>
      <c r="S8344">
        <v>-6.3171390000000003E-3</v>
      </c>
      <c r="T8344">
        <v>-8.6254949999999997E-2</v>
      </c>
      <c r="U8344">
        <v>-2.9991460000000001</v>
      </c>
      <c r="V8344">
        <v>4.8534010000000002E-2</v>
      </c>
      <c r="W8344">
        <v>-1.520436E-2</v>
      </c>
      <c r="X8344">
        <v>0.99870579999999998</v>
      </c>
      <c r="Y8344">
        <v>3.7140949999999999E-2</v>
      </c>
      <c r="Z8344">
        <v>2.8711540000000001E-2</v>
      </c>
      <c r="AA8344">
        <v>0.99889749999999999</v>
      </c>
      <c r="AB8344">
        <v>15</v>
      </c>
      <c r="AC8344">
        <v>-8.6500000000000896E-2</v>
      </c>
      <c r="AD8344">
        <v>-1.1086021109440001</v>
      </c>
      <c r="AE8344">
        <v>-38.396909999999998</v>
      </c>
      <c r="AF8344">
        <v>1.4305627393093401</v>
      </c>
      <c r="AG8344">
        <v>-1.1086021109440001</v>
      </c>
      <c r="AH8344">
        <v>38.338345593231097</v>
      </c>
      <c r="AI8344">
        <v>91.655167685116993</v>
      </c>
      <c r="AJ8344">
        <v>87.863048170960298</v>
      </c>
      <c r="AK8344">
        <v>38.381040257104999</v>
      </c>
      <c r="AL8344">
        <v>90.871179226878596</v>
      </c>
      <c r="AM8344">
        <v>87.217791328734293</v>
      </c>
      <c r="AN8344">
        <v>0.99999999882166402</v>
      </c>
    </row>
    <row r="8345" spans="1:40" x14ac:dyDescent="0.25">
      <c r="A8345" t="str">
        <f>"20190312154123599"</f>
        <v>20190312154123599</v>
      </c>
      <c r="B8345" t="str">
        <f>"1552376483584440"</f>
        <v>1552376483584440</v>
      </c>
      <c r="C8345" t="s">
        <v>40</v>
      </c>
      <c r="D8345">
        <v>4.5388769999999896</v>
      </c>
      <c r="E8345">
        <v>0.49556270000000002</v>
      </c>
      <c r="F8345" t="s">
        <v>69</v>
      </c>
      <c r="G8345">
        <v>-302.54349999999999</v>
      </c>
      <c r="H8345" s="1">
        <v>-4.8795520000000002E-6</v>
      </c>
      <c r="I8345">
        <v>-48.431379999999997</v>
      </c>
      <c r="J8345">
        <v>-302.47199999999998</v>
      </c>
      <c r="K8345">
        <v>1.108538</v>
      </c>
      <c r="L8345">
        <v>-10.643129999999999</v>
      </c>
      <c r="M8345">
        <v>3.4991880000000003E-2</v>
      </c>
      <c r="N8345">
        <v>0</v>
      </c>
      <c r="O8345">
        <v>-0.99938629999999995</v>
      </c>
      <c r="P8345">
        <v>-1.3104559999999999E-2</v>
      </c>
      <c r="Q8345">
        <v>-1.664962E-2</v>
      </c>
      <c r="R8345">
        <v>-0.99977579999999999</v>
      </c>
      <c r="S8345">
        <v>-5.2185060000000004E-3</v>
      </c>
      <c r="T8345">
        <v>-8.762288E-2</v>
      </c>
      <c r="U8345">
        <v>-2.9991460000000001</v>
      </c>
      <c r="V8345">
        <v>4.8080440000000002E-2</v>
      </c>
      <c r="W8345">
        <v>-1.4974899999999999E-2</v>
      </c>
      <c r="X8345">
        <v>0.99873120000000004</v>
      </c>
      <c r="Y8345">
        <v>3.6730060000000002E-2</v>
      </c>
      <c r="Z8345">
        <v>2.9166790000000001E-2</v>
      </c>
      <c r="AA8345">
        <v>0.99889950000000005</v>
      </c>
      <c r="AB8345">
        <v>15</v>
      </c>
      <c r="AC8345">
        <v>-7.1500000000014496E-2</v>
      </c>
      <c r="AD8345">
        <v>-1.108542879552</v>
      </c>
      <c r="AE8345">
        <v>-37.788249999999998</v>
      </c>
      <c r="AF8345">
        <v>1.3925414464057899</v>
      </c>
      <c r="AG8345">
        <v>-1.108542879552</v>
      </c>
      <c r="AH8345">
        <v>37.730136667793403</v>
      </c>
      <c r="AI8345">
        <v>91.681769243690198</v>
      </c>
      <c r="AJ8345">
        <v>87.886290485201897</v>
      </c>
      <c r="AK8345">
        <v>37.772096208261097</v>
      </c>
      <c r="AL8345">
        <v>90.858030645147807</v>
      </c>
      <c r="AM8345">
        <v>87.243821902931998</v>
      </c>
      <c r="AN8345">
        <v>0.99999999309702103</v>
      </c>
    </row>
    <row r="8346" spans="1:40" x14ac:dyDescent="0.25">
      <c r="A8346" t="str">
        <f>"20190312154123621"</f>
        <v>20190312154123621</v>
      </c>
      <c r="B8346" t="str">
        <f>"1552376483614695"</f>
        <v>1552376483614695</v>
      </c>
      <c r="C8346" t="s">
        <v>40</v>
      </c>
      <c r="D8346">
        <v>4.530653</v>
      </c>
      <c r="E8346">
        <v>0.49550179999999999</v>
      </c>
      <c r="F8346" t="s">
        <v>69</v>
      </c>
      <c r="G8346">
        <v>-302.51530000000002</v>
      </c>
      <c r="H8346" s="1">
        <v>-5.32388299999999E-6</v>
      </c>
      <c r="I8346">
        <v>-49.306629999999998</v>
      </c>
      <c r="J8346">
        <v>-302.46629999999999</v>
      </c>
      <c r="K8346">
        <v>1.1084780000000001</v>
      </c>
      <c r="L8346">
        <v>-10.8049</v>
      </c>
      <c r="M8346">
        <v>3.4959200000000003E-2</v>
      </c>
      <c r="N8346">
        <v>0</v>
      </c>
      <c r="O8346">
        <v>-0.99938800000000005</v>
      </c>
      <c r="P8346">
        <v>-1.239373E-2</v>
      </c>
      <c r="Q8346">
        <v>-1.6184779999999999E-2</v>
      </c>
      <c r="R8346">
        <v>-0.99979229999999997</v>
      </c>
      <c r="S8346">
        <v>-3.3569339999999998E-3</v>
      </c>
      <c r="T8346">
        <v>-8.5991979999999996E-2</v>
      </c>
      <c r="U8346">
        <v>-2.9992070000000002</v>
      </c>
      <c r="V8346">
        <v>4.7338119999999997E-2</v>
      </c>
      <c r="W8346">
        <v>-1.503849E-2</v>
      </c>
      <c r="X8346">
        <v>0.99876569999999998</v>
      </c>
      <c r="Y8346">
        <v>3.6077329999999998E-2</v>
      </c>
      <c r="Z8346">
        <v>2.8624190000000001E-2</v>
      </c>
      <c r="AA8346">
        <v>0.99893900000000002</v>
      </c>
      <c r="AB8346">
        <v>16</v>
      </c>
      <c r="AC8346">
        <v>-4.9000000000035002E-2</v>
      </c>
      <c r="AD8346">
        <v>-1.1084833238830001</v>
      </c>
      <c r="AE8346">
        <v>-38.501730000000002</v>
      </c>
      <c r="AF8346">
        <v>1.39380541154641</v>
      </c>
      <c r="AG8346">
        <v>-1.1084833238830001</v>
      </c>
      <c r="AH8346">
        <v>38.444616033931801</v>
      </c>
      <c r="AI8346">
        <v>91.650482348367106</v>
      </c>
      <c r="AJ8346">
        <v>87.923657096204195</v>
      </c>
      <c r="AK8346">
        <v>38.485840653427701</v>
      </c>
      <c r="AL8346">
        <v>90.861674497954397</v>
      </c>
      <c r="AM8346">
        <v>87.286404376796497</v>
      </c>
      <c r="AN8346">
        <v>0.99999998864155204</v>
      </c>
    </row>
    <row r="8347" spans="1:40" x14ac:dyDescent="0.25">
      <c r="A8347" t="str">
        <f>"20190312154123643"</f>
        <v>20190312154123643</v>
      </c>
      <c r="B8347" t="str">
        <f>"1552376483634216"</f>
        <v>1552376483634216</v>
      </c>
      <c r="C8347" t="s">
        <v>40</v>
      </c>
      <c r="D8347">
        <v>4.5890769999999996</v>
      </c>
      <c r="E8347">
        <v>0.49543209999999999</v>
      </c>
      <c r="F8347" t="s">
        <v>69</v>
      </c>
      <c r="G8347">
        <v>-302.47460000000001</v>
      </c>
      <c r="H8347" s="1">
        <v>-5.4932640000000003E-6</v>
      </c>
      <c r="I8347">
        <v>-49.64367</v>
      </c>
      <c r="J8347">
        <v>-302.46080000000001</v>
      </c>
      <c r="K8347">
        <v>1.1084229999999999</v>
      </c>
      <c r="L8347">
        <v>-10.96503</v>
      </c>
      <c r="M8347">
        <v>3.493512E-2</v>
      </c>
      <c r="N8347">
        <v>0</v>
      </c>
      <c r="O8347">
        <v>-0.99938939999999998</v>
      </c>
      <c r="P8347">
        <v>-1.1682730000000001E-2</v>
      </c>
      <c r="Q8347">
        <v>-1.58488E-2</v>
      </c>
      <c r="R8347">
        <v>-0.99980650000000004</v>
      </c>
      <c r="S8347">
        <v>-6.408691E-4</v>
      </c>
      <c r="T8347">
        <v>-8.5600140000000005E-2</v>
      </c>
      <c r="U8347">
        <v>-2.9992369999999999</v>
      </c>
      <c r="V8347">
        <v>4.6604020000000003E-2</v>
      </c>
      <c r="W8347">
        <v>-1.5189859999999999E-2</v>
      </c>
      <c r="X8347">
        <v>0.99879799999999996</v>
      </c>
      <c r="Y8347">
        <v>3.514859E-2</v>
      </c>
      <c r="Z8347">
        <v>2.849409E-2</v>
      </c>
      <c r="AA8347">
        <v>0.99897579999999997</v>
      </c>
      <c r="AB8347">
        <v>16</v>
      </c>
      <c r="AC8347">
        <v>-1.3800000000003299E-2</v>
      </c>
      <c r="AD8347">
        <v>-1.1084284932639901</v>
      </c>
      <c r="AE8347">
        <v>-38.678640000000001</v>
      </c>
      <c r="AF8347">
        <v>1.3639146438326799</v>
      </c>
      <c r="AG8347">
        <v>-1.1084284932639901</v>
      </c>
      <c r="AH8347">
        <v>38.622828945499698</v>
      </c>
      <c r="AI8347">
        <v>91.642844909318299</v>
      </c>
      <c r="AJ8347">
        <v>87.977514989736903</v>
      </c>
      <c r="AK8347">
        <v>38.662795975377499</v>
      </c>
      <c r="AL8347">
        <v>90.870348292644096</v>
      </c>
      <c r="AM8347">
        <v>87.328510520138394</v>
      </c>
      <c r="AN8347">
        <v>1.00000005566548</v>
      </c>
    </row>
    <row r="8348" spans="1:40" x14ac:dyDescent="0.25">
      <c r="A8348" t="str">
        <f>"20190312154123666"</f>
        <v>20190312154123666</v>
      </c>
      <c r="B8348" t="str">
        <f>"1552376483654244"</f>
        <v>1552376483654244</v>
      </c>
      <c r="C8348" t="s">
        <v>40</v>
      </c>
      <c r="D8348">
        <v>4.6448410000000004</v>
      </c>
      <c r="E8348">
        <v>0.49537789999999998</v>
      </c>
      <c r="F8348" t="s">
        <v>69</v>
      </c>
      <c r="G8348">
        <v>-302.43540000000002</v>
      </c>
      <c r="H8348" s="1">
        <v>-5.6864929999999997E-6</v>
      </c>
      <c r="I8348">
        <v>-50.027369999999998</v>
      </c>
      <c r="J8348">
        <v>-302.45479999999998</v>
      </c>
      <c r="K8348">
        <v>1.1083700000000001</v>
      </c>
      <c r="L8348">
        <v>-11.13696</v>
      </c>
      <c r="M8348">
        <v>3.491234E-2</v>
      </c>
      <c r="N8348">
        <v>0</v>
      </c>
      <c r="O8348">
        <v>-0.99939060000000002</v>
      </c>
      <c r="P8348">
        <v>-1.169891E-2</v>
      </c>
      <c r="Q8348">
        <v>-1.5918950000000001E-2</v>
      </c>
      <c r="R8348">
        <v>-0.99980530000000001</v>
      </c>
      <c r="S8348">
        <v>1.953125E-3</v>
      </c>
      <c r="T8348">
        <v>-8.5106849999999998E-2</v>
      </c>
      <c r="U8348">
        <v>-2.9992679999999998</v>
      </c>
      <c r="V8348">
        <v>4.6597340000000001E-2</v>
      </c>
      <c r="W8348">
        <v>-1.5740009999999999E-2</v>
      </c>
      <c r="X8348">
        <v>0.9987897</v>
      </c>
      <c r="Y8348">
        <v>3.426179E-2</v>
      </c>
      <c r="Z8348">
        <v>2.83302E-2</v>
      </c>
      <c r="AA8348">
        <v>0.99901130000000005</v>
      </c>
      <c r="AB8348">
        <v>16</v>
      </c>
      <c r="AC8348">
        <v>1.9399999999961798E-2</v>
      </c>
      <c r="AD8348">
        <v>-1.1083756864929999</v>
      </c>
      <c r="AE8348">
        <v>-38.890410000000003</v>
      </c>
      <c r="AF8348">
        <v>1.3372805387795801</v>
      </c>
      <c r="AG8348">
        <v>-1.1083756864929999</v>
      </c>
      <c r="AH8348">
        <v>38.8358345353654</v>
      </c>
      <c r="AI8348">
        <v>91.633811408632994</v>
      </c>
      <c r="AJ8348">
        <v>88.027845416303407</v>
      </c>
      <c r="AK8348">
        <v>38.874655753589501</v>
      </c>
      <c r="AL8348">
        <v>90.901873418546799</v>
      </c>
      <c r="AM8348">
        <v>87.328870719291302</v>
      </c>
      <c r="AN8348">
        <v>0.99999996241798195</v>
      </c>
    </row>
    <row r="8349" spans="1:40" x14ac:dyDescent="0.25">
      <c r="A8349" t="str">
        <f>"20190312154123687"</f>
        <v>20190312154123687</v>
      </c>
      <c r="B8349" t="str">
        <f>"1552376483674739"</f>
        <v>1552376483674739</v>
      </c>
      <c r="C8349" t="s">
        <v>40</v>
      </c>
      <c r="D8349">
        <v>4.5747780000000002</v>
      </c>
      <c r="E8349">
        <v>0.4948572</v>
      </c>
      <c r="F8349" t="s">
        <v>69</v>
      </c>
      <c r="G8349">
        <v>-302.4248</v>
      </c>
      <c r="H8349" s="1">
        <v>-5.6288409999999999E-6</v>
      </c>
      <c r="I8349">
        <v>-49.915430000000001</v>
      </c>
      <c r="J8349">
        <v>-302.44929999999999</v>
      </c>
      <c r="K8349">
        <v>1.1083209999999999</v>
      </c>
      <c r="L8349">
        <v>-11.29504</v>
      </c>
      <c r="M8349">
        <v>3.489184E-2</v>
      </c>
      <c r="N8349">
        <v>0</v>
      </c>
      <c r="O8349">
        <v>-0.99939129999999998</v>
      </c>
      <c r="P8349">
        <v>-1.162696E-2</v>
      </c>
      <c r="Q8349">
        <v>-1.548865E-2</v>
      </c>
      <c r="R8349">
        <v>-0.99981299999999995</v>
      </c>
      <c r="S8349">
        <v>2.319336E-3</v>
      </c>
      <c r="T8349">
        <v>-8.5724949999999994E-2</v>
      </c>
      <c r="U8349">
        <v>-2.9992369999999999</v>
      </c>
      <c r="V8349">
        <v>4.6505100000000001E-2</v>
      </c>
      <c r="W8349">
        <v>-1.5710910000000002E-2</v>
      </c>
      <c r="X8349">
        <v>0.99879450000000003</v>
      </c>
      <c r="Y8349">
        <v>3.4119299999999998E-2</v>
      </c>
      <c r="Z8349">
        <v>2.853617E-2</v>
      </c>
      <c r="AA8349">
        <v>0.99901030000000002</v>
      </c>
      <c r="AB8349">
        <v>16</v>
      </c>
      <c r="AC8349">
        <v>2.4499999999988999E-2</v>
      </c>
      <c r="AD8349">
        <v>-1.1083266288410001</v>
      </c>
      <c r="AE8349">
        <v>-38.62039</v>
      </c>
      <c r="AF8349">
        <v>1.3219623774745899</v>
      </c>
      <c r="AG8349">
        <v>-1.1083266288410001</v>
      </c>
      <c r="AH8349">
        <v>38.565966801235</v>
      </c>
      <c r="AI8349">
        <v>91.645173879188206</v>
      </c>
      <c r="AJ8349">
        <v>88.0367866624443</v>
      </c>
      <c r="AK8349">
        <v>38.604530404573197</v>
      </c>
      <c r="AL8349">
        <v>90.900205866659803</v>
      </c>
      <c r="AM8349">
        <v>87.334163409802002</v>
      </c>
      <c r="AN8349">
        <v>1.00000000512464</v>
      </c>
    </row>
    <row r="8350" spans="1:40" x14ac:dyDescent="0.25">
      <c r="A8350" t="str">
        <f>"20190312154123709"</f>
        <v>20190312154123709</v>
      </c>
      <c r="B8350" t="str">
        <f>"1552376483705001"</f>
        <v>1552376483705001</v>
      </c>
      <c r="C8350" t="s">
        <v>40</v>
      </c>
      <c r="D8350">
        <v>4.5485499999999996</v>
      </c>
      <c r="E8350">
        <v>0.46130539999999998</v>
      </c>
      <c r="F8350" t="s">
        <v>69</v>
      </c>
      <c r="G8350">
        <v>-302.36070000000001</v>
      </c>
      <c r="H8350" s="1">
        <v>-5.5882019999999998E-6</v>
      </c>
      <c r="I8350">
        <v>-49.842979999999997</v>
      </c>
      <c r="J8350">
        <v>-302.4434</v>
      </c>
      <c r="K8350">
        <v>1.1082780000000001</v>
      </c>
      <c r="L8350">
        <v>-11.46646</v>
      </c>
      <c r="M8350">
        <v>3.4867660000000002E-2</v>
      </c>
      <c r="N8350">
        <v>0</v>
      </c>
      <c r="O8350">
        <v>-0.99939199999999995</v>
      </c>
      <c r="P8350">
        <v>-1.146105E-2</v>
      </c>
      <c r="Q8350">
        <v>-1.431851E-2</v>
      </c>
      <c r="R8350">
        <v>-0.99983219999999995</v>
      </c>
      <c r="S8350">
        <v>6.8969729999999998E-3</v>
      </c>
      <c r="T8350">
        <v>-8.6235519999999996E-2</v>
      </c>
      <c r="U8350">
        <v>-2.999298</v>
      </c>
      <c r="V8350">
        <v>4.6315670000000003E-2</v>
      </c>
      <c r="W8350">
        <v>-1.493244E-2</v>
      </c>
      <c r="X8350">
        <v>0.99881520000000001</v>
      </c>
      <c r="Y8350">
        <v>3.2570389999999998E-2</v>
      </c>
      <c r="Z8350">
        <v>2.870615E-2</v>
      </c>
      <c r="AA8350">
        <v>0.99905710000000003</v>
      </c>
      <c r="AB8350">
        <v>17</v>
      </c>
      <c r="AC8350">
        <v>8.2699999999988394E-2</v>
      </c>
      <c r="AD8350">
        <v>-1.1082835882019999</v>
      </c>
      <c r="AE8350">
        <v>-38.376519999999999</v>
      </c>
      <c r="AF8350">
        <v>1.25440347683788</v>
      </c>
      <c r="AG8350">
        <v>-1.1082835882019999</v>
      </c>
      <c r="AH8350">
        <v>38.324105772816502</v>
      </c>
      <c r="AI8350">
        <v>91.655572090327794</v>
      </c>
      <c r="AJ8350">
        <v>88.125295465504394</v>
      </c>
      <c r="AK8350">
        <v>38.360642641653001</v>
      </c>
      <c r="AL8350">
        <v>90.855597621408194</v>
      </c>
      <c r="AM8350">
        <v>87.345061581943497</v>
      </c>
      <c r="AN8350">
        <v>0.99999996140146996</v>
      </c>
    </row>
    <row r="8351" spans="1:40" x14ac:dyDescent="0.25">
      <c r="A8351" t="str">
        <f>"20190312154123733"</f>
        <v>20190312154123733</v>
      </c>
      <c r="B8351" t="str">
        <f>"1552376483724515"</f>
        <v>1552376483724515</v>
      </c>
      <c r="C8351" t="s">
        <v>40</v>
      </c>
      <c r="D8351">
        <v>4.5482930000000001</v>
      </c>
      <c r="E8351">
        <v>0.46088079999999998</v>
      </c>
      <c r="F8351" t="s">
        <v>69</v>
      </c>
      <c r="G8351">
        <v>-298.70150000000001</v>
      </c>
      <c r="H8351" s="1">
        <v>-7.5104549999999997E-6</v>
      </c>
      <c r="I8351">
        <v>-52.316690000000001</v>
      </c>
      <c r="J8351">
        <v>-302.43720000000002</v>
      </c>
      <c r="K8351">
        <v>1.1082289999999999</v>
      </c>
      <c r="L8351">
        <v>-11.643459999999999</v>
      </c>
      <c r="M8351">
        <v>3.4839660000000001E-2</v>
      </c>
      <c r="N8351">
        <v>0</v>
      </c>
      <c r="O8351">
        <v>-0.99939270000000002</v>
      </c>
      <c r="P8351">
        <v>-1.149999E-2</v>
      </c>
      <c r="Q8351">
        <v>-1.3600340000000001E-2</v>
      </c>
      <c r="R8351">
        <v>-0.99984170000000006</v>
      </c>
      <c r="S8351">
        <v>0.2750244</v>
      </c>
      <c r="T8351">
        <v>-8.1459279999999995E-2</v>
      </c>
      <c r="U8351">
        <v>-3.0025019999999998</v>
      </c>
      <c r="V8351">
        <v>4.6326779999999998E-2</v>
      </c>
      <c r="W8351">
        <v>-1.4573350000000001E-2</v>
      </c>
      <c r="X8351">
        <v>0.99882000000000004</v>
      </c>
      <c r="Y8351">
        <v>-5.6433419999999998E-2</v>
      </c>
      <c r="Z8351">
        <v>2.701769E-2</v>
      </c>
      <c r="AA8351">
        <v>0.9980407</v>
      </c>
      <c r="AB8351">
        <v>17</v>
      </c>
      <c r="AC8351">
        <v>3.7357</v>
      </c>
      <c r="AD8351">
        <v>-1.108236510455</v>
      </c>
      <c r="AE8351">
        <v>-40.673229999999997</v>
      </c>
      <c r="AF8351">
        <v>-2.3146862165066402</v>
      </c>
      <c r="AG8351">
        <v>-1.108236510455</v>
      </c>
      <c r="AH8351">
        <v>40.748688990614703</v>
      </c>
      <c r="AI8351">
        <v>91.555375334011799</v>
      </c>
      <c r="AJ8351">
        <v>93.251132414453707</v>
      </c>
      <c r="AK8351">
        <v>40.829420947373698</v>
      </c>
      <c r="AL8351">
        <v>90.835021030224297</v>
      </c>
      <c r="AM8351">
        <v>87.344438382049006</v>
      </c>
      <c r="AN8351">
        <v>0.99999997273769503</v>
      </c>
    </row>
    <row r="8352" spans="1:40" x14ac:dyDescent="0.25">
      <c r="A8352" t="str">
        <f>"20190312154123754"</f>
        <v>20190312154123754</v>
      </c>
      <c r="B8352" t="str">
        <f>"1552376483745012"</f>
        <v>1552376483745012</v>
      </c>
      <c r="C8352" t="s">
        <v>40</v>
      </c>
      <c r="D8352">
        <v>4.5146990000000002</v>
      </c>
      <c r="E8352">
        <v>0.46098729999999899</v>
      </c>
      <c r="F8352" t="s">
        <v>69</v>
      </c>
      <c r="G8352">
        <v>-298.55779999999999</v>
      </c>
      <c r="H8352" s="1">
        <v>-7.429303E-6</v>
      </c>
      <c r="I8352">
        <v>-53.486840000000001</v>
      </c>
      <c r="J8352">
        <v>-302.43130000000002</v>
      </c>
      <c r="K8352">
        <v>1.1081920000000001</v>
      </c>
      <c r="L8352">
        <v>-11.81329</v>
      </c>
      <c r="M8352">
        <v>3.4809279999999998E-2</v>
      </c>
      <c r="N8352">
        <v>0</v>
      </c>
      <c r="O8352">
        <v>-0.99939350000000005</v>
      </c>
      <c r="P8352">
        <v>-1.167049E-2</v>
      </c>
      <c r="Q8352">
        <v>-1.472272E-2</v>
      </c>
      <c r="R8352">
        <v>-0.99982400000000005</v>
      </c>
      <c r="S8352">
        <v>0.2783813</v>
      </c>
      <c r="T8352">
        <v>-7.952476E-2</v>
      </c>
      <c r="U8352">
        <v>-3.0025940000000002</v>
      </c>
      <c r="V8352">
        <v>4.6465949999999999E-2</v>
      </c>
      <c r="W8352">
        <v>-1.5998689999999999E-2</v>
      </c>
      <c r="X8352">
        <v>0.99879180000000001</v>
      </c>
      <c r="Y8352">
        <v>-5.756899E-2</v>
      </c>
      <c r="Z8352">
        <v>2.6373549999999999E-2</v>
      </c>
      <c r="AA8352">
        <v>0.99799309999999997</v>
      </c>
      <c r="AB8352">
        <v>17</v>
      </c>
      <c r="AC8352">
        <v>3.8735000000000301</v>
      </c>
      <c r="AD8352">
        <v>-1.108199429303</v>
      </c>
      <c r="AE8352">
        <v>-41.673549999999999</v>
      </c>
      <c r="AF8352">
        <v>-2.4188297594668899</v>
      </c>
      <c r="AG8352">
        <v>-1.108199429303</v>
      </c>
      <c r="AH8352">
        <v>41.753854949614002</v>
      </c>
      <c r="AI8352">
        <v>91.517801061009493</v>
      </c>
      <c r="AJ8352">
        <v>93.315478658848406</v>
      </c>
      <c r="AK8352">
        <v>41.838537815437498</v>
      </c>
      <c r="AL8352">
        <v>90.916696476644503</v>
      </c>
      <c r="AM8352">
        <v>87.336397202642999</v>
      </c>
      <c r="AN8352">
        <v>1.00000005116917</v>
      </c>
    </row>
    <row r="8353" spans="1:40" x14ac:dyDescent="0.25">
      <c r="A8353" t="str">
        <f>"20190312154123777"</f>
        <v>20190312154123777</v>
      </c>
      <c r="B8353" t="str">
        <f>"1552376483764531"</f>
        <v>1552376483764531</v>
      </c>
      <c r="C8353" t="s">
        <v>40</v>
      </c>
      <c r="D8353">
        <v>4.5018969999999996</v>
      </c>
      <c r="E8353">
        <v>0.46058349999999998</v>
      </c>
      <c r="F8353" t="s">
        <v>69</v>
      </c>
      <c r="G8353">
        <v>-298.88749999999999</v>
      </c>
      <c r="H8353" s="1">
        <v>-5.8281199999999999E-6</v>
      </c>
      <c r="I8353">
        <v>-50.216439999999999</v>
      </c>
      <c r="J8353">
        <v>-302.42500000000001</v>
      </c>
      <c r="K8353">
        <v>1.1081449999999999</v>
      </c>
      <c r="L8353">
        <v>-11.995419999999999</v>
      </c>
      <c r="M8353">
        <v>3.4774689999999997E-2</v>
      </c>
      <c r="N8353">
        <v>0</v>
      </c>
      <c r="O8353">
        <v>-0.99939389999999995</v>
      </c>
      <c r="P8353">
        <v>-1.19007E-2</v>
      </c>
      <c r="Q8353">
        <v>-1.6356019999999999E-2</v>
      </c>
      <c r="R8353">
        <v>-0.9997954</v>
      </c>
      <c r="S8353">
        <v>0.27706910000000001</v>
      </c>
      <c r="T8353">
        <v>-8.6643100000000001E-2</v>
      </c>
      <c r="U8353">
        <v>-3.0025019999999998</v>
      </c>
      <c r="V8353">
        <v>4.6660180000000002E-2</v>
      </c>
      <c r="W8353">
        <v>-1.7916319999999999E-2</v>
      </c>
      <c r="X8353">
        <v>0.99875020000000003</v>
      </c>
      <c r="Y8353">
        <v>-5.7167849999999999E-2</v>
      </c>
      <c r="Z8353">
        <v>2.8734240000000001E-2</v>
      </c>
      <c r="AA8353">
        <v>0.99795100000000003</v>
      </c>
      <c r="AB8353">
        <v>17</v>
      </c>
      <c r="AC8353">
        <v>3.5375000000000201</v>
      </c>
      <c r="AD8353">
        <v>-1.1081508281200001</v>
      </c>
      <c r="AE8353">
        <v>-38.221020000000003</v>
      </c>
      <c r="AF8353">
        <v>-2.20439732211267</v>
      </c>
      <c r="AG8353">
        <v>-1.1081508281200001</v>
      </c>
      <c r="AH8353">
        <v>38.289005982175503</v>
      </c>
      <c r="AI8353">
        <v>91.655038248292698</v>
      </c>
      <c r="AJ8353">
        <v>93.295029181851106</v>
      </c>
      <c r="AK8353">
        <v>38.368415981307798</v>
      </c>
      <c r="AL8353">
        <v>91.026584380551597</v>
      </c>
      <c r="AM8353">
        <v>87.325168099006206</v>
      </c>
      <c r="AN8353">
        <v>1.00000006446</v>
      </c>
    </row>
    <row r="8354" spans="1:40" x14ac:dyDescent="0.25">
      <c r="A8354" t="str">
        <f>"20190312154123799"</f>
        <v>20190312154123799</v>
      </c>
      <c r="B8354" t="str">
        <f>"1552376483794791"</f>
        <v>1552376483794791</v>
      </c>
      <c r="C8354" t="s">
        <v>40</v>
      </c>
      <c r="D8354">
        <v>4.603777</v>
      </c>
      <c r="E8354">
        <v>0.46063110000000002</v>
      </c>
      <c r="F8354" t="s">
        <v>69</v>
      </c>
      <c r="G8354">
        <v>-299.38819999999998</v>
      </c>
      <c r="H8354" s="1">
        <v>-2.8234099999999998E-6</v>
      </c>
      <c r="I8354">
        <v>-44.589619999999996</v>
      </c>
      <c r="J8354">
        <v>-302.4187</v>
      </c>
      <c r="K8354">
        <v>1.1081000000000001</v>
      </c>
      <c r="L8354">
        <v>-12.176729999999999</v>
      </c>
      <c r="M8354">
        <v>3.4737879999999999E-2</v>
      </c>
      <c r="N8354">
        <v>0</v>
      </c>
      <c r="O8354">
        <v>-0.99939509999999998</v>
      </c>
      <c r="P8354">
        <v>-1.251349E-2</v>
      </c>
      <c r="Q8354">
        <v>-1.6965339999999999E-2</v>
      </c>
      <c r="R8354">
        <v>-0.99977830000000001</v>
      </c>
      <c r="S8354">
        <v>0.27972409999999998</v>
      </c>
      <c r="T8354">
        <v>-0.1020718</v>
      </c>
      <c r="U8354">
        <v>-3.0022579999999999</v>
      </c>
      <c r="V8354">
        <v>4.7234940000000003E-2</v>
      </c>
      <c r="W8354">
        <v>-1.876686E-2</v>
      </c>
      <c r="X8354">
        <v>0.99870749999999997</v>
      </c>
      <c r="Y8354">
        <v>-5.8072159999999998E-2</v>
      </c>
      <c r="Z8354">
        <v>3.3846099999999997E-2</v>
      </c>
      <c r="AA8354">
        <v>0.99773849999999997</v>
      </c>
      <c r="AB8354">
        <v>18</v>
      </c>
      <c r="AC8354">
        <v>3.0305000000000102</v>
      </c>
      <c r="AD8354">
        <v>-1.1081028234100001</v>
      </c>
      <c r="AE8354">
        <v>-32.412889999999997</v>
      </c>
      <c r="AF8354">
        <v>-1.90051235896905</v>
      </c>
      <c r="AG8354">
        <v>-1.1081028234100001</v>
      </c>
      <c r="AH8354">
        <v>32.460990417317099</v>
      </c>
      <c r="AI8354">
        <v>91.951775335944006</v>
      </c>
      <c r="AJ8354">
        <v>93.350704061257105</v>
      </c>
      <c r="AK8354">
        <v>32.535453554038497</v>
      </c>
      <c r="AL8354">
        <v>91.075324996932395</v>
      </c>
      <c r="AM8354">
        <v>87.292152666380005</v>
      </c>
      <c r="AN8354">
        <v>1.00000000257365</v>
      </c>
    </row>
    <row r="8355" spans="1:40" x14ac:dyDescent="0.25">
      <c r="A8355" t="str">
        <f>"20190312154123823"</f>
        <v>20190312154123823</v>
      </c>
      <c r="B8355" t="str">
        <f>"1552376483814307"</f>
        <v>1552376483814307</v>
      </c>
      <c r="C8355" t="s">
        <v>40</v>
      </c>
      <c r="D8355">
        <v>4.5160109999999998</v>
      </c>
      <c r="E8355">
        <v>0.46004610000000001</v>
      </c>
      <c r="F8355" t="s">
        <v>69</v>
      </c>
      <c r="G8355">
        <v>-299.49270000000001</v>
      </c>
      <c r="H8355" s="1">
        <v>-2.298227E-6</v>
      </c>
      <c r="I8355">
        <v>-43.807130000000001</v>
      </c>
      <c r="J8355">
        <v>-302.41199999999998</v>
      </c>
      <c r="K8355">
        <v>1.1080490000000001</v>
      </c>
      <c r="L8355">
        <v>-12.369630000000001</v>
      </c>
      <c r="M8355">
        <v>3.4697970000000002E-2</v>
      </c>
      <c r="N8355">
        <v>0</v>
      </c>
      <c r="O8355">
        <v>-0.99939610000000001</v>
      </c>
      <c r="P8355">
        <v>-1.312489E-2</v>
      </c>
      <c r="Q8355">
        <v>-1.753337E-2</v>
      </c>
      <c r="R8355">
        <v>-0.9997606</v>
      </c>
      <c r="S8355">
        <v>0.2777405</v>
      </c>
      <c r="T8355">
        <v>-0.1051807</v>
      </c>
      <c r="U8355">
        <v>-3.0023499999999999</v>
      </c>
      <c r="V8355">
        <v>4.7805220000000002E-2</v>
      </c>
      <c r="W8355">
        <v>-1.9551510000000001E-2</v>
      </c>
      <c r="X8355">
        <v>0.99866529999999998</v>
      </c>
      <c r="Y8355">
        <v>-5.7452370000000003E-2</v>
      </c>
      <c r="Z8355">
        <v>3.487647E-2</v>
      </c>
      <c r="AA8355">
        <v>0.99773889999999998</v>
      </c>
      <c r="AB8355">
        <v>18</v>
      </c>
      <c r="AC8355">
        <v>2.9193000000000202</v>
      </c>
      <c r="AD8355">
        <v>-1.1080512982269899</v>
      </c>
      <c r="AE8355">
        <v>-31.4375</v>
      </c>
      <c r="AF8355">
        <v>-1.82447563265696</v>
      </c>
      <c r="AG8355">
        <v>-1.1080512982269899</v>
      </c>
      <c r="AH8355">
        <v>31.481089264251899</v>
      </c>
      <c r="AI8355">
        <v>92.012454093947298</v>
      </c>
      <c r="AJ8355">
        <v>93.3168469141374</v>
      </c>
      <c r="AK8355">
        <v>31.553374942745201</v>
      </c>
      <c r="AL8355">
        <v>91.120290397897406</v>
      </c>
      <c r="AM8355">
        <v>87.259394020802304</v>
      </c>
      <c r="AN8355">
        <v>0.99999999101330905</v>
      </c>
    </row>
    <row r="8356" spans="1:40" x14ac:dyDescent="0.25">
      <c r="A8356" t="str">
        <f>"20190312154123847"</f>
        <v>20190312154123847</v>
      </c>
      <c r="B8356" t="str">
        <f>"1552376483834803"</f>
        <v>1552376483834803</v>
      </c>
      <c r="C8356" t="s">
        <v>40</v>
      </c>
      <c r="D8356">
        <v>4.5262079999999996</v>
      </c>
      <c r="E8356">
        <v>0.459957</v>
      </c>
      <c r="F8356" t="s">
        <v>69</v>
      </c>
      <c r="G8356">
        <v>-299.673</v>
      </c>
      <c r="H8356" s="1">
        <v>-8.8777409999999996E-7</v>
      </c>
      <c r="I8356">
        <v>-41.663620000000002</v>
      </c>
      <c r="J8356">
        <v>-302.40480000000002</v>
      </c>
      <c r="K8356">
        <v>1.107998</v>
      </c>
      <c r="L8356">
        <v>-12.578189999999999</v>
      </c>
      <c r="M8356">
        <v>3.4655169999999999E-2</v>
      </c>
      <c r="N8356">
        <v>0</v>
      </c>
      <c r="O8356">
        <v>-0.99939699999999998</v>
      </c>
      <c r="P8356">
        <v>-1.345856E-2</v>
      </c>
      <c r="Q8356">
        <v>-1.9850389999999999E-2</v>
      </c>
      <c r="R8356">
        <v>-0.99971259999999995</v>
      </c>
      <c r="S8356">
        <v>0.28073120000000001</v>
      </c>
      <c r="T8356">
        <v>-0.1135666</v>
      </c>
      <c r="U8356">
        <v>-3.0024109999999999</v>
      </c>
      <c r="V8356">
        <v>4.809389E-2</v>
      </c>
      <c r="W8356">
        <v>-2.206019E-2</v>
      </c>
      <c r="X8356">
        <v>0.99859920000000002</v>
      </c>
      <c r="Y8356">
        <v>-5.8469180000000003E-2</v>
      </c>
      <c r="Z8356">
        <v>3.7649790000000002E-2</v>
      </c>
      <c r="AA8356">
        <v>0.99757899999999999</v>
      </c>
      <c r="AB8356">
        <v>18</v>
      </c>
      <c r="AC8356">
        <v>2.7318000000000202</v>
      </c>
      <c r="AD8356">
        <v>-1.1079988877741</v>
      </c>
      <c r="AE8356">
        <v>-29.085429999999999</v>
      </c>
      <c r="AF8356">
        <v>-1.7197223721333501</v>
      </c>
      <c r="AG8356">
        <v>-1.1079988877741</v>
      </c>
      <c r="AH8356">
        <v>29.120739847897401</v>
      </c>
      <c r="AI8356">
        <v>92.175178279348202</v>
      </c>
      <c r="AJ8356">
        <v>93.3796713152324</v>
      </c>
      <c r="AK8356">
        <v>29.192509242294399</v>
      </c>
      <c r="AL8356">
        <v>91.264058299419105</v>
      </c>
      <c r="AM8356">
        <v>87.242688215074395</v>
      </c>
      <c r="AN8356">
        <v>1.0000000182394</v>
      </c>
    </row>
    <row r="8357" spans="1:40" x14ac:dyDescent="0.25">
      <c r="A8357" t="str">
        <f>"20190312154123867"</f>
        <v>20190312154123867</v>
      </c>
      <c r="B8357" t="str">
        <f>"1552376483854323"</f>
        <v>1552376483854323</v>
      </c>
      <c r="C8357" t="s">
        <v>40</v>
      </c>
      <c r="D8357">
        <v>4.5067159999999999</v>
      </c>
      <c r="E8357">
        <v>0.45985759999999998</v>
      </c>
      <c r="F8357" t="s">
        <v>42</v>
      </c>
      <c r="G8357">
        <v>-299.85140000000001</v>
      </c>
      <c r="H8357" s="1">
        <v>-2.1428170000000001E-7</v>
      </c>
      <c r="I8357">
        <v>-39.92915</v>
      </c>
      <c r="J8357">
        <v>-302.399</v>
      </c>
      <c r="K8357">
        <v>1.1079730000000001</v>
      </c>
      <c r="L8357">
        <v>-12.74741</v>
      </c>
      <c r="M8357">
        <v>3.46208E-2</v>
      </c>
      <c r="N8357">
        <v>0</v>
      </c>
      <c r="O8357">
        <v>-0.9993978</v>
      </c>
      <c r="P8357">
        <v>-1.4024679999999999E-2</v>
      </c>
      <c r="Q8357">
        <v>-2.1844220000000001E-2</v>
      </c>
      <c r="R8357">
        <v>-0.99966299999999997</v>
      </c>
      <c r="S8357">
        <v>0.28027340000000001</v>
      </c>
      <c r="T8357">
        <v>-0.1216214</v>
      </c>
      <c r="U8357">
        <v>-3.0022280000000001</v>
      </c>
      <c r="V8357">
        <v>4.8623329999999999E-2</v>
      </c>
      <c r="W8357">
        <v>-2.4169090000000001E-2</v>
      </c>
      <c r="X8357">
        <v>0.99852470000000004</v>
      </c>
      <c r="Y8357">
        <v>-5.8348659999999997E-2</v>
      </c>
      <c r="Z8357">
        <v>4.031887E-2</v>
      </c>
      <c r="AA8357">
        <v>0.99748179999999997</v>
      </c>
      <c r="AB8357">
        <v>19</v>
      </c>
      <c r="AC8357">
        <v>2.5475999999999801</v>
      </c>
      <c r="AD8357">
        <v>-1.10797321428169</v>
      </c>
      <c r="AE8357">
        <v>-27.181740000000001</v>
      </c>
      <c r="AF8357">
        <v>-1.60237742567123</v>
      </c>
      <c r="AG8357">
        <v>-1.10797321428169</v>
      </c>
      <c r="AH8357">
        <v>27.2088310104679</v>
      </c>
      <c r="AI8357">
        <v>92.327829373983803</v>
      </c>
      <c r="AJ8357">
        <v>93.370359597768697</v>
      </c>
      <c r="AK8357">
        <v>27.278484250670299</v>
      </c>
      <c r="AL8357">
        <v>91.384921741366796</v>
      </c>
      <c r="AM8357">
        <v>87.212174401166493</v>
      </c>
      <c r="AN8357">
        <v>0.99999997482090297</v>
      </c>
    </row>
    <row r="8358" spans="1:40" x14ac:dyDescent="0.25">
      <c r="A8358" t="str">
        <f>"20190312154123888"</f>
        <v>20190312154123888</v>
      </c>
      <c r="B8358" t="str">
        <f>"1552376483874820"</f>
        <v>1552376483874820</v>
      </c>
      <c r="C8358" t="s">
        <v>40</v>
      </c>
      <c r="D8358">
        <v>4.4846769999999996</v>
      </c>
      <c r="E8358">
        <v>0.4598294</v>
      </c>
      <c r="F8358" t="s">
        <v>42</v>
      </c>
      <c r="G8358">
        <v>-299.93970000000002</v>
      </c>
      <c r="H8358" s="1">
        <v>-5.2168079999999898E-7</v>
      </c>
      <c r="I8358">
        <v>-39.176079999999999</v>
      </c>
      <c r="J8358">
        <v>-302.39269999999999</v>
      </c>
      <c r="K8358">
        <v>1.107966</v>
      </c>
      <c r="L8358">
        <v>-12.93097</v>
      </c>
      <c r="M8358">
        <v>3.4584289999999997E-2</v>
      </c>
      <c r="N8358">
        <v>0</v>
      </c>
      <c r="O8358">
        <v>-0.99939889999999998</v>
      </c>
      <c r="P8358">
        <v>-1.386309E-2</v>
      </c>
      <c r="Q8358">
        <v>-2.145128E-2</v>
      </c>
      <c r="R8358">
        <v>-0.99967379999999995</v>
      </c>
      <c r="S8358">
        <v>0.27935789999999999</v>
      </c>
      <c r="T8358">
        <v>-0.12586030000000001</v>
      </c>
      <c r="U8358">
        <v>-3.002167</v>
      </c>
      <c r="V8358">
        <v>4.8425669999999997E-2</v>
      </c>
      <c r="W8358">
        <v>-2.3843420000000001E-2</v>
      </c>
      <c r="X8358">
        <v>0.99854219999999905</v>
      </c>
      <c r="Y8358">
        <v>-5.8080079999999999E-2</v>
      </c>
      <c r="Z8358">
        <v>4.1723530000000002E-2</v>
      </c>
      <c r="AA8358">
        <v>0.99743959999999998</v>
      </c>
      <c r="AB8358">
        <v>19</v>
      </c>
      <c r="AC8358">
        <v>2.4529999999999701</v>
      </c>
      <c r="AD8358">
        <v>-1.1079665216807999</v>
      </c>
      <c r="AE8358">
        <v>-26.24511</v>
      </c>
      <c r="AF8358">
        <v>-1.5411386253504</v>
      </c>
      <c r="AG8358">
        <v>-1.1079665216807999</v>
      </c>
      <c r="AH8358">
        <v>26.267836060895899</v>
      </c>
      <c r="AI8358">
        <v>92.411139409264905</v>
      </c>
      <c r="AJ8358">
        <v>93.357704511351798</v>
      </c>
      <c r="AK8358">
        <v>26.336323004508699</v>
      </c>
      <c r="AL8358">
        <v>91.366256756592605</v>
      </c>
      <c r="AM8358">
        <v>87.223538079604197</v>
      </c>
      <c r="AN8358">
        <v>1.0000000396865401</v>
      </c>
    </row>
    <row r="8359" spans="1:40" x14ac:dyDescent="0.25">
      <c r="A8359" t="str">
        <f>"20190312154123911"</f>
        <v>20190312154123911</v>
      </c>
      <c r="B8359" t="str">
        <f>"1552376483905075"</f>
        <v>1552376483905075</v>
      </c>
      <c r="C8359" t="s">
        <v>40</v>
      </c>
      <c r="D8359">
        <v>4.5060539999999998</v>
      </c>
      <c r="E8359">
        <v>0.45962579999999997</v>
      </c>
      <c r="F8359" t="s">
        <v>42</v>
      </c>
      <c r="G8359">
        <v>-299.87</v>
      </c>
      <c r="H8359" s="1">
        <v>-1.931271E-7</v>
      </c>
      <c r="I8359">
        <v>-39.970779999999998</v>
      </c>
      <c r="J8359">
        <v>-302.38589999999999</v>
      </c>
      <c r="K8359">
        <v>1.1079779999999999</v>
      </c>
      <c r="L8359">
        <v>-13.128329999999901</v>
      </c>
      <c r="M8359">
        <v>3.4546830000000001E-2</v>
      </c>
      <c r="N8359">
        <v>0</v>
      </c>
      <c r="O8359">
        <v>-0.99940039999999997</v>
      </c>
      <c r="P8359">
        <v>-1.3658119999999999E-2</v>
      </c>
      <c r="Q8359">
        <v>-2.201388E-2</v>
      </c>
      <c r="R8359">
        <v>-0.99966460000000001</v>
      </c>
      <c r="S8359">
        <v>0.28009030000000001</v>
      </c>
      <c r="T8359">
        <v>-0.1230174</v>
      </c>
      <c r="U8359">
        <v>-3.0022280000000001</v>
      </c>
      <c r="V8359">
        <v>4.8182959999999997E-2</v>
      </c>
      <c r="W8359">
        <v>-2.4391340000000001E-2</v>
      </c>
      <c r="X8359">
        <v>0.9985406</v>
      </c>
      <c r="Y8359">
        <v>-5.8360500000000003E-2</v>
      </c>
      <c r="Z8359">
        <v>4.078114E-2</v>
      </c>
      <c r="AA8359">
        <v>0.99746230000000002</v>
      </c>
      <c r="AB8359">
        <v>19</v>
      </c>
      <c r="AC8359">
        <v>2.5158999999999798</v>
      </c>
      <c r="AD8359">
        <v>-1.1079781931271</v>
      </c>
      <c r="AE8359">
        <v>-26.842449999999999</v>
      </c>
      <c r="AF8359">
        <v>-1.5843981744572699</v>
      </c>
      <c r="AG8359">
        <v>-1.1079781931271</v>
      </c>
      <c r="AH8359">
        <v>26.867964792473799</v>
      </c>
      <c r="AI8359">
        <v>92.357328573073005</v>
      </c>
      <c r="AJ8359">
        <v>93.3748116666806</v>
      </c>
      <c r="AK8359">
        <v>26.9374361315489</v>
      </c>
      <c r="AL8359">
        <v>91.397659543094605</v>
      </c>
      <c r="AM8359">
        <v>87.237427706808106</v>
      </c>
      <c r="AN8359">
        <v>0.99999993247485597</v>
      </c>
    </row>
    <row r="8360" spans="1:40" x14ac:dyDescent="0.25">
      <c r="A8360" t="str">
        <f>"20190312154123933"</f>
        <v>20190312154123933</v>
      </c>
      <c r="B8360" t="str">
        <f>"1552376483924596"</f>
        <v>1552376483924596</v>
      </c>
      <c r="C8360" t="s">
        <v>40</v>
      </c>
      <c r="D8360">
        <v>4.5010409999999998</v>
      </c>
      <c r="E8360">
        <v>0.45949269999999998</v>
      </c>
      <c r="F8360" t="s">
        <v>69</v>
      </c>
      <c r="G8360">
        <v>-299.81630000000001</v>
      </c>
      <c r="H8360" s="1">
        <v>-8.9623929999999901E-8</v>
      </c>
      <c r="I8360">
        <v>-40.467930000000003</v>
      </c>
      <c r="J8360">
        <v>-302.37909999999999</v>
      </c>
      <c r="K8360">
        <v>1.1080080000000001</v>
      </c>
      <c r="L8360">
        <v>-13.327209999999999</v>
      </c>
      <c r="M8360">
        <v>3.4510230000000003E-2</v>
      </c>
      <c r="N8360">
        <v>0</v>
      </c>
      <c r="O8360">
        <v>-0.99940180000000001</v>
      </c>
      <c r="P8360">
        <v>-1.3490469999999999E-2</v>
      </c>
      <c r="Q8360">
        <v>-2.3990330000000001E-2</v>
      </c>
      <c r="R8360">
        <v>-0.99962130000000005</v>
      </c>
      <c r="S8360">
        <v>0.28216550000000001</v>
      </c>
      <c r="T8360">
        <v>-0.1216685</v>
      </c>
      <c r="U8360">
        <v>-3.0021969999999998</v>
      </c>
      <c r="V8360">
        <v>4.7977180000000001E-2</v>
      </c>
      <c r="W8360">
        <v>-2.6250490000000001E-2</v>
      </c>
      <c r="X8360">
        <v>0.99850340000000004</v>
      </c>
      <c r="Y8360">
        <v>-5.9083160000000003E-2</v>
      </c>
      <c r="Z8360">
        <v>4.0333010000000002E-2</v>
      </c>
      <c r="AA8360">
        <v>0.99743800000000005</v>
      </c>
      <c r="AB8360">
        <v>19</v>
      </c>
      <c r="AC8360">
        <v>2.5627999999999802</v>
      </c>
      <c r="AD8360">
        <v>-1.1080080896239299</v>
      </c>
      <c r="AE8360">
        <v>-27.140719999999899</v>
      </c>
      <c r="AF8360">
        <v>-1.62195923456719</v>
      </c>
      <c r="AG8360">
        <v>-1.1080080896239299</v>
      </c>
      <c r="AH8360">
        <v>27.168116995037401</v>
      </c>
      <c r="AI8360">
        <v>92.331275979797297</v>
      </c>
      <c r="AJ8360">
        <v>93.416550577039601</v>
      </c>
      <c r="AK8360">
        <v>27.239034761557001</v>
      </c>
      <c r="AL8360">
        <v>91.504215123804698</v>
      </c>
      <c r="AM8360">
        <v>87.249105626829703</v>
      </c>
      <c r="AN8360">
        <v>0.99999996891877496</v>
      </c>
    </row>
    <row r="8361" spans="1:40" x14ac:dyDescent="0.25">
      <c r="A8361" t="str">
        <f>"20190312154123955"</f>
        <v>20190312154123955</v>
      </c>
      <c r="B8361" t="str">
        <f>"1552376483945091"</f>
        <v>1552376483945091</v>
      </c>
      <c r="C8361" t="s">
        <v>40</v>
      </c>
      <c r="D8361">
        <v>4.5389889999999999</v>
      </c>
      <c r="E8361">
        <v>0.4592232</v>
      </c>
      <c r="F8361" t="s">
        <v>42</v>
      </c>
      <c r="G8361">
        <v>-299.9015</v>
      </c>
      <c r="H8361" s="1">
        <v>-3.644853E-7</v>
      </c>
      <c r="I8361">
        <v>-39.558329999999998</v>
      </c>
      <c r="J8361">
        <v>-302.37240000000003</v>
      </c>
      <c r="K8361">
        <v>1.1080570000000001</v>
      </c>
      <c r="L8361">
        <v>-13.52261</v>
      </c>
      <c r="M8361">
        <v>3.4475890000000002E-2</v>
      </c>
      <c r="N8361">
        <v>0</v>
      </c>
      <c r="O8361">
        <v>-0.9994035</v>
      </c>
      <c r="P8361">
        <v>-1.326159E-2</v>
      </c>
      <c r="Q8361">
        <v>-2.5595389999999999E-2</v>
      </c>
      <c r="R8361">
        <v>-0.99958460000000005</v>
      </c>
      <c r="S8361">
        <v>0.28353879999999998</v>
      </c>
      <c r="T8361">
        <v>-0.12680179999999999</v>
      </c>
      <c r="U8361">
        <v>-3.0019230000000001</v>
      </c>
      <c r="V8361">
        <v>4.7712709999999998E-2</v>
      </c>
      <c r="W8361">
        <v>-2.7643640000000001E-2</v>
      </c>
      <c r="X8361">
        <v>0.99847850000000005</v>
      </c>
      <c r="Y8361">
        <v>-5.957167E-2</v>
      </c>
      <c r="Z8361">
        <v>4.2034149999999999E-2</v>
      </c>
      <c r="AA8361">
        <v>0.99733870000000002</v>
      </c>
      <c r="AB8361">
        <v>20</v>
      </c>
      <c r="AC8361">
        <v>2.4709000000000199</v>
      </c>
      <c r="AD8361">
        <v>-1.1080573644853</v>
      </c>
      <c r="AE8361">
        <v>-26.035720000000001</v>
      </c>
      <c r="AF8361">
        <v>-1.56900813486561</v>
      </c>
      <c r="AG8361">
        <v>-1.1080573644853</v>
      </c>
      <c r="AH8361">
        <v>26.05865096714</v>
      </c>
      <c r="AI8361">
        <v>92.430449175185004</v>
      </c>
      <c r="AJ8361">
        <v>93.445655883019299</v>
      </c>
      <c r="AK8361">
        <v>26.12934878403</v>
      </c>
      <c r="AL8361">
        <v>91.584065704663203</v>
      </c>
      <c r="AM8361">
        <v>87.264178469388497</v>
      </c>
      <c r="AN8361">
        <v>0.99999999424512198</v>
      </c>
    </row>
    <row r="8362" spans="1:40" x14ac:dyDescent="0.25">
      <c r="A8362" t="str">
        <f>"20190312154123978"</f>
        <v>20190312154123978</v>
      </c>
      <c r="B8362" t="str">
        <f>"1552376483964611"</f>
        <v>1552376483964611</v>
      </c>
      <c r="C8362" t="s">
        <v>40</v>
      </c>
      <c r="D8362">
        <v>4.5183439999999999</v>
      </c>
      <c r="E8362">
        <v>0.4591073</v>
      </c>
      <c r="F8362" t="s">
        <v>42</v>
      </c>
      <c r="G8362">
        <v>-299.95089999999999</v>
      </c>
      <c r="H8362" s="1">
        <v>-6.3651029999999995E-7</v>
      </c>
      <c r="I8362">
        <v>-38.90381</v>
      </c>
      <c r="J8362">
        <v>-302.3655</v>
      </c>
      <c r="K8362">
        <v>1.108117</v>
      </c>
      <c r="L8362">
        <v>-13.72348</v>
      </c>
      <c r="M8362">
        <v>3.4439690000000002E-2</v>
      </c>
      <c r="N8362">
        <v>0</v>
      </c>
      <c r="O8362">
        <v>-0.9994054</v>
      </c>
      <c r="P8362">
        <v>-1.3149839999999999E-2</v>
      </c>
      <c r="Q8362">
        <v>-2.6076040000000002E-2</v>
      </c>
      <c r="R8362">
        <v>-0.99957370000000001</v>
      </c>
      <c r="S8362">
        <v>0.28637699999999999</v>
      </c>
      <c r="T8362">
        <v>-0.1310432</v>
      </c>
      <c r="U8362">
        <v>-3.0016780000000001</v>
      </c>
      <c r="V8362">
        <v>4.7564500000000003E-2</v>
      </c>
      <c r="W8362">
        <v>-2.7830420000000002E-2</v>
      </c>
      <c r="X8362">
        <v>0.99848040000000005</v>
      </c>
      <c r="Y8362">
        <v>-6.0544290000000001E-2</v>
      </c>
      <c r="Z8362">
        <v>4.3437919999999998E-2</v>
      </c>
      <c r="AA8362">
        <v>0.99721990000000005</v>
      </c>
      <c r="AB8362">
        <v>20</v>
      </c>
      <c r="AC8362">
        <v>2.4146000000000001</v>
      </c>
      <c r="AD8362">
        <v>-1.1081176365103</v>
      </c>
      <c r="AE8362">
        <v>-25.180329999999898</v>
      </c>
      <c r="AF8362">
        <v>-1.5430026353664199</v>
      </c>
      <c r="AG8362">
        <v>-1.1081176365103</v>
      </c>
      <c r="AH8362">
        <v>25.200191599279201</v>
      </c>
      <c r="AI8362">
        <v>92.5131212200573</v>
      </c>
      <c r="AJ8362">
        <v>93.503834633412893</v>
      </c>
      <c r="AK8362">
        <v>25.271692433817599</v>
      </c>
      <c r="AL8362">
        <v>91.594771501833307</v>
      </c>
      <c r="AM8362">
        <v>87.272669082933803</v>
      </c>
      <c r="AN8362">
        <v>1.00000001156089</v>
      </c>
    </row>
    <row r="8363" spans="1:40" x14ac:dyDescent="0.25">
      <c r="A8363" t="str">
        <f>"20190312154124000"</f>
        <v>20190312154124000</v>
      </c>
      <c r="B8363" t="str">
        <f>"1552376483994868"</f>
        <v>1552376483994868</v>
      </c>
      <c r="C8363" t="s">
        <v>40</v>
      </c>
      <c r="D8363">
        <v>4.3929839999999896</v>
      </c>
      <c r="E8363">
        <v>0.4085683</v>
      </c>
      <c r="F8363" t="s">
        <v>42</v>
      </c>
      <c r="G8363">
        <v>-299.93509999999998</v>
      </c>
      <c r="H8363" s="1">
        <v>-5.618069E-7</v>
      </c>
      <c r="I8363">
        <v>-39.084490000000002</v>
      </c>
      <c r="J8363">
        <v>-302.35840000000002</v>
      </c>
      <c r="K8363">
        <v>1.1081799999999999</v>
      </c>
      <c r="L8363">
        <v>-13.93127</v>
      </c>
      <c r="M8363">
        <v>3.4401279999999999E-2</v>
      </c>
      <c r="N8363">
        <v>0</v>
      </c>
      <c r="O8363">
        <v>-0.9994073</v>
      </c>
      <c r="P8363">
        <v>-1.2866590000000001E-2</v>
      </c>
      <c r="Q8363">
        <v>-2.5517069999999999E-2</v>
      </c>
      <c r="R8363">
        <v>-0.99959180000000003</v>
      </c>
      <c r="S8363">
        <v>0.28765869999999999</v>
      </c>
      <c r="T8363">
        <v>-0.1311532</v>
      </c>
      <c r="U8363">
        <v>-3.0016479999999999</v>
      </c>
      <c r="V8363">
        <v>4.7243769999999997E-2</v>
      </c>
      <c r="W8363">
        <v>-2.692253E-2</v>
      </c>
      <c r="X8363">
        <v>0.99852050000000003</v>
      </c>
      <c r="Y8363">
        <v>-6.1005440000000001E-2</v>
      </c>
      <c r="Z8363">
        <v>4.3473360000000003E-2</v>
      </c>
      <c r="AA8363">
        <v>0.99719020000000003</v>
      </c>
      <c r="AB8363">
        <v>20</v>
      </c>
      <c r="AC8363">
        <v>2.42330000000003</v>
      </c>
      <c r="AD8363">
        <v>-1.1081805618068901</v>
      </c>
      <c r="AE8363">
        <v>-25.153220000000001</v>
      </c>
      <c r="AF8363">
        <v>-1.5535741782803301</v>
      </c>
      <c r="AG8363">
        <v>-1.1081805618068901</v>
      </c>
      <c r="AH8363">
        <v>25.173283565741801</v>
      </c>
      <c r="AI8363">
        <v>92.515872062076099</v>
      </c>
      <c r="AJ8363">
        <v>93.531541314656195</v>
      </c>
      <c r="AK8363">
        <v>25.245511727161201</v>
      </c>
      <c r="AL8363">
        <v>91.542733760462298</v>
      </c>
      <c r="AM8363">
        <v>87.291140763783602</v>
      </c>
      <c r="AN8363">
        <v>0.99999999267283102</v>
      </c>
    </row>
    <row r="8364" spans="1:40" x14ac:dyDescent="0.25">
      <c r="A8364" t="str">
        <f>"20190312154124023"</f>
        <v>20190312154124023</v>
      </c>
      <c r="B8364" t="str">
        <f>"1552376484014387"</f>
        <v>1552376484014387</v>
      </c>
      <c r="C8364" t="s">
        <v>40</v>
      </c>
      <c r="D8364">
        <v>4.450596</v>
      </c>
      <c r="E8364">
        <v>0.39998869999999997</v>
      </c>
      <c r="F8364" t="s">
        <v>69</v>
      </c>
      <c r="G8364">
        <v>-292.14330000000001</v>
      </c>
      <c r="H8364" s="1">
        <v>-9.197137E-6</v>
      </c>
      <c r="I8364">
        <v>-58.4443699999999</v>
      </c>
      <c r="J8364">
        <v>-302.35140000000001</v>
      </c>
      <c r="K8364">
        <v>1.108241</v>
      </c>
      <c r="L8364">
        <v>-14.13458</v>
      </c>
      <c r="M8364">
        <v>3.4361910000000002E-2</v>
      </c>
      <c r="N8364">
        <v>0</v>
      </c>
      <c r="O8364">
        <v>-0.99940899999999999</v>
      </c>
      <c r="P8364">
        <v>-1.252871E-2</v>
      </c>
      <c r="Q8364">
        <v>-2.3242909999999999E-2</v>
      </c>
      <c r="R8364">
        <v>-0.99965159999999997</v>
      </c>
      <c r="S8364">
        <v>0.69033809999999995</v>
      </c>
      <c r="T8364">
        <v>-7.4891810000000003E-2</v>
      </c>
      <c r="U8364">
        <v>-3.0082089999999999</v>
      </c>
      <c r="V8364">
        <v>4.686908E-2</v>
      </c>
      <c r="W8364">
        <v>-2.4299169999999998E-2</v>
      </c>
      <c r="X8364">
        <v>0.99860539999999998</v>
      </c>
      <c r="Y8364">
        <v>-0.18998110000000001</v>
      </c>
      <c r="Z8364">
        <v>2.4323529999999999E-2</v>
      </c>
      <c r="AA8364">
        <v>0.98148639999999998</v>
      </c>
      <c r="AB8364">
        <v>20</v>
      </c>
      <c r="AC8364">
        <v>10.2081</v>
      </c>
      <c r="AD8364">
        <v>-1.108250197137</v>
      </c>
      <c r="AE8364">
        <v>-44.3097899999999</v>
      </c>
      <c r="AF8364">
        <v>-8.6743490204072593</v>
      </c>
      <c r="AG8364">
        <v>-1.108250197137</v>
      </c>
      <c r="AH8364">
        <v>44.607894084275401</v>
      </c>
      <c r="AI8364">
        <v>91.397020989965597</v>
      </c>
      <c r="AJ8364">
        <v>101.004273330316</v>
      </c>
      <c r="AK8364">
        <v>45.456977066906099</v>
      </c>
      <c r="AL8364">
        <v>91.392376997005002</v>
      </c>
      <c r="AM8364">
        <v>87.312821230029996</v>
      </c>
      <c r="AN8364">
        <v>0.99999995261594599</v>
      </c>
    </row>
    <row r="8365" spans="1:40" x14ac:dyDescent="0.25">
      <c r="A8365" t="str">
        <f>"20190312154124046"</f>
        <v>20190312154124046</v>
      </c>
      <c r="B8365" t="str">
        <f>"1552376484034884"</f>
        <v>1552376484034884</v>
      </c>
      <c r="C8365" t="s">
        <v>40</v>
      </c>
      <c r="D8365">
        <v>4.3476239999999997</v>
      </c>
      <c r="E8365">
        <v>0.3957465</v>
      </c>
      <c r="F8365" t="s">
        <v>69</v>
      </c>
      <c r="G8365">
        <v>-290.77980000000002</v>
      </c>
      <c r="H8365" s="1">
        <v>-9.5431879999999992E-6</v>
      </c>
      <c r="I8365">
        <v>-59.943240000000003</v>
      </c>
      <c r="J8365">
        <v>-302.34410000000003</v>
      </c>
      <c r="K8365">
        <v>1.1082860000000001</v>
      </c>
      <c r="L8365">
        <v>-14.352539999999999</v>
      </c>
      <c r="M8365">
        <v>3.4318609999999999E-2</v>
      </c>
      <c r="N8365">
        <v>0</v>
      </c>
      <c r="O8365">
        <v>-0.99941089999999999</v>
      </c>
      <c r="P8365">
        <v>-1.203835E-2</v>
      </c>
      <c r="Q8365">
        <v>-2.1040050000000001E-2</v>
      </c>
      <c r="R8365">
        <v>-0.9997064</v>
      </c>
      <c r="S8365">
        <v>0.76007080000000005</v>
      </c>
      <c r="T8365">
        <v>-7.2793960000000005E-2</v>
      </c>
      <c r="U8365">
        <v>-3.0088810000000001</v>
      </c>
      <c r="V8365">
        <v>4.6337879999999998E-2</v>
      </c>
      <c r="W8365">
        <v>-2.173452E-2</v>
      </c>
      <c r="X8365">
        <v>0.99868939999999995</v>
      </c>
      <c r="Y8365">
        <v>-0.21143039999999999</v>
      </c>
      <c r="Z8365">
        <v>2.3522020000000001E-2</v>
      </c>
      <c r="AA8365">
        <v>0.97711000000000003</v>
      </c>
      <c r="AB8365">
        <v>20</v>
      </c>
      <c r="AC8365">
        <v>11.564299999999999</v>
      </c>
      <c r="AD8365">
        <v>-1.1082955431879999</v>
      </c>
      <c r="AE8365">
        <v>-45.590699999999998</v>
      </c>
      <c r="AF8365">
        <v>-9.9873331162214303</v>
      </c>
      <c r="AG8365">
        <v>-1.1082955431879999</v>
      </c>
      <c r="AH8365">
        <v>45.935210293328197</v>
      </c>
      <c r="AI8365">
        <v>91.350585965660301</v>
      </c>
      <c r="AJ8365">
        <v>102.266462401673</v>
      </c>
      <c r="AK8365">
        <v>47.021470484000297</v>
      </c>
      <c r="AL8365">
        <v>91.245394264595106</v>
      </c>
      <c r="AM8365">
        <v>87.343456157709994</v>
      </c>
      <c r="AN8365">
        <v>1.00000005307744</v>
      </c>
    </row>
    <row r="8366" spans="1:40" x14ac:dyDescent="0.25">
      <c r="A8366" t="str">
        <f>"20190312154124068"</f>
        <v>20190312154124068</v>
      </c>
      <c r="B8366" t="str">
        <f>"1552376484064164"</f>
        <v>1552376484064164</v>
      </c>
      <c r="C8366" t="s">
        <v>40</v>
      </c>
      <c r="D8366">
        <v>4.3329389999999997</v>
      </c>
      <c r="E8366">
        <v>0.39229150000000002</v>
      </c>
      <c r="F8366" t="s">
        <v>69</v>
      </c>
      <c r="G8366">
        <v>-290.11470000000003</v>
      </c>
      <c r="H8366" s="1">
        <v>-9.8944320000000005E-6</v>
      </c>
      <c r="I8366">
        <v>-60.604129999999998</v>
      </c>
      <c r="J8366">
        <v>-302.33710000000002</v>
      </c>
      <c r="K8366">
        <v>1.1083160000000001</v>
      </c>
      <c r="L8366">
        <v>-14.55536</v>
      </c>
      <c r="M8366">
        <v>3.42779E-2</v>
      </c>
      <c r="N8366">
        <v>0</v>
      </c>
      <c r="O8366">
        <v>-0.99941230000000003</v>
      </c>
      <c r="P8366">
        <v>-1.154461E-2</v>
      </c>
      <c r="Q8366">
        <v>-2.1230570000000001E-2</v>
      </c>
      <c r="R8366">
        <v>-0.99970809999999999</v>
      </c>
      <c r="S8366">
        <v>0.79559329999999995</v>
      </c>
      <c r="T8366">
        <v>-7.2101239999999997E-2</v>
      </c>
      <c r="U8366">
        <v>-3.0089419999999998</v>
      </c>
      <c r="V8366">
        <v>4.5803789999999997E-2</v>
      </c>
      <c r="W8366">
        <v>-2.1604229999999999E-2</v>
      </c>
      <c r="X8366">
        <v>0.99871679999999996</v>
      </c>
      <c r="Y8366">
        <v>-0.22226670000000001</v>
      </c>
      <c r="Z8366">
        <v>2.3235740000000001E-2</v>
      </c>
      <c r="AA8366">
        <v>0.97470900000000005</v>
      </c>
      <c r="AB8366">
        <v>21</v>
      </c>
      <c r="AC8366">
        <v>12.222399999999899</v>
      </c>
      <c r="AD8366">
        <v>-1.108325894432</v>
      </c>
      <c r="AE8366">
        <v>-46.048769999999998</v>
      </c>
      <c r="AF8366">
        <v>-10.631009018066401</v>
      </c>
      <c r="AG8366">
        <v>-1.108325894432</v>
      </c>
      <c r="AH8366">
        <v>46.4155485565907</v>
      </c>
      <c r="AI8366">
        <v>91.3333543237474</v>
      </c>
      <c r="AJ8366">
        <v>102.90050349580601</v>
      </c>
      <c r="AK8366">
        <v>47.630346280913301</v>
      </c>
      <c r="AL8366">
        <v>91.237927524843698</v>
      </c>
      <c r="AM8366">
        <v>87.374104292341997</v>
      </c>
      <c r="AN8366">
        <v>0.99999998826724801</v>
      </c>
    </row>
    <row r="8367" spans="1:40" x14ac:dyDescent="0.25">
      <c r="A8367" t="str">
        <f>"20190312154124090"</f>
        <v>20190312154124090</v>
      </c>
      <c r="B8367" t="str">
        <f>"1552376484084659"</f>
        <v>1552376484084659</v>
      </c>
      <c r="C8367" t="s">
        <v>40</v>
      </c>
      <c r="D8367">
        <v>4.3860359999999998</v>
      </c>
      <c r="E8367">
        <v>0.39123219999999997</v>
      </c>
      <c r="F8367" t="s">
        <v>69</v>
      </c>
      <c r="G8367">
        <v>-291.47550000000001</v>
      </c>
      <c r="H8367" s="1">
        <v>-9.8664260000000004E-6</v>
      </c>
      <c r="I8367">
        <v>-54.175220000000003</v>
      </c>
      <c r="J8367">
        <v>-302.33</v>
      </c>
      <c r="K8367">
        <v>1.1083339999999999</v>
      </c>
      <c r="L8367">
        <v>-14.76407</v>
      </c>
      <c r="M8367">
        <v>3.4235849999999998E-2</v>
      </c>
      <c r="N8367">
        <v>0</v>
      </c>
      <c r="O8367">
        <v>-0.99941369999999896</v>
      </c>
      <c r="P8367">
        <v>-1.141474E-2</v>
      </c>
      <c r="Q8367">
        <v>-2.2989300000000001E-2</v>
      </c>
      <c r="R8367">
        <v>-0.99967070000000002</v>
      </c>
      <c r="S8367">
        <v>0.82479859999999905</v>
      </c>
      <c r="T8367">
        <v>-8.4162710000000002E-2</v>
      </c>
      <c r="U8367">
        <v>-3.0086059999999999</v>
      </c>
      <c r="V8367">
        <v>4.5630509999999999E-2</v>
      </c>
      <c r="W8367">
        <v>-2.3047539999999998E-2</v>
      </c>
      <c r="X8367">
        <v>0.99869249999999998</v>
      </c>
      <c r="Y8367">
        <v>-0.23112179999999999</v>
      </c>
      <c r="Z8367">
        <v>2.7061120000000001E-2</v>
      </c>
      <c r="AA8367">
        <v>0.97254839999999998</v>
      </c>
      <c r="AB8367">
        <v>21</v>
      </c>
      <c r="AC8367">
        <v>10.8544999999999</v>
      </c>
      <c r="AD8367">
        <v>-1.1083438664259999</v>
      </c>
      <c r="AE8367">
        <v>-39.4111499999999</v>
      </c>
      <c r="AF8367">
        <v>-9.4918849011836901</v>
      </c>
      <c r="AG8367">
        <v>-1.1083438664259999</v>
      </c>
      <c r="AH8367">
        <v>39.730452927265297</v>
      </c>
      <c r="AI8367">
        <v>91.554224936357102</v>
      </c>
      <c r="AJ8367">
        <v>103.436507187312</v>
      </c>
      <c r="AK8367">
        <v>40.8635925355225</v>
      </c>
      <c r="AL8367">
        <v>91.320643678546801</v>
      </c>
      <c r="AM8367">
        <v>87.383960911170803</v>
      </c>
      <c r="AN8367">
        <v>1.0000000210495801</v>
      </c>
    </row>
    <row r="8368" spans="1:40" x14ac:dyDescent="0.25">
      <c r="A8368" t="str">
        <f>"20190312154124112"</f>
        <v>20190312154124112</v>
      </c>
      <c r="B8368" t="str">
        <f>"1552376484104180"</f>
        <v>1552376484104180</v>
      </c>
      <c r="C8368" t="s">
        <v>40</v>
      </c>
      <c r="D8368">
        <v>4.3894549999999999</v>
      </c>
      <c r="E8368">
        <v>0.39034249999999998</v>
      </c>
      <c r="F8368" t="s">
        <v>69</v>
      </c>
      <c r="G8368">
        <v>-292.92869999999999</v>
      </c>
      <c r="H8368" s="1">
        <v>-6.1788379999999998E-6</v>
      </c>
      <c r="I8368">
        <v>-48.683950000000003</v>
      </c>
      <c r="J8368">
        <v>-302.32279999999997</v>
      </c>
      <c r="K8368">
        <v>1.108352</v>
      </c>
      <c r="L8368">
        <v>-14.97479</v>
      </c>
      <c r="M8368">
        <v>3.4193519999999998E-2</v>
      </c>
      <c r="N8368">
        <v>0</v>
      </c>
      <c r="O8368">
        <v>-0.99941539999999995</v>
      </c>
      <c r="P8368">
        <v>-1.1922500000000001E-2</v>
      </c>
      <c r="Q8368">
        <v>-2.5001079999999998E-2</v>
      </c>
      <c r="R8368">
        <v>-0.99961650000000002</v>
      </c>
      <c r="S8368">
        <v>0.83377080000000003</v>
      </c>
      <c r="T8368">
        <v>-9.8294969999999995E-2</v>
      </c>
      <c r="U8368">
        <v>-3.0082399999999998</v>
      </c>
      <c r="V8368">
        <v>4.6093620000000002E-2</v>
      </c>
      <c r="W8368">
        <v>-2.4753799999999999E-2</v>
      </c>
      <c r="X8368">
        <v>0.99863040000000003</v>
      </c>
      <c r="Y8368">
        <v>-0.2338527</v>
      </c>
      <c r="Z8368">
        <v>3.1581819999999997E-2</v>
      </c>
      <c r="AA8368">
        <v>0.97175900000000004</v>
      </c>
      <c r="AB8368">
        <v>21</v>
      </c>
      <c r="AC8368">
        <v>9.3940999999999804</v>
      </c>
      <c r="AD8368">
        <v>-1.1083581788379999</v>
      </c>
      <c r="AE8368">
        <v>-33.709159999999997</v>
      </c>
      <c r="AF8368">
        <v>-8.2277180478492493</v>
      </c>
      <c r="AG8368">
        <v>-1.1083581788379999</v>
      </c>
      <c r="AH8368">
        <v>33.976580388720002</v>
      </c>
      <c r="AI8368">
        <v>91.815947713194802</v>
      </c>
      <c r="AJ8368">
        <v>103.61261370363999</v>
      </c>
      <c r="AK8368">
        <v>34.976160696089202</v>
      </c>
      <c r="AL8368">
        <v>91.418433115490899</v>
      </c>
      <c r="AM8368">
        <v>87.357283741479407</v>
      </c>
      <c r="AN8368">
        <v>1.00000002411165</v>
      </c>
    </row>
    <row r="8369" spans="1:40" x14ac:dyDescent="0.25">
      <c r="A8369" t="str">
        <f>"20190312154124134"</f>
        <v>20190312154124134</v>
      </c>
      <c r="B8369" t="str">
        <f>"1552376484124675"</f>
        <v>1552376484124675</v>
      </c>
      <c r="C8369" t="s">
        <v>40</v>
      </c>
      <c r="D8369">
        <v>4.389297</v>
      </c>
      <c r="E8369">
        <v>0.38962439999999998</v>
      </c>
      <c r="F8369" t="s">
        <v>69</v>
      </c>
      <c r="G8369">
        <v>-294.24950000000001</v>
      </c>
      <c r="H8369" s="1">
        <v>-3.6268780000000002E-6</v>
      </c>
      <c r="I8369">
        <v>-43.892890000000001</v>
      </c>
      <c r="J8369">
        <v>-302.31560000000002</v>
      </c>
      <c r="K8369">
        <v>1.1083670000000001</v>
      </c>
      <c r="L8369">
        <v>-15.18704</v>
      </c>
      <c r="M8369">
        <v>3.4151309999999997E-2</v>
      </c>
      <c r="N8369">
        <v>0</v>
      </c>
      <c r="O8369">
        <v>-0.99941679999999999</v>
      </c>
      <c r="P8369">
        <v>-1.3242810000000001E-2</v>
      </c>
      <c r="Q8369">
        <v>-2.6222970000000002E-2</v>
      </c>
      <c r="R8369">
        <v>-0.99956880000000004</v>
      </c>
      <c r="S8369">
        <v>0.83984380000000003</v>
      </c>
      <c r="T8369">
        <v>-0.1152992</v>
      </c>
      <c r="U8369">
        <v>-3.00827</v>
      </c>
      <c r="V8369">
        <v>4.7369179999999997E-2</v>
      </c>
      <c r="W8369">
        <v>-2.5678989999999999E-2</v>
      </c>
      <c r="X8369">
        <v>0.99854730000000003</v>
      </c>
      <c r="Y8369">
        <v>-0.2356615</v>
      </c>
      <c r="Z8369">
        <v>3.7019789999999997E-2</v>
      </c>
      <c r="AA8369">
        <v>0.97112980000000004</v>
      </c>
      <c r="AB8369">
        <v>21</v>
      </c>
      <c r="AC8369">
        <v>8.0661000000000005</v>
      </c>
      <c r="AD8369">
        <v>-1.108370626878</v>
      </c>
      <c r="AE8369">
        <v>-28.705850000000002</v>
      </c>
      <c r="AF8369">
        <v>-7.0712819243171499</v>
      </c>
      <c r="AG8369">
        <v>-1.108370626878</v>
      </c>
      <c r="AH8369">
        <v>28.924606781284499</v>
      </c>
      <c r="AI8369">
        <v>92.131741418146007</v>
      </c>
      <c r="AJ8369">
        <v>103.73780567303599</v>
      </c>
      <c r="AK8369">
        <v>29.7970533937775</v>
      </c>
      <c r="AL8369">
        <v>91.471459524740894</v>
      </c>
      <c r="AM8369">
        <v>87.284033555815299</v>
      </c>
      <c r="AN8369">
        <v>0.99999998003929103</v>
      </c>
    </row>
    <row r="8370" spans="1:40" x14ac:dyDescent="0.25">
      <c r="A8370" t="str">
        <f>"20190312154124156"</f>
        <v>20190312154124156</v>
      </c>
      <c r="B8370" t="str">
        <f>"1552376484154932"</f>
        <v>1552376484154932</v>
      </c>
      <c r="C8370" t="s">
        <v>40</v>
      </c>
      <c r="D8370">
        <v>4.3231529999999996</v>
      </c>
      <c r="E8370">
        <v>0.38877289999999998</v>
      </c>
      <c r="F8370" t="s">
        <v>69</v>
      </c>
      <c r="G8370">
        <v>-294.94990000000001</v>
      </c>
      <c r="H8370" s="1">
        <v>-2.0518770000000002E-6</v>
      </c>
      <c r="I8370">
        <v>-41.517960000000002</v>
      </c>
      <c r="J8370">
        <v>-302.30829999999997</v>
      </c>
      <c r="K8370">
        <v>1.1083860000000001</v>
      </c>
      <c r="L8370">
        <v>-15.40302</v>
      </c>
      <c r="M8370">
        <v>3.4109059999999997E-2</v>
      </c>
      <c r="N8370">
        <v>0</v>
      </c>
      <c r="O8370">
        <v>-0.99941800000000003</v>
      </c>
      <c r="P8370">
        <v>-1.4702460000000001E-2</v>
      </c>
      <c r="Q8370">
        <v>-2.6799630000000001E-2</v>
      </c>
      <c r="R8370">
        <v>-0.99953329999999996</v>
      </c>
      <c r="S8370">
        <v>0.84176640000000003</v>
      </c>
      <c r="T8370">
        <v>-0.12666559999999999</v>
      </c>
      <c r="U8370">
        <v>-3.009125</v>
      </c>
      <c r="V8370">
        <v>4.878445E-2</v>
      </c>
      <c r="W8370">
        <v>-2.5964279999999999E-2</v>
      </c>
      <c r="X8370">
        <v>0.99847180000000002</v>
      </c>
      <c r="Y8370">
        <v>-0.23616870000000001</v>
      </c>
      <c r="Z8370">
        <v>4.0646340000000003E-2</v>
      </c>
      <c r="AA8370">
        <v>0.97086159999999999</v>
      </c>
      <c r="AB8370">
        <v>21</v>
      </c>
      <c r="AC8370">
        <v>7.3583999999999596</v>
      </c>
      <c r="AD8370">
        <v>-1.108388051877</v>
      </c>
      <c r="AE8370">
        <v>-26.114939999999901</v>
      </c>
      <c r="AF8370">
        <v>-6.4525934951442103</v>
      </c>
      <c r="AG8370">
        <v>-1.108388051877</v>
      </c>
      <c r="AH8370">
        <v>26.306829302076199</v>
      </c>
      <c r="AI8370">
        <v>92.343243132576504</v>
      </c>
      <c r="AJ8370">
        <v>103.781545849569</v>
      </c>
      <c r="AK8370">
        <v>27.109292776015</v>
      </c>
      <c r="AL8370">
        <v>91.487810859123002</v>
      </c>
      <c r="AM8370">
        <v>87.202803253590503</v>
      </c>
      <c r="AN8370">
        <v>1.00000000089648</v>
      </c>
    </row>
    <row r="8371" spans="1:40" x14ac:dyDescent="0.25">
      <c r="A8371" t="str">
        <f>"20190312154124179"</f>
        <v>20190312154124179</v>
      </c>
      <c r="B8371" t="str">
        <f>"1552376484174452"</f>
        <v>1552376484174452</v>
      </c>
      <c r="C8371" t="s">
        <v>40</v>
      </c>
      <c r="D8371">
        <v>4.3477750000000004</v>
      </c>
      <c r="E8371">
        <v>0.38823669999999999</v>
      </c>
      <c r="F8371" t="s">
        <v>69</v>
      </c>
      <c r="G8371">
        <v>-295.14080000000001</v>
      </c>
      <c r="H8371" s="1">
        <v>-1.6483130000000001E-6</v>
      </c>
      <c r="I8371">
        <v>-40.962969999999999</v>
      </c>
      <c r="J8371">
        <v>-302.30110000000002</v>
      </c>
      <c r="K8371">
        <v>1.108414</v>
      </c>
      <c r="L8371">
        <v>-15.61829</v>
      </c>
      <c r="M8371">
        <v>3.4066640000000002E-2</v>
      </c>
      <c r="N8371">
        <v>0</v>
      </c>
      <c r="O8371">
        <v>-0.99941899999999995</v>
      </c>
      <c r="P8371">
        <v>-1.5567640000000001E-2</v>
      </c>
      <c r="Q8371">
        <v>-2.6673369999999998E-2</v>
      </c>
      <c r="R8371">
        <v>-0.9995233</v>
      </c>
      <c r="S8371">
        <v>0.84414669999999903</v>
      </c>
      <c r="T8371">
        <v>-0.13053999999999999</v>
      </c>
      <c r="U8371">
        <v>-3.0103149999999999</v>
      </c>
      <c r="V8371">
        <v>4.9606419999999998E-2</v>
      </c>
      <c r="W8371">
        <v>-2.5562149999999999E-2</v>
      </c>
      <c r="X8371">
        <v>0.99844169999999999</v>
      </c>
      <c r="Y8371">
        <v>-0.23680860000000001</v>
      </c>
      <c r="Z8371">
        <v>4.1863890000000001E-2</v>
      </c>
      <c r="AA8371">
        <v>0.97065400000000002</v>
      </c>
      <c r="AB8371">
        <v>21</v>
      </c>
      <c r="AC8371">
        <v>7.1603000000000003</v>
      </c>
      <c r="AD8371">
        <v>-1.1084156483130001</v>
      </c>
      <c r="AE8371">
        <v>-25.34468</v>
      </c>
      <c r="AF8371">
        <v>-6.2816089659472398</v>
      </c>
      <c r="AG8371">
        <v>-1.1084156483130001</v>
      </c>
      <c r="AH8371">
        <v>25.5286786131885</v>
      </c>
      <c r="AI8371">
        <v>92.414210153493002</v>
      </c>
      <c r="AJ8371">
        <v>103.82362826691001</v>
      </c>
      <c r="AK8371">
        <v>26.313506573354399</v>
      </c>
      <c r="AL8371">
        <v>91.464762822551293</v>
      </c>
      <c r="AM8371">
        <v>87.155664384967693</v>
      </c>
      <c r="AN8371">
        <v>1.00000002435836</v>
      </c>
    </row>
    <row r="8372" spans="1:40" x14ac:dyDescent="0.25">
      <c r="A8372" t="str">
        <f>"20190312154124201"</f>
        <v>20190312154124201</v>
      </c>
      <c r="B8372" t="str">
        <f>"1552376484194948"</f>
        <v>1552376484194948</v>
      </c>
      <c r="C8372" t="s">
        <v>40</v>
      </c>
      <c r="D8372">
        <v>4.3319739999999998</v>
      </c>
      <c r="E8372">
        <v>0.38782489999999997</v>
      </c>
      <c r="F8372" t="s">
        <v>69</v>
      </c>
      <c r="G8372">
        <v>-295.20339999999999</v>
      </c>
      <c r="H8372" s="1">
        <v>-1.5805890000000001E-6</v>
      </c>
      <c r="I8372">
        <v>-40.882629999999999</v>
      </c>
      <c r="J8372">
        <v>-302.29360000000003</v>
      </c>
      <c r="K8372">
        <v>1.1084350000000001</v>
      </c>
      <c r="L8372">
        <v>-15.838200000000001</v>
      </c>
      <c r="M8372">
        <v>3.402293E-2</v>
      </c>
      <c r="N8372">
        <v>0</v>
      </c>
      <c r="O8372">
        <v>-0.99942019999999998</v>
      </c>
      <c r="P8372">
        <v>-1.5998579999999998E-2</v>
      </c>
      <c r="Q8372">
        <v>-2.5692380000000001E-2</v>
      </c>
      <c r="R8372">
        <v>-0.99954200000000004</v>
      </c>
      <c r="S8372">
        <v>0.84591669999999997</v>
      </c>
      <c r="T8372">
        <v>-0.1321041</v>
      </c>
      <c r="U8372">
        <v>-3.0110779999999999</v>
      </c>
      <c r="V8372">
        <v>4.9994190000000001E-2</v>
      </c>
      <c r="W8372">
        <v>-2.431908E-2</v>
      </c>
      <c r="X8372">
        <v>0.99845340000000005</v>
      </c>
      <c r="Y8372">
        <v>-0.23731060000000001</v>
      </c>
      <c r="Z8372">
        <v>4.2348440000000001E-2</v>
      </c>
      <c r="AA8372">
        <v>0.97051030000000005</v>
      </c>
      <c r="AB8372">
        <v>22</v>
      </c>
      <c r="AC8372">
        <v>7.0902000000000296</v>
      </c>
      <c r="AD8372">
        <v>-1.108436580589</v>
      </c>
      <c r="AE8372">
        <v>-25.044429999999998</v>
      </c>
      <c r="AF8372">
        <v>-6.2227246546433701</v>
      </c>
      <c r="AG8372">
        <v>-1.108436580589</v>
      </c>
      <c r="AH8372">
        <v>25.225414027348101</v>
      </c>
      <c r="AI8372">
        <v>92.442891765350396</v>
      </c>
      <c r="AJ8372">
        <v>103.85732753235</v>
      </c>
      <c r="AK8372">
        <v>26.005238830509299</v>
      </c>
      <c r="AL8372">
        <v>91.393518007220294</v>
      </c>
      <c r="AM8372">
        <v>87.133500881672006</v>
      </c>
      <c r="AN8372">
        <v>1.00000001432868</v>
      </c>
    </row>
    <row r="8373" spans="1:40" x14ac:dyDescent="0.25">
      <c r="A8373" t="str">
        <f>"20190312154124223"</f>
        <v>20190312154124223</v>
      </c>
      <c r="B8373" t="str">
        <f>"1552376484214468"</f>
        <v>1552376484214468</v>
      </c>
      <c r="C8373" t="s">
        <v>40</v>
      </c>
      <c r="D8373">
        <v>4.3792629999999999</v>
      </c>
      <c r="E8373">
        <v>0.38740809999999998</v>
      </c>
      <c r="F8373" t="s">
        <v>69</v>
      </c>
      <c r="G8373">
        <v>-295.05520000000001</v>
      </c>
      <c r="H8373" s="1">
        <v>-2.0426280000000001E-6</v>
      </c>
      <c r="I8373">
        <v>-41.547510000000003</v>
      </c>
      <c r="J8373">
        <v>-302.28620000000001</v>
      </c>
      <c r="K8373">
        <v>1.1084529999999999</v>
      </c>
      <c r="L8373">
        <v>-16.056370000000001</v>
      </c>
      <c r="M8373">
        <v>3.3979809999999999E-2</v>
      </c>
      <c r="N8373">
        <v>0</v>
      </c>
      <c r="O8373">
        <v>-0.99942140000000002</v>
      </c>
      <c r="P8373">
        <v>-1.542992E-2</v>
      </c>
      <c r="Q8373">
        <v>-2.4777210000000001E-2</v>
      </c>
      <c r="R8373">
        <v>-0.99957399999999996</v>
      </c>
      <c r="S8373">
        <v>0.8479004</v>
      </c>
      <c r="T8373">
        <v>-0.1298426</v>
      </c>
      <c r="U8373">
        <v>-3.0115970000000001</v>
      </c>
      <c r="V8373">
        <v>4.9383980000000001E-2</v>
      </c>
      <c r="W8373">
        <v>-2.3165129999999999E-2</v>
      </c>
      <c r="X8373">
        <v>0.99851120000000004</v>
      </c>
      <c r="Y8373">
        <v>-0.2379097</v>
      </c>
      <c r="Z8373">
        <v>4.1611240000000001E-2</v>
      </c>
      <c r="AA8373">
        <v>0.97039560000000002</v>
      </c>
      <c r="AB8373">
        <v>22</v>
      </c>
      <c r="AC8373">
        <v>7.2309999999999901</v>
      </c>
      <c r="AD8373">
        <v>-1.108455042628</v>
      </c>
      <c r="AE8373">
        <v>-25.491139999999898</v>
      </c>
      <c r="AF8373">
        <v>-6.3495272871224397</v>
      </c>
      <c r="AG8373">
        <v>-1.108455042628</v>
      </c>
      <c r="AH8373">
        <v>25.677191692210702</v>
      </c>
      <c r="AI8373">
        <v>92.399667210088694</v>
      </c>
      <c r="AJ8373">
        <v>103.889622643485</v>
      </c>
      <c r="AK8373">
        <v>26.473823723632599</v>
      </c>
      <c r="AL8373">
        <v>91.3273829048956</v>
      </c>
      <c r="AM8373">
        <v>87.168594626904195</v>
      </c>
      <c r="AN8373">
        <v>1.00000000862699</v>
      </c>
    </row>
    <row r="8374" spans="1:40" x14ac:dyDescent="0.25">
      <c r="A8374" t="str">
        <f>"20190312154124246"</f>
        <v>20190312154124246</v>
      </c>
      <c r="B8374" t="str">
        <f>"1552376484234964"</f>
        <v>1552376484234964</v>
      </c>
      <c r="C8374" t="s">
        <v>40</v>
      </c>
      <c r="D8374">
        <v>4.3523639999999997</v>
      </c>
      <c r="E8374">
        <v>0.38691379999999997</v>
      </c>
      <c r="F8374" t="s">
        <v>69</v>
      </c>
      <c r="G8374">
        <v>-295.02670000000001</v>
      </c>
      <c r="H8374" s="1">
        <v>-2.140574E-6</v>
      </c>
      <c r="I8374">
        <v>-41.689660000000003</v>
      </c>
      <c r="J8374">
        <v>-302.27850000000001</v>
      </c>
      <c r="K8374">
        <v>1.1084590000000001</v>
      </c>
      <c r="L8374">
        <v>-16.28275</v>
      </c>
      <c r="M8374">
        <v>3.3935149999999997E-2</v>
      </c>
      <c r="N8374">
        <v>0</v>
      </c>
      <c r="O8374">
        <v>-0.99942260000000005</v>
      </c>
      <c r="P8374">
        <v>-1.429325E-2</v>
      </c>
      <c r="Q8374">
        <v>-2.41503E-2</v>
      </c>
      <c r="R8374">
        <v>-0.99960640000000001</v>
      </c>
      <c r="S8374">
        <v>0.85278319999999996</v>
      </c>
      <c r="T8374">
        <v>-0.13021269999999999</v>
      </c>
      <c r="U8374">
        <v>-3.0112000000000001</v>
      </c>
      <c r="V8374">
        <v>4.8204530000000002E-2</v>
      </c>
      <c r="W8374">
        <v>-2.2313739999999999E-2</v>
      </c>
      <c r="X8374">
        <v>0.99858820000000004</v>
      </c>
      <c r="Y8374">
        <v>-0.23944219999999999</v>
      </c>
      <c r="Z8374">
        <v>4.1718030000000003E-2</v>
      </c>
      <c r="AA8374">
        <v>0.97001389999999998</v>
      </c>
      <c r="AB8374">
        <v>22</v>
      </c>
      <c r="AC8374">
        <v>7.2518000000000002</v>
      </c>
      <c r="AD8374">
        <v>-1.1084611405739999</v>
      </c>
      <c r="AE8374">
        <v>-25.40691</v>
      </c>
      <c r="AF8374">
        <v>-6.3742157791657501</v>
      </c>
      <c r="AG8374">
        <v>-1.1084611405739999</v>
      </c>
      <c r="AH8374">
        <v>25.5933224185857</v>
      </c>
      <c r="AI8374">
        <v>92.406537296221103</v>
      </c>
      <c r="AJ8374">
        <v>103.985421985424</v>
      </c>
      <c r="AK8374">
        <v>26.3984367969244</v>
      </c>
      <c r="AL8374">
        <v>91.278589261696993</v>
      </c>
      <c r="AM8374">
        <v>87.236324445917703</v>
      </c>
      <c r="AN8374">
        <v>0.99999998644227395</v>
      </c>
    </row>
    <row r="8375" spans="1:40" x14ac:dyDescent="0.25">
      <c r="A8375" t="str">
        <f>"20190312154124269"</f>
        <v>20190312154124269</v>
      </c>
      <c r="B8375" t="str">
        <f>"1552376484264244"</f>
        <v>1552376484264244</v>
      </c>
      <c r="C8375" t="s">
        <v>40</v>
      </c>
      <c r="D8375">
        <v>4.3787229999999999</v>
      </c>
      <c r="E8375">
        <v>0.38631969999999999</v>
      </c>
      <c r="F8375" t="s">
        <v>69</v>
      </c>
      <c r="G8375">
        <v>-295.05309999999997</v>
      </c>
      <c r="H8375" s="1">
        <v>-2.0545770000000002E-6</v>
      </c>
      <c r="I8375">
        <v>-41.565420000000003</v>
      </c>
      <c r="J8375">
        <v>-302.27080000000001</v>
      </c>
      <c r="K8375">
        <v>1.1084700000000001</v>
      </c>
      <c r="L8375">
        <v>-16.510010000000001</v>
      </c>
      <c r="M8375">
        <v>3.3890679999999999E-2</v>
      </c>
      <c r="N8375">
        <v>0</v>
      </c>
      <c r="O8375">
        <v>-0.99942370000000003</v>
      </c>
      <c r="P8375">
        <v>-1.376667E-2</v>
      </c>
      <c r="Q8375">
        <v>-2.4117739999999999E-2</v>
      </c>
      <c r="R8375">
        <v>-0.99961469999999997</v>
      </c>
      <c r="S8375">
        <v>0.86029049999999996</v>
      </c>
      <c r="T8375">
        <v>-0.13197909999999999</v>
      </c>
      <c r="U8375">
        <v>-3.010284</v>
      </c>
      <c r="V8375">
        <v>4.763411E-2</v>
      </c>
      <c r="W8375">
        <v>-2.2078960000000002E-2</v>
      </c>
      <c r="X8375">
        <v>0.99862079999999998</v>
      </c>
      <c r="Y8375">
        <v>-0.2417937</v>
      </c>
      <c r="Z8375">
        <v>4.2268739999999999E-2</v>
      </c>
      <c r="AA8375">
        <v>0.96940660000000001</v>
      </c>
      <c r="AB8375">
        <v>22</v>
      </c>
      <c r="AC8375">
        <v>7.21770000000003</v>
      </c>
      <c r="AD8375">
        <v>-1.1084720545769999</v>
      </c>
      <c r="AE8375">
        <v>-25.055409999999998</v>
      </c>
      <c r="AF8375">
        <v>-6.3529258098169699</v>
      </c>
      <c r="AG8375">
        <v>-1.1084720545769999</v>
      </c>
      <c r="AH8375">
        <v>25.240014311790599</v>
      </c>
      <c r="AI8375">
        <v>92.438690285149704</v>
      </c>
      <c r="AJ8375">
        <v>104.127910312517</v>
      </c>
      <c r="AK8375">
        <v>26.0508483374383</v>
      </c>
      <c r="AL8375">
        <v>91.265134031890298</v>
      </c>
      <c r="AM8375">
        <v>87.269067135979896</v>
      </c>
      <c r="AN8375">
        <v>0.99999999555140595</v>
      </c>
    </row>
    <row r="8376" spans="1:40" x14ac:dyDescent="0.25">
      <c r="A8376" t="str">
        <f>"20190312154124292"</f>
        <v>20190312154124292</v>
      </c>
      <c r="B8376" t="str">
        <f>"1552376484284740"</f>
        <v>1552376484284740</v>
      </c>
      <c r="C8376" t="s">
        <v>40</v>
      </c>
      <c r="D8376">
        <v>4.392239</v>
      </c>
      <c r="E8376">
        <v>0.3859476</v>
      </c>
      <c r="F8376" t="s">
        <v>69</v>
      </c>
      <c r="G8376">
        <v>-295.31650000000002</v>
      </c>
      <c r="H8376" s="1">
        <v>-1.4052209999999899E-6</v>
      </c>
      <c r="I8376">
        <v>-40.65408</v>
      </c>
      <c r="J8376">
        <v>-302.26299999999998</v>
      </c>
      <c r="K8376">
        <v>1.1084780000000001</v>
      </c>
      <c r="L8376">
        <v>-16.742339999999999</v>
      </c>
      <c r="M8376">
        <v>3.384508E-2</v>
      </c>
      <c r="N8376">
        <v>0</v>
      </c>
      <c r="O8376">
        <v>-0.99942450000000005</v>
      </c>
      <c r="P8376">
        <v>-1.360604E-2</v>
      </c>
      <c r="Q8376">
        <v>-2.370237E-2</v>
      </c>
      <c r="R8376">
        <v>-0.99962629999999997</v>
      </c>
      <c r="S8376">
        <v>0.86691280000000004</v>
      </c>
      <c r="T8376">
        <v>-0.13818050000000001</v>
      </c>
      <c r="U8376">
        <v>-3.0097659999999999</v>
      </c>
      <c r="V8376">
        <v>4.7428499999999998E-2</v>
      </c>
      <c r="W8376">
        <v>-2.147903E-2</v>
      </c>
      <c r="X8376">
        <v>0.99864370000000002</v>
      </c>
      <c r="Y8376">
        <v>-0.24382870000000001</v>
      </c>
      <c r="Z8376">
        <v>4.4233769999999999E-2</v>
      </c>
      <c r="AA8376">
        <v>0.96880900000000003</v>
      </c>
      <c r="AB8376">
        <v>22</v>
      </c>
      <c r="AC8376">
        <v>6.9464999999999497</v>
      </c>
      <c r="AD8376">
        <v>-1.1084794052210001</v>
      </c>
      <c r="AE8376">
        <v>-23.911739999999899</v>
      </c>
      <c r="AF8376">
        <v>-6.1210930248847699</v>
      </c>
      <c r="AG8376">
        <v>-1.1084794052210001</v>
      </c>
      <c r="AH8376">
        <v>24.0854151896466</v>
      </c>
      <c r="AI8376">
        <v>92.5539808111224</v>
      </c>
      <c r="AJ8376">
        <v>104.259333622973</v>
      </c>
      <c r="AK8376">
        <v>24.875765943358498</v>
      </c>
      <c r="AL8376">
        <v>91.230752382429401</v>
      </c>
      <c r="AM8376">
        <v>87.280899586192504</v>
      </c>
      <c r="AN8376">
        <v>1.0000000254458401</v>
      </c>
    </row>
    <row r="8377" spans="1:40" x14ac:dyDescent="0.25">
      <c r="A8377" t="str">
        <f>"20190312154124313"</f>
        <v>20190312154124313</v>
      </c>
      <c r="B8377" t="str">
        <f>"1552376484304260"</f>
        <v>1552376484304260</v>
      </c>
      <c r="C8377" t="s">
        <v>40</v>
      </c>
      <c r="D8377">
        <v>4.3905390000000004</v>
      </c>
      <c r="E8377">
        <v>0.38561529999999999</v>
      </c>
      <c r="F8377" t="s">
        <v>69</v>
      </c>
      <c r="G8377">
        <v>-295.291</v>
      </c>
      <c r="H8377" s="1">
        <v>-1.536813E-6</v>
      </c>
      <c r="I8377">
        <v>-40.850409999999997</v>
      </c>
      <c r="J8377">
        <v>-302.25599999999997</v>
      </c>
      <c r="K8377">
        <v>1.108482</v>
      </c>
      <c r="L8377">
        <v>-16.95129</v>
      </c>
      <c r="M8377">
        <v>3.3804029999999999E-2</v>
      </c>
      <c r="N8377">
        <v>0</v>
      </c>
      <c r="O8377">
        <v>-0.99942589999999998</v>
      </c>
      <c r="P8377">
        <v>-1.403164E-2</v>
      </c>
      <c r="Q8377">
        <v>-2.3703330000000002E-2</v>
      </c>
      <c r="R8377">
        <v>-0.99962090000000003</v>
      </c>
      <c r="S8377">
        <v>0.87039179999999905</v>
      </c>
      <c r="T8377">
        <v>-0.1383836</v>
      </c>
      <c r="U8377">
        <v>-3.009674</v>
      </c>
      <c r="V8377">
        <v>4.781266E-2</v>
      </c>
      <c r="W8377">
        <v>-2.1329730000000002E-2</v>
      </c>
      <c r="X8377">
        <v>0.99862859999999998</v>
      </c>
      <c r="Y8377">
        <v>-0.2449093</v>
      </c>
      <c r="Z8377">
        <v>4.4286979999999997E-2</v>
      </c>
      <c r="AA8377">
        <v>0.96853400000000001</v>
      </c>
      <c r="AB8377">
        <v>22</v>
      </c>
      <c r="AC8377">
        <v>6.9649999999999697</v>
      </c>
      <c r="AD8377">
        <v>-1.1084835368129999</v>
      </c>
      <c r="AE8377">
        <v>-23.89912</v>
      </c>
      <c r="AF8377">
        <v>-6.1409540533276203</v>
      </c>
      <c r="AG8377">
        <v>-1.1084835368129999</v>
      </c>
      <c r="AH8377">
        <v>24.0731731089916</v>
      </c>
      <c r="AI8377">
        <v>92.554705165035102</v>
      </c>
      <c r="AJ8377">
        <v>104.31068028730699</v>
      </c>
      <c r="AK8377">
        <v>24.868810103660799</v>
      </c>
      <c r="AL8377">
        <v>91.222196139495694</v>
      </c>
      <c r="AM8377">
        <v>87.258867566128202</v>
      </c>
      <c r="AN8377">
        <v>1.0000000442880499</v>
      </c>
    </row>
    <row r="8378" spans="1:40" x14ac:dyDescent="0.25">
      <c r="A8378" t="str">
        <f>"20190312154124336"</f>
        <v>20190312154124336</v>
      </c>
      <c r="B8378" t="str">
        <f>"1552376484324756"</f>
        <v>1552376484324756</v>
      </c>
      <c r="C8378" t="s">
        <v>40</v>
      </c>
      <c r="D8378">
        <v>4.384773</v>
      </c>
      <c r="E8378">
        <v>0.38537969999999999</v>
      </c>
      <c r="F8378" t="s">
        <v>69</v>
      </c>
      <c r="G8378">
        <v>-295.4461</v>
      </c>
      <c r="H8378" s="1">
        <v>-1.2473680000000001E-6</v>
      </c>
      <c r="I8378">
        <v>-40.459989999999998</v>
      </c>
      <c r="J8378">
        <v>-302.24810000000002</v>
      </c>
      <c r="K8378">
        <v>1.1084889999999901</v>
      </c>
      <c r="L8378">
        <v>-17.18619</v>
      </c>
      <c r="M8378">
        <v>3.37574E-2</v>
      </c>
      <c r="N8378">
        <v>0</v>
      </c>
      <c r="O8378">
        <v>-0.99942710000000001</v>
      </c>
      <c r="P8378">
        <v>-1.422764E-2</v>
      </c>
      <c r="Q8378">
        <v>-2.3989119999999999E-2</v>
      </c>
      <c r="R8378">
        <v>-0.99961129999999998</v>
      </c>
      <c r="S8378">
        <v>0.87191770000000002</v>
      </c>
      <c r="T8378">
        <v>-0.1419281</v>
      </c>
      <c r="U8378">
        <v>-3.0100099999999999</v>
      </c>
      <c r="V8378">
        <v>4.7961620000000003E-2</v>
      </c>
      <c r="W8378">
        <v>-2.1457070000000002E-2</v>
      </c>
      <c r="X8378">
        <v>0.99861869999999997</v>
      </c>
      <c r="Y8378">
        <v>-0.24536479999999999</v>
      </c>
      <c r="Z8378">
        <v>4.5408410000000003E-2</v>
      </c>
      <c r="AA8378">
        <v>0.96836679999999997</v>
      </c>
      <c r="AB8378">
        <v>23</v>
      </c>
      <c r="AC8378">
        <v>6.80200000000002</v>
      </c>
      <c r="AD8378">
        <v>-1.1084902473679901</v>
      </c>
      <c r="AE8378">
        <v>-23.273800000000001</v>
      </c>
      <c r="AF8378">
        <v>-5.9999184786045898</v>
      </c>
      <c r="AG8378">
        <v>-1.1084902473679901</v>
      </c>
      <c r="AH8378">
        <v>23.4411631548343</v>
      </c>
      <c r="AI8378">
        <v>92.622963729045694</v>
      </c>
      <c r="AJ8378">
        <v>104.35699836804299</v>
      </c>
      <c r="AK8378">
        <v>24.222219188793801</v>
      </c>
      <c r="AL8378">
        <v>91.229493889432902</v>
      </c>
      <c r="AM8378">
        <v>87.2503134561385</v>
      </c>
      <c r="AN8378">
        <v>1.0000000154178399</v>
      </c>
    </row>
    <row r="8379" spans="1:40" x14ac:dyDescent="0.25">
      <c r="A8379" t="str">
        <f>"20190312154124357"</f>
        <v>20190312154124357</v>
      </c>
      <c r="B8379" t="str">
        <f>"1552376484355013"</f>
        <v>1552376484355013</v>
      </c>
      <c r="C8379" t="s">
        <v>40</v>
      </c>
      <c r="D8379">
        <v>4.434291</v>
      </c>
      <c r="E8379">
        <v>0.38499230000000001</v>
      </c>
      <c r="F8379" t="s">
        <v>42</v>
      </c>
      <c r="G8379">
        <v>-295.60320000000002</v>
      </c>
      <c r="H8379" s="1">
        <v>-1.2554859999999999E-6</v>
      </c>
      <c r="I8379">
        <v>-40.100320000000004</v>
      </c>
      <c r="J8379">
        <v>-302.24059999999997</v>
      </c>
      <c r="K8379">
        <v>1.108498</v>
      </c>
      <c r="L8379">
        <v>-17.408359999999998</v>
      </c>
      <c r="M8379">
        <v>3.3713529999999998E-2</v>
      </c>
      <c r="N8379">
        <v>0</v>
      </c>
      <c r="O8379">
        <v>-0.99942830000000005</v>
      </c>
      <c r="P8379">
        <v>-1.4124579999999999E-2</v>
      </c>
      <c r="Q8379">
        <v>-2.4254499999999998E-2</v>
      </c>
      <c r="R8379">
        <v>-0.99960629999999995</v>
      </c>
      <c r="S8379">
        <v>0.87289430000000001</v>
      </c>
      <c r="T8379">
        <v>-0.1456161</v>
      </c>
      <c r="U8379">
        <v>-3.0101010000000001</v>
      </c>
      <c r="V8379">
        <v>4.7814620000000002E-2</v>
      </c>
      <c r="W8379">
        <v>-2.1577829999999999E-2</v>
      </c>
      <c r="X8379">
        <v>0.99862309999999999</v>
      </c>
      <c r="Y8379">
        <v>-0.24567420000000001</v>
      </c>
      <c r="Z8379">
        <v>4.6580580000000003E-2</v>
      </c>
      <c r="AA8379">
        <v>0.9682326</v>
      </c>
      <c r="AB8379">
        <v>23</v>
      </c>
      <c r="AC8379">
        <v>6.6373999999999498</v>
      </c>
      <c r="AD8379">
        <v>-1.108499255486</v>
      </c>
      <c r="AE8379">
        <v>-22.691960000000002</v>
      </c>
      <c r="AF8379">
        <v>-5.8557260406795102</v>
      </c>
      <c r="AG8379">
        <v>-1.108499255486</v>
      </c>
      <c r="AH8379">
        <v>22.852595879662498</v>
      </c>
      <c r="AI8379">
        <v>92.690259450637697</v>
      </c>
      <c r="AJ8379">
        <v>104.372186617442</v>
      </c>
      <c r="AK8379">
        <v>23.6169311406472</v>
      </c>
      <c r="AL8379">
        <v>91.236414588316606</v>
      </c>
      <c r="AM8379">
        <v>87.2587402947794</v>
      </c>
      <c r="AN8379">
        <v>0.99999996824343096</v>
      </c>
    </row>
    <row r="8380" spans="1:40" x14ac:dyDescent="0.25">
      <c r="A8380" t="str">
        <f>"20190312154124380"</f>
        <v>20190312154124380</v>
      </c>
      <c r="B8380" t="str">
        <f>"1552376484374532"</f>
        <v>1552376484374532</v>
      </c>
      <c r="C8380" t="s">
        <v>40</v>
      </c>
      <c r="D8380">
        <v>4.3784769999999904</v>
      </c>
      <c r="E8380">
        <v>0.41375800000000001</v>
      </c>
      <c r="F8380" t="s">
        <v>42</v>
      </c>
      <c r="G8380">
        <v>-295.81369999999998</v>
      </c>
      <c r="H8380" s="1">
        <v>-1.411923E-6</v>
      </c>
      <c r="I8380">
        <v>-39.476089999999999</v>
      </c>
      <c r="J8380">
        <v>-302.2328</v>
      </c>
      <c r="K8380">
        <v>1.1085149999999999</v>
      </c>
      <c r="L8380">
        <v>-17.641570000000002</v>
      </c>
      <c r="M8380">
        <v>3.366744E-2</v>
      </c>
      <c r="N8380">
        <v>0</v>
      </c>
      <c r="O8380">
        <v>-0.99942920000000002</v>
      </c>
      <c r="P8380">
        <v>-1.3295390000000001E-2</v>
      </c>
      <c r="Q8380">
        <v>-2.4636769999999999E-2</v>
      </c>
      <c r="R8380">
        <v>-0.99960819999999995</v>
      </c>
      <c r="S8380">
        <v>0.87658689999999995</v>
      </c>
      <c r="T8380">
        <v>-0.15119179999999999</v>
      </c>
      <c r="U8380">
        <v>-3.0098880000000001</v>
      </c>
      <c r="V8380">
        <v>4.69399E-2</v>
      </c>
      <c r="W8380">
        <v>-2.181052E-2</v>
      </c>
      <c r="X8380">
        <v>0.99865959999999998</v>
      </c>
      <c r="Y8380">
        <v>-0.246809</v>
      </c>
      <c r="Z8380">
        <v>4.8348160000000001E-2</v>
      </c>
      <c r="AA8380">
        <v>0.96785730000000003</v>
      </c>
      <c r="AB8380">
        <v>23</v>
      </c>
      <c r="AC8380">
        <v>6.41910000000001</v>
      </c>
      <c r="AD8380">
        <v>-1.108516411923</v>
      </c>
      <c r="AE8380">
        <v>-21.834520000000001</v>
      </c>
      <c r="AF8380">
        <v>-5.6669012846369604</v>
      </c>
      <c r="AG8380">
        <v>-1.108516411923</v>
      </c>
      <c r="AH8380">
        <v>21.9860964985922</v>
      </c>
      <c r="AI8380">
        <v>92.795147770538193</v>
      </c>
      <c r="AJ8380">
        <v>104.45336067751801</v>
      </c>
      <c r="AK8380">
        <v>22.731718325958798</v>
      </c>
      <c r="AL8380">
        <v>91.249749811382898</v>
      </c>
      <c r="AM8380">
        <v>87.308912666829102</v>
      </c>
      <c r="AN8380">
        <v>1.00000002483342</v>
      </c>
    </row>
    <row r="8381" spans="1:40" x14ac:dyDescent="0.25">
      <c r="A8381" t="str">
        <f>"20190312154124402"</f>
        <v>20190312154124402</v>
      </c>
      <c r="B8381" t="str">
        <f>"1552376484395027"</f>
        <v>1552376484395027</v>
      </c>
      <c r="C8381" t="s">
        <v>40</v>
      </c>
      <c r="D8381">
        <v>4.4832470000000004</v>
      </c>
      <c r="E8381">
        <v>0.42894749999999998</v>
      </c>
      <c r="F8381" t="s">
        <v>69</v>
      </c>
      <c r="G8381">
        <v>-295.60169999999999</v>
      </c>
      <c r="H8381" s="1">
        <v>-5.6442509999999996E-6</v>
      </c>
      <c r="I8381">
        <v>-48.374569999999999</v>
      </c>
      <c r="J8381">
        <v>-302.22489999999999</v>
      </c>
      <c r="K8381">
        <v>1.108533</v>
      </c>
      <c r="L8381">
        <v>-17.876709999999999</v>
      </c>
      <c r="M8381">
        <v>3.3621020000000001E-2</v>
      </c>
      <c r="N8381">
        <v>0</v>
      </c>
      <c r="O8381">
        <v>-0.99943020000000005</v>
      </c>
      <c r="P8381">
        <v>-1.274605E-2</v>
      </c>
      <c r="Q8381">
        <v>-2.479373E-2</v>
      </c>
      <c r="R8381">
        <v>-0.99961140000000004</v>
      </c>
      <c r="S8381">
        <v>0.64883419999999903</v>
      </c>
      <c r="T8381">
        <v>-0.1084658</v>
      </c>
      <c r="U8381">
        <v>-3.0071409999999998</v>
      </c>
      <c r="V8381">
        <v>4.6344620000000003E-2</v>
      </c>
      <c r="W8381">
        <v>-2.1819720000000001E-2</v>
      </c>
      <c r="X8381">
        <v>0.99868710000000005</v>
      </c>
      <c r="Y8381">
        <v>-0.17779529999999999</v>
      </c>
      <c r="Z8381">
        <v>3.5322430000000002E-2</v>
      </c>
      <c r="AA8381">
        <v>0.98343340000000001</v>
      </c>
      <c r="AB8381">
        <v>23</v>
      </c>
      <c r="AC8381">
        <v>6.62319999999999</v>
      </c>
      <c r="AD8381">
        <v>-1.1085386442509999</v>
      </c>
      <c r="AE8381">
        <v>-30.497859999999999</v>
      </c>
      <c r="AF8381">
        <v>-5.5870327983011796</v>
      </c>
      <c r="AG8381">
        <v>-1.1085386442509999</v>
      </c>
      <c r="AH8381">
        <v>30.664608833946598</v>
      </c>
      <c r="AI8381">
        <v>92.036862186365596</v>
      </c>
      <c r="AJ8381">
        <v>100.325914991772</v>
      </c>
      <c r="AK8381">
        <v>31.189133177343201</v>
      </c>
      <c r="AL8381">
        <v>91.250277184297801</v>
      </c>
      <c r="AM8381">
        <v>87.343064197961795</v>
      </c>
      <c r="AN8381">
        <v>0.99999992384511305</v>
      </c>
    </row>
    <row r="8382" spans="1:40" x14ac:dyDescent="0.25">
      <c r="A8382" t="str">
        <f>"20190312154124424"</f>
        <v>20190312154124424</v>
      </c>
      <c r="B8382" t="str">
        <f>"1552376484414548"</f>
        <v>1552376484414548</v>
      </c>
      <c r="C8382" t="s">
        <v>40</v>
      </c>
      <c r="D8382">
        <v>4.4524189999999999</v>
      </c>
      <c r="E8382">
        <v>0.43449179999999998</v>
      </c>
      <c r="F8382" t="s">
        <v>69</v>
      </c>
      <c r="G8382">
        <v>-297.05059999999997</v>
      </c>
      <c r="H8382" s="1">
        <v>-4.7795440000000001E-6</v>
      </c>
      <c r="I8382">
        <v>-47.26455</v>
      </c>
      <c r="J8382">
        <v>-302.2174</v>
      </c>
      <c r="K8382">
        <v>1.108554</v>
      </c>
      <c r="L8382">
        <v>-18.102229999999999</v>
      </c>
      <c r="M8382">
        <v>3.3578690000000001E-2</v>
      </c>
      <c r="N8382">
        <v>0</v>
      </c>
      <c r="O8382">
        <v>-0.99943139999999997</v>
      </c>
      <c r="P8382">
        <v>-1.177855E-2</v>
      </c>
      <c r="Q8382">
        <v>-2.446566E-2</v>
      </c>
      <c r="R8382">
        <v>-0.99963150000000001</v>
      </c>
      <c r="S8382">
        <v>0.52911379999999997</v>
      </c>
      <c r="T8382">
        <v>-0.1133552</v>
      </c>
      <c r="U8382">
        <v>-3.005096</v>
      </c>
      <c r="V8382">
        <v>4.5336139999999997E-2</v>
      </c>
      <c r="W8382">
        <v>-2.1352139999999999E-2</v>
      </c>
      <c r="X8382">
        <v>0.99874359999999995</v>
      </c>
      <c r="Y8382">
        <v>-0.14011689999999999</v>
      </c>
      <c r="Z8382">
        <v>3.7190790000000001E-2</v>
      </c>
      <c r="AA8382">
        <v>0.98943630000000005</v>
      </c>
      <c r="AB8382">
        <v>23</v>
      </c>
      <c r="AC8382">
        <v>5.1668000000000198</v>
      </c>
      <c r="AD8382">
        <v>-1.108558779544</v>
      </c>
      <c r="AE8382">
        <v>-29.162320000000001</v>
      </c>
      <c r="AF8382">
        <v>-4.1787945610212498</v>
      </c>
      <c r="AG8382">
        <v>-1.108558779544</v>
      </c>
      <c r="AH8382">
        <v>29.278349620362398</v>
      </c>
      <c r="AI8382">
        <v>92.146606701990194</v>
      </c>
      <c r="AJ8382">
        <v>98.122763177577795</v>
      </c>
      <c r="AK8382">
        <v>29.595827122131599</v>
      </c>
      <c r="AL8382">
        <v>91.223480449045994</v>
      </c>
      <c r="AM8382">
        <v>87.400946997863699</v>
      </c>
      <c r="AN8382">
        <v>1.0000000290068101</v>
      </c>
    </row>
    <row r="8383" spans="1:40" x14ac:dyDescent="0.25">
      <c r="A8383" t="str">
        <f>"20190312154124447"</f>
        <v>20190312154124447</v>
      </c>
      <c r="B8383" t="str">
        <f>"1552376484435045"</f>
        <v>1552376484435045</v>
      </c>
      <c r="C8383" t="s">
        <v>40</v>
      </c>
      <c r="D8383">
        <v>4.4653619999999998</v>
      </c>
      <c r="E8383">
        <v>0.43714710000000001</v>
      </c>
      <c r="F8383" t="s">
        <v>69</v>
      </c>
      <c r="G8383">
        <v>-297.46269999999998</v>
      </c>
      <c r="H8383" s="1">
        <v>-4.7417650000000002E-6</v>
      </c>
      <c r="I8383">
        <v>-47.36974</v>
      </c>
      <c r="J8383">
        <v>-302.20949999999999</v>
      </c>
      <c r="K8383">
        <v>1.108582</v>
      </c>
      <c r="L8383">
        <v>-18.340579999999999</v>
      </c>
      <c r="M8383">
        <v>3.3537659999999997E-2</v>
      </c>
      <c r="N8383">
        <v>0</v>
      </c>
      <c r="O8383">
        <v>-0.99943210000000005</v>
      </c>
      <c r="P8383">
        <v>-1.1174399999999999E-2</v>
      </c>
      <c r="Q8383">
        <v>-2.3648019999999999E-2</v>
      </c>
      <c r="R8383">
        <v>-0.99965800000000005</v>
      </c>
      <c r="S8383">
        <v>0.4880371</v>
      </c>
      <c r="T8383">
        <v>-0.11378530000000001</v>
      </c>
      <c r="U8383">
        <v>-3.004089</v>
      </c>
      <c r="V8383">
        <v>4.4692429999999998E-2</v>
      </c>
      <c r="W8383">
        <v>-2.0386270000000001E-2</v>
      </c>
      <c r="X8383">
        <v>0.99879280000000004</v>
      </c>
      <c r="Y8383">
        <v>-0.127049</v>
      </c>
      <c r="Z8383">
        <v>3.741949E-2</v>
      </c>
      <c r="AA8383">
        <v>0.99119040000000003</v>
      </c>
      <c r="AB8383">
        <v>23</v>
      </c>
      <c r="AC8383">
        <v>4.7468000000000004</v>
      </c>
      <c r="AD8383">
        <v>-1.1085867417649999</v>
      </c>
      <c r="AE8383">
        <v>-29.029159999999901</v>
      </c>
      <c r="AF8383">
        <v>-3.7652062727903899</v>
      </c>
      <c r="AG8383">
        <v>-1.1085867417649999</v>
      </c>
      <c r="AH8383">
        <v>29.130649840066798</v>
      </c>
      <c r="AI8383">
        <v>92.1614158227421</v>
      </c>
      <c r="AJ8383">
        <v>97.364785398154197</v>
      </c>
      <c r="AK8383">
        <v>29.393885468669499</v>
      </c>
      <c r="AL8383">
        <v>91.1681281116267</v>
      </c>
      <c r="AM8383">
        <v>87.437926440379798</v>
      </c>
      <c r="AN8383">
        <v>1.00000003531782</v>
      </c>
    </row>
    <row r="8384" spans="1:40" x14ac:dyDescent="0.25">
      <c r="A8384" t="str">
        <f>"20190312154124470"</f>
        <v>20190312154124470</v>
      </c>
      <c r="B8384" t="str">
        <f>"1552376484464324"</f>
        <v>1552376484464324</v>
      </c>
      <c r="C8384" t="s">
        <v>40</v>
      </c>
      <c r="D8384">
        <v>4.480124</v>
      </c>
      <c r="E8384">
        <v>0.43957079999999998</v>
      </c>
      <c r="F8384" t="s">
        <v>69</v>
      </c>
      <c r="G8384">
        <v>-297.59769999999997</v>
      </c>
      <c r="H8384" s="1">
        <v>-4.9835800000000003E-6</v>
      </c>
      <c r="I8384">
        <v>-47.903060000000004</v>
      </c>
      <c r="J8384">
        <v>-302.20139999999998</v>
      </c>
      <c r="K8384">
        <v>1.1086119999999999</v>
      </c>
      <c r="L8384">
        <v>-18.579619999999998</v>
      </c>
      <c r="M8384">
        <v>3.3504329999999999E-2</v>
      </c>
      <c r="N8384">
        <v>0</v>
      </c>
      <c r="O8384">
        <v>-0.99943280000000001</v>
      </c>
      <c r="P8384">
        <v>-1.0908040000000001E-2</v>
      </c>
      <c r="Q8384">
        <v>-2.3102729999999998E-2</v>
      </c>
      <c r="R8384">
        <v>-0.9996737</v>
      </c>
      <c r="S8384">
        <v>0.46856690000000001</v>
      </c>
      <c r="T8384">
        <v>-0.1126344</v>
      </c>
      <c r="U8384">
        <v>-3.0036010000000002</v>
      </c>
      <c r="V8384">
        <v>4.4393750000000003E-2</v>
      </c>
      <c r="W8384">
        <v>-1.9688939999999999E-2</v>
      </c>
      <c r="X8384">
        <v>0.99882009999999999</v>
      </c>
      <c r="Y8384">
        <v>-0.1208407</v>
      </c>
      <c r="Z8384">
        <v>3.7080719999999998E-2</v>
      </c>
      <c r="AA8384">
        <v>0.9919791</v>
      </c>
      <c r="AB8384">
        <v>23</v>
      </c>
      <c r="AC8384">
        <v>4.6036999999999999</v>
      </c>
      <c r="AD8384">
        <v>-1.1086169835799999</v>
      </c>
      <c r="AE8384">
        <v>-29.323439999999898</v>
      </c>
      <c r="AF8384">
        <v>-3.6136066486470901</v>
      </c>
      <c r="AG8384">
        <v>-1.1086169835799999</v>
      </c>
      <c r="AH8384">
        <v>29.420181927397799</v>
      </c>
      <c r="AI8384">
        <v>92.141928060037401</v>
      </c>
      <c r="AJ8384">
        <v>97.002422243553497</v>
      </c>
      <c r="AK8384">
        <v>29.6620007630742</v>
      </c>
      <c r="AL8384">
        <v>91.128166033753601</v>
      </c>
      <c r="AM8384">
        <v>87.455095686483602</v>
      </c>
      <c r="AN8384">
        <v>1.00000002578069</v>
      </c>
    </row>
    <row r="8385" spans="1:40" x14ac:dyDescent="0.25">
      <c r="A8385" t="str">
        <f>"20190312154124493"</f>
        <v>20190312154124493</v>
      </c>
      <c r="B8385" t="str">
        <f>"1552376484484821"</f>
        <v>1552376484484821</v>
      </c>
      <c r="C8385" t="s">
        <v>40</v>
      </c>
      <c r="D8385">
        <v>4.4564209999999997</v>
      </c>
      <c r="E8385">
        <v>0.44045050000000002</v>
      </c>
      <c r="F8385" t="s">
        <v>69</v>
      </c>
      <c r="G8385">
        <v>-297.78309999999999</v>
      </c>
      <c r="H8385" s="1">
        <v>-5.0256370000000002E-6</v>
      </c>
      <c r="I8385">
        <v>-48.066299999999998</v>
      </c>
      <c r="J8385">
        <v>-302.19319999999999</v>
      </c>
      <c r="K8385">
        <v>1.1086469999999999</v>
      </c>
      <c r="L8385">
        <v>-18.827030000000001</v>
      </c>
      <c r="M8385">
        <v>3.3480900000000001E-2</v>
      </c>
      <c r="N8385">
        <v>0</v>
      </c>
      <c r="O8385">
        <v>-0.99943300000000002</v>
      </c>
      <c r="P8385">
        <v>-1.1311389999999999E-2</v>
      </c>
      <c r="Q8385">
        <v>-2.313985E-2</v>
      </c>
      <c r="R8385">
        <v>-0.99966829999999995</v>
      </c>
      <c r="S8385">
        <v>0.45001219999999997</v>
      </c>
      <c r="T8385">
        <v>-0.1129144</v>
      </c>
      <c r="U8385">
        <v>-3.0032649999999999</v>
      </c>
      <c r="V8385">
        <v>4.4773670000000002E-2</v>
      </c>
      <c r="W8385">
        <v>-1.9567379999999999E-2</v>
      </c>
      <c r="X8385">
        <v>0.99880550000000001</v>
      </c>
      <c r="Y8385">
        <v>-0.11488950000000001</v>
      </c>
      <c r="Z8385">
        <v>3.7207369999999997E-2</v>
      </c>
      <c r="AA8385">
        <v>0.99268120000000004</v>
      </c>
      <c r="AB8385">
        <v>24</v>
      </c>
      <c r="AC8385">
        <v>4.4100999999999999</v>
      </c>
      <c r="AD8385">
        <v>-1.1086520256369901</v>
      </c>
      <c r="AE8385">
        <v>-29.239270000000001</v>
      </c>
      <c r="AF8385">
        <v>-3.4238513235605401</v>
      </c>
      <c r="AG8385">
        <v>-1.1086520256369901</v>
      </c>
      <c r="AH8385">
        <v>29.329304273325398</v>
      </c>
      <c r="AI8385">
        <v>92.150170624281699</v>
      </c>
      <c r="AJ8385">
        <v>96.658470722283795</v>
      </c>
      <c r="AK8385">
        <v>29.549280132637801</v>
      </c>
      <c r="AL8385">
        <v>91.121199851038</v>
      </c>
      <c r="AM8385">
        <v>87.433308027425099</v>
      </c>
      <c r="AN8385">
        <v>0.99999999535779105</v>
      </c>
    </row>
    <row r="8386" spans="1:40" x14ac:dyDescent="0.25">
      <c r="A8386" t="str">
        <f>"20190312154124515"</f>
        <v>20190312154124515</v>
      </c>
      <c r="B8386" t="str">
        <f>"1552376484504340"</f>
        <v>1552376484504340</v>
      </c>
      <c r="C8386" t="s">
        <v>40</v>
      </c>
      <c r="D8386">
        <v>4.4549810000000001</v>
      </c>
      <c r="E8386">
        <v>0.44111430000000001</v>
      </c>
      <c r="F8386" t="s">
        <v>69</v>
      </c>
      <c r="G8386">
        <v>-297.88889999999998</v>
      </c>
      <c r="H8386" s="1">
        <v>-5.0057869999999999E-6</v>
      </c>
      <c r="I8386">
        <v>-48.073369999999997</v>
      </c>
      <c r="J8386">
        <v>-302.18549999999999</v>
      </c>
      <c r="K8386">
        <v>1.1086750000000001</v>
      </c>
      <c r="L8386">
        <v>-19.05829</v>
      </c>
      <c r="M8386">
        <v>3.346818E-2</v>
      </c>
      <c r="N8386">
        <v>0</v>
      </c>
      <c r="O8386">
        <v>-0.99943300000000002</v>
      </c>
      <c r="P8386">
        <v>-1.228573E-2</v>
      </c>
      <c r="Q8386">
        <v>-2.262693E-2</v>
      </c>
      <c r="R8386">
        <v>-0.99966880000000002</v>
      </c>
      <c r="S8386">
        <v>0.44201659999999998</v>
      </c>
      <c r="T8386">
        <v>-0.1138494</v>
      </c>
      <c r="U8386">
        <v>-3.0033569999999998</v>
      </c>
      <c r="V8386">
        <v>4.5735159999999997E-2</v>
      </c>
      <c r="W8386">
        <v>-1.8908390000000001E-2</v>
      </c>
      <c r="X8386">
        <v>0.99877459999999996</v>
      </c>
      <c r="Y8386">
        <v>-0.1123099</v>
      </c>
      <c r="Z8386">
        <v>3.7526749999999998E-2</v>
      </c>
      <c r="AA8386">
        <v>0.99296439999999997</v>
      </c>
      <c r="AB8386">
        <v>24</v>
      </c>
      <c r="AC8386">
        <v>4.2966000000000104</v>
      </c>
      <c r="AD8386">
        <v>-1.1086800057870001</v>
      </c>
      <c r="AE8386">
        <v>-29.015080000000001</v>
      </c>
      <c r="AF8386">
        <v>-3.3183634536642899</v>
      </c>
      <c r="AG8386">
        <v>-1.1086800057870001</v>
      </c>
      <c r="AH8386">
        <v>29.101048411022301</v>
      </c>
      <c r="AI8386">
        <v>92.167742237557704</v>
      </c>
      <c r="AJ8386">
        <v>96.505282330961506</v>
      </c>
      <c r="AK8386">
        <v>29.310607738266199</v>
      </c>
      <c r="AL8386">
        <v>91.083435546473595</v>
      </c>
      <c r="AM8386">
        <v>87.378184826033106</v>
      </c>
      <c r="AN8386">
        <v>0.99999996683888803</v>
      </c>
    </row>
    <row r="8387" spans="1:40" x14ac:dyDescent="0.25">
      <c r="A8387" t="str">
        <f>"20190312154124536"</f>
        <v>20190312154124536</v>
      </c>
      <c r="B8387" t="str">
        <f>"1552376484524837"</f>
        <v>1552376484524837</v>
      </c>
      <c r="C8387" t="s">
        <v>40</v>
      </c>
      <c r="D8387">
        <v>4.5191509999999999</v>
      </c>
      <c r="E8387">
        <v>0.44134060000000003</v>
      </c>
      <c r="F8387" t="s">
        <v>69</v>
      </c>
      <c r="G8387">
        <v>-297.96109999999999</v>
      </c>
      <c r="H8387" s="1">
        <v>-5.1087620000000003E-6</v>
      </c>
      <c r="I8387">
        <v>-48.306870000000004</v>
      </c>
      <c r="J8387">
        <v>-302.17770000000002</v>
      </c>
      <c r="K8387">
        <v>1.1087070000000001</v>
      </c>
      <c r="L8387">
        <v>-19.290279999999999</v>
      </c>
      <c r="M8387">
        <v>3.3461089999999999E-2</v>
      </c>
      <c r="N8387">
        <v>0</v>
      </c>
      <c r="O8387">
        <v>-0.9994326</v>
      </c>
      <c r="P8387">
        <v>-1.277237E-2</v>
      </c>
      <c r="Q8387">
        <v>-2.179861E-2</v>
      </c>
      <c r="R8387">
        <v>-0.99968100000000004</v>
      </c>
      <c r="S8387">
        <v>0.4338379</v>
      </c>
      <c r="T8387">
        <v>-0.1138586</v>
      </c>
      <c r="U8387">
        <v>-3.0037539999999998</v>
      </c>
      <c r="V8387">
        <v>4.621521E-2</v>
      </c>
      <c r="W8387">
        <v>-1.7939650000000001E-2</v>
      </c>
      <c r="X8387">
        <v>0.99877039999999995</v>
      </c>
      <c r="Y8387">
        <v>-0.1096501</v>
      </c>
      <c r="Z8387">
        <v>3.7537800000000003E-2</v>
      </c>
      <c r="AA8387">
        <v>0.99326119999999996</v>
      </c>
      <c r="AB8387">
        <v>24</v>
      </c>
      <c r="AC8387">
        <v>4.2166000000000201</v>
      </c>
      <c r="AD8387">
        <v>-1.108712108762</v>
      </c>
      <c r="AE8387">
        <v>-29.016590000000001</v>
      </c>
      <c r="AF8387">
        <v>-3.2386742337099301</v>
      </c>
      <c r="AG8387">
        <v>-1.108712108762</v>
      </c>
      <c r="AH8387">
        <v>29.099827791976001</v>
      </c>
      <c r="AI8387">
        <v>92.168554568840506</v>
      </c>
      <c r="AJ8387">
        <v>96.350616412853597</v>
      </c>
      <c r="AK8387">
        <v>29.300481751242099</v>
      </c>
      <c r="AL8387">
        <v>91.027921378001096</v>
      </c>
      <c r="AM8387">
        <v>87.350693345285094</v>
      </c>
      <c r="AN8387">
        <v>0.99999999429681297</v>
      </c>
    </row>
    <row r="8388" spans="1:40" x14ac:dyDescent="0.25">
      <c r="A8388" t="str">
        <f>"20190312154124559"</f>
        <v>20190312154124559</v>
      </c>
      <c r="B8388" t="str">
        <f>"1552376484555093"</f>
        <v>1552376484555093</v>
      </c>
      <c r="C8388" t="s">
        <v>40</v>
      </c>
      <c r="D8388">
        <v>4.5038419999999997</v>
      </c>
      <c r="E8388">
        <v>0.44148920000000003</v>
      </c>
      <c r="F8388" t="s">
        <v>69</v>
      </c>
      <c r="G8388">
        <v>-297.95909999999998</v>
      </c>
      <c r="H8388" s="1">
        <v>-5.326303E-6</v>
      </c>
      <c r="I8388">
        <v>-48.732950000000002</v>
      </c>
      <c r="J8388">
        <v>-302.1694</v>
      </c>
      <c r="K8388">
        <v>1.1087320000000001</v>
      </c>
      <c r="L8388">
        <v>-19.538119999999999</v>
      </c>
      <c r="M8388">
        <v>3.3467240000000002E-2</v>
      </c>
      <c r="N8388">
        <v>0</v>
      </c>
      <c r="O8388">
        <v>-0.99943179999999998</v>
      </c>
      <c r="P8388">
        <v>-1.305606E-2</v>
      </c>
      <c r="Q8388">
        <v>-2.1170230000000002E-2</v>
      </c>
      <c r="R8388">
        <v>-0.99969070000000004</v>
      </c>
      <c r="S8388">
        <v>0.43041990000000002</v>
      </c>
      <c r="T8388">
        <v>-0.1131206</v>
      </c>
      <c r="U8388">
        <v>-3.0039980000000002</v>
      </c>
      <c r="V8388">
        <v>4.6505570000000003E-2</v>
      </c>
      <c r="W8388">
        <v>-1.71708E-2</v>
      </c>
      <c r="X8388">
        <v>0.99877039999999995</v>
      </c>
      <c r="Y8388">
        <v>-0.1085266</v>
      </c>
      <c r="Z8388">
        <v>3.7297129999999998E-2</v>
      </c>
      <c r="AA8388">
        <v>0.99339370000000005</v>
      </c>
      <c r="AB8388">
        <v>24</v>
      </c>
      <c r="AC8388">
        <v>4.2103000000000099</v>
      </c>
      <c r="AD8388">
        <v>-1.108737326303</v>
      </c>
      <c r="AE8388">
        <v>-29.19483</v>
      </c>
      <c r="AF8388">
        <v>-3.2263048193141799</v>
      </c>
      <c r="AG8388">
        <v>-1.108737326303</v>
      </c>
      <c r="AH8388">
        <v>29.278017109690399</v>
      </c>
      <c r="AI8388">
        <v>92.155677088169199</v>
      </c>
      <c r="AJ8388">
        <v>96.288363894229903</v>
      </c>
      <c r="AK8388">
        <v>29.476102644705101</v>
      </c>
      <c r="AL8388">
        <v>90.983862762485899</v>
      </c>
      <c r="AM8388">
        <v>87.334072273004693</v>
      </c>
      <c r="AN8388">
        <v>0.99999995816491105</v>
      </c>
    </row>
    <row r="8389" spans="1:40" x14ac:dyDescent="0.25">
      <c r="A8389" t="str">
        <f>"20190312154124581"</f>
        <v>20190312154124581</v>
      </c>
      <c r="B8389" t="str">
        <f>"1552376484574613"</f>
        <v>1552376484574613</v>
      </c>
      <c r="C8389" t="s">
        <v>40</v>
      </c>
      <c r="D8389">
        <v>4.5290410000000003</v>
      </c>
      <c r="E8389">
        <v>0.4415444</v>
      </c>
      <c r="F8389" t="s">
        <v>69</v>
      </c>
      <c r="G8389">
        <v>-297.9914</v>
      </c>
      <c r="H8389" s="1">
        <v>-5.367122E-6</v>
      </c>
      <c r="I8389">
        <v>-48.827129999999997</v>
      </c>
      <c r="J8389">
        <v>-302.16129999999998</v>
      </c>
      <c r="K8389">
        <v>1.1087579999999999</v>
      </c>
      <c r="L8389">
        <v>-19.779599999999999</v>
      </c>
      <c r="M8389">
        <v>3.3493630000000003E-2</v>
      </c>
      <c r="N8389">
        <v>0</v>
      </c>
      <c r="O8389">
        <v>-0.99943040000000005</v>
      </c>
      <c r="P8389">
        <v>-1.314443E-2</v>
      </c>
      <c r="Q8389">
        <v>-2.1295459999999999E-2</v>
      </c>
      <c r="R8389">
        <v>-0.99968699999999999</v>
      </c>
      <c r="S8389">
        <v>0.42852780000000001</v>
      </c>
      <c r="T8389">
        <v>-0.11372110000000001</v>
      </c>
      <c r="U8389">
        <v>-3.0041199999999999</v>
      </c>
      <c r="V8389">
        <v>4.6620599999999998E-2</v>
      </c>
      <c r="W8389">
        <v>-1.716606E-2</v>
      </c>
      <c r="X8389">
        <v>0.99876520000000002</v>
      </c>
      <c r="Y8389">
        <v>-0.1078804</v>
      </c>
      <c r="Z8389">
        <v>3.7496290000000002E-2</v>
      </c>
      <c r="AA8389">
        <v>0.99345649999999996</v>
      </c>
      <c r="AB8389">
        <v>24</v>
      </c>
      <c r="AC8389">
        <v>4.1698999999999797</v>
      </c>
      <c r="AD8389">
        <v>-1.1087633671220001</v>
      </c>
      <c r="AE8389">
        <v>-29.047529999999998</v>
      </c>
      <c r="AF8389">
        <v>-3.1900907316005198</v>
      </c>
      <c r="AG8389">
        <v>-1.1087633671220001</v>
      </c>
      <c r="AH8389">
        <v>29.129313909448499</v>
      </c>
      <c r="AI8389">
        <v>92.166881993929195</v>
      </c>
      <c r="AJ8389">
        <v>96.249828992079102</v>
      </c>
      <c r="AK8389">
        <v>29.324443113472899</v>
      </c>
      <c r="AL8389">
        <v>90.983591060589205</v>
      </c>
      <c r="AM8389">
        <v>87.327473842722895</v>
      </c>
      <c r="AN8389">
        <v>1.0000000393456601</v>
      </c>
    </row>
    <row r="8390" spans="1:40" x14ac:dyDescent="0.25">
      <c r="A8390" t="str">
        <f>"20190312154124603"</f>
        <v>20190312154124603</v>
      </c>
      <c r="B8390" t="str">
        <f>"1552376484594132"</f>
        <v>1552376484594132</v>
      </c>
      <c r="C8390" t="s">
        <v>40</v>
      </c>
      <c r="D8390">
        <v>4.490367</v>
      </c>
      <c r="E8390">
        <v>0.44161810000000001</v>
      </c>
      <c r="F8390" t="s">
        <v>69</v>
      </c>
      <c r="G8390">
        <v>-298.09609999999998</v>
      </c>
      <c r="H8390" s="1">
        <v>-5.0918180000000002E-6</v>
      </c>
      <c r="I8390">
        <v>-48.3324</v>
      </c>
      <c r="J8390">
        <v>-302.15309999999999</v>
      </c>
      <c r="K8390">
        <v>1.108781</v>
      </c>
      <c r="L8390">
        <v>-20.022919999999999</v>
      </c>
      <c r="M8390">
        <v>3.3539020000000003E-2</v>
      </c>
      <c r="N8390">
        <v>0</v>
      </c>
      <c r="O8390">
        <v>-0.99942850000000005</v>
      </c>
      <c r="P8390">
        <v>-1.2937209999999999E-2</v>
      </c>
      <c r="Q8390">
        <v>-2.185264E-2</v>
      </c>
      <c r="R8390">
        <v>-0.99967779999999995</v>
      </c>
      <c r="S8390">
        <v>0.42770390000000003</v>
      </c>
      <c r="T8390">
        <v>-0.11665490000000001</v>
      </c>
      <c r="U8390">
        <v>-3.004089</v>
      </c>
      <c r="V8390">
        <v>4.6459109999999998E-2</v>
      </c>
      <c r="W8390">
        <v>-1.7597620000000001E-2</v>
      </c>
      <c r="X8390">
        <v>0.99876520000000002</v>
      </c>
      <c r="Y8390">
        <v>-0.1075644</v>
      </c>
      <c r="Z8390">
        <v>3.8463909999999997E-2</v>
      </c>
      <c r="AA8390">
        <v>0.99345380000000005</v>
      </c>
      <c r="AB8390">
        <v>24</v>
      </c>
      <c r="AC8390">
        <v>4.0570000000000102</v>
      </c>
      <c r="AD8390">
        <v>-1.1087860918179999</v>
      </c>
      <c r="AE8390">
        <v>-28.309480000000001</v>
      </c>
      <c r="AF8390">
        <v>-3.1005762205652601</v>
      </c>
      <c r="AG8390">
        <v>-1.1087860918179999</v>
      </c>
      <c r="AH8390">
        <v>28.3869521724252</v>
      </c>
      <c r="AI8390">
        <v>92.223608084199199</v>
      </c>
      <c r="AJ8390">
        <v>96.233444118464803</v>
      </c>
      <c r="AK8390">
        <v>28.577299262465299</v>
      </c>
      <c r="AL8390">
        <v>91.008321377095598</v>
      </c>
      <c r="AM8390">
        <v>87.336717905698293</v>
      </c>
      <c r="AN8390">
        <v>1.0000000249313401</v>
      </c>
    </row>
    <row r="8391" spans="1:40" x14ac:dyDescent="0.25">
      <c r="A8391" t="str">
        <f>"20190312154124625"</f>
        <v>20190312154124625</v>
      </c>
      <c r="B8391" t="str">
        <f>"1552376484614628"</f>
        <v>1552376484614628</v>
      </c>
      <c r="C8391" t="s">
        <v>40</v>
      </c>
      <c r="D8391">
        <v>4.5159750000000001</v>
      </c>
      <c r="E8391">
        <v>0.4417526</v>
      </c>
      <c r="F8391" t="s">
        <v>69</v>
      </c>
      <c r="G8391">
        <v>-298.19159999999999</v>
      </c>
      <c r="H8391" s="1">
        <v>-4.8148269999999997E-6</v>
      </c>
      <c r="I8391">
        <v>-47.830300000000001</v>
      </c>
      <c r="J8391">
        <v>-302.14510000000001</v>
      </c>
      <c r="K8391">
        <v>1.108808</v>
      </c>
      <c r="L8391">
        <v>-20.2623</v>
      </c>
      <c r="M8391">
        <v>3.3603969999999997E-2</v>
      </c>
      <c r="N8391">
        <v>0</v>
      </c>
      <c r="O8391">
        <v>-0.99942560000000003</v>
      </c>
      <c r="P8391">
        <v>-1.2491439999999999E-2</v>
      </c>
      <c r="Q8391">
        <v>-2.215584E-2</v>
      </c>
      <c r="R8391">
        <v>-0.99967660000000003</v>
      </c>
      <c r="S8391">
        <v>0.427948</v>
      </c>
      <c r="T8391">
        <v>-0.11977599999999999</v>
      </c>
      <c r="U8391">
        <v>-3.003876</v>
      </c>
      <c r="V8391">
        <v>4.6079139999999998E-2</v>
      </c>
      <c r="W8391">
        <v>-1.77787999999999E-2</v>
      </c>
      <c r="X8391">
        <v>0.99877959999999999</v>
      </c>
      <c r="Y8391">
        <v>-0.1075831</v>
      </c>
      <c r="Z8391">
        <v>3.9493769999999997E-2</v>
      </c>
      <c r="AA8391">
        <v>0.99341140000000006</v>
      </c>
      <c r="AB8391">
        <v>24</v>
      </c>
      <c r="AC8391">
        <v>3.95350000000002</v>
      </c>
      <c r="AD8391">
        <v>-1.108812814827</v>
      </c>
      <c r="AE8391">
        <v>-27.568000000000001</v>
      </c>
      <c r="AF8391">
        <v>-3.0200767556505199</v>
      </c>
      <c r="AG8391">
        <v>-1.108812814827</v>
      </c>
      <c r="AH8391">
        <v>27.641469302108</v>
      </c>
      <c r="AI8391">
        <v>92.283562259491205</v>
      </c>
      <c r="AJ8391">
        <v>96.2353413233933</v>
      </c>
      <c r="AK8391">
        <v>27.828064155591701</v>
      </c>
      <c r="AL8391">
        <v>91.018703844197205</v>
      </c>
      <c r="AM8391">
        <v>87.358506848774397</v>
      </c>
      <c r="AN8391">
        <v>1.00000003112436</v>
      </c>
    </row>
    <row r="8392" spans="1:40" x14ac:dyDescent="0.25">
      <c r="A8392" t="str">
        <f>"20190312154124648"</f>
        <v>20190312154124648</v>
      </c>
      <c r="B8392" t="str">
        <f>"1552376484635125"</f>
        <v>1552376484635125</v>
      </c>
      <c r="C8392" t="s">
        <v>40</v>
      </c>
      <c r="D8392">
        <v>4.4492669999999999</v>
      </c>
      <c r="E8392">
        <v>0.44177480000000002</v>
      </c>
      <c r="F8392" t="s">
        <v>69</v>
      </c>
      <c r="G8392">
        <v>-298.28210000000001</v>
      </c>
      <c r="H8392" s="1">
        <v>-4.5509440000000003E-6</v>
      </c>
      <c r="I8392">
        <v>-47.35181</v>
      </c>
      <c r="J8392">
        <v>-302.13639999999998</v>
      </c>
      <c r="K8392">
        <v>1.1088450000000001</v>
      </c>
      <c r="L8392">
        <v>-20.514220000000002</v>
      </c>
      <c r="M8392">
        <v>3.3697499999999998E-2</v>
      </c>
      <c r="N8392">
        <v>0</v>
      </c>
      <c r="O8392">
        <v>-0.99942209999999998</v>
      </c>
      <c r="P8392">
        <v>-1.184778E-2</v>
      </c>
      <c r="Q8392">
        <v>-2.214095E-2</v>
      </c>
      <c r="R8392">
        <v>-0.99968480000000004</v>
      </c>
      <c r="S8392">
        <v>0.42831419999999998</v>
      </c>
      <c r="T8392">
        <v>-0.1229417</v>
      </c>
      <c r="U8392">
        <v>-3.0036010000000002</v>
      </c>
      <c r="V8392">
        <v>4.5530370000000001E-2</v>
      </c>
      <c r="W8392">
        <v>-1.7631290000000001E-2</v>
      </c>
      <c r="X8392">
        <v>0.99880740000000001</v>
      </c>
      <c r="Y8392">
        <v>-0.1076155</v>
      </c>
      <c r="Z8392">
        <v>4.0538980000000002E-2</v>
      </c>
      <c r="AA8392">
        <v>0.99336579999999997</v>
      </c>
      <c r="AB8392">
        <v>25</v>
      </c>
      <c r="AC8392">
        <v>3.8542999999999599</v>
      </c>
      <c r="AD8392">
        <v>-1.108849550944</v>
      </c>
      <c r="AE8392">
        <v>-26.837589999999999</v>
      </c>
      <c r="AF8392">
        <v>-2.9428201489518901</v>
      </c>
      <c r="AG8392">
        <v>-1.108849550944</v>
      </c>
      <c r="AH8392">
        <v>26.907224611692499</v>
      </c>
      <c r="AI8392">
        <v>92.345857174628804</v>
      </c>
      <c r="AJ8392">
        <v>96.241582843703497</v>
      </c>
      <c r="AK8392">
        <v>27.090376041313601</v>
      </c>
      <c r="AL8392">
        <v>91.010250800329402</v>
      </c>
      <c r="AM8392">
        <v>87.389993946959805</v>
      </c>
      <c r="AN8392">
        <v>1.00000004963707</v>
      </c>
    </row>
    <row r="8393" spans="1:40" x14ac:dyDescent="0.25">
      <c r="A8393" t="str">
        <f>"20190312154124672"</f>
        <v>20190312154124672</v>
      </c>
      <c r="B8393" t="str">
        <f>"1552376484664404"</f>
        <v>1552376484664404</v>
      </c>
      <c r="C8393" t="s">
        <v>40</v>
      </c>
      <c r="D8393">
        <v>4.4795680000000004</v>
      </c>
      <c r="E8393">
        <v>0.44184489999999998</v>
      </c>
      <c r="F8393" t="s">
        <v>69</v>
      </c>
      <c r="G8393">
        <v>-298.32220000000001</v>
      </c>
      <c r="H8393" s="1">
        <v>-4.4453410000000001E-6</v>
      </c>
      <c r="I8393">
        <v>-47.162019999999998</v>
      </c>
      <c r="J8393">
        <v>-302.12759999999997</v>
      </c>
      <c r="K8393">
        <v>1.1088830000000001</v>
      </c>
      <c r="L8393">
        <v>-20.774660000000001</v>
      </c>
      <c r="M8393">
        <v>3.3821009999999999E-2</v>
      </c>
      <c r="N8393">
        <v>0</v>
      </c>
      <c r="O8393">
        <v>-0.99941729999999995</v>
      </c>
      <c r="P8393">
        <v>-1.0701179999999999E-2</v>
      </c>
      <c r="Q8393">
        <v>-2.186101E-2</v>
      </c>
      <c r="R8393">
        <v>-0.99970409999999998</v>
      </c>
      <c r="S8393">
        <v>0.42987059999999999</v>
      </c>
      <c r="T8393">
        <v>-0.1249697</v>
      </c>
      <c r="U8393">
        <v>-3.0032649999999999</v>
      </c>
      <c r="V8393">
        <v>4.4509279999999998E-2</v>
      </c>
      <c r="W8393">
        <v>-1.7207920000000002E-2</v>
      </c>
      <c r="X8393">
        <v>0.99886079999999999</v>
      </c>
      <c r="Y8393">
        <v>-0.1080088</v>
      </c>
      <c r="Z8393">
        <v>4.1208469999999997E-2</v>
      </c>
      <c r="AA8393">
        <v>0.9932955</v>
      </c>
      <c r="AB8393">
        <v>25</v>
      </c>
      <c r="AC8393">
        <v>3.8053999999999601</v>
      </c>
      <c r="AD8393">
        <v>-1.108887445341</v>
      </c>
      <c r="AE8393">
        <v>-26.387360000000001</v>
      </c>
      <c r="AF8393">
        <v>-2.9057393819036501</v>
      </c>
      <c r="AG8393">
        <v>-1.108887445341</v>
      </c>
      <c r="AH8393">
        <v>26.455200243071399</v>
      </c>
      <c r="AI8393">
        <v>92.385854406654801</v>
      </c>
      <c r="AJ8393">
        <v>96.268027011632597</v>
      </c>
      <c r="AK8393">
        <v>26.637390499502501</v>
      </c>
      <c r="AL8393">
        <v>90.985989812390699</v>
      </c>
      <c r="AM8393">
        <v>87.448585413440597</v>
      </c>
      <c r="AN8393">
        <v>1.00000004314674</v>
      </c>
    </row>
    <row r="8394" spans="1:40" x14ac:dyDescent="0.25">
      <c r="A8394" t="str">
        <f>"20190312154124693"</f>
        <v>20190312154124693</v>
      </c>
      <c r="B8394" t="str">
        <f>"1552376484684901"</f>
        <v>1552376484684901</v>
      </c>
      <c r="C8394" t="s">
        <v>40</v>
      </c>
      <c r="D8394">
        <v>4.4813850000000004</v>
      </c>
      <c r="E8394">
        <v>0.44173970000000001</v>
      </c>
      <c r="F8394" t="s">
        <v>69</v>
      </c>
      <c r="G8394">
        <v>-298.34660000000002</v>
      </c>
      <c r="H8394" s="1">
        <v>-4.3618429999999996E-6</v>
      </c>
      <c r="I8394">
        <v>-47.008749999999999</v>
      </c>
      <c r="J8394">
        <v>-302.11919999999998</v>
      </c>
      <c r="K8394">
        <v>1.1089249999999999</v>
      </c>
      <c r="L8394">
        <v>-21.016780000000001</v>
      </c>
      <c r="M8394">
        <v>3.3958120000000001E-2</v>
      </c>
      <c r="N8394">
        <v>0</v>
      </c>
      <c r="O8394">
        <v>-0.99941179999999996</v>
      </c>
      <c r="P8394">
        <v>-9.4982869999999994E-3</v>
      </c>
      <c r="Q8394">
        <v>-2.2116549999999999E-2</v>
      </c>
      <c r="R8394">
        <v>-0.9997104</v>
      </c>
      <c r="S8394">
        <v>0.43276979999999998</v>
      </c>
      <c r="T8394">
        <v>-0.12692300000000001</v>
      </c>
      <c r="U8394">
        <v>-3.0027469999999998</v>
      </c>
      <c r="V8394">
        <v>4.3445060000000001E-2</v>
      </c>
      <c r="W8394">
        <v>-1.7323189999999999E-2</v>
      </c>
      <c r="X8394">
        <v>0.99890559999999995</v>
      </c>
      <c r="Y8394">
        <v>-0.1088322</v>
      </c>
      <c r="Z8394">
        <v>4.185353E-2</v>
      </c>
      <c r="AA8394">
        <v>0.99317869999999997</v>
      </c>
      <c r="AB8394">
        <v>25</v>
      </c>
      <c r="AC8394">
        <v>3.77259999999995</v>
      </c>
      <c r="AD8394">
        <v>-1.1089293618429901</v>
      </c>
      <c r="AE8394">
        <v>-25.991969999999998</v>
      </c>
      <c r="AF8394">
        <v>-2.88263674641364</v>
      </c>
      <c r="AG8394">
        <v>-1.1089293618429901</v>
      </c>
      <c r="AH8394">
        <v>26.058636438112799</v>
      </c>
      <c r="AI8394">
        <v>92.422004381972201</v>
      </c>
      <c r="AJ8394">
        <v>96.312460807057207</v>
      </c>
      <c r="AK8394">
        <v>26.241033744025302</v>
      </c>
      <c r="AL8394">
        <v>90.992595341999106</v>
      </c>
      <c r="AM8394">
        <v>87.509623719218098</v>
      </c>
      <c r="AN8394">
        <v>0.999999981930769</v>
      </c>
    </row>
    <row r="8395" spans="1:40" x14ac:dyDescent="0.25">
      <c r="A8395" t="str">
        <f>"20190312154124715"</f>
        <v>20190312154124715</v>
      </c>
      <c r="B8395" t="str">
        <f>"1552376484704421"</f>
        <v>1552376484704421</v>
      </c>
      <c r="C8395" t="s">
        <v>40</v>
      </c>
      <c r="D8395">
        <v>4.3912959999999996</v>
      </c>
      <c r="E8395">
        <v>0.44173810000000002</v>
      </c>
      <c r="F8395" t="s">
        <v>69</v>
      </c>
      <c r="G8395">
        <v>-298.36559999999997</v>
      </c>
      <c r="H8395" s="1">
        <v>-4.2418869999999901E-6</v>
      </c>
      <c r="I8395">
        <v>-46.781590000000001</v>
      </c>
      <c r="J8395">
        <v>-302.11079999999998</v>
      </c>
      <c r="K8395">
        <v>1.1089580000000001</v>
      </c>
      <c r="L8395">
        <v>-21.25723</v>
      </c>
      <c r="M8395">
        <v>3.4110990000000001E-2</v>
      </c>
      <c r="N8395">
        <v>0</v>
      </c>
      <c r="O8395">
        <v>-0.99940609999999996</v>
      </c>
      <c r="P8395">
        <v>-8.6790909999999999E-3</v>
      </c>
      <c r="Q8395">
        <v>-2.206901E-2</v>
      </c>
      <c r="R8395">
        <v>-0.99971929999999998</v>
      </c>
      <c r="S8395">
        <v>0.43737789999999999</v>
      </c>
      <c r="T8395">
        <v>-0.12921460000000001</v>
      </c>
      <c r="U8395">
        <v>-3.002167</v>
      </c>
      <c r="V8395">
        <v>4.2779940000000002E-2</v>
      </c>
      <c r="W8395">
        <v>-1.7124049999999998E-2</v>
      </c>
      <c r="X8395">
        <v>0.99893779999999999</v>
      </c>
      <c r="Y8395">
        <v>-0.11019569999999999</v>
      </c>
      <c r="Z8395">
        <v>4.2607779999999998E-2</v>
      </c>
      <c r="AA8395">
        <v>0.9929962</v>
      </c>
      <c r="AB8395">
        <v>25</v>
      </c>
      <c r="AC8395">
        <v>3.7452000000000099</v>
      </c>
      <c r="AD8395">
        <v>-1.108962241887</v>
      </c>
      <c r="AE8395">
        <v>-25.524360000000001</v>
      </c>
      <c r="AF8395">
        <v>-2.8670508904231098</v>
      </c>
      <c r="AG8395">
        <v>-1.108962241887</v>
      </c>
      <c r="AH8395">
        <v>25.589972682912201</v>
      </c>
      <c r="AI8395">
        <v>92.4659967920567</v>
      </c>
      <c r="AJ8395">
        <v>96.392648957632304</v>
      </c>
      <c r="AK8395">
        <v>25.773949638625499</v>
      </c>
      <c r="AL8395">
        <v>90.981183708226098</v>
      </c>
      <c r="AM8395">
        <v>87.547782056970405</v>
      </c>
      <c r="AN8395">
        <v>1.00000004231182</v>
      </c>
    </row>
    <row r="8396" spans="1:40" x14ac:dyDescent="0.25">
      <c r="A8396" t="str">
        <f>"20190312154124737"</f>
        <v>20190312154124737</v>
      </c>
      <c r="B8396" t="str">
        <f>"1552376484724916"</f>
        <v>1552376484724916</v>
      </c>
      <c r="C8396" t="s">
        <v>40</v>
      </c>
      <c r="D8396">
        <v>4.4343019999999997</v>
      </c>
      <c r="E8396">
        <v>0.44162770000000001</v>
      </c>
      <c r="F8396" t="s">
        <v>69</v>
      </c>
      <c r="G8396">
        <v>-298.38810000000001</v>
      </c>
      <c r="H8396" s="1">
        <v>-4.1818390000000004E-6</v>
      </c>
      <c r="I8396">
        <v>-46.673560000000002</v>
      </c>
      <c r="J8396">
        <v>-302.10230000000001</v>
      </c>
      <c r="K8396">
        <v>1.1089929999999999</v>
      </c>
      <c r="L8396">
        <v>-21.50433</v>
      </c>
      <c r="M8396">
        <v>3.4280480000000002E-2</v>
      </c>
      <c r="N8396">
        <v>0</v>
      </c>
      <c r="O8396">
        <v>-0.99939940000000005</v>
      </c>
      <c r="P8396">
        <v>-6.8542359999999997E-3</v>
      </c>
      <c r="Q8396">
        <v>-2.2282819999999998E-2</v>
      </c>
      <c r="R8396">
        <v>-0.99972850000000002</v>
      </c>
      <c r="S8396">
        <v>0.43966670000000002</v>
      </c>
      <c r="T8396">
        <v>-0.1309729</v>
      </c>
      <c r="U8396">
        <v>-3.00177</v>
      </c>
      <c r="V8396">
        <v>4.1126259999999998E-2</v>
      </c>
      <c r="W8396">
        <v>-1.71597E-2</v>
      </c>
      <c r="X8396">
        <v>0.99900659999999997</v>
      </c>
      <c r="Y8396">
        <v>-0.11078349999999999</v>
      </c>
      <c r="Z8396">
        <v>4.3187959999999997E-2</v>
      </c>
      <c r="AA8396">
        <v>0.9929057</v>
      </c>
      <c r="AB8396">
        <v>25</v>
      </c>
      <c r="AC8396">
        <v>3.7141999999999999</v>
      </c>
      <c r="AD8396">
        <v>-1.1089971818390001</v>
      </c>
      <c r="AE8396">
        <v>-25.169229999999899</v>
      </c>
      <c r="AF8396">
        <v>-2.8437892189876099</v>
      </c>
      <c r="AG8396">
        <v>-1.1089971818390001</v>
      </c>
      <c r="AH8396">
        <v>25.233817122366101</v>
      </c>
      <c r="AI8396">
        <v>92.500654442071195</v>
      </c>
      <c r="AJ8396">
        <v>96.429963471606399</v>
      </c>
      <c r="AK8396">
        <v>25.417760295438502</v>
      </c>
      <c r="AL8396">
        <v>90.983226638844201</v>
      </c>
      <c r="AM8396">
        <v>87.642626844077895</v>
      </c>
      <c r="AN8396">
        <v>1.0000000057046099</v>
      </c>
    </row>
    <row r="8397" spans="1:40" x14ac:dyDescent="0.25">
      <c r="A8397" t="str">
        <f>"20190312154124761"</f>
        <v>20190312154124761</v>
      </c>
      <c r="B8397" t="str">
        <f>"1552376484754197"</f>
        <v>1552376484754197</v>
      </c>
      <c r="C8397" t="s">
        <v>40</v>
      </c>
      <c r="D8397">
        <v>4.4178179999999996</v>
      </c>
      <c r="E8397">
        <v>0.44173210000000002</v>
      </c>
      <c r="F8397" t="s">
        <v>69</v>
      </c>
      <c r="G8397">
        <v>-298.39400000000001</v>
      </c>
      <c r="H8397" s="1">
        <v>-4.0672370000000002E-6</v>
      </c>
      <c r="I8397">
        <v>-46.451189999999997</v>
      </c>
      <c r="J8397">
        <v>-302.09320000000002</v>
      </c>
      <c r="K8397">
        <v>1.10904</v>
      </c>
      <c r="L8397">
        <v>-21.76257</v>
      </c>
      <c r="M8397">
        <v>3.446627E-2</v>
      </c>
      <c r="N8397">
        <v>0</v>
      </c>
      <c r="O8397">
        <v>-0.99939160000000005</v>
      </c>
      <c r="P8397">
        <v>-5.6362959999999998E-3</v>
      </c>
      <c r="Q8397">
        <v>-2.2084139999999999E-2</v>
      </c>
      <c r="R8397">
        <v>-0.99974039999999997</v>
      </c>
      <c r="S8397">
        <v>0.44607540000000001</v>
      </c>
      <c r="T8397">
        <v>-0.13340379999999999</v>
      </c>
      <c r="U8397">
        <v>-3.0009160000000001</v>
      </c>
      <c r="V8397">
        <v>4.0095279999999997E-2</v>
      </c>
      <c r="W8397">
        <v>-1.674196E-2</v>
      </c>
      <c r="X8397">
        <v>0.99905560000000004</v>
      </c>
      <c r="Y8397">
        <v>-0.11270910000000001</v>
      </c>
      <c r="Z8397">
        <v>4.3988369999999999E-2</v>
      </c>
      <c r="AA8397">
        <v>0.99265380000000003</v>
      </c>
      <c r="AB8397">
        <v>25</v>
      </c>
      <c r="AC8397">
        <v>3.69920000000001</v>
      </c>
      <c r="AD8397">
        <v>-1.1090440672370001</v>
      </c>
      <c r="AE8397">
        <v>-24.68862</v>
      </c>
      <c r="AF8397">
        <v>-2.8404593646232001</v>
      </c>
      <c r="AG8397">
        <v>-1.1090440672370001</v>
      </c>
      <c r="AH8397">
        <v>24.752598543221701</v>
      </c>
      <c r="AI8397">
        <v>92.548726356851901</v>
      </c>
      <c r="AJ8397">
        <v>96.546284470142197</v>
      </c>
      <c r="AK8397">
        <v>24.939713767143601</v>
      </c>
      <c r="AL8397">
        <v>90.959288458052399</v>
      </c>
      <c r="AM8397">
        <v>87.701771433907197</v>
      </c>
      <c r="AN8397">
        <v>1.0000000082971301</v>
      </c>
    </row>
    <row r="8398" spans="1:40" x14ac:dyDescent="0.25">
      <c r="A8398" t="str">
        <f>"20190312154124783"</f>
        <v>20190312154124783</v>
      </c>
      <c r="B8398" t="str">
        <f>"1552376484774693"</f>
        <v>1552376484774693</v>
      </c>
      <c r="C8398" t="s">
        <v>40</v>
      </c>
      <c r="D8398">
        <v>4.4015950000000004</v>
      </c>
      <c r="E8398">
        <v>0.4640341</v>
      </c>
      <c r="F8398" t="s">
        <v>69</v>
      </c>
      <c r="G8398">
        <v>-298.36989999999997</v>
      </c>
      <c r="H8398" s="1">
        <v>-4.1727459999999999E-6</v>
      </c>
      <c r="I8398">
        <v>-46.647759999999998</v>
      </c>
      <c r="J8398">
        <v>-302.08420000000001</v>
      </c>
      <c r="K8398">
        <v>1.1090899999999999</v>
      </c>
      <c r="L8398">
        <v>-22.017150000000001</v>
      </c>
      <c r="M8398">
        <v>3.4652420000000003E-2</v>
      </c>
      <c r="N8398">
        <v>0</v>
      </c>
      <c r="O8398">
        <v>-0.99938369999999999</v>
      </c>
      <c r="P8398">
        <v>-4.9813890000000001E-3</v>
      </c>
      <c r="Q8398">
        <v>-2.144588E-2</v>
      </c>
      <c r="R8398">
        <v>-0.99975749999999997</v>
      </c>
      <c r="S8398">
        <v>0.44891360000000002</v>
      </c>
      <c r="T8398">
        <v>-0.13371559999999999</v>
      </c>
      <c r="U8398">
        <v>-3.0003660000000001</v>
      </c>
      <c r="V8398">
        <v>3.9627309999999999E-2</v>
      </c>
      <c r="W8398">
        <v>-1.5861690000000001E-2</v>
      </c>
      <c r="X8398">
        <v>0.99908859999999999</v>
      </c>
      <c r="Y8398">
        <v>-0.11346829999999999</v>
      </c>
      <c r="Z8398">
        <v>4.4093550000000002E-2</v>
      </c>
      <c r="AA8398">
        <v>0.99256270000000002</v>
      </c>
      <c r="AB8398">
        <v>25</v>
      </c>
      <c r="AC8398">
        <v>3.7143000000000299</v>
      </c>
      <c r="AD8398">
        <v>-1.109094172746</v>
      </c>
      <c r="AE8398">
        <v>-24.630610000000001</v>
      </c>
      <c r="AF8398">
        <v>-2.8528896017052401</v>
      </c>
      <c r="AG8398">
        <v>-1.109094172746</v>
      </c>
      <c r="AH8398">
        <v>24.695568659454</v>
      </c>
      <c r="AI8398">
        <v>92.554496903481393</v>
      </c>
      <c r="AJ8398">
        <v>96.589731259050595</v>
      </c>
      <c r="AK8398">
        <v>24.884536973336299</v>
      </c>
      <c r="AL8398">
        <v>90.908846029408906</v>
      </c>
      <c r="AM8398">
        <v>87.728641775961407</v>
      </c>
      <c r="AN8398">
        <v>0.99999997377872496</v>
      </c>
    </row>
    <row r="8399" spans="1:40" x14ac:dyDescent="0.25">
      <c r="A8399" t="str">
        <f>"20190312154124804"</f>
        <v>20190312154124804</v>
      </c>
      <c r="B8399" t="str">
        <f>"1552376484794213"</f>
        <v>1552376484794213</v>
      </c>
      <c r="C8399" t="s">
        <v>40</v>
      </c>
      <c r="D8399">
        <v>4.3261969999999996</v>
      </c>
      <c r="E8399">
        <v>0.46566449999999998</v>
      </c>
      <c r="F8399" t="s">
        <v>69</v>
      </c>
      <c r="G8399">
        <v>-299.69450000000001</v>
      </c>
      <c r="H8399" s="1">
        <v>-4.7118349999999901E-6</v>
      </c>
      <c r="I8399">
        <v>-48.282209999999999</v>
      </c>
      <c r="J8399">
        <v>-302.07549999999998</v>
      </c>
      <c r="K8399">
        <v>1.109135</v>
      </c>
      <c r="L8399">
        <v>-22.262509999999999</v>
      </c>
      <c r="M8399">
        <v>3.4832450000000001E-2</v>
      </c>
      <c r="N8399">
        <v>0</v>
      </c>
      <c r="O8399">
        <v>-0.99937609999999999</v>
      </c>
      <c r="P8399">
        <v>-4.5941630000000001E-3</v>
      </c>
      <c r="Q8399">
        <v>-2.127072E-2</v>
      </c>
      <c r="R8399">
        <v>-0.99976319999999996</v>
      </c>
      <c r="S8399">
        <v>0.27288820000000003</v>
      </c>
      <c r="T8399">
        <v>-0.12665390000000001</v>
      </c>
      <c r="U8399">
        <v>-2.9993590000000001</v>
      </c>
      <c r="V8399">
        <v>3.942039E-2</v>
      </c>
      <c r="W8399">
        <v>-1.543989E-2</v>
      </c>
      <c r="X8399">
        <v>0.99910339999999997</v>
      </c>
      <c r="Y8399">
        <v>-5.5783079999999999E-2</v>
      </c>
      <c r="Z8399">
        <v>4.2031560000000003E-2</v>
      </c>
      <c r="AA8399">
        <v>0.99755780000000005</v>
      </c>
      <c r="AB8399">
        <v>25</v>
      </c>
      <c r="AC8399">
        <v>2.38099999999997</v>
      </c>
      <c r="AD8399">
        <v>-1.1091397118349999</v>
      </c>
      <c r="AE8399">
        <v>-26.0197</v>
      </c>
      <c r="AF8399">
        <v>-1.4705598235319599</v>
      </c>
      <c r="AG8399">
        <v>-1.1091397118349999</v>
      </c>
      <c r="AH8399">
        <v>26.039924259431402</v>
      </c>
      <c r="AI8399">
        <v>92.435096311711206</v>
      </c>
      <c r="AJ8399">
        <v>93.232247146414693</v>
      </c>
      <c r="AK8399">
        <v>26.104987886070401</v>
      </c>
      <c r="AL8399">
        <v>90.884675702335301</v>
      </c>
      <c r="AM8399">
        <v>87.740523127954006</v>
      </c>
      <c r="AN8399">
        <v>0.99999998062126105</v>
      </c>
    </row>
    <row r="8400" spans="1:40" x14ac:dyDescent="0.25">
      <c r="A8400" t="str">
        <f>"20190312154124826"</f>
        <v>20190312154124826</v>
      </c>
      <c r="B8400" t="str">
        <f>"1552376484814709"</f>
        <v>1552376484814709</v>
      </c>
      <c r="C8400" t="s">
        <v>40</v>
      </c>
      <c r="D8400">
        <v>4.3633980000000001</v>
      </c>
      <c r="E8400">
        <v>0.4657771</v>
      </c>
      <c r="F8400" t="s">
        <v>69</v>
      </c>
      <c r="G8400">
        <v>-299.73869999999999</v>
      </c>
      <c r="H8400" s="1">
        <v>-5.129225E-6</v>
      </c>
      <c r="I8400">
        <v>-49.120570000000001</v>
      </c>
      <c r="J8400">
        <v>-302.06670000000003</v>
      </c>
      <c r="K8400">
        <v>1.109181</v>
      </c>
      <c r="L8400">
        <v>-22.510860000000001</v>
      </c>
      <c r="M8400">
        <v>3.5014169999999997E-2</v>
      </c>
      <c r="N8400">
        <v>0</v>
      </c>
      <c r="O8400">
        <v>-0.99936840000000005</v>
      </c>
      <c r="P8400">
        <v>-3.8580789999999999E-3</v>
      </c>
      <c r="Q8400">
        <v>-2.1821710000000001E-2</v>
      </c>
      <c r="R8400">
        <v>-0.9997547</v>
      </c>
      <c r="S8400">
        <v>0.26095580000000002</v>
      </c>
      <c r="T8400">
        <v>-0.12385880000000001</v>
      </c>
      <c r="U8400">
        <v>-2.9992679999999998</v>
      </c>
      <c r="V8400">
        <v>3.8866209999999998E-2</v>
      </c>
      <c r="W8400">
        <v>-1.5724160000000001E-2</v>
      </c>
      <c r="X8400">
        <v>0.99912069999999997</v>
      </c>
      <c r="Y8400">
        <v>-5.166954E-2</v>
      </c>
      <c r="Z8400">
        <v>4.1118200000000001E-2</v>
      </c>
      <c r="AA8400">
        <v>0.99781739999999997</v>
      </c>
      <c r="AB8400">
        <v>25</v>
      </c>
      <c r="AC8400">
        <v>2.32800000000003</v>
      </c>
      <c r="AD8400">
        <v>-1.109186129225</v>
      </c>
      <c r="AE8400">
        <v>-26.6097099999999</v>
      </c>
      <c r="AF8400">
        <v>-1.39243739336314</v>
      </c>
      <c r="AG8400">
        <v>-1.109186129225</v>
      </c>
      <c r="AH8400">
        <v>26.6289904108535</v>
      </c>
      <c r="AI8400">
        <v>92.381930781994996</v>
      </c>
      <c r="AJ8400">
        <v>92.993286247173202</v>
      </c>
      <c r="AK8400">
        <v>26.688430191096401</v>
      </c>
      <c r="AL8400">
        <v>90.900965132044604</v>
      </c>
      <c r="AM8400">
        <v>87.772293624876994</v>
      </c>
      <c r="AN8400">
        <v>1.00000000232797</v>
      </c>
    </row>
    <row r="8401" spans="1:40" x14ac:dyDescent="0.25">
      <c r="A8401" t="str">
        <f>"20190312154124852"</f>
        <v>20190312154124852</v>
      </c>
      <c r="B8401" t="str">
        <f>"1552376484844964"</f>
        <v>1552376484844964</v>
      </c>
      <c r="C8401" t="s">
        <v>40</v>
      </c>
      <c r="D8401">
        <v>4.2995299999999999</v>
      </c>
      <c r="E8401">
        <v>0.46592919999999999</v>
      </c>
      <c r="F8401" t="s">
        <v>69</v>
      </c>
      <c r="G8401">
        <v>-299.73860000000002</v>
      </c>
      <c r="H8401" s="1">
        <v>-5.1381629999999998E-6</v>
      </c>
      <c r="I8401">
        <v>-49.138080000000002</v>
      </c>
      <c r="J8401">
        <v>-302.05619999999999</v>
      </c>
      <c r="K8401">
        <v>1.1092439999999999</v>
      </c>
      <c r="L8401">
        <v>-22.80115</v>
      </c>
      <c r="M8401">
        <v>3.5226489999999999E-2</v>
      </c>
      <c r="N8401">
        <v>0</v>
      </c>
      <c r="O8401">
        <v>-0.99935890000000005</v>
      </c>
      <c r="P8401">
        <v>-3.5339310000000001E-3</v>
      </c>
      <c r="Q8401">
        <v>-2.2080260000000001E-2</v>
      </c>
      <c r="R8401">
        <v>-0.99975040000000004</v>
      </c>
      <c r="S8401">
        <v>0.26220700000000002</v>
      </c>
      <c r="T8401">
        <v>-0.1249276</v>
      </c>
      <c r="U8401">
        <v>-2.9990230000000002</v>
      </c>
      <c r="V8401">
        <v>3.8754450000000003E-2</v>
      </c>
      <c r="W8401">
        <v>-1.562937E-2</v>
      </c>
      <c r="X8401">
        <v>0.99912659999999998</v>
      </c>
      <c r="Y8401">
        <v>-5.1876190000000003E-2</v>
      </c>
      <c r="Z8401">
        <v>4.1474329999999997E-2</v>
      </c>
      <c r="AA8401">
        <v>0.99779189999999995</v>
      </c>
      <c r="AB8401">
        <v>25</v>
      </c>
      <c r="AC8401">
        <v>2.3175999999999699</v>
      </c>
      <c r="AD8401">
        <v>-1.1092491381630001</v>
      </c>
      <c r="AE8401">
        <v>-26.336929999999999</v>
      </c>
      <c r="AF8401">
        <v>-1.3859453368242001</v>
      </c>
      <c r="AG8401">
        <v>-1.1092491381630001</v>
      </c>
      <c r="AH8401">
        <v>26.3558327938043</v>
      </c>
      <c r="AI8401">
        <v>92.406688143173795</v>
      </c>
      <c r="AJ8401">
        <v>93.010177840161603</v>
      </c>
      <c r="AK8401">
        <v>26.4155484588556</v>
      </c>
      <c r="AL8401">
        <v>90.895533333685805</v>
      </c>
      <c r="AM8401">
        <v>87.778706084710805</v>
      </c>
      <c r="AN8401">
        <v>1.0000000737144701</v>
      </c>
    </row>
    <row r="8402" spans="1:40" x14ac:dyDescent="0.25">
      <c r="A8402" t="str">
        <f>"20190312154124876"</f>
        <v>20190312154124876</v>
      </c>
      <c r="B8402" t="str">
        <f>"1552376484864484"</f>
        <v>1552376484864484</v>
      </c>
      <c r="C8402" t="s">
        <v>40</v>
      </c>
      <c r="D8402">
        <v>4.2747789999999997</v>
      </c>
      <c r="E8402">
        <v>0.4662018</v>
      </c>
      <c r="F8402" t="s">
        <v>69</v>
      </c>
      <c r="G8402">
        <v>-299.69240000000002</v>
      </c>
      <c r="H8402" s="1">
        <v>-5.5042279999999997E-6</v>
      </c>
      <c r="I8402">
        <v>-49.83643</v>
      </c>
      <c r="J8402">
        <v>-302.04660000000001</v>
      </c>
      <c r="K8402">
        <v>1.1093189999999999</v>
      </c>
      <c r="L8402">
        <v>-23.068180000000002</v>
      </c>
      <c r="M8402">
        <v>3.5426569999999998E-2</v>
      </c>
      <c r="N8402">
        <v>0</v>
      </c>
      <c r="O8402">
        <v>-0.99934909999999999</v>
      </c>
      <c r="P8402">
        <v>-2.9092580000000001E-3</v>
      </c>
      <c r="Q8402">
        <v>-2.2405290000000001E-2</v>
      </c>
      <c r="R8402">
        <v>-0.99974510000000005</v>
      </c>
      <c r="S8402">
        <v>0.26220700000000002</v>
      </c>
      <c r="T8402">
        <v>-0.12304660000000001</v>
      </c>
      <c r="U8402">
        <v>-2.9989620000000001</v>
      </c>
      <c r="V8402">
        <v>3.8330259999999998E-2</v>
      </c>
      <c r="W8402">
        <v>-1.557091E-2</v>
      </c>
      <c r="X8402">
        <v>0.99914380000000003</v>
      </c>
      <c r="Y8402">
        <v>-5.1680139999999999E-2</v>
      </c>
      <c r="Z8402">
        <v>4.0851499999999999E-2</v>
      </c>
      <c r="AA8402">
        <v>0.99782780000000004</v>
      </c>
      <c r="AB8402">
        <v>25</v>
      </c>
      <c r="AC8402">
        <v>2.3541999999999899</v>
      </c>
      <c r="AD8402">
        <v>-1.109324504228</v>
      </c>
      <c r="AE8402">
        <v>-26.768249999999998</v>
      </c>
      <c r="AF8402">
        <v>-1.4020035531235</v>
      </c>
      <c r="AG8402">
        <v>-1.109324504228</v>
      </c>
      <c r="AH8402">
        <v>26.789194229822002</v>
      </c>
      <c r="AI8402">
        <v>92.367992267351596</v>
      </c>
      <c r="AJ8402">
        <v>92.995822419759705</v>
      </c>
      <c r="AK8402">
        <v>26.848782883061599</v>
      </c>
      <c r="AL8402">
        <v>90.892183482948397</v>
      </c>
      <c r="AM8402">
        <v>87.803033265458495</v>
      </c>
      <c r="AN8402">
        <v>0.99999999757416702</v>
      </c>
    </row>
    <row r="8403" spans="1:40" x14ac:dyDescent="0.25">
      <c r="A8403" t="str">
        <f>"20190312154124895"</f>
        <v>20190312154124895</v>
      </c>
      <c r="B8403" t="str">
        <f>"1552376484884981"</f>
        <v>1552376484884981</v>
      </c>
      <c r="C8403" t="s">
        <v>40</v>
      </c>
      <c r="D8403">
        <v>4.3119550000000002</v>
      </c>
      <c r="E8403">
        <v>0.46584900000000001</v>
      </c>
      <c r="F8403" t="s">
        <v>69</v>
      </c>
      <c r="G8403">
        <v>-299.66750000000002</v>
      </c>
      <c r="H8403" s="1">
        <v>-5.7415879999999999E-6</v>
      </c>
      <c r="I8403">
        <v>-50.309719999999999</v>
      </c>
      <c r="J8403">
        <v>-302.03820000000002</v>
      </c>
      <c r="K8403">
        <v>1.109399</v>
      </c>
      <c r="L8403">
        <v>-23.299959999999999</v>
      </c>
      <c r="M8403">
        <v>3.5611509999999999E-2</v>
      </c>
      <c r="N8403">
        <v>0</v>
      </c>
      <c r="O8403">
        <v>-0.9993398</v>
      </c>
      <c r="P8403">
        <v>-2.7842159999999999E-3</v>
      </c>
      <c r="Q8403">
        <v>-2.1972470000000001E-2</v>
      </c>
      <c r="R8403">
        <v>-0.99975499999999995</v>
      </c>
      <c r="S8403">
        <v>0.26190190000000002</v>
      </c>
      <c r="T8403">
        <v>-0.12211569999999999</v>
      </c>
      <c r="U8403">
        <v>-2.9987789999999999</v>
      </c>
      <c r="V8403">
        <v>3.8390680000000003E-2</v>
      </c>
      <c r="W8403">
        <v>-1.474661E-2</v>
      </c>
      <c r="X8403">
        <v>0.99915399999999999</v>
      </c>
      <c r="Y8403">
        <v>-5.1400830000000002E-2</v>
      </c>
      <c r="Z8403">
        <v>4.0545499999999998E-2</v>
      </c>
      <c r="AA8403">
        <v>0.99785469999999998</v>
      </c>
      <c r="AB8403">
        <v>25</v>
      </c>
      <c r="AC8403">
        <v>2.3706999999999998</v>
      </c>
      <c r="AD8403">
        <v>-1.109404741588</v>
      </c>
      <c r="AE8403">
        <v>-27.00976</v>
      </c>
      <c r="AF8403">
        <v>-1.4049607883451101</v>
      </c>
      <c r="AG8403">
        <v>-1.109404741588</v>
      </c>
      <c r="AH8403">
        <v>27.031797000661999</v>
      </c>
      <c r="AI8403">
        <v>92.346977554943905</v>
      </c>
      <c r="AJ8403">
        <v>92.975235293235997</v>
      </c>
      <c r="AK8403">
        <v>27.091008522800401</v>
      </c>
      <c r="AL8403">
        <v>90.844949131618307</v>
      </c>
      <c r="AM8403">
        <v>87.799596028924995</v>
      </c>
      <c r="AN8403">
        <v>1.00000001126667</v>
      </c>
    </row>
    <row r="8404" spans="1:40" x14ac:dyDescent="0.25">
      <c r="A8404" t="str">
        <f>"20190312154124917"</f>
        <v>20190312154124917</v>
      </c>
      <c r="B8404" t="str">
        <f>"1552376484904501"</f>
        <v>1552376484904501</v>
      </c>
      <c r="C8404" t="s">
        <v>40</v>
      </c>
      <c r="D8404">
        <v>4.2812299999999999</v>
      </c>
      <c r="E8404">
        <v>0.46602569999999999</v>
      </c>
      <c r="F8404" t="s">
        <v>69</v>
      </c>
      <c r="G8404">
        <v>-299.6343</v>
      </c>
      <c r="H8404" s="1">
        <v>-7.3872140000000001E-6</v>
      </c>
      <c r="I8404">
        <v>-50.501460000000002</v>
      </c>
      <c r="J8404">
        <v>-302.02960000000002</v>
      </c>
      <c r="K8404">
        <v>1.1094900000000001</v>
      </c>
      <c r="L8404">
        <v>-23.536290000000001</v>
      </c>
      <c r="M8404">
        <v>3.5817330000000001E-2</v>
      </c>
      <c r="N8404">
        <v>0</v>
      </c>
      <c r="O8404">
        <v>-0.99932909999999997</v>
      </c>
      <c r="P8404">
        <v>-2.5224119999999999E-3</v>
      </c>
      <c r="Q8404">
        <v>-2.128913E-2</v>
      </c>
      <c r="R8404">
        <v>-0.99977050000000001</v>
      </c>
      <c r="S8404">
        <v>0.26501459999999999</v>
      </c>
      <c r="T8404">
        <v>-0.12230439999999999</v>
      </c>
      <c r="U8404">
        <v>-2.9987789999999999</v>
      </c>
      <c r="V8404">
        <v>3.8335660000000001E-2</v>
      </c>
      <c r="W8404">
        <v>-1.3616339999999999E-2</v>
      </c>
      <c r="X8404">
        <v>0.99917219999999995</v>
      </c>
      <c r="Y8404">
        <v>-5.2222650000000002E-2</v>
      </c>
      <c r="Z8404">
        <v>4.0604899999999999E-2</v>
      </c>
      <c r="AA8404">
        <v>0.99780959999999996</v>
      </c>
      <c r="AB8404">
        <v>25</v>
      </c>
      <c r="AC8404">
        <v>2.39530000000001</v>
      </c>
      <c r="AD8404">
        <v>-1.1094973872139999</v>
      </c>
      <c r="AE8404">
        <v>-26.965170000000001</v>
      </c>
      <c r="AF8404">
        <v>-1.4255198938176099</v>
      </c>
      <c r="AG8404">
        <v>-1.1094973872139999</v>
      </c>
      <c r="AH8404">
        <v>26.988330229061599</v>
      </c>
      <c r="AI8404">
        <v>92.3508456488089</v>
      </c>
      <c r="AJ8404">
        <v>93.023545454226394</v>
      </c>
      <c r="AK8404">
        <v>27.048716420059201</v>
      </c>
      <c r="AL8404">
        <v>90.780182879943894</v>
      </c>
      <c r="AM8404">
        <v>87.802786451371901</v>
      </c>
      <c r="AN8404">
        <v>1.00000005639773</v>
      </c>
    </row>
    <row r="8405" spans="1:40" x14ac:dyDescent="0.25">
      <c r="A8405" t="str">
        <f>"20190312154124939"</f>
        <v>20190312154124939</v>
      </c>
      <c r="B8405" t="str">
        <f>"1552376484934759"</f>
        <v>1552376484934759</v>
      </c>
      <c r="C8405" t="s">
        <v>40</v>
      </c>
      <c r="D8405">
        <v>4.2531150000000002</v>
      </c>
      <c r="E8405">
        <v>0.46618209999999999</v>
      </c>
      <c r="F8405" t="s">
        <v>69</v>
      </c>
      <c r="G8405">
        <v>-299.59710000000001</v>
      </c>
      <c r="H8405" s="1">
        <v>-7.3319650000000004E-6</v>
      </c>
      <c r="I8405">
        <v>-51.108899999999998</v>
      </c>
      <c r="J8405">
        <v>-302.02030000000002</v>
      </c>
      <c r="K8405">
        <v>1.1095839999999999</v>
      </c>
      <c r="L8405">
        <v>-23.786709999999999</v>
      </c>
      <c r="M8405">
        <v>3.6049600000000001E-2</v>
      </c>
      <c r="N8405">
        <v>0</v>
      </c>
      <c r="O8405">
        <v>-0.99931680000000001</v>
      </c>
      <c r="P8405">
        <v>-2.3026840000000002E-3</v>
      </c>
      <c r="Q8405">
        <v>-2.1545709999999999E-2</v>
      </c>
      <c r="R8405">
        <v>-0.99976549999999997</v>
      </c>
      <c r="S8405">
        <v>0.26455689999999998</v>
      </c>
      <c r="T8405">
        <v>-0.1206682</v>
      </c>
      <c r="U8405">
        <v>-2.9987789999999999</v>
      </c>
      <c r="V8405">
        <v>3.8348840000000002E-2</v>
      </c>
      <c r="W8405">
        <v>-1.337086E-2</v>
      </c>
      <c r="X8405">
        <v>0.99917500000000004</v>
      </c>
      <c r="Y8405">
        <v>-5.1841169999999999E-2</v>
      </c>
      <c r="Z8405">
        <v>4.0062710000000001E-2</v>
      </c>
      <c r="AA8405">
        <v>0.99785140000000006</v>
      </c>
      <c r="AB8405">
        <v>25</v>
      </c>
      <c r="AC8405">
        <v>2.4232</v>
      </c>
      <c r="AD8405">
        <v>-1.1095913319649999</v>
      </c>
      <c r="AE8405">
        <v>-27.322189999999999</v>
      </c>
      <c r="AF8405">
        <v>-1.4342910278665799</v>
      </c>
      <c r="AG8405">
        <v>-1.1095913319649999</v>
      </c>
      <c r="AH8405">
        <v>27.3470367514857</v>
      </c>
      <c r="AI8405">
        <v>92.320285414658997</v>
      </c>
      <c r="AJ8405">
        <v>93.002284880934994</v>
      </c>
      <c r="AK8405">
        <v>27.4070940226011</v>
      </c>
      <c r="AL8405">
        <v>90.766116639297394</v>
      </c>
      <c r="AM8405">
        <v>87.802037932016006</v>
      </c>
      <c r="AN8405">
        <v>1.00000004702574</v>
      </c>
    </row>
    <row r="8406" spans="1:40" x14ac:dyDescent="0.25">
      <c r="A8406" t="str">
        <f>"20190312154124961"</f>
        <v>20190312154124961</v>
      </c>
      <c r="B8406" t="str">
        <f>"1552376484954277"</f>
        <v>1552376484954277</v>
      </c>
      <c r="C8406" t="s">
        <v>40</v>
      </c>
      <c r="D8406">
        <v>4.2889030000000004</v>
      </c>
      <c r="E8406">
        <v>0.46622930000000001</v>
      </c>
      <c r="F8406" t="s">
        <v>69</v>
      </c>
      <c r="G8406">
        <v>-299.59820000000002</v>
      </c>
      <c r="H8406" s="1">
        <v>-7.3092579999999997E-6</v>
      </c>
      <c r="I8406">
        <v>-51.307200000000002</v>
      </c>
      <c r="J8406">
        <v>-302.01080000000002</v>
      </c>
      <c r="K8406">
        <v>1.1096680000000001</v>
      </c>
      <c r="L8406">
        <v>-24.039919999999999</v>
      </c>
      <c r="M8406">
        <v>3.631156E-2</v>
      </c>
      <c r="N8406">
        <v>0</v>
      </c>
      <c r="O8406">
        <v>-0.99930280000000005</v>
      </c>
      <c r="P8406">
        <v>-2.4285999999999999E-3</v>
      </c>
      <c r="Q8406">
        <v>-2.2323119999999998E-2</v>
      </c>
      <c r="R8406">
        <v>-0.99974779999999996</v>
      </c>
      <c r="S8406">
        <v>0.26391599999999998</v>
      </c>
      <c r="T8406">
        <v>-0.1209046</v>
      </c>
      <c r="U8406">
        <v>-2.9987180000000002</v>
      </c>
      <c r="V8406">
        <v>3.8736739999999999E-2</v>
      </c>
      <c r="W8406">
        <v>-1.3634240000000001E-2</v>
      </c>
      <c r="X8406">
        <v>0.99915639999999994</v>
      </c>
      <c r="Y8406">
        <v>-5.1369100000000001E-2</v>
      </c>
      <c r="Z8406">
        <v>4.0142169999999998E-2</v>
      </c>
      <c r="AA8406">
        <v>0.99787269999999995</v>
      </c>
      <c r="AB8406">
        <v>25</v>
      </c>
      <c r="AC8406">
        <v>2.4125999999999901</v>
      </c>
      <c r="AD8406">
        <v>-1.1096753092580001</v>
      </c>
      <c r="AE8406">
        <v>-27.26728</v>
      </c>
      <c r="AF8406">
        <v>-1.4185229340165999</v>
      </c>
      <c r="AG8406">
        <v>-1.1096753092580001</v>
      </c>
      <c r="AH8406">
        <v>27.292055415960899</v>
      </c>
      <c r="AI8406">
        <v>92.325187492676903</v>
      </c>
      <c r="AJ8406">
        <v>92.9753093618408</v>
      </c>
      <c r="AK8406">
        <v>27.351414505180301</v>
      </c>
      <c r="AL8406">
        <v>90.781208637369005</v>
      </c>
      <c r="AM8406">
        <v>87.779786308912804</v>
      </c>
      <c r="AN8406">
        <v>0.99999996959358195</v>
      </c>
    </row>
    <row r="8407" spans="1:40" x14ac:dyDescent="0.25">
      <c r="A8407" t="str">
        <f>"20190312154124983"</f>
        <v>20190312154124983</v>
      </c>
      <c r="B8407" t="str">
        <f>"1552376484974773"</f>
        <v>1552376484974773</v>
      </c>
      <c r="C8407" t="s">
        <v>40</v>
      </c>
      <c r="D8407">
        <v>4.2699889999999998</v>
      </c>
      <c r="E8407">
        <v>0.46624989999999999</v>
      </c>
      <c r="F8407" t="s">
        <v>69</v>
      </c>
      <c r="G8407">
        <v>-299.6472</v>
      </c>
      <c r="H8407" s="1">
        <v>-7.3327539999999902E-6</v>
      </c>
      <c r="I8407">
        <v>-50.945480000000003</v>
      </c>
      <c r="J8407">
        <v>-302.00119999999998</v>
      </c>
      <c r="K8407">
        <v>1.109742</v>
      </c>
      <c r="L8407">
        <v>-24.29562</v>
      </c>
      <c r="M8407">
        <v>3.660269E-2</v>
      </c>
      <c r="N8407">
        <v>0</v>
      </c>
      <c r="O8407">
        <v>-0.99928779999999995</v>
      </c>
      <c r="P8407">
        <v>-2.4431399999999999E-3</v>
      </c>
      <c r="Q8407">
        <v>-2.334433E-2</v>
      </c>
      <c r="R8407">
        <v>-0.99972459999999996</v>
      </c>
      <c r="S8407">
        <v>0.26342769999999999</v>
      </c>
      <c r="T8407">
        <v>-0.1236733</v>
      </c>
      <c r="U8407">
        <v>-2.9986269999999999</v>
      </c>
      <c r="V8407">
        <v>3.904229E-2</v>
      </c>
      <c r="W8407">
        <v>-1.4150360000000001E-2</v>
      </c>
      <c r="X8407">
        <v>0.99913730000000001</v>
      </c>
      <c r="Y8407">
        <v>-5.091615E-2</v>
      </c>
      <c r="Z8407">
        <v>4.1061269999999997E-2</v>
      </c>
      <c r="AA8407">
        <v>0.99785849999999998</v>
      </c>
      <c r="AB8407">
        <v>25</v>
      </c>
      <c r="AC8407">
        <v>2.3539999999999801</v>
      </c>
      <c r="AD8407">
        <v>-1.109749332754</v>
      </c>
      <c r="AE8407">
        <v>-26.64986</v>
      </c>
      <c r="AF8407">
        <v>-1.37455974981716</v>
      </c>
      <c r="AG8407">
        <v>-1.109749332754</v>
      </c>
      <c r="AH8407">
        <v>26.672273897208299</v>
      </c>
      <c r="AI8407">
        <v>92.379368872671506</v>
      </c>
      <c r="AJ8407">
        <v>92.950136954090496</v>
      </c>
      <c r="AK8407">
        <v>26.730715533540501</v>
      </c>
      <c r="AL8407">
        <v>90.810783015393497</v>
      </c>
      <c r="AM8407">
        <v>87.762248572864607</v>
      </c>
      <c r="AN8407">
        <v>0.99999993867393</v>
      </c>
    </row>
    <row r="8408" spans="1:40" x14ac:dyDescent="0.25">
      <c r="A8408" t="str">
        <f>"20190312154125006"</f>
        <v>20190312154125006</v>
      </c>
      <c r="B8408" t="str">
        <f>"1552376484994292"</f>
        <v>1552376484994292</v>
      </c>
      <c r="C8408" t="s">
        <v>40</v>
      </c>
      <c r="D8408">
        <v>4.2814779999999999</v>
      </c>
      <c r="E8408">
        <v>0.4662113</v>
      </c>
      <c r="F8408" t="s">
        <v>69</v>
      </c>
      <c r="G8408">
        <v>-299.69779999999997</v>
      </c>
      <c r="H8408" s="1">
        <v>-7.354905E-6</v>
      </c>
      <c r="I8408">
        <v>-50.590539999999997</v>
      </c>
      <c r="J8408">
        <v>-301.99130000000002</v>
      </c>
      <c r="K8408">
        <v>1.109807</v>
      </c>
      <c r="L8408">
        <v>-24.556979999999999</v>
      </c>
      <c r="M8408">
        <v>3.6927290000000002E-2</v>
      </c>
      <c r="N8408">
        <v>0</v>
      </c>
      <c r="O8408">
        <v>-0.99927129999999997</v>
      </c>
      <c r="P8408">
        <v>-2.2326030000000001E-3</v>
      </c>
      <c r="Q8408">
        <v>-2.3789609999999999E-2</v>
      </c>
      <c r="R8408">
        <v>-0.99971489999999996</v>
      </c>
      <c r="S8408">
        <v>0.26266479999999998</v>
      </c>
      <c r="T8408">
        <v>-0.12654879999999999</v>
      </c>
      <c r="U8408">
        <v>-2.9985050000000002</v>
      </c>
      <c r="V8408">
        <v>3.9156580000000003E-2</v>
      </c>
      <c r="W8408">
        <v>-1.4094229999999999E-2</v>
      </c>
      <c r="X8408">
        <v>0.99913370000000001</v>
      </c>
      <c r="Y8408">
        <v>-5.0339670000000003E-2</v>
      </c>
      <c r="Z8408">
        <v>4.2016310000000001E-2</v>
      </c>
      <c r="AA8408">
        <v>0.99784799999999996</v>
      </c>
      <c r="AB8408">
        <v>25</v>
      </c>
      <c r="AC8408">
        <v>2.2935000000000501</v>
      </c>
      <c r="AD8408">
        <v>-1.1098143549049999</v>
      </c>
      <c r="AE8408">
        <v>-26.033560000000001</v>
      </c>
      <c r="AF8408">
        <v>-1.3281468499042699</v>
      </c>
      <c r="AG8408">
        <v>-1.1098143549049999</v>
      </c>
      <c r="AH8408">
        <v>26.053515810887902</v>
      </c>
      <c r="AI8408">
        <v>92.436022320343298</v>
      </c>
      <c r="AJ8408">
        <v>92.918277662254994</v>
      </c>
      <c r="AK8408">
        <v>26.110943071161699</v>
      </c>
      <c r="AL8408">
        <v>90.807566618459703</v>
      </c>
      <c r="AM8408">
        <v>87.755696527382298</v>
      </c>
      <c r="AN8408">
        <v>1.0000000177761299</v>
      </c>
    </row>
    <row r="8409" spans="1:40" x14ac:dyDescent="0.25">
      <c r="A8409" t="str">
        <f>"20190312154125028"</f>
        <v>20190312154125028</v>
      </c>
      <c r="B8409" t="str">
        <f>"1552376485014789"</f>
        <v>1552376485014789</v>
      </c>
      <c r="C8409" t="s">
        <v>40</v>
      </c>
      <c r="D8409">
        <v>4.2594079999999996</v>
      </c>
      <c r="E8409">
        <v>0.4661457</v>
      </c>
      <c r="F8409" t="s">
        <v>69</v>
      </c>
      <c r="G8409">
        <v>-299.68630000000002</v>
      </c>
      <c r="H8409" s="1">
        <v>-7.3406149999999999E-6</v>
      </c>
      <c r="I8409">
        <v>-50.753489999999999</v>
      </c>
      <c r="J8409">
        <v>-301.9819</v>
      </c>
      <c r="K8409">
        <v>1.109877</v>
      </c>
      <c r="L8409">
        <v>-24.801269999999999</v>
      </c>
      <c r="M8409">
        <v>3.7253429999999997E-2</v>
      </c>
      <c r="N8409">
        <v>0</v>
      </c>
      <c r="O8409">
        <v>-0.99925439999999999</v>
      </c>
      <c r="P8409">
        <v>-2.0271199999999999E-3</v>
      </c>
      <c r="Q8409">
        <v>-2.4314289999999999E-2</v>
      </c>
      <c r="R8409">
        <v>-0.99970230000000004</v>
      </c>
      <c r="S8409">
        <v>0.26382450000000002</v>
      </c>
      <c r="T8409">
        <v>-0.12702759999999999</v>
      </c>
      <c r="U8409">
        <v>-2.9984130000000002</v>
      </c>
      <c r="V8409">
        <v>3.927746E-2</v>
      </c>
      <c r="W8409">
        <v>-1.4151510000000001E-2</v>
      </c>
      <c r="X8409">
        <v>0.99912809999999996</v>
      </c>
      <c r="Y8409">
        <v>-5.0398560000000002E-2</v>
      </c>
      <c r="Z8409">
        <v>4.2174749999999997E-2</v>
      </c>
      <c r="AA8409">
        <v>0.99783829999999996</v>
      </c>
      <c r="AB8409">
        <v>25</v>
      </c>
      <c r="AC8409">
        <v>2.2955999999999701</v>
      </c>
      <c r="AD8409">
        <v>-1.1098843406150001</v>
      </c>
      <c r="AE8409">
        <v>-25.952220000000001</v>
      </c>
      <c r="AF8409">
        <v>-1.32474331939332</v>
      </c>
      <c r="AG8409">
        <v>-1.1098843406150001</v>
      </c>
      <c r="AH8409">
        <v>25.972592501959099</v>
      </c>
      <c r="AI8409">
        <v>92.443753555054897</v>
      </c>
      <c r="AJ8409">
        <v>92.919865718311002</v>
      </c>
      <c r="AK8409">
        <v>26.030027840642799</v>
      </c>
      <c r="AL8409">
        <v>90.810848884992694</v>
      </c>
      <c r="AM8409">
        <v>87.748762666747197</v>
      </c>
      <c r="AN8409">
        <v>0.99999997215447001</v>
      </c>
    </row>
    <row r="8410" spans="1:40" x14ac:dyDescent="0.25">
      <c r="A8410" t="str">
        <f>"20190312154125050"</f>
        <v>20190312154125050</v>
      </c>
      <c r="B8410" t="str">
        <f>"1552376485045045"</f>
        <v>1552376485045045</v>
      </c>
      <c r="C8410" t="s">
        <v>40</v>
      </c>
      <c r="D8410">
        <v>4.3297670000000004</v>
      </c>
      <c r="E8410">
        <v>0.46602060000000001</v>
      </c>
      <c r="F8410" t="s">
        <v>69</v>
      </c>
      <c r="G8410">
        <v>-299.70729999999998</v>
      </c>
      <c r="H8410" s="1">
        <v>-7.35577599999999E-6</v>
      </c>
      <c r="I8410">
        <v>-50.553130000000003</v>
      </c>
      <c r="J8410">
        <v>-301.97199999999998</v>
      </c>
      <c r="K8410">
        <v>1.10995</v>
      </c>
      <c r="L8410">
        <v>-25.057770000000001</v>
      </c>
      <c r="M8410">
        <v>3.761755E-2</v>
      </c>
      <c r="N8410">
        <v>0</v>
      </c>
      <c r="O8410">
        <v>-0.99923580000000001</v>
      </c>
      <c r="P8410">
        <v>-1.6278810000000001E-3</v>
      </c>
      <c r="Q8410">
        <v>-2.4954469999999999E-2</v>
      </c>
      <c r="R8410">
        <v>-0.99968789999999996</v>
      </c>
      <c r="S8410">
        <v>0.2648315</v>
      </c>
      <c r="T8410">
        <v>-0.1292239</v>
      </c>
      <c r="U8410">
        <v>-2.998291</v>
      </c>
      <c r="V8410">
        <v>3.924271E-2</v>
      </c>
      <c r="W8410">
        <v>-1.4294690000000001E-2</v>
      </c>
      <c r="X8410">
        <v>0.9991274</v>
      </c>
      <c r="Y8410">
        <v>-5.0367839999999997E-2</v>
      </c>
      <c r="Z8410">
        <v>4.2902879999999997E-2</v>
      </c>
      <c r="AA8410">
        <v>0.99780880000000005</v>
      </c>
      <c r="AB8410">
        <v>25</v>
      </c>
      <c r="AC8410">
        <v>2.2646999999999999</v>
      </c>
      <c r="AD8410">
        <v>-1.1099573557760001</v>
      </c>
      <c r="AE8410">
        <v>-25.495359999999899</v>
      </c>
      <c r="AF8410">
        <v>-1.3015223076589699</v>
      </c>
      <c r="AG8410">
        <v>-1.1099573557760001</v>
      </c>
      <c r="AH8410">
        <v>25.514529383648799</v>
      </c>
      <c r="AI8410">
        <v>92.487734445168996</v>
      </c>
      <c r="AJ8410">
        <v>92.920185326462899</v>
      </c>
      <c r="AK8410">
        <v>25.571804303139299</v>
      </c>
      <c r="AL8410">
        <v>90.8190533471371</v>
      </c>
      <c r="AM8410">
        <v>87.750750786170002</v>
      </c>
      <c r="AN8410">
        <v>0.999999944940548</v>
      </c>
    </row>
    <row r="8411" spans="1:40" x14ac:dyDescent="0.25">
      <c r="A8411" t="str">
        <f>"20190312154125074"</f>
        <v>20190312154125074</v>
      </c>
      <c r="B8411" t="str">
        <f>"1552376485064565"</f>
        <v>1552376485064565</v>
      </c>
      <c r="C8411" t="s">
        <v>40</v>
      </c>
      <c r="D8411">
        <v>4.3203579999999997</v>
      </c>
      <c r="E8411">
        <v>0.46579559999999998</v>
      </c>
      <c r="F8411" t="s">
        <v>69</v>
      </c>
      <c r="G8411">
        <v>-299.70519999999999</v>
      </c>
      <c r="H8411" s="1">
        <v>-7.3638270000000002E-6</v>
      </c>
      <c r="I8411">
        <v>-50.488250000000001</v>
      </c>
      <c r="J8411">
        <v>-301.9615</v>
      </c>
      <c r="K8411">
        <v>1.110026</v>
      </c>
      <c r="L8411">
        <v>-25.32452</v>
      </c>
      <c r="M8411">
        <v>3.8019329999999997E-2</v>
      </c>
      <c r="N8411">
        <v>0</v>
      </c>
      <c r="O8411">
        <v>-0.99921479999999996</v>
      </c>
      <c r="P8411">
        <v>-9.0955680000000001E-4</v>
      </c>
      <c r="Q8411">
        <v>-2.5582489999999999E-2</v>
      </c>
      <c r="R8411">
        <v>-0.99967229999999996</v>
      </c>
      <c r="S8411">
        <v>0.26724239999999999</v>
      </c>
      <c r="T8411">
        <v>-0.13085759999999999</v>
      </c>
      <c r="U8411">
        <v>-2.9981080000000002</v>
      </c>
      <c r="V8411">
        <v>3.8926839999999997E-2</v>
      </c>
      <c r="W8411">
        <v>-1.441247E-2</v>
      </c>
      <c r="X8411">
        <v>0.99913810000000003</v>
      </c>
      <c r="Y8411">
        <v>-5.0765419999999999E-2</v>
      </c>
      <c r="Z8411">
        <v>4.3443929999999999E-2</v>
      </c>
      <c r="AA8411">
        <v>0.99776520000000002</v>
      </c>
      <c r="AB8411">
        <v>25</v>
      </c>
      <c r="AC8411">
        <v>2.2563</v>
      </c>
      <c r="AD8411">
        <v>-1.1100333638269999</v>
      </c>
      <c r="AE8411">
        <v>-25.163729999999902</v>
      </c>
      <c r="AF8411">
        <v>-1.2954002507846301</v>
      </c>
      <c r="AG8411">
        <v>-1.1100333638269999</v>
      </c>
      <c r="AH8411">
        <v>25.182710430999901</v>
      </c>
      <c r="AI8411">
        <v>92.520589171534098</v>
      </c>
      <c r="AJ8411">
        <v>92.944703121381806</v>
      </c>
      <c r="AK8411">
        <v>25.240426710539801</v>
      </c>
      <c r="AL8411">
        <v>90.8258023103092</v>
      </c>
      <c r="AM8411">
        <v>87.768860802875295</v>
      </c>
      <c r="AN8411">
        <v>0.99999998051774797</v>
      </c>
    </row>
    <row r="8412" spans="1:40" x14ac:dyDescent="0.25">
      <c r="A8412" t="str">
        <f>"20190312154125096"</f>
        <v>20190312154125096</v>
      </c>
      <c r="B8412" t="str">
        <f>"1552376485085060"</f>
        <v>1552376485085060</v>
      </c>
      <c r="C8412" t="s">
        <v>40</v>
      </c>
      <c r="D8412">
        <v>4.2515049999999999</v>
      </c>
      <c r="E8412">
        <v>0.46569060000000001</v>
      </c>
      <c r="F8412" t="s">
        <v>69</v>
      </c>
      <c r="G8412">
        <v>-299.70440000000002</v>
      </c>
      <c r="H8412" s="1">
        <v>-5.7274179999999997E-6</v>
      </c>
      <c r="I8412">
        <v>-50.287509999999997</v>
      </c>
      <c r="J8412">
        <v>-301.95179999999999</v>
      </c>
      <c r="K8412">
        <v>1.110087</v>
      </c>
      <c r="L8412">
        <v>-25.568300000000001</v>
      </c>
      <c r="M8412">
        <v>3.8406660000000002E-2</v>
      </c>
      <c r="N8412">
        <v>0</v>
      </c>
      <c r="O8412">
        <v>-0.99919500000000006</v>
      </c>
      <c r="P8412">
        <v>-3.3523409999999999E-4</v>
      </c>
      <c r="Q8412">
        <v>-2.4913109999999999E-2</v>
      </c>
      <c r="R8412">
        <v>-0.99968970000000001</v>
      </c>
      <c r="S8412">
        <v>0.2710571</v>
      </c>
      <c r="T8412">
        <v>-0.13330500000000001</v>
      </c>
      <c r="U8412">
        <v>-2.997833</v>
      </c>
      <c r="V8412">
        <v>3.8740799999999999E-2</v>
      </c>
      <c r="W8412">
        <v>-1.3304180000000001E-2</v>
      </c>
      <c r="X8412">
        <v>0.99916070000000001</v>
      </c>
      <c r="Y8412">
        <v>-5.1642439999999998E-2</v>
      </c>
      <c r="Z8412">
        <v>4.4254410000000001E-2</v>
      </c>
      <c r="AA8412">
        <v>0.99768460000000003</v>
      </c>
      <c r="AB8412">
        <v>25</v>
      </c>
      <c r="AC8412">
        <v>2.2473999999999701</v>
      </c>
      <c r="AD8412">
        <v>-1.1100927274179999</v>
      </c>
      <c r="AE8412">
        <v>-24.71921</v>
      </c>
      <c r="AF8412">
        <v>-1.2937079060760499</v>
      </c>
      <c r="AG8412">
        <v>-1.1100927274179999</v>
      </c>
      <c r="AH8412">
        <v>24.737809782352201</v>
      </c>
      <c r="AI8412">
        <v>92.565884487331303</v>
      </c>
      <c r="AJ8412">
        <v>92.993657847138806</v>
      </c>
      <c r="AK8412">
        <v>24.796475935857298</v>
      </c>
      <c r="AL8412">
        <v>90.762295869961903</v>
      </c>
      <c r="AM8412">
        <v>87.779563387469196</v>
      </c>
      <c r="AN8412">
        <v>0.99999997760730097</v>
      </c>
    </row>
    <row r="8413" spans="1:40" x14ac:dyDescent="0.25">
      <c r="A8413" t="str">
        <f>"20190312154125121"</f>
        <v>20190312154125121</v>
      </c>
      <c r="B8413" t="str">
        <f>"1552376485114340"</f>
        <v>1552376485114340</v>
      </c>
      <c r="C8413" t="s">
        <v>40</v>
      </c>
      <c r="D8413">
        <v>4.264526</v>
      </c>
      <c r="E8413">
        <v>0.46563290000000002</v>
      </c>
      <c r="F8413" t="s">
        <v>69</v>
      </c>
      <c r="G8413">
        <v>-299.62630000000001</v>
      </c>
      <c r="H8413" s="1">
        <v>-7.3280820000000001E-6</v>
      </c>
      <c r="I8413">
        <v>-51.052370000000003</v>
      </c>
      <c r="J8413">
        <v>-301.94110000000001</v>
      </c>
      <c r="K8413">
        <v>1.1101399999999999</v>
      </c>
      <c r="L8413">
        <v>-25.833279999999998</v>
      </c>
      <c r="M8413">
        <v>3.8847109999999997E-2</v>
      </c>
      <c r="N8413">
        <v>0</v>
      </c>
      <c r="O8413">
        <v>-0.99917290000000003</v>
      </c>
      <c r="P8413">
        <v>8.8256350000000001E-4</v>
      </c>
      <c r="Q8413">
        <v>-2.4359539999999999E-2</v>
      </c>
      <c r="R8413">
        <v>-0.99970289999999995</v>
      </c>
      <c r="S8413">
        <v>0.27355960000000001</v>
      </c>
      <c r="T8413">
        <v>-0.1305839</v>
      </c>
      <c r="U8413">
        <v>-2.9977719999999999</v>
      </c>
      <c r="V8413">
        <v>3.7964770000000002E-2</v>
      </c>
      <c r="W8413">
        <v>-1.231981E-2</v>
      </c>
      <c r="X8413">
        <v>0.99920310000000001</v>
      </c>
      <c r="Y8413">
        <v>-5.2033469999999998E-2</v>
      </c>
      <c r="Z8413">
        <v>4.3350470000000002E-2</v>
      </c>
      <c r="AA8413">
        <v>0.99770400000000004</v>
      </c>
      <c r="AB8413">
        <v>25</v>
      </c>
      <c r="AC8413">
        <v>2.3147999999999902</v>
      </c>
      <c r="AD8413">
        <v>-1.110147328082</v>
      </c>
      <c r="AE8413">
        <v>-25.219090000000001</v>
      </c>
      <c r="AF8413">
        <v>-1.33073582734704</v>
      </c>
      <c r="AG8413">
        <v>-1.110147328082</v>
      </c>
      <c r="AH8413">
        <v>25.2414772530086</v>
      </c>
      <c r="AI8413">
        <v>92.514819165932494</v>
      </c>
      <c r="AJ8413">
        <v>93.017851288808203</v>
      </c>
      <c r="AK8413">
        <v>25.300898380223199</v>
      </c>
      <c r="AL8413">
        <v>90.7058909969941</v>
      </c>
      <c r="AM8413">
        <v>87.824090754585001</v>
      </c>
      <c r="AN8413">
        <v>0.99999996826459803</v>
      </c>
    </row>
    <row r="8414" spans="1:40" x14ac:dyDescent="0.25">
      <c r="A8414" t="str">
        <f>"20190312154125139"</f>
        <v>20190312154125139</v>
      </c>
      <c r="B8414" t="str">
        <f>"1552376485134837"</f>
        <v>1552376485134837</v>
      </c>
      <c r="C8414" t="s">
        <v>40</v>
      </c>
      <c r="D8414">
        <v>4.3582090000000004</v>
      </c>
      <c r="E8414">
        <v>0.46550930000000001</v>
      </c>
      <c r="F8414" t="s">
        <v>69</v>
      </c>
      <c r="G8414">
        <v>-299.5675</v>
      </c>
      <c r="H8414" s="1">
        <v>-7.3042749999999996E-6</v>
      </c>
      <c r="I8414">
        <v>-51.447470000000003</v>
      </c>
      <c r="J8414">
        <v>-301.93209999999999</v>
      </c>
      <c r="K8414">
        <v>1.110177</v>
      </c>
      <c r="L8414">
        <v>-26.054320000000001</v>
      </c>
      <c r="M8414">
        <v>3.9227280000000003E-2</v>
      </c>
      <c r="N8414">
        <v>0</v>
      </c>
      <c r="O8414">
        <v>-0.99915430000000005</v>
      </c>
      <c r="P8414">
        <v>2.16416E-3</v>
      </c>
      <c r="Q8414">
        <v>-2.3805940000000001E-2</v>
      </c>
      <c r="R8414">
        <v>-0.99971449999999995</v>
      </c>
      <c r="S8414">
        <v>0.27777099999999999</v>
      </c>
      <c r="T8414">
        <v>-0.12991349999999999</v>
      </c>
      <c r="U8414">
        <v>-2.9974669999999999</v>
      </c>
      <c r="V8414">
        <v>3.70645E-2</v>
      </c>
      <c r="W8414">
        <v>-1.1442529999999999E-2</v>
      </c>
      <c r="X8414">
        <v>0.99924740000000001</v>
      </c>
      <c r="Y8414">
        <v>-5.3053410000000002E-2</v>
      </c>
      <c r="Z8414">
        <v>4.3127819999999997E-2</v>
      </c>
      <c r="AA8414">
        <v>0.99765990000000004</v>
      </c>
      <c r="AB8414">
        <v>25</v>
      </c>
      <c r="AC8414">
        <v>2.36459999999999</v>
      </c>
      <c r="AD8414">
        <v>-1.1101843042749999</v>
      </c>
      <c r="AE8414">
        <v>-25.393149999999999</v>
      </c>
      <c r="AF8414">
        <v>-1.3640150559541999</v>
      </c>
      <c r="AG8414">
        <v>-1.1101843042749999</v>
      </c>
      <c r="AH8414">
        <v>25.41819886919</v>
      </c>
      <c r="AI8414">
        <v>92.497315297884896</v>
      </c>
      <c r="AJ8414">
        <v>93.071713184315001</v>
      </c>
      <c r="AK8414">
        <v>25.478969367225599</v>
      </c>
      <c r="AL8414">
        <v>90.655622958825404</v>
      </c>
      <c r="AM8414">
        <v>87.875734989713806</v>
      </c>
      <c r="AN8414">
        <v>1.0000000375299001</v>
      </c>
    </row>
    <row r="8415" spans="1:40" x14ac:dyDescent="0.25">
      <c r="A8415" t="str">
        <f>"20190312154125166"</f>
        <v>20190312154125166</v>
      </c>
      <c r="B8415" t="str">
        <f>"1552376485154357"</f>
        <v>1552376485154357</v>
      </c>
      <c r="C8415" t="s">
        <v>40</v>
      </c>
      <c r="D8415">
        <v>4.3417430000000001</v>
      </c>
      <c r="E8415">
        <v>0.4653949</v>
      </c>
      <c r="F8415" t="s">
        <v>69</v>
      </c>
      <c r="G8415">
        <v>-299.5104</v>
      </c>
      <c r="H8415" s="1">
        <v>-7.2925089999999997E-6</v>
      </c>
      <c r="I8415">
        <v>-51.730240000000002</v>
      </c>
      <c r="J8415">
        <v>-301.91989999999998</v>
      </c>
      <c r="K8415">
        <v>1.110215</v>
      </c>
      <c r="L8415">
        <v>-26.348510000000001</v>
      </c>
      <c r="M8415">
        <v>3.9746459999999997E-2</v>
      </c>
      <c r="N8415">
        <v>0</v>
      </c>
      <c r="O8415">
        <v>-0.99912880000000004</v>
      </c>
      <c r="P8415">
        <v>3.192547E-3</v>
      </c>
      <c r="Q8415">
        <v>-2.3473020000000001E-2</v>
      </c>
      <c r="R8415">
        <v>-0.99971940000000004</v>
      </c>
      <c r="S8415">
        <v>0.2826843</v>
      </c>
      <c r="T8415">
        <v>-0.1295924</v>
      </c>
      <c r="U8415">
        <v>-2.9971619999999999</v>
      </c>
      <c r="V8415">
        <v>3.6556100000000001E-2</v>
      </c>
      <c r="W8415">
        <v>-1.073109E-2</v>
      </c>
      <c r="X8415">
        <v>0.999274</v>
      </c>
      <c r="Y8415">
        <v>-5.4165369999999997E-2</v>
      </c>
      <c r="Z8415">
        <v>4.3019880000000003E-2</v>
      </c>
      <c r="AA8415">
        <v>0.99760479999999996</v>
      </c>
      <c r="AB8415">
        <v>25</v>
      </c>
      <c r="AC8415">
        <v>2.40949999999998</v>
      </c>
      <c r="AD8415">
        <v>-1.110222292509</v>
      </c>
      <c r="AE8415">
        <v>-25.381730000000001</v>
      </c>
      <c r="AF8415">
        <v>-1.3960329873032</v>
      </c>
      <c r="AG8415">
        <v>-1.110222292509</v>
      </c>
      <c r="AH8415">
        <v>25.409266161431599</v>
      </c>
      <c r="AI8415">
        <v>92.498104728832502</v>
      </c>
      <c r="AJ8415">
        <v>93.144776404682005</v>
      </c>
      <c r="AK8415">
        <v>25.471794371478801</v>
      </c>
      <c r="AL8415">
        <v>90.614857957972603</v>
      </c>
      <c r="AM8415">
        <v>87.904902318773907</v>
      </c>
      <c r="AN8415">
        <v>1.0000000159078899</v>
      </c>
    </row>
    <row r="8416" spans="1:40" x14ac:dyDescent="0.25">
      <c r="A8416" t="str">
        <f>"20190312154125187"</f>
        <v>20190312154125187</v>
      </c>
      <c r="B8416" t="str">
        <f>"1552376485174384"</f>
        <v>1552376485174384</v>
      </c>
      <c r="C8416" t="s">
        <v>40</v>
      </c>
      <c r="D8416">
        <v>4.2964699999999896</v>
      </c>
      <c r="E8416">
        <v>0.46538750000000001</v>
      </c>
      <c r="F8416" t="s">
        <v>69</v>
      </c>
      <c r="G8416">
        <v>-299.46460000000002</v>
      </c>
      <c r="H8416" s="1">
        <v>-7.2755679999999901E-6</v>
      </c>
      <c r="I8416">
        <v>-52.02366</v>
      </c>
      <c r="J8416">
        <v>-301.91030000000001</v>
      </c>
      <c r="K8416">
        <v>1.1102449999999999</v>
      </c>
      <c r="L8416">
        <v>-26.578279999999999</v>
      </c>
      <c r="M8416">
        <v>4.0157720000000001E-2</v>
      </c>
      <c r="N8416">
        <v>0</v>
      </c>
      <c r="O8416">
        <v>-0.99910929999999998</v>
      </c>
      <c r="P8416">
        <v>4.449476E-3</v>
      </c>
      <c r="Q8416">
        <v>-2.308369E-2</v>
      </c>
      <c r="R8416">
        <v>-0.9997239</v>
      </c>
      <c r="S8416">
        <v>0.28659059999999997</v>
      </c>
      <c r="T8416">
        <v>-0.1295887</v>
      </c>
      <c r="U8416">
        <v>-2.9968870000000001</v>
      </c>
      <c r="V8416">
        <v>3.571129E-2</v>
      </c>
      <c r="W8416">
        <v>-1.0081720000000001E-2</v>
      </c>
      <c r="X8416">
        <v>0.99931130000000001</v>
      </c>
      <c r="Y8416">
        <v>-5.5051460000000003E-2</v>
      </c>
      <c r="Z8416">
        <v>4.3017850000000003E-2</v>
      </c>
      <c r="AA8416">
        <v>0.99755640000000001</v>
      </c>
      <c r="AB8416">
        <v>25</v>
      </c>
      <c r="AC8416">
        <v>2.44569999999998</v>
      </c>
      <c r="AD8416">
        <v>-1.110252275568</v>
      </c>
      <c r="AE8416">
        <v>-25.44538</v>
      </c>
      <c r="AF8416">
        <v>-1.41913553663473</v>
      </c>
      <c r="AG8416">
        <v>-1.110252275568</v>
      </c>
      <c r="AH8416">
        <v>25.475017257417498</v>
      </c>
      <c r="AI8416">
        <v>92.491627445015098</v>
      </c>
      <c r="AJ8416">
        <v>93.188477673830306</v>
      </c>
      <c r="AK8416">
        <v>25.5386591279273</v>
      </c>
      <c r="AL8416">
        <v>90.577649788649595</v>
      </c>
      <c r="AM8416">
        <v>87.953354607045497</v>
      </c>
      <c r="AN8416">
        <v>1.0000000058096501</v>
      </c>
    </row>
    <row r="8417" spans="1:40" x14ac:dyDescent="0.25">
      <c r="A8417" t="str">
        <f>"20190312154125207"</f>
        <v>20190312154125207</v>
      </c>
      <c r="B8417" t="str">
        <f>"1552376485204640"</f>
        <v>1552376485204640</v>
      </c>
      <c r="C8417" t="s">
        <v>40</v>
      </c>
      <c r="D8417">
        <v>4.2614179999999999</v>
      </c>
      <c r="E8417">
        <v>0.43857269999999998</v>
      </c>
      <c r="F8417" t="s">
        <v>69</v>
      </c>
      <c r="G8417">
        <v>-299.41789999999997</v>
      </c>
      <c r="H8417" s="1">
        <v>-7.2637770000000002E-6</v>
      </c>
      <c r="I8417">
        <v>-52.274149999999999</v>
      </c>
      <c r="J8417">
        <v>-301.90039999999999</v>
      </c>
      <c r="K8417">
        <v>1.1102669999999999</v>
      </c>
      <c r="L8417">
        <v>-26.812740000000002</v>
      </c>
      <c r="M8417">
        <v>4.0579320000000002E-2</v>
      </c>
      <c r="N8417">
        <v>0</v>
      </c>
      <c r="O8417">
        <v>-0.999089</v>
      </c>
      <c r="P8417">
        <v>5.5243410000000003E-3</v>
      </c>
      <c r="Q8417">
        <v>-2.2160289999999999E-2</v>
      </c>
      <c r="R8417">
        <v>-0.99973920000000005</v>
      </c>
      <c r="S8417">
        <v>0.2906494</v>
      </c>
      <c r="T8417">
        <v>-0.12947330000000001</v>
      </c>
      <c r="U8417">
        <v>-2.9965519999999999</v>
      </c>
      <c r="V8417">
        <v>3.5058829999999999E-2</v>
      </c>
      <c r="W8417">
        <v>-8.9240389999999999E-3</v>
      </c>
      <c r="X8417">
        <v>0.99934540000000005</v>
      </c>
      <c r="Y8417">
        <v>-5.597949E-2</v>
      </c>
      <c r="Z8417">
        <v>4.2979389999999999E-2</v>
      </c>
      <c r="AA8417">
        <v>0.99750640000000002</v>
      </c>
      <c r="AB8417">
        <v>25</v>
      </c>
      <c r="AC8417">
        <v>2.4825000000000101</v>
      </c>
      <c r="AD8417">
        <v>-1.110274263777</v>
      </c>
      <c r="AE8417">
        <v>-25.461410000000001</v>
      </c>
      <c r="AF8417">
        <v>-1.4444372714945299</v>
      </c>
      <c r="AG8417">
        <v>-1.110274263777</v>
      </c>
      <c r="AH8417">
        <v>25.493162550579701</v>
      </c>
      <c r="AI8417">
        <v>92.489772754526001</v>
      </c>
      <c r="AJ8417">
        <v>93.242899618069899</v>
      </c>
      <c r="AK8417">
        <v>25.558177650262301</v>
      </c>
      <c r="AL8417">
        <v>90.511316560739601</v>
      </c>
      <c r="AM8417">
        <v>87.990785233120306</v>
      </c>
      <c r="AN8417">
        <v>0.99999999426710096</v>
      </c>
    </row>
    <row r="8418" spans="1:40" x14ac:dyDescent="0.25">
      <c r="A8418" t="str">
        <f>"20190312154125229"</f>
        <v>20190312154125229</v>
      </c>
      <c r="B8418" t="str">
        <f>"1552376485224161"</f>
        <v>1552376485224161</v>
      </c>
      <c r="C8418" t="s">
        <v>40</v>
      </c>
      <c r="D8418">
        <v>4.2522409999999997</v>
      </c>
      <c r="E8418">
        <v>0.42448659999999999</v>
      </c>
      <c r="F8418" t="s">
        <v>69</v>
      </c>
      <c r="G8418">
        <v>-296.3843</v>
      </c>
      <c r="H8418" s="1">
        <v>-7.5594269999999997E-6</v>
      </c>
      <c r="I8418">
        <v>-59.40278</v>
      </c>
      <c r="J8418">
        <v>-301.8904</v>
      </c>
      <c r="K8418">
        <v>1.110282</v>
      </c>
      <c r="L8418">
        <v>-27.047090000000001</v>
      </c>
      <c r="M8418">
        <v>4.1001170000000003E-2</v>
      </c>
      <c r="N8418">
        <v>0</v>
      </c>
      <c r="O8418">
        <v>-0.99906899999999998</v>
      </c>
      <c r="P8418">
        <v>6.2577040000000002E-3</v>
      </c>
      <c r="Q8418">
        <v>-2.1675719999999999E-2</v>
      </c>
      <c r="R8418">
        <v>-0.99974560000000001</v>
      </c>
      <c r="S8418">
        <v>0.50704959999999999</v>
      </c>
      <c r="T8418">
        <v>-0.1020582</v>
      </c>
      <c r="U8418">
        <v>-2.9957280000000002</v>
      </c>
      <c r="V8418">
        <v>3.4747790000000001E-2</v>
      </c>
      <c r="W8418">
        <v>-8.2340729999999997E-3</v>
      </c>
      <c r="X8418">
        <v>0.99936219999999998</v>
      </c>
      <c r="Y8418">
        <v>-0.12621940000000001</v>
      </c>
      <c r="Z8418">
        <v>3.3630260000000002E-2</v>
      </c>
      <c r="AA8418">
        <v>0.99143210000000004</v>
      </c>
      <c r="AB8418">
        <v>25</v>
      </c>
      <c r="AC8418">
        <v>5.5061</v>
      </c>
      <c r="AD8418">
        <v>-1.1102895594269999</v>
      </c>
      <c r="AE8418">
        <v>-32.355690000000003</v>
      </c>
      <c r="AF8418">
        <v>-4.16995645000745</v>
      </c>
      <c r="AG8418">
        <v>-1.1102895594269999</v>
      </c>
      <c r="AH8418">
        <v>32.517041927840999</v>
      </c>
      <c r="AI8418">
        <v>91.939723797958905</v>
      </c>
      <c r="AJ8418">
        <v>97.307674938291498</v>
      </c>
      <c r="AK8418">
        <v>32.8021233373344</v>
      </c>
      <c r="AL8418">
        <v>90.471782958655794</v>
      </c>
      <c r="AM8418">
        <v>88.008629908863796</v>
      </c>
      <c r="AN8418">
        <v>1.0000000078284399</v>
      </c>
    </row>
    <row r="8419" spans="1:40" x14ac:dyDescent="0.25">
      <c r="A8419" t="str">
        <f>"20190312154125252"</f>
        <v>20190312154125252</v>
      </c>
      <c r="B8419" t="str">
        <f>"1552376485244656"</f>
        <v>1552376485244656</v>
      </c>
      <c r="C8419" t="s">
        <v>40</v>
      </c>
      <c r="D8419">
        <v>4.156142</v>
      </c>
      <c r="E8419">
        <v>0.41790300000000002</v>
      </c>
      <c r="F8419" t="s">
        <v>69</v>
      </c>
      <c r="G8419">
        <v>-295.30090000000001</v>
      </c>
      <c r="H8419" s="1">
        <v>-8.0148410000000004E-6</v>
      </c>
      <c r="I8419">
        <v>-58.7870699999999</v>
      </c>
      <c r="J8419">
        <v>-301.87950000000001</v>
      </c>
      <c r="K8419">
        <v>1.110287</v>
      </c>
      <c r="L8419">
        <v>-27.299440000000001</v>
      </c>
      <c r="M8419">
        <v>4.1454169999999999E-2</v>
      </c>
      <c r="N8419">
        <v>0</v>
      </c>
      <c r="O8419">
        <v>-0.99904769999999998</v>
      </c>
      <c r="P8419">
        <v>7.7645479999999996E-3</v>
      </c>
      <c r="Q8419">
        <v>-2.164719E-2</v>
      </c>
      <c r="R8419">
        <v>-0.99973590000000001</v>
      </c>
      <c r="S8419">
        <v>0.62170409999999998</v>
      </c>
      <c r="T8419">
        <v>-0.1047535</v>
      </c>
      <c r="U8419">
        <v>-2.9945979999999999</v>
      </c>
      <c r="V8419">
        <v>3.3694769999999999E-2</v>
      </c>
      <c r="W8419">
        <v>-8.0130940000000001E-3</v>
      </c>
      <c r="X8419">
        <v>0.99939999999999996</v>
      </c>
      <c r="Y8419">
        <v>-0.16238720000000001</v>
      </c>
      <c r="Z8419">
        <v>3.4317029999999998E-2</v>
      </c>
      <c r="AA8419">
        <v>0.98613019999999996</v>
      </c>
      <c r="AB8419">
        <v>25</v>
      </c>
      <c r="AC8419">
        <v>6.57859999999999</v>
      </c>
      <c r="AD8419">
        <v>-1.110295014841</v>
      </c>
      <c r="AE8419">
        <v>-31.4876299999999</v>
      </c>
      <c r="AF8419">
        <v>-5.2612615068797499</v>
      </c>
      <c r="AG8419">
        <v>-1.110295014841</v>
      </c>
      <c r="AH8419">
        <v>31.6955333960159</v>
      </c>
      <c r="AI8419">
        <v>91.979191674985501</v>
      </c>
      <c r="AJ8419">
        <v>99.424806734366697</v>
      </c>
      <c r="AK8419">
        <v>32.148413101142602</v>
      </c>
      <c r="AL8419">
        <v>90.459121401773601</v>
      </c>
      <c r="AM8419">
        <v>88.0690042844207</v>
      </c>
      <c r="AN8419">
        <v>0.99999995360040095</v>
      </c>
    </row>
    <row r="8420" spans="1:40" x14ac:dyDescent="0.25">
      <c r="A8420" t="str">
        <f>"20190312154125274"</f>
        <v>20190312154125274</v>
      </c>
      <c r="B8420" t="str">
        <f>"1552376485264683"</f>
        <v>1552376485264683</v>
      </c>
      <c r="C8420" t="s">
        <v>40</v>
      </c>
      <c r="D8420">
        <v>4.1061629999999996</v>
      </c>
      <c r="E8420">
        <v>0.35497050000000002</v>
      </c>
      <c r="F8420" t="s">
        <v>69</v>
      </c>
      <c r="G8420">
        <v>-294.81490000000002</v>
      </c>
      <c r="H8420" s="1">
        <v>-8.2253609999999992E-6</v>
      </c>
      <c r="I8420">
        <v>-58.448560000000001</v>
      </c>
      <c r="J8420">
        <v>-301.86840000000001</v>
      </c>
      <c r="K8420">
        <v>1.1102989999999999</v>
      </c>
      <c r="L8420">
        <v>-27.553129999999999</v>
      </c>
      <c r="M8420">
        <v>4.1907069999999998E-2</v>
      </c>
      <c r="N8420">
        <v>0</v>
      </c>
      <c r="O8420">
        <v>-0.99902650000000004</v>
      </c>
      <c r="P8420">
        <v>9.5434890000000005E-3</v>
      </c>
      <c r="Q8420">
        <v>-2.0680199999999999E-2</v>
      </c>
      <c r="R8420">
        <v>-0.99974099999999999</v>
      </c>
      <c r="S8420">
        <v>0.67886349999999995</v>
      </c>
      <c r="T8420">
        <v>-0.1066921</v>
      </c>
      <c r="U8420">
        <v>-2.9932249999999998</v>
      </c>
      <c r="V8420">
        <v>3.2369839999999997E-2</v>
      </c>
      <c r="W8420">
        <v>-6.878749E-3</v>
      </c>
      <c r="X8420">
        <v>0.99945229999999996</v>
      </c>
      <c r="Y8420">
        <v>-0.17998120000000001</v>
      </c>
      <c r="Z8420">
        <v>3.4842350000000001E-2</v>
      </c>
      <c r="AA8420">
        <v>0.98305279999999995</v>
      </c>
      <c r="AB8420">
        <v>25</v>
      </c>
      <c r="AC8420">
        <v>7.0534999999999801</v>
      </c>
      <c r="AD8420">
        <v>-1.110307225361</v>
      </c>
      <c r="AE8420">
        <v>-30.895429999999902</v>
      </c>
      <c r="AF8420">
        <v>-5.7453899133570996</v>
      </c>
      <c r="AG8420">
        <v>-1.110307225361</v>
      </c>
      <c r="AH8420">
        <v>31.125695494517299</v>
      </c>
      <c r="AI8420">
        <v>92.009061569649404</v>
      </c>
      <c r="AJ8420">
        <v>100.458320630957</v>
      </c>
      <c r="AK8420">
        <v>31.6709836823647</v>
      </c>
      <c r="AL8420">
        <v>90.394126389558807</v>
      </c>
      <c r="AM8420">
        <v>88.144976863925393</v>
      </c>
      <c r="AN8420">
        <v>1.00000001185236</v>
      </c>
    </row>
    <row r="8421" spans="1:40" x14ac:dyDescent="0.25">
      <c r="A8421" t="str">
        <f>"20190312154125297"</f>
        <v>20190312154125297</v>
      </c>
      <c r="B8421" t="str">
        <f>"1552376485294940"</f>
        <v>1552376485294940</v>
      </c>
      <c r="C8421" t="s">
        <v>40</v>
      </c>
      <c r="D8421">
        <v>4.0947940000000003</v>
      </c>
      <c r="E8421">
        <v>0.33986699999999997</v>
      </c>
      <c r="F8421" t="s">
        <v>69</v>
      </c>
      <c r="G8421">
        <v>-290.30360000000002</v>
      </c>
      <c r="H8421" s="1">
        <v>-1.0042910000000001E-5</v>
      </c>
      <c r="I8421">
        <v>-56.673679999999997</v>
      </c>
      <c r="J8421">
        <v>-301.85750000000002</v>
      </c>
      <c r="K8421">
        <v>1.110312</v>
      </c>
      <c r="L8421">
        <v>-27.801639999999999</v>
      </c>
      <c r="M8421">
        <v>4.2347999999999997E-2</v>
      </c>
      <c r="N8421">
        <v>0</v>
      </c>
      <c r="O8421">
        <v>-0.99900599999999995</v>
      </c>
      <c r="P8421">
        <v>1.063095E-2</v>
      </c>
      <c r="Q8421">
        <v>-1.8918959999999999E-2</v>
      </c>
      <c r="R8421">
        <v>-0.99976500000000001</v>
      </c>
      <c r="S8421">
        <v>1.1862790000000001</v>
      </c>
      <c r="T8421">
        <v>-0.1138919</v>
      </c>
      <c r="U8421">
        <v>-2.9870909999999999</v>
      </c>
      <c r="V8421">
        <v>3.172415E-2</v>
      </c>
      <c r="W8421">
        <v>-4.9758889999999998E-3</v>
      </c>
      <c r="X8421">
        <v>0.99948429999999999</v>
      </c>
      <c r="Y8421">
        <v>-0.3291675</v>
      </c>
      <c r="Z8421">
        <v>3.5635920000000001E-2</v>
      </c>
      <c r="AA8421">
        <v>0.94359890000000002</v>
      </c>
      <c r="AB8421">
        <v>25</v>
      </c>
      <c r="AC8421">
        <v>11.553900000000001</v>
      </c>
      <c r="AD8421">
        <v>-1.11032204291</v>
      </c>
      <c r="AE8421">
        <v>-28.872039999999998</v>
      </c>
      <c r="AF8421">
        <v>-10.3076018394103</v>
      </c>
      <c r="AG8421">
        <v>-1.11032204291</v>
      </c>
      <c r="AH8421">
        <v>29.298118026324001</v>
      </c>
      <c r="AI8421">
        <v>92.047420830546102</v>
      </c>
      <c r="AJ8421">
        <v>109.382783758107</v>
      </c>
      <c r="AK8421">
        <v>31.078275219245999</v>
      </c>
      <c r="AL8421">
        <v>90.285098608799899</v>
      </c>
      <c r="AM8421">
        <v>88.182012598409798</v>
      </c>
      <c r="AN8421">
        <v>1.00000002355552</v>
      </c>
    </row>
    <row r="8422" spans="1:40" x14ac:dyDescent="0.25">
      <c r="A8422" t="str">
        <f>"20190312154125319"</f>
        <v>20190312154125319</v>
      </c>
      <c r="B8422" t="str">
        <f>"1552376485314459"</f>
        <v>1552376485314459</v>
      </c>
      <c r="C8422" t="s">
        <v>40</v>
      </c>
      <c r="D8422">
        <v>4.0878459999999999</v>
      </c>
      <c r="E8422">
        <v>0.33605030000000002</v>
      </c>
      <c r="F8422" t="s">
        <v>69</v>
      </c>
      <c r="G8422">
        <v>-287.20659999999998</v>
      </c>
      <c r="H8422" s="1">
        <v>-4.7753039999999999E-6</v>
      </c>
      <c r="I8422">
        <v>-61.187539999999998</v>
      </c>
      <c r="J8422">
        <v>-301.84690000000001</v>
      </c>
      <c r="K8422">
        <v>1.110331</v>
      </c>
      <c r="L8422">
        <v>-28.03922</v>
      </c>
      <c r="M8422">
        <v>4.2768929999999997E-2</v>
      </c>
      <c r="N8422">
        <v>0</v>
      </c>
      <c r="O8422">
        <v>-0.99898640000000005</v>
      </c>
      <c r="P8422">
        <v>1.1776399999999999E-2</v>
      </c>
      <c r="Q8422">
        <v>-1.7663370000000001E-2</v>
      </c>
      <c r="R8422">
        <v>-0.99977510000000003</v>
      </c>
      <c r="S8422">
        <v>1.3098749999999999</v>
      </c>
      <c r="T8422">
        <v>-9.9268789999999996E-2</v>
      </c>
      <c r="U8422">
        <v>-2.9848940000000002</v>
      </c>
      <c r="V8422">
        <v>3.100033E-2</v>
      </c>
      <c r="W8422">
        <v>-3.6047980000000002E-3</v>
      </c>
      <c r="X8422">
        <v>0.99951290000000004</v>
      </c>
      <c r="Y8422">
        <v>-0.36212070000000002</v>
      </c>
      <c r="Z8422">
        <v>3.065588E-2</v>
      </c>
      <c r="AA8422">
        <v>0.93162699999999998</v>
      </c>
      <c r="AB8422">
        <v>25</v>
      </c>
      <c r="AC8422">
        <v>14.6403</v>
      </c>
      <c r="AD8422">
        <v>-1.110335775304</v>
      </c>
      <c r="AE8422">
        <v>-33.148319999999998</v>
      </c>
      <c r="AF8422">
        <v>-13.1966538817572</v>
      </c>
      <c r="AG8422">
        <v>-1.110335775304</v>
      </c>
      <c r="AH8422">
        <v>33.712543751331303</v>
      </c>
      <c r="AI8422">
        <v>91.756674557993904</v>
      </c>
      <c r="AJ8422">
        <v>111.377680161287</v>
      </c>
      <c r="AK8422">
        <v>36.220437951441802</v>
      </c>
      <c r="AL8422">
        <v>90.206540153315004</v>
      </c>
      <c r="AM8422">
        <v>88.223515812611197</v>
      </c>
      <c r="AN8422">
        <v>1.0000000261475599</v>
      </c>
    </row>
    <row r="8423" spans="1:40" x14ac:dyDescent="0.25">
      <c r="A8423" t="str">
        <f>"20190312154125341"</f>
        <v>20190312154125341</v>
      </c>
      <c r="B8423" t="str">
        <f>"1552376485334955"</f>
        <v>1552376485334955</v>
      </c>
      <c r="C8423" t="s">
        <v>40</v>
      </c>
      <c r="D8423">
        <v>4.0194510000000001</v>
      </c>
      <c r="E8423">
        <v>0.33370689999999997</v>
      </c>
      <c r="F8423" t="s">
        <v>69</v>
      </c>
      <c r="G8423">
        <v>-285.67099999999999</v>
      </c>
      <c r="H8423" s="1">
        <v>-5.0562809999999999E-6</v>
      </c>
      <c r="I8423">
        <v>-63.95008</v>
      </c>
      <c r="J8423">
        <v>-301.83600000000001</v>
      </c>
      <c r="K8423">
        <v>1.1103419999999999</v>
      </c>
      <c r="L8423">
        <v>-28.28323</v>
      </c>
      <c r="M8423">
        <v>4.3200130000000003E-2</v>
      </c>
      <c r="N8423">
        <v>0</v>
      </c>
      <c r="O8423">
        <v>-0.99896640000000003</v>
      </c>
      <c r="P8423">
        <v>1.2927940000000001E-2</v>
      </c>
      <c r="Q8423">
        <v>-1.6595530000000001E-2</v>
      </c>
      <c r="R8423">
        <v>-0.99977899999999997</v>
      </c>
      <c r="S8423">
        <v>1.3437809999999999</v>
      </c>
      <c r="T8423">
        <v>-9.223866E-2</v>
      </c>
      <c r="U8423">
        <v>-2.983215</v>
      </c>
      <c r="V8423">
        <v>3.0280669999999999E-2</v>
      </c>
      <c r="W8423">
        <v>-2.434711E-3</v>
      </c>
      <c r="X8423">
        <v>0.9995385</v>
      </c>
      <c r="Y8423">
        <v>-0.3707626</v>
      </c>
      <c r="Z8423">
        <v>2.8387780000000001E-2</v>
      </c>
      <c r="AA8423">
        <v>0.9282937</v>
      </c>
      <c r="AB8423">
        <v>25</v>
      </c>
      <c r="AC8423">
        <v>16.164999999999999</v>
      </c>
      <c r="AD8423">
        <v>-1.1103470562809901</v>
      </c>
      <c r="AE8423">
        <v>-35.666849999999997</v>
      </c>
      <c r="AF8423">
        <v>-14.5972033201525</v>
      </c>
      <c r="AG8423">
        <v>-1.1103470562809901</v>
      </c>
      <c r="AH8423">
        <v>36.302758827136003</v>
      </c>
      <c r="AI8423">
        <v>91.625480236078999</v>
      </c>
      <c r="AJ8423">
        <v>111.90487465745301</v>
      </c>
      <c r="AK8423">
        <v>39.143345715670002</v>
      </c>
      <c r="AL8423">
        <v>90.139498798285501</v>
      </c>
      <c r="AM8423">
        <v>88.264775070497706</v>
      </c>
      <c r="AN8423">
        <v>1.00000002988777</v>
      </c>
    </row>
    <row r="8424" spans="1:40" x14ac:dyDescent="0.25">
      <c r="A8424" t="str">
        <f>"20190312154125363"</f>
        <v>20190312154125363</v>
      </c>
      <c r="B8424" t="str">
        <f>"1552376485354475"</f>
        <v>1552376485354475</v>
      </c>
      <c r="C8424" t="s">
        <v>40</v>
      </c>
      <c r="D8424">
        <v>4.0278700000000001</v>
      </c>
      <c r="E8424">
        <v>0.33204129999999998</v>
      </c>
      <c r="F8424" t="s">
        <v>69</v>
      </c>
      <c r="G8424">
        <v>-284.26740000000001</v>
      </c>
      <c r="H8424" s="1">
        <v>-5.2587350000000001E-6</v>
      </c>
      <c r="I8424">
        <v>-66.635359999999906</v>
      </c>
      <c r="J8424">
        <v>-301.82499999999999</v>
      </c>
      <c r="K8424">
        <v>1.1103529999999999</v>
      </c>
      <c r="L8424">
        <v>-28.525759999999998</v>
      </c>
      <c r="M8424">
        <v>4.3628409999999999E-2</v>
      </c>
      <c r="N8424">
        <v>0</v>
      </c>
      <c r="O8424">
        <v>-0.99894660000000002</v>
      </c>
      <c r="P8424">
        <v>1.382978E-2</v>
      </c>
      <c r="Q8424">
        <v>-1.648904E-2</v>
      </c>
      <c r="R8424">
        <v>-0.99976889999999996</v>
      </c>
      <c r="S8424">
        <v>1.3658140000000001</v>
      </c>
      <c r="T8424">
        <v>-8.6320519999999998E-2</v>
      </c>
      <c r="U8424">
        <v>-2.9815670000000001</v>
      </c>
      <c r="V8424">
        <v>2.980762E-2</v>
      </c>
      <c r="W8424">
        <v>-2.2409499999999998E-3</v>
      </c>
      <c r="X8424">
        <v>0.99955309999999997</v>
      </c>
      <c r="Y8424">
        <v>-0.37625750000000002</v>
      </c>
      <c r="Z8424">
        <v>2.6511259999999998E-2</v>
      </c>
      <c r="AA8424">
        <v>0.92613579999999995</v>
      </c>
      <c r="AB8424">
        <v>25</v>
      </c>
      <c r="AC8424">
        <v>17.557599999999901</v>
      </c>
      <c r="AD8424">
        <v>-1.110358258735</v>
      </c>
      <c r="AE8424">
        <v>-38.109599999999901</v>
      </c>
      <c r="AF8424">
        <v>-15.8669382639529</v>
      </c>
      <c r="AG8424">
        <v>-1.110358258735</v>
      </c>
      <c r="AH8424">
        <v>38.812214530601999</v>
      </c>
      <c r="AI8424">
        <v>91.516898747740697</v>
      </c>
      <c r="AJ8424">
        <v>112.235382592184</v>
      </c>
      <c r="AK8424">
        <v>41.944971356579899</v>
      </c>
      <c r="AL8424">
        <v>90.128397089971699</v>
      </c>
      <c r="AM8424">
        <v>88.2918918107477</v>
      </c>
      <c r="AN8424">
        <v>0.99999995789328699</v>
      </c>
    </row>
    <row r="8425" spans="1:40" x14ac:dyDescent="0.25">
      <c r="A8425" t="str">
        <f>"20190312154125384"</f>
        <v>20190312154125384</v>
      </c>
      <c r="B8425" t="str">
        <f>"1552376485374972"</f>
        <v>1552376485374972</v>
      </c>
      <c r="C8425" t="s">
        <v>40</v>
      </c>
      <c r="D8425">
        <v>4.011196</v>
      </c>
      <c r="E8425">
        <v>0.33079589999999998</v>
      </c>
      <c r="F8425" t="s">
        <v>69</v>
      </c>
      <c r="G8425">
        <v>-282.98660000000001</v>
      </c>
      <c r="H8425" s="1">
        <v>-5.4062249999999899E-6</v>
      </c>
      <c r="I8425">
        <v>-69.158349999999999</v>
      </c>
      <c r="J8425">
        <v>-301.81420000000003</v>
      </c>
      <c r="K8425">
        <v>1.110365</v>
      </c>
      <c r="L8425">
        <v>-28.761019999999998</v>
      </c>
      <c r="M8425">
        <v>4.4044239999999998E-2</v>
      </c>
      <c r="N8425">
        <v>0</v>
      </c>
      <c r="O8425">
        <v>-0.99892729999999996</v>
      </c>
      <c r="P8425">
        <v>1.4755860000000001E-2</v>
      </c>
      <c r="Q8425">
        <v>-1.6010030000000001E-2</v>
      </c>
      <c r="R8425">
        <v>-0.99976330000000002</v>
      </c>
      <c r="S8425">
        <v>1.3817140000000001</v>
      </c>
      <c r="T8425">
        <v>-8.143997E-2</v>
      </c>
      <c r="U8425">
        <v>-2.9802249999999999</v>
      </c>
      <c r="V8425">
        <v>2.9297900000000002E-2</v>
      </c>
      <c r="W8425">
        <v>-1.6890329999999999E-3</v>
      </c>
      <c r="X8425">
        <v>0.99956929999999999</v>
      </c>
      <c r="Y8425">
        <v>-0.38011820000000002</v>
      </c>
      <c r="Z8425">
        <v>2.4975830000000001E-2</v>
      </c>
      <c r="AA8425">
        <v>0.92460070000000005</v>
      </c>
      <c r="AB8425">
        <v>25</v>
      </c>
      <c r="AC8425">
        <v>18.8276</v>
      </c>
      <c r="AD8425">
        <v>-1.1103704062249999</v>
      </c>
      <c r="AE8425">
        <v>-40.397329999999997</v>
      </c>
      <c r="AF8425">
        <v>-17.019310631871399</v>
      </c>
      <c r="AG8425">
        <v>-1.1103704062249999</v>
      </c>
      <c r="AH8425">
        <v>41.161903593732703</v>
      </c>
      <c r="AI8425">
        <v>91.428019699767006</v>
      </c>
      <c r="AJ8425">
        <v>112.46374343552699</v>
      </c>
      <c r="AK8425">
        <v>44.555495332033999</v>
      </c>
      <c r="AL8425">
        <v>90.096774508116397</v>
      </c>
      <c r="AM8425">
        <v>88.321111348504402</v>
      </c>
      <c r="AN8425">
        <v>1.00000000263968</v>
      </c>
    </row>
    <row r="8426" spans="1:40" x14ac:dyDescent="0.25">
      <c r="A8426" t="str">
        <f>"20190312154125407"</f>
        <v>20190312154125407</v>
      </c>
      <c r="B8426" t="str">
        <f>"1552376485405228"</f>
        <v>1552376485405228</v>
      </c>
      <c r="C8426" t="s">
        <v>40</v>
      </c>
      <c r="D8426">
        <v>4.2079069999999996</v>
      </c>
      <c r="E8426">
        <v>0.32898300000000003</v>
      </c>
      <c r="F8426" t="s">
        <v>69</v>
      </c>
      <c r="G8426">
        <v>-282.3313</v>
      </c>
      <c r="H8426">
        <v>3.743163E-2</v>
      </c>
      <c r="I8426">
        <v>-70.383759999999995</v>
      </c>
      <c r="J8426">
        <v>-301.80290000000002</v>
      </c>
      <c r="K8426">
        <v>1.110371</v>
      </c>
      <c r="L8426">
        <v>-29.006440000000001</v>
      </c>
      <c r="M8426">
        <v>4.448204E-2</v>
      </c>
      <c r="N8426">
        <v>0</v>
      </c>
      <c r="O8426">
        <v>-0.99890679999999998</v>
      </c>
      <c r="P8426">
        <v>1.557945E-2</v>
      </c>
      <c r="Q8426">
        <v>-1.542403E-2</v>
      </c>
      <c r="R8426">
        <v>-0.99975999999999998</v>
      </c>
      <c r="S8426">
        <v>1.394379</v>
      </c>
      <c r="T8426">
        <v>-7.6789140000000006E-2</v>
      </c>
      <c r="U8426">
        <v>-2.9789119999999998</v>
      </c>
      <c r="V8426">
        <v>2.891262E-2</v>
      </c>
      <c r="W8426">
        <v>-1.0378290000000001E-3</v>
      </c>
      <c r="X8426">
        <v>0.99958139999999995</v>
      </c>
      <c r="Y8426">
        <v>-0.38311089999999998</v>
      </c>
      <c r="Z8426">
        <v>2.3523869999999999E-2</v>
      </c>
      <c r="AA8426">
        <v>0.92340279999999997</v>
      </c>
      <c r="AB8426">
        <v>24</v>
      </c>
      <c r="AC8426">
        <v>19.471599999999999</v>
      </c>
      <c r="AD8426">
        <v>-1.0729393700000001</v>
      </c>
      <c r="AE8426">
        <v>-41.377319999999997</v>
      </c>
      <c r="AF8426">
        <v>-17.6018953333204</v>
      </c>
      <c r="AG8426">
        <v>-1.0729393700000001</v>
      </c>
      <c r="AH8426">
        <v>42.179362247546898</v>
      </c>
      <c r="AI8426">
        <v>91.3447965819785</v>
      </c>
      <c r="AJ8426">
        <v>112.651295055223</v>
      </c>
      <c r="AK8426">
        <v>45.717354667857201</v>
      </c>
      <c r="AL8426">
        <v>90.059463232471302</v>
      </c>
      <c r="AM8426">
        <v>88.343197114360507</v>
      </c>
      <c r="AN8426">
        <v>0.99999999595512801</v>
      </c>
    </row>
    <row r="8427" spans="1:40" x14ac:dyDescent="0.25">
      <c r="A8427" t="str">
        <f>"20190312154125429"</f>
        <v>20190312154125429</v>
      </c>
      <c r="B8427" t="str">
        <f>"1552376485424748"</f>
        <v>1552376485424748</v>
      </c>
      <c r="C8427" t="s">
        <v>40</v>
      </c>
      <c r="D8427">
        <v>4.4044999999999996</v>
      </c>
      <c r="E8427">
        <v>0.32702569999999997</v>
      </c>
      <c r="F8427" t="s">
        <v>69</v>
      </c>
      <c r="G8427">
        <v>-281.46629999999999</v>
      </c>
      <c r="H8427">
        <v>7.9987069999999993E-2</v>
      </c>
      <c r="I8427">
        <v>-71.918790000000001</v>
      </c>
      <c r="J8427">
        <v>-301.79149999999998</v>
      </c>
      <c r="K8427">
        <v>1.110385</v>
      </c>
      <c r="L8427">
        <v>-29.251190000000001</v>
      </c>
      <c r="M8427">
        <v>4.4927719999999997E-2</v>
      </c>
      <c r="N8427">
        <v>0</v>
      </c>
      <c r="O8427">
        <v>-0.99888600000000005</v>
      </c>
      <c r="P8427">
        <v>1.6308929999999999E-2</v>
      </c>
      <c r="Q8427">
        <v>-1.51357E-2</v>
      </c>
      <c r="R8427">
        <v>-0.9997528</v>
      </c>
      <c r="S8427">
        <v>1.411133</v>
      </c>
      <c r="T8427">
        <v>-7.1496959999999998E-2</v>
      </c>
      <c r="U8427">
        <v>-2.9776310000000001</v>
      </c>
      <c r="V8427">
        <v>2.8629290000000002E-2</v>
      </c>
      <c r="W8427">
        <v>-6.9400050000000002E-4</v>
      </c>
      <c r="X8427">
        <v>0.99958990000000003</v>
      </c>
      <c r="Y8427">
        <v>-0.38711580000000001</v>
      </c>
      <c r="Z8427">
        <v>2.1867399999999999E-2</v>
      </c>
      <c r="AA8427">
        <v>0.92177180000000003</v>
      </c>
      <c r="AB8427">
        <v>24</v>
      </c>
      <c r="AC8427">
        <v>20.325199999999899</v>
      </c>
      <c r="AD8427">
        <v>-1.0303979299999999</v>
      </c>
      <c r="AE8427">
        <v>-42.6676</v>
      </c>
      <c r="AF8427">
        <v>-18.3787784991096</v>
      </c>
      <c r="AG8427">
        <v>-1.0303979299999999</v>
      </c>
      <c r="AH8427">
        <v>43.517081921266403</v>
      </c>
      <c r="AI8427">
        <v>91.249564713860096</v>
      </c>
      <c r="AJ8427">
        <v>112.896026209102</v>
      </c>
      <c r="AK8427">
        <v>47.250160189735801</v>
      </c>
      <c r="AL8427">
        <v>90.039763301110696</v>
      </c>
      <c r="AM8427">
        <v>88.359438025275594</v>
      </c>
      <c r="AN8427">
        <v>1.0000000430322999</v>
      </c>
    </row>
    <row r="8428" spans="1:40" x14ac:dyDescent="0.25">
      <c r="A8428" t="str">
        <f>"20190312154125452"</f>
        <v>20190312154125452</v>
      </c>
      <c r="B8428" t="str">
        <f>"1552376485444267"</f>
        <v>1552376485444267</v>
      </c>
      <c r="C8428" t="s">
        <v>40</v>
      </c>
      <c r="D8428">
        <v>4.166506</v>
      </c>
      <c r="E8428">
        <v>0.32585310000000001</v>
      </c>
      <c r="F8428" t="s">
        <v>69</v>
      </c>
      <c r="G8428">
        <v>-281.52379999999999</v>
      </c>
      <c r="H8428">
        <v>7.9987069999999993E-2</v>
      </c>
      <c r="I8428">
        <v>-71.465669999999903</v>
      </c>
      <c r="J8428">
        <v>-301.7801</v>
      </c>
      <c r="K8428">
        <v>1.1104039999999999</v>
      </c>
      <c r="L8428">
        <v>-29.4939</v>
      </c>
      <c r="M8428">
        <v>4.5385780000000001E-2</v>
      </c>
      <c r="N8428">
        <v>0</v>
      </c>
      <c r="O8428">
        <v>-0.9988648</v>
      </c>
      <c r="P8428">
        <v>1.693805E-2</v>
      </c>
      <c r="Q8428">
        <v>-1.4714420000000001E-2</v>
      </c>
      <c r="R8428">
        <v>-0.99974859999999999</v>
      </c>
      <c r="S8428">
        <v>1.4289860000000001</v>
      </c>
      <c r="T8428">
        <v>-7.264864E-2</v>
      </c>
      <c r="U8428">
        <v>-2.9763489999999999</v>
      </c>
      <c r="V8428">
        <v>2.845868E-2</v>
      </c>
      <c r="W8428">
        <v>-2.2553800000000001E-4</v>
      </c>
      <c r="X8428">
        <v>0.99959489999999995</v>
      </c>
      <c r="Y8428">
        <v>-0.3913432</v>
      </c>
      <c r="Z8428">
        <v>2.217951E-2</v>
      </c>
      <c r="AA8428">
        <v>0.9199775</v>
      </c>
      <c r="AB8428">
        <v>24</v>
      </c>
      <c r="AC8428">
        <v>20.2563</v>
      </c>
      <c r="AD8428">
        <v>-1.0304169299999999</v>
      </c>
      <c r="AE8428">
        <v>-41.9717699999999</v>
      </c>
      <c r="AF8428">
        <v>-18.321344954234</v>
      </c>
      <c r="AG8428">
        <v>-1.0304169299999999</v>
      </c>
      <c r="AH8428">
        <v>42.827018617969898</v>
      </c>
      <c r="AI8428">
        <v>91.267221172936701</v>
      </c>
      <c r="AJ8428">
        <v>113.16117841683401</v>
      </c>
      <c r="AK8428">
        <v>46.592778020693402</v>
      </c>
      <c r="AL8428">
        <v>90.012922376201502</v>
      </c>
      <c r="AM8428">
        <v>88.369217453746202</v>
      </c>
      <c r="AN8428">
        <v>0.99999995572036904</v>
      </c>
    </row>
    <row r="8429" spans="1:40" x14ac:dyDescent="0.25">
      <c r="A8429" t="str">
        <f>"20190312154125475"</f>
        <v>20190312154125475</v>
      </c>
      <c r="B8429" t="str">
        <f>"1552376485464764"</f>
        <v>1552376485464764</v>
      </c>
      <c r="C8429" t="s">
        <v>40</v>
      </c>
      <c r="D8429">
        <v>4.0987330000000002</v>
      </c>
      <c r="E8429">
        <v>0.32464189999999998</v>
      </c>
      <c r="F8429" t="s">
        <v>69</v>
      </c>
      <c r="G8429">
        <v>-280.24869999999999</v>
      </c>
      <c r="H8429">
        <v>7.9987249999999996E-2</v>
      </c>
      <c r="I8429">
        <v>-73.971710000000002</v>
      </c>
      <c r="J8429">
        <v>-301.76839999999999</v>
      </c>
      <c r="K8429">
        <v>1.1104320000000001</v>
      </c>
      <c r="L8429">
        <v>-29.738800000000001</v>
      </c>
      <c r="M8429">
        <v>4.587281E-2</v>
      </c>
      <c r="N8429">
        <v>0</v>
      </c>
      <c r="O8429">
        <v>-0.99884189999999995</v>
      </c>
      <c r="P8429">
        <v>1.753217E-2</v>
      </c>
      <c r="Q8429">
        <v>-1.3626340000000001E-2</v>
      </c>
      <c r="R8429">
        <v>-0.99975380000000003</v>
      </c>
      <c r="S8429">
        <v>1.4403379999999999</v>
      </c>
      <c r="T8429">
        <v>-6.8929669999999998E-2</v>
      </c>
      <c r="U8429">
        <v>-2.9753419999999999</v>
      </c>
      <c r="V8429">
        <v>2.8351959999999999E-2</v>
      </c>
      <c r="W8429">
        <v>9.0390839999999995E-4</v>
      </c>
      <c r="X8429">
        <v>0.99959759999999998</v>
      </c>
      <c r="Y8429">
        <v>-0.39387349999999999</v>
      </c>
      <c r="Z8429">
        <v>2.1021999999999999E-2</v>
      </c>
      <c r="AA8429">
        <v>0.91892419999999997</v>
      </c>
      <c r="AB8429">
        <v>24</v>
      </c>
      <c r="AC8429">
        <v>21.5197</v>
      </c>
      <c r="AD8429">
        <v>-1.03044474999999</v>
      </c>
      <c r="AE8429">
        <v>-44.232909999999997</v>
      </c>
      <c r="AF8429">
        <v>-19.459200376414501</v>
      </c>
      <c r="AG8429">
        <v>-1.03044474999999</v>
      </c>
      <c r="AH8429">
        <v>45.1537938623024</v>
      </c>
      <c r="AI8429">
        <v>91.200599707911493</v>
      </c>
      <c r="AJ8429">
        <v>113.313811212454</v>
      </c>
      <c r="AK8429">
        <v>49.179135777599399</v>
      </c>
      <c r="AL8429">
        <v>89.948209856887601</v>
      </c>
      <c r="AM8429">
        <v>88.375333987725497</v>
      </c>
      <c r="AN8429">
        <v>1.00000000630599</v>
      </c>
    </row>
    <row r="8430" spans="1:40" x14ac:dyDescent="0.25">
      <c r="A8430" t="str">
        <f>"20190312154125497"</f>
        <v>20190312154125497</v>
      </c>
      <c r="B8430" t="str">
        <f>"1552376485495020"</f>
        <v>1552376485495020</v>
      </c>
      <c r="C8430" t="s">
        <v>40</v>
      </c>
      <c r="D8430">
        <v>4.0911039999999996</v>
      </c>
      <c r="E8430">
        <v>0.32390530000000001</v>
      </c>
      <c r="F8430" t="s">
        <v>43</v>
      </c>
      <c r="G8430">
        <v>-275.34530000000001</v>
      </c>
      <c r="H8430">
        <v>-0.05</v>
      </c>
      <c r="I8430">
        <v>-83.891850000000005</v>
      </c>
      <c r="J8430">
        <v>-301.75659999999999</v>
      </c>
      <c r="K8430">
        <v>1.1104689999999999</v>
      </c>
      <c r="L8430">
        <v>-29.98273</v>
      </c>
      <c r="M8430">
        <v>4.639385E-2</v>
      </c>
      <c r="N8430">
        <v>0</v>
      </c>
      <c r="O8430">
        <v>-0.99881739999999997</v>
      </c>
      <c r="P8430">
        <v>1.77374E-2</v>
      </c>
      <c r="Q8430">
        <v>-1.349173E-2</v>
      </c>
      <c r="R8430">
        <v>-0.99975199999999997</v>
      </c>
      <c r="S8430">
        <v>1.4513240000000001</v>
      </c>
      <c r="T8430">
        <v>-6.3738230000000007E-2</v>
      </c>
      <c r="U8430">
        <v>-2.9744259999999998</v>
      </c>
      <c r="V8430">
        <v>2.8668099999999998E-2</v>
      </c>
      <c r="W8430">
        <v>1.074139E-3</v>
      </c>
      <c r="X8430">
        <v>0.99958840000000004</v>
      </c>
      <c r="Y8430">
        <v>-0.39626319999999998</v>
      </c>
      <c r="Z8430">
        <v>1.941878E-2</v>
      </c>
      <c r="AA8430">
        <v>0.91793159999999896</v>
      </c>
      <c r="AB8430">
        <v>24</v>
      </c>
      <c r="AC8430">
        <v>26.411299999999901</v>
      </c>
      <c r="AD8430">
        <v>-1.160469</v>
      </c>
      <c r="AE8430">
        <v>-53.909119999999902</v>
      </c>
      <c r="AF8430">
        <v>-23.872617948505901</v>
      </c>
      <c r="AG8430">
        <v>-1.160469</v>
      </c>
      <c r="AH8430">
        <v>55.055937295921503</v>
      </c>
      <c r="AI8430">
        <v>91.107865355497495</v>
      </c>
      <c r="AJ8430">
        <v>113.441873422599</v>
      </c>
      <c r="AK8430">
        <v>60.020036717314099</v>
      </c>
      <c r="AL8430">
        <v>89.938456356336403</v>
      </c>
      <c r="AM8430">
        <v>88.357212825741897</v>
      </c>
      <c r="AN8430">
        <v>0.99999999157338004</v>
      </c>
    </row>
    <row r="8431" spans="1:40" x14ac:dyDescent="0.25">
      <c r="A8431" t="str">
        <f>"20190312154125521"</f>
        <v>20190312154125521</v>
      </c>
      <c r="B8431" t="str">
        <f>"1552376485514539"</f>
        <v>1552376485514539</v>
      </c>
      <c r="C8431" t="s">
        <v>40</v>
      </c>
      <c r="D8431">
        <v>4.1033220000000004</v>
      </c>
      <c r="E8431">
        <v>0.32321749999999999</v>
      </c>
      <c r="F8431" t="s">
        <v>43</v>
      </c>
      <c r="G8431">
        <v>-274.57420000000002</v>
      </c>
      <c r="H8431">
        <v>-0.05</v>
      </c>
      <c r="I8431">
        <v>-85.42783</v>
      </c>
      <c r="J8431">
        <v>-301.74419999999998</v>
      </c>
      <c r="K8431">
        <v>1.1105149999999999</v>
      </c>
      <c r="L8431">
        <v>-30.237269999999999</v>
      </c>
      <c r="M8431">
        <v>4.6991480000000002E-2</v>
      </c>
      <c r="N8431">
        <v>0</v>
      </c>
      <c r="O8431">
        <v>-0.99878900000000004</v>
      </c>
      <c r="P8431">
        <v>1.8198789999999999E-2</v>
      </c>
      <c r="Q8431">
        <v>-1.2690079999999999E-2</v>
      </c>
      <c r="R8431">
        <v>-0.99975420000000004</v>
      </c>
      <c r="S8431">
        <v>1.4580379999999999</v>
      </c>
      <c r="T8431">
        <v>-6.2246559999999999E-2</v>
      </c>
      <c r="U8431">
        <v>-2.97403</v>
      </c>
      <c r="V8431">
        <v>2.880458E-2</v>
      </c>
      <c r="W8431">
        <v>1.9071730000000001E-3</v>
      </c>
      <c r="X8431">
        <v>0.99958320000000001</v>
      </c>
      <c r="Y8431">
        <v>-0.39743790000000001</v>
      </c>
      <c r="Z8431">
        <v>1.8952030000000002E-2</v>
      </c>
      <c r="AA8431">
        <v>0.91743330000000001</v>
      </c>
      <c r="AB8431">
        <v>24</v>
      </c>
      <c r="AC8431">
        <v>27.169999999999899</v>
      </c>
      <c r="AD8431">
        <v>-1.160515</v>
      </c>
      <c r="AE8431">
        <v>-55.190559999999998</v>
      </c>
      <c r="AF8431">
        <v>-24.537484309851301</v>
      </c>
      <c r="AG8431">
        <v>-1.160515</v>
      </c>
      <c r="AH8431">
        <v>56.386403715909701</v>
      </c>
      <c r="AI8431">
        <v>91.081157451897894</v>
      </c>
      <c r="AJ8431">
        <v>113.51707040286099</v>
      </c>
      <c r="AK8431">
        <v>61.504970980685599</v>
      </c>
      <c r="AL8431">
        <v>89.890726965403502</v>
      </c>
      <c r="AM8431">
        <v>88.349387755867397</v>
      </c>
      <c r="AN8431">
        <v>0.999999957430033</v>
      </c>
    </row>
    <row r="8432" spans="1:40" x14ac:dyDescent="0.25">
      <c r="A8432" t="str">
        <f>"20190312154125541"</f>
        <v>20190312154125541</v>
      </c>
      <c r="B8432" t="str">
        <f>"1552376485535036"</f>
        <v>1552376485535036</v>
      </c>
      <c r="C8432" t="s">
        <v>40</v>
      </c>
      <c r="D8432">
        <v>4.0986219999999998</v>
      </c>
      <c r="E8432">
        <v>0.3225597</v>
      </c>
      <c r="F8432" t="s">
        <v>43</v>
      </c>
      <c r="G8432">
        <v>-274.30930000000001</v>
      </c>
      <c r="H8432">
        <v>-0.05</v>
      </c>
      <c r="I8432">
        <v>-85.920330000000007</v>
      </c>
      <c r="J8432">
        <v>-301.73309999999998</v>
      </c>
      <c r="K8432">
        <v>1.1105529999999999</v>
      </c>
      <c r="L8432">
        <v>-30.459499999999998</v>
      </c>
      <c r="M8432">
        <v>4.7551240000000002E-2</v>
      </c>
      <c r="N8432">
        <v>0</v>
      </c>
      <c r="O8432">
        <v>-0.99876229999999999</v>
      </c>
      <c r="P8432">
        <v>1.8962139999999999E-2</v>
      </c>
      <c r="Q8432">
        <v>-1.1796340000000001E-2</v>
      </c>
      <c r="R8432">
        <v>-0.9997509</v>
      </c>
      <c r="S8432">
        <v>1.4649350000000001</v>
      </c>
      <c r="T8432">
        <v>-6.1967729999999999E-2</v>
      </c>
      <c r="U8432">
        <v>-2.9732970000000001</v>
      </c>
      <c r="V8432">
        <v>2.8601100000000001E-2</v>
      </c>
      <c r="W8432">
        <v>2.825082E-3</v>
      </c>
      <c r="X8432">
        <v>0.99958689999999994</v>
      </c>
      <c r="Y8432">
        <v>-0.39872740000000001</v>
      </c>
      <c r="Z8432">
        <v>1.8855920000000002E-2</v>
      </c>
      <c r="AA8432">
        <v>0.91687569999999996</v>
      </c>
      <c r="AB8432">
        <v>24</v>
      </c>
      <c r="AC8432">
        <v>27.4237999999999</v>
      </c>
      <c r="AD8432">
        <v>-1.1605529999999999</v>
      </c>
      <c r="AE8432">
        <v>-55.460830000000001</v>
      </c>
      <c r="AF8432">
        <v>-24.746552621109501</v>
      </c>
      <c r="AG8432">
        <v>-1.1605529999999999</v>
      </c>
      <c r="AH8432">
        <v>56.682309926617599</v>
      </c>
      <c r="AI8432">
        <v>91.074992048703507</v>
      </c>
      <c r="AJ8432">
        <v>113.58528027491001</v>
      </c>
      <c r="AK8432">
        <v>61.859704238803801</v>
      </c>
      <c r="AL8432">
        <v>89.838134507259895</v>
      </c>
      <c r="AM8432">
        <v>88.361047616669396</v>
      </c>
      <c r="AN8432">
        <v>0.99999998733056294</v>
      </c>
    </row>
    <row r="8433" spans="1:40" x14ac:dyDescent="0.25">
      <c r="A8433" t="str">
        <f>"20190312154125563"</f>
        <v>20190312154125563</v>
      </c>
      <c r="B8433" t="str">
        <f>"1552376485554556"</f>
        <v>1552376485554556</v>
      </c>
      <c r="C8433" t="s">
        <v>40</v>
      </c>
      <c r="D8433">
        <v>4.1882380000000001</v>
      </c>
      <c r="E8433">
        <v>0.3223222</v>
      </c>
      <c r="F8433" t="s">
        <v>43</v>
      </c>
      <c r="G8433">
        <v>-274.38279999999997</v>
      </c>
      <c r="H8433">
        <v>-0.05</v>
      </c>
      <c r="I8433">
        <v>-85.654880000000006</v>
      </c>
      <c r="J8433">
        <v>-301.72109999999998</v>
      </c>
      <c r="K8433">
        <v>1.1106</v>
      </c>
      <c r="L8433">
        <v>-30.69482</v>
      </c>
      <c r="M8433">
        <v>4.8195920000000003E-2</v>
      </c>
      <c r="N8433">
        <v>0</v>
      </c>
      <c r="O8433">
        <v>-0.99873109999999998</v>
      </c>
      <c r="P8433">
        <v>2.0201139999999999E-2</v>
      </c>
      <c r="Q8433">
        <v>-1.150791E-2</v>
      </c>
      <c r="R8433">
        <v>-0.99972989999999995</v>
      </c>
      <c r="S8433">
        <v>1.4727170000000001</v>
      </c>
      <c r="T8433">
        <v>-6.2491659999999997E-2</v>
      </c>
      <c r="U8433">
        <v>-2.9720759999999999</v>
      </c>
      <c r="V8433">
        <v>2.8007170000000001E-2</v>
      </c>
      <c r="W8433">
        <v>3.134548E-3</v>
      </c>
      <c r="X8433">
        <v>0.99960280000000001</v>
      </c>
      <c r="Y8433">
        <v>-0.40021250000000003</v>
      </c>
      <c r="Z8433">
        <v>1.9004509999999999E-2</v>
      </c>
      <c r="AA8433">
        <v>0.91622530000000002</v>
      </c>
      <c r="AB8433">
        <v>24</v>
      </c>
      <c r="AC8433">
        <v>27.3383</v>
      </c>
      <c r="AD8433">
        <v>-1.1606000000000001</v>
      </c>
      <c r="AE8433">
        <v>-54.960059999999999</v>
      </c>
      <c r="AF8433">
        <v>-24.648578713754699</v>
      </c>
      <c r="AG8433">
        <v>-1.1606000000000001</v>
      </c>
      <c r="AH8433">
        <v>56.1938241149102</v>
      </c>
      <c r="AI8433">
        <v>91.083561896194993</v>
      </c>
      <c r="AJ8433">
        <v>113.68393870277001</v>
      </c>
      <c r="AK8433">
        <v>61.373001341189301</v>
      </c>
      <c r="AL8433">
        <v>89.820403333445498</v>
      </c>
      <c r="AM8433">
        <v>88.395089602796702</v>
      </c>
      <c r="AN8433">
        <v>0.99999999236520598</v>
      </c>
    </row>
    <row r="8434" spans="1:40" x14ac:dyDescent="0.25">
      <c r="A8434" t="str">
        <f>"20190312154125585"</f>
        <v>20190312154125585</v>
      </c>
      <c r="B8434" t="str">
        <f>"1552376485575052"</f>
        <v>1552376485575052</v>
      </c>
      <c r="C8434" t="s">
        <v>40</v>
      </c>
      <c r="D8434">
        <v>4.2931850000000003</v>
      </c>
      <c r="E8434">
        <v>0.32228709999999899</v>
      </c>
      <c r="F8434" t="s">
        <v>43</v>
      </c>
      <c r="G8434">
        <v>-276.30799999999999</v>
      </c>
      <c r="H8434">
        <v>-0.05</v>
      </c>
      <c r="I8434">
        <v>-81.750699999999995</v>
      </c>
      <c r="J8434">
        <v>-301.7088</v>
      </c>
      <c r="K8434">
        <v>1.1106469999999999</v>
      </c>
      <c r="L8434">
        <v>-30.932860000000002</v>
      </c>
      <c r="M8434">
        <v>4.8915300000000002E-2</v>
      </c>
      <c r="N8434">
        <v>0</v>
      </c>
      <c r="O8434">
        <v>-0.99869569999999996</v>
      </c>
      <c r="P8434">
        <v>2.121369E-2</v>
      </c>
      <c r="Q8434">
        <v>-1.1210319999999999E-2</v>
      </c>
      <c r="R8434">
        <v>-0.99971209999999999</v>
      </c>
      <c r="S8434">
        <v>1.478394</v>
      </c>
      <c r="T8434">
        <v>-6.7517399999999894E-2</v>
      </c>
      <c r="U8434">
        <v>-2.970154</v>
      </c>
      <c r="V8434">
        <v>2.7714300000000001E-2</v>
      </c>
      <c r="W8434">
        <v>3.4511659999999999E-3</v>
      </c>
      <c r="X8434">
        <v>0.99960990000000005</v>
      </c>
      <c r="Y8434">
        <v>-0.40117900000000001</v>
      </c>
      <c r="Z8434">
        <v>2.053023E-2</v>
      </c>
      <c r="AA8434">
        <v>0.91576959999999996</v>
      </c>
      <c r="AB8434">
        <v>24</v>
      </c>
      <c r="AC8434">
        <v>25.4008</v>
      </c>
      <c r="AD8434">
        <v>-1.160647</v>
      </c>
      <c r="AE8434">
        <v>-50.817839999999997</v>
      </c>
      <c r="AF8434">
        <v>-22.874803719169702</v>
      </c>
      <c r="AG8434">
        <v>-1.160647</v>
      </c>
      <c r="AH8434">
        <v>51.977921664380801</v>
      </c>
      <c r="AI8434">
        <v>91.170846856140699</v>
      </c>
      <c r="AJ8434">
        <v>113.753666981686</v>
      </c>
      <c r="AK8434">
        <v>56.800599355972103</v>
      </c>
      <c r="AL8434">
        <v>89.802262355849294</v>
      </c>
      <c r="AM8434">
        <v>88.411874729207796</v>
      </c>
      <c r="AN8434">
        <v>0.99999997257462903</v>
      </c>
    </row>
    <row r="8435" spans="1:40" x14ac:dyDescent="0.25">
      <c r="A8435" t="str">
        <f>"20190312154125609"</f>
        <v>20190312154125609</v>
      </c>
      <c r="B8435" t="str">
        <f>"1552376485604332"</f>
        <v>1552376485604332</v>
      </c>
      <c r="C8435" t="s">
        <v>40</v>
      </c>
      <c r="D8435">
        <v>4.3682420000000004</v>
      </c>
      <c r="E8435">
        <v>0.3206521</v>
      </c>
      <c r="F8435" t="s">
        <v>69</v>
      </c>
      <c r="G8435">
        <v>-280.21300000000002</v>
      </c>
      <c r="H8435">
        <v>7.9987260000000004E-2</v>
      </c>
      <c r="I8435">
        <v>-74.000720000000001</v>
      </c>
      <c r="J8435">
        <v>-301.69600000000003</v>
      </c>
      <c r="K8435">
        <v>1.1107089999999999</v>
      </c>
      <c r="L8435">
        <v>-31.17596</v>
      </c>
      <c r="M8435">
        <v>4.9731409999999997E-2</v>
      </c>
      <c r="N8435">
        <v>0</v>
      </c>
      <c r="O8435">
        <v>-0.99865530000000002</v>
      </c>
      <c r="P8435">
        <v>2.2882759999999999E-2</v>
      </c>
      <c r="Q8435">
        <v>-1.124145E-2</v>
      </c>
      <c r="R8435">
        <v>-0.99967530000000004</v>
      </c>
      <c r="S8435">
        <v>1.481689</v>
      </c>
      <c r="T8435">
        <v>-7.1042419999999995E-2</v>
      </c>
      <c r="U8435">
        <v>-2.9686279999999998</v>
      </c>
      <c r="V8435">
        <v>2.6861889999999999E-2</v>
      </c>
      <c r="W8435">
        <v>3.4359070000000002E-3</v>
      </c>
      <c r="X8435">
        <v>0.99963329999999995</v>
      </c>
      <c r="Y8435">
        <v>-0.40142250000000002</v>
      </c>
      <c r="Z8435">
        <v>2.1603879999999999E-2</v>
      </c>
      <c r="AA8435">
        <v>0.91563810000000001</v>
      </c>
      <c r="AB8435">
        <v>24</v>
      </c>
      <c r="AC8435">
        <v>21.483000000000001</v>
      </c>
      <c r="AD8435">
        <v>-1.0307217399999999</v>
      </c>
      <c r="AE8435">
        <v>-42.824759999999998</v>
      </c>
      <c r="AF8435">
        <v>-19.317507337581802</v>
      </c>
      <c r="AG8435">
        <v>-1.0307217399999999</v>
      </c>
      <c r="AH8435">
        <v>43.819972248656697</v>
      </c>
      <c r="AI8435">
        <v>91.232994890941001</v>
      </c>
      <c r="AJ8435">
        <v>113.789706416417</v>
      </c>
      <c r="AK8435">
        <v>47.9000881514417</v>
      </c>
      <c r="AL8435">
        <v>89.803136652703103</v>
      </c>
      <c r="AM8435">
        <v>88.460732913638907</v>
      </c>
      <c r="AN8435">
        <v>1.0000000505300799</v>
      </c>
    </row>
    <row r="8436" spans="1:40" x14ac:dyDescent="0.25">
      <c r="A8436" t="str">
        <f>"20190312154125631"</f>
        <v>20190312154125631</v>
      </c>
      <c r="B8436" t="str">
        <f>"1552376485624828"</f>
        <v>1552376485624828</v>
      </c>
      <c r="C8436" t="s">
        <v>40</v>
      </c>
      <c r="D8436">
        <v>4.2533560000000001</v>
      </c>
      <c r="E8436">
        <v>0.35129199999999999</v>
      </c>
      <c r="F8436" t="s">
        <v>69</v>
      </c>
      <c r="G8436">
        <v>-294.6046</v>
      </c>
      <c r="H8436" s="1">
        <v>-4.2398730000000002E-6</v>
      </c>
      <c r="I8436">
        <v>-45.157600000000002</v>
      </c>
      <c r="J8436">
        <v>-301.6832</v>
      </c>
      <c r="K8436">
        <v>1.110779</v>
      </c>
      <c r="L8436">
        <v>-31.413419999999999</v>
      </c>
      <c r="M8436">
        <v>5.0619219999999999E-2</v>
      </c>
      <c r="N8436">
        <v>0</v>
      </c>
      <c r="O8436">
        <v>-0.99861080000000002</v>
      </c>
      <c r="P8436">
        <v>2.4904760000000001E-2</v>
      </c>
      <c r="Q8436">
        <v>-1.1419439999999999E-2</v>
      </c>
      <c r="R8436">
        <v>-0.99962499999999999</v>
      </c>
      <c r="S8436">
        <v>1.503296</v>
      </c>
      <c r="T8436">
        <v>-0.2354571</v>
      </c>
      <c r="U8436">
        <v>-2.9639280000000001</v>
      </c>
      <c r="V8436">
        <v>2.5728310000000001E-2</v>
      </c>
      <c r="W8436">
        <v>3.271876E-3</v>
      </c>
      <c r="X8436">
        <v>0.99966359999999999</v>
      </c>
      <c r="Y8436">
        <v>-0.40546310000000002</v>
      </c>
      <c r="Z8436">
        <v>7.1340410000000007E-2</v>
      </c>
      <c r="AA8436">
        <v>0.91132340000000001</v>
      </c>
      <c r="AB8436">
        <v>24</v>
      </c>
      <c r="AC8436">
        <v>7.07859999999999</v>
      </c>
      <c r="AD8436">
        <v>-1.110783239873</v>
      </c>
      <c r="AE8436">
        <v>-13.744179999999901</v>
      </c>
      <c r="AF8436">
        <v>-6.3409950915740003</v>
      </c>
      <c r="AG8436">
        <v>-1.110783239873</v>
      </c>
      <c r="AH8436">
        <v>14.0125708555109</v>
      </c>
      <c r="AI8436">
        <v>94.130737600758295</v>
      </c>
      <c r="AJ8436">
        <v>114.347793040713</v>
      </c>
      <c r="AK8436">
        <v>15.420577166178401</v>
      </c>
      <c r="AL8436">
        <v>89.812534976285804</v>
      </c>
      <c r="AM8436">
        <v>88.525705823455596</v>
      </c>
      <c r="AN8436">
        <v>0.999999982136487</v>
      </c>
    </row>
    <row r="8437" spans="1:40" x14ac:dyDescent="0.25">
      <c r="A8437" t="str">
        <f>"20190312154125654"</f>
        <v>20190312154125654</v>
      </c>
      <c r="B8437" t="str">
        <f>"1552376485644348"</f>
        <v>1552376485644348</v>
      </c>
      <c r="C8437" t="s">
        <v>40</v>
      </c>
      <c r="D8437">
        <v>4.3075029999999996</v>
      </c>
      <c r="E8437">
        <v>0.40051609999999999</v>
      </c>
      <c r="F8437" t="s">
        <v>69</v>
      </c>
      <c r="G8437">
        <v>-294.89170000000001</v>
      </c>
      <c r="H8437" s="1">
        <v>-5.3033410000000002E-6</v>
      </c>
      <c r="I8437">
        <v>-47.353070000000002</v>
      </c>
      <c r="J8437">
        <v>-301.66989999999998</v>
      </c>
      <c r="K8437">
        <v>1.11086</v>
      </c>
      <c r="L8437">
        <v>-31.653960000000001</v>
      </c>
      <c r="M8437">
        <v>5.1622519999999998E-2</v>
      </c>
      <c r="N8437">
        <v>0</v>
      </c>
      <c r="O8437">
        <v>-0.99855899999999997</v>
      </c>
      <c r="P8437">
        <v>2.722844E-2</v>
      </c>
      <c r="Q8437">
        <v>-1.1923970000000001E-2</v>
      </c>
      <c r="R8437">
        <v>-0.99955830000000001</v>
      </c>
      <c r="S8437">
        <v>1.2642819999999999</v>
      </c>
      <c r="T8437">
        <v>-0.20677870000000001</v>
      </c>
      <c r="U8437">
        <v>-2.9672550000000002</v>
      </c>
      <c r="V8437">
        <v>2.4408820000000001E-2</v>
      </c>
      <c r="W8437">
        <v>2.7797820000000002E-3</v>
      </c>
      <c r="X8437">
        <v>0.99969819999999998</v>
      </c>
      <c r="Y8437">
        <v>-0.3431477</v>
      </c>
      <c r="Z8437">
        <v>6.4478740000000007E-2</v>
      </c>
      <c r="AA8437">
        <v>0.9370657</v>
      </c>
      <c r="AB8437">
        <v>24</v>
      </c>
      <c r="AC8437">
        <v>6.7781999999999698</v>
      </c>
      <c r="AD8437">
        <v>-1.1108653033410001</v>
      </c>
      <c r="AE8437">
        <v>-15.699109999999999</v>
      </c>
      <c r="AF8437">
        <v>-5.9336045039768397</v>
      </c>
      <c r="AG8437">
        <v>-1.1108653033410001</v>
      </c>
      <c r="AH8437">
        <v>15.9607606430397</v>
      </c>
      <c r="AI8437">
        <v>93.732543256071494</v>
      </c>
      <c r="AJ8437">
        <v>110.393222027786</v>
      </c>
      <c r="AK8437">
        <v>17.064218834631301</v>
      </c>
      <c r="AL8437">
        <v>89.840730019012895</v>
      </c>
      <c r="AM8437">
        <v>88.601333323971303</v>
      </c>
      <c r="AN8437">
        <v>1.0000000043824999</v>
      </c>
    </row>
    <row r="8438" spans="1:40" x14ac:dyDescent="0.25">
      <c r="A8438" t="str">
        <f>"20190312154125676"</f>
        <v>20190312154125676</v>
      </c>
      <c r="B8438" t="str">
        <f>"1552376485664844"</f>
        <v>1552376485664844</v>
      </c>
      <c r="C8438" t="s">
        <v>40</v>
      </c>
      <c r="D8438">
        <v>4.3023099999999896</v>
      </c>
      <c r="E8438">
        <v>0.40253220000000001</v>
      </c>
      <c r="F8438" t="s">
        <v>69</v>
      </c>
      <c r="G8438">
        <v>-296.03989999999999</v>
      </c>
      <c r="H8438" s="1">
        <v>-8.6227759999999992E-6</v>
      </c>
      <c r="I8438">
        <v>-50.733559999999997</v>
      </c>
      <c r="J8438">
        <v>-301.65620000000001</v>
      </c>
      <c r="K8438">
        <v>1.1109450000000001</v>
      </c>
      <c r="L8438">
        <v>-31.89536</v>
      </c>
      <c r="M8438">
        <v>5.2749940000000002E-2</v>
      </c>
      <c r="N8438">
        <v>0</v>
      </c>
      <c r="O8438">
        <v>-0.9985001</v>
      </c>
      <c r="P8438">
        <v>3.0198699999999998E-2</v>
      </c>
      <c r="Q8438">
        <v>-1.161059E-2</v>
      </c>
      <c r="R8438">
        <v>-0.99947680000000005</v>
      </c>
      <c r="S8438">
        <v>0.87796019999999897</v>
      </c>
      <c r="T8438">
        <v>-0.17323279999999999</v>
      </c>
      <c r="U8438">
        <v>-2.9753419999999999</v>
      </c>
      <c r="V8438">
        <v>2.2565910000000002E-2</v>
      </c>
      <c r="W8438">
        <v>3.1030770000000001E-3</v>
      </c>
      <c r="X8438">
        <v>0.99974050000000003</v>
      </c>
      <c r="Y8438">
        <v>-0.2315778</v>
      </c>
      <c r="Z8438">
        <v>5.6023589999999998E-2</v>
      </c>
      <c r="AA8438">
        <v>0.97120189999999995</v>
      </c>
      <c r="AB8438">
        <v>24</v>
      </c>
      <c r="AC8438">
        <v>5.6163000000000203</v>
      </c>
      <c r="AD8438">
        <v>-1.110953622776</v>
      </c>
      <c r="AE8438">
        <v>-18.838200000000001</v>
      </c>
      <c r="AF8438">
        <v>-4.5999661016942701</v>
      </c>
      <c r="AG8438">
        <v>-1.110953622776</v>
      </c>
      <c r="AH8438">
        <v>19.047421266723301</v>
      </c>
      <c r="AI8438">
        <v>93.244954806006106</v>
      </c>
      <c r="AJ8438">
        <v>103.577007909792</v>
      </c>
      <c r="AK8438">
        <v>19.6264658815773</v>
      </c>
      <c r="AL8438">
        <v>89.822206491660296</v>
      </c>
      <c r="AM8438">
        <v>88.706952559467595</v>
      </c>
      <c r="AN8438">
        <v>0.99999995836062205</v>
      </c>
    </row>
    <row r="8439" spans="1:40" x14ac:dyDescent="0.25">
      <c r="A8439" t="str">
        <f>"20190312154125700"</f>
        <v>20190312154125700</v>
      </c>
      <c r="B8439" t="str">
        <f>"1552376485695100"</f>
        <v>1552376485695100</v>
      </c>
      <c r="C8439" t="s">
        <v>40</v>
      </c>
      <c r="D8439">
        <v>4.3319279999999996</v>
      </c>
      <c r="E8439">
        <v>0.40404689999999999</v>
      </c>
      <c r="F8439" t="s">
        <v>69</v>
      </c>
      <c r="G8439">
        <v>-296.44630000000001</v>
      </c>
      <c r="H8439" s="1">
        <v>-6.0059969999999999E-6</v>
      </c>
      <c r="I8439">
        <v>-49.67897</v>
      </c>
      <c r="J8439">
        <v>-301.64109999999999</v>
      </c>
      <c r="K8439">
        <v>1.1110500000000001</v>
      </c>
      <c r="L8439">
        <v>-32.150509999999997</v>
      </c>
      <c r="M8439">
        <v>5.4113729999999999E-2</v>
      </c>
      <c r="N8439">
        <v>0</v>
      </c>
      <c r="O8439">
        <v>-0.99842690000000001</v>
      </c>
      <c r="P8439">
        <v>3.311625E-2</v>
      </c>
      <c r="Q8439">
        <v>-1.126073E-2</v>
      </c>
      <c r="R8439">
        <v>-0.99938819999999995</v>
      </c>
      <c r="S8439">
        <v>0.87100219999999995</v>
      </c>
      <c r="T8439">
        <v>-0.18573190000000001</v>
      </c>
      <c r="U8439">
        <v>-2.9731139999999998</v>
      </c>
      <c r="V8439">
        <v>2.101182E-2</v>
      </c>
      <c r="W8439">
        <v>3.4630870000000001E-3</v>
      </c>
      <c r="X8439">
        <v>0.99977320000000003</v>
      </c>
      <c r="Y8439">
        <v>-0.2282864</v>
      </c>
      <c r="Z8439">
        <v>6.0130790000000003E-2</v>
      </c>
      <c r="AA8439">
        <v>0.97173540000000003</v>
      </c>
      <c r="AB8439">
        <v>24</v>
      </c>
      <c r="AC8439">
        <v>5.1947999999999803</v>
      </c>
      <c r="AD8439">
        <v>-1.1110560059970001</v>
      </c>
      <c r="AE8439">
        <v>-17.528459999999999</v>
      </c>
      <c r="AF8439">
        <v>-4.2229573459761598</v>
      </c>
      <c r="AG8439">
        <v>-1.1110560059970001</v>
      </c>
      <c r="AH8439">
        <v>17.718470817532701</v>
      </c>
      <c r="AI8439">
        <v>93.490577685366404</v>
      </c>
      <c r="AJ8439">
        <v>103.405575758181</v>
      </c>
      <c r="AK8439">
        <v>18.248616997081001</v>
      </c>
      <c r="AL8439">
        <v>89.801579328348595</v>
      </c>
      <c r="AM8439">
        <v>88.796015534767406</v>
      </c>
      <c r="AN8439">
        <v>0.99999997049475997</v>
      </c>
    </row>
    <row r="8440" spans="1:40" x14ac:dyDescent="0.25">
      <c r="A8440" t="str">
        <f>"20190312154125723"</f>
        <v>20190312154125723</v>
      </c>
      <c r="B8440" t="str">
        <f>"1552376485714620"</f>
        <v>1552376485714620</v>
      </c>
      <c r="C8440" t="s">
        <v>40</v>
      </c>
      <c r="D8440">
        <v>4.320754</v>
      </c>
      <c r="E8440">
        <v>0.40471109999999999</v>
      </c>
      <c r="F8440" t="s">
        <v>69</v>
      </c>
      <c r="G8440">
        <v>-296.74290000000002</v>
      </c>
      <c r="H8440" s="1">
        <v>-5.6720089999999997E-6</v>
      </c>
      <c r="I8440">
        <v>-48.918880000000001</v>
      </c>
      <c r="J8440">
        <v>-301.6266</v>
      </c>
      <c r="K8440">
        <v>1.1111519999999999</v>
      </c>
      <c r="L8440">
        <v>-32.389189999999999</v>
      </c>
      <c r="M8440">
        <v>5.5552329999999997E-2</v>
      </c>
      <c r="N8440">
        <v>0</v>
      </c>
      <c r="O8440">
        <v>-0.99834769999999995</v>
      </c>
      <c r="P8440">
        <v>3.6836279999999999E-2</v>
      </c>
      <c r="Q8440">
        <v>-1.158638E-2</v>
      </c>
      <c r="R8440">
        <v>-0.99925430000000004</v>
      </c>
      <c r="S8440">
        <v>0.86782839999999895</v>
      </c>
      <c r="T8440">
        <v>-0.19684599999999999</v>
      </c>
      <c r="U8440">
        <v>-2.9708559999999999</v>
      </c>
      <c r="V8440">
        <v>1.8730449999999999E-2</v>
      </c>
      <c r="W8440">
        <v>3.143608E-3</v>
      </c>
      <c r="X8440">
        <v>0.99981960000000003</v>
      </c>
      <c r="Y8440">
        <v>-0.22606270000000001</v>
      </c>
      <c r="Z8440">
        <v>6.3779180000000005E-2</v>
      </c>
      <c r="AA8440">
        <v>0.97202259999999996</v>
      </c>
      <c r="AB8440">
        <v>24</v>
      </c>
      <c r="AC8440">
        <v>4.88369999999997</v>
      </c>
      <c r="AD8440">
        <v>-1.111157672009</v>
      </c>
      <c r="AE8440">
        <v>-16.529689999999999</v>
      </c>
      <c r="AF8440">
        <v>-3.94141441000578</v>
      </c>
      <c r="AG8440">
        <v>-1.111157672009</v>
      </c>
      <c r="AH8440">
        <v>16.7060586595464</v>
      </c>
      <c r="AI8440">
        <v>93.703875567255096</v>
      </c>
      <c r="AJ8440">
        <v>103.274887657541</v>
      </c>
      <c r="AK8440">
        <v>17.200634141207399</v>
      </c>
      <c r="AL8440">
        <v>89.819884227505099</v>
      </c>
      <c r="AM8440">
        <v>88.926756172956203</v>
      </c>
      <c r="AN8440">
        <v>0.99999997228630899</v>
      </c>
    </row>
    <row r="8441" spans="1:40" x14ac:dyDescent="0.25">
      <c r="A8441" t="str">
        <f>"20190312154125742"</f>
        <v>20190312154125742</v>
      </c>
      <c r="B8441" t="str">
        <f>"1552376485735116"</f>
        <v>1552376485735116</v>
      </c>
      <c r="C8441" t="s">
        <v>40</v>
      </c>
      <c r="D8441">
        <v>4.3134880000000004</v>
      </c>
      <c r="E8441">
        <v>0.40536680000000003</v>
      </c>
      <c r="F8441" t="s">
        <v>69</v>
      </c>
      <c r="G8441">
        <v>-296.8784</v>
      </c>
      <c r="H8441" s="1">
        <v>-5.4563509999999899E-6</v>
      </c>
      <c r="I8441">
        <v>-48.51793</v>
      </c>
      <c r="J8441">
        <v>-301.61360000000002</v>
      </c>
      <c r="K8441">
        <v>1.1112379999999999</v>
      </c>
      <c r="L8441">
        <v>-32.595979999999997</v>
      </c>
      <c r="M8441">
        <v>5.6911330000000003E-2</v>
      </c>
      <c r="N8441">
        <v>0</v>
      </c>
      <c r="O8441">
        <v>-0.99827129999999997</v>
      </c>
      <c r="P8441">
        <v>4.1629869999999999E-2</v>
      </c>
      <c r="Q8441">
        <v>-1.2507829999999999E-2</v>
      </c>
      <c r="R8441">
        <v>-0.99905509999999997</v>
      </c>
      <c r="S8441">
        <v>0.87365720000000002</v>
      </c>
      <c r="T8441">
        <v>-0.20445260000000001</v>
      </c>
      <c r="U8441">
        <v>-2.9676819999999999</v>
      </c>
      <c r="V8441">
        <v>1.529586E-2</v>
      </c>
      <c r="W8441">
        <v>2.223315E-3</v>
      </c>
      <c r="X8441">
        <v>0.99988060000000001</v>
      </c>
      <c r="Y8441">
        <v>-0.2267286</v>
      </c>
      <c r="Z8441">
        <v>6.6269809999999998E-2</v>
      </c>
      <c r="AA8441">
        <v>0.97170080000000003</v>
      </c>
      <c r="AB8441">
        <v>24</v>
      </c>
      <c r="AC8441">
        <v>4.7352000000000096</v>
      </c>
      <c r="AD8441">
        <v>-1.1112434563510001</v>
      </c>
      <c r="AE8441">
        <v>-15.921950000000001</v>
      </c>
      <c r="AF8441">
        <v>-3.80426162720725</v>
      </c>
      <c r="AG8441">
        <v>-1.1112434563510001</v>
      </c>
      <c r="AH8441">
        <v>16.093631066215099</v>
      </c>
      <c r="AI8441">
        <v>93.8443131473215</v>
      </c>
      <c r="AJ8441">
        <v>103.29962389245</v>
      </c>
      <c r="AK8441">
        <v>16.5744450719464</v>
      </c>
      <c r="AL8441">
        <v>89.872613336712504</v>
      </c>
      <c r="AM8441">
        <v>89.123575487186898</v>
      </c>
      <c r="AN8441">
        <v>1.00000006035954</v>
      </c>
    </row>
    <row r="8442" spans="1:40" x14ac:dyDescent="0.25">
      <c r="A8442" t="str">
        <f>"20190312154125765"</f>
        <v>20190312154125765</v>
      </c>
      <c r="B8442" t="str">
        <f>"1552376485754636"</f>
        <v>1552376485754636</v>
      </c>
      <c r="C8442" t="s">
        <v>40</v>
      </c>
      <c r="D8442">
        <v>4.3577640000000004</v>
      </c>
      <c r="E8442">
        <v>0.40580519999999998</v>
      </c>
      <c r="F8442" t="s">
        <v>69</v>
      </c>
      <c r="G8442">
        <v>-296.97059999999999</v>
      </c>
      <c r="H8442" s="1">
        <v>-5.2677980000000001E-6</v>
      </c>
      <c r="I8442">
        <v>-48.18797</v>
      </c>
      <c r="J8442">
        <v>-301.59840000000003</v>
      </c>
      <c r="K8442">
        <v>1.1113189999999999</v>
      </c>
      <c r="L8442">
        <v>-32.828339999999997</v>
      </c>
      <c r="M8442">
        <v>5.8585070000000003E-2</v>
      </c>
      <c r="N8442">
        <v>0</v>
      </c>
      <c r="O8442">
        <v>-0.99817440000000002</v>
      </c>
      <c r="P8442">
        <v>4.8901069999999998E-2</v>
      </c>
      <c r="Q8442">
        <v>-1.5054349999999999E-2</v>
      </c>
      <c r="R8442">
        <v>-0.99869030000000003</v>
      </c>
      <c r="S8442">
        <v>0.88244630000000002</v>
      </c>
      <c r="T8442">
        <v>-0.21120259999999999</v>
      </c>
      <c r="U8442">
        <v>-2.963409</v>
      </c>
      <c r="V8442">
        <v>9.6985160000000008E-3</v>
      </c>
      <c r="W8442">
        <v>-3.3026749999999998E-4</v>
      </c>
      <c r="X8442">
        <v>0.99995290000000003</v>
      </c>
      <c r="Y8442">
        <v>-0.22808149999999999</v>
      </c>
      <c r="Z8442">
        <v>6.849239E-2</v>
      </c>
      <c r="AA8442">
        <v>0.97123000000000004</v>
      </c>
      <c r="AB8442">
        <v>24</v>
      </c>
      <c r="AC8442">
        <v>4.6278000000000299</v>
      </c>
      <c r="AD8442">
        <v>-1.111324267798</v>
      </c>
      <c r="AE8442">
        <v>-15.3596299999999</v>
      </c>
      <c r="AF8442">
        <v>-3.7021397295151499</v>
      </c>
      <c r="AG8442">
        <v>-1.111324267798</v>
      </c>
      <c r="AH8442">
        <v>15.529858784018501</v>
      </c>
      <c r="AI8442">
        <v>93.981929370138801</v>
      </c>
      <c r="AJ8442">
        <v>103.408397902191</v>
      </c>
      <c r="AK8442">
        <v>16.003668143791501</v>
      </c>
      <c r="AL8442">
        <v>90.018922934464399</v>
      </c>
      <c r="AM8442">
        <v>89.444307215959</v>
      </c>
      <c r="AN8442">
        <v>0.99999998625381603</v>
      </c>
    </row>
    <row r="8443" spans="1:40" x14ac:dyDescent="0.25">
      <c r="A8443" t="str">
        <f>"20190312154125787"</f>
        <v>20190312154125787</v>
      </c>
      <c r="B8443" t="str">
        <f>"1552376485775131"</f>
        <v>1552376485775131</v>
      </c>
      <c r="C8443" t="s">
        <v>40</v>
      </c>
      <c r="D8443">
        <v>4.3382630000000004</v>
      </c>
      <c r="E8443">
        <v>0.40626390000000001</v>
      </c>
      <c r="F8443" t="s">
        <v>69</v>
      </c>
      <c r="G8443">
        <v>-297.04950000000002</v>
      </c>
      <c r="H8443" s="1">
        <v>-5.0250470000000004E-6</v>
      </c>
      <c r="I8443">
        <v>-47.745910000000002</v>
      </c>
      <c r="J8443">
        <v>-301.58260000000001</v>
      </c>
      <c r="K8443">
        <v>1.1114250000000001</v>
      </c>
      <c r="L8443">
        <v>-33.062289999999997</v>
      </c>
      <c r="M8443">
        <v>6.0448429999999997E-2</v>
      </c>
      <c r="N8443">
        <v>0</v>
      </c>
      <c r="O8443">
        <v>-0.99806340000000004</v>
      </c>
      <c r="P8443">
        <v>5.6181450000000001E-2</v>
      </c>
      <c r="Q8443">
        <v>-1.5541360000000001E-2</v>
      </c>
      <c r="R8443">
        <v>-0.99829990000000002</v>
      </c>
      <c r="S8443">
        <v>0.90151979999999998</v>
      </c>
      <c r="T8443">
        <v>-0.220251</v>
      </c>
      <c r="U8443">
        <v>-2.9564819999999998</v>
      </c>
      <c r="V8443">
        <v>4.275938E-3</v>
      </c>
      <c r="W8443">
        <v>-8.2675740000000004E-4</v>
      </c>
      <c r="X8443">
        <v>0.9999905</v>
      </c>
      <c r="Y8443">
        <v>-0.23256650000000001</v>
      </c>
      <c r="Z8443">
        <v>7.1455790000000005E-2</v>
      </c>
      <c r="AA8443">
        <v>0.96995200000000004</v>
      </c>
      <c r="AB8443">
        <v>24</v>
      </c>
      <c r="AC8443">
        <v>4.5330999999999904</v>
      </c>
      <c r="AD8443">
        <v>-1.1114300250469999</v>
      </c>
      <c r="AE8443">
        <v>-14.6836199999999</v>
      </c>
      <c r="AF8443">
        <v>-3.6181854830273998</v>
      </c>
      <c r="AG8443">
        <v>-1.1114300250469999</v>
      </c>
      <c r="AH8443">
        <v>14.853118265229099</v>
      </c>
      <c r="AI8443">
        <v>94.158206418125403</v>
      </c>
      <c r="AJ8443">
        <v>103.690480081423</v>
      </c>
      <c r="AK8443">
        <v>15.3278069237269</v>
      </c>
      <c r="AL8443">
        <v>90.047369715872904</v>
      </c>
      <c r="AM8443">
        <v>89.755005964831994</v>
      </c>
      <c r="AN8443">
        <v>0.999999983631914</v>
      </c>
    </row>
    <row r="8444" spans="1:40" x14ac:dyDescent="0.25">
      <c r="A8444" t="str">
        <f>"20190312154125812"</f>
        <v>20190312154125812</v>
      </c>
      <c r="B8444" t="str">
        <f>"1552376485804411"</f>
        <v>1552376485804411</v>
      </c>
      <c r="C8444" t="s">
        <v>40</v>
      </c>
      <c r="D8444">
        <v>4.3429200000000003</v>
      </c>
      <c r="E8444">
        <v>0.40687669999999998</v>
      </c>
      <c r="F8444" t="s">
        <v>69</v>
      </c>
      <c r="G8444">
        <v>-296.99329999999998</v>
      </c>
      <c r="H8444" s="1">
        <v>-5.0617610000000004E-6</v>
      </c>
      <c r="I8444">
        <v>-47.793489999999998</v>
      </c>
      <c r="J8444">
        <v>-301.56470000000002</v>
      </c>
      <c r="K8444">
        <v>1.1115740000000001</v>
      </c>
      <c r="L8444">
        <v>-33.316040000000001</v>
      </c>
      <c r="M8444">
        <v>6.2700370000000005E-2</v>
      </c>
      <c r="N8444">
        <v>0</v>
      </c>
      <c r="O8444">
        <v>-0.99792409999999998</v>
      </c>
      <c r="P8444">
        <v>6.1129339999999997E-2</v>
      </c>
      <c r="Q8444">
        <v>-1.341176E-2</v>
      </c>
      <c r="R8444">
        <v>-0.99803980000000003</v>
      </c>
      <c r="S8444">
        <v>0.91900630000000005</v>
      </c>
      <c r="T8444">
        <v>-0.2225637</v>
      </c>
      <c r="U8444">
        <v>-2.9499209999999998</v>
      </c>
      <c r="V8444">
        <v>1.5709470000000001E-3</v>
      </c>
      <c r="W8444">
        <v>1.299683E-3</v>
      </c>
      <c r="X8444">
        <v>0.9999979</v>
      </c>
      <c r="Y8444">
        <v>-0.23620540000000001</v>
      </c>
      <c r="Z8444">
        <v>7.2246039999999997E-2</v>
      </c>
      <c r="AA8444">
        <v>0.96901369999999998</v>
      </c>
      <c r="AB8444">
        <v>24</v>
      </c>
      <c r="AC8444">
        <v>4.5714000000000397</v>
      </c>
      <c r="AD8444">
        <v>-1.111579061761</v>
      </c>
      <c r="AE8444">
        <v>-14.477449999999999</v>
      </c>
      <c r="AF8444">
        <v>-3.6350772368303401</v>
      </c>
      <c r="AG8444">
        <v>-1.111579061761</v>
      </c>
      <c r="AH8444">
        <v>14.6570455402617</v>
      </c>
      <c r="AI8444">
        <v>94.209904940367394</v>
      </c>
      <c r="AJ8444">
        <v>103.928820465697</v>
      </c>
      <c r="AK8444">
        <v>15.1419410412791</v>
      </c>
      <c r="AL8444">
        <v>89.925533626831594</v>
      </c>
      <c r="AM8444">
        <v>89.9099912520864</v>
      </c>
      <c r="AN8444">
        <v>0.99999997852739297</v>
      </c>
    </row>
    <row r="8445" spans="1:40" x14ac:dyDescent="0.25">
      <c r="A8445" t="str">
        <f>"20190312154125832"</f>
        <v>20190312154125832</v>
      </c>
      <c r="B8445" t="str">
        <f>"1552376485824908"</f>
        <v>1552376485824908</v>
      </c>
      <c r="C8445" t="s">
        <v>40</v>
      </c>
      <c r="D8445">
        <v>4.3215479999999999</v>
      </c>
      <c r="E8445">
        <v>0.4073968</v>
      </c>
      <c r="F8445" t="s">
        <v>69</v>
      </c>
      <c r="G8445">
        <v>-296.84440000000001</v>
      </c>
      <c r="H8445" s="1">
        <v>-5.3455760000000003E-6</v>
      </c>
      <c r="I8445">
        <v>-48.285710000000002</v>
      </c>
      <c r="J8445">
        <v>-301.54880000000003</v>
      </c>
      <c r="K8445">
        <v>1.111729</v>
      </c>
      <c r="L8445">
        <v>-33.530520000000003</v>
      </c>
      <c r="M8445">
        <v>6.4831410000000006E-2</v>
      </c>
      <c r="N8445">
        <v>0</v>
      </c>
      <c r="O8445">
        <v>-0.99778800000000001</v>
      </c>
      <c r="P8445">
        <v>6.2889689999999998E-2</v>
      </c>
      <c r="Q8445">
        <v>-1.282472E-2</v>
      </c>
      <c r="R8445">
        <v>-0.99793829999999994</v>
      </c>
      <c r="S8445">
        <v>0.92895510000000003</v>
      </c>
      <c r="T8445">
        <v>-0.21876000000000001</v>
      </c>
      <c r="U8445">
        <v>-2.9460449999999998</v>
      </c>
      <c r="V8445">
        <v>1.940537E-3</v>
      </c>
      <c r="W8445">
        <v>1.892868E-3</v>
      </c>
      <c r="X8445">
        <v>0.99999629999999995</v>
      </c>
      <c r="Y8445">
        <v>-0.2374976</v>
      </c>
      <c r="Z8445">
        <v>7.1045579999999997E-2</v>
      </c>
      <c r="AA8445">
        <v>0.96878660000000005</v>
      </c>
      <c r="AB8445">
        <v>24</v>
      </c>
      <c r="AC8445">
        <v>4.7044000000000201</v>
      </c>
      <c r="AD8445">
        <v>-1.111734345576</v>
      </c>
      <c r="AE8445">
        <v>-14.755189999999899</v>
      </c>
      <c r="AF8445">
        <v>-3.7186353270992401</v>
      </c>
      <c r="AG8445">
        <v>-1.111734345576</v>
      </c>
      <c r="AH8445">
        <v>14.952117996658799</v>
      </c>
      <c r="AI8445">
        <v>94.127021320651593</v>
      </c>
      <c r="AJ8445">
        <v>103.966276255431</v>
      </c>
      <c r="AK8445">
        <v>15.447654661374701</v>
      </c>
      <c r="AL8445">
        <v>89.891546584875996</v>
      </c>
      <c r="AM8445">
        <v>89.888815148089705</v>
      </c>
      <c r="AN8445">
        <v>0.99999997432340104</v>
      </c>
    </row>
    <row r="8446" spans="1:40" x14ac:dyDescent="0.25">
      <c r="A8446" t="str">
        <f>"20190312154125854"</f>
        <v>20190312154125854</v>
      </c>
      <c r="B8446" t="str">
        <f>"1552376485844428"</f>
        <v>1552376485844428</v>
      </c>
      <c r="C8446" t="s">
        <v>40</v>
      </c>
      <c r="D8446">
        <v>4.2989350000000002</v>
      </c>
      <c r="E8446">
        <v>0.40765940000000001</v>
      </c>
      <c r="F8446" t="s">
        <v>69</v>
      </c>
      <c r="G8446">
        <v>-296.82170000000002</v>
      </c>
      <c r="H8446" s="1">
        <v>-5.46166999999999E-6</v>
      </c>
      <c r="I8446">
        <v>-48.503680000000003</v>
      </c>
      <c r="J8446">
        <v>-301.53109999999998</v>
      </c>
      <c r="K8446">
        <v>1.11192</v>
      </c>
      <c r="L8446">
        <v>-33.760039999999996</v>
      </c>
      <c r="M8446">
        <v>6.7377889999999996E-2</v>
      </c>
      <c r="N8446">
        <v>0</v>
      </c>
      <c r="O8446">
        <v>-0.99761909999999998</v>
      </c>
      <c r="P8446">
        <v>6.452447E-2</v>
      </c>
      <c r="Q8446">
        <v>-1.283486E-2</v>
      </c>
      <c r="R8446">
        <v>-0.99783350000000004</v>
      </c>
      <c r="S8446">
        <v>0.9296875</v>
      </c>
      <c r="T8446">
        <v>-0.21864639999999999</v>
      </c>
      <c r="U8446">
        <v>-2.9447939999999999</v>
      </c>
      <c r="V8446">
        <v>2.8536920000000001E-3</v>
      </c>
      <c r="W8446">
        <v>1.894298E-3</v>
      </c>
      <c r="X8446">
        <v>0.99999420000000006</v>
      </c>
      <c r="Y8446">
        <v>-0.2353555</v>
      </c>
      <c r="Z8446">
        <v>7.1035619999999994E-2</v>
      </c>
      <c r="AA8446">
        <v>0.96930989999999995</v>
      </c>
      <c r="AB8446">
        <v>23</v>
      </c>
      <c r="AC8446">
        <v>4.7093999999999596</v>
      </c>
      <c r="AD8446">
        <v>-1.1119254616700001</v>
      </c>
      <c r="AE8446">
        <v>-14.7436399999999</v>
      </c>
      <c r="AF8446">
        <v>-3.68616788996126</v>
      </c>
      <c r="AG8446">
        <v>-1.1119254616700001</v>
      </c>
      <c r="AH8446">
        <v>14.9503107410412</v>
      </c>
      <c r="AI8446">
        <v>94.130281809473104</v>
      </c>
      <c r="AJ8446">
        <v>103.85065996684401</v>
      </c>
      <c r="AK8446">
        <v>15.438134705947601</v>
      </c>
      <c r="AL8446">
        <v>89.891464661710103</v>
      </c>
      <c r="AM8446">
        <v>89.836494987879803</v>
      </c>
      <c r="AN8446">
        <v>1.00000006597828</v>
      </c>
    </row>
    <row r="8447" spans="1:40" x14ac:dyDescent="0.25">
      <c r="A8447" t="str">
        <f>"20190312154125877"</f>
        <v>20190312154125877</v>
      </c>
      <c r="B8447" t="str">
        <f>"1552376485874684"</f>
        <v>1552376485874684</v>
      </c>
      <c r="C8447" t="s">
        <v>40</v>
      </c>
      <c r="D8447">
        <v>4.2269170000000003</v>
      </c>
      <c r="E8447">
        <v>0.407057</v>
      </c>
      <c r="F8447" t="s">
        <v>69</v>
      </c>
      <c r="G8447">
        <v>-296.75900000000001</v>
      </c>
      <c r="H8447" s="1">
        <v>-5.6317419999999997E-6</v>
      </c>
      <c r="I8447">
        <v>-48.819130000000001</v>
      </c>
      <c r="J8447">
        <v>-301.512</v>
      </c>
      <c r="K8447">
        <v>1.11215</v>
      </c>
      <c r="L8447">
        <v>-33.995240000000003</v>
      </c>
      <c r="M8447">
        <v>7.0309479999999994E-2</v>
      </c>
      <c r="N8447">
        <v>0</v>
      </c>
      <c r="O8447">
        <v>-0.99741670000000004</v>
      </c>
      <c r="P8447">
        <v>6.5913040000000006E-2</v>
      </c>
      <c r="Q8447">
        <v>-1.1766209999999999E-2</v>
      </c>
      <c r="R8447">
        <v>-0.99775630000000004</v>
      </c>
      <c r="S8447">
        <v>0.93273930000000005</v>
      </c>
      <c r="T8447">
        <v>-0.21733269999999999</v>
      </c>
      <c r="U8447">
        <v>-2.94339</v>
      </c>
      <c r="V8447">
        <v>4.3957199999999997E-3</v>
      </c>
      <c r="W8447">
        <v>2.9800529999999999E-3</v>
      </c>
      <c r="X8447">
        <v>0.99998589999999998</v>
      </c>
      <c r="Y8447">
        <v>-0.23355419999999999</v>
      </c>
      <c r="Z8447">
        <v>7.0626179999999997E-2</v>
      </c>
      <c r="AA8447">
        <v>0.96977539999999995</v>
      </c>
      <c r="AB8447">
        <v>23</v>
      </c>
      <c r="AC8447">
        <v>4.7529999999999797</v>
      </c>
      <c r="AD8447">
        <v>-1.1121556317420001</v>
      </c>
      <c r="AE8447">
        <v>-14.82389</v>
      </c>
      <c r="AF8447">
        <v>-3.68007898628505</v>
      </c>
      <c r="AG8447">
        <v>-1.1121556317420001</v>
      </c>
      <c r="AH8447">
        <v>15.044626056452399</v>
      </c>
      <c r="AI8447">
        <v>94.107173074626601</v>
      </c>
      <c r="AJ8447">
        <v>103.745265498354</v>
      </c>
      <c r="AK8447">
        <v>15.528059913363199</v>
      </c>
      <c r="AL8447">
        <v>89.829255287930593</v>
      </c>
      <c r="AM8447">
        <v>89.748141867057598</v>
      </c>
      <c r="AN8447">
        <v>1.0000000016345001</v>
      </c>
    </row>
    <row r="8448" spans="1:40" x14ac:dyDescent="0.25">
      <c r="A8448" t="str">
        <f>"20190312154125903"</f>
        <v>20190312154125903</v>
      </c>
      <c r="B8448" t="str">
        <f>"1552376485895180"</f>
        <v>1552376485895180</v>
      </c>
      <c r="C8448" t="s">
        <v>40</v>
      </c>
      <c r="D8448">
        <v>4.2370640000000002</v>
      </c>
      <c r="E8448">
        <v>0.40706740000000002</v>
      </c>
      <c r="F8448" t="s">
        <v>69</v>
      </c>
      <c r="G8448">
        <v>-296.36380000000003</v>
      </c>
      <c r="H8448" s="1">
        <v>-6.1744209999999996E-6</v>
      </c>
      <c r="I8448">
        <v>-50.089979999999997</v>
      </c>
      <c r="J8448">
        <v>-301.48970000000003</v>
      </c>
      <c r="K8448">
        <v>1.1124259999999999</v>
      </c>
      <c r="L8448">
        <v>-34.251800000000003</v>
      </c>
      <c r="M8448">
        <v>7.3968010000000001E-2</v>
      </c>
      <c r="N8448">
        <v>0</v>
      </c>
      <c r="O8448">
        <v>-0.99715189999999998</v>
      </c>
      <c r="P8448">
        <v>6.8876969999999996E-2</v>
      </c>
      <c r="Q8448">
        <v>-9.9677770000000006E-3</v>
      </c>
      <c r="R8448">
        <v>-0.99757549999999995</v>
      </c>
      <c r="S8448">
        <v>0.94110110000000002</v>
      </c>
      <c r="T8448">
        <v>-0.20330570000000001</v>
      </c>
      <c r="U8448">
        <v>-2.9421689999999998</v>
      </c>
      <c r="V8448">
        <v>5.0832489999999998E-3</v>
      </c>
      <c r="W8448">
        <v>4.7982199999999997E-3</v>
      </c>
      <c r="X8448">
        <v>0.99997559999999996</v>
      </c>
      <c r="Y8448">
        <v>-0.23270099999999999</v>
      </c>
      <c r="Z8448">
        <v>6.6067810000000005E-2</v>
      </c>
      <c r="AA8448">
        <v>0.97030159999999999</v>
      </c>
      <c r="AB8448">
        <v>23</v>
      </c>
      <c r="AC8448">
        <v>5.1258999999999997</v>
      </c>
      <c r="AD8448">
        <v>-1.112432174421</v>
      </c>
      <c r="AE8448">
        <v>-15.8381799999999</v>
      </c>
      <c r="AF8448">
        <v>-3.9226924781622001</v>
      </c>
      <c r="AG8448">
        <v>-1.112432174421</v>
      </c>
      <c r="AH8448">
        <v>16.1020728423069</v>
      </c>
      <c r="AI8448">
        <v>93.840114043187597</v>
      </c>
      <c r="AJ8448">
        <v>103.691368624345</v>
      </c>
      <c r="AK8448">
        <v>16.610291130497199</v>
      </c>
      <c r="AL8448">
        <v>89.725081198562904</v>
      </c>
      <c r="AM8448">
        <v>89.708746688154605</v>
      </c>
      <c r="AN8448">
        <v>1.00000003146546</v>
      </c>
    </row>
    <row r="8449" spans="1:40" x14ac:dyDescent="0.25">
      <c r="A8449" t="str">
        <f>"20190312154125926"</f>
        <v>20190312154125926</v>
      </c>
      <c r="B8449" t="str">
        <f>"1552376485914699"</f>
        <v>1552376485914699</v>
      </c>
      <c r="C8449" t="s">
        <v>40</v>
      </c>
      <c r="D8449">
        <v>4.2439749999999998</v>
      </c>
      <c r="E8449">
        <v>0.40684229999999999</v>
      </c>
      <c r="F8449" t="s">
        <v>69</v>
      </c>
      <c r="G8449">
        <v>-296.13659999999999</v>
      </c>
      <c r="H8449" s="1">
        <v>-8.5777869999999904E-6</v>
      </c>
      <c r="I8449">
        <v>-50.831809999999997</v>
      </c>
      <c r="J8449">
        <v>-301.46660000000003</v>
      </c>
      <c r="K8449">
        <v>1.11269</v>
      </c>
      <c r="L8449">
        <v>-34.502040000000001</v>
      </c>
      <c r="M8449">
        <v>7.7950640000000002E-2</v>
      </c>
      <c r="N8449">
        <v>0</v>
      </c>
      <c r="O8449">
        <v>-0.99684819999999996</v>
      </c>
      <c r="P8449">
        <v>7.2357179999999993E-2</v>
      </c>
      <c r="Q8449">
        <v>-9.6537470000000007E-3</v>
      </c>
      <c r="R8449">
        <v>-0.9973322</v>
      </c>
      <c r="S8449">
        <v>0.94915769999999999</v>
      </c>
      <c r="T8449">
        <v>-0.197245</v>
      </c>
      <c r="U8449">
        <v>-2.9397890000000002</v>
      </c>
      <c r="V8449">
        <v>5.5840990000000004E-3</v>
      </c>
      <c r="W8449">
        <v>5.1329549999999998E-3</v>
      </c>
      <c r="X8449">
        <v>0.99997119999999995</v>
      </c>
      <c r="Y8449">
        <v>-0.23149359999999999</v>
      </c>
      <c r="Z8449">
        <v>6.4109769999999996E-2</v>
      </c>
      <c r="AA8449">
        <v>0.97072170000000002</v>
      </c>
      <c r="AB8449">
        <v>23</v>
      </c>
      <c r="AC8449">
        <v>5.33000000000004</v>
      </c>
      <c r="AD8449">
        <v>-1.112698577787</v>
      </c>
      <c r="AE8449">
        <v>-16.3297699999999</v>
      </c>
      <c r="AF8449">
        <v>-4.0238402564893798</v>
      </c>
      <c r="AG8449">
        <v>-1.112698577787</v>
      </c>
      <c r="AH8449">
        <v>16.6258323047091</v>
      </c>
      <c r="AI8449">
        <v>93.721726668584907</v>
      </c>
      <c r="AJ8449">
        <v>103.60530043542801</v>
      </c>
      <c r="AK8449">
        <v>17.141986126439999</v>
      </c>
      <c r="AL8449">
        <v>89.705902040354005</v>
      </c>
      <c r="AM8449">
        <v>89.680048805980405</v>
      </c>
      <c r="AN8449">
        <v>0.99999996510905598</v>
      </c>
    </row>
    <row r="8450" spans="1:40" x14ac:dyDescent="0.25">
      <c r="A8450" t="str">
        <f>"20190312154125944"</f>
        <v>20190312154125944</v>
      </c>
      <c r="B8450" t="str">
        <f>"1552376485935195"</f>
        <v>1552376485935195</v>
      </c>
      <c r="C8450" t="s">
        <v>40</v>
      </c>
      <c r="D8450">
        <v>4.2384899999999996</v>
      </c>
      <c r="E8450">
        <v>0.40663149999999998</v>
      </c>
      <c r="F8450" t="s">
        <v>69</v>
      </c>
      <c r="G8450">
        <v>-295.90370000000001</v>
      </c>
      <c r="H8450" s="1">
        <v>-8.5844259999999998E-6</v>
      </c>
      <c r="I8450">
        <v>-51.49953</v>
      </c>
      <c r="J8450">
        <v>-301.44819999999999</v>
      </c>
      <c r="K8450">
        <v>1.1128420000000001</v>
      </c>
      <c r="L8450">
        <v>-34.691220000000001</v>
      </c>
      <c r="M8450">
        <v>8.1208840000000004E-2</v>
      </c>
      <c r="N8450">
        <v>0</v>
      </c>
      <c r="O8450">
        <v>-0.99658769999999997</v>
      </c>
      <c r="P8450">
        <v>7.6711329999999994E-2</v>
      </c>
      <c r="Q8450">
        <v>-1.111461E-2</v>
      </c>
      <c r="R8450">
        <v>-0.99699150000000003</v>
      </c>
      <c r="S8450">
        <v>0.96102909999999997</v>
      </c>
      <c r="T8450">
        <v>-0.19222639999999999</v>
      </c>
      <c r="U8450">
        <v>-2.9364319999999999</v>
      </c>
      <c r="V8450">
        <v>4.4923879999999999E-3</v>
      </c>
      <c r="W8450">
        <v>3.6795690000000002E-3</v>
      </c>
      <c r="X8450">
        <v>0.99998310000000001</v>
      </c>
      <c r="Y8450">
        <v>-0.23221929999999999</v>
      </c>
      <c r="Z8450">
        <v>6.2484869999999998E-2</v>
      </c>
      <c r="AA8450">
        <v>0.97065440000000003</v>
      </c>
      <c r="AB8450">
        <v>23</v>
      </c>
      <c r="AC8450">
        <v>5.54449999999997</v>
      </c>
      <c r="AD8450">
        <v>-1.1128505844259999</v>
      </c>
      <c r="AE8450">
        <v>-16.808309999999999</v>
      </c>
      <c r="AF8450">
        <v>-4.1446654863812702</v>
      </c>
      <c r="AG8450">
        <v>-1.1128505844259999</v>
      </c>
      <c r="AH8450">
        <v>17.135350927955301</v>
      </c>
      <c r="AI8450">
        <v>93.611970390530402</v>
      </c>
      <c r="AJ8450">
        <v>103.597434409681</v>
      </c>
      <c r="AK8450">
        <v>17.664567355059599</v>
      </c>
      <c r="AL8450">
        <v>89.789175741817104</v>
      </c>
      <c r="AM8450">
        <v>89.742602509227197</v>
      </c>
      <c r="AN8450">
        <v>0.99999996053178797</v>
      </c>
    </row>
    <row r="8451" spans="1:40" x14ac:dyDescent="0.25">
      <c r="A8451" t="str">
        <f>"20190312154125966"</f>
        <v>20190312154125966</v>
      </c>
      <c r="B8451" t="str">
        <f>"1552376485954716"</f>
        <v>1552376485954716</v>
      </c>
      <c r="C8451" t="s">
        <v>40</v>
      </c>
      <c r="D8451">
        <v>4.269914</v>
      </c>
      <c r="E8451">
        <v>0.40644079999999999</v>
      </c>
      <c r="F8451" t="s">
        <v>69</v>
      </c>
      <c r="G8451">
        <v>-295.81729999999999</v>
      </c>
      <c r="H8451" s="1">
        <v>-8.6017340000000007E-6</v>
      </c>
      <c r="I8451">
        <v>-51.61524</v>
      </c>
      <c r="J8451">
        <v>-301.42579999999998</v>
      </c>
      <c r="K8451">
        <v>1.1130150000000001</v>
      </c>
      <c r="L8451">
        <v>-34.908909999999999</v>
      </c>
      <c r="M8451">
        <v>8.5242990000000005E-2</v>
      </c>
      <c r="N8451">
        <v>0</v>
      </c>
      <c r="O8451">
        <v>-0.99625070000000004</v>
      </c>
      <c r="P8451">
        <v>8.4493869999999999E-2</v>
      </c>
      <c r="Q8451">
        <v>-1.334508E-2</v>
      </c>
      <c r="R8451">
        <v>-0.99633459999999996</v>
      </c>
      <c r="S8451">
        <v>0.97546390000000005</v>
      </c>
      <c r="T8451">
        <v>-0.19278619999999999</v>
      </c>
      <c r="U8451">
        <v>-2.931854</v>
      </c>
      <c r="V8451">
        <v>7.4389580000000001E-4</v>
      </c>
      <c r="W8451">
        <v>1.4393959999999999E-3</v>
      </c>
      <c r="X8451">
        <v>0.99999870000000002</v>
      </c>
      <c r="Y8451">
        <v>-0.23303489999999999</v>
      </c>
      <c r="Z8451">
        <v>6.2673469999999995E-2</v>
      </c>
      <c r="AA8451">
        <v>0.9704467</v>
      </c>
      <c r="AB8451">
        <v>23</v>
      </c>
      <c r="AC8451">
        <v>5.6084999999999896</v>
      </c>
      <c r="AD8451">
        <v>-1.1130236017339901</v>
      </c>
      <c r="AE8451">
        <v>-16.706329999999902</v>
      </c>
      <c r="AF8451">
        <v>-4.1472851135756104</v>
      </c>
      <c r="AG8451">
        <v>-1.1130236017339901</v>
      </c>
      <c r="AH8451">
        <v>17.0556109264983</v>
      </c>
      <c r="AI8451">
        <v>93.628310315593794</v>
      </c>
      <c r="AJ8451">
        <v>103.666939621765</v>
      </c>
      <c r="AK8451">
        <v>17.587855452766</v>
      </c>
      <c r="AL8451">
        <v>89.917528656714694</v>
      </c>
      <c r="AM8451">
        <v>89.957377862715802</v>
      </c>
      <c r="AN8451">
        <v>1.0000000126217401</v>
      </c>
    </row>
    <row r="8452" spans="1:40" x14ac:dyDescent="0.25">
      <c r="A8452" t="str">
        <f>"20190312154125988"</f>
        <v>20190312154125988</v>
      </c>
      <c r="B8452" t="str">
        <f>"1552376485984972"</f>
        <v>1552376485984972</v>
      </c>
      <c r="C8452" t="s">
        <v>40</v>
      </c>
      <c r="D8452">
        <v>4.2394800000000004</v>
      </c>
      <c r="E8452">
        <v>0.40614499999999998</v>
      </c>
      <c r="F8452" t="s">
        <v>69</v>
      </c>
      <c r="G8452">
        <v>-295.71940000000001</v>
      </c>
      <c r="H8452" s="1">
        <v>-8.6381660000000001E-6</v>
      </c>
      <c r="I8452">
        <v>-51.597020000000001</v>
      </c>
      <c r="J8452">
        <v>-301.40100000000001</v>
      </c>
      <c r="K8452">
        <v>1.113202</v>
      </c>
      <c r="L8452">
        <v>-35.137700000000002</v>
      </c>
      <c r="M8452">
        <v>8.9820590000000006E-2</v>
      </c>
      <c r="N8452">
        <v>0</v>
      </c>
      <c r="O8452">
        <v>-0.99584810000000001</v>
      </c>
      <c r="P8452">
        <v>9.4073210000000004E-2</v>
      </c>
      <c r="Q8452">
        <v>-1.466517E-2</v>
      </c>
      <c r="R8452">
        <v>-0.99545740000000005</v>
      </c>
      <c r="S8452">
        <v>0.99972530000000004</v>
      </c>
      <c r="T8452">
        <v>-0.19499420000000001</v>
      </c>
      <c r="U8452">
        <v>-2.923645</v>
      </c>
      <c r="V8452">
        <v>-4.2713200000000003E-3</v>
      </c>
      <c r="W8452" s="1">
        <v>9.7817519999999998E-5</v>
      </c>
      <c r="X8452">
        <v>0.99999090000000002</v>
      </c>
      <c r="Y8452">
        <v>-0.236594</v>
      </c>
      <c r="Z8452">
        <v>6.3408309999999996E-2</v>
      </c>
      <c r="AA8452">
        <v>0.96953730000000005</v>
      </c>
      <c r="AB8452">
        <v>23</v>
      </c>
      <c r="AC8452">
        <v>5.6816000000000004</v>
      </c>
      <c r="AD8452">
        <v>-1.1132106381659901</v>
      </c>
      <c r="AE8452">
        <v>-16.459319999999899</v>
      </c>
      <c r="AF8452">
        <v>-4.1630662644170702</v>
      </c>
      <c r="AG8452">
        <v>-1.1132106381659901</v>
      </c>
      <c r="AH8452">
        <v>16.834349111175399</v>
      </c>
      <c r="AI8452">
        <v>93.672981103242705</v>
      </c>
      <c r="AJ8452">
        <v>103.890333569799</v>
      </c>
      <c r="AK8452">
        <v>17.377159395130899</v>
      </c>
      <c r="AL8452">
        <v>89.9943954690834</v>
      </c>
      <c r="AM8452">
        <v>90.244729347685606</v>
      </c>
      <c r="AN8452">
        <v>1.0000000269128</v>
      </c>
    </row>
    <row r="8453" spans="1:40" x14ac:dyDescent="0.25">
      <c r="A8453" t="str">
        <f>"20190312154126012"</f>
        <v>20190312154126012</v>
      </c>
      <c r="B8453" t="str">
        <f>"1552376486004491"</f>
        <v>1552376486004491</v>
      </c>
      <c r="C8453" t="s">
        <v>40</v>
      </c>
      <c r="D8453">
        <v>4.2614900000000002</v>
      </c>
      <c r="E8453">
        <v>0.40602270000000001</v>
      </c>
      <c r="F8453" t="s">
        <v>69</v>
      </c>
      <c r="G8453">
        <v>-295.50470000000001</v>
      </c>
      <c r="H8453" s="1">
        <v>-8.6889150000000001E-6</v>
      </c>
      <c r="I8453">
        <v>-51.815660000000001</v>
      </c>
      <c r="J8453">
        <v>-301.3741</v>
      </c>
      <c r="K8453">
        <v>1.1133999999999999</v>
      </c>
      <c r="L8453">
        <v>-35.37283</v>
      </c>
      <c r="M8453">
        <v>9.4874840000000002E-2</v>
      </c>
      <c r="N8453">
        <v>0</v>
      </c>
      <c r="O8453">
        <v>-0.99537900000000001</v>
      </c>
      <c r="P8453">
        <v>0.10462929999999999</v>
      </c>
      <c r="Q8453">
        <v>-1.394514E-2</v>
      </c>
      <c r="R8453">
        <v>-0.99441349999999995</v>
      </c>
      <c r="S8453">
        <v>1.0300290000000001</v>
      </c>
      <c r="T8453">
        <v>-0.19446740000000001</v>
      </c>
      <c r="U8453">
        <v>-2.9134829999999998</v>
      </c>
      <c r="V8453">
        <v>-9.8082050000000004E-3</v>
      </c>
      <c r="W8453">
        <v>7.8994429999999902E-4</v>
      </c>
      <c r="X8453">
        <v>0.99995160000000005</v>
      </c>
      <c r="Y8453">
        <v>-0.2416904</v>
      </c>
      <c r="Z8453">
        <v>6.3255099999999995E-2</v>
      </c>
      <c r="AA8453">
        <v>0.96828950000000003</v>
      </c>
      <c r="AB8453">
        <v>23</v>
      </c>
      <c r="AC8453">
        <v>5.8693999999999802</v>
      </c>
      <c r="AD8453">
        <v>-1.1134086889150001</v>
      </c>
      <c r="AE8453">
        <v>-16.442829999999901</v>
      </c>
      <c r="AF8453">
        <v>-4.2653893025669101</v>
      </c>
      <c r="AG8453">
        <v>-1.1134086889150001</v>
      </c>
      <c r="AH8453">
        <v>16.8570060997823</v>
      </c>
      <c r="AI8453">
        <v>93.663769737747003</v>
      </c>
      <c r="AJ8453">
        <v>104.199715716198</v>
      </c>
      <c r="AK8453">
        <v>17.423888184303198</v>
      </c>
      <c r="AL8453">
        <v>89.954739521468795</v>
      </c>
      <c r="AM8453">
        <v>90.561977929496194</v>
      </c>
      <c r="AN8453">
        <v>1.0000000136199301</v>
      </c>
    </row>
    <row r="8454" spans="1:40" x14ac:dyDescent="0.25">
      <c r="A8454" t="str">
        <f>"20190312154126033"</f>
        <v>20190312154126033</v>
      </c>
      <c r="B8454" t="str">
        <f>"1552376486024988"</f>
        <v>1552376486024988</v>
      </c>
      <c r="C8454" t="s">
        <v>40</v>
      </c>
      <c r="D8454">
        <v>4.3074320000000004</v>
      </c>
      <c r="E8454">
        <v>0.40599970000000002</v>
      </c>
      <c r="F8454" t="s">
        <v>69</v>
      </c>
      <c r="G8454">
        <v>-295.11160000000001</v>
      </c>
      <c r="H8454" s="1">
        <v>-8.7514689999999993E-6</v>
      </c>
      <c r="I8454">
        <v>-52.486339999999998</v>
      </c>
      <c r="J8454">
        <v>-301.34809999999999</v>
      </c>
      <c r="K8454">
        <v>1.1135969999999999</v>
      </c>
      <c r="L8454">
        <v>-35.587649999999996</v>
      </c>
      <c r="M8454">
        <v>9.9809690000000006E-2</v>
      </c>
      <c r="N8454">
        <v>0</v>
      </c>
      <c r="O8454">
        <v>-0.99489609999999995</v>
      </c>
      <c r="P8454">
        <v>0.11395089999999999</v>
      </c>
      <c r="Q8454">
        <v>-1.286197E-2</v>
      </c>
      <c r="R8454">
        <v>-0.99340309999999998</v>
      </c>
      <c r="S8454">
        <v>1.0621339999999999</v>
      </c>
      <c r="T8454">
        <v>-0.188835</v>
      </c>
      <c r="U8454">
        <v>-2.902466</v>
      </c>
      <c r="V8454">
        <v>-1.4235289999999999E-2</v>
      </c>
      <c r="W8454">
        <v>1.850429E-3</v>
      </c>
      <c r="X8454">
        <v>0.99989689999999998</v>
      </c>
      <c r="Y8454">
        <v>-0.2475473</v>
      </c>
      <c r="Z8454">
        <v>6.1446199999999999E-2</v>
      </c>
      <c r="AA8454">
        <v>0.96692540000000005</v>
      </c>
      <c r="AB8454">
        <v>23</v>
      </c>
      <c r="AC8454">
        <v>6.2364999999999702</v>
      </c>
      <c r="AD8454">
        <v>-1.1136057514690001</v>
      </c>
      <c r="AE8454">
        <v>-16.898689999999998</v>
      </c>
      <c r="AF8454">
        <v>-4.5013086161066003</v>
      </c>
      <c r="AG8454">
        <v>-1.1136057514690001</v>
      </c>
      <c r="AH8454">
        <v>17.3704285674639</v>
      </c>
      <c r="AI8454">
        <v>93.551189797421898</v>
      </c>
      <c r="AJ8454">
        <v>104.52785363360999</v>
      </c>
      <c r="AK8454">
        <v>17.978700888676698</v>
      </c>
      <c r="AL8454">
        <v>89.893978161049802</v>
      </c>
      <c r="AM8454">
        <v>90.815651032608201</v>
      </c>
      <c r="AN8454">
        <v>0.99999993909923701</v>
      </c>
    </row>
    <row r="8455" spans="1:40" x14ac:dyDescent="0.25">
      <c r="A8455" t="str">
        <f>"20190312154126055"</f>
        <v>20190312154126055</v>
      </c>
      <c r="B8455" t="str">
        <f>"1552376486044508"</f>
        <v>1552376486044508</v>
      </c>
      <c r="C8455" t="s">
        <v>40</v>
      </c>
      <c r="D8455">
        <v>4.2621769999999897</v>
      </c>
      <c r="E8455">
        <v>0.40612680000000001</v>
      </c>
      <c r="F8455" t="s">
        <v>69</v>
      </c>
      <c r="G8455">
        <v>-294.6567</v>
      </c>
      <c r="H8455" s="1">
        <v>-8.8137029999999999E-6</v>
      </c>
      <c r="I8455">
        <v>-53.352699999999999</v>
      </c>
      <c r="J8455">
        <v>-301.31950000000001</v>
      </c>
      <c r="K8455">
        <v>1.11382</v>
      </c>
      <c r="L8455">
        <v>-35.811160000000001</v>
      </c>
      <c r="M8455">
        <v>0.1052765</v>
      </c>
      <c r="N8455">
        <v>0</v>
      </c>
      <c r="O8455">
        <v>-0.99433210000000005</v>
      </c>
      <c r="P8455">
        <v>0.121321499999999</v>
      </c>
      <c r="Q8455">
        <v>-1.2315120000000001E-2</v>
      </c>
      <c r="R8455">
        <v>-0.99253670000000005</v>
      </c>
      <c r="S8455">
        <v>1.089539</v>
      </c>
      <c r="T8455">
        <v>-0.18132380000000001</v>
      </c>
      <c r="U8455">
        <v>-2.8926090000000002</v>
      </c>
      <c r="V8455">
        <v>-1.6166239999999998E-2</v>
      </c>
      <c r="W8455">
        <v>2.3935459999999999E-3</v>
      </c>
      <c r="X8455">
        <v>0.99986640000000004</v>
      </c>
      <c r="Y8455">
        <v>-0.25138280000000002</v>
      </c>
      <c r="Z8455">
        <v>5.9024640000000003E-2</v>
      </c>
      <c r="AA8455">
        <v>0.96608629999999995</v>
      </c>
      <c r="AB8455">
        <v>23</v>
      </c>
      <c r="AC8455">
        <v>6.6627999999999998</v>
      </c>
      <c r="AD8455">
        <v>-1.1138288137029999</v>
      </c>
      <c r="AE8455">
        <v>-17.541539999999902</v>
      </c>
      <c r="AF8455">
        <v>-4.7620718586253901</v>
      </c>
      <c r="AG8455">
        <v>-1.1138288137029999</v>
      </c>
      <c r="AH8455">
        <v>18.081842392377599</v>
      </c>
      <c r="AI8455">
        <v>93.408973514426194</v>
      </c>
      <c r="AJ8455">
        <v>104.754504235211</v>
      </c>
      <c r="AK8455">
        <v>18.731550051069799</v>
      </c>
      <c r="AL8455">
        <v>89.862859777929003</v>
      </c>
      <c r="AM8455">
        <v>90.926300375796501</v>
      </c>
      <c r="AN8455">
        <v>0.99999994711357398</v>
      </c>
    </row>
    <row r="8456" spans="1:40" x14ac:dyDescent="0.25">
      <c r="A8456" t="str">
        <f>"20190312154126078"</f>
        <v>20190312154126078</v>
      </c>
      <c r="B8456" t="str">
        <f>"1552376486074765"</f>
        <v>1552376486074765</v>
      </c>
      <c r="C8456" t="s">
        <v>40</v>
      </c>
      <c r="D8456">
        <v>4.3510619999999998</v>
      </c>
      <c r="E8456">
        <v>0.40649370000000001</v>
      </c>
      <c r="F8456" t="s">
        <v>69</v>
      </c>
      <c r="G8456">
        <v>-294.30220000000003</v>
      </c>
      <c r="H8456" s="1">
        <v>-8.8603390000000005E-6</v>
      </c>
      <c r="I8456">
        <v>-54.04448</v>
      </c>
      <c r="J8456">
        <v>-301.28910000000002</v>
      </c>
      <c r="K8456">
        <v>1.114066</v>
      </c>
      <c r="L8456">
        <v>-36.035919999999997</v>
      </c>
      <c r="M8456">
        <v>0.1111419</v>
      </c>
      <c r="N8456">
        <v>0</v>
      </c>
      <c r="O8456">
        <v>-0.99369320000000005</v>
      </c>
      <c r="P8456">
        <v>0.12714890000000001</v>
      </c>
      <c r="Q8456">
        <v>-1.132212E-2</v>
      </c>
      <c r="R8456">
        <v>-0.99181900000000001</v>
      </c>
      <c r="S8456">
        <v>1.1101989999999999</v>
      </c>
      <c r="T8456">
        <v>-0.17621579999999901</v>
      </c>
      <c r="U8456">
        <v>-2.8846440000000002</v>
      </c>
      <c r="V8456">
        <v>-1.6148079999999999E-2</v>
      </c>
      <c r="W8456">
        <v>3.4025290000000001E-3</v>
      </c>
      <c r="X8456">
        <v>0.99986379999999997</v>
      </c>
      <c r="Y8456">
        <v>-0.252627299999999</v>
      </c>
      <c r="Z8456">
        <v>5.7379499999999903E-2</v>
      </c>
      <c r="AA8456">
        <v>0.96586079999999996</v>
      </c>
      <c r="AB8456">
        <v>23</v>
      </c>
      <c r="AC8456">
        <v>6.9868999999999897</v>
      </c>
      <c r="AD8456">
        <v>-1.1140748603389901</v>
      </c>
      <c r="AE8456">
        <v>-18.008559999999999</v>
      </c>
      <c r="AF8456">
        <v>-4.9254921449197404</v>
      </c>
      <c r="AG8456">
        <v>-1.1140748603389901</v>
      </c>
      <c r="AH8456">
        <v>18.6116774506913</v>
      </c>
      <c r="AI8456">
        <v>93.311829852166596</v>
      </c>
      <c r="AJ8456">
        <v>104.82323374857501</v>
      </c>
      <c r="AK8456">
        <v>19.2846097495562</v>
      </c>
      <c r="AL8456">
        <v>89.805049068198002</v>
      </c>
      <c r="AM8456">
        <v>90.925262422659998</v>
      </c>
      <c r="AN8456">
        <v>0.99999997812085994</v>
      </c>
    </row>
    <row r="8457" spans="1:40" x14ac:dyDescent="0.25">
      <c r="A8457" t="str">
        <f>"20190312154126102"</f>
        <v>20190312154126102</v>
      </c>
      <c r="B8457" t="str">
        <f>"1552376486094283"</f>
        <v>1552376486094283</v>
      </c>
      <c r="C8457" t="s">
        <v>40</v>
      </c>
      <c r="D8457">
        <v>4.3228660000000003</v>
      </c>
      <c r="E8457">
        <v>0.40680280000000002</v>
      </c>
      <c r="F8457" t="s">
        <v>69</v>
      </c>
      <c r="G8457">
        <v>-293.98070000000001</v>
      </c>
      <c r="H8457" s="1">
        <v>-8.8981970000000008E-6</v>
      </c>
      <c r="I8457">
        <v>-54.749510000000001</v>
      </c>
      <c r="J8457">
        <v>-301.25490000000002</v>
      </c>
      <c r="K8457">
        <v>1.1143149999999999</v>
      </c>
      <c r="L8457">
        <v>-36.272219999999997</v>
      </c>
      <c r="M8457">
        <v>0.11775969999999999</v>
      </c>
      <c r="N8457">
        <v>0</v>
      </c>
      <c r="O8457">
        <v>-0.99293030000000004</v>
      </c>
      <c r="P8457">
        <v>0.13214100000000001</v>
      </c>
      <c r="Q8457">
        <v>-1.14509E-2</v>
      </c>
      <c r="R8457">
        <v>-0.99116470000000001</v>
      </c>
      <c r="S8457">
        <v>1.1242369999999999</v>
      </c>
      <c r="T8457">
        <v>-0.17137520000000001</v>
      </c>
      <c r="U8457">
        <v>-2.8786619999999998</v>
      </c>
      <c r="V8457">
        <v>-1.452226E-2</v>
      </c>
      <c r="W8457">
        <v>3.309069E-3</v>
      </c>
      <c r="X8457">
        <v>0.99988909999999998</v>
      </c>
      <c r="Y8457">
        <v>-0.25097960000000002</v>
      </c>
      <c r="Z8457">
        <v>5.581647E-2</v>
      </c>
      <c r="AA8457">
        <v>0.96638179999999996</v>
      </c>
      <c r="AB8457">
        <v>23</v>
      </c>
      <c r="AC8457">
        <v>7.2742000000000004</v>
      </c>
      <c r="AD8457">
        <v>-1.1143238981969901</v>
      </c>
      <c r="AE8457">
        <v>-18.47729</v>
      </c>
      <c r="AF8457">
        <v>-5.0316095219694601</v>
      </c>
      <c r="AG8457">
        <v>-1.1143238981969901</v>
      </c>
      <c r="AH8457">
        <v>19.1451138117243</v>
      </c>
      <c r="AI8457">
        <v>93.221919392791406</v>
      </c>
      <c r="AJ8457">
        <v>104.725149330007</v>
      </c>
      <c r="AK8457">
        <v>19.8266032137515</v>
      </c>
      <c r="AL8457">
        <v>89.810403971694598</v>
      </c>
      <c r="AM8457">
        <v>90.832097988072107</v>
      </c>
      <c r="AN8457">
        <v>1.0000000291359801</v>
      </c>
    </row>
    <row r="8458" spans="1:40" x14ac:dyDescent="0.25">
      <c r="A8458" t="str">
        <f>"20190312154126126"</f>
        <v>20190312154126126</v>
      </c>
      <c r="B8458" t="str">
        <f>"1552376486114781"</f>
        <v>1552376486114781</v>
      </c>
      <c r="C8458" t="s">
        <v>40</v>
      </c>
      <c r="D8458">
        <v>4.32</v>
      </c>
      <c r="E8458">
        <v>0.40711900000000001</v>
      </c>
      <c r="F8458" t="s">
        <v>69</v>
      </c>
      <c r="G8458">
        <v>-293.90960000000001</v>
      </c>
      <c r="H8458" s="1">
        <v>-8.9132490000000004E-6</v>
      </c>
      <c r="I8458">
        <v>-54.857410000000002</v>
      </c>
      <c r="J8458">
        <v>-301.2174</v>
      </c>
      <c r="K8458">
        <v>1.1145419999999999</v>
      </c>
      <c r="L8458">
        <v>-36.517090000000003</v>
      </c>
      <c r="M8458">
        <v>0.1250066</v>
      </c>
      <c r="N8458">
        <v>0</v>
      </c>
      <c r="O8458">
        <v>-0.99204360000000003</v>
      </c>
      <c r="P8458">
        <v>0.1359281</v>
      </c>
      <c r="Q8458">
        <v>-1.2558379999999999E-2</v>
      </c>
      <c r="R8458">
        <v>-0.99063920000000005</v>
      </c>
      <c r="S8458">
        <v>1.1356200000000001</v>
      </c>
      <c r="T8458">
        <v>-0.1722793</v>
      </c>
      <c r="U8458">
        <v>-2.8733520000000001</v>
      </c>
      <c r="V8458">
        <v>-1.103549E-2</v>
      </c>
      <c r="W8458">
        <v>2.2628919999999999E-3</v>
      </c>
      <c r="X8458">
        <v>0.99993650000000001</v>
      </c>
      <c r="Y8458">
        <v>-0.2478254</v>
      </c>
      <c r="Z8458">
        <v>5.6114850000000001E-2</v>
      </c>
      <c r="AA8458">
        <v>0.96717819999999999</v>
      </c>
      <c r="AB8458">
        <v>23</v>
      </c>
      <c r="AC8458">
        <v>7.3077999999999799</v>
      </c>
      <c r="AD8458">
        <v>-1.1145509132489999</v>
      </c>
      <c r="AE8458">
        <v>-18.340319999999899</v>
      </c>
      <c r="AF8458">
        <v>-4.9417977916835003</v>
      </c>
      <c r="AG8458">
        <v>-1.1145509132489999</v>
      </c>
      <c r="AH8458">
        <v>19.0493383743256</v>
      </c>
      <c r="AI8458">
        <v>93.241424221545003</v>
      </c>
      <c r="AJ8458">
        <v>104.54313639936299</v>
      </c>
      <c r="AK8458">
        <v>19.7114403748601</v>
      </c>
      <c r="AL8458">
        <v>89.870345722207801</v>
      </c>
      <c r="AM8458">
        <v>90.632301484551903</v>
      </c>
      <c r="AN8458">
        <v>0.99999995337599501</v>
      </c>
    </row>
    <row r="8459" spans="1:40" x14ac:dyDescent="0.25">
      <c r="A8459" t="str">
        <f>"20190312154126148"</f>
        <v>20190312154126148</v>
      </c>
      <c r="B8459" t="str">
        <f>"1552376486145037"</f>
        <v>1552376486145037</v>
      </c>
      <c r="C8459" t="s">
        <v>40</v>
      </c>
      <c r="D8459">
        <v>4.3419840000000001</v>
      </c>
      <c r="E8459">
        <v>0.40748489999999998</v>
      </c>
      <c r="F8459" t="s">
        <v>69</v>
      </c>
      <c r="G8459">
        <v>-293.96350000000001</v>
      </c>
      <c r="H8459" s="1">
        <v>-8.9084639999999993E-6</v>
      </c>
      <c r="I8459">
        <v>-54.709060000000001</v>
      </c>
      <c r="J8459">
        <v>-301.18090000000001</v>
      </c>
      <c r="K8459">
        <v>1.1147419999999999</v>
      </c>
      <c r="L8459">
        <v>-36.741849999999999</v>
      </c>
      <c r="M8459">
        <v>0.13201650000000001</v>
      </c>
      <c r="N8459">
        <v>0</v>
      </c>
      <c r="O8459">
        <v>-0.99113450000000003</v>
      </c>
      <c r="P8459">
        <v>0.13924700000000001</v>
      </c>
      <c r="Q8459">
        <v>-1.179112E-2</v>
      </c>
      <c r="R8459">
        <v>-0.9901875</v>
      </c>
      <c r="S8459">
        <v>1.1440429999999999</v>
      </c>
      <c r="T8459">
        <v>-0.17578099999999999</v>
      </c>
      <c r="U8459">
        <v>-2.8691409999999999</v>
      </c>
      <c r="V8459">
        <v>-7.3263269999999997E-3</v>
      </c>
      <c r="W8459">
        <v>3.0944940000000002E-3</v>
      </c>
      <c r="X8459">
        <v>0.99996830000000003</v>
      </c>
      <c r="Y8459">
        <v>-0.24388870000000001</v>
      </c>
      <c r="Z8459">
        <v>5.7249899999999999E-2</v>
      </c>
      <c r="AA8459">
        <v>0.96811190000000003</v>
      </c>
      <c r="AB8459">
        <v>23</v>
      </c>
      <c r="AC8459">
        <v>7.2173999999999898</v>
      </c>
      <c r="AD8459">
        <v>-1.1147509084639999</v>
      </c>
      <c r="AE8459">
        <v>-17.967210000000001</v>
      </c>
      <c r="AF8459">
        <v>-4.7661838451855996</v>
      </c>
      <c r="AG8459">
        <v>-1.1147509084639999</v>
      </c>
      <c r="AH8459">
        <v>18.700854330103301</v>
      </c>
      <c r="AI8459">
        <v>93.3059089143878</v>
      </c>
      <c r="AJ8459">
        <v>104.29826191219099</v>
      </c>
      <c r="AK8459">
        <v>19.330833678602001</v>
      </c>
      <c r="AL8459">
        <v>89.822698257976796</v>
      </c>
      <c r="AM8459">
        <v>90.419773412663901</v>
      </c>
      <c r="AN8459">
        <v>0.99999992598265497</v>
      </c>
    </row>
    <row r="8460" spans="1:40" x14ac:dyDescent="0.25">
      <c r="A8460" t="str">
        <f>"20190312154126167"</f>
        <v>20190312154126167</v>
      </c>
      <c r="B8460" t="str">
        <f>"1552376486164557"</f>
        <v>1552376486164557</v>
      </c>
      <c r="C8460" t="s">
        <v>40</v>
      </c>
      <c r="D8460">
        <v>4.3636749999999997</v>
      </c>
      <c r="E8460">
        <v>0.4182785</v>
      </c>
      <c r="F8460" t="s">
        <v>69</v>
      </c>
      <c r="G8460">
        <v>-293.8528</v>
      </c>
      <c r="H8460" s="1">
        <v>-8.9199930000000002E-6</v>
      </c>
      <c r="I8460">
        <v>-54.996729999999999</v>
      </c>
      <c r="J8460">
        <v>-301.1499</v>
      </c>
      <c r="K8460">
        <v>1.1149100000000001</v>
      </c>
      <c r="L8460">
        <v>-36.924469999999999</v>
      </c>
      <c r="M8460">
        <v>0.13799059999999999</v>
      </c>
      <c r="N8460">
        <v>0</v>
      </c>
      <c r="O8460">
        <v>-0.99032030000000004</v>
      </c>
      <c r="P8460">
        <v>0.14132790000000001</v>
      </c>
      <c r="Q8460">
        <v>-5.9405580000000003E-3</v>
      </c>
      <c r="R8460">
        <v>-0.98994519999999997</v>
      </c>
      <c r="S8460">
        <v>1.150452</v>
      </c>
      <c r="T8460">
        <v>-0.175005299999999</v>
      </c>
      <c r="U8460">
        <v>-2.8658450000000002</v>
      </c>
      <c r="V8460">
        <v>-3.4577010000000001E-3</v>
      </c>
      <c r="W8460">
        <v>9.0104969999999993E-3</v>
      </c>
      <c r="X8460">
        <v>0.99995339999999999</v>
      </c>
      <c r="Y8460">
        <v>-0.24029400000000001</v>
      </c>
      <c r="Z8460">
        <v>5.6991790000000001E-2</v>
      </c>
      <c r="AA8460">
        <v>0.96902569999999999</v>
      </c>
      <c r="AB8460">
        <v>23</v>
      </c>
      <c r="AC8460">
        <v>7.2971000000000004</v>
      </c>
      <c r="AD8460">
        <v>-1.1149189199930001</v>
      </c>
      <c r="AE8460">
        <v>-18.07226</v>
      </c>
      <c r="AF8460">
        <v>-4.7177566121889001</v>
      </c>
      <c r="AG8460">
        <v>-1.1149189199930001</v>
      </c>
      <c r="AH8460">
        <v>18.844709717686602</v>
      </c>
      <c r="AI8460">
        <v>93.284733502763999</v>
      </c>
      <c r="AJ8460">
        <v>104.055068707095</v>
      </c>
      <c r="AK8460">
        <v>19.458246477878799</v>
      </c>
      <c r="AL8460">
        <v>89.483729550804597</v>
      </c>
      <c r="AM8460">
        <v>90.198120116926603</v>
      </c>
      <c r="AN8460">
        <v>0.999999973461975</v>
      </c>
    </row>
    <row r="8461" spans="1:40" x14ac:dyDescent="0.25">
      <c r="A8461" t="str">
        <f>"20190312154126191"</f>
        <v>20190312154126191</v>
      </c>
      <c r="B8461" t="str">
        <f>"1552376486185052"</f>
        <v>1552376486185052</v>
      </c>
      <c r="C8461" t="s">
        <v>40</v>
      </c>
      <c r="D8461">
        <v>4.3557379999999997</v>
      </c>
      <c r="E8461">
        <v>0.41794779999999998</v>
      </c>
      <c r="F8461" t="s">
        <v>69</v>
      </c>
      <c r="G8461">
        <v>-292.91550000000001</v>
      </c>
      <c r="H8461" s="1">
        <v>-8.8561809999999997E-6</v>
      </c>
      <c r="I8461">
        <v>-59.046970000000002</v>
      </c>
      <c r="J8461">
        <v>-301.10789999999997</v>
      </c>
      <c r="K8461">
        <v>1.115124</v>
      </c>
      <c r="L8461">
        <v>-37.158389999999997</v>
      </c>
      <c r="M8461">
        <v>0.14601129999999901</v>
      </c>
      <c r="N8461">
        <v>0</v>
      </c>
      <c r="O8461">
        <v>-0.98916890000000002</v>
      </c>
      <c r="P8461">
        <v>0.1453516</v>
      </c>
      <c r="Q8461">
        <v>-1.442755E-4</v>
      </c>
      <c r="R8461">
        <v>-0.98938000000000004</v>
      </c>
      <c r="S8461">
        <v>1.07077</v>
      </c>
      <c r="T8461">
        <v>-0.14498039999999901</v>
      </c>
      <c r="U8461">
        <v>-2.8767399999999999</v>
      </c>
      <c r="V8461">
        <v>5.0997019999999996E-4</v>
      </c>
      <c r="W8461">
        <v>1.488518E-2</v>
      </c>
      <c r="X8461">
        <v>0.99988909999999998</v>
      </c>
      <c r="Y8461">
        <v>-0.2078467</v>
      </c>
      <c r="Z8461">
        <v>4.7398269999999999E-2</v>
      </c>
      <c r="AA8461">
        <v>0.9770124</v>
      </c>
      <c r="AB8461">
        <v>23</v>
      </c>
      <c r="AC8461">
        <v>8.1923999999999602</v>
      </c>
      <c r="AD8461">
        <v>-1.1151328561810001</v>
      </c>
      <c r="AE8461">
        <v>-21.888579999999902</v>
      </c>
      <c r="AF8461">
        <v>-4.8970923428311197</v>
      </c>
      <c r="AG8461">
        <v>-1.1151328561810001</v>
      </c>
      <c r="AH8461">
        <v>22.798360980095399</v>
      </c>
      <c r="AI8461">
        <v>92.737916218969005</v>
      </c>
      <c r="AJ8461">
        <v>102.122937441155</v>
      </c>
      <c r="AK8461">
        <v>23.345027266634101</v>
      </c>
      <c r="AL8461">
        <v>89.147110528609005</v>
      </c>
      <c r="AM8461">
        <v>89.970777621634298</v>
      </c>
      <c r="AN8461">
        <v>1.00000002047602</v>
      </c>
    </row>
    <row r="8462" spans="1:40" x14ac:dyDescent="0.25">
      <c r="A8462" t="str">
        <f>"20190312154126213"</f>
        <v>20190312154126213</v>
      </c>
      <c r="B8462" t="str">
        <f>"1552376486204572"</f>
        <v>1552376486204572</v>
      </c>
      <c r="C8462" t="s">
        <v>40</v>
      </c>
      <c r="D8462">
        <v>4.3299989999999999</v>
      </c>
      <c r="E8462">
        <v>0.4177728</v>
      </c>
      <c r="F8462" t="s">
        <v>69</v>
      </c>
      <c r="G8462">
        <v>-292.00130000000001</v>
      </c>
      <c r="H8462" s="1">
        <v>-1.0625190000000001E-5</v>
      </c>
      <c r="I8462">
        <v>-61.27628</v>
      </c>
      <c r="J8462">
        <v>-301.06790000000001</v>
      </c>
      <c r="K8462">
        <v>1.115307</v>
      </c>
      <c r="L8462">
        <v>-37.370359999999998</v>
      </c>
      <c r="M8462">
        <v>0.15363160000000001</v>
      </c>
      <c r="N8462">
        <v>0</v>
      </c>
      <c r="O8462">
        <v>-0.98801369999999999</v>
      </c>
      <c r="P8462">
        <v>0.14921690000000001</v>
      </c>
      <c r="Q8462">
        <v>4.1570729999999998E-3</v>
      </c>
      <c r="R8462">
        <v>-0.98879609999999996</v>
      </c>
      <c r="S8462">
        <v>1.0847469999999999</v>
      </c>
      <c r="T8462">
        <v>-0.13283059999999999</v>
      </c>
      <c r="U8462">
        <v>-2.872833</v>
      </c>
      <c r="V8462">
        <v>4.2492169999999996E-3</v>
      </c>
      <c r="W8462">
        <v>1.926572E-2</v>
      </c>
      <c r="X8462">
        <v>0.99980539999999996</v>
      </c>
      <c r="Y8462">
        <v>-0.20497209999999999</v>
      </c>
      <c r="Z8462">
        <v>4.3390999999999999E-2</v>
      </c>
      <c r="AA8462">
        <v>0.97780560000000005</v>
      </c>
      <c r="AB8462">
        <v>23</v>
      </c>
      <c r="AC8462">
        <v>9.0665999999999904</v>
      </c>
      <c r="AD8462">
        <v>-1.1153176251899899</v>
      </c>
      <c r="AE8462">
        <v>-23.905919999999998</v>
      </c>
      <c r="AF8462">
        <v>-5.2757788928063096</v>
      </c>
      <c r="AG8462">
        <v>-1.1153176251899899</v>
      </c>
      <c r="AH8462">
        <v>24.9676114240585</v>
      </c>
      <c r="AI8462">
        <v>92.502548762447901</v>
      </c>
      <c r="AJ8462">
        <v>101.93136823816501</v>
      </c>
      <c r="AK8462">
        <v>25.543284764368401</v>
      </c>
      <c r="AL8462">
        <v>88.896087292077794</v>
      </c>
      <c r="AM8462">
        <v>89.756491878844201</v>
      </c>
      <c r="AN8462">
        <v>1.00000003084069</v>
      </c>
    </row>
    <row r="8463" spans="1:40" x14ac:dyDescent="0.25">
      <c r="A8463" t="str">
        <f>"20190312154126233"</f>
        <v>20190312154126233</v>
      </c>
      <c r="B8463" t="str">
        <f>"1552376486225068"</f>
        <v>1552376486225068</v>
      </c>
      <c r="C8463" t="s">
        <v>40</v>
      </c>
      <c r="D8463">
        <v>4.3863469999999998</v>
      </c>
      <c r="E8463">
        <v>0.41789159999999997</v>
      </c>
      <c r="F8463" t="s">
        <v>69</v>
      </c>
      <c r="G8463">
        <v>-291.10770000000002</v>
      </c>
      <c r="H8463" s="1">
        <v>-1.0759180000000001E-5</v>
      </c>
      <c r="I8463">
        <v>-63.411769999999997</v>
      </c>
      <c r="J8463">
        <v>-301.02730000000003</v>
      </c>
      <c r="K8463">
        <v>1.1154839999999999</v>
      </c>
      <c r="L8463">
        <v>-37.574680000000001</v>
      </c>
      <c r="M8463">
        <v>0.16128679999999901</v>
      </c>
      <c r="N8463">
        <v>0</v>
      </c>
      <c r="O8463">
        <v>-0.98679240000000001</v>
      </c>
      <c r="P8463">
        <v>0.15345059999999999</v>
      </c>
      <c r="Q8463">
        <v>4.7893060000000001E-3</v>
      </c>
      <c r="R8463">
        <v>-0.98814500000000005</v>
      </c>
      <c r="S8463">
        <v>1.0972900000000001</v>
      </c>
      <c r="T8463">
        <v>-0.1228722</v>
      </c>
      <c r="U8463">
        <v>-2.8689269999999998</v>
      </c>
      <c r="V8463">
        <v>7.7010159999999998E-3</v>
      </c>
      <c r="W8463">
        <v>1.9978449999999998E-2</v>
      </c>
      <c r="X8463">
        <v>0.99977079999999996</v>
      </c>
      <c r="Y8463">
        <v>-0.2016068</v>
      </c>
      <c r="Z8463">
        <v>4.0104519999999998E-2</v>
      </c>
      <c r="AA8463">
        <v>0.97864510000000005</v>
      </c>
      <c r="AB8463">
        <v>23</v>
      </c>
      <c r="AC8463">
        <v>9.9196000000000009</v>
      </c>
      <c r="AD8463">
        <v>-1.11549475918</v>
      </c>
      <c r="AE8463">
        <v>-25.83709</v>
      </c>
      <c r="AF8463">
        <v>-5.61292491615069</v>
      </c>
      <c r="AG8463">
        <v>-1.11549475918</v>
      </c>
      <c r="AH8463">
        <v>27.054872978883399</v>
      </c>
      <c r="AI8463">
        <v>92.311841716152301</v>
      </c>
      <c r="AJ8463">
        <v>101.720569335904</v>
      </c>
      <c r="AK8463">
        <v>27.653488144818599</v>
      </c>
      <c r="AL8463">
        <v>88.855243027737203</v>
      </c>
      <c r="AM8463">
        <v>89.558671859106397</v>
      </c>
      <c r="AN8463">
        <v>1.00000004832223</v>
      </c>
    </row>
    <row r="8464" spans="1:40" x14ac:dyDescent="0.25">
      <c r="A8464" t="str">
        <f>"20190312154126256"</f>
        <v>20190312154126256</v>
      </c>
      <c r="B8464" t="str">
        <f>"1552376486244588"</f>
        <v>1552376486244588</v>
      </c>
      <c r="C8464" t="s">
        <v>40</v>
      </c>
      <c r="D8464">
        <v>4.3691069999999996</v>
      </c>
      <c r="E8464">
        <v>0.4181492</v>
      </c>
      <c r="F8464" t="s">
        <v>69</v>
      </c>
      <c r="G8464">
        <v>-291.10340000000002</v>
      </c>
      <c r="H8464" s="1">
        <v>-1.072076E-5</v>
      </c>
      <c r="I8464">
        <v>-63.214570000000002</v>
      </c>
      <c r="J8464">
        <v>-300.98250000000002</v>
      </c>
      <c r="K8464">
        <v>1.1156619999999999</v>
      </c>
      <c r="L8464">
        <v>-37.78931</v>
      </c>
      <c r="M8464">
        <v>0.16964879999999999</v>
      </c>
      <c r="N8464">
        <v>0</v>
      </c>
      <c r="O8464">
        <v>-0.98538840000000005</v>
      </c>
      <c r="P8464">
        <v>0.15847600000000001</v>
      </c>
      <c r="Q8464">
        <v>1.2082919999999999E-3</v>
      </c>
      <c r="R8464">
        <v>-0.98736190000000001</v>
      </c>
      <c r="S8464">
        <v>1.108673</v>
      </c>
      <c r="T8464">
        <v>-0.1246196</v>
      </c>
      <c r="U8464">
        <v>-2.8644099999999999</v>
      </c>
      <c r="V8464">
        <v>1.1131439999999999E-2</v>
      </c>
      <c r="W8464">
        <v>1.648382E-2</v>
      </c>
      <c r="X8464">
        <v>0.99980219999999997</v>
      </c>
      <c r="Y8464">
        <v>-0.1971928</v>
      </c>
      <c r="Z8464">
        <v>4.0637680000000002E-2</v>
      </c>
      <c r="AA8464">
        <v>0.97952209999999995</v>
      </c>
      <c r="AB8464">
        <v>23</v>
      </c>
      <c r="AC8464">
        <v>9.8790999999999904</v>
      </c>
      <c r="AD8464">
        <v>-1.1156727207599999</v>
      </c>
      <c r="AE8464">
        <v>-25.425259999999898</v>
      </c>
      <c r="AF8464">
        <v>-5.4129510368654099</v>
      </c>
      <c r="AG8464">
        <v>-1.1156727207599999</v>
      </c>
      <c r="AH8464">
        <v>26.688147290728001</v>
      </c>
      <c r="AI8464">
        <v>92.346087956978295</v>
      </c>
      <c r="AJ8464">
        <v>101.465333387835</v>
      </c>
      <c r="AK8464">
        <v>27.254393597343999</v>
      </c>
      <c r="AL8464">
        <v>89.055503938369597</v>
      </c>
      <c r="AM8464">
        <v>89.362115645441094</v>
      </c>
      <c r="AN8464">
        <v>1.0000000322015501</v>
      </c>
    </row>
    <row r="8465" spans="1:40" x14ac:dyDescent="0.25">
      <c r="A8465" t="str">
        <f>"20190312154126280"</f>
        <v>20190312154126280</v>
      </c>
      <c r="B8465" t="str">
        <f>"1552376486265084"</f>
        <v>1552376486265084</v>
      </c>
      <c r="C8465" t="s">
        <v>40</v>
      </c>
      <c r="D8465">
        <v>4.3209470000000003</v>
      </c>
      <c r="E8465">
        <v>0.41829369999999999</v>
      </c>
      <c r="F8465" t="s">
        <v>69</v>
      </c>
      <c r="G8465">
        <v>-292.0421</v>
      </c>
      <c r="H8465" s="1">
        <v>-1.0481909999999999E-5</v>
      </c>
      <c r="I8465">
        <v>-60.5715</v>
      </c>
      <c r="J8465">
        <v>-300.93290000000002</v>
      </c>
      <c r="K8465">
        <v>1.1158410000000001</v>
      </c>
      <c r="L8465">
        <v>-38.014589999999998</v>
      </c>
      <c r="M8465">
        <v>0.17880360000000001</v>
      </c>
      <c r="N8465">
        <v>0</v>
      </c>
      <c r="O8465">
        <v>-0.98376779999999997</v>
      </c>
      <c r="P8465">
        <v>0.1653752</v>
      </c>
      <c r="Q8465">
        <v>-3.4413579999999998E-3</v>
      </c>
      <c r="R8465">
        <v>-0.98622480000000001</v>
      </c>
      <c r="S8465">
        <v>1.1217649999999999</v>
      </c>
      <c r="T8465">
        <v>-0.13998529999999901</v>
      </c>
      <c r="U8465">
        <v>-2.8585210000000001</v>
      </c>
      <c r="V8465">
        <v>1.349152E-2</v>
      </c>
      <c r="W8465">
        <v>1.1911410000000001E-2</v>
      </c>
      <c r="X8465">
        <v>0.99983809999999995</v>
      </c>
      <c r="Y8465">
        <v>-0.19256870000000001</v>
      </c>
      <c r="Z8465">
        <v>4.5598069999999997E-2</v>
      </c>
      <c r="AA8465">
        <v>0.98022350000000003</v>
      </c>
      <c r="AB8465">
        <v>22</v>
      </c>
      <c r="AC8465">
        <v>8.8908000000000094</v>
      </c>
      <c r="AD8465">
        <v>-1.1158514819100001</v>
      </c>
      <c r="AE8465">
        <v>-22.556909999999899</v>
      </c>
      <c r="AF8465">
        <v>-4.7038056536735597</v>
      </c>
      <c r="AG8465">
        <v>-1.1158514819100001</v>
      </c>
      <c r="AH8465">
        <v>23.732938422507999</v>
      </c>
      <c r="AI8465">
        <v>92.640603132017802</v>
      </c>
      <c r="AJ8465">
        <v>101.210586717472</v>
      </c>
      <c r="AK8465">
        <v>24.220307147593498</v>
      </c>
      <c r="AL8465">
        <v>89.317510383530305</v>
      </c>
      <c r="AM8465">
        <v>89.226914593529102</v>
      </c>
      <c r="AN8465">
        <v>1.00000006450585</v>
      </c>
    </row>
    <row r="8466" spans="1:40" x14ac:dyDescent="0.25">
      <c r="A8466" t="str">
        <f>"20190312154126303"</f>
        <v>20190312154126303</v>
      </c>
      <c r="B8466" t="str">
        <f>"1552376486294499"</f>
        <v>1552376486294499</v>
      </c>
      <c r="C8466" t="s">
        <v>40</v>
      </c>
      <c r="D8466">
        <v>4.3546800000000001</v>
      </c>
      <c r="E8466">
        <v>0.41869200000000001</v>
      </c>
      <c r="F8466" t="s">
        <v>69</v>
      </c>
      <c r="G8466">
        <v>-292.89980000000003</v>
      </c>
      <c r="H8466" s="1">
        <v>-8.9586079999999995E-6</v>
      </c>
      <c r="I8466">
        <v>-58.078699999999998</v>
      </c>
      <c r="J8466">
        <v>-300.8811</v>
      </c>
      <c r="K8466">
        <v>1.1159969999999999</v>
      </c>
      <c r="L8466">
        <v>-38.237029999999997</v>
      </c>
      <c r="M8466">
        <v>0.18819449999999999</v>
      </c>
      <c r="N8466">
        <v>0</v>
      </c>
      <c r="O8466">
        <v>-0.98201419999999995</v>
      </c>
      <c r="P8466">
        <v>0.17392769999999999</v>
      </c>
      <c r="Q8466">
        <v>-6.6917340000000004E-3</v>
      </c>
      <c r="R8466">
        <v>-0.98473599999999994</v>
      </c>
      <c r="S8466">
        <v>1.141052</v>
      </c>
      <c r="T8466">
        <v>-0.1585009</v>
      </c>
      <c r="U8466">
        <v>-2.850006</v>
      </c>
      <c r="V8466">
        <v>1.440408E-2</v>
      </c>
      <c r="W8466">
        <v>8.7191600000000001E-3</v>
      </c>
      <c r="X8466">
        <v>0.99985829999999998</v>
      </c>
      <c r="Y8466">
        <v>-0.18980900000000001</v>
      </c>
      <c r="Z8466">
        <v>5.1571100000000002E-2</v>
      </c>
      <c r="AA8466">
        <v>0.9804657</v>
      </c>
      <c r="AB8466">
        <v>22</v>
      </c>
      <c r="AC8466">
        <v>7.9812999999999699</v>
      </c>
      <c r="AD8466">
        <v>-1.116005958608</v>
      </c>
      <c r="AE8466">
        <v>-19.841670000000001</v>
      </c>
      <c r="AF8466">
        <v>-4.0929856099477897</v>
      </c>
      <c r="AG8466">
        <v>-1.116005958608</v>
      </c>
      <c r="AH8466">
        <v>20.932264225465602</v>
      </c>
      <c r="AI8466">
        <v>92.995225156554</v>
      </c>
      <c r="AJ8466">
        <v>101.063724057332</v>
      </c>
      <c r="AK8466">
        <v>21.357848349204001</v>
      </c>
      <c r="AL8466">
        <v>89.500422631319097</v>
      </c>
      <c r="AM8466">
        <v>89.174647141383005</v>
      </c>
      <c r="AN8466">
        <v>1.0000000606753101</v>
      </c>
    </row>
    <row r="8467" spans="1:40" x14ac:dyDescent="0.25">
      <c r="A8467" t="str">
        <f>"20190312154126326"</f>
        <v>20190312154126326</v>
      </c>
      <c r="B8467" t="str">
        <f>"1552376486314996"</f>
        <v>1552376486314996</v>
      </c>
      <c r="C8467" t="s">
        <v>40</v>
      </c>
      <c r="D8467">
        <v>4.3801589999999999</v>
      </c>
      <c r="E8467">
        <v>0.41883369999999998</v>
      </c>
      <c r="F8467" t="s">
        <v>69</v>
      </c>
      <c r="G8467">
        <v>-293.62459999999999</v>
      </c>
      <c r="H8467" s="1">
        <v>-8.9061499999999994E-6</v>
      </c>
      <c r="I8467">
        <v>-55.966019999999901</v>
      </c>
      <c r="J8467">
        <v>-300.82639999999998</v>
      </c>
      <c r="K8467">
        <v>1.116128</v>
      </c>
      <c r="L8467">
        <v>-38.461300000000001</v>
      </c>
      <c r="M8467">
        <v>0.1979503</v>
      </c>
      <c r="N8467">
        <v>0</v>
      </c>
      <c r="O8467">
        <v>-0.98009349999999995</v>
      </c>
      <c r="P8467">
        <v>0.18373600000000001</v>
      </c>
      <c r="Q8467">
        <v>-8.5195640000000003E-3</v>
      </c>
      <c r="R8467">
        <v>-0.98293900000000001</v>
      </c>
      <c r="S8467">
        <v>1.162415</v>
      </c>
      <c r="T8467">
        <v>-0.1787704</v>
      </c>
      <c r="U8467">
        <v>-2.839966</v>
      </c>
      <c r="V8467">
        <v>1.439878E-2</v>
      </c>
      <c r="W8467">
        <v>6.93489E-3</v>
      </c>
      <c r="X8467">
        <v>0.99987230000000005</v>
      </c>
      <c r="Y8467">
        <v>-0.1874362</v>
      </c>
      <c r="Z8467">
        <v>5.8098919999999998E-2</v>
      </c>
      <c r="AA8467">
        <v>0.98055709999999996</v>
      </c>
      <c r="AB8467">
        <v>22</v>
      </c>
      <c r="AC8467">
        <v>7.2017999999999898</v>
      </c>
      <c r="AD8467">
        <v>-1.1161369061499999</v>
      </c>
      <c r="AE8467">
        <v>-17.504719999999899</v>
      </c>
      <c r="AF8467">
        <v>-3.5813379410965398</v>
      </c>
      <c r="AG8467">
        <v>-1.1161369061499999</v>
      </c>
      <c r="AH8467">
        <v>18.519626768034701</v>
      </c>
      <c r="AI8467">
        <v>93.386331535160295</v>
      </c>
      <c r="AJ8467">
        <v>100.94480017785401</v>
      </c>
      <c r="AK8467">
        <v>18.895722232000502</v>
      </c>
      <c r="AL8467">
        <v>89.602656893414803</v>
      </c>
      <c r="AM8467">
        <v>89.174962339622894</v>
      </c>
      <c r="AN8467">
        <v>1.0000000169360399</v>
      </c>
    </row>
    <row r="8468" spans="1:40" x14ac:dyDescent="0.25">
      <c r="A8468" t="str">
        <f>"20190312154126349"</f>
        <v>20190312154126349</v>
      </c>
      <c r="B8468" t="str">
        <f>"1552376486334516"</f>
        <v>1552376486334516</v>
      </c>
      <c r="C8468" t="s">
        <v>40</v>
      </c>
      <c r="D8468">
        <v>4.3385239999999996</v>
      </c>
      <c r="E8468">
        <v>0.4190837</v>
      </c>
      <c r="F8468" t="s">
        <v>69</v>
      </c>
      <c r="G8468">
        <v>-293.78620000000001</v>
      </c>
      <c r="H8468" s="1">
        <v>-8.9241210000000006E-6</v>
      </c>
      <c r="I8468">
        <v>-55.197679999999998</v>
      </c>
      <c r="J8468">
        <v>-300.77190000000002</v>
      </c>
      <c r="K8468">
        <v>1.1162289999999999</v>
      </c>
      <c r="L8468">
        <v>-38.674869999999999</v>
      </c>
      <c r="M8468">
        <v>0.2074935</v>
      </c>
      <c r="N8468">
        <v>0</v>
      </c>
      <c r="O8468">
        <v>-0.97811709999999996</v>
      </c>
      <c r="P8468">
        <v>0.1945344</v>
      </c>
      <c r="Q8468">
        <v>-1.05544E-2</v>
      </c>
      <c r="R8468">
        <v>-0.98083880000000001</v>
      </c>
      <c r="S8468">
        <v>1.1896359999999999</v>
      </c>
      <c r="T8468">
        <v>-0.18860160000000001</v>
      </c>
      <c r="U8468">
        <v>-2.8280639999999999</v>
      </c>
      <c r="V8468">
        <v>1.317173E-2</v>
      </c>
      <c r="W8468">
        <v>4.919812E-3</v>
      </c>
      <c r="X8468">
        <v>0.99990109999999999</v>
      </c>
      <c r="Y8468">
        <v>-0.187281</v>
      </c>
      <c r="Z8468">
        <v>6.1227129999999998E-2</v>
      </c>
      <c r="AA8468">
        <v>0.98039639999999995</v>
      </c>
      <c r="AB8468">
        <v>22</v>
      </c>
      <c r="AC8468">
        <v>6.9856999999999996</v>
      </c>
      <c r="AD8468">
        <v>-1.1162379241210001</v>
      </c>
      <c r="AE8468">
        <v>-16.52281</v>
      </c>
      <c r="AF8468">
        <v>-3.3917219175024802</v>
      </c>
      <c r="AG8468">
        <v>-1.1162379241210001</v>
      </c>
      <c r="AH8468">
        <v>17.544853992989498</v>
      </c>
      <c r="AI8468">
        <v>93.574362326013599</v>
      </c>
      <c r="AJ8468">
        <v>100.941293928622</v>
      </c>
      <c r="AK8468">
        <v>17.904515249071402</v>
      </c>
      <c r="AL8468">
        <v>89.718114386388294</v>
      </c>
      <c r="AM8468">
        <v>89.245284469369395</v>
      </c>
      <c r="AN8468">
        <v>0.999999954401258</v>
      </c>
    </row>
    <row r="8469" spans="1:40" x14ac:dyDescent="0.25">
      <c r="A8469" t="str">
        <f>"20190312154126368"</f>
        <v>20190312154126368</v>
      </c>
      <c r="B8469" t="str">
        <f>"1552376486364772"</f>
        <v>1552376486364772</v>
      </c>
      <c r="C8469" t="s">
        <v>40</v>
      </c>
      <c r="D8469">
        <v>4.357297</v>
      </c>
      <c r="E8469">
        <v>0.4196918</v>
      </c>
      <c r="F8469" t="s">
        <v>69</v>
      </c>
      <c r="G8469">
        <v>-293.8997</v>
      </c>
      <c r="H8469" s="1">
        <v>-8.94773999999999E-6</v>
      </c>
      <c r="I8469">
        <v>-54.548310000000001</v>
      </c>
      <c r="J8469">
        <v>-300.72449999999998</v>
      </c>
      <c r="K8469">
        <v>1.1163110000000001</v>
      </c>
      <c r="L8469">
        <v>-38.852870000000003</v>
      </c>
      <c r="M8469">
        <v>0.21563779999999999</v>
      </c>
      <c r="N8469">
        <v>0</v>
      </c>
      <c r="O8469">
        <v>-0.97635349999999999</v>
      </c>
      <c r="P8469">
        <v>0.2051663</v>
      </c>
      <c r="Q8469">
        <v>-1.2501470000000001E-2</v>
      </c>
      <c r="R8469">
        <v>-0.97864759999999995</v>
      </c>
      <c r="S8469">
        <v>1.218628</v>
      </c>
      <c r="T8469">
        <v>-0.197939</v>
      </c>
      <c r="U8469">
        <v>-2.8147890000000002</v>
      </c>
      <c r="V8469">
        <v>1.0677320000000001E-2</v>
      </c>
      <c r="W8469">
        <v>2.9652709999999998E-3</v>
      </c>
      <c r="X8469">
        <v>0.99993860000000001</v>
      </c>
      <c r="Y8469">
        <v>-0.18920529999999999</v>
      </c>
      <c r="Z8469">
        <v>6.4213859999999998E-2</v>
      </c>
      <c r="AA8469">
        <v>0.97983569999999998</v>
      </c>
      <c r="AB8469">
        <v>22</v>
      </c>
      <c r="AC8469">
        <v>6.8247999999999802</v>
      </c>
      <c r="AD8469">
        <v>-1.1163199477399901</v>
      </c>
      <c r="AE8469">
        <v>-15.6954399999999</v>
      </c>
      <c r="AF8469">
        <v>-3.2653795240356098</v>
      </c>
      <c r="AG8469">
        <v>-1.1163199477399901</v>
      </c>
      <c r="AH8469">
        <v>16.726789970158901</v>
      </c>
      <c r="AI8469">
        <v>93.747632578165906</v>
      </c>
      <c r="AJ8469">
        <v>101.046271265727</v>
      </c>
      <c r="AK8469">
        <v>17.0790625143045</v>
      </c>
      <c r="AL8469">
        <v>89.830102237756293</v>
      </c>
      <c r="AM8469">
        <v>89.388220313618106</v>
      </c>
      <c r="AN8469">
        <v>1.0000000008822201</v>
      </c>
    </row>
    <row r="8470" spans="1:40" x14ac:dyDescent="0.25">
      <c r="A8470" t="str">
        <f>"20190312154126391"</f>
        <v>20190312154126391</v>
      </c>
      <c r="B8470" t="str">
        <f>"1552376486384291"</f>
        <v>1552376486384291</v>
      </c>
      <c r="C8470" t="s">
        <v>40</v>
      </c>
      <c r="D8470">
        <v>4.3029789999999997</v>
      </c>
      <c r="E8470">
        <v>0.419933</v>
      </c>
      <c r="F8470" t="s">
        <v>69</v>
      </c>
      <c r="G8470">
        <v>-293.9504</v>
      </c>
      <c r="H8470" s="1">
        <v>-8.9771169999999905E-6</v>
      </c>
      <c r="I8470">
        <v>-54.103990000000003</v>
      </c>
      <c r="J8470">
        <v>-300.6653</v>
      </c>
      <c r="K8470">
        <v>1.1164019999999999</v>
      </c>
      <c r="L8470">
        <v>-39.066189999999999</v>
      </c>
      <c r="M8470">
        <v>0.22561610000000001</v>
      </c>
      <c r="N8470">
        <v>0</v>
      </c>
      <c r="O8470">
        <v>-0.97409559999999995</v>
      </c>
      <c r="P8470">
        <v>0.2178609</v>
      </c>
      <c r="Q8470">
        <v>-1.23147E-2</v>
      </c>
      <c r="R8470">
        <v>-0.9759023</v>
      </c>
      <c r="S8470">
        <v>1.244537</v>
      </c>
      <c r="T8470">
        <v>-0.20509089999999999</v>
      </c>
      <c r="U8470">
        <v>-2.8019409999999998</v>
      </c>
      <c r="V8470">
        <v>7.9167349999999994E-3</v>
      </c>
      <c r="W8470">
        <v>3.1450380000000002E-3</v>
      </c>
      <c r="X8470">
        <v>0.99996370000000001</v>
      </c>
      <c r="Y8470">
        <v>-0.18832740000000001</v>
      </c>
      <c r="Z8470">
        <v>6.6460080000000005E-2</v>
      </c>
      <c r="AA8470">
        <v>0.97985500000000003</v>
      </c>
      <c r="AB8470">
        <v>22</v>
      </c>
      <c r="AC8470">
        <v>6.7149000000000001</v>
      </c>
      <c r="AD8470">
        <v>-1.1164109771170001</v>
      </c>
      <c r="AE8470">
        <v>-15.037800000000001</v>
      </c>
      <c r="AF8470">
        <v>-3.13415244220336</v>
      </c>
      <c r="AG8470">
        <v>-1.1164109771170001</v>
      </c>
      <c r="AH8470">
        <v>16.091200397854099</v>
      </c>
      <c r="AI8470">
        <v>93.895854750151997</v>
      </c>
      <c r="AJ8470">
        <v>101.021751040718</v>
      </c>
      <c r="AK8470">
        <v>16.431555472465</v>
      </c>
      <c r="AL8470">
        <v>89.819802296178494</v>
      </c>
      <c r="AM8470">
        <v>89.546397507857293</v>
      </c>
      <c r="AN8470">
        <v>0.99999998363738496</v>
      </c>
    </row>
    <row r="8471" spans="1:40" x14ac:dyDescent="0.25">
      <c r="A8471" t="str">
        <f>"20190312154126412"</f>
        <v>20190312154126412</v>
      </c>
      <c r="B8471" t="str">
        <f>"1552376486404787"</f>
        <v>1552376486404787</v>
      </c>
      <c r="C8471" t="s">
        <v>40</v>
      </c>
      <c r="D8471">
        <v>4.3555830000000002</v>
      </c>
      <c r="E8471">
        <v>0.41228019999999999</v>
      </c>
      <c r="F8471" t="s">
        <v>69</v>
      </c>
      <c r="G8471">
        <v>-293.70679999999999</v>
      </c>
      <c r="H8471" s="1">
        <v>-9.0501529999999999E-6</v>
      </c>
      <c r="I8471">
        <v>-54.225290000000001</v>
      </c>
      <c r="J8471">
        <v>-300.60640000000001</v>
      </c>
      <c r="K8471">
        <v>1.116482</v>
      </c>
      <c r="L8471">
        <v>-39.269840000000002</v>
      </c>
      <c r="M8471">
        <v>0.23535239999999999</v>
      </c>
      <c r="N8471">
        <v>0</v>
      </c>
      <c r="O8471">
        <v>-0.9717886</v>
      </c>
      <c r="P8471">
        <v>0.22947780000000001</v>
      </c>
      <c r="Q8471">
        <v>-1.171442E-2</v>
      </c>
      <c r="R8471">
        <v>-0.97324350000000004</v>
      </c>
      <c r="S8471">
        <v>1.27887</v>
      </c>
      <c r="T8471">
        <v>-0.2051772</v>
      </c>
      <c r="U8471">
        <v>-2.7859799999999999</v>
      </c>
      <c r="V8471">
        <v>5.9959109999999996E-3</v>
      </c>
      <c r="W8471">
        <v>3.7482330000000001E-3</v>
      </c>
      <c r="X8471">
        <v>0.99997499999999995</v>
      </c>
      <c r="Y8471">
        <v>-0.1906003</v>
      </c>
      <c r="Z8471">
        <v>6.6423449999999995E-2</v>
      </c>
      <c r="AA8471">
        <v>0.97941789999999995</v>
      </c>
      <c r="AB8471">
        <v>22</v>
      </c>
      <c r="AC8471">
        <v>6.8996000000000199</v>
      </c>
      <c r="AD8471">
        <v>-1.1164910501530001</v>
      </c>
      <c r="AE8471">
        <v>-14.955450000000001</v>
      </c>
      <c r="AF8471">
        <v>-3.17095642548664</v>
      </c>
      <c r="AG8471">
        <v>-1.1164910501530001</v>
      </c>
      <c r="AH8471">
        <v>16.0853652627104</v>
      </c>
      <c r="AI8471">
        <v>93.895813239281296</v>
      </c>
      <c r="AJ8471">
        <v>101.151897098658</v>
      </c>
      <c r="AK8471">
        <v>16.432908828086902</v>
      </c>
      <c r="AL8471">
        <v>89.785241565689006</v>
      </c>
      <c r="AM8471">
        <v>89.656455133726993</v>
      </c>
      <c r="AN8471">
        <v>1.0000000004121701</v>
      </c>
    </row>
    <row r="8472" spans="1:40" x14ac:dyDescent="0.25">
      <c r="A8472" t="str">
        <f>"20190312154126436"</f>
        <v>20190312154126436</v>
      </c>
      <c r="B8472" t="str">
        <f>"1552376486425284"</f>
        <v>1552376486425284</v>
      </c>
      <c r="C8472" t="s">
        <v>40</v>
      </c>
      <c r="D8472">
        <v>4.3646669999999999</v>
      </c>
      <c r="E8472">
        <v>0.3971539</v>
      </c>
      <c r="F8472" t="s">
        <v>69</v>
      </c>
      <c r="G8472">
        <v>-293.44260000000003</v>
      </c>
      <c r="H8472" s="1">
        <v>-9.204809E-6</v>
      </c>
      <c r="I8472">
        <v>-53.664189999999998</v>
      </c>
      <c r="J8472">
        <v>-300.54329999999999</v>
      </c>
      <c r="K8472">
        <v>1.116568</v>
      </c>
      <c r="L8472">
        <v>-39.479430000000001</v>
      </c>
      <c r="M8472">
        <v>0.24557300000000001</v>
      </c>
      <c r="N8472">
        <v>0</v>
      </c>
      <c r="O8472">
        <v>-0.96925589999999995</v>
      </c>
      <c r="P8472">
        <v>0.2402637</v>
      </c>
      <c r="Q8472">
        <v>-1.1874060000000001E-2</v>
      </c>
      <c r="R8472">
        <v>-0.97063529999999998</v>
      </c>
      <c r="S8472">
        <v>1.371826</v>
      </c>
      <c r="T8472">
        <v>-0.21380199999999999</v>
      </c>
      <c r="U8472">
        <v>-2.7564389999999999</v>
      </c>
      <c r="V8472">
        <v>5.4305409999999997E-3</v>
      </c>
      <c r="W8472">
        <v>3.6118589999999998E-3</v>
      </c>
      <c r="X8472">
        <v>0.9999787</v>
      </c>
      <c r="Y8472">
        <v>-0.21093999999999999</v>
      </c>
      <c r="Z8472">
        <v>6.8973759999999995E-2</v>
      </c>
      <c r="AA8472">
        <v>0.97506250000000005</v>
      </c>
      <c r="AB8472">
        <v>22</v>
      </c>
      <c r="AC8472">
        <v>7.1006999999999598</v>
      </c>
      <c r="AD8472">
        <v>-1.1165772048089999</v>
      </c>
      <c r="AE8472">
        <v>-14.184760000000001</v>
      </c>
      <c r="AF8472">
        <v>-3.3826439138914401</v>
      </c>
      <c r="AG8472">
        <v>-1.1165772048089999</v>
      </c>
      <c r="AH8472">
        <v>15.4178467288025</v>
      </c>
      <c r="AI8472">
        <v>94.046281836711103</v>
      </c>
      <c r="AJ8472">
        <v>102.374511744298</v>
      </c>
      <c r="AK8472">
        <v>15.8240014615562</v>
      </c>
      <c r="AL8472">
        <v>89.793055266607297</v>
      </c>
      <c r="AM8472">
        <v>89.688849351450799</v>
      </c>
      <c r="AN8472">
        <v>0.99999996837733796</v>
      </c>
    </row>
    <row r="8473" spans="1:40" x14ac:dyDescent="0.25">
      <c r="A8473" t="str">
        <f>"20190312154126457"</f>
        <v>20190312154126457</v>
      </c>
      <c r="B8473" t="str">
        <f>"1552376486454564"</f>
        <v>1552376486454564</v>
      </c>
      <c r="C8473" t="s">
        <v>40</v>
      </c>
      <c r="D8473">
        <v>4.3003559999999998</v>
      </c>
      <c r="E8473">
        <v>0.39566689999999999</v>
      </c>
      <c r="F8473" t="s">
        <v>69</v>
      </c>
      <c r="G8473">
        <v>-291.7835</v>
      </c>
      <c r="H8473" s="1">
        <v>-9.6604040000000008E-6</v>
      </c>
      <c r="I8473">
        <v>-55.116309999999999</v>
      </c>
      <c r="J8473">
        <v>-300.48070000000001</v>
      </c>
      <c r="K8473">
        <v>1.1166480000000001</v>
      </c>
      <c r="L8473">
        <v>-39.679020000000001</v>
      </c>
      <c r="M8473">
        <v>0.25550079999999997</v>
      </c>
      <c r="N8473">
        <v>0</v>
      </c>
      <c r="O8473">
        <v>-0.96668560000000003</v>
      </c>
      <c r="P8473">
        <v>0.2502761</v>
      </c>
      <c r="Q8473">
        <v>-1.27312E-2</v>
      </c>
      <c r="R8473">
        <v>-0.96809080000000003</v>
      </c>
      <c r="S8473">
        <v>1.519409</v>
      </c>
      <c r="T8473">
        <v>-0.19367490000000001</v>
      </c>
      <c r="U8473">
        <v>-2.7122799999999998</v>
      </c>
      <c r="V8473">
        <v>5.3675930000000004E-3</v>
      </c>
      <c r="W8473">
        <v>2.78312E-3</v>
      </c>
      <c r="X8473">
        <v>0.99998169999999997</v>
      </c>
      <c r="Y8473">
        <v>-0.24860570000000001</v>
      </c>
      <c r="Z8473">
        <v>6.2125319999999998E-2</v>
      </c>
      <c r="AA8473">
        <v>0.96661039999999998</v>
      </c>
      <c r="AB8473">
        <v>22</v>
      </c>
      <c r="AC8473">
        <v>8.6972000000000094</v>
      </c>
      <c r="AD8473">
        <v>-1.1166576604039999</v>
      </c>
      <c r="AE8473">
        <v>-15.4372899999999</v>
      </c>
      <c r="AF8473">
        <v>-4.4460913230960903</v>
      </c>
      <c r="AG8473">
        <v>-1.1166576604039999</v>
      </c>
      <c r="AH8473">
        <v>17.079356330360099</v>
      </c>
      <c r="AI8473">
        <v>93.620383194983702</v>
      </c>
      <c r="AJ8473">
        <v>104.591367463373</v>
      </c>
      <c r="AK8473">
        <v>17.683864539270299</v>
      </c>
      <c r="AL8473">
        <v>89.8405387608463</v>
      </c>
      <c r="AM8473">
        <v>89.692456900495699</v>
      </c>
      <c r="AN8473">
        <v>0.99999997857321798</v>
      </c>
    </row>
    <row r="8474" spans="1:40" x14ac:dyDescent="0.25">
      <c r="A8474" t="str">
        <f>"20190312154126480"</f>
        <v>20190312154126480</v>
      </c>
      <c r="B8474" t="str">
        <f>"1552376486475059"</f>
        <v>1552376486475059</v>
      </c>
      <c r="C8474" t="s">
        <v>40</v>
      </c>
      <c r="D8474">
        <v>4.3306550000000001</v>
      </c>
      <c r="E8474">
        <v>0.39667580000000002</v>
      </c>
      <c r="F8474" t="s">
        <v>69</v>
      </c>
      <c r="G8474">
        <v>-292.4735</v>
      </c>
      <c r="H8474" s="1">
        <v>-9.5699499999999997E-6</v>
      </c>
      <c r="I8474">
        <v>-53.510509999999996</v>
      </c>
      <c r="J8474">
        <v>-300.4119</v>
      </c>
      <c r="K8474">
        <v>1.116727</v>
      </c>
      <c r="L8474">
        <v>-39.888399999999997</v>
      </c>
      <c r="M8474">
        <v>0.26613829999999999</v>
      </c>
      <c r="N8474">
        <v>0</v>
      </c>
      <c r="O8474">
        <v>-0.96381090000000003</v>
      </c>
      <c r="P8474">
        <v>0.26091379999999997</v>
      </c>
      <c r="Q8474">
        <v>-1.372202E-2</v>
      </c>
      <c r="R8474">
        <v>-0.96526449999999997</v>
      </c>
      <c r="S8474">
        <v>1.5589900000000001</v>
      </c>
      <c r="T8474">
        <v>-0.21741340000000001</v>
      </c>
      <c r="U8474">
        <v>-2.692993</v>
      </c>
      <c r="V8474">
        <v>5.3948490000000002E-3</v>
      </c>
      <c r="W8474">
        <v>1.8222959999999999E-3</v>
      </c>
      <c r="X8474">
        <v>0.99998379999999998</v>
      </c>
      <c r="Y8474">
        <v>-0.25133299999999997</v>
      </c>
      <c r="Z8474">
        <v>6.9564029999999999E-2</v>
      </c>
      <c r="AA8474">
        <v>0.96539759999999997</v>
      </c>
      <c r="AB8474">
        <v>22</v>
      </c>
      <c r="AC8474">
        <v>7.9383999999999997</v>
      </c>
      <c r="AD8474">
        <v>-1.11673656995</v>
      </c>
      <c r="AE8474">
        <v>-13.622109999999999</v>
      </c>
      <c r="AF8474">
        <v>-4.0061339619187697</v>
      </c>
      <c r="AG8474">
        <v>-1.11673656995</v>
      </c>
      <c r="AH8474">
        <v>15.1675775887411</v>
      </c>
      <c r="AI8474">
        <v>94.071754700873598</v>
      </c>
      <c r="AJ8474">
        <v>104.79536402456399</v>
      </c>
      <c r="AK8474">
        <v>15.727416183149201</v>
      </c>
      <c r="AL8474">
        <v>89.895590073716704</v>
      </c>
      <c r="AM8474">
        <v>89.6908959124912</v>
      </c>
      <c r="AN8474">
        <v>1.00000001271044</v>
      </c>
    </row>
    <row r="8475" spans="1:40" x14ac:dyDescent="0.25">
      <c r="A8475" t="str">
        <f>"20190312154126503"</f>
        <v>20190312154126503</v>
      </c>
      <c r="B8475" t="str">
        <f>"1552376486494579"</f>
        <v>1552376486494579</v>
      </c>
      <c r="C8475" t="s">
        <v>40</v>
      </c>
      <c r="D8475">
        <v>4.294772</v>
      </c>
      <c r="E8475">
        <v>0.39792339999999998</v>
      </c>
      <c r="F8475" t="s">
        <v>69</v>
      </c>
      <c r="G8475">
        <v>-292.65519999999998</v>
      </c>
      <c r="H8475" s="1">
        <v>-9.5526409999999995E-6</v>
      </c>
      <c r="I8475">
        <v>-53.0289199999999</v>
      </c>
      <c r="J8475">
        <v>-300.3415</v>
      </c>
      <c r="K8475">
        <v>1.1167819999999999</v>
      </c>
      <c r="L8475">
        <v>-40.094880000000003</v>
      </c>
      <c r="M8475">
        <v>0.27679959999999998</v>
      </c>
      <c r="N8475">
        <v>0</v>
      </c>
      <c r="O8475">
        <v>-0.96080319999999997</v>
      </c>
      <c r="P8475">
        <v>0.27076790000000001</v>
      </c>
      <c r="Q8475">
        <v>-1.6467679999999998E-2</v>
      </c>
      <c r="R8475">
        <v>-0.96250420000000003</v>
      </c>
      <c r="S8475">
        <v>1.5805049999999901</v>
      </c>
      <c r="T8475">
        <v>-0.227547</v>
      </c>
      <c r="U8475">
        <v>-2.677521</v>
      </c>
      <c r="V8475">
        <v>6.2817119999999897E-3</v>
      </c>
      <c r="W8475">
        <v>-8.8262639999999999E-4</v>
      </c>
      <c r="X8475">
        <v>0.99997990000000003</v>
      </c>
      <c r="Y8475">
        <v>-0.24868009999999999</v>
      </c>
      <c r="Z8475">
        <v>7.2701070000000007E-2</v>
      </c>
      <c r="AA8475">
        <v>0.96585339999999997</v>
      </c>
      <c r="AB8475">
        <v>22</v>
      </c>
      <c r="AC8475">
        <v>7.6863000000000099</v>
      </c>
      <c r="AD8475">
        <v>-1.1167915526409999</v>
      </c>
      <c r="AE8475">
        <v>-12.9340399999999</v>
      </c>
      <c r="AF8475">
        <v>-3.7844882688653101</v>
      </c>
      <c r="AG8475">
        <v>-1.1167915526409999</v>
      </c>
      <c r="AH8475">
        <v>14.4766109737224</v>
      </c>
      <c r="AI8475">
        <v>94.268432741391294</v>
      </c>
      <c r="AJ8475">
        <v>104.650444914518</v>
      </c>
      <c r="AK8475">
        <v>15.004727258891799</v>
      </c>
      <c r="AL8475">
        <v>90.050570773178094</v>
      </c>
      <c r="AM8475">
        <v>89.640081914086295</v>
      </c>
      <c r="AN8475">
        <v>1.00000001966951</v>
      </c>
    </row>
    <row r="8476" spans="1:40" x14ac:dyDescent="0.25">
      <c r="A8476" t="str">
        <f>"20190312154126527"</f>
        <v>20190312154126527</v>
      </c>
      <c r="B8476" t="str">
        <f>"1552376486515075"</f>
        <v>1552376486515075</v>
      </c>
      <c r="C8476" t="s">
        <v>40</v>
      </c>
      <c r="D8476">
        <v>4.3659400000000002</v>
      </c>
      <c r="E8476">
        <v>0.3990764</v>
      </c>
      <c r="F8476" t="s">
        <v>69</v>
      </c>
      <c r="G8476">
        <v>-292.89580000000001</v>
      </c>
      <c r="H8476" s="1">
        <v>-9.5271120000000001E-6</v>
      </c>
      <c r="I8476">
        <v>-52.50506</v>
      </c>
      <c r="J8476">
        <v>-300.26549999999997</v>
      </c>
      <c r="K8476">
        <v>1.116825</v>
      </c>
      <c r="L8476">
        <v>-40.309330000000003</v>
      </c>
      <c r="M8476">
        <v>0.28805009999999998</v>
      </c>
      <c r="N8476">
        <v>0</v>
      </c>
      <c r="O8476">
        <v>-0.95748960000000005</v>
      </c>
      <c r="P8476">
        <v>0.28016059999999998</v>
      </c>
      <c r="Q8476">
        <v>-1.8989309999999999E-2</v>
      </c>
      <c r="R8476">
        <v>-0.95976539999999999</v>
      </c>
      <c r="S8476">
        <v>1.5978699999999999</v>
      </c>
      <c r="T8476">
        <v>-0.23966750000000001</v>
      </c>
      <c r="U8476">
        <v>-2.6632690000000001</v>
      </c>
      <c r="V8476">
        <v>8.2655739999999995E-3</v>
      </c>
      <c r="W8476">
        <v>-3.3470990000000001E-3</v>
      </c>
      <c r="X8476">
        <v>0.99996019999999997</v>
      </c>
      <c r="Y8476">
        <v>-0.24406990000000001</v>
      </c>
      <c r="Z8476">
        <v>7.643672E-2</v>
      </c>
      <c r="AA8476">
        <v>0.9667405</v>
      </c>
      <c r="AB8476">
        <v>22</v>
      </c>
      <c r="AC8476">
        <v>7.3696999999999599</v>
      </c>
      <c r="AD8476">
        <v>-1.1168345271119999</v>
      </c>
      <c r="AE8476">
        <v>-12.195729999999999</v>
      </c>
      <c r="AF8476">
        <v>-3.5222196907222401</v>
      </c>
      <c r="AG8476">
        <v>-1.1168345271119999</v>
      </c>
      <c r="AH8476">
        <v>13.717523024998</v>
      </c>
      <c r="AI8476">
        <v>94.508931572784505</v>
      </c>
      <c r="AJ8476">
        <v>104.40062071177699</v>
      </c>
      <c r="AK8476">
        <v>14.2064699644919</v>
      </c>
      <c r="AL8476">
        <v>90.191775011643799</v>
      </c>
      <c r="AM8476">
        <v>89.526409431065701</v>
      </c>
      <c r="AN8476">
        <v>0.99999996218465104</v>
      </c>
    </row>
    <row r="8477" spans="1:40" x14ac:dyDescent="0.25">
      <c r="A8477" t="str">
        <f>"20190312154126547"</f>
        <v>20190312154126547</v>
      </c>
      <c r="B8477" t="str">
        <f>"1552376486534596"</f>
        <v>1552376486534596</v>
      </c>
      <c r="C8477" t="s">
        <v>40</v>
      </c>
      <c r="D8477">
        <v>4.3425859999999998</v>
      </c>
      <c r="E8477">
        <v>0.40848640000000003</v>
      </c>
      <c r="F8477" t="s">
        <v>69</v>
      </c>
      <c r="G8477">
        <v>-293.2158</v>
      </c>
      <c r="H8477" s="1">
        <v>-9.4855609999999994E-6</v>
      </c>
      <c r="I8477">
        <v>-51.875920000000001</v>
      </c>
      <c r="J8477">
        <v>-300.20060000000001</v>
      </c>
      <c r="K8477">
        <v>1.116865</v>
      </c>
      <c r="L8477">
        <v>-40.485959999999999</v>
      </c>
      <c r="M8477">
        <v>0.29745500000000002</v>
      </c>
      <c r="N8477">
        <v>0</v>
      </c>
      <c r="O8477">
        <v>-0.95460959999999995</v>
      </c>
      <c r="P8477">
        <v>0.28785040000000001</v>
      </c>
      <c r="Q8477">
        <v>-1.9589809999999999E-2</v>
      </c>
      <c r="R8477">
        <v>-0.95747510000000002</v>
      </c>
      <c r="S8477">
        <v>1.614746</v>
      </c>
      <c r="T8477">
        <v>-0.25581350000000003</v>
      </c>
      <c r="U8477">
        <v>-2.6493530000000001</v>
      </c>
      <c r="V8477">
        <v>1.0086629999999999E-2</v>
      </c>
      <c r="W8477">
        <v>-3.8983519999999999E-3</v>
      </c>
      <c r="X8477">
        <v>0.99994150000000004</v>
      </c>
      <c r="Y8477">
        <v>-0.24105360000000001</v>
      </c>
      <c r="Z8477">
        <v>8.1458849999999999E-2</v>
      </c>
      <c r="AA8477">
        <v>0.96708720000000004</v>
      </c>
      <c r="AB8477">
        <v>22</v>
      </c>
      <c r="AC8477">
        <v>6.9847999999999999</v>
      </c>
      <c r="AD8477">
        <v>-1.116874485561</v>
      </c>
      <c r="AE8477">
        <v>-11.38996</v>
      </c>
      <c r="AF8477">
        <v>-3.2573907253080301</v>
      </c>
      <c r="AG8477">
        <v>-1.116874485561</v>
      </c>
      <c r="AH8477">
        <v>12.8623137796328</v>
      </c>
      <c r="AI8477">
        <v>94.811569273363503</v>
      </c>
      <c r="AJ8477">
        <v>104.211407541551</v>
      </c>
      <c r="AK8477">
        <v>13.315296418763999</v>
      </c>
      <c r="AL8477">
        <v>90.223359689022502</v>
      </c>
      <c r="AM8477">
        <v>89.422064462616504</v>
      </c>
      <c r="AN8477">
        <v>0.99999997033766097</v>
      </c>
    </row>
    <row r="8478" spans="1:40" x14ac:dyDescent="0.25">
      <c r="A8478" t="str">
        <f>"20190312154126569"</f>
        <v>20190312154126569</v>
      </c>
      <c r="B8478" t="str">
        <f>"1552376486564855"</f>
        <v>1552376486564855</v>
      </c>
      <c r="C8478" t="s">
        <v>40</v>
      </c>
      <c r="D8478">
        <v>4.4391420000000004</v>
      </c>
      <c r="E8478">
        <v>0.40892650000000003</v>
      </c>
      <c r="F8478" t="s">
        <v>69</v>
      </c>
      <c r="G8478">
        <v>-294.11079999999998</v>
      </c>
      <c r="H8478" s="1">
        <v>-9.2891209999999997E-6</v>
      </c>
      <c r="I8478">
        <v>-50.829430000000002</v>
      </c>
      <c r="J8478">
        <v>-300.12400000000002</v>
      </c>
      <c r="K8478">
        <v>1.1169070000000001</v>
      </c>
      <c r="L8478">
        <v>-40.687159999999999</v>
      </c>
      <c r="M8478">
        <v>0.30832779999999999</v>
      </c>
      <c r="N8478">
        <v>0</v>
      </c>
      <c r="O8478">
        <v>-0.95115309999999997</v>
      </c>
      <c r="P8478">
        <v>0.2986897</v>
      </c>
      <c r="Q8478">
        <v>-1.9409300000000001E-2</v>
      </c>
      <c r="R8478">
        <v>-0.95415309999999998</v>
      </c>
      <c r="S8478">
        <v>1.564362</v>
      </c>
      <c r="T8478">
        <v>-0.28690749999999998</v>
      </c>
      <c r="U8478">
        <v>-2.6570740000000002</v>
      </c>
      <c r="V8478">
        <v>1.015518E-2</v>
      </c>
      <c r="W8478">
        <v>-3.6938000000000001E-3</v>
      </c>
      <c r="X8478">
        <v>0.99994159999999999</v>
      </c>
      <c r="Y8478">
        <v>-0.21468760000000001</v>
      </c>
      <c r="Z8478">
        <v>9.1263129999999998E-2</v>
      </c>
      <c r="AA8478">
        <v>0.97240950000000004</v>
      </c>
      <c r="AB8478">
        <v>22</v>
      </c>
      <c r="AC8478">
        <v>6.0132000000000403</v>
      </c>
      <c r="AD8478">
        <v>-1.1169162891209901</v>
      </c>
      <c r="AE8478">
        <v>-10.14227</v>
      </c>
      <c r="AF8478">
        <v>-2.5695858362675099</v>
      </c>
      <c r="AG8478">
        <v>-1.1169162891209901</v>
      </c>
      <c r="AH8478">
        <v>11.399983544549199</v>
      </c>
      <c r="AI8478">
        <v>95.459595500389099</v>
      </c>
      <c r="AJ8478">
        <v>102.70233691524</v>
      </c>
      <c r="AK8478">
        <v>11.739246065350301</v>
      </c>
      <c r="AL8478">
        <v>90.211639634260393</v>
      </c>
      <c r="AM8478">
        <v>89.418137067685393</v>
      </c>
      <c r="AN8478">
        <v>0.99999998762491604</v>
      </c>
    </row>
    <row r="8479" spans="1:40" x14ac:dyDescent="0.25">
      <c r="A8479" t="str">
        <f>"20190312154126592"</f>
        <v>20190312154126592</v>
      </c>
      <c r="B8479" t="str">
        <f>"1552376486584372"</f>
        <v>1552376486584372</v>
      </c>
      <c r="C8479" t="s">
        <v>40</v>
      </c>
      <c r="D8479">
        <v>4.3298920000000001</v>
      </c>
      <c r="E8479">
        <v>0.36819229999999997</v>
      </c>
      <c r="F8479" t="s">
        <v>69</v>
      </c>
      <c r="G8479">
        <v>-293.80309999999997</v>
      </c>
      <c r="H8479" s="1">
        <v>-9.3582749999999998E-6</v>
      </c>
      <c r="I8479">
        <v>-51.17474</v>
      </c>
      <c r="J8479">
        <v>-300.04629999999997</v>
      </c>
      <c r="K8479">
        <v>1.116949</v>
      </c>
      <c r="L8479">
        <v>-40.884189999999997</v>
      </c>
      <c r="M8479">
        <v>0.31913629999999998</v>
      </c>
      <c r="N8479">
        <v>0</v>
      </c>
      <c r="O8479">
        <v>-0.94758109999999995</v>
      </c>
      <c r="P8479">
        <v>0.31198749999999997</v>
      </c>
      <c r="Q8479">
        <v>-2.029806E-2</v>
      </c>
      <c r="R8479">
        <v>-0.94986950000000003</v>
      </c>
      <c r="S8479">
        <v>1.5913090000000001</v>
      </c>
      <c r="T8479">
        <v>-0.2811881</v>
      </c>
      <c r="U8479">
        <v>-2.6402890000000001</v>
      </c>
      <c r="V8479">
        <v>7.5819989999999999E-3</v>
      </c>
      <c r="W8479">
        <v>-4.6018279999999996E-3</v>
      </c>
      <c r="X8479">
        <v>0.99996070000000004</v>
      </c>
      <c r="Y8479">
        <v>-0.2136759</v>
      </c>
      <c r="Z8479">
        <v>8.9244480000000001E-2</v>
      </c>
      <c r="AA8479">
        <v>0.97281960000000001</v>
      </c>
      <c r="AB8479">
        <v>22</v>
      </c>
      <c r="AC8479">
        <v>6.2431999999999999</v>
      </c>
      <c r="AD8479">
        <v>-1.116958358275</v>
      </c>
      <c r="AE8479">
        <v>-10.2905499999999</v>
      </c>
      <c r="AF8479">
        <v>-2.6096950964113699</v>
      </c>
      <c r="AG8479">
        <v>-1.116958358275</v>
      </c>
      <c r="AH8479">
        <v>11.644703970001601</v>
      </c>
      <c r="AI8479">
        <v>95.347200660703606</v>
      </c>
      <c r="AJ8479">
        <v>102.631840441354</v>
      </c>
      <c r="AK8479">
        <v>11.9857096168447</v>
      </c>
      <c r="AL8479">
        <v>90.263666244473796</v>
      </c>
      <c r="AM8479">
        <v>89.5655747088732</v>
      </c>
      <c r="AN8479">
        <v>1.0000000325371301</v>
      </c>
    </row>
    <row r="8480" spans="1:40" x14ac:dyDescent="0.25">
      <c r="A8480" t="str">
        <f>"20190312154126613"</f>
        <v>20190312154126613</v>
      </c>
      <c r="B8480" t="str">
        <f>"1552376486604867"</f>
        <v>1552376486604867</v>
      </c>
      <c r="C8480" t="s">
        <v>40</v>
      </c>
      <c r="D8480">
        <v>4.2152289999999999</v>
      </c>
      <c r="E8480">
        <v>0.35177399999999998</v>
      </c>
      <c r="F8480" t="s">
        <v>69</v>
      </c>
      <c r="G8480">
        <v>-291.48930000000001</v>
      </c>
      <c r="H8480" s="1">
        <v>-1.007828E-5</v>
      </c>
      <c r="I8480">
        <v>-52.003959999999999</v>
      </c>
      <c r="J8480">
        <v>-299.96800000000002</v>
      </c>
      <c r="K8480">
        <v>1.1169910000000001</v>
      </c>
      <c r="L8480">
        <v>-41.075870000000002</v>
      </c>
      <c r="M8480">
        <v>0.3298027</v>
      </c>
      <c r="N8480">
        <v>0</v>
      </c>
      <c r="O8480">
        <v>-0.94392120000000002</v>
      </c>
      <c r="P8480">
        <v>0.32577869999999998</v>
      </c>
      <c r="Q8480">
        <v>-2.0785109999999999E-2</v>
      </c>
      <c r="R8480">
        <v>-0.9452178</v>
      </c>
      <c r="S8480">
        <v>1.9367369999999999</v>
      </c>
      <c r="T8480">
        <v>-0.25280609999999998</v>
      </c>
      <c r="U8480">
        <v>-2.516785</v>
      </c>
      <c r="V8480">
        <v>4.3119480000000003E-3</v>
      </c>
      <c r="W8480">
        <v>-5.1204520000000002E-3</v>
      </c>
      <c r="X8480">
        <v>0.99997760000000002</v>
      </c>
      <c r="Y8480">
        <v>-0.3123264</v>
      </c>
      <c r="Z8480">
        <v>7.9127810000000007E-2</v>
      </c>
      <c r="AA8480">
        <v>0.94667369999999995</v>
      </c>
      <c r="AB8480">
        <v>22</v>
      </c>
      <c r="AC8480">
        <v>8.4786999999999999</v>
      </c>
      <c r="AD8480">
        <v>-1.1170010782799999</v>
      </c>
      <c r="AE8480">
        <v>-10.9280899999999</v>
      </c>
      <c r="AF8480">
        <v>-4.3711379669343602</v>
      </c>
      <c r="AG8480">
        <v>-1.1170010782799999</v>
      </c>
      <c r="AH8480">
        <v>13.0281800624702</v>
      </c>
      <c r="AI8480">
        <v>94.647026038130704</v>
      </c>
      <c r="AJ8480">
        <v>108.54732845092801</v>
      </c>
      <c r="AK8480">
        <v>13.787240995754001</v>
      </c>
      <c r="AL8480">
        <v>90.293381569016006</v>
      </c>
      <c r="AM8480">
        <v>89.752939575182793</v>
      </c>
      <c r="AN8480">
        <v>1.0000000062129899</v>
      </c>
    </row>
    <row r="8481" spans="1:40" x14ac:dyDescent="0.25">
      <c r="A8481" t="str">
        <f>"20190312154126636"</f>
        <v>20190312154126636</v>
      </c>
      <c r="B8481" t="str">
        <f>"1552376486624388"</f>
        <v>1552376486624388</v>
      </c>
      <c r="C8481" t="s">
        <v>40</v>
      </c>
      <c r="D8481">
        <v>4.2195359999999997</v>
      </c>
      <c r="E8481">
        <v>0.34494180000000002</v>
      </c>
      <c r="F8481" t="s">
        <v>69</v>
      </c>
      <c r="G8481">
        <v>-290.1463</v>
      </c>
      <c r="H8481" s="1">
        <v>-1.0514019999999999E-5</v>
      </c>
      <c r="I8481">
        <v>-52.53013</v>
      </c>
      <c r="J8481">
        <v>-299.88630000000001</v>
      </c>
      <c r="K8481">
        <v>1.117049</v>
      </c>
      <c r="L8481">
        <v>-41.269410000000001</v>
      </c>
      <c r="M8481">
        <v>0.34071279999999998</v>
      </c>
      <c r="N8481">
        <v>0</v>
      </c>
      <c r="O8481">
        <v>-0.94003769999999998</v>
      </c>
      <c r="P8481">
        <v>0.33859519999999999</v>
      </c>
      <c r="Q8481">
        <v>-2.1176939999999998E-2</v>
      </c>
      <c r="R8481">
        <v>-0.94069380000000002</v>
      </c>
      <c r="S8481">
        <v>2.0971980000000001</v>
      </c>
      <c r="T8481">
        <v>-0.23851059999999999</v>
      </c>
      <c r="U8481">
        <v>-2.4458009999999999</v>
      </c>
      <c r="V8481">
        <v>2.307136E-3</v>
      </c>
      <c r="W8481">
        <v>-5.523956E-3</v>
      </c>
      <c r="X8481">
        <v>0.99998209999999998</v>
      </c>
      <c r="Y8481">
        <v>-0.35143150000000001</v>
      </c>
      <c r="Z8481">
        <v>7.3994710000000005E-2</v>
      </c>
      <c r="AA8481">
        <v>0.93328489999999997</v>
      </c>
      <c r="AB8481">
        <v>22</v>
      </c>
      <c r="AC8481">
        <v>9.74</v>
      </c>
      <c r="AD8481">
        <v>-1.1170595140199999</v>
      </c>
      <c r="AE8481">
        <v>-11.260719999999999</v>
      </c>
      <c r="AF8481">
        <v>-5.2901654492118197</v>
      </c>
      <c r="AG8481">
        <v>-1.1170595140199999</v>
      </c>
      <c r="AH8481">
        <v>13.827900636162999</v>
      </c>
      <c r="AI8481">
        <v>94.314792094060394</v>
      </c>
      <c r="AJ8481">
        <v>110.935443445717</v>
      </c>
      <c r="AK8481">
        <v>14.8473737893775</v>
      </c>
      <c r="AL8481">
        <v>90.316500968752294</v>
      </c>
      <c r="AM8481">
        <v>89.867808712763093</v>
      </c>
      <c r="AN8481">
        <v>1.0000000186434099</v>
      </c>
    </row>
    <row r="8482" spans="1:40" x14ac:dyDescent="0.25">
      <c r="A8482" t="str">
        <f>"20190312154126659"</f>
        <v>20190312154126659</v>
      </c>
      <c r="B8482" t="str">
        <f>"1552376486654643"</f>
        <v>1552376486654643</v>
      </c>
      <c r="C8482" t="s">
        <v>40</v>
      </c>
      <c r="D8482">
        <v>4.1834759999999998</v>
      </c>
      <c r="E8482">
        <v>0.3414354</v>
      </c>
      <c r="F8482" t="s">
        <v>69</v>
      </c>
      <c r="G8482">
        <v>-289.4135</v>
      </c>
      <c r="H8482" s="1">
        <v>-2.8859339999999999E-6</v>
      </c>
      <c r="I8482">
        <v>-52.781010000000002</v>
      </c>
      <c r="J8482">
        <v>-299.80149999999998</v>
      </c>
      <c r="K8482">
        <v>1.1170929999999999</v>
      </c>
      <c r="L8482">
        <v>-41.463099999999997</v>
      </c>
      <c r="M8482">
        <v>0.35178120000000002</v>
      </c>
      <c r="N8482">
        <v>0</v>
      </c>
      <c r="O8482">
        <v>-0.93595189999999995</v>
      </c>
      <c r="P8482">
        <v>0.35031410000000002</v>
      </c>
      <c r="Q8482">
        <v>-2.1178900000000001E-2</v>
      </c>
      <c r="R8482">
        <v>-0.93639309999999998</v>
      </c>
      <c r="S8482">
        <v>2.1820680000000001</v>
      </c>
      <c r="T8482">
        <v>-0.23274320000000001</v>
      </c>
      <c r="U8482">
        <v>-2.3984990000000002</v>
      </c>
      <c r="V8482">
        <v>1.621742E-3</v>
      </c>
      <c r="W8482">
        <v>-5.517241E-3</v>
      </c>
      <c r="X8482">
        <v>0.99998350000000003</v>
      </c>
      <c r="Y8482">
        <v>-0.36785509999999999</v>
      </c>
      <c r="Z8482">
        <v>7.1836460000000005E-2</v>
      </c>
      <c r="AA8482">
        <v>0.92710420000000004</v>
      </c>
      <c r="AB8482">
        <v>22</v>
      </c>
      <c r="AC8482">
        <v>10.3879999999999</v>
      </c>
      <c r="AD8482">
        <v>-1.1170958859340001</v>
      </c>
      <c r="AE8482">
        <v>-11.3179099999999</v>
      </c>
      <c r="AF8482">
        <v>-5.7117396257603099</v>
      </c>
      <c r="AG8482">
        <v>-1.1170958859340001</v>
      </c>
      <c r="AH8482">
        <v>14.1741141301017</v>
      </c>
      <c r="AI8482">
        <v>94.180906338877094</v>
      </c>
      <c r="AJ8482">
        <v>111.947945097458</v>
      </c>
      <c r="AK8482">
        <v>15.32244706775</v>
      </c>
      <c r="AL8482">
        <v>90.316116216524094</v>
      </c>
      <c r="AM8482">
        <v>89.907079576216802</v>
      </c>
      <c r="AN8482">
        <v>1.0000000351338001</v>
      </c>
    </row>
    <row r="8483" spans="1:40" x14ac:dyDescent="0.25">
      <c r="A8483" t="str">
        <f>"20190312154126681"</f>
        <v>20190312154126681</v>
      </c>
      <c r="B8483" t="str">
        <f>"1552376486675140"</f>
        <v>1552376486675140</v>
      </c>
      <c r="C8483" t="s">
        <v>40</v>
      </c>
      <c r="D8483">
        <v>4.2397819999999999</v>
      </c>
      <c r="E8483">
        <v>0.34060590000000002</v>
      </c>
      <c r="F8483" t="s">
        <v>69</v>
      </c>
      <c r="G8483">
        <v>-289.19150000000002</v>
      </c>
      <c r="H8483" s="1">
        <v>-3.0449139999999998E-6</v>
      </c>
      <c r="I8483">
        <v>-52.656849999999999</v>
      </c>
      <c r="J8483">
        <v>-299.71460000000002</v>
      </c>
      <c r="K8483">
        <v>1.1171199999999999</v>
      </c>
      <c r="L8483">
        <v>-41.65475</v>
      </c>
      <c r="M8483">
        <v>0.36286119999999999</v>
      </c>
      <c r="N8483">
        <v>0</v>
      </c>
      <c r="O8483">
        <v>-0.93171190000000004</v>
      </c>
      <c r="P8483">
        <v>0.36146709999999999</v>
      </c>
      <c r="Q8483">
        <v>-2.1892000000000002E-2</v>
      </c>
      <c r="R8483">
        <v>-0.93212839999999997</v>
      </c>
      <c r="S8483">
        <v>2.2380369999999998</v>
      </c>
      <c r="T8483">
        <v>-0.23563690000000001</v>
      </c>
      <c r="U8483">
        <v>-2.3611759999999999</v>
      </c>
      <c r="V8483">
        <v>1.5555390000000001E-3</v>
      </c>
      <c r="W8483">
        <v>-6.2140279999999999E-3</v>
      </c>
      <c r="X8483">
        <v>0.99997950000000002</v>
      </c>
      <c r="Y8483">
        <v>-0.37573620000000002</v>
      </c>
      <c r="Z8483">
        <v>7.24495E-2</v>
      </c>
      <c r="AA8483">
        <v>0.9238904</v>
      </c>
      <c r="AB8483">
        <v>21</v>
      </c>
      <c r="AC8483">
        <v>10.523099999999999</v>
      </c>
      <c r="AD8483">
        <v>-1.1171230449139999</v>
      </c>
      <c r="AE8483">
        <v>-11.0021</v>
      </c>
      <c r="AF8483">
        <v>-5.7818428024733803</v>
      </c>
      <c r="AG8483">
        <v>-1.1171230449139999</v>
      </c>
      <c r="AH8483">
        <v>13.995578523791499</v>
      </c>
      <c r="AI8483">
        <v>94.219198869637495</v>
      </c>
      <c r="AJ8483">
        <v>112.446461595923</v>
      </c>
      <c r="AK8483">
        <v>15.1840010638042</v>
      </c>
      <c r="AL8483">
        <v>90.356039863463494</v>
      </c>
      <c r="AM8483">
        <v>89.910872425205497</v>
      </c>
      <c r="AN8483">
        <v>1.0000000171329</v>
      </c>
    </row>
    <row r="8484" spans="1:40" x14ac:dyDescent="0.25">
      <c r="A8484" t="str">
        <f>"20190312154126704"</f>
        <v>20190312154126704</v>
      </c>
      <c r="B8484" t="str">
        <f>"1552376486694659"</f>
        <v>1552376486694659</v>
      </c>
      <c r="C8484" t="s">
        <v>40</v>
      </c>
      <c r="D8484">
        <v>4.2540469999999999</v>
      </c>
      <c r="E8484">
        <v>0.3406325</v>
      </c>
      <c r="F8484" t="s">
        <v>69</v>
      </c>
      <c r="G8484">
        <v>-289.12369999999999</v>
      </c>
      <c r="H8484" s="1">
        <v>-3.114845E-6</v>
      </c>
      <c r="I8484">
        <v>-52.522910000000003</v>
      </c>
      <c r="J8484">
        <v>-299.62529999999998</v>
      </c>
      <c r="K8484">
        <v>1.117132</v>
      </c>
      <c r="L8484">
        <v>-41.845460000000003</v>
      </c>
      <c r="M8484">
        <v>0.37398100000000001</v>
      </c>
      <c r="N8484">
        <v>0</v>
      </c>
      <c r="O8484">
        <v>-0.92730400000000002</v>
      </c>
      <c r="P8484">
        <v>0.37193280000000001</v>
      </c>
      <c r="Q8484">
        <v>-2.2735419999999999E-2</v>
      </c>
      <c r="R8484">
        <v>-0.92798119999999995</v>
      </c>
      <c r="S8484">
        <v>2.2722169999999999</v>
      </c>
      <c r="T8484">
        <v>-0.23967189999999999</v>
      </c>
      <c r="U8484">
        <v>-2.331696</v>
      </c>
      <c r="V8484">
        <v>2.2724189999999999E-3</v>
      </c>
      <c r="W8484">
        <v>-7.0313320000000004E-3</v>
      </c>
      <c r="X8484">
        <v>0.99997270000000005</v>
      </c>
      <c r="Y8484">
        <v>-0.37738959999999999</v>
      </c>
      <c r="Z8484">
        <v>7.3491650000000006E-2</v>
      </c>
      <c r="AA8484">
        <v>0.92313389999999995</v>
      </c>
      <c r="AB8484">
        <v>21</v>
      </c>
      <c r="AC8484">
        <v>10.5015999999999</v>
      </c>
      <c r="AD8484">
        <v>-1.1171351148449999</v>
      </c>
      <c r="AE8484">
        <v>-10.67745</v>
      </c>
      <c r="AF8484">
        <v>-5.71392448766849</v>
      </c>
      <c r="AG8484">
        <v>-1.1171351148449999</v>
      </c>
      <c r="AH8484">
        <v>13.753810555985799</v>
      </c>
      <c r="AI8484">
        <v>94.289623398948294</v>
      </c>
      <c r="AJ8484">
        <v>112.56010010986699</v>
      </c>
      <c r="AK8484">
        <v>14.935334905034599</v>
      </c>
      <c r="AL8484">
        <v>90.402868966758405</v>
      </c>
      <c r="AM8484">
        <v>89.869796651587507</v>
      </c>
      <c r="AN8484">
        <v>1.0000000021315401</v>
      </c>
    </row>
    <row r="8485" spans="1:40" x14ac:dyDescent="0.25">
      <c r="A8485" t="str">
        <f>"20190312154126725"</f>
        <v>20190312154126725</v>
      </c>
      <c r="B8485" t="str">
        <f>"1552376486715155"</f>
        <v>1552376486715155</v>
      </c>
      <c r="C8485" t="s">
        <v>40</v>
      </c>
      <c r="D8485">
        <v>4.2377739999999999</v>
      </c>
      <c r="E8485">
        <v>0.34138239999999997</v>
      </c>
      <c r="F8485" t="s">
        <v>69</v>
      </c>
      <c r="G8485">
        <v>-289.21210000000002</v>
      </c>
      <c r="H8485" s="1">
        <v>-3.1131579999999998E-6</v>
      </c>
      <c r="I8485">
        <v>-52.29515</v>
      </c>
      <c r="J8485">
        <v>-299.53480000000002</v>
      </c>
      <c r="K8485">
        <v>1.117129</v>
      </c>
      <c r="L8485">
        <v>-42.032589999999999</v>
      </c>
      <c r="M8485">
        <v>0.38496550000000002</v>
      </c>
      <c r="N8485">
        <v>0</v>
      </c>
      <c r="O8485">
        <v>-0.92279800000000001</v>
      </c>
      <c r="P8485">
        <v>0.38368930000000001</v>
      </c>
      <c r="Q8485">
        <v>-2.2934429999999999E-2</v>
      </c>
      <c r="R8485">
        <v>-0.92317749999999998</v>
      </c>
      <c r="S8485">
        <v>2.2977910000000001</v>
      </c>
      <c r="T8485">
        <v>-0.2465088</v>
      </c>
      <c r="U8485">
        <v>-2.305847</v>
      </c>
      <c r="V8485">
        <v>1.446728E-3</v>
      </c>
      <c r="W8485">
        <v>-7.2340209999999898E-3</v>
      </c>
      <c r="X8485">
        <v>0.9999728</v>
      </c>
      <c r="Y8485">
        <v>-0.37659769999999998</v>
      </c>
      <c r="Z8485">
        <v>7.5398770000000004E-2</v>
      </c>
      <c r="AA8485">
        <v>0.9233034</v>
      </c>
      <c r="AB8485">
        <v>21</v>
      </c>
      <c r="AC8485">
        <v>10.3226999999999</v>
      </c>
      <c r="AD8485">
        <v>-1.1171321131579901</v>
      </c>
      <c r="AE8485">
        <v>-10.262560000000001</v>
      </c>
      <c r="AF8485">
        <v>-5.54307036031385</v>
      </c>
      <c r="AG8485">
        <v>-1.1171321131579901</v>
      </c>
      <c r="AH8485">
        <v>13.3670698375032</v>
      </c>
      <c r="AI8485">
        <v>94.414423108124296</v>
      </c>
      <c r="AJ8485">
        <v>112.52285799187899</v>
      </c>
      <c r="AK8485">
        <v>14.513861278733801</v>
      </c>
      <c r="AL8485">
        <v>90.414482482169703</v>
      </c>
      <c r="AM8485">
        <v>89.917106394624795</v>
      </c>
      <c r="AN8485">
        <v>1.00000001241078</v>
      </c>
    </row>
    <row r="8486" spans="1:40" x14ac:dyDescent="0.25">
      <c r="A8486" t="str">
        <f>"20190312154126748"</f>
        <v>20190312154126748</v>
      </c>
      <c r="B8486" t="str">
        <f>"1552376486744436"</f>
        <v>1552376486744436</v>
      </c>
      <c r="C8486" t="s">
        <v>40</v>
      </c>
      <c r="D8486">
        <v>4.2441690000000003</v>
      </c>
      <c r="E8486">
        <v>0.34280620000000001</v>
      </c>
      <c r="F8486" t="s">
        <v>69</v>
      </c>
      <c r="G8486">
        <v>-288.99310000000003</v>
      </c>
      <c r="H8486" s="1">
        <v>-3.2232860000000002E-6</v>
      </c>
      <c r="I8486">
        <v>-52.382930000000002</v>
      </c>
      <c r="J8486">
        <v>-299.44290000000001</v>
      </c>
      <c r="K8486">
        <v>1.11711</v>
      </c>
      <c r="L8486">
        <v>-42.217039999999997</v>
      </c>
      <c r="M8486">
        <v>0.39584799999999998</v>
      </c>
      <c r="N8486">
        <v>0</v>
      </c>
      <c r="O8486">
        <v>-0.91818230000000001</v>
      </c>
      <c r="P8486">
        <v>0.39629890000000001</v>
      </c>
      <c r="Q8486">
        <v>-2.2160630000000001E-2</v>
      </c>
      <c r="R8486">
        <v>-0.91785439999999996</v>
      </c>
      <c r="S8486">
        <v>2.3210139999999999</v>
      </c>
      <c r="T8486">
        <v>-0.2459626</v>
      </c>
      <c r="U8486">
        <v>-2.27887</v>
      </c>
      <c r="V8486">
        <v>-4.3469150000000002E-4</v>
      </c>
      <c r="W8486">
        <v>-6.4852729999999997E-3</v>
      </c>
      <c r="X8486">
        <v>0.9999789</v>
      </c>
      <c r="Y8486">
        <v>-0.3757392</v>
      </c>
      <c r="Z8486">
        <v>7.5089719999999999E-2</v>
      </c>
      <c r="AA8486">
        <v>0.92367829999999995</v>
      </c>
      <c r="AB8486">
        <v>21</v>
      </c>
      <c r="AC8486">
        <v>10.4497999999999</v>
      </c>
      <c r="AD8486">
        <v>-1.1171132232859999</v>
      </c>
      <c r="AE8486">
        <v>-10.1658899999999</v>
      </c>
      <c r="AF8486">
        <v>-5.5388373734324201</v>
      </c>
      <c r="AG8486">
        <v>-1.1171132232859999</v>
      </c>
      <c r="AH8486">
        <v>13.3936868365387</v>
      </c>
      <c r="AI8486">
        <v>94.407379724239604</v>
      </c>
      <c r="AJ8486">
        <v>112.46709585672301</v>
      </c>
      <c r="AK8486">
        <v>14.5367640304933</v>
      </c>
      <c r="AL8486">
        <v>90.371581367680903</v>
      </c>
      <c r="AM8486">
        <v>90.024906512298799</v>
      </c>
      <c r="AN8486">
        <v>1.00000002408389</v>
      </c>
    </row>
    <row r="8487" spans="1:40" x14ac:dyDescent="0.25">
      <c r="A8487" t="str">
        <f>"20190312154126770"</f>
        <v>20190312154126770</v>
      </c>
      <c r="B8487" t="str">
        <f>"1552376486764935"</f>
        <v>1552376486764935</v>
      </c>
      <c r="C8487" t="s">
        <v>40</v>
      </c>
      <c r="D8487">
        <v>4.3163150000000003</v>
      </c>
      <c r="E8487">
        <v>0.34397129999999998</v>
      </c>
      <c r="F8487" t="s">
        <v>69</v>
      </c>
      <c r="G8487">
        <v>-288.53949999999998</v>
      </c>
      <c r="H8487" s="1">
        <v>-3.3978969999999998E-6</v>
      </c>
      <c r="I8487">
        <v>-52.701720000000002</v>
      </c>
      <c r="J8487">
        <v>-299.34780000000001</v>
      </c>
      <c r="K8487">
        <v>1.1170800000000001</v>
      </c>
      <c r="L8487">
        <v>-42.402279999999998</v>
      </c>
      <c r="M8487">
        <v>0.40681230000000002</v>
      </c>
      <c r="N8487">
        <v>0</v>
      </c>
      <c r="O8487">
        <v>-0.9133772</v>
      </c>
      <c r="P8487">
        <v>0.4101436</v>
      </c>
      <c r="Q8487">
        <v>-2.155843E-2</v>
      </c>
      <c r="R8487">
        <v>-0.91176619999999997</v>
      </c>
      <c r="S8487">
        <v>2.3416139999999999</v>
      </c>
      <c r="T8487">
        <v>-0.23990990000000001</v>
      </c>
      <c r="U8487">
        <v>-2.2516780000000001</v>
      </c>
      <c r="V8487">
        <v>-3.5993980000000002E-3</v>
      </c>
      <c r="W8487">
        <v>-5.9330069999999997E-3</v>
      </c>
      <c r="X8487">
        <v>0.99997590000000003</v>
      </c>
      <c r="Y8487">
        <v>-0.37437730000000002</v>
      </c>
      <c r="Z8487">
        <v>7.3126170000000004E-2</v>
      </c>
      <c r="AA8487">
        <v>0.9243886</v>
      </c>
      <c r="AB8487">
        <v>21</v>
      </c>
      <c r="AC8487">
        <v>10.808299999999999</v>
      </c>
      <c r="AD8487">
        <v>-1.1170833978969901</v>
      </c>
      <c r="AE8487">
        <v>-10.299439999999899</v>
      </c>
      <c r="AF8487">
        <v>-5.6511768439836096</v>
      </c>
      <c r="AG8487">
        <v>-1.1170833978969901</v>
      </c>
      <c r="AH8487">
        <v>13.7290591765931</v>
      </c>
      <c r="AI8487">
        <v>94.302910939455501</v>
      </c>
      <c r="AJ8487">
        <v>112.373122356359</v>
      </c>
      <c r="AK8487">
        <v>14.888611114346</v>
      </c>
      <c r="AL8487">
        <v>90.339938262617807</v>
      </c>
      <c r="AM8487">
        <v>90.206234393783603</v>
      </c>
      <c r="AN8487">
        <v>0.99999997840941701</v>
      </c>
    </row>
    <row r="8488" spans="1:40" x14ac:dyDescent="0.25">
      <c r="A8488" t="str">
        <f>"20190312154126793"</f>
        <v>20190312154126793</v>
      </c>
      <c r="B8488" t="str">
        <f>"1552376486784452"</f>
        <v>1552376486784452</v>
      </c>
      <c r="C8488" t="s">
        <v>40</v>
      </c>
      <c r="D8488">
        <v>4.3192550000000001</v>
      </c>
      <c r="E8488">
        <v>0.34506979999999998</v>
      </c>
      <c r="F8488" t="s">
        <v>69</v>
      </c>
      <c r="G8488">
        <v>-288.03840000000002</v>
      </c>
      <c r="H8488" s="1">
        <v>-3.5955940000000002E-6</v>
      </c>
      <c r="I8488">
        <v>-53.007539999999999</v>
      </c>
      <c r="J8488">
        <v>-299.2518</v>
      </c>
      <c r="K8488">
        <v>1.117046</v>
      </c>
      <c r="L8488">
        <v>-42.584049999999998</v>
      </c>
      <c r="M8488">
        <v>0.41759020000000002</v>
      </c>
      <c r="N8488">
        <v>0</v>
      </c>
      <c r="O8488">
        <v>-0.90850010000000003</v>
      </c>
      <c r="P8488">
        <v>0.42397639999999998</v>
      </c>
      <c r="Q8488">
        <v>-2.0062859999999998E-2</v>
      </c>
      <c r="R8488">
        <v>-0.90545140000000002</v>
      </c>
      <c r="S8488">
        <v>2.3673099999999998</v>
      </c>
      <c r="T8488">
        <v>-0.2338297</v>
      </c>
      <c r="U8488">
        <v>-2.21991</v>
      </c>
      <c r="V8488">
        <v>-7.0020519999999999E-3</v>
      </c>
      <c r="W8488">
        <v>-4.4937680000000004E-3</v>
      </c>
      <c r="X8488">
        <v>0.9999654</v>
      </c>
      <c r="Y8488">
        <v>-0.37511420000000001</v>
      </c>
      <c r="Z8488">
        <v>7.1165530000000005E-2</v>
      </c>
      <c r="AA8488">
        <v>0.92424280000000003</v>
      </c>
      <c r="AB8488">
        <v>21</v>
      </c>
      <c r="AC8488">
        <v>11.213399999999901</v>
      </c>
      <c r="AD8488">
        <v>-1.1170495955940001</v>
      </c>
      <c r="AE8488">
        <v>-10.423489999999999</v>
      </c>
      <c r="AF8488">
        <v>-5.8044448787763301</v>
      </c>
      <c r="AG8488">
        <v>-1.1170495955940001</v>
      </c>
      <c r="AH8488">
        <v>14.079136738296</v>
      </c>
      <c r="AI8488">
        <v>94.195220792276999</v>
      </c>
      <c r="AJ8488">
        <v>112.405021063954</v>
      </c>
      <c r="AK8488">
        <v>15.269625779481499</v>
      </c>
      <c r="AL8488">
        <v>90.257474804013796</v>
      </c>
      <c r="AM8488">
        <v>90.401195352049299</v>
      </c>
      <c r="AN8488">
        <v>1.0000000119401</v>
      </c>
    </row>
    <row r="8489" spans="1:40" x14ac:dyDescent="0.25">
      <c r="A8489" t="str">
        <f>"20190312154126814"</f>
        <v>20190312154126814</v>
      </c>
      <c r="B8489" t="str">
        <f>"1552376486804948"</f>
        <v>1552376486804948</v>
      </c>
      <c r="C8489" t="s">
        <v>40</v>
      </c>
      <c r="D8489">
        <v>4.3399489999999998</v>
      </c>
      <c r="E8489">
        <v>0.36240480000000003</v>
      </c>
      <c r="F8489" t="s">
        <v>69</v>
      </c>
      <c r="G8489">
        <v>-287.62569999999999</v>
      </c>
      <c r="H8489" s="1">
        <v>-3.7671349999999998E-6</v>
      </c>
      <c r="I8489">
        <v>-53.21069</v>
      </c>
      <c r="J8489">
        <v>-299.15539999999999</v>
      </c>
      <c r="K8489">
        <v>1.117016</v>
      </c>
      <c r="L8489">
        <v>-42.761470000000003</v>
      </c>
      <c r="M8489">
        <v>0.4281201</v>
      </c>
      <c r="N8489">
        <v>0</v>
      </c>
      <c r="O8489">
        <v>-0.90358570000000005</v>
      </c>
      <c r="P8489">
        <v>0.4375735</v>
      </c>
      <c r="Q8489">
        <v>-1.8428030000000001E-2</v>
      </c>
      <c r="R8489">
        <v>-0.89899359999999995</v>
      </c>
      <c r="S8489">
        <v>2.3932799999999999</v>
      </c>
      <c r="T8489">
        <v>-0.22994829999999999</v>
      </c>
      <c r="U8489">
        <v>-2.1875309999999999</v>
      </c>
      <c r="V8489">
        <v>-1.046235E-2</v>
      </c>
      <c r="W8489">
        <v>-2.9185550000000002E-3</v>
      </c>
      <c r="X8489">
        <v>0.99994099999999997</v>
      </c>
      <c r="Y8489">
        <v>-0.37621120000000002</v>
      </c>
      <c r="Z8489">
        <v>6.9869479999999998E-2</v>
      </c>
      <c r="AA8489">
        <v>0.92389580000000004</v>
      </c>
      <c r="AB8489">
        <v>21</v>
      </c>
      <c r="AC8489">
        <v>11.529699999999901</v>
      </c>
      <c r="AD8489">
        <v>-1.117019767135</v>
      </c>
      <c r="AE8489">
        <v>-10.449219999999899</v>
      </c>
      <c r="AF8489">
        <v>-5.9148013174288403</v>
      </c>
      <c r="AG8489">
        <v>-1.117019767135</v>
      </c>
      <c r="AH8489">
        <v>14.305907804903899</v>
      </c>
      <c r="AI8489">
        <v>94.1271313116291</v>
      </c>
      <c r="AJ8489">
        <v>112.46272908256699</v>
      </c>
      <c r="AK8489">
        <v>15.5206831649653</v>
      </c>
      <c r="AL8489">
        <v>90.1672211226618</v>
      </c>
      <c r="AM8489">
        <v>90.599461993870904</v>
      </c>
      <c r="AN8489">
        <v>0.99999999110590498</v>
      </c>
    </row>
    <row r="8490" spans="1:40" x14ac:dyDescent="0.25">
      <c r="A8490" t="str">
        <f>"20190312154126837"</f>
        <v>20190312154126837</v>
      </c>
      <c r="B8490" t="str">
        <f>"1552376486835203"</f>
        <v>1552376486835203</v>
      </c>
      <c r="C8490" t="s">
        <v>40</v>
      </c>
      <c r="D8490">
        <v>4.3204820000000002</v>
      </c>
      <c r="E8490">
        <v>0.36678559999999999</v>
      </c>
      <c r="F8490" t="s">
        <v>69</v>
      </c>
      <c r="G8490">
        <v>-289.83199999999999</v>
      </c>
      <c r="H8490" s="1">
        <v>-2.875881E-6</v>
      </c>
      <c r="I8490">
        <v>-51.71208</v>
      </c>
      <c r="J8490">
        <v>-299.05529999999999</v>
      </c>
      <c r="K8490">
        <v>1.1169819999999999</v>
      </c>
      <c r="L8490">
        <v>-42.940669999999997</v>
      </c>
      <c r="M8490">
        <v>0.43875690000000001</v>
      </c>
      <c r="N8490">
        <v>0</v>
      </c>
      <c r="O8490">
        <v>-0.89846899999999996</v>
      </c>
      <c r="P8490">
        <v>0.44989889999999999</v>
      </c>
      <c r="Q8490">
        <v>-1.7622829999999999E-2</v>
      </c>
      <c r="R8490">
        <v>-0.89290579999999997</v>
      </c>
      <c r="S8490">
        <v>2.302673</v>
      </c>
      <c r="T8490">
        <v>-0.27587879999999998</v>
      </c>
      <c r="U8490">
        <v>-2.2106020000000002</v>
      </c>
      <c r="V8490">
        <v>-1.2419660000000001E-2</v>
      </c>
      <c r="W8490">
        <v>-2.1501649999999999E-3</v>
      </c>
      <c r="X8490">
        <v>0.99992049999999999</v>
      </c>
      <c r="Y8490">
        <v>-0.34153650000000002</v>
      </c>
      <c r="Z8490">
        <v>8.4070790000000006E-2</v>
      </c>
      <c r="AA8490">
        <v>0.93610099999999996</v>
      </c>
      <c r="AB8490">
        <v>21</v>
      </c>
      <c r="AC8490">
        <v>9.2232999999999894</v>
      </c>
      <c r="AD8490">
        <v>-1.1169848758809999</v>
      </c>
      <c r="AE8490">
        <v>-8.7714099999999906</v>
      </c>
      <c r="AF8490">
        <v>-4.4049544802187501</v>
      </c>
      <c r="AG8490">
        <v>-1.1169848758809999</v>
      </c>
      <c r="AH8490">
        <v>11.837926094457</v>
      </c>
      <c r="AI8490">
        <v>95.053667690062696</v>
      </c>
      <c r="AJ8490">
        <v>110.410498309088</v>
      </c>
      <c r="AK8490">
        <v>12.680211883228599</v>
      </c>
      <c r="AL8490">
        <v>90.123195482230003</v>
      </c>
      <c r="AM8490">
        <v>90.711614084564403</v>
      </c>
      <c r="AN8490">
        <v>0.99999993874214399</v>
      </c>
    </row>
    <row r="8491" spans="1:40" x14ac:dyDescent="0.25">
      <c r="A8491" t="str">
        <f>"20190312154126861"</f>
        <v>20190312154126861</v>
      </c>
      <c r="B8491" t="str">
        <f>"1552376486854734"</f>
        <v>1552376486854734</v>
      </c>
      <c r="C8491" t="s">
        <v>40</v>
      </c>
      <c r="D8491">
        <v>4.3041390000000002</v>
      </c>
      <c r="E8491">
        <v>0.36869049999999998</v>
      </c>
      <c r="F8491" t="s">
        <v>69</v>
      </c>
      <c r="G8491">
        <v>-288.91919999999999</v>
      </c>
      <c r="H8491" s="1">
        <v>-3.2171990000000001E-6</v>
      </c>
      <c r="I8491">
        <v>-52.606960000000001</v>
      </c>
      <c r="J8491">
        <v>-298.95</v>
      </c>
      <c r="K8491">
        <v>1.1169370000000001</v>
      </c>
      <c r="L8491">
        <v>-43.1235</v>
      </c>
      <c r="M8491">
        <v>0.44961519999999999</v>
      </c>
      <c r="N8491">
        <v>0</v>
      </c>
      <c r="O8491">
        <v>-0.89308489999999996</v>
      </c>
      <c r="P8491">
        <v>0.46126289999999998</v>
      </c>
      <c r="Q8491">
        <v>-1.7608249999999999E-2</v>
      </c>
      <c r="R8491">
        <v>-0.88708920000000002</v>
      </c>
      <c r="S8491">
        <v>2.301758</v>
      </c>
      <c r="T8491">
        <v>-0.2536504</v>
      </c>
      <c r="U8491">
        <v>-2.195068</v>
      </c>
      <c r="V8491">
        <v>-1.306619E-2</v>
      </c>
      <c r="W8491">
        <v>-2.1528070000000001E-3</v>
      </c>
      <c r="X8491">
        <v>0.99991229999999998</v>
      </c>
      <c r="Y8491">
        <v>-0.33368019999999998</v>
      </c>
      <c r="Z8491">
        <v>7.7181689999999997E-2</v>
      </c>
      <c r="AA8491">
        <v>0.93952139999999995</v>
      </c>
      <c r="AB8491">
        <v>21</v>
      </c>
      <c r="AC8491">
        <v>10.030799999999999</v>
      </c>
      <c r="AD8491">
        <v>-1.1169402171989999</v>
      </c>
      <c r="AE8491">
        <v>-9.4834599999999991</v>
      </c>
      <c r="AF8491">
        <v>-4.6644861599085097</v>
      </c>
      <c r="AG8491">
        <v>-1.1169402171989999</v>
      </c>
      <c r="AH8491">
        <v>12.896693814888399</v>
      </c>
      <c r="AI8491">
        <v>94.656089267393796</v>
      </c>
      <c r="AJ8491">
        <v>109.884083017316</v>
      </c>
      <c r="AK8491">
        <v>13.759712858186999</v>
      </c>
      <c r="AL8491">
        <v>90.123346852481902</v>
      </c>
      <c r="AM8491">
        <v>90.748660591946503</v>
      </c>
      <c r="AN8491">
        <v>0.99999998379519195</v>
      </c>
    </row>
    <row r="8492" spans="1:40" x14ac:dyDescent="0.25">
      <c r="A8492" t="str">
        <f>"20190312154126882"</f>
        <v>20190312154126882</v>
      </c>
      <c r="B8492" t="str">
        <f>"1552376486875221"</f>
        <v>1552376486875221</v>
      </c>
      <c r="C8492" t="s">
        <v>40</v>
      </c>
      <c r="D8492">
        <v>4.3008199999999999</v>
      </c>
      <c r="E8492">
        <v>0.37091829999999998</v>
      </c>
      <c r="F8492" t="s">
        <v>69</v>
      </c>
      <c r="G8492">
        <v>-288.5761</v>
      </c>
      <c r="H8492" s="1">
        <v>-3.3522139999999998E-6</v>
      </c>
      <c r="I8492">
        <v>-52.854689999999998</v>
      </c>
      <c r="J8492">
        <v>-298.8467</v>
      </c>
      <c r="K8492">
        <v>1.1169009999999999</v>
      </c>
      <c r="L8492">
        <v>-43.298279999999998</v>
      </c>
      <c r="M8492">
        <v>0.4599956</v>
      </c>
      <c r="N8492">
        <v>0</v>
      </c>
      <c r="O8492">
        <v>-0.88778299999999999</v>
      </c>
      <c r="P8492">
        <v>0.47164200000000001</v>
      </c>
      <c r="Q8492">
        <v>-1.736356E-2</v>
      </c>
      <c r="R8492">
        <v>-0.88161909999999899</v>
      </c>
      <c r="S8492">
        <v>2.3161010000000002</v>
      </c>
      <c r="T8492">
        <v>-0.24937090000000001</v>
      </c>
      <c r="U8492">
        <v>-2.1726070000000002</v>
      </c>
      <c r="V8492">
        <v>-1.3147259999999999E-2</v>
      </c>
      <c r="W8492">
        <v>-1.91691E-3</v>
      </c>
      <c r="X8492">
        <v>0.99991169999999996</v>
      </c>
      <c r="Y8492">
        <v>-0.33051639999999999</v>
      </c>
      <c r="Z8492">
        <v>7.5668869999999999E-2</v>
      </c>
      <c r="AA8492">
        <v>0.94076199999999999</v>
      </c>
      <c r="AB8492">
        <v>21</v>
      </c>
      <c r="AC8492">
        <v>10.2706</v>
      </c>
      <c r="AD8492">
        <v>-1.1169043522140001</v>
      </c>
      <c r="AE8492">
        <v>-9.5564099999999996</v>
      </c>
      <c r="AF8492">
        <v>-4.6929906507781096</v>
      </c>
      <c r="AG8492">
        <v>-1.1169043522140001</v>
      </c>
      <c r="AH8492">
        <v>13.1268658440697</v>
      </c>
      <c r="AI8492">
        <v>94.580703811178594</v>
      </c>
      <c r="AJ8492">
        <v>109.67249675862</v>
      </c>
      <c r="AK8492">
        <v>13.985215174193399</v>
      </c>
      <c r="AL8492">
        <v>90.109830923660596</v>
      </c>
      <c r="AM8492">
        <v>90.753305622144893</v>
      </c>
      <c r="AN8492">
        <v>0.99999996639317201</v>
      </c>
    </row>
    <row r="8493" spans="1:40" x14ac:dyDescent="0.25">
      <c r="A8493" t="str">
        <f>"20190312154126905"</f>
        <v>20190312154126905</v>
      </c>
      <c r="B8493" t="str">
        <f>"1552376486894740"</f>
        <v>1552376486894740</v>
      </c>
      <c r="C8493" t="s">
        <v>40</v>
      </c>
      <c r="D8493">
        <v>4.3249649999999997</v>
      </c>
      <c r="E8493">
        <v>0.3726005</v>
      </c>
      <c r="F8493" t="s">
        <v>69</v>
      </c>
      <c r="G8493">
        <v>-288.09710000000001</v>
      </c>
      <c r="H8493" s="1">
        <v>-3.5222159999999999E-6</v>
      </c>
      <c r="I8493">
        <v>-53.253680000000003</v>
      </c>
      <c r="J8493">
        <v>-298.738</v>
      </c>
      <c r="K8493">
        <v>1.116857</v>
      </c>
      <c r="L8493">
        <v>-43.477200000000003</v>
      </c>
      <c r="M8493">
        <v>0.47062480000000001</v>
      </c>
      <c r="N8493">
        <v>0</v>
      </c>
      <c r="O8493">
        <v>-0.88219459999999905</v>
      </c>
      <c r="P8493">
        <v>0.48163729999999899</v>
      </c>
      <c r="Q8493">
        <v>-1.7366989999999999E-2</v>
      </c>
      <c r="R8493">
        <v>-0.87619880000000006</v>
      </c>
      <c r="S8493">
        <v>2.3257140000000001</v>
      </c>
      <c r="T8493">
        <v>-0.2416478</v>
      </c>
      <c r="U8493">
        <v>-2.1539000000000001</v>
      </c>
      <c r="V8493">
        <v>-1.2509299999999999E-2</v>
      </c>
      <c r="W8493">
        <v>-1.9183220000000001E-3</v>
      </c>
      <c r="X8493">
        <v>0.99991989999999997</v>
      </c>
      <c r="Y8493">
        <v>-0.3253297</v>
      </c>
      <c r="Z8493">
        <v>7.3081170000000001E-2</v>
      </c>
      <c r="AA8493">
        <v>0.94277239999999995</v>
      </c>
      <c r="AB8493">
        <v>21</v>
      </c>
      <c r="AC8493">
        <v>10.640899999999901</v>
      </c>
      <c r="AD8493">
        <v>-1.116860522216</v>
      </c>
      <c r="AE8493">
        <v>-9.7764799999999994</v>
      </c>
      <c r="AF8493">
        <v>-4.75845097160395</v>
      </c>
      <c r="AG8493">
        <v>-1.116860522216</v>
      </c>
      <c r="AH8493">
        <v>13.5533346997076</v>
      </c>
      <c r="AI8493">
        <v>94.445918239746206</v>
      </c>
      <c r="AJ8493">
        <v>109.34570441984199</v>
      </c>
      <c r="AK8493">
        <v>14.407744950461201</v>
      </c>
      <c r="AL8493">
        <v>90.109911823464699</v>
      </c>
      <c r="AM8493">
        <v>90.7167501186088</v>
      </c>
      <c r="AN8493">
        <v>0.999999984480897</v>
      </c>
    </row>
    <row r="8494" spans="1:40" x14ac:dyDescent="0.25">
      <c r="A8494" t="str">
        <f>"20190312154126926"</f>
        <v>20190312154126926</v>
      </c>
      <c r="B8494" t="str">
        <f>"1552376486915236"</f>
        <v>1552376486915236</v>
      </c>
      <c r="C8494" t="s">
        <v>40</v>
      </c>
      <c r="D8494">
        <v>4.3808089999999904</v>
      </c>
      <c r="E8494">
        <v>0.37158190000000002</v>
      </c>
      <c r="F8494" t="s">
        <v>69</v>
      </c>
      <c r="G8494">
        <v>-287.90269999999998</v>
      </c>
      <c r="H8494" s="1">
        <v>-3.6003399999999999E-6</v>
      </c>
      <c r="I8494">
        <v>-53.364530000000002</v>
      </c>
      <c r="J8494">
        <v>-298.63299999999998</v>
      </c>
      <c r="K8494">
        <v>1.1168180000000001</v>
      </c>
      <c r="L8494">
        <v>-43.645690000000002</v>
      </c>
      <c r="M8494">
        <v>0.4806378</v>
      </c>
      <c r="N8494">
        <v>0</v>
      </c>
      <c r="O8494">
        <v>-0.8767798</v>
      </c>
      <c r="P8494">
        <v>0.49148560000000002</v>
      </c>
      <c r="Q8494">
        <v>-1.7886860000000001E-2</v>
      </c>
      <c r="R8494">
        <v>-0.87070199999999998</v>
      </c>
      <c r="S8494">
        <v>2.3383479999999999</v>
      </c>
      <c r="T8494">
        <v>-0.24102689999999999</v>
      </c>
      <c r="U8494">
        <v>-2.133759</v>
      </c>
      <c r="V8494">
        <v>-1.2396280000000001E-2</v>
      </c>
      <c r="W8494">
        <v>-2.4451009999999999E-3</v>
      </c>
      <c r="X8494">
        <v>0.99992020000000004</v>
      </c>
      <c r="Y8494">
        <v>-0.32154199999999999</v>
      </c>
      <c r="Z8494">
        <v>7.2635290000000005E-2</v>
      </c>
      <c r="AA8494">
        <v>0.94410530000000004</v>
      </c>
      <c r="AB8494">
        <v>21</v>
      </c>
      <c r="AC8494">
        <v>10.7303</v>
      </c>
      <c r="AD8494">
        <v>-1.11682160034</v>
      </c>
      <c r="AE8494">
        <v>-9.7188400000000001</v>
      </c>
      <c r="AF8494">
        <v>-4.7094220356098697</v>
      </c>
      <c r="AG8494">
        <v>-1.11682160034</v>
      </c>
      <c r="AH8494">
        <v>13.599413386680499</v>
      </c>
      <c r="AI8494">
        <v>94.437343835157407</v>
      </c>
      <c r="AJ8494">
        <v>109.100763400676</v>
      </c>
      <c r="AK8494">
        <v>14.4350265278003</v>
      </c>
      <c r="AL8494">
        <v>90.140094103688298</v>
      </c>
      <c r="AM8494">
        <v>90.710274822067703</v>
      </c>
      <c r="AN8494">
        <v>1.0000000263223801</v>
      </c>
    </row>
    <row r="8495" spans="1:40" x14ac:dyDescent="0.25">
      <c r="A8495" t="str">
        <f>"20190312154126949"</f>
        <v>20190312154126949</v>
      </c>
      <c r="B8495" t="str">
        <f>"1552376486944516"</f>
        <v>1552376486944516</v>
      </c>
      <c r="C8495" t="s">
        <v>40</v>
      </c>
      <c r="D8495">
        <v>4.2939400000000001</v>
      </c>
      <c r="E8495">
        <v>0.32453080000000001</v>
      </c>
      <c r="F8495" t="s">
        <v>69</v>
      </c>
      <c r="G8495">
        <v>-287.74630000000002</v>
      </c>
      <c r="H8495" s="1">
        <v>-3.6888320000000002E-6</v>
      </c>
      <c r="I8495">
        <v>-53.309460000000001</v>
      </c>
      <c r="J8495">
        <v>-298.52260000000001</v>
      </c>
      <c r="K8495">
        <v>1.116765</v>
      </c>
      <c r="L8495">
        <v>-43.818359999999998</v>
      </c>
      <c r="M8495">
        <v>0.49089899999999997</v>
      </c>
      <c r="N8495">
        <v>0</v>
      </c>
      <c r="O8495">
        <v>-0.87107630000000003</v>
      </c>
      <c r="P8495">
        <v>0.50189470000000003</v>
      </c>
      <c r="Q8495">
        <v>-1.873528E-2</v>
      </c>
      <c r="R8495">
        <v>-0.86472610000000005</v>
      </c>
      <c r="S8495">
        <v>2.3692929999999999</v>
      </c>
      <c r="T8495">
        <v>-0.24305650000000001</v>
      </c>
      <c r="U8495">
        <v>-2.1031490000000002</v>
      </c>
      <c r="V8495">
        <v>-1.264562E-2</v>
      </c>
      <c r="W8495">
        <v>-3.3072029999999999E-3</v>
      </c>
      <c r="X8495">
        <v>0.99991459999999999</v>
      </c>
      <c r="Y8495">
        <v>-0.3233569</v>
      </c>
      <c r="Z8495">
        <v>7.2917399999999993E-2</v>
      </c>
      <c r="AA8495">
        <v>0.94346350000000001</v>
      </c>
      <c r="AB8495">
        <v>21</v>
      </c>
      <c r="AC8495">
        <v>10.7762999999999</v>
      </c>
      <c r="AD8495">
        <v>-1.1167686888320001</v>
      </c>
      <c r="AE8495">
        <v>-9.4910999999999905</v>
      </c>
      <c r="AF8495">
        <v>-4.6999597921099703</v>
      </c>
      <c r="AG8495">
        <v>-1.1167686888320001</v>
      </c>
      <c r="AH8495">
        <v>13.4776890498645</v>
      </c>
      <c r="AI8495">
        <v>94.4736943176502</v>
      </c>
      <c r="AJ8495">
        <v>109.224761165019</v>
      </c>
      <c r="AK8495">
        <v>14.3172936156469</v>
      </c>
      <c r="AL8495">
        <v>90.189489113958203</v>
      </c>
      <c r="AM8495">
        <v>90.7245639093493</v>
      </c>
      <c r="AN8495">
        <v>1.0000000282950099</v>
      </c>
    </row>
    <row r="8496" spans="1:40" x14ac:dyDescent="0.25">
      <c r="A8496" t="str">
        <f>"20190312154126972"</f>
        <v>20190312154126972</v>
      </c>
      <c r="B8496" t="str">
        <f>"1552376486965015"</f>
        <v>1552376486965015</v>
      </c>
      <c r="C8496" t="s">
        <v>40</v>
      </c>
      <c r="D8496">
        <v>4.2650870000000003</v>
      </c>
      <c r="E8496">
        <v>0.32403080000000001</v>
      </c>
      <c r="F8496" t="s">
        <v>69</v>
      </c>
      <c r="G8496">
        <v>-287.06189999999998</v>
      </c>
      <c r="H8496" s="1">
        <v>-4.307904E-6</v>
      </c>
      <c r="I8496">
        <v>-51.766550000000002</v>
      </c>
      <c r="J8496">
        <v>-298.41059999999999</v>
      </c>
      <c r="K8496">
        <v>1.1167229999999999</v>
      </c>
      <c r="L8496">
        <v>-43.989229999999999</v>
      </c>
      <c r="M8496">
        <v>0.50105279999999996</v>
      </c>
      <c r="N8496">
        <v>0</v>
      </c>
      <c r="O8496">
        <v>-0.86527579999999904</v>
      </c>
      <c r="P8496">
        <v>0.51302669999999995</v>
      </c>
      <c r="Q8496">
        <v>-1.9454610000000001E-2</v>
      </c>
      <c r="R8496">
        <v>-0.85815239999999904</v>
      </c>
      <c r="S8496">
        <v>2.718842</v>
      </c>
      <c r="T8496">
        <v>-0.26493260000000002</v>
      </c>
      <c r="U8496">
        <v>-1.885559</v>
      </c>
      <c r="V8496">
        <v>-1.386855E-2</v>
      </c>
      <c r="W8496">
        <v>-4.0565269999999999E-3</v>
      </c>
      <c r="X8496">
        <v>0.9998956</v>
      </c>
      <c r="Y8496">
        <v>-0.4227223</v>
      </c>
      <c r="Z8496">
        <v>7.7991190000000002E-2</v>
      </c>
      <c r="AA8496">
        <v>0.90289710000000001</v>
      </c>
      <c r="AB8496">
        <v>21</v>
      </c>
      <c r="AC8496">
        <v>11.348699999999999</v>
      </c>
      <c r="AD8496">
        <v>-1.1167273079040001</v>
      </c>
      <c r="AE8496">
        <v>-7.7773199999999996</v>
      </c>
      <c r="AF8496">
        <v>-5.88485717429106</v>
      </c>
      <c r="AG8496">
        <v>-1.1167273079040001</v>
      </c>
      <c r="AH8496">
        <v>12.336062132945001</v>
      </c>
      <c r="AI8496">
        <v>94.670959733224194</v>
      </c>
      <c r="AJ8496">
        <v>115.50324397599699</v>
      </c>
      <c r="AK8496">
        <v>13.713389544161</v>
      </c>
      <c r="AL8496">
        <v>90.232422513670997</v>
      </c>
      <c r="AM8496">
        <v>90.794641394593</v>
      </c>
      <c r="AN8496">
        <v>1.00000000149488</v>
      </c>
    </row>
    <row r="8497" spans="1:40" x14ac:dyDescent="0.25">
      <c r="A8497" t="str">
        <f>"20190312154126993"</f>
        <v>20190312154126993</v>
      </c>
      <c r="B8497" t="str">
        <f>"1552376486985039"</f>
        <v>1552376486985039</v>
      </c>
      <c r="C8497" t="s">
        <v>40</v>
      </c>
      <c r="D8497">
        <v>4.165362</v>
      </c>
      <c r="E8497">
        <v>0.326187</v>
      </c>
      <c r="F8497" t="s">
        <v>69</v>
      </c>
      <c r="G8497">
        <v>-286.95859999999999</v>
      </c>
      <c r="H8497" s="1">
        <v>-4.3723480000000001E-6</v>
      </c>
      <c r="I8497">
        <v>-51.69659</v>
      </c>
      <c r="J8497">
        <v>-298.29860000000002</v>
      </c>
      <c r="K8497">
        <v>1.1166769999999999</v>
      </c>
      <c r="L8497">
        <v>-44.155700000000003</v>
      </c>
      <c r="M8497">
        <v>0.51093559999999905</v>
      </c>
      <c r="N8497">
        <v>0</v>
      </c>
      <c r="O8497">
        <v>-0.8594773</v>
      </c>
      <c r="P8497">
        <v>0.52392749999999999</v>
      </c>
      <c r="Q8497">
        <v>-2.012158E-2</v>
      </c>
      <c r="R8497">
        <v>-0.85152530000000004</v>
      </c>
      <c r="S8497">
        <v>2.7460629999999999</v>
      </c>
      <c r="T8497">
        <v>-0.2677795</v>
      </c>
      <c r="U8497">
        <v>-1.8481449999999999</v>
      </c>
      <c r="V8497">
        <v>-1.51582E-2</v>
      </c>
      <c r="W8497">
        <v>-4.7551490000000002E-3</v>
      </c>
      <c r="X8497">
        <v>0.99987380000000003</v>
      </c>
      <c r="Y8497">
        <v>-0.42491200000000001</v>
      </c>
      <c r="Z8497">
        <v>7.8555550000000002E-2</v>
      </c>
      <c r="AA8497">
        <v>0.9018197</v>
      </c>
      <c r="AB8497">
        <v>21</v>
      </c>
      <c r="AC8497">
        <v>11.34</v>
      </c>
      <c r="AD8497">
        <v>-1.116681372348</v>
      </c>
      <c r="AE8497">
        <v>-7.5408899999999903</v>
      </c>
      <c r="AF8497">
        <v>-5.8549147887731499</v>
      </c>
      <c r="AG8497">
        <v>-1.116681372348</v>
      </c>
      <c r="AH8497">
        <v>12.1947353164368</v>
      </c>
      <c r="AI8497">
        <v>94.719030092486406</v>
      </c>
      <c r="AJ8497">
        <v>115.64651136566501</v>
      </c>
      <c r="AK8497">
        <v>13.5734510685048</v>
      </c>
      <c r="AL8497">
        <v>90.272450995632596</v>
      </c>
      <c r="AM8497">
        <v>90.868543968864898</v>
      </c>
      <c r="AN8497">
        <v>0.99999999919784599</v>
      </c>
    </row>
    <row r="8498" spans="1:40" x14ac:dyDescent="0.25">
      <c r="A8498" t="str">
        <f>"20190312154127016"</f>
        <v>20190312154127016</v>
      </c>
      <c r="B8498" t="str">
        <f>"1552376487004559"</f>
        <v>1552376487004559</v>
      </c>
      <c r="C8498" t="s">
        <v>40</v>
      </c>
      <c r="D8498">
        <v>4.240551</v>
      </c>
      <c r="E8498">
        <v>0.32781450000000001</v>
      </c>
      <c r="F8498" t="s">
        <v>69</v>
      </c>
      <c r="G8498">
        <v>-286.91550000000001</v>
      </c>
      <c r="H8498" s="1">
        <v>-4.3960220000000001E-6</v>
      </c>
      <c r="I8498">
        <v>-51.685490000000001</v>
      </c>
      <c r="J8498">
        <v>-298.18650000000002</v>
      </c>
      <c r="K8498">
        <v>1.1166290000000001</v>
      </c>
      <c r="L8498">
        <v>-44.318629999999999</v>
      </c>
      <c r="M8498">
        <v>0.52059460000000002</v>
      </c>
      <c r="N8498">
        <v>0</v>
      </c>
      <c r="O8498">
        <v>-0.85366149999999996</v>
      </c>
      <c r="P8498">
        <v>0.53468689999999996</v>
      </c>
      <c r="Q8498">
        <v>-2.0963030000000001E-2</v>
      </c>
      <c r="R8498">
        <v>-0.84479020000000005</v>
      </c>
      <c r="S8498">
        <v>2.7543950000000001</v>
      </c>
      <c r="T8498">
        <v>-0.27020460000000002</v>
      </c>
      <c r="U8498">
        <v>-1.8219909999999999</v>
      </c>
      <c r="V8498">
        <v>-1.656413E-2</v>
      </c>
      <c r="W8498">
        <v>-5.6307880000000003E-3</v>
      </c>
      <c r="X8498">
        <v>0.99984689999999998</v>
      </c>
      <c r="Y8498">
        <v>-0.42185590000000001</v>
      </c>
      <c r="Z8498">
        <v>7.9071790000000003E-2</v>
      </c>
      <c r="AA8498">
        <v>0.90320829999999996</v>
      </c>
      <c r="AB8498">
        <v>21</v>
      </c>
      <c r="AC8498">
        <v>11.271000000000001</v>
      </c>
      <c r="AD8498">
        <v>-1.1166333960220001</v>
      </c>
      <c r="AE8498">
        <v>-7.36686</v>
      </c>
      <c r="AF8498">
        <v>-5.7476478294328199</v>
      </c>
      <c r="AG8498">
        <v>-1.1166333960220001</v>
      </c>
      <c r="AH8498">
        <v>12.0748648975951</v>
      </c>
      <c r="AI8498">
        <v>94.773064349282294</v>
      </c>
      <c r="AJ8498">
        <v>115.45449515864701</v>
      </c>
      <c r="AK8498">
        <v>13.419563629547399</v>
      </c>
      <c r="AL8498">
        <v>90.322622108771895</v>
      </c>
      <c r="AM8498">
        <v>90.949113239743795</v>
      </c>
      <c r="AN8498">
        <v>0.99999994980788198</v>
      </c>
    </row>
    <row r="8499" spans="1:40" x14ac:dyDescent="0.25">
      <c r="A8499" t="str">
        <f>"20190312154127038"</f>
        <v>20190312154127038</v>
      </c>
      <c r="B8499" t="str">
        <f>"1552376487034816"</f>
        <v>1552376487034816</v>
      </c>
      <c r="C8499" t="s">
        <v>40</v>
      </c>
      <c r="D8499">
        <v>4.3093839999999997</v>
      </c>
      <c r="E8499">
        <v>0.33018199999999998</v>
      </c>
      <c r="F8499" t="s">
        <v>69</v>
      </c>
      <c r="G8499">
        <v>-286.81119999999999</v>
      </c>
      <c r="H8499" s="1">
        <v>-4.4469240000000004E-6</v>
      </c>
      <c r="I8499">
        <v>-51.694270000000003</v>
      </c>
      <c r="J8499">
        <v>-298.07060000000001</v>
      </c>
      <c r="K8499">
        <v>1.116574</v>
      </c>
      <c r="L8499">
        <v>-44.482939999999999</v>
      </c>
      <c r="M8499">
        <v>0.53031419999999996</v>
      </c>
      <c r="N8499">
        <v>0</v>
      </c>
      <c r="O8499">
        <v>-0.84765820000000003</v>
      </c>
      <c r="P8499">
        <v>0.54499200000000003</v>
      </c>
      <c r="Q8499">
        <v>-2.2063530000000001E-2</v>
      </c>
      <c r="R8499">
        <v>-0.83815139999999999</v>
      </c>
      <c r="S8499">
        <v>2.766235</v>
      </c>
      <c r="T8499">
        <v>-0.2715436</v>
      </c>
      <c r="U8499">
        <v>-1.7936099999999999</v>
      </c>
      <c r="V8499">
        <v>-1.7382129999999999E-2</v>
      </c>
      <c r="W8499">
        <v>-6.7571630000000001E-3</v>
      </c>
      <c r="X8499">
        <v>0.99982610000000005</v>
      </c>
      <c r="Y8499">
        <v>-0.41975519999999999</v>
      </c>
      <c r="Z8499">
        <v>7.9228989999999999E-2</v>
      </c>
      <c r="AA8499">
        <v>0.90417270000000005</v>
      </c>
      <c r="AB8499">
        <v>21</v>
      </c>
      <c r="AC8499">
        <v>11.259399999999999</v>
      </c>
      <c r="AD8499">
        <v>-1.1165784469240001</v>
      </c>
      <c r="AE8499">
        <v>-7.2113300000000002</v>
      </c>
      <c r="AF8499">
        <v>-5.6809281485119998</v>
      </c>
      <c r="AG8499">
        <v>-1.1165784469240001</v>
      </c>
      <c r="AH8499">
        <v>12.001532081219301</v>
      </c>
      <c r="AI8499">
        <v>94.806768313360095</v>
      </c>
      <c r="AJ8499">
        <v>115.330545704302</v>
      </c>
      <c r="AK8499">
        <v>13.3250314953935</v>
      </c>
      <c r="AL8499">
        <v>90.3871598622503</v>
      </c>
      <c r="AM8499">
        <v>90.995995572698504</v>
      </c>
      <c r="AN8499">
        <v>1.00000001396817</v>
      </c>
    </row>
    <row r="8500" spans="1:40" x14ac:dyDescent="0.25">
      <c r="A8500" t="str">
        <f>"20190312154127062"</f>
        <v>20190312154127062</v>
      </c>
      <c r="B8500" t="str">
        <f>"1552376487054334"</f>
        <v>1552376487054334</v>
      </c>
      <c r="C8500" t="s">
        <v>40</v>
      </c>
      <c r="D8500">
        <v>4.3472249999999999</v>
      </c>
      <c r="E8500">
        <v>0.33174989999999999</v>
      </c>
      <c r="F8500" t="s">
        <v>41</v>
      </c>
      <c r="G8500">
        <v>-297.1814</v>
      </c>
      <c r="H8500">
        <v>1.027072</v>
      </c>
      <c r="I8500">
        <v>-45.050699999999999</v>
      </c>
      <c r="J8500">
        <v>-297.94630000000001</v>
      </c>
      <c r="K8500">
        <v>1.116509</v>
      </c>
      <c r="L8500">
        <v>-44.654539999999997</v>
      </c>
      <c r="M8500">
        <v>0.540440699999999</v>
      </c>
      <c r="N8500">
        <v>0</v>
      </c>
      <c r="O8500">
        <v>-0.84123829999999999</v>
      </c>
      <c r="P8500">
        <v>0.55549009999999999</v>
      </c>
      <c r="Q8500">
        <v>-2.2403659999999999E-2</v>
      </c>
      <c r="R8500">
        <v>-0.83122149999999995</v>
      </c>
      <c r="S8500">
        <v>2.77182</v>
      </c>
      <c r="T8500">
        <v>-0.27899550000000001</v>
      </c>
      <c r="U8500">
        <v>-1.7696529999999999</v>
      </c>
      <c r="V8500">
        <v>-1.796849E-2</v>
      </c>
      <c r="W8500">
        <v>-7.1212309999999996E-3</v>
      </c>
      <c r="X8500">
        <v>0.99981319999999996</v>
      </c>
      <c r="Y8500">
        <v>-0.41507519999999998</v>
      </c>
      <c r="Z8500">
        <v>8.1118319999999994E-2</v>
      </c>
      <c r="AA8500">
        <v>0.90616359999999996</v>
      </c>
      <c r="AB8500">
        <v>21</v>
      </c>
      <c r="AC8500">
        <v>0.76490000000001102</v>
      </c>
      <c r="AD8500">
        <v>-8.9436999999999905E-2</v>
      </c>
      <c r="AE8500">
        <v>-0.39615999999999402</v>
      </c>
      <c r="AF8500">
        <v>-0.424834396341217</v>
      </c>
      <c r="AG8500">
        <v>-8.9436999999999905E-2</v>
      </c>
      <c r="AH8500">
        <v>0.73877436159612098</v>
      </c>
      <c r="AI8500">
        <v>95.991056469558103</v>
      </c>
      <c r="AJ8500">
        <v>119.901182960669</v>
      </c>
      <c r="AK8500">
        <v>0.85689602556865796</v>
      </c>
      <c r="AL8500">
        <v>90.408019927121401</v>
      </c>
      <c r="AM8500">
        <v>91.029600151527902</v>
      </c>
      <c r="AN8500">
        <v>1.00000000672903</v>
      </c>
    </row>
    <row r="8501" spans="1:40" x14ac:dyDescent="0.25">
      <c r="A8501" t="str">
        <f>"20190312154127083"</f>
        <v>20190312154127083</v>
      </c>
      <c r="B8501" t="str">
        <f>"1552376487075213"</f>
        <v>1552376487075213</v>
      </c>
      <c r="C8501" t="s">
        <v>40</v>
      </c>
      <c r="D8501">
        <v>4.3950009999999997</v>
      </c>
      <c r="E8501">
        <v>0.33350809999999997</v>
      </c>
      <c r="F8501" t="s">
        <v>69</v>
      </c>
      <c r="G8501">
        <v>-287.05669999999998</v>
      </c>
      <c r="H8501" s="1">
        <v>-4.3634340000000001E-6</v>
      </c>
      <c r="I8501">
        <v>-51.469360000000002</v>
      </c>
      <c r="J8501">
        <v>-297.83240000000001</v>
      </c>
      <c r="K8501">
        <v>1.116455</v>
      </c>
      <c r="L8501">
        <v>-44.808349999999997</v>
      </c>
      <c r="M8501">
        <v>0.54949009999999998</v>
      </c>
      <c r="N8501">
        <v>0</v>
      </c>
      <c r="O8501">
        <v>-0.83535559999999998</v>
      </c>
      <c r="P8501">
        <v>0.56455140000000004</v>
      </c>
      <c r="Q8501">
        <v>-2.2101349999999999E-2</v>
      </c>
      <c r="R8501">
        <v>-0.82510229999999996</v>
      </c>
      <c r="S8501">
        <v>2.78302</v>
      </c>
      <c r="T8501">
        <v>-0.28534340000000002</v>
      </c>
      <c r="U8501">
        <v>-1.741638</v>
      </c>
      <c r="V8501">
        <v>-1.811536E-2</v>
      </c>
      <c r="W8501">
        <v>-6.8348649999999999E-3</v>
      </c>
      <c r="X8501">
        <v>0.99981249999999999</v>
      </c>
      <c r="Y8501">
        <v>-0.41330169999999999</v>
      </c>
      <c r="Z8501">
        <v>8.2705379999999995E-2</v>
      </c>
      <c r="AA8501">
        <v>0.90683049999999998</v>
      </c>
      <c r="AB8501">
        <v>21</v>
      </c>
      <c r="AC8501">
        <v>10.775700000000001</v>
      </c>
      <c r="AD8501">
        <v>-1.1164593634340001</v>
      </c>
      <c r="AE8501">
        <v>-6.6610099999999903</v>
      </c>
      <c r="AF8501">
        <v>-5.3008561526302502</v>
      </c>
      <c r="AG8501">
        <v>-1.1164593634340001</v>
      </c>
      <c r="AH8501">
        <v>11.3983100515754</v>
      </c>
      <c r="AI8501">
        <v>95.075405388707097</v>
      </c>
      <c r="AJ8501">
        <v>114.941080913389</v>
      </c>
      <c r="AK8501">
        <v>12.6201041791628</v>
      </c>
      <c r="AL8501">
        <v>90.391611983422905</v>
      </c>
      <c r="AM8501">
        <v>91.038014741629297</v>
      </c>
      <c r="AN8501">
        <v>0.99999995840187295</v>
      </c>
    </row>
    <row r="8502" spans="1:40" x14ac:dyDescent="0.25">
      <c r="A8502" t="str">
        <f>"20190312154127105"</f>
        <v>20190312154127105</v>
      </c>
      <c r="B8502" t="str">
        <f>"1552376487094732"</f>
        <v>1552376487094732</v>
      </c>
      <c r="C8502" t="s">
        <v>40</v>
      </c>
      <c r="D8502">
        <v>4.389456</v>
      </c>
      <c r="E8502">
        <v>0.33442349999999998</v>
      </c>
      <c r="F8502" t="s">
        <v>69</v>
      </c>
      <c r="G8502">
        <v>-286.9366</v>
      </c>
      <c r="H8502" s="1">
        <v>-4.4146589999999998E-6</v>
      </c>
      <c r="I8502">
        <v>-51.521030000000003</v>
      </c>
      <c r="J8502">
        <v>-297.71179999999998</v>
      </c>
      <c r="K8502">
        <v>1.1164019999999999</v>
      </c>
      <c r="L8502">
        <v>-44.967590000000001</v>
      </c>
      <c r="M8502">
        <v>0.55883389999999999</v>
      </c>
      <c r="N8502">
        <v>0</v>
      </c>
      <c r="O8502">
        <v>-0.82913419999999904</v>
      </c>
      <c r="P8502">
        <v>0.57373189999999996</v>
      </c>
      <c r="Q8502">
        <v>-2.1888169999999998E-2</v>
      </c>
      <c r="R8502">
        <v>-0.81875050000000005</v>
      </c>
      <c r="S8502">
        <v>2.790314</v>
      </c>
      <c r="T8502">
        <v>-0.28591499999999997</v>
      </c>
      <c r="U8502">
        <v>-1.719055</v>
      </c>
      <c r="V8502">
        <v>-1.805913E-2</v>
      </c>
      <c r="W8502">
        <v>-6.6355729999999996E-3</v>
      </c>
      <c r="X8502">
        <v>0.99981489999999995</v>
      </c>
      <c r="Y8502">
        <v>-0.40944910000000001</v>
      </c>
      <c r="Z8502">
        <v>8.2542519999999994E-2</v>
      </c>
      <c r="AA8502">
        <v>0.90859129999999999</v>
      </c>
      <c r="AB8502">
        <v>21</v>
      </c>
      <c r="AC8502">
        <v>10.7751999999999</v>
      </c>
      <c r="AD8502">
        <v>-1.116406414659</v>
      </c>
      <c r="AE8502">
        <v>-6.5534399999999904</v>
      </c>
      <c r="AF8502">
        <v>-5.2314436552642203</v>
      </c>
      <c r="AG8502">
        <v>-1.116406414659</v>
      </c>
      <c r="AH8502">
        <v>11.3675317720061</v>
      </c>
      <c r="AI8502">
        <v>95.098193766078197</v>
      </c>
      <c r="AJ8502">
        <v>114.71232633631401</v>
      </c>
      <c r="AK8502">
        <v>12.5632457823791</v>
      </c>
      <c r="AL8502">
        <v>90.380193118141605</v>
      </c>
      <c r="AM8502">
        <v>91.0347909665701</v>
      </c>
      <c r="AN8502">
        <v>0.99999999863370204</v>
      </c>
    </row>
    <row r="8503" spans="1:40" x14ac:dyDescent="0.25">
      <c r="A8503" t="str">
        <f>"20190312154127128"</f>
        <v>20190312154127128</v>
      </c>
      <c r="B8503" t="str">
        <f>"1552376487124989"</f>
        <v>1552376487124989</v>
      </c>
      <c r="C8503" t="s">
        <v>40</v>
      </c>
      <c r="D8503">
        <v>4.3577529999999998</v>
      </c>
      <c r="E8503">
        <v>0.355597099999999</v>
      </c>
      <c r="F8503" t="s">
        <v>69</v>
      </c>
      <c r="G8503">
        <v>-286.84629999999999</v>
      </c>
      <c r="H8503" s="1">
        <v>-4.4591290000000004E-6</v>
      </c>
      <c r="I8503">
        <v>-51.526519999999998</v>
      </c>
      <c r="J8503">
        <v>-297.5874</v>
      </c>
      <c r="K8503">
        <v>1.1163459999999901</v>
      </c>
      <c r="L8503">
        <v>-45.128270000000001</v>
      </c>
      <c r="M8503">
        <v>0.56823190000000001</v>
      </c>
      <c r="N8503">
        <v>0</v>
      </c>
      <c r="O8503">
        <v>-0.82272239999999996</v>
      </c>
      <c r="P8503">
        <v>0.58319940000000003</v>
      </c>
      <c r="Q8503">
        <v>-2.193755E-2</v>
      </c>
      <c r="R8503">
        <v>-0.812033</v>
      </c>
      <c r="S8503">
        <v>2.8031920000000001</v>
      </c>
      <c r="T8503">
        <v>-0.28802169999999999</v>
      </c>
      <c r="U8503">
        <v>-1.6921389999999901</v>
      </c>
      <c r="V8503">
        <v>-1.8291780000000001E-2</v>
      </c>
      <c r="W8503">
        <v>-6.7039019999999899E-3</v>
      </c>
      <c r="X8503">
        <v>0.99981019999999998</v>
      </c>
      <c r="Y8503">
        <v>-0.40727439999999998</v>
      </c>
      <c r="Z8503">
        <v>8.2777249999999997E-2</v>
      </c>
      <c r="AA8503">
        <v>0.90954690000000005</v>
      </c>
      <c r="AB8503">
        <v>20</v>
      </c>
      <c r="AC8503">
        <v>10.741099999999999</v>
      </c>
      <c r="AD8503">
        <v>-1.1163504591290001</v>
      </c>
      <c r="AE8503">
        <v>-6.3982499999999902</v>
      </c>
      <c r="AF8503">
        <v>-5.1607328887461703</v>
      </c>
      <c r="AG8503">
        <v>-1.1163504591290001</v>
      </c>
      <c r="AH8503">
        <v>11.278860153583</v>
      </c>
      <c r="AI8503">
        <v>95.142943031025197</v>
      </c>
      <c r="AJ8503">
        <v>114.586843437345</v>
      </c>
      <c r="AK8503">
        <v>12.4535974184436</v>
      </c>
      <c r="AL8503">
        <v>90.384108174257307</v>
      </c>
      <c r="AM8503">
        <v>91.048123818950003</v>
      </c>
      <c r="AN8503">
        <v>0.999999983770816</v>
      </c>
    </row>
    <row r="8504" spans="1:40" x14ac:dyDescent="0.25">
      <c r="A8504" t="str">
        <f>"20190312154127151"</f>
        <v>20190312154127151</v>
      </c>
      <c r="B8504" t="str">
        <f>"1552376487144509"</f>
        <v>1552376487144509</v>
      </c>
      <c r="C8504" t="s">
        <v>40</v>
      </c>
      <c r="D8504">
        <v>4.4038180000000002</v>
      </c>
      <c r="E8504">
        <v>0.35702879999999998</v>
      </c>
      <c r="F8504" t="s">
        <v>69</v>
      </c>
      <c r="G8504">
        <v>-287.36040000000003</v>
      </c>
      <c r="H8504" s="1">
        <v>-4.1479450000000003E-6</v>
      </c>
      <c r="I8504">
        <v>-51.821309999999997</v>
      </c>
      <c r="J8504">
        <v>-297.46350000000001</v>
      </c>
      <c r="K8504">
        <v>1.1162859999999999</v>
      </c>
      <c r="L8504">
        <v>-45.284579999999998</v>
      </c>
      <c r="M8504">
        <v>0.57734540000000001</v>
      </c>
      <c r="N8504">
        <v>0</v>
      </c>
      <c r="O8504">
        <v>-0.816353</v>
      </c>
      <c r="P8504">
        <v>0.5924606</v>
      </c>
      <c r="Q8504">
        <v>-2.2627040000000001E-2</v>
      </c>
      <c r="R8504">
        <v>-0.80528180000000005</v>
      </c>
      <c r="S8504">
        <v>2.6856990000000001</v>
      </c>
      <c r="T8504">
        <v>-0.2931646</v>
      </c>
      <c r="U8504">
        <v>-1.75765999999999</v>
      </c>
      <c r="V8504">
        <v>-1.8624930000000001E-2</v>
      </c>
      <c r="W8504">
        <v>-7.4140009999999999E-3</v>
      </c>
      <c r="X8504">
        <v>0.99979910000000005</v>
      </c>
      <c r="Y8504">
        <v>-0.36341469999999998</v>
      </c>
      <c r="Z8504">
        <v>8.4225739999999993E-2</v>
      </c>
      <c r="AA8504">
        <v>0.92781239999999998</v>
      </c>
      <c r="AB8504">
        <v>20</v>
      </c>
      <c r="AC8504">
        <v>10.1030999999999</v>
      </c>
      <c r="AD8504">
        <v>-1.116290147945</v>
      </c>
      <c r="AE8504">
        <v>-6.5367299999999897</v>
      </c>
      <c r="AF8504">
        <v>-4.4361067316072802</v>
      </c>
      <c r="AG8504">
        <v>-1.116290147945</v>
      </c>
      <c r="AH8504">
        <v>11.0752888719305</v>
      </c>
      <c r="AI8504">
        <v>95.345299897639194</v>
      </c>
      <c r="AJ8504">
        <v>111.828123621518</v>
      </c>
      <c r="AK8504">
        <v>11.9827864132395</v>
      </c>
      <c r="AL8504">
        <v>90.424794837966203</v>
      </c>
      <c r="AM8504">
        <v>91.067220871979004</v>
      </c>
      <c r="AN8504">
        <v>1.0000000478945701</v>
      </c>
    </row>
    <row r="8505" spans="1:40" x14ac:dyDescent="0.25">
      <c r="A8505" t="str">
        <f>"20190312154127173"</f>
        <v>20190312154127173</v>
      </c>
      <c r="B8505" t="str">
        <f>"1552376487165006"</f>
        <v>1552376487165006</v>
      </c>
      <c r="C8505" t="s">
        <v>40</v>
      </c>
      <c r="D8505">
        <v>4.4330699999999998</v>
      </c>
      <c r="E8505">
        <v>0.35847180000000001</v>
      </c>
      <c r="F8505" t="s">
        <v>69</v>
      </c>
      <c r="G8505">
        <v>-287.36099999999999</v>
      </c>
      <c r="H8505" s="1">
        <v>-4.1551530000000002E-6</v>
      </c>
      <c r="I8505">
        <v>-51.779119999999999</v>
      </c>
      <c r="J8505">
        <v>-297.33749999999998</v>
      </c>
      <c r="K8505">
        <v>1.116239</v>
      </c>
      <c r="L8505">
        <v>-45.440060000000003</v>
      </c>
      <c r="M8505">
        <v>0.58638380000000001</v>
      </c>
      <c r="N8505">
        <v>0</v>
      </c>
      <c r="O8505">
        <v>-0.80988549999999904</v>
      </c>
      <c r="P8505">
        <v>0.60183560000000003</v>
      </c>
      <c r="Q8505">
        <v>-2.2709590000000002E-2</v>
      </c>
      <c r="R8505">
        <v>-0.79829689999999998</v>
      </c>
      <c r="S8505">
        <v>2.696259</v>
      </c>
      <c r="T8505">
        <v>-0.29792829999999998</v>
      </c>
      <c r="U8505">
        <v>-1.7333369999999999</v>
      </c>
      <c r="V8505">
        <v>-1.920272E-2</v>
      </c>
      <c r="W8505">
        <v>-7.5209589999999998E-3</v>
      </c>
      <c r="X8505">
        <v>0.99978730000000005</v>
      </c>
      <c r="Y8505">
        <v>-0.3605294</v>
      </c>
      <c r="Z8505">
        <v>8.5174799999999995E-2</v>
      </c>
      <c r="AA8505">
        <v>0.92885079999999998</v>
      </c>
      <c r="AB8505">
        <v>20</v>
      </c>
      <c r="AC8505">
        <v>9.9764999999999802</v>
      </c>
      <c r="AD8505">
        <v>-1.1162431551530001</v>
      </c>
      <c r="AE8505">
        <v>-6.3390599999999999</v>
      </c>
      <c r="AF8505">
        <v>-4.3246550447027801</v>
      </c>
      <c r="AG8505">
        <v>-1.1162431551530001</v>
      </c>
      <c r="AH8505">
        <v>10.8881834696803</v>
      </c>
      <c r="AI8505">
        <v>95.442620316348496</v>
      </c>
      <c r="AJ8505">
        <v>111.662378572425</v>
      </c>
      <c r="AK8505">
        <v>11.768652399765999</v>
      </c>
      <c r="AL8505">
        <v>90.430923280971697</v>
      </c>
      <c r="AM8505">
        <v>91.100333589354307</v>
      </c>
      <c r="AN8505">
        <v>0.99999997726048295</v>
      </c>
    </row>
    <row r="8506" spans="1:40" x14ac:dyDescent="0.25">
      <c r="A8506" t="str">
        <f>"20190312154127194"</f>
        <v>20190312154127194</v>
      </c>
      <c r="B8506" t="str">
        <f>"1552376487184525"</f>
        <v>1552376487184525</v>
      </c>
      <c r="C8506" t="s">
        <v>40</v>
      </c>
      <c r="D8506">
        <v>4.4524720000000002</v>
      </c>
      <c r="E8506">
        <v>0.35998819999999998</v>
      </c>
      <c r="F8506" t="s">
        <v>69</v>
      </c>
      <c r="G8506">
        <v>-287.21859999999998</v>
      </c>
      <c r="H8506" s="1">
        <v>-4.2185369999999999E-6</v>
      </c>
      <c r="I8506">
        <v>-51.825600000000001</v>
      </c>
      <c r="J8506">
        <v>-297.21539999999999</v>
      </c>
      <c r="K8506">
        <v>1.11619</v>
      </c>
      <c r="L8506">
        <v>-45.58755</v>
      </c>
      <c r="M8506">
        <v>0.59493319999999905</v>
      </c>
      <c r="N8506">
        <v>0</v>
      </c>
      <c r="O8506">
        <v>-0.80362650000000002</v>
      </c>
      <c r="P8506">
        <v>0.61012359999999999</v>
      </c>
      <c r="Q8506">
        <v>-2.3268770000000001E-2</v>
      </c>
      <c r="R8506">
        <v>-0.79196469999999997</v>
      </c>
      <c r="S8506">
        <v>2.7073360000000002</v>
      </c>
      <c r="T8506">
        <v>-0.29865340000000001</v>
      </c>
      <c r="U8506">
        <v>-1.708466</v>
      </c>
      <c r="V8506">
        <v>-1.9031490000000002E-2</v>
      </c>
      <c r="W8506">
        <v>-8.0927680000000002E-3</v>
      </c>
      <c r="X8506">
        <v>0.99978610000000001</v>
      </c>
      <c r="Y8506">
        <v>-0.35845700000000003</v>
      </c>
      <c r="Z8506">
        <v>8.4991819999999996E-2</v>
      </c>
      <c r="AA8506">
        <v>0.92966930000000003</v>
      </c>
      <c r="AB8506">
        <v>20</v>
      </c>
      <c r="AC8506">
        <v>9.9968000000000004</v>
      </c>
      <c r="AD8506">
        <v>-1.116194218537</v>
      </c>
      <c r="AE8506">
        <v>-6.2380500000000003</v>
      </c>
      <c r="AF8506">
        <v>-4.2845417983769503</v>
      </c>
      <c r="AG8506">
        <v>-1.116194218537</v>
      </c>
      <c r="AH8506">
        <v>10.864315060053899</v>
      </c>
      <c r="AI8506">
        <v>95.459500841716604</v>
      </c>
      <c r="AJ8506">
        <v>111.522705914583</v>
      </c>
      <c r="AK8506">
        <v>11.7318596002359</v>
      </c>
      <c r="AL8506">
        <v>90.463686527212701</v>
      </c>
      <c r="AM8506">
        <v>91.090525640906407</v>
      </c>
      <c r="AN8506">
        <v>0.99999996812936498</v>
      </c>
    </row>
    <row r="8507" spans="1:40" x14ac:dyDescent="0.25">
      <c r="A8507" t="str">
        <f>"20190312154127217"</f>
        <v>20190312154127217</v>
      </c>
      <c r="B8507" t="str">
        <f>"1552376487214781"</f>
        <v>1552376487214781</v>
      </c>
      <c r="C8507" t="s">
        <v>40</v>
      </c>
      <c r="D8507">
        <v>4.4347500000000002</v>
      </c>
      <c r="E8507">
        <v>0.37135869999999999</v>
      </c>
      <c r="F8507" t="s">
        <v>69</v>
      </c>
      <c r="G8507">
        <v>-287.09289999999999</v>
      </c>
      <c r="H8507" s="1">
        <v>-4.2727870000000003E-6</v>
      </c>
      <c r="I8507">
        <v>-51.876339999999999</v>
      </c>
      <c r="J8507">
        <v>-297.08600000000001</v>
      </c>
      <c r="K8507">
        <v>1.116142</v>
      </c>
      <c r="L8507">
        <v>-45.740540000000003</v>
      </c>
      <c r="M8507">
        <v>0.60377749999999997</v>
      </c>
      <c r="N8507">
        <v>0</v>
      </c>
      <c r="O8507">
        <v>-0.79700340000000003</v>
      </c>
      <c r="P8507">
        <v>0.61862039999999996</v>
      </c>
      <c r="Q8507">
        <v>-2.3052030000000001E-2</v>
      </c>
      <c r="R8507">
        <v>-0.7853521</v>
      </c>
      <c r="S8507">
        <v>2.7156370000000001</v>
      </c>
      <c r="T8507">
        <v>-0.29944880000000001</v>
      </c>
      <c r="U8507">
        <v>-1.6871339999999999</v>
      </c>
      <c r="V8507">
        <v>-1.8754529999999998E-2</v>
      </c>
      <c r="W8507">
        <v>-7.8874400000000008E-3</v>
      </c>
      <c r="X8507">
        <v>0.99979300000000004</v>
      </c>
      <c r="Y8507">
        <v>-0.35467929999999998</v>
      </c>
      <c r="Z8507">
        <v>8.474893E-2</v>
      </c>
      <c r="AA8507">
        <v>0.93113919999999994</v>
      </c>
      <c r="AB8507">
        <v>20</v>
      </c>
      <c r="AC8507">
        <v>9.9931000000000196</v>
      </c>
      <c r="AD8507">
        <v>-1.116146272787</v>
      </c>
      <c r="AE8507">
        <v>-6.1357999999999899</v>
      </c>
      <c r="AF8507">
        <v>-4.2221336480860998</v>
      </c>
      <c r="AG8507">
        <v>-1.116146272787</v>
      </c>
      <c r="AH8507">
        <v>10.8270756004493</v>
      </c>
      <c r="AI8507">
        <v>95.486093431537995</v>
      </c>
      <c r="AJ8507">
        <v>111.303827614753</v>
      </c>
      <c r="AK8507">
        <v>11.674663211519301</v>
      </c>
      <c r="AL8507">
        <v>90.451921711996803</v>
      </c>
      <c r="AM8507">
        <v>91.074651857798301</v>
      </c>
      <c r="AN8507">
        <v>0.99999999347713697</v>
      </c>
    </row>
    <row r="8508" spans="1:40" x14ac:dyDescent="0.25">
      <c r="A8508" t="str">
        <f>"20190312154127240"</f>
        <v>20190312154127240</v>
      </c>
      <c r="B8508" t="str">
        <f>"1552376487234300"</f>
        <v>1552376487234300</v>
      </c>
      <c r="C8508" t="s">
        <v>40</v>
      </c>
      <c r="D8508">
        <v>4.4989889999999999</v>
      </c>
      <c r="E8508">
        <v>0.3729344</v>
      </c>
      <c r="F8508" t="s">
        <v>69</v>
      </c>
      <c r="G8508">
        <v>-287.08440000000002</v>
      </c>
      <c r="H8508" s="1">
        <v>-4.2232300000000001E-6</v>
      </c>
      <c r="I8508">
        <v>-52.178730000000002</v>
      </c>
      <c r="J8508">
        <v>-296.95589999999999</v>
      </c>
      <c r="K8508">
        <v>1.116093</v>
      </c>
      <c r="L8508">
        <v>-45.890720000000002</v>
      </c>
      <c r="M8508">
        <v>0.61244419999999899</v>
      </c>
      <c r="N8508">
        <v>0</v>
      </c>
      <c r="O8508">
        <v>-0.79036329999999999</v>
      </c>
      <c r="P8508">
        <v>0.62660850000000001</v>
      </c>
      <c r="Q8508">
        <v>-2.3050589999999999E-2</v>
      </c>
      <c r="R8508">
        <v>-0.77899350000000001</v>
      </c>
      <c r="S8508">
        <v>2.6625670000000001</v>
      </c>
      <c r="T8508">
        <v>-0.29713220000000001</v>
      </c>
      <c r="U8508">
        <v>-1.7139279999999999</v>
      </c>
      <c r="V8508">
        <v>-1.8048950000000001E-2</v>
      </c>
      <c r="W8508">
        <v>-7.8910430000000004E-3</v>
      </c>
      <c r="X8508">
        <v>0.99980599999999997</v>
      </c>
      <c r="Y8508">
        <v>-0.32948529999999998</v>
      </c>
      <c r="Z8508">
        <v>8.3638190000000001E-2</v>
      </c>
      <c r="AA8508">
        <v>0.94044890000000003</v>
      </c>
      <c r="AB8508">
        <v>20</v>
      </c>
      <c r="AC8508">
        <v>9.8714999999999602</v>
      </c>
      <c r="AD8508">
        <v>-1.1160972232299999</v>
      </c>
      <c r="AE8508">
        <v>-6.2880099999999999</v>
      </c>
      <c r="AF8508">
        <v>-3.91587735264772</v>
      </c>
      <c r="AG8508">
        <v>-1.1160972232299999</v>
      </c>
      <c r="AH8508">
        <v>10.9175874436844</v>
      </c>
      <c r="AI8508">
        <v>95.496465506585196</v>
      </c>
      <c r="AJ8508">
        <v>109.731695392143</v>
      </c>
      <c r="AK8508">
        <v>11.652187950903301</v>
      </c>
      <c r="AL8508">
        <v>90.452128136163296</v>
      </c>
      <c r="AM8508">
        <v>91.034216981946699</v>
      </c>
      <c r="AN8508">
        <v>1.00000003539586</v>
      </c>
    </row>
    <row r="8509" spans="1:40" x14ac:dyDescent="0.25">
      <c r="A8509" t="str">
        <f>"20190312154127262"</f>
        <v>20190312154127262</v>
      </c>
      <c r="B8509" t="str">
        <f>"1552376487254800"</f>
        <v>1552376487254800</v>
      </c>
      <c r="C8509" t="s">
        <v>40</v>
      </c>
      <c r="D8509">
        <v>4.3932209999999996</v>
      </c>
      <c r="E8509">
        <v>0.37448599999999999</v>
      </c>
      <c r="F8509" t="s">
        <v>69</v>
      </c>
      <c r="G8509">
        <v>-286.81540000000001</v>
      </c>
      <c r="H8509" s="1">
        <v>-4.3323580000000003E-6</v>
      </c>
      <c r="I8509">
        <v>-52.326070000000001</v>
      </c>
      <c r="J8509">
        <v>-296.82499999999999</v>
      </c>
      <c r="K8509">
        <v>1.1160490000000001</v>
      </c>
      <c r="L8509">
        <v>-46.038760000000003</v>
      </c>
      <c r="M8509">
        <v>0.62097029999999998</v>
      </c>
      <c r="N8509">
        <v>0</v>
      </c>
      <c r="O8509">
        <v>-0.78368260000000001</v>
      </c>
      <c r="P8509">
        <v>0.63447030000000004</v>
      </c>
      <c r="Q8509">
        <v>-2.3215599999999999E-2</v>
      </c>
      <c r="R8509">
        <v>-0.77259869999999997</v>
      </c>
      <c r="S8509">
        <v>2.6701969999999999</v>
      </c>
      <c r="T8509">
        <v>-0.29388979999999998</v>
      </c>
      <c r="U8509">
        <v>-1.69455</v>
      </c>
      <c r="V8509">
        <v>-1.7351439999999999E-2</v>
      </c>
      <c r="W8509">
        <v>-8.0608699999999995E-3</v>
      </c>
      <c r="X8509">
        <v>0.99981699999999996</v>
      </c>
      <c r="Y8509">
        <v>-0.32543450000000002</v>
      </c>
      <c r="Z8509">
        <v>8.2225370000000006E-2</v>
      </c>
      <c r="AA8509">
        <v>0.94198269999999995</v>
      </c>
      <c r="AB8509">
        <v>20</v>
      </c>
      <c r="AC8509">
        <v>10.009599999999899</v>
      </c>
      <c r="AD8509">
        <v>-1.116053332358</v>
      </c>
      <c r="AE8509">
        <v>-6.2873099999999997</v>
      </c>
      <c r="AF8509">
        <v>-3.9057659753187899</v>
      </c>
      <c r="AG8509">
        <v>-1.116053332358</v>
      </c>
      <c r="AH8509">
        <v>11.0457739091186</v>
      </c>
      <c r="AI8509">
        <v>95.441524010539098</v>
      </c>
      <c r="AJ8509">
        <v>109.47350366472099</v>
      </c>
      <c r="AK8509">
        <v>11.769014578374399</v>
      </c>
      <c r="AL8509">
        <v>90.461858812741497</v>
      </c>
      <c r="AM8509">
        <v>90.994246437246503</v>
      </c>
      <c r="AN8509">
        <v>1.00000004179211</v>
      </c>
    </row>
    <row r="8510" spans="1:40" x14ac:dyDescent="0.25">
      <c r="A8510" t="str">
        <f>"20190312154127278"</f>
        <v>20190312154127278</v>
      </c>
      <c r="B8510" t="str">
        <f>"1552376487274316"</f>
        <v>1552376487274316</v>
      </c>
      <c r="C8510" t="s">
        <v>40</v>
      </c>
      <c r="D8510">
        <v>4.4212099999999896</v>
      </c>
      <c r="E8510">
        <v>0.37579580000000001</v>
      </c>
      <c r="F8510" t="s">
        <v>69</v>
      </c>
      <c r="G8510">
        <v>-286.59359999999998</v>
      </c>
      <c r="H8510" s="1">
        <v>-4.4240079999999997E-6</v>
      </c>
      <c r="I8510">
        <v>-52.43824</v>
      </c>
      <c r="J8510">
        <v>-296.73090000000002</v>
      </c>
      <c r="K8510">
        <v>1.1160159999999999</v>
      </c>
      <c r="L8510">
        <v>-46.1434</v>
      </c>
      <c r="M8510">
        <v>0.6269865</v>
      </c>
      <c r="N8510">
        <v>0</v>
      </c>
      <c r="O8510">
        <v>-0.77887819999999997</v>
      </c>
      <c r="P8510">
        <v>0.63997349999999997</v>
      </c>
      <c r="Q8510">
        <v>-2.3318740000000001E-2</v>
      </c>
      <c r="R8510">
        <v>-0.76804329999999998</v>
      </c>
      <c r="S8510">
        <v>2.6780089999999999</v>
      </c>
      <c r="T8510">
        <v>-0.29211890000000001</v>
      </c>
      <c r="U8510">
        <v>-1.6750179999999999</v>
      </c>
      <c r="V8510">
        <v>-1.6796499999999999E-2</v>
      </c>
      <c r="W8510">
        <v>-8.1663619999999999E-3</v>
      </c>
      <c r="X8510">
        <v>0.99982559999999998</v>
      </c>
      <c r="Y8510">
        <v>-0.3243762</v>
      </c>
      <c r="Z8510">
        <v>8.1448729999999997E-2</v>
      </c>
      <c r="AA8510">
        <v>0.94241509999999995</v>
      </c>
      <c r="AB8510">
        <v>20</v>
      </c>
      <c r="AC8510">
        <v>10.1373</v>
      </c>
      <c r="AD8510">
        <v>-1.1160204240079901</v>
      </c>
      <c r="AE8510">
        <v>-6.2948399999999998</v>
      </c>
      <c r="AF8510">
        <v>-3.91516326154668</v>
      </c>
      <c r="AG8510">
        <v>-1.1160204240079901</v>
      </c>
      <c r="AH8510">
        <v>11.162556247712599</v>
      </c>
      <c r="AI8510">
        <v>95.389568143273493</v>
      </c>
      <c r="AJ8510">
        <v>109.32784718756101</v>
      </c>
      <c r="AK8510">
        <v>11.881778778226501</v>
      </c>
      <c r="AL8510">
        <v>90.467903267482299</v>
      </c>
      <c r="AM8510">
        <v>90.962445892993799</v>
      </c>
      <c r="AN8510">
        <v>1.00000002114796</v>
      </c>
    </row>
    <row r="8511" spans="1:40" x14ac:dyDescent="0.25">
      <c r="A8511" t="str">
        <f>"20190312154127291"</f>
        <v>20190312154127291</v>
      </c>
      <c r="B8511" t="str">
        <f>"1552376487285052"</f>
        <v>1552376487285052</v>
      </c>
      <c r="C8511" t="s">
        <v>40</v>
      </c>
      <c r="D8511">
        <v>4.4003199999999998</v>
      </c>
      <c r="E8511">
        <v>0.37579580000000001</v>
      </c>
      <c r="F8511" t="s">
        <v>69</v>
      </c>
      <c r="G8511">
        <v>-286.42329999999998</v>
      </c>
      <c r="H8511" s="1">
        <v>-4.4928049999999999E-6</v>
      </c>
      <c r="I8511">
        <v>-52.533110000000001</v>
      </c>
      <c r="J8511">
        <v>-296.64670000000001</v>
      </c>
      <c r="K8511">
        <v>1.115993</v>
      </c>
      <c r="L8511">
        <v>-46.235379999999999</v>
      </c>
      <c r="M8511">
        <v>0.63227900000000004</v>
      </c>
      <c r="N8511">
        <v>0</v>
      </c>
      <c r="O8511">
        <v>-0.774588099999999</v>
      </c>
      <c r="P8511">
        <v>0.6447735</v>
      </c>
      <c r="Q8511">
        <v>-2.3416340000000001E-2</v>
      </c>
      <c r="R8511">
        <v>-0.764015</v>
      </c>
      <c r="S8511">
        <v>2.6818849999999999</v>
      </c>
      <c r="T8511">
        <v>-0.2903715</v>
      </c>
      <c r="U8511">
        <v>-1.662506</v>
      </c>
      <c r="V8511">
        <v>-1.625012E-2</v>
      </c>
      <c r="W8511">
        <v>-8.2650280000000007E-3</v>
      </c>
      <c r="X8511">
        <v>0.99983379999999999</v>
      </c>
      <c r="Y8511">
        <v>-0.3217699</v>
      </c>
      <c r="Z8511">
        <v>8.0655569999999996E-2</v>
      </c>
      <c r="AA8511">
        <v>0.94337629999999995</v>
      </c>
      <c r="AB8511">
        <v>20</v>
      </c>
      <c r="AC8511">
        <v>10.2234</v>
      </c>
      <c r="AD8511">
        <v>-1.115997492805</v>
      </c>
      <c r="AE8511">
        <v>-6.2977299999999996</v>
      </c>
      <c r="AF8511">
        <v>-3.9037459131968602</v>
      </c>
      <c r="AG8511">
        <v>-1.115997492805</v>
      </c>
      <c r="AH8511">
        <v>11.246380989218901</v>
      </c>
      <c r="AI8511">
        <v>95.355529378343803</v>
      </c>
      <c r="AJ8511">
        <v>109.14246561747299</v>
      </c>
      <c r="AK8511">
        <v>11.956829341987399</v>
      </c>
      <c r="AL8511">
        <v>90.473556612442806</v>
      </c>
      <c r="AM8511">
        <v>90.931136078962794</v>
      </c>
      <c r="AN8511">
        <v>1.0000000023551401</v>
      </c>
    </row>
    <row r="8512" spans="1:40" x14ac:dyDescent="0.25">
      <c r="A8512" t="str">
        <f>"20190312154127306"</f>
        <v>20190312154127306</v>
      </c>
      <c r="B8512" t="str">
        <f>"1552376487294813"</f>
        <v>1552376487294813</v>
      </c>
      <c r="C8512" t="s">
        <v>40</v>
      </c>
      <c r="D8512">
        <v>4.4955429999999996</v>
      </c>
      <c r="E8512">
        <v>0.3855228</v>
      </c>
      <c r="F8512" t="s">
        <v>69</v>
      </c>
      <c r="G8512">
        <v>-286.28890000000001</v>
      </c>
      <c r="H8512" s="1">
        <v>-4.5544820000000001E-6</v>
      </c>
      <c r="I8512">
        <v>-52.566589999999998</v>
      </c>
      <c r="J8512">
        <v>-296.56180000000001</v>
      </c>
      <c r="K8512">
        <v>1.1159779999999999</v>
      </c>
      <c r="L8512">
        <v>-46.326929999999997</v>
      </c>
      <c r="M8512">
        <v>0.63754200000000005</v>
      </c>
      <c r="N8512">
        <v>0</v>
      </c>
      <c r="O8512">
        <v>-0.77026240000000001</v>
      </c>
      <c r="P8512">
        <v>0.64864299999999997</v>
      </c>
      <c r="Q8512">
        <v>-2.311916E-2</v>
      </c>
      <c r="R8512">
        <v>-0.76074189999999997</v>
      </c>
      <c r="S8512">
        <v>2.692291</v>
      </c>
      <c r="T8512">
        <v>-0.29007939999999999</v>
      </c>
      <c r="U8512">
        <v>-1.6456599999999999</v>
      </c>
      <c r="V8512">
        <v>-1.451187E-2</v>
      </c>
      <c r="W8512">
        <v>-7.9514259999999993E-3</v>
      </c>
      <c r="X8512">
        <v>0.9998631</v>
      </c>
      <c r="Y8512">
        <v>-0.32126450000000001</v>
      </c>
      <c r="Z8512">
        <v>8.0242569999999999E-2</v>
      </c>
      <c r="AA8512">
        <v>0.94358370000000003</v>
      </c>
      <c r="AB8512">
        <v>20</v>
      </c>
      <c r="AC8512">
        <v>10.2728999999999</v>
      </c>
      <c r="AD8512">
        <v>-1.1159825544819999</v>
      </c>
      <c r="AE8512">
        <v>-6.2396599999999998</v>
      </c>
      <c r="AF8512">
        <v>-3.90161256132714</v>
      </c>
      <c r="AG8512">
        <v>-1.1159825544819999</v>
      </c>
      <c r="AH8512">
        <v>11.259851685066399</v>
      </c>
      <c r="AI8512">
        <v>95.350083986646993</v>
      </c>
      <c r="AJ8512">
        <v>109.111537054971</v>
      </c>
      <c r="AK8512">
        <v>11.9688035162378</v>
      </c>
      <c r="AL8512">
        <v>90.455587943045998</v>
      </c>
      <c r="AM8512">
        <v>90.831524363364693</v>
      </c>
      <c r="AN8512">
        <v>1.00000001914397</v>
      </c>
    </row>
    <row r="8513" spans="1:40" x14ac:dyDescent="0.25">
      <c r="A8513" t="str">
        <f>"20190312154127329"</f>
        <v>20190312154127329</v>
      </c>
      <c r="B8513" t="str">
        <f>"1552376487325068"</f>
        <v>1552376487325068</v>
      </c>
      <c r="C8513" t="s">
        <v>40</v>
      </c>
      <c r="D8513">
        <v>4.3311830000000002</v>
      </c>
      <c r="E8513">
        <v>0.38595790000000002</v>
      </c>
      <c r="F8513" t="s">
        <v>69</v>
      </c>
      <c r="G8513">
        <v>-285.3347</v>
      </c>
      <c r="H8513" s="1">
        <v>-4.8721329999999998E-6</v>
      </c>
      <c r="I8513">
        <v>-53.479689999999998</v>
      </c>
      <c r="J8513">
        <v>-296.42349999999999</v>
      </c>
      <c r="K8513">
        <v>1.1159460000000001</v>
      </c>
      <c r="L8513">
        <v>-46.473660000000002</v>
      </c>
      <c r="M8513">
        <v>0.64597109999999902</v>
      </c>
      <c r="N8513">
        <v>0</v>
      </c>
      <c r="O8513">
        <v>-0.76320739999999998</v>
      </c>
      <c r="P8513">
        <v>0.65619769999999999</v>
      </c>
      <c r="Q8513">
        <v>-2.2514989999999999E-2</v>
      </c>
      <c r="R8513">
        <v>-0.75425339999999996</v>
      </c>
      <c r="S8513">
        <v>2.6417540000000002</v>
      </c>
      <c r="T8513">
        <v>-0.26259110000000002</v>
      </c>
      <c r="U8513">
        <v>-1.68304399999999</v>
      </c>
      <c r="V8513">
        <v>-1.348925E-2</v>
      </c>
      <c r="W8513">
        <v>-7.34601E-3</v>
      </c>
      <c r="X8513">
        <v>0.99988200000000005</v>
      </c>
      <c r="Y8513">
        <v>-0.29382150000000001</v>
      </c>
      <c r="Z8513">
        <v>7.1939420000000004E-2</v>
      </c>
      <c r="AA8513">
        <v>0.95314929999999998</v>
      </c>
      <c r="AB8513">
        <v>20</v>
      </c>
      <c r="AC8513">
        <v>11.0887999999999</v>
      </c>
      <c r="AD8513">
        <v>-1.11595087213299</v>
      </c>
      <c r="AE8513">
        <v>-7.0060300000000097</v>
      </c>
      <c r="AF8513">
        <v>-3.9095266908194199</v>
      </c>
      <c r="AG8513">
        <v>-1.11595087213299</v>
      </c>
      <c r="AH8513">
        <v>12.4216598986515</v>
      </c>
      <c r="AI8513">
        <v>94.897991855162402</v>
      </c>
      <c r="AJ8513">
        <v>107.470594845577</v>
      </c>
      <c r="AK8513">
        <v>13.0700948708496</v>
      </c>
      <c r="AL8513">
        <v>90.420899167997405</v>
      </c>
      <c r="AM8513">
        <v>90.772921415040997</v>
      </c>
      <c r="AN8513">
        <v>0.99999996882623998</v>
      </c>
    </row>
    <row r="8514" spans="1:40" x14ac:dyDescent="0.25">
      <c r="A8514" t="str">
        <f>"20190312154127352"</f>
        <v>20190312154127352</v>
      </c>
      <c r="B8514" t="str">
        <f>"1552376487344588"</f>
        <v>1552376487344588</v>
      </c>
      <c r="C8514" t="s">
        <v>40</v>
      </c>
      <c r="D8514">
        <v>4.3571330000000001</v>
      </c>
      <c r="E8514">
        <v>0.38689849999999998</v>
      </c>
      <c r="F8514" t="s">
        <v>69</v>
      </c>
      <c r="G8514">
        <v>-285.43060000000003</v>
      </c>
      <c r="H8514" s="1">
        <v>-4.8488850000000001E-6</v>
      </c>
      <c r="I8514">
        <v>-53.33916</v>
      </c>
      <c r="J8514">
        <v>-296.2885</v>
      </c>
      <c r="K8514">
        <v>1.1159209999999999</v>
      </c>
      <c r="L8514">
        <v>-46.613860000000003</v>
      </c>
      <c r="M8514">
        <v>0.65401799999999999</v>
      </c>
      <c r="N8514">
        <v>0</v>
      </c>
      <c r="O8514">
        <v>-0.75632319999999997</v>
      </c>
      <c r="P8514">
        <v>0.66402150000000004</v>
      </c>
      <c r="Q8514">
        <v>-2.153507E-2</v>
      </c>
      <c r="R8514">
        <v>-0.747403699999999</v>
      </c>
      <c r="S8514">
        <v>2.6559750000000002</v>
      </c>
      <c r="T8514">
        <v>-0.26962180000000002</v>
      </c>
      <c r="U8514">
        <v>-1.658752</v>
      </c>
      <c r="V8514">
        <v>-1.3313409999999999E-2</v>
      </c>
      <c r="W8514">
        <v>-6.3760249999999996E-3</v>
      </c>
      <c r="X8514">
        <v>0.99989099999999997</v>
      </c>
      <c r="Y8514">
        <v>-0.29213240000000001</v>
      </c>
      <c r="Z8514">
        <v>7.3340429999999998E-2</v>
      </c>
      <c r="AA8514">
        <v>0.95356169999999996</v>
      </c>
      <c r="AB8514">
        <v>20</v>
      </c>
      <c r="AC8514">
        <v>10.8578999999999</v>
      </c>
      <c r="AD8514">
        <v>-1.1159258488849999</v>
      </c>
      <c r="AE8514">
        <v>-6.7252999999999998</v>
      </c>
      <c r="AF8514">
        <v>-3.78516780366231</v>
      </c>
      <c r="AG8514">
        <v>-1.1159258488849999</v>
      </c>
      <c r="AH8514">
        <v>12.0968511768796</v>
      </c>
      <c r="AI8514">
        <v>95.031343877893804</v>
      </c>
      <c r="AJ8514">
        <v>107.375173662386</v>
      </c>
      <c r="AK8514">
        <v>12.7242522058337</v>
      </c>
      <c r="AL8514">
        <v>90.365321813868604</v>
      </c>
      <c r="AM8514">
        <v>90.762840280380701</v>
      </c>
      <c r="AN8514">
        <v>0.99999995623081295</v>
      </c>
    </row>
    <row r="8515" spans="1:40" x14ac:dyDescent="0.25">
      <c r="A8515" t="str">
        <f>"20190312154127373"</f>
        <v>20190312154127373</v>
      </c>
      <c r="B8515" t="str">
        <f>"1552376487365084"</f>
        <v>1552376487365084</v>
      </c>
      <c r="C8515" t="s">
        <v>40</v>
      </c>
      <c r="D8515">
        <v>4.3519629999999996</v>
      </c>
      <c r="E8515">
        <v>0.38713940000000002</v>
      </c>
      <c r="F8515" t="s">
        <v>69</v>
      </c>
      <c r="G8515">
        <v>-285.29169999999999</v>
      </c>
      <c r="H8515" s="1">
        <v>-4.9153129999999999E-6</v>
      </c>
      <c r="I8515">
        <v>-53.358429999999998</v>
      </c>
      <c r="J8515">
        <v>-296.15410000000003</v>
      </c>
      <c r="K8515">
        <v>1.115891</v>
      </c>
      <c r="L8515">
        <v>-46.750520000000002</v>
      </c>
      <c r="M8515">
        <v>0.6618581</v>
      </c>
      <c r="N8515">
        <v>0</v>
      </c>
      <c r="O8515">
        <v>-0.74947229999999998</v>
      </c>
      <c r="P8515">
        <v>0.67190589999999994</v>
      </c>
      <c r="Q8515">
        <v>-2.1210179999999999E-2</v>
      </c>
      <c r="R8515">
        <v>-0.74033300000000002</v>
      </c>
      <c r="S8515">
        <v>2.6676030000000002</v>
      </c>
      <c r="T8515">
        <v>-0.27070300000000003</v>
      </c>
      <c r="U8515">
        <v>-1.6361079999999999</v>
      </c>
      <c r="V8515">
        <v>-1.349843E-2</v>
      </c>
      <c r="W8515">
        <v>-6.0660549999999999E-3</v>
      </c>
      <c r="X8515">
        <v>0.99989050000000002</v>
      </c>
      <c r="Y8515">
        <v>-0.28990329999999997</v>
      </c>
      <c r="Z8515">
        <v>7.31237E-2</v>
      </c>
      <c r="AA8515">
        <v>0.95425839999999995</v>
      </c>
      <c r="AB8515">
        <v>20</v>
      </c>
      <c r="AC8515">
        <v>10.862399999999999</v>
      </c>
      <c r="AD8515">
        <v>-1.1158959153129999</v>
      </c>
      <c r="AE8515">
        <v>-6.6079100000000004</v>
      </c>
      <c r="AF8515">
        <v>-3.7392093566637499</v>
      </c>
      <c r="AG8515">
        <v>-1.1158959153129999</v>
      </c>
      <c r="AH8515">
        <v>12.0504173021254</v>
      </c>
      <c r="AI8515">
        <v>95.054219556107199</v>
      </c>
      <c r="AJ8515">
        <v>107.238964209881</v>
      </c>
      <c r="AK8515">
        <v>12.6664702053152</v>
      </c>
      <c r="AL8515">
        <v>90.347561478465096</v>
      </c>
      <c r="AM8515">
        <v>90.773440782357596</v>
      </c>
      <c r="AN8515">
        <v>1.0000000083129801</v>
      </c>
    </row>
    <row r="8516" spans="1:40" x14ac:dyDescent="0.25">
      <c r="A8516" t="str">
        <f>"20190312154127390"</f>
        <v>20190312154127390</v>
      </c>
      <c r="B8516" t="str">
        <f>"1552376487384605"</f>
        <v>1552376487384605</v>
      </c>
      <c r="C8516" t="s">
        <v>40</v>
      </c>
      <c r="D8516">
        <v>4.31332</v>
      </c>
      <c r="E8516">
        <v>0.37657620000000003</v>
      </c>
      <c r="F8516" t="s">
        <v>69</v>
      </c>
      <c r="G8516">
        <v>-285.024</v>
      </c>
      <c r="H8516" s="1">
        <v>-5.0385309999999999E-6</v>
      </c>
      <c r="I8516">
        <v>-53.423099999999998</v>
      </c>
      <c r="J8516">
        <v>-296.0575</v>
      </c>
      <c r="K8516">
        <v>1.1158680000000001</v>
      </c>
      <c r="L8516">
        <v>-46.84695</v>
      </c>
      <c r="M8516">
        <v>0.66739159999999997</v>
      </c>
      <c r="N8516">
        <v>0</v>
      </c>
      <c r="O8516">
        <v>-0.74454929999999997</v>
      </c>
      <c r="P8516">
        <v>0.67717439999999995</v>
      </c>
      <c r="Q8516">
        <v>-2.1337249999999999E-2</v>
      </c>
      <c r="R8516">
        <v>-0.73551339999999998</v>
      </c>
      <c r="S8516">
        <v>2.6836850000000001</v>
      </c>
      <c r="T8516">
        <v>-0.26906390000000002</v>
      </c>
      <c r="U8516">
        <v>-1.608887</v>
      </c>
      <c r="V8516">
        <v>-1.3231420000000001E-2</v>
      </c>
      <c r="W8516">
        <v>-6.1981519999999898E-3</v>
      </c>
      <c r="X8516">
        <v>0.99989320000000004</v>
      </c>
      <c r="Y8516">
        <v>-0.29250169999999998</v>
      </c>
      <c r="Z8516">
        <v>7.2420479999999995E-2</v>
      </c>
      <c r="AA8516">
        <v>0.95351870000000005</v>
      </c>
      <c r="AB8516">
        <v>20</v>
      </c>
      <c r="AC8516">
        <v>11.0335</v>
      </c>
      <c r="AD8516">
        <v>-1.1158730385310001</v>
      </c>
      <c r="AE8516">
        <v>-6.5761499999999904</v>
      </c>
      <c r="AF8516">
        <v>-3.7979030013469401</v>
      </c>
      <c r="AG8516">
        <v>-1.1158730385310001</v>
      </c>
      <c r="AH8516">
        <v>12.169526300635001</v>
      </c>
      <c r="AI8516">
        <v>95.002379380468994</v>
      </c>
      <c r="AJ8516">
        <v>107.332258475736</v>
      </c>
      <c r="AK8516">
        <v>12.7971328909099</v>
      </c>
      <c r="AL8516">
        <v>90.355130242189801</v>
      </c>
      <c r="AM8516">
        <v>90.758141247074306</v>
      </c>
      <c r="AN8516">
        <v>0.99999994948483395</v>
      </c>
    </row>
    <row r="8517" spans="1:40" x14ac:dyDescent="0.25">
      <c r="A8517" t="str">
        <f>"20190312154127406"</f>
        <v>20190312154127406</v>
      </c>
      <c r="B8517" t="str">
        <f>"1552376487395340"</f>
        <v>1552376487395340</v>
      </c>
      <c r="C8517" t="s">
        <v>40</v>
      </c>
      <c r="D8517">
        <v>4.2738589999999999</v>
      </c>
      <c r="E8517">
        <v>0.37729390000000002</v>
      </c>
      <c r="F8517" t="s">
        <v>69</v>
      </c>
      <c r="G8517">
        <v>-282.17239999999998</v>
      </c>
      <c r="H8517" s="1">
        <v>-6.0740249999999998E-6</v>
      </c>
      <c r="I8517">
        <v>-54.57376</v>
      </c>
      <c r="J8517">
        <v>-295.95609999999999</v>
      </c>
      <c r="K8517">
        <v>1.115839</v>
      </c>
      <c r="L8517">
        <v>-46.946620000000003</v>
      </c>
      <c r="M8517">
        <v>0.67310630000000005</v>
      </c>
      <c r="N8517">
        <v>0</v>
      </c>
      <c r="O8517">
        <v>-0.73938749999999998</v>
      </c>
      <c r="P8517">
        <v>0.68288139999999997</v>
      </c>
      <c r="Q8517">
        <v>-2.1229040000000001E-2</v>
      </c>
      <c r="R8517">
        <v>-0.73022100000000001</v>
      </c>
      <c r="S8517">
        <v>2.756866</v>
      </c>
      <c r="T8517">
        <v>-0.22155549999999999</v>
      </c>
      <c r="U8517">
        <v>-1.534149</v>
      </c>
      <c r="V8517">
        <v>-1.331677E-2</v>
      </c>
      <c r="W8517">
        <v>-6.1001819999999896E-3</v>
      </c>
      <c r="X8517">
        <v>0.99989269999999997</v>
      </c>
      <c r="Y8517">
        <v>-0.31677889999999997</v>
      </c>
      <c r="Z8517">
        <v>5.9510210000000001E-2</v>
      </c>
      <c r="AA8517">
        <v>0.94663070000000005</v>
      </c>
      <c r="AB8517">
        <v>20</v>
      </c>
      <c r="AC8517">
        <v>13.7837</v>
      </c>
      <c r="AD8517">
        <v>-1.1158450740250001</v>
      </c>
      <c r="AE8517">
        <v>-7.62713999999999</v>
      </c>
      <c r="AF8517">
        <v>-5.0329595867651999</v>
      </c>
      <c r="AG8517">
        <v>-1.1158450740250001</v>
      </c>
      <c r="AH8517">
        <v>14.8445735631794</v>
      </c>
      <c r="AI8517">
        <v>94.071917362686705</v>
      </c>
      <c r="AJ8517">
        <v>108.72890610587299</v>
      </c>
      <c r="AK8517">
        <v>15.714234206727401</v>
      </c>
      <c r="AL8517">
        <v>90.349516857574301</v>
      </c>
      <c r="AM8517">
        <v>90.763031483908406</v>
      </c>
      <c r="AN8517">
        <v>0.99999998004847701</v>
      </c>
    </row>
    <row r="8518" spans="1:40" x14ac:dyDescent="0.25">
      <c r="A8518" t="str">
        <f>"20190312154127418"</f>
        <v>20190312154127418</v>
      </c>
      <c r="B8518" t="str">
        <f>"1552376487414861"</f>
        <v>1552376487414861</v>
      </c>
      <c r="C8518" t="s">
        <v>40</v>
      </c>
      <c r="D8518">
        <v>4.2718210000000001</v>
      </c>
      <c r="E8518">
        <v>0.37858609999999998</v>
      </c>
      <c r="F8518" t="s">
        <v>69</v>
      </c>
      <c r="G8518">
        <v>-281.26659999999998</v>
      </c>
      <c r="H8518" s="1">
        <v>-6.3285499999999997E-6</v>
      </c>
      <c r="I8518">
        <v>-55.006450000000001</v>
      </c>
      <c r="J8518">
        <v>-295.88060000000002</v>
      </c>
      <c r="K8518">
        <v>1.115815</v>
      </c>
      <c r="L8518">
        <v>-47.02017</v>
      </c>
      <c r="M8518">
        <v>0.67731129999999995</v>
      </c>
      <c r="N8518">
        <v>0</v>
      </c>
      <c r="O8518">
        <v>-0.73553740000000001</v>
      </c>
      <c r="P8518">
        <v>0.68715680000000001</v>
      </c>
      <c r="Q8518">
        <v>-2.1035499999999999E-2</v>
      </c>
      <c r="R8518">
        <v>-0.72620459999999998</v>
      </c>
      <c r="S8518">
        <v>2.7645870000000001</v>
      </c>
      <c r="T8518">
        <v>-0.2100042</v>
      </c>
      <c r="U8518">
        <v>-1.5168759999999999</v>
      </c>
      <c r="V8518">
        <v>-1.348509E-2</v>
      </c>
      <c r="W8518">
        <v>-5.9156169999999998E-3</v>
      </c>
      <c r="X8518">
        <v>0.99989159999999999</v>
      </c>
      <c r="Y8518">
        <v>-0.31724229999999998</v>
      </c>
      <c r="Z8518">
        <v>5.6247119999999998E-2</v>
      </c>
      <c r="AA8518">
        <v>0.94667500000000004</v>
      </c>
      <c r="AB8518">
        <v>20</v>
      </c>
      <c r="AC8518">
        <v>14.614000000000001</v>
      </c>
      <c r="AD8518">
        <v>-1.11582132855</v>
      </c>
      <c r="AE8518">
        <v>-7.9862799999999998</v>
      </c>
      <c r="AF8518">
        <v>-5.3167037750549397</v>
      </c>
      <c r="AG8518">
        <v>-1.11582132855</v>
      </c>
      <c r="AH8518">
        <v>15.703785485713899</v>
      </c>
      <c r="AI8518">
        <v>93.850297401436194</v>
      </c>
      <c r="AJ8518">
        <v>108.70414297344099</v>
      </c>
      <c r="AK8518">
        <v>16.6168972690526</v>
      </c>
      <c r="AL8518">
        <v>90.338941855047693</v>
      </c>
      <c r="AM8518">
        <v>90.772675662171594</v>
      </c>
      <c r="AN8518">
        <v>1.00000002696367</v>
      </c>
    </row>
    <row r="8519" spans="1:40" x14ac:dyDescent="0.25">
      <c r="A8519" t="str">
        <f>"20190312154127433"</f>
        <v>20190312154127433</v>
      </c>
      <c r="B8519" t="str">
        <f>"1552376487424621"</f>
        <v>1552376487424621</v>
      </c>
      <c r="C8519" t="s">
        <v>40</v>
      </c>
      <c r="D8519">
        <v>4.2432840000000001</v>
      </c>
      <c r="E8519">
        <v>0.37934469999999998</v>
      </c>
      <c r="F8519" t="s">
        <v>69</v>
      </c>
      <c r="G8519">
        <v>-281.68459999999999</v>
      </c>
      <c r="H8519" s="1">
        <v>-6.2167059999999999E-6</v>
      </c>
      <c r="I8519">
        <v>-54.756860000000003</v>
      </c>
      <c r="J8519">
        <v>-295.78660000000002</v>
      </c>
      <c r="K8519">
        <v>1.1157889999999999</v>
      </c>
      <c r="L8519">
        <v>-47.110140000000001</v>
      </c>
      <c r="M8519">
        <v>0.68246269999999998</v>
      </c>
      <c r="N8519">
        <v>0</v>
      </c>
      <c r="O8519">
        <v>-0.73076030000000003</v>
      </c>
      <c r="P8519">
        <v>0.69212850000000004</v>
      </c>
      <c r="Q8519">
        <v>-2.0694359999999998E-2</v>
      </c>
      <c r="R8519">
        <v>-0.72147740000000005</v>
      </c>
      <c r="S8519">
        <v>2.7660520000000002</v>
      </c>
      <c r="T8519">
        <v>-0.21741550000000001</v>
      </c>
      <c r="U8519">
        <v>-1.507477</v>
      </c>
      <c r="V8519">
        <v>-1.3325389999999999E-2</v>
      </c>
      <c r="W8519">
        <v>-5.580603E-3</v>
      </c>
      <c r="X8519">
        <v>0.9998956</v>
      </c>
      <c r="Y8519">
        <v>-0.31314500000000001</v>
      </c>
      <c r="Z8519">
        <v>5.7909809999999999E-2</v>
      </c>
      <c r="AA8519">
        <v>0.94793810000000001</v>
      </c>
      <c r="AB8519">
        <v>20</v>
      </c>
      <c r="AC8519">
        <v>14.102</v>
      </c>
      <c r="AD8519">
        <v>-1.1157952167059999</v>
      </c>
      <c r="AE8519">
        <v>-7.6467199999999904</v>
      </c>
      <c r="AF8519">
        <v>-5.0626827824337504</v>
      </c>
      <c r="AG8519">
        <v>-1.1157952167059999</v>
      </c>
      <c r="AH8519">
        <v>15.140539285016599</v>
      </c>
      <c r="AI8519">
        <v>93.998019623470398</v>
      </c>
      <c r="AJ8519">
        <v>108.48886792093001</v>
      </c>
      <c r="AK8519">
        <v>16.003489799487699</v>
      </c>
      <c r="AL8519">
        <v>90.319746671486897</v>
      </c>
      <c r="AM8519">
        <v>90.763523124681399</v>
      </c>
      <c r="AN8519">
        <v>0.99999996002392699</v>
      </c>
    </row>
    <row r="8520" spans="1:40" x14ac:dyDescent="0.25">
      <c r="A8520" t="str">
        <f>"20190312154127446"</f>
        <v>20190312154127446</v>
      </c>
      <c r="B8520" t="str">
        <f>"1552376487435357"</f>
        <v>1552376487435357</v>
      </c>
      <c r="C8520" t="s">
        <v>40</v>
      </c>
      <c r="D8520">
        <v>4.2793140000000003</v>
      </c>
      <c r="E8520">
        <v>0.37999939999999999</v>
      </c>
      <c r="F8520" t="s">
        <v>69</v>
      </c>
      <c r="G8520">
        <v>-281.78199999999998</v>
      </c>
      <c r="H8520" s="1">
        <v>-6.1960639999999997E-6</v>
      </c>
      <c r="I8520">
        <v>-54.650500000000001</v>
      </c>
      <c r="J8520">
        <v>-295.70440000000002</v>
      </c>
      <c r="K8520">
        <v>1.115772</v>
      </c>
      <c r="L8520">
        <v>-47.187869999999997</v>
      </c>
      <c r="M8520">
        <v>0.68690739999999995</v>
      </c>
      <c r="N8520">
        <v>0</v>
      </c>
      <c r="O8520">
        <v>-0.72658409999999995</v>
      </c>
      <c r="P8520">
        <v>0.69649430000000001</v>
      </c>
      <c r="Q8520">
        <v>-2.0203869999999999E-2</v>
      </c>
      <c r="R8520">
        <v>-0.71727810000000003</v>
      </c>
      <c r="S8520">
        <v>2.7720340000000001</v>
      </c>
      <c r="T8520">
        <v>-0.2208582</v>
      </c>
      <c r="U8520">
        <v>-1.492523</v>
      </c>
      <c r="V8520">
        <v>-1.329205E-2</v>
      </c>
      <c r="W8520">
        <v>-5.0971050000000002E-3</v>
      </c>
      <c r="X8520">
        <v>0.99989870000000003</v>
      </c>
      <c r="Y8520">
        <v>-0.3121139</v>
      </c>
      <c r="Z8520">
        <v>5.8589490000000001E-2</v>
      </c>
      <c r="AA8520">
        <v>0.94823630000000003</v>
      </c>
      <c r="AB8520">
        <v>20</v>
      </c>
      <c r="AC8520">
        <v>13.9224</v>
      </c>
      <c r="AD8520">
        <v>-1.1157781960640001</v>
      </c>
      <c r="AE8520">
        <v>-7.4626299999999901</v>
      </c>
      <c r="AF8520">
        <v>-4.9654676031089098</v>
      </c>
      <c r="AG8520">
        <v>-1.1157781960640001</v>
      </c>
      <c r="AH8520">
        <v>14.9129738551957</v>
      </c>
      <c r="AI8520">
        <v>94.060484145747907</v>
      </c>
      <c r="AJ8520">
        <v>108.41584686892701</v>
      </c>
      <c r="AK8520">
        <v>15.7574623180919</v>
      </c>
      <c r="AL8520">
        <v>90.292043858693205</v>
      </c>
      <c r="AM8520">
        <v>90.761610661372998</v>
      </c>
      <c r="AN8520">
        <v>1.0000000346671301</v>
      </c>
    </row>
    <row r="8521" spans="1:40" x14ac:dyDescent="0.25">
      <c r="A8521" t="str">
        <f>"20190312154127462"</f>
        <v>20190312154127462</v>
      </c>
      <c r="B8521" t="str">
        <f>"1552376487454877"</f>
        <v>1552376487454877</v>
      </c>
      <c r="C8521" t="s">
        <v>40</v>
      </c>
      <c r="D8521">
        <v>4.2148560000000002</v>
      </c>
      <c r="E8521">
        <v>0.3814575</v>
      </c>
      <c r="F8521" t="s">
        <v>69</v>
      </c>
      <c r="G8521">
        <v>-281.78300000000002</v>
      </c>
      <c r="H8521" s="1">
        <v>-6.2010639999999997E-6</v>
      </c>
      <c r="I8521">
        <v>-54.603279999999998</v>
      </c>
      <c r="J8521">
        <v>-295.59840000000003</v>
      </c>
      <c r="K8521">
        <v>1.115742</v>
      </c>
      <c r="L8521">
        <v>-47.286769999999997</v>
      </c>
      <c r="M8521">
        <v>0.69254959999999999</v>
      </c>
      <c r="N8521">
        <v>0</v>
      </c>
      <c r="O8521">
        <v>-0.72120859999999998</v>
      </c>
      <c r="P8521">
        <v>0.70177029999999996</v>
      </c>
      <c r="Q8521">
        <v>-1.942441E-2</v>
      </c>
      <c r="R8521">
        <v>-0.71213850000000001</v>
      </c>
      <c r="S8521">
        <v>2.7773129999999999</v>
      </c>
      <c r="T8521">
        <v>-0.22259709999999999</v>
      </c>
      <c r="U8521">
        <v>-1.4793700000000001</v>
      </c>
      <c r="V8521">
        <v>-1.2875859999999999E-2</v>
      </c>
      <c r="W8521">
        <v>-4.3216699999999997E-3</v>
      </c>
      <c r="X8521">
        <v>0.99990780000000001</v>
      </c>
      <c r="Y8521">
        <v>-0.30893559999999998</v>
      </c>
      <c r="Z8521">
        <v>5.8679009999999997E-2</v>
      </c>
      <c r="AA8521">
        <v>0.94927110000000003</v>
      </c>
      <c r="AB8521">
        <v>20</v>
      </c>
      <c r="AC8521">
        <v>13.8154</v>
      </c>
      <c r="AD8521">
        <v>-1.1157482010640001</v>
      </c>
      <c r="AE8521">
        <v>-7.3165100000000001</v>
      </c>
      <c r="AF8521">
        <v>-4.8724910657264999</v>
      </c>
      <c r="AG8521">
        <v>-1.1157482010640001</v>
      </c>
      <c r="AH8521">
        <v>14.771070834394701</v>
      </c>
      <c r="AI8521">
        <v>94.103028667579494</v>
      </c>
      <c r="AJ8521">
        <v>108.25602553607401</v>
      </c>
      <c r="AK8521">
        <v>15.5939282039026</v>
      </c>
      <c r="AL8521">
        <v>90.247614213176405</v>
      </c>
      <c r="AM8521">
        <v>90.737759684576503</v>
      </c>
      <c r="AN8521">
        <v>1.00000003655158</v>
      </c>
    </row>
    <row r="8522" spans="1:40" x14ac:dyDescent="0.25">
      <c r="A8522" t="str">
        <f>"20190312154127478"</f>
        <v>20190312154127478</v>
      </c>
      <c r="B8522" t="str">
        <f>"1552376487475373"</f>
        <v>1552376487475373</v>
      </c>
      <c r="C8522" t="s">
        <v>40</v>
      </c>
      <c r="D8522">
        <v>4.2168510000000001</v>
      </c>
      <c r="E8522">
        <v>0.38292749999999998</v>
      </c>
      <c r="F8522" t="s">
        <v>69</v>
      </c>
      <c r="G8522">
        <v>-281.58269999999999</v>
      </c>
      <c r="H8522" s="1">
        <v>-6.25908699999999E-6</v>
      </c>
      <c r="I8522">
        <v>-54.68336</v>
      </c>
      <c r="J8522">
        <v>-295.50049999999999</v>
      </c>
      <c r="K8522">
        <v>1.1157090000000001</v>
      </c>
      <c r="L8522">
        <v>-47.377079999999999</v>
      </c>
      <c r="M8522">
        <v>0.6976888</v>
      </c>
      <c r="N8522">
        <v>0</v>
      </c>
      <c r="O8522">
        <v>-0.7162385</v>
      </c>
      <c r="P8522">
        <v>0.7066038</v>
      </c>
      <c r="Q8522">
        <v>-1.9330380000000001E-2</v>
      </c>
      <c r="R8522">
        <v>-0.70734569999999997</v>
      </c>
      <c r="S8522">
        <v>2.7799990000000001</v>
      </c>
      <c r="T8522">
        <v>-0.2213069</v>
      </c>
      <c r="U8522">
        <v>-1.4671019999999999</v>
      </c>
      <c r="V8522">
        <v>-1.253543E-2</v>
      </c>
      <c r="W8522">
        <v>-4.2322940000000002E-3</v>
      </c>
      <c r="X8522">
        <v>0.99991249999999998</v>
      </c>
      <c r="Y8522">
        <v>-0.30582100000000001</v>
      </c>
      <c r="Z8522">
        <v>5.8028499999999997E-2</v>
      </c>
      <c r="AA8522">
        <v>0.95031900000000002</v>
      </c>
      <c r="AB8522">
        <v>20</v>
      </c>
      <c r="AC8522">
        <v>13.9178</v>
      </c>
      <c r="AD8522">
        <v>-1.1157152590870001</v>
      </c>
      <c r="AE8522">
        <v>-7.3062800000000001</v>
      </c>
      <c r="AF8522">
        <v>-4.8471017882919298</v>
      </c>
      <c r="AG8522">
        <v>-1.1157152590870001</v>
      </c>
      <c r="AH8522">
        <v>14.870155884640299</v>
      </c>
      <c r="AI8522">
        <v>94.080360780713903</v>
      </c>
      <c r="AJ8522">
        <v>108.053986526928</v>
      </c>
      <c r="AK8522">
        <v>15.679947459061401</v>
      </c>
      <c r="AL8522">
        <v>90.242493300890203</v>
      </c>
      <c r="AM8522">
        <v>90.718252457409505</v>
      </c>
      <c r="AN8522">
        <v>1.0000000284870101</v>
      </c>
    </row>
    <row r="8523" spans="1:40" x14ac:dyDescent="0.25">
      <c r="A8523" t="str">
        <f>"20190312154127492"</f>
        <v>20190312154127492</v>
      </c>
      <c r="B8523" t="str">
        <f>"1552376487485133"</f>
        <v>1552376487485133</v>
      </c>
      <c r="C8523" t="s">
        <v>40</v>
      </c>
      <c r="D8523">
        <v>4.2149109999999999</v>
      </c>
      <c r="E8523">
        <v>0.38355299999999998</v>
      </c>
      <c r="F8523" t="s">
        <v>69</v>
      </c>
      <c r="G8523">
        <v>-281.68389999999999</v>
      </c>
      <c r="H8523" s="1">
        <v>-6.2334969999999998E-6</v>
      </c>
      <c r="I8523">
        <v>-54.609850000000002</v>
      </c>
      <c r="J8523">
        <v>-295.40780000000001</v>
      </c>
      <c r="K8523">
        <v>1.1156729999999999</v>
      </c>
      <c r="L8523">
        <v>-47.460999999999999</v>
      </c>
      <c r="M8523">
        <v>0.70246180000000003</v>
      </c>
      <c r="N8523">
        <v>0</v>
      </c>
      <c r="O8523">
        <v>-0.71155789999999997</v>
      </c>
      <c r="P8523">
        <v>0.71069640000000001</v>
      </c>
      <c r="Q8523">
        <v>-1.9309389999999999E-2</v>
      </c>
      <c r="R8523">
        <v>-0.70323380000000002</v>
      </c>
      <c r="S8523">
        <v>2.7817690000000002</v>
      </c>
      <c r="T8523">
        <v>-0.224632</v>
      </c>
      <c r="U8523">
        <v>-1.456207</v>
      </c>
      <c r="V8523">
        <v>-1.165336E-2</v>
      </c>
      <c r="W8523">
        <v>-4.2086780000000004E-3</v>
      </c>
      <c r="X8523">
        <v>0.99992320000000001</v>
      </c>
      <c r="Y8523">
        <v>-0.30257099999999998</v>
      </c>
      <c r="Z8523">
        <v>5.8594599999999997E-2</v>
      </c>
      <c r="AA8523">
        <v>0.95132399999999995</v>
      </c>
      <c r="AB8523">
        <v>20</v>
      </c>
      <c r="AC8523">
        <v>13.7239</v>
      </c>
      <c r="AD8523">
        <v>-1.1156792334969901</v>
      </c>
      <c r="AE8523">
        <v>-7.1488499999999897</v>
      </c>
      <c r="AF8523">
        <v>-4.7195738599921704</v>
      </c>
      <c r="AG8523">
        <v>-1.1156792334969901</v>
      </c>
      <c r="AH8523">
        <v>14.6528805265202</v>
      </c>
      <c r="AI8523">
        <v>94.145207803677593</v>
      </c>
      <c r="AJ8523">
        <v>107.853328291951</v>
      </c>
      <c r="AK8523">
        <v>15.434572404069099</v>
      </c>
      <c r="AL8523">
        <v>90.241140208303605</v>
      </c>
      <c r="AM8523">
        <v>90.667709398844906</v>
      </c>
      <c r="AN8523">
        <v>0.99999995983401702</v>
      </c>
    </row>
    <row r="8524" spans="1:40" x14ac:dyDescent="0.25">
      <c r="A8524" t="str">
        <f>"20190312154127505"</f>
        <v>20190312154127505</v>
      </c>
      <c r="B8524" t="str">
        <f>"1552376487494893"</f>
        <v>1552376487494893</v>
      </c>
      <c r="C8524" t="s">
        <v>40</v>
      </c>
      <c r="D8524">
        <v>4.2215189999999998</v>
      </c>
      <c r="E8524">
        <v>0.38355299999999998</v>
      </c>
      <c r="F8524" t="s">
        <v>69</v>
      </c>
      <c r="G8524">
        <v>-281.65039999999999</v>
      </c>
      <c r="H8524" s="1">
        <v>-6.2471300000000003E-6</v>
      </c>
      <c r="I8524">
        <v>-54.588149999999999</v>
      </c>
      <c r="J8524">
        <v>-295.32319999999999</v>
      </c>
      <c r="K8524">
        <v>1.1156429999999999</v>
      </c>
      <c r="L8524">
        <v>-47.536769999999997</v>
      </c>
      <c r="M8524">
        <v>0.70675900000000003</v>
      </c>
      <c r="N8524">
        <v>0</v>
      </c>
      <c r="O8524">
        <v>-0.70729010000000003</v>
      </c>
      <c r="P8524">
        <v>0.71464320000000003</v>
      </c>
      <c r="Q8524">
        <v>-1.9350969999999999E-2</v>
      </c>
      <c r="R8524">
        <v>-0.69922169999999995</v>
      </c>
      <c r="S8524">
        <v>2.7866209999999998</v>
      </c>
      <c r="T8524">
        <v>-0.22598550000000001</v>
      </c>
      <c r="U8524">
        <v>-1.4436340000000001</v>
      </c>
      <c r="V8524">
        <v>-1.1224710000000001E-2</v>
      </c>
      <c r="W8524">
        <v>-4.2532009999999999E-3</v>
      </c>
      <c r="X8524">
        <v>0.99992789999999998</v>
      </c>
      <c r="Y8524">
        <v>-0.30084250000000001</v>
      </c>
      <c r="Z8524">
        <v>5.8668860000000003E-2</v>
      </c>
      <c r="AA8524">
        <v>0.95186749999999998</v>
      </c>
      <c r="AB8524">
        <v>20</v>
      </c>
      <c r="AC8524">
        <v>13.672799999999899</v>
      </c>
      <c r="AD8524">
        <v>-1.1156492471299999</v>
      </c>
      <c r="AE8524">
        <v>-7.0513799999999902</v>
      </c>
      <c r="AF8524">
        <v>-4.6630309448112497</v>
      </c>
      <c r="AG8524">
        <v>-1.1156492471299999</v>
      </c>
      <c r="AH8524">
        <v>14.5757921462674</v>
      </c>
      <c r="AI8524">
        <v>94.169572287843295</v>
      </c>
      <c r="AJ8524">
        <v>107.740312236093</v>
      </c>
      <c r="AK8524">
        <v>15.344127460565501</v>
      </c>
      <c r="AL8524">
        <v>90.243691214963206</v>
      </c>
      <c r="AM8524">
        <v>90.643147868230798</v>
      </c>
      <c r="AN8524">
        <v>0.99999994451586804</v>
      </c>
    </row>
    <row r="8525" spans="1:40" x14ac:dyDescent="0.25">
      <c r="A8525" t="str">
        <f>"20190312154127519"</f>
        <v>20190312154127519</v>
      </c>
      <c r="B8525" t="str">
        <f>"1552376487515389"</f>
        <v>1552376487515389</v>
      </c>
      <c r="C8525" t="s">
        <v>40</v>
      </c>
      <c r="D8525">
        <v>4.2119559999999998</v>
      </c>
      <c r="E8525">
        <v>0.39254600000000001</v>
      </c>
      <c r="F8525" t="s">
        <v>69</v>
      </c>
      <c r="G8525">
        <v>-281.51400000000001</v>
      </c>
      <c r="H8525" s="1">
        <v>-6.2923720000000002E-6</v>
      </c>
      <c r="I8525">
        <v>-54.591830000000002</v>
      </c>
      <c r="J8525">
        <v>-295.2398</v>
      </c>
      <c r="K8525">
        <v>1.115612</v>
      </c>
      <c r="L8525">
        <v>-47.610779999999998</v>
      </c>
      <c r="M8525">
        <v>0.71094239999999997</v>
      </c>
      <c r="N8525">
        <v>0</v>
      </c>
      <c r="O8525">
        <v>-0.70308510000000002</v>
      </c>
      <c r="P8525">
        <v>0.7188061</v>
      </c>
      <c r="Q8525">
        <v>-1.938078E-2</v>
      </c>
      <c r="R8525">
        <v>-0.69494060000000002</v>
      </c>
      <c r="S8525">
        <v>2.7947389999999999</v>
      </c>
      <c r="T8525">
        <v>-0.22578860000000001</v>
      </c>
      <c r="U8525">
        <v>-1.427826</v>
      </c>
      <c r="V8525">
        <v>-1.126476E-2</v>
      </c>
      <c r="W8525">
        <v>-4.2921299999999999E-3</v>
      </c>
      <c r="X8525">
        <v>0.99992729999999996</v>
      </c>
      <c r="Y8525">
        <v>-0.30058980000000002</v>
      </c>
      <c r="Z8525">
        <v>5.8355949999999997E-2</v>
      </c>
      <c r="AA8525">
        <v>0.9519666</v>
      </c>
      <c r="AB8525">
        <v>20</v>
      </c>
      <c r="AC8525">
        <v>13.7257999999999</v>
      </c>
      <c r="AD8525">
        <v>-1.1156182923719999</v>
      </c>
      <c r="AE8525">
        <v>-6.9810499999999998</v>
      </c>
      <c r="AF8525">
        <v>-4.6633495646696401</v>
      </c>
      <c r="AG8525">
        <v>-1.1156182923719999</v>
      </c>
      <c r="AH8525">
        <v>14.5916437768671</v>
      </c>
      <c r="AI8525">
        <v>94.165335623773998</v>
      </c>
      <c r="AJ8525">
        <v>107.723381722428</v>
      </c>
      <c r="AK8525">
        <v>15.3592806292341</v>
      </c>
      <c r="AL8525">
        <v>90.245921698734094</v>
      </c>
      <c r="AM8525">
        <v>90.645442826743704</v>
      </c>
      <c r="AN8525">
        <v>0.999999961241541</v>
      </c>
    </row>
    <row r="8526" spans="1:40" x14ac:dyDescent="0.25">
      <c r="A8526" t="str">
        <f>"20190312154127543"</f>
        <v>20190312154127543</v>
      </c>
      <c r="B8526" t="str">
        <f>"1552376487534909"</f>
        <v>1552376487534909</v>
      </c>
      <c r="C8526" t="s">
        <v>40</v>
      </c>
      <c r="D8526">
        <v>4.2052740000000002</v>
      </c>
      <c r="E8526">
        <v>0.39335399999999998</v>
      </c>
      <c r="F8526" t="s">
        <v>69</v>
      </c>
      <c r="G8526">
        <v>-282.20530000000002</v>
      </c>
      <c r="H8526" s="1">
        <v>-6.0675680000000001E-6</v>
      </c>
      <c r="I8526">
        <v>-54.533360000000002</v>
      </c>
      <c r="J8526">
        <v>-295.08609999999999</v>
      </c>
      <c r="K8526">
        <v>1.115553</v>
      </c>
      <c r="L8526">
        <v>-47.744570000000003</v>
      </c>
      <c r="M8526">
        <v>0.71848040000000002</v>
      </c>
      <c r="N8526">
        <v>0</v>
      </c>
      <c r="O8526">
        <v>-0.69538069999999996</v>
      </c>
      <c r="P8526">
        <v>0.72673969999999999</v>
      </c>
      <c r="Q8526">
        <v>-1.914213E-2</v>
      </c>
      <c r="R8526">
        <v>-0.68664650000000005</v>
      </c>
      <c r="S8526">
        <v>2.7534480000000001</v>
      </c>
      <c r="T8526">
        <v>-0.23566570000000001</v>
      </c>
      <c r="U8526">
        <v>-1.4623409999999999</v>
      </c>
      <c r="V8526">
        <v>-1.196853E-2</v>
      </c>
      <c r="W8526">
        <v>-4.0796000000000001E-3</v>
      </c>
      <c r="X8526">
        <v>0.99992009999999998</v>
      </c>
      <c r="Y8526">
        <v>-0.27493299999999998</v>
      </c>
      <c r="Z8526">
        <v>6.006537E-2</v>
      </c>
      <c r="AA8526">
        <v>0.95958529999999997</v>
      </c>
      <c r="AB8526">
        <v>20</v>
      </c>
      <c r="AC8526">
        <v>12.880799999999899</v>
      </c>
      <c r="AD8526">
        <v>-1.1155590675680001</v>
      </c>
      <c r="AE8526">
        <v>-6.7887899999999899</v>
      </c>
      <c r="AF8526">
        <v>-4.05610996397062</v>
      </c>
      <c r="AG8526">
        <v>-1.1155590675680001</v>
      </c>
      <c r="AH8526">
        <v>13.895447145027999</v>
      </c>
      <c r="AI8526">
        <v>94.406855763451105</v>
      </c>
      <c r="AJ8526">
        <v>106.27263478912199</v>
      </c>
      <c r="AK8526">
        <v>14.5182626864691</v>
      </c>
      <c r="AL8526">
        <v>90.233744499348305</v>
      </c>
      <c r="AM8526">
        <v>90.685768303041698</v>
      </c>
      <c r="AN8526">
        <v>1.00000004761526</v>
      </c>
    </row>
    <row r="8527" spans="1:40" x14ac:dyDescent="0.25">
      <c r="A8527" t="str">
        <f>"20190312154127559"</f>
        <v>20190312154127559</v>
      </c>
      <c r="B8527" t="str">
        <f>"1552376487554429"</f>
        <v>1552376487554429</v>
      </c>
      <c r="C8527" t="s">
        <v>40</v>
      </c>
      <c r="D8527">
        <v>4.2021280000000001</v>
      </c>
      <c r="E8527">
        <v>0.3999721</v>
      </c>
      <c r="F8527" t="s">
        <v>69</v>
      </c>
      <c r="G8527">
        <v>-282.03219999999999</v>
      </c>
      <c r="H8527" s="1">
        <v>-6.1269520000000003E-6</v>
      </c>
      <c r="I8527">
        <v>-54.520499999999998</v>
      </c>
      <c r="J8527">
        <v>-294.98110000000003</v>
      </c>
      <c r="K8527">
        <v>1.1155120000000001</v>
      </c>
      <c r="L8527">
        <v>-47.834560000000003</v>
      </c>
      <c r="M8527">
        <v>0.72352240000000001</v>
      </c>
      <c r="N8527">
        <v>0</v>
      </c>
      <c r="O8527">
        <v>-0.69013349999999996</v>
      </c>
      <c r="P8527">
        <v>0.73198560000000001</v>
      </c>
      <c r="Q8527">
        <v>-1.9018839999999999E-2</v>
      </c>
      <c r="R8527">
        <v>-0.68105509999999903</v>
      </c>
      <c r="S8527">
        <v>2.7654719999999999</v>
      </c>
      <c r="T8527">
        <v>-0.23633170000000001</v>
      </c>
      <c r="U8527">
        <v>-1.435486</v>
      </c>
      <c r="V8527">
        <v>-1.236046E-2</v>
      </c>
      <c r="W8527">
        <v>-3.9731749999999998E-3</v>
      </c>
      <c r="X8527">
        <v>0.99991569999999996</v>
      </c>
      <c r="Y8527">
        <v>-0.27697189999999999</v>
      </c>
      <c r="Z8527">
        <v>5.9986089999999999E-2</v>
      </c>
      <c r="AA8527">
        <v>0.95900379999999996</v>
      </c>
      <c r="AB8527">
        <v>20</v>
      </c>
      <c r="AC8527">
        <v>12.9489</v>
      </c>
      <c r="AD8527">
        <v>-1.115518126952</v>
      </c>
      <c r="AE8527">
        <v>-6.6859400000000004</v>
      </c>
      <c r="AF8527">
        <v>-4.0756355185619499</v>
      </c>
      <c r="AG8527">
        <v>-1.115518126952</v>
      </c>
      <c r="AH8527">
        <v>13.9031630469741</v>
      </c>
      <c r="AI8527">
        <v>94.4027902654407</v>
      </c>
      <c r="AJ8527">
        <v>106.33820788370301</v>
      </c>
      <c r="AK8527">
        <v>14.5311089832286</v>
      </c>
      <c r="AL8527">
        <v>90.227646760649606</v>
      </c>
      <c r="AM8527">
        <v>90.708225824896402</v>
      </c>
      <c r="AN8527">
        <v>0.99999998709874005</v>
      </c>
    </row>
    <row r="8528" spans="1:40" x14ac:dyDescent="0.25">
      <c r="A8528" t="str">
        <f>"20190312154127573"</f>
        <v>20190312154127573</v>
      </c>
      <c r="B8528" t="str">
        <f>"1552376487565165"</f>
        <v>1552376487565165</v>
      </c>
      <c r="C8528" t="s">
        <v>40</v>
      </c>
      <c r="D8528">
        <v>4.4730420000000004</v>
      </c>
      <c r="E8528">
        <v>0.40084110000000001</v>
      </c>
      <c r="F8528" t="s">
        <v>69</v>
      </c>
      <c r="G8528">
        <v>-282.52010000000001</v>
      </c>
      <c r="H8528" s="1">
        <v>-5.9727280000000004E-6</v>
      </c>
      <c r="I8528">
        <v>-54.439660000000003</v>
      </c>
      <c r="J8528">
        <v>-294.87979999999999</v>
      </c>
      <c r="K8528">
        <v>1.115464</v>
      </c>
      <c r="L8528">
        <v>-47.919980000000002</v>
      </c>
      <c r="M8528">
        <v>0.72829350000000004</v>
      </c>
      <c r="N8528">
        <v>0</v>
      </c>
      <c r="O8528">
        <v>-0.68509690000000001</v>
      </c>
      <c r="P8528">
        <v>0.73733599999999999</v>
      </c>
      <c r="Q8528">
        <v>-1.856704E-2</v>
      </c>
      <c r="R8528">
        <v>-0.67527119999999996</v>
      </c>
      <c r="S8528">
        <v>2.7405089999999999</v>
      </c>
      <c r="T8528">
        <v>-0.24533199999999999</v>
      </c>
      <c r="U8528">
        <v>-1.452637</v>
      </c>
      <c r="V8528">
        <v>-1.330835E-2</v>
      </c>
      <c r="W8528">
        <v>-3.5454530000000001E-3</v>
      </c>
      <c r="X8528">
        <v>0.99990520000000005</v>
      </c>
      <c r="Y8528">
        <v>-0.26185779999999997</v>
      </c>
      <c r="Z8528">
        <v>6.173961E-2</v>
      </c>
      <c r="AA8528">
        <v>0.96312960000000003</v>
      </c>
      <c r="AB8528">
        <v>20</v>
      </c>
      <c r="AC8528">
        <v>12.359699999999901</v>
      </c>
      <c r="AD8528">
        <v>-1.115469972728</v>
      </c>
      <c r="AE8528">
        <v>-6.5196800000000001</v>
      </c>
      <c r="AF8528">
        <v>-3.69622810534206</v>
      </c>
      <c r="AG8528">
        <v>-1.115469972728</v>
      </c>
      <c r="AH8528">
        <v>13.3843695458523</v>
      </c>
      <c r="AI8528">
        <v>94.592947339642095</v>
      </c>
      <c r="AJ8528">
        <v>105.43802555647299</v>
      </c>
      <c r="AK8528">
        <v>13.930101349477599</v>
      </c>
      <c r="AL8528">
        <v>90.203139909665694</v>
      </c>
      <c r="AM8528">
        <v>90.762539555543597</v>
      </c>
      <c r="AN8528">
        <v>1.0000000457018601</v>
      </c>
    </row>
    <row r="8529" spans="1:40" x14ac:dyDescent="0.25">
      <c r="A8529" t="str">
        <f>"20190312154127586"</f>
        <v>20190312154127586</v>
      </c>
      <c r="B8529" t="str">
        <f>"1552376487574925"</f>
        <v>1552376487574925</v>
      </c>
      <c r="C8529" t="s">
        <v>40</v>
      </c>
      <c r="D8529">
        <v>4.138897</v>
      </c>
      <c r="E8529">
        <v>0.40167750000000002</v>
      </c>
      <c r="F8529" t="s">
        <v>69</v>
      </c>
      <c r="G8529">
        <v>-280.07499999999999</v>
      </c>
      <c r="H8529" s="1">
        <v>-6.6533349999999901E-6</v>
      </c>
      <c r="I8529">
        <v>-55.665489999999998</v>
      </c>
      <c r="J8529">
        <v>-294.79899999999998</v>
      </c>
      <c r="K8529">
        <v>1.1154269999999999</v>
      </c>
      <c r="L8529">
        <v>-47.987209999999997</v>
      </c>
      <c r="M8529">
        <v>0.73203619999999903</v>
      </c>
      <c r="N8529">
        <v>0</v>
      </c>
      <c r="O8529">
        <v>-0.68109690000000001</v>
      </c>
      <c r="P8529">
        <v>0.74104829999999999</v>
      </c>
      <c r="Q8529">
        <v>-1.832901E-2</v>
      </c>
      <c r="R8529">
        <v>-0.67120190000000002</v>
      </c>
      <c r="S8529">
        <v>2.7471920000000001</v>
      </c>
      <c r="T8529">
        <v>-0.2069869</v>
      </c>
      <c r="U8529">
        <v>-1.4372560000000001</v>
      </c>
      <c r="V8529">
        <v>-1.334221E-2</v>
      </c>
      <c r="W8529">
        <v>-3.3174879999999999E-3</v>
      </c>
      <c r="X8529">
        <v>0.9999055</v>
      </c>
      <c r="Y8529">
        <v>-0.26246530000000001</v>
      </c>
      <c r="Z8529">
        <v>5.1925329999999999E-2</v>
      </c>
      <c r="AA8529">
        <v>0.96354329999999999</v>
      </c>
      <c r="AB8529">
        <v>20</v>
      </c>
      <c r="AC8529">
        <v>14.724</v>
      </c>
      <c r="AD8529">
        <v>-1.115433653335</v>
      </c>
      <c r="AE8529">
        <v>-7.67828</v>
      </c>
      <c r="AF8529">
        <v>-4.3883984166598102</v>
      </c>
      <c r="AG8529">
        <v>-1.115433653335</v>
      </c>
      <c r="AH8529">
        <v>15.938082545951</v>
      </c>
      <c r="AI8529">
        <v>93.8601506327648</v>
      </c>
      <c r="AJ8529">
        <v>105.394383217533</v>
      </c>
      <c r="AK8529">
        <v>16.568787165628098</v>
      </c>
      <c r="AL8529">
        <v>90.1900784068674</v>
      </c>
      <c r="AM8529">
        <v>90.764479200716806</v>
      </c>
      <c r="AN8529">
        <v>1.0000000146122801</v>
      </c>
    </row>
    <row r="8530" spans="1:40" x14ac:dyDescent="0.25">
      <c r="A8530" t="str">
        <f>"20190312154127609"</f>
        <v>20190312154127609</v>
      </c>
      <c r="B8530" t="str">
        <f>"1552376487605181"</f>
        <v>1552376487605181</v>
      </c>
      <c r="C8530" t="s">
        <v>40</v>
      </c>
      <c r="D8530">
        <v>4.2568419999999998</v>
      </c>
      <c r="E8530">
        <v>0.40236529999999998</v>
      </c>
      <c r="F8530" t="s">
        <v>94</v>
      </c>
      <c r="G8530">
        <v>-279.56720000000001</v>
      </c>
      <c r="H8530" s="1">
        <v>-4.2519199999999996E-6</v>
      </c>
      <c r="I8530">
        <v>-55.890900000000002</v>
      </c>
      <c r="J8530">
        <v>-294.65730000000002</v>
      </c>
      <c r="K8530">
        <v>1.1153630000000001</v>
      </c>
      <c r="L8530">
        <v>-48.103700000000003</v>
      </c>
      <c r="M8530">
        <v>0.73847940000000001</v>
      </c>
      <c r="N8530">
        <v>0</v>
      </c>
      <c r="O8530">
        <v>-0.67410579999999998</v>
      </c>
      <c r="P8530">
        <v>0.74760309999999996</v>
      </c>
      <c r="Q8530">
        <v>-1.8199529999999998E-2</v>
      </c>
      <c r="R8530">
        <v>-0.66389679999999995</v>
      </c>
      <c r="S8530">
        <v>2.75061</v>
      </c>
      <c r="T8530">
        <v>-0.20142869999999999</v>
      </c>
      <c r="U8530">
        <v>-1.4272769999999999</v>
      </c>
      <c r="V8530">
        <v>-1.365213E-2</v>
      </c>
      <c r="W8530">
        <v>-3.2092290000000001E-3</v>
      </c>
      <c r="X8530">
        <v>0.9999017</v>
      </c>
      <c r="Y8530">
        <v>-0.2566387</v>
      </c>
      <c r="Z8530">
        <v>5.001597E-2</v>
      </c>
      <c r="AA8530">
        <v>0.96521239999999997</v>
      </c>
      <c r="AB8530">
        <v>19</v>
      </c>
      <c r="AC8530">
        <v>15.0901</v>
      </c>
      <c r="AD8530">
        <v>-1.11536725192</v>
      </c>
      <c r="AE8530">
        <v>-7.7871999999999897</v>
      </c>
      <c r="AF8530">
        <v>-4.4031480852279001</v>
      </c>
      <c r="AG8530">
        <v>-1.11536725192</v>
      </c>
      <c r="AH8530">
        <v>16.324576873586299</v>
      </c>
      <c r="AI8530">
        <v>93.774159219516207</v>
      </c>
      <c r="AJ8530">
        <v>105.094893553506</v>
      </c>
      <c r="AK8530">
        <v>16.944720926256998</v>
      </c>
      <c r="AL8530">
        <v>90.183875584593494</v>
      </c>
      <c r="AM8530">
        <v>90.782237723977602</v>
      </c>
      <c r="AN8530">
        <v>1.0000000447335899</v>
      </c>
    </row>
    <row r="8531" spans="1:40" x14ac:dyDescent="0.25">
      <c r="A8531" t="str">
        <f>"20190312154127621"</f>
        <v>20190312154127621</v>
      </c>
      <c r="B8531" t="str">
        <f>"1552376487614942"</f>
        <v>1552376487614942</v>
      </c>
      <c r="C8531" t="s">
        <v>40</v>
      </c>
      <c r="D8531">
        <v>4.2337569999999998</v>
      </c>
      <c r="E8531">
        <v>0.40236529999999998</v>
      </c>
      <c r="F8531" t="s">
        <v>94</v>
      </c>
      <c r="G8531">
        <v>-278.68650000000002</v>
      </c>
      <c r="H8531" s="1">
        <v>-3.7992859999999998E-6</v>
      </c>
      <c r="I8531">
        <v>-56.22925</v>
      </c>
      <c r="J8531">
        <v>-294.56920000000002</v>
      </c>
      <c r="K8531">
        <v>1.1153189999999999</v>
      </c>
      <c r="L8531">
        <v>-48.175139999999999</v>
      </c>
      <c r="M8531">
        <v>0.74240469999999903</v>
      </c>
      <c r="N8531">
        <v>0</v>
      </c>
      <c r="O8531">
        <v>-0.6697803</v>
      </c>
      <c r="P8531">
        <v>0.75124000000000002</v>
      </c>
      <c r="Q8531">
        <v>-1.814694E-2</v>
      </c>
      <c r="R8531">
        <v>-0.65977959999999902</v>
      </c>
      <c r="S8531">
        <v>2.7608030000000001</v>
      </c>
      <c r="T8531">
        <v>-0.19280900000000001</v>
      </c>
      <c r="U8531">
        <v>-1.404633</v>
      </c>
      <c r="V8531">
        <v>-1.330598E-2</v>
      </c>
      <c r="W8531">
        <v>-3.1633020000000002E-3</v>
      </c>
      <c r="X8531">
        <v>0.99990650000000003</v>
      </c>
      <c r="Y8531">
        <v>-0.25885740000000002</v>
      </c>
      <c r="Z8531">
        <v>4.7718320000000002E-2</v>
      </c>
      <c r="AA8531">
        <v>0.96473609999999999</v>
      </c>
      <c r="AB8531">
        <v>19</v>
      </c>
      <c r="AC8531">
        <v>15.8827</v>
      </c>
      <c r="AD8531">
        <v>-1.115322799286</v>
      </c>
      <c r="AE8531">
        <v>-8.0541099999999997</v>
      </c>
      <c r="AF8531">
        <v>-4.6408415634749902</v>
      </c>
      <c r="AG8531">
        <v>-1.115322799286</v>
      </c>
      <c r="AH8531">
        <v>17.120692418591702</v>
      </c>
      <c r="AI8531">
        <v>93.597776715924496</v>
      </c>
      <c r="AJ8531">
        <v>105.16649945840599</v>
      </c>
      <c r="AK8531">
        <v>17.7735608209471</v>
      </c>
      <c r="AL8531">
        <v>90.181244150366098</v>
      </c>
      <c r="AM8531">
        <v>90.762402784619894</v>
      </c>
      <c r="AN8531">
        <v>1.00000003216277</v>
      </c>
    </row>
    <row r="8532" spans="1:40" x14ac:dyDescent="0.25">
      <c r="A8532" t="str">
        <f>"20190312154127633"</f>
        <v>20190312154127633</v>
      </c>
      <c r="B8532" t="str">
        <f>"1552376487625169"</f>
        <v>1552376487625169</v>
      </c>
      <c r="C8532" t="s">
        <v>40</v>
      </c>
      <c r="D8532">
        <v>4.2062350000000004</v>
      </c>
      <c r="E8532">
        <v>0.37918839999999998</v>
      </c>
      <c r="F8532" t="s">
        <v>94</v>
      </c>
      <c r="G8532">
        <v>-278.54950000000002</v>
      </c>
      <c r="H8532" s="1">
        <v>-3.7437030000000001E-6</v>
      </c>
      <c r="I8532">
        <v>-56.214880000000001</v>
      </c>
      <c r="J8532">
        <v>-294.48450000000003</v>
      </c>
      <c r="K8532">
        <v>1.1152759999999999</v>
      </c>
      <c r="L8532">
        <v>-48.24295</v>
      </c>
      <c r="M8532">
        <v>0.74611090000000002</v>
      </c>
      <c r="N8532">
        <v>0</v>
      </c>
      <c r="O8532">
        <v>-0.66564979999999996</v>
      </c>
      <c r="P8532">
        <v>0.75471189999999999</v>
      </c>
      <c r="Q8532">
        <v>-1.80162E-2</v>
      </c>
      <c r="R8532">
        <v>-0.65580930000000004</v>
      </c>
      <c r="S8532">
        <v>2.7684630000000001</v>
      </c>
      <c r="T8532">
        <v>-0.1927469</v>
      </c>
      <c r="U8532">
        <v>-1.3894040000000001</v>
      </c>
      <c r="V8532">
        <v>-1.3032790000000001E-2</v>
      </c>
      <c r="W8532">
        <v>-3.0401339999999999E-3</v>
      </c>
      <c r="X8532">
        <v>0.99991050000000004</v>
      </c>
      <c r="Y8532">
        <v>-0.2588143</v>
      </c>
      <c r="Z8532">
        <v>4.7476299999999999E-2</v>
      </c>
      <c r="AA8532">
        <v>0.96475960000000005</v>
      </c>
      <c r="AB8532">
        <v>19</v>
      </c>
      <c r="AC8532">
        <v>15.935</v>
      </c>
      <c r="AD8532">
        <v>-1.115279743703</v>
      </c>
      <c r="AE8532">
        <v>-7.9719300000000004</v>
      </c>
      <c r="AF8532">
        <v>-4.6415337454864201</v>
      </c>
      <c r="AG8532">
        <v>-1.115279743703</v>
      </c>
      <c r="AH8532">
        <v>17.130642239731401</v>
      </c>
      <c r="AI8532">
        <v>93.595660057310994</v>
      </c>
      <c r="AJ8532">
        <v>105.160252664537</v>
      </c>
      <c r="AK8532">
        <v>17.783323310418499</v>
      </c>
      <c r="AL8532">
        <v>90.174187106611896</v>
      </c>
      <c r="AM8532">
        <v>90.746748415088405</v>
      </c>
      <c r="AN8532">
        <v>1.00000005202008</v>
      </c>
    </row>
    <row r="8533" spans="1:40" x14ac:dyDescent="0.25">
      <c r="A8533" t="str">
        <f>"20190312154127646"</f>
        <v>20190312154127646</v>
      </c>
      <c r="B8533" t="str">
        <f>"1552376487634929"</f>
        <v>1552376487634929</v>
      </c>
      <c r="C8533" t="s">
        <v>40</v>
      </c>
      <c r="D8533">
        <v>4.183713</v>
      </c>
      <c r="E8533">
        <v>0.37618370000000001</v>
      </c>
      <c r="F8533" t="s">
        <v>94</v>
      </c>
      <c r="G8533">
        <v>-279.3777</v>
      </c>
      <c r="H8533" s="1">
        <v>-4.4383109999999996E-6</v>
      </c>
      <c r="I8533">
        <v>-54.680129999999998</v>
      </c>
      <c r="J8533">
        <v>-294.40629999999999</v>
      </c>
      <c r="K8533">
        <v>1.1152359999999999</v>
      </c>
      <c r="L8533">
        <v>-48.304810000000003</v>
      </c>
      <c r="M8533">
        <v>0.74947399999999997</v>
      </c>
      <c r="N8533">
        <v>0</v>
      </c>
      <c r="O8533">
        <v>-0.66186119999999904</v>
      </c>
      <c r="P8533">
        <v>0.75783350000000005</v>
      </c>
      <c r="Q8533">
        <v>-1.771826E-2</v>
      </c>
      <c r="R8533">
        <v>-0.65220769999999995</v>
      </c>
      <c r="S8533">
        <v>2.897186</v>
      </c>
      <c r="T8533">
        <v>-0.2138891</v>
      </c>
      <c r="U8533">
        <v>-1.2345280000000001</v>
      </c>
      <c r="V8533">
        <v>-1.2737180000000001E-2</v>
      </c>
      <c r="W8533">
        <v>-2.7491350000000002E-3</v>
      </c>
      <c r="X8533">
        <v>0.99991509999999995</v>
      </c>
      <c r="Y8533">
        <v>-0.31322939999999999</v>
      </c>
      <c r="Z8533">
        <v>5.305609E-2</v>
      </c>
      <c r="AA8533">
        <v>0.94819430000000005</v>
      </c>
      <c r="AB8533">
        <v>19</v>
      </c>
      <c r="AC8533">
        <v>15.0285999999999</v>
      </c>
      <c r="AD8533">
        <v>-1.1152404383109999</v>
      </c>
      <c r="AE8533">
        <v>-6.3753200000000003</v>
      </c>
      <c r="AF8533">
        <v>-5.1452883570412702</v>
      </c>
      <c r="AG8533">
        <v>-1.1152404383109999</v>
      </c>
      <c r="AH8533">
        <v>15.412959298445299</v>
      </c>
      <c r="AI8533">
        <v>93.926279740548495</v>
      </c>
      <c r="AJ8533">
        <v>108.460489842846</v>
      </c>
      <c r="AK8533">
        <v>16.287328444158</v>
      </c>
      <c r="AL8533">
        <v>90.157514031164993</v>
      </c>
      <c r="AM8533">
        <v>90.729809149005902</v>
      </c>
      <c r="AN8533">
        <v>1.0000000003528</v>
      </c>
    </row>
    <row r="8534" spans="1:40" x14ac:dyDescent="0.25">
      <c r="A8534" t="str">
        <f>"20190312154127658"</f>
        <v>20190312154127658</v>
      </c>
      <c r="B8534" t="str">
        <f>"1552376487654449"</f>
        <v>1552376487654449</v>
      </c>
      <c r="C8534" t="s">
        <v>40</v>
      </c>
      <c r="D8534">
        <v>4.2114940000000001</v>
      </c>
      <c r="E8534">
        <v>0.37554850000000001</v>
      </c>
      <c r="F8534" t="s">
        <v>94</v>
      </c>
      <c r="G8534">
        <v>-279.5258</v>
      </c>
      <c r="H8534" s="1">
        <v>-4.5560939999999997E-6</v>
      </c>
      <c r="I8534">
        <v>-54.434719999999999</v>
      </c>
      <c r="J8534">
        <v>-294.32569999999998</v>
      </c>
      <c r="K8534">
        <v>1.115194</v>
      </c>
      <c r="L8534">
        <v>-48.368189999999998</v>
      </c>
      <c r="M8534">
        <v>0.75290380000000001</v>
      </c>
      <c r="N8534">
        <v>0</v>
      </c>
      <c r="O8534">
        <v>-0.65795709999999996</v>
      </c>
      <c r="P8534">
        <v>0.76104369999999999</v>
      </c>
      <c r="Q8534">
        <v>-1.753215E-2</v>
      </c>
      <c r="R8534">
        <v>-0.64846380000000003</v>
      </c>
      <c r="S8534">
        <v>2.9187620000000001</v>
      </c>
      <c r="T8534">
        <v>-0.21875069999999999</v>
      </c>
      <c r="U8534">
        <v>-1.2023619999999999</v>
      </c>
      <c r="V8534">
        <v>-1.247448E-2</v>
      </c>
      <c r="W8534">
        <v>-2.5707220000000001E-3</v>
      </c>
      <c r="X8534">
        <v>0.99991890000000005</v>
      </c>
      <c r="Y8534">
        <v>-0.31963629999999998</v>
      </c>
      <c r="Z8534">
        <v>5.4079490000000001E-2</v>
      </c>
      <c r="AA8534">
        <v>0.94599580000000005</v>
      </c>
      <c r="AB8534">
        <v>19</v>
      </c>
      <c r="AC8534">
        <v>14.7998999999999</v>
      </c>
      <c r="AD8534">
        <v>-1.1151985560940001</v>
      </c>
      <c r="AE8534">
        <v>-6.0665299999999904</v>
      </c>
      <c r="AF8534">
        <v>-5.1457619695936003</v>
      </c>
      <c r="AG8534">
        <v>-1.1151985560940001</v>
      </c>
      <c r="AH8534">
        <v>15.062922836287701</v>
      </c>
      <c r="AI8534">
        <v>94.007630997152006</v>
      </c>
      <c r="AJ8534">
        <v>108.861078328193</v>
      </c>
      <c r="AK8534">
        <v>15.9566343079982</v>
      </c>
      <c r="AL8534">
        <v>90.147291681083601</v>
      </c>
      <c r="AM8534">
        <v>90.7147559458367</v>
      </c>
      <c r="AN8534">
        <v>1.00000001392004</v>
      </c>
    </row>
    <row r="8535" spans="1:40" x14ac:dyDescent="0.25">
      <c r="A8535" t="str">
        <f>"20190312154127671"</f>
        <v>20190312154127671</v>
      </c>
      <c r="B8535" t="str">
        <f>"1552376487665186"</f>
        <v>1552376487665186</v>
      </c>
      <c r="C8535" t="s">
        <v>40</v>
      </c>
      <c r="D8535">
        <v>4.211748</v>
      </c>
      <c r="E8535">
        <v>0.37568210000000002</v>
      </c>
      <c r="F8535" t="s">
        <v>94</v>
      </c>
      <c r="G8535">
        <v>-279.19639999999998</v>
      </c>
      <c r="H8535" s="1">
        <v>-4.4032660000000002E-6</v>
      </c>
      <c r="I8535">
        <v>-54.486849999999997</v>
      </c>
      <c r="J8535">
        <v>-294.24</v>
      </c>
      <c r="K8535">
        <v>1.115148</v>
      </c>
      <c r="L8535">
        <v>-48.434660000000001</v>
      </c>
      <c r="M8535">
        <v>0.7564786</v>
      </c>
      <c r="N8535">
        <v>0</v>
      </c>
      <c r="O8535">
        <v>-0.65384419999999899</v>
      </c>
      <c r="P8535">
        <v>0.76427219999999996</v>
      </c>
      <c r="Q8535">
        <v>-1.7118189999999998E-2</v>
      </c>
      <c r="R8535">
        <v>-0.64466699999999999</v>
      </c>
      <c r="S8535">
        <v>2.9279790000000001</v>
      </c>
      <c r="T8535">
        <v>-0.21582419999999999</v>
      </c>
      <c r="U8535">
        <v>-1.1841429999999999</v>
      </c>
      <c r="V8535">
        <v>-1.201437E-2</v>
      </c>
      <c r="W8535">
        <v>-2.1635399999999998E-3</v>
      </c>
      <c r="X8535">
        <v>0.99992550000000002</v>
      </c>
      <c r="Y8535">
        <v>-0.32063249999999999</v>
      </c>
      <c r="Z8535">
        <v>5.3118070000000003E-2</v>
      </c>
      <c r="AA8535">
        <v>0.94571309999999997</v>
      </c>
      <c r="AB8535">
        <v>19</v>
      </c>
      <c r="AC8535">
        <v>15.0436</v>
      </c>
      <c r="AD8535">
        <v>-1.1151524032660001</v>
      </c>
      <c r="AE8535">
        <v>-6.0521899999999897</v>
      </c>
      <c r="AF8535">
        <v>-5.2336650671425904</v>
      </c>
      <c r="AG8535">
        <v>-1.1151524032660001</v>
      </c>
      <c r="AH8535">
        <v>15.266894202815999</v>
      </c>
      <c r="AI8535">
        <v>93.952654458968397</v>
      </c>
      <c r="AJ8535">
        <v>108.922298155352</v>
      </c>
      <c r="AK8535">
        <v>16.177542258251599</v>
      </c>
      <c r="AL8535">
        <v>90.123961805561706</v>
      </c>
      <c r="AM8535">
        <v>90.688390856488795</v>
      </c>
      <c r="AN8535">
        <v>1.00000001577103</v>
      </c>
    </row>
    <row r="8536" spans="1:40" x14ac:dyDescent="0.25">
      <c r="A8536" t="str">
        <f>"20190312154127683"</f>
        <v>20190312154127683</v>
      </c>
      <c r="B8536" t="str">
        <f>"1552376487674947"</f>
        <v>1552376487674947</v>
      </c>
      <c r="C8536" t="s">
        <v>40</v>
      </c>
      <c r="D8536">
        <v>4.1945649999999999</v>
      </c>
      <c r="E8536">
        <v>0.3762896</v>
      </c>
      <c r="F8536" t="s">
        <v>94</v>
      </c>
      <c r="G8536">
        <v>-279.28570000000002</v>
      </c>
      <c r="H8536" s="1">
        <v>-4.4607920000000003E-6</v>
      </c>
      <c r="I8536">
        <v>-54.399970000000003</v>
      </c>
      <c r="J8536">
        <v>-294.15159999999997</v>
      </c>
      <c r="K8536">
        <v>1.115103</v>
      </c>
      <c r="L8536">
        <v>-48.502560000000003</v>
      </c>
      <c r="M8536">
        <v>0.76010880000000003</v>
      </c>
      <c r="N8536">
        <v>0</v>
      </c>
      <c r="O8536">
        <v>-0.6496208</v>
      </c>
      <c r="P8536">
        <v>0.76770389999999999</v>
      </c>
      <c r="Q8536">
        <v>-1.6984119999999998E-2</v>
      </c>
      <c r="R8536">
        <v>-0.64058000000000004</v>
      </c>
      <c r="S8536">
        <v>2.9333800000000001</v>
      </c>
      <c r="T8536">
        <v>-0.21874479999999999</v>
      </c>
      <c r="U8536">
        <v>-1.1701349999999999</v>
      </c>
      <c r="V8536">
        <v>-1.1784080000000001E-2</v>
      </c>
      <c r="W8536">
        <v>-2.0395109999999999E-3</v>
      </c>
      <c r="X8536">
        <v>0.9999285</v>
      </c>
      <c r="Y8536">
        <v>-0.3198107</v>
      </c>
      <c r="Z8536">
        <v>5.3564349999999997E-2</v>
      </c>
      <c r="AA8536">
        <v>0.94596610000000003</v>
      </c>
      <c r="AB8536">
        <v>19</v>
      </c>
      <c r="AC8536">
        <v>14.8658999999999</v>
      </c>
      <c r="AD8536">
        <v>-1.115107460792</v>
      </c>
      <c r="AE8536">
        <v>-5.8974099999999998</v>
      </c>
      <c r="AF8536">
        <v>-5.1500756890545398</v>
      </c>
      <c r="AG8536">
        <v>-1.115107460792</v>
      </c>
      <c r="AH8536">
        <v>15.0592907313998</v>
      </c>
      <c r="AI8536">
        <v>94.007817092690203</v>
      </c>
      <c r="AJ8536">
        <v>108.880000778137</v>
      </c>
      <c r="AK8536">
        <v>15.954591238415601</v>
      </c>
      <c r="AL8536">
        <v>90.116855451873107</v>
      </c>
      <c r="AM8536">
        <v>90.675195071263502</v>
      </c>
      <c r="AN8536">
        <v>1.0000000146293999</v>
      </c>
    </row>
    <row r="8537" spans="1:40" x14ac:dyDescent="0.25">
      <c r="A8537" t="str">
        <f>"20190312154127697"</f>
        <v>20190312154127697</v>
      </c>
      <c r="B8537" t="str">
        <f>"1552376487694465"</f>
        <v>1552376487694465</v>
      </c>
      <c r="C8537" t="s">
        <v>40</v>
      </c>
      <c r="D8537">
        <v>4.2382720000000003</v>
      </c>
      <c r="E8537">
        <v>0.37739400000000001</v>
      </c>
      <c r="F8537" t="s">
        <v>94</v>
      </c>
      <c r="G8537">
        <v>-279.09690000000001</v>
      </c>
      <c r="H8537" s="1">
        <v>-4.3708889999999999E-6</v>
      </c>
      <c r="I8537">
        <v>-54.440170000000002</v>
      </c>
      <c r="J8537">
        <v>-294.06290000000001</v>
      </c>
      <c r="K8537">
        <v>1.1150599999999999</v>
      </c>
      <c r="L8537">
        <v>-48.570160000000001</v>
      </c>
      <c r="M8537">
        <v>0.76370179999999999</v>
      </c>
      <c r="N8537">
        <v>0</v>
      </c>
      <c r="O8537">
        <v>-0.64539329999999995</v>
      </c>
      <c r="P8537">
        <v>0.77081390000000005</v>
      </c>
      <c r="Q8537">
        <v>-1.6074040000000001E-2</v>
      </c>
      <c r="R8537">
        <v>-0.63685809999999998</v>
      </c>
      <c r="S8537">
        <v>2.9365230000000002</v>
      </c>
      <c r="T8537">
        <v>-0.21750949999999999</v>
      </c>
      <c r="U8537">
        <v>-1.1581729999999999</v>
      </c>
      <c r="V8537">
        <v>-1.1097020000000001E-2</v>
      </c>
      <c r="W8537">
        <v>-1.1338870000000001E-3</v>
      </c>
      <c r="X8537">
        <v>0.99993779999999999</v>
      </c>
      <c r="Y8537">
        <v>-0.31826539999999998</v>
      </c>
      <c r="Z8537">
        <v>5.2993850000000002E-2</v>
      </c>
      <c r="AA8537">
        <v>0.94651929999999995</v>
      </c>
      <c r="AB8537">
        <v>19</v>
      </c>
      <c r="AC8537">
        <v>14.965999999999999</v>
      </c>
      <c r="AD8537">
        <v>-1.115064370889</v>
      </c>
      <c r="AE8537">
        <v>-5.8700099999999997</v>
      </c>
      <c r="AF8537">
        <v>-5.1518207715646804</v>
      </c>
      <c r="AG8537">
        <v>-1.115064370889</v>
      </c>
      <c r="AH8537">
        <v>15.1468812125756</v>
      </c>
      <c r="AI8537">
        <v>93.986822866291007</v>
      </c>
      <c r="AJ8537">
        <v>108.784411450433</v>
      </c>
      <c r="AK8537">
        <v>16.037850114071599</v>
      </c>
      <c r="AL8537">
        <v>90.064966952380402</v>
      </c>
      <c r="AM8537">
        <v>90.635825859425694</v>
      </c>
      <c r="AN8537">
        <v>1.0000000167107199</v>
      </c>
    </row>
    <row r="8538" spans="1:40" x14ac:dyDescent="0.25">
      <c r="A8538" t="str">
        <f>"20190312154127720"</f>
        <v>20190312154127720</v>
      </c>
      <c r="B8538" t="str">
        <f>"1552376487714961"</f>
        <v>1552376487714961</v>
      </c>
      <c r="C8538" t="s">
        <v>40</v>
      </c>
      <c r="D8538">
        <v>4.2361370000000003</v>
      </c>
      <c r="E8538">
        <v>0.3788456</v>
      </c>
      <c r="F8538" t="s">
        <v>94</v>
      </c>
      <c r="G8538">
        <v>-278.69880000000001</v>
      </c>
      <c r="H8538" s="1">
        <v>-4.1668240000000003E-6</v>
      </c>
      <c r="I8538">
        <v>-54.59066</v>
      </c>
      <c r="J8538">
        <v>-293.90839999999997</v>
      </c>
      <c r="K8538">
        <v>1.1149770000000001</v>
      </c>
      <c r="L8538">
        <v>-48.685699999999997</v>
      </c>
      <c r="M8538">
        <v>0.76978440000000004</v>
      </c>
      <c r="N8538">
        <v>0</v>
      </c>
      <c r="O8538">
        <v>-0.63812669999999905</v>
      </c>
      <c r="P8538">
        <v>0.77680899999999997</v>
      </c>
      <c r="Q8538">
        <v>-1.470805E-2</v>
      </c>
      <c r="R8538">
        <v>-0.62956459999999903</v>
      </c>
      <c r="S8538">
        <v>2.9367679999999998</v>
      </c>
      <c r="T8538">
        <v>-0.21313869999999999</v>
      </c>
      <c r="U8538">
        <v>-1.150787</v>
      </c>
      <c r="V8538">
        <v>-1.107796E-2</v>
      </c>
      <c r="W8538">
        <v>2.091567E-4</v>
      </c>
      <c r="X8538">
        <v>0.99993860000000001</v>
      </c>
      <c r="Y8538">
        <v>-0.31146430000000003</v>
      </c>
      <c r="Z8538">
        <v>5.1358710000000002E-2</v>
      </c>
      <c r="AA8538">
        <v>0.94886890000000002</v>
      </c>
      <c r="AB8538">
        <v>19</v>
      </c>
      <c r="AC8538">
        <v>15.209599999999901</v>
      </c>
      <c r="AD8538">
        <v>-1.1149811668239999</v>
      </c>
      <c r="AE8538">
        <v>-5.90496</v>
      </c>
      <c r="AF8538">
        <v>-5.13670080210969</v>
      </c>
      <c r="AG8538">
        <v>-1.1149811668239999</v>
      </c>
      <c r="AH8538">
        <v>15.406029117525501</v>
      </c>
      <c r="AI8538">
        <v>93.927608715166897</v>
      </c>
      <c r="AJ8538">
        <v>108.439493331137</v>
      </c>
      <c r="AK8538">
        <v>16.2780407697859</v>
      </c>
      <c r="AL8538">
        <v>89.988016203558203</v>
      </c>
      <c r="AM8538">
        <v>90.634733360419105</v>
      </c>
      <c r="AN8538">
        <v>0.99999998435712301</v>
      </c>
    </row>
    <row r="8539" spans="1:40" x14ac:dyDescent="0.25">
      <c r="A8539" t="str">
        <f>"20190312154127743"</f>
        <v>20190312154127743</v>
      </c>
      <c r="B8539" t="str">
        <f>"1552376487734482"</f>
        <v>1552376487734482</v>
      </c>
      <c r="C8539" t="s">
        <v>40</v>
      </c>
      <c r="D8539">
        <v>4.1995509999999996</v>
      </c>
      <c r="E8539">
        <v>0.38017119999999999</v>
      </c>
      <c r="F8539" t="s">
        <v>94</v>
      </c>
      <c r="G8539">
        <v>-278.36270000000002</v>
      </c>
      <c r="H8539" s="1">
        <v>-4.0052280000000001E-6</v>
      </c>
      <c r="I8539">
        <v>-54.66948</v>
      </c>
      <c r="J8539">
        <v>-293.7559</v>
      </c>
      <c r="K8539">
        <v>1.1149089999999999</v>
      </c>
      <c r="L8539">
        <v>-48.797849999999997</v>
      </c>
      <c r="M8539">
        <v>0.77562169999999997</v>
      </c>
      <c r="N8539">
        <v>0</v>
      </c>
      <c r="O8539">
        <v>-0.63101940000000001</v>
      </c>
      <c r="P8539">
        <v>0.7829334</v>
      </c>
      <c r="Q8539">
        <v>-1.2466700000000001E-2</v>
      </c>
      <c r="R8539">
        <v>-0.62198069999999905</v>
      </c>
      <c r="S8539">
        <v>2.9406430000000001</v>
      </c>
      <c r="T8539">
        <v>-0.21091099999999999</v>
      </c>
      <c r="U8539">
        <v>-1.1318969999999999</v>
      </c>
      <c r="V8539">
        <v>-1.1654380000000001E-2</v>
      </c>
      <c r="W8539">
        <v>2.4212019999999999E-3</v>
      </c>
      <c r="X8539">
        <v>0.99992910000000002</v>
      </c>
      <c r="Y8539">
        <v>-0.30850090000000002</v>
      </c>
      <c r="Z8539">
        <v>5.0380099999999997E-2</v>
      </c>
      <c r="AA8539">
        <v>0.94988890000000004</v>
      </c>
      <c r="AB8539">
        <v>19</v>
      </c>
      <c r="AC8539">
        <v>15.393199999999901</v>
      </c>
      <c r="AD8539">
        <v>-1.1149130052280001</v>
      </c>
      <c r="AE8539">
        <v>-5.8716299999999997</v>
      </c>
      <c r="AF8539">
        <v>-5.1363036556369801</v>
      </c>
      <c r="AG8539">
        <v>-1.1149130052280001</v>
      </c>
      <c r="AH8539">
        <v>15.574849661549401</v>
      </c>
      <c r="AI8539">
        <v>93.889143966994098</v>
      </c>
      <c r="AJ8539">
        <v>108.25162066824301</v>
      </c>
      <c r="AK8539">
        <v>16.437779297459901</v>
      </c>
      <c r="AL8539">
        <v>89.861275201008198</v>
      </c>
      <c r="AM8539">
        <v>90.667763897338006</v>
      </c>
      <c r="AN8539">
        <v>0.99999994590955799</v>
      </c>
    </row>
    <row r="8540" spans="1:40" x14ac:dyDescent="0.25">
      <c r="A8540" t="str">
        <f>"20190312154127764"</f>
        <v>20190312154127764</v>
      </c>
      <c r="B8540" t="str">
        <f>"1552376487754978"</f>
        <v>1552376487754978</v>
      </c>
      <c r="C8540" t="s">
        <v>40</v>
      </c>
      <c r="D8540">
        <v>4.1728329999999998</v>
      </c>
      <c r="E8540">
        <v>0.38139810000000002</v>
      </c>
      <c r="F8540" t="s">
        <v>94</v>
      </c>
      <c r="G8540">
        <v>-278.02679999999998</v>
      </c>
      <c r="H8540" s="1">
        <v>-3.8468519999999999E-6</v>
      </c>
      <c r="I8540">
        <v>-54.734090000000002</v>
      </c>
      <c r="J8540">
        <v>-293.60910000000001</v>
      </c>
      <c r="K8540">
        <v>1.114841</v>
      </c>
      <c r="L8540">
        <v>-48.903869999999998</v>
      </c>
      <c r="M8540">
        <v>0.78107609999999905</v>
      </c>
      <c r="N8540">
        <v>0</v>
      </c>
      <c r="O8540">
        <v>-0.62425559999999902</v>
      </c>
      <c r="P8540">
        <v>0.78882940000000001</v>
      </c>
      <c r="Q8540">
        <v>-9.9294910000000004E-3</v>
      </c>
      <c r="R8540">
        <v>-0.61453219999999997</v>
      </c>
      <c r="S8540">
        <v>2.9453740000000002</v>
      </c>
      <c r="T8540">
        <v>-0.20877519999999999</v>
      </c>
      <c r="U8540">
        <v>-1.1116029999999999</v>
      </c>
      <c r="V8540">
        <v>-1.249201E-2</v>
      </c>
      <c r="W8540">
        <v>4.9274409999999899E-3</v>
      </c>
      <c r="X8540">
        <v>0.99990979999999996</v>
      </c>
      <c r="Y8540">
        <v>-0.3065136</v>
      </c>
      <c r="Z8540">
        <v>4.9469899999999997E-2</v>
      </c>
      <c r="AA8540">
        <v>0.95057990000000003</v>
      </c>
      <c r="AB8540">
        <v>19</v>
      </c>
      <c r="AC8540">
        <v>15.5823</v>
      </c>
      <c r="AD8540">
        <v>-1.114844846852</v>
      </c>
      <c r="AE8540">
        <v>-5.8302199999999997</v>
      </c>
      <c r="AF8540">
        <v>-5.1509461761597599</v>
      </c>
      <c r="AG8540">
        <v>-1.114844846852</v>
      </c>
      <c r="AH8540">
        <v>15.7416065422504</v>
      </c>
      <c r="AI8540">
        <v>93.8507514742886</v>
      </c>
      <c r="AJ8540">
        <v>108.119058056401</v>
      </c>
      <c r="AK8540">
        <v>16.600400660022299</v>
      </c>
      <c r="AL8540">
        <v>89.717677275707302</v>
      </c>
      <c r="AM8540">
        <v>90.715766779112798</v>
      </c>
      <c r="AN8540">
        <v>0.99999996906234301</v>
      </c>
    </row>
    <row r="8541" spans="1:40" x14ac:dyDescent="0.25">
      <c r="A8541" t="str">
        <f>"20190312154127787"</f>
        <v>20190312154127787</v>
      </c>
      <c r="B8541" t="str">
        <f>"1552376487774497"</f>
        <v>1552376487774497</v>
      </c>
      <c r="C8541" t="s">
        <v>40</v>
      </c>
      <c r="D8541">
        <v>4.2240570000000002</v>
      </c>
      <c r="E8541">
        <v>0.38270910000000002</v>
      </c>
      <c r="F8541" t="s">
        <v>94</v>
      </c>
      <c r="G8541">
        <v>-277.20370000000003</v>
      </c>
      <c r="H8541" s="1">
        <v>-3.4406379999999999E-6</v>
      </c>
      <c r="I8541">
        <v>-54.974240000000002</v>
      </c>
      <c r="J8541">
        <v>-293.45609999999999</v>
      </c>
      <c r="K8541">
        <v>1.114757</v>
      </c>
      <c r="L8541">
        <v>-49.012540000000001</v>
      </c>
      <c r="M8541">
        <v>0.78659179999999995</v>
      </c>
      <c r="N8541">
        <v>0</v>
      </c>
      <c r="O8541">
        <v>-0.61729209999999901</v>
      </c>
      <c r="P8541">
        <v>0.79488380000000003</v>
      </c>
      <c r="Q8541">
        <v>-8.8301869999999998E-3</v>
      </c>
      <c r="R8541">
        <v>-0.60669790000000001</v>
      </c>
      <c r="S8541">
        <v>2.9501339999999998</v>
      </c>
      <c r="T8541">
        <v>-0.20047870000000001</v>
      </c>
      <c r="U8541">
        <v>-1.0916140000000001</v>
      </c>
      <c r="V8541">
        <v>-1.351989E-2</v>
      </c>
      <c r="W8541">
        <v>5.9922019999999899E-3</v>
      </c>
      <c r="X8541">
        <v>0.99989059999999996</v>
      </c>
      <c r="Y8541">
        <v>-0.30436940000000001</v>
      </c>
      <c r="Z8541">
        <v>4.7101770000000001E-2</v>
      </c>
      <c r="AA8541">
        <v>0.95138880000000003</v>
      </c>
      <c r="AB8541">
        <v>19</v>
      </c>
      <c r="AC8541">
        <v>16.252399999999898</v>
      </c>
      <c r="AD8541">
        <v>-1.1147604406380001</v>
      </c>
      <c r="AE8541">
        <v>-5.9617000000000004</v>
      </c>
      <c r="AF8541">
        <v>-5.3215848100478302</v>
      </c>
      <c r="AG8541">
        <v>-1.1147604406380001</v>
      </c>
      <c r="AH8541">
        <v>16.397960245727202</v>
      </c>
      <c r="AI8541">
        <v>93.699700377433203</v>
      </c>
      <c r="AJ8541">
        <v>107.979658893466</v>
      </c>
      <c r="AK8541">
        <v>17.275851815496399</v>
      </c>
      <c r="AL8541">
        <v>89.656670044603104</v>
      </c>
      <c r="AM8541">
        <v>90.7746701825466</v>
      </c>
      <c r="AN8541">
        <v>0.99999995293938904</v>
      </c>
    </row>
    <row r="8542" spans="1:40" x14ac:dyDescent="0.25">
      <c r="A8542" t="str">
        <f>"20190312154127809"</f>
        <v>20190312154127809</v>
      </c>
      <c r="B8542" t="str">
        <f>"1552376487804753"</f>
        <v>1552376487804753</v>
      </c>
      <c r="C8542" t="s">
        <v>40</v>
      </c>
      <c r="D8542">
        <v>4.1369579999999999</v>
      </c>
      <c r="E8542">
        <v>0.39540999999999998</v>
      </c>
      <c r="F8542" t="s">
        <v>94</v>
      </c>
      <c r="G8542">
        <v>-276.84840000000003</v>
      </c>
      <c r="H8542" s="1">
        <v>-3.2757420000000001E-6</v>
      </c>
      <c r="I8542">
        <v>-55.03058</v>
      </c>
      <c r="J8542">
        <v>-293.30059999999997</v>
      </c>
      <c r="K8542">
        <v>1.114654</v>
      </c>
      <c r="L8542">
        <v>-49.121090000000002</v>
      </c>
      <c r="M8542">
        <v>0.79200919999999997</v>
      </c>
      <c r="N8542">
        <v>0</v>
      </c>
      <c r="O8542">
        <v>-0.61032629999999999</v>
      </c>
      <c r="P8542">
        <v>0.80070549999999996</v>
      </c>
      <c r="Q8542">
        <v>-8.8773840000000003E-3</v>
      </c>
      <c r="R8542">
        <v>-0.59899250000000004</v>
      </c>
      <c r="S8542">
        <v>2.9547119999999998</v>
      </c>
      <c r="T8542">
        <v>-0.1983287</v>
      </c>
      <c r="U8542">
        <v>-1.0706789999999999</v>
      </c>
      <c r="V8542">
        <v>-1.4349499999999999E-2</v>
      </c>
      <c r="W8542">
        <v>5.9116180000000004E-3</v>
      </c>
      <c r="X8542">
        <v>0.99987950000000003</v>
      </c>
      <c r="Y8542">
        <v>-0.30243599999999998</v>
      </c>
      <c r="Z8542">
        <v>4.6203399999999999E-2</v>
      </c>
      <c r="AA8542">
        <v>0.95204929999999999</v>
      </c>
      <c r="AB8542">
        <v>19</v>
      </c>
      <c r="AC8542">
        <v>16.452199999999898</v>
      </c>
      <c r="AD8542">
        <v>-1.1146572757419999</v>
      </c>
      <c r="AE8542">
        <v>-5.9094899999999999</v>
      </c>
      <c r="AF8542">
        <v>-5.3397287155226802</v>
      </c>
      <c r="AG8542">
        <v>-1.1146572757419999</v>
      </c>
      <c r="AH8542">
        <v>16.571493749409999</v>
      </c>
      <c r="AI8542">
        <v>93.663188669009003</v>
      </c>
      <c r="AJ8542">
        <v>107.860172922682</v>
      </c>
      <c r="AK8542">
        <v>17.446190663995299</v>
      </c>
      <c r="AL8542">
        <v>89.661287243607802</v>
      </c>
      <c r="AM8542">
        <v>90.822208427398095</v>
      </c>
      <c r="AN8542">
        <v>0.99999993494893602</v>
      </c>
    </row>
    <row r="8543" spans="1:40" x14ac:dyDescent="0.25">
      <c r="A8543" t="str">
        <f>"20190312154127832"</f>
        <v>20190312154127832</v>
      </c>
      <c r="B8543" t="str">
        <f>"1552376487825250"</f>
        <v>1552376487825250</v>
      </c>
      <c r="C8543" t="s">
        <v>40</v>
      </c>
      <c r="D8543">
        <v>4.1351019999999998</v>
      </c>
      <c r="E8543">
        <v>0.39730870000000001</v>
      </c>
      <c r="F8543" t="s">
        <v>94</v>
      </c>
      <c r="G8543">
        <v>-276.20979999999997</v>
      </c>
      <c r="H8543" s="1">
        <v>-2.846678E-6</v>
      </c>
      <c r="I8543">
        <v>-55.7322699999999</v>
      </c>
      <c r="J8543">
        <v>-293.14670000000001</v>
      </c>
      <c r="K8543">
        <v>1.1145309999999999</v>
      </c>
      <c r="L8543">
        <v>-49.226779999999998</v>
      </c>
      <c r="M8543">
        <v>0.79717269999999996</v>
      </c>
      <c r="N8543">
        <v>0</v>
      </c>
      <c r="O8543">
        <v>-0.60356719999999997</v>
      </c>
      <c r="P8543">
        <v>0.80573359999999905</v>
      </c>
      <c r="Q8543">
        <v>-9.5473380000000007E-3</v>
      </c>
      <c r="R8543">
        <v>-0.59220109999999904</v>
      </c>
      <c r="S8543">
        <v>2.904175</v>
      </c>
      <c r="T8543">
        <v>-0.18940940000000001</v>
      </c>
      <c r="U8543">
        <v>-1.123413</v>
      </c>
      <c r="V8543">
        <v>-1.4284710000000001E-2</v>
      </c>
      <c r="W8543">
        <v>5.2159229999999999E-3</v>
      </c>
      <c r="X8543">
        <v>0.99988440000000001</v>
      </c>
      <c r="Y8543">
        <v>-0.27393579999999901</v>
      </c>
      <c r="Z8543">
        <v>4.3438919999999999E-2</v>
      </c>
      <c r="AA8543">
        <v>0.96076649999999997</v>
      </c>
      <c r="AB8543">
        <v>19</v>
      </c>
      <c r="AC8543">
        <v>16.936900000000001</v>
      </c>
      <c r="AD8543">
        <v>-1.1145338466779999</v>
      </c>
      <c r="AE8543">
        <v>-6.5054899999999902</v>
      </c>
      <c r="AF8543">
        <v>-5.0181817519441596</v>
      </c>
      <c r="AG8543">
        <v>-1.1145338466779999</v>
      </c>
      <c r="AH8543">
        <v>17.364545899282898</v>
      </c>
      <c r="AI8543">
        <v>93.528461944023803</v>
      </c>
      <c r="AJ8543">
        <v>106.118770057082</v>
      </c>
      <c r="AK8543">
        <v>18.109439198363901</v>
      </c>
      <c r="AL8543">
        <v>89.701148281520304</v>
      </c>
      <c r="AM8543">
        <v>90.818492536963106</v>
      </c>
      <c r="AN8543">
        <v>1.00000003607794</v>
      </c>
    </row>
    <row r="8544" spans="1:40" x14ac:dyDescent="0.25">
      <c r="A8544" t="str">
        <f>"20190312154127853"</f>
        <v>20190312154127853</v>
      </c>
      <c r="B8544" t="str">
        <f>"1552376487844770"</f>
        <v>1552376487844770</v>
      </c>
      <c r="C8544" t="s">
        <v>40</v>
      </c>
      <c r="D8544">
        <v>4.1797440000000003</v>
      </c>
      <c r="E8544">
        <v>0.3982406</v>
      </c>
      <c r="F8544" t="s">
        <v>94</v>
      </c>
      <c r="G8544">
        <v>-276.5684</v>
      </c>
      <c r="H8544" s="1">
        <v>-3.0375179999999998E-6</v>
      </c>
      <c r="I8544">
        <v>-55.5648699999999</v>
      </c>
      <c r="J8544">
        <v>-292.9932</v>
      </c>
      <c r="K8544">
        <v>1.114379</v>
      </c>
      <c r="L8544">
        <v>-49.330599999999997</v>
      </c>
      <c r="M8544">
        <v>0.80211279999999996</v>
      </c>
      <c r="N8544">
        <v>0</v>
      </c>
      <c r="O8544">
        <v>-0.59698739999999995</v>
      </c>
      <c r="P8544">
        <v>0.810083</v>
      </c>
      <c r="Q8544">
        <v>-9.5557039999999999E-3</v>
      </c>
      <c r="R8544">
        <v>-0.58623749999999997</v>
      </c>
      <c r="S8544">
        <v>2.904785</v>
      </c>
      <c r="T8544">
        <v>-0.19528409999999999</v>
      </c>
      <c r="U8544">
        <v>-1.110535</v>
      </c>
      <c r="V8544">
        <v>-1.343508E-2</v>
      </c>
      <c r="W8544">
        <v>5.1882669999999999E-3</v>
      </c>
      <c r="X8544">
        <v>0.99989629999999996</v>
      </c>
      <c r="Y8544">
        <v>-0.26972420000000003</v>
      </c>
      <c r="Z8544">
        <v>4.435973E-2</v>
      </c>
      <c r="AA8544">
        <v>0.96191530000000003</v>
      </c>
      <c r="AB8544">
        <v>19</v>
      </c>
      <c r="AC8544">
        <v>16.424800000000001</v>
      </c>
      <c r="AD8544">
        <v>-1.114382037518</v>
      </c>
      <c r="AE8544">
        <v>-6.2342699999999898</v>
      </c>
      <c r="AF8544">
        <v>-4.7860848097424498</v>
      </c>
      <c r="AG8544">
        <v>-1.114382037518</v>
      </c>
      <c r="AH8544">
        <v>16.830471922156001</v>
      </c>
      <c r="AI8544">
        <v>93.644083218797903</v>
      </c>
      <c r="AJ8544">
        <v>105.874172770966</v>
      </c>
      <c r="AK8544">
        <v>17.533203935791999</v>
      </c>
      <c r="AL8544">
        <v>89.702732868752804</v>
      </c>
      <c r="AM8544">
        <v>90.769806890754197</v>
      </c>
      <c r="AN8544">
        <v>1.0000000151213699</v>
      </c>
    </row>
    <row r="8545" spans="1:40" x14ac:dyDescent="0.25">
      <c r="A8545" t="str">
        <f>"20190312154127876"</f>
        <v>20190312154127876</v>
      </c>
      <c r="B8545" t="str">
        <f>"1552376487865265"</f>
        <v>1552376487865265</v>
      </c>
      <c r="C8545" t="s">
        <v>40</v>
      </c>
      <c r="D8545">
        <v>4.1104039999999999</v>
      </c>
      <c r="E8545">
        <v>0.37518049999999997</v>
      </c>
      <c r="F8545" t="s">
        <v>94</v>
      </c>
      <c r="G8545">
        <v>-276.48200000000003</v>
      </c>
      <c r="H8545" s="1">
        <v>-3.004655E-6</v>
      </c>
      <c r="I8545">
        <v>-55.545769999999997</v>
      </c>
      <c r="J8545">
        <v>-292.8408</v>
      </c>
      <c r="K8545">
        <v>1.1142049999999999</v>
      </c>
      <c r="L8545">
        <v>-49.432250000000003</v>
      </c>
      <c r="M8545">
        <v>0.80679609999999902</v>
      </c>
      <c r="N8545">
        <v>0</v>
      </c>
      <c r="O8545">
        <v>-0.59064359999999905</v>
      </c>
      <c r="P8545">
        <v>0.81459459999999995</v>
      </c>
      <c r="Q8545">
        <v>-8.9051740000000001E-3</v>
      </c>
      <c r="R8545">
        <v>-0.57996259999999999</v>
      </c>
      <c r="S8545">
        <v>2.9086609999999999</v>
      </c>
      <c r="T8545">
        <v>-0.19631209999999999</v>
      </c>
      <c r="U8545">
        <v>-1.0948789999999999</v>
      </c>
      <c r="V8545">
        <v>-1.3281029999999999E-2</v>
      </c>
      <c r="W8545">
        <v>5.8095769999999998E-3</v>
      </c>
      <c r="X8545">
        <v>0.99989490000000003</v>
      </c>
      <c r="Y8545">
        <v>-0.26708280000000001</v>
      </c>
      <c r="Z8545">
        <v>4.4189779999999998E-2</v>
      </c>
      <c r="AA8545">
        <v>0.96265990000000001</v>
      </c>
      <c r="AB8545">
        <v>19</v>
      </c>
      <c r="AC8545">
        <v>16.358799999999899</v>
      </c>
      <c r="AD8545">
        <v>-1.11420800465499</v>
      </c>
      <c r="AE8545">
        <v>-6.1135199999999896</v>
      </c>
      <c r="AF8545">
        <v>-4.7112000626054202</v>
      </c>
      <c r="AG8545">
        <v>-1.11420800465499</v>
      </c>
      <c r="AH8545">
        <v>16.742825856481598</v>
      </c>
      <c r="AI8545">
        <v>93.665392950405504</v>
      </c>
      <c r="AJ8545">
        <v>105.715868961274</v>
      </c>
      <c r="AK8545">
        <v>17.428685640862302</v>
      </c>
      <c r="AL8545">
        <v>89.667133876031698</v>
      </c>
      <c r="AM8545">
        <v>90.760982201077198</v>
      </c>
      <c r="AN8545">
        <v>0.999999973994394</v>
      </c>
    </row>
    <row r="8546" spans="1:40" x14ac:dyDescent="0.25">
      <c r="A8546" t="str">
        <f>"20190312154127899"</f>
        <v>20190312154127899</v>
      </c>
      <c r="B8546" t="str">
        <f>"1552376487894545"</f>
        <v>1552376487894545</v>
      </c>
      <c r="C8546" t="s">
        <v>40</v>
      </c>
      <c r="D8546">
        <v>4.1040130000000001</v>
      </c>
      <c r="E8546">
        <v>0.3691586</v>
      </c>
      <c r="F8546" t="s">
        <v>94</v>
      </c>
      <c r="G8546">
        <v>-272.6671</v>
      </c>
      <c r="H8546" s="1">
        <v>-1.542059E-6</v>
      </c>
      <c r="I8546">
        <v>-55.593609999999998</v>
      </c>
      <c r="J8546">
        <v>-292.6857</v>
      </c>
      <c r="K8546">
        <v>1.1140019999999999</v>
      </c>
      <c r="L8546">
        <v>-49.534300000000002</v>
      </c>
      <c r="M8546">
        <v>0.81131299999999995</v>
      </c>
      <c r="N8546">
        <v>0</v>
      </c>
      <c r="O8546">
        <v>-0.58442469999999902</v>
      </c>
      <c r="P8546">
        <v>0.8196658</v>
      </c>
      <c r="Q8546">
        <v>-6.773004E-3</v>
      </c>
      <c r="R8546">
        <v>-0.57280209999999998</v>
      </c>
      <c r="S8546">
        <v>3.0235289999999999</v>
      </c>
      <c r="T8546">
        <v>-0.16699129999999901</v>
      </c>
      <c r="U8546">
        <v>-0.92343140000000001</v>
      </c>
      <c r="V8546">
        <v>-1.438506E-2</v>
      </c>
      <c r="W8546">
        <v>7.8966430000000001E-3</v>
      </c>
      <c r="X8546">
        <v>0.99986540000000002</v>
      </c>
      <c r="Y8546">
        <v>-0.32086500000000001</v>
      </c>
      <c r="Z8546">
        <v>3.7904930000000003E-2</v>
      </c>
      <c r="AA8546">
        <v>0.94636609999999999</v>
      </c>
      <c r="AB8546">
        <v>19</v>
      </c>
      <c r="AC8546">
        <v>20.0185999999999</v>
      </c>
      <c r="AD8546">
        <v>-1.114003542059</v>
      </c>
      <c r="AE8546">
        <v>-6.0593099999999902</v>
      </c>
      <c r="AF8546">
        <v>-6.7649191693640196</v>
      </c>
      <c r="AG8546">
        <v>-1.114003542059</v>
      </c>
      <c r="AH8546">
        <v>19.728759876747802</v>
      </c>
      <c r="AI8546">
        <v>93.057440531717901</v>
      </c>
      <c r="AJ8546">
        <v>108.92665299140999</v>
      </c>
      <c r="AK8546">
        <v>20.886098284124799</v>
      </c>
      <c r="AL8546">
        <v>89.547551005233203</v>
      </c>
      <c r="AM8546">
        <v>90.824257312052794</v>
      </c>
      <c r="AN8546">
        <v>1.0000000525195101</v>
      </c>
    </row>
    <row r="8547" spans="1:40" x14ac:dyDescent="0.25">
      <c r="A8547" t="str">
        <f>"20190312154127921"</f>
        <v>20190312154127921</v>
      </c>
      <c r="B8547" t="str">
        <f>"1552376487915045"</f>
        <v>1552376487915045</v>
      </c>
      <c r="C8547" t="s">
        <v>40</v>
      </c>
      <c r="D8547">
        <v>4.0622040000000004</v>
      </c>
      <c r="E8547">
        <v>0.36880400000000002</v>
      </c>
      <c r="F8547" t="s">
        <v>94</v>
      </c>
      <c r="G8547">
        <v>-271.37400000000002</v>
      </c>
      <c r="H8547" s="1">
        <v>-1.127783E-6</v>
      </c>
      <c r="I8547">
        <v>-55.510429999999999</v>
      </c>
      <c r="J8547">
        <v>-292.52289999999999</v>
      </c>
      <c r="K8547">
        <v>1.113788</v>
      </c>
      <c r="L8547">
        <v>-49.640009999999997</v>
      </c>
      <c r="M8547">
        <v>0.81576930000000003</v>
      </c>
      <c r="N8547">
        <v>0</v>
      </c>
      <c r="O8547">
        <v>-0.57818939999999996</v>
      </c>
      <c r="P8547">
        <v>0.82546200000000003</v>
      </c>
      <c r="Q8547">
        <v>-4.5299600000000004E-3</v>
      </c>
      <c r="R8547">
        <v>-0.56443999999999905</v>
      </c>
      <c r="S8547">
        <v>3.0592039999999998</v>
      </c>
      <c r="T8547">
        <v>-0.15991060000000001</v>
      </c>
      <c r="U8547">
        <v>-0.85784910000000003</v>
      </c>
      <c r="V8547">
        <v>-1.6909670000000002E-2</v>
      </c>
      <c r="W8547">
        <v>1.007952E-2</v>
      </c>
      <c r="X8547">
        <v>0.99980619999999998</v>
      </c>
      <c r="Y8547">
        <v>-0.33545370000000002</v>
      </c>
      <c r="Z8547">
        <v>3.6169489999999999E-2</v>
      </c>
      <c r="AA8547">
        <v>0.94136209999999998</v>
      </c>
      <c r="AB8547">
        <v>19</v>
      </c>
      <c r="AC8547">
        <v>21.148899999999902</v>
      </c>
      <c r="AD8547">
        <v>-1.1137891277830001</v>
      </c>
      <c r="AE8547">
        <v>-5.87042000000001</v>
      </c>
      <c r="AF8547">
        <v>-7.4208608969155296</v>
      </c>
      <c r="AG8547">
        <v>-1.1137891277830001</v>
      </c>
      <c r="AH8547">
        <v>20.596046318545898</v>
      </c>
      <c r="AI8547">
        <v>92.912479469606893</v>
      </c>
      <c r="AJ8547">
        <v>109.814351095375</v>
      </c>
      <c r="AK8547">
        <v>21.9204659309109</v>
      </c>
      <c r="AL8547">
        <v>89.422476256803805</v>
      </c>
      <c r="AM8547">
        <v>90.968948142563704</v>
      </c>
      <c r="AN8547">
        <v>0.99999998561068904</v>
      </c>
    </row>
    <row r="8548" spans="1:40" x14ac:dyDescent="0.25">
      <c r="A8548" t="str">
        <f>"20190312154127944"</f>
        <v>20190312154127944</v>
      </c>
      <c r="B8548" t="str">
        <f>"1552376487934561"</f>
        <v>1552376487934561</v>
      </c>
      <c r="C8548" t="s">
        <v>40</v>
      </c>
      <c r="D8548">
        <v>4.0648140000000001</v>
      </c>
      <c r="E8548">
        <v>0.36922389999999999</v>
      </c>
      <c r="F8548" t="s">
        <v>42</v>
      </c>
      <c r="G8548">
        <v>-269.74970000000002</v>
      </c>
      <c r="H8548" s="1">
        <v>-4.0077989999999997E-6</v>
      </c>
      <c r="I8548">
        <v>-55.761099999999999</v>
      </c>
      <c r="J8548">
        <v>-292.36959999999999</v>
      </c>
      <c r="K8548">
        <v>1.1135999999999999</v>
      </c>
      <c r="L8548">
        <v>-49.738399999999999</v>
      </c>
      <c r="M8548">
        <v>0.81974590000000003</v>
      </c>
      <c r="N8548">
        <v>0</v>
      </c>
      <c r="O8548">
        <v>-0.57253869999999996</v>
      </c>
      <c r="P8548">
        <v>0.83084389999999997</v>
      </c>
      <c r="Q8548">
        <v>-2.4625229999999999E-3</v>
      </c>
      <c r="R8548">
        <v>-0.5565002</v>
      </c>
      <c r="S8548">
        <v>3.0693969999999999</v>
      </c>
      <c r="T8548">
        <v>-0.15011739999999901</v>
      </c>
      <c r="U8548">
        <v>-0.82501219999999997</v>
      </c>
      <c r="V8548">
        <v>-1.9601819999999999E-2</v>
      </c>
      <c r="W8548">
        <v>1.2089259999999999E-2</v>
      </c>
      <c r="X8548">
        <v>0.99973480000000003</v>
      </c>
      <c r="Y8548">
        <v>-0.33924900000000002</v>
      </c>
      <c r="Z8548">
        <v>3.3791509999999997E-2</v>
      </c>
      <c r="AA8548">
        <v>0.94008950000000002</v>
      </c>
      <c r="AB8548">
        <v>19</v>
      </c>
      <c r="AC8548">
        <v>22.619899999999902</v>
      </c>
      <c r="AD8548">
        <v>-1.1136040077989999</v>
      </c>
      <c r="AE8548">
        <v>-6.0227000000000004</v>
      </c>
      <c r="AF8548">
        <v>-7.9964524689213903</v>
      </c>
      <c r="AG8548">
        <v>-1.1136040077989999</v>
      </c>
      <c r="AH8548">
        <v>21.9435117107456</v>
      </c>
      <c r="AI8548">
        <v>92.729875122834997</v>
      </c>
      <c r="AJ8548">
        <v>110.022286147834</v>
      </c>
      <c r="AK8548">
        <v>23.381639638261699</v>
      </c>
      <c r="AL8548">
        <v>89.307319569270703</v>
      </c>
      <c r="AM8548">
        <v>91.123255557403397</v>
      </c>
      <c r="AN8548">
        <v>1.0000000259428401</v>
      </c>
    </row>
    <row r="8549" spans="1:40" x14ac:dyDescent="0.25">
      <c r="A8549" t="str">
        <f>"20190312154127965"</f>
        <v>20190312154127965</v>
      </c>
      <c r="B8549" t="str">
        <f>"1552376487955058"</f>
        <v>1552376487955058</v>
      </c>
      <c r="C8549" t="s">
        <v>40</v>
      </c>
      <c r="D8549">
        <v>4.0376500000000002</v>
      </c>
      <c r="E8549">
        <v>0.36971359999999998</v>
      </c>
      <c r="F8549" t="s">
        <v>95</v>
      </c>
      <c r="G8549">
        <v>-268.61149999999998</v>
      </c>
      <c r="H8549" s="1">
        <v>-3.4937629999999999E-6</v>
      </c>
      <c r="I8549">
        <v>-55.906300000000002</v>
      </c>
      <c r="J8549">
        <v>-292.21859999999998</v>
      </c>
      <c r="K8549">
        <v>1.113429</v>
      </c>
      <c r="L8549">
        <v>-49.834380000000003</v>
      </c>
      <c r="M8549">
        <v>0.82345139999999994</v>
      </c>
      <c r="N8549">
        <v>0</v>
      </c>
      <c r="O8549">
        <v>-0.56719699999999995</v>
      </c>
      <c r="P8549">
        <v>0.83537410000000001</v>
      </c>
      <c r="Q8549">
        <v>-3.1988749999999999E-3</v>
      </c>
      <c r="R8549">
        <v>-0.54967270000000001</v>
      </c>
      <c r="S8549">
        <v>3.0755620000000001</v>
      </c>
      <c r="T8549">
        <v>-0.14415910000000001</v>
      </c>
      <c r="U8549">
        <v>-0.79846189999999995</v>
      </c>
      <c r="V8549">
        <v>-2.1281919999999999E-2</v>
      </c>
      <c r="W8549">
        <v>1.130683E-2</v>
      </c>
      <c r="X8549">
        <v>0.99970950000000003</v>
      </c>
      <c r="Y8549">
        <v>-0.34126699999999999</v>
      </c>
      <c r="Z8549">
        <v>3.2288890000000001E-2</v>
      </c>
      <c r="AA8549">
        <v>0.93941160000000001</v>
      </c>
      <c r="AB8549">
        <v>19</v>
      </c>
      <c r="AC8549">
        <v>23.607099999999999</v>
      </c>
      <c r="AD8549">
        <v>-1.113432493763</v>
      </c>
      <c r="AE8549">
        <v>-6.0719200000000004</v>
      </c>
      <c r="AF8549">
        <v>-8.3733776347669</v>
      </c>
      <c r="AG8549">
        <v>-1.113432493763</v>
      </c>
      <c r="AH8549">
        <v>22.838086712277899</v>
      </c>
      <c r="AI8549">
        <v>92.620811342590997</v>
      </c>
      <c r="AJ8549">
        <v>110.135004198248</v>
      </c>
      <c r="AK8549">
        <v>24.350182537510999</v>
      </c>
      <c r="AL8549">
        <v>89.352152507940403</v>
      </c>
      <c r="AM8549">
        <v>91.2195343221955</v>
      </c>
      <c r="AN8549">
        <v>0.99999992445688901</v>
      </c>
    </row>
    <row r="8550" spans="1:40" x14ac:dyDescent="0.25">
      <c r="A8550" t="str">
        <f>"20190312154127988"</f>
        <v>20190312154127988</v>
      </c>
      <c r="B8550" t="str">
        <f>"1552376487985313"</f>
        <v>1552376487985313</v>
      </c>
      <c r="C8550" t="s">
        <v>40</v>
      </c>
      <c r="D8550">
        <v>4.0710240000000004</v>
      </c>
      <c r="E8550">
        <v>0.37111559999999999</v>
      </c>
      <c r="F8550" t="s">
        <v>95</v>
      </c>
      <c r="G8550">
        <v>-268.84589999999997</v>
      </c>
      <c r="H8550" s="1">
        <v>-3.6259529999999999E-6</v>
      </c>
      <c r="I8550">
        <v>-55.728079999999999</v>
      </c>
      <c r="J8550">
        <v>-292.05759999999998</v>
      </c>
      <c r="K8550">
        <v>1.113235</v>
      </c>
      <c r="L8550">
        <v>-49.935549999999999</v>
      </c>
      <c r="M8550">
        <v>0.82714549999999998</v>
      </c>
      <c r="N8550">
        <v>0</v>
      </c>
      <c r="O8550">
        <v>-0.5617974</v>
      </c>
      <c r="P8550">
        <v>0.83955869999999999</v>
      </c>
      <c r="Q8550">
        <v>-4.1709390000000002E-3</v>
      </c>
      <c r="R8550">
        <v>-0.54325279999999998</v>
      </c>
      <c r="S8550">
        <v>3.0796510000000001</v>
      </c>
      <c r="T8550">
        <v>-0.14670920000000001</v>
      </c>
      <c r="U8550">
        <v>-0.77658079999999996</v>
      </c>
      <c r="V8550">
        <v>-2.2389989999999999E-2</v>
      </c>
      <c r="W8550">
        <v>1.0293129999999999E-2</v>
      </c>
      <c r="X8550">
        <v>0.99969629999999998</v>
      </c>
      <c r="Y8550">
        <v>-0.34165990000000002</v>
      </c>
      <c r="Z8550">
        <v>3.266351E-2</v>
      </c>
      <c r="AA8550">
        <v>0.93925590000000003</v>
      </c>
      <c r="AB8550">
        <v>19</v>
      </c>
      <c r="AC8550">
        <v>23.2117</v>
      </c>
      <c r="AD8550">
        <v>-1.113238625953</v>
      </c>
      <c r="AE8550">
        <v>-5.7925300000000002</v>
      </c>
      <c r="AF8550">
        <v>-8.2320652039636197</v>
      </c>
      <c r="AG8550">
        <v>-1.113238625953</v>
      </c>
      <c r="AH8550">
        <v>22.4075645712234</v>
      </c>
      <c r="AI8550">
        <v>92.669992594750298</v>
      </c>
      <c r="AJ8550">
        <v>110.17226415697399</v>
      </c>
      <c r="AK8550">
        <v>23.897806338117501</v>
      </c>
      <c r="AL8550">
        <v>89.410236664581902</v>
      </c>
      <c r="AM8550">
        <v>91.283027150412906</v>
      </c>
      <c r="AN8550">
        <v>0.99999997620554304</v>
      </c>
    </row>
    <row r="8551" spans="1:40" x14ac:dyDescent="0.25">
      <c r="A8551" t="str">
        <f>"20190312154128010"</f>
        <v>20190312154128010</v>
      </c>
      <c r="B8551" t="str">
        <f>"1552376488004837"</f>
        <v>1552376488004837</v>
      </c>
      <c r="C8551" t="s">
        <v>40</v>
      </c>
      <c r="D8551">
        <v>4.0686780000000002</v>
      </c>
      <c r="E8551">
        <v>0.37229030000000002</v>
      </c>
      <c r="F8551" t="s">
        <v>42</v>
      </c>
      <c r="G8551">
        <v>-269.41730000000001</v>
      </c>
      <c r="H8551" s="1">
        <v>-3.9042489999999997E-6</v>
      </c>
      <c r="I8551">
        <v>-55.541040000000002</v>
      </c>
      <c r="J8551">
        <v>-291.9008</v>
      </c>
      <c r="K8551">
        <v>1.113035</v>
      </c>
      <c r="L8551">
        <v>-50.033140000000003</v>
      </c>
      <c r="M8551">
        <v>0.83048699999999998</v>
      </c>
      <c r="N8551">
        <v>0</v>
      </c>
      <c r="O8551">
        <v>-0.55684719999999999</v>
      </c>
      <c r="P8551">
        <v>0.84357099999999996</v>
      </c>
      <c r="Q8551">
        <v>-4.9983889999999998E-3</v>
      </c>
      <c r="R8551">
        <v>-0.53699430000000004</v>
      </c>
      <c r="S8551">
        <v>3.079224</v>
      </c>
      <c r="T8551">
        <v>-0.15140719999999999</v>
      </c>
      <c r="U8551">
        <v>-0.76239009999999996</v>
      </c>
      <c r="V8551">
        <v>-2.3839320000000001E-2</v>
      </c>
      <c r="W8551">
        <v>9.4219890000000004E-3</v>
      </c>
      <c r="X8551">
        <v>0.99967139999999999</v>
      </c>
      <c r="Y8551">
        <v>-0.34003749999999999</v>
      </c>
      <c r="Z8551">
        <v>3.3505800000000002E-2</v>
      </c>
      <c r="AA8551">
        <v>0.93981479999999995</v>
      </c>
      <c r="AB8551">
        <v>19</v>
      </c>
      <c r="AC8551">
        <v>22.4834999999999</v>
      </c>
      <c r="AD8551">
        <v>-1.1130389042489901</v>
      </c>
      <c r="AE8551">
        <v>-5.5078999999999896</v>
      </c>
      <c r="AF8551">
        <v>-7.9281495619001898</v>
      </c>
      <c r="AG8551">
        <v>-1.1130389042489901</v>
      </c>
      <c r="AH8551">
        <v>21.691473766197799</v>
      </c>
      <c r="AI8551">
        <v>92.759183002639404</v>
      </c>
      <c r="AJ8551">
        <v>110.07716207801801</v>
      </c>
      <c r="AK8551">
        <v>23.1217310171162</v>
      </c>
      <c r="AL8551">
        <v>89.460151806736704</v>
      </c>
      <c r="AM8551">
        <v>91.366082483787395</v>
      </c>
      <c r="AN8551">
        <v>0.99999999751636903</v>
      </c>
    </row>
    <row r="8552" spans="1:40" x14ac:dyDescent="0.25">
      <c r="A8552" t="str">
        <f>"20190312154128033"</f>
        <v>20190312154128033</v>
      </c>
      <c r="B8552" t="str">
        <f>"1552376488025329"</f>
        <v>1552376488025329</v>
      </c>
      <c r="C8552" t="s">
        <v>40</v>
      </c>
      <c r="D8552">
        <v>4.0715620000000001</v>
      </c>
      <c r="E8552">
        <v>0.37347960000000002</v>
      </c>
      <c r="F8552" t="s">
        <v>94</v>
      </c>
      <c r="G8552">
        <v>-270.50040000000001</v>
      </c>
      <c r="H8552" s="1">
        <v>-9.1795449999999995E-7</v>
      </c>
      <c r="I8552">
        <v>-55.228110000000001</v>
      </c>
      <c r="J8552">
        <v>-291.74560000000002</v>
      </c>
      <c r="K8552">
        <v>1.1128089999999999</v>
      </c>
      <c r="L8552">
        <v>-50.129060000000003</v>
      </c>
      <c r="M8552">
        <v>0.83355239999999997</v>
      </c>
      <c r="N8552">
        <v>0</v>
      </c>
      <c r="O8552">
        <v>-0.55224899999999999</v>
      </c>
      <c r="P8552">
        <v>0.84708809999999901</v>
      </c>
      <c r="Q8552">
        <v>-5.389334E-3</v>
      </c>
      <c r="R8552">
        <v>-0.5314255</v>
      </c>
      <c r="S8552">
        <v>3.079529</v>
      </c>
      <c r="T8552">
        <v>-0.16016639999999999</v>
      </c>
      <c r="U8552">
        <v>-0.74755859999999996</v>
      </c>
      <c r="V8552">
        <v>-2.489096E-2</v>
      </c>
      <c r="W8552">
        <v>8.9928549999999993E-3</v>
      </c>
      <c r="X8552">
        <v>0.99964969999999997</v>
      </c>
      <c r="Y8552">
        <v>-0.33902559999999998</v>
      </c>
      <c r="Z8552">
        <v>3.5249139999999998E-2</v>
      </c>
      <c r="AA8552">
        <v>0.94011650000000002</v>
      </c>
      <c r="AB8552">
        <v>19</v>
      </c>
      <c r="AC8552">
        <v>21.245200000000001</v>
      </c>
      <c r="AD8552">
        <v>-1.1128099179544999</v>
      </c>
      <c r="AE8552">
        <v>-5.0990500000000001</v>
      </c>
      <c r="AF8552">
        <v>-7.4637440819880698</v>
      </c>
      <c r="AG8552">
        <v>-1.1128099179544999</v>
      </c>
      <c r="AH8552">
        <v>20.473990099028299</v>
      </c>
      <c r="AI8552">
        <v>92.923272094852706</v>
      </c>
      <c r="AJ8552">
        <v>110.02920581898</v>
      </c>
      <c r="AK8552">
        <v>21.820405408928998</v>
      </c>
      <c r="AL8552">
        <v>89.484740405762807</v>
      </c>
      <c r="AM8552">
        <v>91.426351982448395</v>
      </c>
      <c r="AN8552">
        <v>0.99999997702043097</v>
      </c>
    </row>
    <row r="8553" spans="1:40" x14ac:dyDescent="0.25">
      <c r="A8553" t="str">
        <f>"20190312154128054"</f>
        <v>20190312154128054</v>
      </c>
      <c r="B8553" t="str">
        <f>"1552376488044850"</f>
        <v>1552376488044850</v>
      </c>
      <c r="C8553" t="s">
        <v>40</v>
      </c>
      <c r="D8553">
        <v>4.0679040000000004</v>
      </c>
      <c r="E8553">
        <v>0.37407200000000002</v>
      </c>
      <c r="F8553" t="s">
        <v>94</v>
      </c>
      <c r="G8553">
        <v>-271.27760000000001</v>
      </c>
      <c r="H8553" s="1">
        <v>-1.2473990000000001E-6</v>
      </c>
      <c r="I8553">
        <v>-55.018360000000001</v>
      </c>
      <c r="J8553">
        <v>-291.59160000000003</v>
      </c>
      <c r="K8553">
        <v>1.112576</v>
      </c>
      <c r="L8553">
        <v>-50.223570000000002</v>
      </c>
      <c r="M8553">
        <v>0.83636449999999996</v>
      </c>
      <c r="N8553">
        <v>0</v>
      </c>
      <c r="O8553">
        <v>-0.54798239999999998</v>
      </c>
      <c r="P8553">
        <v>0.85021999999999998</v>
      </c>
      <c r="Q8553">
        <v>-5.5822859999999997E-3</v>
      </c>
      <c r="R8553">
        <v>-0.52639840000000004</v>
      </c>
      <c r="S8553">
        <v>3.0790410000000001</v>
      </c>
      <c r="T8553">
        <v>-0.16740179999999999</v>
      </c>
      <c r="U8553">
        <v>-0.73550419999999905</v>
      </c>
      <c r="V8553">
        <v>-2.569658E-2</v>
      </c>
      <c r="W8553">
        <v>8.7663640000000004E-3</v>
      </c>
      <c r="X8553">
        <v>0.9996313</v>
      </c>
      <c r="Y8553">
        <v>-0.33757189999999998</v>
      </c>
      <c r="Z8553">
        <v>3.6642689999999999E-2</v>
      </c>
      <c r="AA8553">
        <v>0.94058629999999999</v>
      </c>
      <c r="AB8553">
        <v>19</v>
      </c>
      <c r="AC8553">
        <v>20.314</v>
      </c>
      <c r="AD8553">
        <v>-1.1125772473989901</v>
      </c>
      <c r="AE8553">
        <v>-4.7947899999999901</v>
      </c>
      <c r="AF8553">
        <v>-7.1020896966645397</v>
      </c>
      <c r="AG8553">
        <v>-1.1125772473989901</v>
      </c>
      <c r="AH8553">
        <v>19.563838689828199</v>
      </c>
      <c r="AI8553">
        <v>93.059875217718002</v>
      </c>
      <c r="AJ8553">
        <v>109.95197432575</v>
      </c>
      <c r="AK8553">
        <v>20.842775498299499</v>
      </c>
      <c r="AL8553">
        <v>89.497717882369898</v>
      </c>
      <c r="AM8553">
        <v>91.472524329624605</v>
      </c>
      <c r="AN8553">
        <v>0.99999994965058203</v>
      </c>
    </row>
    <row r="8554" spans="1:40" x14ac:dyDescent="0.25">
      <c r="A8554" t="str">
        <f>"20190312154128077"</f>
        <v>20190312154128077</v>
      </c>
      <c r="B8554" t="str">
        <f>"1552376488075107"</f>
        <v>1552376488075107</v>
      </c>
      <c r="C8554" t="s">
        <v>40</v>
      </c>
      <c r="D8554">
        <v>4.1302159999999999</v>
      </c>
      <c r="E8554">
        <v>0.39001150000000001</v>
      </c>
      <c r="F8554" t="s">
        <v>94</v>
      </c>
      <c r="G8554">
        <v>-271.38850000000002</v>
      </c>
      <c r="H8554" s="1">
        <v>-1.3052320000000001E-6</v>
      </c>
      <c r="I8554">
        <v>-54.953580000000002</v>
      </c>
      <c r="J8554">
        <v>-291.4341</v>
      </c>
      <c r="K8554">
        <v>1.112336</v>
      </c>
      <c r="L8554">
        <v>-50.319670000000002</v>
      </c>
      <c r="M8554">
        <v>0.83901229999999904</v>
      </c>
      <c r="N8554">
        <v>0</v>
      </c>
      <c r="O8554">
        <v>-0.54392059999999998</v>
      </c>
      <c r="P8554">
        <v>0.8533269</v>
      </c>
      <c r="Q8554">
        <v>-4.5272380000000003E-3</v>
      </c>
      <c r="R8554">
        <v>-0.52135690000000001</v>
      </c>
      <c r="S8554">
        <v>3.0807799999999999</v>
      </c>
      <c r="T8554">
        <v>-0.1696578</v>
      </c>
      <c r="U8554">
        <v>-0.72128300000000001</v>
      </c>
      <c r="V8554">
        <v>-2.6769270000000001E-2</v>
      </c>
      <c r="W8554">
        <v>9.7891349999999992E-3</v>
      </c>
      <c r="X8554">
        <v>0.99959370000000003</v>
      </c>
      <c r="Y8554">
        <v>-0.33721440000000003</v>
      </c>
      <c r="Z8554">
        <v>3.6952560000000002E-2</v>
      </c>
      <c r="AA8554">
        <v>0.94070240000000005</v>
      </c>
      <c r="AB8554">
        <v>19</v>
      </c>
      <c r="AC8554">
        <v>20.045599999999901</v>
      </c>
      <c r="AD8554">
        <v>-1.112337305232</v>
      </c>
      <c r="AE8554">
        <v>-4.6339100000000002</v>
      </c>
      <c r="AF8554">
        <v>-6.9955916383359797</v>
      </c>
      <c r="AG8554">
        <v>-1.112337305232</v>
      </c>
      <c r="AH8554">
        <v>19.2846342443362</v>
      </c>
      <c r="AI8554">
        <v>93.103686961632604</v>
      </c>
      <c r="AJ8554">
        <v>109.938477733288</v>
      </c>
      <c r="AK8554">
        <v>20.544408353340099</v>
      </c>
      <c r="AL8554">
        <v>89.439114917259005</v>
      </c>
      <c r="AM8554">
        <v>91.534022962527203</v>
      </c>
      <c r="AN8554">
        <v>0.99999999303003495</v>
      </c>
    </row>
    <row r="8555" spans="1:40" x14ac:dyDescent="0.25">
      <c r="A8555" t="str">
        <f>"20190312154128101"</f>
        <v>20190312154128101</v>
      </c>
      <c r="B8555" t="str">
        <f>"1552376488094626"</f>
        <v>1552376488094626</v>
      </c>
      <c r="C8555" t="s">
        <v>40</v>
      </c>
      <c r="D8555">
        <v>4.0639719999999997</v>
      </c>
      <c r="E8555">
        <v>0.39096520000000001</v>
      </c>
      <c r="F8555" t="s">
        <v>94</v>
      </c>
      <c r="G8555">
        <v>-273.983</v>
      </c>
      <c r="H8555" s="1">
        <v>-2.1711899999999998E-6</v>
      </c>
      <c r="I8555">
        <v>-55.00826</v>
      </c>
      <c r="J8555">
        <v>-291.27359999999999</v>
      </c>
      <c r="K8555">
        <v>1.1121049999999999</v>
      </c>
      <c r="L8555">
        <v>-50.417079999999999</v>
      </c>
      <c r="M8555">
        <v>0.84145079999999906</v>
      </c>
      <c r="N8555">
        <v>0</v>
      </c>
      <c r="O8555">
        <v>-0.54014180000000001</v>
      </c>
      <c r="P8555">
        <v>0.85611530000000002</v>
      </c>
      <c r="Q8555">
        <v>-3.0672450000000001E-3</v>
      </c>
      <c r="R8555">
        <v>-0.51677620000000002</v>
      </c>
      <c r="S8555">
        <v>3.0190429999999999</v>
      </c>
      <c r="T8555">
        <v>-0.19243450000000001</v>
      </c>
      <c r="U8555">
        <v>-0.81112669999999998</v>
      </c>
      <c r="V8555">
        <v>-2.7634909999999999E-2</v>
      </c>
      <c r="W8555">
        <v>1.1220050000000001E-2</v>
      </c>
      <c r="X8555">
        <v>0.99955510000000003</v>
      </c>
      <c r="Y8555">
        <v>-0.30189149999999998</v>
      </c>
      <c r="Z8555">
        <v>4.1213890000000003E-2</v>
      </c>
      <c r="AA8555">
        <v>0.95245100000000005</v>
      </c>
      <c r="AB8555">
        <v>19</v>
      </c>
      <c r="AC8555">
        <v>17.290599999999898</v>
      </c>
      <c r="AD8555">
        <v>-1.1121071711899999</v>
      </c>
      <c r="AE8555">
        <v>-4.5911799999999996</v>
      </c>
      <c r="AF8555">
        <v>-5.4556089069419</v>
      </c>
      <c r="AG8555">
        <v>-1.1121071711899999</v>
      </c>
      <c r="AH8555">
        <v>16.9652825997054</v>
      </c>
      <c r="AI8555">
        <v>93.570892878317593</v>
      </c>
      <c r="AJ8555">
        <v>107.826487053281</v>
      </c>
      <c r="AK8555">
        <v>17.855566767638098</v>
      </c>
      <c r="AL8555">
        <v>89.357124992246895</v>
      </c>
      <c r="AM8555">
        <v>91.583665043411699</v>
      </c>
      <c r="AN8555">
        <v>0.99999998785435995</v>
      </c>
    </row>
    <row r="8556" spans="1:40" x14ac:dyDescent="0.25">
      <c r="A8556" t="str">
        <f>"20190312154128122"</f>
        <v>20190312154128122</v>
      </c>
      <c r="B8556" t="str">
        <f>"1552376488115125"</f>
        <v>1552376488115125</v>
      </c>
      <c r="C8556" t="s">
        <v>40</v>
      </c>
      <c r="D8556">
        <v>4.0854280000000003</v>
      </c>
      <c r="E8556">
        <v>0.39186199999999999</v>
      </c>
      <c r="F8556" t="s">
        <v>94</v>
      </c>
      <c r="G8556">
        <v>-273.142</v>
      </c>
      <c r="H8556" s="1">
        <v>-1.8159409999999999E-6</v>
      </c>
      <c r="I8556">
        <v>-55.231189999999998</v>
      </c>
      <c r="J8556">
        <v>-291.11439999999999</v>
      </c>
      <c r="K8556">
        <v>1.111909</v>
      </c>
      <c r="L8556">
        <v>-50.513280000000002</v>
      </c>
      <c r="M8556">
        <v>0.84364439999999996</v>
      </c>
      <c r="N8556">
        <v>0</v>
      </c>
      <c r="O8556">
        <v>-0.53671000000000002</v>
      </c>
      <c r="P8556">
        <v>0.85884899999999997</v>
      </c>
      <c r="Q8556">
        <v>-2.6852349999999998E-3</v>
      </c>
      <c r="R8556">
        <v>-0.5122217</v>
      </c>
      <c r="S8556">
        <v>3.0195919999999998</v>
      </c>
      <c r="T8556">
        <v>-0.18520719999999999</v>
      </c>
      <c r="U8556">
        <v>-0.80172730000000003</v>
      </c>
      <c r="V8556">
        <v>-2.8868749999999999E-2</v>
      </c>
      <c r="W8556">
        <v>1.157336E-2</v>
      </c>
      <c r="X8556">
        <v>0.99951619999999997</v>
      </c>
      <c r="Y8556">
        <v>-0.30093229999999999</v>
      </c>
      <c r="Z8556">
        <v>3.9484419999999999E-2</v>
      </c>
      <c r="AA8556">
        <v>0.9528278</v>
      </c>
      <c r="AB8556">
        <v>19</v>
      </c>
      <c r="AC8556">
        <v>17.972399999999901</v>
      </c>
      <c r="AD8556">
        <v>-1.1119108159410001</v>
      </c>
      <c r="AE8556">
        <v>-4.7179099999999998</v>
      </c>
      <c r="AF8556">
        <v>-5.6460957063923702</v>
      </c>
      <c r="AG8556">
        <v>-1.1119108159410001</v>
      </c>
      <c r="AH8556">
        <v>17.633149657902699</v>
      </c>
      <c r="AI8556">
        <v>93.436741468732905</v>
      </c>
      <c r="AJ8556">
        <v>107.754951365366</v>
      </c>
      <c r="AK8556">
        <v>18.548388319375398</v>
      </c>
      <c r="AL8556">
        <v>89.336880507170605</v>
      </c>
      <c r="AM8556">
        <v>91.654398218029797</v>
      </c>
      <c r="AN8556">
        <v>0.99999999072534596</v>
      </c>
    </row>
    <row r="8557" spans="1:40" x14ac:dyDescent="0.25">
      <c r="A8557" t="str">
        <f>"20190312154128145"</f>
        <v>20190312154128145</v>
      </c>
      <c r="B8557" t="str">
        <f>"1552376488134642"</f>
        <v>1552376488134642</v>
      </c>
      <c r="C8557" t="s">
        <v>40</v>
      </c>
      <c r="D8557">
        <v>4.0914519999999897</v>
      </c>
      <c r="E8557">
        <v>0.39939400000000003</v>
      </c>
      <c r="F8557" t="s">
        <v>94</v>
      </c>
      <c r="G8557">
        <v>-272.67</v>
      </c>
      <c r="H8557" s="1">
        <v>-1.618629E-6</v>
      </c>
      <c r="I8557">
        <v>-55.349620000000002</v>
      </c>
      <c r="J8557">
        <v>-290.95740000000001</v>
      </c>
      <c r="K8557">
        <v>1.1117570000000001</v>
      </c>
      <c r="L8557">
        <v>-50.607759999999999</v>
      </c>
      <c r="M8557">
        <v>0.84563109999999997</v>
      </c>
      <c r="N8557">
        <v>0</v>
      </c>
      <c r="O8557">
        <v>-0.53357529999999997</v>
      </c>
      <c r="P8557">
        <v>0.8608304</v>
      </c>
      <c r="Q8557">
        <v>-3.134824E-3</v>
      </c>
      <c r="R8557">
        <v>-0.50888270000000002</v>
      </c>
      <c r="S8557">
        <v>3.020203</v>
      </c>
      <c r="T8557">
        <v>-0.18207090000000001</v>
      </c>
      <c r="U8557">
        <v>-0.79193119999999995</v>
      </c>
      <c r="V8557">
        <v>-2.9033340000000001E-2</v>
      </c>
      <c r="W8557">
        <v>1.110037E-2</v>
      </c>
      <c r="X8557">
        <v>0.99951679999999998</v>
      </c>
      <c r="Y8557">
        <v>-0.30037970000000003</v>
      </c>
      <c r="Z8557">
        <v>3.8661439999999998E-2</v>
      </c>
      <c r="AA8557">
        <v>0.95303579999999999</v>
      </c>
      <c r="AB8557">
        <v>19</v>
      </c>
      <c r="AC8557">
        <v>18.287399999999899</v>
      </c>
      <c r="AD8557">
        <v>-1.1117586186289901</v>
      </c>
      <c r="AE8557">
        <v>-4.7418599999999902</v>
      </c>
      <c r="AF8557">
        <v>-5.7285928387877796</v>
      </c>
      <c r="AG8557">
        <v>-1.1117586186289901</v>
      </c>
      <c r="AH8557">
        <v>17.934275191237301</v>
      </c>
      <c r="AI8557">
        <v>93.379469562066006</v>
      </c>
      <c r="AJ8557">
        <v>107.714599098972</v>
      </c>
      <c r="AK8557">
        <v>18.8597722619796</v>
      </c>
      <c r="AL8557">
        <v>89.363982581737602</v>
      </c>
      <c r="AM8557">
        <v>91.6638241877491</v>
      </c>
      <c r="AN8557">
        <v>0.99999999326396605</v>
      </c>
    </row>
    <row r="8558" spans="1:40" x14ac:dyDescent="0.25">
      <c r="A8558" t="str">
        <f>"20190312154128167"</f>
        <v>20190312154128167</v>
      </c>
      <c r="B8558" t="str">
        <f>"1552376488164899"</f>
        <v>1552376488164899</v>
      </c>
      <c r="C8558" t="s">
        <v>40</v>
      </c>
      <c r="D8558">
        <v>4.1571400000000001</v>
      </c>
      <c r="E8558">
        <v>0.40014169999999999</v>
      </c>
      <c r="F8558" t="s">
        <v>94</v>
      </c>
      <c r="G8558">
        <v>-272.0874</v>
      </c>
      <c r="H8558" s="1">
        <v>-1.263674E-6</v>
      </c>
      <c r="I8558">
        <v>-55.855429999999998</v>
      </c>
      <c r="J8558">
        <v>-290.79770000000002</v>
      </c>
      <c r="K8558">
        <v>1.111639</v>
      </c>
      <c r="L8558">
        <v>-50.70346</v>
      </c>
      <c r="M8558">
        <v>0.84748789999999996</v>
      </c>
      <c r="N8558">
        <v>0</v>
      </c>
      <c r="O8558">
        <v>-0.53062149999999997</v>
      </c>
      <c r="P8558">
        <v>0.86248649999999905</v>
      </c>
      <c r="Q8558">
        <v>-2.9853290000000001E-3</v>
      </c>
      <c r="R8558">
        <v>-0.50607100000000005</v>
      </c>
      <c r="S8558">
        <v>2.992432</v>
      </c>
      <c r="T8558">
        <v>-0.17630409999999999</v>
      </c>
      <c r="U8558">
        <v>-0.83218380000000003</v>
      </c>
      <c r="V8558">
        <v>-2.8805000000000001E-2</v>
      </c>
      <c r="W8558">
        <v>1.122767E-2</v>
      </c>
      <c r="X8558">
        <v>0.99952200000000002</v>
      </c>
      <c r="Y8558">
        <v>-0.2829894</v>
      </c>
      <c r="Z8558">
        <v>3.7037220000000003E-2</v>
      </c>
      <c r="AA8558">
        <v>0.95840760000000003</v>
      </c>
      <c r="AB8558">
        <v>18</v>
      </c>
      <c r="AC8558">
        <v>18.7103</v>
      </c>
      <c r="AD8558">
        <v>-1.1116402636739999</v>
      </c>
      <c r="AE8558">
        <v>-5.1519700000000004</v>
      </c>
      <c r="AF8558">
        <v>-5.5442341085707003</v>
      </c>
      <c r="AG8558">
        <v>-1.1116402636739999</v>
      </c>
      <c r="AH8558">
        <v>18.5316003623449</v>
      </c>
      <c r="AI8558">
        <v>93.289133611376599</v>
      </c>
      <c r="AJ8558">
        <v>106.65598912661299</v>
      </c>
      <c r="AK8558">
        <v>19.3750996879015</v>
      </c>
      <c r="AL8558">
        <v>89.3566883842078</v>
      </c>
      <c r="AM8558">
        <v>91.650737309753694</v>
      </c>
      <c r="AN8558">
        <v>1.0000000085413101</v>
      </c>
    </row>
    <row r="8559" spans="1:40" x14ac:dyDescent="0.25">
      <c r="A8559" t="str">
        <f>"20190312154128189"</f>
        <v>20190312154128189</v>
      </c>
      <c r="B8559" t="str">
        <f>"1552376488184418"</f>
        <v>1552376488184418</v>
      </c>
      <c r="C8559" t="s">
        <v>40</v>
      </c>
      <c r="D8559">
        <v>4.0650329999999997</v>
      </c>
      <c r="E8559">
        <v>0.4010591</v>
      </c>
      <c r="F8559" t="s">
        <v>94</v>
      </c>
      <c r="G8559">
        <v>-271.6277</v>
      </c>
      <c r="H8559" s="1">
        <v>-1.060904E-6</v>
      </c>
      <c r="I8559">
        <v>-56.004950000000001</v>
      </c>
      <c r="J8559">
        <v>-290.64780000000002</v>
      </c>
      <c r="K8559">
        <v>1.111542</v>
      </c>
      <c r="L8559">
        <v>-50.792850000000001</v>
      </c>
      <c r="M8559">
        <v>0.84909059999999903</v>
      </c>
      <c r="N8559">
        <v>0</v>
      </c>
      <c r="O8559">
        <v>-0.52805419999999903</v>
      </c>
      <c r="P8559">
        <v>0.86390400000000001</v>
      </c>
      <c r="Q8559">
        <v>-2.9613880000000001E-3</v>
      </c>
      <c r="R8559">
        <v>-0.50364819999999999</v>
      </c>
      <c r="S8559">
        <v>2.9921570000000002</v>
      </c>
      <c r="T8559">
        <v>-0.17351059999999999</v>
      </c>
      <c r="U8559">
        <v>-0.82748409999999994</v>
      </c>
      <c r="V8559">
        <v>-2.8582420000000001E-2</v>
      </c>
      <c r="W8559">
        <v>1.1233399999999999E-2</v>
      </c>
      <c r="X8559">
        <v>0.99952830000000004</v>
      </c>
      <c r="Y8559">
        <v>-0.28150370000000002</v>
      </c>
      <c r="Z8559">
        <v>3.6301359999999998E-2</v>
      </c>
      <c r="AA8559">
        <v>0.95887319999999998</v>
      </c>
      <c r="AB8559">
        <v>18</v>
      </c>
      <c r="AC8559">
        <v>19.020099999999999</v>
      </c>
      <c r="AD8559">
        <v>-1.111543060904</v>
      </c>
      <c r="AE8559">
        <v>-5.2121000000000004</v>
      </c>
      <c r="AF8559">
        <v>-5.6008789619039696</v>
      </c>
      <c r="AG8559">
        <v>-1.111543060904</v>
      </c>
      <c r="AH8559">
        <v>18.844124136667499</v>
      </c>
      <c r="AI8559">
        <v>93.236148048403393</v>
      </c>
      <c r="AJ8559">
        <v>106.553081438162</v>
      </c>
      <c r="AK8559">
        <v>19.690261237481799</v>
      </c>
      <c r="AL8559">
        <v>89.356360042412206</v>
      </c>
      <c r="AM8559">
        <v>91.637978504068698</v>
      </c>
      <c r="AN8559">
        <v>0.99999998325475303</v>
      </c>
    </row>
    <row r="8560" spans="1:40" x14ac:dyDescent="0.25">
      <c r="A8560" t="str">
        <f>"20190312154128201"</f>
        <v>20190312154128201</v>
      </c>
      <c r="B8560" t="str">
        <f>"1552376488195154"</f>
        <v>1552376488195154</v>
      </c>
      <c r="C8560" t="s">
        <v>40</v>
      </c>
      <c r="D8560">
        <v>4.0718870000000003</v>
      </c>
      <c r="E8560">
        <v>0.40158670000000002</v>
      </c>
      <c r="F8560" t="s">
        <v>94</v>
      </c>
      <c r="G8560">
        <v>-271.4744</v>
      </c>
      <c r="H8560" s="1">
        <v>-9.8424199999999993E-7</v>
      </c>
      <c r="I8560">
        <v>-56.08408</v>
      </c>
      <c r="J8560">
        <v>-290.56020000000001</v>
      </c>
      <c r="K8560">
        <v>1.1114850000000001</v>
      </c>
      <c r="L8560">
        <v>-50.844909999999999</v>
      </c>
      <c r="M8560">
        <v>0.84997060000000002</v>
      </c>
      <c r="N8560">
        <v>0</v>
      </c>
      <c r="O8560">
        <v>-0.52663680000000002</v>
      </c>
      <c r="P8560">
        <v>0.86482610000000004</v>
      </c>
      <c r="Q8560">
        <v>-2.6131520000000001E-3</v>
      </c>
      <c r="R8560">
        <v>-0.50206490000000004</v>
      </c>
      <c r="S8560">
        <v>2.9908450000000002</v>
      </c>
      <c r="T8560">
        <v>-0.17338909999999999</v>
      </c>
      <c r="U8560">
        <v>-0.82537839999999996</v>
      </c>
      <c r="V8560">
        <v>-2.874579E-2</v>
      </c>
      <c r="W8560">
        <v>1.157145E-2</v>
      </c>
      <c r="X8560">
        <v>0.99951979999999996</v>
      </c>
      <c r="Y8560">
        <v>-0.28042549999999999</v>
      </c>
      <c r="Z8560">
        <v>3.6198040000000001E-2</v>
      </c>
      <c r="AA8560">
        <v>0.95919299999999996</v>
      </c>
      <c r="AB8560">
        <v>18</v>
      </c>
      <c r="AC8560">
        <v>19.085799999999999</v>
      </c>
      <c r="AD8560">
        <v>-1.111485984242</v>
      </c>
      <c r="AE8560">
        <v>-5.2391699999999997</v>
      </c>
      <c r="AF8560">
        <v>-5.5811125301523496</v>
      </c>
      <c r="AG8560">
        <v>-1.111485984242</v>
      </c>
      <c r="AH8560">
        <v>18.9237597845007</v>
      </c>
      <c r="AI8560">
        <v>93.224402972193502</v>
      </c>
      <c r="AJ8560">
        <v>106.43216914617901</v>
      </c>
      <c r="AK8560">
        <v>19.760893262929098</v>
      </c>
      <c r="AL8560">
        <v>89.336989971995393</v>
      </c>
      <c r="AM8560">
        <v>91.647349638929398</v>
      </c>
      <c r="AN8560">
        <v>1.0000000247449301</v>
      </c>
    </row>
    <row r="8561" spans="1:40" x14ac:dyDescent="0.25">
      <c r="A8561" t="str">
        <f>"20190312154128212"</f>
        <v>20190312154128212</v>
      </c>
      <c r="B8561" t="str">
        <f>"1552376488204914"</f>
        <v>1552376488204914</v>
      </c>
      <c r="C8561" t="s">
        <v>40</v>
      </c>
      <c r="D8561">
        <v>4.0440449999999997</v>
      </c>
      <c r="E8561">
        <v>0.40207759999999998</v>
      </c>
      <c r="F8561" t="s">
        <v>94</v>
      </c>
      <c r="G8561">
        <v>-271.1617</v>
      </c>
      <c r="H8561" s="1">
        <v>-8.4582129999999999E-7</v>
      </c>
      <c r="I8561">
        <v>-56.187399999999997</v>
      </c>
      <c r="J8561">
        <v>-290.48349999999999</v>
      </c>
      <c r="K8561">
        <v>1.111432</v>
      </c>
      <c r="L8561">
        <v>-50.890470000000001</v>
      </c>
      <c r="M8561">
        <v>0.85070440000000003</v>
      </c>
      <c r="N8561">
        <v>0</v>
      </c>
      <c r="O8561">
        <v>-0.525451</v>
      </c>
      <c r="P8561">
        <v>0.86547389999999902</v>
      </c>
      <c r="Q8561">
        <v>-2.7726270000000002E-3</v>
      </c>
      <c r="R8561">
        <v>-0.50094649999999996</v>
      </c>
      <c r="S8561">
        <v>2.9902950000000001</v>
      </c>
      <c r="T8561">
        <v>-0.17133619999999999</v>
      </c>
      <c r="U8561">
        <v>-0.82354740000000004</v>
      </c>
      <c r="V8561">
        <v>-2.8641469999999999E-2</v>
      </c>
      <c r="W8561">
        <v>1.140409E-2</v>
      </c>
      <c r="X8561">
        <v>0.99952470000000004</v>
      </c>
      <c r="Y8561">
        <v>-0.2796167</v>
      </c>
      <c r="Z8561">
        <v>3.5702079999999997E-2</v>
      </c>
      <c r="AA8561">
        <v>0.95944770000000001</v>
      </c>
      <c r="AB8561">
        <v>18</v>
      </c>
      <c r="AC8561">
        <v>19.3218</v>
      </c>
      <c r="AD8561">
        <v>-1.1114328458213001</v>
      </c>
      <c r="AE8561">
        <v>-5.2969299999999899</v>
      </c>
      <c r="AF8561">
        <v>-5.6297856848931502</v>
      </c>
      <c r="AG8561">
        <v>-1.1114328458213001</v>
      </c>
      <c r="AH8561">
        <v>19.163395525369001</v>
      </c>
      <c r="AI8561">
        <v>93.185002164419899</v>
      </c>
      <c r="AJ8561">
        <v>106.371632343097</v>
      </c>
      <c r="AK8561">
        <v>20.004137019385102</v>
      </c>
      <c r="AL8561">
        <v>89.346579614289496</v>
      </c>
      <c r="AM8561">
        <v>91.6413665536042</v>
      </c>
      <c r="AN8561">
        <v>1.00000000649128</v>
      </c>
    </row>
    <row r="8562" spans="1:40" x14ac:dyDescent="0.25">
      <c r="A8562" t="str">
        <f>"20190312154128223"</f>
        <v>20190312154128223</v>
      </c>
      <c r="B8562" t="str">
        <f>"1552376488214674"</f>
        <v>1552376488214674</v>
      </c>
      <c r="C8562" t="s">
        <v>40</v>
      </c>
      <c r="D8562">
        <v>4.0588839999999999</v>
      </c>
      <c r="E8562">
        <v>0.40249000000000001</v>
      </c>
      <c r="F8562" t="s">
        <v>94</v>
      </c>
      <c r="G8562">
        <v>-271.20609999999999</v>
      </c>
      <c r="H8562" s="1">
        <v>-8.5752559999999995E-7</v>
      </c>
      <c r="I8562">
        <v>-56.198340000000002</v>
      </c>
      <c r="J8562">
        <v>-290.41129999999998</v>
      </c>
      <c r="K8562">
        <v>1.11138</v>
      </c>
      <c r="L8562">
        <v>-50.933230000000002</v>
      </c>
      <c r="M8562">
        <v>0.85136819999999902</v>
      </c>
      <c r="N8562">
        <v>0</v>
      </c>
      <c r="O8562">
        <v>-0.52437509999999998</v>
      </c>
      <c r="P8562">
        <v>0.86613949999999995</v>
      </c>
      <c r="Q8562">
        <v>-3.128357E-3</v>
      </c>
      <c r="R8562">
        <v>-0.49979240000000003</v>
      </c>
      <c r="S8562">
        <v>2.9893489999999998</v>
      </c>
      <c r="T8562">
        <v>-0.17234949999999999</v>
      </c>
      <c r="U8562">
        <v>-0.82308959999999998</v>
      </c>
      <c r="V8562">
        <v>-2.8706880000000001E-2</v>
      </c>
      <c r="W8562">
        <v>1.1041240000000001E-2</v>
      </c>
      <c r="X8562">
        <v>0.9995269</v>
      </c>
      <c r="Y8562">
        <v>-0.2784507</v>
      </c>
      <c r="Z8562">
        <v>3.584101E-2</v>
      </c>
      <c r="AA8562">
        <v>0.95978160000000001</v>
      </c>
      <c r="AB8562">
        <v>18</v>
      </c>
      <c r="AC8562">
        <v>19.205199999999898</v>
      </c>
      <c r="AD8562">
        <v>-1.1113808575255999</v>
      </c>
      <c r="AE8562">
        <v>-5.26511</v>
      </c>
      <c r="AF8562">
        <v>-5.5713953679413102</v>
      </c>
      <c r="AG8562">
        <v>-1.1113808575255999</v>
      </c>
      <c r="AH8562">
        <v>19.054180721159799</v>
      </c>
      <c r="AI8562">
        <v>93.204261791417593</v>
      </c>
      <c r="AJ8562">
        <v>106.29878944578201</v>
      </c>
      <c r="AK8562">
        <v>19.883093740940101</v>
      </c>
      <c r="AL8562">
        <v>89.367370698718403</v>
      </c>
      <c r="AM8562">
        <v>91.645109350441402</v>
      </c>
      <c r="AN8562">
        <v>1.0000000088818399</v>
      </c>
    </row>
    <row r="8563" spans="1:40" x14ac:dyDescent="0.25">
      <c r="A8563" t="str">
        <f>"20190312154128234"</f>
        <v>20190312154128234</v>
      </c>
      <c r="B8563" t="str">
        <f>"1552376488224434"</f>
        <v>1552376488224434</v>
      </c>
      <c r="C8563" t="s">
        <v>40</v>
      </c>
      <c r="D8563">
        <v>4.0802259999999997</v>
      </c>
      <c r="E8563">
        <v>0.40292109999999998</v>
      </c>
      <c r="F8563" t="s">
        <v>94</v>
      </c>
      <c r="G8563">
        <v>-271.34160000000003</v>
      </c>
      <c r="H8563" s="1">
        <v>-9.1019809999999997E-7</v>
      </c>
      <c r="I8563">
        <v>-56.177149999999997</v>
      </c>
      <c r="J8563">
        <v>-290.3297</v>
      </c>
      <c r="K8563">
        <v>1.1113200000000001</v>
      </c>
      <c r="L8563">
        <v>-50.9816</v>
      </c>
      <c r="M8563">
        <v>0.85209290000000004</v>
      </c>
      <c r="N8563">
        <v>0</v>
      </c>
      <c r="O8563">
        <v>-0.52319709999999997</v>
      </c>
      <c r="P8563">
        <v>0.86672479999999996</v>
      </c>
      <c r="Q8563">
        <v>-3.7977559999999998E-3</v>
      </c>
      <c r="R8563">
        <v>-0.4987723</v>
      </c>
      <c r="S8563">
        <v>2.9887700000000001</v>
      </c>
      <c r="T8563">
        <v>-0.17418439999999999</v>
      </c>
      <c r="U8563">
        <v>-0.82186890000000001</v>
      </c>
      <c r="V8563">
        <v>-2.8496899999999999E-2</v>
      </c>
      <c r="W8563">
        <v>1.0365600000000001E-2</v>
      </c>
      <c r="X8563">
        <v>0.99954019999999999</v>
      </c>
      <c r="Y8563">
        <v>-0.27741719999999997</v>
      </c>
      <c r="Z8563">
        <v>3.6145579999999997E-2</v>
      </c>
      <c r="AA8563">
        <v>0.96006939999999996</v>
      </c>
      <c r="AB8563">
        <v>18</v>
      </c>
      <c r="AC8563">
        <v>18.9880999999999</v>
      </c>
      <c r="AD8563">
        <v>-1.1113209101981001</v>
      </c>
      <c r="AE8563">
        <v>-5.1955499999999901</v>
      </c>
      <c r="AF8563">
        <v>-5.4904879380855602</v>
      </c>
      <c r="AG8563">
        <v>-1.1113209101981001</v>
      </c>
      <c r="AH8563">
        <v>18.8397959884764</v>
      </c>
      <c r="AI8563">
        <v>93.241313904604596</v>
      </c>
      <c r="AJ8563">
        <v>106.24772437667301</v>
      </c>
      <c r="AK8563">
        <v>19.654984224138101</v>
      </c>
      <c r="AL8563">
        <v>89.406084270664493</v>
      </c>
      <c r="AM8563">
        <v>91.633060818005305</v>
      </c>
      <c r="AN8563">
        <v>1.0000000651945</v>
      </c>
    </row>
    <row r="8564" spans="1:40" x14ac:dyDescent="0.25">
      <c r="A8564" t="str">
        <f>"20190312154128246"</f>
        <v>20190312154128246</v>
      </c>
      <c r="B8564" t="str">
        <f>"1552376488235170"</f>
        <v>1552376488235170</v>
      </c>
      <c r="C8564" t="s">
        <v>40</v>
      </c>
      <c r="D8564">
        <v>4.0789749999999998</v>
      </c>
      <c r="E8564">
        <v>0.40332750000000001</v>
      </c>
      <c r="F8564" t="s">
        <v>94</v>
      </c>
      <c r="G8564">
        <v>-271.64229999999998</v>
      </c>
      <c r="H8564" s="1">
        <v>-1.0308759999999999E-6</v>
      </c>
      <c r="I8564">
        <v>-56.1179699999999</v>
      </c>
      <c r="J8564">
        <v>-290.245</v>
      </c>
      <c r="K8564">
        <v>1.1112550000000001</v>
      </c>
      <c r="L8564">
        <v>-51.031619999999997</v>
      </c>
      <c r="M8564">
        <v>0.85280259999999997</v>
      </c>
      <c r="N8564">
        <v>0</v>
      </c>
      <c r="O8564">
        <v>-0.52203959999999905</v>
      </c>
      <c r="P8564">
        <v>0.86727199999999904</v>
      </c>
      <c r="Q8564">
        <v>-4.5032459999999998E-3</v>
      </c>
      <c r="R8564">
        <v>-0.49781449999999999</v>
      </c>
      <c r="S8564">
        <v>2.987946</v>
      </c>
      <c r="T8564">
        <v>-0.17769009999999999</v>
      </c>
      <c r="U8564">
        <v>-0.821258499999999</v>
      </c>
      <c r="V8564">
        <v>-2.823877E-2</v>
      </c>
      <c r="W8564">
        <v>9.6537210000000005E-3</v>
      </c>
      <c r="X8564">
        <v>0.99955459999999996</v>
      </c>
      <c r="Y8564">
        <v>-0.27618300000000001</v>
      </c>
      <c r="Z8564">
        <v>3.6790499999999997E-2</v>
      </c>
      <c r="AA8564">
        <v>0.96040060000000005</v>
      </c>
      <c r="AB8564">
        <v>18</v>
      </c>
      <c r="AC8564">
        <v>18.602699999999999</v>
      </c>
      <c r="AD8564">
        <v>-1.11125603087599</v>
      </c>
      <c r="AE8564">
        <v>-5.0863499999999799</v>
      </c>
      <c r="AF8564">
        <v>-5.3564528703163203</v>
      </c>
      <c r="AG8564">
        <v>-1.11125603087599</v>
      </c>
      <c r="AH8564">
        <v>18.460289336269</v>
      </c>
      <c r="AI8564">
        <v>93.308733218113801</v>
      </c>
      <c r="AJ8564">
        <v>106.180658662071</v>
      </c>
      <c r="AK8564">
        <v>19.253798578380401</v>
      </c>
      <c r="AL8564">
        <v>89.446873944271701</v>
      </c>
      <c r="AM8564">
        <v>91.618252862561206</v>
      </c>
      <c r="AN8564">
        <v>1.0000000104207001</v>
      </c>
    </row>
    <row r="8565" spans="1:40" x14ac:dyDescent="0.25">
      <c r="A8565" t="str">
        <f>"20190312154128262"</f>
        <v>20190312154128262</v>
      </c>
      <c r="B8565" t="str">
        <f>"1552376488254690"</f>
        <v>1552376488254690</v>
      </c>
      <c r="C8565" t="s">
        <v>40</v>
      </c>
      <c r="D8565">
        <v>4.126906</v>
      </c>
      <c r="E8565">
        <v>0.4089604</v>
      </c>
      <c r="F8565" t="s">
        <v>94</v>
      </c>
      <c r="G8565">
        <v>-271.77550000000002</v>
      </c>
      <c r="H8565" s="1">
        <v>-1.080276E-6</v>
      </c>
      <c r="I8565">
        <v>-56.104810000000001</v>
      </c>
      <c r="J8565">
        <v>-290.13709999999998</v>
      </c>
      <c r="K8565">
        <v>1.1111709999999999</v>
      </c>
      <c r="L8565">
        <v>-51.09534</v>
      </c>
      <c r="M8565">
        <v>0.85366889999999995</v>
      </c>
      <c r="N8565">
        <v>0</v>
      </c>
      <c r="O8565">
        <v>-0.52062219999999904</v>
      </c>
      <c r="P8565">
        <v>0.86806319999999904</v>
      </c>
      <c r="Q8565">
        <v>-4.782265E-3</v>
      </c>
      <c r="R8565">
        <v>-0.49643110000000001</v>
      </c>
      <c r="S8565">
        <v>2.9872130000000001</v>
      </c>
      <c r="T8565">
        <v>-0.1797318</v>
      </c>
      <c r="U8565">
        <v>-0.82052610000000004</v>
      </c>
      <c r="V8565">
        <v>-2.8168789999999999E-2</v>
      </c>
      <c r="W8565">
        <v>9.3676309999999995E-3</v>
      </c>
      <c r="X8565">
        <v>0.99955930000000004</v>
      </c>
      <c r="Y8565">
        <v>-0.27472099999999999</v>
      </c>
      <c r="Z8565">
        <v>3.710977E-2</v>
      </c>
      <c r="AA8565">
        <v>0.96080759999999998</v>
      </c>
      <c r="AB8565">
        <v>18</v>
      </c>
      <c r="AC8565">
        <v>18.3615999999999</v>
      </c>
      <c r="AD8565">
        <v>-1.1111720802759999</v>
      </c>
      <c r="AE8565">
        <v>-5.0094699999999897</v>
      </c>
      <c r="AF8565">
        <v>-5.26561352609039</v>
      </c>
      <c r="AG8565">
        <v>-1.1111720802759999</v>
      </c>
      <c r="AH8565">
        <v>18.222503119805399</v>
      </c>
      <c r="AI8565">
        <v>93.352629609736098</v>
      </c>
      <c r="AJ8565">
        <v>106.11729193342801</v>
      </c>
      <c r="AK8565">
        <v>19.000552864310201</v>
      </c>
      <c r="AL8565">
        <v>89.463266436884595</v>
      </c>
      <c r="AM8565">
        <v>91.614237122121295</v>
      </c>
      <c r="AN8565">
        <v>1.0000000137285501</v>
      </c>
    </row>
    <row r="8566" spans="1:40" x14ac:dyDescent="0.25">
      <c r="A8566" t="str">
        <f>"20190312154128273"</f>
        <v>20190312154128273</v>
      </c>
      <c r="B8566" t="str">
        <f>"1552376488264450"</f>
        <v>1552376488264450</v>
      </c>
      <c r="C8566" t="s">
        <v>40</v>
      </c>
      <c r="D8566">
        <v>4.1094160000000004</v>
      </c>
      <c r="E8566">
        <v>0.40953099999999998</v>
      </c>
      <c r="F8566" t="s">
        <v>94</v>
      </c>
      <c r="G8566">
        <v>-273.0385</v>
      </c>
      <c r="H8566" s="1">
        <v>-1.5363870000000001E-6</v>
      </c>
      <c r="I8566">
        <v>-56.0199199999999</v>
      </c>
      <c r="J8566">
        <v>-290.05279999999999</v>
      </c>
      <c r="K8566">
        <v>1.1111070000000001</v>
      </c>
      <c r="L8566">
        <v>-51.145020000000002</v>
      </c>
      <c r="M8566">
        <v>0.85430740000000005</v>
      </c>
      <c r="N8566">
        <v>0</v>
      </c>
      <c r="O8566">
        <v>-0.51957410000000004</v>
      </c>
      <c r="P8566">
        <v>0.86851179999999994</v>
      </c>
      <c r="Q8566">
        <v>-4.9560139999999999E-3</v>
      </c>
      <c r="R8566">
        <v>-0.49564399999999997</v>
      </c>
      <c r="S8566">
        <v>2.9663390000000001</v>
      </c>
      <c r="T8566">
        <v>-0.19277130000000001</v>
      </c>
      <c r="U8566">
        <v>-0.85433959999999998</v>
      </c>
      <c r="V8566">
        <v>-2.7845200000000001E-2</v>
      </c>
      <c r="W8566">
        <v>9.1893019999999999E-3</v>
      </c>
      <c r="X8566">
        <v>0.99956999999999996</v>
      </c>
      <c r="Y8566">
        <v>-0.2614765</v>
      </c>
      <c r="Z8566">
        <v>3.9503650000000001E-2</v>
      </c>
      <c r="AA8566">
        <v>0.96440110000000001</v>
      </c>
      <c r="AB8566">
        <v>18</v>
      </c>
      <c r="AC8566">
        <v>17.014299999999899</v>
      </c>
      <c r="AD8566">
        <v>-1.1111085363869999</v>
      </c>
      <c r="AE8566">
        <v>-4.8748999999999896</v>
      </c>
      <c r="AF8566">
        <v>-4.6576415219926801</v>
      </c>
      <c r="AG8566">
        <v>-1.1111085363869999</v>
      </c>
      <c r="AH8566">
        <v>17.003024024128401</v>
      </c>
      <c r="AI8566">
        <v>93.606343051256204</v>
      </c>
      <c r="AJ8566">
        <v>105.319249398292</v>
      </c>
      <c r="AK8566">
        <v>17.664399584817801</v>
      </c>
      <c r="AL8566">
        <v>89.473484364046996</v>
      </c>
      <c r="AM8566">
        <v>91.595686084833105</v>
      </c>
      <c r="AN8566">
        <v>0.99999999166714304</v>
      </c>
    </row>
    <row r="8567" spans="1:40" x14ac:dyDescent="0.25">
      <c r="A8567" t="str">
        <f>"20190312154128284"</f>
        <v>20190312154128284</v>
      </c>
      <c r="B8567" t="str">
        <f>"1552376488275187"</f>
        <v>1552376488275187</v>
      </c>
      <c r="C8567" t="s">
        <v>40</v>
      </c>
      <c r="D8567">
        <v>4.13354</v>
      </c>
      <c r="E8567">
        <v>0.4095684</v>
      </c>
      <c r="F8567" t="s">
        <v>94</v>
      </c>
      <c r="G8567">
        <v>-272.76530000000002</v>
      </c>
      <c r="H8567" s="1">
        <v>-1.4081600000000001E-6</v>
      </c>
      <c r="I8567">
        <v>-56.133659999999999</v>
      </c>
      <c r="J8567">
        <v>-289.97579999999999</v>
      </c>
      <c r="K8567">
        <v>1.111054</v>
      </c>
      <c r="L8567">
        <v>-51.190370000000001</v>
      </c>
      <c r="M8567">
        <v>0.85485800000000001</v>
      </c>
      <c r="N8567">
        <v>0</v>
      </c>
      <c r="O8567">
        <v>-0.51866789999999996</v>
      </c>
      <c r="P8567">
        <v>0.86880759999999901</v>
      </c>
      <c r="Q8567">
        <v>-4.7987500000000001E-3</v>
      </c>
      <c r="R8567">
        <v>-0.49512669999999998</v>
      </c>
      <c r="S8567">
        <v>2.9648439999999998</v>
      </c>
      <c r="T8567">
        <v>-0.1905569</v>
      </c>
      <c r="U8567">
        <v>-0.85556030000000005</v>
      </c>
      <c r="V8567">
        <v>-2.7379489999999999E-2</v>
      </c>
      <c r="W8567">
        <v>9.3433119999999995E-3</v>
      </c>
      <c r="X8567">
        <v>0.99958150000000001</v>
      </c>
      <c r="Y8567">
        <v>-0.25999139999999998</v>
      </c>
      <c r="Z8567">
        <v>3.8972079999999999E-2</v>
      </c>
      <c r="AA8567">
        <v>0.96482409999999996</v>
      </c>
      <c r="AB8567">
        <v>18</v>
      </c>
      <c r="AC8567">
        <v>17.2104999999999</v>
      </c>
      <c r="AD8567">
        <v>-1.1110554081599999</v>
      </c>
      <c r="AE8567">
        <v>-4.9432899999999904</v>
      </c>
      <c r="AF8567">
        <v>-4.6831663017854304</v>
      </c>
      <c r="AG8567">
        <v>-1.1110554081599999</v>
      </c>
      <c r="AH8567">
        <v>17.2119341243198</v>
      </c>
      <c r="AI8567">
        <v>93.564177754038795</v>
      </c>
      <c r="AJ8567">
        <v>105.22103856644</v>
      </c>
      <c r="AK8567">
        <v>17.872245718714399</v>
      </c>
      <c r="AL8567">
        <v>89.4646598957614</v>
      </c>
      <c r="AM8567">
        <v>91.568993702079695</v>
      </c>
      <c r="AN8567">
        <v>1.00000005454701</v>
      </c>
    </row>
    <row r="8568" spans="1:40" x14ac:dyDescent="0.25">
      <c r="A8568" t="str">
        <f>"20190312154128295"</f>
        <v>20190312154128295</v>
      </c>
      <c r="B8568" t="str">
        <f>"1552376488284947"</f>
        <v>1552376488284947</v>
      </c>
      <c r="C8568" t="s">
        <v>40</v>
      </c>
      <c r="D8568">
        <v>4.1247069999999999</v>
      </c>
      <c r="E8568">
        <v>0.40998269999999998</v>
      </c>
      <c r="F8568" t="s">
        <v>94</v>
      </c>
      <c r="G8568">
        <v>-272.96510000000001</v>
      </c>
      <c r="H8568" s="1">
        <v>-1.490125E-6</v>
      </c>
      <c r="I8568">
        <v>-56.088619999999999</v>
      </c>
      <c r="J8568">
        <v>-289.89839999999998</v>
      </c>
      <c r="K8568">
        <v>1.1110009999999999</v>
      </c>
      <c r="L8568">
        <v>-51.235900000000001</v>
      </c>
      <c r="M8568">
        <v>0.85539730000000003</v>
      </c>
      <c r="N8568">
        <v>0</v>
      </c>
      <c r="O8568">
        <v>-0.51777850000000003</v>
      </c>
      <c r="P8568">
        <v>0.86922929999999998</v>
      </c>
      <c r="Q8568">
        <v>-4.2988260000000004E-3</v>
      </c>
      <c r="R8568">
        <v>-0.49439080000000002</v>
      </c>
      <c r="S8568">
        <v>2.965363</v>
      </c>
      <c r="T8568">
        <v>-0.19368340000000001</v>
      </c>
      <c r="U8568">
        <v>-0.85388180000000002</v>
      </c>
      <c r="V8568">
        <v>-2.718775E-2</v>
      </c>
      <c r="W8568">
        <v>9.8387240000000001E-3</v>
      </c>
      <c r="X8568">
        <v>0.99958190000000002</v>
      </c>
      <c r="Y8568">
        <v>-0.25949410000000001</v>
      </c>
      <c r="Z8568">
        <v>3.9544290000000003E-2</v>
      </c>
      <c r="AA8568">
        <v>0.96493479999999998</v>
      </c>
      <c r="AB8568">
        <v>18</v>
      </c>
      <c r="AC8568">
        <v>16.9332999999999</v>
      </c>
      <c r="AD8568">
        <v>-1.111002490125</v>
      </c>
      <c r="AE8568">
        <v>-4.8527199999999899</v>
      </c>
      <c r="AF8568">
        <v>-4.5988644279680004</v>
      </c>
      <c r="AG8568">
        <v>-1.111002490125</v>
      </c>
      <c r="AH8568">
        <v>16.931685859075699</v>
      </c>
      <c r="AI8568">
        <v>93.623277883198895</v>
      </c>
      <c r="AJ8568">
        <v>105.195673769091</v>
      </c>
      <c r="AK8568">
        <v>17.5802692411214</v>
      </c>
      <c r="AL8568">
        <v>89.436273529561504</v>
      </c>
      <c r="AM8568">
        <v>91.558010768704307</v>
      </c>
      <c r="AN8568">
        <v>0.99999997452380995</v>
      </c>
    </row>
    <row r="8569" spans="1:40" x14ac:dyDescent="0.25">
      <c r="A8569" t="str">
        <f>"20190312154128307"</f>
        <v>20190312154128307</v>
      </c>
      <c r="B8569" t="str">
        <f>"1552376488294706"</f>
        <v>1552376488294706</v>
      </c>
      <c r="C8569" t="s">
        <v>40</v>
      </c>
      <c r="D8569">
        <v>4.1165880000000001</v>
      </c>
      <c r="E8569">
        <v>0.41037940000000001</v>
      </c>
      <c r="F8569" t="s">
        <v>94</v>
      </c>
      <c r="G8569">
        <v>-272.6567</v>
      </c>
      <c r="H8569" s="1">
        <v>-1.3493599999999999E-6</v>
      </c>
      <c r="I8569">
        <v>-56.204239999999999</v>
      </c>
      <c r="J8569">
        <v>-289.82209999999998</v>
      </c>
      <c r="K8569">
        <v>1.1109610000000001</v>
      </c>
      <c r="L8569">
        <v>-51.280790000000003</v>
      </c>
      <c r="M8569">
        <v>0.85588809999999904</v>
      </c>
      <c r="N8569">
        <v>0</v>
      </c>
      <c r="O8569">
        <v>-0.51696679999999995</v>
      </c>
      <c r="P8569">
        <v>0.8693128</v>
      </c>
      <c r="Q8569">
        <v>-4.1798089999999996E-3</v>
      </c>
      <c r="R8569">
        <v>-0.49424509999999999</v>
      </c>
      <c r="S8569">
        <v>2.9645079999999999</v>
      </c>
      <c r="T8569">
        <v>-0.1910239</v>
      </c>
      <c r="U8569">
        <v>-0.85424800000000001</v>
      </c>
      <c r="V8569">
        <v>-2.640603E-2</v>
      </c>
      <c r="W8569">
        <v>9.9545899999999993E-3</v>
      </c>
      <c r="X8569">
        <v>0.99960170000000004</v>
      </c>
      <c r="Y8569">
        <v>-0.25843450000000001</v>
      </c>
      <c r="Z8569">
        <v>3.8935860000000003E-2</v>
      </c>
      <c r="AA8569">
        <v>0.96524379999999999</v>
      </c>
      <c r="AB8569">
        <v>18</v>
      </c>
      <c r="AC8569">
        <v>17.165399999999899</v>
      </c>
      <c r="AD8569">
        <v>-1.11096234936</v>
      </c>
      <c r="AE8569">
        <v>-4.9234499999999999</v>
      </c>
      <c r="AF8569">
        <v>-4.6425193716399704</v>
      </c>
      <c r="AG8569">
        <v>-1.11096234936</v>
      </c>
      <c r="AH8569">
        <v>17.172190123708599</v>
      </c>
      <c r="AI8569">
        <v>93.573671133753805</v>
      </c>
      <c r="AJ8569">
        <v>105.12831968527099</v>
      </c>
      <c r="AK8569">
        <v>17.823336867784999</v>
      </c>
      <c r="AL8569">
        <v>89.429634566300805</v>
      </c>
      <c r="AM8569">
        <v>91.513204999159797</v>
      </c>
      <c r="AN8569">
        <v>0.99999996546265801</v>
      </c>
    </row>
    <row r="8570" spans="1:40" x14ac:dyDescent="0.25">
      <c r="A8570" t="str">
        <f>"20190312154128320"</f>
        <v>20190312154128320</v>
      </c>
      <c r="B8570" t="str">
        <f>"1552376488315202"</f>
        <v>1552376488315202</v>
      </c>
      <c r="C8570" t="s">
        <v>40</v>
      </c>
      <c r="D8570">
        <v>4.0426970000000004</v>
      </c>
      <c r="E8570">
        <v>0.41063509999999998</v>
      </c>
      <c r="F8570" t="s">
        <v>94</v>
      </c>
      <c r="G8570">
        <v>-272.46640000000002</v>
      </c>
      <c r="H8570" s="1">
        <v>-1.2557619999999999E-6</v>
      </c>
      <c r="I8570">
        <v>-56.2973</v>
      </c>
      <c r="J8570">
        <v>-289.7373</v>
      </c>
      <c r="K8570">
        <v>1.1109180000000001</v>
      </c>
      <c r="L8570">
        <v>-51.330629999999999</v>
      </c>
      <c r="M8570">
        <v>0.85641990000000001</v>
      </c>
      <c r="N8570">
        <v>0</v>
      </c>
      <c r="O8570">
        <v>-0.51608589999999999</v>
      </c>
      <c r="P8570">
        <v>0.86963199999999996</v>
      </c>
      <c r="Q8570">
        <v>-4.1601370000000004E-3</v>
      </c>
      <c r="R8570">
        <v>-0.4936837</v>
      </c>
      <c r="S8570">
        <v>2.963165</v>
      </c>
      <c r="T8570">
        <v>-0.18967629999999999</v>
      </c>
      <c r="U8570">
        <v>-0.85647580000000001</v>
      </c>
      <c r="V8570">
        <v>-2.6022320000000002E-2</v>
      </c>
      <c r="W8570">
        <v>9.9698479999999999E-3</v>
      </c>
      <c r="X8570">
        <v>0.99961160000000004</v>
      </c>
      <c r="Y8570">
        <v>-0.25667659999999998</v>
      </c>
      <c r="Z8570">
        <v>3.8571689999999999E-2</v>
      </c>
      <c r="AA8570">
        <v>0.96572740000000001</v>
      </c>
      <c r="AB8570">
        <v>18</v>
      </c>
      <c r="AC8570">
        <v>17.270899999999902</v>
      </c>
      <c r="AD8570">
        <v>-1.110919255762</v>
      </c>
      <c r="AE8570">
        <v>-4.9666699999999997</v>
      </c>
      <c r="AF8570">
        <v>-4.6424388716230096</v>
      </c>
      <c r="AG8570">
        <v>-1.110919255762</v>
      </c>
      <c r="AH8570">
        <v>17.290036225827301</v>
      </c>
      <c r="AI8570">
        <v>93.550881860161795</v>
      </c>
      <c r="AJ8570">
        <v>105.029639113594</v>
      </c>
      <c r="AK8570">
        <v>17.936881918549801</v>
      </c>
      <c r="AL8570">
        <v>89.428760297866006</v>
      </c>
      <c r="AM8570">
        <v>91.491211628926607</v>
      </c>
      <c r="AN8570">
        <v>0.99999995493094096</v>
      </c>
    </row>
    <row r="8571" spans="1:40" x14ac:dyDescent="0.25">
      <c r="A8571" t="str">
        <f>"20190312154128331"</f>
        <v>20190312154128331</v>
      </c>
      <c r="B8571" t="str">
        <f>"1552376488324962"</f>
        <v>1552376488324962</v>
      </c>
      <c r="C8571" t="s">
        <v>40</v>
      </c>
      <c r="D8571">
        <v>4.0911910000000002</v>
      </c>
      <c r="E8571">
        <v>0.41068939999999998</v>
      </c>
      <c r="F8571" t="s">
        <v>94</v>
      </c>
      <c r="G8571">
        <v>-272.27640000000002</v>
      </c>
      <c r="H8571" s="1">
        <v>-1.166546E-6</v>
      </c>
      <c r="I8571">
        <v>-56.376559999999998</v>
      </c>
      <c r="J8571">
        <v>-289.6508</v>
      </c>
      <c r="K8571">
        <v>1.1108789999999999</v>
      </c>
      <c r="L8571">
        <v>-51.381410000000002</v>
      </c>
      <c r="M8571">
        <v>0.85692040000000003</v>
      </c>
      <c r="N8571">
        <v>0</v>
      </c>
      <c r="O8571">
        <v>-0.51525429999999905</v>
      </c>
      <c r="P8571">
        <v>0.86974560000000001</v>
      </c>
      <c r="Q8571">
        <v>-3.8699910000000001E-3</v>
      </c>
      <c r="R8571">
        <v>-0.49348550000000002</v>
      </c>
      <c r="S8571">
        <v>2.962799</v>
      </c>
      <c r="T8571">
        <v>-0.18850239999999999</v>
      </c>
      <c r="U8571">
        <v>-0.856201199999999</v>
      </c>
      <c r="V8571">
        <v>-2.5279619999999999E-2</v>
      </c>
      <c r="W8571">
        <v>1.0256410000000001E-2</v>
      </c>
      <c r="X8571">
        <v>0.99962779999999996</v>
      </c>
      <c r="Y8571">
        <v>-0.25580819999999999</v>
      </c>
      <c r="Z8571">
        <v>3.8268129999999997E-2</v>
      </c>
      <c r="AA8571">
        <v>0.96596990000000005</v>
      </c>
      <c r="AB8571">
        <v>18</v>
      </c>
      <c r="AC8571">
        <v>17.374399999999898</v>
      </c>
      <c r="AD8571">
        <v>-1.110880166546</v>
      </c>
      <c r="AE8571">
        <v>-4.9951499999999998</v>
      </c>
      <c r="AF8571">
        <v>-4.6546808829469501</v>
      </c>
      <c r="AG8571">
        <v>-1.110880166546</v>
      </c>
      <c r="AH8571">
        <v>17.398305789381901</v>
      </c>
      <c r="AI8571">
        <v>93.529568342457793</v>
      </c>
      <c r="AJ8571">
        <v>104.977933209165</v>
      </c>
      <c r="AK8571">
        <v>18.044421664529299</v>
      </c>
      <c r="AL8571">
        <v>89.412340688254702</v>
      </c>
      <c r="AM8571">
        <v>91.448646067297602</v>
      </c>
      <c r="AN8571">
        <v>0.99999999583313604</v>
      </c>
    </row>
    <row r="8572" spans="1:40" x14ac:dyDescent="0.25">
      <c r="A8572" t="str">
        <f>"20190312154128345"</f>
        <v>20190312154128345</v>
      </c>
      <c r="B8572" t="str">
        <f>"1552376488334722"</f>
        <v>1552376488334722</v>
      </c>
      <c r="C8572" t="s">
        <v>40</v>
      </c>
      <c r="D8572">
        <v>4.1042820000000004</v>
      </c>
      <c r="E8572">
        <v>0.4124333</v>
      </c>
      <c r="F8572" t="s">
        <v>42</v>
      </c>
      <c r="G8572">
        <v>-269.8646</v>
      </c>
      <c r="H8572" s="1">
        <v>-3.8196489999999997E-6</v>
      </c>
      <c r="I8572">
        <v>-57.099800000000002</v>
      </c>
      <c r="J8572">
        <v>-289.55369999999999</v>
      </c>
      <c r="K8572">
        <v>1.1108450000000001</v>
      </c>
      <c r="L8572">
        <v>-51.43835</v>
      </c>
      <c r="M8572">
        <v>0.85745389999999999</v>
      </c>
      <c r="N8572">
        <v>0</v>
      </c>
      <c r="O8572">
        <v>-0.51436629999999905</v>
      </c>
      <c r="P8572">
        <v>0.86949240000000005</v>
      </c>
      <c r="Q8572">
        <v>-3.4714709999999998E-3</v>
      </c>
      <c r="R8572">
        <v>-0.4939347</v>
      </c>
      <c r="S8572">
        <v>2.9627080000000001</v>
      </c>
      <c r="T8572">
        <v>-0.1663395</v>
      </c>
      <c r="U8572">
        <v>-0.85626219999999997</v>
      </c>
      <c r="V8572">
        <v>-2.3727959999999999E-2</v>
      </c>
      <c r="W8572">
        <v>1.0651209999999999E-2</v>
      </c>
      <c r="X8572">
        <v>0.99966169999999999</v>
      </c>
      <c r="Y8572">
        <v>-0.2550732</v>
      </c>
      <c r="Z8572">
        <v>3.3715719999999998E-2</v>
      </c>
      <c r="AA8572">
        <v>0.96633369999999996</v>
      </c>
      <c r="AB8572">
        <v>18</v>
      </c>
      <c r="AC8572">
        <v>19.6891</v>
      </c>
      <c r="AD8572">
        <v>-1.1108488196490001</v>
      </c>
      <c r="AE8572">
        <v>-5.6614500000000003</v>
      </c>
      <c r="AF8572">
        <v>-5.2580457968843302</v>
      </c>
      <c r="AG8572">
        <v>-1.1108488196490001</v>
      </c>
      <c r="AH8572">
        <v>19.738502998246101</v>
      </c>
      <c r="AI8572">
        <v>93.112783771916199</v>
      </c>
      <c r="AJ8572">
        <v>104.916361906823</v>
      </c>
      <c r="AK8572">
        <v>20.457016676779102</v>
      </c>
      <c r="AL8572">
        <v>89.389719074234904</v>
      </c>
      <c r="AM8572">
        <v>91.359716727810493</v>
      </c>
      <c r="AN8572">
        <v>0.99999998940355705</v>
      </c>
    </row>
    <row r="8573" spans="1:40" x14ac:dyDescent="0.25">
      <c r="A8573" t="str">
        <f>"20190312154128361"</f>
        <v>20190312154128361</v>
      </c>
      <c r="B8573" t="str">
        <f>"1552376488355218"</f>
        <v>1552376488355218</v>
      </c>
      <c r="C8573" t="s">
        <v>40</v>
      </c>
      <c r="D8573">
        <v>4.1035360000000001</v>
      </c>
      <c r="E8573">
        <v>0.41545179999999998</v>
      </c>
      <c r="F8573" t="s">
        <v>42</v>
      </c>
      <c r="G8573">
        <v>-268.36200000000002</v>
      </c>
      <c r="H8573" s="1">
        <v>-3.0728489999999999E-6</v>
      </c>
      <c r="I8573">
        <v>-57.675919999999998</v>
      </c>
      <c r="J8573">
        <v>-289.44929999999999</v>
      </c>
      <c r="K8573">
        <v>1.1108150000000001</v>
      </c>
      <c r="L8573">
        <v>-51.499450000000003</v>
      </c>
      <c r="M8573">
        <v>0.85799720000000002</v>
      </c>
      <c r="N8573">
        <v>0</v>
      </c>
      <c r="O8573">
        <v>-0.51345940000000001</v>
      </c>
      <c r="P8573">
        <v>0.86949739999999998</v>
      </c>
      <c r="Q8573">
        <v>-3.175111E-3</v>
      </c>
      <c r="R8573">
        <v>-0.49392750000000002</v>
      </c>
      <c r="S8573">
        <v>2.955505</v>
      </c>
      <c r="T8573">
        <v>-0.1549249</v>
      </c>
      <c r="U8573">
        <v>-0.86993410000000004</v>
      </c>
      <c r="V8573">
        <v>-2.2679189999999998E-2</v>
      </c>
      <c r="W8573">
        <v>1.0942540000000001E-2</v>
      </c>
      <c r="X8573">
        <v>0.99968290000000004</v>
      </c>
      <c r="Y8573">
        <v>-0.2494401</v>
      </c>
      <c r="Z8573">
        <v>3.1267339999999998E-2</v>
      </c>
      <c r="AA8573">
        <v>0.96788529999999995</v>
      </c>
      <c r="AB8573">
        <v>18</v>
      </c>
      <c r="AC8573">
        <v>21.0872999999999</v>
      </c>
      <c r="AD8573">
        <v>-1.11081807284899</v>
      </c>
      <c r="AE8573">
        <v>-6.1764699999999904</v>
      </c>
      <c r="AF8573">
        <v>-5.5145389006953103</v>
      </c>
      <c r="AG8573">
        <v>-1.11081807284899</v>
      </c>
      <c r="AH8573">
        <v>21.212129979126999</v>
      </c>
      <c r="AI8573">
        <v>92.901406820537701</v>
      </c>
      <c r="AJ8573">
        <v>104.572660472351</v>
      </c>
      <c r="AK8573">
        <v>21.9453529096624</v>
      </c>
      <c r="AL8573">
        <v>89.373026123620093</v>
      </c>
      <c r="AM8573">
        <v>91.299611119920002</v>
      </c>
      <c r="AN8573">
        <v>0.99999999269655804</v>
      </c>
    </row>
    <row r="8574" spans="1:40" x14ac:dyDescent="0.25">
      <c r="A8574" t="str">
        <f>"20190312154128373"</f>
        <v>20190312154128373</v>
      </c>
      <c r="B8574" t="str">
        <f>"1552376488364978"</f>
        <v>1552376488364978</v>
      </c>
      <c r="C8574" t="s">
        <v>40</v>
      </c>
      <c r="D8574">
        <v>4.0967310000000001</v>
      </c>
      <c r="E8574">
        <v>0.41661789999999999</v>
      </c>
      <c r="F8574" t="s">
        <v>42</v>
      </c>
      <c r="G8574">
        <v>-266.61649999999997</v>
      </c>
      <c r="H8574" s="1">
        <v>-2.1936679999999998E-6</v>
      </c>
      <c r="I8574">
        <v>-58.410899999999998</v>
      </c>
      <c r="J8574">
        <v>-289.36</v>
      </c>
      <c r="K8574">
        <v>1.110792</v>
      </c>
      <c r="L8574">
        <v>-51.551729999999999</v>
      </c>
      <c r="M8574">
        <v>0.85843549999999902</v>
      </c>
      <c r="N8574">
        <v>0</v>
      </c>
      <c r="O8574">
        <v>-0.51272680000000004</v>
      </c>
      <c r="P8574">
        <v>0.86946049999999997</v>
      </c>
      <c r="Q8574">
        <v>-2.8904930000000001E-3</v>
      </c>
      <c r="R8574">
        <v>-0.4939944</v>
      </c>
      <c r="S8574">
        <v>2.9435730000000002</v>
      </c>
      <c r="T8574">
        <v>-0.14320479999999899</v>
      </c>
      <c r="U8574">
        <v>-0.89102169999999903</v>
      </c>
      <c r="V8574">
        <v>-2.17491E-2</v>
      </c>
      <c r="W8574">
        <v>1.122338E-2</v>
      </c>
      <c r="X8574">
        <v>0.99970049999999999</v>
      </c>
      <c r="Y8574">
        <v>-0.24131079999999999</v>
      </c>
      <c r="Z8574">
        <v>2.875409E-2</v>
      </c>
      <c r="AA8574">
        <v>0.97002180000000005</v>
      </c>
      <c r="AB8574">
        <v>18</v>
      </c>
      <c r="AC8574">
        <v>22.743500000000001</v>
      </c>
      <c r="AD8574">
        <v>-1.1107941936679999</v>
      </c>
      <c r="AE8574">
        <v>-6.85916999999999</v>
      </c>
      <c r="AF8574">
        <v>-5.76102715930661</v>
      </c>
      <c r="AG8574">
        <v>-1.1107941936679999</v>
      </c>
      <c r="AH8574">
        <v>22.992736110641399</v>
      </c>
      <c r="AI8574">
        <v>92.683035165936303</v>
      </c>
      <c r="AJ8574">
        <v>104.066360824988</v>
      </c>
      <c r="AK8574">
        <v>23.729500869688501</v>
      </c>
      <c r="AL8574">
        <v>89.356934217953906</v>
      </c>
      <c r="AM8574">
        <v>91.246308362507804</v>
      </c>
      <c r="AN8574">
        <v>1.00000003865484</v>
      </c>
    </row>
    <row r="8575" spans="1:40" x14ac:dyDescent="0.25">
      <c r="A8575" t="str">
        <f>"20190312154128386"</f>
        <v>20190312154128386</v>
      </c>
      <c r="B8575" t="str">
        <f>"1552376488374739"</f>
        <v>1552376488374739</v>
      </c>
      <c r="C8575" t="s">
        <v>40</v>
      </c>
      <c r="D8575">
        <v>4.0929729999999998</v>
      </c>
      <c r="E8575">
        <v>0.41754150000000001</v>
      </c>
      <c r="F8575" t="s">
        <v>95</v>
      </c>
      <c r="G8575">
        <v>-265.61849999999998</v>
      </c>
      <c r="H8575" s="1">
        <v>-1.693279E-6</v>
      </c>
      <c r="I8575">
        <v>-58.818240000000003</v>
      </c>
      <c r="J8575">
        <v>-289.2688</v>
      </c>
      <c r="K8575">
        <v>1.110771</v>
      </c>
      <c r="L8575">
        <v>-51.604979999999998</v>
      </c>
      <c r="M8575">
        <v>0.85886169999999995</v>
      </c>
      <c r="N8575">
        <v>0</v>
      </c>
      <c r="O8575">
        <v>-0.51201269999999999</v>
      </c>
      <c r="P8575">
        <v>0.86954849999999995</v>
      </c>
      <c r="Q8575">
        <v>-3.2277859999999998E-3</v>
      </c>
      <c r="R8575">
        <v>-0.49383670000000002</v>
      </c>
      <c r="S8575">
        <v>2.9388730000000001</v>
      </c>
      <c r="T8575">
        <v>-0.1375014</v>
      </c>
      <c r="U8575">
        <v>-0.89950560000000002</v>
      </c>
      <c r="V8575">
        <v>-2.1097060000000001E-2</v>
      </c>
      <c r="W8575">
        <v>1.0881989999999999E-2</v>
      </c>
      <c r="X8575">
        <v>0.9997182</v>
      </c>
      <c r="Y8575">
        <v>-0.23757039999999999</v>
      </c>
      <c r="Z8575">
        <v>2.752375E-2</v>
      </c>
      <c r="AA8575">
        <v>0.97098030000000002</v>
      </c>
      <c r="AB8575">
        <v>18</v>
      </c>
      <c r="AC8575">
        <v>23.650300000000001</v>
      </c>
      <c r="AD8575">
        <v>-1.1107726932790001</v>
      </c>
      <c r="AE8575">
        <v>-7.21326</v>
      </c>
      <c r="AF8575">
        <v>-5.9027389928088496</v>
      </c>
      <c r="AG8575">
        <v>-1.1107726932790001</v>
      </c>
      <c r="AH8575">
        <v>23.959659853150601</v>
      </c>
      <c r="AI8575">
        <v>92.577383496592503</v>
      </c>
      <c r="AJ8575">
        <v>103.83987122669301</v>
      </c>
      <c r="AK8575">
        <v>24.701041351976201</v>
      </c>
      <c r="AL8575">
        <v>89.376495588941395</v>
      </c>
      <c r="AM8575">
        <v>91.2089337866081</v>
      </c>
      <c r="AN8575">
        <v>0.999999991529121</v>
      </c>
    </row>
    <row r="8576" spans="1:40" x14ac:dyDescent="0.25">
      <c r="A8576" t="str">
        <f>"20190312154128398"</f>
        <v>20190312154128398</v>
      </c>
      <c r="B8576" t="str">
        <f>"1552376488395234"</f>
        <v>1552376488395234</v>
      </c>
      <c r="C8576" t="s">
        <v>40</v>
      </c>
      <c r="D8576">
        <v>4.1272520000000004</v>
      </c>
      <c r="E8576">
        <v>0.41888140000000001</v>
      </c>
      <c r="F8576" t="s">
        <v>95</v>
      </c>
      <c r="G8576">
        <v>-265.00729999999999</v>
      </c>
      <c r="H8576" s="1">
        <v>-1.38307E-6</v>
      </c>
      <c r="I8576">
        <v>-59.088819999999998</v>
      </c>
      <c r="J8576">
        <v>-289.1909</v>
      </c>
      <c r="K8576">
        <v>1.110752</v>
      </c>
      <c r="L8576">
        <v>-51.650509999999997</v>
      </c>
      <c r="M8576">
        <v>0.85921800000000004</v>
      </c>
      <c r="N8576">
        <v>0</v>
      </c>
      <c r="O8576">
        <v>-0.51141459999999905</v>
      </c>
      <c r="P8576">
        <v>0.86941669999999904</v>
      </c>
      <c r="Q8576">
        <v>-3.121787E-3</v>
      </c>
      <c r="R8576">
        <v>-0.49407010000000001</v>
      </c>
      <c r="S8576">
        <v>2.935333</v>
      </c>
      <c r="T8576">
        <v>-0.13438929999999999</v>
      </c>
      <c r="U8576">
        <v>-0.9054565</v>
      </c>
      <c r="V8576">
        <v>-2.013266E-2</v>
      </c>
      <c r="W8576">
        <v>1.098498E-2</v>
      </c>
      <c r="X8576">
        <v>0.99973699999999999</v>
      </c>
      <c r="Y8576">
        <v>-0.2347996</v>
      </c>
      <c r="Z8576">
        <v>2.6837199999999999E-2</v>
      </c>
      <c r="AA8576">
        <v>0.97167329999999996</v>
      </c>
      <c r="AB8576">
        <v>18</v>
      </c>
      <c r="AC8576">
        <v>24.183599999999998</v>
      </c>
      <c r="AD8576">
        <v>-1.11075338307</v>
      </c>
      <c r="AE8576">
        <v>-7.4383100000000004</v>
      </c>
      <c r="AF8576">
        <v>-5.96581507273428</v>
      </c>
      <c r="AG8576">
        <v>-1.11075338307</v>
      </c>
      <c r="AH8576">
        <v>24.538206618159599</v>
      </c>
      <c r="AI8576">
        <v>92.518530883433002</v>
      </c>
      <c r="AJ8576">
        <v>103.664830302178</v>
      </c>
      <c r="AK8576">
        <v>25.277426819111898</v>
      </c>
      <c r="AL8576">
        <v>89.370594368969705</v>
      </c>
      <c r="AM8576">
        <v>91.153663968617295</v>
      </c>
      <c r="AN8576">
        <v>1.00000003147663</v>
      </c>
    </row>
    <row r="8577" spans="1:40" x14ac:dyDescent="0.25">
      <c r="A8577" t="str">
        <f>"20190312154128408"</f>
        <v>20190312154128408</v>
      </c>
      <c r="B8577" t="str">
        <f>"1552376488404994"</f>
        <v>1552376488404994</v>
      </c>
      <c r="C8577" t="s">
        <v>40</v>
      </c>
      <c r="D8577">
        <v>4.1454029999999999</v>
      </c>
      <c r="E8577">
        <v>0.41942069999999998</v>
      </c>
      <c r="F8577" t="s">
        <v>95</v>
      </c>
      <c r="G8577">
        <v>-264.14690000000002</v>
      </c>
      <c r="H8577" s="1">
        <v>-9.4496640000000004E-7</v>
      </c>
      <c r="I8577">
        <v>-59.477879999999999</v>
      </c>
      <c r="J8577">
        <v>-289.11079999999998</v>
      </c>
      <c r="K8577">
        <v>1.1107370000000001</v>
      </c>
      <c r="L8577">
        <v>-51.697200000000002</v>
      </c>
      <c r="M8577">
        <v>0.85956319999999997</v>
      </c>
      <c r="N8577">
        <v>0</v>
      </c>
      <c r="O8577">
        <v>-0.51083449999999997</v>
      </c>
      <c r="P8577">
        <v>0.86939409999999895</v>
      </c>
      <c r="Q8577">
        <v>-3.451324E-3</v>
      </c>
      <c r="R8577">
        <v>-0.49410759999999998</v>
      </c>
      <c r="S8577">
        <v>2.9297179999999998</v>
      </c>
      <c r="T8577">
        <v>-0.12993959999999999</v>
      </c>
      <c r="U8577">
        <v>-0.91567989999999999</v>
      </c>
      <c r="V8577">
        <v>-1.9413360000000001E-2</v>
      </c>
      <c r="W8577">
        <v>1.065264E-2</v>
      </c>
      <c r="X8577">
        <v>0.99975480000000005</v>
      </c>
      <c r="Y8577">
        <v>-0.23056969999999999</v>
      </c>
      <c r="Z8577">
        <v>2.5866210000000001E-2</v>
      </c>
      <c r="AA8577">
        <v>0.97271200000000002</v>
      </c>
      <c r="AB8577">
        <v>18</v>
      </c>
      <c r="AC8577">
        <v>24.963899999999899</v>
      </c>
      <c r="AD8577">
        <v>-1.1107379449663899</v>
      </c>
      <c r="AE8577">
        <v>-7.7806800000000003</v>
      </c>
      <c r="AF8577">
        <v>-6.0541152345920901</v>
      </c>
      <c r="AG8577">
        <v>-1.1107379449663899</v>
      </c>
      <c r="AH8577">
        <v>25.389410353809701</v>
      </c>
      <c r="AI8577">
        <v>92.436751435961298</v>
      </c>
      <c r="AJ8577">
        <v>103.41175417502799</v>
      </c>
      <c r="AK8577">
        <v>26.124858050719599</v>
      </c>
      <c r="AL8577">
        <v>89.389637148401604</v>
      </c>
      <c r="AM8577">
        <v>91.112436592235795</v>
      </c>
      <c r="AN8577">
        <v>1.00000000870424</v>
      </c>
    </row>
    <row r="8578" spans="1:40" x14ac:dyDescent="0.25">
      <c r="A8578" t="str">
        <f>"20190312154128420"</f>
        <v>20190312154128420</v>
      </c>
      <c r="B8578" t="str">
        <f>"1552376488414755"</f>
        <v>1552376488414755</v>
      </c>
      <c r="C8578" t="s">
        <v>40</v>
      </c>
      <c r="D8578">
        <v>4.1135769999999896</v>
      </c>
      <c r="E8578">
        <v>0.41991909999999999</v>
      </c>
      <c r="F8578" t="s">
        <v>42</v>
      </c>
      <c r="G8578">
        <v>-264.18630000000002</v>
      </c>
      <c r="H8578" s="1">
        <v>-9.5337349999999996E-7</v>
      </c>
      <c r="I8578">
        <v>-59.525759999999998</v>
      </c>
      <c r="J8578">
        <v>-289.03320000000002</v>
      </c>
      <c r="K8578">
        <v>1.1107209999999901</v>
      </c>
      <c r="L8578">
        <v>-51.742400000000004</v>
      </c>
      <c r="M8578">
        <v>0.85989199999999999</v>
      </c>
      <c r="N8578">
        <v>0</v>
      </c>
      <c r="O8578">
        <v>-0.51028079999999998</v>
      </c>
      <c r="P8578">
        <v>0.86943250000000005</v>
      </c>
      <c r="Q8578">
        <v>-4.2322169999999999E-3</v>
      </c>
      <c r="R8578">
        <v>-0.49403399999999997</v>
      </c>
      <c r="S8578">
        <v>2.9275509999999998</v>
      </c>
      <c r="T8578">
        <v>-0.13046379999999999</v>
      </c>
      <c r="U8578">
        <v>-0.91952509999999998</v>
      </c>
      <c r="V8578">
        <v>-1.885098E-2</v>
      </c>
      <c r="W8578">
        <v>9.8678099999999994E-3</v>
      </c>
      <c r="X8578">
        <v>0.99977360000000004</v>
      </c>
      <c r="Y8578">
        <v>-0.22857089999999999</v>
      </c>
      <c r="Z8578">
        <v>2.591827E-2</v>
      </c>
      <c r="AA8578">
        <v>0.9731822</v>
      </c>
      <c r="AB8578">
        <v>18</v>
      </c>
      <c r="AC8578">
        <v>24.846900000000002</v>
      </c>
      <c r="AD8578">
        <v>-1.11072195337349</v>
      </c>
      <c r="AE8578">
        <v>-7.7833599999999903</v>
      </c>
      <c r="AF8578">
        <v>-5.9757690193080597</v>
      </c>
      <c r="AG8578">
        <v>-1.11072195337349</v>
      </c>
      <c r="AH8578">
        <v>25.293845682912799</v>
      </c>
      <c r="AI8578">
        <v>92.447117588545595</v>
      </c>
      <c r="AJ8578">
        <v>103.29261399652501</v>
      </c>
      <c r="AK8578">
        <v>26.013883755810699</v>
      </c>
      <c r="AL8578">
        <v>89.434606953560404</v>
      </c>
      <c r="AM8578">
        <v>91.080198180833605</v>
      </c>
      <c r="AN8578">
        <v>0.999999992189058</v>
      </c>
    </row>
    <row r="8579" spans="1:40" x14ac:dyDescent="0.25">
      <c r="A8579" t="str">
        <f>"20190312154128432"</f>
        <v>20190312154128432</v>
      </c>
      <c r="B8579" t="str">
        <f>"1552376488424514"</f>
        <v>1552376488424514</v>
      </c>
      <c r="C8579" t="s">
        <v>40</v>
      </c>
      <c r="D8579">
        <v>4.0875820000000003</v>
      </c>
      <c r="E8579">
        <v>0.42044039999999999</v>
      </c>
      <c r="F8579" t="s">
        <v>95</v>
      </c>
      <c r="G8579">
        <v>-264.17059999999998</v>
      </c>
      <c r="H8579" s="1">
        <v>-9.3620470000000003E-7</v>
      </c>
      <c r="I8579">
        <v>-59.584400000000002</v>
      </c>
      <c r="J8579">
        <v>-288.9545</v>
      </c>
      <c r="K8579">
        <v>1.110708</v>
      </c>
      <c r="L8579">
        <v>-51.788269999999997</v>
      </c>
      <c r="M8579">
        <v>0.86021399999999903</v>
      </c>
      <c r="N8579">
        <v>0</v>
      </c>
      <c r="O8579">
        <v>-0.50973780000000002</v>
      </c>
      <c r="P8579">
        <v>0.86941119999999905</v>
      </c>
      <c r="Q8579">
        <v>-4.9911549999999997E-3</v>
      </c>
      <c r="R8579">
        <v>-0.49406430000000001</v>
      </c>
      <c r="S8579">
        <v>2.9255369999999998</v>
      </c>
      <c r="T8579">
        <v>-0.13069629999999999</v>
      </c>
      <c r="U8579">
        <v>-0.92276000000000002</v>
      </c>
      <c r="V8579">
        <v>-1.8181780000000002E-2</v>
      </c>
      <c r="W8579">
        <v>9.1063350000000001E-3</v>
      </c>
      <c r="X8579">
        <v>0.99979320000000005</v>
      </c>
      <c r="Y8579">
        <v>-0.2267846</v>
      </c>
      <c r="Z8579">
        <v>2.591686E-2</v>
      </c>
      <c r="AA8579">
        <v>0.97360000000000002</v>
      </c>
      <c r="AB8579">
        <v>18</v>
      </c>
      <c r="AC8579">
        <v>24.783899999999999</v>
      </c>
      <c r="AD8579">
        <v>-1.1107089362047</v>
      </c>
      <c r="AE8579">
        <v>-7.79612999999999</v>
      </c>
      <c r="AF8579">
        <v>-5.9167275905650802</v>
      </c>
      <c r="AG8579">
        <v>-1.1107089362047</v>
      </c>
      <c r="AH8579">
        <v>25.249813379466499</v>
      </c>
      <c r="AI8579">
        <v>92.452402846066605</v>
      </c>
      <c r="AJ8579">
        <v>103.18803503571399</v>
      </c>
      <c r="AK8579">
        <v>25.9575502584471</v>
      </c>
      <c r="AL8579">
        <v>89.478238211996896</v>
      </c>
      <c r="AM8579">
        <v>91.041839894092206</v>
      </c>
      <c r="AN8579">
        <v>0.99999997261367002</v>
      </c>
    </row>
    <row r="8580" spans="1:40" x14ac:dyDescent="0.25">
      <c r="A8580" t="str">
        <f>"20190312154128443"</f>
        <v>20190312154128443</v>
      </c>
      <c r="B8580" t="str">
        <f>"1552376488435249"</f>
        <v>1552376488435249</v>
      </c>
      <c r="C8580" t="s">
        <v>40</v>
      </c>
      <c r="D8580">
        <v>4.1023100000000001</v>
      </c>
      <c r="E8580">
        <v>0.42091400000000001</v>
      </c>
      <c r="F8580" t="s">
        <v>42</v>
      </c>
      <c r="G8580">
        <v>-264.34899999999999</v>
      </c>
      <c r="H8580" s="1">
        <v>-1.012491E-6</v>
      </c>
      <c r="I8580">
        <v>-59.585970000000003</v>
      </c>
      <c r="J8580">
        <v>-288.87580000000003</v>
      </c>
      <c r="K8580">
        <v>1.110697</v>
      </c>
      <c r="L8580">
        <v>-51.83408</v>
      </c>
      <c r="M8580">
        <v>0.86052819999999997</v>
      </c>
      <c r="N8580">
        <v>0</v>
      </c>
      <c r="O8580">
        <v>-0.50920730000000003</v>
      </c>
      <c r="P8580">
        <v>0.86954599999999904</v>
      </c>
      <c r="Q8580">
        <v>-5.6275930000000002E-3</v>
      </c>
      <c r="R8580">
        <v>-0.4938205</v>
      </c>
      <c r="S8580">
        <v>2.9233699999999998</v>
      </c>
      <c r="T8580">
        <v>-0.13196329999999901</v>
      </c>
      <c r="U8580">
        <v>-0.92645259999999996</v>
      </c>
      <c r="V8580">
        <v>-1.7843390000000001E-2</v>
      </c>
      <c r="W8580">
        <v>8.4664459999999903E-3</v>
      </c>
      <c r="X8580">
        <v>0.99980500000000005</v>
      </c>
      <c r="Y8580">
        <v>-0.2248484</v>
      </c>
      <c r="Z8580">
        <v>2.6117419999999999E-2</v>
      </c>
      <c r="AA8580">
        <v>0.97404369999999996</v>
      </c>
      <c r="AB8580">
        <v>18</v>
      </c>
      <c r="AC8580">
        <v>24.526800000000001</v>
      </c>
      <c r="AD8580">
        <v>-1.110698012491</v>
      </c>
      <c r="AE8580">
        <v>-7.7518899999999897</v>
      </c>
      <c r="AF8580">
        <v>-5.8082556689843301</v>
      </c>
      <c r="AG8580">
        <v>-1.110698012491</v>
      </c>
      <c r="AH8580">
        <v>25.009187632029001</v>
      </c>
      <c r="AI8580">
        <v>92.477084806828401</v>
      </c>
      <c r="AJ8580">
        <v>103.074864101849</v>
      </c>
      <c r="AK8580">
        <v>25.698812229464501</v>
      </c>
      <c r="AL8580">
        <v>89.514902606793299</v>
      </c>
      <c r="AM8580">
        <v>91.022441792831202</v>
      </c>
      <c r="AN8580">
        <v>1.0000000526497801</v>
      </c>
    </row>
    <row r="8581" spans="1:40" x14ac:dyDescent="0.25">
      <c r="A8581" t="str">
        <f>"20190312154128455"</f>
        <v>20190312154128455</v>
      </c>
      <c r="B8581" t="str">
        <f>"1552376488445010"</f>
        <v>1552376488445010</v>
      </c>
      <c r="C8581" t="s">
        <v>40</v>
      </c>
      <c r="D8581">
        <v>4.116968</v>
      </c>
      <c r="E8581">
        <v>0.42131990000000002</v>
      </c>
      <c r="F8581" t="s">
        <v>42</v>
      </c>
      <c r="G8581">
        <v>-264.28750000000002</v>
      </c>
      <c r="H8581" s="1">
        <v>-9.7448900000000006E-7</v>
      </c>
      <c r="I8581">
        <v>-59.651299999999999</v>
      </c>
      <c r="J8581">
        <v>-288.7885</v>
      </c>
      <c r="K8581">
        <v>1.110684</v>
      </c>
      <c r="L8581">
        <v>-51.884860000000003</v>
      </c>
      <c r="M8581">
        <v>0.86086980000000002</v>
      </c>
      <c r="N8581">
        <v>0</v>
      </c>
      <c r="O8581">
        <v>-0.50862989999999997</v>
      </c>
      <c r="P8581">
        <v>0.86969799999999997</v>
      </c>
      <c r="Q8581">
        <v>-6.0613580000000002E-3</v>
      </c>
      <c r="R8581">
        <v>-0.49354740000000002</v>
      </c>
      <c r="S8581">
        <v>2.9217219999999999</v>
      </c>
      <c r="T8581">
        <v>-0.13197929999999999</v>
      </c>
      <c r="U8581">
        <v>-0.928894</v>
      </c>
      <c r="V8581">
        <v>-1.7483990000000001E-2</v>
      </c>
      <c r="W8581">
        <v>8.0292000000000002E-3</v>
      </c>
      <c r="X8581">
        <v>0.99981489999999995</v>
      </c>
      <c r="Y8581">
        <v>-0.22329789999999999</v>
      </c>
      <c r="Z8581">
        <v>2.607464E-2</v>
      </c>
      <c r="AA8581">
        <v>0.97440139999999997</v>
      </c>
      <c r="AB8581">
        <v>18</v>
      </c>
      <c r="AC8581">
        <v>24.500999999999902</v>
      </c>
      <c r="AD8581">
        <v>-1.1106849744889999</v>
      </c>
      <c r="AE8581">
        <v>-7.7664400000000002</v>
      </c>
      <c r="AF8581">
        <v>-5.7658547583106303</v>
      </c>
      <c r="AG8581">
        <v>-1.1106849744889999</v>
      </c>
      <c r="AH8581">
        <v>24.998223170849698</v>
      </c>
      <c r="AI8581">
        <v>92.479007869740798</v>
      </c>
      <c r="AJ8581">
        <v>102.98816234940099</v>
      </c>
      <c r="AK8581">
        <v>25.678587654037699</v>
      </c>
      <c r="AL8581">
        <v>89.539955782228006</v>
      </c>
      <c r="AM8581">
        <v>91.0018421821148</v>
      </c>
      <c r="AN8581">
        <v>0.99999999611048496</v>
      </c>
    </row>
    <row r="8582" spans="1:40" x14ac:dyDescent="0.25">
      <c r="A8582" t="str">
        <f>"20190312154128468"</f>
        <v>20190312154128468</v>
      </c>
      <c r="B8582" t="str">
        <f>"1552376488454771"</f>
        <v>1552376488454771</v>
      </c>
      <c r="C8582" t="s">
        <v>40</v>
      </c>
      <c r="D8582">
        <v>4.1236519999999999</v>
      </c>
      <c r="E8582">
        <v>0.42167310000000002</v>
      </c>
      <c r="F8582" t="s">
        <v>95</v>
      </c>
      <c r="G8582">
        <v>-264.32279999999997</v>
      </c>
      <c r="H8582" s="1">
        <v>-9.8411439999999996E-7</v>
      </c>
      <c r="I8582">
        <v>-59.68235</v>
      </c>
      <c r="J8582">
        <v>-288.70429999999999</v>
      </c>
      <c r="K8582">
        <v>1.1106750000000001</v>
      </c>
      <c r="L8582">
        <v>-51.933689999999999</v>
      </c>
      <c r="M8582">
        <v>0.86118790000000001</v>
      </c>
      <c r="N8582">
        <v>0</v>
      </c>
      <c r="O8582">
        <v>-0.50809119999999997</v>
      </c>
      <c r="P8582">
        <v>0.86994419999999995</v>
      </c>
      <c r="Q8582">
        <v>-7.0052379999999996E-3</v>
      </c>
      <c r="R8582">
        <v>-0.49310039999999999</v>
      </c>
      <c r="S8582">
        <v>2.9203489999999999</v>
      </c>
      <c r="T8582">
        <v>-0.1325769</v>
      </c>
      <c r="U8582">
        <v>-0.93075560000000002</v>
      </c>
      <c r="V8582">
        <v>-1.736731E-2</v>
      </c>
      <c r="W8582">
        <v>7.0817509999999998E-3</v>
      </c>
      <c r="X8582">
        <v>0.99982409999999999</v>
      </c>
      <c r="Y8582">
        <v>-0.2219872</v>
      </c>
      <c r="Z8582">
        <v>2.6151850000000001E-2</v>
      </c>
      <c r="AA8582">
        <v>0.97469879999999998</v>
      </c>
      <c r="AB8582">
        <v>18</v>
      </c>
      <c r="AC8582">
        <v>24.381499999999999</v>
      </c>
      <c r="AD8582">
        <v>-1.1106759841143901</v>
      </c>
      <c r="AE8582">
        <v>-7.7486599999999903</v>
      </c>
      <c r="AF8582">
        <v>-5.7047889281142101</v>
      </c>
      <c r="AG8582">
        <v>-1.1106759841143901</v>
      </c>
      <c r="AH8582">
        <v>24.889644690898599</v>
      </c>
      <c r="AI8582">
        <v>92.490574626956999</v>
      </c>
      <c r="AJ8582">
        <v>102.909403361499</v>
      </c>
      <c r="AK8582">
        <v>25.559198553460199</v>
      </c>
      <c r="AL8582">
        <v>89.594242165684093</v>
      </c>
      <c r="AM8582">
        <v>90.995148548191395</v>
      </c>
      <c r="AN8582">
        <v>1.0000000027973299</v>
      </c>
    </row>
    <row r="8583" spans="1:40" x14ac:dyDescent="0.25">
      <c r="A8583" t="str">
        <f>"20190312154128480"</f>
        <v>20190312154128480</v>
      </c>
      <c r="B8583" t="str">
        <f>"1552376488475265"</f>
        <v>1552376488475265</v>
      </c>
      <c r="C8583" t="s">
        <v>40</v>
      </c>
      <c r="D8583">
        <v>4.1463919999999996</v>
      </c>
      <c r="E8583">
        <v>0.42222799999999999</v>
      </c>
      <c r="F8583" t="s">
        <v>95</v>
      </c>
      <c r="G8583">
        <v>-264.50749999999999</v>
      </c>
      <c r="H8583" s="1">
        <v>-1.0683049999999999E-6</v>
      </c>
      <c r="I8583">
        <v>-59.654470000000003</v>
      </c>
      <c r="J8583">
        <v>-288.62439999999998</v>
      </c>
      <c r="K8583">
        <v>1.110662</v>
      </c>
      <c r="L8583">
        <v>-51.980040000000002</v>
      </c>
      <c r="M8583">
        <v>0.86148690000000006</v>
      </c>
      <c r="N8583">
        <v>0</v>
      </c>
      <c r="O8583">
        <v>-0.50758459999999905</v>
      </c>
      <c r="P8583">
        <v>0.87016479999999996</v>
      </c>
      <c r="Q8583">
        <v>-7.4499519999999897E-3</v>
      </c>
      <c r="R8583">
        <v>-0.4927048</v>
      </c>
      <c r="S8583">
        <v>2.9194339999999999</v>
      </c>
      <c r="T8583">
        <v>-0.13400709999999999</v>
      </c>
      <c r="U8583">
        <v>-0.93154910000000002</v>
      </c>
      <c r="V8583">
        <v>-1.7231489999999999E-2</v>
      </c>
      <c r="W8583">
        <v>6.6340119999999999E-3</v>
      </c>
      <c r="X8583">
        <v>0.99982950000000004</v>
      </c>
      <c r="Y8583">
        <v>-0.22107209999999999</v>
      </c>
      <c r="Z8583">
        <v>2.6400509999999999E-2</v>
      </c>
      <c r="AA8583">
        <v>0.97490010000000005</v>
      </c>
      <c r="AB8583">
        <v>18</v>
      </c>
      <c r="AC8583">
        <v>24.116899999999902</v>
      </c>
      <c r="AD8583">
        <v>-1.1106630683050001</v>
      </c>
      <c r="AE8583">
        <v>-7.6744299999999903</v>
      </c>
      <c r="AF8583">
        <v>-5.6196812555337097</v>
      </c>
      <c r="AG8583">
        <v>-1.1106630683050001</v>
      </c>
      <c r="AH8583">
        <v>24.626832683562299</v>
      </c>
      <c r="AI8583">
        <v>92.517642039538103</v>
      </c>
      <c r="AJ8583">
        <v>102.854417108877</v>
      </c>
      <c r="AK8583">
        <v>25.2842891513538</v>
      </c>
      <c r="AL8583">
        <v>89.619896316108594</v>
      </c>
      <c r="AM8583">
        <v>90.987362264131207</v>
      </c>
      <c r="AN8583">
        <v>0.99999998171654203</v>
      </c>
    </row>
    <row r="8584" spans="1:40" x14ac:dyDescent="0.25">
      <c r="A8584" t="str">
        <f>"20190312154128490"</f>
        <v>20190312154128490</v>
      </c>
      <c r="B8584" t="str">
        <f>"1552376488485026"</f>
        <v>1552376488485026</v>
      </c>
      <c r="C8584" t="s">
        <v>40</v>
      </c>
      <c r="D8584">
        <v>4.1831959999999997</v>
      </c>
      <c r="E8584">
        <v>0.42239759999999998</v>
      </c>
      <c r="F8584" t="s">
        <v>42</v>
      </c>
      <c r="G8584">
        <v>-264.36540000000002</v>
      </c>
      <c r="H8584" s="1">
        <v>-9.9097449999999995E-7</v>
      </c>
      <c r="I8584">
        <v>-59.74691</v>
      </c>
      <c r="J8584">
        <v>-288.54669999999999</v>
      </c>
      <c r="K8584">
        <v>1.1106609999999999</v>
      </c>
      <c r="L8584">
        <v>-52.025019999999998</v>
      </c>
      <c r="M8584">
        <v>0.86177150000000002</v>
      </c>
      <c r="N8584">
        <v>0</v>
      </c>
      <c r="O8584">
        <v>-0.50710080000000002</v>
      </c>
      <c r="P8584">
        <v>0.87044659999999996</v>
      </c>
      <c r="Q8584">
        <v>-7.1401779999999996E-3</v>
      </c>
      <c r="R8584">
        <v>-0.49221150000000002</v>
      </c>
      <c r="S8584">
        <v>2.9175719999999998</v>
      </c>
      <c r="T8584">
        <v>-0.133577</v>
      </c>
      <c r="U8584">
        <v>-0.93411250000000001</v>
      </c>
      <c r="V8584">
        <v>-1.72386E-2</v>
      </c>
      <c r="W8584">
        <v>6.9401339999999997E-3</v>
      </c>
      <c r="X8584">
        <v>0.99982729999999997</v>
      </c>
      <c r="Y8584">
        <v>-0.2195724</v>
      </c>
      <c r="Z8584">
        <v>2.627546E-2</v>
      </c>
      <c r="AA8584">
        <v>0.97524230000000001</v>
      </c>
      <c r="AB8584">
        <v>18</v>
      </c>
      <c r="AC8584">
        <v>24.181299999999901</v>
      </c>
      <c r="AD8584">
        <v>-1.1106619909744999</v>
      </c>
      <c r="AE8584">
        <v>-7.7218900000000001</v>
      </c>
      <c r="AF8584">
        <v>-5.5976927203773297</v>
      </c>
      <c r="AG8584">
        <v>-1.1106619909744999</v>
      </c>
      <c r="AH8584">
        <v>24.709686715198</v>
      </c>
      <c r="AI8584">
        <v>92.510105321759298</v>
      </c>
      <c r="AJ8584">
        <v>102.764251983392</v>
      </c>
      <c r="AK8584">
        <v>25.360133111109501</v>
      </c>
      <c r="AL8584">
        <v>89.602356413351501</v>
      </c>
      <c r="AM8584">
        <v>90.9877717585955</v>
      </c>
      <c r="AN8584">
        <v>0.99999998230759302</v>
      </c>
    </row>
    <row r="8585" spans="1:40" x14ac:dyDescent="0.25">
      <c r="A8585" t="str">
        <f>"20190312154128502"</f>
        <v>20190312154128502</v>
      </c>
      <c r="B8585" t="str">
        <f>"1552376488494787"</f>
        <v>1552376488494787</v>
      </c>
      <c r="C8585" t="s">
        <v>40</v>
      </c>
      <c r="D8585">
        <v>4.1657250000000001</v>
      </c>
      <c r="E8585">
        <v>0.42262460000000002</v>
      </c>
      <c r="F8585" t="s">
        <v>42</v>
      </c>
      <c r="G8585">
        <v>-264.19290000000001</v>
      </c>
      <c r="H8585" s="1">
        <v>-9.0430349999999996E-7</v>
      </c>
      <c r="I8585">
        <v>-59.818179999999998</v>
      </c>
      <c r="J8585">
        <v>-288.47089999999997</v>
      </c>
      <c r="K8585">
        <v>1.1106609999999999</v>
      </c>
      <c r="L8585">
        <v>-52.06888</v>
      </c>
      <c r="M8585">
        <v>0.86204699999999901</v>
      </c>
      <c r="N8585">
        <v>0</v>
      </c>
      <c r="O8585">
        <v>-0.50663259999999999</v>
      </c>
      <c r="P8585">
        <v>0.87061669999999902</v>
      </c>
      <c r="Q8585">
        <v>-7.2164719999999998E-3</v>
      </c>
      <c r="R8585">
        <v>-0.4919094</v>
      </c>
      <c r="S8585">
        <v>2.9174799999999999</v>
      </c>
      <c r="T8585">
        <v>-0.13305229999999901</v>
      </c>
      <c r="U8585">
        <v>-0.93359380000000003</v>
      </c>
      <c r="V8585">
        <v>-1.7042189999999999E-2</v>
      </c>
      <c r="W8585">
        <v>6.861458E-3</v>
      </c>
      <c r="X8585">
        <v>0.99983120000000003</v>
      </c>
      <c r="Y8585">
        <v>-0.21919630000000001</v>
      </c>
      <c r="Z8585">
        <v>2.614816E-2</v>
      </c>
      <c r="AA8585">
        <v>0.97533040000000004</v>
      </c>
      <c r="AB8585">
        <v>18</v>
      </c>
      <c r="AC8585">
        <v>24.277999999999899</v>
      </c>
      <c r="AD8585">
        <v>-1.1106619043035</v>
      </c>
      <c r="AE8585">
        <v>-7.7492999999999999</v>
      </c>
      <c r="AF8585">
        <v>-5.6096682818547796</v>
      </c>
      <c r="AG8585">
        <v>-1.1106619043035</v>
      </c>
      <c r="AH8585">
        <v>24.810167828401202</v>
      </c>
      <c r="AI8585">
        <v>92.500185860119004</v>
      </c>
      <c r="AJ8585">
        <v>102.74055405935199</v>
      </c>
      <c r="AK8585">
        <v>25.460682940006802</v>
      </c>
      <c r="AL8585">
        <v>89.606864319532505</v>
      </c>
      <c r="AM8585">
        <v>90.976515849368596</v>
      </c>
      <c r="AN8585">
        <v>0.99999997216965997</v>
      </c>
    </row>
    <row r="8586" spans="1:40" x14ac:dyDescent="0.25">
      <c r="A8586" t="str">
        <f>"20190312154128512"</f>
        <v>20190312154128512</v>
      </c>
      <c r="B8586" t="str">
        <f>"1552376488504547"</f>
        <v>1552376488504547</v>
      </c>
      <c r="C8586" t="s">
        <v>40</v>
      </c>
      <c r="D8586">
        <v>4.1909179999999999</v>
      </c>
      <c r="E8586">
        <v>0.42284919999999998</v>
      </c>
      <c r="F8586" t="s">
        <v>42</v>
      </c>
      <c r="G8586">
        <v>-264.00060000000002</v>
      </c>
      <c r="H8586" s="1">
        <v>-8.0633969999999897E-7</v>
      </c>
      <c r="I8586">
        <v>-59.905560000000001</v>
      </c>
      <c r="J8586">
        <v>-288.39780000000002</v>
      </c>
      <c r="K8586">
        <v>1.110665</v>
      </c>
      <c r="L8586">
        <v>-52.111179999999997</v>
      </c>
      <c r="M8586">
        <v>0.86231059999999904</v>
      </c>
      <c r="N8586">
        <v>0</v>
      </c>
      <c r="O8586">
        <v>-0.50618370000000001</v>
      </c>
      <c r="P8586">
        <v>0.87073040000000002</v>
      </c>
      <c r="Q8586">
        <v>-7.3275709999999997E-3</v>
      </c>
      <c r="R8586">
        <v>-0.49170629999999999</v>
      </c>
      <c r="S8586">
        <v>2.9169619999999998</v>
      </c>
      <c r="T8586">
        <v>-0.1323956</v>
      </c>
      <c r="U8586">
        <v>-0.93417360000000005</v>
      </c>
      <c r="V8586">
        <v>-1.675424E-2</v>
      </c>
      <c r="W8586">
        <v>6.7474960000000004E-3</v>
      </c>
      <c r="X8586">
        <v>0.99983690000000003</v>
      </c>
      <c r="Y8586">
        <v>-0.2184691</v>
      </c>
      <c r="Z8586">
        <v>2.5989740000000001E-2</v>
      </c>
      <c r="AA8586">
        <v>0.97549770000000002</v>
      </c>
      <c r="AB8586">
        <v>18</v>
      </c>
      <c r="AC8586">
        <v>24.397200000000002</v>
      </c>
      <c r="AD8586">
        <v>-1.1106658063396999</v>
      </c>
      <c r="AE8586">
        <v>-7.7943799999999896</v>
      </c>
      <c r="AF8586">
        <v>-5.6182818191123101</v>
      </c>
      <c r="AG8586">
        <v>-1.1106658063396999</v>
      </c>
      <c r="AH8586">
        <v>24.938933852003402</v>
      </c>
      <c r="AI8586">
        <v>92.487740338277703</v>
      </c>
      <c r="AJ8586">
        <v>102.695737198567</v>
      </c>
      <c r="AK8586">
        <v>25.588065397894798</v>
      </c>
      <c r="AL8586">
        <v>89.613394034840994</v>
      </c>
      <c r="AM8586">
        <v>90.960013984536104</v>
      </c>
      <c r="AN8586">
        <v>1.00000002993092</v>
      </c>
    </row>
    <row r="8587" spans="1:40" x14ac:dyDescent="0.25">
      <c r="A8587" t="str">
        <f>"20190312154128524"</f>
        <v>20190312154128524</v>
      </c>
      <c r="B8587" t="str">
        <f>"1552376488515282"</f>
        <v>1552376488515282</v>
      </c>
      <c r="C8587" t="s">
        <v>40</v>
      </c>
      <c r="D8587">
        <v>4.2412530000000004</v>
      </c>
      <c r="E8587">
        <v>0.42307709999999998</v>
      </c>
      <c r="F8587" t="s">
        <v>42</v>
      </c>
      <c r="G8587">
        <v>-263.89729999999997</v>
      </c>
      <c r="H8587" s="1">
        <v>-7.5136040000000005E-7</v>
      </c>
      <c r="I8587">
        <v>-59.965649999999997</v>
      </c>
      <c r="J8587">
        <v>-288.32319999999999</v>
      </c>
      <c r="K8587">
        <v>1.110671</v>
      </c>
      <c r="L8587">
        <v>-52.154240000000001</v>
      </c>
      <c r="M8587">
        <v>0.86257830000000002</v>
      </c>
      <c r="N8587">
        <v>0</v>
      </c>
      <c r="O8587">
        <v>-0.5057277</v>
      </c>
      <c r="P8587">
        <v>0.87083770000000005</v>
      </c>
      <c r="Q8587">
        <v>-7.282274E-3</v>
      </c>
      <c r="R8587">
        <v>-0.49151689999999998</v>
      </c>
      <c r="S8587">
        <v>2.9163209999999999</v>
      </c>
      <c r="T8587">
        <v>-0.13220409999999999</v>
      </c>
      <c r="U8587">
        <v>-0.93493649999999995</v>
      </c>
      <c r="V8587">
        <v>-1.6443389999999999E-2</v>
      </c>
      <c r="W8587">
        <v>6.7899340000000001E-3</v>
      </c>
      <c r="X8587">
        <v>0.99984170000000006</v>
      </c>
      <c r="Y8587">
        <v>-0.21766189999999999</v>
      </c>
      <c r="Z8587">
        <v>2.5921400000000001E-2</v>
      </c>
      <c r="AA8587">
        <v>0.97567990000000004</v>
      </c>
      <c r="AB8587">
        <v>18</v>
      </c>
      <c r="AC8587">
        <v>24.425899999999999</v>
      </c>
      <c r="AD8587">
        <v>-1.1106717513604001</v>
      </c>
      <c r="AE8587">
        <v>-7.8114099999999898</v>
      </c>
      <c r="AF8587">
        <v>-5.6049442725935403</v>
      </c>
      <c r="AG8587">
        <v>-1.1106717513604001</v>
      </c>
      <c r="AH8587">
        <v>24.9753289814618</v>
      </c>
      <c r="AI8587">
        <v>92.484590863652798</v>
      </c>
      <c r="AJ8587">
        <v>102.648707672752</v>
      </c>
      <c r="AK8587">
        <v>25.620617669572098</v>
      </c>
      <c r="AL8587">
        <v>89.610962432417793</v>
      </c>
      <c r="AM8587">
        <v>90.942201071961605</v>
      </c>
      <c r="AN8587">
        <v>0.99999995666865205</v>
      </c>
    </row>
    <row r="8588" spans="1:40" x14ac:dyDescent="0.25">
      <c r="A8588" t="str">
        <f>"20190312154128546"</f>
        <v>20190312154128546</v>
      </c>
      <c r="B8588" t="str">
        <f>"1552376488534802"</f>
        <v>1552376488534802</v>
      </c>
      <c r="C8588" t="s">
        <v>40</v>
      </c>
      <c r="D8588">
        <v>4.186903</v>
      </c>
      <c r="E8588">
        <v>0.42343039999999998</v>
      </c>
      <c r="F8588" t="s">
        <v>42</v>
      </c>
      <c r="G8588">
        <v>-263.66629999999998</v>
      </c>
      <c r="H8588" s="1">
        <v>-6.3407590000000003E-7</v>
      </c>
      <c r="I8588">
        <v>-60.068170000000002</v>
      </c>
      <c r="J8588">
        <v>-288.16660000000002</v>
      </c>
      <c r="K8588">
        <v>1.11069</v>
      </c>
      <c r="L8588">
        <v>-52.244509999999998</v>
      </c>
      <c r="M8588">
        <v>0.86313859999999998</v>
      </c>
      <c r="N8588">
        <v>0</v>
      </c>
      <c r="O8588">
        <v>-0.50477079999999996</v>
      </c>
      <c r="P8588">
        <v>0.87090179999999995</v>
      </c>
      <c r="Q8588">
        <v>-7.3703930000000003E-3</v>
      </c>
      <c r="R8588">
        <v>-0.49140210000000001</v>
      </c>
      <c r="S8588">
        <v>2.9156490000000002</v>
      </c>
      <c r="T8588">
        <v>-0.1313356</v>
      </c>
      <c r="U8588">
        <v>-0.93582149999999997</v>
      </c>
      <c r="V8588">
        <v>-1.546603E-2</v>
      </c>
      <c r="W8588">
        <v>6.6969530000000003E-3</v>
      </c>
      <c r="X8588">
        <v>0.99985800000000002</v>
      </c>
      <c r="Y8588">
        <v>-0.21625530000000001</v>
      </c>
      <c r="Z8588">
        <v>2.568906E-2</v>
      </c>
      <c r="AA8588">
        <v>0.97599880000000006</v>
      </c>
      <c r="AB8588">
        <v>18</v>
      </c>
      <c r="AC8588">
        <v>24.500299999999999</v>
      </c>
      <c r="AD8588">
        <v>-1.1106906340759</v>
      </c>
      <c r="AE8588">
        <v>-7.8236599999999896</v>
      </c>
      <c r="AF8588">
        <v>-5.6042377579310196</v>
      </c>
      <c r="AG8588">
        <v>-1.1106906340759</v>
      </c>
      <c r="AH8588">
        <v>25.052075615343401</v>
      </c>
      <c r="AI8588">
        <v>92.477408704306896</v>
      </c>
      <c r="AJ8588">
        <v>102.609660987384</v>
      </c>
      <c r="AK8588">
        <v>25.695283753423102</v>
      </c>
      <c r="AL8588">
        <v>89.616290002222698</v>
      </c>
      <c r="AM8588">
        <v>90.886193420172404</v>
      </c>
      <c r="AN8588">
        <v>1.00000003371372</v>
      </c>
    </row>
    <row r="8589" spans="1:40" x14ac:dyDescent="0.25">
      <c r="A8589" t="str">
        <f>"20190312154128561"</f>
        <v>20190312154128561</v>
      </c>
      <c r="B8589" t="str">
        <f>"1552376488555298"</f>
        <v>1552376488555298</v>
      </c>
      <c r="C8589" t="s">
        <v>40</v>
      </c>
      <c r="D8589">
        <v>4.4366079999999997</v>
      </c>
      <c r="E8589">
        <v>0.423622</v>
      </c>
      <c r="F8589" t="s">
        <v>95</v>
      </c>
      <c r="G8589">
        <v>-263.4076</v>
      </c>
      <c r="H8589" s="1">
        <v>-4.9755540000000001E-7</v>
      </c>
      <c r="I8589">
        <v>-60.212009999999999</v>
      </c>
      <c r="J8589">
        <v>-288.07409999999999</v>
      </c>
      <c r="K8589">
        <v>1.110703</v>
      </c>
      <c r="L8589">
        <v>-52.297789999999999</v>
      </c>
      <c r="M8589">
        <v>0.86347019999999997</v>
      </c>
      <c r="N8589">
        <v>0</v>
      </c>
      <c r="O8589">
        <v>-0.50420350000000003</v>
      </c>
      <c r="P8589">
        <v>0.87094660000000002</v>
      </c>
      <c r="Q8589">
        <v>-7.4832619999999897E-3</v>
      </c>
      <c r="R8589">
        <v>-0.4913207</v>
      </c>
      <c r="S8589">
        <v>2.9143979999999998</v>
      </c>
      <c r="T8589">
        <v>-0.13073979999999999</v>
      </c>
      <c r="U8589">
        <v>-0.93786619999999998</v>
      </c>
      <c r="V8589">
        <v>-1.490154E-2</v>
      </c>
      <c r="W8589">
        <v>6.5810840000000001E-3</v>
      </c>
      <c r="X8589">
        <v>0.99986730000000001</v>
      </c>
      <c r="Y8589">
        <v>-0.2148777</v>
      </c>
      <c r="Z8589">
        <v>2.552838E-2</v>
      </c>
      <c r="AA8589">
        <v>0.97630729999999999</v>
      </c>
      <c r="AB8589">
        <v>18</v>
      </c>
      <c r="AC8589">
        <v>24.6664999999999</v>
      </c>
      <c r="AD8589">
        <v>-1.11070349755539</v>
      </c>
      <c r="AE8589">
        <v>-7.9142199999999896</v>
      </c>
      <c r="AF8589">
        <v>-5.5935146072928399</v>
      </c>
      <c r="AG8589">
        <v>-1.11070349755539</v>
      </c>
      <c r="AH8589">
        <v>25.245260096517001</v>
      </c>
      <c r="AI8589">
        <v>92.459615724868897</v>
      </c>
      <c r="AJ8589">
        <v>102.49302374921599</v>
      </c>
      <c r="AK8589">
        <v>25.881348984592599</v>
      </c>
      <c r="AL8589">
        <v>89.622928937294503</v>
      </c>
      <c r="AM8589">
        <v>90.853845450420593</v>
      </c>
      <c r="AN8589">
        <v>0.99999999208513801</v>
      </c>
    </row>
    <row r="8590" spans="1:40" x14ac:dyDescent="0.25">
      <c r="A8590" t="str">
        <f>"20190312154128573"</f>
        <v>20190312154128573</v>
      </c>
      <c r="B8590" t="str">
        <f>"1552376488565060"</f>
        <v>1552376488565060</v>
      </c>
      <c r="C8590" t="s">
        <v>40</v>
      </c>
      <c r="D8590">
        <v>4.3908399999999999</v>
      </c>
      <c r="E8590">
        <v>0.4524957</v>
      </c>
      <c r="F8590" t="s">
        <v>95</v>
      </c>
      <c r="G8590">
        <v>-263.09230000000002</v>
      </c>
      <c r="H8590" s="1">
        <v>-3.3811969999999998E-7</v>
      </c>
      <c r="I8590">
        <v>-60.348239999999997</v>
      </c>
      <c r="J8590">
        <v>-287.97699999999998</v>
      </c>
      <c r="K8590">
        <v>1.1107180000000001</v>
      </c>
      <c r="L8590">
        <v>-52.353580000000001</v>
      </c>
      <c r="M8590">
        <v>0.86381969999999997</v>
      </c>
      <c r="N8590">
        <v>0</v>
      </c>
      <c r="O8590">
        <v>-0.50360450000000001</v>
      </c>
      <c r="P8590">
        <v>0.87106569999999905</v>
      </c>
      <c r="Q8590">
        <v>-7.7974139999999999E-3</v>
      </c>
      <c r="R8590">
        <v>-0.49110500000000001</v>
      </c>
      <c r="S8590">
        <v>2.9137270000000002</v>
      </c>
      <c r="T8590">
        <v>-0.12954570000000001</v>
      </c>
      <c r="U8590">
        <v>-0.93896480000000004</v>
      </c>
      <c r="V8590">
        <v>-1.445483E-2</v>
      </c>
      <c r="W8590">
        <v>6.2639949999999996E-3</v>
      </c>
      <c r="X8590">
        <v>0.99987590000000004</v>
      </c>
      <c r="Y8590">
        <v>-0.21381320000000001</v>
      </c>
      <c r="Z8590">
        <v>2.525409E-2</v>
      </c>
      <c r="AA8590">
        <v>0.97654810000000003</v>
      </c>
      <c r="AB8590">
        <v>18</v>
      </c>
      <c r="AC8590">
        <v>24.884699999999999</v>
      </c>
      <c r="AD8590">
        <v>-1.1107183381196899</v>
      </c>
      <c r="AE8590">
        <v>-7.9946599999999997</v>
      </c>
      <c r="AF8590">
        <v>-5.6165166273097498</v>
      </c>
      <c r="AG8590">
        <v>-1.1107183381196899</v>
      </c>
      <c r="AH8590">
        <v>25.478557665345999</v>
      </c>
      <c r="AI8590">
        <v>92.437731371615598</v>
      </c>
      <c r="AJ8590">
        <v>102.43151273849099</v>
      </c>
      <c r="AK8590">
        <v>26.113901565216999</v>
      </c>
      <c r="AL8590">
        <v>89.641097175628602</v>
      </c>
      <c r="AM8590">
        <v>90.828245848799</v>
      </c>
      <c r="AN8590">
        <v>0.999999997572249</v>
      </c>
    </row>
    <row r="8591" spans="1:40" x14ac:dyDescent="0.25">
      <c r="A8591" t="str">
        <f>"20190312154128586"</f>
        <v>20190312154128586</v>
      </c>
      <c r="B8591" t="str">
        <f>"1552376488574818"</f>
        <v>1552376488574818</v>
      </c>
      <c r="C8591" t="s">
        <v>40</v>
      </c>
      <c r="D8591">
        <v>4.3105310000000001</v>
      </c>
      <c r="E8591">
        <v>0.46227960000000001</v>
      </c>
      <c r="F8591" t="s">
        <v>95</v>
      </c>
      <c r="G8591">
        <v>-263.75069999999999</v>
      </c>
      <c r="H8591" s="1">
        <v>-1.0992509999999999E-6</v>
      </c>
      <c r="I8591">
        <v>-62.206180000000003</v>
      </c>
      <c r="J8591">
        <v>-287.8929</v>
      </c>
      <c r="K8591">
        <v>1.1107290000000001</v>
      </c>
      <c r="L8591">
        <v>-52.401789999999998</v>
      </c>
      <c r="M8591">
        <v>0.86412440000000001</v>
      </c>
      <c r="N8591">
        <v>0</v>
      </c>
      <c r="O8591">
        <v>-0.50308189999999997</v>
      </c>
      <c r="P8591">
        <v>0.87102559999999996</v>
      </c>
      <c r="Q8591">
        <v>-7.8059259999999899E-3</v>
      </c>
      <c r="R8591">
        <v>-0.4911761</v>
      </c>
      <c r="S8591">
        <v>2.8007200000000001</v>
      </c>
      <c r="T8591">
        <v>-0.12840689999999999</v>
      </c>
      <c r="U8591">
        <v>-1.139038</v>
      </c>
      <c r="V8591">
        <v>-1.3768270000000001E-2</v>
      </c>
      <c r="W8591">
        <v>6.2530270000000004E-3</v>
      </c>
      <c r="X8591">
        <v>0.99988569999999999</v>
      </c>
      <c r="Y8591">
        <v>-0.13996789999999901</v>
      </c>
      <c r="Z8591">
        <v>2.393619E-2</v>
      </c>
      <c r="AA8591">
        <v>0.98986669999999999</v>
      </c>
      <c r="AB8591">
        <v>18</v>
      </c>
      <c r="AC8591">
        <v>24.142199999999999</v>
      </c>
      <c r="AD8591">
        <v>-1.1107300992510001</v>
      </c>
      <c r="AE8591">
        <v>-9.8043899999999908</v>
      </c>
      <c r="AF8591">
        <v>-3.6669911557551398</v>
      </c>
      <c r="AG8591">
        <v>-1.1107300992510001</v>
      </c>
      <c r="AH8591">
        <v>25.750035459940701</v>
      </c>
      <c r="AI8591">
        <v>92.445287350823406</v>
      </c>
      <c r="AJ8591">
        <v>98.104838073735706</v>
      </c>
      <c r="AK8591">
        <v>26.033533599532198</v>
      </c>
      <c r="AL8591">
        <v>89.641725623010203</v>
      </c>
      <c r="AM8591">
        <v>90.788904081153007</v>
      </c>
      <c r="AN8591">
        <v>1.0000000393349699</v>
      </c>
    </row>
    <row r="8592" spans="1:40" x14ac:dyDescent="0.25">
      <c r="A8592" t="str">
        <f>"20190312154128599"</f>
        <v>20190312154128599</v>
      </c>
      <c r="B8592" t="str">
        <f>"1552376488584578"</f>
        <v>1552376488584578</v>
      </c>
      <c r="C8592" t="s">
        <v>40</v>
      </c>
      <c r="D8592">
        <v>4.2882040000000003</v>
      </c>
      <c r="E8592">
        <v>0.4700647</v>
      </c>
      <c r="F8592" t="s">
        <v>42</v>
      </c>
      <c r="G8592">
        <v>-265.67809999999997</v>
      </c>
      <c r="H8592" s="1">
        <v>-1.899983E-6</v>
      </c>
      <c r="I8592">
        <v>-62.108130000000003</v>
      </c>
      <c r="J8592">
        <v>-287.80900000000003</v>
      </c>
      <c r="K8592">
        <v>1.1107419999999999</v>
      </c>
      <c r="L8592">
        <v>-52.449800000000003</v>
      </c>
      <c r="M8592">
        <v>0.86442909999999995</v>
      </c>
      <c r="N8592">
        <v>0</v>
      </c>
      <c r="O8592">
        <v>-0.50255779999999906</v>
      </c>
      <c r="P8592">
        <v>0.87110589999999999</v>
      </c>
      <c r="Q8592">
        <v>-8.2440369999999992E-3</v>
      </c>
      <c r="R8592">
        <v>-0.49102610000000002</v>
      </c>
      <c r="S8592">
        <v>2.7623600000000001</v>
      </c>
      <c r="T8592">
        <v>-0.13811699999999999</v>
      </c>
      <c r="U8592">
        <v>-1.2069700000000001</v>
      </c>
      <c r="V8592">
        <v>-1.3331569999999999E-2</v>
      </c>
      <c r="W8592">
        <v>5.8124369999999898E-3</v>
      </c>
      <c r="X8592">
        <v>0.99989430000000001</v>
      </c>
      <c r="Y8592">
        <v>-0.1138487</v>
      </c>
      <c r="Z8592">
        <v>2.5273919999999998E-2</v>
      </c>
      <c r="AA8592">
        <v>0.99317659999999997</v>
      </c>
      <c r="AB8592">
        <v>18</v>
      </c>
      <c r="AC8592">
        <v>22.1309</v>
      </c>
      <c r="AD8592">
        <v>-1.1107438999829999</v>
      </c>
      <c r="AE8592">
        <v>-9.6583299999999994</v>
      </c>
      <c r="AF8592">
        <v>-2.7675333842306902</v>
      </c>
      <c r="AG8592">
        <v>-1.1107438999829999</v>
      </c>
      <c r="AH8592">
        <v>23.936188876752301</v>
      </c>
      <c r="AI8592">
        <v>92.639311045822794</v>
      </c>
      <c r="AJ8592">
        <v>96.595327407762795</v>
      </c>
      <c r="AK8592">
        <v>24.121238172775101</v>
      </c>
      <c r="AL8592">
        <v>89.6669700370322</v>
      </c>
      <c r="AM8592">
        <v>90.763878179685406</v>
      </c>
      <c r="AN8592">
        <v>1.0000000631775099</v>
      </c>
    </row>
    <row r="8593" spans="1:40" x14ac:dyDescent="0.25">
      <c r="A8593" t="str">
        <f>"20190312154128610"</f>
        <v>20190312154128610</v>
      </c>
      <c r="B8593" t="str">
        <f>"1552376488605074"</f>
        <v>1552376488605074</v>
      </c>
      <c r="C8593" t="s">
        <v>40</v>
      </c>
      <c r="D8593">
        <v>4.267252</v>
      </c>
      <c r="E8593">
        <v>0.47802460000000002</v>
      </c>
      <c r="F8593" t="s">
        <v>42</v>
      </c>
      <c r="G8593">
        <v>-267.346</v>
      </c>
      <c r="H8593" s="1">
        <v>-2.5572210000000002E-6</v>
      </c>
      <c r="I8593">
        <v>-61.88899</v>
      </c>
      <c r="J8593">
        <v>-287.72609999999997</v>
      </c>
      <c r="K8593">
        <v>1.1107530000000001</v>
      </c>
      <c r="L8593">
        <v>-52.497160000000001</v>
      </c>
      <c r="M8593">
        <v>0.86473349999999904</v>
      </c>
      <c r="N8593">
        <v>0</v>
      </c>
      <c r="O8593">
        <v>-0.50203409999999904</v>
      </c>
      <c r="P8593">
        <v>0.8713455</v>
      </c>
      <c r="Q8593">
        <v>-8.5095180000000006E-3</v>
      </c>
      <c r="R8593">
        <v>-0.4905967</v>
      </c>
      <c r="S8593">
        <v>2.7321170000000001</v>
      </c>
      <c r="T8593">
        <v>-0.14830119999999999</v>
      </c>
      <c r="U8593">
        <v>-1.260284</v>
      </c>
      <c r="V8593">
        <v>-1.3217639999999999E-2</v>
      </c>
      <c r="W8593">
        <v>5.544935E-3</v>
      </c>
      <c r="X8593">
        <v>0.99989720000000004</v>
      </c>
      <c r="Y8593">
        <v>-9.3029020000000004E-2</v>
      </c>
      <c r="Z8593">
        <v>2.671459E-2</v>
      </c>
      <c r="AA8593">
        <v>0.99530490000000005</v>
      </c>
      <c r="AB8593">
        <v>18</v>
      </c>
      <c r="AC8593">
        <v>20.380099999999899</v>
      </c>
      <c r="AD8593">
        <v>-1.1107555572209999</v>
      </c>
      <c r="AE8593">
        <v>-9.3918300000000006</v>
      </c>
      <c r="AF8593">
        <v>-2.1051259403597</v>
      </c>
      <c r="AG8593">
        <v>-1.1107555572209999</v>
      </c>
      <c r="AH8593">
        <v>22.2859793357187</v>
      </c>
      <c r="AI8593">
        <v>92.840693769723998</v>
      </c>
      <c r="AJ8593">
        <v>95.396128416212505</v>
      </c>
      <c r="AK8593">
        <v>22.4127242450522</v>
      </c>
      <c r="AL8593">
        <v>89.682296976997193</v>
      </c>
      <c r="AM8593">
        <v>90.757348735636199</v>
      </c>
      <c r="AN8593">
        <v>0.99999993143957899</v>
      </c>
    </row>
    <row r="8594" spans="1:40" x14ac:dyDescent="0.25">
      <c r="A8594" t="str">
        <f>"20190312154128624"</f>
        <v>20190312154128624</v>
      </c>
      <c r="B8594" t="str">
        <f>"1552376488614835"</f>
        <v>1552376488614835</v>
      </c>
      <c r="C8594" t="s">
        <v>40</v>
      </c>
      <c r="D8594">
        <v>4.2644789999999997</v>
      </c>
      <c r="E8594">
        <v>0.4800915</v>
      </c>
      <c r="F8594" t="s">
        <v>95</v>
      </c>
      <c r="G8594">
        <v>-267.91680000000002</v>
      </c>
      <c r="H8594" s="1">
        <v>-2.867112E-6</v>
      </c>
      <c r="I8594">
        <v>-62.133420000000001</v>
      </c>
      <c r="J8594">
        <v>-287.63339999999999</v>
      </c>
      <c r="K8594">
        <v>1.1107579999999999</v>
      </c>
      <c r="L8594">
        <v>-52.550049999999999</v>
      </c>
      <c r="M8594">
        <v>0.86507579999999995</v>
      </c>
      <c r="N8594">
        <v>0</v>
      </c>
      <c r="O8594">
        <v>-0.50144420000000001</v>
      </c>
      <c r="P8594">
        <v>0.871612099999999</v>
      </c>
      <c r="Q8594">
        <v>-8.8918469999999996E-3</v>
      </c>
      <c r="R8594">
        <v>-0.4901161</v>
      </c>
      <c r="S8594">
        <v>2.7015380000000002</v>
      </c>
      <c r="T8594">
        <v>-0.15148200000000001</v>
      </c>
      <c r="U8594">
        <v>-1.3141780000000001</v>
      </c>
      <c r="V8594">
        <v>-1.308464E-2</v>
      </c>
      <c r="W8594">
        <v>5.1596569999999998E-3</v>
      </c>
      <c r="X8594">
        <v>0.99990109999999999</v>
      </c>
      <c r="Y8594">
        <v>-7.1863990000000003E-2</v>
      </c>
      <c r="Z8594">
        <v>2.6835319999999999E-2</v>
      </c>
      <c r="AA8594">
        <v>0.99705339999999998</v>
      </c>
      <c r="AB8594">
        <v>18</v>
      </c>
      <c r="AC8594">
        <v>19.7165999999999</v>
      </c>
      <c r="AD8594">
        <v>-1.1107608671119999</v>
      </c>
      <c r="AE8594">
        <v>-9.5833699999999897</v>
      </c>
      <c r="AF8594">
        <v>-1.59250259909682</v>
      </c>
      <c r="AG8594">
        <v>-1.1107608671119999</v>
      </c>
      <c r="AH8594">
        <v>21.808051773431799</v>
      </c>
      <c r="AI8594">
        <v>92.908026371513401</v>
      </c>
      <c r="AJ8594">
        <v>94.1765312941465</v>
      </c>
      <c r="AK8594">
        <v>21.894313791135801</v>
      </c>
      <c r="AL8594">
        <v>89.704372124311206</v>
      </c>
      <c r="AM8594">
        <v>90.749726007757602</v>
      </c>
      <c r="AN8594">
        <v>1.0000000198227399</v>
      </c>
    </row>
    <row r="8595" spans="1:40" x14ac:dyDescent="0.25">
      <c r="A8595" t="str">
        <f>"20190312154128636"</f>
        <v>20190312154128636</v>
      </c>
      <c r="B8595" t="str">
        <f>"1552376488624594"</f>
        <v>1552376488624594</v>
      </c>
      <c r="C8595" t="s">
        <v>40</v>
      </c>
      <c r="D8595">
        <v>4.2869630000000001</v>
      </c>
      <c r="E8595">
        <v>0.48163040000000001</v>
      </c>
      <c r="F8595" t="s">
        <v>95</v>
      </c>
      <c r="G8595">
        <v>-268.3143</v>
      </c>
      <c r="H8595" s="1">
        <v>-3.0164E-6</v>
      </c>
      <c r="I8595">
        <v>-62.066839999999999</v>
      </c>
      <c r="J8595">
        <v>-287.55349999999999</v>
      </c>
      <c r="K8595">
        <v>1.1107659999999999</v>
      </c>
      <c r="L8595">
        <v>-52.595610000000001</v>
      </c>
      <c r="M8595">
        <v>0.86537180000000002</v>
      </c>
      <c r="N8595">
        <v>0</v>
      </c>
      <c r="O8595">
        <v>-0.50093310000000002</v>
      </c>
      <c r="P8595">
        <v>0.87194499999999997</v>
      </c>
      <c r="Q8595">
        <v>-9.0606530000000001E-3</v>
      </c>
      <c r="R8595">
        <v>-0.48952010000000001</v>
      </c>
      <c r="S8595">
        <v>2.6940309999999998</v>
      </c>
      <c r="T8595">
        <v>-0.15489459999999999</v>
      </c>
      <c r="U8595">
        <v>-1.327118</v>
      </c>
      <c r="V8595">
        <v>-1.3176200000000001E-2</v>
      </c>
      <c r="W8595">
        <v>4.9879970000000001E-3</v>
      </c>
      <c r="X8595">
        <v>0.99990080000000003</v>
      </c>
      <c r="Y8595">
        <v>-6.6296939999999999E-2</v>
      </c>
      <c r="Z8595">
        <v>2.7298099999999999E-2</v>
      </c>
      <c r="AA8595">
        <v>0.99742649999999999</v>
      </c>
      <c r="AB8595">
        <v>18</v>
      </c>
      <c r="AC8595">
        <v>19.239199999999901</v>
      </c>
      <c r="AD8595">
        <v>-1.1107690163999999</v>
      </c>
      <c r="AE8595">
        <v>-9.4712299999999896</v>
      </c>
      <c r="AF8595">
        <v>-1.4377017928634099</v>
      </c>
      <c r="AG8595">
        <v>-1.1107690163999999</v>
      </c>
      <c r="AH8595">
        <v>21.338376414895599</v>
      </c>
      <c r="AI8595">
        <v>92.973113225015894</v>
      </c>
      <c r="AJ8595">
        <v>93.854554527036598</v>
      </c>
      <c r="AK8595">
        <v>21.415580829778399</v>
      </c>
      <c r="AL8595">
        <v>89.714207653180907</v>
      </c>
      <c r="AM8595">
        <v>90.754971850130104</v>
      </c>
      <c r="AN8595">
        <v>1.00000005110057</v>
      </c>
    </row>
    <row r="8596" spans="1:40" x14ac:dyDescent="0.25">
      <c r="A8596" t="str">
        <f>"20190312154128647"</f>
        <v>20190312154128647</v>
      </c>
      <c r="B8596" t="str">
        <f>"1552376488635329"</f>
        <v>1552376488635329</v>
      </c>
      <c r="C8596" t="s">
        <v>40</v>
      </c>
      <c r="D8596">
        <v>4.3027410000000001</v>
      </c>
      <c r="E8596">
        <v>0.48289959999999998</v>
      </c>
      <c r="F8596" t="s">
        <v>42</v>
      </c>
      <c r="G8596">
        <v>-268.54610000000002</v>
      </c>
      <c r="H8596" s="1">
        <v>-3.0904059999999998E-6</v>
      </c>
      <c r="I8596">
        <v>-62.039230000000003</v>
      </c>
      <c r="J8596">
        <v>-287.48329999999999</v>
      </c>
      <c r="K8596">
        <v>1.11077</v>
      </c>
      <c r="L8596">
        <v>-52.6355</v>
      </c>
      <c r="M8596">
        <v>0.86563380000000001</v>
      </c>
      <c r="N8596">
        <v>0</v>
      </c>
      <c r="O8596">
        <v>-0.50048040000000005</v>
      </c>
      <c r="P8596">
        <v>0.87234449999999997</v>
      </c>
      <c r="Q8596">
        <v>-9.1340750000000002E-3</v>
      </c>
      <c r="R8596">
        <v>-0.48880669999999998</v>
      </c>
      <c r="S8596">
        <v>2.688904</v>
      </c>
      <c r="T8596">
        <v>-0.15713679999999999</v>
      </c>
      <c r="U8596">
        <v>-1.335968</v>
      </c>
      <c r="V8596">
        <v>-1.347134E-2</v>
      </c>
      <c r="W8596">
        <v>4.9121820000000002E-3</v>
      </c>
      <c r="X8596">
        <v>0.99989720000000004</v>
      </c>
      <c r="Y8596">
        <v>-6.2369540000000001E-2</v>
      </c>
      <c r="Z8596">
        <v>2.7586360000000001E-2</v>
      </c>
      <c r="AA8596">
        <v>0.9976718</v>
      </c>
      <c r="AB8596">
        <v>18</v>
      </c>
      <c r="AC8596">
        <v>18.937199999999901</v>
      </c>
      <c r="AD8596">
        <v>-1.110773090406</v>
      </c>
      <c r="AE8596">
        <v>-9.4037299999999995</v>
      </c>
      <c r="AF8596">
        <v>-1.33396136154904</v>
      </c>
      <c r="AG8596">
        <v>-1.110773090406</v>
      </c>
      <c r="AH8596">
        <v>21.043069485568399</v>
      </c>
      <c r="AI8596">
        <v>93.015551578022695</v>
      </c>
      <c r="AJ8596">
        <v>93.627238068033506</v>
      </c>
      <c r="AK8596">
        <v>21.114545771740701</v>
      </c>
      <c r="AL8596">
        <v>89.718551573728803</v>
      </c>
      <c r="AM8596">
        <v>90.7718835804382</v>
      </c>
      <c r="AN8596">
        <v>1.00000000855061</v>
      </c>
    </row>
    <row r="8597" spans="1:40" x14ac:dyDescent="0.25">
      <c r="A8597" t="str">
        <f>"20190312154128657"</f>
        <v>20190312154128657</v>
      </c>
      <c r="B8597" t="str">
        <f>"1552376488645091"</f>
        <v>1552376488645091</v>
      </c>
      <c r="C8597" t="s">
        <v>40</v>
      </c>
      <c r="D8597">
        <v>4.259468</v>
      </c>
      <c r="E8597">
        <v>0.4838749</v>
      </c>
      <c r="F8597" t="s">
        <v>42</v>
      </c>
      <c r="G8597">
        <v>-268.654</v>
      </c>
      <c r="H8597" s="1">
        <v>-3.1291179999999999E-6</v>
      </c>
      <c r="I8597">
        <v>-62.0505</v>
      </c>
      <c r="J8597">
        <v>-287.40839999999997</v>
      </c>
      <c r="K8597">
        <v>1.110776</v>
      </c>
      <c r="L8597">
        <v>-52.678100000000001</v>
      </c>
      <c r="M8597">
        <v>0.8659135</v>
      </c>
      <c r="N8597">
        <v>0</v>
      </c>
      <c r="O8597">
        <v>-0.4999962</v>
      </c>
      <c r="P8597">
        <v>0.87286520000000001</v>
      </c>
      <c r="Q8597">
        <v>-8.8319650000000006E-3</v>
      </c>
      <c r="R8597">
        <v>-0.48788199999999998</v>
      </c>
      <c r="S8597">
        <v>2.6850589999999999</v>
      </c>
      <c r="T8597">
        <v>-0.1583965</v>
      </c>
      <c r="U8597">
        <v>-1.34259</v>
      </c>
      <c r="V8597">
        <v>-1.3973370000000001E-2</v>
      </c>
      <c r="W8597">
        <v>5.2106790000000002E-3</v>
      </c>
      <c r="X8597">
        <v>0.99988880000000002</v>
      </c>
      <c r="Y8597">
        <v>-5.9264360000000002E-2</v>
      </c>
      <c r="Z8597">
        <v>2.7715480000000001E-2</v>
      </c>
      <c r="AA8597">
        <v>0.99785749999999995</v>
      </c>
      <c r="AB8597">
        <v>18</v>
      </c>
      <c r="AC8597">
        <v>18.754399999999901</v>
      </c>
      <c r="AD8597">
        <v>-1.110779129118</v>
      </c>
      <c r="AE8597">
        <v>-9.3724000000000007</v>
      </c>
      <c r="AF8597">
        <v>-1.25803451591073</v>
      </c>
      <c r="AG8597">
        <v>-1.110779129118</v>
      </c>
      <c r="AH8597">
        <v>20.8693421247659</v>
      </c>
      <c r="AI8597">
        <v>93.041205775387198</v>
      </c>
      <c r="AJ8597">
        <v>93.449698997530902</v>
      </c>
      <c r="AK8597">
        <v>20.936712297718501</v>
      </c>
      <c r="AL8597">
        <v>89.701448736667203</v>
      </c>
      <c r="AM8597">
        <v>90.800652045543899</v>
      </c>
      <c r="AN8597">
        <v>1.00000000930511</v>
      </c>
    </row>
    <row r="8598" spans="1:40" x14ac:dyDescent="0.25">
      <c r="A8598" t="str">
        <f>"20190312154128669"</f>
        <v>20190312154128669</v>
      </c>
      <c r="B8598" t="str">
        <f>"1552376488664610"</f>
        <v>1552376488664610</v>
      </c>
      <c r="C8598" t="s">
        <v>40</v>
      </c>
      <c r="D8598">
        <v>4.5026060000000001</v>
      </c>
      <c r="E8598">
        <v>0.4854406</v>
      </c>
      <c r="F8598" t="s">
        <v>42</v>
      </c>
      <c r="G8598">
        <v>-268.71140000000003</v>
      </c>
      <c r="H8598" s="1">
        <v>-3.150586E-6</v>
      </c>
      <c r="I8598">
        <v>-62.061529999999998</v>
      </c>
      <c r="J8598">
        <v>-287.32850000000002</v>
      </c>
      <c r="K8598">
        <v>1.1107800000000001</v>
      </c>
      <c r="L8598">
        <v>-52.723419999999997</v>
      </c>
      <c r="M8598">
        <v>0.86621319999999902</v>
      </c>
      <c r="N8598">
        <v>0</v>
      </c>
      <c r="O8598">
        <v>-0.4994768</v>
      </c>
      <c r="P8598">
        <v>0.873449699999999</v>
      </c>
      <c r="Q8598">
        <v>-8.8815170000000002E-3</v>
      </c>
      <c r="R8598">
        <v>-0.48683389999999999</v>
      </c>
      <c r="S8598">
        <v>2.6827700000000001</v>
      </c>
      <c r="T8598">
        <v>-0.15938169999999999</v>
      </c>
      <c r="U8598">
        <v>-1.3464050000000001</v>
      </c>
      <c r="V8598">
        <v>-1.4573640000000001E-2</v>
      </c>
      <c r="W8598">
        <v>5.1582269999999996E-3</v>
      </c>
      <c r="X8598">
        <v>0.99988049999999995</v>
      </c>
      <c r="Y8598">
        <v>-5.718521E-2</v>
      </c>
      <c r="Z8598">
        <v>2.781573E-2</v>
      </c>
      <c r="AA8598">
        <v>0.99797599999999997</v>
      </c>
      <c r="AB8598">
        <v>18</v>
      </c>
      <c r="AC8598">
        <v>18.617099999999901</v>
      </c>
      <c r="AD8598">
        <v>-1.110783150586</v>
      </c>
      <c r="AE8598">
        <v>-9.3381100000000004</v>
      </c>
      <c r="AF8598">
        <v>-1.2067027663449601</v>
      </c>
      <c r="AG8598">
        <v>-1.110783150586</v>
      </c>
      <c r="AH8598">
        <v>20.7336294258149</v>
      </c>
      <c r="AI8598">
        <v>93.061460815445798</v>
      </c>
      <c r="AJ8598">
        <v>93.330872195176696</v>
      </c>
      <c r="AK8598">
        <v>20.7983980138122</v>
      </c>
      <c r="AL8598">
        <v>89.704454054363495</v>
      </c>
      <c r="AM8598">
        <v>90.835048729809699</v>
      </c>
      <c r="AN8598">
        <v>1.0000000062844401</v>
      </c>
    </row>
    <row r="8599" spans="1:40" x14ac:dyDescent="0.25">
      <c r="A8599" t="str">
        <f>"20190312154128681"</f>
        <v>20190312154128681</v>
      </c>
      <c r="B8599" t="str">
        <f>"1552376488675346"</f>
        <v>1552376488675346</v>
      </c>
      <c r="C8599" t="s">
        <v>40</v>
      </c>
      <c r="D8599">
        <v>4.3623219999999998</v>
      </c>
      <c r="E8599">
        <v>0.48585709999999999</v>
      </c>
      <c r="F8599" t="s">
        <v>42</v>
      </c>
      <c r="G8599">
        <v>-269.24549999999999</v>
      </c>
      <c r="H8599" s="1">
        <v>-3.2973939999999998E-6</v>
      </c>
      <c r="I8599">
        <v>-61.864460000000001</v>
      </c>
      <c r="J8599">
        <v>-287.25069999999999</v>
      </c>
      <c r="K8599">
        <v>1.1107830000000001</v>
      </c>
      <c r="L8599">
        <v>-52.767519999999998</v>
      </c>
      <c r="M8599">
        <v>0.86650479999999996</v>
      </c>
      <c r="N8599">
        <v>0</v>
      </c>
      <c r="O8599">
        <v>-0.49897089999999999</v>
      </c>
      <c r="P8599">
        <v>0.87404389999999998</v>
      </c>
      <c r="Q8599">
        <v>-8.6155699999999995E-3</v>
      </c>
      <c r="R8599">
        <v>-0.4857707</v>
      </c>
      <c r="S8599">
        <v>2.678375</v>
      </c>
      <c r="T8599">
        <v>-0.16452459999999999</v>
      </c>
      <c r="U8599">
        <v>-1.3539429999999999</v>
      </c>
      <c r="V8599">
        <v>-1.520821E-2</v>
      </c>
      <c r="W8599">
        <v>5.4209599999999998E-3</v>
      </c>
      <c r="X8599">
        <v>0.99986960000000003</v>
      </c>
      <c r="Y8599">
        <v>-5.3665310000000001E-2</v>
      </c>
      <c r="Z8599">
        <v>2.8605740000000001E-2</v>
      </c>
      <c r="AA8599">
        <v>0.99814919999999996</v>
      </c>
      <c r="AB8599">
        <v>18</v>
      </c>
      <c r="AC8599">
        <v>18.005199999999999</v>
      </c>
      <c r="AD8599">
        <v>-1.1107862973939999</v>
      </c>
      <c r="AE8599">
        <v>-9.09694</v>
      </c>
      <c r="AF8599">
        <v>-1.09830738384049</v>
      </c>
      <c r="AG8599">
        <v>-1.1107862973939999</v>
      </c>
      <c r="AH8599">
        <v>20.081801481873999</v>
      </c>
      <c r="AI8599">
        <v>93.161265049405202</v>
      </c>
      <c r="AJ8599">
        <v>93.130483426409995</v>
      </c>
      <c r="AK8599">
        <v>20.142464498299901</v>
      </c>
      <c r="AL8599">
        <v>89.689400333277305</v>
      </c>
      <c r="AM8599">
        <v>90.871412691634006</v>
      </c>
      <c r="AN8599">
        <v>0.99999994673144099</v>
      </c>
    </row>
    <row r="8600" spans="1:40" x14ac:dyDescent="0.25">
      <c r="A8600" t="str">
        <f>"20190312154128691"</f>
        <v>20190312154128691</v>
      </c>
      <c r="B8600" t="str">
        <f>"1552376488685106"</f>
        <v>1552376488685106</v>
      </c>
      <c r="C8600" t="s">
        <v>40</v>
      </c>
      <c r="D8600">
        <v>4.38985</v>
      </c>
      <c r="E8600">
        <v>0.48618790000000001</v>
      </c>
      <c r="F8600" t="s">
        <v>42</v>
      </c>
      <c r="G8600">
        <v>-269.22890000000001</v>
      </c>
      <c r="H8600" s="1">
        <v>-3.2937139999999999E-6</v>
      </c>
      <c r="I8600">
        <v>-61.875599999999999</v>
      </c>
      <c r="J8600">
        <v>-287.17669999999998</v>
      </c>
      <c r="K8600">
        <v>1.1107849999999999</v>
      </c>
      <c r="L8600">
        <v>-52.80939</v>
      </c>
      <c r="M8600">
        <v>0.86678239999999995</v>
      </c>
      <c r="N8600">
        <v>0</v>
      </c>
      <c r="O8600">
        <v>-0.49848880000000001</v>
      </c>
      <c r="P8600">
        <v>0.87465159999999997</v>
      </c>
      <c r="Q8600">
        <v>-8.4250699999999998E-3</v>
      </c>
      <c r="R8600">
        <v>-0.48467959999999899</v>
      </c>
      <c r="S8600">
        <v>2.678375</v>
      </c>
      <c r="T8600">
        <v>-0.16508320000000001</v>
      </c>
      <c r="U8600">
        <v>-1.3536379999999999</v>
      </c>
      <c r="V8600">
        <v>-1.5900950000000001E-2</v>
      </c>
      <c r="W8600">
        <v>5.6088319999999898E-3</v>
      </c>
      <c r="X8600">
        <v>0.99985780000000002</v>
      </c>
      <c r="Y8600">
        <v>-5.3196559999999997E-2</v>
      </c>
      <c r="Z8600">
        <v>2.866672E-2</v>
      </c>
      <c r="AA8600">
        <v>0.99817250000000002</v>
      </c>
      <c r="AB8600">
        <v>18</v>
      </c>
      <c r="AC8600">
        <v>17.947799999999901</v>
      </c>
      <c r="AD8600">
        <v>-1.1107882937139999</v>
      </c>
      <c r="AE8600">
        <v>-9.0662099999999892</v>
      </c>
      <c r="AF8600">
        <v>-1.08514184601962</v>
      </c>
      <c r="AG8600">
        <v>-1.1107882937139999</v>
      </c>
      <c r="AH8600">
        <v>20.017135275614901</v>
      </c>
      <c r="AI8600">
        <v>93.171545180083996</v>
      </c>
      <c r="AJ8600">
        <v>93.103003935675702</v>
      </c>
      <c r="AK8600">
        <v>20.077277905674801</v>
      </c>
      <c r="AL8600">
        <v>89.678635900475101</v>
      </c>
      <c r="AM8600">
        <v>90.911110090939005</v>
      </c>
      <c r="AN8600">
        <v>0.99999995971407196</v>
      </c>
    </row>
    <row r="8601" spans="1:40" x14ac:dyDescent="0.25">
      <c r="A8601" t="str">
        <f>"20190312154128702"</f>
        <v>20190312154128702</v>
      </c>
      <c r="B8601" t="str">
        <f>"1552376488694866"</f>
        <v>1552376488694866</v>
      </c>
      <c r="C8601" t="s">
        <v>40</v>
      </c>
      <c r="D8601">
        <v>4.3685600000000004</v>
      </c>
      <c r="E8601">
        <v>0.48654910000000001</v>
      </c>
      <c r="F8601" t="s">
        <v>42</v>
      </c>
      <c r="G8601">
        <v>-269.26760000000002</v>
      </c>
      <c r="H8601" s="1">
        <v>-3.302547E-6</v>
      </c>
      <c r="I8601">
        <v>-61.851059999999997</v>
      </c>
      <c r="J8601">
        <v>-287.10199999999998</v>
      </c>
      <c r="K8601">
        <v>1.110789</v>
      </c>
      <c r="L8601">
        <v>-52.851590000000002</v>
      </c>
      <c r="M8601">
        <v>0.86706170000000005</v>
      </c>
      <c r="N8601">
        <v>0</v>
      </c>
      <c r="O8601">
        <v>-0.49800250000000001</v>
      </c>
      <c r="P8601">
        <v>0.87514530000000001</v>
      </c>
      <c r="Q8601">
        <v>-8.4859919999999995E-3</v>
      </c>
      <c r="R8601">
        <v>-0.48378589999999999</v>
      </c>
      <c r="S8601">
        <v>2.6788639999999999</v>
      </c>
      <c r="T8601">
        <v>-0.16615339999999901</v>
      </c>
      <c r="U8601">
        <v>-1.3524780000000001</v>
      </c>
      <c r="V8601">
        <v>-1.636104E-2</v>
      </c>
      <c r="W8601">
        <v>5.5449369999999998E-3</v>
      </c>
      <c r="X8601">
        <v>0.99985069999999998</v>
      </c>
      <c r="Y8601">
        <v>-5.3045290000000002E-2</v>
      </c>
      <c r="Z8601">
        <v>2.8822939999999998E-2</v>
      </c>
      <c r="AA8601">
        <v>0.99817599999999995</v>
      </c>
      <c r="AB8601">
        <v>18</v>
      </c>
      <c r="AC8601">
        <v>17.834399999999999</v>
      </c>
      <c r="AD8601">
        <v>-1.1107923025469999</v>
      </c>
      <c r="AE8601">
        <v>-8.9994699999999899</v>
      </c>
      <c r="AF8601">
        <v>-1.07526190508762</v>
      </c>
      <c r="AG8601">
        <v>-1.1107923025469999</v>
      </c>
      <c r="AH8601">
        <v>19.885768138756301</v>
      </c>
      <c r="AI8601">
        <v>93.192488846127702</v>
      </c>
      <c r="AJ8601">
        <v>93.095079411812193</v>
      </c>
      <c r="AK8601">
        <v>19.945772037509698</v>
      </c>
      <c r="AL8601">
        <v>89.6822968607148</v>
      </c>
      <c r="AM8601">
        <v>90.937474850031805</v>
      </c>
      <c r="AN8601">
        <v>0.99999992612334998</v>
      </c>
    </row>
    <row r="8602" spans="1:40" x14ac:dyDescent="0.25">
      <c r="A8602" t="str">
        <f>"20190312154128713"</f>
        <v>20190312154128713</v>
      </c>
      <c r="B8602" t="str">
        <f>"1552376488704626"</f>
        <v>1552376488704626</v>
      </c>
      <c r="C8602" t="s">
        <v>40</v>
      </c>
      <c r="D8602">
        <v>4.386253</v>
      </c>
      <c r="E8602">
        <v>0.48694559999999998</v>
      </c>
      <c r="F8602" t="s">
        <v>42</v>
      </c>
      <c r="G8602">
        <v>-269.40300000000002</v>
      </c>
      <c r="H8602" s="1">
        <v>-3.3370099999999998E-6</v>
      </c>
      <c r="I8602">
        <v>-61.785620000000002</v>
      </c>
      <c r="J8602">
        <v>-287.0256</v>
      </c>
      <c r="K8602">
        <v>1.110789</v>
      </c>
      <c r="L8602">
        <v>-52.894710000000003</v>
      </c>
      <c r="M8602">
        <v>0.86734739999999999</v>
      </c>
      <c r="N8602">
        <v>0</v>
      </c>
      <c r="O8602">
        <v>-0.49750490000000003</v>
      </c>
      <c r="P8602">
        <v>0.87560990000000005</v>
      </c>
      <c r="Q8602">
        <v>-8.254272E-3</v>
      </c>
      <c r="R8602">
        <v>-0.48294819999999999</v>
      </c>
      <c r="S8602">
        <v>2.6788639999999999</v>
      </c>
      <c r="T8602">
        <v>-0.16812559999999999</v>
      </c>
      <c r="U8602">
        <v>-1.3522339999999999</v>
      </c>
      <c r="V8602">
        <v>-1.6745280000000001E-2</v>
      </c>
      <c r="W8602">
        <v>5.7738140000000004E-3</v>
      </c>
      <c r="X8602">
        <v>0.99984309999999998</v>
      </c>
      <c r="Y8602">
        <v>-5.2528320000000003E-2</v>
      </c>
      <c r="Z8602">
        <v>2.9125470000000001E-2</v>
      </c>
      <c r="AA8602">
        <v>0.99819460000000004</v>
      </c>
      <c r="AB8602">
        <v>17</v>
      </c>
      <c r="AC8602">
        <v>17.622599999999899</v>
      </c>
      <c r="AD8602">
        <v>-1.1107923370099999</v>
      </c>
      <c r="AE8602">
        <v>-8.8909099999999892</v>
      </c>
      <c r="AF8602">
        <v>-1.0525928686764701</v>
      </c>
      <c r="AG8602">
        <v>-1.1107923370099999</v>
      </c>
      <c r="AH8602">
        <v>19.647908637819999</v>
      </c>
      <c r="AI8602">
        <v>93.231142503022994</v>
      </c>
      <c r="AJ8602">
        <v>93.066562076103196</v>
      </c>
      <c r="AK8602">
        <v>19.707412950544001</v>
      </c>
      <c r="AL8602">
        <v>89.669182982386005</v>
      </c>
      <c r="AM8602">
        <v>90.959494725940402</v>
      </c>
      <c r="AN8602">
        <v>0.99999998297399695</v>
      </c>
    </row>
    <row r="8603" spans="1:40" x14ac:dyDescent="0.25">
      <c r="A8603" t="str">
        <f>"20190312154128725"</f>
        <v>20190312154128725</v>
      </c>
      <c r="B8603" t="str">
        <f>"1552376488715362"</f>
        <v>1552376488715362</v>
      </c>
      <c r="C8603" t="s">
        <v>40</v>
      </c>
      <c r="D8603">
        <v>4.4109470000000002</v>
      </c>
      <c r="E8603">
        <v>0.4872244</v>
      </c>
      <c r="F8603" t="s">
        <v>42</v>
      </c>
      <c r="G8603">
        <v>-269.35270000000003</v>
      </c>
      <c r="H8603" s="1">
        <v>-3.3254349999999999E-6</v>
      </c>
      <c r="I8603">
        <v>-61.816879999999998</v>
      </c>
      <c r="J8603">
        <v>-286.95069999999998</v>
      </c>
      <c r="K8603">
        <v>1.1107860000000001</v>
      </c>
      <c r="L8603">
        <v>-52.936889999999998</v>
      </c>
      <c r="M8603">
        <v>0.86762659999999903</v>
      </c>
      <c r="N8603">
        <v>0</v>
      </c>
      <c r="O8603">
        <v>-0.49701810000000002</v>
      </c>
      <c r="P8603">
        <v>0.87598729999999903</v>
      </c>
      <c r="Q8603">
        <v>-8.1182330000000007E-3</v>
      </c>
      <c r="R8603">
        <v>-0.48226609999999998</v>
      </c>
      <c r="S8603">
        <v>2.6787109999999998</v>
      </c>
      <c r="T8603">
        <v>-0.1683644</v>
      </c>
      <c r="U8603">
        <v>-1.3523559999999999</v>
      </c>
      <c r="V8603">
        <v>-1.696363E-2</v>
      </c>
      <c r="W8603">
        <v>5.9068489999999996E-3</v>
      </c>
      <c r="X8603">
        <v>0.99983869999999997</v>
      </c>
      <c r="Y8603">
        <v>-5.1907929999999998E-2</v>
      </c>
      <c r="Z8603">
        <v>2.912555E-2</v>
      </c>
      <c r="AA8603">
        <v>0.99822710000000003</v>
      </c>
      <c r="AB8603">
        <v>17</v>
      </c>
      <c r="AC8603">
        <v>17.5979999999999</v>
      </c>
      <c r="AD8603">
        <v>-1.1107893254350001</v>
      </c>
      <c r="AE8603">
        <v>-8.8799899999999994</v>
      </c>
      <c r="AF8603">
        <v>-1.03881285687682</v>
      </c>
      <c r="AG8603">
        <v>-1.1107893254350001</v>
      </c>
      <c r="AH8603">
        <v>19.6216383981767</v>
      </c>
      <c r="AI8603">
        <v>93.235558666461401</v>
      </c>
      <c r="AJ8603">
        <v>93.030535769848001</v>
      </c>
      <c r="AK8603">
        <v>19.680489793344002</v>
      </c>
      <c r="AL8603">
        <v>89.661560527797803</v>
      </c>
      <c r="AM8603">
        <v>90.972007944679802</v>
      </c>
      <c r="AN8603">
        <v>1.00000004081278</v>
      </c>
    </row>
    <row r="8604" spans="1:40" x14ac:dyDescent="0.25">
      <c r="A8604" t="str">
        <f>"20190312154128735"</f>
        <v>20190312154128735</v>
      </c>
      <c r="B8604" t="str">
        <f>"1552376488725123"</f>
        <v>1552376488725123</v>
      </c>
      <c r="C8604" t="s">
        <v>40</v>
      </c>
      <c r="D8604">
        <v>4.3950480000000001</v>
      </c>
      <c r="E8604">
        <v>0.48752430000000002</v>
      </c>
      <c r="F8604" t="s">
        <v>42</v>
      </c>
      <c r="G8604">
        <v>-269.35980000000001</v>
      </c>
      <c r="H8604" s="1">
        <v>-3.327955E-6</v>
      </c>
      <c r="I8604">
        <v>-61.817439999999998</v>
      </c>
      <c r="J8604">
        <v>-286.8741</v>
      </c>
      <c r="K8604">
        <v>1.1107860000000001</v>
      </c>
      <c r="L8604">
        <v>-52.98001</v>
      </c>
      <c r="M8604">
        <v>0.86791130000000005</v>
      </c>
      <c r="N8604">
        <v>0</v>
      </c>
      <c r="O8604">
        <v>-0.49652039999999997</v>
      </c>
      <c r="P8604">
        <v>0.87645229999999996</v>
      </c>
      <c r="Q8604">
        <v>-7.9715020000000001E-3</v>
      </c>
      <c r="R8604">
        <v>-0.48142279999999998</v>
      </c>
      <c r="S8604">
        <v>2.6786500000000002</v>
      </c>
      <c r="T8604">
        <v>-0.1691453</v>
      </c>
      <c r="U8604">
        <v>-1.352295</v>
      </c>
      <c r="V8604">
        <v>-1.73535999999999E-2</v>
      </c>
      <c r="W8604">
        <v>6.0513290000000003E-3</v>
      </c>
      <c r="X8604">
        <v>0.99983109999999997</v>
      </c>
      <c r="Y8604">
        <v>-5.133853E-2</v>
      </c>
      <c r="Z8604">
        <v>2.9219640000000002E-2</v>
      </c>
      <c r="AA8604">
        <v>0.99825379999999997</v>
      </c>
      <c r="AB8604">
        <v>17</v>
      </c>
      <c r="AC8604">
        <v>17.514299999999899</v>
      </c>
      <c r="AD8604">
        <v>-1.1107893279549901</v>
      </c>
      <c r="AE8604">
        <v>-8.8374299999999995</v>
      </c>
      <c r="AF8604">
        <v>-1.0229236586167401</v>
      </c>
      <c r="AG8604">
        <v>-1.1107893279549901</v>
      </c>
      <c r="AH8604">
        <v>19.528149213215102</v>
      </c>
      <c r="AI8604">
        <v>93.251110901470994</v>
      </c>
      <c r="AJ8604">
        <v>92.998527428344005</v>
      </c>
      <c r="AK8604">
        <v>19.586445247569799</v>
      </c>
      <c r="AL8604">
        <v>89.653282270834893</v>
      </c>
      <c r="AM8604">
        <v>90.994356161335503</v>
      </c>
      <c r="AN8604">
        <v>0.99999999727141797</v>
      </c>
    </row>
    <row r="8605" spans="1:40" x14ac:dyDescent="0.25">
      <c r="A8605" t="str">
        <f>"20190312154128748"</f>
        <v>20190312154128748</v>
      </c>
      <c r="B8605" t="str">
        <f>"1552376488744644"</f>
        <v>1552376488744644</v>
      </c>
      <c r="C8605" t="s">
        <v>40</v>
      </c>
      <c r="D8605">
        <v>4.3749710000000004</v>
      </c>
      <c r="E8605">
        <v>0.48786459999999998</v>
      </c>
      <c r="F8605" t="s">
        <v>42</v>
      </c>
      <c r="G8605">
        <v>-269.41000000000003</v>
      </c>
      <c r="H8605" s="1">
        <v>-3.3404529999999998E-6</v>
      </c>
      <c r="I8605">
        <v>-61.791600000000003</v>
      </c>
      <c r="J8605">
        <v>-286.79480000000001</v>
      </c>
      <c r="K8605">
        <v>1.1107899999999999</v>
      </c>
      <c r="L8605">
        <v>-53.0246</v>
      </c>
      <c r="M8605">
        <v>0.86820529999999996</v>
      </c>
      <c r="N8605">
        <v>0</v>
      </c>
      <c r="O8605">
        <v>-0.49600630000000001</v>
      </c>
      <c r="P8605">
        <v>0.87665149999999903</v>
      </c>
      <c r="Q8605">
        <v>-8.1621660000000002E-3</v>
      </c>
      <c r="R8605">
        <v>-0.4810565</v>
      </c>
      <c r="S8605">
        <v>2.6788940000000001</v>
      </c>
      <c r="T8605">
        <v>-0.17038829999999999</v>
      </c>
      <c r="U8605">
        <v>-1.3516539999999999</v>
      </c>
      <c r="V8605">
        <v>-1.7177700000000001E-2</v>
      </c>
      <c r="W8605">
        <v>5.8582139999999996E-3</v>
      </c>
      <c r="X8605">
        <v>0.99983529999999998</v>
      </c>
      <c r="Y8605">
        <v>-5.0963799999999997E-2</v>
      </c>
      <c r="Z8605">
        <v>2.9396640000000002E-2</v>
      </c>
      <c r="AA8605">
        <v>0.99826780000000004</v>
      </c>
      <c r="AB8605">
        <v>17</v>
      </c>
      <c r="AC8605">
        <v>17.384799999999899</v>
      </c>
      <c r="AD8605">
        <v>-1.1107933404529999</v>
      </c>
      <c r="AE8605">
        <v>-8.7669999999999995</v>
      </c>
      <c r="AF8605">
        <v>-1.00823267225825</v>
      </c>
      <c r="AG8605">
        <v>-1.1107933404529999</v>
      </c>
      <c r="AH8605">
        <v>19.380900366701301</v>
      </c>
      <c r="AI8605">
        <v>93.2758311125408</v>
      </c>
      <c r="AJ8605">
        <v>92.977955021966295</v>
      </c>
      <c r="AK8605">
        <v>19.438870697409499</v>
      </c>
      <c r="AL8605">
        <v>89.664347145654901</v>
      </c>
      <c r="AM8605">
        <v>90.9842750023912</v>
      </c>
      <c r="AN8605">
        <v>1.00000000958732</v>
      </c>
    </row>
    <row r="8606" spans="1:40" x14ac:dyDescent="0.25">
      <c r="A8606" t="str">
        <f>"20190312154128761"</f>
        <v>20190312154128761</v>
      </c>
      <c r="B8606" t="str">
        <f>"1552376488755379"</f>
        <v>1552376488755379</v>
      </c>
      <c r="C8606" t="s">
        <v>40</v>
      </c>
      <c r="D8606">
        <v>4.381786</v>
      </c>
      <c r="E8606">
        <v>0.48801280000000002</v>
      </c>
      <c r="F8606" t="s">
        <v>42</v>
      </c>
      <c r="G8606">
        <v>-269.54129999999998</v>
      </c>
      <c r="H8606" s="1">
        <v>-3.37588E-6</v>
      </c>
      <c r="I8606">
        <v>-61.739469999999997</v>
      </c>
      <c r="J8606">
        <v>-286.71080000000001</v>
      </c>
      <c r="K8606">
        <v>1.1107880000000001</v>
      </c>
      <c r="L8606">
        <v>-53.071750000000002</v>
      </c>
      <c r="M8606">
        <v>0.86851579999999995</v>
      </c>
      <c r="N8606">
        <v>0</v>
      </c>
      <c r="O8606">
        <v>-0.49546289999999998</v>
      </c>
      <c r="P8606">
        <v>0.8768956</v>
      </c>
      <c r="Q8606">
        <v>-8.2669159999999992E-3</v>
      </c>
      <c r="R8606">
        <v>-0.48061009999999998</v>
      </c>
      <c r="S8606">
        <v>2.6781920000000001</v>
      </c>
      <c r="T8606">
        <v>-0.17242370000000001</v>
      </c>
      <c r="U8606">
        <v>-1.3527830000000001</v>
      </c>
      <c r="V8606">
        <v>-1.70609E-2</v>
      </c>
      <c r="W8606">
        <v>5.7514030000000004E-3</v>
      </c>
      <c r="X8606">
        <v>0.99983789999999995</v>
      </c>
      <c r="Y8606">
        <v>-4.9881549999999997E-2</v>
      </c>
      <c r="Z8606">
        <v>2.969049E-2</v>
      </c>
      <c r="AA8606">
        <v>0.99831369999999997</v>
      </c>
      <c r="AB8606">
        <v>17</v>
      </c>
      <c r="AC8606">
        <v>17.169499999999999</v>
      </c>
      <c r="AD8606">
        <v>-1.1107913758800001</v>
      </c>
      <c r="AE8606">
        <v>-8.6677199999999903</v>
      </c>
      <c r="AF8606">
        <v>-0.97564061785699796</v>
      </c>
      <c r="AG8606">
        <v>-1.1107913758800001</v>
      </c>
      <c r="AH8606">
        <v>19.144550202156701</v>
      </c>
      <c r="AI8606">
        <v>93.316357671748193</v>
      </c>
      <c r="AJ8606">
        <v>92.9173718689688</v>
      </c>
      <c r="AK8606">
        <v>19.201550316024999</v>
      </c>
      <c r="AL8606">
        <v>89.670467061630404</v>
      </c>
      <c r="AM8606">
        <v>90.977581173001795</v>
      </c>
      <c r="AN8606">
        <v>0.99999998961084402</v>
      </c>
    </row>
    <row r="8607" spans="1:40" x14ac:dyDescent="0.25">
      <c r="A8607" t="str">
        <f>"20190312154128772"</f>
        <v>20190312154128772</v>
      </c>
      <c r="B8607" t="str">
        <f>"1552376488765138"</f>
        <v>1552376488765138</v>
      </c>
      <c r="C8607" t="s">
        <v>40</v>
      </c>
      <c r="D8607">
        <v>4.3668879999999897</v>
      </c>
      <c r="E8607">
        <v>0.4882727</v>
      </c>
      <c r="F8607" t="s">
        <v>42</v>
      </c>
      <c r="G8607">
        <v>-269.572</v>
      </c>
      <c r="H8607" s="1">
        <v>-3.3840569999999998E-6</v>
      </c>
      <c r="I8607">
        <v>-61.726649999999999</v>
      </c>
      <c r="J8607">
        <v>-286.6277</v>
      </c>
      <c r="K8607">
        <v>1.1107880000000001</v>
      </c>
      <c r="L8607">
        <v>-53.118319999999997</v>
      </c>
      <c r="M8607">
        <v>0.86882219999999999</v>
      </c>
      <c r="N8607">
        <v>0</v>
      </c>
      <c r="O8607">
        <v>-0.49492550000000002</v>
      </c>
      <c r="P8607">
        <v>0.87721340000000003</v>
      </c>
      <c r="Q8607">
        <v>-8.2024760000000002E-3</v>
      </c>
      <c r="R8607">
        <v>-0.4800314</v>
      </c>
      <c r="S8607">
        <v>2.6782840000000001</v>
      </c>
      <c r="T8607">
        <v>-0.17358299999999999</v>
      </c>
      <c r="U8607">
        <v>-1.352509</v>
      </c>
      <c r="V8607">
        <v>-1.710238E-2</v>
      </c>
      <c r="W8607">
        <v>5.8133919999999997E-3</v>
      </c>
      <c r="X8607">
        <v>0.99983690000000003</v>
      </c>
      <c r="Y8607">
        <v>-4.934972E-2</v>
      </c>
      <c r="Z8607">
        <v>2.984612E-2</v>
      </c>
      <c r="AA8607">
        <v>0.99833550000000004</v>
      </c>
      <c r="AB8607">
        <v>17</v>
      </c>
      <c r="AC8607">
        <v>17.055700000000002</v>
      </c>
      <c r="AD8607">
        <v>-1.1107913840569901</v>
      </c>
      <c r="AE8607">
        <v>-8.6083300000000005</v>
      </c>
      <c r="AF8607">
        <v>-0.95904531870198295</v>
      </c>
      <c r="AG8607">
        <v>-1.1107913840569901</v>
      </c>
      <c r="AH8607">
        <v>19.0164460849096</v>
      </c>
      <c r="AI8607">
        <v>93.338737113438498</v>
      </c>
      <c r="AJ8607">
        <v>92.887118515529195</v>
      </c>
      <c r="AK8607">
        <v>19.072987367543998</v>
      </c>
      <c r="AL8607">
        <v>89.666915316505793</v>
      </c>
      <c r="AM8607">
        <v>90.979958473582499</v>
      </c>
      <c r="AN8607">
        <v>1.0000000567648999</v>
      </c>
    </row>
    <row r="8608" spans="1:40" x14ac:dyDescent="0.25">
      <c r="A8608" t="str">
        <f>"20190312154128786"</f>
        <v>20190312154128786</v>
      </c>
      <c r="B8608" t="str">
        <f>"1552376488774899"</f>
        <v>1552376488774899</v>
      </c>
      <c r="C8608" t="s">
        <v>40</v>
      </c>
      <c r="D8608">
        <v>4.3661430000000001</v>
      </c>
      <c r="E8608">
        <v>0.488487</v>
      </c>
      <c r="F8608" t="s">
        <v>95</v>
      </c>
      <c r="G8608">
        <v>-269.5446</v>
      </c>
      <c r="H8608" s="1">
        <v>-3.3781669999999998E-6</v>
      </c>
      <c r="I8608">
        <v>-61.745919999999998</v>
      </c>
      <c r="J8608">
        <v>-286.53989999999999</v>
      </c>
      <c r="K8608">
        <v>1.110787</v>
      </c>
      <c r="L8608">
        <v>-53.167479999999998</v>
      </c>
      <c r="M8608">
        <v>0.8691449</v>
      </c>
      <c r="N8608">
        <v>0</v>
      </c>
      <c r="O8608">
        <v>-0.49435859999999898</v>
      </c>
      <c r="P8608">
        <v>0.87753950000000003</v>
      </c>
      <c r="Q8608">
        <v>-8.3443630000000005E-3</v>
      </c>
      <c r="R8608">
        <v>-0.47943210000000003</v>
      </c>
      <c r="S8608">
        <v>2.678131</v>
      </c>
      <c r="T8608">
        <v>-0.17413999999999999</v>
      </c>
      <c r="U8608">
        <v>-1.3525700000000001</v>
      </c>
      <c r="V8608">
        <v>-1.713195E-2</v>
      </c>
      <c r="W8608">
        <v>5.6689109999999996E-3</v>
      </c>
      <c r="X8608">
        <v>0.99983719999999998</v>
      </c>
      <c r="Y8608">
        <v>-4.8653679999999998E-2</v>
      </c>
      <c r="Z8608">
        <v>2.9892809999999999E-2</v>
      </c>
      <c r="AA8608">
        <v>0.99836829999999999</v>
      </c>
      <c r="AB8608">
        <v>17</v>
      </c>
      <c r="AC8608">
        <v>16.995299999999901</v>
      </c>
      <c r="AD8608">
        <v>-1.1107903781669899</v>
      </c>
      <c r="AE8608">
        <v>-8.5784399999999899</v>
      </c>
      <c r="AF8608">
        <v>-0.94274889453477295</v>
      </c>
      <c r="AG8608">
        <v>-1.1107903781669899</v>
      </c>
      <c r="AH8608">
        <v>18.949562357989301</v>
      </c>
      <c r="AI8608">
        <v>93.350605492562494</v>
      </c>
      <c r="AJ8608">
        <v>92.848141457331494</v>
      </c>
      <c r="AK8608">
        <v>19.005487215583301</v>
      </c>
      <c r="AL8608">
        <v>89.675193596398998</v>
      </c>
      <c r="AM8608">
        <v>90.9816521951673</v>
      </c>
      <c r="AN8608">
        <v>1.0000000333832799</v>
      </c>
    </row>
    <row r="8609" spans="1:40" x14ac:dyDescent="0.25">
      <c r="A8609" t="str">
        <f>"20190312154128800"</f>
        <v>20190312154128800</v>
      </c>
      <c r="B8609" t="str">
        <f>"1552376488795394"</f>
        <v>1552376488795394</v>
      </c>
      <c r="C8609" t="s">
        <v>40</v>
      </c>
      <c r="D8609">
        <v>4.3801439999999996</v>
      </c>
      <c r="E8609">
        <v>0.4889058</v>
      </c>
      <c r="F8609" t="s">
        <v>42</v>
      </c>
      <c r="G8609">
        <v>-269.5772</v>
      </c>
      <c r="H8609" s="1">
        <v>-3.3868599999999999E-6</v>
      </c>
      <c r="I8609">
        <v>-61.732460000000003</v>
      </c>
      <c r="J8609">
        <v>-286.45030000000003</v>
      </c>
      <c r="K8609">
        <v>1.1107860000000001</v>
      </c>
      <c r="L8609">
        <v>-53.217529999999996</v>
      </c>
      <c r="M8609">
        <v>0.86947299999999905</v>
      </c>
      <c r="N8609">
        <v>0</v>
      </c>
      <c r="O8609">
        <v>-0.49378139999999998</v>
      </c>
      <c r="P8609">
        <v>0.8777838</v>
      </c>
      <c r="Q8609">
        <v>-8.3684829999999995E-3</v>
      </c>
      <c r="R8609">
        <v>-0.47898390000000002</v>
      </c>
      <c r="S8609">
        <v>2.6781619999999999</v>
      </c>
      <c r="T8609">
        <v>-0.17537759999999999</v>
      </c>
      <c r="U8609">
        <v>-1.352295</v>
      </c>
      <c r="V8609">
        <v>-1.6978440000000001E-2</v>
      </c>
      <c r="W8609">
        <v>5.6426870000000004E-3</v>
      </c>
      <c r="X8609">
        <v>0.99983999999999995</v>
      </c>
      <c r="Y8609">
        <v>-4.8066730000000002E-2</v>
      </c>
      <c r="Z8609">
        <v>3.005762E-2</v>
      </c>
      <c r="AA8609">
        <v>0.99839169999999999</v>
      </c>
      <c r="AB8609">
        <v>17</v>
      </c>
      <c r="AC8609">
        <v>16.873100000000001</v>
      </c>
      <c r="AD8609">
        <v>-1.1107893868600001</v>
      </c>
      <c r="AE8609">
        <v>-8.5149299999999908</v>
      </c>
      <c r="AF8609">
        <v>-0.92501729233109997</v>
      </c>
      <c r="AG8609">
        <v>-1.1107893868600001</v>
      </c>
      <c r="AH8609">
        <v>18.812094530573798</v>
      </c>
      <c r="AI8609">
        <v>93.375126565556599</v>
      </c>
      <c r="AJ8609">
        <v>92.815047201276499</v>
      </c>
      <c r="AK8609">
        <v>18.8675491434451</v>
      </c>
      <c r="AL8609">
        <v>89.676696155600297</v>
      </c>
      <c r="AM8609">
        <v>90.972855122951103</v>
      </c>
      <c r="AN8609">
        <v>1.0000000664707001</v>
      </c>
    </row>
    <row r="8610" spans="1:40" x14ac:dyDescent="0.25">
      <c r="A8610" t="str">
        <f>"20190312154128811"</f>
        <v>20190312154128811</v>
      </c>
      <c r="B8610" t="str">
        <f>"1552376488805154"</f>
        <v>1552376488805154</v>
      </c>
      <c r="C8610" t="s">
        <v>40</v>
      </c>
      <c r="D8610">
        <v>4.3643239999999999</v>
      </c>
      <c r="E8610">
        <v>0.48911939999999998</v>
      </c>
      <c r="F8610" t="s">
        <v>42</v>
      </c>
      <c r="G8610">
        <v>-269.69970000000001</v>
      </c>
      <c r="H8610" s="1">
        <v>-3.4205429999999998E-6</v>
      </c>
      <c r="I8610">
        <v>-61.687289999999997</v>
      </c>
      <c r="J8610">
        <v>-286.36750000000001</v>
      </c>
      <c r="K8610">
        <v>1.110787</v>
      </c>
      <c r="L8610">
        <v>-53.2637</v>
      </c>
      <c r="M8610">
        <v>0.86977559999999998</v>
      </c>
      <c r="N8610">
        <v>0</v>
      </c>
      <c r="O8610">
        <v>-0.49324820000000003</v>
      </c>
      <c r="P8610">
        <v>0.87807959999999996</v>
      </c>
      <c r="Q8610">
        <v>-8.653137E-3</v>
      </c>
      <c r="R8610">
        <v>-0.47843669999999999</v>
      </c>
      <c r="S8610">
        <v>2.6773069999999999</v>
      </c>
      <c r="T8610">
        <v>-0.177541</v>
      </c>
      <c r="U8610">
        <v>-1.3537600000000001</v>
      </c>
      <c r="V8610">
        <v>-1.6986560000000001E-2</v>
      </c>
      <c r="W8610">
        <v>5.3556350000000001E-3</v>
      </c>
      <c r="X8610">
        <v>0.99984139999999999</v>
      </c>
      <c r="Y8610">
        <v>-4.6873150000000002E-2</v>
      </c>
      <c r="Z8610">
        <v>3.0366810000000001E-2</v>
      </c>
      <c r="AA8610">
        <v>0.99843919999999997</v>
      </c>
      <c r="AB8610">
        <v>17</v>
      </c>
      <c r="AC8610">
        <v>16.6678</v>
      </c>
      <c r="AD8610">
        <v>-1.1107904205429999</v>
      </c>
      <c r="AE8610">
        <v>-8.4235900000000008</v>
      </c>
      <c r="AF8610">
        <v>-0.89166283119911205</v>
      </c>
      <c r="AG8610">
        <v>-1.1107904205429999</v>
      </c>
      <c r="AH8610">
        <v>18.5882405185063</v>
      </c>
      <c r="AI8610">
        <v>93.415878481124295</v>
      </c>
      <c r="AJ8610">
        <v>92.746326921602204</v>
      </c>
      <c r="AK8610">
        <v>18.6427359455835</v>
      </c>
      <c r="AL8610">
        <v>89.693143258811403</v>
      </c>
      <c r="AM8610">
        <v>90.973318942324994</v>
      </c>
      <c r="AN8610">
        <v>1.00000002560042</v>
      </c>
    </row>
    <row r="8611" spans="1:40" x14ac:dyDescent="0.25">
      <c r="A8611" t="str">
        <f>"20190312154128825"</f>
        <v>20190312154128825</v>
      </c>
      <c r="B8611" t="str">
        <f>"1552376488814915"</f>
        <v>1552376488814915</v>
      </c>
      <c r="C8611" t="s">
        <v>40</v>
      </c>
      <c r="D8611">
        <v>4.3546639999999996</v>
      </c>
      <c r="E8611">
        <v>0.48932490000000001</v>
      </c>
      <c r="F8611" t="s">
        <v>42</v>
      </c>
      <c r="G8611">
        <v>-269.7647</v>
      </c>
      <c r="H8611" s="1">
        <v>-3.4376259999999998E-6</v>
      </c>
      <c r="I8611">
        <v>-61.658920000000002</v>
      </c>
      <c r="J8611">
        <v>-286.27420000000001</v>
      </c>
      <c r="K8611">
        <v>1.1107849999999999</v>
      </c>
      <c r="L8611">
        <v>-53.315669999999997</v>
      </c>
      <c r="M8611">
        <v>0.87011559999999899</v>
      </c>
      <c r="N8611">
        <v>0</v>
      </c>
      <c r="O8611">
        <v>-0.49264799999999997</v>
      </c>
      <c r="P8611">
        <v>0.87827</v>
      </c>
      <c r="Q8611">
        <v>-8.9373760000000003E-3</v>
      </c>
      <c r="R8611">
        <v>-0.47808210000000001</v>
      </c>
      <c r="S8611">
        <v>2.6771850000000001</v>
      </c>
      <c r="T8611">
        <v>-0.17911359999999901</v>
      </c>
      <c r="U8611">
        <v>-1.353729</v>
      </c>
      <c r="V8611">
        <v>-1.6699099999999901E-2</v>
      </c>
      <c r="W8611">
        <v>5.0690589999999999E-3</v>
      </c>
      <c r="X8611">
        <v>0.99984770000000001</v>
      </c>
      <c r="Y8611">
        <v>-4.6161769999999998E-2</v>
      </c>
      <c r="Z8611">
        <v>3.0582649999999999E-2</v>
      </c>
      <c r="AA8611">
        <v>0.99846570000000001</v>
      </c>
      <c r="AB8611">
        <v>17</v>
      </c>
      <c r="AC8611">
        <v>16.509499999999999</v>
      </c>
      <c r="AD8611">
        <v>-1.110788437626</v>
      </c>
      <c r="AE8611">
        <v>-8.3432499999999905</v>
      </c>
      <c r="AF8611">
        <v>-0.87072639263418405</v>
      </c>
      <c r="AG8611">
        <v>-1.110788437626</v>
      </c>
      <c r="AH8611">
        <v>18.410888845578899</v>
      </c>
      <c r="AI8611">
        <v>93.4488087566601</v>
      </c>
      <c r="AJ8611">
        <v>92.707734623854094</v>
      </c>
      <c r="AK8611">
        <v>18.464908434331701</v>
      </c>
      <c r="AL8611">
        <v>89.709563066251604</v>
      </c>
      <c r="AM8611">
        <v>90.956844730299096</v>
      </c>
      <c r="AN8611">
        <v>0.99999998924762201</v>
      </c>
    </row>
    <row r="8612" spans="1:40" x14ac:dyDescent="0.25">
      <c r="A8612" t="str">
        <f>"20190312154128836"</f>
        <v>20190312154128836</v>
      </c>
      <c r="B8612" t="str">
        <f>"1552376488824674"</f>
        <v>1552376488824674</v>
      </c>
      <c r="C8612" t="s">
        <v>40</v>
      </c>
      <c r="D8612">
        <v>4.3330299999999999</v>
      </c>
      <c r="E8612">
        <v>0.4894674</v>
      </c>
      <c r="F8612" t="s">
        <v>42</v>
      </c>
      <c r="G8612">
        <v>-269.82279999999997</v>
      </c>
      <c r="H8612" s="1">
        <v>-3.4535460000000001E-6</v>
      </c>
      <c r="I8612">
        <v>-61.637140000000002</v>
      </c>
      <c r="J8612">
        <v>-286.19940000000003</v>
      </c>
      <c r="K8612">
        <v>1.110781</v>
      </c>
      <c r="L8612">
        <v>-53.357329999999997</v>
      </c>
      <c r="M8612">
        <v>0.87038819999999995</v>
      </c>
      <c r="N8612">
        <v>0</v>
      </c>
      <c r="O8612">
        <v>-0.49216650000000001</v>
      </c>
      <c r="P8612">
        <v>0.87859240000000005</v>
      </c>
      <c r="Q8612">
        <v>-8.9622260000000002E-3</v>
      </c>
      <c r="R8612">
        <v>-0.47748849999999998</v>
      </c>
      <c r="S8612">
        <v>2.6769409999999998</v>
      </c>
      <c r="T8612">
        <v>-0.1807454</v>
      </c>
      <c r="U8612">
        <v>-1.3540650000000001</v>
      </c>
      <c r="V8612">
        <v>-1.6821160000000002E-2</v>
      </c>
      <c r="W8612">
        <v>5.0418809999999998E-3</v>
      </c>
      <c r="X8612">
        <v>0.99984580000000001</v>
      </c>
      <c r="Y8612">
        <v>-4.545884E-2</v>
      </c>
      <c r="Z8612">
        <v>3.0814299999999999E-2</v>
      </c>
      <c r="AA8612">
        <v>0.99849089999999996</v>
      </c>
      <c r="AB8612">
        <v>17</v>
      </c>
      <c r="AC8612">
        <v>16.3766</v>
      </c>
      <c r="AD8612">
        <v>-1.1107844535460001</v>
      </c>
      <c r="AE8612">
        <v>-8.2798099999999906</v>
      </c>
      <c r="AF8612">
        <v>-0.85033323275434802</v>
      </c>
      <c r="AG8612">
        <v>-1.1107844535460001</v>
      </c>
      <c r="AH8612">
        <v>18.263926926688399</v>
      </c>
      <c r="AI8612">
        <v>93.4765991164345</v>
      </c>
      <c r="AJ8612">
        <v>92.665656091273405</v>
      </c>
      <c r="AK8612">
        <v>18.3174216387673</v>
      </c>
      <c r="AL8612">
        <v>89.711120273358006</v>
      </c>
      <c r="AM8612">
        <v>90.9638391848015</v>
      </c>
      <c r="AN8612">
        <v>0.999999997882701</v>
      </c>
    </row>
    <row r="8613" spans="1:40" x14ac:dyDescent="0.25">
      <c r="A8613" t="str">
        <f>"20190312154128848"</f>
        <v>20190312154128848</v>
      </c>
      <c r="B8613" t="str">
        <f>"1552376488845171"</f>
        <v>1552376488845171</v>
      </c>
      <c r="C8613" t="s">
        <v>40</v>
      </c>
      <c r="D8613">
        <v>4.3190179999999998</v>
      </c>
      <c r="E8613">
        <v>0.48987249999999999</v>
      </c>
      <c r="F8613" t="s">
        <v>42</v>
      </c>
      <c r="G8613">
        <v>-269.86470000000003</v>
      </c>
      <c r="H8613" s="1">
        <v>-3.4635270000000001E-6</v>
      </c>
      <c r="I8613">
        <v>-61.613019999999999</v>
      </c>
      <c r="J8613">
        <v>-286.12599999999998</v>
      </c>
      <c r="K8613">
        <v>1.1107800000000001</v>
      </c>
      <c r="L8613">
        <v>-53.398040000000002</v>
      </c>
      <c r="M8613">
        <v>0.87065459999999995</v>
      </c>
      <c r="N8613">
        <v>0</v>
      </c>
      <c r="O8613">
        <v>-0.49169499999999999</v>
      </c>
      <c r="P8613">
        <v>0.87892309999999996</v>
      </c>
      <c r="Q8613">
        <v>-8.9414130000000005E-3</v>
      </c>
      <c r="R8613">
        <v>-0.47688000000000003</v>
      </c>
      <c r="S8613">
        <v>2.6773069999999999</v>
      </c>
      <c r="T8613">
        <v>-0.18206169999999999</v>
      </c>
      <c r="U8613">
        <v>-1.3531489999999999</v>
      </c>
      <c r="V8613">
        <v>-1.6972290000000001E-2</v>
      </c>
      <c r="W8613">
        <v>5.0604760000000004E-3</v>
      </c>
      <c r="X8613">
        <v>0.99984320000000004</v>
      </c>
      <c r="Y8613">
        <v>-4.5233250000000003E-2</v>
      </c>
      <c r="Z8613">
        <v>3.100493E-2</v>
      </c>
      <c r="AA8613">
        <v>0.99849520000000003</v>
      </c>
      <c r="AB8613">
        <v>17</v>
      </c>
      <c r="AC8613">
        <v>16.261299999999899</v>
      </c>
      <c r="AD8613">
        <v>-1.110783463527</v>
      </c>
      <c r="AE8613">
        <v>-8.21497999999999</v>
      </c>
      <c r="AF8613">
        <v>-0.84014956129308804</v>
      </c>
      <c r="AG8613">
        <v>-1.110783463527</v>
      </c>
      <c r="AH8613">
        <v>18.1316280261712</v>
      </c>
      <c r="AI8613">
        <v>93.501936323117206</v>
      </c>
      <c r="AJ8613">
        <v>92.652967378388695</v>
      </c>
      <c r="AK8613">
        <v>18.1850385225774</v>
      </c>
      <c r="AL8613">
        <v>89.710054858641797</v>
      </c>
      <c r="AM8613">
        <v>90.972499687178995</v>
      </c>
      <c r="AN8613">
        <v>1.0000000458157099</v>
      </c>
    </row>
    <row r="8614" spans="1:40" x14ac:dyDescent="0.25">
      <c r="A8614" t="str">
        <f>"20190312154128858"</f>
        <v>20190312154128858</v>
      </c>
      <c r="B8614" t="str">
        <f>"1552376488854930"</f>
        <v>1552376488854930</v>
      </c>
      <c r="C8614" t="s">
        <v>40</v>
      </c>
      <c r="D8614">
        <v>4.3343449999999999</v>
      </c>
      <c r="E8614">
        <v>0.49007719999999999</v>
      </c>
      <c r="F8614" t="s">
        <v>94</v>
      </c>
      <c r="G8614">
        <v>-270.01190000000003</v>
      </c>
      <c r="H8614" s="1">
        <v>5.8122519999999998E-7</v>
      </c>
      <c r="I8614">
        <v>-61.550049999999999</v>
      </c>
      <c r="J8614">
        <v>-286.05009999999999</v>
      </c>
      <c r="K8614">
        <v>1.1107769999999999</v>
      </c>
      <c r="L8614">
        <v>-53.440190000000001</v>
      </c>
      <c r="M8614">
        <v>0.87092999999999998</v>
      </c>
      <c r="N8614">
        <v>0</v>
      </c>
      <c r="O8614">
        <v>-0.49120730000000001</v>
      </c>
      <c r="P8614">
        <v>0.87930109999999995</v>
      </c>
      <c r="Q8614">
        <v>-8.898619E-3</v>
      </c>
      <c r="R8614">
        <v>-0.47618329999999998</v>
      </c>
      <c r="S8614">
        <v>2.6766969999999999</v>
      </c>
      <c r="T8614">
        <v>-0.18451090000000001</v>
      </c>
      <c r="U8614">
        <v>-1.3541259999999999</v>
      </c>
      <c r="V8614">
        <v>-1.7204469999999999E-2</v>
      </c>
      <c r="W8614">
        <v>5.1010070000000003E-3</v>
      </c>
      <c r="X8614">
        <v>0.99983900000000003</v>
      </c>
      <c r="Y8614">
        <v>-4.4270410000000003E-2</v>
      </c>
      <c r="Z8614">
        <v>3.1366749999999999E-2</v>
      </c>
      <c r="AA8614">
        <v>0.9985271</v>
      </c>
      <c r="AB8614">
        <v>17</v>
      </c>
      <c r="AC8614">
        <v>16.0381999999999</v>
      </c>
      <c r="AD8614">
        <v>-1.1107764187747999</v>
      </c>
      <c r="AE8614">
        <v>-8.1098599999999905</v>
      </c>
      <c r="AF8614">
        <v>-0.811938981151612</v>
      </c>
      <c r="AG8614">
        <v>-1.1107764187747999</v>
      </c>
      <c r="AH8614">
        <v>17.8852135258117</v>
      </c>
      <c r="AI8614">
        <v>93.550191602069205</v>
      </c>
      <c r="AJ8614">
        <v>92.599284485044905</v>
      </c>
      <c r="AK8614">
        <v>17.938058201084601</v>
      </c>
      <c r="AL8614">
        <v>89.707732565986902</v>
      </c>
      <c r="AM8614">
        <v>90.985804962327705</v>
      </c>
      <c r="AN8614">
        <v>1.00000001999069</v>
      </c>
    </row>
    <row r="8615" spans="1:40" x14ac:dyDescent="0.25">
      <c r="A8615" t="str">
        <f>"20190312154128882"</f>
        <v>20190312154128882</v>
      </c>
      <c r="B8615" t="str">
        <f>"1552376488874450"</f>
        <v>1552376488874450</v>
      </c>
      <c r="C8615" t="s">
        <v>40</v>
      </c>
      <c r="D8615">
        <v>4.3016699999999997</v>
      </c>
      <c r="E8615">
        <v>0.49045080000000002</v>
      </c>
      <c r="F8615" t="s">
        <v>94</v>
      </c>
      <c r="G8615">
        <v>-270.04689999999999</v>
      </c>
      <c r="H8615" s="1">
        <v>5.7050860000000005E-7</v>
      </c>
      <c r="I8615">
        <v>-61.530799999999999</v>
      </c>
      <c r="J8615">
        <v>-285.89699999999999</v>
      </c>
      <c r="K8615">
        <v>1.1107689999999999</v>
      </c>
      <c r="L8615">
        <v>-53.524900000000002</v>
      </c>
      <c r="M8615">
        <v>0.87148369999999997</v>
      </c>
      <c r="N8615">
        <v>0</v>
      </c>
      <c r="O8615">
        <v>-0.49022450000000001</v>
      </c>
      <c r="P8615">
        <v>0.88002569999999902</v>
      </c>
      <c r="Q8615">
        <v>-8.7959570000000001E-3</v>
      </c>
      <c r="R8615">
        <v>-0.47484530000000003</v>
      </c>
      <c r="S8615">
        <v>2.6770019999999999</v>
      </c>
      <c r="T8615">
        <v>-0.18581020000000001</v>
      </c>
      <c r="U8615">
        <v>-1.353394</v>
      </c>
      <c r="V8615">
        <v>-1.7598260000000001E-2</v>
      </c>
      <c r="W8615">
        <v>5.1982809999999999E-3</v>
      </c>
      <c r="X8615">
        <v>0.99983160000000004</v>
      </c>
      <c r="Y8615">
        <v>-4.3397119999999997E-2</v>
      </c>
      <c r="Z8615">
        <v>3.1504119999999997E-2</v>
      </c>
      <c r="AA8615">
        <v>0.99856109999999998</v>
      </c>
      <c r="AB8615">
        <v>17</v>
      </c>
      <c r="AC8615">
        <v>15.8500999999999</v>
      </c>
      <c r="AD8615">
        <v>-1.1107684294914</v>
      </c>
      <c r="AE8615">
        <v>-8.0058999999999898</v>
      </c>
      <c r="AF8615">
        <v>-0.79008227915316298</v>
      </c>
      <c r="AG8615">
        <v>-1.1107684294914</v>
      </c>
      <c r="AH8615">
        <v>17.670389633043499</v>
      </c>
      <c r="AI8615">
        <v>93.593324482796305</v>
      </c>
      <c r="AJ8615">
        <v>92.560116135277397</v>
      </c>
      <c r="AK8615">
        <v>17.722886511382899</v>
      </c>
      <c r="AL8615">
        <v>89.702159089024804</v>
      </c>
      <c r="AM8615">
        <v>91.008371728483695</v>
      </c>
      <c r="AN8615">
        <v>0.99999997461947099</v>
      </c>
    </row>
    <row r="8616" spans="1:40" x14ac:dyDescent="0.25">
      <c r="A8616" t="str">
        <f>"20190312154128892"</f>
        <v>20190312154128892</v>
      </c>
      <c r="B8616" t="str">
        <f>"1552376488885187"</f>
        <v>1552376488885187</v>
      </c>
      <c r="C8616" t="s">
        <v>40</v>
      </c>
      <c r="D8616">
        <v>4.3206860000000002</v>
      </c>
      <c r="E8616">
        <v>0.49060229999999999</v>
      </c>
      <c r="F8616" t="s">
        <v>94</v>
      </c>
      <c r="G8616">
        <v>-270.11430000000001</v>
      </c>
      <c r="H8616" s="1">
        <v>5.4980409999999996E-7</v>
      </c>
      <c r="I8616">
        <v>-61.49389</v>
      </c>
      <c r="J8616">
        <v>-285.82209999999998</v>
      </c>
      <c r="K8616">
        <v>1.110765</v>
      </c>
      <c r="L8616">
        <v>-53.56635</v>
      </c>
      <c r="M8616">
        <v>0.87175419999999904</v>
      </c>
      <c r="N8616">
        <v>0</v>
      </c>
      <c r="O8616">
        <v>-0.48974299999999998</v>
      </c>
      <c r="P8616">
        <v>0.88034000000000001</v>
      </c>
      <c r="Q8616">
        <v>-8.4639009999999994E-3</v>
      </c>
      <c r="R8616">
        <v>-0.47426819999999997</v>
      </c>
      <c r="S8616">
        <v>2.6775820000000001</v>
      </c>
      <c r="T8616">
        <v>-0.18844469999999999</v>
      </c>
      <c r="U8616">
        <v>-1.3519589999999999</v>
      </c>
      <c r="V8616">
        <v>-1.7703590000000002E-2</v>
      </c>
      <c r="W8616">
        <v>5.5287230000000001E-3</v>
      </c>
      <c r="X8616">
        <v>0.99982800000000005</v>
      </c>
      <c r="Y8616">
        <v>-4.3333690000000001E-2</v>
      </c>
      <c r="Z8616">
        <v>3.1919540000000003E-2</v>
      </c>
      <c r="AA8616">
        <v>0.99855059999999995</v>
      </c>
      <c r="AB8616">
        <v>17</v>
      </c>
      <c r="AC8616">
        <v>15.707799999999899</v>
      </c>
      <c r="AD8616">
        <v>-1.1107644501959</v>
      </c>
      <c r="AE8616">
        <v>-7.9275399999999996</v>
      </c>
      <c r="AF8616">
        <v>-0.77889142494756203</v>
      </c>
      <c r="AG8616">
        <v>-1.1107644501959</v>
      </c>
      <c r="AH8616">
        <v>17.5077490721803</v>
      </c>
      <c r="AI8616">
        <v>93.626639548273403</v>
      </c>
      <c r="AJ8616">
        <v>92.547316836297995</v>
      </c>
      <c r="AK8616">
        <v>17.5602319771154</v>
      </c>
      <c r="AL8616">
        <v>89.683225894327194</v>
      </c>
      <c r="AM8616">
        <v>91.014409480531</v>
      </c>
      <c r="AN8616">
        <v>1.00000000673044</v>
      </c>
    </row>
    <row r="8617" spans="1:40" x14ac:dyDescent="0.25">
      <c r="A8617" t="str">
        <f>"20190312154128903"</f>
        <v>20190312154128903</v>
      </c>
      <c r="B8617" t="str">
        <f>"1552376488894947"</f>
        <v>1552376488894947</v>
      </c>
      <c r="C8617" t="s">
        <v>40</v>
      </c>
      <c r="D8617">
        <v>4.2936940000000003</v>
      </c>
      <c r="E8617">
        <v>0.49075039999999998</v>
      </c>
      <c r="F8617" t="s">
        <v>94</v>
      </c>
      <c r="G8617">
        <v>-270.10910000000001</v>
      </c>
      <c r="H8617" s="1">
        <v>5.5184360000000003E-7</v>
      </c>
      <c r="I8617">
        <v>-61.494720000000001</v>
      </c>
      <c r="J8617">
        <v>-285.74959999999999</v>
      </c>
      <c r="K8617">
        <v>1.11077</v>
      </c>
      <c r="L8617">
        <v>-53.606319999999997</v>
      </c>
      <c r="M8617">
        <v>0.87201530000000005</v>
      </c>
      <c r="N8617">
        <v>0</v>
      </c>
      <c r="O8617">
        <v>-0.48927789999999999</v>
      </c>
      <c r="P8617">
        <v>0.88064849999999995</v>
      </c>
      <c r="Q8617">
        <v>-8.5704519999999992E-3</v>
      </c>
      <c r="R8617">
        <v>-0.47369260000000002</v>
      </c>
      <c r="S8617">
        <v>2.6780089999999999</v>
      </c>
      <c r="T8617">
        <v>-0.1893109</v>
      </c>
      <c r="U8617">
        <v>-1.3512569999999999</v>
      </c>
      <c r="V8617">
        <v>-1.78228E-2</v>
      </c>
      <c r="W8617">
        <v>5.4195299999999997E-3</v>
      </c>
      <c r="X8617">
        <v>0.99982649999999995</v>
      </c>
      <c r="Y8617">
        <v>-4.3066180000000003E-2</v>
      </c>
      <c r="Z8617">
        <v>3.2028889999999997E-2</v>
      </c>
      <c r="AA8617">
        <v>0.99855870000000002</v>
      </c>
      <c r="AB8617">
        <v>17</v>
      </c>
      <c r="AC8617">
        <v>15.6404999999999</v>
      </c>
      <c r="AD8617">
        <v>-1.1107694481563899</v>
      </c>
      <c r="AE8617">
        <v>-7.8883999999999901</v>
      </c>
      <c r="AF8617">
        <v>-0.77072254989765998</v>
      </c>
      <c r="AG8617">
        <v>-1.1107694481563899</v>
      </c>
      <c r="AH8617">
        <v>17.430010543519199</v>
      </c>
      <c r="AI8617">
        <v>93.642830853327794</v>
      </c>
      <c r="AJ8617">
        <v>92.531863205858997</v>
      </c>
      <c r="AK8617">
        <v>17.482365102098498</v>
      </c>
      <c r="AL8617">
        <v>89.689482292314096</v>
      </c>
      <c r="AM8617">
        <v>91.021240261617805</v>
      </c>
      <c r="AN8617">
        <v>1.0000000268037501</v>
      </c>
    </row>
    <row r="8618" spans="1:40" x14ac:dyDescent="0.25">
      <c r="A8618" t="str">
        <f>"20190312154128914"</f>
        <v>20190312154128914</v>
      </c>
      <c r="B8618" t="str">
        <f>"1552376488904707"</f>
        <v>1552376488904707</v>
      </c>
      <c r="C8618" t="s">
        <v>40</v>
      </c>
      <c r="D8618">
        <v>4.3058170000000002</v>
      </c>
      <c r="E8618">
        <v>0.49091810000000002</v>
      </c>
      <c r="F8618" t="s">
        <v>94</v>
      </c>
      <c r="G8618">
        <v>-270.1859</v>
      </c>
      <c r="H8618" s="1">
        <v>5.2806680000000003E-7</v>
      </c>
      <c r="I8618">
        <v>-61.453400000000002</v>
      </c>
      <c r="J8618">
        <v>-285.67619999999999</v>
      </c>
      <c r="K8618">
        <v>1.110768</v>
      </c>
      <c r="L8618">
        <v>-53.646790000000003</v>
      </c>
      <c r="M8618">
        <v>0.87227940000000004</v>
      </c>
      <c r="N8618">
        <v>0</v>
      </c>
      <c r="O8618">
        <v>-0.4888074</v>
      </c>
      <c r="P8618">
        <v>0.88109740000000003</v>
      </c>
      <c r="Q8618">
        <v>-8.2987040000000005E-3</v>
      </c>
      <c r="R8618">
        <v>-0.47286220000000001</v>
      </c>
      <c r="S8618">
        <v>2.6783450000000002</v>
      </c>
      <c r="T8618">
        <v>-0.19115209999999999</v>
      </c>
      <c r="U8618">
        <v>-1.350403</v>
      </c>
      <c r="V8618">
        <v>-1.8227529999999999E-2</v>
      </c>
      <c r="W8618">
        <v>5.6889389999999996E-3</v>
      </c>
      <c r="X8618">
        <v>0.99981770000000003</v>
      </c>
      <c r="Y8618">
        <v>-4.2814329999999998E-2</v>
      </c>
      <c r="Z8618">
        <v>3.230396E-2</v>
      </c>
      <c r="AA8618">
        <v>0.99856069999999997</v>
      </c>
      <c r="AB8618">
        <v>17</v>
      </c>
      <c r="AC8618">
        <v>15.4902999999999</v>
      </c>
      <c r="AD8618">
        <v>-1.1107674719331999</v>
      </c>
      <c r="AE8618">
        <v>-7.8066099999999903</v>
      </c>
      <c r="AF8618">
        <v>-0.75918983688609698</v>
      </c>
      <c r="AG8618">
        <v>-1.1107674719331999</v>
      </c>
      <c r="AH8618">
        <v>17.258727381802899</v>
      </c>
      <c r="AI8618">
        <v>93.678915618065901</v>
      </c>
      <c r="AJ8618">
        <v>92.518745934903194</v>
      </c>
      <c r="AK8618">
        <v>17.311090214787999</v>
      </c>
      <c r="AL8618">
        <v>89.674046053716495</v>
      </c>
      <c r="AM8618">
        <v>91.044435260941796</v>
      </c>
      <c r="AN8618">
        <v>1.0000000200550601</v>
      </c>
    </row>
    <row r="8619" spans="1:40" x14ac:dyDescent="0.25">
      <c r="A8619" t="str">
        <f>"20190312154128926"</f>
        <v>20190312154128926</v>
      </c>
      <c r="B8619" t="str">
        <f>"1552376488914467"</f>
        <v>1552376488914467</v>
      </c>
      <c r="C8619" t="s">
        <v>40</v>
      </c>
      <c r="D8619">
        <v>4.2937059999999896</v>
      </c>
      <c r="E8619">
        <v>0.49106499999999997</v>
      </c>
      <c r="F8619" t="s">
        <v>94</v>
      </c>
      <c r="G8619">
        <v>-270.1558</v>
      </c>
      <c r="H8619" s="1">
        <v>5.3917030000000001E-7</v>
      </c>
      <c r="I8619">
        <v>-61.46163</v>
      </c>
      <c r="J8619">
        <v>-285.60379999999998</v>
      </c>
      <c r="K8619">
        <v>1.1107659999999999</v>
      </c>
      <c r="L8619">
        <v>-53.686680000000003</v>
      </c>
      <c r="M8619">
        <v>0.87253950000000002</v>
      </c>
      <c r="N8619">
        <v>0</v>
      </c>
      <c r="O8619">
        <v>-0.48834319999999998</v>
      </c>
      <c r="P8619">
        <v>0.88132880000000002</v>
      </c>
      <c r="Q8619">
        <v>-8.1776929999999998E-3</v>
      </c>
      <c r="R8619">
        <v>-0.47243309999999999</v>
      </c>
      <c r="S8619">
        <v>2.6790769999999999</v>
      </c>
      <c r="T8619">
        <v>-0.1917363</v>
      </c>
      <c r="U8619">
        <v>-1.3489690000000001</v>
      </c>
      <c r="V8619">
        <v>-1.818318E-2</v>
      </c>
      <c r="W8619">
        <v>5.8076689999999997E-3</v>
      </c>
      <c r="X8619">
        <v>0.99981779999999998</v>
      </c>
      <c r="Y8619">
        <v>-4.2813879999999999E-2</v>
      </c>
      <c r="Z8619">
        <v>3.2373069999999997E-2</v>
      </c>
      <c r="AA8619">
        <v>0.99855850000000002</v>
      </c>
      <c r="AB8619">
        <v>17</v>
      </c>
      <c r="AC8619">
        <v>15.447999999999899</v>
      </c>
      <c r="AD8619">
        <v>-1.1107654608297</v>
      </c>
      <c r="AE8619">
        <v>-7.7749499999999996</v>
      </c>
      <c r="AF8619">
        <v>-0.75692670500996695</v>
      </c>
      <c r="AG8619">
        <v>-1.1107654608297</v>
      </c>
      <c r="AH8619">
        <v>17.206545237379601</v>
      </c>
      <c r="AI8619">
        <v>93.690034889224094</v>
      </c>
      <c r="AJ8619">
        <v>92.518853267128193</v>
      </c>
      <c r="AK8619">
        <v>17.2589668564408</v>
      </c>
      <c r="AL8619">
        <v>89.667243205257705</v>
      </c>
      <c r="AM8619">
        <v>91.041894467994396</v>
      </c>
      <c r="AN8619">
        <v>0.99999999512548199</v>
      </c>
    </row>
    <row r="8620" spans="1:40" x14ac:dyDescent="0.25">
      <c r="A8620" t="str">
        <f>"20190312154128937"</f>
        <v>20190312154128937</v>
      </c>
      <c r="B8620" t="str">
        <f>"1552376488925202"</f>
        <v>1552376488925202</v>
      </c>
      <c r="C8620" t="s">
        <v>40</v>
      </c>
      <c r="D8620">
        <v>4.2887139999999997</v>
      </c>
      <c r="E8620">
        <v>0.49124269999999998</v>
      </c>
      <c r="F8620" t="s">
        <v>94</v>
      </c>
      <c r="G8620">
        <v>-270.1028</v>
      </c>
      <c r="H8620" s="1">
        <v>5.5543360000000003E-7</v>
      </c>
      <c r="I8620">
        <v>-61.490659999999998</v>
      </c>
      <c r="J8620">
        <v>-285.52640000000002</v>
      </c>
      <c r="K8620">
        <v>1.110765</v>
      </c>
      <c r="L8620">
        <v>-53.72925</v>
      </c>
      <c r="M8620">
        <v>0.87281690000000001</v>
      </c>
      <c r="N8620">
        <v>0</v>
      </c>
      <c r="O8620">
        <v>-0.48784680000000002</v>
      </c>
      <c r="P8620">
        <v>0.88168199999999997</v>
      </c>
      <c r="Q8620">
        <v>-8.2351260000000006E-3</v>
      </c>
      <c r="R8620">
        <v>-0.47177239999999998</v>
      </c>
      <c r="S8620">
        <v>2.679138</v>
      </c>
      <c r="T8620">
        <v>-0.19198119999999999</v>
      </c>
      <c r="U8620">
        <v>-1.348816</v>
      </c>
      <c r="V8620">
        <v>-1.8363399999999998E-2</v>
      </c>
      <c r="W8620">
        <v>5.7480659999999996E-3</v>
      </c>
      <c r="X8620">
        <v>0.99981489999999995</v>
      </c>
      <c r="Y8620">
        <v>-4.2299379999999998E-2</v>
      </c>
      <c r="Z8620">
        <v>3.2368750000000002E-2</v>
      </c>
      <c r="AA8620">
        <v>0.99858049999999998</v>
      </c>
      <c r="AB8620">
        <v>17</v>
      </c>
      <c r="AC8620">
        <v>15.4236</v>
      </c>
      <c r="AD8620">
        <v>-1.1107644445664</v>
      </c>
      <c r="AE8620">
        <v>-7.7614099999999899</v>
      </c>
      <c r="AF8620">
        <v>-0.74704601691561501</v>
      </c>
      <c r="AG8620">
        <v>-1.1107644445664</v>
      </c>
      <c r="AH8620">
        <v>17.178954660003399</v>
      </c>
      <c r="AI8620">
        <v>93.696022728186804</v>
      </c>
      <c r="AJ8620">
        <v>92.490002144518499</v>
      </c>
      <c r="AK8620">
        <v>17.231028948184001</v>
      </c>
      <c r="AL8620">
        <v>89.670658278884005</v>
      </c>
      <c r="AM8620">
        <v>91.052221797706693</v>
      </c>
      <c r="AN8620">
        <v>1.00000004449215</v>
      </c>
    </row>
    <row r="8621" spans="1:40" x14ac:dyDescent="0.25">
      <c r="A8621" t="str">
        <f>"20190312154128949"</f>
        <v>20190312154128949</v>
      </c>
      <c r="B8621" t="str">
        <f>"1552376488944723"</f>
        <v>1552376488944723</v>
      </c>
      <c r="C8621" t="s">
        <v>40</v>
      </c>
      <c r="D8621">
        <v>4.3077079999999999</v>
      </c>
      <c r="E8621">
        <v>0.49119380000000001</v>
      </c>
      <c r="F8621" t="s">
        <v>94</v>
      </c>
      <c r="G8621">
        <v>-270.13920000000002</v>
      </c>
      <c r="H8621" s="1">
        <v>5.4439130000000002E-7</v>
      </c>
      <c r="I8621">
        <v>-61.470129999999997</v>
      </c>
      <c r="J8621">
        <v>-285.4425</v>
      </c>
      <c r="K8621">
        <v>1.110762</v>
      </c>
      <c r="L8621">
        <v>-53.775300000000001</v>
      </c>
      <c r="M8621">
        <v>0.87311620000000001</v>
      </c>
      <c r="N8621">
        <v>0</v>
      </c>
      <c r="O8621">
        <v>-0.4873113</v>
      </c>
      <c r="P8621">
        <v>0.88200689999999904</v>
      </c>
      <c r="Q8621">
        <v>-8.169305E-3</v>
      </c>
      <c r="R8621">
        <v>-0.47116629999999998</v>
      </c>
      <c r="S8621">
        <v>2.6795040000000001</v>
      </c>
      <c r="T8621">
        <v>-0.19342770000000001</v>
      </c>
      <c r="U8621">
        <v>-1.3479920000000001</v>
      </c>
      <c r="V8621">
        <v>-1.8437760000000001E-2</v>
      </c>
      <c r="W8621">
        <v>5.8114839999999996E-3</v>
      </c>
      <c r="X8621">
        <v>0.99981310000000001</v>
      </c>
      <c r="Y8621">
        <v>-4.1973330000000003E-2</v>
      </c>
      <c r="Z8621">
        <v>3.2569229999999998E-2</v>
      </c>
      <c r="AA8621">
        <v>0.99858769999999997</v>
      </c>
      <c r="AB8621">
        <v>17</v>
      </c>
      <c r="AC8621">
        <v>15.303299999999901</v>
      </c>
      <c r="AD8621">
        <v>-1.1107614556087</v>
      </c>
      <c r="AE8621">
        <v>-7.6948299999999996</v>
      </c>
      <c r="AF8621">
        <v>-0.73596780489559099</v>
      </c>
      <c r="AG8621">
        <v>-1.1107614556087</v>
      </c>
      <c r="AH8621">
        <v>17.0413510887029</v>
      </c>
      <c r="AI8621">
        <v>93.725821273037496</v>
      </c>
      <c r="AJ8621">
        <v>92.472906165443405</v>
      </c>
      <c r="AK8621">
        <v>17.0933638160996</v>
      </c>
      <c r="AL8621">
        <v>89.667024613011293</v>
      </c>
      <c r="AM8621">
        <v>91.056483559384603</v>
      </c>
      <c r="AN8621">
        <v>0.99999997963585396</v>
      </c>
    </row>
    <row r="8622" spans="1:40" x14ac:dyDescent="0.25">
      <c r="A8622" t="str">
        <f>"20190312154128962"</f>
        <v>20190312154128962</v>
      </c>
      <c r="B8622" t="str">
        <f>"1552376488954483"</f>
        <v>1552376488954483</v>
      </c>
      <c r="C8622" t="s">
        <v>40</v>
      </c>
      <c r="D8622">
        <v>4.2553049999999999</v>
      </c>
      <c r="E8622">
        <v>0.47143370000000001</v>
      </c>
      <c r="F8622" t="s">
        <v>94</v>
      </c>
      <c r="G8622">
        <v>-270.01569999999998</v>
      </c>
      <c r="H8622" s="1">
        <v>5.8597739999999995E-7</v>
      </c>
      <c r="I8622">
        <v>-61.521459999999998</v>
      </c>
      <c r="J8622">
        <v>-285.3664</v>
      </c>
      <c r="K8622">
        <v>1.1107610000000001</v>
      </c>
      <c r="L8622">
        <v>-53.8170199999999</v>
      </c>
      <c r="M8622">
        <v>0.87338719999999903</v>
      </c>
      <c r="N8622">
        <v>0</v>
      </c>
      <c r="O8622">
        <v>-0.48682550000000002</v>
      </c>
      <c r="P8622">
        <v>0.882296999999999</v>
      </c>
      <c r="Q8622">
        <v>-8.192052E-3</v>
      </c>
      <c r="R8622">
        <v>-0.47062179999999998</v>
      </c>
      <c r="S8622">
        <v>2.6805729999999999</v>
      </c>
      <c r="T8622">
        <v>-0.1930065</v>
      </c>
      <c r="U8622">
        <v>-1.3459779999999999</v>
      </c>
      <c r="V8622">
        <v>-1.8497840000000002E-2</v>
      </c>
      <c r="W8622">
        <v>5.7866879999999999E-3</v>
      </c>
      <c r="X8622">
        <v>0.99981209999999998</v>
      </c>
      <c r="Y8622">
        <v>-4.2181040000000003E-2</v>
      </c>
      <c r="Z8622">
        <v>3.2472939999999999E-2</v>
      </c>
      <c r="AA8622">
        <v>0.99858210000000003</v>
      </c>
      <c r="AB8622">
        <v>17</v>
      </c>
      <c r="AC8622">
        <v>15.3507</v>
      </c>
      <c r="AD8622">
        <v>-1.1107604140226</v>
      </c>
      <c r="AE8622">
        <v>-7.70444</v>
      </c>
      <c r="AF8622">
        <v>-0.74112614899163398</v>
      </c>
      <c r="AG8622">
        <v>-1.1107604140226</v>
      </c>
      <c r="AH8622">
        <v>17.088034854581299</v>
      </c>
      <c r="AI8622">
        <v>93.715638138545899</v>
      </c>
      <c r="AJ8622">
        <v>92.483422204717201</v>
      </c>
      <c r="AK8622">
        <v>17.140128116716799</v>
      </c>
      <c r="AL8622">
        <v>89.668445331785094</v>
      </c>
      <c r="AM8622">
        <v>91.059926418893397</v>
      </c>
      <c r="AN8622">
        <v>0.99999994557454097</v>
      </c>
    </row>
    <row r="8623" spans="1:40" x14ac:dyDescent="0.25">
      <c r="A8623" t="str">
        <f>"20190312154128973"</f>
        <v>20190312154128973</v>
      </c>
      <c r="B8623" t="str">
        <f>"1552376488965220"</f>
        <v>1552376488965220</v>
      </c>
      <c r="C8623" t="s">
        <v>40</v>
      </c>
      <c r="D8623">
        <v>4.2539030000000002</v>
      </c>
      <c r="E8623">
        <v>0.46845350000000002</v>
      </c>
      <c r="F8623" t="s">
        <v>95</v>
      </c>
      <c r="G8623">
        <v>-260.61489999999998</v>
      </c>
      <c r="H8623" s="1">
        <v>-4.0828569999999998E-7</v>
      </c>
      <c r="I8623">
        <v>-64.66525</v>
      </c>
      <c r="J8623">
        <v>-285.28870000000001</v>
      </c>
      <c r="K8623">
        <v>1.1107610000000001</v>
      </c>
      <c r="L8623">
        <v>-53.8596199999999</v>
      </c>
      <c r="M8623">
        <v>0.87366309999999903</v>
      </c>
      <c r="N8623">
        <v>0</v>
      </c>
      <c r="O8623">
        <v>-0.48633009999999899</v>
      </c>
      <c r="P8623">
        <v>0.88262469999999904</v>
      </c>
      <c r="Q8623">
        <v>-8.2897379999999996E-3</v>
      </c>
      <c r="R8623">
        <v>-0.47000560000000002</v>
      </c>
      <c r="S8623">
        <v>2.7550050000000001</v>
      </c>
      <c r="T8623">
        <v>-0.1236353</v>
      </c>
      <c r="U8623">
        <v>-1.207489</v>
      </c>
      <c r="V8623">
        <v>-1.8628949999999998E-2</v>
      </c>
      <c r="W8623">
        <v>5.6870319999999999E-3</v>
      </c>
      <c r="X8623">
        <v>0.99981030000000004</v>
      </c>
      <c r="Y8623">
        <v>-9.4285060000000004E-2</v>
      </c>
      <c r="Z8623">
        <v>2.1676870000000001E-2</v>
      </c>
      <c r="AA8623">
        <v>0.99530920000000001</v>
      </c>
      <c r="AB8623">
        <v>17</v>
      </c>
      <c r="AC8623">
        <v>24.6738</v>
      </c>
      <c r="AD8623">
        <v>-1.1107614082857</v>
      </c>
      <c r="AE8623">
        <v>-10.805630000000001</v>
      </c>
      <c r="AF8623">
        <v>-2.5550372529730301</v>
      </c>
      <c r="AG8623">
        <v>-1.1107614082857</v>
      </c>
      <c r="AH8623">
        <v>26.768797671911699</v>
      </c>
      <c r="AI8623">
        <v>92.365366206527199</v>
      </c>
      <c r="AJ8623">
        <v>95.4522695484862</v>
      </c>
      <c r="AK8623">
        <v>26.913389512842102</v>
      </c>
      <c r="AL8623">
        <v>89.674155314621103</v>
      </c>
      <c r="AM8623">
        <v>91.067439212404295</v>
      </c>
      <c r="AN8623">
        <v>1.00000000804858</v>
      </c>
    </row>
    <row r="8624" spans="1:40" x14ac:dyDescent="0.25">
      <c r="A8624" t="str">
        <f>"20190312154128986"</f>
        <v>20190312154128986</v>
      </c>
      <c r="B8624" t="str">
        <f>"1552376488974980"</f>
        <v>1552376488974980</v>
      </c>
      <c r="C8624" t="s">
        <v>40</v>
      </c>
      <c r="D8624">
        <v>4.2382809999999997</v>
      </c>
      <c r="E8624">
        <v>0.46746450000000001</v>
      </c>
      <c r="F8624" t="s">
        <v>95</v>
      </c>
      <c r="G8624">
        <v>-260.33460000000002</v>
      </c>
      <c r="H8624" s="1">
        <v>-2.5541830000000002E-7</v>
      </c>
      <c r="I8624">
        <v>-64.542680000000004</v>
      </c>
      <c r="J8624">
        <v>-285.20620000000002</v>
      </c>
      <c r="K8624">
        <v>1.1107590000000001</v>
      </c>
      <c r="L8624">
        <v>-53.904690000000002</v>
      </c>
      <c r="M8624">
        <v>0.87395440000000002</v>
      </c>
      <c r="N8624">
        <v>0</v>
      </c>
      <c r="O8624">
        <v>-0.48580669999999998</v>
      </c>
      <c r="P8624">
        <v>0.88301070000000004</v>
      </c>
      <c r="Q8624">
        <v>-8.3172160000000005E-3</v>
      </c>
      <c r="R8624">
        <v>-0.46927930000000001</v>
      </c>
      <c r="S8624">
        <v>2.7669679999999999</v>
      </c>
      <c r="T8624">
        <v>-0.12316390000000001</v>
      </c>
      <c r="U8624">
        <v>-1.1845699999999999</v>
      </c>
      <c r="V8624">
        <v>-1.8852069999999999E-2</v>
      </c>
      <c r="W8624">
        <v>5.6565139999999996E-3</v>
      </c>
      <c r="X8624">
        <v>0.99980630000000004</v>
      </c>
      <c r="Y8624">
        <v>-0.10221420000000001</v>
      </c>
      <c r="Z8624">
        <v>2.1702869999999999E-2</v>
      </c>
      <c r="AA8624">
        <v>0.99452560000000001</v>
      </c>
      <c r="AB8624">
        <v>17</v>
      </c>
      <c r="AC8624">
        <v>24.871600000000001</v>
      </c>
      <c r="AD8624">
        <v>-1.1107592554182999</v>
      </c>
      <c r="AE8624">
        <v>-10.63799</v>
      </c>
      <c r="AF8624">
        <v>-2.7812548490180702</v>
      </c>
      <c r="AG8624">
        <v>-1.1107592554182999</v>
      </c>
      <c r="AH8624">
        <v>26.861991617823801</v>
      </c>
      <c r="AI8624">
        <v>92.355288733471298</v>
      </c>
      <c r="AJ8624">
        <v>95.9112653529981</v>
      </c>
      <c r="AK8624">
        <v>27.0284250065504</v>
      </c>
      <c r="AL8624">
        <v>89.675903898267293</v>
      </c>
      <c r="AM8624">
        <v>91.080225302179997</v>
      </c>
      <c r="AN8624">
        <v>1.0000000171068</v>
      </c>
    </row>
    <row r="8625" spans="1:40" x14ac:dyDescent="0.25">
      <c r="A8625" t="str">
        <f>"20190312154128998"</f>
        <v>20190312154128998</v>
      </c>
      <c r="B8625" t="str">
        <f>"1552376488985248"</f>
        <v>1552376488985248</v>
      </c>
      <c r="C8625" t="s">
        <v>40</v>
      </c>
      <c r="D8625">
        <v>4.255414</v>
      </c>
      <c r="E8625">
        <v>0.46722360000000002</v>
      </c>
      <c r="F8625" t="s">
        <v>96</v>
      </c>
      <c r="G8625">
        <v>-259.7611</v>
      </c>
      <c r="H8625" s="1">
        <v>-3.9212249999999999E-6</v>
      </c>
      <c r="I8625">
        <v>-64.695599999999999</v>
      </c>
      <c r="J8625">
        <v>-285.12079999999997</v>
      </c>
      <c r="K8625">
        <v>1.110754</v>
      </c>
      <c r="L8625">
        <v>-53.951349999999998</v>
      </c>
      <c r="M8625">
        <v>0.87425499999999901</v>
      </c>
      <c r="N8625">
        <v>0</v>
      </c>
      <c r="O8625">
        <v>-0.48526560000000002</v>
      </c>
      <c r="P8625">
        <v>0.88325580000000004</v>
      </c>
      <c r="Q8625">
        <v>-8.1354830000000006E-3</v>
      </c>
      <c r="R8625">
        <v>-0.46882119999999999</v>
      </c>
      <c r="S8625">
        <v>2.7716370000000001</v>
      </c>
      <c r="T8625">
        <v>-0.1209915</v>
      </c>
      <c r="U8625">
        <v>-1.1754150000000001</v>
      </c>
      <c r="V8625">
        <v>-1.8753369999999998E-2</v>
      </c>
      <c r="W8625">
        <v>5.8367559999999898E-3</v>
      </c>
      <c r="X8625">
        <v>0.99980709999999995</v>
      </c>
      <c r="Y8625">
        <v>-0.1049995</v>
      </c>
      <c r="Z8625">
        <v>2.1343640000000001E-2</v>
      </c>
      <c r="AA8625">
        <v>0.99424319999999999</v>
      </c>
      <c r="AB8625">
        <v>17</v>
      </c>
      <c r="AC8625">
        <v>25.359699999999901</v>
      </c>
      <c r="AD8625">
        <v>-1.1107579212250001</v>
      </c>
      <c r="AE8625">
        <v>-10.744249999999999</v>
      </c>
      <c r="AF8625">
        <v>-2.9085298173884802</v>
      </c>
      <c r="AG8625">
        <v>-1.1107579212250001</v>
      </c>
      <c r="AH8625">
        <v>27.3428635539866</v>
      </c>
      <c r="AI8625">
        <v>92.313229636206401</v>
      </c>
      <c r="AJ8625">
        <v>96.071864943271393</v>
      </c>
      <c r="AK8625">
        <v>27.519547892182601</v>
      </c>
      <c r="AL8625">
        <v>89.665576615259795</v>
      </c>
      <c r="AM8625">
        <v>91.074570253291299</v>
      </c>
      <c r="AN8625">
        <v>0.99999999690868502</v>
      </c>
    </row>
    <row r="8626" spans="1:40" x14ac:dyDescent="0.25">
      <c r="A8626" t="str">
        <f>"20190312154129010"</f>
        <v>20190312154129010</v>
      </c>
      <c r="B8626" t="str">
        <f>"1552376489004769"</f>
        <v>1552376489004769</v>
      </c>
      <c r="C8626" t="s">
        <v>40</v>
      </c>
      <c r="D8626">
        <v>4.2507510000000002</v>
      </c>
      <c r="E8626">
        <v>0.4670666</v>
      </c>
      <c r="F8626" t="s">
        <v>96</v>
      </c>
      <c r="G8626">
        <v>-259.2749</v>
      </c>
      <c r="H8626" s="1">
        <v>-3.7800190000000001E-6</v>
      </c>
      <c r="I8626">
        <v>-64.877129999999994</v>
      </c>
      <c r="J8626">
        <v>-285.03629999999998</v>
      </c>
      <c r="K8626">
        <v>1.110757</v>
      </c>
      <c r="L8626">
        <v>-53.997439999999997</v>
      </c>
      <c r="M8626">
        <v>0.87455039999999995</v>
      </c>
      <c r="N8626">
        <v>0</v>
      </c>
      <c r="O8626">
        <v>-0.48473290000000002</v>
      </c>
      <c r="P8626">
        <v>0.88361880000000004</v>
      </c>
      <c r="Q8626">
        <v>-7.8760949999999996E-3</v>
      </c>
      <c r="R8626">
        <v>-0.46814070000000002</v>
      </c>
      <c r="S8626">
        <v>2.773193</v>
      </c>
      <c r="T8626">
        <v>-0.119181</v>
      </c>
      <c r="U8626">
        <v>-1.172302</v>
      </c>
      <c r="V8626">
        <v>-1.891543E-2</v>
      </c>
      <c r="W8626">
        <v>6.0932900000000003E-3</v>
      </c>
      <c r="X8626">
        <v>0.99980250000000004</v>
      </c>
      <c r="Y8626">
        <v>-0.1055536</v>
      </c>
      <c r="Z8626">
        <v>2.101225E-2</v>
      </c>
      <c r="AA8626">
        <v>0.99419159999999995</v>
      </c>
      <c r="AB8626">
        <v>17</v>
      </c>
      <c r="AC8626">
        <v>25.761399999999899</v>
      </c>
      <c r="AD8626">
        <v>-1.110760780019</v>
      </c>
      <c r="AE8626">
        <v>-10.87969</v>
      </c>
      <c r="AF8626">
        <v>-2.9681687854055698</v>
      </c>
      <c r="AG8626">
        <v>-1.110760780019</v>
      </c>
      <c r="AH8626">
        <v>27.762305503845099</v>
      </c>
      <c r="AI8626">
        <v>92.2781937304823</v>
      </c>
      <c r="AJ8626">
        <v>96.102518412987095</v>
      </c>
      <c r="AK8626">
        <v>27.9426094403854</v>
      </c>
      <c r="AL8626">
        <v>89.650878032386998</v>
      </c>
      <c r="AM8626">
        <v>91.083859089739207</v>
      </c>
      <c r="AN8626">
        <v>0.99999998034067905</v>
      </c>
    </row>
    <row r="8627" spans="1:40" x14ac:dyDescent="0.25">
      <c r="A8627" t="str">
        <f>"20190312154129023"</f>
        <v>20190312154129023</v>
      </c>
      <c r="B8627" t="str">
        <f>"1552376489014528"</f>
        <v>1552376489014528</v>
      </c>
      <c r="C8627" t="s">
        <v>40</v>
      </c>
      <c r="D8627">
        <v>4.24953</v>
      </c>
      <c r="E8627">
        <v>0.46711229999999998</v>
      </c>
      <c r="F8627" t="s">
        <v>96</v>
      </c>
      <c r="G8627">
        <v>-258.1413</v>
      </c>
      <c r="H8627" s="1">
        <v>-3.454963E-6</v>
      </c>
      <c r="I8627">
        <v>-65.331209999999999</v>
      </c>
      <c r="J8627">
        <v>-284.95830000000001</v>
      </c>
      <c r="K8627">
        <v>1.110754</v>
      </c>
      <c r="L8627">
        <v>-54.039920000000002</v>
      </c>
      <c r="M8627">
        <v>0.87482169999999904</v>
      </c>
      <c r="N8627">
        <v>0</v>
      </c>
      <c r="O8627">
        <v>-0.48424329999999999</v>
      </c>
      <c r="P8627">
        <v>0.88390049999999898</v>
      </c>
      <c r="Q8627">
        <v>-8.0491669999999994E-3</v>
      </c>
      <c r="R8627">
        <v>-0.46760590000000002</v>
      </c>
      <c r="S8627">
        <v>2.7746279999999999</v>
      </c>
      <c r="T8627">
        <v>-0.1145917</v>
      </c>
      <c r="U8627">
        <v>-1.1692499999999999</v>
      </c>
      <c r="V8627">
        <v>-1.8959790000000001E-2</v>
      </c>
      <c r="W8627">
        <v>5.9182940000000002E-3</v>
      </c>
      <c r="X8627">
        <v>0.99980270000000004</v>
      </c>
      <c r="Y8627">
        <v>-0.106141</v>
      </c>
      <c r="Z8627">
        <v>2.0194730000000001E-2</v>
      </c>
      <c r="AA8627">
        <v>0.99414599999999997</v>
      </c>
      <c r="AB8627">
        <v>17</v>
      </c>
      <c r="AC8627">
        <v>26.817</v>
      </c>
      <c r="AD8627">
        <v>-1.1107574549629999</v>
      </c>
      <c r="AE8627">
        <v>-11.29129</v>
      </c>
      <c r="AF8627">
        <v>-3.1038676536859602</v>
      </c>
      <c r="AG8627">
        <v>-1.1107574549629999</v>
      </c>
      <c r="AH8627">
        <v>28.888553850453899</v>
      </c>
      <c r="AI8627">
        <v>92.189335127931201</v>
      </c>
      <c r="AJ8627">
        <v>96.132494501608207</v>
      </c>
      <c r="AK8627">
        <v>29.076043749209202</v>
      </c>
      <c r="AL8627">
        <v>89.660904741944293</v>
      </c>
      <c r="AM8627">
        <v>91.086400103590705</v>
      </c>
      <c r="AN8627">
        <v>0.99999996938400104</v>
      </c>
    </row>
    <row r="8628" spans="1:40" x14ac:dyDescent="0.25">
      <c r="A8628" t="str">
        <f>"20190312154129033"</f>
        <v>20190312154129033</v>
      </c>
      <c r="B8628" t="str">
        <f>"1552376489025264"</f>
        <v>1552376489025264</v>
      </c>
      <c r="C8628" t="s">
        <v>40</v>
      </c>
      <c r="D8628">
        <v>4.2219720000000001</v>
      </c>
      <c r="E8628">
        <v>0.46717029999999898</v>
      </c>
      <c r="F8628" t="s">
        <v>96</v>
      </c>
      <c r="G8628">
        <v>-257.88630000000001</v>
      </c>
      <c r="H8628" s="1">
        <v>-3.3815729999999998E-6</v>
      </c>
      <c r="I8628">
        <v>-65.4315</v>
      </c>
      <c r="J8628">
        <v>-284.88990000000001</v>
      </c>
      <c r="K8628">
        <v>1.1107499999999999</v>
      </c>
      <c r="L8628">
        <v>-54.077150000000003</v>
      </c>
      <c r="M8628">
        <v>0.87505840000000001</v>
      </c>
      <c r="N8628">
        <v>0</v>
      </c>
      <c r="O8628">
        <v>-0.4838152</v>
      </c>
      <c r="P8628">
        <v>0.88421439999999996</v>
      </c>
      <c r="Q8628">
        <v>-7.9449689999999996E-3</v>
      </c>
      <c r="R8628">
        <v>-0.46701340000000002</v>
      </c>
      <c r="S8628">
        <v>2.7752379999999999</v>
      </c>
      <c r="T8628">
        <v>-0.113867</v>
      </c>
      <c r="U8628">
        <v>-1.167786</v>
      </c>
      <c r="V8628">
        <v>-1.9140939999999999E-2</v>
      </c>
      <c r="W8628">
        <v>6.0203349999999999E-3</v>
      </c>
      <c r="X8628">
        <v>0.99979870000000004</v>
      </c>
      <c r="Y8628">
        <v>-0.1061835</v>
      </c>
      <c r="Z8628">
        <v>2.0052179999999999E-2</v>
      </c>
      <c r="AA8628">
        <v>0.99414429999999998</v>
      </c>
      <c r="AB8628">
        <v>17</v>
      </c>
      <c r="AC8628">
        <v>27.003599999999999</v>
      </c>
      <c r="AD8628">
        <v>-1.110753381573</v>
      </c>
      <c r="AE8628">
        <v>-11.354349999999901</v>
      </c>
      <c r="AF8628">
        <v>-3.1248461210541398</v>
      </c>
      <c r="AG8628">
        <v>-1.110753381573</v>
      </c>
      <c r="AH8628">
        <v>29.0841671518303</v>
      </c>
      <c r="AI8628">
        <v>92.174616697657598</v>
      </c>
      <c r="AJ8628">
        <v>96.132418982527994</v>
      </c>
      <c r="AK8628">
        <v>29.272635946743002</v>
      </c>
      <c r="AL8628">
        <v>89.655058139961298</v>
      </c>
      <c r="AM8628">
        <v>91.096781901529894</v>
      </c>
      <c r="AN8628">
        <v>1.0000000302696399</v>
      </c>
    </row>
    <row r="8629" spans="1:40" x14ac:dyDescent="0.25">
      <c r="A8629" t="str">
        <f>"20190312154129049"</f>
        <v>20190312154129049</v>
      </c>
      <c r="B8629" t="str">
        <f>"1552376489044787"</f>
        <v>1552376489044787</v>
      </c>
      <c r="C8629" t="s">
        <v>40</v>
      </c>
      <c r="D8629">
        <v>4.2349170000000003</v>
      </c>
      <c r="E8629">
        <v>0.46726450000000003</v>
      </c>
      <c r="F8629" t="s">
        <v>96</v>
      </c>
      <c r="G8629">
        <v>-257.27199999999999</v>
      </c>
      <c r="H8629" s="1">
        <v>-3.2062490000000002E-6</v>
      </c>
      <c r="I8629">
        <v>-65.683750000000003</v>
      </c>
      <c r="J8629">
        <v>-284.78440000000001</v>
      </c>
      <c r="K8629">
        <v>1.110746</v>
      </c>
      <c r="L8629">
        <v>-54.134459999999997</v>
      </c>
      <c r="M8629">
        <v>0.87542039999999999</v>
      </c>
      <c r="N8629">
        <v>0</v>
      </c>
      <c r="O8629">
        <v>-0.48316019999999998</v>
      </c>
      <c r="P8629">
        <v>0.88459140000000003</v>
      </c>
      <c r="Q8629">
        <v>-8.2309400000000008E-3</v>
      </c>
      <c r="R8629">
        <v>-0.46629429999999999</v>
      </c>
      <c r="S8629">
        <v>2.7756959999999999</v>
      </c>
      <c r="T8629">
        <v>-0.1116346</v>
      </c>
      <c r="U8629">
        <v>-1.166504</v>
      </c>
      <c r="V8629">
        <v>-1.920438E-2</v>
      </c>
      <c r="W8629">
        <v>5.7313759999999998E-3</v>
      </c>
      <c r="X8629">
        <v>0.99979910000000005</v>
      </c>
      <c r="Y8629">
        <v>-0.10590330000000001</v>
      </c>
      <c r="Z8629">
        <v>1.963171E-2</v>
      </c>
      <c r="AA8629">
        <v>0.99418260000000003</v>
      </c>
      <c r="AB8629">
        <v>17</v>
      </c>
      <c r="AC8629">
        <v>27.5124</v>
      </c>
      <c r="AD8629">
        <v>-1.1107492062490001</v>
      </c>
      <c r="AE8629">
        <v>-11.549289999999999</v>
      </c>
      <c r="AF8629">
        <v>-3.1783191191848301</v>
      </c>
      <c r="AG8629">
        <v>-1.1107492062490001</v>
      </c>
      <c r="AH8629">
        <v>29.626915682675499</v>
      </c>
      <c r="AI8629">
        <v>92.134845108827406</v>
      </c>
      <c r="AJ8629">
        <v>96.123164158346498</v>
      </c>
      <c r="AK8629">
        <v>29.8176056901107</v>
      </c>
      <c r="AL8629">
        <v>89.671614529670904</v>
      </c>
      <c r="AM8629">
        <v>91.100415701024403</v>
      </c>
      <c r="AN8629">
        <v>0.99999994862142205</v>
      </c>
    </row>
    <row r="8630" spans="1:40" x14ac:dyDescent="0.25">
      <c r="A8630" t="str">
        <f>"20190312154129061"</f>
        <v>20190312154129061</v>
      </c>
      <c r="B8630" t="str">
        <f>"1552376489054544"</f>
        <v>1552376489054544</v>
      </c>
      <c r="C8630" t="s">
        <v>40</v>
      </c>
      <c r="D8630">
        <v>4.2057390000000003</v>
      </c>
      <c r="E8630">
        <v>0.46721420000000002</v>
      </c>
      <c r="F8630" t="s">
        <v>96</v>
      </c>
      <c r="G8630">
        <v>-257.03410000000002</v>
      </c>
      <c r="H8630" s="1">
        <v>-3.1378229999999998E-6</v>
      </c>
      <c r="I8630">
        <v>-65.777529999999999</v>
      </c>
      <c r="J8630">
        <v>-284.70859999999999</v>
      </c>
      <c r="K8630">
        <v>1.1107419999999999</v>
      </c>
      <c r="L8630">
        <v>-54.175629999999998</v>
      </c>
      <c r="M8630">
        <v>0.87567850000000003</v>
      </c>
      <c r="N8630">
        <v>0</v>
      </c>
      <c r="O8630">
        <v>-0.48269210000000001</v>
      </c>
      <c r="P8630">
        <v>0.88487890000000002</v>
      </c>
      <c r="Q8630">
        <v>-8.4545719999999901E-3</v>
      </c>
      <c r="R8630">
        <v>-0.46574409999999999</v>
      </c>
      <c r="S8630">
        <v>2.7763369999999998</v>
      </c>
      <c r="T8630">
        <v>-0.1111274</v>
      </c>
      <c r="U8630">
        <v>-1.1648559999999999</v>
      </c>
      <c r="V8630">
        <v>-1.928974E-2</v>
      </c>
      <c r="W8630">
        <v>5.5053589999999996E-3</v>
      </c>
      <c r="X8630">
        <v>0.99979879999999999</v>
      </c>
      <c r="Y8630">
        <v>-0.10595889999999999</v>
      </c>
      <c r="Z8630">
        <v>1.9527030000000001E-2</v>
      </c>
      <c r="AA8630">
        <v>0.99417880000000003</v>
      </c>
      <c r="AB8630">
        <v>17</v>
      </c>
      <c r="AC8630">
        <v>27.674499999999899</v>
      </c>
      <c r="AD8630">
        <v>-1.110745137823</v>
      </c>
      <c r="AE8630">
        <v>-11.601899999999899</v>
      </c>
      <c r="AF8630">
        <v>-3.1946638315395899</v>
      </c>
      <c r="AG8630">
        <v>-1.110745137823</v>
      </c>
      <c r="AH8630">
        <v>29.796202932805301</v>
      </c>
      <c r="AI8630">
        <v>92.122733042657103</v>
      </c>
      <c r="AJ8630">
        <v>96.119711647264594</v>
      </c>
      <c r="AK8630">
        <v>29.987553100755999</v>
      </c>
      <c r="AL8630">
        <v>89.684564578026297</v>
      </c>
      <c r="AM8630">
        <v>91.105305970887201</v>
      </c>
      <c r="AN8630">
        <v>1.00000002176421</v>
      </c>
    </row>
    <row r="8631" spans="1:40" x14ac:dyDescent="0.25">
      <c r="A8631" t="str">
        <f>"20190312154129071"</f>
        <v>20190312154129071</v>
      </c>
      <c r="B8631" t="str">
        <f>"1552376489065279"</f>
        <v>1552376489065279</v>
      </c>
      <c r="C8631" t="s">
        <v>40</v>
      </c>
      <c r="D8631">
        <v>4.2076729999999998</v>
      </c>
      <c r="E8631">
        <v>0.46723350000000002</v>
      </c>
      <c r="F8631" t="s">
        <v>96</v>
      </c>
      <c r="G8631">
        <v>-257.08260000000001</v>
      </c>
      <c r="H8631" s="1">
        <v>-3.1496989999999999E-6</v>
      </c>
      <c r="I8631">
        <v>-65.742940000000004</v>
      </c>
      <c r="J8631">
        <v>-284.6379</v>
      </c>
      <c r="K8631">
        <v>1.11073</v>
      </c>
      <c r="L8631">
        <v>-54.213929999999998</v>
      </c>
      <c r="M8631">
        <v>0.8759169</v>
      </c>
      <c r="N8631">
        <v>0</v>
      </c>
      <c r="O8631">
        <v>-0.48225960000000001</v>
      </c>
      <c r="P8631">
        <v>0.88505210000000001</v>
      </c>
      <c r="Q8631">
        <v>-8.3669729999999998E-3</v>
      </c>
      <c r="R8631">
        <v>-0.46541709999999897</v>
      </c>
      <c r="S8631">
        <v>2.7771910000000002</v>
      </c>
      <c r="T8631">
        <v>-0.1116612</v>
      </c>
      <c r="U8631">
        <v>-1.1628419999999999</v>
      </c>
      <c r="V8631">
        <v>-1.9166249999999999E-2</v>
      </c>
      <c r="W8631">
        <v>5.5911889999999999E-3</v>
      </c>
      <c r="X8631">
        <v>0.99980069999999999</v>
      </c>
      <c r="Y8631">
        <v>-0.1061869</v>
      </c>
      <c r="Z8631">
        <v>1.9608859999999999E-2</v>
      </c>
      <c r="AA8631">
        <v>0.99415279999999995</v>
      </c>
      <c r="AB8631">
        <v>17</v>
      </c>
      <c r="AC8631">
        <v>27.5552999999999</v>
      </c>
      <c r="AD8631">
        <v>-1.1107331496990001</v>
      </c>
      <c r="AE8631">
        <v>-11.52901</v>
      </c>
      <c r="AF8631">
        <v>-3.1862589055019899</v>
      </c>
      <c r="AG8631">
        <v>-1.1107331496990001</v>
      </c>
      <c r="AH8631">
        <v>29.658018074009199</v>
      </c>
      <c r="AI8631">
        <v>92.132542466826095</v>
      </c>
      <c r="AJ8631">
        <v>96.131955635043894</v>
      </c>
      <c r="AK8631">
        <v>29.849355269770701</v>
      </c>
      <c r="AL8631">
        <v>89.679646806119493</v>
      </c>
      <c r="AM8631">
        <v>91.098229621190399</v>
      </c>
      <c r="AN8631">
        <v>1.0000000231269901</v>
      </c>
    </row>
    <row r="8632" spans="1:40" x14ac:dyDescent="0.25">
      <c r="A8632" t="str">
        <f>"20190312154129082"</f>
        <v>20190312154129082</v>
      </c>
      <c r="B8632" t="str">
        <f>"1552376489075040"</f>
        <v>1552376489075040</v>
      </c>
      <c r="C8632" t="s">
        <v>40</v>
      </c>
      <c r="D8632">
        <v>4.2340049999999998</v>
      </c>
      <c r="E8632">
        <v>0.46732600000000002</v>
      </c>
      <c r="F8632" t="s">
        <v>96</v>
      </c>
      <c r="G8632">
        <v>-256.91050000000001</v>
      </c>
      <c r="H8632" s="1">
        <v>-3.1005990000000002E-6</v>
      </c>
      <c r="I8632">
        <v>-65.813640000000007</v>
      </c>
      <c r="J8632">
        <v>-284.5641</v>
      </c>
      <c r="K8632">
        <v>1.1107260000000001</v>
      </c>
      <c r="L8632">
        <v>-54.253880000000002</v>
      </c>
      <c r="M8632">
        <v>0.8761641</v>
      </c>
      <c r="N8632">
        <v>0</v>
      </c>
      <c r="O8632">
        <v>-0.48181040000000003</v>
      </c>
      <c r="P8632">
        <v>0.88523039999999997</v>
      </c>
      <c r="Q8632">
        <v>-8.5420530000000008E-3</v>
      </c>
      <c r="R8632">
        <v>-0.46507470000000001</v>
      </c>
      <c r="S8632">
        <v>2.7775569999999998</v>
      </c>
      <c r="T8632">
        <v>-0.1112664</v>
      </c>
      <c r="U8632">
        <v>-1.1619870000000001</v>
      </c>
      <c r="V8632">
        <v>-1.903898E-2</v>
      </c>
      <c r="W8632">
        <v>5.4142849999999996E-3</v>
      </c>
      <c r="X8632">
        <v>0.99980409999999997</v>
      </c>
      <c r="Y8632">
        <v>-0.105986999999999</v>
      </c>
      <c r="Z8632">
        <v>1.952017E-2</v>
      </c>
      <c r="AA8632">
        <v>0.9941759</v>
      </c>
      <c r="AB8632">
        <v>17</v>
      </c>
      <c r="AC8632">
        <v>27.653599999999901</v>
      </c>
      <c r="AD8632">
        <v>-1.1107291005990001</v>
      </c>
      <c r="AE8632">
        <v>-11.559760000000001</v>
      </c>
      <c r="AF8632">
        <v>-3.1914743979215099</v>
      </c>
      <c r="AG8632">
        <v>-1.1107291005990001</v>
      </c>
      <c r="AH8632">
        <v>29.760742105793501</v>
      </c>
      <c r="AI8632">
        <v>92.125224735560494</v>
      </c>
      <c r="AJ8632">
        <v>96.1208775793732</v>
      </c>
      <c r="AK8632">
        <v>29.951978209378002</v>
      </c>
      <c r="AL8632">
        <v>89.689782810288406</v>
      </c>
      <c r="AM8632">
        <v>91.090935086282798</v>
      </c>
      <c r="AN8632">
        <v>1.0000000178091499</v>
      </c>
    </row>
    <row r="8633" spans="1:40" x14ac:dyDescent="0.25">
      <c r="A8633" t="str">
        <f>"20190312154129093"</f>
        <v>20190312154129093</v>
      </c>
      <c r="B8633" t="str">
        <f>"1552376489084800"</f>
        <v>1552376489084800</v>
      </c>
      <c r="C8633" t="s">
        <v>40</v>
      </c>
      <c r="D8633">
        <v>4.2247510000000004</v>
      </c>
      <c r="E8633">
        <v>0.46746159999999998</v>
      </c>
      <c r="F8633" t="s">
        <v>96</v>
      </c>
      <c r="G8633">
        <v>-256.74009999999998</v>
      </c>
      <c r="H8633" s="1">
        <v>-3.0527559999999999E-6</v>
      </c>
      <c r="I8633">
        <v>-65.889439999999993</v>
      </c>
      <c r="J8633">
        <v>-284.49180000000001</v>
      </c>
      <c r="K8633">
        <v>1.110722</v>
      </c>
      <c r="L8633">
        <v>-54.292969999999997</v>
      </c>
      <c r="M8633">
        <v>0.87640409999999902</v>
      </c>
      <c r="N8633">
        <v>0</v>
      </c>
      <c r="O8633">
        <v>-0.48137380000000002</v>
      </c>
      <c r="P8633">
        <v>0.88534679999999999</v>
      </c>
      <c r="Q8633">
        <v>-8.6984239999999997E-3</v>
      </c>
      <c r="R8633">
        <v>-0.46485019999999999</v>
      </c>
      <c r="S8633">
        <v>2.7776179999999999</v>
      </c>
      <c r="T8633">
        <v>-0.1108823</v>
      </c>
      <c r="U8633">
        <v>-1.1615599999999999</v>
      </c>
      <c r="V8633">
        <v>-1.879347E-2</v>
      </c>
      <c r="W8633">
        <v>5.2564539999999998E-3</v>
      </c>
      <c r="X8633">
        <v>0.99980959999999997</v>
      </c>
      <c r="Y8633">
        <v>-0.1056323</v>
      </c>
      <c r="Z8633">
        <v>1.943216E-2</v>
      </c>
      <c r="AA8633">
        <v>0.99421539999999997</v>
      </c>
      <c r="AB8633">
        <v>17</v>
      </c>
      <c r="AC8633">
        <v>27.7517</v>
      </c>
      <c r="AD8633">
        <v>-1.110725052756</v>
      </c>
      <c r="AE8633">
        <v>-11.59647</v>
      </c>
      <c r="AF8633">
        <v>-3.1917065119036598</v>
      </c>
      <c r="AG8633">
        <v>-1.110725052756</v>
      </c>
      <c r="AH8633">
        <v>29.8661279197586</v>
      </c>
      <c r="AI8633">
        <v>92.1178077812407</v>
      </c>
      <c r="AJ8633">
        <v>96.099882768182795</v>
      </c>
      <c r="AK8633">
        <v>30.056718009794999</v>
      </c>
      <c r="AL8633">
        <v>89.698825992859895</v>
      </c>
      <c r="AM8633">
        <v>91.076864755348694</v>
      </c>
      <c r="AN8633">
        <v>1.0000000305377199</v>
      </c>
    </row>
    <row r="8634" spans="1:40" x14ac:dyDescent="0.25">
      <c r="A8634" t="str">
        <f>"20190312154129105"</f>
        <v>20190312154129105</v>
      </c>
      <c r="B8634" t="str">
        <f>"1552376489094560"</f>
        <v>1552376489094560</v>
      </c>
      <c r="C8634" t="s">
        <v>40</v>
      </c>
      <c r="D8634">
        <v>4.2815799999999999</v>
      </c>
      <c r="E8634">
        <v>0.46736739999999999</v>
      </c>
      <c r="F8634" t="s">
        <v>96</v>
      </c>
      <c r="G8634">
        <v>-256.4418</v>
      </c>
      <c r="H8634" s="1">
        <v>-2.9694540000000001E-6</v>
      </c>
      <c r="I8634">
        <v>-66.025840000000002</v>
      </c>
      <c r="J8634">
        <v>-284.41669999999999</v>
      </c>
      <c r="K8634">
        <v>1.1107180000000001</v>
      </c>
      <c r="L8634">
        <v>-54.333530000000003</v>
      </c>
      <c r="M8634">
        <v>0.87665099999999996</v>
      </c>
      <c r="N8634">
        <v>0</v>
      </c>
      <c r="O8634">
        <v>-0.48092390000000002</v>
      </c>
      <c r="P8634">
        <v>0.88552280000000005</v>
      </c>
      <c r="Q8634">
        <v>-8.5549990000000006E-3</v>
      </c>
      <c r="R8634">
        <v>-0.46451730000000002</v>
      </c>
      <c r="S8634">
        <v>2.7774049999999999</v>
      </c>
      <c r="T8634">
        <v>-0.1099796</v>
      </c>
      <c r="U8634">
        <v>-1.161743</v>
      </c>
      <c r="V8634">
        <v>-1.865663E-2</v>
      </c>
      <c r="W8634">
        <v>5.3980719999999899E-3</v>
      </c>
      <c r="X8634">
        <v>0.99981140000000002</v>
      </c>
      <c r="Y8634">
        <v>-0.10504529999999999</v>
      </c>
      <c r="Z8634">
        <v>1.9249479999999999E-2</v>
      </c>
      <c r="AA8634">
        <v>0.99428110000000003</v>
      </c>
      <c r="AB8634">
        <v>17</v>
      </c>
      <c r="AC8634">
        <v>27.974899999999899</v>
      </c>
      <c r="AD8634">
        <v>-1.1107209694539999</v>
      </c>
      <c r="AE8634">
        <v>-11.692310000000001</v>
      </c>
      <c r="AF8634">
        <v>-3.1997414973510501</v>
      </c>
      <c r="AG8634">
        <v>-1.1107209694539999</v>
      </c>
      <c r="AH8634">
        <v>30.109871360310699</v>
      </c>
      <c r="AI8634">
        <v>92.100803858034396</v>
      </c>
      <c r="AJ8634">
        <v>96.065990589738206</v>
      </c>
      <c r="AK8634">
        <v>30.2997755776559</v>
      </c>
      <c r="AL8634">
        <v>89.6907117617084</v>
      </c>
      <c r="AM8634">
        <v>91.069023733292298</v>
      </c>
      <c r="AN8634">
        <v>1.0000000222971099</v>
      </c>
    </row>
    <row r="8635" spans="1:40" x14ac:dyDescent="0.25">
      <c r="A8635" t="str">
        <f>"20190312154129116"</f>
        <v>20190312154129116</v>
      </c>
      <c r="B8635" t="str">
        <f>"1552376489105295"</f>
        <v>1552376489105295</v>
      </c>
      <c r="C8635" t="s">
        <v>40</v>
      </c>
      <c r="D8635">
        <v>4.2713679999999998</v>
      </c>
      <c r="E8635">
        <v>0.46728649999999999</v>
      </c>
      <c r="F8635" t="s">
        <v>96</v>
      </c>
      <c r="G8635">
        <v>-256.27379999999999</v>
      </c>
      <c r="H8635" s="1">
        <v>-2.9201560000000001E-6</v>
      </c>
      <c r="I8635">
        <v>-66.084620000000001</v>
      </c>
      <c r="J8635">
        <v>-284.34300000000002</v>
      </c>
      <c r="K8635">
        <v>1.1107129999999901</v>
      </c>
      <c r="L8635">
        <v>-54.373289999999997</v>
      </c>
      <c r="M8635">
        <v>0.876892</v>
      </c>
      <c r="N8635">
        <v>0</v>
      </c>
      <c r="O8635">
        <v>-0.48048459999999898</v>
      </c>
      <c r="P8635">
        <v>0.88557389999999903</v>
      </c>
      <c r="Q8635">
        <v>-8.6428249999999998E-3</v>
      </c>
      <c r="R8635">
        <v>-0.4644182</v>
      </c>
      <c r="S8635">
        <v>2.7782589999999998</v>
      </c>
      <c r="T8635">
        <v>-0.1096501</v>
      </c>
      <c r="U8635">
        <v>-1.1600649999999999</v>
      </c>
      <c r="V8635">
        <v>-1.826761E-2</v>
      </c>
      <c r="W8635">
        <v>5.308905E-3</v>
      </c>
      <c r="X8635">
        <v>0.99981900000000001</v>
      </c>
      <c r="Y8635">
        <v>-0.1051696</v>
      </c>
      <c r="Z8635">
        <v>1.9177420000000001E-2</v>
      </c>
      <c r="AA8635">
        <v>0.99426939999999997</v>
      </c>
      <c r="AB8635">
        <v>17</v>
      </c>
      <c r="AC8635">
        <v>28.069199999999999</v>
      </c>
      <c r="AD8635">
        <v>-1.11071592015599</v>
      </c>
      <c r="AE8635">
        <v>-11.711329999999901</v>
      </c>
      <c r="AF8635">
        <v>-3.2132749844455</v>
      </c>
      <c r="AG8635">
        <v>-1.11071592015599</v>
      </c>
      <c r="AH8635">
        <v>30.2034377249981</v>
      </c>
      <c r="AI8635">
        <v>92.094265979082394</v>
      </c>
      <c r="AJ8635">
        <v>96.0727252261388</v>
      </c>
      <c r="AK8635">
        <v>30.394184910748798</v>
      </c>
      <c r="AL8635">
        <v>89.695820709057102</v>
      </c>
      <c r="AM8635">
        <v>91.046729968993304</v>
      </c>
      <c r="AN8635">
        <v>0.999999961404204</v>
      </c>
    </row>
    <row r="8636" spans="1:40" x14ac:dyDescent="0.25">
      <c r="A8636" t="str">
        <f>"20190312154129127"</f>
        <v>20190312154129127</v>
      </c>
      <c r="B8636" t="str">
        <f>"1552376489124815"</f>
        <v>1552376489124815</v>
      </c>
      <c r="C8636" t="s">
        <v>40</v>
      </c>
      <c r="D8636">
        <v>4.2789149999999996</v>
      </c>
      <c r="E8636">
        <v>0.4672036</v>
      </c>
      <c r="F8636" t="s">
        <v>96</v>
      </c>
      <c r="G8636">
        <v>-256.3193</v>
      </c>
      <c r="H8636" s="1">
        <v>-2.932994E-6</v>
      </c>
      <c r="I8636">
        <v>-66.064899999999994</v>
      </c>
      <c r="J8636">
        <v>-284.26859999999999</v>
      </c>
      <c r="K8636">
        <v>1.1107070000000001</v>
      </c>
      <c r="L8636">
        <v>-54.41339</v>
      </c>
      <c r="M8636">
        <v>0.87713240000000003</v>
      </c>
      <c r="N8636">
        <v>0</v>
      </c>
      <c r="O8636">
        <v>-0.48004550000000001</v>
      </c>
      <c r="P8636">
        <v>0.88569959999999903</v>
      </c>
      <c r="Q8636">
        <v>-8.73233E-3</v>
      </c>
      <c r="R8636">
        <v>-0.4641767</v>
      </c>
      <c r="S8636">
        <v>2.7785950000000001</v>
      </c>
      <c r="T8636">
        <v>-0.11012909999999999</v>
      </c>
      <c r="U8636">
        <v>-1.159241</v>
      </c>
      <c r="V8636">
        <v>-1.8039260000000001E-2</v>
      </c>
      <c r="W8636">
        <v>5.217831E-3</v>
      </c>
      <c r="X8636">
        <v>0.99982369999999998</v>
      </c>
      <c r="Y8636">
        <v>-0.104962899999999</v>
      </c>
      <c r="Z8636">
        <v>1.9242249999999999E-2</v>
      </c>
      <c r="AA8636">
        <v>0.99428989999999995</v>
      </c>
      <c r="AB8636">
        <v>17</v>
      </c>
      <c r="AC8636">
        <v>27.949299999999901</v>
      </c>
      <c r="AD8636">
        <v>-1.11070993299399</v>
      </c>
      <c r="AE8636">
        <v>-11.651509999999901</v>
      </c>
      <c r="AF8636">
        <v>-3.1930345451967699</v>
      </c>
      <c r="AG8636">
        <v>-1.11070993299399</v>
      </c>
      <c r="AH8636">
        <v>30.070969450713601</v>
      </c>
      <c r="AI8636">
        <v>92.103517170543697</v>
      </c>
      <c r="AJ8636">
        <v>96.061143027027299</v>
      </c>
      <c r="AK8636">
        <v>30.260408950769701</v>
      </c>
      <c r="AL8636">
        <v>89.701038959627695</v>
      </c>
      <c r="AM8636">
        <v>91.033643563855904</v>
      </c>
      <c r="AN8636">
        <v>1.0000000358716901</v>
      </c>
    </row>
    <row r="8637" spans="1:40" x14ac:dyDescent="0.25">
      <c r="A8637" t="str">
        <f>"20190312154129139"</f>
        <v>20190312154129139</v>
      </c>
      <c r="B8637" t="str">
        <f>"1552376489134576"</f>
        <v>1552376489134576</v>
      </c>
      <c r="C8637" t="s">
        <v>40</v>
      </c>
      <c r="D8637">
        <v>4.2232200000000004</v>
      </c>
      <c r="E8637">
        <v>0.46732220000000002</v>
      </c>
      <c r="F8637" t="s">
        <v>96</v>
      </c>
      <c r="G8637">
        <v>-256.28469999999999</v>
      </c>
      <c r="H8637" s="1">
        <v>-2.9221419999999998E-6</v>
      </c>
      <c r="I8637">
        <v>-66.071860000000001</v>
      </c>
      <c r="J8637">
        <v>-284.19369999999998</v>
      </c>
      <c r="K8637">
        <v>1.1107070000000001</v>
      </c>
      <c r="L8637">
        <v>-54.453699999999998</v>
      </c>
      <c r="M8637">
        <v>0.87737289999999901</v>
      </c>
      <c r="N8637">
        <v>0</v>
      </c>
      <c r="O8637">
        <v>-0.47960589999999997</v>
      </c>
      <c r="P8637">
        <v>0.88574519999999901</v>
      </c>
      <c r="Q8637">
        <v>-8.6184169999999997E-3</v>
      </c>
      <c r="R8637">
        <v>-0.46409230000000001</v>
      </c>
      <c r="S8637">
        <v>2.779236</v>
      </c>
      <c r="T8637">
        <v>-0.1103108</v>
      </c>
      <c r="U8637">
        <v>-1.157867</v>
      </c>
      <c r="V8637">
        <v>-1.7634E-2</v>
      </c>
      <c r="W8637">
        <v>5.3298859999999998E-3</v>
      </c>
      <c r="X8637">
        <v>0.99983029999999995</v>
      </c>
      <c r="Y8637">
        <v>-0.1049636</v>
      </c>
      <c r="Z8637">
        <v>1.9257940000000001E-2</v>
      </c>
      <c r="AA8637">
        <v>0.9942896</v>
      </c>
      <c r="AB8637">
        <v>17</v>
      </c>
      <c r="AC8637">
        <v>27.908999999999899</v>
      </c>
      <c r="AD8637">
        <v>-1.11070992214199</v>
      </c>
      <c r="AE8637">
        <v>-11.61816</v>
      </c>
      <c r="AF8637">
        <v>-3.1878701986868698</v>
      </c>
      <c r="AG8637">
        <v>-1.11070992214199</v>
      </c>
      <c r="AH8637">
        <v>30.021143222857901</v>
      </c>
      <c r="AI8637">
        <v>92.107004292488298</v>
      </c>
      <c r="AJ8637">
        <v>96.061381510156494</v>
      </c>
      <c r="AK8637">
        <v>30.210349771927</v>
      </c>
      <c r="AL8637">
        <v>89.694618580190095</v>
      </c>
      <c r="AM8637">
        <v>91.0104205024397</v>
      </c>
      <c r="AN8637">
        <v>0.999999997219431</v>
      </c>
    </row>
    <row r="8638" spans="1:40" x14ac:dyDescent="0.25">
      <c r="A8638" t="str">
        <f>"20190312154129151"</f>
        <v>20190312154129151</v>
      </c>
      <c r="B8638" t="str">
        <f>"1552376489145312"</f>
        <v>1552376489145312</v>
      </c>
      <c r="C8638" t="s">
        <v>40</v>
      </c>
      <c r="D8638">
        <v>4.2485249999999999</v>
      </c>
      <c r="E8638">
        <v>0.46739979999999998</v>
      </c>
      <c r="F8638" t="s">
        <v>96</v>
      </c>
      <c r="G8638">
        <v>-256.03300000000002</v>
      </c>
      <c r="H8638" s="1">
        <v>-2.8527179999999999E-6</v>
      </c>
      <c r="I8638">
        <v>-66.19332</v>
      </c>
      <c r="J8638">
        <v>-284.1155</v>
      </c>
      <c r="K8638">
        <v>1.1107020000000001</v>
      </c>
      <c r="L8638">
        <v>-54.495730000000002</v>
      </c>
      <c r="M8638">
        <v>0.87762070000000003</v>
      </c>
      <c r="N8638">
        <v>0</v>
      </c>
      <c r="O8638">
        <v>-0.47915219999999997</v>
      </c>
      <c r="P8638">
        <v>0.8859901</v>
      </c>
      <c r="Q8638">
        <v>-8.6552150000000008E-3</v>
      </c>
      <c r="R8638">
        <v>-0.46362419999999999</v>
      </c>
      <c r="S8638">
        <v>2.778931</v>
      </c>
      <c r="T8638">
        <v>-0.109606</v>
      </c>
      <c r="U8638">
        <v>-1.1584779999999999</v>
      </c>
      <c r="V8638">
        <v>-1.7644980000000001E-2</v>
      </c>
      <c r="W8638">
        <v>5.2912640000000004E-3</v>
      </c>
      <c r="X8638">
        <v>0.99983029999999995</v>
      </c>
      <c r="Y8638">
        <v>-0.1042298</v>
      </c>
      <c r="Z8638">
        <v>1.910744E-2</v>
      </c>
      <c r="AA8638">
        <v>0.99436970000000002</v>
      </c>
      <c r="AB8638">
        <v>17</v>
      </c>
      <c r="AC8638">
        <v>28.0824999999999</v>
      </c>
      <c r="AD8638">
        <v>-1.1107048527179999</v>
      </c>
      <c r="AE8638">
        <v>-11.6975899999999</v>
      </c>
      <c r="AF8638">
        <v>-3.1858089248490198</v>
      </c>
      <c r="AG8638">
        <v>-1.1107048527179999</v>
      </c>
      <c r="AH8638">
        <v>30.213385010490502</v>
      </c>
      <c r="AI8638">
        <v>92.093763093756806</v>
      </c>
      <c r="AJ8638">
        <v>96.019232614573994</v>
      </c>
      <c r="AK8638">
        <v>30.401178884504301</v>
      </c>
      <c r="AL8638">
        <v>89.696831485534204</v>
      </c>
      <c r="AM8638">
        <v>91.011049521089802</v>
      </c>
      <c r="AN8638">
        <v>0.99999998579600302</v>
      </c>
    </row>
    <row r="8639" spans="1:40" x14ac:dyDescent="0.25">
      <c r="A8639" t="str">
        <f>"20190312154129163"</f>
        <v>20190312154129163</v>
      </c>
      <c r="B8639" t="str">
        <f>"1552376489155072"</f>
        <v>1552376489155072</v>
      </c>
      <c r="C8639" t="s">
        <v>40</v>
      </c>
      <c r="D8639">
        <v>4.2121329999999997</v>
      </c>
      <c r="E8639">
        <v>0.46749309999999999</v>
      </c>
      <c r="F8639" t="s">
        <v>96</v>
      </c>
      <c r="G8639">
        <v>-255.95859999999999</v>
      </c>
      <c r="H8639" s="1">
        <v>-2.831373E-6</v>
      </c>
      <c r="I8639">
        <v>-66.222880000000004</v>
      </c>
      <c r="J8639">
        <v>-284.03359999999998</v>
      </c>
      <c r="K8639">
        <v>1.1106959999999999</v>
      </c>
      <c r="L8639">
        <v>-54.539760000000001</v>
      </c>
      <c r="M8639">
        <v>0.87787909999999902</v>
      </c>
      <c r="N8639">
        <v>0</v>
      </c>
      <c r="O8639">
        <v>-0.47867910000000002</v>
      </c>
      <c r="P8639">
        <v>0.88615219999999995</v>
      </c>
      <c r="Q8639">
        <v>-8.6116649999999993E-3</v>
      </c>
      <c r="R8639">
        <v>-0.46331499999999998</v>
      </c>
      <c r="S8639">
        <v>2.779236</v>
      </c>
      <c r="T8639">
        <v>-0.10963249999999999</v>
      </c>
      <c r="U8639">
        <v>-1.157532</v>
      </c>
      <c r="V8639">
        <v>-1.7454750000000002E-2</v>
      </c>
      <c r="W8639">
        <v>5.3322700000000001E-3</v>
      </c>
      <c r="X8639">
        <v>0.99983350000000004</v>
      </c>
      <c r="Y8639">
        <v>-0.104021</v>
      </c>
      <c r="Z8639">
        <v>1.9092479999999998E-2</v>
      </c>
      <c r="AA8639">
        <v>0.99439180000000005</v>
      </c>
      <c r="AB8639">
        <v>17</v>
      </c>
      <c r="AC8639">
        <v>28.0749999999999</v>
      </c>
      <c r="AD8639">
        <v>-1.110698831373</v>
      </c>
      <c r="AE8639">
        <v>-11.683120000000001</v>
      </c>
      <c r="AF8639">
        <v>-3.1786179537988701</v>
      </c>
      <c r="AG8639">
        <v>-1.110698831373</v>
      </c>
      <c r="AH8639">
        <v>30.201571660437299</v>
      </c>
      <c r="AI8639">
        <v>92.094612917240994</v>
      </c>
      <c r="AJ8639">
        <v>96.008077453041807</v>
      </c>
      <c r="AK8639">
        <v>30.3886853080345</v>
      </c>
      <c r="AL8639">
        <v>89.694482005684804</v>
      </c>
      <c r="AM8639">
        <v>91.000148452338394</v>
      </c>
      <c r="AN8639">
        <v>1.0000000645615801</v>
      </c>
    </row>
    <row r="8640" spans="1:40" x14ac:dyDescent="0.25">
      <c r="A8640" t="str">
        <f>"20190312154129177"</f>
        <v>20190312154129177</v>
      </c>
      <c r="B8640" t="str">
        <f>"1552376489164832"</f>
        <v>1552376489164832</v>
      </c>
      <c r="C8640" t="s">
        <v>40</v>
      </c>
      <c r="D8640">
        <v>4.2273560000000003</v>
      </c>
      <c r="E8640">
        <v>0.46759499999999998</v>
      </c>
      <c r="F8640" t="s">
        <v>96</v>
      </c>
      <c r="G8640">
        <v>-255.8433</v>
      </c>
      <c r="H8640" s="1">
        <v>-2.7995059999999998E-6</v>
      </c>
      <c r="I8640">
        <v>-66.27807</v>
      </c>
      <c r="J8640">
        <v>-283.94499999999999</v>
      </c>
      <c r="K8640">
        <v>1.1106929999999999</v>
      </c>
      <c r="L8640">
        <v>-54.587310000000002</v>
      </c>
      <c r="M8640">
        <v>0.8781561</v>
      </c>
      <c r="N8640">
        <v>0</v>
      </c>
      <c r="O8640">
        <v>-0.47817029999999999</v>
      </c>
      <c r="P8640">
        <v>0.88637699999999997</v>
      </c>
      <c r="Q8640">
        <v>-8.3971250000000001E-3</v>
      </c>
      <c r="R8640">
        <v>-0.46288800000000002</v>
      </c>
      <c r="S8640">
        <v>2.7792970000000001</v>
      </c>
      <c r="T8640">
        <v>-0.10950459999999999</v>
      </c>
      <c r="U8640">
        <v>-1.1572880000000001</v>
      </c>
      <c r="V8640">
        <v>-1.7358419999999999E-2</v>
      </c>
      <c r="W8640">
        <v>5.5449360000000003E-3</v>
      </c>
      <c r="X8640">
        <v>0.99983390000000005</v>
      </c>
      <c r="Y8640">
        <v>-0.10352840000000001</v>
      </c>
      <c r="Z8640">
        <v>1.9044559999999999E-2</v>
      </c>
      <c r="AA8640">
        <v>0.99444410000000005</v>
      </c>
      <c r="AB8640">
        <v>17</v>
      </c>
      <c r="AC8640">
        <v>28.101699999999902</v>
      </c>
      <c r="AD8640">
        <v>-1.1106957995059901</v>
      </c>
      <c r="AE8640">
        <v>-11.690759999999999</v>
      </c>
      <c r="AF8640">
        <v>-3.1671777011290101</v>
      </c>
      <c r="AG8640">
        <v>-1.1106957995059901</v>
      </c>
      <c r="AH8640">
        <v>30.230547912686799</v>
      </c>
      <c r="AI8640">
        <v>92.092705375287196</v>
      </c>
      <c r="AJ8640">
        <v>95.980914327015995</v>
      </c>
      <c r="AK8640">
        <v>30.4162898271769</v>
      </c>
      <c r="AL8640">
        <v>89.682296923794198</v>
      </c>
      <c r="AM8640">
        <v>90.994629505564802</v>
      </c>
      <c r="AN8640">
        <v>0.99999994432467298</v>
      </c>
    </row>
    <row r="8641" spans="1:40" x14ac:dyDescent="0.25">
      <c r="A8641" t="str">
        <f>"20190312154129189"</f>
        <v>20190312154129189</v>
      </c>
      <c r="B8641" t="str">
        <f>"1552376489185328"</f>
        <v>1552376489185328</v>
      </c>
      <c r="C8641" t="s">
        <v>40</v>
      </c>
      <c r="D8641">
        <v>4.2505459999999999</v>
      </c>
      <c r="E8641">
        <v>0.46768969999999999</v>
      </c>
      <c r="F8641" t="s">
        <v>96</v>
      </c>
      <c r="G8641">
        <v>-255.55199999999999</v>
      </c>
      <c r="H8641" s="1">
        <v>-2.716961E-6</v>
      </c>
      <c r="I8641">
        <v>-66.402140000000003</v>
      </c>
      <c r="J8641">
        <v>-283.86709999999999</v>
      </c>
      <c r="K8641">
        <v>1.11069</v>
      </c>
      <c r="L8641">
        <v>-54.628999999999998</v>
      </c>
      <c r="M8641">
        <v>0.87839730000000005</v>
      </c>
      <c r="N8641">
        <v>0</v>
      </c>
      <c r="O8641">
        <v>-0.47772740000000002</v>
      </c>
      <c r="P8641">
        <v>0.88669200000000004</v>
      </c>
      <c r="Q8641">
        <v>-8.1774829999999993E-3</v>
      </c>
      <c r="R8641">
        <v>-0.46228839999999999</v>
      </c>
      <c r="S8641">
        <v>2.779541</v>
      </c>
      <c r="T8641">
        <v>-0.10873190000000001</v>
      </c>
      <c r="U8641">
        <v>-1.1566160000000001</v>
      </c>
      <c r="V8641">
        <v>-1.753147E-2</v>
      </c>
      <c r="W8641">
        <v>5.761894E-3</v>
      </c>
      <c r="X8641">
        <v>0.99982969999999904</v>
      </c>
      <c r="Y8641">
        <v>-0.1032677</v>
      </c>
      <c r="Z8641">
        <v>1.8890779999999999E-2</v>
      </c>
      <c r="AA8641">
        <v>0.99447419999999997</v>
      </c>
      <c r="AB8641">
        <v>17</v>
      </c>
      <c r="AC8641">
        <v>28.315099999999902</v>
      </c>
      <c r="AD8641">
        <v>-1.1106927169609999</v>
      </c>
      <c r="AE8641">
        <v>-11.77314</v>
      </c>
      <c r="AF8641">
        <v>-3.1815410500732799</v>
      </c>
      <c r="AG8641">
        <v>-1.1106927169609999</v>
      </c>
      <c r="AH8641">
        <v>30.459269198538198</v>
      </c>
      <c r="AI8641">
        <v>92.077066799952405</v>
      </c>
      <c r="AJ8641">
        <v>95.963053096259998</v>
      </c>
      <c r="AK8641">
        <v>30.6451125283271</v>
      </c>
      <c r="AL8641">
        <v>89.669865961912507</v>
      </c>
      <c r="AM8641">
        <v>91.004547388291698</v>
      </c>
      <c r="AN8641">
        <v>0.99999999043245802</v>
      </c>
    </row>
    <row r="8642" spans="1:40" x14ac:dyDescent="0.25">
      <c r="A8642" t="str">
        <f>"20190312154129202"</f>
        <v>20190312154129202</v>
      </c>
      <c r="B8642" t="str">
        <f>"1552376489195088"</f>
        <v>1552376489195088</v>
      </c>
      <c r="C8642" t="s">
        <v>40</v>
      </c>
      <c r="D8642">
        <v>4.2646829999999998</v>
      </c>
      <c r="E8642">
        <v>0.46768969999999999</v>
      </c>
      <c r="F8642" t="s">
        <v>96</v>
      </c>
      <c r="G8642">
        <v>-255.39709999999999</v>
      </c>
      <c r="H8642" s="1">
        <v>-2.6722949999999999E-6</v>
      </c>
      <c r="I8642">
        <v>-66.462299999999999</v>
      </c>
      <c r="J8642">
        <v>-283.7824</v>
      </c>
      <c r="K8642">
        <v>1.11069</v>
      </c>
      <c r="L8642">
        <v>-54.674379999999999</v>
      </c>
      <c r="M8642">
        <v>0.87865899999999997</v>
      </c>
      <c r="N8642">
        <v>0</v>
      </c>
      <c r="O8642">
        <v>-0.47724610000000001</v>
      </c>
      <c r="P8642">
        <v>0.88692090000000001</v>
      </c>
      <c r="Q8642">
        <v>-8.3082390000000002E-3</v>
      </c>
      <c r="R8642">
        <v>-0.46184710000000001</v>
      </c>
      <c r="S8642">
        <v>2.779938</v>
      </c>
      <c r="T8642">
        <v>-0.10845299999999999</v>
      </c>
      <c r="U8642">
        <v>-1.155457</v>
      </c>
      <c r="V8642">
        <v>-1.748046E-2</v>
      </c>
      <c r="W8642">
        <v>5.6288579999999996E-3</v>
      </c>
      <c r="X8642">
        <v>0.99983140000000004</v>
      </c>
      <c r="Y8642">
        <v>-0.10312880000000001</v>
      </c>
      <c r="Z8642">
        <v>1.8823800000000002E-2</v>
      </c>
      <c r="AA8642">
        <v>0.99448979999999998</v>
      </c>
      <c r="AB8642">
        <v>17</v>
      </c>
      <c r="AC8642">
        <v>28.385300000000001</v>
      </c>
      <c r="AD8642">
        <v>-1.1106926722949999</v>
      </c>
      <c r="AE8642">
        <v>-11.7879199999999</v>
      </c>
      <c r="AF8642">
        <v>-3.1853622560658099</v>
      </c>
      <c r="AG8642">
        <v>-1.1106926722949999</v>
      </c>
      <c r="AH8642">
        <v>30.529843259260101</v>
      </c>
      <c r="AI8642">
        <v>92.072294338608799</v>
      </c>
      <c r="AJ8642">
        <v>95.956461810928303</v>
      </c>
      <c r="AK8642">
        <v>30.7156556229823</v>
      </c>
      <c r="AL8642">
        <v>89.677488502759502</v>
      </c>
      <c r="AM8642">
        <v>91.0016234259204</v>
      </c>
      <c r="AN8642">
        <v>1.0000000394750701</v>
      </c>
    </row>
    <row r="8643" spans="1:40" x14ac:dyDescent="0.25">
      <c r="A8643" t="str">
        <f>"20190312154129217"</f>
        <v>20190312154129217</v>
      </c>
      <c r="B8643" t="str">
        <f>"1552376489204848"</f>
        <v>1552376489204848</v>
      </c>
      <c r="C8643" t="s">
        <v>40</v>
      </c>
      <c r="D8643">
        <v>4.2888760000000001</v>
      </c>
      <c r="E8643">
        <v>0.44941530000000002</v>
      </c>
      <c r="F8643" t="s">
        <v>96</v>
      </c>
      <c r="G8643">
        <v>-255.40180000000001</v>
      </c>
      <c r="H8643" s="1">
        <v>-2.6727860000000001E-6</v>
      </c>
      <c r="I8643">
        <v>-66.454030000000003</v>
      </c>
      <c r="J8643">
        <v>-283.68389999999999</v>
      </c>
      <c r="K8643">
        <v>1.1106879999999999</v>
      </c>
      <c r="L8643">
        <v>-54.727049999999998</v>
      </c>
      <c r="M8643">
        <v>0.8789614</v>
      </c>
      <c r="N8643">
        <v>0</v>
      </c>
      <c r="O8643">
        <v>-0.47668880000000002</v>
      </c>
      <c r="P8643">
        <v>0.88735219999999904</v>
      </c>
      <c r="Q8643">
        <v>-8.2023549999999997E-3</v>
      </c>
      <c r="R8643">
        <v>-0.46101930000000002</v>
      </c>
      <c r="S8643">
        <v>2.7805179999999998</v>
      </c>
      <c r="T8643">
        <v>-0.1088175</v>
      </c>
      <c r="U8643">
        <v>-1.154083</v>
      </c>
      <c r="V8643">
        <v>-1.777985E-2</v>
      </c>
      <c r="W8643">
        <v>5.7318539999999998E-3</v>
      </c>
      <c r="X8643">
        <v>0.99982550000000003</v>
      </c>
      <c r="Y8643">
        <v>-0.1029887</v>
      </c>
      <c r="Z8643">
        <v>1.8865130000000001E-2</v>
      </c>
      <c r="AA8643">
        <v>0.99450360000000004</v>
      </c>
      <c r="AB8643">
        <v>17</v>
      </c>
      <c r="AC8643">
        <v>28.2820999999999</v>
      </c>
      <c r="AD8643">
        <v>-1.110690672786</v>
      </c>
      <c r="AE8643">
        <v>-11.726979999999999</v>
      </c>
      <c r="AF8643">
        <v>-3.1703343029659701</v>
      </c>
      <c r="AG8643">
        <v>-1.110690672786</v>
      </c>
      <c r="AH8643">
        <v>30.4119354056145</v>
      </c>
      <c r="AI8643">
        <v>92.080337110123097</v>
      </c>
      <c r="AJ8643">
        <v>95.951381467498393</v>
      </c>
      <c r="AK8643">
        <v>30.596902922982999</v>
      </c>
      <c r="AL8643">
        <v>89.671587159969505</v>
      </c>
      <c r="AM8643">
        <v>91.018780779570406</v>
      </c>
      <c r="AN8643">
        <v>1.0000000038332699</v>
      </c>
    </row>
    <row r="8644" spans="1:40" x14ac:dyDescent="0.25">
      <c r="A8644" t="str">
        <f>"20190312154129239"</f>
        <v>20190312154129239</v>
      </c>
      <c r="B8644" t="str">
        <f>"1552376489235107"</f>
        <v>1552376489235107</v>
      </c>
      <c r="C8644" t="s">
        <v>40</v>
      </c>
      <c r="D8644">
        <v>4.2243130000000004</v>
      </c>
      <c r="E8644">
        <v>0.4371913</v>
      </c>
      <c r="F8644" t="s">
        <v>97</v>
      </c>
      <c r="G8644">
        <v>-241.38210000000001</v>
      </c>
      <c r="H8644" s="1">
        <v>-2.0360819999999998E-6</v>
      </c>
      <c r="I8644">
        <v>-69.920509999999993</v>
      </c>
      <c r="J8644">
        <v>-283.54300000000001</v>
      </c>
      <c r="K8644">
        <v>1.110689</v>
      </c>
      <c r="L8644">
        <v>-54.802190000000003</v>
      </c>
      <c r="M8644">
        <v>0.87939159999999905</v>
      </c>
      <c r="N8644">
        <v>0</v>
      </c>
      <c r="O8644">
        <v>-0.47589490000000001</v>
      </c>
      <c r="P8644">
        <v>0.88779699999999995</v>
      </c>
      <c r="Q8644">
        <v>-8.4617269999999901E-3</v>
      </c>
      <c r="R8644">
        <v>-0.4601577</v>
      </c>
      <c r="S8644">
        <v>2.8486020000000001</v>
      </c>
      <c r="T8644">
        <v>-7.4793929999999995E-2</v>
      </c>
      <c r="U8644">
        <v>-1.0231319999999999</v>
      </c>
      <c r="V8644">
        <v>-1.7846150000000002E-2</v>
      </c>
      <c r="W8644">
        <v>5.468166E-3</v>
      </c>
      <c r="X8644">
        <v>0.99982579999999999</v>
      </c>
      <c r="Y8644">
        <v>-0.15046329999999999</v>
      </c>
      <c r="Z8644">
        <v>1.3402819999999999E-2</v>
      </c>
      <c r="AA8644">
        <v>0.98852470000000003</v>
      </c>
      <c r="AB8644">
        <v>17</v>
      </c>
      <c r="AC8644">
        <v>42.160899999999998</v>
      </c>
      <c r="AD8644">
        <v>-1.1106910360819999</v>
      </c>
      <c r="AE8644">
        <v>-15.118319999999899</v>
      </c>
      <c r="AF8644">
        <v>-6.7657314171968697</v>
      </c>
      <c r="AG8644">
        <v>-1.1106910360819999</v>
      </c>
      <c r="AH8644">
        <v>44.247767984806202</v>
      </c>
      <c r="AI8644">
        <v>91.4214020423221</v>
      </c>
      <c r="AJ8644">
        <v>98.693510954792998</v>
      </c>
      <c r="AK8644">
        <v>44.775816327840602</v>
      </c>
      <c r="AL8644">
        <v>89.686695607712096</v>
      </c>
      <c r="AM8644">
        <v>91.022578640388801</v>
      </c>
      <c r="AN8644">
        <v>1.0000000081274301</v>
      </c>
    </row>
    <row r="8645" spans="1:40" x14ac:dyDescent="0.25">
      <c r="A8645" t="str">
        <f>"20190312154129249"</f>
        <v>20190312154129249</v>
      </c>
      <c r="B8645" t="str">
        <f>"1552376489244864"</f>
        <v>1552376489244864</v>
      </c>
      <c r="C8645" t="s">
        <v>40</v>
      </c>
      <c r="D8645">
        <v>4.1508129999999896</v>
      </c>
      <c r="E8645">
        <v>0.43547010000000003</v>
      </c>
      <c r="F8645" t="s">
        <v>98</v>
      </c>
      <c r="G8645">
        <v>-238.89320000000001</v>
      </c>
      <c r="H8645" s="1">
        <v>-4.4658840000000003E-6</v>
      </c>
      <c r="I8645">
        <v>-69.208640000000003</v>
      </c>
      <c r="J8645">
        <v>-283.46949999999998</v>
      </c>
      <c r="K8645">
        <v>1.1106879999999999</v>
      </c>
      <c r="L8645">
        <v>-54.84131</v>
      </c>
      <c r="M8645">
        <v>0.87961549999999999</v>
      </c>
      <c r="N8645">
        <v>0</v>
      </c>
      <c r="O8645">
        <v>-0.4754813</v>
      </c>
      <c r="P8645">
        <v>0.88798080000000001</v>
      </c>
      <c r="Q8645">
        <v>-8.5851450000000006E-3</v>
      </c>
      <c r="R8645">
        <v>-0.45980090000000001</v>
      </c>
      <c r="S8645">
        <v>2.894409</v>
      </c>
      <c r="T8645">
        <v>-7.2000380000000003E-2</v>
      </c>
      <c r="U8645">
        <v>-0.93389889999999998</v>
      </c>
      <c r="V8645">
        <v>-1.7777040000000001E-2</v>
      </c>
      <c r="W8645">
        <v>5.3422840000000001E-3</v>
      </c>
      <c r="X8645">
        <v>0.99982769999999999</v>
      </c>
      <c r="Y8645">
        <v>-0.18225640000000001</v>
      </c>
      <c r="Z8645">
        <v>1.316928E-2</v>
      </c>
      <c r="AA8645">
        <v>0.9831628</v>
      </c>
      <c r="AB8645">
        <v>17</v>
      </c>
      <c r="AC8645">
        <v>44.576299999999897</v>
      </c>
      <c r="AD8645">
        <v>-1.1106924658839901</v>
      </c>
      <c r="AE8645">
        <v>-14.367330000000001</v>
      </c>
      <c r="AF8645">
        <v>-8.5534909502006293</v>
      </c>
      <c r="AG8645">
        <v>-1.1106924658839901</v>
      </c>
      <c r="AH8645">
        <v>46.019987939635399</v>
      </c>
      <c r="AI8645">
        <v>91.359294725141694</v>
      </c>
      <c r="AJ8645">
        <v>100.529114502135</v>
      </c>
      <c r="AK8645">
        <v>46.821310694523703</v>
      </c>
      <c r="AL8645">
        <v>89.693908216755105</v>
      </c>
      <c r="AM8645">
        <v>91.018617560351601</v>
      </c>
      <c r="AN8645">
        <v>0.99999999641839399</v>
      </c>
    </row>
    <row r="8646" spans="1:40" x14ac:dyDescent="0.25">
      <c r="A8646" t="str">
        <f>"20190312154129261"</f>
        <v>20190312154129261</v>
      </c>
      <c r="B8646" t="str">
        <f>"1552376489254624"</f>
        <v>1552376489254624</v>
      </c>
      <c r="C8646" t="s">
        <v>40</v>
      </c>
      <c r="D8646">
        <v>4.1479809999999997</v>
      </c>
      <c r="E8646">
        <v>0.43418259999999997</v>
      </c>
      <c r="F8646" t="s">
        <v>98</v>
      </c>
      <c r="G8646">
        <v>-238.83420000000001</v>
      </c>
      <c r="H8646" s="1">
        <v>-4.4097380000000001E-6</v>
      </c>
      <c r="I8646">
        <v>-69.005359999999996</v>
      </c>
      <c r="J8646">
        <v>-283.39530000000002</v>
      </c>
      <c r="K8646">
        <v>1.1106860000000001</v>
      </c>
      <c r="L8646">
        <v>-54.880769999999998</v>
      </c>
      <c r="M8646">
        <v>0.8798414</v>
      </c>
      <c r="N8646">
        <v>0</v>
      </c>
      <c r="O8646">
        <v>-0.47506320000000002</v>
      </c>
      <c r="P8646">
        <v>0.88813169999999897</v>
      </c>
      <c r="Q8646">
        <v>-8.7014380000000006E-3</v>
      </c>
      <c r="R8646">
        <v>-0.45950750000000001</v>
      </c>
      <c r="S8646">
        <v>2.901062</v>
      </c>
      <c r="T8646">
        <v>-7.2189210000000004E-2</v>
      </c>
      <c r="U8646">
        <v>-0.92059329999999995</v>
      </c>
      <c r="V8646">
        <v>-1.7631629999999999E-2</v>
      </c>
      <c r="W8646">
        <v>5.2240300000000002E-3</v>
      </c>
      <c r="X8646">
        <v>0.99983089999999997</v>
      </c>
      <c r="Y8646">
        <v>-0.18653620000000001</v>
      </c>
      <c r="Z8646">
        <v>1.323032E-2</v>
      </c>
      <c r="AA8646">
        <v>0.98235899999999998</v>
      </c>
      <c r="AB8646">
        <v>17</v>
      </c>
      <c r="AC8646">
        <v>44.561100000000003</v>
      </c>
      <c r="AD8646">
        <v>-1.1106904097379999</v>
      </c>
      <c r="AE8646">
        <v>-14.1245899999999</v>
      </c>
      <c r="AF8646">
        <v>-8.73785522527578</v>
      </c>
      <c r="AG8646">
        <v>-1.1106904097379999</v>
      </c>
      <c r="AH8646">
        <v>45.895319840989202</v>
      </c>
      <c r="AI8646">
        <v>91.361864183156499</v>
      </c>
      <c r="AJ8646">
        <v>100.779345942536</v>
      </c>
      <c r="AK8646">
        <v>46.732902011654097</v>
      </c>
      <c r="AL8646">
        <v>89.700683766546604</v>
      </c>
      <c r="AM8646">
        <v>91.010284124474893</v>
      </c>
      <c r="AN8646">
        <v>0.999999996730353</v>
      </c>
    </row>
    <row r="8647" spans="1:40" x14ac:dyDescent="0.25">
      <c r="A8647" t="str">
        <f>"20190312154129272"</f>
        <v>20190312154129272</v>
      </c>
      <c r="B8647" t="str">
        <f>"1552376489265360"</f>
        <v>1552376489265360</v>
      </c>
      <c r="C8647" t="s">
        <v>40</v>
      </c>
      <c r="D8647">
        <v>4.1199949999999896</v>
      </c>
      <c r="E8647">
        <v>0.43334479999999997</v>
      </c>
      <c r="F8647" t="s">
        <v>98</v>
      </c>
      <c r="G8647">
        <v>-238.95189999999999</v>
      </c>
      <c r="H8647" s="1">
        <v>-4.4140769999999901E-6</v>
      </c>
      <c r="I8647">
        <v>-68.804079999999999</v>
      </c>
      <c r="J8647">
        <v>-283.32339999999999</v>
      </c>
      <c r="K8647">
        <v>1.1106819999999999</v>
      </c>
      <c r="L8647">
        <v>-54.919040000000003</v>
      </c>
      <c r="M8647">
        <v>0.88006039999999996</v>
      </c>
      <c r="N8647">
        <v>0</v>
      </c>
      <c r="O8647">
        <v>-0.474657</v>
      </c>
      <c r="P8647">
        <v>0.88833220000000002</v>
      </c>
      <c r="Q8647">
        <v>-8.8236069999999903E-3</v>
      </c>
      <c r="R8647">
        <v>-0.45911669999999999</v>
      </c>
      <c r="S8647">
        <v>2.9060969999999999</v>
      </c>
      <c r="T8647">
        <v>-7.2626590000000005E-2</v>
      </c>
      <c r="U8647">
        <v>-0.91043090000000004</v>
      </c>
      <c r="V8647">
        <v>-1.7609240000000002E-2</v>
      </c>
      <c r="W8647">
        <v>5.1000539999999997E-3</v>
      </c>
      <c r="X8647">
        <v>0.9998319</v>
      </c>
      <c r="Y8647">
        <v>-0.18969510000000001</v>
      </c>
      <c r="Z8647">
        <v>1.332769E-2</v>
      </c>
      <c r="AA8647">
        <v>0.98175259999999998</v>
      </c>
      <c r="AB8647">
        <v>16</v>
      </c>
      <c r="AC8647">
        <v>44.371499999999997</v>
      </c>
      <c r="AD8647">
        <v>-1.1106864140770001</v>
      </c>
      <c r="AE8647">
        <v>-13.885039999999901</v>
      </c>
      <c r="AF8647">
        <v>-8.8373854184311202</v>
      </c>
      <c r="AG8647">
        <v>-1.1106864140770001</v>
      </c>
      <c r="AH8647">
        <v>45.618634666700601</v>
      </c>
      <c r="AI8647">
        <v>91.369269921897697</v>
      </c>
      <c r="AJ8647">
        <v>100.963713718905</v>
      </c>
      <c r="AK8647">
        <v>46.480026185429502</v>
      </c>
      <c r="AL8647">
        <v>89.707787152648905</v>
      </c>
      <c r="AM8647">
        <v>91.009000444420195</v>
      </c>
      <c r="AN8647">
        <v>0.99999996207089403</v>
      </c>
    </row>
    <row r="8648" spans="1:40" x14ac:dyDescent="0.25">
      <c r="A8648" t="str">
        <f>"20190312154129283"</f>
        <v>20190312154129283</v>
      </c>
      <c r="B8648" t="str">
        <f>"1552376489275120"</f>
        <v>1552376489275120</v>
      </c>
      <c r="C8648" t="s">
        <v>40</v>
      </c>
      <c r="D8648">
        <v>4.1198399999999999</v>
      </c>
      <c r="E8648">
        <v>0.4325484</v>
      </c>
      <c r="F8648" t="s">
        <v>98</v>
      </c>
      <c r="G8648">
        <v>-237.6936</v>
      </c>
      <c r="H8648" s="1">
        <v>-4.035915E-6</v>
      </c>
      <c r="I8648">
        <v>-69.086169999999996</v>
      </c>
      <c r="J8648">
        <v>-283.25330000000002</v>
      </c>
      <c r="K8648">
        <v>1.110681</v>
      </c>
      <c r="L8648">
        <v>-54.956209999999999</v>
      </c>
      <c r="M8648">
        <v>0.88027359999999899</v>
      </c>
      <c r="N8648">
        <v>0</v>
      </c>
      <c r="O8648">
        <v>-0.47426170000000001</v>
      </c>
      <c r="P8648">
        <v>0.88841380000000003</v>
      </c>
      <c r="Q8648">
        <v>-8.9781830000000007E-3</v>
      </c>
      <c r="R8648">
        <v>-0.45895599999999998</v>
      </c>
      <c r="S8648">
        <v>2.9095149999999999</v>
      </c>
      <c r="T8648">
        <v>-7.0821289999999995E-2</v>
      </c>
      <c r="U8648">
        <v>-0.90335080000000001</v>
      </c>
      <c r="V8648">
        <v>-1.7339879999999998E-2</v>
      </c>
      <c r="W8648">
        <v>4.943177E-3</v>
      </c>
      <c r="X8648">
        <v>0.99983750000000005</v>
      </c>
      <c r="Y8648">
        <v>-0.19176850000000001</v>
      </c>
      <c r="Z8648">
        <v>1.3004669999999999E-2</v>
      </c>
      <c r="AA8648">
        <v>0.98135410000000001</v>
      </c>
      <c r="AB8648">
        <v>16</v>
      </c>
      <c r="AC8648">
        <v>45.559699999999999</v>
      </c>
      <c r="AD8648">
        <v>-1.110685035915</v>
      </c>
      <c r="AE8648">
        <v>-14.129959999999899</v>
      </c>
      <c r="AF8648">
        <v>-9.1649116519472393</v>
      </c>
      <c r="AG8648">
        <v>-1.110685035915</v>
      </c>
      <c r="AH8648">
        <v>46.785480553819802</v>
      </c>
      <c r="AI8648">
        <v>91.334587497123906</v>
      </c>
      <c r="AJ8648">
        <v>101.083448534116</v>
      </c>
      <c r="AK8648">
        <v>47.687633800481898</v>
      </c>
      <c r="AL8648">
        <v>89.7167756858872</v>
      </c>
      <c r="AM8648">
        <v>90.993563808431603</v>
      </c>
      <c r="AN8648">
        <v>1.0000000664217501</v>
      </c>
    </row>
    <row r="8649" spans="1:40" x14ac:dyDescent="0.25">
      <c r="A8649" t="str">
        <f>"20190312154129294"</f>
        <v>20190312154129294</v>
      </c>
      <c r="B8649" t="str">
        <f>"1552376489284880"</f>
        <v>1552376489284880</v>
      </c>
      <c r="C8649" t="s">
        <v>40</v>
      </c>
      <c r="D8649">
        <v>4.1301410000000001</v>
      </c>
      <c r="E8649">
        <v>0.43197869999999999</v>
      </c>
      <c r="F8649" t="s">
        <v>98</v>
      </c>
      <c r="G8649">
        <v>-236.0094</v>
      </c>
      <c r="H8649" s="1">
        <v>-3.5379550000000001E-6</v>
      </c>
      <c r="I8649">
        <v>-69.509990000000002</v>
      </c>
      <c r="J8649">
        <v>-283.18049999999999</v>
      </c>
      <c r="K8649">
        <v>1.1106819999999999</v>
      </c>
      <c r="L8649">
        <v>-54.994840000000003</v>
      </c>
      <c r="M8649">
        <v>0.88049539999999904</v>
      </c>
      <c r="N8649">
        <v>0</v>
      </c>
      <c r="O8649">
        <v>-0.47384989999999999</v>
      </c>
      <c r="P8649">
        <v>0.88862339999999995</v>
      </c>
      <c r="Q8649">
        <v>-9.3331769999999998E-3</v>
      </c>
      <c r="R8649">
        <v>-0.45854309999999998</v>
      </c>
      <c r="S8649">
        <v>2.912598</v>
      </c>
      <c r="T8649">
        <v>-6.8473939999999997E-2</v>
      </c>
      <c r="U8649">
        <v>-0.89724729999999997</v>
      </c>
      <c r="V8649">
        <v>-1.7335139999999999E-2</v>
      </c>
      <c r="W8649">
        <v>4.5865059999999997E-3</v>
      </c>
      <c r="X8649">
        <v>0.99983920000000004</v>
      </c>
      <c r="Y8649">
        <v>-0.1934911</v>
      </c>
      <c r="Z8649">
        <v>1.257782E-2</v>
      </c>
      <c r="AA8649">
        <v>0.98102140000000004</v>
      </c>
      <c r="AB8649">
        <v>16</v>
      </c>
      <c r="AC8649">
        <v>47.171100000000003</v>
      </c>
      <c r="AD8649">
        <v>-1.110685537955</v>
      </c>
      <c r="AE8649">
        <v>-14.515149999999901</v>
      </c>
      <c r="AF8649">
        <v>-9.5675818287877608</v>
      </c>
      <c r="AG8649">
        <v>-1.110685537955</v>
      </c>
      <c r="AH8649">
        <v>48.392130155723002</v>
      </c>
      <c r="AI8649">
        <v>91.289850139705095</v>
      </c>
      <c r="AJ8649">
        <v>101.18368631400099</v>
      </c>
      <c r="AK8649">
        <v>49.341367081012301</v>
      </c>
      <c r="AL8649">
        <v>89.737211638068601</v>
      </c>
      <c r="AM8649">
        <v>90.993290575417305</v>
      </c>
      <c r="AN8649">
        <v>0.99999998448637295</v>
      </c>
    </row>
    <row r="8650" spans="1:40" x14ac:dyDescent="0.25">
      <c r="A8650" t="str">
        <f>"20190312154129306"</f>
        <v>20190312154129306</v>
      </c>
      <c r="B8650" t="str">
        <f>"1552376489294640"</f>
        <v>1552376489294640</v>
      </c>
      <c r="C8650" t="s">
        <v>40</v>
      </c>
      <c r="D8650">
        <v>4.1401199999999996</v>
      </c>
      <c r="E8650">
        <v>0.4312761</v>
      </c>
      <c r="F8650" t="s">
        <v>98</v>
      </c>
      <c r="G8650">
        <v>-234.92760000000001</v>
      </c>
      <c r="H8650" s="1">
        <v>-3.2137900000000002E-6</v>
      </c>
      <c r="I8650">
        <v>-69.757930000000002</v>
      </c>
      <c r="J8650">
        <v>-283.1096</v>
      </c>
      <c r="K8650">
        <v>1.110676</v>
      </c>
      <c r="L8650">
        <v>-55.032350000000001</v>
      </c>
      <c r="M8650">
        <v>0.88071149999999998</v>
      </c>
      <c r="N8650">
        <v>0</v>
      </c>
      <c r="O8650">
        <v>-0.47344829999999999</v>
      </c>
      <c r="P8650">
        <v>0.8889049</v>
      </c>
      <c r="Q8650">
        <v>-9.5731229999999994E-3</v>
      </c>
      <c r="R8650">
        <v>-0.45799230000000002</v>
      </c>
      <c r="S8650">
        <v>2.9150700000000001</v>
      </c>
      <c r="T8650">
        <v>-6.709909E-2</v>
      </c>
      <c r="U8650">
        <v>-0.89187619999999901</v>
      </c>
      <c r="V8650">
        <v>-1.7497740000000001E-2</v>
      </c>
      <c r="W8650">
        <v>4.3442749999999999E-3</v>
      </c>
      <c r="X8650">
        <v>0.99983750000000005</v>
      </c>
      <c r="Y8650">
        <v>-0.19493550000000001</v>
      </c>
      <c r="Z8650">
        <v>1.2328199999999999E-2</v>
      </c>
      <c r="AA8650">
        <v>0.98073860000000002</v>
      </c>
      <c r="AB8650">
        <v>16</v>
      </c>
      <c r="AC8650">
        <v>48.181999999999903</v>
      </c>
      <c r="AD8650">
        <v>-1.1106792137899999</v>
      </c>
      <c r="AE8650">
        <v>-14.7255799999999</v>
      </c>
      <c r="AF8650">
        <v>-9.8388714489270193</v>
      </c>
      <c r="AG8650">
        <v>-1.1106792137899999</v>
      </c>
      <c r="AH8650">
        <v>49.387032910575797</v>
      </c>
      <c r="AI8650">
        <v>91.263503104217705</v>
      </c>
      <c r="AJ8650">
        <v>101.26693941844</v>
      </c>
      <c r="AK8650">
        <v>50.369792727534197</v>
      </c>
      <c r="AL8650">
        <v>89.7510906032349</v>
      </c>
      <c r="AM8650">
        <v>91.002607245365397</v>
      </c>
      <c r="AN8650">
        <v>1.00000003501831</v>
      </c>
    </row>
    <row r="8651" spans="1:40" x14ac:dyDescent="0.25">
      <c r="A8651" t="str">
        <f>"20190312154129317"</f>
        <v>20190312154129317</v>
      </c>
      <c r="B8651" t="str">
        <f>"1552376489305375"</f>
        <v>1552376489305375</v>
      </c>
      <c r="C8651" t="s">
        <v>40</v>
      </c>
      <c r="D8651">
        <v>4.1181210000000004</v>
      </c>
      <c r="E8651">
        <v>0.43085390000000001</v>
      </c>
      <c r="F8651" t="s">
        <v>98</v>
      </c>
      <c r="G8651">
        <v>-234.52879999999999</v>
      </c>
      <c r="H8651" s="1">
        <v>-3.079835E-6</v>
      </c>
      <c r="I8651">
        <v>-69.767780000000002</v>
      </c>
      <c r="J8651">
        <v>-283.03730000000002</v>
      </c>
      <c r="K8651">
        <v>1.1106750000000001</v>
      </c>
      <c r="L8651">
        <v>-55.070619999999998</v>
      </c>
      <c r="M8651">
        <v>0.88093189999999999</v>
      </c>
      <c r="N8651">
        <v>0</v>
      </c>
      <c r="O8651">
        <v>-0.47303820000000002</v>
      </c>
      <c r="P8651">
        <v>0.88921450000000002</v>
      </c>
      <c r="Q8651">
        <v>-9.7709890000000008E-3</v>
      </c>
      <c r="R8651">
        <v>-0.45738679999999898</v>
      </c>
      <c r="S8651">
        <v>2.9181520000000001</v>
      </c>
      <c r="T8651">
        <v>-6.6716310000000001E-2</v>
      </c>
      <c r="U8651">
        <v>-0.88513180000000002</v>
      </c>
      <c r="V8651">
        <v>-1.771182E-2</v>
      </c>
      <c r="W8651">
        <v>4.1440050000000001E-3</v>
      </c>
      <c r="X8651">
        <v>0.99983449999999996</v>
      </c>
      <c r="Y8651">
        <v>-0.19684409999999999</v>
      </c>
      <c r="Z8651">
        <v>1.226438E-2</v>
      </c>
      <c r="AA8651">
        <v>0.98035810000000001</v>
      </c>
      <c r="AB8651">
        <v>16</v>
      </c>
      <c r="AC8651">
        <v>48.508499999999998</v>
      </c>
      <c r="AD8651">
        <v>-1.110678079835</v>
      </c>
      <c r="AE8651">
        <v>-14.69716</v>
      </c>
      <c r="AF8651">
        <v>-9.9953462420872494</v>
      </c>
      <c r="AG8651">
        <v>-1.110678079835</v>
      </c>
      <c r="AH8651">
        <v>49.665971269284498</v>
      </c>
      <c r="AI8651">
        <v>91.255916741592003</v>
      </c>
      <c r="AJ8651">
        <v>101.378858092977</v>
      </c>
      <c r="AK8651">
        <v>50.673950452057902</v>
      </c>
      <c r="AL8651">
        <v>89.762565312812001</v>
      </c>
      <c r="AM8651">
        <v>91.014874361589094</v>
      </c>
      <c r="AN8651">
        <v>0.99999995436769995</v>
      </c>
    </row>
    <row r="8652" spans="1:40" x14ac:dyDescent="0.25">
      <c r="A8652" t="str">
        <f>"20190312154129328"</f>
        <v>20190312154129328</v>
      </c>
      <c r="B8652" t="str">
        <f>"1552376489315136"</f>
        <v>1552376489315136</v>
      </c>
      <c r="C8652" t="s">
        <v>40</v>
      </c>
      <c r="D8652">
        <v>4.1291599999999997</v>
      </c>
      <c r="E8652">
        <v>0.43060720000000002</v>
      </c>
      <c r="F8652" t="s">
        <v>98</v>
      </c>
      <c r="G8652">
        <v>-234.30549999999999</v>
      </c>
      <c r="H8652" s="1">
        <v>-3.002399E-6</v>
      </c>
      <c r="I8652">
        <v>-69.759739999999994</v>
      </c>
      <c r="J8652">
        <v>-282.96510000000001</v>
      </c>
      <c r="K8652">
        <v>1.1106750000000001</v>
      </c>
      <c r="L8652">
        <v>-55.108800000000002</v>
      </c>
      <c r="M8652">
        <v>0.88115259999999995</v>
      </c>
      <c r="N8652">
        <v>0</v>
      </c>
      <c r="O8652">
        <v>-0.47262710000000002</v>
      </c>
      <c r="P8652">
        <v>0.88955490000000004</v>
      </c>
      <c r="Q8652">
        <v>-1.004275E-2</v>
      </c>
      <c r="R8652">
        <v>-0.45671810000000002</v>
      </c>
      <c r="S8652">
        <v>2.920258</v>
      </c>
      <c r="T8652">
        <v>-6.6557409999999997E-2</v>
      </c>
      <c r="U8652">
        <v>-0.88024899999999995</v>
      </c>
      <c r="V8652">
        <v>-1.7995029999999999E-2</v>
      </c>
      <c r="W8652">
        <v>3.8703029999999999E-3</v>
      </c>
      <c r="X8652">
        <v>0.99983060000000001</v>
      </c>
      <c r="Y8652">
        <v>-0.19808539999999999</v>
      </c>
      <c r="Z8652">
        <v>1.223657E-2</v>
      </c>
      <c r="AA8652">
        <v>0.98010839999999999</v>
      </c>
      <c r="AB8652">
        <v>16</v>
      </c>
      <c r="AC8652">
        <v>48.659599999999998</v>
      </c>
      <c r="AD8652">
        <v>-1.1106780023989999</v>
      </c>
      <c r="AE8652">
        <v>-14.65094</v>
      </c>
      <c r="AF8652">
        <v>-10.084291812533399</v>
      </c>
      <c r="AG8652">
        <v>-1.1106780023989999</v>
      </c>
      <c r="AH8652">
        <v>49.782008086995702</v>
      </c>
      <c r="AI8652">
        <v>91.252670031596395</v>
      </c>
      <c r="AJ8652">
        <v>101.451394132071</v>
      </c>
      <c r="AK8652">
        <v>50.805264256364701</v>
      </c>
      <c r="AL8652">
        <v>89.778247422267</v>
      </c>
      <c r="AM8652">
        <v>91.031102633156493</v>
      </c>
      <c r="AN8652">
        <v>1.00000001452318</v>
      </c>
    </row>
    <row r="8653" spans="1:40" x14ac:dyDescent="0.25">
      <c r="A8653" t="str">
        <f>"20190312154129340"</f>
        <v>20190312154129340</v>
      </c>
      <c r="B8653" t="str">
        <f>"1552376489334656"</f>
        <v>1552376489334656</v>
      </c>
      <c r="C8653" t="s">
        <v>40</v>
      </c>
      <c r="D8653">
        <v>4.0930429999999998</v>
      </c>
      <c r="E8653">
        <v>0.43012119999999998</v>
      </c>
      <c r="F8653" t="s">
        <v>98</v>
      </c>
      <c r="G8653">
        <v>-234.77119999999999</v>
      </c>
      <c r="H8653" s="1">
        <v>-3.1258159999999998E-6</v>
      </c>
      <c r="I8653">
        <v>-69.562069999999906</v>
      </c>
      <c r="J8653">
        <v>-282.89069999999998</v>
      </c>
      <c r="K8653">
        <v>1.1106750000000001</v>
      </c>
      <c r="L8653">
        <v>-55.148069999999997</v>
      </c>
      <c r="M8653">
        <v>0.88137969999999899</v>
      </c>
      <c r="N8653">
        <v>0</v>
      </c>
      <c r="O8653">
        <v>-0.47220299999999998</v>
      </c>
      <c r="P8653">
        <v>0.88997859999999995</v>
      </c>
      <c r="Q8653">
        <v>-1.012158E-2</v>
      </c>
      <c r="R8653">
        <v>-0.45589010000000002</v>
      </c>
      <c r="S8653">
        <v>2.9218139999999999</v>
      </c>
      <c r="T8653">
        <v>-6.7336199999999999E-2</v>
      </c>
      <c r="U8653">
        <v>-0.87625119999999901</v>
      </c>
      <c r="V8653">
        <v>-1.8444140000000001E-2</v>
      </c>
      <c r="W8653">
        <v>3.788764E-3</v>
      </c>
      <c r="X8653">
        <v>0.99982269999999895</v>
      </c>
      <c r="Y8653">
        <v>-0.19898440000000001</v>
      </c>
      <c r="Z8653">
        <v>1.2378490000000001E-2</v>
      </c>
      <c r="AA8653">
        <v>0.97992449999999998</v>
      </c>
      <c r="AB8653">
        <v>16</v>
      </c>
      <c r="AC8653">
        <v>48.119499999999903</v>
      </c>
      <c r="AD8653">
        <v>-1.1106781258159999</v>
      </c>
      <c r="AE8653">
        <v>-14.4139999999999</v>
      </c>
      <c r="AF8653">
        <v>-10.0140420823714</v>
      </c>
      <c r="AG8653">
        <v>-1.1106781258159999</v>
      </c>
      <c r="AH8653">
        <v>49.198610079546903</v>
      </c>
      <c r="AI8653">
        <v>91.267278835204806</v>
      </c>
      <c r="AJ8653">
        <v>101.505000614629</v>
      </c>
      <c r="AK8653">
        <v>50.2196961210038</v>
      </c>
      <c r="AL8653">
        <v>89.782919290882504</v>
      </c>
      <c r="AM8653">
        <v>91.056838905204401</v>
      </c>
      <c r="AN8653">
        <v>0.99999998623413799</v>
      </c>
    </row>
    <row r="8654" spans="1:40" x14ac:dyDescent="0.25">
      <c r="A8654" t="str">
        <f>"20190312154129351"</f>
        <v>20190312154129351</v>
      </c>
      <c r="B8654" t="str">
        <f>"1552376489344416"</f>
        <v>1552376489344416</v>
      </c>
      <c r="C8654" t="s">
        <v>40</v>
      </c>
      <c r="D8654">
        <v>4.1235520000000001</v>
      </c>
      <c r="E8654">
        <v>0.42992580000000002</v>
      </c>
      <c r="F8654" t="s">
        <v>98</v>
      </c>
      <c r="G8654">
        <v>-234.1395</v>
      </c>
      <c r="H8654" s="1">
        <v>-2.9270180000000002E-6</v>
      </c>
      <c r="I8654">
        <v>-69.653239999999997</v>
      </c>
      <c r="J8654">
        <v>-282.81819999999999</v>
      </c>
      <c r="K8654">
        <v>1.1106750000000001</v>
      </c>
      <c r="L8654">
        <v>-55.186250000000001</v>
      </c>
      <c r="M8654">
        <v>0.88160110000000003</v>
      </c>
      <c r="N8654">
        <v>0</v>
      </c>
      <c r="O8654">
        <v>-0.47178969999999998</v>
      </c>
      <c r="P8654">
        <v>0.89044400000000001</v>
      </c>
      <c r="Q8654">
        <v>-1.0113840000000001E-2</v>
      </c>
      <c r="R8654">
        <v>-0.4549802</v>
      </c>
      <c r="S8654">
        <v>2.9244080000000001</v>
      </c>
      <c r="T8654">
        <v>-6.6625599999999993E-2</v>
      </c>
      <c r="U8654">
        <v>-0.87011719999999904</v>
      </c>
      <c r="V8654">
        <v>-1.899669E-2</v>
      </c>
      <c r="W8654">
        <v>3.7935320000000001E-3</v>
      </c>
      <c r="X8654">
        <v>0.99981240000000005</v>
      </c>
      <c r="Y8654">
        <v>-0.2006539</v>
      </c>
      <c r="Z8654">
        <v>1.225299E-2</v>
      </c>
      <c r="AA8654">
        <v>0.9795855</v>
      </c>
      <c r="AB8654">
        <v>16</v>
      </c>
      <c r="AC8654">
        <v>48.6786999999999</v>
      </c>
      <c r="AD8654">
        <v>-1.1106779270180001</v>
      </c>
      <c r="AE8654">
        <v>-14.4669899999999</v>
      </c>
      <c r="AF8654">
        <v>-10.2081025917402</v>
      </c>
      <c r="AG8654">
        <v>-1.1106779270180001</v>
      </c>
      <c r="AH8654">
        <v>49.721613339127302</v>
      </c>
      <c r="AI8654">
        <v>91.253519529034804</v>
      </c>
      <c r="AJ8654">
        <v>101.601903133761</v>
      </c>
      <c r="AK8654">
        <v>50.770836087529098</v>
      </c>
      <c r="AL8654">
        <v>89.782646116532305</v>
      </c>
      <c r="AM8654">
        <v>91.088503415384807</v>
      </c>
      <c r="AN8654">
        <v>1.00000005015487</v>
      </c>
    </row>
    <row r="8655" spans="1:40" x14ac:dyDescent="0.25">
      <c r="A8655" t="str">
        <f>"20190312154129362"</f>
        <v>20190312154129362</v>
      </c>
      <c r="B8655" t="str">
        <f>"1552376489355151"</f>
        <v>1552376489355151</v>
      </c>
      <c r="C8655" t="s">
        <v>40</v>
      </c>
      <c r="D8655">
        <v>4.1034739999999896</v>
      </c>
      <c r="E8655">
        <v>0.42971690000000001</v>
      </c>
      <c r="F8655" t="s">
        <v>98</v>
      </c>
      <c r="G8655">
        <v>-234.3878</v>
      </c>
      <c r="H8655" s="1">
        <v>-2.9870860000000002E-6</v>
      </c>
      <c r="I8655">
        <v>-69.515429999999995</v>
      </c>
      <c r="J8655">
        <v>-282.74079999999998</v>
      </c>
      <c r="K8655">
        <v>1.1106739999999999</v>
      </c>
      <c r="L8655">
        <v>-55.226990000000001</v>
      </c>
      <c r="M8655">
        <v>0.88183769999999995</v>
      </c>
      <c r="N8655">
        <v>0</v>
      </c>
      <c r="O8655">
        <v>-0.47134769999999998</v>
      </c>
      <c r="P8655">
        <v>0.89096139999999902</v>
      </c>
      <c r="Q8655">
        <v>-1.0177E-2</v>
      </c>
      <c r="R8655">
        <v>-0.45396530000000002</v>
      </c>
      <c r="S8655">
        <v>2.9259949999999999</v>
      </c>
      <c r="T8655">
        <v>-6.7103270000000007E-2</v>
      </c>
      <c r="U8655">
        <v>-0.86572269999999896</v>
      </c>
      <c r="V8655">
        <v>-1.963411E-2</v>
      </c>
      <c r="W8655">
        <v>3.7272529999999998E-3</v>
      </c>
      <c r="X8655">
        <v>0.99980029999999998</v>
      </c>
      <c r="Y8655">
        <v>-0.2016579</v>
      </c>
      <c r="Z8655">
        <v>1.234056E-2</v>
      </c>
      <c r="AA8655">
        <v>0.97937830000000003</v>
      </c>
      <c r="AB8655">
        <v>16</v>
      </c>
      <c r="AC8655">
        <v>48.352999999999902</v>
      </c>
      <c r="AD8655">
        <v>-1.110676987086</v>
      </c>
      <c r="AE8655">
        <v>-14.28844</v>
      </c>
      <c r="AF8655">
        <v>-10.187033671881199</v>
      </c>
      <c r="AG8655">
        <v>-1.110676987086</v>
      </c>
      <c r="AH8655">
        <v>49.355152309967004</v>
      </c>
      <c r="AI8655">
        <v>91.262549228874406</v>
      </c>
      <c r="AJ8655">
        <v>101.662229039946</v>
      </c>
      <c r="AK8655">
        <v>50.407740654999898</v>
      </c>
      <c r="AL8655">
        <v>89.786443642715895</v>
      </c>
      <c r="AM8655">
        <v>91.125031726392805</v>
      </c>
      <c r="AN8655">
        <v>1.00000001528525</v>
      </c>
    </row>
    <row r="8656" spans="1:40" x14ac:dyDescent="0.25">
      <c r="A8656" t="str">
        <f>"20190312154129375"</f>
        <v>20190312154129375</v>
      </c>
      <c r="B8656" t="str">
        <f>"1552376489364912"</f>
        <v>1552376489364912</v>
      </c>
      <c r="C8656" t="s">
        <v>40</v>
      </c>
      <c r="D8656">
        <v>4.1188589999999996</v>
      </c>
      <c r="E8656">
        <v>0.42951820000000002</v>
      </c>
      <c r="F8656" t="s">
        <v>98</v>
      </c>
      <c r="G8656">
        <v>-234.68459999999999</v>
      </c>
      <c r="H8656" s="1">
        <v>-3.0600240000000002E-6</v>
      </c>
      <c r="I8656">
        <v>-69.357209999999995</v>
      </c>
      <c r="J8656">
        <v>-282.65570000000002</v>
      </c>
      <c r="K8656">
        <v>1.110676</v>
      </c>
      <c r="L8656">
        <v>-55.27176</v>
      </c>
      <c r="M8656">
        <v>0.88209749999999998</v>
      </c>
      <c r="N8656">
        <v>0</v>
      </c>
      <c r="O8656">
        <v>-0.47086099999999997</v>
      </c>
      <c r="P8656">
        <v>0.89150769999999901</v>
      </c>
      <c r="Q8656">
        <v>-9.9549860000000007E-3</v>
      </c>
      <c r="R8656">
        <v>-0.45289590000000002</v>
      </c>
      <c r="S8656">
        <v>2.927765</v>
      </c>
      <c r="T8656">
        <v>-6.7666649999999995E-2</v>
      </c>
      <c r="U8656">
        <v>-0.86087039999999904</v>
      </c>
      <c r="V8656">
        <v>-2.0283880000000001E-2</v>
      </c>
      <c r="W8656">
        <v>3.9461189999999997E-3</v>
      </c>
      <c r="X8656">
        <v>0.99978650000000002</v>
      </c>
      <c r="Y8656">
        <v>-0.20276920000000001</v>
      </c>
      <c r="Z8656">
        <v>1.2443829999999999E-2</v>
      </c>
      <c r="AA8656">
        <v>0.97914749999999995</v>
      </c>
      <c r="AB8656">
        <v>16</v>
      </c>
      <c r="AC8656">
        <v>47.9711</v>
      </c>
      <c r="AD8656">
        <v>-1.110679060024</v>
      </c>
      <c r="AE8656">
        <v>-14.0854499999999</v>
      </c>
      <c r="AF8656">
        <v>-10.1589518124419</v>
      </c>
      <c r="AG8656">
        <v>-1.110679060024</v>
      </c>
      <c r="AH8656">
        <v>48.928076237008298</v>
      </c>
      <c r="AI8656">
        <v>91.273258107422194</v>
      </c>
      <c r="AJ8656">
        <v>101.72967899741199</v>
      </c>
      <c r="AK8656">
        <v>49.983942963279603</v>
      </c>
      <c r="AL8656">
        <v>89.773903455067597</v>
      </c>
      <c r="AM8656">
        <v>91.162269444385004</v>
      </c>
      <c r="AN8656">
        <v>1.0000000266126301</v>
      </c>
    </row>
    <row r="8657" spans="1:40" x14ac:dyDescent="0.25">
      <c r="A8657" t="str">
        <f>"20190312154129390"</f>
        <v>20190312154129390</v>
      </c>
      <c r="B8657" t="str">
        <f>"1552376489385407"</f>
        <v>1552376489385407</v>
      </c>
      <c r="C8657" t="s">
        <v>40</v>
      </c>
      <c r="D8657">
        <v>4.104609</v>
      </c>
      <c r="E8657">
        <v>0.42923709999999998</v>
      </c>
      <c r="F8657" t="s">
        <v>98</v>
      </c>
      <c r="G8657">
        <v>-233.81720000000001</v>
      </c>
      <c r="H8657" s="1">
        <v>-2.7975470000000001E-6</v>
      </c>
      <c r="I8657">
        <v>-69.541560000000004</v>
      </c>
      <c r="J8657">
        <v>-282.56869999999998</v>
      </c>
      <c r="K8657">
        <v>1.1106750000000001</v>
      </c>
      <c r="L8657">
        <v>-55.317439999999998</v>
      </c>
      <c r="M8657">
        <v>0.88236340000000002</v>
      </c>
      <c r="N8657">
        <v>0</v>
      </c>
      <c r="O8657">
        <v>-0.47036299999999998</v>
      </c>
      <c r="P8657">
        <v>0.89204399999999995</v>
      </c>
      <c r="Q8657">
        <v>-1.008333E-2</v>
      </c>
      <c r="R8657">
        <v>-0.45183620000000002</v>
      </c>
      <c r="S8657">
        <v>2.9295040000000001</v>
      </c>
      <c r="T8657">
        <v>-6.6622379999999995E-2</v>
      </c>
      <c r="U8657">
        <v>-0.85595699999999997</v>
      </c>
      <c r="V8657">
        <v>-2.090651E-2</v>
      </c>
      <c r="W8657">
        <v>3.8145140000000002E-3</v>
      </c>
      <c r="X8657">
        <v>0.99977419999999995</v>
      </c>
      <c r="Y8657">
        <v>-0.2038905</v>
      </c>
      <c r="Z8657">
        <v>1.225156E-2</v>
      </c>
      <c r="AA8657">
        <v>0.97891700000000004</v>
      </c>
      <c r="AB8657">
        <v>16</v>
      </c>
      <c r="AC8657">
        <v>48.751499999999901</v>
      </c>
      <c r="AD8657">
        <v>-1.1106777975469999</v>
      </c>
      <c r="AE8657">
        <v>-14.224119999999999</v>
      </c>
      <c r="AF8657">
        <v>-10.376100112418801</v>
      </c>
      <c r="AG8657">
        <v>-1.1106777975469999</v>
      </c>
      <c r="AH8657">
        <v>49.688081540641399</v>
      </c>
      <c r="AI8657">
        <v>91.253489056316994</v>
      </c>
      <c r="AJ8657">
        <v>101.795269956675</v>
      </c>
      <c r="AK8657">
        <v>50.772064227312299</v>
      </c>
      <c r="AL8657">
        <v>89.781443926029397</v>
      </c>
      <c r="AM8657">
        <v>91.197950731258501</v>
      </c>
      <c r="AN8657">
        <v>1.00000004183153</v>
      </c>
    </row>
    <row r="8658" spans="1:40" x14ac:dyDescent="0.25">
      <c r="A8658" t="str">
        <f>"20190312154129402"</f>
        <v>20190312154129402</v>
      </c>
      <c r="B8658" t="str">
        <f>"1552376489395168"</f>
        <v>1552376489395168</v>
      </c>
      <c r="C8658" t="s">
        <v>40</v>
      </c>
      <c r="D8658">
        <v>4.0859740000000002</v>
      </c>
      <c r="E8658">
        <v>0.42916929999999998</v>
      </c>
      <c r="F8658" t="s">
        <v>98</v>
      </c>
      <c r="G8658">
        <v>-233.2911</v>
      </c>
      <c r="H8658" s="1">
        <v>-2.631411E-6</v>
      </c>
      <c r="I8658">
        <v>-69.614359999999905</v>
      </c>
      <c r="J8658">
        <v>-282.48739999999998</v>
      </c>
      <c r="K8658">
        <v>1.1106720000000001</v>
      </c>
      <c r="L8658">
        <v>-55.360109999999999</v>
      </c>
      <c r="M8658">
        <v>0.88261160000000005</v>
      </c>
      <c r="N8658">
        <v>0</v>
      </c>
      <c r="O8658">
        <v>-0.46989720000000001</v>
      </c>
      <c r="P8658">
        <v>0.89252759999999998</v>
      </c>
      <c r="Q8658">
        <v>-1.0152629999999999E-2</v>
      </c>
      <c r="R8658">
        <v>-0.45087820000000001</v>
      </c>
      <c r="S8658">
        <v>2.9315190000000002</v>
      </c>
      <c r="T8658">
        <v>-6.6074010000000002E-2</v>
      </c>
      <c r="U8658">
        <v>-0.85052490000000003</v>
      </c>
      <c r="V8658">
        <v>-2.1451410000000001E-2</v>
      </c>
      <c r="W8658">
        <v>3.742511E-3</v>
      </c>
      <c r="X8658">
        <v>0.99976290000000001</v>
      </c>
      <c r="Y8658">
        <v>-0.2052291</v>
      </c>
      <c r="Z8658">
        <v>1.215277E-2</v>
      </c>
      <c r="AA8658">
        <v>0.97863849999999997</v>
      </c>
      <c r="AB8658">
        <v>16</v>
      </c>
      <c r="AC8658">
        <v>49.196299999999901</v>
      </c>
      <c r="AD8658">
        <v>-1.1106746314110001</v>
      </c>
      <c r="AE8658">
        <v>-14.2542499999999</v>
      </c>
      <c r="AF8658">
        <v>-10.532303664191099</v>
      </c>
      <c r="AG8658">
        <v>-1.1106746314110001</v>
      </c>
      <c r="AH8658">
        <v>50.100545896168803</v>
      </c>
      <c r="AI8658">
        <v>91.242820305744402</v>
      </c>
      <c r="AJ8658">
        <v>101.87203405130001</v>
      </c>
      <c r="AK8658">
        <v>51.207691977921797</v>
      </c>
      <c r="AL8658">
        <v>89.785569417094607</v>
      </c>
      <c r="AM8658">
        <v>91.229178133411196</v>
      </c>
      <c r="AN8658">
        <v>1.00000001279799</v>
      </c>
    </row>
    <row r="8659" spans="1:40" x14ac:dyDescent="0.25">
      <c r="A8659" t="str">
        <f>"20190312154129414"</f>
        <v>20190312154129414</v>
      </c>
      <c r="B8659" t="str">
        <f>"1552376489404927"</f>
        <v>1552376489404927</v>
      </c>
      <c r="C8659" t="s">
        <v>40</v>
      </c>
      <c r="D8659">
        <v>4.117756</v>
      </c>
      <c r="E8659">
        <v>0.42913440000000003</v>
      </c>
      <c r="F8659" t="s">
        <v>98</v>
      </c>
      <c r="G8659">
        <v>-232.7227</v>
      </c>
      <c r="H8659" s="1">
        <v>-2.4586570000000001E-6</v>
      </c>
      <c r="I8659">
        <v>-69.730829999999997</v>
      </c>
      <c r="J8659">
        <v>-282.40780000000001</v>
      </c>
      <c r="K8659">
        <v>1.11067</v>
      </c>
      <c r="L8659">
        <v>-55.401789999999998</v>
      </c>
      <c r="M8659">
        <v>0.88285419999999903</v>
      </c>
      <c r="N8659">
        <v>0</v>
      </c>
      <c r="O8659">
        <v>-0.46944130000000001</v>
      </c>
      <c r="P8659">
        <v>0.89296500000000001</v>
      </c>
      <c r="Q8659">
        <v>-1.0331689999999999E-2</v>
      </c>
      <c r="R8659">
        <v>-0.45000780000000001</v>
      </c>
      <c r="S8659">
        <v>2.932709</v>
      </c>
      <c r="T8659">
        <v>-6.5453769999999994E-2</v>
      </c>
      <c r="U8659">
        <v>-0.84689329999999996</v>
      </c>
      <c r="V8659">
        <v>-2.1909080000000001E-2</v>
      </c>
      <c r="W8659">
        <v>3.5608380000000002E-3</v>
      </c>
      <c r="X8659">
        <v>0.99975369999999997</v>
      </c>
      <c r="Y8659">
        <v>-0.20595089999999999</v>
      </c>
      <c r="Z8659">
        <v>1.203601E-2</v>
      </c>
      <c r="AA8659">
        <v>0.97848829999999998</v>
      </c>
      <c r="AB8659">
        <v>16</v>
      </c>
      <c r="AC8659">
        <v>49.685099999999998</v>
      </c>
      <c r="AD8659">
        <v>-1.110672458657</v>
      </c>
      <c r="AE8659">
        <v>-14.329040000000001</v>
      </c>
      <c r="AF8659">
        <v>-10.669894248046299</v>
      </c>
      <c r="AG8659">
        <v>-1.110672458657</v>
      </c>
      <c r="AH8659">
        <v>50.572902089137699</v>
      </c>
      <c r="AI8659">
        <v>91.231025505345301</v>
      </c>
      <c r="AJ8659">
        <v>101.913572093779</v>
      </c>
      <c r="AK8659">
        <v>51.698149505494101</v>
      </c>
      <c r="AL8659">
        <v>89.795978595017502</v>
      </c>
      <c r="AM8659">
        <v>91.255406131543296</v>
      </c>
      <c r="AN8659">
        <v>1.0000000740086901</v>
      </c>
    </row>
    <row r="8660" spans="1:40" x14ac:dyDescent="0.25">
      <c r="A8660" t="str">
        <f>"20190312154129425"</f>
        <v>20190312154129425</v>
      </c>
      <c r="B8660" t="str">
        <f>"1552376489414688"</f>
        <v>1552376489414688</v>
      </c>
      <c r="C8660" t="s">
        <v>40</v>
      </c>
      <c r="D8660">
        <v>4.0886189999999996</v>
      </c>
      <c r="E8660">
        <v>0.42900440000000001</v>
      </c>
      <c r="F8660" t="s">
        <v>98</v>
      </c>
      <c r="G8660">
        <v>-233.14590000000001</v>
      </c>
      <c r="H8660" s="1">
        <v>-2.5743559999999999E-6</v>
      </c>
      <c r="I8660">
        <v>-69.571290000000005</v>
      </c>
      <c r="J8660">
        <v>-282.33890000000002</v>
      </c>
      <c r="K8660">
        <v>1.110668</v>
      </c>
      <c r="L8660">
        <v>-55.437840000000001</v>
      </c>
      <c r="M8660">
        <v>0.88306369999999901</v>
      </c>
      <c r="N8660">
        <v>0</v>
      </c>
      <c r="O8660">
        <v>-0.46904669999999998</v>
      </c>
      <c r="P8660">
        <v>0.89335039999999999</v>
      </c>
      <c r="Q8660">
        <v>-1.0739510000000001E-2</v>
      </c>
      <c r="R8660">
        <v>-0.44923249999999998</v>
      </c>
      <c r="S8660">
        <v>2.9335939999999998</v>
      </c>
      <c r="T8660">
        <v>-6.6141610000000003E-2</v>
      </c>
      <c r="U8660">
        <v>-0.84381099999999998</v>
      </c>
      <c r="V8660">
        <v>-2.2327670000000001E-2</v>
      </c>
      <c r="W8660">
        <v>3.1498070000000001E-3</v>
      </c>
      <c r="X8660">
        <v>0.99974569999999996</v>
      </c>
      <c r="Y8660">
        <v>-0.20653850000000001</v>
      </c>
      <c r="Z8660">
        <v>1.2160209999999999E-2</v>
      </c>
      <c r="AA8660">
        <v>0.97836290000000004</v>
      </c>
      <c r="AB8660">
        <v>16</v>
      </c>
      <c r="AC8660">
        <v>49.192999999999998</v>
      </c>
      <c r="AD8660">
        <v>-1.1106705743559999</v>
      </c>
      <c r="AE8660">
        <v>-14.13345</v>
      </c>
      <c r="AF8660">
        <v>-10.5891174312335</v>
      </c>
      <c r="AG8660">
        <v>-1.1106705743559999</v>
      </c>
      <c r="AH8660">
        <v>50.051082038610097</v>
      </c>
      <c r="AI8660">
        <v>91.243706451428494</v>
      </c>
      <c r="AJ8660">
        <v>101.945698621571</v>
      </c>
      <c r="AK8660">
        <v>51.171025105355</v>
      </c>
      <c r="AL8660">
        <v>89.819529046152098</v>
      </c>
      <c r="AM8660">
        <v>91.279393978219005</v>
      </c>
      <c r="AN8660">
        <v>0.99999995540012698</v>
      </c>
    </row>
    <row r="8661" spans="1:40" x14ac:dyDescent="0.25">
      <c r="A8661" t="str">
        <f>"20190312154129437"</f>
        <v>20190312154129437</v>
      </c>
      <c r="B8661" t="str">
        <f>"1552376489424447"</f>
        <v>1552376489424447</v>
      </c>
      <c r="C8661" t="s">
        <v>40</v>
      </c>
      <c r="D8661">
        <v>4.1009719999999996</v>
      </c>
      <c r="E8661">
        <v>0.42900440000000001</v>
      </c>
      <c r="F8661" t="s">
        <v>98</v>
      </c>
      <c r="G8661">
        <v>-232.93</v>
      </c>
      <c r="H8661" s="1">
        <v>-2.5033720000000001E-6</v>
      </c>
      <c r="I8661">
        <v>-69.585269999999994</v>
      </c>
      <c r="J8661">
        <v>-282.26499999999999</v>
      </c>
      <c r="K8661">
        <v>1.1106640000000001</v>
      </c>
      <c r="L8661">
        <v>-55.476500000000001</v>
      </c>
      <c r="M8661">
        <v>0.88328839999999997</v>
      </c>
      <c r="N8661">
        <v>0</v>
      </c>
      <c r="O8661">
        <v>-0.46862359999999997</v>
      </c>
      <c r="P8661">
        <v>0.893702199999999</v>
      </c>
      <c r="Q8661">
        <v>-1.1025719999999999E-2</v>
      </c>
      <c r="R8661">
        <v>-0.44852510000000001</v>
      </c>
      <c r="S8661">
        <v>2.9347840000000001</v>
      </c>
      <c r="T8661">
        <v>-6.5971489999999994E-2</v>
      </c>
      <c r="U8661">
        <v>-0.84033199999999997</v>
      </c>
      <c r="V8661">
        <v>-2.263803E-2</v>
      </c>
      <c r="W8661">
        <v>2.861321E-3</v>
      </c>
      <c r="X8661">
        <v>0.99973959999999995</v>
      </c>
      <c r="Y8661">
        <v>-0.2072473</v>
      </c>
      <c r="Z8661">
        <v>1.212656E-2</v>
      </c>
      <c r="AA8661">
        <v>0.97821340000000001</v>
      </c>
      <c r="AB8661">
        <v>16</v>
      </c>
      <c r="AC8661">
        <v>49.334999999999901</v>
      </c>
      <c r="AD8661">
        <v>-1.11066650337199</v>
      </c>
      <c r="AE8661">
        <v>-14.1087699999999</v>
      </c>
      <c r="AF8661">
        <v>-10.653472578772901</v>
      </c>
      <c r="AG8661">
        <v>-1.11066650337199</v>
      </c>
      <c r="AH8661">
        <v>50.170087806430402</v>
      </c>
      <c r="AI8661">
        <v>91.240556241454698</v>
      </c>
      <c r="AJ8661">
        <v>101.98851694297799</v>
      </c>
      <c r="AK8661">
        <v>51.300757972697802</v>
      </c>
      <c r="AL8661">
        <v>89.836058153866404</v>
      </c>
      <c r="AM8661">
        <v>91.297179740610801</v>
      </c>
      <c r="AN8661">
        <v>0.999999967684152</v>
      </c>
    </row>
    <row r="8662" spans="1:40" x14ac:dyDescent="0.25">
      <c r="A8662" t="str">
        <f>"20190312154129448"</f>
        <v>20190312154129448</v>
      </c>
      <c r="B8662" t="str">
        <f>"1552376489444944"</f>
        <v>1552376489444944</v>
      </c>
      <c r="C8662" t="s">
        <v>40</v>
      </c>
      <c r="D8662">
        <v>4.0686980000000004</v>
      </c>
      <c r="E8662">
        <v>0.3971228</v>
      </c>
      <c r="F8662" t="s">
        <v>98</v>
      </c>
      <c r="G8662">
        <v>-233.61519999999999</v>
      </c>
      <c r="H8662" s="1">
        <v>-2.6975960000000001E-6</v>
      </c>
      <c r="I8662">
        <v>-69.365759999999995</v>
      </c>
      <c r="J8662">
        <v>-282.18860000000001</v>
      </c>
      <c r="K8662">
        <v>1.11066</v>
      </c>
      <c r="L8662">
        <v>-55.516300000000001</v>
      </c>
      <c r="M8662">
        <v>0.88351979999999997</v>
      </c>
      <c r="N8662">
        <v>0</v>
      </c>
      <c r="O8662">
        <v>-0.46818710000000002</v>
      </c>
      <c r="P8662">
        <v>0.89396239999999905</v>
      </c>
      <c r="Q8662">
        <v>-1.122307E-2</v>
      </c>
      <c r="R8662">
        <v>-0.44800119999999999</v>
      </c>
      <c r="S8662">
        <v>2.9353940000000001</v>
      </c>
      <c r="T8662">
        <v>-6.7014580000000004E-2</v>
      </c>
      <c r="U8662">
        <v>-0.83804319999999899</v>
      </c>
      <c r="V8662">
        <v>-2.272861E-2</v>
      </c>
      <c r="W8662">
        <v>2.6615269999999999E-3</v>
      </c>
      <c r="X8662">
        <v>0.99973820000000002</v>
      </c>
      <c r="Y8662">
        <v>-0.20751829999999999</v>
      </c>
      <c r="Z8662">
        <v>1.231208E-2</v>
      </c>
      <c r="AA8662">
        <v>0.97815359999999996</v>
      </c>
      <c r="AB8662">
        <v>16</v>
      </c>
      <c r="AC8662">
        <v>48.573399999999999</v>
      </c>
      <c r="AD8662">
        <v>-1.1106626975959999</v>
      </c>
      <c r="AE8662">
        <v>-13.849459999999899</v>
      </c>
      <c r="AF8662">
        <v>-10.501106621457801</v>
      </c>
      <c r="AG8662">
        <v>-1.1106626975959999</v>
      </c>
      <c r="AH8662">
        <v>49.380604842102599</v>
      </c>
      <c r="AI8662">
        <v>91.260299974824406</v>
      </c>
      <c r="AJ8662">
        <v>102.00547844279799</v>
      </c>
      <c r="AK8662">
        <v>50.4970389872014</v>
      </c>
      <c r="AL8662">
        <v>89.847505566626793</v>
      </c>
      <c r="AM8662">
        <v>91.302370096207696</v>
      </c>
      <c r="AN8662">
        <v>1.0000000709888599</v>
      </c>
    </row>
    <row r="8663" spans="1:40" x14ac:dyDescent="0.25">
      <c r="A8663" t="str">
        <f>"20190312154129462"</f>
        <v>20190312154129462</v>
      </c>
      <c r="B8663" t="str">
        <f>"1552376489454704"</f>
        <v>1552376489454704</v>
      </c>
      <c r="C8663" t="s">
        <v>40</v>
      </c>
      <c r="D8663">
        <v>4.0703820000000004</v>
      </c>
      <c r="E8663">
        <v>0.38968140000000001</v>
      </c>
      <c r="F8663" t="s">
        <v>99</v>
      </c>
      <c r="G8663">
        <v>-226.4821</v>
      </c>
      <c r="H8663" s="1">
        <v>-3.051205E-6</v>
      </c>
      <c r="I8663">
        <v>-66.642330000000001</v>
      </c>
      <c r="J8663">
        <v>-282.10129999999998</v>
      </c>
      <c r="K8663">
        <v>1.11066</v>
      </c>
      <c r="L8663">
        <v>-55.56183</v>
      </c>
      <c r="M8663">
        <v>0.88378449999999997</v>
      </c>
      <c r="N8663">
        <v>0</v>
      </c>
      <c r="O8663">
        <v>-0.46768720000000003</v>
      </c>
      <c r="P8663">
        <v>0.89415560000000005</v>
      </c>
      <c r="Q8663">
        <v>-1.184136E-2</v>
      </c>
      <c r="R8663">
        <v>-0.44759979999999999</v>
      </c>
      <c r="S8663">
        <v>3.0498349999999999</v>
      </c>
      <c r="T8663">
        <v>-6.0806869999999999E-2</v>
      </c>
      <c r="U8663">
        <v>-0.60913090000000003</v>
      </c>
      <c r="V8663">
        <v>-2.2607559999999999E-2</v>
      </c>
      <c r="W8663">
        <v>2.0411639999999998E-3</v>
      </c>
      <c r="X8663">
        <v>0.99974229999999997</v>
      </c>
      <c r="Y8663">
        <v>-0.28542580000000001</v>
      </c>
      <c r="Z8663">
        <v>1.166231E-2</v>
      </c>
      <c r="AA8663">
        <v>0.95832989999999996</v>
      </c>
      <c r="AB8663">
        <v>16</v>
      </c>
      <c r="AC8663">
        <v>55.6191999999999</v>
      </c>
      <c r="AD8663">
        <v>-1.110663051205</v>
      </c>
      <c r="AE8663">
        <v>-11.080499999999899</v>
      </c>
      <c r="AF8663">
        <v>-16.2149652738252</v>
      </c>
      <c r="AG8663">
        <v>-1.110663051205</v>
      </c>
      <c r="AH8663">
        <v>54.322021905330203</v>
      </c>
      <c r="AI8663">
        <v>91.122378898153897</v>
      </c>
      <c r="AJ8663">
        <v>106.62021104362501</v>
      </c>
      <c r="AK8663">
        <v>56.701329218351198</v>
      </c>
      <c r="AL8663">
        <v>89.883049832468203</v>
      </c>
      <c r="AM8663">
        <v>91.295430879828004</v>
      </c>
      <c r="AN8663">
        <v>0.99999996726445795</v>
      </c>
    </row>
    <row r="8664" spans="1:40" x14ac:dyDescent="0.25">
      <c r="A8664" t="str">
        <f>"20190312154129474"</f>
        <v>20190312154129474</v>
      </c>
      <c r="B8664" t="str">
        <f>"1552376489464464"</f>
        <v>1552376489464464</v>
      </c>
      <c r="C8664" t="s">
        <v>40</v>
      </c>
      <c r="D8664">
        <v>4.0824730000000002</v>
      </c>
      <c r="E8664">
        <v>0.38299490000000003</v>
      </c>
      <c r="F8664" t="s">
        <v>100</v>
      </c>
      <c r="G8664">
        <v>-217.76310000000001</v>
      </c>
      <c r="H8664" s="1">
        <v>-3.7048929999999999E-6</v>
      </c>
      <c r="I8664">
        <v>-67.167719999999903</v>
      </c>
      <c r="J8664">
        <v>-282.02609999999999</v>
      </c>
      <c r="K8664">
        <v>1.110662</v>
      </c>
      <c r="L8664">
        <v>-55.60098</v>
      </c>
      <c r="M8664">
        <v>0.88401229999999997</v>
      </c>
      <c r="N8664">
        <v>0</v>
      </c>
      <c r="O8664">
        <v>-0.46725739999999999</v>
      </c>
      <c r="P8664">
        <v>0.89423949999999996</v>
      </c>
      <c r="Q8664">
        <v>-1.198405E-2</v>
      </c>
      <c r="R8664">
        <v>-0.44742860000000001</v>
      </c>
      <c r="S8664">
        <v>3.0766300000000002</v>
      </c>
      <c r="T8664">
        <v>-5.311155E-2</v>
      </c>
      <c r="U8664">
        <v>-0.55499270000000001</v>
      </c>
      <c r="V8664">
        <v>-2.231153E-2</v>
      </c>
      <c r="W8664">
        <v>1.896682E-3</v>
      </c>
      <c r="X8664">
        <v>0.9997492</v>
      </c>
      <c r="Y8664">
        <v>-0.30282629999999999</v>
      </c>
      <c r="Z8664">
        <v>1.0266910000000001E-2</v>
      </c>
      <c r="AA8664">
        <v>0.95299049999999996</v>
      </c>
      <c r="AB8664">
        <v>16</v>
      </c>
      <c r="AC8664">
        <v>64.262999999999906</v>
      </c>
      <c r="AD8664">
        <v>-1.110665704893</v>
      </c>
      <c r="AE8664">
        <v>-11.5667399999999</v>
      </c>
      <c r="AF8664">
        <v>-19.798402500281099</v>
      </c>
      <c r="AG8664">
        <v>-1.110665704893</v>
      </c>
      <c r="AH8664">
        <v>62.201927746498797</v>
      </c>
      <c r="AI8664">
        <v>90.974777375731307</v>
      </c>
      <c r="AJ8664">
        <v>107.65587880133999</v>
      </c>
      <c r="AK8664">
        <v>65.286217038911204</v>
      </c>
      <c r="AL8664">
        <v>89.891328053812302</v>
      </c>
      <c r="AM8664">
        <v>91.278464975634407</v>
      </c>
      <c r="AN8664">
        <v>0.99999993233709195</v>
      </c>
    </row>
    <row r="8665" spans="1:40" x14ac:dyDescent="0.25">
      <c r="A8665" t="str">
        <f>"20190312154129486"</f>
        <v>20190312154129486</v>
      </c>
      <c r="B8665" t="str">
        <f>"1552376489475200"</f>
        <v>1552376489475200</v>
      </c>
      <c r="C8665" t="s">
        <v>40</v>
      </c>
      <c r="D8665">
        <v>4.0605549999999999</v>
      </c>
      <c r="E8665">
        <v>0.3784845</v>
      </c>
      <c r="F8665" t="s">
        <v>100</v>
      </c>
      <c r="G8665">
        <v>-218.02369999999999</v>
      </c>
      <c r="H8665" s="1">
        <v>-3.596961E-6</v>
      </c>
      <c r="I8665">
        <v>-66.059380000000004</v>
      </c>
      <c r="J8665">
        <v>-281.95060000000001</v>
      </c>
      <c r="K8665">
        <v>1.110662</v>
      </c>
      <c r="L8665">
        <v>-55.640230000000003</v>
      </c>
      <c r="M8665">
        <v>0.88423999999999903</v>
      </c>
      <c r="N8665">
        <v>0</v>
      </c>
      <c r="O8665">
        <v>-0.46682590000000002</v>
      </c>
      <c r="P8665">
        <v>0.89436849999999901</v>
      </c>
      <c r="Q8665">
        <v>-1.226666E-2</v>
      </c>
      <c r="R8665">
        <v>-0.44716289999999997</v>
      </c>
      <c r="S8665">
        <v>3.1005549999999999</v>
      </c>
      <c r="T8665">
        <v>-5.3805470000000001E-2</v>
      </c>
      <c r="U8665">
        <v>-0.50665280000000001</v>
      </c>
      <c r="V8665">
        <v>-2.211894E-2</v>
      </c>
      <c r="W8665">
        <v>1.612011E-3</v>
      </c>
      <c r="X8665">
        <v>0.99975409999999998</v>
      </c>
      <c r="Y8665">
        <v>-0.31803749999999997</v>
      </c>
      <c r="Z8665">
        <v>1.0467539999999999E-2</v>
      </c>
      <c r="AA8665">
        <v>0.94802030000000004</v>
      </c>
      <c r="AB8665">
        <v>16</v>
      </c>
      <c r="AC8665">
        <v>63.926900000000003</v>
      </c>
      <c r="AD8665">
        <v>-1.110665596961</v>
      </c>
      <c r="AE8665">
        <v>-10.41915</v>
      </c>
      <c r="AF8665">
        <v>-20.625631708430099</v>
      </c>
      <c r="AG8665">
        <v>-1.110665596961</v>
      </c>
      <c r="AH8665">
        <v>61.378534346941002</v>
      </c>
      <c r="AI8665">
        <v>90.982685027712094</v>
      </c>
      <c r="AJ8665">
        <v>108.574398621258</v>
      </c>
      <c r="AK8665">
        <v>64.760904410135396</v>
      </c>
      <c r="AL8665">
        <v>89.907638538090495</v>
      </c>
      <c r="AM8665">
        <v>91.267426850564306</v>
      </c>
      <c r="AN8665">
        <v>1.0000000532764901</v>
      </c>
    </row>
    <row r="8666" spans="1:40" x14ac:dyDescent="0.25">
      <c r="A8666" t="str">
        <f>"20190312154129499"</f>
        <v>20190312154129499</v>
      </c>
      <c r="B8666" t="str">
        <f>"1552376489494720"</f>
        <v>1552376489494720</v>
      </c>
      <c r="C8666" t="s">
        <v>40</v>
      </c>
      <c r="D8666">
        <v>4.0442289999999996</v>
      </c>
      <c r="E8666">
        <v>0.37279689999999999</v>
      </c>
      <c r="F8666" t="s">
        <v>69</v>
      </c>
      <c r="G8666">
        <v>-209.0419</v>
      </c>
      <c r="H8666" s="1">
        <v>-2.0352410000000001E-6</v>
      </c>
      <c r="I8666">
        <v>-66.723979999999997</v>
      </c>
      <c r="J8666">
        <v>-281.86959999999999</v>
      </c>
      <c r="K8666">
        <v>1.110662</v>
      </c>
      <c r="L8666">
        <v>-55.682369999999999</v>
      </c>
      <c r="M8666">
        <v>0.88448459999999995</v>
      </c>
      <c r="N8666">
        <v>0</v>
      </c>
      <c r="O8666">
        <v>-0.46636260000000002</v>
      </c>
      <c r="P8666">
        <v>0.89450640000000003</v>
      </c>
      <c r="Q8666">
        <v>-1.227893E-2</v>
      </c>
      <c r="R8666">
        <v>-0.44688699999999998</v>
      </c>
      <c r="S8666">
        <v>3.1167600000000002</v>
      </c>
      <c r="T8666">
        <v>-4.7479510000000003E-2</v>
      </c>
      <c r="U8666">
        <v>-0.47381590000000001</v>
      </c>
      <c r="V8666">
        <v>-2.1903470000000001E-2</v>
      </c>
      <c r="W8666">
        <v>1.5972289999999999E-3</v>
      </c>
      <c r="X8666">
        <v>0.99975879999999995</v>
      </c>
      <c r="Y8666">
        <v>-0.32807779999999998</v>
      </c>
      <c r="Z8666">
        <v>9.2713499999999994E-3</v>
      </c>
      <c r="AA8666">
        <v>0.94460520000000003</v>
      </c>
      <c r="AB8666">
        <v>16</v>
      </c>
      <c r="AC8666">
        <v>72.827699999999993</v>
      </c>
      <c r="AD8666">
        <v>-1.110664035241</v>
      </c>
      <c r="AE8666">
        <v>-11.04161</v>
      </c>
      <c r="AF8666">
        <v>-24.1948151819591</v>
      </c>
      <c r="AG8666">
        <v>-1.110664035241</v>
      </c>
      <c r="AH8666">
        <v>69.555270461076404</v>
      </c>
      <c r="AI8666">
        <v>90.8640514677288</v>
      </c>
      <c r="AJ8666">
        <v>109.18024080863</v>
      </c>
      <c r="AK8666">
        <v>73.651600832580797</v>
      </c>
      <c r="AL8666">
        <v>89.908485479160504</v>
      </c>
      <c r="AM8666">
        <v>91.255078376892897</v>
      </c>
      <c r="AN8666">
        <v>0.99999998565797898</v>
      </c>
    </row>
    <row r="8667" spans="1:40" x14ac:dyDescent="0.25">
      <c r="A8667" t="str">
        <f>"20190312154129510"</f>
        <v>20190312154129510</v>
      </c>
      <c r="B8667" t="str">
        <f>"1552376489504480"</f>
        <v>1552376489504480</v>
      </c>
      <c r="C8667" t="s">
        <v>40</v>
      </c>
      <c r="D8667">
        <v>4.0187350000000004</v>
      </c>
      <c r="E8667">
        <v>0.37102360000000001</v>
      </c>
      <c r="F8667" t="s">
        <v>69</v>
      </c>
      <c r="G8667">
        <v>-209.27250000000001</v>
      </c>
      <c r="H8667" s="1">
        <v>-1.6706729999999901E-6</v>
      </c>
      <c r="I8667">
        <v>-65.684839999999994</v>
      </c>
      <c r="J8667">
        <v>-281.79390000000001</v>
      </c>
      <c r="K8667">
        <v>1.1106609999999999</v>
      </c>
      <c r="L8667">
        <v>-55.721620000000001</v>
      </c>
      <c r="M8667">
        <v>0.88471259999999996</v>
      </c>
      <c r="N8667">
        <v>0</v>
      </c>
      <c r="O8667">
        <v>-0.46593000000000001</v>
      </c>
      <c r="P8667">
        <v>0.89463060000000005</v>
      </c>
      <c r="Q8667">
        <v>-1.2474610000000001E-2</v>
      </c>
      <c r="R8667">
        <v>-0.44663269999999999</v>
      </c>
      <c r="S8667">
        <v>3.137238</v>
      </c>
      <c r="T8667">
        <v>-4.799664E-2</v>
      </c>
      <c r="U8667">
        <v>-0.432251</v>
      </c>
      <c r="V8667">
        <v>-2.1697049999999999E-2</v>
      </c>
      <c r="W8667">
        <v>1.3998189999999901E-3</v>
      </c>
      <c r="X8667">
        <v>0.99976359999999997</v>
      </c>
      <c r="Y8667">
        <v>-0.34075879999999997</v>
      </c>
      <c r="Z8667">
        <v>9.4169059999999992E-3</v>
      </c>
      <c r="AA8667">
        <v>0.94010360000000004</v>
      </c>
      <c r="AB8667">
        <v>16</v>
      </c>
      <c r="AC8667">
        <v>72.5214</v>
      </c>
      <c r="AD8667">
        <v>-1.1106626706730001</v>
      </c>
      <c r="AE8667">
        <v>-9.9632200000000104</v>
      </c>
      <c r="AF8667">
        <v>-24.971969601689899</v>
      </c>
      <c r="AG8667">
        <v>-1.1106626706730001</v>
      </c>
      <c r="AH8667">
        <v>68.7935582264776</v>
      </c>
      <c r="AI8667">
        <v>90.869450750501997</v>
      </c>
      <c r="AJ8667">
        <v>109.950829477013</v>
      </c>
      <c r="AK8667">
        <v>73.1941697870501</v>
      </c>
      <c r="AL8667">
        <v>89.919796252116598</v>
      </c>
      <c r="AM8667">
        <v>91.243248183801896</v>
      </c>
      <c r="AN8667">
        <v>0.99999998867844697</v>
      </c>
    </row>
    <row r="8668" spans="1:40" x14ac:dyDescent="0.25">
      <c r="A8668" t="str">
        <f>"20190312154129520"</f>
        <v>20190312154129520</v>
      </c>
      <c r="B8668" t="str">
        <f>"1552376489515217"</f>
        <v>1552376489515217</v>
      </c>
      <c r="C8668" t="s">
        <v>40</v>
      </c>
      <c r="D8668">
        <v>4.0471599999999999</v>
      </c>
      <c r="E8668">
        <v>0.36971039999999999</v>
      </c>
      <c r="F8668" t="s">
        <v>100</v>
      </c>
      <c r="G8668">
        <v>-212.33959999999999</v>
      </c>
      <c r="H8668" s="1">
        <v>-1.193258E-6</v>
      </c>
      <c r="I8668">
        <v>-64.970789999999994</v>
      </c>
      <c r="J8668">
        <v>-281.73570000000001</v>
      </c>
      <c r="K8668">
        <v>1.1106590000000001</v>
      </c>
      <c r="L8668">
        <v>-55.751739999999998</v>
      </c>
      <c r="M8668">
        <v>0.88488750000000005</v>
      </c>
      <c r="N8668">
        <v>0</v>
      </c>
      <c r="O8668">
        <v>-0.46559729999999999</v>
      </c>
      <c r="P8668">
        <v>0.89473769999999997</v>
      </c>
      <c r="Q8668">
        <v>-1.2346889999999999E-2</v>
      </c>
      <c r="R8668">
        <v>-0.44642150000000003</v>
      </c>
      <c r="S8668">
        <v>3.1436459999999999</v>
      </c>
      <c r="T8668">
        <v>-5.0270919999999997E-2</v>
      </c>
      <c r="U8668">
        <v>-0.41864010000000001</v>
      </c>
      <c r="V8668">
        <v>-2.1558319999999999E-2</v>
      </c>
      <c r="W8668">
        <v>1.5266570000000001E-3</v>
      </c>
      <c r="X8668">
        <v>0.99976640000000006</v>
      </c>
      <c r="Y8668">
        <v>-0.34465000000000001</v>
      </c>
      <c r="Z8668">
        <v>9.8741679999999991E-3</v>
      </c>
      <c r="AA8668">
        <v>0.93867929999999999</v>
      </c>
      <c r="AB8668">
        <v>16</v>
      </c>
      <c r="AC8668">
        <v>69.396100000000004</v>
      </c>
      <c r="AD8668">
        <v>-1.110660193258</v>
      </c>
      <c r="AE8668">
        <v>-9.2190499999999993</v>
      </c>
      <c r="AF8668">
        <v>-24.149070507742501</v>
      </c>
      <c r="AG8668">
        <v>-1.110660193258</v>
      </c>
      <c r="AH8668">
        <v>65.689921378948299</v>
      </c>
      <c r="AI8668">
        <v>90.909165136180107</v>
      </c>
      <c r="AJ8668">
        <v>110.184546052215</v>
      </c>
      <c r="AK8668">
        <v>69.996978100666695</v>
      </c>
      <c r="AL8668">
        <v>89.912528960814299</v>
      </c>
      <c r="AM8668">
        <v>91.235297921168495</v>
      </c>
      <c r="AN8668">
        <v>0.99999997320588796</v>
      </c>
    </row>
    <row r="8669" spans="1:40" x14ac:dyDescent="0.25">
      <c r="A8669" t="str">
        <f>"20190312154129529"</f>
        <v>20190312154129529</v>
      </c>
      <c r="B8669" t="str">
        <f>"1552376489524976"</f>
        <v>1552376489524976</v>
      </c>
      <c r="C8669" t="s">
        <v>40</v>
      </c>
      <c r="D8669">
        <v>4.1242070000000002</v>
      </c>
      <c r="E8669">
        <v>0.36901</v>
      </c>
      <c r="F8669" t="s">
        <v>69</v>
      </c>
      <c r="G8669">
        <v>-208.3835</v>
      </c>
      <c r="H8669" s="1">
        <v>-1.900607E-6</v>
      </c>
      <c r="I8669">
        <v>-65.272890000000004</v>
      </c>
      <c r="J8669">
        <v>-281.67219999999998</v>
      </c>
      <c r="K8669">
        <v>1.110657</v>
      </c>
      <c r="L8669">
        <v>-55.784579999999998</v>
      </c>
      <c r="M8669">
        <v>0.88507829999999998</v>
      </c>
      <c r="N8669">
        <v>0</v>
      </c>
      <c r="O8669">
        <v>-0.46523510000000001</v>
      </c>
      <c r="P8669">
        <v>0.89495380000000002</v>
      </c>
      <c r="Q8669">
        <v>-1.226973E-2</v>
      </c>
      <c r="R8669">
        <v>-0.44599</v>
      </c>
      <c r="S8669">
        <v>3.1483759999999998</v>
      </c>
      <c r="T8669">
        <v>-4.7671079999999998E-2</v>
      </c>
      <c r="U8669">
        <v>-0.40866089999999999</v>
      </c>
      <c r="V8669">
        <v>-2.1631259999999999E-2</v>
      </c>
      <c r="W8669">
        <v>1.6015210000000001E-3</v>
      </c>
      <c r="X8669">
        <v>0.99976469999999995</v>
      </c>
      <c r="Y8669">
        <v>-0.34738330000000001</v>
      </c>
      <c r="Z8669">
        <v>9.3686259999999997E-3</v>
      </c>
      <c r="AA8669">
        <v>0.93767639999999997</v>
      </c>
      <c r="AB8669">
        <v>16</v>
      </c>
      <c r="AC8669">
        <v>73.288699999999906</v>
      </c>
      <c r="AD8669">
        <v>-1.110658900607</v>
      </c>
      <c r="AE8669">
        <v>-9.4883099999999896</v>
      </c>
      <c r="AF8669">
        <v>-25.695250945453701</v>
      </c>
      <c r="AG8669">
        <v>-1.110658900607</v>
      </c>
      <c r="AH8669">
        <v>69.271562436914493</v>
      </c>
      <c r="AI8669">
        <v>90.861236087928603</v>
      </c>
      <c r="AJ8669">
        <v>110.351582951167</v>
      </c>
      <c r="AK8669">
        <v>73.892008003536304</v>
      </c>
      <c r="AL8669">
        <v>89.908239563536597</v>
      </c>
      <c r="AM8669">
        <v>91.239478209408006</v>
      </c>
      <c r="AN8669">
        <v>0.99999996582239403</v>
      </c>
    </row>
    <row r="8670" spans="1:40" x14ac:dyDescent="0.25">
      <c r="A8670" t="str">
        <f>"20190312154129552"</f>
        <v>20190312154129552</v>
      </c>
      <c r="B8670" t="str">
        <f>"1552376489544496"</f>
        <v>1552376489544496</v>
      </c>
      <c r="C8670" t="s">
        <v>40</v>
      </c>
      <c r="D8670">
        <v>4.0128329999999997</v>
      </c>
      <c r="E8670">
        <v>0.36734240000000001</v>
      </c>
      <c r="F8670" t="s">
        <v>69</v>
      </c>
      <c r="G8670">
        <v>-203.69030000000001</v>
      </c>
      <c r="H8670" s="1">
        <v>-4.3620529999999999E-6</v>
      </c>
      <c r="I8670">
        <v>-65.737849999999995</v>
      </c>
      <c r="J8670">
        <v>-281.53339999999997</v>
      </c>
      <c r="K8670">
        <v>1.110654</v>
      </c>
      <c r="L8670">
        <v>-55.856349999999999</v>
      </c>
      <c r="M8670">
        <v>0.88549449999999996</v>
      </c>
      <c r="N8670">
        <v>0</v>
      </c>
      <c r="O8670">
        <v>-0.46444209999999903</v>
      </c>
      <c r="P8670">
        <v>0.89534760000000002</v>
      </c>
      <c r="Q8670">
        <v>-1.2283759999999999E-2</v>
      </c>
      <c r="R8670">
        <v>-0.44519880000000001</v>
      </c>
      <c r="S8670">
        <v>3.1510929999999999</v>
      </c>
      <c r="T8670">
        <v>-4.4879559999999999E-2</v>
      </c>
      <c r="U8670">
        <v>-0.40219120000000003</v>
      </c>
      <c r="V8670">
        <v>-2.1619340000000001E-2</v>
      </c>
      <c r="W8670">
        <v>1.5834009999999999E-3</v>
      </c>
      <c r="X8670">
        <v>0.99976500000000001</v>
      </c>
      <c r="Y8670">
        <v>-0.34855009999999997</v>
      </c>
      <c r="Z8670">
        <v>8.8127789999999998E-3</v>
      </c>
      <c r="AA8670">
        <v>0.93724870000000005</v>
      </c>
      <c r="AB8670">
        <v>16</v>
      </c>
      <c r="AC8670">
        <v>77.843099999999893</v>
      </c>
      <c r="AD8670">
        <v>-1.1106583620529999</v>
      </c>
      <c r="AE8670">
        <v>-9.8814999999999902</v>
      </c>
      <c r="AF8670">
        <v>-27.400754521119801</v>
      </c>
      <c r="AG8670">
        <v>-1.1106583620529999</v>
      </c>
      <c r="AH8670">
        <v>73.511390469467003</v>
      </c>
      <c r="AI8670">
        <v>90.811091319914794</v>
      </c>
      <c r="AJ8670">
        <v>110.44251814965099</v>
      </c>
      <c r="AK8670">
        <v>78.459922502372507</v>
      </c>
      <c r="AL8670">
        <v>89.909277765619905</v>
      </c>
      <c r="AM8670">
        <v>91.238795030833899</v>
      </c>
      <c r="AN8670">
        <v>0.99999997912288097</v>
      </c>
    </row>
    <row r="8671" spans="1:40" x14ac:dyDescent="0.25">
      <c r="A8671" t="str">
        <f>"20190312154129564"</f>
        <v>20190312154129564</v>
      </c>
      <c r="B8671" t="str">
        <f>"1552376489555232"</f>
        <v>1552376489555232</v>
      </c>
      <c r="C8671" t="s">
        <v>40</v>
      </c>
      <c r="D8671">
        <v>4.0012059999999998</v>
      </c>
      <c r="E8671">
        <v>0.36675819999999998</v>
      </c>
      <c r="F8671" t="s">
        <v>69</v>
      </c>
      <c r="G8671">
        <v>-194.9016</v>
      </c>
      <c r="H8671" s="1">
        <v>-8.1730260000000006E-6</v>
      </c>
      <c r="I8671">
        <v>-66.494190000000003</v>
      </c>
      <c r="J8671">
        <v>-281.46129999999999</v>
      </c>
      <c r="K8671">
        <v>1.110652</v>
      </c>
      <c r="L8671">
        <v>-55.893520000000002</v>
      </c>
      <c r="M8671">
        <v>0.88571039999999901</v>
      </c>
      <c r="N8671">
        <v>0</v>
      </c>
      <c r="O8671">
        <v>-0.46403060000000002</v>
      </c>
      <c r="P8671">
        <v>0.89556610000000003</v>
      </c>
      <c r="Q8671">
        <v>-1.266404E-2</v>
      </c>
      <c r="R8671">
        <v>-0.44474829999999999</v>
      </c>
      <c r="S8671">
        <v>3.1572879999999999</v>
      </c>
      <c r="T8671">
        <v>-4.0477989999999998E-2</v>
      </c>
      <c r="U8671">
        <v>-0.38769530000000002</v>
      </c>
      <c r="V8671">
        <v>-2.1655110000000002E-2</v>
      </c>
      <c r="W8671">
        <v>1.2009779999999999E-3</v>
      </c>
      <c r="X8671">
        <v>0.99976480000000001</v>
      </c>
      <c r="Y8671">
        <v>-0.3525934</v>
      </c>
      <c r="Z8671">
        <v>7.9580710000000006E-3</v>
      </c>
      <c r="AA8671">
        <v>0.93574279999999999</v>
      </c>
      <c r="AB8671">
        <v>16</v>
      </c>
      <c r="AC8671">
        <v>86.559699999999907</v>
      </c>
      <c r="AD8671">
        <v>-1.110660173026</v>
      </c>
      <c r="AE8671">
        <v>-10.600669999999999</v>
      </c>
      <c r="AF8671">
        <v>-30.775199606987901</v>
      </c>
      <c r="AG8671">
        <v>-1.110660173026</v>
      </c>
      <c r="AH8671">
        <v>81.580490472863701</v>
      </c>
      <c r="AI8671">
        <v>90.729797605019797</v>
      </c>
      <c r="AJ8671">
        <v>110.668343663282</v>
      </c>
      <c r="AK8671">
        <v>87.199328567729793</v>
      </c>
      <c r="AL8671">
        <v>89.931189014196605</v>
      </c>
      <c r="AM8671">
        <v>91.240844271028493</v>
      </c>
      <c r="AN8671">
        <v>1.0000000207281501</v>
      </c>
    </row>
    <row r="8672" spans="1:40" x14ac:dyDescent="0.25">
      <c r="A8672" t="str">
        <f>"20190312154129575"</f>
        <v>20190312154129575</v>
      </c>
      <c r="B8672" t="str">
        <f>"1552376489564992"</f>
        <v>1552376489564992</v>
      </c>
      <c r="C8672" t="s">
        <v>40</v>
      </c>
      <c r="D8672">
        <v>4.0110070000000002</v>
      </c>
      <c r="E8672">
        <v>0.36625099999999999</v>
      </c>
      <c r="F8672" t="s">
        <v>69</v>
      </c>
      <c r="G8672">
        <v>-197.6464</v>
      </c>
      <c r="H8672" s="1">
        <v>-6.9930319999999998E-6</v>
      </c>
      <c r="I8672">
        <v>-66.024209999999997</v>
      </c>
      <c r="J8672">
        <v>-281.38</v>
      </c>
      <c r="K8672">
        <v>1.1106469999999999</v>
      </c>
      <c r="L8672">
        <v>-55.935490000000001</v>
      </c>
      <c r="M8672">
        <v>0.88595360000000001</v>
      </c>
      <c r="N8672">
        <v>0</v>
      </c>
      <c r="O8672">
        <v>-0.46356579999999997</v>
      </c>
      <c r="P8672">
        <v>0.89587969999999895</v>
      </c>
      <c r="Q8672">
        <v>-1.2953040000000001E-2</v>
      </c>
      <c r="R8672">
        <v>-0.4441078</v>
      </c>
      <c r="S8672">
        <v>3.1595759999999999</v>
      </c>
      <c r="T8672">
        <v>-4.1868570000000001E-2</v>
      </c>
      <c r="U8672">
        <v>-0.38189699999999999</v>
      </c>
      <c r="V8672">
        <v>-2.1842940000000002E-2</v>
      </c>
      <c r="W8672">
        <v>9.0963039999999995E-4</v>
      </c>
      <c r="X8672">
        <v>0.99976100000000001</v>
      </c>
      <c r="Y8672">
        <v>-0.35387190000000002</v>
      </c>
      <c r="Z8672">
        <v>8.2300729999999992E-3</v>
      </c>
      <c r="AA8672">
        <v>0.93525769999999997</v>
      </c>
      <c r="AB8672">
        <v>16</v>
      </c>
      <c r="AC8672">
        <v>83.733599999999996</v>
      </c>
      <c r="AD8672">
        <v>-1.1106539930320001</v>
      </c>
      <c r="AE8672">
        <v>-10.088719999999901</v>
      </c>
      <c r="AF8672">
        <v>-29.875597598183798</v>
      </c>
      <c r="AG8672">
        <v>-1.1106539930320001</v>
      </c>
      <c r="AH8672">
        <v>78.854804833847993</v>
      </c>
      <c r="AI8672">
        <v>90.754609405975501</v>
      </c>
      <c r="AJ8672">
        <v>110.750117254839</v>
      </c>
      <c r="AK8672">
        <v>84.331874931873202</v>
      </c>
      <c r="AL8672">
        <v>89.947882009938795</v>
      </c>
      <c r="AM8672">
        <v>91.251608333003702</v>
      </c>
      <c r="AN8672">
        <v>0.99999999928815397</v>
      </c>
    </row>
    <row r="8673" spans="1:40" x14ac:dyDescent="0.25">
      <c r="A8673" t="str">
        <f>"20190312154129588"</f>
        <v>20190312154129588</v>
      </c>
      <c r="B8673" t="str">
        <f>"1552376489585488"</f>
        <v>1552376489585488</v>
      </c>
      <c r="C8673" t="s">
        <v>40</v>
      </c>
      <c r="D8673">
        <v>3.9974090000000002</v>
      </c>
      <c r="E8673">
        <v>0.36527300000000001</v>
      </c>
      <c r="F8673" t="s">
        <v>69</v>
      </c>
      <c r="G8673">
        <v>-198.05889999999999</v>
      </c>
      <c r="H8673" s="1">
        <v>-6.814657E-6</v>
      </c>
      <c r="I8673">
        <v>-65.845460000000003</v>
      </c>
      <c r="J8673">
        <v>-281.3073</v>
      </c>
      <c r="K8673">
        <v>1.1106450000000001</v>
      </c>
      <c r="L8673">
        <v>-55.972900000000003</v>
      </c>
      <c r="M8673">
        <v>0.88617089999999998</v>
      </c>
      <c r="N8673">
        <v>0</v>
      </c>
      <c r="O8673">
        <v>-0.46315050000000002</v>
      </c>
      <c r="P8673">
        <v>0.89599819999999997</v>
      </c>
      <c r="Q8673">
        <v>-1.3352080000000001E-2</v>
      </c>
      <c r="R8673">
        <v>-0.443857</v>
      </c>
      <c r="S8673">
        <v>3.1616520000000001</v>
      </c>
      <c r="T8673">
        <v>-4.2144180000000003E-2</v>
      </c>
      <c r="U8673">
        <v>-0.37603760000000003</v>
      </c>
      <c r="V8673">
        <v>-2.165131E-2</v>
      </c>
      <c r="W8673">
        <v>5.0908729999999997E-4</v>
      </c>
      <c r="X8673">
        <v>0.99976549999999997</v>
      </c>
      <c r="Y8673">
        <v>-0.35521409999999998</v>
      </c>
      <c r="Z8673">
        <v>8.2844310000000001E-3</v>
      </c>
      <c r="AA8673">
        <v>0.93474820000000003</v>
      </c>
      <c r="AB8673">
        <v>16</v>
      </c>
      <c r="AC8673">
        <v>83.248400000000004</v>
      </c>
      <c r="AD8673">
        <v>-1.1106518146569999</v>
      </c>
      <c r="AE8673">
        <v>-9.87256</v>
      </c>
      <c r="AF8673">
        <v>-29.805404256860999</v>
      </c>
      <c r="AG8673">
        <v>-1.1106518146569999</v>
      </c>
      <c r="AH8673">
        <v>78.338591863108903</v>
      </c>
      <c r="AI8673">
        <v>90.759176573962904</v>
      </c>
      <c r="AJ8673">
        <v>110.83026748444399</v>
      </c>
      <c r="AK8673">
        <v>83.824403639173397</v>
      </c>
      <c r="AL8673">
        <v>89.970831446408297</v>
      </c>
      <c r="AM8673">
        <v>91.240625729581296</v>
      </c>
      <c r="AN8673">
        <v>1.0000000466924199</v>
      </c>
    </row>
    <row r="8674" spans="1:40" x14ac:dyDescent="0.25">
      <c r="A8674" t="str">
        <f>"20190312154129601"</f>
        <v>20190312154129601</v>
      </c>
      <c r="B8674" t="str">
        <f>"1552376489595248"</f>
        <v>1552376489595248</v>
      </c>
      <c r="C8674" t="s">
        <v>40</v>
      </c>
      <c r="D8674">
        <v>3.9877929999999999</v>
      </c>
      <c r="E8674">
        <v>0.36480010000000002</v>
      </c>
      <c r="F8674" t="s">
        <v>69</v>
      </c>
      <c r="G8674">
        <v>-195.9367</v>
      </c>
      <c r="H8674" s="1">
        <v>-7.6824639999999996E-6</v>
      </c>
      <c r="I8674">
        <v>-65.904560000000004</v>
      </c>
      <c r="J8674">
        <v>-281.22800000000001</v>
      </c>
      <c r="K8674">
        <v>1.110643</v>
      </c>
      <c r="L8674">
        <v>-56.013640000000002</v>
      </c>
      <c r="M8674">
        <v>0.88640739999999996</v>
      </c>
      <c r="N8674">
        <v>0</v>
      </c>
      <c r="O8674">
        <v>-0.4626982</v>
      </c>
      <c r="P8674">
        <v>0.89633609999999897</v>
      </c>
      <c r="Q8674">
        <v>-1.341818E-2</v>
      </c>
      <c r="R8674">
        <v>-0.44317279999999998</v>
      </c>
      <c r="S8674">
        <v>3.1651919999999998</v>
      </c>
      <c r="T8674">
        <v>-4.117846E-2</v>
      </c>
      <c r="U8674">
        <v>-0.36822510000000003</v>
      </c>
      <c r="V8674">
        <v>-2.1904449999999999E-2</v>
      </c>
      <c r="W8674">
        <v>4.4042270000000001E-4</v>
      </c>
      <c r="X8674">
        <v>0.99975999999999998</v>
      </c>
      <c r="Y8674">
        <v>-0.3571375</v>
      </c>
      <c r="Z8674">
        <v>8.094904E-3</v>
      </c>
      <c r="AA8674">
        <v>0.93401679999999998</v>
      </c>
      <c r="AB8674">
        <v>16</v>
      </c>
      <c r="AC8674">
        <v>85.291300000000007</v>
      </c>
      <c r="AD8674">
        <v>-1.1106506824639999</v>
      </c>
      <c r="AE8674">
        <v>-9.8909199999999995</v>
      </c>
      <c r="AF8674">
        <v>-30.694562407751398</v>
      </c>
      <c r="AG8674">
        <v>-1.1106506824639999</v>
      </c>
      <c r="AH8674">
        <v>80.173646055937098</v>
      </c>
      <c r="AI8674">
        <v>90.741213023243105</v>
      </c>
      <c r="AJ8674">
        <v>110.949395652619</v>
      </c>
      <c r="AK8674">
        <v>85.855711680962102</v>
      </c>
      <c r="AL8674">
        <v>89.9747656379853</v>
      </c>
      <c r="AM8674">
        <v>91.255133007316104</v>
      </c>
      <c r="AN8674">
        <v>1.00000002825097</v>
      </c>
    </row>
    <row r="8675" spans="1:40" x14ac:dyDescent="0.25">
      <c r="A8675" t="str">
        <f>"20190312154129612"</f>
        <v>20190312154129612</v>
      </c>
      <c r="B8675" t="str">
        <f>"1552376489605008"</f>
        <v>1552376489605008</v>
      </c>
      <c r="C8675" t="s">
        <v>40</v>
      </c>
      <c r="D8675">
        <v>4.0349620000000002</v>
      </c>
      <c r="E8675">
        <v>0.36459960000000002</v>
      </c>
      <c r="F8675" t="s">
        <v>69</v>
      </c>
      <c r="G8675">
        <v>-196.7902</v>
      </c>
      <c r="H8675" s="1">
        <v>-7.3214970000000002E-6</v>
      </c>
      <c r="I8675">
        <v>-65.675229999999999</v>
      </c>
      <c r="J8675">
        <v>-281.14670000000001</v>
      </c>
      <c r="K8675">
        <v>1.110644</v>
      </c>
      <c r="L8675">
        <v>-56.055390000000003</v>
      </c>
      <c r="M8675">
        <v>0.88664959999999904</v>
      </c>
      <c r="N8675">
        <v>0</v>
      </c>
      <c r="O8675">
        <v>-0.46223379999999997</v>
      </c>
      <c r="P8675">
        <v>0.89654909999999999</v>
      </c>
      <c r="Q8675">
        <v>-1.3658760000000001E-2</v>
      </c>
      <c r="R8675">
        <v>-0.44273390000000001</v>
      </c>
      <c r="S8675">
        <v>3.1671749999999999</v>
      </c>
      <c r="T8675">
        <v>-4.1659359999999999E-2</v>
      </c>
      <c r="U8675">
        <v>-0.3623962</v>
      </c>
      <c r="V8675">
        <v>-2.186774E-2</v>
      </c>
      <c r="W8675">
        <v>1.9771259999999999E-4</v>
      </c>
      <c r="X8675">
        <v>0.99976089999999995</v>
      </c>
      <c r="Y8675">
        <v>-0.3584099</v>
      </c>
      <c r="Z8675">
        <v>8.1887650000000006E-3</v>
      </c>
      <c r="AA8675">
        <v>0.93352840000000004</v>
      </c>
      <c r="AB8675">
        <v>16</v>
      </c>
      <c r="AC8675">
        <v>84.356499999999997</v>
      </c>
      <c r="AD8675">
        <v>-1.110651321497</v>
      </c>
      <c r="AE8675">
        <v>-9.6198399999999893</v>
      </c>
      <c r="AF8675">
        <v>-30.4607167278057</v>
      </c>
      <c r="AG8675">
        <v>-1.110651321497</v>
      </c>
      <c r="AH8675">
        <v>79.235337386206496</v>
      </c>
      <c r="AI8675">
        <v>90.7495931873502</v>
      </c>
      <c r="AJ8675">
        <v>111.028431343462</v>
      </c>
      <c r="AK8675">
        <v>84.895980473963206</v>
      </c>
      <c r="AL8675">
        <v>89.988671902923798</v>
      </c>
      <c r="AM8675">
        <v>91.253029054432602</v>
      </c>
      <c r="AN8675">
        <v>1.0000000471558901</v>
      </c>
    </row>
    <row r="8676" spans="1:40" x14ac:dyDescent="0.25">
      <c r="A8676" t="str">
        <f>"20190312154129624"</f>
        <v>20190312154129624</v>
      </c>
      <c r="B8676" t="str">
        <f>"1552376489614768"</f>
        <v>1552376489614768</v>
      </c>
      <c r="C8676" t="s">
        <v>40</v>
      </c>
      <c r="D8676">
        <v>3.872309</v>
      </c>
      <c r="E8676">
        <v>0.36403469999999999</v>
      </c>
      <c r="F8676" t="s">
        <v>69</v>
      </c>
      <c r="G8676">
        <v>-197.8535</v>
      </c>
      <c r="H8676" s="1">
        <v>-6.8786420000000004E-6</v>
      </c>
      <c r="I8676">
        <v>-65.506600000000006</v>
      </c>
      <c r="J8676">
        <v>-281.07600000000002</v>
      </c>
      <c r="K8676">
        <v>1.110643</v>
      </c>
      <c r="L8676">
        <v>-56.091610000000003</v>
      </c>
      <c r="M8676">
        <v>0.88686010000000004</v>
      </c>
      <c r="N8676">
        <v>0</v>
      </c>
      <c r="O8676">
        <v>-0.46183010000000002</v>
      </c>
      <c r="P8676">
        <v>0.89665969999999995</v>
      </c>
      <c r="Q8676">
        <v>-1.3851820000000001E-2</v>
      </c>
      <c r="R8676">
        <v>-0.44250430000000002</v>
      </c>
      <c r="S8676">
        <v>3.1679689999999998</v>
      </c>
      <c r="T8676">
        <v>-4.2242410000000001E-2</v>
      </c>
      <c r="U8676">
        <v>-0.35946660000000002</v>
      </c>
      <c r="V8676">
        <v>-2.1667519999999999E-2</v>
      </c>
      <c r="W8676" s="1">
        <v>2.8112849999999999E-6</v>
      </c>
      <c r="X8676">
        <v>0.99976520000000002</v>
      </c>
      <c r="Y8676">
        <v>-0.35886170000000001</v>
      </c>
      <c r="Z8676">
        <v>8.3002830000000003E-3</v>
      </c>
      <c r="AA8676">
        <v>0.93335380000000001</v>
      </c>
      <c r="AB8676">
        <v>16</v>
      </c>
      <c r="AC8676">
        <v>83.222499999999897</v>
      </c>
      <c r="AD8676">
        <v>-1.110649878642</v>
      </c>
      <c r="AE8676">
        <v>-9.4149900000000102</v>
      </c>
      <c r="AF8676">
        <v>-30.0824768266497</v>
      </c>
      <c r="AG8676">
        <v>-1.110649878642</v>
      </c>
      <c r="AH8676">
        <v>78.148606482985798</v>
      </c>
      <c r="AI8676">
        <v>90.759885976351896</v>
      </c>
      <c r="AJ8676">
        <v>111.053681071919</v>
      </c>
      <c r="AK8676">
        <v>83.746006772928695</v>
      </c>
      <c r="AL8676">
        <v>89.999838925229298</v>
      </c>
      <c r="AM8676">
        <v>91.241554648637106</v>
      </c>
      <c r="AN8676">
        <v>0.99999996828094595</v>
      </c>
    </row>
    <row r="8677" spans="1:40" x14ac:dyDescent="0.25">
      <c r="A8677" t="str">
        <f>"20190312154129741"</f>
        <v>20190312154129741</v>
      </c>
      <c r="B8677" t="str">
        <f>"1552376489734816"</f>
        <v>1552376489734816</v>
      </c>
      <c r="C8677" t="s">
        <v>40</v>
      </c>
      <c r="D8677">
        <v>3.6565340000000002</v>
      </c>
      <c r="E8677">
        <v>0.36403469999999999</v>
      </c>
      <c r="F8677" t="s">
        <v>69</v>
      </c>
      <c r="G8677">
        <v>-191.69990000000001</v>
      </c>
      <c r="H8677" s="1">
        <v>-9.537179E-6</v>
      </c>
      <c r="I8677">
        <v>-66.092079999999996</v>
      </c>
      <c r="J8677">
        <v>-280.34109999999998</v>
      </c>
      <c r="K8677">
        <v>1.110589</v>
      </c>
      <c r="L8677">
        <v>-56.466090000000001</v>
      </c>
      <c r="M8677">
        <v>0.88904329999999998</v>
      </c>
      <c r="N8677">
        <v>0</v>
      </c>
      <c r="O8677">
        <v>-0.45762150000000001</v>
      </c>
      <c r="P8677">
        <v>0.89865110000000004</v>
      </c>
      <c r="Q8677">
        <v>-1.45799E-2</v>
      </c>
      <c r="R8677">
        <v>-0.43842199999999998</v>
      </c>
      <c r="S8677">
        <v>3.1700740000000001</v>
      </c>
      <c r="T8677">
        <v>-3.9393659999999997E-2</v>
      </c>
      <c r="U8677">
        <v>-0.35470580000000002</v>
      </c>
      <c r="V8677">
        <v>-2.146729E-2</v>
      </c>
      <c r="W8677">
        <v>-9.9784830000000007E-4</v>
      </c>
      <c r="X8677">
        <v>0.99976900000000002</v>
      </c>
      <c r="Y8677">
        <v>-0.35589720000000002</v>
      </c>
      <c r="Z8677">
        <v>7.6717679999999998E-3</v>
      </c>
      <c r="AA8677">
        <v>0.93449360000000004</v>
      </c>
      <c r="AB8677">
        <v>16</v>
      </c>
      <c r="AC8677">
        <v>88.641199999999898</v>
      </c>
      <c r="AD8677">
        <v>-1.1105985371789999</v>
      </c>
      <c r="AE8677">
        <v>-9.6259899999999998</v>
      </c>
      <c r="AF8677">
        <v>-32.004185702473599</v>
      </c>
      <c r="AG8677">
        <v>-1.1105985371789999</v>
      </c>
      <c r="AH8677">
        <v>83.205695924019196</v>
      </c>
      <c r="AI8677">
        <v>90.7137452071116</v>
      </c>
      <c r="AJ8677">
        <v>111.03870772679601</v>
      </c>
      <c r="AK8677">
        <v>89.155421404362997</v>
      </c>
      <c r="AL8677">
        <v>90.057172508713606</v>
      </c>
      <c r="AM8677">
        <v>91.230080284107203</v>
      </c>
      <c r="AN8677">
        <v>0.99999994680108495</v>
      </c>
    </row>
    <row r="8678" spans="1:40" x14ac:dyDescent="0.25">
      <c r="A8678" t="str">
        <f>"20190312154129752"</f>
        <v>20190312154129752</v>
      </c>
      <c r="B8678" t="str">
        <f>"1552376489744576"</f>
        <v>1552376489744576</v>
      </c>
      <c r="C8678" t="s">
        <v>40</v>
      </c>
      <c r="D8678">
        <v>3.7256260000000001</v>
      </c>
      <c r="E8678">
        <v>0.42935390000000001</v>
      </c>
      <c r="F8678" t="s">
        <v>69</v>
      </c>
      <c r="G8678">
        <v>-202.47210000000001</v>
      </c>
      <c r="H8678" s="1">
        <v>-4.7005769999999999E-6</v>
      </c>
      <c r="I8678">
        <v>-64.820400000000006</v>
      </c>
      <c r="J8678">
        <v>-280.26920000000001</v>
      </c>
      <c r="K8678">
        <v>1.110579</v>
      </c>
      <c r="L8678">
        <v>-56.502499999999998</v>
      </c>
      <c r="M8678">
        <v>0.88925900000000002</v>
      </c>
      <c r="N8678">
        <v>0</v>
      </c>
      <c r="O8678">
        <v>-0.4572041</v>
      </c>
      <c r="P8678">
        <v>0.89900419999999903</v>
      </c>
      <c r="Q8678">
        <v>-1.4453880000000001E-2</v>
      </c>
      <c r="R8678">
        <v>-0.43770199999999998</v>
      </c>
      <c r="S8678">
        <v>3.1716000000000002</v>
      </c>
      <c r="T8678">
        <v>-4.5234440000000001E-2</v>
      </c>
      <c r="U8678">
        <v>-0.34027099999999999</v>
      </c>
      <c r="V8678">
        <v>-2.1799559999999999E-2</v>
      </c>
      <c r="W8678">
        <v>-9.4143570000000004E-4</v>
      </c>
      <c r="X8678">
        <v>0.99976189999999998</v>
      </c>
      <c r="Y8678">
        <v>-0.35968830000000002</v>
      </c>
      <c r="Z8678">
        <v>8.8303930000000006E-3</v>
      </c>
      <c r="AA8678">
        <v>0.93303069999999999</v>
      </c>
      <c r="AB8678">
        <v>16</v>
      </c>
      <c r="AC8678">
        <v>77.7971</v>
      </c>
      <c r="AD8678">
        <v>-1.1105837005769901</v>
      </c>
      <c r="AE8678">
        <v>-8.3178999999999998</v>
      </c>
      <c r="AF8678">
        <v>-28.1692859067245</v>
      </c>
      <c r="AG8678">
        <v>-1.1105837005769901</v>
      </c>
      <c r="AH8678">
        <v>72.9767189817386</v>
      </c>
      <c r="AI8678">
        <v>90.813393343803895</v>
      </c>
      <c r="AJ8678">
        <v>111.106774408533</v>
      </c>
      <c r="AK8678">
        <v>78.232624767359198</v>
      </c>
      <c r="AL8678">
        <v>90.053940301236906</v>
      </c>
      <c r="AM8678">
        <v>91.249122307585594</v>
      </c>
      <c r="AN8678">
        <v>0.99999998190449002</v>
      </c>
    </row>
    <row r="8679" spans="1:40" x14ac:dyDescent="0.25">
      <c r="A8679" t="str">
        <f>"20190312154129764"</f>
        <v>20190312154129764</v>
      </c>
      <c r="B8679" t="str">
        <f>"1552376489755312"</f>
        <v>1552376489755312</v>
      </c>
      <c r="C8679" t="s">
        <v>40</v>
      </c>
      <c r="D8679">
        <v>3.9872930000000002</v>
      </c>
      <c r="E8679">
        <v>0.42932530000000002</v>
      </c>
      <c r="F8679" t="s">
        <v>94</v>
      </c>
      <c r="G8679">
        <v>-275.8322</v>
      </c>
      <c r="H8679" s="1">
        <v>-2.2530939999999999E-6</v>
      </c>
      <c r="I8679">
        <v>-57.684350000000002</v>
      </c>
      <c r="J8679">
        <v>-280.19940000000003</v>
      </c>
      <c r="K8679">
        <v>1.1105670000000001</v>
      </c>
      <c r="L8679">
        <v>-56.537750000000003</v>
      </c>
      <c r="M8679">
        <v>0.88946990000000004</v>
      </c>
      <c r="N8679">
        <v>0</v>
      </c>
      <c r="O8679">
        <v>-0.45679589999999998</v>
      </c>
      <c r="P8679">
        <v>0.89926200000000001</v>
      </c>
      <c r="Q8679">
        <v>-1.3912620000000001E-2</v>
      </c>
      <c r="R8679">
        <v>-0.43719010000000003</v>
      </c>
      <c r="S8679">
        <v>2.9434200000000001</v>
      </c>
      <c r="T8679">
        <v>-0.7367494</v>
      </c>
      <c r="U8679">
        <v>-0.78402709999999998</v>
      </c>
      <c r="V8679">
        <v>-2.1913510000000001E-2</v>
      </c>
      <c r="W8679">
        <v>-4.7473390000000001E-4</v>
      </c>
      <c r="X8679">
        <v>0.99975970000000003</v>
      </c>
      <c r="Y8679">
        <v>-0.19500809999999999</v>
      </c>
      <c r="Z8679">
        <v>0.1295499</v>
      </c>
      <c r="AA8679">
        <v>0.97220810000000002</v>
      </c>
      <c r="AB8679">
        <v>16</v>
      </c>
      <c r="AC8679">
        <v>4.36720000000002</v>
      </c>
      <c r="AD8679">
        <v>-1.1105692530939999</v>
      </c>
      <c r="AE8679">
        <v>-1.1465999999999901</v>
      </c>
      <c r="AF8679">
        <v>-0.91951306219038298</v>
      </c>
      <c r="AG8679">
        <v>-1.1105692530939999</v>
      </c>
      <c r="AH8679">
        <v>4.1571573261626797</v>
      </c>
      <c r="AI8679">
        <v>104.61938334060601</v>
      </c>
      <c r="AJ8679">
        <v>102.47232401621901</v>
      </c>
      <c r="AK8679">
        <v>4.4000937912645099</v>
      </c>
      <c r="AL8679">
        <v>90.027200251446999</v>
      </c>
      <c r="AM8679">
        <v>91.255652359128405</v>
      </c>
      <c r="AN8679">
        <v>0.99999994251844104</v>
      </c>
    </row>
    <row r="8680" spans="1:40" x14ac:dyDescent="0.25">
      <c r="A8680" t="str">
        <f>"20190312154129775"</f>
        <v>20190312154129775</v>
      </c>
      <c r="B8680" t="str">
        <f>"1552376489765073"</f>
        <v>1552376489765073</v>
      </c>
      <c r="C8680" t="s">
        <v>40</v>
      </c>
      <c r="D8680">
        <v>4.0249870000000003</v>
      </c>
      <c r="E8680">
        <v>0.42847229999999997</v>
      </c>
      <c r="F8680" t="s">
        <v>94</v>
      </c>
      <c r="G8680">
        <v>-275.18979999999999</v>
      </c>
      <c r="H8680" s="1">
        <v>-1.9357229999999999E-6</v>
      </c>
      <c r="I8680">
        <v>-57.873170000000002</v>
      </c>
      <c r="J8680">
        <v>-280.12240000000003</v>
      </c>
      <c r="K8680">
        <v>1.1105590000000001</v>
      </c>
      <c r="L8680">
        <v>-56.576599999999999</v>
      </c>
      <c r="M8680">
        <v>0.88970389999999999</v>
      </c>
      <c r="N8680">
        <v>0</v>
      </c>
      <c r="O8680">
        <v>-0.45634229999999998</v>
      </c>
      <c r="P8680">
        <v>0.89962050000000005</v>
      </c>
      <c r="Q8680">
        <v>-1.365944E-2</v>
      </c>
      <c r="R8680">
        <v>-0.43645899999999999</v>
      </c>
      <c r="S8680">
        <v>2.9443969999999999</v>
      </c>
      <c r="T8680">
        <v>-0.65272649999999999</v>
      </c>
      <c r="U8680">
        <v>-0.78488159999999996</v>
      </c>
      <c r="V8680">
        <v>-2.2217649999999999E-2</v>
      </c>
      <c r="W8680">
        <v>-3.0918530000000001E-4</v>
      </c>
      <c r="X8680">
        <v>0.99975309999999995</v>
      </c>
      <c r="Y8680">
        <v>-0.1979919</v>
      </c>
      <c r="Z8680">
        <v>0.1153271</v>
      </c>
      <c r="AA8680">
        <v>0.97339549999999997</v>
      </c>
      <c r="AB8680">
        <v>16</v>
      </c>
      <c r="AC8680">
        <v>4.9326000000000301</v>
      </c>
      <c r="AD8680">
        <v>-1.110560935723</v>
      </c>
      <c r="AE8680">
        <v>-1.29656999999999</v>
      </c>
      <c r="AF8680">
        <v>-1.04780678146451</v>
      </c>
      <c r="AG8680">
        <v>-1.110560935723</v>
      </c>
      <c r="AH8680">
        <v>4.7552092270353103</v>
      </c>
      <c r="AI8680">
        <v>102.847959652539</v>
      </c>
      <c r="AJ8680">
        <v>102.42650381918899</v>
      </c>
      <c r="AK8680">
        <v>4.9943227204615699</v>
      </c>
      <c r="AL8680">
        <v>90.017715013232205</v>
      </c>
      <c r="AM8680">
        <v>91.273082400934996</v>
      </c>
      <c r="AN8680">
        <v>0.99999999026334097</v>
      </c>
    </row>
    <row r="8681" spans="1:40" x14ac:dyDescent="0.25">
      <c r="A8681" t="str">
        <f>"20190312154129788"</f>
        <v>20190312154129788</v>
      </c>
      <c r="B8681" t="str">
        <f>"1552376489784593"</f>
        <v>1552376489784593</v>
      </c>
      <c r="C8681" t="s">
        <v>40</v>
      </c>
      <c r="D8681">
        <v>3.9813890000000001</v>
      </c>
      <c r="E8681">
        <v>0.42847229999999997</v>
      </c>
      <c r="F8681" t="s">
        <v>94</v>
      </c>
      <c r="G8681">
        <v>-274.65300000000002</v>
      </c>
      <c r="H8681" s="1">
        <v>-1.6729980000000001E-6</v>
      </c>
      <c r="I8681">
        <v>-58.020119999999999</v>
      </c>
      <c r="J8681">
        <v>-280.04989999999998</v>
      </c>
      <c r="K8681">
        <v>1.110541</v>
      </c>
      <c r="L8681">
        <v>-56.613160000000001</v>
      </c>
      <c r="M8681">
        <v>0.88992749999999998</v>
      </c>
      <c r="N8681">
        <v>0</v>
      </c>
      <c r="O8681">
        <v>-0.4559087</v>
      </c>
      <c r="P8681">
        <v>0.89989470000000005</v>
      </c>
      <c r="Q8681">
        <v>-1.306993E-2</v>
      </c>
      <c r="R8681">
        <v>-0.43591190000000002</v>
      </c>
      <c r="S8681">
        <v>2.9481809999999999</v>
      </c>
      <c r="T8681">
        <v>-0.5986302</v>
      </c>
      <c r="U8681">
        <v>-0.77810669999999904</v>
      </c>
      <c r="V8681">
        <v>-2.234208E-2</v>
      </c>
      <c r="W8681">
        <v>1.834075E-4</v>
      </c>
      <c r="X8681">
        <v>0.99975040000000004</v>
      </c>
      <c r="Y8681">
        <v>-0.20203950000000001</v>
      </c>
      <c r="Z8681">
        <v>0.1061988</v>
      </c>
      <c r="AA8681">
        <v>0.97360250000000004</v>
      </c>
      <c r="AB8681">
        <v>16</v>
      </c>
      <c r="AC8681">
        <v>5.3968999999999596</v>
      </c>
      <c r="AD8681">
        <v>-1.1105426729979999</v>
      </c>
      <c r="AE8681">
        <v>-1.40695999999999</v>
      </c>
      <c r="AF8681">
        <v>-1.16241974732415</v>
      </c>
      <c r="AG8681">
        <v>-1.1105426729979999</v>
      </c>
      <c r="AH8681">
        <v>5.2371312591647596</v>
      </c>
      <c r="AI8681">
        <v>101.695808178842</v>
      </c>
      <c r="AJ8681">
        <v>102.514344707536</v>
      </c>
      <c r="AK8681">
        <v>5.4783271646771299</v>
      </c>
      <c r="AL8681">
        <v>89.989491524598805</v>
      </c>
      <c r="AM8681">
        <v>91.280213391910394</v>
      </c>
      <c r="AN8681">
        <v>1.00000003223859</v>
      </c>
    </row>
    <row r="8682" spans="1:40" x14ac:dyDescent="0.25">
      <c r="A8682" t="str">
        <f>"20190312154129800"</f>
        <v>20190312154129800</v>
      </c>
      <c r="B8682" t="str">
        <f>"1552376489795329"</f>
        <v>1552376489795329</v>
      </c>
      <c r="C8682" t="s">
        <v>40</v>
      </c>
      <c r="D8682">
        <v>4.0336720000000001</v>
      </c>
      <c r="E8682">
        <v>0.431143</v>
      </c>
      <c r="F8682" t="s">
        <v>94</v>
      </c>
      <c r="G8682">
        <v>-274.56439999999998</v>
      </c>
      <c r="H8682" s="1">
        <v>-1.626654E-6</v>
      </c>
      <c r="I8682">
        <v>-58.057760000000002</v>
      </c>
      <c r="J8682">
        <v>-279.97570000000002</v>
      </c>
      <c r="K8682">
        <v>1.1105240000000001</v>
      </c>
      <c r="L8682">
        <v>-56.650539999999999</v>
      </c>
      <c r="M8682">
        <v>0.89015730000000004</v>
      </c>
      <c r="N8682">
        <v>0</v>
      </c>
      <c r="O8682">
        <v>-0.45546330000000002</v>
      </c>
      <c r="P8682">
        <v>0.90034029999999998</v>
      </c>
      <c r="Q8682">
        <v>-1.268786E-2</v>
      </c>
      <c r="R8682">
        <v>-0.43500220000000001</v>
      </c>
      <c r="S8682">
        <v>2.9488530000000002</v>
      </c>
      <c r="T8682">
        <v>-0.5970008</v>
      </c>
      <c r="U8682">
        <v>-0.77658079999999996</v>
      </c>
      <c r="V8682">
        <v>-2.2854070000000001E-2</v>
      </c>
      <c r="W8682">
        <v>4.6140359999999997E-4</v>
      </c>
      <c r="X8682">
        <v>0.99973869999999998</v>
      </c>
      <c r="Y8682">
        <v>-0.20214589999999999</v>
      </c>
      <c r="Z8682">
        <v>0.105834999999999</v>
      </c>
      <c r="AA8682">
        <v>0.97362009999999999</v>
      </c>
      <c r="AB8682">
        <v>16</v>
      </c>
      <c r="AC8682">
        <v>5.4113000000000397</v>
      </c>
      <c r="AD8682">
        <v>-1.110525626654</v>
      </c>
      <c r="AE8682">
        <v>-1.4072199999999899</v>
      </c>
      <c r="AF8682">
        <v>-1.1661048540340999</v>
      </c>
      <c r="AG8682">
        <v>-1.110525626654</v>
      </c>
      <c r="AH8682">
        <v>5.2511654321284897</v>
      </c>
      <c r="AI8682">
        <v>101.664973180248</v>
      </c>
      <c r="AJ8682">
        <v>102.52027310369699</v>
      </c>
      <c r="AK8682">
        <v>5.4925227440255897</v>
      </c>
      <c r="AL8682">
        <v>89.973563519993505</v>
      </c>
      <c r="AM8682">
        <v>91.309555917436199</v>
      </c>
      <c r="AN8682">
        <v>0.99999999484326796</v>
      </c>
    </row>
    <row r="8683" spans="1:40" x14ac:dyDescent="0.25">
      <c r="A8683" t="str">
        <f>"20190312154129812"</f>
        <v>20190312154129812</v>
      </c>
      <c r="B8683" t="str">
        <f>"1552376489805318"</f>
        <v>1552376489805318</v>
      </c>
      <c r="C8683" t="s">
        <v>40</v>
      </c>
      <c r="D8683">
        <v>3.9202279999999998</v>
      </c>
      <c r="E8683">
        <v>0.4316913</v>
      </c>
      <c r="F8683" t="s">
        <v>96</v>
      </c>
      <c r="G8683">
        <v>-257.9325</v>
      </c>
      <c r="H8683" s="1">
        <v>-3.0321889999999999E-6</v>
      </c>
      <c r="I8683">
        <v>-62.700049999999997</v>
      </c>
      <c r="J8683">
        <v>-279.89830000000001</v>
      </c>
      <c r="K8683">
        <v>1.1105020000000001</v>
      </c>
      <c r="L8683">
        <v>-56.689419999999998</v>
      </c>
      <c r="M8683">
        <v>0.89039979999999996</v>
      </c>
      <c r="N8683">
        <v>0</v>
      </c>
      <c r="O8683">
        <v>-0.45499260000000002</v>
      </c>
      <c r="P8683">
        <v>0.90065119999999899</v>
      </c>
      <c r="Q8683">
        <v>-1.2587269999999999E-2</v>
      </c>
      <c r="R8683">
        <v>-0.4343611</v>
      </c>
      <c r="S8683">
        <v>2.9401250000000001</v>
      </c>
      <c r="T8683">
        <v>-0.14812229999999901</v>
      </c>
      <c r="U8683">
        <v>-0.80688479999999996</v>
      </c>
      <c r="V8683">
        <v>-2.3037129999999999E-2</v>
      </c>
      <c r="W8683">
        <v>4.3851540000000003E-4</v>
      </c>
      <c r="X8683">
        <v>0.99973449999999997</v>
      </c>
      <c r="Y8683">
        <v>-0.20241729999999999</v>
      </c>
      <c r="Z8683">
        <v>2.6513390000000001E-2</v>
      </c>
      <c r="AA8683">
        <v>0.97894040000000004</v>
      </c>
      <c r="AB8683">
        <v>16</v>
      </c>
      <c r="AC8683">
        <v>21.965800000000002</v>
      </c>
      <c r="AD8683">
        <v>-1.110505032189</v>
      </c>
      <c r="AE8683">
        <v>-6.0106299999999901</v>
      </c>
      <c r="AF8683">
        <v>-4.6317933859768301</v>
      </c>
      <c r="AG8683">
        <v>-1.110505032189</v>
      </c>
      <c r="AH8683">
        <v>22.24214151855</v>
      </c>
      <c r="AI8683">
        <v>92.798354928404294</v>
      </c>
      <c r="AJ8683">
        <v>101.76338547634801</v>
      </c>
      <c r="AK8683">
        <v>22.746419294651599</v>
      </c>
      <c r="AL8683">
        <v>89.974874917173295</v>
      </c>
      <c r="AM8683">
        <v>91.320047244211494</v>
      </c>
      <c r="AN8683">
        <v>0.99999998607232099</v>
      </c>
    </row>
    <row r="8684" spans="1:40" x14ac:dyDescent="0.25">
      <c r="A8684" t="str">
        <f>"20190312154129822"</f>
        <v>20190312154129822</v>
      </c>
      <c r="B8684" t="str">
        <f>"1552376489815079"</f>
        <v>1552376489815079</v>
      </c>
      <c r="C8684" t="s">
        <v>40</v>
      </c>
      <c r="D8684">
        <v>3.7703679999999999</v>
      </c>
      <c r="E8684">
        <v>0.42899569999999998</v>
      </c>
      <c r="F8684" t="s">
        <v>96</v>
      </c>
      <c r="G8684">
        <v>-258.38909999999998</v>
      </c>
      <c r="H8684" s="1">
        <v>-3.1752480000000002E-6</v>
      </c>
      <c r="I8684">
        <v>-62.607990000000001</v>
      </c>
      <c r="J8684">
        <v>-279.82830000000001</v>
      </c>
      <c r="K8684">
        <v>1.110484</v>
      </c>
      <c r="L8684">
        <v>-56.724580000000003</v>
      </c>
      <c r="M8684">
        <v>0.89062079999999999</v>
      </c>
      <c r="N8684">
        <v>0</v>
      </c>
      <c r="O8684">
        <v>-0.45456289999999999</v>
      </c>
      <c r="P8684">
        <v>0.90094390000000002</v>
      </c>
      <c r="Q8684">
        <v>-1.2452039999999999E-2</v>
      </c>
      <c r="R8684">
        <v>-0.43375730000000001</v>
      </c>
      <c r="S8684">
        <v>2.938812</v>
      </c>
      <c r="T8684">
        <v>-0.15172849999999999</v>
      </c>
      <c r="U8684">
        <v>-0.80865480000000001</v>
      </c>
      <c r="V8684">
        <v>-2.3224950000000001E-2</v>
      </c>
      <c r="W8684">
        <v>4.5663520000000001E-4</v>
      </c>
      <c r="X8684">
        <v>0.99973020000000001</v>
      </c>
      <c r="Y8684">
        <v>-0.20125009999999999</v>
      </c>
      <c r="Z8684">
        <v>2.7118110000000001E-2</v>
      </c>
      <c r="AA8684">
        <v>0.97916440000000005</v>
      </c>
      <c r="AB8684">
        <v>16</v>
      </c>
      <c r="AC8684">
        <v>21.4392</v>
      </c>
      <c r="AD8684">
        <v>-1.1104871752479999</v>
      </c>
      <c r="AE8684">
        <v>-5.8834099999999898</v>
      </c>
      <c r="AF8684">
        <v>-4.4947396855354498</v>
      </c>
      <c r="AG8684">
        <v>-1.1104871752479999</v>
      </c>
      <c r="AH8684">
        <v>21.716214250805301</v>
      </c>
      <c r="AI8684">
        <v>92.866690412112703</v>
      </c>
      <c r="AJ8684">
        <v>101.693745747905</v>
      </c>
      <c r="AK8684">
        <v>22.204274993658299</v>
      </c>
      <c r="AL8684">
        <v>89.973836730395007</v>
      </c>
      <c r="AM8684">
        <v>91.330811358038602</v>
      </c>
      <c r="AN8684">
        <v>1.0000000398051201</v>
      </c>
    </row>
    <row r="8685" spans="1:40" x14ac:dyDescent="0.25">
      <c r="A8685" t="str">
        <f>"20190312154129833"</f>
        <v>20190312154129833</v>
      </c>
      <c r="B8685" t="str">
        <f>"1552376489824839"</f>
        <v>1552376489824839</v>
      </c>
      <c r="C8685" t="s">
        <v>40</v>
      </c>
      <c r="D8685">
        <v>4.0159289999999999</v>
      </c>
      <c r="E8685">
        <v>0.43033009999999999</v>
      </c>
      <c r="F8685" t="s">
        <v>96</v>
      </c>
      <c r="G8685">
        <v>-257.98349999999999</v>
      </c>
      <c r="H8685" s="1">
        <v>-3.0305890000000002E-6</v>
      </c>
      <c r="I8685">
        <v>-62.558320000000002</v>
      </c>
      <c r="J8685">
        <v>-279.76130000000001</v>
      </c>
      <c r="K8685">
        <v>1.1104689999999999</v>
      </c>
      <c r="L8685">
        <v>-56.758180000000003</v>
      </c>
      <c r="M8685">
        <v>0.89083409999999996</v>
      </c>
      <c r="N8685">
        <v>0</v>
      </c>
      <c r="O8685">
        <v>-0.45414840000000001</v>
      </c>
      <c r="P8685">
        <v>0.9013063</v>
      </c>
      <c r="Q8685">
        <v>-1.255042E-2</v>
      </c>
      <c r="R8685">
        <v>-0.43300080000000002</v>
      </c>
      <c r="S8685">
        <v>2.948639</v>
      </c>
      <c r="T8685">
        <v>-0.14989479999999999</v>
      </c>
      <c r="U8685">
        <v>-0.78744510000000001</v>
      </c>
      <c r="V8685">
        <v>-2.3597259999999998E-2</v>
      </c>
      <c r="W8685">
        <v>2.4015110000000001E-4</v>
      </c>
      <c r="X8685">
        <v>0.99972150000000004</v>
      </c>
      <c r="Y8685">
        <v>-0.208199</v>
      </c>
      <c r="Z8685">
        <v>2.689395E-2</v>
      </c>
      <c r="AA8685">
        <v>0.97771669999999999</v>
      </c>
      <c r="AB8685">
        <v>16</v>
      </c>
      <c r="AC8685">
        <v>21.777799999999999</v>
      </c>
      <c r="AD8685">
        <v>-1.1104720305889999</v>
      </c>
      <c r="AE8685">
        <v>-5.8001399999999901</v>
      </c>
      <c r="AF8685">
        <v>-4.7123365828878496</v>
      </c>
      <c r="AG8685">
        <v>-1.1104720305889999</v>
      </c>
      <c r="AH8685">
        <v>21.982964706777299</v>
      </c>
      <c r="AI8685">
        <v>92.827713508330902</v>
      </c>
      <c r="AJ8685">
        <v>102.098996528594</v>
      </c>
      <c r="AK8685">
        <v>22.5097756874776</v>
      </c>
      <c r="AL8685">
        <v>89.986240355157804</v>
      </c>
      <c r="AM8685">
        <v>91.352148974256195</v>
      </c>
      <c r="AN8685">
        <v>0.99999998295715398</v>
      </c>
    </row>
    <row r="8686" spans="1:40" x14ac:dyDescent="0.25">
      <c r="A8686" t="str">
        <f>"20190312154129843"</f>
        <v>20190312154129843</v>
      </c>
      <c r="B8686" t="str">
        <f>"1552376489834599"</f>
        <v>1552376489834599</v>
      </c>
      <c r="C8686" t="s">
        <v>40</v>
      </c>
      <c r="D8686">
        <v>4.08134</v>
      </c>
      <c r="E8686">
        <v>0.43130829999999998</v>
      </c>
      <c r="F8686" t="s">
        <v>96</v>
      </c>
      <c r="G8686">
        <v>-256.85239999999999</v>
      </c>
      <c r="H8686" s="1">
        <v>-2.6446160000000001E-6</v>
      </c>
      <c r="I8686">
        <v>-62.941540000000003</v>
      </c>
      <c r="J8686">
        <v>-279.70089999999999</v>
      </c>
      <c r="K8686">
        <v>1.1104540000000001</v>
      </c>
      <c r="L8686">
        <v>-56.78848</v>
      </c>
      <c r="M8686">
        <v>0.89102890000000001</v>
      </c>
      <c r="N8686">
        <v>0</v>
      </c>
      <c r="O8686">
        <v>-0.45376899999999998</v>
      </c>
      <c r="P8686">
        <v>0.90148280000000003</v>
      </c>
      <c r="Q8686">
        <v>-1.2805199999999999E-2</v>
      </c>
      <c r="R8686">
        <v>-0.4326258</v>
      </c>
      <c r="S8686">
        <v>2.9446720000000002</v>
      </c>
      <c r="T8686">
        <v>-0.14273820000000001</v>
      </c>
      <c r="U8686">
        <v>-0.79479979999999995</v>
      </c>
      <c r="V8686">
        <v>-2.3584870000000001E-2</v>
      </c>
      <c r="W8686">
        <v>-1.2426949999999999E-4</v>
      </c>
      <c r="X8686">
        <v>0.99972179999999999</v>
      </c>
      <c r="Y8686">
        <v>-0.2052466</v>
      </c>
      <c r="Z8686">
        <v>2.554729E-2</v>
      </c>
      <c r="AA8686">
        <v>0.97837680000000005</v>
      </c>
      <c r="AB8686">
        <v>16</v>
      </c>
      <c r="AC8686">
        <v>22.848500000000001</v>
      </c>
      <c r="AD8686">
        <v>-1.110456644616</v>
      </c>
      <c r="AE8686">
        <v>-6.1530599999999902</v>
      </c>
      <c r="AF8686">
        <v>-4.87504406684541</v>
      </c>
      <c r="AG8686">
        <v>-1.110456644616</v>
      </c>
      <c r="AH8686">
        <v>23.101730245664999</v>
      </c>
      <c r="AI8686">
        <v>92.692768545253898</v>
      </c>
      <c r="AJ8686">
        <v>101.916018585199</v>
      </c>
      <c r="AK8686">
        <v>23.636605275646701</v>
      </c>
      <c r="AL8686">
        <v>90.007120118107906</v>
      </c>
      <c r="AM8686">
        <v>91.351438871586893</v>
      </c>
      <c r="AN8686">
        <v>0.99999996946553205</v>
      </c>
    </row>
    <row r="8687" spans="1:40" x14ac:dyDescent="0.25">
      <c r="A8687" t="str">
        <f>"20190312154129854"</f>
        <v>20190312154129854</v>
      </c>
      <c r="B8687" t="str">
        <f>"1552376489845335"</f>
        <v>1552376489845335</v>
      </c>
      <c r="C8687" t="s">
        <v>40</v>
      </c>
      <c r="D8687">
        <v>4.0398079999999998</v>
      </c>
      <c r="E8687">
        <v>0.4321604</v>
      </c>
      <c r="F8687" t="s">
        <v>96</v>
      </c>
      <c r="G8687">
        <v>-254.8844</v>
      </c>
      <c r="H8687" s="1">
        <v>-1.934704E-6</v>
      </c>
      <c r="I8687">
        <v>-63.545740000000002</v>
      </c>
      <c r="J8687">
        <v>-279.63319999999999</v>
      </c>
      <c r="K8687">
        <v>1.1104400000000001</v>
      </c>
      <c r="L8687">
        <v>-56.822299999999998</v>
      </c>
      <c r="M8687">
        <v>0.89124820000000005</v>
      </c>
      <c r="N8687">
        <v>0</v>
      </c>
      <c r="O8687">
        <v>-0.45334160000000001</v>
      </c>
      <c r="P8687">
        <v>0.90168289999999995</v>
      </c>
      <c r="Q8687">
        <v>-1.276444E-2</v>
      </c>
      <c r="R8687">
        <v>-0.43221009999999999</v>
      </c>
      <c r="S8687">
        <v>2.941589</v>
      </c>
      <c r="T8687">
        <v>-0.13162679999999999</v>
      </c>
      <c r="U8687">
        <v>-0.80096440000000002</v>
      </c>
      <c r="V8687">
        <v>-2.3565800000000001E-2</v>
      </c>
      <c r="W8687">
        <v>-2.0834679999999999E-4</v>
      </c>
      <c r="X8687">
        <v>0.99972220000000001</v>
      </c>
      <c r="Y8687">
        <v>-0.20271030000000001</v>
      </c>
      <c r="Z8687">
        <v>2.3503400000000001E-2</v>
      </c>
      <c r="AA8687">
        <v>0.97895659999999896</v>
      </c>
      <c r="AB8687">
        <v>16</v>
      </c>
      <c r="AC8687">
        <v>24.7487999999999</v>
      </c>
      <c r="AD8687">
        <v>-1.11044193470399</v>
      </c>
      <c r="AE8687">
        <v>-6.7234400000000001</v>
      </c>
      <c r="AF8687">
        <v>-5.2180370485622802</v>
      </c>
      <c r="AG8687">
        <v>-1.11044193470399</v>
      </c>
      <c r="AH8687">
        <v>25.060339019248101</v>
      </c>
      <c r="AI8687">
        <v>92.4839523691209</v>
      </c>
      <c r="AJ8687">
        <v>101.76200678273101</v>
      </c>
      <c r="AK8687">
        <v>25.621896567002299</v>
      </c>
      <c r="AL8687">
        <v>90.011937393192198</v>
      </c>
      <c r="AM8687">
        <v>91.350346004377997</v>
      </c>
      <c r="AN8687">
        <v>0.99999993375543195</v>
      </c>
    </row>
    <row r="8688" spans="1:40" x14ac:dyDescent="0.25">
      <c r="A8688" t="str">
        <f>"20190312154129864"</f>
        <v>20190312154129864</v>
      </c>
      <c r="B8688" t="str">
        <f>"1552376489855094"</f>
        <v>1552376489855094</v>
      </c>
      <c r="C8688" t="s">
        <v>40</v>
      </c>
      <c r="D8688">
        <v>4.6591370000000003</v>
      </c>
      <c r="E8688">
        <v>0.43464570000000002</v>
      </c>
      <c r="F8688" t="s">
        <v>96</v>
      </c>
      <c r="G8688">
        <v>-253.3065</v>
      </c>
      <c r="H8688" s="1">
        <v>-1.3681000000000001E-6</v>
      </c>
      <c r="I8688">
        <v>-64.041880000000006</v>
      </c>
      <c r="J8688">
        <v>-279.56760000000003</v>
      </c>
      <c r="K8688">
        <v>1.1104309999999999</v>
      </c>
      <c r="L8688">
        <v>-56.8551</v>
      </c>
      <c r="M8688">
        <v>0.89146530000000002</v>
      </c>
      <c r="N8688">
        <v>0</v>
      </c>
      <c r="O8688">
        <v>-0.45291779999999998</v>
      </c>
      <c r="P8688">
        <v>0.9019952</v>
      </c>
      <c r="Q8688">
        <v>-1.2755849999999999E-2</v>
      </c>
      <c r="R8688">
        <v>-0.4315582</v>
      </c>
      <c r="S8688">
        <v>2.9390260000000001</v>
      </c>
      <c r="T8688">
        <v>-0.1239659</v>
      </c>
      <c r="U8688">
        <v>-0.80596919999999905</v>
      </c>
      <c r="V8688">
        <v>-2.381225E-2</v>
      </c>
      <c r="W8688">
        <v>-3.2303829999999999E-4</v>
      </c>
      <c r="X8688">
        <v>0.99971639999999995</v>
      </c>
      <c r="Y8688">
        <v>-0.20054169999999999</v>
      </c>
      <c r="Z8688">
        <v>2.208825E-2</v>
      </c>
      <c r="AA8688">
        <v>0.97943619999999998</v>
      </c>
      <c r="AB8688">
        <v>16</v>
      </c>
      <c r="AC8688">
        <v>26.261099999999999</v>
      </c>
      <c r="AD8688">
        <v>-1.1104323680999999</v>
      </c>
      <c r="AE8688">
        <v>-7.1867799999999997</v>
      </c>
      <c r="AF8688">
        <v>-5.4786670642324102</v>
      </c>
      <c r="AG8688">
        <v>-1.1104323680999999</v>
      </c>
      <c r="AH8688">
        <v>26.623662532332499</v>
      </c>
      <c r="AI8688">
        <v>92.339373301209605</v>
      </c>
      <c r="AJ8688">
        <v>101.62811075737</v>
      </c>
      <c r="AK8688">
        <v>27.204195622740901</v>
      </c>
      <c r="AL8688">
        <v>90.018508731458596</v>
      </c>
      <c r="AM8688">
        <v>91.3644704598983</v>
      </c>
      <c r="AN8688">
        <v>1.0000000040163799</v>
      </c>
    </row>
    <row r="8689" spans="1:40" x14ac:dyDescent="0.25">
      <c r="A8689" t="str">
        <f>"20190312154129874"</f>
        <v>20190312154129874</v>
      </c>
      <c r="B8689" t="str">
        <f>"1552376489864854"</f>
        <v>1552376489864854</v>
      </c>
      <c r="C8689" t="s">
        <v>40</v>
      </c>
      <c r="D8689">
        <v>4.0877689999999998</v>
      </c>
      <c r="E8689">
        <v>0.43512279999999998</v>
      </c>
      <c r="F8689" t="s">
        <v>96</v>
      </c>
      <c r="G8689">
        <v>-251.11240000000001</v>
      </c>
      <c r="H8689" s="1">
        <v>-6.0330000000000001E-7</v>
      </c>
      <c r="I8689">
        <v>-64.835519999999903</v>
      </c>
      <c r="J8689">
        <v>-279.49880000000002</v>
      </c>
      <c r="K8689">
        <v>1.1104270000000001</v>
      </c>
      <c r="L8689">
        <v>-56.889470000000003</v>
      </c>
      <c r="M8689">
        <v>0.89169469999999995</v>
      </c>
      <c r="N8689">
        <v>0</v>
      </c>
      <c r="O8689">
        <v>-0.45246960000000003</v>
      </c>
      <c r="P8689">
        <v>0.90212599999999998</v>
      </c>
      <c r="Q8689">
        <v>-1.3085039999999999E-2</v>
      </c>
      <c r="R8689">
        <v>-0.43127490000000002</v>
      </c>
      <c r="S8689">
        <v>2.9310299999999998</v>
      </c>
      <c r="T8689">
        <v>-0.11437990000000001</v>
      </c>
      <c r="U8689">
        <v>-0.82202149999999996</v>
      </c>
      <c r="V8689">
        <v>-2.362013E-2</v>
      </c>
      <c r="W8689">
        <v>-7.8171770000000005E-4</v>
      </c>
      <c r="X8689">
        <v>0.99972070000000002</v>
      </c>
      <c r="Y8689">
        <v>-0.19446089999999999</v>
      </c>
      <c r="Z8689">
        <v>2.0283559999999999E-2</v>
      </c>
      <c r="AA8689">
        <v>0.98070060000000003</v>
      </c>
      <c r="AB8689">
        <v>16</v>
      </c>
      <c r="AC8689">
        <v>28.386399999999998</v>
      </c>
      <c r="AD8689">
        <v>-1.1104276033</v>
      </c>
      <c r="AE8689">
        <v>-7.9460499999999898</v>
      </c>
      <c r="AF8689">
        <v>-5.75080889909467</v>
      </c>
      <c r="AG8689">
        <v>-1.1104276033</v>
      </c>
      <c r="AH8689">
        <v>28.8685772596771</v>
      </c>
      <c r="AI8689">
        <v>92.160384708131204</v>
      </c>
      <c r="AJ8689">
        <v>101.266211498781</v>
      </c>
      <c r="AK8689">
        <v>29.456741256527799</v>
      </c>
      <c r="AL8689">
        <v>90.044789129550495</v>
      </c>
      <c r="AM8689">
        <v>91.3534600458797</v>
      </c>
      <c r="AN8689">
        <v>0.99999999981613397</v>
      </c>
    </row>
    <row r="8690" spans="1:40" x14ac:dyDescent="0.25">
      <c r="A8690" t="str">
        <f>"20190312154129887"</f>
        <v>20190312154129887</v>
      </c>
      <c r="B8690" t="str">
        <f>"1552376489874614"</f>
        <v>1552376489874614</v>
      </c>
      <c r="C8690" t="s">
        <v>40</v>
      </c>
      <c r="D8690">
        <v>4.1010650000000002</v>
      </c>
      <c r="E8690">
        <v>0.43535970000000002</v>
      </c>
      <c r="F8690" t="s">
        <v>96</v>
      </c>
      <c r="G8690">
        <v>-250.8058</v>
      </c>
      <c r="H8690" s="1">
        <v>-5.0068070000000001E-7</v>
      </c>
      <c r="I8690">
        <v>-64.965419999999995</v>
      </c>
      <c r="J8690">
        <v>-279.42610000000002</v>
      </c>
      <c r="K8690">
        <v>1.110422</v>
      </c>
      <c r="L8690">
        <v>-56.925600000000003</v>
      </c>
      <c r="M8690">
        <v>0.89194359999999995</v>
      </c>
      <c r="N8690">
        <v>0</v>
      </c>
      <c r="O8690">
        <v>-0.4519823</v>
      </c>
      <c r="P8690">
        <v>0.90227979999999997</v>
      </c>
      <c r="Q8690">
        <v>-1.3049170000000001E-2</v>
      </c>
      <c r="R8690">
        <v>-0.43095420000000001</v>
      </c>
      <c r="S8690">
        <v>2.9296570000000002</v>
      </c>
      <c r="T8690">
        <v>-0.1133788</v>
      </c>
      <c r="U8690">
        <v>-0.82458500000000001</v>
      </c>
      <c r="V8690">
        <v>-2.342897E-2</v>
      </c>
      <c r="W8690">
        <v>-8.8327929999999896E-4</v>
      </c>
      <c r="X8690">
        <v>0.99972510000000003</v>
      </c>
      <c r="Y8690">
        <v>-0.19301760000000001</v>
      </c>
      <c r="Z8690">
        <v>2.006838E-2</v>
      </c>
      <c r="AA8690">
        <v>0.98099009999999998</v>
      </c>
      <c r="AB8690">
        <v>16</v>
      </c>
      <c r="AC8690">
        <v>28.6203</v>
      </c>
      <c r="AD8690">
        <v>-1.1104225006807</v>
      </c>
      <c r="AE8690">
        <v>-8.03981999999999</v>
      </c>
      <c r="AF8690">
        <v>-5.7571988953542901</v>
      </c>
      <c r="AG8690">
        <v>-1.1104225006807</v>
      </c>
      <c r="AH8690">
        <v>29.123083865343101</v>
      </c>
      <c r="AI8690">
        <v>92.142134522760301</v>
      </c>
      <c r="AJ8690">
        <v>101.18234158218699</v>
      </c>
      <c r="AK8690">
        <v>29.707446727689302</v>
      </c>
      <c r="AL8690">
        <v>90.050608183300497</v>
      </c>
      <c r="AM8690">
        <v>91.342504481236702</v>
      </c>
      <c r="AN8690">
        <v>0.99999998619379604</v>
      </c>
    </row>
    <row r="8691" spans="1:40" x14ac:dyDescent="0.25">
      <c r="A8691" t="str">
        <f>"20190312154129898"</f>
        <v>20190312154129898</v>
      </c>
      <c r="B8691" t="str">
        <f>"1552376489885350"</f>
        <v>1552376489885350</v>
      </c>
      <c r="C8691" t="s">
        <v>40</v>
      </c>
      <c r="D8691">
        <v>4.1158729999999997</v>
      </c>
      <c r="E8691">
        <v>0.43563190000000002</v>
      </c>
      <c r="F8691" t="s">
        <v>96</v>
      </c>
      <c r="G8691">
        <v>-250.01249999999999</v>
      </c>
      <c r="H8691" s="1">
        <v>-2.1559979999999999E-7</v>
      </c>
      <c r="I8691">
        <v>-65.213809999999995</v>
      </c>
      <c r="J8691">
        <v>-279.35789999999997</v>
      </c>
      <c r="K8691">
        <v>1.11042</v>
      </c>
      <c r="L8691">
        <v>-56.959560000000003</v>
      </c>
      <c r="M8691">
        <v>0.892179099999999</v>
      </c>
      <c r="N8691">
        <v>0</v>
      </c>
      <c r="O8691">
        <v>-0.4515207</v>
      </c>
      <c r="P8691">
        <v>0.90250759999999997</v>
      </c>
      <c r="Q8691">
        <v>-1.2990700000000001E-2</v>
      </c>
      <c r="R8691">
        <v>-0.43047809999999997</v>
      </c>
      <c r="S8691">
        <v>2.929138</v>
      </c>
      <c r="T8691">
        <v>-0.11058080000000001</v>
      </c>
      <c r="U8691">
        <v>-0.82537839999999996</v>
      </c>
      <c r="V8691">
        <v>-2.3438029999999999E-2</v>
      </c>
      <c r="W8691">
        <v>-9.5444669999999998E-4</v>
      </c>
      <c r="X8691">
        <v>0.99972490000000003</v>
      </c>
      <c r="Y8691">
        <v>-0.19223850000000001</v>
      </c>
      <c r="Z8691">
        <v>1.9546379999999999E-2</v>
      </c>
      <c r="AA8691">
        <v>0.98115350000000001</v>
      </c>
      <c r="AB8691">
        <v>16</v>
      </c>
      <c r="AC8691">
        <v>29.345399999999898</v>
      </c>
      <c r="AD8691">
        <v>-1.1104202155998</v>
      </c>
      <c r="AE8691">
        <v>-8.2542499999999901</v>
      </c>
      <c r="AF8691">
        <v>-5.8784146392104999</v>
      </c>
      <c r="AG8691">
        <v>-1.1104202155998</v>
      </c>
      <c r="AH8691">
        <v>29.870859026255001</v>
      </c>
      <c r="AI8691">
        <v>92.0889059148071</v>
      </c>
      <c r="AJ8691">
        <v>101.133215077187</v>
      </c>
      <c r="AK8691">
        <v>30.464028142911399</v>
      </c>
      <c r="AL8691">
        <v>90.054685772485897</v>
      </c>
      <c r="AM8691">
        <v>91.343023707187797</v>
      </c>
      <c r="AN8691">
        <v>1.00000006394939</v>
      </c>
    </row>
    <row r="8692" spans="1:40" x14ac:dyDescent="0.25">
      <c r="A8692" t="str">
        <f>"20190312154129908"</f>
        <v>20190312154129908</v>
      </c>
      <c r="B8692" t="str">
        <f>"1552376489904870"</f>
        <v>1552376489904870</v>
      </c>
      <c r="C8692" t="s">
        <v>40</v>
      </c>
      <c r="D8692">
        <v>4.1163410000000002</v>
      </c>
      <c r="E8692">
        <v>0.43662659999999998</v>
      </c>
      <c r="F8692" t="s">
        <v>97</v>
      </c>
      <c r="G8692">
        <v>-248.87190000000001</v>
      </c>
      <c r="H8692" s="1">
        <v>-3.8107810000000001E-6</v>
      </c>
      <c r="I8692">
        <v>-65.556529999999995</v>
      </c>
      <c r="J8692">
        <v>-279.28460000000001</v>
      </c>
      <c r="K8692">
        <v>1.110422</v>
      </c>
      <c r="L8692">
        <v>-56.995910000000002</v>
      </c>
      <c r="M8692">
        <v>0.89244249999999903</v>
      </c>
      <c r="N8692">
        <v>0</v>
      </c>
      <c r="O8692">
        <v>-0.45100380000000001</v>
      </c>
      <c r="P8692">
        <v>0.9026843</v>
      </c>
      <c r="Q8692">
        <v>-1.283832E-2</v>
      </c>
      <c r="R8692">
        <v>-0.43011240000000001</v>
      </c>
      <c r="S8692">
        <v>2.9286189999999999</v>
      </c>
      <c r="T8692">
        <v>-0.1066719</v>
      </c>
      <c r="U8692">
        <v>-0.82586669999999995</v>
      </c>
      <c r="V8692">
        <v>-2.3264030000000002E-2</v>
      </c>
      <c r="W8692">
        <v>-9.4220380000000002E-4</v>
      </c>
      <c r="X8692">
        <v>0.99972890000000003</v>
      </c>
      <c r="Y8692">
        <v>-0.19150010000000001</v>
      </c>
      <c r="Z8692">
        <v>1.8829080000000002E-2</v>
      </c>
      <c r="AA8692">
        <v>0.98131199999999996</v>
      </c>
      <c r="AB8692">
        <v>16</v>
      </c>
      <c r="AC8692">
        <v>30.412700000000001</v>
      </c>
      <c r="AD8692">
        <v>-1.1104258107809999</v>
      </c>
      <c r="AE8692">
        <v>-8.5606200000000108</v>
      </c>
      <c r="AF8692">
        <v>-6.0693163770811296</v>
      </c>
      <c r="AG8692">
        <v>-1.1104258107809999</v>
      </c>
      <c r="AH8692">
        <v>30.9664076971391</v>
      </c>
      <c r="AI8692">
        <v>92.015379164979706</v>
      </c>
      <c r="AJ8692">
        <v>101.08921818973</v>
      </c>
      <c r="AK8692">
        <v>31.575117615486199</v>
      </c>
      <c r="AL8692">
        <v>90.053984309807305</v>
      </c>
      <c r="AM8692">
        <v>91.333051604052599</v>
      </c>
      <c r="AN8692">
        <v>0.999999988167525</v>
      </c>
    </row>
    <row r="8693" spans="1:40" x14ac:dyDescent="0.25">
      <c r="A8693" t="str">
        <f>"20190312154129921"</f>
        <v>20190312154129921</v>
      </c>
      <c r="B8693" t="str">
        <f>"1552376489914631"</f>
        <v>1552376489914631</v>
      </c>
      <c r="C8693" t="s">
        <v>40</v>
      </c>
      <c r="D8693">
        <v>4.111326</v>
      </c>
      <c r="E8693">
        <v>0.43697360000000002</v>
      </c>
      <c r="F8693" t="s">
        <v>97</v>
      </c>
      <c r="G8693">
        <v>-247.43260000000001</v>
      </c>
      <c r="H8693" s="1">
        <v>-3.409133E-6</v>
      </c>
      <c r="I8693">
        <v>-66.053479999999993</v>
      </c>
      <c r="J8693">
        <v>-279.21249999999998</v>
      </c>
      <c r="K8693">
        <v>1.110425</v>
      </c>
      <c r="L8693">
        <v>-57.031649999999999</v>
      </c>
      <c r="M8693">
        <v>0.89270450000000001</v>
      </c>
      <c r="N8693">
        <v>0</v>
      </c>
      <c r="O8693">
        <v>-0.45048850000000001</v>
      </c>
      <c r="P8693">
        <v>0.90295080000000005</v>
      </c>
      <c r="Q8693">
        <v>-1.274428E-2</v>
      </c>
      <c r="R8693">
        <v>-0.42955539999999998</v>
      </c>
      <c r="S8693">
        <v>2.9255979999999999</v>
      </c>
      <c r="T8693">
        <v>-0.1019921</v>
      </c>
      <c r="U8693">
        <v>-0.83193969999999995</v>
      </c>
      <c r="V8693">
        <v>-2.330312E-2</v>
      </c>
      <c r="W8693">
        <v>-9.8581150000000002E-4</v>
      </c>
      <c r="X8693">
        <v>0.99972799999999995</v>
      </c>
      <c r="Y8693">
        <v>-0.18881439999999999</v>
      </c>
      <c r="Z8693">
        <v>1.7953210000000001E-2</v>
      </c>
      <c r="AA8693">
        <v>0.98184870000000002</v>
      </c>
      <c r="AB8693">
        <v>16</v>
      </c>
      <c r="AC8693">
        <v>31.779899999999898</v>
      </c>
      <c r="AD8693">
        <v>-1.1104284091329999</v>
      </c>
      <c r="AE8693">
        <v>-9.0218299999999996</v>
      </c>
      <c r="AF8693">
        <v>-6.25601760891655</v>
      </c>
      <c r="AG8693">
        <v>-1.1104284091329999</v>
      </c>
      <c r="AH8693">
        <v>32.399934797422098</v>
      </c>
      <c r="AI8693">
        <v>91.927332469609098</v>
      </c>
      <c r="AJ8693">
        <v>100.928598893881</v>
      </c>
      <c r="AK8693">
        <v>33.017065018745797</v>
      </c>
      <c r="AL8693">
        <v>90.056482845200506</v>
      </c>
      <c r="AM8693">
        <v>91.335291890549996</v>
      </c>
      <c r="AN8693">
        <v>1.00000004060502</v>
      </c>
    </row>
    <row r="8694" spans="1:40" x14ac:dyDescent="0.25">
      <c r="A8694" t="str">
        <f>"20190312154129932"</f>
        <v>20190312154129932</v>
      </c>
      <c r="B8694" t="str">
        <f>"1552376489925366"</f>
        <v>1552376489925366</v>
      </c>
      <c r="C8694" t="s">
        <v>40</v>
      </c>
      <c r="D8694">
        <v>4.1283450000000004</v>
      </c>
      <c r="E8694">
        <v>0.43726389999999998</v>
      </c>
      <c r="F8694" t="s">
        <v>97</v>
      </c>
      <c r="G8694">
        <v>-246.95240000000001</v>
      </c>
      <c r="H8694" s="1">
        <v>-3.2745909999999999E-6</v>
      </c>
      <c r="I8694">
        <v>-66.216210000000004</v>
      </c>
      <c r="J8694">
        <v>-279.13720000000001</v>
      </c>
      <c r="K8694">
        <v>1.1104290000000001</v>
      </c>
      <c r="L8694">
        <v>-57.068820000000002</v>
      </c>
      <c r="M8694">
        <v>0.8929859</v>
      </c>
      <c r="N8694">
        <v>0</v>
      </c>
      <c r="O8694">
        <v>-0.44993369999999999</v>
      </c>
      <c r="P8694">
        <v>0.90311710000000001</v>
      </c>
      <c r="Q8694">
        <v>-1.272006E-2</v>
      </c>
      <c r="R8694">
        <v>-0.42920580000000003</v>
      </c>
      <c r="S8694">
        <v>2.9248959999999999</v>
      </c>
      <c r="T8694">
        <v>-0.10067810000000001</v>
      </c>
      <c r="U8694">
        <v>-0.83273319999999995</v>
      </c>
      <c r="V8694">
        <v>-2.3068580000000002E-2</v>
      </c>
      <c r="W8694">
        <v>-1.1029810000000001E-3</v>
      </c>
      <c r="X8694">
        <v>0.99973330000000005</v>
      </c>
      <c r="Y8694">
        <v>-0.1879043</v>
      </c>
      <c r="Z8694">
        <v>1.7693400000000001E-2</v>
      </c>
      <c r="AA8694">
        <v>0.98202789999999995</v>
      </c>
      <c r="AB8694">
        <v>16</v>
      </c>
      <c r="AC8694">
        <v>32.184800000000003</v>
      </c>
      <c r="AD8694">
        <v>-1.110432274591</v>
      </c>
      <c r="AE8694">
        <v>-9.1473899999999997</v>
      </c>
      <c r="AF8694">
        <v>-6.30601920713013</v>
      </c>
      <c r="AG8694">
        <v>-1.110432274591</v>
      </c>
      <c r="AH8694">
        <v>32.822372937510004</v>
      </c>
      <c r="AI8694">
        <v>91.902891423647702</v>
      </c>
      <c r="AJ8694">
        <v>100.87546754807001</v>
      </c>
      <c r="AK8694">
        <v>33.441099014926799</v>
      </c>
      <c r="AL8694">
        <v>90.063196167509204</v>
      </c>
      <c r="AM8694">
        <v>91.321850303228302</v>
      </c>
      <c r="AN8694">
        <v>1.0000000235395901</v>
      </c>
    </row>
    <row r="8695" spans="1:40" x14ac:dyDescent="0.25">
      <c r="A8695" t="str">
        <f>"20190312154129942"</f>
        <v>20190312154129942</v>
      </c>
      <c r="B8695" t="str">
        <f>"1552376489935126"</f>
        <v>1552376489935126</v>
      </c>
      <c r="C8695" t="s">
        <v>40</v>
      </c>
      <c r="D8695">
        <v>4.1160480000000002</v>
      </c>
      <c r="E8695">
        <v>0.43759809999999999</v>
      </c>
      <c r="F8695" t="s">
        <v>97</v>
      </c>
      <c r="G8695">
        <v>-246.17140000000001</v>
      </c>
      <c r="H8695" s="1">
        <v>-3.0535320000000001E-6</v>
      </c>
      <c r="I8695">
        <v>-66.468249999999998</v>
      </c>
      <c r="J8695">
        <v>-279.07069999999999</v>
      </c>
      <c r="K8695">
        <v>1.1104320000000001</v>
      </c>
      <c r="L8695">
        <v>-57.101619999999997</v>
      </c>
      <c r="M8695">
        <v>0.89324029999999999</v>
      </c>
      <c r="N8695">
        <v>0</v>
      </c>
      <c r="O8695">
        <v>-0.4494322</v>
      </c>
      <c r="P8695">
        <v>0.90334760000000003</v>
      </c>
      <c r="Q8695">
        <v>-1.298201E-2</v>
      </c>
      <c r="R8695">
        <v>-0.42871340000000002</v>
      </c>
      <c r="S8695">
        <v>2.924194</v>
      </c>
      <c r="T8695">
        <v>-9.8499539999999997E-2</v>
      </c>
      <c r="U8695">
        <v>-0.83377080000000003</v>
      </c>
      <c r="V8695">
        <v>-2.304902E-2</v>
      </c>
      <c r="W8695">
        <v>-1.486551E-3</v>
      </c>
      <c r="X8695">
        <v>0.99973319999999999</v>
      </c>
      <c r="Y8695">
        <v>-0.18698190000000001</v>
      </c>
      <c r="Z8695">
        <v>1.728379E-2</v>
      </c>
      <c r="AA8695">
        <v>0.98221130000000001</v>
      </c>
      <c r="AB8695">
        <v>16</v>
      </c>
      <c r="AC8695">
        <v>32.899299999999897</v>
      </c>
      <c r="AD8695">
        <v>-1.11043505353199</v>
      </c>
      <c r="AE8695">
        <v>-9.3666300000000007</v>
      </c>
      <c r="AF8695">
        <v>-6.4130204608882</v>
      </c>
      <c r="AG8695">
        <v>-1.11043505353199</v>
      </c>
      <c r="AH8695">
        <v>33.563501417425101</v>
      </c>
      <c r="AI8695">
        <v>91.8612698850378</v>
      </c>
      <c r="AJ8695">
        <v>100.817195466798</v>
      </c>
      <c r="AK8695">
        <v>34.188719262899802</v>
      </c>
      <c r="AL8695">
        <v>90.085173132326602</v>
      </c>
      <c r="AM8695">
        <v>91.320730026918895</v>
      </c>
      <c r="AN8695">
        <v>0.99999996916953704</v>
      </c>
    </row>
    <row r="8696" spans="1:40" x14ac:dyDescent="0.25">
      <c r="A8696" t="str">
        <f>"20190312154129953"</f>
        <v>20190312154129953</v>
      </c>
      <c r="B8696" t="str">
        <f>"1552376489944886"</f>
        <v>1552376489944886</v>
      </c>
      <c r="C8696" t="s">
        <v>40</v>
      </c>
      <c r="D8696">
        <v>4.1298779999999997</v>
      </c>
      <c r="E8696">
        <v>0.43787280000000001</v>
      </c>
      <c r="F8696" t="s">
        <v>97</v>
      </c>
      <c r="G8696">
        <v>-245.97929999999999</v>
      </c>
      <c r="H8696" s="1">
        <v>-3.0023820000000002E-6</v>
      </c>
      <c r="I8696">
        <v>-66.548459999999906</v>
      </c>
      <c r="J8696">
        <v>-278.99689999999998</v>
      </c>
      <c r="K8696">
        <v>1.11043799999999</v>
      </c>
      <c r="L8696">
        <v>-57.137999999999998</v>
      </c>
      <c r="M8696">
        <v>0.89352790000000004</v>
      </c>
      <c r="N8696">
        <v>0</v>
      </c>
      <c r="O8696">
        <v>-0.44886330000000002</v>
      </c>
      <c r="P8696">
        <v>0.90348709999999999</v>
      </c>
      <c r="Q8696">
        <v>-1.3025439999999999E-2</v>
      </c>
      <c r="R8696">
        <v>-0.42841810000000002</v>
      </c>
      <c r="S8696">
        <v>2.923492</v>
      </c>
      <c r="T8696">
        <v>-9.8102330000000001E-2</v>
      </c>
      <c r="U8696">
        <v>-0.83459470000000002</v>
      </c>
      <c r="V8696">
        <v>-2.27382E-2</v>
      </c>
      <c r="W8696">
        <v>-1.660761E-3</v>
      </c>
      <c r="X8696">
        <v>0.99974010000000002</v>
      </c>
      <c r="Y8696">
        <v>-0.18604039999999999</v>
      </c>
      <c r="Z8696">
        <v>1.7185240000000001E-2</v>
      </c>
      <c r="AA8696">
        <v>0.98239180000000004</v>
      </c>
      <c r="AB8696">
        <v>16</v>
      </c>
      <c r="AC8696">
        <v>33.017599999999902</v>
      </c>
      <c r="AD8696">
        <v>-1.11044100238199</v>
      </c>
      <c r="AE8696">
        <v>-9.4104599999999792</v>
      </c>
      <c r="AF8696">
        <v>-6.4055949477712897</v>
      </c>
      <c r="AG8696">
        <v>-1.11044100238199</v>
      </c>
      <c r="AH8696">
        <v>33.693096125865502</v>
      </c>
      <c r="AI8696">
        <v>91.854451321810899</v>
      </c>
      <c r="AJ8696">
        <v>100.764378875139</v>
      </c>
      <c r="AK8696">
        <v>34.314566184078402</v>
      </c>
      <c r="AL8696">
        <v>90.095154637375202</v>
      </c>
      <c r="AM8696">
        <v>91.302916947239495</v>
      </c>
      <c r="AN8696">
        <v>1.0000000257071699</v>
      </c>
    </row>
    <row r="8697" spans="1:40" x14ac:dyDescent="0.25">
      <c r="A8697" t="str">
        <f>"20190312154129965"</f>
        <v>20190312154129965</v>
      </c>
      <c r="B8697" t="str">
        <f>"1552376489954647"</f>
        <v>1552376489954647</v>
      </c>
      <c r="C8697" t="s">
        <v>40</v>
      </c>
      <c r="D8697">
        <v>4.1471339999999897</v>
      </c>
      <c r="E8697">
        <v>0.437967</v>
      </c>
      <c r="F8697" t="s">
        <v>97</v>
      </c>
      <c r="G8697">
        <v>-245.47989999999999</v>
      </c>
      <c r="H8697" s="1">
        <v>-2.8629359999999999E-6</v>
      </c>
      <c r="I8697">
        <v>-66.720309999999998</v>
      </c>
      <c r="J8697">
        <v>-278.9246</v>
      </c>
      <c r="K8697">
        <v>1.1104480000000001</v>
      </c>
      <c r="L8697">
        <v>-57.173490000000001</v>
      </c>
      <c r="M8697">
        <v>0.89381909999999898</v>
      </c>
      <c r="N8697">
        <v>0</v>
      </c>
      <c r="O8697">
        <v>-0.44828630000000003</v>
      </c>
      <c r="P8697">
        <v>0.90369699999999997</v>
      </c>
      <c r="Q8697">
        <v>-1.3322000000000001E-2</v>
      </c>
      <c r="R8697">
        <v>-0.42796610000000002</v>
      </c>
      <c r="S8697">
        <v>2.9228519999999998</v>
      </c>
      <c r="T8697">
        <v>-9.683609E-2</v>
      </c>
      <c r="U8697">
        <v>-0.83563229999999999</v>
      </c>
      <c r="V8697">
        <v>-2.258897E-2</v>
      </c>
      <c r="W8697">
        <v>-2.0759799999999998E-3</v>
      </c>
      <c r="X8697">
        <v>0.99974269999999998</v>
      </c>
      <c r="Y8697">
        <v>-0.18503449999999999</v>
      </c>
      <c r="Z8697">
        <v>1.6933170000000001E-2</v>
      </c>
      <c r="AA8697">
        <v>0.98258610000000002</v>
      </c>
      <c r="AB8697">
        <v>16</v>
      </c>
      <c r="AC8697">
        <v>33.444699999999997</v>
      </c>
      <c r="AD8697">
        <v>-1.1104508629359999</v>
      </c>
      <c r="AE8697">
        <v>-9.5468199999999896</v>
      </c>
      <c r="AF8697">
        <v>-6.4535019727833802</v>
      </c>
      <c r="AG8697">
        <v>-1.1104508629359999</v>
      </c>
      <c r="AH8697">
        <v>34.140585906364002</v>
      </c>
      <c r="AI8697">
        <v>91.830541812953101</v>
      </c>
      <c r="AJ8697">
        <v>100.704166415885</v>
      </c>
      <c r="AK8697">
        <v>34.7629169498409</v>
      </c>
      <c r="AL8697">
        <v>90.118944975561703</v>
      </c>
      <c r="AM8697">
        <v>91.294365503113298</v>
      </c>
      <c r="AN8697">
        <v>1.0000000187309499</v>
      </c>
    </row>
    <row r="8698" spans="1:40" x14ac:dyDescent="0.25">
      <c r="A8698" t="str">
        <f>"20190312154129979"</f>
        <v>20190312154129979</v>
      </c>
      <c r="B8698" t="str">
        <f>"1552376489975142"</f>
        <v>1552376489975142</v>
      </c>
      <c r="C8698" t="s">
        <v>40</v>
      </c>
      <c r="D8698">
        <v>4.1665760000000001</v>
      </c>
      <c r="E8698">
        <v>0.43813010000000002</v>
      </c>
      <c r="F8698" t="s">
        <v>97</v>
      </c>
      <c r="G8698">
        <v>-245.18450000000001</v>
      </c>
      <c r="H8698" s="1">
        <v>-2.7785390000000002E-6</v>
      </c>
      <c r="I8698">
        <v>-66.811390000000003</v>
      </c>
      <c r="J8698">
        <v>-278.83909999999997</v>
      </c>
      <c r="K8698">
        <v>1.11046</v>
      </c>
      <c r="L8698">
        <v>-57.215420000000002</v>
      </c>
      <c r="M8698">
        <v>0.89416890000000004</v>
      </c>
      <c r="N8698">
        <v>0</v>
      </c>
      <c r="O8698">
        <v>-0.44759110000000002</v>
      </c>
      <c r="P8698">
        <v>0.90394030000000003</v>
      </c>
      <c r="Q8698">
        <v>-1.3306719999999999E-2</v>
      </c>
      <c r="R8698">
        <v>-0.4274519</v>
      </c>
      <c r="S8698">
        <v>2.922882</v>
      </c>
      <c r="T8698">
        <v>-9.6197610000000003E-2</v>
      </c>
      <c r="U8698">
        <v>-0.83493039999999996</v>
      </c>
      <c r="V8698">
        <v>-2.2379690000000001E-2</v>
      </c>
      <c r="W8698">
        <v>-2.1943349999999999E-3</v>
      </c>
      <c r="X8698">
        <v>0.99974719999999995</v>
      </c>
      <c r="Y8698">
        <v>-0.1844951</v>
      </c>
      <c r="Z8698">
        <v>1.6793679999999998E-2</v>
      </c>
      <c r="AA8698">
        <v>0.98268999999999995</v>
      </c>
      <c r="AB8698">
        <v>16</v>
      </c>
      <c r="AC8698">
        <v>33.654599999999903</v>
      </c>
      <c r="AD8698">
        <v>-1.110462778539</v>
      </c>
      <c r="AE8698">
        <v>-9.5959699999999994</v>
      </c>
      <c r="AF8698">
        <v>-6.4769626301532703</v>
      </c>
      <c r="AG8698">
        <v>-1.110462778539</v>
      </c>
      <c r="AH8698">
        <v>34.355511364610301</v>
      </c>
      <c r="AI8698">
        <v>91.819282887466002</v>
      </c>
      <c r="AJ8698">
        <v>100.676523061517</v>
      </c>
      <c r="AK8698">
        <v>34.978355216030302</v>
      </c>
      <c r="AL8698">
        <v>90.125726227092301</v>
      </c>
      <c r="AM8698">
        <v>91.282371849682406</v>
      </c>
      <c r="AN8698">
        <v>1.00000006476921</v>
      </c>
    </row>
    <row r="8699" spans="1:40" x14ac:dyDescent="0.25">
      <c r="A8699" t="str">
        <f>"20190312154129995"</f>
        <v>20190312154129995</v>
      </c>
      <c r="B8699" t="str">
        <f>"1552376489984903"</f>
        <v>1552376489984903</v>
      </c>
      <c r="C8699" t="s">
        <v>40</v>
      </c>
      <c r="D8699">
        <v>4.1562599999999996</v>
      </c>
      <c r="E8699">
        <v>0.43818230000000002</v>
      </c>
      <c r="F8699" t="s">
        <v>97</v>
      </c>
      <c r="G8699">
        <v>-244.6234</v>
      </c>
      <c r="H8699" s="1">
        <v>-2.6180900000000001E-6</v>
      </c>
      <c r="I8699">
        <v>-66.983310000000003</v>
      </c>
      <c r="J8699">
        <v>-278.7321</v>
      </c>
      <c r="K8699">
        <v>1.1104810000000001</v>
      </c>
      <c r="L8699">
        <v>-57.267609999999998</v>
      </c>
      <c r="M8699">
        <v>0.89462389999999903</v>
      </c>
      <c r="N8699">
        <v>0</v>
      </c>
      <c r="O8699">
        <v>-0.44668429999999998</v>
      </c>
      <c r="P8699">
        <v>0.90436879999999997</v>
      </c>
      <c r="Q8699">
        <v>-1.3297750000000001E-2</v>
      </c>
      <c r="R8699">
        <v>-0.4265447</v>
      </c>
      <c r="S8699">
        <v>2.9228209999999999</v>
      </c>
      <c r="T8699">
        <v>-9.4859479999999996E-2</v>
      </c>
      <c r="U8699">
        <v>-0.83441160000000003</v>
      </c>
      <c r="V8699">
        <v>-2.2368240000000001E-2</v>
      </c>
      <c r="W8699">
        <v>-2.3307340000000001E-3</v>
      </c>
      <c r="X8699">
        <v>0.9997471</v>
      </c>
      <c r="Y8699">
        <v>-0.18366250000000001</v>
      </c>
      <c r="Z8699">
        <v>1.6522390000000001E-2</v>
      </c>
      <c r="AA8699">
        <v>0.98285049999999996</v>
      </c>
      <c r="AB8699">
        <v>16</v>
      </c>
      <c r="AC8699">
        <v>34.108699999999999</v>
      </c>
      <c r="AD8699">
        <v>-1.11048361809</v>
      </c>
      <c r="AE8699">
        <v>-9.7157</v>
      </c>
      <c r="AF8699">
        <v>-6.5379100857334702</v>
      </c>
      <c r="AG8699">
        <v>-1.11048361809</v>
      </c>
      <c r="AH8699">
        <v>34.822280920666799</v>
      </c>
      <c r="AI8699">
        <v>91.795199554396604</v>
      </c>
      <c r="AJ8699">
        <v>100.633534783372</v>
      </c>
      <c r="AK8699">
        <v>35.448112653186698</v>
      </c>
      <c r="AL8699">
        <v>90.133541339974798</v>
      </c>
      <c r="AM8699">
        <v>91.281716103773107</v>
      </c>
      <c r="AN8699">
        <v>1.0000000172200401</v>
      </c>
    </row>
    <row r="8700" spans="1:40" x14ac:dyDescent="0.25">
      <c r="A8700" t="str">
        <f>"20190312154130007"</f>
        <v>20190312154130007</v>
      </c>
      <c r="B8700" t="str">
        <f>"1552376489994662"</f>
        <v>1552376489994662</v>
      </c>
      <c r="C8700" t="s">
        <v>40</v>
      </c>
      <c r="D8700">
        <v>4.1678040000000003</v>
      </c>
      <c r="E8700">
        <v>0.43825160000000002</v>
      </c>
      <c r="F8700" t="s">
        <v>97</v>
      </c>
      <c r="G8700">
        <v>-244.47300000000001</v>
      </c>
      <c r="H8700" s="1">
        <v>-2.5727029999999998E-6</v>
      </c>
      <c r="I8700">
        <v>-67.015979999999999</v>
      </c>
      <c r="J8700">
        <v>-278.65550000000002</v>
      </c>
      <c r="K8700">
        <v>1.1104969999999901</v>
      </c>
      <c r="L8700">
        <v>-57.304960000000001</v>
      </c>
      <c r="M8700">
        <v>0.89496119999999901</v>
      </c>
      <c r="N8700">
        <v>0</v>
      </c>
      <c r="O8700">
        <v>-0.44601079999999999</v>
      </c>
      <c r="P8700">
        <v>0.90474529999999997</v>
      </c>
      <c r="Q8700">
        <v>-1.331249E-2</v>
      </c>
      <c r="R8700">
        <v>-0.4257454</v>
      </c>
      <c r="S8700">
        <v>2.923492</v>
      </c>
      <c r="T8700">
        <v>-9.4762680000000002E-2</v>
      </c>
      <c r="U8700">
        <v>-0.83187869999999997</v>
      </c>
      <c r="V8700">
        <v>-2.2497900000000001E-2</v>
      </c>
      <c r="W8700">
        <v>-2.4344779999999999E-3</v>
      </c>
      <c r="X8700">
        <v>0.99974390000000002</v>
      </c>
      <c r="Y8700">
        <v>-0.18376999999999999</v>
      </c>
      <c r="Z8700">
        <v>1.64873E-2</v>
      </c>
      <c r="AA8700">
        <v>0.98283100000000001</v>
      </c>
      <c r="AB8700">
        <v>16</v>
      </c>
      <c r="AC8700">
        <v>34.182499999999997</v>
      </c>
      <c r="AD8700">
        <v>-1.11049957270299</v>
      </c>
      <c r="AE8700">
        <v>-9.7110199999999995</v>
      </c>
      <c r="AF8700">
        <v>-6.5487719176494901</v>
      </c>
      <c r="AG8700">
        <v>-1.11049957270299</v>
      </c>
      <c r="AH8700">
        <v>34.891230873201103</v>
      </c>
      <c r="AI8700">
        <v>91.791699416327305</v>
      </c>
      <c r="AJ8700">
        <v>100.630229758296</v>
      </c>
      <c r="AK8700">
        <v>35.517849241999301</v>
      </c>
      <c r="AL8700">
        <v>90.139485456141003</v>
      </c>
      <c r="AM8700">
        <v>91.2891473391891</v>
      </c>
      <c r="AN8700">
        <v>0.99999997388737505</v>
      </c>
    </row>
    <row r="8701" spans="1:40" x14ac:dyDescent="0.25">
      <c r="A8701" t="str">
        <f>"20190312154130021"</f>
        <v>20190312154130021</v>
      </c>
      <c r="B8701" t="str">
        <f>"1552376490015158"</f>
        <v>1552376490015158</v>
      </c>
      <c r="C8701" t="s">
        <v>40</v>
      </c>
      <c r="D8701">
        <v>4.1859909999999996</v>
      </c>
      <c r="E8701">
        <v>0.43845719999999999</v>
      </c>
      <c r="F8701" t="s">
        <v>97</v>
      </c>
      <c r="G8701">
        <v>-244.37440000000001</v>
      </c>
      <c r="H8701" s="1">
        <v>-2.5424430000000001E-6</v>
      </c>
      <c r="I8701">
        <v>-67.034419999999997</v>
      </c>
      <c r="J8701">
        <v>-278.5634</v>
      </c>
      <c r="K8701">
        <v>1.1105179999999999</v>
      </c>
      <c r="L8701">
        <v>-57.349699999999999</v>
      </c>
      <c r="M8701">
        <v>0.89537309999999903</v>
      </c>
      <c r="N8701">
        <v>0</v>
      </c>
      <c r="O8701">
        <v>-0.44518540000000001</v>
      </c>
      <c r="P8701">
        <v>0.90520100000000003</v>
      </c>
      <c r="Q8701">
        <v>-1.348967E-2</v>
      </c>
      <c r="R8701">
        <v>-0.42477029999999899</v>
      </c>
      <c r="S8701">
        <v>2.92395</v>
      </c>
      <c r="T8701">
        <v>-9.4718460000000004E-2</v>
      </c>
      <c r="U8701">
        <v>-0.8298645</v>
      </c>
      <c r="V8701">
        <v>-2.265139E-2</v>
      </c>
      <c r="W8701">
        <v>-2.7088239999999999E-3</v>
      </c>
      <c r="X8701">
        <v>0.99973979999999996</v>
      </c>
      <c r="Y8701">
        <v>-0.183531</v>
      </c>
      <c r="Z8701">
        <v>1.6452250000000002E-2</v>
      </c>
      <c r="AA8701">
        <v>0.98287619999999998</v>
      </c>
      <c r="AB8701">
        <v>16</v>
      </c>
      <c r="AC8701">
        <v>34.188999999999901</v>
      </c>
      <c r="AD8701">
        <v>-1.110520542443</v>
      </c>
      <c r="AE8701">
        <v>-9.6847200000000004</v>
      </c>
      <c r="AF8701">
        <v>-6.5429984086751096</v>
      </c>
      <c r="AG8701">
        <v>-1.110520542443</v>
      </c>
      <c r="AH8701">
        <v>34.891371302944599</v>
      </c>
      <c r="AI8701">
        <v>91.791779962131898</v>
      </c>
      <c r="AJ8701">
        <v>100.621029507084</v>
      </c>
      <c r="AK8701">
        <v>35.516923789245297</v>
      </c>
      <c r="AL8701">
        <v>90.155204365397907</v>
      </c>
      <c r="AM8701">
        <v>91.297944759411905</v>
      </c>
      <c r="AN8701">
        <v>1.00000004545021</v>
      </c>
    </row>
    <row r="8702" spans="1:40" x14ac:dyDescent="0.25">
      <c r="A8702" t="str">
        <f>"20190312154130033"</f>
        <v>20190312154130033</v>
      </c>
      <c r="B8702" t="str">
        <f>"1552376490024918"</f>
        <v>1552376490024918</v>
      </c>
      <c r="C8702" t="s">
        <v>40</v>
      </c>
      <c r="D8702">
        <v>4.2036769999999999</v>
      </c>
      <c r="E8702">
        <v>0.43860870000000002</v>
      </c>
      <c r="F8702" t="s">
        <v>97</v>
      </c>
      <c r="G8702">
        <v>-244.53720000000001</v>
      </c>
      <c r="H8702" s="1">
        <v>-2.5894339999999998E-6</v>
      </c>
      <c r="I8702">
        <v>-66.987030000000004</v>
      </c>
      <c r="J8702">
        <v>-278.4853</v>
      </c>
      <c r="K8702">
        <v>1.110536</v>
      </c>
      <c r="L8702">
        <v>-57.387479999999996</v>
      </c>
      <c r="M8702">
        <v>0.89573130000000001</v>
      </c>
      <c r="N8702">
        <v>0</v>
      </c>
      <c r="O8702">
        <v>-0.44446590000000002</v>
      </c>
      <c r="P8702">
        <v>0.90564820000000001</v>
      </c>
      <c r="Q8702">
        <v>-1.401557E-2</v>
      </c>
      <c r="R8702">
        <v>-0.42379869999999997</v>
      </c>
      <c r="S8702">
        <v>2.9241329999999999</v>
      </c>
      <c r="T8702">
        <v>-9.5435740000000005E-2</v>
      </c>
      <c r="U8702">
        <v>-0.82821659999999997</v>
      </c>
      <c r="V8702">
        <v>-2.2915919999999999E-2</v>
      </c>
      <c r="W8702">
        <v>-3.3047459999999999E-3</v>
      </c>
      <c r="X8702">
        <v>0.99973199999999995</v>
      </c>
      <c r="Y8702">
        <v>-0.18326580000000001</v>
      </c>
      <c r="Z8702">
        <v>1.6552870000000001E-2</v>
      </c>
      <c r="AA8702">
        <v>0.98292400000000002</v>
      </c>
      <c r="AB8702">
        <v>16</v>
      </c>
      <c r="AC8702">
        <v>33.948099999999897</v>
      </c>
      <c r="AD8702">
        <v>-1.1105385894339901</v>
      </c>
      <c r="AE8702">
        <v>-9.5995500000000007</v>
      </c>
      <c r="AF8702">
        <v>-6.4841051789219204</v>
      </c>
      <c r="AG8702">
        <v>-1.1105385894339901</v>
      </c>
      <c r="AH8702">
        <v>34.6427236702988</v>
      </c>
      <c r="AI8702">
        <v>91.804776845859905</v>
      </c>
      <c r="AJ8702">
        <v>100.60143121095</v>
      </c>
      <c r="AK8702">
        <v>35.261809641971404</v>
      </c>
      <c r="AL8702">
        <v>90.189348330270207</v>
      </c>
      <c r="AM8702">
        <v>91.313107528236003</v>
      </c>
      <c r="AN8702">
        <v>1.0000000662797801</v>
      </c>
    </row>
    <row r="8703" spans="1:40" x14ac:dyDescent="0.25">
      <c r="A8703" t="str">
        <f>"20190312154130054"</f>
        <v>20190312154130054</v>
      </c>
      <c r="B8703" t="str">
        <f>"1552376490045413"</f>
        <v>1552376490045413</v>
      </c>
      <c r="C8703" t="s">
        <v>40</v>
      </c>
      <c r="D8703">
        <v>4.176723</v>
      </c>
      <c r="E8703">
        <v>0.43864740000000002</v>
      </c>
      <c r="F8703" t="s">
        <v>97</v>
      </c>
      <c r="G8703">
        <v>-245.20439999999999</v>
      </c>
      <c r="H8703" s="1">
        <v>-2.7814550000000002E-6</v>
      </c>
      <c r="I8703">
        <v>-66.789569999999998</v>
      </c>
      <c r="J8703">
        <v>-278.3492</v>
      </c>
      <c r="K8703">
        <v>1.110565</v>
      </c>
      <c r="L8703">
        <v>-57.453130000000002</v>
      </c>
      <c r="M8703">
        <v>0.89637259999999996</v>
      </c>
      <c r="N8703">
        <v>0</v>
      </c>
      <c r="O8703">
        <v>-0.4431736</v>
      </c>
      <c r="P8703">
        <v>0.90638540000000001</v>
      </c>
      <c r="Q8703">
        <v>-1.502651E-2</v>
      </c>
      <c r="R8703">
        <v>-0.42218499999999998</v>
      </c>
      <c r="S8703">
        <v>2.9244080000000001</v>
      </c>
      <c r="T8703">
        <v>-9.7583530000000002E-2</v>
      </c>
      <c r="U8703">
        <v>-0.82617189999999996</v>
      </c>
      <c r="V8703">
        <v>-2.3244270000000001E-2</v>
      </c>
      <c r="W8703">
        <v>-4.414042E-3</v>
      </c>
      <c r="X8703">
        <v>0.9997201</v>
      </c>
      <c r="Y8703">
        <v>-0.18249580000000001</v>
      </c>
      <c r="Z8703">
        <v>1.687584E-2</v>
      </c>
      <c r="AA8703">
        <v>0.98306179999999999</v>
      </c>
      <c r="AB8703">
        <v>16</v>
      </c>
      <c r="AC8703">
        <v>33.144799999999996</v>
      </c>
      <c r="AD8703">
        <v>-1.1105677814549999</v>
      </c>
      <c r="AE8703">
        <v>-9.3364399999999907</v>
      </c>
      <c r="AF8703">
        <v>-6.3137621741661203</v>
      </c>
      <c r="AG8703">
        <v>-1.1105677814549999</v>
      </c>
      <c r="AH8703">
        <v>33.814499964609404</v>
      </c>
      <c r="AI8703">
        <v>91.8491510271311</v>
      </c>
      <c r="AJ8703">
        <v>100.576343225249</v>
      </c>
      <c r="AK8703">
        <v>34.416818002913999</v>
      </c>
      <c r="AL8703">
        <v>90.252906791101395</v>
      </c>
      <c r="AM8703">
        <v>91.331931464779402</v>
      </c>
      <c r="AN8703">
        <v>1.0000000290993101</v>
      </c>
    </row>
    <row r="8704" spans="1:40" x14ac:dyDescent="0.25">
      <c r="A8704" t="str">
        <f>"20190312154130065"</f>
        <v>20190312154130065</v>
      </c>
      <c r="B8704" t="str">
        <f>"1552376490055174"</f>
        <v>1552376490055174</v>
      </c>
      <c r="C8704" t="s">
        <v>40</v>
      </c>
      <c r="D8704">
        <v>4.2285450000000004</v>
      </c>
      <c r="E8704">
        <v>0.438695</v>
      </c>
      <c r="F8704" t="s">
        <v>97</v>
      </c>
      <c r="G8704">
        <v>-246.31540000000001</v>
      </c>
      <c r="H8704" s="1">
        <v>-3.0984019999999999E-6</v>
      </c>
      <c r="I8704">
        <v>-66.444890000000001</v>
      </c>
      <c r="J8704">
        <v>-278.27839999999998</v>
      </c>
      <c r="K8704">
        <v>1.110582</v>
      </c>
      <c r="L8704">
        <v>-57.48715</v>
      </c>
      <c r="M8704">
        <v>0.89671529999999999</v>
      </c>
      <c r="N8704">
        <v>0</v>
      </c>
      <c r="O8704">
        <v>-0.4424807</v>
      </c>
      <c r="P8704">
        <v>0.90681959999999995</v>
      </c>
      <c r="Q8704">
        <v>-1.535414E-2</v>
      </c>
      <c r="R8704">
        <v>-0.42123969999999999</v>
      </c>
      <c r="S8704">
        <v>2.925659</v>
      </c>
      <c r="T8704">
        <v>-0.1014287</v>
      </c>
      <c r="U8704">
        <v>-0.82122799999999996</v>
      </c>
      <c r="V8704">
        <v>-2.3510710000000001E-2</v>
      </c>
      <c r="W8704">
        <v>-4.777318E-3</v>
      </c>
      <c r="X8704">
        <v>0.99971220000000005</v>
      </c>
      <c r="Y8704">
        <v>-0.18336050000000001</v>
      </c>
      <c r="Z8704">
        <v>1.7532389999999998E-2</v>
      </c>
      <c r="AA8704">
        <v>0.98288940000000002</v>
      </c>
      <c r="AB8704">
        <v>16</v>
      </c>
      <c r="AC8704">
        <v>31.962999999999901</v>
      </c>
      <c r="AD8704">
        <v>-1.110585098402</v>
      </c>
      <c r="AE8704">
        <v>-8.9577399999999994</v>
      </c>
      <c r="AF8704">
        <v>-6.1039792699784696</v>
      </c>
      <c r="AG8704">
        <v>-1.110585098402</v>
      </c>
      <c r="AH8704">
        <v>32.590692676820801</v>
      </c>
      <c r="AI8704">
        <v>91.918368109725193</v>
      </c>
      <c r="AJ8704">
        <v>100.608147598588</v>
      </c>
      <c r="AK8704">
        <v>33.175973404620699</v>
      </c>
      <c r="AL8704">
        <v>90.273721191891894</v>
      </c>
      <c r="AM8704">
        <v>91.347203922907397</v>
      </c>
      <c r="AN8704">
        <v>1.0000000295403999</v>
      </c>
    </row>
    <row r="8705" spans="1:40" x14ac:dyDescent="0.25">
      <c r="A8705" t="str">
        <f>"20190312154130075"</f>
        <v>20190312154130075</v>
      </c>
      <c r="B8705" t="str">
        <f>"1552376490064935"</f>
        <v>1552376490064935</v>
      </c>
      <c r="C8705" t="s">
        <v>40</v>
      </c>
      <c r="D8705">
        <v>4.1966060000000001</v>
      </c>
      <c r="E8705">
        <v>0.4387144</v>
      </c>
      <c r="F8705" t="s">
        <v>97</v>
      </c>
      <c r="G8705">
        <v>-246.636</v>
      </c>
      <c r="H8705" s="1">
        <v>-3.1884799999999999E-6</v>
      </c>
      <c r="I8705">
        <v>-66.337760000000003</v>
      </c>
      <c r="J8705">
        <v>-278.20760000000001</v>
      </c>
      <c r="K8705">
        <v>1.1106</v>
      </c>
      <c r="L8705">
        <v>-57.521180000000001</v>
      </c>
      <c r="M8705">
        <v>0.89706059999999999</v>
      </c>
      <c r="N8705">
        <v>0</v>
      </c>
      <c r="O8705">
        <v>-0.44178060000000002</v>
      </c>
      <c r="P8705">
        <v>0.90732679999999999</v>
      </c>
      <c r="Q8705">
        <v>-1.559376E-2</v>
      </c>
      <c r="R8705">
        <v>-0.42013669999999997</v>
      </c>
      <c r="S8705">
        <v>2.9262999999999999</v>
      </c>
      <c r="T8705">
        <v>-0.1027071</v>
      </c>
      <c r="U8705">
        <v>-0.81851200000000002</v>
      </c>
      <c r="V8705">
        <v>-2.3943039999999999E-2</v>
      </c>
      <c r="W8705">
        <v>-5.0484939999999997E-3</v>
      </c>
      <c r="X8705">
        <v>0.99970060000000005</v>
      </c>
      <c r="Y8705">
        <v>-0.18348709999999999</v>
      </c>
      <c r="Z8705">
        <v>1.7733289999999999E-2</v>
      </c>
      <c r="AA8705">
        <v>0.98286220000000002</v>
      </c>
      <c r="AB8705">
        <v>16</v>
      </c>
      <c r="AC8705">
        <v>31.5716</v>
      </c>
      <c r="AD8705">
        <v>-1.1106031884799901</v>
      </c>
      <c r="AE8705">
        <v>-8.8165799999999894</v>
      </c>
      <c r="AF8705">
        <v>-6.0321281803204796</v>
      </c>
      <c r="AG8705">
        <v>-1.1106031884799901</v>
      </c>
      <c r="AH8705">
        <v>32.1814978111844</v>
      </c>
      <c r="AI8705">
        <v>91.942721351861294</v>
      </c>
      <c r="AJ8705">
        <v>100.61638280261499</v>
      </c>
      <c r="AK8705">
        <v>32.760781602357198</v>
      </c>
      <c r="AL8705">
        <v>90.289258621175506</v>
      </c>
      <c r="AM8705">
        <v>91.371983702234701</v>
      </c>
      <c r="AN8705">
        <v>1.00000002304823</v>
      </c>
    </row>
    <row r="8706" spans="1:40" x14ac:dyDescent="0.25">
      <c r="A8706" t="str">
        <f>"20190312154130087"</f>
        <v>20190312154130087</v>
      </c>
      <c r="B8706" t="str">
        <f>"1552376490074694"</f>
        <v>1552376490074694</v>
      </c>
      <c r="C8706" t="s">
        <v>40</v>
      </c>
      <c r="D8706">
        <v>4.2133620000000001</v>
      </c>
      <c r="E8706">
        <v>0.43877250000000001</v>
      </c>
      <c r="F8706" t="s">
        <v>97</v>
      </c>
      <c r="G8706">
        <v>-246.57679999999999</v>
      </c>
      <c r="H8706" s="1">
        <v>-3.1667539999999999E-6</v>
      </c>
      <c r="I8706">
        <v>-66.328829999999996</v>
      </c>
      <c r="J8706">
        <v>-278.1336</v>
      </c>
      <c r="K8706">
        <v>1.1106210000000001</v>
      </c>
      <c r="L8706">
        <v>-57.556489999999997</v>
      </c>
      <c r="M8706">
        <v>0.8974299</v>
      </c>
      <c r="N8706">
        <v>0</v>
      </c>
      <c r="O8706">
        <v>-0.44103019999999998</v>
      </c>
      <c r="P8706">
        <v>0.90797439999999996</v>
      </c>
      <c r="Q8706">
        <v>-1.566685E-2</v>
      </c>
      <c r="R8706">
        <v>-0.41873280000000002</v>
      </c>
      <c r="S8706">
        <v>2.927216</v>
      </c>
      <c r="T8706">
        <v>-0.10277890000000001</v>
      </c>
      <c r="U8706">
        <v>-0.81509399999999999</v>
      </c>
      <c r="V8706">
        <v>-2.465235E-2</v>
      </c>
      <c r="W8706">
        <v>-5.1343070000000003E-3</v>
      </c>
      <c r="X8706">
        <v>0.99968290000000004</v>
      </c>
      <c r="Y8706">
        <v>-0.1838091</v>
      </c>
      <c r="Z8706">
        <v>1.7726680000000002E-2</v>
      </c>
      <c r="AA8706">
        <v>0.98280210000000001</v>
      </c>
      <c r="AB8706">
        <v>16</v>
      </c>
      <c r="AC8706">
        <v>31.556799999999999</v>
      </c>
      <c r="AD8706">
        <v>-1.11062416675399</v>
      </c>
      <c r="AE8706">
        <v>-8.7723399999999998</v>
      </c>
      <c r="AF8706">
        <v>-6.0383370977905502</v>
      </c>
      <c r="AG8706">
        <v>-1.11062416675399</v>
      </c>
      <c r="AH8706">
        <v>32.153714195922099</v>
      </c>
      <c r="AI8706">
        <v>91.944310416594007</v>
      </c>
      <c r="AJ8706">
        <v>100.636034842155</v>
      </c>
      <c r="AK8706">
        <v>32.734635136799298</v>
      </c>
      <c r="AL8706">
        <v>90.294175414295907</v>
      </c>
      <c r="AM8706">
        <v>91.412637341713307</v>
      </c>
      <c r="AN8706">
        <v>1.0000000000106499</v>
      </c>
    </row>
    <row r="8707" spans="1:40" x14ac:dyDescent="0.25">
      <c r="A8707" t="str">
        <f>"20190312154130099"</f>
        <v>20190312154130099</v>
      </c>
      <c r="B8707" t="str">
        <f>"1552376490095194"</f>
        <v>1552376490095194</v>
      </c>
      <c r="C8707" t="s">
        <v>40</v>
      </c>
      <c r="D8707">
        <v>4.2317850000000004</v>
      </c>
      <c r="E8707">
        <v>0.4388726</v>
      </c>
      <c r="F8707" t="s">
        <v>97</v>
      </c>
      <c r="G8707">
        <v>-246.4939</v>
      </c>
      <c r="H8707" s="1">
        <v>-3.1371150000000002E-6</v>
      </c>
      <c r="I8707">
        <v>-66.320709999999906</v>
      </c>
      <c r="J8707">
        <v>-278.05869999999999</v>
      </c>
      <c r="K8707">
        <v>1.1106450000000001</v>
      </c>
      <c r="L8707">
        <v>-57.592219999999998</v>
      </c>
      <c r="M8707">
        <v>0.89780539999999998</v>
      </c>
      <c r="N8707">
        <v>0</v>
      </c>
      <c r="O8707">
        <v>-0.44026530000000003</v>
      </c>
      <c r="P8707">
        <v>0.90880799999999995</v>
      </c>
      <c r="Q8707">
        <v>-1.5818639999999998E-2</v>
      </c>
      <c r="R8707">
        <v>-0.41691479999999997</v>
      </c>
      <c r="S8707">
        <v>2.928223</v>
      </c>
      <c r="T8707">
        <v>-0.1027873</v>
      </c>
      <c r="U8707">
        <v>-0.81112669999999998</v>
      </c>
      <c r="V8707">
        <v>-2.579969E-2</v>
      </c>
      <c r="W8707">
        <v>-5.2920019999999996E-3</v>
      </c>
      <c r="X8707">
        <v>0.99965309999999996</v>
      </c>
      <c r="Y8707">
        <v>-0.18429519999999999</v>
      </c>
      <c r="Z8707">
        <v>1.7711540000000001E-2</v>
      </c>
      <c r="AA8707">
        <v>0.98271129999999995</v>
      </c>
      <c r="AB8707">
        <v>16</v>
      </c>
      <c r="AC8707">
        <v>31.564799999999899</v>
      </c>
      <c r="AD8707">
        <v>-1.1106481371150001</v>
      </c>
      <c r="AE8707">
        <v>-8.7284899999999901</v>
      </c>
      <c r="AF8707">
        <v>-6.0537772614540302</v>
      </c>
      <c r="AG8707">
        <v>-1.1106481371150001</v>
      </c>
      <c r="AH8707">
        <v>32.146727495779501</v>
      </c>
      <c r="AI8707">
        <v>91.944590677686506</v>
      </c>
      <c r="AJ8707">
        <v>100.66487283939099</v>
      </c>
      <c r="AK8707">
        <v>32.730625522645902</v>
      </c>
      <c r="AL8707">
        <v>90.303210802673405</v>
      </c>
      <c r="AM8707">
        <v>91.478398131397299</v>
      </c>
      <c r="AN8707">
        <v>0.99999997481443603</v>
      </c>
    </row>
    <row r="8708" spans="1:40" x14ac:dyDescent="0.25">
      <c r="A8708" t="str">
        <f>"20190312154130110"</f>
        <v>20190312154130110</v>
      </c>
      <c r="B8708" t="str">
        <f>"1552376490104950"</f>
        <v>1552376490104950</v>
      </c>
      <c r="C8708" t="s">
        <v>40</v>
      </c>
      <c r="D8708">
        <v>4.2420650000000002</v>
      </c>
      <c r="E8708">
        <v>0.43895139999999999</v>
      </c>
      <c r="F8708" t="s">
        <v>97</v>
      </c>
      <c r="G8708">
        <v>-246.88980000000001</v>
      </c>
      <c r="H8708" s="1">
        <v>-3.2443870000000001E-6</v>
      </c>
      <c r="I8708">
        <v>-66.166019999999904</v>
      </c>
      <c r="J8708">
        <v>-277.98360000000002</v>
      </c>
      <c r="K8708">
        <v>1.110668</v>
      </c>
      <c r="L8708">
        <v>-57.627899999999997</v>
      </c>
      <c r="M8708">
        <v>0.89818949999999997</v>
      </c>
      <c r="N8708">
        <v>0</v>
      </c>
      <c r="O8708">
        <v>-0.4394805</v>
      </c>
      <c r="P8708">
        <v>0.90963970000000005</v>
      </c>
      <c r="Q8708">
        <v>-1.6079349999999999E-2</v>
      </c>
      <c r="R8708">
        <v>-0.41508689999999998</v>
      </c>
      <c r="S8708">
        <v>2.929535</v>
      </c>
      <c r="T8708">
        <v>-0.1043886</v>
      </c>
      <c r="U8708">
        <v>-0.80584719999999999</v>
      </c>
      <c r="V8708">
        <v>-2.6933169999999999E-2</v>
      </c>
      <c r="W8708">
        <v>-5.5271419999999996E-3</v>
      </c>
      <c r="X8708">
        <v>0.99962189999999995</v>
      </c>
      <c r="Y8708">
        <v>-0.18518470000000001</v>
      </c>
      <c r="Z8708">
        <v>1.797648E-2</v>
      </c>
      <c r="AA8708">
        <v>0.9825393</v>
      </c>
      <c r="AB8708">
        <v>16</v>
      </c>
      <c r="AC8708">
        <v>31.093800000000002</v>
      </c>
      <c r="AD8708">
        <v>-1.1106712443869999</v>
      </c>
      <c r="AE8708">
        <v>-8.5381199999999904</v>
      </c>
      <c r="AF8708">
        <v>-5.9895000912135501</v>
      </c>
      <c r="AG8708">
        <v>-1.1106712443869999</v>
      </c>
      <c r="AH8708">
        <v>31.644699127766199</v>
      </c>
      <c r="AI8708">
        <v>91.975113417554894</v>
      </c>
      <c r="AJ8708">
        <v>100.717781662714</v>
      </c>
      <c r="AK8708">
        <v>32.225683621028097</v>
      </c>
      <c r="AL8708">
        <v>90.316683539542893</v>
      </c>
      <c r="AM8708">
        <v>91.543367264194799</v>
      </c>
      <c r="AN8708">
        <v>0.99999994395227199</v>
      </c>
    </row>
    <row r="8709" spans="1:40" x14ac:dyDescent="0.25">
      <c r="A8709" t="str">
        <f>"20190312154130122"</f>
        <v>20190312154130122</v>
      </c>
      <c r="B8709" t="str">
        <f>"1552376490114711"</f>
        <v>1552376490114711</v>
      </c>
      <c r="C8709" t="s">
        <v>40</v>
      </c>
      <c r="D8709">
        <v>4.2591850000000004</v>
      </c>
      <c r="E8709">
        <v>0.43904389999999999</v>
      </c>
      <c r="F8709" t="s">
        <v>97</v>
      </c>
      <c r="G8709">
        <v>-247.2286</v>
      </c>
      <c r="H8709" s="1">
        <v>-3.3352080000000001E-6</v>
      </c>
      <c r="I8709">
        <v>-66.028000000000006</v>
      </c>
      <c r="J8709">
        <v>-277.91090000000003</v>
      </c>
      <c r="K8709">
        <v>1.110698</v>
      </c>
      <c r="L8709">
        <v>-57.662410000000001</v>
      </c>
      <c r="M8709">
        <v>0.89856309999999995</v>
      </c>
      <c r="N8709">
        <v>0</v>
      </c>
      <c r="O8709">
        <v>-0.43871480000000002</v>
      </c>
      <c r="P8709">
        <v>0.9106204</v>
      </c>
      <c r="Q8709">
        <v>-1.6035279999999999E-2</v>
      </c>
      <c r="R8709">
        <v>-0.41293299999999999</v>
      </c>
      <c r="S8709">
        <v>2.930847</v>
      </c>
      <c r="T8709">
        <v>-0.1058431</v>
      </c>
      <c r="U8709">
        <v>-0.80050659999999996</v>
      </c>
      <c r="V8709">
        <v>-2.8447489999999999E-2</v>
      </c>
      <c r="W8709">
        <v>-5.4400330000000004E-3</v>
      </c>
      <c r="X8709">
        <v>0.99958049999999998</v>
      </c>
      <c r="Y8709">
        <v>-0.18611549999999999</v>
      </c>
      <c r="Z8709">
        <v>1.8217179999999999E-2</v>
      </c>
      <c r="AA8709">
        <v>0.98235899999999998</v>
      </c>
      <c r="AB8709">
        <v>16</v>
      </c>
      <c r="AC8709">
        <v>30.682300000000001</v>
      </c>
      <c r="AD8709">
        <v>-1.110701335208</v>
      </c>
      <c r="AE8709">
        <v>-8.3655900000000099</v>
      </c>
      <c r="AF8709">
        <v>-5.9368648954504204</v>
      </c>
      <c r="AG8709">
        <v>-1.110701335208</v>
      </c>
      <c r="AH8709">
        <v>31.2038051627943</v>
      </c>
      <c r="AI8709">
        <v>92.002690424831499</v>
      </c>
      <c r="AJ8709">
        <v>100.77239552084001</v>
      </c>
      <c r="AK8709">
        <v>31.782974670104299</v>
      </c>
      <c r="AL8709">
        <v>90.311692464076501</v>
      </c>
      <c r="AM8709">
        <v>91.630165137133304</v>
      </c>
      <c r="AN8709">
        <v>1.0000000148132899</v>
      </c>
    </row>
    <row r="8710" spans="1:40" x14ac:dyDescent="0.25">
      <c r="A8710" t="str">
        <f>"20190312154130133"</f>
        <v>20190312154130133</v>
      </c>
      <c r="B8710" t="str">
        <f>"1552376490125446"</f>
        <v>1552376490125446</v>
      </c>
      <c r="C8710" t="s">
        <v>40</v>
      </c>
      <c r="D8710">
        <v>4.2706850000000003</v>
      </c>
      <c r="E8710">
        <v>0.43912069999999997</v>
      </c>
      <c r="F8710" t="s">
        <v>97</v>
      </c>
      <c r="G8710">
        <v>-247.18549999999999</v>
      </c>
      <c r="H8710" s="1">
        <v>-3.3128740000000002E-6</v>
      </c>
      <c r="I8710">
        <v>-65.984729999999999</v>
      </c>
      <c r="J8710">
        <v>-277.8372</v>
      </c>
      <c r="K8710">
        <v>1.110733</v>
      </c>
      <c r="L8710">
        <v>-57.697270000000003</v>
      </c>
      <c r="M8710">
        <v>0.89894470000000004</v>
      </c>
      <c r="N8710">
        <v>0</v>
      </c>
      <c r="O8710">
        <v>-0.43793090000000001</v>
      </c>
      <c r="P8710">
        <v>0.91173859999999995</v>
      </c>
      <c r="Q8710">
        <v>-1.6147930000000001E-2</v>
      </c>
      <c r="R8710">
        <v>-0.41045379999999998</v>
      </c>
      <c r="S8710">
        <v>2.932404</v>
      </c>
      <c r="T8710">
        <v>-0.106004399999999</v>
      </c>
      <c r="U8710">
        <v>-0.79428100000000001</v>
      </c>
      <c r="V8710">
        <v>-3.0294399999999999E-2</v>
      </c>
      <c r="W8710">
        <v>-5.4807930000000003E-3</v>
      </c>
      <c r="X8710">
        <v>0.99952600000000003</v>
      </c>
      <c r="Y8710">
        <v>-0.1873319</v>
      </c>
      <c r="Z8710">
        <v>1.823922E-2</v>
      </c>
      <c r="AA8710">
        <v>0.98212730000000004</v>
      </c>
      <c r="AB8710">
        <v>16</v>
      </c>
      <c r="AC8710">
        <v>30.651700000000002</v>
      </c>
      <c r="AD8710">
        <v>-1.110736312874</v>
      </c>
      <c r="AE8710">
        <v>-8.2874599999999994</v>
      </c>
      <c r="AF8710">
        <v>-5.9664006556307596</v>
      </c>
      <c r="AG8710">
        <v>-1.110736312874</v>
      </c>
      <c r="AH8710">
        <v>31.147196034238</v>
      </c>
      <c r="AI8710">
        <v>92.005912622684903</v>
      </c>
      <c r="AJ8710">
        <v>100.843932330972</v>
      </c>
      <c r="AK8710">
        <v>31.732940184223398</v>
      </c>
      <c r="AL8710">
        <v>90.314027877216404</v>
      </c>
      <c r="AM8710">
        <v>91.736032938939502</v>
      </c>
      <c r="AN8710">
        <v>1.00000000721963</v>
      </c>
    </row>
    <row r="8711" spans="1:40" x14ac:dyDescent="0.25">
      <c r="A8711" t="str">
        <f>"20190312154130144"</f>
        <v>20190312154130144</v>
      </c>
      <c r="B8711" t="str">
        <f>"1552376490135206"</f>
        <v>1552376490135206</v>
      </c>
      <c r="C8711" t="s">
        <v>40</v>
      </c>
      <c r="D8711">
        <v>4.2531160000000003</v>
      </c>
      <c r="E8711">
        <v>0.43916060000000001</v>
      </c>
      <c r="F8711" t="s">
        <v>97</v>
      </c>
      <c r="G8711">
        <v>-247.3194</v>
      </c>
      <c r="H8711" s="1">
        <v>-3.3399649999999999E-6</v>
      </c>
      <c r="I8711">
        <v>-65.880569999999906</v>
      </c>
      <c r="J8711">
        <v>-277.76319999999998</v>
      </c>
      <c r="K8711">
        <v>1.110773</v>
      </c>
      <c r="L8711">
        <v>-57.732120000000002</v>
      </c>
      <c r="M8711">
        <v>0.89933039999999997</v>
      </c>
      <c r="N8711">
        <v>0</v>
      </c>
      <c r="O8711">
        <v>-0.43713560000000001</v>
      </c>
      <c r="P8711">
        <v>0.91280950000000005</v>
      </c>
      <c r="Q8711">
        <v>-1.6366530000000001E-2</v>
      </c>
      <c r="R8711">
        <v>-0.40805789999999997</v>
      </c>
      <c r="S8711">
        <v>2.9342959999999998</v>
      </c>
      <c r="T8711">
        <v>-0.1067978</v>
      </c>
      <c r="U8711">
        <v>-0.7868347</v>
      </c>
      <c r="V8711">
        <v>-3.2033480000000003E-2</v>
      </c>
      <c r="W8711">
        <v>-5.5977880000000002E-3</v>
      </c>
      <c r="X8711">
        <v>0.99947109999999995</v>
      </c>
      <c r="Y8711">
        <v>-0.188941</v>
      </c>
      <c r="Z8711">
        <v>1.8375800000000001E-2</v>
      </c>
      <c r="AA8711">
        <v>0.98181649999999998</v>
      </c>
      <c r="AB8711">
        <v>16</v>
      </c>
      <c r="AC8711">
        <v>30.4437999999999</v>
      </c>
      <c r="AD8711">
        <v>-1.1107763399649999</v>
      </c>
      <c r="AE8711">
        <v>-8.1484499999999898</v>
      </c>
      <c r="AF8711">
        <v>-5.9728509942299999</v>
      </c>
      <c r="AG8711">
        <v>-1.1107763399649999</v>
      </c>
      <c r="AH8711">
        <v>30.904436400215602</v>
      </c>
      <c r="AI8711">
        <v>92.021087083200598</v>
      </c>
      <c r="AJ8711">
        <v>100.93859904231</v>
      </c>
      <c r="AK8711">
        <v>31.495919772117698</v>
      </c>
      <c r="AL8711">
        <v>90.320731308661394</v>
      </c>
      <c r="AM8711">
        <v>91.835726056023304</v>
      </c>
      <c r="AN8711">
        <v>0.99999997940330598</v>
      </c>
    </row>
    <row r="8712" spans="1:40" x14ac:dyDescent="0.25">
      <c r="A8712" t="str">
        <f>"20190312154130156"</f>
        <v>20190312154130156</v>
      </c>
      <c r="B8712" t="str">
        <f>"1552376490144966"</f>
        <v>1552376490144966</v>
      </c>
      <c r="C8712" t="s">
        <v>40</v>
      </c>
      <c r="D8712">
        <v>4.278619</v>
      </c>
      <c r="E8712">
        <v>0.43926369999999998</v>
      </c>
      <c r="F8712" t="s">
        <v>97</v>
      </c>
      <c r="G8712">
        <v>-247.23480000000001</v>
      </c>
      <c r="H8712" s="1">
        <v>-3.3033440000000001E-6</v>
      </c>
      <c r="I8712">
        <v>-65.836559999999906</v>
      </c>
      <c r="J8712">
        <v>-277.68520000000001</v>
      </c>
      <c r="K8712">
        <v>1.1108119999999999</v>
      </c>
      <c r="L8712">
        <v>-57.768859999999997</v>
      </c>
      <c r="M8712">
        <v>0.89973910000000001</v>
      </c>
      <c r="N8712">
        <v>0</v>
      </c>
      <c r="O8712">
        <v>-0.43629020000000002</v>
      </c>
      <c r="P8712">
        <v>0.91376250000000003</v>
      </c>
      <c r="Q8712">
        <v>-1.6756429999999999E-2</v>
      </c>
      <c r="R8712">
        <v>-0.40590300000000001</v>
      </c>
      <c r="S8712">
        <v>2.936188</v>
      </c>
      <c r="T8712">
        <v>-0.10683289999999999</v>
      </c>
      <c r="U8712">
        <v>-0.77947999999999995</v>
      </c>
      <c r="V8712">
        <v>-3.3448850000000002E-2</v>
      </c>
      <c r="W8712">
        <v>-5.8613119999999996E-3</v>
      </c>
      <c r="X8712">
        <v>0.99942330000000001</v>
      </c>
      <c r="Y8712">
        <v>-0.19047230000000001</v>
      </c>
      <c r="Z8712">
        <v>1.8378809999999999E-2</v>
      </c>
      <c r="AA8712">
        <v>0.98152050000000002</v>
      </c>
      <c r="AB8712">
        <v>16</v>
      </c>
      <c r="AC8712">
        <v>30.450399999999998</v>
      </c>
      <c r="AD8712">
        <v>-1.110815303344</v>
      </c>
      <c r="AE8712">
        <v>-8.0676999999999897</v>
      </c>
      <c r="AF8712">
        <v>-6.01926407333666</v>
      </c>
      <c r="AG8712">
        <v>-1.110815303344</v>
      </c>
      <c r="AH8712">
        <v>30.880736350537301</v>
      </c>
      <c r="AI8712">
        <v>92.022083666377497</v>
      </c>
      <c r="AJ8712">
        <v>101.029776995974</v>
      </c>
      <c r="AK8712">
        <v>31.481507717612601</v>
      </c>
      <c r="AL8712">
        <v>90.335830343939506</v>
      </c>
      <c r="AM8712">
        <v>91.916868313118798</v>
      </c>
      <c r="AN8712">
        <v>1.0000000565637801</v>
      </c>
    </row>
    <row r="8713" spans="1:40" x14ac:dyDescent="0.25">
      <c r="A8713" t="str">
        <f>"20190312154130179"</f>
        <v>20190312154130179</v>
      </c>
      <c r="B8713" t="str">
        <f>"1552376490175223"</f>
        <v>1552376490175223</v>
      </c>
      <c r="C8713" t="s">
        <v>40</v>
      </c>
      <c r="D8713">
        <v>4.2965</v>
      </c>
      <c r="E8713">
        <v>0.43953789999999998</v>
      </c>
      <c r="F8713" t="s">
        <v>97</v>
      </c>
      <c r="G8713">
        <v>-247.52610000000001</v>
      </c>
      <c r="H8713" s="1">
        <v>-3.3795150000000002E-6</v>
      </c>
      <c r="I8713">
        <v>-65.707030000000003</v>
      </c>
      <c r="J8713">
        <v>-277.54590000000002</v>
      </c>
      <c r="K8713">
        <v>1.1108750000000001</v>
      </c>
      <c r="L8713">
        <v>-57.834139999999998</v>
      </c>
      <c r="M8713">
        <v>0.90048539999999999</v>
      </c>
      <c r="N8713">
        <v>0</v>
      </c>
      <c r="O8713">
        <v>-0.43474099999999999</v>
      </c>
      <c r="P8713">
        <v>0.91552</v>
      </c>
      <c r="Q8713">
        <v>-1.7671829999999999E-2</v>
      </c>
      <c r="R8713">
        <v>-0.40188449999999998</v>
      </c>
      <c r="S8713">
        <v>2.9376530000000001</v>
      </c>
      <c r="T8713">
        <v>-0.108199</v>
      </c>
      <c r="U8713">
        <v>-0.77322389999999996</v>
      </c>
      <c r="V8713">
        <v>-3.6112100000000001E-2</v>
      </c>
      <c r="W8713">
        <v>-6.50331E-3</v>
      </c>
      <c r="X8713">
        <v>0.99932659999999995</v>
      </c>
      <c r="Y8713">
        <v>-0.19085070000000001</v>
      </c>
      <c r="Z8713">
        <v>1.856847E-2</v>
      </c>
      <c r="AA8713">
        <v>0.98144350000000002</v>
      </c>
      <c r="AB8713">
        <v>16</v>
      </c>
      <c r="AC8713">
        <v>30.0198</v>
      </c>
      <c r="AD8713">
        <v>-1.1108783795149999</v>
      </c>
      <c r="AE8713">
        <v>-7.8728899999999902</v>
      </c>
      <c r="AF8713">
        <v>-5.9541631931698404</v>
      </c>
      <c r="AG8713">
        <v>-1.1108783795149999</v>
      </c>
      <c r="AH8713">
        <v>30.418010509568099</v>
      </c>
      <c r="AI8713">
        <v>92.052616063806795</v>
      </c>
      <c r="AJ8713">
        <v>101.07530630670701</v>
      </c>
      <c r="AK8713">
        <v>31.0151813385827</v>
      </c>
      <c r="AL8713">
        <v>90.372614836758601</v>
      </c>
      <c r="AM8713">
        <v>92.069564642684796</v>
      </c>
      <c r="AN8713">
        <v>1.00000001513746</v>
      </c>
    </row>
    <row r="8714" spans="1:40" x14ac:dyDescent="0.25">
      <c r="A8714" t="str">
        <f>"20190312154130191"</f>
        <v>20190312154130191</v>
      </c>
      <c r="B8714" t="str">
        <f>"1552376490184983"</f>
        <v>1552376490184983</v>
      </c>
      <c r="C8714" t="s">
        <v>40</v>
      </c>
      <c r="D8714">
        <v>4.2958080000000001</v>
      </c>
      <c r="E8714">
        <v>0.43965019999999999</v>
      </c>
      <c r="F8714" t="s">
        <v>97</v>
      </c>
      <c r="G8714">
        <v>-248.25749999999999</v>
      </c>
      <c r="H8714" s="1">
        <v>-3.5786790000000002E-6</v>
      </c>
      <c r="I8714">
        <v>-65.426659999999998</v>
      </c>
      <c r="J8714">
        <v>-277.45659999999998</v>
      </c>
      <c r="K8714">
        <v>1.1109100000000001</v>
      </c>
      <c r="L8714">
        <v>-57.87576</v>
      </c>
      <c r="M8714">
        <v>0.90097559999999999</v>
      </c>
      <c r="N8714">
        <v>0</v>
      </c>
      <c r="O8714">
        <v>-0.43371939999999998</v>
      </c>
      <c r="P8714">
        <v>0.91638319999999995</v>
      </c>
      <c r="Q8714">
        <v>-1.8271430000000002E-2</v>
      </c>
      <c r="R8714">
        <v>-0.3998853</v>
      </c>
      <c r="S8714">
        <v>2.9400940000000002</v>
      </c>
      <c r="T8714">
        <v>-0.1115148</v>
      </c>
      <c r="U8714">
        <v>-0.76217650000000003</v>
      </c>
      <c r="V8714">
        <v>-3.7154590000000001E-2</v>
      </c>
      <c r="W8714">
        <v>-6.9214480000000002E-3</v>
      </c>
      <c r="X8714">
        <v>0.9992856</v>
      </c>
      <c r="Y8714">
        <v>-0.1933666</v>
      </c>
      <c r="Z8714">
        <v>1.9146880000000002E-2</v>
      </c>
      <c r="AA8714">
        <v>0.98093969999999997</v>
      </c>
      <c r="AB8714">
        <v>16</v>
      </c>
      <c r="AC8714">
        <v>29.199099999999898</v>
      </c>
      <c r="AD8714">
        <v>-1.1109135786790001</v>
      </c>
      <c r="AE8714">
        <v>-7.5508999999999897</v>
      </c>
      <c r="AF8714">
        <v>-5.8534799331526202</v>
      </c>
      <c r="AG8714">
        <v>-1.1109135786790001</v>
      </c>
      <c r="AH8714">
        <v>29.544492897566698</v>
      </c>
      <c r="AI8714">
        <v>92.112364445823104</v>
      </c>
      <c r="AJ8714">
        <v>101.206555245601</v>
      </c>
      <c r="AK8714">
        <v>30.139250436623001</v>
      </c>
      <c r="AL8714">
        <v>90.396572909025807</v>
      </c>
      <c r="AM8714">
        <v>92.129342232899802</v>
      </c>
      <c r="AN8714">
        <v>1.00000004018392</v>
      </c>
    </row>
    <row r="8715" spans="1:40" x14ac:dyDescent="0.25">
      <c r="A8715" t="str">
        <f>"20190312154130205"</f>
        <v>20190312154130205</v>
      </c>
      <c r="B8715" t="str">
        <f>"1552376490194742"</f>
        <v>1552376490194742</v>
      </c>
      <c r="C8715" t="s">
        <v>40</v>
      </c>
      <c r="D8715">
        <v>4.2944339999999999</v>
      </c>
      <c r="E8715">
        <v>0.43977670000000002</v>
      </c>
      <c r="F8715" t="s">
        <v>97</v>
      </c>
      <c r="G8715">
        <v>-248.84030000000001</v>
      </c>
      <c r="H8715" s="1">
        <v>-3.743239E-6</v>
      </c>
      <c r="I8715">
        <v>-65.236359999999905</v>
      </c>
      <c r="J8715">
        <v>-277.3725</v>
      </c>
      <c r="K8715">
        <v>1.11094</v>
      </c>
      <c r="L8715">
        <v>-57.914859999999997</v>
      </c>
      <c r="M8715">
        <v>0.90144139999999995</v>
      </c>
      <c r="N8715">
        <v>0</v>
      </c>
      <c r="O8715">
        <v>-0.43274570000000001</v>
      </c>
      <c r="P8715">
        <v>0.91712269999999896</v>
      </c>
      <c r="Q8715">
        <v>-1.9056679999999999E-2</v>
      </c>
      <c r="R8715">
        <v>-0.39814939999999999</v>
      </c>
      <c r="S8715">
        <v>2.9413149999999999</v>
      </c>
      <c r="T8715">
        <v>-0.1141847</v>
      </c>
      <c r="U8715">
        <v>-0.75656129999999999</v>
      </c>
      <c r="V8715">
        <v>-3.7959689999999997E-2</v>
      </c>
      <c r="W8715">
        <v>-7.5421589999999997E-3</v>
      </c>
      <c r="X8715">
        <v>0.99925079999999999</v>
      </c>
      <c r="Y8715">
        <v>-0.19414310000000001</v>
      </c>
      <c r="Z8715">
        <v>1.9585060000000001E-2</v>
      </c>
      <c r="AA8715">
        <v>0.98077769999999997</v>
      </c>
      <c r="AB8715">
        <v>16</v>
      </c>
      <c r="AC8715">
        <v>28.5321999999999</v>
      </c>
      <c r="AD8715">
        <v>-1.1109437432389999</v>
      </c>
      <c r="AE8715">
        <v>-7.3214999999999897</v>
      </c>
      <c r="AF8715">
        <v>-5.7395065467997197</v>
      </c>
      <c r="AG8715">
        <v>-1.1109437432389999</v>
      </c>
      <c r="AH8715">
        <v>28.849362700885202</v>
      </c>
      <c r="AI8715">
        <v>92.162933318029104</v>
      </c>
      <c r="AJ8715">
        <v>101.25193242887001</v>
      </c>
      <c r="AK8715">
        <v>29.435724207986201</v>
      </c>
      <c r="AL8715">
        <v>90.432137979709594</v>
      </c>
      <c r="AM8715">
        <v>92.175514615568304</v>
      </c>
      <c r="AN8715">
        <v>0.99999999176395804</v>
      </c>
    </row>
    <row r="8716" spans="1:40" x14ac:dyDescent="0.25">
      <c r="A8716" t="str">
        <f>"20190312154130219"</f>
        <v>20190312154130219</v>
      </c>
      <c r="B8716" t="str">
        <f>"1552376490205479"</f>
        <v>1552376490205479</v>
      </c>
      <c r="C8716" t="s">
        <v>40</v>
      </c>
      <c r="D8716">
        <v>4.3031269999999999</v>
      </c>
      <c r="E8716">
        <v>0.43987670000000001</v>
      </c>
      <c r="F8716" t="s">
        <v>97</v>
      </c>
      <c r="G8716">
        <v>-249.4025</v>
      </c>
      <c r="H8716" s="1">
        <v>-3.9037350000000003E-6</v>
      </c>
      <c r="I8716">
        <v>-65.062519999999907</v>
      </c>
      <c r="J8716">
        <v>-277.28109999999998</v>
      </c>
      <c r="K8716">
        <v>1.1109719999999901</v>
      </c>
      <c r="L8716">
        <v>-57.957239999999999</v>
      </c>
      <c r="M8716">
        <v>0.90195210000000003</v>
      </c>
      <c r="N8716">
        <v>0</v>
      </c>
      <c r="O8716">
        <v>-0.4316758</v>
      </c>
      <c r="P8716">
        <v>0.91789169999999998</v>
      </c>
      <c r="Q8716">
        <v>-1.9717760000000001E-2</v>
      </c>
      <c r="R8716">
        <v>-0.39634130000000001</v>
      </c>
      <c r="S8716">
        <v>2.9422609999999998</v>
      </c>
      <c r="T8716">
        <v>-0.116864</v>
      </c>
      <c r="U8716">
        <v>-0.75189209999999995</v>
      </c>
      <c r="V8716">
        <v>-3.8737140000000003E-2</v>
      </c>
      <c r="W8716">
        <v>-8.0313880000000004E-3</v>
      </c>
      <c r="X8716">
        <v>0.99921720000000003</v>
      </c>
      <c r="Y8716">
        <v>-0.19449730000000001</v>
      </c>
      <c r="Z8716">
        <v>2.0012970000000001E-2</v>
      </c>
      <c r="AA8716">
        <v>0.98069890000000004</v>
      </c>
      <c r="AB8716">
        <v>16</v>
      </c>
      <c r="AC8716">
        <v>27.878599999999899</v>
      </c>
      <c r="AD8716">
        <v>-1.11097590373499</v>
      </c>
      <c r="AE8716">
        <v>-7.1052799999999801</v>
      </c>
      <c r="AF8716">
        <v>-5.6179067125189004</v>
      </c>
      <c r="AG8716">
        <v>-1.11097590373499</v>
      </c>
      <c r="AH8716">
        <v>28.1722814437856</v>
      </c>
      <c r="AI8716">
        <v>92.214732109443105</v>
      </c>
      <c r="AJ8716">
        <v>101.277565420104</v>
      </c>
      <c r="AK8716">
        <v>28.7484362189861</v>
      </c>
      <c r="AL8716">
        <v>90.460169564326506</v>
      </c>
      <c r="AM8716">
        <v>92.220101633372394</v>
      </c>
      <c r="AN8716">
        <v>1.0000000409922101</v>
      </c>
    </row>
    <row r="8717" spans="1:40" x14ac:dyDescent="0.25">
      <c r="A8717" t="str">
        <f>"20190312154130231"</f>
        <v>20190312154130231</v>
      </c>
      <c r="B8717" t="str">
        <f>"1552376490224999"</f>
        <v>1552376490224999</v>
      </c>
      <c r="C8717" t="s">
        <v>40</v>
      </c>
      <c r="D8717">
        <v>4.1641529999999998</v>
      </c>
      <c r="E8717">
        <v>0.43990590000000002</v>
      </c>
      <c r="F8717" t="s">
        <v>97</v>
      </c>
      <c r="G8717">
        <v>-249.8665</v>
      </c>
      <c r="H8717" s="1">
        <v>-4.0351160000000001E-6</v>
      </c>
      <c r="I8717">
        <v>-64.912940000000006</v>
      </c>
      <c r="J8717">
        <v>-277.1952</v>
      </c>
      <c r="K8717">
        <v>1.1109979999999999</v>
      </c>
      <c r="L8717">
        <v>-57.996920000000003</v>
      </c>
      <c r="M8717">
        <v>0.90243770000000001</v>
      </c>
      <c r="N8717">
        <v>0</v>
      </c>
      <c r="O8717">
        <v>-0.43065530000000002</v>
      </c>
      <c r="P8717">
        <v>0.9185873</v>
      </c>
      <c r="Q8717">
        <v>-2.0308409999999999E-2</v>
      </c>
      <c r="R8717">
        <v>-0.3946963</v>
      </c>
      <c r="S8717">
        <v>2.9433289999999999</v>
      </c>
      <c r="T8717">
        <v>-0.1192786</v>
      </c>
      <c r="U8717">
        <v>-0.74679569999999995</v>
      </c>
      <c r="V8717">
        <v>-3.9391179999999998E-2</v>
      </c>
      <c r="W8717">
        <v>-8.4739180000000004E-3</v>
      </c>
      <c r="X8717">
        <v>0.99918790000000002</v>
      </c>
      <c r="Y8717">
        <v>-0.1950509</v>
      </c>
      <c r="Z8717">
        <v>2.0399560000000001E-2</v>
      </c>
      <c r="AA8717">
        <v>0.98058089999999998</v>
      </c>
      <c r="AB8717">
        <v>16</v>
      </c>
      <c r="AC8717">
        <v>27.328700000000001</v>
      </c>
      <c r="AD8717">
        <v>-1.1110020351159999</v>
      </c>
      <c r="AE8717">
        <v>-6.9160199999999996</v>
      </c>
      <c r="AF8717">
        <v>-5.5197919839216096</v>
      </c>
      <c r="AG8717">
        <v>-1.1110020351159999</v>
      </c>
      <c r="AH8717">
        <v>27.5999666916879</v>
      </c>
      <c r="AI8717">
        <v>92.260411303356705</v>
      </c>
      <c r="AJ8717">
        <v>101.309530551349</v>
      </c>
      <c r="AK8717">
        <v>28.168432516738999</v>
      </c>
      <c r="AL8717">
        <v>90.485525564713697</v>
      </c>
      <c r="AM8717">
        <v>92.257613620233599</v>
      </c>
      <c r="AN8717">
        <v>0.99999996592723595</v>
      </c>
    </row>
    <row r="8718" spans="1:40" x14ac:dyDescent="0.25">
      <c r="A8718" t="str">
        <f>"20190312154130244"</f>
        <v>20190312154130244</v>
      </c>
      <c r="B8718" t="str">
        <f>"1552376490234759"</f>
        <v>1552376490234759</v>
      </c>
      <c r="C8718" t="s">
        <v>40</v>
      </c>
      <c r="D8718">
        <v>4.076867</v>
      </c>
      <c r="E8718">
        <v>0.42057080000000002</v>
      </c>
      <c r="F8718" t="s">
        <v>96</v>
      </c>
      <c r="G8718">
        <v>-250.11850000000001</v>
      </c>
      <c r="H8718" s="1">
        <v>-1.7306680000000001E-7</v>
      </c>
      <c r="I8718">
        <v>-64.818219999999997</v>
      </c>
      <c r="J8718">
        <v>-277.11669999999998</v>
      </c>
      <c r="K8718">
        <v>1.1110120000000001</v>
      </c>
      <c r="L8718">
        <v>-58.033019999999901</v>
      </c>
      <c r="M8718">
        <v>0.90288299999999999</v>
      </c>
      <c r="N8718">
        <v>0</v>
      </c>
      <c r="O8718">
        <v>-0.42971720000000002</v>
      </c>
      <c r="P8718">
        <v>0.91912269999999896</v>
      </c>
      <c r="Q8718">
        <v>-2.090989E-2</v>
      </c>
      <c r="R8718">
        <v>-0.39341579999999998</v>
      </c>
      <c r="S8718">
        <v>2.9444889999999999</v>
      </c>
      <c r="T8718">
        <v>-0.1208168</v>
      </c>
      <c r="U8718">
        <v>-0.74179079999999997</v>
      </c>
      <c r="V8718">
        <v>-3.9738349999999999E-2</v>
      </c>
      <c r="W8718">
        <v>-8.9459840000000006E-3</v>
      </c>
      <c r="X8718">
        <v>0.99917009999999995</v>
      </c>
      <c r="Y8718">
        <v>-0.19567950000000001</v>
      </c>
      <c r="Z8718">
        <v>2.06392E-2</v>
      </c>
      <c r="AA8718">
        <v>0.98045070000000001</v>
      </c>
      <c r="AB8718">
        <v>16</v>
      </c>
      <c r="AC8718">
        <v>26.998199999999901</v>
      </c>
      <c r="AD8718">
        <v>-1.1110121730667999</v>
      </c>
      <c r="AE8718">
        <v>-6.7851999999999997</v>
      </c>
      <c r="AF8718">
        <v>-5.4670392762767301</v>
      </c>
      <c r="AG8718">
        <v>-1.1110121730667999</v>
      </c>
      <c r="AH8718">
        <v>27.250512170247202</v>
      </c>
      <c r="AI8718">
        <v>92.289111607453506</v>
      </c>
      <c r="AJ8718">
        <v>101.344169427184</v>
      </c>
      <c r="AK8718">
        <v>27.815702041074701</v>
      </c>
      <c r="AL8718">
        <v>90.512573949575298</v>
      </c>
      <c r="AM8718">
        <v>92.277530528496598</v>
      </c>
      <c r="AN8718">
        <v>1.0000000279122301</v>
      </c>
    </row>
    <row r="8719" spans="1:40" x14ac:dyDescent="0.25">
      <c r="A8719" t="str">
        <f>"20190312154130256"</f>
        <v>20190312154130256</v>
      </c>
      <c r="B8719" t="str">
        <f>"1552376490245494"</f>
        <v>1552376490245494</v>
      </c>
      <c r="C8719" t="s">
        <v>40</v>
      </c>
      <c r="D8719">
        <v>4.0540890000000003</v>
      </c>
      <c r="E8719">
        <v>0.41882249999999999</v>
      </c>
      <c r="F8719" t="s">
        <v>98</v>
      </c>
      <c r="G8719">
        <v>-230.73089999999999</v>
      </c>
      <c r="H8719" s="1">
        <v>-1.1277250000000001E-6</v>
      </c>
      <c r="I8719">
        <v>-67.250230000000002</v>
      </c>
      <c r="J8719">
        <v>-277.03469999999999</v>
      </c>
      <c r="K8719">
        <v>1.1110329999999999</v>
      </c>
      <c r="L8719">
        <v>-58.070650000000001</v>
      </c>
      <c r="M8719">
        <v>0.90334979999999998</v>
      </c>
      <c r="N8719">
        <v>0</v>
      </c>
      <c r="O8719">
        <v>-0.42873139999999998</v>
      </c>
      <c r="P8719">
        <v>0.91959760000000002</v>
      </c>
      <c r="Q8719">
        <v>-2.1018990000000001E-2</v>
      </c>
      <c r="R8719">
        <v>-0.3922988</v>
      </c>
      <c r="S8719">
        <v>3.0066220000000001</v>
      </c>
      <c r="T8719">
        <v>-7.2013380000000002E-2</v>
      </c>
      <c r="U8719">
        <v>-0.59744259999999905</v>
      </c>
      <c r="V8719">
        <v>-3.9861269999999997E-2</v>
      </c>
      <c r="W8719">
        <v>-8.9241949999999994E-3</v>
      </c>
      <c r="X8719">
        <v>0.99916539999999998</v>
      </c>
      <c r="Y8719">
        <v>-0.2442907</v>
      </c>
      <c r="Z8719">
        <v>1.270291E-2</v>
      </c>
      <c r="AA8719">
        <v>0.96961889999999995</v>
      </c>
      <c r="AB8719">
        <v>16</v>
      </c>
      <c r="AC8719">
        <v>46.303800000000003</v>
      </c>
      <c r="AD8719">
        <v>-1.111034127725</v>
      </c>
      <c r="AE8719">
        <v>-9.1795799999999996</v>
      </c>
      <c r="AF8719">
        <v>-11.553979315940399</v>
      </c>
      <c r="AG8719">
        <v>-1.111034127725</v>
      </c>
      <c r="AH8719">
        <v>45.742162187957</v>
      </c>
      <c r="AI8719">
        <v>91.349033741800397</v>
      </c>
      <c r="AJ8719">
        <v>104.175785653673</v>
      </c>
      <c r="AK8719">
        <v>47.191887401284497</v>
      </c>
      <c r="AL8719">
        <v>90.511325481308205</v>
      </c>
      <c r="AM8719">
        <v>92.284578744358996</v>
      </c>
      <c r="AN8719">
        <v>1.0000000293297799</v>
      </c>
    </row>
    <row r="8720" spans="1:40" x14ac:dyDescent="0.25">
      <c r="A8720" t="str">
        <f>"20190312154130267"</f>
        <v>20190312154130267</v>
      </c>
      <c r="B8720" t="str">
        <f>"1552376490265015"</f>
        <v>1552376490265015</v>
      </c>
      <c r="C8720" t="s">
        <v>40</v>
      </c>
      <c r="D8720">
        <v>3.9706199999999998</v>
      </c>
      <c r="E8720">
        <v>0.4189039</v>
      </c>
      <c r="F8720" t="s">
        <v>98</v>
      </c>
      <c r="G8720">
        <v>-233.82060000000001</v>
      </c>
      <c r="H8720" s="1">
        <v>-2.2275459999999998E-6</v>
      </c>
      <c r="I8720">
        <v>-66.402169999999998</v>
      </c>
      <c r="J8720">
        <v>-276.96530000000001</v>
      </c>
      <c r="K8720">
        <v>1.111048</v>
      </c>
      <c r="L8720">
        <v>-58.102359999999997</v>
      </c>
      <c r="M8720">
        <v>0.90374929999999998</v>
      </c>
      <c r="N8720">
        <v>0</v>
      </c>
      <c r="O8720">
        <v>-0.42788559999999998</v>
      </c>
      <c r="P8720">
        <v>0.91988340000000002</v>
      </c>
      <c r="Q8720">
        <v>-2.1064309999999999E-2</v>
      </c>
      <c r="R8720">
        <v>-0.39162639999999999</v>
      </c>
      <c r="S8720">
        <v>3.0126949999999999</v>
      </c>
      <c r="T8720">
        <v>-7.7456469999999999E-2</v>
      </c>
      <c r="U8720">
        <v>-0.5808411</v>
      </c>
      <c r="V8720">
        <v>-3.9656429999999999E-2</v>
      </c>
      <c r="W8720">
        <v>-8.8661750000000004E-3</v>
      </c>
      <c r="X8720">
        <v>0.99917409999999995</v>
      </c>
      <c r="Y8720">
        <v>-0.24887239999999999</v>
      </c>
      <c r="Z8720">
        <v>1.36851E-2</v>
      </c>
      <c r="AA8720">
        <v>0.96843959999999996</v>
      </c>
      <c r="AB8720">
        <v>16</v>
      </c>
      <c r="AC8720">
        <v>43.1447</v>
      </c>
      <c r="AD8720">
        <v>-1.1110502275459999</v>
      </c>
      <c r="AE8720">
        <v>-8.2998100000000008</v>
      </c>
      <c r="AF8720">
        <v>-10.9538717372237</v>
      </c>
      <c r="AG8720">
        <v>-1.1110502275459999</v>
      </c>
      <c r="AH8720">
        <v>42.519385920576099</v>
      </c>
      <c r="AI8720">
        <v>91.449516089996706</v>
      </c>
      <c r="AJ8720">
        <v>104.446447684486</v>
      </c>
      <c r="AK8720">
        <v>43.921747662252201</v>
      </c>
      <c r="AL8720">
        <v>90.508001032255606</v>
      </c>
      <c r="AM8720">
        <v>92.272831273829098</v>
      </c>
      <c r="AN8720">
        <v>1.0000000618051399</v>
      </c>
    </row>
    <row r="8721" spans="1:40" x14ac:dyDescent="0.25">
      <c r="A8721" t="str">
        <f>"20190312154130278"</f>
        <v>20190312154130278</v>
      </c>
      <c r="B8721" t="str">
        <f>"1552376490274775"</f>
        <v>1552376490274775</v>
      </c>
      <c r="C8721" t="s">
        <v>40</v>
      </c>
      <c r="D8721">
        <v>4.0210720000000002</v>
      </c>
      <c r="E8721">
        <v>0.41894900000000002</v>
      </c>
      <c r="F8721" t="s">
        <v>98</v>
      </c>
      <c r="G8721">
        <v>-233.20679999999999</v>
      </c>
      <c r="H8721" s="1">
        <v>-1.9946790000000002E-6</v>
      </c>
      <c r="I8721">
        <v>-66.51652</v>
      </c>
      <c r="J8721">
        <v>-276.89789999999999</v>
      </c>
      <c r="K8721">
        <v>1.111062</v>
      </c>
      <c r="L8721">
        <v>-58.133090000000003</v>
      </c>
      <c r="M8721">
        <v>0.90413710000000003</v>
      </c>
      <c r="N8721">
        <v>0</v>
      </c>
      <c r="O8721">
        <v>-0.42706240000000001</v>
      </c>
      <c r="P8721">
        <v>0.9202321</v>
      </c>
      <c r="Q8721">
        <v>-2.1144340000000001E-2</v>
      </c>
      <c r="R8721">
        <v>-0.39080179999999998</v>
      </c>
      <c r="S8721">
        <v>3.0129090000000001</v>
      </c>
      <c r="T8721">
        <v>-7.6499339999999999E-2</v>
      </c>
      <c r="U8721">
        <v>-0.57934569999999996</v>
      </c>
      <c r="V8721">
        <v>-3.9641669999999997E-2</v>
      </c>
      <c r="W8721">
        <v>-8.8473639999999999E-3</v>
      </c>
      <c r="X8721">
        <v>0.99917480000000003</v>
      </c>
      <c r="Y8721">
        <v>-0.24847259999999999</v>
      </c>
      <c r="Z8721">
        <v>1.349236E-2</v>
      </c>
      <c r="AA8721">
        <v>0.96854499999999999</v>
      </c>
      <c r="AB8721">
        <v>16</v>
      </c>
      <c r="AC8721">
        <v>43.691099999999999</v>
      </c>
      <c r="AD8721">
        <v>-1.111063994679</v>
      </c>
      <c r="AE8721">
        <v>-8.3834299999999899</v>
      </c>
      <c r="AF8721">
        <v>-11.0730016205839</v>
      </c>
      <c r="AG8721">
        <v>-1.111063994679</v>
      </c>
      <c r="AH8721">
        <v>43.059448840458401</v>
      </c>
      <c r="AI8721">
        <v>91.431521659490699</v>
      </c>
      <c r="AJ8721">
        <v>104.421486933228</v>
      </c>
      <c r="AK8721">
        <v>44.474284283547298</v>
      </c>
      <c r="AL8721">
        <v>90.5069232257039</v>
      </c>
      <c r="AM8721">
        <v>92.271984629720507</v>
      </c>
      <c r="AN8721">
        <v>1.00000000940258</v>
      </c>
    </row>
    <row r="8722" spans="1:40" x14ac:dyDescent="0.25">
      <c r="A8722" t="str">
        <f>"20190312154130288"</f>
        <v>20190312154130288</v>
      </c>
      <c r="B8722" t="str">
        <f>"1552376490284535"</f>
        <v>1552376490284535</v>
      </c>
      <c r="C8722" t="s">
        <v>40</v>
      </c>
      <c r="D8722">
        <v>4.0152489999999998</v>
      </c>
      <c r="E8722">
        <v>0.41952309999999998</v>
      </c>
      <c r="F8722" t="s">
        <v>98</v>
      </c>
      <c r="G8722">
        <v>-232.51740000000001</v>
      </c>
      <c r="H8722" s="1">
        <v>-1.72918E-6</v>
      </c>
      <c r="I8722">
        <v>-66.630229999999997</v>
      </c>
      <c r="J8722">
        <v>-276.82850000000002</v>
      </c>
      <c r="K8722">
        <v>1.1110709999999999</v>
      </c>
      <c r="L8722">
        <v>-58.164610000000003</v>
      </c>
      <c r="M8722">
        <v>0.90454330000000005</v>
      </c>
      <c r="N8722">
        <v>0</v>
      </c>
      <c r="O8722">
        <v>-0.42619899999999999</v>
      </c>
      <c r="P8722">
        <v>0.92049139999999996</v>
      </c>
      <c r="Q8722">
        <v>-2.13473E-2</v>
      </c>
      <c r="R8722">
        <v>-0.39017930000000001</v>
      </c>
      <c r="S8722">
        <v>3.013306</v>
      </c>
      <c r="T8722">
        <v>-7.5437899999999905E-2</v>
      </c>
      <c r="U8722">
        <v>-0.57693479999999997</v>
      </c>
      <c r="V8722">
        <v>-3.9361470000000003E-2</v>
      </c>
      <c r="W8722">
        <v>-8.9560649999999992E-3</v>
      </c>
      <c r="X8722">
        <v>0.99918490000000004</v>
      </c>
      <c r="Y8722">
        <v>-0.24832509999999999</v>
      </c>
      <c r="Z8722">
        <v>1.328382E-2</v>
      </c>
      <c r="AA8722">
        <v>0.96858569999999999</v>
      </c>
      <c r="AB8722">
        <v>16</v>
      </c>
      <c r="AC8722">
        <v>44.311100000000003</v>
      </c>
      <c r="AD8722">
        <v>-1.11107272918</v>
      </c>
      <c r="AE8722">
        <v>-8.4656200000000101</v>
      </c>
      <c r="AF8722">
        <v>-11.221894564027201</v>
      </c>
      <c r="AG8722">
        <v>-1.11107272918</v>
      </c>
      <c r="AH8722">
        <v>43.666264633057303</v>
      </c>
      <c r="AI8722">
        <v>91.411703214021898</v>
      </c>
      <c r="AJ8722">
        <v>104.412682524169</v>
      </c>
      <c r="AK8722">
        <v>45.098869910673599</v>
      </c>
      <c r="AL8722">
        <v>90.513151585568707</v>
      </c>
      <c r="AM8722">
        <v>92.255919387038105</v>
      </c>
      <c r="AN8722">
        <v>1.0000000004044201</v>
      </c>
    </row>
    <row r="8723" spans="1:40" x14ac:dyDescent="0.25">
      <c r="A8723" t="str">
        <f>"20190312154130300"</f>
        <v>20190312154130300</v>
      </c>
      <c r="B8723" t="str">
        <f>"1552376490295270"</f>
        <v>1552376490295270</v>
      </c>
      <c r="C8723" t="s">
        <v>40</v>
      </c>
      <c r="D8723">
        <v>3.9483709999999999</v>
      </c>
      <c r="E8723">
        <v>0.41980070000000003</v>
      </c>
      <c r="F8723" t="s">
        <v>98</v>
      </c>
      <c r="G8723">
        <v>-231.3141</v>
      </c>
      <c r="H8723" s="1">
        <v>-1.289374E-6</v>
      </c>
      <c r="I8723">
        <v>-66.917509999999993</v>
      </c>
      <c r="J8723">
        <v>-276.75670000000002</v>
      </c>
      <c r="K8723">
        <v>1.1110789999999999</v>
      </c>
      <c r="L8723">
        <v>-58.197200000000002</v>
      </c>
      <c r="M8723">
        <v>0.90496430000000005</v>
      </c>
      <c r="N8723">
        <v>0</v>
      </c>
      <c r="O8723">
        <v>-0.42530180000000001</v>
      </c>
      <c r="P8723">
        <v>0.92092099999999999</v>
      </c>
      <c r="Q8723">
        <v>-2.1457170000000001E-2</v>
      </c>
      <c r="R8723">
        <v>-0.38915889999999997</v>
      </c>
      <c r="S8723">
        <v>3.0119020000000001</v>
      </c>
      <c r="T8723">
        <v>-7.3524829999999999E-2</v>
      </c>
      <c r="U8723">
        <v>-0.57922359999999995</v>
      </c>
      <c r="V8723">
        <v>-3.9477720000000001E-2</v>
      </c>
      <c r="W8723">
        <v>-8.9720230000000008E-3</v>
      </c>
      <c r="X8723">
        <v>0.99918019999999996</v>
      </c>
      <c r="Y8723">
        <v>-0.24658169999999999</v>
      </c>
      <c r="Z8723">
        <v>1.2911010000000001E-2</v>
      </c>
      <c r="AA8723">
        <v>0.96903600000000001</v>
      </c>
      <c r="AB8723">
        <v>16</v>
      </c>
      <c r="AC8723">
        <v>45.442599999999999</v>
      </c>
      <c r="AD8723">
        <v>-1.1110802893739999</v>
      </c>
      <c r="AE8723">
        <v>-8.7203099999999907</v>
      </c>
      <c r="AF8723">
        <v>-11.429563749700399</v>
      </c>
      <c r="AG8723">
        <v>-1.1110802893739999</v>
      </c>
      <c r="AH8723">
        <v>44.810399559140798</v>
      </c>
      <c r="AI8723">
        <v>91.376318845159702</v>
      </c>
      <c r="AJ8723">
        <v>104.30904765857299</v>
      </c>
      <c r="AK8723">
        <v>46.258419077695997</v>
      </c>
      <c r="AL8723">
        <v>90.514065933231706</v>
      </c>
      <c r="AM8723">
        <v>92.262585727461797</v>
      </c>
      <c r="AN8723">
        <v>1.00000002982257</v>
      </c>
    </row>
    <row r="8724" spans="1:40" x14ac:dyDescent="0.25">
      <c r="A8724" t="str">
        <f>"20190312154130311"</f>
        <v>20190312154130311</v>
      </c>
      <c r="B8724" t="str">
        <f>"1552376490305031"</f>
        <v>1552376490305031</v>
      </c>
      <c r="C8724" t="s">
        <v>40</v>
      </c>
      <c r="D8724">
        <v>3.953087</v>
      </c>
      <c r="E8724">
        <v>0.41988750000000002</v>
      </c>
      <c r="F8724" t="s">
        <v>99</v>
      </c>
      <c r="G8724">
        <v>-229.2414</v>
      </c>
      <c r="H8724" s="1">
        <v>-4.0802910000000001E-6</v>
      </c>
      <c r="I8724">
        <v>-67.316239999999993</v>
      </c>
      <c r="J8724">
        <v>-276.68200000000002</v>
      </c>
      <c r="K8724">
        <v>1.1110910000000001</v>
      </c>
      <c r="L8724">
        <v>-58.230899999999998</v>
      </c>
      <c r="M8724">
        <v>0.9054065</v>
      </c>
      <c r="N8724">
        <v>0</v>
      </c>
      <c r="O8724">
        <v>-0.42435650000000003</v>
      </c>
      <c r="P8724">
        <v>0.92132000000000003</v>
      </c>
      <c r="Q8724">
        <v>-2.19134E-2</v>
      </c>
      <c r="R8724">
        <v>-0.38818770000000002</v>
      </c>
      <c r="S8724">
        <v>3.0117189999999998</v>
      </c>
      <c r="T8724">
        <v>-7.0425150000000006E-2</v>
      </c>
      <c r="U8724">
        <v>-0.57800289999999999</v>
      </c>
      <c r="V8724">
        <v>-3.9482820000000002E-2</v>
      </c>
      <c r="W8724">
        <v>-9.3383270000000004E-3</v>
      </c>
      <c r="X8724">
        <v>0.99917659999999997</v>
      </c>
      <c r="Y8724">
        <v>-0.24595349999999999</v>
      </c>
      <c r="Z8724">
        <v>1.234126E-2</v>
      </c>
      <c r="AA8724">
        <v>0.96920309999999998</v>
      </c>
      <c r="AB8724">
        <v>16</v>
      </c>
      <c r="AC8724">
        <v>47.440600000000003</v>
      </c>
      <c r="AD8724">
        <v>-1.111095080291</v>
      </c>
      <c r="AE8724">
        <v>-9.0853400000000093</v>
      </c>
      <c r="AF8724">
        <v>-11.9004605743387</v>
      </c>
      <c r="AG8724">
        <v>-1.111095080291</v>
      </c>
      <c r="AH8724">
        <v>46.787454121023202</v>
      </c>
      <c r="AI8724">
        <v>91.318424406817101</v>
      </c>
      <c r="AJ8724">
        <v>104.270660348544</v>
      </c>
      <c r="AK8724">
        <v>48.289971601624401</v>
      </c>
      <c r="AL8724">
        <v>90.535054508096295</v>
      </c>
      <c r="AM8724">
        <v>92.262885864410507</v>
      </c>
      <c r="AN8724">
        <v>0.99999998770693499</v>
      </c>
    </row>
    <row r="8725" spans="1:40" x14ac:dyDescent="0.25">
      <c r="A8725" t="str">
        <f>"20190312154130322"</f>
        <v>20190312154130322</v>
      </c>
      <c r="B8725" t="str">
        <f>"1552376490314791"</f>
        <v>1552376490314791</v>
      </c>
      <c r="C8725" t="s">
        <v>40</v>
      </c>
      <c r="D8725">
        <v>3.9262899999999998</v>
      </c>
      <c r="E8725">
        <v>0.42001159999999998</v>
      </c>
      <c r="F8725" t="s">
        <v>99</v>
      </c>
      <c r="G8725">
        <v>-228.86179999999999</v>
      </c>
      <c r="H8725" s="1">
        <v>-3.9580699999999999E-6</v>
      </c>
      <c r="I8725">
        <v>-67.368279999999999</v>
      </c>
      <c r="J8725">
        <v>-276.60939999999999</v>
      </c>
      <c r="K8725">
        <v>1.111089</v>
      </c>
      <c r="L8725">
        <v>-58.263640000000002</v>
      </c>
      <c r="M8725">
        <v>0.90583899999999995</v>
      </c>
      <c r="N8725">
        <v>0</v>
      </c>
      <c r="O8725">
        <v>-0.42343019999999998</v>
      </c>
      <c r="P8725">
        <v>0.92178360000000004</v>
      </c>
      <c r="Q8725">
        <v>-2.2029489999999999E-2</v>
      </c>
      <c r="R8725">
        <v>-0.3870788</v>
      </c>
      <c r="S8725">
        <v>3.0120239999999998</v>
      </c>
      <c r="T8725">
        <v>-6.9983840000000005E-2</v>
      </c>
      <c r="U8725">
        <v>-0.57553100000000001</v>
      </c>
      <c r="V8725">
        <v>-3.966244E-2</v>
      </c>
      <c r="W8725">
        <v>-9.3723020000000008E-3</v>
      </c>
      <c r="X8725">
        <v>0.99916919999999998</v>
      </c>
      <c r="Y8725">
        <v>-0.2457503</v>
      </c>
      <c r="Z8725">
        <v>1.224251E-2</v>
      </c>
      <c r="AA8725">
        <v>0.96925589999999995</v>
      </c>
      <c r="AB8725">
        <v>16</v>
      </c>
      <c r="AC8725">
        <v>47.747599999999998</v>
      </c>
      <c r="AD8725">
        <v>-1.11109295807</v>
      </c>
      <c r="AE8725">
        <v>-9.1046399999999892</v>
      </c>
      <c r="AF8725">
        <v>-11.9651591637649</v>
      </c>
      <c r="AG8725">
        <v>-1.11109295807</v>
      </c>
      <c r="AH8725">
        <v>47.086044855463498</v>
      </c>
      <c r="AI8725">
        <v>91.310138902500398</v>
      </c>
      <c r="AJ8725">
        <v>104.25780388074099</v>
      </c>
      <c r="AK8725">
        <v>48.595217681438797</v>
      </c>
      <c r="AL8725">
        <v>90.537001200234698</v>
      </c>
      <c r="AM8725">
        <v>92.273186500117603</v>
      </c>
      <c r="AN8725">
        <v>1.00000001971008</v>
      </c>
    </row>
    <row r="8726" spans="1:40" x14ac:dyDescent="0.25">
      <c r="A8726" t="str">
        <f>"20190312154130333"</f>
        <v>20190312154130333</v>
      </c>
      <c r="B8726" t="str">
        <f>"1552376490324550"</f>
        <v>1552376490324550</v>
      </c>
      <c r="C8726" t="s">
        <v>40</v>
      </c>
      <c r="D8726">
        <v>3.896137</v>
      </c>
      <c r="E8726">
        <v>0.42011490000000001</v>
      </c>
      <c r="F8726" t="s">
        <v>99</v>
      </c>
      <c r="G8726">
        <v>-228.22540000000001</v>
      </c>
      <c r="H8726" s="1">
        <v>-3.7544399999999998E-6</v>
      </c>
      <c r="I8726">
        <v>-67.465069999999997</v>
      </c>
      <c r="J8726">
        <v>-276.54270000000002</v>
      </c>
      <c r="K8726">
        <v>1.1110880000000001</v>
      </c>
      <c r="L8726">
        <v>-58.293610000000001</v>
      </c>
      <c r="M8726">
        <v>0.90623799999999999</v>
      </c>
      <c r="N8726">
        <v>0</v>
      </c>
      <c r="O8726">
        <v>-0.42257339999999999</v>
      </c>
      <c r="P8726">
        <v>0.92227630000000005</v>
      </c>
      <c r="Q8726">
        <v>-2.2667329999999999E-2</v>
      </c>
      <c r="R8726">
        <v>-0.38586690000000001</v>
      </c>
      <c r="S8726">
        <v>3.0123600000000001</v>
      </c>
      <c r="T8726">
        <v>-6.9176080000000001E-2</v>
      </c>
      <c r="U8726">
        <v>-0.57287600000000005</v>
      </c>
      <c r="V8726">
        <v>-4.0023830000000003E-2</v>
      </c>
      <c r="W8726">
        <v>-9.9399840000000007E-3</v>
      </c>
      <c r="X8726">
        <v>0.99914930000000002</v>
      </c>
      <c r="Y8726">
        <v>-0.24568229999999999</v>
      </c>
      <c r="Z8726">
        <v>1.208298E-2</v>
      </c>
      <c r="AA8726">
        <v>0.96927509999999995</v>
      </c>
      <c r="AB8726">
        <v>16</v>
      </c>
      <c r="AC8726">
        <v>48.317300000000003</v>
      </c>
      <c r="AD8726">
        <v>-1.1110917544400001</v>
      </c>
      <c r="AE8726">
        <v>-9.1714599999999908</v>
      </c>
      <c r="AF8726">
        <v>-12.1008990098635</v>
      </c>
      <c r="AG8726">
        <v>-1.1110917544400001</v>
      </c>
      <c r="AH8726">
        <v>47.642189709007503</v>
      </c>
      <c r="AI8726">
        <v>91.294885207614996</v>
      </c>
      <c r="AJ8726">
        <v>104.25149603433999</v>
      </c>
      <c r="AK8726">
        <v>49.167514905705303</v>
      </c>
      <c r="AL8726">
        <v>90.569528500772407</v>
      </c>
      <c r="AM8726">
        <v>92.293922576606704</v>
      </c>
      <c r="AN8726">
        <v>1.00000001697013</v>
      </c>
    </row>
    <row r="8727" spans="1:40" x14ac:dyDescent="0.25">
      <c r="A8727" t="str">
        <f>"20190312154130344"</f>
        <v>20190312154130344</v>
      </c>
      <c r="B8727" t="str">
        <f>"1552376490335286"</f>
        <v>1552376490335286</v>
      </c>
      <c r="C8727" t="s">
        <v>40</v>
      </c>
      <c r="D8727">
        <v>3.9261400000000002</v>
      </c>
      <c r="E8727">
        <v>0.42018040000000001</v>
      </c>
      <c r="F8727" t="s">
        <v>99</v>
      </c>
      <c r="G8727">
        <v>-228.56540000000001</v>
      </c>
      <c r="H8727" s="1">
        <v>-3.8569549999999999E-6</v>
      </c>
      <c r="I8727">
        <v>-67.366529999999997</v>
      </c>
      <c r="J8727">
        <v>-276.47140000000002</v>
      </c>
      <c r="K8727">
        <v>1.1110819999999999</v>
      </c>
      <c r="L8727">
        <v>-58.325499999999998</v>
      </c>
      <c r="M8727">
        <v>0.90666530000000001</v>
      </c>
      <c r="N8727">
        <v>0</v>
      </c>
      <c r="O8727">
        <v>-0.42165370000000002</v>
      </c>
      <c r="P8727">
        <v>0.92270149999999995</v>
      </c>
      <c r="Q8727">
        <v>-2.2710500000000002E-2</v>
      </c>
      <c r="R8727">
        <v>-0.38484560000000001</v>
      </c>
      <c r="S8727">
        <v>3.0127259999999998</v>
      </c>
      <c r="T8727">
        <v>-6.9770810000000003E-2</v>
      </c>
      <c r="U8727">
        <v>-0.56973269999999998</v>
      </c>
      <c r="V8727">
        <v>-4.0115789999999998E-2</v>
      </c>
      <c r="W8727">
        <v>-9.9126400000000003E-3</v>
      </c>
      <c r="X8727">
        <v>0.99914590000000003</v>
      </c>
      <c r="Y8727">
        <v>-0.24569450000000001</v>
      </c>
      <c r="Z8727">
        <v>1.2168160000000001E-2</v>
      </c>
      <c r="AA8727">
        <v>0.96927090000000005</v>
      </c>
      <c r="AB8727">
        <v>16</v>
      </c>
      <c r="AC8727">
        <v>47.905999999999999</v>
      </c>
      <c r="AD8727">
        <v>-1.111085856955</v>
      </c>
      <c r="AE8727">
        <v>-9.0410300000000099</v>
      </c>
      <c r="AF8727">
        <v>-11.997319844003201</v>
      </c>
      <c r="AG8727">
        <v>-1.111085856955</v>
      </c>
      <c r="AH8727">
        <v>47.226287963452599</v>
      </c>
      <c r="AI8727">
        <v>91.306264265028602</v>
      </c>
      <c r="AJ8727">
        <v>104.25384147554399</v>
      </c>
      <c r="AK8727">
        <v>48.739024098024302</v>
      </c>
      <c r="AL8727">
        <v>90.567961718559701</v>
      </c>
      <c r="AM8727">
        <v>92.299195330365507</v>
      </c>
      <c r="AN8727">
        <v>1.0000000332629499</v>
      </c>
    </row>
    <row r="8728" spans="1:40" x14ac:dyDescent="0.25">
      <c r="A8728" t="str">
        <f>"20190312154130355"</f>
        <v>20190312154130355</v>
      </c>
      <c r="B8728" t="str">
        <f>"1552376490345046"</f>
        <v>1552376490345046</v>
      </c>
      <c r="C8728" t="s">
        <v>40</v>
      </c>
      <c r="D8728">
        <v>3.9154599999999999</v>
      </c>
      <c r="E8728">
        <v>0.42029499999999997</v>
      </c>
      <c r="F8728" t="s">
        <v>99</v>
      </c>
      <c r="G8728">
        <v>-228.4196</v>
      </c>
      <c r="H8728" s="1">
        <v>-3.8071969999999999E-6</v>
      </c>
      <c r="I8728">
        <v>-67.365380000000002</v>
      </c>
      <c r="J8728">
        <v>-276.39830000000001</v>
      </c>
      <c r="K8728">
        <v>1.1110770000000001</v>
      </c>
      <c r="L8728">
        <v>-58.358179999999997</v>
      </c>
      <c r="M8728">
        <v>0.90710380000000002</v>
      </c>
      <c r="N8728">
        <v>0</v>
      </c>
      <c r="O8728">
        <v>-0.42070760000000001</v>
      </c>
      <c r="P8728">
        <v>0.92323390000000005</v>
      </c>
      <c r="Q8728">
        <v>-2.3116709999999999E-2</v>
      </c>
      <c r="R8728">
        <v>-0.38354270000000001</v>
      </c>
      <c r="S8728">
        <v>3.0131839999999999</v>
      </c>
      <c r="T8728">
        <v>-6.9672819999999996E-2</v>
      </c>
      <c r="U8728">
        <v>-0.56686400000000003</v>
      </c>
      <c r="V8728">
        <v>-4.0479639999999997E-2</v>
      </c>
      <c r="W8728">
        <v>-1.025038E-2</v>
      </c>
      <c r="X8728">
        <v>0.99912780000000001</v>
      </c>
      <c r="Y8728">
        <v>-0.2456023</v>
      </c>
      <c r="Z8728">
        <v>1.2130169999999999E-2</v>
      </c>
      <c r="AA8728">
        <v>0.96929480000000001</v>
      </c>
      <c r="AB8728">
        <v>16</v>
      </c>
      <c r="AC8728">
        <v>47.978700000000003</v>
      </c>
      <c r="AD8728">
        <v>-1.111080807197</v>
      </c>
      <c r="AE8728">
        <v>-9.0071999999999903</v>
      </c>
      <c r="AF8728">
        <v>-12.009325450573099</v>
      </c>
      <c r="AG8728">
        <v>-1.111080807197</v>
      </c>
      <c r="AH8728">
        <v>47.290531016457301</v>
      </c>
      <c r="AI8728">
        <v>91.304512811227795</v>
      </c>
      <c r="AJ8728">
        <v>104.248930794411</v>
      </c>
      <c r="AK8728">
        <v>48.804228527417699</v>
      </c>
      <c r="AL8728">
        <v>90.587313788104495</v>
      </c>
      <c r="AM8728">
        <v>92.320068317974702</v>
      </c>
      <c r="AN8728">
        <v>1.0000000161387499</v>
      </c>
    </row>
    <row r="8729" spans="1:40" x14ac:dyDescent="0.25">
      <c r="A8729" t="str">
        <f>"20190312154130366"</f>
        <v>20190312154130366</v>
      </c>
      <c r="B8729" t="str">
        <f>"1552376490354806"</f>
        <v>1552376490354806</v>
      </c>
      <c r="C8729" t="s">
        <v>40</v>
      </c>
      <c r="D8729">
        <v>3.9195259999999998</v>
      </c>
      <c r="E8729">
        <v>0.42042380000000001</v>
      </c>
      <c r="F8729" t="s">
        <v>99</v>
      </c>
      <c r="G8729">
        <v>-228.61969999999999</v>
      </c>
      <c r="H8729" s="1">
        <v>-3.865519E-6</v>
      </c>
      <c r="I8729">
        <v>-67.292190000000005</v>
      </c>
      <c r="J8729">
        <v>-276.32909999999998</v>
      </c>
      <c r="K8729">
        <v>1.1110709999999999</v>
      </c>
      <c r="L8729">
        <v>-58.389009999999999</v>
      </c>
      <c r="M8729">
        <v>0.90751870000000001</v>
      </c>
      <c r="N8729">
        <v>0</v>
      </c>
      <c r="O8729">
        <v>-0.4198093</v>
      </c>
      <c r="P8729">
        <v>0.92382730000000002</v>
      </c>
      <c r="Q8729">
        <v>-2.3415330000000002E-2</v>
      </c>
      <c r="R8729">
        <v>-0.3820924</v>
      </c>
      <c r="S8729">
        <v>3.013611</v>
      </c>
      <c r="T8729">
        <v>-7.0080879999999998E-2</v>
      </c>
      <c r="U8729">
        <v>-0.56350710000000004</v>
      </c>
      <c r="V8729">
        <v>-4.1056000000000002E-2</v>
      </c>
      <c r="W8729">
        <v>-1.0490920000000001E-2</v>
      </c>
      <c r="X8729">
        <v>0.99910180000000004</v>
      </c>
      <c r="Y8729">
        <v>-0.24570929999999999</v>
      </c>
      <c r="Z8729">
        <v>1.218381E-2</v>
      </c>
      <c r="AA8729">
        <v>0.96926699999999999</v>
      </c>
      <c r="AB8729">
        <v>16</v>
      </c>
      <c r="AC8729">
        <v>47.709399999999903</v>
      </c>
      <c r="AD8729">
        <v>-1.1110748655189999</v>
      </c>
      <c r="AE8729">
        <v>-8.9031800000000008</v>
      </c>
      <c r="AF8729">
        <v>-11.943803324250499</v>
      </c>
      <c r="AG8729">
        <v>-1.1110748655189999</v>
      </c>
      <c r="AH8729">
        <v>47.0141679659476</v>
      </c>
      <c r="AI8729">
        <v>91.312140412199199</v>
      </c>
      <c r="AJ8729">
        <v>104.254265325063</v>
      </c>
      <c r="AK8729">
        <v>48.520314454210798</v>
      </c>
      <c r="AL8729">
        <v>90.601096447181405</v>
      </c>
      <c r="AM8729">
        <v>92.353126369095406</v>
      </c>
      <c r="AN8729">
        <v>1.0000000306508401</v>
      </c>
    </row>
    <row r="8730" spans="1:40" x14ac:dyDescent="0.25">
      <c r="A8730" t="str">
        <f>"20190312154130379"</f>
        <v>20190312154130379</v>
      </c>
      <c r="B8730" t="str">
        <f>"1552376490375302"</f>
        <v>1552376490375302</v>
      </c>
      <c r="C8730" t="s">
        <v>40</v>
      </c>
      <c r="D8730">
        <v>3.893494</v>
      </c>
      <c r="E8730">
        <v>0.42064010000000002</v>
      </c>
      <c r="F8730" t="s">
        <v>99</v>
      </c>
      <c r="G8730">
        <v>-228.6686</v>
      </c>
      <c r="H8730" s="1">
        <v>-3.8751319999999996E-6</v>
      </c>
      <c r="I8730">
        <v>-67.239729999999994</v>
      </c>
      <c r="J8730">
        <v>-276.25009999999997</v>
      </c>
      <c r="K8730">
        <v>1.1110679999999999</v>
      </c>
      <c r="L8730">
        <v>-58.424129999999998</v>
      </c>
      <c r="M8730">
        <v>0.90799149999999995</v>
      </c>
      <c r="N8730">
        <v>0</v>
      </c>
      <c r="O8730">
        <v>-0.41878409999999999</v>
      </c>
      <c r="P8730">
        <v>0.92437179999999997</v>
      </c>
      <c r="Q8730">
        <v>-2.3796350000000001E-2</v>
      </c>
      <c r="R8730">
        <v>-0.38075009999999998</v>
      </c>
      <c r="S8730">
        <v>3.0140690000000001</v>
      </c>
      <c r="T8730">
        <v>-7.0264820000000006E-2</v>
      </c>
      <c r="U8730">
        <v>-0.55972290000000002</v>
      </c>
      <c r="V8730">
        <v>-4.1374580000000001E-2</v>
      </c>
      <c r="W8730">
        <v>-1.080683E-2</v>
      </c>
      <c r="X8730">
        <v>0.99908520000000001</v>
      </c>
      <c r="Y8730">
        <v>-0.2458169</v>
      </c>
      <c r="Z8730">
        <v>1.219578E-2</v>
      </c>
      <c r="AA8730">
        <v>0.96923959999999998</v>
      </c>
      <c r="AB8730">
        <v>16</v>
      </c>
      <c r="AC8730">
        <v>47.581499999999899</v>
      </c>
      <c r="AD8730">
        <v>-1.1110718751319999</v>
      </c>
      <c r="AE8730">
        <v>-8.8155999999999999</v>
      </c>
      <c r="AF8730">
        <v>-11.9166250240428</v>
      </c>
      <c r="AG8730">
        <v>-1.1110718751319999</v>
      </c>
      <c r="AH8730">
        <v>46.874737153333903</v>
      </c>
      <c r="AI8730">
        <v>91.315983286186693</v>
      </c>
      <c r="AJ8730">
        <v>104.26373039783201</v>
      </c>
      <c r="AK8730">
        <v>48.378522258017497</v>
      </c>
      <c r="AL8730">
        <v>90.619197838808304</v>
      </c>
      <c r="AM8730">
        <v>92.371404386197995</v>
      </c>
      <c r="AN8730">
        <v>0.99999994015192994</v>
      </c>
    </row>
    <row r="8731" spans="1:40" x14ac:dyDescent="0.25">
      <c r="A8731" t="str">
        <f>"20190312154130390"</f>
        <v>20190312154130390</v>
      </c>
      <c r="B8731" t="str">
        <f>"1552376490385063"</f>
        <v>1552376490385063</v>
      </c>
      <c r="C8731" t="s">
        <v>40</v>
      </c>
      <c r="D8731">
        <v>3.8940220000000001</v>
      </c>
      <c r="E8731">
        <v>0.420819</v>
      </c>
      <c r="F8731" t="s">
        <v>99</v>
      </c>
      <c r="G8731">
        <v>-229.3116</v>
      </c>
      <c r="H8731" s="1">
        <v>-4.0748350000000003E-6</v>
      </c>
      <c r="I8731">
        <v>-67.096599999999995</v>
      </c>
      <c r="J8731">
        <v>-276.17219999999998</v>
      </c>
      <c r="K8731">
        <v>1.111059</v>
      </c>
      <c r="L8731">
        <v>-58.458620000000003</v>
      </c>
      <c r="M8731">
        <v>0.90845569999999998</v>
      </c>
      <c r="N8731">
        <v>0</v>
      </c>
      <c r="O8731">
        <v>-0.41777449999999999</v>
      </c>
      <c r="P8731">
        <v>0.92489129999999997</v>
      </c>
      <c r="Q8731">
        <v>-2.3982949999999999E-2</v>
      </c>
      <c r="R8731">
        <v>-0.37947510000000001</v>
      </c>
      <c r="S8731">
        <v>3.014221</v>
      </c>
      <c r="T8731">
        <v>-7.1349140000000005E-2</v>
      </c>
      <c r="U8731">
        <v>-0.5569153</v>
      </c>
      <c r="V8731">
        <v>-4.1639879999999997E-2</v>
      </c>
      <c r="W8731">
        <v>-1.093526E-2</v>
      </c>
      <c r="X8731">
        <v>0.99907279999999998</v>
      </c>
      <c r="Y8731">
        <v>-0.24561649999999999</v>
      </c>
      <c r="Z8731">
        <v>1.236103E-2</v>
      </c>
      <c r="AA8731">
        <v>0.96928820000000004</v>
      </c>
      <c r="AB8731">
        <v>16</v>
      </c>
      <c r="AC8731">
        <v>46.860599999999899</v>
      </c>
      <c r="AD8731">
        <v>-1.1110630748350001</v>
      </c>
      <c r="AE8731">
        <v>-8.63797999999999</v>
      </c>
      <c r="AF8731">
        <v>-11.7245801090661</v>
      </c>
      <c r="AG8731">
        <v>-1.1110630748350001</v>
      </c>
      <c r="AH8731">
        <v>46.158399472057603</v>
      </c>
      <c r="AI8731">
        <v>91.336456896940007</v>
      </c>
      <c r="AJ8731">
        <v>104.25214559228399</v>
      </c>
      <c r="AK8731">
        <v>47.637150226605897</v>
      </c>
      <c r="AL8731">
        <v>90.626556758876106</v>
      </c>
      <c r="AM8731">
        <v>92.386622246530393</v>
      </c>
      <c r="AN8731">
        <v>0.99999995960875998</v>
      </c>
    </row>
    <row r="8732" spans="1:40" x14ac:dyDescent="0.25">
      <c r="A8732" t="str">
        <f>"20190312154130402"</f>
        <v>20190312154130402</v>
      </c>
      <c r="B8732" t="str">
        <f>"1552376490394822"</f>
        <v>1552376490394822</v>
      </c>
      <c r="C8732" t="s">
        <v>40</v>
      </c>
      <c r="D8732">
        <v>3.8633679999999999</v>
      </c>
      <c r="E8732">
        <v>0.4209386</v>
      </c>
      <c r="F8732" t="s">
        <v>99</v>
      </c>
      <c r="G8732">
        <v>-228.9066</v>
      </c>
      <c r="H8732" s="1">
        <v>-3.9438490000000001E-6</v>
      </c>
      <c r="I8732">
        <v>-67.147949999999994</v>
      </c>
      <c r="J8732">
        <v>-276.10090000000002</v>
      </c>
      <c r="K8732">
        <v>1.111054</v>
      </c>
      <c r="L8732">
        <v>-58.490079999999999</v>
      </c>
      <c r="M8732">
        <v>0.90887890000000005</v>
      </c>
      <c r="N8732">
        <v>0</v>
      </c>
      <c r="O8732">
        <v>-0.41685139999999998</v>
      </c>
      <c r="P8732">
        <v>0.92544599999999999</v>
      </c>
      <c r="Q8732">
        <v>-2.4565500000000001E-2</v>
      </c>
      <c r="R8732">
        <v>-0.37808259999999999</v>
      </c>
      <c r="S8732">
        <v>3.0144039999999999</v>
      </c>
      <c r="T8732">
        <v>-7.0858959999999999E-2</v>
      </c>
      <c r="U8732">
        <v>-0.55416869999999996</v>
      </c>
      <c r="V8732">
        <v>-4.2121260000000001E-2</v>
      </c>
      <c r="W8732">
        <v>-1.146812E-2</v>
      </c>
      <c r="X8732">
        <v>0.99904669999999896</v>
      </c>
      <c r="Y8732">
        <v>-0.2454993</v>
      </c>
      <c r="Z8732">
        <v>1.2256E-2</v>
      </c>
      <c r="AA8732">
        <v>0.96931929999999999</v>
      </c>
      <c r="AB8732">
        <v>16</v>
      </c>
      <c r="AC8732">
        <v>47.194299999999998</v>
      </c>
      <c r="AD8732">
        <v>-1.111057943849</v>
      </c>
      <c r="AE8732">
        <v>-8.6578699999999795</v>
      </c>
      <c r="AF8732">
        <v>-11.798755701301801</v>
      </c>
      <c r="AG8732">
        <v>-1.111057943849</v>
      </c>
      <c r="AH8732">
        <v>46.482073040042799</v>
      </c>
      <c r="AI8732">
        <v>91.327202557365496</v>
      </c>
      <c r="AJ8732">
        <v>104.242835514701</v>
      </c>
      <c r="AK8732">
        <v>47.969033760890603</v>
      </c>
      <c r="AL8732">
        <v>90.657089269735394</v>
      </c>
      <c r="AM8732">
        <v>92.414243454455203</v>
      </c>
      <c r="AN8732">
        <v>1.0000000135506</v>
      </c>
    </row>
    <row r="8733" spans="1:40" x14ac:dyDescent="0.25">
      <c r="A8733" t="str">
        <f>"20190312154130414"</f>
        <v>20190312154130414</v>
      </c>
      <c r="B8733" t="str">
        <f>"1552376490404583"</f>
        <v>1552376490404583</v>
      </c>
      <c r="C8733" t="s">
        <v>40</v>
      </c>
      <c r="D8733">
        <v>3.8664640000000001</v>
      </c>
      <c r="E8733">
        <v>0.42095379999999899</v>
      </c>
      <c r="F8733" t="s">
        <v>99</v>
      </c>
      <c r="G8733">
        <v>-229.333</v>
      </c>
      <c r="H8733" s="1">
        <v>-4.0732250000000003E-6</v>
      </c>
      <c r="I8733">
        <v>-67.030270000000002</v>
      </c>
      <c r="J8733">
        <v>-276.0224</v>
      </c>
      <c r="K8733">
        <v>1.111046</v>
      </c>
      <c r="L8733">
        <v>-58.524630000000002</v>
      </c>
      <c r="M8733">
        <v>0.90934269999999995</v>
      </c>
      <c r="N8733">
        <v>0</v>
      </c>
      <c r="O8733">
        <v>-0.41583690000000001</v>
      </c>
      <c r="P8733">
        <v>0.92585340000000005</v>
      </c>
      <c r="Q8733">
        <v>-2.498477E-2</v>
      </c>
      <c r="R8733">
        <v>-0.37705620000000001</v>
      </c>
      <c r="S8733">
        <v>3.0148619999999999</v>
      </c>
      <c r="T8733">
        <v>-7.1623679999999995E-2</v>
      </c>
      <c r="U8733">
        <v>-0.5505371</v>
      </c>
      <c r="V8733">
        <v>-4.2109649999999998E-2</v>
      </c>
      <c r="W8733">
        <v>-1.1835E-2</v>
      </c>
      <c r="X8733">
        <v>0.99904289999999996</v>
      </c>
      <c r="Y8733">
        <v>-0.24557029999999999</v>
      </c>
      <c r="Z8733">
        <v>1.23675E-2</v>
      </c>
      <c r="AA8733">
        <v>0.96929989999999999</v>
      </c>
      <c r="AB8733">
        <v>16</v>
      </c>
      <c r="AC8733">
        <v>46.689399999999999</v>
      </c>
      <c r="AD8733">
        <v>-1.1110500732249999</v>
      </c>
      <c r="AE8733">
        <v>-8.5056399999999996</v>
      </c>
      <c r="AF8733">
        <v>-11.675259894916399</v>
      </c>
      <c r="AG8733">
        <v>-1.1110500732249999</v>
      </c>
      <c r="AH8733">
        <v>45.972464087548602</v>
      </c>
      <c r="AI8733">
        <v>91.341859078964802</v>
      </c>
      <c r="AJ8733">
        <v>104.249697218939</v>
      </c>
      <c r="AK8733">
        <v>47.444847772545302</v>
      </c>
      <c r="AL8733">
        <v>90.678111379365504</v>
      </c>
      <c r="AM8733">
        <v>92.413587966402105</v>
      </c>
      <c r="AN8733">
        <v>1.0000000029442599</v>
      </c>
    </row>
    <row r="8734" spans="1:40" x14ac:dyDescent="0.25">
      <c r="A8734" t="str">
        <f>"20190312154130434"</f>
        <v>20190312154130434</v>
      </c>
      <c r="B8734" t="str">
        <f>"1552376490425078"</f>
        <v>1552376490425078</v>
      </c>
      <c r="C8734" t="s">
        <v>40</v>
      </c>
      <c r="D8734">
        <v>3.8722409999999998</v>
      </c>
      <c r="E8734">
        <v>0.42109459999999999</v>
      </c>
      <c r="F8734" t="s">
        <v>99</v>
      </c>
      <c r="G8734">
        <v>-229.47649999999999</v>
      </c>
      <c r="H8734" s="1">
        <v>-4.1145960000000003E-6</v>
      </c>
      <c r="I8734">
        <v>-66.974289999999996</v>
      </c>
      <c r="J8734">
        <v>-275.89580000000001</v>
      </c>
      <c r="K8734">
        <v>1.1110390000000001</v>
      </c>
      <c r="L8734">
        <v>-58.580199999999998</v>
      </c>
      <c r="M8734">
        <v>0.91008719999999999</v>
      </c>
      <c r="N8734">
        <v>0</v>
      </c>
      <c r="O8734">
        <v>-0.41420269999999998</v>
      </c>
      <c r="P8734">
        <v>0.92671009999999998</v>
      </c>
      <c r="Q8734">
        <v>-2.5262880000000001E-2</v>
      </c>
      <c r="R8734">
        <v>-0.37492730000000002</v>
      </c>
      <c r="S8734">
        <v>3.0153810000000001</v>
      </c>
      <c r="T8734">
        <v>-7.1977139999999995E-2</v>
      </c>
      <c r="U8734">
        <v>-0.54739380000000004</v>
      </c>
      <c r="V8734">
        <v>-4.2607840000000001E-2</v>
      </c>
      <c r="W8734">
        <v>-1.2038999999999999E-2</v>
      </c>
      <c r="X8734">
        <v>0.99901930000000005</v>
      </c>
      <c r="Y8734">
        <v>-0.24483569999999999</v>
      </c>
      <c r="Z8734">
        <v>1.2384330000000001E-2</v>
      </c>
      <c r="AA8734">
        <v>0.9694855</v>
      </c>
      <c r="AB8734">
        <v>16</v>
      </c>
      <c r="AC8734">
        <v>46.4193</v>
      </c>
      <c r="AD8734">
        <v>-1.11104311459599</v>
      </c>
      <c r="AE8734">
        <v>-8.3940899999999896</v>
      </c>
      <c r="AF8734">
        <v>-11.582248406188</v>
      </c>
      <c r="AG8734">
        <v>-1.11104311459599</v>
      </c>
      <c r="AH8734">
        <v>45.701169574721902</v>
      </c>
      <c r="AI8734">
        <v>91.349983032181498</v>
      </c>
      <c r="AJ8734">
        <v>104.22129471533199</v>
      </c>
      <c r="AK8734">
        <v>47.159090273696201</v>
      </c>
      <c r="AL8734">
        <v>90.689800578306901</v>
      </c>
      <c r="AM8734">
        <v>92.442165845556801</v>
      </c>
      <c r="AN8734">
        <v>0.99999996366147703</v>
      </c>
    </row>
    <row r="8735" spans="1:40" x14ac:dyDescent="0.25">
      <c r="A8735" t="str">
        <f>"20190312154130444"</f>
        <v>20190312154130444</v>
      </c>
      <c r="B8735" t="str">
        <f>"1552376490434839"</f>
        <v>1552376490434839</v>
      </c>
      <c r="C8735" t="s">
        <v>40</v>
      </c>
      <c r="D8735">
        <v>3.8742610000000002</v>
      </c>
      <c r="E8735">
        <v>0.42120469999999999</v>
      </c>
      <c r="F8735" t="s">
        <v>99</v>
      </c>
      <c r="G8735">
        <v>-229.28800000000001</v>
      </c>
      <c r="H8735" s="1">
        <v>-4.0466060000000001E-6</v>
      </c>
      <c r="I8735">
        <v>-66.945709999999906</v>
      </c>
      <c r="J8735">
        <v>-275.82830000000001</v>
      </c>
      <c r="K8735">
        <v>1.111029</v>
      </c>
      <c r="L8735">
        <v>-58.609650000000002</v>
      </c>
      <c r="M8735">
        <v>0.9104816</v>
      </c>
      <c r="N8735">
        <v>0</v>
      </c>
      <c r="O8735">
        <v>-0.41333399999999998</v>
      </c>
      <c r="P8735">
        <v>0.92703389999999997</v>
      </c>
      <c r="Q8735">
        <v>-2.5488569999999999E-2</v>
      </c>
      <c r="R8735">
        <v>-0.37411050000000001</v>
      </c>
      <c r="S8735">
        <v>3.0162659999999999</v>
      </c>
      <c r="T8735">
        <v>-7.1902160000000007E-2</v>
      </c>
      <c r="U8735">
        <v>-0.54138180000000002</v>
      </c>
      <c r="V8735">
        <v>-4.2532470000000003E-2</v>
      </c>
      <c r="W8735">
        <v>-1.2228849999999999E-2</v>
      </c>
      <c r="X8735">
        <v>0.99902020000000002</v>
      </c>
      <c r="Y8735">
        <v>-0.2458322</v>
      </c>
      <c r="Z8735">
        <v>1.2364150000000001E-2</v>
      </c>
      <c r="AA8735">
        <v>0.96923349999999997</v>
      </c>
      <c r="AB8735">
        <v>16</v>
      </c>
      <c r="AC8735">
        <v>46.540300000000002</v>
      </c>
      <c r="AD8735">
        <v>-1.1110330466060001</v>
      </c>
      <c r="AE8735">
        <v>-8.3360599999999891</v>
      </c>
      <c r="AF8735">
        <v>-11.6414691437733</v>
      </c>
      <c r="AG8735">
        <v>-1.1110330466060001</v>
      </c>
      <c r="AH8735">
        <v>45.798459265015602</v>
      </c>
      <c r="AI8735">
        <v>91.346861805090299</v>
      </c>
      <c r="AJ8735">
        <v>104.261918918988</v>
      </c>
      <c r="AK8735">
        <v>47.2679285489154</v>
      </c>
      <c r="AL8735">
        <v>90.700678987356497</v>
      </c>
      <c r="AM8735">
        <v>92.437848864588602</v>
      </c>
      <c r="AN8735">
        <v>0.99999995789232998</v>
      </c>
    </row>
    <row r="8736" spans="1:40" x14ac:dyDescent="0.25">
      <c r="A8736" t="str">
        <f>"20190312154130456"</f>
        <v>20190312154130456</v>
      </c>
      <c r="B8736" t="str">
        <f>"1552376490444598"</f>
        <v>1552376490444598</v>
      </c>
      <c r="C8736" t="s">
        <v>40</v>
      </c>
      <c r="D8736">
        <v>3.868115</v>
      </c>
      <c r="E8736">
        <v>0.42127379999999998</v>
      </c>
      <c r="F8736" t="s">
        <v>99</v>
      </c>
      <c r="G8736">
        <v>-229.48400000000001</v>
      </c>
      <c r="H8736" s="1">
        <v>-4.1072570000000003E-6</v>
      </c>
      <c r="I8736">
        <v>-66.90043</v>
      </c>
      <c r="J8736">
        <v>-275.7568</v>
      </c>
      <c r="K8736">
        <v>1.1110230000000001</v>
      </c>
      <c r="L8736">
        <v>-58.6408699999999</v>
      </c>
      <c r="M8736">
        <v>0.91089830000000005</v>
      </c>
      <c r="N8736">
        <v>0</v>
      </c>
      <c r="O8736">
        <v>-0.4124138</v>
      </c>
      <c r="P8736">
        <v>0.92749610000000005</v>
      </c>
      <c r="Q8736">
        <v>-2.5409790000000002E-2</v>
      </c>
      <c r="R8736">
        <v>-0.37296889999999999</v>
      </c>
      <c r="S8736">
        <v>3.0163570000000002</v>
      </c>
      <c r="T8736">
        <v>-7.2312470000000004E-2</v>
      </c>
      <c r="U8736">
        <v>-0.53961179999999997</v>
      </c>
      <c r="V8736">
        <v>-4.275404E-2</v>
      </c>
      <c r="W8736">
        <v>-1.211425E-2</v>
      </c>
      <c r="X8736">
        <v>0.99901220000000002</v>
      </c>
      <c r="Y8736">
        <v>-0.2454075</v>
      </c>
      <c r="Z8736">
        <v>1.2410320000000001E-2</v>
      </c>
      <c r="AA8736">
        <v>0.9693406</v>
      </c>
      <c r="AB8736">
        <v>16</v>
      </c>
      <c r="AC8736">
        <v>46.272799999999897</v>
      </c>
      <c r="AD8736">
        <v>-1.1110271072569999</v>
      </c>
      <c r="AE8736">
        <v>-8.2595600000000005</v>
      </c>
      <c r="AF8736">
        <v>-11.5545022424067</v>
      </c>
      <c r="AG8736">
        <v>-1.1110271072569999</v>
      </c>
      <c r="AH8736">
        <v>45.534812331813001</v>
      </c>
      <c r="AI8736">
        <v>91.354791569016896</v>
      </c>
      <c r="AJ8736">
        <v>104.23833631436599</v>
      </c>
      <c r="AK8736">
        <v>46.991063378011198</v>
      </c>
      <c r="AL8736">
        <v>90.694112361643704</v>
      </c>
      <c r="AM8736">
        <v>92.450552829801396</v>
      </c>
      <c r="AN8736">
        <v>1.0000000193691101</v>
      </c>
    </row>
    <row r="8737" spans="1:40" x14ac:dyDescent="0.25">
      <c r="A8737" t="str">
        <f>"20190312154130468"</f>
        <v>20190312154130468</v>
      </c>
      <c r="B8737" t="str">
        <f>"1552376490455335"</f>
        <v>1552376490455335</v>
      </c>
      <c r="C8737" t="s">
        <v>40</v>
      </c>
      <c r="D8737">
        <v>3.8647450000000001</v>
      </c>
      <c r="E8737">
        <v>0.42130689999999998</v>
      </c>
      <c r="F8737" t="s">
        <v>99</v>
      </c>
      <c r="G8737">
        <v>-228.27369999999999</v>
      </c>
      <c r="H8737" s="1">
        <v>-3.7199900000000001E-6</v>
      </c>
      <c r="I8737">
        <v>-67.084519999999998</v>
      </c>
      <c r="J8737">
        <v>-275.68439999999998</v>
      </c>
      <c r="K8737">
        <v>1.1110150000000001</v>
      </c>
      <c r="L8737">
        <v>-58.6723</v>
      </c>
      <c r="M8737">
        <v>0.91131819999999997</v>
      </c>
      <c r="N8737">
        <v>0</v>
      </c>
      <c r="O8737">
        <v>-0.4114834</v>
      </c>
      <c r="P8737">
        <v>0.92785569999999895</v>
      </c>
      <c r="Q8737">
        <v>-2.5369470000000002E-2</v>
      </c>
      <c r="R8737">
        <v>-0.37207600000000002</v>
      </c>
      <c r="S8737">
        <v>3.0168460000000001</v>
      </c>
      <c r="T8737">
        <v>-7.0589180000000001E-2</v>
      </c>
      <c r="U8737">
        <v>-0.53646850000000001</v>
      </c>
      <c r="V8737">
        <v>-4.2696919999999999E-2</v>
      </c>
      <c r="W8737">
        <v>-1.2041319999999999E-2</v>
      </c>
      <c r="X8737">
        <v>0.99901549999999995</v>
      </c>
      <c r="Y8737">
        <v>-0.2454324</v>
      </c>
      <c r="Z8737">
        <v>1.209499E-2</v>
      </c>
      <c r="AA8737">
        <v>0.96933820000000004</v>
      </c>
      <c r="AB8737">
        <v>16</v>
      </c>
      <c r="AC8737">
        <v>47.410699999999899</v>
      </c>
      <c r="AD8737">
        <v>-1.1110187199899999</v>
      </c>
      <c r="AE8737">
        <v>-8.4122199999999907</v>
      </c>
      <c r="AF8737">
        <v>-11.8372740488609</v>
      </c>
      <c r="AG8737">
        <v>-1.1110187199899999</v>
      </c>
      <c r="AH8737">
        <v>46.647101815641498</v>
      </c>
      <c r="AI8737">
        <v>91.322484943779301</v>
      </c>
      <c r="AJ8737">
        <v>104.23894478730401</v>
      </c>
      <c r="AK8737">
        <v>48.138420490319703</v>
      </c>
      <c r="AL8737">
        <v>90.689933492669795</v>
      </c>
      <c r="AM8737">
        <v>92.447274765776896</v>
      </c>
      <c r="AN8737">
        <v>0.99999999480253898</v>
      </c>
    </row>
    <row r="8738" spans="1:40" x14ac:dyDescent="0.25">
      <c r="A8738" t="str">
        <f>"20190312154130478"</f>
        <v>20190312154130478</v>
      </c>
      <c r="B8738" t="str">
        <f>"1552376490474855"</f>
        <v>1552376490474855</v>
      </c>
      <c r="C8738" t="s">
        <v>40</v>
      </c>
      <c r="D8738">
        <v>3.841199</v>
      </c>
      <c r="E8738">
        <v>0.4235469</v>
      </c>
      <c r="F8738" t="s">
        <v>99</v>
      </c>
      <c r="G8738">
        <v>-226.96979999999999</v>
      </c>
      <c r="H8738" s="1">
        <v>-3.3037740000000002E-6</v>
      </c>
      <c r="I8738">
        <v>-67.290080000000003</v>
      </c>
      <c r="J8738">
        <v>-275.61399999999998</v>
      </c>
      <c r="K8738">
        <v>1.111003</v>
      </c>
      <c r="L8738">
        <v>-58.702849999999998</v>
      </c>
      <c r="M8738">
        <v>0.91172520000000001</v>
      </c>
      <c r="N8738">
        <v>0</v>
      </c>
      <c r="O8738">
        <v>-0.41058020000000001</v>
      </c>
      <c r="P8738">
        <v>0.92814110000000005</v>
      </c>
      <c r="Q8738">
        <v>-2.610498E-2</v>
      </c>
      <c r="R8738">
        <v>-0.37131219999999998</v>
      </c>
      <c r="S8738">
        <v>3.0173649999999999</v>
      </c>
      <c r="T8738">
        <v>-6.8816180000000005E-2</v>
      </c>
      <c r="U8738">
        <v>-0.53378300000000001</v>
      </c>
      <c r="V8738">
        <v>-4.2519809999999998E-2</v>
      </c>
      <c r="W8738">
        <v>-1.2745940000000001E-2</v>
      </c>
      <c r="X8738">
        <v>0.99901430000000002</v>
      </c>
      <c r="Y8738">
        <v>-0.24534549999999999</v>
      </c>
      <c r="Z8738">
        <v>1.177105E-2</v>
      </c>
      <c r="AA8738">
        <v>0.96936420000000001</v>
      </c>
      <c r="AB8738">
        <v>16</v>
      </c>
      <c r="AC8738">
        <v>48.644199999999998</v>
      </c>
      <c r="AD8738">
        <v>-1.1110063037739999</v>
      </c>
      <c r="AE8738">
        <v>-8.5872299999999999</v>
      </c>
      <c r="AF8738">
        <v>-12.1381104687829</v>
      </c>
      <c r="AG8738">
        <v>-1.1110063037739999</v>
      </c>
      <c r="AH8738">
        <v>47.856015180355499</v>
      </c>
      <c r="AI8738">
        <v>91.289112172346293</v>
      </c>
      <c r="AJ8738">
        <v>104.232262966237</v>
      </c>
      <c r="AK8738">
        <v>49.383866289526402</v>
      </c>
      <c r="AL8738">
        <v>90.730308355871401</v>
      </c>
      <c r="AM8738">
        <v>92.437138477761096</v>
      </c>
      <c r="AN8738">
        <v>0.99999998241670396</v>
      </c>
    </row>
    <row r="8739" spans="1:40" x14ac:dyDescent="0.25">
      <c r="A8739" t="str">
        <f>"20190312154130490"</f>
        <v>20190312154130490</v>
      </c>
      <c r="B8739" t="str">
        <f>"1552376490484615"</f>
        <v>1552376490484615</v>
      </c>
      <c r="C8739" t="s">
        <v>40</v>
      </c>
      <c r="D8739">
        <v>3.921624</v>
      </c>
      <c r="E8739">
        <v>0.4235469</v>
      </c>
      <c r="F8739" t="s">
        <v>43</v>
      </c>
      <c r="G8739">
        <v>-122.3901</v>
      </c>
      <c r="H8739">
        <v>-0.05</v>
      </c>
      <c r="I8739">
        <v>-86.638549999999995</v>
      </c>
      <c r="J8739">
        <v>-275.54239999999999</v>
      </c>
      <c r="K8739">
        <v>1.110992</v>
      </c>
      <c r="L8739">
        <v>-58.733800000000002</v>
      </c>
      <c r="M8739">
        <v>0.91213739999999999</v>
      </c>
      <c r="N8739">
        <v>0</v>
      </c>
      <c r="O8739">
        <v>-0.40966279999999999</v>
      </c>
      <c r="P8739">
        <v>0.92844490000000002</v>
      </c>
      <c r="Q8739">
        <v>-2.6569309999999999E-2</v>
      </c>
      <c r="R8739">
        <v>-0.37051919999999999</v>
      </c>
      <c r="S8739">
        <v>3.0119319999999998</v>
      </c>
      <c r="T8739">
        <v>-2.2821899999999999E-2</v>
      </c>
      <c r="U8739">
        <v>-0.54913330000000005</v>
      </c>
      <c r="V8739">
        <v>-4.2361889999999999E-2</v>
      </c>
      <c r="W8739">
        <v>-1.3182289999999999E-2</v>
      </c>
      <c r="X8739">
        <v>0.9990154</v>
      </c>
      <c r="Y8739">
        <v>-0.23942050000000001</v>
      </c>
      <c r="Z8739">
        <v>3.8799989999999999E-3</v>
      </c>
      <c r="AA8739">
        <v>0.9709082</v>
      </c>
      <c r="AB8739">
        <v>16</v>
      </c>
      <c r="AC8739">
        <v>153.152299999999</v>
      </c>
      <c r="AD8739">
        <v>-1.160992</v>
      </c>
      <c r="AE8739">
        <v>-27.90475</v>
      </c>
      <c r="AF8739">
        <v>-37.289148988942998</v>
      </c>
      <c r="AG8739">
        <v>-1.160992</v>
      </c>
      <c r="AH8739">
        <v>151.13280866700401</v>
      </c>
      <c r="AI8739">
        <v>90.427319491887403</v>
      </c>
      <c r="AJ8739">
        <v>103.85982605765</v>
      </c>
      <c r="AK8739">
        <v>155.66937524870099</v>
      </c>
      <c r="AL8739">
        <v>90.755311430655198</v>
      </c>
      <c r="AM8739">
        <v>92.428095046979394</v>
      </c>
      <c r="AN8739">
        <v>1.0000000359655801</v>
      </c>
    </row>
    <row r="8740" spans="1:40" x14ac:dyDescent="0.25">
      <c r="A8740" t="str">
        <f>"20190312154130502"</f>
        <v>20190312154130502</v>
      </c>
      <c r="B8740" t="str">
        <f>"1552376490495351"</f>
        <v>1552376490495351</v>
      </c>
      <c r="C8740" t="s">
        <v>40</v>
      </c>
      <c r="D8740">
        <v>4.0278850000000004</v>
      </c>
      <c r="E8740">
        <v>0.44053049999999999</v>
      </c>
      <c r="F8740" t="s">
        <v>43</v>
      </c>
      <c r="G8740">
        <v>-131.6842</v>
      </c>
      <c r="H8740">
        <v>-0.05</v>
      </c>
      <c r="I8740">
        <v>-84.833529999999996</v>
      </c>
      <c r="J8740">
        <v>-275.46870000000001</v>
      </c>
      <c r="K8740">
        <v>1.1109849999999999</v>
      </c>
      <c r="L8740">
        <v>-58.765560000000001</v>
      </c>
      <c r="M8740">
        <v>0.9125605</v>
      </c>
      <c r="N8740">
        <v>0</v>
      </c>
      <c r="O8740">
        <v>-0.40871829999999998</v>
      </c>
      <c r="P8740">
        <v>0.9286875</v>
      </c>
      <c r="Q8740">
        <v>-2.7458989999999999E-2</v>
      </c>
      <c r="R8740">
        <v>-0.3698457</v>
      </c>
      <c r="S8740">
        <v>3.012451</v>
      </c>
      <c r="T8740">
        <v>-2.4311659999999999E-2</v>
      </c>
      <c r="U8740">
        <v>-0.54653929999999995</v>
      </c>
      <c r="V8740">
        <v>-4.2040800000000003E-2</v>
      </c>
      <c r="W8740">
        <v>-1.404423E-2</v>
      </c>
      <c r="X8740">
        <v>0.99901719999999905</v>
      </c>
      <c r="Y8740">
        <v>-0.2392521</v>
      </c>
      <c r="Z8740">
        <v>4.1254760000000003E-3</v>
      </c>
      <c r="AA8740">
        <v>0.9709487</v>
      </c>
      <c r="AB8740">
        <v>16</v>
      </c>
      <c r="AC8740">
        <v>143.78450000000001</v>
      </c>
      <c r="AD8740">
        <v>-1.1609849999999999</v>
      </c>
      <c r="AE8740">
        <v>-26.067969999999999</v>
      </c>
      <c r="AF8740">
        <v>-34.979744149104398</v>
      </c>
      <c r="AG8740">
        <v>-1.1609849999999999</v>
      </c>
      <c r="AH8740">
        <v>141.87051660693101</v>
      </c>
      <c r="AI8740">
        <v>90.455231978120196</v>
      </c>
      <c r="AJ8740">
        <v>103.850647280575</v>
      </c>
      <c r="AK8740">
        <v>146.12383060002401</v>
      </c>
      <c r="AL8740">
        <v>90.804701546119006</v>
      </c>
      <c r="AM8740">
        <v>92.409708279839805</v>
      </c>
      <c r="AN8740">
        <v>1.0000000175783801</v>
      </c>
    </row>
    <row r="8741" spans="1:40" x14ac:dyDescent="0.25">
      <c r="A8741" t="str">
        <f>"20190312154130512"</f>
        <v>20190312154130512</v>
      </c>
      <c r="B8741" t="str">
        <f>"1552376490505110"</f>
        <v>1552376490505110</v>
      </c>
      <c r="C8741" t="s">
        <v>40</v>
      </c>
      <c r="D8741">
        <v>4.0964549999999997</v>
      </c>
      <c r="E8741">
        <v>0.45181579999999899</v>
      </c>
      <c r="F8741" t="s">
        <v>98</v>
      </c>
      <c r="G8741">
        <v>-230.66890000000001</v>
      </c>
      <c r="H8741" s="1">
        <v>-1.5364769999999901E-6</v>
      </c>
      <c r="I8741">
        <v>-68.886430000000004</v>
      </c>
      <c r="J8741">
        <v>-275.39589999999998</v>
      </c>
      <c r="K8741">
        <v>1.110978</v>
      </c>
      <c r="L8741">
        <v>-58.796840000000003</v>
      </c>
      <c r="M8741">
        <v>0.91297700000000004</v>
      </c>
      <c r="N8741">
        <v>0</v>
      </c>
      <c r="O8741">
        <v>-0.4077866</v>
      </c>
      <c r="P8741">
        <v>0.92906089999999997</v>
      </c>
      <c r="Q8741">
        <v>-2.8190110000000001E-2</v>
      </c>
      <c r="R8741">
        <v>-0.3688514</v>
      </c>
      <c r="S8741">
        <v>2.9617309999999999</v>
      </c>
      <c r="T8741">
        <v>-7.3447699999999894E-2</v>
      </c>
      <c r="U8741">
        <v>-0.66909790000000002</v>
      </c>
      <c r="V8741">
        <v>-4.2080380000000001E-2</v>
      </c>
      <c r="W8741">
        <v>-1.4751240000000001E-2</v>
      </c>
      <c r="X8741">
        <v>0.99900529999999998</v>
      </c>
      <c r="Y8741">
        <v>-0.19642850000000001</v>
      </c>
      <c r="Z8741">
        <v>1.205356E-2</v>
      </c>
      <c r="AA8741">
        <v>0.98044410000000004</v>
      </c>
      <c r="AB8741">
        <v>16</v>
      </c>
      <c r="AC8741">
        <v>44.726999999999897</v>
      </c>
      <c r="AD8741">
        <v>-1.1109795364769901</v>
      </c>
      <c r="AE8741">
        <v>-10.089589999999999</v>
      </c>
      <c r="AF8741">
        <v>-9.0230366897879808</v>
      </c>
      <c r="AG8741">
        <v>-1.1109795364769901</v>
      </c>
      <c r="AH8741">
        <v>44.926860400579002</v>
      </c>
      <c r="AI8741">
        <v>91.388835242989899</v>
      </c>
      <c r="AJ8741">
        <v>101.35611169347</v>
      </c>
      <c r="AK8741">
        <v>45.837454685975402</v>
      </c>
      <c r="AL8741">
        <v>90.845214471901997</v>
      </c>
      <c r="AM8741">
        <v>92.4120029582634</v>
      </c>
      <c r="AN8741">
        <v>0.99999997344528502</v>
      </c>
    </row>
    <row r="8742" spans="1:40" x14ac:dyDescent="0.25">
      <c r="A8742" t="str">
        <f>"20190312154130523"</f>
        <v>20190312154130523</v>
      </c>
      <c r="B8742" t="str">
        <f>"1552376490514871"</f>
        <v>1552376490514871</v>
      </c>
      <c r="C8742" t="s">
        <v>40</v>
      </c>
      <c r="D8742">
        <v>4.031396</v>
      </c>
      <c r="E8742">
        <v>0.45181579999999899</v>
      </c>
      <c r="F8742" t="s">
        <v>97</v>
      </c>
      <c r="G8742">
        <v>-242.80539999999999</v>
      </c>
      <c r="H8742" s="1">
        <v>-1.9859380000000001E-6</v>
      </c>
      <c r="I8742">
        <v>-67.130939999999995</v>
      </c>
      <c r="J8742">
        <v>-275.33019999999999</v>
      </c>
      <c r="K8742">
        <v>1.110976</v>
      </c>
      <c r="L8742">
        <v>-58.825040000000001</v>
      </c>
      <c r="M8742">
        <v>0.91335310000000003</v>
      </c>
      <c r="N8742">
        <v>0</v>
      </c>
      <c r="O8742">
        <v>-0.406943</v>
      </c>
      <c r="P8742">
        <v>0.92930639999999998</v>
      </c>
      <c r="Q8742">
        <v>-2.8845530000000001E-2</v>
      </c>
      <c r="R8742">
        <v>-0.36818139999999999</v>
      </c>
      <c r="S8742">
        <v>2.9286799999999999</v>
      </c>
      <c r="T8742">
        <v>-9.9835869999999993E-2</v>
      </c>
      <c r="U8742">
        <v>-0.74893189999999998</v>
      </c>
      <c r="V8742">
        <v>-4.1868000000000002E-2</v>
      </c>
      <c r="W8742">
        <v>-1.538606E-2</v>
      </c>
      <c r="X8742">
        <v>0.99900469999999997</v>
      </c>
      <c r="Y8742">
        <v>-0.16769189999999901</v>
      </c>
      <c r="Z8742">
        <v>1.5983629999999999E-2</v>
      </c>
      <c r="AA8742">
        <v>0.98570979999999997</v>
      </c>
      <c r="AB8742">
        <v>16</v>
      </c>
      <c r="AC8742">
        <v>32.524799999999999</v>
      </c>
      <c r="AD8742">
        <v>-1.110977985938</v>
      </c>
      <c r="AE8742">
        <v>-8.3058999999999905</v>
      </c>
      <c r="AF8742">
        <v>-5.6438567349647597</v>
      </c>
      <c r="AG8742">
        <v>-1.110977985938</v>
      </c>
      <c r="AH8742">
        <v>33.053486604614697</v>
      </c>
      <c r="AI8742">
        <v>91.897629903811193</v>
      </c>
      <c r="AJ8742">
        <v>99.689760999517006</v>
      </c>
      <c r="AK8742">
        <v>33.550266282870098</v>
      </c>
      <c r="AL8742">
        <v>90.8815910645353</v>
      </c>
      <c r="AM8742">
        <v>92.3998452693058</v>
      </c>
      <c r="AN8742">
        <v>1.0000000254442001</v>
      </c>
    </row>
    <row r="8743" spans="1:40" x14ac:dyDescent="0.25">
      <c r="A8743" t="str">
        <f>"20190312154130534"</f>
        <v>20190312154130534</v>
      </c>
      <c r="B8743" t="str">
        <f>"1552376490524631"</f>
        <v>1552376490524631</v>
      </c>
      <c r="C8743" t="s">
        <v>40</v>
      </c>
      <c r="D8743">
        <v>4.0333589999999999</v>
      </c>
      <c r="E8743">
        <v>0.50171650000000001</v>
      </c>
      <c r="F8743" t="s">
        <v>97</v>
      </c>
      <c r="G8743">
        <v>-243.38339999999999</v>
      </c>
      <c r="H8743" s="1">
        <v>-2.191227E-6</v>
      </c>
      <c r="I8743">
        <v>-66.970510000000004</v>
      </c>
      <c r="J8743">
        <v>-275.25850000000003</v>
      </c>
      <c r="K8743">
        <v>1.110973</v>
      </c>
      <c r="L8743">
        <v>-58.85568</v>
      </c>
      <c r="M8743">
        <v>0.91376239999999997</v>
      </c>
      <c r="N8743">
        <v>0</v>
      </c>
      <c r="O8743">
        <v>-0.40602240000000001</v>
      </c>
      <c r="P8743">
        <v>0.92966680000000002</v>
      </c>
      <c r="Q8743">
        <v>-2.9268490000000001E-2</v>
      </c>
      <c r="R8743">
        <v>-0.3672377</v>
      </c>
      <c r="S8743">
        <v>2.9291689999999999</v>
      </c>
      <c r="T8743">
        <v>-0.1018646</v>
      </c>
      <c r="U8743">
        <v>-0.74685669999999904</v>
      </c>
      <c r="V8743">
        <v>-4.186964E-2</v>
      </c>
      <c r="W8743">
        <v>-1.5788480000000001E-2</v>
      </c>
      <c r="X8743">
        <v>0.99899830000000001</v>
      </c>
      <c r="Y8743">
        <v>-0.16738220000000001</v>
      </c>
      <c r="Z8743">
        <v>1.627373E-2</v>
      </c>
      <c r="AA8743">
        <v>0.98575780000000002</v>
      </c>
      <c r="AB8743">
        <v>16</v>
      </c>
      <c r="AC8743">
        <v>31.8751</v>
      </c>
      <c r="AD8743">
        <v>-1.1109751912270001</v>
      </c>
      <c r="AE8743">
        <v>-8.1148299999999907</v>
      </c>
      <c r="AF8743">
        <v>-5.5211879517791402</v>
      </c>
      <c r="AG8743">
        <v>-1.1109751912270001</v>
      </c>
      <c r="AH8743">
        <v>32.387106010708301</v>
      </c>
      <c r="AI8743">
        <v>91.936728283477805</v>
      </c>
      <c r="AJ8743">
        <v>99.674487515443801</v>
      </c>
      <c r="AK8743">
        <v>32.873126076223002</v>
      </c>
      <c r="AL8743">
        <v>90.904650880532401</v>
      </c>
      <c r="AM8743">
        <v>92.399954520111294</v>
      </c>
      <c r="AN8743">
        <v>0.99999997312866395</v>
      </c>
    </row>
    <row r="8744" spans="1:40" x14ac:dyDescent="0.25">
      <c r="A8744" t="str">
        <f>"20190312154130546"</f>
        <v>20190312154130546</v>
      </c>
      <c r="B8744" t="str">
        <f>"1552376490535366"</f>
        <v>1552376490535366</v>
      </c>
      <c r="C8744" t="s">
        <v>40</v>
      </c>
      <c r="D8744">
        <v>4.0253079999999999</v>
      </c>
      <c r="E8744">
        <v>0.50929309999999905</v>
      </c>
      <c r="F8744" t="s">
        <v>42</v>
      </c>
      <c r="G8744">
        <v>-264.78890000000001</v>
      </c>
      <c r="H8744" s="1">
        <v>-1.764905E-6</v>
      </c>
      <c r="I8744">
        <v>-63.034140000000001</v>
      </c>
      <c r="J8744">
        <v>-275.1884</v>
      </c>
      <c r="K8744">
        <v>1.1109739999999999</v>
      </c>
      <c r="L8744">
        <v>-58.885590000000001</v>
      </c>
      <c r="M8744">
        <v>0.91416439999999999</v>
      </c>
      <c r="N8744">
        <v>0</v>
      </c>
      <c r="O8744">
        <v>-0.40511550000000002</v>
      </c>
      <c r="P8744">
        <v>0.93002859999999998</v>
      </c>
      <c r="Q8744">
        <v>-2.943262E-2</v>
      </c>
      <c r="R8744">
        <v>-0.36630689999999999</v>
      </c>
      <c r="S8744">
        <v>2.77948</v>
      </c>
      <c r="T8744">
        <v>-0.29494130000000002</v>
      </c>
      <c r="U8744">
        <v>-1.1093139999999999</v>
      </c>
      <c r="V8744">
        <v>-4.1876219999999999E-2</v>
      </c>
      <c r="W8744">
        <v>-1.593466E-2</v>
      </c>
      <c r="X8744">
        <v>0.99899570000000004</v>
      </c>
      <c r="Y8744">
        <v>-3.5432909999999998E-2</v>
      </c>
      <c r="Z8744">
        <v>4.1410460000000003E-2</v>
      </c>
      <c r="AA8744">
        <v>0.99851380000000001</v>
      </c>
      <c r="AB8744">
        <v>16</v>
      </c>
      <c r="AC8744">
        <v>10.3994999999999</v>
      </c>
      <c r="AD8744">
        <v>-1.1109757649049901</v>
      </c>
      <c r="AE8744">
        <v>-4.1485500000000002</v>
      </c>
      <c r="AF8744">
        <v>-0.416480230137661</v>
      </c>
      <c r="AG8744">
        <v>-1.1109757649049901</v>
      </c>
      <c r="AH8744">
        <v>11.079443192203</v>
      </c>
      <c r="AI8744">
        <v>95.722099706348104</v>
      </c>
      <c r="AJ8744">
        <v>92.152755242261094</v>
      </c>
      <c r="AK8744">
        <v>11.1427906909156</v>
      </c>
      <c r="AL8744">
        <v>90.913027434550102</v>
      </c>
      <c r="AM8744">
        <v>92.400337482346004</v>
      </c>
      <c r="AN8744">
        <v>0.99999996990464601</v>
      </c>
    </row>
    <row r="8745" spans="1:40" x14ac:dyDescent="0.25">
      <c r="A8745" t="str">
        <f>"20190312154130556"</f>
        <v>20190312154130556</v>
      </c>
      <c r="B8745" t="str">
        <f>"1552376490545127"</f>
        <v>1552376490545127</v>
      </c>
      <c r="C8745" t="s">
        <v>40</v>
      </c>
      <c r="D8745">
        <v>3.9727250000000001</v>
      </c>
      <c r="E8745">
        <v>0.51668329999999996</v>
      </c>
      <c r="F8745" t="s">
        <v>41</v>
      </c>
      <c r="G8745">
        <v>-274.45179999999999</v>
      </c>
      <c r="H8745">
        <v>1.0241169999999999</v>
      </c>
      <c r="I8745">
        <v>-59.196069999999999</v>
      </c>
      <c r="J8745">
        <v>-275.11770000000001</v>
      </c>
      <c r="K8745">
        <v>1.110976</v>
      </c>
      <c r="L8745">
        <v>-58.915649999999999</v>
      </c>
      <c r="M8745">
        <v>0.91456970000000004</v>
      </c>
      <c r="N8745">
        <v>0</v>
      </c>
      <c r="O8745">
        <v>-0.40419939999999999</v>
      </c>
      <c r="P8745">
        <v>0.93036269999999999</v>
      </c>
      <c r="Q8745">
        <v>-2.912155E-2</v>
      </c>
      <c r="R8745">
        <v>-0.365483</v>
      </c>
      <c r="S8745">
        <v>2.7577509999999998</v>
      </c>
      <c r="T8745">
        <v>-0.32527209999999901</v>
      </c>
      <c r="U8745">
        <v>-1.162048</v>
      </c>
      <c r="V8745">
        <v>-4.1764959999999997E-2</v>
      </c>
      <c r="W8745">
        <v>-1.560571E-2</v>
      </c>
      <c r="X8745">
        <v>0.99900560000000005</v>
      </c>
      <c r="Y8745">
        <v>-1.508023E-2</v>
      </c>
      <c r="Z8745">
        <v>4.4535140000000001E-2</v>
      </c>
      <c r="AA8745">
        <v>0.99889399999999995</v>
      </c>
      <c r="AB8745">
        <v>15</v>
      </c>
      <c r="AC8745">
        <v>0.66590000000002103</v>
      </c>
      <c r="AD8745">
        <v>-8.6859000000000006E-2</v>
      </c>
      <c r="AE8745">
        <v>-0.280419999999999</v>
      </c>
      <c r="AF8745">
        <v>-1.2513088136662499E-2</v>
      </c>
      <c r="AG8745">
        <v>-8.6859000000000006E-2</v>
      </c>
      <c r="AH8745">
        <v>0.71213308620105198</v>
      </c>
      <c r="AI8745">
        <v>96.952965073879795</v>
      </c>
      <c r="AJ8745">
        <v>91.006656453269201</v>
      </c>
      <c r="AK8745">
        <v>0.71751975284165603</v>
      </c>
      <c r="AL8745">
        <v>90.894177598815602</v>
      </c>
      <c r="AM8745">
        <v>92.3939438123315</v>
      </c>
      <c r="AN8745">
        <v>1.0000000194498799</v>
      </c>
    </row>
    <row r="8746" spans="1:40" x14ac:dyDescent="0.25">
      <c r="A8746" t="str">
        <f>"20190312154130567"</f>
        <v>20190312154130567</v>
      </c>
      <c r="B8746" t="str">
        <f>"1552376490554887"</f>
        <v>1552376490554887</v>
      </c>
      <c r="C8746" t="s">
        <v>40</v>
      </c>
      <c r="D8746">
        <v>3.9628399999999999</v>
      </c>
      <c r="E8746">
        <v>0.52264750000000004</v>
      </c>
      <c r="F8746" t="s">
        <v>41</v>
      </c>
      <c r="G8746">
        <v>-274.45740000000001</v>
      </c>
      <c r="H8746">
        <v>1.0246630000000001</v>
      </c>
      <c r="I8746">
        <v>-59.208550000000002</v>
      </c>
      <c r="J8746">
        <v>-275.04930000000002</v>
      </c>
      <c r="K8746">
        <v>1.110992</v>
      </c>
      <c r="L8746">
        <v>-58.94464</v>
      </c>
      <c r="M8746">
        <v>0.91496650000000002</v>
      </c>
      <c r="N8746">
        <v>0</v>
      </c>
      <c r="O8746">
        <v>-0.40329969999999998</v>
      </c>
      <c r="P8746">
        <v>0.93072529999999998</v>
      </c>
      <c r="Q8746">
        <v>-2.9177330000000001E-2</v>
      </c>
      <c r="R8746">
        <v>-0.36455340000000003</v>
      </c>
      <c r="S8746">
        <v>2.7366640000000002</v>
      </c>
      <c r="T8746">
        <v>-0.35782000000000003</v>
      </c>
      <c r="U8746">
        <v>-1.2134400000000001</v>
      </c>
      <c r="V8746">
        <v>-4.1779700000000003E-2</v>
      </c>
      <c r="W8746">
        <v>-1.5647210000000002E-2</v>
      </c>
      <c r="X8746">
        <v>0.99900429999999996</v>
      </c>
      <c r="Y8746">
        <v>4.7849390000000002E-3</v>
      </c>
      <c r="Z8746">
        <v>4.7750550000000003E-2</v>
      </c>
      <c r="AA8746">
        <v>0.99884779999999995</v>
      </c>
      <c r="AB8746">
        <v>15</v>
      </c>
      <c r="AC8746">
        <v>0.59190000000000897</v>
      </c>
      <c r="AD8746">
        <v>-8.63290000000001E-2</v>
      </c>
      <c r="AE8746">
        <v>-0.26391000000000198</v>
      </c>
      <c r="AF8746">
        <v>2.7079210082908401E-3</v>
      </c>
      <c r="AG8746">
        <v>-8.63290000000001E-2</v>
      </c>
      <c r="AH8746">
        <v>0.63676442185239701</v>
      </c>
      <c r="AI8746">
        <v>97.720701993749302</v>
      </c>
      <c r="AJ8746">
        <v>89.756343940688595</v>
      </c>
      <c r="AK8746">
        <v>0.64259548552273904</v>
      </c>
      <c r="AL8746">
        <v>90.896555694902005</v>
      </c>
      <c r="AM8746">
        <v>92.394790829980593</v>
      </c>
      <c r="AN8746">
        <v>0.99999998496568099</v>
      </c>
    </row>
    <row r="8747" spans="1:40" x14ac:dyDescent="0.25">
      <c r="A8747" t="str">
        <f>"20190312154130580"</f>
        <v>20190312154130580</v>
      </c>
      <c r="B8747" t="str">
        <f>"1552376490575382"</f>
        <v>1552376490575382</v>
      </c>
      <c r="C8747" t="s">
        <v>40</v>
      </c>
      <c r="D8747">
        <v>3.937074</v>
      </c>
      <c r="E8747">
        <v>0.53022919999999996</v>
      </c>
      <c r="F8747" t="s">
        <v>41</v>
      </c>
      <c r="G8747">
        <v>-274.34350000000001</v>
      </c>
      <c r="H8747">
        <v>1.0087170000000001</v>
      </c>
      <c r="I8747">
        <v>-59.270189999999999</v>
      </c>
      <c r="J8747">
        <v>-274.97609999999997</v>
      </c>
      <c r="K8747">
        <v>1.111003</v>
      </c>
      <c r="L8747">
        <v>-58.9756199999999</v>
      </c>
      <c r="M8747">
        <v>0.91539199999999998</v>
      </c>
      <c r="N8747">
        <v>0</v>
      </c>
      <c r="O8747">
        <v>-0.40233229999999998</v>
      </c>
      <c r="P8747">
        <v>0.93102200000000002</v>
      </c>
      <c r="Q8747">
        <v>-2.899063E-2</v>
      </c>
      <c r="R8747">
        <v>-0.36381010000000003</v>
      </c>
      <c r="S8747">
        <v>2.7197269999999998</v>
      </c>
      <c r="T8747">
        <v>-0.3941559</v>
      </c>
      <c r="U8747">
        <v>-1.2540279999999999</v>
      </c>
      <c r="V8747">
        <v>-4.1523549999999999E-2</v>
      </c>
      <c r="W8747">
        <v>-1.5444980000000001E-2</v>
      </c>
      <c r="X8747">
        <v>0.99901810000000002</v>
      </c>
      <c r="Y8747">
        <v>2.0926190000000001E-2</v>
      </c>
      <c r="Z8747">
        <v>5.143615E-2</v>
      </c>
      <c r="AA8747">
        <v>0.99845700000000004</v>
      </c>
      <c r="AB8747">
        <v>15</v>
      </c>
      <c r="AC8747">
        <v>0.63259999999996797</v>
      </c>
      <c r="AD8747">
        <v>-0.102285999999999</v>
      </c>
      <c r="AE8747">
        <v>-0.29457000000000699</v>
      </c>
      <c r="AF8747">
        <v>1.4814716764806101E-2</v>
      </c>
      <c r="AG8747">
        <v>-0.102285999999999</v>
      </c>
      <c r="AH8747">
        <v>0.68298277714321298</v>
      </c>
      <c r="AI8747">
        <v>98.5155481020889</v>
      </c>
      <c r="AJ8747">
        <v>88.757380587668607</v>
      </c>
      <c r="AK8747">
        <v>0.69075855079982795</v>
      </c>
      <c r="AL8747">
        <v>90.884967392331305</v>
      </c>
      <c r="AM8747">
        <v>92.380092541374907</v>
      </c>
      <c r="AN8747">
        <v>0.99999995836970501</v>
      </c>
    </row>
    <row r="8748" spans="1:40" x14ac:dyDescent="0.25">
      <c r="A8748" t="str">
        <f>"20190312154130592"</f>
        <v>20190312154130592</v>
      </c>
      <c r="B8748" t="str">
        <f>"1552376490585143"</f>
        <v>1552376490585143</v>
      </c>
      <c r="C8748" t="s">
        <v>40</v>
      </c>
      <c r="D8748">
        <v>3.9373100000000001</v>
      </c>
      <c r="E8748">
        <v>0.53286160000000005</v>
      </c>
      <c r="F8748" t="s">
        <v>41</v>
      </c>
      <c r="G8748">
        <v>-274.23219999999998</v>
      </c>
      <c r="H8748">
        <v>0.992317</v>
      </c>
      <c r="I8748">
        <v>-59.336239999999997</v>
      </c>
      <c r="J8748">
        <v>-274.89179999999999</v>
      </c>
      <c r="K8748">
        <v>1.111019</v>
      </c>
      <c r="L8748">
        <v>-59.011049999999997</v>
      </c>
      <c r="M8748">
        <v>0.91588860000000005</v>
      </c>
      <c r="N8748">
        <v>0</v>
      </c>
      <c r="O8748">
        <v>-0.4012001</v>
      </c>
      <c r="P8748">
        <v>0.93142659999999999</v>
      </c>
      <c r="Q8748">
        <v>-2.8987079999999998E-2</v>
      </c>
      <c r="R8748">
        <v>-0.36277350000000003</v>
      </c>
      <c r="S8748">
        <v>2.6979679999999999</v>
      </c>
      <c r="T8748">
        <v>-0.43052380000000001</v>
      </c>
      <c r="U8748">
        <v>-1.307312</v>
      </c>
      <c r="V8748">
        <v>-4.1400180000000002E-2</v>
      </c>
      <c r="W8748">
        <v>-1.542643E-2</v>
      </c>
      <c r="X8748">
        <v>0.99902360000000001</v>
      </c>
      <c r="Y8748">
        <v>4.1681940000000001E-2</v>
      </c>
      <c r="Z8748">
        <v>5.4549819999999999E-2</v>
      </c>
      <c r="AA8748">
        <v>0.99764070000000005</v>
      </c>
      <c r="AB8748">
        <v>15</v>
      </c>
      <c r="AC8748">
        <v>0.65960000000001096</v>
      </c>
      <c r="AD8748">
        <v>-0.118701999999999</v>
      </c>
      <c r="AE8748">
        <v>-0.32519000000000597</v>
      </c>
      <c r="AF8748">
        <v>3.2366082343327801E-2</v>
      </c>
      <c r="AG8748">
        <v>-0.118701999999999</v>
      </c>
      <c r="AH8748">
        <v>0.716000726987294</v>
      </c>
      <c r="AI8748">
        <v>99.403719549603494</v>
      </c>
      <c r="AJ8748">
        <v>87.411764718292204</v>
      </c>
      <c r="AK8748">
        <v>0.72649485141781101</v>
      </c>
      <c r="AL8748">
        <v>90.883904346611899</v>
      </c>
      <c r="AM8748">
        <v>92.373016130531099</v>
      </c>
      <c r="AN8748">
        <v>1.00000005150176</v>
      </c>
    </row>
    <row r="8749" spans="1:40" x14ac:dyDescent="0.25">
      <c r="A8749" t="str">
        <f>"20190312154130605"</f>
        <v>20190312154130605</v>
      </c>
      <c r="B8749" t="str">
        <f>"1552376490594903"</f>
        <v>1552376490594903</v>
      </c>
      <c r="C8749" t="s">
        <v>40</v>
      </c>
      <c r="D8749">
        <v>3.9334169999999999</v>
      </c>
      <c r="E8749">
        <v>0.53495059999999905</v>
      </c>
      <c r="F8749" t="s">
        <v>41</v>
      </c>
      <c r="G8749">
        <v>-274.22809999999998</v>
      </c>
      <c r="H8749">
        <v>1.0009440000000001</v>
      </c>
      <c r="I8749">
        <v>-59.337510000000002</v>
      </c>
      <c r="J8749">
        <v>-274.81470000000002</v>
      </c>
      <c r="K8749">
        <v>1.1110390000000001</v>
      </c>
      <c r="L8749">
        <v>-59.043370000000003</v>
      </c>
      <c r="M8749">
        <v>0.91634819999999995</v>
      </c>
      <c r="N8749">
        <v>0</v>
      </c>
      <c r="O8749">
        <v>-0.40014860000000002</v>
      </c>
      <c r="P8749">
        <v>0.93161090000000002</v>
      </c>
      <c r="Q8749">
        <v>-2.8976950000000001E-2</v>
      </c>
      <c r="R8749">
        <v>-0.36230059999999997</v>
      </c>
      <c r="S8749">
        <v>2.6915589999999998</v>
      </c>
      <c r="T8749">
        <v>-0.44647900000000001</v>
      </c>
      <c r="U8749">
        <v>-1.3232729999999999</v>
      </c>
      <c r="V8749">
        <v>-4.0760419999999999E-2</v>
      </c>
      <c r="W8749">
        <v>-1.540248E-2</v>
      </c>
      <c r="X8749">
        <v>0.9990502</v>
      </c>
      <c r="Y8749">
        <v>4.8707100000000003E-2</v>
      </c>
      <c r="Z8749">
        <v>5.5889250000000001E-2</v>
      </c>
      <c r="AA8749">
        <v>0.99724820000000003</v>
      </c>
      <c r="AB8749">
        <v>15</v>
      </c>
      <c r="AC8749">
        <v>0.58660000000003198</v>
      </c>
      <c r="AD8749">
        <v>-0.110094999999999</v>
      </c>
      <c r="AE8749">
        <v>-0.29413999999999801</v>
      </c>
      <c r="AF8749">
        <v>3.3857729390217299E-2</v>
      </c>
      <c r="AG8749">
        <v>-0.110094999999999</v>
      </c>
      <c r="AH8749">
        <v>0.637350890319062</v>
      </c>
      <c r="AI8749">
        <v>99.786937827500495</v>
      </c>
      <c r="AJ8749">
        <v>86.959158132714606</v>
      </c>
      <c r="AK8749">
        <v>0.64767539111422401</v>
      </c>
      <c r="AL8749">
        <v>90.882532017075704</v>
      </c>
      <c r="AM8749">
        <v>92.336324556777598</v>
      </c>
      <c r="AN8749">
        <v>0.99999997517438299</v>
      </c>
    </row>
    <row r="8750" spans="1:40" x14ac:dyDescent="0.25">
      <c r="A8750" t="str">
        <f>"20190312154130617"</f>
        <v>20190312154130617</v>
      </c>
      <c r="B8750" t="str">
        <f>"1552376490604664"</f>
        <v>1552376490604664</v>
      </c>
      <c r="C8750" t="s">
        <v>40</v>
      </c>
      <c r="D8750">
        <v>3.9979990000000001</v>
      </c>
      <c r="E8750">
        <v>0.53664060000000002</v>
      </c>
      <c r="F8750" t="s">
        <v>41</v>
      </c>
      <c r="G8750">
        <v>-274.10969999999998</v>
      </c>
      <c r="H8750">
        <v>0.99035700000000004</v>
      </c>
      <c r="I8750">
        <v>-59.394519999999901</v>
      </c>
      <c r="J8750">
        <v>-274.7373</v>
      </c>
      <c r="K8750">
        <v>1.1110599999999999</v>
      </c>
      <c r="L8750">
        <v>-59.075710000000001</v>
      </c>
      <c r="M8750">
        <v>0.91681230000000002</v>
      </c>
      <c r="N8750">
        <v>0</v>
      </c>
      <c r="O8750">
        <v>-0.39908379999999999</v>
      </c>
      <c r="P8750">
        <v>0.93179829999999997</v>
      </c>
      <c r="Q8750">
        <v>-2.8734639999999999E-2</v>
      </c>
      <c r="R8750">
        <v>-0.36183799999999999</v>
      </c>
      <c r="S8750">
        <v>2.6858520000000001</v>
      </c>
      <c r="T8750">
        <v>-0.45984609999999898</v>
      </c>
      <c r="U8750">
        <v>-1.3373109999999999</v>
      </c>
      <c r="V8750">
        <v>-4.0099349999999999E-2</v>
      </c>
      <c r="W8750">
        <v>-1.5146959999999999E-2</v>
      </c>
      <c r="X8750">
        <v>0.99908090000000005</v>
      </c>
      <c r="Y8750">
        <v>5.5026239999999997E-2</v>
      </c>
      <c r="Z8750">
        <v>5.691363E-2</v>
      </c>
      <c r="AA8750">
        <v>0.99686160000000001</v>
      </c>
      <c r="AB8750">
        <v>15</v>
      </c>
      <c r="AC8750">
        <v>0.62760000000002902</v>
      </c>
      <c r="AD8750">
        <v>-0.12070299999999901</v>
      </c>
      <c r="AE8750">
        <v>-0.31880999999999199</v>
      </c>
      <c r="AF8750">
        <v>4.0633167148427803E-2</v>
      </c>
      <c r="AG8750">
        <v>-0.12070299999999901</v>
      </c>
      <c r="AH8750">
        <v>0.68261891696550703</v>
      </c>
      <c r="AI8750">
        <v>100.010223413472</v>
      </c>
      <c r="AJ8750">
        <v>86.593465182528405</v>
      </c>
      <c r="AK8750">
        <v>0.69439819576426998</v>
      </c>
      <c r="AL8750">
        <v>90.8678900550115</v>
      </c>
      <c r="AM8750">
        <v>92.298403462812203</v>
      </c>
      <c r="AN8750">
        <v>1.0000000165062299</v>
      </c>
    </row>
    <row r="8751" spans="1:40" x14ac:dyDescent="0.25">
      <c r="A8751" t="str">
        <f>"20190312154130630"</f>
        <v>20190312154130630</v>
      </c>
      <c r="B8751" t="str">
        <f>"1552376490615399"</f>
        <v>1552376490615399</v>
      </c>
      <c r="C8751" t="s">
        <v>40</v>
      </c>
      <c r="D8751">
        <v>3.988775</v>
      </c>
      <c r="E8751">
        <v>0.5380682</v>
      </c>
      <c r="F8751" t="s">
        <v>41</v>
      </c>
      <c r="G8751">
        <v>-274.1044</v>
      </c>
      <c r="H8751">
        <v>0.99983469999999997</v>
      </c>
      <c r="I8751">
        <v>-59.394080000000002</v>
      </c>
      <c r="J8751">
        <v>-274.66199999999998</v>
      </c>
      <c r="K8751">
        <v>1.111083</v>
      </c>
      <c r="L8751">
        <v>-59.107059999999997</v>
      </c>
      <c r="M8751">
        <v>0.91727590000000003</v>
      </c>
      <c r="N8751">
        <v>0</v>
      </c>
      <c r="O8751">
        <v>-0.39801720000000002</v>
      </c>
      <c r="P8751">
        <v>0.93189350000000004</v>
      </c>
      <c r="Q8751">
        <v>-2.8517689999999998E-2</v>
      </c>
      <c r="R8751">
        <v>-0.36160969999999998</v>
      </c>
      <c r="S8751">
        <v>2.6815190000000002</v>
      </c>
      <c r="T8751">
        <v>-0.47128350000000002</v>
      </c>
      <c r="U8751">
        <v>-1.348236</v>
      </c>
      <c r="V8751">
        <v>-3.9184299999999998E-2</v>
      </c>
      <c r="W8751">
        <v>-1.491817E-2</v>
      </c>
      <c r="X8751">
        <v>0.99912069999999997</v>
      </c>
      <c r="Y8751">
        <v>6.0190979999999998E-2</v>
      </c>
      <c r="Z8751">
        <v>5.7751579999999997E-2</v>
      </c>
      <c r="AA8751">
        <v>0.99651480000000003</v>
      </c>
      <c r="AB8751">
        <v>15</v>
      </c>
      <c r="AC8751">
        <v>0.55760000000003596</v>
      </c>
      <c r="AD8751">
        <v>-0.11124829999999999</v>
      </c>
      <c r="AE8751">
        <v>-0.28702000000000499</v>
      </c>
      <c r="AF8751">
        <v>4.00846382435011E-2</v>
      </c>
      <c r="AG8751">
        <v>-0.11124829999999999</v>
      </c>
      <c r="AH8751">
        <v>0.60667971848316105</v>
      </c>
      <c r="AI8751">
        <v>100.368905632081</v>
      </c>
      <c r="AJ8751">
        <v>86.219838614210005</v>
      </c>
      <c r="AK8751">
        <v>0.61809646762848403</v>
      </c>
      <c r="AL8751">
        <v>90.854779829108594</v>
      </c>
      <c r="AM8751">
        <v>92.245919841591899</v>
      </c>
      <c r="AN8751">
        <v>1.00000006716556</v>
      </c>
    </row>
    <row r="8752" spans="1:40" x14ac:dyDescent="0.25">
      <c r="A8752" t="str">
        <f>"20190312154130642"</f>
        <v>20190312154130642</v>
      </c>
      <c r="B8752" t="str">
        <f>"1552376490634919"</f>
        <v>1552376490634919</v>
      </c>
      <c r="C8752" t="s">
        <v>40</v>
      </c>
      <c r="D8752">
        <v>3.8904000000000001</v>
      </c>
      <c r="E8752">
        <v>0.53995729999999997</v>
      </c>
      <c r="F8752" t="s">
        <v>41</v>
      </c>
      <c r="G8752">
        <v>-273.98559999999998</v>
      </c>
      <c r="H8752">
        <v>0.98983960000000004</v>
      </c>
      <c r="I8752">
        <v>-59.450310000000002</v>
      </c>
      <c r="J8752">
        <v>-274.58300000000003</v>
      </c>
      <c r="K8752">
        <v>1.11111</v>
      </c>
      <c r="L8752">
        <v>-59.139740000000003</v>
      </c>
      <c r="M8752">
        <v>0.91776579999999996</v>
      </c>
      <c r="N8752">
        <v>0</v>
      </c>
      <c r="O8752">
        <v>-0.39688560000000001</v>
      </c>
      <c r="P8752">
        <v>0.93195779999999995</v>
      </c>
      <c r="Q8752">
        <v>-2.8549700000000001E-2</v>
      </c>
      <c r="R8752">
        <v>-0.36144130000000002</v>
      </c>
      <c r="S8752">
        <v>2.6775820000000001</v>
      </c>
      <c r="T8752">
        <v>-0.48012709999999997</v>
      </c>
      <c r="U8752">
        <v>-1.358063</v>
      </c>
      <c r="V8752">
        <v>-3.8131379999999999E-2</v>
      </c>
      <c r="W8752">
        <v>-1.493803E-2</v>
      </c>
      <c r="X8752">
        <v>0.99916110000000002</v>
      </c>
      <c r="Y8752">
        <v>6.4996559999999995E-2</v>
      </c>
      <c r="Z8752">
        <v>5.826895E-2</v>
      </c>
      <c r="AA8752">
        <v>0.99618280000000003</v>
      </c>
      <c r="AB8752">
        <v>15</v>
      </c>
      <c r="AC8752">
        <v>0.59739999999999305</v>
      </c>
      <c r="AD8752">
        <v>-0.1212704</v>
      </c>
      <c r="AE8752">
        <v>-0.31056999999999102</v>
      </c>
      <c r="AF8752">
        <v>4.6429383388076402E-2</v>
      </c>
      <c r="AG8752">
        <v>-0.1212704</v>
      </c>
      <c r="AH8752">
        <v>0.65049484104529398</v>
      </c>
      <c r="AI8752">
        <v>100.53410761709701</v>
      </c>
      <c r="AJ8752">
        <v>85.917409541076793</v>
      </c>
      <c r="AK8752">
        <v>0.66332928156723203</v>
      </c>
      <c r="AL8752">
        <v>90.855917885844804</v>
      </c>
      <c r="AM8752">
        <v>92.185540852944598</v>
      </c>
      <c r="AN8752">
        <v>1.00000002531709</v>
      </c>
    </row>
    <row r="8753" spans="1:40" x14ac:dyDescent="0.25">
      <c r="A8753" t="str">
        <f>"20190312154130652"</f>
        <v>20190312154130652</v>
      </c>
      <c r="B8753" t="str">
        <f>"1552376490644679"</f>
        <v>1552376490644679</v>
      </c>
      <c r="C8753" t="s">
        <v>40</v>
      </c>
      <c r="D8753">
        <v>3.9654780000000001</v>
      </c>
      <c r="E8753">
        <v>0.54084529999999997</v>
      </c>
      <c r="F8753" t="s">
        <v>41</v>
      </c>
      <c r="G8753">
        <v>-273.86759999999998</v>
      </c>
      <c r="H8753">
        <v>0.97956010000000004</v>
      </c>
      <c r="I8753">
        <v>-59.507010000000001</v>
      </c>
      <c r="J8753">
        <v>-274.51490000000001</v>
      </c>
      <c r="K8753">
        <v>1.1111329999999999</v>
      </c>
      <c r="L8753">
        <v>-59.167850000000001</v>
      </c>
      <c r="M8753">
        <v>0.91819660000000003</v>
      </c>
      <c r="N8753">
        <v>0</v>
      </c>
      <c r="O8753">
        <v>-0.3958874</v>
      </c>
      <c r="P8753">
        <v>0.93199270000000001</v>
      </c>
      <c r="Q8753">
        <v>-2.8771669999999999E-2</v>
      </c>
      <c r="R8753">
        <v>-0.36133359999999998</v>
      </c>
      <c r="S8753">
        <v>2.6721189999999999</v>
      </c>
      <c r="T8753">
        <v>-0.49143009999999898</v>
      </c>
      <c r="U8753">
        <v>-1.3713679999999999</v>
      </c>
      <c r="V8753">
        <v>-3.7156939999999999E-2</v>
      </c>
      <c r="W8753">
        <v>-1.515007E-2</v>
      </c>
      <c r="X8753">
        <v>0.99919460000000004</v>
      </c>
      <c r="Y8753">
        <v>7.0934529999999996E-2</v>
      </c>
      <c r="Z8753">
        <v>5.8988409999999998E-2</v>
      </c>
      <c r="AA8753">
        <v>0.99573520000000004</v>
      </c>
      <c r="AB8753">
        <v>15</v>
      </c>
      <c r="AC8753">
        <v>0.64730000000002896</v>
      </c>
      <c r="AD8753">
        <v>-0.13157289999999899</v>
      </c>
      <c r="AE8753">
        <v>-0.33915999999999902</v>
      </c>
      <c r="AF8753">
        <v>5.3430781313206201E-2</v>
      </c>
      <c r="AG8753">
        <v>-0.13157289999999899</v>
      </c>
      <c r="AH8753">
        <v>0.70580642155381101</v>
      </c>
      <c r="AI8753">
        <v>100.530135551857</v>
      </c>
      <c r="AJ8753">
        <v>85.670866354653</v>
      </c>
      <c r="AK8753">
        <v>0.71995067963906101</v>
      </c>
      <c r="AL8753">
        <v>90.868068274678095</v>
      </c>
      <c r="AM8753">
        <v>92.129670548228802</v>
      </c>
      <c r="AN8753">
        <v>1.0000000057401599</v>
      </c>
    </row>
    <row r="8754" spans="1:40" x14ac:dyDescent="0.25">
      <c r="A8754" t="str">
        <f>"20190312154130663"</f>
        <v>20190312154130663</v>
      </c>
      <c r="B8754" t="str">
        <f>"1552376490655414"</f>
        <v>1552376490655414</v>
      </c>
      <c r="C8754" t="s">
        <v>40</v>
      </c>
      <c r="D8754">
        <v>3.936213</v>
      </c>
      <c r="E8754">
        <v>0.54140940000000004</v>
      </c>
      <c r="F8754" t="s">
        <v>41</v>
      </c>
      <c r="G8754">
        <v>-273.86149999999998</v>
      </c>
      <c r="H8754">
        <v>0.98947510000000005</v>
      </c>
      <c r="I8754">
        <v>-59.505189999999999</v>
      </c>
      <c r="J8754">
        <v>-274.44529999999997</v>
      </c>
      <c r="K8754">
        <v>1.111157</v>
      </c>
      <c r="L8754">
        <v>-59.19641</v>
      </c>
      <c r="M8754">
        <v>0.91864389999999996</v>
      </c>
      <c r="N8754">
        <v>0</v>
      </c>
      <c r="O8754">
        <v>-0.39484799999999998</v>
      </c>
      <c r="P8754">
        <v>0.9320136</v>
      </c>
      <c r="Q8754">
        <v>-2.9199940000000001E-2</v>
      </c>
      <c r="R8754">
        <v>-0.3612455</v>
      </c>
      <c r="S8754">
        <v>2.6694339999999999</v>
      </c>
      <c r="T8754">
        <v>-0.49708599999999997</v>
      </c>
      <c r="U8754">
        <v>-1.3776550000000001</v>
      </c>
      <c r="V8754">
        <v>-3.6114210000000001E-2</v>
      </c>
      <c r="W8754">
        <v>-1.556868E-2</v>
      </c>
      <c r="X8754">
        <v>0.99922639999999996</v>
      </c>
      <c r="Y8754">
        <v>7.4359910000000001E-2</v>
      </c>
      <c r="Z8754">
        <v>5.9214830000000003E-2</v>
      </c>
      <c r="AA8754">
        <v>0.99547180000000002</v>
      </c>
      <c r="AB8754">
        <v>15</v>
      </c>
      <c r="AC8754">
        <v>0.58379999999999599</v>
      </c>
      <c r="AD8754">
        <v>-0.121681899999999</v>
      </c>
      <c r="AE8754">
        <v>-0.308779999999998</v>
      </c>
      <c r="AF8754">
        <v>5.1406523145588898E-2</v>
      </c>
      <c r="AG8754">
        <v>-0.121681899999999</v>
      </c>
      <c r="AH8754">
        <v>0.63667445168924897</v>
      </c>
      <c r="AI8754">
        <v>100.785675495025</v>
      </c>
      <c r="AJ8754">
        <v>85.3838243069642</v>
      </c>
      <c r="AK8754">
        <v>0.65023339874489205</v>
      </c>
      <c r="AL8754">
        <v>90.892055687490398</v>
      </c>
      <c r="AM8754">
        <v>92.069892822981998</v>
      </c>
      <c r="AN8754">
        <v>1.0000000092089101</v>
      </c>
    </row>
    <row r="8755" spans="1:40" x14ac:dyDescent="0.25">
      <c r="A8755" t="str">
        <f>"20190312154130673"</f>
        <v>20190312154130673</v>
      </c>
      <c r="B8755" t="str">
        <f>"1552376490665175"</f>
        <v>1552376490665175</v>
      </c>
      <c r="C8755" t="s">
        <v>40</v>
      </c>
      <c r="D8755">
        <v>4.0015280000000004</v>
      </c>
      <c r="E8755">
        <v>0.54212099999999996</v>
      </c>
      <c r="F8755" t="s">
        <v>41</v>
      </c>
      <c r="G8755">
        <v>-273.74310000000003</v>
      </c>
      <c r="H8755">
        <v>0.97892279999999998</v>
      </c>
      <c r="I8755">
        <v>-59.560389999999998</v>
      </c>
      <c r="J8755">
        <v>-274.37799999999999</v>
      </c>
      <c r="K8755">
        <v>1.1111789999999999</v>
      </c>
      <c r="L8755">
        <v>-59.224029999999999</v>
      </c>
      <c r="M8755">
        <v>0.91908230000000002</v>
      </c>
      <c r="N8755">
        <v>0</v>
      </c>
      <c r="O8755">
        <v>-0.39382620000000002</v>
      </c>
      <c r="P8755">
        <v>0.93211999999999995</v>
      </c>
      <c r="Q8755">
        <v>-2.9775449999999998E-2</v>
      </c>
      <c r="R8755">
        <v>-0.36092340000000001</v>
      </c>
      <c r="S8755">
        <v>2.6675420000000001</v>
      </c>
      <c r="T8755">
        <v>-0.50247559999999902</v>
      </c>
      <c r="U8755">
        <v>-1.381775</v>
      </c>
      <c r="V8755">
        <v>-3.5338660000000001E-2</v>
      </c>
      <c r="W8755">
        <v>-1.6135989999999999E-2</v>
      </c>
      <c r="X8755">
        <v>0.9992451</v>
      </c>
      <c r="Y8755">
        <v>7.7010159999999994E-2</v>
      </c>
      <c r="Z8755">
        <v>5.9467560000000003E-2</v>
      </c>
      <c r="AA8755">
        <v>0.99525529999999995</v>
      </c>
      <c r="AB8755">
        <v>15</v>
      </c>
      <c r="AC8755">
        <v>0.63489999999995905</v>
      </c>
      <c r="AD8755">
        <v>-0.13225619999999999</v>
      </c>
      <c r="AE8755">
        <v>-0.33635999999999899</v>
      </c>
      <c r="AF8755">
        <v>5.7170719741848501E-2</v>
      </c>
      <c r="AG8755">
        <v>-0.13225619999999999</v>
      </c>
      <c r="AH8755">
        <v>0.69259304628856699</v>
      </c>
      <c r="AI8755">
        <v>100.77515059276099</v>
      </c>
      <c r="AJ8755">
        <v>85.281166398249596</v>
      </c>
      <c r="AK8755">
        <v>0.70742160088699502</v>
      </c>
      <c r="AL8755">
        <v>90.9245642677771</v>
      </c>
      <c r="AM8755">
        <v>92.025441583846401</v>
      </c>
      <c r="AN8755">
        <v>0.99999998046894201</v>
      </c>
    </row>
    <row r="8756" spans="1:40" x14ac:dyDescent="0.25">
      <c r="A8756" t="str">
        <f>"20190312154130684"</f>
        <v>20190312154130684</v>
      </c>
      <c r="B8756" t="str">
        <f>"1552376490674935"</f>
        <v>1552376490674935</v>
      </c>
      <c r="C8756" t="s">
        <v>40</v>
      </c>
      <c r="D8756">
        <v>3.9468809999999999</v>
      </c>
      <c r="E8756">
        <v>0.54251519999999898</v>
      </c>
      <c r="F8756" t="s">
        <v>41</v>
      </c>
      <c r="G8756">
        <v>-273.73669999999998</v>
      </c>
      <c r="H8756">
        <v>0.98863860000000003</v>
      </c>
      <c r="I8756">
        <v>-59.557740000000003</v>
      </c>
      <c r="J8756">
        <v>-274.31599999999997</v>
      </c>
      <c r="K8756">
        <v>1.1112029999999999</v>
      </c>
      <c r="L8756">
        <v>-59.24924</v>
      </c>
      <c r="M8756">
        <v>0.91949440000000005</v>
      </c>
      <c r="N8756">
        <v>0</v>
      </c>
      <c r="O8756">
        <v>-0.39286330000000003</v>
      </c>
      <c r="P8756">
        <v>0.93233699999999997</v>
      </c>
      <c r="Q8756">
        <v>-3.033568E-2</v>
      </c>
      <c r="R8756">
        <v>-0.36031619999999998</v>
      </c>
      <c r="S8756">
        <v>2.6654360000000001</v>
      </c>
      <c r="T8756">
        <v>-0.509571</v>
      </c>
      <c r="U8756">
        <v>-1.3862000000000001</v>
      </c>
      <c r="V8756">
        <v>-3.493429E-2</v>
      </c>
      <c r="W8756">
        <v>-1.6690070000000001E-2</v>
      </c>
      <c r="X8756">
        <v>0.99925019999999998</v>
      </c>
      <c r="Y8756">
        <v>7.9743140000000004E-2</v>
      </c>
      <c r="Z8756">
        <v>5.9913479999999998E-2</v>
      </c>
      <c r="AA8756">
        <v>0.99501329999999999</v>
      </c>
      <c r="AB8756">
        <v>15</v>
      </c>
      <c r="AC8756">
        <v>0.57929999999998905</v>
      </c>
      <c r="AD8756">
        <v>-0.1225644</v>
      </c>
      <c r="AE8756">
        <v>-0.30850000000000199</v>
      </c>
      <c r="AF8756">
        <v>5.4193687498726398E-2</v>
      </c>
      <c r="AG8756">
        <v>-0.1225644</v>
      </c>
      <c r="AH8756">
        <v>0.63188709694748102</v>
      </c>
      <c r="AI8756">
        <v>100.937925582925</v>
      </c>
      <c r="AJ8756">
        <v>85.098032881235298</v>
      </c>
      <c r="AK8756">
        <v>0.64594139920025595</v>
      </c>
      <c r="AL8756">
        <v>90.956315008293203</v>
      </c>
      <c r="AM8756">
        <v>92.002273808437096</v>
      </c>
      <c r="AN8756">
        <v>0.99999996262722302</v>
      </c>
    </row>
    <row r="8757" spans="1:40" x14ac:dyDescent="0.25">
      <c r="A8757" t="str">
        <f>"20190312154130695"</f>
        <v>20190312154130695</v>
      </c>
      <c r="B8757" t="str">
        <f>"1552376490684696"</f>
        <v>1552376490684696</v>
      </c>
      <c r="C8757" t="s">
        <v>40</v>
      </c>
      <c r="D8757">
        <v>3.936277</v>
      </c>
      <c r="E8757">
        <v>0.54266510000000001</v>
      </c>
      <c r="F8757" t="s">
        <v>41</v>
      </c>
      <c r="G8757">
        <v>-273.6191</v>
      </c>
      <c r="H8757">
        <v>0.9770238</v>
      </c>
      <c r="I8757">
        <v>-59.612229999999997</v>
      </c>
      <c r="J8757">
        <v>-274.24540000000002</v>
      </c>
      <c r="K8757">
        <v>1.111224</v>
      </c>
      <c r="L8757">
        <v>-59.277920000000002</v>
      </c>
      <c r="M8757">
        <v>0.91996809999999996</v>
      </c>
      <c r="N8757">
        <v>0</v>
      </c>
      <c r="O8757">
        <v>-0.3917524</v>
      </c>
      <c r="P8757">
        <v>0.93272520000000003</v>
      </c>
      <c r="Q8757">
        <v>-3.009556E-2</v>
      </c>
      <c r="R8757">
        <v>-0.35933090000000001</v>
      </c>
      <c r="S8757">
        <v>2.6647340000000002</v>
      </c>
      <c r="T8757">
        <v>-0.51306160000000001</v>
      </c>
      <c r="U8757">
        <v>-1.3876949999999999</v>
      </c>
      <c r="V8757">
        <v>-3.4785770000000001E-2</v>
      </c>
      <c r="W8757">
        <v>-1.6443880000000001E-2</v>
      </c>
      <c r="X8757">
        <v>0.99925949999999997</v>
      </c>
      <c r="Y8757">
        <v>8.1512490000000007E-2</v>
      </c>
      <c r="Z8757">
        <v>5.998626E-2</v>
      </c>
      <c r="AA8757">
        <v>0.99486549999999996</v>
      </c>
      <c r="AB8757">
        <v>15</v>
      </c>
      <c r="AC8757">
        <v>0.62630000000001396</v>
      </c>
      <c r="AD8757">
        <v>-0.13420019999999899</v>
      </c>
      <c r="AE8757">
        <v>-0.33431000000000899</v>
      </c>
      <c r="AF8757">
        <v>6.0059793914448399E-2</v>
      </c>
      <c r="AG8757">
        <v>-0.13420019999999899</v>
      </c>
      <c r="AH8757">
        <v>0.68281099260174605</v>
      </c>
      <c r="AI8757">
        <v>101.077523827471</v>
      </c>
      <c r="AJ8757">
        <v>84.973222378136896</v>
      </c>
      <c r="AK8757">
        <v>0.69846096823148796</v>
      </c>
      <c r="AL8757">
        <v>90.942207388724697</v>
      </c>
      <c r="AM8757">
        <v>91.9937496649179</v>
      </c>
      <c r="AN8757">
        <v>0.99999999966209796</v>
      </c>
    </row>
    <row r="8758" spans="1:40" x14ac:dyDescent="0.25">
      <c r="A8758" t="str">
        <f>"20190312154130708"</f>
        <v>20190312154130708</v>
      </c>
      <c r="B8758" t="str">
        <f>"1552376490695431"</f>
        <v>1552376490695431</v>
      </c>
      <c r="C8758" t="s">
        <v>40</v>
      </c>
      <c r="D8758">
        <v>3.958472</v>
      </c>
      <c r="E8758">
        <v>0.54287700000000005</v>
      </c>
      <c r="F8758" t="s">
        <v>41</v>
      </c>
      <c r="G8758">
        <v>-273.61090000000002</v>
      </c>
      <c r="H8758">
        <v>0.98885440000000002</v>
      </c>
      <c r="I8758">
        <v>-59.607970000000002</v>
      </c>
      <c r="J8758">
        <v>-274.16910000000001</v>
      </c>
      <c r="K8758">
        <v>1.111251</v>
      </c>
      <c r="L8758">
        <v>-59.308720000000001</v>
      </c>
      <c r="M8758">
        <v>0.92049449999999999</v>
      </c>
      <c r="N8758">
        <v>0</v>
      </c>
      <c r="O8758">
        <v>-0.39051340000000001</v>
      </c>
      <c r="P8758">
        <v>0.93325369999999996</v>
      </c>
      <c r="Q8758">
        <v>-2.9893800000000002E-2</v>
      </c>
      <c r="R8758">
        <v>-0.35797259999999997</v>
      </c>
      <c r="S8758">
        <v>2.6657410000000001</v>
      </c>
      <c r="T8758">
        <v>-0.51416149999999905</v>
      </c>
      <c r="U8758">
        <v>-1.3863529999999999</v>
      </c>
      <c r="V8758">
        <v>-3.489739E-2</v>
      </c>
      <c r="W8758">
        <v>-1.6237109999999999E-2</v>
      </c>
      <c r="X8758">
        <v>0.99925900000000001</v>
      </c>
      <c r="Y8758">
        <v>8.2296969999999997E-2</v>
      </c>
      <c r="Z8758">
        <v>5.9832280000000002E-2</v>
      </c>
      <c r="AA8758">
        <v>0.99481019999999998</v>
      </c>
      <c r="AB8758">
        <v>15</v>
      </c>
      <c r="AC8758">
        <v>0.55819999999999903</v>
      </c>
      <c r="AD8758">
        <v>-0.122396599999999</v>
      </c>
      <c r="AE8758">
        <v>-0.29925000000000002</v>
      </c>
      <c r="AF8758">
        <v>5.5409507501402798E-2</v>
      </c>
      <c r="AG8758">
        <v>-0.122396599999999</v>
      </c>
      <c r="AH8758">
        <v>0.60803316306002397</v>
      </c>
      <c r="AI8758">
        <v>101.33574311030701</v>
      </c>
      <c r="AJ8758">
        <v>84.793069765918005</v>
      </c>
      <c r="AK8758">
        <v>0.62270014340281399</v>
      </c>
      <c r="AL8758">
        <v>90.930358748480501</v>
      </c>
      <c r="AM8758">
        <v>92.000142987716004</v>
      </c>
      <c r="AN8758">
        <v>1.00000001032548</v>
      </c>
    </row>
    <row r="8759" spans="1:40" x14ac:dyDescent="0.25">
      <c r="A8759" t="str">
        <f>"20190312154130719"</f>
        <v>20190312154130719</v>
      </c>
      <c r="B8759" t="str">
        <f>"1552376490714953"</f>
        <v>1552376490714953</v>
      </c>
      <c r="C8759" t="s">
        <v>40</v>
      </c>
      <c r="D8759">
        <v>4.0236229999999997</v>
      </c>
      <c r="E8759">
        <v>0.54353980000000002</v>
      </c>
      <c r="F8759" t="s">
        <v>41</v>
      </c>
      <c r="G8759">
        <v>-273.49110000000002</v>
      </c>
      <c r="H8759">
        <v>0.98035689999999998</v>
      </c>
      <c r="I8759">
        <v>-59.660739999999997</v>
      </c>
      <c r="J8759">
        <v>-274.09460000000001</v>
      </c>
      <c r="K8759">
        <v>1.111278</v>
      </c>
      <c r="L8759">
        <v>-59.338679999999997</v>
      </c>
      <c r="M8759">
        <v>0.921014</v>
      </c>
      <c r="N8759">
        <v>0</v>
      </c>
      <c r="O8759">
        <v>-0.38928689999999999</v>
      </c>
      <c r="P8759">
        <v>0.93379570000000001</v>
      </c>
      <c r="Q8759">
        <v>-2.9075219999999999E-2</v>
      </c>
      <c r="R8759">
        <v>-0.35662430000000001</v>
      </c>
      <c r="S8759">
        <v>2.667084</v>
      </c>
      <c r="T8759">
        <v>-0.51508949999999998</v>
      </c>
      <c r="U8759">
        <v>-1.384277</v>
      </c>
      <c r="V8759">
        <v>-3.5020299999999997E-2</v>
      </c>
      <c r="W8759">
        <v>-1.54138E-2</v>
      </c>
      <c r="X8759">
        <v>0.99926780000000004</v>
      </c>
      <c r="Y8759">
        <v>8.2801659999999999E-2</v>
      </c>
      <c r="Z8759">
        <v>5.968242E-2</v>
      </c>
      <c r="AA8759">
        <v>0.99477729999999998</v>
      </c>
      <c r="AB8759">
        <v>15</v>
      </c>
      <c r="AC8759">
        <v>0.60349999999999604</v>
      </c>
      <c r="AD8759">
        <v>-0.13092110000000001</v>
      </c>
      <c r="AE8759">
        <v>-0.32206000000000001</v>
      </c>
      <c r="AF8759">
        <v>5.9513006449554103E-2</v>
      </c>
      <c r="AG8759">
        <v>-0.13092110000000001</v>
      </c>
      <c r="AH8759">
        <v>0.65719708461011805</v>
      </c>
      <c r="AI8759">
        <v>101.221731040745</v>
      </c>
      <c r="AJ8759">
        <v>84.825648003176298</v>
      </c>
      <c r="AK8759">
        <v>0.67274819983550604</v>
      </c>
      <c r="AL8759">
        <v>90.883180597347106</v>
      </c>
      <c r="AM8759">
        <v>92.0071641573753</v>
      </c>
      <c r="AN8759">
        <v>1.0000000713796799</v>
      </c>
    </row>
    <row r="8760" spans="1:40" x14ac:dyDescent="0.25">
      <c r="A8760" t="str">
        <f>"20190312154130730"</f>
        <v>20190312154130730</v>
      </c>
      <c r="B8760" t="str">
        <f>"1552376490724711"</f>
        <v>1552376490724711</v>
      </c>
      <c r="C8760" t="s">
        <v>40</v>
      </c>
      <c r="D8760">
        <v>3.9927519999999999</v>
      </c>
      <c r="E8760">
        <v>0.54353980000000002</v>
      </c>
      <c r="F8760" t="s">
        <v>41</v>
      </c>
      <c r="G8760">
        <v>-273.3725</v>
      </c>
      <c r="H8760">
        <v>0.97082829999999998</v>
      </c>
      <c r="I8760">
        <v>-59.713979999999999</v>
      </c>
      <c r="J8760">
        <v>-274.0265</v>
      </c>
      <c r="K8760">
        <v>1.111307</v>
      </c>
      <c r="L8760">
        <v>-59.36591</v>
      </c>
      <c r="M8760">
        <v>0.92150220000000005</v>
      </c>
      <c r="N8760">
        <v>0</v>
      </c>
      <c r="O8760">
        <v>-0.388129</v>
      </c>
      <c r="P8760">
        <v>0.93435619999999997</v>
      </c>
      <c r="Q8760">
        <v>-2.8381119999999999E-2</v>
      </c>
      <c r="R8760">
        <v>-0.35520879999999999</v>
      </c>
      <c r="S8760">
        <v>2.6673279999999999</v>
      </c>
      <c r="T8760">
        <v>-0.51897309999999996</v>
      </c>
      <c r="U8760">
        <v>-1.385651</v>
      </c>
      <c r="V8760">
        <v>-3.5287979999999997E-2</v>
      </c>
      <c r="W8760">
        <v>-1.4716450000000001E-2</v>
      </c>
      <c r="X8760">
        <v>0.99926879999999996</v>
      </c>
      <c r="Y8760">
        <v>8.4442600000000007E-2</v>
      </c>
      <c r="Z8760">
        <v>5.9776650000000001E-2</v>
      </c>
      <c r="AA8760">
        <v>0.99463369999999995</v>
      </c>
      <c r="AB8760">
        <v>15</v>
      </c>
      <c r="AC8760">
        <v>0.65399999999999603</v>
      </c>
      <c r="AD8760">
        <v>-0.14047869999999901</v>
      </c>
      <c r="AE8760">
        <v>-0.34807000000000698</v>
      </c>
      <c r="AF8760">
        <v>6.4594779146228007E-2</v>
      </c>
      <c r="AG8760">
        <v>-0.14047869999999901</v>
      </c>
      <c r="AH8760">
        <v>0.71222093820091203</v>
      </c>
      <c r="AI8760">
        <v>101.113345778869</v>
      </c>
      <c r="AJ8760">
        <v>84.817745174111906</v>
      </c>
      <c r="AK8760">
        <v>0.72881096002902401</v>
      </c>
      <c r="AL8760">
        <v>90.843220933935697</v>
      </c>
      <c r="AM8760">
        <v>92.022491335377694</v>
      </c>
      <c r="AN8760">
        <v>0.99999997504326099</v>
      </c>
    </row>
    <row r="8761" spans="1:40" x14ac:dyDescent="0.25">
      <c r="A8761" t="str">
        <f>"20190312154130742"</f>
        <v>20190312154130742</v>
      </c>
      <c r="B8761" t="str">
        <f>"1552376490735448"</f>
        <v>1552376490735448</v>
      </c>
      <c r="C8761" t="s">
        <v>40</v>
      </c>
      <c r="D8761">
        <v>3.9802710000000001</v>
      </c>
      <c r="E8761">
        <v>0.56428590000000001</v>
      </c>
      <c r="F8761" t="s">
        <v>41</v>
      </c>
      <c r="G8761">
        <v>-273.36380000000003</v>
      </c>
      <c r="H8761">
        <v>0.98310589999999998</v>
      </c>
      <c r="I8761">
        <v>-59.709099999999999</v>
      </c>
      <c r="J8761">
        <v>-273.9556</v>
      </c>
      <c r="K8761">
        <v>1.111337</v>
      </c>
      <c r="L8761">
        <v>-59.394129999999997</v>
      </c>
      <c r="M8761">
        <v>0.92201549999999999</v>
      </c>
      <c r="N8761">
        <v>0</v>
      </c>
      <c r="O8761">
        <v>-0.38690770000000002</v>
      </c>
      <c r="P8761">
        <v>0.93473419999999896</v>
      </c>
      <c r="Q8761">
        <v>-2.8494700000000001E-2</v>
      </c>
      <c r="R8761">
        <v>-0.3542033</v>
      </c>
      <c r="S8761">
        <v>2.669708</v>
      </c>
      <c r="T8761">
        <v>-0.51670950000000004</v>
      </c>
      <c r="U8761">
        <v>-1.3819889999999999</v>
      </c>
      <c r="V8761">
        <v>-3.5036810000000002E-2</v>
      </c>
      <c r="W8761">
        <v>-1.482545E-2</v>
      </c>
      <c r="X8761">
        <v>0.99927600000000005</v>
      </c>
      <c r="Y8761">
        <v>8.4274569999999993E-2</v>
      </c>
      <c r="Z8761">
        <v>5.931384E-2</v>
      </c>
      <c r="AA8761">
        <v>0.99467559999999999</v>
      </c>
      <c r="AB8761">
        <v>15</v>
      </c>
      <c r="AC8761">
        <v>0.59179999999997701</v>
      </c>
      <c r="AD8761">
        <v>-0.12823109999999899</v>
      </c>
      <c r="AE8761">
        <v>-0.31496999999999498</v>
      </c>
      <c r="AF8761">
        <v>5.9272501442897398E-2</v>
      </c>
      <c r="AG8761">
        <v>-0.12823109999999899</v>
      </c>
      <c r="AH8761">
        <v>0.64401420628762795</v>
      </c>
      <c r="AI8761">
        <v>101.214825248125</v>
      </c>
      <c r="AJ8761">
        <v>84.741538850889</v>
      </c>
      <c r="AK8761">
        <v>0.65932597577737795</v>
      </c>
      <c r="AL8761">
        <v>90.849466878359095</v>
      </c>
      <c r="AM8761">
        <v>92.008093177080994</v>
      </c>
      <c r="AN8761">
        <v>0.99999994809933801</v>
      </c>
    </row>
    <row r="8762" spans="1:40" x14ac:dyDescent="0.25">
      <c r="A8762" t="str">
        <f>"20190312154130752"</f>
        <v>20190312154130752</v>
      </c>
      <c r="B8762" t="str">
        <f>"1552376490745207"</f>
        <v>1552376490745207</v>
      </c>
      <c r="C8762" t="s">
        <v>40</v>
      </c>
      <c r="D8762">
        <v>4.0301150000000003</v>
      </c>
      <c r="E8762">
        <v>0.56554939999999998</v>
      </c>
      <c r="F8762" t="s">
        <v>41</v>
      </c>
      <c r="G8762">
        <v>-273.27519999999998</v>
      </c>
      <c r="H8762">
        <v>0.9412452</v>
      </c>
      <c r="I8762">
        <v>-59.793729999999996</v>
      </c>
      <c r="J8762">
        <v>-273.89100000000002</v>
      </c>
      <c r="K8762">
        <v>1.111362</v>
      </c>
      <c r="L8762">
        <v>-59.419710000000002</v>
      </c>
      <c r="M8762">
        <v>0.92249230000000004</v>
      </c>
      <c r="N8762">
        <v>0</v>
      </c>
      <c r="O8762">
        <v>-0.3857698</v>
      </c>
      <c r="P8762">
        <v>0.93514600000000003</v>
      </c>
      <c r="Q8762">
        <v>-2.8782970000000001E-2</v>
      </c>
      <c r="R8762">
        <v>-0.35309249999999998</v>
      </c>
      <c r="S8762">
        <v>2.6092529999999998</v>
      </c>
      <c r="T8762">
        <v>-0.65247339999999998</v>
      </c>
      <c r="U8762">
        <v>-1.5314639999999999</v>
      </c>
      <c r="V8762">
        <v>-3.4986160000000002E-2</v>
      </c>
      <c r="W8762">
        <v>-1.5110459999999999E-2</v>
      </c>
      <c r="X8762">
        <v>0.99927350000000004</v>
      </c>
      <c r="Y8762">
        <v>0.1392871</v>
      </c>
      <c r="Z8762">
        <v>6.8365949999999995E-2</v>
      </c>
      <c r="AA8762">
        <v>0.98788920000000002</v>
      </c>
      <c r="AB8762">
        <v>15</v>
      </c>
      <c r="AC8762">
        <v>0.61579999999997803</v>
      </c>
      <c r="AD8762">
        <v>-0.17011680000000001</v>
      </c>
      <c r="AE8762">
        <v>-0.37402000000000801</v>
      </c>
      <c r="AF8762">
        <v>0.10180795089363701</v>
      </c>
      <c r="AG8762">
        <v>-0.17011680000000001</v>
      </c>
      <c r="AH8762">
        <v>0.67480378778732797</v>
      </c>
      <c r="AI8762">
        <v>103.99725539337901</v>
      </c>
      <c r="AJ8762">
        <v>81.420464989683296</v>
      </c>
      <c r="AK8762">
        <v>0.70332406223555799</v>
      </c>
      <c r="AL8762">
        <v>90.865798583721798</v>
      </c>
      <c r="AM8762">
        <v>92.005197616475598</v>
      </c>
      <c r="AN8762">
        <v>0.99999994259760205</v>
      </c>
    </row>
    <row r="8763" spans="1:40" x14ac:dyDescent="0.25">
      <c r="A8763" t="str">
        <f>"20190312154130761"</f>
        <v>20190312154130761</v>
      </c>
      <c r="B8763" t="str">
        <f>"1552376490754967"</f>
        <v>1552376490754967</v>
      </c>
      <c r="C8763" t="s">
        <v>40</v>
      </c>
      <c r="D8763">
        <v>4.0419359999999998</v>
      </c>
      <c r="E8763">
        <v>0.56605229999999995</v>
      </c>
      <c r="F8763" t="s">
        <v>41</v>
      </c>
      <c r="G8763">
        <v>-273.2672</v>
      </c>
      <c r="H8763">
        <v>0.9520729</v>
      </c>
      <c r="I8763">
        <v>-59.78781</v>
      </c>
      <c r="J8763">
        <v>-273.83179999999999</v>
      </c>
      <c r="K8763">
        <v>1.111383</v>
      </c>
      <c r="L8763">
        <v>-59.443080000000002</v>
      </c>
      <c r="M8763">
        <v>0.92293510000000001</v>
      </c>
      <c r="N8763">
        <v>0</v>
      </c>
      <c r="O8763">
        <v>-0.38470840000000001</v>
      </c>
      <c r="P8763">
        <v>0.93565830000000005</v>
      </c>
      <c r="Q8763">
        <v>-2.97784E-2</v>
      </c>
      <c r="R8763">
        <v>-0.35164840000000003</v>
      </c>
      <c r="S8763">
        <v>2.6070250000000001</v>
      </c>
      <c r="T8763">
        <v>-0.66598269999999904</v>
      </c>
      <c r="U8763">
        <v>-1.537506</v>
      </c>
      <c r="V8763">
        <v>-3.5363459999999999E-2</v>
      </c>
      <c r="W8763">
        <v>-1.6104750000000001E-2</v>
      </c>
      <c r="X8763">
        <v>0.99924469999999999</v>
      </c>
      <c r="Y8763">
        <v>0.14260809999999999</v>
      </c>
      <c r="Z8763">
        <v>6.9143800000000005E-2</v>
      </c>
      <c r="AA8763">
        <v>0.98736120000000005</v>
      </c>
      <c r="AB8763">
        <v>15</v>
      </c>
      <c r="AC8763">
        <v>0.564599999999984</v>
      </c>
      <c r="AD8763">
        <v>-0.15931010000000001</v>
      </c>
      <c r="AE8763">
        <v>-0.34472999999999798</v>
      </c>
      <c r="AF8763">
        <v>9.5431992700408794E-2</v>
      </c>
      <c r="AG8763">
        <v>-0.15931010000000001</v>
      </c>
      <c r="AH8763">
        <v>0.61793421164334295</v>
      </c>
      <c r="AI8763">
        <v>104.294264756782</v>
      </c>
      <c r="AJ8763">
        <v>81.220762548687802</v>
      </c>
      <c r="AK8763">
        <v>0.64523612973241096</v>
      </c>
      <c r="AL8763">
        <v>90.922774139515298</v>
      </c>
      <c r="AM8763">
        <v>92.026862625791395</v>
      </c>
      <c r="AN8763">
        <v>0.99999995387690999</v>
      </c>
    </row>
    <row r="8764" spans="1:40" x14ac:dyDescent="0.25">
      <c r="A8764" t="str">
        <f>"20190312154130772"</f>
        <v>20190312154130772</v>
      </c>
      <c r="B8764" t="str">
        <f>"1552376490764728"</f>
        <v>1552376490764728</v>
      </c>
      <c r="C8764" t="s">
        <v>40</v>
      </c>
      <c r="D8764">
        <v>4.0053729999999996</v>
      </c>
      <c r="E8764">
        <v>0.56572230000000001</v>
      </c>
      <c r="F8764" t="s">
        <v>41</v>
      </c>
      <c r="G8764">
        <v>-273.15320000000003</v>
      </c>
      <c r="H8764">
        <v>0.93513769999999996</v>
      </c>
      <c r="I8764">
        <v>-59.843049999999998</v>
      </c>
      <c r="J8764">
        <v>-273.76260000000002</v>
      </c>
      <c r="K8764">
        <v>1.1114109999999999</v>
      </c>
      <c r="L8764">
        <v>-59.47025</v>
      </c>
      <c r="M8764">
        <v>0.92346050000000002</v>
      </c>
      <c r="N8764">
        <v>0</v>
      </c>
      <c r="O8764">
        <v>-0.3834457</v>
      </c>
      <c r="P8764">
        <v>0.93632110000000002</v>
      </c>
      <c r="Q8764">
        <v>-3.0521179999999998E-2</v>
      </c>
      <c r="R8764">
        <v>-0.34981630000000002</v>
      </c>
      <c r="S8764">
        <v>2.6073</v>
      </c>
      <c r="T8764">
        <v>-0.67726909999999996</v>
      </c>
      <c r="U8764">
        <v>-1.5364690000000001</v>
      </c>
      <c r="V8764">
        <v>-3.59405E-2</v>
      </c>
      <c r="W8764">
        <v>-1.6846839999999998E-2</v>
      </c>
      <c r="X8764">
        <v>0.99921190000000004</v>
      </c>
      <c r="Y8764">
        <v>0.14374709999999999</v>
      </c>
      <c r="Z8764">
        <v>6.988577E-2</v>
      </c>
      <c r="AA8764">
        <v>0.98714380000000002</v>
      </c>
      <c r="AB8764">
        <v>15</v>
      </c>
      <c r="AC8764">
        <v>0.60939999999999295</v>
      </c>
      <c r="AD8764">
        <v>-0.17627329999999999</v>
      </c>
      <c r="AE8764">
        <v>-0.37279999999999702</v>
      </c>
      <c r="AF8764">
        <v>0.10425713838501301</v>
      </c>
      <c r="AG8764">
        <v>-0.17627329999999999</v>
      </c>
      <c r="AH8764">
        <v>0.66526798809640897</v>
      </c>
      <c r="AI8764">
        <v>104.669214355474</v>
      </c>
      <c r="AJ8764">
        <v>81.093363216151204</v>
      </c>
      <c r="AK8764">
        <v>0.69607709571782705</v>
      </c>
      <c r="AL8764">
        <v>90.965298515920395</v>
      </c>
      <c r="AM8764">
        <v>92.059975066392596</v>
      </c>
      <c r="AN8764">
        <v>0.99999997832992205</v>
      </c>
    </row>
    <row r="8765" spans="1:40" x14ac:dyDescent="0.25">
      <c r="A8765" t="str">
        <f>"20190312154130782"</f>
        <v>20190312154130782</v>
      </c>
      <c r="B8765" t="str">
        <f>"1552376490775462"</f>
        <v>1552376490775462</v>
      </c>
      <c r="C8765" t="s">
        <v>40</v>
      </c>
      <c r="D8765">
        <v>4.0228080000000004</v>
      </c>
      <c r="E8765">
        <v>0.56544949999999905</v>
      </c>
      <c r="F8765" t="s">
        <v>41</v>
      </c>
      <c r="G8765">
        <v>-273.142</v>
      </c>
      <c r="H8765">
        <v>0.9501271</v>
      </c>
      <c r="I8765">
        <v>-59.833680000000001</v>
      </c>
      <c r="J8765">
        <v>-273.70479999999998</v>
      </c>
      <c r="K8765">
        <v>1.111437</v>
      </c>
      <c r="L8765">
        <v>-59.492769999999901</v>
      </c>
      <c r="M8765">
        <v>0.92390559999999999</v>
      </c>
      <c r="N8765">
        <v>0</v>
      </c>
      <c r="O8765">
        <v>-0.38237189999999999</v>
      </c>
      <c r="P8765">
        <v>0.9369326</v>
      </c>
      <c r="Q8765">
        <v>-3.0892679999999999E-2</v>
      </c>
      <c r="R8765">
        <v>-0.34814260000000002</v>
      </c>
      <c r="S8765">
        <v>2.61084</v>
      </c>
      <c r="T8765">
        <v>-0.67859919999999996</v>
      </c>
      <c r="U8765">
        <v>-1.5285029999999999</v>
      </c>
      <c r="V8765">
        <v>-3.6557760000000002E-2</v>
      </c>
      <c r="W8765">
        <v>-1.721839E-2</v>
      </c>
      <c r="X8765">
        <v>0.99918320000000005</v>
      </c>
      <c r="Y8765">
        <v>0.1421065</v>
      </c>
      <c r="Z8765">
        <v>6.9967689999999999E-2</v>
      </c>
      <c r="AA8765">
        <v>0.98737540000000001</v>
      </c>
      <c r="AB8765">
        <v>15</v>
      </c>
      <c r="AC8765">
        <v>0.56279999999998098</v>
      </c>
      <c r="AD8765">
        <v>-0.16130989999999901</v>
      </c>
      <c r="AE8765">
        <v>-0.34091000000001498</v>
      </c>
      <c r="AF8765">
        <v>9.4122525054568501E-2</v>
      </c>
      <c r="AG8765">
        <v>-0.16130989999999901</v>
      </c>
      <c r="AH8765">
        <v>0.61351819146713604</v>
      </c>
      <c r="AI8765">
        <v>104.56807014968101</v>
      </c>
      <c r="AJ8765">
        <v>81.278005024307106</v>
      </c>
      <c r="AK8765">
        <v>0.64131466911475099</v>
      </c>
      <c r="AL8765">
        <v>90.986589825739202</v>
      </c>
      <c r="AM8765">
        <v>92.095382963410202</v>
      </c>
      <c r="AN8765">
        <v>1.00000000496632</v>
      </c>
    </row>
    <row r="8766" spans="1:40" x14ac:dyDescent="0.25">
      <c r="A8766" t="str">
        <f>"20190312154130793"</f>
        <v>20190312154130793</v>
      </c>
      <c r="B8766" t="str">
        <f>"1552376490785223"</f>
        <v>1552376490785223</v>
      </c>
      <c r="C8766" t="s">
        <v>40</v>
      </c>
      <c r="D8766">
        <v>4.056019</v>
      </c>
      <c r="E8766">
        <v>0.56536799999999998</v>
      </c>
      <c r="F8766" t="s">
        <v>41</v>
      </c>
      <c r="G8766">
        <v>-273.02690000000001</v>
      </c>
      <c r="H8766">
        <v>0.93498250000000005</v>
      </c>
      <c r="I8766">
        <v>-59.887410000000003</v>
      </c>
      <c r="J8766">
        <v>-273.63350000000003</v>
      </c>
      <c r="K8766">
        <v>1.111467</v>
      </c>
      <c r="L8766">
        <v>-59.520479999999999</v>
      </c>
      <c r="M8766">
        <v>0.92446289999999998</v>
      </c>
      <c r="N8766">
        <v>0</v>
      </c>
      <c r="O8766">
        <v>-0.38102229999999998</v>
      </c>
      <c r="P8766">
        <v>0.9377183</v>
      </c>
      <c r="Q8766">
        <v>-3.0383380000000001E-2</v>
      </c>
      <c r="R8766">
        <v>-0.34606559999999997</v>
      </c>
      <c r="S8766">
        <v>2.6142270000000001</v>
      </c>
      <c r="T8766">
        <v>-0.68058019999999997</v>
      </c>
      <c r="U8766">
        <v>-1.52127099999999</v>
      </c>
      <c r="V8766">
        <v>-3.7318959999999998E-2</v>
      </c>
      <c r="W8766">
        <v>-1.67090999999999E-2</v>
      </c>
      <c r="X8766">
        <v>0.99916369999999999</v>
      </c>
      <c r="Y8766">
        <v>0.14098269999999999</v>
      </c>
      <c r="Z8766">
        <v>6.9992189999999996E-2</v>
      </c>
      <c r="AA8766">
        <v>0.98753480000000005</v>
      </c>
      <c r="AB8766">
        <v>15</v>
      </c>
      <c r="AC8766">
        <v>0.60660000000001402</v>
      </c>
      <c r="AD8766">
        <v>-0.17648449999999899</v>
      </c>
      <c r="AE8766">
        <v>-0.36692999999998899</v>
      </c>
      <c r="AF8766">
        <v>0.101787447133213</v>
      </c>
      <c r="AG8766">
        <v>-0.17648449999999899</v>
      </c>
      <c r="AH8766">
        <v>0.65976781935262796</v>
      </c>
      <c r="AI8766">
        <v>104.808342953411</v>
      </c>
      <c r="AJ8766">
        <v>81.229686462147399</v>
      </c>
      <c r="AK8766">
        <v>0.69050781211183099</v>
      </c>
      <c r="AL8766">
        <v>90.957405464164097</v>
      </c>
      <c r="AM8766">
        <v>92.139014294632801</v>
      </c>
      <c r="AN8766">
        <v>0.99999999909798998</v>
      </c>
    </row>
    <row r="8767" spans="1:40" x14ac:dyDescent="0.25">
      <c r="A8767" t="str">
        <f>"20190312154130806"</f>
        <v>20190312154130806</v>
      </c>
      <c r="B8767" t="str">
        <f>"1552376490795491"</f>
        <v>1552376490795491</v>
      </c>
      <c r="C8767" t="s">
        <v>40</v>
      </c>
      <c r="D8767">
        <v>3.9704670000000002</v>
      </c>
      <c r="E8767">
        <v>0.56531200000000004</v>
      </c>
      <c r="F8767" t="s">
        <v>41</v>
      </c>
      <c r="G8767">
        <v>-273.01530000000002</v>
      </c>
      <c r="H8767">
        <v>0.95070330000000003</v>
      </c>
      <c r="I8767">
        <v>-59.878169999999997</v>
      </c>
      <c r="J8767">
        <v>-273.5582</v>
      </c>
      <c r="K8767">
        <v>1.1115060000000001</v>
      </c>
      <c r="L8767">
        <v>-59.54956</v>
      </c>
      <c r="M8767">
        <v>0.92506489999999997</v>
      </c>
      <c r="N8767">
        <v>0</v>
      </c>
      <c r="O8767">
        <v>-0.37955830000000002</v>
      </c>
      <c r="P8767">
        <v>0.93856530000000005</v>
      </c>
      <c r="Q8767">
        <v>-2.9616150000000001E-2</v>
      </c>
      <c r="R8767">
        <v>-0.34382929999999901</v>
      </c>
      <c r="S8767">
        <v>2.6183779999999999</v>
      </c>
      <c r="T8767">
        <v>-0.68100509999999903</v>
      </c>
      <c r="U8767">
        <v>-1.5142819999999999</v>
      </c>
      <c r="V8767">
        <v>-3.8129360000000001E-2</v>
      </c>
      <c r="W8767">
        <v>-1.5942270000000001E-2</v>
      </c>
      <c r="X8767">
        <v>0.99914559999999997</v>
      </c>
      <c r="Y8767">
        <v>0.1398934</v>
      </c>
      <c r="Z8767">
        <v>6.9812920000000001E-2</v>
      </c>
      <c r="AA8767">
        <v>0.98770239999999998</v>
      </c>
      <c r="AB8767">
        <v>15</v>
      </c>
      <c r="AC8767">
        <v>0.54289999999997396</v>
      </c>
      <c r="AD8767">
        <v>-0.16080269999999899</v>
      </c>
      <c r="AE8767">
        <v>-0.32860999999999702</v>
      </c>
      <c r="AF8767">
        <v>9.2024162875958396E-2</v>
      </c>
      <c r="AG8767">
        <v>-0.16080269999999899</v>
      </c>
      <c r="AH8767">
        <v>0.58917528093524496</v>
      </c>
      <c r="AI8767">
        <v>105.091363528504</v>
      </c>
      <c r="AJ8767">
        <v>81.122613561853399</v>
      </c>
      <c r="AK8767">
        <v>0.61761919217705297</v>
      </c>
      <c r="AL8767">
        <v>90.913463513461394</v>
      </c>
      <c r="AM8767">
        <v>92.185459056931506</v>
      </c>
      <c r="AN8767">
        <v>0.99999996703306004</v>
      </c>
    </row>
    <row r="8768" spans="1:40" x14ac:dyDescent="0.25">
      <c r="A8768" t="str">
        <f>"20190312154130819"</f>
        <v>20190312154130819</v>
      </c>
      <c r="B8768" t="str">
        <f>"1552376490815010"</f>
        <v>1552376490815010</v>
      </c>
      <c r="C8768" t="s">
        <v>40</v>
      </c>
      <c r="D8768">
        <v>4.0307190000000004</v>
      </c>
      <c r="E8768">
        <v>0.56555639999999996</v>
      </c>
      <c r="F8768" t="s">
        <v>41</v>
      </c>
      <c r="G8768">
        <v>-272.89729999999997</v>
      </c>
      <c r="H8768">
        <v>0.94020939999999997</v>
      </c>
      <c r="I8768">
        <v>-59.929360000000003</v>
      </c>
      <c r="J8768">
        <v>-273.47050000000002</v>
      </c>
      <c r="K8768">
        <v>1.11155</v>
      </c>
      <c r="L8768">
        <v>-59.58325</v>
      </c>
      <c r="M8768">
        <v>0.92577509999999996</v>
      </c>
      <c r="N8768">
        <v>0</v>
      </c>
      <c r="O8768">
        <v>-0.37782280000000001</v>
      </c>
      <c r="P8768">
        <v>0.93953489999999995</v>
      </c>
      <c r="Q8768">
        <v>-2.8195930000000001E-2</v>
      </c>
      <c r="R8768">
        <v>-0.34129110000000001</v>
      </c>
      <c r="S8768">
        <v>2.6228639999999999</v>
      </c>
      <c r="T8768">
        <v>-0.67984469999999997</v>
      </c>
      <c r="U8768">
        <v>-1.5068969999999999</v>
      </c>
      <c r="V8768">
        <v>-3.8975860000000001E-2</v>
      </c>
      <c r="W8768">
        <v>-1.4522459999999999E-2</v>
      </c>
      <c r="X8768">
        <v>0.99913459999999998</v>
      </c>
      <c r="Y8768">
        <v>0.13889399999999999</v>
      </c>
      <c r="Z8768">
        <v>6.9402499999999895E-2</v>
      </c>
      <c r="AA8768">
        <v>0.98787239999999998</v>
      </c>
      <c r="AB8768">
        <v>15</v>
      </c>
      <c r="AC8768">
        <v>0.57320000000004201</v>
      </c>
      <c r="AD8768">
        <v>-0.17134059999999901</v>
      </c>
      <c r="AE8768">
        <v>-0.34610999999999498</v>
      </c>
      <c r="AF8768">
        <v>9.7479034506359696E-2</v>
      </c>
      <c r="AG8768">
        <v>-0.17134059999999901</v>
      </c>
      <c r="AH8768">
        <v>0.62083383969714501</v>
      </c>
      <c r="AI8768">
        <v>105.25069538656901</v>
      </c>
      <c r="AJ8768">
        <v>81.076666430476195</v>
      </c>
      <c r="AK8768">
        <v>0.65137886048731397</v>
      </c>
      <c r="AL8768">
        <v>90.832104929777103</v>
      </c>
      <c r="AM8768">
        <v>92.233953810901895</v>
      </c>
      <c r="AN8768">
        <v>0.99999998421217495</v>
      </c>
    </row>
    <row r="8769" spans="1:40" x14ac:dyDescent="0.25">
      <c r="A8769" t="str">
        <f>"20190312154130831"</f>
        <v>20190312154130831</v>
      </c>
      <c r="B8769" t="str">
        <f>"1552376490824770"</f>
        <v>1552376490824770</v>
      </c>
      <c r="C8769" t="s">
        <v>40</v>
      </c>
      <c r="D8769">
        <v>4.0400559999999999</v>
      </c>
      <c r="E8769">
        <v>0.56577529999999998</v>
      </c>
      <c r="F8769" t="s">
        <v>41</v>
      </c>
      <c r="G8769">
        <v>-272.77789999999999</v>
      </c>
      <c r="H8769">
        <v>0.93129419999999996</v>
      </c>
      <c r="I8769">
        <v>-59.979219999999998</v>
      </c>
      <c r="J8769">
        <v>-273.39460000000003</v>
      </c>
      <c r="K8769">
        <v>1.1115930000000001</v>
      </c>
      <c r="L8769">
        <v>-59.612119999999997</v>
      </c>
      <c r="M8769">
        <v>0.92640520000000004</v>
      </c>
      <c r="N8769">
        <v>0</v>
      </c>
      <c r="O8769">
        <v>-0.37627470000000002</v>
      </c>
      <c r="P8769">
        <v>0.94039240000000002</v>
      </c>
      <c r="Q8769">
        <v>-2.67271E-2</v>
      </c>
      <c r="R8769">
        <v>-0.3390397</v>
      </c>
      <c r="S8769">
        <v>2.6272280000000001</v>
      </c>
      <c r="T8769">
        <v>-0.68420669999999995</v>
      </c>
      <c r="U8769">
        <v>-1.50116</v>
      </c>
      <c r="V8769">
        <v>-3.9718450000000002E-2</v>
      </c>
      <c r="W8769">
        <v>-1.3054400000000001E-2</v>
      </c>
      <c r="X8769">
        <v>0.99912570000000001</v>
      </c>
      <c r="Y8769">
        <v>0.13825850000000001</v>
      </c>
      <c r="Z8769">
        <v>6.9527069999999996E-2</v>
      </c>
      <c r="AA8769">
        <v>0.98795270000000002</v>
      </c>
      <c r="AB8769">
        <v>15</v>
      </c>
      <c r="AC8769">
        <v>0.616700000000037</v>
      </c>
      <c r="AD8769">
        <v>-0.18029880000000001</v>
      </c>
      <c r="AE8769">
        <v>-0.36709999999999998</v>
      </c>
      <c r="AF8769">
        <v>0.10163094513955399</v>
      </c>
      <c r="AG8769">
        <v>-0.18029880000000001</v>
      </c>
      <c r="AH8769">
        <v>0.66739196182024696</v>
      </c>
      <c r="AI8769">
        <v>104.953277417899</v>
      </c>
      <c r="AJ8769">
        <v>81.341475820656598</v>
      </c>
      <c r="AK8769">
        <v>0.69874783505473304</v>
      </c>
      <c r="AL8769">
        <v>90.747983218739293</v>
      </c>
      <c r="AM8769">
        <v>92.276492250490804</v>
      </c>
      <c r="AN8769">
        <v>1.00000006851512</v>
      </c>
    </row>
    <row r="8770" spans="1:40" x14ac:dyDescent="0.25">
      <c r="A8770" t="str">
        <f>"20190312154130844"</f>
        <v>20190312154130844</v>
      </c>
      <c r="B8770" t="str">
        <f>"1552376490835506"</f>
        <v>1552376490835506</v>
      </c>
      <c r="C8770" t="s">
        <v>40</v>
      </c>
      <c r="D8770">
        <v>4.0226769999999998</v>
      </c>
      <c r="E8770">
        <v>0.56610990000000005</v>
      </c>
      <c r="F8770" t="s">
        <v>41</v>
      </c>
      <c r="G8770">
        <v>-272.76569999999998</v>
      </c>
      <c r="H8770">
        <v>0.94844890000000004</v>
      </c>
      <c r="I8770">
        <v>-59.969900000000003</v>
      </c>
      <c r="J8770">
        <v>-273.31880000000001</v>
      </c>
      <c r="K8770">
        <v>1.1116299999999999</v>
      </c>
      <c r="L8770">
        <v>-59.640810000000002</v>
      </c>
      <c r="M8770">
        <v>0.92704430000000004</v>
      </c>
      <c r="N8770">
        <v>0</v>
      </c>
      <c r="O8770">
        <v>-0.374697</v>
      </c>
      <c r="P8770">
        <v>0.94120689999999996</v>
      </c>
      <c r="Q8770">
        <v>-2.5319999999999999E-2</v>
      </c>
      <c r="R8770">
        <v>-0.33688109999999999</v>
      </c>
      <c r="S8770">
        <v>2.6314090000000001</v>
      </c>
      <c r="T8770">
        <v>-0.68306259999999996</v>
      </c>
      <c r="U8770">
        <v>-1.495941</v>
      </c>
      <c r="V8770">
        <v>-4.032848E-2</v>
      </c>
      <c r="W8770">
        <v>-1.164771E-2</v>
      </c>
      <c r="X8770">
        <v>0.99911859999999997</v>
      </c>
      <c r="Y8770">
        <v>0.13774349999999999</v>
      </c>
      <c r="Z8770">
        <v>6.9084859999999998E-2</v>
      </c>
      <c r="AA8770">
        <v>0.98805569999999998</v>
      </c>
      <c r="AB8770">
        <v>15</v>
      </c>
      <c r="AC8770">
        <v>0.55310000000002801</v>
      </c>
      <c r="AD8770">
        <v>-0.163181099999999</v>
      </c>
      <c r="AE8770">
        <v>-0.32909000000000699</v>
      </c>
      <c r="AF8770">
        <v>9.1935388683328706E-2</v>
      </c>
      <c r="AG8770">
        <v>-0.163181099999999</v>
      </c>
      <c r="AH8770">
        <v>0.59769523324269802</v>
      </c>
      <c r="AI8770">
        <v>105.10122851589701</v>
      </c>
      <c r="AJ8770">
        <v>81.255497515958297</v>
      </c>
      <c r="AK8770">
        <v>0.62635435572095099</v>
      </c>
      <c r="AL8770">
        <v>90.667379704262203</v>
      </c>
      <c r="AM8770">
        <v>92.311435340690807</v>
      </c>
      <c r="AN8770">
        <v>1.00000001615665</v>
      </c>
    </row>
    <row r="8771" spans="1:40" x14ac:dyDescent="0.25">
      <c r="A8771" t="str">
        <f>"20190312154130855"</f>
        <v>20190312154130855</v>
      </c>
      <c r="B8771" t="str">
        <f>"1552376490845267"</f>
        <v>1552376490845267</v>
      </c>
      <c r="C8771" t="s">
        <v>40</v>
      </c>
      <c r="D8771">
        <v>4.0150790000000001</v>
      </c>
      <c r="E8771">
        <v>0.5663279</v>
      </c>
      <c r="F8771" t="s">
        <v>41</v>
      </c>
      <c r="G8771">
        <v>-272.64819999999997</v>
      </c>
      <c r="H8771">
        <v>0.93795629999999997</v>
      </c>
      <c r="I8771">
        <v>-60.020510000000002</v>
      </c>
      <c r="J8771">
        <v>-273.2475</v>
      </c>
      <c r="K8771">
        <v>1.1116649999999999</v>
      </c>
      <c r="L8771">
        <v>-59.66769</v>
      </c>
      <c r="M8771">
        <v>0.92765160000000002</v>
      </c>
      <c r="N8771">
        <v>0</v>
      </c>
      <c r="O8771">
        <v>-0.37319069999999999</v>
      </c>
      <c r="P8771">
        <v>0.94195410000000002</v>
      </c>
      <c r="Q8771">
        <v>-2.41479E-2</v>
      </c>
      <c r="R8771">
        <v>-0.33487240000000001</v>
      </c>
      <c r="S8771">
        <v>2.6350709999999999</v>
      </c>
      <c r="T8771">
        <v>-0.68263660000000004</v>
      </c>
      <c r="U8771">
        <v>-1.4917910000000001</v>
      </c>
      <c r="V8771">
        <v>-4.085163E-2</v>
      </c>
      <c r="W8771">
        <v>-1.0475969999999999E-2</v>
      </c>
      <c r="X8771">
        <v>0.99911030000000001</v>
      </c>
      <c r="Y8771">
        <v>0.1375449</v>
      </c>
      <c r="Z8771">
        <v>6.8695489999999998E-2</v>
      </c>
      <c r="AA8771">
        <v>0.9881105</v>
      </c>
      <c r="AB8771">
        <v>15</v>
      </c>
      <c r="AC8771">
        <v>0.59930000000002703</v>
      </c>
      <c r="AD8771">
        <v>-0.17370869999999899</v>
      </c>
      <c r="AE8771">
        <v>-0.35281999999999403</v>
      </c>
      <c r="AF8771">
        <v>9.7563708699646701E-2</v>
      </c>
      <c r="AG8771">
        <v>-0.17370869999999899</v>
      </c>
      <c r="AH8771">
        <v>0.64729162233543702</v>
      </c>
      <c r="AI8771">
        <v>104.861763388829</v>
      </c>
      <c r="AJ8771">
        <v>81.428554587109502</v>
      </c>
      <c r="AK8771">
        <v>0.67725905978182499</v>
      </c>
      <c r="AL8771">
        <v>90.600239848673596</v>
      </c>
      <c r="AM8771">
        <v>92.341406065436601</v>
      </c>
      <c r="AN8771">
        <v>0.99999999659359295</v>
      </c>
    </row>
    <row r="8772" spans="1:40" x14ac:dyDescent="0.25">
      <c r="A8772" t="str">
        <f>"20190312154130865"</f>
        <v>20190312154130865</v>
      </c>
      <c r="B8772" t="str">
        <f>"1552376490855027"</f>
        <v>1552376490855027</v>
      </c>
      <c r="C8772" t="s">
        <v>40</v>
      </c>
      <c r="D8772">
        <v>4.0063170000000001</v>
      </c>
      <c r="E8772">
        <v>0.56666740000000004</v>
      </c>
      <c r="F8772" t="s">
        <v>41</v>
      </c>
      <c r="G8772">
        <v>-272.63679999999999</v>
      </c>
      <c r="H8772">
        <v>0.95360239999999996</v>
      </c>
      <c r="I8772">
        <v>-60.01193</v>
      </c>
      <c r="J8772">
        <v>-273.18490000000003</v>
      </c>
      <c r="K8772">
        <v>1.1116950000000001</v>
      </c>
      <c r="L8772">
        <v>-59.690980000000003</v>
      </c>
      <c r="M8772">
        <v>0.92819739999999995</v>
      </c>
      <c r="N8772">
        <v>0</v>
      </c>
      <c r="O8772">
        <v>-0.37183129999999998</v>
      </c>
      <c r="P8772">
        <v>0.94261220000000001</v>
      </c>
      <c r="Q8772">
        <v>-2.2782239999999999E-2</v>
      </c>
      <c r="R8772">
        <v>-0.33311220000000002</v>
      </c>
      <c r="S8772">
        <v>2.638611</v>
      </c>
      <c r="T8772">
        <v>-0.68327309999999997</v>
      </c>
      <c r="U8772">
        <v>-1.4872129999999999</v>
      </c>
      <c r="V8772">
        <v>-4.1270950000000001E-2</v>
      </c>
      <c r="W8772">
        <v>-9.1104759999999993E-3</v>
      </c>
      <c r="X8772">
        <v>0.99910650000000001</v>
      </c>
      <c r="Y8772">
        <v>0.1371134</v>
      </c>
      <c r="Z8772">
        <v>6.8474800000000002E-2</v>
      </c>
      <c r="AA8772">
        <v>0.9881858</v>
      </c>
      <c r="AB8772">
        <v>15</v>
      </c>
      <c r="AC8772">
        <v>0.54810000000003301</v>
      </c>
      <c r="AD8772">
        <v>-0.1580926</v>
      </c>
      <c r="AE8772">
        <v>-0.32095000000000301</v>
      </c>
      <c r="AF8772">
        <v>8.8622758102902599E-2</v>
      </c>
      <c r="AG8772">
        <v>-0.1580926</v>
      </c>
      <c r="AH8772">
        <v>0.591499070029184</v>
      </c>
      <c r="AI8772">
        <v>104.806037412378</v>
      </c>
      <c r="AJ8772">
        <v>81.478907189870498</v>
      </c>
      <c r="AK8772">
        <v>0.61864239530920795</v>
      </c>
      <c r="AL8772">
        <v>90.521999021776395</v>
      </c>
      <c r="AM8772">
        <v>92.365421164918502</v>
      </c>
      <c r="AN8772">
        <v>1.0000000452145399</v>
      </c>
    </row>
    <row r="8773" spans="1:40" x14ac:dyDescent="0.25">
      <c r="A8773" t="str">
        <f>"20190312154130876"</f>
        <v>20190312154130876</v>
      </c>
      <c r="B8773" t="str">
        <f>"1552376490864787"</f>
        <v>1552376490864787</v>
      </c>
      <c r="C8773" t="s">
        <v>40</v>
      </c>
      <c r="D8773">
        <v>3.9715039999999999</v>
      </c>
      <c r="E8773">
        <v>0.56681939999999997</v>
      </c>
      <c r="F8773" t="s">
        <v>41</v>
      </c>
      <c r="G8773">
        <v>-272.5215</v>
      </c>
      <c r="H8773">
        <v>0.94071419999999994</v>
      </c>
      <c r="I8773">
        <v>-60.064140000000002</v>
      </c>
      <c r="J8773">
        <v>-273.11689999999999</v>
      </c>
      <c r="K8773">
        <v>1.1117220000000001</v>
      </c>
      <c r="L8773">
        <v>-59.716340000000002</v>
      </c>
      <c r="M8773">
        <v>0.92879219999999896</v>
      </c>
      <c r="N8773">
        <v>0</v>
      </c>
      <c r="O8773">
        <v>-0.37034250000000002</v>
      </c>
      <c r="P8773">
        <v>0.94316290000000003</v>
      </c>
      <c r="Q8773">
        <v>-2.206636E-2</v>
      </c>
      <c r="R8773">
        <v>-0.33159749999999999</v>
      </c>
      <c r="S8773">
        <v>2.6414789999999999</v>
      </c>
      <c r="T8773">
        <v>-0.68120019999999903</v>
      </c>
      <c r="U8773">
        <v>-1.484802</v>
      </c>
      <c r="V8773">
        <v>-4.1282159999999998E-2</v>
      </c>
      <c r="W8773">
        <v>-8.3932659999999999E-3</v>
      </c>
      <c r="X8773">
        <v>0.99911220000000001</v>
      </c>
      <c r="Y8773">
        <v>0.13748089999999999</v>
      </c>
      <c r="Z8773">
        <v>6.7867579999999997E-2</v>
      </c>
      <c r="AA8773">
        <v>0.98817659999999996</v>
      </c>
      <c r="AB8773">
        <v>15</v>
      </c>
      <c r="AC8773">
        <v>0.59539999999998305</v>
      </c>
      <c r="AD8773">
        <v>-0.17100779999999899</v>
      </c>
      <c r="AE8773">
        <v>-0.347799999999999</v>
      </c>
      <c r="AF8773">
        <v>9.66003870914596E-2</v>
      </c>
      <c r="AG8773">
        <v>-0.17100779999999899</v>
      </c>
      <c r="AH8773">
        <v>0.64236447899452198</v>
      </c>
      <c r="AI8773">
        <v>104.748821801693</v>
      </c>
      <c r="AJ8773">
        <v>81.447801264612593</v>
      </c>
      <c r="AK8773">
        <v>0.67171975281434404</v>
      </c>
      <c r="AL8773">
        <v>90.480904400241599</v>
      </c>
      <c r="AM8773">
        <v>92.366049446434801</v>
      </c>
      <c r="AN8773">
        <v>0.99999992591862297</v>
      </c>
    </row>
    <row r="8774" spans="1:40" x14ac:dyDescent="0.25">
      <c r="A8774" t="str">
        <f>"20190312154130888"</f>
        <v>20190312154130888</v>
      </c>
      <c r="B8774" t="str">
        <f>"1552376490885283"</f>
        <v>1552376490885283</v>
      </c>
      <c r="C8774" t="s">
        <v>40</v>
      </c>
      <c r="D8774">
        <v>3.989398</v>
      </c>
      <c r="E8774">
        <v>0.56720470000000001</v>
      </c>
      <c r="F8774" t="s">
        <v>41</v>
      </c>
      <c r="G8774">
        <v>-272.51049999999998</v>
      </c>
      <c r="H8774">
        <v>0.95594060000000003</v>
      </c>
      <c r="I8774">
        <v>-60.056289999999997</v>
      </c>
      <c r="J8774">
        <v>-273.04640000000001</v>
      </c>
      <c r="K8774">
        <v>1.111753</v>
      </c>
      <c r="L8774">
        <v>-59.742280000000001</v>
      </c>
      <c r="M8774">
        <v>0.92942800000000003</v>
      </c>
      <c r="N8774">
        <v>0</v>
      </c>
      <c r="O8774">
        <v>-0.36874440000000003</v>
      </c>
      <c r="P8774">
        <v>0.94377770000000005</v>
      </c>
      <c r="Q8774">
        <v>-2.1362630000000001E-2</v>
      </c>
      <c r="R8774">
        <v>-0.32989089999999999</v>
      </c>
      <c r="S8774">
        <v>2.6440429999999999</v>
      </c>
      <c r="T8774">
        <v>-0.67981159999999996</v>
      </c>
      <c r="U8774">
        <v>-1.4814149999999999</v>
      </c>
      <c r="V8774">
        <v>-4.1379590000000001E-2</v>
      </c>
      <c r="W8774">
        <v>-7.6887600000000002E-3</v>
      </c>
      <c r="X8774">
        <v>0.9991139</v>
      </c>
      <c r="Y8774">
        <v>0.13774879999999901</v>
      </c>
      <c r="Z8774">
        <v>6.7330459999999995E-2</v>
      </c>
      <c r="AA8774">
        <v>0.98817600000000005</v>
      </c>
      <c r="AB8774">
        <v>15</v>
      </c>
      <c r="AC8774">
        <v>0.53590000000002602</v>
      </c>
      <c r="AD8774">
        <v>-0.15581239999999999</v>
      </c>
      <c r="AE8774">
        <v>-0.31400999999999601</v>
      </c>
      <c r="AF8774">
        <v>8.8668723931804305E-2</v>
      </c>
      <c r="AG8774">
        <v>-0.15581239999999999</v>
      </c>
      <c r="AH8774">
        <v>0.57758184400252999</v>
      </c>
      <c r="AI8774">
        <v>104.930152819988</v>
      </c>
      <c r="AJ8774">
        <v>81.272252810383094</v>
      </c>
      <c r="AK8774">
        <v>0.604764775031431</v>
      </c>
      <c r="AL8774">
        <v>90.440537844329398</v>
      </c>
      <c r="AM8774">
        <v>92.371623158817101</v>
      </c>
      <c r="AN8774">
        <v>0.99999998633605702</v>
      </c>
    </row>
    <row r="8775" spans="1:40" x14ac:dyDescent="0.25">
      <c r="A8775" t="str">
        <f>"20190312154130900"</f>
        <v>20190312154130900</v>
      </c>
      <c r="B8775" t="str">
        <f>"1552376490895467"</f>
        <v>1552376490895467</v>
      </c>
      <c r="C8775" t="s">
        <v>40</v>
      </c>
      <c r="D8775">
        <v>4.0407840000000004</v>
      </c>
      <c r="E8775">
        <v>0.56708910000000001</v>
      </c>
      <c r="F8775" t="s">
        <v>41</v>
      </c>
      <c r="G8775">
        <v>-272.39440000000002</v>
      </c>
      <c r="H8775">
        <v>0.94409379999999998</v>
      </c>
      <c r="I8775">
        <v>-60.106769999999997</v>
      </c>
      <c r="J8775">
        <v>-272.97379999999998</v>
      </c>
      <c r="K8775">
        <v>1.111782</v>
      </c>
      <c r="L8775">
        <v>-59.768889999999999</v>
      </c>
      <c r="M8775">
        <v>0.93008610000000003</v>
      </c>
      <c r="N8775">
        <v>0</v>
      </c>
      <c r="O8775">
        <v>-0.3670812</v>
      </c>
      <c r="P8775">
        <v>0.94439300000000004</v>
      </c>
      <c r="Q8775">
        <v>-2.1041279999999999E-2</v>
      </c>
      <c r="R8775">
        <v>-0.32814569999999998</v>
      </c>
      <c r="S8775">
        <v>2.6462400000000001</v>
      </c>
      <c r="T8775">
        <v>-0.68046600000000002</v>
      </c>
      <c r="U8775">
        <v>-1.4792179999999999</v>
      </c>
      <c r="V8775">
        <v>-4.144258E-2</v>
      </c>
      <c r="W8775">
        <v>-7.3666590000000002E-3</v>
      </c>
      <c r="X8775">
        <v>0.99911369999999999</v>
      </c>
      <c r="Y8775">
        <v>0.13850009999999999</v>
      </c>
      <c r="Z8775">
        <v>6.6919699999999999E-2</v>
      </c>
      <c r="AA8775">
        <v>0.9880989</v>
      </c>
      <c r="AB8775">
        <v>15</v>
      </c>
      <c r="AC8775">
        <v>0.57939999999996405</v>
      </c>
      <c r="AD8775">
        <v>-0.16768820000000001</v>
      </c>
      <c r="AE8775">
        <v>-0.33787999999999802</v>
      </c>
      <c r="AF8775">
        <v>9.5604516718623106E-2</v>
      </c>
      <c r="AG8775">
        <v>-0.16768820000000001</v>
      </c>
      <c r="AH8775">
        <v>0.62398214871532498</v>
      </c>
      <c r="AI8775">
        <v>104.87642481128999</v>
      </c>
      <c r="AJ8775">
        <v>81.289069456783807</v>
      </c>
      <c r="AK8775">
        <v>0.65315639624184596</v>
      </c>
      <c r="AL8775">
        <v>90.422082299970597</v>
      </c>
      <c r="AM8775">
        <v>92.375229700776799</v>
      </c>
      <c r="AN8775">
        <v>0.99999997031478305</v>
      </c>
    </row>
    <row r="8776" spans="1:40" x14ac:dyDescent="0.25">
      <c r="A8776" t="str">
        <f>"20190312154130912"</f>
        <v>20190312154130912</v>
      </c>
      <c r="B8776" t="str">
        <f>"1552376490905227"</f>
        <v>1552376490905227</v>
      </c>
      <c r="C8776" t="s">
        <v>40</v>
      </c>
      <c r="D8776">
        <v>4.1479589999999904</v>
      </c>
      <c r="E8776">
        <v>0.56708910000000001</v>
      </c>
      <c r="F8776" t="s">
        <v>41</v>
      </c>
      <c r="G8776">
        <v>-272.27730000000003</v>
      </c>
      <c r="H8776">
        <v>0.93295439999999996</v>
      </c>
      <c r="I8776">
        <v>-60.156329999999997</v>
      </c>
      <c r="J8776">
        <v>-272.90010000000001</v>
      </c>
      <c r="K8776">
        <v>1.111818</v>
      </c>
      <c r="L8776">
        <v>-59.7956199999999</v>
      </c>
      <c r="M8776">
        <v>0.93077169999999998</v>
      </c>
      <c r="N8776">
        <v>0</v>
      </c>
      <c r="O8776">
        <v>-0.36533900000000002</v>
      </c>
      <c r="P8776">
        <v>0.9449438</v>
      </c>
      <c r="Q8776">
        <v>-2.092753E-2</v>
      </c>
      <c r="R8776">
        <v>-0.32656299999999999</v>
      </c>
      <c r="S8776">
        <v>2.6495669999999998</v>
      </c>
      <c r="T8776">
        <v>-0.6806854</v>
      </c>
      <c r="U8776">
        <v>-1.473206</v>
      </c>
      <c r="V8776">
        <v>-4.1245839999999999E-2</v>
      </c>
      <c r="W8776">
        <v>-7.2510999999999999E-3</v>
      </c>
      <c r="X8776">
        <v>0.99912270000000003</v>
      </c>
      <c r="Y8776">
        <v>0.13808860000000001</v>
      </c>
      <c r="Z8776">
        <v>6.6589049999999997E-2</v>
      </c>
      <c r="AA8776">
        <v>0.98817880000000002</v>
      </c>
      <c r="AB8776">
        <v>15</v>
      </c>
      <c r="AC8776">
        <v>0.62279999999998303</v>
      </c>
      <c r="AD8776">
        <v>-0.17886359999999901</v>
      </c>
      <c r="AE8776">
        <v>-0.36071000000001102</v>
      </c>
      <c r="AF8776">
        <v>0.101921044288458</v>
      </c>
      <c r="AG8776">
        <v>-0.17886359999999901</v>
      </c>
      <c r="AH8776">
        <v>0.67014469458482895</v>
      </c>
      <c r="AI8776">
        <v>104.781642267113</v>
      </c>
      <c r="AJ8776">
        <v>81.352262799992502</v>
      </c>
      <c r="AK8776">
        <v>0.70105206536605003</v>
      </c>
      <c r="AL8776">
        <v>90.415461074365297</v>
      </c>
      <c r="AM8776">
        <v>92.363945346017601</v>
      </c>
      <c r="AN8776">
        <v>0.99999998371190202</v>
      </c>
    </row>
    <row r="8777" spans="1:40" x14ac:dyDescent="0.25">
      <c r="A8777" t="str">
        <f>"20190312154130925"</f>
        <v>20190312154130925</v>
      </c>
      <c r="B8777" t="str">
        <f>"1552376490914986"</f>
        <v>1552376490914986</v>
      </c>
      <c r="C8777" t="s">
        <v>40</v>
      </c>
      <c r="D8777">
        <v>4.1148339999999903</v>
      </c>
      <c r="E8777">
        <v>0.51906099999999999</v>
      </c>
      <c r="F8777" t="s">
        <v>41</v>
      </c>
      <c r="G8777">
        <v>-272.26589999999999</v>
      </c>
      <c r="H8777">
        <v>0.94924640000000005</v>
      </c>
      <c r="I8777">
        <v>-60.14705</v>
      </c>
      <c r="J8777">
        <v>-272.8152</v>
      </c>
      <c r="K8777">
        <v>1.111856</v>
      </c>
      <c r="L8777">
        <v>-59.826230000000002</v>
      </c>
      <c r="M8777">
        <v>0.93157389999999995</v>
      </c>
      <c r="N8777">
        <v>0</v>
      </c>
      <c r="O8777">
        <v>-0.36328850000000001</v>
      </c>
      <c r="P8777">
        <v>0.9455597</v>
      </c>
      <c r="Q8777">
        <v>-2.154882E-2</v>
      </c>
      <c r="R8777">
        <v>-0.32473439999999998</v>
      </c>
      <c r="S8777">
        <v>2.6520999999999999</v>
      </c>
      <c r="T8777">
        <v>-0.68023509999999998</v>
      </c>
      <c r="U8777">
        <v>-1.4687809999999999</v>
      </c>
      <c r="V8777">
        <v>-4.0970279999999998E-2</v>
      </c>
      <c r="W8777">
        <v>-7.8701910000000003E-3</v>
      </c>
      <c r="X8777">
        <v>0.99912939999999995</v>
      </c>
      <c r="Y8777">
        <v>0.138546</v>
      </c>
      <c r="Z8777">
        <v>6.6032270000000004E-2</v>
      </c>
      <c r="AA8777">
        <v>0.98815220000000004</v>
      </c>
      <c r="AB8777">
        <v>15</v>
      </c>
      <c r="AC8777">
        <v>0.549300000000016</v>
      </c>
      <c r="AD8777">
        <v>-0.16260959999999899</v>
      </c>
      <c r="AE8777">
        <v>-0.320819999999997</v>
      </c>
      <c r="AF8777">
        <v>9.3230607208979202E-2</v>
      </c>
      <c r="AG8777">
        <v>-0.16260959999999899</v>
      </c>
      <c r="AH8777">
        <v>0.58978496450176998</v>
      </c>
      <c r="AI8777">
        <v>105.233851110934</v>
      </c>
      <c r="AJ8777">
        <v>81.017263503705394</v>
      </c>
      <c r="AK8777">
        <v>0.61885388621634196</v>
      </c>
      <c r="AL8777">
        <v>90.450933369561895</v>
      </c>
      <c r="AM8777">
        <v>92.348154034508397</v>
      </c>
      <c r="AN8777">
        <v>1.0000000308470001</v>
      </c>
    </row>
    <row r="8778" spans="1:40" x14ac:dyDescent="0.25">
      <c r="A8778" t="str">
        <f>"20190312154130936"</f>
        <v>20190312154130936</v>
      </c>
      <c r="B8778" t="str">
        <f>"1552376490924748"</f>
        <v>1552376490924748</v>
      </c>
      <c r="C8778" t="s">
        <v>40</v>
      </c>
      <c r="D8778">
        <v>4.2273050000000003</v>
      </c>
      <c r="E8778">
        <v>0.50487079999999995</v>
      </c>
      <c r="F8778" t="s">
        <v>41</v>
      </c>
      <c r="G8778">
        <v>-272.09089999999998</v>
      </c>
      <c r="H8778">
        <v>0.98826939999999996</v>
      </c>
      <c r="I8778">
        <v>-60.114800000000002</v>
      </c>
      <c r="J8778">
        <v>-272.74489999999997</v>
      </c>
      <c r="K8778">
        <v>1.1118840000000001</v>
      </c>
      <c r="L8778">
        <v>-59.851410000000001</v>
      </c>
      <c r="M8778">
        <v>0.93224410000000002</v>
      </c>
      <c r="N8778">
        <v>0</v>
      </c>
      <c r="O8778">
        <v>-0.36156480000000002</v>
      </c>
      <c r="P8778">
        <v>0.94608809999999999</v>
      </c>
      <c r="Q8778">
        <v>-2.2067650000000001E-2</v>
      </c>
      <c r="R8778">
        <v>-0.32315700000000003</v>
      </c>
      <c r="S8778">
        <v>2.781555</v>
      </c>
      <c r="T8778">
        <v>-0.47501290000000002</v>
      </c>
      <c r="U8778">
        <v>-1.107513</v>
      </c>
      <c r="V8778">
        <v>-4.0781449999999997E-2</v>
      </c>
      <c r="W8778">
        <v>-8.387406E-3</v>
      </c>
      <c r="X8778">
        <v>0.99913289999999999</v>
      </c>
      <c r="Y8778">
        <v>1.299345E-2</v>
      </c>
      <c r="Z8778">
        <v>5.6013170000000001E-2</v>
      </c>
      <c r="AA8778">
        <v>0.9983455</v>
      </c>
      <c r="AB8778">
        <v>15</v>
      </c>
      <c r="AC8778">
        <v>0.65399999999999603</v>
      </c>
      <c r="AD8778">
        <v>-0.12361460000000001</v>
      </c>
      <c r="AE8778">
        <v>-0.26339000000000801</v>
      </c>
      <c r="AF8778">
        <v>8.8104324486211992E-3</v>
      </c>
      <c r="AG8778">
        <v>-0.12361460000000001</v>
      </c>
      <c r="AH8778">
        <v>0.68396278256529597</v>
      </c>
      <c r="AI8778">
        <v>100.243812746153</v>
      </c>
      <c r="AJ8778">
        <v>89.261988093766007</v>
      </c>
      <c r="AK8778">
        <v>0.69509947560586904</v>
      </c>
      <c r="AL8778">
        <v>90.480568593014794</v>
      </c>
      <c r="AM8778">
        <v>92.337335360463896</v>
      </c>
      <c r="AN8778">
        <v>1.0000000135529601</v>
      </c>
    </row>
    <row r="8779" spans="1:40" x14ac:dyDescent="0.25">
      <c r="A8779" t="str">
        <f>"20190312154130948"</f>
        <v>20190312154130948</v>
      </c>
      <c r="B8779" t="str">
        <f>"1552376490945244"</f>
        <v>1552376490945244</v>
      </c>
      <c r="C8779" t="s">
        <v>40</v>
      </c>
      <c r="D8779">
        <v>4.1055210000000004</v>
      </c>
      <c r="E8779">
        <v>0.44045260000000003</v>
      </c>
      <c r="F8779" t="s">
        <v>41</v>
      </c>
      <c r="G8779">
        <v>-272.06920000000002</v>
      </c>
      <c r="H8779">
        <v>1.0099499999999999</v>
      </c>
      <c r="I8779">
        <v>-60.090479999999999</v>
      </c>
      <c r="J8779">
        <v>-272.67759999999998</v>
      </c>
      <c r="K8779">
        <v>1.1119139999999901</v>
      </c>
      <c r="L8779">
        <v>-59.875210000000003</v>
      </c>
      <c r="M8779">
        <v>0.93290479999999998</v>
      </c>
      <c r="N8779">
        <v>0</v>
      </c>
      <c r="O8779">
        <v>-0.35985620000000001</v>
      </c>
      <c r="P8779">
        <v>0.94648310000000002</v>
      </c>
      <c r="Q8779">
        <v>-2.26512E-2</v>
      </c>
      <c r="R8779">
        <v>-0.32195770000000001</v>
      </c>
      <c r="S8779">
        <v>2.8204349999999998</v>
      </c>
      <c r="T8779">
        <v>-0.42590529999999999</v>
      </c>
      <c r="U8779">
        <v>-0.99710080000000001</v>
      </c>
      <c r="V8779">
        <v>-4.0210000000000003E-2</v>
      </c>
      <c r="W8779">
        <v>-8.9674130000000005E-3</v>
      </c>
      <c r="X8779">
        <v>0.99915100000000001</v>
      </c>
      <c r="Y8779">
        <v>-2.469758E-2</v>
      </c>
      <c r="Z8779">
        <v>5.2580839999999997E-2</v>
      </c>
      <c r="AA8779">
        <v>0.99831119999999995</v>
      </c>
      <c r="AB8779">
        <v>15</v>
      </c>
      <c r="AC8779">
        <v>0.60839999999995997</v>
      </c>
      <c r="AD8779">
        <v>-0.101963999999999</v>
      </c>
      <c r="AE8779">
        <v>-0.21527000000001001</v>
      </c>
      <c r="AF8779">
        <v>-1.7670731078904801E-2</v>
      </c>
      <c r="AG8779">
        <v>-0.101963999999999</v>
      </c>
      <c r="AH8779">
        <v>0.62939622920546401</v>
      </c>
      <c r="AI8779">
        <v>99.198571153683702</v>
      </c>
      <c r="AJ8779">
        <v>91.608195869400404</v>
      </c>
      <c r="AK8779">
        <v>0.63784678832061203</v>
      </c>
      <c r="AL8779">
        <v>90.5138018096862</v>
      </c>
      <c r="AM8779">
        <v>92.304577313985803</v>
      </c>
      <c r="AN8779">
        <v>0.99999998969845605</v>
      </c>
    </row>
    <row r="8780" spans="1:40" x14ac:dyDescent="0.25">
      <c r="A8780" t="str">
        <f>"20190312154130959"</f>
        <v>20190312154130959</v>
      </c>
      <c r="B8780" t="str">
        <f>"1552376490945244"</f>
        <v>1552376490945244</v>
      </c>
      <c r="C8780" t="s">
        <v>40</v>
      </c>
      <c r="D8780">
        <v>4.1055210000000004</v>
      </c>
      <c r="E8780">
        <v>0.44045260000000003</v>
      </c>
      <c r="F8780" t="s">
        <v>97</v>
      </c>
      <c r="G8780">
        <v>-241.63</v>
      </c>
      <c r="H8780" s="1">
        <v>-9.737504999999999E-7</v>
      </c>
      <c r="I8780">
        <v>-65.221940000000004</v>
      </c>
      <c r="J8780">
        <v>-272.6026</v>
      </c>
      <c r="K8780">
        <v>1.1119460000000001</v>
      </c>
      <c r="L8780">
        <v>-59.90164</v>
      </c>
      <c r="M8780">
        <v>0.93364570000000002</v>
      </c>
      <c r="N8780">
        <v>0</v>
      </c>
      <c r="O8780">
        <v>-0.35792970000000002</v>
      </c>
      <c r="P8780">
        <v>0.94691590000000003</v>
      </c>
      <c r="Q8780">
        <v>-2.2752540000000002E-2</v>
      </c>
      <c r="R8780">
        <v>-0.3206754</v>
      </c>
      <c r="S8780">
        <v>2.9918209999999998</v>
      </c>
      <c r="T8780">
        <v>-0.10714659999999999</v>
      </c>
      <c r="U8780">
        <v>-0.51522829999999997</v>
      </c>
      <c r="V8780">
        <v>-3.9498650000000003E-2</v>
      </c>
      <c r="W8780">
        <v>-9.0643219999999997E-3</v>
      </c>
      <c r="X8780">
        <v>0.99917849999999997</v>
      </c>
      <c r="Y8780">
        <v>-0.19397229999999999</v>
      </c>
      <c r="Z8780">
        <v>1.585539E-2</v>
      </c>
      <c r="AA8780">
        <v>0.9808789</v>
      </c>
      <c r="AB8780">
        <v>15</v>
      </c>
      <c r="AC8780">
        <v>30.9726</v>
      </c>
      <c r="AD8780">
        <v>-1.1119469737504999</v>
      </c>
      <c r="AE8780">
        <v>-5.3202999999999996</v>
      </c>
      <c r="AF8780">
        <v>-6.1116743505512803</v>
      </c>
      <c r="AG8780">
        <v>-1.1119469737504999</v>
      </c>
      <c r="AH8780">
        <v>30.7861456404456</v>
      </c>
      <c r="AI8780">
        <v>92.028973099326095</v>
      </c>
      <c r="AJ8780">
        <v>101.228388624213</v>
      </c>
      <c r="AK8780">
        <v>31.4066195703126</v>
      </c>
      <c r="AL8780">
        <v>90.519354511930203</v>
      </c>
      <c r="AM8780">
        <v>92.263787888011095</v>
      </c>
      <c r="AN8780">
        <v>0.999999990073696</v>
      </c>
    </row>
    <row r="8781" spans="1:40" x14ac:dyDescent="0.25">
      <c r="A8781" t="str">
        <f>"20190312154130970"</f>
        <v>20190312154130970</v>
      </c>
      <c r="B8781" t="str">
        <f>"1552376490964763"</f>
        <v>1552376490964763</v>
      </c>
      <c r="C8781" t="s">
        <v>40</v>
      </c>
      <c r="D8781">
        <v>4.0177290000000001</v>
      </c>
      <c r="E8781">
        <v>0.43160569999999998</v>
      </c>
      <c r="F8781" t="s">
        <v>97</v>
      </c>
      <c r="G8781">
        <v>-241.67169999999999</v>
      </c>
      <c r="H8781" s="1">
        <v>-9.8192389999999995E-7</v>
      </c>
      <c r="I8781">
        <v>-65.185429999999997</v>
      </c>
      <c r="J8781">
        <v>-272.53250000000003</v>
      </c>
      <c r="K8781">
        <v>1.11198</v>
      </c>
      <c r="L8781">
        <v>-59.92606</v>
      </c>
      <c r="M8781">
        <v>0.93435590000000002</v>
      </c>
      <c r="N8781">
        <v>0</v>
      </c>
      <c r="O8781">
        <v>-0.35607179999999999</v>
      </c>
      <c r="P8781">
        <v>0.94737260000000001</v>
      </c>
      <c r="Q8781">
        <v>-2.3113939999999999E-2</v>
      </c>
      <c r="R8781">
        <v>-0.31929770000000002</v>
      </c>
      <c r="S8781">
        <v>2.9924930000000001</v>
      </c>
      <c r="T8781">
        <v>-0.1075783</v>
      </c>
      <c r="U8781">
        <v>-0.51119999999999999</v>
      </c>
      <c r="V8781">
        <v>-3.8959180000000003E-2</v>
      </c>
      <c r="W8781">
        <v>-9.4221110000000004E-3</v>
      </c>
      <c r="X8781">
        <v>0.99919639999999998</v>
      </c>
      <c r="Y8781">
        <v>-0.19333919999999999</v>
      </c>
      <c r="Z8781">
        <v>1.5845189999999999E-2</v>
      </c>
      <c r="AA8781">
        <v>0.98100399999999999</v>
      </c>
      <c r="AB8781">
        <v>15</v>
      </c>
      <c r="AC8781">
        <v>30.860800000000001</v>
      </c>
      <c r="AD8781">
        <v>-1.1119809819238999</v>
      </c>
      <c r="AE8781">
        <v>-5.2593700000000103</v>
      </c>
      <c r="AF8781">
        <v>-6.0674650769426997</v>
      </c>
      <c r="AG8781">
        <v>-1.1119809819238999</v>
      </c>
      <c r="AH8781">
        <v>30.671933194487899</v>
      </c>
      <c r="AI8781">
        <v>92.036856681409006</v>
      </c>
      <c r="AJ8781">
        <v>101.189679496903</v>
      </c>
      <c r="AK8781">
        <v>31.286069105133802</v>
      </c>
      <c r="AL8781">
        <v>90.539855171613496</v>
      </c>
      <c r="AM8781">
        <v>92.232860771768301</v>
      </c>
      <c r="AN8781">
        <v>1.0000000198274599</v>
      </c>
    </row>
    <row r="8782" spans="1:40" x14ac:dyDescent="0.25">
      <c r="A8782" t="str">
        <f>"20190312154130983"</f>
        <v>20190312154130983</v>
      </c>
      <c r="B8782" t="str">
        <f>"1552376490975499"</f>
        <v>1552376490975499</v>
      </c>
      <c r="C8782" t="s">
        <v>40</v>
      </c>
      <c r="D8782">
        <v>4.0102869999999999</v>
      </c>
      <c r="E8782">
        <v>0.4298129</v>
      </c>
      <c r="F8782" t="s">
        <v>98</v>
      </c>
      <c r="G8782">
        <v>-233.93129999999999</v>
      </c>
      <c r="H8782" s="1">
        <v>-2.0519490000000001E-6</v>
      </c>
      <c r="I8782">
        <v>-65.563649999999996</v>
      </c>
      <c r="J8782">
        <v>-272.46319999999997</v>
      </c>
      <c r="K8782">
        <v>1.112015</v>
      </c>
      <c r="L8782">
        <v>-59.949979999999996</v>
      </c>
      <c r="M8782">
        <v>0.93506639999999996</v>
      </c>
      <c r="N8782">
        <v>0</v>
      </c>
      <c r="O8782">
        <v>-0.3542013</v>
      </c>
      <c r="P8782">
        <v>0.94785799999999998</v>
      </c>
      <c r="Q8782">
        <v>-2.2830690000000001E-2</v>
      </c>
      <c r="R8782">
        <v>-0.31787490000000002</v>
      </c>
      <c r="S8782">
        <v>3.0160520000000002</v>
      </c>
      <c r="T8782">
        <v>-8.6883310000000005E-2</v>
      </c>
      <c r="U8782">
        <v>-0.44049070000000001</v>
      </c>
      <c r="V8782">
        <v>-3.8463289999999997E-2</v>
      </c>
      <c r="W8782">
        <v>-9.1351209999999995E-3</v>
      </c>
      <c r="X8782">
        <v>0.9992183</v>
      </c>
      <c r="Y8782">
        <v>-0.21514849999999999</v>
      </c>
      <c r="Z8782">
        <v>1.299603E-2</v>
      </c>
      <c r="AA8782">
        <v>0.9764948</v>
      </c>
      <c r="AB8782">
        <v>15</v>
      </c>
      <c r="AC8782">
        <v>38.531899999999901</v>
      </c>
      <c r="AD8782">
        <v>-1.112017051949</v>
      </c>
      <c r="AE8782">
        <v>-5.6136699999999902</v>
      </c>
      <c r="AF8782">
        <v>-8.3928574529716098</v>
      </c>
      <c r="AG8782">
        <v>-1.112017051949</v>
      </c>
      <c r="AH8782">
        <v>37.990925372657202</v>
      </c>
      <c r="AI8782">
        <v>91.637150924808097</v>
      </c>
      <c r="AJ8782">
        <v>102.457546836552</v>
      </c>
      <c r="AK8782">
        <v>38.922834542470497</v>
      </c>
      <c r="AL8782">
        <v>90.523411136077002</v>
      </c>
      <c r="AM8782">
        <v>92.204419866249097</v>
      </c>
      <c r="AN8782">
        <v>1.0000000430840901</v>
      </c>
    </row>
    <row r="8783" spans="1:40" x14ac:dyDescent="0.25">
      <c r="A8783" t="str">
        <f>"20190312154130996"</f>
        <v>20190312154130996</v>
      </c>
      <c r="B8783" t="str">
        <f>"1552376490985259"</f>
        <v>1552376490985259</v>
      </c>
      <c r="C8783" t="s">
        <v>40</v>
      </c>
      <c r="D8783">
        <v>3.9702920000000002</v>
      </c>
      <c r="E8783">
        <v>0.42879519999999999</v>
      </c>
      <c r="F8783" t="s">
        <v>98</v>
      </c>
      <c r="G8783">
        <v>-233.60669999999999</v>
      </c>
      <c r="H8783" s="1">
        <v>-1.864618E-6</v>
      </c>
      <c r="I8783">
        <v>-65.38306</v>
      </c>
      <c r="J8783">
        <v>-272.37520000000001</v>
      </c>
      <c r="K8783">
        <v>1.1120620000000001</v>
      </c>
      <c r="L8783">
        <v>-59.980159999999998</v>
      </c>
      <c r="M8783">
        <v>0.93598269999999995</v>
      </c>
      <c r="N8783">
        <v>0</v>
      </c>
      <c r="O8783">
        <v>-0.35177239999999999</v>
      </c>
      <c r="P8783">
        <v>0.94865299999999997</v>
      </c>
      <c r="Q8783">
        <v>-2.2894999999999999E-2</v>
      </c>
      <c r="R8783">
        <v>-0.31548920000000003</v>
      </c>
      <c r="S8783">
        <v>3.0213009999999998</v>
      </c>
      <c r="T8783">
        <v>-8.6465120000000006E-2</v>
      </c>
      <c r="U8783">
        <v>-0.42245480000000002</v>
      </c>
      <c r="V8783">
        <v>-3.8381319999999997E-2</v>
      </c>
      <c r="W8783">
        <v>-9.1972449999999997E-3</v>
      </c>
      <c r="X8783">
        <v>0.99922080000000002</v>
      </c>
      <c r="Y8783">
        <v>-0.21856929999999999</v>
      </c>
      <c r="Z8783">
        <v>1.2903339999999999E-2</v>
      </c>
      <c r="AA8783">
        <v>0.9757361</v>
      </c>
      <c r="AB8783">
        <v>15</v>
      </c>
      <c r="AC8783">
        <v>38.768500000000003</v>
      </c>
      <c r="AD8783">
        <v>-1.1120638646179899</v>
      </c>
      <c r="AE8783">
        <v>-5.4028999999999998</v>
      </c>
      <c r="AF8783">
        <v>-8.5745727846626192</v>
      </c>
      <c r="AG8783">
        <v>-1.1120638646179899</v>
      </c>
      <c r="AH8783">
        <v>38.160113226371202</v>
      </c>
      <c r="AI8783">
        <v>91.628657432016794</v>
      </c>
      <c r="AJ8783">
        <v>102.664015300095</v>
      </c>
      <c r="AK8783">
        <v>39.1274101612659</v>
      </c>
      <c r="AL8783">
        <v>90.526970771676602</v>
      </c>
      <c r="AM8783">
        <v>92.199721098247906</v>
      </c>
      <c r="AN8783">
        <v>0.99999996109658496</v>
      </c>
    </row>
    <row r="8784" spans="1:40" x14ac:dyDescent="0.25">
      <c r="A8784" t="str">
        <f>"20190312154131016"</f>
        <v>20190312154131016</v>
      </c>
      <c r="B8784" t="str">
        <f>"1552376491005288"</f>
        <v>1552376491005288</v>
      </c>
      <c r="C8784" t="s">
        <v>40</v>
      </c>
      <c r="D8784">
        <v>4.0377369999999999</v>
      </c>
      <c r="E8784">
        <v>0.42789539999999998</v>
      </c>
      <c r="F8784" t="s">
        <v>98</v>
      </c>
      <c r="G8784">
        <v>-233.84700000000001</v>
      </c>
      <c r="H8784" s="1">
        <v>-1.9098069999999999E-6</v>
      </c>
      <c r="I8784">
        <v>-65.165459999999996</v>
      </c>
      <c r="J8784">
        <v>-272.25830000000002</v>
      </c>
      <c r="K8784">
        <v>1.1121239999999999</v>
      </c>
      <c r="L8784">
        <v>-60.019620000000003</v>
      </c>
      <c r="M8784">
        <v>0.93723730000000005</v>
      </c>
      <c r="N8784">
        <v>0</v>
      </c>
      <c r="O8784">
        <v>-0.34841559999999999</v>
      </c>
      <c r="P8784">
        <v>0.94973770000000002</v>
      </c>
      <c r="Q8784">
        <v>-2.369361E-2</v>
      </c>
      <c r="R8784">
        <v>-0.31214910000000001</v>
      </c>
      <c r="S8784">
        <v>3.0248719999999998</v>
      </c>
      <c r="T8784">
        <v>-8.7308650000000002E-2</v>
      </c>
      <c r="U8784">
        <v>-0.40710449999999998</v>
      </c>
      <c r="V8784">
        <v>-3.8303839999999999E-2</v>
      </c>
      <c r="W8784">
        <v>-9.9926440000000002E-3</v>
      </c>
      <c r="X8784">
        <v>0.9992162</v>
      </c>
      <c r="Y8784">
        <v>-0.2200867</v>
      </c>
      <c r="Z8784">
        <v>1.295205E-2</v>
      </c>
      <c r="AA8784">
        <v>0.97539430000000005</v>
      </c>
      <c r="AB8784">
        <v>15</v>
      </c>
      <c r="AC8784">
        <v>38.411299999999997</v>
      </c>
      <c r="AD8784">
        <v>-1.112125909807</v>
      </c>
      <c r="AE8784">
        <v>-5.1458399999999997</v>
      </c>
      <c r="AF8784">
        <v>-8.5540040896248293</v>
      </c>
      <c r="AG8784">
        <v>-1.112125909807</v>
      </c>
      <c r="AH8784">
        <v>37.765937763831701</v>
      </c>
      <c r="AI8784">
        <v>91.645103043338096</v>
      </c>
      <c r="AJ8784">
        <v>102.762187275785</v>
      </c>
      <c r="AK8784">
        <v>38.738532047383998</v>
      </c>
      <c r="AL8784">
        <v>90.572545841318501</v>
      </c>
      <c r="AM8784">
        <v>92.195294987895295</v>
      </c>
      <c r="AN8784">
        <v>1.00000002571764</v>
      </c>
    </row>
    <row r="8785" spans="1:40" x14ac:dyDescent="0.25">
      <c r="A8785" t="str">
        <f>"20190312154131029"</f>
        <v>20190312154131029</v>
      </c>
      <c r="B8785" t="str">
        <f>"1552376491015047"</f>
        <v>1552376491015047</v>
      </c>
      <c r="C8785" t="s">
        <v>40</v>
      </c>
      <c r="D8785">
        <v>3.9973930000000002</v>
      </c>
      <c r="E8785">
        <v>0.42772450000000001</v>
      </c>
      <c r="F8785" t="s">
        <v>98</v>
      </c>
      <c r="G8785">
        <v>-236.61420000000001</v>
      </c>
      <c r="H8785" s="1">
        <v>-2.873772E-6</v>
      </c>
      <c r="I8785">
        <v>-64.605429999999998</v>
      </c>
      <c r="J8785">
        <v>-272.18189999999998</v>
      </c>
      <c r="K8785">
        <v>1.112174</v>
      </c>
      <c r="L8785">
        <v>-60.04495</v>
      </c>
      <c r="M8785">
        <v>0.93808309999999995</v>
      </c>
      <c r="N8785">
        <v>0</v>
      </c>
      <c r="O8785">
        <v>-0.34613139999999998</v>
      </c>
      <c r="P8785">
        <v>0.95053790000000005</v>
      </c>
      <c r="Q8785">
        <v>-2.4785089999999999E-2</v>
      </c>
      <c r="R8785">
        <v>-0.309618</v>
      </c>
      <c r="S8785">
        <v>3.0283509999999998</v>
      </c>
      <c r="T8785">
        <v>-9.448695E-2</v>
      </c>
      <c r="U8785">
        <v>-0.38961790000000002</v>
      </c>
      <c r="V8785">
        <v>-3.8514939999999998E-2</v>
      </c>
      <c r="W8785">
        <v>-1.1083290000000001E-2</v>
      </c>
      <c r="X8785">
        <v>0.99919650000000004</v>
      </c>
      <c r="Y8785">
        <v>-0.22335479999999999</v>
      </c>
      <c r="Z8785">
        <v>1.3992569999999999E-2</v>
      </c>
      <c r="AA8785">
        <v>0.97463670000000002</v>
      </c>
      <c r="AB8785">
        <v>15</v>
      </c>
      <c r="AC8785">
        <v>35.567699999999903</v>
      </c>
      <c r="AD8785">
        <v>-1.1121768737719999</v>
      </c>
      <c r="AE8785">
        <v>-4.5604799999999903</v>
      </c>
      <c r="AF8785">
        <v>-8.0260437993479403</v>
      </c>
      <c r="AG8785">
        <v>-1.1121768737719999</v>
      </c>
      <c r="AH8785">
        <v>34.913773389763598</v>
      </c>
      <c r="AI8785">
        <v>91.778188829448894</v>
      </c>
      <c r="AJ8785">
        <v>102.946336496104</v>
      </c>
      <c r="AK8785">
        <v>35.841678096587103</v>
      </c>
      <c r="AL8785">
        <v>90.635038778206706</v>
      </c>
      <c r="AM8785">
        <v>92.207425232482805</v>
      </c>
      <c r="AN8785">
        <v>0.99999994276633697</v>
      </c>
    </row>
    <row r="8786" spans="1:40" x14ac:dyDescent="0.25">
      <c r="A8786" t="str">
        <f>"20190312154131042"</f>
        <v>20190312154131042</v>
      </c>
      <c r="B8786" t="str">
        <f>"1552376491034567"</f>
        <v>1552376491034567</v>
      </c>
      <c r="C8786" t="s">
        <v>40</v>
      </c>
      <c r="D8786">
        <v>4.0168200000000001</v>
      </c>
      <c r="E8786">
        <v>0.42741190000000001</v>
      </c>
      <c r="F8786" t="s">
        <v>98</v>
      </c>
      <c r="G8786">
        <v>-238.1891</v>
      </c>
      <c r="H8786" s="1">
        <v>-3.3574810000000002E-6</v>
      </c>
      <c r="I8786">
        <v>-64.310940000000002</v>
      </c>
      <c r="J8786">
        <v>-272.09589999999997</v>
      </c>
      <c r="K8786">
        <v>1.112233</v>
      </c>
      <c r="L8786">
        <v>-60.073300000000003</v>
      </c>
      <c r="M8786">
        <v>0.93905059999999996</v>
      </c>
      <c r="N8786">
        <v>0</v>
      </c>
      <c r="O8786">
        <v>-0.34349790000000002</v>
      </c>
      <c r="P8786">
        <v>0.9514939</v>
      </c>
      <c r="Q8786">
        <v>-2.5880279999999999E-2</v>
      </c>
      <c r="R8786">
        <v>-0.30657719999999999</v>
      </c>
      <c r="S8786">
        <v>3.0296630000000002</v>
      </c>
      <c r="T8786">
        <v>-9.9124309999999993E-2</v>
      </c>
      <c r="U8786">
        <v>-0.38021850000000001</v>
      </c>
      <c r="V8786">
        <v>-3.8889890000000003E-2</v>
      </c>
      <c r="W8786">
        <v>-1.217818E-2</v>
      </c>
      <c r="X8786">
        <v>0.99916930000000004</v>
      </c>
      <c r="Y8786">
        <v>-0.22362380000000001</v>
      </c>
      <c r="Z8786">
        <v>1.4600719999999999E-2</v>
      </c>
      <c r="AA8786">
        <v>0.97456620000000005</v>
      </c>
      <c r="AB8786">
        <v>15</v>
      </c>
      <c r="AC8786">
        <v>33.906799999999897</v>
      </c>
      <c r="AD8786">
        <v>-1.1122363574809999</v>
      </c>
      <c r="AE8786">
        <v>-4.2376399999999901</v>
      </c>
      <c r="AF8786">
        <v>-7.6601811175549201</v>
      </c>
      <c r="AG8786">
        <v>-1.1122363574809999</v>
      </c>
      <c r="AH8786">
        <v>33.263795502026802</v>
      </c>
      <c r="AI8786">
        <v>91.866266212759498</v>
      </c>
      <c r="AJ8786">
        <v>102.968318176819</v>
      </c>
      <c r="AK8786">
        <v>34.152533371176197</v>
      </c>
      <c r="AL8786">
        <v>90.697775556937302</v>
      </c>
      <c r="AM8786">
        <v>92.228953967039203</v>
      </c>
      <c r="AN8786">
        <v>1.0000000108374001</v>
      </c>
    </row>
    <row r="8787" spans="1:40" x14ac:dyDescent="0.25">
      <c r="A8787" t="str">
        <f>"20190312154131056"</f>
        <v>20190312154131056</v>
      </c>
      <c r="B8787" t="str">
        <f>"1552376491045303"</f>
        <v>1552376491045303</v>
      </c>
      <c r="C8787" t="s">
        <v>40</v>
      </c>
      <c r="D8787">
        <v>4.0399250000000002</v>
      </c>
      <c r="E8787">
        <v>0.42729159999999999</v>
      </c>
      <c r="F8787" t="s">
        <v>98</v>
      </c>
      <c r="G8787">
        <v>-238.99979999999999</v>
      </c>
      <c r="H8787" s="1">
        <v>-3.5946869999999999E-6</v>
      </c>
      <c r="I8787">
        <v>-64.092939999999999</v>
      </c>
      <c r="J8787">
        <v>-272.0068</v>
      </c>
      <c r="K8787">
        <v>1.112298</v>
      </c>
      <c r="L8787">
        <v>-60.102260000000001</v>
      </c>
      <c r="M8787">
        <v>0.94007300000000005</v>
      </c>
      <c r="N8787">
        <v>0</v>
      </c>
      <c r="O8787">
        <v>-0.34068939999999998</v>
      </c>
      <c r="P8787">
        <v>0.95247919999999997</v>
      </c>
      <c r="Q8787">
        <v>-2.6512150000000002E-2</v>
      </c>
      <c r="R8787">
        <v>-0.303448299999999</v>
      </c>
      <c r="S8787">
        <v>3.0315249999999998</v>
      </c>
      <c r="T8787">
        <v>-0.1018782</v>
      </c>
      <c r="U8787">
        <v>-0.36819459999999998</v>
      </c>
      <c r="V8787">
        <v>-3.9175920000000003E-2</v>
      </c>
      <c r="W8787">
        <v>-1.280881E-2</v>
      </c>
      <c r="X8787">
        <v>0.99915019999999999</v>
      </c>
      <c r="Y8787">
        <v>-0.22457640000000001</v>
      </c>
      <c r="Z8787">
        <v>1.4930000000000001E-2</v>
      </c>
      <c r="AA8787">
        <v>0.97434209999999999</v>
      </c>
      <c r="AB8787">
        <v>15</v>
      </c>
      <c r="AC8787">
        <v>33.006999999999998</v>
      </c>
      <c r="AD8787">
        <v>-1.1123015946870001</v>
      </c>
      <c r="AE8787">
        <v>-3.99067999999999</v>
      </c>
      <c r="AF8787">
        <v>-7.4859508535857699</v>
      </c>
      <c r="AG8787">
        <v>-1.1123015946870001</v>
      </c>
      <c r="AH8787">
        <v>32.355491560244303</v>
      </c>
      <c r="AI8787">
        <v>91.918277379423401</v>
      </c>
      <c r="AJ8787">
        <v>103.027059591851</v>
      </c>
      <c r="AK8787">
        <v>33.228820459427702</v>
      </c>
      <c r="AL8787">
        <v>90.733910844614599</v>
      </c>
      <c r="AM8787">
        <v>92.2453737893061</v>
      </c>
      <c r="AN8787">
        <v>0.99999997024075005</v>
      </c>
    </row>
    <row r="8788" spans="1:40" x14ac:dyDescent="0.25">
      <c r="A8788" t="str">
        <f>"20190312154131067"</f>
        <v>20190312154131067</v>
      </c>
      <c r="B8788" t="str">
        <f>"1552376491055062"</f>
        <v>1552376491055062</v>
      </c>
      <c r="C8788" t="s">
        <v>40</v>
      </c>
      <c r="D8788">
        <v>4.0315059999999896</v>
      </c>
      <c r="E8788">
        <v>0.42720849999999999</v>
      </c>
      <c r="F8788" t="s">
        <v>98</v>
      </c>
      <c r="G8788">
        <v>-239.58750000000001</v>
      </c>
      <c r="H8788" s="1">
        <v>-3.7642100000000002E-6</v>
      </c>
      <c r="I8788">
        <v>-63.921100000000003</v>
      </c>
      <c r="J8788">
        <v>-271.9427</v>
      </c>
      <c r="K8788">
        <v>1.1123479999999999</v>
      </c>
      <c r="L8788">
        <v>-60.12274</v>
      </c>
      <c r="M8788">
        <v>0.94083289999999997</v>
      </c>
      <c r="N8788">
        <v>0</v>
      </c>
      <c r="O8788">
        <v>-0.33858470000000002</v>
      </c>
      <c r="P8788">
        <v>0.95325760000000004</v>
      </c>
      <c r="Q8788">
        <v>-2.6750840000000001E-2</v>
      </c>
      <c r="R8788">
        <v>-0.30097239999999997</v>
      </c>
      <c r="S8788">
        <v>3.0329280000000001</v>
      </c>
      <c r="T8788">
        <v>-0.1040592</v>
      </c>
      <c r="U8788">
        <v>-0.35726930000000001</v>
      </c>
      <c r="V8788">
        <v>-3.9530740000000002E-2</v>
      </c>
      <c r="W8788">
        <v>-1.304671E-2</v>
      </c>
      <c r="X8788">
        <v>0.99913320000000005</v>
      </c>
      <c r="Y8788">
        <v>-0.22589709999999999</v>
      </c>
      <c r="Z8788">
        <v>1.5202220000000001E-2</v>
      </c>
      <c r="AA8788">
        <v>0.97403249999999997</v>
      </c>
      <c r="AB8788">
        <v>15</v>
      </c>
      <c r="AC8788">
        <v>32.355200000000004</v>
      </c>
      <c r="AD8788">
        <v>-1.11235176420999</v>
      </c>
      <c r="AE8788">
        <v>-3.7983600000000002</v>
      </c>
      <c r="AF8788">
        <v>-7.37347265156418</v>
      </c>
      <c r="AG8788">
        <v>-1.11235176420999</v>
      </c>
      <c r="AH8788">
        <v>31.693028805630099</v>
      </c>
      <c r="AI8788">
        <v>91.957877030195803</v>
      </c>
      <c r="AJ8788">
        <v>103.097039626127</v>
      </c>
      <c r="AK8788">
        <v>32.558462805624103</v>
      </c>
      <c r="AL8788">
        <v>90.747542610206295</v>
      </c>
      <c r="AM8788">
        <v>92.265727762614205</v>
      </c>
      <c r="AN8788">
        <v>1.0000000236944999</v>
      </c>
    </row>
    <row r="8789" spans="1:40" x14ac:dyDescent="0.25">
      <c r="A8789" t="str">
        <f>"20190312154131077"</f>
        <v>20190312154131077</v>
      </c>
      <c r="B8789" t="str">
        <f>"1552376491064823"</f>
        <v>1552376491064823</v>
      </c>
      <c r="C8789" t="s">
        <v>40</v>
      </c>
      <c r="D8789">
        <v>4.0168089999999896</v>
      </c>
      <c r="E8789">
        <v>0.42719000000000001</v>
      </c>
      <c r="F8789" t="s">
        <v>97</v>
      </c>
      <c r="G8789">
        <v>-240.22479999999999</v>
      </c>
      <c r="H8789" s="1">
        <v>1.5755969999999999E-8</v>
      </c>
      <c r="I8789">
        <v>-63.768630000000002</v>
      </c>
      <c r="J8789">
        <v>-271.87939999999998</v>
      </c>
      <c r="K8789">
        <v>1.112398</v>
      </c>
      <c r="L8789">
        <v>-60.142910000000001</v>
      </c>
      <c r="M8789">
        <v>0.94158120000000001</v>
      </c>
      <c r="N8789">
        <v>0</v>
      </c>
      <c r="O8789">
        <v>-0.33649829999999997</v>
      </c>
      <c r="P8789">
        <v>0.95409319999999997</v>
      </c>
      <c r="Q8789">
        <v>-2.6656030000000001E-2</v>
      </c>
      <c r="R8789">
        <v>-0.29832219999999998</v>
      </c>
      <c r="S8789">
        <v>3.0339969999999998</v>
      </c>
      <c r="T8789">
        <v>-0.10640230000000001</v>
      </c>
      <c r="U8789">
        <v>-0.34875489999999998</v>
      </c>
      <c r="V8789">
        <v>-4.0092490000000001E-2</v>
      </c>
      <c r="W8789">
        <v>-1.295253E-2</v>
      </c>
      <c r="X8789">
        <v>0.999112</v>
      </c>
      <c r="Y8789">
        <v>-0.226461</v>
      </c>
      <c r="Z8789">
        <v>1.548386E-2</v>
      </c>
      <c r="AA8789">
        <v>0.97389720000000002</v>
      </c>
      <c r="AB8789">
        <v>15</v>
      </c>
      <c r="AC8789">
        <v>31.654599999999899</v>
      </c>
      <c r="AD8789">
        <v>-1.1123979842440299</v>
      </c>
      <c r="AE8789">
        <v>-3.6257199999999998</v>
      </c>
      <c r="AF8789">
        <v>-7.2296978754945096</v>
      </c>
      <c r="AG8789">
        <v>-1.1123979842440299</v>
      </c>
      <c r="AH8789">
        <v>30.9906546318194</v>
      </c>
      <c r="AI8789">
        <v>92.002017812234101</v>
      </c>
      <c r="AJ8789">
        <v>103.131471382774</v>
      </c>
      <c r="AK8789">
        <v>31.842214671014801</v>
      </c>
      <c r="AL8789">
        <v>90.7421460686367</v>
      </c>
      <c r="AM8789">
        <v>92.297939229837596</v>
      </c>
      <c r="AN8789">
        <v>0.99999998216590003</v>
      </c>
    </row>
    <row r="8790" spans="1:40" x14ac:dyDescent="0.25">
      <c r="A8790" t="str">
        <f>"20190312154131088"</f>
        <v>20190312154131088</v>
      </c>
      <c r="B8790" t="str">
        <f>"1552376491074582"</f>
        <v>1552376491074582</v>
      </c>
      <c r="C8790" t="s">
        <v>40</v>
      </c>
      <c r="D8790">
        <v>3.9923030000000002</v>
      </c>
      <c r="E8790">
        <v>0.42713859999999898</v>
      </c>
      <c r="F8790" t="s">
        <v>97</v>
      </c>
      <c r="G8790">
        <v>-240.68969999999999</v>
      </c>
      <c r="H8790" s="1">
        <v>-1.490686E-7</v>
      </c>
      <c r="I8790">
        <v>-63.638480000000001</v>
      </c>
      <c r="J8790">
        <v>-271.81189999999998</v>
      </c>
      <c r="K8790">
        <v>1.112455</v>
      </c>
      <c r="L8790">
        <v>-60.1639699999999</v>
      </c>
      <c r="M8790">
        <v>0.94240809999999997</v>
      </c>
      <c r="N8790">
        <v>0</v>
      </c>
      <c r="O8790">
        <v>-0.3341749</v>
      </c>
      <c r="P8790">
        <v>0.95507960000000003</v>
      </c>
      <c r="Q8790">
        <v>-2.6179620000000001E-2</v>
      </c>
      <c r="R8790">
        <v>-0.29519200000000001</v>
      </c>
      <c r="S8790">
        <v>3.0349729999999999</v>
      </c>
      <c r="T8790">
        <v>-0.1082442</v>
      </c>
      <c r="U8790">
        <v>-0.34014889999999998</v>
      </c>
      <c r="V8790">
        <v>-4.090978E-2</v>
      </c>
      <c r="W8790">
        <v>-1.2477149999999999E-2</v>
      </c>
      <c r="X8790">
        <v>0.99908490000000005</v>
      </c>
      <c r="Y8790">
        <v>-0.22681029999999999</v>
      </c>
      <c r="Z8790">
        <v>1.567882E-2</v>
      </c>
      <c r="AA8790">
        <v>0.97381280000000003</v>
      </c>
      <c r="AB8790">
        <v>15</v>
      </c>
      <c r="AC8790">
        <v>31.1221999999999</v>
      </c>
      <c r="AD8790">
        <v>-1.1124551490686001</v>
      </c>
      <c r="AE8790">
        <v>-3.47451</v>
      </c>
      <c r="AF8790">
        <v>-7.1175613376299403</v>
      </c>
      <c r="AG8790">
        <v>-1.1124551490686001</v>
      </c>
      <c r="AH8790">
        <v>30.455433630643402</v>
      </c>
      <c r="AI8790">
        <v>92.037088013841597</v>
      </c>
      <c r="AJ8790">
        <v>103.154170062209</v>
      </c>
      <c r="AK8790">
        <v>31.295857129724698</v>
      </c>
      <c r="AL8790">
        <v>90.714906611700201</v>
      </c>
      <c r="AM8790">
        <v>92.3447947525177</v>
      </c>
      <c r="AN8790">
        <v>0.99999996338988895</v>
      </c>
    </row>
    <row r="8791" spans="1:40" x14ac:dyDescent="0.25">
      <c r="A8791" t="str">
        <f>"20190312154131099"</f>
        <v>20190312154131099</v>
      </c>
      <c r="B8791" t="str">
        <f>"1552376491085319"</f>
        <v>1552376491085319</v>
      </c>
      <c r="C8791" t="s">
        <v>40</v>
      </c>
      <c r="D8791">
        <v>4.0240720000000003</v>
      </c>
      <c r="E8791">
        <v>0.42715570000000003</v>
      </c>
      <c r="F8791" t="s">
        <v>97</v>
      </c>
      <c r="G8791">
        <v>-240.53479999999999</v>
      </c>
      <c r="H8791" s="1">
        <v>-6.2089839999999997E-8</v>
      </c>
      <c r="I8791">
        <v>-63.561320000000002</v>
      </c>
      <c r="J8791">
        <v>-271.74810000000002</v>
      </c>
      <c r="K8791">
        <v>1.112509</v>
      </c>
      <c r="L8791">
        <v>-60.183779999999999</v>
      </c>
      <c r="M8791">
        <v>0.9431891</v>
      </c>
      <c r="N8791">
        <v>0</v>
      </c>
      <c r="O8791">
        <v>-0.33196399999999998</v>
      </c>
      <c r="P8791">
        <v>0.95599690000000004</v>
      </c>
      <c r="Q8791">
        <v>-2.5421590000000001E-2</v>
      </c>
      <c r="R8791">
        <v>-0.29227399999999998</v>
      </c>
      <c r="S8791">
        <v>3.0362239999999998</v>
      </c>
      <c r="T8791">
        <v>-0.1079917</v>
      </c>
      <c r="U8791">
        <v>-0.32980350000000003</v>
      </c>
      <c r="V8791">
        <v>-4.1626650000000001E-2</v>
      </c>
      <c r="W8791">
        <v>-1.1720029999999999E-2</v>
      </c>
      <c r="X8791">
        <v>0.99906450000000002</v>
      </c>
      <c r="Y8791">
        <v>-0.22785140000000001</v>
      </c>
      <c r="Z8791">
        <v>1.5584809999999999E-2</v>
      </c>
      <c r="AA8791">
        <v>0.97357119999999997</v>
      </c>
      <c r="AB8791">
        <v>15</v>
      </c>
      <c r="AC8791">
        <v>31.2133</v>
      </c>
      <c r="AD8791">
        <v>-1.1125090620898399</v>
      </c>
      <c r="AE8791">
        <v>-3.3775399999999798</v>
      </c>
      <c r="AF8791">
        <v>-7.1677297575442802</v>
      </c>
      <c r="AG8791">
        <v>-1.1125090620898399</v>
      </c>
      <c r="AH8791">
        <v>30.525904165925901</v>
      </c>
      <c r="AI8791">
        <v>92.031989863750198</v>
      </c>
      <c r="AJ8791">
        <v>103.2141314663</v>
      </c>
      <c r="AK8791">
        <v>31.375864154437402</v>
      </c>
      <c r="AL8791">
        <v>90.671523624564401</v>
      </c>
      <c r="AM8791">
        <v>92.385884633472301</v>
      </c>
      <c r="AN8791">
        <v>1.0000000061268299</v>
      </c>
    </row>
    <row r="8792" spans="1:40" x14ac:dyDescent="0.25">
      <c r="A8792" t="str">
        <f>"20190312154131109"</f>
        <v>20190312154131109</v>
      </c>
      <c r="B8792" t="str">
        <f>"1552376491094609"</f>
        <v>1552376491094609</v>
      </c>
      <c r="C8792" t="s">
        <v>40</v>
      </c>
      <c r="D8792">
        <v>3.999285</v>
      </c>
      <c r="E8792">
        <v>0.42720770000000002</v>
      </c>
      <c r="F8792" t="s">
        <v>98</v>
      </c>
      <c r="G8792">
        <v>-239.88329999999999</v>
      </c>
      <c r="H8792" s="1">
        <v>-3.7986170000000002E-6</v>
      </c>
      <c r="I8792">
        <v>-63.547449999999998</v>
      </c>
      <c r="J8792">
        <v>-271.68279999999999</v>
      </c>
      <c r="K8792">
        <v>1.1125620000000001</v>
      </c>
      <c r="L8792">
        <v>-60.203740000000003</v>
      </c>
      <c r="M8792">
        <v>0.94400980000000001</v>
      </c>
      <c r="N8792">
        <v>0</v>
      </c>
      <c r="O8792">
        <v>-0.32962229999999998</v>
      </c>
      <c r="P8792">
        <v>0.95696060000000005</v>
      </c>
      <c r="Q8792">
        <v>-2.5104109999999999E-2</v>
      </c>
      <c r="R8792">
        <v>-0.28913070000000002</v>
      </c>
      <c r="S8792">
        <v>3.0372309999999998</v>
      </c>
      <c r="T8792">
        <v>-0.1060407</v>
      </c>
      <c r="U8792">
        <v>-0.32061770000000001</v>
      </c>
      <c r="V8792">
        <v>-4.2433800000000001E-2</v>
      </c>
      <c r="W8792">
        <v>-1.140359E-2</v>
      </c>
      <c r="X8792">
        <v>0.99903419999999998</v>
      </c>
      <c r="Y8792">
        <v>-0.22839419999999999</v>
      </c>
      <c r="Z8792">
        <v>1.5234579999999999E-2</v>
      </c>
      <c r="AA8792">
        <v>0.97344949999999997</v>
      </c>
      <c r="AB8792">
        <v>15</v>
      </c>
      <c r="AC8792">
        <v>31.799499999999899</v>
      </c>
      <c r="AD8792">
        <v>-1.1125657986169999</v>
      </c>
      <c r="AE8792">
        <v>-3.34370999999999</v>
      </c>
      <c r="AF8792">
        <v>-7.3171834231347201</v>
      </c>
      <c r="AG8792">
        <v>-1.1125657986169999</v>
      </c>
      <c r="AH8792">
        <v>31.0865936831085</v>
      </c>
      <c r="AI8792">
        <v>91.995217389978095</v>
      </c>
      <c r="AJ8792">
        <v>103.245219064178</v>
      </c>
      <c r="AK8792">
        <v>31.955520379470201</v>
      </c>
      <c r="AL8792">
        <v>90.653391739540496</v>
      </c>
      <c r="AM8792">
        <v>92.432166117512907</v>
      </c>
      <c r="AN8792">
        <v>1.00000000100848</v>
      </c>
    </row>
    <row r="8793" spans="1:40" x14ac:dyDescent="0.25">
      <c r="A8793" t="str">
        <f>"20190312154131119"</f>
        <v>20190312154131119</v>
      </c>
      <c r="B8793" t="str">
        <f>"1552376491105345"</f>
        <v>1552376491105345</v>
      </c>
      <c r="C8793" t="s">
        <v>40</v>
      </c>
      <c r="D8793">
        <v>4.0236020000000003</v>
      </c>
      <c r="E8793">
        <v>0.42727159999999897</v>
      </c>
      <c r="F8793" t="s">
        <v>98</v>
      </c>
      <c r="G8793">
        <v>-239.68129999999999</v>
      </c>
      <c r="H8793" s="1">
        <v>-3.7179119999999999E-6</v>
      </c>
      <c r="I8793">
        <v>-63.480179999999997</v>
      </c>
      <c r="J8793">
        <v>-271.62259999999998</v>
      </c>
      <c r="K8793">
        <v>1.112608</v>
      </c>
      <c r="L8793">
        <v>-60.222019999999901</v>
      </c>
      <c r="M8793">
        <v>0.94476780000000005</v>
      </c>
      <c r="N8793">
        <v>0</v>
      </c>
      <c r="O8793">
        <v>-0.32744289999999998</v>
      </c>
      <c r="P8793">
        <v>0.95777809999999997</v>
      </c>
      <c r="Q8793">
        <v>-2.4748329999999999E-2</v>
      </c>
      <c r="R8793">
        <v>-0.28644160000000002</v>
      </c>
      <c r="S8793">
        <v>3.0381770000000001</v>
      </c>
      <c r="T8793">
        <v>-0.10562530000000001</v>
      </c>
      <c r="U8793">
        <v>-0.3110657</v>
      </c>
      <c r="V8793">
        <v>-4.2938450000000003E-2</v>
      </c>
      <c r="W8793">
        <v>-1.104743E-2</v>
      </c>
      <c r="X8793">
        <v>0.99901660000000003</v>
      </c>
      <c r="Y8793">
        <v>-0.2292102</v>
      </c>
      <c r="Z8793">
        <v>1.511672E-2</v>
      </c>
      <c r="AA8793">
        <v>0.9732596</v>
      </c>
      <c r="AB8793">
        <v>15</v>
      </c>
      <c r="AC8793">
        <v>31.941299999999899</v>
      </c>
      <c r="AD8793">
        <v>-1.1126117179119901</v>
      </c>
      <c r="AE8793">
        <v>-3.2581600000000099</v>
      </c>
      <c r="AF8793">
        <v>-7.3726134357386899</v>
      </c>
      <c r="AG8793">
        <v>-1.1126117179119901</v>
      </c>
      <c r="AH8793">
        <v>31.209541268584999</v>
      </c>
      <c r="AI8793">
        <v>91.987069162721596</v>
      </c>
      <c r="AJ8793">
        <v>103.291289761217</v>
      </c>
      <c r="AK8793">
        <v>32.087829466998599</v>
      </c>
      <c r="AL8793">
        <v>90.632984013692393</v>
      </c>
      <c r="AM8793">
        <v>92.461098946799098</v>
      </c>
      <c r="AN8793">
        <v>0.99999996163678295</v>
      </c>
    </row>
    <row r="8794" spans="1:40" x14ac:dyDescent="0.25">
      <c r="A8794" t="str">
        <f>"20190312154131130"</f>
        <v>20190312154131130</v>
      </c>
      <c r="B8794" t="str">
        <f>"1552376491124866"</f>
        <v>1552376491124866</v>
      </c>
      <c r="C8794" t="s">
        <v>40</v>
      </c>
      <c r="D8794">
        <v>3.9955470000000002</v>
      </c>
      <c r="E8794">
        <v>0.42741570000000001</v>
      </c>
      <c r="F8794" t="s">
        <v>98</v>
      </c>
      <c r="G8794">
        <v>-239.33619999999999</v>
      </c>
      <c r="H8794" s="1">
        <v>-3.5935310000000002E-6</v>
      </c>
      <c r="I8794">
        <v>-63.440890000000003</v>
      </c>
      <c r="J8794">
        <v>-271.54989999999998</v>
      </c>
      <c r="K8794">
        <v>1.112657</v>
      </c>
      <c r="L8794">
        <v>-60.243650000000002</v>
      </c>
      <c r="M8794">
        <v>0.94570299999999996</v>
      </c>
      <c r="N8794">
        <v>0</v>
      </c>
      <c r="O8794">
        <v>-0.32473190000000002</v>
      </c>
      <c r="P8794">
        <v>0.95871070000000003</v>
      </c>
      <c r="Q8794">
        <v>-2.455394E-2</v>
      </c>
      <c r="R8794">
        <v>-0.28332160000000001</v>
      </c>
      <c r="S8794">
        <v>3.03891</v>
      </c>
      <c r="T8794">
        <v>-0.1047231</v>
      </c>
      <c r="U8794">
        <v>-0.30297849999999998</v>
      </c>
      <c r="V8794">
        <v>-4.3327249999999998E-2</v>
      </c>
      <c r="W8794">
        <v>-1.085059E-2</v>
      </c>
      <c r="X8794">
        <v>0.99900199999999995</v>
      </c>
      <c r="Y8794">
        <v>-0.22901350000000001</v>
      </c>
      <c r="Z8794">
        <v>1.489557E-2</v>
      </c>
      <c r="AA8794">
        <v>0.97330930000000004</v>
      </c>
      <c r="AB8794">
        <v>15</v>
      </c>
      <c r="AC8794">
        <v>32.213699999999903</v>
      </c>
      <c r="AD8794">
        <v>-1.1126605935310001</v>
      </c>
      <c r="AE8794">
        <v>-3.1972399999999999</v>
      </c>
      <c r="AF8794">
        <v>-7.4291253183477703</v>
      </c>
      <c r="AG8794">
        <v>-1.1126605935310001</v>
      </c>
      <c r="AH8794">
        <v>31.4687346724508</v>
      </c>
      <c r="AI8794">
        <v>91.970868085509395</v>
      </c>
      <c r="AJ8794">
        <v>103.283154673</v>
      </c>
      <c r="AK8794">
        <v>32.352916073782602</v>
      </c>
      <c r="AL8794">
        <v>90.621705217702399</v>
      </c>
      <c r="AM8794">
        <v>92.483392232241698</v>
      </c>
      <c r="AN8794">
        <v>0.99999999094995495</v>
      </c>
    </row>
    <row r="8795" spans="1:40" x14ac:dyDescent="0.25">
      <c r="A8795" t="str">
        <f>"20190312154131142"</f>
        <v>20190312154131142</v>
      </c>
      <c r="B8795" t="str">
        <f>"1552376491134627"</f>
        <v>1552376491134627</v>
      </c>
      <c r="C8795" t="s">
        <v>40</v>
      </c>
      <c r="D8795">
        <v>4.0061900000000001</v>
      </c>
      <c r="E8795">
        <v>0.42745670000000002</v>
      </c>
      <c r="F8795" t="s">
        <v>98</v>
      </c>
      <c r="G8795">
        <v>-239.15350000000001</v>
      </c>
      <c r="H8795" s="1">
        <v>-3.5203419999999999E-6</v>
      </c>
      <c r="I8795">
        <v>-63.378749999999997</v>
      </c>
      <c r="J8795">
        <v>-271.48540000000003</v>
      </c>
      <c r="K8795">
        <v>1.1126929999999999</v>
      </c>
      <c r="L8795">
        <v>-60.262700000000002</v>
      </c>
      <c r="M8795">
        <v>0.94653920000000002</v>
      </c>
      <c r="N8795">
        <v>0</v>
      </c>
      <c r="O8795">
        <v>-0.3222854</v>
      </c>
      <c r="P8795">
        <v>0.95960760000000001</v>
      </c>
      <c r="Q8795">
        <v>-2.422711E-2</v>
      </c>
      <c r="R8795">
        <v>-0.28029720000000002</v>
      </c>
      <c r="S8795">
        <v>3.039612</v>
      </c>
      <c r="T8795">
        <v>-0.10439619999999999</v>
      </c>
      <c r="U8795">
        <v>-0.2941589</v>
      </c>
      <c r="V8795">
        <v>-4.3897600000000002E-2</v>
      </c>
      <c r="W8795">
        <v>-1.052297E-2</v>
      </c>
      <c r="X8795">
        <v>0.9989806</v>
      </c>
      <c r="Y8795">
        <v>-0.2293191</v>
      </c>
      <c r="Z8795">
        <v>1.477475E-2</v>
      </c>
      <c r="AA8795">
        <v>0.97323919999999997</v>
      </c>
      <c r="AB8795">
        <v>15</v>
      </c>
      <c r="AC8795">
        <v>32.331899999999997</v>
      </c>
      <c r="AD8795">
        <v>-1.1126965203419901</v>
      </c>
      <c r="AE8795">
        <v>-3.1160499999999902</v>
      </c>
      <c r="AF8795">
        <v>-7.4626096011627396</v>
      </c>
      <c r="AG8795">
        <v>-1.1126965203419901</v>
      </c>
      <c r="AH8795">
        <v>31.573709758033299</v>
      </c>
      <c r="AI8795">
        <v>91.964262907230193</v>
      </c>
      <c r="AJ8795">
        <v>103.298111019099</v>
      </c>
      <c r="AK8795">
        <v>32.462713741926699</v>
      </c>
      <c r="AL8795">
        <v>90.602932905344105</v>
      </c>
      <c r="AM8795">
        <v>92.516095129949704</v>
      </c>
      <c r="AN8795">
        <v>0.99999998567987003</v>
      </c>
    </row>
    <row r="8796" spans="1:40" x14ac:dyDescent="0.25">
      <c r="A8796" t="str">
        <f>"20190312154131153"</f>
        <v>20190312154131153</v>
      </c>
      <c r="B8796" t="str">
        <f>"1552376491145361"</f>
        <v>1552376491145361</v>
      </c>
      <c r="C8796" t="s">
        <v>40</v>
      </c>
      <c r="D8796">
        <v>4.0288909999999998</v>
      </c>
      <c r="E8796">
        <v>0.42746640000000002</v>
      </c>
      <c r="F8796" t="s">
        <v>98</v>
      </c>
      <c r="G8796">
        <v>-238.63679999999999</v>
      </c>
      <c r="H8796" s="1">
        <v>-3.337706E-6</v>
      </c>
      <c r="I8796">
        <v>-63.340449999999997</v>
      </c>
      <c r="J8796">
        <v>-271.4135</v>
      </c>
      <c r="K8796">
        <v>1.1127370000000001</v>
      </c>
      <c r="L8796">
        <v>-60.283569999999997</v>
      </c>
      <c r="M8796">
        <v>0.94748429999999995</v>
      </c>
      <c r="N8796">
        <v>0</v>
      </c>
      <c r="O8796">
        <v>-0.31949610000000001</v>
      </c>
      <c r="P8796">
        <v>0.96053310000000003</v>
      </c>
      <c r="Q8796">
        <v>-2.3586759999999998E-2</v>
      </c>
      <c r="R8796">
        <v>-0.27716400000000002</v>
      </c>
      <c r="S8796">
        <v>3.0404659999999999</v>
      </c>
      <c r="T8796">
        <v>-0.1029911</v>
      </c>
      <c r="U8796">
        <v>-0.28488160000000001</v>
      </c>
      <c r="V8796">
        <v>-4.4223239999999997E-2</v>
      </c>
      <c r="W8796">
        <v>-9.8794539999999993E-3</v>
      </c>
      <c r="X8796">
        <v>0.99897279999999999</v>
      </c>
      <c r="Y8796">
        <v>-0.22943140000000001</v>
      </c>
      <c r="Z8796">
        <v>1.4487669999999999E-2</v>
      </c>
      <c r="AA8796">
        <v>0.973217</v>
      </c>
      <c r="AB8796">
        <v>14</v>
      </c>
      <c r="AC8796">
        <v>32.776699999999998</v>
      </c>
      <c r="AD8796">
        <v>-1.1127403377059999</v>
      </c>
      <c r="AE8796">
        <v>-3.05688</v>
      </c>
      <c r="AF8796">
        <v>-7.56777659057758</v>
      </c>
      <c r="AG8796">
        <v>-1.1127403377059999</v>
      </c>
      <c r="AH8796">
        <v>31.9986435870801</v>
      </c>
      <c r="AI8796">
        <v>91.938210165753603</v>
      </c>
      <c r="AJ8796">
        <v>103.306134896232</v>
      </c>
      <c r="AK8796">
        <v>32.900191868696403</v>
      </c>
      <c r="AL8796">
        <v>90.566060239704697</v>
      </c>
      <c r="AM8796">
        <v>92.534755470824194</v>
      </c>
      <c r="AN8796">
        <v>0.99999997685363695</v>
      </c>
    </row>
    <row r="8797" spans="1:40" x14ac:dyDescent="0.25">
      <c r="A8797" t="str">
        <f>"20190312154131163"</f>
        <v>20190312154131163</v>
      </c>
      <c r="B8797" t="str">
        <f>"1552376491155123"</f>
        <v>1552376491155123</v>
      </c>
      <c r="C8797" t="s">
        <v>40</v>
      </c>
      <c r="D8797">
        <v>3.9796990000000001</v>
      </c>
      <c r="E8797">
        <v>0.42747810000000003</v>
      </c>
      <c r="F8797" t="s">
        <v>98</v>
      </c>
      <c r="G8797">
        <v>-237.5154</v>
      </c>
      <c r="H8797" s="1">
        <v>-2.9576849999999999E-6</v>
      </c>
      <c r="I8797">
        <v>-63.349420000000002</v>
      </c>
      <c r="J8797">
        <v>-271.3485</v>
      </c>
      <c r="K8797">
        <v>1.1127750000000001</v>
      </c>
      <c r="L8797">
        <v>-60.302219999999998</v>
      </c>
      <c r="M8797">
        <v>0.9483528</v>
      </c>
      <c r="N8797">
        <v>0</v>
      </c>
      <c r="O8797">
        <v>-0.31690839999999998</v>
      </c>
      <c r="P8797">
        <v>0.96145329999999996</v>
      </c>
      <c r="Q8797">
        <v>-2.2887020000000001E-2</v>
      </c>
      <c r="R8797">
        <v>-0.2740147</v>
      </c>
      <c r="S8797">
        <v>3.0414729999999999</v>
      </c>
      <c r="T8797">
        <v>-9.9839449999999996E-2</v>
      </c>
      <c r="U8797">
        <v>-0.27508539999999998</v>
      </c>
      <c r="V8797">
        <v>-4.4778470000000001E-2</v>
      </c>
      <c r="W8797">
        <v>-9.1782080000000002E-3</v>
      </c>
      <c r="X8797">
        <v>0.99895480000000003</v>
      </c>
      <c r="Y8797">
        <v>-0.2299321</v>
      </c>
      <c r="Z8797">
        <v>1.397091E-2</v>
      </c>
      <c r="AA8797">
        <v>0.97310640000000004</v>
      </c>
      <c r="AB8797">
        <v>14</v>
      </c>
      <c r="AC8797">
        <v>33.833100000000002</v>
      </c>
      <c r="AD8797">
        <v>-1.1127779576850001</v>
      </c>
      <c r="AE8797">
        <v>-3.0471999999999899</v>
      </c>
      <c r="AF8797">
        <v>-7.8245445100722497</v>
      </c>
      <c r="AG8797">
        <v>-1.1127779576850001</v>
      </c>
      <c r="AH8797">
        <v>33.019206798985003</v>
      </c>
      <c r="AI8797">
        <v>91.878214431527695</v>
      </c>
      <c r="AJ8797">
        <v>103.331441868346</v>
      </c>
      <c r="AK8797">
        <v>33.951874605201802</v>
      </c>
      <c r="AL8797">
        <v>90.525879953989403</v>
      </c>
      <c r="AM8797">
        <v>92.566583632893099</v>
      </c>
      <c r="AN8797">
        <v>1.00000002166033</v>
      </c>
    </row>
    <row r="8798" spans="1:40" x14ac:dyDescent="0.25">
      <c r="A8798" t="str">
        <f>"20190312154131174"</f>
        <v>20190312154131174</v>
      </c>
      <c r="B8798" t="str">
        <f>"1552376491164882"</f>
        <v>1552376491164882</v>
      </c>
      <c r="C8798" t="s">
        <v>40</v>
      </c>
      <c r="D8798">
        <v>3.9840559999999998</v>
      </c>
      <c r="E8798">
        <v>0.42764590000000002</v>
      </c>
      <c r="F8798" t="s">
        <v>98</v>
      </c>
      <c r="G8798">
        <v>-236.59200000000001</v>
      </c>
      <c r="H8798" s="1">
        <v>-2.5994410000000001E-6</v>
      </c>
      <c r="I8798">
        <v>-63.331449999999997</v>
      </c>
      <c r="J8798">
        <v>-271.2833</v>
      </c>
      <c r="K8798">
        <v>1.1128129999999901</v>
      </c>
      <c r="L8798">
        <v>-60.320709999999998</v>
      </c>
      <c r="M8798">
        <v>0.94922660000000003</v>
      </c>
      <c r="N8798">
        <v>0</v>
      </c>
      <c r="O8798">
        <v>-0.31428119999999998</v>
      </c>
      <c r="P8798">
        <v>0.96233939999999996</v>
      </c>
      <c r="Q8798">
        <v>-2.220739E-2</v>
      </c>
      <c r="R8798">
        <v>-0.27094190000000001</v>
      </c>
      <c r="S8798">
        <v>3.042389</v>
      </c>
      <c r="T8798">
        <v>-9.7406389999999995E-2</v>
      </c>
      <c r="U8798">
        <v>-0.26516719999999999</v>
      </c>
      <c r="V8798">
        <v>-4.5212210000000003E-2</v>
      </c>
      <c r="W8798">
        <v>-8.4962140000000002E-3</v>
      </c>
      <c r="X8798">
        <v>0.99894130000000003</v>
      </c>
      <c r="Y8798">
        <v>-0.23042609999999999</v>
      </c>
      <c r="Z8798">
        <v>1.3557720000000001E-2</v>
      </c>
      <c r="AA8798">
        <v>0.97299539999999995</v>
      </c>
      <c r="AB8798">
        <v>14</v>
      </c>
      <c r="AC8798">
        <v>34.691299999999899</v>
      </c>
      <c r="AD8798">
        <v>-1.1128155994409901</v>
      </c>
      <c r="AE8798">
        <v>-3.01073999999999</v>
      </c>
      <c r="AF8798">
        <v>-8.0375295831028595</v>
      </c>
      <c r="AG8798">
        <v>-1.1128155994409901</v>
      </c>
      <c r="AH8798">
        <v>33.844882051919399</v>
      </c>
      <c r="AI8798">
        <v>91.832276814566001</v>
      </c>
      <c r="AJ8798">
        <v>103.35920901755701</v>
      </c>
      <c r="AK8798">
        <v>34.803969334918499</v>
      </c>
      <c r="AL8798">
        <v>90.486803048583795</v>
      </c>
      <c r="AM8798">
        <v>92.5914457095176</v>
      </c>
      <c r="AN8798">
        <v>1.0000000252155501</v>
      </c>
    </row>
    <row r="8799" spans="1:40" x14ac:dyDescent="0.25">
      <c r="A8799" t="str">
        <f>"20190312154131187"</f>
        <v>20190312154131187</v>
      </c>
      <c r="B8799" t="str">
        <f>"1552376491174642"</f>
        <v>1552376491174642</v>
      </c>
      <c r="C8799" t="s">
        <v>40</v>
      </c>
      <c r="D8799">
        <v>3.9716939999999998</v>
      </c>
      <c r="E8799">
        <v>0.4278073</v>
      </c>
      <c r="F8799" t="s">
        <v>98</v>
      </c>
      <c r="G8799">
        <v>-236.03899999999999</v>
      </c>
      <c r="H8799" s="1">
        <v>-2.3524199999999998E-6</v>
      </c>
      <c r="I8799">
        <v>-63.294699999999999</v>
      </c>
      <c r="J8799">
        <v>-271.21039999999999</v>
      </c>
      <c r="K8799">
        <v>1.112857</v>
      </c>
      <c r="L8799">
        <v>-60.340969999999999</v>
      </c>
      <c r="M8799">
        <v>0.95022359999999995</v>
      </c>
      <c r="N8799">
        <v>0</v>
      </c>
      <c r="O8799">
        <v>-0.311253</v>
      </c>
      <c r="P8799">
        <v>0.96326920000000005</v>
      </c>
      <c r="Q8799">
        <v>-2.1567059999999999E-2</v>
      </c>
      <c r="R8799">
        <v>-0.26767010000000002</v>
      </c>
      <c r="S8799">
        <v>3.0429379999999999</v>
      </c>
      <c r="T8799">
        <v>-9.6078629999999998E-2</v>
      </c>
      <c r="U8799">
        <v>-0.25677489999999997</v>
      </c>
      <c r="V8799">
        <v>-4.5429169999999998E-2</v>
      </c>
      <c r="W8799">
        <v>-7.8510079999999996E-3</v>
      </c>
      <c r="X8799">
        <v>0.99893670000000001</v>
      </c>
      <c r="Y8799">
        <v>-0.23001160000000001</v>
      </c>
      <c r="Z8799">
        <v>1.327571E-2</v>
      </c>
      <c r="AA8799">
        <v>0.97309730000000005</v>
      </c>
      <c r="AB8799">
        <v>14</v>
      </c>
      <c r="AC8799">
        <v>35.171399999999899</v>
      </c>
      <c r="AD8799">
        <v>-1.1128593524199999</v>
      </c>
      <c r="AE8799">
        <v>-2.95372999999999</v>
      </c>
      <c r="AF8799">
        <v>-8.1332148836959899</v>
      </c>
      <c r="AG8799">
        <v>-1.1128593524199999</v>
      </c>
      <c r="AH8799">
        <v>34.3093207652121</v>
      </c>
      <c r="AI8799">
        <v>91.807734010476494</v>
      </c>
      <c r="AJ8799">
        <v>103.336110591778</v>
      </c>
      <c r="AK8799">
        <v>35.277714376825202</v>
      </c>
      <c r="AL8799">
        <v>90.4498342494295</v>
      </c>
      <c r="AM8799">
        <v>92.603876189078093</v>
      </c>
      <c r="AN8799">
        <v>0.99999998921019695</v>
      </c>
    </row>
    <row r="8800" spans="1:40" x14ac:dyDescent="0.25">
      <c r="A8800" t="str">
        <f>"20190312154131200"</f>
        <v>20190312154131200</v>
      </c>
      <c r="B8800" t="str">
        <f>"1552376491185378"</f>
        <v>1552376491185378</v>
      </c>
      <c r="C8800" t="s">
        <v>40</v>
      </c>
      <c r="D8800">
        <v>4.0257839999999998</v>
      </c>
      <c r="E8800">
        <v>0.42798560000000002</v>
      </c>
      <c r="F8800" t="s">
        <v>98</v>
      </c>
      <c r="G8800">
        <v>-235.0386</v>
      </c>
      <c r="H8800" s="1">
        <v>-1.9204599999999998E-6</v>
      </c>
      <c r="I8800">
        <v>-63.284230000000001</v>
      </c>
      <c r="J8800">
        <v>-271.13099999999997</v>
      </c>
      <c r="K8800">
        <v>1.112906</v>
      </c>
      <c r="L8800">
        <v>-60.362760000000002</v>
      </c>
      <c r="M8800">
        <v>0.95131109999999997</v>
      </c>
      <c r="N8800">
        <v>0</v>
      </c>
      <c r="O8800">
        <v>-0.30791299999999999</v>
      </c>
      <c r="P8800">
        <v>0.96428939999999996</v>
      </c>
      <c r="Q8800">
        <v>-2.1169070000000002E-2</v>
      </c>
      <c r="R8800">
        <v>-0.26400410000000002</v>
      </c>
      <c r="S8800">
        <v>3.043488</v>
      </c>
      <c r="T8800">
        <v>-9.3635800000000005E-2</v>
      </c>
      <c r="U8800">
        <v>-0.24765010000000001</v>
      </c>
      <c r="V8800">
        <v>-4.5724170000000001E-2</v>
      </c>
      <c r="W8800">
        <v>-7.4482039999999999E-3</v>
      </c>
      <c r="X8800">
        <v>0.99892630000000004</v>
      </c>
      <c r="Y8800">
        <v>-0.22952020000000001</v>
      </c>
      <c r="Z8800">
        <v>1.2833239999999999E-2</v>
      </c>
      <c r="AA8800">
        <v>0.97321930000000001</v>
      </c>
      <c r="AB8800">
        <v>14</v>
      </c>
      <c r="AC8800">
        <v>36.092399999999898</v>
      </c>
      <c r="AD8800">
        <v>-1.1129079204600001</v>
      </c>
      <c r="AE8800">
        <v>-2.92147000000001</v>
      </c>
      <c r="AF8800">
        <v>-8.3270466362880704</v>
      </c>
      <c r="AG8800">
        <v>-1.1129079204600001</v>
      </c>
      <c r="AH8800">
        <v>35.204871770952103</v>
      </c>
      <c r="AI8800">
        <v>91.762061651583295</v>
      </c>
      <c r="AJ8800">
        <v>103.307656633177</v>
      </c>
      <c r="AK8800">
        <v>36.193387049729402</v>
      </c>
      <c r="AL8800">
        <v>90.426754615269303</v>
      </c>
      <c r="AM8800">
        <v>92.620788533394901</v>
      </c>
      <c r="AN8800">
        <v>0.99999996414835102</v>
      </c>
    </row>
    <row r="8801" spans="1:40" x14ac:dyDescent="0.25">
      <c r="A8801" t="str">
        <f>"20190312154131212"</f>
        <v>20190312154131212</v>
      </c>
      <c r="B8801" t="str">
        <f>"1552376491205406"</f>
        <v>1552376491205406</v>
      </c>
      <c r="C8801" t="s">
        <v>40</v>
      </c>
      <c r="D8801">
        <v>3.9995560000000001</v>
      </c>
      <c r="E8801">
        <v>0.4283536</v>
      </c>
      <c r="F8801" t="s">
        <v>98</v>
      </c>
      <c r="G8801">
        <v>-234.13820000000001</v>
      </c>
      <c r="H8801" s="1">
        <v>-1.524556E-6</v>
      </c>
      <c r="I8801">
        <v>-63.247990000000001</v>
      </c>
      <c r="J8801">
        <v>-271.0557</v>
      </c>
      <c r="K8801">
        <v>1.112959</v>
      </c>
      <c r="L8801">
        <v>-60.382969999999901</v>
      </c>
      <c r="M8801">
        <v>0.95235910000000001</v>
      </c>
      <c r="N8801">
        <v>0</v>
      </c>
      <c r="O8801">
        <v>-0.30465579999999998</v>
      </c>
      <c r="P8801">
        <v>0.96518090000000001</v>
      </c>
      <c r="Q8801">
        <v>-2.0776650000000001E-2</v>
      </c>
      <c r="R8801">
        <v>-0.26075759999999998</v>
      </c>
      <c r="S8801">
        <v>3.044098</v>
      </c>
      <c r="T8801">
        <v>-9.157991E-2</v>
      </c>
      <c r="U8801">
        <v>-0.23742679999999999</v>
      </c>
      <c r="V8801">
        <v>-4.567239E-2</v>
      </c>
      <c r="W8801">
        <v>-7.0483189999999999E-3</v>
      </c>
      <c r="X8801">
        <v>0.99893160000000003</v>
      </c>
      <c r="Y8801">
        <v>-0.22946549999999999</v>
      </c>
      <c r="Z8801">
        <v>1.2457599999999999E-2</v>
      </c>
      <c r="AA8801">
        <v>0.97323709999999997</v>
      </c>
      <c r="AB8801">
        <v>14</v>
      </c>
      <c r="AC8801">
        <v>36.917499999999897</v>
      </c>
      <c r="AD8801">
        <v>-1.1129605245559999</v>
      </c>
      <c r="AE8801">
        <v>-2.8650199999999999</v>
      </c>
      <c r="AF8801">
        <v>-8.5117521413540302</v>
      </c>
      <c r="AG8801">
        <v>-1.1129605245559999</v>
      </c>
      <c r="AH8801">
        <v>36.0025861871788</v>
      </c>
      <c r="AI8801">
        <v>91.723167218472298</v>
      </c>
      <c r="AJ8801">
        <v>103.301660038828</v>
      </c>
      <c r="AK8801">
        <v>37.011819974304203</v>
      </c>
      <c r="AL8801">
        <v>90.403842277668801</v>
      </c>
      <c r="AM8801">
        <v>92.617810901725704</v>
      </c>
      <c r="AN8801">
        <v>0.999999993743799</v>
      </c>
    </row>
    <row r="8802" spans="1:40" x14ac:dyDescent="0.25">
      <c r="A8802" t="str">
        <f>"20190312154131224"</f>
        <v>20190312154131224</v>
      </c>
      <c r="B8802" t="str">
        <f>"1552376491215166"</f>
        <v>1552376491215166</v>
      </c>
      <c r="C8802" t="s">
        <v>40</v>
      </c>
      <c r="D8802">
        <v>4.0175429999999999</v>
      </c>
      <c r="E8802">
        <v>0.42857859999999998</v>
      </c>
      <c r="F8802" t="s">
        <v>98</v>
      </c>
      <c r="G8802">
        <v>-233.63839999999999</v>
      </c>
      <c r="H8802" s="1">
        <v>-1.3000339999999999E-6</v>
      </c>
      <c r="I8802">
        <v>-63.210099999999997</v>
      </c>
      <c r="J8802">
        <v>-270.98160000000001</v>
      </c>
      <c r="K8802">
        <v>1.1130009999999999</v>
      </c>
      <c r="L8802">
        <v>-60.402529999999999</v>
      </c>
      <c r="M8802">
        <v>0.95339600000000002</v>
      </c>
      <c r="N8802">
        <v>0</v>
      </c>
      <c r="O8802">
        <v>-0.3013941</v>
      </c>
      <c r="P8802">
        <v>0.96602060000000001</v>
      </c>
      <c r="Q8802">
        <v>-2.0868149999999999E-2</v>
      </c>
      <c r="R8802">
        <v>-0.25762119999999999</v>
      </c>
      <c r="S8802">
        <v>3.0441590000000001</v>
      </c>
      <c r="T8802">
        <v>-9.0546849999999998E-2</v>
      </c>
      <c r="U8802">
        <v>-0.23001099999999999</v>
      </c>
      <c r="V8802">
        <v>-4.5495639999999997E-2</v>
      </c>
      <c r="W8802">
        <v>-7.1313310000000003E-3</v>
      </c>
      <c r="X8802">
        <v>0.99893909999999997</v>
      </c>
      <c r="Y8802">
        <v>-0.22849939999999999</v>
      </c>
      <c r="Z8802">
        <v>1.221182E-2</v>
      </c>
      <c r="AA8802">
        <v>0.97346750000000004</v>
      </c>
      <c r="AB8802">
        <v>14</v>
      </c>
      <c r="AC8802">
        <v>37.343200000000003</v>
      </c>
      <c r="AD8802">
        <v>-1.1130023000339999</v>
      </c>
      <c r="AE8802">
        <v>-2.8075699999999899</v>
      </c>
      <c r="AF8802">
        <v>-8.5715705883169395</v>
      </c>
      <c r="AG8802">
        <v>-1.1130023000339999</v>
      </c>
      <c r="AH8802">
        <v>36.420474239330296</v>
      </c>
      <c r="AI8802">
        <v>91.703878428135994</v>
      </c>
      <c r="AJ8802">
        <v>103.24357158756099</v>
      </c>
      <c r="AK8802">
        <v>37.432092384584898</v>
      </c>
      <c r="AL8802">
        <v>90.4085986248556</v>
      </c>
      <c r="AM8802">
        <v>92.607674556682795</v>
      </c>
      <c r="AN8802">
        <v>1.00000001732482</v>
      </c>
    </row>
    <row r="8803" spans="1:40" x14ac:dyDescent="0.25">
      <c r="A8803" t="str">
        <f>"20190312154131239"</f>
        <v>20190312154131239</v>
      </c>
      <c r="B8803" t="str">
        <f>"1552376491224926"</f>
        <v>1552376491224926</v>
      </c>
      <c r="C8803" t="s">
        <v>40</v>
      </c>
      <c r="D8803">
        <v>4.0394110000000003</v>
      </c>
      <c r="E8803">
        <v>0.42880190000000001</v>
      </c>
      <c r="F8803" t="s">
        <v>98</v>
      </c>
      <c r="G8803">
        <v>-233.471</v>
      </c>
      <c r="H8803" s="1">
        <v>-1.208356E-6</v>
      </c>
      <c r="I8803">
        <v>-63.135300000000001</v>
      </c>
      <c r="J8803">
        <v>-270.89170000000001</v>
      </c>
      <c r="K8803">
        <v>1.113051</v>
      </c>
      <c r="L8803">
        <v>-60.425899999999999</v>
      </c>
      <c r="M8803">
        <v>0.95465599999999995</v>
      </c>
      <c r="N8803">
        <v>0</v>
      </c>
      <c r="O8803">
        <v>-0.2973789</v>
      </c>
      <c r="P8803">
        <v>0.96687630000000002</v>
      </c>
      <c r="Q8803">
        <v>-2.0399939999999998E-2</v>
      </c>
      <c r="R8803">
        <v>-0.25443060000000001</v>
      </c>
      <c r="S8803">
        <v>3.0444339999999999</v>
      </c>
      <c r="T8803">
        <v>-9.0333579999999997E-2</v>
      </c>
      <c r="U8803">
        <v>-0.22180179999999999</v>
      </c>
      <c r="V8803">
        <v>-4.4595500000000003E-2</v>
      </c>
      <c r="W8803">
        <v>-6.6473259999999899E-3</v>
      </c>
      <c r="X8803">
        <v>0.99898299999999995</v>
      </c>
      <c r="Y8803">
        <v>-0.22702249999999999</v>
      </c>
      <c r="Z8803">
        <v>1.20482E-2</v>
      </c>
      <c r="AA8803">
        <v>0.97381499999999999</v>
      </c>
      <c r="AB8803">
        <v>14</v>
      </c>
      <c r="AC8803">
        <v>37.420699999999997</v>
      </c>
      <c r="AD8803">
        <v>-1.1130522083559999</v>
      </c>
      <c r="AE8803">
        <v>-2.7094</v>
      </c>
      <c r="AF8803">
        <v>-8.53491449082283</v>
      </c>
      <c r="AG8803">
        <v>-1.1130522083559999</v>
      </c>
      <c r="AH8803">
        <v>36.501100918675803</v>
      </c>
      <c r="AI8803">
        <v>91.700769095337705</v>
      </c>
      <c r="AJ8803">
        <v>103.160801623604</v>
      </c>
      <c r="AK8803">
        <v>37.502186854362797</v>
      </c>
      <c r="AL8803">
        <v>90.380866533607502</v>
      </c>
      <c r="AM8803">
        <v>92.556038153866695</v>
      </c>
      <c r="AN8803">
        <v>0.99999998992609995</v>
      </c>
    </row>
    <row r="8804" spans="1:40" x14ac:dyDescent="0.25">
      <c r="A8804" t="str">
        <f>"20190312154131250"</f>
        <v>20190312154131250</v>
      </c>
      <c r="B8804" t="str">
        <f>"1552376491245421"</f>
        <v>1552376491245421</v>
      </c>
      <c r="C8804" t="s">
        <v>40</v>
      </c>
      <c r="D8804">
        <v>3.9978379999999998</v>
      </c>
      <c r="E8804">
        <v>0.42922670000000002</v>
      </c>
      <c r="F8804" t="s">
        <v>98</v>
      </c>
      <c r="G8804">
        <v>-232.44399999999999</v>
      </c>
      <c r="H8804" s="1">
        <v>-7.6395369999999998E-7</v>
      </c>
      <c r="I8804">
        <v>-63.12106</v>
      </c>
      <c r="J8804">
        <v>-270.82380000000001</v>
      </c>
      <c r="K8804">
        <v>1.1130850000000001</v>
      </c>
      <c r="L8804">
        <v>-60.443049999999999</v>
      </c>
      <c r="M8804">
        <v>0.9556173</v>
      </c>
      <c r="N8804">
        <v>0</v>
      </c>
      <c r="O8804">
        <v>-0.29427419999999999</v>
      </c>
      <c r="P8804">
        <v>0.96764090000000003</v>
      </c>
      <c r="Q8804">
        <v>-1.975938E-2</v>
      </c>
      <c r="R8804">
        <v>-0.25155709999999998</v>
      </c>
      <c r="S8804">
        <v>3.0447690000000001</v>
      </c>
      <c r="T8804">
        <v>-8.8145139999999997E-2</v>
      </c>
      <c r="U8804">
        <v>-0.21343989999999999</v>
      </c>
      <c r="V8804">
        <v>-4.4323689999999999E-2</v>
      </c>
      <c r="W8804">
        <v>-5.9976069999999899E-3</v>
      </c>
      <c r="X8804">
        <v>0.99899919999999998</v>
      </c>
      <c r="Y8804">
        <v>-0.22653780000000001</v>
      </c>
      <c r="Z8804">
        <v>1.1664040000000001E-2</v>
      </c>
      <c r="AA8804">
        <v>0.97393249999999998</v>
      </c>
      <c r="AB8804">
        <v>14</v>
      </c>
      <c r="AC8804">
        <v>38.379799999999904</v>
      </c>
      <c r="AD8804">
        <v>-1.1130857639537</v>
      </c>
      <c r="AE8804">
        <v>-2.67801</v>
      </c>
      <c r="AF8804">
        <v>-8.7285922185635592</v>
      </c>
      <c r="AG8804">
        <v>-1.1130857639537</v>
      </c>
      <c r="AH8804">
        <v>37.436848843460901</v>
      </c>
      <c r="AI8804">
        <v>91.658578053567197</v>
      </c>
      <c r="AJ8804">
        <v>103.12433716189901</v>
      </c>
      <c r="AK8804">
        <v>38.457053102961801</v>
      </c>
      <c r="AL8804">
        <v>90.343639634955494</v>
      </c>
      <c r="AM8804">
        <v>92.540438407316501</v>
      </c>
      <c r="AN8804">
        <v>0.99999998119279099</v>
      </c>
    </row>
    <row r="8805" spans="1:40" x14ac:dyDescent="0.25">
      <c r="A8805" t="str">
        <f>"20190312154131262"</f>
        <v>20190312154131262</v>
      </c>
      <c r="B8805" t="str">
        <f>"1552376491255181"</f>
        <v>1552376491255181</v>
      </c>
      <c r="C8805" t="s">
        <v>40</v>
      </c>
      <c r="D8805">
        <v>4.061121</v>
      </c>
      <c r="E8805">
        <v>0.42942639999999999</v>
      </c>
      <c r="F8805" t="s">
        <v>98</v>
      </c>
      <c r="G8805">
        <v>-231.91679999999999</v>
      </c>
      <c r="H8805" s="1">
        <v>-5.3136269999999896E-7</v>
      </c>
      <c r="I8805">
        <v>-63.096879999999999</v>
      </c>
      <c r="J8805">
        <v>-270.75060000000002</v>
      </c>
      <c r="K8805">
        <v>1.11312099999999</v>
      </c>
      <c r="L8805">
        <v>-60.461329999999997</v>
      </c>
      <c r="M8805">
        <v>0.95665180000000005</v>
      </c>
      <c r="N8805">
        <v>0</v>
      </c>
      <c r="O8805">
        <v>-0.29089340000000002</v>
      </c>
      <c r="P8805">
        <v>0.96849929999999995</v>
      </c>
      <c r="Q8805">
        <v>-1.8954309999999999E-2</v>
      </c>
      <c r="R8805">
        <v>-0.2482944</v>
      </c>
      <c r="S8805">
        <v>3.044556</v>
      </c>
      <c r="T8805">
        <v>-8.7101219999999993E-2</v>
      </c>
      <c r="U8805">
        <v>-0.2076721</v>
      </c>
      <c r="V8805">
        <v>-4.4168109999999997E-2</v>
      </c>
      <c r="W8805">
        <v>-5.1837339999999997E-3</v>
      </c>
      <c r="X8805">
        <v>0.99901070000000003</v>
      </c>
      <c r="Y8805">
        <v>-0.22493199999999999</v>
      </c>
      <c r="Z8805">
        <v>1.141237E-2</v>
      </c>
      <c r="AA8805">
        <v>0.97430760000000005</v>
      </c>
      <c r="AB8805">
        <v>14</v>
      </c>
      <c r="AC8805">
        <v>38.833799999999997</v>
      </c>
      <c r="AD8805">
        <v>-1.1131215313627001</v>
      </c>
      <c r="AE8805">
        <v>-2.6355499999999998</v>
      </c>
      <c r="AF8805">
        <v>-8.7688913621982802</v>
      </c>
      <c r="AG8805">
        <v>-1.1131215313627001</v>
      </c>
      <c r="AH8805">
        <v>37.8898620760081</v>
      </c>
      <c r="AI8805">
        <v>91.639434001489903</v>
      </c>
      <c r="AJ8805">
        <v>103.03061488543401</v>
      </c>
      <c r="AK8805">
        <v>38.907250524864097</v>
      </c>
      <c r="AL8805">
        <v>90.297007399825304</v>
      </c>
      <c r="AM8805">
        <v>92.531503765583295</v>
      </c>
      <c r="AN8805">
        <v>1.00000003587682</v>
      </c>
    </row>
    <row r="8806" spans="1:40" x14ac:dyDescent="0.25">
      <c r="A8806" t="str">
        <f>"20190312154131272"</f>
        <v>20190312154131272</v>
      </c>
      <c r="B8806" t="str">
        <f>"1552376491264942"</f>
        <v>1552376491264942</v>
      </c>
      <c r="C8806" t="s">
        <v>40</v>
      </c>
      <c r="D8806">
        <v>3.9950670000000001</v>
      </c>
      <c r="E8806">
        <v>0.42940660000000003</v>
      </c>
      <c r="F8806" t="s">
        <v>98</v>
      </c>
      <c r="G8806">
        <v>-231.20249999999999</v>
      </c>
      <c r="H8806" s="1">
        <v>-2.1089600000000001E-7</v>
      </c>
      <c r="I8806">
        <v>-63.044020000000003</v>
      </c>
      <c r="J8806">
        <v>-270.6848</v>
      </c>
      <c r="K8806">
        <v>1.1131420000000001</v>
      </c>
      <c r="L8806">
        <v>-60.47748</v>
      </c>
      <c r="M8806">
        <v>0.95758430000000005</v>
      </c>
      <c r="N8806">
        <v>0</v>
      </c>
      <c r="O8806">
        <v>-0.28780860000000003</v>
      </c>
      <c r="P8806">
        <v>0.96921599999999997</v>
      </c>
      <c r="Q8806">
        <v>-1.833152E-2</v>
      </c>
      <c r="R8806">
        <v>-0.24552979999999999</v>
      </c>
      <c r="S8806">
        <v>3.0449220000000001</v>
      </c>
      <c r="T8806">
        <v>-8.5702420000000001E-2</v>
      </c>
      <c r="U8806">
        <v>-0.19885249999999999</v>
      </c>
      <c r="V8806">
        <v>-4.3806690000000002E-2</v>
      </c>
      <c r="W8806">
        <v>-4.5513070000000001E-3</v>
      </c>
      <c r="X8806">
        <v>0.99902959999999996</v>
      </c>
      <c r="Y8806">
        <v>-0.22461709999999999</v>
      </c>
      <c r="Z8806">
        <v>1.1141939999999999E-2</v>
      </c>
      <c r="AA8806">
        <v>0.97438340000000001</v>
      </c>
      <c r="AB8806">
        <v>14</v>
      </c>
      <c r="AC8806">
        <v>39.482300000000002</v>
      </c>
      <c r="AD8806">
        <v>-1.1131422108960001</v>
      </c>
      <c r="AE8806">
        <v>-2.5665399999999798</v>
      </c>
      <c r="AF8806">
        <v>-8.8995069883785902</v>
      </c>
      <c r="AG8806">
        <v>-1.1131422108960001</v>
      </c>
      <c r="AH8806">
        <v>38.519640240594001</v>
      </c>
      <c r="AI8806">
        <v>91.612813247901101</v>
      </c>
      <c r="AJ8806">
        <v>103.009245616467</v>
      </c>
      <c r="AK8806">
        <v>39.5500062513606</v>
      </c>
      <c r="AL8806">
        <v>90.260771598025897</v>
      </c>
      <c r="AM8806">
        <v>92.510768087714297</v>
      </c>
      <c r="AN8806">
        <v>0.99999994108015999</v>
      </c>
    </row>
    <row r="8807" spans="1:40" x14ac:dyDescent="0.25">
      <c r="A8807" t="str">
        <f>"20190312154131283"</f>
        <v>20190312154131283</v>
      </c>
      <c r="B8807" t="str">
        <f>"1552376491274702"</f>
        <v>1552376491274702</v>
      </c>
      <c r="C8807" t="s">
        <v>40</v>
      </c>
      <c r="D8807">
        <v>3.931597</v>
      </c>
      <c r="E8807">
        <v>0.42940660000000003</v>
      </c>
      <c r="F8807" t="s">
        <v>98</v>
      </c>
      <c r="G8807">
        <v>-230.0873</v>
      </c>
      <c r="H8807" s="1">
        <v>2.7631680000000001E-7</v>
      </c>
      <c r="I8807">
        <v>-63.010969999999901</v>
      </c>
      <c r="J8807">
        <v>-270.62189999999998</v>
      </c>
      <c r="K8807">
        <v>1.1131610000000001</v>
      </c>
      <c r="L8807">
        <v>-60.492609999999999</v>
      </c>
      <c r="M8807">
        <v>0.95847669999999996</v>
      </c>
      <c r="N8807">
        <v>0</v>
      </c>
      <c r="O8807">
        <v>-0.28482180000000001</v>
      </c>
      <c r="P8807">
        <v>0.96996649999999995</v>
      </c>
      <c r="Q8807">
        <v>-1.78158E-2</v>
      </c>
      <c r="R8807">
        <v>-0.24258660000000001</v>
      </c>
      <c r="S8807">
        <v>3.045563</v>
      </c>
      <c r="T8807">
        <v>-8.3506349999999993E-2</v>
      </c>
      <c r="U8807">
        <v>-0.1900635</v>
      </c>
      <c r="V8807">
        <v>-4.3731520000000003E-2</v>
      </c>
      <c r="W8807">
        <v>-4.0285720000000002E-3</v>
      </c>
      <c r="X8807">
        <v>0.99903520000000001</v>
      </c>
      <c r="Y8807">
        <v>-0.2244044</v>
      </c>
      <c r="Z8807">
        <v>1.077442E-2</v>
      </c>
      <c r="AA8807">
        <v>0.97443650000000004</v>
      </c>
      <c r="AB8807">
        <v>14</v>
      </c>
      <c r="AC8807">
        <v>40.534599999999898</v>
      </c>
      <c r="AD8807">
        <v>-1.1131607236832</v>
      </c>
      <c r="AE8807">
        <v>-2.5183599999999902</v>
      </c>
      <c r="AF8807">
        <v>-9.1254013062578192</v>
      </c>
      <c r="AG8807">
        <v>-1.1131607236832</v>
      </c>
      <c r="AH8807">
        <v>39.542983215532203</v>
      </c>
      <c r="AI8807">
        <v>91.571213886850501</v>
      </c>
      <c r="AJ8807">
        <v>102.99475090392301</v>
      </c>
      <c r="AK8807">
        <v>40.597531912431101</v>
      </c>
      <c r="AL8807">
        <v>90.230820796713402</v>
      </c>
      <c r="AM8807">
        <v>92.506451207765494</v>
      </c>
      <c r="AN8807">
        <v>1.00000000303645</v>
      </c>
    </row>
    <row r="8808" spans="1:40" x14ac:dyDescent="0.25">
      <c r="A8808" t="str">
        <f>"20190312154131293"</f>
        <v>20190312154131293</v>
      </c>
      <c r="B8808" t="str">
        <f>"1552376491285437"</f>
        <v>1552376491285437</v>
      </c>
      <c r="C8808" t="s">
        <v>40</v>
      </c>
      <c r="D8808">
        <v>3.920696</v>
      </c>
      <c r="E8808">
        <v>0.41156290000000001</v>
      </c>
      <c r="F8808" t="s">
        <v>99</v>
      </c>
      <c r="G8808">
        <v>-229.26859999999999</v>
      </c>
      <c r="H8808" s="1">
        <v>-3.5055990000000001E-6</v>
      </c>
      <c r="I8808">
        <v>-62.947699999999998</v>
      </c>
      <c r="J8808">
        <v>-270.55579999999998</v>
      </c>
      <c r="K8808">
        <v>1.1131799999999901</v>
      </c>
      <c r="L8808">
        <v>-60.508330000000001</v>
      </c>
      <c r="M8808">
        <v>0.9594104</v>
      </c>
      <c r="N8808">
        <v>0</v>
      </c>
      <c r="O8808">
        <v>-0.28166039999999998</v>
      </c>
      <c r="P8808">
        <v>0.97066779999999997</v>
      </c>
      <c r="Q8808">
        <v>-1.7561790000000001E-2</v>
      </c>
      <c r="R8808">
        <v>-0.2397831</v>
      </c>
      <c r="S8808">
        <v>3.046173</v>
      </c>
      <c r="T8808">
        <v>-8.1998230000000005E-2</v>
      </c>
      <c r="U8808">
        <v>-0.18084720000000001</v>
      </c>
      <c r="V8808">
        <v>-4.3327110000000002E-2</v>
      </c>
      <c r="W8808">
        <v>-3.764856E-3</v>
      </c>
      <c r="X8808">
        <v>0.99905379999999999</v>
      </c>
      <c r="Y8808">
        <v>-0.22414919999999999</v>
      </c>
      <c r="Z8808">
        <v>1.049423E-2</v>
      </c>
      <c r="AA8808">
        <v>0.97449830000000004</v>
      </c>
      <c r="AB8808">
        <v>14</v>
      </c>
      <c r="AC8808">
        <v>41.287199999999899</v>
      </c>
      <c r="AD8808">
        <v>-1.11318350559899</v>
      </c>
      <c r="AE8808">
        <v>-2.4393699999999798</v>
      </c>
      <c r="AF8808">
        <v>-9.2828125178417302</v>
      </c>
      <c r="AG8808">
        <v>-1.11318350559899</v>
      </c>
      <c r="AH8808">
        <v>40.273280683476798</v>
      </c>
      <c r="AI8808">
        <v>91.542860906216404</v>
      </c>
      <c r="AJ8808">
        <v>102.97972871813801</v>
      </c>
      <c r="AK8808">
        <v>41.344248968491897</v>
      </c>
      <c r="AL8808">
        <v>90.2157108787965</v>
      </c>
      <c r="AM8808">
        <v>92.483255617948302</v>
      </c>
      <c r="AN8808">
        <v>0.99999995394804497</v>
      </c>
    </row>
    <row r="8809" spans="1:40" x14ac:dyDescent="0.25">
      <c r="A8809" t="str">
        <f>"20190312154131305"</f>
        <v>20190312154131305</v>
      </c>
      <c r="B8809" t="str">
        <f>"1552376491295469"</f>
        <v>1552376491295469</v>
      </c>
      <c r="C8809" t="s">
        <v>40</v>
      </c>
      <c r="D8809">
        <v>3.9195500000000001</v>
      </c>
      <c r="E8809">
        <v>0.41037659999999998</v>
      </c>
      <c r="F8809" t="s">
        <v>80</v>
      </c>
      <c r="G8809">
        <v>-157.3501</v>
      </c>
      <c r="H8809">
        <v>2.5986859999999998</v>
      </c>
      <c r="I8809">
        <v>-61.854439999999997</v>
      </c>
      <c r="J8809">
        <v>-270.4905</v>
      </c>
      <c r="K8809">
        <v>1.113194</v>
      </c>
      <c r="L8809">
        <v>-60.523499999999999</v>
      </c>
      <c r="M8809">
        <v>0.96033639999999998</v>
      </c>
      <c r="N8809">
        <v>0</v>
      </c>
      <c r="O8809">
        <v>-0.27848659999999997</v>
      </c>
      <c r="P8809">
        <v>0.97127580000000002</v>
      </c>
      <c r="Q8809">
        <v>-1.7673890000000001E-2</v>
      </c>
      <c r="R8809">
        <v>-0.2373005</v>
      </c>
      <c r="S8809">
        <v>3.0823360000000002</v>
      </c>
      <c r="T8809">
        <v>4.04464E-2</v>
      </c>
      <c r="U8809">
        <v>-3.6651610000000001E-2</v>
      </c>
      <c r="V8809">
        <v>-4.257677E-2</v>
      </c>
      <c r="W8809">
        <v>-3.8649050000000001E-3</v>
      </c>
      <c r="X8809">
        <v>0.99908569999999997</v>
      </c>
      <c r="Y8809">
        <v>-0.26702859999999901</v>
      </c>
      <c r="Z8809">
        <v>-5.3678229999999999E-3</v>
      </c>
      <c r="AA8809">
        <v>0.96367369999999997</v>
      </c>
      <c r="AB8809">
        <v>14</v>
      </c>
      <c r="AC8809">
        <v>113.1404</v>
      </c>
      <c r="AD8809">
        <v>1.485492</v>
      </c>
      <c r="AE8809">
        <v>-1.33094</v>
      </c>
      <c r="AF8809">
        <v>-30.227736573927</v>
      </c>
      <c r="AG8809">
        <v>1.485492</v>
      </c>
      <c r="AH8809">
        <v>109.015564131415</v>
      </c>
      <c r="AI8809">
        <v>89.247693033156096</v>
      </c>
      <c r="AJ8809">
        <v>105.49758171334901</v>
      </c>
      <c r="AK8809">
        <v>113.13848137462099</v>
      </c>
      <c r="AL8809">
        <v>90.221443301029495</v>
      </c>
      <c r="AM8809">
        <v>92.440225157296496</v>
      </c>
      <c r="AN8809">
        <v>0.99999997738938995</v>
      </c>
    </row>
    <row r="8810" spans="1:40" x14ac:dyDescent="0.25">
      <c r="A8810" t="str">
        <f>"20190312154131315"</f>
        <v>20190312154131315</v>
      </c>
      <c r="B8810" t="str">
        <f>"1552376491305230"</f>
        <v>1552376491305230</v>
      </c>
      <c r="C8810" t="s">
        <v>40</v>
      </c>
      <c r="D8810">
        <v>3.9491930000000002</v>
      </c>
      <c r="E8810">
        <v>0.41035680000000002</v>
      </c>
      <c r="F8810" t="s">
        <v>80</v>
      </c>
      <c r="G8810">
        <v>-157.3501</v>
      </c>
      <c r="H8810">
        <v>2.986659</v>
      </c>
      <c r="I8810">
        <v>-61.254379999999998</v>
      </c>
      <c r="J8810">
        <v>-270.42250000000001</v>
      </c>
      <c r="K8810">
        <v>1.113205</v>
      </c>
      <c r="L8810">
        <v>-60.539090000000002</v>
      </c>
      <c r="M8810">
        <v>0.96129299999999995</v>
      </c>
      <c r="N8810">
        <v>0</v>
      </c>
      <c r="O8810">
        <v>-0.27516580000000002</v>
      </c>
      <c r="P8810">
        <v>0.971916</v>
      </c>
      <c r="Q8810">
        <v>-1.7506750000000001E-2</v>
      </c>
      <c r="R8810">
        <v>-0.2346763</v>
      </c>
      <c r="S8810">
        <v>3.0848080000000002</v>
      </c>
      <c r="T8810">
        <v>5.1079989999999999E-2</v>
      </c>
      <c r="U8810">
        <v>-1.9927980000000001E-2</v>
      </c>
      <c r="V8810">
        <v>-4.182408E-2</v>
      </c>
      <c r="W8810">
        <v>-3.6855E-3</v>
      </c>
      <c r="X8810">
        <v>0.99911819999999896</v>
      </c>
      <c r="Y8810">
        <v>-0.26890320000000001</v>
      </c>
      <c r="Z8810">
        <v>-6.7367310000000001E-3</v>
      </c>
      <c r="AA8810">
        <v>0.96314359999999999</v>
      </c>
      <c r="AB8810">
        <v>14</v>
      </c>
      <c r="AC8810">
        <v>113.0724</v>
      </c>
      <c r="AD8810">
        <v>1.873454</v>
      </c>
      <c r="AE8810">
        <v>-0.71529000000000298</v>
      </c>
      <c r="AF8810">
        <v>-30.420739612691701</v>
      </c>
      <c r="AG8810">
        <v>1.873454</v>
      </c>
      <c r="AH8810">
        <v>108.873509691546</v>
      </c>
      <c r="AI8810">
        <v>89.050533138546797</v>
      </c>
      <c r="AJ8810">
        <v>105.61108623195</v>
      </c>
      <c r="AK8810">
        <v>113.05915416731401</v>
      </c>
      <c r="AL8810">
        <v>90.211164071940402</v>
      </c>
      <c r="AM8810">
        <v>92.3970587240143</v>
      </c>
      <c r="AN8810">
        <v>1.00000000707466</v>
      </c>
    </row>
    <row r="8811" spans="1:40" x14ac:dyDescent="0.25">
      <c r="A8811" t="str">
        <f>"20190312154131327"</f>
        <v>20190312154131327</v>
      </c>
      <c r="B8811" t="str">
        <f>"1552376491314990"</f>
        <v>1552376491314990</v>
      </c>
      <c r="C8811" t="s">
        <v>40</v>
      </c>
      <c r="D8811">
        <v>3.9159519999999999</v>
      </c>
      <c r="E8811">
        <v>0.4100915</v>
      </c>
      <c r="F8811" t="s">
        <v>80</v>
      </c>
      <c r="G8811">
        <v>-157.3501</v>
      </c>
      <c r="H8811">
        <v>3.226537</v>
      </c>
      <c r="I8811">
        <v>-60.968620000000001</v>
      </c>
      <c r="J8811">
        <v>-270.35430000000002</v>
      </c>
      <c r="K8811">
        <v>1.1132139999999999</v>
      </c>
      <c r="L8811">
        <v>-60.554319999999997</v>
      </c>
      <c r="M8811">
        <v>0.96225660000000002</v>
      </c>
      <c r="N8811">
        <v>0</v>
      </c>
      <c r="O8811">
        <v>-0.27177659999999998</v>
      </c>
      <c r="P8811">
        <v>0.97256670000000001</v>
      </c>
      <c r="Q8811">
        <v>-1.751455E-2</v>
      </c>
      <c r="R8811">
        <v>-0.2319648</v>
      </c>
      <c r="S8811">
        <v>3.0849000000000002</v>
      </c>
      <c r="T8811">
        <v>5.7656409999999998E-2</v>
      </c>
      <c r="U8811">
        <v>-1.171875E-2</v>
      </c>
      <c r="V8811">
        <v>-4.1090380000000003E-2</v>
      </c>
      <c r="W8811">
        <v>-3.6813420000000002E-3</v>
      </c>
      <c r="X8811">
        <v>0.9991487</v>
      </c>
      <c r="Y8811">
        <v>-0.26805279999999998</v>
      </c>
      <c r="Z8811">
        <v>-7.5348430000000003E-3</v>
      </c>
      <c r="AA8811">
        <v>0.96337479999999998</v>
      </c>
      <c r="AB8811">
        <v>14</v>
      </c>
      <c r="AC8811">
        <v>113.0042</v>
      </c>
      <c r="AD8811">
        <v>2.1133229999999998</v>
      </c>
      <c r="AE8811">
        <v>-0.414299999999997</v>
      </c>
      <c r="AF8811">
        <v>-30.305662922636301</v>
      </c>
      <c r="AG8811">
        <v>2.1133229999999998</v>
      </c>
      <c r="AH8811">
        <v>108.82444611586899</v>
      </c>
      <c r="AI8811">
        <v>88.9282531591262</v>
      </c>
      <c r="AJ8811">
        <v>105.56156943008</v>
      </c>
      <c r="AK8811">
        <v>112.985217668987</v>
      </c>
      <c r="AL8811">
        <v>90.2109258258089</v>
      </c>
      <c r="AM8811">
        <v>92.354984218840698</v>
      </c>
      <c r="AN8811">
        <v>1.0000000481595701</v>
      </c>
    </row>
    <row r="8812" spans="1:40" x14ac:dyDescent="0.25">
      <c r="A8812" t="str">
        <f>"20190312154131339"</f>
        <v>20190312154131339</v>
      </c>
      <c r="B8812" t="str">
        <f>"1552376491335485"</f>
        <v>1552376491335485</v>
      </c>
      <c r="C8812" t="s">
        <v>40</v>
      </c>
      <c r="D8812">
        <v>3.9298129999999998</v>
      </c>
      <c r="E8812">
        <v>0.41055439999999999</v>
      </c>
      <c r="F8812" t="s">
        <v>80</v>
      </c>
      <c r="G8812">
        <v>-157.3501</v>
      </c>
      <c r="H8812">
        <v>3.3270949999999999</v>
      </c>
      <c r="I8812">
        <v>-60.601260000000003</v>
      </c>
      <c r="J8812">
        <v>-270.28550000000001</v>
      </c>
      <c r="K8812">
        <v>1.113224</v>
      </c>
      <c r="L8812">
        <v>-60.569519999999997</v>
      </c>
      <c r="M8812">
        <v>0.96321999999999997</v>
      </c>
      <c r="N8812">
        <v>0</v>
      </c>
      <c r="O8812">
        <v>-0.26834170000000002</v>
      </c>
      <c r="P8812">
        <v>0.97316420000000003</v>
      </c>
      <c r="Q8812">
        <v>-1.7276739999999999E-2</v>
      </c>
      <c r="R8812">
        <v>-0.229463</v>
      </c>
      <c r="S8812">
        <v>3.0854490000000001</v>
      </c>
      <c r="T8812">
        <v>6.0446859999999998E-2</v>
      </c>
      <c r="U8812">
        <v>-1.2817379999999999E-3</v>
      </c>
      <c r="V8812">
        <v>-4.0098000000000002E-2</v>
      </c>
      <c r="W8812">
        <v>-3.4295969999999999E-3</v>
      </c>
      <c r="X8812">
        <v>0.99918989999999996</v>
      </c>
      <c r="Y8812">
        <v>-0.26786650000000001</v>
      </c>
      <c r="Z8812">
        <v>-7.8315269999999996E-3</v>
      </c>
      <c r="AA8812">
        <v>0.96342419999999995</v>
      </c>
      <c r="AB8812">
        <v>14</v>
      </c>
      <c r="AC8812">
        <v>112.9354</v>
      </c>
      <c r="AD8812">
        <v>2.2138709999999899</v>
      </c>
      <c r="AE8812">
        <v>-3.1739999999999199E-2</v>
      </c>
      <c r="AF8812">
        <v>-30.266101430619901</v>
      </c>
      <c r="AG8812">
        <v>2.2138709999999899</v>
      </c>
      <c r="AH8812">
        <v>108.75923814812199</v>
      </c>
      <c r="AI8812">
        <v>88.876544107929405</v>
      </c>
      <c r="AJ8812">
        <v>105.551105389744</v>
      </c>
      <c r="AK8812">
        <v>112.913728143097</v>
      </c>
      <c r="AL8812">
        <v>90.196501812064199</v>
      </c>
      <c r="AM8812">
        <v>92.298075715027807</v>
      </c>
      <c r="AN8812">
        <v>1.00000003400079</v>
      </c>
    </row>
    <row r="8813" spans="1:40" x14ac:dyDescent="0.25">
      <c r="A8813" t="str">
        <f>"20190312154131350"</f>
        <v>20190312154131350</v>
      </c>
      <c r="B8813" t="str">
        <f>"1552376491345246"</f>
        <v>1552376491345246</v>
      </c>
      <c r="C8813" t="s">
        <v>40</v>
      </c>
      <c r="D8813">
        <v>3.9385189999999999</v>
      </c>
      <c r="E8813">
        <v>0.41084029999999999</v>
      </c>
      <c r="F8813" t="s">
        <v>80</v>
      </c>
      <c r="G8813">
        <v>-157.3501</v>
      </c>
      <c r="H8813">
        <v>3.3545440000000002</v>
      </c>
      <c r="I8813">
        <v>-60.463360000000002</v>
      </c>
      <c r="J8813">
        <v>-270.21850000000001</v>
      </c>
      <c r="K8813">
        <v>1.113232</v>
      </c>
      <c r="L8813">
        <v>-60.5839199999999</v>
      </c>
      <c r="M8813">
        <v>0.96415640000000002</v>
      </c>
      <c r="N8813">
        <v>0</v>
      </c>
      <c r="O8813">
        <v>-0.26495669999999999</v>
      </c>
      <c r="P8813">
        <v>0.97381220000000002</v>
      </c>
      <c r="Q8813">
        <v>-1.6716809999999999E-2</v>
      </c>
      <c r="R8813">
        <v>-0.22673860000000001</v>
      </c>
      <c r="S8813">
        <v>3.0845030000000002</v>
      </c>
      <c r="T8813">
        <v>6.1214570000000003E-2</v>
      </c>
      <c r="U8813">
        <v>2.89917E-3</v>
      </c>
      <c r="V8813">
        <v>-3.9391000000000002E-2</v>
      </c>
      <c r="W8813">
        <v>-2.8584740000000002E-3</v>
      </c>
      <c r="X8813">
        <v>0.99921979999999999</v>
      </c>
      <c r="Y8813">
        <v>-0.26578590000000002</v>
      </c>
      <c r="Z8813">
        <v>-7.8477229999999992E-3</v>
      </c>
      <c r="AA8813">
        <v>0.96400010000000003</v>
      </c>
      <c r="AB8813">
        <v>14</v>
      </c>
      <c r="AC8813">
        <v>112.86839999999999</v>
      </c>
      <c r="AD8813">
        <v>2.24131199999999</v>
      </c>
      <c r="AE8813">
        <v>0.120559999999997</v>
      </c>
      <c r="AF8813">
        <v>-30.0126509725742</v>
      </c>
      <c r="AG8813">
        <v>2.24131199999999</v>
      </c>
      <c r="AH8813">
        <v>108.75886177919701</v>
      </c>
      <c r="AI8813">
        <v>88.861936660818898</v>
      </c>
      <c r="AJ8813">
        <v>105.42715781010099</v>
      </c>
      <c r="AK8813">
        <v>112.846234821501</v>
      </c>
      <c r="AL8813">
        <v>90.163778716589306</v>
      </c>
      <c r="AM8813">
        <v>92.257531315422995</v>
      </c>
      <c r="AN8813">
        <v>1.0000000152333199</v>
      </c>
    </row>
    <row r="8814" spans="1:40" x14ac:dyDescent="0.25">
      <c r="A8814" t="str">
        <f>"20190312154131361"</f>
        <v>20190312154131361</v>
      </c>
      <c r="B8814" t="str">
        <f>"1552376491355006"</f>
        <v>1552376491355006</v>
      </c>
      <c r="C8814" t="s">
        <v>40</v>
      </c>
      <c r="D8814">
        <v>3.9678629999999999</v>
      </c>
      <c r="E8814">
        <v>0.41116370000000002</v>
      </c>
      <c r="F8814" t="s">
        <v>80</v>
      </c>
      <c r="G8814">
        <v>-157.3501</v>
      </c>
      <c r="H8814">
        <v>3.3730899999999999</v>
      </c>
      <c r="I8814">
        <v>-60.247720000000001</v>
      </c>
      <c r="J8814">
        <v>-270.14940000000001</v>
      </c>
      <c r="K8814">
        <v>1.1132379999999999</v>
      </c>
      <c r="L8814">
        <v>-60.598570000000002</v>
      </c>
      <c r="M8814">
        <v>0.96511449999999999</v>
      </c>
      <c r="N8814">
        <v>0</v>
      </c>
      <c r="O8814">
        <v>-0.26144479999999998</v>
      </c>
      <c r="P8814">
        <v>0.97451500000000002</v>
      </c>
      <c r="Q8814">
        <v>-1.5791590000000001E-2</v>
      </c>
      <c r="R8814">
        <v>-0.2237664</v>
      </c>
      <c r="S8814">
        <v>3.0838930000000002</v>
      </c>
      <c r="T8814">
        <v>6.1745290000000001E-2</v>
      </c>
      <c r="U8814">
        <v>9.1857910000000004E-3</v>
      </c>
      <c r="V8814">
        <v>-3.8812659999999999E-2</v>
      </c>
      <c r="W8814">
        <v>-1.9230899999999999E-3</v>
      </c>
      <c r="X8814">
        <v>0.99924460000000004</v>
      </c>
      <c r="Y8814">
        <v>-0.26424039999999999</v>
      </c>
      <c r="Z8814">
        <v>-7.833797E-3</v>
      </c>
      <c r="AA8814">
        <v>0.96442499999999998</v>
      </c>
      <c r="AB8814">
        <v>14</v>
      </c>
      <c r="AC8814">
        <v>112.7993</v>
      </c>
      <c r="AD8814">
        <v>2.259852</v>
      </c>
      <c r="AE8814">
        <v>0.35085000000000099</v>
      </c>
      <c r="AF8814">
        <v>-29.820424494464</v>
      </c>
      <c r="AG8814">
        <v>2.259852</v>
      </c>
      <c r="AH8814">
        <v>108.739779947584</v>
      </c>
      <c r="AI8814">
        <v>88.851819250263603</v>
      </c>
      <c r="AJ8814">
        <v>105.33557747001601</v>
      </c>
      <c r="AK8814">
        <v>112.77723347884</v>
      </c>
      <c r="AL8814">
        <v>90.110185014518194</v>
      </c>
      <c r="AM8814">
        <v>92.224364555309705</v>
      </c>
      <c r="AN8814">
        <v>0.99999994574029005</v>
      </c>
    </row>
    <row r="8815" spans="1:40" x14ac:dyDescent="0.25">
      <c r="A8815" t="str">
        <f>"20190312154131372"</f>
        <v>20190312154131372</v>
      </c>
      <c r="B8815" t="str">
        <f>"1552376491364766"</f>
        <v>1552376491364766</v>
      </c>
      <c r="C8815" t="s">
        <v>40</v>
      </c>
      <c r="D8815">
        <v>3.97132</v>
      </c>
      <c r="E8815">
        <v>0.41162149999999997</v>
      </c>
      <c r="F8815" t="s">
        <v>80</v>
      </c>
      <c r="G8815">
        <v>-157.3501</v>
      </c>
      <c r="H8815">
        <v>3.3930069999999999</v>
      </c>
      <c r="I8815">
        <v>-60.009059999999998</v>
      </c>
      <c r="J8815">
        <v>-270.08159999999998</v>
      </c>
      <c r="K8815">
        <v>1.1132470000000001</v>
      </c>
      <c r="L8815">
        <v>-60.612639999999999</v>
      </c>
      <c r="M8815">
        <v>0.96604719999999999</v>
      </c>
      <c r="N8815">
        <v>0</v>
      </c>
      <c r="O8815">
        <v>-0.25797710000000001</v>
      </c>
      <c r="P8815">
        <v>0.97524230000000001</v>
      </c>
      <c r="Q8815">
        <v>-1.506707E-2</v>
      </c>
      <c r="R8815">
        <v>-0.22062580000000001</v>
      </c>
      <c r="S8815">
        <v>3.0831909999999998</v>
      </c>
      <c r="T8815">
        <v>6.2313319999999998E-2</v>
      </c>
      <c r="U8815">
        <v>1.6113280000000001E-2</v>
      </c>
      <c r="V8815">
        <v>-3.8452E-2</v>
      </c>
      <c r="W8815">
        <v>-1.190626E-3</v>
      </c>
      <c r="X8815">
        <v>0.99925969999999997</v>
      </c>
      <c r="Y8815">
        <v>-0.26294299999999998</v>
      </c>
      <c r="Z8815">
        <v>-7.8266619999999999E-3</v>
      </c>
      <c r="AA8815">
        <v>0.96477959999999996</v>
      </c>
      <c r="AB8815">
        <v>14</v>
      </c>
      <c r="AC8815">
        <v>112.731499999999</v>
      </c>
      <c r="AD8815">
        <v>2.27976</v>
      </c>
      <c r="AE8815">
        <v>0.60358000000000001</v>
      </c>
      <c r="AF8815">
        <v>-29.6560804386489</v>
      </c>
      <c r="AG8815">
        <v>2.27976</v>
      </c>
      <c r="AH8815">
        <v>108.71469107567999</v>
      </c>
      <c r="AI8815">
        <v>88.841012954970694</v>
      </c>
      <c r="AJ8815">
        <v>105.258365667851</v>
      </c>
      <c r="AK8815">
        <v>112.71009035717201</v>
      </c>
      <c r="AL8815">
        <v>90.068217863558601</v>
      </c>
      <c r="AM8815">
        <v>92.203682234592705</v>
      </c>
      <c r="AN8815">
        <v>0.99999996096917998</v>
      </c>
    </row>
    <row r="8816" spans="1:40" x14ac:dyDescent="0.25">
      <c r="A8816" t="str">
        <f>"20190312154131383"</f>
        <v>20190312154131383</v>
      </c>
      <c r="B8816" t="str">
        <f>"1552376491375503"</f>
        <v>1552376491375503</v>
      </c>
      <c r="C8816" t="s">
        <v>40</v>
      </c>
      <c r="D8816">
        <v>3.9636909999999999</v>
      </c>
      <c r="E8816">
        <v>0.41210599999999997</v>
      </c>
      <c r="F8816" t="s">
        <v>80</v>
      </c>
      <c r="G8816">
        <v>-157.3501</v>
      </c>
      <c r="H8816">
        <v>3.401027</v>
      </c>
      <c r="I8816">
        <v>-59.787779999999998</v>
      </c>
      <c r="J8816">
        <v>-270.017</v>
      </c>
      <c r="K8816">
        <v>1.1132519999999999</v>
      </c>
      <c r="L8816">
        <v>-60.625729999999997</v>
      </c>
      <c r="M8816">
        <v>0.96692990000000001</v>
      </c>
      <c r="N8816">
        <v>0</v>
      </c>
      <c r="O8816">
        <v>-0.2546485</v>
      </c>
      <c r="P8816">
        <v>0.97598110000000005</v>
      </c>
      <c r="Q8816">
        <v>-1.435201E-2</v>
      </c>
      <c r="R8816">
        <v>-0.21738260000000001</v>
      </c>
      <c r="S8816">
        <v>3.082214</v>
      </c>
      <c r="T8816">
        <v>6.2550069999999999E-2</v>
      </c>
      <c r="U8816">
        <v>2.2552490000000001E-2</v>
      </c>
      <c r="V8816">
        <v>-3.8339570000000003E-2</v>
      </c>
      <c r="W8816">
        <v>-4.7025650000000001E-4</v>
      </c>
      <c r="X8816">
        <v>0.99926470000000001</v>
      </c>
      <c r="Y8816">
        <v>-0.26163730000000002</v>
      </c>
      <c r="Z8816">
        <v>-7.7801169999999996E-3</v>
      </c>
      <c r="AA8816">
        <v>0.96513490000000002</v>
      </c>
      <c r="AB8816">
        <v>14</v>
      </c>
      <c r="AC8816">
        <v>112.6669</v>
      </c>
      <c r="AD8816">
        <v>2.2877749999999901</v>
      </c>
      <c r="AE8816">
        <v>0.83794999999999897</v>
      </c>
      <c r="AF8816">
        <v>-29.4914977329008</v>
      </c>
      <c r="AG8816">
        <v>2.2877749999999901</v>
      </c>
      <c r="AH8816">
        <v>108.69371057518499</v>
      </c>
      <c r="AI8816">
        <v>88.836284328808006</v>
      </c>
      <c r="AJ8816">
        <v>105.180396868445</v>
      </c>
      <c r="AK8816">
        <v>112.646815630014</v>
      </c>
      <c r="AL8816">
        <v>90.026943712594104</v>
      </c>
      <c r="AM8816">
        <v>92.197234217977297</v>
      </c>
      <c r="AN8816">
        <v>1.0000000422175199</v>
      </c>
    </row>
    <row r="8817" spans="1:40" x14ac:dyDescent="0.25">
      <c r="A8817" t="str">
        <f>"20190312154131394"</f>
        <v>20190312154131394</v>
      </c>
      <c r="B8817" t="str">
        <f>"1552376491385262"</f>
        <v>1552376491385262</v>
      </c>
      <c r="C8817" t="s">
        <v>40</v>
      </c>
      <c r="D8817">
        <v>3.9718599999999999</v>
      </c>
      <c r="E8817">
        <v>0.41210599999999997</v>
      </c>
      <c r="F8817" t="s">
        <v>80</v>
      </c>
      <c r="G8817">
        <v>-157.3501</v>
      </c>
      <c r="H8817">
        <v>3.389602</v>
      </c>
      <c r="I8817">
        <v>-59.563389999999998</v>
      </c>
      <c r="J8817">
        <v>-269.94630000000001</v>
      </c>
      <c r="K8817">
        <v>1.1132569999999999</v>
      </c>
      <c r="L8817">
        <v>-60.639859999999999</v>
      </c>
      <c r="M8817">
        <v>0.96788680000000005</v>
      </c>
      <c r="N8817">
        <v>0</v>
      </c>
      <c r="O8817">
        <v>-0.25098710000000002</v>
      </c>
      <c r="P8817">
        <v>0.97674340000000004</v>
      </c>
      <c r="Q8817">
        <v>-1.4041700000000001E-2</v>
      </c>
      <c r="R8817">
        <v>-0.21395230000000001</v>
      </c>
      <c r="S8817">
        <v>3.081207</v>
      </c>
      <c r="T8817">
        <v>6.2252879999999997E-2</v>
      </c>
      <c r="U8817">
        <v>2.9052729999999999E-2</v>
      </c>
      <c r="V8817">
        <v>-3.8071790000000001E-2</v>
      </c>
      <c r="W8817">
        <v>-1.5340469999999999E-4</v>
      </c>
      <c r="X8817">
        <v>0.99927500000000002</v>
      </c>
      <c r="Y8817">
        <v>-0.26002439999999999</v>
      </c>
      <c r="Z8817">
        <v>-7.6575319999999999E-3</v>
      </c>
      <c r="AA8817">
        <v>0.96557170000000003</v>
      </c>
      <c r="AB8817">
        <v>14</v>
      </c>
      <c r="AC8817">
        <v>112.5962</v>
      </c>
      <c r="AD8817">
        <v>2.2763450000000001</v>
      </c>
      <c r="AE8817">
        <v>1.07646999999999</v>
      </c>
      <c r="AF8817">
        <v>-29.293062875151499</v>
      </c>
      <c r="AG8817">
        <v>2.2763450000000001</v>
      </c>
      <c r="AH8817">
        <v>108.676687316212</v>
      </c>
      <c r="AI8817">
        <v>88.841395027652794</v>
      </c>
      <c r="AJ8817">
        <v>105.08517835458601</v>
      </c>
      <c r="AK8817">
        <v>112.57836224245101</v>
      </c>
      <c r="AL8817">
        <v>90.008789441856393</v>
      </c>
      <c r="AM8817">
        <v>92.181880208301493</v>
      </c>
      <c r="AN8817">
        <v>1.0000000051758999</v>
      </c>
    </row>
    <row r="8818" spans="1:40" x14ac:dyDescent="0.25">
      <c r="A8818" t="str">
        <f>"20190312154131406"</f>
        <v>20190312154131406</v>
      </c>
      <c r="B8818" t="str">
        <f>"1552376491394554"</f>
        <v>1552376491394554</v>
      </c>
      <c r="C8818" t="s">
        <v>40</v>
      </c>
      <c r="D8818">
        <v>3.967263</v>
      </c>
      <c r="E8818">
        <v>0.41777999999999998</v>
      </c>
      <c r="F8818" t="s">
        <v>80</v>
      </c>
      <c r="G8818">
        <v>-157.3501</v>
      </c>
      <c r="H8818">
        <v>3.437087</v>
      </c>
      <c r="I8818">
        <v>-59.186680000000003</v>
      </c>
      <c r="J8818">
        <v>-269.87920000000003</v>
      </c>
      <c r="K8818">
        <v>1.113256</v>
      </c>
      <c r="L8818">
        <v>-60.652889999999999</v>
      </c>
      <c r="M8818">
        <v>0.96878830000000005</v>
      </c>
      <c r="N8818">
        <v>0</v>
      </c>
      <c r="O8818">
        <v>-0.24748410000000001</v>
      </c>
      <c r="P8818">
        <v>0.97752919999999999</v>
      </c>
      <c r="Q8818">
        <v>-1.395769E-2</v>
      </c>
      <c r="R8818">
        <v>-0.21033769999999999</v>
      </c>
      <c r="S8818">
        <v>3.0810550000000001</v>
      </c>
      <c r="T8818">
        <v>6.3588140000000001E-2</v>
      </c>
      <c r="U8818">
        <v>3.9764399999999998E-2</v>
      </c>
      <c r="V8818">
        <v>-3.8154220000000003E-2</v>
      </c>
      <c r="W8818" s="1">
        <v>-6.6428530000000005E-5</v>
      </c>
      <c r="X8818">
        <v>0.99927189999999999</v>
      </c>
      <c r="Y8818">
        <v>-0.25988450000000002</v>
      </c>
      <c r="Z8818">
        <v>-7.7505269999999897E-3</v>
      </c>
      <c r="AA8818">
        <v>0.96560860000000004</v>
      </c>
      <c r="AB8818">
        <v>14</v>
      </c>
      <c r="AC8818">
        <v>112.5291</v>
      </c>
      <c r="AD8818">
        <v>2.3238310000000002</v>
      </c>
      <c r="AE8818">
        <v>1.46620999999999</v>
      </c>
      <c r="AF8818">
        <v>-29.260073810289398</v>
      </c>
      <c r="AG8818">
        <v>2.3238310000000002</v>
      </c>
      <c r="AH8818">
        <v>108.618611305671</v>
      </c>
      <c r="AI8818">
        <v>88.816552934069506</v>
      </c>
      <c r="AJ8818">
        <v>105.076653206193</v>
      </c>
      <c r="AK8818">
        <v>112.51468718293</v>
      </c>
      <c r="AL8818">
        <v>90.003806074260595</v>
      </c>
      <c r="AM8818">
        <v>92.186606437364702</v>
      </c>
      <c r="AN8818">
        <v>1.0000000395230799</v>
      </c>
    </row>
    <row r="8819" spans="1:40" x14ac:dyDescent="0.25">
      <c r="A8819" t="str">
        <f>"20190312154131419"</f>
        <v>20190312154131419</v>
      </c>
      <c r="B8819" t="str">
        <f>"1552376491415049"</f>
        <v>1552376491415049</v>
      </c>
      <c r="C8819" t="s">
        <v>40</v>
      </c>
      <c r="D8819">
        <v>3.9948649999999999</v>
      </c>
      <c r="E8819">
        <v>0.41853210000000002</v>
      </c>
      <c r="F8819" t="s">
        <v>80</v>
      </c>
      <c r="G8819">
        <v>-157.3501</v>
      </c>
      <c r="H8819">
        <v>1.4877180000000001</v>
      </c>
      <c r="I8819">
        <v>-60.337539999999997</v>
      </c>
      <c r="J8819">
        <v>-269.8032</v>
      </c>
      <c r="K8819">
        <v>1.113251</v>
      </c>
      <c r="L8819">
        <v>-60.6674199999999</v>
      </c>
      <c r="M8819">
        <v>0.96979550000000003</v>
      </c>
      <c r="N8819">
        <v>0</v>
      </c>
      <c r="O8819">
        <v>-0.2435068</v>
      </c>
      <c r="P8819">
        <v>0.97829440000000001</v>
      </c>
      <c r="Q8819">
        <v>-1.4052459999999999E-2</v>
      </c>
      <c r="R8819">
        <v>-0.20674339999999999</v>
      </c>
      <c r="S8819">
        <v>3.0709840000000002</v>
      </c>
      <c r="T8819">
        <v>1.021874E-2</v>
      </c>
      <c r="U8819">
        <v>8.6059569999999991E-3</v>
      </c>
      <c r="V8819">
        <v>-3.7726339999999997E-2</v>
      </c>
      <c r="W8819">
        <v>-1.5407600000000001E-4</v>
      </c>
      <c r="X8819">
        <v>0.99928810000000001</v>
      </c>
      <c r="Y8819">
        <v>-0.24624560000000001</v>
      </c>
      <c r="Z8819">
        <v>-1.2139169999999999E-3</v>
      </c>
      <c r="AA8819">
        <v>0.96920669999999998</v>
      </c>
      <c r="AB8819">
        <v>14</v>
      </c>
      <c r="AC8819">
        <v>112.45310000000001</v>
      </c>
      <c r="AD8819">
        <v>0.37446699999999999</v>
      </c>
      <c r="AE8819">
        <v>0.32987999999998802</v>
      </c>
      <c r="AF8819">
        <v>-27.705489778411302</v>
      </c>
      <c r="AG8819">
        <v>0.37446699999999999</v>
      </c>
      <c r="AH8819">
        <v>108.98593446018199</v>
      </c>
      <c r="AI8819">
        <v>89.809205393562195</v>
      </c>
      <c r="AJ8819">
        <v>104.263130320307</v>
      </c>
      <c r="AK8819">
        <v>112.45296038590899</v>
      </c>
      <c r="AL8819">
        <v>90.008827904527095</v>
      </c>
      <c r="AM8819">
        <v>92.162073154657307</v>
      </c>
      <c r="AN8819">
        <v>1.0000000036354</v>
      </c>
    </row>
    <row r="8820" spans="1:40" x14ac:dyDescent="0.25">
      <c r="A8820" t="str">
        <f>"20190312154131431"</f>
        <v>20190312154131431</v>
      </c>
      <c r="B8820" t="str">
        <f>"1552376491424810"</f>
        <v>1552376491424810</v>
      </c>
      <c r="C8820" t="s">
        <v>40</v>
      </c>
      <c r="D8820">
        <v>4.0271460000000001</v>
      </c>
      <c r="E8820">
        <v>0.418962</v>
      </c>
      <c r="F8820" t="s">
        <v>80</v>
      </c>
      <c r="G8820">
        <v>-157.3501</v>
      </c>
      <c r="H8820">
        <v>1.523452</v>
      </c>
      <c r="I8820">
        <v>-60.154269999999997</v>
      </c>
      <c r="J8820">
        <v>-269.72879999999998</v>
      </c>
      <c r="K8820">
        <v>1.1132439999999999</v>
      </c>
      <c r="L8820">
        <v>-60.681150000000002</v>
      </c>
      <c r="M8820">
        <v>0.97077170000000002</v>
      </c>
      <c r="N8820">
        <v>0</v>
      </c>
      <c r="O8820">
        <v>-0.23958599999999999</v>
      </c>
      <c r="P8820">
        <v>0.97904570000000002</v>
      </c>
      <c r="Q8820">
        <v>-1.437452E-2</v>
      </c>
      <c r="R8820">
        <v>-0.20313339999999999</v>
      </c>
      <c r="S8820">
        <v>3.0696720000000002</v>
      </c>
      <c r="T8820">
        <v>1.119685E-2</v>
      </c>
      <c r="U8820">
        <v>1.400757E-2</v>
      </c>
      <c r="V8820">
        <v>-3.7370859999999999E-2</v>
      </c>
      <c r="W8820">
        <v>-4.7045589999999998E-4</v>
      </c>
      <c r="X8820">
        <v>0.99930140000000001</v>
      </c>
      <c r="Y8820">
        <v>-0.24403459999999999</v>
      </c>
      <c r="Z8820">
        <v>-1.312712E-3</v>
      </c>
      <c r="AA8820">
        <v>0.96976560000000001</v>
      </c>
      <c r="AB8820">
        <v>14</v>
      </c>
      <c r="AC8820">
        <v>112.378699999999</v>
      </c>
      <c r="AD8820">
        <v>0.41020799999999902</v>
      </c>
      <c r="AE8820">
        <v>0.52688000000000501</v>
      </c>
      <c r="AF8820">
        <v>-27.438233557215099</v>
      </c>
      <c r="AG8820">
        <v>0.41020799999999902</v>
      </c>
      <c r="AH8820">
        <v>108.977321590336</v>
      </c>
      <c r="AI8820">
        <v>89.790857719712903</v>
      </c>
      <c r="AJ8820">
        <v>104.13215266632901</v>
      </c>
      <c r="AK8820">
        <v>112.379186473061</v>
      </c>
      <c r="AL8820">
        <v>90.026955137290898</v>
      </c>
      <c r="AM8820">
        <v>92.141691399902598</v>
      </c>
      <c r="AN8820">
        <v>1.0000000452739199</v>
      </c>
    </row>
    <row r="8821" spans="1:40" x14ac:dyDescent="0.25">
      <c r="A8821" t="str">
        <f>"20190312154131442"</f>
        <v>20190312154131442</v>
      </c>
      <c r="B8821" t="str">
        <f>"1552376491434569"</f>
        <v>1552376491434569</v>
      </c>
      <c r="C8821" t="s">
        <v>40</v>
      </c>
      <c r="D8821">
        <v>4.0136180000000001</v>
      </c>
      <c r="E8821">
        <v>0.41946679999999997</v>
      </c>
      <c r="F8821" t="s">
        <v>80</v>
      </c>
      <c r="G8821">
        <v>-157.3501</v>
      </c>
      <c r="H8821">
        <v>1.389891</v>
      </c>
      <c r="I8821">
        <v>-59.873190000000001</v>
      </c>
      <c r="J8821">
        <v>-269.66370000000001</v>
      </c>
      <c r="K8821">
        <v>1.113235</v>
      </c>
      <c r="L8821">
        <v>-60.692990000000002</v>
      </c>
      <c r="M8821">
        <v>0.97161450000000005</v>
      </c>
      <c r="N8821">
        <v>0</v>
      </c>
      <c r="O8821">
        <v>-0.23614450000000001</v>
      </c>
      <c r="P8821">
        <v>0.97966799999999998</v>
      </c>
      <c r="Q8821">
        <v>-1.4884680000000001E-2</v>
      </c>
      <c r="R8821">
        <v>-0.2000738</v>
      </c>
      <c r="S8821">
        <v>3.0689090000000001</v>
      </c>
      <c r="T8821">
        <v>7.5542930000000001E-3</v>
      </c>
      <c r="U8821">
        <v>2.2064210000000001E-2</v>
      </c>
      <c r="V8821">
        <v>-3.694629E-2</v>
      </c>
      <c r="W8821">
        <v>-9.7509539999999996E-4</v>
      </c>
      <c r="X8821">
        <v>0.99931680000000001</v>
      </c>
      <c r="Y8821">
        <v>-0.24314669999999999</v>
      </c>
      <c r="Z8821">
        <v>-8.7654179999999897E-4</v>
      </c>
      <c r="AA8821">
        <v>0.96998910000000005</v>
      </c>
      <c r="AB8821">
        <v>14</v>
      </c>
      <c r="AC8821">
        <v>112.31359999999999</v>
      </c>
      <c r="AD8821">
        <v>0.27665600000000001</v>
      </c>
      <c r="AE8821">
        <v>0.81979999999999997</v>
      </c>
      <c r="AF8821">
        <v>-27.321349193033502</v>
      </c>
      <c r="AG8821">
        <v>0.27665600000000001</v>
      </c>
      <c r="AH8821">
        <v>108.94222147349799</v>
      </c>
      <c r="AI8821">
        <v>89.858869602225596</v>
      </c>
      <c r="AJ8821">
        <v>104.078702779645</v>
      </c>
      <c r="AK8821">
        <v>112.316251183213</v>
      </c>
      <c r="AL8821">
        <v>90.055868858613394</v>
      </c>
      <c r="AM8821">
        <v>92.117349337283798</v>
      </c>
      <c r="AN8821">
        <v>1.00000002295902</v>
      </c>
    </row>
    <row r="8822" spans="1:40" x14ac:dyDescent="0.25">
      <c r="A8822" t="str">
        <f>"20190312154131453"</f>
        <v>20190312154131453</v>
      </c>
      <c r="B8822" t="str">
        <f>"1552376491445305"</f>
        <v>1552376491445305</v>
      </c>
      <c r="C8822" t="s">
        <v>40</v>
      </c>
      <c r="D8822">
        <v>4.0148809999999999</v>
      </c>
      <c r="E8822">
        <v>0.4199099</v>
      </c>
      <c r="F8822" t="s">
        <v>80</v>
      </c>
      <c r="G8822">
        <v>-157.3501</v>
      </c>
      <c r="H8822">
        <v>1.2046829999999999</v>
      </c>
      <c r="I8822">
        <v>-59.676319999999997</v>
      </c>
      <c r="J8822">
        <v>-269.59660000000002</v>
      </c>
      <c r="K8822">
        <v>1.1132219999999999</v>
      </c>
      <c r="L8822">
        <v>-60.704929999999997</v>
      </c>
      <c r="M8822">
        <v>0.97247240000000001</v>
      </c>
      <c r="N8822">
        <v>0</v>
      </c>
      <c r="O8822">
        <v>-0.23258580000000001</v>
      </c>
      <c r="P8822">
        <v>0.98036809999999996</v>
      </c>
      <c r="Q8822">
        <v>-1.5220249999999999E-2</v>
      </c>
      <c r="R8822">
        <v>-0.19658800000000001</v>
      </c>
      <c r="S8822">
        <v>3.0679319999999999</v>
      </c>
      <c r="T8822">
        <v>2.4974350000000001E-3</v>
      </c>
      <c r="U8822">
        <v>2.7771000000000001E-2</v>
      </c>
      <c r="V8822">
        <v>-3.6838580000000003E-2</v>
      </c>
      <c r="W8822">
        <v>-1.30787E-3</v>
      </c>
      <c r="X8822">
        <v>0.9993204</v>
      </c>
      <c r="Y8822">
        <v>-0.24140300000000001</v>
      </c>
      <c r="Z8822">
        <v>-2.8633830000000002E-4</v>
      </c>
      <c r="AA8822">
        <v>0.97042499999999998</v>
      </c>
      <c r="AB8822">
        <v>14</v>
      </c>
      <c r="AC8822">
        <v>112.2465</v>
      </c>
      <c r="AD8822">
        <v>9.1461000000000001E-2</v>
      </c>
      <c r="AE8822">
        <v>1.02861</v>
      </c>
      <c r="AF8822">
        <v>-27.1099472791708</v>
      </c>
      <c r="AG8822">
        <v>9.1461000000000001E-2</v>
      </c>
      <c r="AH8822">
        <v>108.92827378183399</v>
      </c>
      <c r="AI8822">
        <v>89.953316035762199</v>
      </c>
      <c r="AJ8822">
        <v>103.975770896958</v>
      </c>
      <c r="AK8822">
        <v>112.251175653906</v>
      </c>
      <c r="AL8822">
        <v>90.074935450515795</v>
      </c>
      <c r="AM8822">
        <v>92.111174596482698</v>
      </c>
      <c r="AN8822">
        <v>1.0000000266782501</v>
      </c>
    </row>
    <row r="8823" spans="1:40" x14ac:dyDescent="0.25">
      <c r="A8823" t="str">
        <f>"20190312154131463"</f>
        <v>20190312154131463</v>
      </c>
      <c r="B8823" t="str">
        <f>"1552376491455066"</f>
        <v>1552376491455066</v>
      </c>
      <c r="C8823" t="s">
        <v>40</v>
      </c>
      <c r="D8823">
        <v>4.0512579999999998</v>
      </c>
      <c r="E8823">
        <v>0.42044369999999998</v>
      </c>
      <c r="F8823" t="s">
        <v>80</v>
      </c>
      <c r="G8823">
        <v>-157.3501</v>
      </c>
      <c r="H8823">
        <v>1.0788469999999999</v>
      </c>
      <c r="I8823">
        <v>-59.4116199999999</v>
      </c>
      <c r="J8823">
        <v>-269.536</v>
      </c>
      <c r="K8823">
        <v>1.1132070000000001</v>
      </c>
      <c r="L8823">
        <v>-60.715449999999997</v>
      </c>
      <c r="M8823">
        <v>0.97323850000000001</v>
      </c>
      <c r="N8823">
        <v>0</v>
      </c>
      <c r="O8823">
        <v>-0.2293596</v>
      </c>
      <c r="P8823">
        <v>0.98091079999999997</v>
      </c>
      <c r="Q8823">
        <v>-1.518833E-2</v>
      </c>
      <c r="R8823">
        <v>-0.19386419999999999</v>
      </c>
      <c r="S8823">
        <v>3.0671390000000001</v>
      </c>
      <c r="T8823">
        <v>-9.3984600000000004E-4</v>
      </c>
      <c r="U8823">
        <v>3.533936E-2</v>
      </c>
      <c r="V8823">
        <v>-3.6301060000000003E-2</v>
      </c>
      <c r="W8823">
        <v>-1.2704229999999999E-3</v>
      </c>
      <c r="X8823">
        <v>0.99934009999999995</v>
      </c>
      <c r="Y8823">
        <v>-0.2405814</v>
      </c>
      <c r="Z8823">
        <v>1.066933E-4</v>
      </c>
      <c r="AA8823">
        <v>0.97062899999999996</v>
      </c>
      <c r="AB8823">
        <v>14</v>
      </c>
      <c r="AC8823">
        <v>112.1859</v>
      </c>
      <c r="AD8823">
        <v>-3.4360000000000099E-2</v>
      </c>
      <c r="AE8823">
        <v>1.30383</v>
      </c>
      <c r="AF8823">
        <v>-27.0025620106213</v>
      </c>
      <c r="AG8823">
        <v>-3.4360000000000099E-2</v>
      </c>
      <c r="AH8823">
        <v>108.895525230023</v>
      </c>
      <c r="AI8823">
        <v>90.017547215502404</v>
      </c>
      <c r="AJ8823">
        <v>103.926593086739</v>
      </c>
      <c r="AK8823">
        <v>112.1934710706</v>
      </c>
      <c r="AL8823">
        <v>90.072789895079595</v>
      </c>
      <c r="AM8823">
        <v>92.080356266812899</v>
      </c>
      <c r="AN8823">
        <v>1.0000000081998599</v>
      </c>
    </row>
    <row r="8824" spans="1:40" x14ac:dyDescent="0.25">
      <c r="A8824" t="str">
        <f>"20190312154131472"</f>
        <v>20190312154131472</v>
      </c>
      <c r="B8824" t="str">
        <f>"1552376491464826"</f>
        <v>1552376491464826</v>
      </c>
      <c r="C8824" t="s">
        <v>40</v>
      </c>
      <c r="D8824">
        <v>4.0103339999999896</v>
      </c>
      <c r="E8824">
        <v>0.42090670000000002</v>
      </c>
      <c r="F8824" t="s">
        <v>80</v>
      </c>
      <c r="G8824">
        <v>-157.3501</v>
      </c>
      <c r="H8824">
        <v>1.02328</v>
      </c>
      <c r="I8824">
        <v>-59.261650000000003</v>
      </c>
      <c r="J8824">
        <v>-269.4753</v>
      </c>
      <c r="K8824">
        <v>1.113191</v>
      </c>
      <c r="L8824">
        <v>-60.725830000000002</v>
      </c>
      <c r="M8824">
        <v>0.97399480000000005</v>
      </c>
      <c r="N8824">
        <v>0</v>
      </c>
      <c r="O8824">
        <v>-0.2261261</v>
      </c>
      <c r="P8824">
        <v>0.9815121</v>
      </c>
      <c r="Q8824">
        <v>-1.5172329999999999E-2</v>
      </c>
      <c r="R8824">
        <v>-0.1907981</v>
      </c>
      <c r="S8824">
        <v>3.0661619999999998</v>
      </c>
      <c r="T8824">
        <v>-2.458334E-3</v>
      </c>
      <c r="U8824">
        <v>3.9733890000000001E-2</v>
      </c>
      <c r="V8824">
        <v>-3.6104730000000002E-2</v>
      </c>
      <c r="W8824">
        <v>-1.2517369999999999E-3</v>
      </c>
      <c r="X8824">
        <v>0.99934719999999999</v>
      </c>
      <c r="Y8824">
        <v>-0.23875179999999999</v>
      </c>
      <c r="Z8824">
        <v>2.7589390000000002E-4</v>
      </c>
      <c r="AA8824">
        <v>0.97108059999999996</v>
      </c>
      <c r="AB8824">
        <v>14</v>
      </c>
      <c r="AC8824">
        <v>112.12520000000001</v>
      </c>
      <c r="AD8824">
        <v>-8.9911000000000005E-2</v>
      </c>
      <c r="AE8824">
        <v>1.46417999999999</v>
      </c>
      <c r="AF8824">
        <v>-26.783214084907499</v>
      </c>
      <c r="AG8824">
        <v>-8.9911000000000005E-2</v>
      </c>
      <c r="AH8824">
        <v>108.889152689485</v>
      </c>
      <c r="AI8824">
        <v>90.045940465388895</v>
      </c>
      <c r="AJ8824">
        <v>103.81859428654801</v>
      </c>
      <c r="AK8824">
        <v>112.134723498745</v>
      </c>
      <c r="AL8824">
        <v>90.071719267878606</v>
      </c>
      <c r="AM8824">
        <v>92.069100024090403</v>
      </c>
      <c r="AN8824">
        <v>0.99999997226086401</v>
      </c>
    </row>
    <row r="8825" spans="1:40" x14ac:dyDescent="0.25">
      <c r="A8825" t="str">
        <f>"20190312154131484"</f>
        <v>20190312154131484</v>
      </c>
      <c r="B8825" t="str">
        <f>"1552376491474585"</f>
        <v>1552376491474585</v>
      </c>
      <c r="C8825" t="s">
        <v>40</v>
      </c>
      <c r="D8825">
        <v>4.0689979999999997</v>
      </c>
      <c r="E8825">
        <v>0.42123850000000002</v>
      </c>
      <c r="F8825" t="s">
        <v>80</v>
      </c>
      <c r="G8825">
        <v>-157.3501</v>
      </c>
      <c r="H8825">
        <v>0.98524999999999996</v>
      </c>
      <c r="I8825">
        <v>-59.053649999999998</v>
      </c>
      <c r="J8825">
        <v>-269.40800000000002</v>
      </c>
      <c r="K8825">
        <v>1.113173</v>
      </c>
      <c r="L8825">
        <v>-60.737000000000002</v>
      </c>
      <c r="M8825">
        <v>0.97482279999999999</v>
      </c>
      <c r="N8825">
        <v>0</v>
      </c>
      <c r="O8825">
        <v>-0.2225298</v>
      </c>
      <c r="P8825">
        <v>0.98220980000000002</v>
      </c>
      <c r="Q8825">
        <v>-1.529498E-2</v>
      </c>
      <c r="R8825">
        <v>-0.18716350000000001</v>
      </c>
      <c r="S8825">
        <v>3.065369</v>
      </c>
      <c r="T8825">
        <v>-3.498316E-3</v>
      </c>
      <c r="U8825">
        <v>4.5715329999999998E-2</v>
      </c>
      <c r="V8825">
        <v>-3.6114739999999999E-2</v>
      </c>
      <c r="W8825">
        <v>-1.3737440000000001E-3</v>
      </c>
      <c r="X8825">
        <v>0.99934670000000003</v>
      </c>
      <c r="Y8825">
        <v>-0.237065</v>
      </c>
      <c r="Z8825">
        <v>3.877299E-4</v>
      </c>
      <c r="AA8825">
        <v>0.97149370000000002</v>
      </c>
      <c r="AB8825">
        <v>14</v>
      </c>
      <c r="AC8825">
        <v>112.0579</v>
      </c>
      <c r="AD8825">
        <v>-0.12792300000000001</v>
      </c>
      <c r="AE8825">
        <v>1.6833499999999899</v>
      </c>
      <c r="AF8825">
        <v>-26.5798267713017</v>
      </c>
      <c r="AG8825">
        <v>-0.12792300000000001</v>
      </c>
      <c r="AH8825">
        <v>108.87280055145099</v>
      </c>
      <c r="AI8825">
        <v>90.065400364534199</v>
      </c>
      <c r="AJ8825">
        <v>103.71961918256299</v>
      </c>
      <c r="AK8825">
        <v>112.070470041855</v>
      </c>
      <c r="AL8825">
        <v>90.078709758543695</v>
      </c>
      <c r="AM8825">
        <v>92.069674215777695</v>
      </c>
      <c r="AN8825">
        <v>0.99999999420936703</v>
      </c>
    </row>
    <row r="8826" spans="1:40" x14ac:dyDescent="0.25">
      <c r="A8826" t="str">
        <f>"20190312154131495"</f>
        <v>20190312154131495</v>
      </c>
      <c r="B8826" t="str">
        <f>"1552376491485322"</f>
        <v>1552376491485322</v>
      </c>
      <c r="C8826" t="s">
        <v>40</v>
      </c>
      <c r="D8826">
        <v>4.0521919999999998</v>
      </c>
      <c r="E8826">
        <v>0.42168820000000001</v>
      </c>
      <c r="F8826" t="s">
        <v>80</v>
      </c>
      <c r="G8826">
        <v>-157.3501</v>
      </c>
      <c r="H8826">
        <v>0.90761139999999996</v>
      </c>
      <c r="I8826">
        <v>-58.744050000000001</v>
      </c>
      <c r="J8826">
        <v>-269.34589999999997</v>
      </c>
      <c r="K8826">
        <v>1.1131549999999999</v>
      </c>
      <c r="L8826">
        <v>-60.747160000000001</v>
      </c>
      <c r="M8826">
        <v>0.97557369999999999</v>
      </c>
      <c r="N8826">
        <v>0</v>
      </c>
      <c r="O8826">
        <v>-0.21921460000000001</v>
      </c>
      <c r="P8826">
        <v>0.98279059999999996</v>
      </c>
      <c r="Q8826">
        <v>-1.5393189999999999E-2</v>
      </c>
      <c r="R8826">
        <v>-0.18408079999999999</v>
      </c>
      <c r="S8826">
        <v>3.0646360000000001</v>
      </c>
      <c r="T8826">
        <v>-5.6223870000000004E-3</v>
      </c>
      <c r="U8826">
        <v>5.450439E-2</v>
      </c>
      <c r="V8826">
        <v>-3.5851689999999999E-2</v>
      </c>
      <c r="W8826">
        <v>-1.469515E-3</v>
      </c>
      <c r="X8826">
        <v>0.99935600000000002</v>
      </c>
      <c r="Y8826">
        <v>-0.23655080000000001</v>
      </c>
      <c r="Z8826">
        <v>6.1687069999999996E-4</v>
      </c>
      <c r="AA8826">
        <v>0.97161900000000001</v>
      </c>
      <c r="AB8826">
        <v>14</v>
      </c>
      <c r="AC8826">
        <v>111.99579999999899</v>
      </c>
      <c r="AD8826">
        <v>-0.20554359999999899</v>
      </c>
      <c r="AE8826">
        <v>2.0031099999999902</v>
      </c>
      <c r="AF8826">
        <v>-26.507869733541199</v>
      </c>
      <c r="AG8826">
        <v>-0.20554359999999899</v>
      </c>
      <c r="AH8826">
        <v>108.831613116711</v>
      </c>
      <c r="AI8826">
        <v>90.105137192723404</v>
      </c>
      <c r="AJ8826">
        <v>103.688859358207</v>
      </c>
      <c r="AK8826">
        <v>112.01352337806</v>
      </c>
      <c r="AL8826">
        <v>90.084197041191601</v>
      </c>
      <c r="AM8826">
        <v>92.054593132128005</v>
      </c>
      <c r="AN8826">
        <v>0.99999995894309401</v>
      </c>
    </row>
    <row r="8827" spans="1:40" x14ac:dyDescent="0.25">
      <c r="A8827" t="str">
        <f>"20190312154131505"</f>
        <v>20190312154131505</v>
      </c>
      <c r="B8827" t="str">
        <f>"1552376491495083"</f>
        <v>1552376491495083</v>
      </c>
      <c r="C8827" t="s">
        <v>40</v>
      </c>
      <c r="D8827">
        <v>4.0199189999999998</v>
      </c>
      <c r="E8827">
        <v>0.42168820000000001</v>
      </c>
      <c r="F8827" t="s">
        <v>80</v>
      </c>
      <c r="G8827">
        <v>-157.3501</v>
      </c>
      <c r="H8827">
        <v>0.88323349999999901</v>
      </c>
      <c r="I8827">
        <v>-58.530529999999999</v>
      </c>
      <c r="J8827">
        <v>-269.27940000000001</v>
      </c>
      <c r="K8827">
        <v>1.113127</v>
      </c>
      <c r="L8827">
        <v>-60.757689999999997</v>
      </c>
      <c r="M8827">
        <v>0.97636509999999999</v>
      </c>
      <c r="N8827">
        <v>0</v>
      </c>
      <c r="O8827">
        <v>-0.21566289999999999</v>
      </c>
      <c r="P8827">
        <v>0.98348210000000003</v>
      </c>
      <c r="Q8827">
        <v>-1.554437E-2</v>
      </c>
      <c r="R8827">
        <v>-0.18033830000000001</v>
      </c>
      <c r="S8827">
        <v>3.0637819999999998</v>
      </c>
      <c r="T8827">
        <v>-6.2903169999999897E-3</v>
      </c>
      <c r="U8827">
        <v>6.063843E-2</v>
      </c>
      <c r="V8827">
        <v>-3.601799E-2</v>
      </c>
      <c r="W8827">
        <v>-1.6222789999999999E-3</v>
      </c>
      <c r="X8827">
        <v>0.99934979999999995</v>
      </c>
      <c r="Y8827">
        <v>-0.2349638</v>
      </c>
      <c r="Z8827">
        <v>6.8156360000000004E-4</v>
      </c>
      <c r="AA8827">
        <v>0.97200390000000003</v>
      </c>
      <c r="AB8827">
        <v>14</v>
      </c>
      <c r="AC8827">
        <v>111.9293</v>
      </c>
      <c r="AD8827">
        <v>-0.2298935</v>
      </c>
      <c r="AE8827">
        <v>2.2271599999999898</v>
      </c>
      <c r="AF8827">
        <v>-26.316048782596798</v>
      </c>
      <c r="AG8827">
        <v>-0.2298935</v>
      </c>
      <c r="AH8827">
        <v>108.814007899964</v>
      </c>
      <c r="AI8827">
        <v>90.117657820804695</v>
      </c>
      <c r="AJ8827">
        <v>103.59560745765199</v>
      </c>
      <c r="AK8827">
        <v>111.95121968876801</v>
      </c>
      <c r="AL8827">
        <v>90.09294978298</v>
      </c>
      <c r="AM8827">
        <v>92.064128043292001</v>
      </c>
      <c r="AN8827">
        <v>0.99999997507641603</v>
      </c>
    </row>
    <row r="8828" spans="1:40" x14ac:dyDescent="0.25">
      <c r="A8828" t="str">
        <f>"20190312154131517"</f>
        <v>20190312154131517</v>
      </c>
      <c r="B8828" t="str">
        <f>"1552376491514602"</f>
        <v>1552376491514602</v>
      </c>
      <c r="C8828" t="s">
        <v>40</v>
      </c>
      <c r="D8828">
        <v>4.0719599999999998</v>
      </c>
      <c r="E8828">
        <v>0.42882930000000002</v>
      </c>
      <c r="F8828" t="s">
        <v>80</v>
      </c>
      <c r="G8828">
        <v>-157.3501</v>
      </c>
      <c r="H8828">
        <v>0.87092780000000003</v>
      </c>
      <c r="I8828">
        <v>-58.118499999999997</v>
      </c>
      <c r="J8828">
        <v>-269.21140000000003</v>
      </c>
      <c r="K8828">
        <v>1.1131040000000001</v>
      </c>
      <c r="L8828">
        <v>-60.768369999999997</v>
      </c>
      <c r="M8828">
        <v>0.97716179999999997</v>
      </c>
      <c r="N8828">
        <v>0</v>
      </c>
      <c r="O8828">
        <v>-0.21202360000000001</v>
      </c>
      <c r="P8828">
        <v>0.98420269999999999</v>
      </c>
      <c r="Q8828">
        <v>-1.60287E-2</v>
      </c>
      <c r="R8828">
        <v>-0.17631869999999999</v>
      </c>
      <c r="S8828">
        <v>3.0635379999999999</v>
      </c>
      <c r="T8828">
        <v>-6.6295859999999998E-3</v>
      </c>
      <c r="U8828">
        <v>7.2235110000000005E-2</v>
      </c>
      <c r="V8828">
        <v>-3.637249E-2</v>
      </c>
      <c r="W8828">
        <v>-2.1096999999999999E-3</v>
      </c>
      <c r="X8828">
        <v>0.99933609999999995</v>
      </c>
      <c r="Y8828">
        <v>-0.23502129999999999</v>
      </c>
      <c r="Z8828">
        <v>7.107166E-4</v>
      </c>
      <c r="AA8828">
        <v>0.97199000000000002</v>
      </c>
      <c r="AB8828">
        <v>14</v>
      </c>
      <c r="AC8828">
        <v>111.8613</v>
      </c>
      <c r="AD8828">
        <v>-0.24217620000000001</v>
      </c>
      <c r="AE8828">
        <v>2.6498699999999999</v>
      </c>
      <c r="AF8828">
        <v>-26.309105728026001</v>
      </c>
      <c r="AG8828">
        <v>-0.24217620000000001</v>
      </c>
      <c r="AH8828">
        <v>108.75516496561799</v>
      </c>
      <c r="AI8828">
        <v>90.124009160061306</v>
      </c>
      <c r="AJ8828">
        <v>103.59923468514199</v>
      </c>
      <c r="AK8828">
        <v>111.89241976210501</v>
      </c>
      <c r="AL8828">
        <v>90.120876992706698</v>
      </c>
      <c r="AM8828">
        <v>92.084454535497898</v>
      </c>
      <c r="AN8828">
        <v>1.0000000248130401</v>
      </c>
    </row>
    <row r="8829" spans="1:40" x14ac:dyDescent="0.25">
      <c r="A8829" t="str">
        <f>"20190312154131529"</f>
        <v>20190312154131529</v>
      </c>
      <c r="B8829" t="str">
        <f>"1552376491525339"</f>
        <v>1552376491525339</v>
      </c>
      <c r="C8829" t="s">
        <v>40</v>
      </c>
      <c r="D8829">
        <v>4.0357050000000001</v>
      </c>
      <c r="E8829">
        <v>0.4286644</v>
      </c>
      <c r="F8829" t="s">
        <v>43</v>
      </c>
      <c r="G8829">
        <v>-162.0617</v>
      </c>
      <c r="H8829">
        <v>-0.05</v>
      </c>
      <c r="I8829">
        <v>-59.731580000000001</v>
      </c>
      <c r="J8829">
        <v>-269.14210000000003</v>
      </c>
      <c r="K8829">
        <v>1.1130819999999999</v>
      </c>
      <c r="L8829">
        <v>-60.77881</v>
      </c>
      <c r="M8829">
        <v>0.97795679999999996</v>
      </c>
      <c r="N8829">
        <v>0</v>
      </c>
      <c r="O8829">
        <v>-0.2083256</v>
      </c>
      <c r="P8829">
        <v>0.98485710000000004</v>
      </c>
      <c r="Q8829">
        <v>-1.642333E-2</v>
      </c>
      <c r="R8829">
        <v>-0.1725894</v>
      </c>
      <c r="S8829">
        <v>3.0529480000000002</v>
      </c>
      <c r="T8829">
        <v>-3.3139589999999997E-2</v>
      </c>
      <c r="U8829">
        <v>2.9541020000000001E-2</v>
      </c>
      <c r="V8829">
        <v>-3.6373410000000002E-2</v>
      </c>
      <c r="W8829">
        <v>-2.505747E-3</v>
      </c>
      <c r="X8829">
        <v>0.99933510000000003</v>
      </c>
      <c r="Y8829">
        <v>-0.2177752</v>
      </c>
      <c r="Z8829">
        <v>3.4314020000000001E-3</v>
      </c>
      <c r="AA8829">
        <v>0.97599290000000005</v>
      </c>
      <c r="AB8829">
        <v>14</v>
      </c>
      <c r="AC8829">
        <v>107.0804</v>
      </c>
      <c r="AD8829">
        <v>-1.1630819999999999</v>
      </c>
      <c r="AE8829">
        <v>1.0472299999999899</v>
      </c>
      <c r="AF8829">
        <v>-23.331326472736301</v>
      </c>
      <c r="AG8829">
        <v>-1.1630819999999999</v>
      </c>
      <c r="AH8829">
        <v>104.500013966718</v>
      </c>
      <c r="AI8829">
        <v>90.622352391406807</v>
      </c>
      <c r="AJ8829">
        <v>102.585798612706</v>
      </c>
      <c r="AK8829">
        <v>107.07920654244801</v>
      </c>
      <c r="AL8829">
        <v>90.143568881756707</v>
      </c>
      <c r="AM8829">
        <v>92.084509296903605</v>
      </c>
      <c r="AN8829">
        <v>0.99999997290753195</v>
      </c>
    </row>
    <row r="8830" spans="1:40" x14ac:dyDescent="0.25">
      <c r="A8830" t="str">
        <f>"20190312154131540"</f>
        <v>20190312154131540</v>
      </c>
      <c r="B8830" t="str">
        <f>"1552376491535097"</f>
        <v>1552376491535097</v>
      </c>
      <c r="C8830" t="s">
        <v>40</v>
      </c>
      <c r="D8830">
        <v>4.0732599999999897</v>
      </c>
      <c r="E8830">
        <v>0.42910320000000002</v>
      </c>
      <c r="F8830" t="s">
        <v>80</v>
      </c>
      <c r="G8830">
        <v>-157.3501</v>
      </c>
      <c r="H8830">
        <v>0.15874289999999999</v>
      </c>
      <c r="I8830">
        <v>-59.235619999999997</v>
      </c>
      <c r="J8830">
        <v>-269.07389999999998</v>
      </c>
      <c r="K8830">
        <v>1.113059</v>
      </c>
      <c r="L8830">
        <v>-60.788939999999997</v>
      </c>
      <c r="M8830">
        <v>0.97872689999999996</v>
      </c>
      <c r="N8830">
        <v>0</v>
      </c>
      <c r="O8830">
        <v>-0.2046781</v>
      </c>
      <c r="P8830">
        <v>0.98551060000000001</v>
      </c>
      <c r="Q8830">
        <v>-1.685093E-2</v>
      </c>
      <c r="R8830">
        <v>-0.16877510000000001</v>
      </c>
      <c r="S8830">
        <v>3.05307</v>
      </c>
      <c r="T8830">
        <v>-2.6063800000000002E-2</v>
      </c>
      <c r="U8830">
        <v>4.214478E-2</v>
      </c>
      <c r="V8830">
        <v>-3.6512030000000001E-2</v>
      </c>
      <c r="W8830">
        <v>-2.9358850000000001E-3</v>
      </c>
      <c r="X8830">
        <v>0.99932889999999996</v>
      </c>
      <c r="Y8830">
        <v>-0.21817429999999999</v>
      </c>
      <c r="Z8830">
        <v>2.6698550000000001E-3</v>
      </c>
      <c r="AA8830">
        <v>0.97590619999999995</v>
      </c>
      <c r="AB8830">
        <v>14</v>
      </c>
      <c r="AC8830">
        <v>111.723799999999</v>
      </c>
      <c r="AD8830">
        <v>-0.9543161</v>
      </c>
      <c r="AE8830">
        <v>1.55332</v>
      </c>
      <c r="AF8830">
        <v>-24.3883577194343</v>
      </c>
      <c r="AG8830">
        <v>-0.9543161</v>
      </c>
      <c r="AH8830">
        <v>109.032137730386</v>
      </c>
      <c r="AI8830">
        <v>90.489382383849801</v>
      </c>
      <c r="AJ8830">
        <v>102.60840164155</v>
      </c>
      <c r="AK8830">
        <v>111.730522998542</v>
      </c>
      <c r="AL8830">
        <v>90.1682140614448</v>
      </c>
      <c r="AM8830">
        <v>92.092459337532006</v>
      </c>
      <c r="AN8830">
        <v>0.99999999906533199</v>
      </c>
    </row>
    <row r="8831" spans="1:40" x14ac:dyDescent="0.25">
      <c r="A8831" t="str">
        <f>"20190312154131551"</f>
        <v>20190312154131551</v>
      </c>
      <c r="B8831" t="str">
        <f>"1552376491544858"</f>
        <v>1552376491544858</v>
      </c>
      <c r="C8831" t="s">
        <v>40</v>
      </c>
      <c r="D8831">
        <v>4.0794449999999998</v>
      </c>
      <c r="E8831">
        <v>0.4289695</v>
      </c>
      <c r="F8831" t="s">
        <v>80</v>
      </c>
      <c r="G8831">
        <v>-157.3501</v>
      </c>
      <c r="H8831">
        <v>0.1001353</v>
      </c>
      <c r="I8831">
        <v>-58.940240000000003</v>
      </c>
      <c r="J8831">
        <v>-269.00900000000001</v>
      </c>
      <c r="K8831">
        <v>1.113038</v>
      </c>
      <c r="L8831">
        <v>-60.798279999999998</v>
      </c>
      <c r="M8831">
        <v>0.9794446</v>
      </c>
      <c r="N8831">
        <v>0</v>
      </c>
      <c r="O8831">
        <v>-0.20121539999999999</v>
      </c>
      <c r="P8831">
        <v>0.98613770000000001</v>
      </c>
      <c r="Q8831">
        <v>-1.6858209999999998E-2</v>
      </c>
      <c r="R8831">
        <v>-0.16507069999999999</v>
      </c>
      <c r="S8831">
        <v>3.0523069999999999</v>
      </c>
      <c r="T8831">
        <v>-2.7673719999999999E-2</v>
      </c>
      <c r="U8831">
        <v>5.0506589999999997E-2</v>
      </c>
      <c r="V8831">
        <v>-3.6733139999999997E-2</v>
      </c>
      <c r="W8831">
        <v>-2.9467170000000002E-3</v>
      </c>
      <c r="X8831">
        <v>0.99932069999999995</v>
      </c>
      <c r="Y8831">
        <v>-0.21739720000000001</v>
      </c>
      <c r="Z8831">
        <v>2.8010980000000001E-3</v>
      </c>
      <c r="AA8831">
        <v>0.97607920000000004</v>
      </c>
      <c r="AB8831">
        <v>14</v>
      </c>
      <c r="AC8831">
        <v>111.6589</v>
      </c>
      <c r="AD8831">
        <v>-1.0129026999999999</v>
      </c>
      <c r="AE8831">
        <v>1.8580399999999999</v>
      </c>
      <c r="AF8831">
        <v>-24.287776228125299</v>
      </c>
      <c r="AG8831">
        <v>-1.0129026999999999</v>
      </c>
      <c r="AH8831">
        <v>108.991809312303</v>
      </c>
      <c r="AI8831">
        <v>90.519709567741501</v>
      </c>
      <c r="AJ8831">
        <v>102.56255440998</v>
      </c>
      <c r="AK8831">
        <v>111.66976557312501</v>
      </c>
      <c r="AL8831">
        <v>90.168834702985194</v>
      </c>
      <c r="AM8831">
        <v>92.105136770301598</v>
      </c>
      <c r="AN8831">
        <v>0.99999993408191101</v>
      </c>
    </row>
    <row r="8832" spans="1:40" x14ac:dyDescent="0.25">
      <c r="A8832" t="str">
        <f>"20190312154131562"</f>
        <v>20190312154131562</v>
      </c>
      <c r="B8832" t="str">
        <f>"1552376491554617"</f>
        <v>1552376491554617</v>
      </c>
      <c r="C8832" t="s">
        <v>40</v>
      </c>
      <c r="D8832">
        <v>4.1061930000000002</v>
      </c>
      <c r="E8832">
        <v>0.42923879999999998</v>
      </c>
      <c r="F8832" t="s">
        <v>80</v>
      </c>
      <c r="G8832">
        <v>-157.3501</v>
      </c>
      <c r="H8832">
        <v>0.2199721</v>
      </c>
      <c r="I8832">
        <v>-58.496259999999999</v>
      </c>
      <c r="J8832">
        <v>-268.94229999999999</v>
      </c>
      <c r="K8832">
        <v>1.1130199999999999</v>
      </c>
      <c r="L8832">
        <v>-60.807650000000002</v>
      </c>
      <c r="M8832">
        <v>0.98016910000000002</v>
      </c>
      <c r="N8832">
        <v>0</v>
      </c>
      <c r="O8832">
        <v>-0.19765730000000001</v>
      </c>
      <c r="P8832">
        <v>0.98669989999999996</v>
      </c>
      <c r="Q8832">
        <v>-1.684627E-2</v>
      </c>
      <c r="R8832">
        <v>-0.1616783</v>
      </c>
      <c r="S8832">
        <v>3.0522770000000001</v>
      </c>
      <c r="T8832">
        <v>-2.4413109999999998E-2</v>
      </c>
      <c r="U8832">
        <v>6.2927250000000004E-2</v>
      </c>
      <c r="V8832">
        <v>-3.6541570000000002E-2</v>
      </c>
      <c r="W8832">
        <v>-2.9356740000000001E-3</v>
      </c>
      <c r="X8832">
        <v>0.99932779999999999</v>
      </c>
      <c r="Y8832">
        <v>-0.2178273</v>
      </c>
      <c r="Z8832">
        <v>2.4448429999999999E-3</v>
      </c>
      <c r="AA8832">
        <v>0.97598430000000003</v>
      </c>
      <c r="AB8832">
        <v>14</v>
      </c>
      <c r="AC8832">
        <v>111.59220000000001</v>
      </c>
      <c r="AD8832">
        <v>-0.89304790000000001</v>
      </c>
      <c r="AE8832">
        <v>2.3113899999999998</v>
      </c>
      <c r="AF8832">
        <v>-24.3234430628527</v>
      </c>
      <c r="AG8832">
        <v>-0.89304790000000001</v>
      </c>
      <c r="AH8832">
        <v>108.92629079423899</v>
      </c>
      <c r="AI8832">
        <v>90.458446792507203</v>
      </c>
      <c r="AJ8832">
        <v>102.587741767788</v>
      </c>
      <c r="AK8832">
        <v>111.61256310637501</v>
      </c>
      <c r="AL8832">
        <v>90.168201975495094</v>
      </c>
      <c r="AM8832">
        <v>92.094153034830597</v>
      </c>
      <c r="AN8832">
        <v>0.99999997818636899</v>
      </c>
    </row>
    <row r="8833" spans="1:40" x14ac:dyDescent="0.25">
      <c r="A8833" t="str">
        <f>"20190312154131573"</f>
        <v>20190312154131573</v>
      </c>
      <c r="B8833" t="str">
        <f>"1552376491565354"</f>
        <v>1552376491565354</v>
      </c>
      <c r="C8833" t="s">
        <v>40</v>
      </c>
      <c r="D8833">
        <v>4.1105799999999997</v>
      </c>
      <c r="E8833">
        <v>0.42986649999999998</v>
      </c>
      <c r="F8833" t="s">
        <v>80</v>
      </c>
      <c r="G8833">
        <v>-157.3501</v>
      </c>
      <c r="H8833">
        <v>0.2835879</v>
      </c>
      <c r="I8833">
        <v>-58.203029999999998</v>
      </c>
      <c r="J8833">
        <v>-268.87509999999997</v>
      </c>
      <c r="K8833">
        <v>1.1130059999999999</v>
      </c>
      <c r="L8833">
        <v>-60.816890000000001</v>
      </c>
      <c r="M8833">
        <v>0.98088370000000003</v>
      </c>
      <c r="N8833">
        <v>0</v>
      </c>
      <c r="O8833">
        <v>-0.19407940000000001</v>
      </c>
      <c r="P8833">
        <v>0.98724619999999996</v>
      </c>
      <c r="Q8833">
        <v>-1.674409E-2</v>
      </c>
      <c r="R8833">
        <v>-0.15831809999999999</v>
      </c>
      <c r="S8833">
        <v>3.0516969999999999</v>
      </c>
      <c r="T8833">
        <v>-2.2682910000000001E-2</v>
      </c>
      <c r="U8833">
        <v>7.1228029999999998E-2</v>
      </c>
      <c r="V8833">
        <v>-3.6298089999999998E-2</v>
      </c>
      <c r="W8833">
        <v>-2.8344020000000002E-3</v>
      </c>
      <c r="X8833">
        <v>0.99933700000000003</v>
      </c>
      <c r="Y8833">
        <v>-0.21692500000000001</v>
      </c>
      <c r="Z8833">
        <v>2.242459E-3</v>
      </c>
      <c r="AA8833">
        <v>0.97618570000000005</v>
      </c>
      <c r="AB8833">
        <v>14</v>
      </c>
      <c r="AC8833">
        <v>111.524999999999</v>
      </c>
      <c r="AD8833">
        <v>-0.82941809999999905</v>
      </c>
      <c r="AE8833">
        <v>2.6138599999999901</v>
      </c>
      <c r="AF8833">
        <v>-24.2096849579268</v>
      </c>
      <c r="AG8833">
        <v>-0.82941809999999905</v>
      </c>
      <c r="AH8833">
        <v>108.890648306665</v>
      </c>
      <c r="AI8833">
        <v>90.426010853307801</v>
      </c>
      <c r="AJ8833">
        <v>102.534705786147</v>
      </c>
      <c r="AK8833">
        <v>111.552543981715</v>
      </c>
      <c r="AL8833">
        <v>90.162399487483299</v>
      </c>
      <c r="AM8833">
        <v>92.080192657538404</v>
      </c>
      <c r="AN8833">
        <v>1.00000001237067</v>
      </c>
    </row>
    <row r="8834" spans="1:40" x14ac:dyDescent="0.25">
      <c r="A8834" t="str">
        <f>"20190312154131584"</f>
        <v>20190312154131584</v>
      </c>
      <c r="B8834" t="str">
        <f>"1552376491575113"</f>
        <v>1552376491575113</v>
      </c>
      <c r="C8834" t="s">
        <v>40</v>
      </c>
      <c r="D8834">
        <v>4.1481680000000001</v>
      </c>
      <c r="E8834">
        <v>0.4303572</v>
      </c>
      <c r="F8834" t="s">
        <v>80</v>
      </c>
      <c r="G8834">
        <v>-157.3501</v>
      </c>
      <c r="H8834">
        <v>0.2889814</v>
      </c>
      <c r="I8834">
        <v>-58.015459999999997</v>
      </c>
      <c r="J8834">
        <v>-268.81119999999999</v>
      </c>
      <c r="K8834">
        <v>1.1129929999999999</v>
      </c>
      <c r="L8834">
        <v>-60.825409999999998</v>
      </c>
      <c r="M8834">
        <v>0.98155159999999997</v>
      </c>
      <c r="N8834">
        <v>0</v>
      </c>
      <c r="O8834">
        <v>-0.19067300000000001</v>
      </c>
      <c r="P8834">
        <v>0.98769269999999998</v>
      </c>
      <c r="Q8834">
        <v>-1.656268E-2</v>
      </c>
      <c r="R8834">
        <v>-0.15552849999999999</v>
      </c>
      <c r="S8834">
        <v>3.0506289999999998</v>
      </c>
      <c r="T8834">
        <v>-2.2540689999999999E-2</v>
      </c>
      <c r="U8834">
        <v>7.6629639999999999E-2</v>
      </c>
      <c r="V8834">
        <v>-3.5654310000000002E-2</v>
      </c>
      <c r="W8834">
        <v>-2.6512620000000001E-3</v>
      </c>
      <c r="X8834">
        <v>0.99936069999999999</v>
      </c>
      <c r="Y8834">
        <v>-0.2152715</v>
      </c>
      <c r="Z8834">
        <v>2.1982479999999999E-3</v>
      </c>
      <c r="AA8834">
        <v>0.97655179999999997</v>
      </c>
      <c r="AB8834">
        <v>14</v>
      </c>
      <c r="AC8834">
        <v>111.4611</v>
      </c>
      <c r="AD8834">
        <v>-0.82401159999999996</v>
      </c>
      <c r="AE8834">
        <v>2.8099500000000002</v>
      </c>
      <c r="AF8834">
        <v>-24.011826334997199</v>
      </c>
      <c r="AG8834">
        <v>-0.82401159999999996</v>
      </c>
      <c r="AH8834">
        <v>108.87399574410099</v>
      </c>
      <c r="AI8834">
        <v>90.423458135839397</v>
      </c>
      <c r="AJ8834">
        <v>102.43730560437</v>
      </c>
      <c r="AK8834">
        <v>111.49346953228</v>
      </c>
      <c r="AL8834">
        <v>90.151906295803499</v>
      </c>
      <c r="AM8834">
        <v>92.0432816675591</v>
      </c>
      <c r="AN8834">
        <v>1.0000000338581201</v>
      </c>
    </row>
    <row r="8835" spans="1:40" x14ac:dyDescent="0.25">
      <c r="A8835" t="str">
        <f>"20190312154131595"</f>
        <v>20190312154131595</v>
      </c>
      <c r="B8835" t="str">
        <f>"1552376491584874"</f>
        <v>1552376491584874</v>
      </c>
      <c r="C8835" t="s">
        <v>40</v>
      </c>
      <c r="D8835">
        <v>4.1468920000000002</v>
      </c>
      <c r="E8835">
        <v>0.4303572</v>
      </c>
      <c r="F8835" t="s">
        <v>80</v>
      </c>
      <c r="G8835">
        <v>-157.3501</v>
      </c>
      <c r="H8835">
        <v>0.26481100000000002</v>
      </c>
      <c r="I8835">
        <v>-57.847520000000003</v>
      </c>
      <c r="J8835">
        <v>-268.7432</v>
      </c>
      <c r="K8835">
        <v>1.1129800000000001</v>
      </c>
      <c r="L8835">
        <v>-60.834290000000003</v>
      </c>
      <c r="M8835">
        <v>0.98224690000000003</v>
      </c>
      <c r="N8835">
        <v>0</v>
      </c>
      <c r="O8835">
        <v>-0.1870581</v>
      </c>
      <c r="P8835">
        <v>0.98816369999999998</v>
      </c>
      <c r="Q8835">
        <v>-1.6196929999999998E-2</v>
      </c>
      <c r="R8835">
        <v>-0.1525465</v>
      </c>
      <c r="S8835">
        <v>3.0498349999999999</v>
      </c>
      <c r="T8835">
        <v>-2.3208739999999999E-2</v>
      </c>
      <c r="U8835">
        <v>8.1481929999999994E-2</v>
      </c>
      <c r="V8835">
        <v>-3.49953E-2</v>
      </c>
      <c r="W8835">
        <v>-2.283972E-3</v>
      </c>
      <c r="X8835">
        <v>0.99938490000000002</v>
      </c>
      <c r="Y8835">
        <v>-0.21323429999999999</v>
      </c>
      <c r="Z8835">
        <v>2.2290830000000002E-3</v>
      </c>
      <c r="AA8835">
        <v>0.97699860000000005</v>
      </c>
      <c r="AB8835">
        <v>14</v>
      </c>
      <c r="AC8835">
        <v>111.3931</v>
      </c>
      <c r="AD8835">
        <v>-0.84816899999999895</v>
      </c>
      <c r="AE8835">
        <v>2.9867699999999999</v>
      </c>
      <c r="AF8835">
        <v>-23.771730945573601</v>
      </c>
      <c r="AG8835">
        <v>-0.84816899999999895</v>
      </c>
      <c r="AH8835">
        <v>108.861424178685</v>
      </c>
      <c r="AI8835">
        <v>90.436121454586498</v>
      </c>
      <c r="AJ8835">
        <v>102.318137574993</v>
      </c>
      <c r="AK8835">
        <v>111.429907372361</v>
      </c>
      <c r="AL8835">
        <v>90.130862065588701</v>
      </c>
      <c r="AM8835">
        <v>92.005497646581304</v>
      </c>
      <c r="AN8835">
        <v>1.0000000329490899</v>
      </c>
    </row>
    <row r="8836" spans="1:40" x14ac:dyDescent="0.25">
      <c r="A8836" t="str">
        <f>"20190312154131608"</f>
        <v>20190312154131608</v>
      </c>
      <c r="B8836" t="str">
        <f>"1552376491605369"</f>
        <v>1552376491605369</v>
      </c>
      <c r="C8836" t="s">
        <v>40</v>
      </c>
      <c r="D8836">
        <v>4.1903430000000004</v>
      </c>
      <c r="E8836">
        <v>0.43096570000000001</v>
      </c>
      <c r="F8836" t="s">
        <v>80</v>
      </c>
      <c r="G8836">
        <v>-157.3501</v>
      </c>
      <c r="H8836">
        <v>0.32273239999999997</v>
      </c>
      <c r="I8836">
        <v>-57.523519999999998</v>
      </c>
      <c r="J8836">
        <v>-268.67469999999997</v>
      </c>
      <c r="K8836">
        <v>1.112968</v>
      </c>
      <c r="L8836">
        <v>-60.8429</v>
      </c>
      <c r="M8836">
        <v>0.98293240000000004</v>
      </c>
      <c r="N8836">
        <v>0</v>
      </c>
      <c r="O8836">
        <v>-0.1834218</v>
      </c>
      <c r="P8836">
        <v>0.988591</v>
      </c>
      <c r="Q8836">
        <v>-1.5660980000000001E-2</v>
      </c>
      <c r="R8836">
        <v>-0.14980929999999901</v>
      </c>
      <c r="S8836">
        <v>3.0495610000000002</v>
      </c>
      <c r="T8836">
        <v>-2.1634819999999999E-2</v>
      </c>
      <c r="U8836">
        <v>9.0637209999999996E-2</v>
      </c>
      <c r="V8836">
        <v>-3.40694E-2</v>
      </c>
      <c r="W8836">
        <v>-1.745171E-3</v>
      </c>
      <c r="X8836">
        <v>0.99941800000000003</v>
      </c>
      <c r="Y8836">
        <v>-0.2125534</v>
      </c>
      <c r="Z8836">
        <v>2.0502099999999998E-3</v>
      </c>
      <c r="AA8836">
        <v>0.97714730000000005</v>
      </c>
      <c r="AB8836">
        <v>14</v>
      </c>
      <c r="AC8836">
        <v>111.32459999999899</v>
      </c>
      <c r="AD8836">
        <v>-0.79023559999999904</v>
      </c>
      <c r="AE8836">
        <v>3.3193800000000002</v>
      </c>
      <c r="AF8836">
        <v>-23.683264958148701</v>
      </c>
      <c r="AG8836">
        <v>-0.79023559999999904</v>
      </c>
      <c r="AH8836">
        <v>108.821132871183</v>
      </c>
      <c r="AI8836">
        <v>90.406545991382899</v>
      </c>
      <c r="AJ8836">
        <v>102.278094490993</v>
      </c>
      <c r="AK8836">
        <v>111.37127309476701</v>
      </c>
      <c r="AL8836">
        <v>90.099990978166801</v>
      </c>
      <c r="AM8836">
        <v>91.952413524974205</v>
      </c>
      <c r="AN8836">
        <v>1.0000000541810801</v>
      </c>
    </row>
    <row r="8837" spans="1:40" x14ac:dyDescent="0.25">
      <c r="A8837" t="str">
        <f>"20190312154131619"</f>
        <v>20190312154131619</v>
      </c>
      <c r="B8837" t="str">
        <f>"1552376491615129"</f>
        <v>1552376491615129</v>
      </c>
      <c r="C8837" t="s">
        <v>40</v>
      </c>
      <c r="D8837">
        <v>4.2097759999999997</v>
      </c>
      <c r="E8837">
        <v>0.43138840000000001</v>
      </c>
      <c r="F8837" t="s">
        <v>80</v>
      </c>
      <c r="G8837">
        <v>-157.3501</v>
      </c>
      <c r="H8837">
        <v>0.40808939999999999</v>
      </c>
      <c r="I8837">
        <v>-57.4015699999999</v>
      </c>
      <c r="J8837">
        <v>-268.60939999999999</v>
      </c>
      <c r="K8837">
        <v>1.1129579999999999</v>
      </c>
      <c r="L8837">
        <v>-60.850949999999997</v>
      </c>
      <c r="M8837">
        <v>0.98357459999999997</v>
      </c>
      <c r="N8837">
        <v>0</v>
      </c>
      <c r="O8837">
        <v>-0.179947</v>
      </c>
      <c r="P8837">
        <v>0.98897250000000003</v>
      </c>
      <c r="Q8837">
        <v>-1.53154E-2</v>
      </c>
      <c r="R8837">
        <v>-0.1473034</v>
      </c>
      <c r="S8837">
        <v>3.0485530000000001</v>
      </c>
      <c r="T8837">
        <v>-1.93032E-2</v>
      </c>
      <c r="U8837">
        <v>9.4238279999999994E-2</v>
      </c>
      <c r="V8837">
        <v>-3.3073859999999997E-2</v>
      </c>
      <c r="W8837">
        <v>-1.39616E-3</v>
      </c>
      <c r="X8837">
        <v>0.99945189999999995</v>
      </c>
      <c r="Y8837">
        <v>-0.2102646</v>
      </c>
      <c r="Z8837">
        <v>1.80087E-3</v>
      </c>
      <c r="AA8837">
        <v>0.97764280000000003</v>
      </c>
      <c r="AB8837">
        <v>14</v>
      </c>
      <c r="AC8837">
        <v>111.2593</v>
      </c>
      <c r="AD8837">
        <v>-0.70486859999999896</v>
      </c>
      <c r="AE8837">
        <v>3.4493800000000001</v>
      </c>
      <c r="AF8837">
        <v>-23.414903590157198</v>
      </c>
      <c r="AG8837">
        <v>-0.70486859999999896</v>
      </c>
      <c r="AH8837">
        <v>108.817639787929</v>
      </c>
      <c r="AI8837">
        <v>90.362825216347602</v>
      </c>
      <c r="AJ8837">
        <v>102.143497772258</v>
      </c>
      <c r="AK8837">
        <v>111.310526361594</v>
      </c>
      <c r="AL8837">
        <v>90.079994104317294</v>
      </c>
      <c r="AM8837">
        <v>91.895340157260406</v>
      </c>
      <c r="AN8837">
        <v>0.99999996494582599</v>
      </c>
    </row>
    <row r="8838" spans="1:40" x14ac:dyDescent="0.25">
      <c r="A8838" t="str">
        <f>"20190312154131629"</f>
        <v>20190312154131629</v>
      </c>
      <c r="B8838" t="str">
        <f>"1552376491624888"</f>
        <v>1552376491624888</v>
      </c>
      <c r="C8838" t="s">
        <v>40</v>
      </c>
      <c r="D8838">
        <v>4.2378589999999896</v>
      </c>
      <c r="E8838">
        <v>0.43138840000000001</v>
      </c>
      <c r="F8838" t="s">
        <v>80</v>
      </c>
      <c r="G8838">
        <v>-157.3501</v>
      </c>
      <c r="H8838">
        <v>0.54724450000000002</v>
      </c>
      <c r="I8838">
        <v>-57.253819999999997</v>
      </c>
      <c r="J8838">
        <v>-268.54180000000002</v>
      </c>
      <c r="K8838">
        <v>1.1129519999999999</v>
      </c>
      <c r="L8838">
        <v>-60.85895</v>
      </c>
      <c r="M8838">
        <v>0.98422379999999998</v>
      </c>
      <c r="N8838">
        <v>0</v>
      </c>
      <c r="O8838">
        <v>-0.17636260000000001</v>
      </c>
      <c r="P8838">
        <v>0.98933009999999999</v>
      </c>
      <c r="Q8838">
        <v>-1.4691859999999999E-2</v>
      </c>
      <c r="R8838">
        <v>-0.14494879999999999</v>
      </c>
      <c r="S8838">
        <v>3.047882</v>
      </c>
      <c r="T8838">
        <v>-1.549792E-2</v>
      </c>
      <c r="U8838">
        <v>9.8541260000000006E-2</v>
      </c>
      <c r="V8838">
        <v>-3.1818079999999999E-2</v>
      </c>
      <c r="W8838">
        <v>-7.676432E-4</v>
      </c>
      <c r="X8838">
        <v>0.99949339999999998</v>
      </c>
      <c r="Y8838">
        <v>-0.20809079999999999</v>
      </c>
      <c r="Z8838">
        <v>1.4226289999999999E-3</v>
      </c>
      <c r="AA8838">
        <v>0.97810850000000005</v>
      </c>
      <c r="AB8838">
        <v>14</v>
      </c>
      <c r="AC8838">
        <v>111.1917</v>
      </c>
      <c r="AD8838">
        <v>-0.56570749999999903</v>
      </c>
      <c r="AE8838">
        <v>3.6051299999999999</v>
      </c>
      <c r="AF8838">
        <v>-23.160026426392299</v>
      </c>
      <c r="AG8838">
        <v>-0.56570749999999903</v>
      </c>
      <c r="AH8838">
        <v>108.809761795569</v>
      </c>
      <c r="AI8838">
        <v>90.291354368015703</v>
      </c>
      <c r="AJ8838">
        <v>102.016018868987</v>
      </c>
      <c r="AK8838">
        <v>111.248690379057</v>
      </c>
      <c r="AL8838">
        <v>90.043982719056899</v>
      </c>
      <c r="AM8838">
        <v>91.823349945816105</v>
      </c>
      <c r="AN8838">
        <v>1.0000000180672599</v>
      </c>
    </row>
    <row r="8839" spans="1:40" x14ac:dyDescent="0.25">
      <c r="A8839" t="str">
        <f>"20190312154131641"</f>
        <v>20190312154131641</v>
      </c>
      <c r="B8839" t="str">
        <f>"1552376491634650"</f>
        <v>1552376491634650</v>
      </c>
      <c r="C8839" t="s">
        <v>40</v>
      </c>
      <c r="D8839">
        <v>4.2590370000000002</v>
      </c>
      <c r="E8839">
        <v>0.44318269999999998</v>
      </c>
      <c r="F8839" t="s">
        <v>80</v>
      </c>
      <c r="G8839">
        <v>-157.3501</v>
      </c>
      <c r="H8839">
        <v>0.63091370000000002</v>
      </c>
      <c r="I8839">
        <v>-57.00094</v>
      </c>
      <c r="J8839">
        <v>-268.47370000000001</v>
      </c>
      <c r="K8839">
        <v>1.1129500000000001</v>
      </c>
      <c r="L8839">
        <v>-60.866849999999999</v>
      </c>
      <c r="M8839">
        <v>0.98486479999999998</v>
      </c>
      <c r="N8839">
        <v>0</v>
      </c>
      <c r="O8839">
        <v>-0.17274819999999999</v>
      </c>
      <c r="P8839">
        <v>0.98973880000000003</v>
      </c>
      <c r="Q8839">
        <v>-1.4078800000000001E-2</v>
      </c>
      <c r="R8839">
        <v>-0.1421953</v>
      </c>
      <c r="S8839">
        <v>3.0476380000000001</v>
      </c>
      <c r="T8839">
        <v>-1.3212679999999999E-2</v>
      </c>
      <c r="U8839">
        <v>0.1057434</v>
      </c>
      <c r="V8839">
        <v>-3.093543E-2</v>
      </c>
      <c r="W8839">
        <v>-1.5229250000000001E-4</v>
      </c>
      <c r="X8839">
        <v>0.9995214</v>
      </c>
      <c r="Y8839">
        <v>-0.20681250000000001</v>
      </c>
      <c r="Z8839">
        <v>1.1946700000000001E-3</v>
      </c>
      <c r="AA8839">
        <v>0.97837980000000002</v>
      </c>
      <c r="AB8839">
        <v>14</v>
      </c>
      <c r="AC8839">
        <v>111.1236</v>
      </c>
      <c r="AD8839">
        <v>-0.48203629999999997</v>
      </c>
      <c r="AE8839">
        <v>3.86591</v>
      </c>
      <c r="AF8839">
        <v>-23.005661836471599</v>
      </c>
      <c r="AG8839">
        <v>-0.48203629999999997</v>
      </c>
      <c r="AH8839">
        <v>108.782694191978</v>
      </c>
      <c r="AI8839">
        <v>90.248392719509496</v>
      </c>
      <c r="AJ8839">
        <v>101.941121090807</v>
      </c>
      <c r="AK8839">
        <v>111.189780965672</v>
      </c>
      <c r="AL8839">
        <v>90.008725717303605</v>
      </c>
      <c r="AM8839">
        <v>91.772752380883205</v>
      </c>
      <c r="AN8839">
        <v>1.0000000265401201</v>
      </c>
    </row>
    <row r="8840" spans="1:40" x14ac:dyDescent="0.25">
      <c r="A8840" t="str">
        <f>"20190312154131652"</f>
        <v>20190312154131652</v>
      </c>
      <c r="B8840" t="str">
        <f>"1552376491645385"</f>
        <v>1552376491645385</v>
      </c>
      <c r="C8840" t="s">
        <v>40</v>
      </c>
      <c r="D8840">
        <v>4.2668999999999997</v>
      </c>
      <c r="E8840">
        <v>0.44368059999999998</v>
      </c>
      <c r="F8840" t="s">
        <v>99</v>
      </c>
      <c r="G8840">
        <v>-225.17410000000001</v>
      </c>
      <c r="H8840" s="1">
        <v>-1.3702619999999901E-6</v>
      </c>
      <c r="I8840">
        <v>-60.530110000000001</v>
      </c>
      <c r="J8840">
        <v>-268.4074</v>
      </c>
      <c r="K8840">
        <v>1.112946</v>
      </c>
      <c r="L8840">
        <v>-60.874270000000003</v>
      </c>
      <c r="M8840">
        <v>0.98547490000000004</v>
      </c>
      <c r="N8840">
        <v>0</v>
      </c>
      <c r="O8840">
        <v>-0.16923260000000001</v>
      </c>
      <c r="P8840">
        <v>0.99010540000000002</v>
      </c>
      <c r="Q8840">
        <v>-1.3446659999999999E-2</v>
      </c>
      <c r="R8840">
        <v>-0.13968029999999901</v>
      </c>
      <c r="S8840">
        <v>3.0333860000000001</v>
      </c>
      <c r="T8840">
        <v>-7.7968480000000007E-2</v>
      </c>
      <c r="U8840">
        <v>2.3590090000000001E-2</v>
      </c>
      <c r="V8840">
        <v>-2.9913550000000001E-2</v>
      </c>
      <c r="W8840">
        <v>4.8333799999999999E-4</v>
      </c>
      <c r="X8840">
        <v>0.99955240000000001</v>
      </c>
      <c r="Y8840">
        <v>-0.176794799999999</v>
      </c>
      <c r="Z8840">
        <v>6.6061310000000003E-3</v>
      </c>
      <c r="AA8840">
        <v>0.98422560000000003</v>
      </c>
      <c r="AB8840">
        <v>14</v>
      </c>
      <c r="AC8840">
        <v>43.2332999999999</v>
      </c>
      <c r="AD8840">
        <v>-1.1129473702619901</v>
      </c>
      <c r="AE8840">
        <v>0.34415999999999503</v>
      </c>
      <c r="AF8840">
        <v>-7.6513385895924602</v>
      </c>
      <c r="AG8840">
        <v>-1.1129473702619901</v>
      </c>
      <c r="AH8840">
        <v>42.523156624285498</v>
      </c>
      <c r="AI8840">
        <v>91.475559666726895</v>
      </c>
      <c r="AJ8840">
        <v>100.200280718805</v>
      </c>
      <c r="AK8840">
        <v>43.220371161699603</v>
      </c>
      <c r="AL8840">
        <v>89.972306772197101</v>
      </c>
      <c r="AM8840">
        <v>91.714176030329099</v>
      </c>
      <c r="AN8840">
        <v>1.00000002721749</v>
      </c>
    </row>
    <row r="8841" spans="1:40" x14ac:dyDescent="0.25">
      <c r="A8841" t="str">
        <f>"20190312154131662"</f>
        <v>20190312154131662</v>
      </c>
      <c r="B8841" t="str">
        <f>"1552376491655145"</f>
        <v>1552376491655145</v>
      </c>
      <c r="C8841" t="s">
        <v>40</v>
      </c>
      <c r="D8841">
        <v>4.2287480000000004</v>
      </c>
      <c r="E8841">
        <v>0.44354120000000002</v>
      </c>
      <c r="F8841" t="s">
        <v>99</v>
      </c>
      <c r="G8841">
        <v>-223.15110000000001</v>
      </c>
      <c r="H8841" s="1">
        <v>-4.8843300000000002E-7</v>
      </c>
      <c r="I8841">
        <v>-60.467149999999997</v>
      </c>
      <c r="J8841">
        <v>-268.34350000000001</v>
      </c>
      <c r="K8841">
        <v>1.112943</v>
      </c>
      <c r="L8841">
        <v>-60.881160000000001</v>
      </c>
      <c r="M8841">
        <v>0.98604999999999998</v>
      </c>
      <c r="N8841">
        <v>0</v>
      </c>
      <c r="O8841">
        <v>-0.16584879999999999</v>
      </c>
      <c r="P8841">
        <v>0.99042870000000005</v>
      </c>
      <c r="Q8841">
        <v>-1.2826590000000001E-2</v>
      </c>
      <c r="R8841">
        <v>-0.13742770000000001</v>
      </c>
      <c r="S8841">
        <v>3.0328369999999998</v>
      </c>
      <c r="T8841">
        <v>-7.4583769999999994E-2</v>
      </c>
      <c r="U8841">
        <v>2.7282710000000002E-2</v>
      </c>
      <c r="V8841">
        <v>-2.8761519999999999E-2</v>
      </c>
      <c r="W8841">
        <v>1.107518E-3</v>
      </c>
      <c r="X8841">
        <v>0.99958570000000002</v>
      </c>
      <c r="Y8841">
        <v>-0.174626799999999</v>
      </c>
      <c r="Z8841">
        <v>6.2116630000000001E-3</v>
      </c>
      <c r="AA8841">
        <v>0.98461509999999997</v>
      </c>
      <c r="AB8841">
        <v>14</v>
      </c>
      <c r="AC8841">
        <v>45.1923999999999</v>
      </c>
      <c r="AD8841">
        <v>-1.1129434884330001</v>
      </c>
      <c r="AE8841">
        <v>0.41400999999999699</v>
      </c>
      <c r="AF8841">
        <v>-7.8993382576215803</v>
      </c>
      <c r="AG8841">
        <v>-1.1129434884330001</v>
      </c>
      <c r="AH8841">
        <v>44.470775148815697</v>
      </c>
      <c r="AI8841">
        <v>91.411521611215306</v>
      </c>
      <c r="AJ8841">
        <v>100.072383228131</v>
      </c>
      <c r="AK8841">
        <v>45.180615649339003</v>
      </c>
      <c r="AL8841">
        <v>89.936543880631106</v>
      </c>
      <c r="AM8841">
        <v>91.648141984140494</v>
      </c>
      <c r="AN8841">
        <v>1.0000000116366601</v>
      </c>
    </row>
    <row r="8842" spans="1:40" x14ac:dyDescent="0.25">
      <c r="A8842" t="str">
        <f>"20190312154131674"</f>
        <v>20190312154131674</v>
      </c>
      <c r="B8842" t="str">
        <f>"1552376491664905"</f>
        <v>1552376491664905</v>
      </c>
      <c r="C8842" t="s">
        <v>40</v>
      </c>
      <c r="D8842">
        <v>4.2469700000000001</v>
      </c>
      <c r="E8842">
        <v>0.4438956</v>
      </c>
      <c r="F8842" t="s">
        <v>99</v>
      </c>
      <c r="G8842">
        <v>-220.2544</v>
      </c>
      <c r="H8842" s="1">
        <v>7.5947610000000001E-7</v>
      </c>
      <c r="I8842">
        <v>-60.323259999999998</v>
      </c>
      <c r="J8842">
        <v>-268.27620000000002</v>
      </c>
      <c r="K8842">
        <v>1.1129389999999999</v>
      </c>
      <c r="L8842">
        <v>-60.888240000000003</v>
      </c>
      <c r="M8842">
        <v>0.98664339999999995</v>
      </c>
      <c r="N8842">
        <v>0</v>
      </c>
      <c r="O8842">
        <v>-0.1622818</v>
      </c>
      <c r="P8842">
        <v>0.99076969999999998</v>
      </c>
      <c r="Q8842">
        <v>-1.1963669999999999E-2</v>
      </c>
      <c r="R8842">
        <v>-0.13502709999999901</v>
      </c>
      <c r="S8842">
        <v>3.032959</v>
      </c>
      <c r="T8842">
        <v>-7.0192690000000002E-2</v>
      </c>
      <c r="U8842">
        <v>3.5186769999999999E-2</v>
      </c>
      <c r="V8842">
        <v>-2.7576059999999999E-2</v>
      </c>
      <c r="W8842">
        <v>1.9744070000000001E-3</v>
      </c>
      <c r="X8842">
        <v>0.9996178</v>
      </c>
      <c r="Y8842">
        <v>-0.1736442</v>
      </c>
      <c r="Z8842">
        <v>5.7528479999999996E-3</v>
      </c>
      <c r="AA8842">
        <v>0.98479159999999999</v>
      </c>
      <c r="AB8842">
        <v>14</v>
      </c>
      <c r="AC8842">
        <v>48.021799999999999</v>
      </c>
      <c r="AD8842">
        <v>-1.1129382405238999</v>
      </c>
      <c r="AE8842">
        <v>0.56498000000000503</v>
      </c>
      <c r="AF8842">
        <v>-8.3468481023341798</v>
      </c>
      <c r="AG8842">
        <v>-1.1129382405238999</v>
      </c>
      <c r="AH8842">
        <v>47.268037144478001</v>
      </c>
      <c r="AI8842">
        <v>91.328252275016894</v>
      </c>
      <c r="AJ8842">
        <v>100.01436259141801</v>
      </c>
      <c r="AK8842">
        <v>48.012246773739001</v>
      </c>
      <c r="AL8842">
        <v>89.886874743079602</v>
      </c>
      <c r="AM8842">
        <v>91.580195184943193</v>
      </c>
      <c r="AN8842">
        <v>1.0000000417224799</v>
      </c>
    </row>
    <row r="8843" spans="1:40" x14ac:dyDescent="0.25">
      <c r="A8843" t="str">
        <f>"20190312154131685"</f>
        <v>20190312154131685</v>
      </c>
      <c r="B8843" t="str">
        <f>"1552376491674666"</f>
        <v>1552376491674666</v>
      </c>
      <c r="C8843" t="s">
        <v>40</v>
      </c>
      <c r="D8843">
        <v>4.2501049999999996</v>
      </c>
      <c r="E8843">
        <v>0.44414599999999999</v>
      </c>
      <c r="F8843" t="s">
        <v>100</v>
      </c>
      <c r="G8843">
        <v>-218.21809999999999</v>
      </c>
      <c r="H8843" s="1">
        <v>-2.5213989999999999E-6</v>
      </c>
      <c r="I8843">
        <v>-60.232300000000002</v>
      </c>
      <c r="J8843">
        <v>-268.21249999999998</v>
      </c>
      <c r="K8843">
        <v>1.11293</v>
      </c>
      <c r="L8843">
        <v>-60.894649999999999</v>
      </c>
      <c r="M8843">
        <v>0.98719140000000005</v>
      </c>
      <c r="N8843">
        <v>0</v>
      </c>
      <c r="O8843">
        <v>-0.15891469999999999</v>
      </c>
      <c r="P8843">
        <v>0.99106430000000001</v>
      </c>
      <c r="Q8843">
        <v>-1.126535E-2</v>
      </c>
      <c r="R8843">
        <v>-0.1329101</v>
      </c>
      <c r="S8843">
        <v>3.032562</v>
      </c>
      <c r="T8843">
        <v>-6.7422869999999996E-2</v>
      </c>
      <c r="U8843">
        <v>3.9733890000000001E-2</v>
      </c>
      <c r="V8843">
        <v>-2.630714E-2</v>
      </c>
      <c r="W8843">
        <v>2.6777400000000001E-3</v>
      </c>
      <c r="X8843">
        <v>0.99965029999999999</v>
      </c>
      <c r="Y8843">
        <v>-0.17177010000000001</v>
      </c>
      <c r="Z8843">
        <v>5.4316909999999998E-3</v>
      </c>
      <c r="AA8843">
        <v>0.9851221</v>
      </c>
      <c r="AB8843">
        <v>14</v>
      </c>
      <c r="AC8843">
        <v>49.994399999999899</v>
      </c>
      <c r="AD8843">
        <v>-1.112932521399</v>
      </c>
      <c r="AE8843">
        <v>0.662349999999996</v>
      </c>
      <c r="AF8843">
        <v>-8.5953093787785502</v>
      </c>
      <c r="AG8843">
        <v>-1.112932521399</v>
      </c>
      <c r="AH8843">
        <v>49.229300196700002</v>
      </c>
      <c r="AI8843">
        <v>91.275778676278307</v>
      </c>
      <c r="AJ8843">
        <v>99.903863903158495</v>
      </c>
      <c r="AK8843">
        <v>49.986417754935303</v>
      </c>
      <c r="AL8843">
        <v>89.846576612811006</v>
      </c>
      <c r="AM8843">
        <v>91.507467441533393</v>
      </c>
      <c r="AN8843">
        <v>0.99999997909828797</v>
      </c>
    </row>
    <row r="8844" spans="1:40" x14ac:dyDescent="0.25">
      <c r="A8844" t="str">
        <f>"20190312154131695"</f>
        <v>20190312154131695</v>
      </c>
      <c r="B8844" t="str">
        <f>"1552376491685401"</f>
        <v>1552376491685401</v>
      </c>
      <c r="C8844" t="s">
        <v>40</v>
      </c>
      <c r="D8844">
        <v>4.2309210000000004</v>
      </c>
      <c r="E8844">
        <v>0.44414569999999998</v>
      </c>
      <c r="F8844" t="s">
        <v>100</v>
      </c>
      <c r="G8844">
        <v>-215.58070000000001</v>
      </c>
      <c r="H8844" s="1">
        <v>-1.4087280000000001E-6</v>
      </c>
      <c r="I8844">
        <v>-60.126530000000002</v>
      </c>
      <c r="J8844">
        <v>-268.14929999999998</v>
      </c>
      <c r="K8844">
        <v>1.1129180000000001</v>
      </c>
      <c r="L8844">
        <v>-60.900910000000003</v>
      </c>
      <c r="M8844">
        <v>0.98772360000000003</v>
      </c>
      <c r="N8844">
        <v>0</v>
      </c>
      <c r="O8844">
        <v>-0.15557309999999999</v>
      </c>
      <c r="P8844">
        <v>0.99133099999999996</v>
      </c>
      <c r="Q8844">
        <v>-1.074575E-2</v>
      </c>
      <c r="R8844">
        <v>-0.1309478</v>
      </c>
      <c r="S8844">
        <v>3.032257</v>
      </c>
      <c r="T8844">
        <v>-6.411886E-2</v>
      </c>
      <c r="U8844">
        <v>4.4250490000000003E-2</v>
      </c>
      <c r="V8844">
        <v>-2.490709E-2</v>
      </c>
      <c r="W8844">
        <v>3.202735E-3</v>
      </c>
      <c r="X8844">
        <v>0.99968460000000003</v>
      </c>
      <c r="Y8844">
        <v>-0.16991339999999999</v>
      </c>
      <c r="Z8844">
        <v>5.0764879999999997E-3</v>
      </c>
      <c r="AA8844">
        <v>0.98544589999999999</v>
      </c>
      <c r="AB8844">
        <v>14</v>
      </c>
      <c r="AC8844">
        <v>52.568599999999897</v>
      </c>
      <c r="AD8844">
        <v>-1.1129194087279899</v>
      </c>
      <c r="AE8844">
        <v>0.77437999999999296</v>
      </c>
      <c r="AF8844">
        <v>-8.9400178183053107</v>
      </c>
      <c r="AG8844">
        <v>-1.1129194087279899</v>
      </c>
      <c r="AH8844">
        <v>51.784726866082003</v>
      </c>
      <c r="AI8844">
        <v>91.2132281346924</v>
      </c>
      <c r="AJ8844">
        <v>99.794888424650907</v>
      </c>
      <c r="AK8844">
        <v>52.562538416601001</v>
      </c>
      <c r="AL8844">
        <v>89.816496480556197</v>
      </c>
      <c r="AM8844">
        <v>91.427226106987206</v>
      </c>
      <c r="AN8844">
        <v>0.999999960060453</v>
      </c>
    </row>
    <row r="8845" spans="1:40" x14ac:dyDescent="0.25">
      <c r="A8845" t="str">
        <f>"20190312154131708"</f>
        <v>20190312154131708</v>
      </c>
      <c r="B8845" t="str">
        <f>"1552376491695161"</f>
        <v>1552376491695161</v>
      </c>
      <c r="C8845" t="s">
        <v>40</v>
      </c>
      <c r="D8845">
        <v>4.2306599999999897</v>
      </c>
      <c r="E8845">
        <v>0.4441504</v>
      </c>
      <c r="F8845" t="s">
        <v>100</v>
      </c>
      <c r="G8845">
        <v>-210.5659</v>
      </c>
      <c r="H8845" s="1">
        <v>7.111346E-7</v>
      </c>
      <c r="I8845">
        <v>-59.949249999999999</v>
      </c>
      <c r="J8845">
        <v>-268.08210000000003</v>
      </c>
      <c r="K8845">
        <v>1.1129009999999999</v>
      </c>
      <c r="L8845">
        <v>-60.907200000000003</v>
      </c>
      <c r="M8845">
        <v>0.98827399999999999</v>
      </c>
      <c r="N8845">
        <v>0</v>
      </c>
      <c r="O8845">
        <v>-0.15203829999999999</v>
      </c>
      <c r="P8845">
        <v>0.99160899999999996</v>
      </c>
      <c r="Q8845">
        <v>-1.0694779999999999E-2</v>
      </c>
      <c r="R8845">
        <v>-0.12883019999999901</v>
      </c>
      <c r="S8845">
        <v>3.032257</v>
      </c>
      <c r="T8845">
        <v>-5.8604599999999903E-2</v>
      </c>
      <c r="U8845">
        <v>5.0109859999999999E-2</v>
      </c>
      <c r="V8845">
        <v>-2.3466040000000001E-2</v>
      </c>
      <c r="W8845">
        <v>3.258525E-3</v>
      </c>
      <c r="X8845">
        <v>0.99971929999999998</v>
      </c>
      <c r="Y8845">
        <v>-0.16830419999999999</v>
      </c>
      <c r="Z8845">
        <v>4.5567510000000004E-3</v>
      </c>
      <c r="AA8845">
        <v>0.98572459999999995</v>
      </c>
      <c r="AB8845">
        <v>14</v>
      </c>
      <c r="AC8845">
        <v>57.516199999999998</v>
      </c>
      <c r="AD8845">
        <v>-1.1129002888653901</v>
      </c>
      <c r="AE8845">
        <v>0.95795000000000397</v>
      </c>
      <c r="AF8845">
        <v>-9.6887196687348194</v>
      </c>
      <c r="AG8845">
        <v>-1.1129002888653901</v>
      </c>
      <c r="AH8845">
        <v>56.680542849922801</v>
      </c>
      <c r="AI8845">
        <v>91.108758037108799</v>
      </c>
      <c r="AJ8845">
        <v>99.700134604302207</v>
      </c>
      <c r="AK8845">
        <v>57.513422551907098</v>
      </c>
      <c r="AL8845">
        <v>89.813299935166199</v>
      </c>
      <c r="AM8845">
        <v>91.344635649945502</v>
      </c>
      <c r="AN8845">
        <v>0.99999997590547296</v>
      </c>
    </row>
    <row r="8846" spans="1:40" x14ac:dyDescent="0.25">
      <c r="A8846" t="str">
        <f>"20190312154131719"</f>
        <v>20190312154131719</v>
      </c>
      <c r="B8846" t="str">
        <f>"1552376491704923"</f>
        <v>1552376491704923</v>
      </c>
      <c r="C8846" t="s">
        <v>40</v>
      </c>
      <c r="D8846">
        <v>4.246213</v>
      </c>
      <c r="E8846">
        <v>0.44438250000000001</v>
      </c>
      <c r="F8846" t="s">
        <v>69</v>
      </c>
      <c r="G8846">
        <v>-206.44749999999999</v>
      </c>
      <c r="H8846" s="1">
        <v>-2.395699E-6</v>
      </c>
      <c r="I8846">
        <v>-59.759590000000003</v>
      </c>
      <c r="J8846">
        <v>-268.0136</v>
      </c>
      <c r="K8846">
        <v>1.112879</v>
      </c>
      <c r="L8846">
        <v>-60.91348</v>
      </c>
      <c r="M8846">
        <v>0.98882040000000004</v>
      </c>
      <c r="N8846">
        <v>0</v>
      </c>
      <c r="O8846">
        <v>-0.14844360000000001</v>
      </c>
      <c r="P8846">
        <v>0.99193699999999996</v>
      </c>
      <c r="Q8846">
        <v>-1.0983150000000001E-2</v>
      </c>
      <c r="R8846">
        <v>-0.1262558</v>
      </c>
      <c r="S8846">
        <v>3.0321660000000001</v>
      </c>
      <c r="T8846">
        <v>-5.4750199999999902E-2</v>
      </c>
      <c r="U8846">
        <v>5.6457519999999997E-2</v>
      </c>
      <c r="V8846">
        <v>-2.2423499999999999E-2</v>
      </c>
      <c r="W8846">
        <v>2.971946E-3</v>
      </c>
      <c r="X8846">
        <v>0.99974410000000002</v>
      </c>
      <c r="Y8846">
        <v>-0.16679140000000001</v>
      </c>
      <c r="Z8846">
        <v>4.1792219999999998E-3</v>
      </c>
      <c r="AA8846">
        <v>0.98598339999999995</v>
      </c>
      <c r="AB8846">
        <v>14</v>
      </c>
      <c r="AC8846">
        <v>61.566099999999999</v>
      </c>
      <c r="AD8846">
        <v>-1.112881395699</v>
      </c>
      <c r="AE8846">
        <v>1.1538900000000001</v>
      </c>
      <c r="AF8846">
        <v>-10.2777479784049</v>
      </c>
      <c r="AG8846">
        <v>-1.112881395699</v>
      </c>
      <c r="AH8846">
        <v>60.6927362286416</v>
      </c>
      <c r="AI8846">
        <v>91.035733753203203</v>
      </c>
      <c r="AJ8846">
        <v>99.611324993445805</v>
      </c>
      <c r="AK8846">
        <v>61.566864784784698</v>
      </c>
      <c r="AL8846">
        <v>89.829719779041</v>
      </c>
      <c r="AM8846">
        <v>91.284885335335005</v>
      </c>
      <c r="AN8846">
        <v>0.99999995565004196</v>
      </c>
    </row>
    <row r="8847" spans="1:40" x14ac:dyDescent="0.25">
      <c r="A8847" t="str">
        <f>"20190312154131730"</f>
        <v>20190312154131730</v>
      </c>
      <c r="B8847" t="str">
        <f>"1552376491725417"</f>
        <v>1552376491725417</v>
      </c>
      <c r="C8847" t="s">
        <v>40</v>
      </c>
      <c r="D8847">
        <v>4.227633</v>
      </c>
      <c r="E8847">
        <v>0.44519720000000002</v>
      </c>
      <c r="F8847" t="s">
        <v>69</v>
      </c>
      <c r="G8847">
        <v>-205.69499999999999</v>
      </c>
      <c r="H8847" s="1">
        <v>-2.9086660000000001E-6</v>
      </c>
      <c r="I8847">
        <v>-59.629420000000003</v>
      </c>
      <c r="J8847">
        <v>-267.9486</v>
      </c>
      <c r="K8847">
        <v>1.112849</v>
      </c>
      <c r="L8847">
        <v>-60.919159999999998</v>
      </c>
      <c r="M8847">
        <v>0.9893227</v>
      </c>
      <c r="N8847">
        <v>0</v>
      </c>
      <c r="O8847">
        <v>-0.1450591</v>
      </c>
      <c r="P8847">
        <v>0.99225039999999998</v>
      </c>
      <c r="Q8847">
        <v>-1.1568719999999999E-2</v>
      </c>
      <c r="R8847">
        <v>-0.1237139</v>
      </c>
      <c r="S8847">
        <v>3.0317989999999999</v>
      </c>
      <c r="T8847">
        <v>-5.4141639999999998E-2</v>
      </c>
      <c r="U8847">
        <v>6.2469480000000001E-2</v>
      </c>
      <c r="V8847">
        <v>-2.155924E-2</v>
      </c>
      <c r="W8847">
        <v>2.3873470000000002E-3</v>
      </c>
      <c r="X8847">
        <v>0.99976469999999995</v>
      </c>
      <c r="Y8847">
        <v>-0.16537579999999999</v>
      </c>
      <c r="Z8847">
        <v>4.0606699999999997E-3</v>
      </c>
      <c r="AA8847">
        <v>0.9862223</v>
      </c>
      <c r="AB8847">
        <v>14</v>
      </c>
      <c r="AC8847">
        <v>62.253599999999999</v>
      </c>
      <c r="AD8847">
        <v>-1.112851908666</v>
      </c>
      <c r="AE8847">
        <v>1.2897400000000001</v>
      </c>
      <c r="AF8847">
        <v>-10.3041517359643</v>
      </c>
      <c r="AG8847">
        <v>-1.112851908666</v>
      </c>
      <c r="AH8847">
        <v>61.3882961705486</v>
      </c>
      <c r="AI8847">
        <v>91.024223625296102</v>
      </c>
      <c r="AJ8847">
        <v>99.528391676552403</v>
      </c>
      <c r="AK8847">
        <v>62.257022809409897</v>
      </c>
      <c r="AL8847">
        <v>89.863214959698695</v>
      </c>
      <c r="AM8847">
        <v>91.235352721036094</v>
      </c>
      <c r="AN8847">
        <v>0.99999997781058203</v>
      </c>
    </row>
    <row r="8848" spans="1:40" x14ac:dyDescent="0.25">
      <c r="A8848" t="str">
        <f>"20190312154131742"</f>
        <v>20190312154131742</v>
      </c>
      <c r="B8848" t="str">
        <f>"1552376491735177"</f>
        <v>1552376491735177</v>
      </c>
      <c r="C8848" t="s">
        <v>40</v>
      </c>
      <c r="D8848">
        <v>4.2098969999999998</v>
      </c>
      <c r="E8848">
        <v>0.44533909999999999</v>
      </c>
      <c r="F8848" t="s">
        <v>69</v>
      </c>
      <c r="G8848">
        <v>-204.76329999999999</v>
      </c>
      <c r="H8848" s="1">
        <v>-3.4513209999999998E-6</v>
      </c>
      <c r="I8848">
        <v>-59.5914</v>
      </c>
      <c r="J8848">
        <v>-267.88069999999999</v>
      </c>
      <c r="K8848">
        <v>1.1128089999999999</v>
      </c>
      <c r="L8848">
        <v>-60.924930000000003</v>
      </c>
      <c r="M8848">
        <v>0.98983370000000004</v>
      </c>
      <c r="N8848">
        <v>0</v>
      </c>
      <c r="O8848">
        <v>-0.14153160000000001</v>
      </c>
      <c r="P8848">
        <v>0.99255369999999998</v>
      </c>
      <c r="Q8848">
        <v>-1.2401560000000001E-2</v>
      </c>
      <c r="R8848">
        <v>-0.1211762</v>
      </c>
      <c r="S8848">
        <v>3.0308229999999998</v>
      </c>
      <c r="T8848">
        <v>-5.3380370000000003E-2</v>
      </c>
      <c r="U8848">
        <v>6.3690189999999994E-2</v>
      </c>
      <c r="V8848">
        <v>-2.0545270000000001E-2</v>
      </c>
      <c r="W8848">
        <v>1.554791E-3</v>
      </c>
      <c r="X8848">
        <v>0.99978769999999995</v>
      </c>
      <c r="Y8848">
        <v>-0.162265299999999</v>
      </c>
      <c r="Z8848">
        <v>3.9158049999999996E-3</v>
      </c>
      <c r="AA8848">
        <v>0.98673940000000004</v>
      </c>
      <c r="AB8848">
        <v>14</v>
      </c>
      <c r="AC8848">
        <v>63.117400000000004</v>
      </c>
      <c r="AD8848">
        <v>-1.112812451321</v>
      </c>
      <c r="AE8848">
        <v>1.3335300000000001</v>
      </c>
      <c r="AF8848">
        <v>-10.2509099828393</v>
      </c>
      <c r="AG8848">
        <v>-1.112812451321</v>
      </c>
      <c r="AH8848">
        <v>62.273812957445003</v>
      </c>
      <c r="AI8848">
        <v>91.010156156878494</v>
      </c>
      <c r="AJ8848">
        <v>99.347646404038798</v>
      </c>
      <c r="AK8848">
        <v>63.121686346983303</v>
      </c>
      <c r="AL8848">
        <v>89.910917000472807</v>
      </c>
      <c r="AM8848">
        <v>91.1772415307438</v>
      </c>
      <c r="AN8848">
        <v>0.99999998528285805</v>
      </c>
    </row>
    <row r="8849" spans="1:40" x14ac:dyDescent="0.25">
      <c r="A8849" t="str">
        <f>"20190312154131752"</f>
        <v>20190312154131752</v>
      </c>
      <c r="B8849" t="str">
        <f>"1552376491744937"</f>
        <v>1552376491744937</v>
      </c>
      <c r="C8849" t="s">
        <v>40</v>
      </c>
      <c r="D8849">
        <v>4.2319239999999896</v>
      </c>
      <c r="E8849">
        <v>0.4454747</v>
      </c>
      <c r="F8849" t="s">
        <v>69</v>
      </c>
      <c r="G8849">
        <v>-205.786</v>
      </c>
      <c r="H8849" s="1">
        <v>-2.8890900000000002E-6</v>
      </c>
      <c r="I8849">
        <v>-59.485419999999998</v>
      </c>
      <c r="J8849">
        <v>-267.81470000000002</v>
      </c>
      <c r="K8849">
        <v>1.1127689999999999</v>
      </c>
      <c r="L8849">
        <v>-60.930300000000003</v>
      </c>
      <c r="M8849">
        <v>0.99031369999999996</v>
      </c>
      <c r="N8849">
        <v>0</v>
      </c>
      <c r="O8849">
        <v>-0.13813320000000001</v>
      </c>
      <c r="P8849">
        <v>0.99285840000000003</v>
      </c>
      <c r="Q8849">
        <v>-1.3012630000000001E-2</v>
      </c>
      <c r="R8849">
        <v>-0.1185869</v>
      </c>
      <c r="S8849">
        <v>3.0303960000000001</v>
      </c>
      <c r="T8849">
        <v>-5.4308410000000001E-2</v>
      </c>
      <c r="U8849">
        <v>7.0251460000000002E-2</v>
      </c>
      <c r="V8849">
        <v>-1.9716230000000001E-2</v>
      </c>
      <c r="W8849">
        <v>9.4205540000000005E-4</v>
      </c>
      <c r="X8849">
        <v>0.99980519999999995</v>
      </c>
      <c r="Y8849">
        <v>-0.16101560000000001</v>
      </c>
      <c r="Z8849">
        <v>3.9127500000000004E-3</v>
      </c>
      <c r="AA8849">
        <v>0.98694409999999999</v>
      </c>
      <c r="AB8849">
        <v>14</v>
      </c>
      <c r="AC8849">
        <v>62.028700000000001</v>
      </c>
      <c r="AD8849">
        <v>-1.11277188909</v>
      </c>
      <c r="AE8849">
        <v>1.4448799999999999</v>
      </c>
      <c r="AF8849">
        <v>-9.99688175886204</v>
      </c>
      <c r="AG8849">
        <v>-1.11277188909</v>
      </c>
      <c r="AH8849">
        <v>61.214657793855601</v>
      </c>
      <c r="AI8849">
        <v>91.027806571971894</v>
      </c>
      <c r="AJ8849">
        <v>99.275019458465195</v>
      </c>
      <c r="AK8849">
        <v>62.035556215743398</v>
      </c>
      <c r="AL8849">
        <v>89.946024195016903</v>
      </c>
      <c r="AM8849">
        <v>91.129730438456306</v>
      </c>
      <c r="AN8849">
        <v>1.00000002757041</v>
      </c>
    </row>
    <row r="8850" spans="1:40" x14ac:dyDescent="0.25">
      <c r="A8850" t="str">
        <f>"20190312154131764"</f>
        <v>20190312154131764</v>
      </c>
      <c r="B8850" t="str">
        <f>"1552376491754698"</f>
        <v>1552376491754698</v>
      </c>
      <c r="C8850" t="s">
        <v>40</v>
      </c>
      <c r="D8850">
        <v>4.2635540000000001</v>
      </c>
      <c r="E8850">
        <v>0.44579229999999997</v>
      </c>
      <c r="F8850" t="s">
        <v>69</v>
      </c>
      <c r="G8850">
        <v>-207.31059999999999</v>
      </c>
      <c r="H8850" s="1">
        <v>-1.944961E-6</v>
      </c>
      <c r="I8850">
        <v>-59.391640000000002</v>
      </c>
      <c r="J8850">
        <v>-267.74959999999999</v>
      </c>
      <c r="K8850">
        <v>1.112724</v>
      </c>
      <c r="L8850">
        <v>-60.935419999999901</v>
      </c>
      <c r="M8850">
        <v>0.99077190000000004</v>
      </c>
      <c r="N8850">
        <v>0</v>
      </c>
      <c r="O8850">
        <v>-0.13480919999999999</v>
      </c>
      <c r="P8850">
        <v>0.99315629999999999</v>
      </c>
      <c r="Q8850">
        <v>-1.352509E-2</v>
      </c>
      <c r="R8850">
        <v>-0.1160088</v>
      </c>
      <c r="S8850">
        <v>3.0300600000000002</v>
      </c>
      <c r="T8850">
        <v>-5.5727840000000001E-2</v>
      </c>
      <c r="U8850">
        <v>7.7056879999999994E-2</v>
      </c>
      <c r="V8850">
        <v>-1.895297E-2</v>
      </c>
      <c r="W8850">
        <v>4.2754810000000001E-4</v>
      </c>
      <c r="X8850">
        <v>0.9998203</v>
      </c>
      <c r="Y8850">
        <v>-0.1599197</v>
      </c>
      <c r="Z8850">
        <v>3.9446109999999998E-3</v>
      </c>
      <c r="AA8850">
        <v>0.98712219999999995</v>
      </c>
      <c r="AB8850">
        <v>14</v>
      </c>
      <c r="AC8850">
        <v>60.438999999999901</v>
      </c>
      <c r="AD8850">
        <v>-1.1127259449609901</v>
      </c>
      <c r="AE8850">
        <v>1.5437799999999899</v>
      </c>
      <c r="AF8850">
        <v>-9.6749457277544</v>
      </c>
      <c r="AG8850">
        <v>-1.1127259449609901</v>
      </c>
      <c r="AH8850">
        <v>59.658832895451603</v>
      </c>
      <c r="AI8850">
        <v>91.054751062164797</v>
      </c>
      <c r="AJ8850">
        <v>99.211532230837193</v>
      </c>
      <c r="AK8850">
        <v>60.448482828860101</v>
      </c>
      <c r="AL8850">
        <v>89.975503297954205</v>
      </c>
      <c r="AM8850">
        <v>91.085990297089296</v>
      </c>
      <c r="AN8850">
        <v>1.0000000150806401</v>
      </c>
    </row>
    <row r="8851" spans="1:40" x14ac:dyDescent="0.25">
      <c r="A8851" t="str">
        <f>"20190312154131774"</f>
        <v>20190312154131774</v>
      </c>
      <c r="B8851" t="str">
        <f>"1552376491765433"</f>
        <v>1552376491765433</v>
      </c>
      <c r="C8851" t="s">
        <v>40</v>
      </c>
      <c r="D8851">
        <v>4.2190989999999999</v>
      </c>
      <c r="E8851">
        <v>0.44579229999999997</v>
      </c>
      <c r="F8851" t="s">
        <v>69</v>
      </c>
      <c r="G8851">
        <v>-208.35599999999999</v>
      </c>
      <c r="H8851" s="1">
        <v>-1.29957E-6</v>
      </c>
      <c r="I8851">
        <v>-59.320030000000003</v>
      </c>
      <c r="J8851">
        <v>-267.68689999999998</v>
      </c>
      <c r="K8851">
        <v>1.112676</v>
      </c>
      <c r="L8851">
        <v>-60.940190000000001</v>
      </c>
      <c r="M8851">
        <v>0.99119939999999995</v>
      </c>
      <c r="N8851">
        <v>0</v>
      </c>
      <c r="O8851">
        <v>-0.13162939999999901</v>
      </c>
      <c r="P8851">
        <v>0.9934267</v>
      </c>
      <c r="Q8851">
        <v>-1.422412E-2</v>
      </c>
      <c r="R8851">
        <v>-0.1135845</v>
      </c>
      <c r="S8851">
        <v>3.0295100000000001</v>
      </c>
      <c r="T8851">
        <v>-5.6757210000000002E-2</v>
      </c>
      <c r="U8851">
        <v>8.2397460000000006E-2</v>
      </c>
      <c r="V8851">
        <v>-1.8180149999999999E-2</v>
      </c>
      <c r="W8851">
        <v>-2.7409219999999999E-4</v>
      </c>
      <c r="X8851">
        <v>0.99983469999999997</v>
      </c>
      <c r="Y8851">
        <v>-0.15849449999999901</v>
      </c>
      <c r="Z8851">
        <v>3.9456099999999996E-3</v>
      </c>
      <c r="AA8851">
        <v>0.98735200000000001</v>
      </c>
      <c r="AB8851">
        <v>13</v>
      </c>
      <c r="AC8851">
        <v>59.3308999999999</v>
      </c>
      <c r="AD8851">
        <v>-1.1126772995700001</v>
      </c>
      <c r="AE8851">
        <v>1.6201599999999901</v>
      </c>
      <c r="AF8851">
        <v>-9.4132138901395308</v>
      </c>
      <c r="AG8851">
        <v>-1.1126772995700001</v>
      </c>
      <c r="AH8851">
        <v>58.580689827309499</v>
      </c>
      <c r="AI8851">
        <v>91.074362297523905</v>
      </c>
      <c r="AJ8851">
        <v>99.128708339466598</v>
      </c>
      <c r="AK8851">
        <v>59.342597408252502</v>
      </c>
      <c r="AL8851">
        <v>90.015704326294596</v>
      </c>
      <c r="AM8851">
        <v>91.041703283434003</v>
      </c>
      <c r="AN8851">
        <v>1.0000000101523201</v>
      </c>
    </row>
    <row r="8852" spans="1:40" x14ac:dyDescent="0.25">
      <c r="A8852" t="str">
        <f>"20190312154131785"</f>
        <v>20190312154131785</v>
      </c>
      <c r="B8852" t="str">
        <f>"1552376491775194"</f>
        <v>1552376491775194</v>
      </c>
      <c r="C8852" t="s">
        <v>40</v>
      </c>
      <c r="D8852">
        <v>4.2865440000000001</v>
      </c>
      <c r="E8852">
        <v>0.446494</v>
      </c>
      <c r="F8852" t="s">
        <v>100</v>
      </c>
      <c r="G8852">
        <v>-210.36259999999999</v>
      </c>
      <c r="H8852" s="1">
        <v>5.9981680000000002E-7</v>
      </c>
      <c r="I8852">
        <v>-59.241140000000001</v>
      </c>
      <c r="J8852">
        <v>-267.61869999999999</v>
      </c>
      <c r="K8852">
        <v>1.1126199999999999</v>
      </c>
      <c r="L8852">
        <v>-60.945160000000001</v>
      </c>
      <c r="M8852">
        <v>0.991645</v>
      </c>
      <c r="N8852">
        <v>0</v>
      </c>
      <c r="O8852">
        <v>-0.12822990000000001</v>
      </c>
      <c r="P8852">
        <v>0.99372039999999995</v>
      </c>
      <c r="Q8852">
        <v>-1.4267470000000001E-2</v>
      </c>
      <c r="R8852">
        <v>-0.1109783</v>
      </c>
      <c r="S8852">
        <v>3.0292970000000001</v>
      </c>
      <c r="T8852">
        <v>-5.8799270000000001E-2</v>
      </c>
      <c r="U8852">
        <v>8.9782710000000002E-2</v>
      </c>
      <c r="V8852">
        <v>-1.7373469999999998E-2</v>
      </c>
      <c r="W8852">
        <v>-3.218955E-4</v>
      </c>
      <c r="X8852">
        <v>0.99984899999999999</v>
      </c>
      <c r="Y8852">
        <v>-0.15751309999999999</v>
      </c>
      <c r="Z8852">
        <v>4.012659E-3</v>
      </c>
      <c r="AA8852">
        <v>0.98750879999999996</v>
      </c>
      <c r="AB8852">
        <v>13</v>
      </c>
      <c r="AC8852">
        <v>57.256100000000004</v>
      </c>
      <c r="AD8852">
        <v>-1.1126194001831999</v>
      </c>
      <c r="AE8852">
        <v>1.7040199999999901</v>
      </c>
      <c r="AF8852">
        <v>-9.0292113898107598</v>
      </c>
      <c r="AG8852">
        <v>-1.1126194001831999</v>
      </c>
      <c r="AH8852">
        <v>56.543466197421097</v>
      </c>
      <c r="AI8852">
        <v>91.1131774963265</v>
      </c>
      <c r="AJ8852">
        <v>99.072745567949497</v>
      </c>
      <c r="AK8852">
        <v>57.270656970829798</v>
      </c>
      <c r="AL8852">
        <v>90.018443254245796</v>
      </c>
      <c r="AM8852">
        <v>90.995476659028597</v>
      </c>
      <c r="AN8852">
        <v>0.99999998193877604</v>
      </c>
    </row>
    <row r="8853" spans="1:40" x14ac:dyDescent="0.25">
      <c r="A8853" t="str">
        <f>"20190312154131796"</f>
        <v>20190312154131796</v>
      </c>
      <c r="B8853" t="str">
        <f>"1552376491784955"</f>
        <v>1552376491784955</v>
      </c>
      <c r="C8853" t="s">
        <v>40</v>
      </c>
      <c r="D8853">
        <v>4.2448499999999996</v>
      </c>
      <c r="E8853">
        <v>0.44678479999999998</v>
      </c>
      <c r="F8853" t="s">
        <v>100</v>
      </c>
      <c r="G8853">
        <v>-215.93629999999999</v>
      </c>
      <c r="H8853" s="1">
        <v>-1.695942E-6</v>
      </c>
      <c r="I8853">
        <v>-59.367539999999998</v>
      </c>
      <c r="J8853">
        <v>-267.55650000000003</v>
      </c>
      <c r="K8853">
        <v>1.1125670000000001</v>
      </c>
      <c r="L8853">
        <v>-60.949620000000003</v>
      </c>
      <c r="M8853">
        <v>0.99203909999999995</v>
      </c>
      <c r="N8853">
        <v>0</v>
      </c>
      <c r="O8853">
        <v>-0.12514529999999999</v>
      </c>
      <c r="P8853">
        <v>0.99398759999999997</v>
      </c>
      <c r="Q8853">
        <v>-1.3573709999999999E-2</v>
      </c>
      <c r="R8853">
        <v>-0.1086486</v>
      </c>
      <c r="S8853">
        <v>3.0283509999999998</v>
      </c>
      <c r="T8853">
        <v>-6.519461E-2</v>
      </c>
      <c r="U8853">
        <v>9.2437740000000004E-2</v>
      </c>
      <c r="V8853">
        <v>-1.6613019999999999E-2</v>
      </c>
      <c r="W8853">
        <v>3.6746659999999998E-4</v>
      </c>
      <c r="X8853">
        <v>0.99986200000000003</v>
      </c>
      <c r="Y8853">
        <v>-0.15530459999999999</v>
      </c>
      <c r="Z8853">
        <v>4.3605600000000003E-3</v>
      </c>
      <c r="AA8853">
        <v>0.98785699999999999</v>
      </c>
      <c r="AB8853">
        <v>13</v>
      </c>
      <c r="AC8853">
        <v>51.620199999999997</v>
      </c>
      <c r="AD8853">
        <v>-1.112568695942</v>
      </c>
      <c r="AE8853">
        <v>1.5820799999999899</v>
      </c>
      <c r="AF8853">
        <v>-8.0265768798310297</v>
      </c>
      <c r="AG8853">
        <v>-1.112568695942</v>
      </c>
      <c r="AH8853">
        <v>50.992628809153302</v>
      </c>
      <c r="AI8853">
        <v>91.234696401468796</v>
      </c>
      <c r="AJ8853">
        <v>98.945337298338998</v>
      </c>
      <c r="AK8853">
        <v>51.632469807080902</v>
      </c>
      <c r="AL8853">
        <v>89.978945715776405</v>
      </c>
      <c r="AM8853">
        <v>90.951899715114394</v>
      </c>
      <c r="AN8853">
        <v>1.0000000732545999</v>
      </c>
    </row>
    <row r="8854" spans="1:40" x14ac:dyDescent="0.25">
      <c r="A8854" t="str">
        <f>"20190312154131809"</f>
        <v>20190312154131809</v>
      </c>
      <c r="B8854" t="str">
        <f>"1552376491805450"</f>
        <v>1552376491805450</v>
      </c>
      <c r="C8854" t="s">
        <v>40</v>
      </c>
      <c r="D8854">
        <v>4.2551119999999996</v>
      </c>
      <c r="E8854">
        <v>0.44742920000000003</v>
      </c>
      <c r="F8854" t="s">
        <v>100</v>
      </c>
      <c r="G8854">
        <v>-214.5788</v>
      </c>
      <c r="H8854" s="1">
        <v>-1.1348140000000001E-6</v>
      </c>
      <c r="I8854">
        <v>-59.24785</v>
      </c>
      <c r="J8854">
        <v>-267.48689999999999</v>
      </c>
      <c r="K8854">
        <v>1.1125020000000001</v>
      </c>
      <c r="L8854">
        <v>-60.954320000000003</v>
      </c>
      <c r="M8854">
        <v>0.99245660000000002</v>
      </c>
      <c r="N8854">
        <v>0</v>
      </c>
      <c r="O8854">
        <v>-0.1217925</v>
      </c>
      <c r="P8854">
        <v>0.99428519999999998</v>
      </c>
      <c r="Q8854">
        <v>-1.284734E-2</v>
      </c>
      <c r="R8854">
        <v>-0.1059817</v>
      </c>
      <c r="S8854">
        <v>3.0278930000000002</v>
      </c>
      <c r="T8854">
        <v>-6.3587900000000003E-2</v>
      </c>
      <c r="U8854">
        <v>9.7259520000000002E-2</v>
      </c>
      <c r="V8854">
        <v>-1.5921689999999999E-2</v>
      </c>
      <c r="W8854">
        <v>1.086537E-3</v>
      </c>
      <c r="X8854">
        <v>0.9998726</v>
      </c>
      <c r="Y8854">
        <v>-0.15354670000000001</v>
      </c>
      <c r="Z8854">
        <v>4.1652140000000004E-3</v>
      </c>
      <c r="AA8854">
        <v>0.98813260000000003</v>
      </c>
      <c r="AB8854">
        <v>13</v>
      </c>
      <c r="AC8854">
        <v>52.908099999999898</v>
      </c>
      <c r="AD8854">
        <v>-1.112503134814</v>
      </c>
      <c r="AE8854">
        <v>1.7064699999999899</v>
      </c>
      <c r="AF8854">
        <v>-8.1346138498214593</v>
      </c>
      <c r="AG8854">
        <v>-1.112503134814</v>
      </c>
      <c r="AH8854">
        <v>52.283204334843496</v>
      </c>
      <c r="AI8854">
        <v>91.204491458769098</v>
      </c>
      <c r="AJ8854">
        <v>98.843602442441494</v>
      </c>
      <c r="AK8854">
        <v>52.9239365621047</v>
      </c>
      <c r="AL8854">
        <v>89.937746000160104</v>
      </c>
      <c r="AM8854">
        <v>90.912284772057902</v>
      </c>
      <c r="AN8854">
        <v>0.99999994850293294</v>
      </c>
    </row>
    <row r="8855" spans="1:40" x14ac:dyDescent="0.25">
      <c r="A8855" t="str">
        <f>"20190312154131820"</f>
        <v>20190312154131820</v>
      </c>
      <c r="B8855" t="str">
        <f>"1552376491815209"</f>
        <v>1552376491815209</v>
      </c>
      <c r="C8855" t="s">
        <v>40</v>
      </c>
      <c r="D8855">
        <v>4.2368050000000004</v>
      </c>
      <c r="E8855">
        <v>0.44779439999999998</v>
      </c>
      <c r="F8855" t="s">
        <v>100</v>
      </c>
      <c r="G8855">
        <v>-214.3819</v>
      </c>
      <c r="H8855" s="1">
        <v>-1.06E-6</v>
      </c>
      <c r="I8855">
        <v>-59.193399999999997</v>
      </c>
      <c r="J8855">
        <v>-267.42059999999998</v>
      </c>
      <c r="K8855">
        <v>1.1124309999999999</v>
      </c>
      <c r="L8855">
        <v>-60.958710000000004</v>
      </c>
      <c r="M8855">
        <v>0.99284030000000001</v>
      </c>
      <c r="N8855">
        <v>0</v>
      </c>
      <c r="O8855">
        <v>-0.11862640000000001</v>
      </c>
      <c r="P8855">
        <v>0.99453429999999998</v>
      </c>
      <c r="Q8855">
        <v>-1.187386E-2</v>
      </c>
      <c r="R8855">
        <v>-0.1037347</v>
      </c>
      <c r="S8855">
        <v>3.0270999999999999</v>
      </c>
      <c r="T8855">
        <v>-6.3415050000000001E-2</v>
      </c>
      <c r="U8855">
        <v>0.1003723</v>
      </c>
      <c r="V8855">
        <v>-1.499814E-2</v>
      </c>
      <c r="W8855">
        <v>2.0535610000000002E-3</v>
      </c>
      <c r="X8855">
        <v>0.99988540000000004</v>
      </c>
      <c r="Y8855">
        <v>-0.15141930000000001</v>
      </c>
      <c r="Z8855">
        <v>4.066666E-3</v>
      </c>
      <c r="AA8855">
        <v>0.98846129999999999</v>
      </c>
      <c r="AB8855">
        <v>13</v>
      </c>
      <c r="AC8855">
        <v>53.038699999999899</v>
      </c>
      <c r="AD8855">
        <v>-1.1124320599999999</v>
      </c>
      <c r="AE8855">
        <v>1.7653099999999899</v>
      </c>
      <c r="AF8855">
        <v>-8.0417153910630805</v>
      </c>
      <c r="AG8855">
        <v>-1.1124320599999999</v>
      </c>
      <c r="AH8855">
        <v>52.431645509934199</v>
      </c>
      <c r="AI8855">
        <v>91.201406502255296</v>
      </c>
      <c r="AJ8855">
        <v>98.719801991546802</v>
      </c>
      <c r="AK8855">
        <v>53.056424138820198</v>
      </c>
      <c r="AL8855">
        <v>89.882339537526093</v>
      </c>
      <c r="AM8855">
        <v>90.859364165831295</v>
      </c>
      <c r="AN8855">
        <v>0.99999998722469996</v>
      </c>
    </row>
    <row r="8856" spans="1:40" x14ac:dyDescent="0.25">
      <c r="A8856" t="str">
        <f>"20190312154131830"</f>
        <v>20190312154131830</v>
      </c>
      <c r="B8856" t="str">
        <f>"1552376491824971"</f>
        <v>1552376491824971</v>
      </c>
      <c r="C8856" t="s">
        <v>40</v>
      </c>
      <c r="D8856">
        <v>4.2615220000000003</v>
      </c>
      <c r="E8856">
        <v>0.4481889</v>
      </c>
      <c r="F8856" t="s">
        <v>100</v>
      </c>
      <c r="G8856">
        <v>-212.3835</v>
      </c>
      <c r="H8856" s="1">
        <v>-2.2618740000000001E-7</v>
      </c>
      <c r="I8856">
        <v>-59.060749999999999</v>
      </c>
      <c r="J8856">
        <v>-267.35390000000001</v>
      </c>
      <c r="K8856">
        <v>1.1123510000000001</v>
      </c>
      <c r="L8856">
        <v>-60.962949999999999</v>
      </c>
      <c r="M8856">
        <v>0.993205</v>
      </c>
      <c r="N8856">
        <v>0</v>
      </c>
      <c r="O8856">
        <v>-0.11553380000000001</v>
      </c>
      <c r="P8856">
        <v>0.99478540000000004</v>
      </c>
      <c r="Q8856">
        <v>-1.120171E-2</v>
      </c>
      <c r="R8856">
        <v>-0.1013752</v>
      </c>
      <c r="S8856">
        <v>3.0266419999999998</v>
      </c>
      <c r="T8856">
        <v>-6.117558E-2</v>
      </c>
      <c r="U8856">
        <v>0.10437009999999999</v>
      </c>
      <c r="V8856">
        <v>-1.426006E-2</v>
      </c>
      <c r="W8856">
        <v>2.7158859999999998E-3</v>
      </c>
      <c r="X8856">
        <v>0.99989459999999997</v>
      </c>
      <c r="Y8856">
        <v>-0.14965490000000001</v>
      </c>
      <c r="Z8856">
        <v>3.8435840000000001E-3</v>
      </c>
      <c r="AA8856">
        <v>0.98873080000000002</v>
      </c>
      <c r="AB8856">
        <v>13</v>
      </c>
      <c r="AC8856">
        <v>54.970399999999998</v>
      </c>
      <c r="AD8856">
        <v>-1.1123512261874</v>
      </c>
      <c r="AE8856">
        <v>1.9021999999999999</v>
      </c>
      <c r="AF8856">
        <v>-8.2376513904421707</v>
      </c>
      <c r="AG8856">
        <v>-1.1123512261874</v>
      </c>
      <c r="AH8856">
        <v>54.360198743015196</v>
      </c>
      <c r="AI8856">
        <v>91.159028582607803</v>
      </c>
      <c r="AJ8856">
        <v>98.616943989181607</v>
      </c>
      <c r="AK8856">
        <v>54.992067001168103</v>
      </c>
      <c r="AL8856">
        <v>89.844390998320705</v>
      </c>
      <c r="AM8856">
        <v>90.817071986481295</v>
      </c>
      <c r="AN8856">
        <v>0.99999996822856296</v>
      </c>
    </row>
    <row r="8857" spans="1:40" x14ac:dyDescent="0.25">
      <c r="A8857" t="str">
        <f>"20190312154131842"</f>
        <v>20190312154131842</v>
      </c>
      <c r="B8857" t="str">
        <f>"1552376491834730"</f>
        <v>1552376491834730</v>
      </c>
      <c r="C8857" t="s">
        <v>40</v>
      </c>
      <c r="D8857">
        <v>4.2514250000000002</v>
      </c>
      <c r="E8857">
        <v>0.44871169999999999</v>
      </c>
      <c r="F8857" t="s">
        <v>100</v>
      </c>
      <c r="G8857">
        <v>-210.51730000000001</v>
      </c>
      <c r="H8857" s="1">
        <v>4.637393E-7</v>
      </c>
      <c r="I8857">
        <v>-58.927480000000003</v>
      </c>
      <c r="J8857">
        <v>-267.28919999999999</v>
      </c>
      <c r="K8857">
        <v>1.1122639999999999</v>
      </c>
      <c r="L8857">
        <v>-60.96698</v>
      </c>
      <c r="M8857">
        <v>0.99354310000000001</v>
      </c>
      <c r="N8857">
        <v>0</v>
      </c>
      <c r="O8857">
        <v>-0.1125925</v>
      </c>
      <c r="P8857">
        <v>0.99501910000000005</v>
      </c>
      <c r="Q8857">
        <v>-1.0716659999999999E-2</v>
      </c>
      <c r="R8857">
        <v>-9.910824E-2</v>
      </c>
      <c r="S8857">
        <v>3.026062</v>
      </c>
      <c r="T8857">
        <v>-5.9223060000000001E-2</v>
      </c>
      <c r="U8857">
        <v>0.1083679</v>
      </c>
      <c r="V8857">
        <v>-1.3580139999999999E-2</v>
      </c>
      <c r="W8857">
        <v>3.1908140000000002E-3</v>
      </c>
      <c r="X8857">
        <v>0.99990270000000003</v>
      </c>
      <c r="Y8857">
        <v>-0.14804249999999999</v>
      </c>
      <c r="Z8857">
        <v>3.6485089999999999E-3</v>
      </c>
      <c r="AA8857">
        <v>0.98897429999999997</v>
      </c>
      <c r="AB8857">
        <v>13</v>
      </c>
      <c r="AC8857">
        <v>56.771899999999903</v>
      </c>
      <c r="AD8857">
        <v>-1.1122635362606901</v>
      </c>
      <c r="AE8857">
        <v>2.0394999999999999</v>
      </c>
      <c r="AF8857">
        <v>-8.4160161493388994</v>
      </c>
      <c r="AG8857">
        <v>-1.1122635362606901</v>
      </c>
      <c r="AH8857">
        <v>56.159647645773902</v>
      </c>
      <c r="AI8857">
        <v>91.122090188390104</v>
      </c>
      <c r="AJ8857">
        <v>98.522852052661193</v>
      </c>
      <c r="AK8857">
        <v>56.797645036546299</v>
      </c>
      <c r="AL8857">
        <v>89.817179515365197</v>
      </c>
      <c r="AM8857">
        <v>90.778112582022601</v>
      </c>
      <c r="AN8857">
        <v>1.0000000054818401</v>
      </c>
    </row>
    <row r="8858" spans="1:40" x14ac:dyDescent="0.25">
      <c r="A8858" t="str">
        <f>"20190312154131854"</f>
        <v>20190312154131854</v>
      </c>
      <c r="B8858" t="str">
        <f>"1552376491845466"</f>
        <v>1552376491845466</v>
      </c>
      <c r="C8858" t="s">
        <v>40</v>
      </c>
      <c r="D8858">
        <v>4.2777609999999999</v>
      </c>
      <c r="E8858">
        <v>0.44905909999999899</v>
      </c>
      <c r="F8858" t="s">
        <v>100</v>
      </c>
      <c r="G8858">
        <v>-211.19550000000001</v>
      </c>
      <c r="H8858" s="1">
        <v>2.2682879999999999E-7</v>
      </c>
      <c r="I8858">
        <v>-58.904539999999997</v>
      </c>
      <c r="J8858">
        <v>-267.2199</v>
      </c>
      <c r="K8858">
        <v>1.112169</v>
      </c>
      <c r="L8858">
        <v>-60.971159999999998</v>
      </c>
      <c r="M8858">
        <v>0.99388810000000005</v>
      </c>
      <c r="N8858">
        <v>0</v>
      </c>
      <c r="O8858">
        <v>-0.10950600000000001</v>
      </c>
      <c r="P8858">
        <v>0.99526550000000003</v>
      </c>
      <c r="Q8858">
        <v>-1.1073120000000001E-2</v>
      </c>
      <c r="R8858">
        <v>-9.6560460000000001E-2</v>
      </c>
      <c r="S8858">
        <v>3.0254819999999998</v>
      </c>
      <c r="T8858">
        <v>-5.9991240000000001E-2</v>
      </c>
      <c r="U8858">
        <v>0.1112366</v>
      </c>
      <c r="V8858">
        <v>-1.3031360000000001E-2</v>
      </c>
      <c r="W8858">
        <v>2.8217440000000002E-3</v>
      </c>
      <c r="X8858">
        <v>0.99991110000000005</v>
      </c>
      <c r="Y8858">
        <v>-0.145913299999999</v>
      </c>
      <c r="Z8858">
        <v>3.6144419999999998E-3</v>
      </c>
      <c r="AA8858">
        <v>0.98929080000000003</v>
      </c>
      <c r="AB8858">
        <v>13</v>
      </c>
      <c r="AC8858">
        <v>56.024399999999901</v>
      </c>
      <c r="AD8858">
        <v>-1.1121687731712</v>
      </c>
      <c r="AE8858">
        <v>2.0666199999999901</v>
      </c>
      <c r="AF8858">
        <v>-8.1865732268323299</v>
      </c>
      <c r="AG8858">
        <v>-1.1121687731712</v>
      </c>
      <c r="AH8858">
        <v>55.4392636424516</v>
      </c>
      <c r="AI8858">
        <v>91.136932590019796</v>
      </c>
      <c r="AJ8858">
        <v>98.400015193812493</v>
      </c>
      <c r="AK8858">
        <v>56.0514839571225</v>
      </c>
      <c r="AL8858">
        <v>89.838325762292499</v>
      </c>
      <c r="AM8858">
        <v>90.746666040717599</v>
      </c>
      <c r="AN8858">
        <v>0.99999999324292999</v>
      </c>
    </row>
    <row r="8859" spans="1:40" x14ac:dyDescent="0.25">
      <c r="A8859" t="str">
        <f>"20190312154131864"</f>
        <v>20190312154131864</v>
      </c>
      <c r="B8859" t="str">
        <f>"1552376491855226"</f>
        <v>1552376491855226</v>
      </c>
      <c r="C8859" t="s">
        <v>40</v>
      </c>
      <c r="D8859">
        <v>4.2638959999999999</v>
      </c>
      <c r="E8859">
        <v>0.44941310000000001</v>
      </c>
      <c r="F8859" t="s">
        <v>100</v>
      </c>
      <c r="G8859">
        <v>-212.36359999999999</v>
      </c>
      <c r="H8859" s="1">
        <v>-2.5295250000000001E-7</v>
      </c>
      <c r="I8859">
        <v>-58.8619699999999</v>
      </c>
      <c r="J8859">
        <v>-267.16050000000001</v>
      </c>
      <c r="K8859">
        <v>1.1120829999999999</v>
      </c>
      <c r="L8859">
        <v>-60.974640000000001</v>
      </c>
      <c r="M8859">
        <v>0.99416680000000002</v>
      </c>
      <c r="N8859">
        <v>0</v>
      </c>
      <c r="O8859">
        <v>-0.10695</v>
      </c>
      <c r="P8859">
        <v>0.99543749999999998</v>
      </c>
      <c r="Q8859">
        <v>-1.1527539999999999E-2</v>
      </c>
      <c r="R8859">
        <v>-9.4717170000000003E-2</v>
      </c>
      <c r="S8859">
        <v>3.024902</v>
      </c>
      <c r="T8859">
        <v>-6.132758E-2</v>
      </c>
      <c r="U8859">
        <v>0.1163025</v>
      </c>
      <c r="V8859">
        <v>-1.230903E-2</v>
      </c>
      <c r="W8859">
        <v>2.356829E-3</v>
      </c>
      <c r="X8859">
        <v>0.99992139999999996</v>
      </c>
      <c r="Y8859">
        <v>-0.1450292</v>
      </c>
      <c r="Z8859">
        <v>3.634998E-3</v>
      </c>
      <c r="AA8859">
        <v>0.98942070000000004</v>
      </c>
      <c r="AB8859">
        <v>13</v>
      </c>
      <c r="AC8859">
        <v>54.796900000000001</v>
      </c>
      <c r="AD8859">
        <v>-1.1120832529525</v>
      </c>
      <c r="AE8859">
        <v>2.11267</v>
      </c>
      <c r="AF8859">
        <v>-7.95837446023683</v>
      </c>
      <c r="AG8859">
        <v>-1.1120832529525</v>
      </c>
      <c r="AH8859">
        <v>54.234269302588999</v>
      </c>
      <c r="AI8859">
        <v>91.162252263402806</v>
      </c>
      <c r="AJ8859">
        <v>98.348043825709894</v>
      </c>
      <c r="AK8859">
        <v>54.826347863017403</v>
      </c>
      <c r="AL8859">
        <v>89.864963511680401</v>
      </c>
      <c r="AM8859">
        <v>90.705275282902093</v>
      </c>
      <c r="AN8859">
        <v>0.99999993652021602</v>
      </c>
    </row>
    <row r="8860" spans="1:40" x14ac:dyDescent="0.25">
      <c r="A8860" t="str">
        <f>"20190312154131874"</f>
        <v>20190312154131874</v>
      </c>
      <c r="B8860" t="str">
        <f>"1552376491864986"</f>
        <v>1552376491864986</v>
      </c>
      <c r="C8860" t="s">
        <v>40</v>
      </c>
      <c r="D8860">
        <v>4.2228589999999997</v>
      </c>
      <c r="E8860">
        <v>0.44988020000000001</v>
      </c>
      <c r="F8860" t="s">
        <v>100</v>
      </c>
      <c r="G8860">
        <v>-214.08850000000001</v>
      </c>
      <c r="H8860" s="1">
        <v>-9.890214000000001E-7</v>
      </c>
      <c r="I8860">
        <v>-58.883899999999997</v>
      </c>
      <c r="J8860">
        <v>-267.09679999999997</v>
      </c>
      <c r="K8860">
        <v>1.111988</v>
      </c>
      <c r="L8860">
        <v>-60.97833</v>
      </c>
      <c r="M8860">
        <v>0.9944539</v>
      </c>
      <c r="N8860">
        <v>0</v>
      </c>
      <c r="O8860">
        <v>-0.10424899999999999</v>
      </c>
      <c r="P8860">
        <v>0.99564490000000005</v>
      </c>
      <c r="Q8860">
        <v>-1.2235380000000001E-2</v>
      </c>
      <c r="R8860">
        <v>-9.2421379999999997E-2</v>
      </c>
      <c r="S8860">
        <v>3.024384</v>
      </c>
      <c r="T8860">
        <v>-6.3373680000000002E-2</v>
      </c>
      <c r="U8860">
        <v>0.1191406</v>
      </c>
      <c r="V8860">
        <v>-1.189375E-2</v>
      </c>
      <c r="W8860">
        <v>1.635376E-3</v>
      </c>
      <c r="X8860">
        <v>0.99992789999999998</v>
      </c>
      <c r="Y8860">
        <v>-0.14327239999999999</v>
      </c>
      <c r="Z8860">
        <v>3.6820590000000001E-3</v>
      </c>
      <c r="AA8860">
        <v>0.98967649999999996</v>
      </c>
      <c r="AB8860">
        <v>13</v>
      </c>
      <c r="AC8860">
        <v>53.008299999999899</v>
      </c>
      <c r="AD8860">
        <v>-1.1119889890213901</v>
      </c>
      <c r="AE8860">
        <v>2.0944300000000098</v>
      </c>
      <c r="AF8860">
        <v>-7.6062709358943996</v>
      </c>
      <c r="AG8860">
        <v>-1.1119889890213901</v>
      </c>
      <c r="AH8860">
        <v>52.477992894886398</v>
      </c>
      <c r="AI8860">
        <v>91.201344694705696</v>
      </c>
      <c r="AJ8860">
        <v>98.247138561728093</v>
      </c>
      <c r="AK8860">
        <v>53.038020469637502</v>
      </c>
      <c r="AL8860">
        <v>89.906299812749893</v>
      </c>
      <c r="AM8860">
        <v>90.6814786768076</v>
      </c>
      <c r="AN8860">
        <v>0.99999997047106604</v>
      </c>
    </row>
    <row r="8861" spans="1:40" x14ac:dyDescent="0.25">
      <c r="A8861" t="str">
        <f>"20190312154131886"</f>
        <v>20190312154131886</v>
      </c>
      <c r="B8861" t="str">
        <f>"1552376491874745"</f>
        <v>1552376491874745</v>
      </c>
      <c r="C8861" t="s">
        <v>40</v>
      </c>
      <c r="D8861">
        <v>4.217187</v>
      </c>
      <c r="E8861">
        <v>0.4503258</v>
      </c>
      <c r="F8861" t="s">
        <v>100</v>
      </c>
      <c r="G8861">
        <v>-215.9837</v>
      </c>
      <c r="H8861" s="1">
        <v>-1.7975799999999901E-6</v>
      </c>
      <c r="I8861">
        <v>-58.909080000000003</v>
      </c>
      <c r="J8861">
        <v>-267.03179999999998</v>
      </c>
      <c r="K8861">
        <v>1.11189</v>
      </c>
      <c r="L8861">
        <v>-60.981960000000001</v>
      </c>
      <c r="M8861">
        <v>0.99472609999999995</v>
      </c>
      <c r="N8861">
        <v>0</v>
      </c>
      <c r="O8861">
        <v>-0.1016214</v>
      </c>
      <c r="P8861">
        <v>0.9958399</v>
      </c>
      <c r="Q8861">
        <v>-1.286262E-2</v>
      </c>
      <c r="R8861">
        <v>-9.0209819999999996E-2</v>
      </c>
      <c r="S8861">
        <v>3.023682</v>
      </c>
      <c r="T8861">
        <v>-6.5781590000000001E-2</v>
      </c>
      <c r="U8861">
        <v>0.122406</v>
      </c>
      <c r="V8861">
        <v>-1.1469409999999999E-2</v>
      </c>
      <c r="W8861">
        <v>9.9307679999999991E-4</v>
      </c>
      <c r="X8861">
        <v>0.99993370000000004</v>
      </c>
      <c r="Y8861">
        <v>-0.14173050000000001</v>
      </c>
      <c r="Z8861">
        <v>3.7490309999999999E-3</v>
      </c>
      <c r="AA8861">
        <v>0.98989819999999995</v>
      </c>
      <c r="AB8861">
        <v>13</v>
      </c>
      <c r="AC8861">
        <v>51.048099999999899</v>
      </c>
      <c r="AD8861">
        <v>-1.11189179757999</v>
      </c>
      <c r="AE8861">
        <v>2.0728799999999898</v>
      </c>
      <c r="AF8861">
        <v>-7.2467947997600799</v>
      </c>
      <c r="AG8861">
        <v>-1.11189179757999</v>
      </c>
      <c r="AH8861">
        <v>50.549168727913496</v>
      </c>
      <c r="AI8861">
        <v>91.247340016626893</v>
      </c>
      <c r="AJ8861">
        <v>98.158408994343105</v>
      </c>
      <c r="AK8861">
        <v>51.0780852942084</v>
      </c>
      <c r="AL8861">
        <v>89.943100879510297</v>
      </c>
      <c r="AM8861">
        <v>90.657163539503898</v>
      </c>
      <c r="AN8861">
        <v>0.99999996898148302</v>
      </c>
    </row>
    <row r="8862" spans="1:40" x14ac:dyDescent="0.25">
      <c r="A8862" t="str">
        <f>"20190312154131897"</f>
        <v>20190312154131897</v>
      </c>
      <c r="B8862" t="str">
        <f>"1552376491885482"</f>
        <v>1552376491885482</v>
      </c>
      <c r="C8862" t="s">
        <v>40</v>
      </c>
      <c r="D8862">
        <v>4.2481770000000001</v>
      </c>
      <c r="E8862">
        <v>0.45078770000000001</v>
      </c>
      <c r="F8862" t="s">
        <v>100</v>
      </c>
      <c r="G8862">
        <v>-217.92509999999999</v>
      </c>
      <c r="H8862" s="1">
        <v>-2.6245999999999998E-6</v>
      </c>
      <c r="I8862">
        <v>-58.941989999999997</v>
      </c>
      <c r="J8862">
        <v>-266.9667</v>
      </c>
      <c r="K8862">
        <v>1.111791</v>
      </c>
      <c r="L8862">
        <v>-60.985599999999998</v>
      </c>
      <c r="M8862">
        <v>0.9949884</v>
      </c>
      <c r="N8862">
        <v>0</v>
      </c>
      <c r="O8862">
        <v>-9.9022269999999996E-2</v>
      </c>
      <c r="P8862">
        <v>0.9960156</v>
      </c>
      <c r="Q8862">
        <v>-1.2970880000000001E-2</v>
      </c>
      <c r="R8862">
        <v>-8.8230950000000002E-2</v>
      </c>
      <c r="S8862">
        <v>3.0230709999999998</v>
      </c>
      <c r="T8862">
        <v>-6.8449499999999996E-2</v>
      </c>
      <c r="U8862">
        <v>0.12557979999999999</v>
      </c>
      <c r="V8862">
        <v>-1.084336E-2</v>
      </c>
      <c r="W8862">
        <v>8.7052979999999896E-4</v>
      </c>
      <c r="X8862">
        <v>0.99994079999999996</v>
      </c>
      <c r="Y8862">
        <v>-0.1401859</v>
      </c>
      <c r="Z8862">
        <v>3.8256369999999998E-3</v>
      </c>
      <c r="AA8862">
        <v>0.99011780000000005</v>
      </c>
      <c r="AB8862">
        <v>13</v>
      </c>
      <c r="AC8862">
        <v>49.041600000000003</v>
      </c>
      <c r="AD8862">
        <v>-1.1117936246</v>
      </c>
      <c r="AE8862">
        <v>2.0436099999999899</v>
      </c>
      <c r="AF8862">
        <v>-6.8867093431265403</v>
      </c>
      <c r="AG8862">
        <v>-1.1117936246</v>
      </c>
      <c r="AH8862">
        <v>48.573221407825102</v>
      </c>
      <c r="AI8862">
        <v>91.298236655293096</v>
      </c>
      <c r="AJ8862">
        <v>98.069609530928801</v>
      </c>
      <c r="AK8862">
        <v>49.071587385920203</v>
      </c>
      <c r="AL8862">
        <v>89.950122308718093</v>
      </c>
      <c r="AM8862">
        <v>90.621291193348398</v>
      </c>
      <c r="AN8862">
        <v>0.99999996989143003</v>
      </c>
    </row>
    <row r="8863" spans="1:40" x14ac:dyDescent="0.25">
      <c r="A8863" t="str">
        <f>"20190312154131908"</f>
        <v>20190312154131908</v>
      </c>
      <c r="B8863" t="str">
        <f>"1552376491905002"</f>
        <v>1552376491905002</v>
      </c>
      <c r="C8863" t="s">
        <v>40</v>
      </c>
      <c r="D8863">
        <v>4.2517339999999999</v>
      </c>
      <c r="E8863">
        <v>0.45176050000000001</v>
      </c>
      <c r="F8863" t="s">
        <v>100</v>
      </c>
      <c r="G8863">
        <v>-218.54150000000001</v>
      </c>
      <c r="H8863" s="1">
        <v>-2.8901399999999999E-6</v>
      </c>
      <c r="I8863">
        <v>-58.935850000000002</v>
      </c>
      <c r="J8863">
        <v>-266.8997</v>
      </c>
      <c r="K8863">
        <v>1.111686</v>
      </c>
      <c r="L8863">
        <v>-60.989199999999997</v>
      </c>
      <c r="M8863">
        <v>0.99523569999999995</v>
      </c>
      <c r="N8863">
        <v>0</v>
      </c>
      <c r="O8863">
        <v>-9.6511299999999994E-2</v>
      </c>
      <c r="P8863">
        <v>0.99617860000000003</v>
      </c>
      <c r="Q8863">
        <v>-1.309388E-2</v>
      </c>
      <c r="R8863">
        <v>-8.6355070000000006E-2</v>
      </c>
      <c r="S8863">
        <v>3.0224299999999999</v>
      </c>
      <c r="T8863">
        <v>-6.9391969999999997E-2</v>
      </c>
      <c r="U8863">
        <v>0.12792970000000001</v>
      </c>
      <c r="V8863">
        <v>-1.020253E-2</v>
      </c>
      <c r="W8863">
        <v>7.1078929999999997E-4</v>
      </c>
      <c r="X8863">
        <v>0.99994769999999999</v>
      </c>
      <c r="Y8863">
        <v>-0.1384638</v>
      </c>
      <c r="Z8863">
        <v>3.8018459999999998E-3</v>
      </c>
      <c r="AA8863">
        <v>0.99036020000000002</v>
      </c>
      <c r="AB8863">
        <v>13</v>
      </c>
      <c r="AC8863">
        <v>48.358199999999897</v>
      </c>
      <c r="AD8863">
        <v>-1.1116888901399999</v>
      </c>
      <c r="AE8863">
        <v>2.0533499999999898</v>
      </c>
      <c r="AF8863">
        <v>-6.7077839816289799</v>
      </c>
      <c r="AG8863">
        <v>-1.1116888901399999</v>
      </c>
      <c r="AH8863">
        <v>47.908951539347399</v>
      </c>
      <c r="AI8863">
        <v>91.316428351001505</v>
      </c>
      <c r="AJ8863">
        <v>97.970232950677598</v>
      </c>
      <c r="AK8863">
        <v>48.389026191195398</v>
      </c>
      <c r="AL8863">
        <v>89.959274769548998</v>
      </c>
      <c r="AM8863">
        <v>90.584572198961695</v>
      </c>
      <c r="AN8863">
        <v>0.99999999978755905</v>
      </c>
    </row>
    <row r="8864" spans="1:40" x14ac:dyDescent="0.25">
      <c r="A8864" t="str">
        <f>"20190312154131920"</f>
        <v>20190312154131920</v>
      </c>
      <c r="B8864" t="str">
        <f>"1552376491914765"</f>
        <v>1552376491914765</v>
      </c>
      <c r="C8864" t="s">
        <v>40</v>
      </c>
      <c r="D8864">
        <v>4.3073920000000001</v>
      </c>
      <c r="E8864">
        <v>0.45216580000000001</v>
      </c>
      <c r="F8864" t="s">
        <v>100</v>
      </c>
      <c r="G8864">
        <v>-220.02350000000001</v>
      </c>
      <c r="H8864" s="1">
        <v>-3.5082900000000001E-6</v>
      </c>
      <c r="I8864">
        <v>-59.035170000000001</v>
      </c>
      <c r="J8864">
        <v>-266.834</v>
      </c>
      <c r="K8864">
        <v>1.1115809999999999</v>
      </c>
      <c r="L8864">
        <v>-60.992739999999998</v>
      </c>
      <c r="M8864">
        <v>0.9954674</v>
      </c>
      <c r="N8864">
        <v>0</v>
      </c>
      <c r="O8864">
        <v>-9.4097879999999995E-2</v>
      </c>
      <c r="P8864">
        <v>0.99633400000000005</v>
      </c>
      <c r="Q8864">
        <v>-1.2689529999999999E-2</v>
      </c>
      <c r="R8864">
        <v>-8.4601979999999993E-2</v>
      </c>
      <c r="S8864">
        <v>3.0214840000000001</v>
      </c>
      <c r="T8864">
        <v>-7.1655869999999997E-2</v>
      </c>
      <c r="U8864">
        <v>0.125946</v>
      </c>
      <c r="V8864">
        <v>-9.5388020000000007E-3</v>
      </c>
      <c r="W8864">
        <v>1.0679400000000001E-3</v>
      </c>
      <c r="X8864">
        <v>0.99995389999999995</v>
      </c>
      <c r="Y8864">
        <v>-0.1354233</v>
      </c>
      <c r="Z8864">
        <v>3.8340079999999999E-3</v>
      </c>
      <c r="AA8864">
        <v>0.99078040000000001</v>
      </c>
      <c r="AB8864">
        <v>13</v>
      </c>
      <c r="AC8864">
        <v>46.810499999999898</v>
      </c>
      <c r="AD8864">
        <v>-1.11158450829</v>
      </c>
      <c r="AE8864">
        <v>1.95757000000001</v>
      </c>
      <c r="AF8864">
        <v>-6.3504956097875596</v>
      </c>
      <c r="AG8864">
        <v>-1.11158450829</v>
      </c>
      <c r="AH8864">
        <v>46.392424391202802</v>
      </c>
      <c r="AI8864">
        <v>91.359894616032307</v>
      </c>
      <c r="AJ8864">
        <v>97.794573736319194</v>
      </c>
      <c r="AK8864">
        <v>46.838247784289202</v>
      </c>
      <c r="AL8864">
        <v>89.938811531496</v>
      </c>
      <c r="AM8864">
        <v>90.546541715040703</v>
      </c>
      <c r="AN8864">
        <v>0.99999996568232297</v>
      </c>
    </row>
    <row r="8865" spans="1:40" x14ac:dyDescent="0.25">
      <c r="A8865" t="str">
        <f>"20190312154131932"</f>
        <v>20190312154131932</v>
      </c>
      <c r="B8865" t="str">
        <f>"1552376491925497"</f>
        <v>1552376491925497</v>
      </c>
      <c r="C8865" t="s">
        <v>40</v>
      </c>
      <c r="D8865">
        <v>4.3088360000000003</v>
      </c>
      <c r="E8865">
        <v>0.45247189999999998</v>
      </c>
      <c r="F8865" t="s">
        <v>100</v>
      </c>
      <c r="G8865">
        <v>-219.5265</v>
      </c>
      <c r="H8865" s="1">
        <v>-3.3036169999999998E-6</v>
      </c>
      <c r="I8865">
        <v>-58.986960000000003</v>
      </c>
      <c r="J8865">
        <v>-266.76319999999998</v>
      </c>
      <c r="K8865">
        <v>1.111467</v>
      </c>
      <c r="L8865">
        <v>-60.996459999999999</v>
      </c>
      <c r="M8865">
        <v>0.99569969999999997</v>
      </c>
      <c r="N8865">
        <v>0</v>
      </c>
      <c r="O8865">
        <v>-9.1621499999999995E-2</v>
      </c>
      <c r="P8865">
        <v>0.99646069999999998</v>
      </c>
      <c r="Q8865">
        <v>-1.237158E-2</v>
      </c>
      <c r="R8865">
        <v>-8.3145640000000007E-2</v>
      </c>
      <c r="S8865">
        <v>3.0209959999999998</v>
      </c>
      <c r="T8865">
        <v>-7.0984240000000004E-2</v>
      </c>
      <c r="U8865">
        <v>0.12808230000000001</v>
      </c>
      <c r="V8865">
        <v>-8.5141219999999903E-3</v>
      </c>
      <c r="W8865">
        <v>1.3011139999999999E-3</v>
      </c>
      <c r="X8865">
        <v>0.99996289999999999</v>
      </c>
      <c r="Y8865">
        <v>-0.13366689999999901</v>
      </c>
      <c r="Z8865">
        <v>3.7200050000000002E-3</v>
      </c>
      <c r="AA8865">
        <v>0.99101930000000005</v>
      </c>
      <c r="AB8865">
        <v>13</v>
      </c>
      <c r="AC8865">
        <v>47.2366999999999</v>
      </c>
      <c r="AD8865">
        <v>-1.1114703036169999</v>
      </c>
      <c r="AE8865">
        <v>2.0095000000000001</v>
      </c>
      <c r="AF8865">
        <v>-6.3258536101822704</v>
      </c>
      <c r="AG8865">
        <v>-1.1114703036169999</v>
      </c>
      <c r="AH8865">
        <v>46.827970353665897</v>
      </c>
      <c r="AI8865">
        <v>91.347436148303899</v>
      </c>
      <c r="AJ8865">
        <v>97.693347526114295</v>
      </c>
      <c r="AK8865">
        <v>47.266379146038801</v>
      </c>
      <c r="AL8865">
        <v>89.925451637524802</v>
      </c>
      <c r="AM8865">
        <v>90.487829567494003</v>
      </c>
      <c r="AN8865">
        <v>0.99999999227374003</v>
      </c>
    </row>
    <row r="8866" spans="1:40" x14ac:dyDescent="0.25">
      <c r="A8866" t="str">
        <f>"20190312154131943"</f>
        <v>20190312154131943</v>
      </c>
      <c r="B8866" t="str">
        <f>"1552376491935258"</f>
        <v>1552376491935258</v>
      </c>
      <c r="C8866" t="s">
        <v>40</v>
      </c>
      <c r="D8866">
        <v>4.2570819999999996</v>
      </c>
      <c r="E8866">
        <v>0.45282709999999998</v>
      </c>
      <c r="F8866" t="s">
        <v>100</v>
      </c>
      <c r="G8866">
        <v>-218.39779999999999</v>
      </c>
      <c r="H8866" s="1">
        <v>-2.8321010000000002E-6</v>
      </c>
      <c r="I8866">
        <v>-58.915280000000003</v>
      </c>
      <c r="J8866">
        <v>-266.70170000000002</v>
      </c>
      <c r="K8866">
        <v>1.1113660000000001</v>
      </c>
      <c r="L8866">
        <v>-60.999690000000001</v>
      </c>
      <c r="M8866">
        <v>0.99588949999999998</v>
      </c>
      <c r="N8866">
        <v>0</v>
      </c>
      <c r="O8866">
        <v>-8.955188E-2</v>
      </c>
      <c r="P8866">
        <v>0.9965562</v>
      </c>
      <c r="Q8866">
        <v>-1.209593E-2</v>
      </c>
      <c r="R8866">
        <v>-8.2033620000000002E-2</v>
      </c>
      <c r="S8866">
        <v>3.0206300000000001</v>
      </c>
      <c r="T8866">
        <v>-6.9416050000000007E-2</v>
      </c>
      <c r="U8866">
        <v>0.12997439999999999</v>
      </c>
      <c r="V8866">
        <v>-7.5523689999999997E-3</v>
      </c>
      <c r="W8866">
        <v>1.472775E-3</v>
      </c>
      <c r="X8866">
        <v>0.99997040000000004</v>
      </c>
      <c r="Y8866">
        <v>-0.132235299999999</v>
      </c>
      <c r="Z8866">
        <v>3.5743720000000001E-3</v>
      </c>
      <c r="AA8866">
        <v>0.99121190000000003</v>
      </c>
      <c r="AB8866">
        <v>13</v>
      </c>
      <c r="AC8866">
        <v>48.303899999999999</v>
      </c>
      <c r="AD8866">
        <v>-1.111368832101</v>
      </c>
      <c r="AE8866">
        <v>2.0844099999999899</v>
      </c>
      <c r="AF8866">
        <v>-6.3987569628046996</v>
      </c>
      <c r="AG8866">
        <v>-1.111368832101</v>
      </c>
      <c r="AH8866">
        <v>47.897798537190901</v>
      </c>
      <c r="AI8866">
        <v>91.317490623140799</v>
      </c>
      <c r="AJ8866">
        <v>97.609197764531302</v>
      </c>
      <c r="AK8866">
        <v>48.336097650299898</v>
      </c>
      <c r="AL8866">
        <v>89.915616178168705</v>
      </c>
      <c r="AM8866">
        <v>90.4327234502544</v>
      </c>
      <c r="AN8866">
        <v>1.00000000410993</v>
      </c>
    </row>
    <row r="8867" spans="1:40" x14ac:dyDescent="0.25">
      <c r="A8867" t="str">
        <f>"20190312154131952"</f>
        <v>20190312154131952</v>
      </c>
      <c r="B8867" t="str">
        <f>"1552376491945019"</f>
        <v>1552376491945019</v>
      </c>
      <c r="C8867" t="s">
        <v>40</v>
      </c>
      <c r="D8867">
        <v>4.2258009999999997</v>
      </c>
      <c r="E8867">
        <v>0.45282709999999998</v>
      </c>
      <c r="F8867" t="s">
        <v>100</v>
      </c>
      <c r="G8867">
        <v>-216.91239999999999</v>
      </c>
      <c r="H8867" s="1">
        <v>-2.206546E-6</v>
      </c>
      <c r="I8867">
        <v>-58.84948</v>
      </c>
      <c r="J8867">
        <v>-266.63679999999999</v>
      </c>
      <c r="K8867">
        <v>1.111253</v>
      </c>
      <c r="L8867">
        <v>-61.0030199999999</v>
      </c>
      <c r="M8867">
        <v>0.99607900000000005</v>
      </c>
      <c r="N8867">
        <v>0</v>
      </c>
      <c r="O8867">
        <v>-8.7440970000000007E-2</v>
      </c>
      <c r="P8867">
        <v>0.99666169999999998</v>
      </c>
      <c r="Q8867">
        <v>-1.15449E-2</v>
      </c>
      <c r="R8867">
        <v>-8.0822329999999998E-2</v>
      </c>
      <c r="S8867">
        <v>3.0202939999999998</v>
      </c>
      <c r="T8867">
        <v>-6.741714E-2</v>
      </c>
      <c r="U8867">
        <v>0.1304321</v>
      </c>
      <c r="V8867">
        <v>-6.6487819999999998E-3</v>
      </c>
      <c r="W8867">
        <v>1.8838080000000001E-3</v>
      </c>
      <c r="X8867">
        <v>0.99997610000000003</v>
      </c>
      <c r="Y8867">
        <v>-0.13029299999999999</v>
      </c>
      <c r="Z8867">
        <v>3.4031790000000001E-3</v>
      </c>
      <c r="AA8867">
        <v>0.99146970000000001</v>
      </c>
      <c r="AB8867">
        <v>13</v>
      </c>
      <c r="AC8867">
        <v>49.724400000000003</v>
      </c>
      <c r="AD8867">
        <v>-1.111255206546</v>
      </c>
      <c r="AE8867">
        <v>2.15353999999998</v>
      </c>
      <c r="AF8867">
        <v>-6.4903969390572298</v>
      </c>
      <c r="AG8867">
        <v>-1.111255206546</v>
      </c>
      <c r="AH8867">
        <v>49.320994584312203</v>
      </c>
      <c r="AI8867">
        <v>91.279688267987297</v>
      </c>
      <c r="AJ8867">
        <v>97.496762483206894</v>
      </c>
      <c r="AK8867">
        <v>49.758623849000799</v>
      </c>
      <c r="AL8867">
        <v>89.892065685952801</v>
      </c>
      <c r="AM8867">
        <v>90.380950638681796</v>
      </c>
      <c r="AN8867">
        <v>0.99999997780293703</v>
      </c>
    </row>
    <row r="8868" spans="1:40" x14ac:dyDescent="0.25">
      <c r="A8868" t="str">
        <f>"20190312154131964"</f>
        <v>20190312154131964</v>
      </c>
      <c r="B8868" t="str">
        <f>"1552376491954778"</f>
        <v>1552376491954778</v>
      </c>
      <c r="C8868" t="s">
        <v>40</v>
      </c>
      <c r="D8868">
        <v>4.2103469999999996</v>
      </c>
      <c r="E8868">
        <v>0.46611829999999999</v>
      </c>
      <c r="F8868" t="s">
        <v>100</v>
      </c>
      <c r="G8868">
        <v>-215.7105</v>
      </c>
      <c r="H8868" s="1">
        <v>-1.71007E-6</v>
      </c>
      <c r="I8868">
        <v>-58.74183</v>
      </c>
      <c r="J8868">
        <v>-266.57209999999998</v>
      </c>
      <c r="K8868">
        <v>1.1111390000000001</v>
      </c>
      <c r="L8868">
        <v>-61.006320000000002</v>
      </c>
      <c r="M8868">
        <v>0.99625379999999997</v>
      </c>
      <c r="N8868">
        <v>0</v>
      </c>
      <c r="O8868">
        <v>-8.5455420000000004E-2</v>
      </c>
      <c r="P8868">
        <v>0.99673230000000002</v>
      </c>
      <c r="Q8868">
        <v>-1.1374540000000001E-2</v>
      </c>
      <c r="R8868">
        <v>-7.9972340000000003E-2</v>
      </c>
      <c r="S8868">
        <v>3.0201419999999999</v>
      </c>
      <c r="T8868">
        <v>-6.590211E-2</v>
      </c>
      <c r="U8868">
        <v>0.1340942</v>
      </c>
      <c r="V8868">
        <v>-5.5086880000000003E-3</v>
      </c>
      <c r="W8868">
        <v>1.869503E-3</v>
      </c>
      <c r="X8868">
        <v>0.99998310000000001</v>
      </c>
      <c r="Y8868">
        <v>-0.12952169999999999</v>
      </c>
      <c r="Z8868">
        <v>3.2751870000000002E-3</v>
      </c>
      <c r="AA8868">
        <v>0.99157119999999999</v>
      </c>
      <c r="AB8868">
        <v>13</v>
      </c>
      <c r="AC8868">
        <v>50.861599999999903</v>
      </c>
      <c r="AD8868">
        <v>-1.1111407100699999</v>
      </c>
      <c r="AE8868">
        <v>2.2644899999999799</v>
      </c>
      <c r="AF8868">
        <v>-6.5998427464782701</v>
      </c>
      <c r="AG8868">
        <v>-1.1111407100699999</v>
      </c>
      <c r="AH8868">
        <v>50.457951216888901</v>
      </c>
      <c r="AI8868">
        <v>91.250862190462101</v>
      </c>
      <c r="AJ8868">
        <v>97.451918428191505</v>
      </c>
      <c r="AK8868">
        <v>50.899876217548503</v>
      </c>
      <c r="AL8868">
        <v>89.892885308112099</v>
      </c>
      <c r="AM8868">
        <v>90.315626714485802</v>
      </c>
      <c r="AN8868">
        <v>1.0000000204852699</v>
      </c>
    </row>
    <row r="8869" spans="1:40" x14ac:dyDescent="0.25">
      <c r="A8869" t="str">
        <f>"20190312154131975"</f>
        <v>20190312154131975</v>
      </c>
      <c r="B8869" t="str">
        <f>"1552376491965513"</f>
        <v>1552376491965513</v>
      </c>
      <c r="C8869" t="s">
        <v>40</v>
      </c>
      <c r="D8869">
        <v>4.2201149999999998</v>
      </c>
      <c r="E8869">
        <v>0.46652080000000001</v>
      </c>
      <c r="F8869" t="s">
        <v>80</v>
      </c>
      <c r="G8869">
        <v>-157.3501</v>
      </c>
      <c r="H8869">
        <v>3.6713719999999999</v>
      </c>
      <c r="I8869">
        <v>-60.085799999999999</v>
      </c>
      <c r="J8869">
        <v>-266.50670000000002</v>
      </c>
      <c r="K8869">
        <v>1.1110180000000001</v>
      </c>
      <c r="L8869">
        <v>-61.0096699999999</v>
      </c>
      <c r="M8869">
        <v>0.99642269999999999</v>
      </c>
      <c r="N8869">
        <v>0</v>
      </c>
      <c r="O8869">
        <v>-8.3496790000000001E-2</v>
      </c>
      <c r="P8869">
        <v>0.9968205</v>
      </c>
      <c r="Q8869">
        <v>-1.1241320000000001E-2</v>
      </c>
      <c r="R8869">
        <v>-7.88856E-2</v>
      </c>
      <c r="S8869">
        <v>3.0126949999999999</v>
      </c>
      <c r="T8869">
        <v>7.061887E-2</v>
      </c>
      <c r="U8869">
        <v>2.5390630000000001E-2</v>
      </c>
      <c r="V8869">
        <v>-4.6322749999999999E-3</v>
      </c>
      <c r="W8869">
        <v>1.7917790000000001E-3</v>
      </c>
      <c r="X8869">
        <v>0.99998770000000003</v>
      </c>
      <c r="Y8869">
        <v>-9.1850959999999995E-2</v>
      </c>
      <c r="Z8869">
        <v>-3.0318699999999999E-3</v>
      </c>
      <c r="AA8869">
        <v>0.99576810000000004</v>
      </c>
      <c r="AB8869">
        <v>13</v>
      </c>
      <c r="AC8869">
        <v>109.1566</v>
      </c>
      <c r="AD8869">
        <v>2.5603539999999998</v>
      </c>
      <c r="AE8869">
        <v>0.92386999999999297</v>
      </c>
      <c r="AF8869">
        <v>-10.0301263406594</v>
      </c>
      <c r="AG8869">
        <v>2.5603539999999998</v>
      </c>
      <c r="AH8869">
        <v>108.638452726753</v>
      </c>
      <c r="AI8869">
        <v>88.655637963855199</v>
      </c>
      <c r="AJ8869">
        <v>95.274921694262602</v>
      </c>
      <c r="AK8869">
        <v>109.130528532936</v>
      </c>
      <c r="AL8869">
        <v>89.897338574068797</v>
      </c>
      <c r="AM8869">
        <v>90.265411173193698</v>
      </c>
      <c r="AN8869">
        <v>1.00000003429747</v>
      </c>
    </row>
    <row r="8870" spans="1:40" x14ac:dyDescent="0.25">
      <c r="A8870" t="str">
        <f>"20190312154131987"</f>
        <v>20190312154131987</v>
      </c>
      <c r="B8870" t="str">
        <f>"1552376491975275"</f>
        <v>1552376491975275</v>
      </c>
      <c r="C8870" t="s">
        <v>40</v>
      </c>
      <c r="D8870">
        <v>4.2307129999999997</v>
      </c>
      <c r="E8870">
        <v>0.46701870000000001</v>
      </c>
      <c r="F8870" t="s">
        <v>80</v>
      </c>
      <c r="G8870">
        <v>-157.3501</v>
      </c>
      <c r="H8870">
        <v>3.6871160000000001</v>
      </c>
      <c r="I8870">
        <v>-60.08408</v>
      </c>
      <c r="J8870">
        <v>-266.43630000000002</v>
      </c>
      <c r="K8870">
        <v>1.1108800000000001</v>
      </c>
      <c r="L8870">
        <v>-61.013240000000003</v>
      </c>
      <c r="M8870">
        <v>0.99658729999999995</v>
      </c>
      <c r="N8870">
        <v>0</v>
      </c>
      <c r="O8870">
        <v>-8.1554429999999997E-2</v>
      </c>
      <c r="P8870">
        <v>0.99689280000000002</v>
      </c>
      <c r="Q8870">
        <v>-1.1165400000000001E-2</v>
      </c>
      <c r="R8870">
        <v>-7.7975500000000003E-2</v>
      </c>
      <c r="S8870">
        <v>3.0123600000000001</v>
      </c>
      <c r="T8870">
        <v>7.1091180000000004E-2</v>
      </c>
      <c r="U8870">
        <v>2.554321E-2</v>
      </c>
      <c r="V8870">
        <v>-3.595165E-3</v>
      </c>
      <c r="W8870">
        <v>1.58197E-3</v>
      </c>
      <c r="X8870">
        <v>0.99999229999999995</v>
      </c>
      <c r="Y8870">
        <v>-8.9961310000000003E-2</v>
      </c>
      <c r="Z8870">
        <v>-2.9844540000000001E-3</v>
      </c>
      <c r="AA8870">
        <v>0.99594079999999996</v>
      </c>
      <c r="AB8870">
        <v>13</v>
      </c>
      <c r="AC8870">
        <v>109.08620000000001</v>
      </c>
      <c r="AD8870">
        <v>2.5762360000000002</v>
      </c>
      <c r="AE8870">
        <v>0.92915999999999599</v>
      </c>
      <c r="AF8870">
        <v>-9.8177753527668692</v>
      </c>
      <c r="AG8870">
        <v>2.5762360000000002</v>
      </c>
      <c r="AH8870">
        <v>108.586420735283</v>
      </c>
      <c r="AI8870">
        <v>88.646419645392598</v>
      </c>
      <c r="AJ8870">
        <v>95.166315900187797</v>
      </c>
      <c r="AK8870">
        <v>109.059783939384</v>
      </c>
      <c r="AL8870">
        <v>89.909359759141594</v>
      </c>
      <c r="AM8870">
        <v>90.205988479779094</v>
      </c>
      <c r="AN8870">
        <v>1.0000000139498699</v>
      </c>
    </row>
    <row r="8871" spans="1:40" x14ac:dyDescent="0.25">
      <c r="A8871" t="str">
        <f>"20190312154131998"</f>
        <v>20190312154131998</v>
      </c>
      <c r="B8871" t="str">
        <f>"1552376491985034"</f>
        <v>1552376491985034</v>
      </c>
      <c r="C8871" t="s">
        <v>40</v>
      </c>
      <c r="D8871">
        <v>4.2136250000000004</v>
      </c>
      <c r="E8871">
        <v>0.46722710000000001</v>
      </c>
      <c r="F8871" t="s">
        <v>80</v>
      </c>
      <c r="G8871">
        <v>-157.3501</v>
      </c>
      <c r="H8871">
        <v>3.6284740000000002</v>
      </c>
      <c r="I8871">
        <v>-60.126840000000001</v>
      </c>
      <c r="J8871">
        <v>-266.37380000000002</v>
      </c>
      <c r="K8871">
        <v>1.1107560000000001</v>
      </c>
      <c r="L8871">
        <v>-61.016419999999997</v>
      </c>
      <c r="M8871">
        <v>0.99672760000000005</v>
      </c>
      <c r="N8871">
        <v>0</v>
      </c>
      <c r="O8871">
        <v>-7.9864050000000006E-2</v>
      </c>
      <c r="P8871">
        <v>0.99695370000000005</v>
      </c>
      <c r="Q8871">
        <v>-1.1082089999999999E-2</v>
      </c>
      <c r="R8871">
        <v>-7.720436E-2</v>
      </c>
      <c r="S8871">
        <v>3.012054</v>
      </c>
      <c r="T8871">
        <v>6.9514389999999995E-2</v>
      </c>
      <c r="U8871">
        <v>2.44751E-2</v>
      </c>
      <c r="V8871">
        <v>-2.6715380000000002E-3</v>
      </c>
      <c r="W8871">
        <v>1.400295E-3</v>
      </c>
      <c r="X8871">
        <v>0.99999550000000004</v>
      </c>
      <c r="Y8871">
        <v>-8.7922490000000006E-2</v>
      </c>
      <c r="Z8871">
        <v>-2.856122E-3</v>
      </c>
      <c r="AA8871">
        <v>0.99612330000000004</v>
      </c>
      <c r="AB8871">
        <v>13</v>
      </c>
      <c r="AC8871">
        <v>109.02370000000001</v>
      </c>
      <c r="AD8871">
        <v>2.5177179999999999</v>
      </c>
      <c r="AE8871">
        <v>0.88957999999999504</v>
      </c>
      <c r="AF8871">
        <v>-9.5893770426926199</v>
      </c>
      <c r="AG8871">
        <v>2.5177179999999999</v>
      </c>
      <c r="AH8871">
        <v>108.546463268471</v>
      </c>
      <c r="AI8871">
        <v>88.676424822746597</v>
      </c>
      <c r="AJ8871">
        <v>95.048604199658399</v>
      </c>
      <c r="AK8871">
        <v>108.998301565153</v>
      </c>
      <c r="AL8871">
        <v>89.919768984136596</v>
      </c>
      <c r="AM8871">
        <v>90.153068176859605</v>
      </c>
      <c r="AN8871">
        <v>1.0000000489808101</v>
      </c>
    </row>
    <row r="8872" spans="1:40" x14ac:dyDescent="0.25">
      <c r="A8872" t="str">
        <f>"20190312154132009"</f>
        <v>20190312154132009</v>
      </c>
      <c r="B8872" t="str">
        <f>"1552376492005530"</f>
        <v>1552376492005530</v>
      </c>
      <c r="C8872" t="s">
        <v>40</v>
      </c>
      <c r="D8872">
        <v>4.244294</v>
      </c>
      <c r="E8872">
        <v>0.47188920000000001</v>
      </c>
      <c r="F8872" t="s">
        <v>80</v>
      </c>
      <c r="G8872">
        <v>-157.3501</v>
      </c>
      <c r="H8872">
        <v>3.5879270000000001</v>
      </c>
      <c r="I8872">
        <v>-60.101750000000003</v>
      </c>
      <c r="J8872">
        <v>-266.30259999999998</v>
      </c>
      <c r="K8872">
        <v>1.110609</v>
      </c>
      <c r="L8872">
        <v>-61.020020000000002</v>
      </c>
      <c r="M8872">
        <v>0.99687029999999999</v>
      </c>
      <c r="N8872">
        <v>0</v>
      </c>
      <c r="O8872">
        <v>-7.8118820000000005E-2</v>
      </c>
      <c r="P8872">
        <v>0.99700290000000003</v>
      </c>
      <c r="Q8872">
        <v>-1.0773400000000001E-2</v>
      </c>
      <c r="R8872">
        <v>-7.6612169999999993E-2</v>
      </c>
      <c r="S8872">
        <v>3.0119020000000001</v>
      </c>
      <c r="T8872">
        <v>6.8433999999999995E-2</v>
      </c>
      <c r="U8872">
        <v>2.5268550000000001E-2</v>
      </c>
      <c r="V8872">
        <v>-1.5147349999999999E-3</v>
      </c>
      <c r="W8872">
        <v>1.3559500000000001E-3</v>
      </c>
      <c r="X8872">
        <v>0.9999979</v>
      </c>
      <c r="Y8872">
        <v>-8.6442980000000003E-2</v>
      </c>
      <c r="Z8872">
        <v>-2.7555090000000002E-3</v>
      </c>
      <c r="AA8872">
        <v>0.99625300000000006</v>
      </c>
      <c r="AB8872">
        <v>14</v>
      </c>
      <c r="AC8872">
        <v>108.9525</v>
      </c>
      <c r="AD8872">
        <v>2.4773179999999901</v>
      </c>
      <c r="AE8872">
        <v>0.91826999999999204</v>
      </c>
      <c r="AF8872">
        <v>-9.4224589703636195</v>
      </c>
      <c r="AG8872">
        <v>2.4773179999999901</v>
      </c>
      <c r="AH8872">
        <v>108.491672700875</v>
      </c>
      <c r="AI8872">
        <v>88.696829250178695</v>
      </c>
      <c r="AJ8872">
        <v>94.963660793408906</v>
      </c>
      <c r="AK8872">
        <v>108.928246488021</v>
      </c>
      <c r="AL8872">
        <v>89.922309761360694</v>
      </c>
      <c r="AM8872">
        <v>90.086788038459403</v>
      </c>
      <c r="AN8872">
        <v>0.99999996651346501</v>
      </c>
    </row>
    <row r="8873" spans="1:40" x14ac:dyDescent="0.25">
      <c r="A8873" t="str">
        <f>"20190312154132021"</f>
        <v>20190312154132021</v>
      </c>
      <c r="B8873" t="str">
        <f>"1552376492015290"</f>
        <v>1552376492015290</v>
      </c>
      <c r="C8873" t="s">
        <v>40</v>
      </c>
      <c r="D8873">
        <v>4.2591850000000004</v>
      </c>
      <c r="E8873">
        <v>0.4722539</v>
      </c>
      <c r="F8873" t="s">
        <v>80</v>
      </c>
      <c r="G8873">
        <v>-157.3501</v>
      </c>
      <c r="H8873">
        <v>1.889974</v>
      </c>
      <c r="I8873">
        <v>-61.316189999999999</v>
      </c>
      <c r="J8873">
        <v>-266.23480000000001</v>
      </c>
      <c r="K8873">
        <v>1.110471</v>
      </c>
      <c r="L8873">
        <v>-61.023470000000003</v>
      </c>
      <c r="M8873">
        <v>0.99699870000000002</v>
      </c>
      <c r="N8873">
        <v>0</v>
      </c>
      <c r="O8873">
        <v>-7.651587E-2</v>
      </c>
      <c r="P8873">
        <v>0.99704020000000004</v>
      </c>
      <c r="Q8873">
        <v>-1.084391E-2</v>
      </c>
      <c r="R8873">
        <v>-7.6112429999999995E-2</v>
      </c>
      <c r="S8873">
        <v>3.0086360000000001</v>
      </c>
      <c r="T8873">
        <v>2.152097E-2</v>
      </c>
      <c r="U8873">
        <v>-8.178711E-3</v>
      </c>
      <c r="V8873">
        <v>-4.0656710000000002E-4</v>
      </c>
      <c r="W8873">
        <v>9.382406E-4</v>
      </c>
      <c r="X8873">
        <v>0.99999950000000004</v>
      </c>
      <c r="Y8873">
        <v>-7.3806640000000007E-2</v>
      </c>
      <c r="Z8873">
        <v>-8.1090489999999997E-4</v>
      </c>
      <c r="AA8873">
        <v>0.9972723</v>
      </c>
      <c r="AB8873">
        <v>14</v>
      </c>
      <c r="AC8873">
        <v>108.8847</v>
      </c>
      <c r="AD8873">
        <v>0.77950299999999995</v>
      </c>
      <c r="AE8873">
        <v>-0.29272000000000198</v>
      </c>
      <c r="AF8873">
        <v>-8.0397125125206497</v>
      </c>
      <c r="AG8873">
        <v>0.77950299999999995</v>
      </c>
      <c r="AH8873">
        <v>108.58227961029</v>
      </c>
      <c r="AI8873">
        <v>89.589808333915201</v>
      </c>
      <c r="AJ8873">
        <v>94.234600368016302</v>
      </c>
      <c r="AK8873">
        <v>108.882303647463</v>
      </c>
      <c r="AL8873">
        <v>89.946242766790604</v>
      </c>
      <c r="AM8873">
        <v>90.0232945892826</v>
      </c>
      <c r="AN8873">
        <v>1.00000002279624</v>
      </c>
    </row>
    <row r="8874" spans="1:40" x14ac:dyDescent="0.25">
      <c r="A8874" t="str">
        <f>"20190312154132032"</f>
        <v>20190312154132032</v>
      </c>
      <c r="B8874" t="str">
        <f>"1552376492025050"</f>
        <v>1552376492025050</v>
      </c>
      <c r="C8874" t="s">
        <v>40</v>
      </c>
      <c r="D8874">
        <v>4.2522279999999997</v>
      </c>
      <c r="E8874">
        <v>0.47264830000000002</v>
      </c>
      <c r="F8874" t="s">
        <v>80</v>
      </c>
      <c r="G8874">
        <v>-157.3501</v>
      </c>
      <c r="H8874">
        <v>1.9629399999999999</v>
      </c>
      <c r="I8874">
        <v>-61.370289999999997</v>
      </c>
      <c r="J8874">
        <v>-266.16449999999998</v>
      </c>
      <c r="K8874">
        <v>1.1103259999999999</v>
      </c>
      <c r="L8874">
        <v>-61.02704</v>
      </c>
      <c r="M8874">
        <v>0.99712089999999998</v>
      </c>
      <c r="N8874">
        <v>0</v>
      </c>
      <c r="O8874">
        <v>-7.4968069999999998E-2</v>
      </c>
      <c r="P8874">
        <v>0.9970772</v>
      </c>
      <c r="Q8874">
        <v>-1.044514E-2</v>
      </c>
      <c r="R8874">
        <v>-7.5684810000000005E-2</v>
      </c>
      <c r="S8874">
        <v>3.0084230000000001</v>
      </c>
      <c r="T8874">
        <v>2.355266E-2</v>
      </c>
      <c r="U8874">
        <v>-9.5825200000000006E-3</v>
      </c>
      <c r="V8874">
        <v>7.1669039999999902E-4</v>
      </c>
      <c r="W8874">
        <v>9.5349949999999997E-4</v>
      </c>
      <c r="X8874">
        <v>0.99999930000000004</v>
      </c>
      <c r="Y8874">
        <v>-7.1791830000000001E-2</v>
      </c>
      <c r="Z8874">
        <v>-8.675353E-4</v>
      </c>
      <c r="AA8874">
        <v>0.99741919999999995</v>
      </c>
      <c r="AB8874">
        <v>14</v>
      </c>
      <c r="AC8874">
        <v>108.814399999999</v>
      </c>
      <c r="AD8874">
        <v>0.85261399999999998</v>
      </c>
      <c r="AE8874">
        <v>-0.343250000000004</v>
      </c>
      <c r="AF8874">
        <v>-7.8153708597531404</v>
      </c>
      <c r="AG8874">
        <v>0.85261399999999998</v>
      </c>
      <c r="AH8874">
        <v>108.52722091190699</v>
      </c>
      <c r="AI8874">
        <v>89.551043428031605</v>
      </c>
      <c r="AJ8874">
        <v>94.118930759707993</v>
      </c>
      <c r="AK8874">
        <v>108.811601638659</v>
      </c>
      <c r="AL8874">
        <v>89.945368495227001</v>
      </c>
      <c r="AM8874">
        <v>89.958936643148704</v>
      </c>
      <c r="AN8874">
        <v>1.00000001140345</v>
      </c>
    </row>
    <row r="8875" spans="1:40" x14ac:dyDescent="0.25">
      <c r="A8875" t="str">
        <f>"20190312154132044"</f>
        <v>20190312154132044</v>
      </c>
      <c r="B8875" t="str">
        <f>"1552376492034810"</f>
        <v>1552376492034810</v>
      </c>
      <c r="C8875" t="s">
        <v>40</v>
      </c>
      <c r="D8875">
        <v>4.2315800000000001</v>
      </c>
      <c r="E8875">
        <v>0.47279969999999999</v>
      </c>
      <c r="F8875" t="s">
        <v>80</v>
      </c>
      <c r="G8875">
        <v>-157.3501</v>
      </c>
      <c r="H8875">
        <v>1.929041</v>
      </c>
      <c r="I8875">
        <v>-61.437690000000003</v>
      </c>
      <c r="J8875">
        <v>-266.09390000000002</v>
      </c>
      <c r="K8875">
        <v>1.110187</v>
      </c>
      <c r="L8875">
        <v>-61.030669999999901</v>
      </c>
      <c r="M8875">
        <v>0.99723320000000004</v>
      </c>
      <c r="N8875">
        <v>0</v>
      </c>
      <c r="O8875">
        <v>-7.3521039999999996E-2</v>
      </c>
      <c r="P8875">
        <v>0.99710379999999998</v>
      </c>
      <c r="Q8875">
        <v>-9.9600399999999999E-3</v>
      </c>
      <c r="R8875">
        <v>-7.5399530000000006E-2</v>
      </c>
      <c r="S8875">
        <v>3.0081790000000002</v>
      </c>
      <c r="T8875">
        <v>2.2632840000000001E-2</v>
      </c>
      <c r="U8875">
        <v>-1.135254E-2</v>
      </c>
      <c r="V8875">
        <v>1.8816449999999999E-3</v>
      </c>
      <c r="W8875">
        <v>1.041237E-3</v>
      </c>
      <c r="X8875">
        <v>0.99999769999999999</v>
      </c>
      <c r="Y8875">
        <v>-6.9757260000000001E-2</v>
      </c>
      <c r="Z8875">
        <v>-8.1519890000000003E-4</v>
      </c>
      <c r="AA8875">
        <v>0.99756369999999905</v>
      </c>
      <c r="AB8875">
        <v>14</v>
      </c>
      <c r="AC8875">
        <v>108.74379999999999</v>
      </c>
      <c r="AD8875">
        <v>0.81885399999999997</v>
      </c>
      <c r="AE8875">
        <v>-0.40702000000000899</v>
      </c>
      <c r="AF8875">
        <v>-7.5890907639750198</v>
      </c>
      <c r="AG8875">
        <v>0.81885399999999997</v>
      </c>
      <c r="AH8875">
        <v>108.473243131202</v>
      </c>
      <c r="AI8875">
        <v>89.568542546928697</v>
      </c>
      <c r="AJ8875">
        <v>94.002051372958107</v>
      </c>
      <c r="AK8875">
        <v>108.741479187558</v>
      </c>
      <c r="AL8875">
        <v>89.940341504385898</v>
      </c>
      <c r="AM8875">
        <v>89.892189562231707</v>
      </c>
      <c r="AN8875">
        <v>1.00000001238384</v>
      </c>
    </row>
    <row r="8876" spans="1:40" x14ac:dyDescent="0.25">
      <c r="A8876" t="str">
        <f>"20190312154132055"</f>
        <v>20190312154132055</v>
      </c>
      <c r="B8876" t="str">
        <f>"1552376492045545"</f>
        <v>1552376492045545</v>
      </c>
      <c r="C8876" t="s">
        <v>40</v>
      </c>
      <c r="D8876">
        <v>4.2412390000000002</v>
      </c>
      <c r="E8876">
        <v>0.4732498</v>
      </c>
      <c r="F8876" t="s">
        <v>80</v>
      </c>
      <c r="G8876">
        <v>-157.3501</v>
      </c>
      <c r="H8876">
        <v>1.8677779999999999</v>
      </c>
      <c r="I8876">
        <v>-61.447690000000001</v>
      </c>
      <c r="J8876">
        <v>-266.02690000000001</v>
      </c>
      <c r="K8876">
        <v>1.1100570000000001</v>
      </c>
      <c r="L8876">
        <v>-61.034149999999997</v>
      </c>
      <c r="M8876">
        <v>0.99733289999999997</v>
      </c>
      <c r="N8876">
        <v>0</v>
      </c>
      <c r="O8876">
        <v>-7.2212410000000005E-2</v>
      </c>
      <c r="P8876">
        <v>0.99710359999999998</v>
      </c>
      <c r="Q8876">
        <v>-9.5759769999999994E-3</v>
      </c>
      <c r="R8876">
        <v>-7.5451279999999996E-2</v>
      </c>
      <c r="S8876">
        <v>3.008057</v>
      </c>
      <c r="T8876">
        <v>2.09558E-2</v>
      </c>
      <c r="U8876">
        <v>-1.153564E-2</v>
      </c>
      <c r="V8876">
        <v>3.245974E-3</v>
      </c>
      <c r="W8876">
        <v>1.039807E-3</v>
      </c>
      <c r="X8876">
        <v>0.99999420000000006</v>
      </c>
      <c r="Y8876">
        <v>-6.838764E-2</v>
      </c>
      <c r="Z8876">
        <v>-7.4095539999999998E-4</v>
      </c>
      <c r="AA8876">
        <v>0.99765859999999995</v>
      </c>
      <c r="AB8876">
        <v>14</v>
      </c>
      <c r="AC8876">
        <v>108.6768</v>
      </c>
      <c r="AD8876">
        <v>0.75772099999999898</v>
      </c>
      <c r="AE8876">
        <v>-0.41354000000000402</v>
      </c>
      <c r="AF8876">
        <v>-7.4354332500908598</v>
      </c>
      <c r="AG8876">
        <v>0.75772099999999898</v>
      </c>
      <c r="AH8876">
        <v>108.417636975961</v>
      </c>
      <c r="AI8876">
        <v>89.6005098797703</v>
      </c>
      <c r="AJ8876">
        <v>93.923281495850205</v>
      </c>
      <c r="AK8876">
        <v>108.6749456691</v>
      </c>
      <c r="AL8876">
        <v>89.940423437179803</v>
      </c>
      <c r="AM8876">
        <v>89.814018963889595</v>
      </c>
      <c r="AN8876">
        <v>1.0000000087897201</v>
      </c>
    </row>
    <row r="8877" spans="1:40" x14ac:dyDescent="0.25">
      <c r="A8877" t="str">
        <f>"20190312154132066"</f>
        <v>20190312154132066</v>
      </c>
      <c r="B8877" t="str">
        <f>"1552376492055306"</f>
        <v>1552376492055306</v>
      </c>
      <c r="C8877" t="s">
        <v>40</v>
      </c>
      <c r="D8877">
        <v>4.2600530000000001</v>
      </c>
      <c r="E8877">
        <v>0.47330499999999998</v>
      </c>
      <c r="F8877" t="s">
        <v>80</v>
      </c>
      <c r="G8877">
        <v>-157.3501</v>
      </c>
      <c r="H8877">
        <v>1.962836</v>
      </c>
      <c r="I8877">
        <v>-61.587679999999999</v>
      </c>
      <c r="J8877">
        <v>-265.96159999999998</v>
      </c>
      <c r="K8877">
        <v>1.109936</v>
      </c>
      <c r="L8877">
        <v>-61.03754</v>
      </c>
      <c r="M8877">
        <v>0.99741919999999995</v>
      </c>
      <c r="N8877">
        <v>0</v>
      </c>
      <c r="O8877">
        <v>-7.1067149999999996E-2</v>
      </c>
      <c r="P8877">
        <v>0.9971023</v>
      </c>
      <c r="Q8877">
        <v>-9.00022199999999E-3</v>
      </c>
      <c r="R8877">
        <v>-7.5539679999999998E-2</v>
      </c>
      <c r="S8877">
        <v>3.0077820000000002</v>
      </c>
      <c r="T8877">
        <v>2.360129E-2</v>
      </c>
      <c r="U8877">
        <v>-1.531982E-2</v>
      </c>
      <c r="V8877">
        <v>4.4828339999999998E-3</v>
      </c>
      <c r="W8877">
        <v>1.2286339999999999E-3</v>
      </c>
      <c r="X8877">
        <v>0.99998920000000002</v>
      </c>
      <c r="Y8877">
        <v>-6.5985279999999993E-2</v>
      </c>
      <c r="Z8877">
        <v>-8.1616360000000005E-4</v>
      </c>
      <c r="AA8877">
        <v>0.99782029999999999</v>
      </c>
      <c r="AB8877">
        <v>14</v>
      </c>
      <c r="AC8877">
        <v>108.611499999999</v>
      </c>
      <c r="AD8877">
        <v>0.85289999999999999</v>
      </c>
      <c r="AE8877">
        <v>-0.55014000000000596</v>
      </c>
      <c r="AF8877">
        <v>-7.1699217372330803</v>
      </c>
      <c r="AG8877">
        <v>0.85289999999999999</v>
      </c>
      <c r="AH8877">
        <v>108.369267166901</v>
      </c>
      <c r="AI8877">
        <v>89.550057293895193</v>
      </c>
      <c r="AJ8877">
        <v>93.785283536556804</v>
      </c>
      <c r="AK8877">
        <v>108.609545079699</v>
      </c>
      <c r="AL8877">
        <v>89.929604439715007</v>
      </c>
      <c r="AM8877">
        <v>89.743151478113106</v>
      </c>
      <c r="AN8877">
        <v>1.0000000027294</v>
      </c>
    </row>
    <row r="8878" spans="1:40" x14ac:dyDescent="0.25">
      <c r="A8878" t="str">
        <f>"20190312154132075"</f>
        <v>20190312154132075</v>
      </c>
      <c r="B8878" t="str">
        <f>"1552376492065065"</f>
        <v>1552376492065065</v>
      </c>
      <c r="C8878" t="s">
        <v>40</v>
      </c>
      <c r="D8878">
        <v>4.2285500000000003</v>
      </c>
      <c r="E8878">
        <v>0.47325109999999898</v>
      </c>
      <c r="F8878" t="s">
        <v>80</v>
      </c>
      <c r="G8878">
        <v>-157.3501</v>
      </c>
      <c r="H8878">
        <v>1.989233</v>
      </c>
      <c r="I8878">
        <v>-61.613889999999998</v>
      </c>
      <c r="J8878">
        <v>-265.89510000000001</v>
      </c>
      <c r="K8878">
        <v>1.10981</v>
      </c>
      <c r="L8878">
        <v>-61.041020000000003</v>
      </c>
      <c r="M8878">
        <v>0.99750320000000003</v>
      </c>
      <c r="N8878">
        <v>0</v>
      </c>
      <c r="O8878">
        <v>-6.9935579999999997E-2</v>
      </c>
      <c r="P8878">
        <v>0.99710469999999896</v>
      </c>
      <c r="Q8878">
        <v>-8.6207339999999997E-3</v>
      </c>
      <c r="R8878">
        <v>-7.5554410000000002E-2</v>
      </c>
      <c r="S8878">
        <v>3.0077210000000001</v>
      </c>
      <c r="T8878">
        <v>2.4349329999999999E-2</v>
      </c>
      <c r="U8878">
        <v>-1.596069E-2</v>
      </c>
      <c r="V8878">
        <v>5.6321419999999997E-3</v>
      </c>
      <c r="W8878">
        <v>1.2114680000000001E-3</v>
      </c>
      <c r="X8878">
        <v>0.99998339999999997</v>
      </c>
      <c r="Y8878">
        <v>-6.4640050000000004E-2</v>
      </c>
      <c r="Z8878">
        <v>-8.274558E-4</v>
      </c>
      <c r="AA8878">
        <v>0.99790829999999997</v>
      </c>
      <c r="AB8878">
        <v>14</v>
      </c>
      <c r="AC8878">
        <v>108.545</v>
      </c>
      <c r="AD8878">
        <v>0.87942299999999995</v>
      </c>
      <c r="AE8878">
        <v>-0.57287000000000798</v>
      </c>
      <c r="AF8878">
        <v>-7.0195954185381702</v>
      </c>
      <c r="AG8878">
        <v>0.87942299999999995</v>
      </c>
      <c r="AH8878">
        <v>108.31215937211699</v>
      </c>
      <c r="AI8878">
        <v>89.535780282026707</v>
      </c>
      <c r="AJ8878">
        <v>93.708092531364002</v>
      </c>
      <c r="AK8878">
        <v>108.542949897743</v>
      </c>
      <c r="AL8878">
        <v>89.930587979222594</v>
      </c>
      <c r="AM8878">
        <v>89.677300089114695</v>
      </c>
      <c r="AN8878">
        <v>0.99999999447689103</v>
      </c>
    </row>
    <row r="8879" spans="1:40" x14ac:dyDescent="0.25">
      <c r="A8879" t="str">
        <f>"20190312154132087"</f>
        <v>20190312154132087</v>
      </c>
      <c r="B8879" t="str">
        <f>"1552376492074826"</f>
        <v>1552376492074826</v>
      </c>
      <c r="C8879" t="s">
        <v>40</v>
      </c>
      <c r="D8879">
        <v>4.2568339999999996</v>
      </c>
      <c r="E8879">
        <v>0.47311969999999998</v>
      </c>
      <c r="F8879" t="s">
        <v>80</v>
      </c>
      <c r="G8879">
        <v>-157.3501</v>
      </c>
      <c r="H8879">
        <v>2.1377890000000002</v>
      </c>
      <c r="I8879">
        <v>-61.607089999999999</v>
      </c>
      <c r="J8879">
        <v>-265.82319999999999</v>
      </c>
      <c r="K8879">
        <v>1.1096839999999999</v>
      </c>
      <c r="L8879">
        <v>-61.044800000000002</v>
      </c>
      <c r="M8879">
        <v>0.99758119999999995</v>
      </c>
      <c r="N8879">
        <v>0</v>
      </c>
      <c r="O8879">
        <v>-6.887443E-2</v>
      </c>
      <c r="P8879">
        <v>0.99711170000000005</v>
      </c>
      <c r="Q8879">
        <v>-8.0764700000000005E-3</v>
      </c>
      <c r="R8879">
        <v>-7.5519959999999997E-2</v>
      </c>
      <c r="S8879">
        <v>3.0078130000000001</v>
      </c>
      <c r="T8879">
        <v>2.848506E-2</v>
      </c>
      <c r="U8879">
        <v>-1.5686039999999998E-2</v>
      </c>
      <c r="V8879">
        <v>6.6615149999999998E-3</v>
      </c>
      <c r="W8879">
        <v>1.317326E-3</v>
      </c>
      <c r="X8879">
        <v>0.99997689999999995</v>
      </c>
      <c r="Y8879">
        <v>-6.3667950000000001E-2</v>
      </c>
      <c r="Z8879">
        <v>-9.5332839999999995E-4</v>
      </c>
      <c r="AA8879">
        <v>0.99797069999999999</v>
      </c>
      <c r="AB8879">
        <v>14</v>
      </c>
      <c r="AC8879">
        <v>108.4731</v>
      </c>
      <c r="AD8879">
        <v>1.0281049999999901</v>
      </c>
      <c r="AE8879">
        <v>-0.56228999999999696</v>
      </c>
      <c r="AF8879">
        <v>-6.90977657727659</v>
      </c>
      <c r="AG8879">
        <v>1.0281049999999901</v>
      </c>
      <c r="AH8879">
        <v>108.244495778489</v>
      </c>
      <c r="AI8879">
        <v>89.456926987099706</v>
      </c>
      <c r="AJ8879">
        <v>93.652514538682894</v>
      </c>
      <c r="AK8879">
        <v>108.469686450078</v>
      </c>
      <c r="AL8879">
        <v>89.9245227547935</v>
      </c>
      <c r="AM8879">
        <v>89.618320134376404</v>
      </c>
      <c r="AN8879">
        <v>0.99999995583174595</v>
      </c>
    </row>
    <row r="8880" spans="1:40" x14ac:dyDescent="0.25">
      <c r="A8880" t="str">
        <f>"20190312154132099"</f>
        <v>20190312154132099</v>
      </c>
      <c r="B8880" t="str">
        <f>"1552376492085562"</f>
        <v>1552376492085562</v>
      </c>
      <c r="C8880" t="s">
        <v>40</v>
      </c>
      <c r="D8880">
        <v>4.2653230000000004</v>
      </c>
      <c r="E8880">
        <v>0.47308709999999998</v>
      </c>
      <c r="F8880" t="s">
        <v>80</v>
      </c>
      <c r="G8880">
        <v>-157.3501</v>
      </c>
      <c r="H8880">
        <v>2.2616849999999999</v>
      </c>
      <c r="I8880">
        <v>-61.568669999999997</v>
      </c>
      <c r="J8880">
        <v>-265.75420000000003</v>
      </c>
      <c r="K8880">
        <v>1.109567</v>
      </c>
      <c r="L8880">
        <v>-61.048490000000001</v>
      </c>
      <c r="M8880">
        <v>0.99765250000000005</v>
      </c>
      <c r="N8880">
        <v>0</v>
      </c>
      <c r="O8880">
        <v>-6.7889989999999997E-2</v>
      </c>
      <c r="P8880">
        <v>0.99709020000000004</v>
      </c>
      <c r="Q8880">
        <v>-7.9257340000000003E-3</v>
      </c>
      <c r="R8880">
        <v>-7.5819549999999999E-2</v>
      </c>
      <c r="S8880">
        <v>3.0078130000000001</v>
      </c>
      <c r="T8880">
        <v>3.194284E-2</v>
      </c>
      <c r="U8880">
        <v>-1.452637E-2</v>
      </c>
      <c r="V8880">
        <v>7.9490150000000002E-3</v>
      </c>
      <c r="W8880">
        <v>1.0450520000000001E-3</v>
      </c>
      <c r="X8880">
        <v>0.99996790000000002</v>
      </c>
      <c r="Y8880">
        <v>-6.3066209999999998E-2</v>
      </c>
      <c r="Z8880">
        <v>-1.055416E-3</v>
      </c>
      <c r="AA8880">
        <v>0.99800880000000003</v>
      </c>
      <c r="AB8880">
        <v>14</v>
      </c>
      <c r="AC8880">
        <v>108.4041</v>
      </c>
      <c r="AD8880">
        <v>1.152118</v>
      </c>
      <c r="AE8880">
        <v>-0.52017999999999598</v>
      </c>
      <c r="AF8880">
        <v>-6.8400969275831303</v>
      </c>
      <c r="AG8880">
        <v>1.152118</v>
      </c>
      <c r="AH8880">
        <v>108.17706899344201</v>
      </c>
      <c r="AI8880">
        <v>89.391022028363807</v>
      </c>
      <c r="AJ8880">
        <v>93.618027749984407</v>
      </c>
      <c r="AK8880">
        <v>108.39922766273</v>
      </c>
      <c r="AL8880">
        <v>89.940122922524495</v>
      </c>
      <c r="AM8880">
        <v>89.544549962229993</v>
      </c>
      <c r="AN8880">
        <v>1.0000000400017801</v>
      </c>
    </row>
    <row r="8881" spans="1:40" x14ac:dyDescent="0.25">
      <c r="A8881" t="str">
        <f>"20190312154132113"</f>
        <v>20190312154132113</v>
      </c>
      <c r="B8881" t="str">
        <f>"1552376492105082"</f>
        <v>1552376492105082</v>
      </c>
      <c r="C8881" t="s">
        <v>40</v>
      </c>
      <c r="D8881">
        <v>4.2929050000000002</v>
      </c>
      <c r="E8881">
        <v>0.47329719999999997</v>
      </c>
      <c r="F8881" t="s">
        <v>80</v>
      </c>
      <c r="G8881">
        <v>-157.3501</v>
      </c>
      <c r="H8881">
        <v>2.3084229999999999</v>
      </c>
      <c r="I8881">
        <v>-61.596220000000002</v>
      </c>
      <c r="J8881">
        <v>-265.6524</v>
      </c>
      <c r="K8881">
        <v>1.1094010000000001</v>
      </c>
      <c r="L8881">
        <v>-61.053989999999999</v>
      </c>
      <c r="M8881">
        <v>0.99774090000000004</v>
      </c>
      <c r="N8881">
        <v>0</v>
      </c>
      <c r="O8881">
        <v>-6.6660029999999995E-2</v>
      </c>
      <c r="P8881">
        <v>0.99711819999999896</v>
      </c>
      <c r="Q8881">
        <v>-7.3819150000000002E-3</v>
      </c>
      <c r="R8881">
        <v>-7.5505530000000001E-2</v>
      </c>
      <c r="S8881">
        <v>3.0078740000000002</v>
      </c>
      <c r="T8881">
        <v>3.3263920000000002E-2</v>
      </c>
      <c r="U8881">
        <v>-1.5197749999999999E-2</v>
      </c>
      <c r="V8881">
        <v>8.8672119999999993E-3</v>
      </c>
      <c r="W8881">
        <v>9.6112870000000003E-4</v>
      </c>
      <c r="X8881">
        <v>0.99996019999999997</v>
      </c>
      <c r="Y8881">
        <v>-6.1612310000000003E-2</v>
      </c>
      <c r="Z8881">
        <v>-1.0774179999999999E-3</v>
      </c>
      <c r="AA8881">
        <v>0.99809959999999998</v>
      </c>
      <c r="AB8881">
        <v>14</v>
      </c>
      <c r="AC8881">
        <v>108.3023</v>
      </c>
      <c r="AD8881">
        <v>1.19902199999999</v>
      </c>
      <c r="AE8881">
        <v>-0.54222999999999599</v>
      </c>
      <c r="AF8881">
        <v>-6.6778432566549597</v>
      </c>
      <c r="AG8881">
        <v>1.19902199999999</v>
      </c>
      <c r="AH8881">
        <v>108.084290390061</v>
      </c>
      <c r="AI8881">
        <v>89.365630723866104</v>
      </c>
      <c r="AJ8881">
        <v>93.535449111034296</v>
      </c>
      <c r="AK8881">
        <v>108.29702245879101</v>
      </c>
      <c r="AL8881">
        <v>89.944931372143003</v>
      </c>
      <c r="AM8881">
        <v>89.491939271625597</v>
      </c>
      <c r="AN8881">
        <v>0.99999997640053495</v>
      </c>
    </row>
    <row r="8882" spans="1:40" x14ac:dyDescent="0.25">
      <c r="A8882" t="str">
        <f>"20190312154132124"</f>
        <v>20190312154132124</v>
      </c>
      <c r="B8882" t="str">
        <f>"1552376492114842"</f>
        <v>1552376492114842</v>
      </c>
      <c r="C8882" t="s">
        <v>40</v>
      </c>
      <c r="D8882">
        <v>4.266953</v>
      </c>
      <c r="E8882">
        <v>0.47340710000000003</v>
      </c>
      <c r="F8882" t="s">
        <v>80</v>
      </c>
      <c r="G8882">
        <v>-157.3501</v>
      </c>
      <c r="H8882">
        <v>2.3547189999999998</v>
      </c>
      <c r="I8882">
        <v>-61.628700000000002</v>
      </c>
      <c r="J8882">
        <v>-265.58620000000002</v>
      </c>
      <c r="K8882">
        <v>1.109302</v>
      </c>
      <c r="L8882">
        <v>-61.057589999999998</v>
      </c>
      <c r="M8882">
        <v>0.99779079999999998</v>
      </c>
      <c r="N8882">
        <v>0</v>
      </c>
      <c r="O8882">
        <v>-6.5960630000000006E-2</v>
      </c>
      <c r="P8882">
        <v>0.99711360000000004</v>
      </c>
      <c r="Q8882">
        <v>-7.4545480000000001E-3</v>
      </c>
      <c r="R8882">
        <v>-7.5561439999999994E-2</v>
      </c>
      <c r="S8882">
        <v>3.0076900000000002</v>
      </c>
      <c r="T8882">
        <v>3.4583450000000002E-2</v>
      </c>
      <c r="U8882">
        <v>-1.596069E-2</v>
      </c>
      <c r="V8882">
        <v>9.6242629999999992E-3</v>
      </c>
      <c r="W8882">
        <v>4.8190750000000001E-4</v>
      </c>
      <c r="X8882">
        <v>0.9999536</v>
      </c>
      <c r="Y8882">
        <v>-6.0658419999999998E-2</v>
      </c>
      <c r="Z8882">
        <v>-1.1067060000000001E-3</v>
      </c>
      <c r="AA8882">
        <v>0.99815799999999999</v>
      </c>
      <c r="AB8882">
        <v>14</v>
      </c>
      <c r="AC8882">
        <v>108.23609999999999</v>
      </c>
      <c r="AD8882">
        <v>1.24541699999999</v>
      </c>
      <c r="AE8882">
        <v>-0.57110999999999701</v>
      </c>
      <c r="AF8882">
        <v>-6.56880937120612</v>
      </c>
      <c r="AG8882">
        <v>1.24541699999999</v>
      </c>
      <c r="AH8882">
        <v>108.02374156745201</v>
      </c>
      <c r="AI8882">
        <v>89.340678002460194</v>
      </c>
      <c r="AJ8882">
        <v>93.479810789757295</v>
      </c>
      <c r="AK8882">
        <v>108.230444248792</v>
      </c>
      <c r="AL8882">
        <v>89.972388733905305</v>
      </c>
      <c r="AM8882">
        <v>89.448561788731695</v>
      </c>
      <c r="AN8882">
        <v>1.0000000304130401</v>
      </c>
    </row>
    <row r="8883" spans="1:40" x14ac:dyDescent="0.25">
      <c r="A8883" t="str">
        <f>"20190312154132135"</f>
        <v>20190312154132135</v>
      </c>
      <c r="B8883" t="str">
        <f>"1552376492125579"</f>
        <v>1552376492125579</v>
      </c>
      <c r="C8883" t="s">
        <v>40</v>
      </c>
      <c r="D8883">
        <v>4.3630719999999998</v>
      </c>
      <c r="E8883">
        <v>0.47319840000000002</v>
      </c>
      <c r="F8883" t="s">
        <v>80</v>
      </c>
      <c r="G8883">
        <v>-157.3501</v>
      </c>
      <c r="H8883">
        <v>2.355003</v>
      </c>
      <c r="I8883">
        <v>-61.671500000000002</v>
      </c>
      <c r="J8883">
        <v>-265.51560000000001</v>
      </c>
      <c r="K8883">
        <v>1.1091979999999999</v>
      </c>
      <c r="L8883">
        <v>-61.061459999999997</v>
      </c>
      <c r="M8883">
        <v>0.99784030000000001</v>
      </c>
      <c r="N8883">
        <v>0</v>
      </c>
      <c r="O8883">
        <v>-6.5256519999999998E-2</v>
      </c>
      <c r="P8883">
        <v>0.99711479999999997</v>
      </c>
      <c r="Q8883">
        <v>-7.4031619999999996E-3</v>
      </c>
      <c r="R8883">
        <v>-7.5548829999999997E-2</v>
      </c>
      <c r="S8883">
        <v>3.0076290000000001</v>
      </c>
      <c r="T8883">
        <v>3.4614560000000003E-2</v>
      </c>
      <c r="U8883">
        <v>-1.7059330000000001E-2</v>
      </c>
      <c r="V8883">
        <v>1.0317700000000001E-2</v>
      </c>
      <c r="W8883">
        <v>1.009146E-4</v>
      </c>
      <c r="X8883">
        <v>0.99994680000000002</v>
      </c>
      <c r="Y8883">
        <v>-5.9589209999999997E-2</v>
      </c>
      <c r="Z8883">
        <v>-1.093477E-3</v>
      </c>
      <c r="AA8883">
        <v>0.99822239999999995</v>
      </c>
      <c r="AB8883">
        <v>14</v>
      </c>
      <c r="AC8883">
        <v>108.16549999999999</v>
      </c>
      <c r="AD8883">
        <v>1.2458049999999901</v>
      </c>
      <c r="AE8883">
        <v>-0.61004000000000502</v>
      </c>
      <c r="AF8883">
        <v>-6.44910778117353</v>
      </c>
      <c r="AG8883">
        <v>1.2458049999999901</v>
      </c>
      <c r="AH8883">
        <v>107.960423791339</v>
      </c>
      <c r="AI8883">
        <v>89.340043316662701</v>
      </c>
      <c r="AJ8883">
        <v>93.418549786582304</v>
      </c>
      <c r="AK8883">
        <v>108.160048661587</v>
      </c>
      <c r="AL8883">
        <v>89.994218019515301</v>
      </c>
      <c r="AM8883">
        <v>89.4088288636285</v>
      </c>
      <c r="AN8883">
        <v>1.0000000339736399</v>
      </c>
    </row>
    <row r="8884" spans="1:40" x14ac:dyDescent="0.25">
      <c r="A8884" t="str">
        <f>"20190312154132147"</f>
        <v>20190312154132147</v>
      </c>
      <c r="B8884" t="str">
        <f>"1552376492135338"</f>
        <v>1552376492135338</v>
      </c>
      <c r="C8884" t="s">
        <v>40</v>
      </c>
      <c r="D8884">
        <v>4.3391799999999998</v>
      </c>
      <c r="E8884">
        <v>0.47293750000000001</v>
      </c>
      <c r="F8884" t="s">
        <v>80</v>
      </c>
      <c r="G8884">
        <v>-157.3501</v>
      </c>
      <c r="H8884">
        <v>2.3010449999999998</v>
      </c>
      <c r="I8884">
        <v>-61.611289999999997</v>
      </c>
      <c r="J8884">
        <v>-265.4409</v>
      </c>
      <c r="K8884">
        <v>1.1090930000000001</v>
      </c>
      <c r="L8884">
        <v>-61.065640000000002</v>
      </c>
      <c r="M8884">
        <v>0.99788399999999999</v>
      </c>
      <c r="N8884">
        <v>0</v>
      </c>
      <c r="O8884">
        <v>-6.4637739999999999E-2</v>
      </c>
      <c r="P8884">
        <v>0.9971063</v>
      </c>
      <c r="Q8884">
        <v>-7.3490609999999996E-3</v>
      </c>
      <c r="R8884">
        <v>-7.5664289999999995E-2</v>
      </c>
      <c r="S8884">
        <v>3.0077820000000002</v>
      </c>
      <c r="T8884">
        <v>3.3141370000000003E-2</v>
      </c>
      <c r="U8884">
        <v>-1.528931E-2</v>
      </c>
      <c r="V8884">
        <v>1.1053820000000001E-2</v>
      </c>
      <c r="W8884">
        <v>-2.9406979999999999E-4</v>
      </c>
      <c r="X8884">
        <v>0.99993880000000002</v>
      </c>
      <c r="Y8884">
        <v>-5.9558409999999999E-2</v>
      </c>
      <c r="Z8884">
        <v>-1.0399140000000001E-3</v>
      </c>
      <c r="AA8884">
        <v>0.99822429999999995</v>
      </c>
      <c r="AB8884">
        <v>14</v>
      </c>
      <c r="AC8884">
        <v>108.0908</v>
      </c>
      <c r="AD8884">
        <v>1.1919519999999999</v>
      </c>
      <c r="AE8884">
        <v>-0.54565000000000197</v>
      </c>
      <c r="AF8884">
        <v>-6.4416257323841304</v>
      </c>
      <c r="AG8884">
        <v>1.1919519999999999</v>
      </c>
      <c r="AH8884">
        <v>107.88690029630899</v>
      </c>
      <c r="AI8884">
        <v>89.368137859576294</v>
      </c>
      <c r="AJ8884">
        <v>93.416914572423494</v>
      </c>
      <c r="AK8884">
        <v>108.08560749328301</v>
      </c>
      <c r="AL8884">
        <v>90.0168489596999</v>
      </c>
      <c r="AM8884">
        <v>89.3666498019155</v>
      </c>
      <c r="AN8884">
        <v>0.99999993857953795</v>
      </c>
    </row>
    <row r="8885" spans="1:40" x14ac:dyDescent="0.25">
      <c r="A8885" t="str">
        <f>"20190312154132158"</f>
        <v>20190312154132158</v>
      </c>
      <c r="B8885" t="str">
        <f>"1552376492154858"</f>
        <v>1552376492154858</v>
      </c>
      <c r="C8885" t="s">
        <v>40</v>
      </c>
      <c r="D8885">
        <v>4.3604240000000001</v>
      </c>
      <c r="E8885">
        <v>0.47259400000000001</v>
      </c>
      <c r="F8885" t="s">
        <v>80</v>
      </c>
      <c r="G8885">
        <v>-157.3501</v>
      </c>
      <c r="H8885">
        <v>2.2573110000000001</v>
      </c>
      <c r="I8885">
        <v>-61.551459999999999</v>
      </c>
      <c r="J8885">
        <v>-265.36369999999999</v>
      </c>
      <c r="K8885">
        <v>1.108994</v>
      </c>
      <c r="L8885">
        <v>-61.069949999999999</v>
      </c>
      <c r="M8885">
        <v>0.99792579999999997</v>
      </c>
      <c r="N8885">
        <v>0</v>
      </c>
      <c r="O8885">
        <v>-6.4037670000000005E-2</v>
      </c>
      <c r="P8885">
        <v>0.99712279999999998</v>
      </c>
      <c r="Q8885">
        <v>-6.9889740000000002E-3</v>
      </c>
      <c r="R8885">
        <v>-7.5482140000000003E-2</v>
      </c>
      <c r="S8885">
        <v>3.0079039999999999</v>
      </c>
      <c r="T8885">
        <v>3.1951550000000002E-2</v>
      </c>
      <c r="U8885">
        <v>-1.351929E-2</v>
      </c>
      <c r="V8885">
        <v>1.147216E-2</v>
      </c>
      <c r="W8885">
        <v>-3.9465140000000001E-4</v>
      </c>
      <c r="X8885">
        <v>0.99993410000000005</v>
      </c>
      <c r="Y8885">
        <v>-5.9546120000000001E-2</v>
      </c>
      <c r="Z8885">
        <v>-9.9611500000000011E-4</v>
      </c>
      <c r="AA8885">
        <v>0.99822500000000003</v>
      </c>
      <c r="AB8885">
        <v>15</v>
      </c>
      <c r="AC8885">
        <v>108.0136</v>
      </c>
      <c r="AD8885">
        <v>1.148317</v>
      </c>
      <c r="AE8885">
        <v>-0.48150999999999999</v>
      </c>
      <c r="AF8885">
        <v>-6.4358399082545601</v>
      </c>
      <c r="AG8885">
        <v>1.148317</v>
      </c>
      <c r="AH8885">
        <v>107.810541157538</v>
      </c>
      <c r="AI8885">
        <v>89.390835778498698</v>
      </c>
      <c r="AJ8885">
        <v>93.416264995066498</v>
      </c>
      <c r="AK8885">
        <v>108.00857119663399</v>
      </c>
      <c r="AL8885">
        <v>90.022611860518793</v>
      </c>
      <c r="AM8885">
        <v>89.3426791703113</v>
      </c>
      <c r="AN8885">
        <v>0.99999998527380096</v>
      </c>
    </row>
    <row r="8886" spans="1:40" x14ac:dyDescent="0.25">
      <c r="A8886" t="str">
        <f>"20190312154132168"</f>
        <v>20190312154132168</v>
      </c>
      <c r="B8886" t="str">
        <f>"1552376492165594"</f>
        <v>1552376492165594</v>
      </c>
      <c r="C8886" t="s">
        <v>40</v>
      </c>
      <c r="D8886">
        <v>4.3526680000000004</v>
      </c>
      <c r="E8886">
        <v>0.47247240000000001</v>
      </c>
      <c r="F8886" t="s">
        <v>80</v>
      </c>
      <c r="G8886">
        <v>-157.3501</v>
      </c>
      <c r="H8886">
        <v>2.2050420000000002</v>
      </c>
      <c r="I8886">
        <v>-61.435940000000002</v>
      </c>
      <c r="J8886">
        <v>-265.29340000000002</v>
      </c>
      <c r="K8886">
        <v>1.1089119999999999</v>
      </c>
      <c r="L8886">
        <v>-61.07394</v>
      </c>
      <c r="M8886">
        <v>0.9979557</v>
      </c>
      <c r="N8886">
        <v>0</v>
      </c>
      <c r="O8886">
        <v>-6.3610130000000001E-2</v>
      </c>
      <c r="P8886">
        <v>0.99713399999999996</v>
      </c>
      <c r="Q8886">
        <v>-6.7450180000000002E-3</v>
      </c>
      <c r="R8886">
        <v>-7.5353199999999995E-2</v>
      </c>
      <c r="S8886">
        <v>3.0080870000000002</v>
      </c>
      <c r="T8886">
        <v>3.0523419999999999E-2</v>
      </c>
      <c r="U8886">
        <v>-1.019287E-2</v>
      </c>
      <c r="V8886">
        <v>1.177134E-2</v>
      </c>
      <c r="W8886">
        <v>-5.59466E-4</v>
      </c>
      <c r="X8886">
        <v>0.9999306</v>
      </c>
      <c r="Y8886">
        <v>-6.0222989999999997E-2</v>
      </c>
      <c r="Z8886">
        <v>-9.506451E-4</v>
      </c>
      <c r="AA8886">
        <v>0.99818450000000003</v>
      </c>
      <c r="AB8886">
        <v>15</v>
      </c>
      <c r="AC8886">
        <v>107.94329999999999</v>
      </c>
      <c r="AD8886">
        <v>1.0961299999999901</v>
      </c>
      <c r="AE8886">
        <v>-0.36200000000000099</v>
      </c>
      <c r="AF8886">
        <v>-6.5044808225524902</v>
      </c>
      <c r="AG8886">
        <v>1.0961299999999901</v>
      </c>
      <c r="AH8886">
        <v>107.736605468139</v>
      </c>
      <c r="AI8886">
        <v>89.418142798440996</v>
      </c>
      <c r="AJ8886">
        <v>93.454976872468293</v>
      </c>
      <c r="AK8886">
        <v>107.938343185104</v>
      </c>
      <c r="AL8886">
        <v>90.032055040934793</v>
      </c>
      <c r="AM8886">
        <v>89.325536244244702</v>
      </c>
      <c r="AN8886">
        <v>1.0000000411319701</v>
      </c>
    </row>
    <row r="8887" spans="1:40" x14ac:dyDescent="0.25">
      <c r="A8887" t="str">
        <f>"20190312154132178"</f>
        <v>20190312154132178</v>
      </c>
      <c r="B8887" t="str">
        <f>"1552376492175355"</f>
        <v>1552376492175355</v>
      </c>
      <c r="C8887" t="s">
        <v>40</v>
      </c>
      <c r="D8887">
        <v>4.3676539999999999</v>
      </c>
      <c r="E8887">
        <v>0.47242400000000001</v>
      </c>
      <c r="F8887" t="s">
        <v>80</v>
      </c>
      <c r="G8887">
        <v>-157.3501</v>
      </c>
      <c r="H8887">
        <v>2.1997909999999998</v>
      </c>
      <c r="I8887">
        <v>-61.390419999999999</v>
      </c>
      <c r="J8887">
        <v>-265.2303</v>
      </c>
      <c r="K8887">
        <v>1.108846</v>
      </c>
      <c r="L8887">
        <v>-61.077509999999997</v>
      </c>
      <c r="M8887">
        <v>0.99798160000000002</v>
      </c>
      <c r="N8887">
        <v>0</v>
      </c>
      <c r="O8887">
        <v>-6.3237929999999998E-2</v>
      </c>
      <c r="P8887">
        <v>0.99714919999999996</v>
      </c>
      <c r="Q8887">
        <v>-6.4267059999999999E-3</v>
      </c>
      <c r="R8887">
        <v>-7.5183529999999998E-2</v>
      </c>
      <c r="S8887">
        <v>3.0081180000000001</v>
      </c>
      <c r="T8887">
        <v>3.0399559999999999E-2</v>
      </c>
      <c r="U8887">
        <v>-8.8195800000000005E-3</v>
      </c>
      <c r="V8887">
        <v>1.1974E-2</v>
      </c>
      <c r="W8887">
        <v>-6.0650929999999997E-4</v>
      </c>
      <c r="X8887">
        <v>0.99992809999999999</v>
      </c>
      <c r="Y8887">
        <v>-6.0306369999999998E-2</v>
      </c>
      <c r="Z8887">
        <v>-9.4344549999999996E-4</v>
      </c>
      <c r="AA8887">
        <v>0.9981795</v>
      </c>
      <c r="AB8887">
        <v>15</v>
      </c>
      <c r="AC8887">
        <v>107.8802</v>
      </c>
      <c r="AD8887">
        <v>1.0909449999999901</v>
      </c>
      <c r="AE8887">
        <v>-0.31291000000000202</v>
      </c>
      <c r="AF8887">
        <v>-6.5092861162795401</v>
      </c>
      <c r="AG8887">
        <v>1.0909449999999901</v>
      </c>
      <c r="AH8887">
        <v>107.67304538303399</v>
      </c>
      <c r="AI8887">
        <v>89.420555930466406</v>
      </c>
      <c r="AJ8887">
        <v>93.459559146818407</v>
      </c>
      <c r="AK8887">
        <v>107.87513925271899</v>
      </c>
      <c r="AL8887">
        <v>90.034750426129904</v>
      </c>
      <c r="AM8887">
        <v>89.313923797443707</v>
      </c>
      <c r="AN8887">
        <v>0.99999997484957004</v>
      </c>
    </row>
    <row r="8888" spans="1:40" x14ac:dyDescent="0.25">
      <c r="A8888" t="str">
        <f>"20190312154132189"</f>
        <v>20190312154132189</v>
      </c>
      <c r="B8888" t="str">
        <f>"1552376492185114"</f>
        <v>1552376492185114</v>
      </c>
      <c r="C8888" t="s">
        <v>40</v>
      </c>
      <c r="D8888">
        <v>4.3302719999999999</v>
      </c>
      <c r="E8888">
        <v>0.47239360000000002</v>
      </c>
      <c r="F8888" t="s">
        <v>80</v>
      </c>
      <c r="G8888">
        <v>-157.3501</v>
      </c>
      <c r="H8888">
        <v>2.1993369999999999</v>
      </c>
      <c r="I8888">
        <v>-61.363160000000001</v>
      </c>
      <c r="J8888">
        <v>-265.15859999999998</v>
      </c>
      <c r="K8888">
        <v>1.108773</v>
      </c>
      <c r="L8888">
        <v>-61.081699999999998</v>
      </c>
      <c r="M8888">
        <v>0.99800409999999995</v>
      </c>
      <c r="N8888">
        <v>0</v>
      </c>
      <c r="O8888">
        <v>-6.2916410000000006E-2</v>
      </c>
      <c r="P8888">
        <v>0.9971662</v>
      </c>
      <c r="Q8888">
        <v>-5.8692509999999998E-3</v>
      </c>
      <c r="R8888">
        <v>-7.5002579999999999E-2</v>
      </c>
      <c r="S8888">
        <v>3.0082089999999999</v>
      </c>
      <c r="T8888">
        <v>3.0407429999999999E-2</v>
      </c>
      <c r="U8888">
        <v>-7.9650880000000004E-3</v>
      </c>
      <c r="V8888">
        <v>1.2114669999999999E-2</v>
      </c>
      <c r="W8888">
        <v>-4.5029800000000002E-4</v>
      </c>
      <c r="X8888">
        <v>0.99992650000000005</v>
      </c>
      <c r="Y8888">
        <v>-6.0268290000000002E-2</v>
      </c>
      <c r="Z8888">
        <v>-9.4022400000000003E-4</v>
      </c>
      <c r="AA8888">
        <v>0.99818180000000001</v>
      </c>
      <c r="AB8888">
        <v>15</v>
      </c>
      <c r="AC8888">
        <v>107.808499999999</v>
      </c>
      <c r="AD8888">
        <v>1.0905640000000001</v>
      </c>
      <c r="AE8888">
        <v>-0.28146000000000199</v>
      </c>
      <c r="AF8888">
        <v>-6.5014556667449197</v>
      </c>
      <c r="AG8888">
        <v>1.0905640000000001</v>
      </c>
      <c r="AH8888">
        <v>107.601601621784</v>
      </c>
      <c r="AI8888">
        <v>89.420372571569402</v>
      </c>
      <c r="AJ8888">
        <v>93.457696211975303</v>
      </c>
      <c r="AK8888">
        <v>107.803353042463</v>
      </c>
      <c r="AL8888">
        <v>90.025800176138205</v>
      </c>
      <c r="AM8888">
        <v>89.305863479307305</v>
      </c>
      <c r="AN8888">
        <v>0.999999986699873</v>
      </c>
    </row>
    <row r="8889" spans="1:40" x14ac:dyDescent="0.25">
      <c r="A8889" t="str">
        <f>"20190312154132199"</f>
        <v>20190312154132199</v>
      </c>
      <c r="B8889" t="str">
        <f>"1552376492185114"</f>
        <v>1552376492185114</v>
      </c>
      <c r="C8889" t="s">
        <v>40</v>
      </c>
      <c r="D8889">
        <v>4.3302719999999999</v>
      </c>
      <c r="E8889">
        <v>0.47239360000000002</v>
      </c>
      <c r="F8889" t="s">
        <v>80</v>
      </c>
      <c r="G8889">
        <v>-157.3501</v>
      </c>
      <c r="H8889">
        <v>2.2213159999999998</v>
      </c>
      <c r="I8889">
        <v>-61.337620000000001</v>
      </c>
      <c r="J8889">
        <v>-265.08569999999997</v>
      </c>
      <c r="K8889">
        <v>1.1087049999999901</v>
      </c>
      <c r="L8889">
        <v>-61.085909999999998</v>
      </c>
      <c r="M8889">
        <v>0.9980253</v>
      </c>
      <c r="N8889">
        <v>0</v>
      </c>
      <c r="O8889">
        <v>-6.2611630000000001E-2</v>
      </c>
      <c r="P8889">
        <v>0.997197</v>
      </c>
      <c r="Q8889">
        <v>-5.4929870000000004E-3</v>
      </c>
      <c r="R8889">
        <v>-7.4619400000000002E-2</v>
      </c>
      <c r="S8889">
        <v>3.0081790000000002</v>
      </c>
      <c r="T8889">
        <v>3.1042699999999999E-2</v>
      </c>
      <c r="U8889">
        <v>-7.1411130000000001E-3</v>
      </c>
      <c r="V8889">
        <v>1.2035830000000001E-2</v>
      </c>
      <c r="W8889">
        <v>-4.7728400000000002E-4</v>
      </c>
      <c r="X8889">
        <v>0.99992749999999997</v>
      </c>
      <c r="Y8889">
        <v>-6.0236480000000002E-2</v>
      </c>
      <c r="Z8889">
        <v>-9.5657179999999997E-4</v>
      </c>
      <c r="AA8889">
        <v>0.99818370000000001</v>
      </c>
      <c r="AB8889">
        <v>15</v>
      </c>
      <c r="AC8889">
        <v>107.735599999999</v>
      </c>
      <c r="AD8889">
        <v>1.112611</v>
      </c>
      <c r="AE8889">
        <v>-0.25170999999999499</v>
      </c>
      <c r="AF8889">
        <v>-6.4936781215069903</v>
      </c>
      <c r="AG8889">
        <v>1.112611</v>
      </c>
      <c r="AH8889">
        <v>107.528505984595</v>
      </c>
      <c r="AI8889">
        <v>89.408252495096093</v>
      </c>
      <c r="AJ8889">
        <v>93.455911842085698</v>
      </c>
      <c r="AK8889">
        <v>107.730150645314</v>
      </c>
      <c r="AL8889">
        <v>90.027346358578498</v>
      </c>
      <c r="AM8889">
        <v>89.310381041493898</v>
      </c>
      <c r="AN8889">
        <v>1.0000000471300201</v>
      </c>
    </row>
    <row r="8890" spans="1:40" x14ac:dyDescent="0.25">
      <c r="A8890" t="str">
        <f>"20190312154132210"</f>
        <v>20190312154132210</v>
      </c>
      <c r="B8890" t="str">
        <f>"1552376492204634"</f>
        <v>1552376492204634</v>
      </c>
      <c r="C8890" t="s">
        <v>40</v>
      </c>
      <c r="D8890">
        <v>4.3476100000000004</v>
      </c>
      <c r="E8890">
        <v>0.47231260000000003</v>
      </c>
      <c r="F8890" t="s">
        <v>80</v>
      </c>
      <c r="G8890">
        <v>-157.3501</v>
      </c>
      <c r="H8890">
        <v>2.268586</v>
      </c>
      <c r="I8890">
        <v>-61.301220000000001</v>
      </c>
      <c r="J8890">
        <v>-265.0059</v>
      </c>
      <c r="K8890">
        <v>1.1086320000000001</v>
      </c>
      <c r="L8890">
        <v>-61.090580000000003</v>
      </c>
      <c r="M8890">
        <v>0.99804289999999996</v>
      </c>
      <c r="N8890">
        <v>0</v>
      </c>
      <c r="O8890">
        <v>-6.236585E-2</v>
      </c>
      <c r="P8890">
        <v>0.99722080000000002</v>
      </c>
      <c r="Q8890">
        <v>-4.737649E-3</v>
      </c>
      <c r="R8890">
        <v>-7.43529E-2</v>
      </c>
      <c r="S8890">
        <v>3.0081479999999998</v>
      </c>
      <c r="T8890">
        <v>3.2385110000000002E-2</v>
      </c>
      <c r="U8890">
        <v>-6.0119630000000004E-3</v>
      </c>
      <c r="V8890">
        <v>1.201497E-2</v>
      </c>
      <c r="W8890">
        <v>-1.4696610000000001E-4</v>
      </c>
      <c r="X8890">
        <v>0.99992780000000003</v>
      </c>
      <c r="Y8890">
        <v>-6.0364599999999997E-2</v>
      </c>
      <c r="Z8890">
        <v>-9.9599410000000008E-4</v>
      </c>
      <c r="AA8890">
        <v>0.9981759</v>
      </c>
      <c r="AB8890">
        <v>15</v>
      </c>
      <c r="AC8890">
        <v>107.6558</v>
      </c>
      <c r="AD8890">
        <v>1.1599539999999999</v>
      </c>
      <c r="AE8890">
        <v>-0.21063999999999</v>
      </c>
      <c r="AF8890">
        <v>-6.5031306218876903</v>
      </c>
      <c r="AG8890">
        <v>1.1599539999999999</v>
      </c>
      <c r="AH8890">
        <v>107.446891145967</v>
      </c>
      <c r="AI8890">
        <v>89.382611207146894</v>
      </c>
      <c r="AJ8890">
        <v>93.463552676051606</v>
      </c>
      <c r="AK8890">
        <v>107.649759024815</v>
      </c>
      <c r="AL8890">
        <v>90.008420537349394</v>
      </c>
      <c r="AM8890">
        <v>89.311576351784893</v>
      </c>
      <c r="AN8890">
        <v>0.99999999315798704</v>
      </c>
    </row>
    <row r="8891" spans="1:40" x14ac:dyDescent="0.25">
      <c r="A8891" t="str">
        <f>"20190312154132223"</f>
        <v>20190312154132223</v>
      </c>
      <c r="B8891" t="str">
        <f>"1552376492215370"</f>
        <v>1552376492215370</v>
      </c>
      <c r="C8891" t="s">
        <v>40</v>
      </c>
      <c r="D8891">
        <v>4.3293559999999998</v>
      </c>
      <c r="E8891">
        <v>0.47231390000000001</v>
      </c>
      <c r="F8891" t="s">
        <v>80</v>
      </c>
      <c r="G8891">
        <v>-157.3501</v>
      </c>
      <c r="H8891">
        <v>2.2945859999999998</v>
      </c>
      <c r="I8891">
        <v>-61.253300000000003</v>
      </c>
      <c r="J8891">
        <v>-264.9237</v>
      </c>
      <c r="K8891">
        <v>1.108565</v>
      </c>
      <c r="L8891">
        <v>-61.09543</v>
      </c>
      <c r="M8891">
        <v>0.99805759999999999</v>
      </c>
      <c r="N8891">
        <v>0</v>
      </c>
      <c r="O8891">
        <v>-6.2159209999999999E-2</v>
      </c>
      <c r="P8891">
        <v>0.9972586</v>
      </c>
      <c r="Q8891">
        <v>-4.0865210000000001E-3</v>
      </c>
      <c r="R8891">
        <v>-7.3882349999999999E-2</v>
      </c>
      <c r="S8891">
        <v>3.0081790000000002</v>
      </c>
      <c r="T8891">
        <v>3.3138040000000001E-2</v>
      </c>
      <c r="U8891">
        <v>-4.5471189999999996E-3</v>
      </c>
      <c r="V8891">
        <v>1.1750170000000001E-2</v>
      </c>
      <c r="W8891" s="1">
        <v>7.7631950000000001E-5</v>
      </c>
      <c r="X8891">
        <v>0.99993100000000001</v>
      </c>
      <c r="Y8891">
        <v>-6.0643570000000001E-2</v>
      </c>
      <c r="Z8891">
        <v>-1.0184040000000001E-3</v>
      </c>
      <c r="AA8891">
        <v>0.99815900000000002</v>
      </c>
      <c r="AB8891">
        <v>15</v>
      </c>
      <c r="AC8891">
        <v>107.5736</v>
      </c>
      <c r="AD8891">
        <v>1.186021</v>
      </c>
      <c r="AE8891">
        <v>-0.15786999999999499</v>
      </c>
      <c r="AF8891">
        <v>-6.5283894280124199</v>
      </c>
      <c r="AG8891">
        <v>1.186021</v>
      </c>
      <c r="AH8891">
        <v>107.362338334348</v>
      </c>
      <c r="AI8891">
        <v>89.368251778425503</v>
      </c>
      <c r="AJ8891">
        <v>93.479704070514501</v>
      </c>
      <c r="AK8891">
        <v>107.56717997119399</v>
      </c>
      <c r="AL8891">
        <v>89.995552017077003</v>
      </c>
      <c r="AM8891">
        <v>89.326749381594297</v>
      </c>
      <c r="AN8891">
        <v>1.0000000386413701</v>
      </c>
    </row>
    <row r="8892" spans="1:40" x14ac:dyDescent="0.25">
      <c r="A8892" t="str">
        <f>"20190312154132233"</f>
        <v>20190312154132233</v>
      </c>
      <c r="B8892" t="str">
        <f>"1552376492225129"</f>
        <v>1552376492225129</v>
      </c>
      <c r="C8892" t="s">
        <v>40</v>
      </c>
      <c r="D8892">
        <v>4.346393</v>
      </c>
      <c r="E8892">
        <v>0.4722732</v>
      </c>
      <c r="F8892" t="s">
        <v>80</v>
      </c>
      <c r="G8892">
        <v>-157.3501</v>
      </c>
      <c r="H8892">
        <v>2.3543790000000002</v>
      </c>
      <c r="I8892">
        <v>-61.207830000000001</v>
      </c>
      <c r="J8892">
        <v>-264.8433</v>
      </c>
      <c r="K8892">
        <v>1.108503</v>
      </c>
      <c r="L8892">
        <v>-61.100219999999901</v>
      </c>
      <c r="M8892">
        <v>0.99806870000000003</v>
      </c>
      <c r="N8892">
        <v>0</v>
      </c>
      <c r="O8892">
        <v>-6.2008099999999997E-2</v>
      </c>
      <c r="P8892">
        <v>0.99727480000000002</v>
      </c>
      <c r="Q8892">
        <v>-3.7017579999999999E-3</v>
      </c>
      <c r="R8892">
        <v>-7.3686520000000005E-2</v>
      </c>
      <c r="S8892">
        <v>3.0081180000000001</v>
      </c>
      <c r="T8892">
        <v>3.4836529999999997E-2</v>
      </c>
      <c r="U8892">
        <v>-3.1433110000000002E-3</v>
      </c>
      <c r="V8892">
        <v>1.1705149999999999E-2</v>
      </c>
      <c r="W8892" s="1">
        <v>5.6993729999999998E-5</v>
      </c>
      <c r="X8892">
        <v>0.99993149999999997</v>
      </c>
      <c r="Y8892">
        <v>-6.0957329999999997E-2</v>
      </c>
      <c r="Z8892">
        <v>-1.070692E-3</v>
      </c>
      <c r="AA8892">
        <v>0.99813980000000002</v>
      </c>
      <c r="AB8892">
        <v>16</v>
      </c>
      <c r="AC8892">
        <v>107.4932</v>
      </c>
      <c r="AD8892">
        <v>1.245876</v>
      </c>
      <c r="AE8892">
        <v>-0.107610000000008</v>
      </c>
      <c r="AF8892">
        <v>-6.5572115292235704</v>
      </c>
      <c r="AG8892">
        <v>1.245876</v>
      </c>
      <c r="AH8892">
        <v>107.27860371262599</v>
      </c>
      <c r="AI8892">
        <v>89.3358668955116</v>
      </c>
      <c r="AJ8892">
        <v>93.497749792714004</v>
      </c>
      <c r="AK8892">
        <v>107.48603650975799</v>
      </c>
      <c r="AL8892">
        <v>89.996734499840699</v>
      </c>
      <c r="AM8892">
        <v>89.329328996112395</v>
      </c>
      <c r="AN8892">
        <v>1.0000000092385199</v>
      </c>
    </row>
    <row r="8893" spans="1:40" x14ac:dyDescent="0.25">
      <c r="A8893" t="str">
        <f>"20190312154132244"</f>
        <v>20190312154132244</v>
      </c>
      <c r="B8893" t="str">
        <f>"1552376492234890"</f>
        <v>1552376492234890</v>
      </c>
      <c r="C8893" t="s">
        <v>40</v>
      </c>
      <c r="D8893">
        <v>4.3532409999999997</v>
      </c>
      <c r="E8893">
        <v>0.4722732</v>
      </c>
      <c r="F8893" t="s">
        <v>80</v>
      </c>
      <c r="G8893">
        <v>-157.3501</v>
      </c>
      <c r="H8893">
        <v>2.394863</v>
      </c>
      <c r="I8893">
        <v>-61.1798199999999</v>
      </c>
      <c r="J8893">
        <v>-264.7697</v>
      </c>
      <c r="K8893">
        <v>1.1084510000000001</v>
      </c>
      <c r="L8893">
        <v>-61.104640000000003</v>
      </c>
      <c r="M8893">
        <v>0.99807520000000005</v>
      </c>
      <c r="N8893">
        <v>0</v>
      </c>
      <c r="O8893">
        <v>-6.1920910000000003E-2</v>
      </c>
      <c r="P8893">
        <v>0.99730960000000002</v>
      </c>
      <c r="Q8893">
        <v>-3.355706E-3</v>
      </c>
      <c r="R8893">
        <v>-7.3228730000000006E-2</v>
      </c>
      <c r="S8893">
        <v>3.0082089999999999</v>
      </c>
      <c r="T8893">
        <v>3.5998339999999997E-2</v>
      </c>
      <c r="U8893">
        <v>-2.2277830000000001E-3</v>
      </c>
      <c r="V8893">
        <v>1.133355E-2</v>
      </c>
      <c r="W8893" s="1">
        <v>4.875669E-5</v>
      </c>
      <c r="X8893">
        <v>0.99993569999999998</v>
      </c>
      <c r="Y8893">
        <v>-6.1173289999999998E-2</v>
      </c>
      <c r="Z8893">
        <v>-1.106615E-3</v>
      </c>
      <c r="AA8893">
        <v>0.99812659999999997</v>
      </c>
      <c r="AB8893">
        <v>16</v>
      </c>
      <c r="AC8893">
        <v>107.4196</v>
      </c>
      <c r="AD8893">
        <v>1.2864120000000001</v>
      </c>
      <c r="AE8893">
        <v>-7.5179999999988895E-2</v>
      </c>
      <c r="AF8893">
        <v>-6.5755795170053197</v>
      </c>
      <c r="AG8893">
        <v>1.2864120000000001</v>
      </c>
      <c r="AH8893">
        <v>107.202746561807</v>
      </c>
      <c r="AI8893">
        <v>89.313784392696405</v>
      </c>
      <c r="AJ8893">
        <v>93.509998960216905</v>
      </c>
      <c r="AK8893">
        <v>107.41192658272701</v>
      </c>
      <c r="AL8893">
        <v>89.997206447237502</v>
      </c>
      <c r="AM8893">
        <v>89.350621467979906</v>
      </c>
      <c r="AN8893">
        <v>0.999999927933651</v>
      </c>
    </row>
    <row r="8894" spans="1:40" x14ac:dyDescent="0.25">
      <c r="A8894" t="str">
        <f>"20190312154132256"</f>
        <v>20190312154132256</v>
      </c>
      <c r="B8894" t="str">
        <f>"1552376492244650"</f>
        <v>1552376492244650</v>
      </c>
      <c r="C8894" t="s">
        <v>40</v>
      </c>
      <c r="D8894">
        <v>4.3712730000000004</v>
      </c>
      <c r="E8894">
        <v>0.49014600000000003</v>
      </c>
      <c r="F8894" t="s">
        <v>80</v>
      </c>
      <c r="G8894">
        <v>-157.3501</v>
      </c>
      <c r="H8894">
        <v>2.4386909999999999</v>
      </c>
      <c r="I8894">
        <v>-61.136240000000001</v>
      </c>
      <c r="J8894">
        <v>-264.68639999999999</v>
      </c>
      <c r="K8894">
        <v>1.108392</v>
      </c>
      <c r="L8894">
        <v>-61.109679999999997</v>
      </c>
      <c r="M8894">
        <v>0.99808110000000005</v>
      </c>
      <c r="N8894">
        <v>0</v>
      </c>
      <c r="O8894">
        <v>-6.1846680000000001E-2</v>
      </c>
      <c r="P8894">
        <v>0.99732030000000005</v>
      </c>
      <c r="Q8894">
        <v>-2.8458590000000001E-3</v>
      </c>
      <c r="R8894">
        <v>-7.3105950000000003E-2</v>
      </c>
      <c r="S8894">
        <v>3.0081790000000002</v>
      </c>
      <c r="T8894">
        <v>3.7251470000000002E-2</v>
      </c>
      <c r="U8894">
        <v>-8.8500979999999905E-4</v>
      </c>
      <c r="V8894">
        <v>1.1284860000000001E-2</v>
      </c>
      <c r="W8894">
        <v>1.657645E-4</v>
      </c>
      <c r="X8894">
        <v>0.9999363</v>
      </c>
      <c r="Y8894">
        <v>-6.1543859999999999E-2</v>
      </c>
      <c r="Z8894">
        <v>-1.1465239999999999E-3</v>
      </c>
      <c r="AA8894">
        <v>0.99810370000000004</v>
      </c>
      <c r="AB8894">
        <v>16</v>
      </c>
      <c r="AC8894">
        <v>107.33629999999999</v>
      </c>
      <c r="AD8894">
        <v>1.3302989999999999</v>
      </c>
      <c r="AE8894">
        <v>-2.6559999999996298E-2</v>
      </c>
      <c r="AF8894">
        <v>-6.61089940158163</v>
      </c>
      <c r="AG8894">
        <v>1.3302989999999999</v>
      </c>
      <c r="AH8894">
        <v>107.11600924559301</v>
      </c>
      <c r="AI8894">
        <v>89.289817893373495</v>
      </c>
      <c r="AJ8894">
        <v>93.531655181253996</v>
      </c>
      <c r="AK8894">
        <v>107.328063073127</v>
      </c>
      <c r="AL8894">
        <v>89.990502393616495</v>
      </c>
      <c r="AM8894">
        <v>89.353411409995701</v>
      </c>
      <c r="AN8894">
        <v>0.99999998980038896</v>
      </c>
    </row>
    <row r="8895" spans="1:40" x14ac:dyDescent="0.25">
      <c r="A8895" t="str">
        <f>"20190312154132267"</f>
        <v>20190312154132267</v>
      </c>
      <c r="B8895" t="str">
        <f>"1552376492255386"</f>
        <v>1552376492255386</v>
      </c>
      <c r="C8895" t="s">
        <v>40</v>
      </c>
      <c r="D8895">
        <v>4.3722960000000004</v>
      </c>
      <c r="E8895">
        <v>0.49239139999999998</v>
      </c>
      <c r="F8895" t="s">
        <v>80</v>
      </c>
      <c r="G8895">
        <v>-168.45060000000001</v>
      </c>
      <c r="H8895">
        <v>0.8702917</v>
      </c>
      <c r="I8895">
        <v>-65.633930000000007</v>
      </c>
      <c r="J8895">
        <v>-264.61180000000002</v>
      </c>
      <c r="K8895">
        <v>1.1083480000000001</v>
      </c>
      <c r="L8895">
        <v>-61.114229999999999</v>
      </c>
      <c r="M8895">
        <v>0.99808300000000005</v>
      </c>
      <c r="N8895">
        <v>0</v>
      </c>
      <c r="O8895">
        <v>-6.1832209999999999E-2</v>
      </c>
      <c r="P8895">
        <v>0.99734310000000004</v>
      </c>
      <c r="Q8895">
        <v>-2.8433709999999999E-3</v>
      </c>
      <c r="R8895">
        <v>-7.2792549999999998E-2</v>
      </c>
      <c r="S8895">
        <v>2.9977420000000001</v>
      </c>
      <c r="T8895">
        <v>-7.41744E-3</v>
      </c>
      <c r="U8895">
        <v>-0.14093020000000001</v>
      </c>
      <c r="V8895">
        <v>1.0984880000000001E-2</v>
      </c>
      <c r="W8895">
        <v>-1.609979E-4</v>
      </c>
      <c r="X8895">
        <v>0.99993969999999999</v>
      </c>
      <c r="Y8895">
        <v>-1.489358E-2</v>
      </c>
      <c r="Z8895">
        <v>1.7119699999999999E-4</v>
      </c>
      <c r="AA8895">
        <v>0.99988909999999998</v>
      </c>
      <c r="AB8895">
        <v>16</v>
      </c>
      <c r="AC8895">
        <v>96.161199999999994</v>
      </c>
      <c r="AD8895">
        <v>-0.238056299999999</v>
      </c>
      <c r="AE8895">
        <v>-4.5197000000000003</v>
      </c>
      <c r="AF8895">
        <v>-1.4348200988747799</v>
      </c>
      <c r="AG8895">
        <v>-0.238056299999999</v>
      </c>
      <c r="AH8895">
        <v>96.2560752589131</v>
      </c>
      <c r="AI8895">
        <v>90.141685377778401</v>
      </c>
      <c r="AJ8895">
        <v>90.854003736764994</v>
      </c>
      <c r="AK8895">
        <v>96.267062922723795</v>
      </c>
      <c r="AL8895">
        <v>90.009224499772202</v>
      </c>
      <c r="AM8895">
        <v>89.370600101496393</v>
      </c>
      <c r="AN8895">
        <v>1.00000004857251</v>
      </c>
    </row>
    <row r="8896" spans="1:40" x14ac:dyDescent="0.25">
      <c r="A8896" t="str">
        <f>"20190312154132277"</f>
        <v>20190312154132277</v>
      </c>
      <c r="B8896" t="str">
        <f>"1552376492274905"</f>
        <v>1552376492274905</v>
      </c>
      <c r="C8896" t="s">
        <v>40</v>
      </c>
      <c r="D8896">
        <v>4.3299799999999999</v>
      </c>
      <c r="E8896">
        <v>0.49465500000000001</v>
      </c>
      <c r="F8896" t="s">
        <v>69</v>
      </c>
      <c r="G8896">
        <v>-186.72739999999999</v>
      </c>
      <c r="H8896" s="1">
        <v>-9.188202E-6</v>
      </c>
      <c r="I8896">
        <v>-65.177120000000002</v>
      </c>
      <c r="J8896">
        <v>-264.53140000000002</v>
      </c>
      <c r="K8896">
        <v>1.108301</v>
      </c>
      <c r="L8896">
        <v>-61.119169999999997</v>
      </c>
      <c r="M8896">
        <v>0.99808430000000004</v>
      </c>
      <c r="N8896">
        <v>0</v>
      </c>
      <c r="O8896">
        <v>-6.1824179999999999E-2</v>
      </c>
      <c r="P8896">
        <v>0.99734630000000002</v>
      </c>
      <c r="Q8896">
        <v>-2.4689489999999998E-3</v>
      </c>
      <c r="R8896">
        <v>-7.2763030000000006E-2</v>
      </c>
      <c r="S8896">
        <v>2.996429</v>
      </c>
      <c r="T8896">
        <v>-4.2641640000000001E-2</v>
      </c>
      <c r="U8896">
        <v>-0.15631099999999901</v>
      </c>
      <c r="V8896">
        <v>1.0963189999999999E-2</v>
      </c>
      <c r="W8896">
        <v>-1.3728429999999999E-4</v>
      </c>
      <c r="X8896">
        <v>0.99993989999999999</v>
      </c>
      <c r="Y8896">
        <v>-9.7379159999999992E-3</v>
      </c>
      <c r="Z8896">
        <v>9.4763289999999999E-4</v>
      </c>
      <c r="AA8896">
        <v>0.99995210000000001</v>
      </c>
      <c r="AB8896">
        <v>16</v>
      </c>
      <c r="AC8896">
        <v>77.804000000000002</v>
      </c>
      <c r="AD8896">
        <v>-1.1083101882019999</v>
      </c>
      <c r="AE8896">
        <v>-4.0579499999999999</v>
      </c>
      <c r="AF8896">
        <v>-0.75984063941982405</v>
      </c>
      <c r="AG8896">
        <v>-1.1083101882019999</v>
      </c>
      <c r="AH8896">
        <v>77.890282185839595</v>
      </c>
      <c r="AI8896">
        <v>90.815174736848306</v>
      </c>
      <c r="AJ8896">
        <v>90.558918000689701</v>
      </c>
      <c r="AK8896">
        <v>77.901872687762094</v>
      </c>
      <c r="AL8896">
        <v>90.007865810953007</v>
      </c>
      <c r="AM8896">
        <v>89.371842897852801</v>
      </c>
      <c r="AN8896">
        <v>1.0000000069969801</v>
      </c>
    </row>
    <row r="8897" spans="1:40" x14ac:dyDescent="0.25">
      <c r="A8897" t="str">
        <f>"20190312154132287"</f>
        <v>20190312154132287</v>
      </c>
      <c r="B8897" t="str">
        <f>"1552376492284666"</f>
        <v>1552376492284666</v>
      </c>
      <c r="C8897" t="s">
        <v>40</v>
      </c>
      <c r="D8897">
        <v>4.3444029999999998</v>
      </c>
      <c r="E8897">
        <v>0.49503510000000001</v>
      </c>
      <c r="F8897" t="s">
        <v>100</v>
      </c>
      <c r="G8897">
        <v>-216.69030000000001</v>
      </c>
      <c r="H8897" s="1">
        <v>-2.7567860000000001E-6</v>
      </c>
      <c r="I8897">
        <v>-63.880969999999998</v>
      </c>
      <c r="J8897">
        <v>-264.45280000000002</v>
      </c>
      <c r="K8897">
        <v>1.1082620000000001</v>
      </c>
      <c r="L8897">
        <v>-61.124049999999997</v>
      </c>
      <c r="M8897">
        <v>0.99808269999999999</v>
      </c>
      <c r="N8897">
        <v>0</v>
      </c>
      <c r="O8897">
        <v>-6.186237E-2</v>
      </c>
      <c r="P8897">
        <v>0.99735609999999997</v>
      </c>
      <c r="Q8897">
        <v>-2.3988500000000001E-3</v>
      </c>
      <c r="R8897">
        <v>-7.2631429999999997E-2</v>
      </c>
      <c r="S8897">
        <v>2.995209</v>
      </c>
      <c r="T8897">
        <v>-6.9387909999999997E-2</v>
      </c>
      <c r="U8897">
        <v>-0.1729126</v>
      </c>
      <c r="V8897">
        <v>1.0793000000000001E-2</v>
      </c>
      <c r="W8897">
        <v>-3.827762E-4</v>
      </c>
      <c r="X8897">
        <v>0.99994170000000004</v>
      </c>
      <c r="Y8897">
        <v>-4.2186380000000002E-3</v>
      </c>
      <c r="Z8897">
        <v>1.479235E-3</v>
      </c>
      <c r="AA8897">
        <v>0.99999000000000005</v>
      </c>
      <c r="AB8897">
        <v>16</v>
      </c>
      <c r="AC8897">
        <v>47.762500000000003</v>
      </c>
      <c r="AD8897">
        <v>-1.108264756786</v>
      </c>
      <c r="AE8897">
        <v>-2.75692</v>
      </c>
      <c r="AF8897">
        <v>-0.202958780922284</v>
      </c>
      <c r="AG8897">
        <v>-1.108264756786</v>
      </c>
      <c r="AH8897">
        <v>47.815910492557798</v>
      </c>
      <c r="AI8897">
        <v>91.327737018076604</v>
      </c>
      <c r="AJ8897">
        <v>90.243195447013804</v>
      </c>
      <c r="AK8897">
        <v>47.829182924969402</v>
      </c>
      <c r="AL8897">
        <v>90.021931460868501</v>
      </c>
      <c r="AM8897">
        <v>89.381594611779093</v>
      </c>
      <c r="AN8897">
        <v>1.0000000193827501</v>
      </c>
    </row>
    <row r="8898" spans="1:40" x14ac:dyDescent="0.25">
      <c r="A8898" t="str">
        <f>"20190312154132300"</f>
        <v>20190312154132300</v>
      </c>
      <c r="B8898" t="str">
        <f>"1552376492295401"</f>
        <v>1552376492295401</v>
      </c>
      <c r="C8898" t="s">
        <v>40</v>
      </c>
      <c r="D8898">
        <v>4.3636860000000004</v>
      </c>
      <c r="E8898">
        <v>0.49549320000000002</v>
      </c>
      <c r="F8898" t="s">
        <v>99</v>
      </c>
      <c r="G8898">
        <v>-220.79130000000001</v>
      </c>
      <c r="H8898" s="1">
        <v>-1.899984E-7</v>
      </c>
      <c r="I8898">
        <v>-63.677750000000003</v>
      </c>
      <c r="J8898">
        <v>-264.3698</v>
      </c>
      <c r="K8898">
        <v>1.108222</v>
      </c>
      <c r="L8898">
        <v>-61.12921</v>
      </c>
      <c r="M8898">
        <v>0.99808039999999998</v>
      </c>
      <c r="N8898">
        <v>0</v>
      </c>
      <c r="O8898">
        <v>-6.1909159999999998E-2</v>
      </c>
      <c r="P8898">
        <v>0.99734120000000004</v>
      </c>
      <c r="Q8898">
        <v>-2.1305590000000002E-3</v>
      </c>
      <c r="R8898">
        <v>-7.284525E-2</v>
      </c>
      <c r="S8898">
        <v>2.9949650000000001</v>
      </c>
      <c r="T8898">
        <v>-7.6021430000000001E-2</v>
      </c>
      <c r="U8898">
        <v>-0.17517089999999999</v>
      </c>
      <c r="V8898">
        <v>1.096041E-2</v>
      </c>
      <c r="W8898">
        <v>-4.4234740000000003E-4</v>
      </c>
      <c r="X8898">
        <v>0.99993989999999999</v>
      </c>
      <c r="Y8898">
        <v>-3.5059840000000002E-3</v>
      </c>
      <c r="Z8898">
        <v>1.612842E-3</v>
      </c>
      <c r="AA8898">
        <v>0.99999249999999995</v>
      </c>
      <c r="AB8898">
        <v>16</v>
      </c>
      <c r="AC8898">
        <v>43.578499999999899</v>
      </c>
      <c r="AD8898">
        <v>-1.1082221899983999</v>
      </c>
      <c r="AE8898">
        <v>-2.54854</v>
      </c>
      <c r="AF8898">
        <v>-0.15416136239705999</v>
      </c>
      <c r="AG8898">
        <v>-1.1082221899983999</v>
      </c>
      <c r="AH8898">
        <v>43.624568908256599</v>
      </c>
      <c r="AI8898">
        <v>91.455198432764206</v>
      </c>
      <c r="AJ8898">
        <v>90.202472113376103</v>
      </c>
      <c r="AK8898">
        <v>43.638915368960497</v>
      </c>
      <c r="AL8898">
        <v>90.025344638279293</v>
      </c>
      <c r="AM8898">
        <v>89.372002170552605</v>
      </c>
      <c r="AN8898">
        <v>1.00000006493529</v>
      </c>
    </row>
    <row r="8899" spans="1:40" x14ac:dyDescent="0.25">
      <c r="A8899" t="str">
        <f>"20190312154132311"</f>
        <v>20190312154132311</v>
      </c>
      <c r="B8899" t="str">
        <f>"1552376492305162"</f>
        <v>1552376492305162</v>
      </c>
      <c r="C8899" t="s">
        <v>40</v>
      </c>
      <c r="D8899">
        <v>4.3390440000000003</v>
      </c>
      <c r="E8899">
        <v>0.49567529999999999</v>
      </c>
      <c r="F8899" t="s">
        <v>99</v>
      </c>
      <c r="G8899">
        <v>-222.39779999999999</v>
      </c>
      <c r="H8899" s="1">
        <v>-8.7113699999999997E-7</v>
      </c>
      <c r="I8899">
        <v>-63.641570000000002</v>
      </c>
      <c r="J8899">
        <v>-264.28039999999999</v>
      </c>
      <c r="K8899">
        <v>1.1081840000000001</v>
      </c>
      <c r="L8899">
        <v>-61.134830000000001</v>
      </c>
      <c r="M8899">
        <v>0.99807599999999996</v>
      </c>
      <c r="N8899">
        <v>0</v>
      </c>
      <c r="O8899">
        <v>-6.1989719999999998E-2</v>
      </c>
      <c r="P8899">
        <v>0.99730649999999998</v>
      </c>
      <c r="Q8899">
        <v>-2.030006E-3</v>
      </c>
      <c r="R8899">
        <v>-7.3323059999999995E-2</v>
      </c>
      <c r="S8899">
        <v>2.9947509999999999</v>
      </c>
      <c r="T8899">
        <v>-7.9073069999999995E-2</v>
      </c>
      <c r="U8899">
        <v>-0.17926029999999901</v>
      </c>
      <c r="V8899">
        <v>1.135853E-2</v>
      </c>
      <c r="W8899">
        <v>-6.6900070000000002E-4</v>
      </c>
      <c r="X8899">
        <v>0.99993529999999997</v>
      </c>
      <c r="Y8899">
        <v>-2.220465E-3</v>
      </c>
      <c r="Z8899">
        <v>1.6627629999999901E-3</v>
      </c>
      <c r="AA8899">
        <v>0.99999610000000005</v>
      </c>
      <c r="AB8899">
        <v>17</v>
      </c>
      <c r="AC8899">
        <v>41.882599999999996</v>
      </c>
      <c r="AD8899">
        <v>-1.1081848711369999</v>
      </c>
      <c r="AE8899">
        <v>-2.5067399999999802</v>
      </c>
      <c r="AF8899">
        <v>-9.4307900000858397E-2</v>
      </c>
      <c r="AG8899">
        <v>-1.1081848711369999</v>
      </c>
      <c r="AH8899">
        <v>41.928194028615103</v>
      </c>
      <c r="AI8899">
        <v>91.514002166049195</v>
      </c>
      <c r="AJ8899">
        <v>90.128873557700103</v>
      </c>
      <c r="AK8899">
        <v>41.942942459844303</v>
      </c>
      <c r="AL8899">
        <v>90.038330918158195</v>
      </c>
      <c r="AM8899">
        <v>89.349190051314494</v>
      </c>
      <c r="AN8899">
        <v>1.0000000339758901</v>
      </c>
    </row>
    <row r="8900" spans="1:40" x14ac:dyDescent="0.25">
      <c r="A8900" t="str">
        <f>"20190312154132322"</f>
        <v>20190312154132322</v>
      </c>
      <c r="B8900" t="str">
        <f>"1552376492314922"</f>
        <v>1552376492314922</v>
      </c>
      <c r="C8900" t="s">
        <v>40</v>
      </c>
      <c r="D8900">
        <v>4.3785499999999997</v>
      </c>
      <c r="E8900">
        <v>0.49603150000000001</v>
      </c>
      <c r="F8900" t="s">
        <v>99</v>
      </c>
      <c r="G8900">
        <v>-224.67519999999999</v>
      </c>
      <c r="H8900" s="1">
        <v>-1.825464E-6</v>
      </c>
      <c r="I8900">
        <v>-63.539569999999998</v>
      </c>
      <c r="J8900">
        <v>-264.19959999999998</v>
      </c>
      <c r="K8900">
        <v>1.1081540000000001</v>
      </c>
      <c r="L8900">
        <v>-61.139949999999999</v>
      </c>
      <c r="M8900">
        <v>0.99807129999999999</v>
      </c>
      <c r="N8900">
        <v>0</v>
      </c>
      <c r="O8900">
        <v>-6.207203E-2</v>
      </c>
      <c r="P8900">
        <v>0.99726919999999997</v>
      </c>
      <c r="Q8900">
        <v>-2.1179279999999998E-3</v>
      </c>
      <c r="R8900">
        <v>-7.3824260000000003E-2</v>
      </c>
      <c r="S8900">
        <v>2.9945680000000001</v>
      </c>
      <c r="T8900">
        <v>-8.3790539999999997E-2</v>
      </c>
      <c r="U8900">
        <v>-0.1818237</v>
      </c>
      <c r="V8900">
        <v>1.177837E-2</v>
      </c>
      <c r="W8900">
        <v>-1.039884E-3</v>
      </c>
      <c r="X8900">
        <v>0.99993010000000004</v>
      </c>
      <c r="Y8900">
        <v>-1.443869E-3</v>
      </c>
      <c r="Z8900">
        <v>1.753417E-3</v>
      </c>
      <c r="AA8900">
        <v>0.99999740000000004</v>
      </c>
      <c r="AB8900">
        <v>17</v>
      </c>
      <c r="AC8900">
        <v>39.524399999999901</v>
      </c>
      <c r="AD8900">
        <v>-1.108155825464</v>
      </c>
      <c r="AE8900">
        <v>-2.3996199999999899</v>
      </c>
      <c r="AF8900">
        <v>-5.8322233284345097E-2</v>
      </c>
      <c r="AG8900">
        <v>-1.108155825464</v>
      </c>
      <c r="AH8900">
        <v>39.566145044454103</v>
      </c>
      <c r="AI8900">
        <v>91.604300565769506</v>
      </c>
      <c r="AJ8900">
        <v>90.084456430996497</v>
      </c>
      <c r="AK8900">
        <v>39.581703405679498</v>
      </c>
      <c r="AL8900">
        <v>90.059580974637299</v>
      </c>
      <c r="AM8900">
        <v>89.325133145383106</v>
      </c>
      <c r="AN8900">
        <v>1.0000000081222999</v>
      </c>
    </row>
    <row r="8901" spans="1:40" x14ac:dyDescent="0.25">
      <c r="A8901" t="str">
        <f>"20190312154132332"</f>
        <v>20190312154132332</v>
      </c>
      <c r="B8901" t="str">
        <f>"1552376492324682"</f>
        <v>1552376492324682</v>
      </c>
      <c r="C8901" t="s">
        <v>40</v>
      </c>
      <c r="D8901">
        <v>4.3337719999999997</v>
      </c>
      <c r="E8901">
        <v>0.4962937</v>
      </c>
      <c r="F8901" t="s">
        <v>99</v>
      </c>
      <c r="G8901">
        <v>-225.96119999999999</v>
      </c>
      <c r="H8901" s="1">
        <v>-2.371411E-6</v>
      </c>
      <c r="I8901">
        <v>-63.513779999999997</v>
      </c>
      <c r="J8901">
        <v>-264.11399999999998</v>
      </c>
      <c r="K8901">
        <v>1.1081289999999999</v>
      </c>
      <c r="L8901">
        <v>-61.145389999999999</v>
      </c>
      <c r="M8901">
        <v>0.99806539999999999</v>
      </c>
      <c r="N8901">
        <v>0</v>
      </c>
      <c r="O8901">
        <v>-6.217131E-2</v>
      </c>
      <c r="P8901">
        <v>0.99718410000000002</v>
      </c>
      <c r="Q8901">
        <v>-2.1223650000000002E-3</v>
      </c>
      <c r="R8901">
        <v>-7.4964230000000007E-2</v>
      </c>
      <c r="S8901">
        <v>2.9942630000000001</v>
      </c>
      <c r="T8901">
        <v>-8.677435E-2</v>
      </c>
      <c r="U8901">
        <v>-0.18588260000000001</v>
      </c>
      <c r="V8901">
        <v>1.282173E-2</v>
      </c>
      <c r="W8901">
        <v>-1.328526E-3</v>
      </c>
      <c r="X8901">
        <v>0.9999169</v>
      </c>
      <c r="Y8901">
        <v>-1.8538769999999999E-4</v>
      </c>
      <c r="Z8901">
        <v>1.8005740000000001E-3</v>
      </c>
      <c r="AA8901">
        <v>0.99999839999999995</v>
      </c>
      <c r="AB8901">
        <v>17</v>
      </c>
      <c r="AC8901">
        <v>38.152799999999999</v>
      </c>
      <c r="AD8901">
        <v>-1.1081313714109999</v>
      </c>
      <c r="AE8901">
        <v>-2.3683900000000002</v>
      </c>
      <c r="AF8901">
        <v>-8.1945579398117196E-3</v>
      </c>
      <c r="AG8901">
        <v>-1.1081313714109999</v>
      </c>
      <c r="AH8901">
        <v>38.194142664468998</v>
      </c>
      <c r="AI8901">
        <v>91.661863285977304</v>
      </c>
      <c r="AJ8901">
        <v>90.012292816253193</v>
      </c>
      <c r="AK8901">
        <v>38.210215337797997</v>
      </c>
      <c r="AL8901">
        <v>90.076118956358101</v>
      </c>
      <c r="AM8901">
        <v>89.265348195084798</v>
      </c>
      <c r="AN8901">
        <v>0.99999998432356696</v>
      </c>
    </row>
    <row r="8902" spans="1:40" x14ac:dyDescent="0.25">
      <c r="A8902" t="str">
        <f>"20190312154132344"</f>
        <v>20190312154132344</v>
      </c>
      <c r="B8902" t="str">
        <f>"1552376492335418"</f>
        <v>1552376492335418</v>
      </c>
      <c r="C8902" t="s">
        <v>40</v>
      </c>
      <c r="D8902">
        <v>4.3499879999999997</v>
      </c>
      <c r="E8902">
        <v>0.49647609999999998</v>
      </c>
      <c r="F8902" t="s">
        <v>99</v>
      </c>
      <c r="G8902">
        <v>-227.21129999999999</v>
      </c>
      <c r="H8902" s="1">
        <v>-2.8794759999999999E-6</v>
      </c>
      <c r="I8902">
        <v>-63.501240000000003</v>
      </c>
      <c r="J8902">
        <v>-264.02960000000002</v>
      </c>
      <c r="K8902">
        <v>1.1081049999999999</v>
      </c>
      <c r="L8902">
        <v>-61.150759999999998</v>
      </c>
      <c r="M8902">
        <v>0.99805889999999997</v>
      </c>
      <c r="N8902">
        <v>0</v>
      </c>
      <c r="O8902">
        <v>-6.2276339999999999E-2</v>
      </c>
      <c r="P8902">
        <v>0.99709829999999999</v>
      </c>
      <c r="Q8902">
        <v>-2.337474E-3</v>
      </c>
      <c r="R8902">
        <v>-7.6092069999999998E-2</v>
      </c>
      <c r="S8902">
        <v>2.9939269999999998</v>
      </c>
      <c r="T8902">
        <v>-8.9903120000000003E-2</v>
      </c>
      <c r="U8902">
        <v>-0.19113160000000001</v>
      </c>
      <c r="V8902">
        <v>1.384678E-2</v>
      </c>
      <c r="W8902">
        <v>-1.8052400000000001E-3</v>
      </c>
      <c r="X8902">
        <v>0.99990250000000003</v>
      </c>
      <c r="Y8902">
        <v>1.4638260000000001E-3</v>
      </c>
      <c r="Z8902">
        <v>1.843959E-3</v>
      </c>
      <c r="AA8902">
        <v>0.99999729999999998</v>
      </c>
      <c r="AB8902">
        <v>17</v>
      </c>
      <c r="AC8902">
        <v>36.818300000000001</v>
      </c>
      <c r="AD8902">
        <v>-1.108107879476</v>
      </c>
      <c r="AE8902">
        <v>-2.3504800000000001</v>
      </c>
      <c r="AF8902">
        <v>5.2960739031678201E-2</v>
      </c>
      <c r="AG8902">
        <v>-1.108107879476</v>
      </c>
      <c r="AH8902">
        <v>36.859960381634899</v>
      </c>
      <c r="AI8902">
        <v>91.721942247659499</v>
      </c>
      <c r="AJ8902">
        <v>89.917676939777394</v>
      </c>
      <c r="AK8902">
        <v>36.876650976575</v>
      </c>
      <c r="AL8902">
        <v>90.103432689098895</v>
      </c>
      <c r="AM8902">
        <v>89.206611299455702</v>
      </c>
      <c r="AN8902">
        <v>1.00000000085703</v>
      </c>
    </row>
    <row r="8903" spans="1:40" x14ac:dyDescent="0.25">
      <c r="A8903" t="str">
        <f>"20190312154132354"</f>
        <v>20190312154132354</v>
      </c>
      <c r="B8903" t="str">
        <f>"1552376492345179"</f>
        <v>1552376492345179</v>
      </c>
      <c r="C8903" t="s">
        <v>40</v>
      </c>
      <c r="D8903">
        <v>4.3555029999999997</v>
      </c>
      <c r="E8903">
        <v>0.49674699999999999</v>
      </c>
      <c r="F8903" t="s">
        <v>99</v>
      </c>
      <c r="G8903">
        <v>-228.79730000000001</v>
      </c>
      <c r="H8903" s="1">
        <v>-3.4128499999999999E-6</v>
      </c>
      <c r="I8903">
        <v>-63.453769999999999</v>
      </c>
      <c r="J8903">
        <v>-263.94400000000002</v>
      </c>
      <c r="K8903">
        <v>1.1080890000000001</v>
      </c>
      <c r="L8903">
        <v>-61.15625</v>
      </c>
      <c r="M8903">
        <v>0.9980521</v>
      </c>
      <c r="N8903">
        <v>0</v>
      </c>
      <c r="O8903">
        <v>-6.2386549999999999E-2</v>
      </c>
      <c r="P8903">
        <v>0.99700549999999999</v>
      </c>
      <c r="Q8903">
        <v>-2.5551279999999998E-3</v>
      </c>
      <c r="R8903">
        <v>-7.7288899999999994E-2</v>
      </c>
      <c r="S8903">
        <v>2.9935610000000001</v>
      </c>
      <c r="T8903">
        <v>-9.4151970000000001E-2</v>
      </c>
      <c r="U8903">
        <v>-0.19567870000000001</v>
      </c>
      <c r="V8903">
        <v>1.4936629999999999E-2</v>
      </c>
      <c r="W8903">
        <v>-2.277865E-3</v>
      </c>
      <c r="X8903">
        <v>0.99988589999999999</v>
      </c>
      <c r="Y8903">
        <v>2.8758329999999999E-3</v>
      </c>
      <c r="Z8903">
        <v>1.912459E-3</v>
      </c>
      <c r="AA8903">
        <v>0.99999400000000005</v>
      </c>
      <c r="AB8903">
        <v>17</v>
      </c>
      <c r="AC8903">
        <v>35.146700000000003</v>
      </c>
      <c r="AD8903">
        <v>-1.10809241284999</v>
      </c>
      <c r="AE8903">
        <v>-2.2975199999999898</v>
      </c>
      <c r="AF8903">
        <v>0.10026406248707</v>
      </c>
      <c r="AG8903">
        <v>-1.10809241284999</v>
      </c>
      <c r="AH8903">
        <v>35.186744232130003</v>
      </c>
      <c r="AI8903">
        <v>91.803741350115004</v>
      </c>
      <c r="AJ8903">
        <v>89.836737038489304</v>
      </c>
      <c r="AK8903">
        <v>35.204330576435801</v>
      </c>
      <c r="AL8903">
        <v>90.130512156838705</v>
      </c>
      <c r="AM8903">
        <v>89.144160139788298</v>
      </c>
      <c r="AN8903">
        <v>1.00000005230176</v>
      </c>
    </row>
    <row r="8904" spans="1:40" x14ac:dyDescent="0.25">
      <c r="A8904" t="str">
        <f>"20190312154132366"</f>
        <v>20190312154132366</v>
      </c>
      <c r="B8904" t="str">
        <f>"1552376492354938"</f>
        <v>1552376492354938</v>
      </c>
      <c r="C8904" t="s">
        <v>40</v>
      </c>
      <c r="D8904">
        <v>4.3597029999999997</v>
      </c>
      <c r="E8904">
        <v>0.49692130000000001</v>
      </c>
      <c r="F8904" t="s">
        <v>99</v>
      </c>
      <c r="G8904">
        <v>-229.58420000000001</v>
      </c>
      <c r="H8904" s="1">
        <v>-3.6823080000000001E-6</v>
      </c>
      <c r="I8904">
        <v>-63.466230000000003</v>
      </c>
      <c r="J8904">
        <v>-263.85930000000002</v>
      </c>
      <c r="K8904">
        <v>1.108079</v>
      </c>
      <c r="L8904">
        <v>-61.161709999999999</v>
      </c>
      <c r="M8904">
        <v>0.99804510000000002</v>
      </c>
      <c r="N8904">
        <v>0</v>
      </c>
      <c r="O8904">
        <v>-6.2496669999999997E-2</v>
      </c>
      <c r="P8904">
        <v>0.9968709</v>
      </c>
      <c r="Q8904">
        <v>-2.6047100000000001E-3</v>
      </c>
      <c r="R8904">
        <v>-7.9004690000000002E-2</v>
      </c>
      <c r="S8904">
        <v>2.9932249999999998</v>
      </c>
      <c r="T8904">
        <v>-9.6530560000000001E-2</v>
      </c>
      <c r="U8904">
        <v>-0.20123289999999999</v>
      </c>
      <c r="V8904">
        <v>1.6546729999999999E-2</v>
      </c>
      <c r="W8904">
        <v>-2.5578839999999999E-3</v>
      </c>
      <c r="X8904">
        <v>0.99985979999999997</v>
      </c>
      <c r="Y8904">
        <v>4.6208909999999898E-3</v>
      </c>
      <c r="Z8904">
        <v>1.936257E-3</v>
      </c>
      <c r="AA8904">
        <v>0.99998739999999997</v>
      </c>
      <c r="AB8904">
        <v>17</v>
      </c>
      <c r="AC8904">
        <v>34.275100000000002</v>
      </c>
      <c r="AD8904">
        <v>-1.1080826823080001</v>
      </c>
      <c r="AE8904">
        <v>-2.3045200000000001</v>
      </c>
      <c r="AF8904">
        <v>0.15777113581365201</v>
      </c>
      <c r="AG8904">
        <v>-1.1080826823080001</v>
      </c>
      <c r="AH8904">
        <v>34.316417842458399</v>
      </c>
      <c r="AI8904">
        <v>91.849427855250696</v>
      </c>
      <c r="AJ8904">
        <v>89.736582164195795</v>
      </c>
      <c r="AK8904">
        <v>34.334665754894502</v>
      </c>
      <c r="AL8904">
        <v>90.146556120671093</v>
      </c>
      <c r="AM8904">
        <v>89.051895816363299</v>
      </c>
      <c r="AN8904">
        <v>0.99999997835014398</v>
      </c>
    </row>
    <row r="8905" spans="1:40" x14ac:dyDescent="0.25">
      <c r="A8905" t="str">
        <f>"20190312154132378"</f>
        <v>20190312154132378</v>
      </c>
      <c r="B8905" t="str">
        <f>"1552376492375434"</f>
        <v>1552376492375434</v>
      </c>
      <c r="C8905" t="s">
        <v>40</v>
      </c>
      <c r="D8905">
        <v>4.3564590000000001</v>
      </c>
      <c r="E8905">
        <v>0.4971235</v>
      </c>
      <c r="F8905" t="s">
        <v>98</v>
      </c>
      <c r="G8905">
        <v>-230.17869999999999</v>
      </c>
      <c r="H8905" s="1">
        <v>1.075773E-7</v>
      </c>
      <c r="I8905">
        <v>-63.497810000000001</v>
      </c>
      <c r="J8905">
        <v>-263.76819999999998</v>
      </c>
      <c r="K8905">
        <v>1.108074</v>
      </c>
      <c r="L8905">
        <v>-61.167569999999998</v>
      </c>
      <c r="M8905">
        <v>0.99803779999999997</v>
      </c>
      <c r="N8905">
        <v>0</v>
      </c>
      <c r="O8905">
        <v>-6.2615050000000005E-2</v>
      </c>
      <c r="P8905">
        <v>0.99672039999999995</v>
      </c>
      <c r="Q8905">
        <v>-2.6478230000000001E-3</v>
      </c>
      <c r="R8905">
        <v>-8.0879969999999995E-2</v>
      </c>
      <c r="S8905">
        <v>2.9927060000000001</v>
      </c>
      <c r="T8905">
        <v>-9.8458889999999993E-2</v>
      </c>
      <c r="U8905">
        <v>-0.2075806</v>
      </c>
      <c r="V8905">
        <v>1.8308899999999999E-2</v>
      </c>
      <c r="W8905">
        <v>-2.8423340000000002E-3</v>
      </c>
      <c r="X8905">
        <v>0.9998283</v>
      </c>
      <c r="Y8905">
        <v>6.6252419999999999E-3</v>
      </c>
      <c r="Z8905">
        <v>1.9460370000000001E-3</v>
      </c>
      <c r="AA8905">
        <v>0.99997619999999998</v>
      </c>
      <c r="AB8905">
        <v>17</v>
      </c>
      <c r="AC8905">
        <v>33.589499999999902</v>
      </c>
      <c r="AD8905">
        <v>-1.1080738924226901</v>
      </c>
      <c r="AE8905">
        <v>-2.3302399999999999</v>
      </c>
      <c r="AF8905">
        <v>0.222218698419097</v>
      </c>
      <c r="AG8905">
        <v>-1.1080738924226901</v>
      </c>
      <c r="AH8905">
        <v>33.633071160226301</v>
      </c>
      <c r="AI8905">
        <v>91.886940896347198</v>
      </c>
      <c r="AJ8905">
        <v>89.621443780130505</v>
      </c>
      <c r="AK8905">
        <v>33.652053199914</v>
      </c>
      <c r="AL8905">
        <v>90.162853967621402</v>
      </c>
      <c r="AM8905">
        <v>88.950914407487204</v>
      </c>
      <c r="AN8905">
        <v>0.99999996208133302</v>
      </c>
    </row>
    <row r="8906" spans="1:40" x14ac:dyDescent="0.25">
      <c r="A8906" t="str">
        <f>"20190312154132388"</f>
        <v>20190312154132388</v>
      </c>
      <c r="B8906" t="str">
        <f>"1552376492385195"</f>
        <v>1552376492385195</v>
      </c>
      <c r="C8906" t="s">
        <v>40</v>
      </c>
      <c r="D8906">
        <v>4.3332069999999998</v>
      </c>
      <c r="E8906">
        <v>0.49724889999999999</v>
      </c>
      <c r="F8906" t="s">
        <v>98</v>
      </c>
      <c r="G8906">
        <v>-230.74770000000001</v>
      </c>
      <c r="H8906" s="1">
        <v>-1.4713320000000001E-7</v>
      </c>
      <c r="I8906">
        <v>-63.537770000000002</v>
      </c>
      <c r="J8906">
        <v>-263.68150000000003</v>
      </c>
      <c r="K8906">
        <v>1.1080749999999999</v>
      </c>
      <c r="L8906">
        <v>-61.173189999999998</v>
      </c>
      <c r="M8906">
        <v>0.99803109999999995</v>
      </c>
      <c r="N8906">
        <v>0</v>
      </c>
      <c r="O8906">
        <v>-6.2720479999999995E-2</v>
      </c>
      <c r="P8906">
        <v>0.99659249999999999</v>
      </c>
      <c r="Q8906">
        <v>-2.85038E-3</v>
      </c>
      <c r="R8906">
        <v>-8.2434649999999998E-2</v>
      </c>
      <c r="S8906">
        <v>2.9921880000000001</v>
      </c>
      <c r="T8906">
        <v>-0.1004092</v>
      </c>
      <c r="U8906">
        <v>-0.21478269999999999</v>
      </c>
      <c r="V8906">
        <v>1.9762910000000002E-2</v>
      </c>
      <c r="W8906">
        <v>-3.2497749999999999E-3</v>
      </c>
      <c r="X8906">
        <v>0.9997994</v>
      </c>
      <c r="Y8906">
        <v>8.9265230000000004E-3</v>
      </c>
      <c r="Z8906">
        <v>1.9496699999999999E-3</v>
      </c>
      <c r="AA8906">
        <v>0.99995829999999997</v>
      </c>
      <c r="AB8906">
        <v>18</v>
      </c>
      <c r="AC8906">
        <v>32.933799999999998</v>
      </c>
      <c r="AD8906">
        <v>-1.1080751471332</v>
      </c>
      <c r="AE8906">
        <v>-2.3645799999999801</v>
      </c>
      <c r="AF8906">
        <v>0.29396957049366601</v>
      </c>
      <c r="AG8906">
        <v>-1.1080751471332</v>
      </c>
      <c r="AH8906">
        <v>32.980122559377101</v>
      </c>
      <c r="AI8906">
        <v>91.924238968600704</v>
      </c>
      <c r="AJ8906">
        <v>89.489305425881597</v>
      </c>
      <c r="AK8906">
        <v>33.000041404089302</v>
      </c>
      <c r="AL8906">
        <v>90.186198722040899</v>
      </c>
      <c r="AM8906">
        <v>88.867588948245796</v>
      </c>
      <c r="AN8906">
        <v>0.99999998694478898</v>
      </c>
    </row>
    <row r="8907" spans="1:40" x14ac:dyDescent="0.25">
      <c r="A8907" t="str">
        <f>"20190312154132400"</f>
        <v>20190312154132400</v>
      </c>
      <c r="B8907" t="str">
        <f>"1552376492394954"</f>
        <v>1552376492394954</v>
      </c>
      <c r="C8907" t="s">
        <v>40</v>
      </c>
      <c r="D8907">
        <v>4.3346629999999999</v>
      </c>
      <c r="E8907">
        <v>0.49729709999999999</v>
      </c>
      <c r="F8907" t="s">
        <v>98</v>
      </c>
      <c r="G8907">
        <v>-231.3655</v>
      </c>
      <c r="H8907" s="1">
        <v>-4.1627229999999999E-7</v>
      </c>
      <c r="I8907">
        <v>-63.553159999999998</v>
      </c>
      <c r="J8907">
        <v>-263.5915</v>
      </c>
      <c r="K8907">
        <v>1.108074</v>
      </c>
      <c r="L8907">
        <v>-61.179020000000001</v>
      </c>
      <c r="M8907">
        <v>0.99802440000000003</v>
      </c>
      <c r="N8907">
        <v>0</v>
      </c>
      <c r="O8907">
        <v>-6.2826649999999998E-2</v>
      </c>
      <c r="P8907">
        <v>0.99646729999999994</v>
      </c>
      <c r="Q8907">
        <v>-3.0221720000000001E-3</v>
      </c>
      <c r="R8907">
        <v>-8.3929770000000001E-2</v>
      </c>
      <c r="S8907">
        <v>2.99173</v>
      </c>
      <c r="T8907">
        <v>-0.1025827</v>
      </c>
      <c r="U8907">
        <v>-0.2203369</v>
      </c>
      <c r="V8907">
        <v>2.1156359999999999E-2</v>
      </c>
      <c r="W8907">
        <v>-3.6275029999999998E-3</v>
      </c>
      <c r="X8907">
        <v>0.99976960000000004</v>
      </c>
      <c r="Y8907">
        <v>1.0678089999999999E-2</v>
      </c>
      <c r="Z8907">
        <v>1.9656330000000001E-3</v>
      </c>
      <c r="AA8907">
        <v>0.99994110000000003</v>
      </c>
      <c r="AB8907">
        <v>18</v>
      </c>
      <c r="AC8907">
        <v>32.225999999999999</v>
      </c>
      <c r="AD8907">
        <v>-1.1080744162723</v>
      </c>
      <c r="AE8907">
        <v>-2.3741400000000001</v>
      </c>
      <c r="AF8907">
        <v>0.34439306946982001</v>
      </c>
      <c r="AG8907">
        <v>-1.1080744162723</v>
      </c>
      <c r="AH8907">
        <v>32.273544537268002</v>
      </c>
      <c r="AI8907">
        <v>91.966299301910198</v>
      </c>
      <c r="AJ8907">
        <v>89.388616257480606</v>
      </c>
      <c r="AK8907">
        <v>32.294397540398798</v>
      </c>
      <c r="AL8907">
        <v>90.207841067538595</v>
      </c>
      <c r="AM8907">
        <v>88.787731442610195</v>
      </c>
      <c r="AN8907">
        <v>1.0000000017153099</v>
      </c>
    </row>
    <row r="8908" spans="1:40" x14ac:dyDescent="0.25">
      <c r="A8908" t="str">
        <f>"20190312154132411"</f>
        <v>20190312154132411</v>
      </c>
      <c r="B8908" t="str">
        <f>"1552376492404714"</f>
        <v>1552376492404714</v>
      </c>
      <c r="C8908" t="s">
        <v>40</v>
      </c>
      <c r="D8908">
        <v>4.3177949999999896</v>
      </c>
      <c r="E8908">
        <v>0.49738490000000002</v>
      </c>
      <c r="F8908" t="s">
        <v>98</v>
      </c>
      <c r="G8908">
        <v>-231.76240000000001</v>
      </c>
      <c r="H8908" s="1">
        <v>-5.9244299999999995E-7</v>
      </c>
      <c r="I8908">
        <v>-63.575400000000002</v>
      </c>
      <c r="J8908">
        <v>-263.4991</v>
      </c>
      <c r="K8908">
        <v>1.108079</v>
      </c>
      <c r="L8908">
        <v>-61.185029999999998</v>
      </c>
      <c r="M8908">
        <v>0.99801799999999996</v>
      </c>
      <c r="N8908">
        <v>0</v>
      </c>
      <c r="O8908">
        <v>-6.2925220000000004E-2</v>
      </c>
      <c r="P8908">
        <v>0.99634560000000005</v>
      </c>
      <c r="Q8908">
        <v>-3.1961070000000001E-3</v>
      </c>
      <c r="R8908">
        <v>-8.5355710000000001E-2</v>
      </c>
      <c r="S8908">
        <v>2.991333</v>
      </c>
      <c r="T8908">
        <v>-0.1041378</v>
      </c>
      <c r="U8908">
        <v>-0.22521969999999999</v>
      </c>
      <c r="V8908">
        <v>2.2488310000000001E-2</v>
      </c>
      <c r="W8908">
        <v>-3.9934799999999998E-3</v>
      </c>
      <c r="X8908">
        <v>0.99973909999999999</v>
      </c>
      <c r="Y8908">
        <v>1.2212300000000001E-2</v>
      </c>
      <c r="Z8908">
        <v>1.9722860000000002E-3</v>
      </c>
      <c r="AA8908">
        <v>0.99992349999999997</v>
      </c>
      <c r="AB8908">
        <v>18</v>
      </c>
      <c r="AC8908">
        <v>31.7366999999999</v>
      </c>
      <c r="AD8908">
        <v>-1.108079592443</v>
      </c>
      <c r="AE8908">
        <v>-2.3903699999999901</v>
      </c>
      <c r="AF8908">
        <v>0.38812308288296199</v>
      </c>
      <c r="AG8908">
        <v>-1.108079592443</v>
      </c>
      <c r="AH8908">
        <v>31.785690698201201</v>
      </c>
      <c r="AI8908">
        <v>91.996428448903202</v>
      </c>
      <c r="AJ8908">
        <v>89.300417610033605</v>
      </c>
      <c r="AK8908">
        <v>31.807367276660401</v>
      </c>
      <c r="AL8908">
        <v>90.228810164605505</v>
      </c>
      <c r="AM8908">
        <v>88.711395805222395</v>
      </c>
      <c r="AN8908">
        <v>0.99999997001898699</v>
      </c>
    </row>
    <row r="8909" spans="1:40" x14ac:dyDescent="0.25">
      <c r="A8909" t="str">
        <f>"20190312154132423"</f>
        <v>20190312154132423</v>
      </c>
      <c r="B8909" t="str">
        <f>"1552376492415450"</f>
        <v>1552376492415450</v>
      </c>
      <c r="C8909" t="s">
        <v>40</v>
      </c>
      <c r="D8909">
        <v>4.3346730000000004</v>
      </c>
      <c r="E8909">
        <v>0.49735760000000001</v>
      </c>
      <c r="F8909" t="s">
        <v>98</v>
      </c>
      <c r="G8909">
        <v>-232.1173</v>
      </c>
      <c r="H8909" s="1">
        <v>-7.5130540000000001E-7</v>
      </c>
      <c r="I8909">
        <v>-63.600239999999999</v>
      </c>
      <c r="J8909">
        <v>-263.40620000000001</v>
      </c>
      <c r="K8909">
        <v>1.108082</v>
      </c>
      <c r="L8909">
        <v>-61.191040000000001</v>
      </c>
      <c r="M8909">
        <v>0.99801209999999996</v>
      </c>
      <c r="N8909">
        <v>0</v>
      </c>
      <c r="O8909">
        <v>-6.3014890000000004E-2</v>
      </c>
      <c r="P8909">
        <v>0.99625359999999996</v>
      </c>
      <c r="Q8909">
        <v>-3.6046519999999999E-3</v>
      </c>
      <c r="R8909">
        <v>-8.6405560000000006E-2</v>
      </c>
      <c r="S8909">
        <v>2.990936</v>
      </c>
      <c r="T8909">
        <v>-0.1056086</v>
      </c>
      <c r="U8909">
        <v>-0.23019410000000001</v>
      </c>
      <c r="V8909">
        <v>2.3452020000000001E-2</v>
      </c>
      <c r="W8909">
        <v>-4.582806E-3</v>
      </c>
      <c r="X8909">
        <v>0.9997144</v>
      </c>
      <c r="Y8909">
        <v>1.3785759999999999E-2</v>
      </c>
      <c r="Z8909">
        <v>1.9756560000000001E-3</v>
      </c>
      <c r="AA8909">
        <v>0.99990299999999999</v>
      </c>
      <c r="AB8909">
        <v>18</v>
      </c>
      <c r="AC8909">
        <v>31.288900000000002</v>
      </c>
      <c r="AD8909">
        <v>-1.1080827513053999</v>
      </c>
      <c r="AE8909">
        <v>-2.40919999999999</v>
      </c>
      <c r="AF8909">
        <v>0.43220549635860001</v>
      </c>
      <c r="AG8909">
        <v>-1.1080827513053999</v>
      </c>
      <c r="AH8909">
        <v>31.3394575017895</v>
      </c>
      <c r="AI8909">
        <v>92.024795706457297</v>
      </c>
      <c r="AJ8909">
        <v>89.209878440336595</v>
      </c>
      <c r="AK8909">
        <v>31.3620191550431</v>
      </c>
      <c r="AL8909">
        <v>90.262576376876197</v>
      </c>
      <c r="AM8909">
        <v>88.656160835984906</v>
      </c>
      <c r="AN8909">
        <v>0.99999994046013496</v>
      </c>
    </row>
    <row r="8910" spans="1:40" x14ac:dyDescent="0.25">
      <c r="A8910" t="str">
        <f>"20190312154132434"</f>
        <v>20190312154132434</v>
      </c>
      <c r="B8910" t="str">
        <f>"1552376492425210"</f>
        <v>1552376492425210</v>
      </c>
      <c r="C8910" t="s">
        <v>40</v>
      </c>
      <c r="D8910">
        <v>4.3676269999999997</v>
      </c>
      <c r="E8910">
        <v>0.49737619999999999</v>
      </c>
      <c r="F8910" t="s">
        <v>98</v>
      </c>
      <c r="G8910">
        <v>-232.4693</v>
      </c>
      <c r="H8910" s="1">
        <v>-9.0310410000000003E-7</v>
      </c>
      <c r="I8910">
        <v>-63.603149999999999</v>
      </c>
      <c r="J8910">
        <v>-263.30970000000002</v>
      </c>
      <c r="K8910">
        <v>1.108088</v>
      </c>
      <c r="L8910">
        <v>-61.197299999999998</v>
      </c>
      <c r="M8910">
        <v>0.99800670000000002</v>
      </c>
      <c r="N8910">
        <v>0</v>
      </c>
      <c r="O8910">
        <v>-6.3098619999999994E-2</v>
      </c>
      <c r="P8910">
        <v>0.99616769999999999</v>
      </c>
      <c r="Q8910">
        <v>-4.2307120000000002E-3</v>
      </c>
      <c r="R8910">
        <v>-8.7362549999999997E-2</v>
      </c>
      <c r="S8910">
        <v>2.9906619999999999</v>
      </c>
      <c r="T8910">
        <v>-0.107118</v>
      </c>
      <c r="U8910">
        <v>-0.2331848</v>
      </c>
      <c r="V8910">
        <v>2.4328720000000002E-2</v>
      </c>
      <c r="W8910">
        <v>-5.3840370000000004E-3</v>
      </c>
      <c r="X8910">
        <v>0.99968950000000001</v>
      </c>
      <c r="Y8910">
        <v>1.470319E-2</v>
      </c>
      <c r="Z8910">
        <v>1.9905499999999998E-3</v>
      </c>
      <c r="AA8910">
        <v>0.9998899</v>
      </c>
      <c r="AB8910">
        <v>18</v>
      </c>
      <c r="AC8910">
        <v>30.840399999999999</v>
      </c>
      <c r="AD8910">
        <v>-1.1080889031040999</v>
      </c>
      <c r="AE8910">
        <v>-2.40585</v>
      </c>
      <c r="AF8910">
        <v>0.45448484187898602</v>
      </c>
      <c r="AG8910">
        <v>-1.1080889031040999</v>
      </c>
      <c r="AH8910">
        <v>30.891112416985202</v>
      </c>
      <c r="AI8910">
        <v>92.054142486250797</v>
      </c>
      <c r="AJ8910">
        <v>89.157097862544205</v>
      </c>
      <c r="AK8910">
        <v>30.914321015469401</v>
      </c>
      <c r="AL8910">
        <v>90.308484091727806</v>
      </c>
      <c r="AM8910">
        <v>88.605909247741494</v>
      </c>
      <c r="AN8910">
        <v>0.99999998544075197</v>
      </c>
    </row>
    <row r="8911" spans="1:40" x14ac:dyDescent="0.25">
      <c r="A8911" t="str">
        <f>"20190312154132446"</f>
        <v>20190312154132446</v>
      </c>
      <c r="B8911" t="str">
        <f>"1552376492434971"</f>
        <v>1552376492434971</v>
      </c>
      <c r="C8911" t="s">
        <v>40</v>
      </c>
      <c r="D8911">
        <v>4.3316280000000003</v>
      </c>
      <c r="E8911">
        <v>0.49735099999999999</v>
      </c>
      <c r="F8911" t="s">
        <v>98</v>
      </c>
      <c r="G8911">
        <v>-233.149</v>
      </c>
      <c r="H8911" s="1">
        <v>-1.1884999999999999E-6</v>
      </c>
      <c r="I8911">
        <v>-63.579900000000002</v>
      </c>
      <c r="J8911">
        <v>-263.21800000000002</v>
      </c>
      <c r="K8911">
        <v>1.108093</v>
      </c>
      <c r="L8911">
        <v>-61.203249999999997</v>
      </c>
      <c r="M8911">
        <v>0.99800250000000001</v>
      </c>
      <c r="N8911">
        <v>0</v>
      </c>
      <c r="O8911">
        <v>-6.3160910000000001E-2</v>
      </c>
      <c r="P8911">
        <v>0.99610140000000003</v>
      </c>
      <c r="Q8911">
        <v>-4.7772839999999997E-3</v>
      </c>
      <c r="R8911">
        <v>-8.8085319999999995E-2</v>
      </c>
      <c r="S8911">
        <v>2.9903870000000001</v>
      </c>
      <c r="T8911">
        <v>-0.1098652</v>
      </c>
      <c r="U8911">
        <v>-0.23623659999999999</v>
      </c>
      <c r="V8911">
        <v>2.4991739999999998E-2</v>
      </c>
      <c r="W8911">
        <v>-6.08005E-3</v>
      </c>
      <c r="X8911">
        <v>0.99966920000000004</v>
      </c>
      <c r="Y8911">
        <v>1.5663030000000001E-2</v>
      </c>
      <c r="Z8911">
        <v>2.0263350000000002E-3</v>
      </c>
      <c r="AA8911">
        <v>0.99987519999999996</v>
      </c>
      <c r="AB8911">
        <v>18</v>
      </c>
      <c r="AC8911">
        <v>30.068999999999999</v>
      </c>
      <c r="AD8911">
        <v>-1.1080941885</v>
      </c>
      <c r="AE8911">
        <v>-2.3766500000000002</v>
      </c>
      <c r="AF8911">
        <v>0.47208051481948399</v>
      </c>
      <c r="AG8911">
        <v>-1.1080941885</v>
      </c>
      <c r="AH8911">
        <v>30.118425976349599</v>
      </c>
      <c r="AI8911">
        <v>92.106773787529903</v>
      </c>
      <c r="AJ8911">
        <v>89.102011294367401</v>
      </c>
      <c r="AK8911">
        <v>30.142500162327501</v>
      </c>
      <c r="AL8911">
        <v>90.348363339514606</v>
      </c>
      <c r="AM8911">
        <v>88.567903243045905</v>
      </c>
      <c r="AN8911">
        <v>1.00000003175243</v>
      </c>
    </row>
    <row r="8912" spans="1:40" x14ac:dyDescent="0.25">
      <c r="A8912" t="str">
        <f>"20190312154132456"</f>
        <v>20190312154132456</v>
      </c>
      <c r="B8912" t="str">
        <f>"1552376492444730"</f>
        <v>1552376492444730</v>
      </c>
      <c r="C8912" t="s">
        <v>40</v>
      </c>
      <c r="D8912">
        <v>4.3586689999999999</v>
      </c>
      <c r="E8912">
        <v>0.49734020000000001</v>
      </c>
      <c r="F8912" t="s">
        <v>98</v>
      </c>
      <c r="G8912">
        <v>-233.66919999999999</v>
      </c>
      <c r="H8912" s="1">
        <v>-1.40555E-6</v>
      </c>
      <c r="I8912">
        <v>-63.557000000000002</v>
      </c>
      <c r="J8912">
        <v>-263.12650000000002</v>
      </c>
      <c r="K8912">
        <v>1.1081000000000001</v>
      </c>
      <c r="L8912">
        <v>-61.209169999999901</v>
      </c>
      <c r="M8912">
        <v>0.99799870000000002</v>
      </c>
      <c r="N8912">
        <v>0</v>
      </c>
      <c r="O8912">
        <v>-6.3218339999999998E-2</v>
      </c>
      <c r="P8912">
        <v>0.99606360000000005</v>
      </c>
      <c r="Q8912">
        <v>-5.6653809999999997E-3</v>
      </c>
      <c r="R8912">
        <v>-8.8460570000000002E-2</v>
      </c>
      <c r="S8912">
        <v>2.9901430000000002</v>
      </c>
      <c r="T8912">
        <v>-0.1121315</v>
      </c>
      <c r="U8912">
        <v>-0.2381897</v>
      </c>
      <c r="V8912">
        <v>2.531096E-2</v>
      </c>
      <c r="W8912">
        <v>-7.1123360000000004E-3</v>
      </c>
      <c r="X8912">
        <v>0.99965440000000005</v>
      </c>
      <c r="Y8912">
        <v>1.626186E-2</v>
      </c>
      <c r="Z8912">
        <v>2.0591440000000002E-3</v>
      </c>
      <c r="AA8912">
        <v>0.99986569999999997</v>
      </c>
      <c r="AB8912">
        <v>18</v>
      </c>
      <c r="AC8912">
        <v>29.4573</v>
      </c>
      <c r="AD8912">
        <v>-1.10810140555</v>
      </c>
      <c r="AE8912">
        <v>-2.3478300000000001</v>
      </c>
      <c r="AF8912">
        <v>0.48021492979892999</v>
      </c>
      <c r="AG8912">
        <v>-1.10810140555</v>
      </c>
      <c r="AH8912">
        <v>29.5053150323807</v>
      </c>
      <c r="AI8912">
        <v>92.150504539744304</v>
      </c>
      <c r="AJ8912">
        <v>89.067562585140493</v>
      </c>
      <c r="AK8912">
        <v>29.5300204920994</v>
      </c>
      <c r="AL8912">
        <v>90.407510240547794</v>
      </c>
      <c r="AM8912">
        <v>88.549597342469198</v>
      </c>
      <c r="AN8912">
        <v>1.00000007472942</v>
      </c>
    </row>
    <row r="8913" spans="1:40" x14ac:dyDescent="0.25">
      <c r="A8913" t="str">
        <f>"20190312154132469"</f>
        <v>20190312154132469</v>
      </c>
      <c r="B8913" t="str">
        <f>"1552376492465228"</f>
        <v>1552376492465228</v>
      </c>
      <c r="C8913" t="s">
        <v>40</v>
      </c>
      <c r="D8913">
        <v>4.3580889999999997</v>
      </c>
      <c r="E8913">
        <v>0.49722729999999998</v>
      </c>
      <c r="F8913" t="s">
        <v>98</v>
      </c>
      <c r="G8913">
        <v>-234.38239999999999</v>
      </c>
      <c r="H8913" s="1">
        <v>-1.6987350000000001E-6</v>
      </c>
      <c r="I8913">
        <v>-63.508929999999999</v>
      </c>
      <c r="J8913">
        <v>-263.02929999999998</v>
      </c>
      <c r="K8913">
        <v>1.1081110000000001</v>
      </c>
      <c r="L8913">
        <v>-61.215420000000002</v>
      </c>
      <c r="M8913">
        <v>0.99799599999999999</v>
      </c>
      <c r="N8913">
        <v>0</v>
      </c>
      <c r="O8913">
        <v>-6.3256119999999999E-2</v>
      </c>
      <c r="P8913">
        <v>0.99605350000000004</v>
      </c>
      <c r="Q8913">
        <v>-6.1964059999999998E-3</v>
      </c>
      <c r="R8913">
        <v>-8.8537969999999994E-2</v>
      </c>
      <c r="S8913">
        <v>2.98996</v>
      </c>
      <c r="T8913">
        <v>-0.1152648</v>
      </c>
      <c r="U8913">
        <v>-0.2392273</v>
      </c>
      <c r="V8913">
        <v>2.5351209999999999E-2</v>
      </c>
      <c r="W8913">
        <v>-7.7751869999999898E-3</v>
      </c>
      <c r="X8913">
        <v>0.99964839999999999</v>
      </c>
      <c r="Y8913">
        <v>1.657527E-2</v>
      </c>
      <c r="Z8913">
        <v>2.1121550000000001E-3</v>
      </c>
      <c r="AA8913">
        <v>0.99986039999999998</v>
      </c>
      <c r="AB8913">
        <v>18</v>
      </c>
      <c r="AC8913">
        <v>28.646899999999899</v>
      </c>
      <c r="AD8913">
        <v>-1.1081126987350001</v>
      </c>
      <c r="AE8913">
        <v>-2.2935100000000102</v>
      </c>
      <c r="AF8913">
        <v>0.47611482969730501</v>
      </c>
      <c r="AG8913">
        <v>-1.1081126987350001</v>
      </c>
      <c r="AH8913">
        <v>28.691950454016901</v>
      </c>
      <c r="AI8913">
        <v>92.211418692081807</v>
      </c>
      <c r="AJ8913">
        <v>89.049319882726493</v>
      </c>
      <c r="AK8913">
        <v>28.717287823537902</v>
      </c>
      <c r="AL8913">
        <v>90.445489875086196</v>
      </c>
      <c r="AM8913">
        <v>88.547283154844393</v>
      </c>
      <c r="AN8913">
        <v>1.0000000305019501</v>
      </c>
    </row>
    <row r="8914" spans="1:40" x14ac:dyDescent="0.25">
      <c r="A8914" t="str">
        <f>"20190312154132479"</f>
        <v>20190312154132479</v>
      </c>
      <c r="B8914" t="str">
        <f>"1552376492474986"</f>
        <v>1552376492474986</v>
      </c>
      <c r="C8914" t="s">
        <v>40</v>
      </c>
      <c r="D8914">
        <v>4.339537</v>
      </c>
      <c r="E8914">
        <v>0.49719629999999998</v>
      </c>
      <c r="F8914" t="s">
        <v>98</v>
      </c>
      <c r="G8914">
        <v>-234.71199999999999</v>
      </c>
      <c r="H8914" s="1">
        <v>-1.831089E-6</v>
      </c>
      <c r="I8914">
        <v>-63.4749699999999</v>
      </c>
      <c r="J8914">
        <v>-262.93970000000002</v>
      </c>
      <c r="K8914">
        <v>1.108112</v>
      </c>
      <c r="L8914">
        <v>-61.221220000000002</v>
      </c>
      <c r="M8914">
        <v>0.99799389999999999</v>
      </c>
      <c r="N8914">
        <v>0</v>
      </c>
      <c r="O8914">
        <v>-6.3286990000000001E-2</v>
      </c>
      <c r="P8914">
        <v>0.99605759999999999</v>
      </c>
      <c r="Q8914">
        <v>-6.9724059999999996E-3</v>
      </c>
      <c r="R8914">
        <v>-8.8435310000000003E-2</v>
      </c>
      <c r="S8914">
        <v>2.98996</v>
      </c>
      <c r="T8914">
        <v>-0.1170031</v>
      </c>
      <c r="U8914">
        <v>-0.2385864</v>
      </c>
      <c r="V8914">
        <v>2.5217960000000001E-2</v>
      </c>
      <c r="W8914">
        <v>-8.6688649999999996E-3</v>
      </c>
      <c r="X8914">
        <v>0.99964439999999999</v>
      </c>
      <c r="Y8914">
        <v>1.6332650000000001E-2</v>
      </c>
      <c r="Z8914">
        <v>2.1499470000000001E-3</v>
      </c>
      <c r="AA8914">
        <v>0.99986430000000004</v>
      </c>
      <c r="AB8914">
        <v>19</v>
      </c>
      <c r="AC8914">
        <v>28.227699999999999</v>
      </c>
      <c r="AD8914">
        <v>-1.108113831089</v>
      </c>
      <c r="AE8914">
        <v>-2.2537499999999899</v>
      </c>
      <c r="AF8914">
        <v>0.46207569018201</v>
      </c>
      <c r="AG8914">
        <v>-1.108113831089</v>
      </c>
      <c r="AH8914">
        <v>28.270456651496101</v>
      </c>
      <c r="AI8914">
        <v>92.244367502514905</v>
      </c>
      <c r="AJ8914">
        <v>89.063593844973099</v>
      </c>
      <c r="AK8914">
        <v>28.2959387455201</v>
      </c>
      <c r="AL8914">
        <v>90.496695593589195</v>
      </c>
      <c r="AM8914">
        <v>88.554909839856904</v>
      </c>
      <c r="AN8914">
        <v>1.00000001058915</v>
      </c>
    </row>
    <row r="8915" spans="1:40" x14ac:dyDescent="0.25">
      <c r="A8915" t="str">
        <f>"20190312154132490"</f>
        <v>20190312154132490</v>
      </c>
      <c r="B8915" t="str">
        <f>"1552376492484746"</f>
        <v>1552376492484746</v>
      </c>
      <c r="C8915" t="s">
        <v>40</v>
      </c>
      <c r="D8915">
        <v>4.341558</v>
      </c>
      <c r="E8915">
        <v>0.49713170000000001</v>
      </c>
      <c r="F8915" t="s">
        <v>98</v>
      </c>
      <c r="G8915">
        <v>-235.3049</v>
      </c>
      <c r="H8915" s="1">
        <v>-2.0709610000000001E-6</v>
      </c>
      <c r="I8915">
        <v>-63.420419999999901</v>
      </c>
      <c r="J8915">
        <v>-262.84140000000002</v>
      </c>
      <c r="K8915">
        <v>1.1081219999999901</v>
      </c>
      <c r="L8915">
        <v>-61.227510000000002</v>
      </c>
      <c r="M8915">
        <v>0.99799280000000001</v>
      </c>
      <c r="N8915">
        <v>0</v>
      </c>
      <c r="O8915">
        <v>-6.3303810000000002E-2</v>
      </c>
      <c r="P8915">
        <v>0.99606479999999997</v>
      </c>
      <c r="Q8915">
        <v>-7.3330640000000002E-3</v>
      </c>
      <c r="R8915">
        <v>-8.8323589999999993E-2</v>
      </c>
      <c r="S8915">
        <v>2.9898989999999999</v>
      </c>
      <c r="T8915">
        <v>-0.1198907</v>
      </c>
      <c r="U8915">
        <v>-0.23794560000000001</v>
      </c>
      <c r="V8915">
        <v>2.508958E-2</v>
      </c>
      <c r="W8915">
        <v>-9.1418799999999998E-3</v>
      </c>
      <c r="X8915">
        <v>0.99964339999999996</v>
      </c>
      <c r="Y8915">
        <v>1.610642E-2</v>
      </c>
      <c r="Z8915">
        <v>2.2082310000000002E-3</v>
      </c>
      <c r="AA8915">
        <v>0.99986790000000003</v>
      </c>
      <c r="AB8915">
        <v>19</v>
      </c>
      <c r="AC8915">
        <v>27.5365</v>
      </c>
      <c r="AD8915">
        <v>-1.1081240709610001</v>
      </c>
      <c r="AE8915">
        <v>-2.1929099999999901</v>
      </c>
      <c r="AF8915">
        <v>0.44462819296035999</v>
      </c>
      <c r="AG8915">
        <v>-1.1081240709610001</v>
      </c>
      <c r="AH8915">
        <v>27.575714491732199</v>
      </c>
      <c r="AI8915">
        <v>92.300881520639805</v>
      </c>
      <c r="AJ8915">
        <v>89.0762483573221</v>
      </c>
      <c r="AK8915">
        <v>27.601551820797098</v>
      </c>
      <c r="AL8915">
        <v>90.523798440075097</v>
      </c>
      <c r="AM8915">
        <v>88.562261994950006</v>
      </c>
      <c r="AN8915">
        <v>0.99999999407903495</v>
      </c>
    </row>
    <row r="8916" spans="1:40" x14ac:dyDescent="0.25">
      <c r="A8916" t="str">
        <f>"20190312154132502"</f>
        <v>20190312154132502</v>
      </c>
      <c r="B8916" t="str">
        <f>"1552376492495482"</f>
        <v>1552376492495482</v>
      </c>
      <c r="C8916" t="s">
        <v>40</v>
      </c>
      <c r="D8916">
        <v>4.3310779999999998</v>
      </c>
      <c r="E8916">
        <v>0.49709019999999998</v>
      </c>
      <c r="F8916" t="s">
        <v>98</v>
      </c>
      <c r="G8916">
        <v>-235.5531</v>
      </c>
      <c r="H8916" s="1">
        <v>-2.1695149999999999E-6</v>
      </c>
      <c r="I8916">
        <v>-63.39076</v>
      </c>
      <c r="J8916">
        <v>-262.74560000000002</v>
      </c>
      <c r="K8916">
        <v>1.1081299999999901</v>
      </c>
      <c r="L8916">
        <v>-61.233699999999999</v>
      </c>
      <c r="M8916">
        <v>0.99799190000000004</v>
      </c>
      <c r="N8916">
        <v>0</v>
      </c>
      <c r="O8916">
        <v>-6.3313830000000001E-2</v>
      </c>
      <c r="P8916">
        <v>0.99609479999999995</v>
      </c>
      <c r="Q8916">
        <v>-7.5357669999999996E-3</v>
      </c>
      <c r="R8916">
        <v>-8.7967480000000001E-2</v>
      </c>
      <c r="S8916">
        <v>2.9899290000000001</v>
      </c>
      <c r="T8916">
        <v>-0.12141490000000001</v>
      </c>
      <c r="U8916">
        <v>-0.23702999999999999</v>
      </c>
      <c r="V8916">
        <v>2.4722910000000001E-2</v>
      </c>
      <c r="W8916">
        <v>-9.4463010000000007E-3</v>
      </c>
      <c r="X8916">
        <v>0.99964969999999997</v>
      </c>
      <c r="Y8916">
        <v>1.5792520000000001E-2</v>
      </c>
      <c r="Z8916">
        <v>2.2430589999999999E-3</v>
      </c>
      <c r="AA8916">
        <v>0.99987280000000001</v>
      </c>
      <c r="AB8916">
        <v>19</v>
      </c>
      <c r="AC8916">
        <v>27.192499999999999</v>
      </c>
      <c r="AD8916">
        <v>-1.1081321695149999</v>
      </c>
      <c r="AE8916">
        <v>-2.15706</v>
      </c>
      <c r="AF8916">
        <v>0.43035763018129503</v>
      </c>
      <c r="AG8916">
        <v>-1.1081321695149999</v>
      </c>
      <c r="AH8916">
        <v>27.229577828227299</v>
      </c>
      <c r="AI8916">
        <v>92.330126671428303</v>
      </c>
      <c r="AJ8916">
        <v>89.094527896709494</v>
      </c>
      <c r="AK8916">
        <v>27.2555145484076</v>
      </c>
      <c r="AL8916">
        <v>90.541241234972006</v>
      </c>
      <c r="AM8916">
        <v>88.583274019501005</v>
      </c>
      <c r="AN8916">
        <v>0.99999998879577001</v>
      </c>
    </row>
    <row r="8917" spans="1:40" x14ac:dyDescent="0.25">
      <c r="A8917" t="str">
        <f>"20190312154132513"</f>
        <v>20190312154132513</v>
      </c>
      <c r="B8917" t="str">
        <f>"1552376492505242"</f>
        <v>1552376492505242</v>
      </c>
      <c r="C8917" t="s">
        <v>40</v>
      </c>
      <c r="D8917">
        <v>4.317259</v>
      </c>
      <c r="E8917">
        <v>0.49705589999999999</v>
      </c>
      <c r="F8917" t="s">
        <v>98</v>
      </c>
      <c r="G8917">
        <v>-235.66829999999999</v>
      </c>
      <c r="H8917" s="1">
        <v>-2.21287E-6</v>
      </c>
      <c r="I8917">
        <v>-63.367980000000003</v>
      </c>
      <c r="J8917">
        <v>-262.64839999999998</v>
      </c>
      <c r="K8917">
        <v>1.108142</v>
      </c>
      <c r="L8917">
        <v>-61.239899999999999</v>
      </c>
      <c r="M8917">
        <v>0.99799159999999998</v>
      </c>
      <c r="N8917">
        <v>0</v>
      </c>
      <c r="O8917">
        <v>-6.3314919999999997E-2</v>
      </c>
      <c r="P8917">
        <v>0.99609630000000005</v>
      </c>
      <c r="Q8917">
        <v>-7.9969169999999992E-3</v>
      </c>
      <c r="R8917">
        <v>-8.7911110000000001E-2</v>
      </c>
      <c r="S8917">
        <v>2.9900509999999998</v>
      </c>
      <c r="T8917">
        <v>-0.12236710000000001</v>
      </c>
      <c r="U8917">
        <v>-0.23568729999999999</v>
      </c>
      <c r="V8917">
        <v>2.4665909999999999E-2</v>
      </c>
      <c r="W8917">
        <v>-9.9991179999999995E-3</v>
      </c>
      <c r="X8917">
        <v>0.99964580000000003</v>
      </c>
      <c r="Y8917">
        <v>1.5342949999999999E-2</v>
      </c>
      <c r="Z8917">
        <v>2.2698200000000001E-3</v>
      </c>
      <c r="AA8917">
        <v>0.99987969999999904</v>
      </c>
      <c r="AB8917">
        <v>19</v>
      </c>
      <c r="AC8917">
        <v>26.9801</v>
      </c>
      <c r="AD8917">
        <v>-1.1081442128700001</v>
      </c>
      <c r="AE8917">
        <v>-2.1280800000000002</v>
      </c>
      <c r="AF8917">
        <v>0.41486837931116299</v>
      </c>
      <c r="AG8917">
        <v>-1.1081442128700001</v>
      </c>
      <c r="AH8917">
        <v>27.015414118905898</v>
      </c>
      <c r="AI8917">
        <v>92.348619932044002</v>
      </c>
      <c r="AJ8917">
        <v>89.120193428138094</v>
      </c>
      <c r="AK8917">
        <v>27.041314675596801</v>
      </c>
      <c r="AL8917">
        <v>90.572916774527798</v>
      </c>
      <c r="AM8917">
        <v>88.586533518704996</v>
      </c>
      <c r="AN8917">
        <v>1.0000000574672701</v>
      </c>
    </row>
    <row r="8918" spans="1:40" x14ac:dyDescent="0.25">
      <c r="A8918" t="str">
        <f>"20190312154132523"</f>
        <v>20190312154132523</v>
      </c>
      <c r="B8918" t="str">
        <f>"1552376492515002"</f>
        <v>1552376492515002</v>
      </c>
      <c r="C8918" t="s">
        <v>40</v>
      </c>
      <c r="D8918">
        <v>4.2711209999999999</v>
      </c>
      <c r="E8918">
        <v>0.49708069999999999</v>
      </c>
      <c r="F8918" t="s">
        <v>98</v>
      </c>
      <c r="G8918">
        <v>-235.90170000000001</v>
      </c>
      <c r="H8918" s="1">
        <v>-2.3065490000000001E-6</v>
      </c>
      <c r="I8918">
        <v>-63.3437699999999</v>
      </c>
      <c r="J8918">
        <v>-262.55459999999999</v>
      </c>
      <c r="K8918">
        <v>1.1081479999999999</v>
      </c>
      <c r="L8918">
        <v>-61.245910000000002</v>
      </c>
      <c r="M8918">
        <v>0.99799190000000004</v>
      </c>
      <c r="N8918">
        <v>0</v>
      </c>
      <c r="O8918">
        <v>-6.3309309999999994E-2</v>
      </c>
      <c r="P8918">
        <v>0.99610909999999997</v>
      </c>
      <c r="Q8918">
        <v>-8.0693139999999993E-3</v>
      </c>
      <c r="R8918">
        <v>-8.7757109999999999E-2</v>
      </c>
      <c r="S8918">
        <v>2.990021</v>
      </c>
      <c r="T8918">
        <v>-0.12387960000000001</v>
      </c>
      <c r="U8918">
        <v>-0.23519899999999999</v>
      </c>
      <c r="V8918">
        <v>2.4517540000000001E-2</v>
      </c>
      <c r="W8918">
        <v>-1.014698E-2</v>
      </c>
      <c r="X8918">
        <v>0.99964790000000003</v>
      </c>
      <c r="Y8918">
        <v>1.5188210000000001E-2</v>
      </c>
      <c r="Z8918">
        <v>2.3008600000000001E-3</v>
      </c>
      <c r="AA8918">
        <v>0.99988200000000005</v>
      </c>
      <c r="AB8918">
        <v>19</v>
      </c>
      <c r="AC8918">
        <v>26.652899999999899</v>
      </c>
      <c r="AD8918">
        <v>-1.1081503065489999</v>
      </c>
      <c r="AE8918">
        <v>-2.0978599999999901</v>
      </c>
      <c r="AF8918">
        <v>0.40557462950611101</v>
      </c>
      <c r="AG8918">
        <v>-1.1081503065489999</v>
      </c>
      <c r="AH8918">
        <v>26.6863996200074</v>
      </c>
      <c r="AI8918">
        <v>92.377561677810505</v>
      </c>
      <c r="AJ8918">
        <v>89.129297094002197</v>
      </c>
      <c r="AK8918">
        <v>26.712476720827201</v>
      </c>
      <c r="AL8918">
        <v>90.581389107317804</v>
      </c>
      <c r="AM8918">
        <v>88.595035312552696</v>
      </c>
      <c r="AN8918">
        <v>0.99999999747259005</v>
      </c>
    </row>
    <row r="8919" spans="1:40" x14ac:dyDescent="0.25">
      <c r="A8919" t="str">
        <f>"20190312154132534"</f>
        <v>20190312154132534</v>
      </c>
      <c r="B8919" t="str">
        <f>"1552376492524762"</f>
        <v>1552376492524762</v>
      </c>
      <c r="C8919" t="s">
        <v>40</v>
      </c>
      <c r="D8919">
        <v>4.2660309999999999</v>
      </c>
      <c r="E8919">
        <v>0.49715320000000002</v>
      </c>
      <c r="F8919" t="s">
        <v>98</v>
      </c>
      <c r="G8919">
        <v>-235.54949999999999</v>
      </c>
      <c r="H8919" s="1">
        <v>-2.1620319999999998E-6</v>
      </c>
      <c r="I8919">
        <v>-63.368429999999996</v>
      </c>
      <c r="J8919">
        <v>-262.4572</v>
      </c>
      <c r="K8919">
        <v>1.10816</v>
      </c>
      <c r="L8919">
        <v>-61.252110000000002</v>
      </c>
      <c r="M8919">
        <v>0.99799249999999995</v>
      </c>
      <c r="N8919">
        <v>0</v>
      </c>
      <c r="O8919">
        <v>-6.3299659999999994E-2</v>
      </c>
      <c r="P8919">
        <v>0.99614800000000003</v>
      </c>
      <c r="Q8919">
        <v>-8.1574209999999998E-3</v>
      </c>
      <c r="R8919">
        <v>-8.7310780000000004E-2</v>
      </c>
      <c r="S8919">
        <v>2.9900509999999998</v>
      </c>
      <c r="T8919">
        <v>-0.122696</v>
      </c>
      <c r="U8919">
        <v>-0.2350159</v>
      </c>
      <c r="V8919">
        <v>2.4079449999999999E-2</v>
      </c>
      <c r="W8919">
        <v>-1.0305099999999999E-2</v>
      </c>
      <c r="X8919">
        <v>0.99965689999999996</v>
      </c>
      <c r="Y8919">
        <v>1.513548E-2</v>
      </c>
      <c r="Z8919">
        <v>2.2795659999999998E-3</v>
      </c>
      <c r="AA8919">
        <v>0.99988290000000002</v>
      </c>
      <c r="AB8919">
        <v>19</v>
      </c>
      <c r="AC8919">
        <v>26.907699999999998</v>
      </c>
      <c r="AD8919">
        <v>-1.1081621620319999</v>
      </c>
      <c r="AE8919">
        <v>-2.11632</v>
      </c>
      <c r="AF8919">
        <v>0.40813608205211199</v>
      </c>
      <c r="AG8919">
        <v>-1.1081621620319999</v>
      </c>
      <c r="AH8919">
        <v>26.942284685085902</v>
      </c>
      <c r="AI8919">
        <v>92.355033192908294</v>
      </c>
      <c r="AJ8919">
        <v>89.132119389764199</v>
      </c>
      <c r="AK8919">
        <v>26.968153486863901</v>
      </c>
      <c r="AL8919">
        <v>90.590449208106307</v>
      </c>
      <c r="AM8919">
        <v>88.620142452774104</v>
      </c>
      <c r="AN8919">
        <v>0.99999996635795996</v>
      </c>
    </row>
    <row r="8920" spans="1:40" x14ac:dyDescent="0.25">
      <c r="A8920" t="str">
        <f>"20190312154132546"</f>
        <v>20190312154132546</v>
      </c>
      <c r="B8920" t="str">
        <f>"1552376492535498"</f>
        <v>1552376492535498</v>
      </c>
      <c r="C8920" t="s">
        <v>40</v>
      </c>
      <c r="D8920">
        <v>4.2354760000000002</v>
      </c>
      <c r="E8920">
        <v>0.497193</v>
      </c>
      <c r="F8920" t="s">
        <v>98</v>
      </c>
      <c r="G8920">
        <v>-235.1721</v>
      </c>
      <c r="H8920" s="1">
        <v>-2.0060759999999999E-6</v>
      </c>
      <c r="I8920">
        <v>-63.39076</v>
      </c>
      <c r="J8920">
        <v>-262.36160000000001</v>
      </c>
      <c r="K8920">
        <v>1.108168</v>
      </c>
      <c r="L8920">
        <v>-61.258209999999998</v>
      </c>
      <c r="M8920">
        <v>0.99799309999999997</v>
      </c>
      <c r="N8920">
        <v>0</v>
      </c>
      <c r="O8920">
        <v>-6.3283880000000001E-2</v>
      </c>
      <c r="P8920">
        <v>0.99621090000000001</v>
      </c>
      <c r="Q8920">
        <v>-8.3785749999999992E-3</v>
      </c>
      <c r="R8920">
        <v>-8.6565649999999994E-2</v>
      </c>
      <c r="S8920">
        <v>2.9900820000000001</v>
      </c>
      <c r="T8920">
        <v>-0.12143959999999999</v>
      </c>
      <c r="U8920">
        <v>-0.234375</v>
      </c>
      <c r="V8920">
        <v>2.3348130000000002E-2</v>
      </c>
      <c r="W8920">
        <v>-1.0573239999999999E-2</v>
      </c>
      <c r="X8920">
        <v>0.99967150000000005</v>
      </c>
      <c r="Y8920">
        <v>1.493681E-2</v>
      </c>
      <c r="Z8920">
        <v>2.2596309999999998E-3</v>
      </c>
      <c r="AA8920">
        <v>0.99988589999999999</v>
      </c>
      <c r="AB8920">
        <v>19</v>
      </c>
      <c r="AC8920">
        <v>27.189499999999999</v>
      </c>
      <c r="AD8920">
        <v>-1.108170006076</v>
      </c>
      <c r="AE8920">
        <v>-2.1325500000000002</v>
      </c>
      <c r="AF8920">
        <v>0.406942272088751</v>
      </c>
      <c r="AG8920">
        <v>-1.108170006076</v>
      </c>
      <c r="AH8920">
        <v>27.225008086977802</v>
      </c>
      <c r="AI8920">
        <v>92.330627525392501</v>
      </c>
      <c r="AJ8920">
        <v>89.143642551050704</v>
      </c>
      <c r="AK8920">
        <v>27.250590968109002</v>
      </c>
      <c r="AL8920">
        <v>90.605813304738206</v>
      </c>
      <c r="AM8920">
        <v>88.662054341266</v>
      </c>
      <c r="AN8920">
        <v>1.0000000182454201</v>
      </c>
    </row>
    <row r="8921" spans="1:40" x14ac:dyDescent="0.25">
      <c r="A8921" t="str">
        <f>"20190312154132556"</f>
        <v>20190312154132556</v>
      </c>
      <c r="B8921" t="str">
        <f>"1552376492545259"</f>
        <v>1552376492545259</v>
      </c>
      <c r="C8921" t="s">
        <v>40</v>
      </c>
      <c r="D8921">
        <v>4.2391880000000004</v>
      </c>
      <c r="E8921">
        <v>0.49724160000000001</v>
      </c>
      <c r="F8921" t="s">
        <v>98</v>
      </c>
      <c r="G8921">
        <v>-234.8211</v>
      </c>
      <c r="H8921" s="1">
        <v>-1.8580170000000001E-6</v>
      </c>
      <c r="I8921">
        <v>-63.400219999999997</v>
      </c>
      <c r="J8921">
        <v>-262.26229999999998</v>
      </c>
      <c r="K8921">
        <v>1.108176</v>
      </c>
      <c r="L8921">
        <v>-61.264499999999998</v>
      </c>
      <c r="M8921">
        <v>0.9979943</v>
      </c>
      <c r="N8921">
        <v>0</v>
      </c>
      <c r="O8921">
        <v>-6.3266210000000003E-2</v>
      </c>
      <c r="P8921">
        <v>0.99623099999999998</v>
      </c>
      <c r="Q8921">
        <v>-8.6493769999999998E-3</v>
      </c>
      <c r="R8921">
        <v>-8.6310250000000005E-2</v>
      </c>
      <c r="S8921">
        <v>2.9902039999999999</v>
      </c>
      <c r="T8921">
        <v>-0.1203193</v>
      </c>
      <c r="U8921">
        <v>-0.23257449999999999</v>
      </c>
      <c r="V8921">
        <v>2.3109939999999999E-2</v>
      </c>
      <c r="W8921">
        <v>-1.0886939999999999E-2</v>
      </c>
      <c r="X8921">
        <v>0.9996737</v>
      </c>
      <c r="Y8921">
        <v>1.435264E-2</v>
      </c>
      <c r="Z8921">
        <v>2.2497989999999998E-3</v>
      </c>
      <c r="AA8921">
        <v>0.99989439999999996</v>
      </c>
      <c r="AB8921">
        <v>20</v>
      </c>
      <c r="AC8921">
        <v>27.441199999999899</v>
      </c>
      <c r="AD8921">
        <v>-1.1081778580169901</v>
      </c>
      <c r="AE8921">
        <v>-2.1357199999999898</v>
      </c>
      <c r="AF8921">
        <v>0.39469679241125</v>
      </c>
      <c r="AG8921">
        <v>-1.1081778580169901</v>
      </c>
      <c r="AH8921">
        <v>27.476805031362399</v>
      </c>
      <c r="AI8921">
        <v>92.309328965345699</v>
      </c>
      <c r="AJ8921">
        <v>89.177018394380795</v>
      </c>
      <c r="AK8921">
        <v>27.501975537303501</v>
      </c>
      <c r="AL8921">
        <v>90.623788005102895</v>
      </c>
      <c r="AM8921">
        <v>88.675701653710505</v>
      </c>
      <c r="AN8921">
        <v>1.00000005063052</v>
      </c>
    </row>
    <row r="8922" spans="1:40" x14ac:dyDescent="0.25">
      <c r="A8922" t="str">
        <f>"20190312154132568"</f>
        <v>20190312154132568</v>
      </c>
      <c r="B8922" t="str">
        <f>"1552376492564778"</f>
        <v>1552376492564778</v>
      </c>
      <c r="C8922" t="s">
        <v>40</v>
      </c>
      <c r="D8922">
        <v>4.2879239999999896</v>
      </c>
      <c r="E8922">
        <v>0.49726290000000001</v>
      </c>
      <c r="F8922" t="s">
        <v>98</v>
      </c>
      <c r="G8922">
        <v>-234.5427</v>
      </c>
      <c r="H8922" s="1">
        <v>-1.743441E-6</v>
      </c>
      <c r="I8922">
        <v>-63.4184699999999</v>
      </c>
      <c r="J8922">
        <v>-262.1617</v>
      </c>
      <c r="K8922">
        <v>1.1081890000000001</v>
      </c>
      <c r="L8922">
        <v>-61.27084</v>
      </c>
      <c r="M8922">
        <v>0.99799570000000004</v>
      </c>
      <c r="N8922">
        <v>0</v>
      </c>
      <c r="O8922">
        <v>-6.3243350000000004E-2</v>
      </c>
      <c r="P8922">
        <v>0.99627730000000003</v>
      </c>
      <c r="Q8922">
        <v>-9.1745609999999995E-3</v>
      </c>
      <c r="R8922">
        <v>-8.5717890000000005E-2</v>
      </c>
      <c r="S8922">
        <v>2.990173</v>
      </c>
      <c r="T8922">
        <v>-0.11954140000000001</v>
      </c>
      <c r="U8922">
        <v>-0.23236080000000001</v>
      </c>
      <c r="V8922">
        <v>2.253921E-2</v>
      </c>
      <c r="W8922">
        <v>-1.141729E-2</v>
      </c>
      <c r="X8922">
        <v>0.99968080000000004</v>
      </c>
      <c r="Y8922">
        <v>1.4304829999999999E-2</v>
      </c>
      <c r="Z8922">
        <v>2.2353389999999998E-3</v>
      </c>
      <c r="AA8922">
        <v>0.99989519999999998</v>
      </c>
      <c r="AB8922">
        <v>20</v>
      </c>
      <c r="AC8922">
        <v>27.619</v>
      </c>
      <c r="AD8922">
        <v>-1.1081907434410001</v>
      </c>
      <c r="AE8922">
        <v>-2.1476299999999902</v>
      </c>
      <c r="AF8922">
        <v>0.395974716469018</v>
      </c>
      <c r="AG8922">
        <v>-1.1081907434410001</v>
      </c>
      <c r="AH8922">
        <v>27.6552777869626</v>
      </c>
      <c r="AI8922">
        <v>92.294469917038398</v>
      </c>
      <c r="AJ8922">
        <v>89.179681722998694</v>
      </c>
      <c r="AK8922">
        <v>27.680304770251301</v>
      </c>
      <c r="AL8922">
        <v>90.654176719805406</v>
      </c>
      <c r="AM8922">
        <v>88.708404873454199</v>
      </c>
      <c r="AN8922">
        <v>1.0000000361935</v>
      </c>
    </row>
    <row r="8923" spans="1:40" x14ac:dyDescent="0.25">
      <c r="A8923" t="str">
        <f>"20190312154132580"</f>
        <v>20190312154132580</v>
      </c>
      <c r="B8923" t="str">
        <f>"1552376492575513"</f>
        <v>1552376492575513</v>
      </c>
      <c r="C8923" t="s">
        <v>40</v>
      </c>
      <c r="D8923">
        <v>4.2666680000000001</v>
      </c>
      <c r="E8923">
        <v>0.49731989999999998</v>
      </c>
      <c r="F8923" t="s">
        <v>98</v>
      </c>
      <c r="G8923">
        <v>-234.4522</v>
      </c>
      <c r="H8923" s="1">
        <v>-1.7021580000000001E-6</v>
      </c>
      <c r="I8923">
        <v>-63.409260000000003</v>
      </c>
      <c r="J8923">
        <v>-262.05990000000003</v>
      </c>
      <c r="K8923">
        <v>1.108204</v>
      </c>
      <c r="L8923">
        <v>-61.27731</v>
      </c>
      <c r="M8923">
        <v>0.99799709999999997</v>
      </c>
      <c r="N8923">
        <v>0</v>
      </c>
      <c r="O8923">
        <v>-6.3219769999999995E-2</v>
      </c>
      <c r="P8923">
        <v>0.99631429999999999</v>
      </c>
      <c r="Q8923">
        <v>-9.6229390000000005E-3</v>
      </c>
      <c r="R8923">
        <v>-8.5235210000000006E-2</v>
      </c>
      <c r="S8923">
        <v>2.990265</v>
      </c>
      <c r="T8923">
        <v>-0.1195903</v>
      </c>
      <c r="U8923">
        <v>-0.2307739</v>
      </c>
      <c r="V8923">
        <v>2.2079020000000001E-2</v>
      </c>
      <c r="W8923">
        <v>-1.1859710000000001E-2</v>
      </c>
      <c r="X8923">
        <v>0.99968590000000002</v>
      </c>
      <c r="Y8923">
        <v>1.379903E-2</v>
      </c>
      <c r="Z8923">
        <v>2.2453970000000001E-3</v>
      </c>
      <c r="AA8923">
        <v>0.99990219999999996</v>
      </c>
      <c r="AB8923">
        <v>20</v>
      </c>
      <c r="AC8923">
        <v>27.607700000000001</v>
      </c>
      <c r="AD8923">
        <v>-1.1082057021580001</v>
      </c>
      <c r="AE8923">
        <v>-2.13194999999999</v>
      </c>
      <c r="AF8923">
        <v>0.38171701830378302</v>
      </c>
      <c r="AG8923">
        <v>-1.1082057021580001</v>
      </c>
      <c r="AH8923">
        <v>27.642978337085101</v>
      </c>
      <c r="AI8923">
        <v>92.295537101889906</v>
      </c>
      <c r="AJ8923">
        <v>89.208862956925103</v>
      </c>
      <c r="AK8923">
        <v>27.6678166667505</v>
      </c>
      <c r="AL8923">
        <v>90.679527247719804</v>
      </c>
      <c r="AM8923">
        <v>88.734773560621903</v>
      </c>
      <c r="AN8923">
        <v>1.00000001725212</v>
      </c>
    </row>
    <row r="8924" spans="1:40" x14ac:dyDescent="0.25">
      <c r="A8924" t="str">
        <f>"20190312154132591"</f>
        <v>20190312154132591</v>
      </c>
      <c r="B8924" t="str">
        <f>"1552376492585275"</f>
        <v>1552376492585275</v>
      </c>
      <c r="C8924" t="s">
        <v>40</v>
      </c>
      <c r="D8924">
        <v>4.2883360000000001</v>
      </c>
      <c r="E8924">
        <v>0.49731989999999998</v>
      </c>
      <c r="F8924" t="s">
        <v>98</v>
      </c>
      <c r="G8924">
        <v>-234.51990000000001</v>
      </c>
      <c r="H8924" s="1">
        <v>-1.727142E-6</v>
      </c>
      <c r="I8924">
        <v>-63.393940000000001</v>
      </c>
      <c r="J8924">
        <v>-261.9599</v>
      </c>
      <c r="K8924">
        <v>1.108222</v>
      </c>
      <c r="L8924">
        <v>-61.2836</v>
      </c>
      <c r="M8924">
        <v>0.99799879999999996</v>
      </c>
      <c r="N8924">
        <v>0</v>
      </c>
      <c r="O8924">
        <v>-6.3195420000000002E-2</v>
      </c>
      <c r="P8924">
        <v>0.99634670000000003</v>
      </c>
      <c r="Q8924">
        <v>-1.029364E-2</v>
      </c>
      <c r="R8924">
        <v>-8.4779560000000004E-2</v>
      </c>
      <c r="S8924">
        <v>2.990265</v>
      </c>
      <c r="T8924">
        <v>-0.1203277</v>
      </c>
      <c r="U8924">
        <v>-0.2298279</v>
      </c>
      <c r="V8924">
        <v>2.1646869999999999E-2</v>
      </c>
      <c r="W8924">
        <v>-1.2486779999999999E-2</v>
      </c>
      <c r="X8924">
        <v>0.99968769999999996</v>
      </c>
      <c r="Y8924">
        <v>1.350965E-2</v>
      </c>
      <c r="Z8924">
        <v>2.2641010000000001E-3</v>
      </c>
      <c r="AA8924">
        <v>0.99990619999999997</v>
      </c>
      <c r="AB8924">
        <v>20</v>
      </c>
      <c r="AC8924">
        <v>27.44</v>
      </c>
      <c r="AD8924">
        <v>-1.1082237271419999</v>
      </c>
      <c r="AE8924">
        <v>-2.1103399999999999</v>
      </c>
      <c r="AF8924">
        <v>0.37143305287397999</v>
      </c>
      <c r="AG8924">
        <v>-1.1082237271419999</v>
      </c>
      <c r="AH8924">
        <v>27.473966119838899</v>
      </c>
      <c r="AI8924">
        <v>92.309690009469506</v>
      </c>
      <c r="AJ8924">
        <v>89.225439466302603</v>
      </c>
      <c r="AK8924">
        <v>27.498817005395399</v>
      </c>
      <c r="AL8924">
        <v>90.715458385371704</v>
      </c>
      <c r="AM8924">
        <v>88.759532103210603</v>
      </c>
      <c r="AN8924">
        <v>1.0000000020934201</v>
      </c>
    </row>
    <row r="8925" spans="1:40" x14ac:dyDescent="0.25">
      <c r="A8925" t="str">
        <f>"20190312154132602"</f>
        <v>20190312154132602</v>
      </c>
      <c r="B8925" t="str">
        <f>"1552376492595034"</f>
        <v>1552376492595034</v>
      </c>
      <c r="C8925" t="s">
        <v>40</v>
      </c>
      <c r="D8925">
        <v>4.2186909999999997</v>
      </c>
      <c r="E8925">
        <v>0.51769569999999998</v>
      </c>
      <c r="F8925" t="s">
        <v>98</v>
      </c>
      <c r="G8925">
        <v>-234.87450000000001</v>
      </c>
      <c r="H8925" s="1">
        <v>-1.868377E-6</v>
      </c>
      <c r="I8925">
        <v>-63.353110000000001</v>
      </c>
      <c r="J8925">
        <v>-261.85550000000001</v>
      </c>
      <c r="K8925">
        <v>1.108244</v>
      </c>
      <c r="L8925">
        <v>-61.290190000000003</v>
      </c>
      <c r="M8925">
        <v>0.99800060000000002</v>
      </c>
      <c r="N8925">
        <v>0</v>
      </c>
      <c r="O8925">
        <v>-6.3170450000000003E-2</v>
      </c>
      <c r="P8925">
        <v>0.99635910000000005</v>
      </c>
      <c r="Q8925">
        <v>-1.11822E-2</v>
      </c>
      <c r="R8925">
        <v>-8.4520730000000002E-2</v>
      </c>
      <c r="S8925">
        <v>2.9902950000000001</v>
      </c>
      <c r="T8925">
        <v>-0.122350399999999</v>
      </c>
      <c r="U8925">
        <v>-0.2284851</v>
      </c>
      <c r="V8925">
        <v>2.1413120000000001E-2</v>
      </c>
      <c r="W8925">
        <v>-1.3306460000000001E-2</v>
      </c>
      <c r="X8925">
        <v>0.99968210000000002</v>
      </c>
      <c r="Y8925">
        <v>1.30892E-2</v>
      </c>
      <c r="Z8925">
        <v>2.3097220000000002E-3</v>
      </c>
      <c r="AA8925">
        <v>0.99991169999999996</v>
      </c>
      <c r="AB8925">
        <v>20</v>
      </c>
      <c r="AC8925">
        <v>26.980999999999899</v>
      </c>
      <c r="AD8925">
        <v>-1.108245868377</v>
      </c>
      <c r="AE8925">
        <v>-2.0629199999999899</v>
      </c>
      <c r="AF8925">
        <v>0.353800798478692</v>
      </c>
      <c r="AG8925">
        <v>-1.108245868377</v>
      </c>
      <c r="AH8925">
        <v>27.012119016132502</v>
      </c>
      <c r="AI8925">
        <v>92.349196741964803</v>
      </c>
      <c r="AJ8925">
        <v>89.249591139342897</v>
      </c>
      <c r="AK8925">
        <v>27.037158830977202</v>
      </c>
      <c r="AL8925">
        <v>90.762426542810005</v>
      </c>
      <c r="AM8925">
        <v>88.772916092713899</v>
      </c>
      <c r="AN8925">
        <v>0.99999994232313605</v>
      </c>
    </row>
    <row r="8926" spans="1:40" x14ac:dyDescent="0.25">
      <c r="A8926" t="str">
        <f>"20190312154132612"</f>
        <v>20190312154132612</v>
      </c>
      <c r="B8926" t="str">
        <f>"1552376492604794"</f>
        <v>1552376492604794</v>
      </c>
      <c r="C8926" t="s">
        <v>40</v>
      </c>
      <c r="D8926">
        <v>4.2292959999999997</v>
      </c>
      <c r="E8926">
        <v>0.52336070000000001</v>
      </c>
      <c r="F8926" t="s">
        <v>41</v>
      </c>
      <c r="G8926">
        <v>-261.00150000000002</v>
      </c>
      <c r="H8926">
        <v>1.0373600000000001</v>
      </c>
      <c r="I8926">
        <v>-61.400519999999901</v>
      </c>
      <c r="J8926">
        <v>-261.75720000000001</v>
      </c>
      <c r="K8926">
        <v>1.1082719999999999</v>
      </c>
      <c r="L8926">
        <v>-61.29636</v>
      </c>
      <c r="M8926">
        <v>0.99800219999999995</v>
      </c>
      <c r="N8926">
        <v>0</v>
      </c>
      <c r="O8926">
        <v>-6.3147229999999999E-2</v>
      </c>
      <c r="P8926">
        <v>0.9963746</v>
      </c>
      <c r="Q8926">
        <v>-1.1748669999999999E-2</v>
      </c>
      <c r="R8926">
        <v>-8.4257189999999996E-2</v>
      </c>
      <c r="S8926">
        <v>2.9756469999999999</v>
      </c>
      <c r="T8926">
        <v>-0.2469566</v>
      </c>
      <c r="U8926">
        <v>-0.38381959999999998</v>
      </c>
      <c r="V8926">
        <v>2.117262E-2</v>
      </c>
      <c r="W8926">
        <v>-1.3779720000000001E-2</v>
      </c>
      <c r="X8926">
        <v>0.99968089999999998</v>
      </c>
      <c r="Y8926">
        <v>6.5036709999999998E-2</v>
      </c>
      <c r="Z8926">
        <v>2.5193329999999999E-3</v>
      </c>
      <c r="AA8926">
        <v>0.99787969999999904</v>
      </c>
      <c r="AB8926">
        <v>20</v>
      </c>
      <c r="AC8926">
        <v>0.75569999999999005</v>
      </c>
      <c r="AD8926">
        <v>-7.0911999999999795E-2</v>
      </c>
      <c r="AE8926">
        <v>-0.10415999999999299</v>
      </c>
      <c r="AF8926">
        <v>5.5749922097978001E-2</v>
      </c>
      <c r="AG8926">
        <v>-7.0911999999999795E-2</v>
      </c>
      <c r="AH8926">
        <v>0.75425167391313896</v>
      </c>
      <c r="AI8926">
        <v>95.3564265925543</v>
      </c>
      <c r="AJ8926">
        <v>85.772714447078698</v>
      </c>
      <c r="AK8926">
        <v>0.759626324687805</v>
      </c>
      <c r="AL8926">
        <v>90.789544762153</v>
      </c>
      <c r="AM8926">
        <v>88.786692402938598</v>
      </c>
      <c r="AN8926">
        <v>1.0000000311728701</v>
      </c>
    </row>
    <row r="8927" spans="1:40" x14ac:dyDescent="0.25">
      <c r="A8927" t="str">
        <f>"20190312154132625"</f>
        <v>20190312154132625</v>
      </c>
      <c r="B8927" t="str">
        <f>"1552376492615529"</f>
        <v>1552376492615529</v>
      </c>
      <c r="C8927" t="s">
        <v>40</v>
      </c>
      <c r="D8927">
        <v>4.2434409999999998</v>
      </c>
      <c r="E8927">
        <v>0.52815889999999999</v>
      </c>
      <c r="F8927" t="s">
        <v>41</v>
      </c>
      <c r="G8927">
        <v>-261.00869999999998</v>
      </c>
      <c r="H8927">
        <v>1.0225649999999999</v>
      </c>
      <c r="I8927">
        <v>-61.403260000000003</v>
      </c>
      <c r="J8927">
        <v>-261.65089999999998</v>
      </c>
      <c r="K8927">
        <v>1.1082970000000001</v>
      </c>
      <c r="L8927">
        <v>-61.303069999999998</v>
      </c>
      <c r="M8927">
        <v>0.998004</v>
      </c>
      <c r="N8927">
        <v>0</v>
      </c>
      <c r="O8927">
        <v>-6.3123499999999999E-2</v>
      </c>
      <c r="P8927">
        <v>0.99639420000000001</v>
      </c>
      <c r="Q8927">
        <v>-1.2416440000000001E-2</v>
      </c>
      <c r="R8927">
        <v>-8.39342E-2</v>
      </c>
      <c r="S8927">
        <v>2.971069</v>
      </c>
      <c r="T8927">
        <v>-0.34020109999999998</v>
      </c>
      <c r="U8927">
        <v>-0.42370609999999997</v>
      </c>
      <c r="V8927">
        <v>2.08728E-2</v>
      </c>
      <c r="W8927">
        <v>-1.4315919999999999E-2</v>
      </c>
      <c r="X8927">
        <v>0.9996796</v>
      </c>
      <c r="Y8927">
        <v>7.8311829999999999E-2</v>
      </c>
      <c r="Z8927">
        <v>2.7102670000000001E-3</v>
      </c>
      <c r="AA8927">
        <v>0.99692519999999996</v>
      </c>
      <c r="AB8927">
        <v>20</v>
      </c>
      <c r="AC8927">
        <v>0.64220000000000199</v>
      </c>
      <c r="AD8927">
        <v>-8.5731999999999906E-2</v>
      </c>
      <c r="AE8927">
        <v>-0.100189999999997</v>
      </c>
      <c r="AF8927">
        <v>5.8435544682750001E-2</v>
      </c>
      <c r="AG8927">
        <v>-8.5731999999999906E-2</v>
      </c>
      <c r="AH8927">
        <v>0.63617539131989198</v>
      </c>
      <c r="AI8927">
        <v>97.643237861426499</v>
      </c>
      <c r="AJ8927">
        <v>84.751854218648702</v>
      </c>
      <c r="AK8927">
        <v>0.64458034194923097</v>
      </c>
      <c r="AL8927">
        <v>90.820269847909699</v>
      </c>
      <c r="AM8927">
        <v>88.803867155799594</v>
      </c>
      <c r="AN8927">
        <v>0.99999996100072197</v>
      </c>
    </row>
    <row r="8928" spans="1:40" x14ac:dyDescent="0.25">
      <c r="A8928" t="str">
        <f>"20190312154132636"</f>
        <v>20190312154132636</v>
      </c>
      <c r="B8928" t="str">
        <f>"1552376492625290"</f>
        <v>1552376492625290</v>
      </c>
      <c r="C8928" t="s">
        <v>40</v>
      </c>
      <c r="D8928">
        <v>4.2356230000000004</v>
      </c>
      <c r="E8928">
        <v>0.53206719999999996</v>
      </c>
      <c r="F8928" t="s">
        <v>41</v>
      </c>
      <c r="G8928">
        <v>-260.84050000000002</v>
      </c>
      <c r="H8928">
        <v>0.99170990000000003</v>
      </c>
      <c r="I8928">
        <v>-61.427959999999999</v>
      </c>
      <c r="J8928">
        <v>-261.54790000000003</v>
      </c>
      <c r="K8928">
        <v>1.108325</v>
      </c>
      <c r="L8928">
        <v>-61.309539999999998</v>
      </c>
      <c r="M8928">
        <v>0.9980057</v>
      </c>
      <c r="N8928">
        <v>0</v>
      </c>
      <c r="O8928">
        <v>-6.3100959999999998E-2</v>
      </c>
      <c r="P8928">
        <v>0.99641219999999997</v>
      </c>
      <c r="Q8928">
        <v>-1.282018E-2</v>
      </c>
      <c r="R8928">
        <v>-8.36586E-2</v>
      </c>
      <c r="S8928">
        <v>2.9670719999999999</v>
      </c>
      <c r="T8928">
        <v>-0.42676259999999999</v>
      </c>
      <c r="U8928">
        <v>-0.45706180000000002</v>
      </c>
      <c r="V8928">
        <v>2.0619410000000001E-2</v>
      </c>
      <c r="W8928">
        <v>-1.457513E-2</v>
      </c>
      <c r="X8928">
        <v>0.99968120000000005</v>
      </c>
      <c r="Y8928">
        <v>8.9316519999999996E-2</v>
      </c>
      <c r="Z8928">
        <v>2.6085969999999998E-3</v>
      </c>
      <c r="AA8928">
        <v>0.99599990000000005</v>
      </c>
      <c r="AB8928">
        <v>20</v>
      </c>
      <c r="AC8928">
        <v>0.70740000000000602</v>
      </c>
      <c r="AD8928">
        <v>-0.116615099999999</v>
      </c>
      <c r="AE8928">
        <v>-0.118419999999993</v>
      </c>
      <c r="AF8928">
        <v>7.1652208417101099E-2</v>
      </c>
      <c r="AG8928">
        <v>-0.116615099999999</v>
      </c>
      <c r="AH8928">
        <v>0.69508814385185402</v>
      </c>
      <c r="AI8928">
        <v>99.474542981387202</v>
      </c>
      <c r="AJ8928">
        <v>84.114531159951696</v>
      </c>
      <c r="AK8928">
        <v>0.70843535219698905</v>
      </c>
      <c r="AL8928">
        <v>90.8351229646413</v>
      </c>
      <c r="AM8928">
        <v>88.818385625106799</v>
      </c>
      <c r="AN8928">
        <v>1.00000004805835</v>
      </c>
    </row>
    <row r="8929" spans="1:40" x14ac:dyDescent="0.25">
      <c r="A8929" t="str">
        <f>"20190312154132647"</f>
        <v>20190312154132647</v>
      </c>
      <c r="B8929" t="str">
        <f>"1552376492635052"</f>
        <v>1552376492635052</v>
      </c>
      <c r="C8929" t="s">
        <v>40</v>
      </c>
      <c r="D8929">
        <v>4.20695</v>
      </c>
      <c r="E8929">
        <v>0.53452889999999997</v>
      </c>
      <c r="F8929" t="s">
        <v>41</v>
      </c>
      <c r="G8929">
        <v>-260.84010000000001</v>
      </c>
      <c r="H8929">
        <v>0.99216309999999996</v>
      </c>
      <c r="I8929">
        <v>-61.425370000000001</v>
      </c>
      <c r="J8929">
        <v>-261.44670000000002</v>
      </c>
      <c r="K8929">
        <v>1.1083540000000001</v>
      </c>
      <c r="L8929">
        <v>-61.315860000000001</v>
      </c>
      <c r="M8929">
        <v>0.99800739999999999</v>
      </c>
      <c r="N8929">
        <v>0</v>
      </c>
      <c r="O8929">
        <v>-6.3078869999999995E-2</v>
      </c>
      <c r="P8929">
        <v>0.99644359999999998</v>
      </c>
      <c r="Q8929">
        <v>-1.3514480000000001E-2</v>
      </c>
      <c r="R8929">
        <v>-8.3172280000000001E-2</v>
      </c>
      <c r="S8929">
        <v>2.9638369999999998</v>
      </c>
      <c r="T8929">
        <v>-0.48640539999999999</v>
      </c>
      <c r="U8929">
        <v>-0.4848633</v>
      </c>
      <c r="V8929">
        <v>2.0154269999999998E-2</v>
      </c>
      <c r="W8929">
        <v>-1.5100779999999999E-2</v>
      </c>
      <c r="X8929">
        <v>0.99968279999999998</v>
      </c>
      <c r="Y8929">
        <v>9.8413979999999998E-2</v>
      </c>
      <c r="Z8929">
        <v>2.2287090000000002E-3</v>
      </c>
      <c r="AA8929">
        <v>0.99514309999999995</v>
      </c>
      <c r="AB8929">
        <v>20</v>
      </c>
      <c r="AC8929">
        <v>0.60660000000001402</v>
      </c>
      <c r="AD8929">
        <v>-0.1161909</v>
      </c>
      <c r="AE8929">
        <v>-0.109509999999993</v>
      </c>
      <c r="AF8929">
        <v>6.85910990606243E-2</v>
      </c>
      <c r="AG8929">
        <v>-0.1161909</v>
      </c>
      <c r="AH8929">
        <v>0.59129044582260304</v>
      </c>
      <c r="AI8929">
        <v>101.044971953181</v>
      </c>
      <c r="AJ8929">
        <v>83.383127541651405</v>
      </c>
      <c r="AK8929">
        <v>0.60648945203873605</v>
      </c>
      <c r="AL8929">
        <v>90.865243878403007</v>
      </c>
      <c r="AM8929">
        <v>88.845035447866195</v>
      </c>
      <c r="AN8929">
        <v>0.99999996438583905</v>
      </c>
    </row>
    <row r="8930" spans="1:40" x14ac:dyDescent="0.25">
      <c r="A8930" t="str">
        <f>"20190312154132658"</f>
        <v>20190312154132658</v>
      </c>
      <c r="B8930" t="str">
        <f>"1552376492644810"</f>
        <v>1552376492644810</v>
      </c>
      <c r="C8930" t="s">
        <v>40</v>
      </c>
      <c r="D8930">
        <v>4.1861649999999999</v>
      </c>
      <c r="E8930">
        <v>0.53590559999999998</v>
      </c>
      <c r="F8930" t="s">
        <v>41</v>
      </c>
      <c r="G8930">
        <v>-260.666</v>
      </c>
      <c r="H8930">
        <v>0.97030819999999995</v>
      </c>
      <c r="I8930">
        <v>-61.448160000000001</v>
      </c>
      <c r="J8930">
        <v>-261.34230000000002</v>
      </c>
      <c r="K8930">
        <v>1.108382</v>
      </c>
      <c r="L8930">
        <v>-61.322420000000001</v>
      </c>
      <c r="M8930">
        <v>0.99800900000000003</v>
      </c>
      <c r="N8930">
        <v>0</v>
      </c>
      <c r="O8930">
        <v>-6.3056070000000006E-2</v>
      </c>
      <c r="P8930">
        <v>0.99646619999999997</v>
      </c>
      <c r="Q8930">
        <v>-1.4055079999999999E-2</v>
      </c>
      <c r="R8930">
        <v>-8.2810549999999997E-2</v>
      </c>
      <c r="S8930">
        <v>2.9617309999999999</v>
      </c>
      <c r="T8930">
        <v>-0.52369330000000003</v>
      </c>
      <c r="U8930">
        <v>-0.50161739999999999</v>
      </c>
      <c r="V8930">
        <v>1.9814459999999999E-2</v>
      </c>
      <c r="W8930">
        <v>-1.546233E-2</v>
      </c>
      <c r="X8930">
        <v>0.99968409999999996</v>
      </c>
      <c r="Y8930">
        <v>0.1038703</v>
      </c>
      <c r="Z8930">
        <v>1.917867E-3</v>
      </c>
      <c r="AA8930">
        <v>0.99458899999999995</v>
      </c>
      <c r="AB8930">
        <v>21</v>
      </c>
      <c r="AC8930">
        <v>0.67630000000002599</v>
      </c>
      <c r="AD8930">
        <v>-0.138073799999999</v>
      </c>
      <c r="AE8930">
        <v>-0.12573999999999999</v>
      </c>
      <c r="AF8930">
        <v>7.9636451456712498E-2</v>
      </c>
      <c r="AG8930">
        <v>-0.138073799999999</v>
      </c>
      <c r="AH8930">
        <v>0.65643578174797002</v>
      </c>
      <c r="AI8930">
        <v>101.79433267002101</v>
      </c>
      <c r="AJ8930">
        <v>83.082882531245801</v>
      </c>
      <c r="AK8930">
        <v>0.67551038053173196</v>
      </c>
      <c r="AL8930">
        <v>90.8859615576376</v>
      </c>
      <c r="AM8930">
        <v>88.864505000487497</v>
      </c>
      <c r="AN8930">
        <v>0.99999999813346496</v>
      </c>
    </row>
    <row r="8931" spans="1:40" x14ac:dyDescent="0.25">
      <c r="A8931" t="str">
        <f>"20190312154132670"</f>
        <v>20190312154132670</v>
      </c>
      <c r="B8931" t="str">
        <f>"1552376492655546"</f>
        <v>1552376492655546</v>
      </c>
      <c r="C8931" t="s">
        <v>40</v>
      </c>
      <c r="D8931">
        <v>4.1832900000000004</v>
      </c>
      <c r="E8931">
        <v>0.53691099999999903</v>
      </c>
      <c r="F8931" t="s">
        <v>41</v>
      </c>
      <c r="G8931">
        <v>-260.48919999999998</v>
      </c>
      <c r="H8931">
        <v>0.95056019999999997</v>
      </c>
      <c r="I8931">
        <v>-61.469819999999999</v>
      </c>
      <c r="J8931">
        <v>-261.23239999999998</v>
      </c>
      <c r="K8931">
        <v>1.108409</v>
      </c>
      <c r="L8931">
        <v>-61.329279999999997</v>
      </c>
      <c r="M8931">
        <v>0.99801090000000003</v>
      </c>
      <c r="N8931">
        <v>0</v>
      </c>
      <c r="O8931">
        <v>-6.3031489999999996E-2</v>
      </c>
      <c r="P8931">
        <v>0.99649520000000003</v>
      </c>
      <c r="Q8931">
        <v>-1.491056E-2</v>
      </c>
      <c r="R8931">
        <v>-8.2310969999999997E-2</v>
      </c>
      <c r="S8931">
        <v>2.960388</v>
      </c>
      <c r="T8931">
        <v>-0.54754879999999995</v>
      </c>
      <c r="U8931">
        <v>-0.51089479999999998</v>
      </c>
      <c r="V8931">
        <v>1.93387E-2</v>
      </c>
      <c r="W8931">
        <v>-1.6115859999999999E-2</v>
      </c>
      <c r="X8931">
        <v>0.99968310000000005</v>
      </c>
      <c r="Y8931">
        <v>0.106889899999999</v>
      </c>
      <c r="Z8931">
        <v>1.7245439999999999E-3</v>
      </c>
      <c r="AA8931">
        <v>0.99426939999999997</v>
      </c>
      <c r="AB8931">
        <v>21</v>
      </c>
      <c r="AC8931">
        <v>0.74320000000000097</v>
      </c>
      <c r="AD8931">
        <v>-0.15784880000000001</v>
      </c>
      <c r="AE8931">
        <v>-0.140539999999994</v>
      </c>
      <c r="AF8931">
        <v>8.9516832890288597E-2</v>
      </c>
      <c r="AG8931">
        <v>-0.15784880000000001</v>
      </c>
      <c r="AH8931">
        <v>0.71925531172381996</v>
      </c>
      <c r="AI8931">
        <v>102.286104844223</v>
      </c>
      <c r="AJ8931">
        <v>82.905581437005196</v>
      </c>
      <c r="AK8931">
        <v>0.74179357672810697</v>
      </c>
      <c r="AL8931">
        <v>90.923410732595798</v>
      </c>
      <c r="AM8931">
        <v>88.891761092853898</v>
      </c>
      <c r="AN8931">
        <v>1.00000000334341</v>
      </c>
    </row>
    <row r="8932" spans="1:40" x14ac:dyDescent="0.25">
      <c r="A8932" t="str">
        <f>"20190312154132680"</f>
        <v>20190312154132680</v>
      </c>
      <c r="B8932" t="str">
        <f>"1552376492675066"</f>
        <v>1552376492675066</v>
      </c>
      <c r="C8932" t="s">
        <v>40</v>
      </c>
      <c r="D8932">
        <v>4.2213589999999996</v>
      </c>
      <c r="E8932">
        <v>0.53908020000000001</v>
      </c>
      <c r="F8932" t="s">
        <v>41</v>
      </c>
      <c r="G8932">
        <v>-260.4821</v>
      </c>
      <c r="H8932">
        <v>0.96484329999999996</v>
      </c>
      <c r="I8932">
        <v>-61.460610000000003</v>
      </c>
      <c r="J8932">
        <v>-261.13119999999998</v>
      </c>
      <c r="K8932">
        <v>1.1084309999999999</v>
      </c>
      <c r="L8932">
        <v>-61.335630000000002</v>
      </c>
      <c r="M8932">
        <v>0.99801260000000003</v>
      </c>
      <c r="N8932">
        <v>0</v>
      </c>
      <c r="O8932">
        <v>-6.3008010000000003E-2</v>
      </c>
      <c r="P8932">
        <v>0.99654399999999999</v>
      </c>
      <c r="Q8932">
        <v>-1.552835E-2</v>
      </c>
      <c r="R8932">
        <v>-8.160299E-2</v>
      </c>
      <c r="S8932">
        <v>2.9593509999999998</v>
      </c>
      <c r="T8932">
        <v>-0.5661619</v>
      </c>
      <c r="U8932">
        <v>-0.51724239999999999</v>
      </c>
      <c r="V8932">
        <v>1.8652249999999999E-2</v>
      </c>
      <c r="W8932">
        <v>-1.6547849999999999E-2</v>
      </c>
      <c r="X8932">
        <v>0.9996891</v>
      </c>
      <c r="Y8932">
        <v>0.10895539999999899</v>
      </c>
      <c r="Z8932">
        <v>1.583484E-3</v>
      </c>
      <c r="AA8932">
        <v>0.99404539999999997</v>
      </c>
      <c r="AB8932">
        <v>21</v>
      </c>
      <c r="AC8932">
        <v>0.64909999999997503</v>
      </c>
      <c r="AD8932">
        <v>-0.14358769999999901</v>
      </c>
      <c r="AE8932">
        <v>-0.124979999999993</v>
      </c>
      <c r="AF8932">
        <v>8.0055738352609401E-2</v>
      </c>
      <c r="AG8932">
        <v>-0.14358769999999901</v>
      </c>
      <c r="AH8932">
        <v>0.62614068533596401</v>
      </c>
      <c r="AI8932">
        <v>102.815017858201</v>
      </c>
      <c r="AJ8932">
        <v>82.713930895888396</v>
      </c>
      <c r="AK8932">
        <v>0.64736273191114602</v>
      </c>
      <c r="AL8932">
        <v>90.948165224942898</v>
      </c>
      <c r="AM8932">
        <v>88.9310964609802</v>
      </c>
      <c r="AN8932">
        <v>1.00000001721424</v>
      </c>
    </row>
    <row r="8933" spans="1:40" x14ac:dyDescent="0.25">
      <c r="A8933" t="str">
        <f>"20190312154132691"</f>
        <v>20190312154132691</v>
      </c>
      <c r="B8933" t="str">
        <f>"1552376492684826"</f>
        <v>1552376492684826</v>
      </c>
      <c r="C8933" t="s">
        <v>40</v>
      </c>
      <c r="D8933">
        <v>4.1620599999999897</v>
      </c>
      <c r="E8933">
        <v>0.53965469999999904</v>
      </c>
      <c r="F8933" t="s">
        <v>41</v>
      </c>
      <c r="G8933">
        <v>-260.30520000000001</v>
      </c>
      <c r="H8933">
        <v>0.94229099999999999</v>
      </c>
      <c r="I8933">
        <v>-61.484310000000001</v>
      </c>
      <c r="J8933">
        <v>-261.02659999999997</v>
      </c>
      <c r="K8933">
        <v>1.1084510000000001</v>
      </c>
      <c r="L8933">
        <v>-61.342190000000002</v>
      </c>
      <c r="M8933">
        <v>0.99801430000000002</v>
      </c>
      <c r="N8933">
        <v>0</v>
      </c>
      <c r="O8933">
        <v>-6.2982399999999994E-2</v>
      </c>
      <c r="P8933">
        <v>0.99659980000000004</v>
      </c>
      <c r="Q8933">
        <v>-1.6222629999999998E-2</v>
      </c>
      <c r="R8933">
        <v>-8.0782350000000003E-2</v>
      </c>
      <c r="S8933">
        <v>2.9575499999999999</v>
      </c>
      <c r="T8933">
        <v>-0.59483180000000002</v>
      </c>
      <c r="U8933">
        <v>-0.53186040000000001</v>
      </c>
      <c r="V8933">
        <v>1.7855309999999999E-2</v>
      </c>
      <c r="W8933">
        <v>-1.7050450000000002E-2</v>
      </c>
      <c r="X8933">
        <v>0.99969520000000001</v>
      </c>
      <c r="Y8933">
        <v>0.1136708</v>
      </c>
      <c r="Z8933">
        <v>1.1910849999999999E-3</v>
      </c>
      <c r="AA8933">
        <v>0.99351780000000001</v>
      </c>
      <c r="AB8933">
        <v>21</v>
      </c>
      <c r="AC8933">
        <v>0.72139999999995996</v>
      </c>
      <c r="AD8933">
        <v>-0.16616</v>
      </c>
      <c r="AE8933">
        <v>-0.142119999999998</v>
      </c>
      <c r="AF8933">
        <v>9.1718288209110294E-2</v>
      </c>
      <c r="AG8933">
        <v>-0.16616</v>
      </c>
      <c r="AH8933">
        <v>0.69350183112925801</v>
      </c>
      <c r="AI8933">
        <v>103.361700092852</v>
      </c>
      <c r="AJ8933">
        <v>82.466134610102102</v>
      </c>
      <c r="AK8933">
        <v>0.71900360205748903</v>
      </c>
      <c r="AL8933">
        <v>90.976966153455194</v>
      </c>
      <c r="AM8933">
        <v>88.976762976472997</v>
      </c>
      <c r="AN8933">
        <v>1.00000001142171</v>
      </c>
    </row>
    <row r="8934" spans="1:40" x14ac:dyDescent="0.25">
      <c r="A8934" t="str">
        <f>"20190312154132703"</f>
        <v>20190312154132703</v>
      </c>
      <c r="B8934" t="str">
        <f>"1552376492695562"</f>
        <v>1552376492695562</v>
      </c>
      <c r="C8934" t="s">
        <v>40</v>
      </c>
      <c r="D8934">
        <v>4.2036749999999996</v>
      </c>
      <c r="E8934">
        <v>0.540578</v>
      </c>
      <c r="F8934" t="s">
        <v>41</v>
      </c>
      <c r="G8934">
        <v>-260.29669999999999</v>
      </c>
      <c r="H8934">
        <v>0.95957369999999997</v>
      </c>
      <c r="I8934">
        <v>-61.474170000000001</v>
      </c>
      <c r="J8934">
        <v>-260.92219999999998</v>
      </c>
      <c r="K8934">
        <v>1.1084609999999999</v>
      </c>
      <c r="L8934">
        <v>-61.348750000000003</v>
      </c>
      <c r="M8934">
        <v>0.99801609999999996</v>
      </c>
      <c r="N8934">
        <v>0</v>
      </c>
      <c r="O8934">
        <v>-6.2956209999999999E-2</v>
      </c>
      <c r="P8934">
        <v>0.99665709999999996</v>
      </c>
      <c r="Q8934">
        <v>-1.6766920000000001E-2</v>
      </c>
      <c r="R8934">
        <v>-7.9959829999999996E-2</v>
      </c>
      <c r="S8934">
        <v>2.9571230000000002</v>
      </c>
      <c r="T8934">
        <v>-0.60308409999999901</v>
      </c>
      <c r="U8934">
        <v>-0.53414919999999899</v>
      </c>
      <c r="V8934">
        <v>1.7056780000000001E-2</v>
      </c>
      <c r="W8934">
        <v>-1.7407720000000002E-2</v>
      </c>
      <c r="X8934">
        <v>0.99970300000000001</v>
      </c>
      <c r="Y8934">
        <v>0.1144239</v>
      </c>
      <c r="Z8934">
        <v>1.1266620000000001E-3</v>
      </c>
      <c r="AA8934">
        <v>0.99343139999999996</v>
      </c>
      <c r="AB8934">
        <v>21</v>
      </c>
      <c r="AC8934">
        <v>0.62549999999998795</v>
      </c>
      <c r="AD8934">
        <v>-0.1488873</v>
      </c>
      <c r="AE8934">
        <v>-0.12541999999999101</v>
      </c>
      <c r="AF8934">
        <v>8.1360536831557598E-2</v>
      </c>
      <c r="AG8934">
        <v>-0.1488873</v>
      </c>
      <c r="AH8934">
        <v>0.59950148471091202</v>
      </c>
      <c r="AI8934">
        <v>103.825518633824</v>
      </c>
      <c r="AJ8934">
        <v>82.271398566265106</v>
      </c>
      <c r="AK8934">
        <v>0.62304814840058498</v>
      </c>
      <c r="AL8934">
        <v>90.997439241455893</v>
      </c>
      <c r="AM8934">
        <v>89.022522997730803</v>
      </c>
      <c r="AN8934">
        <v>1.00000002533428</v>
      </c>
    </row>
    <row r="8935" spans="1:40" x14ac:dyDescent="0.25">
      <c r="A8935" t="str">
        <f>"20190312154132713"</f>
        <v>20190312154132713</v>
      </c>
      <c r="B8935" t="str">
        <f>"1552376492705323"</f>
        <v>1552376492705323</v>
      </c>
      <c r="C8935" t="s">
        <v>40</v>
      </c>
      <c r="D8935">
        <v>4.2322449999999998</v>
      </c>
      <c r="E8935">
        <v>0.54127789999999998</v>
      </c>
      <c r="F8935" t="s">
        <v>41</v>
      </c>
      <c r="G8935">
        <v>-260.11630000000002</v>
      </c>
      <c r="H8935">
        <v>0.94132479999999996</v>
      </c>
      <c r="I8935">
        <v>-61.496029999999998</v>
      </c>
      <c r="J8935">
        <v>-260.81939999999997</v>
      </c>
      <c r="K8935">
        <v>1.1084750000000001</v>
      </c>
      <c r="L8935">
        <v>-61.35519</v>
      </c>
      <c r="M8935">
        <v>0.99801790000000001</v>
      </c>
      <c r="N8935">
        <v>0</v>
      </c>
      <c r="O8935">
        <v>-6.2929579999999999E-2</v>
      </c>
      <c r="P8935">
        <v>0.99670429999999999</v>
      </c>
      <c r="Q8935">
        <v>-1.7580419999999999E-2</v>
      </c>
      <c r="R8935">
        <v>-7.9194909999999993E-2</v>
      </c>
      <c r="S8935">
        <v>2.9564819999999998</v>
      </c>
      <c r="T8935">
        <v>-0.61311910000000003</v>
      </c>
      <c r="U8935">
        <v>-0.53918459999999901</v>
      </c>
      <c r="V8935">
        <v>1.6316730000000002E-2</v>
      </c>
      <c r="W8935">
        <v>-1.80413E-2</v>
      </c>
      <c r="X8935">
        <v>0.99970409999999998</v>
      </c>
      <c r="Y8935">
        <v>0.1160578</v>
      </c>
      <c r="Z8935">
        <v>9.7322930000000004E-4</v>
      </c>
      <c r="AA8935">
        <v>0.99324199999999996</v>
      </c>
      <c r="AB8935">
        <v>21</v>
      </c>
      <c r="AC8935">
        <v>0.70309999999994899</v>
      </c>
      <c r="AD8935">
        <v>-0.1671502</v>
      </c>
      <c r="AE8935">
        <v>-0.14084000000000399</v>
      </c>
      <c r="AF8935">
        <v>9.1351322593125103E-2</v>
      </c>
      <c r="AG8935">
        <v>-0.1671502</v>
      </c>
      <c r="AH8935">
        <v>0.67394920208272702</v>
      </c>
      <c r="AI8935">
        <v>103.807835512239</v>
      </c>
      <c r="AJ8935">
        <v>82.2808138640831</v>
      </c>
      <c r="AK8935">
        <v>0.700351183683942</v>
      </c>
      <c r="AL8935">
        <v>91.033746424796405</v>
      </c>
      <c r="AM8935">
        <v>89.064926549282205</v>
      </c>
      <c r="AN8935">
        <v>1.0000000058701899</v>
      </c>
    </row>
    <row r="8936" spans="1:40" x14ac:dyDescent="0.25">
      <c r="A8936" t="str">
        <f>"20190312154132724"</f>
        <v>20190312154132724</v>
      </c>
      <c r="B8936" t="str">
        <f>"1552376492715083"</f>
        <v>1552376492715083</v>
      </c>
      <c r="C8936" t="s">
        <v>40</v>
      </c>
      <c r="D8936">
        <v>4.2227030000000001</v>
      </c>
      <c r="E8936">
        <v>0.54186459999999903</v>
      </c>
      <c r="F8936" t="s">
        <v>41</v>
      </c>
      <c r="G8936">
        <v>-260.10789999999997</v>
      </c>
      <c r="H8936">
        <v>0.95844320000000005</v>
      </c>
      <c r="I8936">
        <v>-61.4861</v>
      </c>
      <c r="J8936">
        <v>-260.71460000000002</v>
      </c>
      <c r="K8936">
        <v>1.108484</v>
      </c>
      <c r="L8936">
        <v>-61.361759999999997</v>
      </c>
      <c r="M8936">
        <v>0.99801989999999996</v>
      </c>
      <c r="N8936">
        <v>0</v>
      </c>
      <c r="O8936">
        <v>-6.2902239999999998E-2</v>
      </c>
      <c r="P8936">
        <v>0.99673789999999995</v>
      </c>
      <c r="Q8936">
        <v>-1.8258369999999999E-2</v>
      </c>
      <c r="R8936">
        <v>-7.8615699999999997E-2</v>
      </c>
      <c r="S8936">
        <v>2.9558409999999999</v>
      </c>
      <c r="T8936">
        <v>-0.62320410000000004</v>
      </c>
      <c r="U8936">
        <v>-0.54260249999999999</v>
      </c>
      <c r="V8936">
        <v>1.576396E-2</v>
      </c>
      <c r="W8936">
        <v>-1.8544720000000001E-2</v>
      </c>
      <c r="X8936">
        <v>0.99970380000000003</v>
      </c>
      <c r="Y8936">
        <v>0.117174</v>
      </c>
      <c r="Z8936">
        <v>8.6780449999999997E-4</v>
      </c>
      <c r="AA8936">
        <v>0.99311099999999997</v>
      </c>
      <c r="AB8936">
        <v>21</v>
      </c>
      <c r="AC8936">
        <v>0.60670000000004598</v>
      </c>
      <c r="AD8936">
        <v>-0.1500408</v>
      </c>
      <c r="AE8936">
        <v>-0.124340000000003</v>
      </c>
      <c r="AF8936">
        <v>8.1166886882523603E-2</v>
      </c>
      <c r="AG8936">
        <v>-0.1500408</v>
      </c>
      <c r="AH8936">
        <v>0.57931674150680701</v>
      </c>
      <c r="AI8936">
        <v>104.385729262095</v>
      </c>
      <c r="AJ8936">
        <v>82.024322947954801</v>
      </c>
      <c r="AK8936">
        <v>0.603910748522416</v>
      </c>
      <c r="AL8936">
        <v>91.062595048332199</v>
      </c>
      <c r="AM8936">
        <v>89.096598885844998</v>
      </c>
      <c r="AN8936">
        <v>1.0000000484045899</v>
      </c>
    </row>
    <row r="8937" spans="1:40" x14ac:dyDescent="0.25">
      <c r="A8937" t="str">
        <f>"20190312154132735"</f>
        <v>20190312154132735</v>
      </c>
      <c r="B8937" t="str">
        <f>"1552376492724844"</f>
        <v>1552376492724844</v>
      </c>
      <c r="C8937" t="s">
        <v>40</v>
      </c>
      <c r="D8937">
        <v>4.211614</v>
      </c>
      <c r="E8937">
        <v>0.54243790000000003</v>
      </c>
      <c r="F8937" t="s">
        <v>41</v>
      </c>
      <c r="G8937">
        <v>-259.92619999999999</v>
      </c>
      <c r="H8937">
        <v>0.94005640000000001</v>
      </c>
      <c r="I8937">
        <v>-61.507489999999997</v>
      </c>
      <c r="J8937">
        <v>-260.6105</v>
      </c>
      <c r="K8937">
        <v>1.108484</v>
      </c>
      <c r="L8937">
        <v>-61.368290000000002</v>
      </c>
      <c r="M8937">
        <v>0.99802159999999995</v>
      </c>
      <c r="N8937">
        <v>0</v>
      </c>
      <c r="O8937">
        <v>-6.2874680000000002E-2</v>
      </c>
      <c r="P8937">
        <v>0.99678730000000004</v>
      </c>
      <c r="Q8937">
        <v>-1.8854349999999999E-2</v>
      </c>
      <c r="R8937">
        <v>-7.7844969999999999E-2</v>
      </c>
      <c r="S8937">
        <v>2.9552309999999999</v>
      </c>
      <c r="T8937">
        <v>-0.63127749999999905</v>
      </c>
      <c r="U8937">
        <v>-0.54562379999999999</v>
      </c>
      <c r="V8937">
        <v>1.501916E-2</v>
      </c>
      <c r="W8937">
        <v>-1.89713E-2</v>
      </c>
      <c r="X8937">
        <v>0.99970720000000002</v>
      </c>
      <c r="Y8937">
        <v>0.1181677</v>
      </c>
      <c r="Z8937">
        <v>7.6895670000000002E-4</v>
      </c>
      <c r="AA8937">
        <v>0.99299340000000003</v>
      </c>
      <c r="AB8937">
        <v>21</v>
      </c>
      <c r="AC8937">
        <v>0.68430000000000701</v>
      </c>
      <c r="AD8937">
        <v>-0.16842760000000001</v>
      </c>
      <c r="AE8937">
        <v>-0.13920000000000199</v>
      </c>
      <c r="AF8937">
        <v>9.0627346490263896E-2</v>
      </c>
      <c r="AG8937">
        <v>-0.16842760000000001</v>
      </c>
      <c r="AH8937">
        <v>0.65367190497971295</v>
      </c>
      <c r="AI8937">
        <v>104.317523855708</v>
      </c>
      <c r="AJ8937">
        <v>82.106632651173598</v>
      </c>
      <c r="AK8937">
        <v>0.68107865311829696</v>
      </c>
      <c r="AL8937">
        <v>91.087040650397398</v>
      </c>
      <c r="AM8937">
        <v>89.139278235046703</v>
      </c>
      <c r="AN8937">
        <v>0.99999998556131697</v>
      </c>
    </row>
    <row r="8938" spans="1:40" x14ac:dyDescent="0.25">
      <c r="A8938" t="str">
        <f>"20190312154132747"</f>
        <v>20190312154132747</v>
      </c>
      <c r="B8938" t="str">
        <f>"1552376492735579"</f>
        <v>1552376492735579</v>
      </c>
      <c r="C8938" t="s">
        <v>40</v>
      </c>
      <c r="D8938">
        <v>4.2110960000000004</v>
      </c>
      <c r="E8938">
        <v>0.54305369999999997</v>
      </c>
      <c r="F8938" t="s">
        <v>41</v>
      </c>
      <c r="G8938">
        <v>-259.9171</v>
      </c>
      <c r="H8938">
        <v>0.95863449999999994</v>
      </c>
      <c r="I8938">
        <v>-61.496980000000001</v>
      </c>
      <c r="J8938">
        <v>-260.50510000000003</v>
      </c>
      <c r="K8938">
        <v>1.1084889999999901</v>
      </c>
      <c r="L8938">
        <v>-61.374879999999997</v>
      </c>
      <c r="M8938">
        <v>0.99802329999999995</v>
      </c>
      <c r="N8938">
        <v>0</v>
      </c>
      <c r="O8938">
        <v>-6.2846780000000005E-2</v>
      </c>
      <c r="P8938">
        <v>0.99680179999999996</v>
      </c>
      <c r="Q8938">
        <v>-1.9211369999999998E-2</v>
      </c>
      <c r="R8938">
        <v>-7.7573909999999996E-2</v>
      </c>
      <c r="S8938">
        <v>2.9548030000000001</v>
      </c>
      <c r="T8938">
        <v>-0.63849319999999998</v>
      </c>
      <c r="U8938">
        <v>-0.5476685</v>
      </c>
      <c r="V8938">
        <v>1.4775180000000001E-2</v>
      </c>
      <c r="W8938">
        <v>-1.916955E-2</v>
      </c>
      <c r="X8938">
        <v>0.99970700000000001</v>
      </c>
      <c r="Y8938">
        <v>0.1188423</v>
      </c>
      <c r="Z8938">
        <v>7.0019440000000004E-4</v>
      </c>
      <c r="AA8938">
        <v>0.99291289999999999</v>
      </c>
      <c r="AB8938">
        <v>21</v>
      </c>
      <c r="AC8938">
        <v>0.58800000000002195</v>
      </c>
      <c r="AD8938">
        <v>-0.149854499999999</v>
      </c>
      <c r="AE8938">
        <v>-0.122100000000003</v>
      </c>
      <c r="AF8938">
        <v>7.9927938338505797E-2</v>
      </c>
      <c r="AG8938">
        <v>-0.149854499999999</v>
      </c>
      <c r="AH8938">
        <v>0.55966325159901797</v>
      </c>
      <c r="AI8938">
        <v>104.84591111922499</v>
      </c>
      <c r="AJ8938">
        <v>81.872300990790393</v>
      </c>
      <c r="AK8938">
        <v>0.58486562703554401</v>
      </c>
      <c r="AL8938">
        <v>91.098401664085202</v>
      </c>
      <c r="AM8938">
        <v>89.153258079805099</v>
      </c>
      <c r="AN8938">
        <v>0.99999993172011503</v>
      </c>
    </row>
    <row r="8939" spans="1:40" x14ac:dyDescent="0.25">
      <c r="A8939" t="str">
        <f>"20190312154132759"</f>
        <v>20190312154132759</v>
      </c>
      <c r="B8939" t="str">
        <f>"1552376492745339"</f>
        <v>1552376492745339</v>
      </c>
      <c r="C8939" t="s">
        <v>40</v>
      </c>
      <c r="D8939">
        <v>4.213775</v>
      </c>
      <c r="E8939">
        <v>0.54360140000000001</v>
      </c>
      <c r="F8939" t="s">
        <v>41</v>
      </c>
      <c r="G8939">
        <v>-259.73410000000001</v>
      </c>
      <c r="H8939">
        <v>0.94011690000000003</v>
      </c>
      <c r="I8939">
        <v>-61.51896</v>
      </c>
      <c r="J8939">
        <v>-260.39359999999999</v>
      </c>
      <c r="K8939">
        <v>1.108495</v>
      </c>
      <c r="L8939">
        <v>-61.3818699999999</v>
      </c>
      <c r="M8939">
        <v>0.9980251</v>
      </c>
      <c r="N8939">
        <v>0</v>
      </c>
      <c r="O8939">
        <v>-6.2817460000000006E-2</v>
      </c>
      <c r="P8939">
        <v>0.99681310000000001</v>
      </c>
      <c r="Q8939">
        <v>-1.9553069999999999E-2</v>
      </c>
      <c r="R8939">
        <v>-7.7339610000000003E-2</v>
      </c>
      <c r="S8939">
        <v>2.9542540000000002</v>
      </c>
      <c r="T8939">
        <v>-0.64517650000000004</v>
      </c>
      <c r="U8939">
        <v>-0.55172730000000003</v>
      </c>
      <c r="V8939">
        <v>1.457015E-2</v>
      </c>
      <c r="W8939">
        <v>-1.9347059999999999E-2</v>
      </c>
      <c r="X8939">
        <v>0.99970669999999995</v>
      </c>
      <c r="Y8939">
        <v>0.1201662</v>
      </c>
      <c r="Z8939">
        <v>5.5931600000000002E-4</v>
      </c>
      <c r="AA8939">
        <v>0.99275360000000001</v>
      </c>
      <c r="AB8939">
        <v>21</v>
      </c>
      <c r="AC8939">
        <v>0.65949999999997999</v>
      </c>
      <c r="AD8939">
        <v>-0.168378099999999</v>
      </c>
      <c r="AE8939">
        <v>-0.13709000000000701</v>
      </c>
      <c r="AF8939">
        <v>8.9781234348273301E-2</v>
      </c>
      <c r="AG8939">
        <v>-0.168378099999999</v>
      </c>
      <c r="AH8939">
        <v>0.62759444056639202</v>
      </c>
      <c r="AI8939">
        <v>104.873668998545</v>
      </c>
      <c r="AJ8939">
        <v>81.858724635152001</v>
      </c>
      <c r="AK8939">
        <v>0.65596237424912796</v>
      </c>
      <c r="AL8939">
        <v>91.108574002899203</v>
      </c>
      <c r="AM8939">
        <v>89.165006095151995</v>
      </c>
      <c r="AN8939">
        <v>1.00000004201327</v>
      </c>
    </row>
    <row r="8940" spans="1:40" x14ac:dyDescent="0.25">
      <c r="A8940" t="str">
        <f>"20190312154132769"</f>
        <v>20190312154132769</v>
      </c>
      <c r="B8940" t="str">
        <f>"1552376492764860"</f>
        <v>1552376492764860</v>
      </c>
      <c r="C8940" t="s">
        <v>40</v>
      </c>
      <c r="D8940">
        <v>4.1987379999999996</v>
      </c>
      <c r="E8940">
        <v>0.5445451</v>
      </c>
      <c r="F8940" t="s">
        <v>41</v>
      </c>
      <c r="G8940">
        <v>-259.54910000000001</v>
      </c>
      <c r="H8940">
        <v>0.92246810000000001</v>
      </c>
      <c r="I8940">
        <v>-61.540709999999997</v>
      </c>
      <c r="J8940">
        <v>-260.28390000000002</v>
      </c>
      <c r="K8940">
        <v>1.1085039999999999</v>
      </c>
      <c r="L8940">
        <v>-61.388730000000002</v>
      </c>
      <c r="M8940">
        <v>0.99802679999999999</v>
      </c>
      <c r="N8940">
        <v>0</v>
      </c>
      <c r="O8940">
        <v>-6.2789460000000005E-2</v>
      </c>
      <c r="P8940">
        <v>0.99682519999999997</v>
      </c>
      <c r="Q8940">
        <v>-1.9924279999999999E-2</v>
      </c>
      <c r="R8940">
        <v>-7.7089759999999993E-2</v>
      </c>
      <c r="S8940">
        <v>2.9537659999999999</v>
      </c>
      <c r="T8940">
        <v>-0.65062249999999999</v>
      </c>
      <c r="U8940">
        <v>-0.55532840000000006</v>
      </c>
      <c r="V8940">
        <v>1.434799E-2</v>
      </c>
      <c r="W8940">
        <v>-1.9571140000000001E-2</v>
      </c>
      <c r="X8940">
        <v>0.99970550000000002</v>
      </c>
      <c r="Y8940">
        <v>0.1213431</v>
      </c>
      <c r="Z8940">
        <v>4.3080750000000002E-4</v>
      </c>
      <c r="AA8940">
        <v>0.99261049999999995</v>
      </c>
      <c r="AB8940">
        <v>22</v>
      </c>
      <c r="AC8940">
        <v>0.734800000000007</v>
      </c>
      <c r="AD8940">
        <v>-0.1860359</v>
      </c>
      <c r="AE8940">
        <v>-0.15197999999999401</v>
      </c>
      <c r="AF8940">
        <v>9.9430434550028104E-2</v>
      </c>
      <c r="AG8940">
        <v>-0.1860359</v>
      </c>
      <c r="AH8940">
        <v>0.69987175664432</v>
      </c>
      <c r="AI8940">
        <v>104.744299543645</v>
      </c>
      <c r="AJ8940">
        <v>81.914128231102694</v>
      </c>
      <c r="AK8940">
        <v>0.73096938591983696</v>
      </c>
      <c r="AL8940">
        <v>91.121415329842307</v>
      </c>
      <c r="AM8940">
        <v>89.177735010130505</v>
      </c>
      <c r="AN8940">
        <v>0.99999999053409405</v>
      </c>
    </row>
    <row r="8941" spans="1:40" x14ac:dyDescent="0.25">
      <c r="A8941" t="str">
        <f>"20190312154132781"</f>
        <v>20190312154132781</v>
      </c>
      <c r="B8941" t="str">
        <f>"1552376492775594"</f>
        <v>1552376492775594</v>
      </c>
      <c r="C8941" t="s">
        <v>40</v>
      </c>
      <c r="D8941">
        <v>4.2275919999999996</v>
      </c>
      <c r="E8941">
        <v>0.54496880000000003</v>
      </c>
      <c r="F8941" t="s">
        <v>41</v>
      </c>
      <c r="G8941">
        <v>-259.53969999999998</v>
      </c>
      <c r="H8941">
        <v>0.94226180000000004</v>
      </c>
      <c r="I8941">
        <v>-61.530410000000003</v>
      </c>
      <c r="J8941">
        <v>-260.17380000000003</v>
      </c>
      <c r="K8941">
        <v>1.108506</v>
      </c>
      <c r="L8941">
        <v>-61.395629999999997</v>
      </c>
      <c r="M8941">
        <v>0.99802849999999999</v>
      </c>
      <c r="N8941">
        <v>0</v>
      </c>
      <c r="O8941">
        <v>-6.2761479999999994E-2</v>
      </c>
      <c r="P8941">
        <v>0.99680939999999996</v>
      </c>
      <c r="Q8941">
        <v>-2.016281E-2</v>
      </c>
      <c r="R8941">
        <v>-7.7229240000000005E-2</v>
      </c>
      <c r="S8941">
        <v>2.9529109999999998</v>
      </c>
      <c r="T8941">
        <v>-0.65961539999999996</v>
      </c>
      <c r="U8941">
        <v>-0.56185909999999994</v>
      </c>
      <c r="V8941">
        <v>1.451622E-2</v>
      </c>
      <c r="W8941">
        <v>-1.9666969999999999E-2</v>
      </c>
      <c r="X8941">
        <v>0.99970119999999896</v>
      </c>
      <c r="Y8941">
        <v>0.1234543</v>
      </c>
      <c r="Z8941">
        <v>1.9940640000000001E-4</v>
      </c>
      <c r="AA8941">
        <v>0.99235019999999996</v>
      </c>
      <c r="AB8941">
        <v>22</v>
      </c>
      <c r="AC8941">
        <v>0.63410000000004596</v>
      </c>
      <c r="AD8941">
        <v>-0.16624419999999901</v>
      </c>
      <c r="AE8941">
        <v>-0.13477999999999199</v>
      </c>
      <c r="AF8941">
        <v>8.8872630396448202E-2</v>
      </c>
      <c r="AG8941">
        <v>-0.16624419999999901</v>
      </c>
      <c r="AH8941">
        <v>0.60173642746654299</v>
      </c>
      <c r="AI8941">
        <v>105.286152843658</v>
      </c>
      <c r="AJ8941">
        <v>81.598515977983197</v>
      </c>
      <c r="AK8941">
        <v>0.63057291934194404</v>
      </c>
      <c r="AL8941">
        <v>91.126907030986899</v>
      </c>
      <c r="AM8941">
        <v>89.168091732920402</v>
      </c>
      <c r="AN8941">
        <v>0.99999999981675403</v>
      </c>
    </row>
    <row r="8942" spans="1:40" x14ac:dyDescent="0.25">
      <c r="A8942" t="str">
        <f>"20190312154132792"</f>
        <v>20190312154132792</v>
      </c>
      <c r="B8942" t="str">
        <f>"1552376492785354"</f>
        <v>1552376492785354</v>
      </c>
      <c r="C8942" t="s">
        <v>40</v>
      </c>
      <c r="D8942">
        <v>4.2561730000000004</v>
      </c>
      <c r="E8942">
        <v>0.545311199999999</v>
      </c>
      <c r="F8942" t="s">
        <v>41</v>
      </c>
      <c r="G8942">
        <v>-259.3535</v>
      </c>
      <c r="H8942">
        <v>0.92409549999999996</v>
      </c>
      <c r="I8942">
        <v>-61.552919999999901</v>
      </c>
      <c r="J8942">
        <v>-260.0625</v>
      </c>
      <c r="K8942">
        <v>1.1085069999999999</v>
      </c>
      <c r="L8942">
        <v>-61.402619999999999</v>
      </c>
      <c r="M8942">
        <v>0.99802999999999997</v>
      </c>
      <c r="N8942">
        <v>0</v>
      </c>
      <c r="O8942">
        <v>-6.273397E-2</v>
      </c>
      <c r="P8942">
        <v>0.99678359999999999</v>
      </c>
      <c r="Q8942">
        <v>-2.0647479999999999E-2</v>
      </c>
      <c r="R8942">
        <v>-7.7433699999999994E-2</v>
      </c>
      <c r="S8942">
        <v>2.9523619999999999</v>
      </c>
      <c r="T8942">
        <v>-0.66374270000000002</v>
      </c>
      <c r="U8942">
        <v>-0.56549069999999901</v>
      </c>
      <c r="V8942">
        <v>1.474964E-2</v>
      </c>
      <c r="W8942">
        <v>-2.0017630000000002E-2</v>
      </c>
      <c r="X8942">
        <v>0.99969079999999999</v>
      </c>
      <c r="Y8942">
        <v>0.12464600000000001</v>
      </c>
      <c r="Z8942" s="1">
        <v>6.3334590000000001E-5</v>
      </c>
      <c r="AA8942">
        <v>0.99220129999999995</v>
      </c>
      <c r="AB8942">
        <v>22</v>
      </c>
      <c r="AC8942">
        <v>0.70900000000000296</v>
      </c>
      <c r="AD8942">
        <v>-0.18441149999999901</v>
      </c>
      <c r="AE8942">
        <v>-0.15029999999999399</v>
      </c>
      <c r="AF8942">
        <v>9.9108948293853999E-2</v>
      </c>
      <c r="AG8942">
        <v>-0.18441149999999901</v>
      </c>
      <c r="AH8942">
        <v>0.67343238811925599</v>
      </c>
      <c r="AI8942">
        <v>105.15869285610199</v>
      </c>
      <c r="AJ8942">
        <v>81.627886892034994</v>
      </c>
      <c r="AK8942">
        <v>0.70522433759206604</v>
      </c>
      <c r="AL8942">
        <v>91.147002352205803</v>
      </c>
      <c r="AM8942">
        <v>89.154707828023703</v>
      </c>
      <c r="AN8942">
        <v>0.99999997649779304</v>
      </c>
    </row>
    <row r="8943" spans="1:40" x14ac:dyDescent="0.25">
      <c r="A8943" t="str">
        <f>"20190312154132803"</f>
        <v>20190312154132803</v>
      </c>
      <c r="B8943" t="str">
        <f>"1552376492795115"</f>
        <v>1552376492795115</v>
      </c>
      <c r="C8943" t="s">
        <v>40</v>
      </c>
      <c r="D8943">
        <v>4.2445529999999998</v>
      </c>
      <c r="E8943">
        <v>0.5456126</v>
      </c>
      <c r="F8943" t="s">
        <v>41</v>
      </c>
      <c r="G8943">
        <v>-259.3433</v>
      </c>
      <c r="H8943">
        <v>0.94560520000000003</v>
      </c>
      <c r="I8943">
        <v>-61.541369999999901</v>
      </c>
      <c r="J8943">
        <v>-259.95249999999999</v>
      </c>
      <c r="K8943">
        <v>1.1085100000000001</v>
      </c>
      <c r="L8943">
        <v>-61.409480000000002</v>
      </c>
      <c r="M8943">
        <v>0.99803189999999997</v>
      </c>
      <c r="N8943">
        <v>0</v>
      </c>
      <c r="O8943">
        <v>-6.2707189999999996E-2</v>
      </c>
      <c r="P8943">
        <v>0.99675219999999998</v>
      </c>
      <c r="Q8943">
        <v>-2.1059600000000001E-2</v>
      </c>
      <c r="R8943">
        <v>-7.7729640000000003E-2</v>
      </c>
      <c r="S8943">
        <v>2.95166</v>
      </c>
      <c r="T8943">
        <v>-0.66860719999999996</v>
      </c>
      <c r="U8943">
        <v>-0.56869510000000001</v>
      </c>
      <c r="V8943">
        <v>1.507374E-2</v>
      </c>
      <c r="W8943">
        <v>-2.030436E-2</v>
      </c>
      <c r="X8943">
        <v>0.99968020000000002</v>
      </c>
      <c r="Y8943">
        <v>0.1257065</v>
      </c>
      <c r="Z8943" s="1">
        <v>-5.9804879999999999E-5</v>
      </c>
      <c r="AA8943">
        <v>0.99206749999999999</v>
      </c>
      <c r="AB8943">
        <v>22</v>
      </c>
      <c r="AC8943">
        <v>0.60919999999998697</v>
      </c>
      <c r="AD8943">
        <v>-0.16290479999999999</v>
      </c>
      <c r="AE8943">
        <v>-0.13188999999999099</v>
      </c>
      <c r="AF8943">
        <v>8.7455531458944302E-2</v>
      </c>
      <c r="AG8943">
        <v>-0.16290479999999999</v>
      </c>
      <c r="AH8943">
        <v>0.57686832492312001</v>
      </c>
      <c r="AI8943">
        <v>105.599986321033</v>
      </c>
      <c r="AJ8943">
        <v>81.379376846906496</v>
      </c>
      <c r="AK8943">
        <v>0.60577513001559602</v>
      </c>
      <c r="AL8943">
        <v>91.163434091569599</v>
      </c>
      <c r="AM8943">
        <v>89.136127496081997</v>
      </c>
      <c r="AN8943">
        <v>0.99999999347231805</v>
      </c>
    </row>
    <row r="8944" spans="1:40" x14ac:dyDescent="0.25">
      <c r="A8944" t="str">
        <f>"20190312154132813"</f>
        <v>20190312154132813</v>
      </c>
      <c r="B8944" t="str">
        <f>"1552376492804875"</f>
        <v>1552376492804875</v>
      </c>
      <c r="C8944" t="s">
        <v>40</v>
      </c>
      <c r="D8944">
        <v>4.1945209999999999</v>
      </c>
      <c r="E8944">
        <v>0.54579390000000005</v>
      </c>
      <c r="F8944" t="s">
        <v>41</v>
      </c>
      <c r="G8944">
        <v>-259.15589999999997</v>
      </c>
      <c r="H8944">
        <v>0.92709699999999995</v>
      </c>
      <c r="I8944">
        <v>-61.563980000000001</v>
      </c>
      <c r="J8944">
        <v>-259.8485</v>
      </c>
      <c r="K8944">
        <v>1.1085130000000001</v>
      </c>
      <c r="L8944">
        <v>-61.415990000000001</v>
      </c>
      <c r="M8944">
        <v>0.99803319999999995</v>
      </c>
      <c r="N8944">
        <v>0</v>
      </c>
      <c r="O8944">
        <v>-6.2681840000000003E-2</v>
      </c>
      <c r="P8944">
        <v>0.99670300000000001</v>
      </c>
      <c r="Q8944">
        <v>-2.1612659999999999E-2</v>
      </c>
      <c r="R8944">
        <v>-7.8205789999999997E-2</v>
      </c>
      <c r="S8944">
        <v>2.9509889999999999</v>
      </c>
      <c r="T8944">
        <v>-0.6721163</v>
      </c>
      <c r="U8944">
        <v>-0.5717468</v>
      </c>
      <c r="V8944">
        <v>1.557738E-2</v>
      </c>
      <c r="W8944">
        <v>-2.0743910000000001E-2</v>
      </c>
      <c r="X8944">
        <v>0.99966350000000004</v>
      </c>
      <c r="Y8944">
        <v>0.12672069999999999</v>
      </c>
      <c r="Z8944">
        <v>-1.7888290000000001E-4</v>
      </c>
      <c r="AA8944">
        <v>0.9919384</v>
      </c>
      <c r="AB8944">
        <v>22</v>
      </c>
      <c r="AC8944">
        <v>0.69260000000002697</v>
      </c>
      <c r="AD8944">
        <v>-0.18141599999999899</v>
      </c>
      <c r="AE8944">
        <v>-0.147990000000007</v>
      </c>
      <c r="AF8944">
        <v>9.7864251966286897E-2</v>
      </c>
      <c r="AG8944">
        <v>-0.18141599999999899</v>
      </c>
      <c r="AH8944">
        <v>0.65738086700716603</v>
      </c>
      <c r="AI8944">
        <v>105.267515602709</v>
      </c>
      <c r="AJ8944">
        <v>81.532567618699304</v>
      </c>
      <c r="AK8944">
        <v>0.68894033208690397</v>
      </c>
      <c r="AL8944">
        <v>91.188623703824604</v>
      </c>
      <c r="AM8944">
        <v>89.107253690341494</v>
      </c>
      <c r="AN8944">
        <v>1.000000038901</v>
      </c>
    </row>
    <row r="8945" spans="1:40" x14ac:dyDescent="0.25">
      <c r="A8945" t="str">
        <f>"20190312154132825"</f>
        <v>20190312154132825</v>
      </c>
      <c r="B8945" t="str">
        <f>"1552376492815610"</f>
        <v>1552376492815610</v>
      </c>
      <c r="C8945" t="s">
        <v>40</v>
      </c>
      <c r="D8945">
        <v>4.2317499999999999</v>
      </c>
      <c r="E8945">
        <v>0.54578549999999904</v>
      </c>
      <c r="F8945" t="s">
        <v>41</v>
      </c>
      <c r="G8945">
        <v>-259.14609999999999</v>
      </c>
      <c r="H8945">
        <v>0.94786570000000003</v>
      </c>
      <c r="I8945">
        <v>-61.552999999999997</v>
      </c>
      <c r="J8945">
        <v>-259.74220000000003</v>
      </c>
      <c r="K8945">
        <v>1.1085160000000001</v>
      </c>
      <c r="L8945">
        <v>-61.422640000000001</v>
      </c>
      <c r="M8945">
        <v>0.9980348</v>
      </c>
      <c r="N8945">
        <v>0</v>
      </c>
      <c r="O8945">
        <v>-6.2656370000000003E-2</v>
      </c>
      <c r="P8945">
        <v>0.99665190000000004</v>
      </c>
      <c r="Q8945">
        <v>-2.181959E-2</v>
      </c>
      <c r="R8945">
        <v>-7.8798789999999994E-2</v>
      </c>
      <c r="S8945">
        <v>2.9501949999999999</v>
      </c>
      <c r="T8945">
        <v>-0.67471029999999999</v>
      </c>
      <c r="U8945">
        <v>-0.57473750000000001</v>
      </c>
      <c r="V8945">
        <v>1.6197909999999999E-2</v>
      </c>
      <c r="W8945">
        <v>-2.0840060000000001E-2</v>
      </c>
      <c r="X8945">
        <v>0.99965159999999997</v>
      </c>
      <c r="Y8945">
        <v>0.1277267</v>
      </c>
      <c r="Z8945">
        <v>-2.9791799999999999E-4</v>
      </c>
      <c r="AA8945">
        <v>0.99180939999999995</v>
      </c>
      <c r="AB8945">
        <v>22</v>
      </c>
      <c r="AC8945">
        <v>0.59610000000003505</v>
      </c>
      <c r="AD8945">
        <v>-0.1606503</v>
      </c>
      <c r="AE8945">
        <v>-0.130360000000003</v>
      </c>
      <c r="AF8945">
        <v>8.6741757289111099E-2</v>
      </c>
      <c r="AG8945">
        <v>-0.1606503</v>
      </c>
      <c r="AH8945">
        <v>0.56400202872048699</v>
      </c>
      <c r="AI8945">
        <v>105.72349359905699</v>
      </c>
      <c r="AJ8945">
        <v>81.256595173316299</v>
      </c>
      <c r="AK8945">
        <v>0.59281610955550001</v>
      </c>
      <c r="AL8945">
        <v>91.194133929386695</v>
      </c>
      <c r="AM8945">
        <v>89.071685906011496</v>
      </c>
      <c r="AN8945">
        <v>1.0000000008858601</v>
      </c>
    </row>
    <row r="8946" spans="1:40" x14ac:dyDescent="0.25">
      <c r="A8946" t="str">
        <f>"20190312154132837"</f>
        <v>20190312154132837</v>
      </c>
      <c r="B8946" t="str">
        <f>"1552376492825371"</f>
        <v>1552376492825371</v>
      </c>
      <c r="C8946" t="s">
        <v>40</v>
      </c>
      <c r="D8946">
        <v>4.224901</v>
      </c>
      <c r="E8946">
        <v>0.54578959999999999</v>
      </c>
      <c r="F8946" t="s">
        <v>41</v>
      </c>
      <c r="G8946">
        <v>-258.95769999999999</v>
      </c>
      <c r="H8946">
        <v>0.92865799999999998</v>
      </c>
      <c r="I8946">
        <v>-61.576149999999998</v>
      </c>
      <c r="J8946">
        <v>-259.62369999999999</v>
      </c>
      <c r="K8946">
        <v>1.1085210000000001</v>
      </c>
      <c r="L8946">
        <v>-61.430050000000001</v>
      </c>
      <c r="M8946">
        <v>0.99803640000000005</v>
      </c>
      <c r="N8946">
        <v>0</v>
      </c>
      <c r="O8946">
        <v>-6.2627699999999994E-2</v>
      </c>
      <c r="P8946">
        <v>0.99660899999999997</v>
      </c>
      <c r="Q8946">
        <v>-2.217156E-2</v>
      </c>
      <c r="R8946">
        <v>-7.9242389999999996E-2</v>
      </c>
      <c r="S8946">
        <v>2.949738</v>
      </c>
      <c r="T8946">
        <v>-0.67619580000000001</v>
      </c>
      <c r="U8946">
        <v>-0.57644649999999997</v>
      </c>
      <c r="V8946">
        <v>1.667194E-2</v>
      </c>
      <c r="W8946">
        <v>-2.1070680000000001E-2</v>
      </c>
      <c r="X8946">
        <v>0.99963900000000006</v>
      </c>
      <c r="Y8946">
        <v>0.12831500000000001</v>
      </c>
      <c r="Z8946">
        <v>-3.7100719999999998E-4</v>
      </c>
      <c r="AA8946">
        <v>0.99173339999999999</v>
      </c>
      <c r="AB8946">
        <v>22</v>
      </c>
      <c r="AC8946">
        <v>0.66599999999999604</v>
      </c>
      <c r="AD8946">
        <v>-0.179862999999999</v>
      </c>
      <c r="AE8946">
        <v>-0.14609999999999601</v>
      </c>
      <c r="AF8946">
        <v>9.7330285259578694E-2</v>
      </c>
      <c r="AG8946">
        <v>-0.179862999999999</v>
      </c>
      <c r="AH8946">
        <v>0.63000302218668203</v>
      </c>
      <c r="AI8946">
        <v>105.75631707890599</v>
      </c>
      <c r="AJ8946">
        <v>81.217705163150598</v>
      </c>
      <c r="AK8946">
        <v>0.662365224903952</v>
      </c>
      <c r="AL8946">
        <v>91.207350350626299</v>
      </c>
      <c r="AM8946">
        <v>89.044511822995602</v>
      </c>
      <c r="AN8946">
        <v>1.0000000287300099</v>
      </c>
    </row>
    <row r="8947" spans="1:40" x14ac:dyDescent="0.25">
      <c r="A8947" t="str">
        <f>"20190312154132848"</f>
        <v>20190312154132848</v>
      </c>
      <c r="B8947" t="str">
        <f>"1552376492844891"</f>
        <v>1552376492844891</v>
      </c>
      <c r="C8947" t="s">
        <v>40</v>
      </c>
      <c r="D8947">
        <v>4.1912229999999999</v>
      </c>
      <c r="E8947">
        <v>0.54646329999999999</v>
      </c>
      <c r="F8947" t="s">
        <v>41</v>
      </c>
      <c r="G8947">
        <v>-258.94619999999998</v>
      </c>
      <c r="H8947">
        <v>0.95273209999999997</v>
      </c>
      <c r="I8947">
        <v>-61.562989999999999</v>
      </c>
      <c r="J8947">
        <v>-259.50920000000002</v>
      </c>
      <c r="K8947">
        <v>1.1085259999999999</v>
      </c>
      <c r="L8947">
        <v>-61.437190000000001</v>
      </c>
      <c r="M8947">
        <v>0.99803810000000004</v>
      </c>
      <c r="N8947">
        <v>0</v>
      </c>
      <c r="O8947">
        <v>-6.2600580000000003E-2</v>
      </c>
      <c r="P8947">
        <v>0.99656</v>
      </c>
      <c r="Q8947">
        <v>-2.2403019999999999E-2</v>
      </c>
      <c r="R8947">
        <v>-7.979224E-2</v>
      </c>
      <c r="S8947">
        <v>2.9491580000000002</v>
      </c>
      <c r="T8947">
        <v>-0.67804430000000004</v>
      </c>
      <c r="U8947">
        <v>-0.57778929999999995</v>
      </c>
      <c r="V8947">
        <v>1.7251160000000001E-2</v>
      </c>
      <c r="W8947">
        <v>-2.1187750000000002E-2</v>
      </c>
      <c r="X8947">
        <v>0.99962669999999998</v>
      </c>
      <c r="Y8947">
        <v>0.12879160000000001</v>
      </c>
      <c r="Z8947">
        <v>-4.317705E-4</v>
      </c>
      <c r="AA8947">
        <v>0.99167159999999999</v>
      </c>
      <c r="AB8947">
        <v>22</v>
      </c>
      <c r="AC8947">
        <v>0.56300000000004502</v>
      </c>
      <c r="AD8947">
        <v>-0.15579390000000001</v>
      </c>
      <c r="AE8947">
        <v>-0.125799999999998</v>
      </c>
      <c r="AF8947">
        <v>8.4170316233274797E-2</v>
      </c>
      <c r="AG8947">
        <v>-0.15579390000000001</v>
      </c>
      <c r="AH8947">
        <v>0.53104050066803998</v>
      </c>
      <c r="AI8947">
        <v>106.15935022942701</v>
      </c>
      <c r="AJ8947">
        <v>80.9934992919937</v>
      </c>
      <c r="AK8947">
        <v>0.55978602587219195</v>
      </c>
      <c r="AL8947">
        <v>91.214059461997806</v>
      </c>
      <c r="AM8947">
        <v>89.011310370133799</v>
      </c>
      <c r="AN8947">
        <v>1.00000003131214</v>
      </c>
    </row>
    <row r="8948" spans="1:40" x14ac:dyDescent="0.25">
      <c r="A8948" t="str">
        <f>"20190312154132860"</f>
        <v>20190312154132860</v>
      </c>
      <c r="B8948" t="str">
        <f>"1552376492855626"</f>
        <v>1552376492855626</v>
      </c>
      <c r="C8948" t="s">
        <v>40</v>
      </c>
      <c r="D8948">
        <v>4.2200490000000004</v>
      </c>
      <c r="E8948">
        <v>0.54700789999999999</v>
      </c>
      <c r="F8948" t="s">
        <v>41</v>
      </c>
      <c r="G8948">
        <v>-258.75659999999999</v>
      </c>
      <c r="H8948">
        <v>0.93365290000000001</v>
      </c>
      <c r="I8948">
        <v>-61.586590000000001</v>
      </c>
      <c r="J8948">
        <v>-259.40120000000002</v>
      </c>
      <c r="K8948">
        <v>1.108533</v>
      </c>
      <c r="L8948">
        <v>-61.443939999999998</v>
      </c>
      <c r="M8948">
        <v>0.99803949999999997</v>
      </c>
      <c r="N8948">
        <v>0</v>
      </c>
      <c r="O8948">
        <v>-6.2574649999999996E-2</v>
      </c>
      <c r="P8948">
        <v>0.99651129999999999</v>
      </c>
      <c r="Q8948">
        <v>-2.2706069999999998E-2</v>
      </c>
      <c r="R8948">
        <v>-8.0313339999999997E-2</v>
      </c>
      <c r="S8948">
        <v>2.9481510000000002</v>
      </c>
      <c r="T8948">
        <v>-0.68497410000000003</v>
      </c>
      <c r="U8948">
        <v>-0.58477780000000001</v>
      </c>
      <c r="V8948">
        <v>1.7800259999999998E-2</v>
      </c>
      <c r="W8948">
        <v>-2.1382720000000001E-2</v>
      </c>
      <c r="X8948">
        <v>0.99961290000000003</v>
      </c>
      <c r="Y8948">
        <v>0.13105149999999999</v>
      </c>
      <c r="Z8948">
        <v>-6.9890729999999904E-4</v>
      </c>
      <c r="AA8948">
        <v>0.99137529999999996</v>
      </c>
      <c r="AB8948">
        <v>22</v>
      </c>
      <c r="AC8948">
        <v>0.64460000000002504</v>
      </c>
      <c r="AD8948">
        <v>-0.17488009999999901</v>
      </c>
      <c r="AE8948">
        <v>-0.142649999999996</v>
      </c>
      <c r="AF8948">
        <v>9.5344702439201498E-2</v>
      </c>
      <c r="AG8948">
        <v>-0.17488009999999901</v>
      </c>
      <c r="AH8948">
        <v>0.60949626005160196</v>
      </c>
      <c r="AI8948">
        <v>105.82687206921599</v>
      </c>
      <c r="AJ8948">
        <v>81.109163333923604</v>
      </c>
      <c r="AK8948">
        <v>0.641217087011973</v>
      </c>
      <c r="AL8948">
        <v>91.225232977449807</v>
      </c>
      <c r="AM8948">
        <v>88.979833100143793</v>
      </c>
      <c r="AN8948">
        <v>1.00000000990853</v>
      </c>
    </row>
    <row r="8949" spans="1:40" x14ac:dyDescent="0.25">
      <c r="A8949" t="str">
        <f>"20190312154132871"</f>
        <v>20190312154132871</v>
      </c>
      <c r="B8949" t="str">
        <f>"1552376492865386"</f>
        <v>1552376492865386</v>
      </c>
      <c r="C8949" t="s">
        <v>40</v>
      </c>
      <c r="D8949">
        <v>3.5544820000000001</v>
      </c>
      <c r="E8949">
        <v>0.54700789999999999</v>
      </c>
      <c r="F8949" t="s">
        <v>41</v>
      </c>
      <c r="G8949">
        <v>-258.56619999999998</v>
      </c>
      <c r="H8949">
        <v>0.91244700000000001</v>
      </c>
      <c r="I8949">
        <v>-61.611499999999999</v>
      </c>
      <c r="J8949">
        <v>-259.2869</v>
      </c>
      <c r="K8949">
        <v>1.1085370000000001</v>
      </c>
      <c r="L8949">
        <v>-61.451079999999997</v>
      </c>
      <c r="M8949">
        <v>0.99804099999999996</v>
      </c>
      <c r="N8949">
        <v>0</v>
      </c>
      <c r="O8949">
        <v>-6.25473E-2</v>
      </c>
      <c r="P8949">
        <v>0.99647399999999997</v>
      </c>
      <c r="Q8949">
        <v>-2.2655740000000001E-2</v>
      </c>
      <c r="R8949">
        <v>-8.0786720000000006E-2</v>
      </c>
      <c r="S8949">
        <v>2.9471440000000002</v>
      </c>
      <c r="T8949">
        <v>-0.69208319999999901</v>
      </c>
      <c r="U8949">
        <v>-0.59048459999999903</v>
      </c>
      <c r="V8949">
        <v>1.8302590000000001E-2</v>
      </c>
      <c r="W8949">
        <v>-2.1217690000000001E-2</v>
      </c>
      <c r="X8949">
        <v>0.99960729999999998</v>
      </c>
      <c r="Y8949">
        <v>0.13290389999999999</v>
      </c>
      <c r="Z8949">
        <v>-9.2509669999999995E-4</v>
      </c>
      <c r="AA8949">
        <v>0.99112849999999997</v>
      </c>
      <c r="AB8949">
        <v>22</v>
      </c>
      <c r="AC8949">
        <v>0.72070000000002199</v>
      </c>
      <c r="AD8949">
        <v>-0.19608999999999999</v>
      </c>
      <c r="AE8949">
        <v>-0.16041999999999401</v>
      </c>
      <c r="AF8949">
        <v>0.10744916095339301</v>
      </c>
      <c r="AG8949">
        <v>-0.19608999999999999</v>
      </c>
      <c r="AH8949">
        <v>0.68126982070424202</v>
      </c>
      <c r="AI8949">
        <v>105.87128145007399</v>
      </c>
      <c r="AJ8949">
        <v>81.037200490916305</v>
      </c>
      <c r="AK8949">
        <v>0.71702522890898202</v>
      </c>
      <c r="AL8949">
        <v>91.215775364312407</v>
      </c>
      <c r="AM8949">
        <v>88.951044077488504</v>
      </c>
      <c r="AN8949">
        <v>0.99999996469146601</v>
      </c>
    </row>
    <row r="8950" spans="1:40" x14ac:dyDescent="0.25">
      <c r="A8950" t="str">
        <f>"20190312154133003"</f>
        <v>20190312154133003</v>
      </c>
      <c r="B8950" t="str">
        <f>"1552376492995195"</f>
        <v>1552376492995195</v>
      </c>
      <c r="C8950" t="s">
        <v>40</v>
      </c>
      <c r="D8950">
        <v>4.1486749999999999</v>
      </c>
      <c r="E8950">
        <v>0.47770859999999898</v>
      </c>
      <c r="F8950" t="s">
        <v>41</v>
      </c>
      <c r="G8950">
        <v>-257.32960000000003</v>
      </c>
      <c r="H8950">
        <v>0.93983950000000005</v>
      </c>
      <c r="I8950">
        <v>-61.676310000000001</v>
      </c>
      <c r="J8950">
        <v>-257.93150000000003</v>
      </c>
      <c r="K8950">
        <v>1.1086990000000001</v>
      </c>
      <c r="L8950">
        <v>-61.535400000000003</v>
      </c>
      <c r="M8950">
        <v>0.99805829999999995</v>
      </c>
      <c r="N8950">
        <v>0</v>
      </c>
      <c r="O8950">
        <v>-6.222188E-2</v>
      </c>
      <c r="P8950">
        <v>0.99612389999999995</v>
      </c>
      <c r="Q8950">
        <v>-2.3087690000000001E-2</v>
      </c>
      <c r="R8950">
        <v>-8.4880750000000005E-2</v>
      </c>
      <c r="S8950">
        <v>2.9440919999999999</v>
      </c>
      <c r="T8950">
        <v>-0.6916194</v>
      </c>
      <c r="U8950">
        <v>-0.60607909999999998</v>
      </c>
      <c r="V8950">
        <v>2.2736269999999999E-2</v>
      </c>
      <c r="W8950">
        <v>-2.0185399999999999E-2</v>
      </c>
      <c r="X8950">
        <v>0.99953769999999997</v>
      </c>
      <c r="Y8950">
        <v>0.1383162</v>
      </c>
      <c r="Z8950">
        <v>-1.6207420000000001E-3</v>
      </c>
      <c r="AA8950">
        <v>0.99038680000000001</v>
      </c>
      <c r="AB8950">
        <v>23</v>
      </c>
      <c r="AC8950">
        <v>0.60189999999999999</v>
      </c>
      <c r="AD8950">
        <v>-0.168859499999999</v>
      </c>
      <c r="AE8950">
        <v>-0.14090999999999801</v>
      </c>
      <c r="AF8950">
        <v>9.60208154197605E-2</v>
      </c>
      <c r="AG8950">
        <v>-0.168859499999999</v>
      </c>
      <c r="AH8950">
        <v>0.567180916466823</v>
      </c>
      <c r="AI8950">
        <v>106.359092266259</v>
      </c>
      <c r="AJ8950">
        <v>80.391225836023594</v>
      </c>
      <c r="AK8950">
        <v>0.59952291010291803</v>
      </c>
      <c r="AL8950">
        <v>91.156616779646399</v>
      </c>
      <c r="AM8950">
        <v>88.696929886155004</v>
      </c>
      <c r="AN8950">
        <v>1.00000000103398</v>
      </c>
    </row>
    <row r="8951" spans="1:40" x14ac:dyDescent="0.25">
      <c r="A8951" t="str">
        <f>"20190312154133013"</f>
        <v>20190312154133013</v>
      </c>
      <c r="B8951" t="str">
        <f>"1552376493004778"</f>
        <v>1552376493004778</v>
      </c>
      <c r="C8951" t="s">
        <v>40</v>
      </c>
      <c r="D8951">
        <v>4.22593</v>
      </c>
      <c r="E8951">
        <v>0.47614659999999898</v>
      </c>
      <c r="F8951" t="s">
        <v>41</v>
      </c>
      <c r="G8951">
        <v>-257.10700000000003</v>
      </c>
      <c r="H8951">
        <v>0.94767009999999996</v>
      </c>
      <c r="I8951">
        <v>-61.551850000000002</v>
      </c>
      <c r="J8951">
        <v>-257.82339999999999</v>
      </c>
      <c r="K8951">
        <v>1.108714</v>
      </c>
      <c r="L8951">
        <v>-61.542140000000003</v>
      </c>
      <c r="M8951">
        <v>0.99805949999999999</v>
      </c>
      <c r="N8951">
        <v>0</v>
      </c>
      <c r="O8951">
        <v>-6.21957E-2</v>
      </c>
      <c r="P8951">
        <v>0.99610259999999995</v>
      </c>
      <c r="Q8951">
        <v>-2.3116370000000001E-2</v>
      </c>
      <c r="R8951">
        <v>-8.5119570000000006E-2</v>
      </c>
      <c r="S8951">
        <v>2.9930729999999999</v>
      </c>
      <c r="T8951">
        <v>-0.58447709999999997</v>
      </c>
      <c r="U8951">
        <v>-5.9326169999999998E-2</v>
      </c>
      <c r="V8951">
        <v>2.300224E-2</v>
      </c>
      <c r="W8951">
        <v>-2.0094020000000001E-2</v>
      </c>
      <c r="X8951">
        <v>0.99953349999999996</v>
      </c>
      <c r="Y8951">
        <v>-4.0468249999999997E-2</v>
      </c>
      <c r="Z8951">
        <v>1.5936840000000001E-2</v>
      </c>
      <c r="AA8951">
        <v>0.99905370000000004</v>
      </c>
      <c r="AB8951">
        <v>23</v>
      </c>
      <c r="AC8951">
        <v>0.71639999999996395</v>
      </c>
      <c r="AD8951">
        <v>-0.16104389999999999</v>
      </c>
      <c r="AE8951">
        <v>-9.7099999999983293E-3</v>
      </c>
      <c r="AF8951">
        <v>-3.3189149205179701E-2</v>
      </c>
      <c r="AG8951">
        <v>-0.16104389999999999</v>
      </c>
      <c r="AH8951">
        <v>0.68120000002720804</v>
      </c>
      <c r="AI8951">
        <v>103.285998431161</v>
      </c>
      <c r="AJ8951">
        <v>92.789335947200001</v>
      </c>
      <c r="AK8951">
        <v>0.700763938419524</v>
      </c>
      <c r="AL8951">
        <v>91.151379978371494</v>
      </c>
      <c r="AM8951">
        <v>88.681686318921606</v>
      </c>
      <c r="AN8951">
        <v>1.00000004515351</v>
      </c>
    </row>
    <row r="8952" spans="1:40" x14ac:dyDescent="0.25">
      <c r="A8952" t="str">
        <f>"20190312154133025"</f>
        <v>20190312154133025</v>
      </c>
      <c r="B8952" t="str">
        <f>"1552376493015514"</f>
        <v>1552376493015514</v>
      </c>
      <c r="C8952" t="s">
        <v>40</v>
      </c>
      <c r="D8952">
        <v>4.2384719999999998</v>
      </c>
      <c r="E8952">
        <v>0.47524470000000002</v>
      </c>
      <c r="F8952" t="s">
        <v>41</v>
      </c>
      <c r="G8952">
        <v>-257.08909999999997</v>
      </c>
      <c r="H8952">
        <v>0.98745110000000003</v>
      </c>
      <c r="I8952">
        <v>-61.554679999999998</v>
      </c>
      <c r="J8952">
        <v>-257.70859999999999</v>
      </c>
      <c r="K8952">
        <v>1.108727</v>
      </c>
      <c r="L8952">
        <v>-61.549259999999997</v>
      </c>
      <c r="M8952">
        <v>0.99806070000000002</v>
      </c>
      <c r="N8952">
        <v>0</v>
      </c>
      <c r="O8952">
        <v>-6.2168220000000003E-2</v>
      </c>
      <c r="P8952">
        <v>0.99608419999999998</v>
      </c>
      <c r="Q8952">
        <v>-2.299004E-2</v>
      </c>
      <c r="R8952">
        <v>-8.5367299999999993E-2</v>
      </c>
      <c r="S8952">
        <v>2.9959259999999999</v>
      </c>
      <c r="T8952">
        <v>-0.4947008</v>
      </c>
      <c r="U8952">
        <v>-5.0689699999999997E-2</v>
      </c>
      <c r="V8952">
        <v>2.3278050000000002E-2</v>
      </c>
      <c r="W8952">
        <v>-1.9842729999999999E-2</v>
      </c>
      <c r="X8952">
        <v>0.99953210000000003</v>
      </c>
      <c r="Y8952">
        <v>-4.3841329999999998E-2</v>
      </c>
      <c r="Z8952">
        <v>1.378454E-2</v>
      </c>
      <c r="AA8952">
        <v>0.99894340000000004</v>
      </c>
      <c r="AB8952">
        <v>23</v>
      </c>
      <c r="AC8952">
        <v>0.61950000000001604</v>
      </c>
      <c r="AD8952">
        <v>-0.12127590000000001</v>
      </c>
      <c r="AE8952">
        <v>-5.4200000000079697E-3</v>
      </c>
      <c r="AF8952">
        <v>-3.1882142784595197E-2</v>
      </c>
      <c r="AG8952">
        <v>-0.12127590000000001</v>
      </c>
      <c r="AH8952">
        <v>0.59580691067927605</v>
      </c>
      <c r="AI8952">
        <v>101.489320582201</v>
      </c>
      <c r="AJ8952">
        <v>93.063025346728296</v>
      </c>
      <c r="AK8952">
        <v>0.60885974555929501</v>
      </c>
      <c r="AL8952">
        <v>91.136979290922994</v>
      </c>
      <c r="AM8952">
        <v>88.665882795844496</v>
      </c>
      <c r="AN8952">
        <v>1.00000001023803</v>
      </c>
    </row>
    <row r="8953" spans="1:40" x14ac:dyDescent="0.25">
      <c r="A8953" t="str">
        <f>"20190312154133036"</f>
        <v>20190312154133036</v>
      </c>
      <c r="B8953" t="str">
        <f>"1552376493025275"</f>
        <v>1552376493025275</v>
      </c>
      <c r="C8953" t="s">
        <v>40</v>
      </c>
      <c r="D8953">
        <v>4.4269910000000001</v>
      </c>
      <c r="E8953">
        <v>0.47363179999999999</v>
      </c>
      <c r="F8953" t="s">
        <v>41</v>
      </c>
      <c r="G8953">
        <v>-256.8768</v>
      </c>
      <c r="H8953">
        <v>0.99437810000000004</v>
      </c>
      <c r="I8953">
        <v>-61.562550000000002</v>
      </c>
      <c r="J8953">
        <v>-257.58969999999999</v>
      </c>
      <c r="K8953">
        <v>1.1087450000000001</v>
      </c>
      <c r="L8953">
        <v>-61.556640000000002</v>
      </c>
      <c r="M8953">
        <v>0.99806209999999995</v>
      </c>
      <c r="N8953">
        <v>0</v>
      </c>
      <c r="O8953">
        <v>-6.2139680000000003E-2</v>
      </c>
      <c r="P8953">
        <v>0.99609400000000003</v>
      </c>
      <c r="Q8953">
        <v>-2.2900230000000001E-2</v>
      </c>
      <c r="R8953">
        <v>-8.5277110000000003E-2</v>
      </c>
      <c r="S8953">
        <v>2.9982449999999998</v>
      </c>
      <c r="T8953">
        <v>-0.41211819999999999</v>
      </c>
      <c r="U8953">
        <v>-4.7180180000000002E-2</v>
      </c>
      <c r="V8953">
        <v>2.3215949999999999E-2</v>
      </c>
      <c r="W8953">
        <v>-1.962448E-2</v>
      </c>
      <c r="X8953">
        <v>0.99953780000000003</v>
      </c>
      <c r="Y8953">
        <v>-4.5418500000000001E-2</v>
      </c>
      <c r="Z8953">
        <v>1.1602350000000001E-2</v>
      </c>
      <c r="AA8953">
        <v>0.99890069999999997</v>
      </c>
      <c r="AB8953">
        <v>23</v>
      </c>
      <c r="AC8953">
        <v>0.71289999999998999</v>
      </c>
      <c r="AD8953">
        <v>-0.11436689999999999</v>
      </c>
      <c r="AE8953">
        <v>-5.9100000000000801E-3</v>
      </c>
      <c r="AF8953">
        <v>-3.7437603084902502E-2</v>
      </c>
      <c r="AG8953">
        <v>-0.11436689999999999</v>
      </c>
      <c r="AH8953">
        <v>0.69402912130488503</v>
      </c>
      <c r="AI8953">
        <v>99.344153219301802</v>
      </c>
      <c r="AJ8953">
        <v>93.087679896206495</v>
      </c>
      <c r="AK8953">
        <v>0.70438468407510402</v>
      </c>
      <c r="AL8953">
        <v>91.124472111428105</v>
      </c>
      <c r="AM8953">
        <v>88.669448189796</v>
      </c>
      <c r="AN8953">
        <v>0.99999995708925504</v>
      </c>
    </row>
    <row r="8954" spans="1:40" x14ac:dyDescent="0.25">
      <c r="A8954" t="str">
        <f>"20190312154133048"</f>
        <v>20190312154133048</v>
      </c>
      <c r="B8954" t="str">
        <f>"1552376493044794"</f>
        <v>1552376493044794</v>
      </c>
      <c r="C8954" t="s">
        <v>40</v>
      </c>
      <c r="D8954">
        <v>4.200329</v>
      </c>
      <c r="E8954">
        <v>0.47477190000000002</v>
      </c>
      <c r="F8954" t="s">
        <v>41</v>
      </c>
      <c r="G8954">
        <v>-256.858</v>
      </c>
      <c r="H8954">
        <v>1.027955</v>
      </c>
      <c r="I8954">
        <v>-61.565860000000001</v>
      </c>
      <c r="J8954">
        <v>-257.46890000000002</v>
      </c>
      <c r="K8954">
        <v>1.1087610000000001</v>
      </c>
      <c r="L8954">
        <v>-61.564120000000003</v>
      </c>
      <c r="M8954">
        <v>0.99806360000000005</v>
      </c>
      <c r="N8954">
        <v>0</v>
      </c>
      <c r="O8954">
        <v>-6.2110899999999997E-2</v>
      </c>
      <c r="P8954">
        <v>0.99610969999999999</v>
      </c>
      <c r="Q8954">
        <v>-2.261123E-2</v>
      </c>
      <c r="R8954">
        <v>-8.5173310000000002E-2</v>
      </c>
      <c r="S8954">
        <v>3.0009769999999998</v>
      </c>
      <c r="T8954">
        <v>-0.33128419999999997</v>
      </c>
      <c r="U8954">
        <v>-3.6987300000000001E-2</v>
      </c>
      <c r="V8954">
        <v>2.3140210000000001E-2</v>
      </c>
      <c r="W8954">
        <v>-1.921016E-2</v>
      </c>
      <c r="X8954">
        <v>0.99954770000000004</v>
      </c>
      <c r="Y8954">
        <v>-4.9131010000000003E-2</v>
      </c>
      <c r="Z8954">
        <v>9.5351340000000007E-3</v>
      </c>
      <c r="AA8954">
        <v>0.99874680000000005</v>
      </c>
      <c r="AB8954">
        <v>23</v>
      </c>
      <c r="AC8954">
        <v>0.61090000000001499</v>
      </c>
      <c r="AD8954">
        <v>-8.08060000000001E-2</v>
      </c>
      <c r="AE8954">
        <v>-1.7400000000051799E-3</v>
      </c>
      <c r="AF8954">
        <v>-3.5584528853150998E-2</v>
      </c>
      <c r="AG8954">
        <v>-8.08060000000001E-2</v>
      </c>
      <c r="AH8954">
        <v>0.59934236079837</v>
      </c>
      <c r="AI8954">
        <v>97.665231313004796</v>
      </c>
      <c r="AJ8954">
        <v>93.397811988874906</v>
      </c>
      <c r="AK8954">
        <v>0.60581113705268297</v>
      </c>
      <c r="AL8954">
        <v>91.100728741898394</v>
      </c>
      <c r="AM8954">
        <v>88.673800576264895</v>
      </c>
      <c r="AN8954">
        <v>1.00000005207067</v>
      </c>
    </row>
    <row r="8955" spans="1:40" x14ac:dyDescent="0.25">
      <c r="A8955" t="str">
        <f>"20190312154133060"</f>
        <v>20190312154133060</v>
      </c>
      <c r="B8955" t="str">
        <f>"1552376493055530"</f>
        <v>1552376493055530</v>
      </c>
      <c r="C8955" t="s">
        <v>40</v>
      </c>
      <c r="D8955">
        <v>4.2369870000000001</v>
      </c>
      <c r="E8955">
        <v>0.47459069999999998</v>
      </c>
      <c r="F8955" t="s">
        <v>97</v>
      </c>
      <c r="G8955">
        <v>-243.67869999999999</v>
      </c>
      <c r="H8955" s="1">
        <v>-9.3916760000000004E-7</v>
      </c>
      <c r="I8955">
        <v>-61.7887699999999</v>
      </c>
      <c r="J8955">
        <v>-257.3442</v>
      </c>
      <c r="K8955">
        <v>1.1087769999999999</v>
      </c>
      <c r="L8955">
        <v>-61.571840000000002</v>
      </c>
      <c r="M8955">
        <v>0.99806490000000003</v>
      </c>
      <c r="N8955">
        <v>0</v>
      </c>
      <c r="O8955">
        <v>-6.2081070000000002E-2</v>
      </c>
      <c r="P8955">
        <v>0.99613529999999995</v>
      </c>
      <c r="Q8955">
        <v>-2.238602E-2</v>
      </c>
      <c r="R8955">
        <v>-8.4932480000000005E-2</v>
      </c>
      <c r="S8955">
        <v>3.0020600000000002</v>
      </c>
      <c r="T8955">
        <v>-0.2413727</v>
      </c>
      <c r="U8955">
        <v>-4.891968E-2</v>
      </c>
      <c r="V8955">
        <v>2.292808E-2</v>
      </c>
      <c r="W8955">
        <v>-1.885796E-2</v>
      </c>
      <c r="X8955">
        <v>0.99955919999999998</v>
      </c>
      <c r="Y8955">
        <v>-4.5464749999999998E-2</v>
      </c>
      <c r="Z8955">
        <v>6.8047589999999996E-3</v>
      </c>
      <c r="AA8955">
        <v>0.99894280000000002</v>
      </c>
      <c r="AB8955">
        <v>23</v>
      </c>
      <c r="AC8955">
        <v>13.6655</v>
      </c>
      <c r="AD8955">
        <v>-1.1087779391676</v>
      </c>
      <c r="AE8955">
        <v>-0.21692999999998999</v>
      </c>
      <c r="AF8955">
        <v>-0.62773111131467096</v>
      </c>
      <c r="AG8955">
        <v>-1.1087779391676</v>
      </c>
      <c r="AH8955">
        <v>13.5633398574581</v>
      </c>
      <c r="AI8955">
        <v>94.6684569255697</v>
      </c>
      <c r="AJ8955">
        <v>92.649841191824805</v>
      </c>
      <c r="AK8955">
        <v>13.6230548319901</v>
      </c>
      <c r="AL8955">
        <v>91.080545615665102</v>
      </c>
      <c r="AM8955">
        <v>88.685968888651402</v>
      </c>
      <c r="AN8955">
        <v>0.99999995690624299</v>
      </c>
    </row>
    <row r="8956" spans="1:40" x14ac:dyDescent="0.25">
      <c r="A8956" t="str">
        <f>"20190312154133070"</f>
        <v>20190312154133070</v>
      </c>
      <c r="B8956" t="str">
        <f>"1552376493065290"</f>
        <v>1552376493065290</v>
      </c>
      <c r="C8956" t="s">
        <v>40</v>
      </c>
      <c r="D8956">
        <v>4.1948179999999997</v>
      </c>
      <c r="E8956">
        <v>0.47464020000000001</v>
      </c>
      <c r="F8956" t="s">
        <v>97</v>
      </c>
      <c r="G8956">
        <v>-242.02019999999999</v>
      </c>
      <c r="H8956" s="1">
        <v>-2.345414E-7</v>
      </c>
      <c r="I8956">
        <v>-61.814579999999999</v>
      </c>
      <c r="J8956">
        <v>-257.23180000000002</v>
      </c>
      <c r="K8956">
        <v>1.1087880000000001</v>
      </c>
      <c r="L8956">
        <v>-61.578800000000001</v>
      </c>
      <c r="M8956">
        <v>0.99806629999999996</v>
      </c>
      <c r="N8956">
        <v>0</v>
      </c>
      <c r="O8956">
        <v>-6.2054070000000003E-2</v>
      </c>
      <c r="P8956">
        <v>0.99615260000000005</v>
      </c>
      <c r="Q8956">
        <v>-2.2260510000000001E-2</v>
      </c>
      <c r="R8956">
        <v>-8.4761799999999998E-2</v>
      </c>
      <c r="S8956">
        <v>3.0027010000000001</v>
      </c>
      <c r="T8956">
        <v>-0.2172616</v>
      </c>
      <c r="U8956">
        <v>-4.7576899999999998E-2</v>
      </c>
      <c r="V8956">
        <v>2.2783620000000001E-2</v>
      </c>
      <c r="W8956">
        <v>-1.8623199999999999E-2</v>
      </c>
      <c r="X8956">
        <v>0.99956699999999998</v>
      </c>
      <c r="Y8956">
        <v>-4.5952449999999999E-2</v>
      </c>
      <c r="Z8956">
        <v>6.1412990000000002E-3</v>
      </c>
      <c r="AA8956">
        <v>0.9989247</v>
      </c>
      <c r="AB8956">
        <v>23</v>
      </c>
      <c r="AC8956">
        <v>15.211600000000001</v>
      </c>
      <c r="AD8956">
        <v>-1.1087882345414</v>
      </c>
      <c r="AE8956">
        <v>-0.23578000000000501</v>
      </c>
      <c r="AF8956">
        <v>-0.70487802545857403</v>
      </c>
      <c r="AG8956">
        <v>-1.1087882345414</v>
      </c>
      <c r="AH8956">
        <v>15.116618154389799</v>
      </c>
      <c r="AI8956">
        <v>94.190536380995894</v>
      </c>
      <c r="AJ8956">
        <v>92.669730946719994</v>
      </c>
      <c r="AK8956">
        <v>15.173608957840599</v>
      </c>
      <c r="AL8956">
        <v>91.067092393514599</v>
      </c>
      <c r="AM8956">
        <v>88.694255345550999</v>
      </c>
      <c r="AN8956">
        <v>1.00000005220377</v>
      </c>
    </row>
    <row r="8957" spans="1:40" x14ac:dyDescent="0.25">
      <c r="A8957" t="str">
        <f>"20190312154133081"</f>
        <v>20190312154133081</v>
      </c>
      <c r="B8957" t="str">
        <f>"1552376493075050"</f>
        <v>1552376493075050</v>
      </c>
      <c r="C8957" t="s">
        <v>40</v>
      </c>
      <c r="D8957">
        <v>4.2002160000000002</v>
      </c>
      <c r="E8957">
        <v>0.47470309999999999</v>
      </c>
      <c r="F8957" t="s">
        <v>97</v>
      </c>
      <c r="G8957">
        <v>-240.5428</v>
      </c>
      <c r="H8957" s="1">
        <v>3.908491E-7</v>
      </c>
      <c r="I8957">
        <v>-61.84619</v>
      </c>
      <c r="J8957">
        <v>-257.11380000000003</v>
      </c>
      <c r="K8957">
        <v>1.1087990000000001</v>
      </c>
      <c r="L8957">
        <v>-61.586120000000001</v>
      </c>
      <c r="M8957">
        <v>0.9980675</v>
      </c>
      <c r="N8957">
        <v>0</v>
      </c>
      <c r="O8957">
        <v>-6.2025650000000002E-2</v>
      </c>
      <c r="P8957">
        <v>0.99618070000000003</v>
      </c>
      <c r="Q8957">
        <v>-2.1932960000000001E-2</v>
      </c>
      <c r="R8957">
        <v>-8.4517270000000005E-2</v>
      </c>
      <c r="S8957">
        <v>3.0030060000000001</v>
      </c>
      <c r="T8957">
        <v>-0.19951479999999999</v>
      </c>
      <c r="U8957">
        <v>-4.8126219999999997E-2</v>
      </c>
      <c r="V8957">
        <v>2.256617E-2</v>
      </c>
      <c r="W8957">
        <v>-1.8184829999999999E-2</v>
      </c>
      <c r="X8957">
        <v>0.99958000000000002</v>
      </c>
      <c r="Y8957">
        <v>-4.5787590000000003E-2</v>
      </c>
      <c r="Z8957">
        <v>5.6328690000000004E-3</v>
      </c>
      <c r="AA8957">
        <v>0.99893529999999997</v>
      </c>
      <c r="AB8957">
        <v>23</v>
      </c>
      <c r="AC8957">
        <v>16.571000000000002</v>
      </c>
      <c r="AD8957">
        <v>-1.1087986091508999</v>
      </c>
      <c r="AE8957">
        <v>-0.26007000000000602</v>
      </c>
      <c r="AF8957">
        <v>-0.76484152525000704</v>
      </c>
      <c r="AG8957">
        <v>-1.1087986091508999</v>
      </c>
      <c r="AH8957">
        <v>16.481451313866899</v>
      </c>
      <c r="AI8957">
        <v>93.844680014052898</v>
      </c>
      <c r="AJ8957">
        <v>92.6569731995707</v>
      </c>
      <c r="AK8957">
        <v>16.5364039115452</v>
      </c>
      <c r="AL8957">
        <v>91.041971393195197</v>
      </c>
      <c r="AM8957">
        <v>88.706730113087801</v>
      </c>
      <c r="AN8957">
        <v>1.00000004823529</v>
      </c>
    </row>
    <row r="8958" spans="1:40" x14ac:dyDescent="0.25">
      <c r="A8958" t="str">
        <f>"20190312154133093"</f>
        <v>20190312154133093</v>
      </c>
      <c r="B8958" t="str">
        <f>"1552376493084810"</f>
        <v>1552376493084810</v>
      </c>
      <c r="C8958" t="s">
        <v>40</v>
      </c>
      <c r="D8958">
        <v>4.218807</v>
      </c>
      <c r="E8958">
        <v>0.47469329999999998</v>
      </c>
      <c r="F8958" t="s">
        <v>98</v>
      </c>
      <c r="G8958">
        <v>-239.13419999999999</v>
      </c>
      <c r="H8958" s="1">
        <v>-3.247085E-6</v>
      </c>
      <c r="I8958">
        <v>-61.875450000000001</v>
      </c>
      <c r="J8958">
        <v>-256.995</v>
      </c>
      <c r="K8958">
        <v>1.1088119999999999</v>
      </c>
      <c r="L8958">
        <v>-61.593440000000001</v>
      </c>
      <c r="M8958">
        <v>0.99806890000000004</v>
      </c>
      <c r="N8958">
        <v>0</v>
      </c>
      <c r="O8958">
        <v>-6.1997099999999999E-2</v>
      </c>
      <c r="P8958">
        <v>0.99620529999999996</v>
      </c>
      <c r="Q8958">
        <v>-2.1821779999999999E-2</v>
      </c>
      <c r="R8958">
        <v>-8.4254120000000002E-2</v>
      </c>
      <c r="S8958">
        <v>3.0033259999999999</v>
      </c>
      <c r="T8958">
        <v>-0.18521489999999999</v>
      </c>
      <c r="U8958">
        <v>-4.8339840000000002E-2</v>
      </c>
      <c r="V8958">
        <v>2.233071E-2</v>
      </c>
      <c r="W8958">
        <v>-1.796727E-2</v>
      </c>
      <c r="X8958">
        <v>0.99958910000000001</v>
      </c>
      <c r="Y8958">
        <v>-4.572271E-2</v>
      </c>
      <c r="Z8958">
        <v>5.2256220000000001E-3</v>
      </c>
      <c r="AA8958">
        <v>0.99894050000000001</v>
      </c>
      <c r="AB8958">
        <v>24</v>
      </c>
      <c r="AC8958">
        <v>17.860800000000001</v>
      </c>
      <c r="AD8958">
        <v>-1.1088152470849999</v>
      </c>
      <c r="AE8958">
        <v>-0.28200999999999898</v>
      </c>
      <c r="AF8958">
        <v>-0.82268862998749603</v>
      </c>
      <c r="AG8958">
        <v>-1.1088152470849999</v>
      </c>
      <c r="AH8958">
        <v>17.7754349115346</v>
      </c>
      <c r="AI8958">
        <v>93.565626004323207</v>
      </c>
      <c r="AJ8958">
        <v>92.649891459595693</v>
      </c>
      <c r="AK8958">
        <v>17.8289756892616</v>
      </c>
      <c r="AL8958">
        <v>91.029504212740804</v>
      </c>
      <c r="AM8958">
        <v>88.720231489099305</v>
      </c>
      <c r="AN8958">
        <v>0.99999992611958</v>
      </c>
    </row>
    <row r="8959" spans="1:40" x14ac:dyDescent="0.25">
      <c r="A8959" t="str">
        <f>"20190312154133104"</f>
        <v>20190312154133104</v>
      </c>
      <c r="B8959" t="str">
        <f>"1552376493095547"</f>
        <v>1552376493095547</v>
      </c>
      <c r="C8959" t="s">
        <v>40</v>
      </c>
      <c r="D8959">
        <v>4.2178529999999999</v>
      </c>
      <c r="E8959">
        <v>0.4746126</v>
      </c>
      <c r="F8959" t="s">
        <v>98</v>
      </c>
      <c r="G8959">
        <v>-237.899</v>
      </c>
      <c r="H8959" s="1">
        <v>-2.7785449999999999E-6</v>
      </c>
      <c r="I8959">
        <v>-61.897419999999997</v>
      </c>
      <c r="J8959">
        <v>-256.8784</v>
      </c>
      <c r="K8959">
        <v>1.108819</v>
      </c>
      <c r="L8959">
        <v>-61.600650000000002</v>
      </c>
      <c r="M8959">
        <v>0.99807040000000002</v>
      </c>
      <c r="N8959">
        <v>0</v>
      </c>
      <c r="O8959">
        <v>-6.1969389999999999E-2</v>
      </c>
      <c r="P8959">
        <v>0.99623519999999999</v>
      </c>
      <c r="Q8959">
        <v>-2.1857979999999999E-2</v>
      </c>
      <c r="R8959">
        <v>-8.3891590000000002E-2</v>
      </c>
      <c r="S8959">
        <v>3.0036010000000002</v>
      </c>
      <c r="T8959">
        <v>-0.174404799999999</v>
      </c>
      <c r="U8959">
        <v>-4.7821040000000002E-2</v>
      </c>
      <c r="V8959">
        <v>2.1994840000000002E-2</v>
      </c>
      <c r="W8959">
        <v>-1.7904739999999999E-2</v>
      </c>
      <c r="X8959">
        <v>0.99959770000000003</v>
      </c>
      <c r="Y8959">
        <v>-4.5891910000000001E-2</v>
      </c>
      <c r="Z8959">
        <v>4.9240239999999999E-3</v>
      </c>
      <c r="AA8959">
        <v>0.99893430000000005</v>
      </c>
      <c r="AB8959">
        <v>24</v>
      </c>
      <c r="AC8959">
        <v>18.979399999999998</v>
      </c>
      <c r="AD8959">
        <v>-1.1088217785449901</v>
      </c>
      <c r="AE8959">
        <v>-0.29676999999999498</v>
      </c>
      <c r="AF8959">
        <v>-0.87695872519232998</v>
      </c>
      <c r="AG8959">
        <v>-1.1088217785449901</v>
      </c>
      <c r="AH8959">
        <v>18.896830368200099</v>
      </c>
      <c r="AI8959">
        <v>93.354529599283893</v>
      </c>
      <c r="AJ8959">
        <v>92.657059839972007</v>
      </c>
      <c r="AK8959">
        <v>18.949636943931001</v>
      </c>
      <c r="AL8959">
        <v>91.025920899000198</v>
      </c>
      <c r="AM8959">
        <v>88.739484714943003</v>
      </c>
      <c r="AN8959">
        <v>0.99999995727319002</v>
      </c>
    </row>
    <row r="8960" spans="1:40" x14ac:dyDescent="0.25">
      <c r="A8960" t="str">
        <f>"20190312154133114"</f>
        <v>20190312154133114</v>
      </c>
      <c r="B8960" t="str">
        <f>"1552376493105412"</f>
        <v>1552376493105412</v>
      </c>
      <c r="C8960" t="s">
        <v>40</v>
      </c>
      <c r="D8960">
        <v>4.2237289999999996</v>
      </c>
      <c r="E8960">
        <v>0.47451569999999998</v>
      </c>
      <c r="F8960" t="s">
        <v>98</v>
      </c>
      <c r="G8960">
        <v>-236.84119999999999</v>
      </c>
      <c r="H8960" s="1">
        <v>-2.3281059999999999E-6</v>
      </c>
      <c r="I8960">
        <v>-61.910020000000003</v>
      </c>
      <c r="J8960">
        <v>-256.76499999999999</v>
      </c>
      <c r="K8960">
        <v>1.108827</v>
      </c>
      <c r="L8960">
        <v>-61.607700000000001</v>
      </c>
      <c r="M8960">
        <v>0.99807170000000001</v>
      </c>
      <c r="N8960">
        <v>0</v>
      </c>
      <c r="O8960">
        <v>-6.194214E-2</v>
      </c>
      <c r="P8960">
        <v>0.99626250000000005</v>
      </c>
      <c r="Q8960">
        <v>-2.169857E-2</v>
      </c>
      <c r="R8960">
        <v>-8.3610340000000005E-2</v>
      </c>
      <c r="S8960">
        <v>3.0037539999999998</v>
      </c>
      <c r="T8960">
        <v>-0.166221799999999</v>
      </c>
      <c r="U8960">
        <v>-4.6386719999999999E-2</v>
      </c>
      <c r="V8960">
        <v>2.173949E-2</v>
      </c>
      <c r="W8960">
        <v>-1.7652620000000001E-2</v>
      </c>
      <c r="X8960">
        <v>0.99960780000000005</v>
      </c>
      <c r="Y8960">
        <v>-4.6358299999999998E-2</v>
      </c>
      <c r="Z8960">
        <v>4.7045350000000001E-3</v>
      </c>
      <c r="AA8960">
        <v>0.99891379999999996</v>
      </c>
      <c r="AB8960">
        <v>24</v>
      </c>
      <c r="AC8960">
        <v>19.9238</v>
      </c>
      <c r="AD8960">
        <v>-1.108829328106</v>
      </c>
      <c r="AE8960">
        <v>-0.30231999999999398</v>
      </c>
      <c r="AF8960">
        <v>-0.92951492074683995</v>
      </c>
      <c r="AG8960">
        <v>-1.108829328106</v>
      </c>
      <c r="AH8960">
        <v>19.842821768375401</v>
      </c>
      <c r="AI8960">
        <v>93.194901541051905</v>
      </c>
      <c r="AJ8960">
        <v>92.681996479465695</v>
      </c>
      <c r="AK8960">
        <v>19.895503919184101</v>
      </c>
      <c r="AL8960">
        <v>91.011473172716805</v>
      </c>
      <c r="AM8960">
        <v>88.754126663791794</v>
      </c>
      <c r="AN8960">
        <v>0.99999998711958205</v>
      </c>
    </row>
    <row r="8961" spans="1:40" x14ac:dyDescent="0.25">
      <c r="A8961" t="str">
        <f>"20190312154133125"</f>
        <v>20190312154133125</v>
      </c>
      <c r="B8961" t="str">
        <f>"1552376493115173"</f>
        <v>1552376493115173</v>
      </c>
      <c r="C8961" t="s">
        <v>40</v>
      </c>
      <c r="D8961">
        <v>4.2257569999999998</v>
      </c>
      <c r="E8961">
        <v>0.47435129999999998</v>
      </c>
      <c r="F8961" t="s">
        <v>98</v>
      </c>
      <c r="G8961">
        <v>-235.41130000000001</v>
      </c>
      <c r="H8961" s="1">
        <v>-1.7195649999999999E-6</v>
      </c>
      <c r="I8961">
        <v>-61.928249999999998</v>
      </c>
      <c r="J8961">
        <v>-256.64710000000002</v>
      </c>
      <c r="K8961">
        <v>1.1088359999999999</v>
      </c>
      <c r="L8961">
        <v>-61.614960000000004</v>
      </c>
      <c r="M8961">
        <v>0.99807290000000004</v>
      </c>
      <c r="N8961">
        <v>0</v>
      </c>
      <c r="O8961">
        <v>-6.1913459999999997E-2</v>
      </c>
      <c r="P8961">
        <v>0.99629529999999999</v>
      </c>
      <c r="Q8961">
        <v>-2.1690259999999999E-2</v>
      </c>
      <c r="R8961">
        <v>-8.3218940000000005E-2</v>
      </c>
      <c r="S8961">
        <v>3.0040740000000001</v>
      </c>
      <c r="T8961">
        <v>-0.15599170000000001</v>
      </c>
      <c r="U8961">
        <v>-4.5104980000000003E-2</v>
      </c>
      <c r="V8961">
        <v>2.1375669999999999E-2</v>
      </c>
      <c r="W8961">
        <v>-1.7553409999999998E-2</v>
      </c>
      <c r="X8961">
        <v>0.99961739999999999</v>
      </c>
      <c r="Y8961">
        <v>-4.6776619999999998E-2</v>
      </c>
      <c r="Z8961">
        <v>4.4243210000000002E-3</v>
      </c>
      <c r="AA8961">
        <v>0.99889559999999999</v>
      </c>
      <c r="AB8961">
        <v>24</v>
      </c>
      <c r="AC8961">
        <v>21.235800000000001</v>
      </c>
      <c r="AD8961">
        <v>-1.1088377195649901</v>
      </c>
      <c r="AE8961">
        <v>-0.31329000000000201</v>
      </c>
      <c r="AF8961">
        <v>-0.99938004376613399</v>
      </c>
      <c r="AG8961">
        <v>-1.1088377195649901</v>
      </c>
      <c r="AH8961">
        <v>21.156785382453599</v>
      </c>
      <c r="AI8961">
        <v>92.996820041727702</v>
      </c>
      <c r="AJ8961">
        <v>92.704462226367497</v>
      </c>
      <c r="AK8961">
        <v>21.209381162103899</v>
      </c>
      <c r="AL8961">
        <v>91.005787970615501</v>
      </c>
      <c r="AM8961">
        <v>88.774982259675596</v>
      </c>
      <c r="AN8961">
        <v>0.99999999392666805</v>
      </c>
    </row>
    <row r="8962" spans="1:40" x14ac:dyDescent="0.25">
      <c r="A8962" t="str">
        <f>"20190312154133137"</f>
        <v>20190312154133137</v>
      </c>
      <c r="B8962" t="str">
        <f>"1552376493124935"</f>
        <v>1552376493124935</v>
      </c>
      <c r="C8962" t="s">
        <v>40</v>
      </c>
      <c r="D8962">
        <v>4.2188739999999996</v>
      </c>
      <c r="E8962">
        <v>0.47427780000000003</v>
      </c>
      <c r="F8962" t="s">
        <v>98</v>
      </c>
      <c r="G8962">
        <v>-233.9958</v>
      </c>
      <c r="H8962" s="1">
        <v>-1.1151600000000001E-6</v>
      </c>
      <c r="I8962">
        <v>-61.938859999999998</v>
      </c>
      <c r="J8962">
        <v>-256.52300000000002</v>
      </c>
      <c r="K8962">
        <v>1.1088439999999999</v>
      </c>
      <c r="L8962">
        <v>-61.622619999999998</v>
      </c>
      <c r="M8962">
        <v>0.99807440000000003</v>
      </c>
      <c r="N8962">
        <v>0</v>
      </c>
      <c r="O8962">
        <v>-6.1883599999999997E-2</v>
      </c>
      <c r="P8962">
        <v>0.99634029999999996</v>
      </c>
      <c r="Q8962">
        <v>-2.1404550000000001E-2</v>
      </c>
      <c r="R8962">
        <v>-8.2752160000000005E-2</v>
      </c>
      <c r="S8962">
        <v>3.0043639999999998</v>
      </c>
      <c r="T8962">
        <v>-0.14707149999999999</v>
      </c>
      <c r="U8962">
        <v>-4.296875E-2</v>
      </c>
      <c r="V8962">
        <v>2.0936679999999999E-2</v>
      </c>
      <c r="W8962">
        <v>-1.7173830000000001E-2</v>
      </c>
      <c r="X8962">
        <v>0.99963329999999995</v>
      </c>
      <c r="Y8962">
        <v>-4.7473769999999998E-2</v>
      </c>
      <c r="Z8962">
        <v>4.1868649999999997E-3</v>
      </c>
      <c r="AA8962">
        <v>0.99886370000000002</v>
      </c>
      <c r="AB8962">
        <v>24</v>
      </c>
      <c r="AC8962">
        <v>22.527199999999901</v>
      </c>
      <c r="AD8962">
        <v>-1.1088451151599901</v>
      </c>
      <c r="AE8962">
        <v>-0.31624000000000002</v>
      </c>
      <c r="AF8962">
        <v>-1.07583676187444</v>
      </c>
      <c r="AG8962">
        <v>-1.1088451151599901</v>
      </c>
      <c r="AH8962">
        <v>22.449212776824201</v>
      </c>
      <c r="AI8962">
        <v>92.824504456965997</v>
      </c>
      <c r="AJ8962">
        <v>92.743694520676002</v>
      </c>
      <c r="AK8962">
        <v>22.502313581646298</v>
      </c>
      <c r="AL8962">
        <v>90.984036343553598</v>
      </c>
      <c r="AM8962">
        <v>88.800151974136</v>
      </c>
      <c r="AN8962">
        <v>1.0000000097375901</v>
      </c>
    </row>
    <row r="8963" spans="1:40" x14ac:dyDescent="0.25">
      <c r="A8963" t="str">
        <f>"20190312154133148"</f>
        <v>20190312154133148</v>
      </c>
      <c r="B8963" t="str">
        <f>"1552376493145430"</f>
        <v>1552376493145430</v>
      </c>
      <c r="C8963" t="s">
        <v>40</v>
      </c>
      <c r="D8963">
        <v>4.2086399999999999</v>
      </c>
      <c r="E8963">
        <v>0.47457060000000001</v>
      </c>
      <c r="F8963" t="s">
        <v>98</v>
      </c>
      <c r="G8963">
        <v>-232.65539999999999</v>
      </c>
      <c r="H8963" s="1">
        <v>-5.42953E-7</v>
      </c>
      <c r="I8963">
        <v>-61.949590000000001</v>
      </c>
      <c r="J8963">
        <v>-256.40260000000001</v>
      </c>
      <c r="K8963">
        <v>1.1088530000000001</v>
      </c>
      <c r="L8963">
        <v>-61.630040000000001</v>
      </c>
      <c r="M8963">
        <v>0.99807599999999996</v>
      </c>
      <c r="N8963">
        <v>0</v>
      </c>
      <c r="O8963">
        <v>-6.1854930000000002E-2</v>
      </c>
      <c r="P8963">
        <v>0.99635649999999998</v>
      </c>
      <c r="Q8963">
        <v>-2.1304050000000001E-2</v>
      </c>
      <c r="R8963">
        <v>-8.2584399999999905E-2</v>
      </c>
      <c r="S8963">
        <v>3.0046080000000002</v>
      </c>
      <c r="T8963">
        <v>-0.1395884</v>
      </c>
      <c r="U8963">
        <v>-4.1168209999999997E-2</v>
      </c>
      <c r="V8963">
        <v>2.0797159999999999E-2</v>
      </c>
      <c r="W8963">
        <v>-1.698682E-2</v>
      </c>
      <c r="X8963">
        <v>0.99963939999999996</v>
      </c>
      <c r="Y8963">
        <v>-4.8057080000000002E-2</v>
      </c>
      <c r="Z8963">
        <v>3.98599E-3</v>
      </c>
      <c r="AA8963">
        <v>0.99883659999999996</v>
      </c>
      <c r="AB8963">
        <v>24</v>
      </c>
      <c r="AC8963">
        <v>23.747199999999999</v>
      </c>
      <c r="AD8963">
        <v>-1.108853542953</v>
      </c>
      <c r="AE8963">
        <v>-0.319549999999999</v>
      </c>
      <c r="AF8963">
        <v>-1.14745532444006</v>
      </c>
      <c r="AG8963">
        <v>-1.108853542953</v>
      </c>
      <c r="AH8963">
        <v>23.669893783793999</v>
      </c>
      <c r="AI8963">
        <v>92.679008832388803</v>
      </c>
      <c r="AJ8963">
        <v>92.775378686236806</v>
      </c>
      <c r="AK8963">
        <v>23.723618645505901</v>
      </c>
      <c r="AL8963">
        <v>90.973319904163006</v>
      </c>
      <c r="AM8963">
        <v>88.808152601472003</v>
      </c>
      <c r="AN8963">
        <v>1.0000000019750599</v>
      </c>
    </row>
    <row r="8964" spans="1:40" x14ac:dyDescent="0.25">
      <c r="A8964" t="str">
        <f>"20190312154133161"</f>
        <v>20190312154133161</v>
      </c>
      <c r="B8964" t="str">
        <f>"1552376493155189"</f>
        <v>1552376493155189</v>
      </c>
      <c r="C8964" t="s">
        <v>40</v>
      </c>
      <c r="D8964">
        <v>4.2684350000000002</v>
      </c>
      <c r="E8964">
        <v>0.47463270000000002</v>
      </c>
      <c r="F8964" t="s">
        <v>98</v>
      </c>
      <c r="G8964">
        <v>-230.71549999999999</v>
      </c>
      <c r="H8964" s="1">
        <v>2.7573289999999998E-7</v>
      </c>
      <c r="I8964">
        <v>-62.000450000000001</v>
      </c>
      <c r="J8964">
        <v>-256.27679999999998</v>
      </c>
      <c r="K8964">
        <v>1.1088629999999999</v>
      </c>
      <c r="L8964">
        <v>-61.63785</v>
      </c>
      <c r="M8964">
        <v>0.99807729999999995</v>
      </c>
      <c r="N8964">
        <v>0</v>
      </c>
      <c r="O8964">
        <v>-6.1824469999999999E-2</v>
      </c>
      <c r="P8964">
        <v>0.99640519999999999</v>
      </c>
      <c r="Q8964">
        <v>-2.1144260000000002E-2</v>
      </c>
      <c r="R8964">
        <v>-8.2036410000000004E-2</v>
      </c>
      <c r="S8964">
        <v>3.0046080000000002</v>
      </c>
      <c r="T8964">
        <v>-0.12970200000000001</v>
      </c>
      <c r="U8964">
        <v>-4.3334959999999999E-2</v>
      </c>
      <c r="V8964">
        <v>2.0277489999999999E-2</v>
      </c>
      <c r="W8964">
        <v>-1.6737519999999999E-2</v>
      </c>
      <c r="X8964">
        <v>0.9996543</v>
      </c>
      <c r="Y8964">
        <v>-4.732335E-2</v>
      </c>
      <c r="Z8964">
        <v>3.6867810000000001E-3</v>
      </c>
      <c r="AA8964">
        <v>0.99887280000000001</v>
      </c>
      <c r="AB8964">
        <v>24</v>
      </c>
      <c r="AC8964">
        <v>25.5612999999999</v>
      </c>
      <c r="AD8964">
        <v>-1.1088627242671001</v>
      </c>
      <c r="AE8964">
        <v>-0.36259999999999998</v>
      </c>
      <c r="AF8964">
        <v>-1.2161346906772701</v>
      </c>
      <c r="AG8964">
        <v>-1.1088627242671001</v>
      </c>
      <c r="AH8964">
        <v>25.486865690504398</v>
      </c>
      <c r="AI8964">
        <v>92.488381506315804</v>
      </c>
      <c r="AJ8964">
        <v>92.731861005397903</v>
      </c>
      <c r="AK8964">
        <v>25.539946805993001</v>
      </c>
      <c r="AL8964">
        <v>90.959034017590099</v>
      </c>
      <c r="AM8964">
        <v>88.837942988590498</v>
      </c>
      <c r="AN8964">
        <v>1.0000000203424699</v>
      </c>
    </row>
    <row r="8965" spans="1:40" x14ac:dyDescent="0.25">
      <c r="A8965" t="str">
        <f>"20190312154133171"</f>
        <v>20190312154133171</v>
      </c>
      <c r="B8965" t="str">
        <f>"1552376493164949"</f>
        <v>1552376493164949</v>
      </c>
      <c r="C8965" t="s">
        <v>40</v>
      </c>
      <c r="D8965">
        <v>4.2394619999999996</v>
      </c>
      <c r="E8965">
        <v>0.47469050000000002</v>
      </c>
      <c r="F8965" t="s">
        <v>99</v>
      </c>
      <c r="G8965">
        <v>-229.39949999999999</v>
      </c>
      <c r="H8965" s="1">
        <v>-3.4256580000000002E-6</v>
      </c>
      <c r="I8965">
        <v>-62.016480000000001</v>
      </c>
      <c r="J8965">
        <v>-256.16050000000001</v>
      </c>
      <c r="K8965">
        <v>1.1088789999999999</v>
      </c>
      <c r="L8965">
        <v>-61.64499</v>
      </c>
      <c r="M8965">
        <v>0.99807880000000004</v>
      </c>
      <c r="N8965">
        <v>0</v>
      </c>
      <c r="O8965">
        <v>-6.1796740000000003E-2</v>
      </c>
      <c r="P8965">
        <v>0.99640430000000002</v>
      </c>
      <c r="Q8965">
        <v>-2.1220889999999999E-2</v>
      </c>
      <c r="R8965">
        <v>-8.2024949999999999E-2</v>
      </c>
      <c r="S8965">
        <v>3.004715</v>
      </c>
      <c r="T8965">
        <v>-0.1239643</v>
      </c>
      <c r="U8965">
        <v>-4.2327879999999998E-2</v>
      </c>
      <c r="V8965">
        <v>2.0294019999999999E-2</v>
      </c>
      <c r="W8965">
        <v>-1.6733350000000001E-2</v>
      </c>
      <c r="X8965">
        <v>0.99965400000000004</v>
      </c>
      <c r="Y8965">
        <v>-4.7639389999999997E-2</v>
      </c>
      <c r="Z8965">
        <v>3.5290930000000001E-3</v>
      </c>
      <c r="AA8965">
        <v>0.99885840000000004</v>
      </c>
      <c r="AB8965">
        <v>24</v>
      </c>
      <c r="AC8965">
        <v>26.760999999999999</v>
      </c>
      <c r="AD8965">
        <v>-1.1088824256579899</v>
      </c>
      <c r="AE8965">
        <v>-0.37149000000000099</v>
      </c>
      <c r="AF8965">
        <v>-1.28078035733537</v>
      </c>
      <c r="AG8965">
        <v>-1.1088824256579899</v>
      </c>
      <c r="AH8965">
        <v>26.686996928483701</v>
      </c>
      <c r="AI8965">
        <v>92.376619569234293</v>
      </c>
      <c r="AJ8965">
        <v>92.747669425266494</v>
      </c>
      <c r="AK8965">
        <v>26.740714717796301</v>
      </c>
      <c r="AL8965">
        <v>90.958795093676002</v>
      </c>
      <c r="AM8965">
        <v>88.836995602890099</v>
      </c>
      <c r="AN8965">
        <v>0.999999985982991</v>
      </c>
    </row>
    <row r="8966" spans="1:40" x14ac:dyDescent="0.25">
      <c r="A8966" t="str">
        <f>"20190312154133182"</f>
        <v>20190312154133182</v>
      </c>
      <c r="B8966" t="str">
        <f>"1552376493174709"</f>
        <v>1552376493174709</v>
      </c>
      <c r="C8966" t="s">
        <v>40</v>
      </c>
      <c r="D8966">
        <v>4.2422209999999998</v>
      </c>
      <c r="E8966">
        <v>0.47485660000000002</v>
      </c>
      <c r="F8966" t="s">
        <v>99</v>
      </c>
      <c r="G8966">
        <v>-228.31620000000001</v>
      </c>
      <c r="H8966" s="1">
        <v>-3.0545070000000001E-6</v>
      </c>
      <c r="I8966">
        <v>-62.042319999999997</v>
      </c>
      <c r="J8966">
        <v>-256.04059999999998</v>
      </c>
      <c r="K8966">
        <v>1.1088899999999999</v>
      </c>
      <c r="L8966">
        <v>-61.6524</v>
      </c>
      <c r="M8966">
        <v>0.99808010000000003</v>
      </c>
      <c r="N8966">
        <v>0</v>
      </c>
      <c r="O8966">
        <v>-6.1767820000000001E-2</v>
      </c>
      <c r="P8966">
        <v>0.99642589999999998</v>
      </c>
      <c r="Q8966">
        <v>-2.1053639999999998E-2</v>
      </c>
      <c r="R8966">
        <v>-8.1806439999999994E-2</v>
      </c>
      <c r="S8966">
        <v>3.0047450000000002</v>
      </c>
      <c r="T8966">
        <v>-0.1196622</v>
      </c>
      <c r="U8966">
        <v>-4.2877199999999997E-2</v>
      </c>
      <c r="V8966">
        <v>2.0103429999999999E-2</v>
      </c>
      <c r="W8966">
        <v>-1.6482779999999999E-2</v>
      </c>
      <c r="X8966">
        <v>0.99966200000000005</v>
      </c>
      <c r="Y8966">
        <v>-4.7434560000000001E-2</v>
      </c>
      <c r="Z8966">
        <v>3.4014520000000001E-3</v>
      </c>
      <c r="AA8966">
        <v>0.9988686</v>
      </c>
      <c r="AB8966">
        <v>24</v>
      </c>
      <c r="AC8966">
        <v>27.7243999999999</v>
      </c>
      <c r="AD8966">
        <v>-1.1088930545069999</v>
      </c>
      <c r="AE8966">
        <v>-0.38991999999999599</v>
      </c>
      <c r="AF8966">
        <v>-1.32120495840788</v>
      </c>
      <c r="AG8966">
        <v>-1.1088930545069999</v>
      </c>
      <c r="AH8966">
        <v>27.651318422350499</v>
      </c>
      <c r="AI8966">
        <v>92.293871807545898</v>
      </c>
      <c r="AJ8966">
        <v>92.735563561591306</v>
      </c>
      <c r="AK8966">
        <v>27.705065183873501</v>
      </c>
      <c r="AL8966">
        <v>90.944436522702503</v>
      </c>
      <c r="AM8966">
        <v>88.847924144372001</v>
      </c>
      <c r="AN8966">
        <v>0.99999997208914604</v>
      </c>
    </row>
    <row r="8967" spans="1:40" x14ac:dyDescent="0.25">
      <c r="A8967" t="str">
        <f>"20190312154133193"</f>
        <v>20190312154133193</v>
      </c>
      <c r="B8967" t="str">
        <f>"1552376493185445"</f>
        <v>1552376493185445</v>
      </c>
      <c r="C8967" t="s">
        <v>40</v>
      </c>
      <c r="D8967">
        <v>4.2075189999999996</v>
      </c>
      <c r="E8967">
        <v>0.4749951</v>
      </c>
      <c r="F8967" t="s">
        <v>99</v>
      </c>
      <c r="G8967">
        <v>-226.8254</v>
      </c>
      <c r="H8967" s="1">
        <v>-2.4228030000000002E-6</v>
      </c>
      <c r="I8967">
        <v>-62.077599999999997</v>
      </c>
      <c r="J8967">
        <v>-255.91730000000001</v>
      </c>
      <c r="K8967">
        <v>1.1089009999999999</v>
      </c>
      <c r="L8967">
        <v>-61.659970000000001</v>
      </c>
      <c r="M8967">
        <v>0.99808160000000001</v>
      </c>
      <c r="N8967">
        <v>0</v>
      </c>
      <c r="O8967">
        <v>-6.1738319999999999E-2</v>
      </c>
      <c r="P8967">
        <v>0.99642629999999999</v>
      </c>
      <c r="Q8967">
        <v>-2.0983060000000001E-2</v>
      </c>
      <c r="R8967">
        <v>-8.1823010000000002E-2</v>
      </c>
      <c r="S8967">
        <v>3.0047609999999998</v>
      </c>
      <c r="T8967">
        <v>-0.11404889999999999</v>
      </c>
      <c r="U8967">
        <v>-4.3731689999999997E-2</v>
      </c>
      <c r="V8967">
        <v>2.0149279999999999E-2</v>
      </c>
      <c r="W8967">
        <v>-1.632664E-2</v>
      </c>
      <c r="X8967">
        <v>0.99966370000000004</v>
      </c>
      <c r="Y8967">
        <v>-4.7129310000000001E-2</v>
      </c>
      <c r="Z8967">
        <v>3.2350730000000002E-3</v>
      </c>
      <c r="AA8967">
        <v>0.99888350000000004</v>
      </c>
      <c r="AB8967">
        <v>24</v>
      </c>
      <c r="AC8967">
        <v>29.091899999999999</v>
      </c>
      <c r="AD8967">
        <v>-1.1089034228029999</v>
      </c>
      <c r="AE8967">
        <v>-0.417630000000002</v>
      </c>
      <c r="AF8967">
        <v>-1.3772703813220899</v>
      </c>
      <c r="AG8967">
        <v>-1.1089034228029999</v>
      </c>
      <c r="AH8967">
        <v>29.020031038901401</v>
      </c>
      <c r="AI8967">
        <v>92.185844016069893</v>
      </c>
      <c r="AJ8967">
        <v>92.717178811956998</v>
      </c>
      <c r="AK8967">
        <v>29.073849796736098</v>
      </c>
      <c r="AL8967">
        <v>90.935489098543897</v>
      </c>
      <c r="AM8967">
        <v>88.845299272547194</v>
      </c>
      <c r="AN8967">
        <v>1.0000000328779399</v>
      </c>
    </row>
    <row r="8968" spans="1:40" x14ac:dyDescent="0.25">
      <c r="A8968" t="str">
        <f>"20190312154133205"</f>
        <v>20190312154133205</v>
      </c>
      <c r="B8968" t="str">
        <f>"1552376493195205"</f>
        <v>1552376493195205</v>
      </c>
      <c r="C8968" t="s">
        <v>40</v>
      </c>
      <c r="D8968">
        <v>4.2172510000000001</v>
      </c>
      <c r="E8968">
        <v>0.47508499999999998</v>
      </c>
      <c r="F8968" t="s">
        <v>99</v>
      </c>
      <c r="G8968">
        <v>-225.6258</v>
      </c>
      <c r="H8968" s="1">
        <v>-1.9162040000000001E-6</v>
      </c>
      <c r="I8968">
        <v>-62.113759999999999</v>
      </c>
      <c r="J8968">
        <v>-255.79730000000001</v>
      </c>
      <c r="K8968">
        <v>1.1089150000000001</v>
      </c>
      <c r="L8968">
        <v>-61.667389999999997</v>
      </c>
      <c r="M8968">
        <v>0.99808300000000005</v>
      </c>
      <c r="N8968">
        <v>0</v>
      </c>
      <c r="O8968">
        <v>-6.170966E-2</v>
      </c>
      <c r="P8968">
        <v>0.99642799999999998</v>
      </c>
      <c r="Q8968">
        <v>-2.08892E-2</v>
      </c>
      <c r="R8968">
        <v>-8.1823759999999995E-2</v>
      </c>
      <c r="S8968">
        <v>3.0047609999999998</v>
      </c>
      <c r="T8968">
        <v>-0.109997499999999</v>
      </c>
      <c r="U8968">
        <v>-4.501343E-2</v>
      </c>
      <c r="V8968">
        <v>2.0178769999999999E-2</v>
      </c>
      <c r="W8968">
        <v>-1.6147709999999999E-2</v>
      </c>
      <c r="X8968">
        <v>0.99966600000000005</v>
      </c>
      <c r="Y8968">
        <v>-4.6680430000000002E-2</v>
      </c>
      <c r="Z8968">
        <v>3.1109530000000001E-3</v>
      </c>
      <c r="AA8968">
        <v>0.99890500000000004</v>
      </c>
      <c r="AB8968">
        <v>24</v>
      </c>
      <c r="AC8968">
        <v>30.171500000000002</v>
      </c>
      <c r="AD8968">
        <v>-1.10891691620399</v>
      </c>
      <c r="AE8968">
        <v>-0.44636999999999399</v>
      </c>
      <c r="AF8968">
        <v>-1.41446415229426</v>
      </c>
      <c r="AG8968">
        <v>-1.10891691620399</v>
      </c>
      <c r="AH8968">
        <v>30.1008891805809</v>
      </c>
      <c r="AI8968">
        <v>92.107499254943704</v>
      </c>
      <c r="AJ8968">
        <v>92.690394077881606</v>
      </c>
      <c r="AK8968">
        <v>30.154501074081399</v>
      </c>
      <c r="AL8968">
        <v>90.925235823928205</v>
      </c>
      <c r="AM8968">
        <v>88.843612398858099</v>
      </c>
      <c r="AN8968">
        <v>1.0000000214264699</v>
      </c>
    </row>
    <row r="8969" spans="1:40" x14ac:dyDescent="0.25">
      <c r="A8969" t="str">
        <f>"20190312154133215"</f>
        <v>20190312154133215</v>
      </c>
      <c r="B8969" t="str">
        <f>"1552376493205474"</f>
        <v>1552376493205474</v>
      </c>
      <c r="C8969" t="s">
        <v>40</v>
      </c>
      <c r="D8969">
        <v>4.2079469999999999</v>
      </c>
      <c r="E8969">
        <v>0.47514810000000002</v>
      </c>
      <c r="F8969" t="s">
        <v>99</v>
      </c>
      <c r="G8969">
        <v>-224.38200000000001</v>
      </c>
      <c r="H8969" s="1">
        <v>-1.389938E-6</v>
      </c>
      <c r="I8969">
        <v>-62.146619999999999</v>
      </c>
      <c r="J8969">
        <v>-255.68190000000001</v>
      </c>
      <c r="K8969">
        <v>1.1089260000000001</v>
      </c>
      <c r="L8969">
        <v>-61.6744699999999</v>
      </c>
      <c r="M8969">
        <v>0.99808430000000004</v>
      </c>
      <c r="N8969">
        <v>0</v>
      </c>
      <c r="O8969">
        <v>-6.1682189999999998E-2</v>
      </c>
      <c r="P8969">
        <v>0.9964345</v>
      </c>
      <c r="Q8969">
        <v>-2.0749610000000002E-2</v>
      </c>
      <c r="R8969">
        <v>-8.1780439999999996E-2</v>
      </c>
      <c r="S8969">
        <v>3.0047609999999998</v>
      </c>
      <c r="T8969">
        <v>-0.10606400000000001</v>
      </c>
      <c r="U8969">
        <v>-4.58374E-2</v>
      </c>
      <c r="V8969">
        <v>2.016254E-2</v>
      </c>
      <c r="W8969">
        <v>-1.592551E-2</v>
      </c>
      <c r="X8969">
        <v>0.99966980000000005</v>
      </c>
      <c r="Y8969">
        <v>-4.6384380000000003E-2</v>
      </c>
      <c r="Z8969">
        <v>2.9935750000000001E-3</v>
      </c>
      <c r="AA8969">
        <v>0.99891920000000001</v>
      </c>
      <c r="AB8969">
        <v>24</v>
      </c>
      <c r="AC8969">
        <v>31.299900000000001</v>
      </c>
      <c r="AD8969">
        <v>-1.1089273899379899</v>
      </c>
      <c r="AE8969">
        <v>-0.47215000000000601</v>
      </c>
      <c r="AF8969">
        <v>-1.4575885073217301</v>
      </c>
      <c r="AG8969">
        <v>-1.1089273899379899</v>
      </c>
      <c r="AH8969">
        <v>31.230230280737199</v>
      </c>
      <c r="AI8969">
        <v>92.031402718566099</v>
      </c>
      <c r="AJ8969">
        <v>92.672190009174599</v>
      </c>
      <c r="AK8969">
        <v>31.283886708666898</v>
      </c>
      <c r="AL8969">
        <v>90.912503148528401</v>
      </c>
      <c r="AM8969">
        <v>88.844546632488203</v>
      </c>
      <c r="AN8969">
        <v>0.99999992946002303</v>
      </c>
    </row>
    <row r="8970" spans="1:40" x14ac:dyDescent="0.25">
      <c r="A8970" t="str">
        <f>"20190312154133226"</f>
        <v>20190312154133226</v>
      </c>
      <c r="B8970" t="str">
        <f>"1552376493215234"</f>
        <v>1552376493215234</v>
      </c>
      <c r="C8970" t="s">
        <v>40</v>
      </c>
      <c r="D8970">
        <v>4.2923150000000003</v>
      </c>
      <c r="E8970">
        <v>0.47508600000000001</v>
      </c>
      <c r="F8970" t="s">
        <v>99</v>
      </c>
      <c r="G8970">
        <v>-223.29920000000001</v>
      </c>
      <c r="H8970" s="1">
        <v>-9.3143690000000001E-7</v>
      </c>
      <c r="I8970">
        <v>-62.173720000000003</v>
      </c>
      <c r="J8970">
        <v>-255.5607</v>
      </c>
      <c r="K8970">
        <v>1.1089370000000001</v>
      </c>
      <c r="L8970">
        <v>-61.681919999999998</v>
      </c>
      <c r="M8970">
        <v>0.99808560000000002</v>
      </c>
      <c r="N8970">
        <v>0</v>
      </c>
      <c r="O8970">
        <v>-6.1653060000000003E-2</v>
      </c>
      <c r="P8970">
        <v>0.99641329999999995</v>
      </c>
      <c r="Q8970">
        <v>-2.061168E-2</v>
      </c>
      <c r="R8970">
        <v>-8.2073649999999998E-2</v>
      </c>
      <c r="S8970">
        <v>3.0047760000000001</v>
      </c>
      <c r="T8970">
        <v>-0.1028968</v>
      </c>
      <c r="U8970">
        <v>-4.6325680000000001E-2</v>
      </c>
      <c r="V8970">
        <v>2.0485610000000001E-2</v>
      </c>
      <c r="W8970">
        <v>-1.5699959999999999E-2</v>
      </c>
      <c r="X8970">
        <v>0.99966690000000002</v>
      </c>
      <c r="Y8970">
        <v>-4.6197130000000003E-2</v>
      </c>
      <c r="Z8970">
        <v>2.900017E-3</v>
      </c>
      <c r="AA8970">
        <v>0.99892809999999999</v>
      </c>
      <c r="AB8970">
        <v>24</v>
      </c>
      <c r="AC8970">
        <v>32.261499999999899</v>
      </c>
      <c r="AD8970">
        <v>-1.1089379314368999</v>
      </c>
      <c r="AE8970">
        <v>-0.49179999999999702</v>
      </c>
      <c r="AF8970">
        <v>-1.4964120543384301</v>
      </c>
      <c r="AG8970">
        <v>-1.1089379314368999</v>
      </c>
      <c r="AH8970">
        <v>32.192419369437999</v>
      </c>
      <c r="AI8970">
        <v>91.970771391140701</v>
      </c>
      <c r="AJ8970">
        <v>92.661385046687599</v>
      </c>
      <c r="AK8970">
        <v>32.2462533828337</v>
      </c>
      <c r="AL8970">
        <v>90.899578378145193</v>
      </c>
      <c r="AM8970">
        <v>88.826034216820005</v>
      </c>
      <c r="AN8970">
        <v>1.00000002995834</v>
      </c>
    </row>
    <row r="8971" spans="1:40" x14ac:dyDescent="0.25">
      <c r="A8971" t="str">
        <f>"20190312154133237"</f>
        <v>20190312154133237</v>
      </c>
      <c r="B8971" t="str">
        <f>"1552376493224993"</f>
        <v>1552376493224993</v>
      </c>
      <c r="C8971" t="s">
        <v>40</v>
      </c>
      <c r="D8971">
        <v>4.251214</v>
      </c>
      <c r="E8971">
        <v>0.47514050000000002</v>
      </c>
      <c r="F8971" t="s">
        <v>99</v>
      </c>
      <c r="G8971">
        <v>-222.47049999999999</v>
      </c>
      <c r="H8971" s="1">
        <v>-5.8120499999999997E-7</v>
      </c>
      <c r="I8971">
        <v>-62.19744</v>
      </c>
      <c r="J8971">
        <v>-255.441</v>
      </c>
      <c r="K8971">
        <v>1.1089469999999999</v>
      </c>
      <c r="L8971">
        <v>-61.689300000000003</v>
      </c>
      <c r="M8971">
        <v>0.9980869</v>
      </c>
      <c r="N8971">
        <v>0</v>
      </c>
      <c r="O8971">
        <v>-6.1624409999999998E-2</v>
      </c>
      <c r="P8971">
        <v>0.99643219999999999</v>
      </c>
      <c r="Q8971">
        <v>-2.06439E-2</v>
      </c>
      <c r="R8971">
        <v>-8.1833900000000001E-2</v>
      </c>
      <c r="S8971">
        <v>3.0048680000000001</v>
      </c>
      <c r="T8971">
        <v>-0.1007007</v>
      </c>
      <c r="U8971">
        <v>-4.6813960000000002E-2</v>
      </c>
      <c r="V8971">
        <v>2.0273909999999999E-2</v>
      </c>
      <c r="W8971">
        <v>-1.5645490000000001E-2</v>
      </c>
      <c r="X8971">
        <v>0.99967209999999995</v>
      </c>
      <c r="Y8971">
        <v>-4.600945E-2</v>
      </c>
      <c r="Z8971">
        <v>2.8339649999999999E-3</v>
      </c>
      <c r="AA8971">
        <v>0.99893699999999996</v>
      </c>
      <c r="AB8971">
        <v>24</v>
      </c>
      <c r="AC8971">
        <v>32.970499999999902</v>
      </c>
      <c r="AD8971">
        <v>-1.10894758120499</v>
      </c>
      <c r="AE8971">
        <v>-0.50813999999999704</v>
      </c>
      <c r="AF8971">
        <v>-1.5229163303347499</v>
      </c>
      <c r="AG8971">
        <v>-1.10894758120499</v>
      </c>
      <c r="AH8971">
        <v>32.901936709607902</v>
      </c>
      <c r="AI8971">
        <v>91.928339240469697</v>
      </c>
      <c r="AJ8971">
        <v>92.650131051335606</v>
      </c>
      <c r="AK8971">
        <v>32.955826163670999</v>
      </c>
      <c r="AL8971">
        <v>90.896457066688697</v>
      </c>
      <c r="AM8971">
        <v>88.838168776114102</v>
      </c>
      <c r="AN8971">
        <v>1.00000006015121</v>
      </c>
    </row>
    <row r="8972" spans="1:40" x14ac:dyDescent="0.25">
      <c r="A8972" t="str">
        <f>"20190312154133249"</f>
        <v>20190312154133249</v>
      </c>
      <c r="B8972" t="str">
        <f>"1552376493234753"</f>
        <v>1552376493234753</v>
      </c>
      <c r="C8972" t="s">
        <v>40</v>
      </c>
      <c r="D8972">
        <v>4.2758710000000004</v>
      </c>
      <c r="E8972">
        <v>0.47525240000000002</v>
      </c>
      <c r="F8972" t="s">
        <v>99</v>
      </c>
      <c r="G8972">
        <v>-221.6497</v>
      </c>
      <c r="H8972" s="1">
        <v>-2.3248670000000001E-7</v>
      </c>
      <c r="I8972">
        <v>-62.212649999999996</v>
      </c>
      <c r="J8972">
        <v>-255.31389999999999</v>
      </c>
      <c r="K8972">
        <v>1.1089580000000001</v>
      </c>
      <c r="L8972">
        <v>-61.697139999999997</v>
      </c>
      <c r="M8972">
        <v>0.99808830000000004</v>
      </c>
      <c r="N8972">
        <v>0</v>
      </c>
      <c r="O8972">
        <v>-6.1594099999999999E-2</v>
      </c>
      <c r="P8972">
        <v>0.99643349999999997</v>
      </c>
      <c r="Q8972">
        <v>-2.057293E-2</v>
      </c>
      <c r="R8972">
        <v>-8.1835640000000001E-2</v>
      </c>
      <c r="S8972">
        <v>3.0048680000000001</v>
      </c>
      <c r="T8972">
        <v>-9.8612430000000001E-2</v>
      </c>
      <c r="U8972">
        <v>-4.653931E-2</v>
      </c>
      <c r="V8972">
        <v>2.030597E-2</v>
      </c>
      <c r="W8972">
        <v>-1.548478E-2</v>
      </c>
      <c r="X8972">
        <v>0.9996739</v>
      </c>
      <c r="Y8972">
        <v>-4.60729E-2</v>
      </c>
      <c r="Z8972">
        <v>2.7752789999999999E-3</v>
      </c>
      <c r="AA8972">
        <v>0.99893419999999999</v>
      </c>
      <c r="AB8972">
        <v>24</v>
      </c>
      <c r="AC8972">
        <v>33.664199999999902</v>
      </c>
      <c r="AD8972">
        <v>-1.10895823248669</v>
      </c>
      <c r="AE8972">
        <v>-0.51550999999999103</v>
      </c>
      <c r="AF8972">
        <v>-1.55732225292653</v>
      </c>
      <c r="AG8972">
        <v>-1.10895823248669</v>
      </c>
      <c r="AH8972">
        <v>33.595584229308997</v>
      </c>
      <c r="AI8972">
        <v>91.888566140324301</v>
      </c>
      <c r="AJ8972">
        <v>92.654044161370095</v>
      </c>
      <c r="AK8972">
        <v>33.649937899934599</v>
      </c>
      <c r="AL8972">
        <v>90.887247992632595</v>
      </c>
      <c r="AM8972">
        <v>88.836334122266393</v>
      </c>
      <c r="AN8972">
        <v>1.0000000085852401</v>
      </c>
    </row>
    <row r="8973" spans="1:40" x14ac:dyDescent="0.25">
      <c r="A8973" t="str">
        <f>"20190312154133261"</f>
        <v>20190312154133261</v>
      </c>
      <c r="B8973" t="str">
        <f>"1552376493255249"</f>
        <v>1552376493255249</v>
      </c>
      <c r="C8973" t="s">
        <v>40</v>
      </c>
      <c r="D8973">
        <v>4.2803930000000001</v>
      </c>
      <c r="E8973">
        <v>0.4754698</v>
      </c>
      <c r="F8973" t="s">
        <v>99</v>
      </c>
      <c r="G8973">
        <v>-220.642</v>
      </c>
      <c r="H8973" s="1">
        <v>1.92612E-7</v>
      </c>
      <c r="I8973">
        <v>-62.245049999999999</v>
      </c>
      <c r="J8973">
        <v>-255.19159999999999</v>
      </c>
      <c r="K8973">
        <v>1.1089709999999999</v>
      </c>
      <c r="L8973">
        <v>-61.704650000000001</v>
      </c>
      <c r="M8973">
        <v>0.99808969999999997</v>
      </c>
      <c r="N8973">
        <v>0</v>
      </c>
      <c r="O8973">
        <v>-6.1564969999999997E-2</v>
      </c>
      <c r="P8973">
        <v>0.99642220000000004</v>
      </c>
      <c r="Q8973">
        <v>-2.0570370000000001E-2</v>
      </c>
      <c r="R8973">
        <v>-8.197393E-2</v>
      </c>
      <c r="S8973">
        <v>3.0048680000000001</v>
      </c>
      <c r="T8973">
        <v>-9.6108789999999999E-2</v>
      </c>
      <c r="U8973">
        <v>-4.7485350000000003E-2</v>
      </c>
      <c r="V8973">
        <v>2.047382E-2</v>
      </c>
      <c r="W8973">
        <v>-1.5397279999999999E-2</v>
      </c>
      <c r="X8973">
        <v>0.9996718</v>
      </c>
      <c r="Y8973">
        <v>-4.5732429999999998E-2</v>
      </c>
      <c r="Z8973">
        <v>2.6984719999999999E-3</v>
      </c>
      <c r="AA8973">
        <v>0.99895009999999995</v>
      </c>
      <c r="AB8973">
        <v>24</v>
      </c>
      <c r="AC8973">
        <v>34.549599999999998</v>
      </c>
      <c r="AD8973">
        <v>-1.108970807388</v>
      </c>
      <c r="AE8973">
        <v>-0.54039999999999799</v>
      </c>
      <c r="AF8973">
        <v>-1.5860649265015501</v>
      </c>
      <c r="AG8973">
        <v>-1.108970807388</v>
      </c>
      <c r="AH8973">
        <v>34.481813364138098</v>
      </c>
      <c r="AI8973">
        <v>91.8401124184183</v>
      </c>
      <c r="AJ8973">
        <v>92.633585928714197</v>
      </c>
      <c r="AK8973">
        <v>34.536080713971799</v>
      </c>
      <c r="AL8973">
        <v>90.882234038869598</v>
      </c>
      <c r="AM8973">
        <v>88.826715425063796</v>
      </c>
      <c r="AN8973">
        <v>0.99999998062601503</v>
      </c>
    </row>
    <row r="8974" spans="1:40" x14ac:dyDescent="0.25">
      <c r="A8974" t="str">
        <f>"20190312154133271"</f>
        <v>20190312154133271</v>
      </c>
      <c r="B8974" t="str">
        <f>"1552376493265008"</f>
        <v>1552376493265008</v>
      </c>
      <c r="C8974" t="s">
        <v>40</v>
      </c>
      <c r="D8974">
        <v>4.2949789999999997</v>
      </c>
      <c r="E8974">
        <v>0.47554049999999998</v>
      </c>
      <c r="F8974" t="s">
        <v>100</v>
      </c>
      <c r="G8974">
        <v>-219.64779999999999</v>
      </c>
      <c r="H8974" s="1">
        <v>-3.4814930000000001E-6</v>
      </c>
      <c r="I8974">
        <v>-62.292650000000002</v>
      </c>
      <c r="J8974">
        <v>-255.0669</v>
      </c>
      <c r="K8974">
        <v>1.1089789999999999</v>
      </c>
      <c r="L8974">
        <v>-61.71228</v>
      </c>
      <c r="M8974">
        <v>0.99809110000000001</v>
      </c>
      <c r="N8974">
        <v>0</v>
      </c>
      <c r="O8974">
        <v>-6.1535020000000003E-2</v>
      </c>
      <c r="P8974">
        <v>0.99642770000000003</v>
      </c>
      <c r="Q8974">
        <v>-2.044441E-2</v>
      </c>
      <c r="R8974">
        <v>-8.1940230000000003E-2</v>
      </c>
      <c r="S8974">
        <v>3.0047450000000002</v>
      </c>
      <c r="T8974">
        <v>-9.3748570000000003E-2</v>
      </c>
      <c r="U8974">
        <v>-4.9713130000000001E-2</v>
      </c>
      <c r="V8974">
        <v>2.046955E-2</v>
      </c>
      <c r="W8974">
        <v>-1.518824E-2</v>
      </c>
      <c r="X8974">
        <v>0.99967510000000004</v>
      </c>
      <c r="Y8974">
        <v>-4.4964410000000003E-2</v>
      </c>
      <c r="Z8974">
        <v>2.6194059999999999E-3</v>
      </c>
      <c r="AA8974">
        <v>0.99898520000000002</v>
      </c>
      <c r="AB8974">
        <v>24</v>
      </c>
      <c r="AC8974">
        <v>35.4191</v>
      </c>
      <c r="AD8974">
        <v>-1.108982481493</v>
      </c>
      <c r="AE8974">
        <v>-0.58036999999999495</v>
      </c>
      <c r="AF8974">
        <v>-1.5987081288584499</v>
      </c>
      <c r="AG8974">
        <v>-1.108982481493</v>
      </c>
      <c r="AH8974">
        <v>35.353041360781901</v>
      </c>
      <c r="AI8974">
        <v>91.794877589642795</v>
      </c>
      <c r="AJ8974">
        <v>92.589221818417201</v>
      </c>
      <c r="AK8974">
        <v>35.4065423796605</v>
      </c>
      <c r="AL8974">
        <v>90.870255515283901</v>
      </c>
      <c r="AM8974">
        <v>88.826963926982202</v>
      </c>
      <c r="AN8974">
        <v>0.99999999533575501</v>
      </c>
    </row>
    <row r="8975" spans="1:40" x14ac:dyDescent="0.25">
      <c r="A8975" t="str">
        <f>"20190312154133283"</f>
        <v>20190312154133283</v>
      </c>
      <c r="B8975" t="str">
        <f>"1552376493274769"</f>
        <v>1552376493274769</v>
      </c>
      <c r="C8975" t="s">
        <v>40</v>
      </c>
      <c r="D8975">
        <v>4.2792649999999997</v>
      </c>
      <c r="E8975">
        <v>0.4756493</v>
      </c>
      <c r="F8975" t="s">
        <v>100</v>
      </c>
      <c r="G8975">
        <v>-218.9127</v>
      </c>
      <c r="H8975" s="1">
        <v>-3.2355979999999999E-6</v>
      </c>
      <c r="I8975">
        <v>-62.316619999999901</v>
      </c>
      <c r="J8975">
        <v>-254.94229999999999</v>
      </c>
      <c r="K8975">
        <v>1.1089910000000001</v>
      </c>
      <c r="L8975">
        <v>-61.719940000000001</v>
      </c>
      <c r="M8975">
        <v>0.99809250000000005</v>
      </c>
      <c r="N8975">
        <v>0</v>
      </c>
      <c r="O8975">
        <v>-6.1505169999999998E-2</v>
      </c>
      <c r="P8975">
        <v>0.9964385</v>
      </c>
      <c r="Q8975">
        <v>-2.0520429999999999E-2</v>
      </c>
      <c r="R8975">
        <v>-8.1788899999999901E-2</v>
      </c>
      <c r="S8975">
        <v>3.0047450000000002</v>
      </c>
      <c r="T8975">
        <v>-9.2166540000000005E-2</v>
      </c>
      <c r="U8975">
        <v>-5.0231930000000001E-2</v>
      </c>
      <c r="V8975">
        <v>2.0347870000000001E-2</v>
      </c>
      <c r="W8975">
        <v>-1.5184309999999999E-2</v>
      </c>
      <c r="X8975">
        <v>0.9996777</v>
      </c>
      <c r="Y8975">
        <v>-4.476397E-2</v>
      </c>
      <c r="Z8975">
        <v>2.5712320000000001E-3</v>
      </c>
      <c r="AA8975">
        <v>0.9989943</v>
      </c>
      <c r="AB8975">
        <v>24</v>
      </c>
      <c r="AC8975">
        <v>36.029599999999903</v>
      </c>
      <c r="AD8975">
        <v>-1.108994235598</v>
      </c>
      <c r="AE8975">
        <v>-0.59667999999999199</v>
      </c>
      <c r="AF8975">
        <v>-1.61895451314368</v>
      </c>
      <c r="AG8975">
        <v>-1.108994235598</v>
      </c>
      <c r="AH8975">
        <v>35.964021511135002</v>
      </c>
      <c r="AI8975">
        <v>91.7644394720988</v>
      </c>
      <c r="AJ8975">
        <v>92.577483721672195</v>
      </c>
      <c r="AK8975">
        <v>36.017519697830402</v>
      </c>
      <c r="AL8975">
        <v>90.870030268048495</v>
      </c>
      <c r="AM8975">
        <v>88.833938069728603</v>
      </c>
      <c r="AN8975">
        <v>1.0000000514805001</v>
      </c>
    </row>
    <row r="8976" spans="1:40" x14ac:dyDescent="0.25">
      <c r="A8976" t="str">
        <f>"20190312154133294"</f>
        <v>20190312154133294</v>
      </c>
      <c r="B8976" t="str">
        <f>"1552376493285505"</f>
        <v>1552376493285505</v>
      </c>
      <c r="C8976" t="s">
        <v>40</v>
      </c>
      <c r="D8976">
        <v>4.3077690000000004</v>
      </c>
      <c r="E8976">
        <v>0.47572370000000003</v>
      </c>
      <c r="F8976" t="s">
        <v>100</v>
      </c>
      <c r="G8976">
        <v>-218.5444</v>
      </c>
      <c r="H8976" s="1">
        <v>-3.1133520000000001E-6</v>
      </c>
      <c r="I8976">
        <v>-62.3339199999999</v>
      </c>
      <c r="J8976">
        <v>-254.82140000000001</v>
      </c>
      <c r="K8976">
        <v>1.109002</v>
      </c>
      <c r="L8976">
        <v>-61.727359999999997</v>
      </c>
      <c r="M8976">
        <v>0.99809389999999998</v>
      </c>
      <c r="N8976">
        <v>0</v>
      </c>
      <c r="O8976">
        <v>-6.147627E-2</v>
      </c>
      <c r="P8976">
        <v>0.99646440000000003</v>
      </c>
      <c r="Q8976">
        <v>-2.0367369999999999E-2</v>
      </c>
      <c r="R8976">
        <v>-8.1509769999999995E-2</v>
      </c>
      <c r="S8976">
        <v>3.0046689999999998</v>
      </c>
      <c r="T8976">
        <v>-9.1548199999999996E-2</v>
      </c>
      <c r="U8976">
        <v>-5.0689699999999997E-2</v>
      </c>
      <c r="V8976">
        <v>2.0096619999999999E-2</v>
      </c>
      <c r="W8976">
        <v>-1.4956280000000001E-2</v>
      </c>
      <c r="X8976">
        <v>0.99968619999999997</v>
      </c>
      <c r="Y8976">
        <v>-4.4583249999999998E-2</v>
      </c>
      <c r="Z8976">
        <v>2.5504189999999999E-3</v>
      </c>
      <c r="AA8976">
        <v>0.99900239999999996</v>
      </c>
      <c r="AB8976">
        <v>25</v>
      </c>
      <c r="AC8976">
        <v>36.277000000000001</v>
      </c>
      <c r="AD8976">
        <v>-1.109005113352</v>
      </c>
      <c r="AE8976">
        <v>-0.60655999999999399</v>
      </c>
      <c r="AF8976">
        <v>-1.6232779446376999</v>
      </c>
      <c r="AG8976">
        <v>-1.109005113352</v>
      </c>
      <c r="AH8976">
        <v>36.211838823985403</v>
      </c>
      <c r="AI8976">
        <v>91.752403998783393</v>
      </c>
      <c r="AJ8976">
        <v>92.566695162204596</v>
      </c>
      <c r="AK8976">
        <v>36.265165029836602</v>
      </c>
      <c r="AL8976">
        <v>90.856963645358505</v>
      </c>
      <c r="AM8976">
        <v>88.848342174856199</v>
      </c>
      <c r="AN8976">
        <v>1.0000000314586499</v>
      </c>
    </row>
    <row r="8977" spans="1:40" x14ac:dyDescent="0.25">
      <c r="A8977" t="str">
        <f>"20190312154133305"</f>
        <v>20190312154133305</v>
      </c>
      <c r="B8977" t="str">
        <f>"1552376493295264"</f>
        <v>1552376493295264</v>
      </c>
      <c r="C8977" t="s">
        <v>40</v>
      </c>
      <c r="D8977">
        <v>4.3222990000000001</v>
      </c>
      <c r="E8977">
        <v>0.47582160000000001</v>
      </c>
      <c r="F8977" t="s">
        <v>100</v>
      </c>
      <c r="G8977">
        <v>-217.9658</v>
      </c>
      <c r="H8977" s="1">
        <v>-2.9085850000000002E-6</v>
      </c>
      <c r="I8977">
        <v>-62.346440000000001</v>
      </c>
      <c r="J8977">
        <v>-254.70310000000001</v>
      </c>
      <c r="K8977">
        <v>1.1090139999999999</v>
      </c>
      <c r="L8977">
        <v>-61.7346199999999</v>
      </c>
      <c r="M8977">
        <v>0.99809530000000002</v>
      </c>
      <c r="N8977">
        <v>0</v>
      </c>
      <c r="O8977">
        <v>-6.144807E-2</v>
      </c>
      <c r="P8977">
        <v>0.99647569999999996</v>
      </c>
      <c r="Q8977">
        <v>-1.999134E-2</v>
      </c>
      <c r="R8977">
        <v>-8.1465319999999994E-2</v>
      </c>
      <c r="S8977">
        <v>3.0046689999999998</v>
      </c>
      <c r="T8977">
        <v>-9.0412140000000002E-2</v>
      </c>
      <c r="U8977">
        <v>-5.0476069999999998E-2</v>
      </c>
      <c r="V8977">
        <v>2.007987E-2</v>
      </c>
      <c r="W8977">
        <v>-1.4511100000000001E-2</v>
      </c>
      <c r="X8977">
        <v>0.9996931</v>
      </c>
      <c r="Y8977">
        <v>-4.4627260000000002E-2</v>
      </c>
      <c r="Z8977">
        <v>2.518602E-3</v>
      </c>
      <c r="AA8977">
        <v>0.99900049999999996</v>
      </c>
      <c r="AB8977">
        <v>25</v>
      </c>
      <c r="AC8977">
        <v>36.737299999999998</v>
      </c>
      <c r="AD8977">
        <v>-1.1090169085849999</v>
      </c>
      <c r="AE8977">
        <v>-0.61182000000000802</v>
      </c>
      <c r="AF8977">
        <v>-1.64530718669882</v>
      </c>
      <c r="AG8977">
        <v>-1.1090169085849999</v>
      </c>
      <c r="AH8977">
        <v>36.672060478294803</v>
      </c>
      <c r="AI8977">
        <v>91.730440832461895</v>
      </c>
      <c r="AJ8977">
        <v>92.568876174981497</v>
      </c>
      <c r="AK8977">
        <v>36.7256990943105</v>
      </c>
      <c r="AL8977">
        <v>90.831453939972903</v>
      </c>
      <c r="AM8977">
        <v>88.849309733047306</v>
      </c>
      <c r="AN8977">
        <v>1.0000000336950099</v>
      </c>
    </row>
    <row r="8978" spans="1:40" x14ac:dyDescent="0.25">
      <c r="A8978" t="str">
        <f>"20190312154133315"</f>
        <v>20190312154133315</v>
      </c>
      <c r="B8978" t="str">
        <f>"1552376493305509"</f>
        <v>1552376493305509</v>
      </c>
      <c r="C8978" t="s">
        <v>40</v>
      </c>
      <c r="D8978">
        <v>4.3120099999999999</v>
      </c>
      <c r="E8978">
        <v>0.47590179999999999</v>
      </c>
      <c r="F8978" t="s">
        <v>100</v>
      </c>
      <c r="G8978">
        <v>-217.13489999999999</v>
      </c>
      <c r="H8978" s="1">
        <v>-2.559292E-6</v>
      </c>
      <c r="I8978">
        <v>-62.373309999999996</v>
      </c>
      <c r="J8978">
        <v>-254.5806</v>
      </c>
      <c r="K8978">
        <v>1.1090230000000001</v>
      </c>
      <c r="L8978">
        <v>-61.742159999999998</v>
      </c>
      <c r="M8978">
        <v>0.99809680000000001</v>
      </c>
      <c r="N8978">
        <v>0</v>
      </c>
      <c r="O8978">
        <v>-6.1418920000000002E-2</v>
      </c>
      <c r="P8978">
        <v>0.9964923</v>
      </c>
      <c r="Q8978">
        <v>-1.9796569999999999E-2</v>
      </c>
      <c r="R8978">
        <v>-8.1312060000000005E-2</v>
      </c>
      <c r="S8978">
        <v>3.0046390000000001</v>
      </c>
      <c r="T8978">
        <v>-8.8697200000000004E-2</v>
      </c>
      <c r="U8978">
        <v>-5.1086430000000002E-2</v>
      </c>
      <c r="V8978">
        <v>1.9954960000000001E-2</v>
      </c>
      <c r="W8978">
        <v>-1.4246419999999999E-2</v>
      </c>
      <c r="X8978">
        <v>0.99969940000000002</v>
      </c>
      <c r="Y8978">
        <v>-4.4396980000000003E-2</v>
      </c>
      <c r="Z8978">
        <v>2.466612E-3</v>
      </c>
      <c r="AA8978">
        <v>0.99901090000000003</v>
      </c>
      <c r="AB8978">
        <v>25</v>
      </c>
      <c r="AC8978">
        <v>37.445700000000002</v>
      </c>
      <c r="AD8978">
        <v>-1.109025559292</v>
      </c>
      <c r="AE8978">
        <v>-0.63114999999999799</v>
      </c>
      <c r="AF8978">
        <v>-1.6684880027723901</v>
      </c>
      <c r="AG8978">
        <v>-1.109025559292</v>
      </c>
      <c r="AH8978">
        <v>37.380988524594102</v>
      </c>
      <c r="AI8978">
        <v>91.6976732416055</v>
      </c>
      <c r="AJ8978">
        <v>92.555681793753706</v>
      </c>
      <c r="AK8978">
        <v>37.434637609871302</v>
      </c>
      <c r="AL8978">
        <v>90.816287332176998</v>
      </c>
      <c r="AM8978">
        <v>88.856473081270295</v>
      </c>
      <c r="AN8978">
        <v>1.0000000256358801</v>
      </c>
    </row>
    <row r="8979" spans="1:40" x14ac:dyDescent="0.25">
      <c r="A8979" t="str">
        <f>"20190312154133326"</f>
        <v>20190312154133326</v>
      </c>
      <c r="B8979" t="str">
        <f>"1552376493315269"</f>
        <v>1552376493315269</v>
      </c>
      <c r="C8979" t="s">
        <v>40</v>
      </c>
      <c r="D8979">
        <v>4.3040019999999997</v>
      </c>
      <c r="E8979">
        <v>0.47599419999999998</v>
      </c>
      <c r="F8979" t="s">
        <v>100</v>
      </c>
      <c r="G8979">
        <v>-216.5592</v>
      </c>
      <c r="H8979" s="1">
        <v>-2.3171600000000002E-6</v>
      </c>
      <c r="I8979">
        <v>-62.391649999999998</v>
      </c>
      <c r="J8979">
        <v>-254.46180000000001</v>
      </c>
      <c r="K8979">
        <v>1.109027</v>
      </c>
      <c r="L8979">
        <v>-61.749419999999901</v>
      </c>
      <c r="M8979">
        <v>0.99809809999999999</v>
      </c>
      <c r="N8979">
        <v>0</v>
      </c>
      <c r="O8979">
        <v>-6.1390590000000002E-2</v>
      </c>
      <c r="P8979">
        <v>0.99650539999999999</v>
      </c>
      <c r="Q8979">
        <v>-1.93808E-2</v>
      </c>
      <c r="R8979">
        <v>-8.1250989999999995E-2</v>
      </c>
      <c r="S8979">
        <v>3.0046390000000001</v>
      </c>
      <c r="T8979">
        <v>-8.764052E-2</v>
      </c>
      <c r="U8979">
        <v>-5.1330569999999999E-2</v>
      </c>
      <c r="V8979">
        <v>1.9921359999999999E-2</v>
      </c>
      <c r="W8979">
        <v>-1.376789E-2</v>
      </c>
      <c r="X8979">
        <v>0.99970669999999995</v>
      </c>
      <c r="Y8979">
        <v>-4.4288649999999999E-2</v>
      </c>
      <c r="Z8979">
        <v>2.434833E-3</v>
      </c>
      <c r="AA8979">
        <v>0.99901580000000001</v>
      </c>
      <c r="AB8979">
        <v>25</v>
      </c>
      <c r="AC8979">
        <v>37.9026</v>
      </c>
      <c r="AD8979">
        <v>-1.1090293171600001</v>
      </c>
      <c r="AE8979">
        <v>-0.64223000000000496</v>
      </c>
      <c r="AF8979">
        <v>-1.6844391713073401</v>
      </c>
      <c r="AG8979">
        <v>-1.1090293171600001</v>
      </c>
      <c r="AH8979">
        <v>37.8381483861615</v>
      </c>
      <c r="AI8979">
        <v>91.677188226646095</v>
      </c>
      <c r="AJ8979">
        <v>92.548950758662301</v>
      </c>
      <c r="AK8979">
        <v>37.891856046403099</v>
      </c>
      <c r="AL8979">
        <v>90.788866952281893</v>
      </c>
      <c r="AM8979">
        <v>88.858406366579004</v>
      </c>
      <c r="AN8979">
        <v>0.99999995070209402</v>
      </c>
    </row>
    <row r="8980" spans="1:40" x14ac:dyDescent="0.25">
      <c r="A8980" t="str">
        <f>"20190312154133338"</f>
        <v>20190312154133338</v>
      </c>
      <c r="B8980" t="str">
        <f>"1552376493325029"</f>
        <v>1552376493325029</v>
      </c>
      <c r="C8980" t="s">
        <v>40</v>
      </c>
      <c r="D8980">
        <v>4.3470589999999998</v>
      </c>
      <c r="E8980">
        <v>0.4760277</v>
      </c>
      <c r="F8980" t="s">
        <v>100</v>
      </c>
      <c r="G8980">
        <v>-215.8252</v>
      </c>
      <c r="H8980" s="1">
        <v>-2.0090000000000002E-6</v>
      </c>
      <c r="I8980">
        <v>-62.416879999999999</v>
      </c>
      <c r="J8980">
        <v>-254.33600000000001</v>
      </c>
      <c r="K8980">
        <v>1.1090310000000001</v>
      </c>
      <c r="L8980">
        <v>-61.757109999999997</v>
      </c>
      <c r="M8980">
        <v>0.99809959999999998</v>
      </c>
      <c r="N8980">
        <v>0</v>
      </c>
      <c r="O8980">
        <v>-6.1360489999999997E-2</v>
      </c>
      <c r="P8980">
        <v>0.99650680000000003</v>
      </c>
      <c r="Q8980">
        <v>-1.9551829999999999E-2</v>
      </c>
      <c r="R8980">
        <v>-8.1194100000000005E-2</v>
      </c>
      <c r="S8980">
        <v>3.0046390000000001</v>
      </c>
      <c r="T8980">
        <v>-8.6245299999999997E-2</v>
      </c>
      <c r="U8980">
        <v>-5.1910400000000002E-2</v>
      </c>
      <c r="V8980">
        <v>1.9894680000000001E-2</v>
      </c>
      <c r="W8980">
        <v>-1.38736E-2</v>
      </c>
      <c r="X8980">
        <v>0.99970579999999998</v>
      </c>
      <c r="Y8980">
        <v>-4.4067309999999998E-2</v>
      </c>
      <c r="Z8980">
        <v>2.3920429999999999E-3</v>
      </c>
      <c r="AA8980">
        <v>0.99902570000000002</v>
      </c>
      <c r="AB8980">
        <v>25</v>
      </c>
      <c r="AC8980">
        <v>38.510799999999897</v>
      </c>
      <c r="AD8980">
        <v>-1.10903300899999</v>
      </c>
      <c r="AE8980">
        <v>-0.65977000000000796</v>
      </c>
      <c r="AF8980">
        <v>-1.7031406855778399</v>
      </c>
      <c r="AG8980">
        <v>-1.10903300899999</v>
      </c>
      <c r="AH8980">
        <v>38.446839561670302</v>
      </c>
      <c r="AI8980">
        <v>91.650671213541301</v>
      </c>
      <c r="AJ8980">
        <v>92.536463812412904</v>
      </c>
      <c r="AK8980">
        <v>38.500520966484899</v>
      </c>
      <c r="AL8980">
        <v>90.794924244040203</v>
      </c>
      <c r="AM8980">
        <v>88.859933834229295</v>
      </c>
      <c r="AN8980">
        <v>0.99999998081145003</v>
      </c>
    </row>
    <row r="8981" spans="1:40" x14ac:dyDescent="0.25">
      <c r="A8981" t="str">
        <f>"20190312154133349"</f>
        <v>20190312154133349</v>
      </c>
      <c r="B8981" t="str">
        <f>"1552376493334790"</f>
        <v>1552376493334790</v>
      </c>
      <c r="C8981" t="s">
        <v>40</v>
      </c>
      <c r="D8981">
        <v>4.3353679999999999</v>
      </c>
      <c r="E8981">
        <v>0.47610010000000003</v>
      </c>
      <c r="F8981" t="s">
        <v>100</v>
      </c>
      <c r="G8981">
        <v>-215.6893</v>
      </c>
      <c r="H8981" s="1">
        <v>-1.9529169999999998E-6</v>
      </c>
      <c r="I8981">
        <v>-62.425139999999999</v>
      </c>
      <c r="J8981">
        <v>-254.21119999999999</v>
      </c>
      <c r="K8981">
        <v>1.109038</v>
      </c>
      <c r="L8981">
        <v>-61.764769999999999</v>
      </c>
      <c r="M8981">
        <v>0.99810109999999996</v>
      </c>
      <c r="N8981">
        <v>0</v>
      </c>
      <c r="O8981">
        <v>-6.1330599999999999E-2</v>
      </c>
      <c r="P8981">
        <v>0.99651380000000001</v>
      </c>
      <c r="Q8981">
        <v>-1.956016E-2</v>
      </c>
      <c r="R8981">
        <v>-8.1103830000000002E-2</v>
      </c>
      <c r="S8981">
        <v>3.0045929999999998</v>
      </c>
      <c r="T8981">
        <v>-8.6221930000000002E-2</v>
      </c>
      <c r="U8981">
        <v>-5.1940920000000002E-2</v>
      </c>
      <c r="V8981">
        <v>1.9834190000000002E-2</v>
      </c>
      <c r="W8981">
        <v>-1.382247E-2</v>
      </c>
      <c r="X8981">
        <v>0.99970780000000004</v>
      </c>
      <c r="Y8981">
        <v>-4.4027070000000001E-2</v>
      </c>
      <c r="Z8981">
        <v>2.3899989999999999E-3</v>
      </c>
      <c r="AA8981">
        <v>0.99902749999999996</v>
      </c>
      <c r="AB8981">
        <v>25</v>
      </c>
      <c r="AC8981">
        <v>38.521899999999903</v>
      </c>
      <c r="AD8981">
        <v>-1.1090399529170001</v>
      </c>
      <c r="AE8981">
        <v>-0.66037000000000001</v>
      </c>
      <c r="AF8981">
        <v>-1.70207275450954</v>
      </c>
      <c r="AG8981">
        <v>-1.1090399529170001</v>
      </c>
      <c r="AH8981">
        <v>38.458015177337202</v>
      </c>
      <c r="AI8981">
        <v>91.650205094598405</v>
      </c>
      <c r="AJ8981">
        <v>92.534139777000306</v>
      </c>
      <c r="AK8981">
        <v>38.5116339910306</v>
      </c>
      <c r="AL8981">
        <v>90.791994358744205</v>
      </c>
      <c r="AM8981">
        <v>88.863401580879</v>
      </c>
      <c r="AN8981">
        <v>1.00000007057534</v>
      </c>
    </row>
    <row r="8982" spans="1:40" x14ac:dyDescent="0.25">
      <c r="A8982" t="str">
        <f>"20190312154133362"</f>
        <v>20190312154133362</v>
      </c>
      <c r="B8982" t="str">
        <f>"1552376493355285"</f>
        <v>1552376493355285</v>
      </c>
      <c r="C8982" t="s">
        <v>40</v>
      </c>
      <c r="D8982">
        <v>4.3483900000000002</v>
      </c>
      <c r="E8982">
        <v>0.47623919999999997</v>
      </c>
      <c r="F8982" t="s">
        <v>100</v>
      </c>
      <c r="G8982">
        <v>-215.61490000000001</v>
      </c>
      <c r="H8982" s="1">
        <v>-1.9239509999999998E-6</v>
      </c>
      <c r="I8982">
        <v>-62.436250000000001</v>
      </c>
      <c r="J8982">
        <v>-254.07830000000001</v>
      </c>
      <c r="K8982">
        <v>1.109046</v>
      </c>
      <c r="L8982">
        <v>-61.7729199999999</v>
      </c>
      <c r="M8982">
        <v>0.99810270000000001</v>
      </c>
      <c r="N8982">
        <v>0</v>
      </c>
      <c r="O8982">
        <v>-6.1299060000000002E-2</v>
      </c>
      <c r="P8982">
        <v>0.99651420000000002</v>
      </c>
      <c r="Q8982">
        <v>-1.9446680000000001E-2</v>
      </c>
      <c r="R8982">
        <v>-8.1128980000000003E-2</v>
      </c>
      <c r="S8982">
        <v>3.0045470000000001</v>
      </c>
      <c r="T8982">
        <v>-8.6333750000000001E-2</v>
      </c>
      <c r="U8982">
        <v>-5.2276610000000001E-2</v>
      </c>
      <c r="V8982">
        <v>1.9890600000000001E-2</v>
      </c>
      <c r="W8982">
        <v>-1.3647629999999999E-2</v>
      </c>
      <c r="X8982">
        <v>0.99970899999999996</v>
      </c>
      <c r="Y8982">
        <v>-4.388363E-2</v>
      </c>
      <c r="Z8982">
        <v>2.3901650000000001E-3</v>
      </c>
      <c r="AA8982">
        <v>0.99903379999999997</v>
      </c>
      <c r="AB8982">
        <v>25</v>
      </c>
      <c r="AC8982">
        <v>38.4634</v>
      </c>
      <c r="AD8982">
        <v>-1.109047923951</v>
      </c>
      <c r="AE8982">
        <v>-0.66333000000000897</v>
      </c>
      <c r="AF8982">
        <v>-1.69431891835194</v>
      </c>
      <c r="AG8982">
        <v>-1.109047923951</v>
      </c>
      <c r="AH8982">
        <v>38.399811438991698</v>
      </c>
      <c r="AI8982">
        <v>91.652726668813798</v>
      </c>
      <c r="AJ8982">
        <v>92.526429030365193</v>
      </c>
      <c r="AK8982">
        <v>38.453169211975499</v>
      </c>
      <c r="AL8982">
        <v>90.781975883913702</v>
      </c>
      <c r="AM8982">
        <v>88.860171224816497</v>
      </c>
      <c r="AN8982">
        <v>0.99999998922698796</v>
      </c>
    </row>
    <row r="8983" spans="1:40" x14ac:dyDescent="0.25">
      <c r="A8983" t="str">
        <f>"20190312154133372"</f>
        <v>20190312154133372</v>
      </c>
      <c r="B8983" t="str">
        <f>"1552376493365045"</f>
        <v>1552376493365045</v>
      </c>
      <c r="C8983" t="s">
        <v>40</v>
      </c>
      <c r="D8983">
        <v>4.3409319999999996</v>
      </c>
      <c r="E8983">
        <v>0.47630850000000002</v>
      </c>
      <c r="F8983" t="s">
        <v>100</v>
      </c>
      <c r="G8983">
        <v>-215.57830000000001</v>
      </c>
      <c r="H8983" s="1">
        <v>-1.9139180000000001E-6</v>
      </c>
      <c r="I8983">
        <v>-62.457599999999999</v>
      </c>
      <c r="J8983">
        <v>-253.9494</v>
      </c>
      <c r="K8983">
        <v>1.109056</v>
      </c>
      <c r="L8983">
        <v>-61.780790000000003</v>
      </c>
      <c r="M8983">
        <v>0.9981042</v>
      </c>
      <c r="N8983">
        <v>0</v>
      </c>
      <c r="O8983">
        <v>-6.1268209999999997E-2</v>
      </c>
      <c r="P8983">
        <v>0.996502</v>
      </c>
      <c r="Q8983">
        <v>-1.9353459999999999E-2</v>
      </c>
      <c r="R8983">
        <v>-8.1297739999999993E-2</v>
      </c>
      <c r="S8983">
        <v>3.0044710000000001</v>
      </c>
      <c r="T8983">
        <v>-8.6548089999999994E-2</v>
      </c>
      <c r="U8983">
        <v>-5.3436280000000003E-2</v>
      </c>
      <c r="V8983">
        <v>2.009085E-2</v>
      </c>
      <c r="W8983">
        <v>-1.3498690000000001E-2</v>
      </c>
      <c r="X8983">
        <v>0.99970700000000001</v>
      </c>
      <c r="Y8983">
        <v>-4.3466810000000002E-2</v>
      </c>
      <c r="Z8983">
        <v>2.3892560000000002E-3</v>
      </c>
      <c r="AA8983">
        <v>0.99905200000000005</v>
      </c>
      <c r="AB8983">
        <v>25</v>
      </c>
      <c r="AC8983">
        <v>38.371099999999899</v>
      </c>
      <c r="AD8983">
        <v>-1.1090579139179999</v>
      </c>
      <c r="AE8983">
        <v>-0.67680999999999603</v>
      </c>
      <c r="AF8983">
        <v>-1.6740323003419399</v>
      </c>
      <c r="AG8983">
        <v>-1.1090579139179999</v>
      </c>
      <c r="AH8983">
        <v>38.308485512121798</v>
      </c>
      <c r="AI8983">
        <v>91.656710220931302</v>
      </c>
      <c r="AJ8983">
        <v>92.5021611198692</v>
      </c>
      <c r="AK8983">
        <v>38.361079961745801</v>
      </c>
      <c r="AL8983">
        <v>90.773441478040297</v>
      </c>
      <c r="AM8983">
        <v>88.848696689902994</v>
      </c>
      <c r="AN8983">
        <v>0.99999997136721797</v>
      </c>
    </row>
    <row r="8984" spans="1:40" x14ac:dyDescent="0.25">
      <c r="A8984" t="str">
        <f>"20190312154133383"</f>
        <v>20190312154133383</v>
      </c>
      <c r="B8984" t="str">
        <f>"1552376493374805"</f>
        <v>1552376493374805</v>
      </c>
      <c r="C8984" t="s">
        <v>40</v>
      </c>
      <c r="D8984">
        <v>4.3670939999999998</v>
      </c>
      <c r="E8984">
        <v>0.47636469999999997</v>
      </c>
      <c r="F8984" t="s">
        <v>100</v>
      </c>
      <c r="G8984">
        <v>-215.39779999999999</v>
      </c>
      <c r="H8984" s="1">
        <v>-1.8425900000000001E-6</v>
      </c>
      <c r="I8984">
        <v>-62.480519999999999</v>
      </c>
      <c r="J8984">
        <v>-253.8321</v>
      </c>
      <c r="K8984">
        <v>1.109062</v>
      </c>
      <c r="L8984">
        <v>-61.787930000000003</v>
      </c>
      <c r="M8984">
        <v>0.99810560000000004</v>
      </c>
      <c r="N8984">
        <v>0</v>
      </c>
      <c r="O8984">
        <v>-6.1240450000000002E-2</v>
      </c>
      <c r="P8984">
        <v>0.99651239999999996</v>
      </c>
      <c r="Q8984">
        <v>-1.952166E-2</v>
      </c>
      <c r="R8984">
        <v>-8.1129889999999996E-2</v>
      </c>
      <c r="S8984">
        <v>3.0043950000000001</v>
      </c>
      <c r="T8984">
        <v>-8.6430789999999993E-2</v>
      </c>
      <c r="U8984">
        <v>-5.4534909999999999E-2</v>
      </c>
      <c r="V8984">
        <v>1.995071E-2</v>
      </c>
      <c r="W8984">
        <v>-1.361882E-2</v>
      </c>
      <c r="X8984">
        <v>0.99970820000000005</v>
      </c>
      <c r="Y8984">
        <v>-4.307366E-2</v>
      </c>
      <c r="Z8984">
        <v>2.3796170000000001E-3</v>
      </c>
      <c r="AA8984">
        <v>0.99906910000000004</v>
      </c>
      <c r="AB8984">
        <v>25</v>
      </c>
      <c r="AC8984">
        <v>38.4343</v>
      </c>
      <c r="AD8984">
        <v>-1.1090638425899999</v>
      </c>
      <c r="AE8984">
        <v>-0.69258999999999504</v>
      </c>
      <c r="AF8984">
        <v>-1.66110210484879</v>
      </c>
      <c r="AG8984">
        <v>-1.1090638425899999</v>
      </c>
      <c r="AH8984">
        <v>38.372631655947103</v>
      </c>
      <c r="AI8984">
        <v>91.653980557469495</v>
      </c>
      <c r="AJ8984">
        <v>92.4787134276323</v>
      </c>
      <c r="AK8984">
        <v>38.424577330306001</v>
      </c>
      <c r="AL8984">
        <v>90.7803250352475</v>
      </c>
      <c r="AM8984">
        <v>88.856726625720398</v>
      </c>
      <c r="AN8984">
        <v>0.99999999411746798</v>
      </c>
    </row>
    <row r="8985" spans="1:40" x14ac:dyDescent="0.25">
      <c r="A8985" t="str">
        <f>"20190312154133394"</f>
        <v>20190312154133394</v>
      </c>
      <c r="B8985" t="str">
        <f>"1552376493385541"</f>
        <v>1552376493385541</v>
      </c>
      <c r="C8985" t="s">
        <v>40</v>
      </c>
      <c r="D8985">
        <v>4.3895369999999998</v>
      </c>
      <c r="E8985">
        <v>0.4763696</v>
      </c>
      <c r="F8985" t="s">
        <v>100</v>
      </c>
      <c r="G8985">
        <v>-215.73269999999999</v>
      </c>
      <c r="H8985" s="1">
        <v>-1.9856679999999999E-6</v>
      </c>
      <c r="I8985">
        <v>-62.478290000000001</v>
      </c>
      <c r="J8985">
        <v>-253.70859999999999</v>
      </c>
      <c r="K8985">
        <v>1.109067</v>
      </c>
      <c r="L8985">
        <v>-61.795499999999997</v>
      </c>
      <c r="M8985">
        <v>0.99810730000000003</v>
      </c>
      <c r="N8985">
        <v>0</v>
      </c>
      <c r="O8985">
        <v>-6.1211019999999998E-2</v>
      </c>
      <c r="P8985">
        <v>0.99651590000000001</v>
      </c>
      <c r="Q8985">
        <v>-1.940594E-2</v>
      </c>
      <c r="R8985">
        <v>-8.1115450000000006E-2</v>
      </c>
      <c r="S8985">
        <v>3.0043639999999998</v>
      </c>
      <c r="T8985">
        <v>-8.7456229999999996E-2</v>
      </c>
      <c r="U8985">
        <v>-5.4443360000000003E-2</v>
      </c>
      <c r="V8985">
        <v>1.996529E-2</v>
      </c>
      <c r="W8985">
        <v>-1.3454519999999999E-2</v>
      </c>
      <c r="X8985">
        <v>0.99971010000000005</v>
      </c>
      <c r="Y8985">
        <v>-4.3073439999999998E-2</v>
      </c>
      <c r="Z8985">
        <v>2.4070049999999998E-3</v>
      </c>
      <c r="AA8985">
        <v>0.99906899999999998</v>
      </c>
      <c r="AB8985">
        <v>25</v>
      </c>
      <c r="AC8985">
        <v>37.975900000000003</v>
      </c>
      <c r="AD8985">
        <v>-1.1090689856680001</v>
      </c>
      <c r="AE8985">
        <v>-0.682790000000004</v>
      </c>
      <c r="AF8985">
        <v>-1.6416749274326601</v>
      </c>
      <c r="AG8985">
        <v>-1.1090689856680001</v>
      </c>
      <c r="AH8985">
        <v>37.914155154973798</v>
      </c>
      <c r="AI8985">
        <v>91.6739769452833</v>
      </c>
      <c r="AJ8985">
        <v>92.479346465654899</v>
      </c>
      <c r="AK8985">
        <v>37.965883259813097</v>
      </c>
      <c r="AL8985">
        <v>90.770910501934296</v>
      </c>
      <c r="AM8985">
        <v>88.855893516186896</v>
      </c>
      <c r="AN8985">
        <v>0.99999996047761097</v>
      </c>
    </row>
    <row r="8986" spans="1:40" x14ac:dyDescent="0.25">
      <c r="A8986" t="str">
        <f>"20190312154133405"</f>
        <v>20190312154133405</v>
      </c>
      <c r="B8986" t="str">
        <f>"1552376493395301"</f>
        <v>1552376493395301</v>
      </c>
      <c r="C8986" t="s">
        <v>40</v>
      </c>
      <c r="D8986">
        <v>4.4157099999999998</v>
      </c>
      <c r="E8986">
        <v>0.4763696</v>
      </c>
      <c r="F8986" t="s">
        <v>100</v>
      </c>
      <c r="G8986">
        <v>-215.5283</v>
      </c>
      <c r="H8986" s="1">
        <v>-1.900292E-6</v>
      </c>
      <c r="I8986">
        <v>-62.486939999999997</v>
      </c>
      <c r="J8986">
        <v>-253.58609999999999</v>
      </c>
      <c r="K8986">
        <v>1.1090739999999999</v>
      </c>
      <c r="L8986">
        <v>-61.802979999999998</v>
      </c>
      <c r="M8986">
        <v>0.99810860000000001</v>
      </c>
      <c r="N8986">
        <v>0</v>
      </c>
      <c r="O8986">
        <v>-6.1181689999999997E-2</v>
      </c>
      <c r="P8986">
        <v>0.99651279999999998</v>
      </c>
      <c r="Q8986">
        <v>-1.9610450000000001E-2</v>
      </c>
      <c r="R8986">
        <v>-8.1102519999999997E-2</v>
      </c>
      <c r="S8986">
        <v>3.0043639999999998</v>
      </c>
      <c r="T8986">
        <v>-8.7271329999999994E-2</v>
      </c>
      <c r="U8986">
        <v>-5.4412839999999997E-2</v>
      </c>
      <c r="V8986">
        <v>1.998198E-2</v>
      </c>
      <c r="W8986">
        <v>-1.3614040000000001E-2</v>
      </c>
      <c r="X8986">
        <v>0.99970760000000003</v>
      </c>
      <c r="Y8986">
        <v>-4.3054479999999999E-2</v>
      </c>
      <c r="Z8986">
        <v>2.4007939999999999E-3</v>
      </c>
      <c r="AA8986">
        <v>0.99906989999999996</v>
      </c>
      <c r="AB8986">
        <v>25</v>
      </c>
      <c r="AC8986">
        <v>38.057799999999901</v>
      </c>
      <c r="AD8986">
        <v>-1.1090759002920001</v>
      </c>
      <c r="AE8986">
        <v>-0.68395999999999801</v>
      </c>
      <c r="AF8986">
        <v>-1.64440774646389</v>
      </c>
      <c r="AG8986">
        <v>-1.1090759002920001</v>
      </c>
      <c r="AH8986">
        <v>37.996090534170797</v>
      </c>
      <c r="AI8986">
        <v>91.670381157142501</v>
      </c>
      <c r="AJ8986">
        <v>92.478119845984907</v>
      </c>
      <c r="AK8986">
        <v>38.047825457838499</v>
      </c>
      <c r="AL8986">
        <v>90.780051167670905</v>
      </c>
      <c r="AM8986">
        <v>88.854934491271706</v>
      </c>
      <c r="AN8986">
        <v>0.999999953553799</v>
      </c>
    </row>
    <row r="8987" spans="1:40" x14ac:dyDescent="0.25">
      <c r="A8987" t="str">
        <f>"20190312154133415"</f>
        <v>20190312154133415</v>
      </c>
      <c r="B8987" t="str">
        <f>"1552376493405543"</f>
        <v>1552376493405543</v>
      </c>
      <c r="C8987" t="s">
        <v>40</v>
      </c>
      <c r="D8987">
        <v>4.3926550000000004</v>
      </c>
      <c r="E8987">
        <v>0.46058569999999999</v>
      </c>
      <c r="F8987" t="s">
        <v>100</v>
      </c>
      <c r="G8987">
        <v>-215.67570000000001</v>
      </c>
      <c r="H8987" s="1">
        <v>-1.9641200000000001E-6</v>
      </c>
      <c r="I8987">
        <v>-62.489139999999999</v>
      </c>
      <c r="J8987">
        <v>-253.4633</v>
      </c>
      <c r="K8987">
        <v>1.1090770000000001</v>
      </c>
      <c r="L8987">
        <v>-61.810459999999999</v>
      </c>
      <c r="M8987">
        <v>0.99811019999999995</v>
      </c>
      <c r="N8987">
        <v>0</v>
      </c>
      <c r="O8987">
        <v>-6.1152369999999998E-2</v>
      </c>
      <c r="P8987">
        <v>0.99651599999999996</v>
      </c>
      <c r="Q8987">
        <v>-1.9223939999999998E-2</v>
      </c>
      <c r="R8987">
        <v>-8.1156420000000007E-2</v>
      </c>
      <c r="S8987">
        <v>3.0043489999999999</v>
      </c>
      <c r="T8987">
        <v>-8.7892890000000001E-2</v>
      </c>
      <c r="U8987">
        <v>-5.4382319999999998E-2</v>
      </c>
      <c r="V8987">
        <v>2.0064990000000001E-2</v>
      </c>
      <c r="W8987">
        <v>-1.318355E-2</v>
      </c>
      <c r="X8987">
        <v>0.99971180000000004</v>
      </c>
      <c r="Y8987">
        <v>-4.3034589999999998E-2</v>
      </c>
      <c r="Z8987">
        <v>2.4167519999999999E-3</v>
      </c>
      <c r="AA8987">
        <v>0.99907060000000003</v>
      </c>
      <c r="AB8987">
        <v>25</v>
      </c>
      <c r="AC8987">
        <v>37.787599999999998</v>
      </c>
      <c r="AD8987">
        <v>-1.1090789641200001</v>
      </c>
      <c r="AE8987">
        <v>-0.67867999999999995</v>
      </c>
      <c r="AF8987">
        <v>-1.6320281630173701</v>
      </c>
      <c r="AG8987">
        <v>-1.1090789641200001</v>
      </c>
      <c r="AH8987">
        <v>37.725891192631501</v>
      </c>
      <c r="AI8987">
        <v>91.682343829413099</v>
      </c>
      <c r="AJ8987">
        <v>92.477080234654906</v>
      </c>
      <c r="AK8987">
        <v>37.777459395144703</v>
      </c>
      <c r="AL8987">
        <v>90.755383621698499</v>
      </c>
      <c r="AM8987">
        <v>88.850183714691994</v>
      </c>
      <c r="AN8987">
        <v>1.00000004643677</v>
      </c>
    </row>
    <row r="8988" spans="1:40" x14ac:dyDescent="0.25">
      <c r="A8988" t="str">
        <f>"20190312154133427"</f>
        <v>20190312154133427</v>
      </c>
      <c r="B8988" t="str">
        <f>"1552376493425064"</f>
        <v>1552376493425064</v>
      </c>
      <c r="C8988" t="s">
        <v>40</v>
      </c>
      <c r="D8988">
        <v>4.4315150000000001</v>
      </c>
      <c r="E8988">
        <v>0.457569</v>
      </c>
      <c r="F8988" t="s">
        <v>69</v>
      </c>
      <c r="G8988">
        <v>-206.399</v>
      </c>
      <c r="H8988" s="1">
        <v>-2.3059019999999999E-6</v>
      </c>
      <c r="I8988">
        <v>-60.709960000000002</v>
      </c>
      <c r="J8988">
        <v>-253.3347</v>
      </c>
      <c r="K8988">
        <v>1.1090819999999999</v>
      </c>
      <c r="L8988">
        <v>-61.818330000000003</v>
      </c>
      <c r="M8988">
        <v>0.99811190000000005</v>
      </c>
      <c r="N8988">
        <v>0</v>
      </c>
      <c r="O8988">
        <v>-6.1121979999999999E-2</v>
      </c>
      <c r="P8988">
        <v>0.99653049999999999</v>
      </c>
      <c r="Q8988">
        <v>-1.9279879999999999E-2</v>
      </c>
      <c r="R8988">
        <v>-8.096768E-2</v>
      </c>
      <c r="S8988">
        <v>3.0148769999999998</v>
      </c>
      <c r="T8988">
        <v>-7.1046109999999996E-2</v>
      </c>
      <c r="U8988">
        <v>7.049561E-2</v>
      </c>
      <c r="V8988">
        <v>1.990608E-2</v>
      </c>
      <c r="W8988">
        <v>-1.319566E-2</v>
      </c>
      <c r="X8988">
        <v>0.99971480000000001</v>
      </c>
      <c r="Y8988">
        <v>-8.4398520000000005E-2</v>
      </c>
      <c r="Z8988">
        <v>2.433723E-3</v>
      </c>
      <c r="AA8988">
        <v>0.99642909999999996</v>
      </c>
      <c r="AB8988">
        <v>25</v>
      </c>
      <c r="AC8988">
        <v>46.935699999999997</v>
      </c>
      <c r="AD8988">
        <v>-1.1090843059019999</v>
      </c>
      <c r="AE8988">
        <v>1.1083700000000001</v>
      </c>
      <c r="AF8988">
        <v>-3.9729360906128099</v>
      </c>
      <c r="AG8988">
        <v>-1.1090843059019999</v>
      </c>
      <c r="AH8988">
        <v>46.754102699049398</v>
      </c>
      <c r="AI8988">
        <v>91.354017479038802</v>
      </c>
      <c r="AJ8988">
        <v>94.857048356552397</v>
      </c>
      <c r="AK8988">
        <v>46.935705048192801</v>
      </c>
      <c r="AL8988">
        <v>90.756077546798096</v>
      </c>
      <c r="AM8988">
        <v>88.859290995610294</v>
      </c>
      <c r="AN8988">
        <v>1.00000002940142</v>
      </c>
    </row>
    <row r="8989" spans="1:40" x14ac:dyDescent="0.25">
      <c r="A8989" t="str">
        <f>"20190312154133438"</f>
        <v>20190312154133438</v>
      </c>
      <c r="B8989" t="str">
        <f>"1552376493434827"</f>
        <v>1552376493434827</v>
      </c>
      <c r="C8989" t="s">
        <v>40</v>
      </c>
      <c r="D8989">
        <v>4.3342390000000002</v>
      </c>
      <c r="E8989">
        <v>0.45769850000000001</v>
      </c>
      <c r="F8989" t="s">
        <v>100</v>
      </c>
      <c r="G8989">
        <v>-213.2002</v>
      </c>
      <c r="H8989" s="1">
        <v>-3.8602060000000002E-7</v>
      </c>
      <c r="I8989">
        <v>-60.549439999999997</v>
      </c>
      <c r="J8989">
        <v>-253.21019999999999</v>
      </c>
      <c r="K8989">
        <v>1.1090819999999999</v>
      </c>
      <c r="L8989">
        <v>-61.82593</v>
      </c>
      <c r="M8989">
        <v>0.99811329999999998</v>
      </c>
      <c r="N8989">
        <v>0</v>
      </c>
      <c r="O8989">
        <v>-6.1092180000000003E-2</v>
      </c>
      <c r="P8989">
        <v>0.99654069999999995</v>
      </c>
      <c r="Q8989">
        <v>-1.9103180000000001E-2</v>
      </c>
      <c r="R8989">
        <v>-8.0881220000000004E-2</v>
      </c>
      <c r="S8989">
        <v>3.0166019999999998</v>
      </c>
      <c r="T8989">
        <v>-8.3361149999999995E-2</v>
      </c>
      <c r="U8989">
        <v>9.5367430000000003E-2</v>
      </c>
      <c r="V8989">
        <v>1.9848979999999999E-2</v>
      </c>
      <c r="W8989">
        <v>-1.297653E-2</v>
      </c>
      <c r="X8989">
        <v>0.99971880000000002</v>
      </c>
      <c r="Y8989">
        <v>-9.2543600000000004E-2</v>
      </c>
      <c r="Z8989">
        <v>2.9652530000000002E-3</v>
      </c>
      <c r="AA8989">
        <v>0.99570420000000004</v>
      </c>
      <c r="AB8989">
        <v>25</v>
      </c>
      <c r="AC8989">
        <v>40.009999999999899</v>
      </c>
      <c r="AD8989">
        <v>-1.1090823860205901</v>
      </c>
      <c r="AE8989">
        <v>1.2764899999999999</v>
      </c>
      <c r="AF8989">
        <v>-3.71559746676148</v>
      </c>
      <c r="AG8989">
        <v>-1.1090823860205901</v>
      </c>
      <c r="AH8989">
        <v>39.826706673925102</v>
      </c>
      <c r="AI8989">
        <v>91.588250349495695</v>
      </c>
      <c r="AJ8989">
        <v>95.329931396764195</v>
      </c>
      <c r="AK8989">
        <v>40.015025837363297</v>
      </c>
      <c r="AL8989">
        <v>90.743521250572201</v>
      </c>
      <c r="AM8989">
        <v>88.862566774525007</v>
      </c>
      <c r="AN8989">
        <v>1.00000002570566</v>
      </c>
    </row>
    <row r="8990" spans="1:40" x14ac:dyDescent="0.25">
      <c r="A8990" t="str">
        <f>"20190312154133450"</f>
        <v>20190312154133450</v>
      </c>
      <c r="B8990" t="str">
        <f>"1552376493445559"</f>
        <v>1552376493445559</v>
      </c>
      <c r="C8990" t="s">
        <v>40</v>
      </c>
      <c r="D8990">
        <v>4.3616429999999999</v>
      </c>
      <c r="E8990">
        <v>0.45790819999999999</v>
      </c>
      <c r="F8990" t="s">
        <v>100</v>
      </c>
      <c r="G8990">
        <v>-211.35900000000001</v>
      </c>
      <c r="H8990" s="1">
        <v>4.1311900000000001E-7</v>
      </c>
      <c r="I8990">
        <v>-60.514609999999998</v>
      </c>
      <c r="J8990">
        <v>-253.07239999999999</v>
      </c>
      <c r="K8990">
        <v>1.1090899999999999</v>
      </c>
      <c r="L8990">
        <v>-61.834319999999998</v>
      </c>
      <c r="M8990">
        <v>0.99811510000000003</v>
      </c>
      <c r="N8990">
        <v>0</v>
      </c>
      <c r="O8990">
        <v>-6.1059410000000001E-2</v>
      </c>
      <c r="P8990">
        <v>0.99653460000000005</v>
      </c>
      <c r="Q8990">
        <v>-1.94451E-2</v>
      </c>
      <c r="R8990">
        <v>-8.0875340000000004E-2</v>
      </c>
      <c r="S8990">
        <v>3.016556</v>
      </c>
      <c r="T8990">
        <v>-7.9940559999999994E-2</v>
      </c>
      <c r="U8990">
        <v>9.4512940000000004E-2</v>
      </c>
      <c r="V8990">
        <v>1.9876270000000001E-2</v>
      </c>
      <c r="W8990">
        <v>-1.3269970000000001E-2</v>
      </c>
      <c r="X8990">
        <v>0.9997144</v>
      </c>
      <c r="Y8990">
        <v>-9.2234479999999994E-2</v>
      </c>
      <c r="Z8990">
        <v>2.838714E-3</v>
      </c>
      <c r="AA8990">
        <v>0.99573330000000004</v>
      </c>
      <c r="AB8990">
        <v>25</v>
      </c>
      <c r="AC8990">
        <v>41.713399999999901</v>
      </c>
      <c r="AD8990">
        <v>-1.109089586881</v>
      </c>
      <c r="AE8990">
        <v>1.3197099999999999</v>
      </c>
      <c r="AF8990">
        <v>-3.86156432389941</v>
      </c>
      <c r="AG8990">
        <v>-1.109089586881</v>
      </c>
      <c r="AH8990">
        <v>41.525656398271202</v>
      </c>
      <c r="AI8990">
        <v>91.523353457001704</v>
      </c>
      <c r="AJ8990">
        <v>95.312784543882799</v>
      </c>
      <c r="AK8990">
        <v>41.719562534219101</v>
      </c>
      <c r="AL8990">
        <v>90.7603355761035</v>
      </c>
      <c r="AM8990">
        <v>88.860998338352701</v>
      </c>
      <c r="AN8990">
        <v>1.00000001989013</v>
      </c>
    </row>
    <row r="8991" spans="1:40" x14ac:dyDescent="0.25">
      <c r="A8991" t="str">
        <f>"20190312154133462"</f>
        <v>20190312154133462</v>
      </c>
      <c r="B8991" t="str">
        <f>"1552376493455321"</f>
        <v>1552376493455321</v>
      </c>
      <c r="C8991" t="s">
        <v>40</v>
      </c>
      <c r="D8991">
        <v>4.3053150000000002</v>
      </c>
      <c r="E8991">
        <v>0.4578547</v>
      </c>
      <c r="F8991" t="s">
        <v>100</v>
      </c>
      <c r="G8991">
        <v>-210.62739999999999</v>
      </c>
      <c r="H8991" s="1">
        <v>7.2354790000000005E-7</v>
      </c>
      <c r="I8991">
        <v>-60.527529999999999</v>
      </c>
      <c r="J8991">
        <v>-252.9504</v>
      </c>
      <c r="K8991">
        <v>1.1090960000000001</v>
      </c>
      <c r="L8991">
        <v>-61.841769999999997</v>
      </c>
      <c r="M8991">
        <v>0.99811660000000002</v>
      </c>
      <c r="N8991">
        <v>0</v>
      </c>
      <c r="O8991">
        <v>-6.1030340000000002E-2</v>
      </c>
      <c r="P8991">
        <v>0.99652929999999995</v>
      </c>
      <c r="Q8991">
        <v>-1.942495E-2</v>
      </c>
      <c r="R8991">
        <v>-8.0944279999999993E-2</v>
      </c>
      <c r="S8991">
        <v>3.0164179999999998</v>
      </c>
      <c r="T8991">
        <v>-7.8819040000000007E-2</v>
      </c>
      <c r="U8991">
        <v>9.2864989999999994E-2</v>
      </c>
      <c r="V8991">
        <v>1.9974619999999998E-2</v>
      </c>
      <c r="W8991">
        <v>-1.3204789999999999E-2</v>
      </c>
      <c r="X8991">
        <v>0.99971330000000003</v>
      </c>
      <c r="Y8991">
        <v>-9.1665099999999999E-2</v>
      </c>
      <c r="Z8991">
        <v>2.7908519999999999E-3</v>
      </c>
      <c r="AA8991">
        <v>0.99578599999999995</v>
      </c>
      <c r="AB8991">
        <v>25</v>
      </c>
      <c r="AC8991">
        <v>42.323</v>
      </c>
      <c r="AD8991">
        <v>-1.1090952764520901</v>
      </c>
      <c r="AE8991">
        <v>1.3142399999999901</v>
      </c>
      <c r="AF8991">
        <v>-3.8921566360031501</v>
      </c>
      <c r="AG8991">
        <v>-1.1090952764520901</v>
      </c>
      <c r="AH8991">
        <v>42.134985668629099</v>
      </c>
      <c r="AI8991">
        <v>91.501426873101295</v>
      </c>
      <c r="AJ8991">
        <v>95.277635306432202</v>
      </c>
      <c r="AK8991">
        <v>42.3289025714937</v>
      </c>
      <c r="AL8991">
        <v>90.756600712168606</v>
      </c>
      <c r="AM8991">
        <v>88.855362667760502</v>
      </c>
      <c r="AN8991">
        <v>1.0000000170599801</v>
      </c>
    </row>
    <row r="8992" spans="1:40" x14ac:dyDescent="0.25">
      <c r="A8992" t="str">
        <f>"20190312154133473"</f>
        <v>20190312154133473</v>
      </c>
      <c r="B8992" t="str">
        <f>"1552376493465080"</f>
        <v>1552376493465080</v>
      </c>
      <c r="C8992" t="s">
        <v>40</v>
      </c>
      <c r="D8992">
        <v>4.260821</v>
      </c>
      <c r="E8992">
        <v>0.45781369999999999</v>
      </c>
      <c r="F8992" t="s">
        <v>69</v>
      </c>
      <c r="G8992">
        <v>-209.87029999999999</v>
      </c>
      <c r="H8992" s="1">
        <v>-7.2073679999999899E-8</v>
      </c>
      <c r="I8992">
        <v>-60.513350000000003</v>
      </c>
      <c r="J8992">
        <v>-252.81139999999999</v>
      </c>
      <c r="K8992">
        <v>1.1091009999999999</v>
      </c>
      <c r="L8992">
        <v>-61.850219999999901</v>
      </c>
      <c r="M8992">
        <v>0.99811819999999896</v>
      </c>
      <c r="N8992">
        <v>0</v>
      </c>
      <c r="O8992">
        <v>-6.0997349999999999E-2</v>
      </c>
      <c r="P8992">
        <v>0.99654129999999996</v>
      </c>
      <c r="Q8992">
        <v>-1.9589039999999999E-2</v>
      </c>
      <c r="R8992">
        <v>-8.0756350000000005E-2</v>
      </c>
      <c r="S8992">
        <v>3.0164949999999999</v>
      </c>
      <c r="T8992">
        <v>-7.7659610000000004E-2</v>
      </c>
      <c r="U8992">
        <v>9.3017580000000002E-2</v>
      </c>
      <c r="V8992">
        <v>1.9819429999999999E-2</v>
      </c>
      <c r="W8992">
        <v>-1.3314100000000001E-2</v>
      </c>
      <c r="X8992">
        <v>0.99971489999999996</v>
      </c>
      <c r="Y8992">
        <v>-9.1683290000000001E-2</v>
      </c>
      <c r="Z8992">
        <v>2.749128E-3</v>
      </c>
      <c r="AA8992">
        <v>0.99578440000000001</v>
      </c>
      <c r="AB8992">
        <v>25</v>
      </c>
      <c r="AC8992">
        <v>42.941099999999999</v>
      </c>
      <c r="AD8992">
        <v>-1.10910107207367</v>
      </c>
      <c r="AE8992">
        <v>1.33686999999999</v>
      </c>
      <c r="AF8992">
        <v>-3.9510921863758202</v>
      </c>
      <c r="AG8992">
        <v>-1.10910107207367</v>
      </c>
      <c r="AH8992">
        <v>42.751098325490403</v>
      </c>
      <c r="AI8992">
        <v>91.479799885072296</v>
      </c>
      <c r="AJ8992">
        <v>95.280323695881194</v>
      </c>
      <c r="AK8992">
        <v>42.947615098967503</v>
      </c>
      <c r="AL8992">
        <v>90.762864294021298</v>
      </c>
      <c r="AM8992">
        <v>88.864255245196205</v>
      </c>
      <c r="AN8992">
        <v>0.99999997817317199</v>
      </c>
    </row>
    <row r="8993" spans="1:40" x14ac:dyDescent="0.25">
      <c r="A8993" t="str">
        <f>"20190312154133485"</f>
        <v>20190312154133485</v>
      </c>
      <c r="B8993" t="str">
        <f>"1552376493474840"</f>
        <v>1552376493474840</v>
      </c>
      <c r="C8993" t="s">
        <v>40</v>
      </c>
      <c r="D8993">
        <v>4.305383</v>
      </c>
      <c r="E8993">
        <v>0.45759050000000001</v>
      </c>
      <c r="F8993" t="s">
        <v>69</v>
      </c>
      <c r="G8993">
        <v>-206.89060000000001</v>
      </c>
      <c r="H8993" s="1">
        <v>-1.9534740000000001E-6</v>
      </c>
      <c r="I8993">
        <v>-60.423070000000003</v>
      </c>
      <c r="J8993">
        <v>-252.69130000000001</v>
      </c>
      <c r="K8993">
        <v>1.109111</v>
      </c>
      <c r="L8993">
        <v>-61.85754</v>
      </c>
      <c r="M8993">
        <v>0.99811970000000005</v>
      </c>
      <c r="N8993">
        <v>0</v>
      </c>
      <c r="O8993">
        <v>-6.096878E-2</v>
      </c>
      <c r="P8993">
        <v>0.99654810000000005</v>
      </c>
      <c r="Q8993">
        <v>-1.9465420000000001E-2</v>
      </c>
      <c r="R8993">
        <v>-8.0703479999999994E-2</v>
      </c>
      <c r="S8993">
        <v>3.016556</v>
      </c>
      <c r="T8993">
        <v>-7.2857500000000006E-2</v>
      </c>
      <c r="U8993">
        <v>9.375E-2</v>
      </c>
      <c r="V8993">
        <v>1.9794659999999999E-2</v>
      </c>
      <c r="W8993">
        <v>-1.313518E-2</v>
      </c>
      <c r="X8993">
        <v>0.99971779999999999</v>
      </c>
      <c r="Y8993">
        <v>-9.1901759999999999E-2</v>
      </c>
      <c r="Z8993">
        <v>2.5810749999999999E-3</v>
      </c>
      <c r="AA8993">
        <v>0.99576469999999995</v>
      </c>
      <c r="AB8993">
        <v>25</v>
      </c>
      <c r="AC8993">
        <v>45.800699999999999</v>
      </c>
      <c r="AD8993">
        <v>-1.1091129534740001</v>
      </c>
      <c r="AE8993">
        <v>1.4344699999999999</v>
      </c>
      <c r="AF8993">
        <v>-4.2217964733257798</v>
      </c>
      <c r="AG8993">
        <v>-1.1091129534740001</v>
      </c>
      <c r="AH8993">
        <v>45.601317485652302</v>
      </c>
      <c r="AI8993">
        <v>91.3873398424968</v>
      </c>
      <c r="AJ8993">
        <v>95.289398848871599</v>
      </c>
      <c r="AK8993">
        <v>45.809757185920702</v>
      </c>
      <c r="AL8993">
        <v>90.752612004444003</v>
      </c>
      <c r="AM8993">
        <v>88.865677598958598</v>
      </c>
      <c r="AN8993">
        <v>1.0000000205774899</v>
      </c>
    </row>
    <row r="8994" spans="1:40" x14ac:dyDescent="0.25">
      <c r="A8994" t="str">
        <f>"20190312154133495"</f>
        <v>20190312154133495</v>
      </c>
      <c r="B8994" t="str">
        <f>"1552376493485576"</f>
        <v>1552376493485576</v>
      </c>
      <c r="C8994" t="s">
        <v>40</v>
      </c>
      <c r="D8994">
        <v>4.2124550000000003</v>
      </c>
      <c r="E8994">
        <v>0.45726129999999998</v>
      </c>
      <c r="F8994" t="s">
        <v>69</v>
      </c>
      <c r="G8994">
        <v>-204.09059999999999</v>
      </c>
      <c r="H8994" s="1">
        <v>-3.6329209999999999E-6</v>
      </c>
      <c r="I8994">
        <v>-60.318219999999997</v>
      </c>
      <c r="J8994">
        <v>-252.56190000000001</v>
      </c>
      <c r="K8994">
        <v>1.1091219999999999</v>
      </c>
      <c r="L8994">
        <v>-61.865419999999901</v>
      </c>
      <c r="M8994">
        <v>0.99812109999999998</v>
      </c>
      <c r="N8994">
        <v>0</v>
      </c>
      <c r="O8994">
        <v>-6.0937970000000001E-2</v>
      </c>
      <c r="P8994">
        <v>0.99653990000000003</v>
      </c>
      <c r="Q8994">
        <v>-1.9473420000000002E-2</v>
      </c>
      <c r="R8994">
        <v>-8.0802429999999995E-2</v>
      </c>
      <c r="S8994">
        <v>3.016785</v>
      </c>
      <c r="T8994">
        <v>-6.8845870000000003E-2</v>
      </c>
      <c r="U8994">
        <v>9.5550540000000003E-2</v>
      </c>
      <c r="V8994">
        <v>1.9924919999999999E-2</v>
      </c>
      <c r="W8994">
        <v>-1.3079469999999999E-2</v>
      </c>
      <c r="X8994">
        <v>0.99971589999999999</v>
      </c>
      <c r="Y8994">
        <v>-9.246704E-2</v>
      </c>
      <c r="Z8994">
        <v>2.4445410000000002E-3</v>
      </c>
      <c r="AA8994">
        <v>0.99571279999999995</v>
      </c>
      <c r="AB8994">
        <v>25</v>
      </c>
      <c r="AC8994">
        <v>48.471299999999999</v>
      </c>
      <c r="AD8994">
        <v>-1.109125632921</v>
      </c>
      <c r="AE8994">
        <v>1.5471999999999899</v>
      </c>
      <c r="AF8994">
        <v>-4.4957758776591401</v>
      </c>
      <c r="AG8994">
        <v>-1.109125632921</v>
      </c>
      <c r="AH8994">
        <v>48.261686257713798</v>
      </c>
      <c r="AI8994">
        <v>91.310837605146205</v>
      </c>
      <c r="AJ8994">
        <v>95.321980355345801</v>
      </c>
      <c r="AK8994">
        <v>48.483322089660298</v>
      </c>
      <c r="AL8994">
        <v>90.749419814434006</v>
      </c>
      <c r="AM8994">
        <v>88.858212919504794</v>
      </c>
      <c r="AN8994">
        <v>0.99999997784264805</v>
      </c>
    </row>
    <row r="8995" spans="1:40" x14ac:dyDescent="0.25">
      <c r="A8995" t="str">
        <f>"20190312154133506"</f>
        <v>20190312154133506</v>
      </c>
      <c r="B8995" t="str">
        <f>"1552376493495336"</f>
        <v>1552376493495336</v>
      </c>
      <c r="C8995" t="s">
        <v>40</v>
      </c>
      <c r="D8995">
        <v>4.2756949999999998</v>
      </c>
      <c r="E8995">
        <v>0.457096</v>
      </c>
      <c r="F8995" t="s">
        <v>69</v>
      </c>
      <c r="G8995">
        <v>-201.13589999999999</v>
      </c>
      <c r="H8995" s="1">
        <v>-5.164559E-6</v>
      </c>
      <c r="I8995">
        <v>-60.200330000000001</v>
      </c>
      <c r="J8995">
        <v>-252.44970000000001</v>
      </c>
      <c r="K8995">
        <v>1.109138</v>
      </c>
      <c r="L8995">
        <v>-61.872219999999999</v>
      </c>
      <c r="M8995">
        <v>0.99812239999999997</v>
      </c>
      <c r="N8995">
        <v>0</v>
      </c>
      <c r="O8995">
        <v>-6.0910529999999997E-2</v>
      </c>
      <c r="P8995">
        <v>0.99653650000000005</v>
      </c>
      <c r="Q8995">
        <v>-1.9612259999999999E-2</v>
      </c>
      <c r="R8995">
        <v>-8.0813590000000005E-2</v>
      </c>
      <c r="S8995">
        <v>3.0170590000000002</v>
      </c>
      <c r="T8995">
        <v>-6.5070269999999999E-2</v>
      </c>
      <c r="U8995">
        <v>9.7686770000000006E-2</v>
      </c>
      <c r="V8995">
        <v>1.996351E-2</v>
      </c>
      <c r="W8995">
        <v>-1.3147280000000001E-2</v>
      </c>
      <c r="X8995">
        <v>0.99971429999999994</v>
      </c>
      <c r="Y8995">
        <v>-9.3145199999999997E-2</v>
      </c>
      <c r="Z8995">
        <v>2.317001E-3</v>
      </c>
      <c r="AA8995">
        <v>0.99564980000000003</v>
      </c>
      <c r="AB8995">
        <v>25</v>
      </c>
      <c r="AC8995">
        <v>51.313800000000001</v>
      </c>
      <c r="AD8995">
        <v>-1.109143164559</v>
      </c>
      <c r="AE8995">
        <v>1.6718899999999901</v>
      </c>
      <c r="AF8995">
        <v>-4.7921647490885197</v>
      </c>
      <c r="AG8995">
        <v>-1.109143164559</v>
      </c>
      <c r="AH8995">
        <v>51.092834799737901</v>
      </c>
      <c r="AI8995">
        <v>91.238171199347903</v>
      </c>
      <c r="AJ8995">
        <v>95.358283399202705</v>
      </c>
      <c r="AK8995">
        <v>51.329063983431503</v>
      </c>
      <c r="AL8995">
        <v>90.753305330736197</v>
      </c>
      <c r="AM8995">
        <v>88.856000296494997</v>
      </c>
      <c r="AN8995">
        <v>1.0000000371636999</v>
      </c>
    </row>
    <row r="8996" spans="1:40" x14ac:dyDescent="0.25">
      <c r="A8996" t="str">
        <f>"20190312154133516"</f>
        <v>20190312154133516</v>
      </c>
      <c r="B8996" t="str">
        <f>"1552376493505095"</f>
        <v>1552376493505095</v>
      </c>
      <c r="C8996" t="s">
        <v>40</v>
      </c>
      <c r="D8996">
        <v>4.2134460000000002</v>
      </c>
      <c r="E8996">
        <v>0.45706910000000001</v>
      </c>
      <c r="F8996" t="s">
        <v>69</v>
      </c>
      <c r="G8996">
        <v>-198.11340000000001</v>
      </c>
      <c r="H8996" s="1">
        <v>-7.1819790000000001E-6</v>
      </c>
      <c r="I8996">
        <v>-60.091589999999997</v>
      </c>
      <c r="J8996">
        <v>-252.3219</v>
      </c>
      <c r="K8996">
        <v>1.109156</v>
      </c>
      <c r="L8996">
        <v>-61.88</v>
      </c>
      <c r="M8996">
        <v>0.99812389999999995</v>
      </c>
      <c r="N8996">
        <v>0</v>
      </c>
      <c r="O8996">
        <v>-6.0878950000000001E-2</v>
      </c>
      <c r="P8996">
        <v>0.99652110000000005</v>
      </c>
      <c r="Q8996">
        <v>-1.967255E-2</v>
      </c>
      <c r="R8996">
        <v>-8.0988500000000005E-2</v>
      </c>
      <c r="S8996">
        <v>3.017242</v>
      </c>
      <c r="T8996">
        <v>-6.1589720000000001E-2</v>
      </c>
      <c r="U8996">
        <v>9.8876950000000005E-2</v>
      </c>
      <c r="V8996">
        <v>2.017064E-2</v>
      </c>
      <c r="W8996">
        <v>-1.312343E-2</v>
      </c>
      <c r="X8996">
        <v>0.9997104</v>
      </c>
      <c r="Y8996">
        <v>-9.3507759999999995E-2</v>
      </c>
      <c r="Z8996">
        <v>2.1960059999999999E-3</v>
      </c>
      <c r="AA8996">
        <v>0.9956161</v>
      </c>
      <c r="AB8996">
        <v>25</v>
      </c>
      <c r="AC8996">
        <v>54.208500000000001</v>
      </c>
      <c r="AD8996">
        <v>-1.109163181979</v>
      </c>
      <c r="AE8996">
        <v>1.7884099999999901</v>
      </c>
      <c r="AF8996">
        <v>-5.0831934309300797</v>
      </c>
      <c r="AG8996">
        <v>-1.109163181979</v>
      </c>
      <c r="AH8996">
        <v>53.9764956605622</v>
      </c>
      <c r="AI8996">
        <v>91.172021208036696</v>
      </c>
      <c r="AJ8996">
        <v>95.379917345700306</v>
      </c>
      <c r="AK8996">
        <v>54.226664863471001</v>
      </c>
      <c r="AL8996">
        <v>90.751938750401393</v>
      </c>
      <c r="AM8996">
        <v>88.844129503339602</v>
      </c>
      <c r="AN8996">
        <v>0.99999998150056701</v>
      </c>
    </row>
    <row r="8997" spans="1:40" x14ac:dyDescent="0.25">
      <c r="A8997" t="str">
        <f>"20190312154133528"</f>
        <v>20190312154133528</v>
      </c>
      <c r="B8997" t="str">
        <f>"1552376493525594"</f>
        <v>1552376493525594</v>
      </c>
      <c r="C8997" t="s">
        <v>40</v>
      </c>
      <c r="D8997">
        <v>4.15909</v>
      </c>
      <c r="E8997">
        <v>0.45691609999999999</v>
      </c>
      <c r="F8997" t="s">
        <v>69</v>
      </c>
      <c r="G8997">
        <v>-196.9554</v>
      </c>
      <c r="H8997" s="1">
        <v>-7.0584790000000003E-6</v>
      </c>
      <c r="I8997">
        <v>-60.07235</v>
      </c>
      <c r="J8997">
        <v>-252.19630000000001</v>
      </c>
      <c r="K8997">
        <v>1.1091819999999999</v>
      </c>
      <c r="L8997">
        <v>-61.887630000000001</v>
      </c>
      <c r="M8997">
        <v>0.99812509999999999</v>
      </c>
      <c r="N8997">
        <v>0</v>
      </c>
      <c r="O8997">
        <v>-6.0844229999999999E-2</v>
      </c>
      <c r="P8997">
        <v>0.99651069999999997</v>
      </c>
      <c r="Q8997">
        <v>-1.970415E-2</v>
      </c>
      <c r="R8997">
        <v>-8.1107139999999994E-2</v>
      </c>
      <c r="S8997">
        <v>3.0172729999999999</v>
      </c>
      <c r="T8997">
        <v>-6.0445310000000002E-2</v>
      </c>
      <c r="U8997">
        <v>9.8510739999999999E-2</v>
      </c>
      <c r="V8997">
        <v>2.0324459999999999E-2</v>
      </c>
      <c r="W8997">
        <v>-1.304321E-2</v>
      </c>
      <c r="X8997">
        <v>0.99970840000000005</v>
      </c>
      <c r="Y8997">
        <v>-9.3353350000000002E-2</v>
      </c>
      <c r="Z8997">
        <v>2.1529510000000002E-3</v>
      </c>
      <c r="AA8997">
        <v>0.99563069999999998</v>
      </c>
      <c r="AB8997">
        <v>25</v>
      </c>
      <c r="AC8997">
        <v>55.240900000000003</v>
      </c>
      <c r="AD8997">
        <v>-1.1091890584789901</v>
      </c>
      <c r="AE8997">
        <v>1.81528</v>
      </c>
      <c r="AF8997">
        <v>-5.1709984999418204</v>
      </c>
      <c r="AG8997">
        <v>-1.1091890584789901</v>
      </c>
      <c r="AH8997">
        <v>55.005944530838804</v>
      </c>
      <c r="AI8997">
        <v>91.150137158001996</v>
      </c>
      <c r="AJ8997">
        <v>95.370477867253896</v>
      </c>
      <c r="AK8997">
        <v>55.259600610062002</v>
      </c>
      <c r="AL8997">
        <v>90.747342040487794</v>
      </c>
      <c r="AM8997">
        <v>88.835314998858095</v>
      </c>
      <c r="AN8997">
        <v>1.00000004701597</v>
      </c>
    </row>
    <row r="8998" spans="1:40" x14ac:dyDescent="0.25">
      <c r="A8998" t="str">
        <f>"20190312154133540"</f>
        <v>20190312154133540</v>
      </c>
      <c r="B8998" t="str">
        <f>"1552376493535355"</f>
        <v>1552376493535355</v>
      </c>
      <c r="C8998" t="s">
        <v>40</v>
      </c>
      <c r="D8998">
        <v>4.2048969999999999</v>
      </c>
      <c r="E8998">
        <v>0.45692909999999998</v>
      </c>
      <c r="F8998" t="s">
        <v>69</v>
      </c>
      <c r="G8998">
        <v>-200.3152</v>
      </c>
      <c r="H8998" s="1">
        <v>-5.5880249999999997E-6</v>
      </c>
      <c r="I8998">
        <v>-60.176499999999997</v>
      </c>
      <c r="J8998">
        <v>-252.06309999999999</v>
      </c>
      <c r="K8998">
        <v>1.1092169999999999</v>
      </c>
      <c r="L8998">
        <v>-61.895719999999997</v>
      </c>
      <c r="M8998">
        <v>0.99812659999999997</v>
      </c>
      <c r="N8998">
        <v>0</v>
      </c>
      <c r="O8998">
        <v>-6.0805860000000003E-2</v>
      </c>
      <c r="P8998">
        <v>0.99649580000000004</v>
      </c>
      <c r="Q8998">
        <v>-1.964581E-2</v>
      </c>
      <c r="R8998">
        <v>-8.1305989999999995E-2</v>
      </c>
      <c r="S8998">
        <v>3.0173489999999998</v>
      </c>
      <c r="T8998">
        <v>-6.4509150000000001E-2</v>
      </c>
      <c r="U8998">
        <v>9.9517820000000007E-2</v>
      </c>
      <c r="V8998">
        <v>2.056235E-2</v>
      </c>
      <c r="W8998">
        <v>-1.285818E-2</v>
      </c>
      <c r="X8998">
        <v>0.99970590000000004</v>
      </c>
      <c r="Y8998">
        <v>-9.3641879999999997E-2</v>
      </c>
      <c r="Z8998">
        <v>2.2998630000000001E-3</v>
      </c>
      <c r="AA8998">
        <v>0.99560329999999997</v>
      </c>
      <c r="AB8998">
        <v>26</v>
      </c>
      <c r="AC8998">
        <v>51.747899999999902</v>
      </c>
      <c r="AD8998">
        <v>-1.109222588025</v>
      </c>
      <c r="AE8998">
        <v>1.71922</v>
      </c>
      <c r="AF8998">
        <v>-4.8604557231235104</v>
      </c>
      <c r="AG8998">
        <v>-1.109222588025</v>
      </c>
      <c r="AH8998">
        <v>51.523953512099098</v>
      </c>
      <c r="AI8998">
        <v>91.227840198431196</v>
      </c>
      <c r="AJ8998">
        <v>95.388987038941394</v>
      </c>
      <c r="AK8998">
        <v>51.764584322712203</v>
      </c>
      <c r="AL8998">
        <v>90.7367397375005</v>
      </c>
      <c r="AM8998">
        <v>88.821683683486199</v>
      </c>
      <c r="AN8998">
        <v>1.00000001476262</v>
      </c>
    </row>
    <row r="8999" spans="1:40" x14ac:dyDescent="0.25">
      <c r="A8999" t="str">
        <f>"20190312154133550"</f>
        <v>20190312154133550</v>
      </c>
      <c r="B8999" t="str">
        <f>"1552376493545112"</f>
        <v>1552376493545112</v>
      </c>
      <c r="C8999" t="s">
        <v>40</v>
      </c>
      <c r="D8999">
        <v>4.2098599999999999</v>
      </c>
      <c r="E8999">
        <v>0.45698299999999997</v>
      </c>
      <c r="F8999" t="s">
        <v>69</v>
      </c>
      <c r="G8999">
        <v>-199.30969999999999</v>
      </c>
      <c r="H8999" s="1">
        <v>-7.289492E-6</v>
      </c>
      <c r="I8999">
        <v>-60.16863</v>
      </c>
      <c r="J8999">
        <v>-251.93360000000001</v>
      </c>
      <c r="K8999">
        <v>1.1092550000000001</v>
      </c>
      <c r="L8999">
        <v>-61.903590000000001</v>
      </c>
      <c r="M8999">
        <v>0.99812829999999997</v>
      </c>
      <c r="N8999">
        <v>0</v>
      </c>
      <c r="O8999">
        <v>-6.0762789999999997E-2</v>
      </c>
      <c r="P8999">
        <v>0.99646500000000005</v>
      </c>
      <c r="Q8999">
        <v>-1.997208E-2</v>
      </c>
      <c r="R8999">
        <v>-8.1601919999999994E-2</v>
      </c>
      <c r="S8999">
        <v>3.0173649999999999</v>
      </c>
      <c r="T8999">
        <v>-6.3444849999999997E-2</v>
      </c>
      <c r="U8999">
        <v>9.8785399999999995E-2</v>
      </c>
      <c r="V8999">
        <v>2.090301E-2</v>
      </c>
      <c r="W8999">
        <v>-1.3033329999999999E-2</v>
      </c>
      <c r="X8999">
        <v>0.99969660000000005</v>
      </c>
      <c r="Y8999">
        <v>-9.3358650000000001E-2</v>
      </c>
      <c r="Z8999">
        <v>2.2580429999999999E-3</v>
      </c>
      <c r="AA8999">
        <v>0.99563000000000001</v>
      </c>
      <c r="AB8999">
        <v>26</v>
      </c>
      <c r="AC8999">
        <v>52.623899999999999</v>
      </c>
      <c r="AD8999">
        <v>-1.1092622894919999</v>
      </c>
      <c r="AE8999">
        <v>1.7349599999999901</v>
      </c>
      <c r="AF8999">
        <v>-4.9272185073971597</v>
      </c>
      <c r="AG8999">
        <v>-1.1092622894919999</v>
      </c>
      <c r="AH8999">
        <v>52.397978653482497</v>
      </c>
      <c r="AI8999">
        <v>91.207442247282799</v>
      </c>
      <c r="AJ8999">
        <v>95.371984094724397</v>
      </c>
      <c r="AK8999">
        <v>52.640821726273799</v>
      </c>
      <c r="AL8999">
        <v>90.7467759095166</v>
      </c>
      <c r="AM8999">
        <v>88.802156815064805</v>
      </c>
      <c r="AN8999">
        <v>1.0000000477847499</v>
      </c>
    </row>
    <row r="9000" spans="1:40" x14ac:dyDescent="0.25">
      <c r="A9000" t="str">
        <f>"20190312154133562"</f>
        <v>20190312154133562</v>
      </c>
      <c r="B9000" t="str">
        <f>"1552376493554872"</f>
        <v>1552376493554872</v>
      </c>
      <c r="C9000" t="s">
        <v>40</v>
      </c>
      <c r="D9000">
        <v>4.1885599999999998</v>
      </c>
      <c r="E9000">
        <v>0.45697520000000003</v>
      </c>
      <c r="F9000" t="s">
        <v>69</v>
      </c>
      <c r="G9000">
        <v>-198.88509999999999</v>
      </c>
      <c r="H9000" s="1">
        <v>-7.2340809999999996E-6</v>
      </c>
      <c r="I9000">
        <v>-60.190460000000002</v>
      </c>
      <c r="J9000">
        <v>-251.79669999999999</v>
      </c>
      <c r="K9000">
        <v>1.109297</v>
      </c>
      <c r="L9000">
        <v>-61.911900000000003</v>
      </c>
      <c r="M9000">
        <v>0.99813010000000002</v>
      </c>
      <c r="N9000">
        <v>0</v>
      </c>
      <c r="O9000">
        <v>-6.0712269999999999E-2</v>
      </c>
      <c r="P9000">
        <v>0.99645309999999998</v>
      </c>
      <c r="Q9000">
        <v>-2.011812E-2</v>
      </c>
      <c r="R9000">
        <v>-8.1711629999999993E-2</v>
      </c>
      <c r="S9000">
        <v>3.0173649999999999</v>
      </c>
      <c r="T9000">
        <v>-6.3094140000000007E-2</v>
      </c>
      <c r="U9000">
        <v>9.7442630000000002E-2</v>
      </c>
      <c r="V9000">
        <v>2.1063789999999999E-2</v>
      </c>
      <c r="W9000">
        <v>-1.3005299999999999E-2</v>
      </c>
      <c r="X9000">
        <v>0.99969350000000001</v>
      </c>
      <c r="Y9000">
        <v>-9.2866210000000005E-2</v>
      </c>
      <c r="Z9000">
        <v>2.239376E-3</v>
      </c>
      <c r="AA9000">
        <v>0.99567609999999995</v>
      </c>
      <c r="AB9000">
        <v>26</v>
      </c>
      <c r="AC9000">
        <v>52.9115999999999</v>
      </c>
      <c r="AD9000">
        <v>-1.109304234081</v>
      </c>
      <c r="AE9000">
        <v>1.7214400000000001</v>
      </c>
      <c r="AF9000">
        <v>-4.9285644762049401</v>
      </c>
      <c r="AG9000">
        <v>-1.109304234081</v>
      </c>
      <c r="AH9000">
        <v>52.686341025409398</v>
      </c>
      <c r="AI9000">
        <v>91.200935615378398</v>
      </c>
      <c r="AJ9000">
        <v>95.344203841193504</v>
      </c>
      <c r="AK9000">
        <v>52.927987249900198</v>
      </c>
      <c r="AL9000">
        <v>90.745169840039594</v>
      </c>
      <c r="AM9000">
        <v>88.792942319958698</v>
      </c>
      <c r="AN9000">
        <v>0.99999995750975101</v>
      </c>
    </row>
    <row r="9001" spans="1:40" x14ac:dyDescent="0.25">
      <c r="A9001" t="str">
        <f>"20190312154133572"</f>
        <v>20190312154133572</v>
      </c>
      <c r="B9001" t="str">
        <f>"1552376493564632"</f>
        <v>1552376493564632</v>
      </c>
      <c r="C9001" t="s">
        <v>40</v>
      </c>
      <c r="D9001">
        <v>4.1576789999999999</v>
      </c>
      <c r="E9001">
        <v>0.45704250000000002</v>
      </c>
      <c r="F9001" t="s">
        <v>69</v>
      </c>
      <c r="G9001">
        <v>-197.5197</v>
      </c>
      <c r="H9001" s="1">
        <v>-7.0893750000000002E-6</v>
      </c>
      <c r="I9001">
        <v>-60.165149999999997</v>
      </c>
      <c r="J9001">
        <v>-251.67869999999999</v>
      </c>
      <c r="K9001">
        <v>1.1093390000000001</v>
      </c>
      <c r="L9001">
        <v>-61.91901</v>
      </c>
      <c r="M9001">
        <v>0.99813169999999996</v>
      </c>
      <c r="N9001">
        <v>0</v>
      </c>
      <c r="O9001">
        <v>-6.0664120000000002E-2</v>
      </c>
      <c r="P9001">
        <v>0.99642070000000005</v>
      </c>
      <c r="Q9001">
        <v>-2.0237519999999998E-2</v>
      </c>
      <c r="R9001">
        <v>-8.2074579999999994E-2</v>
      </c>
      <c r="S9001">
        <v>3.0174099999999999</v>
      </c>
      <c r="T9001">
        <v>-6.1669349999999998E-2</v>
      </c>
      <c r="U9001">
        <v>9.7106929999999994E-2</v>
      </c>
      <c r="V9001">
        <v>2.1476519999999999E-2</v>
      </c>
      <c r="W9001">
        <v>-1.296045E-2</v>
      </c>
      <c r="X9001">
        <v>0.9996853</v>
      </c>
      <c r="Y9001">
        <v>-9.2708650000000004E-2</v>
      </c>
      <c r="Z9001">
        <v>2.1861960000000001E-3</v>
      </c>
      <c r="AA9001">
        <v>0.99569090000000005</v>
      </c>
      <c r="AB9001">
        <v>26</v>
      </c>
      <c r="AC9001">
        <v>54.158999999999899</v>
      </c>
      <c r="AD9001">
        <v>-1.10934608937499</v>
      </c>
      <c r="AE9001">
        <v>1.75386</v>
      </c>
      <c r="AF9001">
        <v>-5.0341148401187503</v>
      </c>
      <c r="AG9001">
        <v>-1.10934608937499</v>
      </c>
      <c r="AH9001">
        <v>53.9302442297979</v>
      </c>
      <c r="AI9001">
        <v>91.173309859698506</v>
      </c>
      <c r="AJ9001">
        <v>95.332817548863602</v>
      </c>
      <c r="AK9001">
        <v>54.176048246943701</v>
      </c>
      <c r="AL9001">
        <v>90.742599908293698</v>
      </c>
      <c r="AM9001">
        <v>88.769287994821894</v>
      </c>
      <c r="AN9001">
        <v>0.99999995660579999</v>
      </c>
    </row>
    <row r="9002" spans="1:40" x14ac:dyDescent="0.25">
      <c r="A9002" t="str">
        <f>"20190312154133584"</f>
        <v>20190312154133584</v>
      </c>
      <c r="B9002" t="str">
        <f>"1552376493575370"</f>
        <v>1552376493575370</v>
      </c>
      <c r="C9002" t="s">
        <v>40</v>
      </c>
      <c r="D9002">
        <v>4.1122740000000002</v>
      </c>
      <c r="E9002">
        <v>0.45694319999999999</v>
      </c>
      <c r="F9002" t="s">
        <v>69</v>
      </c>
      <c r="G9002">
        <v>-195.6232</v>
      </c>
      <c r="H9002" s="1">
        <v>-6.8825060000000003E-6</v>
      </c>
      <c r="I9002">
        <v>-60.146769999999997</v>
      </c>
      <c r="J9002">
        <v>-251.5515</v>
      </c>
      <c r="K9002">
        <v>1.10938799999999</v>
      </c>
      <c r="L9002">
        <v>-61.926699999999997</v>
      </c>
      <c r="M9002">
        <v>0.99813399999999997</v>
      </c>
      <c r="N9002">
        <v>0</v>
      </c>
      <c r="O9002">
        <v>-6.0603169999999998E-2</v>
      </c>
      <c r="P9002">
        <v>0.99640189999999995</v>
      </c>
      <c r="Q9002">
        <v>-2.051642E-2</v>
      </c>
      <c r="R9002">
        <v>-8.2232540000000007E-2</v>
      </c>
      <c r="S9002">
        <v>3.0174099999999999</v>
      </c>
      <c r="T9002">
        <v>-5.9714910000000003E-2</v>
      </c>
      <c r="U9002">
        <v>9.5397949999999995E-2</v>
      </c>
      <c r="V9002">
        <v>2.1696679999999999E-2</v>
      </c>
      <c r="W9002">
        <v>-1.3045620000000001E-2</v>
      </c>
      <c r="X9002">
        <v>0.99967950000000005</v>
      </c>
      <c r="Y9002">
        <v>-9.2086680000000004E-2</v>
      </c>
      <c r="Z9002">
        <v>2.1095829999999999E-3</v>
      </c>
      <c r="AA9002">
        <v>0.99574879999999999</v>
      </c>
      <c r="AB9002">
        <v>26</v>
      </c>
      <c r="AC9002">
        <v>55.9283</v>
      </c>
      <c r="AD9002">
        <v>-1.1093948825059901</v>
      </c>
      <c r="AE9002">
        <v>1.77993</v>
      </c>
      <c r="AF9002">
        <v>-5.1641551220431099</v>
      </c>
      <c r="AG9002">
        <v>-1.1093948825059901</v>
      </c>
      <c r="AH9002">
        <v>55.695729909202697</v>
      </c>
      <c r="AI9002">
        <v>91.136242641425198</v>
      </c>
      <c r="AJ9002">
        <v>95.297366958332404</v>
      </c>
      <c r="AK9002">
        <v>55.945630618026897</v>
      </c>
      <c r="AL9002">
        <v>90.747480156433795</v>
      </c>
      <c r="AM9002">
        <v>88.756668454586006</v>
      </c>
      <c r="AN9002">
        <v>1.00000001842222</v>
      </c>
    </row>
    <row r="9003" spans="1:40" x14ac:dyDescent="0.25">
      <c r="A9003" t="str">
        <f>"20190312154133594"</f>
        <v>20190312154133594</v>
      </c>
      <c r="B9003" t="str">
        <f>"1552376493585128"</f>
        <v>1552376493585128</v>
      </c>
      <c r="C9003" t="s">
        <v>40</v>
      </c>
      <c r="D9003">
        <v>4.0977230000000002</v>
      </c>
      <c r="E9003">
        <v>0.45691280000000001</v>
      </c>
      <c r="F9003" t="s">
        <v>69</v>
      </c>
      <c r="G9003">
        <v>-194.75290000000001</v>
      </c>
      <c r="H9003" s="1">
        <v>-6.7917550000000002E-6</v>
      </c>
      <c r="I9003">
        <v>-60.126420000000003</v>
      </c>
      <c r="J9003">
        <v>-251.42920000000001</v>
      </c>
      <c r="K9003">
        <v>1.1094379999999999</v>
      </c>
      <c r="L9003">
        <v>-61.934049999999999</v>
      </c>
      <c r="M9003">
        <v>0.99813660000000004</v>
      </c>
      <c r="N9003">
        <v>0</v>
      </c>
      <c r="O9003">
        <v>-6.0539379999999997E-2</v>
      </c>
      <c r="P9003">
        <v>0.99637310000000001</v>
      </c>
      <c r="Q9003">
        <v>-2.0579719999999999E-2</v>
      </c>
      <c r="R9003">
        <v>-8.2568230000000006E-2</v>
      </c>
      <c r="S9003">
        <v>3.0175169999999998</v>
      </c>
      <c r="T9003">
        <v>-5.8938379999999999E-2</v>
      </c>
      <c r="U9003">
        <v>9.5642089999999999E-2</v>
      </c>
      <c r="V9003">
        <v>2.2097539999999999E-2</v>
      </c>
      <c r="W9003">
        <v>-1.291309E-2</v>
      </c>
      <c r="X9003">
        <v>0.99967240000000002</v>
      </c>
      <c r="Y9003">
        <v>-9.2103279999999996E-2</v>
      </c>
      <c r="Z9003">
        <v>2.080999E-3</v>
      </c>
      <c r="AA9003">
        <v>0.9957473</v>
      </c>
      <c r="AB9003">
        <v>26</v>
      </c>
      <c r="AC9003">
        <v>56.676299999999998</v>
      </c>
      <c r="AD9003">
        <v>-1.1094447917550001</v>
      </c>
      <c r="AE9003">
        <v>1.8076300000000001</v>
      </c>
      <c r="AF9003">
        <v>-5.2335589901633597</v>
      </c>
      <c r="AG9003">
        <v>-1.1094447917550001</v>
      </c>
      <c r="AH9003">
        <v>56.441297340709603</v>
      </c>
      <c r="AI9003">
        <v>91.121287106870298</v>
      </c>
      <c r="AJ9003">
        <v>95.297642963053903</v>
      </c>
      <c r="AK9003">
        <v>56.694277074073902</v>
      </c>
      <c r="AL9003">
        <v>90.739886136950204</v>
      </c>
      <c r="AM9003">
        <v>88.733695532416306</v>
      </c>
      <c r="AN9003">
        <v>0.99999997824457898</v>
      </c>
    </row>
    <row r="9004" spans="1:40" x14ac:dyDescent="0.25">
      <c r="A9004" t="str">
        <f>"20190312154133606"</f>
        <v>20190312154133606</v>
      </c>
      <c r="B9004" t="str">
        <f>"1552376493594888"</f>
        <v>1552376493594888</v>
      </c>
      <c r="C9004" t="s">
        <v>40</v>
      </c>
      <c r="D9004">
        <v>4.1234960000000003</v>
      </c>
      <c r="E9004">
        <v>0.45691280000000001</v>
      </c>
      <c r="F9004" t="s">
        <v>69</v>
      </c>
      <c r="G9004">
        <v>-194.078</v>
      </c>
      <c r="H9004" s="1">
        <v>-6.7138979999999997E-6</v>
      </c>
      <c r="I9004">
        <v>-60.131970000000003</v>
      </c>
      <c r="J9004">
        <v>-251.29849999999999</v>
      </c>
      <c r="K9004">
        <v>1.109497</v>
      </c>
      <c r="L9004">
        <v>-61.941890000000001</v>
      </c>
      <c r="M9004">
        <v>0.99813940000000001</v>
      </c>
      <c r="N9004">
        <v>0</v>
      </c>
      <c r="O9004">
        <v>-6.0461029999999999E-2</v>
      </c>
      <c r="P9004">
        <v>0.9963573</v>
      </c>
      <c r="Q9004">
        <v>-2.0916219999999999E-2</v>
      </c>
      <c r="R9004">
        <v>-8.2672919999999997E-2</v>
      </c>
      <c r="S9004">
        <v>3.0175779999999999</v>
      </c>
      <c r="T9004">
        <v>-5.8374290000000002E-2</v>
      </c>
      <c r="U9004">
        <v>9.4818120000000006E-2</v>
      </c>
      <c r="V9004">
        <v>2.2281789999999999E-2</v>
      </c>
      <c r="W9004">
        <v>-1.301476E-2</v>
      </c>
      <c r="X9004">
        <v>0.99966699999999997</v>
      </c>
      <c r="Y9004">
        <v>-9.1753600000000005E-2</v>
      </c>
      <c r="Z9004">
        <v>2.0561569999999999E-3</v>
      </c>
      <c r="AA9004">
        <v>0.99577959999999999</v>
      </c>
      <c r="AB9004">
        <v>26</v>
      </c>
      <c r="AC9004">
        <v>57.220499999999902</v>
      </c>
      <c r="AD9004">
        <v>-1.109503713898</v>
      </c>
      <c r="AE9004">
        <v>1.80992</v>
      </c>
      <c r="AF9004">
        <v>-5.2643493567011896</v>
      </c>
      <c r="AG9004">
        <v>-1.109503713898</v>
      </c>
      <c r="AH9004">
        <v>56.984975615520099</v>
      </c>
      <c r="AI9004">
        <v>91.110685957875603</v>
      </c>
      <c r="AJ9004">
        <v>95.278080926568805</v>
      </c>
      <c r="AK9004">
        <v>57.238377148046197</v>
      </c>
      <c r="AL9004">
        <v>90.745711882382196</v>
      </c>
      <c r="AM9004">
        <v>88.723133630986297</v>
      </c>
      <c r="AN9004">
        <v>0.99999998651623001</v>
      </c>
    </row>
    <row r="9005" spans="1:40" x14ac:dyDescent="0.25">
      <c r="A9005" t="str">
        <f>"20190312154133617"</f>
        <v>20190312154133617</v>
      </c>
      <c r="B9005" t="str">
        <f>"1552376493614915"</f>
        <v>1552376493614915</v>
      </c>
      <c r="C9005" t="s">
        <v>40</v>
      </c>
      <c r="D9005">
        <v>4.030297</v>
      </c>
      <c r="E9005">
        <v>0.41645860000000001</v>
      </c>
      <c r="F9005" t="s">
        <v>69</v>
      </c>
      <c r="G9005">
        <v>-194.79759999999999</v>
      </c>
      <c r="H9005" s="1">
        <v>-6.7811089999999998E-6</v>
      </c>
      <c r="I9005">
        <v>-60.171100000000003</v>
      </c>
      <c r="J9005">
        <v>-251.17019999999999</v>
      </c>
      <c r="K9005">
        <v>1.109558</v>
      </c>
      <c r="L9005">
        <v>-61.949579999999997</v>
      </c>
      <c r="M9005">
        <v>0.99814219999999998</v>
      </c>
      <c r="N9005">
        <v>0</v>
      </c>
      <c r="O9005">
        <v>-6.0381039999999997E-2</v>
      </c>
      <c r="P9005">
        <v>0.99634129999999999</v>
      </c>
      <c r="Q9005">
        <v>-2.0714570000000002E-2</v>
      </c>
      <c r="R9005">
        <v>-8.2916370000000003E-2</v>
      </c>
      <c r="S9005">
        <v>3.0175930000000002</v>
      </c>
      <c r="T9005">
        <v>-5.9256200000000002E-2</v>
      </c>
      <c r="U9005">
        <v>9.4573969999999993E-2</v>
      </c>
      <c r="V9005">
        <v>2.2606109999999999E-2</v>
      </c>
      <c r="W9005">
        <v>-1.257485E-2</v>
      </c>
      <c r="X9005">
        <v>0.99966540000000004</v>
      </c>
      <c r="Y9005">
        <v>-9.1592450000000006E-2</v>
      </c>
      <c r="Z9005">
        <v>2.0840590000000001E-3</v>
      </c>
      <c r="AA9005">
        <v>0.99579439999999997</v>
      </c>
      <c r="AB9005">
        <v>26</v>
      </c>
      <c r="AC9005">
        <v>56.372599999999998</v>
      </c>
      <c r="AD9005">
        <v>-1.1095647811089999</v>
      </c>
      <c r="AE9005">
        <v>1.7784800000000001</v>
      </c>
      <c r="AF9005">
        <v>-5.1771801031969096</v>
      </c>
      <c r="AG9005">
        <v>-1.1095647811089999</v>
      </c>
      <c r="AH9005">
        <v>56.140617993908698</v>
      </c>
      <c r="AI9005">
        <v>91.1274653277965</v>
      </c>
      <c r="AJ9005">
        <v>95.2688049907607</v>
      </c>
      <c r="AK9005">
        <v>56.389744781851903</v>
      </c>
      <c r="AL9005">
        <v>90.720504795360299</v>
      </c>
      <c r="AM9005">
        <v>88.704552566362807</v>
      </c>
      <c r="AN9005">
        <v>1.0000000375095</v>
      </c>
    </row>
    <row r="9006" spans="1:40" x14ac:dyDescent="0.25">
      <c r="A9006" t="str">
        <f>"20190312154133628"</f>
        <v>20190312154133628</v>
      </c>
      <c r="B9006" t="str">
        <f>"1552376493624674"</f>
        <v>1552376493624674</v>
      </c>
      <c r="C9006" t="s">
        <v>40</v>
      </c>
      <c r="D9006">
        <v>3.9753379999999998</v>
      </c>
      <c r="E9006">
        <v>0.41163650000000002</v>
      </c>
      <c r="F9006" t="s">
        <v>80</v>
      </c>
      <c r="G9006">
        <v>-157.3501</v>
      </c>
      <c r="H9006">
        <v>2.4410699999999999</v>
      </c>
      <c r="I9006">
        <v>-49.27084</v>
      </c>
      <c r="J9006">
        <v>-251.03989999999999</v>
      </c>
      <c r="K9006">
        <v>1.1096280000000001</v>
      </c>
      <c r="L9006">
        <v>-61.957340000000002</v>
      </c>
      <c r="M9006">
        <v>0.99814610000000004</v>
      </c>
      <c r="N9006">
        <v>0</v>
      </c>
      <c r="O9006">
        <v>-6.0279180000000002E-2</v>
      </c>
      <c r="P9006">
        <v>0.99633780000000005</v>
      </c>
      <c r="Q9006">
        <v>-2.0743259999999999E-2</v>
      </c>
      <c r="R9006">
        <v>-8.2950670000000004E-2</v>
      </c>
      <c r="S9006">
        <v>3.0461429999999998</v>
      </c>
      <c r="T9006">
        <v>4.3230650000000002E-2</v>
      </c>
      <c r="U9006">
        <v>0.41165160000000001</v>
      </c>
      <c r="V9006">
        <v>2.2742709999999999E-2</v>
      </c>
      <c r="W9006">
        <v>-1.2324989999999999E-2</v>
      </c>
      <c r="X9006">
        <v>0.99966540000000004</v>
      </c>
      <c r="Y9006">
        <v>-0.1933909</v>
      </c>
      <c r="Z9006">
        <v>-2.2180920000000001E-3</v>
      </c>
      <c r="AA9006">
        <v>0.98111930000000003</v>
      </c>
      <c r="AB9006">
        <v>26</v>
      </c>
      <c r="AC9006">
        <v>93.689800000000005</v>
      </c>
      <c r="AD9006">
        <v>1.33144199999999</v>
      </c>
      <c r="AE9006">
        <v>12.686500000000001</v>
      </c>
      <c r="AF9006">
        <v>-18.307542120483301</v>
      </c>
      <c r="AG9006">
        <v>1.33144199999999</v>
      </c>
      <c r="AH9006">
        <v>92.736267914085303</v>
      </c>
      <c r="AI9006">
        <v>89.193016830562598</v>
      </c>
      <c r="AJ9006">
        <v>101.16745588062901</v>
      </c>
      <c r="AK9006">
        <v>94.535465423964794</v>
      </c>
      <c r="AL9006">
        <v>90.706187772246594</v>
      </c>
      <c r="AM9006">
        <v>88.696727369088904</v>
      </c>
      <c r="AN9006">
        <v>1.0000000240969</v>
      </c>
    </row>
    <row r="9007" spans="1:40" x14ac:dyDescent="0.25">
      <c r="A9007" t="str">
        <f>"20190312154133640"</f>
        <v>20190312154133640</v>
      </c>
      <c r="B9007" t="str">
        <f>"1552376493635410"</f>
        <v>1552376493635410</v>
      </c>
      <c r="C9007" t="s">
        <v>40</v>
      </c>
      <c r="D9007">
        <v>3.9751750000000001</v>
      </c>
      <c r="E9007">
        <v>0.40818179999999998</v>
      </c>
      <c r="F9007" t="s">
        <v>80</v>
      </c>
      <c r="G9007">
        <v>-157.3501</v>
      </c>
      <c r="H9007">
        <v>2.0937139999999999</v>
      </c>
      <c r="I9007">
        <v>-48.120829999999998</v>
      </c>
      <c r="J9007">
        <v>-250.91419999999999</v>
      </c>
      <c r="K9007">
        <v>1.1096969999999999</v>
      </c>
      <c r="L9007">
        <v>-61.964840000000002</v>
      </c>
      <c r="M9007">
        <v>0.99815010000000004</v>
      </c>
      <c r="N9007">
        <v>0</v>
      </c>
      <c r="O9007">
        <v>-6.0175770000000003E-2</v>
      </c>
      <c r="P9007">
        <v>0.99633240000000001</v>
      </c>
      <c r="Q9007">
        <v>-2.0538870000000001E-2</v>
      </c>
      <c r="R9007">
        <v>-8.3067539999999995E-2</v>
      </c>
      <c r="S9007">
        <v>3.049194</v>
      </c>
      <c r="T9007">
        <v>3.2027010000000002E-2</v>
      </c>
      <c r="U9007">
        <v>0.45031739999999998</v>
      </c>
      <c r="V9007">
        <v>2.2963460000000002E-2</v>
      </c>
      <c r="W9007">
        <v>-1.184555E-2</v>
      </c>
      <c r="X9007">
        <v>0.99966619999999995</v>
      </c>
      <c r="Y9007">
        <v>-0.2053526</v>
      </c>
      <c r="Z9007">
        <v>-1.7016679999999999E-3</v>
      </c>
      <c r="AA9007">
        <v>0.97868659999999996</v>
      </c>
      <c r="AB9007">
        <v>26</v>
      </c>
      <c r="AC9007">
        <v>93.564099999999996</v>
      </c>
      <c r="AD9007">
        <v>0.98401700000000003</v>
      </c>
      <c r="AE9007">
        <v>13.844010000000001</v>
      </c>
      <c r="AF9007">
        <v>-19.447318624289501</v>
      </c>
      <c r="AG9007">
        <v>0.98401700000000003</v>
      </c>
      <c r="AH9007">
        <v>92.551407096141702</v>
      </c>
      <c r="AI9007">
        <v>89.403865014867606</v>
      </c>
      <c r="AJ9007">
        <v>101.866611268692</v>
      </c>
      <c r="AK9007">
        <v>94.5776371379973</v>
      </c>
      <c r="AL9007">
        <v>90.678715843654103</v>
      </c>
      <c r="AM9007">
        <v>88.684082753869305</v>
      </c>
      <c r="AN9007">
        <v>1.0000000744862001</v>
      </c>
    </row>
    <row r="9008" spans="1:40" x14ac:dyDescent="0.25">
      <c r="A9008" t="str">
        <f>"20190312154133651"</f>
        <v>20190312154133651</v>
      </c>
      <c r="B9008" t="str">
        <f>"1552376493645171"</f>
        <v>1552376493645171</v>
      </c>
      <c r="C9008" t="s">
        <v>40</v>
      </c>
      <c r="D9008">
        <v>3.9680230000000001</v>
      </c>
      <c r="E9008">
        <v>0.4053273</v>
      </c>
      <c r="F9008" t="s">
        <v>80</v>
      </c>
      <c r="G9008">
        <v>-157.3501</v>
      </c>
      <c r="H9008">
        <v>2.1362260000000002</v>
      </c>
      <c r="I9008">
        <v>-47.326770000000003</v>
      </c>
      <c r="J9008">
        <v>-250.78200000000001</v>
      </c>
      <c r="K9008">
        <v>1.1097669999999999</v>
      </c>
      <c r="L9008">
        <v>-61.97269</v>
      </c>
      <c r="M9008">
        <v>0.99815489999999996</v>
      </c>
      <c r="N9008">
        <v>0</v>
      </c>
      <c r="O9008">
        <v>-6.0049180000000001E-2</v>
      </c>
      <c r="P9008">
        <v>0.99630529999999995</v>
      </c>
      <c r="Q9008">
        <v>-2.0656009999999999E-2</v>
      </c>
      <c r="R9008">
        <v>-8.3362699999999998E-2</v>
      </c>
      <c r="S9008">
        <v>3.0515750000000001</v>
      </c>
      <c r="T9008">
        <v>3.3479330000000002E-2</v>
      </c>
      <c r="U9008">
        <v>0.47741699999999998</v>
      </c>
      <c r="V9008">
        <v>2.3386730000000001E-2</v>
      </c>
      <c r="W9008">
        <v>-1.165149E-2</v>
      </c>
      <c r="X9008">
        <v>0.99965859999999995</v>
      </c>
      <c r="Y9008">
        <v>-0.21360399999999999</v>
      </c>
      <c r="Z9008">
        <v>-1.8199290000000001E-3</v>
      </c>
      <c r="AA9008">
        <v>0.97691859999999997</v>
      </c>
      <c r="AB9008">
        <v>26</v>
      </c>
      <c r="AC9008">
        <v>93.431899999999999</v>
      </c>
      <c r="AD9008">
        <v>1.02645899999999</v>
      </c>
      <c r="AE9008">
        <v>14.645919999999901</v>
      </c>
      <c r="AF9008">
        <v>-20.2278411706288</v>
      </c>
      <c r="AG9008">
        <v>1.02645899999999</v>
      </c>
      <c r="AH9008">
        <v>92.372888273396001</v>
      </c>
      <c r="AI9008">
        <v>89.378083772773707</v>
      </c>
      <c r="AJ9008">
        <v>102.35167835713</v>
      </c>
      <c r="AK9008">
        <v>94.567275864709998</v>
      </c>
      <c r="AL9008">
        <v>90.667596303479002</v>
      </c>
      <c r="AM9008">
        <v>88.659825917957406</v>
      </c>
      <c r="AN9008">
        <v>1.0000000064566299</v>
      </c>
    </row>
    <row r="9009" spans="1:40" x14ac:dyDescent="0.25">
      <c r="A9009" t="str">
        <f>"20190312154133663"</f>
        <v>20190312154133663</v>
      </c>
      <c r="B9009" t="str">
        <f>"1552376493654931"</f>
        <v>1552376493654931</v>
      </c>
      <c r="C9009" t="s">
        <v>40</v>
      </c>
      <c r="D9009">
        <v>3.9890219999999998</v>
      </c>
      <c r="E9009">
        <v>0.4033872</v>
      </c>
      <c r="F9009" t="s">
        <v>80</v>
      </c>
      <c r="G9009">
        <v>-157.3501</v>
      </c>
      <c r="H9009">
        <v>1.79518</v>
      </c>
      <c r="I9009">
        <v>-46.685119999999998</v>
      </c>
      <c r="J9009">
        <v>-250.6474</v>
      </c>
      <c r="K9009">
        <v>1.109834</v>
      </c>
      <c r="L9009">
        <v>-61.980620000000002</v>
      </c>
      <c r="M9009">
        <v>0.99816050000000001</v>
      </c>
      <c r="N9009">
        <v>0</v>
      </c>
      <c r="O9009">
        <v>-5.9907759999999997E-2</v>
      </c>
      <c r="P9009">
        <v>0.99627759999999999</v>
      </c>
      <c r="Q9009">
        <v>-2.0649069999999999E-2</v>
      </c>
      <c r="R9009">
        <v>-8.3695270000000002E-2</v>
      </c>
      <c r="S9009">
        <v>3.053391</v>
      </c>
      <c r="T9009">
        <v>2.2398950000000001E-2</v>
      </c>
      <c r="U9009">
        <v>0.49960329999999997</v>
      </c>
      <c r="V9009">
        <v>2.3862230000000002E-2</v>
      </c>
      <c r="W9009">
        <v>-1.13227E-2</v>
      </c>
      <c r="X9009">
        <v>0.99965110000000001</v>
      </c>
      <c r="Y9009">
        <v>-0.220302</v>
      </c>
      <c r="Z9009">
        <v>-1.2396099999999999E-3</v>
      </c>
      <c r="AA9009">
        <v>0.97543100000000005</v>
      </c>
      <c r="AB9009">
        <v>26</v>
      </c>
      <c r="AC9009">
        <v>93.297300000000007</v>
      </c>
      <c r="AD9009">
        <v>0.68534600000000001</v>
      </c>
      <c r="AE9009">
        <v>15.295499999999899</v>
      </c>
      <c r="AF9009">
        <v>-20.856404152846199</v>
      </c>
      <c r="AG9009">
        <v>0.68534600000000001</v>
      </c>
      <c r="AH9009">
        <v>92.208511478685693</v>
      </c>
      <c r="AI9009">
        <v>89.584645108854204</v>
      </c>
      <c r="AJ9009">
        <v>102.745122202961</v>
      </c>
      <c r="AK9009">
        <v>94.540302952981307</v>
      </c>
      <c r="AL9009">
        <v>90.648756807638506</v>
      </c>
      <c r="AM9009">
        <v>88.632577428189094</v>
      </c>
      <c r="AN9009">
        <v>0.99999996564353499</v>
      </c>
    </row>
    <row r="9010" spans="1:40" x14ac:dyDescent="0.25">
      <c r="A9010" t="str">
        <f>"20190312154133673"</f>
        <v>20190312154133673</v>
      </c>
      <c r="B9010" t="str">
        <f>"1552376493664691"</f>
        <v>1552376493664691</v>
      </c>
      <c r="C9010" t="s">
        <v>40</v>
      </c>
      <c r="D9010">
        <v>3.8909419999999999</v>
      </c>
      <c r="E9010">
        <v>0.40249370000000001</v>
      </c>
      <c r="F9010" t="s">
        <v>80</v>
      </c>
      <c r="G9010">
        <v>-157.3501</v>
      </c>
      <c r="H9010">
        <v>1.486731</v>
      </c>
      <c r="I9010">
        <v>-46.270269999999996</v>
      </c>
      <c r="J9010">
        <v>-250.5273</v>
      </c>
      <c r="K9010">
        <v>1.1098889999999999</v>
      </c>
      <c r="L9010">
        <v>-61.987670000000001</v>
      </c>
      <c r="M9010">
        <v>0.998166</v>
      </c>
      <c r="N9010">
        <v>0</v>
      </c>
      <c r="O9010">
        <v>-5.9770799999999999E-2</v>
      </c>
      <c r="P9010">
        <v>0.99627220000000005</v>
      </c>
      <c r="Q9010">
        <v>-2.0678209999999999E-2</v>
      </c>
      <c r="R9010">
        <v>-8.3752419999999994E-2</v>
      </c>
      <c r="S9010">
        <v>3.0546570000000002</v>
      </c>
      <c r="T9010">
        <v>1.2339350000000001E-2</v>
      </c>
      <c r="U9010">
        <v>0.51437379999999999</v>
      </c>
      <c r="V9010">
        <v>2.40568E-2</v>
      </c>
      <c r="W9010">
        <v>-1.106033E-2</v>
      </c>
      <c r="X9010">
        <v>0.99964940000000002</v>
      </c>
      <c r="Y9010">
        <v>-0.2246968</v>
      </c>
      <c r="Z9010">
        <v>-6.9062050000000003E-4</v>
      </c>
      <c r="AA9010">
        <v>0.97442850000000003</v>
      </c>
      <c r="AB9010">
        <v>26</v>
      </c>
      <c r="AC9010">
        <v>93.177199999999999</v>
      </c>
      <c r="AD9010">
        <v>0.37684200000000001</v>
      </c>
      <c r="AE9010">
        <v>15.7173999999999</v>
      </c>
      <c r="AF9010">
        <v>-21.258490835941501</v>
      </c>
      <c r="AG9010">
        <v>0.37684200000000001</v>
      </c>
      <c r="AH9010">
        <v>92.069646556114293</v>
      </c>
      <c r="AI9010">
        <v>89.771500916424301</v>
      </c>
      <c r="AJ9010">
        <v>103.001499534133</v>
      </c>
      <c r="AK9010">
        <v>94.492778874803903</v>
      </c>
      <c r="AL9010">
        <v>90.633723155369097</v>
      </c>
      <c r="AM9010">
        <v>88.621429556663202</v>
      </c>
      <c r="AN9010">
        <v>0.99999999172315401</v>
      </c>
    </row>
    <row r="9011" spans="1:40" x14ac:dyDescent="0.25">
      <c r="A9011" t="str">
        <f>"20190312154133685"</f>
        <v>20190312154133685</v>
      </c>
      <c r="B9011" t="str">
        <f>"1552376493675426"</f>
        <v>1552376493675426</v>
      </c>
      <c r="C9011" t="s">
        <v>40</v>
      </c>
      <c r="D9011">
        <v>3.9746100000000002</v>
      </c>
      <c r="E9011">
        <v>0.401808</v>
      </c>
      <c r="F9011" t="s">
        <v>80</v>
      </c>
      <c r="G9011">
        <v>-157.3501</v>
      </c>
      <c r="H9011">
        <v>1.234262</v>
      </c>
      <c r="I9011">
        <v>-46.078609999999998</v>
      </c>
      <c r="J9011">
        <v>-250.40039999999999</v>
      </c>
      <c r="K9011">
        <v>1.109945</v>
      </c>
      <c r="L9011">
        <v>-61.995150000000002</v>
      </c>
      <c r="M9011">
        <v>0.99817270000000002</v>
      </c>
      <c r="N9011">
        <v>0</v>
      </c>
      <c r="O9011">
        <v>-5.9609349999999998E-2</v>
      </c>
      <c r="P9011">
        <v>0.99627399999999999</v>
      </c>
      <c r="Q9011">
        <v>-2.1110380000000002E-2</v>
      </c>
      <c r="R9011">
        <v>-8.3623359999999994E-2</v>
      </c>
      <c r="S9011">
        <v>3.055161</v>
      </c>
      <c r="T9011">
        <v>4.0773149999999998E-3</v>
      </c>
      <c r="U9011">
        <v>0.52163700000000002</v>
      </c>
      <c r="V9011">
        <v>2.4089860000000001E-2</v>
      </c>
      <c r="W9011">
        <v>-1.1189630000000001E-2</v>
      </c>
      <c r="X9011">
        <v>0.99964719999999996</v>
      </c>
      <c r="Y9011">
        <v>-0.22676640000000001</v>
      </c>
      <c r="Z9011">
        <v>-2.2928029999999999E-4</v>
      </c>
      <c r="AA9011">
        <v>0.97394910000000001</v>
      </c>
      <c r="AB9011">
        <v>26</v>
      </c>
      <c r="AC9011">
        <v>93.050299999999993</v>
      </c>
      <c r="AD9011">
        <v>0.124316999999999</v>
      </c>
      <c r="AE9011">
        <v>15.916539999999999</v>
      </c>
      <c r="AF9011">
        <v>-21.435136636948801</v>
      </c>
      <c r="AG9011">
        <v>0.124316999999999</v>
      </c>
      <c r="AH9011">
        <v>91.935839495075797</v>
      </c>
      <c r="AI9011">
        <v>89.924547521744202</v>
      </c>
      <c r="AJ9011">
        <v>103.124234802967</v>
      </c>
      <c r="AK9011">
        <v>94.401690244536994</v>
      </c>
      <c r="AL9011">
        <v>90.641131935713304</v>
      </c>
      <c r="AM9011">
        <v>88.619532755190605</v>
      </c>
      <c r="AN9011">
        <v>1.00000002682109</v>
      </c>
    </row>
    <row r="9012" spans="1:40" x14ac:dyDescent="0.25">
      <c r="A9012" t="str">
        <f>"20190312154133695"</f>
        <v>20190312154133695</v>
      </c>
      <c r="B9012" t="str">
        <f>"1552376493685187"</f>
        <v>1552376493685187</v>
      </c>
      <c r="C9012" t="s">
        <v>40</v>
      </c>
      <c r="D9012">
        <v>3.9500190000000002</v>
      </c>
      <c r="E9012">
        <v>0.4013273</v>
      </c>
      <c r="F9012" t="s">
        <v>80</v>
      </c>
      <c r="G9012">
        <v>-157.3501</v>
      </c>
      <c r="H9012">
        <v>1.127194</v>
      </c>
      <c r="I9012">
        <v>-45.928359999999998</v>
      </c>
      <c r="J9012">
        <v>-250.27520000000001</v>
      </c>
      <c r="K9012">
        <v>1.109996</v>
      </c>
      <c r="L9012">
        <v>-62.00244</v>
      </c>
      <c r="M9012">
        <v>0.9981795</v>
      </c>
      <c r="N9012">
        <v>0</v>
      </c>
      <c r="O9012">
        <v>-5.9443370000000002E-2</v>
      </c>
      <c r="P9012">
        <v>0.9962453</v>
      </c>
      <c r="Q9012">
        <v>-2.2127020000000001E-2</v>
      </c>
      <c r="R9012">
        <v>-8.3701429999999993E-2</v>
      </c>
      <c r="S9012">
        <v>3.0555110000000001</v>
      </c>
      <c r="T9012">
        <v>5.657673E-4</v>
      </c>
      <c r="U9012">
        <v>0.5275879</v>
      </c>
      <c r="V9012">
        <v>2.433625E-2</v>
      </c>
      <c r="W9012">
        <v>-1.190982E-2</v>
      </c>
      <c r="X9012">
        <v>0.99963290000000005</v>
      </c>
      <c r="Y9012">
        <v>-0.22842850000000001</v>
      </c>
      <c r="Z9012" s="1">
        <v>-3.1928470000000002E-5</v>
      </c>
      <c r="AA9012">
        <v>0.97356069999999995</v>
      </c>
      <c r="AB9012">
        <v>25</v>
      </c>
      <c r="AC9012">
        <v>92.9251</v>
      </c>
      <c r="AD9012">
        <v>1.7198000000000001E-2</v>
      </c>
      <c r="AE9012">
        <v>16.074079999999999</v>
      </c>
      <c r="AF9012">
        <v>-21.569721026454499</v>
      </c>
      <c r="AG9012">
        <v>1.7198000000000001E-2</v>
      </c>
      <c r="AH9012">
        <v>91.805211187355496</v>
      </c>
      <c r="AI9012">
        <v>89.989551223336605</v>
      </c>
      <c r="AJ9012">
        <v>103.22188755527</v>
      </c>
      <c r="AK9012">
        <v>94.305089799465307</v>
      </c>
      <c r="AL9012">
        <v>90.682398542948604</v>
      </c>
      <c r="AM9012">
        <v>88.605399004293503</v>
      </c>
      <c r="AN9012">
        <v>1.00000001581945</v>
      </c>
    </row>
    <row r="9013" spans="1:40" x14ac:dyDescent="0.25">
      <c r="A9013" t="str">
        <f>"20190312154133707"</f>
        <v>20190312154133707</v>
      </c>
      <c r="B9013" t="str">
        <f>"1552376493694947"</f>
        <v>1552376493694947</v>
      </c>
      <c r="C9013" t="s">
        <v>40</v>
      </c>
      <c r="D9013">
        <v>3.947441</v>
      </c>
      <c r="E9013">
        <v>0.40089960000000002</v>
      </c>
      <c r="F9013" t="s">
        <v>80</v>
      </c>
      <c r="G9013">
        <v>-157.3501</v>
      </c>
      <c r="H9013">
        <v>0.85626219999999997</v>
      </c>
      <c r="I9013">
        <v>-45.844329999999999</v>
      </c>
      <c r="J9013">
        <v>-250.15090000000001</v>
      </c>
      <c r="K9013">
        <v>1.1100410000000001</v>
      </c>
      <c r="L9013">
        <v>-62.009639999999997</v>
      </c>
      <c r="M9013">
        <v>0.99818770000000001</v>
      </c>
      <c r="N9013">
        <v>0</v>
      </c>
      <c r="O9013">
        <v>-5.9259680000000002E-2</v>
      </c>
      <c r="P9013">
        <v>0.99623700000000004</v>
      </c>
      <c r="Q9013">
        <v>-2.302709E-2</v>
      </c>
      <c r="R9013">
        <v>-8.3557809999999996E-2</v>
      </c>
      <c r="S9013">
        <v>3.0557400000000001</v>
      </c>
      <c r="T9013">
        <v>-8.3444119999999903E-3</v>
      </c>
      <c r="U9013">
        <v>0.53134159999999997</v>
      </c>
      <c r="V9013">
        <v>2.4377940000000001E-2</v>
      </c>
      <c r="W9013">
        <v>-1.2531479999999999E-2</v>
      </c>
      <c r="X9013">
        <v>0.99962430000000002</v>
      </c>
      <c r="Y9013">
        <v>-0.2293972</v>
      </c>
      <c r="Z9013">
        <v>4.7163940000000002E-4</v>
      </c>
      <c r="AA9013">
        <v>0.9733328</v>
      </c>
      <c r="AB9013">
        <v>25</v>
      </c>
      <c r="AC9013">
        <v>92.800799999999995</v>
      </c>
      <c r="AD9013">
        <v>-0.25377880000000003</v>
      </c>
      <c r="AE9013">
        <v>16.165310000000002</v>
      </c>
      <c r="AF9013">
        <v>-21.636388059474299</v>
      </c>
      <c r="AG9013">
        <v>-0.25377880000000003</v>
      </c>
      <c r="AH9013">
        <v>91.679025048369795</v>
      </c>
      <c r="AI9013">
        <v>90.154360917273294</v>
      </c>
      <c r="AJ9013">
        <v>103.278918084501</v>
      </c>
      <c r="AK9013">
        <v>94.197883870918801</v>
      </c>
      <c r="AL9013">
        <v>90.718019685962801</v>
      </c>
      <c r="AM9013">
        <v>88.602998870023796</v>
      </c>
      <c r="AN9013">
        <v>1.0000000315500599</v>
      </c>
    </row>
    <row r="9014" spans="1:40" x14ac:dyDescent="0.25">
      <c r="A9014" t="str">
        <f>"20190312154133717"</f>
        <v>20190312154133717</v>
      </c>
      <c r="B9014" t="str">
        <f>"1552376493714974"</f>
        <v>1552376493714974</v>
      </c>
      <c r="C9014" t="s">
        <v>40</v>
      </c>
      <c r="D9014">
        <v>3.930885</v>
      </c>
      <c r="E9014">
        <v>0.3997812</v>
      </c>
      <c r="F9014" t="s">
        <v>80</v>
      </c>
      <c r="G9014">
        <v>-157.3501</v>
      </c>
      <c r="H9014">
        <v>0.66375260000000003</v>
      </c>
      <c r="I9014">
        <v>-45.75253</v>
      </c>
      <c r="J9014">
        <v>-250.0299</v>
      </c>
      <c r="K9014">
        <v>1.1100829999999999</v>
      </c>
      <c r="L9014">
        <v>-62.016629999999999</v>
      </c>
      <c r="M9014">
        <v>0.99819550000000001</v>
      </c>
      <c r="N9014">
        <v>0</v>
      </c>
      <c r="O9014">
        <v>-5.9077409999999997E-2</v>
      </c>
      <c r="P9014">
        <v>0.99624290000000004</v>
      </c>
      <c r="Q9014">
        <v>-2.4160399999999999E-2</v>
      </c>
      <c r="R9014">
        <v>-8.3165500000000003E-2</v>
      </c>
      <c r="S9014">
        <v>3.0558930000000002</v>
      </c>
      <c r="T9014">
        <v>-1.469672E-2</v>
      </c>
      <c r="U9014">
        <v>0.53533940000000002</v>
      </c>
      <c r="V9014">
        <v>2.4169380000000001E-2</v>
      </c>
      <c r="W9014">
        <v>-1.339657E-2</v>
      </c>
      <c r="X9014">
        <v>0.99961809999999995</v>
      </c>
      <c r="Y9014">
        <v>-0.23044480000000001</v>
      </c>
      <c r="Z9014">
        <v>8.3217770000000005E-4</v>
      </c>
      <c r="AA9014">
        <v>0.97308499999999998</v>
      </c>
      <c r="AB9014">
        <v>25</v>
      </c>
      <c r="AC9014">
        <v>92.6798</v>
      </c>
      <c r="AD9014">
        <v>-0.44633039999999902</v>
      </c>
      <c r="AE9014">
        <v>16.264099999999999</v>
      </c>
      <c r="AF9014">
        <v>-21.7108004815119</v>
      </c>
      <c r="AG9014">
        <v>-0.44633039999999902</v>
      </c>
      <c r="AH9014">
        <v>91.554950773270505</v>
      </c>
      <c r="AI9014">
        <v>90.271777957347794</v>
      </c>
      <c r="AJ9014">
        <v>103.34037145731099</v>
      </c>
      <c r="AK9014">
        <v>94.094989661883602</v>
      </c>
      <c r="AL9014">
        <v>90.767589892182102</v>
      </c>
      <c r="AM9014">
        <v>88.614937337018105</v>
      </c>
      <c r="AN9014">
        <v>0.999999986432479</v>
      </c>
    </row>
    <row r="9015" spans="1:40" x14ac:dyDescent="0.25">
      <c r="A9015" t="str">
        <f>"20190312154133729"</f>
        <v>20190312154133729</v>
      </c>
      <c r="B9015" t="str">
        <f>"1552376493724742"</f>
        <v>1552376493724742</v>
      </c>
      <c r="C9015" t="s">
        <v>40</v>
      </c>
      <c r="D9015">
        <v>3.9504429999999999</v>
      </c>
      <c r="E9015">
        <v>0.39928409999999998</v>
      </c>
      <c r="F9015" t="s">
        <v>80</v>
      </c>
      <c r="G9015">
        <v>-157.3501</v>
      </c>
      <c r="H9015">
        <v>0.31865880000000002</v>
      </c>
      <c r="I9015">
        <v>-45.466169999999998</v>
      </c>
      <c r="J9015">
        <v>-249.89920000000001</v>
      </c>
      <c r="K9015">
        <v>1.1101190000000001</v>
      </c>
      <c r="L9015">
        <v>-62.024169999999998</v>
      </c>
      <c r="M9015">
        <v>0.99820529999999996</v>
      </c>
      <c r="N9015">
        <v>0</v>
      </c>
      <c r="O9015">
        <v>-5.8861049999999998E-2</v>
      </c>
      <c r="P9015">
        <v>0.99624009999999996</v>
      </c>
      <c r="Q9015">
        <v>-2.47146E-2</v>
      </c>
      <c r="R9015">
        <v>-8.3037070000000004E-2</v>
      </c>
      <c r="S9015">
        <v>3.0562589999999998</v>
      </c>
      <c r="T9015">
        <v>-2.6099089999999998E-2</v>
      </c>
      <c r="U9015">
        <v>0.54577640000000005</v>
      </c>
      <c r="V9015">
        <v>2.4258370000000001E-2</v>
      </c>
      <c r="W9015">
        <v>-1.368224E-2</v>
      </c>
      <c r="X9015">
        <v>0.9996121</v>
      </c>
      <c r="Y9015">
        <v>-0.23342830000000001</v>
      </c>
      <c r="Z9015">
        <v>1.4880060000000001E-3</v>
      </c>
      <c r="AA9015">
        <v>0.97237289999999998</v>
      </c>
      <c r="AB9015">
        <v>25</v>
      </c>
      <c r="AC9015">
        <v>92.549099999999996</v>
      </c>
      <c r="AD9015">
        <v>-0.79146019999999995</v>
      </c>
      <c r="AE9015">
        <v>16.558</v>
      </c>
      <c r="AF9015">
        <v>-21.9755990309738</v>
      </c>
      <c r="AG9015">
        <v>-0.79146019999999995</v>
      </c>
      <c r="AH9015">
        <v>91.407459414983904</v>
      </c>
      <c r="AI9015">
        <v>90.482345573753904</v>
      </c>
      <c r="AJ9015">
        <v>103.518139641952</v>
      </c>
      <c r="AK9015">
        <v>94.015301939206907</v>
      </c>
      <c r="AL9015">
        <v>90.783959058699907</v>
      </c>
      <c r="AM9015">
        <v>88.609831287851407</v>
      </c>
      <c r="AN9015">
        <v>1.00000001133644</v>
      </c>
    </row>
    <row r="9016" spans="1:40" x14ac:dyDescent="0.25">
      <c r="A9016" t="str">
        <f>"20190312154133741"</f>
        <v>20190312154133741</v>
      </c>
      <c r="B9016" t="str">
        <f>"1552376493735482"</f>
        <v>1552376493735482</v>
      </c>
      <c r="C9016" t="s">
        <v>40</v>
      </c>
      <c r="D9016">
        <v>3.9412250000000002</v>
      </c>
      <c r="E9016">
        <v>0.39874520000000002</v>
      </c>
      <c r="F9016" t="s">
        <v>80</v>
      </c>
      <c r="G9016">
        <v>-157.3501</v>
      </c>
      <c r="H9016">
        <v>0.1208863</v>
      </c>
      <c r="I9016">
        <v>-45.359940000000002</v>
      </c>
      <c r="J9016">
        <v>-249.77199999999999</v>
      </c>
      <c r="K9016">
        <v>1.110155</v>
      </c>
      <c r="L9016">
        <v>-62.03143</v>
      </c>
      <c r="M9016">
        <v>0.99821530000000003</v>
      </c>
      <c r="N9016">
        <v>0</v>
      </c>
      <c r="O9016">
        <v>-5.8645610000000001E-2</v>
      </c>
      <c r="P9016">
        <v>0.99625589999999997</v>
      </c>
      <c r="Q9016">
        <v>-2.5630119999999999E-2</v>
      </c>
      <c r="R9016">
        <v>-8.2567829999999995E-2</v>
      </c>
      <c r="S9016">
        <v>3.0563660000000001</v>
      </c>
      <c r="T9016">
        <v>-3.266931E-2</v>
      </c>
      <c r="U9016">
        <v>0.55032349999999997</v>
      </c>
      <c r="V9016">
        <v>2.4005660000000002E-2</v>
      </c>
      <c r="W9016">
        <v>-1.4343679999999999E-2</v>
      </c>
      <c r="X9016">
        <v>0.99960890000000002</v>
      </c>
      <c r="Y9016">
        <v>-0.23460819999999999</v>
      </c>
      <c r="Z9016">
        <v>1.8662500000000001E-3</v>
      </c>
      <c r="AA9016">
        <v>0.97208819999999996</v>
      </c>
      <c r="AB9016">
        <v>25</v>
      </c>
      <c r="AC9016">
        <v>92.421899999999994</v>
      </c>
      <c r="AD9016">
        <v>-0.9892687</v>
      </c>
      <c r="AE9016">
        <v>16.671489999999999</v>
      </c>
      <c r="AF9016">
        <v>-22.060827230904302</v>
      </c>
      <c r="AG9016">
        <v>-0.9892687</v>
      </c>
      <c r="AH9016">
        <v>91.274909481888102</v>
      </c>
      <c r="AI9016">
        <v>90.603588530440305</v>
      </c>
      <c r="AJ9016">
        <v>103.587606835668</v>
      </c>
      <c r="AK9016">
        <v>93.908294903056699</v>
      </c>
      <c r="AL9016">
        <v>90.821860524127999</v>
      </c>
      <c r="AM9016">
        <v>88.624303283702801</v>
      </c>
      <c r="AN9016">
        <v>0.99999998291359304</v>
      </c>
    </row>
    <row r="9017" spans="1:40" x14ac:dyDescent="0.25">
      <c r="A9017" t="str">
        <f>"20190312154133752"</f>
        <v>20190312154133752</v>
      </c>
      <c r="B9017" t="str">
        <f>"1552376493745230"</f>
        <v>1552376493745230</v>
      </c>
      <c r="C9017" t="s">
        <v>40</v>
      </c>
      <c r="D9017">
        <v>3.9021880000000002</v>
      </c>
      <c r="E9017">
        <v>0.39835130000000002</v>
      </c>
      <c r="F9017" t="s">
        <v>43</v>
      </c>
      <c r="G9017">
        <v>-159.93270000000001</v>
      </c>
      <c r="H9017">
        <v>-0.05</v>
      </c>
      <c r="I9017">
        <v>-45.683810000000001</v>
      </c>
      <c r="J9017">
        <v>-249.63980000000001</v>
      </c>
      <c r="K9017">
        <v>1.1101890000000001</v>
      </c>
      <c r="L9017">
        <v>-62.038939999999997</v>
      </c>
      <c r="M9017">
        <v>0.99822650000000002</v>
      </c>
      <c r="N9017">
        <v>0</v>
      </c>
      <c r="O9017">
        <v>-5.8409179999999998E-2</v>
      </c>
      <c r="P9017">
        <v>0.9962898</v>
      </c>
      <c r="Q9017">
        <v>-2.582342E-2</v>
      </c>
      <c r="R9017">
        <v>-8.2098749999999998E-2</v>
      </c>
      <c r="S9017">
        <v>3.0563660000000001</v>
      </c>
      <c r="T9017">
        <v>-3.9468879999999998E-2</v>
      </c>
      <c r="U9017">
        <v>0.55615230000000004</v>
      </c>
      <c r="V9017">
        <v>2.3772390000000001E-2</v>
      </c>
      <c r="W9017">
        <v>-1.428951E-2</v>
      </c>
      <c r="X9017">
        <v>0.99961529999999998</v>
      </c>
      <c r="Y9017">
        <v>-0.23616529999999999</v>
      </c>
      <c r="Z9017">
        <v>2.2612230000000001E-3</v>
      </c>
      <c r="AA9017">
        <v>0.97171030000000003</v>
      </c>
      <c r="AB9017">
        <v>25</v>
      </c>
      <c r="AC9017">
        <v>89.707099999999997</v>
      </c>
      <c r="AD9017">
        <v>-1.1601889999999999</v>
      </c>
      <c r="AE9017">
        <v>16.355129999999999</v>
      </c>
      <c r="AF9017">
        <v>-21.563777391198201</v>
      </c>
      <c r="AG9017">
        <v>-1.1601889999999999</v>
      </c>
      <c r="AH9017">
        <v>88.584231942721701</v>
      </c>
      <c r="AI9017">
        <v>90.729072838039102</v>
      </c>
      <c r="AJ9017">
        <v>103.681237019012</v>
      </c>
      <c r="AK9017">
        <v>91.1784441782968</v>
      </c>
      <c r="AL9017">
        <v>90.818756453128501</v>
      </c>
      <c r="AM9017">
        <v>88.637674986351598</v>
      </c>
      <c r="AN9017">
        <v>1.0000000323082201</v>
      </c>
    </row>
    <row r="9018" spans="1:40" x14ac:dyDescent="0.25">
      <c r="A9018" t="str">
        <f>"20190312154133763"</f>
        <v>20190312154133763</v>
      </c>
      <c r="B9018" t="str">
        <f>"1552376493754990"</f>
        <v>1552376493754990</v>
      </c>
      <c r="C9018" t="s">
        <v>40</v>
      </c>
      <c r="D9018">
        <v>3.940439</v>
      </c>
      <c r="E9018">
        <v>0.3980148</v>
      </c>
      <c r="F9018" t="s">
        <v>69</v>
      </c>
      <c r="G9018">
        <v>-176.5213</v>
      </c>
      <c r="H9018">
        <v>7.9986570000000007E-2</v>
      </c>
      <c r="I9018">
        <v>-48.621079999999999</v>
      </c>
      <c r="J9018">
        <v>-249.51589999999999</v>
      </c>
      <c r="K9018">
        <v>1.11022</v>
      </c>
      <c r="L9018">
        <v>-62.045929999999998</v>
      </c>
      <c r="M9018">
        <v>0.99823720000000005</v>
      </c>
      <c r="N9018">
        <v>0</v>
      </c>
      <c r="O9018">
        <v>-5.8178489999999999E-2</v>
      </c>
      <c r="P9018">
        <v>0.99632659999999995</v>
      </c>
      <c r="Q9018">
        <v>-2.630944E-2</v>
      </c>
      <c r="R9018">
        <v>-8.1495020000000001E-2</v>
      </c>
      <c r="S9018">
        <v>3.0562740000000002</v>
      </c>
      <c r="T9018">
        <v>-4.3061380000000003E-2</v>
      </c>
      <c r="U9018">
        <v>0.56085209999999996</v>
      </c>
      <c r="V9018">
        <v>2.3399050000000001E-2</v>
      </c>
      <c r="W9018">
        <v>-1.455624E-2</v>
      </c>
      <c r="X9018">
        <v>0.99962019999999996</v>
      </c>
      <c r="Y9018">
        <v>-0.23738719999999999</v>
      </c>
      <c r="Z9018">
        <v>2.4720760000000001E-3</v>
      </c>
      <c r="AA9018">
        <v>0.97141189999999999</v>
      </c>
      <c r="AB9018">
        <v>25</v>
      </c>
      <c r="AC9018">
        <v>72.994599999999906</v>
      </c>
      <c r="AD9018">
        <v>-1.03023343</v>
      </c>
      <c r="AE9018">
        <v>13.424849999999999</v>
      </c>
      <c r="AF9018">
        <v>-17.645715932083</v>
      </c>
      <c r="AG9018">
        <v>-1.03023343</v>
      </c>
      <c r="AH9018">
        <v>72.075965393866795</v>
      </c>
      <c r="AI9018">
        <v>90.795426031338295</v>
      </c>
      <c r="AJ9018">
        <v>103.75662960027699</v>
      </c>
      <c r="AK9018">
        <v>74.211707022099503</v>
      </c>
      <c r="AL9018">
        <v>90.834040596065293</v>
      </c>
      <c r="AM9018">
        <v>88.659068688804098</v>
      </c>
      <c r="AN9018">
        <v>0.99999997195593904</v>
      </c>
    </row>
    <row r="9019" spans="1:40" x14ac:dyDescent="0.25">
      <c r="A9019" t="str">
        <f>"20190312154133773"</f>
        <v>20190312154133773</v>
      </c>
      <c r="B9019" t="str">
        <f>"1552376493764750"</f>
        <v>1552376493764750</v>
      </c>
      <c r="C9019" t="s">
        <v>40</v>
      </c>
      <c r="D9019">
        <v>3.8626480000000001</v>
      </c>
      <c r="E9019">
        <v>0.39771060000000003</v>
      </c>
      <c r="F9019" t="s">
        <v>69</v>
      </c>
      <c r="G9019">
        <v>-179.95240000000001</v>
      </c>
      <c r="H9019">
        <v>5.5353390000000002E-2</v>
      </c>
      <c r="I9019">
        <v>-49.176049999999996</v>
      </c>
      <c r="J9019">
        <v>-249.39699999999999</v>
      </c>
      <c r="K9019">
        <v>1.1102430000000001</v>
      </c>
      <c r="L9019">
        <v>-62.052639999999997</v>
      </c>
      <c r="M9019">
        <v>0.99824809999999997</v>
      </c>
      <c r="N9019">
        <v>0</v>
      </c>
      <c r="O9019">
        <v>-5.795049E-2</v>
      </c>
      <c r="P9019">
        <v>0.99636170000000002</v>
      </c>
      <c r="Q9019">
        <v>-2.6573369999999999E-2</v>
      </c>
      <c r="R9019">
        <v>-8.0978410000000001E-2</v>
      </c>
      <c r="S9019">
        <v>3.0560610000000001</v>
      </c>
      <c r="T9019">
        <v>-4.6342370000000001E-2</v>
      </c>
      <c r="U9019">
        <v>0.56539919999999899</v>
      </c>
      <c r="V9019">
        <v>2.310999E-2</v>
      </c>
      <c r="W9019">
        <v>-1.461936E-2</v>
      </c>
      <c r="X9019">
        <v>0.99962600000000001</v>
      </c>
      <c r="Y9019">
        <v>-0.23857059999999999</v>
      </c>
      <c r="Z9019">
        <v>2.6657130000000001E-3</v>
      </c>
      <c r="AA9019">
        <v>0.97112149999999997</v>
      </c>
      <c r="AB9019">
        <v>25</v>
      </c>
      <c r="AC9019">
        <v>69.444599999999994</v>
      </c>
      <c r="AD9019">
        <v>-1.05488961</v>
      </c>
      <c r="AE9019">
        <v>12.87659</v>
      </c>
      <c r="AF9019">
        <v>-16.875817952751099</v>
      </c>
      <c r="AG9019">
        <v>-1.05488961</v>
      </c>
      <c r="AH9019">
        <v>68.566325320315002</v>
      </c>
      <c r="AI9019">
        <v>90.855884892451698</v>
      </c>
      <c r="AJ9019">
        <v>103.82703836161799</v>
      </c>
      <c r="AK9019">
        <v>70.620443156319496</v>
      </c>
      <c r="AL9019">
        <v>90.8376574934464</v>
      </c>
      <c r="AM9019">
        <v>88.675635619220799</v>
      </c>
      <c r="AN9019">
        <v>0.99999996860030405</v>
      </c>
    </row>
    <row r="9020" spans="1:40" x14ac:dyDescent="0.25">
      <c r="A9020" t="str">
        <f>"20190312154133785"</f>
        <v>20190312154133785</v>
      </c>
      <c r="B9020" t="str">
        <f>"1552376493775487"</f>
        <v>1552376493775487</v>
      </c>
      <c r="C9020" t="s">
        <v>40</v>
      </c>
      <c r="D9020">
        <v>3.884779</v>
      </c>
      <c r="E9020">
        <v>0.39739479999999999</v>
      </c>
      <c r="F9020" t="s">
        <v>69</v>
      </c>
      <c r="G9020">
        <v>-181.047</v>
      </c>
      <c r="H9020" s="1">
        <v>-2.1851929999999999E-6</v>
      </c>
      <c r="I9020">
        <v>-49.314610000000002</v>
      </c>
      <c r="J9020">
        <v>-249.26859999999999</v>
      </c>
      <c r="K9020">
        <v>1.110269</v>
      </c>
      <c r="L9020">
        <v>-62.059780000000003</v>
      </c>
      <c r="M9020">
        <v>0.9982605</v>
      </c>
      <c r="N9020">
        <v>0</v>
      </c>
      <c r="O9020">
        <v>-5.7692470000000003E-2</v>
      </c>
      <c r="P9020">
        <v>0.99640660000000003</v>
      </c>
      <c r="Q9020">
        <v>-2.672561E-2</v>
      </c>
      <c r="R9020">
        <v>-8.0373730000000004E-2</v>
      </c>
      <c r="S9020">
        <v>3.055939</v>
      </c>
      <c r="T9020">
        <v>-4.9639229999999999E-2</v>
      </c>
      <c r="U9020">
        <v>0.569519</v>
      </c>
      <c r="V9020">
        <v>2.276218E-2</v>
      </c>
      <c r="W9020">
        <v>-1.457052E-2</v>
      </c>
      <c r="X9020">
        <v>0.99963469999999999</v>
      </c>
      <c r="Y9020">
        <v>-0.2395872</v>
      </c>
      <c r="Z9020">
        <v>2.859131E-3</v>
      </c>
      <c r="AA9020">
        <v>0.97087069999999998</v>
      </c>
      <c r="AB9020">
        <v>25</v>
      </c>
      <c r="AC9020">
        <v>68.221599999999995</v>
      </c>
      <c r="AD9020">
        <v>-1.1102711851930001</v>
      </c>
      <c r="AE9020">
        <v>12.74517</v>
      </c>
      <c r="AF9020">
        <v>-16.655838887791901</v>
      </c>
      <c r="AG9020">
        <v>-1.1102711851930001</v>
      </c>
      <c r="AH9020">
        <v>67.355360868633994</v>
      </c>
      <c r="AI9020">
        <v>90.9167571475069</v>
      </c>
      <c r="AJ9020">
        <v>103.889637196386</v>
      </c>
      <c r="AK9020">
        <v>69.393042222579197</v>
      </c>
      <c r="AL9020">
        <v>90.834858863917006</v>
      </c>
      <c r="AM9020">
        <v>88.695571979141505</v>
      </c>
      <c r="AN9020">
        <v>0.99999997516775596</v>
      </c>
    </row>
    <row r="9021" spans="1:40" x14ac:dyDescent="0.25">
      <c r="A9021" t="str">
        <f>"20190312154133795"</f>
        <v>20190312154133795</v>
      </c>
      <c r="B9021" t="str">
        <f>"1552376493785248"</f>
        <v>1552376493785248</v>
      </c>
      <c r="C9021" t="s">
        <v>40</v>
      </c>
      <c r="D9021">
        <v>3.8571240000000002</v>
      </c>
      <c r="E9021">
        <v>0.3971189</v>
      </c>
      <c r="F9021" t="s">
        <v>69</v>
      </c>
      <c r="G9021">
        <v>-183.12729999999999</v>
      </c>
      <c r="H9021" s="1">
        <v>-2.457039E-6</v>
      </c>
      <c r="I9021">
        <v>-49.636870000000002</v>
      </c>
      <c r="J9021">
        <v>-249.14879999999999</v>
      </c>
      <c r="K9021">
        <v>1.1102909999999999</v>
      </c>
      <c r="L9021">
        <v>-62.066470000000002</v>
      </c>
      <c r="M9021">
        <v>0.99827250000000001</v>
      </c>
      <c r="N9021">
        <v>0</v>
      </c>
      <c r="O9021">
        <v>-5.7447850000000002E-2</v>
      </c>
      <c r="P9021">
        <v>0.99645249999999996</v>
      </c>
      <c r="Q9021">
        <v>-2.6759350000000001E-2</v>
      </c>
      <c r="R9021">
        <v>-7.9790159999999999E-2</v>
      </c>
      <c r="S9021">
        <v>3.0557560000000001</v>
      </c>
      <c r="T9021">
        <v>-5.129504E-2</v>
      </c>
      <c r="U9021">
        <v>0.57394409999999996</v>
      </c>
      <c r="V9021">
        <v>2.2422060000000001E-2</v>
      </c>
      <c r="W9021">
        <v>-1.442278E-2</v>
      </c>
      <c r="X9021">
        <v>0.99964459999999999</v>
      </c>
      <c r="Y9021">
        <v>-0.2407154</v>
      </c>
      <c r="Z9021">
        <v>2.959597E-3</v>
      </c>
      <c r="AA9021">
        <v>0.97059119999999999</v>
      </c>
      <c r="AB9021">
        <v>25</v>
      </c>
      <c r="AC9021">
        <v>66.021500000000003</v>
      </c>
      <c r="AD9021">
        <v>-1.110293457039</v>
      </c>
      <c r="AE9021">
        <v>12.429599999999899</v>
      </c>
      <c r="AF9021">
        <v>-16.197726388800898</v>
      </c>
      <c r="AG9021">
        <v>-1.110293457039</v>
      </c>
      <c r="AH9021">
        <v>65.180538390526706</v>
      </c>
      <c r="AI9021">
        <v>90.9470889110775</v>
      </c>
      <c r="AJ9021">
        <v>103.955627001186</v>
      </c>
      <c r="AK9021">
        <v>67.172179334945895</v>
      </c>
      <c r="AL9021">
        <v>90.826393037232705</v>
      </c>
      <c r="AM9021">
        <v>88.7150693097512</v>
      </c>
      <c r="AN9021">
        <v>1.00000004583336</v>
      </c>
    </row>
    <row r="9022" spans="1:40" x14ac:dyDescent="0.25">
      <c r="A9022" t="str">
        <f>"20190312154133807"</f>
        <v>20190312154133807</v>
      </c>
      <c r="B9022" t="str">
        <f>"1552376493795006"</f>
        <v>1552376493795006</v>
      </c>
      <c r="C9022" t="s">
        <v>40</v>
      </c>
      <c r="D9022">
        <v>3.8774130000000002</v>
      </c>
      <c r="E9022">
        <v>0.39690930000000002</v>
      </c>
      <c r="F9022" t="s">
        <v>69</v>
      </c>
      <c r="G9022">
        <v>-184.71600000000001</v>
      </c>
      <c r="H9022" s="1">
        <v>-2.6668090000000001E-6</v>
      </c>
      <c r="I9022">
        <v>-49.879309999999997</v>
      </c>
      <c r="J9022">
        <v>-249.0232</v>
      </c>
      <c r="K9022">
        <v>1.110312</v>
      </c>
      <c r="L9022">
        <v>-62.073390000000003</v>
      </c>
      <c r="M9022">
        <v>0.99828589999999995</v>
      </c>
      <c r="N9022">
        <v>0</v>
      </c>
      <c r="O9022">
        <v>-5.7178420000000001E-2</v>
      </c>
      <c r="P9022">
        <v>0.99648230000000004</v>
      </c>
      <c r="Q9022">
        <v>-2.699994E-2</v>
      </c>
      <c r="R9022">
        <v>-7.933801E-2</v>
      </c>
      <c r="S9022">
        <v>3.055542</v>
      </c>
      <c r="T9022">
        <v>-5.2652600000000001E-2</v>
      </c>
      <c r="U9022">
        <v>0.57794190000000001</v>
      </c>
      <c r="V9022">
        <v>2.2238890000000001E-2</v>
      </c>
      <c r="W9022">
        <v>-1.449171E-2</v>
      </c>
      <c r="X9022">
        <v>0.99964770000000003</v>
      </c>
      <c r="Y9022">
        <v>-0.24168979999999901</v>
      </c>
      <c r="Z9022">
        <v>3.0414800000000001E-3</v>
      </c>
      <c r="AA9022">
        <v>0.97034880000000001</v>
      </c>
      <c r="AB9022">
        <v>25</v>
      </c>
      <c r="AC9022">
        <v>64.307199999999995</v>
      </c>
      <c r="AD9022">
        <v>-1.110314666809</v>
      </c>
      <c r="AE9022">
        <v>12.19408</v>
      </c>
      <c r="AF9022">
        <v>-15.846837708553</v>
      </c>
      <c r="AG9022">
        <v>-1.110314666809</v>
      </c>
      <c r="AH9022">
        <v>63.486413980087903</v>
      </c>
      <c r="AI9022">
        <v>90.972123858271104</v>
      </c>
      <c r="AJ9022">
        <v>104.01520544780701</v>
      </c>
      <c r="AK9022">
        <v>65.443714931776697</v>
      </c>
      <c r="AL9022">
        <v>90.830342843643294</v>
      </c>
      <c r="AM9022">
        <v>88.725566623464204</v>
      </c>
      <c r="AN9022">
        <v>1.0000000510012199</v>
      </c>
    </row>
    <row r="9023" spans="1:40" x14ac:dyDescent="0.25">
      <c r="A9023" t="str">
        <f>"20190312154133818"</f>
        <v>20190312154133818</v>
      </c>
      <c r="B9023" t="str">
        <f>"1552376493815501"</f>
        <v>1552376493815501</v>
      </c>
      <c r="C9023" t="s">
        <v>40</v>
      </c>
      <c r="D9023">
        <v>3.874641</v>
      </c>
      <c r="E9023">
        <v>0.39658290000000002</v>
      </c>
      <c r="F9023" t="s">
        <v>69</v>
      </c>
      <c r="G9023">
        <v>-186.5993</v>
      </c>
      <c r="H9023" s="1">
        <v>-2.8941989999999999E-6</v>
      </c>
      <c r="I9023">
        <v>-50.202629999999999</v>
      </c>
      <c r="J9023">
        <v>-248.8998</v>
      </c>
      <c r="K9023">
        <v>1.11032999999999</v>
      </c>
      <c r="L9023">
        <v>-62.080170000000003</v>
      </c>
      <c r="M9023">
        <v>0.99829909999999999</v>
      </c>
      <c r="N9023">
        <v>0</v>
      </c>
      <c r="O9023">
        <v>-5.6910620000000002E-2</v>
      </c>
      <c r="P9023">
        <v>0.99651149999999999</v>
      </c>
      <c r="Q9023">
        <v>-2.7350449999999998E-2</v>
      </c>
      <c r="R9023">
        <v>-7.8847009999999995E-2</v>
      </c>
      <c r="S9023">
        <v>3.0553889999999999</v>
      </c>
      <c r="T9023">
        <v>-5.4345249999999998E-2</v>
      </c>
      <c r="U9023">
        <v>0.58102419999999899</v>
      </c>
      <c r="V9023">
        <v>2.2015489999999999E-2</v>
      </c>
      <c r="W9023">
        <v>-1.467749E-2</v>
      </c>
      <c r="X9023">
        <v>0.99964989999999998</v>
      </c>
      <c r="Y9023">
        <v>-0.2423804</v>
      </c>
      <c r="Z9023">
        <v>3.1404710000000001E-3</v>
      </c>
      <c r="AA9023">
        <v>0.97017620000000004</v>
      </c>
      <c r="AB9023">
        <v>25</v>
      </c>
      <c r="AC9023">
        <v>62.3005</v>
      </c>
      <c r="AD9023">
        <v>-1.1103328941989901</v>
      </c>
      <c r="AE9023">
        <v>11.8775399999999</v>
      </c>
      <c r="AF9023">
        <v>-15.3994108482367</v>
      </c>
      <c r="AG9023">
        <v>-1.1103328941989901</v>
      </c>
      <c r="AH9023">
        <v>61.504649068644802</v>
      </c>
      <c r="AI9023">
        <v>91.003275904068104</v>
      </c>
      <c r="AJ9023">
        <v>104.056625315891</v>
      </c>
      <c r="AK9023">
        <v>63.412905237545203</v>
      </c>
      <c r="AL9023">
        <v>90.840988414285704</v>
      </c>
      <c r="AM9023">
        <v>88.738367516676206</v>
      </c>
      <c r="AN9023">
        <v>1.0000000165413201</v>
      </c>
    </row>
    <row r="9024" spans="1:40" x14ac:dyDescent="0.25">
      <c r="A9024" t="str">
        <f>"20190312154133829"</f>
        <v>20190312154133829</v>
      </c>
      <c r="B9024" t="str">
        <f>"1552376493825267"</f>
        <v>1552376493825267</v>
      </c>
      <c r="C9024" t="s">
        <v>40</v>
      </c>
      <c r="D9024">
        <v>3.8766090000000002</v>
      </c>
      <c r="E9024">
        <v>0.39640110000000001</v>
      </c>
      <c r="F9024" t="s">
        <v>69</v>
      </c>
      <c r="G9024">
        <v>-188.5</v>
      </c>
      <c r="H9024" s="1">
        <v>-1.0116260000000001E-5</v>
      </c>
      <c r="I9024">
        <v>-50.51126</v>
      </c>
      <c r="J9024">
        <v>-248.7704</v>
      </c>
      <c r="K9024">
        <v>1.1103430000000001</v>
      </c>
      <c r="L9024">
        <v>-62.087220000000002</v>
      </c>
      <c r="M9024">
        <v>0.99831369999999997</v>
      </c>
      <c r="N9024">
        <v>0</v>
      </c>
      <c r="O9024">
        <v>-5.661836E-2</v>
      </c>
      <c r="P9024">
        <v>0.99654010000000004</v>
      </c>
      <c r="Q9024">
        <v>-2.7587230000000001E-2</v>
      </c>
      <c r="R9024">
        <v>-7.8401730000000003E-2</v>
      </c>
      <c r="S9024">
        <v>3.0552830000000002</v>
      </c>
      <c r="T9024">
        <v>-5.6165809999999997E-2</v>
      </c>
      <c r="U9024">
        <v>0.58520509999999903</v>
      </c>
      <c r="V9024">
        <v>2.1862199999999998E-2</v>
      </c>
      <c r="W9024">
        <v>-1.475956E-2</v>
      </c>
      <c r="X9024">
        <v>0.99965199999999999</v>
      </c>
      <c r="Y9024">
        <v>-0.2433804</v>
      </c>
      <c r="Z9024">
        <v>3.249147E-3</v>
      </c>
      <c r="AA9024">
        <v>0.9699255</v>
      </c>
      <c r="AB9024">
        <v>25</v>
      </c>
      <c r="AC9024">
        <v>60.270400000000002</v>
      </c>
      <c r="AD9024">
        <v>-1.11035311626</v>
      </c>
      <c r="AE9024">
        <v>11.575959999999901</v>
      </c>
      <c r="AF9024">
        <v>-14.965180637186601</v>
      </c>
      <c r="AG9024">
        <v>-1.11035311626</v>
      </c>
      <c r="AH9024">
        <v>59.498762815977997</v>
      </c>
      <c r="AI9024">
        <v>91.036831310940599</v>
      </c>
      <c r="AJ9024">
        <v>104.118227702094</v>
      </c>
      <c r="AK9024">
        <v>61.361977577147996</v>
      </c>
      <c r="AL9024">
        <v>90.845691235437997</v>
      </c>
      <c r="AM9024">
        <v>88.747151864009297</v>
      </c>
      <c r="AN9024">
        <v>0.99999996075211595</v>
      </c>
    </row>
    <row r="9025" spans="1:40" x14ac:dyDescent="0.25">
      <c r="A9025" t="str">
        <f>"20190312154133841"</f>
        <v>20190312154133841</v>
      </c>
      <c r="B9025" t="str">
        <f>"1552376493835022"</f>
        <v>1552376493835022</v>
      </c>
      <c r="C9025" t="s">
        <v>40</v>
      </c>
      <c r="D9025">
        <v>3.8544339999999999</v>
      </c>
      <c r="E9025">
        <v>0.39622489999999999</v>
      </c>
      <c r="F9025" t="s">
        <v>69</v>
      </c>
      <c r="G9025">
        <v>-189.72470000000001</v>
      </c>
      <c r="H9025" s="1">
        <v>-9.9554249999999996E-6</v>
      </c>
      <c r="I9025">
        <v>-50.722729999999999</v>
      </c>
      <c r="J9025">
        <v>-248.64269999999999</v>
      </c>
      <c r="K9025">
        <v>1.1103540000000001</v>
      </c>
      <c r="L9025">
        <v>-62.094180000000001</v>
      </c>
      <c r="M9025">
        <v>0.9983284</v>
      </c>
      <c r="N9025">
        <v>0</v>
      </c>
      <c r="O9025">
        <v>-5.632595E-2</v>
      </c>
      <c r="P9025">
        <v>0.99657110000000004</v>
      </c>
      <c r="Q9025">
        <v>-2.790811E-2</v>
      </c>
      <c r="R9025">
        <v>-7.7893050000000005E-2</v>
      </c>
      <c r="S9025">
        <v>3.0550989999999998</v>
      </c>
      <c r="T9025">
        <v>-5.7451009999999997E-2</v>
      </c>
      <c r="U9025">
        <v>0.58801269999999894</v>
      </c>
      <c r="V9025">
        <v>2.16457E-2</v>
      </c>
      <c r="W9025">
        <v>-1.493383E-2</v>
      </c>
      <c r="X9025">
        <v>0.99965420000000005</v>
      </c>
      <c r="Y9025">
        <v>-0.2439644</v>
      </c>
      <c r="Z9025">
        <v>3.3233849999999999E-3</v>
      </c>
      <c r="AA9025">
        <v>0.96977849999999999</v>
      </c>
      <c r="AB9025">
        <v>25</v>
      </c>
      <c r="AC9025">
        <v>58.9179999999999</v>
      </c>
      <c r="AD9025">
        <v>-1.110363955425</v>
      </c>
      <c r="AE9025">
        <v>11.371449999999999</v>
      </c>
      <c r="AF9025">
        <v>-14.667262542701099</v>
      </c>
      <c r="AG9025">
        <v>-1.110363955425</v>
      </c>
      <c r="AH9025">
        <v>58.163970448158899</v>
      </c>
      <c r="AI9025">
        <v>91.060467070744195</v>
      </c>
      <c r="AJ9025">
        <v>104.153251911567</v>
      </c>
      <c r="AK9025">
        <v>59.995074438693102</v>
      </c>
      <c r="AL9025">
        <v>90.855677206226602</v>
      </c>
      <c r="AM9025">
        <v>88.759557573973495</v>
      </c>
      <c r="AN9025">
        <v>1.0000000375922899</v>
      </c>
    </row>
    <row r="9026" spans="1:40" x14ac:dyDescent="0.25">
      <c r="A9026" t="str">
        <f>"20190312154133852"</f>
        <v>20190312154133852</v>
      </c>
      <c r="B9026" t="str">
        <f>"1552376493844782"</f>
        <v>1552376493844782</v>
      </c>
      <c r="C9026" t="s">
        <v>40</v>
      </c>
      <c r="D9026">
        <v>3.8688229999999999</v>
      </c>
      <c r="E9026">
        <v>0.39602480000000001</v>
      </c>
      <c r="F9026" t="s">
        <v>69</v>
      </c>
      <c r="G9026">
        <v>-191.5179</v>
      </c>
      <c r="H9026" s="1">
        <v>-9.7142749999999994E-6</v>
      </c>
      <c r="I9026">
        <v>-51.042589999999997</v>
      </c>
      <c r="J9026">
        <v>-248.51609999999999</v>
      </c>
      <c r="K9026">
        <v>1.110366</v>
      </c>
      <c r="L9026">
        <v>-62.101010000000002</v>
      </c>
      <c r="M9026">
        <v>0.99834330000000004</v>
      </c>
      <c r="N9026">
        <v>0</v>
      </c>
      <c r="O9026">
        <v>-5.6029309999999999E-2</v>
      </c>
      <c r="P9026">
        <v>0.99658570000000002</v>
      </c>
      <c r="Q9026">
        <v>-2.8391369999999999E-2</v>
      </c>
      <c r="R9026">
        <v>-7.7531790000000003E-2</v>
      </c>
      <c r="S9026">
        <v>3.0548549999999999</v>
      </c>
      <c r="T9026">
        <v>-5.9378739999999999E-2</v>
      </c>
      <c r="U9026">
        <v>0.59100339999999996</v>
      </c>
      <c r="V9026">
        <v>2.15815E-2</v>
      </c>
      <c r="W9026">
        <v>-1.528316E-2</v>
      </c>
      <c r="X9026">
        <v>0.99965029999999999</v>
      </c>
      <c r="Y9026">
        <v>-0.2446024</v>
      </c>
      <c r="Z9026">
        <v>3.4352620000000001E-3</v>
      </c>
      <c r="AA9026">
        <v>0.96961739999999996</v>
      </c>
      <c r="AB9026">
        <v>25</v>
      </c>
      <c r="AC9026">
        <v>56.998199999999997</v>
      </c>
      <c r="AD9026">
        <v>-1.1103757142749999</v>
      </c>
      <c r="AE9026">
        <v>11.0584199999999</v>
      </c>
      <c r="AF9026">
        <v>-14.2296847738594</v>
      </c>
      <c r="AG9026">
        <v>-1.1103757142749999</v>
      </c>
      <c r="AH9026">
        <v>56.2684193047359</v>
      </c>
      <c r="AI9026">
        <v>91.096007856911001</v>
      </c>
      <c r="AJ9026">
        <v>104.191947455145</v>
      </c>
      <c r="AK9026">
        <v>58.050425270137701</v>
      </c>
      <c r="AL9026">
        <v>90.875694632362297</v>
      </c>
      <c r="AM9026">
        <v>88.763230692542606</v>
      </c>
      <c r="AN9026">
        <v>1.0000000292059601</v>
      </c>
    </row>
    <row r="9027" spans="1:40" x14ac:dyDescent="0.25">
      <c r="A9027" t="str">
        <f>"20190312154133864"</f>
        <v>20190312154133864</v>
      </c>
      <c r="B9027" t="str">
        <f>"1552376493855520"</f>
        <v>1552376493855520</v>
      </c>
      <c r="C9027" t="s">
        <v>40</v>
      </c>
      <c r="D9027">
        <v>3.8547500000000001</v>
      </c>
      <c r="E9027">
        <v>0.395897</v>
      </c>
      <c r="F9027" t="s">
        <v>69</v>
      </c>
      <c r="G9027">
        <v>-193.10499999999999</v>
      </c>
      <c r="H9027" s="1">
        <v>-9.7676790000000006E-6</v>
      </c>
      <c r="I9027">
        <v>-51.331789999999998</v>
      </c>
      <c r="J9027">
        <v>-248.38890000000001</v>
      </c>
      <c r="K9027">
        <v>1.1103749999999999</v>
      </c>
      <c r="L9027">
        <v>-62.107819999999997</v>
      </c>
      <c r="M9027">
        <v>0.99835859999999998</v>
      </c>
      <c r="N9027">
        <v>0</v>
      </c>
      <c r="O9027">
        <v>-5.5726079999999997E-2</v>
      </c>
      <c r="P9027">
        <v>0.99661730000000004</v>
      </c>
      <c r="Q9027">
        <v>-2.8320830000000002E-2</v>
      </c>
      <c r="R9027">
        <v>-7.7147770000000004E-2</v>
      </c>
      <c r="S9027">
        <v>3.0547179999999998</v>
      </c>
      <c r="T9027">
        <v>-6.1213139999999999E-2</v>
      </c>
      <c r="U9027">
        <v>0.59368900000000002</v>
      </c>
      <c r="V9027">
        <v>2.1499870000000001E-2</v>
      </c>
      <c r="W9027">
        <v>-1.50873E-2</v>
      </c>
      <c r="X9027">
        <v>0.99965499999999996</v>
      </c>
      <c r="Y9027">
        <v>-0.2451342</v>
      </c>
      <c r="Z9027">
        <v>3.5404880000000001E-3</v>
      </c>
      <c r="AA9027">
        <v>0.96948270000000003</v>
      </c>
      <c r="AB9027">
        <v>25</v>
      </c>
      <c r="AC9027">
        <v>55.283900000000003</v>
      </c>
      <c r="AD9027">
        <v>-1.110384767679</v>
      </c>
      <c r="AE9027">
        <v>10.776029999999899</v>
      </c>
      <c r="AF9027">
        <v>-13.8349294349033</v>
      </c>
      <c r="AG9027">
        <v>-1.110384767679</v>
      </c>
      <c r="AH9027">
        <v>54.576209811992697</v>
      </c>
      <c r="AI9027">
        <v>91.129828161847001</v>
      </c>
      <c r="AJ9027">
        <v>104.224688663621</v>
      </c>
      <c r="AK9027">
        <v>56.313416733880501</v>
      </c>
      <c r="AL9027">
        <v>90.864471416779196</v>
      </c>
      <c r="AM9027">
        <v>88.767913002780304</v>
      </c>
      <c r="AN9027">
        <v>0.99999999502815295</v>
      </c>
    </row>
    <row r="9028" spans="1:40" x14ac:dyDescent="0.25">
      <c r="A9028" t="str">
        <f>"20190312154133875"</f>
        <v>20190312154133875</v>
      </c>
      <c r="B9028" t="str">
        <f>"1552376493865279"</f>
        <v>1552376493865279</v>
      </c>
      <c r="C9028" t="s">
        <v>40</v>
      </c>
      <c r="D9028">
        <v>3.8762669999999999</v>
      </c>
      <c r="E9028">
        <v>0.39573320000000001</v>
      </c>
      <c r="F9028" t="s">
        <v>69</v>
      </c>
      <c r="G9028">
        <v>-193.70830000000001</v>
      </c>
      <c r="H9028" s="1">
        <v>-9.788937E-6</v>
      </c>
      <c r="I9028">
        <v>-51.439070000000001</v>
      </c>
      <c r="J9028">
        <v>-248.267</v>
      </c>
      <c r="K9028">
        <v>1.110392</v>
      </c>
      <c r="L9028">
        <v>-62.1143199999999</v>
      </c>
      <c r="M9028">
        <v>0.99837359999999997</v>
      </c>
      <c r="N9028">
        <v>0</v>
      </c>
      <c r="O9028">
        <v>-5.5432330000000002E-2</v>
      </c>
      <c r="P9028">
        <v>0.99662550000000005</v>
      </c>
      <c r="Q9028">
        <v>-2.8230140000000001E-2</v>
      </c>
      <c r="R9028">
        <v>-7.7077889999999996E-2</v>
      </c>
      <c r="S9028">
        <v>3.0545650000000002</v>
      </c>
      <c r="T9028">
        <v>-6.202829E-2</v>
      </c>
      <c r="U9028">
        <v>0.5959778</v>
      </c>
      <c r="V9028">
        <v>2.1723559999999999E-2</v>
      </c>
      <c r="W9028">
        <v>-1.4882630000000001E-2</v>
      </c>
      <c r="X9028">
        <v>0.99965320000000002</v>
      </c>
      <c r="Y9028">
        <v>-0.24555640000000001</v>
      </c>
      <c r="Z9028">
        <v>3.5858840000000001E-3</v>
      </c>
      <c r="AA9028">
        <v>0.96937569999999995</v>
      </c>
      <c r="AB9028">
        <v>25</v>
      </c>
      <c r="AC9028">
        <v>54.558699999999902</v>
      </c>
      <c r="AD9028">
        <v>-1.1104017889369999</v>
      </c>
      <c r="AE9028">
        <v>10.675249999999901</v>
      </c>
      <c r="AF9028">
        <v>-13.677960700730599</v>
      </c>
      <c r="AG9028">
        <v>-1.1104017889369999</v>
      </c>
      <c r="AH9028">
        <v>53.861503784880803</v>
      </c>
      <c r="AI9028">
        <v>91.144711191113302</v>
      </c>
      <c r="AJ9028">
        <v>104.248882119239</v>
      </c>
      <c r="AK9028">
        <v>55.582202106720601</v>
      </c>
      <c r="AL9028">
        <v>90.852743399983893</v>
      </c>
      <c r="AM9028">
        <v>88.755095835354297</v>
      </c>
      <c r="AN9028">
        <v>0.99999996300251404</v>
      </c>
    </row>
    <row r="9029" spans="1:40" x14ac:dyDescent="0.25">
      <c r="A9029" t="str">
        <f>"20190312154133886"</f>
        <v>20190312154133886</v>
      </c>
      <c r="B9029" t="str">
        <f>"1552376493875038"</f>
        <v>1552376493875038</v>
      </c>
      <c r="C9029" t="s">
        <v>40</v>
      </c>
      <c r="D9029">
        <v>3.823623</v>
      </c>
      <c r="E9029">
        <v>0.39565519999999998</v>
      </c>
      <c r="F9029" t="s">
        <v>69</v>
      </c>
      <c r="G9029">
        <v>-193.45670000000001</v>
      </c>
      <c r="H9029" s="1">
        <v>-9.7807419999999993E-6</v>
      </c>
      <c r="I9029">
        <v>-51.392479999999999</v>
      </c>
      <c r="J9029">
        <v>-248.14070000000001</v>
      </c>
      <c r="K9029">
        <v>1.110403</v>
      </c>
      <c r="L9029">
        <v>-62.1209699999999</v>
      </c>
      <c r="M9029">
        <v>0.99838939999999998</v>
      </c>
      <c r="N9029">
        <v>0</v>
      </c>
      <c r="O9029">
        <v>-5.5120420000000003E-2</v>
      </c>
      <c r="P9029">
        <v>0.99665550000000003</v>
      </c>
      <c r="Q9029">
        <v>-2.7934199999999999E-2</v>
      </c>
      <c r="R9029">
        <v>-7.6797840000000006E-2</v>
      </c>
      <c r="S9029">
        <v>3.054611</v>
      </c>
      <c r="T9029">
        <v>-6.188333E-2</v>
      </c>
      <c r="U9029">
        <v>0.59753420000000002</v>
      </c>
      <c r="V9029">
        <v>2.1754119999999998E-2</v>
      </c>
      <c r="W9029">
        <v>-1.447973E-2</v>
      </c>
      <c r="X9029">
        <v>0.99965850000000001</v>
      </c>
      <c r="Y9029">
        <v>-0.245727</v>
      </c>
      <c r="Z9029">
        <v>3.5727269999999999E-3</v>
      </c>
      <c r="AA9029">
        <v>0.96933250000000004</v>
      </c>
      <c r="AB9029">
        <v>25</v>
      </c>
      <c r="AC9029">
        <v>54.683999999999997</v>
      </c>
      <c r="AD9029">
        <v>-1.1104127807419999</v>
      </c>
      <c r="AE9029">
        <v>10.728489999999899</v>
      </c>
      <c r="AF9029">
        <v>-13.721205554518701</v>
      </c>
      <c r="AG9029">
        <v>-1.1104127807419999</v>
      </c>
      <c r="AH9029">
        <v>53.988001506406</v>
      </c>
      <c r="AI9029">
        <v>91.141984938448203</v>
      </c>
      <c r="AJ9029">
        <v>104.259969083347</v>
      </c>
      <c r="AK9029">
        <v>55.715426993506</v>
      </c>
      <c r="AL9029">
        <v>90.829656401841504</v>
      </c>
      <c r="AM9029">
        <v>88.753351704264801</v>
      </c>
      <c r="AN9029">
        <v>1.0000000104700399</v>
      </c>
    </row>
    <row r="9030" spans="1:40" x14ac:dyDescent="0.25">
      <c r="A9030" t="str">
        <f>"20190312154133898"</f>
        <v>20190312154133898</v>
      </c>
      <c r="B9030" t="str">
        <f>"1552376493895534"</f>
        <v>1552376493895534</v>
      </c>
      <c r="C9030" t="s">
        <v>40</v>
      </c>
      <c r="D9030">
        <v>3.8790309999999999</v>
      </c>
      <c r="E9030">
        <v>0.39536270000000001</v>
      </c>
      <c r="F9030" t="s">
        <v>69</v>
      </c>
      <c r="G9030">
        <v>-193.21729999999999</v>
      </c>
      <c r="H9030" s="1">
        <v>-9.7719690000000008E-6</v>
      </c>
      <c r="I9030">
        <v>-51.350859999999997</v>
      </c>
      <c r="J9030">
        <v>-248.01429999999999</v>
      </c>
      <c r="K9030">
        <v>1.1104160000000001</v>
      </c>
      <c r="L9030">
        <v>-62.127619999999901</v>
      </c>
      <c r="M9030">
        <v>0.99840530000000005</v>
      </c>
      <c r="N9030">
        <v>0</v>
      </c>
      <c r="O9030">
        <v>-5.4806239999999999E-2</v>
      </c>
      <c r="P9030">
        <v>0.99666869999999996</v>
      </c>
      <c r="Q9030">
        <v>-2.770719E-2</v>
      </c>
      <c r="R9030">
        <v>-7.670884E-2</v>
      </c>
      <c r="S9030">
        <v>3.0545040000000001</v>
      </c>
      <c r="T9030">
        <v>-6.1754469999999999E-2</v>
      </c>
      <c r="U9030">
        <v>0.59896850000000001</v>
      </c>
      <c r="V9030">
        <v>2.197899E-2</v>
      </c>
      <c r="W9030">
        <v>-1.4148930000000001E-2</v>
      </c>
      <c r="X9030">
        <v>0.9996583</v>
      </c>
      <c r="Y9030">
        <v>-0.24586710000000001</v>
      </c>
      <c r="Z9030">
        <v>3.560358E-3</v>
      </c>
      <c r="AA9030">
        <v>0.96929710000000002</v>
      </c>
      <c r="AB9030">
        <v>25</v>
      </c>
      <c r="AC9030">
        <v>54.796999999999997</v>
      </c>
      <c r="AD9030">
        <v>-1.1104257719690001</v>
      </c>
      <c r="AE9030">
        <v>10.7767599999999</v>
      </c>
      <c r="AF9030">
        <v>-13.758612714379</v>
      </c>
      <c r="AG9030">
        <v>-1.1104257719690001</v>
      </c>
      <c r="AH9030">
        <v>54.102548111672398</v>
      </c>
      <c r="AI9030">
        <v>91.139539370662405</v>
      </c>
      <c r="AJ9030">
        <v>104.26822017937801</v>
      </c>
      <c r="AK9030">
        <v>55.8356354078213</v>
      </c>
      <c r="AL9030">
        <v>90.810701030588703</v>
      </c>
      <c r="AM9030">
        <v>88.740469112896093</v>
      </c>
      <c r="AN9030">
        <v>0.99999999249022697</v>
      </c>
    </row>
    <row r="9031" spans="1:40" x14ac:dyDescent="0.25">
      <c r="A9031" t="str">
        <f>"20190312154133909"</f>
        <v>20190312154133909</v>
      </c>
      <c r="B9031" t="str">
        <f>"1552376493905294"</f>
        <v>1552376493905294</v>
      </c>
      <c r="C9031" t="s">
        <v>40</v>
      </c>
      <c r="D9031">
        <v>3.8919320000000002</v>
      </c>
      <c r="E9031">
        <v>0.3951942</v>
      </c>
      <c r="F9031" t="s">
        <v>69</v>
      </c>
      <c r="G9031">
        <v>-194.024</v>
      </c>
      <c r="H9031" s="1">
        <v>-9.8005560000000003E-6</v>
      </c>
      <c r="I9031">
        <v>-51.493850000000002</v>
      </c>
      <c r="J9031">
        <v>-247.88159999999999</v>
      </c>
      <c r="K9031">
        <v>1.1104320000000001</v>
      </c>
      <c r="L9031">
        <v>-62.134549999999997</v>
      </c>
      <c r="M9031">
        <v>0.99842249999999999</v>
      </c>
      <c r="N9031">
        <v>0</v>
      </c>
      <c r="O9031">
        <v>-5.4466380000000002E-2</v>
      </c>
      <c r="P9031">
        <v>0.9967028</v>
      </c>
      <c r="Q9031">
        <v>-2.720767E-2</v>
      </c>
      <c r="R9031">
        <v>-7.6440729999999998E-2</v>
      </c>
      <c r="S9031">
        <v>3.0545960000000001</v>
      </c>
      <c r="T9031">
        <v>-6.2824249999999998E-2</v>
      </c>
      <c r="U9031">
        <v>0.60162349999999998</v>
      </c>
      <c r="V9031">
        <v>2.204919E-2</v>
      </c>
      <c r="W9031">
        <v>-1.355321E-2</v>
      </c>
      <c r="X9031">
        <v>0.99966500000000003</v>
      </c>
      <c r="Y9031">
        <v>-0.2463407</v>
      </c>
      <c r="Z9031">
        <v>3.619513E-3</v>
      </c>
      <c r="AA9031">
        <v>0.9691765</v>
      </c>
      <c r="AB9031">
        <v>25</v>
      </c>
      <c r="AC9031">
        <v>53.857599999999898</v>
      </c>
      <c r="AD9031">
        <v>-1.1104418005559999</v>
      </c>
      <c r="AE9031">
        <v>10.640699999999899</v>
      </c>
      <c r="AF9031">
        <v>-13.5530582586722</v>
      </c>
      <c r="AG9031">
        <v>-1.1104418005559999</v>
      </c>
      <c r="AH9031">
        <v>53.1762685487667</v>
      </c>
      <c r="AI9031">
        <v>91.159244056318002</v>
      </c>
      <c r="AJ9031">
        <v>104.298580902346</v>
      </c>
      <c r="AK9031">
        <v>54.887466747208698</v>
      </c>
      <c r="AL9031">
        <v>90.776565519809793</v>
      </c>
      <c r="AM9031">
        <v>88.736455990501298</v>
      </c>
      <c r="AN9031">
        <v>0.99999998425297998</v>
      </c>
    </row>
    <row r="9032" spans="1:40" x14ac:dyDescent="0.25">
      <c r="A9032" t="str">
        <f>"20190312154133919"</f>
        <v>20190312154133919</v>
      </c>
      <c r="B9032" t="str">
        <f>"1552376493915058"</f>
        <v>1552376493915058</v>
      </c>
      <c r="C9032" t="s">
        <v>40</v>
      </c>
      <c r="D9032">
        <v>4.1975579999999999</v>
      </c>
      <c r="E9032">
        <v>0.39515499999999998</v>
      </c>
      <c r="F9032" t="s">
        <v>69</v>
      </c>
      <c r="G9032">
        <v>-193.09520000000001</v>
      </c>
      <c r="H9032" s="1">
        <v>-9.7762690000000001E-6</v>
      </c>
      <c r="I9032">
        <v>-51.30547</v>
      </c>
      <c r="J9032">
        <v>-247.77279999999999</v>
      </c>
      <c r="K9032">
        <v>1.110441</v>
      </c>
      <c r="L9032">
        <v>-62.140169999999998</v>
      </c>
      <c r="M9032">
        <v>0.99843669999999995</v>
      </c>
      <c r="N9032">
        <v>0</v>
      </c>
      <c r="O9032">
        <v>-5.418651E-2</v>
      </c>
      <c r="P9032">
        <v>0.9967028</v>
      </c>
      <c r="Q9032">
        <v>-2.661488E-2</v>
      </c>
      <c r="R9032">
        <v>-7.6651759999999999E-2</v>
      </c>
      <c r="S9032">
        <v>3.054535</v>
      </c>
      <c r="T9032">
        <v>-6.1911109999999998E-2</v>
      </c>
      <c r="U9032">
        <v>0.60375979999999996</v>
      </c>
      <c r="V9032">
        <v>2.2539480000000001E-2</v>
      </c>
      <c r="W9032">
        <v>-1.288334E-2</v>
      </c>
      <c r="X9032">
        <v>0.99966290000000002</v>
      </c>
      <c r="Y9032">
        <v>-0.2467269</v>
      </c>
      <c r="Z9032">
        <v>3.565E-3</v>
      </c>
      <c r="AA9032">
        <v>0.96907849999999995</v>
      </c>
      <c r="AB9032">
        <v>25</v>
      </c>
      <c r="AC9032">
        <v>54.677599999999899</v>
      </c>
      <c r="AD9032">
        <v>-1.1104507762689999</v>
      </c>
      <c r="AE9032">
        <v>10.8346999999999</v>
      </c>
      <c r="AF9032">
        <v>-13.7763783451505</v>
      </c>
      <c r="AG9032">
        <v>-1.1104507762689999</v>
      </c>
      <c r="AH9032">
        <v>53.988677804427503</v>
      </c>
      <c r="AI9032">
        <v>91.141731574484993</v>
      </c>
      <c r="AJ9032">
        <v>104.314784178018</v>
      </c>
      <c r="AK9032">
        <v>55.729696144026597</v>
      </c>
      <c r="AL9032">
        <v>90.738181458307096</v>
      </c>
      <c r="AM9032">
        <v>88.708366286725493</v>
      </c>
      <c r="AN9032">
        <v>0.99999996112231704</v>
      </c>
    </row>
    <row r="9033" spans="1:40" x14ac:dyDescent="0.25">
      <c r="A9033" t="str">
        <f>"20190312154133931"</f>
        <v>20190312154133931</v>
      </c>
      <c r="B9033" t="str">
        <f>"1552376493924814"</f>
        <v>1552376493924814</v>
      </c>
      <c r="C9033" t="s">
        <v>40</v>
      </c>
      <c r="D9033">
        <v>3.8847309999999999</v>
      </c>
      <c r="E9033">
        <v>0.39505230000000002</v>
      </c>
      <c r="F9033" t="s">
        <v>69</v>
      </c>
      <c r="G9033">
        <v>-190.74529999999999</v>
      </c>
      <c r="H9033" s="1">
        <v>-9.6979760000000003E-6</v>
      </c>
      <c r="I9033">
        <v>-50.875160000000001</v>
      </c>
      <c r="J9033">
        <v>-247.6414</v>
      </c>
      <c r="K9033">
        <v>1.1104540000000001</v>
      </c>
      <c r="L9033">
        <v>-62.146940000000001</v>
      </c>
      <c r="M9033">
        <v>0.99845430000000002</v>
      </c>
      <c r="N9033">
        <v>0</v>
      </c>
      <c r="O9033">
        <v>-5.3840859999999997E-2</v>
      </c>
      <c r="P9033">
        <v>0.99671759999999998</v>
      </c>
      <c r="Q9033">
        <v>-2.6498899999999999E-2</v>
      </c>
      <c r="R9033">
        <v>-7.6496960000000003E-2</v>
      </c>
      <c r="S9033">
        <v>3.0547490000000002</v>
      </c>
      <c r="T9033">
        <v>-5.9482689999999998E-2</v>
      </c>
      <c r="U9033">
        <v>0.60342410000000002</v>
      </c>
      <c r="V9033">
        <v>2.2730050000000002E-2</v>
      </c>
      <c r="W9033">
        <v>-1.268386E-2</v>
      </c>
      <c r="X9033">
        <v>0.99966109999999997</v>
      </c>
      <c r="Y9033">
        <v>-0.24628079999999999</v>
      </c>
      <c r="Z9033">
        <v>3.4140170000000001E-3</v>
      </c>
      <c r="AA9033">
        <v>0.96919250000000001</v>
      </c>
      <c r="AB9033">
        <v>25</v>
      </c>
      <c r="AC9033">
        <v>56.896099999999997</v>
      </c>
      <c r="AD9033">
        <v>-1.1104636979760001</v>
      </c>
      <c r="AE9033">
        <v>11.27178</v>
      </c>
      <c r="AF9033">
        <v>-14.3138071549832</v>
      </c>
      <c r="AG9033">
        <v>-1.1104636979760001</v>
      </c>
      <c r="AH9033">
        <v>56.186023532374001</v>
      </c>
      <c r="AI9033">
        <v>91.097212936866796</v>
      </c>
      <c r="AJ9033">
        <v>104.292501596772</v>
      </c>
      <c r="AK9033">
        <v>57.991270423013297</v>
      </c>
      <c r="AL9033">
        <v>90.726751187869496</v>
      </c>
      <c r="AM9033">
        <v>88.697447000368697</v>
      </c>
      <c r="AN9033">
        <v>0.99999992516535297</v>
      </c>
    </row>
    <row r="9034" spans="1:40" x14ac:dyDescent="0.25">
      <c r="A9034" t="str">
        <f>"20190312154133942"</f>
        <v>20190312154133942</v>
      </c>
      <c r="B9034" t="str">
        <f>"1552376493935550"</f>
        <v>1552376493935550</v>
      </c>
      <c r="C9034" t="s">
        <v>40</v>
      </c>
      <c r="D9034">
        <v>3.8562210000000001</v>
      </c>
      <c r="E9034">
        <v>0.39495530000000001</v>
      </c>
      <c r="F9034" t="s">
        <v>69</v>
      </c>
      <c r="G9034">
        <v>-190.82329999999999</v>
      </c>
      <c r="H9034" s="1">
        <v>-9.6976360000000003E-6</v>
      </c>
      <c r="I9034">
        <v>-50.897530000000003</v>
      </c>
      <c r="J9034">
        <v>-247.52180000000001</v>
      </c>
      <c r="K9034">
        <v>1.11046</v>
      </c>
      <c r="L9034">
        <v>-62.15305</v>
      </c>
      <c r="M9034">
        <v>0.99847039999999998</v>
      </c>
      <c r="N9034">
        <v>0</v>
      </c>
      <c r="O9034">
        <v>-5.3522340000000002E-2</v>
      </c>
      <c r="P9034">
        <v>0.99672749999999999</v>
      </c>
      <c r="Q9034">
        <v>-2.6214270000000001E-2</v>
      </c>
      <c r="R9034">
        <v>-7.6468250000000001E-2</v>
      </c>
      <c r="S9034">
        <v>3.0546880000000001</v>
      </c>
      <c r="T9034">
        <v>-5.9701440000000001E-2</v>
      </c>
      <c r="U9034">
        <v>0.60479740000000004</v>
      </c>
      <c r="V9034">
        <v>2.301926E-2</v>
      </c>
      <c r="W9034">
        <v>-1.2327289999999999E-2</v>
      </c>
      <c r="X9034">
        <v>0.99965899999999996</v>
      </c>
      <c r="Y9034">
        <v>-0.24639430000000001</v>
      </c>
      <c r="Z9034">
        <v>3.421416E-3</v>
      </c>
      <c r="AA9034">
        <v>0.96916360000000001</v>
      </c>
      <c r="AB9034">
        <v>25</v>
      </c>
      <c r="AC9034">
        <v>56.698500000000003</v>
      </c>
      <c r="AD9034">
        <v>-1.110469697636</v>
      </c>
      <c r="AE9034">
        <v>11.255520000000001</v>
      </c>
      <c r="AF9034">
        <v>-14.2690459393128</v>
      </c>
      <c r="AG9034">
        <v>-1.110469697636</v>
      </c>
      <c r="AH9034">
        <v>55.994071466563803</v>
      </c>
      <c r="AI9034">
        <v>91.100959819991004</v>
      </c>
      <c r="AJ9034">
        <v>104.29647958839</v>
      </c>
      <c r="AK9034">
        <v>57.794245858651401</v>
      </c>
      <c r="AL9034">
        <v>90.706319592039804</v>
      </c>
      <c r="AM9034">
        <v>88.680876775118804</v>
      </c>
      <c r="AN9034">
        <v>0.99999998234534504</v>
      </c>
    </row>
    <row r="9035" spans="1:40" x14ac:dyDescent="0.25">
      <c r="A9035" t="str">
        <f>"20190312154133953"</f>
        <v>20190312154133953</v>
      </c>
      <c r="B9035" t="str">
        <f>"1552376493945309"</f>
        <v>1552376493945309</v>
      </c>
      <c r="C9035" t="s">
        <v>40</v>
      </c>
      <c r="D9035">
        <v>3.9028360000000002</v>
      </c>
      <c r="E9035">
        <v>0.39484900000000001</v>
      </c>
      <c r="F9035" t="s">
        <v>69</v>
      </c>
      <c r="G9035">
        <v>-190.69120000000001</v>
      </c>
      <c r="H9035" s="1">
        <v>-9.6890029999999998E-6</v>
      </c>
      <c r="I9035">
        <v>-50.884979999999999</v>
      </c>
      <c r="J9035">
        <v>-247.4006</v>
      </c>
      <c r="K9035">
        <v>1.1104700000000001</v>
      </c>
      <c r="L9035">
        <v>-62.159179999999999</v>
      </c>
      <c r="M9035">
        <v>0.99848709999999996</v>
      </c>
      <c r="N9035">
        <v>0</v>
      </c>
      <c r="O9035">
        <v>-5.3194600000000002E-2</v>
      </c>
      <c r="P9035">
        <v>0.99673820000000002</v>
      </c>
      <c r="Q9035">
        <v>-2.6081420000000001E-2</v>
      </c>
      <c r="R9035">
        <v>-7.6375299999999993E-2</v>
      </c>
      <c r="S9035">
        <v>3.054764</v>
      </c>
      <c r="T9035">
        <v>-5.9690119999999999E-2</v>
      </c>
      <c r="U9035">
        <v>0.60568239999999995</v>
      </c>
      <c r="V9035">
        <v>2.3253820000000001E-2</v>
      </c>
      <c r="W9035">
        <v>-1.2126919999999999E-2</v>
      </c>
      <c r="X9035">
        <v>0.99965599999999999</v>
      </c>
      <c r="Y9035">
        <v>-0.24634200000000001</v>
      </c>
      <c r="Z9035">
        <v>3.4137320000000001E-3</v>
      </c>
      <c r="AA9035">
        <v>0.96917690000000001</v>
      </c>
      <c r="AB9035">
        <v>25</v>
      </c>
      <c r="AC9035">
        <v>56.709399999999903</v>
      </c>
      <c r="AD9035">
        <v>-1.110479689003</v>
      </c>
      <c r="AE9035">
        <v>11.2742</v>
      </c>
      <c r="AF9035">
        <v>-14.2698969917121</v>
      </c>
      <c r="AG9035">
        <v>-1.110479689003</v>
      </c>
      <c r="AH9035">
        <v>56.008648506626201</v>
      </c>
      <c r="AI9035">
        <v>91.100696713002407</v>
      </c>
      <c r="AJ9035">
        <v>104.293728745899</v>
      </c>
      <c r="AK9035">
        <v>57.808579232087702</v>
      </c>
      <c r="AL9035">
        <v>90.6948383935066</v>
      </c>
      <c r="AM9035">
        <v>88.667436092718702</v>
      </c>
      <c r="AN9035">
        <v>0.99999996033463801</v>
      </c>
    </row>
    <row r="9036" spans="1:40" x14ac:dyDescent="0.25">
      <c r="A9036" t="str">
        <f>"20190312154133963"</f>
        <v>20190312154133963</v>
      </c>
      <c r="B9036" t="str">
        <f>"1552376493955070"</f>
        <v>1552376493955070</v>
      </c>
      <c r="C9036" t="s">
        <v>40</v>
      </c>
      <c r="D9036">
        <v>3.892754</v>
      </c>
      <c r="E9036">
        <v>0.39477459999999998</v>
      </c>
      <c r="F9036" t="s">
        <v>69</v>
      </c>
      <c r="G9036">
        <v>-190.78550000000001</v>
      </c>
      <c r="H9036" s="1">
        <v>-9.6881020000000001E-6</v>
      </c>
      <c r="I9036">
        <v>-50.91337</v>
      </c>
      <c r="J9036">
        <v>-247.27969999999999</v>
      </c>
      <c r="K9036">
        <v>1.1104799999999999</v>
      </c>
      <c r="L9036">
        <v>-62.16525</v>
      </c>
      <c r="M9036">
        <v>0.99850369999999999</v>
      </c>
      <c r="N9036">
        <v>0</v>
      </c>
      <c r="O9036">
        <v>-5.2860999999999998E-2</v>
      </c>
      <c r="P9036">
        <v>0.99675119999999895</v>
      </c>
      <c r="Q9036">
        <v>-2.616566E-2</v>
      </c>
      <c r="R9036">
        <v>-7.6173249999999998E-2</v>
      </c>
      <c r="S9036">
        <v>3.0547330000000001</v>
      </c>
      <c r="T9036">
        <v>-5.9917209999999999E-2</v>
      </c>
      <c r="U9036">
        <v>0.60678100000000001</v>
      </c>
      <c r="V9036">
        <v>2.33855E-2</v>
      </c>
      <c r="W9036">
        <v>-1.2149099999999999E-2</v>
      </c>
      <c r="X9036">
        <v>0.99965269999999995</v>
      </c>
      <c r="Y9036">
        <v>-0.24635499999999999</v>
      </c>
      <c r="Z9036">
        <v>3.4202719999999998E-3</v>
      </c>
      <c r="AA9036">
        <v>0.96917359999999997</v>
      </c>
      <c r="AB9036">
        <v>25</v>
      </c>
      <c r="AC9036">
        <v>56.4941999999999</v>
      </c>
      <c r="AD9036">
        <v>-1.1104896881020001</v>
      </c>
      <c r="AE9036">
        <v>11.25188</v>
      </c>
      <c r="AF9036">
        <v>-14.217494317813401</v>
      </c>
      <c r="AG9036">
        <v>-1.1104896881020001</v>
      </c>
      <c r="AH9036">
        <v>55.799617310873003</v>
      </c>
      <c r="AI9036">
        <v>91.104824917183606</v>
      </c>
      <c r="AJ9036">
        <v>104.294552521263</v>
      </c>
      <c r="AK9036">
        <v>57.593121325938903</v>
      </c>
      <c r="AL9036">
        <v>90.696109278965096</v>
      </c>
      <c r="AM9036">
        <v>88.659888470798904</v>
      </c>
      <c r="AN9036">
        <v>1.0000000014291699</v>
      </c>
    </row>
    <row r="9037" spans="1:40" x14ac:dyDescent="0.25">
      <c r="A9037" t="str">
        <f>"20190312154133974"</f>
        <v>20190312154133974</v>
      </c>
      <c r="B9037" t="str">
        <f>"1552376493964830"</f>
        <v>1552376493964830</v>
      </c>
      <c r="C9037" t="s">
        <v>40</v>
      </c>
      <c r="D9037">
        <v>3.8407930000000001</v>
      </c>
      <c r="E9037">
        <v>0.39465420000000001</v>
      </c>
      <c r="F9037" t="s">
        <v>69</v>
      </c>
      <c r="G9037">
        <v>-191.57900000000001</v>
      </c>
      <c r="H9037" s="1">
        <v>-9.7075580000000001E-6</v>
      </c>
      <c r="I9037">
        <v>-51.077869999999997</v>
      </c>
      <c r="J9037">
        <v>-247.15809999999999</v>
      </c>
      <c r="K9037">
        <v>1.1104830000000001</v>
      </c>
      <c r="L9037">
        <v>-62.17136</v>
      </c>
      <c r="M9037">
        <v>0.99852090000000004</v>
      </c>
      <c r="N9037">
        <v>0</v>
      </c>
      <c r="O9037">
        <v>-5.2521529999999997E-2</v>
      </c>
      <c r="P9037">
        <v>0.99676439999999999</v>
      </c>
      <c r="Q9037">
        <v>-2.6211720000000001E-2</v>
      </c>
      <c r="R9037">
        <v>-7.5984689999999994E-2</v>
      </c>
      <c r="S9037">
        <v>3.0546259999999998</v>
      </c>
      <c r="T9037">
        <v>-6.0899259999999997E-2</v>
      </c>
      <c r="U9037">
        <v>0.60803219999999902</v>
      </c>
      <c r="V9037">
        <v>2.3536379999999999E-2</v>
      </c>
      <c r="W9037">
        <v>-1.2136009999999999E-2</v>
      </c>
      <c r="X9037">
        <v>0.99964929999999996</v>
      </c>
      <c r="Y9037">
        <v>-0.2464122</v>
      </c>
      <c r="Z9037">
        <v>3.4701570000000002E-3</v>
      </c>
      <c r="AA9037">
        <v>0.96915890000000005</v>
      </c>
      <c r="AB9037">
        <v>25</v>
      </c>
      <c r="AC9037">
        <v>55.579099999999897</v>
      </c>
      <c r="AD9037">
        <v>-1.11049270755799</v>
      </c>
      <c r="AE9037">
        <v>11.0934899999999</v>
      </c>
      <c r="AF9037">
        <v>-13.992191423521</v>
      </c>
      <c r="AG9037">
        <v>-1.11049270755799</v>
      </c>
      <c r="AH9037">
        <v>54.898592767683198</v>
      </c>
      <c r="AI9037">
        <v>91.122935415338404</v>
      </c>
      <c r="AJ9037">
        <v>104.298741286176</v>
      </c>
      <c r="AK9037">
        <v>56.664540082470502</v>
      </c>
      <c r="AL9037">
        <v>90.695359234413701</v>
      </c>
      <c r="AM9037">
        <v>88.651240855110501</v>
      </c>
      <c r="AN9037">
        <v>0.99999998345635699</v>
      </c>
    </row>
    <row r="9038" spans="1:40" x14ac:dyDescent="0.25">
      <c r="A9038" t="str">
        <f>"20190312154133987"</f>
        <v>20190312154133987</v>
      </c>
      <c r="B9038" t="str">
        <f>"1552376493975566"</f>
        <v>1552376493975566</v>
      </c>
      <c r="C9038" t="s">
        <v>40</v>
      </c>
      <c r="D9038">
        <v>3.888779</v>
      </c>
      <c r="E9038">
        <v>0.39455119999999999</v>
      </c>
      <c r="F9038" t="s">
        <v>69</v>
      </c>
      <c r="G9038">
        <v>-191.9247</v>
      </c>
      <c r="H9038" s="1">
        <v>-9.7163269999999993E-6</v>
      </c>
      <c r="I9038">
        <v>-51.14873</v>
      </c>
      <c r="J9038">
        <v>-247.02789999999999</v>
      </c>
      <c r="K9038">
        <v>1.1104940000000001</v>
      </c>
      <c r="L9038">
        <v>-62.177759999999999</v>
      </c>
      <c r="M9038">
        <v>0.99853970000000003</v>
      </c>
      <c r="N9038">
        <v>0</v>
      </c>
      <c r="O9038">
        <v>-5.214937E-2</v>
      </c>
      <c r="P9038">
        <v>0.99676750000000003</v>
      </c>
      <c r="Q9038">
        <v>-2.6382269999999999E-2</v>
      </c>
      <c r="R9038">
        <v>-7.5885330000000001E-2</v>
      </c>
      <c r="S9038">
        <v>3.0545960000000001</v>
      </c>
      <c r="T9038">
        <v>-6.1414000000000003E-2</v>
      </c>
      <c r="U9038">
        <v>0.60958859999999904</v>
      </c>
      <c r="V9038">
        <v>2.380993E-2</v>
      </c>
      <c r="W9038">
        <v>-1.2249619999999999E-2</v>
      </c>
      <c r="X9038">
        <v>0.99964149999999996</v>
      </c>
      <c r="Y9038">
        <v>-0.24652689999999999</v>
      </c>
      <c r="Z9038">
        <v>3.4930680000000002E-3</v>
      </c>
      <c r="AA9038">
        <v>0.96912969999999998</v>
      </c>
      <c r="AB9038">
        <v>25</v>
      </c>
      <c r="AC9038">
        <v>55.103200000000001</v>
      </c>
      <c r="AD9038">
        <v>-1.110503716327</v>
      </c>
      <c r="AE9038">
        <v>11.029030000000001</v>
      </c>
      <c r="AF9038">
        <v>-13.882481576524601</v>
      </c>
      <c r="AG9038">
        <v>-1.110503716327</v>
      </c>
      <c r="AH9038">
        <v>54.431735827877702</v>
      </c>
      <c r="AI9038">
        <v>91.132529264949497</v>
      </c>
      <c r="AJ9038">
        <v>104.307912930413</v>
      </c>
      <c r="AK9038">
        <v>56.185143752262398</v>
      </c>
      <c r="AL9038">
        <v>90.7018690471768</v>
      </c>
      <c r="AM9038">
        <v>88.635560241742994</v>
      </c>
      <c r="AN9038">
        <v>1.0000000472394901</v>
      </c>
    </row>
    <row r="9039" spans="1:40" x14ac:dyDescent="0.25">
      <c r="A9039" t="str">
        <f>"20190312154133998"</f>
        <v>20190312154133998</v>
      </c>
      <c r="B9039" t="str">
        <f>"1552376493995086"</f>
        <v>1552376493995086</v>
      </c>
      <c r="C9039" t="s">
        <v>40</v>
      </c>
      <c r="D9039">
        <v>3.906758</v>
      </c>
      <c r="E9039">
        <v>0.39421109999999998</v>
      </c>
      <c r="F9039" t="s">
        <v>69</v>
      </c>
      <c r="G9039">
        <v>-192.047</v>
      </c>
      <c r="H9039" s="1">
        <v>-9.7148810000000005E-6</v>
      </c>
      <c r="I9039">
        <v>-51.18629</v>
      </c>
      <c r="J9039">
        <v>-246.91069999999999</v>
      </c>
      <c r="K9039">
        <v>1.110503</v>
      </c>
      <c r="L9039">
        <v>-62.183529999999998</v>
      </c>
      <c r="M9039">
        <v>0.99855640000000001</v>
      </c>
      <c r="N9039">
        <v>0</v>
      </c>
      <c r="O9039">
        <v>-5.1811870000000003E-2</v>
      </c>
      <c r="P9039">
        <v>0.99679169999999995</v>
      </c>
      <c r="Q9039">
        <v>-2.6345130000000001E-2</v>
      </c>
      <c r="R9039">
        <v>-7.5577619999999998E-2</v>
      </c>
      <c r="S9039">
        <v>3.0545960000000001</v>
      </c>
      <c r="T9039">
        <v>-6.1696649999999999E-2</v>
      </c>
      <c r="U9039">
        <v>0.61065669999999905</v>
      </c>
      <c r="V9039">
        <v>2.3839180000000001E-2</v>
      </c>
      <c r="W9039">
        <v>-1.2162849999999999E-2</v>
      </c>
      <c r="X9039">
        <v>0.99964180000000002</v>
      </c>
      <c r="Y9039">
        <v>-0.24652479999999999</v>
      </c>
      <c r="Z9039">
        <v>3.5022450000000002E-3</v>
      </c>
      <c r="AA9039">
        <v>0.96913020000000005</v>
      </c>
      <c r="AB9039">
        <v>25</v>
      </c>
      <c r="AC9039">
        <v>54.863700000000001</v>
      </c>
      <c r="AD9039">
        <v>-1.1105127148809999</v>
      </c>
      <c r="AE9039">
        <v>10.99724</v>
      </c>
      <c r="AF9039">
        <v>-13.819898903076099</v>
      </c>
      <c r="AG9039">
        <v>-1.1105127148809999</v>
      </c>
      <c r="AH9039">
        <v>54.198802930803801</v>
      </c>
      <c r="AI9039">
        <v>91.137420478353505</v>
      </c>
      <c r="AJ9039">
        <v>104.304761890878</v>
      </c>
      <c r="AK9039">
        <v>55.944017404127003</v>
      </c>
      <c r="AL9039">
        <v>90.696897165689705</v>
      </c>
      <c r="AM9039">
        <v>88.633885100732996</v>
      </c>
      <c r="AN9039">
        <v>0.99999998486521702</v>
      </c>
    </row>
    <row r="9040" spans="1:40" x14ac:dyDescent="0.25">
      <c r="A9040" t="str">
        <f>"20190312154134007"</f>
        <v>20190312154134007</v>
      </c>
      <c r="B9040" t="str">
        <f>"1552376494004847"</f>
        <v>1552376494004847</v>
      </c>
      <c r="C9040" t="s">
        <v>40</v>
      </c>
      <c r="D9040">
        <v>3.8873479999999998</v>
      </c>
      <c r="E9040">
        <v>0.3941209</v>
      </c>
      <c r="F9040" t="s">
        <v>69</v>
      </c>
      <c r="G9040">
        <v>-191.27330000000001</v>
      </c>
      <c r="H9040" s="1">
        <v>-9.7074460000000004E-6</v>
      </c>
      <c r="I9040">
        <v>-50.99418</v>
      </c>
      <c r="J9040">
        <v>-246.79300000000001</v>
      </c>
      <c r="K9040">
        <v>1.11052</v>
      </c>
      <c r="L9040">
        <v>-62.189239999999998</v>
      </c>
      <c r="M9040">
        <v>0.99857399999999996</v>
      </c>
      <c r="N9040">
        <v>0</v>
      </c>
      <c r="O9040">
        <v>-5.1463349999999998E-2</v>
      </c>
      <c r="P9040">
        <v>0.9968243</v>
      </c>
      <c r="Q9040">
        <v>-2.617951E-2</v>
      </c>
      <c r="R9040">
        <v>-7.5206969999999998E-2</v>
      </c>
      <c r="S9040">
        <v>3.054611</v>
      </c>
      <c r="T9040">
        <v>-6.0969469999999998E-2</v>
      </c>
      <c r="U9040">
        <v>0.61431880000000005</v>
      </c>
      <c r="V9040">
        <v>2.381606E-2</v>
      </c>
      <c r="W9040">
        <v>-1.195362E-2</v>
      </c>
      <c r="X9040">
        <v>0.99964489999999995</v>
      </c>
      <c r="Y9040">
        <v>-0.24730379999999999</v>
      </c>
      <c r="Z9040">
        <v>3.4613600000000001E-3</v>
      </c>
      <c r="AA9040">
        <v>0.96893180000000001</v>
      </c>
      <c r="AB9040">
        <v>25</v>
      </c>
      <c r="AC9040">
        <v>55.5197</v>
      </c>
      <c r="AD9040">
        <v>-1.1105297074459901</v>
      </c>
      <c r="AE9040">
        <v>11.19506</v>
      </c>
      <c r="AF9040">
        <v>-14.032344946142</v>
      </c>
      <c r="AG9040">
        <v>-1.1105297074459901</v>
      </c>
      <c r="AH9040">
        <v>54.848834272683497</v>
      </c>
      <c r="AI9040">
        <v>91.123731851648998</v>
      </c>
      <c r="AJ9040">
        <v>104.350555449572</v>
      </c>
      <c r="AK9040">
        <v>56.626271305736999</v>
      </c>
      <c r="AL9040">
        <v>90.6849082807488</v>
      </c>
      <c r="AM9040">
        <v>88.635213732103097</v>
      </c>
      <c r="AN9040">
        <v>1.00000000992051</v>
      </c>
    </row>
    <row r="9041" spans="1:40" x14ac:dyDescent="0.25">
      <c r="A9041" t="str">
        <f>"20190312154134020"</f>
        <v>20190312154134020</v>
      </c>
      <c r="B9041" t="str">
        <f>"1552376494015582"</f>
        <v>1552376494015582</v>
      </c>
      <c r="C9041" t="s">
        <v>40</v>
      </c>
      <c r="D9041">
        <v>3.9047260000000001</v>
      </c>
      <c r="E9041">
        <v>0.39401550000000002</v>
      </c>
      <c r="F9041" t="s">
        <v>69</v>
      </c>
      <c r="G9041">
        <v>-190.47550000000001</v>
      </c>
      <c r="H9041" s="1">
        <v>-9.6880870000000007E-6</v>
      </c>
      <c r="I9041">
        <v>-50.828240000000001</v>
      </c>
      <c r="J9041">
        <v>-246.6644</v>
      </c>
      <c r="K9041">
        <v>1.1105309999999999</v>
      </c>
      <c r="L9041">
        <v>-62.195469999999901</v>
      </c>
      <c r="M9041">
        <v>0.99859290000000001</v>
      </c>
      <c r="N9041">
        <v>0</v>
      </c>
      <c r="O9041">
        <v>-5.1080639999999997E-2</v>
      </c>
      <c r="P9041">
        <v>0.99683739999999998</v>
      </c>
      <c r="Q9041">
        <v>-2.6401669999999999E-2</v>
      </c>
      <c r="R9041">
        <v>-7.4952019999999994E-2</v>
      </c>
      <c r="S9041">
        <v>3.054459</v>
      </c>
      <c r="T9041">
        <v>-6.023121E-2</v>
      </c>
      <c r="U9041">
        <v>0.61618039999999996</v>
      </c>
      <c r="V9041">
        <v>2.3944219999999999E-2</v>
      </c>
      <c r="W9041">
        <v>-1.2129529999999999E-2</v>
      </c>
      <c r="X9041">
        <v>0.99963970000000002</v>
      </c>
      <c r="Y9041">
        <v>-0.2475108</v>
      </c>
      <c r="Z9041">
        <v>3.4139600000000002E-3</v>
      </c>
      <c r="AA9041">
        <v>0.96887909999999999</v>
      </c>
      <c r="AB9041">
        <v>25</v>
      </c>
      <c r="AC9041">
        <v>56.188899999999897</v>
      </c>
      <c r="AD9041">
        <v>-1.1105406880869999</v>
      </c>
      <c r="AE9041">
        <v>11.3672299999999</v>
      </c>
      <c r="AF9041">
        <v>-14.217508300717901</v>
      </c>
      <c r="AG9041">
        <v>-1.1105406880869999</v>
      </c>
      <c r="AH9041">
        <v>55.513995040369103</v>
      </c>
      <c r="AI9041">
        <v>91.110209818000001</v>
      </c>
      <c r="AJ9041">
        <v>104.36507600439801</v>
      </c>
      <c r="AK9041">
        <v>57.316441692092297</v>
      </c>
      <c r="AL9041">
        <v>90.694987925536097</v>
      </c>
      <c r="AM9041">
        <v>88.627865151184395</v>
      </c>
      <c r="AN9041">
        <v>0.99999999049275901</v>
      </c>
    </row>
    <row r="9042" spans="1:40" x14ac:dyDescent="0.25">
      <c r="A9042" t="str">
        <f>"20190312154134031"</f>
        <v>20190312154134031</v>
      </c>
      <c r="B9042" t="str">
        <f>"1552376494025342"</f>
        <v>1552376494025342</v>
      </c>
      <c r="C9042" t="s">
        <v>40</v>
      </c>
      <c r="D9042">
        <v>3.891994</v>
      </c>
      <c r="E9042">
        <v>0.39398840000000002</v>
      </c>
      <c r="F9042" t="s">
        <v>69</v>
      </c>
      <c r="G9042">
        <v>-190.46709999999999</v>
      </c>
      <c r="H9042" s="1">
        <v>-9.6871379999999997E-6</v>
      </c>
      <c r="I9042">
        <v>-50.828539999999997</v>
      </c>
      <c r="J9042">
        <v>-246.541</v>
      </c>
      <c r="K9042">
        <v>1.1105400000000001</v>
      </c>
      <c r="L9042">
        <v>-62.201349999999998</v>
      </c>
      <c r="M9042">
        <v>0.99861149999999999</v>
      </c>
      <c r="N9042">
        <v>0</v>
      </c>
      <c r="O9042">
        <v>-5.0705409999999999E-2</v>
      </c>
      <c r="P9042">
        <v>0.99686940000000002</v>
      </c>
      <c r="Q9042">
        <v>-2.6288280000000001E-2</v>
      </c>
      <c r="R9042">
        <v>-7.4569040000000003E-2</v>
      </c>
      <c r="S9042">
        <v>3.0543520000000002</v>
      </c>
      <c r="T9042">
        <v>-6.0358410000000001E-2</v>
      </c>
      <c r="U9042">
        <v>0.61779790000000001</v>
      </c>
      <c r="V9042">
        <v>2.393528E-2</v>
      </c>
      <c r="W9042">
        <v>-1.197635E-2</v>
      </c>
      <c r="X9042">
        <v>0.99964180000000002</v>
      </c>
      <c r="Y9042">
        <v>-0.24764610000000001</v>
      </c>
      <c r="Z9042">
        <v>3.4150830000000002E-3</v>
      </c>
      <c r="AA9042">
        <v>0.9688445</v>
      </c>
      <c r="AB9042">
        <v>25</v>
      </c>
      <c r="AC9042">
        <v>56.073900000000002</v>
      </c>
      <c r="AD9042">
        <v>-1.1105496871379901</v>
      </c>
      <c r="AE9042">
        <v>11.3728099999999</v>
      </c>
      <c r="AF9042">
        <v>-14.196369420905601</v>
      </c>
      <c r="AG9042">
        <v>-1.1105496871379901</v>
      </c>
      <c r="AH9042">
        <v>55.404159733703402</v>
      </c>
      <c r="AI9042">
        <v>91.112385466510304</v>
      </c>
      <c r="AJ9042">
        <v>104.371860167199</v>
      </c>
      <c r="AK9042">
        <v>57.204817464442201</v>
      </c>
      <c r="AL9042">
        <v>90.686210693635502</v>
      </c>
      <c r="AM9042">
        <v>88.628380146702497</v>
      </c>
      <c r="AN9042">
        <v>1.0000000294476199</v>
      </c>
    </row>
    <row r="9043" spans="1:40" x14ac:dyDescent="0.25">
      <c r="A9043" t="str">
        <f>"20190312154134042"</f>
        <v>20190312154134042</v>
      </c>
      <c r="B9043" t="str">
        <f>"1552376494035103"</f>
        <v>1552376494035103</v>
      </c>
      <c r="C9043" t="s">
        <v>40</v>
      </c>
      <c r="D9043">
        <v>4.222207</v>
      </c>
      <c r="E9043">
        <v>0.394154</v>
      </c>
      <c r="F9043" t="s">
        <v>69</v>
      </c>
      <c r="G9043">
        <v>-190.21260000000001</v>
      </c>
      <c r="H9043" s="1">
        <v>-9.6788919999999996E-6</v>
      </c>
      <c r="I9043">
        <v>-50.781269999999999</v>
      </c>
      <c r="J9043">
        <v>-246.4179</v>
      </c>
      <c r="K9043">
        <v>1.110555</v>
      </c>
      <c r="L9043">
        <v>-62.207210000000003</v>
      </c>
      <c r="M9043">
        <v>0.99863000000000002</v>
      </c>
      <c r="N9043">
        <v>0</v>
      </c>
      <c r="O9043">
        <v>-5.0327190000000001E-2</v>
      </c>
      <c r="P9043">
        <v>0.9969074</v>
      </c>
      <c r="Q9043">
        <v>-2.623354E-2</v>
      </c>
      <c r="R9043">
        <v>-7.4079320000000004E-2</v>
      </c>
      <c r="S9043">
        <v>3.0541529999999999</v>
      </c>
      <c r="T9043">
        <v>-6.0214520000000001E-2</v>
      </c>
      <c r="U9043">
        <v>0.61920169999999997</v>
      </c>
      <c r="V9043">
        <v>2.3822869999999999E-2</v>
      </c>
      <c r="W9043">
        <v>-1.18844E-2</v>
      </c>
      <c r="X9043">
        <v>0.99964549999999996</v>
      </c>
      <c r="Y9043">
        <v>-0.24771950000000001</v>
      </c>
      <c r="Z9043">
        <v>3.4003319999999998E-3</v>
      </c>
      <c r="AA9043">
        <v>0.96882579999999996</v>
      </c>
      <c r="AB9043">
        <v>25</v>
      </c>
      <c r="AC9043">
        <v>56.205300000000001</v>
      </c>
      <c r="AD9043">
        <v>-1.1105646788920001</v>
      </c>
      <c r="AE9043">
        <v>11.425939999999899</v>
      </c>
      <c r="AF9043">
        <v>-14.235066001151999</v>
      </c>
      <c r="AG9043">
        <v>-1.1105646788920001</v>
      </c>
      <c r="AH9043">
        <v>55.538143898250098</v>
      </c>
      <c r="AI9043">
        <v>91.109696546575904</v>
      </c>
      <c r="AJ9043">
        <v>104.37608620175099</v>
      </c>
      <c r="AK9043">
        <v>57.344187897518403</v>
      </c>
      <c r="AL9043">
        <v>90.680942028114004</v>
      </c>
      <c r="AM9043">
        <v>88.634824449815099</v>
      </c>
      <c r="AN9043">
        <v>0.99999994688432103</v>
      </c>
    </row>
    <row r="9044" spans="1:40" x14ac:dyDescent="0.25">
      <c r="A9044" t="str">
        <f>"20190312154134053"</f>
        <v>20190312154134053</v>
      </c>
      <c r="B9044" t="str">
        <f>"1552376494044863"</f>
        <v>1552376494044863</v>
      </c>
      <c r="C9044" t="s">
        <v>40</v>
      </c>
      <c r="D9044">
        <v>4.1294430000000002</v>
      </c>
      <c r="E9044">
        <v>0.394154</v>
      </c>
      <c r="F9044" t="s">
        <v>69</v>
      </c>
      <c r="G9044">
        <v>-189.04130000000001</v>
      </c>
      <c r="H9044" s="1">
        <v>-1.003523E-5</v>
      </c>
      <c r="I9044">
        <v>-50.570929999999997</v>
      </c>
      <c r="J9044">
        <v>-246.2954</v>
      </c>
      <c r="K9044">
        <v>1.1105659999999999</v>
      </c>
      <c r="L9044">
        <v>-62.212949999999999</v>
      </c>
      <c r="M9044">
        <v>0.9986486</v>
      </c>
      <c r="N9044">
        <v>0</v>
      </c>
      <c r="O9044">
        <v>-4.994585E-2</v>
      </c>
      <c r="P9044">
        <v>0.99692270000000005</v>
      </c>
      <c r="Q9044">
        <v>-2.6166789999999999E-2</v>
      </c>
      <c r="R9044">
        <v>-7.3895479999999999E-2</v>
      </c>
      <c r="S9044">
        <v>3.0537869999999998</v>
      </c>
      <c r="T9044">
        <v>-5.9108140000000003E-2</v>
      </c>
      <c r="U9044">
        <v>0.61932369999999903</v>
      </c>
      <c r="V9044">
        <v>2.4020090000000001E-2</v>
      </c>
      <c r="W9044">
        <v>-1.1783180000000001E-2</v>
      </c>
      <c r="X9044">
        <v>0.99964200000000003</v>
      </c>
      <c r="Y9044">
        <v>-0.24741150000000001</v>
      </c>
      <c r="Z9044">
        <v>3.3279770000000002E-3</v>
      </c>
      <c r="AA9044">
        <v>0.96890480000000001</v>
      </c>
      <c r="AB9044">
        <v>25</v>
      </c>
      <c r="AC9044">
        <v>57.254100000000001</v>
      </c>
      <c r="AD9044">
        <v>-1.11057603522999</v>
      </c>
      <c r="AE9044">
        <v>11.64202</v>
      </c>
      <c r="AF9044">
        <v>-14.4821540939163</v>
      </c>
      <c r="AG9044">
        <v>-1.11057603522999</v>
      </c>
      <c r="AH9044">
        <v>56.580653825383003</v>
      </c>
      <c r="AI9044">
        <v>91.089359353747895</v>
      </c>
      <c r="AJ9044">
        <v>104.356967009223</v>
      </c>
      <c r="AK9044">
        <v>58.415208239274399</v>
      </c>
      <c r="AL9044">
        <v>90.675142128552494</v>
      </c>
      <c r="AM9044">
        <v>88.623522220848898</v>
      </c>
      <c r="AN9044">
        <v>0.99999996810925895</v>
      </c>
    </row>
    <row r="9045" spans="1:40" x14ac:dyDescent="0.25">
      <c r="A9045" t="str">
        <f>"20190312154134065"</f>
        <v>20190312154134065</v>
      </c>
      <c r="B9045" t="str">
        <f>"1552376494055598"</f>
        <v>1552376494055598</v>
      </c>
      <c r="C9045" t="s">
        <v>40</v>
      </c>
      <c r="D9045">
        <v>4.2832530000000002</v>
      </c>
      <c r="E9045">
        <v>0.43436740000000001</v>
      </c>
      <c r="F9045" t="s">
        <v>69</v>
      </c>
      <c r="G9045">
        <v>-188.66470000000001</v>
      </c>
      <c r="H9045" s="1">
        <v>-1.008642E-5</v>
      </c>
      <c r="I9045">
        <v>-50.514249999999997</v>
      </c>
      <c r="J9045">
        <v>-246.17330000000001</v>
      </c>
      <c r="K9045">
        <v>1.110576</v>
      </c>
      <c r="L9045">
        <v>-62.21866</v>
      </c>
      <c r="M9045">
        <v>0.99866759999999999</v>
      </c>
      <c r="N9045">
        <v>0</v>
      </c>
      <c r="O9045">
        <v>-4.9559260000000001E-2</v>
      </c>
      <c r="P9045">
        <v>0.99695</v>
      </c>
      <c r="Q9045">
        <v>-2.5867890000000001E-2</v>
      </c>
      <c r="R9045">
        <v>-7.3633249999999997E-2</v>
      </c>
      <c r="S9045">
        <v>3.0536500000000002</v>
      </c>
      <c r="T9045">
        <v>-5.8845519999999998E-2</v>
      </c>
      <c r="U9045">
        <v>0.61987300000000001</v>
      </c>
      <c r="V9045">
        <v>2.4143560000000001E-2</v>
      </c>
      <c r="W9045">
        <v>-1.145291E-2</v>
      </c>
      <c r="X9045">
        <v>0.9996429</v>
      </c>
      <c r="Y9045">
        <v>-0.24721290000000001</v>
      </c>
      <c r="Z9045">
        <v>3.3040040000000001E-3</v>
      </c>
      <c r="AA9045">
        <v>0.96895549999999997</v>
      </c>
      <c r="AB9045">
        <v>25</v>
      </c>
      <c r="AC9045">
        <v>57.508600000000001</v>
      </c>
      <c r="AD9045">
        <v>-1.1105860864199999</v>
      </c>
      <c r="AE9045">
        <v>11.704409999999999</v>
      </c>
      <c r="AF9045">
        <v>-14.5351978720084</v>
      </c>
      <c r="AG9045">
        <v>-1.1105860864199999</v>
      </c>
      <c r="AH9045">
        <v>56.837442164063297</v>
      </c>
      <c r="AI9045">
        <v>91.084506774773104</v>
      </c>
      <c r="AJ9045">
        <v>104.344967461259</v>
      </c>
      <c r="AK9045">
        <v>58.677084201475303</v>
      </c>
      <c r="AL9045">
        <v>90.656217749920202</v>
      </c>
      <c r="AM9045">
        <v>88.616450727269694</v>
      </c>
      <c r="AN9045">
        <v>1.0000000040786701</v>
      </c>
    </row>
    <row r="9046" spans="1:40" x14ac:dyDescent="0.25">
      <c r="A9046" t="str">
        <f>"20190312154134076"</f>
        <v>20190312154134076</v>
      </c>
      <c r="B9046" t="str">
        <f>"1552376494065358"</f>
        <v>1552376494065358</v>
      </c>
      <c r="C9046" t="s">
        <v>40</v>
      </c>
      <c r="D9046">
        <v>4.1527159999999999</v>
      </c>
      <c r="E9046">
        <v>0.4505015</v>
      </c>
      <c r="F9046" t="s">
        <v>80</v>
      </c>
      <c r="G9046">
        <v>-157.9383</v>
      </c>
      <c r="H9046">
        <v>2.0919110000000001</v>
      </c>
      <c r="I9046">
        <v>-53.552729999999997</v>
      </c>
      <c r="J9046">
        <v>-246.05070000000001</v>
      </c>
      <c r="K9046">
        <v>1.1105879999999999</v>
      </c>
      <c r="L9046">
        <v>-62.224330000000002</v>
      </c>
      <c r="M9046">
        <v>0.99868659999999998</v>
      </c>
      <c r="N9046">
        <v>0</v>
      </c>
      <c r="O9046">
        <v>-4.9167660000000002E-2</v>
      </c>
      <c r="P9046">
        <v>0.99699040000000005</v>
      </c>
      <c r="Q9046">
        <v>-2.5646329999999998E-2</v>
      </c>
      <c r="R9046">
        <v>-7.3163320000000004E-2</v>
      </c>
      <c r="S9046">
        <v>3.0320589999999998</v>
      </c>
      <c r="T9046">
        <v>3.3721330000000001E-2</v>
      </c>
      <c r="U9046">
        <v>0.29779050000000001</v>
      </c>
      <c r="V9046">
        <v>2.40638E-2</v>
      </c>
      <c r="W9046">
        <v>-1.1201610000000001E-2</v>
      </c>
      <c r="X9046">
        <v>0.99964770000000003</v>
      </c>
      <c r="Y9046">
        <v>-0.14655079999999901</v>
      </c>
      <c r="Z9046">
        <v>-1.3586729999999999E-3</v>
      </c>
      <c r="AA9046">
        <v>0.98920220000000003</v>
      </c>
      <c r="AB9046">
        <v>25</v>
      </c>
      <c r="AC9046">
        <v>88.112399999999994</v>
      </c>
      <c r="AD9046">
        <v>0.98132299999999995</v>
      </c>
      <c r="AE9046">
        <v>8.6715999999999909</v>
      </c>
      <c r="AF9046">
        <v>-12.9922441260995</v>
      </c>
      <c r="AG9046">
        <v>0.98132299999999995</v>
      </c>
      <c r="AH9046">
        <v>87.568645290831498</v>
      </c>
      <c r="AI9046">
        <v>89.364902987850101</v>
      </c>
      <c r="AJ9046">
        <v>98.439204643918202</v>
      </c>
      <c r="AK9046">
        <v>88.532643924904704</v>
      </c>
      <c r="AL9046">
        <v>90.641818377979803</v>
      </c>
      <c r="AM9046">
        <v>88.621026233658597</v>
      </c>
      <c r="AN9046">
        <v>1.0000000333261601</v>
      </c>
    </row>
    <row r="9047" spans="1:40" x14ac:dyDescent="0.25">
      <c r="A9047" t="str">
        <f>"20190312154134087"</f>
        <v>20190312154134087</v>
      </c>
      <c r="B9047" t="str">
        <f>"1552376494075118"</f>
        <v>1552376494075118</v>
      </c>
      <c r="C9047" t="s">
        <v>40</v>
      </c>
      <c r="D9047">
        <v>4.0410139999999997</v>
      </c>
      <c r="E9047">
        <v>0.46371780000000001</v>
      </c>
      <c r="F9047" t="s">
        <v>80</v>
      </c>
      <c r="G9047">
        <v>-157.3501</v>
      </c>
      <c r="H9047">
        <v>1.76653699999999</v>
      </c>
      <c r="I9047">
        <v>-57.201320000000003</v>
      </c>
      <c r="J9047">
        <v>-245.92959999999999</v>
      </c>
      <c r="K9047">
        <v>1.1105989999999999</v>
      </c>
      <c r="L9047">
        <v>-62.229860000000002</v>
      </c>
      <c r="M9047">
        <v>0.99870550000000002</v>
      </c>
      <c r="N9047">
        <v>0</v>
      </c>
      <c r="O9047">
        <v>-4.8771849999999999E-2</v>
      </c>
      <c r="P9047">
        <v>0.99702329999999995</v>
      </c>
      <c r="Q9047">
        <v>-2.5255130000000001E-2</v>
      </c>
      <c r="R9047">
        <v>-7.2850029999999996E-2</v>
      </c>
      <c r="S9047">
        <v>3.022186</v>
      </c>
      <c r="T9047">
        <v>2.2348639999999999E-2</v>
      </c>
      <c r="U9047">
        <v>0.17114260000000001</v>
      </c>
      <c r="V9047">
        <v>2.414494E-2</v>
      </c>
      <c r="W9047">
        <v>-1.078434E-2</v>
      </c>
      <c r="X9047">
        <v>0.99965029999999999</v>
      </c>
      <c r="Y9047">
        <v>-0.1051656</v>
      </c>
      <c r="Z9047">
        <v>-7.4894770000000005E-4</v>
      </c>
      <c r="AA9047">
        <v>0.99445439999999996</v>
      </c>
      <c r="AB9047">
        <v>25</v>
      </c>
      <c r="AC9047">
        <v>88.579499999999996</v>
      </c>
      <c r="AD9047">
        <v>0.65593799999999902</v>
      </c>
      <c r="AE9047">
        <v>5.0285399999999996</v>
      </c>
      <c r="AF9047">
        <v>-9.3426806704631407</v>
      </c>
      <c r="AG9047">
        <v>0.65593799999999902</v>
      </c>
      <c r="AH9047">
        <v>88.223964510207793</v>
      </c>
      <c r="AI9047">
        <v>89.576386929117604</v>
      </c>
      <c r="AJ9047">
        <v>96.044939733319595</v>
      </c>
      <c r="AK9047">
        <v>88.719692575371795</v>
      </c>
      <c r="AL9047">
        <v>90.617909143828896</v>
      </c>
      <c r="AM9047">
        <v>88.616381915413399</v>
      </c>
      <c r="AN9047">
        <v>1.00000000120346</v>
      </c>
    </row>
    <row r="9048" spans="1:40" x14ac:dyDescent="0.25">
      <c r="A9048" t="str">
        <f>"20190312154134098"</f>
        <v>20190312154134098</v>
      </c>
      <c r="B9048" t="str">
        <f>"1552376494084878"</f>
        <v>1552376494084878</v>
      </c>
      <c r="C9048" t="s">
        <v>40</v>
      </c>
      <c r="D9048">
        <v>4.1500139999999996</v>
      </c>
      <c r="E9048">
        <v>0.47414000000000001</v>
      </c>
      <c r="F9048" t="s">
        <v>80</v>
      </c>
      <c r="G9048">
        <v>-157.3501</v>
      </c>
      <c r="H9048">
        <v>1.615178</v>
      </c>
      <c r="I9048">
        <v>-60.254199999999997</v>
      </c>
      <c r="J9048">
        <v>-245.8057</v>
      </c>
      <c r="K9048">
        <v>1.1106100000000001</v>
      </c>
      <c r="L9048">
        <v>-62.235439999999997</v>
      </c>
      <c r="M9048">
        <v>0.99872499999999997</v>
      </c>
      <c r="N9048">
        <v>0</v>
      </c>
      <c r="O9048">
        <v>-4.8364839999999999E-2</v>
      </c>
      <c r="P9048">
        <v>0.9970639</v>
      </c>
      <c r="Q9048">
        <v>-2.4725239999999999E-2</v>
      </c>
      <c r="R9048">
        <v>-7.2471510000000003E-2</v>
      </c>
      <c r="S9048">
        <v>3.014313</v>
      </c>
      <c r="T9048">
        <v>1.7169830000000001E-2</v>
      </c>
      <c r="U9048">
        <v>6.7230219999999993E-2</v>
      </c>
      <c r="V9048">
        <v>2.4171890000000001E-2</v>
      </c>
      <c r="W9048">
        <v>-1.0228650000000001E-2</v>
      </c>
      <c r="X9048">
        <v>0.99965550000000003</v>
      </c>
      <c r="Y9048">
        <v>-7.0627960000000004E-2</v>
      </c>
      <c r="Z9048">
        <v>-4.7656530000000002E-4</v>
      </c>
      <c r="AA9048">
        <v>0.99750260000000002</v>
      </c>
      <c r="AB9048">
        <v>25</v>
      </c>
      <c r="AC9048">
        <v>88.455600000000004</v>
      </c>
      <c r="AD9048">
        <v>0.50456799999999902</v>
      </c>
      <c r="AE9048">
        <v>1.9812399999999999</v>
      </c>
      <c r="AF9048">
        <v>-6.2573059847160399</v>
      </c>
      <c r="AG9048">
        <v>0.50456799999999902</v>
      </c>
      <c r="AH9048">
        <v>88.253359438696506</v>
      </c>
      <c r="AI9048">
        <v>89.673248561092393</v>
      </c>
      <c r="AJ9048">
        <v>94.055576714500404</v>
      </c>
      <c r="AK9048">
        <v>88.476346665471894</v>
      </c>
      <c r="AL9048">
        <v>90.586068687920104</v>
      </c>
      <c r="AM9048">
        <v>88.614845358117705</v>
      </c>
      <c r="AN9048">
        <v>1.0000000121136201</v>
      </c>
    </row>
    <row r="9049" spans="1:40" x14ac:dyDescent="0.25">
      <c r="A9049" t="str">
        <f>"20190312154134109"</f>
        <v>20190312154134109</v>
      </c>
      <c r="B9049" t="str">
        <f>"1552376494105375"</f>
        <v>1552376494105375</v>
      </c>
      <c r="C9049" t="s">
        <v>40</v>
      </c>
      <c r="D9049">
        <v>4.1224600000000002</v>
      </c>
      <c r="E9049">
        <v>0.48758259999999998</v>
      </c>
      <c r="F9049" t="s">
        <v>80</v>
      </c>
      <c r="G9049">
        <v>-157.3501</v>
      </c>
      <c r="H9049">
        <v>1.404223</v>
      </c>
      <c r="I9049">
        <v>-62.656320000000001</v>
      </c>
      <c r="J9049">
        <v>-245.6859</v>
      </c>
      <c r="K9049">
        <v>1.1106180000000001</v>
      </c>
      <c r="L9049">
        <v>-62.240810000000003</v>
      </c>
      <c r="M9049">
        <v>0.99874410000000002</v>
      </c>
      <c r="N9049">
        <v>0</v>
      </c>
      <c r="O9049">
        <v>-4.7961730000000001E-2</v>
      </c>
      <c r="P9049">
        <v>0.99711910000000004</v>
      </c>
      <c r="Q9049">
        <v>-2.4478900000000001E-2</v>
      </c>
      <c r="R9049">
        <v>-7.1793309999999999E-2</v>
      </c>
      <c r="S9049">
        <v>3.008041</v>
      </c>
      <c r="T9049">
        <v>9.9840160000000001E-3</v>
      </c>
      <c r="U9049">
        <v>-1.4312739999999999E-2</v>
      </c>
      <c r="V9049">
        <v>2.3895030000000001E-2</v>
      </c>
      <c r="W9049">
        <v>-9.9606829999999997E-3</v>
      </c>
      <c r="X9049">
        <v>0.99966480000000002</v>
      </c>
      <c r="Y9049">
        <v>-4.3213090000000003E-2</v>
      </c>
      <c r="Z9049">
        <v>-2.30869E-4</v>
      </c>
      <c r="AA9049">
        <v>0.99906589999999995</v>
      </c>
      <c r="AB9049">
        <v>24</v>
      </c>
      <c r="AC9049">
        <v>88.335800000000006</v>
      </c>
      <c r="AD9049">
        <v>0.29360499999999901</v>
      </c>
      <c r="AE9049">
        <v>-0.41550999999999699</v>
      </c>
      <c r="AF9049">
        <v>-3.82210855170963</v>
      </c>
      <c r="AG9049">
        <v>0.29360499999999901</v>
      </c>
      <c r="AH9049">
        <v>88.253075252275593</v>
      </c>
      <c r="AI9049">
        <v>89.809564580441403</v>
      </c>
      <c r="AJ9049">
        <v>92.479844778171199</v>
      </c>
      <c r="AK9049">
        <v>88.336289310571004</v>
      </c>
      <c r="AL9049">
        <v>90.570714563022904</v>
      </c>
      <c r="AM9049">
        <v>88.630717301347602</v>
      </c>
      <c r="AN9049">
        <v>0.99999995001178199</v>
      </c>
    </row>
    <row r="9050" spans="1:40" x14ac:dyDescent="0.25">
      <c r="A9050" t="str">
        <f>"20190312154134120"</f>
        <v>20190312154134120</v>
      </c>
      <c r="B9050" t="str">
        <f>"1552376494115134"</f>
        <v>1552376494115134</v>
      </c>
      <c r="C9050" t="s">
        <v>40</v>
      </c>
      <c r="D9050">
        <v>4.0604360000000002</v>
      </c>
      <c r="E9050">
        <v>0.49176550000000002</v>
      </c>
      <c r="F9050" t="s">
        <v>80</v>
      </c>
      <c r="G9050">
        <v>-166.12370000000001</v>
      </c>
      <c r="H9050">
        <v>1.004739</v>
      </c>
      <c r="I9050">
        <v>-65.389949999999999</v>
      </c>
      <c r="J9050">
        <v>-245.5652</v>
      </c>
      <c r="K9050">
        <v>1.1106309999999999</v>
      </c>
      <c r="L9050">
        <v>-62.24615</v>
      </c>
      <c r="M9050">
        <v>0.99876319999999996</v>
      </c>
      <c r="N9050">
        <v>0</v>
      </c>
      <c r="O9050">
        <v>-4.755301E-2</v>
      </c>
      <c r="P9050">
        <v>0.99715299999999996</v>
      </c>
      <c r="Q9050">
        <v>-2.4342920000000001E-2</v>
      </c>
      <c r="R9050">
        <v>-7.1365590000000007E-2</v>
      </c>
      <c r="S9050">
        <v>3.0000309999999999</v>
      </c>
      <c r="T9050">
        <v>-3.9931539999999996E-3</v>
      </c>
      <c r="U9050">
        <v>-0.1187439</v>
      </c>
      <c r="V9050">
        <v>2.387502E-2</v>
      </c>
      <c r="W9050">
        <v>-9.8035810000000004E-3</v>
      </c>
      <c r="X9050">
        <v>0.99966690000000002</v>
      </c>
      <c r="Y9050">
        <v>-8.015589E-3</v>
      </c>
      <c r="Z9050" s="1">
        <v>6.8576370000000001E-5</v>
      </c>
      <c r="AA9050">
        <v>0.99996790000000002</v>
      </c>
      <c r="AB9050">
        <v>24</v>
      </c>
      <c r="AC9050">
        <v>79.441499999999905</v>
      </c>
      <c r="AD9050">
        <v>-0.105891999999999</v>
      </c>
      <c r="AE9050">
        <v>-3.1437999999999899</v>
      </c>
      <c r="AF9050">
        <v>-0.63783679001776905</v>
      </c>
      <c r="AG9050">
        <v>-0.105891999999999</v>
      </c>
      <c r="AH9050">
        <v>79.500981998637201</v>
      </c>
      <c r="AI9050">
        <v>90.076313093071505</v>
      </c>
      <c r="AJ9050">
        <v>90.459674472857202</v>
      </c>
      <c r="AK9050">
        <v>79.503611160965505</v>
      </c>
      <c r="AL9050">
        <v>90.561712802782694</v>
      </c>
      <c r="AM9050">
        <v>88.631866392929098</v>
      </c>
      <c r="AN9050">
        <v>1.00000001886801</v>
      </c>
    </row>
    <row r="9051" spans="1:40" x14ac:dyDescent="0.25">
      <c r="A9051" t="str">
        <f>"20190312154134131"</f>
        <v>20190312154134131</v>
      </c>
      <c r="B9051" t="str">
        <f>"1552376494124894"</f>
        <v>1552376494124894</v>
      </c>
      <c r="C9051" t="s">
        <v>40</v>
      </c>
      <c r="D9051">
        <v>4.1655490000000004</v>
      </c>
      <c r="E9051">
        <v>0.49521349999999997</v>
      </c>
      <c r="F9051" t="s">
        <v>80</v>
      </c>
      <c r="G9051">
        <v>-168.45060000000001</v>
      </c>
      <c r="H9051">
        <v>1.05836</v>
      </c>
      <c r="I9051">
        <v>-66.126630000000006</v>
      </c>
      <c r="J9051">
        <v>-245.4434</v>
      </c>
      <c r="K9051">
        <v>1.1106419999999999</v>
      </c>
      <c r="L9051">
        <v>-62.2515</v>
      </c>
      <c r="M9051">
        <v>0.99878299999999998</v>
      </c>
      <c r="N9051">
        <v>0</v>
      </c>
      <c r="O9051">
        <v>-4.7133429999999997E-2</v>
      </c>
      <c r="P9051">
        <v>0.99717719999999999</v>
      </c>
      <c r="Q9051">
        <v>-2.405318E-2</v>
      </c>
      <c r="R9051">
        <v>-7.1129689999999995E-2</v>
      </c>
      <c r="S9051">
        <v>2.9977260000000001</v>
      </c>
      <c r="T9051">
        <v>-2.0327570000000001E-3</v>
      </c>
      <c r="U9051">
        <v>-0.15084839999999999</v>
      </c>
      <c r="V9051">
        <v>2.4057640000000002E-2</v>
      </c>
      <c r="W9051">
        <v>-9.4943939999999998E-3</v>
      </c>
      <c r="X9051">
        <v>0.99966549999999998</v>
      </c>
      <c r="Y9051">
        <v>3.1226499999999998E-3</v>
      </c>
      <c r="Z9051" s="1">
        <v>3.0867909999999997E-5</v>
      </c>
      <c r="AA9051">
        <v>0.99999510000000003</v>
      </c>
      <c r="AB9051">
        <v>24</v>
      </c>
      <c r="AC9051">
        <v>76.992799999999903</v>
      </c>
      <c r="AD9051">
        <v>-5.2281999999999898E-2</v>
      </c>
      <c r="AE9051">
        <v>-3.87513</v>
      </c>
      <c r="AF9051">
        <v>0.241504581507412</v>
      </c>
      <c r="AG9051">
        <v>-5.2281999999999898E-2</v>
      </c>
      <c r="AH9051">
        <v>77.089844292764795</v>
      </c>
      <c r="AI9051">
        <v>90.038857553979696</v>
      </c>
      <c r="AJ9051">
        <v>89.820506214359199</v>
      </c>
      <c r="AK9051">
        <v>77.090240309348701</v>
      </c>
      <c r="AL9051">
        <v>90.543996871485803</v>
      </c>
      <c r="AM9051">
        <v>88.621403633813401</v>
      </c>
      <c r="AN9051">
        <v>1.0000000127250199</v>
      </c>
    </row>
    <row r="9052" spans="1:40" x14ac:dyDescent="0.25">
      <c r="A9052" t="str">
        <f>"20190312154134143"</f>
        <v>20190312154134143</v>
      </c>
      <c r="B9052" t="str">
        <f>"1552376494135630"</f>
        <v>1552376494135630</v>
      </c>
      <c r="C9052" t="s">
        <v>40</v>
      </c>
      <c r="D9052">
        <v>4.0537710000000002</v>
      </c>
      <c r="E9052">
        <v>0.49800810000000001</v>
      </c>
      <c r="F9052" t="s">
        <v>80</v>
      </c>
      <c r="G9052">
        <v>-168.45060000000001</v>
      </c>
      <c r="H9052">
        <v>0.97498700000000005</v>
      </c>
      <c r="I9052">
        <v>-66.810819999999893</v>
      </c>
      <c r="J9052">
        <v>-245.3194</v>
      </c>
      <c r="K9052">
        <v>1.110654</v>
      </c>
      <c r="L9052">
        <v>-62.256900000000002</v>
      </c>
      <c r="M9052">
        <v>0.99880310000000005</v>
      </c>
      <c r="N9052">
        <v>0</v>
      </c>
      <c r="O9052">
        <v>-4.6700480000000003E-2</v>
      </c>
      <c r="P9052">
        <v>0.9972143</v>
      </c>
      <c r="Q9052">
        <v>-2.4118270000000001E-2</v>
      </c>
      <c r="R9052">
        <v>-7.0586049999999997E-2</v>
      </c>
      <c r="S9052">
        <v>2.9957120000000002</v>
      </c>
      <c r="T9052">
        <v>-5.2789450000000002E-3</v>
      </c>
      <c r="U9052">
        <v>-0.17739869999999999</v>
      </c>
      <c r="V9052">
        <v>2.3946370000000002E-2</v>
      </c>
      <c r="W9052">
        <v>-9.5414669999999997E-3</v>
      </c>
      <c r="X9052">
        <v>0.99966770000000005</v>
      </c>
      <c r="Y9052">
        <v>1.2425780000000001E-2</v>
      </c>
      <c r="Z9052" s="1">
        <v>7.1241269999999996E-5</v>
      </c>
      <c r="AA9052">
        <v>0.9999228</v>
      </c>
      <c r="AB9052">
        <v>24</v>
      </c>
      <c r="AC9052">
        <v>76.868799999999993</v>
      </c>
      <c r="AD9052">
        <v>-0.13566699999999901</v>
      </c>
      <c r="AE9052">
        <v>-4.55391999999999</v>
      </c>
      <c r="AF9052">
        <v>0.95875794212347099</v>
      </c>
      <c r="AG9052">
        <v>-0.13566699999999901</v>
      </c>
      <c r="AH9052">
        <v>76.997367312892095</v>
      </c>
      <c r="AI9052">
        <v>90.100945476617497</v>
      </c>
      <c r="AJ9052">
        <v>89.286599701178602</v>
      </c>
      <c r="AK9052">
        <v>77.003455737018001</v>
      </c>
      <c r="AL9052">
        <v>90.546694090647307</v>
      </c>
      <c r="AM9052">
        <v>88.627780412826695</v>
      </c>
      <c r="AN9052">
        <v>0.99999998932598899</v>
      </c>
    </row>
    <row r="9053" spans="1:40" x14ac:dyDescent="0.25">
      <c r="A9053" t="str">
        <f>"20190312154134154"</f>
        <v>20190312154134154</v>
      </c>
      <c r="B9053" t="str">
        <f>"1552376494145391"</f>
        <v>1552376494145391</v>
      </c>
      <c r="C9053" t="s">
        <v>40</v>
      </c>
      <c r="D9053">
        <v>4.0704719999999996</v>
      </c>
      <c r="E9053">
        <v>0.50038800000000005</v>
      </c>
      <c r="F9053" t="s">
        <v>80</v>
      </c>
      <c r="G9053">
        <v>-168.45060000000001</v>
      </c>
      <c r="H9053">
        <v>0.99343680000000001</v>
      </c>
      <c r="I9053">
        <v>-67.343050000000005</v>
      </c>
      <c r="J9053">
        <v>-245.19470000000001</v>
      </c>
      <c r="K9053">
        <v>1.1106659999999999</v>
      </c>
      <c r="L9053">
        <v>-62.262239999999998</v>
      </c>
      <c r="M9053">
        <v>0.99882329999999997</v>
      </c>
      <c r="N9053">
        <v>0</v>
      </c>
      <c r="O9053">
        <v>-4.625953E-2</v>
      </c>
      <c r="P9053">
        <v>0.99722250000000001</v>
      </c>
      <c r="Q9053">
        <v>-2.4140310000000002E-2</v>
      </c>
      <c r="R9053">
        <v>-7.0461259999999998E-2</v>
      </c>
      <c r="S9053">
        <v>2.9942630000000001</v>
      </c>
      <c r="T9053">
        <v>-4.5666689999999998E-3</v>
      </c>
      <c r="U9053">
        <v>-0.19812009999999999</v>
      </c>
      <c r="V9053">
        <v>2.4262740000000001E-2</v>
      </c>
      <c r="W9053">
        <v>-9.5463189999999993E-3</v>
      </c>
      <c r="X9053">
        <v>0.99965999999999999</v>
      </c>
      <c r="Y9053">
        <v>1.978806E-2</v>
      </c>
      <c r="Z9053" s="1">
        <v>5.5363550000000003E-5</v>
      </c>
      <c r="AA9053">
        <v>0.99980420000000003</v>
      </c>
      <c r="AB9053">
        <v>24</v>
      </c>
      <c r="AC9053">
        <v>76.744100000000003</v>
      </c>
      <c r="AD9053">
        <v>-0.11722919999999901</v>
      </c>
      <c r="AE9053">
        <v>-5.0808099999999996</v>
      </c>
      <c r="AF9053">
        <v>1.5248435688173501</v>
      </c>
      <c r="AG9053">
        <v>-0.11722919999999901</v>
      </c>
      <c r="AH9053">
        <v>76.896806707963094</v>
      </c>
      <c r="AI9053">
        <v>90.087330193529894</v>
      </c>
      <c r="AJ9053">
        <v>88.863988559507405</v>
      </c>
      <c r="AK9053">
        <v>76.912013186995296</v>
      </c>
      <c r="AL9053">
        <v>90.546972116189195</v>
      </c>
      <c r="AM9053">
        <v>88.609647553159903</v>
      </c>
      <c r="AN9053">
        <v>0.99999996417937798</v>
      </c>
    </row>
    <row r="9054" spans="1:40" x14ac:dyDescent="0.25">
      <c r="A9054" t="str">
        <f>"20190312154134165"</f>
        <v>20190312154134165</v>
      </c>
      <c r="B9054" t="str">
        <f>"1552376494155151"</f>
        <v>1552376494155151</v>
      </c>
      <c r="C9054" t="s">
        <v>40</v>
      </c>
      <c r="D9054">
        <v>4.0568479999999996</v>
      </c>
      <c r="E9054">
        <v>0.50233739999999905</v>
      </c>
      <c r="F9054" t="s">
        <v>80</v>
      </c>
      <c r="G9054">
        <v>-168.45060000000001</v>
      </c>
      <c r="H9054">
        <v>1.0179940000000001</v>
      </c>
      <c r="I9054">
        <v>-67.818889999999996</v>
      </c>
      <c r="J9054">
        <v>-245.078</v>
      </c>
      <c r="K9054">
        <v>1.1106769999999999</v>
      </c>
      <c r="L9054">
        <v>-62.267150000000001</v>
      </c>
      <c r="M9054">
        <v>0.99884260000000002</v>
      </c>
      <c r="N9054">
        <v>0</v>
      </c>
      <c r="O9054">
        <v>-4.5837990000000002E-2</v>
      </c>
      <c r="P9054">
        <v>0.99723729999999999</v>
      </c>
      <c r="Q9054">
        <v>-2.3998749999999999E-2</v>
      </c>
      <c r="R9054">
        <v>-7.0299990000000007E-2</v>
      </c>
      <c r="S9054">
        <v>2.992966</v>
      </c>
      <c r="T9054">
        <v>-3.6149020000000001E-3</v>
      </c>
      <c r="U9054">
        <v>-0.21670529999999999</v>
      </c>
      <c r="V9054">
        <v>2.45229E-2</v>
      </c>
      <c r="W9054">
        <v>-9.3902169999999993E-3</v>
      </c>
      <c r="X9054">
        <v>0.99965519999999997</v>
      </c>
      <c r="Y9054">
        <v>2.6416769999999999E-2</v>
      </c>
      <c r="Z9054" s="1">
        <v>3.9326940000000001E-5</v>
      </c>
      <c r="AA9054">
        <v>0.99965099999999996</v>
      </c>
      <c r="AB9054">
        <v>24</v>
      </c>
      <c r="AC9054">
        <v>76.627399999999994</v>
      </c>
      <c r="AD9054">
        <v>-9.2683000000000001E-2</v>
      </c>
      <c r="AE9054">
        <v>-5.5517399999999899</v>
      </c>
      <c r="AF9054">
        <v>2.0330813255168598</v>
      </c>
      <c r="AG9054">
        <v>-9.2683000000000001E-2</v>
      </c>
      <c r="AH9054">
        <v>76.8012346767417</v>
      </c>
      <c r="AI9054">
        <v>90.069119754418793</v>
      </c>
      <c r="AJ9054">
        <v>88.483620982902195</v>
      </c>
      <c r="AK9054">
        <v>76.828195720624706</v>
      </c>
      <c r="AL9054">
        <v>90.538027691671203</v>
      </c>
      <c r="AM9054">
        <v>88.594738541639998</v>
      </c>
      <c r="AN9054">
        <v>1.0000000338433701</v>
      </c>
    </row>
    <row r="9055" spans="1:40" x14ac:dyDescent="0.25">
      <c r="A9055" t="str">
        <f>"20190312154134175"</f>
        <v>20190312154134175</v>
      </c>
      <c r="B9055" t="str">
        <f>"1552376494164910"</f>
        <v>1552376494164910</v>
      </c>
      <c r="C9055" t="s">
        <v>40</v>
      </c>
      <c r="D9055">
        <v>4.043857</v>
      </c>
      <c r="E9055">
        <v>0.5040424</v>
      </c>
      <c r="F9055" t="s">
        <v>80</v>
      </c>
      <c r="G9055">
        <v>-168.45060000000001</v>
      </c>
      <c r="H9055">
        <v>1.061655</v>
      </c>
      <c r="I9055">
        <v>-68.203409999999906</v>
      </c>
      <c r="J9055">
        <v>-244.9605</v>
      </c>
      <c r="K9055">
        <v>1.11069</v>
      </c>
      <c r="L9055">
        <v>-62.272089999999999</v>
      </c>
      <c r="M9055">
        <v>0.99886180000000002</v>
      </c>
      <c r="N9055">
        <v>0</v>
      </c>
      <c r="O9055">
        <v>-4.5409890000000001E-2</v>
      </c>
      <c r="P9055">
        <v>0.99726800000000004</v>
      </c>
      <c r="Q9055">
        <v>-2.4057930000000002E-2</v>
      </c>
      <c r="R9055">
        <v>-6.9840749999999993E-2</v>
      </c>
      <c r="S9055">
        <v>2.9919129999999998</v>
      </c>
      <c r="T9055">
        <v>-1.9148590000000001E-3</v>
      </c>
      <c r="U9055">
        <v>-0.23178099999999999</v>
      </c>
      <c r="V9055">
        <v>2.4491220000000001E-2</v>
      </c>
      <c r="W9055">
        <v>-9.4356289999999992E-3</v>
      </c>
      <c r="X9055">
        <v>0.99965550000000003</v>
      </c>
      <c r="Y9055">
        <v>3.1878999999999998E-2</v>
      </c>
      <c r="Z9055" s="1">
        <v>1.881604E-5</v>
      </c>
      <c r="AA9055">
        <v>0.99949180000000004</v>
      </c>
      <c r="AB9055">
        <v>24</v>
      </c>
      <c r="AC9055">
        <v>76.509899999999902</v>
      </c>
      <c r="AD9055">
        <v>-4.9034999999999898E-2</v>
      </c>
      <c r="AE9055">
        <v>-5.9313199999999799</v>
      </c>
      <c r="AF9055">
        <v>2.4505228796660301</v>
      </c>
      <c r="AG9055">
        <v>-4.9034999999999898E-2</v>
      </c>
      <c r="AH9055">
        <v>76.700296503397695</v>
      </c>
      <c r="AI9055">
        <v>90.036610880008197</v>
      </c>
      <c r="AJ9055">
        <v>88.170060858635694</v>
      </c>
      <c r="AK9055">
        <v>76.7394484637733</v>
      </c>
      <c r="AL9055">
        <v>90.540629749305694</v>
      </c>
      <c r="AM9055">
        <v>88.596553628385294</v>
      </c>
      <c r="AN9055">
        <v>0.99999998481598096</v>
      </c>
    </row>
    <row r="9056" spans="1:40" x14ac:dyDescent="0.25">
      <c r="A9056" t="str">
        <f>"20190312154134188"</f>
        <v>20190312154134188</v>
      </c>
      <c r="B9056" t="str">
        <f>"1552376494175646"</f>
        <v>1552376494175646</v>
      </c>
      <c r="C9056" t="s">
        <v>40</v>
      </c>
      <c r="D9056">
        <v>4.0766580000000001</v>
      </c>
      <c r="E9056">
        <v>0.50548549999999903</v>
      </c>
      <c r="F9056" t="s">
        <v>80</v>
      </c>
      <c r="G9056">
        <v>-157.9383</v>
      </c>
      <c r="H9056">
        <v>1.069288</v>
      </c>
      <c r="I9056">
        <v>-69.372450000000001</v>
      </c>
      <c r="J9056">
        <v>-244.83969999999999</v>
      </c>
      <c r="K9056">
        <v>1.1107070000000001</v>
      </c>
      <c r="L9056">
        <v>-62.277070000000002</v>
      </c>
      <c r="M9056">
        <v>0.99888220000000005</v>
      </c>
      <c r="N9056">
        <v>0</v>
      </c>
      <c r="O9056">
        <v>-4.4957560000000001E-2</v>
      </c>
      <c r="P9056">
        <v>0.99731740000000002</v>
      </c>
      <c r="Q9056">
        <v>-2.3859100000000001E-2</v>
      </c>
      <c r="R9056">
        <v>-6.9205680000000006E-2</v>
      </c>
      <c r="S9056">
        <v>2.9910739999999998</v>
      </c>
      <c r="T9056">
        <v>-1.4237169999999999E-3</v>
      </c>
      <c r="U9056">
        <v>-0.24404909999999999</v>
      </c>
      <c r="V9056">
        <v>2.4306830000000001E-2</v>
      </c>
      <c r="W9056">
        <v>-9.22451E-3</v>
      </c>
      <c r="X9056">
        <v>0.99966200000000005</v>
      </c>
      <c r="Y9056">
        <v>3.6426559999999997E-2</v>
      </c>
      <c r="Z9056" s="1">
        <v>1.269595E-5</v>
      </c>
      <c r="AA9056">
        <v>0.99933640000000001</v>
      </c>
      <c r="AB9056">
        <v>24</v>
      </c>
      <c r="AC9056">
        <v>86.901399999999995</v>
      </c>
      <c r="AD9056">
        <v>-4.1418999999999803E-2</v>
      </c>
      <c r="AE9056">
        <v>-7.0953799999999996</v>
      </c>
      <c r="AF9056">
        <v>3.1809122148442599</v>
      </c>
      <c r="AG9056">
        <v>-4.1418999999999803E-2</v>
      </c>
      <c r="AH9056">
        <v>87.132520368229294</v>
      </c>
      <c r="AI9056">
        <v>90.027217781678402</v>
      </c>
      <c r="AJ9056">
        <v>87.909254270477703</v>
      </c>
      <c r="AK9056">
        <v>87.190573021238905</v>
      </c>
      <c r="AL9056">
        <v>90.528532979524797</v>
      </c>
      <c r="AM9056">
        <v>88.607124799103701</v>
      </c>
      <c r="AN9056">
        <v>1.00000001390669</v>
      </c>
    </row>
    <row r="9057" spans="1:40" x14ac:dyDescent="0.25">
      <c r="A9057" t="str">
        <f>"20190312154134199"</f>
        <v>20190312154134199</v>
      </c>
      <c r="B9057" t="str">
        <f>"1552376494195167"</f>
        <v>1552376494195167</v>
      </c>
      <c r="C9057" t="s">
        <v>40</v>
      </c>
      <c r="D9057">
        <v>4.0488099999999996</v>
      </c>
      <c r="E9057">
        <v>0.50778040000000002</v>
      </c>
      <c r="F9057" t="s">
        <v>80</v>
      </c>
      <c r="G9057">
        <v>-157.9383</v>
      </c>
      <c r="H9057">
        <v>1.080478</v>
      </c>
      <c r="I9057">
        <v>-69.645750000000007</v>
      </c>
      <c r="J9057">
        <v>-244.71899999999999</v>
      </c>
      <c r="K9057">
        <v>1.110722</v>
      </c>
      <c r="L9057">
        <v>-62.282040000000002</v>
      </c>
      <c r="M9057">
        <v>0.99890239999999997</v>
      </c>
      <c r="N9057">
        <v>0</v>
      </c>
      <c r="O9057">
        <v>-4.450225E-2</v>
      </c>
      <c r="P9057">
        <v>0.99733320000000003</v>
      </c>
      <c r="Q9057">
        <v>-2.3757859999999999E-2</v>
      </c>
      <c r="R9057">
        <v>-6.9009009999999996E-2</v>
      </c>
      <c r="S9057">
        <v>2.9904480000000002</v>
      </c>
      <c r="T9057">
        <v>-1.0409359999999999E-3</v>
      </c>
      <c r="U9057">
        <v>-0.25357059999999998</v>
      </c>
      <c r="V9057">
        <v>2.456523E-2</v>
      </c>
      <c r="W9057">
        <v>-9.1109450000000005E-3</v>
      </c>
      <c r="X9057">
        <v>0.99965669999999995</v>
      </c>
      <c r="Y9057">
        <v>4.0058730000000001E-2</v>
      </c>
      <c r="Z9057" s="1">
        <v>8.4939750000000003E-6</v>
      </c>
      <c r="AA9057">
        <v>0.99919729999999995</v>
      </c>
      <c r="AB9057">
        <v>24</v>
      </c>
      <c r="AC9057">
        <v>86.780699999999996</v>
      </c>
      <c r="AD9057">
        <v>-3.0243999999999899E-2</v>
      </c>
      <c r="AE9057">
        <v>-7.3637100000000002</v>
      </c>
      <c r="AF9057">
        <v>3.49406385390522</v>
      </c>
      <c r="AG9057">
        <v>-3.0243999999999899E-2</v>
      </c>
      <c r="AH9057">
        <v>87.022432773625596</v>
      </c>
      <c r="AI9057">
        <v>90.019896690168807</v>
      </c>
      <c r="AJ9057">
        <v>87.700734974156603</v>
      </c>
      <c r="AK9057">
        <v>87.092555380783807</v>
      </c>
      <c r="AL9057">
        <v>90.5220259240361</v>
      </c>
      <c r="AM9057">
        <v>88.592315947832901</v>
      </c>
      <c r="AN9057">
        <v>0.99999998884931696</v>
      </c>
    </row>
    <row r="9058" spans="1:40" x14ac:dyDescent="0.25">
      <c r="A9058" t="str">
        <f>"20190312154134209"</f>
        <v>20190312154134209</v>
      </c>
      <c r="B9058" t="str">
        <f>"1552376494204926"</f>
        <v>1552376494204926</v>
      </c>
      <c r="C9058" t="s">
        <v>40</v>
      </c>
      <c r="D9058">
        <v>4.0725249999999997</v>
      </c>
      <c r="E9058">
        <v>0.50869299999999995</v>
      </c>
      <c r="F9058" t="s">
        <v>80</v>
      </c>
      <c r="G9058">
        <v>-157.9383</v>
      </c>
      <c r="H9058">
        <v>1.1016709999999901</v>
      </c>
      <c r="I9058">
        <v>-70.156459999999996</v>
      </c>
      <c r="J9058">
        <v>-244.59710000000001</v>
      </c>
      <c r="K9058">
        <v>1.1107340000000001</v>
      </c>
      <c r="L9058">
        <v>-62.286929999999998</v>
      </c>
      <c r="M9058">
        <v>0.99892320000000001</v>
      </c>
      <c r="N9058">
        <v>0</v>
      </c>
      <c r="O9058">
        <v>-4.4028789999999998E-2</v>
      </c>
      <c r="P9058">
        <v>0.99738380000000004</v>
      </c>
      <c r="Q9058">
        <v>-2.3447880000000001E-2</v>
      </c>
      <c r="R9058">
        <v>-6.838205E-2</v>
      </c>
      <c r="S9058">
        <v>2.9892270000000001</v>
      </c>
      <c r="T9058">
        <v>-3.1244749999999999E-4</v>
      </c>
      <c r="U9058">
        <v>-0.27124019999999999</v>
      </c>
      <c r="V9058">
        <v>2.441026E-2</v>
      </c>
      <c r="W9058">
        <v>-8.7904090000000008E-3</v>
      </c>
      <c r="X9058">
        <v>0.99966339999999998</v>
      </c>
      <c r="Y9058">
        <v>4.6427009999999998E-2</v>
      </c>
      <c r="Z9058" s="1">
        <v>2.1683379999999998E-6</v>
      </c>
      <c r="AA9058">
        <v>0.99892170000000002</v>
      </c>
      <c r="AB9058">
        <v>24</v>
      </c>
      <c r="AC9058">
        <v>86.658799999999999</v>
      </c>
      <c r="AD9058">
        <v>-9.0630000000002601E-3</v>
      </c>
      <c r="AE9058">
        <v>-7.8695299999999904</v>
      </c>
      <c r="AF9058">
        <v>4.0460066953643103</v>
      </c>
      <c r="AG9058">
        <v>-9.0630000000002601E-3</v>
      </c>
      <c r="AH9058">
        <v>86.921267739293995</v>
      </c>
      <c r="AI9058">
        <v>90.005967584435098</v>
      </c>
      <c r="AJ9058">
        <v>87.334922712244307</v>
      </c>
      <c r="AK9058">
        <v>87.015383914127099</v>
      </c>
      <c r="AL9058">
        <v>90.503659811014003</v>
      </c>
      <c r="AM9058">
        <v>88.6012021688001</v>
      </c>
      <c r="AN9058">
        <v>1.0000000226915999</v>
      </c>
    </row>
    <row r="9059" spans="1:40" x14ac:dyDescent="0.25">
      <c r="A9059" t="str">
        <f>"20190312154134221"</f>
        <v>20190312154134221</v>
      </c>
      <c r="B9059" t="str">
        <f>"1552376494215662"</f>
        <v>1552376494215662</v>
      </c>
      <c r="C9059" t="s">
        <v>40</v>
      </c>
      <c r="D9059">
        <v>4.0785710000000002</v>
      </c>
      <c r="E9059">
        <v>0.50955309999999998</v>
      </c>
      <c r="F9059" t="s">
        <v>80</v>
      </c>
      <c r="G9059">
        <v>-157.93819999999999</v>
      </c>
      <c r="H9059">
        <v>1.1222460000000001</v>
      </c>
      <c r="I9059">
        <v>-70.306820000000002</v>
      </c>
      <c r="J9059">
        <v>-244.47579999999999</v>
      </c>
      <c r="K9059">
        <v>1.1107479999999901</v>
      </c>
      <c r="L9059">
        <v>-62.291780000000003</v>
      </c>
      <c r="M9059">
        <v>0.9989439</v>
      </c>
      <c r="N9059">
        <v>0</v>
      </c>
      <c r="O9059">
        <v>-4.3552710000000001E-2</v>
      </c>
      <c r="P9059">
        <v>0.99741000000000002</v>
      </c>
      <c r="Q9059">
        <v>-2.2956020000000001E-2</v>
      </c>
      <c r="R9059">
        <v>-6.8164150000000007E-2</v>
      </c>
      <c r="S9059">
        <v>2.9889220000000001</v>
      </c>
      <c r="T9059">
        <v>3.9637089999999998E-4</v>
      </c>
      <c r="U9059">
        <v>-0.2766113</v>
      </c>
      <c r="V9059">
        <v>2.4667189999999999E-2</v>
      </c>
      <c r="W9059">
        <v>-8.2880920000000004E-3</v>
      </c>
      <c r="X9059">
        <v>0.99966140000000003</v>
      </c>
      <c r="Y9059">
        <v>4.8692239999999998E-2</v>
      </c>
      <c r="Z9059" s="1">
        <v>-2.537973E-6</v>
      </c>
      <c r="AA9059">
        <v>0.99881379999999997</v>
      </c>
      <c r="AB9059">
        <v>24</v>
      </c>
      <c r="AC9059">
        <v>86.537599999999998</v>
      </c>
      <c r="AD9059">
        <v>1.1498E-2</v>
      </c>
      <c r="AE9059">
        <v>-8.0150399999999902</v>
      </c>
      <c r="AF9059">
        <v>4.2380822658138202</v>
      </c>
      <c r="AG9059">
        <v>1.1498E-2</v>
      </c>
      <c r="AH9059">
        <v>86.804582104067407</v>
      </c>
      <c r="AI9059">
        <v>89.992419719380095</v>
      </c>
      <c r="AJ9059">
        <v>87.204853064285402</v>
      </c>
      <c r="AK9059">
        <v>86.907979770315606</v>
      </c>
      <c r="AL9059">
        <v>90.474878110306605</v>
      </c>
      <c r="AM9059">
        <v>88.586482248504296</v>
      </c>
      <c r="AN9059">
        <v>1.00000003869072</v>
      </c>
    </row>
    <row r="9060" spans="1:40" x14ac:dyDescent="0.25">
      <c r="A9060" t="str">
        <f>"20190312154134232"</f>
        <v>20190312154134232</v>
      </c>
      <c r="B9060" t="str">
        <f>"1552376494225422"</f>
        <v>1552376494225422</v>
      </c>
      <c r="C9060" t="s">
        <v>40</v>
      </c>
      <c r="D9060">
        <v>4.0640169999999998</v>
      </c>
      <c r="E9060">
        <v>0.51036130000000002</v>
      </c>
      <c r="F9060" t="s">
        <v>80</v>
      </c>
      <c r="G9060">
        <v>-157.9383</v>
      </c>
      <c r="H9060">
        <v>1.151016</v>
      </c>
      <c r="I9060">
        <v>-70.480990000000006</v>
      </c>
      <c r="J9060">
        <v>-244.35669999999999</v>
      </c>
      <c r="K9060">
        <v>1.110762</v>
      </c>
      <c r="L9060">
        <v>-62.296419999999998</v>
      </c>
      <c r="M9060">
        <v>0.99896450000000003</v>
      </c>
      <c r="N9060">
        <v>0</v>
      </c>
      <c r="O9060">
        <v>-4.3075549999999997E-2</v>
      </c>
      <c r="P9060">
        <v>0.99745360000000005</v>
      </c>
      <c r="Q9060">
        <v>-2.2505830000000001E-2</v>
      </c>
      <c r="R9060">
        <v>-6.7674789999999999E-2</v>
      </c>
      <c r="S9060">
        <v>2.9884949999999999</v>
      </c>
      <c r="T9060">
        <v>1.3899800000000001E-3</v>
      </c>
      <c r="U9060">
        <v>-0.28280640000000001</v>
      </c>
      <c r="V9060">
        <v>2.4653189999999998E-2</v>
      </c>
      <c r="W9060">
        <v>-7.8289120000000004E-3</v>
      </c>
      <c r="X9060">
        <v>0.99966540000000004</v>
      </c>
      <c r="Y9060">
        <v>5.1234799999999997E-2</v>
      </c>
      <c r="Z9060" s="1">
        <v>-8.0892159999999992E-6</v>
      </c>
      <c r="AA9060">
        <v>0.99868659999999998</v>
      </c>
      <c r="AB9060">
        <v>24</v>
      </c>
      <c r="AC9060">
        <v>86.418399999999906</v>
      </c>
      <c r="AD9060">
        <v>4.0253999999999998E-2</v>
      </c>
      <c r="AE9060">
        <v>-8.1845700000000008</v>
      </c>
      <c r="AF9060">
        <v>4.4540513649165598</v>
      </c>
      <c r="AG9060">
        <v>4.0253999999999998E-2</v>
      </c>
      <c r="AH9060">
        <v>86.6907447788724</v>
      </c>
      <c r="AI9060">
        <v>89.973430312443298</v>
      </c>
      <c r="AJ9060">
        <v>87.058807763322804</v>
      </c>
      <c r="AK9060">
        <v>86.805100220329294</v>
      </c>
      <c r="AL9060">
        <v>90.448568201801194</v>
      </c>
      <c r="AM9060">
        <v>88.587289823577507</v>
      </c>
      <c r="AN9060">
        <v>0.99999999179871901</v>
      </c>
    </row>
    <row r="9061" spans="1:40" x14ac:dyDescent="0.25">
      <c r="A9061" t="str">
        <f>"20190312154134242"</f>
        <v>20190312154134242</v>
      </c>
      <c r="B9061" t="str">
        <f>"1552376494235183"</f>
        <v>1552376494235183</v>
      </c>
      <c r="C9061" t="s">
        <v>40</v>
      </c>
      <c r="D9061">
        <v>4.0589829999999996</v>
      </c>
      <c r="E9061">
        <v>0.51112500000000005</v>
      </c>
      <c r="F9061" t="s">
        <v>80</v>
      </c>
      <c r="G9061">
        <v>-157.9383</v>
      </c>
      <c r="H9061">
        <v>1.2024440000000001</v>
      </c>
      <c r="I9061">
        <v>-70.618110000000001</v>
      </c>
      <c r="J9061">
        <v>-244.23830000000001</v>
      </c>
      <c r="K9061">
        <v>1.1107800000000001</v>
      </c>
      <c r="L9061">
        <v>-62.300989999999999</v>
      </c>
      <c r="M9061">
        <v>0.99898509999999996</v>
      </c>
      <c r="N9061">
        <v>0</v>
      </c>
      <c r="O9061">
        <v>-4.2594220000000002E-2</v>
      </c>
      <c r="P9061">
        <v>0.99749259999999995</v>
      </c>
      <c r="Q9061">
        <v>-2.194198E-2</v>
      </c>
      <c r="R9061">
        <v>-6.7283889999999999E-2</v>
      </c>
      <c r="S9061">
        <v>2.9882049999999998</v>
      </c>
      <c r="T9061">
        <v>3.169537E-3</v>
      </c>
      <c r="U9061">
        <v>-0.28775020000000001</v>
      </c>
      <c r="V9061">
        <v>2.474208E-2</v>
      </c>
      <c r="W9061">
        <v>-7.2567509999999997E-3</v>
      </c>
      <c r="X9061">
        <v>0.99966750000000004</v>
      </c>
      <c r="Y9061">
        <v>5.3362310000000003E-2</v>
      </c>
      <c r="Z9061" s="1">
        <v>-1.6811320000000001E-5</v>
      </c>
      <c r="AA9061">
        <v>0.9985752</v>
      </c>
      <c r="AB9061">
        <v>24</v>
      </c>
      <c r="AC9061">
        <v>86.3</v>
      </c>
      <c r="AD9061">
        <v>9.1664000000000204E-2</v>
      </c>
      <c r="AE9061">
        <v>-8.3171199999999903</v>
      </c>
      <c r="AF9061">
        <v>4.6332895429303598</v>
      </c>
      <c r="AG9061">
        <v>9.1664000000000204E-2</v>
      </c>
      <c r="AH9061">
        <v>86.575864469008593</v>
      </c>
      <c r="AI9061">
        <v>89.939423608298497</v>
      </c>
      <c r="AJ9061">
        <v>86.936618169186005</v>
      </c>
      <c r="AK9061">
        <v>86.699804399050805</v>
      </c>
      <c r="AL9061">
        <v>90.415784866726</v>
      </c>
      <c r="AM9061">
        <v>88.582201182033103</v>
      </c>
      <c r="AN9061">
        <v>0.99999997075702596</v>
      </c>
    </row>
    <row r="9062" spans="1:40" x14ac:dyDescent="0.25">
      <c r="A9062" t="str">
        <f>"20190312154134253"</f>
        <v>20190312154134253</v>
      </c>
      <c r="B9062" t="str">
        <f>"1552376494244942"</f>
        <v>1552376494244942</v>
      </c>
      <c r="C9062" t="s">
        <v>40</v>
      </c>
      <c r="D9062">
        <v>4.0593680000000001</v>
      </c>
      <c r="E9062">
        <v>0.51182720000000004</v>
      </c>
      <c r="F9062" t="s">
        <v>80</v>
      </c>
      <c r="G9062">
        <v>-157.9383</v>
      </c>
      <c r="H9062">
        <v>1.2447589999999999</v>
      </c>
      <c r="I9062">
        <v>-70.752290000000002</v>
      </c>
      <c r="J9062">
        <v>-244.11529999999999</v>
      </c>
      <c r="K9062">
        <v>1.1107959999999999</v>
      </c>
      <c r="L9062">
        <v>-62.305729999999997</v>
      </c>
      <c r="M9062">
        <v>0.99900650000000002</v>
      </c>
      <c r="N9062">
        <v>0</v>
      </c>
      <c r="O9062">
        <v>-4.2087010000000001E-2</v>
      </c>
      <c r="P9062">
        <v>0.99753130000000001</v>
      </c>
      <c r="Q9062">
        <v>-2.1616969999999999E-2</v>
      </c>
      <c r="R9062">
        <v>-6.6813559999999994E-2</v>
      </c>
      <c r="S9062">
        <v>2.9878999999999998</v>
      </c>
      <c r="T9062">
        <v>4.6379569999999998E-3</v>
      </c>
      <c r="U9062">
        <v>-0.29260249999999999</v>
      </c>
      <c r="V9062">
        <v>2.4777509999999999E-2</v>
      </c>
      <c r="W9062">
        <v>-6.9238879999999996E-3</v>
      </c>
      <c r="X9062">
        <v>0.99966900000000003</v>
      </c>
      <c r="Y9062">
        <v>5.5485409999999999E-2</v>
      </c>
      <c r="Z9062" s="1">
        <v>-2.217185E-5</v>
      </c>
      <c r="AA9062">
        <v>0.99845950000000006</v>
      </c>
      <c r="AB9062">
        <v>24</v>
      </c>
      <c r="AC9062">
        <v>86.176999999999893</v>
      </c>
      <c r="AD9062">
        <v>0.133963</v>
      </c>
      <c r="AE9062">
        <v>-8.4465599999999892</v>
      </c>
      <c r="AF9062">
        <v>4.8117411259992204</v>
      </c>
      <c r="AG9062">
        <v>0.133963</v>
      </c>
      <c r="AH9062">
        <v>86.455948089926594</v>
      </c>
      <c r="AI9062">
        <v>89.911357765844201</v>
      </c>
      <c r="AJ9062">
        <v>86.814466351194099</v>
      </c>
      <c r="AK9062">
        <v>86.589847897297304</v>
      </c>
      <c r="AL9062">
        <v>90.396712735015001</v>
      </c>
      <c r="AM9062">
        <v>88.580173891902902</v>
      </c>
      <c r="AN9062">
        <v>0.99999998739391804</v>
      </c>
    </row>
    <row r="9063" spans="1:40" x14ac:dyDescent="0.25">
      <c r="A9063" t="str">
        <f>"20190312154134265"</f>
        <v>20190312154134265</v>
      </c>
      <c r="B9063" t="str">
        <f>"1552376494255678"</f>
        <v>1552376494255678</v>
      </c>
      <c r="C9063" t="s">
        <v>40</v>
      </c>
      <c r="D9063">
        <v>4.0637489999999996</v>
      </c>
      <c r="E9063">
        <v>0.51245589999999996</v>
      </c>
      <c r="F9063" t="s">
        <v>80</v>
      </c>
      <c r="G9063">
        <v>-157.9383</v>
      </c>
      <c r="H9063">
        <v>1.270559</v>
      </c>
      <c r="I9063">
        <v>-70.867140000000006</v>
      </c>
      <c r="J9063">
        <v>-244.0016</v>
      </c>
      <c r="K9063">
        <v>1.110808</v>
      </c>
      <c r="L9063">
        <v>-62.309939999999997</v>
      </c>
      <c r="M9063">
        <v>0.99902619999999998</v>
      </c>
      <c r="N9063">
        <v>0</v>
      </c>
      <c r="O9063">
        <v>-4.160879E-2</v>
      </c>
      <c r="P9063">
        <v>0.99757430000000002</v>
      </c>
      <c r="Q9063">
        <v>-2.1357640000000001E-2</v>
      </c>
      <c r="R9063">
        <v>-6.6251160000000003E-2</v>
      </c>
      <c r="S9063">
        <v>2.9876559999999999</v>
      </c>
      <c r="T9063">
        <v>5.5381060000000001E-3</v>
      </c>
      <c r="U9063">
        <v>-0.29681400000000002</v>
      </c>
      <c r="V9063">
        <v>2.469201E-2</v>
      </c>
      <c r="W9063">
        <v>-6.6583010000000001E-3</v>
      </c>
      <c r="X9063">
        <v>0.99967289999999998</v>
      </c>
      <c r="Y9063">
        <v>5.7365039999999999E-2</v>
      </c>
      <c r="Z9063" s="1">
        <v>-2.3854080000000001E-5</v>
      </c>
      <c r="AA9063">
        <v>0.99835320000000005</v>
      </c>
      <c r="AB9063">
        <v>24</v>
      </c>
      <c r="AC9063">
        <v>86.063299999999998</v>
      </c>
      <c r="AD9063">
        <v>0.159750999999999</v>
      </c>
      <c r="AE9063">
        <v>-8.5571999999999999</v>
      </c>
      <c r="AF9063">
        <v>4.9683952994538201</v>
      </c>
      <c r="AG9063">
        <v>0.159750999999999</v>
      </c>
      <c r="AH9063">
        <v>86.344549835965694</v>
      </c>
      <c r="AI9063">
        <v>89.894168975080106</v>
      </c>
      <c r="AJ9063">
        <v>86.706746125655798</v>
      </c>
      <c r="AK9063">
        <v>86.487523716482897</v>
      </c>
      <c r="AL9063">
        <v>90.381495377203905</v>
      </c>
      <c r="AM9063">
        <v>88.585076822605302</v>
      </c>
      <c r="AN9063">
        <v>0.99999996766222699</v>
      </c>
    </row>
    <row r="9064" spans="1:40" x14ac:dyDescent="0.25">
      <c r="A9064" t="str">
        <f>"20190312154134276"</f>
        <v>20190312154134276</v>
      </c>
      <c r="B9064" t="str">
        <f>"1552376494265439"</f>
        <v>1552376494265439</v>
      </c>
      <c r="C9064" t="s">
        <v>40</v>
      </c>
      <c r="D9064">
        <v>4.0684879999999897</v>
      </c>
      <c r="E9064">
        <v>0.51297119999999996</v>
      </c>
      <c r="F9064" t="s">
        <v>80</v>
      </c>
      <c r="G9064">
        <v>-157.9383</v>
      </c>
      <c r="H9064">
        <v>1.2739959999999999</v>
      </c>
      <c r="I9064">
        <v>-70.954569999999904</v>
      </c>
      <c r="J9064">
        <v>-243.87719999999999</v>
      </c>
      <c r="K9064">
        <v>1.1108199999999999</v>
      </c>
      <c r="L9064">
        <v>-62.314579999999999</v>
      </c>
      <c r="M9064">
        <v>0.99904820000000005</v>
      </c>
      <c r="N9064">
        <v>0</v>
      </c>
      <c r="O9064">
        <v>-4.1081930000000003E-2</v>
      </c>
      <c r="P9064">
        <v>0.99762209999999996</v>
      </c>
      <c r="Q9064">
        <v>-2.1126349999999999E-2</v>
      </c>
      <c r="R9064">
        <v>-6.5609299999999995E-2</v>
      </c>
      <c r="S9064">
        <v>2.9875029999999998</v>
      </c>
      <c r="T9064">
        <v>5.6639910000000002E-3</v>
      </c>
      <c r="U9064">
        <v>-0.30007929999999999</v>
      </c>
      <c r="V9064">
        <v>2.457527E-2</v>
      </c>
      <c r="W9064">
        <v>-6.4205060000000003E-3</v>
      </c>
      <c r="X9064">
        <v>0.99967740000000005</v>
      </c>
      <c r="Y9064">
        <v>5.897691E-2</v>
      </c>
      <c r="Z9064" s="1">
        <v>-2.1876819999999998E-5</v>
      </c>
      <c r="AA9064">
        <v>0.99825940000000002</v>
      </c>
      <c r="AB9064">
        <v>24</v>
      </c>
      <c r="AC9064">
        <v>85.938899999999904</v>
      </c>
      <c r="AD9064">
        <v>0.16317599999999899</v>
      </c>
      <c r="AE9064">
        <v>-8.6399899999999796</v>
      </c>
      <c r="AF9064">
        <v>5.1017607663697602</v>
      </c>
      <c r="AG9064">
        <v>0.16317599999999899</v>
      </c>
      <c r="AH9064">
        <v>86.2210110411839</v>
      </c>
      <c r="AI9064">
        <v>89.891755373921896</v>
      </c>
      <c r="AJ9064">
        <v>86.613714811023996</v>
      </c>
      <c r="AK9064">
        <v>86.371970767652499</v>
      </c>
      <c r="AL9064">
        <v>90.367870410580807</v>
      </c>
      <c r="AM9064">
        <v>88.591769996709402</v>
      </c>
      <c r="AN9064">
        <v>1.0000000354318099</v>
      </c>
    </row>
    <row r="9065" spans="1:40" x14ac:dyDescent="0.25">
      <c r="A9065" t="str">
        <f>"20190312154134288"</f>
        <v>20190312154134288</v>
      </c>
      <c r="B9065" t="str">
        <f>"1552376494275198"</f>
        <v>1552376494275198</v>
      </c>
      <c r="C9065" t="s">
        <v>40</v>
      </c>
      <c r="D9065">
        <v>4.0725369999999996</v>
      </c>
      <c r="E9065">
        <v>0.51352330000000002</v>
      </c>
      <c r="F9065" t="s">
        <v>80</v>
      </c>
      <c r="G9065">
        <v>-157.9383</v>
      </c>
      <c r="H9065">
        <v>1.26902</v>
      </c>
      <c r="I9065">
        <v>-71.008510000000001</v>
      </c>
      <c r="J9065">
        <v>-243.75710000000001</v>
      </c>
      <c r="K9065">
        <v>1.1108309999999999</v>
      </c>
      <c r="L9065">
        <v>-62.318910000000002</v>
      </c>
      <c r="M9065">
        <v>0.99906919999999999</v>
      </c>
      <c r="N9065">
        <v>0</v>
      </c>
      <c r="O9065">
        <v>-4.0562479999999998E-2</v>
      </c>
      <c r="P9065">
        <v>0.99767119999999998</v>
      </c>
      <c r="Q9065">
        <v>-2.1104089999999999E-2</v>
      </c>
      <c r="R9065">
        <v>-6.4857629999999999E-2</v>
      </c>
      <c r="S9065">
        <v>2.9873810000000001</v>
      </c>
      <c r="T9065">
        <v>5.4986480000000001E-3</v>
      </c>
      <c r="U9065">
        <v>-0.30221559999999997</v>
      </c>
      <c r="V9065">
        <v>2.4342409999999998E-2</v>
      </c>
      <c r="W9065">
        <v>-6.3933569999999997E-3</v>
      </c>
      <c r="X9065">
        <v>0.99968330000000005</v>
      </c>
      <c r="Y9065">
        <v>6.0206610000000001E-2</v>
      </c>
      <c r="Z9065" s="1">
        <v>-1.915701E-5</v>
      </c>
      <c r="AA9065">
        <v>0.99818589999999996</v>
      </c>
      <c r="AB9065">
        <v>24</v>
      </c>
      <c r="AC9065">
        <v>85.818799999999996</v>
      </c>
      <c r="AD9065">
        <v>0.158189</v>
      </c>
      <c r="AE9065">
        <v>-8.6896000000000004</v>
      </c>
      <c r="AF9065">
        <v>5.2010311014544497</v>
      </c>
      <c r="AG9065">
        <v>0.158189</v>
      </c>
      <c r="AH9065">
        <v>86.100376362793796</v>
      </c>
      <c r="AI9065">
        <v>89.894924259954095</v>
      </c>
      <c r="AJ9065">
        <v>86.543157234839498</v>
      </c>
      <c r="AK9065">
        <v>86.257466680240199</v>
      </c>
      <c r="AL9065">
        <v>90.366314845082201</v>
      </c>
      <c r="AM9065">
        <v>88.605116442030706</v>
      </c>
      <c r="AN9065">
        <v>1.00000006411861</v>
      </c>
    </row>
    <row r="9066" spans="1:40" x14ac:dyDescent="0.25">
      <c r="A9066" t="str">
        <f>"20190312154134299"</f>
        <v>20190312154134299</v>
      </c>
      <c r="B9066" t="str">
        <f>"1552376494295694"</f>
        <v>1552376494295694</v>
      </c>
      <c r="C9066" t="s">
        <v>40</v>
      </c>
      <c r="D9066">
        <v>4.4191190000000002</v>
      </c>
      <c r="E9066">
        <v>0.51449040000000001</v>
      </c>
      <c r="F9066" t="s">
        <v>80</v>
      </c>
      <c r="G9066">
        <v>-157.9383</v>
      </c>
      <c r="H9066">
        <v>1.2564979999999999</v>
      </c>
      <c r="I9066">
        <v>-71.061359999999993</v>
      </c>
      <c r="J9066">
        <v>-243.63720000000001</v>
      </c>
      <c r="K9066">
        <v>1.110841</v>
      </c>
      <c r="L9066">
        <v>-62.323239999999998</v>
      </c>
      <c r="M9066">
        <v>0.99909009999999998</v>
      </c>
      <c r="N9066">
        <v>0</v>
      </c>
      <c r="O9066">
        <v>-4.0042439999999999E-2</v>
      </c>
      <c r="P9066">
        <v>0.99773100000000003</v>
      </c>
      <c r="Q9066">
        <v>-2.1203739999999999E-2</v>
      </c>
      <c r="R9066">
        <v>-6.3901289999999999E-2</v>
      </c>
      <c r="S9066">
        <v>2.98732</v>
      </c>
      <c r="T9066">
        <v>5.0699710000000004E-3</v>
      </c>
      <c r="U9066">
        <v>-0.30432130000000002</v>
      </c>
      <c r="V9066">
        <v>2.3904669999999999E-2</v>
      </c>
      <c r="W9066">
        <v>-6.4886609999999997E-3</v>
      </c>
      <c r="X9066">
        <v>0.99969319999999895</v>
      </c>
      <c r="Y9066">
        <v>6.1424609999999998E-2</v>
      </c>
      <c r="Z9066" s="1">
        <v>-1.5753160000000001E-5</v>
      </c>
      <c r="AA9066">
        <v>0.99811170000000005</v>
      </c>
      <c r="AB9066">
        <v>24</v>
      </c>
      <c r="AC9066">
        <v>85.698899999999995</v>
      </c>
      <c r="AD9066">
        <v>0.14565699999999901</v>
      </c>
      <c r="AE9066">
        <v>-8.7381199999999808</v>
      </c>
      <c r="AF9066">
        <v>5.2991321857029998</v>
      </c>
      <c r="AG9066">
        <v>0.14565699999999901</v>
      </c>
      <c r="AH9066">
        <v>85.979840478344201</v>
      </c>
      <c r="AI9066">
        <v>89.903120103673899</v>
      </c>
      <c r="AJ9066">
        <v>86.473192472464902</v>
      </c>
      <c r="AK9066">
        <v>86.143107597559506</v>
      </c>
      <c r="AL9066">
        <v>90.371775493221094</v>
      </c>
      <c r="AM9066">
        <v>88.630204000883197</v>
      </c>
      <c r="AN9066">
        <v>1.0000000150478101</v>
      </c>
    </row>
    <row r="9067" spans="1:40" x14ac:dyDescent="0.25">
      <c r="A9067" t="str">
        <f>"20190312154134311"</f>
        <v>20190312154134311</v>
      </c>
      <c r="B9067" t="str">
        <f>"1552376494305454"</f>
        <v>1552376494305454</v>
      </c>
      <c r="C9067" t="s">
        <v>40</v>
      </c>
      <c r="D9067">
        <v>4.0956510000000002</v>
      </c>
      <c r="E9067">
        <v>0.51493219999999995</v>
      </c>
      <c r="F9067" t="s">
        <v>50</v>
      </c>
      <c r="G9067">
        <v>0</v>
      </c>
      <c r="H9067">
        <v>0</v>
      </c>
      <c r="I9067">
        <v>0</v>
      </c>
      <c r="J9067">
        <v>-243.50649999999999</v>
      </c>
      <c r="K9067">
        <v>1.1108499999999999</v>
      </c>
      <c r="L9067">
        <v>-62.327820000000003</v>
      </c>
      <c r="M9067">
        <v>0.99911300000000003</v>
      </c>
      <c r="N9067">
        <v>0</v>
      </c>
      <c r="O9067">
        <v>-3.9467950000000002E-2</v>
      </c>
      <c r="P9067">
        <v>0.99780270000000004</v>
      </c>
      <c r="Q9067">
        <v>-2.1032430000000001E-2</v>
      </c>
      <c r="R9067">
        <v>-6.2831890000000001E-2</v>
      </c>
      <c r="S9067">
        <v>2.9871219999999998</v>
      </c>
      <c r="T9067">
        <v>3.115296E-3</v>
      </c>
      <c r="U9067">
        <v>-0.30908200000000002</v>
      </c>
      <c r="V9067">
        <v>2.3407870000000001E-2</v>
      </c>
      <c r="W9067">
        <v>-6.3135830000000002E-3</v>
      </c>
      <c r="X9067">
        <v>0.99970610000000004</v>
      </c>
      <c r="Y9067">
        <v>6.3579239999999995E-2</v>
      </c>
      <c r="Z9067" s="1">
        <v>-7.9620189999999996E-6</v>
      </c>
      <c r="AA9067">
        <v>0.9979768</v>
      </c>
      <c r="AB9067">
        <v>24</v>
      </c>
      <c r="AC9067">
        <v>2.9871219999999998</v>
      </c>
      <c r="AD9067">
        <v>3.115296E-3</v>
      </c>
      <c r="AE9067">
        <v>-0.30908200000000002</v>
      </c>
      <c r="AF9067">
        <v>0.19093263061976101</v>
      </c>
      <c r="AG9067">
        <v>3.115296E-3</v>
      </c>
      <c r="AH9067">
        <v>2.9969909652959599</v>
      </c>
      <c r="AI9067">
        <v>89.940563010588207</v>
      </c>
      <c r="AJ9067">
        <v>86.354720566483294</v>
      </c>
      <c r="AK9067">
        <v>3.00306840091433</v>
      </c>
      <c r="AL9067">
        <v>90.361744049037299</v>
      </c>
      <c r="AM9067">
        <v>88.658678646145901</v>
      </c>
      <c r="AN9067">
        <v>1.0000000380427201</v>
      </c>
    </row>
    <row r="9068" spans="1:40" x14ac:dyDescent="0.25">
      <c r="A9068" t="str">
        <f>"20190312154134322"</f>
        <v>20190312154134322</v>
      </c>
      <c r="B9068" t="str">
        <f>"1552376494315216"</f>
        <v>1552376494315216</v>
      </c>
      <c r="C9068" t="s">
        <v>40</v>
      </c>
      <c r="D9068">
        <v>4.0421709999999997</v>
      </c>
      <c r="E9068">
        <v>0.51533949999999995</v>
      </c>
      <c r="F9068" t="s">
        <v>50</v>
      </c>
      <c r="G9068">
        <v>0</v>
      </c>
      <c r="H9068">
        <v>0</v>
      </c>
      <c r="I9068">
        <v>0</v>
      </c>
      <c r="J9068">
        <v>-243.39769999999999</v>
      </c>
      <c r="K9068">
        <v>1.110857</v>
      </c>
      <c r="L9068">
        <v>-62.3315699999999</v>
      </c>
      <c r="M9068">
        <v>0.99913189999999996</v>
      </c>
      <c r="N9068">
        <v>0</v>
      </c>
      <c r="O9068">
        <v>-3.8987769999999998E-2</v>
      </c>
      <c r="P9068">
        <v>0.99785710000000005</v>
      </c>
      <c r="Q9068">
        <v>-2.137294E-2</v>
      </c>
      <c r="R9068">
        <v>-6.1843750000000003E-2</v>
      </c>
      <c r="S9068">
        <v>2.9871979999999998</v>
      </c>
      <c r="T9068">
        <v>3.416896E-3</v>
      </c>
      <c r="U9068">
        <v>-0.30929570000000001</v>
      </c>
      <c r="V9068">
        <v>2.2899280000000001E-2</v>
      </c>
      <c r="W9068">
        <v>-6.6515589999999996E-3</v>
      </c>
      <c r="X9068">
        <v>0.99971560000000004</v>
      </c>
      <c r="Y9068">
        <v>6.4126849999999999E-2</v>
      </c>
      <c r="Z9068" s="1">
        <v>-7.8732409999999999E-6</v>
      </c>
      <c r="AA9068">
        <v>0.99794170000000004</v>
      </c>
      <c r="AB9068">
        <v>24</v>
      </c>
      <c r="AC9068">
        <v>2.9871979999999998</v>
      </c>
      <c r="AD9068">
        <v>3.416896E-3</v>
      </c>
      <c r="AE9068">
        <v>-0.30929570000000001</v>
      </c>
      <c r="AF9068">
        <v>0.192583504939628</v>
      </c>
      <c r="AG9068">
        <v>3.416896E-3</v>
      </c>
      <c r="AH9068">
        <v>2.9969824765180801</v>
      </c>
      <c r="AI9068">
        <v>89.934810868418296</v>
      </c>
      <c r="AJ9068">
        <v>86.323277829331602</v>
      </c>
      <c r="AK9068">
        <v>3.0031656707730101</v>
      </c>
      <c r="AL9068">
        <v>90.381109087004802</v>
      </c>
      <c r="AM9068">
        <v>88.687824110742298</v>
      </c>
      <c r="AN9068">
        <v>0.99999995057250302</v>
      </c>
    </row>
    <row r="9069" spans="1:40" x14ac:dyDescent="0.25">
      <c r="A9069" t="str">
        <f>"20190312154134332"</f>
        <v>20190312154134332</v>
      </c>
      <c r="B9069" t="str">
        <f>"1552376494324974"</f>
        <v>1552376494324974</v>
      </c>
      <c r="C9069" t="s">
        <v>40</v>
      </c>
      <c r="D9069">
        <v>4.0578900000000004</v>
      </c>
      <c r="E9069">
        <v>0.51570909999999903</v>
      </c>
      <c r="F9069" t="s">
        <v>50</v>
      </c>
      <c r="G9069">
        <v>0</v>
      </c>
      <c r="H9069">
        <v>0</v>
      </c>
      <c r="I9069">
        <v>0</v>
      </c>
      <c r="J9069">
        <v>-243.279</v>
      </c>
      <c r="K9069">
        <v>1.1108629999999999</v>
      </c>
      <c r="L9069">
        <v>-62.335630000000002</v>
      </c>
      <c r="M9069">
        <v>0.99915220000000005</v>
      </c>
      <c r="N9069">
        <v>0</v>
      </c>
      <c r="O9069">
        <v>-3.8460759999999997E-2</v>
      </c>
      <c r="P9069">
        <v>0.99792099999999995</v>
      </c>
      <c r="Q9069">
        <v>-2.147659E-2</v>
      </c>
      <c r="R9069">
        <v>-6.0766960000000002E-2</v>
      </c>
      <c r="S9069">
        <v>2.9872740000000002</v>
      </c>
      <c r="T9069">
        <v>1.7572639999999999E-3</v>
      </c>
      <c r="U9069">
        <v>-0.30960079999999901</v>
      </c>
      <c r="V9069">
        <v>2.2348199999999999E-2</v>
      </c>
      <c r="W9069">
        <v>-6.7528919999999999E-3</v>
      </c>
      <c r="X9069">
        <v>0.99972740000000004</v>
      </c>
      <c r="Y9069">
        <v>6.475148E-2</v>
      </c>
      <c r="Z9069" s="1">
        <v>-3.5570079999999998E-6</v>
      </c>
      <c r="AA9069">
        <v>0.99790140000000005</v>
      </c>
      <c r="AB9069">
        <v>24</v>
      </c>
      <c r="AC9069">
        <v>2.9872740000000002</v>
      </c>
      <c r="AD9069">
        <v>1.7572639999999999E-3</v>
      </c>
      <c r="AE9069">
        <v>-0.30960079999999901</v>
      </c>
      <c r="AF9069">
        <v>0.194466395086971</v>
      </c>
      <c r="AG9069">
        <v>1.7572639999999999E-3</v>
      </c>
      <c r="AH9069">
        <v>2.9969710128174598</v>
      </c>
      <c r="AI9069">
        <v>89.966475315947307</v>
      </c>
      <c r="AJ9069">
        <v>86.287416382015195</v>
      </c>
      <c r="AK9069">
        <v>3.0032741330859301</v>
      </c>
      <c r="AL9069">
        <v>90.386915167683</v>
      </c>
      <c r="AM9069">
        <v>88.719406594308296</v>
      </c>
      <c r="AN9069">
        <v>0.99999995895218097</v>
      </c>
    </row>
    <row r="9070" spans="1:40" x14ac:dyDescent="0.25">
      <c r="A9070" t="str">
        <f>"20190312154134343"</f>
        <v>20190312154134343</v>
      </c>
      <c r="B9070" t="str">
        <f>"1552376494334735"</f>
        <v>1552376494334735</v>
      </c>
      <c r="C9070" t="s">
        <v>40</v>
      </c>
      <c r="D9070">
        <v>4.0532409999999999</v>
      </c>
      <c r="E9070">
        <v>0.51605889999999999</v>
      </c>
      <c r="F9070" t="s">
        <v>50</v>
      </c>
      <c r="G9070">
        <v>0</v>
      </c>
      <c r="H9070">
        <v>0</v>
      </c>
      <c r="I9070">
        <v>0</v>
      </c>
      <c r="J9070">
        <v>-243.16050000000001</v>
      </c>
      <c r="K9070">
        <v>1.1108640000000001</v>
      </c>
      <c r="L9070">
        <v>-62.339599999999997</v>
      </c>
      <c r="M9070">
        <v>0.99917230000000001</v>
      </c>
      <c r="N9070">
        <v>0</v>
      </c>
      <c r="O9070">
        <v>-3.7933410000000001E-2</v>
      </c>
      <c r="P9070">
        <v>0.9979867</v>
      </c>
      <c r="Q9070">
        <v>-2.1414869999999999E-2</v>
      </c>
      <c r="R9070">
        <v>-5.9700719999999999E-2</v>
      </c>
      <c r="S9070">
        <v>2.987457</v>
      </c>
      <c r="T9070">
        <v>7.6591970000000002E-4</v>
      </c>
      <c r="U9070">
        <v>-0.30923460000000003</v>
      </c>
      <c r="V9070">
        <v>2.1807650000000001E-2</v>
      </c>
      <c r="W9070">
        <v>-6.6893559999999996E-3</v>
      </c>
      <c r="X9070">
        <v>0.99973979999999996</v>
      </c>
      <c r="Y9070">
        <v>6.5150860000000005E-2</v>
      </c>
      <c r="Z9070" s="1">
        <v>-1.36456799999999E-6</v>
      </c>
      <c r="AA9070">
        <v>0.99787550000000003</v>
      </c>
      <c r="AB9070">
        <v>24</v>
      </c>
      <c r="AC9070">
        <v>2.987457</v>
      </c>
      <c r="AD9070">
        <v>7.6591970000000002E-4</v>
      </c>
      <c r="AE9070">
        <v>-0.30923460000000003</v>
      </c>
      <c r="AF9070">
        <v>0.19567531425836701</v>
      </c>
      <c r="AG9070">
        <v>7.6591970000000002E-4</v>
      </c>
      <c r="AH9070">
        <v>2.9970377646619899</v>
      </c>
      <c r="AI9070">
        <v>89.985388662404802</v>
      </c>
      <c r="AJ9070">
        <v>86.264484861190198</v>
      </c>
      <c r="AK9070">
        <v>3.00341884825498</v>
      </c>
      <c r="AL9070">
        <v>90.383274727075602</v>
      </c>
      <c r="AM9070">
        <v>88.750386665303907</v>
      </c>
      <c r="AN9070">
        <v>0.99999999439312803</v>
      </c>
    </row>
    <row r="9071" spans="1:40" x14ac:dyDescent="0.25">
      <c r="A9071" t="str">
        <f>"20190312154134354"</f>
        <v>20190312154134354</v>
      </c>
      <c r="B9071" t="str">
        <f>"1552376494345472"</f>
        <v>1552376494345472</v>
      </c>
      <c r="C9071" t="s">
        <v>40</v>
      </c>
      <c r="D9071">
        <v>4.0571039999999998</v>
      </c>
      <c r="E9071">
        <v>0.51640209999999998</v>
      </c>
      <c r="F9071" t="s">
        <v>50</v>
      </c>
      <c r="G9071">
        <v>0</v>
      </c>
      <c r="H9071">
        <v>0</v>
      </c>
      <c r="I9071">
        <v>0</v>
      </c>
      <c r="J9071">
        <v>-243.04640000000001</v>
      </c>
      <c r="K9071">
        <v>1.110868</v>
      </c>
      <c r="L9071">
        <v>-62.343380000000003</v>
      </c>
      <c r="M9071">
        <v>0.99919150000000001</v>
      </c>
      <c r="N9071">
        <v>0</v>
      </c>
      <c r="O9071">
        <v>-3.7423949999999997E-2</v>
      </c>
      <c r="P9071">
        <v>0.99803109999999995</v>
      </c>
      <c r="Q9071">
        <v>-2.1171909999999999E-2</v>
      </c>
      <c r="R9071">
        <v>-5.904293E-2</v>
      </c>
      <c r="S9071">
        <v>2.9875790000000002</v>
      </c>
      <c r="T9071">
        <v>4.6002860000000001E-4</v>
      </c>
      <c r="U9071">
        <v>-0.30886839999999999</v>
      </c>
      <c r="V9071">
        <v>2.165796E-2</v>
      </c>
      <c r="W9071">
        <v>-6.4444530000000002E-3</v>
      </c>
      <c r="X9071">
        <v>0.99974470000000004</v>
      </c>
      <c r="Y9071">
        <v>6.5534439999999999E-2</v>
      </c>
      <c r="Z9071" s="1">
        <v>-7.1198340000000005E-7</v>
      </c>
      <c r="AA9071">
        <v>0.99785029999999997</v>
      </c>
      <c r="AB9071">
        <v>24</v>
      </c>
      <c r="AC9071">
        <v>2.9875790000000002</v>
      </c>
      <c r="AD9071">
        <v>4.6002860000000001E-4</v>
      </c>
      <c r="AE9071">
        <v>-0.30886839999999999</v>
      </c>
      <c r="AF9071">
        <v>0.196832907019486</v>
      </c>
      <c r="AG9071">
        <v>4.6002860000000001E-4</v>
      </c>
      <c r="AH9071">
        <v>2.9970459377896099</v>
      </c>
      <c r="AI9071">
        <v>89.991224346701301</v>
      </c>
      <c r="AJ9071">
        <v>86.242459323261699</v>
      </c>
      <c r="AK9071">
        <v>3.0035025816758099</v>
      </c>
      <c r="AL9071">
        <v>90.369242502331801</v>
      </c>
      <c r="AM9071">
        <v>88.758967531369606</v>
      </c>
      <c r="AN9071">
        <v>1.0000000316919599</v>
      </c>
    </row>
    <row r="9072" spans="1:40" x14ac:dyDescent="0.25">
      <c r="A9072" t="str">
        <f>"20190312154134365"</f>
        <v>20190312154134365</v>
      </c>
      <c r="B9072" t="str">
        <f>"1552376494355230"</f>
        <v>1552376494355230</v>
      </c>
      <c r="C9072" t="s">
        <v>40</v>
      </c>
      <c r="D9072">
        <v>4.0957780000000001</v>
      </c>
      <c r="E9072">
        <v>0.51668999999999998</v>
      </c>
      <c r="F9072" t="s">
        <v>50</v>
      </c>
      <c r="G9072">
        <v>0</v>
      </c>
      <c r="H9072">
        <v>0</v>
      </c>
      <c r="I9072">
        <v>0</v>
      </c>
      <c r="J9072">
        <v>-242.92740000000001</v>
      </c>
      <c r="K9072">
        <v>1.1108720000000001</v>
      </c>
      <c r="L9072">
        <v>-62.347230000000003</v>
      </c>
      <c r="M9072">
        <v>0.99921110000000002</v>
      </c>
      <c r="N9072">
        <v>0</v>
      </c>
      <c r="O9072">
        <v>-3.68927E-2</v>
      </c>
      <c r="P9072">
        <v>0.99810399999999999</v>
      </c>
      <c r="Q9072">
        <v>-2.0952109999999999E-2</v>
      </c>
      <c r="R9072">
        <v>-5.7876860000000002E-2</v>
      </c>
      <c r="S9072">
        <v>2.9876100000000001</v>
      </c>
      <c r="T9072">
        <v>4.0936469999999997E-4</v>
      </c>
      <c r="U9072">
        <v>-0.30953979999999998</v>
      </c>
      <c r="V9072">
        <v>2.102099E-2</v>
      </c>
      <c r="W9072">
        <v>-6.2238270000000004E-3</v>
      </c>
      <c r="X9072">
        <v>0.99975970000000003</v>
      </c>
      <c r="Y9072">
        <v>6.6285780000000002E-2</v>
      </c>
      <c r="Z9072" s="1">
        <v>-5.0971540000000003E-7</v>
      </c>
      <c r="AA9072">
        <v>0.99780069999999998</v>
      </c>
      <c r="AB9072">
        <v>24</v>
      </c>
      <c r="AC9072">
        <v>2.9876100000000001</v>
      </c>
      <c r="AD9072">
        <v>4.0936469999999997E-4</v>
      </c>
      <c r="AE9072">
        <v>-0.30953979999999998</v>
      </c>
      <c r="AF9072">
        <v>0.19909611503402799</v>
      </c>
      <c r="AG9072">
        <v>4.0936469999999997E-4</v>
      </c>
      <c r="AH9072">
        <v>2.9969966302455999</v>
      </c>
      <c r="AI9072">
        <v>89.992191087424601</v>
      </c>
      <c r="AJ9072">
        <v>86.199318239926001</v>
      </c>
      <c r="AK9072">
        <v>3.0036025423322199</v>
      </c>
      <c r="AL9072">
        <v>90.3566013082512</v>
      </c>
      <c r="AM9072">
        <v>88.795473985402694</v>
      </c>
      <c r="AN9072">
        <v>1.00000003789359</v>
      </c>
    </row>
    <row r="9073" spans="1:40" x14ac:dyDescent="0.25">
      <c r="A9073" t="str">
        <f>"20190312154134376"</f>
        <v>20190312154134376</v>
      </c>
      <c r="B9073" t="str">
        <f>"1552376494364990"</f>
        <v>1552376494364990</v>
      </c>
      <c r="C9073" t="s">
        <v>40</v>
      </c>
      <c r="D9073">
        <v>4.0855220000000001</v>
      </c>
      <c r="E9073">
        <v>0.51694149999999905</v>
      </c>
      <c r="F9073" t="s">
        <v>50</v>
      </c>
      <c r="G9073">
        <v>0</v>
      </c>
      <c r="H9073">
        <v>0</v>
      </c>
      <c r="I9073">
        <v>0</v>
      </c>
      <c r="J9073">
        <v>-242.80889999999999</v>
      </c>
      <c r="K9073">
        <v>1.110876</v>
      </c>
      <c r="L9073">
        <v>-62.351069999999901</v>
      </c>
      <c r="M9073">
        <v>0.99923059999999997</v>
      </c>
      <c r="N9073">
        <v>0</v>
      </c>
      <c r="O9073">
        <v>-3.6362989999999998E-2</v>
      </c>
      <c r="P9073">
        <v>0.99815480000000001</v>
      </c>
      <c r="Q9073">
        <v>-2.078551E-2</v>
      </c>
      <c r="R9073">
        <v>-5.7053E-2</v>
      </c>
      <c r="S9073">
        <v>2.9878230000000001</v>
      </c>
      <c r="T9073">
        <v>-3.9136409999999998E-4</v>
      </c>
      <c r="U9073">
        <v>-0.308349599999999</v>
      </c>
      <c r="V9073">
        <v>2.0725549999999999E-2</v>
      </c>
      <c r="W9073">
        <v>-6.0561360000000002E-3</v>
      </c>
      <c r="X9073">
        <v>0.99976690000000001</v>
      </c>
      <c r="Y9073">
        <v>6.641416E-2</v>
      </c>
      <c r="Z9073" s="1">
        <v>4.0979280000000001E-7</v>
      </c>
      <c r="AA9073">
        <v>0.99779209999999996</v>
      </c>
      <c r="AB9073">
        <v>24</v>
      </c>
      <c r="AC9073">
        <v>2.9878230000000001</v>
      </c>
      <c r="AD9073">
        <v>-3.9136409999999998E-4</v>
      </c>
      <c r="AE9073">
        <v>-0.308349599999999</v>
      </c>
      <c r="AF9073">
        <v>0.199487714510105</v>
      </c>
      <c r="AG9073">
        <v>-3.9136409999999998E-4</v>
      </c>
      <c r="AH9073">
        <v>2.9970602430676898</v>
      </c>
      <c r="AI9073">
        <v>90.007465316444595</v>
      </c>
      <c r="AJ9073">
        <v>86.1919452947118</v>
      </c>
      <c r="AK9073">
        <v>3.0036919951924599</v>
      </c>
      <c r="AL9073">
        <v>90.346993140277704</v>
      </c>
      <c r="AM9073">
        <v>88.812406692015898</v>
      </c>
      <c r="AN9073">
        <v>1.00000003977083</v>
      </c>
    </row>
    <row r="9074" spans="1:40" x14ac:dyDescent="0.25">
      <c r="A9074" t="str">
        <f>"20190312154134389"</f>
        <v>20190312154134389</v>
      </c>
      <c r="B9074" t="str">
        <f>"1552376494374750"</f>
        <v>1552376494374750</v>
      </c>
      <c r="C9074" t="s">
        <v>40</v>
      </c>
      <c r="D9074">
        <v>4.0343280000000004</v>
      </c>
      <c r="E9074">
        <v>0.5173103</v>
      </c>
      <c r="F9074" t="s">
        <v>80</v>
      </c>
      <c r="G9074">
        <v>-157.9383</v>
      </c>
      <c r="H9074">
        <v>1.0742929999999999</v>
      </c>
      <c r="I9074">
        <v>-71.094849999999994</v>
      </c>
      <c r="J9074">
        <v>-242.68389999999999</v>
      </c>
      <c r="K9074">
        <v>1.1108789999999999</v>
      </c>
      <c r="L9074">
        <v>-62.354950000000002</v>
      </c>
      <c r="M9074">
        <v>0.99925079999999999</v>
      </c>
      <c r="N9074">
        <v>0</v>
      </c>
      <c r="O9074">
        <v>-3.5804699999999898E-2</v>
      </c>
      <c r="P9074">
        <v>0.9982105</v>
      </c>
      <c r="Q9074">
        <v>-2.0335829999999999E-2</v>
      </c>
      <c r="R9074">
        <v>-5.6237990000000002E-2</v>
      </c>
      <c r="S9074">
        <v>2.98793</v>
      </c>
      <c r="T9074">
        <v>-1.2886519999999999E-3</v>
      </c>
      <c r="U9074">
        <v>-0.30783080000000002</v>
      </c>
      <c r="V9074">
        <v>2.046661E-2</v>
      </c>
      <c r="W9074">
        <v>-5.6058289999999997E-3</v>
      </c>
      <c r="X9074">
        <v>0.99977479999999996</v>
      </c>
      <c r="Y9074">
        <v>6.679657E-2</v>
      </c>
      <c r="Z9074" s="1">
        <v>1.027228E-6</v>
      </c>
      <c r="AA9074">
        <v>0.99776659999999995</v>
      </c>
      <c r="AB9074">
        <v>24</v>
      </c>
      <c r="AC9074">
        <v>84.745599999999996</v>
      </c>
      <c r="AD9074">
        <v>-3.6586000000000202E-2</v>
      </c>
      <c r="AE9074">
        <v>-8.7398999999999898</v>
      </c>
      <c r="AF9074">
        <v>5.6996754369162801</v>
      </c>
      <c r="AG9074">
        <v>-3.6586000000000202E-2</v>
      </c>
      <c r="AH9074">
        <v>85.004197509380404</v>
      </c>
      <c r="AI9074">
        <v>90.024604983231796</v>
      </c>
      <c r="AJ9074">
        <v>86.163962901549596</v>
      </c>
      <c r="AK9074">
        <v>85.195077515284495</v>
      </c>
      <c r="AL9074">
        <v>90.321192031366905</v>
      </c>
      <c r="AM9074">
        <v>88.827249289287906</v>
      </c>
      <c r="AN9074">
        <v>0.99999997907935401</v>
      </c>
    </row>
    <row r="9075" spans="1:40" x14ac:dyDescent="0.25">
      <c r="A9075" t="str">
        <f>"20190312154134401"</f>
        <v>20190312154134401</v>
      </c>
      <c r="B9075" t="str">
        <f>"1552376494385487"</f>
        <v>1552376494385487</v>
      </c>
      <c r="C9075" t="s">
        <v>40</v>
      </c>
      <c r="D9075">
        <v>4.0661459999999998</v>
      </c>
      <c r="E9075">
        <v>0.51763369999999997</v>
      </c>
      <c r="F9075" t="s">
        <v>80</v>
      </c>
      <c r="G9075">
        <v>-157.9383</v>
      </c>
      <c r="H9075">
        <v>1.110365</v>
      </c>
      <c r="I9075">
        <v>-71.097750000000005</v>
      </c>
      <c r="J9075">
        <v>-242.55930000000001</v>
      </c>
      <c r="K9075">
        <v>1.1108800000000001</v>
      </c>
      <c r="L9075">
        <v>-62.358800000000002</v>
      </c>
      <c r="M9075">
        <v>0.9992704</v>
      </c>
      <c r="N9075">
        <v>0</v>
      </c>
      <c r="O9075">
        <v>-3.5248420000000003E-2</v>
      </c>
      <c r="P9075">
        <v>0.99825640000000004</v>
      </c>
      <c r="Q9075">
        <v>-2.0104480000000001E-2</v>
      </c>
      <c r="R9075">
        <v>-5.549714E-2</v>
      </c>
      <c r="S9075">
        <v>2.9880070000000001</v>
      </c>
      <c r="T9075" s="1">
        <v>-1.883507E-5</v>
      </c>
      <c r="U9075">
        <v>-0.30825809999999998</v>
      </c>
      <c r="V9075">
        <v>2.0280579999999999E-2</v>
      </c>
      <c r="W9075">
        <v>-5.3739529999999999E-3</v>
      </c>
      <c r="X9075">
        <v>0.99977990000000005</v>
      </c>
      <c r="Y9075">
        <v>6.7490560000000005E-2</v>
      </c>
      <c r="Z9075" s="1">
        <v>9.3391749999999997E-9</v>
      </c>
      <c r="AA9075">
        <v>0.99771989999999999</v>
      </c>
      <c r="AB9075">
        <v>24</v>
      </c>
      <c r="AC9075">
        <v>84.620999999999995</v>
      </c>
      <c r="AD9075">
        <v>-5.1499999999982105E-4</v>
      </c>
      <c r="AE9075">
        <v>-8.7389500000000009</v>
      </c>
      <c r="AF9075">
        <v>5.7504392167823397</v>
      </c>
      <c r="AG9075">
        <v>-5.1499999999982105E-4</v>
      </c>
      <c r="AH9075">
        <v>84.876471041073202</v>
      </c>
      <c r="AI9075">
        <v>90.000346855102805</v>
      </c>
      <c r="AJ9075">
        <v>86.1240946746736</v>
      </c>
      <c r="AK9075">
        <v>85.071046119330603</v>
      </c>
      <c r="AL9075">
        <v>90.307906303658598</v>
      </c>
      <c r="AM9075">
        <v>88.837911924950305</v>
      </c>
      <c r="AN9075">
        <v>1.0000000148699899</v>
      </c>
    </row>
    <row r="9076" spans="1:40" x14ac:dyDescent="0.25">
      <c r="A9076" t="str">
        <f>"20190312154134412"</f>
        <v>20190312154134412</v>
      </c>
      <c r="B9076" t="str">
        <f>"1552376494405007"</f>
        <v>1552376494405007</v>
      </c>
      <c r="C9076" t="s">
        <v>40</v>
      </c>
      <c r="D9076">
        <v>4.0652999999999997</v>
      </c>
      <c r="E9076">
        <v>0.51813940000000003</v>
      </c>
      <c r="F9076" t="s">
        <v>80</v>
      </c>
      <c r="G9076">
        <v>-157.9383</v>
      </c>
      <c r="H9076">
        <v>1.0902670000000001</v>
      </c>
      <c r="I9076">
        <v>-71.098109999999906</v>
      </c>
      <c r="J9076">
        <v>-242.42330000000001</v>
      </c>
      <c r="K9076">
        <v>1.110873</v>
      </c>
      <c r="L9076">
        <v>-62.362949999999998</v>
      </c>
      <c r="M9076">
        <v>0.9992917</v>
      </c>
      <c r="N9076">
        <v>0</v>
      </c>
      <c r="O9076">
        <v>-3.4642930000000002E-2</v>
      </c>
      <c r="P9076">
        <v>0.99829889999999999</v>
      </c>
      <c r="Q9076">
        <v>-1.987848E-2</v>
      </c>
      <c r="R9076">
        <v>-5.4813290000000001E-2</v>
      </c>
      <c r="S9076">
        <v>2.9880520000000002</v>
      </c>
      <c r="T9076">
        <v>-7.286072E-4</v>
      </c>
      <c r="U9076">
        <v>-0.30859379999999997</v>
      </c>
      <c r="V9076">
        <v>2.0200940000000001E-2</v>
      </c>
      <c r="W9076">
        <v>-5.1475729999999999E-3</v>
      </c>
      <c r="X9076">
        <v>0.99978270000000002</v>
      </c>
      <c r="Y9076">
        <v>6.820445E-2</v>
      </c>
      <c r="Z9076" s="1">
        <v>1.2738379999999999E-7</v>
      </c>
      <c r="AA9076">
        <v>0.99767139999999999</v>
      </c>
      <c r="AB9076">
        <v>24</v>
      </c>
      <c r="AC9076">
        <v>84.484999999999999</v>
      </c>
      <c r="AD9076">
        <v>-2.0605999999999899E-2</v>
      </c>
      <c r="AE9076">
        <v>-8.7351599999999898</v>
      </c>
      <c r="AF9076">
        <v>5.8027912394204799</v>
      </c>
      <c r="AG9076">
        <v>-2.0605999999999899E-2</v>
      </c>
      <c r="AH9076">
        <v>84.736916452293102</v>
      </c>
      <c r="AI9076">
        <v>90.013900413730795</v>
      </c>
      <c r="AJ9076">
        <v>86.082496250900505</v>
      </c>
      <c r="AK9076">
        <v>84.935374377337197</v>
      </c>
      <c r="AL9076">
        <v>90.294935506806397</v>
      </c>
      <c r="AM9076">
        <v>88.842477336377399</v>
      </c>
      <c r="AN9076">
        <v>1.00000001135198</v>
      </c>
    </row>
    <row r="9077" spans="1:40" x14ac:dyDescent="0.25">
      <c r="A9077" t="str">
        <f>"20190312154134423"</f>
        <v>20190312154134423</v>
      </c>
      <c r="B9077" t="str">
        <f>"1552376494414767"</f>
        <v>1552376494414767</v>
      </c>
      <c r="C9077" t="s">
        <v>40</v>
      </c>
      <c r="D9077">
        <v>4.0894959999999996</v>
      </c>
      <c r="E9077">
        <v>0.51837889999999998</v>
      </c>
      <c r="F9077" t="s">
        <v>50</v>
      </c>
      <c r="G9077">
        <v>0</v>
      </c>
      <c r="H9077">
        <v>0</v>
      </c>
      <c r="I9077">
        <v>0</v>
      </c>
      <c r="J9077">
        <v>-242.31880000000001</v>
      </c>
      <c r="K9077">
        <v>1.1108750000000001</v>
      </c>
      <c r="L9077">
        <v>-62.366030000000002</v>
      </c>
      <c r="M9077">
        <v>0.99930779999999997</v>
      </c>
      <c r="N9077">
        <v>0</v>
      </c>
      <c r="O9077">
        <v>-3.4178189999999997E-2</v>
      </c>
      <c r="P9077">
        <v>0.99834610000000001</v>
      </c>
      <c r="Q9077">
        <v>-1.9550270000000002E-2</v>
      </c>
      <c r="R9077">
        <v>-5.4065009999999997E-2</v>
      </c>
      <c r="S9077">
        <v>2.9880070000000001</v>
      </c>
      <c r="T9077">
        <v>-2.2022719999999999E-3</v>
      </c>
      <c r="U9077">
        <v>-0.31051640000000003</v>
      </c>
      <c r="V9077">
        <v>1.9915860000000001E-2</v>
      </c>
      <c r="W9077">
        <v>-4.8195440000000003E-3</v>
      </c>
      <c r="X9077">
        <v>0.99979010000000001</v>
      </c>
      <c r="Y9077">
        <v>6.9305069999999996E-2</v>
      </c>
      <c r="Z9077" s="1">
        <v>-3.6074380000000001E-7</v>
      </c>
      <c r="AA9077">
        <v>0.99759549999999997</v>
      </c>
      <c r="AB9077">
        <v>24</v>
      </c>
      <c r="AC9077">
        <v>2.9880070000000001</v>
      </c>
      <c r="AD9077">
        <v>-2.2022719999999999E-3</v>
      </c>
      <c r="AE9077">
        <v>-0.31051640000000003</v>
      </c>
      <c r="AF9077">
        <v>0.208199140706124</v>
      </c>
      <c r="AG9077">
        <v>-2.2022719999999999E-3</v>
      </c>
      <c r="AH9077">
        <v>2.9968733180651901</v>
      </c>
      <c r="AI9077">
        <v>90.042002932610501</v>
      </c>
      <c r="AJ9077">
        <v>86.025926019498996</v>
      </c>
      <c r="AK9077">
        <v>3.0040974379543299</v>
      </c>
      <c r="AL9077">
        <v>90.276140583740201</v>
      </c>
      <c r="AM9077">
        <v>88.858816638168804</v>
      </c>
      <c r="AN9077">
        <v>1.0000000567709499</v>
      </c>
    </row>
    <row r="9078" spans="1:40" x14ac:dyDescent="0.25">
      <c r="A9078" t="str">
        <f>"20190312154134433"</f>
        <v>20190312154134433</v>
      </c>
      <c r="B9078" t="str">
        <f>"1552376494425503"</f>
        <v>1552376494425503</v>
      </c>
      <c r="C9078" t="s">
        <v>40</v>
      </c>
      <c r="D9078">
        <v>4.0447119999999996</v>
      </c>
      <c r="E9078">
        <v>0.51862799999999998</v>
      </c>
      <c r="F9078" t="s">
        <v>50</v>
      </c>
      <c r="G9078">
        <v>0</v>
      </c>
      <c r="H9078">
        <v>0</v>
      </c>
      <c r="I9078">
        <v>0</v>
      </c>
      <c r="J9078">
        <v>-242.2097</v>
      </c>
      <c r="K9078">
        <v>1.110876</v>
      </c>
      <c r="L9078">
        <v>-62.369230000000002</v>
      </c>
      <c r="M9078">
        <v>0.9993242</v>
      </c>
      <c r="N9078">
        <v>0</v>
      </c>
      <c r="O9078">
        <v>-3.3694149999999999E-2</v>
      </c>
      <c r="P9078">
        <v>0.99838700000000002</v>
      </c>
      <c r="Q9078">
        <v>-1.9153989999999999E-2</v>
      </c>
      <c r="R9078">
        <v>-5.3448860000000001E-2</v>
      </c>
      <c r="S9078">
        <v>2.9881289999999998</v>
      </c>
      <c r="T9078">
        <v>-2.1550660000000002E-3</v>
      </c>
      <c r="U9078">
        <v>-0.31015009999999998</v>
      </c>
      <c r="V9078">
        <v>1.9782129999999998E-2</v>
      </c>
      <c r="W9078">
        <v>-4.4233529999999997E-3</v>
      </c>
      <c r="X9078">
        <v>0.99979450000000003</v>
      </c>
      <c r="Y9078">
        <v>6.9663119999999995E-2</v>
      </c>
      <c r="Z9078" s="1">
        <v>-8.2950279999999995E-7</v>
      </c>
      <c r="AA9078">
        <v>0.99757059999999997</v>
      </c>
      <c r="AB9078">
        <v>24</v>
      </c>
      <c r="AC9078">
        <v>2.9881289999999998</v>
      </c>
      <c r="AD9078">
        <v>-2.1550660000000002E-3</v>
      </c>
      <c r="AE9078">
        <v>-0.31015009999999998</v>
      </c>
      <c r="AF9078">
        <v>0.209280513695218</v>
      </c>
      <c r="AG9078">
        <v>-2.1550660000000002E-3</v>
      </c>
      <c r="AH9078">
        <v>2.9968817766382898</v>
      </c>
      <c r="AI9078">
        <v>90.041101450872006</v>
      </c>
      <c r="AJ9078">
        <v>86.005362824257801</v>
      </c>
      <c r="AK9078">
        <v>3.00418098004576</v>
      </c>
      <c r="AL9078">
        <v>90.253440292155005</v>
      </c>
      <c r="AM9078">
        <v>88.866482379129593</v>
      </c>
      <c r="AN9078">
        <v>0.99999997047467404</v>
      </c>
    </row>
    <row r="9079" spans="1:40" x14ac:dyDescent="0.25">
      <c r="A9079" t="str">
        <f>"20190312154134445"</f>
        <v>20190312154134445</v>
      </c>
      <c r="B9079" t="str">
        <f>"1552376494435263"</f>
        <v>1552376494435263</v>
      </c>
      <c r="C9079" t="s">
        <v>40</v>
      </c>
      <c r="D9079">
        <v>4.0583589999999896</v>
      </c>
      <c r="E9079">
        <v>0.51888820000000002</v>
      </c>
      <c r="F9079" t="s">
        <v>50</v>
      </c>
      <c r="G9079">
        <v>0</v>
      </c>
      <c r="H9079">
        <v>0</v>
      </c>
      <c r="I9079">
        <v>0</v>
      </c>
      <c r="J9079">
        <v>-242.09450000000001</v>
      </c>
      <c r="K9079">
        <v>1.1108769999999999</v>
      </c>
      <c r="L9079">
        <v>-62.37256</v>
      </c>
      <c r="M9079">
        <v>0.99934120000000004</v>
      </c>
      <c r="N9079">
        <v>0</v>
      </c>
      <c r="O9079">
        <v>-3.318376E-2</v>
      </c>
      <c r="P9079">
        <v>0.9984267</v>
      </c>
      <c r="Q9079">
        <v>-1.8609830000000001E-2</v>
      </c>
      <c r="R9079">
        <v>-5.2893870000000003E-2</v>
      </c>
      <c r="S9079">
        <v>2.9881899999999999</v>
      </c>
      <c r="T9079">
        <v>-1.7961260000000001E-3</v>
      </c>
      <c r="U9079">
        <v>-0.3102722</v>
      </c>
      <c r="V9079">
        <v>1.9736050000000002E-2</v>
      </c>
      <c r="W9079">
        <v>-3.8794200000000002E-3</v>
      </c>
      <c r="X9079">
        <v>0.99979770000000001</v>
      </c>
      <c r="Y9079">
        <v>7.0210839999999997E-2</v>
      </c>
      <c r="Z9079" s="1">
        <v>-1.161094E-6</v>
      </c>
      <c r="AA9079">
        <v>0.99753219999999998</v>
      </c>
      <c r="AB9079">
        <v>24</v>
      </c>
      <c r="AC9079">
        <v>2.9881899999999999</v>
      </c>
      <c r="AD9079">
        <v>-1.7961260000000001E-3</v>
      </c>
      <c r="AE9079">
        <v>-0.3102722</v>
      </c>
      <c r="AF9079">
        <v>0.210931119712612</v>
      </c>
      <c r="AG9079">
        <v>-1.7961260000000001E-3</v>
      </c>
      <c r="AH9079">
        <v>2.9968399898552902</v>
      </c>
      <c r="AI9079">
        <v>90.034254902664301</v>
      </c>
      <c r="AJ9079">
        <v>85.973904167689696</v>
      </c>
      <c r="AK9079">
        <v>3.0042544978958898</v>
      </c>
      <c r="AL9079">
        <v>90.222274950219699</v>
      </c>
      <c r="AM9079">
        <v>88.869125698901101</v>
      </c>
      <c r="AN9079">
        <v>1.0000000012472099</v>
      </c>
    </row>
    <row r="9080" spans="1:40" x14ac:dyDescent="0.25">
      <c r="A9080" t="str">
        <f>"20190312154134455"</f>
        <v>20190312154134455</v>
      </c>
      <c r="B9080" t="str">
        <f>"1552376494445022"</f>
        <v>1552376494445022</v>
      </c>
      <c r="C9080" t="s">
        <v>40</v>
      </c>
      <c r="D9080">
        <v>4.069693</v>
      </c>
      <c r="E9080">
        <v>0.5191635</v>
      </c>
      <c r="F9080" t="s">
        <v>50</v>
      </c>
      <c r="G9080">
        <v>0</v>
      </c>
      <c r="H9080">
        <v>0</v>
      </c>
      <c r="I9080">
        <v>0</v>
      </c>
      <c r="J9080">
        <v>-241.97649999999999</v>
      </c>
      <c r="K9080">
        <v>1.110876</v>
      </c>
      <c r="L9080">
        <v>-62.375889999999998</v>
      </c>
      <c r="M9080">
        <v>0.99935839999999998</v>
      </c>
      <c r="N9080">
        <v>0</v>
      </c>
      <c r="O9080">
        <v>-3.2661570000000001E-2</v>
      </c>
      <c r="P9080">
        <v>0.99845649999999997</v>
      </c>
      <c r="Q9080">
        <v>-1.8168119999999999E-2</v>
      </c>
      <c r="R9080">
        <v>-5.2487619999999999E-2</v>
      </c>
      <c r="S9080">
        <v>2.988251</v>
      </c>
      <c r="T9080">
        <v>-9.5725059999999997E-4</v>
      </c>
      <c r="U9080">
        <v>-0.31066890000000003</v>
      </c>
      <c r="V9080">
        <v>1.9850300000000001E-2</v>
      </c>
      <c r="W9080">
        <v>-3.437865E-3</v>
      </c>
      <c r="X9080">
        <v>0.99979700000000005</v>
      </c>
      <c r="Y9080">
        <v>7.0860980000000004E-2</v>
      </c>
      <c r="Z9080" s="1">
        <v>-8.8928659999999904E-7</v>
      </c>
      <c r="AA9080">
        <v>0.99748619999999999</v>
      </c>
      <c r="AB9080">
        <v>24</v>
      </c>
      <c r="AC9080">
        <v>2.988251</v>
      </c>
      <c r="AD9080">
        <v>-9.5725059999999997E-4</v>
      </c>
      <c r="AE9080">
        <v>-0.31066890000000003</v>
      </c>
      <c r="AF9080">
        <v>0.212891578626932</v>
      </c>
      <c r="AG9080">
        <v>-9.5725059999999997E-4</v>
      </c>
      <c r="AH9080">
        <v>2.99680405557667</v>
      </c>
      <c r="AI9080">
        <v>90.018255629551703</v>
      </c>
      <c r="AJ9080">
        <v>85.936560600658595</v>
      </c>
      <c r="AK9080">
        <v>3.0043565514265702</v>
      </c>
      <c r="AL9080">
        <v>90.196975553430306</v>
      </c>
      <c r="AM9080">
        <v>88.862580100513995</v>
      </c>
      <c r="AN9080">
        <v>0.99999994726742203</v>
      </c>
    </row>
    <row r="9081" spans="1:40" x14ac:dyDescent="0.25">
      <c r="A9081" t="str">
        <f>"20190312154134467"</f>
        <v>20190312154134467</v>
      </c>
      <c r="B9081" t="str">
        <f>"1552376494454783"</f>
        <v>1552376494454783</v>
      </c>
      <c r="C9081" t="s">
        <v>40</v>
      </c>
      <c r="D9081">
        <v>4.0417769999999997</v>
      </c>
      <c r="E9081">
        <v>0.5194029</v>
      </c>
      <c r="F9081" t="s">
        <v>50</v>
      </c>
      <c r="G9081">
        <v>0</v>
      </c>
      <c r="H9081">
        <v>0</v>
      </c>
      <c r="I9081">
        <v>0</v>
      </c>
      <c r="J9081">
        <v>-241.85990000000001</v>
      </c>
      <c r="K9081">
        <v>1.1108769999999999</v>
      </c>
      <c r="L9081">
        <v>-62.379119999999901</v>
      </c>
      <c r="M9081">
        <v>0.99937500000000001</v>
      </c>
      <c r="N9081">
        <v>0</v>
      </c>
      <c r="O9081">
        <v>-3.214641E-2</v>
      </c>
      <c r="P9081">
        <v>0.99849189999999999</v>
      </c>
      <c r="Q9081">
        <v>-1.7776960000000001E-2</v>
      </c>
      <c r="R9081">
        <v>-5.1942740000000001E-2</v>
      </c>
      <c r="S9081">
        <v>2.988235</v>
      </c>
      <c r="T9081">
        <v>-6.6757199999999996E-4</v>
      </c>
      <c r="U9081">
        <v>-0.31167600000000001</v>
      </c>
      <c r="V9081">
        <v>1.9819239999999998E-2</v>
      </c>
      <c r="W9081">
        <v>-3.0473269999999998E-3</v>
      </c>
      <c r="X9081">
        <v>0.99979899999999999</v>
      </c>
      <c r="Y9081">
        <v>7.1708229999999998E-2</v>
      </c>
      <c r="Z9081" s="1">
        <v>-8.2920540000000004E-7</v>
      </c>
      <c r="AA9081">
        <v>0.99742569999999997</v>
      </c>
      <c r="AB9081">
        <v>24</v>
      </c>
      <c r="AC9081">
        <v>2.988235</v>
      </c>
      <c r="AD9081">
        <v>-6.6757199999999996E-4</v>
      </c>
      <c r="AE9081">
        <v>-0.31167600000000001</v>
      </c>
      <c r="AF9081">
        <v>0.21544345698165901</v>
      </c>
      <c r="AG9081">
        <v>-6.6757199999999996E-4</v>
      </c>
      <c r="AH9081">
        <v>2.9967104581090398</v>
      </c>
      <c r="AI9081">
        <v>90.012730823209594</v>
      </c>
      <c r="AJ9081">
        <v>85.887891265219494</v>
      </c>
      <c r="AK9081">
        <v>3.0044450233859599</v>
      </c>
      <c r="AL9081">
        <v>90.174599234873298</v>
      </c>
      <c r="AM9081">
        <v>88.864361639621507</v>
      </c>
      <c r="AN9081">
        <v>1.0000000644385001</v>
      </c>
    </row>
    <row r="9082" spans="1:40" x14ac:dyDescent="0.25">
      <c r="A9082" t="str">
        <f>"20190312154134480"</f>
        <v>20190312154134480</v>
      </c>
      <c r="B9082" t="str">
        <f>"1552376494465519"</f>
        <v>1552376494465519</v>
      </c>
      <c r="C9082" t="s">
        <v>40</v>
      </c>
      <c r="D9082">
        <v>4.0788330000000004</v>
      </c>
      <c r="E9082">
        <v>0.51962629999999999</v>
      </c>
      <c r="F9082" t="s">
        <v>50</v>
      </c>
      <c r="G9082">
        <v>0</v>
      </c>
      <c r="H9082">
        <v>0</v>
      </c>
      <c r="I9082">
        <v>0</v>
      </c>
      <c r="J9082">
        <v>-241.72739999999999</v>
      </c>
      <c r="K9082">
        <v>1.1108830000000001</v>
      </c>
      <c r="L9082">
        <v>-62.3827199999999</v>
      </c>
      <c r="M9082">
        <v>0.99939370000000005</v>
      </c>
      <c r="N9082">
        <v>0</v>
      </c>
      <c r="O9082">
        <v>-3.156175E-2</v>
      </c>
      <c r="P9082">
        <v>0.99853139999999996</v>
      </c>
      <c r="Q9082">
        <v>-1.729261E-2</v>
      </c>
      <c r="R9082">
        <v>-5.13447E-2</v>
      </c>
      <c r="S9082">
        <v>2.9882970000000002</v>
      </c>
      <c r="T9082">
        <v>-3.5583970000000001E-4</v>
      </c>
      <c r="U9082">
        <v>-0.31182860000000001</v>
      </c>
      <c r="V9082">
        <v>1.9804269999999999E-2</v>
      </c>
      <c r="W9082">
        <v>-2.5637479999999998E-3</v>
      </c>
      <c r="X9082">
        <v>0.99980060000000004</v>
      </c>
      <c r="Y9082">
        <v>7.234003E-2</v>
      </c>
      <c r="Z9082" s="1">
        <v>-5.4885499999999997E-7</v>
      </c>
      <c r="AA9082">
        <v>0.99738000000000004</v>
      </c>
      <c r="AB9082">
        <v>24</v>
      </c>
      <c r="AC9082">
        <v>2.9882970000000002</v>
      </c>
      <c r="AD9082">
        <v>-3.5583970000000001E-4</v>
      </c>
      <c r="AE9082">
        <v>-0.31182860000000001</v>
      </c>
      <c r="AF9082">
        <v>0.217347136791159</v>
      </c>
      <c r="AG9082">
        <v>-3.5583970000000001E-4</v>
      </c>
      <c r="AH9082">
        <v>2.99665079795292</v>
      </c>
      <c r="AI9082">
        <v>90.0067858079031</v>
      </c>
      <c r="AJ9082">
        <v>85.8516002569569</v>
      </c>
      <c r="AK9082">
        <v>3.0045225759453098</v>
      </c>
      <c r="AL9082">
        <v>90.146892099458995</v>
      </c>
      <c r="AM9082">
        <v>88.865221008683406</v>
      </c>
      <c r="AN9082">
        <v>1.0000000108372</v>
      </c>
    </row>
    <row r="9083" spans="1:40" x14ac:dyDescent="0.25">
      <c r="A9083" t="str">
        <f>"20190312154134489"</f>
        <v>20190312154134489</v>
      </c>
      <c r="B9083" t="str">
        <f>"1552376494475280"</f>
        <v>1552376494475280</v>
      </c>
      <c r="C9083" t="s">
        <v>40</v>
      </c>
      <c r="D9083">
        <v>4.0589300000000001</v>
      </c>
      <c r="E9083">
        <v>0.51986069999999995</v>
      </c>
      <c r="F9083" t="s">
        <v>50</v>
      </c>
      <c r="G9083">
        <v>0</v>
      </c>
      <c r="H9083">
        <v>0</v>
      </c>
      <c r="I9083">
        <v>0</v>
      </c>
      <c r="J9083">
        <v>-241.61750000000001</v>
      </c>
      <c r="K9083">
        <v>1.1108849999999999</v>
      </c>
      <c r="L9083">
        <v>-62.385620000000003</v>
      </c>
      <c r="M9083">
        <v>0.99940899999999999</v>
      </c>
      <c r="N9083">
        <v>0</v>
      </c>
      <c r="O9083">
        <v>-3.1077819999999999E-2</v>
      </c>
      <c r="P9083">
        <v>0.99856509999999998</v>
      </c>
      <c r="Q9083">
        <v>-1.69856E-2</v>
      </c>
      <c r="R9083">
        <v>-5.0787199999999998E-2</v>
      </c>
      <c r="S9083">
        <v>2.988388</v>
      </c>
      <c r="T9083">
        <v>4.3725969999999998E-4</v>
      </c>
      <c r="U9083">
        <v>-0.31179810000000002</v>
      </c>
      <c r="V9083">
        <v>1.9729699999999999E-2</v>
      </c>
      <c r="W9083">
        <v>-2.2576940000000002E-3</v>
      </c>
      <c r="X9083">
        <v>0.99980279999999999</v>
      </c>
      <c r="Y9083">
        <v>7.2809730000000003E-2</v>
      </c>
      <c r="Z9083" s="1">
        <v>7.7923279999999996E-7</v>
      </c>
      <c r="AA9083">
        <v>0.99734590000000001</v>
      </c>
      <c r="AB9083">
        <v>24</v>
      </c>
      <c r="AC9083">
        <v>2.988388</v>
      </c>
      <c r="AD9083">
        <v>4.3725969999999998E-4</v>
      </c>
      <c r="AE9083">
        <v>-0.31179810000000002</v>
      </c>
      <c r="AF9083">
        <v>0.21876484650512501</v>
      </c>
      <c r="AG9083">
        <v>4.3725969999999998E-4</v>
      </c>
      <c r="AH9083">
        <v>2.9966351885488298</v>
      </c>
      <c r="AI9083">
        <v>89.991661767679602</v>
      </c>
      <c r="AJ9083">
        <v>85.824614834530607</v>
      </c>
      <c r="AK9083">
        <v>3.0046099085424598</v>
      </c>
      <c r="AL9083">
        <v>90.129356447709796</v>
      </c>
      <c r="AM9083">
        <v>88.869495224262096</v>
      </c>
      <c r="AN9083">
        <v>0.99999999856606303</v>
      </c>
    </row>
    <row r="9084" spans="1:40" x14ac:dyDescent="0.25">
      <c r="A9084" t="str">
        <f>"20190312154134504"</f>
        <v>20190312154134504</v>
      </c>
      <c r="B9084" t="str">
        <f>"1552376494494799"</f>
        <v>1552376494494799</v>
      </c>
      <c r="C9084" t="s">
        <v>40</v>
      </c>
      <c r="D9084">
        <v>4.0389520000000001</v>
      </c>
      <c r="E9084">
        <v>0.52031949999999905</v>
      </c>
      <c r="F9084" t="s">
        <v>50</v>
      </c>
      <c r="G9084">
        <v>0</v>
      </c>
      <c r="H9084">
        <v>0</v>
      </c>
      <c r="I9084">
        <v>0</v>
      </c>
      <c r="J9084">
        <v>-241.47370000000001</v>
      </c>
      <c r="K9084">
        <v>1.110884</v>
      </c>
      <c r="L9084">
        <v>-62.389400000000002</v>
      </c>
      <c r="M9084">
        <v>0.99942850000000005</v>
      </c>
      <c r="N9084">
        <v>0</v>
      </c>
      <c r="O9084">
        <v>-3.0445369999999999E-2</v>
      </c>
      <c r="P9084">
        <v>0.99860919999999997</v>
      </c>
      <c r="Q9084">
        <v>-1.6583239999999999E-2</v>
      </c>
      <c r="R9084">
        <v>-5.0049650000000001E-2</v>
      </c>
      <c r="S9084">
        <v>2.988464</v>
      </c>
      <c r="T9084">
        <v>8.4078309999999895E-4</v>
      </c>
      <c r="U9084">
        <v>-0.31192019999999998</v>
      </c>
      <c r="V9084">
        <v>1.9623109999999999E-2</v>
      </c>
      <c r="W9084">
        <v>-1.8567499999999999E-3</v>
      </c>
      <c r="X9084">
        <v>0.99980570000000002</v>
      </c>
      <c r="Y9084">
        <v>7.347853E-2</v>
      </c>
      <c r="Z9084" s="1">
        <v>1.7693960000000001E-6</v>
      </c>
      <c r="AA9084">
        <v>0.99729679999999998</v>
      </c>
      <c r="AB9084">
        <v>24</v>
      </c>
      <c r="AC9084">
        <v>2.988464</v>
      </c>
      <c r="AD9084">
        <v>8.4078309999999895E-4</v>
      </c>
      <c r="AE9084">
        <v>-0.31192019999999998</v>
      </c>
      <c r="AF9084">
        <v>0.22078084643993401</v>
      </c>
      <c r="AG9084">
        <v>8.4078309999999895E-4</v>
      </c>
      <c r="AH9084">
        <v>2.9965756613970198</v>
      </c>
      <c r="AI9084">
        <v>89.983967333030506</v>
      </c>
      <c r="AJ9084">
        <v>85.7861916552026</v>
      </c>
      <c r="AK9084">
        <v>3.0046980852571501</v>
      </c>
      <c r="AL9084">
        <v>90.106384002305902</v>
      </c>
      <c r="AM9084">
        <v>88.875604481580496</v>
      </c>
      <c r="AN9084">
        <v>0.99999997585956202</v>
      </c>
    </row>
    <row r="9085" spans="1:40" x14ac:dyDescent="0.25">
      <c r="A9085" t="str">
        <f>"20190312154134514"</f>
        <v>20190312154134514</v>
      </c>
      <c r="B9085" t="str">
        <f>"1552376494505535"</f>
        <v>1552376494505535</v>
      </c>
      <c r="C9085" t="s">
        <v>40</v>
      </c>
      <c r="D9085">
        <v>4.0381450000000001</v>
      </c>
      <c r="E9085">
        <v>0.5205554</v>
      </c>
      <c r="F9085" t="s">
        <v>50</v>
      </c>
      <c r="G9085">
        <v>0</v>
      </c>
      <c r="H9085">
        <v>0</v>
      </c>
      <c r="I9085">
        <v>0</v>
      </c>
      <c r="J9085">
        <v>-241.35669999999999</v>
      </c>
      <c r="K9085">
        <v>1.1108880000000001</v>
      </c>
      <c r="L9085">
        <v>-62.392359999999996</v>
      </c>
      <c r="M9085">
        <v>0.999444</v>
      </c>
      <c r="N9085">
        <v>0</v>
      </c>
      <c r="O9085">
        <v>-2.9931039999999999E-2</v>
      </c>
      <c r="P9085">
        <v>0.99865199999999998</v>
      </c>
      <c r="Q9085">
        <v>-1.6278879999999999E-2</v>
      </c>
      <c r="R9085">
        <v>-4.9288209999999999E-2</v>
      </c>
      <c r="S9085">
        <v>2.98848</v>
      </c>
      <c r="T9085">
        <v>1.0453459999999999E-3</v>
      </c>
      <c r="U9085">
        <v>-0.3132935</v>
      </c>
      <c r="V9085">
        <v>1.937471E-2</v>
      </c>
      <c r="W9085">
        <v>-1.553898E-3</v>
      </c>
      <c r="X9085">
        <v>0.99981109999999895</v>
      </c>
      <c r="Y9085">
        <v>7.444452E-2</v>
      </c>
      <c r="Z9085" s="1">
        <v>2.5475670000000001E-6</v>
      </c>
      <c r="AA9085">
        <v>0.99722520000000003</v>
      </c>
      <c r="AB9085">
        <v>24</v>
      </c>
      <c r="AC9085">
        <v>2.98848</v>
      </c>
      <c r="AD9085">
        <v>1.0453459999999999E-3</v>
      </c>
      <c r="AE9085">
        <v>-0.3132935</v>
      </c>
      <c r="AF9085">
        <v>0.223695107981674</v>
      </c>
      <c r="AG9085">
        <v>1.0453459999999999E-3</v>
      </c>
      <c r="AH9085">
        <v>2.9965186201175502</v>
      </c>
      <c r="AI9085">
        <v>89.980067630848296</v>
      </c>
      <c r="AJ9085">
        <v>85.730693602851503</v>
      </c>
      <c r="AK9085">
        <v>3.00485680770222</v>
      </c>
      <c r="AL9085">
        <v>90.0890318317024</v>
      </c>
      <c r="AM9085">
        <v>88.889840101220997</v>
      </c>
      <c r="AN9085">
        <v>1.00000001483489</v>
      </c>
    </row>
    <row r="9086" spans="1:40" x14ac:dyDescent="0.25">
      <c r="A9086" t="str">
        <f>"20190312154134524"</f>
        <v>20190312154134524</v>
      </c>
      <c r="B9086" t="str">
        <f>"1552376494515295"</f>
        <v>1552376494515295</v>
      </c>
      <c r="C9086" t="s">
        <v>40</v>
      </c>
      <c r="D9086">
        <v>4.0156739999999997</v>
      </c>
      <c r="E9086">
        <v>0.52077589999999996</v>
      </c>
      <c r="F9086" t="s">
        <v>50</v>
      </c>
      <c r="G9086">
        <v>0</v>
      </c>
      <c r="H9086">
        <v>0</v>
      </c>
      <c r="I9086">
        <v>0</v>
      </c>
      <c r="J9086">
        <v>-241.25790000000001</v>
      </c>
      <c r="K9086">
        <v>1.110887</v>
      </c>
      <c r="L9086">
        <v>-62.394840000000002</v>
      </c>
      <c r="M9086">
        <v>0.99945680000000003</v>
      </c>
      <c r="N9086">
        <v>0</v>
      </c>
      <c r="O9086">
        <v>-2.949825E-2</v>
      </c>
      <c r="P9086">
        <v>0.99868389999999996</v>
      </c>
      <c r="Q9086">
        <v>-1.6082929999999999E-2</v>
      </c>
      <c r="R9086">
        <v>-4.8705070000000003E-2</v>
      </c>
      <c r="S9086">
        <v>2.9886170000000001</v>
      </c>
      <c r="T9086">
        <v>1.2011529999999999E-3</v>
      </c>
      <c r="U9086">
        <v>-0.31289670000000003</v>
      </c>
      <c r="V9086">
        <v>1.922335E-2</v>
      </c>
      <c r="W9086">
        <v>-1.3593699999999999E-3</v>
      </c>
      <c r="X9086">
        <v>0.99981430000000004</v>
      </c>
      <c r="Y9086">
        <v>7.4740639999999997E-2</v>
      </c>
      <c r="Z9086" s="1">
        <v>3.1597969999999999E-6</v>
      </c>
      <c r="AA9086">
        <v>0.99720299999999995</v>
      </c>
      <c r="AB9086">
        <v>24</v>
      </c>
      <c r="AC9086">
        <v>2.9886170000000001</v>
      </c>
      <c r="AD9086">
        <v>1.2011529999999999E-3</v>
      </c>
      <c r="AE9086">
        <v>-0.31289670000000003</v>
      </c>
      <c r="AF9086">
        <v>0.22459197975807299</v>
      </c>
      <c r="AG9086">
        <v>1.2011529999999999E-3</v>
      </c>
      <c r="AH9086">
        <v>2.9965465914368599</v>
      </c>
      <c r="AI9086">
        <v>89.977097468749903</v>
      </c>
      <c r="AJ9086">
        <v>85.713679993398202</v>
      </c>
      <c r="AK9086">
        <v>3.00495165931035</v>
      </c>
      <c r="AL9086">
        <v>90.0778861870226</v>
      </c>
      <c r="AM9086">
        <v>88.898514322804402</v>
      </c>
      <c r="AN9086">
        <v>1.00000000977825</v>
      </c>
    </row>
    <row r="9087" spans="1:40" x14ac:dyDescent="0.25">
      <c r="A9087" t="str">
        <f>"20190312154134533"</f>
        <v>20190312154134533</v>
      </c>
      <c r="B9087" t="str">
        <f>"1552376494525055"</f>
        <v>1552376494525055</v>
      </c>
      <c r="C9087" t="s">
        <v>40</v>
      </c>
      <c r="D9087">
        <v>4.0213539999999997</v>
      </c>
      <c r="E9087">
        <v>0.5209705</v>
      </c>
      <c r="F9087" t="s">
        <v>50</v>
      </c>
      <c r="G9087">
        <v>0</v>
      </c>
      <c r="H9087">
        <v>0</v>
      </c>
      <c r="I9087">
        <v>0</v>
      </c>
      <c r="J9087">
        <v>-241.1585</v>
      </c>
      <c r="K9087">
        <v>1.110886</v>
      </c>
      <c r="L9087">
        <v>-62.397309999999997</v>
      </c>
      <c r="M9087">
        <v>0.99946950000000001</v>
      </c>
      <c r="N9087">
        <v>0</v>
      </c>
      <c r="O9087">
        <v>-2.9063430000000001E-2</v>
      </c>
      <c r="P9087">
        <v>0.99872110000000003</v>
      </c>
      <c r="Q9087">
        <v>-1.590248E-2</v>
      </c>
      <c r="R9087">
        <v>-4.7991770000000003E-2</v>
      </c>
      <c r="S9087">
        <v>2.9887239999999999</v>
      </c>
      <c r="T9087">
        <v>1.300573E-3</v>
      </c>
      <c r="U9087">
        <v>-0.31292720000000002</v>
      </c>
      <c r="V9087">
        <v>1.8944039999999999E-2</v>
      </c>
      <c r="W9087">
        <v>-1.180593E-3</v>
      </c>
      <c r="X9087">
        <v>0.99981989999999998</v>
      </c>
      <c r="Y9087">
        <v>7.5180869999999997E-2</v>
      </c>
      <c r="Z9087" s="1">
        <v>3.7052499999999998E-6</v>
      </c>
      <c r="AA9087">
        <v>0.99716990000000005</v>
      </c>
      <c r="AB9087">
        <v>23</v>
      </c>
      <c r="AC9087">
        <v>2.9887239999999999</v>
      </c>
      <c r="AD9087">
        <v>1.300573E-3</v>
      </c>
      <c r="AE9087">
        <v>-0.31292720000000002</v>
      </c>
      <c r="AF9087">
        <v>0.22592298406643299</v>
      </c>
      <c r="AG9087">
        <v>1.300573E-3</v>
      </c>
      <c r="AH9087">
        <v>2.9965563573820901</v>
      </c>
      <c r="AI9087">
        <v>89.975202719374906</v>
      </c>
      <c r="AJ9087">
        <v>85.688387391553704</v>
      </c>
      <c r="AK9087">
        <v>3.0050612122195801</v>
      </c>
      <c r="AL9087">
        <v>90.067643008456301</v>
      </c>
      <c r="AM9087">
        <v>88.914520828276807</v>
      </c>
      <c r="AN9087">
        <v>1.00000005144368</v>
      </c>
    </row>
    <row r="9088" spans="1:40" x14ac:dyDescent="0.25">
      <c r="A9088" t="str">
        <f>"20190312154134545"</f>
        <v>20190312154134545</v>
      </c>
      <c r="B9088" t="str">
        <f>"1552376494534815"</f>
        <v>1552376494534815</v>
      </c>
      <c r="C9088" t="s">
        <v>40</v>
      </c>
      <c r="D9088">
        <v>3.978621</v>
      </c>
      <c r="E9088">
        <v>0.52117040000000003</v>
      </c>
      <c r="F9088" t="s">
        <v>80</v>
      </c>
      <c r="G9088">
        <v>-157.9383</v>
      </c>
      <c r="H9088">
        <v>1.1529199999999999</v>
      </c>
      <c r="I9088">
        <v>-71.094189999999998</v>
      </c>
      <c r="J9088">
        <v>-241.04300000000001</v>
      </c>
      <c r="K9088">
        <v>1.1108819999999999</v>
      </c>
      <c r="L9088">
        <v>-62.400120000000001</v>
      </c>
      <c r="M9088">
        <v>0.99948419999999905</v>
      </c>
      <c r="N9088">
        <v>0</v>
      </c>
      <c r="O9088">
        <v>-2.8560200000000001E-2</v>
      </c>
      <c r="P9088">
        <v>0.99875320000000001</v>
      </c>
      <c r="Q9088">
        <v>-1.5828100000000001E-2</v>
      </c>
      <c r="R9088">
        <v>-4.7346010000000001E-2</v>
      </c>
      <c r="S9088">
        <v>2.9888460000000001</v>
      </c>
      <c r="T9088">
        <v>1.5089509999999999E-3</v>
      </c>
      <c r="U9088">
        <v>-0.3123474</v>
      </c>
      <c r="V9088">
        <v>1.8800609999999999E-2</v>
      </c>
      <c r="W9088">
        <v>-1.108075E-3</v>
      </c>
      <c r="X9088">
        <v>0.99982260000000001</v>
      </c>
      <c r="Y9088">
        <v>7.548734E-2</v>
      </c>
      <c r="Z9088" s="1">
        <v>4.6290430000000002E-6</v>
      </c>
      <c r="AA9088">
        <v>0.9971468</v>
      </c>
      <c r="AB9088">
        <v>23</v>
      </c>
      <c r="AC9088">
        <v>83.104699999999994</v>
      </c>
      <c r="AD9088">
        <v>4.20380000000002E-2</v>
      </c>
      <c r="AE9088">
        <v>-8.69407</v>
      </c>
      <c r="AF9088">
        <v>6.3167782870516902</v>
      </c>
      <c r="AG9088">
        <v>4.20380000000002E-2</v>
      </c>
      <c r="AH9088">
        <v>83.3191022091668</v>
      </c>
      <c r="AI9088">
        <v>89.971174588683894</v>
      </c>
      <c r="AJ9088">
        <v>85.664455285492593</v>
      </c>
      <c r="AK9088">
        <v>83.558220709052904</v>
      </c>
      <c r="AL9088">
        <v>90.063488036344495</v>
      </c>
      <c r="AM9088">
        <v>88.922740223198105</v>
      </c>
      <c r="AN9088">
        <v>0.99999996111866796</v>
      </c>
    </row>
    <row r="9089" spans="1:40" x14ac:dyDescent="0.25">
      <c r="A9089" t="str">
        <f>"20190312154134555"</f>
        <v>20190312154134555</v>
      </c>
      <c r="B9089" t="str">
        <f>"1552376494545551"</f>
        <v>1552376494545551</v>
      </c>
      <c r="C9089" t="s">
        <v>40</v>
      </c>
      <c r="D9089">
        <v>3.9906769999999998</v>
      </c>
      <c r="E9089">
        <v>0.52138819999999997</v>
      </c>
      <c r="F9089" t="s">
        <v>80</v>
      </c>
      <c r="G9089">
        <v>-157.9383</v>
      </c>
      <c r="H9089">
        <v>1.14588</v>
      </c>
      <c r="I9089">
        <v>-71.075289999999995</v>
      </c>
      <c r="J9089">
        <v>-240.9282</v>
      </c>
      <c r="K9089">
        <v>1.1108789999999999</v>
      </c>
      <c r="L9089">
        <v>-62.402830000000002</v>
      </c>
      <c r="M9089">
        <v>0.99949840000000001</v>
      </c>
      <c r="N9089">
        <v>0</v>
      </c>
      <c r="O9089">
        <v>-2.8061269999999999E-2</v>
      </c>
      <c r="P9089">
        <v>0.99879720000000005</v>
      </c>
      <c r="Q9089">
        <v>-1.560507E-2</v>
      </c>
      <c r="R9089">
        <v>-4.6486609999999998E-2</v>
      </c>
      <c r="S9089">
        <v>2.988953</v>
      </c>
      <c r="T9089">
        <v>1.258016E-3</v>
      </c>
      <c r="U9089">
        <v>-0.3120117</v>
      </c>
      <c r="V9089">
        <v>1.8439049999999998E-2</v>
      </c>
      <c r="W9089">
        <v>-8.8722170000000002E-4</v>
      </c>
      <c r="X9089">
        <v>0.99982959999999999</v>
      </c>
      <c r="Y9089">
        <v>7.5870629999999994E-2</v>
      </c>
      <c r="Z9089" s="1">
        <v>4.1487980000000004E-6</v>
      </c>
      <c r="AA9089">
        <v>0.9971177</v>
      </c>
      <c r="AB9089">
        <v>23</v>
      </c>
      <c r="AC9089">
        <v>82.989900000000006</v>
      </c>
      <c r="AD9089">
        <v>3.5000999999999803E-2</v>
      </c>
      <c r="AE9089">
        <v>-8.6724599999999903</v>
      </c>
      <c r="AF9089">
        <v>6.3399900010833097</v>
      </c>
      <c r="AG9089">
        <v>3.5000999999999803E-2</v>
      </c>
      <c r="AH9089">
        <v>83.200583778651406</v>
      </c>
      <c r="AI9089">
        <v>89.975966366271507</v>
      </c>
      <c r="AJ9089">
        <v>85.642410225293105</v>
      </c>
      <c r="AK9089">
        <v>83.441799114066498</v>
      </c>
      <c r="AL9089">
        <v>90.050834065196298</v>
      </c>
      <c r="AM9089">
        <v>88.943459972593502</v>
      </c>
      <c r="AN9089">
        <v>1.0000000073816999</v>
      </c>
    </row>
    <row r="9090" spans="1:40" x14ac:dyDescent="0.25">
      <c r="A9090" t="str">
        <f>"20190312154134567"</f>
        <v>20190312154134567</v>
      </c>
      <c r="B9090" t="str">
        <f>"1552376494555311"</f>
        <v>1552376494555311</v>
      </c>
      <c r="C9090" t="s">
        <v>40</v>
      </c>
      <c r="D9090">
        <v>3.9984540000000002</v>
      </c>
      <c r="E9090">
        <v>0.52160790000000001</v>
      </c>
      <c r="F9090" t="s">
        <v>80</v>
      </c>
      <c r="G9090">
        <v>-157.9383</v>
      </c>
      <c r="H9090">
        <v>1.1551070000000001</v>
      </c>
      <c r="I9090">
        <v>-71.04007</v>
      </c>
      <c r="J9090">
        <v>-240.81190000000001</v>
      </c>
      <c r="K9090">
        <v>1.110876</v>
      </c>
      <c r="L9090">
        <v>-62.40549</v>
      </c>
      <c r="M9090">
        <v>0.99951219999999996</v>
      </c>
      <c r="N9090">
        <v>0</v>
      </c>
      <c r="O9090">
        <v>-2.755902E-2</v>
      </c>
      <c r="P9090">
        <v>0.99883429999999995</v>
      </c>
      <c r="Q9090">
        <v>-1.534655E-2</v>
      </c>
      <c r="R9090">
        <v>-4.5769230000000001E-2</v>
      </c>
      <c r="S9090">
        <v>2.9891359999999998</v>
      </c>
      <c r="T9090">
        <v>1.5922779999999999E-3</v>
      </c>
      <c r="U9090">
        <v>-0.31109619999999999</v>
      </c>
      <c r="V9090">
        <v>1.8222820000000001E-2</v>
      </c>
      <c r="W9090">
        <v>-6.3081119999999996E-4</v>
      </c>
      <c r="X9090">
        <v>0.99983379999999999</v>
      </c>
      <c r="Y9090">
        <v>7.6063249999999999E-2</v>
      </c>
      <c r="Z9090" s="1">
        <v>5.5686499999999996E-6</v>
      </c>
      <c r="AA9090">
        <v>0.99710299999999996</v>
      </c>
      <c r="AB9090">
        <v>23</v>
      </c>
      <c r="AC9090">
        <v>82.873599999999996</v>
      </c>
      <c r="AD9090">
        <v>4.4230999999999902E-2</v>
      </c>
      <c r="AE9090">
        <v>-8.6345799999999997</v>
      </c>
      <c r="AF9090">
        <v>6.3471361548212801</v>
      </c>
      <c r="AG9090">
        <v>4.4230999999999902E-2</v>
      </c>
      <c r="AH9090">
        <v>83.080078831254696</v>
      </c>
      <c r="AI9090">
        <v>89.969584936524399</v>
      </c>
      <c r="AJ9090">
        <v>85.631214335957097</v>
      </c>
      <c r="AK9090">
        <v>83.322191475960906</v>
      </c>
      <c r="AL9090">
        <v>90.036142820078794</v>
      </c>
      <c r="AM9090">
        <v>88.955851371864</v>
      </c>
      <c r="AN9090">
        <v>1.00000004835698</v>
      </c>
    </row>
    <row r="9091" spans="1:40" x14ac:dyDescent="0.25">
      <c r="A9091" t="str">
        <f>"20190312154134578"</f>
        <v>20190312154134578</v>
      </c>
      <c r="B9091" t="str">
        <f>"1552376494565071"</f>
        <v>1552376494565071</v>
      </c>
      <c r="C9091" t="s">
        <v>40</v>
      </c>
      <c r="D9091">
        <v>3.9969030000000001</v>
      </c>
      <c r="E9091">
        <v>0.52182329999999999</v>
      </c>
      <c r="F9091" t="s">
        <v>80</v>
      </c>
      <c r="G9091">
        <v>-157.9383</v>
      </c>
      <c r="H9091">
        <v>1.1633009999999999</v>
      </c>
      <c r="I9091">
        <v>-71.019980000000004</v>
      </c>
      <c r="J9091">
        <v>-240.69730000000001</v>
      </c>
      <c r="K9091">
        <v>1.11087</v>
      </c>
      <c r="L9091">
        <v>-62.408140000000003</v>
      </c>
      <c r="M9091">
        <v>0.99952580000000002</v>
      </c>
      <c r="N9091">
        <v>0</v>
      </c>
      <c r="O9091">
        <v>-2.706571E-2</v>
      </c>
      <c r="P9091">
        <v>0.99886940000000002</v>
      </c>
      <c r="Q9091">
        <v>-1.5116289999999999E-2</v>
      </c>
      <c r="R9091">
        <v>-4.507883E-2</v>
      </c>
      <c r="S9091">
        <v>2.9893040000000002</v>
      </c>
      <c r="T9091">
        <v>1.890302E-3</v>
      </c>
      <c r="U9091">
        <v>-0.31073000000000001</v>
      </c>
      <c r="V9091">
        <v>1.8024849999999999E-2</v>
      </c>
      <c r="W9091">
        <v>-4.026387E-4</v>
      </c>
      <c r="X9091">
        <v>0.99983750000000005</v>
      </c>
      <c r="Y9091">
        <v>7.6428750000000004E-2</v>
      </c>
      <c r="Z9091" s="1">
        <v>7.0366770000000003E-6</v>
      </c>
      <c r="AA9091">
        <v>0.99707500000000004</v>
      </c>
      <c r="AB9091">
        <v>23</v>
      </c>
      <c r="AC9091">
        <v>82.759</v>
      </c>
      <c r="AD9091">
        <v>5.2430999999999797E-2</v>
      </c>
      <c r="AE9091">
        <v>-8.6118399999999902</v>
      </c>
      <c r="AF9091">
        <v>6.3685092769894496</v>
      </c>
      <c r="AG9091">
        <v>5.2430999999999797E-2</v>
      </c>
      <c r="AH9091">
        <v>82.961752999549404</v>
      </c>
      <c r="AI9091">
        <v>89.963895864398097</v>
      </c>
      <c r="AJ9091">
        <v>85.610332734699497</v>
      </c>
      <c r="AK9091">
        <v>83.205847872484995</v>
      </c>
      <c r="AL9091">
        <v>90.023069497836005</v>
      </c>
      <c r="AM9091">
        <v>88.967196197516103</v>
      </c>
      <c r="AN9091">
        <v>1.0000000418708399</v>
      </c>
    </row>
    <row r="9092" spans="1:40" x14ac:dyDescent="0.25">
      <c r="A9092" t="str">
        <f>"20190312154134589"</f>
        <v>20190312154134589</v>
      </c>
      <c r="B9092" t="str">
        <f>"1552376494574831"</f>
        <v>1552376494574831</v>
      </c>
      <c r="C9092" t="s">
        <v>40</v>
      </c>
      <c r="D9092">
        <v>3.9780220000000002</v>
      </c>
      <c r="E9092">
        <v>0.52201549999999997</v>
      </c>
      <c r="F9092" t="s">
        <v>80</v>
      </c>
      <c r="G9092">
        <v>-157.9383</v>
      </c>
      <c r="H9092">
        <v>1.1780969999999999</v>
      </c>
      <c r="I9092">
        <v>-71.00027</v>
      </c>
      <c r="J9092">
        <v>-240.57419999999999</v>
      </c>
      <c r="K9092">
        <v>1.110865</v>
      </c>
      <c r="L9092">
        <v>-62.410829999999997</v>
      </c>
      <c r="M9092">
        <v>0.99953990000000004</v>
      </c>
      <c r="N9092">
        <v>0</v>
      </c>
      <c r="O9092">
        <v>-2.6541189999999999E-2</v>
      </c>
      <c r="P9092">
        <v>0.99891649999999998</v>
      </c>
      <c r="Q9092">
        <v>-1.4816849999999999E-2</v>
      </c>
      <c r="R9092">
        <v>-4.4118520000000001E-2</v>
      </c>
      <c r="S9092">
        <v>2.9894099999999999</v>
      </c>
      <c r="T9092">
        <v>2.4276969999999999E-3</v>
      </c>
      <c r="U9092">
        <v>-0.31036380000000002</v>
      </c>
      <c r="V9092">
        <v>1.7587769999999999E-2</v>
      </c>
      <c r="W9092">
        <v>-1.058099E-4</v>
      </c>
      <c r="X9092">
        <v>0.99984530000000005</v>
      </c>
      <c r="Y9092">
        <v>7.6827480000000004E-2</v>
      </c>
      <c r="Z9092" s="1">
        <v>9.6228050000000008E-6</v>
      </c>
      <c r="AA9092">
        <v>0.99704440000000005</v>
      </c>
      <c r="AB9092">
        <v>23</v>
      </c>
      <c r="AC9092">
        <v>82.635899999999907</v>
      </c>
      <c r="AD9092">
        <v>6.7231999999999903E-2</v>
      </c>
      <c r="AE9092">
        <v>-8.5894399999999909</v>
      </c>
      <c r="AF9092">
        <v>6.3929177350916397</v>
      </c>
      <c r="AG9092">
        <v>6.7231999999999903E-2</v>
      </c>
      <c r="AH9092">
        <v>82.834727082795197</v>
      </c>
      <c r="AI9092">
        <v>89.953634326275605</v>
      </c>
      <c r="AJ9092">
        <v>85.586844160812404</v>
      </c>
      <c r="AK9092">
        <v>83.081080446697598</v>
      </c>
      <c r="AL9092">
        <v>90.006062460818697</v>
      </c>
      <c r="AM9092">
        <v>88.992243025157904</v>
      </c>
      <c r="AN9092">
        <v>0.99999998239069898</v>
      </c>
    </row>
    <row r="9093" spans="1:40" x14ac:dyDescent="0.25">
      <c r="A9093" t="str">
        <f>"20190312154134602"</f>
        <v>20190312154134602</v>
      </c>
      <c r="B9093" t="str">
        <f>"1552376494595327"</f>
        <v>1552376494595327</v>
      </c>
      <c r="C9093" t="s">
        <v>40</v>
      </c>
      <c r="D9093">
        <v>4.0059019999999999</v>
      </c>
      <c r="E9093">
        <v>0.53403140000000004</v>
      </c>
      <c r="F9093" t="s">
        <v>80</v>
      </c>
      <c r="G9093">
        <v>-157.9383</v>
      </c>
      <c r="H9093">
        <v>1.191317</v>
      </c>
      <c r="I9093">
        <v>-70.950680000000006</v>
      </c>
      <c r="J9093">
        <v>-240.45169999999999</v>
      </c>
      <c r="K9093">
        <v>1.110859</v>
      </c>
      <c r="L9093">
        <v>-62.413510000000002</v>
      </c>
      <c r="M9093">
        <v>0.99955360000000004</v>
      </c>
      <c r="N9093">
        <v>0</v>
      </c>
      <c r="O9093">
        <v>-2.6021800000000001E-2</v>
      </c>
      <c r="P9093">
        <v>0.99896309999999999</v>
      </c>
      <c r="Q9093">
        <v>-1.4365579999999999E-2</v>
      </c>
      <c r="R9093">
        <v>-4.320587E-2</v>
      </c>
      <c r="S9093">
        <v>2.989655</v>
      </c>
      <c r="T9093">
        <v>2.9098990000000001E-3</v>
      </c>
      <c r="U9093">
        <v>-0.30896000000000001</v>
      </c>
      <c r="V9093">
        <v>1.719294E-2</v>
      </c>
      <c r="W9093">
        <v>3.4314790000000001E-4</v>
      </c>
      <c r="X9093">
        <v>0.99985210000000002</v>
      </c>
      <c r="Y9093">
        <v>7.6873990000000003E-2</v>
      </c>
      <c r="Z9093" s="1">
        <v>1.205978E-5</v>
      </c>
      <c r="AA9093">
        <v>0.99704079999999995</v>
      </c>
      <c r="AB9093">
        <v>23</v>
      </c>
      <c r="AC9093">
        <v>82.513399999999905</v>
      </c>
      <c r="AD9093">
        <v>8.0457999999999905E-2</v>
      </c>
      <c r="AE9093">
        <v>-8.5371700000000104</v>
      </c>
      <c r="AF9093">
        <v>6.3868939258876498</v>
      </c>
      <c r="AG9093">
        <v>8.0457999999999905E-2</v>
      </c>
      <c r="AH9093">
        <v>82.707551591055406</v>
      </c>
      <c r="AI9093">
        <v>89.944428068857903</v>
      </c>
      <c r="AJ9093">
        <v>85.584233370773902</v>
      </c>
      <c r="AK9093">
        <v>82.953830397983396</v>
      </c>
      <c r="AL9093">
        <v>89.980339072574196</v>
      </c>
      <c r="AM9093">
        <v>89.014868473699295</v>
      </c>
      <c r="AN9093">
        <v>0.99999996840536698</v>
      </c>
    </row>
    <row r="9094" spans="1:40" x14ac:dyDescent="0.25">
      <c r="A9094" t="str">
        <f>"20190312154134611"</f>
        <v>20190312154134611</v>
      </c>
      <c r="B9094" t="str">
        <f>"1552376494605087"</f>
        <v>1552376494605087</v>
      </c>
      <c r="C9094" t="s">
        <v>40</v>
      </c>
      <c r="D9094">
        <v>3.9686059999999999</v>
      </c>
      <c r="E9094">
        <v>0.53415659999999998</v>
      </c>
      <c r="F9094" t="s">
        <v>50</v>
      </c>
      <c r="G9094">
        <v>0</v>
      </c>
      <c r="H9094">
        <v>0</v>
      </c>
      <c r="I9094">
        <v>0</v>
      </c>
      <c r="J9094">
        <v>-240.33760000000001</v>
      </c>
      <c r="K9094">
        <v>1.1108499999999999</v>
      </c>
      <c r="L9094">
        <v>-62.415950000000002</v>
      </c>
      <c r="M9094">
        <v>0.99956599999999995</v>
      </c>
      <c r="N9094">
        <v>0</v>
      </c>
      <c r="O9094">
        <v>-2.5542100000000002E-2</v>
      </c>
      <c r="P9094">
        <v>0.99900290000000003</v>
      </c>
      <c r="Q9094">
        <v>-1.4458189999999999E-2</v>
      </c>
      <c r="R9094">
        <v>-4.2242849999999998E-2</v>
      </c>
      <c r="S9094">
        <v>2.9855800000000001</v>
      </c>
      <c r="T9094">
        <v>-1.0708570000000001E-2</v>
      </c>
      <c r="U9094">
        <v>-0.40164179999999999</v>
      </c>
      <c r="V9094">
        <v>1.6709249999999998E-2</v>
      </c>
      <c r="W9094">
        <v>2.4778050000000002E-4</v>
      </c>
      <c r="X9094">
        <v>0.99986030000000004</v>
      </c>
      <c r="Y9094">
        <v>0.1079654</v>
      </c>
      <c r="Z9094">
        <v>-1.015885E-4</v>
      </c>
      <c r="AA9094">
        <v>0.9941546</v>
      </c>
      <c r="AB9094">
        <v>23</v>
      </c>
      <c r="AC9094">
        <v>2.9855800000000001</v>
      </c>
      <c r="AD9094">
        <v>-1.0708570000000001E-2</v>
      </c>
      <c r="AE9094">
        <v>-0.40164179999999999</v>
      </c>
      <c r="AF9094">
        <v>0.32524042754145999</v>
      </c>
      <c r="AG9094">
        <v>-1.0708570000000001E-2</v>
      </c>
      <c r="AH9094">
        <v>2.99482777361303</v>
      </c>
      <c r="AI9094">
        <v>90.203673420273205</v>
      </c>
      <c r="AJ9094">
        <v>83.801928325240794</v>
      </c>
      <c r="AK9094">
        <v>3.0124557096798599</v>
      </c>
      <c r="AL9094">
        <v>89.985803222106895</v>
      </c>
      <c r="AM9094">
        <v>89.042585854263805</v>
      </c>
      <c r="AN9094">
        <v>0.99999993997341197</v>
      </c>
    </row>
    <row r="9095" spans="1:40" x14ac:dyDescent="0.25">
      <c r="A9095" t="str">
        <f>"20190312154134623"</f>
        <v>20190312154134623</v>
      </c>
      <c r="B9095" t="str">
        <f>"1552376494614847"</f>
        <v>1552376494614847</v>
      </c>
      <c r="C9095" t="s">
        <v>40</v>
      </c>
      <c r="D9095">
        <v>3.982523</v>
      </c>
      <c r="E9095">
        <v>0.53449429999999998</v>
      </c>
      <c r="F9095" t="s">
        <v>50</v>
      </c>
      <c r="G9095">
        <v>0</v>
      </c>
      <c r="H9095">
        <v>0</v>
      </c>
      <c r="I9095">
        <v>0</v>
      </c>
      <c r="J9095">
        <v>-240.22550000000001</v>
      </c>
      <c r="K9095">
        <v>1.110843</v>
      </c>
      <c r="L9095">
        <v>-62.4182699999999</v>
      </c>
      <c r="M9095">
        <v>0.99957779999999996</v>
      </c>
      <c r="N9095">
        <v>0</v>
      </c>
      <c r="O9095">
        <v>-2.507552E-2</v>
      </c>
      <c r="P9095">
        <v>0.9990386</v>
      </c>
      <c r="Q9095">
        <v>-1.431233E-2</v>
      </c>
      <c r="R9095">
        <v>-4.1439339999999998E-2</v>
      </c>
      <c r="S9095">
        <v>2.9859469999999999</v>
      </c>
      <c r="T9095">
        <v>-1.2731080000000001E-2</v>
      </c>
      <c r="U9095">
        <v>-0.39968870000000001</v>
      </c>
      <c r="V9095">
        <v>1.6371460000000001E-2</v>
      </c>
      <c r="W9095">
        <v>3.908316E-4</v>
      </c>
      <c r="X9095">
        <v>0.99986589999999997</v>
      </c>
      <c r="Y9095">
        <v>0.1077743</v>
      </c>
      <c r="Z9095">
        <v>-1.223385E-4</v>
      </c>
      <c r="AA9095">
        <v>0.99417540000000004</v>
      </c>
      <c r="AB9095">
        <v>23</v>
      </c>
      <c r="AC9095">
        <v>2.9859469999999999</v>
      </c>
      <c r="AD9095">
        <v>-1.2731080000000001E-2</v>
      </c>
      <c r="AE9095">
        <v>-0.39968870000000001</v>
      </c>
      <c r="AF9095">
        <v>0.32467495589136203</v>
      </c>
      <c r="AG9095">
        <v>-1.2731080000000001E-2</v>
      </c>
      <c r="AH9095">
        <v>2.9949778905062399</v>
      </c>
      <c r="AI9095">
        <v>90.242133369741893</v>
      </c>
      <c r="AJ9095">
        <v>83.812928524648399</v>
      </c>
      <c r="AK9095">
        <v>3.0125518206335</v>
      </c>
      <c r="AL9095">
        <v>89.977606998198397</v>
      </c>
      <c r="AM9095">
        <v>89.061942456796004</v>
      </c>
      <c r="AN9095">
        <v>0.99999999771734005</v>
      </c>
    </row>
    <row r="9096" spans="1:40" x14ac:dyDescent="0.25">
      <c r="A9096" t="str">
        <f>"20190312154134634"</f>
        <v>20190312154134634</v>
      </c>
      <c r="B9096" t="str">
        <f>"1552376494625583"</f>
        <v>1552376494625583</v>
      </c>
      <c r="C9096" t="s">
        <v>40</v>
      </c>
      <c r="D9096">
        <v>3.9973169999999998</v>
      </c>
      <c r="E9096">
        <v>0.53472730000000002</v>
      </c>
      <c r="F9096" t="s">
        <v>50</v>
      </c>
      <c r="G9096">
        <v>0</v>
      </c>
      <c r="H9096">
        <v>0</v>
      </c>
      <c r="I9096">
        <v>0</v>
      </c>
      <c r="J9096">
        <v>-240.11179999999999</v>
      </c>
      <c r="K9096">
        <v>1.1108370000000001</v>
      </c>
      <c r="L9096">
        <v>-62.4206199999999</v>
      </c>
      <c r="M9096">
        <v>0.99958950000000002</v>
      </c>
      <c r="N9096">
        <v>0</v>
      </c>
      <c r="O9096">
        <v>-2.4605490000000001E-2</v>
      </c>
      <c r="P9096">
        <v>0.99907170000000001</v>
      </c>
      <c r="Q9096">
        <v>-1.436078E-2</v>
      </c>
      <c r="R9096">
        <v>-4.0617550000000002E-2</v>
      </c>
      <c r="S9096">
        <v>2.9860989999999998</v>
      </c>
      <c r="T9096">
        <v>-1.2505169999999999E-2</v>
      </c>
      <c r="U9096">
        <v>-0.39999390000000001</v>
      </c>
      <c r="V9096">
        <v>1.601936E-2</v>
      </c>
      <c r="W9096">
        <v>3.3981009999999999E-4</v>
      </c>
      <c r="X9096">
        <v>0.99987159999999997</v>
      </c>
      <c r="Y9096">
        <v>0.1083349</v>
      </c>
      <c r="Z9096">
        <v>-1.2328729999999999E-4</v>
      </c>
      <c r="AA9096">
        <v>0.99411450000000001</v>
      </c>
      <c r="AB9096">
        <v>23</v>
      </c>
      <c r="AC9096">
        <v>2.9860989999999998</v>
      </c>
      <c r="AD9096">
        <v>-1.2505169999999999E-2</v>
      </c>
      <c r="AE9096">
        <v>-0.39999390000000001</v>
      </c>
      <c r="AF9096">
        <v>0.32638480466520697</v>
      </c>
      <c r="AG9096">
        <v>-1.2505169999999999E-2</v>
      </c>
      <c r="AH9096">
        <v>2.9949862381404602</v>
      </c>
      <c r="AI9096">
        <v>90.237821579658402</v>
      </c>
      <c r="AJ9096">
        <v>83.7806171868814</v>
      </c>
      <c r="AK9096">
        <v>3.0127439298161098</v>
      </c>
      <c r="AL9096">
        <v>89.980530314590595</v>
      </c>
      <c r="AM9096">
        <v>89.082118945793496</v>
      </c>
      <c r="AN9096">
        <v>0.99999997592613599</v>
      </c>
    </row>
    <row r="9097" spans="1:40" x14ac:dyDescent="0.25">
      <c r="A9097" t="str">
        <f>"20190312154134645"</f>
        <v>20190312154134645</v>
      </c>
      <c r="B9097" t="str">
        <f>"1552376494635345"</f>
        <v>1552376494635345</v>
      </c>
      <c r="C9097" t="s">
        <v>40</v>
      </c>
      <c r="D9097">
        <v>3.9909780000000001</v>
      </c>
      <c r="E9097">
        <v>0.53485850000000001</v>
      </c>
      <c r="F9097" t="s">
        <v>50</v>
      </c>
      <c r="G9097">
        <v>0</v>
      </c>
      <c r="H9097">
        <v>0</v>
      </c>
      <c r="I9097">
        <v>0</v>
      </c>
      <c r="J9097">
        <v>-239.99930000000001</v>
      </c>
      <c r="K9097">
        <v>1.1108359999999999</v>
      </c>
      <c r="L9097">
        <v>-62.422849999999997</v>
      </c>
      <c r="M9097">
        <v>0.99960079999999996</v>
      </c>
      <c r="N9097">
        <v>0</v>
      </c>
      <c r="O9097">
        <v>-2.4147149999999999E-2</v>
      </c>
      <c r="P9097">
        <v>0.99910239999999995</v>
      </c>
      <c r="Q9097">
        <v>-1.4049280000000001E-2</v>
      </c>
      <c r="R9097">
        <v>-3.9968690000000001E-2</v>
      </c>
      <c r="S9097">
        <v>2.9863740000000001</v>
      </c>
      <c r="T9097">
        <v>-1.244342E-2</v>
      </c>
      <c r="U9097">
        <v>-0.39935300000000001</v>
      </c>
      <c r="V9097">
        <v>1.582803E-2</v>
      </c>
      <c r="W9097">
        <v>6.488005E-4</v>
      </c>
      <c r="X9097">
        <v>0.9998745</v>
      </c>
      <c r="Y9097">
        <v>0.1085691</v>
      </c>
      <c r="Z9097">
        <v>-1.2505440000000001E-4</v>
      </c>
      <c r="AA9097">
        <v>0.99408890000000005</v>
      </c>
      <c r="AB9097">
        <v>23</v>
      </c>
      <c r="AC9097">
        <v>2.9863740000000001</v>
      </c>
      <c r="AD9097">
        <v>-1.244342E-2</v>
      </c>
      <c r="AE9097">
        <v>-0.39935300000000001</v>
      </c>
      <c r="AF9097">
        <v>0.32711077031784302</v>
      </c>
      <c r="AG9097">
        <v>-1.244342E-2</v>
      </c>
      <c r="AH9097">
        <v>2.9950962189798398</v>
      </c>
      <c r="AI9097">
        <v>90.236632468841407</v>
      </c>
      <c r="AJ9097">
        <v>83.767119491977098</v>
      </c>
      <c r="AK9097">
        <v>3.01293173764468</v>
      </c>
      <c r="AL9097">
        <v>89.962826466312507</v>
      </c>
      <c r="AM9097">
        <v>89.093082604929293</v>
      </c>
      <c r="AN9097">
        <v>0.99999998161300896</v>
      </c>
    </row>
    <row r="9098" spans="1:40" x14ac:dyDescent="0.25">
      <c r="A9098" t="str">
        <f>"20190312154134655"</f>
        <v>20190312154134655</v>
      </c>
      <c r="B9098" t="str">
        <f>"1552376494645103"</f>
        <v>1552376494645103</v>
      </c>
      <c r="C9098" t="s">
        <v>40</v>
      </c>
      <c r="D9098">
        <v>3.9784830000000002</v>
      </c>
      <c r="E9098">
        <v>0.53508750000000005</v>
      </c>
      <c r="F9098" t="s">
        <v>50</v>
      </c>
      <c r="G9098">
        <v>0</v>
      </c>
      <c r="H9098">
        <v>0</v>
      </c>
      <c r="I9098">
        <v>0</v>
      </c>
      <c r="J9098">
        <v>-239.88669999999999</v>
      </c>
      <c r="K9098">
        <v>1.110832</v>
      </c>
      <c r="L9098">
        <v>-62.425080000000001</v>
      </c>
      <c r="M9098">
        <v>0.99961169999999999</v>
      </c>
      <c r="N9098">
        <v>0</v>
      </c>
      <c r="O9098">
        <v>-2.3690840000000001E-2</v>
      </c>
      <c r="P9098">
        <v>0.99913790000000002</v>
      </c>
      <c r="Q9098">
        <v>-1.395923E-2</v>
      </c>
      <c r="R9098">
        <v>-3.909791E-2</v>
      </c>
      <c r="S9098">
        <v>2.9866030000000001</v>
      </c>
      <c r="T9098">
        <v>-1.235235E-2</v>
      </c>
      <c r="U9098">
        <v>-0.39846799999999999</v>
      </c>
      <c r="V9098">
        <v>1.541299E-2</v>
      </c>
      <c r="W9098">
        <v>7.3558480000000001E-4</v>
      </c>
      <c r="X9098">
        <v>0.99988100000000002</v>
      </c>
      <c r="Y9098">
        <v>0.1087235</v>
      </c>
      <c r="Z9098">
        <v>-1.26327099999999E-4</v>
      </c>
      <c r="AA9098">
        <v>0.99407199999999996</v>
      </c>
      <c r="AB9098">
        <v>23</v>
      </c>
      <c r="AC9098">
        <v>2.9866030000000001</v>
      </c>
      <c r="AD9098">
        <v>-1.235235E-2</v>
      </c>
      <c r="AE9098">
        <v>-0.39846799999999999</v>
      </c>
      <c r="AF9098">
        <v>0.32758788525113097</v>
      </c>
      <c r="AG9098">
        <v>-1.235235E-2</v>
      </c>
      <c r="AH9098">
        <v>2.9951552965850601</v>
      </c>
      <c r="AI9098">
        <v>90.234892019997801</v>
      </c>
      <c r="AJ9098">
        <v>83.758222235214802</v>
      </c>
      <c r="AK9098">
        <v>3.0130419269859798</v>
      </c>
      <c r="AL9098">
        <v>89.957854094119298</v>
      </c>
      <c r="AM9098">
        <v>89.116865566765597</v>
      </c>
      <c r="AN9098">
        <v>1.0000000577533601</v>
      </c>
    </row>
    <row r="9099" spans="1:40" x14ac:dyDescent="0.25">
      <c r="A9099" t="str">
        <f>"20190312154134667"</f>
        <v>20190312154134667</v>
      </c>
      <c r="B9099" t="str">
        <f>"1552376494654863"</f>
        <v>1552376494654863</v>
      </c>
      <c r="C9099" t="s">
        <v>40</v>
      </c>
      <c r="D9099">
        <v>3.9695689999999999</v>
      </c>
      <c r="E9099">
        <v>0.5353156</v>
      </c>
      <c r="F9099" t="s">
        <v>50</v>
      </c>
      <c r="G9099">
        <v>0</v>
      </c>
      <c r="H9099">
        <v>0</v>
      </c>
      <c r="I9099">
        <v>0</v>
      </c>
      <c r="J9099">
        <v>-239.77189999999999</v>
      </c>
      <c r="K9099">
        <v>1.1108229999999999</v>
      </c>
      <c r="L9099">
        <v>-62.427280000000003</v>
      </c>
      <c r="M9099">
        <v>0.99962229999999996</v>
      </c>
      <c r="N9099">
        <v>0</v>
      </c>
      <c r="O9099">
        <v>-2.323561E-2</v>
      </c>
      <c r="P9099">
        <v>0.99916870000000002</v>
      </c>
      <c r="Q9099">
        <v>-1.341094E-2</v>
      </c>
      <c r="R9099">
        <v>-3.8500760000000002E-2</v>
      </c>
      <c r="S9099">
        <v>2.9868619999999999</v>
      </c>
      <c r="T9099">
        <v>-1.214778E-2</v>
      </c>
      <c r="U9099">
        <v>-0.39773560000000002</v>
      </c>
      <c r="V9099">
        <v>1.526957E-2</v>
      </c>
      <c r="W9099">
        <v>1.2815630000000001E-3</v>
      </c>
      <c r="X9099">
        <v>0.99988259999999995</v>
      </c>
      <c r="Y9099">
        <v>0.10892540000000001</v>
      </c>
      <c r="Z9099">
        <v>-1.2647679999999999E-4</v>
      </c>
      <c r="AA9099">
        <v>0.99404990000000004</v>
      </c>
      <c r="AB9099">
        <v>23</v>
      </c>
      <c r="AC9099">
        <v>2.9868619999999999</v>
      </c>
      <c r="AD9099">
        <v>-1.214778E-2</v>
      </c>
      <c r="AE9099">
        <v>-0.39773560000000002</v>
      </c>
      <c r="AF9099">
        <v>0.32821382545230499</v>
      </c>
      <c r="AG9099">
        <v>-1.214778E-2</v>
      </c>
      <c r="AH9099">
        <v>2.99524936681581</v>
      </c>
      <c r="AI9099">
        <v>90.230989572801207</v>
      </c>
      <c r="AJ9099">
        <v>83.746584979627499</v>
      </c>
      <c r="AK9099">
        <v>3.0132027235464101</v>
      </c>
      <c r="AL9099">
        <v>89.926571829405802</v>
      </c>
      <c r="AM9099">
        <v>89.125083371016004</v>
      </c>
      <c r="AN9099">
        <v>1.00000000797723</v>
      </c>
    </row>
    <row r="9100" spans="1:40" x14ac:dyDescent="0.25">
      <c r="A9100" t="str">
        <f>"20190312154134679"</f>
        <v>20190312154134679</v>
      </c>
      <c r="B9100" t="str">
        <f>"1552376494675358"</f>
        <v>1552376494675358</v>
      </c>
      <c r="C9100" t="s">
        <v>40</v>
      </c>
      <c r="D9100">
        <v>3.9526210000000002</v>
      </c>
      <c r="E9100">
        <v>0.53571329999999995</v>
      </c>
      <c r="F9100" t="s">
        <v>50</v>
      </c>
      <c r="G9100">
        <v>0</v>
      </c>
      <c r="H9100">
        <v>0</v>
      </c>
      <c r="I9100">
        <v>0</v>
      </c>
      <c r="J9100">
        <v>-239.65090000000001</v>
      </c>
      <c r="K9100">
        <v>1.1108089999999999</v>
      </c>
      <c r="L9100">
        <v>-62.42953</v>
      </c>
      <c r="M9100">
        <v>0.99963340000000001</v>
      </c>
      <c r="N9100">
        <v>0</v>
      </c>
      <c r="O9100">
        <v>-2.2758710000000001E-2</v>
      </c>
      <c r="P9100">
        <v>0.99919919999999995</v>
      </c>
      <c r="Q9100">
        <v>-1.3432919999999999E-2</v>
      </c>
      <c r="R9100">
        <v>-3.7693020000000001E-2</v>
      </c>
      <c r="S9100">
        <v>2.9870450000000002</v>
      </c>
      <c r="T9100">
        <v>-9.6693040000000001E-3</v>
      </c>
      <c r="U9100">
        <v>-0.39773560000000002</v>
      </c>
      <c r="V9100">
        <v>1.4938750000000001E-2</v>
      </c>
      <c r="W9100">
        <v>1.2558139999999901E-3</v>
      </c>
      <c r="X9100">
        <v>0.99988759999999999</v>
      </c>
      <c r="Y9100">
        <v>0.1093919</v>
      </c>
      <c r="Z9100">
        <v>-1.029535E-4</v>
      </c>
      <c r="AA9100">
        <v>0.99399870000000001</v>
      </c>
      <c r="AB9100">
        <v>23</v>
      </c>
      <c r="AC9100">
        <v>2.9870450000000002</v>
      </c>
      <c r="AD9100">
        <v>-9.6693040000000001E-3</v>
      </c>
      <c r="AE9100">
        <v>-0.39773560000000002</v>
      </c>
      <c r="AF9100">
        <v>0.32964056141460302</v>
      </c>
      <c r="AG9100">
        <v>-9.6693040000000001E-3</v>
      </c>
      <c r="AH9100">
        <v>2.9952932330259099</v>
      </c>
      <c r="AI9100">
        <v>90.183849648290504</v>
      </c>
      <c r="AJ9100">
        <v>83.719709561694899</v>
      </c>
      <c r="AK9100">
        <v>3.0133930953296399</v>
      </c>
      <c r="AL9100">
        <v>89.928047137449497</v>
      </c>
      <c r="AM9100">
        <v>89.144040141062803</v>
      </c>
      <c r="AN9100">
        <v>0.99999997797706197</v>
      </c>
    </row>
    <row r="9101" spans="1:40" x14ac:dyDescent="0.25">
      <c r="A9101" t="str">
        <f>"20190312154134690"</f>
        <v>20190312154134690</v>
      </c>
      <c r="B9101" t="str">
        <f>"1552376494685118"</f>
        <v>1552376494685118</v>
      </c>
      <c r="C9101" t="s">
        <v>40</v>
      </c>
      <c r="D9101">
        <v>3.9220480000000002</v>
      </c>
      <c r="E9101">
        <v>0.53591290000000003</v>
      </c>
      <c r="F9101" t="s">
        <v>50</v>
      </c>
      <c r="G9101">
        <v>0</v>
      </c>
      <c r="H9101">
        <v>0</v>
      </c>
      <c r="I9101">
        <v>0</v>
      </c>
      <c r="J9101">
        <v>-239.53270000000001</v>
      </c>
      <c r="K9101">
        <v>1.1107990000000001</v>
      </c>
      <c r="L9101">
        <v>-62.431730000000002</v>
      </c>
      <c r="M9101">
        <v>0.99964370000000002</v>
      </c>
      <c r="N9101">
        <v>0</v>
      </c>
      <c r="O9101">
        <v>-2.2303989999999999E-2</v>
      </c>
      <c r="P9101">
        <v>0.99923280000000003</v>
      </c>
      <c r="Q9101">
        <v>-1.3020139999999999E-2</v>
      </c>
      <c r="R9101">
        <v>-3.6939630000000001E-2</v>
      </c>
      <c r="S9101">
        <v>2.9872130000000001</v>
      </c>
      <c r="T9101">
        <v>-1.3718009999999999E-2</v>
      </c>
      <c r="U9101">
        <v>-0.39837650000000002</v>
      </c>
      <c r="V9101">
        <v>1.4639040000000001E-2</v>
      </c>
      <c r="W9101">
        <v>1.6658930000000001E-3</v>
      </c>
      <c r="X9101">
        <v>0.99989150000000004</v>
      </c>
      <c r="Y9101">
        <v>0.1100458</v>
      </c>
      <c r="Z9101">
        <v>-1.4962339999999999E-4</v>
      </c>
      <c r="AA9101">
        <v>0.99392650000000005</v>
      </c>
      <c r="AB9101">
        <v>23</v>
      </c>
      <c r="AC9101">
        <v>2.9872130000000001</v>
      </c>
      <c r="AD9101">
        <v>-1.3718009999999999E-2</v>
      </c>
      <c r="AE9101">
        <v>-0.39837650000000002</v>
      </c>
      <c r="AF9101">
        <v>0.33163657242885503</v>
      </c>
      <c r="AG9101">
        <v>-1.3718009999999999E-2</v>
      </c>
      <c r="AH9101">
        <v>2.99529400410868</v>
      </c>
      <c r="AI9101">
        <v>90.260810770758994</v>
      </c>
      <c r="AJ9101">
        <v>83.681989907725594</v>
      </c>
      <c r="AK9101">
        <v>3.0136285721734399</v>
      </c>
      <c r="AL9101">
        <v>89.904551322053194</v>
      </c>
      <c r="AM9101">
        <v>89.1612137043589</v>
      </c>
      <c r="AN9101">
        <v>1.0000000442319199</v>
      </c>
    </row>
    <row r="9102" spans="1:40" x14ac:dyDescent="0.25">
      <c r="A9102" t="str">
        <f>"20190312154134702"</f>
        <v>20190312154134702</v>
      </c>
      <c r="B9102" t="str">
        <f>"1552376494694880"</f>
        <v>1552376494694880</v>
      </c>
      <c r="C9102" t="s">
        <v>40</v>
      </c>
      <c r="D9102">
        <v>3.9407450000000002</v>
      </c>
      <c r="E9102">
        <v>0.53586040000000001</v>
      </c>
      <c r="F9102" t="s">
        <v>50</v>
      </c>
      <c r="G9102">
        <v>0</v>
      </c>
      <c r="H9102">
        <v>0</v>
      </c>
      <c r="I9102">
        <v>0</v>
      </c>
      <c r="J9102">
        <v>-239.40700000000001</v>
      </c>
      <c r="K9102">
        <v>1.110789</v>
      </c>
      <c r="L9102">
        <v>-62.433990000000001</v>
      </c>
      <c r="M9102">
        <v>0.99965440000000005</v>
      </c>
      <c r="N9102">
        <v>0</v>
      </c>
      <c r="O9102">
        <v>-2.182663E-2</v>
      </c>
      <c r="P9102">
        <v>0.99926040000000005</v>
      </c>
      <c r="Q9102">
        <v>-1.2807850000000001E-2</v>
      </c>
      <c r="R9102">
        <v>-3.6261920000000003E-2</v>
      </c>
      <c r="S9102">
        <v>2.9874420000000002</v>
      </c>
      <c r="T9102">
        <v>-1.379204E-2</v>
      </c>
      <c r="U9102">
        <v>-0.39767459999999999</v>
      </c>
      <c r="V9102">
        <v>1.4438009999999999E-2</v>
      </c>
      <c r="W9102">
        <v>1.8747480000000001E-3</v>
      </c>
      <c r="X9102">
        <v>0.99989399999999995</v>
      </c>
      <c r="Y9102">
        <v>0.110281</v>
      </c>
      <c r="Z9102">
        <v>-1.531545E-4</v>
      </c>
      <c r="AA9102">
        <v>0.99390040000000002</v>
      </c>
      <c r="AB9102">
        <v>23</v>
      </c>
      <c r="AC9102">
        <v>2.9874420000000002</v>
      </c>
      <c r="AD9102">
        <v>-1.379204E-2</v>
      </c>
      <c r="AE9102">
        <v>-0.39767459999999999</v>
      </c>
      <c r="AF9102">
        <v>0.33236008999708999</v>
      </c>
      <c r="AG9102">
        <v>-1.379204E-2</v>
      </c>
      <c r="AH9102">
        <v>2.9953482489757901</v>
      </c>
      <c r="AI9102">
        <v>90.262206605041797</v>
      </c>
      <c r="AJ9102">
        <v>83.668431729897804</v>
      </c>
      <c r="AK9102">
        <v>3.0137625292037402</v>
      </c>
      <c r="AL9102">
        <v>89.892584788063502</v>
      </c>
      <c r="AM9102">
        <v>89.172732757979105</v>
      </c>
      <c r="AN9102">
        <v>0.99999999102441095</v>
      </c>
    </row>
    <row r="9103" spans="1:40" x14ac:dyDescent="0.25">
      <c r="A9103" t="str">
        <f>"20190312154134713"</f>
        <v>20190312154134713</v>
      </c>
      <c r="B9103" t="str">
        <f>"1552376494705616"</f>
        <v>1552376494705616</v>
      </c>
      <c r="C9103" t="s">
        <v>40</v>
      </c>
      <c r="D9103">
        <v>3.9491339999999999</v>
      </c>
      <c r="E9103">
        <v>0.53596160000000004</v>
      </c>
      <c r="F9103" t="s">
        <v>50</v>
      </c>
      <c r="G9103">
        <v>0</v>
      </c>
      <c r="H9103">
        <v>0</v>
      </c>
      <c r="I9103">
        <v>0</v>
      </c>
      <c r="J9103">
        <v>-239.29320000000001</v>
      </c>
      <c r="K9103">
        <v>1.110778</v>
      </c>
      <c r="L9103">
        <v>-62.435969999999998</v>
      </c>
      <c r="M9103">
        <v>0.99966350000000004</v>
      </c>
      <c r="N9103">
        <v>0</v>
      </c>
      <c r="O9103">
        <v>-2.140135E-2</v>
      </c>
      <c r="P9103">
        <v>0.99928799999999995</v>
      </c>
      <c r="Q9103">
        <v>-1.249664E-2</v>
      </c>
      <c r="R9103">
        <v>-3.5601999999999898E-2</v>
      </c>
      <c r="S9103">
        <v>2.9876710000000002</v>
      </c>
      <c r="T9103">
        <v>-1.5063170000000001E-2</v>
      </c>
      <c r="U9103">
        <v>-0.39517210000000003</v>
      </c>
      <c r="V9103">
        <v>1.4202559999999999E-2</v>
      </c>
      <c r="W9103">
        <v>2.1832610000000001E-3</v>
      </c>
      <c r="X9103">
        <v>0.99989680000000003</v>
      </c>
      <c r="Y9103">
        <v>0.1098756</v>
      </c>
      <c r="Z9103">
        <v>-1.6838150000000001E-4</v>
      </c>
      <c r="AA9103">
        <v>0.99394539999999998</v>
      </c>
      <c r="AB9103">
        <v>23</v>
      </c>
      <c r="AC9103">
        <v>2.9876710000000002</v>
      </c>
      <c r="AD9103">
        <v>-1.5063170000000001E-2</v>
      </c>
      <c r="AE9103">
        <v>-0.39517210000000003</v>
      </c>
      <c r="AF9103">
        <v>0.33112623666674801</v>
      </c>
      <c r="AG9103">
        <v>-1.5063170000000001E-2</v>
      </c>
      <c r="AH9103">
        <v>2.9953698648204199</v>
      </c>
      <c r="AI9103">
        <v>90.286383102035501</v>
      </c>
      <c r="AJ9103">
        <v>83.691792352712895</v>
      </c>
      <c r="AK9103">
        <v>3.0136542785750802</v>
      </c>
      <c r="AL9103">
        <v>89.874908265375197</v>
      </c>
      <c r="AM9103">
        <v>89.186223991059506</v>
      </c>
      <c r="AN9103">
        <v>1.00000004499469</v>
      </c>
    </row>
    <row r="9104" spans="1:40" x14ac:dyDescent="0.25">
      <c r="A9104" t="str">
        <f>"20190312154134724"</f>
        <v>20190312154134724</v>
      </c>
      <c r="B9104" t="str">
        <f>"1552376494715374"</f>
        <v>1552376494715374</v>
      </c>
      <c r="C9104" t="s">
        <v>40</v>
      </c>
      <c r="D9104">
        <v>3.9407030000000001</v>
      </c>
      <c r="E9104">
        <v>0.5361958</v>
      </c>
      <c r="F9104" t="s">
        <v>50</v>
      </c>
      <c r="G9104">
        <v>0</v>
      </c>
      <c r="H9104">
        <v>0</v>
      </c>
      <c r="I9104">
        <v>0</v>
      </c>
      <c r="J9104">
        <v>-239.18209999999999</v>
      </c>
      <c r="K9104">
        <v>1.1107689999999999</v>
      </c>
      <c r="L9104">
        <v>-62.437869999999997</v>
      </c>
      <c r="M9104">
        <v>0.99967209999999995</v>
      </c>
      <c r="N9104">
        <v>0</v>
      </c>
      <c r="O9104">
        <v>-2.099527E-2</v>
      </c>
      <c r="P9104">
        <v>0.99931559999999997</v>
      </c>
      <c r="Q9104">
        <v>-1.2435649999999999E-2</v>
      </c>
      <c r="R9104">
        <v>-3.4843249999999999E-2</v>
      </c>
      <c r="S9104">
        <v>2.98793</v>
      </c>
      <c r="T9104">
        <v>-1.534641E-2</v>
      </c>
      <c r="U9104">
        <v>-0.39404299999999998</v>
      </c>
      <c r="V9104">
        <v>1.384961E-2</v>
      </c>
      <c r="W9104">
        <v>2.241435E-3</v>
      </c>
      <c r="X9104">
        <v>0.99990159999999995</v>
      </c>
      <c r="Y9104">
        <v>0.10989889999999999</v>
      </c>
      <c r="Z9104">
        <v>-1.736718E-4</v>
      </c>
      <c r="AA9104">
        <v>0.99394269999999996</v>
      </c>
      <c r="AB9104">
        <v>23</v>
      </c>
      <c r="AC9104">
        <v>2.98793</v>
      </c>
      <c r="AD9104">
        <v>-1.534641E-2</v>
      </c>
      <c r="AE9104">
        <v>-0.39404299999999998</v>
      </c>
      <c r="AF9104">
        <v>0.33120839803837399</v>
      </c>
      <c r="AG9104">
        <v>-1.534641E-2</v>
      </c>
      <c r="AH9104">
        <v>2.99546750300135</v>
      </c>
      <c r="AI9104">
        <v>90.291757739108405</v>
      </c>
      <c r="AJ9104">
        <v>83.690443748660698</v>
      </c>
      <c r="AK9104">
        <v>3.01376178168882</v>
      </c>
      <c r="AL9104">
        <v>89.871575129827704</v>
      </c>
      <c r="AM9104">
        <v>89.206448453512607</v>
      </c>
      <c r="AN9104">
        <v>1.0000000227052801</v>
      </c>
    </row>
    <row r="9105" spans="1:40" x14ac:dyDescent="0.25">
      <c r="A9105" t="str">
        <f>"20190312154134733"</f>
        <v>20190312154134733</v>
      </c>
      <c r="B9105" t="str">
        <f>"1552376494725135"</f>
        <v>1552376494725135</v>
      </c>
      <c r="C9105" t="s">
        <v>40</v>
      </c>
      <c r="D9105">
        <v>3.9850940000000001</v>
      </c>
      <c r="E9105">
        <v>0.53616589999999997</v>
      </c>
      <c r="F9105" t="s">
        <v>50</v>
      </c>
      <c r="G9105">
        <v>0</v>
      </c>
      <c r="H9105">
        <v>0</v>
      </c>
      <c r="I9105">
        <v>0</v>
      </c>
      <c r="J9105">
        <v>-239.07660000000001</v>
      </c>
      <c r="K9105">
        <v>1.1107590000000001</v>
      </c>
      <c r="L9105">
        <v>-62.4396699999999</v>
      </c>
      <c r="M9105">
        <v>0.99968000000000001</v>
      </c>
      <c r="N9105">
        <v>0</v>
      </c>
      <c r="O9105">
        <v>-2.0613380000000001E-2</v>
      </c>
      <c r="P9105">
        <v>0.99933890000000003</v>
      </c>
      <c r="Q9105">
        <v>-1.2324170000000001E-2</v>
      </c>
      <c r="R9105">
        <v>-3.4203949999999997E-2</v>
      </c>
      <c r="S9105">
        <v>2.9881440000000001</v>
      </c>
      <c r="T9105">
        <v>-1.6484140000000001E-2</v>
      </c>
      <c r="U9105">
        <v>-0.39358520000000002</v>
      </c>
      <c r="V9105">
        <v>1.3591860000000001E-2</v>
      </c>
      <c r="W9105">
        <v>2.3496770000000001E-3</v>
      </c>
      <c r="X9105">
        <v>0.99990489999999999</v>
      </c>
      <c r="Y9105">
        <v>0.1101196</v>
      </c>
      <c r="Z9105">
        <v>-1.892377E-4</v>
      </c>
      <c r="AA9105">
        <v>0.99391830000000003</v>
      </c>
      <c r="AB9105">
        <v>23</v>
      </c>
      <c r="AC9105">
        <v>2.9881440000000001</v>
      </c>
      <c r="AD9105">
        <v>-1.6484140000000001E-2</v>
      </c>
      <c r="AE9105">
        <v>-0.39358520000000002</v>
      </c>
      <c r="AF9105">
        <v>0.33188925595893898</v>
      </c>
      <c r="AG9105">
        <v>-1.6484140000000001E-2</v>
      </c>
      <c r="AH9105">
        <v>2.9955333359544598</v>
      </c>
      <c r="AI9105">
        <v>90.313372644859797</v>
      </c>
      <c r="AJ9105">
        <v>83.677716080547995</v>
      </c>
      <c r="AK9105">
        <v>3.0139081226717899</v>
      </c>
      <c r="AL9105">
        <v>89.865373305425607</v>
      </c>
      <c r="AM9105">
        <v>89.221217683333904</v>
      </c>
      <c r="AN9105">
        <v>1.00000003434213</v>
      </c>
    </row>
    <row r="9106" spans="1:40" x14ac:dyDescent="0.25">
      <c r="A9106" t="str">
        <f>"20190312154134745"</f>
        <v>20190312154134745</v>
      </c>
      <c r="B9106" t="str">
        <f>"1552376494734896"</f>
        <v>1552376494734896</v>
      </c>
      <c r="C9106" t="s">
        <v>40</v>
      </c>
      <c r="D9106">
        <v>4.1655179999999996</v>
      </c>
      <c r="E9106">
        <v>0.53616589999999997</v>
      </c>
      <c r="F9106" t="s">
        <v>50</v>
      </c>
      <c r="G9106">
        <v>0</v>
      </c>
      <c r="H9106">
        <v>0</v>
      </c>
      <c r="I9106">
        <v>0</v>
      </c>
      <c r="J9106">
        <v>-238.96279999999999</v>
      </c>
      <c r="K9106">
        <v>1.110754</v>
      </c>
      <c r="L9106">
        <v>-62.44153</v>
      </c>
      <c r="M9106">
        <v>0.99968829999999997</v>
      </c>
      <c r="N9106">
        <v>0</v>
      </c>
      <c r="O9106">
        <v>-2.0214719999999999E-2</v>
      </c>
      <c r="P9106">
        <v>0.99936150000000001</v>
      </c>
      <c r="Q9106">
        <v>-1.246093E-2</v>
      </c>
      <c r="R9106">
        <v>-3.3493820000000001E-2</v>
      </c>
      <c r="S9106">
        <v>2.9883730000000002</v>
      </c>
      <c r="T9106">
        <v>-1.7409210000000001E-2</v>
      </c>
      <c r="U9106">
        <v>-0.39138790000000001</v>
      </c>
      <c r="V9106">
        <v>1.3280190000000001E-2</v>
      </c>
      <c r="W9106">
        <v>2.209964E-3</v>
      </c>
      <c r="X9106">
        <v>0.99990939999999995</v>
      </c>
      <c r="Y9106">
        <v>0.1097875</v>
      </c>
      <c r="Z9106">
        <v>-2.011991E-4</v>
      </c>
      <c r="AA9106">
        <v>0.99395509999999998</v>
      </c>
      <c r="AB9106">
        <v>23</v>
      </c>
      <c r="AC9106">
        <v>2.9883730000000002</v>
      </c>
      <c r="AD9106">
        <v>-1.7409210000000001E-2</v>
      </c>
      <c r="AE9106">
        <v>-0.39138790000000001</v>
      </c>
      <c r="AF9106">
        <v>0.33088125869771501</v>
      </c>
      <c r="AG9106">
        <v>-1.7409210000000001E-2</v>
      </c>
      <c r="AH9106">
        <v>2.9955749259847599</v>
      </c>
      <c r="AI9106">
        <v>90.330965989438994</v>
      </c>
      <c r="AJ9106">
        <v>83.696849823980003</v>
      </c>
      <c r="AK9106">
        <v>3.0138438289232599</v>
      </c>
      <c r="AL9106">
        <v>89.873378290375001</v>
      </c>
      <c r="AM9106">
        <v>89.239076957192907</v>
      </c>
      <c r="AN9106">
        <v>1.00000002779783</v>
      </c>
    </row>
    <row r="9107" spans="1:40" x14ac:dyDescent="0.25">
      <c r="A9107" t="str">
        <f>"20190312154134756"</f>
        <v>20190312154134756</v>
      </c>
      <c r="B9107" t="str">
        <f>"1552376494745630"</f>
        <v>1552376494745630</v>
      </c>
      <c r="C9107" t="s">
        <v>40</v>
      </c>
      <c r="D9107">
        <v>4.0585370000000003</v>
      </c>
      <c r="E9107">
        <v>0.5027353</v>
      </c>
      <c r="F9107" t="s">
        <v>50</v>
      </c>
      <c r="G9107">
        <v>0</v>
      </c>
      <c r="H9107">
        <v>0</v>
      </c>
      <c r="I9107">
        <v>0</v>
      </c>
      <c r="J9107">
        <v>-238.85310000000001</v>
      </c>
      <c r="K9107">
        <v>1.110743</v>
      </c>
      <c r="L9107">
        <v>-62.443359999999998</v>
      </c>
      <c r="M9107">
        <v>0.99969600000000003</v>
      </c>
      <c r="N9107">
        <v>0</v>
      </c>
      <c r="O9107">
        <v>-1.9833690000000001E-2</v>
      </c>
      <c r="P9107">
        <v>0.99938269999999996</v>
      </c>
      <c r="Q9107">
        <v>-1.245339E-2</v>
      </c>
      <c r="R9107">
        <v>-3.2854260000000003E-2</v>
      </c>
      <c r="S9107">
        <v>2.988632</v>
      </c>
      <c r="T9107">
        <v>-1.777339E-2</v>
      </c>
      <c r="U9107">
        <v>-0.38931270000000001</v>
      </c>
      <c r="V9107">
        <v>1.3021599999999999E-2</v>
      </c>
      <c r="W9107">
        <v>2.214255E-3</v>
      </c>
      <c r="X9107">
        <v>0.99991269999999999</v>
      </c>
      <c r="Y9107">
        <v>0.10947659999999999</v>
      </c>
      <c r="Z9107">
        <v>-2.067335E-4</v>
      </c>
      <c r="AA9107">
        <v>0.99398929999999996</v>
      </c>
      <c r="AB9107">
        <v>23</v>
      </c>
      <c r="AC9107">
        <v>2.988632</v>
      </c>
      <c r="AD9107">
        <v>-1.777339E-2</v>
      </c>
      <c r="AE9107">
        <v>-0.38931270000000001</v>
      </c>
      <c r="AF9107">
        <v>0.32994266883258999</v>
      </c>
      <c r="AG9107">
        <v>-1.777339E-2</v>
      </c>
      <c r="AH9107">
        <v>2.9956621457134198</v>
      </c>
      <c r="AI9107">
        <v>90.337891063043202</v>
      </c>
      <c r="AJ9107">
        <v>83.714767803944198</v>
      </c>
      <c r="AK9107">
        <v>3.0138297479069398</v>
      </c>
      <c r="AL9107">
        <v>89.873132421983001</v>
      </c>
      <c r="AM9107">
        <v>89.253894314647994</v>
      </c>
      <c r="AN9107">
        <v>0.99999993630652495</v>
      </c>
    </row>
    <row r="9108" spans="1:40" x14ac:dyDescent="0.25">
      <c r="A9108" t="str">
        <f>"20190312154134768"</f>
        <v>20190312154134768</v>
      </c>
      <c r="B9108" t="str">
        <f>"1552376494755391"</f>
        <v>1552376494755391</v>
      </c>
      <c r="C9108" t="s">
        <v>40</v>
      </c>
      <c r="D9108">
        <v>3.99214</v>
      </c>
      <c r="E9108">
        <v>0.49481740000000002</v>
      </c>
      <c r="F9108" t="s">
        <v>80</v>
      </c>
      <c r="G9108">
        <v>-166.01490000000001</v>
      </c>
      <c r="H9108">
        <v>1.183969</v>
      </c>
      <c r="I9108">
        <v>-65.389949999999999</v>
      </c>
      <c r="J9108">
        <v>-238.7372</v>
      </c>
      <c r="K9108">
        <v>1.11073</v>
      </c>
      <c r="L9108">
        <v>-62.445189999999997</v>
      </c>
      <c r="M9108">
        <v>0.99970360000000003</v>
      </c>
      <c r="N9108">
        <v>0</v>
      </c>
      <c r="O9108">
        <v>-1.9448880000000002E-2</v>
      </c>
      <c r="P9108">
        <v>0.99941210000000003</v>
      </c>
      <c r="Q9108">
        <v>-1.235648E-2</v>
      </c>
      <c r="R9108">
        <v>-3.1984480000000003E-2</v>
      </c>
      <c r="S9108">
        <v>2.9978940000000001</v>
      </c>
      <c r="T9108">
        <v>3.013015E-3</v>
      </c>
      <c r="U9108">
        <v>-0.12127690000000001</v>
      </c>
      <c r="V9108">
        <v>1.253626E-2</v>
      </c>
      <c r="W9108">
        <v>2.3072380000000001E-3</v>
      </c>
      <c r="X9108">
        <v>0.9999188</v>
      </c>
      <c r="Y9108">
        <v>2.097823E-2</v>
      </c>
      <c r="Z9108" s="1">
        <v>-9.0005219999999998E-6</v>
      </c>
      <c r="AA9108">
        <v>0.99977990000000005</v>
      </c>
      <c r="AB9108">
        <v>23</v>
      </c>
      <c r="AC9108">
        <v>72.722299999999905</v>
      </c>
      <c r="AD9108">
        <v>7.3238999999999999E-2</v>
      </c>
      <c r="AE9108">
        <v>-2.9447599999999898</v>
      </c>
      <c r="AF9108">
        <v>1.52968236976607</v>
      </c>
      <c r="AG9108">
        <v>7.3238999999999999E-2</v>
      </c>
      <c r="AH9108">
        <v>72.765746561890396</v>
      </c>
      <c r="AI9108">
        <v>89.942344338326393</v>
      </c>
      <c r="AJ9108">
        <v>88.795704839096302</v>
      </c>
      <c r="AK9108">
        <v>72.781860135701194</v>
      </c>
      <c r="AL9108">
        <v>89.867804888781293</v>
      </c>
      <c r="AM9108">
        <v>89.281704515589297</v>
      </c>
      <c r="AN9108">
        <v>1.0000000438776999</v>
      </c>
    </row>
    <row r="9109" spans="1:40" x14ac:dyDescent="0.25">
      <c r="A9109" t="str">
        <f>"20190312154134779"</f>
        <v>20190312154134779</v>
      </c>
      <c r="B9109" t="str">
        <f>"1552376494774914"</f>
        <v>1552376494774914</v>
      </c>
      <c r="C9109" t="s">
        <v>40</v>
      </c>
      <c r="D9109">
        <v>4.0536009999999996</v>
      </c>
      <c r="E9109">
        <v>0.48640870000000003</v>
      </c>
      <c r="F9109" t="s">
        <v>80</v>
      </c>
      <c r="G9109">
        <v>-157.3501</v>
      </c>
      <c r="H9109">
        <v>0.94210720000000003</v>
      </c>
      <c r="I9109">
        <v>-63.94706</v>
      </c>
      <c r="J9109">
        <v>-238.61920000000001</v>
      </c>
      <c r="K9109">
        <v>1.110719</v>
      </c>
      <c r="L9109">
        <v>-62.447049999999997</v>
      </c>
      <c r="M9109">
        <v>0.99971120000000002</v>
      </c>
      <c r="N9109">
        <v>0</v>
      </c>
      <c r="O9109">
        <v>-1.9062180000000001E-2</v>
      </c>
      <c r="P9109">
        <v>0.99943630000000006</v>
      </c>
      <c r="Q9109">
        <v>-1.207567E-2</v>
      </c>
      <c r="R9109">
        <v>-3.133097E-2</v>
      </c>
      <c r="S9109">
        <v>2.999924</v>
      </c>
      <c r="T9109">
        <v>-6.2161680000000002E-3</v>
      </c>
      <c r="U9109">
        <v>-5.5358890000000001E-2</v>
      </c>
      <c r="V9109">
        <v>1.226904E-2</v>
      </c>
      <c r="W9109">
        <v>2.584757E-3</v>
      </c>
      <c r="X9109">
        <v>0.99992139999999996</v>
      </c>
      <c r="Y9109">
        <v>-6.1399869999999995E-4</v>
      </c>
      <c r="Z9109" s="1">
        <v>4.0132290000000001E-5</v>
      </c>
      <c r="AA9109">
        <v>0.99999979999999999</v>
      </c>
      <c r="AB9109">
        <v>23</v>
      </c>
      <c r="AC9109">
        <v>81.269099999999995</v>
      </c>
      <c r="AD9109">
        <v>-0.16861179999999901</v>
      </c>
      <c r="AE9109">
        <v>-1.5000100000000001</v>
      </c>
      <c r="AF9109">
        <v>-4.9594512754845603E-2</v>
      </c>
      <c r="AG9109">
        <v>-0.16861179999999901</v>
      </c>
      <c r="AH9109">
        <v>81.282577011824699</v>
      </c>
      <c r="AI9109">
        <v>90.1188536241837</v>
      </c>
      <c r="AJ9109">
        <v>90.034958979152705</v>
      </c>
      <c r="AK9109">
        <v>81.282767024985105</v>
      </c>
      <c r="AL9109">
        <v>89.851904169149805</v>
      </c>
      <c r="AM9109">
        <v>89.297015809371302</v>
      </c>
      <c r="AN9109">
        <v>1.0000000082446101</v>
      </c>
    </row>
    <row r="9110" spans="1:40" x14ac:dyDescent="0.25">
      <c r="A9110" t="str">
        <f>"20190312154134789"</f>
        <v>20190312154134789</v>
      </c>
      <c r="B9110" t="str">
        <f>"1552376494785646"</f>
        <v>1552376494785646</v>
      </c>
      <c r="C9110" t="s">
        <v>40</v>
      </c>
      <c r="D9110">
        <v>3.9936440000000002</v>
      </c>
      <c r="E9110">
        <v>0.48474339999999999</v>
      </c>
      <c r="F9110" t="s">
        <v>80</v>
      </c>
      <c r="G9110">
        <v>-157.3501</v>
      </c>
      <c r="H9110">
        <v>0.61023619999999901</v>
      </c>
      <c r="I9110">
        <v>-62.068660000000001</v>
      </c>
      <c r="J9110">
        <v>-238.5086</v>
      </c>
      <c r="K9110">
        <v>1.1107039999999999</v>
      </c>
      <c r="L9110">
        <v>-62.44876</v>
      </c>
      <c r="M9110">
        <v>0.99971770000000004</v>
      </c>
      <c r="N9110">
        <v>0</v>
      </c>
      <c r="O9110">
        <v>-1.8715900000000001E-2</v>
      </c>
      <c r="P9110">
        <v>0.9994634</v>
      </c>
      <c r="Q9110">
        <v>-1.1901419999999999E-2</v>
      </c>
      <c r="R9110">
        <v>-3.052473E-2</v>
      </c>
      <c r="S9110">
        <v>3.0019070000000001</v>
      </c>
      <c r="T9110">
        <v>-1.8487449999999999E-2</v>
      </c>
      <c r="U9110">
        <v>1.397705E-2</v>
      </c>
      <c r="V9110">
        <v>1.180846E-2</v>
      </c>
      <c r="W9110">
        <v>2.755464E-3</v>
      </c>
      <c r="X9110">
        <v>0.99992650000000005</v>
      </c>
      <c r="Y9110">
        <v>-2.3372090000000002E-2</v>
      </c>
      <c r="Z9110">
        <v>1.8723820000000001E-4</v>
      </c>
      <c r="AA9110">
        <v>0.99972680000000003</v>
      </c>
      <c r="AB9110">
        <v>23</v>
      </c>
      <c r="AC9110">
        <v>81.158500000000004</v>
      </c>
      <c r="AD9110">
        <v>-0.50046780000000002</v>
      </c>
      <c r="AE9110">
        <v>0.38010000000000499</v>
      </c>
      <c r="AF9110">
        <v>-1.8990782980774901</v>
      </c>
      <c r="AG9110">
        <v>-0.50046780000000002</v>
      </c>
      <c r="AH9110">
        <v>81.134081571255507</v>
      </c>
      <c r="AI9110">
        <v>90.353322265892004</v>
      </c>
      <c r="AJ9110">
        <v>91.340858301491807</v>
      </c>
      <c r="AK9110">
        <v>81.157847179507002</v>
      </c>
      <c r="AL9110">
        <v>89.842123345394299</v>
      </c>
      <c r="AM9110">
        <v>89.3234067989832</v>
      </c>
      <c r="AN9110">
        <v>1.00000001885583</v>
      </c>
    </row>
    <row r="9111" spans="1:40" x14ac:dyDescent="0.25">
      <c r="A9111" t="str">
        <f>"20190312154134802"</f>
        <v>20190312154134802</v>
      </c>
      <c r="B9111" t="str">
        <f>"1552376494795406"</f>
        <v>1552376494795406</v>
      </c>
      <c r="C9111" t="s">
        <v>40</v>
      </c>
      <c r="D9111">
        <v>3.9687030000000001</v>
      </c>
      <c r="E9111">
        <v>0.48366110000000001</v>
      </c>
      <c r="F9111" t="s">
        <v>80</v>
      </c>
      <c r="G9111">
        <v>-157.3501</v>
      </c>
      <c r="H9111">
        <v>0.57760809999999996</v>
      </c>
      <c r="I9111">
        <v>-61.645240000000001</v>
      </c>
      <c r="J9111">
        <v>-238.38800000000001</v>
      </c>
      <c r="K9111">
        <v>1.1106879999999999</v>
      </c>
      <c r="L9111">
        <v>-62.450560000000003</v>
      </c>
      <c r="M9111">
        <v>0.99972439999999996</v>
      </c>
      <c r="N9111">
        <v>0</v>
      </c>
      <c r="O9111">
        <v>-1.8346990000000001E-2</v>
      </c>
      <c r="P9111">
        <v>0.99947799999999998</v>
      </c>
      <c r="Q9111">
        <v>-1.162676E-2</v>
      </c>
      <c r="R9111">
        <v>-3.0142309999999999E-2</v>
      </c>
      <c r="S9111">
        <v>3.0022739999999999</v>
      </c>
      <c r="T9111">
        <v>-1.9721389999999998E-2</v>
      </c>
      <c r="U9111">
        <v>2.972412E-2</v>
      </c>
      <c r="V9111">
        <v>1.179474E-2</v>
      </c>
      <c r="W9111">
        <v>3.0267829999999999E-3</v>
      </c>
      <c r="X9111">
        <v>0.99992590000000003</v>
      </c>
      <c r="Y9111">
        <v>-2.824544E-2</v>
      </c>
      <c r="Z9111">
        <v>2.1329070000000001E-4</v>
      </c>
      <c r="AA9111">
        <v>0.99960099999999996</v>
      </c>
      <c r="AB9111">
        <v>23</v>
      </c>
      <c r="AC9111">
        <v>81.037899999999993</v>
      </c>
      <c r="AD9111">
        <v>-0.53307989999999905</v>
      </c>
      <c r="AE9111">
        <v>0.80531999999999404</v>
      </c>
      <c r="AF9111">
        <v>-2.2920462823428398</v>
      </c>
      <c r="AG9111">
        <v>-0.53307989999999905</v>
      </c>
      <c r="AH9111">
        <v>81.005975020841007</v>
      </c>
      <c r="AI9111">
        <v>90.376892803352902</v>
      </c>
      <c r="AJ9111">
        <v>91.620739078836706</v>
      </c>
      <c r="AK9111">
        <v>81.040148318085599</v>
      </c>
      <c r="AL9111">
        <v>89.826577850978097</v>
      </c>
      <c r="AM9111">
        <v>89.324192439889003</v>
      </c>
      <c r="AN9111">
        <v>1.0000000413989001</v>
      </c>
    </row>
    <row r="9112" spans="1:40" x14ac:dyDescent="0.25">
      <c r="A9112" t="str">
        <f>"20190312154134812"</f>
        <v>20190312154134812</v>
      </c>
      <c r="B9112" t="str">
        <f>"1552376494805166"</f>
        <v>1552376494805166</v>
      </c>
      <c r="C9112" t="s">
        <v>40</v>
      </c>
      <c r="D9112">
        <v>3.9902139999999999</v>
      </c>
      <c r="E9112">
        <v>0.48287140000000001</v>
      </c>
      <c r="F9112" t="s">
        <v>80</v>
      </c>
      <c r="G9112">
        <v>-157.3501</v>
      </c>
      <c r="H9112">
        <v>0.56447080000000005</v>
      </c>
      <c r="I9112">
        <v>-61.385559999999998</v>
      </c>
      <c r="J9112">
        <v>-238.27250000000001</v>
      </c>
      <c r="K9112">
        <v>1.1106769999999999</v>
      </c>
      <c r="L9112">
        <v>-62.452300000000001</v>
      </c>
      <c r="M9112">
        <v>0.99973080000000003</v>
      </c>
      <c r="N9112">
        <v>0</v>
      </c>
      <c r="O9112">
        <v>-1.8006089999999999E-2</v>
      </c>
      <c r="P9112">
        <v>0.99949969999999999</v>
      </c>
      <c r="Q9112">
        <v>-1.1447300000000001E-2</v>
      </c>
      <c r="R9112">
        <v>-2.9489520000000002E-2</v>
      </c>
      <c r="S9112">
        <v>3.0025179999999998</v>
      </c>
      <c r="T9112">
        <v>-2.0238519999999999E-2</v>
      </c>
      <c r="U9112">
        <v>3.9459229999999998E-2</v>
      </c>
      <c r="V9112">
        <v>1.1482590000000001E-2</v>
      </c>
      <c r="W9112">
        <v>3.202735E-3</v>
      </c>
      <c r="X9112">
        <v>0.99992899999999996</v>
      </c>
      <c r="Y9112">
        <v>-3.1144129999999999E-2</v>
      </c>
      <c r="Z9112">
        <v>2.263334E-4</v>
      </c>
      <c r="AA9112">
        <v>0.99951489999999998</v>
      </c>
      <c r="AB9112">
        <v>23</v>
      </c>
      <c r="AC9112">
        <v>80.922399999999996</v>
      </c>
      <c r="AD9112">
        <v>-0.54620619999999998</v>
      </c>
      <c r="AE9112">
        <v>1.06674</v>
      </c>
      <c r="AF9112">
        <v>-2.5237040928462799</v>
      </c>
      <c r="AG9112">
        <v>-0.54620619999999998</v>
      </c>
      <c r="AH9112">
        <v>80.886383476951593</v>
      </c>
      <c r="AI9112">
        <v>90.386710496236006</v>
      </c>
      <c r="AJ9112">
        <v>91.787083234368694</v>
      </c>
      <c r="AK9112">
        <v>80.927587728423305</v>
      </c>
      <c r="AL9112">
        <v>89.816496498200607</v>
      </c>
      <c r="AM9112">
        <v>89.342078259346295</v>
      </c>
      <c r="AN9112">
        <v>1.00000005621279</v>
      </c>
    </row>
    <row r="9113" spans="1:40" x14ac:dyDescent="0.25">
      <c r="A9113" t="str">
        <f>"20190312154134823"</f>
        <v>20190312154134823</v>
      </c>
      <c r="B9113" t="str">
        <f>"1552376494814927"</f>
        <v>1552376494814927</v>
      </c>
      <c r="C9113" t="s">
        <v>40</v>
      </c>
      <c r="D9113">
        <v>3.9880360000000001</v>
      </c>
      <c r="E9113">
        <v>0.48237780000000002</v>
      </c>
      <c r="F9113" t="s">
        <v>80</v>
      </c>
      <c r="G9113">
        <v>-157.3501</v>
      </c>
      <c r="H9113">
        <v>0.56820769999999998</v>
      </c>
      <c r="I9113">
        <v>-61.163519999999998</v>
      </c>
      <c r="J9113">
        <v>-238.16399999999999</v>
      </c>
      <c r="K9113">
        <v>1.1106609999999999</v>
      </c>
      <c r="L9113">
        <v>-62.453890000000001</v>
      </c>
      <c r="M9113">
        <v>0.99973619999999996</v>
      </c>
      <c r="N9113">
        <v>0</v>
      </c>
      <c r="O9113">
        <v>-1.7698439999999999E-2</v>
      </c>
      <c r="P9113">
        <v>0.99951100000000004</v>
      </c>
      <c r="Q9113">
        <v>-1.1231400000000001E-2</v>
      </c>
      <c r="R9113">
        <v>-2.9182030000000001E-2</v>
      </c>
      <c r="S9113">
        <v>3.0026860000000002</v>
      </c>
      <c r="T9113">
        <v>-2.0129439999999998E-2</v>
      </c>
      <c r="U9113">
        <v>4.7821040000000002E-2</v>
      </c>
      <c r="V9113">
        <v>1.1482529999999999E-2</v>
      </c>
      <c r="W9113">
        <v>3.415403E-3</v>
      </c>
      <c r="X9113">
        <v>0.99992820000000004</v>
      </c>
      <c r="Y9113">
        <v>-3.3618519999999999E-2</v>
      </c>
      <c r="Z9113">
        <v>2.3132820000000001E-4</v>
      </c>
      <c r="AA9113">
        <v>0.99943470000000001</v>
      </c>
      <c r="AB9113">
        <v>23</v>
      </c>
      <c r="AC9113">
        <v>80.813900000000004</v>
      </c>
      <c r="AD9113">
        <v>-0.54245330000000003</v>
      </c>
      <c r="AE9113">
        <v>1.29037</v>
      </c>
      <c r="AF9113">
        <v>-2.7204785401682701</v>
      </c>
      <c r="AG9113">
        <v>-0.54245330000000003</v>
      </c>
      <c r="AH9113">
        <v>80.774760990394896</v>
      </c>
      <c r="AI9113">
        <v>90.384553358023894</v>
      </c>
      <c r="AJ9113">
        <v>91.928981776752195</v>
      </c>
      <c r="AK9113">
        <v>80.8223810100001</v>
      </c>
      <c r="AL9113">
        <v>89.804311434350197</v>
      </c>
      <c r="AM9113">
        <v>89.342081170557705</v>
      </c>
      <c r="AN9113">
        <v>0.99999995931404495</v>
      </c>
    </row>
    <row r="9114" spans="1:40" x14ac:dyDescent="0.25">
      <c r="A9114" t="str">
        <f>"20190312154134834"</f>
        <v>20190312154134834</v>
      </c>
      <c r="B9114" t="str">
        <f>"1552376494825663"</f>
        <v>1552376494825663</v>
      </c>
      <c r="C9114" t="s">
        <v>40</v>
      </c>
      <c r="D9114">
        <v>4.0028959999999998</v>
      </c>
      <c r="E9114">
        <v>0.48198229999999997</v>
      </c>
      <c r="F9114" t="s">
        <v>80</v>
      </c>
      <c r="G9114">
        <v>-157.3501</v>
      </c>
      <c r="H9114">
        <v>0.54186769999999995</v>
      </c>
      <c r="I9114">
        <v>-61.035449999999997</v>
      </c>
      <c r="J9114">
        <v>-238.05330000000001</v>
      </c>
      <c r="K9114">
        <v>1.110646</v>
      </c>
      <c r="L9114">
        <v>-62.455509999999997</v>
      </c>
      <c r="M9114">
        <v>0.99974169999999996</v>
      </c>
      <c r="N9114">
        <v>0</v>
      </c>
      <c r="O9114">
        <v>-1.7392709999999999E-2</v>
      </c>
      <c r="P9114">
        <v>0.99952319999999995</v>
      </c>
      <c r="Q9114">
        <v>-1.1011119999999999E-2</v>
      </c>
      <c r="R9114">
        <v>-2.8858169999999999E-2</v>
      </c>
      <c r="S9114">
        <v>3.0027620000000002</v>
      </c>
      <c r="T9114">
        <v>-2.1135089999999999E-2</v>
      </c>
      <c r="U9114">
        <v>5.2703859999999998E-2</v>
      </c>
      <c r="V9114">
        <v>1.146412E-2</v>
      </c>
      <c r="W9114">
        <v>3.632363E-3</v>
      </c>
      <c r="X9114">
        <v>0.99992769999999997</v>
      </c>
      <c r="Y9114">
        <v>-3.4937040000000003E-2</v>
      </c>
      <c r="Z9114">
        <v>2.4536380000000002E-4</v>
      </c>
      <c r="AA9114">
        <v>0.99938950000000004</v>
      </c>
      <c r="AB9114">
        <v>23</v>
      </c>
      <c r="AC9114">
        <v>80.703199999999995</v>
      </c>
      <c r="AD9114">
        <v>-0.56877829999999996</v>
      </c>
      <c r="AE9114">
        <v>1.4200599999999901</v>
      </c>
      <c r="AF9114">
        <v>-2.82350253281421</v>
      </c>
      <c r="AG9114">
        <v>-0.56877829999999996</v>
      </c>
      <c r="AH9114">
        <v>80.662283161157603</v>
      </c>
      <c r="AI9114">
        <v>90.403758844054394</v>
      </c>
      <c r="AJ9114">
        <v>92.004762915660095</v>
      </c>
      <c r="AK9114">
        <v>80.713689050111697</v>
      </c>
      <c r="AL9114">
        <v>89.791880475418196</v>
      </c>
      <c r="AM9114">
        <v>89.343135594308094</v>
      </c>
      <c r="AN9114">
        <v>1.0000000126678099</v>
      </c>
    </row>
    <row r="9115" spans="1:40" x14ac:dyDescent="0.25">
      <c r="A9115" t="str">
        <f>"20190312154134846"</f>
        <v>20190312154134846</v>
      </c>
      <c r="B9115" t="str">
        <f>"1552376494835422"</f>
        <v>1552376494835422</v>
      </c>
      <c r="C9115" t="s">
        <v>40</v>
      </c>
      <c r="D9115">
        <v>3.981668</v>
      </c>
      <c r="E9115">
        <v>0.48182239999999998</v>
      </c>
      <c r="F9115" t="s">
        <v>80</v>
      </c>
      <c r="G9115">
        <v>-157.3501</v>
      </c>
      <c r="H9115">
        <v>0.54779429999999996</v>
      </c>
      <c r="I9115">
        <v>-60.927509999999998</v>
      </c>
      <c r="J9115">
        <v>-237.94200000000001</v>
      </c>
      <c r="K9115">
        <v>1.1106309999999999</v>
      </c>
      <c r="L9115">
        <v>-62.457090000000001</v>
      </c>
      <c r="M9115">
        <v>0.99974669999999999</v>
      </c>
      <c r="N9115">
        <v>0</v>
      </c>
      <c r="O9115">
        <v>-1.7104279999999999E-2</v>
      </c>
      <c r="P9115">
        <v>0.99953899999999996</v>
      </c>
      <c r="Q9115">
        <v>-1.0750330000000001E-2</v>
      </c>
      <c r="R9115">
        <v>-2.8397100000000002E-2</v>
      </c>
      <c r="S9115">
        <v>3.0028380000000001</v>
      </c>
      <c r="T9115">
        <v>-2.094352E-2</v>
      </c>
      <c r="U9115">
        <v>5.6854250000000002E-2</v>
      </c>
      <c r="V9115">
        <v>1.129141E-2</v>
      </c>
      <c r="W9115">
        <v>3.889853E-3</v>
      </c>
      <c r="X9115">
        <v>0.9999287</v>
      </c>
      <c r="Y9115">
        <v>-3.6029100000000001E-2</v>
      </c>
      <c r="Z9115">
        <v>2.4492729999999997E-4</v>
      </c>
      <c r="AA9115">
        <v>0.99935070000000004</v>
      </c>
      <c r="AB9115">
        <v>23</v>
      </c>
      <c r="AC9115">
        <v>80.591899999999995</v>
      </c>
      <c r="AD9115">
        <v>-0.56283669999999897</v>
      </c>
      <c r="AE9115">
        <v>1.5295799999999999</v>
      </c>
      <c r="AF9115">
        <v>-2.9078283470009501</v>
      </c>
      <c r="AG9115">
        <v>-0.56283669999999897</v>
      </c>
      <c r="AH9115">
        <v>80.550015337809199</v>
      </c>
      <c r="AI9115">
        <v>90.400082500076493</v>
      </c>
      <c r="AJ9115">
        <v>92.067460505074393</v>
      </c>
      <c r="AK9115">
        <v>80.604449143752504</v>
      </c>
      <c r="AL9115">
        <v>89.777127281688706</v>
      </c>
      <c r="AM9115">
        <v>89.353031229697507</v>
      </c>
      <c r="AN9115">
        <v>1.0000000159899101</v>
      </c>
    </row>
    <row r="9116" spans="1:40" x14ac:dyDescent="0.25">
      <c r="A9116" t="str">
        <f>"20190312154134856"</f>
        <v>20190312154134856</v>
      </c>
      <c r="B9116" t="str">
        <f>"1552376494845182"</f>
        <v>1552376494845182</v>
      </c>
      <c r="C9116" t="s">
        <v>40</v>
      </c>
      <c r="D9116">
        <v>3.9992450000000002</v>
      </c>
      <c r="E9116">
        <v>0.48167850000000001</v>
      </c>
      <c r="F9116" t="s">
        <v>80</v>
      </c>
      <c r="G9116">
        <v>-157.3501</v>
      </c>
      <c r="H9116">
        <v>0.56116529999999998</v>
      </c>
      <c r="I9116">
        <v>-60.860750000000003</v>
      </c>
      <c r="J9116">
        <v>-237.82759999999999</v>
      </c>
      <c r="K9116">
        <v>1.1106130000000001</v>
      </c>
      <c r="L9116">
        <v>-62.458710000000004</v>
      </c>
      <c r="M9116">
        <v>0.99975170000000002</v>
      </c>
      <c r="N9116">
        <v>0</v>
      </c>
      <c r="O9116">
        <v>-1.6813359999999999E-2</v>
      </c>
      <c r="P9116">
        <v>0.9995501</v>
      </c>
      <c r="Q9116">
        <v>-1.0436040000000001E-2</v>
      </c>
      <c r="R9116">
        <v>-2.8130700000000002E-2</v>
      </c>
      <c r="S9116">
        <v>3.0028229999999998</v>
      </c>
      <c r="T9116">
        <v>-2.0473600000000002E-2</v>
      </c>
      <c r="U9116">
        <v>5.9478759999999999E-2</v>
      </c>
      <c r="V9116">
        <v>1.13156E-2</v>
      </c>
      <c r="W9116">
        <v>4.2007479999999998E-3</v>
      </c>
      <c r="X9116">
        <v>0.99992720000000002</v>
      </c>
      <c r="Y9116">
        <v>-3.661155E-2</v>
      </c>
      <c r="Z9116">
        <v>2.394331E-4</v>
      </c>
      <c r="AA9116">
        <v>0.99932960000000004</v>
      </c>
      <c r="AB9116">
        <v>23</v>
      </c>
      <c r="AC9116">
        <v>80.477499999999907</v>
      </c>
      <c r="AD9116">
        <v>-0.54944769999999898</v>
      </c>
      <c r="AE9116">
        <v>1.5979599999999901</v>
      </c>
      <c r="AF9116">
        <v>-2.9508384626496502</v>
      </c>
      <c r="AG9116">
        <v>-0.54944769999999898</v>
      </c>
      <c r="AH9116">
        <v>80.435503923489307</v>
      </c>
      <c r="AI9116">
        <v>90.391113142091498</v>
      </c>
      <c r="AJ9116">
        <v>92.100997634545493</v>
      </c>
      <c r="AK9116">
        <v>80.491487946449098</v>
      </c>
      <c r="AL9116">
        <v>89.759314172288796</v>
      </c>
      <c r="AM9116">
        <v>89.351644350545101</v>
      </c>
      <c r="AN9116">
        <v>1.00000004719347</v>
      </c>
    </row>
    <row r="9117" spans="1:40" x14ac:dyDescent="0.25">
      <c r="A9117" t="str">
        <f>"20190312154134868"</f>
        <v>20190312154134868</v>
      </c>
      <c r="B9117" t="str">
        <f>"1552376494854943"</f>
        <v>1552376494854943</v>
      </c>
      <c r="C9117" t="s">
        <v>40</v>
      </c>
      <c r="D9117">
        <v>4.0086130000000004</v>
      </c>
      <c r="E9117">
        <v>0.4815142</v>
      </c>
      <c r="F9117" t="s">
        <v>80</v>
      </c>
      <c r="G9117">
        <v>-157.3501</v>
      </c>
      <c r="H9117">
        <v>0.55112410000000001</v>
      </c>
      <c r="I9117">
        <v>-60.810670000000002</v>
      </c>
      <c r="J9117">
        <v>-237.71279999999999</v>
      </c>
      <c r="K9117">
        <v>1.1105940000000001</v>
      </c>
      <c r="L9117">
        <v>-62.460329999999999</v>
      </c>
      <c r="M9117">
        <v>0.99975610000000004</v>
      </c>
      <c r="N9117">
        <v>0</v>
      </c>
      <c r="O9117">
        <v>-1.654833E-2</v>
      </c>
      <c r="P9117">
        <v>0.99955510000000003</v>
      </c>
      <c r="Q9117">
        <v>-1.0353909999999999E-2</v>
      </c>
      <c r="R9117">
        <v>-2.7973580000000001E-2</v>
      </c>
      <c r="S9117">
        <v>3.002853</v>
      </c>
      <c r="T9117">
        <v>-2.087688E-2</v>
      </c>
      <c r="U9117">
        <v>6.149292E-2</v>
      </c>
      <c r="V9117">
        <v>1.1423829999999999E-2</v>
      </c>
      <c r="W9117">
        <v>4.2799029999999998E-3</v>
      </c>
      <c r="X9117">
        <v>0.99992559999999997</v>
      </c>
      <c r="Y9117">
        <v>-3.701641E-2</v>
      </c>
      <c r="Z9117">
        <v>2.4371000000000001E-4</v>
      </c>
      <c r="AA9117">
        <v>0.99931460000000005</v>
      </c>
      <c r="AB9117">
        <v>23</v>
      </c>
      <c r="AC9117">
        <v>80.362699999999904</v>
      </c>
      <c r="AD9117">
        <v>-0.55946989999999996</v>
      </c>
      <c r="AE9117">
        <v>1.6496600000000099</v>
      </c>
      <c r="AF9117">
        <v>-2.97930044951721</v>
      </c>
      <c r="AG9117">
        <v>-0.55946989999999996</v>
      </c>
      <c r="AH9117">
        <v>80.320500064356295</v>
      </c>
      <c r="AI9117">
        <v>90.398811231855404</v>
      </c>
      <c r="AJ9117">
        <v>92.124278593349899</v>
      </c>
      <c r="AK9117">
        <v>80.377683272944395</v>
      </c>
      <c r="AL9117">
        <v>89.754778876038301</v>
      </c>
      <c r="AM9117">
        <v>89.345442531275907</v>
      </c>
      <c r="AN9117">
        <v>1.0000000134984499</v>
      </c>
    </row>
    <row r="9118" spans="1:40" x14ac:dyDescent="0.25">
      <c r="A9118" t="str">
        <f>"20190312154134881"</f>
        <v>20190312154134881</v>
      </c>
      <c r="B9118" t="str">
        <f>"1552376494875439"</f>
        <v>1552376494875439</v>
      </c>
      <c r="C9118" t="s">
        <v>40</v>
      </c>
      <c r="D9118">
        <v>4.0061280000000004</v>
      </c>
      <c r="E9118">
        <v>0.48134719999999998</v>
      </c>
      <c r="F9118" t="s">
        <v>80</v>
      </c>
      <c r="G9118">
        <v>-157.3501</v>
      </c>
      <c r="H9118">
        <v>0.52618500000000001</v>
      </c>
      <c r="I9118">
        <v>-60.767290000000003</v>
      </c>
      <c r="J9118">
        <v>-237.59059999999999</v>
      </c>
      <c r="K9118">
        <v>1.1105659999999999</v>
      </c>
      <c r="L9118">
        <v>-62.462040000000002</v>
      </c>
      <c r="M9118">
        <v>0.99976069999999995</v>
      </c>
      <c r="N9118">
        <v>0</v>
      </c>
      <c r="O9118">
        <v>-1.6275350000000001E-2</v>
      </c>
      <c r="P9118">
        <v>0.99956489999999998</v>
      </c>
      <c r="Q9118">
        <v>-1.047558E-2</v>
      </c>
      <c r="R9118">
        <v>-2.7579739999999998E-2</v>
      </c>
      <c r="S9118">
        <v>3.0028839999999999</v>
      </c>
      <c r="T9118">
        <v>-2.1838070000000001E-2</v>
      </c>
      <c r="U9118">
        <v>6.3262940000000004E-2</v>
      </c>
      <c r="V9118">
        <v>1.130305E-2</v>
      </c>
      <c r="W9118">
        <v>4.1540199999999996E-3</v>
      </c>
      <c r="X9118">
        <v>0.99992749999999997</v>
      </c>
      <c r="Y9118">
        <v>-3.7331990000000002E-2</v>
      </c>
      <c r="Z9118">
        <v>2.5408849999999998E-4</v>
      </c>
      <c r="AA9118">
        <v>0.99930289999999999</v>
      </c>
      <c r="AB9118">
        <v>23</v>
      </c>
      <c r="AC9118">
        <v>80.240499999999997</v>
      </c>
      <c r="AD9118">
        <v>-0.58438099999999904</v>
      </c>
      <c r="AE9118">
        <v>1.69474999999999</v>
      </c>
      <c r="AF9118">
        <v>-3.0004481602452602</v>
      </c>
      <c r="AG9118">
        <v>-0.58438099999999904</v>
      </c>
      <c r="AH9118">
        <v>80.198032274212494</v>
      </c>
      <c r="AI9118">
        <v>90.417199324036204</v>
      </c>
      <c r="AJ9118">
        <v>92.142607093322994</v>
      </c>
      <c r="AK9118">
        <v>80.256268110167596</v>
      </c>
      <c r="AL9118">
        <v>89.761991503865303</v>
      </c>
      <c r="AM9118">
        <v>89.352363567241099</v>
      </c>
      <c r="AN9118">
        <v>1.00000001003885</v>
      </c>
    </row>
    <row r="9119" spans="1:40" x14ac:dyDescent="0.25">
      <c r="A9119" t="str">
        <f>"20190312154134892"</f>
        <v>20190312154134892</v>
      </c>
      <c r="B9119" t="str">
        <f>"1552376494885199"</f>
        <v>1552376494885199</v>
      </c>
      <c r="C9119" t="s">
        <v>40</v>
      </c>
      <c r="D9119">
        <v>4.0452750000000002</v>
      </c>
      <c r="E9119">
        <v>0.48131780000000002</v>
      </c>
      <c r="F9119" t="s">
        <v>80</v>
      </c>
      <c r="G9119">
        <v>-157.3501</v>
      </c>
      <c r="H9119">
        <v>0.45134829999999998</v>
      </c>
      <c r="I9119">
        <v>-60.702240000000003</v>
      </c>
      <c r="J9119">
        <v>-237.46889999999999</v>
      </c>
      <c r="K9119">
        <v>1.110541</v>
      </c>
      <c r="L9119">
        <v>-62.463679999999997</v>
      </c>
      <c r="M9119">
        <v>0.99976480000000001</v>
      </c>
      <c r="N9119">
        <v>0</v>
      </c>
      <c r="O9119">
        <v>-1.6026820000000001E-2</v>
      </c>
      <c r="P9119">
        <v>0.99957560000000001</v>
      </c>
      <c r="Q9119">
        <v>-1.035906E-2</v>
      </c>
      <c r="R9119">
        <v>-2.72348E-2</v>
      </c>
      <c r="S9119">
        <v>3.002853</v>
      </c>
      <c r="T9119">
        <v>-2.467072E-2</v>
      </c>
      <c r="U9119">
        <v>6.5856929999999994E-2</v>
      </c>
      <c r="V9119">
        <v>1.1206860000000001E-2</v>
      </c>
      <c r="W9119">
        <v>4.267028E-3</v>
      </c>
      <c r="X9119">
        <v>0.99992809999999999</v>
      </c>
      <c r="Y9119">
        <v>-3.7946220000000003E-2</v>
      </c>
      <c r="Z9119">
        <v>2.875272E-4</v>
      </c>
      <c r="AA9119">
        <v>0.99927969999999999</v>
      </c>
      <c r="AB9119">
        <v>23</v>
      </c>
      <c r="AC9119">
        <v>80.118799999999993</v>
      </c>
      <c r="AD9119">
        <v>-0.65919269999999996</v>
      </c>
      <c r="AE9119">
        <v>1.7614399999999999</v>
      </c>
      <c r="AF9119">
        <v>-3.04519434311656</v>
      </c>
      <c r="AG9119">
        <v>-0.65919269999999996</v>
      </c>
      <c r="AH9119">
        <v>80.074856190264796</v>
      </c>
      <c r="AI9119">
        <v>90.471319317311298</v>
      </c>
      <c r="AJ9119">
        <v>92.177871476969202</v>
      </c>
      <c r="AK9119">
        <v>80.135449942548405</v>
      </c>
      <c r="AL9119">
        <v>89.755516563408904</v>
      </c>
      <c r="AM9119">
        <v>89.357874934936305</v>
      </c>
      <c r="AN9119">
        <v>1.0000000032043099</v>
      </c>
    </row>
    <row r="9120" spans="1:40" x14ac:dyDescent="0.25">
      <c r="A9120" t="str">
        <f>"20190312154134904"</f>
        <v>20190312154134904</v>
      </c>
      <c r="B9120" t="str">
        <f>"1552376494894959"</f>
        <v>1552376494894959</v>
      </c>
      <c r="C9120" t="s">
        <v>40</v>
      </c>
      <c r="D9120">
        <v>4.0022129999999896</v>
      </c>
      <c r="E9120">
        <v>0.48129880000000003</v>
      </c>
      <c r="F9120" t="s">
        <v>80</v>
      </c>
      <c r="G9120">
        <v>-157.3501</v>
      </c>
      <c r="H9120">
        <v>0.43819809999999998</v>
      </c>
      <c r="I9120">
        <v>-60.67315</v>
      </c>
      <c r="J9120">
        <v>-237.35769999999999</v>
      </c>
      <c r="K9120">
        <v>1.11052</v>
      </c>
      <c r="L9120">
        <v>-62.465240000000001</v>
      </c>
      <c r="M9120">
        <v>0.9997682</v>
      </c>
      <c r="N9120">
        <v>0</v>
      </c>
      <c r="O9120">
        <v>-1.5814870000000002E-2</v>
      </c>
      <c r="P9120">
        <v>0.99957850000000004</v>
      </c>
      <c r="Q9120">
        <v>-1.057372E-2</v>
      </c>
      <c r="R9120">
        <v>-2.704258E-2</v>
      </c>
      <c r="S9120">
        <v>3.0028229999999998</v>
      </c>
      <c r="T9120">
        <v>-2.5199889999999999E-2</v>
      </c>
      <c r="U9120">
        <v>6.7108150000000005E-2</v>
      </c>
      <c r="V9120">
        <v>1.122678E-2</v>
      </c>
      <c r="W9120">
        <v>4.0486389999999997E-3</v>
      </c>
      <c r="X9120">
        <v>0.99992879999999995</v>
      </c>
      <c r="Y9120">
        <v>-3.8150690000000001E-2</v>
      </c>
      <c r="Z9120">
        <v>2.9277520000000002E-4</v>
      </c>
      <c r="AA9120">
        <v>0.99927189999999999</v>
      </c>
      <c r="AB9120">
        <v>23</v>
      </c>
      <c r="AC9120">
        <v>80.007599999999996</v>
      </c>
      <c r="AD9120">
        <v>-0.67232190000000003</v>
      </c>
      <c r="AE9120">
        <v>1.79209</v>
      </c>
      <c r="AF9120">
        <v>-3.0570949082281502</v>
      </c>
      <c r="AG9120">
        <v>-0.67232190000000003</v>
      </c>
      <c r="AH9120">
        <v>79.963603453540799</v>
      </c>
      <c r="AI9120">
        <v>90.481371264177696</v>
      </c>
      <c r="AJ9120">
        <v>92.189413243297395</v>
      </c>
      <c r="AK9120">
        <v>80.024844412783693</v>
      </c>
      <c r="AL9120">
        <v>89.768029443108901</v>
      </c>
      <c r="AM9120">
        <v>89.356734114833301</v>
      </c>
      <c r="AN9120">
        <v>1.0000000185681801</v>
      </c>
    </row>
    <row r="9121" spans="1:40" x14ac:dyDescent="0.25">
      <c r="A9121" t="str">
        <f>"20190312154134914"</f>
        <v>20190312154134914</v>
      </c>
      <c r="B9121" t="str">
        <f>"1552376494905695"</f>
        <v>1552376494905695</v>
      </c>
      <c r="C9121" t="s">
        <v>40</v>
      </c>
      <c r="D9121">
        <v>4.0214660000000002</v>
      </c>
      <c r="E9121">
        <v>0.48133619999999999</v>
      </c>
      <c r="F9121" t="s">
        <v>80</v>
      </c>
      <c r="G9121">
        <v>-157.3501</v>
      </c>
      <c r="H9121">
        <v>0.39952799999999999</v>
      </c>
      <c r="I9121">
        <v>-60.656880000000001</v>
      </c>
      <c r="J9121">
        <v>-237.2491</v>
      </c>
      <c r="K9121">
        <v>1.1104959999999999</v>
      </c>
      <c r="L9121">
        <v>-62.466709999999999</v>
      </c>
      <c r="M9121">
        <v>0.99977139999999998</v>
      </c>
      <c r="N9121">
        <v>0</v>
      </c>
      <c r="O9121">
        <v>-1.5619829999999999E-2</v>
      </c>
      <c r="P9121">
        <v>0.99958959999999997</v>
      </c>
      <c r="Q9121">
        <v>-1.066951E-2</v>
      </c>
      <c r="R9121">
        <v>-2.659473E-2</v>
      </c>
      <c r="S9121">
        <v>3.0028380000000001</v>
      </c>
      <c r="T9121">
        <v>-2.66856E-2</v>
      </c>
      <c r="U9121">
        <v>6.7871089999999995E-2</v>
      </c>
      <c r="V9121">
        <v>1.0974319999999999E-2</v>
      </c>
      <c r="W9121">
        <v>3.949457E-3</v>
      </c>
      <c r="X9121">
        <v>0.99993200000000004</v>
      </c>
      <c r="Y9121">
        <v>-3.8209170000000001E-2</v>
      </c>
      <c r="Z9121">
        <v>3.0855980000000003E-4</v>
      </c>
      <c r="AA9121">
        <v>0.99926970000000004</v>
      </c>
      <c r="AB9121">
        <v>23</v>
      </c>
      <c r="AC9121">
        <v>79.899000000000001</v>
      </c>
      <c r="AD9121">
        <v>-0.71096799999999905</v>
      </c>
      <c r="AE9121">
        <v>1.8098299999999901</v>
      </c>
      <c r="AF9121">
        <v>-3.0575090252482902</v>
      </c>
      <c r="AG9121">
        <v>-0.71096799999999905</v>
      </c>
      <c r="AH9121">
        <v>79.854658556607205</v>
      </c>
      <c r="AI9121">
        <v>90.509733135155699</v>
      </c>
      <c r="AJ9121">
        <v>92.192694019041596</v>
      </c>
      <c r="AK9121">
        <v>79.916333312589003</v>
      </c>
      <c r="AL9121">
        <v>89.773712198608095</v>
      </c>
      <c r="AM9121">
        <v>89.371200266809794</v>
      </c>
      <c r="AN9121">
        <v>1.00000001926702</v>
      </c>
    </row>
    <row r="9122" spans="1:40" x14ac:dyDescent="0.25">
      <c r="A9122" t="str">
        <f>"20190312154134925"</f>
        <v>20190312154134925</v>
      </c>
      <c r="B9122" t="str">
        <f>"1552376494915455"</f>
        <v>1552376494915455</v>
      </c>
      <c r="C9122" t="s">
        <v>40</v>
      </c>
      <c r="D9122">
        <v>4.0486149999999999</v>
      </c>
      <c r="E9122">
        <v>0.48129470000000002</v>
      </c>
      <c r="F9122" t="s">
        <v>80</v>
      </c>
      <c r="G9122">
        <v>-157.3501</v>
      </c>
      <c r="H9122">
        <v>0.36896990000000002</v>
      </c>
      <c r="I9122">
        <v>-60.632350000000002</v>
      </c>
      <c r="J9122">
        <v>-237.14240000000001</v>
      </c>
      <c r="K9122">
        <v>1.1104750000000001</v>
      </c>
      <c r="L9122">
        <v>-62.468169999999901</v>
      </c>
      <c r="M9122">
        <v>0.99977400000000005</v>
      </c>
      <c r="N9122">
        <v>0</v>
      </c>
      <c r="O9122">
        <v>-1.544829E-2</v>
      </c>
      <c r="P9122">
        <v>0.99960110000000002</v>
      </c>
      <c r="Q9122">
        <v>-1.0896110000000001E-2</v>
      </c>
      <c r="R9122">
        <v>-2.6067420000000001E-2</v>
      </c>
      <c r="S9122">
        <v>3.0027919999999999</v>
      </c>
      <c r="T9122">
        <v>-2.786899E-2</v>
      </c>
      <c r="U9122">
        <v>6.8939210000000001E-2</v>
      </c>
      <c r="V9122">
        <v>1.061843E-2</v>
      </c>
      <c r="W9122">
        <v>3.7196239999999999E-3</v>
      </c>
      <c r="X9122">
        <v>0.99993670000000001</v>
      </c>
      <c r="Y9122">
        <v>-3.8393129999999998E-2</v>
      </c>
      <c r="Z9122">
        <v>3.2150780000000001E-4</v>
      </c>
      <c r="AA9122">
        <v>0.9992626</v>
      </c>
      <c r="AB9122">
        <v>23</v>
      </c>
      <c r="AC9122">
        <v>79.792299999999997</v>
      </c>
      <c r="AD9122">
        <v>-0.74150510000000003</v>
      </c>
      <c r="AE9122">
        <v>1.83581999999999</v>
      </c>
      <c r="AF9122">
        <v>-3.0681221356388302</v>
      </c>
      <c r="AG9122">
        <v>-0.74150510000000003</v>
      </c>
      <c r="AH9122">
        <v>79.747529639811702</v>
      </c>
      <c r="AI9122">
        <v>90.532336031595705</v>
      </c>
      <c r="AJ9122">
        <v>92.203250609141904</v>
      </c>
      <c r="AK9122">
        <v>79.809972352489694</v>
      </c>
      <c r="AL9122">
        <v>89.7868807509889</v>
      </c>
      <c r="AM9122">
        <v>89.3915931307222</v>
      </c>
      <c r="AN9122">
        <v>0.99999999533262796</v>
      </c>
    </row>
    <row r="9123" spans="1:40" x14ac:dyDescent="0.25">
      <c r="A9123" t="str">
        <f>"20190312154134934"</f>
        <v>20190312154134934</v>
      </c>
      <c r="B9123" t="str">
        <f>"1552376494925216"</f>
        <v>1552376494925216</v>
      </c>
      <c r="C9123" t="s">
        <v>40</v>
      </c>
      <c r="D9123">
        <v>4.0315919999999998</v>
      </c>
      <c r="E9123">
        <v>0.48136109999999999</v>
      </c>
      <c r="F9123" t="s">
        <v>80</v>
      </c>
      <c r="G9123">
        <v>-157.3501</v>
      </c>
      <c r="H9123">
        <v>0.33458189999999999</v>
      </c>
      <c r="I9123">
        <v>-60.583519999999901</v>
      </c>
      <c r="J9123">
        <v>-237.03659999999999</v>
      </c>
      <c r="K9123">
        <v>1.1104529999999999</v>
      </c>
      <c r="L9123">
        <v>-62.4696</v>
      </c>
      <c r="M9123">
        <v>0.99977660000000002</v>
      </c>
      <c r="N9123">
        <v>0</v>
      </c>
      <c r="O9123">
        <v>-1.52864E-2</v>
      </c>
      <c r="P9123">
        <v>0.99960649999999995</v>
      </c>
      <c r="Q9123">
        <v>-1.08097E-2</v>
      </c>
      <c r="R9123">
        <v>-2.589031E-2</v>
      </c>
      <c r="S9123">
        <v>3.0027309999999998</v>
      </c>
      <c r="T9123">
        <v>-2.9198999999999999E-2</v>
      </c>
      <c r="U9123">
        <v>7.0922849999999996E-2</v>
      </c>
      <c r="V9123">
        <v>1.060356E-2</v>
      </c>
      <c r="W9123">
        <v>3.802592E-3</v>
      </c>
      <c r="X9123">
        <v>0.99993650000000001</v>
      </c>
      <c r="Y9123">
        <v>-3.8891299999999997E-2</v>
      </c>
      <c r="Z9123">
        <v>3.3770270000000002E-4</v>
      </c>
      <c r="AA9123">
        <v>0.9992434</v>
      </c>
      <c r="AB9123">
        <v>23</v>
      </c>
      <c r="AC9123">
        <v>79.686499999999995</v>
      </c>
      <c r="AD9123">
        <v>-0.77587109999999904</v>
      </c>
      <c r="AE9123">
        <v>1.88608</v>
      </c>
      <c r="AF9123">
        <v>-3.1038150088202898</v>
      </c>
      <c r="AG9123">
        <v>-0.77587109999999904</v>
      </c>
      <c r="AH9123">
        <v>79.640806949482894</v>
      </c>
      <c r="AI9123">
        <v>90.557741897491596</v>
      </c>
      <c r="AJ9123">
        <v>92.231840094073206</v>
      </c>
      <c r="AK9123">
        <v>79.705042344494004</v>
      </c>
      <c r="AL9123">
        <v>89.782126991146001</v>
      </c>
      <c r="AM9123">
        <v>89.392444955452703</v>
      </c>
      <c r="AN9123">
        <v>0.99999994961141903</v>
      </c>
    </row>
    <row r="9124" spans="1:40" x14ac:dyDescent="0.25">
      <c r="A9124" t="str">
        <f>"20190312154134946"</f>
        <v>20190312154134946</v>
      </c>
      <c r="B9124" t="str">
        <f>"1552376494934975"</f>
        <v>1552376494934975</v>
      </c>
      <c r="C9124" t="s">
        <v>40</v>
      </c>
      <c r="D9124">
        <v>4.0140669999999998</v>
      </c>
      <c r="E9124">
        <v>0.48136770000000001</v>
      </c>
      <c r="F9124" t="s">
        <v>80</v>
      </c>
      <c r="G9124">
        <v>-157.3501</v>
      </c>
      <c r="H9124">
        <v>0.30670599999999998</v>
      </c>
      <c r="I9124">
        <v>-60.587429999999998</v>
      </c>
      <c r="J9124">
        <v>-236.92359999999999</v>
      </c>
      <c r="K9124">
        <v>1.110428</v>
      </c>
      <c r="L9124">
        <v>-62.471130000000002</v>
      </c>
      <c r="M9124">
        <v>0.99977879999999997</v>
      </c>
      <c r="N9124">
        <v>0</v>
      </c>
      <c r="O9124">
        <v>-1.514004E-2</v>
      </c>
      <c r="P9124">
        <v>0.99962759999999995</v>
      </c>
      <c r="Q9124">
        <v>-1.049045E-2</v>
      </c>
      <c r="R9124">
        <v>-2.519387E-2</v>
      </c>
      <c r="S9124">
        <v>3.0027010000000001</v>
      </c>
      <c r="T9124">
        <v>-3.028703E-2</v>
      </c>
      <c r="U9124">
        <v>7.0922849999999996E-2</v>
      </c>
      <c r="V9124">
        <v>1.0053390000000001E-2</v>
      </c>
      <c r="W9124">
        <v>4.1182559999999998E-3</v>
      </c>
      <c r="X9124">
        <v>0.99994099999999997</v>
      </c>
      <c r="Y9124">
        <v>-3.8745090000000003E-2</v>
      </c>
      <c r="Z9124">
        <v>3.4807579999999999E-4</v>
      </c>
      <c r="AA9124">
        <v>0.99924900000000005</v>
      </c>
      <c r="AB9124">
        <v>23</v>
      </c>
      <c r="AC9124">
        <v>79.573499999999996</v>
      </c>
      <c r="AD9124">
        <v>-0.80372200000000005</v>
      </c>
      <c r="AE9124">
        <v>1.8836999999999899</v>
      </c>
      <c r="AF9124">
        <v>-3.0880435692279899</v>
      </c>
      <c r="AG9124">
        <v>-0.80372200000000005</v>
      </c>
      <c r="AH9124">
        <v>79.527746568797497</v>
      </c>
      <c r="AI9124">
        <v>90.578585961484706</v>
      </c>
      <c r="AJ9124">
        <v>92.223664424316198</v>
      </c>
      <c r="AK9124">
        <v>79.591736106518098</v>
      </c>
      <c r="AL9124">
        <v>89.764040649293307</v>
      </c>
      <c r="AM9124">
        <v>89.423968604593199</v>
      </c>
      <c r="AN9124">
        <v>1.0000000170819801</v>
      </c>
    </row>
    <row r="9125" spans="1:40" x14ac:dyDescent="0.25">
      <c r="A9125" t="str">
        <f>"20190312154134957"</f>
        <v>20190312154134957</v>
      </c>
      <c r="B9125" t="str">
        <f>"1552376494945711"</f>
        <v>1552376494945711</v>
      </c>
      <c r="C9125" t="s">
        <v>40</v>
      </c>
      <c r="D9125">
        <v>4.0672449999999998</v>
      </c>
      <c r="E9125">
        <v>0.48142119999999999</v>
      </c>
      <c r="F9125" t="s">
        <v>80</v>
      </c>
      <c r="G9125">
        <v>-157.3501</v>
      </c>
      <c r="H9125">
        <v>0.30751040000000002</v>
      </c>
      <c r="I9125">
        <v>-60.537390000000002</v>
      </c>
      <c r="J9125">
        <v>-236.8125</v>
      </c>
      <c r="K9125">
        <v>1.110406</v>
      </c>
      <c r="L9125">
        <v>-62.472659999999998</v>
      </c>
      <c r="M9125">
        <v>0.99978100000000003</v>
      </c>
      <c r="N9125">
        <v>0</v>
      </c>
      <c r="O9125">
        <v>-1.500286E-2</v>
      </c>
      <c r="P9125">
        <v>0.99964459999999999</v>
      </c>
      <c r="Q9125">
        <v>-1.0253389999999999E-2</v>
      </c>
      <c r="R9125">
        <v>-2.46105E-2</v>
      </c>
      <c r="S9125">
        <v>3.0026250000000001</v>
      </c>
      <c r="T9125">
        <v>-3.029799E-2</v>
      </c>
      <c r="U9125">
        <v>7.2967530000000003E-2</v>
      </c>
      <c r="V9125">
        <v>9.6071939999999995E-3</v>
      </c>
      <c r="W9125">
        <v>4.3514269999999997E-3</v>
      </c>
      <c r="X9125">
        <v>0.99994439999999996</v>
      </c>
      <c r="Y9125">
        <v>-3.9288610000000002E-2</v>
      </c>
      <c r="Z9125">
        <v>3.4956560000000002E-4</v>
      </c>
      <c r="AA9125">
        <v>0.9992278</v>
      </c>
      <c r="AB9125">
        <v>23</v>
      </c>
      <c r="AC9125">
        <v>79.462400000000002</v>
      </c>
      <c r="AD9125">
        <v>-0.80289560000000004</v>
      </c>
      <c r="AE9125">
        <v>1.9352699999999901</v>
      </c>
      <c r="AF9125">
        <v>-3.1270232517527301</v>
      </c>
      <c r="AG9125">
        <v>-0.80289560000000004</v>
      </c>
      <c r="AH9125">
        <v>79.416313965850804</v>
      </c>
      <c r="AI9125">
        <v>90.578789718588695</v>
      </c>
      <c r="AJ9125">
        <v>92.254860739283004</v>
      </c>
      <c r="AK9125">
        <v>79.481908882990993</v>
      </c>
      <c r="AL9125">
        <v>89.750680815740907</v>
      </c>
      <c r="AM9125">
        <v>89.449534661137506</v>
      </c>
      <c r="AN9125">
        <v>1.00000001809242</v>
      </c>
    </row>
    <row r="9126" spans="1:40" x14ac:dyDescent="0.25">
      <c r="A9126" t="str">
        <f>"20190312154134969"</f>
        <v>20190312154134969</v>
      </c>
      <c r="B9126" t="str">
        <f>"1552376494955471"</f>
        <v>1552376494955471</v>
      </c>
      <c r="C9126" t="s">
        <v>40</v>
      </c>
      <c r="D9126">
        <v>4.0760389999999997</v>
      </c>
      <c r="E9126">
        <v>0.48147410000000002</v>
      </c>
      <c r="F9126" t="s">
        <v>80</v>
      </c>
      <c r="G9126">
        <v>-157.3501</v>
      </c>
      <c r="H9126">
        <v>0.30400559999999899</v>
      </c>
      <c r="I9126">
        <v>-60.505229999999997</v>
      </c>
      <c r="J9126">
        <v>-236.69659999999999</v>
      </c>
      <c r="K9126">
        <v>1.1103809999999901</v>
      </c>
      <c r="L9126">
        <v>-62.474240000000002</v>
      </c>
      <c r="M9126">
        <v>0.99978259999999997</v>
      </c>
      <c r="N9126">
        <v>0</v>
      </c>
      <c r="O9126">
        <v>-1.489325E-2</v>
      </c>
      <c r="P9126">
        <v>0.99965720000000002</v>
      </c>
      <c r="Q9126">
        <v>-1.0163119999999999E-2</v>
      </c>
      <c r="R9126">
        <v>-2.414109E-2</v>
      </c>
      <c r="S9126">
        <v>3.0025629999999999</v>
      </c>
      <c r="T9126">
        <v>-3.047132E-2</v>
      </c>
      <c r="U9126">
        <v>7.4340820000000002E-2</v>
      </c>
      <c r="V9126">
        <v>9.2474789999999994E-3</v>
      </c>
      <c r="W9126">
        <v>4.4386879999999997E-3</v>
      </c>
      <c r="X9126">
        <v>0.99994740000000004</v>
      </c>
      <c r="Y9126">
        <v>-3.9636249999999998E-2</v>
      </c>
      <c r="Z9126">
        <v>3.5222200000000002E-4</v>
      </c>
      <c r="AA9126">
        <v>0.99921409999999999</v>
      </c>
      <c r="AB9126">
        <v>23</v>
      </c>
      <c r="AC9126">
        <v>79.346499999999907</v>
      </c>
      <c r="AD9126">
        <v>-0.80637539999999897</v>
      </c>
      <c r="AE9126">
        <v>1.9690099999999899</v>
      </c>
      <c r="AF9126">
        <v>-3.1503195045714598</v>
      </c>
      <c r="AG9126">
        <v>-0.80637539999999897</v>
      </c>
      <c r="AH9126">
        <v>79.300184542017902</v>
      </c>
      <c r="AI9126">
        <v>90.582141190202506</v>
      </c>
      <c r="AJ9126">
        <v>92.274965030841699</v>
      </c>
      <c r="AK9126">
        <v>79.366832005975297</v>
      </c>
      <c r="AL9126">
        <v>89.745681078541097</v>
      </c>
      <c r="AM9126">
        <v>89.470145715928396</v>
      </c>
      <c r="AN9126">
        <v>1.0000000102928801</v>
      </c>
    </row>
    <row r="9127" spans="1:40" x14ac:dyDescent="0.25">
      <c r="A9127" t="str">
        <f>"20190312154134982"</f>
        <v>20190312154134982</v>
      </c>
      <c r="B9127" t="str">
        <f>"1552376494974991"</f>
        <v>1552376494974991</v>
      </c>
      <c r="C9127" t="s">
        <v>40</v>
      </c>
      <c r="D9127">
        <v>4.0771629999999996</v>
      </c>
      <c r="E9127">
        <v>0.48157430000000001</v>
      </c>
      <c r="F9127" t="s">
        <v>80</v>
      </c>
      <c r="G9127">
        <v>-157.3501</v>
      </c>
      <c r="H9127">
        <v>0.29025649999999997</v>
      </c>
      <c r="I9127">
        <v>-60.483870000000003</v>
      </c>
      <c r="J9127">
        <v>-236.58160000000001</v>
      </c>
      <c r="K9127">
        <v>1.1103590000000001</v>
      </c>
      <c r="L9127">
        <v>-62.475830000000002</v>
      </c>
      <c r="M9127">
        <v>0.99978409999999995</v>
      </c>
      <c r="N9127">
        <v>0</v>
      </c>
      <c r="O9127">
        <v>-1.47934E-2</v>
      </c>
      <c r="P9127">
        <v>0.99967070000000002</v>
      </c>
      <c r="Q9127">
        <v>-1.008853E-2</v>
      </c>
      <c r="R9127">
        <v>-2.3599450000000001E-2</v>
      </c>
      <c r="S9127">
        <v>3.002548</v>
      </c>
      <c r="T9127">
        <v>-3.1035070000000001E-2</v>
      </c>
      <c r="U9127">
        <v>7.5317380000000003E-2</v>
      </c>
      <c r="V9127">
        <v>8.8056920000000004E-3</v>
      </c>
      <c r="W9127">
        <v>4.5092589999999998E-3</v>
      </c>
      <c r="X9127">
        <v>0.99995109999999998</v>
      </c>
      <c r="Y9127">
        <v>-3.9861260000000003E-2</v>
      </c>
      <c r="Z9127">
        <v>3.5886909999999998E-4</v>
      </c>
      <c r="AA9127">
        <v>0.99920520000000002</v>
      </c>
      <c r="AB9127">
        <v>23</v>
      </c>
      <c r="AC9127">
        <v>79.231499999999997</v>
      </c>
      <c r="AD9127">
        <v>-0.82010249999999996</v>
      </c>
      <c r="AE9127">
        <v>1.99196</v>
      </c>
      <c r="AF9127">
        <v>-3.1636313155709401</v>
      </c>
      <c r="AG9127">
        <v>-0.82010249999999996</v>
      </c>
      <c r="AH9127">
        <v>79.1848786926749</v>
      </c>
      <c r="AI9127">
        <v>90.592907134040004</v>
      </c>
      <c r="AJ9127">
        <v>92.287890993032505</v>
      </c>
      <c r="AK9127">
        <v>79.252294255655499</v>
      </c>
      <c r="AL9127">
        <v>89.741637624818907</v>
      </c>
      <c r="AM9127">
        <v>89.495459381768399</v>
      </c>
      <c r="AN9127">
        <v>1.00000003800976</v>
      </c>
    </row>
    <row r="9128" spans="1:40" x14ac:dyDescent="0.25">
      <c r="A9128" t="str">
        <f>"20190312154134993"</f>
        <v>20190312154134993</v>
      </c>
      <c r="B9128" t="str">
        <f>"1552376494985728"</f>
        <v>1552376494985728</v>
      </c>
      <c r="C9128" t="s">
        <v>40</v>
      </c>
      <c r="D9128">
        <v>4.071205</v>
      </c>
      <c r="E9128">
        <v>0.48157909999999998</v>
      </c>
      <c r="F9128" t="s">
        <v>80</v>
      </c>
      <c r="G9128">
        <v>-157.3501</v>
      </c>
      <c r="H9128">
        <v>0.25743480000000002</v>
      </c>
      <c r="I9128">
        <v>-60.466540000000002</v>
      </c>
      <c r="J9128">
        <v>-236.4504</v>
      </c>
      <c r="K9128">
        <v>1.110333</v>
      </c>
      <c r="L9128">
        <v>-62.477629999999998</v>
      </c>
      <c r="M9128">
        <v>0.99978540000000005</v>
      </c>
      <c r="N9128">
        <v>0</v>
      </c>
      <c r="O9128">
        <v>-1.4704439999999999E-2</v>
      </c>
      <c r="P9128">
        <v>0.99967980000000001</v>
      </c>
      <c r="Q9128">
        <v>-1.009928E-2</v>
      </c>
      <c r="R9128">
        <v>-2.3209250000000001E-2</v>
      </c>
      <c r="S9128">
        <v>3.0024570000000002</v>
      </c>
      <c r="T9128">
        <v>-3.2322049999999998E-2</v>
      </c>
      <c r="U9128">
        <v>7.6141360000000005E-2</v>
      </c>
      <c r="V9128">
        <v>8.5047579999999994E-3</v>
      </c>
      <c r="W9128">
        <v>4.4949539999999998E-3</v>
      </c>
      <c r="X9128">
        <v>0.99995369999999995</v>
      </c>
      <c r="Y9128">
        <v>-4.0046900000000003E-2</v>
      </c>
      <c r="Z9128">
        <v>3.738018E-4</v>
      </c>
      <c r="AA9128">
        <v>0.99919769999999997</v>
      </c>
      <c r="AB9128">
        <v>22</v>
      </c>
      <c r="AC9128">
        <v>79.100300000000004</v>
      </c>
      <c r="AD9128">
        <v>-0.85289820000000005</v>
      </c>
      <c r="AE9128">
        <v>2.0110899999999998</v>
      </c>
      <c r="AF9128">
        <v>-3.1737532428590001</v>
      </c>
      <c r="AG9128">
        <v>-0.85289820000000005</v>
      </c>
      <c r="AH9128">
        <v>79.052986131256901</v>
      </c>
      <c r="AI9128">
        <v>90.617639429064894</v>
      </c>
      <c r="AJ9128">
        <v>92.299028431555797</v>
      </c>
      <c r="AK9128">
        <v>79.121266175755906</v>
      </c>
      <c r="AL9128">
        <v>89.742457231403804</v>
      </c>
      <c r="AM9128">
        <v>89.512702448152098</v>
      </c>
      <c r="AN9128">
        <v>0.99999996883189401</v>
      </c>
    </row>
    <row r="9129" spans="1:40" x14ac:dyDescent="0.25">
      <c r="A9129" t="str">
        <f>"20190312154135003"</f>
        <v>20190312154135003</v>
      </c>
      <c r="B9129" t="str">
        <f>"1552376494995488"</f>
        <v>1552376494995488</v>
      </c>
      <c r="C9129" t="s">
        <v>40</v>
      </c>
      <c r="D9129">
        <v>4.0858220000000003</v>
      </c>
      <c r="E9129">
        <v>0.48153829999999997</v>
      </c>
      <c r="F9129" t="s">
        <v>80</v>
      </c>
      <c r="G9129">
        <v>-157.3501</v>
      </c>
      <c r="H9129">
        <v>0.24140829999999999</v>
      </c>
      <c r="I9129">
        <v>-60.439480000000003</v>
      </c>
      <c r="J9129">
        <v>-236.35720000000001</v>
      </c>
      <c r="K9129">
        <v>1.1103149999999999</v>
      </c>
      <c r="L9129">
        <v>-62.478940000000001</v>
      </c>
      <c r="M9129">
        <v>0.99978610000000001</v>
      </c>
      <c r="N9129">
        <v>0</v>
      </c>
      <c r="O9129">
        <v>-1.465515E-2</v>
      </c>
      <c r="P9129">
        <v>0.99968959999999996</v>
      </c>
      <c r="Q9129">
        <v>-9.9554420000000001E-3</v>
      </c>
      <c r="R9129">
        <v>-2.283752E-2</v>
      </c>
      <c r="S9129">
        <v>3.0024259999999998</v>
      </c>
      <c r="T9129">
        <v>-3.2982709999999998E-2</v>
      </c>
      <c r="U9129">
        <v>7.7362059999999996E-2</v>
      </c>
      <c r="V9129">
        <v>8.1825839999999997E-3</v>
      </c>
      <c r="W9129">
        <v>4.6360969999999996E-3</v>
      </c>
      <c r="X9129">
        <v>0.99995579999999995</v>
      </c>
      <c r="Y9129">
        <v>-4.0403729999999999E-2</v>
      </c>
      <c r="Z9129">
        <v>3.828619E-4</v>
      </c>
      <c r="AA9129">
        <v>0.99918340000000005</v>
      </c>
      <c r="AB9129">
        <v>22</v>
      </c>
      <c r="AC9129">
        <v>79.007099999999994</v>
      </c>
      <c r="AD9129">
        <v>-0.86890669999999903</v>
      </c>
      <c r="AE9129">
        <v>2.0394599999999898</v>
      </c>
      <c r="AF9129">
        <v>-3.19683874558083</v>
      </c>
      <c r="AG9129">
        <v>-0.86890669999999903</v>
      </c>
      <c r="AH9129">
        <v>78.959177715827906</v>
      </c>
      <c r="AI9129">
        <v>90.629970191605494</v>
      </c>
      <c r="AJ9129">
        <v>92.318481384646105</v>
      </c>
      <c r="AK9129">
        <v>79.028643683023205</v>
      </c>
      <c r="AL9129">
        <v>89.734370263578199</v>
      </c>
      <c r="AM9129">
        <v>89.531162212562293</v>
      </c>
      <c r="AN9129">
        <v>1.0000000250149701</v>
      </c>
    </row>
    <row r="9130" spans="1:40" x14ac:dyDescent="0.25">
      <c r="A9130" t="str">
        <f>"20190312154135013"</f>
        <v>20190312154135013</v>
      </c>
      <c r="B9130" t="str">
        <f>"1552376495005248"</f>
        <v>1552376495005248</v>
      </c>
      <c r="C9130" t="s">
        <v>40</v>
      </c>
      <c r="D9130">
        <v>4.1341640000000002</v>
      </c>
      <c r="E9130">
        <v>0.48159580000000002</v>
      </c>
      <c r="F9130" t="s">
        <v>80</v>
      </c>
      <c r="G9130">
        <v>-157.3501</v>
      </c>
      <c r="H9130">
        <v>0.23874280000000001</v>
      </c>
      <c r="I9130">
        <v>-60.405430000000003</v>
      </c>
      <c r="J9130">
        <v>-236.24770000000001</v>
      </c>
      <c r="K9130">
        <v>1.110303</v>
      </c>
      <c r="L9130">
        <v>-62.480469999999997</v>
      </c>
      <c r="M9130">
        <v>0.99978699999999998</v>
      </c>
      <c r="N9130">
        <v>0</v>
      </c>
      <c r="O9130">
        <v>-1.460757E-2</v>
      </c>
      <c r="P9130">
        <v>0.99969629999999998</v>
      </c>
      <c r="Q9130">
        <v>-9.9907490000000002E-3</v>
      </c>
      <c r="R9130">
        <v>-2.2530140000000001E-2</v>
      </c>
      <c r="S9130">
        <v>3.0023960000000001</v>
      </c>
      <c r="T9130">
        <v>-3.3121820000000003E-2</v>
      </c>
      <c r="U9130">
        <v>7.8796389999999994E-2</v>
      </c>
      <c r="V9130">
        <v>7.9228969999999999E-3</v>
      </c>
      <c r="W9130">
        <v>4.5979489999999996E-3</v>
      </c>
      <c r="X9130">
        <v>0.99995800000000001</v>
      </c>
      <c r="Y9130">
        <v>-4.0833389999999997E-2</v>
      </c>
      <c r="Z9130">
        <v>3.8632299999999999E-4</v>
      </c>
      <c r="AA9130">
        <v>0.99916590000000005</v>
      </c>
      <c r="AB9130">
        <v>22</v>
      </c>
      <c r="AC9130">
        <v>78.897599999999997</v>
      </c>
      <c r="AD9130">
        <v>-0.87156019999999901</v>
      </c>
      <c r="AE9130">
        <v>2.0750399999999898</v>
      </c>
      <c r="AF9130">
        <v>-3.2270497588443998</v>
      </c>
      <c r="AG9130">
        <v>-0.87156019999999901</v>
      </c>
      <c r="AH9130">
        <v>78.8492502824365</v>
      </c>
      <c r="AI9130">
        <v>90.632763440313198</v>
      </c>
      <c r="AJ9130">
        <v>92.343626607901399</v>
      </c>
      <c r="AK9130">
        <v>78.920071828594999</v>
      </c>
      <c r="AL9130">
        <v>89.736555988456502</v>
      </c>
      <c r="AM9130">
        <v>89.546041873046505</v>
      </c>
      <c r="AN9130">
        <v>0.99999995759793803</v>
      </c>
    </row>
    <row r="9131" spans="1:40" x14ac:dyDescent="0.25">
      <c r="A9131" t="str">
        <f>"20190312154135025"</f>
        <v>20190312154135025</v>
      </c>
      <c r="B9131" t="str">
        <f>"1552376495014787"</f>
        <v>1552376495014787</v>
      </c>
      <c r="C9131" t="s">
        <v>40</v>
      </c>
      <c r="D9131">
        <v>4.1076459999999999</v>
      </c>
      <c r="E9131">
        <v>0.48161609999999999</v>
      </c>
      <c r="F9131" t="s">
        <v>80</v>
      </c>
      <c r="G9131">
        <v>-157.3501</v>
      </c>
      <c r="H9131">
        <v>0.215889</v>
      </c>
      <c r="I9131">
        <v>-60.396999999999998</v>
      </c>
      <c r="J9131">
        <v>-236.13839999999999</v>
      </c>
      <c r="K9131">
        <v>1.110287</v>
      </c>
      <c r="L9131">
        <v>-62.482030000000002</v>
      </c>
      <c r="M9131">
        <v>0.99978739999999999</v>
      </c>
      <c r="N9131">
        <v>0</v>
      </c>
      <c r="O9131">
        <v>-1.4577349999999999E-2</v>
      </c>
      <c r="P9131">
        <v>0.99969450000000004</v>
      </c>
      <c r="Q9131">
        <v>-9.9237879999999994E-3</v>
      </c>
      <c r="R9131">
        <v>-2.2632679999999999E-2</v>
      </c>
      <c r="S9131">
        <v>3.00238</v>
      </c>
      <c r="T9131">
        <v>-3.4036869999999997E-2</v>
      </c>
      <c r="U9131">
        <v>7.9284670000000002E-2</v>
      </c>
      <c r="V9131">
        <v>8.0558729999999999E-3</v>
      </c>
      <c r="W9131">
        <v>4.6608919999999998E-3</v>
      </c>
      <c r="X9131">
        <v>0.99995670000000003</v>
      </c>
      <c r="Y9131">
        <v>-4.0965519999999998E-2</v>
      </c>
      <c r="Z9131">
        <v>3.9740259999999998E-4</v>
      </c>
      <c r="AA9131">
        <v>0.99916050000000001</v>
      </c>
      <c r="AB9131">
        <v>22</v>
      </c>
      <c r="AC9131">
        <v>78.788299999999893</v>
      </c>
      <c r="AD9131">
        <v>-0.89439799999999903</v>
      </c>
      <c r="AE9131">
        <v>2.0850300000000002</v>
      </c>
      <c r="AF9131">
        <v>-3.2330388351442498</v>
      </c>
      <c r="AG9131">
        <v>-0.89439799999999903</v>
      </c>
      <c r="AH9131">
        <v>78.739389382348705</v>
      </c>
      <c r="AI9131">
        <v>90.650244935012694</v>
      </c>
      <c r="AJ9131">
        <v>92.351243603044495</v>
      </c>
      <c r="AK9131">
        <v>78.810810985531006</v>
      </c>
      <c r="AL9131">
        <v>89.732949595785996</v>
      </c>
      <c r="AM9131">
        <v>89.538422475771995</v>
      </c>
      <c r="AN9131">
        <v>1.0000000114394501</v>
      </c>
    </row>
    <row r="9132" spans="1:40" x14ac:dyDescent="0.25">
      <c r="A9132" t="str">
        <f>"20190312154135035"</f>
        <v>20190312154135035</v>
      </c>
      <c r="B9132" t="str">
        <f>"1552376495025524"</f>
        <v>1552376495025524</v>
      </c>
      <c r="C9132" t="s">
        <v>40</v>
      </c>
      <c r="D9132">
        <v>4.0620079999999996</v>
      </c>
      <c r="E9132">
        <v>0.4816223</v>
      </c>
      <c r="F9132" t="s">
        <v>80</v>
      </c>
      <c r="G9132">
        <v>-157.3501</v>
      </c>
      <c r="H9132">
        <v>0.20031019999999999</v>
      </c>
      <c r="I9132">
        <v>-60.414230000000003</v>
      </c>
      <c r="J9132">
        <v>-236.02600000000001</v>
      </c>
      <c r="K9132">
        <v>1.110274</v>
      </c>
      <c r="L9132">
        <v>-62.483640000000001</v>
      </c>
      <c r="M9132">
        <v>0.99978769999999995</v>
      </c>
      <c r="N9132">
        <v>0</v>
      </c>
      <c r="O9132">
        <v>-1.455381E-2</v>
      </c>
      <c r="P9132">
        <v>0.99969850000000005</v>
      </c>
      <c r="Q9132">
        <v>-9.9254489999999994E-3</v>
      </c>
      <c r="R9132">
        <v>-2.2463319999999998E-2</v>
      </c>
      <c r="S9132">
        <v>3.0023499999999999</v>
      </c>
      <c r="T9132">
        <v>-3.4676789999999999E-2</v>
      </c>
      <c r="U9132">
        <v>7.8796389999999994E-2</v>
      </c>
      <c r="V9132">
        <v>7.9099740000000002E-3</v>
      </c>
      <c r="W9132">
        <v>4.6561229999999999E-3</v>
      </c>
      <c r="X9132">
        <v>0.99995789999999996</v>
      </c>
      <c r="Y9132">
        <v>-4.0779749999999997E-2</v>
      </c>
      <c r="Z9132">
        <v>4.0353399999999999E-4</v>
      </c>
      <c r="AA9132">
        <v>0.9991681</v>
      </c>
      <c r="AB9132">
        <v>22</v>
      </c>
      <c r="AC9132">
        <v>78.675899999999899</v>
      </c>
      <c r="AD9132">
        <v>-0.90996379999999999</v>
      </c>
      <c r="AE9132">
        <v>2.0694099999999902</v>
      </c>
      <c r="AF9132">
        <v>-3.2139170607126801</v>
      </c>
      <c r="AG9132">
        <v>-0.90996379999999999</v>
      </c>
      <c r="AH9132">
        <v>78.626933677108497</v>
      </c>
      <c r="AI9132">
        <v>90.662511687324695</v>
      </c>
      <c r="AJ9132">
        <v>92.340691935739201</v>
      </c>
      <c r="AK9132">
        <v>78.697852553007294</v>
      </c>
      <c r="AL9132">
        <v>89.733222845796902</v>
      </c>
      <c r="AM9132">
        <v>89.546782245776996</v>
      </c>
      <c r="AN9132">
        <v>1.0000000244712399</v>
      </c>
    </row>
    <row r="9133" spans="1:40" x14ac:dyDescent="0.25">
      <c r="A9133" t="str">
        <f>"20190312154135046"</f>
        <v>20190312154135046</v>
      </c>
      <c r="B9133" t="str">
        <f>"1552376495035283"</f>
        <v>1552376495035283</v>
      </c>
      <c r="C9133" t="s">
        <v>40</v>
      </c>
      <c r="D9133">
        <v>4.1026089999999904</v>
      </c>
      <c r="E9133">
        <v>0.48166160000000002</v>
      </c>
      <c r="F9133" t="s">
        <v>80</v>
      </c>
      <c r="G9133">
        <v>-157.3501</v>
      </c>
      <c r="H9133">
        <v>0.17045260000000001</v>
      </c>
      <c r="I9133">
        <v>-60.405970000000003</v>
      </c>
      <c r="J9133">
        <v>-235.91730000000001</v>
      </c>
      <c r="K9133">
        <v>1.1102609999999999</v>
      </c>
      <c r="L9133">
        <v>-62.485169999999997</v>
      </c>
      <c r="M9133">
        <v>0.99978789999999995</v>
      </c>
      <c r="N9133">
        <v>0</v>
      </c>
      <c r="O9133">
        <v>-1.4548429999999999E-2</v>
      </c>
      <c r="P9133">
        <v>0.99969669999999999</v>
      </c>
      <c r="Q9133">
        <v>-9.7647979999999999E-3</v>
      </c>
      <c r="R9133">
        <v>-2.261148E-2</v>
      </c>
      <c r="S9133">
        <v>3.0023040000000001</v>
      </c>
      <c r="T9133">
        <v>-3.5864710000000001E-2</v>
      </c>
      <c r="U9133">
        <v>7.9284670000000002E-2</v>
      </c>
      <c r="V9133">
        <v>8.0638769999999901E-3</v>
      </c>
      <c r="W9133">
        <v>4.8139539999999996E-3</v>
      </c>
      <c r="X9133">
        <v>0.99995590000000001</v>
      </c>
      <c r="Y9133">
        <v>-4.0936889999999997E-2</v>
      </c>
      <c r="Z9133">
        <v>4.1823650000000001E-4</v>
      </c>
      <c r="AA9133">
        <v>0.99916170000000004</v>
      </c>
      <c r="AB9133">
        <v>22</v>
      </c>
      <c r="AC9133">
        <v>78.5672</v>
      </c>
      <c r="AD9133">
        <v>-0.93980839999999999</v>
      </c>
      <c r="AE9133">
        <v>2.0792000000000002</v>
      </c>
      <c r="AF9133">
        <v>-3.2216701256940898</v>
      </c>
      <c r="AG9133">
        <v>-0.93980839999999999</v>
      </c>
      <c r="AH9133">
        <v>78.517403989326297</v>
      </c>
      <c r="AI9133">
        <v>90.685188466979099</v>
      </c>
      <c r="AJ9133">
        <v>92.349601585694799</v>
      </c>
      <c r="AK9133">
        <v>78.589090384420203</v>
      </c>
      <c r="AL9133">
        <v>89.724179688010594</v>
      </c>
      <c r="AM9133">
        <v>89.537963520658593</v>
      </c>
      <c r="AN9133">
        <v>1.00000000110509</v>
      </c>
    </row>
    <row r="9134" spans="1:40" x14ac:dyDescent="0.25">
      <c r="A9134" t="str">
        <f>"20190312154135058"</f>
        <v>20190312154135058</v>
      </c>
      <c r="B9134" t="str">
        <f>"1552376495054803"</f>
        <v>1552376495054803</v>
      </c>
      <c r="C9134" t="s">
        <v>40</v>
      </c>
      <c r="D9134">
        <v>4.0870980000000001</v>
      </c>
      <c r="E9134">
        <v>0.48179470000000002</v>
      </c>
      <c r="F9134" t="s">
        <v>80</v>
      </c>
      <c r="G9134">
        <v>-157.3501</v>
      </c>
      <c r="H9134">
        <v>0.17292260000000001</v>
      </c>
      <c r="I9134">
        <v>-60.429549999999999</v>
      </c>
      <c r="J9134">
        <v>-235.80609999999999</v>
      </c>
      <c r="K9134">
        <v>1.11025</v>
      </c>
      <c r="L9134">
        <v>-62.486789999999999</v>
      </c>
      <c r="M9134">
        <v>0.99978809999999996</v>
      </c>
      <c r="N9134">
        <v>0</v>
      </c>
      <c r="O9134">
        <v>-1.45459E-2</v>
      </c>
      <c r="P9134">
        <v>0.99969330000000001</v>
      </c>
      <c r="Q9134">
        <v>-9.79236E-3</v>
      </c>
      <c r="R9134">
        <v>-2.2760720000000002E-2</v>
      </c>
      <c r="S9134">
        <v>3.002335</v>
      </c>
      <c r="T9134">
        <v>-3.5819770000000001E-2</v>
      </c>
      <c r="U9134">
        <v>7.8552250000000004E-2</v>
      </c>
      <c r="V9134">
        <v>8.2155279999999997E-3</v>
      </c>
      <c r="W9134">
        <v>4.7834380000000001E-3</v>
      </c>
      <c r="X9134">
        <v>0.99995480000000003</v>
      </c>
      <c r="Y9134">
        <v>-4.0690539999999997E-2</v>
      </c>
      <c r="Z9134">
        <v>4.1620999999999997E-4</v>
      </c>
      <c r="AA9134">
        <v>0.9991717</v>
      </c>
      <c r="AB9134">
        <v>22</v>
      </c>
      <c r="AC9134">
        <v>78.455999999999904</v>
      </c>
      <c r="AD9134">
        <v>-0.93732740000000003</v>
      </c>
      <c r="AE9134">
        <v>2.0572400000000002</v>
      </c>
      <c r="AF9134">
        <v>-3.1979003814245299</v>
      </c>
      <c r="AG9134">
        <v>-0.93732740000000003</v>
      </c>
      <c r="AH9134">
        <v>78.406586560963305</v>
      </c>
      <c r="AI9134">
        <v>90.684352437365007</v>
      </c>
      <c r="AJ9134">
        <v>92.335577980030706</v>
      </c>
      <c r="AK9134">
        <v>78.477372316140503</v>
      </c>
      <c r="AL9134">
        <v>89.725928142860596</v>
      </c>
      <c r="AM9134">
        <v>89.529274233141393</v>
      </c>
      <c r="AN9134">
        <v>0.999999989111229</v>
      </c>
    </row>
    <row r="9135" spans="1:40" x14ac:dyDescent="0.25">
      <c r="A9135" t="str">
        <f>"20190312154135069"</f>
        <v>20190312154135069</v>
      </c>
      <c r="B9135" t="str">
        <f>"1552376495054803"</f>
        <v>1552376495054803</v>
      </c>
      <c r="C9135" t="s">
        <v>40</v>
      </c>
      <c r="D9135">
        <v>4.0870980000000001</v>
      </c>
      <c r="E9135">
        <v>0.48179470000000002</v>
      </c>
      <c r="F9135" t="s">
        <v>80</v>
      </c>
      <c r="G9135">
        <v>-157.3501</v>
      </c>
      <c r="H9135">
        <v>0.12633469999999999</v>
      </c>
      <c r="I9135">
        <v>-60.473149999999997</v>
      </c>
      <c r="J9135">
        <v>-235.6936</v>
      </c>
      <c r="K9135">
        <v>1.110244</v>
      </c>
      <c r="L9135">
        <v>-62.488430000000001</v>
      </c>
      <c r="M9135">
        <v>0.99978789999999995</v>
      </c>
      <c r="N9135">
        <v>0</v>
      </c>
      <c r="O9135">
        <v>-1.4555200000000001E-2</v>
      </c>
      <c r="P9135">
        <v>0.99969070000000004</v>
      </c>
      <c r="Q9135">
        <v>-9.8145000000000003E-3</v>
      </c>
      <c r="R9135">
        <v>-2.285947E-2</v>
      </c>
      <c r="S9135">
        <v>3.002319</v>
      </c>
      <c r="T9135">
        <v>-3.7652730000000002E-2</v>
      </c>
      <c r="U9135">
        <v>7.7056879999999994E-2</v>
      </c>
      <c r="V9135">
        <v>8.3052790000000005E-3</v>
      </c>
      <c r="W9135">
        <v>4.7586420000000004E-3</v>
      </c>
      <c r="X9135">
        <v>0.99995420000000002</v>
      </c>
      <c r="Y9135">
        <v>-4.0202269999999998E-2</v>
      </c>
      <c r="Z9135">
        <v>4.3456700000000002E-4</v>
      </c>
      <c r="AA9135">
        <v>0.99919150000000001</v>
      </c>
      <c r="AB9135">
        <v>22</v>
      </c>
      <c r="AC9135">
        <v>78.343500000000006</v>
      </c>
      <c r="AD9135">
        <v>-0.98390929999999999</v>
      </c>
      <c r="AE9135">
        <v>2.01528000000001</v>
      </c>
      <c r="AF9135">
        <v>-3.1549955487005201</v>
      </c>
      <c r="AG9135">
        <v>-0.98390929999999999</v>
      </c>
      <c r="AH9135">
        <v>78.293522410667194</v>
      </c>
      <c r="AI9135">
        <v>90.719410402627901</v>
      </c>
      <c r="AJ9135">
        <v>92.307600582165406</v>
      </c>
      <c r="AK9135">
        <v>78.363242185941999</v>
      </c>
      <c r="AL9135">
        <v>89.7273488714942</v>
      </c>
      <c r="AM9135">
        <v>89.524131712580498</v>
      </c>
      <c r="AN9135">
        <v>1.0000000122152899</v>
      </c>
    </row>
    <row r="9136" spans="1:40" x14ac:dyDescent="0.25">
      <c r="A9136" t="str">
        <f>"20190312154135081"</f>
        <v>20190312154135081</v>
      </c>
      <c r="B9136" t="str">
        <f>"1552376495075316"</f>
        <v>1552376495075316</v>
      </c>
      <c r="C9136" t="s">
        <v>40</v>
      </c>
      <c r="D9136">
        <v>4.1196039999999998</v>
      </c>
      <c r="E9136">
        <v>0.48181410000000002</v>
      </c>
      <c r="F9136" t="s">
        <v>80</v>
      </c>
      <c r="G9136">
        <v>-157.3501</v>
      </c>
      <c r="H9136">
        <v>0.1278415</v>
      </c>
      <c r="I9136">
        <v>-60.48404</v>
      </c>
      <c r="J9136">
        <v>-235.58160000000001</v>
      </c>
      <c r="K9136">
        <v>1.1102369999999999</v>
      </c>
      <c r="L9136">
        <v>-62.490049999999997</v>
      </c>
      <c r="M9136">
        <v>0.99978769999999995</v>
      </c>
      <c r="N9136">
        <v>0</v>
      </c>
      <c r="O9136">
        <v>-1.4566859999999999E-2</v>
      </c>
      <c r="P9136">
        <v>0.99969070000000004</v>
      </c>
      <c r="Q9136">
        <v>-9.5502099999999999E-3</v>
      </c>
      <c r="R9136">
        <v>-2.2975300000000001E-2</v>
      </c>
      <c r="S9136">
        <v>3.0023040000000001</v>
      </c>
      <c r="T9136">
        <v>-3.7648679999999997E-2</v>
      </c>
      <c r="U9136">
        <v>7.6812740000000004E-2</v>
      </c>
      <c r="V9136">
        <v>8.4095909999999992E-3</v>
      </c>
      <c r="W9136">
        <v>5.0194690000000004E-3</v>
      </c>
      <c r="X9136">
        <v>0.99995199999999995</v>
      </c>
      <c r="Y9136">
        <v>-4.0132870000000001E-2</v>
      </c>
      <c r="Z9136">
        <v>4.3423399999999998E-4</v>
      </c>
      <c r="AA9136">
        <v>0.99919429999999998</v>
      </c>
      <c r="AB9136">
        <v>22</v>
      </c>
      <c r="AC9136">
        <v>78.231499999999997</v>
      </c>
      <c r="AD9136">
        <v>-0.98239549999999998</v>
      </c>
      <c r="AE9136">
        <v>2.0060099999999901</v>
      </c>
      <c r="AF9136">
        <v>-3.1450098253229899</v>
      </c>
      <c r="AG9136">
        <v>-0.98239549999999998</v>
      </c>
      <c r="AH9136">
        <v>78.181652808711107</v>
      </c>
      <c r="AI9136">
        <v>90.719333398819003</v>
      </c>
      <c r="AJ9136">
        <v>92.303592712963805</v>
      </c>
      <c r="AK9136">
        <v>78.251051262086193</v>
      </c>
      <c r="AL9136">
        <v>89.712404391523293</v>
      </c>
      <c r="AM9136">
        <v>89.518154158908104</v>
      </c>
      <c r="AN9136">
        <v>0.99999995929691299</v>
      </c>
    </row>
    <row r="9137" spans="1:40" x14ac:dyDescent="0.25">
      <c r="A9137" t="str">
        <f>"20190312154135091"</f>
        <v>20190312154135091</v>
      </c>
      <c r="B9137" t="str">
        <f>"1552376495085058"</f>
        <v>1552376495085058</v>
      </c>
      <c r="C9137" t="s">
        <v>40</v>
      </c>
      <c r="D9137">
        <v>4.1198670000000002</v>
      </c>
      <c r="E9137">
        <v>0.46392499999999998</v>
      </c>
      <c r="F9137" t="s">
        <v>80</v>
      </c>
      <c r="G9137">
        <v>-157.3501</v>
      </c>
      <c r="H9137">
        <v>0.14166689999999901</v>
      </c>
      <c r="I9137">
        <v>-60.50206</v>
      </c>
      <c r="J9137">
        <v>-235.46789999999999</v>
      </c>
      <c r="K9137">
        <v>1.1102369999999999</v>
      </c>
      <c r="L9137">
        <v>-62.491729999999997</v>
      </c>
      <c r="M9137">
        <v>0.9997876</v>
      </c>
      <c r="N9137">
        <v>0</v>
      </c>
      <c r="O9137">
        <v>-1.458371E-2</v>
      </c>
      <c r="P9137">
        <v>0.99968509999999999</v>
      </c>
      <c r="Q9137">
        <v>-9.6199839999999998E-3</v>
      </c>
      <c r="R9137">
        <v>-2.3177329999999999E-2</v>
      </c>
      <c r="S9137">
        <v>3.002335</v>
      </c>
      <c r="T9137">
        <v>-3.7172080000000003E-2</v>
      </c>
      <c r="U9137">
        <v>7.6293949999999999E-2</v>
      </c>
      <c r="V9137">
        <v>8.5949600000000004E-3</v>
      </c>
      <c r="W9137">
        <v>4.9469910000000004E-3</v>
      </c>
      <c r="X9137">
        <v>0.99995080000000003</v>
      </c>
      <c r="Y9137">
        <v>-3.9976999999999999E-2</v>
      </c>
      <c r="Z9137">
        <v>4.2797769999999998E-4</v>
      </c>
      <c r="AA9137">
        <v>0.99920050000000005</v>
      </c>
      <c r="AB9137">
        <v>22</v>
      </c>
      <c r="AC9137">
        <v>78.117799999999903</v>
      </c>
      <c r="AD9137">
        <v>-0.96857009999999999</v>
      </c>
      <c r="AE9137">
        <v>1.98967</v>
      </c>
      <c r="AF9137">
        <v>-3.1283459056085001</v>
      </c>
      <c r="AG9137">
        <v>-0.96857009999999999</v>
      </c>
      <c r="AH9137">
        <v>78.068476939519002</v>
      </c>
      <c r="AI9137">
        <v>90.710243607202202</v>
      </c>
      <c r="AJ9137">
        <v>92.294718403650407</v>
      </c>
      <c r="AK9137">
        <v>78.137134371564699</v>
      </c>
      <c r="AL9137">
        <v>89.716557130997998</v>
      </c>
      <c r="AM9137">
        <v>89.507532964623607</v>
      </c>
      <c r="AN9137">
        <v>0.999999974238997</v>
      </c>
    </row>
    <row r="9138" spans="1:40" x14ac:dyDescent="0.25">
      <c r="A9138" t="str">
        <f>"20190312154135103"</f>
        <v>20190312154135103</v>
      </c>
      <c r="B9138" t="str">
        <f>"1552376495094819"</f>
        <v>1552376495094819</v>
      </c>
      <c r="C9138" t="s">
        <v>40</v>
      </c>
      <c r="D9138">
        <v>4.149769</v>
      </c>
      <c r="E9138">
        <v>0.45881830000000001</v>
      </c>
      <c r="F9138" t="s">
        <v>69</v>
      </c>
      <c r="G9138">
        <v>-184.70439999999999</v>
      </c>
      <c r="H9138" s="1">
        <v>-1.3546639999999999E-5</v>
      </c>
      <c r="I9138">
        <v>-58.793759999999999</v>
      </c>
      <c r="J9138">
        <v>-235.3527</v>
      </c>
      <c r="K9138">
        <v>1.1102399999999999</v>
      </c>
      <c r="L9138">
        <v>-62.493409999999997</v>
      </c>
      <c r="M9138">
        <v>0.99978730000000005</v>
      </c>
      <c r="N9138">
        <v>0</v>
      </c>
      <c r="O9138">
        <v>-1.460242E-2</v>
      </c>
      <c r="P9138">
        <v>0.99968319999999999</v>
      </c>
      <c r="Q9138">
        <v>-9.5930119999999997E-3</v>
      </c>
      <c r="R9138">
        <v>-2.3270860000000001E-2</v>
      </c>
      <c r="S9138">
        <v>3.0053860000000001</v>
      </c>
      <c r="T9138">
        <v>-6.5730930000000007E-2</v>
      </c>
      <c r="U9138">
        <v>0.21893309999999999</v>
      </c>
      <c r="V9138">
        <v>8.6698629999999999E-3</v>
      </c>
      <c r="W9138">
        <v>4.9713090000000001E-3</v>
      </c>
      <c r="X9138">
        <v>0.99995009999999995</v>
      </c>
      <c r="Y9138">
        <v>-8.7187790000000001E-2</v>
      </c>
      <c r="Z9138">
        <v>1.2710460000000001E-3</v>
      </c>
      <c r="AA9138">
        <v>0.9961911</v>
      </c>
      <c r="AB9138">
        <v>22</v>
      </c>
      <c r="AC9138">
        <v>50.648299999999999</v>
      </c>
      <c r="AD9138">
        <v>-1.1102535466400001</v>
      </c>
      <c r="AE9138">
        <v>3.6996499999999899</v>
      </c>
      <c r="AF9138">
        <v>-4.4368009877312797</v>
      </c>
      <c r="AG9138">
        <v>-1.1102535466400001</v>
      </c>
      <c r="AH9138">
        <v>50.564700538474902</v>
      </c>
      <c r="AI9138">
        <v>91.253033441743597</v>
      </c>
      <c r="AJ9138">
        <v>95.014576614781404</v>
      </c>
      <c r="AK9138">
        <v>50.771121776933398</v>
      </c>
      <c r="AL9138">
        <v>89.715163814210698</v>
      </c>
      <c r="AM9138">
        <v>89.503241099792504</v>
      </c>
      <c r="AN9138">
        <v>1.0000000414638099</v>
      </c>
    </row>
    <row r="9139" spans="1:40" x14ac:dyDescent="0.25">
      <c r="A9139" t="str">
        <f>"20190312154135114"</f>
        <v>20190312154135114</v>
      </c>
      <c r="B9139" t="str">
        <f>"1552376495105555"</f>
        <v>1552376495105555</v>
      </c>
      <c r="C9139" t="s">
        <v>40</v>
      </c>
      <c r="D9139">
        <v>4.1037970000000001</v>
      </c>
      <c r="E9139">
        <v>0.45711669999999999</v>
      </c>
      <c r="F9139" t="s">
        <v>69</v>
      </c>
      <c r="G9139">
        <v>-178.3706</v>
      </c>
      <c r="H9139">
        <v>7.9986559999999998E-2</v>
      </c>
      <c r="I9139">
        <v>-57.581580000000002</v>
      </c>
      <c r="J9139">
        <v>-235.24690000000001</v>
      </c>
      <c r="K9139">
        <v>1.110241</v>
      </c>
      <c r="L9139">
        <v>-62.494999999999997</v>
      </c>
      <c r="M9139">
        <v>0.99978710000000004</v>
      </c>
      <c r="N9139">
        <v>0</v>
      </c>
      <c r="O9139">
        <v>-1.4620859999999999E-2</v>
      </c>
      <c r="P9139">
        <v>0.99968619999999997</v>
      </c>
      <c r="Q9139">
        <v>-9.1683400000000005E-3</v>
      </c>
      <c r="R9139">
        <v>-2.3315519999999999E-2</v>
      </c>
      <c r="S9139">
        <v>3.0064540000000002</v>
      </c>
      <c r="T9139">
        <v>-5.435765E-2</v>
      </c>
      <c r="U9139">
        <v>0.25915529999999998</v>
      </c>
      <c r="V9139">
        <v>8.6960630000000004E-3</v>
      </c>
      <c r="W9139">
        <v>5.3928269999999898E-3</v>
      </c>
      <c r="X9139">
        <v>0.99994769999999999</v>
      </c>
      <c r="Y9139">
        <v>-0.1004217</v>
      </c>
      <c r="Z9139">
        <v>1.1699760000000001E-3</v>
      </c>
      <c r="AA9139">
        <v>0.9949443</v>
      </c>
      <c r="AB9139">
        <v>22</v>
      </c>
      <c r="AC9139">
        <v>56.876300000000001</v>
      </c>
      <c r="AD9139">
        <v>-1.03025444</v>
      </c>
      <c r="AE9139">
        <v>4.9134199999999897</v>
      </c>
      <c r="AF9139">
        <v>-5.7426929588815998</v>
      </c>
      <c r="AG9139">
        <v>-1.03025444</v>
      </c>
      <c r="AH9139">
        <v>56.779880799123298</v>
      </c>
      <c r="AI9139">
        <v>91.034226157048295</v>
      </c>
      <c r="AJ9139">
        <v>95.775232137465096</v>
      </c>
      <c r="AK9139">
        <v>57.078847309609998</v>
      </c>
      <c r="AL9139">
        <v>89.691012292054594</v>
      </c>
      <c r="AM9139">
        <v>89.501738792817804</v>
      </c>
      <c r="AN9139">
        <v>1.00000005341501</v>
      </c>
    </row>
    <row r="9140" spans="1:40" x14ac:dyDescent="0.25">
      <c r="A9140" t="str">
        <f>"20190312154135126"</f>
        <v>20190312154135126</v>
      </c>
      <c r="B9140" t="str">
        <f>"1552376495115315"</f>
        <v>1552376495115315</v>
      </c>
      <c r="C9140" t="s">
        <v>40</v>
      </c>
      <c r="D9140">
        <v>4.1240379999999996</v>
      </c>
      <c r="E9140">
        <v>0.45614939999999998</v>
      </c>
      <c r="F9140" t="s">
        <v>69</v>
      </c>
      <c r="G9140">
        <v>-186.72290000000001</v>
      </c>
      <c r="H9140" s="1">
        <v>-1.28843E-5</v>
      </c>
      <c r="I9140">
        <v>-58.09093</v>
      </c>
      <c r="J9140">
        <v>-235.13419999999999</v>
      </c>
      <c r="K9140">
        <v>1.1102430000000001</v>
      </c>
      <c r="L9140">
        <v>-62.496639999999999</v>
      </c>
      <c r="M9140">
        <v>0.99978690000000003</v>
      </c>
      <c r="N9140">
        <v>0</v>
      </c>
      <c r="O9140">
        <v>-1.46401E-2</v>
      </c>
      <c r="P9140">
        <v>0.99968369999999995</v>
      </c>
      <c r="Q9140">
        <v>-8.7739889999999994E-3</v>
      </c>
      <c r="R9140">
        <v>-2.357339E-2</v>
      </c>
      <c r="S9140">
        <v>3.0066830000000002</v>
      </c>
      <c r="T9140">
        <v>-6.879449E-2</v>
      </c>
      <c r="U9140">
        <v>0.27288820000000003</v>
      </c>
      <c r="V9140">
        <v>8.9346110000000003E-3</v>
      </c>
      <c r="W9140">
        <v>5.784305E-3</v>
      </c>
      <c r="X9140">
        <v>0.99994340000000004</v>
      </c>
      <c r="Y9140">
        <v>-0.10493</v>
      </c>
      <c r="Z9140">
        <v>1.5321340000000001E-3</v>
      </c>
      <c r="AA9140">
        <v>0.99447839999999998</v>
      </c>
      <c r="AB9140">
        <v>22</v>
      </c>
      <c r="AC9140">
        <v>48.411299999999898</v>
      </c>
      <c r="AD9140">
        <v>-1.1102558843000001</v>
      </c>
      <c r="AE9140">
        <v>4.4057099999999902</v>
      </c>
      <c r="AF9140">
        <v>-5.1113927748799499</v>
      </c>
      <c r="AG9140">
        <v>-1.1102558843000001</v>
      </c>
      <c r="AH9140">
        <v>48.316399944768797</v>
      </c>
      <c r="AI9140">
        <v>91.309057913964807</v>
      </c>
      <c r="AJ9140">
        <v>96.038860310019501</v>
      </c>
      <c r="AK9140">
        <v>48.5986986230143</v>
      </c>
      <c r="AL9140">
        <v>89.668581902650203</v>
      </c>
      <c r="AM9140">
        <v>89.488069145318306</v>
      </c>
      <c r="AN9140">
        <v>1.0000000443307999</v>
      </c>
    </row>
    <row r="9141" spans="1:40" x14ac:dyDescent="0.25">
      <c r="A9141" t="str">
        <f>"20190312154135136"</f>
        <v>20190312154135136</v>
      </c>
      <c r="B9141" t="str">
        <f>"1552376495125075"</f>
        <v>1552376495125075</v>
      </c>
      <c r="C9141" t="s">
        <v>40</v>
      </c>
      <c r="D9141">
        <v>4.1142479999999999</v>
      </c>
      <c r="E9141">
        <v>0.4552022</v>
      </c>
      <c r="F9141" t="s">
        <v>69</v>
      </c>
      <c r="G9141">
        <v>-190.8031</v>
      </c>
      <c r="H9141" s="1">
        <v>-6.9795489999999997E-6</v>
      </c>
      <c r="I9141">
        <v>-58.36768</v>
      </c>
      <c r="J9141">
        <v>-235.0273</v>
      </c>
      <c r="K9141">
        <v>1.110249</v>
      </c>
      <c r="L9141">
        <v>-62.49823</v>
      </c>
      <c r="M9141">
        <v>0.99978670000000003</v>
      </c>
      <c r="N9141">
        <v>0</v>
      </c>
      <c r="O9141">
        <v>-1.465839E-2</v>
      </c>
      <c r="P9141">
        <v>0.99967519999999999</v>
      </c>
      <c r="Q9141">
        <v>-8.7555659999999993E-3</v>
      </c>
      <c r="R9141">
        <v>-2.3940670000000001E-2</v>
      </c>
      <c r="S9141">
        <v>3.0068969999999999</v>
      </c>
      <c r="T9141">
        <v>-7.530618E-2</v>
      </c>
      <c r="U9141">
        <v>0.28005980000000003</v>
      </c>
      <c r="V9141">
        <v>9.2836310000000005E-3</v>
      </c>
      <c r="W9141">
        <v>5.8005169999999998E-3</v>
      </c>
      <c r="X9141">
        <v>0.9999401</v>
      </c>
      <c r="Y9141">
        <v>-0.1072866</v>
      </c>
      <c r="Z9141">
        <v>1.7067129999999999E-3</v>
      </c>
      <c r="AA9141">
        <v>0.99422670000000002</v>
      </c>
      <c r="AB9141">
        <v>22</v>
      </c>
      <c r="AC9141">
        <v>44.224200000000003</v>
      </c>
      <c r="AD9141">
        <v>-1.1102559795489999</v>
      </c>
      <c r="AE9141">
        <v>4.1305500000000004</v>
      </c>
      <c r="AF9141">
        <v>-4.7754465263738402</v>
      </c>
      <c r="AG9141">
        <v>-1.1102559795489999</v>
      </c>
      <c r="AH9141">
        <v>44.131319846517499</v>
      </c>
      <c r="AI9141">
        <v>91.432782957539104</v>
      </c>
      <c r="AJ9141">
        <v>96.175940952865901</v>
      </c>
      <c r="AK9141">
        <v>44.402825915272601</v>
      </c>
      <c r="AL9141">
        <v>89.6676529990782</v>
      </c>
      <c r="AM9141">
        <v>89.468070544722295</v>
      </c>
      <c r="AN9141">
        <v>1.0000000176950099</v>
      </c>
    </row>
    <row r="9142" spans="1:40" x14ac:dyDescent="0.25">
      <c r="A9142" t="str">
        <f>"20190312154135148"</f>
        <v>20190312154135148</v>
      </c>
      <c r="B9142" t="str">
        <f>"1552376495145571"</f>
        <v>1552376495145571</v>
      </c>
      <c r="C9142" t="s">
        <v>40</v>
      </c>
      <c r="D9142">
        <v>4.1425580000000002</v>
      </c>
      <c r="E9142">
        <v>0.45446520000000001</v>
      </c>
      <c r="F9142" t="s">
        <v>69</v>
      </c>
      <c r="G9142">
        <v>-192.8991</v>
      </c>
      <c r="H9142" s="1">
        <v>-7.1598450000000002E-6</v>
      </c>
      <c r="I9142">
        <v>-58.483719999999998</v>
      </c>
      <c r="J9142">
        <v>-234.91630000000001</v>
      </c>
      <c r="K9142">
        <v>1.1102540000000001</v>
      </c>
      <c r="L9142">
        <v>-62.499879999999997</v>
      </c>
      <c r="M9142">
        <v>0.99978650000000002</v>
      </c>
      <c r="N9142">
        <v>0</v>
      </c>
      <c r="O9142">
        <v>-1.46745E-2</v>
      </c>
      <c r="P9142">
        <v>0.99966869999999997</v>
      </c>
      <c r="Q9142">
        <v>-8.4613069999999995E-3</v>
      </c>
      <c r="R9142">
        <v>-2.4315239999999998E-2</v>
      </c>
      <c r="S9142">
        <v>3.0071560000000002</v>
      </c>
      <c r="T9142">
        <v>-7.9251290000000002E-2</v>
      </c>
      <c r="U9142">
        <v>0.28656009999999998</v>
      </c>
      <c r="V9142">
        <v>9.6421479999999997E-3</v>
      </c>
      <c r="W9142">
        <v>6.0918589999999998E-3</v>
      </c>
      <c r="X9142">
        <v>0.99993500000000002</v>
      </c>
      <c r="Y9142">
        <v>-0.1094199</v>
      </c>
      <c r="Z9142">
        <v>1.8242239999999999E-3</v>
      </c>
      <c r="AA9142">
        <v>0.99399389999999999</v>
      </c>
      <c r="AB9142">
        <v>22</v>
      </c>
      <c r="AC9142">
        <v>42.017200000000003</v>
      </c>
      <c r="AD9142">
        <v>-1.1102611598450001</v>
      </c>
      <c r="AE9142">
        <v>4.0161600000000002</v>
      </c>
      <c r="AF9142">
        <v>-4.6291711683149197</v>
      </c>
      <c r="AG9142">
        <v>-1.1102611598450001</v>
      </c>
      <c r="AH9142">
        <v>41.924725496135899</v>
      </c>
      <c r="AI9142">
        <v>91.507807445145602</v>
      </c>
      <c r="AJ9142">
        <v>96.300861928825796</v>
      </c>
      <c r="AK9142">
        <v>42.194128898165097</v>
      </c>
      <c r="AL9142">
        <v>89.650960046039899</v>
      </c>
      <c r="AM9142">
        <v>89.447526825422699</v>
      </c>
      <c r="AN9142">
        <v>1.0000000429945599</v>
      </c>
    </row>
    <row r="9143" spans="1:40" x14ac:dyDescent="0.25">
      <c r="A9143" t="str">
        <f>"20190312154135159"</f>
        <v>20190312154135159</v>
      </c>
      <c r="B9143" t="str">
        <f>"1552376495155331"</f>
        <v>1552376495155331</v>
      </c>
      <c r="C9143" t="s">
        <v>40</v>
      </c>
      <c r="D9143">
        <v>4.1004209999999999</v>
      </c>
      <c r="E9143">
        <v>0.4539725</v>
      </c>
      <c r="F9143" t="s">
        <v>69</v>
      </c>
      <c r="G9143">
        <v>-197.63630000000001</v>
      </c>
      <c r="H9143" s="1">
        <v>-7.5516470000000001E-6</v>
      </c>
      <c r="I9143">
        <v>-58.885539999999999</v>
      </c>
      <c r="J9143">
        <v>-234.8057</v>
      </c>
      <c r="K9143">
        <v>1.1102590000000001</v>
      </c>
      <c r="L9143">
        <v>-62.501530000000002</v>
      </c>
      <c r="M9143">
        <v>0.99978639999999996</v>
      </c>
      <c r="N9143">
        <v>0</v>
      </c>
      <c r="O9143">
        <v>-1.468943E-2</v>
      </c>
      <c r="P9143">
        <v>0.99966060000000001</v>
      </c>
      <c r="Q9143">
        <v>-8.2735080000000006E-3</v>
      </c>
      <c r="R9143">
        <v>-2.4712930000000001E-2</v>
      </c>
      <c r="S9143">
        <v>3.007339</v>
      </c>
      <c r="T9143">
        <v>-8.9563729999999994E-2</v>
      </c>
      <c r="U9143">
        <v>0.29156490000000002</v>
      </c>
      <c r="V9143">
        <v>1.002487E-2</v>
      </c>
      <c r="W9143">
        <v>6.2768679999999997E-3</v>
      </c>
      <c r="X9143">
        <v>0.99992999999999999</v>
      </c>
      <c r="Y9143">
        <v>-0.111055399999999</v>
      </c>
      <c r="Z9143">
        <v>2.0859479999999998E-3</v>
      </c>
      <c r="AA9143">
        <v>0.99381200000000003</v>
      </c>
      <c r="AB9143">
        <v>22</v>
      </c>
      <c r="AC9143">
        <v>37.169400000000003</v>
      </c>
      <c r="AD9143">
        <v>-1.1102665516470001</v>
      </c>
      <c r="AE9143">
        <v>3.61599</v>
      </c>
      <c r="AF9143">
        <v>-4.1579796339894397</v>
      </c>
      <c r="AG9143">
        <v>-1.1102665516470001</v>
      </c>
      <c r="AH9143">
        <v>37.079492533919101</v>
      </c>
      <c r="AI9143">
        <v>91.704411446742796</v>
      </c>
      <c r="AJ9143">
        <v>96.398242254907302</v>
      </c>
      <c r="AK9143">
        <v>37.328410802301001</v>
      </c>
      <c r="AL9143">
        <v>89.640359575805505</v>
      </c>
      <c r="AM9143">
        <v>89.425596293549205</v>
      </c>
      <c r="AN9143">
        <v>0.999999950995202</v>
      </c>
    </row>
    <row r="9144" spans="1:40" x14ac:dyDescent="0.25">
      <c r="A9144" t="str">
        <f>"20190312154135169"</f>
        <v>20190312154135169</v>
      </c>
      <c r="B9144" t="str">
        <f>"1552376495165091"</f>
        <v>1552376495165091</v>
      </c>
      <c r="C9144" t="s">
        <v>40</v>
      </c>
      <c r="D9144">
        <v>4.0872830000000002</v>
      </c>
      <c r="E9144">
        <v>0.45369399999999999</v>
      </c>
      <c r="F9144" t="s">
        <v>69</v>
      </c>
      <c r="G9144">
        <v>-197.8896</v>
      </c>
      <c r="H9144" s="1">
        <v>-7.5790499999999999E-6</v>
      </c>
      <c r="I9144">
        <v>-58.888629999999999</v>
      </c>
      <c r="J9144">
        <v>-234.69300000000001</v>
      </c>
      <c r="K9144">
        <v>1.1102590000000001</v>
      </c>
      <c r="L9144">
        <v>-62.503169999999997</v>
      </c>
      <c r="M9144">
        <v>0.99978610000000001</v>
      </c>
      <c r="N9144">
        <v>0</v>
      </c>
      <c r="O9144">
        <v>-1.4700889999999999E-2</v>
      </c>
      <c r="P9144">
        <v>0.99965110000000001</v>
      </c>
      <c r="Q9144">
        <v>-8.4654129999999998E-3</v>
      </c>
      <c r="R9144">
        <v>-2.5018740000000001E-2</v>
      </c>
      <c r="S9144">
        <v>3.0075530000000001</v>
      </c>
      <c r="T9144">
        <v>-9.0453270000000002E-2</v>
      </c>
      <c r="U9144">
        <v>0.29434199999999999</v>
      </c>
      <c r="V9144">
        <v>1.031935E-2</v>
      </c>
      <c r="W9144">
        <v>6.0827989999999998E-3</v>
      </c>
      <c r="X9144">
        <v>0.99992820000000004</v>
      </c>
      <c r="Y9144">
        <v>-0.1119675</v>
      </c>
      <c r="Z9144">
        <v>2.1204380000000001E-3</v>
      </c>
      <c r="AA9144">
        <v>0.99370959999999997</v>
      </c>
      <c r="AB9144">
        <v>22</v>
      </c>
      <c r="AC9144">
        <v>36.803399999999897</v>
      </c>
      <c r="AD9144">
        <v>-1.1102665790499999</v>
      </c>
      <c r="AE9144">
        <v>3.6145399999999901</v>
      </c>
      <c r="AF9144">
        <v>-4.1515072118867602</v>
      </c>
      <c r="AG9144">
        <v>-1.1102665790499999</v>
      </c>
      <c r="AH9144">
        <v>36.7131867926417</v>
      </c>
      <c r="AI9144">
        <v>91.721226767414507</v>
      </c>
      <c r="AJ9144">
        <v>96.451570091618606</v>
      </c>
      <c r="AK9144">
        <v>36.963844341170798</v>
      </c>
      <c r="AL9144">
        <v>89.651479122043099</v>
      </c>
      <c r="AM9144">
        <v>89.408723333078498</v>
      </c>
      <c r="AN9144">
        <v>0.99999994729166697</v>
      </c>
    </row>
    <row r="9145" spans="1:40" x14ac:dyDescent="0.25">
      <c r="A9145" t="str">
        <f>"20190312154135181"</f>
        <v>20190312154135181</v>
      </c>
      <c r="B9145" t="str">
        <f>"1552376495174851"</f>
        <v>1552376495174851</v>
      </c>
      <c r="C9145" t="s">
        <v>40</v>
      </c>
      <c r="D9145">
        <v>4.0828610000000003</v>
      </c>
      <c r="E9145">
        <v>0.45319019999999999</v>
      </c>
      <c r="F9145" t="s">
        <v>69</v>
      </c>
      <c r="G9145">
        <v>-199.51230000000001</v>
      </c>
      <c r="H9145" s="1">
        <v>-7.7069739999999998E-6</v>
      </c>
      <c r="I9145">
        <v>-59.044170000000001</v>
      </c>
      <c r="J9145">
        <v>-234.58250000000001</v>
      </c>
      <c r="K9145">
        <v>1.110263</v>
      </c>
      <c r="L9145">
        <v>-62.504820000000002</v>
      </c>
      <c r="M9145">
        <v>0.99978599999999995</v>
      </c>
      <c r="N9145">
        <v>0</v>
      </c>
      <c r="O9145">
        <v>-1.4710340000000001E-2</v>
      </c>
      <c r="P9145">
        <v>0.99964980000000003</v>
      </c>
      <c r="Q9145">
        <v>-8.6498410000000001E-3</v>
      </c>
      <c r="R9145">
        <v>-2.5011740000000001E-2</v>
      </c>
      <c r="S9145">
        <v>3.0076450000000001</v>
      </c>
      <c r="T9145">
        <v>-9.4918130000000003E-2</v>
      </c>
      <c r="U9145">
        <v>0.29571530000000001</v>
      </c>
      <c r="V9145">
        <v>1.030288E-2</v>
      </c>
      <c r="W9145">
        <v>5.8958830000000002E-3</v>
      </c>
      <c r="X9145">
        <v>0.99992950000000003</v>
      </c>
      <c r="Y9145">
        <v>-0.1124174</v>
      </c>
      <c r="Z9145">
        <v>2.2323170000000002E-3</v>
      </c>
      <c r="AA9145">
        <v>0.9936585</v>
      </c>
      <c r="AB9145">
        <v>22</v>
      </c>
      <c r="AC9145">
        <v>35.0702</v>
      </c>
      <c r="AD9145">
        <v>-1.1102707069740001</v>
      </c>
      <c r="AE9145">
        <v>3.4606499999999998</v>
      </c>
      <c r="AF9145">
        <v>-3.97228174006956</v>
      </c>
      <c r="AG9145">
        <v>-1.1102707069740001</v>
      </c>
      <c r="AH9145">
        <v>34.980769974770404</v>
      </c>
      <c r="AI9145">
        <v>91.806325526075</v>
      </c>
      <c r="AJ9145">
        <v>96.478536627919794</v>
      </c>
      <c r="AK9145">
        <v>35.223088894829402</v>
      </c>
      <c r="AL9145">
        <v>89.662188816212506</v>
      </c>
      <c r="AM9145">
        <v>89.409667729419397</v>
      </c>
      <c r="AN9145">
        <v>0.99999995787144602</v>
      </c>
    </row>
    <row r="9146" spans="1:40" x14ac:dyDescent="0.25">
      <c r="A9146" t="str">
        <f>"20190312154135193"</f>
        <v>20190312154135193</v>
      </c>
      <c r="B9146" t="str">
        <f>"1552376495185587"</f>
        <v>1552376495185587</v>
      </c>
      <c r="C9146" t="s">
        <v>40</v>
      </c>
      <c r="D9146">
        <v>4.1164290000000001</v>
      </c>
      <c r="E9146">
        <v>0.45286700000000002</v>
      </c>
      <c r="F9146" t="s">
        <v>69</v>
      </c>
      <c r="G9146">
        <v>-200.89920000000001</v>
      </c>
      <c r="H9146" s="1">
        <v>-5.5186769999999998E-6</v>
      </c>
      <c r="I9146">
        <v>-59.147300000000001</v>
      </c>
      <c r="J9146">
        <v>-234.4701</v>
      </c>
      <c r="K9146">
        <v>1.110266</v>
      </c>
      <c r="L9146">
        <v>-62.506469999999901</v>
      </c>
      <c r="M9146">
        <v>0.99978610000000001</v>
      </c>
      <c r="N9146">
        <v>0</v>
      </c>
      <c r="O9146">
        <v>-1.471717E-2</v>
      </c>
      <c r="P9146">
        <v>0.99964500000000001</v>
      </c>
      <c r="Q9146">
        <v>-9.0663619999999997E-3</v>
      </c>
      <c r="R9146">
        <v>-2.506483E-2</v>
      </c>
      <c r="S9146">
        <v>3.0076900000000002</v>
      </c>
      <c r="T9146">
        <v>-9.9139450000000004E-2</v>
      </c>
      <c r="U9146">
        <v>0.29980469999999998</v>
      </c>
      <c r="V9146">
        <v>1.0348990000000001E-2</v>
      </c>
      <c r="W9146">
        <v>5.4767499999999998E-3</v>
      </c>
      <c r="X9146">
        <v>0.99993149999999997</v>
      </c>
      <c r="Y9146">
        <v>-0.1137541</v>
      </c>
      <c r="Z9146">
        <v>2.3535470000000001E-3</v>
      </c>
      <c r="AA9146">
        <v>0.99350609999999995</v>
      </c>
      <c r="AB9146">
        <v>22</v>
      </c>
      <c r="AC9146">
        <v>33.570899999999902</v>
      </c>
      <c r="AD9146">
        <v>-1.110271518677</v>
      </c>
      <c r="AE9146">
        <v>3.35916999999999</v>
      </c>
      <c r="AF9146">
        <v>-3.8487589399859998</v>
      </c>
      <c r="AG9146">
        <v>-1.110271518677</v>
      </c>
      <c r="AH9146">
        <v>33.481562058802801</v>
      </c>
      <c r="AI9146">
        <v>91.8868549658891</v>
      </c>
      <c r="AJ9146">
        <v>96.557459146073995</v>
      </c>
      <c r="AK9146">
        <v>33.720329863759801</v>
      </c>
      <c r="AL9146">
        <v>89.686203786688594</v>
      </c>
      <c r="AM9146">
        <v>89.407027102426397</v>
      </c>
      <c r="AN9146">
        <v>1.0000000505384099</v>
      </c>
    </row>
    <row r="9147" spans="1:40" x14ac:dyDescent="0.25">
      <c r="A9147" t="str">
        <f>"20190312154135204"</f>
        <v>20190312154135204</v>
      </c>
      <c r="B9147" t="str">
        <f>"1552376495195347"</f>
        <v>1552376495195347</v>
      </c>
      <c r="C9147" t="s">
        <v>40</v>
      </c>
      <c r="D9147">
        <v>4.1254569999999999</v>
      </c>
      <c r="E9147">
        <v>0.45261170000000001</v>
      </c>
      <c r="F9147" t="s">
        <v>69</v>
      </c>
      <c r="G9147">
        <v>-201.25540000000001</v>
      </c>
      <c r="H9147" s="1">
        <v>-5.3323639999999998E-6</v>
      </c>
      <c r="I9147">
        <v>-59.169069999999998</v>
      </c>
      <c r="J9147">
        <v>-234.36259999999999</v>
      </c>
      <c r="K9147">
        <v>1.11026</v>
      </c>
      <c r="L9147">
        <v>-62.50806</v>
      </c>
      <c r="M9147">
        <v>0.99978599999999995</v>
      </c>
      <c r="N9147">
        <v>0</v>
      </c>
      <c r="O9147">
        <v>-1.472126E-2</v>
      </c>
      <c r="P9147">
        <v>0.99964500000000001</v>
      </c>
      <c r="Q9147">
        <v>-9.410514E-3</v>
      </c>
      <c r="R9147">
        <v>-2.4929369999999999E-2</v>
      </c>
      <c r="S9147">
        <v>3.007736</v>
      </c>
      <c r="T9147">
        <v>-0.1005399</v>
      </c>
      <c r="U9147">
        <v>0.30221559999999997</v>
      </c>
      <c r="V9147">
        <v>1.020944E-2</v>
      </c>
      <c r="W9147">
        <v>5.129616E-3</v>
      </c>
      <c r="X9147">
        <v>0.99993469999999995</v>
      </c>
      <c r="Y9147">
        <v>-0.1145427</v>
      </c>
      <c r="Z9147">
        <v>2.3999260000000001E-3</v>
      </c>
      <c r="AA9147">
        <v>0.99341539999999995</v>
      </c>
      <c r="AB9147">
        <v>22</v>
      </c>
      <c r="AC9147">
        <v>33.107199999999899</v>
      </c>
      <c r="AD9147">
        <v>-1.1102653323639999</v>
      </c>
      <c r="AE9147">
        <v>3.3389899999999999</v>
      </c>
      <c r="AF9147">
        <v>-3.8218044545361098</v>
      </c>
      <c r="AG9147">
        <v>-1.1102653323639999</v>
      </c>
      <c r="AH9147">
        <v>33.017693582728299</v>
      </c>
      <c r="AI9147">
        <v>91.913159533755504</v>
      </c>
      <c r="AJ9147">
        <v>96.602614730127598</v>
      </c>
      <c r="AK9147">
        <v>33.256683056491099</v>
      </c>
      <c r="AL9147">
        <v>89.706093356378005</v>
      </c>
      <c r="AM9147">
        <v>89.415024303182506</v>
      </c>
      <c r="AN9147">
        <v>0.99999997494475501</v>
      </c>
    </row>
    <row r="9148" spans="1:40" x14ac:dyDescent="0.25">
      <c r="A9148" t="str">
        <f>"20190312154135214"</f>
        <v>20190312154135214</v>
      </c>
      <c r="B9148" t="str">
        <f>"1552376495205107"</f>
        <v>1552376495205107</v>
      </c>
      <c r="C9148" t="s">
        <v>40</v>
      </c>
      <c r="D9148">
        <v>4.1330309999999999</v>
      </c>
      <c r="E9148">
        <v>0.45240629999999998</v>
      </c>
      <c r="F9148" t="s">
        <v>69</v>
      </c>
      <c r="G9148">
        <v>-201.6223</v>
      </c>
      <c r="H9148" s="1">
        <v>-5.1404269999999996E-6</v>
      </c>
      <c r="I9148">
        <v>-59.191400000000002</v>
      </c>
      <c r="J9148">
        <v>-234.2568</v>
      </c>
      <c r="K9148">
        <v>1.1102620000000001</v>
      </c>
      <c r="L9148">
        <v>-62.509610000000002</v>
      </c>
      <c r="M9148">
        <v>0.99978599999999995</v>
      </c>
      <c r="N9148">
        <v>0</v>
      </c>
      <c r="O9148">
        <v>-1.472382E-2</v>
      </c>
      <c r="P9148">
        <v>0.99964770000000003</v>
      </c>
      <c r="Q9148">
        <v>-9.5641070000000005E-3</v>
      </c>
      <c r="R9148">
        <v>-2.4763250000000001E-2</v>
      </c>
      <c r="S9148">
        <v>3.0077210000000001</v>
      </c>
      <c r="T9148">
        <v>-0.10199569999999999</v>
      </c>
      <c r="U9148">
        <v>0.3046875</v>
      </c>
      <c r="V9148">
        <v>1.0040769999999999E-2</v>
      </c>
      <c r="W9148">
        <v>4.9736939999999999E-3</v>
      </c>
      <c r="X9148">
        <v>0.99993719999999997</v>
      </c>
      <c r="Y9148">
        <v>-0.11535140000000001</v>
      </c>
      <c r="Z9148">
        <v>2.448328E-3</v>
      </c>
      <c r="AA9148">
        <v>0.99332169999999997</v>
      </c>
      <c r="AB9148">
        <v>22</v>
      </c>
      <c r="AC9148">
        <v>32.634500000000003</v>
      </c>
      <c r="AD9148">
        <v>-1.1102671404269999</v>
      </c>
      <c r="AE9148">
        <v>3.3182099999999899</v>
      </c>
      <c r="AF9148">
        <v>-3.7940589842386898</v>
      </c>
      <c r="AG9148">
        <v>-1.1102671404269999</v>
      </c>
      <c r="AH9148">
        <v>32.5448163015445</v>
      </c>
      <c r="AI9148">
        <v>91.940755507814899</v>
      </c>
      <c r="AJ9148">
        <v>96.649498773254706</v>
      </c>
      <c r="AK9148">
        <v>32.784030331859299</v>
      </c>
      <c r="AL9148">
        <v>89.715027144383001</v>
      </c>
      <c r="AM9148">
        <v>89.424689460837101</v>
      </c>
      <c r="AN9148">
        <v>0.99999997931901896</v>
      </c>
    </row>
    <row r="9149" spans="1:40" x14ac:dyDescent="0.25">
      <c r="A9149" t="str">
        <f>"20190312154135226"</f>
        <v>20190312154135226</v>
      </c>
      <c r="B9149" t="str">
        <f>"1552376495215376"</f>
        <v>1552376495215376</v>
      </c>
      <c r="C9149" t="s">
        <v>40</v>
      </c>
      <c r="D9149">
        <v>4.1129059999999997</v>
      </c>
      <c r="E9149">
        <v>0.45223390000000002</v>
      </c>
      <c r="F9149" t="s">
        <v>69</v>
      </c>
      <c r="G9149">
        <v>-200.98949999999999</v>
      </c>
      <c r="H9149" s="1">
        <v>-5.4794060000000002E-6</v>
      </c>
      <c r="I9149">
        <v>-59.116930000000004</v>
      </c>
      <c r="J9149">
        <v>-234.15110000000001</v>
      </c>
      <c r="K9149">
        <v>1.110263</v>
      </c>
      <c r="L9149">
        <v>-62.5111699999999</v>
      </c>
      <c r="M9149">
        <v>0.99978590000000001</v>
      </c>
      <c r="N9149">
        <v>0</v>
      </c>
      <c r="O9149">
        <v>-1.472411E-2</v>
      </c>
      <c r="P9149">
        <v>0.99965470000000001</v>
      </c>
      <c r="Q9149">
        <v>-9.4506799999999995E-3</v>
      </c>
      <c r="R9149">
        <v>-2.4521350000000001E-2</v>
      </c>
      <c r="S9149">
        <v>3.0076900000000002</v>
      </c>
      <c r="T9149">
        <v>-0.1003791</v>
      </c>
      <c r="U9149">
        <v>0.30673220000000001</v>
      </c>
      <c r="V9149">
        <v>9.7984219999999993E-3</v>
      </c>
      <c r="W9149">
        <v>5.084318E-3</v>
      </c>
      <c r="X9149">
        <v>0.99993909999999997</v>
      </c>
      <c r="Y9149">
        <v>-0.116023</v>
      </c>
      <c r="Z9149">
        <v>2.420672E-3</v>
      </c>
      <c r="AA9149">
        <v>0.9932436</v>
      </c>
      <c r="AB9149">
        <v>22</v>
      </c>
      <c r="AC9149">
        <v>33.1616</v>
      </c>
      <c r="AD9149">
        <v>-1.11026847940599</v>
      </c>
      <c r="AE9149">
        <v>3.3942399999999799</v>
      </c>
      <c r="AF9149">
        <v>-3.8778967730830498</v>
      </c>
      <c r="AG9149">
        <v>-1.11026847940599</v>
      </c>
      <c r="AH9149">
        <v>33.071335027259103</v>
      </c>
      <c r="AI9149">
        <v>91.909733228153598</v>
      </c>
      <c r="AJ9149">
        <v>96.687879760599202</v>
      </c>
      <c r="AK9149">
        <v>33.316422076271401</v>
      </c>
      <c r="AL9149">
        <v>89.708688790995396</v>
      </c>
      <c r="AM9149">
        <v>89.438575550677498</v>
      </c>
      <c r="AN9149">
        <v>1.00000003153601</v>
      </c>
    </row>
    <row r="9150" spans="1:40" x14ac:dyDescent="0.25">
      <c r="A9150" t="str">
        <f>"20190312154135236"</f>
        <v>20190312154135236</v>
      </c>
      <c r="B9150" t="str">
        <f>"1552376495225134"</f>
        <v>1552376495225134</v>
      </c>
      <c r="C9150" t="s">
        <v>40</v>
      </c>
      <c r="D9150">
        <v>4.1118949999999996</v>
      </c>
      <c r="E9150">
        <v>0.45202959999999898</v>
      </c>
      <c r="F9150" t="s">
        <v>69</v>
      </c>
      <c r="G9150">
        <v>-200.58959999999999</v>
      </c>
      <c r="H9150" s="1">
        <v>-5.6910079999999996E-6</v>
      </c>
      <c r="I9150">
        <v>-59.065330000000003</v>
      </c>
      <c r="J9150">
        <v>-234.04060000000001</v>
      </c>
      <c r="K9150">
        <v>1.1102639999999999</v>
      </c>
      <c r="L9150">
        <v>-62.512819999999998</v>
      </c>
      <c r="M9150">
        <v>0.99978610000000001</v>
      </c>
      <c r="N9150">
        <v>0</v>
      </c>
      <c r="O9150">
        <v>-1.4724050000000001E-2</v>
      </c>
      <c r="P9150">
        <v>0.99966189999999999</v>
      </c>
      <c r="Q9150">
        <v>-9.4869619999999998E-3</v>
      </c>
      <c r="R9150">
        <v>-2.4213780000000001E-2</v>
      </c>
      <c r="S9150">
        <v>3.0076900000000002</v>
      </c>
      <c r="T9150">
        <v>-9.9499459999999998E-2</v>
      </c>
      <c r="U9150">
        <v>0.30880740000000001</v>
      </c>
      <c r="V9150">
        <v>9.4908479999999996E-3</v>
      </c>
      <c r="W9150">
        <v>5.0456950000000002E-3</v>
      </c>
      <c r="X9150">
        <v>0.9999422</v>
      </c>
      <c r="Y9150">
        <v>-0.116702</v>
      </c>
      <c r="Z9150">
        <v>2.4105839999999999E-3</v>
      </c>
      <c r="AA9150">
        <v>0.99316409999999999</v>
      </c>
      <c r="AB9150">
        <v>22</v>
      </c>
      <c r="AC9150">
        <v>33.451000000000001</v>
      </c>
      <c r="AD9150">
        <v>-1.1102696910080001</v>
      </c>
      <c r="AE9150">
        <v>3.44748999999999</v>
      </c>
      <c r="AF9150">
        <v>-3.93541251965845</v>
      </c>
      <c r="AG9150">
        <v>-1.1102696910080001</v>
      </c>
      <c r="AH9150">
        <v>33.3602419703574</v>
      </c>
      <c r="AI9150">
        <v>91.893053168447395</v>
      </c>
      <c r="AJ9150">
        <v>96.727925382826697</v>
      </c>
      <c r="AK9150">
        <v>33.609907985703401</v>
      </c>
      <c r="AL9150">
        <v>89.710901736207902</v>
      </c>
      <c r="AM9150">
        <v>89.456199362305398</v>
      </c>
      <c r="AN9150">
        <v>0.99999996928731505</v>
      </c>
    </row>
    <row r="9151" spans="1:40" x14ac:dyDescent="0.25">
      <c r="A9151" t="str">
        <f>"20190312154135248"</f>
        <v>20190312154135248</v>
      </c>
      <c r="B9151" t="str">
        <f>"1552376495234894"</f>
        <v>1552376495234894</v>
      </c>
      <c r="C9151" t="s">
        <v>40</v>
      </c>
      <c r="D9151">
        <v>4.1440580000000002</v>
      </c>
      <c r="E9151">
        <v>0.45191170000000003</v>
      </c>
      <c r="F9151" t="s">
        <v>69</v>
      </c>
      <c r="G9151">
        <v>-200.30549999999999</v>
      </c>
      <c r="H9151" s="1">
        <v>-5.8055840000000004E-6</v>
      </c>
      <c r="I9151">
        <v>-59.020299999999999</v>
      </c>
      <c r="J9151">
        <v>-233.9298</v>
      </c>
      <c r="K9151">
        <v>1.110266</v>
      </c>
      <c r="L9151">
        <v>-62.514429999999997</v>
      </c>
      <c r="M9151">
        <v>0.99978610000000001</v>
      </c>
      <c r="N9151">
        <v>0</v>
      </c>
      <c r="O9151">
        <v>-1.472245E-2</v>
      </c>
      <c r="P9151">
        <v>0.99967039999999996</v>
      </c>
      <c r="Q9151">
        <v>-9.4110740000000002E-3</v>
      </c>
      <c r="R9151">
        <v>-2.3887930000000002E-2</v>
      </c>
      <c r="S9151">
        <v>3.0076139999999998</v>
      </c>
      <c r="T9151">
        <v>-9.8984719999999998E-2</v>
      </c>
      <c r="U9151">
        <v>0.3113708</v>
      </c>
      <c r="V9151">
        <v>9.1664759999999998E-3</v>
      </c>
      <c r="W9151">
        <v>5.1191270000000002E-3</v>
      </c>
      <c r="X9151">
        <v>0.99994490000000003</v>
      </c>
      <c r="Y9151">
        <v>-0.1175408</v>
      </c>
      <c r="Z9151">
        <v>2.4117869999999999E-3</v>
      </c>
      <c r="AA9151">
        <v>0.99306510000000003</v>
      </c>
      <c r="AB9151">
        <v>22</v>
      </c>
      <c r="AC9151">
        <v>33.624299999999998</v>
      </c>
      <c r="AD9151">
        <v>-1.110271805584</v>
      </c>
      <c r="AE9151">
        <v>3.4941300000000002</v>
      </c>
      <c r="AF9151">
        <v>-3.9845375432247399</v>
      </c>
      <c r="AG9151">
        <v>-1.110271805584</v>
      </c>
      <c r="AH9151">
        <v>33.533036424543397</v>
      </c>
      <c r="AI9151">
        <v>91.883120641067407</v>
      </c>
      <c r="AJ9151">
        <v>96.776354377645006</v>
      </c>
      <c r="AK9151">
        <v>33.787183587351599</v>
      </c>
      <c r="AL9151">
        <v>89.706694351871207</v>
      </c>
      <c r="AM9151">
        <v>89.474785383607994</v>
      </c>
      <c r="AN9151">
        <v>1.00000001638975</v>
      </c>
    </row>
    <row r="9152" spans="1:40" x14ac:dyDescent="0.25">
      <c r="A9152" t="str">
        <f>"20190312154135259"</f>
        <v>20190312154135259</v>
      </c>
      <c r="B9152" t="str">
        <f>"1552376495255394"</f>
        <v>1552376495255394</v>
      </c>
      <c r="C9152" t="s">
        <v>40</v>
      </c>
      <c r="D9152">
        <v>4.1345720000000004</v>
      </c>
      <c r="E9152">
        <v>0.45155590000000001</v>
      </c>
      <c r="F9152" t="s">
        <v>69</v>
      </c>
      <c r="G9152">
        <v>-200.61269999999999</v>
      </c>
      <c r="H9152" s="1">
        <v>-5.6857550000000001E-6</v>
      </c>
      <c r="I9152">
        <v>-59.043140000000001</v>
      </c>
      <c r="J9152">
        <v>-233.82159999999999</v>
      </c>
      <c r="K9152">
        <v>1.1102669999999999</v>
      </c>
      <c r="L9152">
        <v>-62.51605</v>
      </c>
      <c r="M9152">
        <v>0.99978630000000002</v>
      </c>
      <c r="N9152">
        <v>0</v>
      </c>
      <c r="O9152">
        <v>-1.472072E-2</v>
      </c>
      <c r="P9152">
        <v>0.99967620000000001</v>
      </c>
      <c r="Q9152">
        <v>-9.2764909999999996E-3</v>
      </c>
      <c r="R9152">
        <v>-2.3705150000000001E-2</v>
      </c>
      <c r="S9152">
        <v>3.0075530000000001</v>
      </c>
      <c r="T9152">
        <v>-0.1002247</v>
      </c>
      <c r="U9152">
        <v>0.31335449999999998</v>
      </c>
      <c r="V9152">
        <v>8.985336E-3</v>
      </c>
      <c r="W9152">
        <v>5.2512089999999997E-3</v>
      </c>
      <c r="X9152">
        <v>0.9999458</v>
      </c>
      <c r="Y9152">
        <v>-0.118187</v>
      </c>
      <c r="Z9152">
        <v>2.4526280000000001E-3</v>
      </c>
      <c r="AA9152">
        <v>0.99298830000000005</v>
      </c>
      <c r="AB9152">
        <v>22</v>
      </c>
      <c r="AC9152">
        <v>33.2089</v>
      </c>
      <c r="AD9152">
        <v>-1.110272685755</v>
      </c>
      <c r="AE9152">
        <v>3.4729099999999899</v>
      </c>
      <c r="AF9152">
        <v>-3.95706880634769</v>
      </c>
      <c r="AG9152">
        <v>-1.110272685755</v>
      </c>
      <c r="AH9152">
        <v>33.117554582906898</v>
      </c>
      <c r="AI9152">
        <v>91.906581800790207</v>
      </c>
      <c r="AJ9152">
        <v>96.813713546871199</v>
      </c>
      <c r="AK9152">
        <v>33.371597512356502</v>
      </c>
      <c r="AL9152">
        <v>89.6991264912958</v>
      </c>
      <c r="AM9152">
        <v>89.4851641213493</v>
      </c>
      <c r="AN9152">
        <v>0.99999995719831603</v>
      </c>
    </row>
    <row r="9153" spans="1:40" x14ac:dyDescent="0.25">
      <c r="A9153" t="str">
        <f>"20190312154135271"</f>
        <v>20190312154135271</v>
      </c>
      <c r="B9153" t="str">
        <f>"1552376495265153"</f>
        <v>1552376495265153</v>
      </c>
      <c r="C9153" t="s">
        <v>40</v>
      </c>
      <c r="D9153">
        <v>4.1158089999999996</v>
      </c>
      <c r="E9153">
        <v>0.45145109999999999</v>
      </c>
      <c r="F9153" t="s">
        <v>69</v>
      </c>
      <c r="G9153">
        <v>-200.0889</v>
      </c>
      <c r="H9153" s="1">
        <v>-5.896425E-6</v>
      </c>
      <c r="I9153">
        <v>-58.963479999999997</v>
      </c>
      <c r="J9153">
        <v>-233.7099</v>
      </c>
      <c r="K9153">
        <v>1.110268</v>
      </c>
      <c r="L9153">
        <v>-62.517670000000003</v>
      </c>
      <c r="M9153">
        <v>0.99978630000000002</v>
      </c>
      <c r="N9153">
        <v>0</v>
      </c>
      <c r="O9153">
        <v>-1.4718530000000001E-2</v>
      </c>
      <c r="P9153">
        <v>0.99968809999999997</v>
      </c>
      <c r="Q9153">
        <v>-9.0762640000000006E-3</v>
      </c>
      <c r="R9153">
        <v>-2.3271690000000001E-2</v>
      </c>
      <c r="S9153">
        <v>3.0075530000000001</v>
      </c>
      <c r="T9153">
        <v>-9.8990079999999994E-2</v>
      </c>
      <c r="U9153">
        <v>0.31674190000000002</v>
      </c>
      <c r="V9153">
        <v>8.5537740000000001E-3</v>
      </c>
      <c r="W9153">
        <v>5.4486159999999999E-3</v>
      </c>
      <c r="X9153">
        <v>0.99994859999999997</v>
      </c>
      <c r="Y9153">
        <v>-0.1192922</v>
      </c>
      <c r="Z9153">
        <v>2.4403519999999998E-3</v>
      </c>
      <c r="AA9153">
        <v>0.99285619999999997</v>
      </c>
      <c r="AB9153">
        <v>22</v>
      </c>
      <c r="AC9153">
        <v>33.621000000000002</v>
      </c>
      <c r="AD9153">
        <v>-1.1102738964250001</v>
      </c>
      <c r="AE9153">
        <v>3.55418999999999</v>
      </c>
      <c r="AF9153">
        <v>-4.0443470076928802</v>
      </c>
      <c r="AG9153">
        <v>-1.1102738964250001</v>
      </c>
      <c r="AH9153">
        <v>33.528879062938401</v>
      </c>
      <c r="AI9153">
        <v>91.882958031417999</v>
      </c>
      <c r="AJ9153">
        <v>96.877947628070203</v>
      </c>
      <c r="AK9153">
        <v>33.790163983929801</v>
      </c>
      <c r="AL9153">
        <v>89.687815763256395</v>
      </c>
      <c r="AM9153">
        <v>89.509891612962903</v>
      </c>
      <c r="AN9153">
        <v>1.0000000285539501</v>
      </c>
    </row>
    <row r="9154" spans="1:40" x14ac:dyDescent="0.25">
      <c r="A9154" t="str">
        <f>"20190312154135281"</f>
        <v>20190312154135281</v>
      </c>
      <c r="B9154" t="str">
        <f>"1552376495274910"</f>
        <v>1552376495274910</v>
      </c>
      <c r="C9154" t="s">
        <v>40</v>
      </c>
      <c r="D9154">
        <v>4.0969680000000004</v>
      </c>
      <c r="E9154">
        <v>0.45134249999999998</v>
      </c>
      <c r="F9154" t="s">
        <v>69</v>
      </c>
      <c r="G9154">
        <v>-200.06639999999999</v>
      </c>
      <c r="H9154" s="1">
        <v>-5.9069119999999996E-6</v>
      </c>
      <c r="I9154">
        <v>-58.950800000000001</v>
      </c>
      <c r="J9154">
        <v>-233.60169999999999</v>
      </c>
      <c r="K9154">
        <v>1.110269</v>
      </c>
      <c r="L9154">
        <v>-62.519289999999998</v>
      </c>
      <c r="M9154">
        <v>0.99978630000000002</v>
      </c>
      <c r="N9154">
        <v>0</v>
      </c>
      <c r="O9154">
        <v>-1.4716460000000001E-2</v>
      </c>
      <c r="P9154">
        <v>0.99970119999999896</v>
      </c>
      <c r="Q9154">
        <v>-8.8356939999999998E-3</v>
      </c>
      <c r="R9154">
        <v>-2.279486E-2</v>
      </c>
      <c r="S9154">
        <v>3.007431</v>
      </c>
      <c r="T9154">
        <v>-9.9248649999999994E-2</v>
      </c>
      <c r="U9154">
        <v>0.31884770000000001</v>
      </c>
      <c r="V9154">
        <v>8.0791690000000006E-3</v>
      </c>
      <c r="W9154">
        <v>5.6870310000000004E-3</v>
      </c>
      <c r="X9154">
        <v>0.99995120000000004</v>
      </c>
      <c r="Y9154">
        <v>-0.11998109999999999</v>
      </c>
      <c r="Z9154">
        <v>2.4579960000000001E-3</v>
      </c>
      <c r="AA9154">
        <v>0.99277309999999996</v>
      </c>
      <c r="AB9154">
        <v>22</v>
      </c>
      <c r="AC9154">
        <v>33.535299999999999</v>
      </c>
      <c r="AD9154">
        <v>-1.1102749069119999</v>
      </c>
      <c r="AE9154">
        <v>3.5684900000000002</v>
      </c>
      <c r="AF9154">
        <v>-4.0572789405970404</v>
      </c>
      <c r="AG9154">
        <v>-1.1102749069119999</v>
      </c>
      <c r="AH9154">
        <v>33.442899638679499</v>
      </c>
      <c r="AI9154">
        <v>91.887640494798006</v>
      </c>
      <c r="AJ9154">
        <v>96.917295505433003</v>
      </c>
      <c r="AK9154">
        <v>33.706405311357699</v>
      </c>
      <c r="AL9154">
        <v>89.674155372174795</v>
      </c>
      <c r="AM9154">
        <v>89.537085196342403</v>
      </c>
      <c r="AN9154">
        <v>1.0000000088373799</v>
      </c>
    </row>
    <row r="9155" spans="1:40" x14ac:dyDescent="0.25">
      <c r="A9155" t="str">
        <f>"20190312154135293"</f>
        <v>20190312154135293</v>
      </c>
      <c r="B9155" t="str">
        <f>"1552376495285645"</f>
        <v>1552376495285645</v>
      </c>
      <c r="C9155" t="s">
        <v>40</v>
      </c>
      <c r="D9155">
        <v>4.13408</v>
      </c>
      <c r="E9155">
        <v>0.45126660000000002</v>
      </c>
      <c r="F9155" t="s">
        <v>69</v>
      </c>
      <c r="G9155">
        <v>-199.94229999999999</v>
      </c>
      <c r="H9155" s="1">
        <v>-7.7972909999999994E-6</v>
      </c>
      <c r="I9155">
        <v>-58.924680000000002</v>
      </c>
      <c r="J9155">
        <v>-233.4913</v>
      </c>
      <c r="K9155">
        <v>1.1102719999999999</v>
      </c>
      <c r="L9155">
        <v>-62.520899999999997</v>
      </c>
      <c r="M9155">
        <v>0.99978630000000002</v>
      </c>
      <c r="N9155">
        <v>0</v>
      </c>
      <c r="O9155">
        <v>-1.471415E-2</v>
      </c>
      <c r="P9155">
        <v>0.9997085</v>
      </c>
      <c r="Q9155">
        <v>-8.8444089999999993E-3</v>
      </c>
      <c r="R9155">
        <v>-2.246985E-2</v>
      </c>
      <c r="S9155">
        <v>3.007355</v>
      </c>
      <c r="T9155">
        <v>-9.9199770000000007E-2</v>
      </c>
      <c r="U9155">
        <v>0.32116699999999998</v>
      </c>
      <c r="V9155">
        <v>7.7560679999999996E-3</v>
      </c>
      <c r="W9155">
        <v>5.675111E-3</v>
      </c>
      <c r="X9155">
        <v>0.9999538</v>
      </c>
      <c r="Y9155">
        <v>-0.1207381</v>
      </c>
      <c r="Z9155">
        <v>2.46912E-3</v>
      </c>
      <c r="AA9155">
        <v>0.99268129999999999</v>
      </c>
      <c r="AB9155">
        <v>22</v>
      </c>
      <c r="AC9155">
        <v>33.548999999999999</v>
      </c>
      <c r="AD9155">
        <v>-1.1102797972909999</v>
      </c>
      <c r="AE9155">
        <v>3.59621999999999</v>
      </c>
      <c r="AF9155">
        <v>-4.0851043560355196</v>
      </c>
      <c r="AG9155">
        <v>-1.1102797972909999</v>
      </c>
      <c r="AH9155">
        <v>33.456220315377003</v>
      </c>
      <c r="AI9155">
        <v>91.886720625876407</v>
      </c>
      <c r="AJ9155">
        <v>96.961525389150196</v>
      </c>
      <c r="AK9155">
        <v>33.722981431347598</v>
      </c>
      <c r="AL9155">
        <v>89.674838340417296</v>
      </c>
      <c r="AM9155">
        <v>89.555598418127204</v>
      </c>
      <c r="AN9155">
        <v>0.99999998280506097</v>
      </c>
    </row>
    <row r="9156" spans="1:40" x14ac:dyDescent="0.25">
      <c r="A9156" t="str">
        <f>"20190312154135305"</f>
        <v>20190312154135305</v>
      </c>
      <c r="B9156" t="str">
        <f>"1552376495295406"</f>
        <v>1552376495295406</v>
      </c>
      <c r="C9156" t="s">
        <v>40</v>
      </c>
      <c r="D9156">
        <v>4.1527279999999998</v>
      </c>
      <c r="E9156">
        <v>0.45112340000000001</v>
      </c>
      <c r="F9156" t="s">
        <v>69</v>
      </c>
      <c r="G9156">
        <v>-200.06</v>
      </c>
      <c r="H9156" s="1">
        <v>-5.9121840000000003E-6</v>
      </c>
      <c r="I9156">
        <v>-58.932569999999998</v>
      </c>
      <c r="J9156">
        <v>-233.37880000000001</v>
      </c>
      <c r="K9156">
        <v>1.1102749999999999</v>
      </c>
      <c r="L9156">
        <v>-62.522550000000003</v>
      </c>
      <c r="M9156">
        <v>0.99978650000000002</v>
      </c>
      <c r="N9156">
        <v>0</v>
      </c>
      <c r="O9156">
        <v>-1.471245E-2</v>
      </c>
      <c r="P9156">
        <v>0.99971460000000001</v>
      </c>
      <c r="Q9156">
        <v>-8.7852119999999902E-3</v>
      </c>
      <c r="R9156">
        <v>-2.2225490000000001E-2</v>
      </c>
      <c r="S9156">
        <v>3.007263</v>
      </c>
      <c r="T9156">
        <v>-9.9873299999999998E-2</v>
      </c>
      <c r="U9156">
        <v>0.32278440000000003</v>
      </c>
      <c r="V9156">
        <v>7.5134099999999999E-3</v>
      </c>
      <c r="W9156">
        <v>5.7318539999999998E-3</v>
      </c>
      <c r="X9156">
        <v>0.99995540000000005</v>
      </c>
      <c r="Y9156">
        <v>-0.1212662</v>
      </c>
      <c r="Z9156">
        <v>2.4945649999999998E-3</v>
      </c>
      <c r="AA9156">
        <v>0.99261690000000002</v>
      </c>
      <c r="AB9156">
        <v>22</v>
      </c>
      <c r="AC9156">
        <v>33.318800000000003</v>
      </c>
      <c r="AD9156">
        <v>-1.1102809121839901</v>
      </c>
      <c r="AE9156">
        <v>3.5899800000000002</v>
      </c>
      <c r="AF9156">
        <v>-4.0753707035900497</v>
      </c>
      <c r="AG9156">
        <v>-1.1102809121839901</v>
      </c>
      <c r="AH9156">
        <v>33.225898776738397</v>
      </c>
      <c r="AI9156">
        <v>91.899665024333402</v>
      </c>
      <c r="AJ9156">
        <v>96.992768541575401</v>
      </c>
      <c r="AK9156">
        <v>33.493308579441702</v>
      </c>
      <c r="AL9156">
        <v>89.671587176357903</v>
      </c>
      <c r="AM9156">
        <v>89.569502218010996</v>
      </c>
      <c r="AN9156">
        <v>1.0000000537346301</v>
      </c>
    </row>
    <row r="9157" spans="1:40" x14ac:dyDescent="0.25">
      <c r="A9157" t="str">
        <f>"20190312154135315"</f>
        <v>20190312154135315</v>
      </c>
      <c r="B9157" t="str">
        <f>"1552376495305167"</f>
        <v>1552376495305167</v>
      </c>
      <c r="C9157" t="s">
        <v>40</v>
      </c>
      <c r="D9157">
        <v>4.1120660000000004</v>
      </c>
      <c r="E9157">
        <v>0.4510325</v>
      </c>
      <c r="F9157" t="s">
        <v>69</v>
      </c>
      <c r="G9157">
        <v>-199.97329999999999</v>
      </c>
      <c r="H9157" s="1">
        <v>-5.9475399999999996E-6</v>
      </c>
      <c r="I9157">
        <v>-58.916249999999998</v>
      </c>
      <c r="J9157">
        <v>-233.26750000000001</v>
      </c>
      <c r="K9157">
        <v>1.110276</v>
      </c>
      <c r="L9157">
        <v>-62.5242</v>
      </c>
      <c r="M9157">
        <v>0.99978659999999997</v>
      </c>
      <c r="N9157">
        <v>0</v>
      </c>
      <c r="O9157">
        <v>-1.471039E-2</v>
      </c>
      <c r="P9157">
        <v>0.99971940000000004</v>
      </c>
      <c r="Q9157">
        <v>-8.7149930000000007E-3</v>
      </c>
      <c r="R9157">
        <v>-2.2036779999999999E-2</v>
      </c>
      <c r="S9157">
        <v>3.0072169999999998</v>
      </c>
      <c r="T9157">
        <v>-9.9949360000000001E-2</v>
      </c>
      <c r="U9157">
        <v>0.32464599999999999</v>
      </c>
      <c r="V9157">
        <v>7.3268500000000002E-3</v>
      </c>
      <c r="W9157">
        <v>5.7990869999999996E-3</v>
      </c>
      <c r="X9157">
        <v>0.99995639999999997</v>
      </c>
      <c r="Y9157">
        <v>-0.1218727</v>
      </c>
      <c r="Z9157">
        <v>2.506398E-3</v>
      </c>
      <c r="AA9157">
        <v>0.99254260000000005</v>
      </c>
      <c r="AB9157">
        <v>22</v>
      </c>
      <c r="AC9157">
        <v>33.294199999999996</v>
      </c>
      <c r="AD9157">
        <v>-1.1102819475399901</v>
      </c>
      <c r="AE9157">
        <v>3.6079500000000002</v>
      </c>
      <c r="AF9157">
        <v>-4.0928829984707802</v>
      </c>
      <c r="AG9157">
        <v>-1.1102819475399901</v>
      </c>
      <c r="AH9157">
        <v>33.201023666760399</v>
      </c>
      <c r="AI9157">
        <v>91.900946511696205</v>
      </c>
      <c r="AJ9157">
        <v>97.027726666854093</v>
      </c>
      <c r="AK9157">
        <v>33.470769183916097</v>
      </c>
      <c r="AL9157">
        <v>89.667734946486306</v>
      </c>
      <c r="AM9157">
        <v>89.580191626602797</v>
      </c>
      <c r="AN9157">
        <v>1.00000005702095</v>
      </c>
    </row>
    <row r="9158" spans="1:40" x14ac:dyDescent="0.25">
      <c r="A9158" t="str">
        <f>"20190312154135328"</f>
        <v>20190312154135328</v>
      </c>
      <c r="B9158" t="str">
        <f>"1552376495325192"</f>
        <v>1552376495325192</v>
      </c>
      <c r="C9158" t="s">
        <v>40</v>
      </c>
      <c r="D9158">
        <v>4.0627579999999996</v>
      </c>
      <c r="E9158">
        <v>0.45089469999999998</v>
      </c>
      <c r="F9158" t="s">
        <v>69</v>
      </c>
      <c r="G9158">
        <v>-200.09970000000001</v>
      </c>
      <c r="H9158" s="1">
        <v>-5.8977009999999997E-6</v>
      </c>
      <c r="I9158">
        <v>-58.929000000000002</v>
      </c>
      <c r="J9158">
        <v>-233.15780000000001</v>
      </c>
      <c r="K9158">
        <v>1.110274</v>
      </c>
      <c r="L9158">
        <v>-62.525790000000001</v>
      </c>
      <c r="M9158">
        <v>0.99978659999999997</v>
      </c>
      <c r="N9158">
        <v>0</v>
      </c>
      <c r="O9158">
        <v>-1.47087E-2</v>
      </c>
      <c r="P9158">
        <v>0.99972799999999995</v>
      </c>
      <c r="Q9158">
        <v>-8.5645879999999997E-3</v>
      </c>
      <c r="R9158">
        <v>-2.1698140000000001E-2</v>
      </c>
      <c r="S9158">
        <v>3.0071409999999998</v>
      </c>
      <c r="T9158">
        <v>-0.1006633</v>
      </c>
      <c r="U9158">
        <v>0.32595829999999998</v>
      </c>
      <c r="V9158">
        <v>6.9898190000000004E-3</v>
      </c>
      <c r="W9158">
        <v>5.9473809999999998E-3</v>
      </c>
      <c r="X9158">
        <v>0.99995789999999996</v>
      </c>
      <c r="Y9158">
        <v>-0.1223006</v>
      </c>
      <c r="Z9158">
        <v>2.5313789999999998E-3</v>
      </c>
      <c r="AA9158">
        <v>0.99248990000000004</v>
      </c>
      <c r="AB9158">
        <v>22</v>
      </c>
      <c r="AC9158">
        <v>33.058100000000003</v>
      </c>
      <c r="AD9158">
        <v>-1.110279897701</v>
      </c>
      <c r="AE9158">
        <v>3.5967899999999999</v>
      </c>
      <c r="AF9158">
        <v>-4.0781473280195701</v>
      </c>
      <c r="AG9158">
        <v>-1.110279897701</v>
      </c>
      <c r="AH9158">
        <v>32.964864052333198</v>
      </c>
      <c r="AI9158">
        <v>91.914449732424501</v>
      </c>
      <c r="AJ9158">
        <v>97.052339931255702</v>
      </c>
      <c r="AK9158">
        <v>33.234714818531003</v>
      </c>
      <c r="AL9158">
        <v>89.659238165884204</v>
      </c>
      <c r="AM9158">
        <v>89.599502533430197</v>
      </c>
      <c r="AN9158">
        <v>1.0000000153414099</v>
      </c>
    </row>
    <row r="9159" spans="1:40" x14ac:dyDescent="0.25">
      <c r="A9159" t="str">
        <f>"20190312154135338"</f>
        <v>20190312154135338</v>
      </c>
      <c r="B9159" t="str">
        <f>"1552376495334953"</f>
        <v>1552376495334953</v>
      </c>
      <c r="C9159" t="s">
        <v>40</v>
      </c>
      <c r="D9159">
        <v>4.0923150000000001</v>
      </c>
      <c r="E9159">
        <v>0.45079520000000001</v>
      </c>
      <c r="F9159" t="s">
        <v>69</v>
      </c>
      <c r="G9159">
        <v>-199.9084</v>
      </c>
      <c r="H9159" s="1">
        <v>-7.8028260000000004E-6</v>
      </c>
      <c r="I9159">
        <v>-58.898029999999999</v>
      </c>
      <c r="J9159">
        <v>-233.0523</v>
      </c>
      <c r="K9159">
        <v>1.1102829999999999</v>
      </c>
      <c r="L9159">
        <v>-62.527340000000002</v>
      </c>
      <c r="M9159">
        <v>0.99978659999999997</v>
      </c>
      <c r="N9159">
        <v>0</v>
      </c>
      <c r="O9159">
        <v>-1.4707120000000001E-2</v>
      </c>
      <c r="P9159">
        <v>0.99972910000000004</v>
      </c>
      <c r="Q9159">
        <v>-8.4976900000000005E-3</v>
      </c>
      <c r="R9159">
        <v>-2.1668400000000001E-2</v>
      </c>
      <c r="S9159">
        <v>3.0070800000000002</v>
      </c>
      <c r="T9159">
        <v>-0.1004139</v>
      </c>
      <c r="U9159">
        <v>0.32809450000000001</v>
      </c>
      <c r="V9159">
        <v>6.9615479999999997E-3</v>
      </c>
      <c r="W9159">
        <v>6.0117520000000004E-3</v>
      </c>
      <c r="X9159">
        <v>0.99995769999999995</v>
      </c>
      <c r="Y9159">
        <v>-0.12299789999999999</v>
      </c>
      <c r="Z9159">
        <v>2.5366189999999999E-3</v>
      </c>
      <c r="AA9159">
        <v>0.9924037</v>
      </c>
      <c r="AB9159">
        <v>22</v>
      </c>
      <c r="AC9159">
        <v>33.143900000000002</v>
      </c>
      <c r="AD9159">
        <v>-1.1102908028259999</v>
      </c>
      <c r="AE9159">
        <v>3.62930999999999</v>
      </c>
      <c r="AF9159">
        <v>-4.1118603886439198</v>
      </c>
      <c r="AG9159">
        <v>-1.1102908028259999</v>
      </c>
      <c r="AH9159">
        <v>33.050282994132402</v>
      </c>
      <c r="AI9159">
        <v>91.9093609555173</v>
      </c>
      <c r="AJ9159">
        <v>97.0918569887601</v>
      </c>
      <c r="AK9159">
        <v>33.3235854540711</v>
      </c>
      <c r="AL9159">
        <v>89.655549909145904</v>
      </c>
      <c r="AM9159">
        <v>89.601122252006903</v>
      </c>
      <c r="AN9159">
        <v>1.0000000030509699</v>
      </c>
    </row>
    <row r="9160" spans="1:40" x14ac:dyDescent="0.25">
      <c r="A9160" t="str">
        <f>"20190312154135349"</f>
        <v>20190312154135349</v>
      </c>
      <c r="B9160" t="str">
        <f>"1552376495345689"</f>
        <v>1552376495345689</v>
      </c>
      <c r="C9160" t="s">
        <v>40</v>
      </c>
      <c r="D9160">
        <v>4.1941540000000002</v>
      </c>
      <c r="E9160">
        <v>0.45079520000000001</v>
      </c>
      <c r="F9160" t="s">
        <v>69</v>
      </c>
      <c r="G9160">
        <v>-199.4255</v>
      </c>
      <c r="H9160" s="1">
        <v>-7.7657639999999993E-6</v>
      </c>
      <c r="I9160">
        <v>-58.848880000000001</v>
      </c>
      <c r="J9160">
        <v>-232.94229999999999</v>
      </c>
      <c r="K9160">
        <v>1.110284</v>
      </c>
      <c r="L9160">
        <v>-62.528959999999998</v>
      </c>
      <c r="M9160">
        <v>0.99978670000000003</v>
      </c>
      <c r="N9160">
        <v>0</v>
      </c>
      <c r="O9160">
        <v>-1.470603E-2</v>
      </c>
      <c r="P9160">
        <v>0.99973270000000003</v>
      </c>
      <c r="Q9160">
        <v>-8.4238109999999998E-3</v>
      </c>
      <c r="R9160">
        <v>-2.153045E-2</v>
      </c>
      <c r="S9160">
        <v>3.0070950000000001</v>
      </c>
      <c r="T9160">
        <v>-9.9288459999999995E-2</v>
      </c>
      <c r="U9160">
        <v>0.32894899999999999</v>
      </c>
      <c r="V9160">
        <v>6.8248229999999998E-3</v>
      </c>
      <c r="W9160">
        <v>6.0827989999999998E-3</v>
      </c>
      <c r="X9160">
        <v>0.99995820000000002</v>
      </c>
      <c r="Y9160">
        <v>-0.1232765</v>
      </c>
      <c r="Z9160">
        <v>2.512701E-3</v>
      </c>
      <c r="AA9160">
        <v>0.99236919999999995</v>
      </c>
      <c r="AB9160">
        <v>22</v>
      </c>
      <c r="AC9160">
        <v>33.516799999999897</v>
      </c>
      <c r="AD9160">
        <v>-1.1102917657639999</v>
      </c>
      <c r="AE9160">
        <v>3.68007999999999</v>
      </c>
      <c r="AF9160">
        <v>-4.1681134173943004</v>
      </c>
      <c r="AG9160">
        <v>-1.1102917657639999</v>
      </c>
      <c r="AH9160">
        <v>33.422809728513897</v>
      </c>
      <c r="AI9160">
        <v>91.888027978420297</v>
      </c>
      <c r="AJ9160">
        <v>97.108579345463994</v>
      </c>
      <c r="AK9160">
        <v>33.700001890412899</v>
      </c>
      <c r="AL9160">
        <v>89.651479136997693</v>
      </c>
      <c r="AM9160">
        <v>89.6089561720962</v>
      </c>
      <c r="AN9160">
        <v>0.99999999019994701</v>
      </c>
    </row>
    <row r="9161" spans="1:40" x14ac:dyDescent="0.25">
      <c r="A9161" t="str">
        <f>"20190312154135361"</f>
        <v>20190312154135361</v>
      </c>
      <c r="B9161" t="str">
        <f>"1552376495355448"</f>
        <v>1552376495355448</v>
      </c>
      <c r="C9161" t="s">
        <v>40</v>
      </c>
      <c r="D9161">
        <v>4.0345769999999996</v>
      </c>
      <c r="E9161">
        <v>0.42519630000000003</v>
      </c>
      <c r="F9161" t="s">
        <v>69</v>
      </c>
      <c r="G9161">
        <v>-199.2647</v>
      </c>
      <c r="H9161" s="1">
        <v>-7.7505119999999992E-6</v>
      </c>
      <c r="I9161">
        <v>-58.840809999999998</v>
      </c>
      <c r="J9161">
        <v>-232.83439999999999</v>
      </c>
      <c r="K9161">
        <v>1.110284</v>
      </c>
      <c r="L9161">
        <v>-62.530549999999998</v>
      </c>
      <c r="M9161">
        <v>0.99978670000000003</v>
      </c>
      <c r="N9161">
        <v>0</v>
      </c>
      <c r="O9161">
        <v>-1.470482E-2</v>
      </c>
      <c r="P9161">
        <v>0.99972939999999999</v>
      </c>
      <c r="Q9161">
        <v>-8.2490500000000008E-3</v>
      </c>
      <c r="R9161">
        <v>-2.17474E-2</v>
      </c>
      <c r="S9161">
        <v>3.0070649999999999</v>
      </c>
      <c r="T9161">
        <v>-9.9137900000000001E-2</v>
      </c>
      <c r="U9161">
        <v>0.32931519999999997</v>
      </c>
      <c r="V9161">
        <v>7.0430739999999999E-3</v>
      </c>
      <c r="W9161">
        <v>6.2549340000000002E-3</v>
      </c>
      <c r="X9161">
        <v>0.9999557</v>
      </c>
      <c r="Y9161">
        <v>-0.12339600000000001</v>
      </c>
      <c r="Z9161">
        <v>2.510824E-3</v>
      </c>
      <c r="AA9161">
        <v>0.99235430000000002</v>
      </c>
      <c r="AB9161">
        <v>22</v>
      </c>
      <c r="AC9161">
        <v>33.569699999999898</v>
      </c>
      <c r="AD9161">
        <v>-1.110291750512</v>
      </c>
      <c r="AE9161">
        <v>3.68974</v>
      </c>
      <c r="AF9161">
        <v>-4.1785129586774801</v>
      </c>
      <c r="AG9161">
        <v>-1.110291750512</v>
      </c>
      <c r="AH9161">
        <v>33.475624934430201</v>
      </c>
      <c r="AI9161">
        <v>91.885024962063994</v>
      </c>
      <c r="AJ9161">
        <v>97.115005566004896</v>
      </c>
      <c r="AK9161">
        <v>33.753669179331297</v>
      </c>
      <c r="AL9161">
        <v>89.641616367212904</v>
      </c>
      <c r="AM9161">
        <v>89.596450380639197</v>
      </c>
      <c r="AN9161">
        <v>1.0000000655265899</v>
      </c>
    </row>
    <row r="9162" spans="1:40" x14ac:dyDescent="0.25">
      <c r="A9162" t="str">
        <f>"20190312154135372"</f>
        <v>20190312154135372</v>
      </c>
      <c r="B9162" t="str">
        <f>"1552376495365209"</f>
        <v>1552376495365209</v>
      </c>
      <c r="C9162" t="s">
        <v>40</v>
      </c>
      <c r="D9162">
        <v>4.0852089999999999</v>
      </c>
      <c r="E9162">
        <v>0.41779440000000001</v>
      </c>
      <c r="F9162" t="s">
        <v>43</v>
      </c>
      <c r="G9162">
        <v>-153.2244</v>
      </c>
      <c r="H9162">
        <v>-0.05</v>
      </c>
      <c r="I9162">
        <v>-48.476880000000001</v>
      </c>
      <c r="J9162">
        <v>-232.72399999999999</v>
      </c>
      <c r="K9162">
        <v>1.110285</v>
      </c>
      <c r="L9162">
        <v>-62.532170000000001</v>
      </c>
      <c r="M9162">
        <v>0.99978690000000003</v>
      </c>
      <c r="N9162">
        <v>0</v>
      </c>
      <c r="O9162">
        <v>-1.470408E-2</v>
      </c>
      <c r="P9162">
        <v>0.99973290000000004</v>
      </c>
      <c r="Q9162">
        <v>-8.2378829999999997E-3</v>
      </c>
      <c r="R9162">
        <v>-2.1607939999999999E-2</v>
      </c>
      <c r="S9162">
        <v>3.011978</v>
      </c>
      <c r="T9162">
        <v>-4.3898340000000001E-2</v>
      </c>
      <c r="U9162">
        <v>0.53170779999999995</v>
      </c>
      <c r="V9162">
        <v>6.904065E-3</v>
      </c>
      <c r="W9162">
        <v>6.2630400000000001E-3</v>
      </c>
      <c r="X9162">
        <v>0.99995650000000003</v>
      </c>
      <c r="Y9162">
        <v>-0.18828510000000001</v>
      </c>
      <c r="Z9162">
        <v>1.57422799999999E-3</v>
      </c>
      <c r="AA9162">
        <v>0.98211309999999996</v>
      </c>
      <c r="AB9162">
        <v>22</v>
      </c>
      <c r="AC9162">
        <v>79.499600000000001</v>
      </c>
      <c r="AD9162">
        <v>-1.160285</v>
      </c>
      <c r="AE9162">
        <v>14.0552899999999</v>
      </c>
      <c r="AF9162">
        <v>-15.2197176734458</v>
      </c>
      <c r="AG9162">
        <v>-1.160285</v>
      </c>
      <c r="AH9162">
        <v>79.267938553474195</v>
      </c>
      <c r="AI9162">
        <v>90.823566474810207</v>
      </c>
      <c r="AJ9162">
        <v>100.8687159804</v>
      </c>
      <c r="AK9162">
        <v>80.724173268346206</v>
      </c>
      <c r="AL9162">
        <v>89.641151875965306</v>
      </c>
      <c r="AM9162">
        <v>89.604415291603203</v>
      </c>
      <c r="AN9162">
        <v>0.99999994683790605</v>
      </c>
    </row>
    <row r="9163" spans="1:40" x14ac:dyDescent="0.25">
      <c r="A9163" t="str">
        <f>"20190312154135383"</f>
        <v>20190312154135383</v>
      </c>
      <c r="B9163" t="str">
        <f>"1552376495374969"</f>
        <v>1552376495374969</v>
      </c>
      <c r="C9163" t="s">
        <v>40</v>
      </c>
      <c r="D9163">
        <v>4.284376</v>
      </c>
      <c r="E9163">
        <v>0.41189880000000001</v>
      </c>
      <c r="F9163" t="s">
        <v>43</v>
      </c>
      <c r="G9163">
        <v>-166.97329999999999</v>
      </c>
      <c r="H9163">
        <v>-0.05</v>
      </c>
      <c r="I9163">
        <v>-49.626950000000001</v>
      </c>
      <c r="J9163">
        <v>-232.6191</v>
      </c>
      <c r="K9163">
        <v>1.1102860000000001</v>
      </c>
      <c r="L9163">
        <v>-62.533720000000002</v>
      </c>
      <c r="M9163">
        <v>0.99978679999999998</v>
      </c>
      <c r="N9163">
        <v>0</v>
      </c>
      <c r="O9163">
        <v>-1.470347E-2</v>
      </c>
      <c r="P9163">
        <v>0.99972859999999997</v>
      </c>
      <c r="Q9163">
        <v>-8.1409310000000006E-3</v>
      </c>
      <c r="R9163">
        <v>-2.1832600000000001E-2</v>
      </c>
      <c r="S9163">
        <v>3.0131230000000002</v>
      </c>
      <c r="T9163">
        <v>-5.3171749999999997E-2</v>
      </c>
      <c r="U9163">
        <v>0.59140009999999998</v>
      </c>
      <c r="V9163">
        <v>7.1294210000000004E-3</v>
      </c>
      <c r="W9163">
        <v>6.3574520000000004E-3</v>
      </c>
      <c r="X9163">
        <v>0.99995440000000002</v>
      </c>
      <c r="Y9163">
        <v>-0.20697570000000001</v>
      </c>
      <c r="Z9163">
        <v>2.065936E-3</v>
      </c>
      <c r="AA9163">
        <v>0.97834390000000004</v>
      </c>
      <c r="AB9163">
        <v>22</v>
      </c>
      <c r="AC9163">
        <v>65.645799999999994</v>
      </c>
      <c r="AD9163">
        <v>-1.1602859999999999</v>
      </c>
      <c r="AE9163">
        <v>12.9067699999999</v>
      </c>
      <c r="AF9163">
        <v>-13.8665262252083</v>
      </c>
      <c r="AG9163">
        <v>-1.1602859999999999</v>
      </c>
      <c r="AH9163">
        <v>65.429228231750201</v>
      </c>
      <c r="AI9163">
        <v>90.993875156846201</v>
      </c>
      <c r="AJ9163">
        <v>101.965740208103</v>
      </c>
      <c r="AK9163">
        <v>66.892531123875401</v>
      </c>
      <c r="AL9163">
        <v>89.635742386930502</v>
      </c>
      <c r="AM9163">
        <v>89.591502560190193</v>
      </c>
      <c r="AN9163">
        <v>1.0000000239595399</v>
      </c>
    </row>
    <row r="9164" spans="1:40" x14ac:dyDescent="0.25">
      <c r="A9164" t="str">
        <f>"20190312154135393"</f>
        <v>20190312154135393</v>
      </c>
      <c r="B9164" t="str">
        <f>"1552376495385705"</f>
        <v>1552376495385705</v>
      </c>
      <c r="C9164" t="s">
        <v>40</v>
      </c>
      <c r="D9164">
        <v>4.18588</v>
      </c>
      <c r="E9164">
        <v>0.40807070000000001</v>
      </c>
      <c r="F9164" t="s">
        <v>69</v>
      </c>
      <c r="G9164">
        <v>-177.03489999999999</v>
      </c>
      <c r="H9164">
        <v>7.9986570000000007E-2</v>
      </c>
      <c r="I9164">
        <v>-50.77375</v>
      </c>
      <c r="J9164">
        <v>-232.51159999999999</v>
      </c>
      <c r="K9164">
        <v>1.1102879999999999</v>
      </c>
      <c r="L9164">
        <v>-62.535310000000003</v>
      </c>
      <c r="M9164">
        <v>0.99978690000000003</v>
      </c>
      <c r="N9164">
        <v>0</v>
      </c>
      <c r="O9164">
        <v>-1.4702969999999999E-2</v>
      </c>
      <c r="P9164">
        <v>0.99972519999999998</v>
      </c>
      <c r="Q9164">
        <v>-8.1648729999999996E-3</v>
      </c>
      <c r="R9164">
        <v>-2.1974179999999999E-2</v>
      </c>
      <c r="S9164">
        <v>3.0142519999999999</v>
      </c>
      <c r="T9164">
        <v>-5.5871610000000002E-2</v>
      </c>
      <c r="U9164">
        <v>0.63772580000000001</v>
      </c>
      <c r="V9164">
        <v>7.2716090000000001E-3</v>
      </c>
      <c r="W9164">
        <v>6.3312269999999896E-3</v>
      </c>
      <c r="X9164">
        <v>0.99995350000000005</v>
      </c>
      <c r="Y9164">
        <v>-0.22131319999999999</v>
      </c>
      <c r="Z9164">
        <v>2.2981389999999998E-3</v>
      </c>
      <c r="AA9164">
        <v>0.97520010000000001</v>
      </c>
      <c r="AB9164">
        <v>22</v>
      </c>
      <c r="AC9164">
        <v>55.476700000000001</v>
      </c>
      <c r="AD9164">
        <v>-1.03030143</v>
      </c>
      <c r="AE9164">
        <v>11.7615599999999</v>
      </c>
      <c r="AF9164">
        <v>-12.5718966085372</v>
      </c>
      <c r="AG9164">
        <v>-1.03030143</v>
      </c>
      <c r="AH9164">
        <v>55.279507602701102</v>
      </c>
      <c r="AI9164">
        <v>91.041176918840605</v>
      </c>
      <c r="AJ9164">
        <v>102.812517111213</v>
      </c>
      <c r="AK9164">
        <v>56.700423862344302</v>
      </c>
      <c r="AL9164">
        <v>89.637244983531403</v>
      </c>
      <c r="AM9164">
        <v>89.583355463837805</v>
      </c>
      <c r="AN9164">
        <v>0.99999998144751201</v>
      </c>
    </row>
    <row r="9165" spans="1:40" x14ac:dyDescent="0.25">
      <c r="A9165" t="str">
        <f>"20190312154135405"</f>
        <v>20190312154135405</v>
      </c>
      <c r="B9165" t="str">
        <f>"1552376495395465"</f>
        <v>1552376495395465</v>
      </c>
      <c r="C9165" t="s">
        <v>40</v>
      </c>
      <c r="D9165">
        <v>4.0881080000000001</v>
      </c>
      <c r="E9165">
        <v>0.40557130000000002</v>
      </c>
      <c r="F9165" t="s">
        <v>69</v>
      </c>
      <c r="G9165">
        <v>-176.28200000000001</v>
      </c>
      <c r="H9165">
        <v>7.9986570000000007E-2</v>
      </c>
      <c r="I9165">
        <v>-50.080680000000001</v>
      </c>
      <c r="J9165">
        <v>-232.40620000000001</v>
      </c>
      <c r="K9165">
        <v>1.110284</v>
      </c>
      <c r="L9165">
        <v>-62.536869999999901</v>
      </c>
      <c r="M9165">
        <v>0.99978690000000003</v>
      </c>
      <c r="N9165">
        <v>0</v>
      </c>
      <c r="O9165">
        <v>-1.4702959999999999E-2</v>
      </c>
      <c r="P9165">
        <v>0.99972629999999996</v>
      </c>
      <c r="Q9165">
        <v>-8.1104799999999998E-3</v>
      </c>
      <c r="R9165">
        <v>-2.1952470000000002E-2</v>
      </c>
      <c r="S9165">
        <v>3.0150299999999999</v>
      </c>
      <c r="T9165">
        <v>-5.5244679999999997E-2</v>
      </c>
      <c r="U9165">
        <v>0.66781619999999997</v>
      </c>
      <c r="V9165">
        <v>7.2497869999999997E-3</v>
      </c>
      <c r="W9165">
        <v>6.3832009999999998E-3</v>
      </c>
      <c r="X9165">
        <v>0.99995330000000004</v>
      </c>
      <c r="Y9165">
        <v>-0.23054839999999999</v>
      </c>
      <c r="Z9165">
        <v>2.3530069999999998E-3</v>
      </c>
      <c r="AA9165">
        <v>0.97305799999999998</v>
      </c>
      <c r="AB9165">
        <v>22</v>
      </c>
      <c r="AC9165">
        <v>56.124200000000002</v>
      </c>
      <c r="AD9165">
        <v>-1.0302974300000001</v>
      </c>
      <c r="AE9165">
        <v>12.4561899999999</v>
      </c>
      <c r="AF9165">
        <v>-13.275857905090101</v>
      </c>
      <c r="AG9165">
        <v>-1.0302974300000001</v>
      </c>
      <c r="AH9165">
        <v>55.917010726705797</v>
      </c>
      <c r="AI9165">
        <v>91.027039249767299</v>
      </c>
      <c r="AJ9165">
        <v>103.355919427613</v>
      </c>
      <c r="AK9165">
        <v>57.4806228612821</v>
      </c>
      <c r="AL9165">
        <v>89.634267022205805</v>
      </c>
      <c r="AM9165">
        <v>89.584605681481307</v>
      </c>
      <c r="AN9165">
        <v>0.99999995342371995</v>
      </c>
    </row>
    <row r="9166" spans="1:40" x14ac:dyDescent="0.25">
      <c r="A9166" t="str">
        <f>"20190312154135416"</f>
        <v>20190312154135416</v>
      </c>
      <c r="B9166" t="str">
        <f>"1552376495405225"</f>
        <v>1552376495405225</v>
      </c>
      <c r="C9166" t="s">
        <v>40</v>
      </c>
      <c r="D9166">
        <v>4.1158190000000001</v>
      </c>
      <c r="E9166">
        <v>0.40345550000000002</v>
      </c>
      <c r="F9166" t="s">
        <v>69</v>
      </c>
      <c r="G9166">
        <v>-179.95779999999999</v>
      </c>
      <c r="H9166">
        <v>3.6947130000000002E-2</v>
      </c>
      <c r="I9166">
        <v>-50.569839999999999</v>
      </c>
      <c r="J9166">
        <v>-232.2988</v>
      </c>
      <c r="K9166">
        <v>1.110284</v>
      </c>
      <c r="L9166">
        <v>-62.538420000000002</v>
      </c>
      <c r="M9166">
        <v>0.99978690000000003</v>
      </c>
      <c r="N9166">
        <v>0</v>
      </c>
      <c r="O9166">
        <v>-1.4702700000000001E-2</v>
      </c>
      <c r="P9166">
        <v>0.99972240000000001</v>
      </c>
      <c r="Q9166">
        <v>-8.1345410000000003E-3</v>
      </c>
      <c r="R9166">
        <v>-2.2113730000000002E-2</v>
      </c>
      <c r="S9166">
        <v>3.0154109999999998</v>
      </c>
      <c r="T9166">
        <v>-6.1709279999999998E-2</v>
      </c>
      <c r="U9166">
        <v>0.68801880000000004</v>
      </c>
      <c r="V9166">
        <v>7.4114080000000004E-3</v>
      </c>
      <c r="W9166">
        <v>6.3564989999999998E-3</v>
      </c>
      <c r="X9166">
        <v>0.99995230000000002</v>
      </c>
      <c r="Y9166">
        <v>-0.23671220000000001</v>
      </c>
      <c r="Z9166">
        <v>2.6883279999999998E-3</v>
      </c>
      <c r="AA9166">
        <v>0.97157610000000005</v>
      </c>
      <c r="AB9166">
        <v>22</v>
      </c>
      <c r="AC9166">
        <v>52.341000000000001</v>
      </c>
      <c r="AD9166">
        <v>-1.0733368700000001</v>
      </c>
      <c r="AE9166">
        <v>11.9685799999999</v>
      </c>
      <c r="AF9166">
        <v>-12.7318329004232</v>
      </c>
      <c r="AG9166">
        <v>-1.0733368700000001</v>
      </c>
      <c r="AH9166">
        <v>52.138516430491002</v>
      </c>
      <c r="AI9166">
        <v>91.145684423059095</v>
      </c>
      <c r="AJ9166">
        <v>103.722644244669</v>
      </c>
      <c r="AK9166">
        <v>53.681249208763496</v>
      </c>
      <c r="AL9166">
        <v>89.635796970588302</v>
      </c>
      <c r="AM9166">
        <v>89.575345120854607</v>
      </c>
      <c r="AN9166">
        <v>0.99999996816168402</v>
      </c>
    </row>
    <row r="9167" spans="1:40" x14ac:dyDescent="0.25">
      <c r="A9167" t="str">
        <f>"20190312154135427"</f>
        <v>20190312154135427</v>
      </c>
      <c r="B9167" t="str">
        <f>"1552376495425252"</f>
        <v>1552376495425252</v>
      </c>
      <c r="C9167" t="s">
        <v>40</v>
      </c>
      <c r="D9167">
        <v>4.0887869999999999</v>
      </c>
      <c r="E9167">
        <v>0.4003468</v>
      </c>
      <c r="F9167" t="s">
        <v>69</v>
      </c>
      <c r="G9167">
        <v>-187.73609999999999</v>
      </c>
      <c r="H9167" s="1">
        <v>-1.081054E-5</v>
      </c>
      <c r="I9167">
        <v>-52.126690000000004</v>
      </c>
      <c r="J9167">
        <v>-232.1927</v>
      </c>
      <c r="K9167">
        <v>1.110284</v>
      </c>
      <c r="L9167">
        <v>-62.53998</v>
      </c>
      <c r="M9167">
        <v>0.99978710000000004</v>
      </c>
      <c r="N9167">
        <v>0</v>
      </c>
      <c r="O9167">
        <v>-1.4702929999999999E-2</v>
      </c>
      <c r="P9167">
        <v>0.99972130000000003</v>
      </c>
      <c r="Q9167">
        <v>-8.2987110000000003E-3</v>
      </c>
      <c r="R9167">
        <v>-2.210728E-2</v>
      </c>
      <c r="S9167">
        <v>3.0158079999999998</v>
      </c>
      <c r="T9167">
        <v>-7.5139880000000006E-2</v>
      </c>
      <c r="U9167">
        <v>0.70462040000000004</v>
      </c>
      <c r="V9167">
        <v>7.40471599999999E-3</v>
      </c>
      <c r="W9167">
        <v>6.1896090000000004E-3</v>
      </c>
      <c r="X9167">
        <v>0.99995339999999999</v>
      </c>
      <c r="Y9167">
        <v>-0.2417337</v>
      </c>
      <c r="Z9167">
        <v>3.3325709999999999E-3</v>
      </c>
      <c r="AA9167">
        <v>0.97033689999999995</v>
      </c>
      <c r="AB9167">
        <v>22</v>
      </c>
      <c r="AC9167">
        <v>44.456600000000002</v>
      </c>
      <c r="AD9167">
        <v>-1.1102948105399999</v>
      </c>
      <c r="AE9167">
        <v>10.41329</v>
      </c>
      <c r="AF9167">
        <v>-11.059335564729899</v>
      </c>
      <c r="AG9167">
        <v>-1.1102948105399999</v>
      </c>
      <c r="AH9167">
        <v>44.272493322303703</v>
      </c>
      <c r="AI9167">
        <v>91.393789182765602</v>
      </c>
      <c r="AJ9167">
        <v>104.02553916310499</v>
      </c>
      <c r="AK9167">
        <v>45.646416317965603</v>
      </c>
      <c r="AL9167">
        <v>89.645359252920599</v>
      </c>
      <c r="AM9167">
        <v>89.575729008160593</v>
      </c>
      <c r="AN9167">
        <v>0.99999997162508603</v>
      </c>
    </row>
    <row r="9168" spans="1:40" x14ac:dyDescent="0.25">
      <c r="A9168" t="str">
        <f>"20190312154135439"</f>
        <v>20190312154135439</v>
      </c>
      <c r="B9168" t="str">
        <f>"1552376495435012"</f>
        <v>1552376495435012</v>
      </c>
      <c r="C9168" t="s">
        <v>40</v>
      </c>
      <c r="D9168">
        <v>4.1177099999999998</v>
      </c>
      <c r="E9168">
        <v>0.39932400000000001</v>
      </c>
      <c r="F9168" t="s">
        <v>69</v>
      </c>
      <c r="G9168">
        <v>-195.71449999999999</v>
      </c>
      <c r="H9168" s="1">
        <v>-9.162281E-6</v>
      </c>
      <c r="I9168">
        <v>-53.713810000000002</v>
      </c>
      <c r="J9168">
        <v>-232.08029999999999</v>
      </c>
      <c r="K9168">
        <v>1.1102879999999999</v>
      </c>
      <c r="L9168">
        <v>-62.54166</v>
      </c>
      <c r="M9168">
        <v>0.99978710000000004</v>
      </c>
      <c r="N9168">
        <v>0</v>
      </c>
      <c r="O9168">
        <v>-1.470291E-2</v>
      </c>
      <c r="P9168">
        <v>0.9997161</v>
      </c>
      <c r="Q9168">
        <v>-8.3611550000000003E-3</v>
      </c>
      <c r="R9168">
        <v>-2.2311020000000001E-2</v>
      </c>
      <c r="S9168">
        <v>3.0162200000000001</v>
      </c>
      <c r="T9168">
        <v>-9.1805339999999999E-2</v>
      </c>
      <c r="U9168">
        <v>0.72979740000000004</v>
      </c>
      <c r="V9168">
        <v>7.608638E-3</v>
      </c>
      <c r="W9168">
        <v>6.1242839999999998E-3</v>
      </c>
      <c r="X9168">
        <v>0.99995230000000002</v>
      </c>
      <c r="Y9168">
        <v>-0.24932260000000001</v>
      </c>
      <c r="Z9168">
        <v>4.1808289999999996E-3</v>
      </c>
      <c r="AA9168">
        <v>0.96841140000000003</v>
      </c>
      <c r="AB9168">
        <v>22</v>
      </c>
      <c r="AC9168">
        <v>36.3658</v>
      </c>
      <c r="AD9168">
        <v>-1.1102971622809901</v>
      </c>
      <c r="AE9168">
        <v>8.8278499999999998</v>
      </c>
      <c r="AF9168">
        <v>-9.3534009854204001</v>
      </c>
      <c r="AG9168">
        <v>-1.1102971622809901</v>
      </c>
      <c r="AH9168">
        <v>36.200192919813198</v>
      </c>
      <c r="AI9168">
        <v>91.700943835628706</v>
      </c>
      <c r="AJ9168">
        <v>104.487232846618</v>
      </c>
      <c r="AK9168">
        <v>37.405518806913001</v>
      </c>
      <c r="AL9168">
        <v>89.649102180813003</v>
      </c>
      <c r="AM9168">
        <v>89.564044772646298</v>
      </c>
      <c r="AN9168">
        <v>1.0000000002510001</v>
      </c>
    </row>
    <row r="9169" spans="1:40" x14ac:dyDescent="0.25">
      <c r="A9169" t="str">
        <f>"20190312154135449"</f>
        <v>20190312154135449</v>
      </c>
      <c r="B9169" t="str">
        <f>"1552376495444772"</f>
        <v>1552376495444772</v>
      </c>
      <c r="C9169" t="s">
        <v>40</v>
      </c>
      <c r="D9169">
        <v>4.1231749999999998</v>
      </c>
      <c r="E9169">
        <v>0.39856540000000001</v>
      </c>
      <c r="F9169" t="s">
        <v>69</v>
      </c>
      <c r="G9169">
        <v>-197.524</v>
      </c>
      <c r="H9169" s="1">
        <v>-9.2206930000000005E-6</v>
      </c>
      <c r="I9169">
        <v>-54.094540000000002</v>
      </c>
      <c r="J9169">
        <v>-231.97649999999999</v>
      </c>
      <c r="K9169">
        <v>1.110287</v>
      </c>
      <c r="L9169">
        <v>-62.543149999999997</v>
      </c>
      <c r="M9169">
        <v>0.99978710000000004</v>
      </c>
      <c r="N9169">
        <v>0</v>
      </c>
      <c r="O9169">
        <v>-1.470313E-2</v>
      </c>
      <c r="P9169">
        <v>0.99971469999999996</v>
      </c>
      <c r="Q9169">
        <v>-8.435138E-3</v>
      </c>
      <c r="R9169">
        <v>-2.2349500000000001E-2</v>
      </c>
      <c r="S9169">
        <v>3.0164789999999999</v>
      </c>
      <c r="T9169">
        <v>-9.6920010000000001E-2</v>
      </c>
      <c r="U9169">
        <v>0.73736569999999901</v>
      </c>
      <c r="V9169">
        <v>7.6466939999999999E-3</v>
      </c>
      <c r="W9169">
        <v>6.0479919999999899E-3</v>
      </c>
      <c r="X9169">
        <v>0.99995250000000002</v>
      </c>
      <c r="Y9169">
        <v>-0.251583</v>
      </c>
      <c r="Z9169">
        <v>4.4477689999999999E-3</v>
      </c>
      <c r="AA9169">
        <v>0.96782550000000001</v>
      </c>
      <c r="AB9169">
        <v>22</v>
      </c>
      <c r="AC9169">
        <v>34.452499999999901</v>
      </c>
      <c r="AD9169">
        <v>-1.110296220693</v>
      </c>
      <c r="AE9169">
        <v>8.4486099999999897</v>
      </c>
      <c r="AF9169">
        <v>-8.9455456305103507</v>
      </c>
      <c r="AG9169">
        <v>-1.110296220693</v>
      </c>
      <c r="AH9169">
        <v>34.290947544203704</v>
      </c>
      <c r="AI9169">
        <v>91.794499458511396</v>
      </c>
      <c r="AJ9169">
        <v>104.62100078981101</v>
      </c>
      <c r="AK9169">
        <v>35.455953347845004</v>
      </c>
      <c r="AL9169">
        <v>89.653473480373805</v>
      </c>
      <c r="AM9169">
        <v>89.561864434949001</v>
      </c>
      <c r="AN9169">
        <v>1.0000000261963</v>
      </c>
    </row>
    <row r="9170" spans="1:40" x14ac:dyDescent="0.25">
      <c r="A9170" t="str">
        <f>"20190312154135462"</f>
        <v>20190312154135462</v>
      </c>
      <c r="B9170" t="str">
        <f>"1552376495455508"</f>
        <v>1552376495455508</v>
      </c>
      <c r="C9170" t="s">
        <v>40</v>
      </c>
      <c r="D9170">
        <v>4.0978589999999997</v>
      </c>
      <c r="E9170">
        <v>0.39779330000000002</v>
      </c>
      <c r="F9170" t="s">
        <v>69</v>
      </c>
      <c r="G9170">
        <v>-198.82400000000001</v>
      </c>
      <c r="H9170" s="1">
        <v>-9.2690030000000004E-6</v>
      </c>
      <c r="I9170">
        <v>-54.373460000000001</v>
      </c>
      <c r="J9170">
        <v>-231.86259999999999</v>
      </c>
      <c r="K9170">
        <v>1.110284</v>
      </c>
      <c r="L9170">
        <v>-62.54486</v>
      </c>
      <c r="M9170">
        <v>0.99978719999999999</v>
      </c>
      <c r="N9170">
        <v>0</v>
      </c>
      <c r="O9170">
        <v>-1.470347E-2</v>
      </c>
      <c r="P9170">
        <v>0.99971650000000001</v>
      </c>
      <c r="Q9170">
        <v>-8.3941369999999994E-3</v>
      </c>
      <c r="R9170">
        <v>-2.2285019999999999E-2</v>
      </c>
      <c r="S9170">
        <v>3.0166170000000001</v>
      </c>
      <c r="T9170">
        <v>-0.1010282</v>
      </c>
      <c r="U9170">
        <v>0.74337769999999903</v>
      </c>
      <c r="V9170">
        <v>7.5820389999999996E-3</v>
      </c>
      <c r="W9170">
        <v>6.085661E-3</v>
      </c>
      <c r="X9170">
        <v>0.99995270000000003</v>
      </c>
      <c r="Y9170">
        <v>-0.25337989999999999</v>
      </c>
      <c r="Z9170">
        <v>4.6645619999999997E-3</v>
      </c>
      <c r="AA9170">
        <v>0.96735559999999998</v>
      </c>
      <c r="AB9170">
        <v>22</v>
      </c>
      <c r="AC9170">
        <v>33.038599999999903</v>
      </c>
      <c r="AD9170">
        <v>-1.1102932690030001</v>
      </c>
      <c r="AE9170">
        <v>8.1714000000000002</v>
      </c>
      <c r="AF9170">
        <v>-8.6471466090452402</v>
      </c>
      <c r="AG9170">
        <v>-1.1102932690030001</v>
      </c>
      <c r="AH9170">
        <v>32.879874565908899</v>
      </c>
      <c r="AI9170">
        <v>91.870481988223602</v>
      </c>
      <c r="AJ9170">
        <v>104.73467731679899</v>
      </c>
      <c r="AK9170">
        <v>34.016055725075098</v>
      </c>
      <c r="AL9170">
        <v>89.651315143750395</v>
      </c>
      <c r="AM9170">
        <v>89.565568941631895</v>
      </c>
      <c r="AN9170">
        <v>0.999999962411246</v>
      </c>
    </row>
    <row r="9171" spans="1:40" x14ac:dyDescent="0.25">
      <c r="A9171" t="str">
        <f>"20190312154135472"</f>
        <v>20190312154135472</v>
      </c>
      <c r="B9171" t="str">
        <f>"1552376495465268"</f>
        <v>1552376495465268</v>
      </c>
      <c r="C9171" t="s">
        <v>40</v>
      </c>
      <c r="D9171">
        <v>4.096279</v>
      </c>
      <c r="E9171">
        <v>0.39718160000000002</v>
      </c>
      <c r="F9171" t="s">
        <v>69</v>
      </c>
      <c r="G9171">
        <v>-200.18350000000001</v>
      </c>
      <c r="H9171" s="1">
        <v>-6.5311019999999997E-6</v>
      </c>
      <c r="I9171">
        <v>-54.6708</v>
      </c>
      <c r="J9171">
        <v>-231.7577</v>
      </c>
      <c r="K9171">
        <v>1.1102780000000001</v>
      </c>
      <c r="L9171">
        <v>-62.546390000000002</v>
      </c>
      <c r="M9171">
        <v>0.99978719999999999</v>
      </c>
      <c r="N9171">
        <v>0</v>
      </c>
      <c r="O9171">
        <v>-1.470369E-2</v>
      </c>
      <c r="P9171">
        <v>0.99971239999999995</v>
      </c>
      <c r="Q9171">
        <v>-8.7490069999999996E-3</v>
      </c>
      <c r="R9171">
        <v>-2.2337200000000001E-2</v>
      </c>
      <c r="S9171">
        <v>3.0166780000000002</v>
      </c>
      <c r="T9171">
        <v>-0.10572860000000001</v>
      </c>
      <c r="U9171">
        <v>0.74981690000000001</v>
      </c>
      <c r="V9171">
        <v>7.6339490000000001E-3</v>
      </c>
      <c r="W9171">
        <v>5.7285160000000003E-3</v>
      </c>
      <c r="X9171">
        <v>0.99995449999999997</v>
      </c>
      <c r="Y9171">
        <v>-0.25530619999999998</v>
      </c>
      <c r="Z9171">
        <v>4.9133830000000003E-3</v>
      </c>
      <c r="AA9171">
        <v>0.96684780000000003</v>
      </c>
      <c r="AB9171">
        <v>21</v>
      </c>
      <c r="AC9171">
        <v>31.574199999999902</v>
      </c>
      <c r="AD9171">
        <v>-1.110284531102</v>
      </c>
      <c r="AE9171">
        <v>7.8755899999999999</v>
      </c>
      <c r="AF9171">
        <v>-8.3293480729450504</v>
      </c>
      <c r="AG9171">
        <v>-1.110284531102</v>
      </c>
      <c r="AH9171">
        <v>31.418399371899699</v>
      </c>
      <c r="AI9171">
        <v>91.956386263682006</v>
      </c>
      <c r="AJ9171">
        <v>104.848143508729</v>
      </c>
      <c r="AK9171">
        <v>32.522708837863803</v>
      </c>
      <c r="AL9171">
        <v>89.671778430776797</v>
      </c>
      <c r="AM9171">
        <v>89.562595536532498</v>
      </c>
      <c r="AN9171">
        <v>1.00000004757157</v>
      </c>
    </row>
    <row r="9172" spans="1:40" x14ac:dyDescent="0.25">
      <c r="A9172" t="str">
        <f>"20190312154135484"</f>
        <v>20190312154135484</v>
      </c>
      <c r="B9172" t="str">
        <f>"1552376495475028"</f>
        <v>1552376495475028</v>
      </c>
      <c r="C9172" t="s">
        <v>40</v>
      </c>
      <c r="D9172">
        <v>4.117184</v>
      </c>
      <c r="E9172">
        <v>0.39664559999999999</v>
      </c>
      <c r="F9172" t="s">
        <v>69</v>
      </c>
      <c r="G9172">
        <v>-201.32339999999999</v>
      </c>
      <c r="H9172" s="1">
        <v>-6.0587589999999998E-6</v>
      </c>
      <c r="I9172">
        <v>-54.933</v>
      </c>
      <c r="J9172">
        <v>-231.64789999999999</v>
      </c>
      <c r="K9172">
        <v>1.110276</v>
      </c>
      <c r="L9172">
        <v>-62.548000000000002</v>
      </c>
      <c r="M9172">
        <v>0.99978719999999999</v>
      </c>
      <c r="N9172">
        <v>0</v>
      </c>
      <c r="O9172">
        <v>-1.4703910000000001E-2</v>
      </c>
      <c r="P9172">
        <v>0.99971529999999997</v>
      </c>
      <c r="Q9172">
        <v>-8.8750300000000008E-3</v>
      </c>
      <c r="R9172">
        <v>-2.2156329999999998E-2</v>
      </c>
      <c r="S9172">
        <v>3.016769</v>
      </c>
      <c r="T9172">
        <v>-0.11005570000000001</v>
      </c>
      <c r="U9172">
        <v>0.75466919999999904</v>
      </c>
      <c r="V9172">
        <v>7.4527600000000001E-3</v>
      </c>
      <c r="W9172">
        <v>5.6002489999999999E-3</v>
      </c>
      <c r="X9172">
        <v>0.99995650000000003</v>
      </c>
      <c r="Y9172">
        <v>-0.25674950000000002</v>
      </c>
      <c r="Z9172">
        <v>5.1391420000000002E-3</v>
      </c>
      <c r="AA9172">
        <v>0.96646430000000005</v>
      </c>
      <c r="AB9172">
        <v>21</v>
      </c>
      <c r="AC9172">
        <v>30.3245</v>
      </c>
      <c r="AD9172">
        <v>-1.1102820587590001</v>
      </c>
      <c r="AE9172">
        <v>7.6150000000000002</v>
      </c>
      <c r="AF9172">
        <v>-8.0499608280201809</v>
      </c>
      <c r="AG9172">
        <v>-1.1102820587590001</v>
      </c>
      <c r="AH9172">
        <v>30.171192536302598</v>
      </c>
      <c r="AI9172">
        <v>92.036328581198404</v>
      </c>
      <c r="AJ9172">
        <v>104.93905739277901</v>
      </c>
      <c r="AK9172">
        <v>31.246367063153102</v>
      </c>
      <c r="AL9172">
        <v>89.679127676110795</v>
      </c>
      <c r="AM9172">
        <v>89.572977637154395</v>
      </c>
      <c r="AN9172">
        <v>0.999999954156363</v>
      </c>
    </row>
    <row r="9173" spans="1:40" x14ac:dyDescent="0.25">
      <c r="A9173" t="str">
        <f>"20190312154135494"</f>
        <v>20190312154135494</v>
      </c>
      <c r="B9173" t="str">
        <f>"1552376495484788"</f>
        <v>1552376495484788</v>
      </c>
      <c r="C9173" t="s">
        <v>40</v>
      </c>
      <c r="D9173">
        <v>4.1062209999999997</v>
      </c>
      <c r="E9173">
        <v>0.39627220000000002</v>
      </c>
      <c r="F9173" t="s">
        <v>69</v>
      </c>
      <c r="G9173">
        <v>-202.41159999999999</v>
      </c>
      <c r="H9173" s="1">
        <v>-5.6071669999999898E-6</v>
      </c>
      <c r="I9173">
        <v>-55.187399999999997</v>
      </c>
      <c r="J9173">
        <v>-231.54679999999999</v>
      </c>
      <c r="K9173">
        <v>1.1102780000000001</v>
      </c>
      <c r="L9173">
        <v>-62.549500000000002</v>
      </c>
      <c r="M9173">
        <v>0.99978719999999999</v>
      </c>
      <c r="N9173">
        <v>0</v>
      </c>
      <c r="O9173">
        <v>-1.470425E-2</v>
      </c>
      <c r="P9173">
        <v>0.99971920000000003</v>
      </c>
      <c r="Q9173">
        <v>-8.9433550000000001E-3</v>
      </c>
      <c r="R9173">
        <v>-2.195016E-2</v>
      </c>
      <c r="S9173">
        <v>3.0166930000000001</v>
      </c>
      <c r="T9173">
        <v>-0.11456239999999999</v>
      </c>
      <c r="U9173">
        <v>0.75949100000000003</v>
      </c>
      <c r="V9173">
        <v>7.2462150000000003E-3</v>
      </c>
      <c r="W9173">
        <v>5.5291999999999997E-3</v>
      </c>
      <c r="X9173">
        <v>0.99995849999999997</v>
      </c>
      <c r="Y9173">
        <v>-0.25819340000000002</v>
      </c>
      <c r="Z9173">
        <v>5.3755540000000003E-3</v>
      </c>
      <c r="AA9173">
        <v>0.96607829999999995</v>
      </c>
      <c r="AB9173">
        <v>21</v>
      </c>
      <c r="AC9173">
        <v>29.135200000000001</v>
      </c>
      <c r="AD9173">
        <v>-1.1102836071669999</v>
      </c>
      <c r="AE9173">
        <v>7.3620999999999999</v>
      </c>
      <c r="AF9173">
        <v>-7.7791410280119599</v>
      </c>
      <c r="AG9173">
        <v>-1.1102836071669999</v>
      </c>
      <c r="AH9173">
        <v>28.9842188097094</v>
      </c>
      <c r="AI9173">
        <v>92.118812663835996</v>
      </c>
      <c r="AJ9173">
        <v>105.023684656971</v>
      </c>
      <c r="AK9173">
        <v>30.030529546299299</v>
      </c>
      <c r="AL9173">
        <v>89.683198574585603</v>
      </c>
      <c r="AM9173">
        <v>89.584812499811605</v>
      </c>
      <c r="AN9173">
        <v>1.00000004070335</v>
      </c>
    </row>
    <row r="9174" spans="1:40" x14ac:dyDescent="0.25">
      <c r="A9174" t="str">
        <f>"20190312154135507"</f>
        <v>20190312154135507</v>
      </c>
      <c r="B9174" t="str">
        <f>"1552376495495525"</f>
        <v>1552376495495525</v>
      </c>
      <c r="C9174" t="s">
        <v>40</v>
      </c>
      <c r="D9174">
        <v>4.0989829999999996</v>
      </c>
      <c r="E9174">
        <v>0.39586329999999997</v>
      </c>
      <c r="F9174" t="s">
        <v>69</v>
      </c>
      <c r="G9174">
        <v>-202.90430000000001</v>
      </c>
      <c r="H9174" s="1">
        <v>-5.3493370000000001E-6</v>
      </c>
      <c r="I9174">
        <v>-55.303280000000001</v>
      </c>
      <c r="J9174">
        <v>-231.4365</v>
      </c>
      <c r="K9174">
        <v>1.1102860000000001</v>
      </c>
      <c r="L9174">
        <v>-62.551119999999997</v>
      </c>
      <c r="M9174">
        <v>0.99978730000000005</v>
      </c>
      <c r="N9174">
        <v>0</v>
      </c>
      <c r="O9174">
        <v>-1.4704470000000001E-2</v>
      </c>
      <c r="P9174">
        <v>0.99972559999999999</v>
      </c>
      <c r="Q9174">
        <v>-8.8855959999999904E-3</v>
      </c>
      <c r="R9174">
        <v>-2.1676549999999999E-2</v>
      </c>
      <c r="S9174">
        <v>3.016556</v>
      </c>
      <c r="T9174">
        <v>-0.1169323</v>
      </c>
      <c r="U9174">
        <v>0.76315310000000003</v>
      </c>
      <c r="V9174">
        <v>6.9725259999999997E-3</v>
      </c>
      <c r="W9174">
        <v>5.5840359999999997E-3</v>
      </c>
      <c r="X9174">
        <v>0.99996010000000002</v>
      </c>
      <c r="Y9174">
        <v>-0.25929799999999997</v>
      </c>
      <c r="Z9174">
        <v>5.507194E-3</v>
      </c>
      <c r="AA9174">
        <v>0.96578169999999997</v>
      </c>
      <c r="AB9174">
        <v>21</v>
      </c>
      <c r="AC9174">
        <v>28.5321999999999</v>
      </c>
      <c r="AD9174">
        <v>-1.1102913493369999</v>
      </c>
      <c r="AE9174">
        <v>7.2478399999999796</v>
      </c>
      <c r="AF9174">
        <v>-7.6557608090299896</v>
      </c>
      <c r="AG9174">
        <v>-1.1102913493369999</v>
      </c>
      <c r="AH9174">
        <v>28.382154690859799</v>
      </c>
      <c r="AI9174">
        <v>92.163001314536004</v>
      </c>
      <c r="AJ9174">
        <v>105.09561122853501</v>
      </c>
      <c r="AK9174">
        <v>29.4175139218355</v>
      </c>
      <c r="AL9174">
        <v>89.680056641686505</v>
      </c>
      <c r="AM9174">
        <v>89.600494221688706</v>
      </c>
      <c r="AN9174">
        <v>0.99999999958443897</v>
      </c>
    </row>
    <row r="9175" spans="1:40" x14ac:dyDescent="0.25">
      <c r="A9175" t="str">
        <f>"20190312154135517"</f>
        <v>20190312154135517</v>
      </c>
      <c r="B9175" t="str">
        <f>"1552376495505284"</f>
        <v>1552376495505284</v>
      </c>
      <c r="C9175" t="s">
        <v>40</v>
      </c>
      <c r="D9175">
        <v>4.1495689999999996</v>
      </c>
      <c r="E9175">
        <v>0.39549590000000001</v>
      </c>
      <c r="F9175" t="s">
        <v>69</v>
      </c>
      <c r="G9175">
        <v>-203.25530000000001</v>
      </c>
      <c r="H9175" s="1">
        <v>-5.1528549999999996E-6</v>
      </c>
      <c r="I9175">
        <v>-55.382759999999998</v>
      </c>
      <c r="J9175">
        <v>-231.334</v>
      </c>
      <c r="K9175">
        <v>1.110285</v>
      </c>
      <c r="L9175">
        <v>-62.552610000000001</v>
      </c>
      <c r="M9175">
        <v>0.99978719999999999</v>
      </c>
      <c r="N9175">
        <v>0</v>
      </c>
      <c r="O9175">
        <v>-1.470458E-2</v>
      </c>
      <c r="P9175">
        <v>0.99972870000000003</v>
      </c>
      <c r="Q9175">
        <v>-8.503544E-3</v>
      </c>
      <c r="R9175">
        <v>-2.169132E-2</v>
      </c>
      <c r="S9175">
        <v>3.0164029999999999</v>
      </c>
      <c r="T9175">
        <v>-0.11884119999999999</v>
      </c>
      <c r="U9175">
        <v>0.76727290000000004</v>
      </c>
      <c r="V9175">
        <v>6.9868880000000001E-3</v>
      </c>
      <c r="W9175">
        <v>5.9640689999999998E-3</v>
      </c>
      <c r="X9175">
        <v>0.99995780000000001</v>
      </c>
      <c r="Y9175">
        <v>-0.26054149999999998</v>
      </c>
      <c r="Z9175">
        <v>5.6204949999999997E-3</v>
      </c>
      <c r="AA9175">
        <v>0.96544629999999998</v>
      </c>
      <c r="AB9175">
        <v>21</v>
      </c>
      <c r="AC9175">
        <v>28.078700000000001</v>
      </c>
      <c r="AD9175">
        <v>-1.110290152855</v>
      </c>
      <c r="AE9175">
        <v>7.1698499999999896</v>
      </c>
      <c r="AF9175">
        <v>-7.5708902988645903</v>
      </c>
      <c r="AG9175">
        <v>-1.110290152855</v>
      </c>
      <c r="AH9175">
        <v>27.9292264886891</v>
      </c>
      <c r="AI9175">
        <v>92.197303321664407</v>
      </c>
      <c r="AJ9175">
        <v>105.16692016272199</v>
      </c>
      <c r="AK9175">
        <v>28.958467093364199</v>
      </c>
      <c r="AL9175">
        <v>89.658281989765399</v>
      </c>
      <c r="AM9175">
        <v>89.599670426194905</v>
      </c>
      <c r="AN9175">
        <v>0.9999999942519</v>
      </c>
    </row>
    <row r="9176" spans="1:40" x14ac:dyDescent="0.25">
      <c r="A9176" t="str">
        <f>"20190312154135529"</f>
        <v>20190312154135529</v>
      </c>
      <c r="B9176" t="str">
        <f>"1552376495525310"</f>
        <v>1552376495525310</v>
      </c>
      <c r="C9176" t="s">
        <v>40</v>
      </c>
      <c r="D9176">
        <v>4.1473199999999997</v>
      </c>
      <c r="E9176">
        <v>0.39481539999999998</v>
      </c>
      <c r="F9176" t="s">
        <v>69</v>
      </c>
      <c r="G9176">
        <v>-203.5291</v>
      </c>
      <c r="H9176" s="1">
        <v>-4.9977399999999999E-6</v>
      </c>
      <c r="I9176">
        <v>-55.453249999999997</v>
      </c>
      <c r="J9176">
        <v>-231.22479999999999</v>
      </c>
      <c r="K9176">
        <v>1.1102879999999999</v>
      </c>
      <c r="L9176">
        <v>-62.554229999999997</v>
      </c>
      <c r="M9176">
        <v>0.99978730000000005</v>
      </c>
      <c r="N9176">
        <v>0</v>
      </c>
      <c r="O9176">
        <v>-1.470491E-2</v>
      </c>
      <c r="P9176">
        <v>0.9997241</v>
      </c>
      <c r="Q9176">
        <v>-8.7137350000000002E-3</v>
      </c>
      <c r="R9176">
        <v>-2.1818609999999999E-2</v>
      </c>
      <c r="S9176">
        <v>3.0165250000000001</v>
      </c>
      <c r="T9176">
        <v>-0.1204543</v>
      </c>
      <c r="U9176">
        <v>0.77020259999999996</v>
      </c>
      <c r="V9176">
        <v>7.1140530000000004E-3</v>
      </c>
      <c r="W9176">
        <v>5.7509269999999899E-3</v>
      </c>
      <c r="X9176">
        <v>0.99995820000000002</v>
      </c>
      <c r="Y9176">
        <v>-0.2614069</v>
      </c>
      <c r="Z9176">
        <v>5.7128439999999999E-3</v>
      </c>
      <c r="AA9176">
        <v>0.96521179999999995</v>
      </c>
      <c r="AB9176">
        <v>21</v>
      </c>
      <c r="AC9176">
        <v>27.695699999999899</v>
      </c>
      <c r="AD9176">
        <v>-1.11029299773999</v>
      </c>
      <c r="AE9176">
        <v>7.1009799999999998</v>
      </c>
      <c r="AF9176">
        <v>-7.4962131625111503</v>
      </c>
      <c r="AG9176">
        <v>-1.11029299773999</v>
      </c>
      <c r="AH9176">
        <v>27.5467342592416</v>
      </c>
      <c r="AI9176">
        <v>92.227195826638507</v>
      </c>
      <c r="AJ9176">
        <v>105.223107620825</v>
      </c>
      <c r="AK9176">
        <v>28.570063539794798</v>
      </c>
      <c r="AL9176">
        <v>89.670494352244006</v>
      </c>
      <c r="AM9176">
        <v>89.592384626176994</v>
      </c>
      <c r="AN9176">
        <v>1.00000004232934</v>
      </c>
    </row>
    <row r="9177" spans="1:40" x14ac:dyDescent="0.25">
      <c r="A9177" t="str">
        <f>"20190312154135539"</f>
        <v>20190312154135539</v>
      </c>
      <c r="B9177" t="str">
        <f>"1552376495535071"</f>
        <v>1552376495535071</v>
      </c>
      <c r="C9177" t="s">
        <v>40</v>
      </c>
      <c r="D9177">
        <v>4.1339059999999996</v>
      </c>
      <c r="E9177">
        <v>0.39459290000000002</v>
      </c>
      <c r="F9177" t="s">
        <v>69</v>
      </c>
      <c r="G9177">
        <v>-204.20349999999999</v>
      </c>
      <c r="H9177" s="1">
        <v>-4.6194339999999999E-6</v>
      </c>
      <c r="I9177">
        <v>-55.609580000000001</v>
      </c>
      <c r="J9177">
        <v>-231.1216</v>
      </c>
      <c r="K9177">
        <v>1.1102829999999999</v>
      </c>
      <c r="L9177">
        <v>-62.555759999999999</v>
      </c>
      <c r="M9177">
        <v>0.99978730000000005</v>
      </c>
      <c r="N9177">
        <v>0</v>
      </c>
      <c r="O9177">
        <v>-1.47049E-2</v>
      </c>
      <c r="P9177">
        <v>0.99972459999999996</v>
      </c>
      <c r="Q9177">
        <v>-8.9988969999999901E-3</v>
      </c>
      <c r="R9177">
        <v>-2.1677140000000001E-2</v>
      </c>
      <c r="S9177">
        <v>3.0166469999999999</v>
      </c>
      <c r="T9177">
        <v>-0.1239527</v>
      </c>
      <c r="U9177">
        <v>0.77529910000000002</v>
      </c>
      <c r="V9177">
        <v>6.9725289999999999E-3</v>
      </c>
      <c r="W9177">
        <v>5.4633989999999999E-3</v>
      </c>
      <c r="X9177">
        <v>0.99996079999999998</v>
      </c>
      <c r="Y9177">
        <v>-0.26291419999999999</v>
      </c>
      <c r="Z9177">
        <v>5.9076550000000004E-3</v>
      </c>
      <c r="AA9177">
        <v>0.96480109999999997</v>
      </c>
      <c r="AB9177">
        <v>21</v>
      </c>
      <c r="AC9177">
        <v>26.918099999999999</v>
      </c>
      <c r="AD9177">
        <v>-1.1102876194339999</v>
      </c>
      <c r="AE9177">
        <v>6.9461799999999903</v>
      </c>
      <c r="AF9177">
        <v>-7.3296067865240602</v>
      </c>
      <c r="AG9177">
        <v>-1.1102876194339999</v>
      </c>
      <c r="AH9177">
        <v>26.770334286774801</v>
      </c>
      <c r="AI9177">
        <v>92.290740267942795</v>
      </c>
      <c r="AJ9177">
        <v>105.312090255077</v>
      </c>
      <c r="AK9177">
        <v>27.777808986106098</v>
      </c>
      <c r="AL9177">
        <v>89.6869687486234</v>
      </c>
      <c r="AM9177">
        <v>89.600494329458897</v>
      </c>
      <c r="AN9177">
        <v>1.0000000332129599</v>
      </c>
    </row>
    <row r="9178" spans="1:40" x14ac:dyDescent="0.25">
      <c r="A9178" t="str">
        <f>"20190312154135550"</f>
        <v>20190312154135550</v>
      </c>
      <c r="B9178" t="str">
        <f>"1552376495544831"</f>
        <v>1552376495544831</v>
      </c>
      <c r="C9178" t="s">
        <v>40</v>
      </c>
      <c r="D9178">
        <v>4.1778149999999998</v>
      </c>
      <c r="E9178">
        <v>0.39431699999999997</v>
      </c>
      <c r="F9178" t="s">
        <v>69</v>
      </c>
      <c r="G9178">
        <v>-204.57849999999999</v>
      </c>
      <c r="H9178" s="1">
        <v>-4.405293E-6</v>
      </c>
      <c r="I9178">
        <v>-55.713630000000002</v>
      </c>
      <c r="J9178">
        <v>-231.01169999999999</v>
      </c>
      <c r="K9178">
        <v>1.1102810000000001</v>
      </c>
      <c r="L9178">
        <v>-62.557340000000003</v>
      </c>
      <c r="M9178">
        <v>0.99978730000000005</v>
      </c>
      <c r="N9178">
        <v>0</v>
      </c>
      <c r="O9178">
        <v>-1.4704999999999999E-2</v>
      </c>
      <c r="P9178">
        <v>0.99971989999999999</v>
      </c>
      <c r="Q9178">
        <v>-8.9130559999999904E-3</v>
      </c>
      <c r="R9178">
        <v>-2.193345E-2</v>
      </c>
      <c r="S9178">
        <v>3.0165410000000001</v>
      </c>
      <c r="T9178">
        <v>-0.12618080000000001</v>
      </c>
      <c r="U9178">
        <v>0.7775879</v>
      </c>
      <c r="V9178">
        <v>7.2287719999999996E-3</v>
      </c>
      <c r="W9178">
        <v>5.5458900000000004E-3</v>
      </c>
      <c r="X9178">
        <v>0.99995849999999997</v>
      </c>
      <c r="Y9178">
        <v>-0.26360050000000002</v>
      </c>
      <c r="Z9178">
        <v>6.0275260000000001E-3</v>
      </c>
      <c r="AA9178">
        <v>0.9646131</v>
      </c>
      <c r="AB9178">
        <v>21</v>
      </c>
      <c r="AC9178">
        <v>26.433199999999999</v>
      </c>
      <c r="AD9178">
        <v>-1.11028540529299</v>
      </c>
      <c r="AE9178">
        <v>6.8437099999999997</v>
      </c>
      <c r="AF9178">
        <v>-7.2197731617666996</v>
      </c>
      <c r="AG9178">
        <v>-1.11028540529299</v>
      </c>
      <c r="AH9178">
        <v>26.286230963917099</v>
      </c>
      <c r="AI9178">
        <v>92.332363641108302</v>
      </c>
      <c r="AJ9178">
        <v>105.35813259787101</v>
      </c>
      <c r="AK9178">
        <v>27.282298225717099</v>
      </c>
      <c r="AL9178">
        <v>89.682242282655096</v>
      </c>
      <c r="AM9178">
        <v>89.585811899216694</v>
      </c>
      <c r="AN9178">
        <v>1.0000000068813799</v>
      </c>
    </row>
    <row r="9179" spans="1:40" x14ac:dyDescent="0.25">
      <c r="A9179" t="str">
        <f>"20190312154135562"</f>
        <v>20190312154135562</v>
      </c>
      <c r="B9179" t="str">
        <f>"1552376495555567"</f>
        <v>1552376495555567</v>
      </c>
      <c r="C9179" t="s">
        <v>40</v>
      </c>
      <c r="D9179">
        <v>4.1684739999999998</v>
      </c>
      <c r="E9179">
        <v>0.39398300000000003</v>
      </c>
      <c r="F9179" t="s">
        <v>69</v>
      </c>
      <c r="G9179">
        <v>-204.88759999999999</v>
      </c>
      <c r="H9179" s="1">
        <v>-4.2260020000000003E-6</v>
      </c>
      <c r="I9179">
        <v>-55.811839999999997</v>
      </c>
      <c r="J9179">
        <v>-230.90809999999999</v>
      </c>
      <c r="K9179">
        <v>1.110282</v>
      </c>
      <c r="L9179">
        <v>-62.558839999999996</v>
      </c>
      <c r="M9179">
        <v>0.99978739999999999</v>
      </c>
      <c r="N9179">
        <v>0</v>
      </c>
      <c r="O9179">
        <v>-1.470521E-2</v>
      </c>
      <c r="P9179">
        <v>0.99971580000000004</v>
      </c>
      <c r="Q9179">
        <v>-9.0959809999999995E-3</v>
      </c>
      <c r="R9179">
        <v>-2.2038660000000002E-2</v>
      </c>
      <c r="S9179">
        <v>3.016769</v>
      </c>
      <c r="T9179">
        <v>-0.1282141</v>
      </c>
      <c r="U9179">
        <v>0.77896119999999902</v>
      </c>
      <c r="V9179">
        <v>7.3339679999999997E-3</v>
      </c>
      <c r="W9179">
        <v>5.3604019999999898E-3</v>
      </c>
      <c r="X9179">
        <v>0.99995880000000004</v>
      </c>
      <c r="Y9179">
        <v>-0.26398700000000003</v>
      </c>
      <c r="Z9179">
        <v>6.1318669999999896E-3</v>
      </c>
      <c r="AA9179">
        <v>0.96450670000000005</v>
      </c>
      <c r="AB9179">
        <v>21</v>
      </c>
      <c r="AC9179">
        <v>26.020499999999998</v>
      </c>
      <c r="AD9179">
        <v>-1.1102862260020001</v>
      </c>
      <c r="AE9179">
        <v>6.7469999999999999</v>
      </c>
      <c r="AF9179">
        <v>-7.1168059359706097</v>
      </c>
      <c r="AG9179">
        <v>-1.1102862260020001</v>
      </c>
      <c r="AH9179">
        <v>25.874317891111101</v>
      </c>
      <c r="AI9179">
        <v>92.369216395701699</v>
      </c>
      <c r="AJ9179">
        <v>105.379068572953</v>
      </c>
      <c r="AK9179">
        <v>26.858182897660601</v>
      </c>
      <c r="AL9179">
        <v>89.692870136895706</v>
      </c>
      <c r="AM9179">
        <v>89.579784807902698</v>
      </c>
      <c r="AN9179">
        <v>1.0000000613468301</v>
      </c>
    </row>
    <row r="9180" spans="1:40" x14ac:dyDescent="0.25">
      <c r="A9180" t="str">
        <f>"20190312154135572"</f>
        <v>20190312154135572</v>
      </c>
      <c r="B9180" t="str">
        <f>"1552376495565326"</f>
        <v>1552376495565326</v>
      </c>
      <c r="C9180" t="s">
        <v>40</v>
      </c>
      <c r="D9180">
        <v>4.1870479999999999</v>
      </c>
      <c r="E9180">
        <v>0.3937792</v>
      </c>
      <c r="F9180" t="s">
        <v>69</v>
      </c>
      <c r="G9180">
        <v>-205.2577</v>
      </c>
      <c r="H9180" s="1">
        <v>-4.0034609999999999E-6</v>
      </c>
      <c r="I9180">
        <v>-55.914650000000002</v>
      </c>
      <c r="J9180">
        <v>-230.803</v>
      </c>
      <c r="K9180">
        <v>1.1102829999999999</v>
      </c>
      <c r="L9180">
        <v>-62.560389999999998</v>
      </c>
      <c r="M9180">
        <v>0.99978739999999999</v>
      </c>
      <c r="N9180">
        <v>0</v>
      </c>
      <c r="O9180">
        <v>-1.4705319999999999E-2</v>
      </c>
      <c r="P9180">
        <v>0.99971149999999998</v>
      </c>
      <c r="Q9180">
        <v>-8.996202E-3</v>
      </c>
      <c r="R9180">
        <v>-2.227024E-2</v>
      </c>
      <c r="S9180">
        <v>3.0169069999999998</v>
      </c>
      <c r="T9180">
        <v>-0.1305876</v>
      </c>
      <c r="U9180">
        <v>0.78146359999999904</v>
      </c>
      <c r="V9180">
        <v>7.5654390000000002E-3</v>
      </c>
      <c r="W9180">
        <v>5.4576759999999998E-3</v>
      </c>
      <c r="X9180">
        <v>0.99995650000000003</v>
      </c>
      <c r="Y9180">
        <v>-0.26471689999999998</v>
      </c>
      <c r="Z9180">
        <v>6.2599049999999996E-3</v>
      </c>
      <c r="AA9180">
        <v>0.96430579999999999</v>
      </c>
      <c r="AB9180">
        <v>21</v>
      </c>
      <c r="AC9180">
        <v>25.545300000000001</v>
      </c>
      <c r="AD9180">
        <v>-1.110287003461</v>
      </c>
      <c r="AE9180">
        <v>6.64574</v>
      </c>
      <c r="AF9180">
        <v>-7.0083123397342204</v>
      </c>
      <c r="AG9180">
        <v>-1.110287003461</v>
      </c>
      <c r="AH9180">
        <v>25.3998587369069</v>
      </c>
      <c r="AI9180">
        <v>92.412887497965698</v>
      </c>
      <c r="AJ9180">
        <v>105.42521077822499</v>
      </c>
      <c r="AK9180">
        <v>26.3723719626459</v>
      </c>
      <c r="AL9180">
        <v>89.687296650611898</v>
      </c>
      <c r="AM9180">
        <v>89.566521689232303</v>
      </c>
      <c r="AN9180">
        <v>1.00000001199341</v>
      </c>
    </row>
    <row r="9181" spans="1:40" x14ac:dyDescent="0.25">
      <c r="A9181" t="str">
        <f>"20190312154135583"</f>
        <v>20190312154135583</v>
      </c>
      <c r="B9181" t="str">
        <f>"1552376495575087"</f>
        <v>1552376495575087</v>
      </c>
      <c r="C9181" t="s">
        <v>40</v>
      </c>
      <c r="D9181">
        <v>4.1755000000000004</v>
      </c>
      <c r="E9181">
        <v>0.39354349999999999</v>
      </c>
      <c r="F9181" t="s">
        <v>69</v>
      </c>
      <c r="G9181">
        <v>-205.39689999999999</v>
      </c>
      <c r="H9181" s="1">
        <v>-3.914523E-6</v>
      </c>
      <c r="I9181">
        <v>-55.972259999999999</v>
      </c>
      <c r="J9181">
        <v>-230.6979</v>
      </c>
      <c r="K9181">
        <v>1.110284</v>
      </c>
      <c r="L9181">
        <v>-62.561950000000003</v>
      </c>
      <c r="M9181">
        <v>0.9997876</v>
      </c>
      <c r="N9181">
        <v>0</v>
      </c>
      <c r="O9181">
        <v>-1.470554E-2</v>
      </c>
      <c r="P9181">
        <v>0.99970020000000004</v>
      </c>
      <c r="Q9181">
        <v>-8.9527649999999997E-3</v>
      </c>
      <c r="R9181">
        <v>-2.279463E-2</v>
      </c>
      <c r="S9181">
        <v>3.0171199999999998</v>
      </c>
      <c r="T9181">
        <v>-0.131853</v>
      </c>
      <c r="U9181">
        <v>0.78237919999999905</v>
      </c>
      <c r="V9181">
        <v>8.0897450000000006E-3</v>
      </c>
      <c r="W9181">
        <v>5.4982080000000001E-3</v>
      </c>
      <c r="X9181">
        <v>0.99995210000000001</v>
      </c>
      <c r="Y9181">
        <v>-0.26496979999999998</v>
      </c>
      <c r="Z9181">
        <v>6.3252830000000001E-3</v>
      </c>
      <c r="AA9181">
        <v>0.96423599999999998</v>
      </c>
      <c r="AB9181">
        <v>21</v>
      </c>
      <c r="AC9181">
        <v>25.300999999999998</v>
      </c>
      <c r="AD9181">
        <v>-1.110287914523</v>
      </c>
      <c r="AE9181">
        <v>6.58969</v>
      </c>
      <c r="AF9181">
        <v>-6.94854995174666</v>
      </c>
      <c r="AG9181">
        <v>-1.110287914523</v>
      </c>
      <c r="AH9181">
        <v>25.155982264997199</v>
      </c>
      <c r="AI9181">
        <v>92.436066575347098</v>
      </c>
      <c r="AJ9181">
        <v>105.441142162829</v>
      </c>
      <c r="AK9181">
        <v>26.121610390669002</v>
      </c>
      <c r="AL9181">
        <v>89.684974280037906</v>
      </c>
      <c r="AM9181">
        <v>89.536479663384299</v>
      </c>
      <c r="AN9181">
        <v>0.99999993827989098</v>
      </c>
    </row>
    <row r="9182" spans="1:40" x14ac:dyDescent="0.25">
      <c r="A9182" t="str">
        <f>"20190312154135594"</f>
        <v>20190312154135594</v>
      </c>
      <c r="B9182" t="str">
        <f>"1552376495584847"</f>
        <v>1552376495584847</v>
      </c>
      <c r="C9182" t="s">
        <v>40</v>
      </c>
      <c r="D9182">
        <v>4.2109230000000002</v>
      </c>
      <c r="E9182">
        <v>0.39332669999999997</v>
      </c>
      <c r="F9182" t="s">
        <v>69</v>
      </c>
      <c r="G9182">
        <v>-205.51499999999999</v>
      </c>
      <c r="H9182" s="1">
        <v>-3.8370870000000004E-6</v>
      </c>
      <c r="I9182">
        <v>-56.030090000000001</v>
      </c>
      <c r="J9182">
        <v>-230.59530000000001</v>
      </c>
      <c r="K9182">
        <v>1.110285</v>
      </c>
      <c r="L9182">
        <v>-62.563479999999998</v>
      </c>
      <c r="M9182">
        <v>0.9997876</v>
      </c>
      <c r="N9182">
        <v>0</v>
      </c>
      <c r="O9182">
        <v>-1.470552E-2</v>
      </c>
      <c r="P9182">
        <v>0.99969379999999997</v>
      </c>
      <c r="Q9182">
        <v>-9.0721529999999995E-3</v>
      </c>
      <c r="R9182">
        <v>-2.302941E-2</v>
      </c>
      <c r="S9182">
        <v>3.0175480000000001</v>
      </c>
      <c r="T9182">
        <v>-0.13304089999999999</v>
      </c>
      <c r="U9182">
        <v>0.7826843</v>
      </c>
      <c r="V9182">
        <v>8.3244500000000006E-3</v>
      </c>
      <c r="W9182">
        <v>5.3770919999999896E-3</v>
      </c>
      <c r="X9182">
        <v>0.99995089999999998</v>
      </c>
      <c r="Y9182">
        <v>-0.26502350000000002</v>
      </c>
      <c r="Z9182">
        <v>6.3824279999999999E-3</v>
      </c>
      <c r="AA9182">
        <v>0.96422079999999999</v>
      </c>
      <c r="AB9182">
        <v>21</v>
      </c>
      <c r="AC9182">
        <v>25.080300000000001</v>
      </c>
      <c r="AD9182">
        <v>-1.1102888370870001</v>
      </c>
      <c r="AE9182">
        <v>6.5333899999999998</v>
      </c>
      <c r="AF9182">
        <v>-6.8888979283695697</v>
      </c>
      <c r="AG9182">
        <v>-1.1102888370870001</v>
      </c>
      <c r="AH9182">
        <v>24.935737531921401</v>
      </c>
      <c r="AI9182">
        <v>92.457528987231498</v>
      </c>
      <c r="AJ9182">
        <v>105.443669087971</v>
      </c>
      <c r="AK9182">
        <v>25.8936413474453</v>
      </c>
      <c r="AL9182">
        <v>89.691913839560399</v>
      </c>
      <c r="AM9182">
        <v>89.523031746833496</v>
      </c>
      <c r="AN9182">
        <v>1.0000000059984899</v>
      </c>
    </row>
    <row r="9183" spans="1:40" x14ac:dyDescent="0.25">
      <c r="A9183" t="str">
        <f>"20190312154135606"</f>
        <v>20190312154135606</v>
      </c>
      <c r="B9183" t="str">
        <f>"1552376495595582"</f>
        <v>1552376495595582</v>
      </c>
      <c r="C9183" t="s">
        <v>40</v>
      </c>
      <c r="D9183">
        <v>4.1609970000000001</v>
      </c>
      <c r="E9183">
        <v>0.39302870000000001</v>
      </c>
      <c r="F9183" t="s">
        <v>69</v>
      </c>
      <c r="G9183">
        <v>-205.8057</v>
      </c>
      <c r="H9183" s="1">
        <v>-3.6569640000000002E-6</v>
      </c>
      <c r="I9183">
        <v>-56.1254699999999</v>
      </c>
      <c r="J9183">
        <v>-230.48759999999999</v>
      </c>
      <c r="K9183">
        <v>1.1102879999999999</v>
      </c>
      <c r="L9183">
        <v>-62.565060000000003</v>
      </c>
      <c r="M9183">
        <v>0.99978750000000005</v>
      </c>
      <c r="N9183">
        <v>0</v>
      </c>
      <c r="O9183">
        <v>-1.47055E-2</v>
      </c>
      <c r="P9183">
        <v>0.99968559999999995</v>
      </c>
      <c r="Q9183">
        <v>-8.7894199999999992E-3</v>
      </c>
      <c r="R9183">
        <v>-2.3487729999999998E-2</v>
      </c>
      <c r="S9183">
        <v>3.0177309999999999</v>
      </c>
      <c r="T9183">
        <v>-0.13515959999999999</v>
      </c>
      <c r="U9183">
        <v>0.78372189999999997</v>
      </c>
      <c r="V9183">
        <v>8.7830369999999901E-3</v>
      </c>
      <c r="W9183">
        <v>5.656515E-3</v>
      </c>
      <c r="X9183">
        <v>0.99994539999999998</v>
      </c>
      <c r="Y9183">
        <v>-0.26531149999999998</v>
      </c>
      <c r="Z9183">
        <v>6.4896590000000001E-3</v>
      </c>
      <c r="AA9183">
        <v>0.96414089999999997</v>
      </c>
      <c r="AB9183">
        <v>21</v>
      </c>
      <c r="AC9183">
        <v>24.681899999999899</v>
      </c>
      <c r="AD9183">
        <v>-1.110291656964</v>
      </c>
      <c r="AE9183">
        <v>6.4395899999999999</v>
      </c>
      <c r="AF9183">
        <v>-6.7890286136520297</v>
      </c>
      <c r="AG9183">
        <v>-1.110291656964</v>
      </c>
      <c r="AH9183">
        <v>24.5380335674779</v>
      </c>
      <c r="AI9183">
        <v>92.497054955340502</v>
      </c>
      <c r="AJ9183">
        <v>105.46536690600099</v>
      </c>
      <c r="AK9183">
        <v>25.484088142195301</v>
      </c>
      <c r="AL9183">
        <v>89.675903825846206</v>
      </c>
      <c r="AM9183">
        <v>89.496754512240102</v>
      </c>
      <c r="AN9183">
        <v>0.99999997044102296</v>
      </c>
    </row>
    <row r="9184" spans="1:40" x14ac:dyDescent="0.25">
      <c r="A9184" t="str">
        <f>"20190312154135617"</f>
        <v>20190312154135617</v>
      </c>
      <c r="B9184" t="str">
        <f>"1552376495615612"</f>
        <v>1552376495615612</v>
      </c>
      <c r="C9184" t="s">
        <v>40</v>
      </c>
      <c r="D9184">
        <v>4.1860359999999996</v>
      </c>
      <c r="E9184">
        <v>0.39247860000000001</v>
      </c>
      <c r="F9184" t="s">
        <v>69</v>
      </c>
      <c r="G9184">
        <v>-205.7962</v>
      </c>
      <c r="H9184" s="1">
        <v>-3.657908E-6</v>
      </c>
      <c r="I9184">
        <v>-56.144779999999997</v>
      </c>
      <c r="J9184">
        <v>-230.3826</v>
      </c>
      <c r="K9184">
        <v>1.11029</v>
      </c>
      <c r="L9184">
        <v>-62.566619999999901</v>
      </c>
      <c r="M9184">
        <v>0.99978750000000005</v>
      </c>
      <c r="N9184">
        <v>0</v>
      </c>
      <c r="O9184">
        <v>-1.470548E-2</v>
      </c>
      <c r="P9184">
        <v>0.99967930000000005</v>
      </c>
      <c r="Q9184">
        <v>-8.8511079999999999E-3</v>
      </c>
      <c r="R9184">
        <v>-2.3725690000000001E-2</v>
      </c>
      <c r="S9184">
        <v>3.0181879999999999</v>
      </c>
      <c r="T9184">
        <v>-0.13571800000000001</v>
      </c>
      <c r="U9184">
        <v>0.78478999999999999</v>
      </c>
      <c r="V9184">
        <v>9.0210069999999993E-3</v>
      </c>
      <c r="W9184">
        <v>5.5926200000000004E-3</v>
      </c>
      <c r="X9184">
        <v>0.99994369999999999</v>
      </c>
      <c r="Y9184">
        <v>-0.26559319999999997</v>
      </c>
      <c r="Z9184">
        <v>6.5214299999999999E-3</v>
      </c>
      <c r="AA9184">
        <v>0.96406320000000001</v>
      </c>
      <c r="AB9184">
        <v>21</v>
      </c>
      <c r="AC9184">
        <v>24.586400000000001</v>
      </c>
      <c r="AD9184">
        <v>-1.1102936579080001</v>
      </c>
      <c r="AE9184">
        <v>6.42183999999998</v>
      </c>
      <c r="AF9184">
        <v>-6.76981388762362</v>
      </c>
      <c r="AG9184">
        <v>-1.1102936579080001</v>
      </c>
      <c r="AH9184">
        <v>24.442631859010099</v>
      </c>
      <c r="AI9184">
        <v>92.506604184586095</v>
      </c>
      <c r="AJ9184">
        <v>105.48100047216199</v>
      </c>
      <c r="AK9184">
        <v>25.387110593270499</v>
      </c>
      <c r="AL9184">
        <v>89.679564816642795</v>
      </c>
      <c r="AM9184">
        <v>89.483119293047096</v>
      </c>
      <c r="AN9184">
        <v>1.0000000295677201</v>
      </c>
    </row>
    <row r="9185" spans="1:40" x14ac:dyDescent="0.25">
      <c r="A9185" t="str">
        <f>"20190312154135628"</f>
        <v>20190312154135628</v>
      </c>
      <c r="B9185" t="str">
        <f>"1552376495625372"</f>
        <v>1552376495625372</v>
      </c>
      <c r="C9185" t="s">
        <v>40</v>
      </c>
      <c r="D9185">
        <v>4.1911069999999997</v>
      </c>
      <c r="E9185">
        <v>0.3921943</v>
      </c>
      <c r="F9185" t="s">
        <v>69</v>
      </c>
      <c r="G9185">
        <v>-206.31440000000001</v>
      </c>
      <c r="H9185" s="1">
        <v>-3.3446519999999999E-6</v>
      </c>
      <c r="I9185">
        <v>-56.279249999999998</v>
      </c>
      <c r="J9185">
        <v>-230.27809999999999</v>
      </c>
      <c r="K9185">
        <v>1.11029</v>
      </c>
      <c r="L9185">
        <v>-62.568150000000003</v>
      </c>
      <c r="M9185">
        <v>0.99978750000000005</v>
      </c>
      <c r="N9185">
        <v>0</v>
      </c>
      <c r="O9185">
        <v>-1.470547E-2</v>
      </c>
      <c r="P9185">
        <v>0.99967269999999997</v>
      </c>
      <c r="Q9185">
        <v>-8.7066569999999996E-3</v>
      </c>
      <c r="R9185">
        <v>-2.4055110000000001E-2</v>
      </c>
      <c r="S9185">
        <v>3.0184479999999998</v>
      </c>
      <c r="T9185">
        <v>-0.13924429999999999</v>
      </c>
      <c r="U9185">
        <v>0.78851319999999903</v>
      </c>
      <c r="V9185">
        <v>9.3506300000000004E-3</v>
      </c>
      <c r="W9185">
        <v>5.734238E-3</v>
      </c>
      <c r="X9185">
        <v>0.99993989999999999</v>
      </c>
      <c r="Y9185">
        <v>-0.2666714</v>
      </c>
      <c r="Z9185">
        <v>6.7135739999999999E-3</v>
      </c>
      <c r="AA9185">
        <v>0.96376410000000001</v>
      </c>
      <c r="AB9185">
        <v>21</v>
      </c>
      <c r="AC9185">
        <v>23.9636999999999</v>
      </c>
      <c r="AD9185">
        <v>-1.110293344652</v>
      </c>
      <c r="AE9185">
        <v>6.2888999999999999</v>
      </c>
      <c r="AF9185">
        <v>-6.6273439730824997</v>
      </c>
      <c r="AG9185">
        <v>-1.110293344652</v>
      </c>
      <c r="AH9185">
        <v>23.820776598065098</v>
      </c>
      <c r="AI9185">
        <v>92.571126061702202</v>
      </c>
      <c r="AJ9185">
        <v>105.54746893839101</v>
      </c>
      <c r="AK9185">
        <v>24.7504310504617</v>
      </c>
      <c r="AL9185">
        <v>89.671450582938505</v>
      </c>
      <c r="AM9185">
        <v>89.464231780952403</v>
      </c>
      <c r="AN9185">
        <v>1.0000000596894201</v>
      </c>
    </row>
    <row r="9186" spans="1:40" x14ac:dyDescent="0.25">
      <c r="A9186" t="str">
        <f>"20190312154135640"</f>
        <v>20190312154135640</v>
      </c>
      <c r="B9186" t="str">
        <f>"1552376495635131"</f>
        <v>1552376495635131</v>
      </c>
      <c r="C9186" t="s">
        <v>40</v>
      </c>
      <c r="D9186">
        <v>4.2143620000000004</v>
      </c>
      <c r="E9186">
        <v>0.39192650000000001</v>
      </c>
      <c r="F9186" t="s">
        <v>69</v>
      </c>
      <c r="G9186">
        <v>-206.41130000000001</v>
      </c>
      <c r="H9186" s="1">
        <v>-3.281752E-6</v>
      </c>
      <c r="I9186">
        <v>-56.32394</v>
      </c>
      <c r="J9186">
        <v>-230.17240000000001</v>
      </c>
      <c r="K9186">
        <v>1.110284</v>
      </c>
      <c r="L9186">
        <v>-62.569699999999997</v>
      </c>
      <c r="M9186">
        <v>0.99978769999999995</v>
      </c>
      <c r="N9186">
        <v>0</v>
      </c>
      <c r="O9186">
        <v>-1.4705569999999999E-2</v>
      </c>
      <c r="P9186">
        <v>0.99966849999999996</v>
      </c>
      <c r="Q9186">
        <v>-8.6837019999999997E-3</v>
      </c>
      <c r="R9186">
        <v>-2.4239279999999998E-2</v>
      </c>
      <c r="S9186">
        <v>3.0187840000000001</v>
      </c>
      <c r="T9186">
        <v>-0.1404347</v>
      </c>
      <c r="U9186">
        <v>0.78979489999999997</v>
      </c>
      <c r="V9186">
        <v>9.5346879999999995E-3</v>
      </c>
      <c r="W9186">
        <v>5.7552169999999904E-3</v>
      </c>
      <c r="X9186">
        <v>0.99993799999999999</v>
      </c>
      <c r="Y9186">
        <v>-0.26702320000000002</v>
      </c>
      <c r="Z9186">
        <v>6.7778719999999999E-3</v>
      </c>
      <c r="AA9186">
        <v>0.96366629999999998</v>
      </c>
      <c r="AB9186">
        <v>21</v>
      </c>
      <c r="AC9186">
        <v>23.761099999999999</v>
      </c>
      <c r="AD9186">
        <v>-1.110287281752</v>
      </c>
      <c r="AE9186">
        <v>6.24575999999999</v>
      </c>
      <c r="AF9186">
        <v>-6.5811007491692299</v>
      </c>
      <c r="AG9186">
        <v>-1.110287281752</v>
      </c>
      <c r="AH9186">
        <v>23.6184368832762</v>
      </c>
      <c r="AI9186">
        <v>92.592824135439002</v>
      </c>
      <c r="AJ9186">
        <v>105.570097614933</v>
      </c>
      <c r="AK9186">
        <v>24.543312444086201</v>
      </c>
      <c r="AL9186">
        <v>89.670248541375599</v>
      </c>
      <c r="AM9186">
        <v>89.453685302946297</v>
      </c>
      <c r="AN9186">
        <v>1.0000000183209801</v>
      </c>
    </row>
    <row r="9187" spans="1:40" x14ac:dyDescent="0.25">
      <c r="A9187" t="str">
        <f>"20190312154135650"</f>
        <v>20190312154135650</v>
      </c>
      <c r="B9187" t="str">
        <f>"1552376495644891"</f>
        <v>1552376495644891</v>
      </c>
      <c r="C9187" t="s">
        <v>40</v>
      </c>
      <c r="D9187">
        <v>4.2008830000000001</v>
      </c>
      <c r="E9187">
        <v>0.39172360000000001</v>
      </c>
      <c r="F9187" t="s">
        <v>69</v>
      </c>
      <c r="G9187">
        <v>-206.4443</v>
      </c>
      <c r="H9187" s="1">
        <v>-3.2579600000000001E-6</v>
      </c>
      <c r="I9187">
        <v>-56.349690000000002</v>
      </c>
      <c r="J9187">
        <v>-230.0641</v>
      </c>
      <c r="K9187">
        <v>1.110284</v>
      </c>
      <c r="L9187">
        <v>-62.571289999999998</v>
      </c>
      <c r="M9187">
        <v>0.99978769999999995</v>
      </c>
      <c r="N9187">
        <v>0</v>
      </c>
      <c r="O9187">
        <v>-1.470543E-2</v>
      </c>
      <c r="P9187">
        <v>0.99966820000000001</v>
      </c>
      <c r="Q9187">
        <v>-8.6783859999999997E-3</v>
      </c>
      <c r="R9187">
        <v>-2.425861E-2</v>
      </c>
      <c r="S9187">
        <v>3.018967</v>
      </c>
      <c r="T9187">
        <v>-0.14126379999999999</v>
      </c>
      <c r="U9187">
        <v>0.79138180000000002</v>
      </c>
      <c r="V9187">
        <v>9.5541619999999997E-3</v>
      </c>
      <c r="W9187">
        <v>5.7576019999999997E-3</v>
      </c>
      <c r="X9187">
        <v>0.99993779999999999</v>
      </c>
      <c r="Y9187">
        <v>-0.26747900000000002</v>
      </c>
      <c r="Z9187">
        <v>6.8274769999999898E-3</v>
      </c>
      <c r="AA9187">
        <v>0.96353949999999999</v>
      </c>
      <c r="AB9187">
        <v>21</v>
      </c>
      <c r="AC9187">
        <v>23.619800000000001</v>
      </c>
      <c r="AD9187">
        <v>-1.1102872579600001</v>
      </c>
      <c r="AE9187">
        <v>6.2215999999999996</v>
      </c>
      <c r="AF9187">
        <v>-6.5547587717839102</v>
      </c>
      <c r="AG9187">
        <v>-1.1102872579600001</v>
      </c>
      <c r="AH9187">
        <v>23.477234524699799</v>
      </c>
      <c r="AI9187">
        <v>92.608023664654894</v>
      </c>
      <c r="AJ9187">
        <v>105.599540663512</v>
      </c>
      <c r="AK9187">
        <v>24.400371744693199</v>
      </c>
      <c r="AL9187">
        <v>89.670111888551105</v>
      </c>
      <c r="AM9187">
        <v>89.452569447919899</v>
      </c>
      <c r="AN9187">
        <v>1.0000000179305699</v>
      </c>
    </row>
    <row r="9188" spans="1:40" x14ac:dyDescent="0.25">
      <c r="A9188" t="str">
        <f>"20190312154135662"</f>
        <v>20190312154135662</v>
      </c>
      <c r="B9188" t="str">
        <f>"1552376495655628"</f>
        <v>1552376495655628</v>
      </c>
      <c r="C9188" t="s">
        <v>40</v>
      </c>
      <c r="D9188">
        <v>4.2143240000000004</v>
      </c>
      <c r="E9188">
        <v>0.3914416</v>
      </c>
      <c r="F9188" t="s">
        <v>69</v>
      </c>
      <c r="G9188">
        <v>-206.6095</v>
      </c>
      <c r="H9188" s="1">
        <v>-3.1539629999999998E-6</v>
      </c>
      <c r="I9188">
        <v>-56.411209999999997</v>
      </c>
      <c r="J9188">
        <v>-229.95650000000001</v>
      </c>
      <c r="K9188">
        <v>1.1102810000000001</v>
      </c>
      <c r="L9188">
        <v>-62.572879999999998</v>
      </c>
      <c r="M9188">
        <v>0.99978769999999995</v>
      </c>
      <c r="N9188">
        <v>0</v>
      </c>
      <c r="O9188">
        <v>-1.470541E-2</v>
      </c>
      <c r="P9188">
        <v>0.99966920000000004</v>
      </c>
      <c r="Q9188">
        <v>-8.8413509999999904E-3</v>
      </c>
      <c r="R9188">
        <v>-2.4154889999999998E-2</v>
      </c>
      <c r="S9188">
        <v>3.0189970000000002</v>
      </c>
      <c r="T9188">
        <v>-0.14291300000000001</v>
      </c>
      <c r="U9188">
        <v>0.79290769999999899</v>
      </c>
      <c r="V9188">
        <v>9.4505270000000002E-3</v>
      </c>
      <c r="W9188">
        <v>5.5921429999999999E-3</v>
      </c>
      <c r="X9188">
        <v>0.99993969999999999</v>
      </c>
      <c r="Y9188">
        <v>-0.26792500000000002</v>
      </c>
      <c r="Z9188">
        <v>6.9169710000000001E-3</v>
      </c>
      <c r="AA9188">
        <v>0.96341500000000002</v>
      </c>
      <c r="AB9188">
        <v>21</v>
      </c>
      <c r="AC9188">
        <v>23.347000000000001</v>
      </c>
      <c r="AD9188">
        <v>-1.110284153963</v>
      </c>
      <c r="AE9188">
        <v>6.16167</v>
      </c>
      <c r="AF9188">
        <v>-6.4906434983611003</v>
      </c>
      <c r="AG9188">
        <v>-1.110284153963</v>
      </c>
      <c r="AH9188">
        <v>23.204794082482099</v>
      </c>
      <c r="AI9188">
        <v>92.638241614305201</v>
      </c>
      <c r="AJ9188">
        <v>105.626907441594</v>
      </c>
      <c r="AK9188">
        <v>24.121020963793299</v>
      </c>
      <c r="AL9188">
        <v>89.679592135785597</v>
      </c>
      <c r="AM9188">
        <v>89.458508158011895</v>
      </c>
      <c r="AN9188">
        <v>0.99999999407999995</v>
      </c>
    </row>
    <row r="9189" spans="1:40" x14ac:dyDescent="0.25">
      <c r="A9189" t="str">
        <f>"20190312154135673"</f>
        <v>20190312154135673</v>
      </c>
      <c r="B9189" t="str">
        <f>"1552376495665388"</f>
        <v>1552376495665388</v>
      </c>
      <c r="C9189" t="s">
        <v>40</v>
      </c>
      <c r="D9189">
        <v>4.2169569999999998</v>
      </c>
      <c r="E9189">
        <v>0.39116089999999998</v>
      </c>
      <c r="F9189" t="s">
        <v>69</v>
      </c>
      <c r="G9189">
        <v>-206.80330000000001</v>
      </c>
      <c r="H9189" s="1">
        <v>-3.0344250000000002E-6</v>
      </c>
      <c r="I9189">
        <v>-56.472349999999999</v>
      </c>
      <c r="J9189">
        <v>-229.8553</v>
      </c>
      <c r="K9189">
        <v>1.110285</v>
      </c>
      <c r="L9189">
        <v>-62.574370000000002</v>
      </c>
      <c r="M9189">
        <v>0.99978769999999995</v>
      </c>
      <c r="N9189">
        <v>0</v>
      </c>
      <c r="O9189">
        <v>-1.470539E-2</v>
      </c>
      <c r="P9189">
        <v>0.99966390000000005</v>
      </c>
      <c r="Q9189">
        <v>-9.2655900000000006E-3</v>
      </c>
      <c r="R9189">
        <v>-2.4219350000000001E-2</v>
      </c>
      <c r="S9189">
        <v>3.0189210000000002</v>
      </c>
      <c r="T9189">
        <v>-0.1447687</v>
      </c>
      <c r="U9189">
        <v>0.795440699999999</v>
      </c>
      <c r="V9189">
        <v>9.5149380000000006E-3</v>
      </c>
      <c r="W9189">
        <v>5.165378E-3</v>
      </c>
      <c r="X9189">
        <v>0.99994139999999998</v>
      </c>
      <c r="Y9189">
        <v>-0.26867839999999998</v>
      </c>
      <c r="Z9189">
        <v>7.0238790000000002E-3</v>
      </c>
      <c r="AA9189">
        <v>0.96320430000000001</v>
      </c>
      <c r="AB9189">
        <v>21</v>
      </c>
      <c r="AC9189">
        <v>23.0519999999999</v>
      </c>
      <c r="AD9189">
        <v>-1.1102880344249999</v>
      </c>
      <c r="AE9189">
        <v>6.1020199999999898</v>
      </c>
      <c r="AF9189">
        <v>-6.4264520179384297</v>
      </c>
      <c r="AG9189">
        <v>-1.1102880344249999</v>
      </c>
      <c r="AH9189">
        <v>22.9100978131986</v>
      </c>
      <c r="AI9189">
        <v>92.671586535731905</v>
      </c>
      <c r="AJ9189">
        <v>105.669201356505</v>
      </c>
      <c r="AK9189">
        <v>23.820256230120101</v>
      </c>
      <c r="AL9189">
        <v>89.704044327682098</v>
      </c>
      <c r="AM9189">
        <v>89.454818715703993</v>
      </c>
      <c r="AN9189">
        <v>1.0000000093044901</v>
      </c>
    </row>
    <row r="9190" spans="1:40" x14ac:dyDescent="0.25">
      <c r="A9190" t="str">
        <f>"20190312154135684"</f>
        <v>20190312154135684</v>
      </c>
      <c r="B9190" t="str">
        <f>"1552376495675148"</f>
        <v>1552376495675148</v>
      </c>
      <c r="C9190" t="s">
        <v>40</v>
      </c>
      <c r="D9190">
        <v>4.2069029999999996</v>
      </c>
      <c r="E9190">
        <v>0.3909009</v>
      </c>
      <c r="F9190" t="s">
        <v>69</v>
      </c>
      <c r="G9190">
        <v>-207.1165</v>
      </c>
      <c r="H9190" s="1">
        <v>-2.8197689999999999E-6</v>
      </c>
      <c r="I9190">
        <v>-56.567709999999998</v>
      </c>
      <c r="J9190">
        <v>-229.75</v>
      </c>
      <c r="K9190">
        <v>1.1102829999999999</v>
      </c>
      <c r="L9190">
        <v>-62.57593</v>
      </c>
      <c r="M9190">
        <v>0.99978769999999995</v>
      </c>
      <c r="N9190">
        <v>0</v>
      </c>
      <c r="O9190">
        <v>-1.4705380000000001E-2</v>
      </c>
      <c r="P9190">
        <v>0.99966390000000005</v>
      </c>
      <c r="Q9190">
        <v>-9.3901039999999998E-3</v>
      </c>
      <c r="R9190">
        <v>-2.415813E-2</v>
      </c>
      <c r="S9190">
        <v>3.018967</v>
      </c>
      <c r="T9190">
        <v>-0.14740929999999999</v>
      </c>
      <c r="U9190">
        <v>0.79748540000000001</v>
      </c>
      <c r="V9190">
        <v>9.4538469999999996E-3</v>
      </c>
      <c r="W9190">
        <v>5.038542E-3</v>
      </c>
      <c r="X9190">
        <v>0.99994260000000001</v>
      </c>
      <c r="Y9190">
        <v>-0.26927279999999998</v>
      </c>
      <c r="Z9190">
        <v>7.1653999999999997E-3</v>
      </c>
      <c r="AA9190">
        <v>0.96303729999999999</v>
      </c>
      <c r="AB9190">
        <v>21</v>
      </c>
      <c r="AC9190">
        <v>22.633500000000002</v>
      </c>
      <c r="AD9190">
        <v>-1.110285819769</v>
      </c>
      <c r="AE9190">
        <v>6.0082199999999997</v>
      </c>
      <c r="AF9190">
        <v>-6.3262178656868597</v>
      </c>
      <c r="AG9190">
        <v>-1.110285819769</v>
      </c>
      <c r="AH9190">
        <v>22.492127884575002</v>
      </c>
      <c r="AI9190">
        <v>92.720618220549596</v>
      </c>
      <c r="AJ9190">
        <v>105.709362302496</v>
      </c>
      <c r="AK9190">
        <v>23.3912287805022</v>
      </c>
      <c r="AL9190">
        <v>89.711311582016506</v>
      </c>
      <c r="AM9190">
        <v>89.458319512424097</v>
      </c>
      <c r="AN9190">
        <v>0.99999998271167201</v>
      </c>
    </row>
    <row r="9191" spans="1:40" x14ac:dyDescent="0.25">
      <c r="A9191" t="str">
        <f>"20190312154135694"</f>
        <v>20190312154135694</v>
      </c>
      <c r="B9191" t="str">
        <f>"1552376495684908"</f>
        <v>1552376495684908</v>
      </c>
      <c r="C9191" t="s">
        <v>40</v>
      </c>
      <c r="D9191">
        <v>4.2613079999999997</v>
      </c>
      <c r="E9191">
        <v>0.3906946</v>
      </c>
      <c r="F9191" t="s">
        <v>69</v>
      </c>
      <c r="G9191">
        <v>-207.21690000000001</v>
      </c>
      <c r="H9191" s="1">
        <v>-2.7454969999999999E-6</v>
      </c>
      <c r="I9191">
        <v>-56.606940000000002</v>
      </c>
      <c r="J9191">
        <v>-229.6497</v>
      </c>
      <c r="K9191">
        <v>1.1102810000000001</v>
      </c>
      <c r="L9191">
        <v>-62.577390000000001</v>
      </c>
      <c r="M9191">
        <v>0.9997878</v>
      </c>
      <c r="N9191">
        <v>0</v>
      </c>
      <c r="O9191">
        <v>-1.4705360000000001E-2</v>
      </c>
      <c r="P9191">
        <v>0.99965999999999999</v>
      </c>
      <c r="Q9191">
        <v>-9.6233640000000006E-3</v>
      </c>
      <c r="R9191">
        <v>-2.423078E-2</v>
      </c>
      <c r="S9191">
        <v>3.0189360000000001</v>
      </c>
      <c r="T9191">
        <v>-0.14875379999999999</v>
      </c>
      <c r="U9191">
        <v>0.79971309999999995</v>
      </c>
      <c r="V9191">
        <v>9.5265139999999998E-3</v>
      </c>
      <c r="W9191">
        <v>4.8029880000000002E-3</v>
      </c>
      <c r="X9191">
        <v>0.99994309999999997</v>
      </c>
      <c r="Y9191">
        <v>-0.26993289999999998</v>
      </c>
      <c r="Z9191">
        <v>7.246059E-3</v>
      </c>
      <c r="AA9191">
        <v>0.96285189999999998</v>
      </c>
      <c r="AB9191">
        <v>21</v>
      </c>
      <c r="AC9191">
        <v>22.432799999999901</v>
      </c>
      <c r="AD9191">
        <v>-1.11028374549699</v>
      </c>
      <c r="AE9191">
        <v>5.9704499999999996</v>
      </c>
      <c r="AF9191">
        <v>-6.2853427166129601</v>
      </c>
      <c r="AG9191">
        <v>-1.11028374549699</v>
      </c>
      <c r="AH9191">
        <v>22.291573076032702</v>
      </c>
      <c r="AI9191">
        <v>92.744554633358206</v>
      </c>
      <c r="AJ9191">
        <v>105.74635452752</v>
      </c>
      <c r="AK9191">
        <v>23.187334759840301</v>
      </c>
      <c r="AL9191">
        <v>89.724808004120305</v>
      </c>
      <c r="AM9191">
        <v>89.454156408949004</v>
      </c>
      <c r="AN9191">
        <v>1.0000000132001601</v>
      </c>
    </row>
    <row r="9192" spans="1:40" x14ac:dyDescent="0.25">
      <c r="A9192" t="str">
        <f>"20190312154135707"</f>
        <v>20190312154135707</v>
      </c>
      <c r="B9192" t="str">
        <f>"1552376495695644"</f>
        <v>1552376495695644</v>
      </c>
      <c r="C9192" t="s">
        <v>40</v>
      </c>
      <c r="D9192">
        <v>4.2012109999999998</v>
      </c>
      <c r="E9192">
        <v>0.39050180000000001</v>
      </c>
      <c r="F9192" t="s">
        <v>69</v>
      </c>
      <c r="G9192">
        <v>-207.5574</v>
      </c>
      <c r="H9192" s="1">
        <v>-2.50047E-6</v>
      </c>
      <c r="I9192">
        <v>-56.714320000000001</v>
      </c>
      <c r="J9192">
        <v>-229.5402</v>
      </c>
      <c r="K9192">
        <v>1.1102749999999999</v>
      </c>
      <c r="L9192">
        <v>-62.579009999999997</v>
      </c>
      <c r="M9192">
        <v>0.9997878</v>
      </c>
      <c r="N9192">
        <v>0</v>
      </c>
      <c r="O9192">
        <v>-1.4705340000000001E-2</v>
      </c>
      <c r="P9192">
        <v>0.99966840000000001</v>
      </c>
      <c r="Q9192">
        <v>-9.4929839999999995E-3</v>
      </c>
      <c r="R9192">
        <v>-2.3936659999999998E-2</v>
      </c>
      <c r="S9192">
        <v>3.0189819999999998</v>
      </c>
      <c r="T9192">
        <v>-0.151724</v>
      </c>
      <c r="U9192">
        <v>0.80120849999999999</v>
      </c>
      <c r="V9192">
        <v>9.2323969999999998E-3</v>
      </c>
      <c r="W9192">
        <v>4.9307780000000002E-3</v>
      </c>
      <c r="X9192">
        <v>0.99994519999999998</v>
      </c>
      <c r="Y9192">
        <v>-0.27036130000000003</v>
      </c>
      <c r="Z9192">
        <v>7.400579E-3</v>
      </c>
      <c r="AA9192">
        <v>0.96273050000000004</v>
      </c>
      <c r="AB9192">
        <v>21</v>
      </c>
      <c r="AC9192">
        <v>21.982800000000001</v>
      </c>
      <c r="AD9192">
        <v>-1.1102775004699901</v>
      </c>
      <c r="AE9192">
        <v>5.8646900000000004</v>
      </c>
      <c r="AF9192">
        <v>-6.1726542019203796</v>
      </c>
      <c r="AG9192">
        <v>-1.1102775004699901</v>
      </c>
      <c r="AH9192">
        <v>21.842155833723002</v>
      </c>
      <c r="AI9192">
        <v>92.800451391790105</v>
      </c>
      <c r="AJ9192">
        <v>105.780440023621</v>
      </c>
      <c r="AK9192">
        <v>22.724747468105701</v>
      </c>
      <c r="AL9192">
        <v>89.717486079425399</v>
      </c>
      <c r="AM9192">
        <v>89.471008658772803</v>
      </c>
      <c r="AN9192">
        <v>0.99999997636454496</v>
      </c>
    </row>
    <row r="9193" spans="1:40" x14ac:dyDescent="0.25">
      <c r="A9193" t="str">
        <f>"20190312154135718"</f>
        <v>20190312154135718</v>
      </c>
      <c r="B9193" t="str">
        <f>"1552376495715671"</f>
        <v>1552376495715671</v>
      </c>
      <c r="C9193" t="s">
        <v>40</v>
      </c>
      <c r="D9193">
        <v>4.1592900000000004</v>
      </c>
      <c r="E9193">
        <v>0.40660360000000001</v>
      </c>
      <c r="F9193" t="s">
        <v>69</v>
      </c>
      <c r="G9193">
        <v>-207.56290000000001</v>
      </c>
      <c r="H9193" s="1">
        <v>-2.493302E-6</v>
      </c>
      <c r="I9193">
        <v>-56.728140000000003</v>
      </c>
      <c r="J9193">
        <v>-229.43790000000001</v>
      </c>
      <c r="K9193">
        <v>1.1102749999999999</v>
      </c>
      <c r="L9193">
        <v>-62.580509999999997</v>
      </c>
      <c r="M9193">
        <v>0.99978800000000001</v>
      </c>
      <c r="N9193">
        <v>0</v>
      </c>
      <c r="O9193">
        <v>-1.470544E-2</v>
      </c>
      <c r="P9193">
        <v>0.99967399999999995</v>
      </c>
      <c r="Q9193">
        <v>-9.3960799999999994E-3</v>
      </c>
      <c r="R9193">
        <v>-2.374925E-2</v>
      </c>
      <c r="S9193">
        <v>3.0188139999999999</v>
      </c>
      <c r="T9193">
        <v>-0.15250859999999999</v>
      </c>
      <c r="U9193">
        <v>0.80368039999999996</v>
      </c>
      <c r="V9193">
        <v>9.0446190000000003E-3</v>
      </c>
      <c r="W9193">
        <v>5.0247139999999996E-3</v>
      </c>
      <c r="X9193">
        <v>0.99994649999999996</v>
      </c>
      <c r="Y9193">
        <v>-0.27110659999999998</v>
      </c>
      <c r="Z9193">
        <v>7.4569329999999998E-3</v>
      </c>
      <c r="AA9193">
        <v>0.96252040000000005</v>
      </c>
      <c r="AB9193">
        <v>21</v>
      </c>
      <c r="AC9193">
        <v>21.875</v>
      </c>
      <c r="AD9193">
        <v>-1.1102774933020001</v>
      </c>
      <c r="AE9193">
        <v>5.8523699999999899</v>
      </c>
      <c r="AF9193">
        <v>-6.1586462498544101</v>
      </c>
      <c r="AG9193">
        <v>-1.1102774933020001</v>
      </c>
      <c r="AH9193">
        <v>21.734313099167</v>
      </c>
      <c r="AI9193">
        <v>92.813766789728007</v>
      </c>
      <c r="AJ9193">
        <v>105.820635835096</v>
      </c>
      <c r="AK9193">
        <v>22.617294392468899</v>
      </c>
      <c r="AL9193">
        <v>89.712103891100696</v>
      </c>
      <c r="AM9193">
        <v>89.481767910375396</v>
      </c>
      <c r="AN9193">
        <v>1.00000002787294</v>
      </c>
    </row>
    <row r="9194" spans="1:40" x14ac:dyDescent="0.25">
      <c r="A9194" t="str">
        <f>"20190312154135729"</f>
        <v>20190312154135729</v>
      </c>
      <c r="B9194" t="str">
        <f>"1552376495715671"</f>
        <v>1552376495715671</v>
      </c>
      <c r="C9194" t="s">
        <v>40</v>
      </c>
      <c r="D9194">
        <v>4.1592900000000004</v>
      </c>
      <c r="E9194">
        <v>0.40660360000000001</v>
      </c>
      <c r="F9194" t="s">
        <v>69</v>
      </c>
      <c r="G9194">
        <v>-190.61850000000001</v>
      </c>
      <c r="H9194" s="1">
        <v>-8.5862570000000001E-6</v>
      </c>
      <c r="I9194">
        <v>-53.897930000000002</v>
      </c>
      <c r="J9194">
        <v>-229.3305</v>
      </c>
      <c r="K9194">
        <v>1.110274</v>
      </c>
      <c r="L9194">
        <v>-62.582090000000001</v>
      </c>
      <c r="M9194">
        <v>0.99978800000000001</v>
      </c>
      <c r="N9194">
        <v>0</v>
      </c>
      <c r="O9194">
        <v>-1.470542E-2</v>
      </c>
      <c r="P9194">
        <v>0.99968100000000004</v>
      </c>
      <c r="Q9194">
        <v>-9.4552990000000003E-3</v>
      </c>
      <c r="R9194">
        <v>-2.342673E-2</v>
      </c>
      <c r="S9194">
        <v>3.0162049999999998</v>
      </c>
      <c r="T9194">
        <v>-8.6267109999999994E-2</v>
      </c>
      <c r="U9194">
        <v>0.67462159999999904</v>
      </c>
      <c r="V9194">
        <v>8.7221019999999903E-3</v>
      </c>
      <c r="W9194">
        <v>4.9636799999999998E-3</v>
      </c>
      <c r="X9194">
        <v>0.99994959999999999</v>
      </c>
      <c r="Y9194">
        <v>-0.23250499999999999</v>
      </c>
      <c r="Z9194">
        <v>3.6993199999999999E-3</v>
      </c>
      <c r="AA9194">
        <v>0.97258820000000001</v>
      </c>
      <c r="AB9194">
        <v>21</v>
      </c>
      <c r="AC9194">
        <v>38.711999999999897</v>
      </c>
      <c r="AD9194">
        <v>-1.110282586257</v>
      </c>
      <c r="AE9194">
        <v>8.6841599999999897</v>
      </c>
      <c r="AF9194">
        <v>-9.2453155271565599</v>
      </c>
      <c r="AG9194">
        <v>-1.110282586257</v>
      </c>
      <c r="AH9194">
        <v>38.549904774595198</v>
      </c>
      <c r="AI9194">
        <v>91.604263274296301</v>
      </c>
      <c r="AJ9194">
        <v>103.48637115048901</v>
      </c>
      <c r="AK9194">
        <v>39.658589797777502</v>
      </c>
      <c r="AL9194">
        <v>89.715600905310893</v>
      </c>
      <c r="AM9194">
        <v>89.500247852682804</v>
      </c>
      <c r="AN9194">
        <v>0.99999995786129903</v>
      </c>
    </row>
    <row r="9195" spans="1:40" x14ac:dyDescent="0.25">
      <c r="A9195" t="str">
        <f>"20190312154135741"</f>
        <v>20190312154135741</v>
      </c>
      <c r="B9195" t="str">
        <f>"1552376495735191"</f>
        <v>1552376495735191</v>
      </c>
      <c r="C9195" t="s">
        <v>40</v>
      </c>
      <c r="D9195">
        <v>4.3449650000000002</v>
      </c>
      <c r="E9195">
        <v>0.42296719999999999</v>
      </c>
      <c r="F9195" t="s">
        <v>69</v>
      </c>
      <c r="G9195">
        <v>-190.59039999999999</v>
      </c>
      <c r="H9195" s="1">
        <v>-8.5810979999999994E-6</v>
      </c>
      <c r="I9195">
        <v>-53.904420000000002</v>
      </c>
      <c r="J9195">
        <v>-229.22919999999999</v>
      </c>
      <c r="K9195">
        <v>1.1102780000000001</v>
      </c>
      <c r="L9195">
        <v>-62.583590000000001</v>
      </c>
      <c r="M9195">
        <v>0.99978800000000001</v>
      </c>
      <c r="N9195">
        <v>0</v>
      </c>
      <c r="O9195">
        <v>-1.47054E-2</v>
      </c>
      <c r="P9195">
        <v>0.99968040000000002</v>
      </c>
      <c r="Q9195">
        <v>-9.6707240000000003E-3</v>
      </c>
      <c r="R9195">
        <v>-2.3357800000000001E-2</v>
      </c>
      <c r="S9195">
        <v>3.0159609999999999</v>
      </c>
      <c r="T9195">
        <v>-8.6436869999999999E-2</v>
      </c>
      <c r="U9195">
        <v>0.67556759999999905</v>
      </c>
      <c r="V9195">
        <v>8.6532499999999995E-3</v>
      </c>
      <c r="W9195">
        <v>4.745768E-3</v>
      </c>
      <c r="X9195">
        <v>0.99995129999999999</v>
      </c>
      <c r="Y9195">
        <v>-0.23281180000000001</v>
      </c>
      <c r="Z9195">
        <v>3.7111039999999998E-3</v>
      </c>
      <c r="AA9195">
        <v>0.97251469999999995</v>
      </c>
      <c r="AB9195">
        <v>21</v>
      </c>
      <c r="AC9195">
        <v>38.638800000000003</v>
      </c>
      <c r="AD9195">
        <v>-1.110286581098</v>
      </c>
      <c r="AE9195">
        <v>8.6791699999999992</v>
      </c>
      <c r="AF9195">
        <v>-9.2392269405004193</v>
      </c>
      <c r="AG9195">
        <v>-1.110286581098</v>
      </c>
      <c r="AH9195">
        <v>38.476732893878598</v>
      </c>
      <c r="AI9195">
        <v>91.607209744323299</v>
      </c>
      <c r="AJ9195">
        <v>103.502507046698</v>
      </c>
      <c r="AK9195">
        <v>39.586045836091202</v>
      </c>
      <c r="AL9195">
        <v>89.728086502823501</v>
      </c>
      <c r="AM9195">
        <v>89.504193525629304</v>
      </c>
      <c r="AN9195">
        <v>1.0000000017105799</v>
      </c>
    </row>
    <row r="9196" spans="1:40" x14ac:dyDescent="0.25">
      <c r="A9196" t="str">
        <f>"20190312154135751"</f>
        <v>20190312154135751</v>
      </c>
      <c r="B9196" t="str">
        <f>"1552376495744951"</f>
        <v>1552376495744951</v>
      </c>
      <c r="C9196" t="s">
        <v>40</v>
      </c>
      <c r="D9196">
        <v>4.3108839999999997</v>
      </c>
      <c r="E9196">
        <v>0.42754449999999999</v>
      </c>
      <c r="F9196" t="s">
        <v>69</v>
      </c>
      <c r="G9196">
        <v>-195.41030000000001</v>
      </c>
      <c r="H9196" s="1">
        <v>-8.1525769999999992E-6</v>
      </c>
      <c r="I9196">
        <v>-56.460180000000001</v>
      </c>
      <c r="J9196">
        <v>-229.1234</v>
      </c>
      <c r="K9196">
        <v>1.110277</v>
      </c>
      <c r="L9196">
        <v>-62.585140000000003</v>
      </c>
      <c r="M9196">
        <v>0.99978800000000001</v>
      </c>
      <c r="N9196">
        <v>0</v>
      </c>
      <c r="O9196">
        <v>-1.470539E-2</v>
      </c>
      <c r="P9196">
        <v>0.9996756</v>
      </c>
      <c r="Q9196">
        <v>-9.9079990000000007E-3</v>
      </c>
      <c r="R9196">
        <v>-2.3465E-2</v>
      </c>
      <c r="S9196">
        <v>3.0127410000000001</v>
      </c>
      <c r="T9196">
        <v>-9.8909380000000005E-2</v>
      </c>
      <c r="U9196">
        <v>0.54550169999999998</v>
      </c>
      <c r="V9196">
        <v>8.7605129999999993E-3</v>
      </c>
      <c r="W9196">
        <v>4.5054439999999999E-3</v>
      </c>
      <c r="X9196">
        <v>0.99995149999999999</v>
      </c>
      <c r="Y9196">
        <v>-0.19251209999999999</v>
      </c>
      <c r="Z9196">
        <v>3.6127709999999999E-3</v>
      </c>
      <c r="AA9196">
        <v>0.98128800000000005</v>
      </c>
      <c r="AB9196">
        <v>21</v>
      </c>
      <c r="AC9196">
        <v>33.713099999999997</v>
      </c>
      <c r="AD9196">
        <v>-1.1102851525769999</v>
      </c>
      <c r="AE9196">
        <v>6.1249599999999997</v>
      </c>
      <c r="AF9196">
        <v>-6.6131698552924902</v>
      </c>
      <c r="AG9196">
        <v>-1.1102851525769999</v>
      </c>
      <c r="AH9196">
        <v>33.5841129454042</v>
      </c>
      <c r="AI9196">
        <v>91.857848502155306</v>
      </c>
      <c r="AJ9196">
        <v>101.13979783672001</v>
      </c>
      <c r="AK9196">
        <v>34.247034776527002</v>
      </c>
      <c r="AL9196">
        <v>89.741856206808905</v>
      </c>
      <c r="AM9196">
        <v>89.498048075454605</v>
      </c>
      <c r="AN9196">
        <v>1.0000000239829501</v>
      </c>
    </row>
    <row r="9197" spans="1:40" x14ac:dyDescent="0.25">
      <c r="A9197" t="str">
        <f>"20190312154135762"</f>
        <v>20190312154135762</v>
      </c>
      <c r="B9197" t="str">
        <f>"1552376495755688"</f>
        <v>1552376495755688</v>
      </c>
      <c r="C9197" t="s">
        <v>40</v>
      </c>
      <c r="D9197">
        <v>4.3532890000000002</v>
      </c>
      <c r="E9197">
        <v>0.43007200000000001</v>
      </c>
      <c r="F9197" t="s">
        <v>69</v>
      </c>
      <c r="G9197">
        <v>-196.80279999999999</v>
      </c>
      <c r="H9197" s="1">
        <v>-8.0756159999999998E-6</v>
      </c>
      <c r="I9197">
        <v>-57.125660000000003</v>
      </c>
      <c r="J9197">
        <v>-229.02379999999999</v>
      </c>
      <c r="K9197">
        <v>1.110276</v>
      </c>
      <c r="L9197">
        <v>-62.58661</v>
      </c>
      <c r="M9197">
        <v>0.99978800000000001</v>
      </c>
      <c r="N9197">
        <v>0</v>
      </c>
      <c r="O9197">
        <v>-1.4705009999999999E-2</v>
      </c>
      <c r="P9197">
        <v>0.99967209999999995</v>
      </c>
      <c r="Q9197">
        <v>-1.053861E-2</v>
      </c>
      <c r="R9197">
        <v>-2.3342669999999999E-2</v>
      </c>
      <c r="S9197">
        <v>3.0119020000000001</v>
      </c>
      <c r="T9197">
        <v>-0.1034653</v>
      </c>
      <c r="U9197">
        <v>0.5087585</v>
      </c>
      <c r="V9197">
        <v>8.6384830000000006E-3</v>
      </c>
      <c r="W9197">
        <v>3.8726870000000001E-3</v>
      </c>
      <c r="X9197">
        <v>0.99995520000000004</v>
      </c>
      <c r="Y9197">
        <v>-0.18092749999999999</v>
      </c>
      <c r="Z9197">
        <v>3.5865210000000001E-3</v>
      </c>
      <c r="AA9197">
        <v>0.98348990000000003</v>
      </c>
      <c r="AB9197">
        <v>21</v>
      </c>
      <c r="AC9197">
        <v>32.220999999999997</v>
      </c>
      <c r="AD9197">
        <v>-1.110284075616</v>
      </c>
      <c r="AE9197">
        <v>5.4609500000000004</v>
      </c>
      <c r="AF9197">
        <v>-5.9273772247182901</v>
      </c>
      <c r="AG9197">
        <v>-1.110284075616</v>
      </c>
      <c r="AH9197">
        <v>32.100152891723603</v>
      </c>
      <c r="AI9197">
        <v>91.948057161889693</v>
      </c>
      <c r="AJ9197">
        <v>100.461972004448</v>
      </c>
      <c r="AK9197">
        <v>32.661695411670003</v>
      </c>
      <c r="AL9197">
        <v>89.778110827447193</v>
      </c>
      <c r="AM9197">
        <v>89.505041520697404</v>
      </c>
      <c r="AN9197">
        <v>1.00000001155009</v>
      </c>
    </row>
    <row r="9198" spans="1:40" x14ac:dyDescent="0.25">
      <c r="A9198" t="str">
        <f>"20190312154135773"</f>
        <v>20190312154135773</v>
      </c>
      <c r="B9198" t="str">
        <f>"1552376495765448"</f>
        <v>1552376495765448</v>
      </c>
      <c r="C9198" t="s">
        <v>40</v>
      </c>
      <c r="D9198">
        <v>4.3364089999999997</v>
      </c>
      <c r="E9198">
        <v>0.43190299999999998</v>
      </c>
      <c r="F9198" t="s">
        <v>69</v>
      </c>
      <c r="G9198">
        <v>-198.8338</v>
      </c>
      <c r="H9198" s="1">
        <v>-8.1085690000000008E-6</v>
      </c>
      <c r="I9198">
        <v>-57.682639999999999</v>
      </c>
      <c r="J9198">
        <v>-228.91990000000001</v>
      </c>
      <c r="K9198">
        <v>1.110276</v>
      </c>
      <c r="L9198">
        <v>-62.58813</v>
      </c>
      <c r="M9198">
        <v>0.99978800000000001</v>
      </c>
      <c r="N9198">
        <v>0</v>
      </c>
      <c r="O9198">
        <v>-1.4704389999999999E-2</v>
      </c>
      <c r="P9198">
        <v>0.99966460000000001</v>
      </c>
      <c r="Q9198">
        <v>-1.091811E-2</v>
      </c>
      <c r="R9198">
        <v>-2.3483710000000001E-2</v>
      </c>
      <c r="S9198">
        <v>3.0112299999999999</v>
      </c>
      <c r="T9198">
        <v>-0.1107427</v>
      </c>
      <c r="U9198">
        <v>0.48913570000000001</v>
      </c>
      <c r="V9198">
        <v>8.7803559999999996E-3</v>
      </c>
      <c r="W9198">
        <v>3.4907430000000001E-3</v>
      </c>
      <c r="X9198">
        <v>0.99995540000000005</v>
      </c>
      <c r="Y9198">
        <v>-0.17470910000000001</v>
      </c>
      <c r="Z9198">
        <v>3.7279050000000001E-3</v>
      </c>
      <c r="AA9198">
        <v>0.98461299999999996</v>
      </c>
      <c r="AB9198">
        <v>21</v>
      </c>
      <c r="AC9198">
        <v>30.086099999999998</v>
      </c>
      <c r="AD9198">
        <v>-1.1102841085690001</v>
      </c>
      <c r="AE9198">
        <v>4.9054900000000004</v>
      </c>
      <c r="AF9198">
        <v>-5.3403187432534498</v>
      </c>
      <c r="AG9198">
        <v>-1.1102841085690001</v>
      </c>
      <c r="AH9198">
        <v>29.970947212996801</v>
      </c>
      <c r="AI9198">
        <v>92.0887033465972</v>
      </c>
      <c r="AJ9198">
        <v>100.103112739705</v>
      </c>
      <c r="AK9198">
        <v>30.463246903859801</v>
      </c>
      <c r="AL9198">
        <v>89.799994760739807</v>
      </c>
      <c r="AM9198">
        <v>89.496913149649998</v>
      </c>
      <c r="AN9198">
        <v>1.00000004096366</v>
      </c>
    </row>
    <row r="9199" spans="1:40" x14ac:dyDescent="0.25">
      <c r="A9199" t="str">
        <f>"20190312154135783"</f>
        <v>20190312154135783</v>
      </c>
      <c r="B9199" t="str">
        <f>"1552376495775210"</f>
        <v>1552376495775210</v>
      </c>
      <c r="C9199" t="s">
        <v>40</v>
      </c>
      <c r="D9199">
        <v>4.3525269999999896</v>
      </c>
      <c r="E9199">
        <v>0.43336449999999999</v>
      </c>
      <c r="F9199" t="s">
        <v>69</v>
      </c>
      <c r="G9199">
        <v>-199.4264</v>
      </c>
      <c r="H9199" s="1">
        <v>-8.0835249999999998E-6</v>
      </c>
      <c r="I9199">
        <v>-57.943890000000003</v>
      </c>
      <c r="J9199">
        <v>-228.82089999999999</v>
      </c>
      <c r="K9199">
        <v>1.110276</v>
      </c>
      <c r="L9199">
        <v>-62.589599999999997</v>
      </c>
      <c r="M9199">
        <v>0.99978820000000002</v>
      </c>
      <c r="N9199">
        <v>0</v>
      </c>
      <c r="O9199">
        <v>-1.470161E-2</v>
      </c>
      <c r="P9199">
        <v>0.99965550000000003</v>
      </c>
      <c r="Q9199">
        <v>-1.1413649999999999E-2</v>
      </c>
      <c r="R9199">
        <v>-2.3644450000000001E-2</v>
      </c>
      <c r="S9199">
        <v>3.0109249999999999</v>
      </c>
      <c r="T9199">
        <v>-0.1133465</v>
      </c>
      <c r="U9199">
        <v>0.47412109999999902</v>
      </c>
      <c r="V9199">
        <v>8.943912E-3</v>
      </c>
      <c r="W9199">
        <v>2.9929280000000002E-3</v>
      </c>
      <c r="X9199">
        <v>0.9999555</v>
      </c>
      <c r="Y9199">
        <v>-0.16992989999999999</v>
      </c>
      <c r="Z9199">
        <v>3.7278839999999999E-3</v>
      </c>
      <c r="AA9199">
        <v>0.98544909999999997</v>
      </c>
      <c r="AB9199">
        <v>21</v>
      </c>
      <c r="AC9199">
        <v>29.394499999999901</v>
      </c>
      <c r="AD9199">
        <v>-1.1102840835250001</v>
      </c>
      <c r="AE9199">
        <v>4.6457099999999896</v>
      </c>
      <c r="AF9199">
        <v>-5.0703414906359399</v>
      </c>
      <c r="AG9199">
        <v>-1.1102840835250001</v>
      </c>
      <c r="AH9199">
        <v>29.282256836908399</v>
      </c>
      <c r="AI9199">
        <v>92.139613704991802</v>
      </c>
      <c r="AJ9199">
        <v>99.823591344787204</v>
      </c>
      <c r="AK9199">
        <v>29.7387232247866</v>
      </c>
      <c r="AL9199">
        <v>89.828517597184401</v>
      </c>
      <c r="AM9199">
        <v>89.4875424504541</v>
      </c>
      <c r="AN9199">
        <v>0.99999997658006301</v>
      </c>
    </row>
    <row r="9200" spans="1:40" x14ac:dyDescent="0.25">
      <c r="A9200" t="str">
        <f>"20190312154135795"</f>
        <v>20190312154135795</v>
      </c>
      <c r="B9200" t="str">
        <f>"1552376495784969"</f>
        <v>1552376495784969</v>
      </c>
      <c r="C9200" t="s">
        <v>40</v>
      </c>
      <c r="D9200">
        <v>4.3594600000000003</v>
      </c>
      <c r="E9200">
        <v>0.43448930000000002</v>
      </c>
      <c r="F9200" t="s">
        <v>69</v>
      </c>
      <c r="G9200">
        <v>-200.3048</v>
      </c>
      <c r="H9200" s="1">
        <v>-5.9319729999999996E-6</v>
      </c>
      <c r="I9200">
        <v>-58.212679999999999</v>
      </c>
      <c r="J9200">
        <v>-228.71549999999999</v>
      </c>
      <c r="K9200">
        <v>1.110279</v>
      </c>
      <c r="L9200">
        <v>-62.591160000000002</v>
      </c>
      <c r="M9200">
        <v>0.99978820000000002</v>
      </c>
      <c r="N9200">
        <v>0</v>
      </c>
      <c r="O9200">
        <v>-1.4696910000000001E-2</v>
      </c>
      <c r="P9200">
        <v>0.9996427</v>
      </c>
      <c r="Q9200">
        <v>-1.1687899999999999E-2</v>
      </c>
      <c r="R9200">
        <v>-2.403576E-2</v>
      </c>
      <c r="S9200">
        <v>3.010605</v>
      </c>
      <c r="T9200">
        <v>-0.117219</v>
      </c>
      <c r="U9200">
        <v>0.46209719999999999</v>
      </c>
      <c r="V9200">
        <v>9.340012E-3</v>
      </c>
      <c r="W9200">
        <v>2.7158859999999998E-3</v>
      </c>
      <c r="X9200">
        <v>0.99995270000000003</v>
      </c>
      <c r="Y9200">
        <v>-0.16609109999999999</v>
      </c>
      <c r="Z9200">
        <v>3.782278E-3</v>
      </c>
      <c r="AA9200">
        <v>0.98610319999999996</v>
      </c>
      <c r="AB9200">
        <v>21</v>
      </c>
      <c r="AC9200">
        <v>28.410699999999899</v>
      </c>
      <c r="AD9200">
        <v>-1.1102849319729999</v>
      </c>
      <c r="AE9200">
        <v>4.3784799999999802</v>
      </c>
      <c r="AF9200">
        <v>-4.7884564221457202</v>
      </c>
      <c r="AG9200">
        <v>-1.1102849319729999</v>
      </c>
      <c r="AH9200">
        <v>28.301054528982402</v>
      </c>
      <c r="AI9200">
        <v>92.215179360972698</v>
      </c>
      <c r="AJ9200">
        <v>99.603328884954706</v>
      </c>
      <c r="AK9200">
        <v>28.724758223340899</v>
      </c>
      <c r="AL9200">
        <v>89.844391004361498</v>
      </c>
      <c r="AM9200">
        <v>89.464846980939598</v>
      </c>
      <c r="AN9200">
        <v>1.0000000070491</v>
      </c>
    </row>
    <row r="9201" spans="1:40" x14ac:dyDescent="0.25">
      <c r="A9201" t="str">
        <f>"20190312154135807"</f>
        <v>20190312154135807</v>
      </c>
      <c r="B9201" t="str">
        <f>"1552376495795704"</f>
        <v>1552376495795704</v>
      </c>
      <c r="C9201" t="s">
        <v>40</v>
      </c>
      <c r="D9201">
        <v>4.3510489999999997</v>
      </c>
      <c r="E9201">
        <v>0.43528070000000002</v>
      </c>
      <c r="F9201" t="s">
        <v>69</v>
      </c>
      <c r="G9201">
        <v>-200.79169999999999</v>
      </c>
      <c r="H9201" s="1">
        <v>-5.7186349999999997E-6</v>
      </c>
      <c r="I9201">
        <v>-58.398760000000003</v>
      </c>
      <c r="J9201">
        <v>-228.6114</v>
      </c>
      <c r="K9201">
        <v>1.110282</v>
      </c>
      <c r="L9201">
        <v>-62.592680000000001</v>
      </c>
      <c r="M9201">
        <v>0.99978840000000002</v>
      </c>
      <c r="N9201">
        <v>0</v>
      </c>
      <c r="O9201">
        <v>-1.468585E-2</v>
      </c>
      <c r="P9201">
        <v>0.99962859999999998</v>
      </c>
      <c r="Q9201">
        <v>-1.20185E-2</v>
      </c>
      <c r="R9201">
        <v>-2.446226E-2</v>
      </c>
      <c r="S9201">
        <v>3.0105439999999999</v>
      </c>
      <c r="T9201">
        <v>-0.11970310000000001</v>
      </c>
      <c r="U9201">
        <v>0.4519958</v>
      </c>
      <c r="V9201">
        <v>9.7776660000000008E-3</v>
      </c>
      <c r="W9201">
        <v>2.3830549999999998E-3</v>
      </c>
      <c r="X9201">
        <v>0.99994930000000004</v>
      </c>
      <c r="Y9201">
        <v>-0.16284489999999999</v>
      </c>
      <c r="Z9201">
        <v>3.7988200000000001E-3</v>
      </c>
      <c r="AA9201">
        <v>0.98664439999999998</v>
      </c>
      <c r="AB9201">
        <v>21</v>
      </c>
      <c r="AC9201">
        <v>27.819700000000001</v>
      </c>
      <c r="AD9201">
        <v>-1.110287718635</v>
      </c>
      <c r="AE9201">
        <v>4.1939200000000003</v>
      </c>
      <c r="AF9201">
        <v>-4.5949097346333296</v>
      </c>
      <c r="AG9201">
        <v>-1.110287718635</v>
      </c>
      <c r="AH9201">
        <v>27.7119423300013</v>
      </c>
      <c r="AI9201">
        <v>92.263475426746695</v>
      </c>
      <c r="AJ9201">
        <v>99.414543840386798</v>
      </c>
      <c r="AK9201">
        <v>28.1122336712845</v>
      </c>
      <c r="AL9201">
        <v>89.863460869018496</v>
      </c>
      <c r="AM9201">
        <v>89.4397704546856</v>
      </c>
      <c r="AN9201">
        <v>0.99999994213701304</v>
      </c>
    </row>
    <row r="9202" spans="1:40" x14ac:dyDescent="0.25">
      <c r="A9202" t="str">
        <f>"20190312154135819"</f>
        <v>20190312154135819</v>
      </c>
      <c r="B9202" t="str">
        <f>"1552376495815731"</f>
        <v>1552376495815731</v>
      </c>
      <c r="C9202" t="s">
        <v>40</v>
      </c>
      <c r="D9202">
        <v>4.3161040000000002</v>
      </c>
      <c r="E9202">
        <v>0.436556</v>
      </c>
      <c r="F9202" t="s">
        <v>69</v>
      </c>
      <c r="G9202">
        <v>-201.46420000000001</v>
      </c>
      <c r="H9202" s="1">
        <v>-5.3555249999999999E-6</v>
      </c>
      <c r="I9202">
        <v>-58.584769999999899</v>
      </c>
      <c r="J9202">
        <v>-228.5026</v>
      </c>
      <c r="K9202">
        <v>1.1102879999999999</v>
      </c>
      <c r="L9202">
        <v>-62.594239999999999</v>
      </c>
      <c r="M9202">
        <v>0.99978860000000003</v>
      </c>
      <c r="N9202">
        <v>0</v>
      </c>
      <c r="O9202">
        <v>-1.467167E-2</v>
      </c>
      <c r="P9202">
        <v>0.99962309999999999</v>
      </c>
      <c r="Q9202">
        <v>-1.1854969999999999E-2</v>
      </c>
      <c r="R9202">
        <v>-2.4761209999999999E-2</v>
      </c>
      <c r="S9202">
        <v>3.0104980000000001</v>
      </c>
      <c r="T9202">
        <v>-0.1231256</v>
      </c>
      <c r="U9202">
        <v>0.44445800000000002</v>
      </c>
      <c r="V9202">
        <v>1.009083E-2</v>
      </c>
      <c r="W9202">
        <v>2.5437490000000001E-3</v>
      </c>
      <c r="X9202">
        <v>0.99994590000000005</v>
      </c>
      <c r="Y9202">
        <v>-0.16040969999999999</v>
      </c>
      <c r="Z9202">
        <v>3.858032E-3</v>
      </c>
      <c r="AA9202">
        <v>0.987043</v>
      </c>
      <c r="AB9202">
        <v>21</v>
      </c>
      <c r="AC9202">
        <v>27.038399999999999</v>
      </c>
      <c r="AD9202">
        <v>-1.1102933555250001</v>
      </c>
      <c r="AE9202">
        <v>4.0094700000000003</v>
      </c>
      <c r="AF9202">
        <v>-4.3985207192096398</v>
      </c>
      <c r="AG9202">
        <v>-1.1102933555250001</v>
      </c>
      <c r="AH9202">
        <v>26.932220954462601</v>
      </c>
      <c r="AI9202">
        <v>92.329875433105599</v>
      </c>
      <c r="AJ9202">
        <v>99.275551323870801</v>
      </c>
      <c r="AK9202">
        <v>27.311614038585098</v>
      </c>
      <c r="AL9202">
        <v>89.854253768153399</v>
      </c>
      <c r="AM9202">
        <v>89.421826374699194</v>
      </c>
      <c r="AN9202">
        <v>1.00000004921793</v>
      </c>
    </row>
    <row r="9203" spans="1:40" x14ac:dyDescent="0.25">
      <c r="A9203" t="str">
        <f>"20190312154135829"</f>
        <v>20190312154135829</v>
      </c>
      <c r="B9203" t="str">
        <f>"1552376495825492"</f>
        <v>1552376495825492</v>
      </c>
      <c r="C9203" t="s">
        <v>40</v>
      </c>
      <c r="D9203">
        <v>4.3865910000000001</v>
      </c>
      <c r="E9203">
        <v>0.43701719999999999</v>
      </c>
      <c r="F9203" t="s">
        <v>69</v>
      </c>
      <c r="G9203">
        <v>-201.66399999999999</v>
      </c>
      <c r="H9203" s="1">
        <v>-5.2213770000000001E-6</v>
      </c>
      <c r="I9203">
        <v>-58.730519999999999</v>
      </c>
      <c r="J9203">
        <v>-228.40379999999999</v>
      </c>
      <c r="K9203">
        <v>1.110293</v>
      </c>
      <c r="L9203">
        <v>-62.595700000000001</v>
      </c>
      <c r="M9203">
        <v>0.99978920000000004</v>
      </c>
      <c r="N9203">
        <v>0</v>
      </c>
      <c r="O9203">
        <v>-1.4648980000000001E-2</v>
      </c>
      <c r="P9203">
        <v>0.99961350000000004</v>
      </c>
      <c r="Q9203">
        <v>-1.142049E-2</v>
      </c>
      <c r="R9203">
        <v>-2.535577E-2</v>
      </c>
      <c r="S9203">
        <v>3.0103909999999998</v>
      </c>
      <c r="T9203">
        <v>-0.1245377</v>
      </c>
      <c r="U9203">
        <v>0.43338009999999899</v>
      </c>
      <c r="V9203">
        <v>1.070807E-2</v>
      </c>
      <c r="W9203">
        <v>2.9757619999999999E-3</v>
      </c>
      <c r="X9203">
        <v>0.9999382</v>
      </c>
      <c r="Y9203">
        <v>-0.15683429999999901</v>
      </c>
      <c r="Z9203">
        <v>3.8289280000000001E-3</v>
      </c>
      <c r="AA9203">
        <v>0.98761750000000004</v>
      </c>
      <c r="AB9203">
        <v>21</v>
      </c>
      <c r="AC9203">
        <v>26.739799999999899</v>
      </c>
      <c r="AD9203">
        <v>-1.1102982213770001</v>
      </c>
      <c r="AE9203">
        <v>3.8651800000000001</v>
      </c>
      <c r="AF9203">
        <v>-4.2493401558554398</v>
      </c>
      <c r="AG9203">
        <v>-1.1102982213770001</v>
      </c>
      <c r="AH9203">
        <v>26.635321213042602</v>
      </c>
      <c r="AI9203">
        <v>92.357227382881504</v>
      </c>
      <c r="AJ9203">
        <v>99.064453147258803</v>
      </c>
      <c r="AK9203">
        <v>26.994999352148799</v>
      </c>
      <c r="AL9203">
        <v>89.829501138259999</v>
      </c>
      <c r="AM9203">
        <v>89.386458316253695</v>
      </c>
      <c r="AN9203">
        <v>0.99999996087092202</v>
      </c>
    </row>
    <row r="9204" spans="1:40" x14ac:dyDescent="0.25">
      <c r="A9204" t="str">
        <f>"20190312154135841"</f>
        <v>20190312154135841</v>
      </c>
      <c r="B9204" t="str">
        <f>"1552376495835255"</f>
        <v>1552376495835255</v>
      </c>
      <c r="C9204" t="s">
        <v>40</v>
      </c>
      <c r="D9204">
        <v>4.3433539999999997</v>
      </c>
      <c r="E9204">
        <v>0.43735980000000002</v>
      </c>
      <c r="F9204" t="s">
        <v>69</v>
      </c>
      <c r="G9204">
        <v>-201.44730000000001</v>
      </c>
      <c r="H9204" s="1">
        <v>-5.3245049999999999E-6</v>
      </c>
      <c r="I9204">
        <v>-58.763379999999998</v>
      </c>
      <c r="J9204">
        <v>-228.30019999999999</v>
      </c>
      <c r="K9204">
        <v>1.110303</v>
      </c>
      <c r="L9204">
        <v>-62.597169999999998</v>
      </c>
      <c r="M9204">
        <v>0.99978959999999995</v>
      </c>
      <c r="N9204">
        <v>0</v>
      </c>
      <c r="O9204">
        <v>-1.462079E-2</v>
      </c>
      <c r="P9204">
        <v>0.99960079999999996</v>
      </c>
      <c r="Q9204">
        <v>-1.1388560000000001E-2</v>
      </c>
      <c r="R9204">
        <v>-2.5858369999999999E-2</v>
      </c>
      <c r="S9204">
        <v>3.010605</v>
      </c>
      <c r="T9204">
        <v>-0.1240023</v>
      </c>
      <c r="U9204">
        <v>0.42800899999999997</v>
      </c>
      <c r="V9204">
        <v>1.1238990000000001E-2</v>
      </c>
      <c r="W9204">
        <v>3.0058020000000001E-3</v>
      </c>
      <c r="X9204">
        <v>0.9999323</v>
      </c>
      <c r="Y9204">
        <v>-0.1550724</v>
      </c>
      <c r="Z9204">
        <v>3.775446E-3</v>
      </c>
      <c r="AA9204">
        <v>0.98789590000000005</v>
      </c>
      <c r="AB9204">
        <v>21</v>
      </c>
      <c r="AC9204">
        <v>26.852899999999899</v>
      </c>
      <c r="AD9204">
        <v>-1.1103083245050001</v>
      </c>
      <c r="AE9204">
        <v>3.8337899999999898</v>
      </c>
      <c r="AF9204">
        <v>-4.2189625509232496</v>
      </c>
      <c r="AG9204">
        <v>-1.1103083245050001</v>
      </c>
      <c r="AH9204">
        <v>26.749152374465101</v>
      </c>
      <c r="AI9204">
        <v>92.347887174814304</v>
      </c>
      <c r="AJ9204">
        <v>98.963038432104796</v>
      </c>
      <c r="AK9204">
        <v>27.102575197458801</v>
      </c>
      <c r="AL9204">
        <v>89.827779968084002</v>
      </c>
      <c r="AM9204">
        <v>89.356036825672803</v>
      </c>
      <c r="AN9204">
        <v>0.99999997716258604</v>
      </c>
    </row>
    <row r="9205" spans="1:40" x14ac:dyDescent="0.25">
      <c r="A9205" t="str">
        <f>"20190312154135851"</f>
        <v>20190312154135851</v>
      </c>
      <c r="B9205" t="str">
        <f>"1552376495845012"</f>
        <v>1552376495845012</v>
      </c>
      <c r="C9205" t="s">
        <v>40</v>
      </c>
      <c r="D9205">
        <v>4.3722560000000001</v>
      </c>
      <c r="E9205">
        <v>0.4377548</v>
      </c>
      <c r="F9205" t="s">
        <v>69</v>
      </c>
      <c r="G9205">
        <v>-201.52760000000001</v>
      </c>
      <c r="H9205" s="1">
        <v>-5.2690059999999996E-6</v>
      </c>
      <c r="I9205">
        <v>-58.829140000000002</v>
      </c>
      <c r="J9205">
        <v>-228.19630000000001</v>
      </c>
      <c r="K9205">
        <v>1.1103160000000001</v>
      </c>
      <c r="L9205">
        <v>-62.598660000000002</v>
      </c>
      <c r="M9205">
        <v>0.99979010000000001</v>
      </c>
      <c r="N9205">
        <v>0</v>
      </c>
      <c r="O9205">
        <v>-1.4583260000000001E-2</v>
      </c>
      <c r="P9205">
        <v>0.99959799999999999</v>
      </c>
      <c r="Q9205">
        <v>-1.114062E-2</v>
      </c>
      <c r="R9205">
        <v>-2.6076269999999999E-2</v>
      </c>
      <c r="S9205">
        <v>3.010742</v>
      </c>
      <c r="T9205">
        <v>-0.124861</v>
      </c>
      <c r="U9205">
        <v>0.42373660000000002</v>
      </c>
      <c r="V9205">
        <v>1.1494310000000001E-2</v>
      </c>
      <c r="W9205">
        <v>3.2513720000000002E-3</v>
      </c>
      <c r="X9205">
        <v>0.9999287</v>
      </c>
      <c r="Y9205">
        <v>-0.15365379999999901</v>
      </c>
      <c r="Z9205">
        <v>3.7709599999999999E-3</v>
      </c>
      <c r="AA9205">
        <v>0.98811760000000004</v>
      </c>
      <c r="AB9205">
        <v>21</v>
      </c>
      <c r="AC9205">
        <v>26.668700000000001</v>
      </c>
      <c r="AD9205">
        <v>-1.110321269006</v>
      </c>
      <c r="AE9205">
        <v>3.7695199999999902</v>
      </c>
      <c r="AF9205">
        <v>-4.1510215645730204</v>
      </c>
      <c r="AG9205">
        <v>-1.110321269006</v>
      </c>
      <c r="AH9205">
        <v>26.5657393096267</v>
      </c>
      <c r="AI9205">
        <v>92.364637845334201</v>
      </c>
      <c r="AJ9205">
        <v>98.880921893168605</v>
      </c>
      <c r="AK9205">
        <v>26.911007012317501</v>
      </c>
      <c r="AL9205">
        <v>89.813709787457498</v>
      </c>
      <c r="AM9205">
        <v>89.341406596191007</v>
      </c>
      <c r="AN9205">
        <v>1.00000004783297</v>
      </c>
    </row>
    <row r="9206" spans="1:40" x14ac:dyDescent="0.25">
      <c r="A9206" t="str">
        <f>"20190312154135863"</f>
        <v>20190312154135863</v>
      </c>
      <c r="B9206" t="str">
        <f>"1552376495855747"</f>
        <v>1552376495855747</v>
      </c>
      <c r="C9206" t="s">
        <v>40</v>
      </c>
      <c r="D9206">
        <v>4.3497529999999998</v>
      </c>
      <c r="E9206">
        <v>0.43810870000000002</v>
      </c>
      <c r="F9206" t="s">
        <v>69</v>
      </c>
      <c r="G9206">
        <v>-201.5925</v>
      </c>
      <c r="H9206" s="1">
        <v>-5.2230379999999996E-6</v>
      </c>
      <c r="I9206">
        <v>-58.887320000000003</v>
      </c>
      <c r="J9206">
        <v>-228.09370000000001</v>
      </c>
      <c r="K9206">
        <v>1.1103320000000001</v>
      </c>
      <c r="L9206">
        <v>-62.60013</v>
      </c>
      <c r="M9206">
        <v>0.99979079999999998</v>
      </c>
      <c r="N9206">
        <v>0</v>
      </c>
      <c r="O9206">
        <v>-1.453749E-2</v>
      </c>
      <c r="P9206">
        <v>0.99958360000000002</v>
      </c>
      <c r="Q9206">
        <v>-1.1029270000000001E-2</v>
      </c>
      <c r="R9206">
        <v>-2.6673059999999998E-2</v>
      </c>
      <c r="S9206">
        <v>3.0107569999999999</v>
      </c>
      <c r="T9206">
        <v>-0.1256555</v>
      </c>
      <c r="U9206">
        <v>0.42001339999999998</v>
      </c>
      <c r="V9206">
        <v>1.213672E-2</v>
      </c>
      <c r="W9206">
        <v>3.3605670000000001E-3</v>
      </c>
      <c r="X9206">
        <v>0.9999207</v>
      </c>
      <c r="Y9206">
        <v>-0.15240860000000001</v>
      </c>
      <c r="Z9206">
        <v>3.7674900000000001E-3</v>
      </c>
      <c r="AA9206">
        <v>0.98831040000000003</v>
      </c>
      <c r="AB9206">
        <v>21</v>
      </c>
      <c r="AC9206">
        <v>26.501200000000001</v>
      </c>
      <c r="AD9206">
        <v>-1.110337223038</v>
      </c>
      <c r="AE9206">
        <v>3.7128100000000099</v>
      </c>
      <c r="AF9206">
        <v>-4.0906757976502002</v>
      </c>
      <c r="AG9206">
        <v>-1.110337223038</v>
      </c>
      <c r="AH9206">
        <v>26.398969420387399</v>
      </c>
      <c r="AI9206">
        <v>92.380062034029507</v>
      </c>
      <c r="AJ9206">
        <v>98.808264938505005</v>
      </c>
      <c r="AK9206">
        <v>26.737091533839202</v>
      </c>
      <c r="AL9206">
        <v>89.807453331678104</v>
      </c>
      <c r="AM9206">
        <v>89.304596167032201</v>
      </c>
      <c r="AN9206">
        <v>0.99999999983570398</v>
      </c>
    </row>
    <row r="9207" spans="1:40" x14ac:dyDescent="0.25">
      <c r="A9207" t="str">
        <f>"20190312154135873"</f>
        <v>20190312154135873</v>
      </c>
      <c r="B9207" t="str">
        <f>"1552376495865507"</f>
        <v>1552376495865507</v>
      </c>
      <c r="C9207" t="s">
        <v>40</v>
      </c>
      <c r="D9207">
        <v>4.3577839999999997</v>
      </c>
      <c r="E9207">
        <v>0.4383339</v>
      </c>
      <c r="F9207" t="s">
        <v>69</v>
      </c>
      <c r="G9207">
        <v>-201.48560000000001</v>
      </c>
      <c r="H9207" s="1">
        <v>-5.268229E-6</v>
      </c>
      <c r="I9207">
        <v>-58.929160000000003</v>
      </c>
      <c r="J9207">
        <v>-227.9923</v>
      </c>
      <c r="K9207">
        <v>1.1103430000000001</v>
      </c>
      <c r="L9207">
        <v>-62.601529999999997</v>
      </c>
      <c r="M9207">
        <v>0.99979169999999995</v>
      </c>
      <c r="N9207">
        <v>0</v>
      </c>
      <c r="O9207">
        <v>-1.448431E-2</v>
      </c>
      <c r="P9207">
        <v>0.99956829999999997</v>
      </c>
      <c r="Q9207">
        <v>-1.10715E-2</v>
      </c>
      <c r="R9207">
        <v>-2.7220149999999999E-2</v>
      </c>
      <c r="S9207">
        <v>3.0109560000000002</v>
      </c>
      <c r="T9207">
        <v>-0.12564520000000001</v>
      </c>
      <c r="U9207">
        <v>0.41540529999999998</v>
      </c>
      <c r="V9207">
        <v>1.2737389999999999E-2</v>
      </c>
      <c r="W9207">
        <v>3.3162220000000002E-3</v>
      </c>
      <c r="X9207">
        <v>0.99991339999999995</v>
      </c>
      <c r="Y9207">
        <v>-0.15086429999999901</v>
      </c>
      <c r="Z9207">
        <v>3.7330610000000002E-3</v>
      </c>
      <c r="AA9207">
        <v>0.98854739999999997</v>
      </c>
      <c r="AB9207">
        <v>21</v>
      </c>
      <c r="AC9207">
        <v>26.506699999999899</v>
      </c>
      <c r="AD9207">
        <v>-1.110348268229</v>
      </c>
      <c r="AE9207">
        <v>3.6723699999999999</v>
      </c>
      <c r="AF9207">
        <v>-4.0489846183581797</v>
      </c>
      <c r="AG9207">
        <v>-1.110348268229</v>
      </c>
      <c r="AH9207">
        <v>26.405260395057599</v>
      </c>
      <c r="AI9207">
        <v>92.380097612143899</v>
      </c>
      <c r="AJ9207">
        <v>98.717834379314397</v>
      </c>
      <c r="AK9207">
        <v>26.736958058972601</v>
      </c>
      <c r="AL9207">
        <v>89.809994131574598</v>
      </c>
      <c r="AM9207">
        <v>89.270177579141702</v>
      </c>
      <c r="AN9207">
        <v>1.00000002296596</v>
      </c>
    </row>
    <row r="9208" spans="1:40" x14ac:dyDescent="0.25">
      <c r="A9208" t="str">
        <f>"20190312154135885"</f>
        <v>20190312154135885</v>
      </c>
      <c r="B9208" t="str">
        <f>"1552376495875267"</f>
        <v>1552376495875267</v>
      </c>
      <c r="C9208" t="s">
        <v>40</v>
      </c>
      <c r="D9208">
        <v>4.3763009999999998</v>
      </c>
      <c r="E9208">
        <v>0.43856729999999999</v>
      </c>
      <c r="F9208" t="s">
        <v>69</v>
      </c>
      <c r="G9208">
        <v>-201.57980000000001</v>
      </c>
      <c r="H9208" s="1">
        <v>-5.2073720000000004E-6</v>
      </c>
      <c r="I9208">
        <v>-58.987200000000001</v>
      </c>
      <c r="J9208">
        <v>-227.8896</v>
      </c>
      <c r="K9208">
        <v>1.110358</v>
      </c>
      <c r="L9208">
        <v>-62.6029699999999</v>
      </c>
      <c r="M9208">
        <v>0.99979280000000004</v>
      </c>
      <c r="N9208">
        <v>0</v>
      </c>
      <c r="O9208">
        <v>-1.441478E-2</v>
      </c>
      <c r="P9208">
        <v>0.99955430000000001</v>
      </c>
      <c r="Q9208">
        <v>-1.06651E-2</v>
      </c>
      <c r="R9208">
        <v>-2.788684E-2</v>
      </c>
      <c r="S9208">
        <v>3.0111240000000001</v>
      </c>
      <c r="T9208">
        <v>-0.126584</v>
      </c>
      <c r="U9208">
        <v>0.41204829999999998</v>
      </c>
      <c r="V9208">
        <v>1.3473570000000001E-2</v>
      </c>
      <c r="W9208">
        <v>3.7210540000000001E-3</v>
      </c>
      <c r="X9208">
        <v>0.99990230000000002</v>
      </c>
      <c r="Y9208">
        <v>-0.14970520000000001</v>
      </c>
      <c r="Z9208">
        <v>3.7338559999999998E-3</v>
      </c>
      <c r="AA9208">
        <v>0.98872360000000004</v>
      </c>
      <c r="AB9208">
        <v>21</v>
      </c>
      <c r="AC9208">
        <v>26.309799999999999</v>
      </c>
      <c r="AD9208">
        <v>-1.110363207372</v>
      </c>
      <c r="AE9208">
        <v>3.6157699999999902</v>
      </c>
      <c r="AF9208">
        <v>-3.9877124428300701</v>
      </c>
      <c r="AG9208">
        <v>-1.110363207372</v>
      </c>
      <c r="AH9208">
        <v>26.209123526647701</v>
      </c>
      <c r="AI9208">
        <v>92.398346233989798</v>
      </c>
      <c r="AJ9208">
        <v>98.651190496874193</v>
      </c>
      <c r="AK9208">
        <v>26.5339954212339</v>
      </c>
      <c r="AL9208">
        <v>89.7867988176925</v>
      </c>
      <c r="AM9208">
        <v>89.2279925971973</v>
      </c>
      <c r="AN9208">
        <v>0.99999999643835202</v>
      </c>
    </row>
    <row r="9209" spans="1:40" x14ac:dyDescent="0.25">
      <c r="A9209" t="str">
        <f>"20190312154135895"</f>
        <v>20190312154135895</v>
      </c>
      <c r="B9209" t="str">
        <f>"1552376495885028"</f>
        <v>1552376495885028</v>
      </c>
      <c r="C9209" t="s">
        <v>40</v>
      </c>
      <c r="D9209">
        <v>4.3029129999999904</v>
      </c>
      <c r="E9209">
        <v>0.43885740000000001</v>
      </c>
      <c r="F9209" t="s">
        <v>69</v>
      </c>
      <c r="G9209">
        <v>-201.33850000000001</v>
      </c>
      <c r="H9209" s="1">
        <v>-5.3265620000000002E-6</v>
      </c>
      <c r="I9209">
        <v>-59.004150000000003</v>
      </c>
      <c r="J9209">
        <v>-227.78890000000001</v>
      </c>
      <c r="K9209">
        <v>1.110376</v>
      </c>
      <c r="L9209">
        <v>-62.604340000000001</v>
      </c>
      <c r="M9209">
        <v>0.99979379999999995</v>
      </c>
      <c r="N9209">
        <v>0</v>
      </c>
      <c r="O9209">
        <v>-1.4340220000000001E-2</v>
      </c>
      <c r="P9209">
        <v>0.99954209999999999</v>
      </c>
      <c r="Q9209">
        <v>-1.038582E-2</v>
      </c>
      <c r="R9209">
        <v>-2.842627E-2</v>
      </c>
      <c r="S9209">
        <v>3.0113829999999999</v>
      </c>
      <c r="T9209">
        <v>-0.12593560000000001</v>
      </c>
      <c r="U9209">
        <v>0.4081726</v>
      </c>
      <c r="V9209">
        <v>1.4087290000000001E-2</v>
      </c>
      <c r="W9209">
        <v>3.9980950000000001E-3</v>
      </c>
      <c r="X9209">
        <v>0.99989280000000003</v>
      </c>
      <c r="Y9209">
        <v>-0.14837330000000001</v>
      </c>
      <c r="Z9209">
        <v>3.6839329999999999E-3</v>
      </c>
      <c r="AA9209">
        <v>0.98892460000000004</v>
      </c>
      <c r="AB9209">
        <v>21</v>
      </c>
      <c r="AC9209">
        <v>26.450399999999998</v>
      </c>
      <c r="AD9209">
        <v>-1.1103813265619999</v>
      </c>
      <c r="AE9209">
        <v>3.6001899999999898</v>
      </c>
      <c r="AF9209">
        <v>-3.9722904589441099</v>
      </c>
      <c r="AG9209">
        <v>-1.1103813265619999</v>
      </c>
      <c r="AH9209">
        <v>26.350454047170501</v>
      </c>
      <c r="AI9209">
        <v>92.386030905224601</v>
      </c>
      <c r="AJ9209">
        <v>98.572701141814505</v>
      </c>
      <c r="AK9209">
        <v>26.6713041801979</v>
      </c>
      <c r="AL9209">
        <v>89.770925425618302</v>
      </c>
      <c r="AM9209">
        <v>89.192824607039498</v>
      </c>
      <c r="AN9209">
        <v>1.0000000239975</v>
      </c>
    </row>
    <row r="9210" spans="1:40" x14ac:dyDescent="0.25">
      <c r="A9210" t="str">
        <f>"20190312154135907"</f>
        <v>20190312154135907</v>
      </c>
      <c r="B9210" t="str">
        <f>"1552376495895764"</f>
        <v>1552376495895764</v>
      </c>
      <c r="C9210" t="s">
        <v>40</v>
      </c>
      <c r="D9210">
        <v>4.3123559999999896</v>
      </c>
      <c r="E9210">
        <v>0.43914259999999999</v>
      </c>
      <c r="F9210" t="s">
        <v>69</v>
      </c>
      <c r="G9210">
        <v>-200.95599999999999</v>
      </c>
      <c r="H9210" s="1">
        <v>-5.5218170000000001E-6</v>
      </c>
      <c r="I9210">
        <v>-59.002630000000003</v>
      </c>
      <c r="J9210">
        <v>-227.68440000000001</v>
      </c>
      <c r="K9210">
        <v>1.1103970000000001</v>
      </c>
      <c r="L9210">
        <v>-62.605710000000002</v>
      </c>
      <c r="M9210">
        <v>0.99979530000000005</v>
      </c>
      <c r="N9210">
        <v>0</v>
      </c>
      <c r="O9210">
        <v>-1.423845E-2</v>
      </c>
      <c r="P9210">
        <v>0.99954460000000001</v>
      </c>
      <c r="Q9210">
        <v>-1.0002459999999999E-2</v>
      </c>
      <c r="R9210">
        <v>-2.847357E-2</v>
      </c>
      <c r="S9210">
        <v>3.0115810000000001</v>
      </c>
      <c r="T9210">
        <v>-0.1246231</v>
      </c>
      <c r="U9210">
        <v>0.40423579999999998</v>
      </c>
      <c r="V9210">
        <v>1.423613E-2</v>
      </c>
      <c r="W9210">
        <v>4.3800369999999998E-3</v>
      </c>
      <c r="X9210">
        <v>0.99988909999999998</v>
      </c>
      <c r="Y9210">
        <v>-0.1469983</v>
      </c>
      <c r="Z9210">
        <v>3.613144E-3</v>
      </c>
      <c r="AA9210">
        <v>0.98913010000000001</v>
      </c>
      <c r="AB9210">
        <v>21</v>
      </c>
      <c r="AC9210">
        <v>26.728400000000001</v>
      </c>
      <c r="AD9210">
        <v>-1.1104025218169999</v>
      </c>
      <c r="AE9210">
        <v>3.6030799999999901</v>
      </c>
      <c r="AF9210">
        <v>-3.9765842996017602</v>
      </c>
      <c r="AG9210">
        <v>-1.1104025218169999</v>
      </c>
      <c r="AH9210">
        <v>26.629243282786099</v>
      </c>
      <c r="AI9210">
        <v>92.361614724389497</v>
      </c>
      <c r="AJ9210">
        <v>98.493301404789193</v>
      </c>
      <c r="AK9210">
        <v>26.947408303324899</v>
      </c>
      <c r="AL9210">
        <v>89.749041571439903</v>
      </c>
      <c r="AM9210">
        <v>89.184294481429603</v>
      </c>
      <c r="AN9210">
        <v>1.0000000322101501</v>
      </c>
    </row>
    <row r="9211" spans="1:40" x14ac:dyDescent="0.25">
      <c r="A9211" t="str">
        <f>"20190312154135919"</f>
        <v>20190312154135919</v>
      </c>
      <c r="B9211" t="str">
        <f>"1552376495915790"</f>
        <v>1552376495915790</v>
      </c>
      <c r="C9211" t="s">
        <v>40</v>
      </c>
      <c r="D9211">
        <v>4.3605400000000003</v>
      </c>
      <c r="E9211">
        <v>0.43938719999999998</v>
      </c>
      <c r="F9211" t="s">
        <v>69</v>
      </c>
      <c r="G9211">
        <v>-200.65299999999999</v>
      </c>
      <c r="H9211" s="1">
        <v>-5.6770339999999997E-6</v>
      </c>
      <c r="I9211">
        <v>-58.998759999999997</v>
      </c>
      <c r="J9211">
        <v>-227.57910000000001</v>
      </c>
      <c r="K9211">
        <v>1.1104179999999999</v>
      </c>
      <c r="L9211">
        <v>-62.607120000000002</v>
      </c>
      <c r="M9211">
        <v>0.99979689999999999</v>
      </c>
      <c r="N9211">
        <v>0</v>
      </c>
      <c r="O9211">
        <v>-1.4128440000000001E-2</v>
      </c>
      <c r="P9211">
        <v>0.99953979999999998</v>
      </c>
      <c r="Q9211">
        <v>-9.4341449999999997E-3</v>
      </c>
      <c r="R9211">
        <v>-2.8832529999999999E-2</v>
      </c>
      <c r="S9211">
        <v>3.0115970000000001</v>
      </c>
      <c r="T9211">
        <v>-0.1237113</v>
      </c>
      <c r="U9211">
        <v>0.40185549999999998</v>
      </c>
      <c r="V9211">
        <v>1.4705009999999999E-2</v>
      </c>
      <c r="W9211">
        <v>4.9460379999999998E-3</v>
      </c>
      <c r="X9211">
        <v>0.99987969999999904</v>
      </c>
      <c r="Y9211">
        <v>-0.14612339999999999</v>
      </c>
      <c r="Z9211">
        <v>3.5645210000000002E-3</v>
      </c>
      <c r="AA9211">
        <v>0.98926000000000003</v>
      </c>
      <c r="AB9211">
        <v>21</v>
      </c>
      <c r="AC9211">
        <v>26.926100000000002</v>
      </c>
      <c r="AD9211">
        <v>-1.1104236770339999</v>
      </c>
      <c r="AE9211">
        <v>3.60835999999999</v>
      </c>
      <c r="AF9211">
        <v>-3.98181041190549</v>
      </c>
      <c r="AG9211">
        <v>-1.1104236770339999</v>
      </c>
      <c r="AH9211">
        <v>26.827605071471002</v>
      </c>
      <c r="AI9211">
        <v>92.344527395800199</v>
      </c>
      <c r="AJ9211">
        <v>98.442329536422207</v>
      </c>
      <c r="AK9211">
        <v>27.144212067578799</v>
      </c>
      <c r="AL9211">
        <v>89.716611758152396</v>
      </c>
      <c r="AM9211">
        <v>89.157424363356199</v>
      </c>
      <c r="AN9211">
        <v>1.00000005754154</v>
      </c>
    </row>
    <row r="9212" spans="1:40" x14ac:dyDescent="0.25">
      <c r="A9212" t="str">
        <f>"20190312154135929"</f>
        <v>20190312154135929</v>
      </c>
      <c r="B9212" t="str">
        <f>"1552376495925550"</f>
        <v>1552376495925550</v>
      </c>
      <c r="C9212" t="s">
        <v>40</v>
      </c>
      <c r="D9212">
        <v>4.3194679999999996</v>
      </c>
      <c r="E9212">
        <v>0.43954890000000002</v>
      </c>
      <c r="F9212" t="s">
        <v>69</v>
      </c>
      <c r="G9212">
        <v>-200.43049999999999</v>
      </c>
      <c r="H9212" s="1">
        <v>-5.7595160000000001E-6</v>
      </c>
      <c r="I9212">
        <v>-59.0122</v>
      </c>
      <c r="J9212">
        <v>-227.47989999999999</v>
      </c>
      <c r="K9212">
        <v>1.110439</v>
      </c>
      <c r="L9212">
        <v>-62.608400000000003</v>
      </c>
      <c r="M9212">
        <v>0.99979879999999999</v>
      </c>
      <c r="N9212">
        <v>0</v>
      </c>
      <c r="O9212">
        <v>-1.400041E-2</v>
      </c>
      <c r="P9212">
        <v>0.99954410000000005</v>
      </c>
      <c r="Q9212">
        <v>-9.1146439999999999E-3</v>
      </c>
      <c r="R9212">
        <v>-2.8788569999999999E-2</v>
      </c>
      <c r="S9212">
        <v>3.0117340000000001</v>
      </c>
      <c r="T9212">
        <v>-0.1231853</v>
      </c>
      <c r="U9212">
        <v>0.39880369999999998</v>
      </c>
      <c r="V9212">
        <v>1.478838E-2</v>
      </c>
      <c r="W9212">
        <v>5.2640830000000001E-3</v>
      </c>
      <c r="X9212">
        <v>0.99987680000000001</v>
      </c>
      <c r="Y9212">
        <v>-0.1450079</v>
      </c>
      <c r="Z9212">
        <v>3.5215300000000001E-3</v>
      </c>
      <c r="AA9212">
        <v>0.98942419999999998</v>
      </c>
      <c r="AB9212">
        <v>21</v>
      </c>
      <c r="AC9212">
        <v>27.049399999999899</v>
      </c>
      <c r="AD9212">
        <v>-1.1104447595160001</v>
      </c>
      <c r="AE9212">
        <v>3.5962000000000001</v>
      </c>
      <c r="AF9212">
        <v>-3.9680180565169199</v>
      </c>
      <c r="AG9212">
        <v>-1.1104447595160001</v>
      </c>
      <c r="AH9212">
        <v>26.951761815922399</v>
      </c>
      <c r="AI9212">
        <v>92.334186451757404</v>
      </c>
      <c r="AJ9212">
        <v>98.375299036133597</v>
      </c>
      <c r="AK9212">
        <v>27.2649173819213</v>
      </c>
      <c r="AL9212">
        <v>89.698388871420406</v>
      </c>
      <c r="AM9212">
        <v>89.152645621168702</v>
      </c>
      <c r="AN9212">
        <v>1.00000001096554</v>
      </c>
    </row>
    <row r="9213" spans="1:40" x14ac:dyDescent="0.25">
      <c r="A9213" t="str">
        <f>"20190312154135942"</f>
        <v>20190312154135942</v>
      </c>
      <c r="B9213" t="str">
        <f>"1552376495935310"</f>
        <v>1552376495935310</v>
      </c>
      <c r="C9213" t="s">
        <v>40</v>
      </c>
      <c r="D9213">
        <v>4.29772</v>
      </c>
      <c r="E9213">
        <v>0.43969229999999998</v>
      </c>
      <c r="F9213" t="s">
        <v>69</v>
      </c>
      <c r="G9213">
        <v>-200.11449999999999</v>
      </c>
      <c r="H9213" s="1">
        <v>-5.8818460000000002E-6</v>
      </c>
      <c r="I9213">
        <v>-58.994680000000002</v>
      </c>
      <c r="J9213">
        <v>-227.37610000000001</v>
      </c>
      <c r="K9213">
        <v>1.1104639999999999</v>
      </c>
      <c r="L9213">
        <v>-62.60971</v>
      </c>
      <c r="M9213">
        <v>0.99980069999999999</v>
      </c>
      <c r="N9213">
        <v>0</v>
      </c>
      <c r="O9213">
        <v>-1.3855569999999999E-2</v>
      </c>
      <c r="P9213">
        <v>0.99955430000000001</v>
      </c>
      <c r="Q9213">
        <v>-8.7988019999999997E-3</v>
      </c>
      <c r="R9213">
        <v>-2.8528370000000001E-2</v>
      </c>
      <c r="S9213">
        <v>3.0116879999999999</v>
      </c>
      <c r="T9213">
        <v>-0.1222095</v>
      </c>
      <c r="U9213">
        <v>0.39770509999999998</v>
      </c>
      <c r="V9213">
        <v>1.467271E-2</v>
      </c>
      <c r="W9213">
        <v>5.578314E-3</v>
      </c>
      <c r="X9213">
        <v>0.99987680000000001</v>
      </c>
      <c r="Y9213">
        <v>-0.14451429999999901</v>
      </c>
      <c r="Z9213">
        <v>3.4779749999999999E-3</v>
      </c>
      <c r="AA9213">
        <v>0.98949659999999995</v>
      </c>
      <c r="AB9213">
        <v>21</v>
      </c>
      <c r="AC9213">
        <v>27.261600000000001</v>
      </c>
      <c r="AD9213">
        <v>-1.1104698818459999</v>
      </c>
      <c r="AE9213">
        <v>3.6150299999999902</v>
      </c>
      <c r="AF9213">
        <v>-3.98594755658555</v>
      </c>
      <c r="AG9213">
        <v>-1.1104698818459999</v>
      </c>
      <c r="AH9213">
        <v>27.164595173262899</v>
      </c>
      <c r="AI9213">
        <v>92.316134793608001</v>
      </c>
      <c r="AJ9213">
        <v>98.347622485353995</v>
      </c>
      <c r="AK9213">
        <v>27.4779211770031</v>
      </c>
      <c r="AL9213">
        <v>89.680384496761405</v>
      </c>
      <c r="AM9213">
        <v>89.159272402281502</v>
      </c>
      <c r="AN9213">
        <v>1.0000000105920299</v>
      </c>
    </row>
    <row r="9214" spans="1:40" x14ac:dyDescent="0.25">
      <c r="A9214" t="str">
        <f>"20190312154135952"</f>
        <v>20190312154135952</v>
      </c>
      <c r="B9214" t="str">
        <f>"1552376495945070"</f>
        <v>1552376495945070</v>
      </c>
      <c r="C9214" t="s">
        <v>40</v>
      </c>
      <c r="D9214">
        <v>4.3192719999999998</v>
      </c>
      <c r="E9214">
        <v>0.43981429999999999</v>
      </c>
      <c r="F9214" t="s">
        <v>69</v>
      </c>
      <c r="G9214">
        <v>-199.8288</v>
      </c>
      <c r="H9214" s="1">
        <v>-7.7670649999999998E-6</v>
      </c>
      <c r="I9214">
        <v>-58.974400000000003</v>
      </c>
      <c r="J9214">
        <v>-227.27019999999999</v>
      </c>
      <c r="K9214">
        <v>1.1104860000000001</v>
      </c>
      <c r="L9214">
        <v>-62.610990000000001</v>
      </c>
      <c r="M9214">
        <v>0.9998032</v>
      </c>
      <c r="N9214">
        <v>0</v>
      </c>
      <c r="O9214">
        <v>-1.368817E-2</v>
      </c>
      <c r="P9214">
        <v>0.99955830000000001</v>
      </c>
      <c r="Q9214">
        <v>-8.9039669999999901E-3</v>
      </c>
      <c r="R9214">
        <v>-2.8357790000000001E-2</v>
      </c>
      <c r="S9214">
        <v>3.011612</v>
      </c>
      <c r="T9214">
        <v>-0.1214021</v>
      </c>
      <c r="U9214">
        <v>0.39743040000000002</v>
      </c>
      <c r="V9214">
        <v>1.466925E-2</v>
      </c>
      <c r="W9214">
        <v>5.4710269999999998E-3</v>
      </c>
      <c r="X9214">
        <v>0.99987749999999997</v>
      </c>
      <c r="Y9214">
        <v>-0.14426520000000001</v>
      </c>
      <c r="Z9214">
        <v>3.4434069999999999E-3</v>
      </c>
      <c r="AA9214">
        <v>0.98953310000000005</v>
      </c>
      <c r="AB9214">
        <v>20</v>
      </c>
      <c r="AC9214">
        <v>27.441399999999899</v>
      </c>
      <c r="AD9214">
        <v>-1.1104937670649999</v>
      </c>
      <c r="AE9214">
        <v>3.6365899999999902</v>
      </c>
      <c r="AF9214">
        <v>-4.0054641901511197</v>
      </c>
      <c r="AG9214">
        <v>-1.1104937670649999</v>
      </c>
      <c r="AH9214">
        <v>27.3450365860615</v>
      </c>
      <c r="AI9214">
        <v>92.3010012198731</v>
      </c>
      <c r="AJ9214">
        <v>98.333345889133199</v>
      </c>
      <c r="AK9214">
        <v>27.6591389178752</v>
      </c>
      <c r="AL9214">
        <v>89.686531700497099</v>
      </c>
      <c r="AM9214">
        <v>89.159471215787406</v>
      </c>
      <c r="AN9214">
        <v>1.00000006701912</v>
      </c>
    </row>
    <row r="9215" spans="1:40" x14ac:dyDescent="0.25">
      <c r="A9215" t="str">
        <f>"20190312154135963"</f>
        <v>20190312154135963</v>
      </c>
      <c r="B9215" t="str">
        <f>"1552376495955806"</f>
        <v>1552376495955806</v>
      </c>
      <c r="C9215" t="s">
        <v>40</v>
      </c>
      <c r="D9215">
        <v>4.2490769999999998</v>
      </c>
      <c r="E9215">
        <v>0.43984319999999999</v>
      </c>
      <c r="F9215" t="s">
        <v>69</v>
      </c>
      <c r="G9215">
        <v>-199.86580000000001</v>
      </c>
      <c r="H9215" s="1">
        <v>-7.7627469999999996E-6</v>
      </c>
      <c r="I9215">
        <v>-58.998559999999998</v>
      </c>
      <c r="J9215">
        <v>-227.17240000000001</v>
      </c>
      <c r="K9215">
        <v>1.1105069999999999</v>
      </c>
      <c r="L9215">
        <v>-62.61215</v>
      </c>
      <c r="M9215">
        <v>0.99980539999999996</v>
      </c>
      <c r="N9215">
        <v>0</v>
      </c>
      <c r="O9215">
        <v>-1.351568E-2</v>
      </c>
      <c r="P9215">
        <v>0.9995716</v>
      </c>
      <c r="Q9215">
        <v>-9.0808529999999998E-3</v>
      </c>
      <c r="R9215">
        <v>-2.78243E-2</v>
      </c>
      <c r="S9215">
        <v>3.0114899999999998</v>
      </c>
      <c r="T9215">
        <v>-0.1220329</v>
      </c>
      <c r="U9215">
        <v>0.39697270000000001</v>
      </c>
      <c r="V9215">
        <v>1.4307729999999999E-2</v>
      </c>
      <c r="W9215">
        <v>5.2926930000000002E-3</v>
      </c>
      <c r="X9215">
        <v>0.99988370000000004</v>
      </c>
      <c r="Y9215">
        <v>-0.14395089999999999</v>
      </c>
      <c r="Z9215">
        <v>3.4481569999999999E-3</v>
      </c>
      <c r="AA9215">
        <v>0.98957879999999998</v>
      </c>
      <c r="AB9215">
        <v>20</v>
      </c>
      <c r="AC9215">
        <v>27.3066</v>
      </c>
      <c r="AD9215">
        <v>-1.110514762747</v>
      </c>
      <c r="AE9215">
        <v>3.6135899999999999</v>
      </c>
      <c r="AF9215">
        <v>-3.9759026074183601</v>
      </c>
      <c r="AG9215">
        <v>-1.110514762747</v>
      </c>
      <c r="AH9215">
        <v>27.2110299207441</v>
      </c>
      <c r="AI9215">
        <v>92.3124851696696</v>
      </c>
      <c r="AJ9215">
        <v>98.312870233454802</v>
      </c>
      <c r="AK9215">
        <v>27.522376240608001</v>
      </c>
      <c r="AL9215">
        <v>89.696749633837698</v>
      </c>
      <c r="AM9215">
        <v>89.180188057455695</v>
      </c>
      <c r="AN9215">
        <v>1.00000006863131</v>
      </c>
    </row>
    <row r="9216" spans="1:40" x14ac:dyDescent="0.25">
      <c r="A9216" t="str">
        <f>"20190312154135974"</f>
        <v>20190312154135974</v>
      </c>
      <c r="B9216" t="str">
        <f>"1552376495965566"</f>
        <v>1552376495965566</v>
      </c>
      <c r="C9216" t="s">
        <v>40</v>
      </c>
      <c r="D9216">
        <v>4.2694679999999998</v>
      </c>
      <c r="E9216">
        <v>0.4398359</v>
      </c>
      <c r="F9216" t="s">
        <v>69</v>
      </c>
      <c r="G9216">
        <v>-199.96430000000001</v>
      </c>
      <c r="H9216" s="1">
        <v>-5.9359740000000001E-6</v>
      </c>
      <c r="I9216">
        <v>-59.012099999999997</v>
      </c>
      <c r="J9216">
        <v>-227.07259999999999</v>
      </c>
      <c r="K9216">
        <v>1.1105320000000001</v>
      </c>
      <c r="L9216">
        <v>-62.613280000000003</v>
      </c>
      <c r="M9216">
        <v>0.99980809999999998</v>
      </c>
      <c r="N9216">
        <v>0</v>
      </c>
      <c r="O9216">
        <v>-1.3327810000000001E-2</v>
      </c>
      <c r="P9216">
        <v>0.99959249999999999</v>
      </c>
      <c r="Q9216">
        <v>-9.1635029999999999E-3</v>
      </c>
      <c r="R9216">
        <v>-2.703784E-2</v>
      </c>
      <c r="S9216">
        <v>3.0112610000000002</v>
      </c>
      <c r="T9216">
        <v>-0.12290619999999999</v>
      </c>
      <c r="U9216">
        <v>0.3984375</v>
      </c>
      <c r="V9216">
        <v>1.3708680000000001E-2</v>
      </c>
      <c r="W9216">
        <v>5.2087710000000001E-3</v>
      </c>
      <c r="X9216">
        <v>0.99989249999999996</v>
      </c>
      <c r="Y9216">
        <v>-0.14424589999999901</v>
      </c>
      <c r="Z9216">
        <v>3.4713209999999999E-3</v>
      </c>
      <c r="AA9216">
        <v>0.98953579999999997</v>
      </c>
      <c r="AB9216">
        <v>20</v>
      </c>
      <c r="AC9216">
        <v>27.1082999999999</v>
      </c>
      <c r="AD9216">
        <v>-1.110537935974</v>
      </c>
      <c r="AE9216">
        <v>3.6011799999999998</v>
      </c>
      <c r="AF9216">
        <v>-3.9556680348955799</v>
      </c>
      <c r="AG9216">
        <v>-1.110537935974</v>
      </c>
      <c r="AH9216">
        <v>27.013341444640002</v>
      </c>
      <c r="AI9216">
        <v>92.329331623622096</v>
      </c>
      <c r="AJ9216">
        <v>98.330833564062402</v>
      </c>
      <c r="AK9216">
        <v>27.324004467029301</v>
      </c>
      <c r="AL9216">
        <v>89.701558066278807</v>
      </c>
      <c r="AM9216">
        <v>89.214515261353199</v>
      </c>
      <c r="AN9216">
        <v>1.00000003537946</v>
      </c>
    </row>
    <row r="9217" spans="1:40" x14ac:dyDescent="0.25">
      <c r="A9217" t="str">
        <f>"20190312154135987"</f>
        <v>20190312154135987</v>
      </c>
      <c r="B9217" t="str">
        <f>"1552376495975326"</f>
        <v>1552376495975326</v>
      </c>
      <c r="C9217" t="s">
        <v>40</v>
      </c>
      <c r="D9217">
        <v>4.2930250000000001</v>
      </c>
      <c r="E9217">
        <v>0.43983159999999999</v>
      </c>
      <c r="F9217" t="s">
        <v>69</v>
      </c>
      <c r="G9217">
        <v>-200.12989999999999</v>
      </c>
      <c r="H9217" s="1">
        <v>-5.8711569999999997E-6</v>
      </c>
      <c r="I9217">
        <v>-59.025840000000002</v>
      </c>
      <c r="J9217">
        <v>-226.96719999999999</v>
      </c>
      <c r="K9217">
        <v>1.110555</v>
      </c>
      <c r="L9217">
        <v>-62.614469999999997</v>
      </c>
      <c r="M9217">
        <v>0.99981109999999895</v>
      </c>
      <c r="N9217">
        <v>0</v>
      </c>
      <c r="O9217">
        <v>-1.310307E-2</v>
      </c>
      <c r="P9217">
        <v>0.99961089999999997</v>
      </c>
      <c r="Q9217">
        <v>-8.9898359999999993E-3</v>
      </c>
      <c r="R9217">
        <v>-2.6410320000000001E-2</v>
      </c>
      <c r="S9217">
        <v>3.0109409999999999</v>
      </c>
      <c r="T9217">
        <v>-0.1241066</v>
      </c>
      <c r="U9217">
        <v>0.40090940000000003</v>
      </c>
      <c r="V9217">
        <v>1.330547E-2</v>
      </c>
      <c r="W9217">
        <v>5.3799540000000002E-3</v>
      </c>
      <c r="X9217">
        <v>0.99989700000000004</v>
      </c>
      <c r="Y9217">
        <v>-0.14483270000000001</v>
      </c>
      <c r="Z9217">
        <v>3.5081909999999999E-3</v>
      </c>
      <c r="AA9217">
        <v>0.98944989999999999</v>
      </c>
      <c r="AB9217">
        <v>20</v>
      </c>
      <c r="AC9217">
        <v>26.837299999999999</v>
      </c>
      <c r="AD9217">
        <v>-1.1105608711570001</v>
      </c>
      <c r="AE9217">
        <v>3.58862999999999</v>
      </c>
      <c r="AF9217">
        <v>-3.93339186613749</v>
      </c>
      <c r="AG9217">
        <v>-1.1105608711570001</v>
      </c>
      <c r="AH9217">
        <v>26.742978234170401</v>
      </c>
      <c r="AI9217">
        <v>92.3526840562008</v>
      </c>
      <c r="AJ9217">
        <v>98.3671463756436</v>
      </c>
      <c r="AK9217">
        <v>27.053498883775699</v>
      </c>
      <c r="AL9217">
        <v>89.691749853285202</v>
      </c>
      <c r="AM9217">
        <v>89.237619191346099</v>
      </c>
      <c r="AN9217">
        <v>0.99999999502298098</v>
      </c>
    </row>
    <row r="9218" spans="1:40" x14ac:dyDescent="0.25">
      <c r="A9218" t="str">
        <f>"20190312154135997"</f>
        <v>20190312154135997</v>
      </c>
      <c r="B9218" t="str">
        <f>"1552376495985087"</f>
        <v>1552376495985087</v>
      </c>
      <c r="C9218" t="s">
        <v>40</v>
      </c>
      <c r="D9218">
        <v>4.2819510000000003</v>
      </c>
      <c r="E9218">
        <v>0.43987720000000002</v>
      </c>
      <c r="F9218" t="s">
        <v>69</v>
      </c>
      <c r="G9218">
        <v>-199.95869999999999</v>
      </c>
      <c r="H9218" s="1">
        <v>-5.9398159999999999E-6</v>
      </c>
      <c r="I9218">
        <v>-59.00103</v>
      </c>
      <c r="J9218">
        <v>-226.8657</v>
      </c>
      <c r="K9218">
        <v>1.1105799999999999</v>
      </c>
      <c r="L9218">
        <v>-62.615540000000003</v>
      </c>
      <c r="M9218">
        <v>0.99981399999999998</v>
      </c>
      <c r="N9218">
        <v>0</v>
      </c>
      <c r="O9218">
        <v>-1.287834E-2</v>
      </c>
      <c r="P9218">
        <v>0.99962649999999997</v>
      </c>
      <c r="Q9218">
        <v>-8.9015699999999993E-3</v>
      </c>
      <c r="R9218">
        <v>-2.5843499999999998E-2</v>
      </c>
      <c r="S9218">
        <v>3.0107119999999998</v>
      </c>
      <c r="T9218">
        <v>-0.123797699999999</v>
      </c>
      <c r="U9218">
        <v>0.40280149999999998</v>
      </c>
      <c r="V9218">
        <v>1.2962960000000001E-2</v>
      </c>
      <c r="W9218">
        <v>5.4667369999999898E-3</v>
      </c>
      <c r="X9218">
        <v>0.99990109999999999</v>
      </c>
      <c r="Y9218">
        <v>-0.14523150000000001</v>
      </c>
      <c r="Z9218">
        <v>3.4985440000000001E-3</v>
      </c>
      <c r="AA9218">
        <v>0.98939149999999998</v>
      </c>
      <c r="AB9218">
        <v>20</v>
      </c>
      <c r="AC9218">
        <v>26.907</v>
      </c>
      <c r="AD9218">
        <v>-1.1105859398159901</v>
      </c>
      <c r="AE9218">
        <v>3.6145099999999899</v>
      </c>
      <c r="AF9218">
        <v>-3.9541464276008398</v>
      </c>
      <c r="AG9218">
        <v>-1.1105859398159901</v>
      </c>
      <c r="AH9218">
        <v>26.813344318466701</v>
      </c>
      <c r="AI9218">
        <v>92.346438631127299</v>
      </c>
      <c r="AJ9218">
        <v>98.388908219452802</v>
      </c>
      <c r="AK9218">
        <v>27.126078018048901</v>
      </c>
      <c r="AL9218">
        <v>89.686777502939094</v>
      </c>
      <c r="AM9218">
        <v>89.257245249565003</v>
      </c>
      <c r="AN9218">
        <v>1.00000006666329</v>
      </c>
    </row>
    <row r="9219" spans="1:40" x14ac:dyDescent="0.25">
      <c r="A9219" t="str">
        <f>"20190312154136007"</f>
        <v>20190312154136007</v>
      </c>
      <c r="B9219" t="str">
        <f>"1552376495995822"</f>
        <v>1552376495995822</v>
      </c>
      <c r="C9219" t="s">
        <v>40</v>
      </c>
      <c r="D9219">
        <v>4.2887149999999998</v>
      </c>
      <c r="E9219">
        <v>0.43987039999999999</v>
      </c>
      <c r="F9219" t="s">
        <v>69</v>
      </c>
      <c r="G9219">
        <v>-199.82689999999999</v>
      </c>
      <c r="H9219" s="1">
        <v>-7.7629869999999995E-6</v>
      </c>
      <c r="I9219">
        <v>-58.985410000000002</v>
      </c>
      <c r="J9219">
        <v>-226.77440000000001</v>
      </c>
      <c r="K9219">
        <v>1.1105959999999999</v>
      </c>
      <c r="L9219">
        <v>-62.616459999999996</v>
      </c>
      <c r="M9219">
        <v>0.99981699999999996</v>
      </c>
      <c r="N9219">
        <v>0</v>
      </c>
      <c r="O9219">
        <v>-1.2645419999999999E-2</v>
      </c>
      <c r="P9219">
        <v>0.99963869999999999</v>
      </c>
      <c r="Q9219">
        <v>-8.6290940000000003E-3</v>
      </c>
      <c r="R9219">
        <v>-2.5460469999999999E-2</v>
      </c>
      <c r="S9219">
        <v>3.0104679999999999</v>
      </c>
      <c r="T9219">
        <v>-0.1236516</v>
      </c>
      <c r="U9219">
        <v>0.4041748</v>
      </c>
      <c r="V9219">
        <v>1.2812270000000001E-2</v>
      </c>
      <c r="W9219">
        <v>5.737575E-3</v>
      </c>
      <c r="X9219">
        <v>0.9999015</v>
      </c>
      <c r="Y9219">
        <v>-0.14545520000000001</v>
      </c>
      <c r="Z9219">
        <v>3.4896409999999999E-3</v>
      </c>
      <c r="AA9219">
        <v>0.98935870000000004</v>
      </c>
      <c r="AB9219">
        <v>20</v>
      </c>
      <c r="AC9219">
        <v>26.947500000000002</v>
      </c>
      <c r="AD9219">
        <v>-1.11060376298699</v>
      </c>
      <c r="AE9219">
        <v>3.6310500000000001</v>
      </c>
      <c r="AF9219">
        <v>-3.9649425809003098</v>
      </c>
      <c r="AG9219">
        <v>-1.11060376298699</v>
      </c>
      <c r="AH9219">
        <v>26.854623227427801</v>
      </c>
      <c r="AI9219">
        <v>92.342814182112804</v>
      </c>
      <c r="AJ9219">
        <v>98.398740572526194</v>
      </c>
      <c r="AK9219">
        <v>27.168455956776398</v>
      </c>
      <c r="AL9219">
        <v>89.671259377929005</v>
      </c>
      <c r="AM9219">
        <v>89.265878863988902</v>
      </c>
      <c r="AN9219">
        <v>1.0000000418658399</v>
      </c>
    </row>
    <row r="9220" spans="1:40" x14ac:dyDescent="0.25">
      <c r="A9220" t="str">
        <f>"20190312154136018"</f>
        <v>20190312154136018</v>
      </c>
      <c r="B9220" t="str">
        <f>"1552376496015850"</f>
        <v>1552376496015850</v>
      </c>
      <c r="C9220" t="s">
        <v>40</v>
      </c>
      <c r="D9220">
        <v>4.2940440000000004</v>
      </c>
      <c r="E9220">
        <v>0.43989260000000002</v>
      </c>
      <c r="F9220" t="s">
        <v>69</v>
      </c>
      <c r="G9220">
        <v>-199.6696</v>
      </c>
      <c r="H9220" s="1">
        <v>-7.7517099999999997E-6</v>
      </c>
      <c r="I9220">
        <v>-58.967140000000001</v>
      </c>
      <c r="J9220">
        <v>-226.67089999999999</v>
      </c>
      <c r="K9220">
        <v>1.1106199999999999</v>
      </c>
      <c r="L9220">
        <v>-62.617489999999997</v>
      </c>
      <c r="M9220">
        <v>0.9998205</v>
      </c>
      <c r="N9220">
        <v>0</v>
      </c>
      <c r="O9220">
        <v>-1.237622E-2</v>
      </c>
      <c r="P9220">
        <v>0.99964710000000001</v>
      </c>
      <c r="Q9220">
        <v>-8.5209499999999994E-3</v>
      </c>
      <c r="R9220">
        <v>-2.5165110000000001E-2</v>
      </c>
      <c r="S9220">
        <v>3.010345</v>
      </c>
      <c r="T9220">
        <v>-0.123347</v>
      </c>
      <c r="U9220">
        <v>0.405304</v>
      </c>
      <c r="V9220">
        <v>1.2785660000000001E-2</v>
      </c>
      <c r="W9220">
        <v>5.8439090000000004E-3</v>
      </c>
      <c r="X9220">
        <v>0.99990120000000005</v>
      </c>
      <c r="Y9220">
        <v>-0.14555940000000001</v>
      </c>
      <c r="Z9220">
        <v>3.472251E-3</v>
      </c>
      <c r="AA9220">
        <v>0.98934339999999998</v>
      </c>
      <c r="AB9220">
        <v>20</v>
      </c>
      <c r="AC9220">
        <v>27.001299999999901</v>
      </c>
      <c r="AD9220">
        <v>-1.1106277517100001</v>
      </c>
      <c r="AE9220">
        <v>3.65035</v>
      </c>
      <c r="AF9220">
        <v>-3.9776698671482</v>
      </c>
      <c r="AG9220">
        <v>-1.1106277517100001</v>
      </c>
      <c r="AH9220">
        <v>26.909339382720699</v>
      </c>
      <c r="AI9220">
        <v>92.338047822217206</v>
      </c>
      <c r="AJ9220">
        <v>98.408427325224196</v>
      </c>
      <c r="AK9220">
        <v>27.224398938990898</v>
      </c>
      <c r="AL9220">
        <v>89.665166778307807</v>
      </c>
      <c r="AM9220">
        <v>89.267403185307202</v>
      </c>
      <c r="AN9220">
        <v>1.0000000170677299</v>
      </c>
    </row>
    <row r="9221" spans="1:40" x14ac:dyDescent="0.25">
      <c r="A9221" t="str">
        <f>"20190312154136030"</f>
        <v>20190312154136030</v>
      </c>
      <c r="B9221" t="str">
        <f>"1552376496025610"</f>
        <v>1552376496025610</v>
      </c>
      <c r="C9221" t="s">
        <v>40</v>
      </c>
      <c r="D9221">
        <v>4.3278790000000003</v>
      </c>
      <c r="E9221">
        <v>0.43994440000000001</v>
      </c>
      <c r="F9221" t="s">
        <v>69</v>
      </c>
      <c r="G9221">
        <v>-199.62739999999999</v>
      </c>
      <c r="H9221" s="1">
        <v>-7.7459619999999994E-6</v>
      </c>
      <c r="I9221">
        <v>-58.969990000000003</v>
      </c>
      <c r="J9221">
        <v>-226.56309999999999</v>
      </c>
      <c r="K9221">
        <v>1.110644</v>
      </c>
      <c r="L9221">
        <v>-62.618470000000002</v>
      </c>
      <c r="M9221">
        <v>0.99982420000000005</v>
      </c>
      <c r="N9221">
        <v>0</v>
      </c>
      <c r="O9221">
        <v>-1.206541E-2</v>
      </c>
      <c r="P9221">
        <v>0.99965800000000005</v>
      </c>
      <c r="Q9221">
        <v>-8.4268840000000008E-3</v>
      </c>
      <c r="R9221">
        <v>-2.4759090000000001E-2</v>
      </c>
      <c r="S9221">
        <v>3.0102229999999999</v>
      </c>
      <c r="T9221">
        <v>-0.1236246</v>
      </c>
      <c r="U9221">
        <v>0.40600589999999998</v>
      </c>
      <c r="V9221">
        <v>1.268972E-2</v>
      </c>
      <c r="W9221">
        <v>5.9368909999999997E-3</v>
      </c>
      <c r="X9221">
        <v>0.99990179999999995</v>
      </c>
      <c r="Y9221">
        <v>-0.14548349999999999</v>
      </c>
      <c r="Z9221">
        <v>3.4658860000000001E-3</v>
      </c>
      <c r="AA9221">
        <v>0.98935459999999997</v>
      </c>
      <c r="AB9221">
        <v>20</v>
      </c>
      <c r="AC9221">
        <v>26.935700000000001</v>
      </c>
      <c r="AD9221">
        <v>-1.110651745962</v>
      </c>
      <c r="AE9221">
        <v>3.64847999999999</v>
      </c>
      <c r="AF9221">
        <v>-3.9666155917046999</v>
      </c>
      <c r="AG9221">
        <v>-1.110651745962</v>
      </c>
      <c r="AH9221">
        <v>26.844894704302099</v>
      </c>
      <c r="AI9221">
        <v>92.343724212229304</v>
      </c>
      <c r="AJ9221">
        <v>98.405235306847203</v>
      </c>
      <c r="AK9221">
        <v>27.1590861083032</v>
      </c>
      <c r="AL9221">
        <v>89.659839184488206</v>
      </c>
      <c r="AM9221">
        <v>89.272900229804506</v>
      </c>
      <c r="AN9221">
        <v>0.99999994265583003</v>
      </c>
    </row>
    <row r="9222" spans="1:40" x14ac:dyDescent="0.25">
      <c r="A9222" t="str">
        <f>"20190312154136042"</f>
        <v>20190312154136042</v>
      </c>
      <c r="B9222" t="str">
        <f>"1552376496035370"</f>
        <v>1552376496035370</v>
      </c>
      <c r="C9222" t="s">
        <v>40</v>
      </c>
      <c r="D9222">
        <v>4.3495210000000002</v>
      </c>
      <c r="E9222">
        <v>0.43999949999999999</v>
      </c>
      <c r="F9222" t="s">
        <v>69</v>
      </c>
      <c r="G9222">
        <v>-199.6044</v>
      </c>
      <c r="H9222" s="1">
        <v>-7.741481E-6</v>
      </c>
      <c r="I9222">
        <v>-58.975369999999998</v>
      </c>
      <c r="J9222">
        <v>-226.4632</v>
      </c>
      <c r="K9222">
        <v>1.1106590000000001</v>
      </c>
      <c r="L9222">
        <v>-62.619349999999997</v>
      </c>
      <c r="M9222">
        <v>0.99982800000000005</v>
      </c>
      <c r="N9222">
        <v>0</v>
      </c>
      <c r="O9222">
        <v>-1.1764770000000001E-2</v>
      </c>
      <c r="P9222">
        <v>0.99965859999999995</v>
      </c>
      <c r="Q9222">
        <v>-8.3897209999999993E-3</v>
      </c>
      <c r="R9222">
        <v>-2.4747430000000001E-2</v>
      </c>
      <c r="S9222">
        <v>3.0100709999999999</v>
      </c>
      <c r="T9222">
        <v>-0.12400940000000001</v>
      </c>
      <c r="U9222">
        <v>0.40676879999999999</v>
      </c>
      <c r="V9222">
        <v>1.2978699999999999E-2</v>
      </c>
      <c r="W9222">
        <v>5.9726519999999898E-3</v>
      </c>
      <c r="X9222">
        <v>0.99989799999999995</v>
      </c>
      <c r="Y9222">
        <v>-0.1454384</v>
      </c>
      <c r="Z9222">
        <v>3.4635270000000001E-3</v>
      </c>
      <c r="AA9222">
        <v>0.98936120000000005</v>
      </c>
      <c r="AB9222">
        <v>20</v>
      </c>
      <c r="AC9222">
        <v>26.858799999999999</v>
      </c>
      <c r="AD9222">
        <v>-1.1106667414810001</v>
      </c>
      <c r="AE9222">
        <v>3.6439799999999898</v>
      </c>
      <c r="AF9222">
        <v>-3.95311023157296</v>
      </c>
      <c r="AG9222">
        <v>-1.1106667414810001</v>
      </c>
      <c r="AH9222">
        <v>26.769118138983</v>
      </c>
      <c r="AI9222">
        <v>92.350412237269893</v>
      </c>
      <c r="AJ9222">
        <v>98.400399621195405</v>
      </c>
      <c r="AK9222">
        <v>27.0822145891436</v>
      </c>
      <c r="AL9222">
        <v>89.657790235475701</v>
      </c>
      <c r="AM9222">
        <v>89.256341171230204</v>
      </c>
      <c r="AN9222">
        <v>1.00000006481479</v>
      </c>
    </row>
    <row r="9223" spans="1:40" x14ac:dyDescent="0.25">
      <c r="A9223" t="str">
        <f>"20190312154136052"</f>
        <v>20190312154136052</v>
      </c>
      <c r="B9223" t="str">
        <f>"1552376496045130"</f>
        <v>1552376496045130</v>
      </c>
      <c r="C9223" t="s">
        <v>40</v>
      </c>
      <c r="D9223">
        <v>4.3517760000000001</v>
      </c>
      <c r="E9223">
        <v>0.44004549999999998</v>
      </c>
      <c r="F9223" t="s">
        <v>69</v>
      </c>
      <c r="G9223">
        <v>-199.69049999999999</v>
      </c>
      <c r="H9223" s="1">
        <v>-7.7407050000000006E-6</v>
      </c>
      <c r="I9223">
        <v>-59.005180000000003</v>
      </c>
      <c r="J9223">
        <v>-226.3638</v>
      </c>
      <c r="K9223">
        <v>1.110679</v>
      </c>
      <c r="L9223">
        <v>-62.620179999999998</v>
      </c>
      <c r="M9223">
        <v>0.99983169999999999</v>
      </c>
      <c r="N9223">
        <v>0</v>
      </c>
      <c r="O9223">
        <v>-1.1446970000000001E-2</v>
      </c>
      <c r="P9223">
        <v>0.99965729999999997</v>
      </c>
      <c r="Q9223">
        <v>-8.7760479999999998E-3</v>
      </c>
      <c r="R9223">
        <v>-2.4672590000000001E-2</v>
      </c>
      <c r="S9223">
        <v>3.0100560000000001</v>
      </c>
      <c r="T9223">
        <v>-0.1248722</v>
      </c>
      <c r="U9223">
        <v>0.40634160000000002</v>
      </c>
      <c r="V9223">
        <v>1.322162E-2</v>
      </c>
      <c r="W9223">
        <v>5.5845130000000002E-3</v>
      </c>
      <c r="X9223">
        <v>0.99989700000000004</v>
      </c>
      <c r="Y9223">
        <v>-0.14498549999999999</v>
      </c>
      <c r="Z9223">
        <v>3.46518E-3</v>
      </c>
      <c r="AA9223">
        <v>0.98942770000000002</v>
      </c>
      <c r="AB9223">
        <v>20</v>
      </c>
      <c r="AC9223">
        <v>26.673300000000001</v>
      </c>
      <c r="AD9223">
        <v>-1.1106867407050001</v>
      </c>
      <c r="AE9223">
        <v>3.6150000000000002</v>
      </c>
      <c r="AF9223">
        <v>-3.91345970440427</v>
      </c>
      <c r="AG9223">
        <v>-1.1106867407050001</v>
      </c>
      <c r="AH9223">
        <v>26.5849022562317</v>
      </c>
      <c r="AI9223">
        <v>92.366882878867898</v>
      </c>
      <c r="AJ9223">
        <v>98.374145482956905</v>
      </c>
      <c r="AK9223">
        <v>26.894345499888399</v>
      </c>
      <c r="AL9223">
        <v>89.680029312687097</v>
      </c>
      <c r="AM9223">
        <v>89.242423092060093</v>
      </c>
      <c r="AN9223">
        <v>1.00000000431493</v>
      </c>
    </row>
    <row r="9224" spans="1:40" x14ac:dyDescent="0.25">
      <c r="A9224" t="str">
        <f>"20190312154136063"</f>
        <v>20190312154136063</v>
      </c>
      <c r="B9224" t="str">
        <f>"1552376496054890"</f>
        <v>1552376496054890</v>
      </c>
      <c r="C9224" t="s">
        <v>40</v>
      </c>
      <c r="D9224">
        <v>4.3651600000000004</v>
      </c>
      <c r="E9224">
        <v>0.44011070000000002</v>
      </c>
      <c r="F9224" t="s">
        <v>69</v>
      </c>
      <c r="G9224">
        <v>-200.02070000000001</v>
      </c>
      <c r="H9224" s="1">
        <v>-5.906351E-6</v>
      </c>
      <c r="I9224">
        <v>-59.06521</v>
      </c>
      <c r="J9224">
        <v>-226.2647</v>
      </c>
      <c r="K9224">
        <v>1.1106959999999999</v>
      </c>
      <c r="L9224">
        <v>-62.620910000000002</v>
      </c>
      <c r="M9224">
        <v>0.99983540000000004</v>
      </c>
      <c r="N9224">
        <v>0</v>
      </c>
      <c r="O9224">
        <v>-1.1111309999999999E-2</v>
      </c>
      <c r="P9224">
        <v>0.99965910000000002</v>
      </c>
      <c r="Q9224">
        <v>-9.1243399999999999E-3</v>
      </c>
      <c r="R9224">
        <v>-2.446342E-2</v>
      </c>
      <c r="S9224">
        <v>3.0099640000000001</v>
      </c>
      <c r="T9224">
        <v>-0.12690650000000001</v>
      </c>
      <c r="U9224">
        <v>0.40618900000000002</v>
      </c>
      <c r="V9224">
        <v>1.3348260000000001E-2</v>
      </c>
      <c r="W9224">
        <v>5.235473E-3</v>
      </c>
      <c r="X9224">
        <v>0.99989720000000004</v>
      </c>
      <c r="Y9224">
        <v>-0.14460429999999999</v>
      </c>
      <c r="Z9224">
        <v>3.499617E-3</v>
      </c>
      <c r="AA9224">
        <v>0.98948340000000001</v>
      </c>
      <c r="AB9224">
        <v>20</v>
      </c>
      <c r="AC9224">
        <v>26.244</v>
      </c>
      <c r="AD9224">
        <v>-1.110701906351</v>
      </c>
      <c r="AE9224">
        <v>3.5556999999999901</v>
      </c>
      <c r="AF9224">
        <v>-3.8403609528307601</v>
      </c>
      <c r="AG9224">
        <v>-1.110701906351</v>
      </c>
      <c r="AH9224">
        <v>26.1568603451698</v>
      </c>
      <c r="AI9224">
        <v>92.405736583834994</v>
      </c>
      <c r="AJ9224">
        <v>98.352514724203999</v>
      </c>
      <c r="AK9224">
        <v>26.460600410601302</v>
      </c>
      <c r="AL9224">
        <v>89.700028122472801</v>
      </c>
      <c r="AM9224">
        <v>89.235167840845193</v>
      </c>
      <c r="AN9224">
        <v>0.99999999839520004</v>
      </c>
    </row>
    <row r="9225" spans="1:40" x14ac:dyDescent="0.25">
      <c r="A9225" t="str">
        <f>"20190312154136074"</f>
        <v>20190312154136074</v>
      </c>
      <c r="B9225" t="str">
        <f>"1552376496065627"</f>
        <v>1552376496065627</v>
      </c>
      <c r="C9225" t="s">
        <v>40</v>
      </c>
      <c r="D9225">
        <v>4.3368479999999998</v>
      </c>
      <c r="E9225">
        <v>0.44029089999999999</v>
      </c>
      <c r="F9225" t="s">
        <v>69</v>
      </c>
      <c r="G9225">
        <v>-200.34819999999999</v>
      </c>
      <c r="H9225" s="1">
        <v>-5.7733969999999998E-6</v>
      </c>
      <c r="I9225">
        <v>-59.122790000000002</v>
      </c>
      <c r="J9225">
        <v>-226.16489999999999</v>
      </c>
      <c r="K9225">
        <v>1.1107199999999999</v>
      </c>
      <c r="L9225">
        <v>-62.621639999999999</v>
      </c>
      <c r="M9225">
        <v>0.99983929999999999</v>
      </c>
      <c r="N9225">
        <v>0</v>
      </c>
      <c r="O9225">
        <v>-1.0760509999999999E-2</v>
      </c>
      <c r="P9225">
        <v>0.99966699999999997</v>
      </c>
      <c r="Q9225">
        <v>-9.5952869999999992E-3</v>
      </c>
      <c r="R9225">
        <v>-2.3962580000000001E-2</v>
      </c>
      <c r="S9225">
        <v>3.0097809999999998</v>
      </c>
      <c r="T9225">
        <v>-0.1289901</v>
      </c>
      <c r="U9225">
        <v>0.40625</v>
      </c>
      <c r="V9225">
        <v>1.319823E-2</v>
      </c>
      <c r="W9225">
        <v>4.7624570000000003E-3</v>
      </c>
      <c r="X9225">
        <v>0.9999015</v>
      </c>
      <c r="Y9225">
        <v>-0.14428089999999999</v>
      </c>
      <c r="Z9225">
        <v>3.5353699999999999E-3</v>
      </c>
      <c r="AA9225">
        <v>0.98953040000000003</v>
      </c>
      <c r="AB9225">
        <v>20</v>
      </c>
      <c r="AC9225">
        <v>25.816700000000001</v>
      </c>
      <c r="AD9225">
        <v>-1.110725773397</v>
      </c>
      <c r="AE9225">
        <v>3.4988499999999898</v>
      </c>
      <c r="AF9225">
        <v>-3.76962498901307</v>
      </c>
      <c r="AG9225">
        <v>-1.110725773397</v>
      </c>
      <c r="AH9225">
        <v>25.730782444956599</v>
      </c>
      <c r="AI9225">
        <v>92.445689342525498</v>
      </c>
      <c r="AJ9225">
        <v>98.334685637670006</v>
      </c>
      <c r="AK9225">
        <v>26.029155759093801</v>
      </c>
      <c r="AL9225">
        <v>89.727130266457806</v>
      </c>
      <c r="AM9225">
        <v>89.243766547508002</v>
      </c>
      <c r="AN9225">
        <v>0.99999994198702802</v>
      </c>
    </row>
    <row r="9226" spans="1:40" x14ac:dyDescent="0.25">
      <c r="A9226" t="str">
        <f>"20190312154136086"</f>
        <v>20190312154136086</v>
      </c>
      <c r="B9226" t="str">
        <f>"1552376496075386"</f>
        <v>1552376496075386</v>
      </c>
      <c r="C9226" t="s">
        <v>40</v>
      </c>
      <c r="D9226">
        <v>4.4021039999999996</v>
      </c>
      <c r="E9226">
        <v>0.44029089999999999</v>
      </c>
      <c r="F9226" t="s">
        <v>69</v>
      </c>
      <c r="G9226">
        <v>-200.66720000000001</v>
      </c>
      <c r="H9226" s="1">
        <v>-5.6298319999999999E-6</v>
      </c>
      <c r="I9226">
        <v>-59.179180000000002</v>
      </c>
      <c r="J9226">
        <v>-226.065</v>
      </c>
      <c r="K9226">
        <v>1.1107359999999999</v>
      </c>
      <c r="L9226">
        <v>-62.622309999999999</v>
      </c>
      <c r="M9226">
        <v>0.99984320000000004</v>
      </c>
      <c r="N9226">
        <v>0</v>
      </c>
      <c r="O9226">
        <v>-1.0383969999999999E-2</v>
      </c>
      <c r="P9226">
        <v>0.99967240000000002</v>
      </c>
      <c r="Q9226">
        <v>-1.012766E-2</v>
      </c>
      <c r="R9226">
        <v>-2.3516800000000001E-2</v>
      </c>
      <c r="S9226">
        <v>3.0094759999999998</v>
      </c>
      <c r="T9226">
        <v>-0.13109789999999999</v>
      </c>
      <c r="U9226">
        <v>0.40631099999999998</v>
      </c>
      <c r="V9226">
        <v>1.312926E-2</v>
      </c>
      <c r="W9226">
        <v>4.2284039999999998E-3</v>
      </c>
      <c r="X9226">
        <v>0.99990489999999999</v>
      </c>
      <c r="Y9226">
        <v>-0.14393729999999999</v>
      </c>
      <c r="Z9226">
        <v>3.56967E-3</v>
      </c>
      <c r="AA9226">
        <v>0.98958040000000003</v>
      </c>
      <c r="AB9226">
        <v>20</v>
      </c>
      <c r="AC9226">
        <v>25.397799999999901</v>
      </c>
      <c r="AD9226">
        <v>-1.1107416298320001</v>
      </c>
      <c r="AE9226">
        <v>3.4431299999999898</v>
      </c>
      <c r="AF9226">
        <v>-3.6997528544131</v>
      </c>
      <c r="AG9226">
        <v>-1.1107416298320001</v>
      </c>
      <c r="AH9226">
        <v>25.313132124348201</v>
      </c>
      <c r="AI9226">
        <v>92.486148917791894</v>
      </c>
      <c r="AJ9226">
        <v>98.315438756041402</v>
      </c>
      <c r="AK9226">
        <v>25.606182380368299</v>
      </c>
      <c r="AL9226">
        <v>89.757729582762806</v>
      </c>
      <c r="AM9226">
        <v>89.247720499558497</v>
      </c>
      <c r="AN9226">
        <v>1.0000000329562699</v>
      </c>
    </row>
    <row r="9227" spans="1:40" x14ac:dyDescent="0.25">
      <c r="A9227" t="str">
        <f>"20190312154136095"</f>
        <v>20190312154136095</v>
      </c>
      <c r="B9227" t="str">
        <f>"1552376496085146"</f>
        <v>1552376496085146</v>
      </c>
      <c r="C9227" t="s">
        <v>40</v>
      </c>
      <c r="D9227">
        <v>4.367089</v>
      </c>
      <c r="E9227">
        <v>0.45681070000000001</v>
      </c>
      <c r="F9227" t="s">
        <v>69</v>
      </c>
      <c r="G9227">
        <v>-200.94970000000001</v>
      </c>
      <c r="H9227" s="1">
        <v>-5.4766899999999997E-6</v>
      </c>
      <c r="I9227">
        <v>-59.220519999999901</v>
      </c>
      <c r="J9227">
        <v>-225.96770000000001</v>
      </c>
      <c r="K9227">
        <v>1.1107530000000001</v>
      </c>
      <c r="L9227">
        <v>-62.622919999999901</v>
      </c>
      <c r="M9227">
        <v>0.99984709999999999</v>
      </c>
      <c r="N9227">
        <v>0</v>
      </c>
      <c r="O9227">
        <v>-1.001018E-2</v>
      </c>
      <c r="P9227">
        <v>0.99968520000000005</v>
      </c>
      <c r="Q9227">
        <v>-1.070805E-2</v>
      </c>
      <c r="R9227">
        <v>-2.269123E-2</v>
      </c>
      <c r="S9227">
        <v>3.0092319999999999</v>
      </c>
      <c r="T9227">
        <v>-0.1330855</v>
      </c>
      <c r="U9227">
        <v>0.40759279999999998</v>
      </c>
      <c r="V9227">
        <v>1.267795E-2</v>
      </c>
      <c r="W9227">
        <v>3.646668E-3</v>
      </c>
      <c r="X9227">
        <v>0.99991300000000005</v>
      </c>
      <c r="Y9227">
        <v>-0.1439878</v>
      </c>
      <c r="Z9227">
        <v>3.6085829999999998E-3</v>
      </c>
      <c r="AA9227">
        <v>0.98957289999999998</v>
      </c>
      <c r="AB9227">
        <v>20</v>
      </c>
      <c r="AC9227">
        <v>25.018000000000001</v>
      </c>
      <c r="AD9227">
        <v>-1.1107584766900001</v>
      </c>
      <c r="AE9227">
        <v>3.4024000000000001</v>
      </c>
      <c r="AF9227">
        <v>-3.6456340933004299</v>
      </c>
      <c r="AG9227">
        <v>-1.1107584766900001</v>
      </c>
      <c r="AH9227">
        <v>24.934425565032701</v>
      </c>
      <c r="AI9227">
        <v>92.523880729097499</v>
      </c>
      <c r="AJ9227">
        <v>98.318212223354195</v>
      </c>
      <c r="AK9227">
        <v>25.223996721255901</v>
      </c>
      <c r="AL9227">
        <v>89.791060855006407</v>
      </c>
      <c r="AM9227">
        <v>89.273582694653001</v>
      </c>
      <c r="AN9227">
        <v>1.00000001808635</v>
      </c>
    </row>
    <row r="9228" spans="1:40" x14ac:dyDescent="0.25">
      <c r="A9228" t="str">
        <f>"20190312154136109"</f>
        <v>20190312154136109</v>
      </c>
      <c r="B9228" t="str">
        <f>"1552376496105642"</f>
        <v>1552376496105642</v>
      </c>
      <c r="C9228" t="s">
        <v>40</v>
      </c>
      <c r="D9228">
        <v>4.3939539999999999</v>
      </c>
      <c r="E9228">
        <v>0.45652029999999899</v>
      </c>
      <c r="F9228" t="s">
        <v>69</v>
      </c>
      <c r="G9228">
        <v>-203.1652</v>
      </c>
      <c r="H9228" s="1">
        <v>-4.0972780000000004E-6</v>
      </c>
      <c r="I9228">
        <v>-60.510069999999899</v>
      </c>
      <c r="J9228">
        <v>-225.85919999999999</v>
      </c>
      <c r="K9228">
        <v>1.11077</v>
      </c>
      <c r="L9228">
        <v>-62.6235</v>
      </c>
      <c r="M9228">
        <v>0.99985170000000001</v>
      </c>
      <c r="N9228">
        <v>0</v>
      </c>
      <c r="O9228">
        <v>-9.5605519999999999E-3</v>
      </c>
      <c r="P9228">
        <v>0.99970340000000002</v>
      </c>
      <c r="Q9228">
        <v>-1.1107540000000001E-2</v>
      </c>
      <c r="R9228">
        <v>-2.1678679999999999E-2</v>
      </c>
      <c r="S9228">
        <v>3.0056759999999998</v>
      </c>
      <c r="T9228">
        <v>-0.14641299999999999</v>
      </c>
      <c r="U9228">
        <v>0.27850340000000001</v>
      </c>
      <c r="V9228">
        <v>1.211521E-2</v>
      </c>
      <c r="W9228">
        <v>3.2442199999999999E-3</v>
      </c>
      <c r="X9228">
        <v>0.99992130000000001</v>
      </c>
      <c r="Y9228">
        <v>-0.1016497</v>
      </c>
      <c r="Z9228">
        <v>2.933583E-3</v>
      </c>
      <c r="AA9228">
        <v>0.99481589999999998</v>
      </c>
      <c r="AB9228">
        <v>20</v>
      </c>
      <c r="AC9228">
        <v>22.6939999999999</v>
      </c>
      <c r="AD9228">
        <v>-1.110774097278</v>
      </c>
      <c r="AE9228">
        <v>2.1134300000000001</v>
      </c>
      <c r="AF9228">
        <v>-2.3248012182349802</v>
      </c>
      <c r="AG9228">
        <v>-1.110774097278</v>
      </c>
      <c r="AH9228">
        <v>22.619032848193399</v>
      </c>
      <c r="AI9228">
        <v>92.796709458386999</v>
      </c>
      <c r="AJ9228">
        <v>95.868297226010498</v>
      </c>
      <c r="AK9228">
        <v>22.7653062089475</v>
      </c>
      <c r="AL9228">
        <v>89.814119551708998</v>
      </c>
      <c r="AM9228">
        <v>89.305828932251998</v>
      </c>
      <c r="AN9228">
        <v>0.99999995473521996</v>
      </c>
    </row>
    <row r="9229" spans="1:40" x14ac:dyDescent="0.25">
      <c r="A9229" t="str">
        <f>"20190312154136120"</f>
        <v>20190312154136120</v>
      </c>
      <c r="B9229" t="str">
        <f>"1552376496114935"</f>
        <v>1552376496114935</v>
      </c>
      <c r="C9229" t="s">
        <v>40</v>
      </c>
      <c r="D9229">
        <v>4.3832810000000002</v>
      </c>
      <c r="E9229">
        <v>0.45686290000000002</v>
      </c>
      <c r="F9229" t="s">
        <v>69</v>
      </c>
      <c r="G9229">
        <v>-205.69130000000001</v>
      </c>
      <c r="H9229" s="1">
        <v>-2.7566410000000001E-6</v>
      </c>
      <c r="I9229">
        <v>-60.716589999999997</v>
      </c>
      <c r="J9229">
        <v>-225.75989999999999</v>
      </c>
      <c r="K9229">
        <v>1.110789</v>
      </c>
      <c r="L9229">
        <v>-62.623989999999999</v>
      </c>
      <c r="M9229">
        <v>0.99985550000000001</v>
      </c>
      <c r="N9229">
        <v>0</v>
      </c>
      <c r="O9229">
        <v>-9.1403999999999999E-3</v>
      </c>
      <c r="P9229">
        <v>0.99972320000000003</v>
      </c>
      <c r="Q9229">
        <v>-1.1636499999999999E-2</v>
      </c>
      <c r="R9229">
        <v>-2.045607E-2</v>
      </c>
      <c r="S9229">
        <v>3.0052189999999999</v>
      </c>
      <c r="T9229">
        <v>-0.16551669999999999</v>
      </c>
      <c r="U9229">
        <v>0.28414919999999999</v>
      </c>
      <c r="V9229">
        <v>1.1313E-2</v>
      </c>
      <c r="W9229">
        <v>2.713502E-3</v>
      </c>
      <c r="X9229">
        <v>0.9999323</v>
      </c>
      <c r="Y9229">
        <v>-0.10306029999999999</v>
      </c>
      <c r="Z9229">
        <v>3.3316750000000001E-3</v>
      </c>
      <c r="AA9229">
        <v>0.99466960000000004</v>
      </c>
      <c r="AB9229">
        <v>20</v>
      </c>
      <c r="AC9229">
        <v>20.068599999999901</v>
      </c>
      <c r="AD9229">
        <v>-1.1107917566409999</v>
      </c>
      <c r="AE9229">
        <v>1.90739999999999</v>
      </c>
      <c r="AF9229">
        <v>-2.08444545540666</v>
      </c>
      <c r="AG9229">
        <v>-1.1107917566409999</v>
      </c>
      <c r="AH9229">
        <v>19.989633425470402</v>
      </c>
      <c r="AI9229">
        <v>93.163445921795798</v>
      </c>
      <c r="AJ9229">
        <v>95.953078341094894</v>
      </c>
      <c r="AK9229">
        <v>20.128691355074999</v>
      </c>
      <c r="AL9229">
        <v>89.844527593147404</v>
      </c>
      <c r="AM9229">
        <v>89.351796617141702</v>
      </c>
      <c r="AN9229">
        <v>0.99999997582269595</v>
      </c>
    </row>
    <row r="9230" spans="1:40" x14ac:dyDescent="0.25">
      <c r="A9230" t="str">
        <f>"20190312154136131"</f>
        <v>20190312154136131</v>
      </c>
      <c r="B9230" t="str">
        <f>"1552376496125670"</f>
        <v>1552376496125670</v>
      </c>
      <c r="C9230" t="s">
        <v>40</v>
      </c>
      <c r="D9230">
        <v>4.3971140000000002</v>
      </c>
      <c r="E9230">
        <v>0.45708480000000001</v>
      </c>
      <c r="F9230" t="s">
        <v>69</v>
      </c>
      <c r="G9230">
        <v>-205.25800000000001</v>
      </c>
      <c r="H9230" s="1">
        <v>-3.0268930000000002E-6</v>
      </c>
      <c r="I9230">
        <v>-60.679360000000003</v>
      </c>
      <c r="J9230">
        <v>-225.65309999999999</v>
      </c>
      <c r="K9230">
        <v>1.110808</v>
      </c>
      <c r="L9230">
        <v>-62.624419999999901</v>
      </c>
      <c r="M9230">
        <v>0.99985970000000002</v>
      </c>
      <c r="N9230">
        <v>0</v>
      </c>
      <c r="O9230">
        <v>-8.6631360000000001E-3</v>
      </c>
      <c r="P9230">
        <v>0.99974019999999997</v>
      </c>
      <c r="Q9230">
        <v>-1.197874E-2</v>
      </c>
      <c r="R9230">
        <v>-1.9391619999999998E-2</v>
      </c>
      <c r="S9230">
        <v>3.0047450000000002</v>
      </c>
      <c r="T9230">
        <v>-0.16279689999999999</v>
      </c>
      <c r="U9230">
        <v>0.28500370000000003</v>
      </c>
      <c r="V9230">
        <v>1.072621E-2</v>
      </c>
      <c r="W9230">
        <v>2.3687500000000002E-3</v>
      </c>
      <c r="X9230">
        <v>0.99993969999999999</v>
      </c>
      <c r="Y9230">
        <v>-0.10288700000000001</v>
      </c>
      <c r="Z9230">
        <v>3.247008E-3</v>
      </c>
      <c r="AA9230">
        <v>0.99468769999999995</v>
      </c>
      <c r="AB9230">
        <v>20</v>
      </c>
      <c r="AC9230">
        <v>20.395099999999999</v>
      </c>
      <c r="AD9230">
        <v>-1.110811026893</v>
      </c>
      <c r="AE9230">
        <v>1.94505999999999</v>
      </c>
      <c r="AF9230">
        <v>-2.1154719203334502</v>
      </c>
      <c r="AG9230">
        <v>-1.110811026893</v>
      </c>
      <c r="AH9230">
        <v>20.3177552385282</v>
      </c>
      <c r="AI9230">
        <v>93.112563230691904</v>
      </c>
      <c r="AJ9230">
        <v>95.944182355954396</v>
      </c>
      <c r="AK9230">
        <v>20.4577687081443</v>
      </c>
      <c r="AL9230">
        <v>89.864280499850196</v>
      </c>
      <c r="AM9230">
        <v>89.385419947818804</v>
      </c>
      <c r="AN9230">
        <v>1.0000000330968</v>
      </c>
    </row>
    <row r="9231" spans="1:40" x14ac:dyDescent="0.25">
      <c r="A9231" t="str">
        <f>"20190312154136144"</f>
        <v>20190312154136144</v>
      </c>
      <c r="B9231" t="str">
        <f>"1552376496135430"</f>
        <v>1552376496135430</v>
      </c>
      <c r="C9231" t="s">
        <v>40</v>
      </c>
      <c r="D9231">
        <v>4.3901130000000004</v>
      </c>
      <c r="E9231">
        <v>0.4571114</v>
      </c>
      <c r="F9231" t="s">
        <v>69</v>
      </c>
      <c r="G9231">
        <v>-204.9956</v>
      </c>
      <c r="H9231" s="1">
        <v>-3.1904130000000001E-6</v>
      </c>
      <c r="I9231">
        <v>-60.65578</v>
      </c>
      <c r="J9231">
        <v>-225.5497</v>
      </c>
      <c r="K9231">
        <v>1.11083</v>
      </c>
      <c r="L9231">
        <v>-62.624789999999997</v>
      </c>
      <c r="M9231">
        <v>0.99986390000000003</v>
      </c>
      <c r="N9231">
        <v>0</v>
      </c>
      <c r="O9231">
        <v>-8.1860159999999904E-3</v>
      </c>
      <c r="P9231">
        <v>0.99976120000000002</v>
      </c>
      <c r="Q9231">
        <v>-1.212453E-2</v>
      </c>
      <c r="R9231">
        <v>-1.819774E-2</v>
      </c>
      <c r="S9231">
        <v>3.0043950000000001</v>
      </c>
      <c r="T9231">
        <v>-0.16155449999999999</v>
      </c>
      <c r="U9231">
        <v>0.28631590000000001</v>
      </c>
      <c r="V9231">
        <v>1.000904E-2</v>
      </c>
      <c r="W9231">
        <v>2.2204540000000002E-3</v>
      </c>
      <c r="X9231">
        <v>0.99994740000000004</v>
      </c>
      <c r="Y9231">
        <v>-0.102857</v>
      </c>
      <c r="Z9231">
        <v>3.196178E-3</v>
      </c>
      <c r="AA9231">
        <v>0.99469099999999999</v>
      </c>
      <c r="AB9231">
        <v>20</v>
      </c>
      <c r="AC9231">
        <v>20.554099999999998</v>
      </c>
      <c r="AD9231">
        <v>-1.110833190413</v>
      </c>
      <c r="AE9231">
        <v>1.9690099999999899</v>
      </c>
      <c r="AF9231">
        <v>-2.1310497139240701</v>
      </c>
      <c r="AG9231">
        <v>-1.110833190413</v>
      </c>
      <c r="AH9231">
        <v>20.478023009444101</v>
      </c>
      <c r="AI9231">
        <v>93.088329313249403</v>
      </c>
      <c r="AJ9231">
        <v>95.941112212512493</v>
      </c>
      <c r="AK9231">
        <v>20.618553529175198</v>
      </c>
      <c r="AL9231">
        <v>89.872777247186903</v>
      </c>
      <c r="AM9231">
        <v>89.426513236917501</v>
      </c>
      <c r="AN9231">
        <v>0.999999957032223</v>
      </c>
    </row>
    <row r="9232" spans="1:40" x14ac:dyDescent="0.25">
      <c r="A9232" t="str">
        <f>"20190312154136154"</f>
        <v>20190312154136154</v>
      </c>
      <c r="B9232" t="str">
        <f>"1552376496145190"</f>
        <v>1552376496145190</v>
      </c>
      <c r="C9232" t="s">
        <v>40</v>
      </c>
      <c r="D9232">
        <v>4.4379</v>
      </c>
      <c r="E9232">
        <v>0.45703159999999998</v>
      </c>
      <c r="F9232" t="s">
        <v>69</v>
      </c>
      <c r="G9232">
        <v>-204.67920000000001</v>
      </c>
      <c r="H9232" s="1">
        <v>-3.3317950000000001E-6</v>
      </c>
      <c r="I9232">
        <v>-60.612299999999998</v>
      </c>
      <c r="J9232">
        <v>-225.44919999999999</v>
      </c>
      <c r="K9232">
        <v>1.1108469999999999</v>
      </c>
      <c r="L9232">
        <v>-62.625059999999998</v>
      </c>
      <c r="M9232">
        <v>0.99986770000000003</v>
      </c>
      <c r="N9232">
        <v>0</v>
      </c>
      <c r="O9232">
        <v>-7.7097550000000004E-3</v>
      </c>
      <c r="P9232">
        <v>0.99978020000000001</v>
      </c>
      <c r="Q9232">
        <v>-1.220707E-2</v>
      </c>
      <c r="R9232">
        <v>-1.704638E-2</v>
      </c>
      <c r="S9232">
        <v>3.0040589999999998</v>
      </c>
      <c r="T9232">
        <v>-0.1598908</v>
      </c>
      <c r="U9232">
        <v>0.28967290000000001</v>
      </c>
      <c r="V9232">
        <v>9.3342670000000003E-3</v>
      </c>
      <c r="W9232">
        <v>2.135577E-3</v>
      </c>
      <c r="X9232">
        <v>0.99995420000000002</v>
      </c>
      <c r="Y9232">
        <v>-0.1034981</v>
      </c>
      <c r="Z9232">
        <v>3.1552260000000001E-3</v>
      </c>
      <c r="AA9232">
        <v>0.99462470000000003</v>
      </c>
      <c r="AB9232">
        <v>20</v>
      </c>
      <c r="AC9232">
        <v>20.7699999999999</v>
      </c>
      <c r="AD9232">
        <v>-1.11085033179499</v>
      </c>
      <c r="AE9232">
        <v>2.0127599999999899</v>
      </c>
      <c r="AF9232">
        <v>-2.16670805459658</v>
      </c>
      <c r="AG9232">
        <v>-1.11085033179499</v>
      </c>
      <c r="AH9232">
        <v>20.695215714351999</v>
      </c>
      <c r="AI9232">
        <v>93.055827968824701</v>
      </c>
      <c r="AJ9232">
        <v>95.9768692200727</v>
      </c>
      <c r="AK9232">
        <v>20.837959730191098</v>
      </c>
      <c r="AL9232">
        <v>89.877640363654606</v>
      </c>
      <c r="AM9232">
        <v>89.465176934290199</v>
      </c>
      <c r="AN9232">
        <v>1.00000004566359</v>
      </c>
    </row>
    <row r="9233" spans="1:40" x14ac:dyDescent="0.25">
      <c r="A9233" t="str">
        <f>"20190312154136166"</f>
        <v>20190312154136166</v>
      </c>
      <c r="B9233" t="str">
        <f>"1552376496154951"</f>
        <v>1552376496154951</v>
      </c>
      <c r="C9233" t="s">
        <v>40</v>
      </c>
      <c r="D9233">
        <v>4.4009830000000001</v>
      </c>
      <c r="E9233">
        <v>0.45698430000000001</v>
      </c>
      <c r="F9233" t="s">
        <v>69</v>
      </c>
      <c r="G9233">
        <v>-204.73519999999999</v>
      </c>
      <c r="H9233" s="1">
        <v>-3.3024450000000001E-6</v>
      </c>
      <c r="I9233">
        <v>-60.59883</v>
      </c>
      <c r="J9233">
        <v>-225.35079999999999</v>
      </c>
      <c r="K9233">
        <v>1.110862</v>
      </c>
      <c r="L9233">
        <v>-62.625269999999901</v>
      </c>
      <c r="M9233">
        <v>0.99987139999999997</v>
      </c>
      <c r="N9233">
        <v>0</v>
      </c>
      <c r="O9233">
        <v>-7.2233849999999997E-3</v>
      </c>
      <c r="P9233">
        <v>0.99980060000000004</v>
      </c>
      <c r="Q9233">
        <v>-1.221122E-2</v>
      </c>
      <c r="R9233">
        <v>-1.5811780000000001E-2</v>
      </c>
      <c r="S9233">
        <v>3.0037379999999998</v>
      </c>
      <c r="T9233">
        <v>-0.16108449999999999</v>
      </c>
      <c r="U9233">
        <v>0.29382320000000001</v>
      </c>
      <c r="V9233">
        <v>8.5857859999999998E-3</v>
      </c>
      <c r="W9233">
        <v>2.1289019999999998E-3</v>
      </c>
      <c r="X9233">
        <v>0.99996090000000004</v>
      </c>
      <c r="Y9233">
        <v>-0.1043829</v>
      </c>
      <c r="Z9233">
        <v>3.176519E-3</v>
      </c>
      <c r="AA9233">
        <v>0.99453210000000003</v>
      </c>
      <c r="AB9233">
        <v>20</v>
      </c>
      <c r="AC9233">
        <v>20.615600000000001</v>
      </c>
      <c r="AD9233">
        <v>-1.1108653024449999</v>
      </c>
      <c r="AE9233">
        <v>2.02643999999998</v>
      </c>
      <c r="AF9233">
        <v>-2.1690790226782801</v>
      </c>
      <c r="AG9233">
        <v>-1.1108653024449999</v>
      </c>
      <c r="AH9233">
        <v>20.541350510951801</v>
      </c>
      <c r="AI9233">
        <v>93.078427743330394</v>
      </c>
      <c r="AJ9233">
        <v>96.027851792467104</v>
      </c>
      <c r="AK9233">
        <v>20.685405636355799</v>
      </c>
      <c r="AL9233">
        <v>89.878022811282193</v>
      </c>
      <c r="AM9233">
        <v>89.508063551733997</v>
      </c>
      <c r="AN9233">
        <v>1.0000000247368801</v>
      </c>
    </row>
    <row r="9234" spans="1:40" x14ac:dyDescent="0.25">
      <c r="A9234" t="str">
        <f>"20190312154136176"</f>
        <v>20190312154136176</v>
      </c>
      <c r="B9234" t="str">
        <f>"1552376496165686"</f>
        <v>1552376496165686</v>
      </c>
      <c r="C9234" t="s">
        <v>40</v>
      </c>
      <c r="D9234">
        <v>4.4114849999999999</v>
      </c>
      <c r="E9234">
        <v>0.45698299999999997</v>
      </c>
      <c r="F9234" t="s">
        <v>69</v>
      </c>
      <c r="G9234">
        <v>-204.91499999999999</v>
      </c>
      <c r="H9234" s="1">
        <v>-3.2213380000000002E-6</v>
      </c>
      <c r="I9234">
        <v>-60.598559999999999</v>
      </c>
      <c r="J9234">
        <v>-225.25110000000001</v>
      </c>
      <c r="K9234">
        <v>1.1108819999999999</v>
      </c>
      <c r="L9234">
        <v>-62.625430000000001</v>
      </c>
      <c r="M9234">
        <v>0.99987479999999995</v>
      </c>
      <c r="N9234">
        <v>0</v>
      </c>
      <c r="O9234">
        <v>-6.723906E-3</v>
      </c>
      <c r="P9234">
        <v>0.99981299999999995</v>
      </c>
      <c r="Q9234">
        <v>-1.2492949999999999E-2</v>
      </c>
      <c r="R9234">
        <v>-1.4771609999999999E-2</v>
      </c>
      <c r="S9234">
        <v>3.0033110000000001</v>
      </c>
      <c r="T9234">
        <v>-0.16325599999999901</v>
      </c>
      <c r="U9234">
        <v>0.29785159999999899</v>
      </c>
      <c r="V9234">
        <v>8.0452049999999997E-3</v>
      </c>
      <c r="W9234">
        <v>1.8447069999999999E-3</v>
      </c>
      <c r="X9234">
        <v>0.99996589999999996</v>
      </c>
      <c r="Y9234">
        <v>-0.10521610000000001</v>
      </c>
      <c r="Z9234">
        <v>3.2150249999999998E-3</v>
      </c>
      <c r="AA9234">
        <v>0.9944442</v>
      </c>
      <c r="AB9234">
        <v>20</v>
      </c>
      <c r="AC9234">
        <v>20.336099999999998</v>
      </c>
      <c r="AD9234">
        <v>-1.1108852213379901</v>
      </c>
      <c r="AE9234">
        <v>2.0268700000000002</v>
      </c>
      <c r="AF9234">
        <v>-2.1572023883062199</v>
      </c>
      <c r="AG9234">
        <v>-1.1108852213379901</v>
      </c>
      <c r="AH9234">
        <v>20.262142211007799</v>
      </c>
      <c r="AI9234">
        <v>93.120536671866603</v>
      </c>
      <c r="AJ9234">
        <v>96.077084845722595</v>
      </c>
      <c r="AK9234">
        <v>20.406910474106699</v>
      </c>
      <c r="AL9234">
        <v>89.894306010787105</v>
      </c>
      <c r="AM9234">
        <v>89.539037934849702</v>
      </c>
      <c r="AN9234">
        <v>0.99999996471510799</v>
      </c>
    </row>
    <row r="9235" spans="1:40" x14ac:dyDescent="0.25">
      <c r="A9235" t="str">
        <f>"20190312154136187"</f>
        <v>20190312154136187</v>
      </c>
      <c r="B9235" t="str">
        <f>"1552376496175446"</f>
        <v>1552376496175446</v>
      </c>
      <c r="C9235" t="s">
        <v>40</v>
      </c>
      <c r="D9235">
        <v>4.3887309999999999</v>
      </c>
      <c r="E9235">
        <v>0.45690839999999999</v>
      </c>
      <c r="F9235" t="s">
        <v>69</v>
      </c>
      <c r="G9235">
        <v>-205.24529999999999</v>
      </c>
      <c r="H9235" s="1">
        <v>-3.026662E-6</v>
      </c>
      <c r="I9235">
        <v>-60.619750000000003</v>
      </c>
      <c r="J9235">
        <v>-225.1619</v>
      </c>
      <c r="K9235">
        <v>1.110894</v>
      </c>
      <c r="L9235">
        <v>-62.625489999999999</v>
      </c>
      <c r="M9235">
        <v>0.99987780000000004</v>
      </c>
      <c r="N9235">
        <v>0</v>
      </c>
      <c r="O9235">
        <v>-6.2524729999999997E-3</v>
      </c>
      <c r="P9235">
        <v>0.99982510000000002</v>
      </c>
      <c r="Q9235">
        <v>-1.2537059999999999E-2</v>
      </c>
      <c r="R9235">
        <v>-1.3882709999999999E-2</v>
      </c>
      <c r="S9235">
        <v>3.0029140000000001</v>
      </c>
      <c r="T9235">
        <v>-0.16674610000000001</v>
      </c>
      <c r="U9235">
        <v>0.30105589999999999</v>
      </c>
      <c r="V9235">
        <v>7.6277740000000004E-3</v>
      </c>
      <c r="W9235">
        <v>1.7979770000000001E-3</v>
      </c>
      <c r="X9235">
        <v>0.99996929999999995</v>
      </c>
      <c r="Y9235">
        <v>-0.10580349999999999</v>
      </c>
      <c r="Z9235">
        <v>3.2740669999999999E-3</v>
      </c>
      <c r="AA9235">
        <v>0.99438170000000004</v>
      </c>
      <c r="AB9235">
        <v>20</v>
      </c>
      <c r="AC9235">
        <v>19.916599999999999</v>
      </c>
      <c r="AD9235">
        <v>-1.110897026662</v>
      </c>
      <c r="AE9235">
        <v>2.0057399999999901</v>
      </c>
      <c r="AF9235">
        <v>-2.1237008147776</v>
      </c>
      <c r="AG9235">
        <v>-1.110897026662</v>
      </c>
      <c r="AH9235">
        <v>19.842555654416199</v>
      </c>
      <c r="AI9235">
        <v>93.186233201551403</v>
      </c>
      <c r="AJ9235">
        <v>96.108973845170894</v>
      </c>
      <c r="AK9235">
        <v>19.9867759344307</v>
      </c>
      <c r="AL9235">
        <v>89.896983451589406</v>
      </c>
      <c r="AM9235">
        <v>89.562955801763707</v>
      </c>
      <c r="AN9235">
        <v>1.00000000829998</v>
      </c>
    </row>
    <row r="9236" spans="1:40" x14ac:dyDescent="0.25">
      <c r="A9236" t="str">
        <f>"20190312154136197"</f>
        <v>20190312154136197</v>
      </c>
      <c r="B9236" t="str">
        <f>"1552376496185206"</f>
        <v>1552376496185206</v>
      </c>
      <c r="C9236" t="s">
        <v>40</v>
      </c>
      <c r="D9236">
        <v>4.3453030000000004</v>
      </c>
      <c r="E9236">
        <v>0.45721220000000001</v>
      </c>
      <c r="F9236" t="s">
        <v>69</v>
      </c>
      <c r="G9236">
        <v>-205.1242</v>
      </c>
      <c r="H9236" s="1">
        <v>-3.1002809999999999E-6</v>
      </c>
      <c r="I9236">
        <v>-60.595680000000002</v>
      </c>
      <c r="J9236">
        <v>-225.0641</v>
      </c>
      <c r="K9236">
        <v>1.110908</v>
      </c>
      <c r="L9236">
        <v>-62.625520000000002</v>
      </c>
      <c r="M9236">
        <v>0.99988100000000002</v>
      </c>
      <c r="N9236">
        <v>0</v>
      </c>
      <c r="O9236">
        <v>-5.7332190000000003E-3</v>
      </c>
      <c r="P9236">
        <v>0.99983880000000003</v>
      </c>
      <c r="Q9236">
        <v>-1.272095E-2</v>
      </c>
      <c r="R9236">
        <v>-1.2678089999999999E-2</v>
      </c>
      <c r="S9236">
        <v>3.0026700000000002</v>
      </c>
      <c r="T9236">
        <v>-0.16646900000000001</v>
      </c>
      <c r="U9236">
        <v>0.30416870000000001</v>
      </c>
      <c r="V9236">
        <v>6.9425509999999999E-3</v>
      </c>
      <c r="W9236">
        <v>1.612011E-3</v>
      </c>
      <c r="X9236">
        <v>0.99997460000000005</v>
      </c>
      <c r="Y9236">
        <v>-0.1063163</v>
      </c>
      <c r="Z9236">
        <v>3.2541979999999998E-3</v>
      </c>
      <c r="AA9236">
        <v>0.99432710000000002</v>
      </c>
      <c r="AB9236">
        <v>20</v>
      </c>
      <c r="AC9236">
        <v>19.939899999999898</v>
      </c>
      <c r="AD9236">
        <v>-1.1109111002809999</v>
      </c>
      <c r="AE9236">
        <v>2.0298399999999899</v>
      </c>
      <c r="AF9236">
        <v>-2.1375713401265699</v>
      </c>
      <c r="AG9236">
        <v>-1.1109111002809999</v>
      </c>
      <c r="AH9236">
        <v>19.866900409870802</v>
      </c>
      <c r="AI9236">
        <v>93.182186040860699</v>
      </c>
      <c r="AJ9236">
        <v>96.141091937061802</v>
      </c>
      <c r="AK9236">
        <v>20.012422806911299</v>
      </c>
      <c r="AL9236">
        <v>89.907638533088502</v>
      </c>
      <c r="AM9236">
        <v>89.602217415957696</v>
      </c>
      <c r="AN9236">
        <v>0.99999999911950499</v>
      </c>
    </row>
    <row r="9237" spans="1:40" x14ac:dyDescent="0.25">
      <c r="A9237" t="str">
        <f>"20190312154136209"</f>
        <v>20190312154136209</v>
      </c>
      <c r="B9237" t="str">
        <f>"1552376496205704"</f>
        <v>1552376496205704</v>
      </c>
      <c r="C9237" t="s">
        <v>40</v>
      </c>
      <c r="D9237">
        <v>4.3493750000000002</v>
      </c>
      <c r="E9237">
        <v>0.4575475</v>
      </c>
      <c r="F9237" t="s">
        <v>69</v>
      </c>
      <c r="G9237">
        <v>-205.0326</v>
      </c>
      <c r="H9237" s="1">
        <v>-3.1575159999999999E-6</v>
      </c>
      <c r="I9237">
        <v>-60.588299999999997</v>
      </c>
      <c r="J9237">
        <v>-224.9632</v>
      </c>
      <c r="K9237">
        <v>1.1109209999999901</v>
      </c>
      <c r="L9237">
        <v>-62.625459999999997</v>
      </c>
      <c r="M9237">
        <v>0.9998842</v>
      </c>
      <c r="N9237">
        <v>0</v>
      </c>
      <c r="O9237">
        <v>-5.1668520000000004E-3</v>
      </c>
      <c r="P9237">
        <v>0.99984680000000004</v>
      </c>
      <c r="Q9237">
        <v>-1.318013E-2</v>
      </c>
      <c r="R9237">
        <v>-1.1519969999999999E-2</v>
      </c>
      <c r="S9237">
        <v>3.002243</v>
      </c>
      <c r="T9237">
        <v>-0.16649829999999999</v>
      </c>
      <c r="U9237">
        <v>0.3053284</v>
      </c>
      <c r="V9237">
        <v>6.3514620000000004E-3</v>
      </c>
      <c r="W9237">
        <v>1.1499559999999999E-3</v>
      </c>
      <c r="X9237">
        <v>0.99997910000000001</v>
      </c>
      <c r="Y9237">
        <v>-0.1061484</v>
      </c>
      <c r="Z9237">
        <v>3.2192150000000001E-3</v>
      </c>
      <c r="AA9237">
        <v>0.99434509999999998</v>
      </c>
      <c r="AB9237">
        <v>20</v>
      </c>
      <c r="AC9237">
        <v>19.930599999999998</v>
      </c>
      <c r="AD9237">
        <v>-1.1109241575159901</v>
      </c>
      <c r="AE9237">
        <v>2.0371599999999899</v>
      </c>
      <c r="AF9237">
        <v>-2.1335615765510498</v>
      </c>
      <c r="AG9237">
        <v>-1.1109241575159901</v>
      </c>
      <c r="AH9237">
        <v>19.858745806667699</v>
      </c>
      <c r="AI9237">
        <v>93.183580658718</v>
      </c>
      <c r="AJ9237">
        <v>96.132157798337801</v>
      </c>
      <c r="AK9237">
        <v>20.003900182177698</v>
      </c>
      <c r="AL9237">
        <v>89.934112355569098</v>
      </c>
      <c r="AM9237">
        <v>89.636085321464193</v>
      </c>
      <c r="AN9237">
        <v>0.99999993195257197</v>
      </c>
    </row>
    <row r="9238" spans="1:40" x14ac:dyDescent="0.25">
      <c r="A9238" t="str">
        <f>"20190312154136220"</f>
        <v>20190312154136220</v>
      </c>
      <c r="B9238" t="str">
        <f>"1552376496214995"</f>
        <v>1552376496214995</v>
      </c>
      <c r="C9238" t="s">
        <v>40</v>
      </c>
      <c r="D9238">
        <v>4.3297359999999996</v>
      </c>
      <c r="E9238">
        <v>0.4576827</v>
      </c>
      <c r="F9238" t="s">
        <v>69</v>
      </c>
      <c r="G9238">
        <v>-205.0369</v>
      </c>
      <c r="H9238" s="1">
        <v>-3.1555629999999999E-6</v>
      </c>
      <c r="I9238">
        <v>-60.593989999999998</v>
      </c>
      <c r="J9238">
        <v>-224.86070000000001</v>
      </c>
      <c r="K9238">
        <v>1.1109370000000001</v>
      </c>
      <c r="L9238">
        <v>-62.625369999999997</v>
      </c>
      <c r="M9238">
        <v>0.99988699999999997</v>
      </c>
      <c r="N9238">
        <v>0</v>
      </c>
      <c r="O9238">
        <v>-4.5820019999999999E-3</v>
      </c>
      <c r="P9238">
        <v>0.9998591</v>
      </c>
      <c r="Q9238">
        <v>-1.3035440000000001E-2</v>
      </c>
      <c r="R9238">
        <v>-1.0588190000000001E-2</v>
      </c>
      <c r="S9238">
        <v>3.0018009999999999</v>
      </c>
      <c r="T9238">
        <v>-0.167354799999999</v>
      </c>
      <c r="U9238">
        <v>0.30603029999999998</v>
      </c>
      <c r="V9238">
        <v>6.0041299999999999E-3</v>
      </c>
      <c r="W9238">
        <v>1.2920539999999999E-3</v>
      </c>
      <c r="X9238">
        <v>0.99998120000000001</v>
      </c>
      <c r="Y9238">
        <v>-0.1058113</v>
      </c>
      <c r="Z9238">
        <v>3.1943150000000001E-3</v>
      </c>
      <c r="AA9238">
        <v>0.99438110000000002</v>
      </c>
      <c r="AB9238">
        <v>20</v>
      </c>
      <c r="AC9238">
        <v>19.823799999999999</v>
      </c>
      <c r="AD9238">
        <v>-1.1109401555630001</v>
      </c>
      <c r="AE9238">
        <v>2.0313799999999902</v>
      </c>
      <c r="AF9238">
        <v>-2.1156254617194499</v>
      </c>
      <c r="AG9238">
        <v>-1.1109401555630001</v>
      </c>
      <c r="AH9238">
        <v>19.7528925424836</v>
      </c>
      <c r="AI9238">
        <v>93.200764241900899</v>
      </c>
      <c r="AJ9238">
        <v>96.113335908907899</v>
      </c>
      <c r="AK9238">
        <v>19.8969048577517</v>
      </c>
      <c r="AL9238">
        <v>89.925970742716601</v>
      </c>
      <c r="AM9238">
        <v>89.655986357782297</v>
      </c>
      <c r="AN9238">
        <v>1.00000005966701</v>
      </c>
    </row>
    <row r="9239" spans="1:40" x14ac:dyDescent="0.25">
      <c r="A9239" t="str">
        <f>"20190312154136230"</f>
        <v>20190312154136230</v>
      </c>
      <c r="B9239" t="str">
        <f>"1552376496225731"</f>
        <v>1552376496225731</v>
      </c>
      <c r="C9239" t="s">
        <v>40</v>
      </c>
      <c r="D9239">
        <v>4.3775230000000001</v>
      </c>
      <c r="E9239">
        <v>0.45786959999999999</v>
      </c>
      <c r="F9239" t="s">
        <v>69</v>
      </c>
      <c r="G9239">
        <v>-205.07499999999999</v>
      </c>
      <c r="H9239" s="1">
        <v>-3.1316740000000001E-6</v>
      </c>
      <c r="I9239">
        <v>-60.596559999999997</v>
      </c>
      <c r="J9239">
        <v>-224.76609999999999</v>
      </c>
      <c r="K9239">
        <v>1.1109530000000001</v>
      </c>
      <c r="L9239">
        <v>-62.625120000000003</v>
      </c>
      <c r="M9239">
        <v>0.99988960000000005</v>
      </c>
      <c r="N9239">
        <v>0</v>
      </c>
      <c r="O9239">
        <v>-4.022556E-3</v>
      </c>
      <c r="P9239">
        <v>0.99986160000000002</v>
      </c>
      <c r="Q9239">
        <v>-1.3468610000000001E-2</v>
      </c>
      <c r="R9239">
        <v>-9.7884249999999999E-3</v>
      </c>
      <c r="S9239">
        <v>3.0014799999999999</v>
      </c>
      <c r="T9239">
        <v>-0.16852899999999901</v>
      </c>
      <c r="U9239">
        <v>0.30776979999999998</v>
      </c>
      <c r="V9239">
        <v>5.7644019999999897E-3</v>
      </c>
      <c r="W9239">
        <v>8.5765519999999999E-4</v>
      </c>
      <c r="X9239">
        <v>0.99998299999999996</v>
      </c>
      <c r="Y9239">
        <v>-0.1058344</v>
      </c>
      <c r="Z9239">
        <v>3.1862750000000001E-3</v>
      </c>
      <c r="AA9239">
        <v>0.99437869999999995</v>
      </c>
      <c r="AB9239">
        <v>20</v>
      </c>
      <c r="AC9239">
        <v>19.691099999999999</v>
      </c>
      <c r="AD9239">
        <v>-1.110956131674</v>
      </c>
      <c r="AE9239">
        <v>2.0285600000000001</v>
      </c>
      <c r="AF9239">
        <v>-2.10114227647846</v>
      </c>
      <c r="AG9239">
        <v>-1.110956131674</v>
      </c>
      <c r="AH9239">
        <v>19.620979651291702</v>
      </c>
      <c r="AI9239">
        <v>93.222290352108899</v>
      </c>
      <c r="AJ9239">
        <v>96.112311858153902</v>
      </c>
      <c r="AK9239">
        <v>19.764409044262202</v>
      </c>
      <c r="AL9239">
        <v>89.950859969858399</v>
      </c>
      <c r="AM9239">
        <v>89.669722137483305</v>
      </c>
      <c r="AN9239">
        <v>0.999999982095929</v>
      </c>
    </row>
    <row r="9240" spans="1:40" x14ac:dyDescent="0.25">
      <c r="A9240" t="str">
        <f>"20190312154136243"</f>
        <v>20190312154136243</v>
      </c>
      <c r="B9240" t="str">
        <f>"1552376496235490"</f>
        <v>1552376496235490</v>
      </c>
      <c r="C9240" t="s">
        <v>40</v>
      </c>
      <c r="D9240">
        <v>4.4145019999999997</v>
      </c>
      <c r="E9240">
        <v>0.45792569999999999</v>
      </c>
      <c r="F9240" t="s">
        <v>69</v>
      </c>
      <c r="G9240">
        <v>-205.08029999999999</v>
      </c>
      <c r="H9240" s="1">
        <v>-3.1288750000000002E-6</v>
      </c>
      <c r="I9240">
        <v>-60.600340000000003</v>
      </c>
      <c r="J9240">
        <v>-224.66810000000001</v>
      </c>
      <c r="K9240">
        <v>1.1109690000000001</v>
      </c>
      <c r="L9240">
        <v>-62.624879999999997</v>
      </c>
      <c r="M9240">
        <v>0.9998918</v>
      </c>
      <c r="N9240">
        <v>0</v>
      </c>
      <c r="O9240">
        <v>-3.4267260000000002E-3</v>
      </c>
      <c r="P9240">
        <v>0.99987009999999998</v>
      </c>
      <c r="Q9240">
        <v>-1.3484970000000001E-2</v>
      </c>
      <c r="R9240">
        <v>-8.8400179999999998E-3</v>
      </c>
      <c r="S9240">
        <v>3.0011749999999999</v>
      </c>
      <c r="T9240">
        <v>-0.16936870000000001</v>
      </c>
      <c r="U9240">
        <v>0.3086853</v>
      </c>
      <c r="V9240">
        <v>5.4118009999999999E-3</v>
      </c>
      <c r="W9240">
        <v>8.3905850000000001E-4</v>
      </c>
      <c r="X9240">
        <v>0.99998500000000001</v>
      </c>
      <c r="Y9240">
        <v>-0.1055519</v>
      </c>
      <c r="Z9240">
        <v>3.1609400000000001E-3</v>
      </c>
      <c r="AA9240">
        <v>0.99440879999999998</v>
      </c>
      <c r="AB9240">
        <v>20</v>
      </c>
      <c r="AC9240">
        <v>19.587800000000001</v>
      </c>
      <c r="AD9240">
        <v>-1.1109721288750001</v>
      </c>
      <c r="AE9240">
        <v>2.02454</v>
      </c>
      <c r="AF9240">
        <v>-2.0850206346998301</v>
      </c>
      <c r="AG9240">
        <v>-1.1109721288750001</v>
      </c>
      <c r="AH9240">
        <v>19.518621302173202</v>
      </c>
      <c r="AI9240">
        <v>93.239289510390194</v>
      </c>
      <c r="AJ9240">
        <v>96.097335000584494</v>
      </c>
      <c r="AK9240">
        <v>19.6610820570972</v>
      </c>
      <c r="AL9240">
        <v>89.951925483348205</v>
      </c>
      <c r="AM9240">
        <v>89.689925019148603</v>
      </c>
      <c r="AN9240">
        <v>0.99999999591711497</v>
      </c>
    </row>
    <row r="9241" spans="1:40" x14ac:dyDescent="0.25">
      <c r="A9241" t="str">
        <f>"20190312154136254"</f>
        <v>20190312154136254</v>
      </c>
      <c r="B9241" t="str">
        <f>"1552376496245251"</f>
        <v>1552376496245251</v>
      </c>
      <c r="C9241" t="s">
        <v>40</v>
      </c>
      <c r="D9241">
        <v>4.3778139999999999</v>
      </c>
      <c r="E9241">
        <v>0.45799620000000002</v>
      </c>
      <c r="F9241" t="s">
        <v>69</v>
      </c>
      <c r="G9241">
        <v>-205.0145</v>
      </c>
      <c r="H9241" s="1">
        <v>-3.1687650000000001E-6</v>
      </c>
      <c r="I9241">
        <v>-60.586590000000001</v>
      </c>
      <c r="J9241">
        <v>-224.56630000000001</v>
      </c>
      <c r="K9241">
        <v>1.110989</v>
      </c>
      <c r="L9241">
        <v>-62.624510000000001</v>
      </c>
      <c r="M9241">
        <v>0.9998937</v>
      </c>
      <c r="N9241">
        <v>0</v>
      </c>
      <c r="O9241">
        <v>-2.7900970000000001E-3</v>
      </c>
      <c r="P9241">
        <v>0.99987429999999999</v>
      </c>
      <c r="Q9241">
        <v>-1.361972E-2</v>
      </c>
      <c r="R9241">
        <v>-8.1387850000000008E-3</v>
      </c>
      <c r="S9241">
        <v>3.000839</v>
      </c>
      <c r="T9241">
        <v>-0.16963039999999999</v>
      </c>
      <c r="U9241">
        <v>0.3112183</v>
      </c>
      <c r="V9241">
        <v>5.3474500000000001E-3</v>
      </c>
      <c r="W9241">
        <v>7.0268320000000002E-4</v>
      </c>
      <c r="X9241">
        <v>0.99998549999999997</v>
      </c>
      <c r="Y9241">
        <v>-0.1057608</v>
      </c>
      <c r="Z9241">
        <v>3.1360429999999998E-3</v>
      </c>
      <c r="AA9241">
        <v>0.99438669999999996</v>
      </c>
      <c r="AB9241">
        <v>20</v>
      </c>
      <c r="AC9241">
        <v>19.5518</v>
      </c>
      <c r="AD9241">
        <v>-1.110992168765</v>
      </c>
      <c r="AE9241">
        <v>2.0379200000000002</v>
      </c>
      <c r="AF9241">
        <v>-2.0858066869214902</v>
      </c>
      <c r="AG9241">
        <v>-1.110992168765</v>
      </c>
      <c r="AH9241">
        <v>19.4838030662122</v>
      </c>
      <c r="AI9241">
        <v>93.245045115298396</v>
      </c>
      <c r="AJ9241">
        <v>96.1104342065087</v>
      </c>
      <c r="AK9241">
        <v>19.6266012100212</v>
      </c>
      <c r="AL9241">
        <v>89.959739216787497</v>
      </c>
      <c r="AM9241">
        <v>89.693612161648502</v>
      </c>
      <c r="AN9241">
        <v>1.00000004459771</v>
      </c>
    </row>
    <row r="9242" spans="1:40" x14ac:dyDescent="0.25">
      <c r="A9242" t="str">
        <f>"20190312154136264"</f>
        <v>20190312154136264</v>
      </c>
      <c r="B9242" t="str">
        <f>"1552376496255010"</f>
        <v>1552376496255010</v>
      </c>
      <c r="C9242" t="s">
        <v>40</v>
      </c>
      <c r="D9242">
        <v>4.3796189999999999</v>
      </c>
      <c r="E9242">
        <v>0.4579396</v>
      </c>
      <c r="F9242" t="s">
        <v>69</v>
      </c>
      <c r="G9242">
        <v>-204.93219999999999</v>
      </c>
      <c r="H9242" s="1">
        <v>-3.2125019999999998E-6</v>
      </c>
      <c r="I9242">
        <v>-60.578099999999999</v>
      </c>
      <c r="J9242">
        <v>-224.47200000000001</v>
      </c>
      <c r="K9242">
        <v>1.111011</v>
      </c>
      <c r="L9242">
        <v>-62.624049999999997</v>
      </c>
      <c r="M9242">
        <v>0.99989519999999998</v>
      </c>
      <c r="N9242">
        <v>0</v>
      </c>
      <c r="O9242">
        <v>-2.173833E-3</v>
      </c>
      <c r="P9242">
        <v>0.99987329999999996</v>
      </c>
      <c r="Q9242">
        <v>-1.394156E-2</v>
      </c>
      <c r="R9242">
        <v>-7.7083259999999997E-3</v>
      </c>
      <c r="S9242">
        <v>3.0005950000000001</v>
      </c>
      <c r="T9242">
        <v>-0.1697882</v>
      </c>
      <c r="U9242">
        <v>0.31274410000000002</v>
      </c>
      <c r="V9242">
        <v>5.5336589999999998E-3</v>
      </c>
      <c r="W9242">
        <v>3.7938750000000003E-4</v>
      </c>
      <c r="X9242">
        <v>0.9999846</v>
      </c>
      <c r="Y9242">
        <v>-0.1056573</v>
      </c>
      <c r="Z9242">
        <v>3.1014559999999998E-3</v>
      </c>
      <c r="AA9242">
        <v>0.9943978</v>
      </c>
      <c r="AB9242">
        <v>20</v>
      </c>
      <c r="AC9242">
        <v>19.5398</v>
      </c>
      <c r="AD9242">
        <v>-1.1110142125019999</v>
      </c>
      <c r="AE9242">
        <v>2.0459499999999902</v>
      </c>
      <c r="AF9242">
        <v>-2.0817685118536802</v>
      </c>
      <c r="AG9242">
        <v>-1.1110142125019999</v>
      </c>
      <c r="AH9242">
        <v>19.4730331952853</v>
      </c>
      <c r="AI9242">
        <v>93.246951059179693</v>
      </c>
      <c r="AJ9242">
        <v>96.102041027245406</v>
      </c>
      <c r="AK9242">
        <v>19.6154820114625</v>
      </c>
      <c r="AL9242">
        <v>89.978262696554097</v>
      </c>
      <c r="AM9242">
        <v>89.682943047622402</v>
      </c>
      <c r="AN9242">
        <v>0.99999998277698099</v>
      </c>
    </row>
    <row r="9243" spans="1:40" x14ac:dyDescent="0.25">
      <c r="A9243" t="str">
        <f>"20190312154136275"</f>
        <v>20190312154136275</v>
      </c>
      <c r="B9243" t="str">
        <f>"1552376496265746"</f>
        <v>1552376496265746</v>
      </c>
      <c r="C9243" t="s">
        <v>40</v>
      </c>
      <c r="D9243">
        <v>4.3926059999999998</v>
      </c>
      <c r="E9243">
        <v>0.45800180000000001</v>
      </c>
      <c r="F9243" t="s">
        <v>69</v>
      </c>
      <c r="G9243">
        <v>-204.9238</v>
      </c>
      <c r="H9243" s="1">
        <v>-3.2149899999999999E-6</v>
      </c>
      <c r="I9243">
        <v>-60.574939999999998</v>
      </c>
      <c r="J9243">
        <v>-224.37270000000001</v>
      </c>
      <c r="K9243">
        <v>1.11104</v>
      </c>
      <c r="L9243">
        <v>-62.623570000000001</v>
      </c>
      <c r="M9243">
        <v>0.99989660000000002</v>
      </c>
      <c r="N9243">
        <v>0</v>
      </c>
      <c r="O9243">
        <v>-1.511997E-3</v>
      </c>
      <c r="P9243">
        <v>0.99987519999999996</v>
      </c>
      <c r="Q9243">
        <v>-1.38826E-2</v>
      </c>
      <c r="R9243">
        <v>-7.557884E-3</v>
      </c>
      <c r="S9243">
        <v>3.0004270000000002</v>
      </c>
      <c r="T9243">
        <v>-0.1705276</v>
      </c>
      <c r="U9243">
        <v>0.31451420000000002</v>
      </c>
      <c r="V9243">
        <v>6.045084E-3</v>
      </c>
      <c r="W9243">
        <v>4.380384E-4</v>
      </c>
      <c r="X9243">
        <v>0.99998160000000003</v>
      </c>
      <c r="Y9243">
        <v>-0.10558480000000001</v>
      </c>
      <c r="Z9243">
        <v>3.0754760000000002E-3</v>
      </c>
      <c r="AA9243">
        <v>0.9944056</v>
      </c>
      <c r="AB9243">
        <v>20</v>
      </c>
      <c r="AC9243">
        <v>19.448899999999998</v>
      </c>
      <c r="AD9243">
        <v>-1.11104321499</v>
      </c>
      <c r="AE9243">
        <v>2.0486299999999802</v>
      </c>
      <c r="AF9243">
        <v>-2.0713518477392001</v>
      </c>
      <c r="AG9243">
        <v>-1.11104321499</v>
      </c>
      <c r="AH9243">
        <v>19.383218642474102</v>
      </c>
      <c r="AI9243">
        <v>93.262063227799004</v>
      </c>
      <c r="AJ9243">
        <v>96.099659078675899</v>
      </c>
      <c r="AK9243">
        <v>19.525216527472001</v>
      </c>
      <c r="AL9243">
        <v>89.974902246800198</v>
      </c>
      <c r="AM9243">
        <v>89.653640046026496</v>
      </c>
      <c r="AN9243">
        <v>0.99999996762838295</v>
      </c>
    </row>
    <row r="9244" spans="1:40" x14ac:dyDescent="0.25">
      <c r="A9244" t="str">
        <f>"20190312154136287"</f>
        <v>20190312154136287</v>
      </c>
      <c r="B9244" t="str">
        <f>"1552376496275507"</f>
        <v>1552376496275507</v>
      </c>
      <c r="C9244" t="s">
        <v>40</v>
      </c>
      <c r="D9244">
        <v>4.3575359999999996</v>
      </c>
      <c r="E9244">
        <v>0.45808320000000002</v>
      </c>
      <c r="F9244" t="s">
        <v>69</v>
      </c>
      <c r="G9244">
        <v>-204.7586</v>
      </c>
      <c r="H9244" s="1">
        <v>-3.2887369999999999E-6</v>
      </c>
      <c r="I9244">
        <v>-60.56814</v>
      </c>
      <c r="J9244">
        <v>-224.27440000000001</v>
      </c>
      <c r="K9244">
        <v>1.1110690000000001</v>
      </c>
      <c r="L9244">
        <v>-62.622919999999901</v>
      </c>
      <c r="M9244">
        <v>0.99989740000000005</v>
      </c>
      <c r="N9244">
        <v>0</v>
      </c>
      <c r="O9244">
        <v>-8.163701E-4</v>
      </c>
      <c r="P9244">
        <v>0.99987689999999996</v>
      </c>
      <c r="Q9244">
        <v>-1.383538E-2</v>
      </c>
      <c r="R9244">
        <v>-7.4369469999999898E-3</v>
      </c>
      <c r="S9244">
        <v>3.000397</v>
      </c>
      <c r="T9244">
        <v>-0.1699581</v>
      </c>
      <c r="U9244">
        <v>0.314422599999999</v>
      </c>
      <c r="V9244">
        <v>6.6196400000000004E-3</v>
      </c>
      <c r="W9244">
        <v>4.8524540000000001E-4</v>
      </c>
      <c r="X9244">
        <v>0.99997789999999998</v>
      </c>
      <c r="Y9244">
        <v>-0.1048674</v>
      </c>
      <c r="Z9244">
        <v>3.0057399999999998E-3</v>
      </c>
      <c r="AA9244">
        <v>0.99448170000000002</v>
      </c>
      <c r="AB9244">
        <v>20</v>
      </c>
      <c r="AC9244">
        <v>19.515799999999999</v>
      </c>
      <c r="AD9244">
        <v>-1.1110722887369999</v>
      </c>
      <c r="AE9244">
        <v>2.0547799999999898</v>
      </c>
      <c r="AF9244">
        <v>-2.06409616998863</v>
      </c>
      <c r="AG9244">
        <v>-1.1110722887369999</v>
      </c>
      <c r="AH9244">
        <v>19.451759196780699</v>
      </c>
      <c r="AI9244">
        <v>93.250934552110607</v>
      </c>
      <c r="AJ9244">
        <v>96.057194359219395</v>
      </c>
      <c r="AK9244">
        <v>19.592496279936</v>
      </c>
      <c r="AL9244">
        <v>89.972197483453201</v>
      </c>
      <c r="AM9244">
        <v>89.620719724041805</v>
      </c>
      <c r="AN9244">
        <v>0.99999992779261604</v>
      </c>
    </row>
    <row r="9245" spans="1:40" x14ac:dyDescent="0.25">
      <c r="A9245" t="str">
        <f>"20190312154136297"</f>
        <v>20190312154136297</v>
      </c>
      <c r="B9245" t="str">
        <f>"1552376496295026"</f>
        <v>1552376496295026</v>
      </c>
      <c r="C9245" t="s">
        <v>40</v>
      </c>
      <c r="D9245">
        <v>4.3514949999999999</v>
      </c>
      <c r="E9245">
        <v>0.45821859999999998</v>
      </c>
      <c r="F9245" t="s">
        <v>69</v>
      </c>
      <c r="G9245">
        <v>-204.62180000000001</v>
      </c>
      <c r="H9245" s="1">
        <v>-3.3582880000000002E-6</v>
      </c>
      <c r="I9245">
        <v>-60.56521</v>
      </c>
      <c r="J9245">
        <v>-224.179</v>
      </c>
      <c r="K9245">
        <v>1.1111</v>
      </c>
      <c r="L9245">
        <v>-62.622250000000001</v>
      </c>
      <c r="M9245">
        <v>0.9998977</v>
      </c>
      <c r="N9245">
        <v>0</v>
      </c>
      <c r="O9245">
        <v>-1.3290590000000001E-4</v>
      </c>
      <c r="P9245">
        <v>0.99988560000000004</v>
      </c>
      <c r="Q9245">
        <v>-1.3250929999999999E-2</v>
      </c>
      <c r="R9245">
        <v>-7.29739E-3</v>
      </c>
      <c r="S9245">
        <v>3.0003359999999999</v>
      </c>
      <c r="T9245">
        <v>-0.16962579999999999</v>
      </c>
      <c r="U9245">
        <v>0.31414789999999998</v>
      </c>
      <c r="V9245">
        <v>7.162468E-3</v>
      </c>
      <c r="W9245">
        <v>1.069371E-3</v>
      </c>
      <c r="X9245">
        <v>0.99997380000000002</v>
      </c>
      <c r="Y9245">
        <v>-0.1041026</v>
      </c>
      <c r="Z9245">
        <v>2.9398940000000002E-3</v>
      </c>
      <c r="AA9245">
        <v>0.99456219999999995</v>
      </c>
      <c r="AB9245">
        <v>20</v>
      </c>
      <c r="AC9245">
        <v>19.557199999999899</v>
      </c>
      <c r="AD9245">
        <v>-1.1111033582880001</v>
      </c>
      <c r="AE9245">
        <v>2.0570400000000002</v>
      </c>
      <c r="AF9245">
        <v>-2.05308524483508</v>
      </c>
      <c r="AG9245">
        <v>-1.1111033582880001</v>
      </c>
      <c r="AH9245">
        <v>19.494691545300601</v>
      </c>
      <c r="AI9245">
        <v>93.244151207819201</v>
      </c>
      <c r="AJ9245">
        <v>96.011948969897503</v>
      </c>
      <c r="AK9245">
        <v>19.633968221981299</v>
      </c>
      <c r="AL9245">
        <v>89.938729544672995</v>
      </c>
      <c r="AM9245">
        <v>89.589617078435396</v>
      </c>
      <c r="AN9245">
        <v>1.00000002259431</v>
      </c>
    </row>
    <row r="9246" spans="1:40" x14ac:dyDescent="0.25">
      <c r="A9246" t="str">
        <f>"20190312154136309"</f>
        <v>20190312154136309</v>
      </c>
      <c r="B9246" t="str">
        <f>"1552376496305764"</f>
        <v>1552376496305764</v>
      </c>
      <c r="C9246" t="s">
        <v>40</v>
      </c>
      <c r="D9246">
        <v>4.4087319999999997</v>
      </c>
      <c r="E9246">
        <v>0.45845979999999997</v>
      </c>
      <c r="F9246" t="s">
        <v>69</v>
      </c>
      <c r="G9246">
        <v>-204.33070000000001</v>
      </c>
      <c r="H9246" s="1">
        <v>-3.5056329999999998E-6</v>
      </c>
      <c r="I9246">
        <v>-60.548749999999998</v>
      </c>
      <c r="J9246">
        <v>-224.07660000000001</v>
      </c>
      <c r="K9246">
        <v>1.1111310000000001</v>
      </c>
      <c r="L9246">
        <v>-62.621369999999999</v>
      </c>
      <c r="M9246">
        <v>0.99989749999999999</v>
      </c>
      <c r="N9246">
        <v>0</v>
      </c>
      <c r="O9246">
        <v>6.4910130000000001E-4</v>
      </c>
      <c r="P9246">
        <v>0.99989320000000004</v>
      </c>
      <c r="Q9246">
        <v>-1.2720230000000001E-2</v>
      </c>
      <c r="R9246">
        <v>-7.2076229999999998E-3</v>
      </c>
      <c r="S9246">
        <v>3.0004119999999999</v>
      </c>
      <c r="T9246">
        <v>-0.16796259999999999</v>
      </c>
      <c r="U9246">
        <v>0.313446</v>
      </c>
      <c r="V9246">
        <v>7.8533909999999995E-3</v>
      </c>
      <c r="W9246">
        <v>1.601044E-3</v>
      </c>
      <c r="X9246">
        <v>0.99996790000000002</v>
      </c>
      <c r="Y9246">
        <v>-0.10309790000000001</v>
      </c>
      <c r="Z9246">
        <v>2.839425E-3</v>
      </c>
      <c r="AA9246">
        <v>0.99466719999999997</v>
      </c>
      <c r="AB9246">
        <v>20</v>
      </c>
      <c r="AC9246">
        <v>19.745899999999999</v>
      </c>
      <c r="AD9246">
        <v>-1.11113450563299</v>
      </c>
      <c r="AE9246">
        <v>2.0726200000000001</v>
      </c>
      <c r="AF9246">
        <v>-2.0533700233759702</v>
      </c>
      <c r="AG9246">
        <v>-1.11113450563299</v>
      </c>
      <c r="AH9246">
        <v>19.685586210429399</v>
      </c>
      <c r="AI9246">
        <v>93.213182849923598</v>
      </c>
      <c r="AJ9246">
        <v>95.954890795718796</v>
      </c>
      <c r="AK9246">
        <v>19.823552981006099</v>
      </c>
      <c r="AL9246">
        <v>89.908266898634906</v>
      </c>
      <c r="AM9246">
        <v>89.550028647671894</v>
      </c>
      <c r="AN9246">
        <v>1.00000002006124</v>
      </c>
    </row>
    <row r="9247" spans="1:40" x14ac:dyDescent="0.25">
      <c r="A9247" t="str">
        <f>"20190312154136321"</f>
        <v>20190312154136321</v>
      </c>
      <c r="B9247" t="str">
        <f>"1552376496315055"</f>
        <v>1552376496315055</v>
      </c>
      <c r="C9247" t="s">
        <v>40</v>
      </c>
      <c r="D9247">
        <v>4.5889949999999997</v>
      </c>
      <c r="E9247">
        <v>0.45845979999999997</v>
      </c>
      <c r="F9247" t="s">
        <v>69</v>
      </c>
      <c r="G9247">
        <v>-203.96129999999999</v>
      </c>
      <c r="H9247" s="1">
        <v>-3.6928769999999998E-6</v>
      </c>
      <c r="I9247">
        <v>-60.531480000000002</v>
      </c>
      <c r="J9247">
        <v>-223.9751</v>
      </c>
      <c r="K9247">
        <v>1.1111660000000001</v>
      </c>
      <c r="L9247">
        <v>-62.62039</v>
      </c>
      <c r="M9247">
        <v>0.99989669999999997</v>
      </c>
      <c r="N9247">
        <v>0</v>
      </c>
      <c r="O9247">
        <v>1.4392630000000001E-3</v>
      </c>
      <c r="P9247">
        <v>0.99990179999999995</v>
      </c>
      <c r="Q9247">
        <v>-1.208564E-2</v>
      </c>
      <c r="R9247">
        <v>-7.1258819999999896E-3</v>
      </c>
      <c r="S9247">
        <v>3.0004729999999999</v>
      </c>
      <c r="T9247">
        <v>-0.16574129999999901</v>
      </c>
      <c r="U9247">
        <v>0.31173709999999999</v>
      </c>
      <c r="V9247">
        <v>8.5604050000000001E-3</v>
      </c>
      <c r="W9247">
        <v>2.236666E-3</v>
      </c>
      <c r="X9247">
        <v>0.99996079999999998</v>
      </c>
      <c r="Y9247">
        <v>-0.1017566</v>
      </c>
      <c r="Z9247">
        <v>2.7215389999999998E-3</v>
      </c>
      <c r="AA9247">
        <v>0.99480559999999996</v>
      </c>
      <c r="AB9247">
        <v>20</v>
      </c>
      <c r="AC9247">
        <v>20.0138</v>
      </c>
      <c r="AD9247">
        <v>-1.1111696928769901</v>
      </c>
      <c r="AE9247">
        <v>2.0889099999999901</v>
      </c>
      <c r="AF9247">
        <v>-2.05383706093559</v>
      </c>
      <c r="AG9247">
        <v>-1.1111696928769901</v>
      </c>
      <c r="AH9247">
        <v>19.955934997525102</v>
      </c>
      <c r="AI9247">
        <v>93.170293173909997</v>
      </c>
      <c r="AJ9247">
        <v>95.876113111926998</v>
      </c>
      <c r="AK9247">
        <v>20.0920951218305</v>
      </c>
      <c r="AL9247">
        <v>89.871848363784196</v>
      </c>
      <c r="AM9247">
        <v>89.509517676841199</v>
      </c>
      <c r="AN9247">
        <v>0.99999994237259804</v>
      </c>
    </row>
    <row r="9248" spans="1:40" x14ac:dyDescent="0.25">
      <c r="A9248" t="str">
        <f>"20190312154136332"</f>
        <v>20190312154136332</v>
      </c>
      <c r="B9248" t="str">
        <f>"1552376496325790"</f>
        <v>1552376496325790</v>
      </c>
      <c r="C9248" t="s">
        <v>40</v>
      </c>
      <c r="D9248">
        <v>4.4398970000000002</v>
      </c>
      <c r="E9248">
        <v>0.50076100000000001</v>
      </c>
      <c r="F9248" t="s">
        <v>69</v>
      </c>
      <c r="G9248">
        <v>-203.65729999999999</v>
      </c>
      <c r="H9248" s="1">
        <v>-3.8464499999999901E-6</v>
      </c>
      <c r="I9248">
        <v>-60.50826</v>
      </c>
      <c r="J9248">
        <v>-223.874</v>
      </c>
      <c r="K9248">
        <v>1.1112010000000001</v>
      </c>
      <c r="L9248">
        <v>-62.619349999999997</v>
      </c>
      <c r="M9248">
        <v>0.99989530000000004</v>
      </c>
      <c r="N9248">
        <v>0</v>
      </c>
      <c r="O9248">
        <v>2.257603E-3</v>
      </c>
      <c r="P9248">
        <v>0.99991399999999997</v>
      </c>
      <c r="Q9248">
        <v>-1.1368990000000001E-2</v>
      </c>
      <c r="R9248">
        <v>-6.5697899999999998E-3</v>
      </c>
      <c r="S9248">
        <v>3.000534</v>
      </c>
      <c r="T9248">
        <v>-0.1640973</v>
      </c>
      <c r="U9248">
        <v>0.31192019999999998</v>
      </c>
      <c r="V9248">
        <v>8.8208999999999996E-3</v>
      </c>
      <c r="W9248">
        <v>2.9528739999999999E-3</v>
      </c>
      <c r="X9248">
        <v>0.99995670000000003</v>
      </c>
      <c r="Y9248">
        <v>-0.1010057</v>
      </c>
      <c r="Z9248">
        <v>2.6294539999999998E-3</v>
      </c>
      <c r="AA9248">
        <v>0.9948823</v>
      </c>
      <c r="AB9248">
        <v>20</v>
      </c>
      <c r="AC9248">
        <v>20.216699999999999</v>
      </c>
      <c r="AD9248">
        <v>-1.11120484645</v>
      </c>
      <c r="AE9248">
        <v>2.1110899999999901</v>
      </c>
      <c r="AF9248">
        <v>-2.0592844387879898</v>
      </c>
      <c r="AG9248">
        <v>-1.11120484645</v>
      </c>
      <c r="AH9248">
        <v>20.161162704770799</v>
      </c>
      <c r="AI9248">
        <v>93.138432596118193</v>
      </c>
      <c r="AJ9248">
        <v>95.832031694031699</v>
      </c>
      <c r="AK9248">
        <v>20.296499949963</v>
      </c>
      <c r="AL9248">
        <v>89.830812530540697</v>
      </c>
      <c r="AM9248">
        <v>89.494590882911297</v>
      </c>
      <c r="AN9248">
        <v>0.99999996480827902</v>
      </c>
    </row>
    <row r="9249" spans="1:40" x14ac:dyDescent="0.25">
      <c r="A9249" t="str">
        <f>"20190312154136344"</f>
        <v>20190312154136344</v>
      </c>
      <c r="B9249" t="str">
        <f>"1552376496335551"</f>
        <v>1552376496335551</v>
      </c>
      <c r="C9249" t="s">
        <v>40</v>
      </c>
      <c r="D9249">
        <v>4.2630100000000004</v>
      </c>
      <c r="E9249">
        <v>0.51029360000000001</v>
      </c>
      <c r="F9249" t="s">
        <v>69</v>
      </c>
      <c r="G9249">
        <v>-201.2988</v>
      </c>
      <c r="H9249" s="1">
        <v>-5.1812639999999997E-6</v>
      </c>
      <c r="I9249">
        <v>-62.801110000000001</v>
      </c>
      <c r="J9249">
        <v>-223.77969999999999</v>
      </c>
      <c r="K9249">
        <v>1.1112299999999999</v>
      </c>
      <c r="L9249">
        <v>-62.618229999999997</v>
      </c>
      <c r="M9249">
        <v>0.99989320000000004</v>
      </c>
      <c r="N9249">
        <v>0</v>
      </c>
      <c r="O9249">
        <v>3.046263E-3</v>
      </c>
      <c r="P9249">
        <v>0.99992369999999997</v>
      </c>
      <c r="Q9249">
        <v>-1.075548E-2</v>
      </c>
      <c r="R9249">
        <v>-6.1001349999999996E-3</v>
      </c>
      <c r="S9249">
        <v>2.9984130000000002</v>
      </c>
      <c r="T9249">
        <v>-0.14758859999999999</v>
      </c>
      <c r="U9249">
        <v>-2.4139399999999998E-2</v>
      </c>
      <c r="V9249">
        <v>9.1382560000000009E-3</v>
      </c>
      <c r="W9249">
        <v>3.567036E-3</v>
      </c>
      <c r="X9249">
        <v>0.9999519</v>
      </c>
      <c r="Y9249">
        <v>1.1079800000000001E-2</v>
      </c>
      <c r="Z9249">
        <v>-4.2238330000000002E-4</v>
      </c>
      <c r="AA9249">
        <v>0.99993849999999995</v>
      </c>
      <c r="AB9249">
        <v>20</v>
      </c>
      <c r="AC9249">
        <v>22.480899999999899</v>
      </c>
      <c r="AD9249">
        <v>-1.111235181264</v>
      </c>
      <c r="AE9249">
        <v>-0.18287999999999</v>
      </c>
      <c r="AF9249">
        <v>0.25075623889628301</v>
      </c>
      <c r="AG9249">
        <v>-1.111235181264</v>
      </c>
      <c r="AH9249">
        <v>22.4254490569624</v>
      </c>
      <c r="AI9249">
        <v>92.836646895299495</v>
      </c>
      <c r="AJ9249">
        <v>89.359358405976394</v>
      </c>
      <c r="AK9249">
        <v>22.454364558496</v>
      </c>
      <c r="AL9249">
        <v>89.795623461873504</v>
      </c>
      <c r="AM9249">
        <v>89.476405889306903</v>
      </c>
      <c r="AN9249">
        <v>1.0000000168910701</v>
      </c>
    </row>
    <row r="9250" spans="1:40" x14ac:dyDescent="0.25">
      <c r="A9250" t="str">
        <f>"20190312154136354"</f>
        <v>20190312154136354</v>
      </c>
      <c r="B9250" t="str">
        <f>"1552376496345311"</f>
        <v>1552376496345311</v>
      </c>
      <c r="C9250" t="s">
        <v>40</v>
      </c>
      <c r="D9250">
        <v>4.2134239999999998</v>
      </c>
      <c r="E9250">
        <v>0.51829340000000002</v>
      </c>
      <c r="F9250" t="s">
        <v>69</v>
      </c>
      <c r="G9250">
        <v>-201.18</v>
      </c>
      <c r="H9250" s="1">
        <v>-5.2743859999999999E-6</v>
      </c>
      <c r="I9250">
        <v>-63.36289</v>
      </c>
      <c r="J9250">
        <v>-223.68190000000001</v>
      </c>
      <c r="K9250">
        <v>1.1112599999999999</v>
      </c>
      <c r="L9250">
        <v>-62.616999999999997</v>
      </c>
      <c r="M9250">
        <v>0.99989030000000001</v>
      </c>
      <c r="N9250">
        <v>0</v>
      </c>
      <c r="O9250">
        <v>3.883255E-3</v>
      </c>
      <c r="P9250">
        <v>0.99993010000000004</v>
      </c>
      <c r="Q9250">
        <v>-1.052673E-2</v>
      </c>
      <c r="R9250">
        <v>-5.395019E-3</v>
      </c>
      <c r="S9250">
        <v>2.9980319999999998</v>
      </c>
      <c r="T9250">
        <v>-0.14741399999999999</v>
      </c>
      <c r="U9250">
        <v>-9.8785399999999995E-2</v>
      </c>
      <c r="V9250">
        <v>9.2694100000000005E-3</v>
      </c>
      <c r="W9250">
        <v>3.7954400000000002E-3</v>
      </c>
      <c r="X9250">
        <v>0.9999498</v>
      </c>
      <c r="Y9250">
        <v>3.6764459999999999E-2</v>
      </c>
      <c r="Z9250">
        <v>-1.0938639999999999E-3</v>
      </c>
      <c r="AA9250">
        <v>0.99932339999999997</v>
      </c>
      <c r="AB9250">
        <v>20</v>
      </c>
      <c r="AC9250">
        <v>22.501899999999999</v>
      </c>
      <c r="AD9250">
        <v>-1.1112652743860001</v>
      </c>
      <c r="AE9250">
        <v>-0.74589000000000205</v>
      </c>
      <c r="AF9250">
        <v>0.83124879623437797</v>
      </c>
      <c r="AG9250">
        <v>-1.1112652743860001</v>
      </c>
      <c r="AH9250">
        <v>22.444154167822301</v>
      </c>
      <c r="AI9250">
        <v>92.832601307212201</v>
      </c>
      <c r="AJ9250">
        <v>87.878944833321697</v>
      </c>
      <c r="AK9250">
        <v>22.487017173922201</v>
      </c>
      <c r="AL9250">
        <v>89.782536776868596</v>
      </c>
      <c r="AM9250">
        <v>89.468890478464701</v>
      </c>
      <c r="AN9250">
        <v>0.99999996492329002</v>
      </c>
    </row>
    <row r="9251" spans="1:40" x14ac:dyDescent="0.25">
      <c r="A9251" t="str">
        <f>"20190312154136365"</f>
        <v>20190312154136365</v>
      </c>
      <c r="B9251" t="str">
        <f>"1552376496355070"</f>
        <v>1552376496355070</v>
      </c>
      <c r="C9251" t="s">
        <v>40</v>
      </c>
      <c r="D9251">
        <v>4.301723</v>
      </c>
      <c r="E9251">
        <v>0.52325149999999998</v>
      </c>
      <c r="F9251" t="s">
        <v>69</v>
      </c>
      <c r="G9251">
        <v>-198.18979999999999</v>
      </c>
      <c r="H9251" s="1">
        <v>-6.6533049999999998E-6</v>
      </c>
      <c r="I9251">
        <v>-63.984549999999999</v>
      </c>
      <c r="J9251">
        <v>-223.58949999999999</v>
      </c>
      <c r="K9251">
        <v>1.1112850000000001</v>
      </c>
      <c r="L9251">
        <v>-62.615659999999998</v>
      </c>
      <c r="M9251">
        <v>0.99988679999999996</v>
      </c>
      <c r="N9251">
        <v>0</v>
      </c>
      <c r="O9251">
        <v>4.7051599999999999E-3</v>
      </c>
      <c r="P9251">
        <v>0.99993569999999998</v>
      </c>
      <c r="Q9251">
        <v>-1.0438029999999999E-2</v>
      </c>
      <c r="R9251">
        <v>-4.486042E-3</v>
      </c>
      <c r="S9251">
        <v>2.9979550000000001</v>
      </c>
      <c r="T9251">
        <v>-0.13068879999999999</v>
      </c>
      <c r="U9251">
        <v>-0.16082759999999999</v>
      </c>
      <c r="V9251">
        <v>9.1819799999999993E-3</v>
      </c>
      <c r="W9251">
        <v>3.8836550000000002E-3</v>
      </c>
      <c r="X9251">
        <v>0.99995029999999996</v>
      </c>
      <c r="Y9251">
        <v>5.8207460000000003E-2</v>
      </c>
      <c r="Z9251">
        <v>-1.4720899999999999E-3</v>
      </c>
      <c r="AA9251">
        <v>0.99830339999999995</v>
      </c>
      <c r="AB9251">
        <v>20</v>
      </c>
      <c r="AC9251">
        <v>25.399699999999999</v>
      </c>
      <c r="AD9251">
        <v>-1.1112916533049999</v>
      </c>
      <c r="AE9251">
        <v>-1.3688899999999999</v>
      </c>
      <c r="AF9251">
        <v>1.48556120192406</v>
      </c>
      <c r="AG9251">
        <v>-1.1112916533049999</v>
      </c>
      <c r="AH9251">
        <v>25.3446018550258</v>
      </c>
      <c r="AI9251">
        <v>92.506359168906101</v>
      </c>
      <c r="AJ9251">
        <v>86.645474605233005</v>
      </c>
      <c r="AK9251">
        <v>25.412412408371299</v>
      </c>
      <c r="AL9251">
        <v>89.777482399381597</v>
      </c>
      <c r="AM9251">
        <v>89.473899936603104</v>
      </c>
      <c r="AN9251">
        <v>0.99999999700148401</v>
      </c>
    </row>
    <row r="9252" spans="1:40" x14ac:dyDescent="0.25">
      <c r="A9252" t="str">
        <f>"20190312154136375"</f>
        <v>20190312154136375</v>
      </c>
      <c r="B9252" t="str">
        <f>"1552376496365805"</f>
        <v>1552376496365805</v>
      </c>
      <c r="C9252" t="s">
        <v>40</v>
      </c>
      <c r="D9252">
        <v>4.2907279999999997</v>
      </c>
      <c r="E9252">
        <v>0.52652390000000004</v>
      </c>
      <c r="F9252" t="s">
        <v>69</v>
      </c>
      <c r="G9252">
        <v>-198.06720000000001</v>
      </c>
      <c r="H9252" s="1">
        <v>-6.7214980000000003E-6</v>
      </c>
      <c r="I9252">
        <v>-64.298940000000002</v>
      </c>
      <c r="J9252">
        <v>-223.49340000000001</v>
      </c>
      <c r="K9252">
        <v>1.1113150000000001</v>
      </c>
      <c r="L9252">
        <v>-62.614260000000002</v>
      </c>
      <c r="M9252">
        <v>0.9998823</v>
      </c>
      <c r="N9252">
        <v>0</v>
      </c>
      <c r="O9252">
        <v>5.5712269999999998E-3</v>
      </c>
      <c r="P9252">
        <v>0.9999403</v>
      </c>
      <c r="Q9252">
        <v>-1.0439459999999999E-2</v>
      </c>
      <c r="R9252">
        <v>-3.1884050000000001E-3</v>
      </c>
      <c r="S9252">
        <v>2.997925</v>
      </c>
      <c r="T9252">
        <v>-0.1305356</v>
      </c>
      <c r="U9252">
        <v>-0.19772339999999999</v>
      </c>
      <c r="V9252">
        <v>8.7503819999999993E-3</v>
      </c>
      <c r="W9252">
        <v>3.880316E-3</v>
      </c>
      <c r="X9252">
        <v>0.99995420000000002</v>
      </c>
      <c r="Y9252">
        <v>7.1296600000000002E-2</v>
      </c>
      <c r="Z9252">
        <v>-1.792021E-3</v>
      </c>
      <c r="AA9252">
        <v>0.99745360000000005</v>
      </c>
      <c r="AB9252">
        <v>20</v>
      </c>
      <c r="AC9252">
        <v>25.426199999999898</v>
      </c>
      <c r="AD9252">
        <v>-1.111321721498</v>
      </c>
      <c r="AE9252">
        <v>-1.68468</v>
      </c>
      <c r="AF9252">
        <v>1.8228563542017899</v>
      </c>
      <c r="AG9252">
        <v>-1.111321721498</v>
      </c>
      <c r="AH9252">
        <v>25.3681679524537</v>
      </c>
      <c r="AI9252">
        <v>92.501951323054598</v>
      </c>
      <c r="AJ9252">
        <v>85.890015551180397</v>
      </c>
      <c r="AK9252">
        <v>25.457843320293801</v>
      </c>
      <c r="AL9252">
        <v>89.777673715225703</v>
      </c>
      <c r="AM9252">
        <v>89.498629876346499</v>
      </c>
      <c r="AN9252">
        <v>1.00000001406752</v>
      </c>
    </row>
    <row r="9253" spans="1:40" x14ac:dyDescent="0.25">
      <c r="A9253" t="str">
        <f>"20190312154136387"</f>
        <v>20190312154136387</v>
      </c>
      <c r="B9253" t="str">
        <f>"1552376496375566"</f>
        <v>1552376496375566</v>
      </c>
      <c r="C9253" t="s">
        <v>40</v>
      </c>
      <c r="D9253">
        <v>4.1972060000000004</v>
      </c>
      <c r="E9253">
        <v>0.529304199999999</v>
      </c>
      <c r="F9253" t="s">
        <v>69</v>
      </c>
      <c r="G9253">
        <v>-197.7697</v>
      </c>
      <c r="H9253" s="1">
        <v>-6.8543910000000004E-6</v>
      </c>
      <c r="I9253">
        <v>-64.501080000000002</v>
      </c>
      <c r="J9253">
        <v>-223.39609999999999</v>
      </c>
      <c r="K9253">
        <v>1.111332</v>
      </c>
      <c r="L9253">
        <v>-62.612639999999999</v>
      </c>
      <c r="M9253">
        <v>0.99987689999999996</v>
      </c>
      <c r="N9253">
        <v>0</v>
      </c>
      <c r="O9253">
        <v>6.4853360000000004E-3</v>
      </c>
      <c r="P9253">
        <v>0.99994550000000004</v>
      </c>
      <c r="Q9253">
        <v>-1.0315090000000001E-2</v>
      </c>
      <c r="R9253">
        <v>-1.7325050000000001E-3</v>
      </c>
      <c r="S9253">
        <v>2.9981080000000002</v>
      </c>
      <c r="T9253">
        <v>-0.1295251</v>
      </c>
      <c r="U9253">
        <v>-0.21990970000000001</v>
      </c>
      <c r="V9253">
        <v>8.2079539999999999E-3</v>
      </c>
      <c r="W9253">
        <v>4.0028629999999997E-3</v>
      </c>
      <c r="X9253">
        <v>0.99995829999999997</v>
      </c>
      <c r="Y9253">
        <v>7.9540219999999995E-2</v>
      </c>
      <c r="Z9253">
        <v>-1.9947770000000001E-3</v>
      </c>
      <c r="AA9253">
        <v>0.99682969999999904</v>
      </c>
      <c r="AB9253">
        <v>20</v>
      </c>
      <c r="AC9253">
        <v>25.626399999999901</v>
      </c>
      <c r="AD9253">
        <v>-1.1113388543910001</v>
      </c>
      <c r="AE9253">
        <v>-1.8884399999999999</v>
      </c>
      <c r="AF9253">
        <v>2.0507770077177501</v>
      </c>
      <c r="AG9253">
        <v>-1.1113388543910001</v>
      </c>
      <c r="AH9253">
        <v>25.565790847561299</v>
      </c>
      <c r="AI9253">
        <v>92.481107313681804</v>
      </c>
      <c r="AJ9253">
        <v>85.413800627923194</v>
      </c>
      <c r="AK9253">
        <v>25.671977369223299</v>
      </c>
      <c r="AL9253">
        <v>89.770652231103199</v>
      </c>
      <c r="AM9253">
        <v>89.529709827742295</v>
      </c>
      <c r="AN9253">
        <v>0.99999999757997604</v>
      </c>
    </row>
    <row r="9254" spans="1:40" x14ac:dyDescent="0.25">
      <c r="A9254" t="str">
        <f>"20190312154136398"</f>
        <v>20190312154136398</v>
      </c>
      <c r="B9254" t="str">
        <f>"1552376496385326"</f>
        <v>1552376496385326</v>
      </c>
      <c r="C9254" t="s">
        <v>40</v>
      </c>
      <c r="D9254">
        <v>4.2021889999999997</v>
      </c>
      <c r="E9254">
        <v>0.53141039999999995</v>
      </c>
      <c r="F9254" t="s">
        <v>69</v>
      </c>
      <c r="G9254">
        <v>-196.14070000000001</v>
      </c>
      <c r="H9254" s="1">
        <v>-7.5337929999999998E-6</v>
      </c>
      <c r="I9254">
        <v>-64.775219999999905</v>
      </c>
      <c r="J9254">
        <v>-223.29839999999999</v>
      </c>
      <c r="K9254">
        <v>1.111351</v>
      </c>
      <c r="L9254">
        <v>-62.610990000000001</v>
      </c>
      <c r="M9254">
        <v>0.99987040000000005</v>
      </c>
      <c r="N9254">
        <v>0</v>
      </c>
      <c r="O9254">
        <v>7.4110540000000003E-3</v>
      </c>
      <c r="P9254">
        <v>0.99994019999999995</v>
      </c>
      <c r="Q9254">
        <v>-1.0934589999999999E-2</v>
      </c>
      <c r="R9254">
        <v>-2.0094009999999999E-4</v>
      </c>
      <c r="S9254">
        <v>2.9984890000000002</v>
      </c>
      <c r="T9254">
        <v>-0.1222636</v>
      </c>
      <c r="U9254">
        <v>-0.23791499999999999</v>
      </c>
      <c r="V9254">
        <v>7.6038039999999996E-3</v>
      </c>
      <c r="W9254">
        <v>3.3805939999999998E-3</v>
      </c>
      <c r="X9254">
        <v>0.9999654</v>
      </c>
      <c r="Y9254">
        <v>8.6405319999999994E-2</v>
      </c>
      <c r="Z9254">
        <v>-2.0597390000000001E-3</v>
      </c>
      <c r="AA9254">
        <v>0.99625799999999998</v>
      </c>
      <c r="AB9254">
        <v>20</v>
      </c>
      <c r="AC9254">
        <v>27.157699999999899</v>
      </c>
      <c r="AD9254">
        <v>-1.1113585337930001</v>
      </c>
      <c r="AE9254">
        <v>-2.1642299999999799</v>
      </c>
      <c r="AF9254">
        <v>2.3615285309521199</v>
      </c>
      <c r="AG9254">
        <v>-1.1113585337930001</v>
      </c>
      <c r="AH9254">
        <v>27.095823673304601</v>
      </c>
      <c r="AI9254">
        <v>92.339859235201303</v>
      </c>
      <c r="AJ9254">
        <v>85.018989591489202</v>
      </c>
      <c r="AK9254">
        <v>27.2212342726767</v>
      </c>
      <c r="AL9254">
        <v>89.806305867210597</v>
      </c>
      <c r="AM9254">
        <v>89.564327444993907</v>
      </c>
      <c r="AN9254">
        <v>1.00000002372411</v>
      </c>
    </row>
    <row r="9255" spans="1:40" x14ac:dyDescent="0.25">
      <c r="A9255" t="str">
        <f>"20190312154136409"</f>
        <v>20190312154136409</v>
      </c>
      <c r="B9255" t="str">
        <f>"1552376496405821"</f>
        <v>1552376496405821</v>
      </c>
      <c r="C9255" t="s">
        <v>40</v>
      </c>
      <c r="D9255">
        <v>4.1638199999999896</v>
      </c>
      <c r="E9255">
        <v>0.53437969999999901</v>
      </c>
      <c r="F9255" t="s">
        <v>69</v>
      </c>
      <c r="G9255">
        <v>-195.2714</v>
      </c>
      <c r="H9255" s="1">
        <v>-7.8980380000000002E-6</v>
      </c>
      <c r="I9255">
        <v>-64.950069999999997</v>
      </c>
      <c r="J9255">
        <v>-223.19829999999999</v>
      </c>
      <c r="K9255">
        <v>1.111362</v>
      </c>
      <c r="L9255">
        <v>-62.60913</v>
      </c>
      <c r="M9255">
        <v>0.99986269999999999</v>
      </c>
      <c r="N9255">
        <v>0</v>
      </c>
      <c r="O9255">
        <v>8.3907129999999993E-3</v>
      </c>
      <c r="P9255">
        <v>0.99993750000000003</v>
      </c>
      <c r="Q9255">
        <v>-1.108895E-2</v>
      </c>
      <c r="R9255">
        <v>1.542025E-3</v>
      </c>
      <c r="S9255">
        <v>2.9988100000000002</v>
      </c>
      <c r="T9255">
        <v>-0.118912</v>
      </c>
      <c r="U9255">
        <v>-0.25027470000000002</v>
      </c>
      <c r="V9255">
        <v>6.8406919999999998E-3</v>
      </c>
      <c r="W9255">
        <v>3.2237160000000002E-3</v>
      </c>
      <c r="X9255">
        <v>0.99997139999999995</v>
      </c>
      <c r="Y9255">
        <v>9.1450500000000004E-2</v>
      </c>
      <c r="Z9255">
        <v>-2.1413629999999999E-3</v>
      </c>
      <c r="AA9255">
        <v>0.99580729999999995</v>
      </c>
      <c r="AB9255">
        <v>20</v>
      </c>
      <c r="AC9255">
        <v>27.9268999999999</v>
      </c>
      <c r="AD9255">
        <v>-1.111369898038</v>
      </c>
      <c r="AE9255">
        <v>-2.3409399999999798</v>
      </c>
      <c r="AF9255">
        <v>2.5711645732362398</v>
      </c>
      <c r="AG9255">
        <v>-1.111369898038</v>
      </c>
      <c r="AH9255">
        <v>27.8624547637673</v>
      </c>
      <c r="AI9255">
        <v>92.274533442535201</v>
      </c>
      <c r="AJ9255">
        <v>84.727642125604504</v>
      </c>
      <c r="AK9255">
        <v>28.002900131520502</v>
      </c>
      <c r="AL9255">
        <v>89.815294357842404</v>
      </c>
      <c r="AM9255">
        <v>89.608052123582695</v>
      </c>
      <c r="AN9255">
        <v>0.99999999411492302</v>
      </c>
    </row>
    <row r="9256" spans="1:40" x14ac:dyDescent="0.25">
      <c r="A9256" t="str">
        <f>"20190312154136420"</f>
        <v>20190312154136420</v>
      </c>
      <c r="B9256" t="str">
        <f>"1552376496415115"</f>
        <v>1552376496415115</v>
      </c>
      <c r="C9256" t="s">
        <v>40</v>
      </c>
      <c r="D9256">
        <v>4.1697850000000001</v>
      </c>
      <c r="E9256">
        <v>0.53545149999999997</v>
      </c>
      <c r="F9256" t="s">
        <v>69</v>
      </c>
      <c r="G9256">
        <v>-193.16800000000001</v>
      </c>
      <c r="H9256" s="1">
        <v>-8.8260130000000004E-6</v>
      </c>
      <c r="I9256">
        <v>-65.301009999999906</v>
      </c>
      <c r="J9256">
        <v>-223.10230000000001</v>
      </c>
      <c r="K9256">
        <v>1.111375</v>
      </c>
      <c r="L9256">
        <v>-62.607239999999997</v>
      </c>
      <c r="M9256">
        <v>0.99985440000000003</v>
      </c>
      <c r="N9256">
        <v>0</v>
      </c>
      <c r="O9256">
        <v>9.337794E-3</v>
      </c>
      <c r="P9256">
        <v>0.99992919999999996</v>
      </c>
      <c r="Q9256">
        <v>-1.1489559999999999E-2</v>
      </c>
      <c r="R9256">
        <v>3.1335870000000002E-3</v>
      </c>
      <c r="S9256">
        <v>2.999374</v>
      </c>
      <c r="T9256">
        <v>-0.11100169999999999</v>
      </c>
      <c r="U9256">
        <v>-0.26885989999999999</v>
      </c>
      <c r="V9256">
        <v>6.1972700000000004E-3</v>
      </c>
      <c r="W9256">
        <v>2.8203130000000001E-3</v>
      </c>
      <c r="X9256">
        <v>0.9999768</v>
      </c>
      <c r="Y9256">
        <v>9.8504999999999995E-2</v>
      </c>
      <c r="Z9256">
        <v>-2.1633199999999998E-3</v>
      </c>
      <c r="AA9256">
        <v>0.99513419999999997</v>
      </c>
      <c r="AB9256">
        <v>20</v>
      </c>
      <c r="AC9256">
        <v>29.9343</v>
      </c>
      <c r="AD9256">
        <v>-1.111383826013</v>
      </c>
      <c r="AE9256">
        <v>-2.6937699999999798</v>
      </c>
      <c r="AF9256">
        <v>2.9691414477128899</v>
      </c>
      <c r="AG9256">
        <v>-1.111383826013</v>
      </c>
      <c r="AH9256">
        <v>29.8669988776808</v>
      </c>
      <c r="AI9256">
        <v>92.120612253911105</v>
      </c>
      <c r="AJ9256">
        <v>84.322758781915397</v>
      </c>
      <c r="AK9256">
        <v>30.034789776268401</v>
      </c>
      <c r="AL9256">
        <v>89.838407750809196</v>
      </c>
      <c r="AM9256">
        <v>89.644918892440899</v>
      </c>
      <c r="AN9256">
        <v>0.99999998042955496</v>
      </c>
    </row>
    <row r="9257" spans="1:40" x14ac:dyDescent="0.25">
      <c r="A9257" t="str">
        <f>"20190312154136432"</f>
        <v>20190312154136432</v>
      </c>
      <c r="B9257" t="str">
        <f>"1552376496424875"</f>
        <v>1552376496424875</v>
      </c>
      <c r="C9257" t="s">
        <v>40</v>
      </c>
      <c r="D9257">
        <v>4.1947739999999998</v>
      </c>
      <c r="E9257">
        <v>0.53629569999999904</v>
      </c>
      <c r="F9257" t="s">
        <v>69</v>
      </c>
      <c r="G9257">
        <v>-192.22819999999999</v>
      </c>
      <c r="H9257" s="1">
        <v>-9.2467129999999996E-6</v>
      </c>
      <c r="I9257">
        <v>-65.413929999999993</v>
      </c>
      <c r="J9257">
        <v>-223.0025</v>
      </c>
      <c r="K9257">
        <v>1.1113839999999999</v>
      </c>
      <c r="L9257">
        <v>-62.605159999999998</v>
      </c>
      <c r="M9257">
        <v>0.99984450000000002</v>
      </c>
      <c r="N9257">
        <v>0</v>
      </c>
      <c r="O9257">
        <v>1.033919E-2</v>
      </c>
      <c r="P9257">
        <v>0.99991589999999997</v>
      </c>
      <c r="Q9257">
        <v>-1.2003679999999999E-2</v>
      </c>
      <c r="R9257">
        <v>4.9525740000000004E-3</v>
      </c>
      <c r="S9257">
        <v>2.9998170000000002</v>
      </c>
      <c r="T9257">
        <v>-0.1079851</v>
      </c>
      <c r="U9257">
        <v>-0.27270509999999998</v>
      </c>
      <c r="V9257">
        <v>5.3810029999999997E-3</v>
      </c>
      <c r="W9257">
        <v>2.30247E-3</v>
      </c>
      <c r="X9257">
        <v>0.99998290000000001</v>
      </c>
      <c r="Y9257">
        <v>0.1007555</v>
      </c>
      <c r="Z9257">
        <v>-2.18052E-3</v>
      </c>
      <c r="AA9257">
        <v>0.99490880000000004</v>
      </c>
      <c r="AB9257">
        <v>20</v>
      </c>
      <c r="AC9257">
        <v>30.7743</v>
      </c>
      <c r="AD9257">
        <v>-1.1113932467130001</v>
      </c>
      <c r="AE9257">
        <v>-2.80877</v>
      </c>
      <c r="AF9257">
        <v>3.1227944038429598</v>
      </c>
      <c r="AG9257">
        <v>-1.1113932467130001</v>
      </c>
      <c r="AH9257">
        <v>30.703896811748301</v>
      </c>
      <c r="AI9257">
        <v>92.062407924494096</v>
      </c>
      <c r="AJ9257">
        <v>84.192600391133098</v>
      </c>
      <c r="AK9257">
        <v>30.882297830051499</v>
      </c>
      <c r="AL9257">
        <v>89.868078073733301</v>
      </c>
      <c r="AM9257">
        <v>89.691688942197004</v>
      </c>
      <c r="AN9257">
        <v>1.00000002842689</v>
      </c>
    </row>
    <row r="9258" spans="1:40" x14ac:dyDescent="0.25">
      <c r="A9258" t="str">
        <f>"20190312154136444"</f>
        <v>20190312154136444</v>
      </c>
      <c r="B9258" t="str">
        <f>"1552376496435610"</f>
        <v>1552376496435610</v>
      </c>
      <c r="C9258" t="s">
        <v>40</v>
      </c>
      <c r="D9258">
        <v>4.1881490000000001</v>
      </c>
      <c r="E9258">
        <v>0.53704890000000005</v>
      </c>
      <c r="F9258" t="s">
        <v>69</v>
      </c>
      <c r="G9258">
        <v>-191.99469999999999</v>
      </c>
      <c r="H9258" s="1">
        <v>-9.3508500000000004E-6</v>
      </c>
      <c r="I9258">
        <v>-65.437419999999904</v>
      </c>
      <c r="J9258">
        <v>-222.90549999999999</v>
      </c>
      <c r="K9258">
        <v>1.1113900000000001</v>
      </c>
      <c r="L9258">
        <v>-62.603029999999997</v>
      </c>
      <c r="M9258">
        <v>0.99983390000000005</v>
      </c>
      <c r="N9258">
        <v>0</v>
      </c>
      <c r="O9258">
        <v>1.132092E-2</v>
      </c>
      <c r="P9258">
        <v>0.99990380000000001</v>
      </c>
      <c r="Q9258">
        <v>-1.2239999999999999E-2</v>
      </c>
      <c r="R9258">
        <v>6.5604770000000003E-3</v>
      </c>
      <c r="S9258">
        <v>3.000305</v>
      </c>
      <c r="T9258">
        <v>-0.10753790000000001</v>
      </c>
      <c r="U9258">
        <v>-0.27404790000000001</v>
      </c>
      <c r="V9258">
        <v>4.7553939999999996E-3</v>
      </c>
      <c r="W9258">
        <v>2.0635749999999998E-3</v>
      </c>
      <c r="X9258">
        <v>0.99998659999999995</v>
      </c>
      <c r="Y9258">
        <v>0.1021584</v>
      </c>
      <c r="Z9258">
        <v>-2.2312930000000001E-3</v>
      </c>
      <c r="AA9258">
        <v>0.99476560000000003</v>
      </c>
      <c r="AB9258">
        <v>20</v>
      </c>
      <c r="AC9258">
        <v>30.910799999999899</v>
      </c>
      <c r="AD9258">
        <v>-1.11139935085</v>
      </c>
      <c r="AE9258">
        <v>-2.83438999999998</v>
      </c>
      <c r="AF9258">
        <v>3.18010586676278</v>
      </c>
      <c r="AG9258">
        <v>-1.11139935085</v>
      </c>
      <c r="AH9258">
        <v>30.837194674757399</v>
      </c>
      <c r="AI9258">
        <v>92.053216774263902</v>
      </c>
      <c r="AJ9258">
        <v>84.112148641406307</v>
      </c>
      <c r="AK9258">
        <v>31.0206521087126</v>
      </c>
      <c r="AL9258">
        <v>89.881765782151305</v>
      </c>
      <c r="AM9258">
        <v>89.727534396679204</v>
      </c>
      <c r="AN9258">
        <v>1.0000000361467101</v>
      </c>
    </row>
    <row r="9259" spans="1:40" x14ac:dyDescent="0.25">
      <c r="A9259" t="str">
        <f>"20190312154136454"</f>
        <v>20190312154136454</v>
      </c>
      <c r="B9259" t="str">
        <f>"1552376496445371"</f>
        <v>1552376496445371</v>
      </c>
      <c r="C9259" t="s">
        <v>40</v>
      </c>
      <c r="D9259">
        <v>4.1675639999999996</v>
      </c>
      <c r="E9259">
        <v>0.53779379999999999</v>
      </c>
      <c r="F9259" t="s">
        <v>69</v>
      </c>
      <c r="G9259">
        <v>-191.4624</v>
      </c>
      <c r="H9259" s="1">
        <v>-9.5879199999999998E-6</v>
      </c>
      <c r="I9259">
        <v>-65.487989999999996</v>
      </c>
      <c r="J9259">
        <v>-222.8109</v>
      </c>
      <c r="K9259">
        <v>1.1113919999999999</v>
      </c>
      <c r="L9259">
        <v>-62.600859999999997</v>
      </c>
      <c r="M9259">
        <v>0.9998224</v>
      </c>
      <c r="N9259">
        <v>0</v>
      </c>
      <c r="O9259">
        <v>1.228372E-2</v>
      </c>
      <c r="P9259">
        <v>0.99988500000000002</v>
      </c>
      <c r="Q9259">
        <v>-1.268063E-2</v>
      </c>
      <c r="R9259">
        <v>8.3099100000000002E-3</v>
      </c>
      <c r="S9259">
        <v>3.0007929999999998</v>
      </c>
      <c r="T9259">
        <v>-0.1060675</v>
      </c>
      <c r="U9259">
        <v>-0.27532960000000001</v>
      </c>
      <c r="V9259">
        <v>3.9699770000000004E-3</v>
      </c>
      <c r="W9259">
        <v>1.619164E-3</v>
      </c>
      <c r="X9259">
        <v>0.99999079999999996</v>
      </c>
      <c r="Y9259">
        <v>0.1035234</v>
      </c>
      <c r="Z9259">
        <v>-2.2584329999999998E-3</v>
      </c>
      <c r="AA9259">
        <v>0.99462439999999996</v>
      </c>
      <c r="AB9259">
        <v>19</v>
      </c>
      <c r="AC9259">
        <v>31.348500000000001</v>
      </c>
      <c r="AD9259">
        <v>-1.1114015879200001</v>
      </c>
      <c r="AE9259">
        <v>-2.8871299999999902</v>
      </c>
      <c r="AF9259">
        <v>3.2679546436840798</v>
      </c>
      <c r="AG9259">
        <v>-1.1114015879200001</v>
      </c>
      <c r="AH9259">
        <v>31.2716905238543</v>
      </c>
      <c r="AI9259">
        <v>92.024430946015997</v>
      </c>
      <c r="AJ9259">
        <v>84.034129858860794</v>
      </c>
      <c r="AK9259">
        <v>31.461617397434001</v>
      </c>
      <c r="AL9259">
        <v>89.907228695112096</v>
      </c>
      <c r="AM9259">
        <v>89.772536175472396</v>
      </c>
      <c r="AN9259">
        <v>0.99999999124703898</v>
      </c>
    </row>
    <row r="9260" spans="1:40" x14ac:dyDescent="0.25">
      <c r="A9260" t="str">
        <f>"20190312154136465"</f>
        <v>20190312154136465</v>
      </c>
      <c r="B9260" t="str">
        <f>"1552376496455131"</f>
        <v>1552376496455131</v>
      </c>
      <c r="C9260" t="s">
        <v>40</v>
      </c>
      <c r="D9260">
        <v>4.1529879999999997</v>
      </c>
      <c r="E9260">
        <v>0.53861169999999903</v>
      </c>
      <c r="F9260" t="s">
        <v>69</v>
      </c>
      <c r="G9260">
        <v>-191.48349999999999</v>
      </c>
      <c r="H9260" s="1">
        <v>-9.5783230000000007E-6</v>
      </c>
      <c r="I9260">
        <v>-65.483350000000002</v>
      </c>
      <c r="J9260">
        <v>-222.71879999999999</v>
      </c>
      <c r="K9260">
        <v>1.1113900000000001</v>
      </c>
      <c r="L9260">
        <v>-62.59863</v>
      </c>
      <c r="M9260">
        <v>0.99981059999999999</v>
      </c>
      <c r="N9260">
        <v>0</v>
      </c>
      <c r="O9260">
        <v>1.3224410000000001E-2</v>
      </c>
      <c r="P9260">
        <v>0.99986249999999999</v>
      </c>
      <c r="Q9260">
        <v>-1.3028609999999999E-2</v>
      </c>
      <c r="R9260">
        <v>1.026619E-2</v>
      </c>
      <c r="S9260">
        <v>3.0012819999999998</v>
      </c>
      <c r="T9260">
        <v>-0.1064765</v>
      </c>
      <c r="U9260">
        <v>-0.276153599999999</v>
      </c>
      <c r="V9260">
        <v>2.9553159999999999E-3</v>
      </c>
      <c r="W9260">
        <v>1.266781E-3</v>
      </c>
      <c r="X9260">
        <v>0.99999479999999996</v>
      </c>
      <c r="Y9260">
        <v>0.1047134</v>
      </c>
      <c r="Z9260">
        <v>-2.3211009999999999E-3</v>
      </c>
      <c r="AA9260">
        <v>0.99449969999999999</v>
      </c>
      <c r="AB9260">
        <v>19</v>
      </c>
      <c r="AC9260">
        <v>31.235299999999899</v>
      </c>
      <c r="AD9260">
        <v>-1.111399578323</v>
      </c>
      <c r="AE9260">
        <v>-2.88471999999999</v>
      </c>
      <c r="AF9260">
        <v>3.2934438344849002</v>
      </c>
      <c r="AG9260">
        <v>-1.111399578323</v>
      </c>
      <c r="AH9260">
        <v>31.155304994034399</v>
      </c>
      <c r="AI9260">
        <v>92.031728468739701</v>
      </c>
      <c r="AJ9260">
        <v>83.965643539006606</v>
      </c>
      <c r="AK9260">
        <v>31.348604603473301</v>
      </c>
      <c r="AL9260">
        <v>89.927418773493997</v>
      </c>
      <c r="AM9260">
        <v>89.8306724785336</v>
      </c>
      <c r="AN9260">
        <v>0.99999996932690005</v>
      </c>
    </row>
    <row r="9261" spans="1:40" x14ac:dyDescent="0.25">
      <c r="A9261" t="str">
        <f>"20190312154136476"</f>
        <v>20190312154136476</v>
      </c>
      <c r="B9261" t="str">
        <f>"1552376496465868"</f>
        <v>1552376496465868</v>
      </c>
      <c r="C9261" t="s">
        <v>40</v>
      </c>
      <c r="D9261">
        <v>4.1962910000000004</v>
      </c>
      <c r="E9261">
        <v>0.53929640000000001</v>
      </c>
      <c r="F9261" t="s">
        <v>69</v>
      </c>
      <c r="G9261">
        <v>-191.7586</v>
      </c>
      <c r="H9261" s="1">
        <v>-9.4554889999999994E-6</v>
      </c>
      <c r="I9261">
        <v>-65.454059999999998</v>
      </c>
      <c r="J9261">
        <v>-222.62260000000001</v>
      </c>
      <c r="K9261">
        <v>1.111381</v>
      </c>
      <c r="L9261">
        <v>-62.596249999999998</v>
      </c>
      <c r="M9261">
        <v>0.99979700000000005</v>
      </c>
      <c r="N9261">
        <v>0</v>
      </c>
      <c r="O9261">
        <v>1.4209599999999999E-2</v>
      </c>
      <c r="P9261">
        <v>0.99983719999999998</v>
      </c>
      <c r="Q9261">
        <v>-1.3411609999999999E-2</v>
      </c>
      <c r="R9261">
        <v>1.2070539999999999E-2</v>
      </c>
      <c r="S9261">
        <v>3.0018310000000001</v>
      </c>
      <c r="T9261">
        <v>-0.1077588</v>
      </c>
      <c r="U9261">
        <v>-0.27685549999999998</v>
      </c>
      <c r="V9261">
        <v>2.1371099999999998E-3</v>
      </c>
      <c r="W9261">
        <v>8.8006649999999896E-4</v>
      </c>
      <c r="X9261">
        <v>0.99999729999999998</v>
      </c>
      <c r="Y9261">
        <v>0.1059041</v>
      </c>
      <c r="Z9261">
        <v>-2.4051950000000002E-3</v>
      </c>
      <c r="AA9261">
        <v>0.99437339999999996</v>
      </c>
      <c r="AB9261">
        <v>19</v>
      </c>
      <c r="AC9261">
        <v>30.864000000000001</v>
      </c>
      <c r="AD9261">
        <v>-1.111390455489</v>
      </c>
      <c r="AE9261">
        <v>-2.8578100000000002</v>
      </c>
      <c r="AF9261">
        <v>3.2918990414261202</v>
      </c>
      <c r="AG9261">
        <v>-1.111390455489</v>
      </c>
      <c r="AH9261">
        <v>30.780697735758299</v>
      </c>
      <c r="AI9261">
        <v>92.056149981033997</v>
      </c>
      <c r="AJ9261">
        <v>83.895598893833593</v>
      </c>
      <c r="AK9261">
        <v>30.976170537101801</v>
      </c>
      <c r="AL9261">
        <v>89.949575895881793</v>
      </c>
      <c r="AM9261">
        <v>89.877552472452393</v>
      </c>
      <c r="AN9261">
        <v>0.99999997088174197</v>
      </c>
    </row>
    <row r="9262" spans="1:40" x14ac:dyDescent="0.25">
      <c r="A9262" t="str">
        <f>"20190312154136488"</f>
        <v>20190312154136488</v>
      </c>
      <c r="B9262" t="str">
        <f>"1552376496475627"</f>
        <v>1552376496475627</v>
      </c>
      <c r="C9262" t="s">
        <v>40</v>
      </c>
      <c r="D9262">
        <v>4.2009610000000004</v>
      </c>
      <c r="E9262">
        <v>0.53995360000000003</v>
      </c>
      <c r="F9262" t="s">
        <v>69</v>
      </c>
      <c r="G9262">
        <v>-191.76329999999999</v>
      </c>
      <c r="H9262" s="1">
        <v>-9.4524630000000002E-6</v>
      </c>
      <c r="I9262">
        <v>-65.443079999999995</v>
      </c>
      <c r="J9262">
        <v>-222.52440000000001</v>
      </c>
      <c r="K9262">
        <v>1.111372</v>
      </c>
      <c r="L9262">
        <v>-62.593690000000002</v>
      </c>
      <c r="M9262">
        <v>0.99978230000000001</v>
      </c>
      <c r="N9262">
        <v>0</v>
      </c>
      <c r="O9262">
        <v>1.521487E-2</v>
      </c>
      <c r="P9262">
        <v>0.99981109999999895</v>
      </c>
      <c r="Q9262">
        <v>-1.352105E-2</v>
      </c>
      <c r="R9262">
        <v>1.396764E-2</v>
      </c>
      <c r="S9262">
        <v>3.0023960000000001</v>
      </c>
      <c r="T9262">
        <v>-0.1081308</v>
      </c>
      <c r="U9262">
        <v>-0.27697749999999999</v>
      </c>
      <c r="V9262">
        <v>1.2454359999999999E-3</v>
      </c>
      <c r="W9262">
        <v>7.6610250000000001E-4</v>
      </c>
      <c r="X9262">
        <v>0.99999890000000002</v>
      </c>
      <c r="Y9262">
        <v>0.10692500000000001</v>
      </c>
      <c r="Z9262">
        <v>-2.467506E-3</v>
      </c>
      <c r="AA9262">
        <v>0.99426400000000004</v>
      </c>
      <c r="AB9262">
        <v>19</v>
      </c>
      <c r="AC9262">
        <v>30.761099999999999</v>
      </c>
      <c r="AD9262">
        <v>-1.1113814524629999</v>
      </c>
      <c r="AE9262">
        <v>-2.8493900000000001</v>
      </c>
      <c r="AF9262">
        <v>3.3128463671084698</v>
      </c>
      <c r="AG9262">
        <v>-1.1113814524629999</v>
      </c>
      <c r="AH9262">
        <v>30.674481178762001</v>
      </c>
      <c r="AI9262">
        <v>92.0630163058308</v>
      </c>
      <c r="AJ9262">
        <v>83.835943126346606</v>
      </c>
      <c r="AK9262">
        <v>30.872866976864501</v>
      </c>
      <c r="AL9262">
        <v>89.956105554421697</v>
      </c>
      <c r="AM9262">
        <v>89.928641731947096</v>
      </c>
      <c r="AN9262">
        <v>0.99999996901253896</v>
      </c>
    </row>
    <row r="9263" spans="1:40" x14ac:dyDescent="0.25">
      <c r="A9263" t="str">
        <f>"20190312154136499"</f>
        <v>20190312154136499</v>
      </c>
      <c r="B9263" t="str">
        <f>"1552376496485387"</f>
        <v>1552376496485387</v>
      </c>
      <c r="C9263" t="s">
        <v>40</v>
      </c>
      <c r="D9263">
        <v>4.1634669999999998</v>
      </c>
      <c r="E9263">
        <v>0.54054340000000001</v>
      </c>
      <c r="F9263" t="s">
        <v>69</v>
      </c>
      <c r="G9263">
        <v>-191.86920000000001</v>
      </c>
      <c r="H9263" s="1">
        <v>-9.4038899999999992E-6</v>
      </c>
      <c r="I9263">
        <v>-65.416809999999998</v>
      </c>
      <c r="J9263">
        <v>-222.43049999999999</v>
      </c>
      <c r="K9263">
        <v>1.111364</v>
      </c>
      <c r="L9263">
        <v>-62.591189999999997</v>
      </c>
      <c r="M9263">
        <v>0.99976719999999997</v>
      </c>
      <c r="N9263">
        <v>0</v>
      </c>
      <c r="O9263">
        <v>1.6176449999999998E-2</v>
      </c>
      <c r="P9263">
        <v>0.9997798</v>
      </c>
      <c r="Q9263">
        <v>-1.377811E-2</v>
      </c>
      <c r="R9263">
        <v>1.5833219999999999E-2</v>
      </c>
      <c r="S9263">
        <v>3.0029599999999999</v>
      </c>
      <c r="T9263">
        <v>-0.10886999999999999</v>
      </c>
      <c r="U9263">
        <v>-0.27655030000000003</v>
      </c>
      <c r="V9263">
        <v>3.4197999999999997E-4</v>
      </c>
      <c r="W9263">
        <v>5.043189E-4</v>
      </c>
      <c r="X9263">
        <v>0.99999979999999999</v>
      </c>
      <c r="Y9263">
        <v>0.1077217</v>
      </c>
      <c r="Z9263">
        <v>-2.5331110000000002E-3</v>
      </c>
      <c r="AA9263">
        <v>0.99417789999999995</v>
      </c>
      <c r="AB9263">
        <v>19</v>
      </c>
      <c r="AC9263">
        <v>30.5612999999999</v>
      </c>
      <c r="AD9263">
        <v>-1.1113734038900001</v>
      </c>
      <c r="AE9263">
        <v>-2.82561999999999</v>
      </c>
      <c r="AF9263">
        <v>3.3153267790748302</v>
      </c>
      <c r="AG9263">
        <v>-1.1113734038900001</v>
      </c>
      <c r="AH9263">
        <v>30.4716317739096</v>
      </c>
      <c r="AI9263">
        <v>92.076544858692102</v>
      </c>
      <c r="AJ9263">
        <v>83.790618678652706</v>
      </c>
      <c r="AK9263">
        <v>30.671597373786501</v>
      </c>
      <c r="AL9263">
        <v>89.971104653861602</v>
      </c>
      <c r="AM9263">
        <v>89.980405986167099</v>
      </c>
      <c r="AN9263">
        <v>0.99999998564395598</v>
      </c>
    </row>
    <row r="9264" spans="1:40" x14ac:dyDescent="0.25">
      <c r="A9264" t="str">
        <f>"20190312154136511"</f>
        <v>20190312154136511</v>
      </c>
      <c r="B9264" t="str">
        <f>"1552376496504907"</f>
        <v>1552376496504907</v>
      </c>
      <c r="C9264" t="s">
        <v>40</v>
      </c>
      <c r="D9264">
        <v>4.2191489999999998</v>
      </c>
      <c r="E9264">
        <v>0.54158090000000003</v>
      </c>
      <c r="F9264" t="s">
        <v>69</v>
      </c>
      <c r="G9264">
        <v>-191.9666</v>
      </c>
      <c r="H9264" s="1">
        <v>-9.3587500000000008E-6</v>
      </c>
      <c r="I9264">
        <v>-65.387479999999996</v>
      </c>
      <c r="J9264">
        <v>-222.327</v>
      </c>
      <c r="K9264">
        <v>1.1113550000000001</v>
      </c>
      <c r="L9264">
        <v>-62.588259999999998</v>
      </c>
      <c r="M9264">
        <v>0.99974960000000002</v>
      </c>
      <c r="N9264">
        <v>0</v>
      </c>
      <c r="O9264">
        <v>1.7232750000000002E-2</v>
      </c>
      <c r="P9264">
        <v>0.99975179999999997</v>
      </c>
      <c r="Q9264">
        <v>-1.369502E-2</v>
      </c>
      <c r="R9264">
        <v>1.7580019999999998E-2</v>
      </c>
      <c r="S9264">
        <v>3.0035400000000001</v>
      </c>
      <c r="T9264">
        <v>-0.10957409999999999</v>
      </c>
      <c r="U9264">
        <v>-0.27569579999999999</v>
      </c>
      <c r="V9264">
        <v>-3.4886990000000001E-4</v>
      </c>
      <c r="W9264">
        <v>5.8347379999999999E-4</v>
      </c>
      <c r="X9264">
        <v>0.99999979999999999</v>
      </c>
      <c r="Y9264">
        <v>0.10847179999999999</v>
      </c>
      <c r="Z9264">
        <v>-2.6011300000000001E-3</v>
      </c>
      <c r="AA9264">
        <v>0.99409610000000004</v>
      </c>
      <c r="AB9264">
        <v>19</v>
      </c>
      <c r="AC9264">
        <v>30.360399999999998</v>
      </c>
      <c r="AD9264">
        <v>-1.1113643587499999</v>
      </c>
      <c r="AE9264">
        <v>-2.7992200000000098</v>
      </c>
      <c r="AF9264">
        <v>3.31764264342495</v>
      </c>
      <c r="AG9264">
        <v>-1.1113643587499999</v>
      </c>
      <c r="AH9264">
        <v>30.267431691027099</v>
      </c>
      <c r="AI9264">
        <v>92.090342246476993</v>
      </c>
      <c r="AJ9264">
        <v>83.744725555523303</v>
      </c>
      <c r="AK9264">
        <v>30.468989228695499</v>
      </c>
      <c r="AL9264">
        <v>89.966569412945503</v>
      </c>
      <c r="AM9264">
        <v>90.019988776055897</v>
      </c>
      <c r="AN9264">
        <v>1.00000003107596</v>
      </c>
    </row>
    <row r="9265" spans="1:40" x14ac:dyDescent="0.25">
      <c r="A9265" t="str">
        <f>"20190312154136522"</f>
        <v>20190312154136522</v>
      </c>
      <c r="B9265" t="str">
        <f>"1552376496515175"</f>
        <v>1552376496515175</v>
      </c>
      <c r="C9265" t="s">
        <v>40</v>
      </c>
      <c r="D9265">
        <v>4.1870190000000003</v>
      </c>
      <c r="E9265">
        <v>0.54192600000000002</v>
      </c>
      <c r="F9265" t="s">
        <v>69</v>
      </c>
      <c r="G9265">
        <v>-192.73599999999999</v>
      </c>
      <c r="H9265" s="1">
        <v>-9.0176580000000002E-6</v>
      </c>
      <c r="I9265">
        <v>-65.333399999999997</v>
      </c>
      <c r="J9265">
        <v>-222.2243</v>
      </c>
      <c r="K9265">
        <v>1.1113459999999999</v>
      </c>
      <c r="L9265">
        <v>-62.585270000000001</v>
      </c>
      <c r="M9265">
        <v>0.99973109999999998</v>
      </c>
      <c r="N9265">
        <v>0</v>
      </c>
      <c r="O9265">
        <v>1.8278490000000001E-2</v>
      </c>
      <c r="P9265">
        <v>0.99971589999999999</v>
      </c>
      <c r="Q9265">
        <v>-1.392768E-2</v>
      </c>
      <c r="R9265">
        <v>1.9354260000000002E-2</v>
      </c>
      <c r="S9265">
        <v>3.0040740000000001</v>
      </c>
      <c r="T9265">
        <v>-0.1128256</v>
      </c>
      <c r="U9265">
        <v>-0.2786865</v>
      </c>
      <c r="V9265">
        <v>-1.077E-3</v>
      </c>
      <c r="W9265">
        <v>3.464858E-4</v>
      </c>
      <c r="X9265">
        <v>0.99999930000000004</v>
      </c>
      <c r="Y9265">
        <v>0.1104696</v>
      </c>
      <c r="Z9265">
        <v>-2.754285E-3</v>
      </c>
      <c r="AA9265">
        <v>0.99387570000000003</v>
      </c>
      <c r="AB9265">
        <v>19</v>
      </c>
      <c r="AC9265">
        <v>29.488299999999999</v>
      </c>
      <c r="AD9265">
        <v>-1.111355017658</v>
      </c>
      <c r="AE9265">
        <v>-2.7481300000000002</v>
      </c>
      <c r="AF9265">
        <v>3.28210555635741</v>
      </c>
      <c r="AG9265">
        <v>-1.111355017658</v>
      </c>
      <c r="AH9265">
        <v>29.391747591016099</v>
      </c>
      <c r="AI9265">
        <v>92.152061756961004</v>
      </c>
      <c r="AJ9265">
        <v>83.628315238329407</v>
      </c>
      <c r="AK9265">
        <v>29.595306271642901</v>
      </c>
      <c r="AL9265">
        <v>89.980147824410196</v>
      </c>
      <c r="AM9265">
        <v>90.061707573871999</v>
      </c>
      <c r="AN9265">
        <v>0.99999993999094805</v>
      </c>
    </row>
    <row r="9266" spans="1:40" x14ac:dyDescent="0.25">
      <c r="A9266" t="str">
        <f>"20190312154136533"</f>
        <v>20190312154136533</v>
      </c>
      <c r="B9266" t="str">
        <f>"1552376496524935"</f>
        <v>1552376496524935</v>
      </c>
      <c r="C9266" t="s">
        <v>40</v>
      </c>
      <c r="D9266">
        <v>4.3345449999999897</v>
      </c>
      <c r="E9266">
        <v>0.54192600000000002</v>
      </c>
      <c r="F9266" t="s">
        <v>69</v>
      </c>
      <c r="G9266">
        <v>-193.0635</v>
      </c>
      <c r="H9266" s="1">
        <v>-8.8685659999999903E-6</v>
      </c>
      <c r="I9266">
        <v>-65.26576</v>
      </c>
      <c r="J9266">
        <v>-222.13069999999999</v>
      </c>
      <c r="K9266">
        <v>1.1113360000000001</v>
      </c>
      <c r="L9266">
        <v>-62.582459999999998</v>
      </c>
      <c r="M9266">
        <v>0.99971330000000003</v>
      </c>
      <c r="N9266">
        <v>0</v>
      </c>
      <c r="O9266">
        <v>1.9228809999999999E-2</v>
      </c>
      <c r="P9266">
        <v>0.99968869999999999</v>
      </c>
      <c r="Q9266">
        <v>-1.380904E-2</v>
      </c>
      <c r="R9266">
        <v>2.0788359999999999E-2</v>
      </c>
      <c r="S9266">
        <v>3.004578</v>
      </c>
      <c r="T9266">
        <v>-0.11450829999999999</v>
      </c>
      <c r="U9266">
        <v>-0.27618409999999999</v>
      </c>
      <c r="V9266">
        <v>-1.560989E-3</v>
      </c>
      <c r="W9266">
        <v>4.6188030000000001E-4</v>
      </c>
      <c r="X9266">
        <v>0.99999870000000002</v>
      </c>
      <c r="Y9266">
        <v>0.1105748</v>
      </c>
      <c r="Z9266">
        <v>-2.8331160000000001E-3</v>
      </c>
      <c r="AA9266">
        <v>0.99386379999999996</v>
      </c>
      <c r="AB9266">
        <v>19</v>
      </c>
      <c r="AC9266">
        <v>29.0671999999999</v>
      </c>
      <c r="AD9266">
        <v>-1.1113448685659999</v>
      </c>
      <c r="AE9266">
        <v>-2.6833</v>
      </c>
      <c r="AF9266">
        <v>3.2370963081178301</v>
      </c>
      <c r="AG9266">
        <v>-1.1113448685659999</v>
      </c>
      <c r="AH9266">
        <v>28.968234458699399</v>
      </c>
      <c r="AI9266">
        <v>92.183455591058305</v>
      </c>
      <c r="AJ9266">
        <v>83.623854520646802</v>
      </c>
      <c r="AK9266">
        <v>29.1697186750078</v>
      </c>
      <c r="AL9266">
        <v>89.973536207890703</v>
      </c>
      <c r="AM9266">
        <v>90.089438125191606</v>
      </c>
      <c r="AN9266">
        <v>1.00000002501087</v>
      </c>
    </row>
    <row r="9267" spans="1:40" x14ac:dyDescent="0.25">
      <c r="A9267" t="str">
        <f>"20190312154136544"</f>
        <v>20190312154136544</v>
      </c>
      <c r="B9267" t="str">
        <f>"1552376496535671"</f>
        <v>1552376496535671</v>
      </c>
      <c r="C9267" t="s">
        <v>40</v>
      </c>
      <c r="D9267">
        <v>4.1656709999999997</v>
      </c>
      <c r="E9267">
        <v>0.56472709999999904</v>
      </c>
      <c r="F9267" t="s">
        <v>69</v>
      </c>
      <c r="G9267">
        <v>-192.89</v>
      </c>
      <c r="H9267" s="1">
        <v>-8.9410680000000006E-6</v>
      </c>
      <c r="I9267">
        <v>-65.227419999999995</v>
      </c>
      <c r="J9267">
        <v>-222.0395</v>
      </c>
      <c r="K9267">
        <v>1.1113249999999999</v>
      </c>
      <c r="L9267">
        <v>-62.579619999999998</v>
      </c>
      <c r="M9267">
        <v>0.99969520000000001</v>
      </c>
      <c r="N9267">
        <v>0</v>
      </c>
      <c r="O9267">
        <v>2.01497E-2</v>
      </c>
      <c r="P9267">
        <v>0.99966080000000002</v>
      </c>
      <c r="Q9267">
        <v>-1.382657E-2</v>
      </c>
      <c r="R9267">
        <v>2.2073220000000001E-2</v>
      </c>
      <c r="S9267">
        <v>3.0050349999999999</v>
      </c>
      <c r="T9267">
        <v>-0.1142116</v>
      </c>
      <c r="U9267">
        <v>-0.27182009999999901</v>
      </c>
      <c r="V9267">
        <v>-1.924816E-3</v>
      </c>
      <c r="W9267">
        <v>4.4089949999999998E-4</v>
      </c>
      <c r="X9267">
        <v>0.99999800000000005</v>
      </c>
      <c r="Y9267">
        <v>0.1100453</v>
      </c>
      <c r="Z9267">
        <v>-2.8504250000000002E-3</v>
      </c>
      <c r="AA9267">
        <v>0.99392250000000004</v>
      </c>
      <c r="AB9267">
        <v>19</v>
      </c>
      <c r="AC9267">
        <v>29.1495</v>
      </c>
      <c r="AD9267">
        <v>-1.1113339410680001</v>
      </c>
      <c r="AE9267">
        <v>-2.6477999999999899</v>
      </c>
      <c r="AF9267">
        <v>3.2300192300031201</v>
      </c>
      <c r="AG9267">
        <v>-1.1113339410680001</v>
      </c>
      <c r="AH9267">
        <v>29.048345493754798</v>
      </c>
      <c r="AI9267">
        <v>92.177550525964307</v>
      </c>
      <c r="AJ9267">
        <v>83.655082931940896</v>
      </c>
      <c r="AK9267">
        <v>29.248495060076198</v>
      </c>
      <c r="AL9267">
        <v>89.974738317370296</v>
      </c>
      <c r="AM9267">
        <v>90.110283917509307</v>
      </c>
      <c r="AN9267">
        <v>0.99999994965649996</v>
      </c>
    </row>
    <row r="9268" spans="1:40" x14ac:dyDescent="0.25">
      <c r="A9268" t="str">
        <f>"20190312154136555"</f>
        <v>20190312154136555</v>
      </c>
      <c r="B9268" t="str">
        <f>"1552376496545431"</f>
        <v>1552376496545431</v>
      </c>
      <c r="C9268" t="s">
        <v>40</v>
      </c>
      <c r="D9268">
        <v>4.2883259999999996</v>
      </c>
      <c r="E9268">
        <v>0.56830559999999997</v>
      </c>
      <c r="F9268" t="s">
        <v>69</v>
      </c>
      <c r="G9268">
        <v>-200.94569999999999</v>
      </c>
      <c r="H9268" s="1">
        <v>-5.5312639999999997E-6</v>
      </c>
      <c r="I9268">
        <v>-65.732209999999995</v>
      </c>
      <c r="J9268">
        <v>-221.9469</v>
      </c>
      <c r="K9268">
        <v>1.1113150000000001</v>
      </c>
      <c r="L9268">
        <v>-62.576720000000002</v>
      </c>
      <c r="M9268">
        <v>0.99967600000000001</v>
      </c>
      <c r="N9268">
        <v>0</v>
      </c>
      <c r="O9268">
        <v>2.1081969999999998E-2</v>
      </c>
      <c r="P9268">
        <v>0.99963780000000002</v>
      </c>
      <c r="Q9268">
        <v>-1.3557970000000001E-2</v>
      </c>
      <c r="R9268">
        <v>2.32523E-2</v>
      </c>
      <c r="S9268">
        <v>3.008759</v>
      </c>
      <c r="T9268">
        <v>-0.15851709999999999</v>
      </c>
      <c r="U9268">
        <v>-0.44967649999999998</v>
      </c>
      <c r="V9268">
        <v>-2.1727700000000001E-3</v>
      </c>
      <c r="W9268">
        <v>7.0697459999999996E-4</v>
      </c>
      <c r="X9268">
        <v>0.99999740000000004</v>
      </c>
      <c r="Y9268">
        <v>0.16837650000000001</v>
      </c>
      <c r="Z9268">
        <v>-5.5122790000000001E-3</v>
      </c>
      <c r="AA9268">
        <v>0.98570729999999995</v>
      </c>
      <c r="AB9268">
        <v>19</v>
      </c>
      <c r="AC9268">
        <v>21.001200000000001</v>
      </c>
      <c r="AD9268">
        <v>-1.111320531264</v>
      </c>
      <c r="AE9268">
        <v>-3.1554899999999999</v>
      </c>
      <c r="AF9268">
        <v>3.5877555992308601</v>
      </c>
      <c r="AG9268">
        <v>-1.111320531264</v>
      </c>
      <c r="AH9268">
        <v>20.8728429011136</v>
      </c>
      <c r="AI9268">
        <v>93.003721056443695</v>
      </c>
      <c r="AJ9268">
        <v>80.246946561200602</v>
      </c>
      <c r="AK9268">
        <v>21.208078515923798</v>
      </c>
      <c r="AL9268">
        <v>89.959493336243</v>
      </c>
      <c r="AM9268">
        <v>90.124490678624198</v>
      </c>
      <c r="AN9268">
        <v>1.00000001037465</v>
      </c>
    </row>
    <row r="9269" spans="1:40" x14ac:dyDescent="0.25">
      <c r="A9269" t="str">
        <f>"20190312154136565"</f>
        <v>20190312154136565</v>
      </c>
      <c r="B9269" t="str">
        <f>"1552376496555191"</f>
        <v>1552376496555191</v>
      </c>
      <c r="C9269" t="s">
        <v>40</v>
      </c>
      <c r="D9269">
        <v>4.261825</v>
      </c>
      <c r="E9269">
        <v>0.57041699999999995</v>
      </c>
      <c r="F9269" t="s">
        <v>69</v>
      </c>
      <c r="G9269">
        <v>-200.48259999999999</v>
      </c>
      <c r="H9269" s="1">
        <v>-5.7805489999999998E-6</v>
      </c>
      <c r="I9269">
        <v>-65.96181</v>
      </c>
      <c r="J9269">
        <v>-221.85480000000001</v>
      </c>
      <c r="K9269">
        <v>1.1113059999999999</v>
      </c>
      <c r="L9269">
        <v>-62.5736699999999</v>
      </c>
      <c r="M9269">
        <v>0.99965619999999999</v>
      </c>
      <c r="N9269">
        <v>0</v>
      </c>
      <c r="O9269">
        <v>2.200125E-2</v>
      </c>
      <c r="P9269">
        <v>0.99960959999999999</v>
      </c>
      <c r="Q9269">
        <v>-1.3704610000000001E-2</v>
      </c>
      <c r="R9269">
        <v>2.4355169999999999E-2</v>
      </c>
      <c r="S9269">
        <v>3.009995</v>
      </c>
      <c r="T9269">
        <v>-0.1558435</v>
      </c>
      <c r="U9269">
        <v>-0.47470089999999998</v>
      </c>
      <c r="V9269">
        <v>-2.3558749999999999E-3</v>
      </c>
      <c r="W9269">
        <v>5.5724780000000003E-4</v>
      </c>
      <c r="X9269">
        <v>0.99999709999999997</v>
      </c>
      <c r="Y9269">
        <v>0.1772194</v>
      </c>
      <c r="Z9269">
        <v>-5.6885420000000004E-3</v>
      </c>
      <c r="AA9269">
        <v>0.98415490000000005</v>
      </c>
      <c r="AB9269">
        <v>19</v>
      </c>
      <c r="AC9269">
        <v>21.372199999999999</v>
      </c>
      <c r="AD9269">
        <v>-1.11131178054899</v>
      </c>
      <c r="AE9269">
        <v>-3.3881399999999999</v>
      </c>
      <c r="AF9269">
        <v>3.8474350229078</v>
      </c>
      <c r="AG9269">
        <v>-1.11131178054899</v>
      </c>
      <c r="AH9269">
        <v>21.236463437178902</v>
      </c>
      <c r="AI9269">
        <v>92.947677811932707</v>
      </c>
      <c r="AJ9269">
        <v>79.731042137310197</v>
      </c>
      <c r="AK9269">
        <v>21.610764665965</v>
      </c>
      <c r="AL9269">
        <v>89.968072052233296</v>
      </c>
      <c r="AM9269">
        <v>90.134981836284297</v>
      </c>
      <c r="AN9269">
        <v>1.0000000303402601</v>
      </c>
    </row>
    <row r="9270" spans="1:40" x14ac:dyDescent="0.25">
      <c r="A9270" t="str">
        <f>"20190312154136577"</f>
        <v>20190312154136577</v>
      </c>
      <c r="B9270" t="str">
        <f>"1552376496564952"</f>
        <v>1552376496564952</v>
      </c>
      <c r="C9270" t="s">
        <v>40</v>
      </c>
      <c r="D9270">
        <v>4.2979659999999997</v>
      </c>
      <c r="E9270">
        <v>0.57156379999999996</v>
      </c>
      <c r="F9270" t="s">
        <v>69</v>
      </c>
      <c r="G9270">
        <v>-200.14599999999999</v>
      </c>
      <c r="H9270" s="1">
        <v>-5.9597449999999996E-6</v>
      </c>
      <c r="I9270">
        <v>-66.094139999999996</v>
      </c>
      <c r="J9270">
        <v>-221.7577</v>
      </c>
      <c r="K9270">
        <v>1.111294</v>
      </c>
      <c r="L9270">
        <v>-62.570469999999901</v>
      </c>
      <c r="M9270">
        <v>0.99963449999999998</v>
      </c>
      <c r="N9270">
        <v>0</v>
      </c>
      <c r="O9270">
        <v>2.296749E-2</v>
      </c>
      <c r="P9270">
        <v>0.99958530000000001</v>
      </c>
      <c r="Q9270">
        <v>-1.3687950000000001E-2</v>
      </c>
      <c r="R9270">
        <v>2.5339690000000002E-2</v>
      </c>
      <c r="S9270">
        <v>3.0109560000000002</v>
      </c>
      <c r="T9270">
        <v>-0.15413640000000001</v>
      </c>
      <c r="U9270">
        <v>-0.48828129999999997</v>
      </c>
      <c r="V9270">
        <v>-2.3739949999999998E-3</v>
      </c>
      <c r="W9270">
        <v>5.715529E-4</v>
      </c>
      <c r="X9270">
        <v>0.99999700000000002</v>
      </c>
      <c r="Y9270">
        <v>0.182446</v>
      </c>
      <c r="Z9270">
        <v>-5.8045419999999898E-3</v>
      </c>
      <c r="AA9270">
        <v>0.98319880000000004</v>
      </c>
      <c r="AB9270">
        <v>19</v>
      </c>
      <c r="AC9270">
        <v>21.611699999999999</v>
      </c>
      <c r="AD9270">
        <v>-1.111299959745</v>
      </c>
      <c r="AE9270">
        <v>-3.5236700000000001</v>
      </c>
      <c r="AF9270">
        <v>4.0088318592450003</v>
      </c>
      <c r="AG9270">
        <v>-1.111299959745</v>
      </c>
      <c r="AH9270">
        <v>21.469760808676799</v>
      </c>
      <c r="AI9270">
        <v>92.912799872459402</v>
      </c>
      <c r="AJ9270">
        <v>79.423528571896895</v>
      </c>
      <c r="AK9270">
        <v>21.869072903486799</v>
      </c>
      <c r="AL9270">
        <v>89.967252428665105</v>
      </c>
      <c r="AM9270">
        <v>90.1360200466153</v>
      </c>
      <c r="AN9270">
        <v>0.99999998126698797</v>
      </c>
    </row>
    <row r="9271" spans="1:40" x14ac:dyDescent="0.25">
      <c r="A9271" t="str">
        <f>"20190312154136588"</f>
        <v>20190312154136588</v>
      </c>
      <c r="B9271" t="str">
        <f>"1552376496575687"</f>
        <v>1552376496575687</v>
      </c>
      <c r="C9271" t="s">
        <v>40</v>
      </c>
      <c r="D9271">
        <v>4.2939819999999997</v>
      </c>
      <c r="E9271">
        <v>0.57278219999999902</v>
      </c>
      <c r="F9271" t="s">
        <v>69</v>
      </c>
      <c r="G9271">
        <v>-199.70920000000001</v>
      </c>
      <c r="H9271" s="1">
        <v>-6.1624910000000003E-6</v>
      </c>
      <c r="I9271">
        <v>-66.190489999999997</v>
      </c>
      <c r="J9271">
        <v>-221.66409999999999</v>
      </c>
      <c r="K9271">
        <v>1.1112820000000001</v>
      </c>
      <c r="L9271">
        <v>-62.5672</v>
      </c>
      <c r="M9271">
        <v>0.99961299999999997</v>
      </c>
      <c r="N9271">
        <v>0</v>
      </c>
      <c r="O9271">
        <v>2.3885739999999999E-2</v>
      </c>
      <c r="P9271">
        <v>0.99956880000000004</v>
      </c>
      <c r="Q9271">
        <v>-1.3562070000000001E-2</v>
      </c>
      <c r="R9271">
        <v>2.6046119999999999E-2</v>
      </c>
      <c r="S9271">
        <v>3.0117029999999998</v>
      </c>
      <c r="T9271">
        <v>-0.1517976</v>
      </c>
      <c r="U9271">
        <v>-0.49447629999999998</v>
      </c>
      <c r="V9271">
        <v>-2.1627560000000001E-3</v>
      </c>
      <c r="W9271">
        <v>6.9505369999999997E-4</v>
      </c>
      <c r="X9271">
        <v>0.99999740000000004</v>
      </c>
      <c r="Y9271">
        <v>0.18528330000000001</v>
      </c>
      <c r="Z9271">
        <v>-5.8312140000000004E-3</v>
      </c>
      <c r="AA9271">
        <v>0.98266790000000004</v>
      </c>
      <c r="AB9271">
        <v>19</v>
      </c>
      <c r="AC9271">
        <v>21.954899999999899</v>
      </c>
      <c r="AD9271">
        <v>-1.1112881624909901</v>
      </c>
      <c r="AE9271">
        <v>-3.6232899999999901</v>
      </c>
      <c r="AF9271">
        <v>4.1364016497614999</v>
      </c>
      <c r="AG9271">
        <v>-1.1112881624909901</v>
      </c>
      <c r="AH9271">
        <v>21.8076897657389</v>
      </c>
      <c r="AI9271">
        <v>92.866171087436996</v>
      </c>
      <c r="AJ9271">
        <v>79.259935062313801</v>
      </c>
      <c r="AK9271">
        <v>22.2243135531102</v>
      </c>
      <c r="AL9271">
        <v>89.960176352464401</v>
      </c>
      <c r="AM9271">
        <v>90.123916919892594</v>
      </c>
      <c r="AN9271">
        <v>0.99999998030995996</v>
      </c>
    </row>
    <row r="9272" spans="1:40" x14ac:dyDescent="0.25">
      <c r="A9272" t="str">
        <f>"20190312154136601"</f>
        <v>20190312154136601</v>
      </c>
      <c r="B9272" t="str">
        <f>"1552376496595207"</f>
        <v>1552376496595207</v>
      </c>
      <c r="C9272" t="s">
        <v>40</v>
      </c>
      <c r="D9272">
        <v>4.2821059999999997</v>
      </c>
      <c r="E9272">
        <v>0.57529439999999998</v>
      </c>
      <c r="F9272" t="s">
        <v>69</v>
      </c>
      <c r="G9272">
        <v>-198.87379999999999</v>
      </c>
      <c r="H9272" s="1">
        <v>-6.5129370000000003E-6</v>
      </c>
      <c r="I9272">
        <v>-66.365669999999994</v>
      </c>
      <c r="J9272">
        <v>-221.56030000000001</v>
      </c>
      <c r="K9272">
        <v>1.11127</v>
      </c>
      <c r="L9272">
        <v>-62.563540000000003</v>
      </c>
      <c r="M9272">
        <v>0.99958829999999999</v>
      </c>
      <c r="N9272">
        <v>0</v>
      </c>
      <c r="O9272">
        <v>2.49004E-2</v>
      </c>
      <c r="P9272">
        <v>0.99955210000000005</v>
      </c>
      <c r="Q9272">
        <v>-1.3262940000000001E-2</v>
      </c>
      <c r="R9272">
        <v>2.6825160000000001E-2</v>
      </c>
      <c r="S9272">
        <v>3.0123899999999999</v>
      </c>
      <c r="T9272">
        <v>-0.146888299999999</v>
      </c>
      <c r="U9272">
        <v>-0.50207520000000005</v>
      </c>
      <c r="V9272">
        <v>-1.9271990000000001E-3</v>
      </c>
      <c r="W9272">
        <v>9.9212330000000002E-4</v>
      </c>
      <c r="X9272">
        <v>0.99999769999999999</v>
      </c>
      <c r="Y9272">
        <v>0.18866820000000001</v>
      </c>
      <c r="Z9272">
        <v>-5.7715029999999999E-3</v>
      </c>
      <c r="AA9272">
        <v>0.98202400000000001</v>
      </c>
      <c r="AB9272">
        <v>19</v>
      </c>
      <c r="AC9272">
        <v>22.686499999999999</v>
      </c>
      <c r="AD9272">
        <v>-1.1112765129369999</v>
      </c>
      <c r="AE9272">
        <v>-3.8021299999999898</v>
      </c>
      <c r="AF9272">
        <v>4.3557453890460902</v>
      </c>
      <c r="AG9272">
        <v>-1.1112765129369999</v>
      </c>
      <c r="AH9272">
        <v>22.532192651218899</v>
      </c>
      <c r="AI9272">
        <v>92.772269596425204</v>
      </c>
      <c r="AJ9272">
        <v>79.058987561913199</v>
      </c>
      <c r="AK9272">
        <v>22.976230305558101</v>
      </c>
      <c r="AL9272">
        <v>89.943155515624994</v>
      </c>
      <c r="AM9272">
        <v>90.110420486244607</v>
      </c>
      <c r="AN9272">
        <v>1.0000000492049499</v>
      </c>
    </row>
    <row r="9273" spans="1:40" x14ac:dyDescent="0.25">
      <c r="A9273" t="str">
        <f>"20190312154136611"</f>
        <v>20190312154136611</v>
      </c>
      <c r="B9273" t="str">
        <f>"1552376496604968"</f>
        <v>1552376496604968</v>
      </c>
      <c r="C9273" t="s">
        <v>40</v>
      </c>
      <c r="D9273">
        <v>4.2982430000000003</v>
      </c>
      <c r="E9273">
        <v>0.57665200000000005</v>
      </c>
      <c r="F9273" t="s">
        <v>69</v>
      </c>
      <c r="G9273">
        <v>-197.2672</v>
      </c>
      <c r="H9273" s="1">
        <v>-7.1898189999999996E-6</v>
      </c>
      <c r="I9273">
        <v>-66.753749999999997</v>
      </c>
      <c r="J9273">
        <v>-221.46700000000001</v>
      </c>
      <c r="K9273">
        <v>1.111264</v>
      </c>
      <c r="L9273">
        <v>-62.560180000000003</v>
      </c>
      <c r="M9273">
        <v>0.99956540000000005</v>
      </c>
      <c r="N9273">
        <v>0</v>
      </c>
      <c r="O9273">
        <v>2.5802120000000001E-2</v>
      </c>
      <c r="P9273">
        <v>0.99953239999999999</v>
      </c>
      <c r="Q9273">
        <v>-1.2986350000000001E-2</v>
      </c>
      <c r="R9273">
        <v>2.7686180000000001E-2</v>
      </c>
      <c r="S9273">
        <v>3.0134430000000001</v>
      </c>
      <c r="T9273">
        <v>-0.13784869999999999</v>
      </c>
      <c r="U9273">
        <v>-0.5197754</v>
      </c>
      <c r="V9273">
        <v>-1.8871440000000001E-3</v>
      </c>
      <c r="W9273">
        <v>1.266781E-3</v>
      </c>
      <c r="X9273">
        <v>0.99999740000000004</v>
      </c>
      <c r="Y9273">
        <v>0.19512360000000001</v>
      </c>
      <c r="Z9273">
        <v>-5.5996750000000001E-3</v>
      </c>
      <c r="AA9273">
        <v>0.98076269999999999</v>
      </c>
      <c r="AB9273">
        <v>19</v>
      </c>
      <c r="AC9273">
        <v>24.1998</v>
      </c>
      <c r="AD9273">
        <v>-1.111271189819</v>
      </c>
      <c r="AE9273">
        <v>-4.1935699999999896</v>
      </c>
      <c r="AF9273">
        <v>4.8068025238330003</v>
      </c>
      <c r="AG9273">
        <v>-1.111271189819</v>
      </c>
      <c r="AH9273">
        <v>24.0343236942849</v>
      </c>
      <c r="AI9273">
        <v>92.5959541109425</v>
      </c>
      <c r="AJ9273">
        <v>78.690210136930801</v>
      </c>
      <c r="AK9273">
        <v>24.535463916586401</v>
      </c>
      <c r="AL9273">
        <v>89.927418774488402</v>
      </c>
      <c r="AM9273">
        <v>90.108125539303302</v>
      </c>
      <c r="AN9273">
        <v>0.99999998302666904</v>
      </c>
    </row>
    <row r="9274" spans="1:40" x14ac:dyDescent="0.25">
      <c r="A9274" t="str">
        <f>"20190312154136623"</f>
        <v>20190312154136623</v>
      </c>
      <c r="B9274" t="str">
        <f>"1552376496615236"</f>
        <v>1552376496615236</v>
      </c>
      <c r="C9274" t="s">
        <v>40</v>
      </c>
      <c r="D9274">
        <v>4.275614</v>
      </c>
      <c r="E9274">
        <v>0.57758149999999997</v>
      </c>
      <c r="F9274" t="s">
        <v>69</v>
      </c>
      <c r="G9274">
        <v>-196.578</v>
      </c>
      <c r="H9274" s="1">
        <v>-7.4802040000000001E-6</v>
      </c>
      <c r="I9274">
        <v>-66.920259999999999</v>
      </c>
      <c r="J9274">
        <v>-221.37530000000001</v>
      </c>
      <c r="K9274">
        <v>1.111253</v>
      </c>
      <c r="L9274">
        <v>-62.556759999999997</v>
      </c>
      <c r="M9274">
        <v>0.99954240000000005</v>
      </c>
      <c r="N9274">
        <v>0</v>
      </c>
      <c r="O9274">
        <v>2.6682620000000001E-2</v>
      </c>
      <c r="P9274">
        <v>0.99951719999999999</v>
      </c>
      <c r="Q9274">
        <v>-1.2468119999999999E-2</v>
      </c>
      <c r="R9274">
        <v>2.8466370000000001E-2</v>
      </c>
      <c r="S9274">
        <v>3.014297</v>
      </c>
      <c r="T9274">
        <v>-0.13458539999999999</v>
      </c>
      <c r="U9274">
        <v>-0.52804569999999995</v>
      </c>
      <c r="V9274">
        <v>-1.787961E-3</v>
      </c>
      <c r="W9274">
        <v>1.7822420000000001E-3</v>
      </c>
      <c r="X9274">
        <v>0.99999680000000002</v>
      </c>
      <c r="Y9274">
        <v>0.19855829999999999</v>
      </c>
      <c r="Z9274">
        <v>-5.5795530000000001E-3</v>
      </c>
      <c r="AA9274">
        <v>0.98007319999999998</v>
      </c>
      <c r="AB9274">
        <v>19</v>
      </c>
      <c r="AC9274">
        <v>24.7973</v>
      </c>
      <c r="AD9274">
        <v>-1.111260480204</v>
      </c>
      <c r="AE9274">
        <v>-4.3635000000000002</v>
      </c>
      <c r="AF9274">
        <v>5.0139033279276104</v>
      </c>
      <c r="AG9274">
        <v>-1.111260480204</v>
      </c>
      <c r="AH9274">
        <v>24.6240612236336</v>
      </c>
      <c r="AI9274">
        <v>92.532063554984504</v>
      </c>
      <c r="AJ9274">
        <v>78.490880965358102</v>
      </c>
      <c r="AK9274">
        <v>25.153896667950299</v>
      </c>
      <c r="AL9274">
        <v>89.897884999901194</v>
      </c>
      <c r="AM9274">
        <v>90.102442837887494</v>
      </c>
      <c r="AN9274">
        <v>0.99999998660066203</v>
      </c>
    </row>
    <row r="9275" spans="1:40" x14ac:dyDescent="0.25">
      <c r="A9275" t="str">
        <f>"20190312154136633"</f>
        <v>20190312154136633</v>
      </c>
      <c r="B9275" t="str">
        <f>"1552376496624994"</f>
        <v>1552376496624994</v>
      </c>
      <c r="C9275" t="s">
        <v>40</v>
      </c>
      <c r="D9275">
        <v>4.244014</v>
      </c>
      <c r="E9275">
        <v>0.5782294</v>
      </c>
      <c r="F9275" t="s">
        <v>69</v>
      </c>
      <c r="G9275">
        <v>-195.67330000000001</v>
      </c>
      <c r="H9275" s="1">
        <v>-7.8890629999999992E-6</v>
      </c>
      <c r="I9275">
        <v>-67.101159999999993</v>
      </c>
      <c r="J9275">
        <v>-221.27869999999999</v>
      </c>
      <c r="K9275">
        <v>1.1112409999999999</v>
      </c>
      <c r="L9275">
        <v>-62.553100000000001</v>
      </c>
      <c r="M9275">
        <v>0.9995174</v>
      </c>
      <c r="N9275">
        <v>0</v>
      </c>
      <c r="O9275">
        <v>2.760255E-2</v>
      </c>
      <c r="P9275">
        <v>0.99950240000000001</v>
      </c>
      <c r="Q9275">
        <v>-1.20552E-2</v>
      </c>
      <c r="R9275">
        <v>2.9145210000000001E-2</v>
      </c>
      <c r="S9275">
        <v>3.0149840000000001</v>
      </c>
      <c r="T9275">
        <v>-0.13035669999999999</v>
      </c>
      <c r="U9275">
        <v>-0.53308109999999997</v>
      </c>
      <c r="V9275">
        <v>-1.5471580000000001E-3</v>
      </c>
      <c r="W9275">
        <v>2.1927969999999998E-3</v>
      </c>
      <c r="X9275">
        <v>0.99999640000000001</v>
      </c>
      <c r="Y9275">
        <v>0.20102</v>
      </c>
      <c r="Z9275">
        <v>-5.4947009999999899E-3</v>
      </c>
      <c r="AA9275">
        <v>0.97957169999999905</v>
      </c>
      <c r="AB9275">
        <v>19</v>
      </c>
      <c r="AC9275">
        <v>25.6053999999999</v>
      </c>
      <c r="AD9275">
        <v>-1.1112488890629999</v>
      </c>
      <c r="AE9275">
        <v>-4.5480599999999898</v>
      </c>
      <c r="AF9275">
        <v>5.2435987148704601</v>
      </c>
      <c r="AG9275">
        <v>-1.1112488890629999</v>
      </c>
      <c r="AH9275">
        <v>25.423670682628</v>
      </c>
      <c r="AI9275">
        <v>92.451232945673397</v>
      </c>
      <c r="AJ9275">
        <v>78.346231535331299</v>
      </c>
      <c r="AK9275">
        <v>25.982556312933301</v>
      </c>
      <c r="AL9275">
        <v>89.874361886015393</v>
      </c>
      <c r="AM9275">
        <v>90.088645872034306</v>
      </c>
      <c r="AN9275">
        <v>1.0000000010347601</v>
      </c>
    </row>
    <row r="9276" spans="1:40" x14ac:dyDescent="0.25">
      <c r="A9276" t="str">
        <f>"20190312154136644"</f>
        <v>20190312154136644</v>
      </c>
      <c r="B9276" t="str">
        <f>"1552376496635730"</f>
        <v>1552376496635730</v>
      </c>
      <c r="C9276" t="s">
        <v>40</v>
      </c>
      <c r="D9276">
        <v>4.307855</v>
      </c>
      <c r="E9276">
        <v>0.57895069999999904</v>
      </c>
      <c r="F9276" t="s">
        <v>69</v>
      </c>
      <c r="G9276">
        <v>-194.56620000000001</v>
      </c>
      <c r="H9276" s="1">
        <v>-8.3907230000000004E-6</v>
      </c>
      <c r="I9276">
        <v>-67.303290000000004</v>
      </c>
      <c r="J9276">
        <v>-221.18459999999999</v>
      </c>
      <c r="K9276">
        <v>1.1112229999999901</v>
      </c>
      <c r="L9276">
        <v>-62.5494699999999</v>
      </c>
      <c r="M9276">
        <v>0.99949259999999995</v>
      </c>
      <c r="N9276">
        <v>0</v>
      </c>
      <c r="O9276">
        <v>2.848682E-2</v>
      </c>
      <c r="P9276">
        <v>0.99948650000000006</v>
      </c>
      <c r="Q9276">
        <v>-1.188355E-2</v>
      </c>
      <c r="R9276">
        <v>2.9753729999999999E-2</v>
      </c>
      <c r="S9276">
        <v>3.0156100000000001</v>
      </c>
      <c r="T9276">
        <v>-0.12545039999999999</v>
      </c>
      <c r="U9276">
        <v>-0.53625489999999998</v>
      </c>
      <c r="V9276">
        <v>-1.2720229999999999E-3</v>
      </c>
      <c r="W9276">
        <v>2.3620749999999999E-3</v>
      </c>
      <c r="X9276">
        <v>0.99999640000000001</v>
      </c>
      <c r="Y9276">
        <v>0.20286409999999999</v>
      </c>
      <c r="Z9276">
        <v>-5.3610790000000004E-3</v>
      </c>
      <c r="AA9276">
        <v>0.97919219999999896</v>
      </c>
      <c r="AB9276">
        <v>19</v>
      </c>
      <c r="AC9276">
        <v>26.618399999999902</v>
      </c>
      <c r="AD9276">
        <v>-1.11123139072299</v>
      </c>
      <c r="AE9276">
        <v>-4.7538200000000099</v>
      </c>
      <c r="AF9276">
        <v>5.5009502425588197</v>
      </c>
      <c r="AG9276">
        <v>-1.11123139072299</v>
      </c>
      <c r="AH9276">
        <v>26.427526212943999</v>
      </c>
      <c r="AI9276">
        <v>92.3573017367749</v>
      </c>
      <c r="AJ9276">
        <v>78.241652660502496</v>
      </c>
      <c r="AK9276">
        <v>27.016836056627401</v>
      </c>
      <c r="AL9276">
        <v>89.8646629455842</v>
      </c>
      <c r="AM9276">
        <v>90.072881772409204</v>
      </c>
      <c r="AN9276">
        <v>0.99999999872688905</v>
      </c>
    </row>
    <row r="9277" spans="1:40" x14ac:dyDescent="0.25">
      <c r="A9277" t="str">
        <f>"20190312154136656"</f>
        <v>20190312154136656</v>
      </c>
      <c r="B9277" t="str">
        <f>"1552376496645490"</f>
        <v>1552376496645490</v>
      </c>
      <c r="C9277" t="s">
        <v>40</v>
      </c>
      <c r="D9277">
        <v>4.2982680000000002</v>
      </c>
      <c r="E9277">
        <v>0.57971329999999999</v>
      </c>
      <c r="F9277" t="s">
        <v>69</v>
      </c>
      <c r="G9277">
        <v>-193.74369999999999</v>
      </c>
      <c r="H9277" s="1">
        <v>-8.7643880000000008E-6</v>
      </c>
      <c r="I9277">
        <v>-67.464119999999994</v>
      </c>
      <c r="J9277">
        <v>-221.08690000000001</v>
      </c>
      <c r="K9277">
        <v>1.1112070000000001</v>
      </c>
      <c r="L9277">
        <v>-62.5456199999999</v>
      </c>
      <c r="M9277">
        <v>0.99946639999999998</v>
      </c>
      <c r="N9277">
        <v>0</v>
      </c>
      <c r="O9277">
        <v>2.9398549999999999E-2</v>
      </c>
      <c r="P9277">
        <v>0.99946570000000001</v>
      </c>
      <c r="Q9277">
        <v>-1.175761E-2</v>
      </c>
      <c r="R9277">
        <v>3.0503800000000001E-2</v>
      </c>
      <c r="S9277">
        <v>3.016159</v>
      </c>
      <c r="T9277">
        <v>-0.1221406</v>
      </c>
      <c r="U9277">
        <v>-0.54019169999999905</v>
      </c>
      <c r="V9277">
        <v>-1.110375E-3</v>
      </c>
      <c r="W9277">
        <v>2.4860519999999999E-3</v>
      </c>
      <c r="X9277">
        <v>0.99999629999999995</v>
      </c>
      <c r="Y9277">
        <v>0.2049725</v>
      </c>
      <c r="Z9277">
        <v>-5.2972210000000004E-3</v>
      </c>
      <c r="AA9277">
        <v>0.9787534</v>
      </c>
      <c r="AB9277">
        <v>19</v>
      </c>
      <c r="AC9277">
        <v>27.3432</v>
      </c>
      <c r="AD9277">
        <v>-1.1112157643880001</v>
      </c>
      <c r="AE9277">
        <v>-4.9184999999999999</v>
      </c>
      <c r="AF9277">
        <v>5.7111687513737301</v>
      </c>
      <c r="AG9277">
        <v>-1.1112157643880001</v>
      </c>
      <c r="AH9277">
        <v>27.143343433584199</v>
      </c>
      <c r="AI9277">
        <v>92.294134179787605</v>
      </c>
      <c r="AJ9277">
        <v>78.117849283277096</v>
      </c>
      <c r="AK9277">
        <v>27.7599233020409</v>
      </c>
      <c r="AL9277">
        <v>89.857559566979603</v>
      </c>
      <c r="AM9277">
        <v>90.063620010424401</v>
      </c>
      <c r="AN9277">
        <v>1.00000000670043</v>
      </c>
    </row>
    <row r="9278" spans="1:40" x14ac:dyDescent="0.25">
      <c r="A9278" t="str">
        <f>"20190312154136667"</f>
        <v>20190312154136667</v>
      </c>
      <c r="B9278" t="str">
        <f>"1552376496655250"</f>
        <v>1552376496655250</v>
      </c>
      <c r="C9278" t="s">
        <v>40</v>
      </c>
      <c r="D9278">
        <v>4.2445769999999996</v>
      </c>
      <c r="E9278">
        <v>0.58028100000000005</v>
      </c>
      <c r="F9278" t="s">
        <v>69</v>
      </c>
      <c r="G9278">
        <v>-192.9418</v>
      </c>
      <c r="H9278" s="1">
        <v>-9.1286549999999998E-6</v>
      </c>
      <c r="I9278">
        <v>-67.620909999999995</v>
      </c>
      <c r="J9278">
        <v>-220.9907</v>
      </c>
      <c r="K9278">
        <v>1.1111869999999999</v>
      </c>
      <c r="L9278">
        <v>-62.54175</v>
      </c>
      <c r="M9278">
        <v>0.99944010000000005</v>
      </c>
      <c r="N9278">
        <v>0</v>
      </c>
      <c r="O9278">
        <v>3.0276689999999998E-2</v>
      </c>
      <c r="P9278">
        <v>0.99945059999999997</v>
      </c>
      <c r="Q9278">
        <v>-1.1516709999999999E-2</v>
      </c>
      <c r="R9278">
        <v>3.1079610000000001E-2</v>
      </c>
      <c r="S9278">
        <v>3.0167999999999999</v>
      </c>
      <c r="T9278">
        <v>-0.1191083</v>
      </c>
      <c r="U9278">
        <v>-0.54400630000000005</v>
      </c>
      <c r="V9278">
        <v>-8.0806110000000003E-4</v>
      </c>
      <c r="W9278">
        <v>2.7244690000000002E-3</v>
      </c>
      <c r="X9278">
        <v>0.99999590000000005</v>
      </c>
      <c r="Y9278">
        <v>0.20700189999999999</v>
      </c>
      <c r="Z9278">
        <v>-5.2383079999999997E-3</v>
      </c>
      <c r="AA9278">
        <v>0.97832649999999999</v>
      </c>
      <c r="AB9278">
        <v>19</v>
      </c>
      <c r="AC9278">
        <v>28.0489</v>
      </c>
      <c r="AD9278">
        <v>-1.1111961286550001</v>
      </c>
      <c r="AE9278">
        <v>-5.0791599999999901</v>
      </c>
      <c r="AF9278">
        <v>5.9171531213305002</v>
      </c>
      <c r="AG9278">
        <v>-1.1111961286550001</v>
      </c>
      <c r="AH9278">
        <v>27.839936431544999</v>
      </c>
      <c r="AI9278">
        <v>92.235786291622901</v>
      </c>
      <c r="AJ9278">
        <v>78.000803472692994</v>
      </c>
      <c r="AK9278">
        <v>28.483495544087901</v>
      </c>
      <c r="AL9278">
        <v>89.843899222068799</v>
      </c>
      <c r="AM9278">
        <v>90.046298670366099</v>
      </c>
      <c r="AN9278">
        <v>0.99999993785543895</v>
      </c>
    </row>
    <row r="9279" spans="1:40" x14ac:dyDescent="0.25">
      <c r="A9279" t="str">
        <f>"20190312154136679"</f>
        <v>20190312154136679</v>
      </c>
      <c r="B9279" t="str">
        <f>"1552376496675745"</f>
        <v>1552376496675745</v>
      </c>
      <c r="C9279" t="s">
        <v>40</v>
      </c>
      <c r="D9279">
        <v>4.235773</v>
      </c>
      <c r="E9279">
        <v>0.58116519999999905</v>
      </c>
      <c r="F9279" t="s">
        <v>69</v>
      </c>
      <c r="G9279">
        <v>-191.68369999999999</v>
      </c>
      <c r="H9279" s="1">
        <v>-9.6989820000000006E-6</v>
      </c>
      <c r="I9279">
        <v>-67.853160000000003</v>
      </c>
      <c r="J9279">
        <v>-220.8972</v>
      </c>
      <c r="K9279">
        <v>1.1111709999999999</v>
      </c>
      <c r="L9279">
        <v>-62.537930000000003</v>
      </c>
      <c r="M9279">
        <v>0.99941420000000003</v>
      </c>
      <c r="N9279">
        <v>0</v>
      </c>
      <c r="O9279">
        <v>3.1124780000000001E-2</v>
      </c>
      <c r="P9279">
        <v>0.99943159999999998</v>
      </c>
      <c r="Q9279">
        <v>-1.1565300000000001E-2</v>
      </c>
      <c r="R9279">
        <v>3.1672110000000003E-2</v>
      </c>
      <c r="S9279">
        <v>3.0173489999999998</v>
      </c>
      <c r="T9279">
        <v>-0.11440500000000001</v>
      </c>
      <c r="U9279">
        <v>-0.54684449999999996</v>
      </c>
      <c r="V9279">
        <v>-5.5247749999999996E-4</v>
      </c>
      <c r="W9279">
        <v>2.6739250000000002E-3</v>
      </c>
      <c r="X9279">
        <v>0.9999962</v>
      </c>
      <c r="Y9279">
        <v>0.2087039</v>
      </c>
      <c r="Z9279">
        <v>-5.0942080000000002E-3</v>
      </c>
      <c r="AA9279">
        <v>0.97796559999999999</v>
      </c>
      <c r="AB9279">
        <v>19</v>
      </c>
      <c r="AC9279">
        <v>29.2135</v>
      </c>
      <c r="AD9279">
        <v>-1.1111806989819999</v>
      </c>
      <c r="AE9279">
        <v>-5.3152299999999997</v>
      </c>
      <c r="AF9279">
        <v>6.2133088832583496</v>
      </c>
      <c r="AG9279">
        <v>-1.1111806989819999</v>
      </c>
      <c r="AH9279">
        <v>28.993288491535498</v>
      </c>
      <c r="AI9279">
        <v>92.146131642320896</v>
      </c>
      <c r="AJ9279">
        <v>77.904371245418801</v>
      </c>
      <c r="AK9279">
        <v>29.672389647245701</v>
      </c>
      <c r="AL9279">
        <v>89.846795189101101</v>
      </c>
      <c r="AM9279">
        <v>90.031654746093295</v>
      </c>
      <c r="AN9279">
        <v>0.99999992756036404</v>
      </c>
    </row>
    <row r="9280" spans="1:40" x14ac:dyDescent="0.25">
      <c r="A9280" t="str">
        <f>"20190312154136690"</f>
        <v>20190312154136690</v>
      </c>
      <c r="B9280" t="str">
        <f>"1552376496685511"</f>
        <v>1552376496685511</v>
      </c>
      <c r="C9280" t="s">
        <v>40</v>
      </c>
      <c r="D9280">
        <v>4.2675580000000002</v>
      </c>
      <c r="E9280">
        <v>0.58163319999999996</v>
      </c>
      <c r="F9280" t="s">
        <v>69</v>
      </c>
      <c r="G9280">
        <v>-190.7056</v>
      </c>
      <c r="H9280" s="1">
        <v>-1.014471E-5</v>
      </c>
      <c r="I9280">
        <v>-68.060550000000006</v>
      </c>
      <c r="J9280">
        <v>-220.80029999999999</v>
      </c>
      <c r="K9280">
        <v>1.1111500000000001</v>
      </c>
      <c r="L9280">
        <v>-62.533909999999999</v>
      </c>
      <c r="M9280">
        <v>0.99938720000000003</v>
      </c>
      <c r="N9280">
        <v>0</v>
      </c>
      <c r="O9280">
        <v>3.1979680000000003E-2</v>
      </c>
      <c r="P9280">
        <v>0.99941040000000003</v>
      </c>
      <c r="Q9280">
        <v>-1.1569070000000001E-2</v>
      </c>
      <c r="R9280">
        <v>3.2330820000000003E-2</v>
      </c>
      <c r="S9280">
        <v>3.0178989999999999</v>
      </c>
      <c r="T9280">
        <v>-0.11107210000000001</v>
      </c>
      <c r="U9280">
        <v>-0.55203250000000004</v>
      </c>
      <c r="V9280">
        <v>-3.560212E-4</v>
      </c>
      <c r="W9280">
        <v>2.6672499999999999E-3</v>
      </c>
      <c r="X9280">
        <v>0.99999640000000001</v>
      </c>
      <c r="Y9280">
        <v>0.21114340000000001</v>
      </c>
      <c r="Z9280">
        <v>-5.0200050000000001E-3</v>
      </c>
      <c r="AA9280">
        <v>0.97744219999999904</v>
      </c>
      <c r="AB9280">
        <v>19</v>
      </c>
      <c r="AC9280">
        <v>30.0946999999999</v>
      </c>
      <c r="AD9280">
        <v>-1.1111601447099999</v>
      </c>
      <c r="AE9280">
        <v>-5.5266400000000004</v>
      </c>
      <c r="AF9280">
        <v>6.4777863037569103</v>
      </c>
      <c r="AG9280">
        <v>-1.1111601447099999</v>
      </c>
      <c r="AH9280">
        <v>29.8631633426867</v>
      </c>
      <c r="AI9280">
        <v>92.082514184557297</v>
      </c>
      <c r="AJ9280">
        <v>77.761254167884005</v>
      </c>
      <c r="AK9280">
        <v>30.577850105858001</v>
      </c>
      <c r="AL9280">
        <v>89.847177654023099</v>
      </c>
      <c r="AM9280">
        <v>90.020398584750197</v>
      </c>
      <c r="AN9280">
        <v>1.0000000204932999</v>
      </c>
    </row>
    <row r="9281" spans="1:40" x14ac:dyDescent="0.25">
      <c r="A9281" t="str">
        <f>"20190312154136702"</f>
        <v>20190312154136702</v>
      </c>
      <c r="B9281" t="str">
        <f>"1552376496695265"</f>
        <v>1552376496695265</v>
      </c>
      <c r="C9281" t="s">
        <v>40</v>
      </c>
      <c r="D9281">
        <v>4.271547</v>
      </c>
      <c r="E9281">
        <v>0.58203609999999995</v>
      </c>
      <c r="F9281" t="s">
        <v>69</v>
      </c>
      <c r="G9281">
        <v>-190.12440000000001</v>
      </c>
      <c r="H9281" s="1">
        <v>-1.04077E-5</v>
      </c>
      <c r="I9281">
        <v>-68.16216</v>
      </c>
      <c r="J9281">
        <v>-220.70439999999999</v>
      </c>
      <c r="K9281">
        <v>1.1111279999999999</v>
      </c>
      <c r="L9281">
        <v>-62.529850000000003</v>
      </c>
      <c r="M9281">
        <v>0.99936009999999997</v>
      </c>
      <c r="N9281">
        <v>0</v>
      </c>
      <c r="O9281">
        <v>3.2815270000000001E-2</v>
      </c>
      <c r="P9281">
        <v>0.99938850000000001</v>
      </c>
      <c r="Q9281">
        <v>-1.1684440000000001E-2</v>
      </c>
      <c r="R9281">
        <v>3.2958370000000001E-2</v>
      </c>
      <c r="S9281">
        <v>3.0184169999999999</v>
      </c>
      <c r="T9281">
        <v>-0.1093348</v>
      </c>
      <c r="U9281">
        <v>-0.55380249999999998</v>
      </c>
      <c r="V9281">
        <v>-1.471674E-4</v>
      </c>
      <c r="W9281">
        <v>2.5489940000000002E-3</v>
      </c>
      <c r="X9281">
        <v>0.99999669999999896</v>
      </c>
      <c r="Y9281">
        <v>0.21248890000000001</v>
      </c>
      <c r="Z9281">
        <v>-4.9946510000000001E-3</v>
      </c>
      <c r="AA9281">
        <v>0.97715070000000004</v>
      </c>
      <c r="AB9281">
        <v>19</v>
      </c>
      <c r="AC9281">
        <v>30.579999999999899</v>
      </c>
      <c r="AD9281">
        <v>-1.1111384076999999</v>
      </c>
      <c r="AE9281">
        <v>-5.6323099999999897</v>
      </c>
      <c r="AF9281">
        <v>6.6244095914247199</v>
      </c>
      <c r="AG9281">
        <v>-1.1111384076999999</v>
      </c>
      <c r="AH9281">
        <v>30.339940309871899</v>
      </c>
      <c r="AI9281">
        <v>92.049170710685601</v>
      </c>
      <c r="AJ9281">
        <v>77.683356537779602</v>
      </c>
      <c r="AK9281">
        <v>31.074578178997299</v>
      </c>
      <c r="AL9281">
        <v>89.853953237730195</v>
      </c>
      <c r="AM9281">
        <v>90.008432098666901</v>
      </c>
      <c r="AN9281">
        <v>0.99999995951977105</v>
      </c>
    </row>
    <row r="9282" spans="1:40" x14ac:dyDescent="0.25">
      <c r="A9282" t="str">
        <f>"20190312154136713"</f>
        <v>20190312154136713</v>
      </c>
      <c r="B9282" t="str">
        <f>"1552376496705025"</f>
        <v>1552376496705025</v>
      </c>
      <c r="C9282" t="s">
        <v>40</v>
      </c>
      <c r="D9282">
        <v>4.2196379999999998</v>
      </c>
      <c r="E9282">
        <v>0.5823758</v>
      </c>
      <c r="F9282" t="s">
        <v>69</v>
      </c>
      <c r="G9282">
        <v>-189.7021</v>
      </c>
      <c r="H9282" s="1">
        <v>-8.4506740000000008E-6</v>
      </c>
      <c r="I9282">
        <v>-68.231530000000006</v>
      </c>
      <c r="J9282">
        <v>-220.60169999999999</v>
      </c>
      <c r="K9282">
        <v>1.1111040000000001</v>
      </c>
      <c r="L9282">
        <v>-62.525449999999999</v>
      </c>
      <c r="M9282">
        <v>0.99933110000000003</v>
      </c>
      <c r="N9282">
        <v>0</v>
      </c>
      <c r="O9282">
        <v>3.3690690000000002E-2</v>
      </c>
      <c r="P9282">
        <v>0.99936369999999997</v>
      </c>
      <c r="Q9282">
        <v>-1.147891E-2</v>
      </c>
      <c r="R9282">
        <v>3.3776500000000001E-2</v>
      </c>
      <c r="S9282">
        <v>3.018875</v>
      </c>
      <c r="T9282">
        <v>-0.1081979</v>
      </c>
      <c r="U9282">
        <v>-0.55520630000000004</v>
      </c>
      <c r="V9282" s="1">
        <v>-9.0057109999999894E-5</v>
      </c>
      <c r="W9282">
        <v>2.7516490000000001E-3</v>
      </c>
      <c r="X9282">
        <v>0.9999962</v>
      </c>
      <c r="Y9282">
        <v>0.2137598</v>
      </c>
      <c r="Z9282">
        <v>-4.9955290000000003E-3</v>
      </c>
      <c r="AA9282">
        <v>0.97687349999999995</v>
      </c>
      <c r="AB9282">
        <v>19</v>
      </c>
      <c r="AC9282">
        <v>30.8995999999999</v>
      </c>
      <c r="AD9282">
        <v>-1.111112450674</v>
      </c>
      <c r="AE9282">
        <v>-5.70608</v>
      </c>
      <c r="AF9282">
        <v>6.7355521002297296</v>
      </c>
      <c r="AG9282">
        <v>-1.111112450674</v>
      </c>
      <c r="AH9282">
        <v>30.651467316763199</v>
      </c>
      <c r="AI9282">
        <v>92.027718181581903</v>
      </c>
      <c r="AJ9282">
        <v>77.606437161326298</v>
      </c>
      <c r="AK9282">
        <v>31.4024629868989</v>
      </c>
      <c r="AL9282">
        <v>89.842341925044394</v>
      </c>
      <c r="AM9282">
        <v>90.005159911911804</v>
      </c>
      <c r="AN9282">
        <v>0.99999998984847105</v>
      </c>
    </row>
    <row r="9283" spans="1:40" x14ac:dyDescent="0.25">
      <c r="A9283" t="str">
        <f>"20190312154136723"</f>
        <v>20190312154136723</v>
      </c>
      <c r="B9283" t="str">
        <f>"1552376496715761"</f>
        <v>1552376496715761</v>
      </c>
      <c r="C9283" t="s">
        <v>40</v>
      </c>
      <c r="D9283">
        <v>4.2587590000000004</v>
      </c>
      <c r="E9283">
        <v>0.5823758</v>
      </c>
      <c r="F9283" t="s">
        <v>69</v>
      </c>
      <c r="G9283">
        <v>-189.02670000000001</v>
      </c>
      <c r="H9283" s="1">
        <v>-8.3388969999999992E-6</v>
      </c>
      <c r="I9283">
        <v>-68.333550000000002</v>
      </c>
      <c r="J9283">
        <v>-220.51910000000001</v>
      </c>
      <c r="K9283">
        <v>1.1110819999999999</v>
      </c>
      <c r="L9283">
        <v>-62.521850000000001</v>
      </c>
      <c r="M9283">
        <v>0.99930779999999997</v>
      </c>
      <c r="N9283">
        <v>0</v>
      </c>
      <c r="O9283">
        <v>3.4377169999999999E-2</v>
      </c>
      <c r="P9283">
        <v>0.99935160000000001</v>
      </c>
      <c r="Q9283">
        <v>-1.1148720000000001E-2</v>
      </c>
      <c r="R9283">
        <v>3.4240779999999998E-2</v>
      </c>
      <c r="S9283">
        <v>3.0194700000000001</v>
      </c>
      <c r="T9283">
        <v>-0.1062541</v>
      </c>
      <c r="U9283">
        <v>-0.55541989999999997</v>
      </c>
      <c r="V9283">
        <v>1.3197440000000001E-4</v>
      </c>
      <c r="W9283">
        <v>3.0797120000000001E-3</v>
      </c>
      <c r="X9283">
        <v>0.99999519999999997</v>
      </c>
      <c r="Y9283">
        <v>0.21446809999999999</v>
      </c>
      <c r="Z9283">
        <v>-4.941188E-3</v>
      </c>
      <c r="AA9283">
        <v>0.97671850000000004</v>
      </c>
      <c r="AB9283">
        <v>19</v>
      </c>
      <c r="AC9283">
        <v>31.4924</v>
      </c>
      <c r="AD9283">
        <v>-1.1110903388969999</v>
      </c>
      <c r="AE9283">
        <v>-5.8117000000000001</v>
      </c>
      <c r="AF9283">
        <v>6.8827080167966503</v>
      </c>
      <c r="AG9283">
        <v>-1.1110903388969999</v>
      </c>
      <c r="AH9283">
        <v>31.236370669701898</v>
      </c>
      <c r="AI9283">
        <v>91.989491459239105</v>
      </c>
      <c r="AJ9283">
        <v>77.573850941844398</v>
      </c>
      <c r="AK9283">
        <v>32.004953429128399</v>
      </c>
      <c r="AL9283">
        <v>89.823545212708396</v>
      </c>
      <c r="AM9283">
        <v>89.992438387624404</v>
      </c>
      <c r="AN9283">
        <v>0.99999995103314099</v>
      </c>
    </row>
    <row r="9284" spans="1:40" x14ac:dyDescent="0.25">
      <c r="A9284" t="str">
        <f>"20190312154136734"</f>
        <v>20190312154136734</v>
      </c>
      <c r="B9284" t="str">
        <f>"1552376496725522"</f>
        <v>1552376496725522</v>
      </c>
      <c r="C9284" t="s">
        <v>40</v>
      </c>
      <c r="D9284">
        <v>4.2531559999999997</v>
      </c>
      <c r="E9284">
        <v>0.5904374</v>
      </c>
      <c r="F9284" t="s">
        <v>69</v>
      </c>
      <c r="G9284">
        <v>-188.6345</v>
      </c>
      <c r="H9284" s="1">
        <v>-8.2814490000000007E-6</v>
      </c>
      <c r="I9284">
        <v>-68.371519999999904</v>
      </c>
      <c r="J9284">
        <v>-220.42439999999999</v>
      </c>
      <c r="K9284">
        <v>1.1110580000000001</v>
      </c>
      <c r="L9284">
        <v>-62.517670000000003</v>
      </c>
      <c r="M9284">
        <v>0.99928079999999997</v>
      </c>
      <c r="N9284">
        <v>0</v>
      </c>
      <c r="O9284">
        <v>3.5152410000000002E-2</v>
      </c>
      <c r="P9284">
        <v>0.99932370000000004</v>
      </c>
      <c r="Q9284">
        <v>-1.1055830000000001E-2</v>
      </c>
      <c r="R9284">
        <v>3.5069419999999997E-2</v>
      </c>
      <c r="S9284">
        <v>3.0197600000000002</v>
      </c>
      <c r="T9284">
        <v>-0.1052302</v>
      </c>
      <c r="U9284">
        <v>-0.55401610000000001</v>
      </c>
      <c r="V9284" s="1">
        <v>7.8734239999999999E-5</v>
      </c>
      <c r="W9284">
        <v>3.1693559999999999E-3</v>
      </c>
      <c r="X9284">
        <v>0.99999499999999997</v>
      </c>
      <c r="Y9284">
        <v>0.2147722</v>
      </c>
      <c r="Z9284">
        <v>-4.9254110000000002E-3</v>
      </c>
      <c r="AA9284">
        <v>0.97665179999999996</v>
      </c>
      <c r="AB9284">
        <v>19</v>
      </c>
      <c r="AC9284">
        <v>31.7898999999999</v>
      </c>
      <c r="AD9284">
        <v>-1.111066281449</v>
      </c>
      <c r="AE9284">
        <v>-5.8538499999999898</v>
      </c>
      <c r="AF9284">
        <v>6.9596134452188103</v>
      </c>
      <c r="AG9284">
        <v>-1.111066281449</v>
      </c>
      <c r="AH9284">
        <v>31.527202770155501</v>
      </c>
      <c r="AI9284">
        <v>91.970942232594993</v>
      </c>
      <c r="AJ9284">
        <v>77.551628622370998</v>
      </c>
      <c r="AK9284">
        <v>32.305343243790801</v>
      </c>
      <c r="AL9284">
        <v>89.818408978050897</v>
      </c>
      <c r="AM9284">
        <v>89.995488837798305</v>
      </c>
      <c r="AN9284">
        <v>1.0000000255207599</v>
      </c>
    </row>
    <row r="9285" spans="1:40" x14ac:dyDescent="0.25">
      <c r="A9285" t="str">
        <f>"20190312154136746"</f>
        <v>20190312154136746</v>
      </c>
      <c r="B9285" t="str">
        <f>"1552376496735282"</f>
        <v>1552376496735282</v>
      </c>
      <c r="C9285" t="s">
        <v>40</v>
      </c>
      <c r="D9285">
        <v>4.2204319999999997</v>
      </c>
      <c r="E9285">
        <v>0.58945599999999998</v>
      </c>
      <c r="F9285" t="s">
        <v>69</v>
      </c>
      <c r="G9285">
        <v>-175.53880000000001</v>
      </c>
      <c r="H9285">
        <v>7.9987320000000001E-2</v>
      </c>
      <c r="I9285">
        <v>-71.659450000000007</v>
      </c>
      <c r="J9285">
        <v>-220.33580000000001</v>
      </c>
      <c r="K9285">
        <v>1.111032</v>
      </c>
      <c r="L9285">
        <v>-62.513730000000002</v>
      </c>
      <c r="M9285">
        <v>0.99925600000000003</v>
      </c>
      <c r="N9285">
        <v>0</v>
      </c>
      <c r="O9285">
        <v>3.585033E-2</v>
      </c>
      <c r="P9285">
        <v>0.99929210000000002</v>
      </c>
      <c r="Q9285">
        <v>-1.12332E-2</v>
      </c>
      <c r="R9285">
        <v>3.5906880000000002E-2</v>
      </c>
      <c r="S9285">
        <v>3.0228579999999998</v>
      </c>
      <c r="T9285">
        <v>-6.9438340000000001E-2</v>
      </c>
      <c r="U9285">
        <v>-0.61566160000000003</v>
      </c>
      <c r="V9285" s="1">
        <v>-6.0471160000000002E-5</v>
      </c>
      <c r="W9285">
        <v>2.9886359999999998E-3</v>
      </c>
      <c r="X9285">
        <v>0.99999550000000004</v>
      </c>
      <c r="Y9285">
        <v>0.2345074</v>
      </c>
      <c r="Z9285">
        <v>-3.4814759999999998E-3</v>
      </c>
      <c r="AA9285">
        <v>0.97210810000000003</v>
      </c>
      <c r="AB9285">
        <v>19</v>
      </c>
      <c r="AC9285">
        <v>44.796999999999997</v>
      </c>
      <c r="AD9285">
        <v>-1.0310446799999999</v>
      </c>
      <c r="AE9285">
        <v>-9.1457200000000007</v>
      </c>
      <c r="AF9285">
        <v>10.740527340137699</v>
      </c>
      <c r="AG9285">
        <v>-1.0310446799999999</v>
      </c>
      <c r="AH9285">
        <v>44.417699064851902</v>
      </c>
      <c r="AI9285">
        <v>91.292501159561695</v>
      </c>
      <c r="AJ9285">
        <v>76.406391751677106</v>
      </c>
      <c r="AK9285">
        <v>45.709451658187099</v>
      </c>
      <c r="AL9285">
        <v>89.828763510274001</v>
      </c>
      <c r="AM9285">
        <v>90.003464757837406</v>
      </c>
      <c r="AN9285">
        <v>0.99999996781107503</v>
      </c>
    </row>
    <row r="9286" spans="1:40" x14ac:dyDescent="0.25">
      <c r="A9286" t="str">
        <f>"20190312154136755"</f>
        <v>20190312154136755</v>
      </c>
      <c r="B9286" t="str">
        <f>"1552376496745042"</f>
        <v>1552376496745042</v>
      </c>
      <c r="C9286" t="s">
        <v>40</v>
      </c>
      <c r="D9286">
        <v>4.1884959999999998</v>
      </c>
      <c r="E9286">
        <v>0.59016190000000002</v>
      </c>
      <c r="F9286" t="s">
        <v>43</v>
      </c>
      <c r="G9286">
        <v>-168.80109999999999</v>
      </c>
      <c r="H9286">
        <v>-0.05</v>
      </c>
      <c r="I9286">
        <v>-72.831909999999993</v>
      </c>
      <c r="J9286">
        <v>-220.24180000000001</v>
      </c>
      <c r="K9286">
        <v>1.1110059999999999</v>
      </c>
      <c r="L9286">
        <v>-62.50949</v>
      </c>
      <c r="M9286">
        <v>0.99922960000000005</v>
      </c>
      <c r="N9286">
        <v>0</v>
      </c>
      <c r="O9286">
        <v>3.6580769999999999E-2</v>
      </c>
      <c r="P9286">
        <v>0.99926300000000001</v>
      </c>
      <c r="Q9286">
        <v>-1.098085E-2</v>
      </c>
      <c r="R9286">
        <v>3.6781439999999999E-2</v>
      </c>
      <c r="S9286">
        <v>3.0231319999999999</v>
      </c>
      <c r="T9286">
        <v>-6.8108559999999999E-2</v>
      </c>
      <c r="U9286">
        <v>-0.60528559999999998</v>
      </c>
      <c r="V9286">
        <v>-2.0438720000000001E-4</v>
      </c>
      <c r="W9286">
        <v>3.2375440000000002E-3</v>
      </c>
      <c r="X9286">
        <v>0.99999479999999996</v>
      </c>
      <c r="Y9286">
        <v>0.23199710000000001</v>
      </c>
      <c r="Z9286">
        <v>-3.4039719999999999E-3</v>
      </c>
      <c r="AA9286">
        <v>0.97271050000000003</v>
      </c>
      <c r="AB9286">
        <v>19</v>
      </c>
      <c r="AC9286">
        <v>51.4407</v>
      </c>
      <c r="AD9286">
        <v>-1.161006</v>
      </c>
      <c r="AE9286">
        <v>-10.3224199999999</v>
      </c>
      <c r="AF9286">
        <v>12.1914704627552</v>
      </c>
      <c r="AG9286">
        <v>-1.161006</v>
      </c>
      <c r="AH9286">
        <v>51.003648184294001</v>
      </c>
      <c r="AI9286">
        <v>91.268292677260405</v>
      </c>
      <c r="AJ9286">
        <v>76.5567555741479</v>
      </c>
      <c r="AK9286">
        <v>52.453331782485499</v>
      </c>
      <c r="AL9286">
        <v>89.814502080209607</v>
      </c>
      <c r="AM9286">
        <v>90.011710584678397</v>
      </c>
      <c r="AN9286">
        <v>1.00000006174615</v>
      </c>
    </row>
    <row r="9287" spans="1:40" x14ac:dyDescent="0.25">
      <c r="A9287" t="str">
        <f>"20190312154136767"</f>
        <v>20190312154136767</v>
      </c>
      <c r="B9287" t="str">
        <f>"1552376496755777"</f>
        <v>1552376496755777</v>
      </c>
      <c r="C9287" t="s">
        <v>40</v>
      </c>
      <c r="D9287">
        <v>4.1879629999999999</v>
      </c>
      <c r="E9287">
        <v>0.59073730000000002</v>
      </c>
      <c r="F9287" t="s">
        <v>69</v>
      </c>
      <c r="G9287">
        <v>-175.92330000000001</v>
      </c>
      <c r="H9287">
        <v>7.9987299999999997E-2</v>
      </c>
      <c r="I9287">
        <v>-71.425019999999904</v>
      </c>
      <c r="J9287">
        <v>-220.15270000000001</v>
      </c>
      <c r="K9287">
        <v>1.110981</v>
      </c>
      <c r="L9287">
        <v>-62.505429999999997</v>
      </c>
      <c r="M9287">
        <v>0.99920540000000002</v>
      </c>
      <c r="N9287">
        <v>0</v>
      </c>
      <c r="O9287">
        <v>3.7235980000000002E-2</v>
      </c>
      <c r="P9287">
        <v>0.99922750000000005</v>
      </c>
      <c r="Q9287">
        <v>-1.089614E-2</v>
      </c>
      <c r="R9287">
        <v>3.775937E-2</v>
      </c>
      <c r="S9287">
        <v>3.0238489999999998</v>
      </c>
      <c r="T9287">
        <v>-7.0346469999999994E-2</v>
      </c>
      <c r="U9287">
        <v>-0.60830689999999998</v>
      </c>
      <c r="V9287">
        <v>-5.2768110000000004E-4</v>
      </c>
      <c r="W9287">
        <v>3.319083E-3</v>
      </c>
      <c r="X9287">
        <v>0.9999943</v>
      </c>
      <c r="Y9287">
        <v>0.2335197</v>
      </c>
      <c r="Z9287">
        <v>-3.547279E-3</v>
      </c>
      <c r="AA9287">
        <v>0.97234560000000003</v>
      </c>
      <c r="AB9287">
        <v>19</v>
      </c>
      <c r="AC9287">
        <v>44.229399999999998</v>
      </c>
      <c r="AD9287">
        <v>-1.0309937</v>
      </c>
      <c r="AE9287">
        <v>-8.9195899999999799</v>
      </c>
      <c r="AF9287">
        <v>10.554983423145</v>
      </c>
      <c r="AG9287">
        <v>-1.0309937</v>
      </c>
      <c r="AH9287">
        <v>43.843665481724599</v>
      </c>
      <c r="AI9287">
        <v>91.309671134734003</v>
      </c>
      <c r="AJ9287">
        <v>76.464110380573899</v>
      </c>
      <c r="AK9287">
        <v>45.108066085187801</v>
      </c>
      <c r="AL9287">
        <v>89.809830193079904</v>
      </c>
      <c r="AM9287">
        <v>90.030234069486795</v>
      </c>
      <c r="AN9287">
        <v>0.99999994739589504</v>
      </c>
    </row>
    <row r="9288" spans="1:40" x14ac:dyDescent="0.25">
      <c r="A9288" t="str">
        <f>"20190312154136779"</f>
        <v>20190312154136779</v>
      </c>
      <c r="B9288" t="str">
        <f>"1552376496775298"</f>
        <v>1552376496775298</v>
      </c>
      <c r="C9288" t="s">
        <v>40</v>
      </c>
      <c r="D9288">
        <v>4.1724050000000004</v>
      </c>
      <c r="E9288">
        <v>0.59119180000000005</v>
      </c>
      <c r="F9288" t="s">
        <v>69</v>
      </c>
      <c r="G9288">
        <v>-177.1782</v>
      </c>
      <c r="H9288">
        <v>7.9987340000000004E-2</v>
      </c>
      <c r="I9288">
        <v>-71.170719999999903</v>
      </c>
      <c r="J9288">
        <v>-220.0582</v>
      </c>
      <c r="K9288">
        <v>1.1109450000000001</v>
      </c>
      <c r="L9288">
        <v>-62.501159999999999</v>
      </c>
      <c r="M9288">
        <v>0.9991797</v>
      </c>
      <c r="N9288">
        <v>0</v>
      </c>
      <c r="O9288">
        <v>3.7923640000000002E-2</v>
      </c>
      <c r="P9288">
        <v>0.9991854</v>
      </c>
      <c r="Q9288">
        <v>-1.0880219999999999E-2</v>
      </c>
      <c r="R9288">
        <v>3.8862059999999997E-2</v>
      </c>
      <c r="S9288">
        <v>3.0245510000000002</v>
      </c>
      <c r="T9288">
        <v>-7.2561379999999995E-2</v>
      </c>
      <c r="U9288">
        <v>-0.6098633</v>
      </c>
      <c r="V9288">
        <v>-9.4300380000000004E-4</v>
      </c>
      <c r="W9288">
        <v>3.3305259999999999E-3</v>
      </c>
      <c r="X9288">
        <v>0.99999400000000005</v>
      </c>
      <c r="Y9288">
        <v>0.23462089999999999</v>
      </c>
      <c r="Z9288">
        <v>-3.687353E-3</v>
      </c>
      <c r="AA9288">
        <v>0.9720799</v>
      </c>
      <c r="AB9288">
        <v>19</v>
      </c>
      <c r="AC9288">
        <v>42.88</v>
      </c>
      <c r="AD9288">
        <v>-1.0309576600000001</v>
      </c>
      <c r="AE9288">
        <v>-8.6695599999999899</v>
      </c>
      <c r="AF9288">
        <v>10.283940672215801</v>
      </c>
      <c r="AG9288">
        <v>-1.0309576600000001</v>
      </c>
      <c r="AH9288">
        <v>42.496732309251001</v>
      </c>
      <c r="AI9288">
        <v>91.350733048987806</v>
      </c>
      <c r="AJ9288">
        <v>76.396307470028404</v>
      </c>
      <c r="AK9288">
        <v>43.735506929844803</v>
      </c>
      <c r="AL9288">
        <v>89.809174562108296</v>
      </c>
      <c r="AM9288">
        <v>90.054030445971705</v>
      </c>
      <c r="AN9288">
        <v>0.999999990847801</v>
      </c>
    </row>
    <row r="9289" spans="1:40" x14ac:dyDescent="0.25">
      <c r="A9289" t="str">
        <f>"20190312154136788"</f>
        <v>20190312154136788</v>
      </c>
      <c r="B9289" t="str">
        <f>"1552376496785061"</f>
        <v>1552376496785061</v>
      </c>
      <c r="C9289" t="s">
        <v>40</v>
      </c>
      <c r="D9289">
        <v>4.1783460000000003</v>
      </c>
      <c r="E9289">
        <v>0.59130000000000005</v>
      </c>
      <c r="F9289" t="s">
        <v>69</v>
      </c>
      <c r="G9289">
        <v>-177.12520000000001</v>
      </c>
      <c r="H9289">
        <v>7.9987340000000004E-2</v>
      </c>
      <c r="I9289">
        <v>-71.16086</v>
      </c>
      <c r="J9289">
        <v>-219.96530000000001</v>
      </c>
      <c r="K9289">
        <v>1.1109169999999999</v>
      </c>
      <c r="L9289">
        <v>-62.496830000000003</v>
      </c>
      <c r="M9289">
        <v>0.99915529999999997</v>
      </c>
      <c r="N9289">
        <v>0</v>
      </c>
      <c r="O9289">
        <v>3.8559179999999998E-2</v>
      </c>
      <c r="P9289">
        <v>0.99914559999999997</v>
      </c>
      <c r="Q9289">
        <v>-1.0784999999999999E-2</v>
      </c>
      <c r="R9289">
        <v>3.9897410000000001E-2</v>
      </c>
      <c r="S9289">
        <v>3.0253909999999999</v>
      </c>
      <c r="T9289">
        <v>-7.2649240000000004E-2</v>
      </c>
      <c r="U9289">
        <v>-0.61022949999999998</v>
      </c>
      <c r="V9289">
        <v>-1.3425900000000001E-3</v>
      </c>
      <c r="W9289">
        <v>3.4220790000000002E-3</v>
      </c>
      <c r="X9289">
        <v>0.99999329999999997</v>
      </c>
      <c r="Y9289">
        <v>0.23529949999999999</v>
      </c>
      <c r="Z9289">
        <v>-3.7139640000000002E-3</v>
      </c>
      <c r="AA9289">
        <v>0.9719158</v>
      </c>
      <c r="AB9289">
        <v>19</v>
      </c>
      <c r="AC9289">
        <v>42.8401</v>
      </c>
      <c r="AD9289">
        <v>-1.03092966</v>
      </c>
      <c r="AE9289">
        <v>-8.6640299999999897</v>
      </c>
      <c r="AF9289">
        <v>10.3038987415132</v>
      </c>
      <c r="AG9289">
        <v>-1.03092966</v>
      </c>
      <c r="AH9289">
        <v>42.450505241084997</v>
      </c>
      <c r="AI9289">
        <v>91.351939701278198</v>
      </c>
      <c r="AJ9289">
        <v>76.356603353474995</v>
      </c>
      <c r="AK9289">
        <v>43.695291971362501</v>
      </c>
      <c r="AL9289">
        <v>89.803928944551899</v>
      </c>
      <c r="AM9289">
        <v>90.076925209794595</v>
      </c>
      <c r="AN9289">
        <v>1.0000000566087299</v>
      </c>
    </row>
    <row r="9290" spans="1:40" x14ac:dyDescent="0.25">
      <c r="A9290" t="str">
        <f>"20190312154136801"</f>
        <v>20190312154136801</v>
      </c>
      <c r="B9290" t="str">
        <f>"1552376496795794"</f>
        <v>1552376496795794</v>
      </c>
      <c r="C9290" t="s">
        <v>40</v>
      </c>
      <c r="D9290">
        <v>4.1700249999999999</v>
      </c>
      <c r="E9290">
        <v>0.5917076</v>
      </c>
      <c r="F9290" t="s">
        <v>69</v>
      </c>
      <c r="G9290">
        <v>-177.9897</v>
      </c>
      <c r="H9290">
        <v>7.9987349999999999E-2</v>
      </c>
      <c r="I9290">
        <v>-70.929869999999994</v>
      </c>
      <c r="J9290">
        <v>-219.86799999999999</v>
      </c>
      <c r="K9290">
        <v>1.110886</v>
      </c>
      <c r="L9290">
        <v>-62.492310000000003</v>
      </c>
      <c r="M9290">
        <v>0.99913010000000002</v>
      </c>
      <c r="N9290">
        <v>0</v>
      </c>
      <c r="O9290">
        <v>3.9210019999999998E-2</v>
      </c>
      <c r="P9290">
        <v>0.99910639999999995</v>
      </c>
      <c r="Q9290">
        <v>-1.0346070000000001E-2</v>
      </c>
      <c r="R9290">
        <v>4.0984720000000002E-2</v>
      </c>
      <c r="S9290">
        <v>3.0260310000000001</v>
      </c>
      <c r="T9290">
        <v>-7.4320079999999997E-2</v>
      </c>
      <c r="U9290">
        <v>-0.607940699999999</v>
      </c>
      <c r="V9290">
        <v>-1.7793679999999999E-3</v>
      </c>
      <c r="W9290">
        <v>3.857428E-3</v>
      </c>
      <c r="X9290">
        <v>0.99999099999999996</v>
      </c>
      <c r="Y9290">
        <v>0.23518249999999999</v>
      </c>
      <c r="Z9290">
        <v>-3.8132690000000002E-3</v>
      </c>
      <c r="AA9290">
        <v>0.97194369999999997</v>
      </c>
      <c r="AB9290">
        <v>19</v>
      </c>
      <c r="AC9290">
        <v>41.878300000000003</v>
      </c>
      <c r="AD9290">
        <v>-1.0308986499999999</v>
      </c>
      <c r="AE9290">
        <v>-8.4375599999999906</v>
      </c>
      <c r="AF9290">
        <v>10.0674220634041</v>
      </c>
      <c r="AG9290">
        <v>-1.0308986499999999</v>
      </c>
      <c r="AH9290">
        <v>41.491056792757398</v>
      </c>
      <c r="AI9290">
        <v>91.383176094051507</v>
      </c>
      <c r="AJ9290">
        <v>76.361288111823896</v>
      </c>
      <c r="AK9290">
        <v>42.707417772667</v>
      </c>
      <c r="AL9290">
        <v>89.778985112795695</v>
      </c>
      <c r="AM9290">
        <v>90.101951086561996</v>
      </c>
      <c r="AN9290">
        <v>1.0000000229911199</v>
      </c>
    </row>
    <row r="9291" spans="1:40" x14ac:dyDescent="0.25">
      <c r="A9291" t="str">
        <f>"20190312154136812"</f>
        <v>20190312154136812</v>
      </c>
      <c r="B9291" t="str">
        <f>"1552376496805554"</f>
        <v>1552376496805554</v>
      </c>
      <c r="C9291" t="s">
        <v>40</v>
      </c>
      <c r="D9291">
        <v>4.1069809999999896</v>
      </c>
      <c r="E9291">
        <v>0.59183839999999999</v>
      </c>
      <c r="F9291" t="s">
        <v>69</v>
      </c>
      <c r="G9291">
        <v>-177.05709999999999</v>
      </c>
      <c r="H9291">
        <v>7.9987340000000004E-2</v>
      </c>
      <c r="I9291">
        <v>-71.089550000000003</v>
      </c>
      <c r="J9291">
        <v>-219.77340000000001</v>
      </c>
      <c r="K9291">
        <v>1.11086</v>
      </c>
      <c r="L9291">
        <v>-62.487850000000002</v>
      </c>
      <c r="M9291">
        <v>0.9991061</v>
      </c>
      <c r="N9291">
        <v>0</v>
      </c>
      <c r="O9291">
        <v>3.9815709999999997E-2</v>
      </c>
      <c r="P9291">
        <v>0.99906980000000001</v>
      </c>
      <c r="Q9291">
        <v>-9.8921809999999999E-3</v>
      </c>
      <c r="R9291">
        <v>4.1976779999999998E-2</v>
      </c>
      <c r="S9291">
        <v>3.0268549999999999</v>
      </c>
      <c r="T9291">
        <v>-7.2887540000000001E-2</v>
      </c>
      <c r="U9291">
        <v>-0.60784910000000003</v>
      </c>
      <c r="V9291">
        <v>-2.166552E-3</v>
      </c>
      <c r="W9291">
        <v>4.3075580000000004E-3</v>
      </c>
      <c r="X9291">
        <v>0.9999884</v>
      </c>
      <c r="Y9291">
        <v>0.23569509999999999</v>
      </c>
      <c r="Z9291">
        <v>-3.7593710000000001E-3</v>
      </c>
      <c r="AA9291">
        <v>0.97181980000000001</v>
      </c>
      <c r="AB9291">
        <v>19</v>
      </c>
      <c r="AC9291">
        <v>42.716299999999997</v>
      </c>
      <c r="AD9291">
        <v>-1.03087266</v>
      </c>
      <c r="AE9291">
        <v>-8.6016999999999992</v>
      </c>
      <c r="AF9291">
        <v>10.2900697755752</v>
      </c>
      <c r="AG9291">
        <v>-1.03087266</v>
      </c>
      <c r="AH9291">
        <v>42.316218862014097</v>
      </c>
      <c r="AI9291">
        <v>91.356015481012406</v>
      </c>
      <c r="AJ9291">
        <v>76.332610503551905</v>
      </c>
      <c r="AK9291">
        <v>43.561572666803698</v>
      </c>
      <c r="AL9291">
        <v>89.753194349403103</v>
      </c>
      <c r="AM9291">
        <v>90.124135531437204</v>
      </c>
      <c r="AN9291">
        <v>1.0000000245690199</v>
      </c>
    </row>
    <row r="9292" spans="1:40" x14ac:dyDescent="0.25">
      <c r="A9292" t="str">
        <f>"20190312154136824"</f>
        <v>20190312154136824</v>
      </c>
      <c r="B9292" t="str">
        <f>"1552376496815314"</f>
        <v>1552376496815314</v>
      </c>
      <c r="C9292" t="s">
        <v>40</v>
      </c>
      <c r="D9292">
        <v>4.136355</v>
      </c>
      <c r="E9292">
        <v>0.59209829999999997</v>
      </c>
      <c r="F9292" t="s">
        <v>69</v>
      </c>
      <c r="G9292">
        <v>-174.9624</v>
      </c>
      <c r="H9292">
        <v>7.9987359999999993E-2</v>
      </c>
      <c r="I9292">
        <v>-71.455799999999996</v>
      </c>
      <c r="J9292">
        <v>-219.68010000000001</v>
      </c>
      <c r="K9292">
        <v>1.1108359999999999</v>
      </c>
      <c r="L9292">
        <v>-62.483429999999998</v>
      </c>
      <c r="M9292">
        <v>0.99908319999999995</v>
      </c>
      <c r="N9292">
        <v>0</v>
      </c>
      <c r="O9292">
        <v>4.0388680000000003E-2</v>
      </c>
      <c r="P9292">
        <v>0.99903149999999996</v>
      </c>
      <c r="Q9292">
        <v>-9.722451E-3</v>
      </c>
      <c r="R9292">
        <v>4.2915109999999999E-2</v>
      </c>
      <c r="S9292">
        <v>3.027542</v>
      </c>
      <c r="T9292">
        <v>-6.9648269999999998E-2</v>
      </c>
      <c r="U9292">
        <v>-0.60589599999999999</v>
      </c>
      <c r="V9292">
        <v>-2.5322790000000001E-3</v>
      </c>
      <c r="W9292">
        <v>4.4734969999999999E-3</v>
      </c>
      <c r="X9292">
        <v>0.99998679999999995</v>
      </c>
      <c r="Y9292">
        <v>0.23561370000000001</v>
      </c>
      <c r="Z9292">
        <v>-3.6039069999999999E-3</v>
      </c>
      <c r="AA9292">
        <v>0.97184009999999998</v>
      </c>
      <c r="AB9292">
        <v>19</v>
      </c>
      <c r="AC9292">
        <v>44.717700000000001</v>
      </c>
      <c r="AD9292">
        <v>-1.0308486400000001</v>
      </c>
      <c r="AE9292">
        <v>-8.9723699999999909</v>
      </c>
      <c r="AF9292">
        <v>10.765818675624001</v>
      </c>
      <c r="AG9292">
        <v>-1.0308486400000001</v>
      </c>
      <c r="AH9292">
        <v>44.296157785450099</v>
      </c>
      <c r="AI9292">
        <v>91.295433939114403</v>
      </c>
      <c r="AJ9292">
        <v>76.339589546656796</v>
      </c>
      <c r="AK9292">
        <v>45.597314561589002</v>
      </c>
      <c r="AL9292">
        <v>89.743686650509304</v>
      </c>
      <c r="AM9292">
        <v>90.145090504312805</v>
      </c>
      <c r="AN9292">
        <v>1.0000000123932899</v>
      </c>
    </row>
    <row r="9293" spans="1:40" x14ac:dyDescent="0.25">
      <c r="A9293" t="str">
        <f>"20190312154136834"</f>
        <v>20190312154136834</v>
      </c>
      <c r="B9293" t="str">
        <f>"1552376496825074"</f>
        <v>1552376496825074</v>
      </c>
      <c r="C9293" t="s">
        <v>40</v>
      </c>
      <c r="D9293">
        <v>4.1501669999999997</v>
      </c>
      <c r="E9293">
        <v>0.59229119999999902</v>
      </c>
      <c r="F9293" t="s">
        <v>69</v>
      </c>
      <c r="G9293">
        <v>-175.2388</v>
      </c>
      <c r="H9293">
        <v>7.9987349999999999E-2</v>
      </c>
      <c r="I9293">
        <v>-71.364130000000003</v>
      </c>
      <c r="J9293">
        <v>-219.5865</v>
      </c>
      <c r="K9293">
        <v>1.1108089999999999</v>
      </c>
      <c r="L9293">
        <v>-62.478999999999999</v>
      </c>
      <c r="M9293">
        <v>0.99906050000000002</v>
      </c>
      <c r="N9293">
        <v>0</v>
      </c>
      <c r="O9293">
        <v>4.0945330000000002E-2</v>
      </c>
      <c r="P9293">
        <v>0.99899660000000001</v>
      </c>
      <c r="Q9293">
        <v>-9.5192439999999996E-3</v>
      </c>
      <c r="R9293">
        <v>4.3762530000000001E-2</v>
      </c>
      <c r="S9293">
        <v>3.0282439999999999</v>
      </c>
      <c r="T9293">
        <v>-7.0242289999999999E-2</v>
      </c>
      <c r="U9293">
        <v>-0.60513309999999998</v>
      </c>
      <c r="V9293">
        <v>-2.8231430000000002E-3</v>
      </c>
      <c r="W9293">
        <v>4.6732889999999997E-3</v>
      </c>
      <c r="X9293">
        <v>0.99998509999999996</v>
      </c>
      <c r="Y9293">
        <v>0.235875</v>
      </c>
      <c r="Z9293">
        <v>-3.6497019999999999E-3</v>
      </c>
      <c r="AA9293">
        <v>0.97177650000000004</v>
      </c>
      <c r="AB9293">
        <v>19</v>
      </c>
      <c r="AC9293">
        <v>44.347700000000003</v>
      </c>
      <c r="AD9293">
        <v>-1.03082165</v>
      </c>
      <c r="AE9293">
        <v>-8.8851300000000002</v>
      </c>
      <c r="AF9293">
        <v>10.688139781935901</v>
      </c>
      <c r="AG9293">
        <v>-1.03082165</v>
      </c>
      <c r="AH9293">
        <v>43.923845079463497</v>
      </c>
      <c r="AI9293">
        <v>91.306289036520795</v>
      </c>
      <c r="AJ9293">
        <v>76.323814428744598</v>
      </c>
      <c r="AK9293">
        <v>45.217287532945001</v>
      </c>
      <c r="AL9293">
        <v>89.732239290553807</v>
      </c>
      <c r="AM9293">
        <v>90.161756159283598</v>
      </c>
      <c r="AN9293">
        <v>1.0000000049942399</v>
      </c>
    </row>
    <row r="9294" spans="1:40" x14ac:dyDescent="0.25">
      <c r="A9294" t="str">
        <f>"20190312154136845"</f>
        <v>20190312154136845</v>
      </c>
      <c r="B9294" t="str">
        <f>"1552376496835810"</f>
        <v>1552376496835810</v>
      </c>
      <c r="C9294" t="s">
        <v>40</v>
      </c>
      <c r="D9294">
        <v>4.1348459999999996</v>
      </c>
      <c r="E9294">
        <v>0.59274869999999902</v>
      </c>
      <c r="F9294" t="s">
        <v>43</v>
      </c>
      <c r="G9294">
        <v>-167.87729999999999</v>
      </c>
      <c r="H9294">
        <v>-0.05</v>
      </c>
      <c r="I9294">
        <v>-72.791749999999993</v>
      </c>
      <c r="J9294">
        <v>-219.4967</v>
      </c>
      <c r="K9294">
        <v>1.110784</v>
      </c>
      <c r="L9294">
        <v>-62.474730000000001</v>
      </c>
      <c r="M9294">
        <v>0.99903989999999998</v>
      </c>
      <c r="N9294">
        <v>0</v>
      </c>
      <c r="O9294">
        <v>4.1446709999999998E-2</v>
      </c>
      <c r="P9294">
        <v>0.99896969999999996</v>
      </c>
      <c r="Q9294">
        <v>-9.0011369999999993E-3</v>
      </c>
      <c r="R9294">
        <v>4.4484240000000001E-2</v>
      </c>
      <c r="S9294">
        <v>3.0288390000000001</v>
      </c>
      <c r="T9294">
        <v>-6.799376E-2</v>
      </c>
      <c r="U9294">
        <v>-0.60406490000000002</v>
      </c>
      <c r="V9294">
        <v>-3.0434310000000001E-3</v>
      </c>
      <c r="W9294">
        <v>5.1882669999999999E-3</v>
      </c>
      <c r="X9294">
        <v>0.99998189999999998</v>
      </c>
      <c r="Y9294">
        <v>0.23600080000000001</v>
      </c>
      <c r="Z9294">
        <v>-3.5448979999999999E-3</v>
      </c>
      <c r="AA9294">
        <v>0.97174640000000001</v>
      </c>
      <c r="AB9294">
        <v>19</v>
      </c>
      <c r="AC9294">
        <v>51.619399999999999</v>
      </c>
      <c r="AD9294">
        <v>-1.160784</v>
      </c>
      <c r="AE9294">
        <v>-10.3170199999999</v>
      </c>
      <c r="AF9294">
        <v>12.4417728937707</v>
      </c>
      <c r="AG9294">
        <v>-1.160784</v>
      </c>
      <c r="AH9294">
        <v>51.1225270366537</v>
      </c>
      <c r="AI9294">
        <v>91.263851943048806</v>
      </c>
      <c r="AJ9294">
        <v>76.321747807371494</v>
      </c>
      <c r="AK9294">
        <v>52.627539395721499</v>
      </c>
      <c r="AL9294">
        <v>89.702732861420898</v>
      </c>
      <c r="AM9294">
        <v>90.174378369387696</v>
      </c>
      <c r="AN9294">
        <v>0.99999999045716204</v>
      </c>
    </row>
    <row r="9295" spans="1:40" x14ac:dyDescent="0.25">
      <c r="A9295" t="str">
        <f>"20190312154136856"</f>
        <v>20190312154136856</v>
      </c>
      <c r="B9295" t="str">
        <f>"1552376496845570"</f>
        <v>1552376496845570</v>
      </c>
      <c r="C9295" t="s">
        <v>40</v>
      </c>
      <c r="D9295">
        <v>4.1143970000000003</v>
      </c>
      <c r="E9295">
        <v>0.5929449</v>
      </c>
      <c r="F9295" t="s">
        <v>43</v>
      </c>
      <c r="G9295">
        <v>-167.37190000000001</v>
      </c>
      <c r="H9295">
        <v>-0.05</v>
      </c>
      <c r="I9295">
        <v>-72.894030000000001</v>
      </c>
      <c r="J9295">
        <v>-219.40600000000001</v>
      </c>
      <c r="K9295">
        <v>1.110757</v>
      </c>
      <c r="L9295">
        <v>-62.470370000000003</v>
      </c>
      <c r="M9295">
        <v>0.99901930000000005</v>
      </c>
      <c r="N9295">
        <v>0</v>
      </c>
      <c r="O9295">
        <v>4.194403E-2</v>
      </c>
      <c r="P9295">
        <v>0.99895100000000003</v>
      </c>
      <c r="Q9295">
        <v>-9.0597090000000009E-3</v>
      </c>
      <c r="R9295">
        <v>4.488847E-2</v>
      </c>
      <c r="S9295">
        <v>3.0294490000000001</v>
      </c>
      <c r="T9295">
        <v>-6.7463640000000005E-2</v>
      </c>
      <c r="U9295">
        <v>-0.60556030000000005</v>
      </c>
      <c r="V9295">
        <v>-2.9504499999999999E-3</v>
      </c>
      <c r="W9295">
        <v>5.1272330000000001E-3</v>
      </c>
      <c r="X9295">
        <v>0.9999825</v>
      </c>
      <c r="Y9295">
        <v>0.23690890000000001</v>
      </c>
      <c r="Z9295">
        <v>-3.5373990000000001E-3</v>
      </c>
      <c r="AA9295">
        <v>0.97152539999999998</v>
      </c>
      <c r="AB9295">
        <v>19</v>
      </c>
      <c r="AC9295">
        <v>52.034099999999903</v>
      </c>
      <c r="AD9295">
        <v>-1.160757</v>
      </c>
      <c r="AE9295">
        <v>-10.42366</v>
      </c>
      <c r="AF9295">
        <v>12.5912002955791</v>
      </c>
      <c r="AG9295">
        <v>-1.160757</v>
      </c>
      <c r="AH9295">
        <v>51.526392700382502</v>
      </c>
      <c r="AI9295">
        <v>91.253633519376905</v>
      </c>
      <c r="AJ9295">
        <v>76.268075911461096</v>
      </c>
      <c r="AK9295">
        <v>53.055205460072202</v>
      </c>
      <c r="AL9295">
        <v>89.706229900495799</v>
      </c>
      <c r="AM9295">
        <v>90.169050800508103</v>
      </c>
      <c r="AN9295">
        <v>0.99999999698984399</v>
      </c>
    </row>
    <row r="9296" spans="1:40" x14ac:dyDescent="0.25">
      <c r="A9296" t="str">
        <f>"20190312154136868"</f>
        <v>20190312154136868</v>
      </c>
      <c r="B9296" t="str">
        <f>"1552376496855330"</f>
        <v>1552376496855330</v>
      </c>
      <c r="C9296" t="s">
        <v>40</v>
      </c>
      <c r="D9296">
        <v>4.1073789999999999</v>
      </c>
      <c r="E9296">
        <v>0.59323979999999998</v>
      </c>
      <c r="F9296" t="s">
        <v>43</v>
      </c>
      <c r="G9296">
        <v>-167.73849999999999</v>
      </c>
      <c r="H9296">
        <v>-0.05</v>
      </c>
      <c r="I9296">
        <v>-72.803069999999906</v>
      </c>
      <c r="J9296">
        <v>-219.3133</v>
      </c>
      <c r="K9296">
        <v>1.1107309999999999</v>
      </c>
      <c r="L9296">
        <v>-62.465879999999999</v>
      </c>
      <c r="M9296">
        <v>0.99899950000000004</v>
      </c>
      <c r="N9296">
        <v>0</v>
      </c>
      <c r="O9296">
        <v>4.2411499999999998E-2</v>
      </c>
      <c r="P9296">
        <v>0.99893799999999999</v>
      </c>
      <c r="Q9296">
        <v>-9.2993150000000007E-3</v>
      </c>
      <c r="R9296">
        <v>4.5124810000000001E-2</v>
      </c>
      <c r="S9296">
        <v>3.0297239999999999</v>
      </c>
      <c r="T9296">
        <v>-6.8065399999999998E-2</v>
      </c>
      <c r="U9296">
        <v>-0.60589599999999999</v>
      </c>
      <c r="V9296">
        <v>-2.718238E-3</v>
      </c>
      <c r="W9296">
        <v>4.8850029999999997E-3</v>
      </c>
      <c r="X9296">
        <v>0.9999844</v>
      </c>
      <c r="Y9296">
        <v>0.23744860000000001</v>
      </c>
      <c r="Z9296">
        <v>-3.585005E-3</v>
      </c>
      <c r="AA9296">
        <v>0.97139350000000002</v>
      </c>
      <c r="AB9296">
        <v>19</v>
      </c>
      <c r="AC9296">
        <v>51.574800000000003</v>
      </c>
      <c r="AD9296">
        <v>-1.160731</v>
      </c>
      <c r="AE9296">
        <v>-10.3371899999999</v>
      </c>
      <c r="AF9296">
        <v>12.5093803711551</v>
      </c>
      <c r="AG9296">
        <v>-1.160731</v>
      </c>
      <c r="AH9296">
        <v>51.065059178172703</v>
      </c>
      <c r="AI9296">
        <v>91.264750442911506</v>
      </c>
      <c r="AJ9296">
        <v>76.235349631560794</v>
      </c>
      <c r="AK9296">
        <v>52.587756774698903</v>
      </c>
      <c r="AL9296">
        <v>89.720108839319394</v>
      </c>
      <c r="AM9296">
        <v>90.155745611146401</v>
      </c>
      <c r="AN9296">
        <v>1.00000002615774</v>
      </c>
    </row>
    <row r="9297" spans="1:40" x14ac:dyDescent="0.25">
      <c r="A9297" t="str">
        <f>"20190312154136879"</f>
        <v>20190312154136879</v>
      </c>
      <c r="B9297" t="str">
        <f>"1552376496875825"</f>
        <v>1552376496875825</v>
      </c>
      <c r="C9297" t="s">
        <v>40</v>
      </c>
      <c r="D9297">
        <v>4.0897690000000004</v>
      </c>
      <c r="E9297">
        <v>0.59386149999999904</v>
      </c>
      <c r="F9297" t="s">
        <v>43</v>
      </c>
      <c r="G9297">
        <v>-168.66550000000001</v>
      </c>
      <c r="H9297">
        <v>-0.05</v>
      </c>
      <c r="I9297">
        <v>-72.620219999999904</v>
      </c>
      <c r="J9297">
        <v>-219.21879999999999</v>
      </c>
      <c r="K9297">
        <v>1.1107009999999999</v>
      </c>
      <c r="L9297">
        <v>-62.461329999999997</v>
      </c>
      <c r="M9297">
        <v>0.99897979999999997</v>
      </c>
      <c r="N9297">
        <v>0</v>
      </c>
      <c r="O9297">
        <v>4.2878180000000002E-2</v>
      </c>
      <c r="P9297">
        <v>0.99893500000000002</v>
      </c>
      <c r="Q9297">
        <v>-9.4904870000000006E-3</v>
      </c>
      <c r="R9297">
        <v>4.5157629999999997E-2</v>
      </c>
      <c r="S9297">
        <v>3.0299990000000001</v>
      </c>
      <c r="T9297">
        <v>-6.9440719999999997E-2</v>
      </c>
      <c r="U9297">
        <v>-0.60748290000000005</v>
      </c>
      <c r="V9297">
        <v>-2.2833720000000001E-3</v>
      </c>
      <c r="W9297">
        <v>4.6909320000000001E-3</v>
      </c>
      <c r="X9297">
        <v>0.99998640000000005</v>
      </c>
      <c r="Y9297">
        <v>0.23837140000000001</v>
      </c>
      <c r="Z9297">
        <v>-3.677989E-3</v>
      </c>
      <c r="AA9297">
        <v>0.97116709999999995</v>
      </c>
      <c r="AB9297">
        <v>19</v>
      </c>
      <c r="AC9297">
        <v>50.553299999999901</v>
      </c>
      <c r="AD9297">
        <v>-1.160701</v>
      </c>
      <c r="AE9297">
        <v>-10.1588899999999</v>
      </c>
      <c r="AF9297">
        <v>12.3111582232047</v>
      </c>
      <c r="AG9297">
        <v>-1.160701</v>
      </c>
      <c r="AH9297">
        <v>50.045800653288097</v>
      </c>
      <c r="AI9297">
        <v>91.290159918506802</v>
      </c>
      <c r="AJ9297">
        <v>76.1797778592708</v>
      </c>
      <c r="AK9297">
        <v>51.550887544608102</v>
      </c>
      <c r="AL9297">
        <v>89.731228411226795</v>
      </c>
      <c r="AM9297">
        <v>90.130829130559903</v>
      </c>
      <c r="AN9297">
        <v>1.0000000094078301</v>
      </c>
    </row>
    <row r="9298" spans="1:40" x14ac:dyDescent="0.25">
      <c r="A9298" t="str">
        <f>"20190312154136890"</f>
        <v>20190312154136890</v>
      </c>
      <c r="B9298" t="str">
        <f>"1552376496885586"</f>
        <v>1552376496885586</v>
      </c>
      <c r="C9298" t="s">
        <v>40</v>
      </c>
      <c r="D9298">
        <v>4.0956580000000002</v>
      </c>
      <c r="E9298">
        <v>0.59420629999999997</v>
      </c>
      <c r="F9298" t="s">
        <v>69</v>
      </c>
      <c r="G9298">
        <v>-175.4342</v>
      </c>
      <c r="H9298">
        <v>7.9987320000000001E-2</v>
      </c>
      <c r="I9298">
        <v>-71.309269999999998</v>
      </c>
      <c r="J9298">
        <v>-219.12549999999999</v>
      </c>
      <c r="K9298">
        <v>1.1106769999999999</v>
      </c>
      <c r="L9298">
        <v>-62.456789999999998</v>
      </c>
      <c r="M9298">
        <v>0.99896130000000005</v>
      </c>
      <c r="N9298">
        <v>0</v>
      </c>
      <c r="O9298">
        <v>4.3305259999999998E-2</v>
      </c>
      <c r="P9298">
        <v>0.99893189999999998</v>
      </c>
      <c r="Q9298">
        <v>-9.1403390000000008E-3</v>
      </c>
      <c r="R9298">
        <v>4.5294220000000003E-2</v>
      </c>
      <c r="S9298">
        <v>3.0301819999999999</v>
      </c>
      <c r="T9298">
        <v>-7.1332220000000002E-2</v>
      </c>
      <c r="U9298">
        <v>-0.61233519999999997</v>
      </c>
      <c r="V9298">
        <v>-1.9925009999999998E-3</v>
      </c>
      <c r="W9298">
        <v>5.0380650000000004E-3</v>
      </c>
      <c r="X9298">
        <v>0.99998529999999997</v>
      </c>
      <c r="Y9298">
        <v>0.2402649</v>
      </c>
      <c r="Z9298">
        <v>-3.8093689999999999E-3</v>
      </c>
      <c r="AA9298">
        <v>0.97069989999999995</v>
      </c>
      <c r="AB9298">
        <v>19</v>
      </c>
      <c r="AC9298">
        <v>43.691299999999899</v>
      </c>
      <c r="AD9298">
        <v>-1.0306896800000001</v>
      </c>
      <c r="AE9298">
        <v>-8.8524799999999892</v>
      </c>
      <c r="AF9298">
        <v>10.730690813136899</v>
      </c>
      <c r="AG9298">
        <v>-1.0306896800000001</v>
      </c>
      <c r="AH9298">
        <v>43.243790681180101</v>
      </c>
      <c r="AI9298">
        <v>91.325177071851598</v>
      </c>
      <c r="AJ9298">
        <v>76.063881256958993</v>
      </c>
      <c r="AK9298">
        <v>44.567201830733303</v>
      </c>
      <c r="AL9298">
        <v>89.711338910567505</v>
      </c>
      <c r="AM9298">
        <v>90.114163425097303</v>
      </c>
      <c r="AN9298">
        <v>0.99999997618763403</v>
      </c>
    </row>
    <row r="9299" spans="1:40" x14ac:dyDescent="0.25">
      <c r="A9299" t="str">
        <f>"20190312154136902"</f>
        <v>20190312154136902</v>
      </c>
      <c r="B9299" t="str">
        <f>"1552376496895346"</f>
        <v>1552376496895346</v>
      </c>
      <c r="C9299" t="s">
        <v>40</v>
      </c>
      <c r="D9299">
        <v>4.1071010000000001</v>
      </c>
      <c r="E9299">
        <v>0.59451369999999903</v>
      </c>
      <c r="F9299" t="s">
        <v>43</v>
      </c>
      <c r="G9299">
        <v>-169.2064</v>
      </c>
      <c r="H9299">
        <v>-0.05</v>
      </c>
      <c r="I9299">
        <v>-72.582750000000004</v>
      </c>
      <c r="J9299">
        <v>-219.03139999999999</v>
      </c>
      <c r="K9299">
        <v>1.1106560000000001</v>
      </c>
      <c r="L9299">
        <v>-62.452210000000001</v>
      </c>
      <c r="M9299">
        <v>0.99894320000000003</v>
      </c>
      <c r="N9299">
        <v>0</v>
      </c>
      <c r="O9299">
        <v>4.3721990000000002E-2</v>
      </c>
      <c r="P9299">
        <v>0.99894590000000005</v>
      </c>
      <c r="Q9299">
        <v>-8.7429510000000005E-3</v>
      </c>
      <c r="R9299">
        <v>4.5067370000000002E-2</v>
      </c>
      <c r="S9299">
        <v>3.0304410000000002</v>
      </c>
      <c r="T9299">
        <v>-7.0461270000000006E-2</v>
      </c>
      <c r="U9299">
        <v>-0.61471560000000003</v>
      </c>
      <c r="V9299">
        <v>-1.3483E-3</v>
      </c>
      <c r="W9299">
        <v>5.4333580000000001E-3</v>
      </c>
      <c r="X9299">
        <v>0.99998430000000005</v>
      </c>
      <c r="Y9299">
        <v>0.2413875</v>
      </c>
      <c r="Z9299">
        <v>-3.7847919999999999E-3</v>
      </c>
      <c r="AA9299">
        <v>0.97042139999999999</v>
      </c>
      <c r="AB9299">
        <v>19</v>
      </c>
      <c r="AC9299">
        <v>49.824999999999903</v>
      </c>
      <c r="AD9299">
        <v>-1.1606559999999999</v>
      </c>
      <c r="AE9299">
        <v>-10.13054</v>
      </c>
      <c r="AF9299">
        <v>12.2931116431063</v>
      </c>
      <c r="AG9299">
        <v>-1.1606559999999999</v>
      </c>
      <c r="AH9299">
        <v>49.308678055787801</v>
      </c>
      <c r="AI9299">
        <v>91.308378266175495</v>
      </c>
      <c r="AJ9299">
        <v>76.001009283472001</v>
      </c>
      <c r="AK9299">
        <v>50.831225126191299</v>
      </c>
      <c r="AL9299">
        <v>89.688689976875494</v>
      </c>
      <c r="AM9299">
        <v>90.077253065576699</v>
      </c>
      <c r="AN9299">
        <v>0.99999996976926697</v>
      </c>
    </row>
    <row r="9300" spans="1:40" x14ac:dyDescent="0.25">
      <c r="A9300" t="str">
        <f>"20190312154136912"</f>
        <v>20190312154136912</v>
      </c>
      <c r="B9300" t="str">
        <f>"1552376496905106"</f>
        <v>1552376496905106</v>
      </c>
      <c r="C9300" t="s">
        <v>40</v>
      </c>
      <c r="D9300">
        <v>4.0851959999999998</v>
      </c>
      <c r="E9300">
        <v>0.59479169999999904</v>
      </c>
      <c r="F9300" t="s">
        <v>43</v>
      </c>
      <c r="G9300">
        <v>-168.1456</v>
      </c>
      <c r="H9300">
        <v>-0.05</v>
      </c>
      <c r="I9300">
        <v>-72.827029999999993</v>
      </c>
      <c r="J9300">
        <v>-218.93620000000001</v>
      </c>
      <c r="K9300">
        <v>1.1106370000000001</v>
      </c>
      <c r="L9300">
        <v>-62.447569999999899</v>
      </c>
      <c r="M9300">
        <v>0.99892570000000003</v>
      </c>
      <c r="N9300">
        <v>0</v>
      </c>
      <c r="O9300">
        <v>4.4122830000000002E-2</v>
      </c>
      <c r="P9300">
        <v>0.99895369999999994</v>
      </c>
      <c r="Q9300">
        <v>-8.3100029999999998E-3</v>
      </c>
      <c r="R9300">
        <v>4.4975109999999999E-2</v>
      </c>
      <c r="S9300">
        <v>3.0304410000000002</v>
      </c>
      <c r="T9300">
        <v>-6.9121479999999999E-2</v>
      </c>
      <c r="U9300">
        <v>-0.61785889999999999</v>
      </c>
      <c r="V9300">
        <v>-8.5430249999999999E-4</v>
      </c>
      <c r="W9300">
        <v>5.8639340000000003E-3</v>
      </c>
      <c r="X9300">
        <v>0.99998240000000005</v>
      </c>
      <c r="Y9300">
        <v>0.24274560000000001</v>
      </c>
      <c r="Z9300">
        <v>-3.7368620000000001E-3</v>
      </c>
      <c r="AA9300">
        <v>0.97008280000000002</v>
      </c>
      <c r="AB9300">
        <v>19</v>
      </c>
      <c r="AC9300">
        <v>50.790599999999998</v>
      </c>
      <c r="AD9300">
        <v>-1.1606369999999999</v>
      </c>
      <c r="AE9300">
        <v>-10.37946</v>
      </c>
      <c r="AF9300">
        <v>12.6042814569506</v>
      </c>
      <c r="AG9300">
        <v>-1.1606369999999999</v>
      </c>
      <c r="AH9300">
        <v>50.257916739999899</v>
      </c>
      <c r="AI9300">
        <v>91.2832061427887</v>
      </c>
      <c r="AJ9300">
        <v>75.9210576924348</v>
      </c>
      <c r="AK9300">
        <v>51.8273401240751</v>
      </c>
      <c r="AL9300">
        <v>89.664019390814602</v>
      </c>
      <c r="AM9300">
        <v>90.048948777267597</v>
      </c>
      <c r="AN9300">
        <v>0.99999995793223795</v>
      </c>
    </row>
    <row r="9301" spans="1:40" x14ac:dyDescent="0.25">
      <c r="A9301" t="str">
        <f>"20190312154136924"</f>
        <v>20190312154136924</v>
      </c>
      <c r="B9301" t="str">
        <f>"1552376496915842"</f>
        <v>1552376496915842</v>
      </c>
      <c r="C9301" t="s">
        <v>40</v>
      </c>
      <c r="D9301">
        <v>4.2295639999999999</v>
      </c>
      <c r="E9301">
        <v>0.59426579999999996</v>
      </c>
      <c r="F9301" t="s">
        <v>43</v>
      </c>
      <c r="G9301">
        <v>-166.68599999999901</v>
      </c>
      <c r="H9301">
        <v>-0.05</v>
      </c>
      <c r="I9301">
        <v>-73.141890000000004</v>
      </c>
      <c r="J9301">
        <v>-218.84270000000001</v>
      </c>
      <c r="K9301">
        <v>1.1106180000000001</v>
      </c>
      <c r="L9301">
        <v>-62.442959999999999</v>
      </c>
      <c r="M9301">
        <v>0.99890900000000005</v>
      </c>
      <c r="N9301">
        <v>0</v>
      </c>
      <c r="O9301">
        <v>4.4498620000000003E-2</v>
      </c>
      <c r="P9301">
        <v>0.99895919999999905</v>
      </c>
      <c r="Q9301">
        <v>-7.4862119999999999E-3</v>
      </c>
      <c r="R9301">
        <v>4.4999209999999998E-2</v>
      </c>
      <c r="S9301">
        <v>3.0305179999999998</v>
      </c>
      <c r="T9301">
        <v>-6.7317009999999997E-2</v>
      </c>
      <c r="U9301">
        <v>-0.62026979999999998</v>
      </c>
      <c r="V9301">
        <v>-5.0240039999999999E-4</v>
      </c>
      <c r="W9301">
        <v>6.6845569999999998E-3</v>
      </c>
      <c r="X9301">
        <v>0.99997749999999996</v>
      </c>
      <c r="Y9301">
        <v>0.24384980000000001</v>
      </c>
      <c r="Z9301">
        <v>-3.659369E-3</v>
      </c>
      <c r="AA9301">
        <v>0.9698061</v>
      </c>
      <c r="AB9301">
        <v>19</v>
      </c>
      <c r="AC9301">
        <v>52.156700000000001</v>
      </c>
      <c r="AD9301">
        <v>-1.1606179999999999</v>
      </c>
      <c r="AE9301">
        <v>-10.698930000000001</v>
      </c>
      <c r="AF9301">
        <v>13.003285194618501</v>
      </c>
      <c r="AG9301">
        <v>-1.1606179999999999</v>
      </c>
      <c r="AH9301">
        <v>51.604368835716897</v>
      </c>
      <c r="AI9301">
        <v>91.249364278780703</v>
      </c>
      <c r="AJ9301">
        <v>75.857016951228701</v>
      </c>
      <c r="AK9301">
        <v>53.2300980924065</v>
      </c>
      <c r="AL9301">
        <v>89.617000231451797</v>
      </c>
      <c r="AM9301">
        <v>90.028786067810202</v>
      </c>
      <c r="AN9301">
        <v>0.99999996810734804</v>
      </c>
    </row>
    <row r="9302" spans="1:40" x14ac:dyDescent="0.25">
      <c r="A9302" t="str">
        <f>"20190312154136935"</f>
        <v>20190312154136935</v>
      </c>
      <c r="B9302" t="str">
        <f>"1552376496925602"</f>
        <v>1552376496925602</v>
      </c>
      <c r="C9302" t="s">
        <v>40</v>
      </c>
      <c r="D9302">
        <v>4.2369719999999997</v>
      </c>
      <c r="E9302">
        <v>0.59391249999999995</v>
      </c>
      <c r="F9302" t="s">
        <v>69</v>
      </c>
      <c r="G9302">
        <v>-175.6711</v>
      </c>
      <c r="H9302">
        <v>7.9987320000000001E-2</v>
      </c>
      <c r="I9302">
        <v>-71.218760000000003</v>
      </c>
      <c r="J9302">
        <v>-218.74979999999999</v>
      </c>
      <c r="K9302">
        <v>1.110603</v>
      </c>
      <c r="L9302">
        <v>-62.438389999999998</v>
      </c>
      <c r="M9302">
        <v>0.99889289999999997</v>
      </c>
      <c r="N9302">
        <v>0</v>
      </c>
      <c r="O9302">
        <v>4.4861150000000002E-2</v>
      </c>
      <c r="P9302">
        <v>0.99894950000000005</v>
      </c>
      <c r="Q9302">
        <v>-7.1120510000000003E-3</v>
      </c>
      <c r="R9302">
        <v>4.527204E-2</v>
      </c>
      <c r="S9302">
        <v>3.0303339999999999</v>
      </c>
      <c r="T9302">
        <v>-7.2342870000000004E-2</v>
      </c>
      <c r="U9302">
        <v>-0.61599729999999997</v>
      </c>
      <c r="V9302">
        <v>-4.1227899999999999E-4</v>
      </c>
      <c r="W9302">
        <v>7.0560029999999999E-3</v>
      </c>
      <c r="X9302">
        <v>0.99997499999999995</v>
      </c>
      <c r="Y9302">
        <v>0.24288999999999999</v>
      </c>
      <c r="Z9302">
        <v>-3.9305169999999997E-3</v>
      </c>
      <c r="AA9302">
        <v>0.97004590000000002</v>
      </c>
      <c r="AB9302">
        <v>19</v>
      </c>
      <c r="AC9302">
        <v>43.078699999999998</v>
      </c>
      <c r="AD9302">
        <v>-1.0306156799999999</v>
      </c>
      <c r="AE9302">
        <v>-8.7803699999999907</v>
      </c>
      <c r="AF9302">
        <v>10.698403085610501</v>
      </c>
      <c r="AG9302">
        <v>-1.0306156799999999</v>
      </c>
      <c r="AH9302">
        <v>42.617964227328699</v>
      </c>
      <c r="AI9302">
        <v>91.343621999365894</v>
      </c>
      <c r="AJ9302">
        <v>75.908207169156697</v>
      </c>
      <c r="AK9302">
        <v>43.952347743254101</v>
      </c>
      <c r="AL9302">
        <v>89.595717444604702</v>
      </c>
      <c r="AM9302">
        <v>90.023622435904301</v>
      </c>
      <c r="AN9302">
        <v>0.999999978888654</v>
      </c>
    </row>
    <row r="9303" spans="1:40" x14ac:dyDescent="0.25">
      <c r="A9303" t="str">
        <f>"20190312154136946"</f>
        <v>20190312154136946</v>
      </c>
      <c r="B9303" t="str">
        <f>"1552376496935362"</f>
        <v>1552376496935362</v>
      </c>
      <c r="C9303" t="s">
        <v>40</v>
      </c>
      <c r="D9303">
        <v>4.2152849999999997</v>
      </c>
      <c r="E9303">
        <v>0.59367819999999905</v>
      </c>
      <c r="F9303" t="s">
        <v>69</v>
      </c>
      <c r="G9303">
        <v>-177.49590000000001</v>
      </c>
      <c r="H9303">
        <v>7.9987349999999999E-2</v>
      </c>
      <c r="I9303">
        <v>-70.77516</v>
      </c>
      <c r="J9303">
        <v>-218.66319999999999</v>
      </c>
      <c r="K9303">
        <v>1.110592</v>
      </c>
      <c r="L9303">
        <v>-62.434109999999997</v>
      </c>
      <c r="M9303">
        <v>0.99887859999999995</v>
      </c>
      <c r="N9303">
        <v>0</v>
      </c>
      <c r="O9303">
        <v>4.5179400000000002E-2</v>
      </c>
      <c r="P9303">
        <v>0.9989287</v>
      </c>
      <c r="Q9303">
        <v>-6.807128E-3</v>
      </c>
      <c r="R9303">
        <v>4.5775349999999999E-2</v>
      </c>
      <c r="S9303">
        <v>3.0303960000000001</v>
      </c>
      <c r="T9303">
        <v>-7.5706120000000002E-2</v>
      </c>
      <c r="U9303">
        <v>-0.61239619999999995</v>
      </c>
      <c r="V9303">
        <v>-5.977628E-4</v>
      </c>
      <c r="W9303">
        <v>7.3578339999999997E-3</v>
      </c>
      <c r="X9303">
        <v>0.9999728</v>
      </c>
      <c r="Y9303">
        <v>0.2420805</v>
      </c>
      <c r="Z9303">
        <v>-4.1114599999999999E-3</v>
      </c>
      <c r="AA9303">
        <v>0.97024739999999998</v>
      </c>
      <c r="AB9303">
        <v>19</v>
      </c>
      <c r="AC9303">
        <v>41.167299999999898</v>
      </c>
      <c r="AD9303">
        <v>-1.0306046499999999</v>
      </c>
      <c r="AE9303">
        <v>-8.3410499999999992</v>
      </c>
      <c r="AF9303">
        <v>10.1864990113899</v>
      </c>
      <c r="AG9303">
        <v>-1.0306046499999999</v>
      </c>
      <c r="AH9303">
        <v>40.723857468776501</v>
      </c>
      <c r="AI9303">
        <v>91.406372054112495</v>
      </c>
      <c r="AJ9303">
        <v>75.956427939103904</v>
      </c>
      <c r="AK9303">
        <v>41.991183303056303</v>
      </c>
      <c r="AL9303">
        <v>89.578423381707296</v>
      </c>
      <c r="AM9303">
        <v>90.034250213116096</v>
      </c>
      <c r="AN9303">
        <v>1.0000000478906801</v>
      </c>
    </row>
    <row r="9304" spans="1:40" x14ac:dyDescent="0.25">
      <c r="A9304" t="str">
        <f>"20190312154136956"</f>
        <v>20190312154136956</v>
      </c>
      <c r="B9304" t="str">
        <f>"1552376496945122"</f>
        <v>1552376496945122</v>
      </c>
      <c r="C9304" t="s">
        <v>40</v>
      </c>
      <c r="D9304">
        <v>4.1856790000000004</v>
      </c>
      <c r="E9304">
        <v>0.59331599999999995</v>
      </c>
      <c r="F9304" t="s">
        <v>69</v>
      </c>
      <c r="G9304">
        <v>-178.97989999999999</v>
      </c>
      <c r="H9304">
        <v>7.9987429999999998E-2</v>
      </c>
      <c r="I9304">
        <v>-70.407809999999998</v>
      </c>
      <c r="J9304">
        <v>-218.57390000000001</v>
      </c>
      <c r="K9304">
        <v>1.1105780000000001</v>
      </c>
      <c r="L9304">
        <v>-62.429690000000001</v>
      </c>
      <c r="M9304">
        <v>0.99886390000000003</v>
      </c>
      <c r="N9304">
        <v>0</v>
      </c>
      <c r="O9304">
        <v>4.5503849999999998E-2</v>
      </c>
      <c r="P9304">
        <v>0.99890699999999999</v>
      </c>
      <c r="Q9304">
        <v>-6.3752840000000002E-3</v>
      </c>
      <c r="R9304">
        <v>4.6310959999999998E-2</v>
      </c>
      <c r="S9304">
        <v>3.0305939999999998</v>
      </c>
      <c r="T9304">
        <v>-7.8706860000000003E-2</v>
      </c>
      <c r="U9304">
        <v>-0.60894780000000004</v>
      </c>
      <c r="V9304">
        <v>-8.0899330000000003E-4</v>
      </c>
      <c r="W9304">
        <v>7.7869740000000003E-3</v>
      </c>
      <c r="X9304">
        <v>0.99996940000000001</v>
      </c>
      <c r="Y9304">
        <v>0.24131540000000001</v>
      </c>
      <c r="Z9304">
        <v>-4.2730870000000001E-3</v>
      </c>
      <c r="AA9304">
        <v>0.97043729999999995</v>
      </c>
      <c r="AB9304">
        <v>19</v>
      </c>
      <c r="AC9304">
        <v>39.594000000000001</v>
      </c>
      <c r="AD9304">
        <v>-1.03059057</v>
      </c>
      <c r="AE9304">
        <v>-7.9781199999999899</v>
      </c>
      <c r="AF9304">
        <v>9.7653562730942998</v>
      </c>
      <c r="AG9304">
        <v>-1.03059057</v>
      </c>
      <c r="AH9304">
        <v>39.164408466013697</v>
      </c>
      <c r="AI9304">
        <v>91.462599784293204</v>
      </c>
      <c r="AJ9304">
        <v>75.999211440745597</v>
      </c>
      <c r="AK9304">
        <v>40.3766664121272</v>
      </c>
      <c r="AL9304">
        <v>89.553834766133306</v>
      </c>
      <c r="AM9304">
        <v>90.046353310043003</v>
      </c>
      <c r="AN9304">
        <v>1.00000004618529</v>
      </c>
    </row>
    <row r="9305" spans="1:40" x14ac:dyDescent="0.25">
      <c r="A9305" t="str">
        <f>"20190312154136968"</f>
        <v>20190312154136968</v>
      </c>
      <c r="B9305" t="str">
        <f>"1552376496955858"</f>
        <v>1552376496955858</v>
      </c>
      <c r="C9305" t="s">
        <v>40</v>
      </c>
      <c r="D9305">
        <v>4.1927190000000003</v>
      </c>
      <c r="E9305">
        <v>0.59305319999999995</v>
      </c>
      <c r="F9305" t="s">
        <v>69</v>
      </c>
      <c r="G9305">
        <v>-179.6353</v>
      </c>
      <c r="H9305">
        <v>7.9987520000000006E-2</v>
      </c>
      <c r="I9305">
        <v>-70.195660000000004</v>
      </c>
      <c r="J9305">
        <v>-218.48079999999999</v>
      </c>
      <c r="K9305">
        <v>1.1105670000000001</v>
      </c>
      <c r="L9305">
        <v>-62.425049999999999</v>
      </c>
      <c r="M9305">
        <v>0.9988494</v>
      </c>
      <c r="N9305">
        <v>0</v>
      </c>
      <c r="O9305">
        <v>4.5821870000000001E-2</v>
      </c>
      <c r="P9305">
        <v>0.99888449999999995</v>
      </c>
      <c r="Q9305">
        <v>-6.1418699999999998E-3</v>
      </c>
      <c r="R9305">
        <v>4.6823040000000003E-2</v>
      </c>
      <c r="S9305">
        <v>3.0307770000000001</v>
      </c>
      <c r="T9305">
        <v>-8.0215690000000006E-2</v>
      </c>
      <c r="U9305">
        <v>-0.60446169999999899</v>
      </c>
      <c r="V9305">
        <v>-1.003058E-3</v>
      </c>
      <c r="W9305">
        <v>8.0172790000000004E-3</v>
      </c>
      <c r="X9305">
        <v>0.9999673</v>
      </c>
      <c r="Y9305">
        <v>0.24022850000000001</v>
      </c>
      <c r="Z9305">
        <v>-4.3494390000000001E-3</v>
      </c>
      <c r="AA9305">
        <v>0.97070659999999998</v>
      </c>
      <c r="AB9305">
        <v>19</v>
      </c>
      <c r="AC9305">
        <v>38.845499999999902</v>
      </c>
      <c r="AD9305">
        <v>-1.0305794800000001</v>
      </c>
      <c r="AE9305">
        <v>-7.7706099999999996</v>
      </c>
      <c r="AF9305">
        <v>9.5361442179459903</v>
      </c>
      <c r="AG9305">
        <v>-1.0305794800000001</v>
      </c>
      <c r="AH9305">
        <v>38.422586713891498</v>
      </c>
      <c r="AI9305">
        <v>91.491211461498295</v>
      </c>
      <c r="AJ9305">
        <v>76.061343480786903</v>
      </c>
      <c r="AK9305">
        <v>39.601708427750602</v>
      </c>
      <c r="AL9305">
        <v>89.540638802336602</v>
      </c>
      <c r="AM9305">
        <v>90.057472850093404</v>
      </c>
      <c r="AN9305">
        <v>0.99999994197859998</v>
      </c>
    </row>
    <row r="9306" spans="1:40" x14ac:dyDescent="0.25">
      <c r="A9306" t="str">
        <f>"20190312154136980"</f>
        <v>20190312154136980</v>
      </c>
      <c r="B9306" t="str">
        <f>"1552376496975379"</f>
        <v>1552376496975379</v>
      </c>
      <c r="C9306" t="s">
        <v>40</v>
      </c>
      <c r="D9306">
        <v>4.2024089999999896</v>
      </c>
      <c r="E9306">
        <v>0.59268219999999905</v>
      </c>
      <c r="F9306" t="s">
        <v>69</v>
      </c>
      <c r="G9306">
        <v>-180.62020000000001</v>
      </c>
      <c r="H9306">
        <v>7.9987779999999994E-2</v>
      </c>
      <c r="I9306">
        <v>-69.929310000000001</v>
      </c>
      <c r="J9306">
        <v>-218.38990000000001</v>
      </c>
      <c r="K9306">
        <v>1.1105590000000001</v>
      </c>
      <c r="L9306">
        <v>-62.420529999999999</v>
      </c>
      <c r="M9306">
        <v>0.99883529999999998</v>
      </c>
      <c r="N9306">
        <v>0</v>
      </c>
      <c r="O9306">
        <v>4.6128990000000002E-2</v>
      </c>
      <c r="P9306">
        <v>0.99885619999999997</v>
      </c>
      <c r="Q9306">
        <v>-6.0073640000000003E-3</v>
      </c>
      <c r="R9306">
        <v>4.7437890000000003E-2</v>
      </c>
      <c r="S9306">
        <v>3.0310060000000001</v>
      </c>
      <c r="T9306">
        <v>-8.2505110000000006E-2</v>
      </c>
      <c r="U9306">
        <v>-0.600769</v>
      </c>
      <c r="V9306">
        <v>-1.3106070000000001E-3</v>
      </c>
      <c r="W9306">
        <v>8.1493580000000006E-3</v>
      </c>
      <c r="X9306">
        <v>0.99996589999999996</v>
      </c>
      <c r="Y9306">
        <v>0.23936969999999999</v>
      </c>
      <c r="Z9306">
        <v>-4.470435E-3</v>
      </c>
      <c r="AA9306">
        <v>0.97091819999999895</v>
      </c>
      <c r="AB9306">
        <v>18</v>
      </c>
      <c r="AC9306">
        <v>37.7697</v>
      </c>
      <c r="AD9306">
        <v>-1.0305712199999999</v>
      </c>
      <c r="AE9306">
        <v>-7.50877999999999</v>
      </c>
      <c r="AF9306">
        <v>9.2366224698825992</v>
      </c>
      <c r="AG9306">
        <v>-1.0305712199999999</v>
      </c>
      <c r="AH9306">
        <v>37.356324046300799</v>
      </c>
      <c r="AI9306">
        <v>91.534076988773094</v>
      </c>
      <c r="AJ9306">
        <v>76.111754968183504</v>
      </c>
      <c r="AK9306">
        <v>38.495093426862397</v>
      </c>
      <c r="AL9306">
        <v>89.533070996342204</v>
      </c>
      <c r="AM9306">
        <v>90.075094767433896</v>
      </c>
      <c r="AN9306">
        <v>0.99999996544466396</v>
      </c>
    </row>
    <row r="9307" spans="1:40" x14ac:dyDescent="0.25">
      <c r="A9307" t="str">
        <f>"20190312154136990"</f>
        <v>20190312154136990</v>
      </c>
      <c r="B9307" t="str">
        <f>"1552376496985139"</f>
        <v>1552376496985139</v>
      </c>
      <c r="C9307" t="s">
        <v>40</v>
      </c>
      <c r="D9307">
        <v>4.2111739999999998</v>
      </c>
      <c r="E9307">
        <v>0.59247109999999903</v>
      </c>
      <c r="F9307" t="s">
        <v>69</v>
      </c>
      <c r="G9307">
        <v>-181.24969999999999</v>
      </c>
      <c r="H9307">
        <v>4.1501299999999998E-2</v>
      </c>
      <c r="I9307">
        <v>-69.721999999999994</v>
      </c>
      <c r="J9307">
        <v>-218.29349999999999</v>
      </c>
      <c r="K9307">
        <v>1.1105499999999999</v>
      </c>
      <c r="L9307">
        <v>-62.415709999999997</v>
      </c>
      <c r="M9307">
        <v>0.99882090000000001</v>
      </c>
      <c r="N9307">
        <v>0</v>
      </c>
      <c r="O9307">
        <v>4.6441700000000002E-2</v>
      </c>
      <c r="P9307">
        <v>0.99883509999999998</v>
      </c>
      <c r="Q9307">
        <v>-6.042426E-3</v>
      </c>
      <c r="R9307">
        <v>4.7878480000000001E-2</v>
      </c>
      <c r="S9307">
        <v>3.0312350000000001</v>
      </c>
      <c r="T9307">
        <v>-8.7252259999999998E-2</v>
      </c>
      <c r="U9307">
        <v>-0.59591669999999997</v>
      </c>
      <c r="V9307">
        <v>-1.4388719999999999E-3</v>
      </c>
      <c r="W9307">
        <v>8.1107360000000003E-3</v>
      </c>
      <c r="X9307">
        <v>0.99996609999999997</v>
      </c>
      <c r="Y9307">
        <v>0.2381519</v>
      </c>
      <c r="Z9307">
        <v>-4.7194860000000002E-3</v>
      </c>
      <c r="AA9307">
        <v>0.97121639999999998</v>
      </c>
      <c r="AB9307">
        <v>18</v>
      </c>
      <c r="AC9307">
        <v>37.043799999999997</v>
      </c>
      <c r="AD9307">
        <v>-1.0690487</v>
      </c>
      <c r="AE9307">
        <v>-7.30628999999999</v>
      </c>
      <c r="AF9307">
        <v>9.0117297078811003</v>
      </c>
      <c r="AG9307">
        <v>-1.0690487</v>
      </c>
      <c r="AH9307">
        <v>36.635102498282798</v>
      </c>
      <c r="AI9307">
        <v>91.623114998572007</v>
      </c>
      <c r="AJ9307">
        <v>76.180405953509506</v>
      </c>
      <c r="AK9307">
        <v>37.7423485293452</v>
      </c>
      <c r="AL9307">
        <v>89.535283976116105</v>
      </c>
      <c r="AM9307">
        <v>90.082444030814202</v>
      </c>
      <c r="AN9307">
        <v>1.00000002777015</v>
      </c>
    </row>
    <row r="9308" spans="1:40" x14ac:dyDescent="0.25">
      <c r="A9308" t="str">
        <f>"20190312154137002"</f>
        <v>20190312154137002</v>
      </c>
      <c r="B9308" t="str">
        <f>"1552376496994898"</f>
        <v>1552376496994898</v>
      </c>
      <c r="C9308" t="s">
        <v>40</v>
      </c>
      <c r="D9308">
        <v>4.2088000000000001</v>
      </c>
      <c r="E9308">
        <v>0.59233649999999904</v>
      </c>
      <c r="F9308" t="s">
        <v>69</v>
      </c>
      <c r="G9308">
        <v>-181.17679999999999</v>
      </c>
      <c r="H9308">
        <v>1.137932E-2</v>
      </c>
      <c r="I9308">
        <v>-69.674869999999999</v>
      </c>
      <c r="J9308">
        <v>-218.19810000000001</v>
      </c>
      <c r="K9308">
        <v>1.110547</v>
      </c>
      <c r="L9308">
        <v>-62.410919999999997</v>
      </c>
      <c r="M9308">
        <v>0.99880650000000004</v>
      </c>
      <c r="N9308">
        <v>0</v>
      </c>
      <c r="O9308">
        <v>4.6747839999999999E-2</v>
      </c>
      <c r="P9308">
        <v>0.99880800000000003</v>
      </c>
      <c r="Q9308">
        <v>-6.3337659999999898E-3</v>
      </c>
      <c r="R9308">
        <v>4.8398959999999998E-2</v>
      </c>
      <c r="S9308">
        <v>3.0313720000000002</v>
      </c>
      <c r="T9308">
        <v>-8.9770669999999997E-2</v>
      </c>
      <c r="U9308">
        <v>-0.59286499999999998</v>
      </c>
      <c r="V9308">
        <v>-1.6534449999999999E-3</v>
      </c>
      <c r="W9308">
        <v>7.8170140000000006E-3</v>
      </c>
      <c r="X9308">
        <v>0.99996810000000003</v>
      </c>
      <c r="Y9308">
        <v>0.23749310000000001</v>
      </c>
      <c r="Z9308">
        <v>-4.855224E-3</v>
      </c>
      <c r="AA9308">
        <v>0.97137709999999999</v>
      </c>
      <c r="AB9308">
        <v>18</v>
      </c>
      <c r="AC9308">
        <v>37.021299999999997</v>
      </c>
      <c r="AD9308">
        <v>-1.0991676800000001</v>
      </c>
      <c r="AE9308">
        <v>-7.2639500000000004</v>
      </c>
      <c r="AF9308">
        <v>8.9792241801636692</v>
      </c>
      <c r="AG9308">
        <v>-1.0991676800000001</v>
      </c>
      <c r="AH9308">
        <v>36.610133710994397</v>
      </c>
      <c r="AI9308">
        <v>91.670234491830399</v>
      </c>
      <c r="AJ9308">
        <v>76.219317926520603</v>
      </c>
      <c r="AK9308">
        <v>37.711225474694899</v>
      </c>
      <c r="AL9308">
        <v>89.552113537016595</v>
      </c>
      <c r="AM9308">
        <v>90.094738355973405</v>
      </c>
      <c r="AN9308">
        <v>1.00000002030292</v>
      </c>
    </row>
    <row r="9309" spans="1:40" x14ac:dyDescent="0.25">
      <c r="A9309" t="str">
        <f>"20190312154137012"</f>
        <v>20190312154137012</v>
      </c>
      <c r="B9309" t="str">
        <f>"1552376497005634"</f>
        <v>1552376497005634</v>
      </c>
      <c r="C9309" t="s">
        <v>40</v>
      </c>
      <c r="D9309">
        <v>4.190626</v>
      </c>
      <c r="E9309">
        <v>0.5922231</v>
      </c>
      <c r="F9309" t="s">
        <v>69</v>
      </c>
      <c r="G9309">
        <v>-181.93510000000001</v>
      </c>
      <c r="H9309" s="1">
        <v>-7.1417809999999996E-6</v>
      </c>
      <c r="I9309">
        <v>-69.471549999999993</v>
      </c>
      <c r="J9309">
        <v>-218.1129</v>
      </c>
      <c r="K9309">
        <v>1.1105449999999999</v>
      </c>
      <c r="L9309">
        <v>-62.406590000000001</v>
      </c>
      <c r="M9309">
        <v>0.99879399999999996</v>
      </c>
      <c r="N9309">
        <v>0</v>
      </c>
      <c r="O9309">
        <v>4.7016580000000002E-2</v>
      </c>
      <c r="P9309">
        <v>0.99879010000000001</v>
      </c>
      <c r="Q9309">
        <v>-6.2899219999999999E-3</v>
      </c>
      <c r="R9309">
        <v>4.8775199999999998E-2</v>
      </c>
      <c r="S9309">
        <v>3.0316010000000002</v>
      </c>
      <c r="T9309">
        <v>-9.28427E-2</v>
      </c>
      <c r="U9309">
        <v>-0.59027099999999999</v>
      </c>
      <c r="V9309">
        <v>-1.7607300000000001E-3</v>
      </c>
      <c r="W9309">
        <v>7.8584980000000002E-3</v>
      </c>
      <c r="X9309">
        <v>0.99996759999999996</v>
      </c>
      <c r="Y9309">
        <v>0.2369317</v>
      </c>
      <c r="Z9309">
        <v>-5.0209759999999999E-3</v>
      </c>
      <c r="AA9309">
        <v>0.97151330000000002</v>
      </c>
      <c r="AB9309">
        <v>18</v>
      </c>
      <c r="AC9309">
        <v>36.177799999999898</v>
      </c>
      <c r="AD9309">
        <v>-1.110552141781</v>
      </c>
      <c r="AE9309">
        <v>-7.0649599999999904</v>
      </c>
      <c r="AF9309">
        <v>8.7503292799064205</v>
      </c>
      <c r="AG9309">
        <v>-1.110552141781</v>
      </c>
      <c r="AH9309">
        <v>35.773108788623702</v>
      </c>
      <c r="AI9309">
        <v>91.727248190292201</v>
      </c>
      <c r="AJ9309">
        <v>76.254978999295403</v>
      </c>
      <c r="AK9309">
        <v>36.844496210005502</v>
      </c>
      <c r="AL9309">
        <v>89.5497366096766</v>
      </c>
      <c r="AM9309">
        <v>90.100885562296796</v>
      </c>
      <c r="AN9309">
        <v>1.0000000286053501</v>
      </c>
    </row>
    <row r="9310" spans="1:40" x14ac:dyDescent="0.25">
      <c r="A9310" t="str">
        <f>"20190312154137024"</f>
        <v>20190312154137024</v>
      </c>
      <c r="B9310" t="str">
        <f>"1552376497015395"</f>
        <v>1552376497015395</v>
      </c>
      <c r="C9310" t="s">
        <v>40</v>
      </c>
      <c r="D9310">
        <v>4.2197680000000002</v>
      </c>
      <c r="E9310">
        <v>0.5922231</v>
      </c>
      <c r="F9310" t="s">
        <v>69</v>
      </c>
      <c r="G9310">
        <v>-182.85980000000001</v>
      </c>
      <c r="H9310" s="1">
        <v>-7.3251880000000003E-6</v>
      </c>
      <c r="I9310">
        <v>-69.245359999999906</v>
      </c>
      <c r="J9310">
        <v>-218.0206</v>
      </c>
      <c r="K9310">
        <v>1.1105449999999999</v>
      </c>
      <c r="L9310">
        <v>-62.401919999999997</v>
      </c>
      <c r="M9310">
        <v>0.99878029999999995</v>
      </c>
      <c r="N9310">
        <v>0</v>
      </c>
      <c r="O9310">
        <v>4.7306689999999998E-2</v>
      </c>
      <c r="P9310">
        <v>0.99877380000000004</v>
      </c>
      <c r="Q9310">
        <v>-6.2141200000000001E-3</v>
      </c>
      <c r="R9310">
        <v>4.9118990000000001E-2</v>
      </c>
      <c r="S9310">
        <v>3.0317690000000002</v>
      </c>
      <c r="T9310">
        <v>-9.5507499999999995E-2</v>
      </c>
      <c r="U9310">
        <v>-0.58813479999999996</v>
      </c>
      <c r="V9310">
        <v>-1.814609E-3</v>
      </c>
      <c r="W9310">
        <v>7.9314520000000003E-3</v>
      </c>
      <c r="X9310">
        <v>0.99996689999999999</v>
      </c>
      <c r="Y9310">
        <v>0.23653669999999999</v>
      </c>
      <c r="Z9310">
        <v>-5.1679830000000001E-3</v>
      </c>
      <c r="AA9310">
        <v>0.97160880000000005</v>
      </c>
      <c r="AB9310">
        <v>18</v>
      </c>
      <c r="AC9310">
        <v>35.160799999999902</v>
      </c>
      <c r="AD9310">
        <v>-1.1105523251880001</v>
      </c>
      <c r="AE9310">
        <v>-6.8434399999999904</v>
      </c>
      <c r="AF9310">
        <v>8.4911224023304293</v>
      </c>
      <c r="AG9310">
        <v>-1.1105523251880001</v>
      </c>
      <c r="AH9310">
        <v>34.764238334052202</v>
      </c>
      <c r="AI9310">
        <v>91.777488633676299</v>
      </c>
      <c r="AJ9310">
        <v>76.274311431799703</v>
      </c>
      <c r="AK9310">
        <v>35.803418175715102</v>
      </c>
      <c r="AL9310">
        <v>89.545556510637496</v>
      </c>
      <c r="AM9310">
        <v>90.103972764540501</v>
      </c>
      <c r="AN9310">
        <v>1.0000000009161301</v>
      </c>
    </row>
    <row r="9311" spans="1:40" x14ac:dyDescent="0.25">
      <c r="A9311" t="str">
        <f>"20190312154137034"</f>
        <v>20190312154137034</v>
      </c>
      <c r="B9311" t="str">
        <f>"1552376497025155"</f>
        <v>1552376497025155</v>
      </c>
      <c r="C9311" t="s">
        <v>40</v>
      </c>
      <c r="D9311">
        <v>4.2112109999999996</v>
      </c>
      <c r="E9311">
        <v>0.59196289999999996</v>
      </c>
      <c r="F9311" t="s">
        <v>69</v>
      </c>
      <c r="G9311">
        <v>-182.83150000000001</v>
      </c>
      <c r="H9311" s="1">
        <v>-7.332519E-6</v>
      </c>
      <c r="I9311">
        <v>-69.215419999999995</v>
      </c>
      <c r="J9311">
        <v>-217.93029999999999</v>
      </c>
      <c r="K9311">
        <v>1.1105449999999999</v>
      </c>
      <c r="L9311">
        <v>-62.39734</v>
      </c>
      <c r="M9311">
        <v>0.99876679999999995</v>
      </c>
      <c r="N9311">
        <v>0</v>
      </c>
      <c r="O9311">
        <v>4.7589439999999997E-2</v>
      </c>
      <c r="P9311">
        <v>0.99877490000000002</v>
      </c>
      <c r="Q9311">
        <v>-6.2223340000000004E-3</v>
      </c>
      <c r="R9311">
        <v>4.908858E-2</v>
      </c>
      <c r="S9311">
        <v>3.0319669999999999</v>
      </c>
      <c r="T9311">
        <v>-9.5687750000000002E-2</v>
      </c>
      <c r="U9311">
        <v>-0.58706669999999905</v>
      </c>
      <c r="V9311">
        <v>-1.500861E-3</v>
      </c>
      <c r="W9311">
        <v>7.9209620000000001E-3</v>
      </c>
      <c r="X9311">
        <v>0.99996750000000001</v>
      </c>
      <c r="Y9311">
        <v>0.23646929999999999</v>
      </c>
      <c r="Z9311">
        <v>-5.1853680000000001E-3</v>
      </c>
      <c r="AA9311">
        <v>0.97162510000000002</v>
      </c>
      <c r="AB9311">
        <v>18</v>
      </c>
      <c r="AC9311">
        <v>35.098799999999898</v>
      </c>
      <c r="AD9311">
        <v>-1.1105523325190001</v>
      </c>
      <c r="AE9311">
        <v>-6.8180799999999904</v>
      </c>
      <c r="AF9311">
        <v>8.4726789610180706</v>
      </c>
      <c r="AG9311">
        <v>-1.1105523325190001</v>
      </c>
      <c r="AH9311">
        <v>34.701046086400297</v>
      </c>
      <c r="AI9311">
        <v>91.780759015100898</v>
      </c>
      <c r="AJ9311">
        <v>76.278999764131498</v>
      </c>
      <c r="AK9311">
        <v>35.737686197489303</v>
      </c>
      <c r="AL9311">
        <v>89.546157560757706</v>
      </c>
      <c r="AM9311">
        <v>90.085995731224102</v>
      </c>
      <c r="AN9311">
        <v>0.99999999763949798</v>
      </c>
    </row>
    <row r="9312" spans="1:40" x14ac:dyDescent="0.25">
      <c r="A9312" t="str">
        <f>"20190312154137046"</f>
        <v>20190312154137046</v>
      </c>
      <c r="B9312" t="str">
        <f>"1552376497034915"</f>
        <v>1552376497034915</v>
      </c>
      <c r="C9312" t="s">
        <v>40</v>
      </c>
      <c r="D9312">
        <v>4.1849530000000001</v>
      </c>
      <c r="E9312">
        <v>0.5927135</v>
      </c>
      <c r="F9312" t="s">
        <v>69</v>
      </c>
      <c r="G9312">
        <v>-200.45189999999999</v>
      </c>
      <c r="H9312" s="1">
        <v>-5.7850880000000004E-6</v>
      </c>
      <c r="I9312">
        <v>-65.769940000000005</v>
      </c>
      <c r="J9312">
        <v>-217.84010000000001</v>
      </c>
      <c r="K9312">
        <v>1.1105499999999999</v>
      </c>
      <c r="L9312">
        <v>-62.392699999999998</v>
      </c>
      <c r="M9312">
        <v>0.99875340000000001</v>
      </c>
      <c r="N9312">
        <v>0</v>
      </c>
      <c r="O9312">
        <v>4.7873300000000001E-2</v>
      </c>
      <c r="P9312">
        <v>0.9987876</v>
      </c>
      <c r="Q9312">
        <v>-6.15848E-3</v>
      </c>
      <c r="R9312">
        <v>4.8845050000000001E-2</v>
      </c>
      <c r="S9312">
        <v>3.0312350000000001</v>
      </c>
      <c r="T9312">
        <v>-0.1925992</v>
      </c>
      <c r="U9312">
        <v>-0.58489990000000003</v>
      </c>
      <c r="V9312">
        <v>-9.7301880000000003E-4</v>
      </c>
      <c r="W9312">
        <v>7.9824719999999991E-3</v>
      </c>
      <c r="X9312">
        <v>0.99996770000000001</v>
      </c>
      <c r="Y9312">
        <v>0.23570379999999999</v>
      </c>
      <c r="Z9312">
        <v>-1.0426319999999999E-2</v>
      </c>
      <c r="AA9312">
        <v>0.97176899999999999</v>
      </c>
      <c r="AB9312">
        <v>18</v>
      </c>
      <c r="AC9312">
        <v>17.388200000000001</v>
      </c>
      <c r="AD9312">
        <v>-1.1105557850879999</v>
      </c>
      <c r="AE9312">
        <v>-3.37724</v>
      </c>
      <c r="AF9312">
        <v>4.1894125448187998</v>
      </c>
      <c r="AG9312">
        <v>-1.1105557850879999</v>
      </c>
      <c r="AH9312">
        <v>17.139191109612</v>
      </c>
      <c r="AI9312">
        <v>93.601627306423197</v>
      </c>
      <c r="AJ9312">
        <v>76.264260084018005</v>
      </c>
      <c r="AK9312">
        <v>17.678698580898999</v>
      </c>
      <c r="AL9312">
        <v>89.542633202480999</v>
      </c>
      <c r="AM9312">
        <v>90.055751653810105</v>
      </c>
      <c r="AN9312">
        <v>1.00000003383405</v>
      </c>
    </row>
    <row r="9313" spans="1:40" x14ac:dyDescent="0.25">
      <c r="A9313" t="str">
        <f>"20190312154137057"</f>
        <v>20190312154137057</v>
      </c>
      <c r="B9313" t="str">
        <f>"1552376497045650"</f>
        <v>1552376497045650</v>
      </c>
      <c r="C9313" t="s">
        <v>40</v>
      </c>
      <c r="D9313">
        <v>4.1714799999999999</v>
      </c>
      <c r="E9313">
        <v>0.59335459999999995</v>
      </c>
      <c r="F9313" t="s">
        <v>69</v>
      </c>
      <c r="G9313">
        <v>-200.10560000000001</v>
      </c>
      <c r="H9313" s="1">
        <v>-5.9664129999999999E-6</v>
      </c>
      <c r="I9313">
        <v>-65.853969999999904</v>
      </c>
      <c r="J9313">
        <v>-217.75110000000001</v>
      </c>
      <c r="K9313">
        <v>1.1105560000000001</v>
      </c>
      <c r="L9313">
        <v>-62.388089999999998</v>
      </c>
      <c r="M9313">
        <v>0.99873999999999996</v>
      </c>
      <c r="N9313">
        <v>0</v>
      </c>
      <c r="O9313">
        <v>4.8153649999999999E-2</v>
      </c>
      <c r="P9313">
        <v>0.99878849999999997</v>
      </c>
      <c r="Q9313">
        <v>-6.1533600000000001E-3</v>
      </c>
      <c r="R9313">
        <v>4.882123E-2</v>
      </c>
      <c r="S9313">
        <v>3.0314030000000001</v>
      </c>
      <c r="T9313">
        <v>-0.1898302</v>
      </c>
      <c r="U9313">
        <v>-0.59164430000000001</v>
      </c>
      <c r="V9313">
        <v>-6.6832960000000005E-4</v>
      </c>
      <c r="W9313">
        <v>7.985331E-3</v>
      </c>
      <c r="X9313">
        <v>0.99996790000000002</v>
      </c>
      <c r="Y9313">
        <v>0.23806050000000001</v>
      </c>
      <c r="Z9313">
        <v>-1.0364460000000001E-2</v>
      </c>
      <c r="AA9313">
        <v>0.97119500000000003</v>
      </c>
      <c r="AB9313">
        <v>18</v>
      </c>
      <c r="AC9313">
        <v>17.645499999999998</v>
      </c>
      <c r="AD9313">
        <v>-1.110561966413</v>
      </c>
      <c r="AE9313">
        <v>-3.4658799999999799</v>
      </c>
      <c r="AF9313">
        <v>4.29525662768543</v>
      </c>
      <c r="AG9313">
        <v>-1.110561966413</v>
      </c>
      <c r="AH9313">
        <v>17.391782818755999</v>
      </c>
      <c r="AI9313">
        <v>93.547393391359805</v>
      </c>
      <c r="AJ9313">
        <v>76.127241825827298</v>
      </c>
      <c r="AK9313">
        <v>17.9487238263252</v>
      </c>
      <c r="AL9313">
        <v>89.542469376172605</v>
      </c>
      <c r="AM9313">
        <v>90.0382936889294</v>
      </c>
      <c r="AN9313">
        <v>1.0000000066030199</v>
      </c>
    </row>
    <row r="9314" spans="1:40" x14ac:dyDescent="0.25">
      <c r="A9314" t="str">
        <f>"20190312154137069"</f>
        <v>20190312154137069</v>
      </c>
      <c r="B9314" t="str">
        <f>"1552376497065173"</f>
        <v>1552376497065173</v>
      </c>
      <c r="C9314" t="s">
        <v>40</v>
      </c>
      <c r="D9314">
        <v>4.0949109999999997</v>
      </c>
      <c r="E9314">
        <v>0.57086250000000005</v>
      </c>
      <c r="F9314" t="s">
        <v>69</v>
      </c>
      <c r="G9314">
        <v>-201.6129</v>
      </c>
      <c r="H9314" s="1">
        <v>-5.1816259999999999E-6</v>
      </c>
      <c r="I9314">
        <v>-65.564980000000006</v>
      </c>
      <c r="J9314">
        <v>-217.65729999999999</v>
      </c>
      <c r="K9314">
        <v>1.110563</v>
      </c>
      <c r="L9314">
        <v>-62.383209999999998</v>
      </c>
      <c r="M9314">
        <v>0.99872539999999999</v>
      </c>
      <c r="N9314">
        <v>0</v>
      </c>
      <c r="O9314">
        <v>4.8454789999999998E-2</v>
      </c>
      <c r="P9314">
        <v>0.99879280000000004</v>
      </c>
      <c r="Q9314">
        <v>-6.2930640000000001E-3</v>
      </c>
      <c r="R9314">
        <v>4.8716910000000002E-2</v>
      </c>
      <c r="S9314">
        <v>3.0315249999999998</v>
      </c>
      <c r="T9314">
        <v>-0.2086162</v>
      </c>
      <c r="U9314">
        <v>-0.59677119999999995</v>
      </c>
      <c r="V9314">
        <v>-2.6303120000000001E-4</v>
      </c>
      <c r="W9314">
        <v>7.8437160000000006E-3</v>
      </c>
      <c r="X9314">
        <v>0.9999692</v>
      </c>
      <c r="Y9314">
        <v>0.23981060000000001</v>
      </c>
      <c r="Z9314">
        <v>-1.146577E-2</v>
      </c>
      <c r="AA9314">
        <v>0.97075199999999995</v>
      </c>
      <c r="AB9314">
        <v>18</v>
      </c>
      <c r="AC9314">
        <v>16.0443999999999</v>
      </c>
      <c r="AD9314">
        <v>-1.110568181626</v>
      </c>
      <c r="AE9314">
        <v>-3.1817700000000002</v>
      </c>
      <c r="AF9314">
        <v>3.9373865965252901</v>
      </c>
      <c r="AG9314">
        <v>-1.110568181626</v>
      </c>
      <c r="AH9314">
        <v>15.7985330927704</v>
      </c>
      <c r="AI9314">
        <v>93.902056612305998</v>
      </c>
      <c r="AJ9314">
        <v>76.005565969568494</v>
      </c>
      <c r="AK9314">
        <v>16.319620791547202</v>
      </c>
      <c r="AL9314">
        <v>89.5505835677683</v>
      </c>
      <c r="AM9314">
        <v>90.015071041480695</v>
      </c>
      <c r="AN9314">
        <v>0.99999999700736997</v>
      </c>
    </row>
    <row r="9315" spans="1:40" x14ac:dyDescent="0.25">
      <c r="A9315" t="str">
        <f>"20190312154137080"</f>
        <v>20190312154137080</v>
      </c>
      <c r="B9315" t="str">
        <f>"1552376497074930"</f>
        <v>1552376497074930</v>
      </c>
      <c r="C9315" t="s">
        <v>40</v>
      </c>
      <c r="D9315">
        <v>4.133013</v>
      </c>
      <c r="E9315">
        <v>0.5618417</v>
      </c>
      <c r="F9315" t="s">
        <v>69</v>
      </c>
      <c r="G9315">
        <v>-193.0214</v>
      </c>
      <c r="H9315" s="1">
        <v>-8.9329810000000004E-6</v>
      </c>
      <c r="I9315">
        <v>-65.789500000000004</v>
      </c>
      <c r="J9315">
        <v>-217.56800000000001</v>
      </c>
      <c r="K9315">
        <v>1.1105719999999999</v>
      </c>
      <c r="L9315">
        <v>-62.378570000000003</v>
      </c>
      <c r="M9315">
        <v>0.99871149999999997</v>
      </c>
      <c r="N9315">
        <v>0</v>
      </c>
      <c r="O9315">
        <v>4.874299E-2</v>
      </c>
      <c r="P9315">
        <v>0.99878670000000003</v>
      </c>
      <c r="Q9315">
        <v>-6.3566330000000004E-3</v>
      </c>
      <c r="R9315">
        <v>4.8835910000000003E-2</v>
      </c>
      <c r="S9315">
        <v>3.0231629999999998</v>
      </c>
      <c r="T9315">
        <v>-0.13628270000000001</v>
      </c>
      <c r="U9315">
        <v>-0.41799930000000002</v>
      </c>
      <c r="V9315" s="1">
        <v>-9.3498780000000005E-5</v>
      </c>
      <c r="W9315">
        <v>7.7774380000000002E-3</v>
      </c>
      <c r="X9315">
        <v>0.99996980000000002</v>
      </c>
      <c r="Y9315">
        <v>0.18485509999999999</v>
      </c>
      <c r="Z9315">
        <v>-6.3320080000000001E-3</v>
      </c>
      <c r="AA9315">
        <v>0.98274539999999999</v>
      </c>
      <c r="AB9315">
        <v>18</v>
      </c>
      <c r="AC9315">
        <v>24.546599999999899</v>
      </c>
      <c r="AD9315">
        <v>-1.1105809329809999</v>
      </c>
      <c r="AE9315">
        <v>-3.41093</v>
      </c>
      <c r="AF9315">
        <v>4.5942425624391401</v>
      </c>
      <c r="AG9315">
        <v>-1.1105809329809999</v>
      </c>
      <c r="AH9315">
        <v>24.302336949405699</v>
      </c>
      <c r="AI9315">
        <v>92.571036202359494</v>
      </c>
      <c r="AJ9315">
        <v>79.294836582291296</v>
      </c>
      <c r="AK9315">
        <v>24.757706596809001</v>
      </c>
      <c r="AL9315">
        <v>89.554381156505102</v>
      </c>
      <c r="AM9315">
        <v>90.005357247256796</v>
      </c>
      <c r="AN9315">
        <v>1.0000000490979499</v>
      </c>
    </row>
    <row r="9316" spans="1:40" x14ac:dyDescent="0.25">
      <c r="A9316" t="str">
        <f>"20190312154137092"</f>
        <v>20190312154137092</v>
      </c>
      <c r="B9316" t="str">
        <f>"1552376497085666"</f>
        <v>1552376497085666</v>
      </c>
      <c r="C9316" t="s">
        <v>40</v>
      </c>
      <c r="D9316">
        <v>4.0539310000000004</v>
      </c>
      <c r="E9316">
        <v>0.55146319999999904</v>
      </c>
      <c r="F9316" t="s">
        <v>69</v>
      </c>
      <c r="G9316">
        <v>-180.7972</v>
      </c>
      <c r="H9316" s="1">
        <v>-8.0621259999999997E-6</v>
      </c>
      <c r="I9316">
        <v>-66.590760000000003</v>
      </c>
      <c r="J9316">
        <v>-217.4701</v>
      </c>
      <c r="K9316">
        <v>1.110582</v>
      </c>
      <c r="L9316">
        <v>-62.37341</v>
      </c>
      <c r="M9316">
        <v>0.99869560000000002</v>
      </c>
      <c r="N9316">
        <v>0</v>
      </c>
      <c r="O9316">
        <v>4.9067060000000003E-2</v>
      </c>
      <c r="P9316">
        <v>0.99876770000000004</v>
      </c>
      <c r="Q9316">
        <v>-6.4031599999999998E-3</v>
      </c>
      <c r="R9316">
        <v>4.9217789999999997E-2</v>
      </c>
      <c r="S9316">
        <v>3.0199889999999998</v>
      </c>
      <c r="T9316">
        <v>-9.1211920000000002E-2</v>
      </c>
      <c r="U9316">
        <v>-0.34594730000000001</v>
      </c>
      <c r="V9316">
        <v>-1.519317E-4</v>
      </c>
      <c r="W9316">
        <v>7.7283250000000003E-3</v>
      </c>
      <c r="X9316">
        <v>0.99997009999999997</v>
      </c>
      <c r="Y9316">
        <v>0.162329</v>
      </c>
      <c r="Z9316">
        <v>-3.9203809999999997E-3</v>
      </c>
      <c r="AA9316">
        <v>0.98672890000000002</v>
      </c>
      <c r="AB9316">
        <v>18</v>
      </c>
      <c r="AC9316">
        <v>36.672899999999998</v>
      </c>
      <c r="AD9316">
        <v>-1.1105900621260001</v>
      </c>
      <c r="AE9316">
        <v>-4.2173499999999997</v>
      </c>
      <c r="AF9316">
        <v>6.0064434391171604</v>
      </c>
      <c r="AG9316">
        <v>-1.1105900621260001</v>
      </c>
      <c r="AH9316">
        <v>36.388827917752799</v>
      </c>
      <c r="AI9316">
        <v>91.724804816723903</v>
      </c>
      <c r="AJ9316">
        <v>80.627109653563807</v>
      </c>
      <c r="AK9316">
        <v>36.897934499118399</v>
      </c>
      <c r="AL9316">
        <v>89.557195175966498</v>
      </c>
      <c r="AM9316">
        <v>90.008705305405897</v>
      </c>
      <c r="AN9316">
        <v>0.99999997549227804</v>
      </c>
    </row>
    <row r="9317" spans="1:40" x14ac:dyDescent="0.25">
      <c r="A9317" t="str">
        <f>"20190312154137103"</f>
        <v>20190312154137103</v>
      </c>
      <c r="B9317" t="str">
        <f>"1552376497095426"</f>
        <v>1552376497095426</v>
      </c>
      <c r="C9317" t="s">
        <v>40</v>
      </c>
      <c r="D9317">
        <v>4.1639780000000002</v>
      </c>
      <c r="E9317">
        <v>0.55146319999999904</v>
      </c>
      <c r="F9317" t="s">
        <v>69</v>
      </c>
      <c r="G9317">
        <v>-179.95769999999999</v>
      </c>
      <c r="H9317">
        <v>1.179034E-2</v>
      </c>
      <c r="I9317">
        <v>-65.634270000000001</v>
      </c>
      <c r="J9317">
        <v>-217.38290000000001</v>
      </c>
      <c r="K9317">
        <v>1.1105929999999999</v>
      </c>
      <c r="L9317">
        <v>-62.368769999999998</v>
      </c>
      <c r="M9317">
        <v>0.99868109999999999</v>
      </c>
      <c r="N9317">
        <v>0</v>
      </c>
      <c r="O9317">
        <v>4.9361799999999997E-2</v>
      </c>
      <c r="P9317">
        <v>0.99874189999999996</v>
      </c>
      <c r="Q9317">
        <v>-6.2155989999999996E-3</v>
      </c>
      <c r="R9317">
        <v>4.9762550000000003E-2</v>
      </c>
      <c r="S9317">
        <v>3.0160369999999999</v>
      </c>
      <c r="T9317">
        <v>-8.8344099999999995E-2</v>
      </c>
      <c r="U9317">
        <v>-0.26217649999999998</v>
      </c>
      <c r="V9317">
        <v>-4.0226310000000001E-4</v>
      </c>
      <c r="W9317">
        <v>7.9138090000000008E-3</v>
      </c>
      <c r="X9317">
        <v>0.99996859999999999</v>
      </c>
      <c r="Y9317">
        <v>0.13559779999999999</v>
      </c>
      <c r="Z9317">
        <v>-3.4250940000000001E-3</v>
      </c>
      <c r="AA9317">
        <v>0.99075809999999997</v>
      </c>
      <c r="AB9317">
        <v>18</v>
      </c>
      <c r="AC9317">
        <v>37.425199999999997</v>
      </c>
      <c r="AD9317">
        <v>-1.09880266</v>
      </c>
      <c r="AE9317">
        <v>-3.2654999999999998</v>
      </c>
      <c r="AF9317">
        <v>5.1047109043409797</v>
      </c>
      <c r="AG9317">
        <v>-1.09880266</v>
      </c>
      <c r="AH9317">
        <v>37.186548272992802</v>
      </c>
      <c r="AI9317">
        <v>91.676789833401997</v>
      </c>
      <c r="AJ9317">
        <v>82.183685870326499</v>
      </c>
      <c r="AK9317">
        <v>37.551362334303398</v>
      </c>
      <c r="AL9317">
        <v>89.546567409384906</v>
      </c>
      <c r="AM9317">
        <v>90.023048700369799</v>
      </c>
      <c r="AN9317">
        <v>0.99999999558722497</v>
      </c>
    </row>
    <row r="9318" spans="1:40" x14ac:dyDescent="0.25">
      <c r="A9318" t="str">
        <f>"20190312154137113"</f>
        <v>20190312154137113</v>
      </c>
      <c r="B9318" t="str">
        <f>"1552376497105186"</f>
        <v>1552376497105186</v>
      </c>
      <c r="C9318" t="s">
        <v>40</v>
      </c>
      <c r="D9318">
        <v>4.0875079999999997</v>
      </c>
      <c r="E9318">
        <v>0.48882959999999898</v>
      </c>
      <c r="F9318" t="s">
        <v>69</v>
      </c>
      <c r="G9318">
        <v>-179.95769999999999</v>
      </c>
      <c r="H9318">
        <v>2.2683519999999999E-2</v>
      </c>
      <c r="I9318">
        <v>-65.601799999999997</v>
      </c>
      <c r="J9318">
        <v>-217.29300000000001</v>
      </c>
      <c r="K9318">
        <v>1.110603</v>
      </c>
      <c r="L9318">
        <v>-62.363979999999998</v>
      </c>
      <c r="M9318">
        <v>0.99866569999999999</v>
      </c>
      <c r="N9318">
        <v>0</v>
      </c>
      <c r="O9318">
        <v>4.9671809999999997E-2</v>
      </c>
      <c r="P9318">
        <v>0.99870559999999997</v>
      </c>
      <c r="Q9318">
        <v>-6.2854199999999999E-3</v>
      </c>
      <c r="R9318">
        <v>5.0476380000000001E-2</v>
      </c>
      <c r="S9318">
        <v>3.0162049999999998</v>
      </c>
      <c r="T9318">
        <v>-8.7677840000000007E-2</v>
      </c>
      <c r="U9318">
        <v>-0.26055909999999999</v>
      </c>
      <c r="V9318">
        <v>-8.0708560000000002E-4</v>
      </c>
      <c r="W9318">
        <v>7.8413319999999995E-3</v>
      </c>
      <c r="X9318">
        <v>0.99996890000000005</v>
      </c>
      <c r="Y9318">
        <v>0.13537439999999901</v>
      </c>
      <c r="Z9318">
        <v>-3.404916E-3</v>
      </c>
      <c r="AA9318">
        <v>0.99078860000000002</v>
      </c>
      <c r="AB9318">
        <v>18</v>
      </c>
      <c r="AC9318">
        <v>37.335299999999997</v>
      </c>
      <c r="AD9318">
        <v>-1.08791948</v>
      </c>
      <c r="AE9318">
        <v>-3.2378199999999899</v>
      </c>
      <c r="AF9318">
        <v>5.0842346357770003</v>
      </c>
      <c r="AG9318">
        <v>-1.08791948</v>
      </c>
      <c r="AH9318">
        <v>37.097095762734803</v>
      </c>
      <c r="AI9318">
        <v>91.664241735048506</v>
      </c>
      <c r="AJ9318">
        <v>82.196111973837205</v>
      </c>
      <c r="AK9318">
        <v>37.459678651266003</v>
      </c>
      <c r="AL9318">
        <v>89.550720152713595</v>
      </c>
      <c r="AM9318">
        <v>90.046244026733703</v>
      </c>
      <c r="AN9318">
        <v>0.99999996942095404</v>
      </c>
    </row>
    <row r="9319" spans="1:40" x14ac:dyDescent="0.25">
      <c r="A9319" t="str">
        <f>"20190312154137125"</f>
        <v>20190312154137125</v>
      </c>
      <c r="B9319" t="str">
        <f>"1552376497114946"</f>
        <v>1552376497114946</v>
      </c>
      <c r="C9319" t="s">
        <v>40</v>
      </c>
      <c r="D9319">
        <v>4.049137</v>
      </c>
      <c r="E9319">
        <v>0.48201369999999999</v>
      </c>
      <c r="F9319" t="s">
        <v>80</v>
      </c>
      <c r="G9319">
        <v>-157.3501</v>
      </c>
      <c r="H9319">
        <v>0.10461189999999999</v>
      </c>
      <c r="I9319">
        <v>-57.545769999999997</v>
      </c>
      <c r="J9319">
        <v>-217.19990000000001</v>
      </c>
      <c r="K9319">
        <v>1.110616</v>
      </c>
      <c r="L9319">
        <v>-62.358980000000003</v>
      </c>
      <c r="M9319">
        <v>0.99864900000000001</v>
      </c>
      <c r="N9319">
        <v>0</v>
      </c>
      <c r="O9319">
        <v>5.0005760000000003E-2</v>
      </c>
      <c r="P9319">
        <v>0.99864390000000003</v>
      </c>
      <c r="Q9319">
        <v>-6.719816E-3</v>
      </c>
      <c r="R9319">
        <v>5.1626199999999997E-2</v>
      </c>
      <c r="S9319">
        <v>2.9913940000000001</v>
      </c>
      <c r="T9319">
        <v>-5.0204039999999998E-2</v>
      </c>
      <c r="U9319">
        <v>0.240448</v>
      </c>
      <c r="V9319">
        <v>-1.6238870000000001E-3</v>
      </c>
      <c r="W9319">
        <v>7.4040850000000004E-3</v>
      </c>
      <c r="X9319">
        <v>0.99997130000000001</v>
      </c>
      <c r="Y9319">
        <v>-3.0174039999999999E-2</v>
      </c>
      <c r="Z9319">
        <v>-5.8445190000000003E-4</v>
      </c>
      <c r="AA9319">
        <v>0.99954449999999995</v>
      </c>
      <c r="AB9319">
        <v>18</v>
      </c>
      <c r="AC9319">
        <v>59.849800000000002</v>
      </c>
      <c r="AD9319">
        <v>-1.0060041</v>
      </c>
      <c r="AE9319">
        <v>4.8132099999999998</v>
      </c>
      <c r="AF9319">
        <v>-1.8135445695874199</v>
      </c>
      <c r="AG9319">
        <v>-1.0060041</v>
      </c>
      <c r="AH9319">
        <v>59.998778071940002</v>
      </c>
      <c r="AI9319">
        <v>90.960154272614105</v>
      </c>
      <c r="AJ9319">
        <v>91.731315632573597</v>
      </c>
      <c r="AK9319">
        <v>60.034609670430903</v>
      </c>
      <c r="AL9319">
        <v>89.575773314600099</v>
      </c>
      <c r="AM9319">
        <v>90.093044460093495</v>
      </c>
      <c r="AN9319">
        <v>1.0000000291536799</v>
      </c>
    </row>
    <row r="9320" spans="1:40" x14ac:dyDescent="0.25">
      <c r="A9320" t="str">
        <f>"20190312154137137"</f>
        <v>20190312154137137</v>
      </c>
      <c r="B9320" t="str">
        <f>"1552376497125682"</f>
        <v>1552376497125682</v>
      </c>
      <c r="C9320" t="s">
        <v>40</v>
      </c>
      <c r="D9320">
        <v>4.1446420000000002</v>
      </c>
      <c r="E9320">
        <v>0.47721669999999999</v>
      </c>
      <c r="F9320" t="s">
        <v>43</v>
      </c>
      <c r="G9320">
        <v>-156.96979999999999</v>
      </c>
      <c r="H9320">
        <v>-0.05</v>
      </c>
      <c r="I9320">
        <v>-56.348849999999999</v>
      </c>
      <c r="J9320">
        <v>-217.1054</v>
      </c>
      <c r="K9320">
        <v>1.1106339999999999</v>
      </c>
      <c r="L9320">
        <v>-62.353850000000001</v>
      </c>
      <c r="M9320">
        <v>0.99863179999999996</v>
      </c>
      <c r="N9320">
        <v>0</v>
      </c>
      <c r="O9320">
        <v>5.0350399999999997E-2</v>
      </c>
      <c r="P9320">
        <v>0.99858780000000003</v>
      </c>
      <c r="Q9320">
        <v>-6.9553200000000001E-3</v>
      </c>
      <c r="R9320">
        <v>5.2669880000000002E-2</v>
      </c>
      <c r="S9320">
        <v>2.9882659999999999</v>
      </c>
      <c r="T9320">
        <v>-5.7582969999999997E-2</v>
      </c>
      <c r="U9320">
        <v>0.29818729999999999</v>
      </c>
      <c r="V9320">
        <v>-2.3238680000000002E-3</v>
      </c>
      <c r="W9320">
        <v>7.165673E-3</v>
      </c>
      <c r="X9320">
        <v>0.99997159999999996</v>
      </c>
      <c r="Y9320">
        <v>-4.9060630000000001E-2</v>
      </c>
      <c r="Z9320">
        <v>-4.9545079999999998E-4</v>
      </c>
      <c r="AA9320">
        <v>0.99879569999999995</v>
      </c>
      <c r="AB9320">
        <v>18</v>
      </c>
      <c r="AC9320">
        <v>60.135599999999997</v>
      </c>
      <c r="AD9320">
        <v>-1.1606339999999999</v>
      </c>
      <c r="AE9320">
        <v>6.0049999999999999</v>
      </c>
      <c r="AF9320">
        <v>-2.9681337236499101</v>
      </c>
      <c r="AG9320">
        <v>-1.1606339999999999</v>
      </c>
      <c r="AH9320">
        <v>60.339439355657703</v>
      </c>
      <c r="AI9320">
        <v>91.100622602182298</v>
      </c>
      <c r="AJ9320">
        <v>92.816144285398806</v>
      </c>
      <c r="AK9320">
        <v>60.4235453348983</v>
      </c>
      <c r="AL9320">
        <v>89.589433655461704</v>
      </c>
      <c r="AM9320">
        <v>90.133151370349395</v>
      </c>
      <c r="AN9320">
        <v>0.99999997401929097</v>
      </c>
    </row>
    <row r="9321" spans="1:40" x14ac:dyDescent="0.25">
      <c r="A9321" t="str">
        <f>"20190312154137149"</f>
        <v>20190312154137149</v>
      </c>
      <c r="B9321" t="str">
        <f>"1552376497135443"</f>
        <v>1552376497135443</v>
      </c>
      <c r="C9321" t="s">
        <v>40</v>
      </c>
      <c r="D9321">
        <v>4.1504190000000003</v>
      </c>
      <c r="E9321">
        <v>0.47427399999999997</v>
      </c>
      <c r="F9321" t="s">
        <v>43</v>
      </c>
      <c r="G9321">
        <v>-163.9716</v>
      </c>
      <c r="H9321">
        <v>-0.05</v>
      </c>
      <c r="I9321">
        <v>-56.312820000000002</v>
      </c>
      <c r="J9321">
        <v>-217.01480000000001</v>
      </c>
      <c r="K9321">
        <v>1.110649</v>
      </c>
      <c r="L9321">
        <v>-62.348880000000001</v>
      </c>
      <c r="M9321">
        <v>0.998614</v>
      </c>
      <c r="N9321">
        <v>0</v>
      </c>
      <c r="O9321">
        <v>5.0704489999999998E-2</v>
      </c>
      <c r="P9321">
        <v>0.99852879999999999</v>
      </c>
      <c r="Q9321">
        <v>-6.7551909999999998E-3</v>
      </c>
      <c r="R9321">
        <v>5.3801750000000002E-2</v>
      </c>
      <c r="S9321">
        <v>2.9858699999999998</v>
      </c>
      <c r="T9321">
        <v>-6.5222139999999998E-2</v>
      </c>
      <c r="U9321">
        <v>0.33947749999999999</v>
      </c>
      <c r="V9321">
        <v>-3.1029920000000002E-3</v>
      </c>
      <c r="W9321">
        <v>7.3630789999999998E-3</v>
      </c>
      <c r="X9321">
        <v>0.99996810000000003</v>
      </c>
      <c r="Y9321">
        <v>-6.2433849999999999E-2</v>
      </c>
      <c r="Z9321">
        <v>-4.2322459999999997E-4</v>
      </c>
      <c r="AA9321">
        <v>0.99804899999999996</v>
      </c>
      <c r="AB9321">
        <v>18</v>
      </c>
      <c r="AC9321">
        <v>53.043199999999999</v>
      </c>
      <c r="AD9321">
        <v>-1.160649</v>
      </c>
      <c r="AE9321">
        <v>6.03606</v>
      </c>
      <c r="AF9321">
        <v>-3.3369207871317799</v>
      </c>
      <c r="AG9321">
        <v>-1.160649</v>
      </c>
      <c r="AH9321">
        <v>53.255870502823001</v>
      </c>
      <c r="AI9321">
        <v>91.246053548317207</v>
      </c>
      <c r="AJ9321">
        <v>93.585367283494193</v>
      </c>
      <c r="AK9321">
        <v>53.3729321796569</v>
      </c>
      <c r="AL9321">
        <v>89.578122846401897</v>
      </c>
      <c r="AM9321">
        <v>90.177793446425397</v>
      </c>
      <c r="AN9321">
        <v>1.0000000222546599</v>
      </c>
    </row>
    <row r="9322" spans="1:40" x14ac:dyDescent="0.25">
      <c r="A9322" t="str">
        <f>"20190312154137160"</f>
        <v>20190312154137160</v>
      </c>
      <c r="B9322" t="str">
        <f>"1552376497154964"</f>
        <v>1552376497154964</v>
      </c>
      <c r="C9322" t="s">
        <v>40</v>
      </c>
      <c r="D9322">
        <v>4.0853849999999996</v>
      </c>
      <c r="E9322">
        <v>0.47186440000000002</v>
      </c>
      <c r="F9322" t="s">
        <v>43</v>
      </c>
      <c r="G9322">
        <v>-165.9134</v>
      </c>
      <c r="H9322">
        <v>-0.05</v>
      </c>
      <c r="I9322">
        <v>-56.076390000000004</v>
      </c>
      <c r="J9322">
        <v>-216.91499999999999</v>
      </c>
      <c r="K9322">
        <v>1.110671</v>
      </c>
      <c r="L9322">
        <v>-62.343350000000001</v>
      </c>
      <c r="M9322">
        <v>0.99859359999999997</v>
      </c>
      <c r="N9322">
        <v>0</v>
      </c>
      <c r="O9322">
        <v>5.1103450000000002E-2</v>
      </c>
      <c r="P9322">
        <v>0.9984577</v>
      </c>
      <c r="Q9322">
        <v>-7.0667539999999997E-3</v>
      </c>
      <c r="R9322">
        <v>5.5067629999999999E-2</v>
      </c>
      <c r="S9322">
        <v>2.9842219999999999</v>
      </c>
      <c r="T9322">
        <v>-6.7779660000000005E-2</v>
      </c>
      <c r="U9322">
        <v>0.36630249999999998</v>
      </c>
      <c r="V9322">
        <v>-3.9717700000000003E-3</v>
      </c>
      <c r="W9322">
        <v>7.0483739999999996E-3</v>
      </c>
      <c r="X9322">
        <v>0.9999673</v>
      </c>
      <c r="Y9322">
        <v>-7.0939920000000004E-2</v>
      </c>
      <c r="Z9322">
        <v>-3.52541E-4</v>
      </c>
      <c r="AA9322">
        <v>0.99748049999999999</v>
      </c>
      <c r="AB9322">
        <v>18</v>
      </c>
      <c r="AC9322">
        <v>51.001600000000003</v>
      </c>
      <c r="AD9322">
        <v>-1.160671</v>
      </c>
      <c r="AE9322">
        <v>6.2669599999999903</v>
      </c>
      <c r="AF9322">
        <v>-3.6502899271592901</v>
      </c>
      <c r="AG9322">
        <v>-1.160671</v>
      </c>
      <c r="AH9322">
        <v>51.229104226742997</v>
      </c>
      <c r="AI9322">
        <v>91.294617229865807</v>
      </c>
      <c r="AJ9322">
        <v>94.075677835973195</v>
      </c>
      <c r="AK9322">
        <v>51.372102289054297</v>
      </c>
      <c r="AL9322">
        <v>89.596154584739097</v>
      </c>
      <c r="AM9322">
        <v>90.227571903118104</v>
      </c>
      <c r="AN9322">
        <v>1.0000000278011301</v>
      </c>
    </row>
    <row r="9323" spans="1:40" x14ac:dyDescent="0.25">
      <c r="A9323" t="str">
        <f>"20190312154137172"</f>
        <v>20190312154137172</v>
      </c>
      <c r="B9323" t="str">
        <f>"1552376497165699"</f>
        <v>1552376497165699</v>
      </c>
      <c r="C9323" t="s">
        <v>40</v>
      </c>
      <c r="D9323">
        <v>4.0805669999999896</v>
      </c>
      <c r="E9323">
        <v>0.47120129999999999</v>
      </c>
      <c r="F9323" t="s">
        <v>69</v>
      </c>
      <c r="G9323">
        <v>-177.24639999999999</v>
      </c>
      <c r="H9323">
        <v>7.9986559999999998E-2</v>
      </c>
      <c r="I9323">
        <v>-57.166369999999901</v>
      </c>
      <c r="J9323">
        <v>-216.8203</v>
      </c>
      <c r="K9323">
        <v>1.110695</v>
      </c>
      <c r="L9323">
        <v>-62.338039999999999</v>
      </c>
      <c r="M9323">
        <v>0.99857309999999999</v>
      </c>
      <c r="N9323">
        <v>0</v>
      </c>
      <c r="O9323">
        <v>5.1503460000000001E-2</v>
      </c>
      <c r="P9323">
        <v>0.99837430000000005</v>
      </c>
      <c r="Q9323">
        <v>-6.9590169999999996E-3</v>
      </c>
      <c r="R9323">
        <v>5.6573789999999999E-2</v>
      </c>
      <c r="S9323">
        <v>2.9826350000000001</v>
      </c>
      <c r="T9323">
        <v>-7.7496049999999997E-2</v>
      </c>
      <c r="U9323">
        <v>0.38925169999999998</v>
      </c>
      <c r="V9323">
        <v>-5.080373E-3</v>
      </c>
      <c r="W9323">
        <v>7.1527989999999996E-3</v>
      </c>
      <c r="X9323">
        <v>0.99996149999999995</v>
      </c>
      <c r="Y9323">
        <v>-7.8152490000000005E-2</v>
      </c>
      <c r="Z9323">
        <v>-3.2004949999999999E-4</v>
      </c>
      <c r="AA9323">
        <v>0.99694139999999998</v>
      </c>
      <c r="AB9323">
        <v>18</v>
      </c>
      <c r="AC9323">
        <v>39.573900000000002</v>
      </c>
      <c r="AD9323">
        <v>-1.0307084399999999</v>
      </c>
      <c r="AE9323">
        <v>5.1716699999999998</v>
      </c>
      <c r="AF9323">
        <v>-3.1243253088680598</v>
      </c>
      <c r="AG9323">
        <v>-1.0307084399999999</v>
      </c>
      <c r="AH9323">
        <v>39.761233974206803</v>
      </c>
      <c r="AI9323">
        <v>91.480353148792702</v>
      </c>
      <c r="AJ9323">
        <v>94.492908517655493</v>
      </c>
      <c r="AK9323">
        <v>39.897111370067101</v>
      </c>
      <c r="AL9323">
        <v>89.5901713056125</v>
      </c>
      <c r="AM9323">
        <v>90.291092633854007</v>
      </c>
      <c r="AN9323">
        <v>0.99999998710280102</v>
      </c>
    </row>
    <row r="9324" spans="1:40" x14ac:dyDescent="0.25">
      <c r="A9324" t="str">
        <f>"20190312154137182"</f>
        <v>20190312154137182</v>
      </c>
      <c r="B9324" t="str">
        <f>"1552376497175459"</f>
        <v>1552376497175459</v>
      </c>
      <c r="C9324" t="s">
        <v>40</v>
      </c>
      <c r="D9324">
        <v>4.0742019999999997</v>
      </c>
      <c r="E9324">
        <v>0.47078310000000001</v>
      </c>
      <c r="F9324" t="s">
        <v>69</v>
      </c>
      <c r="G9324">
        <v>-178.52670000000001</v>
      </c>
      <c r="H9324">
        <v>7.9986570000000007E-2</v>
      </c>
      <c r="I9324">
        <v>-57.2127699999999</v>
      </c>
      <c r="J9324">
        <v>-216.7405</v>
      </c>
      <c r="K9324">
        <v>1.1107149999999999</v>
      </c>
      <c r="L9324">
        <v>-62.333530000000003</v>
      </c>
      <c r="M9324">
        <v>0.99855490000000002</v>
      </c>
      <c r="N9324">
        <v>0</v>
      </c>
      <c r="O9324">
        <v>5.185443E-2</v>
      </c>
      <c r="P9324">
        <v>0.99831369999999997</v>
      </c>
      <c r="Q9324">
        <v>-6.9260220000000004E-3</v>
      </c>
      <c r="R9324">
        <v>5.7635680000000002E-2</v>
      </c>
      <c r="S9324">
        <v>2.9817200000000001</v>
      </c>
      <c r="T9324">
        <v>-8.0255870000000007E-2</v>
      </c>
      <c r="U9324">
        <v>0.3990784</v>
      </c>
      <c r="V9324">
        <v>-5.7927380000000004E-3</v>
      </c>
      <c r="W9324">
        <v>7.1828389999999999E-3</v>
      </c>
      <c r="X9324">
        <v>0.9999574</v>
      </c>
      <c r="Y9324">
        <v>-8.1068589999999996E-2</v>
      </c>
      <c r="Z9324">
        <v>-3.017583E-4</v>
      </c>
      <c r="AA9324">
        <v>0.9967085</v>
      </c>
      <c r="AB9324">
        <v>18</v>
      </c>
      <c r="AC9324">
        <v>38.2137999999999</v>
      </c>
      <c r="AD9324">
        <v>-1.0307284299999999</v>
      </c>
      <c r="AE9324">
        <v>5.1207600000000104</v>
      </c>
      <c r="AF9324">
        <v>-3.1298802942633599</v>
      </c>
      <c r="AG9324">
        <v>-1.0307284299999999</v>
      </c>
      <c r="AH9324">
        <v>38.4004950002901</v>
      </c>
      <c r="AI9324">
        <v>91.532458385603803</v>
      </c>
      <c r="AJ9324">
        <v>94.659663802505605</v>
      </c>
      <c r="AK9324">
        <v>38.541621242756896</v>
      </c>
      <c r="AL9324">
        <v>89.588450091341798</v>
      </c>
      <c r="AM9324">
        <v>90.331909865958494</v>
      </c>
      <c r="AN9324">
        <v>0.99999997540219798</v>
      </c>
    </row>
    <row r="9325" spans="1:40" x14ac:dyDescent="0.25">
      <c r="A9325" t="str">
        <f>"20190312154137192"</f>
        <v>20190312154137192</v>
      </c>
      <c r="B9325" t="str">
        <f>"1552376497185219"</f>
        <v>1552376497185219</v>
      </c>
      <c r="C9325" t="s">
        <v>40</v>
      </c>
      <c r="D9325">
        <v>4.0772320000000004</v>
      </c>
      <c r="E9325">
        <v>0.47059679999999998</v>
      </c>
      <c r="F9325" t="s">
        <v>69</v>
      </c>
      <c r="G9325">
        <v>-178.85149999999999</v>
      </c>
      <c r="H9325">
        <v>7.9986559999999998E-2</v>
      </c>
      <c r="I9325">
        <v>-57.178330000000003</v>
      </c>
      <c r="J9325">
        <v>-216.6591</v>
      </c>
      <c r="K9325">
        <v>1.110738</v>
      </c>
      <c r="L9325">
        <v>-62.328890000000001</v>
      </c>
      <c r="M9325">
        <v>0.99853579999999997</v>
      </c>
      <c r="N9325">
        <v>0</v>
      </c>
      <c r="O9325">
        <v>5.2225090000000002E-2</v>
      </c>
      <c r="P9325">
        <v>0.99825149999999996</v>
      </c>
      <c r="Q9325">
        <v>-6.9985289999999999E-3</v>
      </c>
      <c r="R9325">
        <v>5.8696119999999997E-2</v>
      </c>
      <c r="S9325">
        <v>2.9810940000000001</v>
      </c>
      <c r="T9325">
        <v>-8.1097359999999993E-2</v>
      </c>
      <c r="U9325">
        <v>0.4056091</v>
      </c>
      <c r="V9325">
        <v>-6.484124E-3</v>
      </c>
      <c r="W9325">
        <v>7.1075000000000001E-3</v>
      </c>
      <c r="X9325">
        <v>0.99995369999999995</v>
      </c>
      <c r="Y9325">
        <v>-8.2869750000000006E-2</v>
      </c>
      <c r="Z9325">
        <v>-2.9054619999999999E-4</v>
      </c>
      <c r="AA9325">
        <v>0.99656029999999995</v>
      </c>
      <c r="AB9325">
        <v>18</v>
      </c>
      <c r="AC9325">
        <v>37.807600000000001</v>
      </c>
      <c r="AD9325">
        <v>-1.03075144</v>
      </c>
      <c r="AE9325">
        <v>5.1505599999999898</v>
      </c>
      <c r="AF9325">
        <v>-3.1665175182864602</v>
      </c>
      <c r="AG9325">
        <v>-1.03075144</v>
      </c>
      <c r="AH9325">
        <v>37.997282527384201</v>
      </c>
      <c r="AI9325">
        <v>91.5485151406847</v>
      </c>
      <c r="AJ9325">
        <v>94.763757458345196</v>
      </c>
      <c r="AK9325">
        <v>38.142925440906197</v>
      </c>
      <c r="AL9325">
        <v>89.592766810769305</v>
      </c>
      <c r="AM9325">
        <v>90.371524933679893</v>
      </c>
      <c r="AN9325">
        <v>0.99999998128199297</v>
      </c>
    </row>
    <row r="9326" spans="1:40" x14ac:dyDescent="0.25">
      <c r="A9326" t="str">
        <f>"20190312154137203"</f>
        <v>20190312154137203</v>
      </c>
      <c r="B9326" t="str">
        <f>"1552376497194979"</f>
        <v>1552376497194979</v>
      </c>
      <c r="C9326" t="s">
        <v>40</v>
      </c>
      <c r="D9326">
        <v>4.1013549999999999</v>
      </c>
      <c r="E9326">
        <v>0.4704989</v>
      </c>
      <c r="F9326" t="s">
        <v>69</v>
      </c>
      <c r="G9326">
        <v>-179.2467</v>
      </c>
      <c r="H9326">
        <v>7.9986570000000007E-2</v>
      </c>
      <c r="I9326">
        <v>-57.179000000000002</v>
      </c>
      <c r="J9326">
        <v>-216.56979999999999</v>
      </c>
      <c r="K9326">
        <v>1.1107670000000001</v>
      </c>
      <c r="L9326">
        <v>-62.323729999999998</v>
      </c>
      <c r="M9326">
        <v>0.99851330000000005</v>
      </c>
      <c r="N9326">
        <v>0</v>
      </c>
      <c r="O9326">
        <v>5.265098E-2</v>
      </c>
      <c r="P9326">
        <v>0.99818960000000001</v>
      </c>
      <c r="Q9326">
        <v>-6.9332389999999999E-3</v>
      </c>
      <c r="R9326">
        <v>5.9746359999999998E-2</v>
      </c>
      <c r="S9326">
        <v>2.9805450000000002</v>
      </c>
      <c r="T9326">
        <v>-8.2117319999999994E-2</v>
      </c>
      <c r="U9326">
        <v>0.41027829999999899</v>
      </c>
      <c r="V9326">
        <v>-7.1097010000000004E-3</v>
      </c>
      <c r="W9326">
        <v>7.169964E-3</v>
      </c>
      <c r="X9326">
        <v>0.99994899999999998</v>
      </c>
      <c r="Y9326">
        <v>-8.4001049999999994E-2</v>
      </c>
      <c r="Z9326">
        <v>-2.903437E-4</v>
      </c>
      <c r="AA9326">
        <v>0.99646559999999995</v>
      </c>
      <c r="AB9326">
        <v>18</v>
      </c>
      <c r="AC9326">
        <v>37.323099999999897</v>
      </c>
      <c r="AD9326">
        <v>-1.0307804300000001</v>
      </c>
      <c r="AE9326">
        <v>5.1447300000000098</v>
      </c>
      <c r="AF9326">
        <v>-3.1699265512663501</v>
      </c>
      <c r="AG9326">
        <v>-1.0307804300000001</v>
      </c>
      <c r="AH9326">
        <v>37.514143639359297</v>
      </c>
      <c r="AI9326">
        <v>91.568340348242401</v>
      </c>
      <c r="AJ9326">
        <v>94.829991141971604</v>
      </c>
      <c r="AK9326">
        <v>37.6619425365949</v>
      </c>
      <c r="AL9326">
        <v>89.589187795166694</v>
      </c>
      <c r="AM9326">
        <v>90.407369772612299</v>
      </c>
      <c r="AN9326">
        <v>0.99999997941653496</v>
      </c>
    </row>
    <row r="9327" spans="1:40" x14ac:dyDescent="0.25">
      <c r="A9327" t="str">
        <f>"20190312154137214"</f>
        <v>20190312154137214</v>
      </c>
      <c r="B9327" t="str">
        <f>"1552376497205715"</f>
        <v>1552376497205715</v>
      </c>
      <c r="C9327" t="s">
        <v>40</v>
      </c>
      <c r="D9327">
        <v>4.0983099999999997</v>
      </c>
      <c r="E9327">
        <v>0.47030870000000002</v>
      </c>
      <c r="F9327" t="s">
        <v>69</v>
      </c>
      <c r="G9327">
        <v>-179.93340000000001</v>
      </c>
      <c r="H9327">
        <v>7.4315210000000007E-2</v>
      </c>
      <c r="I9327">
        <v>-57.231430000000003</v>
      </c>
      <c r="J9327">
        <v>-216.4811</v>
      </c>
      <c r="K9327">
        <v>1.1107929999999999</v>
      </c>
      <c r="L9327">
        <v>-62.318539999999999</v>
      </c>
      <c r="M9327">
        <v>0.99849010000000005</v>
      </c>
      <c r="N9327">
        <v>0</v>
      </c>
      <c r="O9327">
        <v>5.3088749999999997E-2</v>
      </c>
      <c r="P9327">
        <v>0.9981295</v>
      </c>
      <c r="Q9327">
        <v>-6.5127969999999999E-3</v>
      </c>
      <c r="R9327">
        <v>6.0787279999999999E-2</v>
      </c>
      <c r="S9327">
        <v>2.980057</v>
      </c>
      <c r="T9327">
        <v>-8.4306480000000003E-2</v>
      </c>
      <c r="U9327">
        <v>0.4142151</v>
      </c>
      <c r="V9327">
        <v>-7.7147530000000004E-3</v>
      </c>
      <c r="W9327">
        <v>7.5871860000000001E-3</v>
      </c>
      <c r="X9327">
        <v>0.99994150000000004</v>
      </c>
      <c r="Y9327">
        <v>-8.4877040000000001E-2</v>
      </c>
      <c r="Z9327">
        <v>-2.9804940000000002E-4</v>
      </c>
      <c r="AA9327">
        <v>0.99639140000000004</v>
      </c>
      <c r="AB9327">
        <v>18</v>
      </c>
      <c r="AC9327">
        <v>36.547699999999899</v>
      </c>
      <c r="AD9327">
        <v>-1.03647779</v>
      </c>
      <c r="AE9327">
        <v>5.08711</v>
      </c>
      <c r="AF9327">
        <v>-3.13699479374581</v>
      </c>
      <c r="AG9327">
        <v>-1.03647779</v>
      </c>
      <c r="AH9327">
        <v>36.737260305964902</v>
      </c>
      <c r="AI9327">
        <v>91.610215248510102</v>
      </c>
      <c r="AJ9327">
        <v>94.880647465603204</v>
      </c>
      <c r="AK9327">
        <v>36.885516362569398</v>
      </c>
      <c r="AL9327">
        <v>89.565282111709493</v>
      </c>
      <c r="AM9327">
        <v>90.442039876154695</v>
      </c>
      <c r="AN9327">
        <v>1.0000000431137399</v>
      </c>
    </row>
    <row r="9328" spans="1:40" x14ac:dyDescent="0.25">
      <c r="A9328" t="str">
        <f>"20190312154137227"</f>
        <v>20190312154137227</v>
      </c>
      <c r="B9328" t="str">
        <f>"1552376497215476"</f>
        <v>1552376497215476</v>
      </c>
      <c r="C9328" t="s">
        <v>40</v>
      </c>
      <c r="D9328">
        <v>4.1045860000000003</v>
      </c>
      <c r="E9328">
        <v>0.47020339999999999</v>
      </c>
      <c r="F9328" t="s">
        <v>69</v>
      </c>
      <c r="G9328">
        <v>-179.65969999999999</v>
      </c>
      <c r="H9328">
        <v>7.9986559999999998E-2</v>
      </c>
      <c r="I9328">
        <v>-57.1423699999999</v>
      </c>
      <c r="J9328">
        <v>-216.38749999999999</v>
      </c>
      <c r="K9328">
        <v>1.1108260000000001</v>
      </c>
      <c r="L9328">
        <v>-62.313020000000002</v>
      </c>
      <c r="M9328">
        <v>0.99846389999999996</v>
      </c>
      <c r="N9328">
        <v>0</v>
      </c>
      <c r="O9328">
        <v>5.358193E-2</v>
      </c>
      <c r="P9328">
        <v>0.99805449999999996</v>
      </c>
      <c r="Q9328">
        <v>-6.2705729999999998E-3</v>
      </c>
      <c r="R9328">
        <v>6.203463E-2</v>
      </c>
      <c r="S9328">
        <v>2.979584</v>
      </c>
      <c r="T9328">
        <v>-8.3412769999999997E-2</v>
      </c>
      <c r="U9328">
        <v>0.4188538</v>
      </c>
      <c r="V9328">
        <v>-8.4719080000000002E-3</v>
      </c>
      <c r="W9328">
        <v>7.8265499999999998E-3</v>
      </c>
      <c r="X9328">
        <v>0.99993350000000003</v>
      </c>
      <c r="Y9328">
        <v>-8.5927939999999994E-2</v>
      </c>
      <c r="Z9328">
        <v>-2.9395220000000001E-4</v>
      </c>
      <c r="AA9328">
        <v>0.99630129999999995</v>
      </c>
      <c r="AB9328">
        <v>18</v>
      </c>
      <c r="AC9328">
        <v>36.727800000000002</v>
      </c>
      <c r="AD9328">
        <v>-1.0308394400000001</v>
      </c>
      <c r="AE9328">
        <v>5.1706500000000002</v>
      </c>
      <c r="AF9328">
        <v>-3.1926124656018899</v>
      </c>
      <c r="AG9328">
        <v>-1.0308394400000001</v>
      </c>
      <c r="AH9328">
        <v>36.923587853125497</v>
      </c>
      <c r="AI9328">
        <v>91.593237038875202</v>
      </c>
      <c r="AJ9328">
        <v>94.941811015143202</v>
      </c>
      <c r="AK9328">
        <v>37.075689396881799</v>
      </c>
      <c r="AL9328">
        <v>89.551567145949605</v>
      </c>
      <c r="AM9328">
        <v>90.485425239539794</v>
      </c>
      <c r="AN9328">
        <v>1.00000001626615</v>
      </c>
    </row>
    <row r="9329" spans="1:40" x14ac:dyDescent="0.25">
      <c r="A9329" t="str">
        <f>"20190312154137236"</f>
        <v>20190312154137236</v>
      </c>
      <c r="B9329" t="str">
        <f>"1552376497225235"</f>
        <v>1552376497225235</v>
      </c>
      <c r="C9329" t="s">
        <v>40</v>
      </c>
      <c r="D9329">
        <v>4.1212160000000004</v>
      </c>
      <c r="E9329">
        <v>0.47015230000000002</v>
      </c>
      <c r="F9329" t="s">
        <v>69</v>
      </c>
      <c r="G9329">
        <v>-179.7234</v>
      </c>
      <c r="H9329">
        <v>7.9986570000000007E-2</v>
      </c>
      <c r="I9329">
        <v>-57.102260000000001</v>
      </c>
      <c r="J9329">
        <v>-216.30250000000001</v>
      </c>
      <c r="K9329">
        <v>1.110854</v>
      </c>
      <c r="L9329">
        <v>-62.307949999999998</v>
      </c>
      <c r="M9329">
        <v>0.99843930000000003</v>
      </c>
      <c r="N9329">
        <v>0</v>
      </c>
      <c r="O9329">
        <v>5.4038360000000001E-2</v>
      </c>
      <c r="P9329">
        <v>0.9979867</v>
      </c>
      <c r="Q9329">
        <v>-5.6830580000000004E-3</v>
      </c>
      <c r="R9329">
        <v>6.3169920000000004E-2</v>
      </c>
      <c r="S9329">
        <v>2.9789889999999999</v>
      </c>
      <c r="T9329">
        <v>-8.3756570000000002E-2</v>
      </c>
      <c r="U9329">
        <v>0.42337039999999998</v>
      </c>
      <c r="V9329">
        <v>-9.1527399999999995E-3</v>
      </c>
      <c r="W9329">
        <v>8.4106570000000002E-3</v>
      </c>
      <c r="X9329">
        <v>0.9999228</v>
      </c>
      <c r="Y9329">
        <v>-8.6980499999999905E-2</v>
      </c>
      <c r="Z9329">
        <v>-2.9318470000000001E-4</v>
      </c>
      <c r="AA9329">
        <v>0.99621000000000004</v>
      </c>
      <c r="AB9329">
        <v>18</v>
      </c>
      <c r="AC9329">
        <v>36.579099999999997</v>
      </c>
      <c r="AD9329">
        <v>-1.03086743</v>
      </c>
      <c r="AE9329">
        <v>5.2056899999999899</v>
      </c>
      <c r="AF9329">
        <v>-3.2187055346751299</v>
      </c>
      <c r="AG9329">
        <v>-1.03086743</v>
      </c>
      <c r="AH9329">
        <v>36.778346941243697</v>
      </c>
      <c r="AI9329">
        <v>91.599423964021895</v>
      </c>
      <c r="AJ9329">
        <v>95.001572488608801</v>
      </c>
      <c r="AK9329">
        <v>36.933312289959503</v>
      </c>
      <c r="AL9329">
        <v>89.518099197686396</v>
      </c>
      <c r="AM9329">
        <v>90.5244392143303</v>
      </c>
      <c r="AN9329">
        <v>1.00000005888025</v>
      </c>
    </row>
    <row r="9330" spans="1:40" x14ac:dyDescent="0.25">
      <c r="A9330" t="str">
        <f>"20190312154137247"</f>
        <v>20190312154137247</v>
      </c>
      <c r="B9330" t="str">
        <f>"1552376497234994"</f>
        <v>1552376497234994</v>
      </c>
      <c r="C9330" t="s">
        <v>40</v>
      </c>
      <c r="D9330">
        <v>4.1573099999999998</v>
      </c>
      <c r="E9330">
        <v>0.47017569999999997</v>
      </c>
      <c r="F9330" t="s">
        <v>69</v>
      </c>
      <c r="G9330">
        <v>-179.3271</v>
      </c>
      <c r="H9330">
        <v>7.9986559999999998E-2</v>
      </c>
      <c r="I9330">
        <v>-57.005650000000003</v>
      </c>
      <c r="J9330">
        <v>-216.21899999999999</v>
      </c>
      <c r="K9330">
        <v>1.1108830000000001</v>
      </c>
      <c r="L9330">
        <v>-62.302860000000003</v>
      </c>
      <c r="M9330">
        <v>0.99841279999999999</v>
      </c>
      <c r="N9330">
        <v>0</v>
      </c>
      <c r="O9330">
        <v>5.452651E-2</v>
      </c>
      <c r="P9330">
        <v>0.99793580000000004</v>
      </c>
      <c r="Q9330">
        <v>-5.2117459999999997E-3</v>
      </c>
      <c r="R9330">
        <v>6.400757E-2</v>
      </c>
      <c r="S9330">
        <v>2.9785309999999998</v>
      </c>
      <c r="T9330">
        <v>-8.3040950000000002E-2</v>
      </c>
      <c r="U9330">
        <v>0.427124</v>
      </c>
      <c r="V9330">
        <v>-9.5045800000000003E-3</v>
      </c>
      <c r="W9330">
        <v>8.8793710000000005E-3</v>
      </c>
      <c r="X9330">
        <v>0.99991540000000001</v>
      </c>
      <c r="Y9330">
        <v>-8.7745260000000005E-2</v>
      </c>
      <c r="Z9330">
        <v>-2.9358010000000003E-4</v>
      </c>
      <c r="AA9330">
        <v>0.99614290000000005</v>
      </c>
      <c r="AB9330">
        <v>18</v>
      </c>
      <c r="AC9330">
        <v>36.8919</v>
      </c>
      <c r="AD9330">
        <v>-1.03089644</v>
      </c>
      <c r="AE9330">
        <v>5.29720999999999</v>
      </c>
      <c r="AF9330">
        <v>-3.27503576606003</v>
      </c>
      <c r="AG9330">
        <v>-1.03089644</v>
      </c>
      <c r="AH9330">
        <v>37.097490507443702</v>
      </c>
      <c r="AI9330">
        <v>91.585610211033</v>
      </c>
      <c r="AJ9330">
        <v>95.045098939465404</v>
      </c>
      <c r="AK9330">
        <v>37.256038553351999</v>
      </c>
      <c r="AL9330">
        <v>89.491242828278502</v>
      </c>
      <c r="AM9330">
        <v>90.544601993136496</v>
      </c>
      <c r="AN9330">
        <v>0.99999999371374604</v>
      </c>
    </row>
    <row r="9331" spans="1:40" x14ac:dyDescent="0.25">
      <c r="A9331" t="str">
        <f>"20190312154137258"</f>
        <v>20190312154137258</v>
      </c>
      <c r="B9331" t="str">
        <f>"1552376497245730"</f>
        <v>1552376497245730</v>
      </c>
      <c r="C9331" t="s">
        <v>40</v>
      </c>
      <c r="D9331">
        <v>4.1177039999999998</v>
      </c>
      <c r="E9331">
        <v>0.4702229</v>
      </c>
      <c r="F9331" t="s">
        <v>69</v>
      </c>
      <c r="G9331">
        <v>-179.05670000000001</v>
      </c>
      <c r="H9331">
        <v>7.9986559999999998E-2</v>
      </c>
      <c r="I9331">
        <v>-56.943510000000003</v>
      </c>
      <c r="J9331">
        <v>-216.1285</v>
      </c>
      <c r="K9331">
        <v>1.110916</v>
      </c>
      <c r="L9331">
        <v>-62.297330000000002</v>
      </c>
      <c r="M9331">
        <v>0.99838340000000003</v>
      </c>
      <c r="N9331">
        <v>0</v>
      </c>
      <c r="O9331">
        <v>5.5063029999999999E-2</v>
      </c>
      <c r="P9331">
        <v>0.9978477</v>
      </c>
      <c r="Q9331">
        <v>-4.8516669999999996E-3</v>
      </c>
      <c r="R9331">
        <v>6.5396759999999998E-2</v>
      </c>
      <c r="S9331">
        <v>2.9782259999999998</v>
      </c>
      <c r="T9331">
        <v>-8.2617280000000001E-2</v>
      </c>
      <c r="U9331">
        <v>0.42950440000000001</v>
      </c>
      <c r="V9331">
        <v>-1.0360390000000001E-2</v>
      </c>
      <c r="W9331">
        <v>9.2355530000000005E-3</v>
      </c>
      <c r="X9331">
        <v>0.99990369999999995</v>
      </c>
      <c r="Y9331">
        <v>-8.8004570000000004E-2</v>
      </c>
      <c r="Z9331">
        <v>-3.032701E-4</v>
      </c>
      <c r="AA9331">
        <v>0.99612000000000001</v>
      </c>
      <c r="AB9331">
        <v>18</v>
      </c>
      <c r="AC9331">
        <v>37.071800000000003</v>
      </c>
      <c r="AD9331">
        <v>-1.03092944</v>
      </c>
      <c r="AE9331">
        <v>5.3538199999999998</v>
      </c>
      <c r="AF9331">
        <v>-3.30170640828142</v>
      </c>
      <c r="AG9331">
        <v>-1.03092944</v>
      </c>
      <c r="AH9331">
        <v>37.2821305794808</v>
      </c>
      <c r="AI9331">
        <v>91.577773436944497</v>
      </c>
      <c r="AJ9331">
        <v>95.060912505560594</v>
      </c>
      <c r="AK9331">
        <v>37.442240067365198</v>
      </c>
      <c r="AL9331">
        <v>89.470834280095204</v>
      </c>
      <c r="AM9331">
        <v>90.593642547377897</v>
      </c>
      <c r="AN9331">
        <v>1.00000002119692</v>
      </c>
    </row>
    <row r="9332" spans="1:40" x14ac:dyDescent="0.25">
      <c r="A9332" t="str">
        <f>"20190312154137270"</f>
        <v>20190312154137270</v>
      </c>
      <c r="B9332" t="str">
        <f>"1552376497265254"</f>
        <v>1552376497265254</v>
      </c>
      <c r="C9332" t="s">
        <v>40</v>
      </c>
      <c r="D9332">
        <v>4.1252129999999996</v>
      </c>
      <c r="E9332">
        <v>0.47033419999999998</v>
      </c>
      <c r="F9332" t="s">
        <v>69</v>
      </c>
      <c r="G9332">
        <v>-179.06450000000001</v>
      </c>
      <c r="H9332">
        <v>7.9986559999999998E-2</v>
      </c>
      <c r="I9332">
        <v>-56.905589999999997</v>
      </c>
      <c r="J9332">
        <v>-216.03399999999999</v>
      </c>
      <c r="K9332">
        <v>1.110949</v>
      </c>
      <c r="L9332">
        <v>-62.291409999999999</v>
      </c>
      <c r="M9332">
        <v>0.99834979999999995</v>
      </c>
      <c r="N9332">
        <v>0</v>
      </c>
      <c r="O9332">
        <v>5.566712E-2</v>
      </c>
      <c r="P9332">
        <v>0.9977608</v>
      </c>
      <c r="Q9332">
        <v>-4.3192860000000003E-3</v>
      </c>
      <c r="R9332">
        <v>6.6745589999999994E-2</v>
      </c>
      <c r="S9332">
        <v>2.9776760000000002</v>
      </c>
      <c r="T9332">
        <v>-8.2823629999999995E-2</v>
      </c>
      <c r="U9332">
        <v>0.43316650000000001</v>
      </c>
      <c r="V9332">
        <v>-1.1108420000000001E-2</v>
      </c>
      <c r="W9332">
        <v>9.7648189999999992E-3</v>
      </c>
      <c r="X9332">
        <v>0.99989059999999996</v>
      </c>
      <c r="Y9332">
        <v>-8.8627579999999997E-2</v>
      </c>
      <c r="Z9332">
        <v>-3.1208620000000001E-4</v>
      </c>
      <c r="AA9332">
        <v>0.99606479999999997</v>
      </c>
      <c r="AB9332">
        <v>18</v>
      </c>
      <c r="AC9332">
        <v>36.969499999999996</v>
      </c>
      <c r="AD9332">
        <v>-1.0309624399999999</v>
      </c>
      <c r="AE9332">
        <v>5.3858199999999901</v>
      </c>
      <c r="AF9332">
        <v>-3.3167510086956198</v>
      </c>
      <c r="AG9332">
        <v>-1.0309624399999999</v>
      </c>
      <c r="AH9332">
        <v>37.1836900898967</v>
      </c>
      <c r="AI9332">
        <v>91.581909839461005</v>
      </c>
      <c r="AJ9332">
        <v>95.097240787904994</v>
      </c>
      <c r="AK9332">
        <v>37.345555686156999</v>
      </c>
      <c r="AL9332">
        <v>89.440508180928205</v>
      </c>
      <c r="AM9332">
        <v>90.636509034043499</v>
      </c>
      <c r="AN9332">
        <v>0.99999998032667903</v>
      </c>
    </row>
    <row r="9333" spans="1:40" x14ac:dyDescent="0.25">
      <c r="A9333" t="str">
        <f>"20190312154137281"</f>
        <v>20190312154137281</v>
      </c>
      <c r="B9333" t="str">
        <f>"1552376497275010"</f>
        <v>1552376497275010</v>
      </c>
      <c r="C9333" t="s">
        <v>40</v>
      </c>
      <c r="D9333">
        <v>4.1307419999999997</v>
      </c>
      <c r="E9333">
        <v>0.47044710000000001</v>
      </c>
      <c r="F9333" t="s">
        <v>69</v>
      </c>
      <c r="G9333">
        <v>-179.2174</v>
      </c>
      <c r="H9333">
        <v>7.9986570000000007E-2</v>
      </c>
      <c r="I9333">
        <v>-56.895870000000002</v>
      </c>
      <c r="J9333">
        <v>-215.94710000000001</v>
      </c>
      <c r="K9333">
        <v>1.1109789999999999</v>
      </c>
      <c r="L9333">
        <v>-62.285919999999997</v>
      </c>
      <c r="M9333">
        <v>0.99831780000000003</v>
      </c>
      <c r="N9333">
        <v>0</v>
      </c>
      <c r="O9333">
        <v>5.6240890000000002E-2</v>
      </c>
      <c r="P9333">
        <v>0.99765009999999998</v>
      </c>
      <c r="Q9333">
        <v>-4.0364229999999999E-3</v>
      </c>
      <c r="R9333">
        <v>6.8398520000000004E-2</v>
      </c>
      <c r="S9333">
        <v>2.9771730000000001</v>
      </c>
      <c r="T9333">
        <v>-8.3368659999999997E-2</v>
      </c>
      <c r="U9333">
        <v>0.43630980000000003</v>
      </c>
      <c r="V9333">
        <v>-1.2191159999999999E-2</v>
      </c>
      <c r="W9333">
        <v>1.0043750000000001E-2</v>
      </c>
      <c r="X9333">
        <v>0.99987519999999996</v>
      </c>
      <c r="Y9333">
        <v>-8.9108699999999999E-2</v>
      </c>
      <c r="Z9333">
        <v>-3.2338579999999998E-4</v>
      </c>
      <c r="AA9333">
        <v>0.99602190000000002</v>
      </c>
      <c r="AB9333">
        <v>18</v>
      </c>
      <c r="AC9333">
        <v>36.729700000000001</v>
      </c>
      <c r="AD9333">
        <v>-1.03099243</v>
      </c>
      <c r="AE9333">
        <v>5.3900499999999996</v>
      </c>
      <c r="AF9333">
        <v>-3.3130456350068398</v>
      </c>
      <c r="AG9333">
        <v>-1.03099243</v>
      </c>
      <c r="AH9333">
        <v>36.946228440138199</v>
      </c>
      <c r="AI9333">
        <v>91.592051416435396</v>
      </c>
      <c r="AJ9333">
        <v>95.124127286856506</v>
      </c>
      <c r="AK9333">
        <v>37.108799666941998</v>
      </c>
      <c r="AL9333">
        <v>89.424525814975993</v>
      </c>
      <c r="AM9333">
        <v>90.698554584618805</v>
      </c>
      <c r="AN9333">
        <v>0.99999995843562295</v>
      </c>
    </row>
    <row r="9334" spans="1:40" x14ac:dyDescent="0.25">
      <c r="A9334" t="str">
        <f>"20190312154137292"</f>
        <v>20190312154137292</v>
      </c>
      <c r="B9334" t="str">
        <f>"1552376497285747"</f>
        <v>1552376497285747</v>
      </c>
      <c r="C9334" t="s">
        <v>40</v>
      </c>
      <c r="D9334">
        <v>4.1555869999999997</v>
      </c>
      <c r="E9334">
        <v>0.47045229999999999</v>
      </c>
      <c r="F9334" t="s">
        <v>69</v>
      </c>
      <c r="G9334">
        <v>-179.28460000000001</v>
      </c>
      <c r="H9334">
        <v>7.9986559999999998E-2</v>
      </c>
      <c r="I9334">
        <v>-56.861820000000002</v>
      </c>
      <c r="J9334">
        <v>-215.85409999999999</v>
      </c>
      <c r="K9334">
        <v>1.1110100000000001</v>
      </c>
      <c r="L9334">
        <v>-62.279969999999999</v>
      </c>
      <c r="M9334">
        <v>0.99828150000000004</v>
      </c>
      <c r="N9334">
        <v>0</v>
      </c>
      <c r="O9334">
        <v>5.6883049999999998E-2</v>
      </c>
      <c r="P9334">
        <v>0.99752220000000003</v>
      </c>
      <c r="Q9334">
        <v>-3.5025239999999999E-3</v>
      </c>
      <c r="R9334">
        <v>7.0268540000000004E-2</v>
      </c>
      <c r="S9334">
        <v>2.9765320000000002</v>
      </c>
      <c r="T9334">
        <v>-8.3703639999999996E-2</v>
      </c>
      <c r="U9334">
        <v>0.4403687</v>
      </c>
      <c r="V9334">
        <v>-1.342402E-2</v>
      </c>
      <c r="W9334">
        <v>1.0573020000000001E-2</v>
      </c>
      <c r="X9334">
        <v>0.99985400000000002</v>
      </c>
      <c r="Y9334">
        <v>-8.9827950000000004E-2</v>
      </c>
      <c r="Z9334">
        <v>-3.3254999999999998E-4</v>
      </c>
      <c r="AA9334">
        <v>0.99595730000000005</v>
      </c>
      <c r="AB9334">
        <v>18</v>
      </c>
      <c r="AC9334">
        <v>36.569499999999898</v>
      </c>
      <c r="AD9334">
        <v>-1.03102344</v>
      </c>
      <c r="AE9334">
        <v>5.4181499999999998</v>
      </c>
      <c r="AF9334">
        <v>-3.3263971297237598</v>
      </c>
      <c r="AG9334">
        <v>-1.03102344</v>
      </c>
      <c r="AH9334">
        <v>36.789892919128597</v>
      </c>
      <c r="AI9334">
        <v>91.598755076258797</v>
      </c>
      <c r="AJ9334">
        <v>95.166410564642803</v>
      </c>
      <c r="AK9334">
        <v>36.9543522227005</v>
      </c>
      <c r="AL9334">
        <v>89.394199294340297</v>
      </c>
      <c r="AM9334">
        <v>90.769205784884704</v>
      </c>
      <c r="AN9334">
        <v>1.00000000719044</v>
      </c>
    </row>
    <row r="9335" spans="1:40" x14ac:dyDescent="0.25">
      <c r="A9335" t="str">
        <f>"20190312154137304"</f>
        <v>20190312154137304</v>
      </c>
      <c r="B9335" t="str">
        <f>"1552376497295506"</f>
        <v>1552376497295506</v>
      </c>
      <c r="C9335" t="s">
        <v>40</v>
      </c>
      <c r="D9335">
        <v>4.1486669999999997</v>
      </c>
      <c r="E9335">
        <v>0.47048489999999998</v>
      </c>
      <c r="F9335" t="s">
        <v>69</v>
      </c>
      <c r="G9335">
        <v>-178.95089999999999</v>
      </c>
      <c r="H9335">
        <v>7.9986559999999998E-2</v>
      </c>
      <c r="I9335">
        <v>-56.750709999999998</v>
      </c>
      <c r="J9335">
        <v>-215.7689</v>
      </c>
      <c r="K9335">
        <v>1.1110359999999999</v>
      </c>
      <c r="L9335">
        <v>-62.274380000000001</v>
      </c>
      <c r="M9335">
        <v>0.99824619999999997</v>
      </c>
      <c r="N9335">
        <v>0</v>
      </c>
      <c r="O9335">
        <v>5.7498269999999997E-2</v>
      </c>
      <c r="P9335">
        <v>0.99739049999999996</v>
      </c>
      <c r="Q9335">
        <v>-3.366492E-3</v>
      </c>
      <c r="R9335">
        <v>7.2118329999999994E-2</v>
      </c>
      <c r="S9335">
        <v>2.9757539999999998</v>
      </c>
      <c r="T9335">
        <v>-8.3138470000000006E-2</v>
      </c>
      <c r="U9335">
        <v>0.44586179999999997</v>
      </c>
      <c r="V9335">
        <v>-1.4662629999999999E-2</v>
      </c>
      <c r="W9335">
        <v>1.070462E-2</v>
      </c>
      <c r="X9335">
        <v>0.99983520000000004</v>
      </c>
      <c r="Y9335">
        <v>-9.1050359999999997E-2</v>
      </c>
      <c r="Z9335">
        <v>-3.3038160000000002E-4</v>
      </c>
      <c r="AA9335">
        <v>0.99584620000000001</v>
      </c>
      <c r="AB9335">
        <v>18</v>
      </c>
      <c r="AC9335">
        <v>36.817999999999998</v>
      </c>
      <c r="AD9335">
        <v>-1.0310494400000001</v>
      </c>
      <c r="AE9335">
        <v>5.5236700000000098</v>
      </c>
      <c r="AF9335">
        <v>-3.3947448118952201</v>
      </c>
      <c r="AG9335">
        <v>-1.0310494400000001</v>
      </c>
      <c r="AH9335">
        <v>37.046296434494998</v>
      </c>
      <c r="AI9335">
        <v>91.5875608810194</v>
      </c>
      <c r="AJ9335">
        <v>95.235688221960302</v>
      </c>
      <c r="AK9335">
        <v>37.215795501347202</v>
      </c>
      <c r="AL9335">
        <v>89.3866587413346</v>
      </c>
      <c r="AM9335">
        <v>90.8401850603653</v>
      </c>
      <c r="AN9335">
        <v>1.00000000438345</v>
      </c>
    </row>
    <row r="9336" spans="1:40" x14ac:dyDescent="0.25">
      <c r="A9336" t="str">
        <f>"20190312154137314"</f>
        <v>20190312154137314</v>
      </c>
      <c r="B9336" t="str">
        <f>"1552376497305267"</f>
        <v>1552376497305267</v>
      </c>
      <c r="C9336" t="s">
        <v>40</v>
      </c>
      <c r="D9336">
        <v>4.1536309999999999</v>
      </c>
      <c r="E9336">
        <v>0.47052440000000001</v>
      </c>
      <c r="F9336" t="s">
        <v>69</v>
      </c>
      <c r="G9336">
        <v>-178.9897</v>
      </c>
      <c r="H9336">
        <v>7.9986580000000002E-2</v>
      </c>
      <c r="I9336">
        <v>-56.697310000000002</v>
      </c>
      <c r="J9336">
        <v>-215.68369999999999</v>
      </c>
      <c r="K9336">
        <v>1.1110640000000001</v>
      </c>
      <c r="L9336">
        <v>-62.268740000000001</v>
      </c>
      <c r="M9336">
        <v>0.99820969999999998</v>
      </c>
      <c r="N9336">
        <v>0</v>
      </c>
      <c r="O9336">
        <v>5.8129519999999997E-2</v>
      </c>
      <c r="P9336">
        <v>0.99724069999999998</v>
      </c>
      <c r="Q9336">
        <v>-3.258731E-3</v>
      </c>
      <c r="R9336">
        <v>7.4167179999999999E-2</v>
      </c>
      <c r="S9336">
        <v>2.974945</v>
      </c>
      <c r="T9336">
        <v>-8.3398219999999995E-2</v>
      </c>
      <c r="U9336">
        <v>0.45111079999999998</v>
      </c>
      <c r="V9336">
        <v>-1.6085729999999999E-2</v>
      </c>
      <c r="W9336">
        <v>1.080761E-2</v>
      </c>
      <c r="X9336">
        <v>0.99981220000000004</v>
      </c>
      <c r="Y9336">
        <v>-9.2177999999999996E-2</v>
      </c>
      <c r="Z9336">
        <v>-3.3325910000000001E-4</v>
      </c>
      <c r="AA9336">
        <v>0.99574249999999997</v>
      </c>
      <c r="AB9336">
        <v>18</v>
      </c>
      <c r="AC9336">
        <v>36.693999999999903</v>
      </c>
      <c r="AD9336">
        <v>-1.0310774199999999</v>
      </c>
      <c r="AE9336">
        <v>5.5714300000000003</v>
      </c>
      <c r="AF9336">
        <v>-3.4261467014731499</v>
      </c>
      <c r="AG9336">
        <v>-1.0310774199999999</v>
      </c>
      <c r="AH9336">
        <v>36.927336820984998</v>
      </c>
      <c r="AI9336">
        <v>91.592548973454001</v>
      </c>
      <c r="AJ9336">
        <v>95.300771075377696</v>
      </c>
      <c r="AK9336">
        <v>37.100266933763699</v>
      </c>
      <c r="AL9336">
        <v>89.380757501964098</v>
      </c>
      <c r="AM9336">
        <v>90.921738032221</v>
      </c>
      <c r="AN9336">
        <v>0.99999999520619198</v>
      </c>
    </row>
    <row r="9337" spans="1:40" x14ac:dyDescent="0.25">
      <c r="A9337" t="str">
        <f>"20190312154137326"</f>
        <v>20190312154137326</v>
      </c>
      <c r="B9337" t="str">
        <f>"1552376497315026"</f>
        <v>1552376497315026</v>
      </c>
      <c r="C9337" t="s">
        <v>40</v>
      </c>
      <c r="D9337">
        <v>4.2008580000000002</v>
      </c>
      <c r="E9337">
        <v>0.47057979999999999</v>
      </c>
      <c r="F9337" t="s">
        <v>69</v>
      </c>
      <c r="G9337">
        <v>-179.19040000000001</v>
      </c>
      <c r="H9337">
        <v>7.9986559999999998E-2</v>
      </c>
      <c r="I9337">
        <v>-56.662559999999999</v>
      </c>
      <c r="J9337">
        <v>-215.59389999999999</v>
      </c>
      <c r="K9337">
        <v>1.111094</v>
      </c>
      <c r="L9337">
        <v>-62.262700000000002</v>
      </c>
      <c r="M9337">
        <v>0.99816839999999996</v>
      </c>
      <c r="N9337">
        <v>0</v>
      </c>
      <c r="O9337">
        <v>5.8830970000000003E-2</v>
      </c>
      <c r="P9337">
        <v>0.99706090000000003</v>
      </c>
      <c r="Q9337">
        <v>-3.353188E-3</v>
      </c>
      <c r="R9337">
        <v>7.6541079999999997E-2</v>
      </c>
      <c r="S9337">
        <v>2.9740449999999998</v>
      </c>
      <c r="T9337">
        <v>-8.4028240000000004E-2</v>
      </c>
      <c r="U9337">
        <v>0.45687870000000003</v>
      </c>
      <c r="V9337">
        <v>-1.7763870000000001E-2</v>
      </c>
      <c r="W9337">
        <v>1.070748E-2</v>
      </c>
      <c r="X9337">
        <v>0.99978489999999998</v>
      </c>
      <c r="Y9337">
        <v>-9.3409610000000004E-2</v>
      </c>
      <c r="Z9337">
        <v>-3.38143E-4</v>
      </c>
      <c r="AA9337">
        <v>0.9956277</v>
      </c>
      <c r="AB9337">
        <v>18</v>
      </c>
      <c r="AC9337">
        <v>36.403499999999902</v>
      </c>
      <c r="AD9337">
        <v>-1.03110744</v>
      </c>
      <c r="AE9337">
        <v>5.6001399999999997</v>
      </c>
      <c r="AF9337">
        <v>-3.4458716920358898</v>
      </c>
      <c r="AG9337">
        <v>-1.03110744</v>
      </c>
      <c r="AH9337">
        <v>36.641212869718203</v>
      </c>
      <c r="AI9337">
        <v>91.604837509100904</v>
      </c>
      <c r="AJ9337">
        <v>95.372500260811407</v>
      </c>
      <c r="AK9337">
        <v>36.817328730297596</v>
      </c>
      <c r="AL9337">
        <v>89.386494879114807</v>
      </c>
      <c r="AM9337">
        <v>91.017906647980496</v>
      </c>
      <c r="AN9337">
        <v>1.0000000257366599</v>
      </c>
    </row>
    <row r="9338" spans="1:40" x14ac:dyDescent="0.25">
      <c r="A9338" t="str">
        <f>"20190312154137338"</f>
        <v>20190312154137338</v>
      </c>
      <c r="B9338" t="str">
        <f>"1552376497325762"</f>
        <v>1552376497325762</v>
      </c>
      <c r="C9338" t="s">
        <v>40</v>
      </c>
      <c r="D9338">
        <v>4.2582019999999998</v>
      </c>
      <c r="E9338">
        <v>0.47051809999999999</v>
      </c>
      <c r="F9338" t="s">
        <v>69</v>
      </c>
      <c r="G9338">
        <v>-179.8227</v>
      </c>
      <c r="H9338">
        <v>7.9986570000000007E-2</v>
      </c>
      <c r="I9338">
        <v>-56.685009999999998</v>
      </c>
      <c r="J9338">
        <v>-215.5027</v>
      </c>
      <c r="K9338">
        <v>1.1111169999999999</v>
      </c>
      <c r="L9338">
        <v>-62.256529999999998</v>
      </c>
      <c r="M9338">
        <v>0.9981257</v>
      </c>
      <c r="N9338">
        <v>0</v>
      </c>
      <c r="O9338">
        <v>5.9554129999999997E-2</v>
      </c>
      <c r="P9338">
        <v>0.99687300000000001</v>
      </c>
      <c r="Q9338">
        <v>-3.3687439999999999E-3</v>
      </c>
      <c r="R9338">
        <v>7.8949220000000001E-2</v>
      </c>
      <c r="S9338">
        <v>2.9729459999999999</v>
      </c>
      <c r="T9338">
        <v>-8.5695389999999996E-2</v>
      </c>
      <c r="U9338">
        <v>0.46356199999999997</v>
      </c>
      <c r="V9338">
        <v>-1.9455299999999998E-2</v>
      </c>
      <c r="W9338">
        <v>1.0686019999999999E-2</v>
      </c>
      <c r="X9338">
        <v>0.99975360000000002</v>
      </c>
      <c r="Y9338">
        <v>-9.4928410000000005E-2</v>
      </c>
      <c r="Z9338">
        <v>-3.4377710000000001E-4</v>
      </c>
      <c r="AA9338">
        <v>0.99548409999999998</v>
      </c>
      <c r="AB9338">
        <v>18</v>
      </c>
      <c r="AC9338">
        <v>35.68</v>
      </c>
      <c r="AD9338">
        <v>-1.0311304299999999</v>
      </c>
      <c r="AE9338">
        <v>5.5715199999999996</v>
      </c>
      <c r="AF9338">
        <v>-3.4337273477892301</v>
      </c>
      <c r="AG9338">
        <v>-1.0311304299999999</v>
      </c>
      <c r="AH9338">
        <v>35.919213373889299</v>
      </c>
      <c r="AI9338">
        <v>91.636876224193202</v>
      </c>
      <c r="AJ9338">
        <v>95.460644321831595</v>
      </c>
      <c r="AK9338">
        <v>36.097695256922101</v>
      </c>
      <c r="AL9338">
        <v>89.387724488989903</v>
      </c>
      <c r="AM9338">
        <v>91.114840596467801</v>
      </c>
      <c r="AN9338">
        <v>0.99999998021724501</v>
      </c>
    </row>
    <row r="9339" spans="1:40" x14ac:dyDescent="0.25">
      <c r="A9339" t="str">
        <f>"20190312154137349"</f>
        <v>20190312154137349</v>
      </c>
      <c r="B9339" t="str">
        <f>"1552376497345282"</f>
        <v>1552376497345282</v>
      </c>
      <c r="C9339" t="s">
        <v>40</v>
      </c>
      <c r="D9339">
        <v>4.1062190000000003</v>
      </c>
      <c r="E9339">
        <v>0.43714019999999998</v>
      </c>
      <c r="F9339" t="s">
        <v>69</v>
      </c>
      <c r="G9339">
        <v>-179.94099999999901</v>
      </c>
      <c r="H9339">
        <v>6.6693760000000005E-2</v>
      </c>
      <c r="I9339">
        <v>-56.618049999999997</v>
      </c>
      <c r="J9339">
        <v>-215.4134</v>
      </c>
      <c r="K9339">
        <v>1.1111420000000001</v>
      </c>
      <c r="L9339">
        <v>-62.250309999999999</v>
      </c>
      <c r="M9339">
        <v>0.99808039999999998</v>
      </c>
      <c r="N9339">
        <v>0</v>
      </c>
      <c r="O9339">
        <v>6.0309309999999998E-2</v>
      </c>
      <c r="P9339">
        <v>0.99665870000000001</v>
      </c>
      <c r="Q9339">
        <v>-3.6390910000000001E-3</v>
      </c>
      <c r="R9339">
        <v>8.1599480000000002E-2</v>
      </c>
      <c r="S9339">
        <v>2.9717859999999998</v>
      </c>
      <c r="T9339">
        <v>-8.7279319999999994E-2</v>
      </c>
      <c r="U9339">
        <v>0.47119139999999998</v>
      </c>
      <c r="V9339">
        <v>-2.1356969999999999E-2</v>
      </c>
      <c r="W9339">
        <v>1.040899E-2</v>
      </c>
      <c r="X9339">
        <v>0.99971770000000004</v>
      </c>
      <c r="Y9339">
        <v>-9.6727190000000005E-2</v>
      </c>
      <c r="Z9339">
        <v>-3.4587309999999999E-4</v>
      </c>
      <c r="AA9339">
        <v>0.99531080000000005</v>
      </c>
      <c r="AB9339">
        <v>18</v>
      </c>
      <c r="AC9339">
        <v>35.4724</v>
      </c>
      <c r="AD9339">
        <v>-1.0444482399999999</v>
      </c>
      <c r="AE9339">
        <v>5.6322599999999996</v>
      </c>
      <c r="AF9339">
        <v>-3.47953526037813</v>
      </c>
      <c r="AG9339">
        <v>-1.0444482399999999</v>
      </c>
      <c r="AH9339">
        <v>35.717325892174998</v>
      </c>
      <c r="AI9339">
        <v>91.667081921806698</v>
      </c>
      <c r="AJ9339">
        <v>95.564122448717498</v>
      </c>
      <c r="AK9339">
        <v>35.901607298867397</v>
      </c>
      <c r="AL9339">
        <v>89.4035980181159</v>
      </c>
      <c r="AM9339">
        <v>91.223823629488507</v>
      </c>
      <c r="AN9339">
        <v>0.99999997346684499</v>
      </c>
    </row>
    <row r="9340" spans="1:40" x14ac:dyDescent="0.25">
      <c r="A9340" t="str">
        <f>"20190312154137360"</f>
        <v>20190312154137360</v>
      </c>
      <c r="B9340" t="str">
        <f>"1552376497355042"</f>
        <v>1552376497355042</v>
      </c>
      <c r="C9340" t="s">
        <v>40</v>
      </c>
      <c r="D9340">
        <v>4.0907099999999996</v>
      </c>
      <c r="E9340">
        <v>0.42456460000000001</v>
      </c>
      <c r="F9340" t="s">
        <v>69</v>
      </c>
      <c r="G9340">
        <v>-180.3989</v>
      </c>
      <c r="H9340" s="1">
        <v>-1.262328E-5</v>
      </c>
      <c r="I9340">
        <v>-53.411360000000002</v>
      </c>
      <c r="J9340">
        <v>-215.3278</v>
      </c>
      <c r="K9340">
        <v>1.111162</v>
      </c>
      <c r="L9340">
        <v>-62.244289999999999</v>
      </c>
      <c r="M9340">
        <v>0.99803580000000003</v>
      </c>
      <c r="N9340">
        <v>0</v>
      </c>
      <c r="O9340">
        <v>6.104176E-2</v>
      </c>
      <c r="P9340">
        <v>0.99642739999999996</v>
      </c>
      <c r="Q9340">
        <v>-4.0574440000000003E-3</v>
      </c>
      <c r="R9340">
        <v>8.4357810000000005E-2</v>
      </c>
      <c r="S9340">
        <v>2.9487920000000001</v>
      </c>
      <c r="T9340">
        <v>-9.3577499999999994E-2</v>
      </c>
      <c r="U9340">
        <v>0.74438479999999996</v>
      </c>
      <c r="V9340">
        <v>-2.3390640000000001E-2</v>
      </c>
      <c r="W9340">
        <v>9.9836760000000004E-3</v>
      </c>
      <c r="X9340">
        <v>0.99967649999999997</v>
      </c>
      <c r="Y9340">
        <v>-0.1850531</v>
      </c>
      <c r="Z9340">
        <v>9.877817000000001E-4</v>
      </c>
      <c r="AA9340">
        <v>0.98272800000000005</v>
      </c>
      <c r="AB9340">
        <v>18</v>
      </c>
      <c r="AC9340">
        <v>34.928899999999999</v>
      </c>
      <c r="AD9340">
        <v>-1.1111746232799999</v>
      </c>
      <c r="AE9340">
        <v>8.8329299999999993</v>
      </c>
      <c r="AF9340">
        <v>-6.6777701564827998</v>
      </c>
      <c r="AG9340">
        <v>-1.1111746232799999</v>
      </c>
      <c r="AH9340">
        <v>35.369339747332901</v>
      </c>
      <c r="AI9340">
        <v>91.768212484732501</v>
      </c>
      <c r="AJ9340">
        <v>100.69165385859399</v>
      </c>
      <c r="AK9340">
        <v>36.011352619257401</v>
      </c>
      <c r="AL9340">
        <v>89.427967969673801</v>
      </c>
      <c r="AM9340">
        <v>91.340374070307604</v>
      </c>
      <c r="AN9340">
        <v>0.99999995023916499</v>
      </c>
    </row>
    <row r="9341" spans="1:40" x14ac:dyDescent="0.25">
      <c r="A9341" t="str">
        <f>"20190312154137370"</f>
        <v>20190312154137370</v>
      </c>
      <c r="B9341" t="str">
        <f>"1552376497365778"</f>
        <v>1552376497365778</v>
      </c>
      <c r="C9341" t="s">
        <v>40</v>
      </c>
      <c r="D9341">
        <v>4.1535970000000004</v>
      </c>
      <c r="E9341">
        <v>0.41586519999999999</v>
      </c>
      <c r="F9341" t="s">
        <v>69</v>
      </c>
      <c r="G9341">
        <v>-177.1268</v>
      </c>
      <c r="H9341">
        <v>7.9986580000000002E-2</v>
      </c>
      <c r="I9341">
        <v>-51.162669999999999</v>
      </c>
      <c r="J9341">
        <v>-215.23759999999999</v>
      </c>
      <c r="K9341">
        <v>1.1111899999999999</v>
      </c>
      <c r="L9341">
        <v>-62.2378199999999</v>
      </c>
      <c r="M9341">
        <v>0.99798609999999999</v>
      </c>
      <c r="N9341">
        <v>0</v>
      </c>
      <c r="O9341">
        <v>6.1848409999999999E-2</v>
      </c>
      <c r="P9341">
        <v>0.99616490000000002</v>
      </c>
      <c r="Q9341">
        <v>-4.9404369999999998E-3</v>
      </c>
      <c r="R9341">
        <v>8.7357329999999997E-2</v>
      </c>
      <c r="S9341">
        <v>2.9382779999999999</v>
      </c>
      <c r="T9341">
        <v>-7.9314109999999993E-2</v>
      </c>
      <c r="U9341">
        <v>0.852356</v>
      </c>
      <c r="V9341">
        <v>-2.5591160000000002E-2</v>
      </c>
      <c r="W9341">
        <v>9.0929860000000008E-3</v>
      </c>
      <c r="X9341">
        <v>0.99963120000000005</v>
      </c>
      <c r="Y9341">
        <v>-0.2186099</v>
      </c>
      <c r="Z9341">
        <v>1.259126E-3</v>
      </c>
      <c r="AA9341">
        <v>0.97581150000000005</v>
      </c>
      <c r="AB9341">
        <v>18</v>
      </c>
      <c r="AC9341">
        <v>38.110799999999898</v>
      </c>
      <c r="AD9341">
        <v>-1.03120342</v>
      </c>
      <c r="AE9341">
        <v>11.075149999999899</v>
      </c>
      <c r="AF9341">
        <v>-8.6907493108218397</v>
      </c>
      <c r="AG9341">
        <v>-1.03120342</v>
      </c>
      <c r="AH9341">
        <v>38.696747814153397</v>
      </c>
      <c r="AI9341">
        <v>91.489392891395198</v>
      </c>
      <c r="AJ9341">
        <v>102.657806145771</v>
      </c>
      <c r="AK9341">
        <v>39.674056957527696</v>
      </c>
      <c r="AL9341">
        <v>89.479003132106897</v>
      </c>
      <c r="AM9341">
        <v>91.466486101192402</v>
      </c>
      <c r="AN9341">
        <v>1.00000006293898</v>
      </c>
    </row>
    <row r="9342" spans="1:40" x14ac:dyDescent="0.25">
      <c r="A9342" t="str">
        <f>"20190312154137384"</f>
        <v>20190312154137384</v>
      </c>
      <c r="B9342" t="str">
        <f>"1552376497375538"</f>
        <v>1552376497375538</v>
      </c>
      <c r="C9342" t="s">
        <v>40</v>
      </c>
      <c r="D9342">
        <v>4.1367529999999997</v>
      </c>
      <c r="E9342">
        <v>0.40773199999999998</v>
      </c>
      <c r="F9342" t="s">
        <v>69</v>
      </c>
      <c r="G9342">
        <v>-185.58869999999999</v>
      </c>
      <c r="H9342" s="1">
        <v>-1.1450029999999999E-5</v>
      </c>
      <c r="I9342">
        <v>-52.821950000000001</v>
      </c>
      <c r="J9342">
        <v>-215.14359999999999</v>
      </c>
      <c r="K9342">
        <v>1.11121</v>
      </c>
      <c r="L9342">
        <v>-62.231050000000003</v>
      </c>
      <c r="M9342">
        <v>0.99793240000000005</v>
      </c>
      <c r="N9342">
        <v>0</v>
      </c>
      <c r="O9342">
        <v>6.2711329999999996E-2</v>
      </c>
      <c r="P9342">
        <v>0.9958863</v>
      </c>
      <c r="Q9342">
        <v>-5.7735190000000004E-3</v>
      </c>
      <c r="R9342">
        <v>9.0431230000000001E-2</v>
      </c>
      <c r="S9342">
        <v>2.929443</v>
      </c>
      <c r="T9342">
        <v>-0.1097915</v>
      </c>
      <c r="U9342">
        <v>0.93032840000000006</v>
      </c>
      <c r="V9342">
        <v>-2.7811120000000002E-2</v>
      </c>
      <c r="W9342">
        <v>8.251876E-3</v>
      </c>
      <c r="X9342">
        <v>0.99957910000000005</v>
      </c>
      <c r="Y9342">
        <v>-0.2421961</v>
      </c>
      <c r="Z9342">
        <v>2.1414490000000001E-3</v>
      </c>
      <c r="AA9342">
        <v>0.97022489999999995</v>
      </c>
      <c r="AB9342">
        <v>18</v>
      </c>
      <c r="AC9342">
        <v>29.5549</v>
      </c>
      <c r="AD9342">
        <v>-1.1112214500299999</v>
      </c>
      <c r="AE9342">
        <v>9.4091000000000005</v>
      </c>
      <c r="AF9342">
        <v>-7.5273039267494104</v>
      </c>
      <c r="AG9342">
        <v>-1.1112214500299999</v>
      </c>
      <c r="AH9342">
        <v>30.0482627273568</v>
      </c>
      <c r="AI9342">
        <v>92.054477340358105</v>
      </c>
      <c r="AJ9342">
        <v>104.06358717693401</v>
      </c>
      <c r="AK9342">
        <v>30.996664505216099</v>
      </c>
      <c r="AL9342">
        <v>89.527196949449703</v>
      </c>
      <c r="AM9342">
        <v>91.593719615983304</v>
      </c>
      <c r="AN9342">
        <v>0.99999996450499096</v>
      </c>
    </row>
    <row r="9343" spans="1:40" x14ac:dyDescent="0.25">
      <c r="A9343" t="str">
        <f>"20190312154137392"</f>
        <v>20190312154137392</v>
      </c>
      <c r="B9343" t="str">
        <f>"1552376497385298"</f>
        <v>1552376497385298</v>
      </c>
      <c r="C9343" t="s">
        <v>40</v>
      </c>
      <c r="D9343">
        <v>4.1795949999999999</v>
      </c>
      <c r="E9343">
        <v>0.40773199999999998</v>
      </c>
      <c r="F9343" t="s">
        <v>69</v>
      </c>
      <c r="G9343">
        <v>-191.23679999999999</v>
      </c>
      <c r="H9343" s="1">
        <v>-8.6062760000000003E-6</v>
      </c>
      <c r="I9343">
        <v>-54.012749999999997</v>
      </c>
      <c r="J9343">
        <v>-215.06630000000001</v>
      </c>
      <c r="K9343">
        <v>1.1112249999999999</v>
      </c>
      <c r="L9343">
        <v>-62.22531</v>
      </c>
      <c r="M9343">
        <v>0.99788619999999995</v>
      </c>
      <c r="N9343">
        <v>0</v>
      </c>
      <c r="O9343">
        <v>6.3440189999999994E-2</v>
      </c>
      <c r="P9343">
        <v>0.99559620000000004</v>
      </c>
      <c r="Q9343">
        <v>-6.5178980000000003E-3</v>
      </c>
      <c r="R9343">
        <v>9.3519939999999996E-2</v>
      </c>
      <c r="S9343">
        <v>2.9204249999999998</v>
      </c>
      <c r="T9343">
        <v>-0.135745</v>
      </c>
      <c r="U9343">
        <v>1.0039370000000001</v>
      </c>
      <c r="V9343">
        <v>-3.018057E-2</v>
      </c>
      <c r="W9343">
        <v>7.4994500000000004E-3</v>
      </c>
      <c r="X9343">
        <v>0.99951630000000002</v>
      </c>
      <c r="Y9343">
        <v>-0.26424340000000002</v>
      </c>
      <c r="Z9343">
        <v>3.110453E-3</v>
      </c>
      <c r="AA9343">
        <v>0.96445099999999995</v>
      </c>
      <c r="AB9343">
        <v>18</v>
      </c>
      <c r="AC9343">
        <v>23.829499999999999</v>
      </c>
      <c r="AD9343">
        <v>-1.111233606276</v>
      </c>
      <c r="AE9343">
        <v>8.2125599999999999</v>
      </c>
      <c r="AF9343">
        <v>-6.6711486580825401</v>
      </c>
      <c r="AG9343">
        <v>-1.111233606276</v>
      </c>
      <c r="AH9343">
        <v>24.255401240411899</v>
      </c>
      <c r="AI9343">
        <v>92.529313545227794</v>
      </c>
      <c r="AJ9343">
        <v>105.378256970314</v>
      </c>
      <c r="AK9343">
        <v>25.1806186158984</v>
      </c>
      <c r="AL9343">
        <v>89.570309126156204</v>
      </c>
      <c r="AM9343">
        <v>91.729530607797898</v>
      </c>
      <c r="AN9343">
        <v>0.99999997126075801</v>
      </c>
    </row>
    <row r="9344" spans="1:40" x14ac:dyDescent="0.25">
      <c r="A9344" t="str">
        <f>"20190312154137404"</f>
        <v>20190312154137404</v>
      </c>
      <c r="B9344" t="str">
        <f>"1552376497395059"</f>
        <v>1552376497395059</v>
      </c>
      <c r="C9344" t="s">
        <v>40</v>
      </c>
      <c r="D9344">
        <v>4.2488510000000002</v>
      </c>
      <c r="E9344">
        <v>0.35907</v>
      </c>
      <c r="F9344" t="s">
        <v>69</v>
      </c>
      <c r="G9344">
        <v>-191.59229999999999</v>
      </c>
      <c r="H9344" s="1">
        <v>-8.6195329999999997E-6</v>
      </c>
      <c r="I9344">
        <v>-54.073990000000002</v>
      </c>
      <c r="J9344">
        <v>-214.9786</v>
      </c>
      <c r="K9344">
        <v>1.1112439999999999</v>
      </c>
      <c r="L9344">
        <v>-62.218780000000002</v>
      </c>
      <c r="M9344">
        <v>0.99783160000000004</v>
      </c>
      <c r="N9344">
        <v>0</v>
      </c>
      <c r="O9344">
        <v>6.4294199999999996E-2</v>
      </c>
      <c r="P9344">
        <v>0.99531329999999996</v>
      </c>
      <c r="Q9344">
        <v>-7.2538209999999997E-3</v>
      </c>
      <c r="R9344">
        <v>9.6431829999999996E-2</v>
      </c>
      <c r="S9344">
        <v>2.9172060000000002</v>
      </c>
      <c r="T9344">
        <v>-0.13809779999999999</v>
      </c>
      <c r="U9344">
        <v>1.0129999999999999</v>
      </c>
      <c r="V9344">
        <v>-3.2247720000000001E-2</v>
      </c>
      <c r="W9344">
        <v>6.7556029999999998E-3</v>
      </c>
      <c r="X9344">
        <v>0.99945709999999999</v>
      </c>
      <c r="Y9344">
        <v>-0.26641300000000001</v>
      </c>
      <c r="Z9344">
        <v>3.1769989999999998E-3</v>
      </c>
      <c r="AA9344">
        <v>0.96385370000000004</v>
      </c>
      <c r="AB9344">
        <v>18</v>
      </c>
      <c r="AC9344">
        <v>23.386299999999999</v>
      </c>
      <c r="AD9344">
        <v>-1.1112526195329999</v>
      </c>
      <c r="AE9344">
        <v>8.1447899999999898</v>
      </c>
      <c r="AF9344">
        <v>-6.6108704271662599</v>
      </c>
      <c r="AG9344">
        <v>-1.1112526195329999</v>
      </c>
      <c r="AH9344">
        <v>23.813666226218999</v>
      </c>
      <c r="AI9344">
        <v>92.574515528045495</v>
      </c>
      <c r="AJ9344">
        <v>105.515093657748</v>
      </c>
      <c r="AK9344">
        <v>24.739223700895799</v>
      </c>
      <c r="AL9344">
        <v>89.612929525156801</v>
      </c>
      <c r="AM9344">
        <v>91.848020780152297</v>
      </c>
      <c r="AN9344">
        <v>1.0000000241787499</v>
      </c>
    </row>
    <row r="9345" spans="1:40" x14ac:dyDescent="0.25">
      <c r="A9345" t="str">
        <f>"20190312154137414"</f>
        <v>20190312154137414</v>
      </c>
      <c r="B9345" t="str">
        <f>"1552376497405794"</f>
        <v>1552376497405794</v>
      </c>
      <c r="C9345" t="s">
        <v>40</v>
      </c>
      <c r="D9345">
        <v>4.2210260000000002</v>
      </c>
      <c r="E9345">
        <v>0.35921199999999998</v>
      </c>
      <c r="F9345" t="s">
        <v>69</v>
      </c>
      <c r="G9345">
        <v>-201.7998</v>
      </c>
      <c r="H9345" s="1">
        <v>-5.7478929999999997E-6</v>
      </c>
      <c r="I9345">
        <v>-55.768830000000001</v>
      </c>
      <c r="J9345">
        <v>-214.8938</v>
      </c>
      <c r="K9345">
        <v>1.1112649999999999</v>
      </c>
      <c r="L9345">
        <v>-62.2123699999999</v>
      </c>
      <c r="M9345">
        <v>0.99777689999999997</v>
      </c>
      <c r="N9345">
        <v>0</v>
      </c>
      <c r="O9345">
        <v>6.5136100000000002E-2</v>
      </c>
      <c r="P9345">
        <v>0.995058</v>
      </c>
      <c r="Q9345">
        <v>-7.4380710000000001E-3</v>
      </c>
      <c r="R9345">
        <v>9.9016270000000003E-2</v>
      </c>
      <c r="S9345">
        <v>2.8759769999999998</v>
      </c>
      <c r="T9345">
        <v>-0.2425061</v>
      </c>
      <c r="U9345">
        <v>1.407562</v>
      </c>
      <c r="V9345">
        <v>-3.4000089999999997E-2</v>
      </c>
      <c r="W9345">
        <v>6.5634419999999897E-3</v>
      </c>
      <c r="X9345">
        <v>0.99940030000000002</v>
      </c>
      <c r="Y9345">
        <v>-0.3792584</v>
      </c>
      <c r="Z9345">
        <v>9.9411069999999994E-3</v>
      </c>
      <c r="AA9345">
        <v>0.92523739999999999</v>
      </c>
      <c r="AB9345">
        <v>18</v>
      </c>
      <c r="AC9345">
        <v>13.0939999999999</v>
      </c>
      <c r="AD9345">
        <v>-1.111270747893</v>
      </c>
      <c r="AE9345">
        <v>6.4435399999999898</v>
      </c>
      <c r="AF9345">
        <v>-5.5447257308900397</v>
      </c>
      <c r="AG9345">
        <v>-1.111270747893</v>
      </c>
      <c r="AH9345">
        <v>13.408188998947301</v>
      </c>
      <c r="AI9345">
        <v>94.379708175550107</v>
      </c>
      <c r="AJ9345">
        <v>112.46669853836001</v>
      </c>
      <c r="AK9345">
        <v>14.5519221526714</v>
      </c>
      <c r="AL9345">
        <v>89.623939782625996</v>
      </c>
      <c r="AM9345">
        <v>91.9484791262595</v>
      </c>
      <c r="AN9345">
        <v>1.0000000222654899</v>
      </c>
    </row>
    <row r="9346" spans="1:40" x14ac:dyDescent="0.25">
      <c r="A9346" t="str">
        <f>"20190312154137426"</f>
        <v>20190312154137426</v>
      </c>
      <c r="B9346" t="str">
        <f>"1552376497415555"</f>
        <v>1552376497415555</v>
      </c>
      <c r="C9346" t="s">
        <v>40</v>
      </c>
      <c r="D9346">
        <v>4.2816809999999998</v>
      </c>
      <c r="E9346">
        <v>0.35978539999999998</v>
      </c>
      <c r="F9346" t="s">
        <v>69</v>
      </c>
      <c r="G9346">
        <v>-202.0085</v>
      </c>
      <c r="H9346" s="1">
        <v>-5.6532200000000001E-6</v>
      </c>
      <c r="I9346">
        <v>-55.869219999999999</v>
      </c>
      <c r="J9346">
        <v>-214.80699999999999</v>
      </c>
      <c r="K9346">
        <v>1.1112919999999999</v>
      </c>
      <c r="L9346">
        <v>-62.205629999999999</v>
      </c>
      <c r="M9346">
        <v>0.99771779999999999</v>
      </c>
      <c r="N9346">
        <v>0</v>
      </c>
      <c r="O9346">
        <v>6.6037940000000003E-2</v>
      </c>
      <c r="P9346">
        <v>0.99479379999999995</v>
      </c>
      <c r="Q9346">
        <v>-6.8588629999999998E-3</v>
      </c>
      <c r="R9346">
        <v>0.1016792</v>
      </c>
      <c r="S9346">
        <v>2.87236</v>
      </c>
      <c r="T9346">
        <v>-0.247722</v>
      </c>
      <c r="U9346">
        <v>1.4140010000000001</v>
      </c>
      <c r="V9346">
        <v>-3.5773149999999997E-2</v>
      </c>
      <c r="W9346">
        <v>7.1351569999999996E-3</v>
      </c>
      <c r="X9346">
        <v>0.99933450000000001</v>
      </c>
      <c r="Y9346">
        <v>-0.38051220000000002</v>
      </c>
      <c r="Z9346">
        <v>1.013935E-2</v>
      </c>
      <c r="AA9346">
        <v>0.92472030000000005</v>
      </c>
      <c r="AB9346">
        <v>18</v>
      </c>
      <c r="AC9346">
        <v>12.798500000000001</v>
      </c>
      <c r="AD9346">
        <v>-1.1112976532199901</v>
      </c>
      <c r="AE9346">
        <v>6.3364099999999999</v>
      </c>
      <c r="AF9346">
        <v>-5.4443383128812899</v>
      </c>
      <c r="AG9346">
        <v>-1.1112976532199901</v>
      </c>
      <c r="AH9346">
        <v>13.109659187494</v>
      </c>
      <c r="AI9346">
        <v>94.476373548668505</v>
      </c>
      <c r="AJ9346">
        <v>112.55272733020099</v>
      </c>
      <c r="AK9346">
        <v>14.2386434097987</v>
      </c>
      <c r="AL9346">
        <v>89.591182163474798</v>
      </c>
      <c r="AM9346">
        <v>92.050140065657004</v>
      </c>
      <c r="AN9346">
        <v>1.0000000358082901</v>
      </c>
    </row>
    <row r="9347" spans="1:40" x14ac:dyDescent="0.25">
      <c r="A9347" t="str">
        <f>"20190312154137438"</f>
        <v>20190312154137438</v>
      </c>
      <c r="B9347" t="str">
        <f>"1552376497435074"</f>
        <v>1552376497435074</v>
      </c>
      <c r="C9347" t="s">
        <v>40</v>
      </c>
      <c r="D9347">
        <v>4.1942409999999999</v>
      </c>
      <c r="E9347">
        <v>0.36105330000000002</v>
      </c>
      <c r="F9347" t="s">
        <v>69</v>
      </c>
      <c r="G9347">
        <v>-201.3098</v>
      </c>
      <c r="H9347" s="1">
        <v>-5.9693039999999999E-6</v>
      </c>
      <c r="I9347">
        <v>-55.538589999999999</v>
      </c>
      <c r="J9347">
        <v>-214.71870000000001</v>
      </c>
      <c r="K9347">
        <v>1.1113230000000001</v>
      </c>
      <c r="L9347">
        <v>-62.198729999999998</v>
      </c>
      <c r="M9347">
        <v>0.99765570000000003</v>
      </c>
      <c r="N9347">
        <v>0</v>
      </c>
      <c r="O9347">
        <v>6.6967029999999997E-2</v>
      </c>
      <c r="P9347">
        <v>0.9945541</v>
      </c>
      <c r="Q9347">
        <v>-6.0446299999999996E-3</v>
      </c>
      <c r="R9347">
        <v>0.1040465</v>
      </c>
      <c r="S9347">
        <v>2.8692169999999999</v>
      </c>
      <c r="T9347">
        <v>-0.2362378</v>
      </c>
      <c r="U9347">
        <v>1.4172670000000001</v>
      </c>
      <c r="V9347">
        <v>-3.722292E-2</v>
      </c>
      <c r="W9347">
        <v>7.9419409999999992E-3</v>
      </c>
      <c r="X9347">
        <v>0.99927540000000004</v>
      </c>
      <c r="Y9347">
        <v>-0.38098359999999998</v>
      </c>
      <c r="Z9347">
        <v>9.6246809999999995E-3</v>
      </c>
      <c r="AA9347">
        <v>0.92453169999999996</v>
      </c>
      <c r="AB9347">
        <v>18</v>
      </c>
      <c r="AC9347">
        <v>13.408899999999999</v>
      </c>
      <c r="AD9347">
        <v>-1.111328969304</v>
      </c>
      <c r="AE9347">
        <v>6.6601400000000002</v>
      </c>
      <c r="AF9347">
        <v>-5.7156509015078703</v>
      </c>
      <c r="AG9347">
        <v>-1.111328969304</v>
      </c>
      <c r="AH9347">
        <v>13.7490930725758</v>
      </c>
      <c r="AI9347">
        <v>94.268466002451007</v>
      </c>
      <c r="AJ9347">
        <v>112.573199345384</v>
      </c>
      <c r="AK9347">
        <v>14.931218223047701</v>
      </c>
      <c r="AL9347">
        <v>89.544955503402704</v>
      </c>
      <c r="AM9347">
        <v>92.133276388656299</v>
      </c>
      <c r="AN9347">
        <v>0.99999997262266604</v>
      </c>
    </row>
    <row r="9348" spans="1:40" x14ac:dyDescent="0.25">
      <c r="A9348" t="str">
        <f>"20190312154137447"</f>
        <v>20190312154137447</v>
      </c>
      <c r="B9348" t="str">
        <f>"1552376497445811"</f>
        <v>1552376497445811</v>
      </c>
      <c r="C9348" t="s">
        <v>40</v>
      </c>
      <c r="D9348">
        <v>4.1898260000000001</v>
      </c>
      <c r="E9348">
        <v>0.36175390000000002</v>
      </c>
      <c r="F9348" t="s">
        <v>69</v>
      </c>
      <c r="G9348">
        <v>-201.6645</v>
      </c>
      <c r="H9348" s="1">
        <v>-5.800494E-6</v>
      </c>
      <c r="I9348">
        <v>-55.759839999999997</v>
      </c>
      <c r="J9348">
        <v>-214.6326</v>
      </c>
      <c r="K9348">
        <v>1.1113569999999999</v>
      </c>
      <c r="L9348">
        <v>-62.191859999999998</v>
      </c>
      <c r="M9348">
        <v>0.99759089999999995</v>
      </c>
      <c r="N9348">
        <v>0</v>
      </c>
      <c r="O9348">
        <v>6.7928269999999999E-2</v>
      </c>
      <c r="P9348">
        <v>0.99430839999999998</v>
      </c>
      <c r="Q9348">
        <v>-5.4368169999999896E-3</v>
      </c>
      <c r="R9348">
        <v>0.106403399999999</v>
      </c>
      <c r="S9348">
        <v>2.8669889999999998</v>
      </c>
      <c r="T9348">
        <v>-0.2440725</v>
      </c>
      <c r="U9348">
        <v>1.4141239999999999</v>
      </c>
      <c r="V9348">
        <v>-3.863026E-2</v>
      </c>
      <c r="W9348">
        <v>8.542259E-3</v>
      </c>
      <c r="X9348">
        <v>0.99921700000000002</v>
      </c>
      <c r="Y9348">
        <v>-0.37951119999999999</v>
      </c>
      <c r="Z9348">
        <v>9.8163629999999998E-3</v>
      </c>
      <c r="AA9348">
        <v>0.92513509999999999</v>
      </c>
      <c r="AB9348">
        <v>18</v>
      </c>
      <c r="AC9348">
        <v>12.9680999999999</v>
      </c>
      <c r="AD9348">
        <v>-1.1113628004939999</v>
      </c>
      <c r="AE9348">
        <v>6.4320199999999899</v>
      </c>
      <c r="AF9348">
        <v>-5.5037313426469296</v>
      </c>
      <c r="AG9348">
        <v>-1.1113628004939999</v>
      </c>
      <c r="AH9348">
        <v>13.296723515770401</v>
      </c>
      <c r="AI9348">
        <v>94.416046642148601</v>
      </c>
      <c r="AJ9348">
        <v>112.48546358673001</v>
      </c>
      <c r="AK9348">
        <v>14.4336080804904</v>
      </c>
      <c r="AL9348">
        <v>89.510558629929207</v>
      </c>
      <c r="AM9348">
        <v>92.213982677318398</v>
      </c>
      <c r="AN9348">
        <v>0.99999994013274296</v>
      </c>
    </row>
    <row r="9349" spans="1:40" x14ac:dyDescent="0.25">
      <c r="A9349" t="str">
        <f>"20190312154137460"</f>
        <v>20190312154137460</v>
      </c>
      <c r="B9349" t="str">
        <f>"1552376497455570"</f>
        <v>1552376497455570</v>
      </c>
      <c r="C9349" t="s">
        <v>40</v>
      </c>
      <c r="D9349">
        <v>4.1684950000000001</v>
      </c>
      <c r="E9349">
        <v>0.3621646</v>
      </c>
      <c r="F9349" t="s">
        <v>69</v>
      </c>
      <c r="G9349">
        <v>-201.69069999999999</v>
      </c>
      <c r="H9349" s="1">
        <v>-5.7849549999999999E-6</v>
      </c>
      <c r="I9349">
        <v>-55.795990000000003</v>
      </c>
      <c r="J9349">
        <v>-214.54239999999999</v>
      </c>
      <c r="K9349">
        <v>1.1113919999999999</v>
      </c>
      <c r="L9349">
        <v>-62.184539999999998</v>
      </c>
      <c r="M9349">
        <v>0.99752059999999998</v>
      </c>
      <c r="N9349">
        <v>0</v>
      </c>
      <c r="O9349">
        <v>6.895068E-2</v>
      </c>
      <c r="P9349">
        <v>0.99406499999999998</v>
      </c>
      <c r="Q9349">
        <v>-4.8303499999999997E-3</v>
      </c>
      <c r="R9349">
        <v>0.1086801</v>
      </c>
      <c r="S9349">
        <v>2.8643649999999998</v>
      </c>
      <c r="T9349">
        <v>-0.245971</v>
      </c>
      <c r="U9349">
        <v>1.4155580000000001</v>
      </c>
      <c r="V9349">
        <v>-3.989645E-2</v>
      </c>
      <c r="W9349">
        <v>9.1411419999999997E-3</v>
      </c>
      <c r="X9349">
        <v>0.99916199999999999</v>
      </c>
      <c r="Y9349">
        <v>-0.3792605</v>
      </c>
      <c r="Z9349">
        <v>9.807339E-3</v>
      </c>
      <c r="AA9349">
        <v>0.925238</v>
      </c>
      <c r="AB9349">
        <v>18</v>
      </c>
      <c r="AC9349">
        <v>12.8516999999999</v>
      </c>
      <c r="AD9349">
        <v>-1.1113977849550001</v>
      </c>
      <c r="AE9349">
        <v>6.3885500000000004</v>
      </c>
      <c r="AF9349">
        <v>-5.4544126388226397</v>
      </c>
      <c r="AG9349">
        <v>-1.1113977849550001</v>
      </c>
      <c r="AH9349">
        <v>13.1825938989705</v>
      </c>
      <c r="AI9349">
        <v>94.454512619873498</v>
      </c>
      <c r="AJ9349">
        <v>112.477750353481</v>
      </c>
      <c r="AK9349">
        <v>14.309668206360501</v>
      </c>
      <c r="AL9349">
        <v>89.476243846314006</v>
      </c>
      <c r="AM9349">
        <v>92.286600657750199</v>
      </c>
      <c r="AN9349">
        <v>0.99999999472183299</v>
      </c>
    </row>
    <row r="9350" spans="1:40" x14ac:dyDescent="0.25">
      <c r="A9350" t="str">
        <f>"20190312154137471"</f>
        <v>20190312154137471</v>
      </c>
      <c r="B9350" t="str">
        <f>"1552376497465330"</f>
        <v>1552376497465330</v>
      </c>
      <c r="C9350" t="s">
        <v>40</v>
      </c>
      <c r="D9350">
        <v>4.1867039999999998</v>
      </c>
      <c r="E9350">
        <v>0.3625681</v>
      </c>
      <c r="F9350" t="s">
        <v>69</v>
      </c>
      <c r="G9350">
        <v>-201.61670000000001</v>
      </c>
      <c r="H9350" s="1">
        <v>-5.8160099999999997E-6</v>
      </c>
      <c r="I9350">
        <v>-55.776519999999998</v>
      </c>
      <c r="J9350">
        <v>-214.45349999999999</v>
      </c>
      <c r="K9350">
        <v>1.1114269999999999</v>
      </c>
      <c r="L9350">
        <v>-62.177190000000003</v>
      </c>
      <c r="M9350">
        <v>0.99744750000000004</v>
      </c>
      <c r="N9350">
        <v>0</v>
      </c>
      <c r="O9350">
        <v>7.0002209999999995E-2</v>
      </c>
      <c r="P9350">
        <v>0.99378279999999997</v>
      </c>
      <c r="Q9350">
        <v>-4.4022389999999996E-3</v>
      </c>
      <c r="R9350">
        <v>0.1112496</v>
      </c>
      <c r="S9350">
        <v>2.861618</v>
      </c>
      <c r="T9350">
        <v>-0.24605189999999999</v>
      </c>
      <c r="U9350">
        <v>1.418671</v>
      </c>
      <c r="V9350">
        <v>-4.1427510000000001E-2</v>
      </c>
      <c r="W9350">
        <v>9.560743E-3</v>
      </c>
      <c r="X9350">
        <v>0.99909579999999998</v>
      </c>
      <c r="Y9350">
        <v>-0.37944739999999999</v>
      </c>
      <c r="Z9350">
        <v>9.7399050000000001E-3</v>
      </c>
      <c r="AA9350">
        <v>0.92516200000000004</v>
      </c>
      <c r="AB9350">
        <v>18</v>
      </c>
      <c r="AC9350">
        <v>12.836799999999901</v>
      </c>
      <c r="AD9350">
        <v>-1.11143281601</v>
      </c>
      <c r="AE9350">
        <v>6.4006699999999999</v>
      </c>
      <c r="AF9350">
        <v>-5.4535299581503596</v>
      </c>
      <c r="AG9350">
        <v>-1.11143281601</v>
      </c>
      <c r="AH9350">
        <v>13.1743131917992</v>
      </c>
      <c r="AI9350">
        <v>94.457138307177004</v>
      </c>
      <c r="AJ9350">
        <v>112.48719472067999</v>
      </c>
      <c r="AK9350">
        <v>14.3017061913801</v>
      </c>
      <c r="AL9350">
        <v>89.452201448885305</v>
      </c>
      <c r="AM9350">
        <v>92.374409462190499</v>
      </c>
      <c r="AN9350">
        <v>1.0000000319845701</v>
      </c>
    </row>
    <row r="9351" spans="1:40" x14ac:dyDescent="0.25">
      <c r="A9351" t="str">
        <f>"20190312154137482"</f>
        <v>20190312154137482</v>
      </c>
      <c r="B9351" t="str">
        <f>"1552376497475090"</f>
        <v>1552376497475090</v>
      </c>
      <c r="C9351" t="s">
        <v>40</v>
      </c>
      <c r="D9351">
        <v>4.1467549999999997</v>
      </c>
      <c r="E9351">
        <v>0.36304609999999998</v>
      </c>
      <c r="F9351" t="s">
        <v>69</v>
      </c>
      <c r="G9351">
        <v>-201.61500000000001</v>
      </c>
      <c r="H9351" s="1">
        <v>-5.8149720000000003E-6</v>
      </c>
      <c r="I9351">
        <v>-55.787190000000002</v>
      </c>
      <c r="J9351">
        <v>-214.3657</v>
      </c>
      <c r="K9351">
        <v>1.111464</v>
      </c>
      <c r="L9351">
        <v>-62.169800000000002</v>
      </c>
      <c r="M9351">
        <v>0.99737200000000004</v>
      </c>
      <c r="N9351">
        <v>0</v>
      </c>
      <c r="O9351">
        <v>7.1070129999999995E-2</v>
      </c>
      <c r="P9351">
        <v>0.99351</v>
      </c>
      <c r="Q9351">
        <v>-4.4456180000000001E-3</v>
      </c>
      <c r="R9351">
        <v>0.1136595</v>
      </c>
      <c r="S9351">
        <v>2.8584139999999998</v>
      </c>
      <c r="T9351">
        <v>-0.24745439999999999</v>
      </c>
      <c r="U9351">
        <v>1.4226989999999999</v>
      </c>
      <c r="V9351">
        <v>-4.2781920000000001E-2</v>
      </c>
      <c r="W9351">
        <v>9.5087690000000002E-3</v>
      </c>
      <c r="X9351">
        <v>0.99903920000000002</v>
      </c>
      <c r="Y9351">
        <v>-0.37990580000000002</v>
      </c>
      <c r="Z9351">
        <v>9.7346240000000007E-3</v>
      </c>
      <c r="AA9351">
        <v>0.92497399999999996</v>
      </c>
      <c r="AB9351">
        <v>18</v>
      </c>
      <c r="AC9351">
        <v>12.750699999999901</v>
      </c>
      <c r="AD9351">
        <v>-1.1114698149719999</v>
      </c>
      <c r="AE9351">
        <v>6.3826099999999997</v>
      </c>
      <c r="AF9351">
        <v>-5.4272076977867396</v>
      </c>
      <c r="AG9351">
        <v>-1.1114698149719999</v>
      </c>
      <c r="AH9351">
        <v>13.092558362460201</v>
      </c>
      <c r="AI9351">
        <v>94.484098794655395</v>
      </c>
      <c r="AJ9351">
        <v>112.5152849852</v>
      </c>
      <c r="AK9351">
        <v>14.2163649720643</v>
      </c>
      <c r="AL9351">
        <v>89.455179466434501</v>
      </c>
      <c r="AM9351">
        <v>92.452082699680204</v>
      </c>
      <c r="AN9351">
        <v>1.00000001625171</v>
      </c>
    </row>
    <row r="9352" spans="1:40" x14ac:dyDescent="0.25">
      <c r="A9352" t="str">
        <f>"20190312154137493"</f>
        <v>20190312154137493</v>
      </c>
      <c r="B9352" t="str">
        <f>"1552376497485828"</f>
        <v>1552376497485828</v>
      </c>
      <c r="C9352" t="s">
        <v>40</v>
      </c>
      <c r="D9352">
        <v>4.1794760000000002</v>
      </c>
      <c r="E9352">
        <v>0.3635195</v>
      </c>
      <c r="F9352" t="s">
        <v>69</v>
      </c>
      <c r="G9352">
        <v>-201.58760000000001</v>
      </c>
      <c r="H9352" s="1">
        <v>-5.8250869999999998E-6</v>
      </c>
      <c r="I9352">
        <v>-55.788809999999998</v>
      </c>
      <c r="J9352">
        <v>-214.28059999999999</v>
      </c>
      <c r="K9352">
        <v>1.1114980000000001</v>
      </c>
      <c r="L9352">
        <v>-62.162509999999997</v>
      </c>
      <c r="M9352">
        <v>0.9972953</v>
      </c>
      <c r="N9352">
        <v>0</v>
      </c>
      <c r="O9352">
        <v>7.2137649999999998E-2</v>
      </c>
      <c r="P9352">
        <v>0.99321000000000004</v>
      </c>
      <c r="Q9352">
        <v>-4.259166E-3</v>
      </c>
      <c r="R9352">
        <v>0.1162581</v>
      </c>
      <c r="S9352">
        <v>2.855362</v>
      </c>
      <c r="T9352">
        <v>-0.24836539999999999</v>
      </c>
      <c r="U9352">
        <v>1.4258729999999999</v>
      </c>
      <c r="V9352">
        <v>-4.4327169999999999E-2</v>
      </c>
      <c r="W9352">
        <v>9.6861440000000007E-3</v>
      </c>
      <c r="X9352">
        <v>0.99897009999999997</v>
      </c>
      <c r="Y9352">
        <v>-0.38012839999999998</v>
      </c>
      <c r="Z9352">
        <v>9.6999180000000001E-3</v>
      </c>
      <c r="AA9352">
        <v>0.92488289999999995</v>
      </c>
      <c r="AB9352">
        <v>18</v>
      </c>
      <c r="AC9352">
        <v>12.6929999999999</v>
      </c>
      <c r="AD9352">
        <v>-1.111503825087</v>
      </c>
      <c r="AE9352">
        <v>6.3737000000000004</v>
      </c>
      <c r="AF9352">
        <v>-5.4082369988385501</v>
      </c>
      <c r="AG9352">
        <v>-1.111503825087</v>
      </c>
      <c r="AH9352">
        <v>13.0398966820813</v>
      </c>
      <c r="AI9352">
        <v>94.501922946141406</v>
      </c>
      <c r="AJ9352">
        <v>112.526004006961</v>
      </c>
      <c r="AK9352">
        <v>14.1606275873686</v>
      </c>
      <c r="AL9352">
        <v>89.445016145059796</v>
      </c>
      <c r="AM9352">
        <v>92.540711516018803</v>
      </c>
      <c r="AN9352">
        <v>0.99999999003990303</v>
      </c>
    </row>
    <row r="9353" spans="1:40" x14ac:dyDescent="0.25">
      <c r="A9353" t="str">
        <f>"20190312154137504"</f>
        <v>20190312154137504</v>
      </c>
      <c r="B9353" t="str">
        <f>"1552376497495587"</f>
        <v>1552376497495587</v>
      </c>
      <c r="C9353" t="s">
        <v>40</v>
      </c>
      <c r="D9353">
        <v>4.1975179999999996</v>
      </c>
      <c r="E9353">
        <v>0.364012</v>
      </c>
      <c r="F9353" t="s">
        <v>69</v>
      </c>
      <c r="G9353">
        <v>-201.57419999999999</v>
      </c>
      <c r="H9353" s="1">
        <v>-5.8294550000000001E-6</v>
      </c>
      <c r="I9353">
        <v>-55.793199999999999</v>
      </c>
      <c r="J9353">
        <v>-214.19630000000001</v>
      </c>
      <c r="K9353">
        <v>1.1115429999999999</v>
      </c>
      <c r="L9353">
        <v>-62.155119999999997</v>
      </c>
      <c r="M9353">
        <v>0.99721470000000001</v>
      </c>
      <c r="N9353">
        <v>0</v>
      </c>
      <c r="O9353">
        <v>7.3244180000000006E-2</v>
      </c>
      <c r="P9353">
        <v>0.99293640000000005</v>
      </c>
      <c r="Q9353">
        <v>-4.2524360000000001E-3</v>
      </c>
      <c r="R9353">
        <v>0.1185725</v>
      </c>
      <c r="S9353">
        <v>2.8520810000000001</v>
      </c>
      <c r="T9353">
        <v>-0.2494886</v>
      </c>
      <c r="U9353">
        <v>1.429657</v>
      </c>
      <c r="V9353">
        <v>-4.5548480000000002E-2</v>
      </c>
      <c r="W9353">
        <v>9.684715E-3</v>
      </c>
      <c r="X9353">
        <v>0.9989152</v>
      </c>
      <c r="Y9353">
        <v>-0.3805017</v>
      </c>
      <c r="Z9353">
        <v>9.6761120000000006E-3</v>
      </c>
      <c r="AA9353">
        <v>0.92472960000000004</v>
      </c>
      <c r="AB9353">
        <v>18</v>
      </c>
      <c r="AC9353">
        <v>12.6221</v>
      </c>
      <c r="AD9353">
        <v>-1.111548829455</v>
      </c>
      <c r="AE9353">
        <v>6.3619199999999898</v>
      </c>
      <c r="AF9353">
        <v>-5.3869281805569704</v>
      </c>
      <c r="AG9353">
        <v>-1.111548829455</v>
      </c>
      <c r="AH9353">
        <v>12.9739775102667</v>
      </c>
      <c r="AI9353">
        <v>94.524142892386493</v>
      </c>
      <c r="AJ9353">
        <v>112.548724835257</v>
      </c>
      <c r="AK9353">
        <v>14.0917929469478</v>
      </c>
      <c r="AL9353">
        <v>89.445098039676694</v>
      </c>
      <c r="AM9353">
        <v>92.610761377262094</v>
      </c>
      <c r="AN9353">
        <v>1.0000000172629899</v>
      </c>
    </row>
    <row r="9354" spans="1:40" x14ac:dyDescent="0.25">
      <c r="A9354" t="str">
        <f>"20190312154137515"</f>
        <v>20190312154137515</v>
      </c>
      <c r="B9354" t="str">
        <f>"1552376497505347"</f>
        <v>1552376497505347</v>
      </c>
      <c r="C9354" t="s">
        <v>40</v>
      </c>
      <c r="D9354">
        <v>4.185047</v>
      </c>
      <c r="E9354">
        <v>0.36459550000000002</v>
      </c>
      <c r="F9354" t="s">
        <v>69</v>
      </c>
      <c r="G9354">
        <v>-201.55170000000001</v>
      </c>
      <c r="H9354" s="1">
        <v>-5.8372019999999901E-6</v>
      </c>
      <c r="I9354">
        <v>-55.798209999999997</v>
      </c>
      <c r="J9354">
        <v>-214.11070000000001</v>
      </c>
      <c r="K9354">
        <v>1.111585</v>
      </c>
      <c r="L9354">
        <v>-62.147550000000003</v>
      </c>
      <c r="M9354">
        <v>0.99712970000000001</v>
      </c>
      <c r="N9354">
        <v>0</v>
      </c>
      <c r="O9354">
        <v>7.4389520000000001E-2</v>
      </c>
      <c r="P9354">
        <v>0.99272269999999896</v>
      </c>
      <c r="Q9354">
        <v>-4.0850529999999999E-3</v>
      </c>
      <c r="R9354">
        <v>0.12035460000000001</v>
      </c>
      <c r="S9354">
        <v>2.8491970000000002</v>
      </c>
      <c r="T9354">
        <v>-0.25046550000000001</v>
      </c>
      <c r="U9354">
        <v>1.432404</v>
      </c>
      <c r="V9354">
        <v>-4.619525E-2</v>
      </c>
      <c r="W9354">
        <v>9.8454010000000002E-3</v>
      </c>
      <c r="X9354">
        <v>0.99888390000000005</v>
      </c>
      <c r="Y9354">
        <v>-0.38052170000000002</v>
      </c>
      <c r="Z9354">
        <v>9.6276959999999998E-3</v>
      </c>
      <c r="AA9354">
        <v>0.92472189999999999</v>
      </c>
      <c r="AB9354">
        <v>17</v>
      </c>
      <c r="AC9354">
        <v>12.5589999999999</v>
      </c>
      <c r="AD9354">
        <v>-1.111590837202</v>
      </c>
      <c r="AE9354">
        <v>6.3493399999999998</v>
      </c>
      <c r="AF9354">
        <v>-5.3639265943405698</v>
      </c>
      <c r="AG9354">
        <v>-1.111590837202</v>
      </c>
      <c r="AH9354">
        <v>12.9159807938605</v>
      </c>
      <c r="AI9354">
        <v>94.544409873558095</v>
      </c>
      <c r="AJ9354">
        <v>112.55280827622001</v>
      </c>
      <c r="AK9354">
        <v>14.029608068873401</v>
      </c>
      <c r="AL9354">
        <v>89.435890955472104</v>
      </c>
      <c r="AM9354">
        <v>92.6478635941818</v>
      </c>
      <c r="AN9354">
        <v>0.99999998936131096</v>
      </c>
    </row>
    <row r="9355" spans="1:40" x14ac:dyDescent="0.25">
      <c r="A9355" t="str">
        <f>"20190312154137527"</f>
        <v>20190312154137527</v>
      </c>
      <c r="B9355" t="str">
        <f>"1552376497515107"</f>
        <v>1552376497515107</v>
      </c>
      <c r="C9355" t="s">
        <v>40</v>
      </c>
      <c r="D9355">
        <v>4.2128730000000001</v>
      </c>
      <c r="E9355">
        <v>0.36501539999999999</v>
      </c>
      <c r="F9355" t="s">
        <v>69</v>
      </c>
      <c r="G9355">
        <v>-201.4965</v>
      </c>
      <c r="H9355" s="1">
        <v>-5.8579030000000001E-6</v>
      </c>
      <c r="I9355">
        <v>-55.799419999999998</v>
      </c>
      <c r="J9355">
        <v>-214.02269999999999</v>
      </c>
      <c r="K9355">
        <v>1.111631</v>
      </c>
      <c r="L9355">
        <v>-62.139499999999998</v>
      </c>
      <c r="M9355">
        <v>0.99703600000000003</v>
      </c>
      <c r="N9355">
        <v>0</v>
      </c>
      <c r="O9355">
        <v>7.5637060000000006E-2</v>
      </c>
      <c r="P9355">
        <v>0.99237129999999996</v>
      </c>
      <c r="Q9355">
        <v>-3.6876700000000001E-3</v>
      </c>
      <c r="R9355">
        <v>0.12322959999999999</v>
      </c>
      <c r="S9355">
        <v>2.8472439999999999</v>
      </c>
      <c r="T9355">
        <v>-0.25090649999999998</v>
      </c>
      <c r="U9355">
        <v>1.4328920000000001</v>
      </c>
      <c r="V9355">
        <v>-4.7841109999999999E-2</v>
      </c>
      <c r="W9355">
        <v>1.023257E-2</v>
      </c>
      <c r="X9355">
        <v>0.99880250000000004</v>
      </c>
      <c r="Y9355">
        <v>-0.37974809999999998</v>
      </c>
      <c r="Z9355">
        <v>9.5155980000000001E-3</v>
      </c>
      <c r="AA9355">
        <v>0.925041</v>
      </c>
      <c r="AB9355">
        <v>17</v>
      </c>
      <c r="AC9355">
        <v>12.5261999999999</v>
      </c>
      <c r="AD9355">
        <v>-1.111636857903</v>
      </c>
      <c r="AE9355">
        <v>6.3400800000000004</v>
      </c>
      <c r="AF9355">
        <v>-5.3408910084333998</v>
      </c>
      <c r="AG9355">
        <v>-1.111636857903</v>
      </c>
      <c r="AH9355">
        <v>12.8890946428599</v>
      </c>
      <c r="AI9355">
        <v>94.555515590415197</v>
      </c>
      <c r="AJ9355">
        <v>112.507790006915</v>
      </c>
      <c r="AK9355">
        <v>13.9960570869232</v>
      </c>
      <c r="AL9355">
        <v>89.413706667767002</v>
      </c>
      <c r="AM9355">
        <v>92.742284192919598</v>
      </c>
      <c r="AN9355">
        <v>0.99999995565054201</v>
      </c>
    </row>
    <row r="9356" spans="1:40" x14ac:dyDescent="0.25">
      <c r="A9356" t="str">
        <f>"20190312154137538"</f>
        <v>20190312154137538</v>
      </c>
      <c r="B9356" t="str">
        <f>"1552376497535603"</f>
        <v>1552376497535603</v>
      </c>
      <c r="C9356" t="s">
        <v>40</v>
      </c>
      <c r="D9356">
        <v>4.197146</v>
      </c>
      <c r="E9356">
        <v>0.36595729999999999</v>
      </c>
      <c r="F9356" t="s">
        <v>69</v>
      </c>
      <c r="G9356">
        <v>-201.3596</v>
      </c>
      <c r="H9356" s="1">
        <v>-5.9194340000000001E-6</v>
      </c>
      <c r="I9356">
        <v>-55.737090000000002</v>
      </c>
      <c r="J9356">
        <v>-213.93520000000001</v>
      </c>
      <c r="K9356">
        <v>1.11168</v>
      </c>
      <c r="L9356">
        <v>-62.131439999999998</v>
      </c>
      <c r="M9356">
        <v>0.99693940000000003</v>
      </c>
      <c r="N9356">
        <v>0</v>
      </c>
      <c r="O9356">
        <v>7.6899809999999999E-2</v>
      </c>
      <c r="P9356">
        <v>0.9920871</v>
      </c>
      <c r="Q9356">
        <v>-3.602807E-3</v>
      </c>
      <c r="R9356">
        <v>0.1254999</v>
      </c>
      <c r="S9356">
        <v>2.8435969999999999</v>
      </c>
      <c r="T9356">
        <v>-0.2496273</v>
      </c>
      <c r="U9356">
        <v>1.4377139999999999</v>
      </c>
      <c r="V9356">
        <v>-4.88631E-2</v>
      </c>
      <c r="W9356">
        <v>1.030886E-2</v>
      </c>
      <c r="X9356">
        <v>0.99875230000000004</v>
      </c>
      <c r="Y9356">
        <v>-0.38031359999999997</v>
      </c>
      <c r="Z9356">
        <v>9.3949140000000007E-3</v>
      </c>
      <c r="AA9356">
        <v>0.92480989999999996</v>
      </c>
      <c r="AB9356">
        <v>17</v>
      </c>
      <c r="AC9356">
        <v>12.5756</v>
      </c>
      <c r="AD9356">
        <v>-1.1116859194339901</v>
      </c>
      <c r="AE9356">
        <v>6.3943500000000002</v>
      </c>
      <c r="AF9356">
        <v>-5.3748804241212298</v>
      </c>
      <c r="AG9356">
        <v>-1.1116859194339901</v>
      </c>
      <c r="AH9356">
        <v>12.9497192398869</v>
      </c>
      <c r="AI9356">
        <v>94.533383081140499</v>
      </c>
      <c r="AJ9356">
        <v>112.541269253883</v>
      </c>
      <c r="AK9356">
        <v>14.0648645051762</v>
      </c>
      <c r="AL9356">
        <v>89.409335377602105</v>
      </c>
      <c r="AM9356">
        <v>92.800913585714596</v>
      </c>
      <c r="AN9356">
        <v>1.0000000159456901</v>
      </c>
    </row>
    <row r="9357" spans="1:40" x14ac:dyDescent="0.25">
      <c r="A9357" t="str">
        <f>"20190312154137549"</f>
        <v>20190312154137549</v>
      </c>
      <c r="B9357" t="str">
        <f>"1552376497545362"</f>
        <v>1552376497545362</v>
      </c>
      <c r="C9357" t="s">
        <v>40</v>
      </c>
      <c r="D9357">
        <v>4.2174399999999999</v>
      </c>
      <c r="E9357">
        <v>0.36638090000000001</v>
      </c>
      <c r="F9357" t="s">
        <v>69</v>
      </c>
      <c r="G9357">
        <v>-201.35990000000001</v>
      </c>
      <c r="H9357" s="1">
        <v>-5.9138250000000001E-6</v>
      </c>
      <c r="I9357">
        <v>-55.772309999999997</v>
      </c>
      <c r="J9357">
        <v>-213.8509</v>
      </c>
      <c r="K9357">
        <v>1.111726</v>
      </c>
      <c r="L9357">
        <v>-62.123440000000002</v>
      </c>
      <c r="M9357">
        <v>0.99683920000000004</v>
      </c>
      <c r="N9357">
        <v>0</v>
      </c>
      <c r="O9357">
        <v>7.8187110000000004E-2</v>
      </c>
      <c r="P9357">
        <v>0.99177599999999999</v>
      </c>
      <c r="Q9357">
        <v>-3.44327E-3</v>
      </c>
      <c r="R9357">
        <v>0.12793979999999999</v>
      </c>
      <c r="S9357">
        <v>2.841278</v>
      </c>
      <c r="T9357">
        <v>-0.25117729999999999</v>
      </c>
      <c r="U9357">
        <v>1.436798</v>
      </c>
      <c r="V9357">
        <v>-5.0031220000000001E-2</v>
      </c>
      <c r="W9357">
        <v>1.045954E-2</v>
      </c>
      <c r="X9357">
        <v>0.99869289999999999</v>
      </c>
      <c r="Y9357">
        <v>-0.37918079999999998</v>
      </c>
      <c r="Z9357">
        <v>9.3074850000000008E-3</v>
      </c>
      <c r="AA9357">
        <v>0.92527579999999998</v>
      </c>
      <c r="AB9357">
        <v>17</v>
      </c>
      <c r="AC9357">
        <v>12.4909999999999</v>
      </c>
      <c r="AD9357">
        <v>-1.1117319138249999</v>
      </c>
      <c r="AE9357">
        <v>6.3511300000000004</v>
      </c>
      <c r="AF9357">
        <v>-5.3214568633310204</v>
      </c>
      <c r="AG9357">
        <v>-1.1117319138249999</v>
      </c>
      <c r="AH9357">
        <v>12.8683828873104</v>
      </c>
      <c r="AI9357">
        <v>94.564559662207898</v>
      </c>
      <c r="AJ9357">
        <v>112.466541342006</v>
      </c>
      <c r="AK9357">
        <v>13.969578702700099</v>
      </c>
      <c r="AL9357">
        <v>89.400701584634803</v>
      </c>
      <c r="AM9357">
        <v>92.8679319645275</v>
      </c>
      <c r="AN9357">
        <v>1.0000000167310501</v>
      </c>
    </row>
    <row r="9358" spans="1:40" x14ac:dyDescent="0.25">
      <c r="A9358" t="str">
        <f>"20190312154137561"</f>
        <v>20190312154137561</v>
      </c>
      <c r="B9358" t="str">
        <f>"1552376497555122"</f>
        <v>1552376497555122</v>
      </c>
      <c r="C9358" t="s">
        <v>40</v>
      </c>
      <c r="D9358">
        <v>4.3013979999999998</v>
      </c>
      <c r="E9358">
        <v>0.36685079999999998</v>
      </c>
      <c r="F9358" t="s">
        <v>69</v>
      </c>
      <c r="G9358">
        <v>-201.3227</v>
      </c>
      <c r="H9358" s="1">
        <v>-5.9288940000000004E-6</v>
      </c>
      <c r="I9358">
        <v>-55.766129999999997</v>
      </c>
      <c r="J9358">
        <v>-213.76</v>
      </c>
      <c r="K9358">
        <v>1.1117760000000001</v>
      </c>
      <c r="L9358">
        <v>-62.114690000000003</v>
      </c>
      <c r="M9358">
        <v>0.99672700000000003</v>
      </c>
      <c r="N9358">
        <v>0</v>
      </c>
      <c r="O9358">
        <v>7.9604240000000007E-2</v>
      </c>
      <c r="P9358">
        <v>0.99145620000000001</v>
      </c>
      <c r="Q9358">
        <v>-3.5823220000000002E-3</v>
      </c>
      <c r="R9358">
        <v>0.13039110000000001</v>
      </c>
      <c r="S9358">
        <v>2.8382109999999998</v>
      </c>
      <c r="T9358">
        <v>-0.2518572</v>
      </c>
      <c r="U9358">
        <v>1.4402159999999999</v>
      </c>
      <c r="V9358">
        <v>-5.108132E-2</v>
      </c>
      <c r="W9358">
        <v>1.031172E-2</v>
      </c>
      <c r="X9358">
        <v>0.99864129999999995</v>
      </c>
      <c r="Y9358">
        <v>-0.37915339999999997</v>
      </c>
      <c r="Z9358">
        <v>9.2211270000000008E-3</v>
      </c>
      <c r="AA9358">
        <v>0.92528790000000005</v>
      </c>
      <c r="AB9358">
        <v>17</v>
      </c>
      <c r="AC9358">
        <v>12.437299999999899</v>
      </c>
      <c r="AD9358">
        <v>-1.1117819288940001</v>
      </c>
      <c r="AE9358">
        <v>6.3485599999999902</v>
      </c>
      <c r="AF9358">
        <v>-5.3046227028712103</v>
      </c>
      <c r="AG9358">
        <v>-1.1117819288940001</v>
      </c>
      <c r="AH9358">
        <v>12.8219660934783</v>
      </c>
      <c r="AI9358">
        <v>94.580922219532894</v>
      </c>
      <c r="AJ9358">
        <v>112.475548644987</v>
      </c>
      <c r="AK9358">
        <v>13.920412909807601</v>
      </c>
      <c r="AL9358">
        <v>89.4091715168489</v>
      </c>
      <c r="AM9358">
        <v>92.928174040470495</v>
      </c>
      <c r="AN9358">
        <v>1.0000000394439901</v>
      </c>
    </row>
    <row r="9359" spans="1:40" x14ac:dyDescent="0.25">
      <c r="A9359" t="str">
        <f>"20190312154137571"</f>
        <v>20190312154137571</v>
      </c>
      <c r="B9359" t="str">
        <f>"1552376497564882"</f>
        <v>1552376497564882</v>
      </c>
      <c r="C9359" t="s">
        <v>40</v>
      </c>
      <c r="D9359">
        <v>4.2267769999999896</v>
      </c>
      <c r="E9359">
        <v>0.36719190000000002</v>
      </c>
      <c r="F9359" t="s">
        <v>69</v>
      </c>
      <c r="G9359">
        <v>-201.2064</v>
      </c>
      <c r="H9359" s="1">
        <v>-5.9794790000000001E-6</v>
      </c>
      <c r="I9359">
        <v>-55.723950000000002</v>
      </c>
      <c r="J9359">
        <v>-213.67670000000001</v>
      </c>
      <c r="K9359">
        <v>1.11182</v>
      </c>
      <c r="L9359">
        <v>-62.106479999999998</v>
      </c>
      <c r="M9359">
        <v>0.99661860000000002</v>
      </c>
      <c r="N9359">
        <v>0</v>
      </c>
      <c r="O9359">
        <v>8.0949820000000006E-2</v>
      </c>
      <c r="P9359">
        <v>0.99114789999999997</v>
      </c>
      <c r="Q9359">
        <v>-3.4992640000000002E-3</v>
      </c>
      <c r="R9359">
        <v>0.13271629999999901</v>
      </c>
      <c r="S9359">
        <v>2.8351289999999998</v>
      </c>
      <c r="T9359">
        <v>-0.25108750000000002</v>
      </c>
      <c r="U9359">
        <v>1.443298</v>
      </c>
      <c r="V9359">
        <v>-5.207697E-2</v>
      </c>
      <c r="W9359">
        <v>1.0386579999999999E-2</v>
      </c>
      <c r="X9359">
        <v>0.99858899999999995</v>
      </c>
      <c r="Y9359">
        <v>-0.37911859999999997</v>
      </c>
      <c r="Z9359">
        <v>9.0876350000000002E-3</v>
      </c>
      <c r="AA9359">
        <v>0.92530349999999995</v>
      </c>
      <c r="AB9359">
        <v>17</v>
      </c>
      <c r="AC9359">
        <v>12.4703</v>
      </c>
      <c r="AD9359">
        <v>-1.111825979479</v>
      </c>
      <c r="AE9359">
        <v>6.38253</v>
      </c>
      <c r="AF9359">
        <v>-5.3185092250346298</v>
      </c>
      <c r="AG9359">
        <v>-1.111825979479</v>
      </c>
      <c r="AH9359">
        <v>12.865044969680699</v>
      </c>
      <c r="AI9359">
        <v>94.566319238522397</v>
      </c>
      <c r="AJ9359">
        <v>112.460580251595</v>
      </c>
      <c r="AK9359">
        <v>13.9653886253598</v>
      </c>
      <c r="AL9359">
        <v>89.404882066890295</v>
      </c>
      <c r="AM9359">
        <v>92.985302272272506</v>
      </c>
      <c r="AN9359">
        <v>0.99999994138473602</v>
      </c>
    </row>
    <row r="9360" spans="1:40" x14ac:dyDescent="0.25">
      <c r="A9360" t="str">
        <f>"20190312154137583"</f>
        <v>20190312154137583</v>
      </c>
      <c r="B9360" t="str">
        <f>"1552376497575618"</f>
        <v>1552376497575618</v>
      </c>
      <c r="C9360" t="s">
        <v>40</v>
      </c>
      <c r="D9360">
        <v>4.2261810000000004</v>
      </c>
      <c r="E9360">
        <v>0.3675216</v>
      </c>
      <c r="F9360" t="s">
        <v>69</v>
      </c>
      <c r="G9360">
        <v>-201.1558</v>
      </c>
      <c r="H9360" s="1">
        <v>-6.001029E-6</v>
      </c>
      <c r="I9360">
        <v>-55.708599999999997</v>
      </c>
      <c r="J9360">
        <v>-213.5924</v>
      </c>
      <c r="K9360">
        <v>1.1118619999999999</v>
      </c>
      <c r="L9360">
        <v>-62.098019999999998</v>
      </c>
      <c r="M9360">
        <v>0.9965039</v>
      </c>
      <c r="N9360">
        <v>0</v>
      </c>
      <c r="O9360">
        <v>8.2349839999999994E-2</v>
      </c>
      <c r="P9360">
        <v>0.99081560000000002</v>
      </c>
      <c r="Q9360">
        <v>-3.2173760000000001E-3</v>
      </c>
      <c r="R9360">
        <v>0.135182</v>
      </c>
      <c r="S9360">
        <v>2.8321230000000002</v>
      </c>
      <c r="T9360">
        <v>-0.25148520000000002</v>
      </c>
      <c r="U9360">
        <v>1.447144</v>
      </c>
      <c r="V9360">
        <v>-5.316005E-2</v>
      </c>
      <c r="W9360">
        <v>1.0660269999999999E-2</v>
      </c>
      <c r="X9360">
        <v>0.99852909999999995</v>
      </c>
      <c r="Y9360">
        <v>-0.37921310000000003</v>
      </c>
      <c r="Z9360">
        <v>8.9964720000000001E-3</v>
      </c>
      <c r="AA9360">
        <v>0.92526560000000002</v>
      </c>
      <c r="AB9360">
        <v>17</v>
      </c>
      <c r="AC9360">
        <v>12.4366</v>
      </c>
      <c r="AD9360">
        <v>-1.1118680010290001</v>
      </c>
      <c r="AE9360">
        <v>6.3894200000000003</v>
      </c>
      <c r="AF9360">
        <v>-5.3098819551810399</v>
      </c>
      <c r="AG9360">
        <v>-1.1118680010290001</v>
      </c>
      <c r="AH9360">
        <v>12.8393776009324</v>
      </c>
      <c r="AI9360">
        <v>94.575332724720994</v>
      </c>
      <c r="AJ9360">
        <v>112.46814048201399</v>
      </c>
      <c r="AK9360">
        <v>13.9384616801494</v>
      </c>
      <c r="AL9360">
        <v>89.389199950189706</v>
      </c>
      <c r="AM9360">
        <v>93.047456253522597</v>
      </c>
      <c r="AN9360">
        <v>0.999999997909642</v>
      </c>
    </row>
    <row r="9361" spans="1:40" x14ac:dyDescent="0.25">
      <c r="A9361" t="str">
        <f>"20190312154137594"</f>
        <v>20190312154137594</v>
      </c>
      <c r="B9361" t="str">
        <f>"1552376497585379"</f>
        <v>1552376497585379</v>
      </c>
      <c r="C9361" t="s">
        <v>40</v>
      </c>
      <c r="D9361">
        <v>4.2164260000000002</v>
      </c>
      <c r="E9361">
        <v>0.36792979999999997</v>
      </c>
      <c r="F9361" t="s">
        <v>69</v>
      </c>
      <c r="G9361">
        <v>-201.0669</v>
      </c>
      <c r="H9361" s="1">
        <v>-6.0403689999999898E-6</v>
      </c>
      <c r="I9361">
        <v>-55.672049999999999</v>
      </c>
      <c r="J9361">
        <v>-213.50829999999999</v>
      </c>
      <c r="K9361">
        <v>1.1118969999999999</v>
      </c>
      <c r="L9361">
        <v>-62.089419999999997</v>
      </c>
      <c r="M9361">
        <v>0.99638450000000001</v>
      </c>
      <c r="N9361">
        <v>0</v>
      </c>
      <c r="O9361">
        <v>8.3781179999999997E-2</v>
      </c>
      <c r="P9361">
        <v>0.99045030000000001</v>
      </c>
      <c r="Q9361">
        <v>-2.7789479999999998E-3</v>
      </c>
      <c r="R9361">
        <v>0.1378422</v>
      </c>
      <c r="S9361">
        <v>2.8289789999999999</v>
      </c>
      <c r="T9361">
        <v>-0.25112390000000001</v>
      </c>
      <c r="U9361">
        <v>1.451355</v>
      </c>
      <c r="V9361">
        <v>-5.4410090000000001E-2</v>
      </c>
      <c r="W9361">
        <v>1.1090350000000001E-2</v>
      </c>
      <c r="X9361">
        <v>0.99845709999999999</v>
      </c>
      <c r="Y9361">
        <v>-0.3793976</v>
      </c>
      <c r="Z9361">
        <v>8.8794319999999996E-3</v>
      </c>
      <c r="AA9361">
        <v>0.92519110000000004</v>
      </c>
      <c r="AB9361">
        <v>17</v>
      </c>
      <c r="AC9361">
        <v>12.4413999999999</v>
      </c>
      <c r="AD9361">
        <v>-1.111903040369</v>
      </c>
      <c r="AE9361">
        <v>6.4173699999999902</v>
      </c>
      <c r="AF9361">
        <v>-5.3187896504285703</v>
      </c>
      <c r="AG9361">
        <v>-1.111903040369</v>
      </c>
      <c r="AH9361">
        <v>12.854263700712</v>
      </c>
      <c r="AI9361">
        <v>94.569855995559493</v>
      </c>
      <c r="AJ9361">
        <v>112.478612288138</v>
      </c>
      <c r="AK9361">
        <v>13.955570465019701</v>
      </c>
      <c r="AL9361">
        <v>89.364556735971505</v>
      </c>
      <c r="AM9361">
        <v>93.119200728243101</v>
      </c>
      <c r="AN9361">
        <v>1.00000001714867</v>
      </c>
    </row>
    <row r="9362" spans="1:40" x14ac:dyDescent="0.25">
      <c r="A9362" t="str">
        <f>"20190312154137605"</f>
        <v>20190312154137605</v>
      </c>
      <c r="B9362" t="str">
        <f>"1552376497595139"</f>
        <v>1552376497595139</v>
      </c>
      <c r="C9362" t="s">
        <v>40</v>
      </c>
      <c r="D9362">
        <v>4.2234040000000004</v>
      </c>
      <c r="E9362">
        <v>0.36833149999999998</v>
      </c>
      <c r="F9362" t="s">
        <v>69</v>
      </c>
      <c r="G9362">
        <v>-201.02369999999999</v>
      </c>
      <c r="H9362" s="1">
        <v>-6.0588369999999999E-6</v>
      </c>
      <c r="I9362">
        <v>-55.658709999999999</v>
      </c>
      <c r="J9362">
        <v>-213.42339999999999</v>
      </c>
      <c r="K9362">
        <v>1.1119289999999999</v>
      </c>
      <c r="L9362">
        <v>-62.080509999999997</v>
      </c>
      <c r="M9362">
        <v>0.99625810000000004</v>
      </c>
      <c r="N9362">
        <v>0</v>
      </c>
      <c r="O9362">
        <v>8.5271650000000004E-2</v>
      </c>
      <c r="P9362">
        <v>0.99005449999999995</v>
      </c>
      <c r="Q9362">
        <v>-2.522374E-3</v>
      </c>
      <c r="R9362">
        <v>0.14066289999999901</v>
      </c>
      <c r="S9362">
        <v>2.8256679999999998</v>
      </c>
      <c r="T9362">
        <v>-0.25165920000000003</v>
      </c>
      <c r="U9362">
        <v>1.4554750000000001</v>
      </c>
      <c r="V9362">
        <v>-5.5762489999999998E-2</v>
      </c>
      <c r="W9362">
        <v>1.133782E-2</v>
      </c>
      <c r="X9362">
        <v>0.99837969999999998</v>
      </c>
      <c r="Y9362">
        <v>-0.37952039999999998</v>
      </c>
      <c r="Z9362">
        <v>8.7868679999999998E-3</v>
      </c>
      <c r="AA9362">
        <v>0.92514160000000001</v>
      </c>
      <c r="AB9362">
        <v>17</v>
      </c>
      <c r="AC9362">
        <v>12.3996999999999</v>
      </c>
      <c r="AD9362">
        <v>-1.1119350588370001</v>
      </c>
      <c r="AE9362">
        <v>6.4217999999999904</v>
      </c>
      <c r="AF9362">
        <v>-5.3073052287571603</v>
      </c>
      <c r="AG9362">
        <v>-1.1119350588370001</v>
      </c>
      <c r="AH9362">
        <v>12.820885666874601</v>
      </c>
      <c r="AI9362">
        <v>94.581541459385903</v>
      </c>
      <c r="AJ9362">
        <v>112.487489297802</v>
      </c>
      <c r="AK9362">
        <v>13.9204524944175</v>
      </c>
      <c r="AL9362">
        <v>89.350376855567006</v>
      </c>
      <c r="AM9362">
        <v>93.196819061619905</v>
      </c>
      <c r="AN9362">
        <v>1.00000001341272</v>
      </c>
    </row>
    <row r="9363" spans="1:40" x14ac:dyDescent="0.25">
      <c r="A9363" t="str">
        <f>"20190312154137615"</f>
        <v>20190312154137615</v>
      </c>
      <c r="B9363" t="str">
        <f>"1552376497604898"</f>
        <v>1552376497604898</v>
      </c>
      <c r="C9363" t="s">
        <v>40</v>
      </c>
      <c r="D9363">
        <v>4.2343510000000002</v>
      </c>
      <c r="E9363">
        <v>0.36868010000000001</v>
      </c>
      <c r="F9363" t="s">
        <v>69</v>
      </c>
      <c r="G9363">
        <v>-201.0309</v>
      </c>
      <c r="H9363" s="1">
        <v>-6.05457E-6</v>
      </c>
      <c r="I9363">
        <v>-55.668500000000002</v>
      </c>
      <c r="J9363">
        <v>-213.3409</v>
      </c>
      <c r="K9363">
        <v>1.1119589999999999</v>
      </c>
      <c r="L9363">
        <v>-62.071809999999999</v>
      </c>
      <c r="M9363">
        <v>0.99613119999999999</v>
      </c>
      <c r="N9363">
        <v>0</v>
      </c>
      <c r="O9363">
        <v>8.674134E-2</v>
      </c>
      <c r="P9363">
        <v>0.98962919999999999</v>
      </c>
      <c r="Q9363">
        <v>-2.6117430000000001E-3</v>
      </c>
      <c r="R9363">
        <v>0.14362230000000001</v>
      </c>
      <c r="S9363">
        <v>2.8220369999999999</v>
      </c>
      <c r="T9363">
        <v>-0.2532102</v>
      </c>
      <c r="U9363">
        <v>1.4601440000000001</v>
      </c>
      <c r="V9363">
        <v>-5.7274470000000001E-2</v>
      </c>
      <c r="W9363">
        <v>1.1238160000000001E-2</v>
      </c>
      <c r="X9363">
        <v>0.99829520000000005</v>
      </c>
      <c r="Y9363">
        <v>-0.37984010000000001</v>
      </c>
      <c r="Z9363">
        <v>8.7391489999999999E-3</v>
      </c>
      <c r="AA9363">
        <v>0.92501089999999997</v>
      </c>
      <c r="AB9363">
        <v>17</v>
      </c>
      <c r="AC9363">
        <v>12.31</v>
      </c>
      <c r="AD9363">
        <v>-1.1119650545699999</v>
      </c>
      <c r="AE9363">
        <v>6.4033099999999896</v>
      </c>
      <c r="AF9363">
        <v>-5.2773873935201197</v>
      </c>
      <c r="AG9363">
        <v>-1.1119650545699999</v>
      </c>
      <c r="AH9363">
        <v>12.737281805643001</v>
      </c>
      <c r="AI9363">
        <v>94.611010236622107</v>
      </c>
      <c r="AJ9363">
        <v>112.505499972946</v>
      </c>
      <c r="AK9363">
        <v>13.8320508884342</v>
      </c>
      <c r="AL9363">
        <v>89.356087297598506</v>
      </c>
      <c r="AM9363">
        <v>93.283589831192998</v>
      </c>
      <c r="AN9363">
        <v>0.99999998374850296</v>
      </c>
    </row>
    <row r="9364" spans="1:40" x14ac:dyDescent="0.25">
      <c r="A9364" t="str">
        <f>"20190312154137627"</f>
        <v>20190312154137627</v>
      </c>
      <c r="B9364" t="str">
        <f>"1552376497615635"</f>
        <v>1552376497615635</v>
      </c>
      <c r="C9364" t="s">
        <v>40</v>
      </c>
      <c r="D9364">
        <v>4.2497769999999999</v>
      </c>
      <c r="E9364">
        <v>0.3690003</v>
      </c>
      <c r="F9364" t="s">
        <v>69</v>
      </c>
      <c r="G9364">
        <v>-201.07310000000001</v>
      </c>
      <c r="H9364" s="1">
        <v>-6.0349379999999901E-6</v>
      </c>
      <c r="I9364">
        <v>-55.692010000000003</v>
      </c>
      <c r="J9364">
        <v>-213.2561</v>
      </c>
      <c r="K9364">
        <v>1.111982</v>
      </c>
      <c r="L9364">
        <v>-62.062559999999998</v>
      </c>
      <c r="M9364">
        <v>0.99599340000000003</v>
      </c>
      <c r="N9364">
        <v>0</v>
      </c>
      <c r="O9364">
        <v>8.830818E-2</v>
      </c>
      <c r="P9364">
        <v>0.98915120000000001</v>
      </c>
      <c r="Q9364">
        <v>-2.7930659999999999E-3</v>
      </c>
      <c r="R9364">
        <v>0.14687459999999999</v>
      </c>
      <c r="S9364">
        <v>2.8180689999999999</v>
      </c>
      <c r="T9364">
        <v>-0.25543120000000002</v>
      </c>
      <c r="U9364">
        <v>1.4655149999999999</v>
      </c>
      <c r="V9364">
        <v>-5.8985820000000001E-2</v>
      </c>
      <c r="W9364">
        <v>1.104696E-2</v>
      </c>
      <c r="X9364">
        <v>0.99819769999999997</v>
      </c>
      <c r="Y9364">
        <v>-0.38029190000000002</v>
      </c>
      <c r="Z9364">
        <v>8.710766E-3</v>
      </c>
      <c r="AA9364">
        <v>0.92482549999999997</v>
      </c>
      <c r="AB9364">
        <v>17</v>
      </c>
      <c r="AC9364">
        <v>12.1829999999999</v>
      </c>
      <c r="AD9364">
        <v>-1.111988034938</v>
      </c>
      <c r="AE9364">
        <v>6.3705499999999997</v>
      </c>
      <c r="AF9364">
        <v>-5.2354403167965096</v>
      </c>
      <c r="AG9364">
        <v>-1.111988034938</v>
      </c>
      <c r="AH9364">
        <v>12.615489863053501</v>
      </c>
      <c r="AI9364">
        <v>94.654319995967995</v>
      </c>
      <c r="AJ9364">
        <v>112.53849662549101</v>
      </c>
      <c r="AK9364">
        <v>13.703902261231599</v>
      </c>
      <c r="AL9364">
        <v>89.367042944597401</v>
      </c>
      <c r="AM9364">
        <v>93.381808001570903</v>
      </c>
      <c r="AN9364">
        <v>1.0000000052858</v>
      </c>
    </row>
    <row r="9365" spans="1:40" x14ac:dyDescent="0.25">
      <c r="A9365" t="str">
        <f>"20190312154137638"</f>
        <v>20190312154137638</v>
      </c>
      <c r="B9365" t="str">
        <f>"1552376497635472"</f>
        <v>1552376497635472</v>
      </c>
      <c r="C9365" t="s">
        <v>40</v>
      </c>
      <c r="D9365">
        <v>4.2475050000000003</v>
      </c>
      <c r="E9365">
        <v>0.37889729999999999</v>
      </c>
      <c r="F9365" t="s">
        <v>69</v>
      </c>
      <c r="G9365">
        <v>-201.09819999999999</v>
      </c>
      <c r="H9365" s="1">
        <v>-6.0239099999999999E-6</v>
      </c>
      <c r="I9365">
        <v>-55.701720000000002</v>
      </c>
      <c r="J9365">
        <v>-213.17179999999999</v>
      </c>
      <c r="K9365">
        <v>1.112004</v>
      </c>
      <c r="L9365">
        <v>-62.053280000000001</v>
      </c>
      <c r="M9365">
        <v>0.99585290000000004</v>
      </c>
      <c r="N9365">
        <v>0</v>
      </c>
      <c r="O9365">
        <v>8.9877869999999999E-2</v>
      </c>
      <c r="P9365">
        <v>0.98867329999999998</v>
      </c>
      <c r="Q9365">
        <v>-3.0125080000000001E-3</v>
      </c>
      <c r="R9365">
        <v>0.15005270000000001</v>
      </c>
      <c r="S9365">
        <v>2.8136139999999998</v>
      </c>
      <c r="T9365">
        <v>-0.2573395</v>
      </c>
      <c r="U9365">
        <v>1.472046</v>
      </c>
      <c r="V9365">
        <v>-6.0620399999999998E-2</v>
      </c>
      <c r="W9365">
        <v>1.0817139999999999E-2</v>
      </c>
      <c r="X9365">
        <v>0.99810220000000005</v>
      </c>
      <c r="Y9365">
        <v>-0.38110820000000001</v>
      </c>
      <c r="Z9365">
        <v>8.6858979999999992E-3</v>
      </c>
      <c r="AA9365">
        <v>0.92448969999999997</v>
      </c>
      <c r="AB9365">
        <v>17</v>
      </c>
      <c r="AC9365">
        <v>12.073600000000001</v>
      </c>
      <c r="AD9365">
        <v>-1.1120100239099999</v>
      </c>
      <c r="AE9365">
        <v>6.3515600000000099</v>
      </c>
      <c r="AF9365">
        <v>-5.2060020316333704</v>
      </c>
      <c r="AG9365">
        <v>-1.1120100239099999</v>
      </c>
      <c r="AH9365">
        <v>12.512512650160501</v>
      </c>
      <c r="AI9365">
        <v>94.690787905286598</v>
      </c>
      <c r="AJ9365">
        <v>112.590420686624</v>
      </c>
      <c r="AK9365">
        <v>13.597867342604699</v>
      </c>
      <c r="AL9365">
        <v>89.380211396216495</v>
      </c>
      <c r="AM9365">
        <v>93.475627761064402</v>
      </c>
      <c r="AN9365">
        <v>0.99999992252938597</v>
      </c>
    </row>
    <row r="9366" spans="1:40" x14ac:dyDescent="0.25">
      <c r="A9366" t="str">
        <f>"20190312154137650"</f>
        <v>20190312154137650</v>
      </c>
      <c r="B9366" t="str">
        <f>"1552376497645233"</f>
        <v>1552376497645233</v>
      </c>
      <c r="C9366" t="s">
        <v>40</v>
      </c>
      <c r="D9366">
        <v>4.2699730000000002</v>
      </c>
      <c r="E9366">
        <v>0.37851950000000001</v>
      </c>
      <c r="F9366" t="s">
        <v>69</v>
      </c>
      <c r="G9366">
        <v>-201.11449999999999</v>
      </c>
      <c r="H9366" s="1">
        <v>-5.9622280000000002E-6</v>
      </c>
      <c r="I9366">
        <v>-56.057110000000002</v>
      </c>
      <c r="J9366">
        <v>-213.07839999999999</v>
      </c>
      <c r="K9366">
        <v>1.112026</v>
      </c>
      <c r="L9366">
        <v>-62.042760000000001</v>
      </c>
      <c r="M9366">
        <v>0.99568959999999995</v>
      </c>
      <c r="N9366">
        <v>0</v>
      </c>
      <c r="O9366">
        <v>9.1671559999999999E-2</v>
      </c>
      <c r="P9366">
        <v>0.98812219999999995</v>
      </c>
      <c r="Q9366">
        <v>-3.092493E-3</v>
      </c>
      <c r="R9366">
        <v>0.1536402</v>
      </c>
      <c r="S9366">
        <v>2.8206630000000001</v>
      </c>
      <c r="T9366">
        <v>-0.2601427</v>
      </c>
      <c r="U9366">
        <v>1.4027400000000001</v>
      </c>
      <c r="V9366">
        <v>-6.2445090000000002E-2</v>
      </c>
      <c r="W9366">
        <v>1.072655E-2</v>
      </c>
      <c r="X9366">
        <v>0.99799079999999996</v>
      </c>
      <c r="Y9366">
        <v>-0.36041440000000002</v>
      </c>
      <c r="Z9366">
        <v>7.7509650000000003E-3</v>
      </c>
      <c r="AA9366">
        <v>0.93276009999999998</v>
      </c>
      <c r="AB9366">
        <v>17</v>
      </c>
      <c r="AC9366">
        <v>11.963899999999899</v>
      </c>
      <c r="AD9366">
        <v>-1.1120319622279999</v>
      </c>
      <c r="AE9366">
        <v>5.9856499999999997</v>
      </c>
      <c r="AF9366">
        <v>-4.8302066970685997</v>
      </c>
      <c r="AG9366">
        <v>-1.1120319622279999</v>
      </c>
      <c r="AH9366">
        <v>12.376759782634601</v>
      </c>
      <c r="AI9366">
        <v>94.784514555353994</v>
      </c>
      <c r="AJ9366">
        <v>111.31892330737899</v>
      </c>
      <c r="AK9366">
        <v>13.3323551759794</v>
      </c>
      <c r="AL9366">
        <v>89.385402196186206</v>
      </c>
      <c r="AM9366">
        <v>93.580375528847696</v>
      </c>
      <c r="AN9366">
        <v>1.0000000425123201</v>
      </c>
    </row>
    <row r="9367" spans="1:40" x14ac:dyDescent="0.25">
      <c r="A9367" t="str">
        <f>"20190312154137661"</f>
        <v>20190312154137661</v>
      </c>
      <c r="B9367" t="str">
        <f>"1552376497654989"</f>
        <v>1552376497654989</v>
      </c>
      <c r="C9367" t="s">
        <v>40</v>
      </c>
      <c r="D9367">
        <v>4.2315430000000003</v>
      </c>
      <c r="E9367">
        <v>0.37901020000000002</v>
      </c>
      <c r="F9367" t="s">
        <v>69</v>
      </c>
      <c r="G9367">
        <v>-201.143</v>
      </c>
      <c r="H9367" s="1">
        <v>-5.9540129999999998E-6</v>
      </c>
      <c r="I9367">
        <v>-56.040660000000003</v>
      </c>
      <c r="J9367">
        <v>-212.99639999999999</v>
      </c>
      <c r="K9367">
        <v>1.112044</v>
      </c>
      <c r="L9367">
        <v>-62.033389999999997</v>
      </c>
      <c r="M9367">
        <v>0.99554169999999997</v>
      </c>
      <c r="N9367">
        <v>0</v>
      </c>
      <c r="O9367">
        <v>9.3263380000000007E-2</v>
      </c>
      <c r="P9367">
        <v>0.98754719999999996</v>
      </c>
      <c r="Q9367">
        <v>-2.90953E-3</v>
      </c>
      <c r="R9367">
        <v>0.1572972</v>
      </c>
      <c r="S9367">
        <v>2.81514</v>
      </c>
      <c r="T9367">
        <v>-0.26228889999999999</v>
      </c>
      <c r="U9367">
        <v>1.4156799999999901</v>
      </c>
      <c r="V9367">
        <v>-6.4545829999999998E-2</v>
      </c>
      <c r="W9367">
        <v>1.089677E-2</v>
      </c>
      <c r="X9367">
        <v>0.99785520000000005</v>
      </c>
      <c r="Y9367">
        <v>-0.36306050000000001</v>
      </c>
      <c r="Z9367">
        <v>7.7995740000000001E-3</v>
      </c>
      <c r="AA9367">
        <v>0.93173300000000003</v>
      </c>
      <c r="AB9367">
        <v>17</v>
      </c>
      <c r="AC9367">
        <v>11.853399999999899</v>
      </c>
      <c r="AD9367">
        <v>-1.112049954013</v>
      </c>
      <c r="AE9367">
        <v>5.9927299999999999</v>
      </c>
      <c r="AF9367">
        <v>-4.8271694446948397</v>
      </c>
      <c r="AG9367">
        <v>-1.112049954013</v>
      </c>
      <c r="AH9367">
        <v>12.2746403138876</v>
      </c>
      <c r="AI9367">
        <v>94.8193213864499</v>
      </c>
      <c r="AJ9367">
        <v>111.467908966644</v>
      </c>
      <c r="AK9367">
        <v>13.2365031176414</v>
      </c>
      <c r="AL9367">
        <v>89.375648682398804</v>
      </c>
      <c r="AM9367">
        <v>93.700996575667304</v>
      </c>
      <c r="AN9367">
        <v>0.99999995196692903</v>
      </c>
    </row>
    <row r="9368" spans="1:40" x14ac:dyDescent="0.25">
      <c r="A9368" t="str">
        <f>"20190312154137672"</f>
        <v>20190312154137672</v>
      </c>
      <c r="B9368" t="str">
        <f>"1552376497665725"</f>
        <v>1552376497665725</v>
      </c>
      <c r="C9368" t="s">
        <v>40</v>
      </c>
      <c r="D9368">
        <v>4.2839039999999997</v>
      </c>
      <c r="E9368">
        <v>0.37895990000000002</v>
      </c>
      <c r="F9368" t="s">
        <v>69</v>
      </c>
      <c r="G9368">
        <v>-201.3563</v>
      </c>
      <c r="H9368" s="1">
        <v>-5.8570659999999997E-6</v>
      </c>
      <c r="I9368">
        <v>-56.144590000000001</v>
      </c>
      <c r="J9368">
        <v>-212.911</v>
      </c>
      <c r="K9368">
        <v>1.11206</v>
      </c>
      <c r="L9368">
        <v>-62.023409999999998</v>
      </c>
      <c r="M9368">
        <v>0.9953824</v>
      </c>
      <c r="N9368">
        <v>0</v>
      </c>
      <c r="O9368">
        <v>9.4948920000000006E-2</v>
      </c>
      <c r="P9368">
        <v>0.98692400000000002</v>
      </c>
      <c r="Q9368">
        <v>-2.9014900000000001E-3</v>
      </c>
      <c r="R9368">
        <v>0.1611612</v>
      </c>
      <c r="S9368">
        <v>2.810562</v>
      </c>
      <c r="T9368">
        <v>-0.26850930000000001</v>
      </c>
      <c r="U9368">
        <v>1.421875</v>
      </c>
      <c r="V9368">
        <v>-6.6762020000000005E-2</v>
      </c>
      <c r="W9368">
        <v>1.089248E-2</v>
      </c>
      <c r="X9368">
        <v>0.99770950000000003</v>
      </c>
      <c r="Y9368">
        <v>-0.36368709999999999</v>
      </c>
      <c r="Z9368">
        <v>7.8706999999999996E-3</v>
      </c>
      <c r="AA9368">
        <v>0.93148790000000004</v>
      </c>
      <c r="AB9368">
        <v>17</v>
      </c>
      <c r="AC9368">
        <v>11.554699999999899</v>
      </c>
      <c r="AD9368">
        <v>-1.112065857066</v>
      </c>
      <c r="AE9368">
        <v>5.8788199999999904</v>
      </c>
      <c r="AF9368">
        <v>-4.7203072581646204</v>
      </c>
      <c r="AG9368">
        <v>-1.112065857066</v>
      </c>
      <c r="AH9368">
        <v>11.9726341663435</v>
      </c>
      <c r="AI9368">
        <v>94.938697117296002</v>
      </c>
      <c r="AJ9368">
        <v>111.517236930769</v>
      </c>
      <c r="AK9368">
        <v>12.917505949796499</v>
      </c>
      <c r="AL9368">
        <v>89.375894544541595</v>
      </c>
      <c r="AM9368">
        <v>93.828256606193506</v>
      </c>
      <c r="AN9368">
        <v>1.0000000299126399</v>
      </c>
    </row>
    <row r="9369" spans="1:40" x14ac:dyDescent="0.25">
      <c r="A9369" t="str">
        <f>"20190312154137683"</f>
        <v>20190312154137683</v>
      </c>
      <c r="B9369" t="str">
        <f>"1552376497675486"</f>
        <v>1552376497675486</v>
      </c>
      <c r="C9369" t="s">
        <v>40</v>
      </c>
      <c r="D9369">
        <v>4.2663479999999998</v>
      </c>
      <c r="E9369">
        <v>0.37914609999999999</v>
      </c>
      <c r="F9369" t="s">
        <v>69</v>
      </c>
      <c r="G9369">
        <v>-201.2885</v>
      </c>
      <c r="H9369" s="1">
        <v>-5.8918339999999997E-6</v>
      </c>
      <c r="I9369">
        <v>-56.086170000000003</v>
      </c>
      <c r="J9369">
        <v>-212.8297</v>
      </c>
      <c r="K9369">
        <v>1.11207099999999</v>
      </c>
      <c r="L9369">
        <v>-62.013759999999998</v>
      </c>
      <c r="M9369">
        <v>0.99522600000000006</v>
      </c>
      <c r="N9369">
        <v>0</v>
      </c>
      <c r="O9369">
        <v>9.657404E-2</v>
      </c>
      <c r="P9369">
        <v>0.98625370000000001</v>
      </c>
      <c r="Q9369">
        <v>-2.4816510000000001E-3</v>
      </c>
      <c r="R9369">
        <v>0.16522039999999999</v>
      </c>
      <c r="S9369">
        <v>2.8049620000000002</v>
      </c>
      <c r="T9369">
        <v>-0.2683855</v>
      </c>
      <c r="U9369">
        <v>1.4328920000000001</v>
      </c>
      <c r="V9369">
        <v>-6.923965E-2</v>
      </c>
      <c r="W9369">
        <v>1.129872E-2</v>
      </c>
      <c r="X9369">
        <v>0.99753610000000004</v>
      </c>
      <c r="Y9369">
        <v>-0.36581849999999999</v>
      </c>
      <c r="Z9369">
        <v>7.826698E-3</v>
      </c>
      <c r="AA9369">
        <v>0.93065330000000002</v>
      </c>
      <c r="AB9369">
        <v>17</v>
      </c>
      <c r="AC9369">
        <v>11.5412</v>
      </c>
      <c r="AD9369">
        <v>-1.1120768918339901</v>
      </c>
      <c r="AE9369">
        <v>5.9275900000000004</v>
      </c>
      <c r="AF9369">
        <v>-4.7502876768597098</v>
      </c>
      <c r="AG9369">
        <v>-1.1120768918339901</v>
      </c>
      <c r="AH9369">
        <v>11.971798128933001</v>
      </c>
      <c r="AI9369">
        <v>94.934835193639501</v>
      </c>
      <c r="AJ9369">
        <v>111.642674251654</v>
      </c>
      <c r="AK9369">
        <v>12.927718223499401</v>
      </c>
      <c r="AL9369">
        <v>89.352617275087894</v>
      </c>
      <c r="AM9369">
        <v>93.9705701448773</v>
      </c>
      <c r="AN9369">
        <v>1.0000000305044801</v>
      </c>
    </row>
    <row r="9370" spans="1:40" x14ac:dyDescent="0.25">
      <c r="A9370" t="str">
        <f>"20190312154137694"</f>
        <v>20190312154137694</v>
      </c>
      <c r="B9370" t="str">
        <f>"1552376497685246"</f>
        <v>1552376497685246</v>
      </c>
      <c r="C9370" t="s">
        <v>40</v>
      </c>
      <c r="D9370">
        <v>4.2605050000000002</v>
      </c>
      <c r="E9370">
        <v>0.3793667</v>
      </c>
      <c r="F9370" t="s">
        <v>69</v>
      </c>
      <c r="G9370">
        <v>-201.1473</v>
      </c>
      <c r="H9370" s="1">
        <v>-5.9598409999999997E-6</v>
      </c>
      <c r="I9370">
        <v>-55.992910000000002</v>
      </c>
      <c r="J9370">
        <v>-212.7449</v>
      </c>
      <c r="K9370">
        <v>1.112085</v>
      </c>
      <c r="L9370">
        <v>-62.003599999999999</v>
      </c>
      <c r="M9370">
        <v>0.99505849999999996</v>
      </c>
      <c r="N9370">
        <v>0</v>
      </c>
      <c r="O9370">
        <v>9.8283309999999999E-2</v>
      </c>
      <c r="P9370">
        <v>0.98557980000000001</v>
      </c>
      <c r="Q9370">
        <v>-2.8317310000000001E-3</v>
      </c>
      <c r="R9370">
        <v>0.1691878</v>
      </c>
      <c r="S9370">
        <v>2.7994539999999999</v>
      </c>
      <c r="T9370">
        <v>-0.26648739999999999</v>
      </c>
      <c r="U9370">
        <v>1.44278</v>
      </c>
      <c r="V9370">
        <v>-7.1539569999999997E-2</v>
      </c>
      <c r="W9370">
        <v>1.093587E-2</v>
      </c>
      <c r="X9370">
        <v>0.99737779999999998</v>
      </c>
      <c r="Y9370">
        <v>-0.36757469999999998</v>
      </c>
      <c r="Z9370">
        <v>7.7076030000000004E-3</v>
      </c>
      <c r="AA9370">
        <v>0.92996199999999996</v>
      </c>
      <c r="AB9370">
        <v>17</v>
      </c>
      <c r="AC9370">
        <v>11.5976</v>
      </c>
      <c r="AD9370">
        <v>-1.112090959841</v>
      </c>
      <c r="AE9370">
        <v>6.0106900000000003</v>
      </c>
      <c r="AF9370">
        <v>-4.8067798080977502</v>
      </c>
      <c r="AG9370">
        <v>-1.112090959841</v>
      </c>
      <c r="AH9370">
        <v>12.044946225593501</v>
      </c>
      <c r="AI9370">
        <v>94.901252270014396</v>
      </c>
      <c r="AJ9370">
        <v>111.755472144644</v>
      </c>
      <c r="AK9370">
        <v>13.016244005239599</v>
      </c>
      <c r="AL9370">
        <v>89.373408307419098</v>
      </c>
      <c r="AM9370">
        <v>94.102665615079701</v>
      </c>
      <c r="AN9370">
        <v>0.99999998963063996</v>
      </c>
    </row>
    <row r="9371" spans="1:40" x14ac:dyDescent="0.25">
      <c r="A9371" t="str">
        <f>"20190312154137711"</f>
        <v>20190312154137711</v>
      </c>
      <c r="B9371" t="str">
        <f>"1552376497705741"</f>
        <v>1552376497705741</v>
      </c>
      <c r="C9371" t="s">
        <v>40</v>
      </c>
      <c r="D9371">
        <v>4.2771919999999897</v>
      </c>
      <c r="E9371">
        <v>0.37958639999999999</v>
      </c>
      <c r="F9371" t="s">
        <v>69</v>
      </c>
      <c r="G9371">
        <v>-201.16200000000001</v>
      </c>
      <c r="H9371" s="1">
        <v>-5.9556329999999996E-6</v>
      </c>
      <c r="I9371">
        <v>-55.984180000000002</v>
      </c>
      <c r="J9371">
        <v>-212.6199</v>
      </c>
      <c r="K9371">
        <v>1.1120969999999999</v>
      </c>
      <c r="L9371">
        <v>-61.988190000000003</v>
      </c>
      <c r="M9371">
        <v>0.99480190000000002</v>
      </c>
      <c r="N9371">
        <v>0</v>
      </c>
      <c r="O9371">
        <v>0.10084750000000001</v>
      </c>
      <c r="P9371">
        <v>0.98469459999999998</v>
      </c>
      <c r="Q9371">
        <v>-2.93327E-3</v>
      </c>
      <c r="R9371">
        <v>0.174264</v>
      </c>
      <c r="S9371">
        <v>2.7938839999999998</v>
      </c>
      <c r="T9371">
        <v>-0.26824559999999997</v>
      </c>
      <c r="U9371">
        <v>1.451935</v>
      </c>
      <c r="V9371">
        <v>-7.4108090000000001E-2</v>
      </c>
      <c r="W9371">
        <v>1.081905E-2</v>
      </c>
      <c r="X9371">
        <v>0.99719150000000001</v>
      </c>
      <c r="Y9371">
        <v>-0.3683285</v>
      </c>
      <c r="Z9371">
        <v>7.573364E-3</v>
      </c>
      <c r="AA9371">
        <v>0.92966490000000002</v>
      </c>
      <c r="AB9371">
        <v>17</v>
      </c>
      <c r="AC9371">
        <v>11.457899999999899</v>
      </c>
      <c r="AD9371">
        <v>-1.112102955633</v>
      </c>
      <c r="AE9371">
        <v>6.0040100000000001</v>
      </c>
      <c r="AF9371">
        <v>-4.7824316170378998</v>
      </c>
      <c r="AG9371">
        <v>-1.112102955633</v>
      </c>
      <c r="AH9371">
        <v>11.916944494857701</v>
      </c>
      <c r="AI9371">
        <v>94.949877204577106</v>
      </c>
      <c r="AJ9371">
        <v>111.86626145727701</v>
      </c>
      <c r="AK9371">
        <v>12.8888320358786</v>
      </c>
      <c r="AL9371">
        <v>89.380101986933497</v>
      </c>
      <c r="AM9371">
        <v>94.250226329815803</v>
      </c>
      <c r="AN9371">
        <v>0.99999997425929998</v>
      </c>
    </row>
    <row r="9372" spans="1:40" x14ac:dyDescent="0.25">
      <c r="A9372" t="str">
        <f>"20190312154137723"</f>
        <v>20190312154137723</v>
      </c>
      <c r="B9372" t="str">
        <f>"1552376497715502"</f>
        <v>1552376497715502</v>
      </c>
      <c r="C9372" t="s">
        <v>40</v>
      </c>
      <c r="D9372">
        <v>4.2342979999999999</v>
      </c>
      <c r="E9372">
        <v>0.37671890000000002</v>
      </c>
      <c r="F9372" t="s">
        <v>69</v>
      </c>
      <c r="G9372">
        <v>-201.08500000000001</v>
      </c>
      <c r="H9372" s="1">
        <v>-5.9937769999999997E-6</v>
      </c>
      <c r="I9372">
        <v>-55.92651</v>
      </c>
      <c r="J9372">
        <v>-212.53139999999999</v>
      </c>
      <c r="K9372">
        <v>1.112107</v>
      </c>
      <c r="L9372">
        <v>-61.977080000000001</v>
      </c>
      <c r="M9372">
        <v>0.99461379999999999</v>
      </c>
      <c r="N9372">
        <v>0</v>
      </c>
      <c r="O9372">
        <v>0.1026856</v>
      </c>
      <c r="P9372">
        <v>0.98387880000000005</v>
      </c>
      <c r="Q9372">
        <v>-3.2252489999999999E-3</v>
      </c>
      <c r="R9372">
        <v>0.17880789999999999</v>
      </c>
      <c r="S9372">
        <v>2.7866520000000001</v>
      </c>
      <c r="T9372">
        <v>-0.26866810000000002</v>
      </c>
      <c r="U9372">
        <v>1.4644170000000001</v>
      </c>
      <c r="V9372">
        <v>-7.6867840000000007E-2</v>
      </c>
      <c r="W9372">
        <v>1.051151E-2</v>
      </c>
      <c r="X9372">
        <v>0.99698589999999998</v>
      </c>
      <c r="Y9372">
        <v>-0.37085839999999998</v>
      </c>
      <c r="Z9372">
        <v>7.5466969999999998E-3</v>
      </c>
      <c r="AA9372">
        <v>0.92865880000000001</v>
      </c>
      <c r="AB9372">
        <v>17</v>
      </c>
      <c r="AC9372">
        <v>11.446399999999899</v>
      </c>
      <c r="AD9372">
        <v>-1.112112993777</v>
      </c>
      <c r="AE9372">
        <v>6.0505699999999996</v>
      </c>
      <c r="AF9372">
        <v>-4.8076107439178797</v>
      </c>
      <c r="AG9372">
        <v>-1.112112993777</v>
      </c>
      <c r="AH9372">
        <v>11.9193065038338</v>
      </c>
      <c r="AI9372">
        <v>94.945480259344706</v>
      </c>
      <c r="AJ9372">
        <v>111.966512648256</v>
      </c>
      <c r="AK9372">
        <v>12.900379215678001</v>
      </c>
      <c r="AL9372">
        <v>89.397723761728997</v>
      </c>
      <c r="AM9372">
        <v>94.408795509724598</v>
      </c>
      <c r="AN9372">
        <v>1.00000002073377</v>
      </c>
    </row>
    <row r="9373" spans="1:40" x14ac:dyDescent="0.25">
      <c r="A9373" t="str">
        <f>"20190312154137735"</f>
        <v>20190312154137735</v>
      </c>
      <c r="B9373" t="str">
        <f>"1552376497725261"</f>
        <v>1552376497725261</v>
      </c>
      <c r="C9373" t="s">
        <v>40</v>
      </c>
      <c r="D9373">
        <v>4.21976</v>
      </c>
      <c r="E9373">
        <v>0.37671890000000002</v>
      </c>
      <c r="F9373" t="s">
        <v>69</v>
      </c>
      <c r="G9373">
        <v>-201.10720000000001</v>
      </c>
      <c r="H9373" s="1">
        <v>-6.0043999999999996E-6</v>
      </c>
      <c r="I9373">
        <v>-55.804839999999999</v>
      </c>
      <c r="J9373">
        <v>-212.4442</v>
      </c>
      <c r="K9373">
        <v>1.112117</v>
      </c>
      <c r="L9373">
        <v>-61.965940000000003</v>
      </c>
      <c r="M9373">
        <v>0.99442269999999999</v>
      </c>
      <c r="N9373">
        <v>0</v>
      </c>
      <c r="O9373">
        <v>0.1045196</v>
      </c>
      <c r="P9373">
        <v>0.98305830000000005</v>
      </c>
      <c r="Q9373">
        <v>-3.4829489999999999E-3</v>
      </c>
      <c r="R9373">
        <v>0.18326049999999999</v>
      </c>
      <c r="S9373">
        <v>2.7757420000000002</v>
      </c>
      <c r="T9373">
        <v>-0.27020909999999998</v>
      </c>
      <c r="U9373">
        <v>1.4996640000000001</v>
      </c>
      <c r="V9373">
        <v>-7.9541899999999999E-2</v>
      </c>
      <c r="W9373">
        <v>1.023782E-2</v>
      </c>
      <c r="X9373">
        <v>0.99677899999999997</v>
      </c>
      <c r="Y9373">
        <v>-0.37977149999999998</v>
      </c>
      <c r="Z9373">
        <v>7.837643E-3</v>
      </c>
      <c r="AA9373">
        <v>0.92504710000000001</v>
      </c>
      <c r="AB9373">
        <v>17</v>
      </c>
      <c r="AC9373">
        <v>11.3369999999999</v>
      </c>
      <c r="AD9373">
        <v>-1.1121230043999999</v>
      </c>
      <c r="AE9373">
        <v>6.1610999999999896</v>
      </c>
      <c r="AF9373">
        <v>-4.9058459695688796</v>
      </c>
      <c r="AG9373">
        <v>-1.1121230043999999</v>
      </c>
      <c r="AH9373">
        <v>11.8310209422957</v>
      </c>
      <c r="AI9373">
        <v>94.962632736156394</v>
      </c>
      <c r="AJ9373">
        <v>112.52180820645199</v>
      </c>
      <c r="AK9373">
        <v>12.856017999018601</v>
      </c>
      <c r="AL9373">
        <v>89.413405904986206</v>
      </c>
      <c r="AM9373">
        <v>94.562474011208394</v>
      </c>
      <c r="AN9373">
        <v>1.00000005082747</v>
      </c>
    </row>
    <row r="9374" spans="1:40" x14ac:dyDescent="0.25">
      <c r="A9374" t="str">
        <f>"20190312154137745"</f>
        <v>20190312154137745</v>
      </c>
      <c r="B9374" t="str">
        <f>"1552376497735023"</f>
        <v>1552376497735023</v>
      </c>
      <c r="C9374" t="s">
        <v>40</v>
      </c>
      <c r="D9374">
        <v>4.2286060000000001</v>
      </c>
      <c r="E9374">
        <v>0.35010859999999999</v>
      </c>
      <c r="F9374" t="s">
        <v>69</v>
      </c>
      <c r="G9374">
        <v>-201.08789999999999</v>
      </c>
      <c r="H9374" s="1">
        <v>-6.018146E-6</v>
      </c>
      <c r="I9374">
        <v>-55.763660000000002</v>
      </c>
      <c r="J9374">
        <v>-212.3586</v>
      </c>
      <c r="K9374">
        <v>1.112128</v>
      </c>
      <c r="L9374">
        <v>-61.954799999999999</v>
      </c>
      <c r="M9374">
        <v>0.99422900000000003</v>
      </c>
      <c r="N9374">
        <v>0</v>
      </c>
      <c r="O9374">
        <v>0.1063471</v>
      </c>
      <c r="P9374">
        <v>0.98222330000000002</v>
      </c>
      <c r="Q9374">
        <v>-3.4931860000000001E-3</v>
      </c>
      <c r="R9374">
        <v>0.1876834</v>
      </c>
      <c r="S9374">
        <v>2.7688290000000002</v>
      </c>
      <c r="T9374">
        <v>-0.27115149999999999</v>
      </c>
      <c r="U9374">
        <v>1.5122070000000001</v>
      </c>
      <c r="V9374">
        <v>-8.2196669999999999E-2</v>
      </c>
      <c r="W9374">
        <v>1.021064E-2</v>
      </c>
      <c r="X9374">
        <v>0.9965638</v>
      </c>
      <c r="Y9374">
        <v>-0.38225900000000002</v>
      </c>
      <c r="Z9374">
        <v>7.824279E-3</v>
      </c>
      <c r="AA9374">
        <v>0.92402209999999996</v>
      </c>
      <c r="AB9374">
        <v>17</v>
      </c>
      <c r="AC9374">
        <v>11.2707</v>
      </c>
      <c r="AD9374">
        <v>-1.112134018146</v>
      </c>
      <c r="AE9374">
        <v>6.1911399999999999</v>
      </c>
      <c r="AF9374">
        <v>-4.9204938904095403</v>
      </c>
      <c r="AG9374">
        <v>-1.112134018146</v>
      </c>
      <c r="AH9374">
        <v>11.7771570540488</v>
      </c>
      <c r="AI9374">
        <v>94.979741958038005</v>
      </c>
      <c r="AJ9374">
        <v>112.675162455128</v>
      </c>
      <c r="AK9374">
        <v>12.8120853289231</v>
      </c>
      <c r="AL9374">
        <v>89.414963243339102</v>
      </c>
      <c r="AM9374">
        <v>94.715088075981001</v>
      </c>
      <c r="AN9374">
        <v>0.99999997859936895</v>
      </c>
    </row>
    <row r="9375" spans="1:40" x14ac:dyDescent="0.25">
      <c r="A9375" t="str">
        <f>"20190312154137757"</f>
        <v>20190312154137757</v>
      </c>
      <c r="B9375" t="str">
        <f>"1552376497745757"</f>
        <v>1552376497745757</v>
      </c>
      <c r="C9375" t="s">
        <v>40</v>
      </c>
      <c r="D9375">
        <v>4.2797939999999999</v>
      </c>
      <c r="E9375">
        <v>0.35097089999999997</v>
      </c>
      <c r="F9375" t="s">
        <v>41</v>
      </c>
      <c r="G9375">
        <v>-211.52629999999999</v>
      </c>
      <c r="H9375">
        <v>1.0421579999999999</v>
      </c>
      <c r="I9375">
        <v>-61.424889999999998</v>
      </c>
      <c r="J9375">
        <v>-212.27539999999999</v>
      </c>
      <c r="K9375">
        <v>1.112142</v>
      </c>
      <c r="L9375">
        <v>-61.94388</v>
      </c>
      <c r="M9375">
        <v>0.99403620000000004</v>
      </c>
      <c r="N9375">
        <v>0</v>
      </c>
      <c r="O9375">
        <v>0.1081341</v>
      </c>
      <c r="P9375">
        <v>0.98131429999999997</v>
      </c>
      <c r="Q9375">
        <v>-3.2326730000000001E-3</v>
      </c>
      <c r="R9375">
        <v>0.192385</v>
      </c>
      <c r="S9375">
        <v>2.7222140000000001</v>
      </c>
      <c r="T9375">
        <v>-0.22886799999999999</v>
      </c>
      <c r="U9375">
        <v>1.733643</v>
      </c>
      <c r="V9375">
        <v>-8.5178909999999997E-2</v>
      </c>
      <c r="W9375">
        <v>1.0452380000000001E-2</v>
      </c>
      <c r="X9375">
        <v>0.99631080000000005</v>
      </c>
      <c r="Y9375">
        <v>-0.44197439999999999</v>
      </c>
      <c r="Z9375">
        <v>8.7463760000000002E-3</v>
      </c>
      <c r="AA9375">
        <v>0.89698509999999998</v>
      </c>
      <c r="AB9375">
        <v>17</v>
      </c>
      <c r="AC9375">
        <v>0.74909999999999799</v>
      </c>
      <c r="AD9375">
        <v>-6.9984000000000005E-2</v>
      </c>
      <c r="AE9375">
        <v>0.51899000000000195</v>
      </c>
      <c r="AF9375">
        <v>-0.43238495527493698</v>
      </c>
      <c r="AG9375">
        <v>-6.9984000000000005E-2</v>
      </c>
      <c r="AH9375">
        <v>0.79613763580242802</v>
      </c>
      <c r="AI9375">
        <v>94.417161354168002</v>
      </c>
      <c r="AJ9375">
        <v>118.50652978577</v>
      </c>
      <c r="AK9375">
        <v>0.908674663972309</v>
      </c>
      <c r="AL9375">
        <v>89.401111807611201</v>
      </c>
      <c r="AM9375">
        <v>94.886580783071096</v>
      </c>
      <c r="AN9375">
        <v>0.999999954576545</v>
      </c>
    </row>
    <row r="9376" spans="1:40" x14ac:dyDescent="0.25">
      <c r="A9376" t="str">
        <f>"20190312154137768"</f>
        <v>20190312154137768</v>
      </c>
      <c r="B9376" t="str">
        <f>"1552376497765278"</f>
        <v>1552376497765278</v>
      </c>
      <c r="C9376" t="s">
        <v>40</v>
      </c>
      <c r="D9376">
        <v>4.2431190000000001</v>
      </c>
      <c r="E9376">
        <v>0.352719</v>
      </c>
      <c r="F9376" t="s">
        <v>41</v>
      </c>
      <c r="G9376">
        <v>-211.4502</v>
      </c>
      <c r="H9376">
        <v>1.042149</v>
      </c>
      <c r="I9376">
        <v>-61.415149999999997</v>
      </c>
      <c r="J9376">
        <v>-212.18819999999999</v>
      </c>
      <c r="K9376">
        <v>1.112166</v>
      </c>
      <c r="L9376">
        <v>-61.932099999999998</v>
      </c>
      <c r="M9376">
        <v>0.99382559999999998</v>
      </c>
      <c r="N9376">
        <v>0</v>
      </c>
      <c r="O9376">
        <v>0.110054399999999</v>
      </c>
      <c r="P9376">
        <v>0.98042180000000001</v>
      </c>
      <c r="Q9376">
        <v>-3.0156879999999999E-3</v>
      </c>
      <c r="R9376">
        <v>0.1968859</v>
      </c>
      <c r="S9376">
        <v>2.7152560000000001</v>
      </c>
      <c r="T9376">
        <v>-0.23032069999999999</v>
      </c>
      <c r="U9376">
        <v>1.73996</v>
      </c>
      <c r="V9376">
        <v>-8.7826989999999994E-2</v>
      </c>
      <c r="W9376">
        <v>1.0650740000000001E-2</v>
      </c>
      <c r="X9376">
        <v>0.99607880000000004</v>
      </c>
      <c r="Y9376">
        <v>-0.44275399999999998</v>
      </c>
      <c r="Z9376">
        <v>8.7004630000000003E-3</v>
      </c>
      <c r="AA9376">
        <v>0.89660090000000003</v>
      </c>
      <c r="AB9376">
        <v>17</v>
      </c>
      <c r="AC9376">
        <v>0.73799999999999899</v>
      </c>
      <c r="AD9376">
        <v>-7.0016999999999996E-2</v>
      </c>
      <c r="AE9376">
        <v>0.51695000000000102</v>
      </c>
      <c r="AF9376">
        <v>-0.429984602377051</v>
      </c>
      <c r="AG9376">
        <v>-7.0016999999999996E-2</v>
      </c>
      <c r="AH9376">
        <v>0.78567033805348196</v>
      </c>
      <c r="AI9376">
        <v>94.4700459488718</v>
      </c>
      <c r="AJ9376">
        <v>118.691171003481</v>
      </c>
      <c r="AK9376">
        <v>0.89836908821899297</v>
      </c>
      <c r="AL9376">
        <v>89.389746009489699</v>
      </c>
      <c r="AM9376">
        <v>95.038894248484297</v>
      </c>
      <c r="AN9376">
        <v>0.99999999712222298</v>
      </c>
    </row>
    <row r="9377" spans="1:40" x14ac:dyDescent="0.25">
      <c r="A9377" t="str">
        <f>"20190312154137779"</f>
        <v>20190312154137779</v>
      </c>
      <c r="B9377" t="str">
        <f>"1552376497775037"</f>
        <v>1552376497775037</v>
      </c>
      <c r="C9377" t="s">
        <v>40</v>
      </c>
      <c r="D9377">
        <v>4.2160199999999897</v>
      </c>
      <c r="E9377">
        <v>0.35365540000000001</v>
      </c>
      <c r="F9377" t="s">
        <v>69</v>
      </c>
      <c r="G9377">
        <v>-198.56909999999999</v>
      </c>
      <c r="H9377" s="1">
        <v>-9.6545409999999993E-6</v>
      </c>
      <c r="I9377">
        <v>-53.193420000000003</v>
      </c>
      <c r="J9377">
        <v>-212.1112</v>
      </c>
      <c r="K9377">
        <v>1.1121829999999999</v>
      </c>
      <c r="L9377">
        <v>-61.92163</v>
      </c>
      <c r="M9377">
        <v>0.9936355</v>
      </c>
      <c r="N9377">
        <v>0</v>
      </c>
      <c r="O9377">
        <v>0.111757</v>
      </c>
      <c r="P9377">
        <v>0.97962289999999996</v>
      </c>
      <c r="Q9377">
        <v>-2.379698E-3</v>
      </c>
      <c r="R9377">
        <v>0.20083210000000001</v>
      </c>
      <c r="S9377">
        <v>2.7100219999999999</v>
      </c>
      <c r="T9377">
        <v>-0.2213096</v>
      </c>
      <c r="U9377">
        <v>1.7388920000000001</v>
      </c>
      <c r="V9377">
        <v>-9.0133989999999997E-2</v>
      </c>
      <c r="W9377">
        <v>1.1271059999999999E-2</v>
      </c>
      <c r="X9377">
        <v>0.99586589999999997</v>
      </c>
      <c r="Y9377">
        <v>-0.44182159999999898</v>
      </c>
      <c r="Z9377">
        <v>8.2163119999999999E-3</v>
      </c>
      <c r="AA9377">
        <v>0.89706529999999995</v>
      </c>
      <c r="AB9377">
        <v>17</v>
      </c>
      <c r="AC9377">
        <v>13.5421</v>
      </c>
      <c r="AD9377">
        <v>-1.1121926545409999</v>
      </c>
      <c r="AE9377">
        <v>8.7282100000000096</v>
      </c>
      <c r="AF9377">
        <v>-7.1259881566962804</v>
      </c>
      <c r="AG9377">
        <v>-1.1121926545409999</v>
      </c>
      <c r="AH9377">
        <v>14.3643323044823</v>
      </c>
      <c r="AI9377">
        <v>93.967756290687603</v>
      </c>
      <c r="AJ9377">
        <v>116.385506751896</v>
      </c>
      <c r="AK9377">
        <v>16.073292203645899</v>
      </c>
      <c r="AL9377">
        <v>89.354202178100294</v>
      </c>
      <c r="AM9377">
        <v>95.171644716224506</v>
      </c>
      <c r="AN9377">
        <v>1.0000000318648199</v>
      </c>
    </row>
    <row r="9378" spans="1:40" x14ac:dyDescent="0.25">
      <c r="A9378" t="str">
        <f>"20190312154137789"</f>
        <v>20190312154137789</v>
      </c>
      <c r="B9378" t="str">
        <f>"1552376497785774"</f>
        <v>1552376497785774</v>
      </c>
      <c r="C9378" t="s">
        <v>40</v>
      </c>
      <c r="D9378">
        <v>4.1630949999999904</v>
      </c>
      <c r="E9378">
        <v>0.35425669999999998</v>
      </c>
      <c r="F9378" t="s">
        <v>41</v>
      </c>
      <c r="G9378">
        <v>-211.2998</v>
      </c>
      <c r="H9378">
        <v>1.047218</v>
      </c>
      <c r="I9378">
        <v>-61.398980000000002</v>
      </c>
      <c r="J9378">
        <v>-212.03540000000001</v>
      </c>
      <c r="K9378">
        <v>1.1122069999999999</v>
      </c>
      <c r="L9378">
        <v>-61.911099999999998</v>
      </c>
      <c r="M9378">
        <v>0.99344160000000004</v>
      </c>
      <c r="N9378">
        <v>0</v>
      </c>
      <c r="O9378">
        <v>0.1134677</v>
      </c>
      <c r="P9378">
        <v>0.97877429999999999</v>
      </c>
      <c r="Q9378">
        <v>-1.948195E-3</v>
      </c>
      <c r="R9378">
        <v>0.20493220000000001</v>
      </c>
      <c r="S9378">
        <v>2.7046199999999998</v>
      </c>
      <c r="T9378">
        <v>-0.21655479999999999</v>
      </c>
      <c r="U9378">
        <v>1.742645</v>
      </c>
      <c r="V9378">
        <v>-9.2591199999999999E-2</v>
      </c>
      <c r="W9378">
        <v>1.168398E-2</v>
      </c>
      <c r="X9378">
        <v>0.99563559999999995</v>
      </c>
      <c r="Y9378">
        <v>-0.44200610000000001</v>
      </c>
      <c r="Z9378">
        <v>7.9355609999999903E-3</v>
      </c>
      <c r="AA9378">
        <v>0.89697689999999997</v>
      </c>
      <c r="AB9378">
        <v>17</v>
      </c>
      <c r="AC9378">
        <v>0.73560000000000503</v>
      </c>
      <c r="AD9378">
        <v>-6.4988999999999894E-2</v>
      </c>
      <c r="AE9378">
        <v>0.51211999999999502</v>
      </c>
      <c r="AF9378">
        <v>-0.42311234360444699</v>
      </c>
      <c r="AG9378">
        <v>-6.4988999999999894E-2</v>
      </c>
      <c r="AH9378">
        <v>0.78483705858774799</v>
      </c>
      <c r="AI9378">
        <v>94.168822781593093</v>
      </c>
      <c r="AJ9378">
        <v>118.329485138842</v>
      </c>
      <c r="AK9378">
        <v>0.89398928067629302</v>
      </c>
      <c r="AL9378">
        <v>89.330541990024102</v>
      </c>
      <c r="AM9378">
        <v>95.313058567095496</v>
      </c>
      <c r="AN9378">
        <v>0.999999946846718</v>
      </c>
    </row>
    <row r="9379" spans="1:40" x14ac:dyDescent="0.25">
      <c r="A9379" t="str">
        <f>"20190312154137799"</f>
        <v>20190312154137799</v>
      </c>
      <c r="B9379" t="str">
        <f>"1552376497795534"</f>
        <v>1552376497795534</v>
      </c>
      <c r="C9379" t="s">
        <v>40</v>
      </c>
      <c r="D9379">
        <v>4.180288</v>
      </c>
      <c r="E9379">
        <v>0.35526649999999999</v>
      </c>
      <c r="F9379" t="s">
        <v>69</v>
      </c>
      <c r="G9379">
        <v>-197.81309999999999</v>
      </c>
      <c r="H9379" s="1">
        <v>-9.7457750000000007E-6</v>
      </c>
      <c r="I9379">
        <v>-52.691220000000001</v>
      </c>
      <c r="J9379">
        <v>-211.96469999999999</v>
      </c>
      <c r="K9379">
        <v>1.1122320000000001</v>
      </c>
      <c r="L9379">
        <v>-61.901179999999997</v>
      </c>
      <c r="M9379">
        <v>0.99325669999999999</v>
      </c>
      <c r="N9379">
        <v>0</v>
      </c>
      <c r="O9379">
        <v>0.115074</v>
      </c>
      <c r="P9379">
        <v>0.97804579999999997</v>
      </c>
      <c r="Q9379">
        <v>-1.7323989999999999E-3</v>
      </c>
      <c r="R9379">
        <v>0.20838309999999999</v>
      </c>
      <c r="S9379">
        <v>2.6983799999999998</v>
      </c>
      <c r="T9379">
        <v>-0.2110185</v>
      </c>
      <c r="U9379">
        <v>1.749268</v>
      </c>
      <c r="V9379">
        <v>-9.4494560000000005E-2</v>
      </c>
      <c r="W9379">
        <v>1.1885659999999999E-2</v>
      </c>
      <c r="X9379">
        <v>0.99545439999999996</v>
      </c>
      <c r="Y9379">
        <v>-0.44308809999999899</v>
      </c>
      <c r="Z9379">
        <v>7.6703099999999996E-3</v>
      </c>
      <c r="AA9379">
        <v>0.8964453</v>
      </c>
      <c r="AB9379">
        <v>17</v>
      </c>
      <c r="AC9379">
        <v>14.1516</v>
      </c>
      <c r="AD9379">
        <v>-1.11224174577499</v>
      </c>
      <c r="AE9379">
        <v>9.2099600000000095</v>
      </c>
      <c r="AF9379">
        <v>-7.4876312304521502</v>
      </c>
      <c r="AG9379">
        <v>-1.11224174577499</v>
      </c>
      <c r="AH9379">
        <v>15.0521882882908</v>
      </c>
      <c r="AI9379">
        <v>93.785105239368903</v>
      </c>
      <c r="AJ9379">
        <v>116.44780500296299</v>
      </c>
      <c r="AK9379">
        <v>16.848444302381299</v>
      </c>
      <c r="AL9379">
        <v>89.318985794359705</v>
      </c>
      <c r="AM9379">
        <v>95.422613677427407</v>
      </c>
      <c r="AN9379">
        <v>0.99999997663129403</v>
      </c>
    </row>
    <row r="9380" spans="1:40" x14ac:dyDescent="0.25">
      <c r="A9380" t="str">
        <f>"20190312154137809"</f>
        <v>20190312154137809</v>
      </c>
      <c r="B9380" t="str">
        <f>"1552376497805294"</f>
        <v>1552376497805294</v>
      </c>
      <c r="C9380" t="s">
        <v>40</v>
      </c>
      <c r="D9380">
        <v>4.2163579999999996</v>
      </c>
      <c r="E9380">
        <v>0.35609469999999999</v>
      </c>
      <c r="F9380" t="s">
        <v>41</v>
      </c>
      <c r="G9380">
        <v>-211.15360000000001</v>
      </c>
      <c r="H9380">
        <v>1.0493479999999999</v>
      </c>
      <c r="I9380">
        <v>-61.374119999999998</v>
      </c>
      <c r="J9380">
        <v>-211.8897</v>
      </c>
      <c r="K9380">
        <v>1.1122669999999999</v>
      </c>
      <c r="L9380">
        <v>-61.890439999999998</v>
      </c>
      <c r="M9380">
        <v>0.99305330000000003</v>
      </c>
      <c r="N9380">
        <v>0</v>
      </c>
      <c r="O9380">
        <v>0.1168168</v>
      </c>
      <c r="P9380">
        <v>0.97737059999999998</v>
      </c>
      <c r="Q9380">
        <v>-1.4819060000000001E-3</v>
      </c>
      <c r="R9380">
        <v>0.21152869999999999</v>
      </c>
      <c r="S9380">
        <v>2.693924</v>
      </c>
      <c r="T9380">
        <v>-0.2088692</v>
      </c>
      <c r="U9380">
        <v>1.7508539999999999</v>
      </c>
      <c r="V9380">
        <v>-9.5952389999999999E-2</v>
      </c>
      <c r="W9380">
        <v>1.212264E-2</v>
      </c>
      <c r="X9380">
        <v>0.99531210000000003</v>
      </c>
      <c r="Y9380">
        <v>-0.44258049999999999</v>
      </c>
      <c r="Z9380">
        <v>7.4635509999999997E-3</v>
      </c>
      <c r="AA9380">
        <v>0.89669769999999904</v>
      </c>
      <c r="AB9380">
        <v>17</v>
      </c>
      <c r="AC9380">
        <v>0.73609999999999298</v>
      </c>
      <c r="AD9380">
        <v>-6.29190000000001E-2</v>
      </c>
      <c r="AE9380">
        <v>0.516320000000007</v>
      </c>
      <c r="AF9380">
        <v>-0.42470714679940602</v>
      </c>
      <c r="AG9380">
        <v>-6.29190000000001E-2</v>
      </c>
      <c r="AH9380">
        <v>0.78752369545475498</v>
      </c>
      <c r="AI9380">
        <v>94.022448859584699</v>
      </c>
      <c r="AJ9380">
        <v>118.337738000131</v>
      </c>
      <c r="AK9380">
        <v>0.89695514492431905</v>
      </c>
      <c r="AL9380">
        <v>89.305406876614001</v>
      </c>
      <c r="AM9380">
        <v>95.506544060748098</v>
      </c>
      <c r="AN9380">
        <v>0.99999999797684502</v>
      </c>
    </row>
    <row r="9381" spans="1:40" x14ac:dyDescent="0.25">
      <c r="A9381" t="str">
        <f>"20190312154137818"</f>
        <v>20190312154137818</v>
      </c>
      <c r="B9381" t="str">
        <f>"1552376497815054"</f>
        <v>1552376497815054</v>
      </c>
      <c r="C9381" t="s">
        <v>40</v>
      </c>
      <c r="D9381">
        <v>4.2493930000000004</v>
      </c>
      <c r="E9381">
        <v>0.35609469999999999</v>
      </c>
      <c r="F9381" t="s">
        <v>69</v>
      </c>
      <c r="G9381">
        <v>-197.39920000000001</v>
      </c>
      <c r="H9381" s="1">
        <v>-9.7914739999999999E-6</v>
      </c>
      <c r="I9381">
        <v>-52.446179999999998</v>
      </c>
      <c r="J9381">
        <v>-211.81899999999999</v>
      </c>
      <c r="K9381">
        <v>1.1122939999999999</v>
      </c>
      <c r="L9381">
        <v>-61.880249999999997</v>
      </c>
      <c r="M9381">
        <v>0.99285760000000001</v>
      </c>
      <c r="N9381">
        <v>0</v>
      </c>
      <c r="O9381">
        <v>0.1184693</v>
      </c>
      <c r="P9381">
        <v>0.97670179999999995</v>
      </c>
      <c r="Q9381">
        <v>-1.4377019999999999E-3</v>
      </c>
      <c r="R9381">
        <v>0.21459690000000001</v>
      </c>
      <c r="S9381">
        <v>2.689743</v>
      </c>
      <c r="T9381">
        <v>-0.2064618</v>
      </c>
      <c r="U9381">
        <v>1.7530520000000001</v>
      </c>
      <c r="V9381">
        <v>-9.7422090000000003E-2</v>
      </c>
      <c r="W9381">
        <v>1.215315E-2</v>
      </c>
      <c r="X9381">
        <v>0.99516890000000002</v>
      </c>
      <c r="Y9381">
        <v>-0.44225789999999998</v>
      </c>
      <c r="Z9381">
        <v>7.2617439999999997E-3</v>
      </c>
      <c r="AA9381">
        <v>0.89685859999999995</v>
      </c>
      <c r="AB9381">
        <v>17</v>
      </c>
      <c r="AC9381">
        <v>14.4198</v>
      </c>
      <c r="AD9381">
        <v>-1.1123037914739999</v>
      </c>
      <c r="AE9381">
        <v>9.4340699999999895</v>
      </c>
      <c r="AF9381">
        <v>-7.6273651520392498</v>
      </c>
      <c r="AG9381">
        <v>-1.1123037914739999</v>
      </c>
      <c r="AH9381">
        <v>15.3719403456096</v>
      </c>
      <c r="AI9381">
        <v>93.708651336548499</v>
      </c>
      <c r="AJ9381">
        <v>116.390034190753</v>
      </c>
      <c r="AK9381">
        <v>17.1962341480933</v>
      </c>
      <c r="AL9381">
        <v>89.303658620947999</v>
      </c>
      <c r="AM9381">
        <v>95.591156677896507</v>
      </c>
      <c r="AN9381">
        <v>0.999999951101049</v>
      </c>
    </row>
    <row r="9382" spans="1:40" x14ac:dyDescent="0.25">
      <c r="A9382" t="str">
        <f>"20190312154137828"</f>
        <v>20190312154137828</v>
      </c>
      <c r="B9382" t="str">
        <f>"1552376497825789"</f>
        <v>1552376497825789</v>
      </c>
      <c r="C9382" t="s">
        <v>40</v>
      </c>
      <c r="D9382">
        <v>4.2925760000000004</v>
      </c>
      <c r="E9382">
        <v>0.36402990000000002</v>
      </c>
      <c r="F9382" t="s">
        <v>41</v>
      </c>
      <c r="G9382">
        <v>-211.00890000000001</v>
      </c>
      <c r="H9382">
        <v>1.0499879999999999</v>
      </c>
      <c r="I9382">
        <v>-61.348799999999997</v>
      </c>
      <c r="J9382">
        <v>-211.74709999999999</v>
      </c>
      <c r="K9382">
        <v>1.1123270000000001</v>
      </c>
      <c r="L9382">
        <v>-61.869630000000001</v>
      </c>
      <c r="M9382">
        <v>0.99264969999999997</v>
      </c>
      <c r="N9382">
        <v>0</v>
      </c>
      <c r="O9382">
        <v>0.12019779999999999</v>
      </c>
      <c r="P9382">
        <v>0.97610839999999999</v>
      </c>
      <c r="Q9382">
        <v>-1.709293E-3</v>
      </c>
      <c r="R9382">
        <v>0.21727769999999999</v>
      </c>
      <c r="S9382">
        <v>2.68425</v>
      </c>
      <c r="T9382">
        <v>-0.20647360000000001</v>
      </c>
      <c r="U9382">
        <v>1.76144399999999</v>
      </c>
      <c r="V9382">
        <v>-9.8421729999999999E-2</v>
      </c>
      <c r="W9382">
        <v>1.187041E-2</v>
      </c>
      <c r="X9382">
        <v>0.99507400000000001</v>
      </c>
      <c r="Y9382">
        <v>-0.44349850000000002</v>
      </c>
      <c r="Z9382">
        <v>7.1945259999999997E-3</v>
      </c>
      <c r="AA9382">
        <v>0.89624619999999999</v>
      </c>
      <c r="AB9382">
        <v>17</v>
      </c>
      <c r="AC9382">
        <v>0.73819999999997699</v>
      </c>
      <c r="AD9382">
        <v>-6.2339000000000103E-2</v>
      </c>
      <c r="AE9382">
        <v>0.52083000000001001</v>
      </c>
      <c r="AF9382">
        <v>-0.42628470991591999</v>
      </c>
      <c r="AG9382">
        <v>-6.2339000000000103E-2</v>
      </c>
      <c r="AH9382">
        <v>0.79168638469298203</v>
      </c>
      <c r="AI9382">
        <v>93.965991868459</v>
      </c>
      <c r="AJ9382">
        <v>118.30030923957899</v>
      </c>
      <c r="AK9382">
        <v>0.90131689018754402</v>
      </c>
      <c r="AL9382">
        <v>89.319859635633804</v>
      </c>
      <c r="AM9382">
        <v>95.648693163736397</v>
      </c>
      <c r="AN9382">
        <v>1.0000000045228801</v>
      </c>
    </row>
    <row r="9383" spans="1:40" x14ac:dyDescent="0.25">
      <c r="A9383" t="str">
        <f>"20190312154137840"</f>
        <v>20190312154137840</v>
      </c>
      <c r="B9383" t="str">
        <f>"1552376497835549"</f>
        <v>1552376497835549</v>
      </c>
      <c r="C9383" t="s">
        <v>40</v>
      </c>
      <c r="D9383">
        <v>4.2743330000000004</v>
      </c>
      <c r="E9383">
        <v>0.3645409</v>
      </c>
      <c r="F9383" t="s">
        <v>69</v>
      </c>
      <c r="G9383">
        <v>-200.7268</v>
      </c>
      <c r="H9383" s="1">
        <v>-6.2913149999999996E-6</v>
      </c>
      <c r="I9383">
        <v>-54.889600000000002</v>
      </c>
      <c r="J9383">
        <v>-211.6619</v>
      </c>
      <c r="K9383">
        <v>1.112368</v>
      </c>
      <c r="L9383">
        <v>-61.856960000000001</v>
      </c>
      <c r="M9383">
        <v>0.99239679999999997</v>
      </c>
      <c r="N9383">
        <v>0</v>
      </c>
      <c r="O9383">
        <v>0.1222681</v>
      </c>
      <c r="P9383">
        <v>0.97545930000000003</v>
      </c>
      <c r="Q9383">
        <v>-1.7182709999999999E-3</v>
      </c>
      <c r="R9383">
        <v>0.2201738</v>
      </c>
      <c r="S9383">
        <v>2.6932529999999999</v>
      </c>
      <c r="T9383">
        <v>-0.27184209999999998</v>
      </c>
      <c r="U9383">
        <v>1.7058409999999999</v>
      </c>
      <c r="V9383">
        <v>-9.9300470000000002E-2</v>
      </c>
      <c r="W9383">
        <v>1.1849429999999999E-2</v>
      </c>
      <c r="X9383">
        <v>0.99498699999999995</v>
      </c>
      <c r="Y9383">
        <v>-0.42667379999999999</v>
      </c>
      <c r="Z9383">
        <v>8.520428E-3</v>
      </c>
      <c r="AA9383">
        <v>0.90436539999999999</v>
      </c>
      <c r="AB9383">
        <v>17</v>
      </c>
      <c r="AC9383">
        <v>10.9351</v>
      </c>
      <c r="AD9383">
        <v>-1.1123742913150001</v>
      </c>
      <c r="AE9383">
        <v>6.9673599999999896</v>
      </c>
      <c r="AF9383">
        <v>-5.5371732769460102</v>
      </c>
      <c r="AG9383">
        <v>-1.1123742913150001</v>
      </c>
      <c r="AH9383">
        <v>11.619489324683199</v>
      </c>
      <c r="AI9383">
        <v>94.9393546212047</v>
      </c>
      <c r="AJ9383">
        <v>115.479755117761</v>
      </c>
      <c r="AK9383">
        <v>12.919372919353799</v>
      </c>
      <c r="AL9383">
        <v>89.321061824148202</v>
      </c>
      <c r="AM9383">
        <v>95.699290968569898</v>
      </c>
      <c r="AN9383">
        <v>1.0000000612512701</v>
      </c>
    </row>
    <row r="9384" spans="1:40" x14ac:dyDescent="0.25">
      <c r="A9384" t="str">
        <f>"20190312154137852"</f>
        <v>20190312154137852</v>
      </c>
      <c r="B9384" t="str">
        <f>"1552376497845309"</f>
        <v>1552376497845309</v>
      </c>
      <c r="C9384" t="s">
        <v>40</v>
      </c>
      <c r="D9384">
        <v>4.2647190000000004</v>
      </c>
      <c r="E9384">
        <v>0.3651124</v>
      </c>
      <c r="F9384" t="s">
        <v>41</v>
      </c>
      <c r="G9384">
        <v>-210.79429999999999</v>
      </c>
      <c r="H9384">
        <v>1.0250729999999999</v>
      </c>
      <c r="I9384">
        <v>-61.305399999999999</v>
      </c>
      <c r="J9384">
        <v>-211.57220000000001</v>
      </c>
      <c r="K9384">
        <v>1.112411</v>
      </c>
      <c r="L9384">
        <v>-61.843260000000001</v>
      </c>
      <c r="M9384">
        <v>0.99211780000000005</v>
      </c>
      <c r="N9384">
        <v>0</v>
      </c>
      <c r="O9384">
        <v>0.12451139999999999</v>
      </c>
      <c r="P9384">
        <v>0.97477009999999997</v>
      </c>
      <c r="Q9384">
        <v>-1.756287E-3</v>
      </c>
      <c r="R9384">
        <v>0.22320470000000001</v>
      </c>
      <c r="S9384">
        <v>2.6890559999999999</v>
      </c>
      <c r="T9384">
        <v>-0.27056920000000001</v>
      </c>
      <c r="U9384">
        <v>1.709808</v>
      </c>
      <c r="V9384">
        <v>-0.1001445</v>
      </c>
      <c r="W9384">
        <v>1.179841E-2</v>
      </c>
      <c r="X9384">
        <v>0.99490299999999998</v>
      </c>
      <c r="Y9384">
        <v>-0.42623689999999997</v>
      </c>
      <c r="Z9384">
        <v>8.2675660000000005E-3</v>
      </c>
      <c r="AA9384">
        <v>0.90457379999999998</v>
      </c>
      <c r="AB9384">
        <v>17</v>
      </c>
      <c r="AC9384">
        <v>0.77790000000001602</v>
      </c>
      <c r="AD9384">
        <v>-8.7338000000000096E-2</v>
      </c>
      <c r="AE9384">
        <v>0.537860000000002</v>
      </c>
      <c r="AF9384">
        <v>-0.43311283586878302</v>
      </c>
      <c r="AG9384">
        <v>-8.7338000000000096E-2</v>
      </c>
      <c r="AH9384">
        <v>0.83172842515681999</v>
      </c>
      <c r="AI9384">
        <v>95.320981360184007</v>
      </c>
      <c r="AJ9384">
        <v>117.50771876405901</v>
      </c>
      <c r="AK9384">
        <v>0.94179978129756603</v>
      </c>
      <c r="AL9384">
        <v>89.323985252332093</v>
      </c>
      <c r="AM9384">
        <v>95.747892612856901</v>
      </c>
      <c r="AN9384">
        <v>1.00000005138388</v>
      </c>
    </row>
    <row r="9385" spans="1:40" x14ac:dyDescent="0.25">
      <c r="A9385" t="str">
        <f>"20190312154137862"</f>
        <v>20190312154137862</v>
      </c>
      <c r="B9385" t="str">
        <f>"1552376497855070"</f>
        <v>1552376497855070</v>
      </c>
      <c r="C9385" t="s">
        <v>40</v>
      </c>
      <c r="D9385">
        <v>4.2766900000000003</v>
      </c>
      <c r="E9385">
        <v>0.36584539999999999</v>
      </c>
      <c r="F9385" t="s">
        <v>69</v>
      </c>
      <c r="G9385">
        <v>-200.36160000000001</v>
      </c>
      <c r="H9385" s="1">
        <v>-6.4611319999999999E-6</v>
      </c>
      <c r="I9385">
        <v>-54.687130000000003</v>
      </c>
      <c r="J9385">
        <v>-211.49440000000001</v>
      </c>
      <c r="K9385">
        <v>1.112422</v>
      </c>
      <c r="L9385">
        <v>-61.831240000000001</v>
      </c>
      <c r="M9385">
        <v>0.99184280000000002</v>
      </c>
      <c r="N9385">
        <v>0</v>
      </c>
      <c r="O9385">
        <v>0.12669179999999999</v>
      </c>
      <c r="P9385">
        <v>0.97416199999999997</v>
      </c>
      <c r="Q9385">
        <v>-2.0531059999999999E-3</v>
      </c>
      <c r="R9385">
        <v>0.22584119999999999</v>
      </c>
      <c r="S9385">
        <v>2.6847530000000002</v>
      </c>
      <c r="T9385">
        <v>-0.26640570000000002</v>
      </c>
      <c r="U9385">
        <v>1.71377599999999</v>
      </c>
      <c r="V9385">
        <v>-0.1006488</v>
      </c>
      <c r="W9385">
        <v>1.141554E-2</v>
      </c>
      <c r="X9385">
        <v>0.99485650000000003</v>
      </c>
      <c r="Y9385">
        <v>-0.42589579999999999</v>
      </c>
      <c r="Z9385">
        <v>7.940885E-3</v>
      </c>
      <c r="AA9385">
        <v>0.90473740000000002</v>
      </c>
      <c r="AB9385">
        <v>17</v>
      </c>
      <c r="AC9385">
        <v>11.1328</v>
      </c>
      <c r="AD9385">
        <v>-1.1124284611319999</v>
      </c>
      <c r="AE9385">
        <v>7.1441099999999897</v>
      </c>
      <c r="AF9385">
        <v>-5.6360985510083204</v>
      </c>
      <c r="AG9385">
        <v>-1.1124284611319999</v>
      </c>
      <c r="AH9385">
        <v>11.8643564090266</v>
      </c>
      <c r="AI9385">
        <v>94.840933121142996</v>
      </c>
      <c r="AJ9385">
        <v>115.409803462567</v>
      </c>
      <c r="AK9385">
        <v>13.182035387535</v>
      </c>
      <c r="AL9385">
        <v>89.345923514668399</v>
      </c>
      <c r="AM9385">
        <v>95.776910321615901</v>
      </c>
      <c r="AN9385">
        <v>0.99999997554358999</v>
      </c>
    </row>
    <row r="9386" spans="1:40" x14ac:dyDescent="0.25">
      <c r="A9386" t="str">
        <f>"20190312154137873"</f>
        <v>20190312154137873</v>
      </c>
      <c r="B9386" t="str">
        <f>"1552376497865806"</f>
        <v>1552376497865806</v>
      </c>
      <c r="C9386" t="s">
        <v>40</v>
      </c>
      <c r="D9386">
        <v>4.2471170000000003</v>
      </c>
      <c r="E9386">
        <v>0.36640800000000001</v>
      </c>
      <c r="F9386" t="s">
        <v>69</v>
      </c>
      <c r="G9386">
        <v>-200.2107</v>
      </c>
      <c r="H9386" s="1">
        <v>-6.5299090000000004E-6</v>
      </c>
      <c r="I9386">
        <v>-54.612609999999997</v>
      </c>
      <c r="J9386">
        <v>-211.4118</v>
      </c>
      <c r="K9386">
        <v>1.1124050000000001</v>
      </c>
      <c r="L9386">
        <v>-61.818300000000001</v>
      </c>
      <c r="M9386">
        <v>0.99151560000000005</v>
      </c>
      <c r="N9386">
        <v>0</v>
      </c>
      <c r="O9386">
        <v>0.129245</v>
      </c>
      <c r="P9386">
        <v>0.97345820000000005</v>
      </c>
      <c r="Q9386">
        <v>-2.3669260000000001E-3</v>
      </c>
      <c r="R9386">
        <v>0.22885340000000001</v>
      </c>
      <c r="S9386">
        <v>2.6813509999999998</v>
      </c>
      <c r="T9386">
        <v>-0.26434619999999998</v>
      </c>
      <c r="U9386">
        <v>1.715363</v>
      </c>
      <c r="V9386">
        <v>-0.101164</v>
      </c>
      <c r="W9386">
        <v>1.093301E-2</v>
      </c>
      <c r="X9386">
        <v>0.99480970000000002</v>
      </c>
      <c r="Y9386">
        <v>-0.42449550000000003</v>
      </c>
      <c r="Z9386">
        <v>7.6000360000000001E-3</v>
      </c>
      <c r="AA9386">
        <v>0.90539809999999998</v>
      </c>
      <c r="AB9386">
        <v>17</v>
      </c>
      <c r="AC9386">
        <v>11.201099999999901</v>
      </c>
      <c r="AD9386">
        <v>-1.1124115299089901</v>
      </c>
      <c r="AE9386">
        <v>7.2056899999999997</v>
      </c>
      <c r="AF9386">
        <v>-5.6579462395622304</v>
      </c>
      <c r="AG9386">
        <v>-1.1124115299089901</v>
      </c>
      <c r="AH9386">
        <v>11.955124176627301</v>
      </c>
      <c r="AI9386">
        <v>94.807573591072199</v>
      </c>
      <c r="AJ9386">
        <v>115.326572650785</v>
      </c>
      <c r="AK9386">
        <v>13.2730858936507</v>
      </c>
      <c r="AL9386">
        <v>89.373572197416607</v>
      </c>
      <c r="AM9386">
        <v>95.806550865769495</v>
      </c>
      <c r="AN9386">
        <v>1.0000000124088699</v>
      </c>
    </row>
    <row r="9387" spans="1:40" x14ac:dyDescent="0.25">
      <c r="A9387" t="str">
        <f>"20190312154137885"</f>
        <v>20190312154137885</v>
      </c>
      <c r="B9387" t="str">
        <f>"1552376497875566"</f>
        <v>1552376497875566</v>
      </c>
      <c r="C9387" t="s">
        <v>40</v>
      </c>
      <c r="D9387">
        <v>4.2557850000000004</v>
      </c>
      <c r="E9387">
        <v>0.36666589999999999</v>
      </c>
      <c r="F9387" t="s">
        <v>69</v>
      </c>
      <c r="G9387">
        <v>-200.1524</v>
      </c>
      <c r="H9387" s="1">
        <v>-6.5559320000000002E-6</v>
      </c>
      <c r="I9387">
        <v>-54.587130000000002</v>
      </c>
      <c r="J9387">
        <v>-211.33160000000001</v>
      </c>
      <c r="K9387">
        <v>1.1124579999999999</v>
      </c>
      <c r="L9387">
        <v>-61.80545</v>
      </c>
      <c r="M9387">
        <v>0.99120529999999996</v>
      </c>
      <c r="N9387">
        <v>0</v>
      </c>
      <c r="O9387">
        <v>0.13160539999999901</v>
      </c>
      <c r="P9387">
        <v>0.97285569999999999</v>
      </c>
      <c r="Q9387">
        <v>-2.9784989999999999E-3</v>
      </c>
      <c r="R9387">
        <v>0.23139319999999999</v>
      </c>
      <c r="S9387">
        <v>2.6769560000000001</v>
      </c>
      <c r="T9387">
        <v>-0.2644803</v>
      </c>
      <c r="U9387">
        <v>1.719238</v>
      </c>
      <c r="V9387">
        <v>-0.10139049999999999</v>
      </c>
      <c r="W9387">
        <v>1.027453E-2</v>
      </c>
      <c r="X9387">
        <v>0.9947937</v>
      </c>
      <c r="Y9387">
        <v>-0.42395129999999998</v>
      </c>
      <c r="Z9387">
        <v>7.3800509999999899E-3</v>
      </c>
      <c r="AA9387">
        <v>0.90565490000000004</v>
      </c>
      <c r="AB9387">
        <v>17</v>
      </c>
      <c r="AC9387">
        <v>11.1792</v>
      </c>
      <c r="AD9387">
        <v>-1.1124645559320001</v>
      </c>
      <c r="AE9387">
        <v>7.2183199999999896</v>
      </c>
      <c r="AF9387">
        <v>-5.6446899313631</v>
      </c>
      <c r="AG9387">
        <v>-1.1124645559320001</v>
      </c>
      <c r="AH9387">
        <v>11.948501375477599</v>
      </c>
      <c r="AI9387">
        <v>94.812021690747599</v>
      </c>
      <c r="AJ9387">
        <v>115.286904504354</v>
      </c>
      <c r="AK9387">
        <v>13.261477554527101</v>
      </c>
      <c r="AL9387">
        <v>89.411302467384303</v>
      </c>
      <c r="AM9387">
        <v>95.819555205950195</v>
      </c>
      <c r="AN9387">
        <v>1.0000000525083199</v>
      </c>
    </row>
    <row r="9388" spans="1:40" x14ac:dyDescent="0.25">
      <c r="A9388" t="str">
        <f>"20190312154137897"</f>
        <v>20190312154137897</v>
      </c>
      <c r="B9388" t="str">
        <f>"1552376497885326"</f>
        <v>1552376497885326</v>
      </c>
      <c r="C9388" t="s">
        <v>40</v>
      </c>
      <c r="D9388">
        <v>4.2721640000000001</v>
      </c>
      <c r="E9388">
        <v>0.36716520000000002</v>
      </c>
      <c r="F9388" t="s">
        <v>69</v>
      </c>
      <c r="G9388">
        <v>-200.03380000000001</v>
      </c>
      <c r="H9388" s="1">
        <v>-6.6116670000000003E-6</v>
      </c>
      <c r="I9388">
        <v>-54.517749999999999</v>
      </c>
      <c r="J9388">
        <v>-211.24180000000001</v>
      </c>
      <c r="K9388">
        <v>1.112554</v>
      </c>
      <c r="L9388">
        <v>-61.790889999999997</v>
      </c>
      <c r="M9388">
        <v>0.99085900000000005</v>
      </c>
      <c r="N9388">
        <v>0</v>
      </c>
      <c r="O9388">
        <v>0.13418389999999999</v>
      </c>
      <c r="P9388">
        <v>0.97220200000000001</v>
      </c>
      <c r="Q9388">
        <v>-3.2868070000000001E-3</v>
      </c>
      <c r="R9388">
        <v>0.23412050000000001</v>
      </c>
      <c r="S9388">
        <v>2.6728209999999999</v>
      </c>
      <c r="T9388">
        <v>-0.26318629999999998</v>
      </c>
      <c r="U9388">
        <v>1.724121</v>
      </c>
      <c r="V9388">
        <v>-0.1015939</v>
      </c>
      <c r="W9388">
        <v>9.9731869999999997E-3</v>
      </c>
      <c r="X9388">
        <v>0.99477599999999999</v>
      </c>
      <c r="Y9388">
        <v>-0.42342099999999999</v>
      </c>
      <c r="Z9388">
        <v>7.1013889999999996E-3</v>
      </c>
      <c r="AA9388">
        <v>0.90590519999999997</v>
      </c>
      <c r="AB9388">
        <v>17</v>
      </c>
      <c r="AC9388">
        <v>11.207999999999901</v>
      </c>
      <c r="AD9388">
        <v>-1.1125606116669999</v>
      </c>
      <c r="AE9388">
        <v>7.2731399999999997</v>
      </c>
      <c r="AF9388">
        <v>-5.6640012692692503</v>
      </c>
      <c r="AG9388">
        <v>-1.1125606116669999</v>
      </c>
      <c r="AH9388">
        <v>11.9994520009606</v>
      </c>
      <c r="AI9388">
        <v>94.792827039340096</v>
      </c>
      <c r="AJ9388">
        <v>115.26832547590099</v>
      </c>
      <c r="AK9388">
        <v>13.3156130094065</v>
      </c>
      <c r="AL9388">
        <v>89.428569024965299</v>
      </c>
      <c r="AM9388">
        <v>95.831252515347799</v>
      </c>
      <c r="AN9388">
        <v>1.00000003757607</v>
      </c>
    </row>
    <row r="9389" spans="1:40" x14ac:dyDescent="0.25">
      <c r="A9389" t="str">
        <f>"20190312154137906"</f>
        <v>20190312154137906</v>
      </c>
      <c r="B9389" t="str">
        <f>"1552376497895085"</f>
        <v>1552376497895085</v>
      </c>
      <c r="C9389" t="s">
        <v>40</v>
      </c>
      <c r="D9389">
        <v>4.2509180000000004</v>
      </c>
      <c r="E9389">
        <v>0.3677105</v>
      </c>
      <c r="F9389" t="s">
        <v>69</v>
      </c>
      <c r="G9389">
        <v>-199.89590000000001</v>
      </c>
      <c r="H9389" s="1">
        <v>-9.3641450000000004E-6</v>
      </c>
      <c r="I9389">
        <v>-54.445900000000002</v>
      </c>
      <c r="J9389">
        <v>-211.17169999999999</v>
      </c>
      <c r="K9389">
        <v>1.1126769999999999</v>
      </c>
      <c r="L9389">
        <v>-61.779139999999998</v>
      </c>
      <c r="M9389">
        <v>0.99061169999999998</v>
      </c>
      <c r="N9389">
        <v>0</v>
      </c>
      <c r="O9389">
        <v>0.13598260000000001</v>
      </c>
      <c r="P9389">
        <v>0.97184479999999995</v>
      </c>
      <c r="Q9389">
        <v>-3.7271560000000001E-3</v>
      </c>
      <c r="R9389">
        <v>0.23559279999999999</v>
      </c>
      <c r="S9389">
        <v>2.6688390000000002</v>
      </c>
      <c r="T9389">
        <v>-0.26170189999999999</v>
      </c>
      <c r="U9389">
        <v>1.727722</v>
      </c>
      <c r="V9389">
        <v>-0.10129580000000001</v>
      </c>
      <c r="W9389">
        <v>9.655627E-3</v>
      </c>
      <c r="X9389">
        <v>0.99480950000000001</v>
      </c>
      <c r="Y9389">
        <v>-0.42327029999999899</v>
      </c>
      <c r="Z9389">
        <v>6.9050639999999998E-3</v>
      </c>
      <c r="AA9389">
        <v>0.90597709999999998</v>
      </c>
      <c r="AB9389">
        <v>17</v>
      </c>
      <c r="AC9389">
        <v>11.275799999999901</v>
      </c>
      <c r="AD9389">
        <v>-1.112686364145</v>
      </c>
      <c r="AE9389">
        <v>7.33324</v>
      </c>
      <c r="AF9389">
        <v>-5.69268971490082</v>
      </c>
      <c r="AG9389">
        <v>-1.112686364145</v>
      </c>
      <c r="AH9389">
        <v>12.085627976553001</v>
      </c>
      <c r="AI9389">
        <v>94.761158122894699</v>
      </c>
      <c r="AJ9389">
        <v>115.22182827461501</v>
      </c>
      <c r="AK9389">
        <v>13.4054910660793</v>
      </c>
      <c r="AL9389">
        <v>89.446764730848699</v>
      </c>
      <c r="AM9389">
        <v>95.814065213047101</v>
      </c>
      <c r="AN9389">
        <v>1.00000000576032</v>
      </c>
    </row>
    <row r="9390" spans="1:40" x14ac:dyDescent="0.25">
      <c r="A9390" t="str">
        <f>"20190312154137918"</f>
        <v>20190312154137918</v>
      </c>
      <c r="B9390" t="str">
        <f>"1552376497915582"</f>
        <v>1552376497915582</v>
      </c>
      <c r="C9390" t="s">
        <v>40</v>
      </c>
      <c r="D9390">
        <v>4.2532019999999999</v>
      </c>
      <c r="E9390">
        <v>0.36840840000000002</v>
      </c>
      <c r="F9390" t="s">
        <v>69</v>
      </c>
      <c r="G9390">
        <v>-199.7749</v>
      </c>
      <c r="H9390" s="1">
        <v>-9.3674820000000004E-6</v>
      </c>
      <c r="I9390">
        <v>-54.397640000000003</v>
      </c>
      <c r="J9390">
        <v>-211.09119999999999</v>
      </c>
      <c r="K9390">
        <v>1.1128309999999999</v>
      </c>
      <c r="L9390">
        <v>-61.765590000000003</v>
      </c>
      <c r="M9390">
        <v>0.99032469999999995</v>
      </c>
      <c r="N9390">
        <v>0</v>
      </c>
      <c r="O9390">
        <v>0.1380391</v>
      </c>
      <c r="P9390">
        <v>0.97142249999999997</v>
      </c>
      <c r="Q9390">
        <v>-4.1132360000000001E-3</v>
      </c>
      <c r="R9390">
        <v>0.2373219</v>
      </c>
      <c r="S9390">
        <v>2.66716</v>
      </c>
      <c r="T9390">
        <v>-0.26039990000000002</v>
      </c>
      <c r="U9390">
        <v>1.7274779999999901</v>
      </c>
      <c r="V9390">
        <v>-0.10100190000000001</v>
      </c>
      <c r="W9390">
        <v>9.4138820000000002E-3</v>
      </c>
      <c r="X9390">
        <v>0.99484170000000005</v>
      </c>
      <c r="Y9390">
        <v>-0.42161149999999997</v>
      </c>
      <c r="Z9390">
        <v>6.6228290000000002E-3</v>
      </c>
      <c r="AA9390">
        <v>0.90675229999999996</v>
      </c>
      <c r="AB9390">
        <v>17</v>
      </c>
      <c r="AC9390">
        <v>11.316299999999901</v>
      </c>
      <c r="AD9390">
        <v>-1.112840367482</v>
      </c>
      <c r="AE9390">
        <v>7.3679500000000004</v>
      </c>
      <c r="AF9390">
        <v>-5.6964628389587997</v>
      </c>
      <c r="AG9390">
        <v>-1.112840367482</v>
      </c>
      <c r="AH9390">
        <v>12.142644788348999</v>
      </c>
      <c r="AI9390">
        <v>94.743010999564007</v>
      </c>
      <c r="AJ9390">
        <v>115.13262020002701</v>
      </c>
      <c r="AK9390">
        <v>13.458526108573601</v>
      </c>
      <c r="AL9390">
        <v>89.460616329079301</v>
      </c>
      <c r="AM9390">
        <v>95.797124964056295</v>
      </c>
      <c r="AN9390">
        <v>1.0000000065184</v>
      </c>
    </row>
    <row r="9391" spans="1:40" x14ac:dyDescent="0.25">
      <c r="A9391" t="str">
        <f>"20190312154137930"</f>
        <v>20190312154137930</v>
      </c>
      <c r="B9391" t="str">
        <f>"1552376497925342"</f>
        <v>1552376497925342</v>
      </c>
      <c r="C9391" t="s">
        <v>40</v>
      </c>
      <c r="D9391">
        <v>4.3155989999999997</v>
      </c>
      <c r="E9391">
        <v>0.36840840000000002</v>
      </c>
      <c r="F9391" t="s">
        <v>41</v>
      </c>
      <c r="G9391">
        <v>-210.20679999999999</v>
      </c>
      <c r="H9391">
        <v>1.0279990000000001</v>
      </c>
      <c r="I9391">
        <v>-61.192529999999998</v>
      </c>
      <c r="J9391">
        <v>-211.00239999999999</v>
      </c>
      <c r="K9391">
        <v>1.112965</v>
      </c>
      <c r="L9391">
        <v>-61.750120000000003</v>
      </c>
      <c r="M9391">
        <v>0.99001150000000004</v>
      </c>
      <c r="N9391">
        <v>0</v>
      </c>
      <c r="O9391">
        <v>0.14024690000000001</v>
      </c>
      <c r="P9391">
        <v>0.97099729999999995</v>
      </c>
      <c r="Q9391">
        <v>-4.3057429999999999E-3</v>
      </c>
      <c r="R9391">
        <v>0.23905199999999999</v>
      </c>
      <c r="S9391">
        <v>2.6652529999999999</v>
      </c>
      <c r="T9391">
        <v>-0.2556485</v>
      </c>
      <c r="U9391">
        <v>1.7269589999999999</v>
      </c>
      <c r="V9391">
        <v>-0.10055890000000001</v>
      </c>
      <c r="W9391">
        <v>9.3847970000000003E-3</v>
      </c>
      <c r="X9391">
        <v>0.99488690000000002</v>
      </c>
      <c r="Y9391">
        <v>-0.41980650000000003</v>
      </c>
      <c r="Z9391">
        <v>6.2400919999999896E-3</v>
      </c>
      <c r="AA9391">
        <v>0.90759219999999896</v>
      </c>
      <c r="AB9391">
        <v>17</v>
      </c>
      <c r="AC9391">
        <v>0.79560000000000697</v>
      </c>
      <c r="AD9391">
        <v>-8.4966000000000097E-2</v>
      </c>
      <c r="AE9391">
        <v>0.55758999999999004</v>
      </c>
      <c r="AF9391">
        <v>-0.43714245759615</v>
      </c>
      <c r="AG9391">
        <v>-8.4966000000000097E-2</v>
      </c>
      <c r="AH9391">
        <v>0.859370683043164</v>
      </c>
      <c r="AI9391">
        <v>95.036126213723804</v>
      </c>
      <c r="AJ9391">
        <v>116.961412481905</v>
      </c>
      <c r="AK9391">
        <v>0.96790016027650105</v>
      </c>
      <c r="AL9391">
        <v>89.462282876658705</v>
      </c>
      <c r="AM9391">
        <v>95.771610036791998</v>
      </c>
      <c r="AN9391">
        <v>1.0000000552877699</v>
      </c>
    </row>
    <row r="9392" spans="1:40" x14ac:dyDescent="0.25">
      <c r="A9392" t="str">
        <f>"20190312154137940"</f>
        <v>20190312154137940</v>
      </c>
      <c r="B9392" t="str">
        <f>"1552376497935102"</f>
        <v>1552376497935102</v>
      </c>
      <c r="C9392" t="s">
        <v>40</v>
      </c>
      <c r="D9392">
        <v>4.2803089999999999</v>
      </c>
      <c r="E9392">
        <v>0.37405480000000002</v>
      </c>
      <c r="F9392" t="s">
        <v>69</v>
      </c>
      <c r="G9392">
        <v>-199.44919999999999</v>
      </c>
      <c r="H9392" s="1">
        <v>-9.3878429999999994E-6</v>
      </c>
      <c r="I9392">
        <v>-54.235259999999997</v>
      </c>
      <c r="J9392">
        <v>-210.9246</v>
      </c>
      <c r="K9392">
        <v>1.113056</v>
      </c>
      <c r="L9392">
        <v>-61.736359999999998</v>
      </c>
      <c r="M9392">
        <v>0.98972300000000002</v>
      </c>
      <c r="N9392">
        <v>0</v>
      </c>
      <c r="O9392">
        <v>0.14225499999999999</v>
      </c>
      <c r="P9392">
        <v>0.97070990000000001</v>
      </c>
      <c r="Q9392">
        <v>-4.4905049999999997E-3</v>
      </c>
      <c r="R9392">
        <v>0.24021290000000001</v>
      </c>
      <c r="S9392">
        <v>2.6621700000000001</v>
      </c>
      <c r="T9392">
        <v>-0.25645950000000001</v>
      </c>
      <c r="U9392">
        <v>1.7316279999999999</v>
      </c>
      <c r="V9392">
        <v>-9.9731550000000002E-2</v>
      </c>
      <c r="W9392">
        <v>9.3204259999999997E-3</v>
      </c>
      <c r="X9392">
        <v>0.99497069999999999</v>
      </c>
      <c r="Y9392">
        <v>-0.41956569999999999</v>
      </c>
      <c r="Z9392">
        <v>6.081754E-3</v>
      </c>
      <c r="AA9392">
        <v>0.90770459999999997</v>
      </c>
      <c r="AB9392">
        <v>17</v>
      </c>
      <c r="AC9392">
        <v>11.4754</v>
      </c>
      <c r="AD9392">
        <v>-1.1130653878429999</v>
      </c>
      <c r="AE9392">
        <v>7.5011000000000001</v>
      </c>
      <c r="AF9392">
        <v>-5.75426163659517</v>
      </c>
      <c r="AG9392">
        <v>-1.1130653878429999</v>
      </c>
      <c r="AH9392">
        <v>12.3444820177679</v>
      </c>
      <c r="AI9392">
        <v>94.672075947786595</v>
      </c>
      <c r="AJ9392">
        <v>114.992127357849</v>
      </c>
      <c r="AK9392">
        <v>13.6651629272028</v>
      </c>
      <c r="AL9392">
        <v>89.465971180519702</v>
      </c>
      <c r="AM9392">
        <v>95.723961759109201</v>
      </c>
      <c r="AN9392">
        <v>0.999999973132356</v>
      </c>
    </row>
    <row r="9393" spans="1:40" x14ac:dyDescent="0.25">
      <c r="A9393" t="str">
        <f>"20190312154137952"</f>
        <v>20190312154137952</v>
      </c>
      <c r="B9393" t="str">
        <f>"1552376497945837"</f>
        <v>1552376497945837</v>
      </c>
      <c r="C9393" t="s">
        <v>40</v>
      </c>
      <c r="D9393">
        <v>4.3052349999999997</v>
      </c>
      <c r="E9393">
        <v>0.37417020000000001</v>
      </c>
      <c r="F9393" t="s">
        <v>69</v>
      </c>
      <c r="G9393">
        <v>-197.80510000000001</v>
      </c>
      <c r="H9393" s="1">
        <v>-9.4867319999999993E-6</v>
      </c>
      <c r="I9393">
        <v>-53.426679999999998</v>
      </c>
      <c r="J9393">
        <v>-210.83940000000001</v>
      </c>
      <c r="K9393">
        <v>1.1130960000000001</v>
      </c>
      <c r="L9393">
        <v>-61.720950000000002</v>
      </c>
      <c r="M9393">
        <v>0.98937830000000004</v>
      </c>
      <c r="N9393">
        <v>0</v>
      </c>
      <c r="O9393">
        <v>0.1446257</v>
      </c>
      <c r="P9393">
        <v>0.9703408</v>
      </c>
      <c r="Q9393">
        <v>-4.8801209999999899E-3</v>
      </c>
      <c r="R9393">
        <v>0.24169189999999999</v>
      </c>
      <c r="S9393">
        <v>2.6708530000000001</v>
      </c>
      <c r="T9393">
        <v>-0.22659750000000001</v>
      </c>
      <c r="U9393">
        <v>1.691681</v>
      </c>
      <c r="V9393">
        <v>-9.8864060000000004E-2</v>
      </c>
      <c r="W9393">
        <v>8.9952379999999992E-3</v>
      </c>
      <c r="X9393">
        <v>0.99506030000000001</v>
      </c>
      <c r="Y9393">
        <v>-0.40660499999999999</v>
      </c>
      <c r="Z9393">
        <v>4.6966769999999998E-3</v>
      </c>
      <c r="AA9393">
        <v>0.91359199999999996</v>
      </c>
      <c r="AB9393">
        <v>17</v>
      </c>
      <c r="AC9393">
        <v>13.0343</v>
      </c>
      <c r="AD9393">
        <v>-1.1131054867319901</v>
      </c>
      <c r="AE9393">
        <v>8.2942699999999903</v>
      </c>
      <c r="AF9393">
        <v>-6.2891063198212001</v>
      </c>
      <c r="AG9393">
        <v>-1.1131054867319901</v>
      </c>
      <c r="AH9393">
        <v>14.0241287539725</v>
      </c>
      <c r="AI9393">
        <v>94.142235130292804</v>
      </c>
      <c r="AJ9393">
        <v>114.153800940035</v>
      </c>
      <c r="AK9393">
        <v>15.4099983593317</v>
      </c>
      <c r="AL9393">
        <v>89.484603880697193</v>
      </c>
      <c r="AM9393">
        <v>95.673992025867406</v>
      </c>
      <c r="AN9393">
        <v>1.00000000865122</v>
      </c>
    </row>
    <row r="9394" spans="1:40" x14ac:dyDescent="0.25">
      <c r="A9394" t="str">
        <f>"20190312154137966"</f>
        <v>20190312154137966</v>
      </c>
      <c r="B9394" t="str">
        <f>"1552376497955598"</f>
        <v>1552376497955598</v>
      </c>
      <c r="C9394" t="s">
        <v>40</v>
      </c>
      <c r="D9394">
        <v>4.2985790000000001</v>
      </c>
      <c r="E9394">
        <v>0.3743649</v>
      </c>
      <c r="F9394" t="s">
        <v>69</v>
      </c>
      <c r="G9394">
        <v>-197.82429999999999</v>
      </c>
      <c r="H9394" s="1">
        <v>-9.4794949999999993E-6</v>
      </c>
      <c r="I9394">
        <v>-53.453449999999997</v>
      </c>
      <c r="J9394">
        <v>-210.74760000000001</v>
      </c>
      <c r="K9394">
        <v>1.1130910000000001</v>
      </c>
      <c r="L9394">
        <v>-61.704009999999997</v>
      </c>
      <c r="M9394">
        <v>0.98896240000000002</v>
      </c>
      <c r="N9394">
        <v>0</v>
      </c>
      <c r="O9394">
        <v>0.14744189999999999</v>
      </c>
      <c r="P9394">
        <v>0.96990750000000003</v>
      </c>
      <c r="Q9394">
        <v>-5.4190729999999999E-3</v>
      </c>
      <c r="R9394">
        <v>0.24341299999999999</v>
      </c>
      <c r="S9394">
        <v>2.6683650000000001</v>
      </c>
      <c r="T9394">
        <v>-0.22820950000000001</v>
      </c>
      <c r="U9394">
        <v>1.6950069999999999</v>
      </c>
      <c r="V9394">
        <v>-9.7793560000000002E-2</v>
      </c>
      <c r="W9394">
        <v>8.4707359999999995E-3</v>
      </c>
      <c r="X9394">
        <v>0.99517069999999996</v>
      </c>
      <c r="Y9394">
        <v>-0.40520210000000001</v>
      </c>
      <c r="Z9394">
        <v>4.4638120000000002E-3</v>
      </c>
      <c r="AA9394">
        <v>0.91421629999999998</v>
      </c>
      <c r="AB9394">
        <v>17</v>
      </c>
      <c r="AC9394">
        <v>12.923299999999999</v>
      </c>
      <c r="AD9394">
        <v>-1.1131004794949999</v>
      </c>
      <c r="AE9394">
        <v>8.2505600000000001</v>
      </c>
      <c r="AF9394">
        <v>-6.2219354827034001</v>
      </c>
      <c r="AG9394">
        <v>-1.1131004794949999</v>
      </c>
      <c r="AH9394">
        <v>13.9252436257977</v>
      </c>
      <c r="AI9394">
        <v>94.174069219680803</v>
      </c>
      <c r="AJ9394">
        <v>114.075560396239</v>
      </c>
      <c r="AK9394">
        <v>15.292608798573101</v>
      </c>
      <c r="AL9394">
        <v>89.514656787105807</v>
      </c>
      <c r="AM9394">
        <v>95.612329794419296</v>
      </c>
      <c r="AN9394">
        <v>1.0000000279421699</v>
      </c>
    </row>
    <row r="9395" spans="1:40" x14ac:dyDescent="0.25">
      <c r="A9395" t="str">
        <f>"20190312154137976"</f>
        <v>20190312154137976</v>
      </c>
      <c r="B9395" t="str">
        <f>"1552376497965358"</f>
        <v>1552376497965358</v>
      </c>
      <c r="C9395" t="s">
        <v>40</v>
      </c>
      <c r="D9395">
        <v>4.2503060000000001</v>
      </c>
      <c r="E9395">
        <v>0.37451119999999999</v>
      </c>
      <c r="F9395" t="s">
        <v>69</v>
      </c>
      <c r="G9395">
        <v>-197.83750000000001</v>
      </c>
      <c r="H9395" s="1">
        <v>-9.4724840000000008E-6</v>
      </c>
      <c r="I9395">
        <v>-53.477629999999998</v>
      </c>
      <c r="J9395">
        <v>-210.66550000000001</v>
      </c>
      <c r="K9395">
        <v>1.1130610000000001</v>
      </c>
      <c r="L9395">
        <v>-61.688690000000001</v>
      </c>
      <c r="M9395">
        <v>0.98856200000000005</v>
      </c>
      <c r="N9395">
        <v>0</v>
      </c>
      <c r="O9395">
        <v>0.15010470000000001</v>
      </c>
      <c r="P9395">
        <v>0.96958080000000002</v>
      </c>
      <c r="Q9395">
        <v>-6.2101389999999999E-3</v>
      </c>
      <c r="R9395">
        <v>0.2446932</v>
      </c>
      <c r="S9395">
        <v>2.665527</v>
      </c>
      <c r="T9395">
        <v>-0.2298201</v>
      </c>
      <c r="U9395">
        <v>1.6984859999999999</v>
      </c>
      <c r="V9395">
        <v>-9.64227E-2</v>
      </c>
      <c r="W9395">
        <v>7.6649090000000001E-3</v>
      </c>
      <c r="X9395">
        <v>0.99531099999999995</v>
      </c>
      <c r="Y9395">
        <v>-0.40403020000000001</v>
      </c>
      <c r="Z9395">
        <v>4.2483570000000003E-3</v>
      </c>
      <c r="AA9395">
        <v>0.91473579999999999</v>
      </c>
      <c r="AB9395">
        <v>17</v>
      </c>
      <c r="AC9395">
        <v>12.827999999999999</v>
      </c>
      <c r="AD9395">
        <v>-1.1130704724839999</v>
      </c>
      <c r="AE9395">
        <v>8.2110599999999891</v>
      </c>
      <c r="AF9395">
        <v>-6.15936544679988</v>
      </c>
      <c r="AG9395">
        <v>-1.1130704724839999</v>
      </c>
      <c r="AH9395">
        <v>13.8413570709784</v>
      </c>
      <c r="AI9395">
        <v>94.201985298641802</v>
      </c>
      <c r="AJ9395">
        <v>113.988931156221</v>
      </c>
      <c r="AK9395">
        <v>15.190782539101599</v>
      </c>
      <c r="AL9395">
        <v>89.560828779984604</v>
      </c>
      <c r="AM9395">
        <v>95.533373322016701</v>
      </c>
      <c r="AN9395">
        <v>1.0000000373131299</v>
      </c>
    </row>
    <row r="9396" spans="1:40" x14ac:dyDescent="0.25">
      <c r="A9396" t="str">
        <f>"20190312154137986"</f>
        <v>20190312154137986</v>
      </c>
      <c r="B9396" t="str">
        <f>"1552376497975118"</f>
        <v>1552376497975118</v>
      </c>
      <c r="C9396" t="s">
        <v>40</v>
      </c>
      <c r="D9396">
        <v>4.2535540000000003</v>
      </c>
      <c r="E9396">
        <v>0.3746911</v>
      </c>
      <c r="F9396" t="s">
        <v>69</v>
      </c>
      <c r="G9396">
        <v>-197.95660000000001</v>
      </c>
      <c r="H9396" s="1">
        <v>-9.4525600000000005E-6</v>
      </c>
      <c r="I9396">
        <v>-53.572569999999899</v>
      </c>
      <c r="J9396">
        <v>-210.5942</v>
      </c>
      <c r="K9396">
        <v>1.113035</v>
      </c>
      <c r="L9396">
        <v>-61.675020000000004</v>
      </c>
      <c r="M9396">
        <v>0.98817279999999996</v>
      </c>
      <c r="N9396">
        <v>0</v>
      </c>
      <c r="O9396">
        <v>0.15264849999999999</v>
      </c>
      <c r="P9396">
        <v>0.9692731</v>
      </c>
      <c r="Q9396">
        <v>-7.1009209999999996E-3</v>
      </c>
      <c r="R9396">
        <v>0.24588399999999999</v>
      </c>
      <c r="S9396">
        <v>2.6633610000000001</v>
      </c>
      <c r="T9396">
        <v>-0.2332622</v>
      </c>
      <c r="U9396">
        <v>1.7008669999999999</v>
      </c>
      <c r="V9396">
        <v>-9.5078200000000002E-2</v>
      </c>
      <c r="W9396">
        <v>6.7513109999999899E-3</v>
      </c>
      <c r="X9396">
        <v>0.99544690000000002</v>
      </c>
      <c r="Y9396">
        <v>-0.40258490000000002</v>
      </c>
      <c r="Z9396">
        <v>4.0588539999999998E-3</v>
      </c>
      <c r="AA9396">
        <v>0.91537369999999996</v>
      </c>
      <c r="AB9396">
        <v>17</v>
      </c>
      <c r="AC9396">
        <v>12.6375999999999</v>
      </c>
      <c r="AD9396">
        <v>-1.1130444525600001</v>
      </c>
      <c r="AE9396">
        <v>8.1024499999999993</v>
      </c>
      <c r="AF9396">
        <v>-6.0449263546658498</v>
      </c>
      <c r="AG9396">
        <v>-1.1130444525600001</v>
      </c>
      <c r="AH9396">
        <v>13.651375089696399</v>
      </c>
      <c r="AI9396">
        <v>94.263598499919198</v>
      </c>
      <c r="AJ9396">
        <v>113.884104656537</v>
      </c>
      <c r="AK9396">
        <v>14.9713073719796</v>
      </c>
      <c r="AL9396">
        <v>89.613175430062995</v>
      </c>
      <c r="AM9396">
        <v>95.4559455039943</v>
      </c>
      <c r="AN9396">
        <v>0.99999998751753405</v>
      </c>
    </row>
    <row r="9397" spans="1:40" x14ac:dyDescent="0.25">
      <c r="A9397" t="str">
        <f>"20190312154137998"</f>
        <v>20190312154137998</v>
      </c>
      <c r="B9397" t="str">
        <f>"1552376497995615"</f>
        <v>1552376497995615</v>
      </c>
      <c r="C9397" t="s">
        <v>40</v>
      </c>
      <c r="D9397">
        <v>4.2535819999999998</v>
      </c>
      <c r="E9397">
        <v>0.37521850000000001</v>
      </c>
      <c r="F9397" t="s">
        <v>69</v>
      </c>
      <c r="G9397">
        <v>-198.0153</v>
      </c>
      <c r="H9397" s="1">
        <v>-9.4401249999999997E-6</v>
      </c>
      <c r="I9397">
        <v>-53.626800000000003</v>
      </c>
      <c r="J9397">
        <v>-210.51429999999999</v>
      </c>
      <c r="K9397">
        <v>1.1130100000000001</v>
      </c>
      <c r="L9397">
        <v>-61.659610000000001</v>
      </c>
      <c r="M9397">
        <v>0.98772570000000004</v>
      </c>
      <c r="N9397">
        <v>0</v>
      </c>
      <c r="O9397">
        <v>0.15551879999999901</v>
      </c>
      <c r="P9397">
        <v>0.96878839999999999</v>
      </c>
      <c r="Q9397">
        <v>-7.7067309999999997E-3</v>
      </c>
      <c r="R9397">
        <v>0.2477695</v>
      </c>
      <c r="S9397">
        <v>2.6614070000000001</v>
      </c>
      <c r="T9397">
        <v>-0.2354948</v>
      </c>
      <c r="U9397">
        <v>1.70282</v>
      </c>
      <c r="V9397">
        <v>-9.4119240000000007E-2</v>
      </c>
      <c r="W9397">
        <v>6.1142710000000001E-3</v>
      </c>
      <c r="X9397">
        <v>0.99554219999999904</v>
      </c>
      <c r="Y9397">
        <v>-0.40070660000000002</v>
      </c>
      <c r="Z9397">
        <v>3.7989500000000002E-3</v>
      </c>
      <c r="AA9397">
        <v>0.91619859999999997</v>
      </c>
      <c r="AB9397">
        <v>17</v>
      </c>
      <c r="AC9397">
        <v>12.498999999999899</v>
      </c>
      <c r="AD9397">
        <v>-1.113019440125</v>
      </c>
      <c r="AE9397">
        <v>8.0328099999999907</v>
      </c>
      <c r="AF9397">
        <v>-5.9575851946288996</v>
      </c>
      <c r="AG9397">
        <v>-1.113019440125</v>
      </c>
      <c r="AH9397">
        <v>13.520402825305499</v>
      </c>
      <c r="AI9397">
        <v>94.308090787196804</v>
      </c>
      <c r="AJ9397">
        <v>113.78004877230801</v>
      </c>
      <c r="AK9397">
        <v>14.816643553244001</v>
      </c>
      <c r="AL9397">
        <v>89.649675909456207</v>
      </c>
      <c r="AM9397">
        <v>95.400729858820796</v>
      </c>
      <c r="AN9397">
        <v>1.0000000438144301</v>
      </c>
    </row>
    <row r="9398" spans="1:40" x14ac:dyDescent="0.25">
      <c r="A9398" t="str">
        <f>"20190312154138008"</f>
        <v>20190312154138008</v>
      </c>
      <c r="B9398" t="str">
        <f>"1552376498005374"</f>
        <v>1552376498005374</v>
      </c>
      <c r="C9398" t="s">
        <v>40</v>
      </c>
      <c r="D9398">
        <v>4.3079769999999904</v>
      </c>
      <c r="E9398">
        <v>0.37523440000000002</v>
      </c>
      <c r="F9398" t="s">
        <v>69</v>
      </c>
      <c r="G9398">
        <v>-197.9957</v>
      </c>
      <c r="H9398" s="1">
        <v>-9.4338840000000008E-6</v>
      </c>
      <c r="I9398">
        <v>-53.638300000000001</v>
      </c>
      <c r="J9398">
        <v>-210.43860000000001</v>
      </c>
      <c r="K9398">
        <v>1.1130199999999999</v>
      </c>
      <c r="L9398">
        <v>-61.644530000000003</v>
      </c>
      <c r="M9398">
        <v>0.98727290000000001</v>
      </c>
      <c r="N9398">
        <v>0</v>
      </c>
      <c r="O9398">
        <v>0.1583687</v>
      </c>
      <c r="P9398">
        <v>0.96832510000000005</v>
      </c>
      <c r="Q9398">
        <v>-8.2369049999999992E-3</v>
      </c>
      <c r="R9398">
        <v>0.24955769999999999</v>
      </c>
      <c r="S9398">
        <v>2.659027</v>
      </c>
      <c r="T9398">
        <v>-0.23641100000000001</v>
      </c>
      <c r="U9398">
        <v>1.7037659999999999</v>
      </c>
      <c r="V9398">
        <v>-9.3081769999999994E-2</v>
      </c>
      <c r="W9398">
        <v>5.5787909999999996E-3</v>
      </c>
      <c r="X9398">
        <v>0.99564280000000005</v>
      </c>
      <c r="Y9398">
        <v>-0.39867320000000001</v>
      </c>
      <c r="Z9398">
        <v>3.5098730000000002E-3</v>
      </c>
      <c r="AA9398">
        <v>0.91708630000000002</v>
      </c>
      <c r="AB9398">
        <v>17</v>
      </c>
      <c r="AC9398">
        <v>12.4429</v>
      </c>
      <c r="AD9398">
        <v>-1.1130294338840001</v>
      </c>
      <c r="AE9398">
        <v>8.0062300000000004</v>
      </c>
      <c r="AF9398">
        <v>-5.90100379861597</v>
      </c>
      <c r="AG9398">
        <v>-1.1130294338840001</v>
      </c>
      <c r="AH9398">
        <v>13.4776421300115</v>
      </c>
      <c r="AI9398">
        <v>94.326187248608406</v>
      </c>
      <c r="AJ9398">
        <v>113.645558813223</v>
      </c>
      <c r="AK9398">
        <v>14.7549150365779</v>
      </c>
      <c r="AL9398">
        <v>89.680357150718507</v>
      </c>
      <c r="AM9398">
        <v>95.341007634632902</v>
      </c>
      <c r="AN9398">
        <v>0.99999996200359598</v>
      </c>
    </row>
    <row r="9399" spans="1:40" x14ac:dyDescent="0.25">
      <c r="A9399" t="str">
        <f>"20190312154138019"</f>
        <v>20190312154138019</v>
      </c>
      <c r="B9399" t="str">
        <f>"1552376498015134"</f>
        <v>1552376498015134</v>
      </c>
      <c r="C9399" t="s">
        <v>40</v>
      </c>
      <c r="D9399">
        <v>4.2959259999999997</v>
      </c>
      <c r="E9399">
        <v>0.37519239999999998</v>
      </c>
      <c r="F9399" t="s">
        <v>69</v>
      </c>
      <c r="G9399">
        <v>-198.00389999999999</v>
      </c>
      <c r="H9399" s="1">
        <v>-9.4324999999999999E-6</v>
      </c>
      <c r="I9399">
        <v>-53.644869999999997</v>
      </c>
      <c r="J9399">
        <v>-210.3648</v>
      </c>
      <c r="K9399">
        <v>1.1130389999999999</v>
      </c>
      <c r="L9399">
        <v>-61.629759999999997</v>
      </c>
      <c r="M9399">
        <v>0.98682300000000001</v>
      </c>
      <c r="N9399">
        <v>0</v>
      </c>
      <c r="O9399">
        <v>0.1611493</v>
      </c>
      <c r="P9399">
        <v>0.96785399999999999</v>
      </c>
      <c r="Q9399">
        <v>-8.9623659999999994E-3</v>
      </c>
      <c r="R9399">
        <v>0.2513531</v>
      </c>
      <c r="S9399">
        <v>2.6557919999999999</v>
      </c>
      <c r="T9399">
        <v>-0.2377195</v>
      </c>
      <c r="U9399">
        <v>1.7085570000000001</v>
      </c>
      <c r="V9399">
        <v>-9.2118779999999997E-2</v>
      </c>
      <c r="W9399">
        <v>4.8497169999999999E-3</v>
      </c>
      <c r="X9399">
        <v>0.99573619999999996</v>
      </c>
      <c r="Y9399">
        <v>-0.39777119999999999</v>
      </c>
      <c r="Z9399">
        <v>3.2752329999999998E-3</v>
      </c>
      <c r="AA9399">
        <v>0.91747880000000004</v>
      </c>
      <c r="AB9399">
        <v>17</v>
      </c>
      <c r="AC9399">
        <v>12.360900000000001</v>
      </c>
      <c r="AD9399">
        <v>-1.1130484325000001</v>
      </c>
      <c r="AE9399">
        <v>7.9848899999999903</v>
      </c>
      <c r="AF9399">
        <v>-5.8548493804646604</v>
      </c>
      <c r="AG9399">
        <v>-1.1130484325000001</v>
      </c>
      <c r="AH9399">
        <v>13.4094893229421</v>
      </c>
      <c r="AI9399">
        <v>94.350099408520705</v>
      </c>
      <c r="AJ9399">
        <v>113.587037449796</v>
      </c>
      <c r="AK9399">
        <v>14.6742135047544</v>
      </c>
      <c r="AL9399">
        <v>89.722130590568099</v>
      </c>
      <c r="AM9399">
        <v>95.2855731352399</v>
      </c>
      <c r="AN9399">
        <v>0.99999998468705398</v>
      </c>
    </row>
    <row r="9400" spans="1:40" x14ac:dyDescent="0.25">
      <c r="A9400" t="str">
        <f>"20190312154138029"</f>
        <v>20190312154138029</v>
      </c>
      <c r="B9400" t="str">
        <f>"1552376498024897"</f>
        <v>1552376498024897</v>
      </c>
      <c r="C9400" t="s">
        <v>40</v>
      </c>
      <c r="D9400">
        <v>4.26396</v>
      </c>
      <c r="E9400">
        <v>0.37524619999999997</v>
      </c>
      <c r="F9400" t="s">
        <v>69</v>
      </c>
      <c r="G9400">
        <v>-198.1568</v>
      </c>
      <c r="H9400" s="1">
        <v>-9.4153230000000007E-6</v>
      </c>
      <c r="I9400">
        <v>-53.742820000000002</v>
      </c>
      <c r="J9400">
        <v>-210.28309999999999</v>
      </c>
      <c r="K9400">
        <v>1.113089</v>
      </c>
      <c r="L9400">
        <v>-61.612879999999997</v>
      </c>
      <c r="M9400">
        <v>0.98630890000000004</v>
      </c>
      <c r="N9400">
        <v>0</v>
      </c>
      <c r="O9400">
        <v>0.16426479999999999</v>
      </c>
      <c r="P9400">
        <v>0.96726829999999997</v>
      </c>
      <c r="Q9400">
        <v>-9.2744179999999996E-3</v>
      </c>
      <c r="R9400">
        <v>0.25358639999999999</v>
      </c>
      <c r="S9400">
        <v>2.652374</v>
      </c>
      <c r="T9400">
        <v>-0.2418274</v>
      </c>
      <c r="U9400">
        <v>1.71356199999999</v>
      </c>
      <c r="V9400">
        <v>-9.1272309999999995E-2</v>
      </c>
      <c r="W9400">
        <v>4.5483590000000001E-3</v>
      </c>
      <c r="X9400">
        <v>0.99581560000000002</v>
      </c>
      <c r="Y9400">
        <v>-0.39662360000000002</v>
      </c>
      <c r="Z9400">
        <v>3.036202E-3</v>
      </c>
      <c r="AA9400">
        <v>0.91797629999999997</v>
      </c>
      <c r="AB9400">
        <v>17</v>
      </c>
      <c r="AC9400">
        <v>12.126299999999899</v>
      </c>
      <c r="AD9400">
        <v>-1.1130984153229999</v>
      </c>
      <c r="AE9400">
        <v>7.8700599999999996</v>
      </c>
      <c r="AF9400">
        <v>-5.73698496369129</v>
      </c>
      <c r="AG9400">
        <v>-1.1130984153229999</v>
      </c>
      <c r="AH9400">
        <v>13.1763381457791</v>
      </c>
      <c r="AI9400">
        <v>94.428937876569904</v>
      </c>
      <c r="AJ9400">
        <v>113.528335853115</v>
      </c>
      <c r="AK9400">
        <v>14.4141552471079</v>
      </c>
      <c r="AL9400">
        <v>89.739397331129396</v>
      </c>
      <c r="AM9400">
        <v>95.236860610317095</v>
      </c>
      <c r="AN9400">
        <v>1.0000000156728399</v>
      </c>
    </row>
    <row r="9401" spans="1:40" x14ac:dyDescent="0.25">
      <c r="A9401" t="str">
        <f>"20190312154138041"</f>
        <v>20190312154138041</v>
      </c>
      <c r="B9401" t="str">
        <f>"1552376498035630"</f>
        <v>1552376498035630</v>
      </c>
      <c r="C9401" t="s">
        <v>40</v>
      </c>
      <c r="D9401">
        <v>4.2204430000000004</v>
      </c>
      <c r="E9401">
        <v>0.37536950000000002</v>
      </c>
      <c r="F9401" t="s">
        <v>69</v>
      </c>
      <c r="G9401">
        <v>-198.1797</v>
      </c>
      <c r="H9401" s="1">
        <v>-9.4134750000000005E-6</v>
      </c>
      <c r="I9401">
        <v>-53.755429999999997</v>
      </c>
      <c r="J9401">
        <v>-210.2028</v>
      </c>
      <c r="K9401">
        <v>1.1131439999999999</v>
      </c>
      <c r="L9401">
        <v>-61.596069999999997</v>
      </c>
      <c r="M9401">
        <v>0.98579190000000005</v>
      </c>
      <c r="N9401">
        <v>0</v>
      </c>
      <c r="O9401">
        <v>0.16733870000000001</v>
      </c>
      <c r="P9401">
        <v>0.96670719999999999</v>
      </c>
      <c r="Q9401">
        <v>-9.591212E-3</v>
      </c>
      <c r="R9401">
        <v>0.25570500000000002</v>
      </c>
      <c r="S9401">
        <v>2.6484529999999999</v>
      </c>
      <c r="T9401">
        <v>-0.24356710000000001</v>
      </c>
      <c r="U9401">
        <v>1.71935999999999</v>
      </c>
      <c r="V9401">
        <v>-9.0348349999999994E-2</v>
      </c>
      <c r="W9401">
        <v>4.240326E-3</v>
      </c>
      <c r="X9401">
        <v>0.99590120000000004</v>
      </c>
      <c r="Y9401">
        <v>-0.39579829999999999</v>
      </c>
      <c r="Z9401">
        <v>2.7774700000000002E-3</v>
      </c>
      <c r="AA9401">
        <v>0.91833330000000002</v>
      </c>
      <c r="AB9401">
        <v>17</v>
      </c>
      <c r="AC9401">
        <v>12.023099999999999</v>
      </c>
      <c r="AD9401">
        <v>-1.1131534134749901</v>
      </c>
      <c r="AE9401">
        <v>7.8406399999999898</v>
      </c>
      <c r="AF9401">
        <v>-5.6837327196606697</v>
      </c>
      <c r="AG9401">
        <v>-1.1131534134749901</v>
      </c>
      <c r="AH9401">
        <v>13.087005364462</v>
      </c>
      <c r="AI9401">
        <v>94.461050128716394</v>
      </c>
      <c r="AJ9401">
        <v>113.475476727471</v>
      </c>
      <c r="AK9401">
        <v>14.311311524802001</v>
      </c>
      <c r="AL9401">
        <v>89.757046488963297</v>
      </c>
      <c r="AM9401">
        <v>95.183694438531703</v>
      </c>
      <c r="AN9401">
        <v>1.00000000243687</v>
      </c>
    </row>
    <row r="9402" spans="1:40" x14ac:dyDescent="0.25">
      <c r="A9402" t="str">
        <f>"20190312154138053"</f>
        <v>20190312154138053</v>
      </c>
      <c r="B9402" t="str">
        <f>"1552376498045391"</f>
        <v>1552376498045391</v>
      </c>
      <c r="C9402" t="s">
        <v>40</v>
      </c>
      <c r="D9402">
        <v>4.2763489999999997</v>
      </c>
      <c r="E9402">
        <v>0.37535629999999998</v>
      </c>
      <c r="F9402" t="s">
        <v>69</v>
      </c>
      <c r="G9402">
        <v>-198.08580000000001</v>
      </c>
      <c r="H9402" s="1">
        <v>-9.4235819999999998E-6</v>
      </c>
      <c r="I9402">
        <v>-53.696539999999999</v>
      </c>
      <c r="J9402">
        <v>-210.11969999999999</v>
      </c>
      <c r="K9402">
        <v>1.113211</v>
      </c>
      <c r="L9402">
        <v>-61.578249999999997</v>
      </c>
      <c r="M9402">
        <v>0.9852438</v>
      </c>
      <c r="N9402">
        <v>0</v>
      </c>
      <c r="O9402">
        <v>0.170535299999999</v>
      </c>
      <c r="P9402">
        <v>0.96610910000000005</v>
      </c>
      <c r="Q9402">
        <v>-1.038173E-2</v>
      </c>
      <c r="R9402">
        <v>0.25792520000000002</v>
      </c>
      <c r="S9402">
        <v>2.6448360000000002</v>
      </c>
      <c r="T9402">
        <v>-0.2429741</v>
      </c>
      <c r="U9402">
        <v>1.7242740000000001</v>
      </c>
      <c r="V9402">
        <v>-8.9402129999999996E-2</v>
      </c>
      <c r="W9402">
        <v>3.4540270000000001E-3</v>
      </c>
      <c r="X9402">
        <v>0.99598960000000003</v>
      </c>
      <c r="Y9402">
        <v>-0.39460699999999999</v>
      </c>
      <c r="Z9402">
        <v>2.465465E-3</v>
      </c>
      <c r="AA9402">
        <v>0.91884670000000002</v>
      </c>
      <c r="AB9402">
        <v>16</v>
      </c>
      <c r="AC9402">
        <v>12.0338999999999</v>
      </c>
      <c r="AD9402">
        <v>-1.113220423582</v>
      </c>
      <c r="AE9402">
        <v>7.8817099999999902</v>
      </c>
      <c r="AF9402">
        <v>-5.6797938327721198</v>
      </c>
      <c r="AG9402">
        <v>-1.113220423582</v>
      </c>
      <c r="AH9402">
        <v>13.1232470145255</v>
      </c>
      <c r="AI9402">
        <v>94.451472253518702</v>
      </c>
      <c r="AJ9402">
        <v>113.40315412362099</v>
      </c>
      <c r="AK9402">
        <v>14.342905211236999</v>
      </c>
      <c r="AL9402">
        <v>89.802098432563795</v>
      </c>
      <c r="AM9402">
        <v>95.129243806847896</v>
      </c>
      <c r="AN9402">
        <v>0.99999997722960599</v>
      </c>
    </row>
    <row r="9403" spans="1:40" x14ac:dyDescent="0.25">
      <c r="A9403" t="str">
        <f>"20190312154138063"</f>
        <v>20190312154138063</v>
      </c>
      <c r="B9403" t="str">
        <f>"1552376498055151"</f>
        <v>1552376498055151</v>
      </c>
      <c r="C9403" t="s">
        <v>40</v>
      </c>
      <c r="D9403">
        <v>4.303877</v>
      </c>
      <c r="E9403">
        <v>0.37530720000000001</v>
      </c>
      <c r="F9403" t="s">
        <v>69</v>
      </c>
      <c r="G9403">
        <v>-198.1053</v>
      </c>
      <c r="H9403" s="1">
        <v>-9.4231900000000008E-6</v>
      </c>
      <c r="I9403">
        <v>-53.703899999999997</v>
      </c>
      <c r="J9403">
        <v>-210.04429999999999</v>
      </c>
      <c r="K9403">
        <v>1.113267</v>
      </c>
      <c r="L9403">
        <v>-61.56174</v>
      </c>
      <c r="M9403">
        <v>0.98473069999999896</v>
      </c>
      <c r="N9403">
        <v>0</v>
      </c>
      <c r="O9403">
        <v>0.17347370000000001</v>
      </c>
      <c r="P9403">
        <v>0.96561739999999996</v>
      </c>
      <c r="Q9403">
        <v>-1.0918199999999999E-2</v>
      </c>
      <c r="R9403">
        <v>0.25973829999999998</v>
      </c>
      <c r="S9403">
        <v>2.6405639999999999</v>
      </c>
      <c r="T9403">
        <v>-0.24466740000000001</v>
      </c>
      <c r="U9403">
        <v>1.7306520000000001</v>
      </c>
      <c r="V9403">
        <v>-8.8297539999999994E-2</v>
      </c>
      <c r="W9403">
        <v>2.9156799999999999E-3</v>
      </c>
      <c r="X9403">
        <v>0.99608989999999997</v>
      </c>
      <c r="Y9403">
        <v>-0.39410109999999998</v>
      </c>
      <c r="Z9403">
        <v>2.2252079999999998E-3</v>
      </c>
      <c r="AA9403">
        <v>0.9190644</v>
      </c>
      <c r="AB9403">
        <v>16</v>
      </c>
      <c r="AC9403">
        <v>11.938999999999901</v>
      </c>
      <c r="AD9403">
        <v>-1.1132764231899901</v>
      </c>
      <c r="AE9403">
        <v>7.8578400000000004</v>
      </c>
      <c r="AF9403">
        <v>-5.63317938168393</v>
      </c>
      <c r="AG9403">
        <v>-1.1132764231899901</v>
      </c>
      <c r="AH9403">
        <v>13.042096012242901</v>
      </c>
      <c r="AI9403">
        <v>94.480714504704807</v>
      </c>
      <c r="AJ9403">
        <v>113.36061958513601</v>
      </c>
      <c r="AK9403">
        <v>14.2502057084528</v>
      </c>
      <c r="AL9403">
        <v>89.832943608704696</v>
      </c>
      <c r="AM9403">
        <v>95.065694837926003</v>
      </c>
      <c r="AN9403">
        <v>1.00000002282096</v>
      </c>
    </row>
    <row r="9404" spans="1:40" x14ac:dyDescent="0.25">
      <c r="A9404" t="str">
        <f>"20190312154138073"</f>
        <v>20190312154138073</v>
      </c>
      <c r="B9404" t="str">
        <f>"1552376498065887"</f>
        <v>1552376498065887</v>
      </c>
      <c r="C9404" t="s">
        <v>40</v>
      </c>
      <c r="D9404">
        <v>4.301393</v>
      </c>
      <c r="E9404">
        <v>0.37532910000000003</v>
      </c>
      <c r="F9404" t="s">
        <v>69</v>
      </c>
      <c r="G9404">
        <v>-198.0693</v>
      </c>
      <c r="H9404" s="1">
        <v>-9.4283879999999999E-6</v>
      </c>
      <c r="I9404">
        <v>-53.67754</v>
      </c>
      <c r="J9404">
        <v>-209.9682</v>
      </c>
      <c r="K9404">
        <v>1.1133139999999999</v>
      </c>
      <c r="L9404">
        <v>-61.544829999999997</v>
      </c>
      <c r="M9404">
        <v>0.98420070000000004</v>
      </c>
      <c r="N9404">
        <v>0</v>
      </c>
      <c r="O9404">
        <v>0.1764569</v>
      </c>
      <c r="P9404">
        <v>0.96502840000000001</v>
      </c>
      <c r="Q9404">
        <v>-1.145466E-2</v>
      </c>
      <c r="R9404">
        <v>0.26189580000000001</v>
      </c>
      <c r="S9404">
        <v>2.637054</v>
      </c>
      <c r="T9404">
        <v>-0.2451583</v>
      </c>
      <c r="U9404">
        <v>1.7362059999999999</v>
      </c>
      <c r="V9404">
        <v>-8.7503029999999996E-2</v>
      </c>
      <c r="W9404">
        <v>2.3682740000000001E-3</v>
      </c>
      <c r="X9404">
        <v>0.99616150000000003</v>
      </c>
      <c r="Y9404">
        <v>-0.39323740000000001</v>
      </c>
      <c r="Z9404">
        <v>1.952432E-3</v>
      </c>
      <c r="AA9404">
        <v>0.91943490000000005</v>
      </c>
      <c r="AB9404">
        <v>16</v>
      </c>
      <c r="AC9404">
        <v>11.8988999999999</v>
      </c>
      <c r="AD9404">
        <v>-1.113323428388</v>
      </c>
      <c r="AE9404">
        <v>7.8672899999999997</v>
      </c>
      <c r="AF9404">
        <v>-5.6097754388484704</v>
      </c>
      <c r="AG9404">
        <v>-1.113323428388</v>
      </c>
      <c r="AH9404">
        <v>13.0212128110912</v>
      </c>
      <c r="AI9404">
        <v>94.489856084998493</v>
      </c>
      <c r="AJ9404">
        <v>113.30725698191</v>
      </c>
      <c r="AK9404">
        <v>14.221851236819701</v>
      </c>
      <c r="AL9404">
        <v>89.864307776575203</v>
      </c>
      <c r="AM9404">
        <v>95.019988210670505</v>
      </c>
      <c r="AN9404">
        <v>1.0000000615315801</v>
      </c>
    </row>
    <row r="9405" spans="1:40" x14ac:dyDescent="0.25">
      <c r="A9405" t="str">
        <f>"20190312154138085"</f>
        <v>20190312154138085</v>
      </c>
      <c r="B9405" t="str">
        <f>"1552376498075646"</f>
        <v>1552376498075646</v>
      </c>
      <c r="C9405" t="s">
        <v>40</v>
      </c>
      <c r="D9405">
        <v>4.2717010000000002</v>
      </c>
      <c r="E9405">
        <v>0.37530000000000002</v>
      </c>
      <c r="F9405" t="s">
        <v>69</v>
      </c>
      <c r="G9405">
        <v>-198.0496</v>
      </c>
      <c r="H9405" s="1">
        <v>-9.4325610000000001E-6</v>
      </c>
      <c r="I9405">
        <v>-53.65934</v>
      </c>
      <c r="J9405">
        <v>-209.89</v>
      </c>
      <c r="K9405">
        <v>1.113351</v>
      </c>
      <c r="L9405">
        <v>-61.527009999999997</v>
      </c>
      <c r="M9405">
        <v>0.98363179999999995</v>
      </c>
      <c r="N9405">
        <v>0</v>
      </c>
      <c r="O9405">
        <v>0.17960129999999999</v>
      </c>
      <c r="P9405">
        <v>0.96436820000000001</v>
      </c>
      <c r="Q9405">
        <v>-1.2279480000000001E-2</v>
      </c>
      <c r="R9405">
        <v>0.26427889999999998</v>
      </c>
      <c r="S9405">
        <v>2.6330260000000001</v>
      </c>
      <c r="T9405">
        <v>-0.2459517</v>
      </c>
      <c r="U9405">
        <v>1.74203499999999</v>
      </c>
      <c r="V9405">
        <v>-8.6775909999999998E-2</v>
      </c>
      <c r="W9405">
        <v>1.5271340000000001E-3</v>
      </c>
      <c r="X9405">
        <v>0.99622670000000002</v>
      </c>
      <c r="Y9405">
        <v>-0.39236989999999999</v>
      </c>
      <c r="Z9405">
        <v>1.667506E-3</v>
      </c>
      <c r="AA9405">
        <v>0.91980600000000001</v>
      </c>
      <c r="AB9405">
        <v>16</v>
      </c>
      <c r="AC9405">
        <v>11.840399999999899</v>
      </c>
      <c r="AD9405">
        <v>-1.113360432561</v>
      </c>
      <c r="AE9405">
        <v>7.8676699999999897</v>
      </c>
      <c r="AF9405">
        <v>-5.5787161619420003</v>
      </c>
      <c r="AG9405">
        <v>-1.113360432561</v>
      </c>
      <c r="AH9405">
        <v>12.9813986323725</v>
      </c>
      <c r="AI9405">
        <v>94.505463866819994</v>
      </c>
      <c r="AJ9405">
        <v>113.255466322557</v>
      </c>
      <c r="AK9405">
        <v>14.1731561735863</v>
      </c>
      <c r="AL9405">
        <v>89.912501634285604</v>
      </c>
      <c r="AM9405">
        <v>94.978160168500693</v>
      </c>
      <c r="AN9405">
        <v>1.00000001424373</v>
      </c>
    </row>
    <row r="9406" spans="1:40" x14ac:dyDescent="0.25">
      <c r="A9406" t="str">
        <f>"20190312154138096"</f>
        <v>20190312154138096</v>
      </c>
      <c r="B9406" t="str">
        <f>"1552376498085405"</f>
        <v>1552376498085405</v>
      </c>
      <c r="C9406" t="s">
        <v>40</v>
      </c>
      <c r="D9406">
        <v>4.306915</v>
      </c>
      <c r="E9406">
        <v>0.37526890000000002</v>
      </c>
      <c r="F9406" t="s">
        <v>69</v>
      </c>
      <c r="G9406">
        <v>-198.07910000000001</v>
      </c>
      <c r="H9406" s="1">
        <v>-9.4328030000000004E-6</v>
      </c>
      <c r="I9406">
        <v>-53.668129999999998</v>
      </c>
      <c r="J9406">
        <v>-209.8142</v>
      </c>
      <c r="K9406">
        <v>1.113383</v>
      </c>
      <c r="L9406">
        <v>-61.509610000000002</v>
      </c>
      <c r="M9406">
        <v>0.98306780000000005</v>
      </c>
      <c r="N9406">
        <v>0</v>
      </c>
      <c r="O9406">
        <v>0.18266499999999999</v>
      </c>
      <c r="P9406">
        <v>0.96374959999999998</v>
      </c>
      <c r="Q9406">
        <v>-1.303732E-2</v>
      </c>
      <c r="R9406">
        <v>0.26648959999999999</v>
      </c>
      <c r="S9406">
        <v>2.628403</v>
      </c>
      <c r="T9406">
        <v>-0.2477694</v>
      </c>
      <c r="U9406">
        <v>1.7489319999999999</v>
      </c>
      <c r="V9406">
        <v>-8.5951749999999993E-2</v>
      </c>
      <c r="W9406">
        <v>7.5370470000000003E-4</v>
      </c>
      <c r="X9406">
        <v>0.99629900000000005</v>
      </c>
      <c r="Y9406">
        <v>-0.39192460000000001</v>
      </c>
      <c r="Z9406">
        <v>1.411229E-3</v>
      </c>
      <c r="AA9406">
        <v>0.91999629999999999</v>
      </c>
      <c r="AB9406">
        <v>16</v>
      </c>
      <c r="AC9406">
        <v>11.7350999999999</v>
      </c>
      <c r="AD9406">
        <v>-1.113392432803</v>
      </c>
      <c r="AE9406">
        <v>7.84147999999999</v>
      </c>
      <c r="AF9406">
        <v>-5.5312807080842301</v>
      </c>
      <c r="AG9406">
        <v>-1.113392432803</v>
      </c>
      <c r="AH9406">
        <v>12.8899178231632</v>
      </c>
      <c r="AI9406">
        <v>94.538468711623196</v>
      </c>
      <c r="AJ9406">
        <v>113.22498560899599</v>
      </c>
      <c r="AK9406">
        <v>14.0707032684564</v>
      </c>
      <c r="AL9406">
        <v>89.956815896928504</v>
      </c>
      <c r="AM9406">
        <v>94.930757915336798</v>
      </c>
      <c r="AN9406">
        <v>0.999999984399918</v>
      </c>
    </row>
    <row r="9407" spans="1:40" x14ac:dyDescent="0.25">
      <c r="A9407" t="str">
        <f>"20190312154138107"</f>
        <v>20190312154138107</v>
      </c>
      <c r="B9407" t="str">
        <f>"1552376498105901"</f>
        <v>1552376498105901</v>
      </c>
      <c r="C9407" t="s">
        <v>40</v>
      </c>
      <c r="D9407">
        <v>4.2725179999999998</v>
      </c>
      <c r="E9407">
        <v>0.37549139999999998</v>
      </c>
      <c r="F9407" t="s">
        <v>69</v>
      </c>
      <c r="G9407">
        <v>-198.0625</v>
      </c>
      <c r="H9407" s="1">
        <v>-9.4378139999999996E-6</v>
      </c>
      <c r="I9407">
        <v>-53.648510000000002</v>
      </c>
      <c r="J9407">
        <v>-209.73419999999999</v>
      </c>
      <c r="K9407">
        <v>1.1134059999999999</v>
      </c>
      <c r="L9407">
        <v>-61.490690000000001</v>
      </c>
      <c r="M9407">
        <v>0.98244260000000005</v>
      </c>
      <c r="N9407">
        <v>0</v>
      </c>
      <c r="O9407">
        <v>0.18599940000000001</v>
      </c>
      <c r="P9407">
        <v>0.96307290000000001</v>
      </c>
      <c r="Q9407">
        <v>-1.386678E-2</v>
      </c>
      <c r="R9407">
        <v>0.2688837</v>
      </c>
      <c r="S9407">
        <v>2.6240999999999999</v>
      </c>
      <c r="T9407">
        <v>-0.2486141</v>
      </c>
      <c r="U9407">
        <v>1.755341</v>
      </c>
      <c r="V9407">
        <v>-8.5042939999999997E-2</v>
      </c>
      <c r="W9407" s="1">
        <v>-8.5319219999999894E-5</v>
      </c>
      <c r="X9407">
        <v>0.99637730000000002</v>
      </c>
      <c r="Y9407">
        <v>-0.39106109999999999</v>
      </c>
      <c r="Z9407">
        <v>1.1060250000000001E-3</v>
      </c>
      <c r="AA9407">
        <v>0.92036399999999996</v>
      </c>
      <c r="AB9407">
        <v>16</v>
      </c>
      <c r="AC9407">
        <v>11.6716999999999</v>
      </c>
      <c r="AD9407">
        <v>-1.113415437814</v>
      </c>
      <c r="AE9407">
        <v>7.8421799999999999</v>
      </c>
      <c r="AF9407">
        <v>-5.4996645868047898</v>
      </c>
      <c r="AG9407">
        <v>-1.113415437814</v>
      </c>
      <c r="AH9407">
        <v>12.846236555979299</v>
      </c>
      <c r="AI9407">
        <v>94.555575412726697</v>
      </c>
      <c r="AJ9407">
        <v>113.176485963408</v>
      </c>
      <c r="AK9407">
        <v>14.0182665888724</v>
      </c>
      <c r="AL9407">
        <v>90.004888431142902</v>
      </c>
      <c r="AM9407">
        <v>94.878494028547706</v>
      </c>
      <c r="AN9407">
        <v>1.00000001643925</v>
      </c>
    </row>
    <row r="9408" spans="1:40" x14ac:dyDescent="0.25">
      <c r="A9408" t="str">
        <f>"20190312154138120"</f>
        <v>20190312154138120</v>
      </c>
      <c r="B9408" t="str">
        <f>"1552376498115662"</f>
        <v>1552376498115662</v>
      </c>
      <c r="C9408" t="s">
        <v>40</v>
      </c>
      <c r="D9408">
        <v>4.3217169999999996</v>
      </c>
      <c r="E9408">
        <v>0.37566939999999999</v>
      </c>
      <c r="F9408" t="s">
        <v>69</v>
      </c>
      <c r="G9408">
        <v>-197.99299999999999</v>
      </c>
      <c r="H9408" s="1">
        <v>-9.4462669999999994E-6</v>
      </c>
      <c r="I9408">
        <v>-53.602170000000001</v>
      </c>
      <c r="J9408">
        <v>-209.64580000000001</v>
      </c>
      <c r="K9408">
        <v>1.113434</v>
      </c>
      <c r="L9408">
        <v>-61.46951</v>
      </c>
      <c r="M9408">
        <v>0.98173120000000003</v>
      </c>
      <c r="N9408">
        <v>0</v>
      </c>
      <c r="O9408">
        <v>0.18971879999999999</v>
      </c>
      <c r="P9408">
        <v>0.96235570000000004</v>
      </c>
      <c r="Q9408">
        <v>-1.4964720000000001E-2</v>
      </c>
      <c r="R9408">
        <v>0.27138099999999998</v>
      </c>
      <c r="S9408">
        <v>2.6199949999999999</v>
      </c>
      <c r="T9408">
        <v>-0.24845310000000001</v>
      </c>
      <c r="U9408">
        <v>1.760284</v>
      </c>
      <c r="V9408">
        <v>-8.3848389999999995E-2</v>
      </c>
      <c r="W9408">
        <v>-1.1880149999999999E-3</v>
      </c>
      <c r="X9408">
        <v>0.99647779999999997</v>
      </c>
      <c r="Y9408">
        <v>-0.38945570000000002</v>
      </c>
      <c r="Z9408">
        <v>7.3172250000000003E-4</v>
      </c>
      <c r="AA9408">
        <v>0.92104490000000006</v>
      </c>
      <c r="AB9408">
        <v>16</v>
      </c>
      <c r="AC9408">
        <v>11.652799999999999</v>
      </c>
      <c r="AD9408">
        <v>-1.113443446267</v>
      </c>
      <c r="AE9408">
        <v>7.8673400000000004</v>
      </c>
      <c r="AF9408">
        <v>-5.4790768611846703</v>
      </c>
      <c r="AG9408">
        <v>-1.113443446267</v>
      </c>
      <c r="AH9408">
        <v>12.853253374365099</v>
      </c>
      <c r="AI9408">
        <v>94.556220450593401</v>
      </c>
      <c r="AJ9408">
        <v>113.087551697604</v>
      </c>
      <c r="AK9408">
        <v>14.0166387505861</v>
      </c>
      <c r="AL9408">
        <v>90.068068262538503</v>
      </c>
      <c r="AM9408">
        <v>94.809809540869395</v>
      </c>
      <c r="AN9408">
        <v>0.99999998488903596</v>
      </c>
    </row>
    <row r="9409" spans="1:40" x14ac:dyDescent="0.25">
      <c r="A9409" t="str">
        <f>"20190312154138131"</f>
        <v>20190312154138131</v>
      </c>
      <c r="B9409" t="str">
        <f>"1552376498125421"</f>
        <v>1552376498125421</v>
      </c>
      <c r="C9409" t="s">
        <v>40</v>
      </c>
      <c r="D9409">
        <v>4.2664809999999997</v>
      </c>
      <c r="E9409">
        <v>0.37559799999999999</v>
      </c>
      <c r="F9409" t="s">
        <v>69</v>
      </c>
      <c r="G9409">
        <v>-197.9829</v>
      </c>
      <c r="H9409" s="1">
        <v>-9.447487E-6</v>
      </c>
      <c r="I9409">
        <v>-53.595460000000003</v>
      </c>
      <c r="J9409">
        <v>-209.57220000000001</v>
      </c>
      <c r="K9409">
        <v>1.1134520000000001</v>
      </c>
      <c r="L9409">
        <v>-61.451479999999997</v>
      </c>
      <c r="M9409">
        <v>0.98111490000000001</v>
      </c>
      <c r="N9409">
        <v>0</v>
      </c>
      <c r="O9409">
        <v>0.19288140000000001</v>
      </c>
      <c r="P9409">
        <v>0.96182610000000002</v>
      </c>
      <c r="Q9409">
        <v>-1.527426E-2</v>
      </c>
      <c r="R9409">
        <v>0.27323530000000001</v>
      </c>
      <c r="S9409">
        <v>2.6155240000000002</v>
      </c>
      <c r="T9409">
        <v>-0.24970129999999999</v>
      </c>
      <c r="U9409">
        <v>1.7658389999999999</v>
      </c>
      <c r="V9409">
        <v>-8.2555859999999995E-2</v>
      </c>
      <c r="W9409">
        <v>-1.4907529999999901E-3</v>
      </c>
      <c r="X9409">
        <v>0.99658530000000001</v>
      </c>
      <c r="Y9409">
        <v>-0.388567</v>
      </c>
      <c r="Z9409">
        <v>4.368331E-4</v>
      </c>
      <c r="AA9409">
        <v>0.92142040000000003</v>
      </c>
      <c r="AB9409">
        <v>16</v>
      </c>
      <c r="AC9409">
        <v>11.5893</v>
      </c>
      <c r="AD9409">
        <v>-1.1134614474869999</v>
      </c>
      <c r="AE9409">
        <v>7.85602</v>
      </c>
      <c r="AF9409">
        <v>-5.4384774526907398</v>
      </c>
      <c r="AG9409">
        <v>-1.1134614474869999</v>
      </c>
      <c r="AH9409">
        <v>12.806077526707501</v>
      </c>
      <c r="AI9409">
        <v>94.5756329778458</v>
      </c>
      <c r="AJ9409">
        <v>113.009931983439</v>
      </c>
      <c r="AK9409">
        <v>13.9575232408371</v>
      </c>
      <c r="AL9409">
        <v>90.085413888859804</v>
      </c>
      <c r="AM9409">
        <v>94.735497263014494</v>
      </c>
      <c r="AN9409">
        <v>0.99999997627046699</v>
      </c>
    </row>
    <row r="9410" spans="1:40" x14ac:dyDescent="0.25">
      <c r="A9410" t="str">
        <f>"20190312154138142"</f>
        <v>20190312154138142</v>
      </c>
      <c r="B9410" t="str">
        <f>"1552376498135181"</f>
        <v>1552376498135181</v>
      </c>
      <c r="C9410" t="s">
        <v>40</v>
      </c>
      <c r="D9410">
        <v>4.3108630000000003</v>
      </c>
      <c r="E9410">
        <v>0.3755812</v>
      </c>
      <c r="F9410" t="s">
        <v>69</v>
      </c>
      <c r="G9410">
        <v>-197.9384</v>
      </c>
      <c r="H9410" s="1">
        <v>-9.4546680000000003E-6</v>
      </c>
      <c r="I9410">
        <v>-53.56073</v>
      </c>
      <c r="J9410">
        <v>-209.48920000000001</v>
      </c>
      <c r="K9410">
        <v>1.113472</v>
      </c>
      <c r="L9410">
        <v>-61.430880000000002</v>
      </c>
      <c r="M9410">
        <v>0.98039980000000004</v>
      </c>
      <c r="N9410">
        <v>0</v>
      </c>
      <c r="O9410">
        <v>0.1964832</v>
      </c>
      <c r="P9410">
        <v>0.96117620000000004</v>
      </c>
      <c r="Q9410">
        <v>-1.5488999999999999E-2</v>
      </c>
      <c r="R9410">
        <v>0.27550079999999999</v>
      </c>
      <c r="S9410">
        <v>2.611847</v>
      </c>
      <c r="T9410">
        <v>-0.24997800000000001</v>
      </c>
      <c r="U9410">
        <v>1.771515</v>
      </c>
      <c r="V9410">
        <v>-8.1243720000000005E-2</v>
      </c>
      <c r="W9410">
        <v>-1.696454E-3</v>
      </c>
      <c r="X9410">
        <v>0.99669280000000005</v>
      </c>
      <c r="Y9410">
        <v>-0.3871713</v>
      </c>
      <c r="Z9410" s="1">
        <v>7.9857190000000004E-5</v>
      </c>
      <c r="AA9410">
        <v>0.92200780000000004</v>
      </c>
      <c r="AB9410">
        <v>16</v>
      </c>
      <c r="AC9410">
        <v>11.550800000000001</v>
      </c>
      <c r="AD9410">
        <v>-1.1134814546680001</v>
      </c>
      <c r="AE9410">
        <v>7.87014999999999</v>
      </c>
      <c r="AF9410">
        <v>-5.41257831541283</v>
      </c>
      <c r="AG9410">
        <v>-1.1134814546680001</v>
      </c>
      <c r="AH9410">
        <v>12.7909328539032</v>
      </c>
      <c r="AI9410">
        <v>94.583604985254198</v>
      </c>
      <c r="AJ9410">
        <v>112.936012891678</v>
      </c>
      <c r="AK9410">
        <v>13.9335497359226</v>
      </c>
      <c r="AL9410">
        <v>90.097199703022994</v>
      </c>
      <c r="AM9410">
        <v>94.660065192770503</v>
      </c>
      <c r="AN9410">
        <v>0.99999997878372604</v>
      </c>
    </row>
    <row r="9411" spans="1:40" x14ac:dyDescent="0.25">
      <c r="A9411" t="str">
        <f>"20190312154138155"</f>
        <v>20190312154138155</v>
      </c>
      <c r="B9411" t="str">
        <f>"1552376498145918"</f>
        <v>1552376498145918</v>
      </c>
      <c r="C9411" t="s">
        <v>40</v>
      </c>
      <c r="D9411">
        <v>4.3227479999999998</v>
      </c>
      <c r="E9411">
        <v>0.37551679999999998</v>
      </c>
      <c r="F9411" t="s">
        <v>69</v>
      </c>
      <c r="G9411">
        <v>-197.83869999999999</v>
      </c>
      <c r="H9411" s="1">
        <v>-9.469494E-6</v>
      </c>
      <c r="I9411">
        <v>-53.486559999999997</v>
      </c>
      <c r="J9411">
        <v>-209.4041</v>
      </c>
      <c r="K9411">
        <v>1.113494</v>
      </c>
      <c r="L9411">
        <v>-61.409390000000002</v>
      </c>
      <c r="M9411">
        <v>0.97964470000000003</v>
      </c>
      <c r="N9411">
        <v>0</v>
      </c>
      <c r="O9411">
        <v>0.2002147</v>
      </c>
      <c r="P9411">
        <v>0.96044470000000004</v>
      </c>
      <c r="Q9411">
        <v>-1.537327E-2</v>
      </c>
      <c r="R9411">
        <v>0.27804659999999998</v>
      </c>
      <c r="S9411">
        <v>2.607529</v>
      </c>
      <c r="T9411">
        <v>-0.2492123</v>
      </c>
      <c r="U9411">
        <v>1.778046</v>
      </c>
      <c r="V9411">
        <v>-8.0090209999999995E-2</v>
      </c>
      <c r="W9411">
        <v>-1.57009799999999E-3</v>
      </c>
      <c r="X9411">
        <v>0.99678639999999996</v>
      </c>
      <c r="Y9411">
        <v>-0.38596639999999999</v>
      </c>
      <c r="Z9411">
        <v>-2.791351E-4</v>
      </c>
      <c r="AA9411">
        <v>0.92251280000000002</v>
      </c>
      <c r="AB9411">
        <v>16</v>
      </c>
      <c r="AC9411">
        <v>11.5654</v>
      </c>
      <c r="AD9411">
        <v>-1.113503469494</v>
      </c>
      <c r="AE9411">
        <v>7.9228300000000003</v>
      </c>
      <c r="AF9411">
        <v>-5.4124216329867298</v>
      </c>
      <c r="AG9411">
        <v>-1.113503469494</v>
      </c>
      <c r="AH9411">
        <v>12.836623221084</v>
      </c>
      <c r="AI9411">
        <v>94.5699252888312</v>
      </c>
      <c r="AJ9411">
        <v>112.86218788101201</v>
      </c>
      <c r="AK9411">
        <v>13.9754460977055</v>
      </c>
      <c r="AL9411">
        <v>90.089960024246594</v>
      </c>
      <c r="AM9411">
        <v>94.593756622192998</v>
      </c>
      <c r="AN9411">
        <v>1.0000000170852601</v>
      </c>
    </row>
    <row r="9412" spans="1:40" x14ac:dyDescent="0.25">
      <c r="A9412" t="str">
        <f>"20190312154138166"</f>
        <v>20190312154138166</v>
      </c>
      <c r="B9412" t="str">
        <f>"1552376498155679"</f>
        <v>1552376498155679</v>
      </c>
      <c r="C9412" t="s">
        <v>40</v>
      </c>
      <c r="D9412">
        <v>4.3177919999999999</v>
      </c>
      <c r="E9412">
        <v>0.37545420000000002</v>
      </c>
      <c r="F9412" t="s">
        <v>69</v>
      </c>
      <c r="G9412">
        <v>-197.7149</v>
      </c>
      <c r="H9412" s="1">
        <v>-9.4894889999999994E-6</v>
      </c>
      <c r="I9412">
        <v>-53.389899999999997</v>
      </c>
      <c r="J9412">
        <v>-209.32919999999999</v>
      </c>
      <c r="K9412">
        <v>1.1135139999999999</v>
      </c>
      <c r="L9412">
        <v>-61.389980000000001</v>
      </c>
      <c r="M9412">
        <v>0.97895650000000001</v>
      </c>
      <c r="N9412">
        <v>0</v>
      </c>
      <c r="O9412">
        <v>0.2035527</v>
      </c>
      <c r="P9412">
        <v>0.95972170000000001</v>
      </c>
      <c r="Q9412">
        <v>-1.5463940000000001E-2</v>
      </c>
      <c r="R9412">
        <v>0.28052670000000002</v>
      </c>
      <c r="S9412">
        <v>2.6026760000000002</v>
      </c>
      <c r="T9412">
        <v>-0.2479276</v>
      </c>
      <c r="U9412">
        <v>1.7855829999999999</v>
      </c>
      <c r="V9412">
        <v>-7.9266939999999994E-2</v>
      </c>
      <c r="W9412">
        <v>-1.65445E-3</v>
      </c>
      <c r="X9412">
        <v>0.99685199999999996</v>
      </c>
      <c r="Y9412">
        <v>-0.38545859999999998</v>
      </c>
      <c r="Z9412">
        <v>-5.7233399999999997E-4</v>
      </c>
      <c r="AA9412">
        <v>0.92272500000000002</v>
      </c>
      <c r="AB9412">
        <v>16</v>
      </c>
      <c r="AC9412">
        <v>11.614299999999901</v>
      </c>
      <c r="AD9412">
        <v>-1.11352348948899</v>
      </c>
      <c r="AE9412">
        <v>8.0000800000000005</v>
      </c>
      <c r="AF9412">
        <v>-5.4343052758187103</v>
      </c>
      <c r="AG9412">
        <v>-1.11352348948899</v>
      </c>
      <c r="AH9412">
        <v>12.919160195889701</v>
      </c>
      <c r="AI9412">
        <v>94.542550605421496</v>
      </c>
      <c r="AJ9412">
        <v>112.813530685355</v>
      </c>
      <c r="AK9412">
        <v>14.0597407002937</v>
      </c>
      <c r="AL9412">
        <v>90.094793050642096</v>
      </c>
      <c r="AM9412">
        <v>94.5464371535124</v>
      </c>
      <c r="AN9412">
        <v>0.99999994744288101</v>
      </c>
    </row>
    <row r="9413" spans="1:40" x14ac:dyDescent="0.25">
      <c r="A9413" t="str">
        <f>"20190312154138180"</f>
        <v>20190312154138180</v>
      </c>
      <c r="B9413" t="str">
        <f>"1552376498175198"</f>
        <v>1552376498175198</v>
      </c>
      <c r="C9413" t="s">
        <v>40</v>
      </c>
      <c r="D9413">
        <v>4.2936350000000001</v>
      </c>
      <c r="E9413">
        <v>0.37552770000000002</v>
      </c>
      <c r="F9413" t="s">
        <v>69</v>
      </c>
      <c r="G9413">
        <v>-197.69059999999999</v>
      </c>
      <c r="H9413" s="1">
        <v>-9.4983110000000003E-6</v>
      </c>
      <c r="I9413">
        <v>-53.35698</v>
      </c>
      <c r="J9413">
        <v>-209.23740000000001</v>
      </c>
      <c r="K9413">
        <v>1.1135409999999999</v>
      </c>
      <c r="L9413">
        <v>-61.366</v>
      </c>
      <c r="M9413">
        <v>0.9780915</v>
      </c>
      <c r="N9413">
        <v>0</v>
      </c>
      <c r="O9413">
        <v>0.2076694</v>
      </c>
      <c r="P9413">
        <v>0.95866859999999998</v>
      </c>
      <c r="Q9413">
        <v>-1.5589540000000001E-2</v>
      </c>
      <c r="R9413">
        <v>0.28409759999999901</v>
      </c>
      <c r="S9413">
        <v>2.5977939999999999</v>
      </c>
      <c r="T9413">
        <v>-0.24854280000000001</v>
      </c>
      <c r="U9413">
        <v>1.792999</v>
      </c>
      <c r="V9413">
        <v>-7.8783500000000006E-2</v>
      </c>
      <c r="W9413">
        <v>-1.7783860000000001E-3</v>
      </c>
      <c r="X9413">
        <v>0.99689019999999995</v>
      </c>
      <c r="Y9413">
        <v>-0.3841852</v>
      </c>
      <c r="Z9413">
        <v>-9.6622950000000004E-4</v>
      </c>
      <c r="AA9413">
        <v>0.92325559999999995</v>
      </c>
      <c r="AB9413">
        <v>16</v>
      </c>
      <c r="AC9413">
        <v>11.546799999999999</v>
      </c>
      <c r="AD9413">
        <v>-1.1135504983109901</v>
      </c>
      <c r="AE9413">
        <v>8.0090199999999996</v>
      </c>
      <c r="AF9413">
        <v>-5.40228673083634</v>
      </c>
      <c r="AG9413">
        <v>-1.1135504983109901</v>
      </c>
      <c r="AH9413">
        <v>12.8775566452237</v>
      </c>
      <c r="AI9413">
        <v>94.559101820360397</v>
      </c>
      <c r="AJ9413">
        <v>112.758623233807</v>
      </c>
      <c r="AK9413">
        <v>14.009145647947401</v>
      </c>
      <c r="AL9413">
        <v>90.101894062115704</v>
      </c>
      <c r="AM9413">
        <v>94.518651703592397</v>
      </c>
      <c r="AN9413">
        <v>1.0000000366925199</v>
      </c>
    </row>
    <row r="9414" spans="1:40" x14ac:dyDescent="0.25">
      <c r="A9414" t="str">
        <f>"20190312154138191"</f>
        <v>20190312154138191</v>
      </c>
      <c r="B9414" t="str">
        <f>"1552376498185935"</f>
        <v>1552376498185935</v>
      </c>
      <c r="C9414" t="s">
        <v>40</v>
      </c>
      <c r="D9414">
        <v>4.3555390000000003</v>
      </c>
      <c r="E9414">
        <v>0.37558469999999999</v>
      </c>
      <c r="F9414" t="s">
        <v>69</v>
      </c>
      <c r="G9414">
        <v>-197.69630000000001</v>
      </c>
      <c r="H9414" s="1">
        <v>-9.5047909999999996E-6</v>
      </c>
      <c r="I9414">
        <v>-53.340350000000001</v>
      </c>
      <c r="J9414">
        <v>-209.1534</v>
      </c>
      <c r="K9414">
        <v>1.1135619999999999</v>
      </c>
      <c r="L9414">
        <v>-61.34348</v>
      </c>
      <c r="M9414">
        <v>0.97727169999999997</v>
      </c>
      <c r="N9414">
        <v>0</v>
      </c>
      <c r="O9414">
        <v>0.21149419999999999</v>
      </c>
      <c r="P9414">
        <v>0.95767000000000002</v>
      </c>
      <c r="Q9414">
        <v>-1.6485509999999998E-2</v>
      </c>
      <c r="R9414">
        <v>0.28739629999999999</v>
      </c>
      <c r="S9414">
        <v>2.591278</v>
      </c>
      <c r="T9414">
        <v>-0.25002160000000001</v>
      </c>
      <c r="U9414">
        <v>1.801971</v>
      </c>
      <c r="V9414">
        <v>-7.8311320000000004E-2</v>
      </c>
      <c r="W9414">
        <v>-2.6763569999999999E-3</v>
      </c>
      <c r="X9414">
        <v>0.99692539999999996</v>
      </c>
      <c r="Y9414">
        <v>-0.38382230000000001</v>
      </c>
      <c r="Z9414">
        <v>-1.3033330000000001E-3</v>
      </c>
      <c r="AA9414">
        <v>0.92340610000000001</v>
      </c>
      <c r="AB9414">
        <v>16</v>
      </c>
      <c r="AC9414">
        <v>11.457099999999899</v>
      </c>
      <c r="AD9414">
        <v>-1.113571504791</v>
      </c>
      <c r="AE9414">
        <v>8.0031300000000005</v>
      </c>
      <c r="AF9414">
        <v>-5.3646301411118102</v>
      </c>
      <c r="AG9414">
        <v>-1.113571504791</v>
      </c>
      <c r="AH9414">
        <v>12.809344678250699</v>
      </c>
      <c r="AI9414">
        <v>94.584511304730796</v>
      </c>
      <c r="AJ9414">
        <v>112.724226961388</v>
      </c>
      <c r="AK9414">
        <v>13.931927689068599</v>
      </c>
      <c r="AL9414">
        <v>90.153344137586203</v>
      </c>
      <c r="AM9414">
        <v>94.491522884233902</v>
      </c>
      <c r="AN9414">
        <v>1.00000003944604</v>
      </c>
    </row>
    <row r="9415" spans="1:40" x14ac:dyDescent="0.25">
      <c r="A9415" t="str">
        <f>"20190312154138202"</f>
        <v>20190312154138202</v>
      </c>
      <c r="B9415" t="str">
        <f>"1552376498195694"</f>
        <v>1552376498195694</v>
      </c>
      <c r="C9415" t="s">
        <v>40</v>
      </c>
      <c r="D9415">
        <v>4.3269000000000002</v>
      </c>
      <c r="E9415">
        <v>0.37565710000000002</v>
      </c>
      <c r="F9415" t="s">
        <v>69</v>
      </c>
      <c r="G9415">
        <v>-197.773</v>
      </c>
      <c r="H9415" s="1">
        <v>-9.5021419999999999E-6</v>
      </c>
      <c r="I9415">
        <v>-53.3724699999999</v>
      </c>
      <c r="J9415">
        <v>-209.0806</v>
      </c>
      <c r="K9415">
        <v>1.113559</v>
      </c>
      <c r="L9415">
        <v>-61.323729999999998</v>
      </c>
      <c r="M9415">
        <v>0.97652419999999995</v>
      </c>
      <c r="N9415">
        <v>0</v>
      </c>
      <c r="O9415">
        <v>0.21492169999999999</v>
      </c>
      <c r="P9415">
        <v>0.95672380000000001</v>
      </c>
      <c r="Q9415">
        <v>-1.7504539999999999E-2</v>
      </c>
      <c r="R9415">
        <v>0.29047079999999997</v>
      </c>
      <c r="S9415">
        <v>2.5849150000000001</v>
      </c>
      <c r="T9415">
        <v>-0.2529341</v>
      </c>
      <c r="U9415">
        <v>1.810516</v>
      </c>
      <c r="V9415">
        <v>-7.8011090000000005E-2</v>
      </c>
      <c r="W9415">
        <v>-3.7338290000000001E-3</v>
      </c>
      <c r="X9415">
        <v>0.99694550000000004</v>
      </c>
      <c r="Y9415">
        <v>-0.3836967</v>
      </c>
      <c r="Z9415">
        <v>-1.6103700000000001E-3</v>
      </c>
      <c r="AA9415">
        <v>0.92345770000000005</v>
      </c>
      <c r="AB9415">
        <v>16</v>
      </c>
      <c r="AC9415">
        <v>11.307600000000001</v>
      </c>
      <c r="AD9415">
        <v>-1.1135685021420001</v>
      </c>
      <c r="AE9415">
        <v>7.9512600000000102</v>
      </c>
      <c r="AF9415">
        <v>-5.3005096613720699</v>
      </c>
      <c r="AG9415">
        <v>-1.1135685021420001</v>
      </c>
      <c r="AH9415">
        <v>12.6701545110219</v>
      </c>
      <c r="AI9415">
        <v>94.635400478963703</v>
      </c>
      <c r="AJ9415">
        <v>112.70180584287699</v>
      </c>
      <c r="AK9415">
        <v>13.7792689505804</v>
      </c>
      <c r="AL9415">
        <v>90.213933140043693</v>
      </c>
      <c r="AM9415">
        <v>94.474283493016202</v>
      </c>
      <c r="AN9415">
        <v>1.0000000008061101</v>
      </c>
    </row>
    <row r="9416" spans="1:40" x14ac:dyDescent="0.25">
      <c r="A9416" t="str">
        <f>"20190312154138212"</f>
        <v>20190312154138212</v>
      </c>
      <c r="B9416" t="str">
        <f>"1552376498205455"</f>
        <v>1552376498205455</v>
      </c>
      <c r="C9416" t="s">
        <v>40</v>
      </c>
      <c r="D9416">
        <v>4.3361739999999998</v>
      </c>
      <c r="E9416">
        <v>0.3757084</v>
      </c>
      <c r="F9416" t="s">
        <v>69</v>
      </c>
      <c r="G9416">
        <v>-197.86760000000001</v>
      </c>
      <c r="H9416" s="1">
        <v>-9.4968470000000005E-6</v>
      </c>
      <c r="I9416">
        <v>-53.417879999999997</v>
      </c>
      <c r="J9416">
        <v>-209.0111</v>
      </c>
      <c r="K9416">
        <v>1.113537</v>
      </c>
      <c r="L9416">
        <v>-61.304630000000003</v>
      </c>
      <c r="M9416">
        <v>0.97577009999999997</v>
      </c>
      <c r="N9416">
        <v>0</v>
      </c>
      <c r="O9416">
        <v>0.21832509999999999</v>
      </c>
      <c r="P9416">
        <v>0.95577069999999997</v>
      </c>
      <c r="Q9416">
        <v>-1.8768920000000001E-2</v>
      </c>
      <c r="R9416">
        <v>0.29351359999999999</v>
      </c>
      <c r="S9416">
        <v>2.578964</v>
      </c>
      <c r="T9416">
        <v>-0.25611850000000003</v>
      </c>
      <c r="U9416">
        <v>1.8183290000000001</v>
      </c>
      <c r="V9416">
        <v>-7.7702099999999996E-2</v>
      </c>
      <c r="W9416">
        <v>-5.07435E-3</v>
      </c>
      <c r="X9416">
        <v>0.99696370000000001</v>
      </c>
      <c r="Y9416">
        <v>-0.3833474</v>
      </c>
      <c r="Z9416">
        <v>-1.934329E-3</v>
      </c>
      <c r="AA9416">
        <v>0.92360220000000004</v>
      </c>
      <c r="AB9416">
        <v>16</v>
      </c>
      <c r="AC9416">
        <v>11.1434999999999</v>
      </c>
      <c r="AD9416">
        <v>-1.1135464968469999</v>
      </c>
      <c r="AE9416">
        <v>7.8867499999999904</v>
      </c>
      <c r="AF9416">
        <v>-5.2285079527324196</v>
      </c>
      <c r="AG9416">
        <v>-1.1135464968469999</v>
      </c>
      <c r="AH9416">
        <v>12.5134200819772</v>
      </c>
      <c r="AI9416">
        <v>94.693964999659201</v>
      </c>
      <c r="AJ9416">
        <v>112.676735448984</v>
      </c>
      <c r="AK9416">
        <v>13.6074598423239</v>
      </c>
      <c r="AL9416">
        <v>90.290740088748393</v>
      </c>
      <c r="AM9416">
        <v>94.456552045486802</v>
      </c>
      <c r="AN9416">
        <v>0.99999999224501102</v>
      </c>
    </row>
    <row r="9417" spans="1:40" x14ac:dyDescent="0.25">
      <c r="A9417" t="str">
        <f>"20190312154138222"</f>
        <v>20190312154138222</v>
      </c>
      <c r="B9417" t="str">
        <f>"1552376498215214"</f>
        <v>1552376498215214</v>
      </c>
      <c r="C9417" t="s">
        <v>40</v>
      </c>
      <c r="D9417">
        <v>4.3216989999999997</v>
      </c>
      <c r="E9417">
        <v>0.3757682</v>
      </c>
      <c r="F9417" t="s">
        <v>69</v>
      </c>
      <c r="G9417">
        <v>-197.97</v>
      </c>
      <c r="H9417" s="1">
        <v>-9.4903990000000004E-6</v>
      </c>
      <c r="I9417">
        <v>-53.469059999999999</v>
      </c>
      <c r="J9417">
        <v>-208.9468</v>
      </c>
      <c r="K9417">
        <v>1.113534</v>
      </c>
      <c r="L9417">
        <v>-61.286650000000002</v>
      </c>
      <c r="M9417">
        <v>0.97506930000000003</v>
      </c>
      <c r="N9417">
        <v>0</v>
      </c>
      <c r="O9417">
        <v>0.2214371</v>
      </c>
      <c r="P9417">
        <v>0.95489279999999999</v>
      </c>
      <c r="Q9417">
        <v>-1.9497569999999999E-2</v>
      </c>
      <c r="R9417">
        <v>0.29631010000000002</v>
      </c>
      <c r="S9417">
        <v>2.5729679999999999</v>
      </c>
      <c r="T9417">
        <v>-0.25949480000000003</v>
      </c>
      <c r="U9417">
        <v>1.825958</v>
      </c>
      <c r="V9417">
        <v>-7.7436030000000003E-2</v>
      </c>
      <c r="W9417">
        <v>-5.8517049999999996E-3</v>
      </c>
      <c r="X9417">
        <v>0.99698010000000004</v>
      </c>
      <c r="Y9417">
        <v>-0.38323410000000002</v>
      </c>
      <c r="Z9417">
        <v>-2.2321770000000001E-3</v>
      </c>
      <c r="AA9417">
        <v>0.92364860000000004</v>
      </c>
      <c r="AB9417">
        <v>16</v>
      </c>
      <c r="AC9417">
        <v>10.9767999999999</v>
      </c>
      <c r="AD9417">
        <v>-1.113543490399</v>
      </c>
      <c r="AE9417">
        <v>7.81759</v>
      </c>
      <c r="AF9417">
        <v>-5.1573409472006499</v>
      </c>
      <c r="AG9417">
        <v>-1.113543490399</v>
      </c>
      <c r="AH9417">
        <v>12.3511901395858</v>
      </c>
      <c r="AI9417">
        <v>94.755786414597694</v>
      </c>
      <c r="AJ9417">
        <v>112.663376776947</v>
      </c>
      <c r="AK9417">
        <v>13.430936028992299</v>
      </c>
      <c r="AL9417">
        <v>90.335279929540107</v>
      </c>
      <c r="AM9417">
        <v>94.441280172892405</v>
      </c>
      <c r="AN9417">
        <v>0.99999995049478696</v>
      </c>
    </row>
    <row r="9418" spans="1:40" x14ac:dyDescent="0.25">
      <c r="A9418" t="str">
        <f>"20190312154138232"</f>
        <v>20190312154138232</v>
      </c>
      <c r="B9418" t="str">
        <f>"1552376498225482"</f>
        <v>1552376498225482</v>
      </c>
      <c r="C9418" t="s">
        <v>40</v>
      </c>
      <c r="D9418">
        <v>4.3541919999999896</v>
      </c>
      <c r="E9418">
        <v>0.37582080000000001</v>
      </c>
      <c r="F9418" t="s">
        <v>69</v>
      </c>
      <c r="G9418">
        <v>-198.01259999999999</v>
      </c>
      <c r="H9418" s="1">
        <v>-9.4913869999999997E-6</v>
      </c>
      <c r="I9418">
        <v>-53.479900000000001</v>
      </c>
      <c r="J9418">
        <v>-208.87729999999999</v>
      </c>
      <c r="K9418">
        <v>1.1135630000000001</v>
      </c>
      <c r="L9418">
        <v>-61.267029999999998</v>
      </c>
      <c r="M9418">
        <v>0.97431319999999999</v>
      </c>
      <c r="N9418">
        <v>0</v>
      </c>
      <c r="O9418">
        <v>0.2247422</v>
      </c>
      <c r="P9418">
        <v>0.95398760000000005</v>
      </c>
      <c r="Q9418">
        <v>-2.0539109999999999E-2</v>
      </c>
      <c r="R9418">
        <v>0.29914190000000002</v>
      </c>
      <c r="S9418">
        <v>2.5675349999999999</v>
      </c>
      <c r="T9418">
        <v>-0.26147939999999997</v>
      </c>
      <c r="U9418">
        <v>1.8331599999999999</v>
      </c>
      <c r="V9418">
        <v>-7.7009069999999999E-2</v>
      </c>
      <c r="W9418">
        <v>-6.9179740000000003E-3</v>
      </c>
      <c r="X9418">
        <v>0.99700639999999996</v>
      </c>
      <c r="Y9418">
        <v>-0.38274639999999999</v>
      </c>
      <c r="Z9418">
        <v>-2.5574529999999999E-3</v>
      </c>
      <c r="AA9418">
        <v>0.9238499</v>
      </c>
      <c r="AB9418">
        <v>16</v>
      </c>
      <c r="AC9418">
        <v>10.864699999999999</v>
      </c>
      <c r="AD9418">
        <v>-1.11357249138699</v>
      </c>
      <c r="AE9418">
        <v>7.7871300000000003</v>
      </c>
      <c r="AF9418">
        <v>-5.1104076187442402</v>
      </c>
      <c r="AG9418">
        <v>-1.11357249138699</v>
      </c>
      <c r="AH9418">
        <v>12.251951971463299</v>
      </c>
      <c r="AI9418">
        <v>94.795013541862502</v>
      </c>
      <c r="AJ9418">
        <v>112.64148890154</v>
      </c>
      <c r="AK9418">
        <v>13.3216604383364</v>
      </c>
      <c r="AL9418">
        <v>90.396373871315305</v>
      </c>
      <c r="AM9418">
        <v>94.416773348206405</v>
      </c>
      <c r="AN9418">
        <v>1.0000000084337399</v>
      </c>
    </row>
    <row r="9419" spans="1:40" x14ac:dyDescent="0.25">
      <c r="A9419" t="str">
        <f>"20190312154138243"</f>
        <v>20190312154138243</v>
      </c>
      <c r="B9419" t="str">
        <f>"1552376498235242"</f>
        <v>1552376498235242</v>
      </c>
      <c r="C9419" t="s">
        <v>40</v>
      </c>
      <c r="D9419">
        <v>4.3761419999999998</v>
      </c>
      <c r="E9419">
        <v>0.3758976</v>
      </c>
      <c r="F9419" t="s">
        <v>69</v>
      </c>
      <c r="G9419">
        <v>-198.06360000000001</v>
      </c>
      <c r="H9419" s="1">
        <v>-9.4904600000000006E-6</v>
      </c>
      <c r="I9419">
        <v>-53.498899999999999</v>
      </c>
      <c r="J9419">
        <v>-208.8048</v>
      </c>
      <c r="K9419">
        <v>1.1136189999999999</v>
      </c>
      <c r="L9419">
        <v>-61.246189999999999</v>
      </c>
      <c r="M9419">
        <v>0.97352519999999998</v>
      </c>
      <c r="N9419">
        <v>0</v>
      </c>
      <c r="O9419">
        <v>0.22813040000000001</v>
      </c>
      <c r="P9419">
        <v>0.95309350000000004</v>
      </c>
      <c r="Q9419">
        <v>-2.0779300000000001E-2</v>
      </c>
      <c r="R9419">
        <v>0.30196240000000002</v>
      </c>
      <c r="S9419">
        <v>2.5619350000000001</v>
      </c>
      <c r="T9419">
        <v>-0.26382290000000003</v>
      </c>
      <c r="U9419">
        <v>1.8403929999999999</v>
      </c>
      <c r="V9419">
        <v>-7.6487410000000006E-2</v>
      </c>
      <c r="W9419">
        <v>-7.1509769999999898E-3</v>
      </c>
      <c r="X9419">
        <v>0.99704490000000001</v>
      </c>
      <c r="Y9419">
        <v>-0.38221270000000002</v>
      </c>
      <c r="Z9419">
        <v>-2.900966E-3</v>
      </c>
      <c r="AA9419">
        <v>0.92406980000000005</v>
      </c>
      <c r="AB9419">
        <v>16</v>
      </c>
      <c r="AC9419">
        <v>10.7411999999999</v>
      </c>
      <c r="AD9419">
        <v>-1.11362849046</v>
      </c>
      <c r="AE9419">
        <v>7.7472899999999996</v>
      </c>
      <c r="AF9419">
        <v>-5.05655659699796</v>
      </c>
      <c r="AG9419">
        <v>-1.11362849046</v>
      </c>
      <c r="AH9419">
        <v>12.1396391752439</v>
      </c>
      <c r="AI9419">
        <v>94.840395219404499</v>
      </c>
      <c r="AJ9419">
        <v>112.61332402996</v>
      </c>
      <c r="AK9419">
        <v>13.1977184520099</v>
      </c>
      <c r="AL9419">
        <v>90.409724294960398</v>
      </c>
      <c r="AM9419">
        <v>94.386802549283402</v>
      </c>
      <c r="AN9419">
        <v>0.99999999648828597</v>
      </c>
    </row>
    <row r="9420" spans="1:40" x14ac:dyDescent="0.25">
      <c r="A9420" t="str">
        <f>"20190312154138253"</f>
        <v>20190312154138253</v>
      </c>
      <c r="B9420" t="str">
        <f>"1552376498245980"</f>
        <v>1552376498245980</v>
      </c>
      <c r="C9420" t="s">
        <v>40</v>
      </c>
      <c r="D9420">
        <v>4.3488810000000004</v>
      </c>
      <c r="E9420">
        <v>0.37594119999999998</v>
      </c>
      <c r="F9420" t="s">
        <v>69</v>
      </c>
      <c r="G9420">
        <v>-198.02889999999999</v>
      </c>
      <c r="H9420" s="1">
        <v>-9.500564E-6</v>
      </c>
      <c r="I9420">
        <v>-53.458970000000001</v>
      </c>
      <c r="J9420">
        <v>-208.7259</v>
      </c>
      <c r="K9420">
        <v>1.1137140000000001</v>
      </c>
      <c r="L9420">
        <v>-61.223140000000001</v>
      </c>
      <c r="M9420">
        <v>0.97267170000000003</v>
      </c>
      <c r="N9420">
        <v>0</v>
      </c>
      <c r="O9420">
        <v>0.2317391</v>
      </c>
      <c r="P9420">
        <v>0.95210839999999997</v>
      </c>
      <c r="Q9420">
        <v>-2.1124170000000001E-2</v>
      </c>
      <c r="R9420">
        <v>0.30503069999999999</v>
      </c>
      <c r="S9420">
        <v>2.5565639999999998</v>
      </c>
      <c r="T9420">
        <v>-0.26420630000000001</v>
      </c>
      <c r="U9420">
        <v>1.847504</v>
      </c>
      <c r="V9420">
        <v>-7.5998960000000004E-2</v>
      </c>
      <c r="W9420">
        <v>-7.4532499999999998E-3</v>
      </c>
      <c r="X9420">
        <v>0.99707999999999997</v>
      </c>
      <c r="Y9420">
        <v>-0.38140879999999999</v>
      </c>
      <c r="Z9420">
        <v>-3.2580740000000001E-3</v>
      </c>
      <c r="AA9420">
        <v>0.92440069999999996</v>
      </c>
      <c r="AB9420">
        <v>16</v>
      </c>
      <c r="AC9420">
        <v>10.696999999999999</v>
      </c>
      <c r="AD9420">
        <v>-1.1137235005639901</v>
      </c>
      <c r="AE9420">
        <v>7.76417</v>
      </c>
      <c r="AF9420">
        <v>-5.0378325666886496</v>
      </c>
      <c r="AG9420">
        <v>-1.1137235005639901</v>
      </c>
      <c r="AH9420">
        <v>12.1191500912431</v>
      </c>
      <c r="AI9420">
        <v>94.8503906734597</v>
      </c>
      <c r="AJ9420">
        <v>112.57226046178999</v>
      </c>
      <c r="AK9420">
        <v>13.1717096817298</v>
      </c>
      <c r="AL9420">
        <v>90.427043739738593</v>
      </c>
      <c r="AM9420">
        <v>94.358743806020797</v>
      </c>
      <c r="AN9420">
        <v>0.999999959628321</v>
      </c>
    </row>
    <row r="9421" spans="1:40" x14ac:dyDescent="0.25">
      <c r="A9421" t="str">
        <f>"20190312154138265"</f>
        <v>20190312154138265</v>
      </c>
      <c r="B9421" t="str">
        <f>"1552376498255738"</f>
        <v>1552376498255738</v>
      </c>
      <c r="C9421" t="s">
        <v>40</v>
      </c>
      <c r="D9421">
        <v>4.3856549999999999</v>
      </c>
      <c r="E9421">
        <v>0.37604080000000001</v>
      </c>
      <c r="F9421" t="s">
        <v>69</v>
      </c>
      <c r="G9421">
        <v>-197.97450000000001</v>
      </c>
      <c r="H9421" s="1">
        <v>-9.5148639999999992E-6</v>
      </c>
      <c r="I9421">
        <v>-53.400820000000003</v>
      </c>
      <c r="J9421">
        <v>-208.65459999999999</v>
      </c>
      <c r="K9421">
        <v>1.1137779999999999</v>
      </c>
      <c r="L9421">
        <v>-61.201929999999997</v>
      </c>
      <c r="M9421">
        <v>0.97188439999999998</v>
      </c>
      <c r="N9421">
        <v>0</v>
      </c>
      <c r="O9421">
        <v>0.23501630000000001</v>
      </c>
      <c r="P9421">
        <v>0.95116710000000004</v>
      </c>
      <c r="Q9421">
        <v>-2.1074240000000001E-2</v>
      </c>
      <c r="R9421">
        <v>0.30795650000000002</v>
      </c>
      <c r="S9421">
        <v>2.550522</v>
      </c>
      <c r="T9421">
        <v>-0.26420759999999899</v>
      </c>
      <c r="U9421">
        <v>1.8556820000000001</v>
      </c>
      <c r="V9421">
        <v>-7.5703290000000006E-2</v>
      </c>
      <c r="W9421">
        <v>-7.3717919999999899E-3</v>
      </c>
      <c r="X9421">
        <v>0.99710319999999997</v>
      </c>
      <c r="Y9421">
        <v>-0.38128410000000001</v>
      </c>
      <c r="Z9421">
        <v>-3.5509840000000001E-3</v>
      </c>
      <c r="AA9421">
        <v>0.92445109999999997</v>
      </c>
      <c r="AB9421">
        <v>16</v>
      </c>
      <c r="AC9421">
        <v>10.6800999999999</v>
      </c>
      <c r="AD9421">
        <v>-1.113787514864</v>
      </c>
      <c r="AE9421">
        <v>7.8011100000000004</v>
      </c>
      <c r="AF9421">
        <v>-5.0365883866202097</v>
      </c>
      <c r="AG9421">
        <v>-1.113787514864</v>
      </c>
      <c r="AH9421">
        <v>12.1284677887824</v>
      </c>
      <c r="AI9421">
        <v>94.847680588551697</v>
      </c>
      <c r="AJ9421">
        <v>112.5516440446</v>
      </c>
      <c r="AK9421">
        <v>13.1798132045957</v>
      </c>
      <c r="AL9421">
        <v>90.422376368710701</v>
      </c>
      <c r="AM9421">
        <v>94.341750673419199</v>
      </c>
      <c r="AN9421">
        <v>1.00000006144217</v>
      </c>
    </row>
    <row r="9422" spans="1:40" x14ac:dyDescent="0.25">
      <c r="A9422" t="str">
        <f>"20190312154138275"</f>
        <v>20190312154138275</v>
      </c>
      <c r="B9422" t="str">
        <f>"1552376498265498"</f>
        <v>1552376498265498</v>
      </c>
      <c r="C9422" t="s">
        <v>40</v>
      </c>
      <c r="D9422">
        <v>4.3491059999999999</v>
      </c>
      <c r="E9422">
        <v>0.37617440000000002</v>
      </c>
      <c r="F9422" t="s">
        <v>69</v>
      </c>
      <c r="G9422">
        <v>-197.90260000000001</v>
      </c>
      <c r="H9422" s="1">
        <v>-9.5308209999999994E-6</v>
      </c>
      <c r="I9422">
        <v>-53.33231</v>
      </c>
      <c r="J9422">
        <v>-208.58199999999999</v>
      </c>
      <c r="K9422">
        <v>1.1138330000000001</v>
      </c>
      <c r="L9422">
        <v>-61.180079999999997</v>
      </c>
      <c r="M9422">
        <v>0.97106899999999996</v>
      </c>
      <c r="N9422">
        <v>0</v>
      </c>
      <c r="O9422">
        <v>0.23836089999999999</v>
      </c>
      <c r="P9422">
        <v>0.95029589999999997</v>
      </c>
      <c r="Q9422">
        <v>-2.0982569999999999E-2</v>
      </c>
      <c r="R9422">
        <v>0.3106409</v>
      </c>
      <c r="S9422">
        <v>2.5450590000000002</v>
      </c>
      <c r="T9422">
        <v>-0.26364110000000002</v>
      </c>
      <c r="U9422">
        <v>1.8627929999999999</v>
      </c>
      <c r="V9422">
        <v>-7.5084769999999995E-2</v>
      </c>
      <c r="W9422">
        <v>-7.2473040000000004E-3</v>
      </c>
      <c r="X9422">
        <v>0.9971508</v>
      </c>
      <c r="Y9422">
        <v>-0.38074370000000002</v>
      </c>
      <c r="Z9422">
        <v>-3.8608459999999998E-3</v>
      </c>
      <c r="AA9422">
        <v>0.92467250000000001</v>
      </c>
      <c r="AB9422">
        <v>16</v>
      </c>
      <c r="AC9422">
        <v>10.6793999999999</v>
      </c>
      <c r="AD9422">
        <v>-1.113842530821</v>
      </c>
      <c r="AE9422">
        <v>7.8477699999999997</v>
      </c>
      <c r="AF9422">
        <v>-5.0401036987885499</v>
      </c>
      <c r="AG9422">
        <v>-1.113842530821</v>
      </c>
      <c r="AH9422">
        <v>12.1564463480249</v>
      </c>
      <c r="AI9422">
        <v>94.837950248416007</v>
      </c>
      <c r="AJ9422">
        <v>112.51906122138099</v>
      </c>
      <c r="AK9422">
        <v>13.2069102476853</v>
      </c>
      <c r="AL9422">
        <v>90.415243574569899</v>
      </c>
      <c r="AM9422">
        <v>94.306206382382399</v>
      </c>
      <c r="AN9422">
        <v>0.99999998202092999</v>
      </c>
    </row>
    <row r="9423" spans="1:40" x14ac:dyDescent="0.25">
      <c r="A9423" t="str">
        <f>"20190312154138285"</f>
        <v>20190312154138285</v>
      </c>
      <c r="B9423" t="str">
        <f>"1552376498275258"</f>
        <v>1552376498275258</v>
      </c>
      <c r="C9423" t="s">
        <v>40</v>
      </c>
      <c r="D9423">
        <v>4.3814099999999998</v>
      </c>
      <c r="E9423">
        <v>0.3762276</v>
      </c>
      <c r="F9423" t="s">
        <v>69</v>
      </c>
      <c r="G9423">
        <v>-197.8372</v>
      </c>
      <c r="H9423" s="1">
        <v>-9.5437639999999999E-6</v>
      </c>
      <c r="I9423">
        <v>-53.274470000000001</v>
      </c>
      <c r="J9423">
        <v>-208.51</v>
      </c>
      <c r="K9423">
        <v>1.113837</v>
      </c>
      <c r="L9423">
        <v>-61.15793</v>
      </c>
      <c r="M9423">
        <v>0.97020969999999995</v>
      </c>
      <c r="N9423">
        <v>0</v>
      </c>
      <c r="O9423">
        <v>0.24183540000000001</v>
      </c>
      <c r="P9423">
        <v>0.94928599999999996</v>
      </c>
      <c r="Q9423">
        <v>-2.0943699999999999E-2</v>
      </c>
      <c r="R9423">
        <v>0.31371559999999998</v>
      </c>
      <c r="S9423">
        <v>2.5401609999999999</v>
      </c>
      <c r="T9423">
        <v>-0.26332220000000001</v>
      </c>
      <c r="U9423">
        <v>1.8689579999999999</v>
      </c>
      <c r="V9423">
        <v>-7.4743390000000007E-2</v>
      </c>
      <c r="W9423">
        <v>-7.2231509999999997E-3</v>
      </c>
      <c r="X9423">
        <v>0.99717659999999997</v>
      </c>
      <c r="Y9423">
        <v>-0.37975629999999999</v>
      </c>
      <c r="Z9423">
        <v>-4.2052160000000003E-3</v>
      </c>
      <c r="AA9423">
        <v>0.92507700000000004</v>
      </c>
      <c r="AB9423">
        <v>16</v>
      </c>
      <c r="AC9423">
        <v>10.672799999999899</v>
      </c>
      <c r="AD9423">
        <v>-1.1138465437639999</v>
      </c>
      <c r="AE9423">
        <v>7.8834600000000101</v>
      </c>
      <c r="AF9423">
        <v>-5.0326134351954002</v>
      </c>
      <c r="AG9423">
        <v>-1.1138465437639999</v>
      </c>
      <c r="AH9423">
        <v>12.1768254919167</v>
      </c>
      <c r="AI9423">
        <v>94.832133328763803</v>
      </c>
      <c r="AJ9423">
        <v>112.455032346076</v>
      </c>
      <c r="AK9423">
        <v>13.2228185789474</v>
      </c>
      <c r="AL9423">
        <v>90.413859682504807</v>
      </c>
      <c r="AM9423">
        <v>94.286590457446707</v>
      </c>
      <c r="AN9423">
        <v>0.99999995992330903</v>
      </c>
    </row>
    <row r="9424" spans="1:40" x14ac:dyDescent="0.25">
      <c r="A9424" t="str">
        <f>"20190312154138297"</f>
        <v>20190312154138297</v>
      </c>
      <c r="B9424" t="str">
        <f>"1552376498295754"</f>
        <v>1552376498295754</v>
      </c>
      <c r="C9424" t="s">
        <v>40</v>
      </c>
      <c r="D9424">
        <v>4.3478789999999998</v>
      </c>
      <c r="E9424">
        <v>0.35912620000000001</v>
      </c>
      <c r="F9424" t="s">
        <v>69</v>
      </c>
      <c r="G9424">
        <v>-197.8176</v>
      </c>
      <c r="H9424" s="1">
        <v>-9.553482E-6</v>
      </c>
      <c r="I9424">
        <v>-53.24051</v>
      </c>
      <c r="J9424">
        <v>-208.4349</v>
      </c>
      <c r="K9424">
        <v>1.1138319999999999</v>
      </c>
      <c r="L9424">
        <v>-61.134700000000002</v>
      </c>
      <c r="M9424">
        <v>0.96928999999999998</v>
      </c>
      <c r="N9424">
        <v>0</v>
      </c>
      <c r="O9424">
        <v>0.24549699999999999</v>
      </c>
      <c r="P9424">
        <v>0.94817709999999999</v>
      </c>
      <c r="Q9424">
        <v>-2.1034529999999999E-2</v>
      </c>
      <c r="R9424">
        <v>0.31704559999999998</v>
      </c>
      <c r="S9424">
        <v>2.5342709999999999</v>
      </c>
      <c r="T9424">
        <v>-0.263999599999999</v>
      </c>
      <c r="U9424">
        <v>1.8765559999999999</v>
      </c>
      <c r="V9424">
        <v>-7.447753E-2</v>
      </c>
      <c r="W9424">
        <v>-7.3396299999999998E-3</v>
      </c>
      <c r="X9424">
        <v>0.99719570000000002</v>
      </c>
      <c r="Y9424">
        <v>-0.37909480000000001</v>
      </c>
      <c r="Z9424">
        <v>-4.5675639999999997E-3</v>
      </c>
      <c r="AA9424">
        <v>0.92534660000000002</v>
      </c>
      <c r="AB9424">
        <v>16</v>
      </c>
      <c r="AC9424">
        <v>10.6173</v>
      </c>
      <c r="AD9424">
        <v>-1.1138415534820001</v>
      </c>
      <c r="AE9424">
        <v>7.89419</v>
      </c>
      <c r="AF9424">
        <v>-5.01025873421474</v>
      </c>
      <c r="AG9424">
        <v>-1.1138415534820001</v>
      </c>
      <c r="AH9424">
        <v>12.1444410627319</v>
      </c>
      <c r="AI9424">
        <v>94.846192478559999</v>
      </c>
      <c r="AJ9424">
        <v>112.418876145417</v>
      </c>
      <c r="AK9424">
        <v>13.1844902941375</v>
      </c>
      <c r="AL9424">
        <v>90.420533590222107</v>
      </c>
      <c r="AM9424">
        <v>94.271318203724604</v>
      </c>
      <c r="AN9424">
        <v>1.0000000183709601</v>
      </c>
    </row>
    <row r="9425" spans="1:40" x14ac:dyDescent="0.25">
      <c r="A9425" t="str">
        <f>"20190312154138308"</f>
        <v>20190312154138308</v>
      </c>
      <c r="B9425" t="str">
        <f>"1552376498305514"</f>
        <v>1552376498305514</v>
      </c>
      <c r="C9425" t="s">
        <v>40</v>
      </c>
      <c r="D9425">
        <v>4.310575</v>
      </c>
      <c r="E9425">
        <v>0.35424749999999999</v>
      </c>
      <c r="F9425" t="s">
        <v>69</v>
      </c>
      <c r="G9425">
        <v>-197.6414</v>
      </c>
      <c r="H9425" s="1">
        <v>-9.8391799999999992E-6</v>
      </c>
      <c r="I9425">
        <v>-52.381520000000002</v>
      </c>
      <c r="J9425">
        <v>-208.358</v>
      </c>
      <c r="K9425">
        <v>1.1137859999999999</v>
      </c>
      <c r="L9425">
        <v>-61.110349999999997</v>
      </c>
      <c r="M9425">
        <v>0.96827759999999996</v>
      </c>
      <c r="N9425">
        <v>0</v>
      </c>
      <c r="O9425">
        <v>0.24946370000000001</v>
      </c>
      <c r="P9425">
        <v>0.94699489999999997</v>
      </c>
      <c r="Q9425">
        <v>-2.0958569999999999E-2</v>
      </c>
      <c r="R9425">
        <v>0.32056459999999998</v>
      </c>
      <c r="S9425">
        <v>2.4845429999999999</v>
      </c>
      <c r="T9425">
        <v>-0.25639489999999998</v>
      </c>
      <c r="U9425">
        <v>2.0148929999999998</v>
      </c>
      <c r="V9425">
        <v>-7.4098070000000002E-2</v>
      </c>
      <c r="W9425">
        <v>-7.3151079999999999E-3</v>
      </c>
      <c r="X9425">
        <v>0.99722420000000001</v>
      </c>
      <c r="Y9425">
        <v>-0.41566029999999998</v>
      </c>
      <c r="Z9425">
        <v>-3.0966050000000001E-3</v>
      </c>
      <c r="AA9425">
        <v>0.90951470000000001</v>
      </c>
      <c r="AB9425">
        <v>16</v>
      </c>
      <c r="AC9425">
        <v>10.7166</v>
      </c>
      <c r="AD9425">
        <v>-1.11379583918</v>
      </c>
      <c r="AE9425">
        <v>8.7288299999999897</v>
      </c>
      <c r="AF9425">
        <v>-5.7418384628384498</v>
      </c>
      <c r="AG9425">
        <v>-1.11379583918</v>
      </c>
      <c r="AH9425">
        <v>12.4744601870013</v>
      </c>
      <c r="AI9425">
        <v>94.636922190887503</v>
      </c>
      <c r="AJ9425">
        <v>114.716025832997</v>
      </c>
      <c r="AK9425">
        <v>13.777568982290999</v>
      </c>
      <c r="AL9425">
        <v>90.419128523815601</v>
      </c>
      <c r="AM9425">
        <v>94.249514930995701</v>
      </c>
      <c r="AN9425">
        <v>1.0000000699242</v>
      </c>
    </row>
    <row r="9426" spans="1:40" x14ac:dyDescent="0.25">
      <c r="A9426" t="str">
        <f>"20190312154138321"</f>
        <v>20190312154138321</v>
      </c>
      <c r="B9426" t="str">
        <f>"1552376498315277"</f>
        <v>1552376498315277</v>
      </c>
      <c r="C9426" t="s">
        <v>40</v>
      </c>
      <c r="D9426">
        <v>4.3050230000000003</v>
      </c>
      <c r="E9426">
        <v>0.35140329999999997</v>
      </c>
      <c r="F9426" t="s">
        <v>69</v>
      </c>
      <c r="G9426">
        <v>-197.8921</v>
      </c>
      <c r="H9426" s="1">
        <v>-9.8727510000000007E-6</v>
      </c>
      <c r="I9426">
        <v>-52.358069999999998</v>
      </c>
      <c r="J9426">
        <v>-208.2792</v>
      </c>
      <c r="K9426">
        <v>1.1137410000000001</v>
      </c>
      <c r="L9426">
        <v>-61.085140000000003</v>
      </c>
      <c r="M9426">
        <v>0.96721230000000002</v>
      </c>
      <c r="N9426">
        <v>0</v>
      </c>
      <c r="O9426">
        <v>0.25356590000000001</v>
      </c>
      <c r="P9426">
        <v>0.945766</v>
      </c>
      <c r="Q9426">
        <v>-2.0538000000000001E-2</v>
      </c>
      <c r="R9426">
        <v>0.32419930000000002</v>
      </c>
      <c r="S9426">
        <v>2.4644620000000002</v>
      </c>
      <c r="T9426">
        <v>-0.26227089999999997</v>
      </c>
      <c r="U9426">
        <v>2.0609440000000001</v>
      </c>
      <c r="V9426">
        <v>-7.370264E-2</v>
      </c>
      <c r="W9426">
        <v>-6.939995E-3</v>
      </c>
      <c r="X9426">
        <v>0.99725609999999998</v>
      </c>
      <c r="Y9426">
        <v>-0.4254481</v>
      </c>
      <c r="Z9426">
        <v>-3.0611459999999998E-3</v>
      </c>
      <c r="AA9426">
        <v>0.90497760000000005</v>
      </c>
      <c r="AB9426">
        <v>16</v>
      </c>
      <c r="AC9426">
        <v>10.3871</v>
      </c>
      <c r="AD9426">
        <v>-1.1137508727509999</v>
      </c>
      <c r="AE9426">
        <v>8.7270699999999994</v>
      </c>
      <c r="AF9426">
        <v>-5.7688301395114401</v>
      </c>
      <c r="AG9426">
        <v>-1.1137508727509999</v>
      </c>
      <c r="AH9426">
        <v>12.1785947715496</v>
      </c>
      <c r="AI9426">
        <v>94.724651057651002</v>
      </c>
      <c r="AJ9426">
        <v>115.34626082137601</v>
      </c>
      <c r="AK9426">
        <v>13.5217607135574</v>
      </c>
      <c r="AL9426">
        <v>90.397635620942395</v>
      </c>
      <c r="AM9426">
        <v>94.226784764203103</v>
      </c>
      <c r="AN9426">
        <v>0.99999998583038896</v>
      </c>
    </row>
    <row r="9427" spans="1:40" x14ac:dyDescent="0.25">
      <c r="A9427" t="str">
        <f>"20190312154138331"</f>
        <v>20190312154138331</v>
      </c>
      <c r="B9427" t="str">
        <f>"1552376498325541"</f>
        <v>1552376498325541</v>
      </c>
      <c r="C9427" t="s">
        <v>40</v>
      </c>
      <c r="D9427">
        <v>4.3177960000000004</v>
      </c>
      <c r="E9427">
        <v>0.34992180000000001</v>
      </c>
      <c r="F9427" t="s">
        <v>41</v>
      </c>
      <c r="G9427">
        <v>-207.4905</v>
      </c>
      <c r="H9427">
        <v>1.030197</v>
      </c>
      <c r="I9427">
        <v>-60.411320000000003</v>
      </c>
      <c r="J9427">
        <v>-208.2064</v>
      </c>
      <c r="K9427">
        <v>1.113707</v>
      </c>
      <c r="L9427">
        <v>-61.061459999999997</v>
      </c>
      <c r="M9427">
        <v>0.96618970000000004</v>
      </c>
      <c r="N9427">
        <v>0</v>
      </c>
      <c r="O9427">
        <v>0.25743680000000002</v>
      </c>
      <c r="P9427">
        <v>0.94460370000000005</v>
      </c>
      <c r="Q9427">
        <v>-2.0381150000000001E-2</v>
      </c>
      <c r="R9427">
        <v>0.32757989999999998</v>
      </c>
      <c r="S9427">
        <v>2.4492029999999998</v>
      </c>
      <c r="T9427">
        <v>-0.25941629999999999</v>
      </c>
      <c r="U9427">
        <v>2.0922239999999999</v>
      </c>
      <c r="V9427">
        <v>-7.3277099999999998E-2</v>
      </c>
      <c r="W9427">
        <v>-6.8095489999999998E-3</v>
      </c>
      <c r="X9427">
        <v>0.99728830000000002</v>
      </c>
      <c r="Y9427">
        <v>-0.43131459999999999</v>
      </c>
      <c r="Z9427">
        <v>-3.0845930000000001E-3</v>
      </c>
      <c r="AA9427">
        <v>0.90219629999999995</v>
      </c>
      <c r="AB9427">
        <v>16</v>
      </c>
      <c r="AC9427">
        <v>0.71590000000000398</v>
      </c>
      <c r="AD9427">
        <v>-8.3509999999999904E-2</v>
      </c>
      <c r="AE9427">
        <v>0.65014000000000005</v>
      </c>
      <c r="AF9427">
        <v>-0.440619016072481</v>
      </c>
      <c r="AG9427">
        <v>-8.3509999999999904E-2</v>
      </c>
      <c r="AH9427">
        <v>0.85279326484196505</v>
      </c>
      <c r="AI9427">
        <v>94.972153689016395</v>
      </c>
      <c r="AJ9427">
        <v>117.32437718998</v>
      </c>
      <c r="AK9427">
        <v>0.96352238686213199</v>
      </c>
      <c r="AL9427">
        <v>90.390161461385503</v>
      </c>
      <c r="AM9427">
        <v>94.202332884608893</v>
      </c>
      <c r="AN9427">
        <v>0.99999992832943896</v>
      </c>
    </row>
    <row r="9428" spans="1:40" x14ac:dyDescent="0.25">
      <c r="A9428" t="str">
        <f>"20190312154138344"</f>
        <v>20190312154138344</v>
      </c>
      <c r="B9428" t="str">
        <f>"1552376498335301"</f>
        <v>1552376498335301</v>
      </c>
      <c r="C9428" t="s">
        <v>40</v>
      </c>
      <c r="D9428">
        <v>4.3124770000000003</v>
      </c>
      <c r="E9428">
        <v>0.34910259999999999</v>
      </c>
      <c r="F9428" t="s">
        <v>69</v>
      </c>
      <c r="G9428">
        <v>-197.7072</v>
      </c>
      <c r="H9428" s="1">
        <v>-9.9974069999999993E-6</v>
      </c>
      <c r="I9428">
        <v>-51.964419999999997</v>
      </c>
      <c r="J9428">
        <v>-208.12739999999999</v>
      </c>
      <c r="K9428">
        <v>1.1136889999999999</v>
      </c>
      <c r="L9428">
        <v>-61.035429999999998</v>
      </c>
      <c r="M9428">
        <v>0.96505929999999995</v>
      </c>
      <c r="N9428">
        <v>0</v>
      </c>
      <c r="O9428">
        <v>0.26164340000000003</v>
      </c>
      <c r="P9428">
        <v>0.9433028</v>
      </c>
      <c r="Q9428">
        <v>-2.018824E-2</v>
      </c>
      <c r="R9428">
        <v>0.33131890000000003</v>
      </c>
      <c r="S9428">
        <v>2.4378510000000002</v>
      </c>
      <c r="T9428">
        <v>-0.25859769999999999</v>
      </c>
      <c r="U9428">
        <v>2.1122740000000002</v>
      </c>
      <c r="V9428">
        <v>-7.2883429999999999E-2</v>
      </c>
      <c r="W9428">
        <v>-6.6241210000000002E-3</v>
      </c>
      <c r="X9428">
        <v>0.99731840000000005</v>
      </c>
      <c r="Y9428">
        <v>-0.43371900000000002</v>
      </c>
      <c r="Z9428">
        <v>-3.3195500000000001E-3</v>
      </c>
      <c r="AA9428">
        <v>0.90104200000000001</v>
      </c>
      <c r="AB9428">
        <v>16</v>
      </c>
      <c r="AC9428">
        <v>10.4201999999999</v>
      </c>
      <c r="AD9428">
        <v>-1.113698997407</v>
      </c>
      <c r="AE9428">
        <v>9.0710099999999994</v>
      </c>
      <c r="AF9428">
        <v>-5.9893768727205199</v>
      </c>
      <c r="AG9428">
        <v>-1.113698997407</v>
      </c>
      <c r="AH9428">
        <v>12.350484893441401</v>
      </c>
      <c r="AI9428">
        <v>94.638648915819104</v>
      </c>
      <c r="AJ9428">
        <v>115.871100578832</v>
      </c>
      <c r="AK9428">
        <v>13.771254041786801</v>
      </c>
      <c r="AL9428">
        <v>90.379536977681099</v>
      </c>
      <c r="AM9428">
        <v>94.179711020741493</v>
      </c>
      <c r="AN9428">
        <v>0.99999993216307104</v>
      </c>
    </row>
    <row r="9429" spans="1:40" x14ac:dyDescent="0.25">
      <c r="A9429" t="str">
        <f>"20190312154138355"</f>
        <v>20190312154138355</v>
      </c>
      <c r="B9429" t="str">
        <f>"1552376498345061"</f>
        <v>1552376498345061</v>
      </c>
      <c r="C9429" t="s">
        <v>40</v>
      </c>
      <c r="D9429">
        <v>4.3515009999999998</v>
      </c>
      <c r="E9429">
        <v>0.34879729999999998</v>
      </c>
      <c r="F9429" t="s">
        <v>69</v>
      </c>
      <c r="G9429">
        <v>-197.55930000000001</v>
      </c>
      <c r="H9429" s="1">
        <v>-1.0053470000000001E-5</v>
      </c>
      <c r="I9429">
        <v>-51.769590000000001</v>
      </c>
      <c r="J9429">
        <v>-208.0453</v>
      </c>
      <c r="K9429">
        <v>1.1136870000000001</v>
      </c>
      <c r="L9429">
        <v>-61.008000000000003</v>
      </c>
      <c r="M9429">
        <v>0.96386039999999995</v>
      </c>
      <c r="N9429">
        <v>0</v>
      </c>
      <c r="O9429">
        <v>0.26602559999999997</v>
      </c>
      <c r="P9429">
        <v>0.94193059999999995</v>
      </c>
      <c r="Q9429">
        <v>-2.007283E-2</v>
      </c>
      <c r="R9429">
        <v>0.33520739999999999</v>
      </c>
      <c r="S9429">
        <v>2.4273220000000002</v>
      </c>
      <c r="T9429">
        <v>-0.25579750000000001</v>
      </c>
      <c r="U9429">
        <v>2.1282040000000002</v>
      </c>
      <c r="V9429">
        <v>-7.2467379999999998E-2</v>
      </c>
      <c r="W9429">
        <v>-6.4971589999999997E-3</v>
      </c>
      <c r="X9429">
        <v>0.99734959999999995</v>
      </c>
      <c r="Y9429">
        <v>-0.43493090000000001</v>
      </c>
      <c r="Z9429">
        <v>-3.5955480000000001E-3</v>
      </c>
      <c r="AA9429">
        <v>0.900456699999999</v>
      </c>
      <c r="AB9429">
        <v>16</v>
      </c>
      <c r="AC9429">
        <v>10.485999999999899</v>
      </c>
      <c r="AD9429">
        <v>-1.1136970534699999</v>
      </c>
      <c r="AE9429">
        <v>9.23841</v>
      </c>
      <c r="AF9429">
        <v>-6.0770220540263598</v>
      </c>
      <c r="AG9429">
        <v>-1.1136970534699999</v>
      </c>
      <c r="AH9429">
        <v>12.4866732262041</v>
      </c>
      <c r="AI9429">
        <v>94.585160472172305</v>
      </c>
      <c r="AJ9429">
        <v>115.95128984203799</v>
      </c>
      <c r="AK9429">
        <v>13.931529938597301</v>
      </c>
      <c r="AL9429">
        <v>90.372262416271198</v>
      </c>
      <c r="AM9429">
        <v>94.155805715093095</v>
      </c>
      <c r="AN9429">
        <v>0.99999997942964702</v>
      </c>
    </row>
    <row r="9430" spans="1:40" x14ac:dyDescent="0.25">
      <c r="A9430" t="str">
        <f>"20190312154138367"</f>
        <v>20190312154138367</v>
      </c>
      <c r="B9430" t="str">
        <f>"1552376498355798"</f>
        <v>1552376498355798</v>
      </c>
      <c r="C9430" t="s">
        <v>40</v>
      </c>
      <c r="D9430">
        <v>4.374053</v>
      </c>
      <c r="E9430">
        <v>0.34878979999999998</v>
      </c>
      <c r="F9430" t="s">
        <v>69</v>
      </c>
      <c r="G9430">
        <v>-197.4376</v>
      </c>
      <c r="H9430" s="1">
        <v>-1.0097039999999999E-5</v>
      </c>
      <c r="I9430">
        <v>-51.616320000000002</v>
      </c>
      <c r="J9430">
        <v>-207.97319999999999</v>
      </c>
      <c r="K9430">
        <v>1.1137140000000001</v>
      </c>
      <c r="L9430">
        <v>-60.983310000000003</v>
      </c>
      <c r="M9430">
        <v>0.9627926</v>
      </c>
      <c r="N9430">
        <v>0</v>
      </c>
      <c r="O9430">
        <v>0.26986329999999997</v>
      </c>
      <c r="P9430">
        <v>0.94067849999999997</v>
      </c>
      <c r="Q9430">
        <v>-2.0059E-2</v>
      </c>
      <c r="R9430">
        <v>0.33870630000000002</v>
      </c>
      <c r="S9430">
        <v>2.4177550000000001</v>
      </c>
      <c r="T9430">
        <v>-0.25383909999999998</v>
      </c>
      <c r="U9430">
        <v>2.1405940000000001</v>
      </c>
      <c r="V9430">
        <v>-7.2201080000000001E-2</v>
      </c>
      <c r="W9430">
        <v>-6.4580979999999998E-3</v>
      </c>
      <c r="X9430">
        <v>0.99736919999999996</v>
      </c>
      <c r="Y9430">
        <v>-0.43571680000000002</v>
      </c>
      <c r="Z9430">
        <v>-3.8526799999999998E-3</v>
      </c>
      <c r="AA9430">
        <v>0.90007559999999998</v>
      </c>
      <c r="AB9430">
        <v>16</v>
      </c>
      <c r="AC9430">
        <v>10.535599999999899</v>
      </c>
      <c r="AD9430">
        <v>-1.11372409704</v>
      </c>
      <c r="AE9430">
        <v>9.3669899999999906</v>
      </c>
      <c r="AF9430">
        <v>-6.1376210887423799</v>
      </c>
      <c r="AG9430">
        <v>-1.11372409704</v>
      </c>
      <c r="AH9430">
        <v>12.5940956987394</v>
      </c>
      <c r="AI9430">
        <v>94.5451485301259</v>
      </c>
      <c r="AJ9430">
        <v>115.981879385962</v>
      </c>
      <c r="AK9430">
        <v>14.054252753608401</v>
      </c>
      <c r="AL9430">
        <v>90.370024326757601</v>
      </c>
      <c r="AM9430">
        <v>94.140506265508606</v>
      </c>
      <c r="AN9430">
        <v>1.0000000120457899</v>
      </c>
    </row>
    <row r="9431" spans="1:40" x14ac:dyDescent="0.25">
      <c r="A9431" t="str">
        <f>"20190312154138378"</f>
        <v>20190312154138378</v>
      </c>
      <c r="B9431" t="str">
        <f>"1552376498375317"</f>
        <v>1552376498375317</v>
      </c>
      <c r="C9431" t="s">
        <v>40</v>
      </c>
      <c r="D9431">
        <v>4.44923</v>
      </c>
      <c r="E9431">
        <v>0.34921639999999998</v>
      </c>
      <c r="F9431" t="s">
        <v>69</v>
      </c>
      <c r="G9431">
        <v>-197.47980000000001</v>
      </c>
      <c r="H9431" s="1">
        <v>-1.0099239999999999E-5</v>
      </c>
      <c r="I9431">
        <v>-51.621879999999997</v>
      </c>
      <c r="J9431">
        <v>-207.9025</v>
      </c>
      <c r="K9431">
        <v>1.113747</v>
      </c>
      <c r="L9431">
        <v>-60.959009999999999</v>
      </c>
      <c r="M9431">
        <v>0.9617308</v>
      </c>
      <c r="N9431">
        <v>0</v>
      </c>
      <c r="O9431">
        <v>0.27362160000000002</v>
      </c>
      <c r="P9431">
        <v>0.93957100000000005</v>
      </c>
      <c r="Q9431">
        <v>-1.9797510000000001E-2</v>
      </c>
      <c r="R9431">
        <v>0.34178170000000002</v>
      </c>
      <c r="S9431">
        <v>2.4096829999999998</v>
      </c>
      <c r="T9431">
        <v>-0.2557545</v>
      </c>
      <c r="U9431">
        <v>2.14975</v>
      </c>
      <c r="V9431">
        <v>-7.1569610000000006E-2</v>
      </c>
      <c r="W9431">
        <v>-6.1667029999999999E-3</v>
      </c>
      <c r="X9431">
        <v>0.99741659999999999</v>
      </c>
      <c r="Y9431">
        <v>-0.43560700000000002</v>
      </c>
      <c r="Z9431">
        <v>-4.2029470000000003E-3</v>
      </c>
      <c r="AA9431">
        <v>0.90012709999999996</v>
      </c>
      <c r="AB9431">
        <v>16</v>
      </c>
      <c r="AC9431">
        <v>10.422699999999899</v>
      </c>
      <c r="AD9431">
        <v>-1.1137570992399899</v>
      </c>
      <c r="AE9431">
        <v>9.3371300000000002</v>
      </c>
      <c r="AF9431">
        <v>-6.0899790832553604</v>
      </c>
      <c r="AG9431">
        <v>-1.1137570992399899</v>
      </c>
      <c r="AH9431">
        <v>12.500771721801399</v>
      </c>
      <c r="AI9431">
        <v>94.579381928478796</v>
      </c>
      <c r="AJ9431">
        <v>115.973873616948</v>
      </c>
      <c r="AK9431">
        <v>13.9498241476796</v>
      </c>
      <c r="AL9431">
        <v>90.353328275187394</v>
      </c>
      <c r="AM9431">
        <v>94.1042233518356</v>
      </c>
      <c r="AN9431">
        <v>1.00000005562849</v>
      </c>
    </row>
    <row r="9432" spans="1:40" x14ac:dyDescent="0.25">
      <c r="A9432" t="str">
        <f>"20190312154138388"</f>
        <v>20190312154138388</v>
      </c>
      <c r="B9432" t="str">
        <f>"1552376498385077"</f>
        <v>1552376498385077</v>
      </c>
      <c r="C9432" t="s">
        <v>40</v>
      </c>
      <c r="D9432">
        <v>4.3663639999999999</v>
      </c>
      <c r="E9432">
        <v>0.34935490000000002</v>
      </c>
      <c r="F9432" t="s">
        <v>41</v>
      </c>
      <c r="G9432">
        <v>-207.14420000000001</v>
      </c>
      <c r="H9432">
        <v>1.0333810000000001</v>
      </c>
      <c r="I9432">
        <v>-60.279539999999997</v>
      </c>
      <c r="J9432">
        <v>-207.82849999999999</v>
      </c>
      <c r="K9432">
        <v>1.1137919999999999</v>
      </c>
      <c r="L9432">
        <v>-60.932920000000003</v>
      </c>
      <c r="M9432">
        <v>0.96059879999999997</v>
      </c>
      <c r="N9432">
        <v>0</v>
      </c>
      <c r="O9432">
        <v>0.2775688</v>
      </c>
      <c r="P9432">
        <v>0.93833630000000001</v>
      </c>
      <c r="Q9432">
        <v>-1.9780140000000002E-2</v>
      </c>
      <c r="R9432">
        <v>0.34515770000000001</v>
      </c>
      <c r="S9432">
        <v>2.4038539999999999</v>
      </c>
      <c r="T9432">
        <v>-0.254805</v>
      </c>
      <c r="U9432">
        <v>2.15448</v>
      </c>
      <c r="V9432">
        <v>-7.105976E-2</v>
      </c>
      <c r="W9432">
        <v>-6.1257500000000001E-3</v>
      </c>
      <c r="X9432">
        <v>0.99745329999999999</v>
      </c>
      <c r="Y9432">
        <v>-0.43399579999999999</v>
      </c>
      <c r="Z9432">
        <v>-4.5917650000000003E-3</v>
      </c>
      <c r="AA9432">
        <v>0.90090320000000002</v>
      </c>
      <c r="AB9432">
        <v>16</v>
      </c>
      <c r="AC9432">
        <v>0.68429999999997904</v>
      </c>
      <c r="AD9432">
        <v>-8.0411000000000205E-2</v>
      </c>
      <c r="AE9432">
        <v>0.65337999999999097</v>
      </c>
      <c r="AF9432">
        <v>-0.434601519355379</v>
      </c>
      <c r="AG9432">
        <v>-8.0411000000000205E-2</v>
      </c>
      <c r="AH9432">
        <v>0.83276668463707004</v>
      </c>
      <c r="AI9432">
        <v>94.892750785947896</v>
      </c>
      <c r="AJ9432">
        <v>117.55900632408201</v>
      </c>
      <c r="AK9432">
        <v>0.942785638726228</v>
      </c>
      <c r="AL9432">
        <v>90.350981798916706</v>
      </c>
      <c r="AM9432">
        <v>94.074934967627499</v>
      </c>
      <c r="AN9432">
        <v>1.0000000499926001</v>
      </c>
    </row>
    <row r="9433" spans="1:40" x14ac:dyDescent="0.25">
      <c r="A9433" t="str">
        <f>"20190312154138398"</f>
        <v>20190312154138398</v>
      </c>
      <c r="B9433" t="str">
        <f>"1552376498395814"</f>
        <v>1552376498395814</v>
      </c>
      <c r="C9433" t="s">
        <v>40</v>
      </c>
      <c r="D9433">
        <v>4.3363620000000003</v>
      </c>
      <c r="E9433">
        <v>0.3493675</v>
      </c>
      <c r="F9433" t="s">
        <v>69</v>
      </c>
      <c r="G9433">
        <v>-197.38210000000001</v>
      </c>
      <c r="H9433" s="1">
        <v>-1.013078E-5</v>
      </c>
      <c r="I9433">
        <v>-51.50826</v>
      </c>
      <c r="J9433">
        <v>-207.76830000000001</v>
      </c>
      <c r="K9433">
        <v>1.113829</v>
      </c>
      <c r="L9433">
        <v>-60.9116199999999</v>
      </c>
      <c r="M9433">
        <v>0.95966399999999996</v>
      </c>
      <c r="N9433">
        <v>0</v>
      </c>
      <c r="O9433">
        <v>0.28078259999999899</v>
      </c>
      <c r="P9433">
        <v>0.93743940000000003</v>
      </c>
      <c r="Q9433">
        <v>-1.9887390000000001E-2</v>
      </c>
      <c r="R9433">
        <v>0.3475801</v>
      </c>
      <c r="S9433">
        <v>2.3964840000000001</v>
      </c>
      <c r="T9433">
        <v>-0.2555134</v>
      </c>
      <c r="U9433">
        <v>2.1620789999999999</v>
      </c>
      <c r="V9433">
        <v>-7.0296819999999996E-2</v>
      </c>
      <c r="W9433">
        <v>-6.2118069999999997E-3</v>
      </c>
      <c r="X9433">
        <v>0.99750680000000003</v>
      </c>
      <c r="Y9433">
        <v>-0.43393939999999998</v>
      </c>
      <c r="Z9433">
        <v>-4.8784609999999997E-3</v>
      </c>
      <c r="AA9433">
        <v>0.90092890000000003</v>
      </c>
      <c r="AB9433">
        <v>16</v>
      </c>
      <c r="AC9433">
        <v>10.386200000000001</v>
      </c>
      <c r="AD9433">
        <v>-1.11383913078</v>
      </c>
      <c r="AE9433">
        <v>9.4033599999999904</v>
      </c>
      <c r="AF9433">
        <v>-6.0700672447471096</v>
      </c>
      <c r="AG9433">
        <v>-1.11383913078</v>
      </c>
      <c r="AH9433">
        <v>12.529671377084901</v>
      </c>
      <c r="AI9433">
        <v>94.574053369946</v>
      </c>
      <c r="AJ9433">
        <v>115.848119671181</v>
      </c>
      <c r="AK9433">
        <v>13.967069083481601</v>
      </c>
      <c r="AL9433">
        <v>90.355912605085095</v>
      </c>
      <c r="AM9433">
        <v>94.031113560178994</v>
      </c>
      <c r="AN9433">
        <v>1.0000000227472701</v>
      </c>
    </row>
    <row r="9434" spans="1:40" x14ac:dyDescent="0.25">
      <c r="A9434" t="str">
        <f>"20190312154138409"</f>
        <v>20190312154138409</v>
      </c>
      <c r="B9434" t="str">
        <f>"1552376498405573"</f>
        <v>1552376498405573</v>
      </c>
      <c r="C9434" t="s">
        <v>40</v>
      </c>
      <c r="D9434">
        <v>4.3718750000000002</v>
      </c>
      <c r="E9434">
        <v>0.34952840000000002</v>
      </c>
      <c r="F9434" t="s">
        <v>41</v>
      </c>
      <c r="G9434">
        <v>-207.0069</v>
      </c>
      <c r="H9434">
        <v>1.03271</v>
      </c>
      <c r="I9434">
        <v>-60.221179999999997</v>
      </c>
      <c r="J9434">
        <v>-207.69460000000001</v>
      </c>
      <c r="K9434">
        <v>1.1138729999999999</v>
      </c>
      <c r="L9434">
        <v>-60.884920000000001</v>
      </c>
      <c r="M9434">
        <v>0.95848929999999999</v>
      </c>
      <c r="N9434">
        <v>0</v>
      </c>
      <c r="O9434">
        <v>0.28476620000000002</v>
      </c>
      <c r="P9434">
        <v>0.93630919999999895</v>
      </c>
      <c r="Q9434">
        <v>-1.9915390000000002E-2</v>
      </c>
      <c r="R9434">
        <v>0.35061179999999997</v>
      </c>
      <c r="S9434">
        <v>2.3908999999999998</v>
      </c>
      <c r="T9434">
        <v>-0.25471779999999999</v>
      </c>
      <c r="U9434">
        <v>2.1681819999999998</v>
      </c>
      <c r="V9434">
        <v>-6.9381150000000003E-2</v>
      </c>
      <c r="W9434">
        <v>-6.2260220000000003E-3</v>
      </c>
      <c r="X9434">
        <v>0.99757079999999998</v>
      </c>
      <c r="Y9434">
        <v>-0.43252469999999998</v>
      </c>
      <c r="Z9434">
        <v>-5.2607599999999997E-3</v>
      </c>
      <c r="AA9434">
        <v>0.90160669999999998</v>
      </c>
      <c r="AB9434">
        <v>16</v>
      </c>
      <c r="AC9434">
        <v>0.68770000000000597</v>
      </c>
      <c r="AD9434">
        <v>-8.1162999999999805E-2</v>
      </c>
      <c r="AE9434">
        <v>0.66373999999999</v>
      </c>
      <c r="AF9434">
        <v>-0.43724630682704002</v>
      </c>
      <c r="AG9434">
        <v>-8.1162999999999805E-2</v>
      </c>
      <c r="AH9434">
        <v>0.84217814879249897</v>
      </c>
      <c r="AI9434">
        <v>94.888724898518703</v>
      </c>
      <c r="AJ9434">
        <v>117.437664783345</v>
      </c>
      <c r="AK9434">
        <v>0.95238427103057799</v>
      </c>
      <c r="AL9434">
        <v>90.356727086949803</v>
      </c>
      <c r="AM9434">
        <v>93.978520523549804</v>
      </c>
      <c r="AN9434">
        <v>1.0000000041689501</v>
      </c>
    </row>
    <row r="9435" spans="1:40" x14ac:dyDescent="0.25">
      <c r="A9435" t="str">
        <f>"20190312154138421"</f>
        <v>20190312154138421</v>
      </c>
      <c r="B9435" t="str">
        <f>"1552376498415333"</f>
        <v>1552376498415333</v>
      </c>
      <c r="C9435" t="s">
        <v>40</v>
      </c>
      <c r="D9435">
        <v>4.3705040000000004</v>
      </c>
      <c r="E9435">
        <v>0.34980679999999997</v>
      </c>
      <c r="F9435" t="s">
        <v>69</v>
      </c>
      <c r="G9435">
        <v>-197.23740000000001</v>
      </c>
      <c r="H9435" s="1">
        <v>-1.017551E-5</v>
      </c>
      <c r="I9435">
        <v>-51.345489999999998</v>
      </c>
      <c r="J9435">
        <v>-207.61930000000001</v>
      </c>
      <c r="K9435">
        <v>1.1139129999999999</v>
      </c>
      <c r="L9435">
        <v>-60.857329999999997</v>
      </c>
      <c r="M9435">
        <v>0.95726199999999995</v>
      </c>
      <c r="N9435">
        <v>0</v>
      </c>
      <c r="O9435">
        <v>0.28886460000000003</v>
      </c>
      <c r="P9435">
        <v>0.93514489999999995</v>
      </c>
      <c r="Q9435">
        <v>-2.0085749999999999E-2</v>
      </c>
      <c r="R9435">
        <v>0.35369590000000001</v>
      </c>
      <c r="S9435">
        <v>2.3842159999999999</v>
      </c>
      <c r="T9435">
        <v>-0.25396170000000001</v>
      </c>
      <c r="U9435">
        <v>2.174957</v>
      </c>
      <c r="V9435">
        <v>-6.8399710000000002E-2</v>
      </c>
      <c r="W9435">
        <v>-6.383779E-3</v>
      </c>
      <c r="X9435">
        <v>0.99763760000000001</v>
      </c>
      <c r="Y9435">
        <v>-0.43134080000000002</v>
      </c>
      <c r="Z9435">
        <v>-5.6416879999999997E-3</v>
      </c>
      <c r="AA9435">
        <v>0.90217139999999996</v>
      </c>
      <c r="AB9435">
        <v>16</v>
      </c>
      <c r="AC9435">
        <v>10.3819</v>
      </c>
      <c r="AD9435">
        <v>-1.1139231755100001</v>
      </c>
      <c r="AE9435">
        <v>9.5118399999999994</v>
      </c>
      <c r="AF9435">
        <v>-6.0690072690091004</v>
      </c>
      <c r="AG9435">
        <v>-1.1139231755100001</v>
      </c>
      <c r="AH9435">
        <v>12.6082335592245</v>
      </c>
      <c r="AI9435">
        <v>94.551517204693397</v>
      </c>
      <c r="AJ9435">
        <v>115.70396348476601</v>
      </c>
      <c r="AK9435">
        <v>14.0371374416645</v>
      </c>
      <c r="AL9435">
        <v>90.365766068537894</v>
      </c>
      <c r="AM9435">
        <v>93.922156958634204</v>
      </c>
      <c r="AN9435">
        <v>1.00000002694808</v>
      </c>
    </row>
    <row r="9436" spans="1:40" x14ac:dyDescent="0.25">
      <c r="A9436" t="str">
        <f>"20190312154138431"</f>
        <v>20190312154138431</v>
      </c>
      <c r="B9436" t="str">
        <f>"1552376498425093"</f>
        <v>1552376498425093</v>
      </c>
      <c r="C9436" t="s">
        <v>40</v>
      </c>
      <c r="D9436">
        <v>4.3619629999999896</v>
      </c>
      <c r="E9436">
        <v>0.34999279999999999</v>
      </c>
      <c r="F9436" t="s">
        <v>69</v>
      </c>
      <c r="G9436">
        <v>-197.17850000000001</v>
      </c>
      <c r="H9436" s="1">
        <v>-1.0192959999999999E-5</v>
      </c>
      <c r="I9436">
        <v>-51.281309999999998</v>
      </c>
      <c r="J9436">
        <v>-207.5489</v>
      </c>
      <c r="K9436">
        <v>1.1139410000000001</v>
      </c>
      <c r="L9436">
        <v>-60.831119999999999</v>
      </c>
      <c r="M9436">
        <v>0.95608249999999995</v>
      </c>
      <c r="N9436">
        <v>0</v>
      </c>
      <c r="O9436">
        <v>0.29274480000000003</v>
      </c>
      <c r="P9436">
        <v>0.93392059999999999</v>
      </c>
      <c r="Q9436">
        <v>-2.0156779999999999E-2</v>
      </c>
      <c r="R9436">
        <v>0.35691200000000001</v>
      </c>
      <c r="S9436">
        <v>2.3777620000000002</v>
      </c>
      <c r="T9436">
        <v>-0.25368190000000002</v>
      </c>
      <c r="U9436">
        <v>2.1808169999999998</v>
      </c>
      <c r="V9436">
        <v>-6.77865E-2</v>
      </c>
      <c r="W9436">
        <v>-6.4492480000000003E-3</v>
      </c>
      <c r="X9436">
        <v>0.99767899999999998</v>
      </c>
      <c r="Y9436">
        <v>-0.43012339999999999</v>
      </c>
      <c r="Z9436">
        <v>-6.0157240000000001E-3</v>
      </c>
      <c r="AA9436">
        <v>0.9027501</v>
      </c>
      <c r="AB9436">
        <v>16</v>
      </c>
      <c r="AC9436">
        <v>10.370399999999901</v>
      </c>
      <c r="AD9436">
        <v>-1.1139511929599999</v>
      </c>
      <c r="AE9436">
        <v>9.5498100000000008</v>
      </c>
      <c r="AF9436">
        <v>-6.0573357698910897</v>
      </c>
      <c r="AG9436">
        <v>-1.1139511929599999</v>
      </c>
      <c r="AH9436">
        <v>12.633052957487401</v>
      </c>
      <c r="AI9436">
        <v>94.546028712289498</v>
      </c>
      <c r="AJ9436">
        <v>115.61693198091901</v>
      </c>
      <c r="AK9436">
        <v>14.0544025456858</v>
      </c>
      <c r="AL9436">
        <v>90.3695172549604</v>
      </c>
      <c r="AM9436">
        <v>93.886941916493498</v>
      </c>
      <c r="AN9436">
        <v>0.99999999471150702</v>
      </c>
    </row>
    <row r="9437" spans="1:40" x14ac:dyDescent="0.25">
      <c r="A9437" t="str">
        <f>"20190312154138443"</f>
        <v>20190312154138443</v>
      </c>
      <c r="B9437" t="str">
        <f>"1552376498435828"</f>
        <v>1552376498435828</v>
      </c>
      <c r="C9437" t="s">
        <v>40</v>
      </c>
      <c r="D9437">
        <v>4.3476350000000004</v>
      </c>
      <c r="E9437">
        <v>0.35014840000000003</v>
      </c>
      <c r="F9437" t="s">
        <v>69</v>
      </c>
      <c r="G9437">
        <v>-197.16970000000001</v>
      </c>
      <c r="H9437" s="1">
        <v>-1.020242E-5</v>
      </c>
      <c r="I9437">
        <v>-51.252899999999997</v>
      </c>
      <c r="J9437">
        <v>-207.47669999999999</v>
      </c>
      <c r="K9437">
        <v>1.113955</v>
      </c>
      <c r="L9437">
        <v>-60.803829999999998</v>
      </c>
      <c r="M9437">
        <v>0.95484029999999998</v>
      </c>
      <c r="N9437">
        <v>0</v>
      </c>
      <c r="O9437">
        <v>0.29677100000000001</v>
      </c>
      <c r="P9437">
        <v>0.93270759999999997</v>
      </c>
      <c r="Q9437">
        <v>-2.0415340000000001E-2</v>
      </c>
      <c r="R9437">
        <v>0.36005510000000002</v>
      </c>
      <c r="S9437">
        <v>2.3706969999999998</v>
      </c>
      <c r="T9437">
        <v>-0.25443579999999999</v>
      </c>
      <c r="U9437">
        <v>2.1877439999999999</v>
      </c>
      <c r="V9437">
        <v>-6.6941459999999994E-2</v>
      </c>
      <c r="W9437">
        <v>-6.6969209999999998E-3</v>
      </c>
      <c r="X9437">
        <v>0.99773440000000002</v>
      </c>
      <c r="Y9437">
        <v>-0.42909599999999998</v>
      </c>
      <c r="Z9437">
        <v>-6.4186319999999996E-3</v>
      </c>
      <c r="AA9437">
        <v>0.90323609999999999</v>
      </c>
      <c r="AB9437">
        <v>16</v>
      </c>
      <c r="AC9437">
        <v>10.306999999999899</v>
      </c>
      <c r="AD9437">
        <v>-1.11396520242</v>
      </c>
      <c r="AE9437">
        <v>9.5509299999999993</v>
      </c>
      <c r="AF9437">
        <v>-6.0235659080422401</v>
      </c>
      <c r="AG9437">
        <v>-1.11396520242</v>
      </c>
      <c r="AH9437">
        <v>12.5981161728988</v>
      </c>
      <c r="AI9437">
        <v>94.5610288140075</v>
      </c>
      <c r="AJ9437">
        <v>115.553968371355</v>
      </c>
      <c r="AK9437">
        <v>14.0084544410361</v>
      </c>
      <c r="AL9437">
        <v>90.383708188573095</v>
      </c>
      <c r="AM9437">
        <v>93.838419795725201</v>
      </c>
      <c r="AN9437">
        <v>0.99999997038058497</v>
      </c>
    </row>
    <row r="9438" spans="1:40" x14ac:dyDescent="0.25">
      <c r="A9438" t="str">
        <f>"20190312154138454"</f>
        <v>20190312154138454</v>
      </c>
      <c r="B9438" t="str">
        <f>"1552376498445589"</f>
        <v>1552376498445589</v>
      </c>
      <c r="C9438" t="s">
        <v>40</v>
      </c>
      <c r="D9438">
        <v>4.3774139999999999</v>
      </c>
      <c r="E9438">
        <v>0.3504295</v>
      </c>
      <c r="F9438" t="s">
        <v>69</v>
      </c>
      <c r="G9438">
        <v>-197.19200000000001</v>
      </c>
      <c r="H9438" s="1">
        <v>-1.0203850000000001E-5</v>
      </c>
      <c r="I9438">
        <v>-51.255099999999999</v>
      </c>
      <c r="J9438">
        <v>-207.40459999999999</v>
      </c>
      <c r="K9438">
        <v>1.1139730000000001</v>
      </c>
      <c r="L9438">
        <v>-60.776339999999998</v>
      </c>
      <c r="M9438">
        <v>0.95357170000000002</v>
      </c>
      <c r="N9438">
        <v>0</v>
      </c>
      <c r="O9438">
        <v>0.30082239999999999</v>
      </c>
      <c r="P9438">
        <v>0.93142270000000005</v>
      </c>
      <c r="Q9438">
        <v>-2.0645500000000001E-2</v>
      </c>
      <c r="R9438">
        <v>0.36335329999999999</v>
      </c>
      <c r="S9438">
        <v>2.3636780000000002</v>
      </c>
      <c r="T9438">
        <v>-0.25601839999999998</v>
      </c>
      <c r="U9438">
        <v>2.19455</v>
      </c>
      <c r="V9438">
        <v>-6.6234849999999998E-2</v>
      </c>
      <c r="W9438">
        <v>-6.9151539999999997E-3</v>
      </c>
      <c r="X9438">
        <v>0.99778009999999995</v>
      </c>
      <c r="Y9438">
        <v>-0.428004</v>
      </c>
      <c r="Z9438">
        <v>-6.8511980000000002E-3</v>
      </c>
      <c r="AA9438">
        <v>0.90375090000000002</v>
      </c>
      <c r="AB9438">
        <v>16</v>
      </c>
      <c r="AC9438">
        <v>10.212599999999901</v>
      </c>
      <c r="AD9438">
        <v>-1.1139832038499999</v>
      </c>
      <c r="AE9438">
        <v>9.5212400000000006</v>
      </c>
      <c r="AF9438">
        <v>-5.9696281164880798</v>
      </c>
      <c r="AG9438">
        <v>-1.1139832038499999</v>
      </c>
      <c r="AH9438">
        <v>12.524229766730601</v>
      </c>
      <c r="AI9438">
        <v>94.590535712116207</v>
      </c>
      <c r="AJ9438">
        <v>115.484631833534</v>
      </c>
      <c r="AK9438">
        <v>13.9188271660182</v>
      </c>
      <c r="AL9438">
        <v>90.396212296167107</v>
      </c>
      <c r="AM9438">
        <v>93.797848584493906</v>
      </c>
      <c r="AN9438">
        <v>1.00000000133268</v>
      </c>
    </row>
    <row r="9439" spans="1:40" x14ac:dyDescent="0.25">
      <c r="A9439" t="str">
        <f>"20190312154138465"</f>
        <v>20190312154138465</v>
      </c>
      <c r="B9439" t="str">
        <f>"1552376498455349"</f>
        <v>1552376498455349</v>
      </c>
      <c r="C9439" t="s">
        <v>40</v>
      </c>
      <c r="D9439">
        <v>4.3430479999999996</v>
      </c>
      <c r="E9439">
        <v>0.350666799999999</v>
      </c>
      <c r="F9439" t="s">
        <v>69</v>
      </c>
      <c r="G9439">
        <v>-197.28219999999999</v>
      </c>
      <c r="H9439" s="1">
        <v>-1.0187919999999999E-5</v>
      </c>
      <c r="I9439">
        <v>-51.323689999999999</v>
      </c>
      <c r="J9439">
        <v>-207.3365</v>
      </c>
      <c r="K9439">
        <v>1.113982</v>
      </c>
      <c r="L9439">
        <v>-60.749789999999997</v>
      </c>
      <c r="M9439">
        <v>0.95233710000000005</v>
      </c>
      <c r="N9439">
        <v>0</v>
      </c>
      <c r="O9439">
        <v>0.30470779999999997</v>
      </c>
      <c r="P9439">
        <v>0.93013380000000001</v>
      </c>
      <c r="Q9439">
        <v>-2.0940650000000002E-2</v>
      </c>
      <c r="R9439">
        <v>0.36662359999999999</v>
      </c>
      <c r="S9439">
        <v>2.3566440000000002</v>
      </c>
      <c r="T9439">
        <v>-0.25935140000000001</v>
      </c>
      <c r="U9439">
        <v>2.2007140000000001</v>
      </c>
      <c r="V9439">
        <v>-6.5671859999999999E-2</v>
      </c>
      <c r="W9439">
        <v>-7.1946060000000001E-3</v>
      </c>
      <c r="X9439">
        <v>0.99781529999999996</v>
      </c>
      <c r="Y9439">
        <v>-0.42693059999999999</v>
      </c>
      <c r="Z9439">
        <v>-7.324105E-3</v>
      </c>
      <c r="AA9439">
        <v>0.90425469999999997</v>
      </c>
      <c r="AB9439">
        <v>16</v>
      </c>
      <c r="AC9439">
        <v>10.0543</v>
      </c>
      <c r="AD9439">
        <v>-1.1139921879200001</v>
      </c>
      <c r="AE9439">
        <v>9.4260999999999999</v>
      </c>
      <c r="AF9439">
        <v>-5.8754266106320401</v>
      </c>
      <c r="AG9439">
        <v>-1.1139921879200001</v>
      </c>
      <c r="AH9439">
        <v>12.3677737830143</v>
      </c>
      <c r="AI9439">
        <v>94.651242288355405</v>
      </c>
      <c r="AJ9439">
        <v>115.410492688918</v>
      </c>
      <c r="AK9439">
        <v>13.737665187341101</v>
      </c>
      <c r="AL9439">
        <v>90.412224130137901</v>
      </c>
      <c r="AM9439">
        <v>93.765528045493696</v>
      </c>
      <c r="AN9439">
        <v>0.99999996423272097</v>
      </c>
    </row>
    <row r="9440" spans="1:40" x14ac:dyDescent="0.25">
      <c r="A9440" t="str">
        <f>"20190312154138476"</f>
        <v>20190312154138476</v>
      </c>
      <c r="B9440" t="str">
        <f>"1552376498465109"</f>
        <v>1552376498465109</v>
      </c>
      <c r="C9440" t="s">
        <v>40</v>
      </c>
      <c r="D9440">
        <v>4.3550550000000001</v>
      </c>
      <c r="E9440">
        <v>0.35099770000000002</v>
      </c>
      <c r="F9440" t="s">
        <v>69</v>
      </c>
      <c r="G9440">
        <v>-197.30330000000001</v>
      </c>
      <c r="H9440" s="1">
        <v>-1.0189399999999999E-5</v>
      </c>
      <c r="I9440">
        <v>-51.325389999999999</v>
      </c>
      <c r="J9440">
        <v>-207.2636</v>
      </c>
      <c r="K9440">
        <v>1.1139950000000001</v>
      </c>
      <c r="L9440">
        <v>-60.72128</v>
      </c>
      <c r="M9440">
        <v>0.95099310000000004</v>
      </c>
      <c r="N9440">
        <v>0</v>
      </c>
      <c r="O9440">
        <v>0.30887619999999999</v>
      </c>
      <c r="P9440">
        <v>0.92875430000000003</v>
      </c>
      <c r="Q9440">
        <v>-2.1108160000000001E-2</v>
      </c>
      <c r="R9440">
        <v>0.3700947</v>
      </c>
      <c r="S9440">
        <v>2.3495789999999999</v>
      </c>
      <c r="T9440">
        <v>-0.2608743</v>
      </c>
      <c r="U9440">
        <v>2.207001</v>
      </c>
      <c r="V9440">
        <v>-6.5027539999999995E-2</v>
      </c>
      <c r="W9440">
        <v>-7.3429029999999996E-3</v>
      </c>
      <c r="X9440">
        <v>0.99785639999999998</v>
      </c>
      <c r="Y9440">
        <v>-0.42562230000000001</v>
      </c>
      <c r="Z9440">
        <v>-7.7883769999999904E-3</v>
      </c>
      <c r="AA9440">
        <v>0.90486739999999999</v>
      </c>
      <c r="AB9440">
        <v>16</v>
      </c>
      <c r="AC9440">
        <v>9.9602999999999895</v>
      </c>
      <c r="AD9440">
        <v>-1.1140051894</v>
      </c>
      <c r="AE9440">
        <v>9.3958899999999996</v>
      </c>
      <c r="AF9440">
        <v>-5.8210057246798099</v>
      </c>
      <c r="AG9440">
        <v>-1.1140051894</v>
      </c>
      <c r="AH9440">
        <v>12.294251883759101</v>
      </c>
      <c r="AI9440">
        <v>94.681849380657695</v>
      </c>
      <c r="AJ9440">
        <v>115.33632714797901</v>
      </c>
      <c r="AK9440">
        <v>13.6482139707025</v>
      </c>
      <c r="AL9440">
        <v>90.420721154343497</v>
      </c>
      <c r="AM9440">
        <v>93.728535272639505</v>
      </c>
      <c r="AN9440">
        <v>0.99999994710193796</v>
      </c>
    </row>
    <row r="9441" spans="1:40" x14ac:dyDescent="0.25">
      <c r="A9441" t="str">
        <f>"20190312154138487"</f>
        <v>20190312154138487</v>
      </c>
      <c r="B9441" t="str">
        <f>"1552376498485605"</f>
        <v>1552376498485605</v>
      </c>
      <c r="C9441" t="s">
        <v>40</v>
      </c>
      <c r="D9441">
        <v>4.3641819999999996</v>
      </c>
      <c r="E9441">
        <v>0.35164990000000002</v>
      </c>
      <c r="F9441" t="s">
        <v>69</v>
      </c>
      <c r="G9441">
        <v>-197.27279999999999</v>
      </c>
      <c r="H9441" s="1">
        <v>-1.0202860000000001E-5</v>
      </c>
      <c r="I9441">
        <v>-51.280009999999997</v>
      </c>
      <c r="J9441">
        <v>-207.19450000000001</v>
      </c>
      <c r="K9441">
        <v>1.114004</v>
      </c>
      <c r="L9441">
        <v>-60.693570000000001</v>
      </c>
      <c r="M9441">
        <v>0.94968180000000002</v>
      </c>
      <c r="N9441">
        <v>0</v>
      </c>
      <c r="O9441">
        <v>0.3128843</v>
      </c>
      <c r="P9441">
        <v>0.92743249999999999</v>
      </c>
      <c r="Q9441">
        <v>-2.158353E-2</v>
      </c>
      <c r="R9441">
        <v>0.37336720000000001</v>
      </c>
      <c r="S9441">
        <v>2.342209</v>
      </c>
      <c r="T9441">
        <v>-0.26116349999999999</v>
      </c>
      <c r="U9441">
        <v>2.2133790000000002</v>
      </c>
      <c r="V9441">
        <v>-6.4336909999999997E-2</v>
      </c>
      <c r="W9441">
        <v>-7.7965049999999996E-3</v>
      </c>
      <c r="X9441">
        <v>0.99789779999999995</v>
      </c>
      <c r="Y9441">
        <v>-0.42454190000000003</v>
      </c>
      <c r="Z9441">
        <v>-8.195473E-3</v>
      </c>
      <c r="AA9441">
        <v>0.90537120000000004</v>
      </c>
      <c r="AB9441">
        <v>16</v>
      </c>
      <c r="AC9441">
        <v>9.9217000000000102</v>
      </c>
      <c r="AD9441">
        <v>-1.11401420286</v>
      </c>
      <c r="AE9441">
        <v>9.4135599999999897</v>
      </c>
      <c r="AF9441">
        <v>-5.7976840925697797</v>
      </c>
      <c r="AG9441">
        <v>-1.11401420286</v>
      </c>
      <c r="AH9441">
        <v>12.2875762831695</v>
      </c>
      <c r="AI9441">
        <v>94.687376495959995</v>
      </c>
      <c r="AJ9441">
        <v>115.259485333394</v>
      </c>
      <c r="AK9441">
        <v>13.632266847304599</v>
      </c>
      <c r="AL9441">
        <v>90.446711347582607</v>
      </c>
      <c r="AM9441">
        <v>93.688893384863604</v>
      </c>
      <c r="AN9441">
        <v>1.0000000213617</v>
      </c>
    </row>
    <row r="9442" spans="1:40" x14ac:dyDescent="0.25">
      <c r="A9442" t="str">
        <f>"20190312154138499"</f>
        <v>20190312154138499</v>
      </c>
      <c r="B9442" t="str">
        <f>"1552376498495365"</f>
        <v>1552376498495365</v>
      </c>
      <c r="C9442" t="s">
        <v>40</v>
      </c>
      <c r="D9442">
        <v>4.3435139999999999</v>
      </c>
      <c r="E9442">
        <v>0.35196369999999999</v>
      </c>
      <c r="F9442" t="s">
        <v>69</v>
      </c>
      <c r="G9442">
        <v>-197.3039</v>
      </c>
      <c r="H9442" s="1">
        <v>-1.0195910000000001E-5</v>
      </c>
      <c r="I9442">
        <v>-51.307650000000002</v>
      </c>
      <c r="J9442">
        <v>-207.1215</v>
      </c>
      <c r="K9442">
        <v>1.1140110000000001</v>
      </c>
      <c r="L9442">
        <v>-60.664180000000002</v>
      </c>
      <c r="M9442">
        <v>0.94827490000000003</v>
      </c>
      <c r="N9442">
        <v>0</v>
      </c>
      <c r="O9442">
        <v>0.31712200000000001</v>
      </c>
      <c r="P9442">
        <v>0.92596049999999996</v>
      </c>
      <c r="Q9442">
        <v>-2.182419E-2</v>
      </c>
      <c r="R9442">
        <v>0.37698930000000003</v>
      </c>
      <c r="S9442">
        <v>2.3361510000000001</v>
      </c>
      <c r="T9442">
        <v>-0.26312920000000001</v>
      </c>
      <c r="U9442">
        <v>2.2169490000000001</v>
      </c>
      <c r="V9442">
        <v>-6.3781019999999994E-2</v>
      </c>
      <c r="W9442">
        <v>-8.0160909999999995E-3</v>
      </c>
      <c r="X9442">
        <v>0.99793169999999998</v>
      </c>
      <c r="Y9442">
        <v>-0.42241030000000002</v>
      </c>
      <c r="Z9442">
        <v>-8.7285680000000008E-3</v>
      </c>
      <c r="AA9442">
        <v>0.90636269999999997</v>
      </c>
      <c r="AB9442">
        <v>16</v>
      </c>
      <c r="AC9442">
        <v>9.8176000000000005</v>
      </c>
      <c r="AD9442">
        <v>-1.1140211959099999</v>
      </c>
      <c r="AE9442">
        <v>9.3565299999999993</v>
      </c>
      <c r="AF9442">
        <v>-5.7211827271229998</v>
      </c>
      <c r="AG9442">
        <v>-1.1140211959099999</v>
      </c>
      <c r="AH9442">
        <v>12.195933845912201</v>
      </c>
      <c r="AI9442">
        <v>94.727410429568096</v>
      </c>
      <c r="AJ9442">
        <v>115.13154383066301</v>
      </c>
      <c r="AK9442">
        <v>13.517166026794801</v>
      </c>
      <c r="AL9442">
        <v>90.459293111979306</v>
      </c>
      <c r="AM9442">
        <v>93.656983229290105</v>
      </c>
      <c r="AN9442">
        <v>0.99999997704602495</v>
      </c>
    </row>
    <row r="9443" spans="1:40" x14ac:dyDescent="0.25">
      <c r="A9443" t="str">
        <f>"20190312154138510"</f>
        <v>20190312154138510</v>
      </c>
      <c r="B9443" t="str">
        <f>"1552376498505128"</f>
        <v>1552376498505128</v>
      </c>
      <c r="C9443" t="s">
        <v>40</v>
      </c>
      <c r="D9443">
        <v>4.3566630000000002</v>
      </c>
      <c r="E9443">
        <v>0.35231400000000002</v>
      </c>
      <c r="F9443" t="s">
        <v>69</v>
      </c>
      <c r="G9443">
        <v>-197.249</v>
      </c>
      <c r="H9443" s="1">
        <v>-1.021677E-5</v>
      </c>
      <c r="I9443">
        <v>-51.235210000000002</v>
      </c>
      <c r="J9443">
        <v>-207.0479</v>
      </c>
      <c r="K9443">
        <v>1.114017</v>
      </c>
      <c r="L9443">
        <v>-60.633940000000003</v>
      </c>
      <c r="M9443">
        <v>0.94682040000000001</v>
      </c>
      <c r="N9443">
        <v>0</v>
      </c>
      <c r="O9443">
        <v>0.321438</v>
      </c>
      <c r="P9443">
        <v>0.92452480000000004</v>
      </c>
      <c r="Q9443">
        <v>-2.1938260000000001E-2</v>
      </c>
      <c r="R9443">
        <v>0.3804902</v>
      </c>
      <c r="S9443">
        <v>2.3283230000000001</v>
      </c>
      <c r="T9443">
        <v>-0.26273020000000002</v>
      </c>
      <c r="U9443">
        <v>2.2237239999999998</v>
      </c>
      <c r="V9443">
        <v>-6.301197E-2</v>
      </c>
      <c r="W9443">
        <v>-8.1087590000000001E-3</v>
      </c>
      <c r="X9443">
        <v>0.99797979999999997</v>
      </c>
      <c r="Y9443">
        <v>-0.4211992</v>
      </c>
      <c r="Z9443">
        <v>-9.1499279999999999E-3</v>
      </c>
      <c r="AA9443">
        <v>0.90692200000000001</v>
      </c>
      <c r="AB9443">
        <v>16</v>
      </c>
      <c r="AC9443">
        <v>9.7988999999999695</v>
      </c>
      <c r="AD9443">
        <v>-1.1140272167700001</v>
      </c>
      <c r="AE9443">
        <v>9.3987300000000005</v>
      </c>
      <c r="AF9443">
        <v>-5.7113225649409998</v>
      </c>
      <c r="AG9443">
        <v>-1.1140272167700001</v>
      </c>
      <c r="AH9443">
        <v>12.2179412758291</v>
      </c>
      <c r="AI9443">
        <v>94.721940543255798</v>
      </c>
      <c r="AJ9443">
        <v>115.053914526073</v>
      </c>
      <c r="AK9443">
        <v>13.5328618961444</v>
      </c>
      <c r="AL9443">
        <v>90.464602772887901</v>
      </c>
      <c r="AM9443">
        <v>93.612832393692898</v>
      </c>
      <c r="AN9443">
        <v>0.99999997077192004</v>
      </c>
    </row>
    <row r="9444" spans="1:40" x14ac:dyDescent="0.25">
      <c r="A9444" t="str">
        <f>"20190312154138521"</f>
        <v>20190312154138521</v>
      </c>
      <c r="B9444" t="str">
        <f>"1552376498515861"</f>
        <v>1552376498515861</v>
      </c>
      <c r="C9444" t="s">
        <v>40</v>
      </c>
      <c r="D9444">
        <v>4.3867589999999996</v>
      </c>
      <c r="E9444">
        <v>0.35268870000000002</v>
      </c>
      <c r="F9444" t="s">
        <v>69</v>
      </c>
      <c r="G9444">
        <v>-197.21799999999999</v>
      </c>
      <c r="H9444" s="1">
        <v>-1.023043E-5</v>
      </c>
      <c r="I9444">
        <v>-51.189109999999999</v>
      </c>
      <c r="J9444">
        <v>-206.97890000000001</v>
      </c>
      <c r="K9444">
        <v>1.1140239999999999</v>
      </c>
      <c r="L9444">
        <v>-60.605319999999899</v>
      </c>
      <c r="M9444">
        <v>0.94543460000000001</v>
      </c>
      <c r="N9444">
        <v>0</v>
      </c>
      <c r="O9444">
        <v>0.32549099999999997</v>
      </c>
      <c r="P9444">
        <v>0.92307249999999996</v>
      </c>
      <c r="Q9444">
        <v>-2.1899499999999999E-2</v>
      </c>
      <c r="R9444">
        <v>0.38400210000000001</v>
      </c>
      <c r="S9444">
        <v>2.3209230000000001</v>
      </c>
      <c r="T9444">
        <v>-0.26303219999999999</v>
      </c>
      <c r="U9444">
        <v>2.2300110000000002</v>
      </c>
      <c r="V9444">
        <v>-6.2530879999999997E-2</v>
      </c>
      <c r="W9444">
        <v>-8.0539549999999998E-3</v>
      </c>
      <c r="X9444">
        <v>0.99801050000000002</v>
      </c>
      <c r="Y9444">
        <v>-0.42004950000000002</v>
      </c>
      <c r="Z9444">
        <v>-9.57006E-3</v>
      </c>
      <c r="AA9444">
        <v>0.90745070000000005</v>
      </c>
      <c r="AB9444">
        <v>16</v>
      </c>
      <c r="AC9444">
        <v>9.7609000000000101</v>
      </c>
      <c r="AD9444">
        <v>-1.1140342304299999</v>
      </c>
      <c r="AE9444">
        <v>9.4162099999999906</v>
      </c>
      <c r="AF9444">
        <v>-5.6875493405531001</v>
      </c>
      <c r="AG9444">
        <v>-1.1140342304299999</v>
      </c>
      <c r="AH9444">
        <v>12.212072491754199</v>
      </c>
      <c r="AI9444">
        <v>94.727333269021202</v>
      </c>
      <c r="AJ9444">
        <v>114.97288827421499</v>
      </c>
      <c r="AK9444">
        <v>13.5175443151357</v>
      </c>
      <c r="AL9444">
        <v>90.461462633806093</v>
      </c>
      <c r="AM9444">
        <v>93.585211009260703</v>
      </c>
      <c r="AN9444">
        <v>0.999999967627482</v>
      </c>
    </row>
    <row r="9445" spans="1:40" x14ac:dyDescent="0.25">
      <c r="A9445" t="str">
        <f>"20190312154138533"</f>
        <v>20190312154138533</v>
      </c>
      <c r="B9445" t="str">
        <f>"1552376498525621"</f>
        <v>1552376498525621</v>
      </c>
      <c r="C9445" t="s">
        <v>40</v>
      </c>
      <c r="D9445">
        <v>4.4954739999999997</v>
      </c>
      <c r="E9445">
        <v>0.35268870000000002</v>
      </c>
      <c r="F9445" t="s">
        <v>69</v>
      </c>
      <c r="G9445">
        <v>-197.1525</v>
      </c>
      <c r="H9445" s="1">
        <v>-1.025343E-5</v>
      </c>
      <c r="I9445">
        <v>-51.107860000000002</v>
      </c>
      <c r="J9445">
        <v>-206.9059</v>
      </c>
      <c r="K9445">
        <v>1.114034</v>
      </c>
      <c r="L9445">
        <v>-60.574620000000003</v>
      </c>
      <c r="M9445">
        <v>0.94393959999999999</v>
      </c>
      <c r="N9445">
        <v>0</v>
      </c>
      <c r="O9445">
        <v>0.32980090000000001</v>
      </c>
      <c r="P9445">
        <v>0.9214618</v>
      </c>
      <c r="Q9445">
        <v>-2.1855980000000001E-2</v>
      </c>
      <c r="R9445">
        <v>0.38785419999999998</v>
      </c>
      <c r="S9445">
        <v>2.3135530000000002</v>
      </c>
      <c r="T9445">
        <v>-0.26229219999999998</v>
      </c>
      <c r="U9445">
        <v>2.2361149999999999</v>
      </c>
      <c r="V9445">
        <v>-6.2146390000000003E-2</v>
      </c>
      <c r="W9445">
        <v>-7.997189E-3</v>
      </c>
      <c r="X9445">
        <v>0.99803500000000001</v>
      </c>
      <c r="Y9445">
        <v>-0.41860890000000001</v>
      </c>
      <c r="Z9445">
        <v>-9.9877850000000008E-3</v>
      </c>
      <c r="AA9445">
        <v>0.90811169999999997</v>
      </c>
      <c r="AB9445">
        <v>16</v>
      </c>
      <c r="AC9445">
        <v>9.7533999999999992</v>
      </c>
      <c r="AD9445">
        <v>-1.1140442534299999</v>
      </c>
      <c r="AE9445">
        <v>9.4667600000000007</v>
      </c>
      <c r="AF9445">
        <v>-5.6817995062685798</v>
      </c>
      <c r="AG9445">
        <v>-1.1140442534299999</v>
      </c>
      <c r="AH9445">
        <v>12.247779863300501</v>
      </c>
      <c r="AI9445">
        <v>94.716934041121604</v>
      </c>
      <c r="AJ9445">
        <v>114.886794916231</v>
      </c>
      <c r="AK9445">
        <v>13.5474001863052</v>
      </c>
      <c r="AL9445">
        <v>90.458210064177095</v>
      </c>
      <c r="AM9445">
        <v>93.563135982246294</v>
      </c>
      <c r="AN9445">
        <v>0.99999999502346604</v>
      </c>
    </row>
    <row r="9446" spans="1:40" x14ac:dyDescent="0.25">
      <c r="A9446" t="str">
        <f>"20190312154138545"</f>
        <v>20190312154138545</v>
      </c>
      <c r="B9446" t="str">
        <f>"1552376498535381"</f>
        <v>1552376498535381</v>
      </c>
      <c r="C9446" t="s">
        <v>40</v>
      </c>
      <c r="D9446">
        <v>4.4330020000000001</v>
      </c>
      <c r="E9446">
        <v>0.35346650000000002</v>
      </c>
      <c r="F9446" t="s">
        <v>69</v>
      </c>
      <c r="G9446">
        <v>-197.10759999999999</v>
      </c>
      <c r="H9446" s="1">
        <v>-1.0279049999999999E-5</v>
      </c>
      <c r="I9446">
        <v>-51.02505</v>
      </c>
      <c r="J9446">
        <v>-206.8365</v>
      </c>
      <c r="K9446">
        <v>1.114045</v>
      </c>
      <c r="L9446">
        <v>-60.544980000000002</v>
      </c>
      <c r="M9446">
        <v>0.94248920000000003</v>
      </c>
      <c r="N9446">
        <v>0</v>
      </c>
      <c r="O9446">
        <v>0.33392300000000003</v>
      </c>
      <c r="P9446">
        <v>0.91991199999999995</v>
      </c>
      <c r="Q9446">
        <v>-2.1909140000000001E-2</v>
      </c>
      <c r="R9446">
        <v>0.39151259999999999</v>
      </c>
      <c r="S9446">
        <v>2.30423</v>
      </c>
      <c r="T9446">
        <v>-0.26198460000000001</v>
      </c>
      <c r="U9446">
        <v>2.2457280000000002</v>
      </c>
      <c r="V9446">
        <v>-6.175042E-2</v>
      </c>
      <c r="W9446">
        <v>-8.0390930000000006E-3</v>
      </c>
      <c r="X9446">
        <v>0.99805929999999998</v>
      </c>
      <c r="Y9446">
        <v>-0.41843279999999999</v>
      </c>
      <c r="Z9446">
        <v>-1.034476E-2</v>
      </c>
      <c r="AA9446">
        <v>0.90818889999999997</v>
      </c>
      <c r="AB9446">
        <v>16</v>
      </c>
      <c r="AC9446">
        <v>9.7289000000000101</v>
      </c>
      <c r="AD9446">
        <v>-1.11405527905</v>
      </c>
      <c r="AE9446">
        <v>9.5199300000000004</v>
      </c>
      <c r="AF9446">
        <v>-5.6862377036846601</v>
      </c>
      <c r="AG9446">
        <v>-1.11405527905</v>
      </c>
      <c r="AH9446">
        <v>12.267426185198</v>
      </c>
      <c r="AI9446">
        <v>94.710142303104007</v>
      </c>
      <c r="AJ9446">
        <v>114.868821127346</v>
      </c>
      <c r="AK9446">
        <v>13.5670248616587</v>
      </c>
      <c r="AL9446">
        <v>90.460611036618602</v>
      </c>
      <c r="AM9446">
        <v>93.540405166681694</v>
      </c>
      <c r="AN9446">
        <v>1.00000005385146</v>
      </c>
    </row>
    <row r="9447" spans="1:40" x14ac:dyDescent="0.25">
      <c r="A9447" t="str">
        <f>"20190312154138555"</f>
        <v>20190312154138555</v>
      </c>
      <c r="B9447" t="str">
        <f>"1552376498545141"</f>
        <v>1552376498545141</v>
      </c>
      <c r="C9447" t="s">
        <v>40</v>
      </c>
      <c r="D9447">
        <v>4.3572350000000002</v>
      </c>
      <c r="E9447">
        <v>0.35390100000000002</v>
      </c>
      <c r="F9447" t="s">
        <v>69</v>
      </c>
      <c r="G9447">
        <v>-197.14940000000001</v>
      </c>
      <c r="H9447" s="1">
        <v>-1.026942E-5</v>
      </c>
      <c r="I9447">
        <v>-51.06306</v>
      </c>
      <c r="J9447">
        <v>-206.76750000000001</v>
      </c>
      <c r="K9447">
        <v>1.1140540000000001</v>
      </c>
      <c r="L9447">
        <v>-60.51529</v>
      </c>
      <c r="M9447">
        <v>0.94102569999999996</v>
      </c>
      <c r="N9447">
        <v>0</v>
      </c>
      <c r="O9447">
        <v>0.33802500000000002</v>
      </c>
      <c r="P9447">
        <v>0.91834309999999997</v>
      </c>
      <c r="Q9447">
        <v>-2.2008989999999999E-2</v>
      </c>
      <c r="R9447">
        <v>0.3951731</v>
      </c>
      <c r="S9447">
        <v>2.2976990000000002</v>
      </c>
      <c r="T9447">
        <v>-0.26424710000000001</v>
      </c>
      <c r="U9447">
        <v>2.2490540000000001</v>
      </c>
      <c r="V9447">
        <v>-6.1378200000000001E-2</v>
      </c>
      <c r="W9447">
        <v>-8.1288869999999996E-3</v>
      </c>
      <c r="X9447">
        <v>0.99808149999999995</v>
      </c>
      <c r="Y9447">
        <v>-0.41644910000000002</v>
      </c>
      <c r="Z9447">
        <v>-1.0892489999999999E-2</v>
      </c>
      <c r="AA9447">
        <v>0.90909379999999995</v>
      </c>
      <c r="AB9447">
        <v>16</v>
      </c>
      <c r="AC9447">
        <v>9.6180999999999894</v>
      </c>
      <c r="AD9447">
        <v>-1.11406426942</v>
      </c>
      <c r="AE9447">
        <v>9.4522300000000001</v>
      </c>
      <c r="AF9447">
        <v>-5.6059644357398204</v>
      </c>
      <c r="AG9447">
        <v>-1.11406426942</v>
      </c>
      <c r="AH9447">
        <v>12.164233098816601</v>
      </c>
      <c r="AI9447">
        <v>94.754760679185594</v>
      </c>
      <c r="AJ9447">
        <v>114.74291473065</v>
      </c>
      <c r="AK9447">
        <v>13.4401094985689</v>
      </c>
      <c r="AL9447">
        <v>90.465756036782196</v>
      </c>
      <c r="AM9447">
        <v>93.519039980614806</v>
      </c>
      <c r="AN9447">
        <v>1.0000000214406699</v>
      </c>
    </row>
    <row r="9448" spans="1:40" x14ac:dyDescent="0.25">
      <c r="A9448" t="str">
        <f>"20190312154138567"</f>
        <v>20190312154138567</v>
      </c>
      <c r="B9448" t="str">
        <f>"1552376498555878"</f>
        <v>1552376498555878</v>
      </c>
      <c r="C9448" t="s">
        <v>40</v>
      </c>
      <c r="D9448">
        <v>4.3839670000000002</v>
      </c>
      <c r="E9448">
        <v>0.35434860000000001</v>
      </c>
      <c r="F9448" t="s">
        <v>69</v>
      </c>
      <c r="G9448">
        <v>-197.197</v>
      </c>
      <c r="H9448" s="1">
        <v>-1.0264150000000001E-5</v>
      </c>
      <c r="I9448">
        <v>-51.090609999999998</v>
      </c>
      <c r="J9448">
        <v>-206.69810000000001</v>
      </c>
      <c r="K9448">
        <v>1.1140620000000001</v>
      </c>
      <c r="L9448">
        <v>-60.484859999999998</v>
      </c>
      <c r="M9448">
        <v>0.93952360000000001</v>
      </c>
      <c r="N9448">
        <v>0</v>
      </c>
      <c r="O9448">
        <v>0.34217769999999997</v>
      </c>
      <c r="P9448">
        <v>0.91680839999999997</v>
      </c>
      <c r="Q9448">
        <v>-2.2115180000000002E-2</v>
      </c>
      <c r="R9448">
        <v>0.39871479999999998</v>
      </c>
      <c r="S9448">
        <v>2.2899780000000001</v>
      </c>
      <c r="T9448">
        <v>-0.26656869999999999</v>
      </c>
      <c r="U9448">
        <v>2.255096</v>
      </c>
      <c r="V9448">
        <v>-6.0822750000000002E-2</v>
      </c>
      <c r="W9448">
        <v>-8.2236819999999995E-3</v>
      </c>
      <c r="X9448">
        <v>0.99811470000000002</v>
      </c>
      <c r="Y9448">
        <v>-0.4151939</v>
      </c>
      <c r="Z9448">
        <v>-1.14193E-2</v>
      </c>
      <c r="AA9448">
        <v>0.90966130000000001</v>
      </c>
      <c r="AB9448">
        <v>16</v>
      </c>
      <c r="AC9448">
        <v>9.5010999999999992</v>
      </c>
      <c r="AD9448">
        <v>-1.11407226415</v>
      </c>
      <c r="AE9448">
        <v>9.3942499999999995</v>
      </c>
      <c r="AF9448">
        <v>-5.5371437448495602</v>
      </c>
      <c r="AG9448">
        <v>-1.11407226415</v>
      </c>
      <c r="AH9448">
        <v>12.058449670465601</v>
      </c>
      <c r="AI9448">
        <v>94.799330287503395</v>
      </c>
      <c r="AJ9448">
        <v>114.664209197148</v>
      </c>
      <c r="AK9448">
        <v>13.315679716635801</v>
      </c>
      <c r="AL9448">
        <v>90.471187584050298</v>
      </c>
      <c r="AM9448">
        <v>93.4871572085964</v>
      </c>
      <c r="AN9448">
        <v>0.99999999510964399</v>
      </c>
    </row>
    <row r="9449" spans="1:40" x14ac:dyDescent="0.25">
      <c r="A9449" t="str">
        <f>"20190312154138578"</f>
        <v>20190312154138578</v>
      </c>
      <c r="B9449" t="str">
        <f>"1552376498575397"</f>
        <v>1552376498575397</v>
      </c>
      <c r="C9449" t="s">
        <v>40</v>
      </c>
      <c r="D9449">
        <v>4.4231509999999998</v>
      </c>
      <c r="E9449">
        <v>0.35511809999999899</v>
      </c>
      <c r="F9449" t="s">
        <v>69</v>
      </c>
      <c r="G9449">
        <v>-197.18690000000001</v>
      </c>
      <c r="H9449" s="1">
        <v>-1.0272410000000001E-5</v>
      </c>
      <c r="I9449">
        <v>-51.06512</v>
      </c>
      <c r="J9449">
        <v>-206.62970000000001</v>
      </c>
      <c r="K9449">
        <v>1.114069</v>
      </c>
      <c r="L9449">
        <v>-60.454680000000003</v>
      </c>
      <c r="M9449">
        <v>0.93801869999999998</v>
      </c>
      <c r="N9449">
        <v>0</v>
      </c>
      <c r="O9449">
        <v>0.34628179999999997</v>
      </c>
      <c r="P9449">
        <v>0.91528869999999896</v>
      </c>
      <c r="Q9449">
        <v>-2.2402470000000001E-2</v>
      </c>
      <c r="R9449">
        <v>0.40217510000000001</v>
      </c>
      <c r="S9449">
        <v>2.2826390000000001</v>
      </c>
      <c r="T9449">
        <v>-0.26737050000000001</v>
      </c>
      <c r="U9449">
        <v>2.2606809999999999</v>
      </c>
      <c r="V9449">
        <v>-6.0229570000000003E-2</v>
      </c>
      <c r="W9449">
        <v>-8.4993940000000004E-3</v>
      </c>
      <c r="X9449">
        <v>0.99814840000000005</v>
      </c>
      <c r="Y9449">
        <v>-0.41381620000000002</v>
      </c>
      <c r="Z9449">
        <v>-1.188795E-2</v>
      </c>
      <c r="AA9449">
        <v>0.91028290000000001</v>
      </c>
      <c r="AB9449">
        <v>16</v>
      </c>
      <c r="AC9449">
        <v>9.4428000000000001</v>
      </c>
      <c r="AD9449">
        <v>-1.1140792724099999</v>
      </c>
      <c r="AE9449">
        <v>9.3895599999999995</v>
      </c>
      <c r="AF9449">
        <v>-5.4997999022076502</v>
      </c>
      <c r="AG9449">
        <v>-1.1140792724099999</v>
      </c>
      <c r="AH9449">
        <v>12.0260544323173</v>
      </c>
      <c r="AI9449">
        <v>94.815618184275493</v>
      </c>
      <c r="AJ9449">
        <v>114.575741971836</v>
      </c>
      <c r="AK9449">
        <v>13.270831051542901</v>
      </c>
      <c r="AL9449">
        <v>90.486985251161201</v>
      </c>
      <c r="AM9449">
        <v>93.453114750835198</v>
      </c>
      <c r="AN9449">
        <v>1.00000003461165</v>
      </c>
    </row>
    <row r="9450" spans="1:40" x14ac:dyDescent="0.25">
      <c r="A9450" t="str">
        <f>"20190312154138589"</f>
        <v>20190312154138589</v>
      </c>
      <c r="B9450" t="str">
        <f>"1552376498585157"</f>
        <v>1552376498585157</v>
      </c>
      <c r="C9450" t="s">
        <v>40</v>
      </c>
      <c r="D9450">
        <v>4.4510290000000001</v>
      </c>
      <c r="E9450">
        <v>0.35555890000000001</v>
      </c>
      <c r="F9450" t="s">
        <v>69</v>
      </c>
      <c r="G9450">
        <v>-197.30080000000001</v>
      </c>
      <c r="H9450" s="1">
        <v>-1.02425399999999E-5</v>
      </c>
      <c r="I9450">
        <v>-51.178559999999997</v>
      </c>
      <c r="J9450">
        <v>-206.55860000000001</v>
      </c>
      <c r="K9450">
        <v>1.1140749999999999</v>
      </c>
      <c r="L9450">
        <v>-60.422669999999997</v>
      </c>
      <c r="M9450">
        <v>0.93642009999999998</v>
      </c>
      <c r="N9450">
        <v>0</v>
      </c>
      <c r="O9450">
        <v>0.35058119999999998</v>
      </c>
      <c r="P9450">
        <v>0.91376769999999996</v>
      </c>
      <c r="Q9450">
        <v>-2.2493289999999999E-2</v>
      </c>
      <c r="R9450">
        <v>0.40561390000000003</v>
      </c>
      <c r="S9450">
        <v>2.2764129999999998</v>
      </c>
      <c r="T9450">
        <v>-0.2718564</v>
      </c>
      <c r="U9450">
        <v>2.26355</v>
      </c>
      <c r="V9450">
        <v>-5.9404209999999999E-2</v>
      </c>
      <c r="W9450">
        <v>-8.5758650000000002E-3</v>
      </c>
      <c r="X9450">
        <v>0.99819720000000001</v>
      </c>
      <c r="Y9450">
        <v>-0.41147080000000003</v>
      </c>
      <c r="Z9450">
        <v>-1.2594889999999999E-2</v>
      </c>
      <c r="AA9450">
        <v>0.91133589999999998</v>
      </c>
      <c r="AB9450">
        <v>15</v>
      </c>
      <c r="AC9450">
        <v>9.2577999999999996</v>
      </c>
      <c r="AD9450">
        <v>-1.1140852425400001</v>
      </c>
      <c r="AE9450">
        <v>9.2441099999999992</v>
      </c>
      <c r="AF9450">
        <v>-5.3723703401081702</v>
      </c>
      <c r="AG9450">
        <v>-1.1140852425400001</v>
      </c>
      <c r="AH9450">
        <v>11.8254995076864</v>
      </c>
      <c r="AI9450">
        <v>94.902478032435795</v>
      </c>
      <c r="AJ9450">
        <v>114.432482727291</v>
      </c>
      <c r="AK9450">
        <v>13.036333365069</v>
      </c>
      <c r="AL9450">
        <v>90.491366879578493</v>
      </c>
      <c r="AM9450">
        <v>93.405740808187204</v>
      </c>
      <c r="AN9450">
        <v>1.00000002785703</v>
      </c>
    </row>
    <row r="9451" spans="1:40" x14ac:dyDescent="0.25">
      <c r="A9451" t="str">
        <f>"20190312154138601"</f>
        <v>20190312154138601</v>
      </c>
      <c r="B9451" t="str">
        <f>"1552376498595892"</f>
        <v>1552376498595892</v>
      </c>
      <c r="C9451" t="s">
        <v>40</v>
      </c>
      <c r="D9451">
        <v>4.3995550000000003</v>
      </c>
      <c r="E9451">
        <v>0.35592679999999999</v>
      </c>
      <c r="F9451" t="s">
        <v>69</v>
      </c>
      <c r="G9451">
        <v>-197.31139999999999</v>
      </c>
      <c r="H9451" s="1">
        <v>-1.02445699999999E-5</v>
      </c>
      <c r="I9451">
        <v>-51.175899999999999</v>
      </c>
      <c r="J9451">
        <v>-206.49010000000001</v>
      </c>
      <c r="K9451">
        <v>1.114082</v>
      </c>
      <c r="L9451">
        <v>-60.391629999999999</v>
      </c>
      <c r="M9451">
        <v>0.93485859999999998</v>
      </c>
      <c r="N9451">
        <v>0</v>
      </c>
      <c r="O9451">
        <v>0.35472399999999998</v>
      </c>
      <c r="P9451">
        <v>0.91217919999999997</v>
      </c>
      <c r="Q9451">
        <v>-2.2652849999999999E-2</v>
      </c>
      <c r="R9451">
        <v>0.4091649</v>
      </c>
      <c r="S9451">
        <v>2.2691650000000001</v>
      </c>
      <c r="T9451">
        <v>-0.27338639999999997</v>
      </c>
      <c r="U9451">
        <v>2.2690730000000001</v>
      </c>
      <c r="V9451">
        <v>-5.8866269999999998E-2</v>
      </c>
      <c r="W9451">
        <v>-8.7242980000000001E-3</v>
      </c>
      <c r="X9451">
        <v>0.9982278</v>
      </c>
      <c r="Y9451">
        <v>-0.41001339999999997</v>
      </c>
      <c r="Z9451">
        <v>-1.311758E-2</v>
      </c>
      <c r="AA9451">
        <v>0.91198520000000005</v>
      </c>
      <c r="AB9451">
        <v>15</v>
      </c>
      <c r="AC9451">
        <v>9.1787000000000099</v>
      </c>
      <c r="AD9451">
        <v>-1.1140922445699999</v>
      </c>
      <c r="AE9451">
        <v>9.2157300000000006</v>
      </c>
      <c r="AF9451">
        <v>-5.3210243591149702</v>
      </c>
      <c r="AG9451">
        <v>-1.1140922445699999</v>
      </c>
      <c r="AH9451">
        <v>11.7647594031124</v>
      </c>
      <c r="AI9451">
        <v>94.931419325784105</v>
      </c>
      <c r="AJ9451">
        <v>114.336526678783</v>
      </c>
      <c r="AK9451">
        <v>12.9600951220593</v>
      </c>
      <c r="AL9451">
        <v>90.4998717729584</v>
      </c>
      <c r="AM9451">
        <v>93.374868222025597</v>
      </c>
      <c r="AN9451">
        <v>1.0000000459060701</v>
      </c>
    </row>
    <row r="9452" spans="1:40" x14ac:dyDescent="0.25">
      <c r="A9452" t="str">
        <f>"20190312154138611"</f>
        <v>20190312154138611</v>
      </c>
      <c r="B9452" t="str">
        <f>"1552376498605653"</f>
        <v>1552376498605653</v>
      </c>
      <c r="C9452" t="s">
        <v>40</v>
      </c>
      <c r="D9452">
        <v>4.4359520000000003</v>
      </c>
      <c r="E9452">
        <v>0.35634900000000003</v>
      </c>
      <c r="F9452" t="s">
        <v>69</v>
      </c>
      <c r="G9452">
        <v>-197.32149999999999</v>
      </c>
      <c r="H9452" s="1">
        <v>-1.024859E-5</v>
      </c>
      <c r="I9452">
        <v>-51.1676</v>
      </c>
      <c r="J9452">
        <v>-206.4205</v>
      </c>
      <c r="K9452">
        <v>1.1140829999999999</v>
      </c>
      <c r="L9452">
        <v>-60.359560000000002</v>
      </c>
      <c r="M9452">
        <v>0.93323829999999997</v>
      </c>
      <c r="N9452">
        <v>0</v>
      </c>
      <c r="O9452">
        <v>0.35896479999999997</v>
      </c>
      <c r="P9452">
        <v>0.91064270000000003</v>
      </c>
      <c r="Q9452">
        <v>-2.2442400000000001E-2</v>
      </c>
      <c r="R9452">
        <v>0.41258489999999998</v>
      </c>
      <c r="S9452">
        <v>2.2614749999999999</v>
      </c>
      <c r="T9452">
        <v>-0.27479559999999997</v>
      </c>
      <c r="U9452">
        <v>2.2751459999999999</v>
      </c>
      <c r="V9452">
        <v>-5.8080989999999999E-2</v>
      </c>
      <c r="W9452">
        <v>-8.5000609999999997E-3</v>
      </c>
      <c r="X9452">
        <v>0.99827569999999999</v>
      </c>
      <c r="Y9452">
        <v>-0.40865400000000002</v>
      </c>
      <c r="Z9452">
        <v>-1.364391E-2</v>
      </c>
      <c r="AA9452">
        <v>0.91258740000000005</v>
      </c>
      <c r="AB9452">
        <v>15</v>
      </c>
      <c r="AC9452">
        <v>9.0990000000000109</v>
      </c>
      <c r="AD9452">
        <v>-1.1140932485899999</v>
      </c>
      <c r="AE9452">
        <v>9.1919599999999893</v>
      </c>
      <c r="AF9452">
        <v>-5.2734997067274296</v>
      </c>
      <c r="AG9452">
        <v>-1.1140932485899999</v>
      </c>
      <c r="AH9452">
        <v>11.705514955662901</v>
      </c>
      <c r="AI9452">
        <v>94.959534847849497</v>
      </c>
      <c r="AJ9452">
        <v>114.252236737069</v>
      </c>
      <c r="AK9452">
        <v>12.8868181992553</v>
      </c>
      <c r="AL9452">
        <v>90.4870234794369</v>
      </c>
      <c r="AM9452">
        <v>93.329789826688696</v>
      </c>
      <c r="AN9452">
        <v>1.0000000128234301</v>
      </c>
    </row>
    <row r="9453" spans="1:40" x14ac:dyDescent="0.25">
      <c r="A9453" t="str">
        <f>"20190312154138623"</f>
        <v>20190312154138623</v>
      </c>
      <c r="B9453" t="str">
        <f>"1552376498615412"</f>
        <v>1552376498615412</v>
      </c>
      <c r="C9453" t="s">
        <v>40</v>
      </c>
      <c r="D9453">
        <v>4.4303809999999997</v>
      </c>
      <c r="E9453">
        <v>0.35676360000000001</v>
      </c>
      <c r="F9453" t="s">
        <v>69</v>
      </c>
      <c r="G9453">
        <v>-197.29640000000001</v>
      </c>
      <c r="H9453" s="1">
        <v>-1.026019E-5</v>
      </c>
      <c r="I9453">
        <v>-51.128810000000001</v>
      </c>
      <c r="J9453">
        <v>-206.3528</v>
      </c>
      <c r="K9453">
        <v>1.1140859999999999</v>
      </c>
      <c r="L9453">
        <v>-60.328029999999998</v>
      </c>
      <c r="M9453">
        <v>0.93163620000000003</v>
      </c>
      <c r="N9453">
        <v>0</v>
      </c>
      <c r="O9453">
        <v>0.36310239999999999</v>
      </c>
      <c r="P9453">
        <v>0.90891250000000001</v>
      </c>
      <c r="Q9453">
        <v>-2.2198039999999999E-2</v>
      </c>
      <c r="R9453">
        <v>0.41639569999999998</v>
      </c>
      <c r="S9453">
        <v>2.254318</v>
      </c>
      <c r="T9453">
        <v>-0.27526250000000002</v>
      </c>
      <c r="U9453">
        <v>2.2806700000000002</v>
      </c>
      <c r="V9453">
        <v>-5.7832620000000001E-2</v>
      </c>
      <c r="W9453">
        <v>-8.2479519999999994E-3</v>
      </c>
      <c r="X9453">
        <v>0.99829219999999996</v>
      </c>
      <c r="Y9453">
        <v>-0.40717330000000002</v>
      </c>
      <c r="Z9453">
        <v>-1.412309E-2</v>
      </c>
      <c r="AA9453">
        <v>0.91324170000000005</v>
      </c>
      <c r="AB9453">
        <v>15</v>
      </c>
      <c r="AC9453">
        <v>9.0563999999999893</v>
      </c>
      <c r="AD9453">
        <v>-1.11409626019</v>
      </c>
      <c r="AE9453">
        <v>9.1992200000000093</v>
      </c>
      <c r="AF9453">
        <v>-5.2434276746753099</v>
      </c>
      <c r="AG9453">
        <v>-1.11409626019</v>
      </c>
      <c r="AH9453">
        <v>11.6916866435992</v>
      </c>
      <c r="AI9453">
        <v>94.969153644186505</v>
      </c>
      <c r="AJ9453">
        <v>114.155035768207</v>
      </c>
      <c r="AK9453">
        <v>12.8619703322872</v>
      </c>
      <c r="AL9453">
        <v>90.472578207583993</v>
      </c>
      <c r="AM9453">
        <v>93.315527902446803</v>
      </c>
      <c r="AN9453">
        <v>0.99999997861454903</v>
      </c>
    </row>
    <row r="9454" spans="1:40" x14ac:dyDescent="0.25">
      <c r="A9454" t="str">
        <f>"20190312154138633"</f>
        <v>20190312154138633</v>
      </c>
      <c r="B9454" t="str">
        <f>"1552376498625173"</f>
        <v>1552376498625173</v>
      </c>
      <c r="C9454" t="s">
        <v>40</v>
      </c>
      <c r="D9454">
        <v>4.4788550000000003</v>
      </c>
      <c r="E9454">
        <v>0.35716759999999997</v>
      </c>
      <c r="F9454" t="s">
        <v>69</v>
      </c>
      <c r="G9454">
        <v>-197.27610000000001</v>
      </c>
      <c r="H9454" s="1">
        <v>-1.0273839999999999E-5</v>
      </c>
      <c r="I9454">
        <v>-51.08569</v>
      </c>
      <c r="J9454">
        <v>-206.2835</v>
      </c>
      <c r="K9454">
        <v>1.11409</v>
      </c>
      <c r="L9454">
        <v>-60.295409999999997</v>
      </c>
      <c r="M9454">
        <v>0.92997050000000003</v>
      </c>
      <c r="N9454">
        <v>0</v>
      </c>
      <c r="O9454">
        <v>0.3673476</v>
      </c>
      <c r="P9454">
        <v>0.90716940000000001</v>
      </c>
      <c r="Q9454">
        <v>-2.197789E-2</v>
      </c>
      <c r="R9454">
        <v>0.42019129999999899</v>
      </c>
      <c r="S9454">
        <v>2.246124</v>
      </c>
      <c r="T9454">
        <v>-0.2756941</v>
      </c>
      <c r="U9454">
        <v>2.2871090000000001</v>
      </c>
      <c r="V9454">
        <v>-5.7452379999999997E-2</v>
      </c>
      <c r="W9454">
        <v>-8.0189990000000006E-3</v>
      </c>
      <c r="X9454">
        <v>0.99831599999999998</v>
      </c>
      <c r="Y9454">
        <v>-0.4059738</v>
      </c>
      <c r="Z9454">
        <v>-1.459973E-2</v>
      </c>
      <c r="AA9454">
        <v>0.91376809999999997</v>
      </c>
      <c r="AB9454">
        <v>15</v>
      </c>
      <c r="AC9454">
        <v>9.0073999999999899</v>
      </c>
      <c r="AD9454">
        <v>-1.1141002738400001</v>
      </c>
      <c r="AE9454">
        <v>9.2097199999999901</v>
      </c>
      <c r="AF9454">
        <v>-5.2174514052170302</v>
      </c>
      <c r="AG9454">
        <v>-1.1141002738400001</v>
      </c>
      <c r="AH9454">
        <v>11.6737112658034</v>
      </c>
      <c r="AI9454">
        <v>94.979619584388502</v>
      </c>
      <c r="AJ9454">
        <v>114.081789828629</v>
      </c>
      <c r="AK9454">
        <v>12.8350517452528</v>
      </c>
      <c r="AL9454">
        <v>90.4594597421777</v>
      </c>
      <c r="AM9454">
        <v>93.293698652503295</v>
      </c>
      <c r="AN9454">
        <v>0.99999995808431197</v>
      </c>
    </row>
    <row r="9455" spans="1:40" x14ac:dyDescent="0.25">
      <c r="A9455" t="str">
        <f>"20190312154138645"</f>
        <v>20190312154138645</v>
      </c>
      <c r="B9455" t="str">
        <f>"1552376498635909"</f>
        <v>1552376498635909</v>
      </c>
      <c r="C9455" t="s">
        <v>40</v>
      </c>
      <c r="D9455">
        <v>4.485595</v>
      </c>
      <c r="E9455">
        <v>0.35761179999999998</v>
      </c>
      <c r="F9455" t="s">
        <v>69</v>
      </c>
      <c r="G9455">
        <v>-197.2663</v>
      </c>
      <c r="H9455" s="1">
        <v>-1.028427E-5</v>
      </c>
      <c r="I9455">
        <v>-51.054299999999998</v>
      </c>
      <c r="J9455">
        <v>-206.21799999999999</v>
      </c>
      <c r="K9455">
        <v>1.1140909999999999</v>
      </c>
      <c r="L9455">
        <v>-60.264069999999997</v>
      </c>
      <c r="M9455">
        <v>0.92836640000000004</v>
      </c>
      <c r="N9455">
        <v>0</v>
      </c>
      <c r="O9455">
        <v>0.3713824</v>
      </c>
      <c r="P9455">
        <v>0.90553039999999996</v>
      </c>
      <c r="Q9455">
        <v>-2.17596E-2</v>
      </c>
      <c r="R9455">
        <v>0.42372310000000002</v>
      </c>
      <c r="S9455">
        <v>2.2379609999999999</v>
      </c>
      <c r="T9455">
        <v>-0.2765048</v>
      </c>
      <c r="U9455">
        <v>2.2935180000000002</v>
      </c>
      <c r="V9455">
        <v>-5.700786E-2</v>
      </c>
      <c r="W9455">
        <v>-7.7922479999999999E-3</v>
      </c>
      <c r="X9455">
        <v>0.99834330000000004</v>
      </c>
      <c r="Y9455">
        <v>-0.40496140000000003</v>
      </c>
      <c r="Z9455">
        <v>-1.507055E-2</v>
      </c>
      <c r="AA9455">
        <v>0.91420959999999996</v>
      </c>
      <c r="AB9455">
        <v>15</v>
      </c>
      <c r="AC9455">
        <v>8.9516999999999793</v>
      </c>
      <c r="AD9455">
        <v>-1.11410128427</v>
      </c>
      <c r="AE9455">
        <v>9.2097700000000007</v>
      </c>
      <c r="AF9455">
        <v>-5.1870573219501699</v>
      </c>
      <c r="AG9455">
        <v>-1.11410128427</v>
      </c>
      <c r="AH9455">
        <v>11.644420566688099</v>
      </c>
      <c r="AI9455">
        <v>94.994833850488106</v>
      </c>
      <c r="AJ9455">
        <v>114.010787778574</v>
      </c>
      <c r="AK9455">
        <v>12.7960664138132</v>
      </c>
      <c r="AL9455">
        <v>90.446467450537696</v>
      </c>
      <c r="AM9455">
        <v>93.268180959447903</v>
      </c>
      <c r="AN9455">
        <v>0.999999979942781</v>
      </c>
    </row>
    <row r="9456" spans="1:40" x14ac:dyDescent="0.25">
      <c r="A9456" t="str">
        <f>"20190312154138655"</f>
        <v>20190312154138655</v>
      </c>
      <c r="B9456" t="str">
        <f>"1552376498645670"</f>
        <v>1552376498645670</v>
      </c>
      <c r="C9456" t="s">
        <v>40</v>
      </c>
      <c r="D9456">
        <v>4.4877409999999998</v>
      </c>
      <c r="E9456">
        <v>0.35799239999999999</v>
      </c>
      <c r="F9456" t="s">
        <v>69</v>
      </c>
      <c r="G9456">
        <v>-197.2559</v>
      </c>
      <c r="H9456" s="1">
        <v>-1.029328E-5</v>
      </c>
      <c r="I9456">
        <v>-51.026649999999997</v>
      </c>
      <c r="J9456">
        <v>-206.15260000000001</v>
      </c>
      <c r="K9456">
        <v>1.1140909999999999</v>
      </c>
      <c r="L9456">
        <v>-60.232570000000003</v>
      </c>
      <c r="M9456">
        <v>0.92674210000000001</v>
      </c>
      <c r="N9456">
        <v>0</v>
      </c>
      <c r="O9456">
        <v>0.3754171</v>
      </c>
      <c r="P9456">
        <v>0.90381369999999905</v>
      </c>
      <c r="Q9456">
        <v>-2.1776469999999999E-2</v>
      </c>
      <c r="R9456">
        <v>0.42737199999999997</v>
      </c>
      <c r="S9456">
        <v>2.2305299999999999</v>
      </c>
      <c r="T9456">
        <v>-0.27728170000000002</v>
      </c>
      <c r="U9456">
        <v>2.299042</v>
      </c>
      <c r="V9456">
        <v>-5.6692720000000002E-2</v>
      </c>
      <c r="W9456">
        <v>-7.8023049999999998E-3</v>
      </c>
      <c r="X9456">
        <v>0.99836119999999995</v>
      </c>
      <c r="Y9456">
        <v>-0.4036188</v>
      </c>
      <c r="Z9456">
        <v>-1.5557980000000001E-2</v>
      </c>
      <c r="AA9456">
        <v>0.91479500000000002</v>
      </c>
      <c r="AB9456">
        <v>15</v>
      </c>
      <c r="AC9456">
        <v>8.8967000000000098</v>
      </c>
      <c r="AD9456">
        <v>-1.1141012932799901</v>
      </c>
      <c r="AE9456">
        <v>9.2059200000000008</v>
      </c>
      <c r="AF9456">
        <v>-5.1530640066356002</v>
      </c>
      <c r="AG9456">
        <v>-1.1141012932799901</v>
      </c>
      <c r="AH9456">
        <v>11.614285998786899</v>
      </c>
      <c r="AI9456">
        <v>95.011004274595706</v>
      </c>
      <c r="AJ9456">
        <v>113.926058768148</v>
      </c>
      <c r="AK9456">
        <v>12.7548786591558</v>
      </c>
      <c r="AL9456">
        <v>90.447043676913793</v>
      </c>
      <c r="AM9456">
        <v>93.250095114238604</v>
      </c>
      <c r="AN9456">
        <v>1.0000000130648701</v>
      </c>
    </row>
    <row r="9457" spans="1:40" x14ac:dyDescent="0.25">
      <c r="A9457" t="str">
        <f>"20190312154138667"</f>
        <v>20190312154138667</v>
      </c>
      <c r="B9457" t="str">
        <f>"1552376498655429"</f>
        <v>1552376498655429</v>
      </c>
      <c r="C9457" t="s">
        <v>40</v>
      </c>
      <c r="D9457">
        <v>4.5035109999999996</v>
      </c>
      <c r="E9457">
        <v>0.35839100000000002</v>
      </c>
      <c r="F9457" t="s">
        <v>69</v>
      </c>
      <c r="G9457">
        <v>-197.24879999999999</v>
      </c>
      <c r="H9457" s="1">
        <v>-1.0303550000000001E-5</v>
      </c>
      <c r="I9457">
        <v>-50.996490000000001</v>
      </c>
      <c r="J9457">
        <v>-206.08590000000001</v>
      </c>
      <c r="K9457">
        <v>1.1140939999999999</v>
      </c>
      <c r="L9457">
        <v>-60.199860000000001</v>
      </c>
      <c r="M9457">
        <v>0.92505349999999997</v>
      </c>
      <c r="N9457">
        <v>0</v>
      </c>
      <c r="O9457">
        <v>0.37955879999999997</v>
      </c>
      <c r="P9457">
        <v>0.90200559999999996</v>
      </c>
      <c r="Q9457">
        <v>-2.203422E-2</v>
      </c>
      <c r="R9457">
        <v>0.43116199999999999</v>
      </c>
      <c r="S9457">
        <v>2.2224430000000002</v>
      </c>
      <c r="T9457">
        <v>-0.27808729999999998</v>
      </c>
      <c r="U9457">
        <v>2.3053889999999999</v>
      </c>
      <c r="V9457">
        <v>-5.641695E-2</v>
      </c>
      <c r="W9457">
        <v>-8.0543109999999998E-3</v>
      </c>
      <c r="X9457">
        <v>0.99837480000000001</v>
      </c>
      <c r="Y9457">
        <v>-0.40246280000000001</v>
      </c>
      <c r="Z9457">
        <v>-1.6050689999999999E-2</v>
      </c>
      <c r="AA9457">
        <v>0.91529559999999999</v>
      </c>
      <c r="AB9457">
        <v>15</v>
      </c>
      <c r="AC9457">
        <v>8.8371000000000102</v>
      </c>
      <c r="AD9457">
        <v>-1.11410430355</v>
      </c>
      <c r="AE9457">
        <v>9.2033699999999996</v>
      </c>
      <c r="AF9457">
        <v>-5.1209113248546902</v>
      </c>
      <c r="AG9457">
        <v>-1.11410430355</v>
      </c>
      <c r="AH9457">
        <v>11.580944315189001</v>
      </c>
      <c r="AI9457">
        <v>95.028146567018993</v>
      </c>
      <c r="AJ9457">
        <v>113.85426008787999</v>
      </c>
      <c r="AK9457">
        <v>12.711539341390599</v>
      </c>
      <c r="AL9457">
        <v>90.461483020183906</v>
      </c>
      <c r="AM9457">
        <v>93.234275379904105</v>
      </c>
      <c r="AN9457">
        <v>0.99999999272401296</v>
      </c>
    </row>
    <row r="9458" spans="1:40" x14ac:dyDescent="0.25">
      <c r="A9458" t="str">
        <f>"20190312154138678"</f>
        <v>20190312154138678</v>
      </c>
      <c r="B9458" t="str">
        <f>"1552376498675925"</f>
        <v>1552376498675925</v>
      </c>
      <c r="C9458" t="s">
        <v>40</v>
      </c>
      <c r="D9458">
        <v>4.5313480000000004</v>
      </c>
      <c r="E9458">
        <v>0.35918050000000001</v>
      </c>
      <c r="F9458" t="s">
        <v>69</v>
      </c>
      <c r="G9458">
        <v>-197.22460000000001</v>
      </c>
      <c r="H9458" s="1">
        <v>-1.031919E-5</v>
      </c>
      <c r="I9458">
        <v>-50.946809999999999</v>
      </c>
      <c r="J9458">
        <v>-206.01859999999999</v>
      </c>
      <c r="K9458">
        <v>1.114098</v>
      </c>
      <c r="L9458">
        <v>-60.166719999999998</v>
      </c>
      <c r="M9458">
        <v>0.92332800000000004</v>
      </c>
      <c r="N9458">
        <v>0</v>
      </c>
      <c r="O9458">
        <v>0.3837372</v>
      </c>
      <c r="P9458">
        <v>0.90027459999999904</v>
      </c>
      <c r="Q9458">
        <v>-2.2480199999999999E-2</v>
      </c>
      <c r="R9458">
        <v>0.43474180000000001</v>
      </c>
      <c r="S9458">
        <v>2.2140049999999998</v>
      </c>
      <c r="T9458">
        <v>-0.27836080000000002</v>
      </c>
      <c r="U9458">
        <v>2.31189</v>
      </c>
      <c r="V9458">
        <v>-5.5869750000000003E-2</v>
      </c>
      <c r="W9458">
        <v>-8.4919439999999995E-3</v>
      </c>
      <c r="X9458">
        <v>0.99840189999999995</v>
      </c>
      <c r="Y9458">
        <v>-0.40136729999999998</v>
      </c>
      <c r="Z9458">
        <v>-1.6516200000000002E-2</v>
      </c>
      <c r="AA9458">
        <v>0.91576829999999998</v>
      </c>
      <c r="AB9458">
        <v>15</v>
      </c>
      <c r="AC9458">
        <v>8.7939999999999792</v>
      </c>
      <c r="AD9458">
        <v>-1.1141083191900001</v>
      </c>
      <c r="AE9458">
        <v>9.2199100000000005</v>
      </c>
      <c r="AF9458">
        <v>-5.0999651365293799</v>
      </c>
      <c r="AG9458">
        <v>-1.1141083191900001</v>
      </c>
      <c r="AH9458">
        <v>11.5705332975957</v>
      </c>
      <c r="AI9458">
        <v>95.035279122141205</v>
      </c>
      <c r="AJ9458">
        <v>113.786533719529</v>
      </c>
      <c r="AK9458">
        <v>12.6936252714295</v>
      </c>
      <c r="AL9458">
        <v>90.486558424355593</v>
      </c>
      <c r="AM9458">
        <v>93.202884330068997</v>
      </c>
      <c r="AN9458">
        <v>0.99999994800078396</v>
      </c>
    </row>
    <row r="9459" spans="1:40" x14ac:dyDescent="0.25">
      <c r="A9459" t="str">
        <f>"20190312154138689"</f>
        <v>20190312154138689</v>
      </c>
      <c r="B9459" t="str">
        <f>"1552376498685685"</f>
        <v>1552376498685685</v>
      </c>
      <c r="C9459" t="s">
        <v>40</v>
      </c>
      <c r="D9459">
        <v>4.5383250000000004</v>
      </c>
      <c r="E9459">
        <v>0.35963250000000002</v>
      </c>
      <c r="F9459" t="s">
        <v>69</v>
      </c>
      <c r="G9459">
        <v>-197.2997</v>
      </c>
      <c r="H9459" s="1">
        <v>-1.0299410000000001E-5</v>
      </c>
      <c r="I9459">
        <v>-51.021850000000001</v>
      </c>
      <c r="J9459">
        <v>-205.95140000000001</v>
      </c>
      <c r="K9459">
        <v>1.1141019999999999</v>
      </c>
      <c r="L9459">
        <v>-60.133029999999998</v>
      </c>
      <c r="M9459">
        <v>0.9215738</v>
      </c>
      <c r="N9459">
        <v>0</v>
      </c>
      <c r="O9459">
        <v>0.38793139999999998</v>
      </c>
      <c r="P9459">
        <v>0.89840810000000004</v>
      </c>
      <c r="Q9459">
        <v>-2.2550569999999999E-2</v>
      </c>
      <c r="R9459">
        <v>0.43858249999999999</v>
      </c>
      <c r="S9459">
        <v>2.2072750000000001</v>
      </c>
      <c r="T9459">
        <v>-0.28204879999999999</v>
      </c>
      <c r="U9459">
        <v>2.3151250000000001</v>
      </c>
      <c r="V9459">
        <v>-5.5594079999999997E-2</v>
      </c>
      <c r="W9459">
        <v>-8.5570049999999995E-3</v>
      </c>
      <c r="X9459">
        <v>0.99841679999999999</v>
      </c>
      <c r="Y9459">
        <v>-0.39925129999999998</v>
      </c>
      <c r="Z9459">
        <v>-1.724506E-2</v>
      </c>
      <c r="AA9459">
        <v>0.91667929999999997</v>
      </c>
      <c r="AB9459">
        <v>15</v>
      </c>
      <c r="AC9459">
        <v>8.6516999999999999</v>
      </c>
      <c r="AD9459">
        <v>-1.1141122994099999</v>
      </c>
      <c r="AE9459">
        <v>9.1111799999999992</v>
      </c>
      <c r="AF9459">
        <v>-5.0015647139050197</v>
      </c>
      <c r="AG9459">
        <v>-1.1141122994099999</v>
      </c>
      <c r="AH9459">
        <v>11.419121966163701</v>
      </c>
      <c r="AI9459">
        <v>95.106897070298999</v>
      </c>
      <c r="AJ9459">
        <v>113.65337368061</v>
      </c>
      <c r="AK9459">
        <v>12.516119297977299</v>
      </c>
      <c r="AL9459">
        <v>90.490286247715204</v>
      </c>
      <c r="AM9459">
        <v>93.187065997417804</v>
      </c>
      <c r="AN9459">
        <v>1.0000000152939199</v>
      </c>
    </row>
    <row r="9460" spans="1:40" x14ac:dyDescent="0.25">
      <c r="A9460" t="str">
        <f>"20190312154138701"</f>
        <v>20190312154138701</v>
      </c>
      <c r="B9460" t="str">
        <f>"1552376498695446"</f>
        <v>1552376498695446</v>
      </c>
      <c r="C9460" t="s">
        <v>40</v>
      </c>
      <c r="D9460">
        <v>4.524464</v>
      </c>
      <c r="E9460">
        <v>0.3600757</v>
      </c>
      <c r="F9460" t="s">
        <v>69</v>
      </c>
      <c r="G9460">
        <v>-197.29159999999999</v>
      </c>
      <c r="H9460" s="1">
        <v>-1.0310139999999999E-5</v>
      </c>
      <c r="I9460">
        <v>-50.990099999999998</v>
      </c>
      <c r="J9460">
        <v>-205.88130000000001</v>
      </c>
      <c r="K9460">
        <v>1.114104</v>
      </c>
      <c r="L9460">
        <v>-60.097560000000001</v>
      </c>
      <c r="M9460">
        <v>0.91971400000000003</v>
      </c>
      <c r="N9460">
        <v>0</v>
      </c>
      <c r="O9460">
        <v>0.39231959999999999</v>
      </c>
      <c r="P9460">
        <v>0.89643510000000004</v>
      </c>
      <c r="Q9460">
        <v>-2.2691469999999998E-2</v>
      </c>
      <c r="R9460">
        <v>0.44259359999999998</v>
      </c>
      <c r="S9460">
        <v>2.1988530000000002</v>
      </c>
      <c r="T9460">
        <v>-0.282887099999999</v>
      </c>
      <c r="U9460">
        <v>2.3215029999999999</v>
      </c>
      <c r="V9460">
        <v>-5.5297890000000002E-2</v>
      </c>
      <c r="W9460">
        <v>-8.6923439999999994E-3</v>
      </c>
      <c r="X9460">
        <v>0.99843199999999999</v>
      </c>
      <c r="Y9460">
        <v>-0.39790829999999999</v>
      </c>
      <c r="Z9460">
        <v>-1.77859E-2</v>
      </c>
      <c r="AA9460">
        <v>0.91725279999999998</v>
      </c>
      <c r="AB9460">
        <v>15</v>
      </c>
      <c r="AC9460">
        <v>8.5897000000000201</v>
      </c>
      <c r="AD9460">
        <v>-1.11411431014</v>
      </c>
      <c r="AE9460">
        <v>9.1074599999999908</v>
      </c>
      <c r="AF9460">
        <v>-4.9675386772806496</v>
      </c>
      <c r="AG9460">
        <v>-1.11411431014</v>
      </c>
      <c r="AH9460">
        <v>11.384156297893</v>
      </c>
      <c r="AI9460">
        <v>95.125583069102305</v>
      </c>
      <c r="AJ9460">
        <v>113.574312322561</v>
      </c>
      <c r="AK9460">
        <v>12.4706337377535</v>
      </c>
      <c r="AL9460">
        <v>90.498040928991998</v>
      </c>
      <c r="AM9460">
        <v>93.170072746229295</v>
      </c>
      <c r="AN9460">
        <v>0.99999993605333104</v>
      </c>
    </row>
    <row r="9461" spans="1:40" x14ac:dyDescent="0.25">
      <c r="A9461" t="str">
        <f>"20190312154138712"</f>
        <v>20190312154138712</v>
      </c>
      <c r="B9461" t="str">
        <f>"1552376498705205"</f>
        <v>1552376498705205</v>
      </c>
      <c r="C9461" t="s">
        <v>40</v>
      </c>
      <c r="D9461">
        <v>4.550853</v>
      </c>
      <c r="E9461">
        <v>0.36053960000000002</v>
      </c>
      <c r="F9461" t="s">
        <v>69</v>
      </c>
      <c r="G9461">
        <v>-197.2928</v>
      </c>
      <c r="H9461" s="1">
        <v>-1.03190899999999E-5</v>
      </c>
      <c r="I9461">
        <v>-50.965809999999998</v>
      </c>
      <c r="J9461">
        <v>-205.81630000000001</v>
      </c>
      <c r="K9461">
        <v>1.114107</v>
      </c>
      <c r="L9461">
        <v>-60.064210000000003</v>
      </c>
      <c r="M9461">
        <v>0.9179602</v>
      </c>
      <c r="N9461">
        <v>0</v>
      </c>
      <c r="O9461">
        <v>0.39640609999999998</v>
      </c>
      <c r="P9461">
        <v>0.89452919999999903</v>
      </c>
      <c r="Q9461">
        <v>-2.2776520000000001E-2</v>
      </c>
      <c r="R9461">
        <v>0.44642920000000003</v>
      </c>
      <c r="S9461">
        <v>2.189835</v>
      </c>
      <c r="T9461">
        <v>-0.28406749999999997</v>
      </c>
      <c r="U9461">
        <v>2.3283390000000002</v>
      </c>
      <c r="V9461">
        <v>-5.513407E-2</v>
      </c>
      <c r="W9461">
        <v>-8.7734660000000006E-3</v>
      </c>
      <c r="X9461">
        <v>0.99844040000000001</v>
      </c>
      <c r="Y9461">
        <v>-0.39707120000000001</v>
      </c>
      <c r="Z9461">
        <v>-1.8299820000000001E-2</v>
      </c>
      <c r="AA9461">
        <v>0.91760529999999996</v>
      </c>
      <c r="AB9461">
        <v>15</v>
      </c>
      <c r="AC9461">
        <v>8.5235000000000092</v>
      </c>
      <c r="AD9461">
        <v>-1.11411731909</v>
      </c>
      <c r="AE9461">
        <v>9.0983999999999892</v>
      </c>
      <c r="AF9461">
        <v>-4.9343220801616896</v>
      </c>
      <c r="AG9461">
        <v>-1.11411731909</v>
      </c>
      <c r="AH9461">
        <v>11.341530311799801</v>
      </c>
      <c r="AI9461">
        <v>95.147173196090506</v>
      </c>
      <c r="AJ9461">
        <v>113.51225332778699</v>
      </c>
      <c r="AK9461">
        <v>12.4184983635277</v>
      </c>
      <c r="AL9461">
        <v>90.502689029720003</v>
      </c>
      <c r="AM9461">
        <v>93.160673937583795</v>
      </c>
      <c r="AN9461">
        <v>0.99999998586628902</v>
      </c>
    </row>
    <row r="9462" spans="1:40" x14ac:dyDescent="0.25">
      <c r="A9462" t="str">
        <f>"20190312154138723"</f>
        <v>20190312154138723</v>
      </c>
      <c r="B9462" t="str">
        <f>"1552376498715941"</f>
        <v>1552376498715941</v>
      </c>
      <c r="C9462" t="s">
        <v>40</v>
      </c>
      <c r="D9462">
        <v>4.5043530000000001</v>
      </c>
      <c r="E9462">
        <v>0.36096289999999998</v>
      </c>
      <c r="F9462" t="s">
        <v>69</v>
      </c>
      <c r="G9462">
        <v>-197.298</v>
      </c>
      <c r="H9462" s="1">
        <v>-1.032616E-5</v>
      </c>
      <c r="I9462">
        <v>-50.947809999999997</v>
      </c>
      <c r="J9462">
        <v>-205.74930000000001</v>
      </c>
      <c r="K9462">
        <v>1.1141099999999999</v>
      </c>
      <c r="L9462">
        <v>-60.029420000000002</v>
      </c>
      <c r="M9462">
        <v>0.9161224</v>
      </c>
      <c r="N9462">
        <v>0</v>
      </c>
      <c r="O9462">
        <v>0.40063510000000002</v>
      </c>
      <c r="P9462">
        <v>0.89261740000000001</v>
      </c>
      <c r="Q9462">
        <v>-2.294498E-2</v>
      </c>
      <c r="R9462">
        <v>0.45023079999999999</v>
      </c>
      <c r="S9462">
        <v>2.1813660000000001</v>
      </c>
      <c r="T9462">
        <v>-0.285304</v>
      </c>
      <c r="U9462">
        <v>2.3345340000000001</v>
      </c>
      <c r="V9462">
        <v>-5.4777869999999999E-2</v>
      </c>
      <c r="W9462">
        <v>-8.9361000000000006E-3</v>
      </c>
      <c r="X9462">
        <v>0.99845859999999997</v>
      </c>
      <c r="Y9462">
        <v>-0.3958467</v>
      </c>
      <c r="Z9462">
        <v>-1.8853709999999999E-2</v>
      </c>
      <c r="AA9462">
        <v>0.91812309999999997</v>
      </c>
      <c r="AB9462">
        <v>15</v>
      </c>
      <c r="AC9462">
        <v>8.4512999999999998</v>
      </c>
      <c r="AD9462">
        <v>-1.1141203261599999</v>
      </c>
      <c r="AE9462">
        <v>9.0816099999999906</v>
      </c>
      <c r="AF9462">
        <v>-4.8950199644068801</v>
      </c>
      <c r="AG9462">
        <v>-1.1141203261599999</v>
      </c>
      <c r="AH9462">
        <v>11.290973266415101</v>
      </c>
      <c r="AI9462">
        <v>95.172990300740494</v>
      </c>
      <c r="AJ9462">
        <v>113.43836823058101</v>
      </c>
      <c r="AK9462">
        <v>12.356721323069699</v>
      </c>
      <c r="AL9462">
        <v>90.512007618281302</v>
      </c>
      <c r="AM9462">
        <v>93.140237914806903</v>
      </c>
      <c r="AN9462">
        <v>1.0000000224194501</v>
      </c>
    </row>
    <row r="9463" spans="1:40" x14ac:dyDescent="0.25">
      <c r="A9463" t="str">
        <f>"20190312154138735"</f>
        <v>20190312154138735</v>
      </c>
      <c r="B9463" t="str">
        <f>"1552376498725702"</f>
        <v>1552376498725702</v>
      </c>
      <c r="C9463" t="s">
        <v>40</v>
      </c>
      <c r="D9463">
        <v>4.5474670000000001</v>
      </c>
      <c r="E9463">
        <v>0.36096289999999998</v>
      </c>
      <c r="F9463" t="s">
        <v>69</v>
      </c>
      <c r="G9463">
        <v>-197.3047</v>
      </c>
      <c r="H9463" s="1">
        <v>-1.0332689999999999E-5</v>
      </c>
      <c r="I9463">
        <v>-50.931699999999999</v>
      </c>
      <c r="J9463">
        <v>-205.68090000000001</v>
      </c>
      <c r="K9463">
        <v>1.1141110000000001</v>
      </c>
      <c r="L9463">
        <v>-59.9936199999999</v>
      </c>
      <c r="M9463">
        <v>0.91422130000000001</v>
      </c>
      <c r="N9463">
        <v>0</v>
      </c>
      <c r="O9463">
        <v>0.40495429999999999</v>
      </c>
      <c r="P9463">
        <v>0.89058969999999904</v>
      </c>
      <c r="Q9463">
        <v>-2.2825419999999999E-2</v>
      </c>
      <c r="R9463">
        <v>0.454235</v>
      </c>
      <c r="S9463">
        <v>2.172806</v>
      </c>
      <c r="T9463">
        <v>-0.28666779999999997</v>
      </c>
      <c r="U9463">
        <v>2.340881</v>
      </c>
      <c r="V9463">
        <v>-5.4549880000000002E-2</v>
      </c>
      <c r="W9463">
        <v>-8.8119770000000004E-3</v>
      </c>
      <c r="X9463">
        <v>0.99847220000000003</v>
      </c>
      <c r="Y9463">
        <v>-0.39457409999999998</v>
      </c>
      <c r="Z9463">
        <v>-1.9431339999999998E-2</v>
      </c>
      <c r="AA9463">
        <v>0.91865859999999999</v>
      </c>
      <c r="AB9463">
        <v>15</v>
      </c>
      <c r="AC9463">
        <v>8.3762000000000096</v>
      </c>
      <c r="AD9463">
        <v>-1.1141213326899999</v>
      </c>
      <c r="AE9463">
        <v>9.06191999999999</v>
      </c>
      <c r="AF9463">
        <v>-4.8535766261450304</v>
      </c>
      <c r="AG9463">
        <v>-1.1141213326899999</v>
      </c>
      <c r="AH9463">
        <v>11.236966176545099</v>
      </c>
      <c r="AI9463">
        <v>95.200745374974105</v>
      </c>
      <c r="AJ9463">
        <v>113.360937928342</v>
      </c>
      <c r="AK9463">
        <v>12.290967466503</v>
      </c>
      <c r="AL9463">
        <v>90.504895606867194</v>
      </c>
      <c r="AM9463">
        <v>93.127151471059307</v>
      </c>
      <c r="AN9463">
        <v>1.00000003725975</v>
      </c>
    </row>
    <row r="9464" spans="1:40" x14ac:dyDescent="0.25">
      <c r="A9464" t="str">
        <f>"20190312154138746"</f>
        <v>20190312154138746</v>
      </c>
      <c r="B9464" t="str">
        <f>"1552376498735461"</f>
        <v>1552376498735461</v>
      </c>
      <c r="C9464" t="s">
        <v>40</v>
      </c>
      <c r="D9464">
        <v>4.5150680000000003</v>
      </c>
      <c r="E9464">
        <v>0.38274930000000001</v>
      </c>
      <c r="F9464" t="s">
        <v>69</v>
      </c>
      <c r="G9464">
        <v>-197.24029999999999</v>
      </c>
      <c r="H9464" s="1">
        <v>-1.0368040000000001E-5</v>
      </c>
      <c r="I9464">
        <v>-50.816780000000001</v>
      </c>
      <c r="J9464">
        <v>-205.61670000000001</v>
      </c>
      <c r="K9464">
        <v>1.114114</v>
      </c>
      <c r="L9464">
        <v>-59.959409999999998</v>
      </c>
      <c r="M9464">
        <v>0.91240160000000003</v>
      </c>
      <c r="N9464">
        <v>0</v>
      </c>
      <c r="O9464">
        <v>0.40903780000000001</v>
      </c>
      <c r="P9464">
        <v>0.88877139999999999</v>
      </c>
      <c r="Q9464">
        <v>-2.2662990000000001E-2</v>
      </c>
      <c r="R9464">
        <v>0.45779029999999998</v>
      </c>
      <c r="S9464">
        <v>2.1622309999999998</v>
      </c>
      <c r="T9464">
        <v>-0.2854042</v>
      </c>
      <c r="U9464">
        <v>2.3508300000000002</v>
      </c>
      <c r="V9464">
        <v>-5.4075270000000002E-2</v>
      </c>
      <c r="W9464">
        <v>-8.6428630000000006E-3</v>
      </c>
      <c r="X9464">
        <v>0.99849949999999998</v>
      </c>
      <c r="Y9464">
        <v>-0.39465499999999998</v>
      </c>
      <c r="Z9464">
        <v>-1.9738840000000001E-2</v>
      </c>
      <c r="AA9464">
        <v>0.91861729999999997</v>
      </c>
      <c r="AB9464">
        <v>15</v>
      </c>
      <c r="AC9464">
        <v>8.3764000000000092</v>
      </c>
      <c r="AD9464">
        <v>-1.1141243680399999</v>
      </c>
      <c r="AE9464">
        <v>9.1426299999999898</v>
      </c>
      <c r="AF9464">
        <v>-4.8766354649568298</v>
      </c>
      <c r="AG9464">
        <v>-1.1141243680399999</v>
      </c>
      <c r="AH9464">
        <v>11.2923595175227</v>
      </c>
      <c r="AI9464">
        <v>95.175530513342693</v>
      </c>
      <c r="AJ9464">
        <v>113.357229697468</v>
      </c>
      <c r="AK9464">
        <v>12.3507177944653</v>
      </c>
      <c r="AL9464">
        <v>90.495205717028298</v>
      </c>
      <c r="AM9464">
        <v>93.099912467513207</v>
      </c>
      <c r="AN9464">
        <v>1.00000004270332</v>
      </c>
    </row>
    <row r="9465" spans="1:40" x14ac:dyDescent="0.25">
      <c r="A9465" t="str">
        <f>"20190312154138756"</f>
        <v>20190312154138756</v>
      </c>
      <c r="B9465" t="str">
        <f>"1552376498745221"</f>
        <v>1552376498745221</v>
      </c>
      <c r="C9465" t="s">
        <v>40</v>
      </c>
      <c r="D9465">
        <v>4.5175020000000004</v>
      </c>
      <c r="E9465">
        <v>0.38296930000000001</v>
      </c>
      <c r="F9465" t="s">
        <v>69</v>
      </c>
      <c r="G9465">
        <v>-198.3681</v>
      </c>
      <c r="H9465" s="1">
        <v>-9.7721450000000006E-6</v>
      </c>
      <c r="I9465">
        <v>-52.793950000000002</v>
      </c>
      <c r="J9465">
        <v>-205.55359999999999</v>
      </c>
      <c r="K9465">
        <v>1.1141129999999999</v>
      </c>
      <c r="L9465">
        <v>-59.925719999999998</v>
      </c>
      <c r="M9465">
        <v>0.9105936</v>
      </c>
      <c r="N9465">
        <v>0</v>
      </c>
      <c r="O9465">
        <v>0.4130471</v>
      </c>
      <c r="P9465">
        <v>0.88702139999999996</v>
      </c>
      <c r="Q9465">
        <v>-2.2541160000000001E-2</v>
      </c>
      <c r="R9465">
        <v>0.46117799999999998</v>
      </c>
      <c r="S9465">
        <v>2.23082</v>
      </c>
      <c r="T9465">
        <v>-0.34288109999999999</v>
      </c>
      <c r="U9465">
        <v>2.2052309999999999</v>
      </c>
      <c r="V9465">
        <v>-5.3493020000000002E-2</v>
      </c>
      <c r="W9465">
        <v>-8.5133440000000008E-3</v>
      </c>
      <c r="X9465">
        <v>0.99853190000000003</v>
      </c>
      <c r="Y9465">
        <v>-0.34669749999999999</v>
      </c>
      <c r="Z9465">
        <v>-2.725166E-2</v>
      </c>
      <c r="AA9465">
        <v>0.93758109999999995</v>
      </c>
      <c r="AB9465">
        <v>15</v>
      </c>
      <c r="AC9465">
        <v>7.1854999999999896</v>
      </c>
      <c r="AD9465">
        <v>-1.114122772145</v>
      </c>
      <c r="AE9465">
        <v>7.1317699999999897</v>
      </c>
      <c r="AF9465">
        <v>-3.4843687652839601</v>
      </c>
      <c r="AG9465">
        <v>-1.114122772145</v>
      </c>
      <c r="AH9465">
        <v>9.3762769471978302</v>
      </c>
      <c r="AI9465">
        <v>96.355490632152893</v>
      </c>
      <c r="AJ9465">
        <v>110.385840614738</v>
      </c>
      <c r="AK9465">
        <v>10.0646244159656</v>
      </c>
      <c r="AL9465">
        <v>90.487784588783398</v>
      </c>
      <c r="AM9465">
        <v>93.066499212487201</v>
      </c>
      <c r="AN9465">
        <v>0.99999996776619504</v>
      </c>
    </row>
    <row r="9466" spans="1:40" x14ac:dyDescent="0.25">
      <c r="A9466" t="str">
        <f>"20190312154138768"</f>
        <v>20190312154138768</v>
      </c>
      <c r="B9466" t="str">
        <f>"1552376498765717"</f>
        <v>1552376498765717</v>
      </c>
      <c r="C9466" t="s">
        <v>40</v>
      </c>
      <c r="D9466">
        <v>4.5230649999999999</v>
      </c>
      <c r="E9466">
        <v>0.38422240000000002</v>
      </c>
      <c r="F9466" t="s">
        <v>69</v>
      </c>
      <c r="G9466">
        <v>-198.2842</v>
      </c>
      <c r="H9466" s="1">
        <v>-9.798619E-6</v>
      </c>
      <c r="I9466">
        <v>-52.691650000000003</v>
      </c>
      <c r="J9466">
        <v>-205.489</v>
      </c>
      <c r="K9466">
        <v>1.1141129999999999</v>
      </c>
      <c r="L9466">
        <v>-59.890439999999998</v>
      </c>
      <c r="M9466">
        <v>0.90870550000000005</v>
      </c>
      <c r="N9466">
        <v>0</v>
      </c>
      <c r="O9466">
        <v>0.41718440000000001</v>
      </c>
      <c r="P9466">
        <v>0.88527789999999995</v>
      </c>
      <c r="Q9466">
        <v>-2.247207E-2</v>
      </c>
      <c r="R9466">
        <v>0.46451920000000002</v>
      </c>
      <c r="S9466">
        <v>2.2231749999999999</v>
      </c>
      <c r="T9466">
        <v>-0.34072829999999998</v>
      </c>
      <c r="U9466">
        <v>2.2123719999999998</v>
      </c>
      <c r="V9466">
        <v>-5.271646E-2</v>
      </c>
      <c r="W9466">
        <v>-8.4348749999999997E-3</v>
      </c>
      <c r="X9466">
        <v>0.99857390000000001</v>
      </c>
      <c r="Y9466">
        <v>-0.3455782</v>
      </c>
      <c r="Z9466">
        <v>-2.7629870000000001E-2</v>
      </c>
      <c r="AA9466">
        <v>0.93798309999999996</v>
      </c>
      <c r="AB9466">
        <v>15</v>
      </c>
      <c r="AC9466">
        <v>7.2047999999999996</v>
      </c>
      <c r="AD9466">
        <v>-1.1141227986190001</v>
      </c>
      <c r="AE9466">
        <v>7.1987899999999998</v>
      </c>
      <c r="AF9466">
        <v>-3.49440922567624</v>
      </c>
      <c r="AG9466">
        <v>-1.1141227986190001</v>
      </c>
      <c r="AH9466">
        <v>9.4383337857808591</v>
      </c>
      <c r="AI9466">
        <v>96.316860070680406</v>
      </c>
      <c r="AJ9466">
        <v>110.31635717766601</v>
      </c>
      <c r="AK9466">
        <v>10.1259226788824</v>
      </c>
      <c r="AL9466">
        <v>90.4832884676417</v>
      </c>
      <c r="AM9466">
        <v>93.021938990442905</v>
      </c>
      <c r="AN9466">
        <v>1.0000000030162</v>
      </c>
    </row>
    <row r="9467" spans="1:40" x14ac:dyDescent="0.25">
      <c r="A9467" t="str">
        <f>"20190312154138779"</f>
        <v>20190312154138779</v>
      </c>
      <c r="B9467" t="str">
        <f>"1552376498775477"</f>
        <v>1552376498775477</v>
      </c>
      <c r="C9467" t="s">
        <v>40</v>
      </c>
      <c r="D9467">
        <v>4.5349380000000004</v>
      </c>
      <c r="E9467">
        <v>0.38454670000000002</v>
      </c>
      <c r="F9467" t="s">
        <v>69</v>
      </c>
      <c r="G9467">
        <v>-197.63489999999999</v>
      </c>
      <c r="H9467" s="1">
        <v>-9.9536469999999993E-6</v>
      </c>
      <c r="I9467">
        <v>-52.064900000000002</v>
      </c>
      <c r="J9467">
        <v>-205.4239</v>
      </c>
      <c r="K9467">
        <v>1.114114</v>
      </c>
      <c r="L9467">
        <v>-59.85483</v>
      </c>
      <c r="M9467">
        <v>0.90678170000000002</v>
      </c>
      <c r="N9467">
        <v>0</v>
      </c>
      <c r="O9467">
        <v>0.42134919999999998</v>
      </c>
      <c r="P9467">
        <v>0.88353230000000005</v>
      </c>
      <c r="Q9467">
        <v>-2.245368E-2</v>
      </c>
      <c r="R9467">
        <v>0.46783160000000001</v>
      </c>
      <c r="S9467">
        <v>2.2201080000000002</v>
      </c>
      <c r="T9467">
        <v>-0.31492759999999997</v>
      </c>
      <c r="U9467">
        <v>2.2120359999999999</v>
      </c>
      <c r="V9467">
        <v>-5.1875560000000001E-2</v>
      </c>
      <c r="W9467">
        <v>-8.4065129999999991E-3</v>
      </c>
      <c r="X9467">
        <v>0.99861820000000001</v>
      </c>
      <c r="Y9467">
        <v>-0.34184039999999999</v>
      </c>
      <c r="Z9467">
        <v>-2.6207769999999998E-2</v>
      </c>
      <c r="AA9467">
        <v>0.93939249999999996</v>
      </c>
      <c r="AB9467">
        <v>15</v>
      </c>
      <c r="AC9467">
        <v>7.7890000000000104</v>
      </c>
      <c r="AD9467">
        <v>-1.114123953647</v>
      </c>
      <c r="AE9467">
        <v>7.78993</v>
      </c>
      <c r="AF9467">
        <v>-3.7439814346006299</v>
      </c>
      <c r="AG9467">
        <v>-1.114123953647</v>
      </c>
      <c r="AH9467">
        <v>10.241541195154101</v>
      </c>
      <c r="AI9467">
        <v>95.833763456152695</v>
      </c>
      <c r="AJ9467">
        <v>110.080803336504</v>
      </c>
      <c r="AK9467">
        <v>10.9611967968266</v>
      </c>
      <c r="AL9467">
        <v>90.481663375926303</v>
      </c>
      <c r="AM9467">
        <v>92.973690448389505</v>
      </c>
      <c r="AN9467">
        <v>1.0000000262786799</v>
      </c>
    </row>
    <row r="9468" spans="1:40" x14ac:dyDescent="0.25">
      <c r="A9468" t="str">
        <f>"20190312154138791"</f>
        <v>20190312154138791</v>
      </c>
      <c r="B9468" t="str">
        <f>"1552376498785241"</f>
        <v>1552376498785241</v>
      </c>
      <c r="C9468" t="s">
        <v>40</v>
      </c>
      <c r="D9468">
        <v>4.563345</v>
      </c>
      <c r="E9468">
        <v>0.38461400000000001</v>
      </c>
      <c r="F9468" t="s">
        <v>69</v>
      </c>
      <c r="G9468">
        <v>-197.37549999999999</v>
      </c>
      <c r="H9468" s="1">
        <v>-1.002834E-5</v>
      </c>
      <c r="I9468">
        <v>-51.788229999999999</v>
      </c>
      <c r="J9468">
        <v>-205.3535</v>
      </c>
      <c r="K9468">
        <v>1.1141129999999999</v>
      </c>
      <c r="L9468">
        <v>-59.815640000000002</v>
      </c>
      <c r="M9468">
        <v>0.90466409999999997</v>
      </c>
      <c r="N9468">
        <v>0</v>
      </c>
      <c r="O9468">
        <v>0.42587700000000001</v>
      </c>
      <c r="P9468">
        <v>0.88147869999999995</v>
      </c>
      <c r="Q9468">
        <v>-2.25718E-2</v>
      </c>
      <c r="R9468">
        <v>0.4716841</v>
      </c>
      <c r="S9468">
        <v>2.2131500000000002</v>
      </c>
      <c r="T9468">
        <v>-0.30636419999999998</v>
      </c>
      <c r="U9468">
        <v>2.2181700000000002</v>
      </c>
      <c r="V9468">
        <v>-5.1243129999999998E-2</v>
      </c>
      <c r="W9468">
        <v>-8.5169110000000003E-3</v>
      </c>
      <c r="X9468">
        <v>0.99864989999999998</v>
      </c>
      <c r="Y9468">
        <v>-0.33992800000000001</v>
      </c>
      <c r="Z9468">
        <v>-2.6073969999999998E-2</v>
      </c>
      <c r="AA9468">
        <v>0.94008990000000003</v>
      </c>
      <c r="AB9468">
        <v>15</v>
      </c>
      <c r="AC9468">
        <v>7.9779999999999998</v>
      </c>
      <c r="AD9468">
        <v>-1.1141230283400001</v>
      </c>
      <c r="AE9468">
        <v>8.0274099999999997</v>
      </c>
      <c r="AF9468">
        <v>-3.8277778159012801</v>
      </c>
      <c r="AG9468">
        <v>-1.1141230283400001</v>
      </c>
      <c r="AH9468">
        <v>10.535131606884899</v>
      </c>
      <c r="AI9468">
        <v>95.676310942436402</v>
      </c>
      <c r="AJ9468">
        <v>109.96783444434099</v>
      </c>
      <c r="AK9468">
        <v>11.264197756812001</v>
      </c>
      <c r="AL9468">
        <v>90.487988949899801</v>
      </c>
      <c r="AM9468">
        <v>92.937408129443597</v>
      </c>
      <c r="AN9468">
        <v>1.00000000945759</v>
      </c>
    </row>
    <row r="9469" spans="1:40" x14ac:dyDescent="0.25">
      <c r="A9469" t="str">
        <f>"20190312154138801"</f>
        <v>20190312154138801</v>
      </c>
      <c r="B9469" t="str">
        <f>"1552376498794997"</f>
        <v>1552376498794997</v>
      </c>
      <c r="C9469" t="s">
        <v>40</v>
      </c>
      <c r="D9469">
        <v>4.4866400000000004</v>
      </c>
      <c r="E9469">
        <v>0.38484629999999997</v>
      </c>
      <c r="F9469" t="s">
        <v>69</v>
      </c>
      <c r="G9469">
        <v>-197.18450000000001</v>
      </c>
      <c r="H9469" s="1">
        <v>-1.0092870000000001E-5</v>
      </c>
      <c r="I9469">
        <v>-51.558250000000001</v>
      </c>
      <c r="J9469">
        <v>-205.2929</v>
      </c>
      <c r="K9469">
        <v>1.1141110000000001</v>
      </c>
      <c r="L9469">
        <v>-59.781619999999997</v>
      </c>
      <c r="M9469">
        <v>0.90281549999999999</v>
      </c>
      <c r="N9469">
        <v>0</v>
      </c>
      <c r="O9469">
        <v>0.429782</v>
      </c>
      <c r="P9469">
        <v>0.87973609999999902</v>
      </c>
      <c r="Q9469">
        <v>-2.2499999999999999E-2</v>
      </c>
      <c r="R9469">
        <v>0.47492980000000001</v>
      </c>
      <c r="S9469">
        <v>2.2037049999999998</v>
      </c>
      <c r="T9469">
        <v>-0.30054910000000001</v>
      </c>
      <c r="U9469">
        <v>2.2275390000000002</v>
      </c>
      <c r="V9469">
        <v>-5.060887E-2</v>
      </c>
      <c r="W9469">
        <v>-8.4376079999999992E-3</v>
      </c>
      <c r="X9469">
        <v>0.99868290000000004</v>
      </c>
      <c r="Y9469">
        <v>-0.3398603</v>
      </c>
      <c r="Z9469">
        <v>-2.5989350000000001E-2</v>
      </c>
      <c r="AA9469">
        <v>0.94011679999999997</v>
      </c>
      <c r="AB9469">
        <v>15</v>
      </c>
      <c r="AC9469">
        <v>8.1083999999999801</v>
      </c>
      <c r="AD9469">
        <v>-1.1141210928700001</v>
      </c>
      <c r="AE9469">
        <v>8.2233699999999903</v>
      </c>
      <c r="AF9469">
        <v>-3.9034294184084102</v>
      </c>
      <c r="AG9469">
        <v>-1.1141210928700001</v>
      </c>
      <c r="AH9469">
        <v>10.755691697830301</v>
      </c>
      <c r="AI9469">
        <v>95.561377334114496</v>
      </c>
      <c r="AJ9469">
        <v>109.94672371895</v>
      </c>
      <c r="AK9469">
        <v>11.496213765098901</v>
      </c>
      <c r="AL9469">
        <v>90.483445067493093</v>
      </c>
      <c r="AM9469">
        <v>92.9010172654244</v>
      </c>
      <c r="AN9469">
        <v>0.99999999285192398</v>
      </c>
    </row>
    <row r="9470" spans="1:40" x14ac:dyDescent="0.25">
      <c r="A9470" t="str">
        <f>"20190312154138813"</f>
        <v>20190312154138813</v>
      </c>
      <c r="B9470" t="str">
        <f>"1552376498805734"</f>
        <v>1552376498805734</v>
      </c>
      <c r="C9470" t="s">
        <v>40</v>
      </c>
      <c r="D9470">
        <v>4.5109050000000002</v>
      </c>
      <c r="E9470">
        <v>0.3850963</v>
      </c>
      <c r="F9470" t="s">
        <v>69</v>
      </c>
      <c r="G9470">
        <v>-197.03030000000001</v>
      </c>
      <c r="H9470" s="1">
        <v>-1.0143310000000001E-5</v>
      </c>
      <c r="I9470">
        <v>-51.37717</v>
      </c>
      <c r="J9470">
        <v>-205.22909999999999</v>
      </c>
      <c r="K9470">
        <v>1.1141110000000001</v>
      </c>
      <c r="L9470">
        <v>-59.745359999999998</v>
      </c>
      <c r="M9470">
        <v>0.9008408</v>
      </c>
      <c r="N9470">
        <v>0</v>
      </c>
      <c r="O9470">
        <v>0.43390580000000001</v>
      </c>
      <c r="P9470">
        <v>0.87791319999999995</v>
      </c>
      <c r="Q9470">
        <v>-2.248205E-2</v>
      </c>
      <c r="R9470">
        <v>0.47829179999999999</v>
      </c>
      <c r="S9470">
        <v>2.1964260000000002</v>
      </c>
      <c r="T9470">
        <v>-0.29616379999999998</v>
      </c>
      <c r="U9470">
        <v>2.2341310000000001</v>
      </c>
      <c r="V9470">
        <v>-4.9862660000000003E-2</v>
      </c>
      <c r="W9470">
        <v>-8.4110969999999993E-3</v>
      </c>
      <c r="X9470">
        <v>0.99872059999999996</v>
      </c>
      <c r="Y9470">
        <v>-0.33851500000000001</v>
      </c>
      <c r="Z9470">
        <v>-2.6099310000000001E-2</v>
      </c>
      <c r="AA9470">
        <v>0.94059899999999996</v>
      </c>
      <c r="AB9470">
        <v>15</v>
      </c>
      <c r="AC9470">
        <v>8.1987999999999701</v>
      </c>
      <c r="AD9470">
        <v>-1.11412114331</v>
      </c>
      <c r="AE9470">
        <v>8.3681899999999896</v>
      </c>
      <c r="AF9470">
        <v>-3.94563689066936</v>
      </c>
      <c r="AG9470">
        <v>-1.11412114331</v>
      </c>
      <c r="AH9470">
        <v>10.919231638769601</v>
      </c>
      <c r="AI9470">
        <v>95.481331877830897</v>
      </c>
      <c r="AJ9470">
        <v>109.86719436574499</v>
      </c>
      <c r="AK9470">
        <v>11.6635730364279</v>
      </c>
      <c r="AL9470">
        <v>90.481926073463896</v>
      </c>
      <c r="AM9470">
        <v>92.8582065308713</v>
      </c>
      <c r="AN9470">
        <v>0.99999993413968702</v>
      </c>
    </row>
    <row r="9471" spans="1:40" x14ac:dyDescent="0.25">
      <c r="A9471" t="str">
        <f>"20190312154138824"</f>
        <v>20190312154138824</v>
      </c>
      <c r="B9471" t="str">
        <f>"1552376498815494"</f>
        <v>1552376498815494</v>
      </c>
      <c r="C9471" t="s">
        <v>40</v>
      </c>
      <c r="D9471">
        <v>4.5109389999999996</v>
      </c>
      <c r="E9471">
        <v>0.38530229999999999</v>
      </c>
      <c r="F9471" t="s">
        <v>69</v>
      </c>
      <c r="G9471">
        <v>-197.0051</v>
      </c>
      <c r="H9471" s="1">
        <v>-1.015914E-5</v>
      </c>
      <c r="I9471">
        <v>-51.32667</v>
      </c>
      <c r="J9471">
        <v>-205.1671</v>
      </c>
      <c r="K9471">
        <v>1.114107</v>
      </c>
      <c r="L9471">
        <v>-59.70975</v>
      </c>
      <c r="M9471">
        <v>0.89889569999999996</v>
      </c>
      <c r="N9471">
        <v>0</v>
      </c>
      <c r="O9471">
        <v>0.4379208</v>
      </c>
      <c r="P9471">
        <v>0.8759207</v>
      </c>
      <c r="Q9471">
        <v>-2.2192280000000002E-2</v>
      </c>
      <c r="R9471">
        <v>0.4819444</v>
      </c>
      <c r="S9471">
        <v>2.1888730000000001</v>
      </c>
      <c r="T9471">
        <v>-0.29653099999999999</v>
      </c>
      <c r="U9471">
        <v>2.2406920000000001</v>
      </c>
      <c r="V9471">
        <v>-4.9566079999999998E-2</v>
      </c>
      <c r="W9471">
        <v>-8.1173970000000002E-3</v>
      </c>
      <c r="X9471">
        <v>0.99873789999999996</v>
      </c>
      <c r="Y9471">
        <v>-0.33733429999999998</v>
      </c>
      <c r="Z9471">
        <v>-2.6602210000000001E-2</v>
      </c>
      <c r="AA9471">
        <v>0.94100899999999998</v>
      </c>
      <c r="AB9471">
        <v>15</v>
      </c>
      <c r="AC9471">
        <v>8.1620000000000008</v>
      </c>
      <c r="AD9471">
        <v>-1.1141171591400001</v>
      </c>
      <c r="AE9471">
        <v>8.3830799999999996</v>
      </c>
      <c r="AF9471">
        <v>-3.9260264057731402</v>
      </c>
      <c r="AG9471">
        <v>-1.1141171591400001</v>
      </c>
      <c r="AH9471">
        <v>10.910152962462201</v>
      </c>
      <c r="AI9471">
        <v>95.488450557213199</v>
      </c>
      <c r="AJ9471">
        <v>109.791304218812</v>
      </c>
      <c r="AK9471">
        <v>11.6484495984419</v>
      </c>
      <c r="AL9471">
        <v>90.465097677630197</v>
      </c>
      <c r="AM9471">
        <v>92.841184900847495</v>
      </c>
      <c r="AN9471">
        <v>1.0000000406585099</v>
      </c>
    </row>
    <row r="9472" spans="1:40" x14ac:dyDescent="0.25">
      <c r="A9472" t="str">
        <f>"20190312154138835"</f>
        <v>20190312154138835</v>
      </c>
      <c r="B9472" t="str">
        <f>"1552376498825254"</f>
        <v>1552376498825254</v>
      </c>
      <c r="C9472" t="s">
        <v>40</v>
      </c>
      <c r="D9472">
        <v>4.4951910000000002</v>
      </c>
      <c r="E9472">
        <v>0.38556489999999999</v>
      </c>
      <c r="F9472" t="s">
        <v>69</v>
      </c>
      <c r="G9472">
        <v>-197.06</v>
      </c>
      <c r="H9472" s="1">
        <v>-1.0156750000000001E-5</v>
      </c>
      <c r="I9472">
        <v>-51.34834</v>
      </c>
      <c r="J9472">
        <v>-205.1035</v>
      </c>
      <c r="K9472">
        <v>1.1141019999999999</v>
      </c>
      <c r="L9472">
        <v>-59.672879999999999</v>
      </c>
      <c r="M9472">
        <v>0.89687320000000004</v>
      </c>
      <c r="N9472">
        <v>0</v>
      </c>
      <c r="O9472">
        <v>0.44204840000000001</v>
      </c>
      <c r="P9472">
        <v>0.87393369999999904</v>
      </c>
      <c r="Q9472">
        <v>-2.207752E-2</v>
      </c>
      <c r="R9472">
        <v>0.48554340000000001</v>
      </c>
      <c r="S9472">
        <v>2.1801910000000002</v>
      </c>
      <c r="T9472">
        <v>-0.29961059999999901</v>
      </c>
      <c r="U9472">
        <v>2.2485659999999998</v>
      </c>
      <c r="V9472">
        <v>-4.9083219999999997E-2</v>
      </c>
      <c r="W9472">
        <v>-7.9969749999999999E-3</v>
      </c>
      <c r="X9472">
        <v>0.9987627</v>
      </c>
      <c r="Y9472">
        <v>-0.33655010000000002</v>
      </c>
      <c r="Z9472">
        <v>-2.7344299999999998E-2</v>
      </c>
      <c r="AA9472">
        <v>0.94126840000000001</v>
      </c>
      <c r="AB9472">
        <v>15</v>
      </c>
      <c r="AC9472">
        <v>8.0434999999999892</v>
      </c>
      <c r="AD9472">
        <v>-1.1141121567499901</v>
      </c>
      <c r="AE9472">
        <v>8.3245400000000007</v>
      </c>
      <c r="AF9472">
        <v>-3.87495948838112</v>
      </c>
      <c r="AG9472">
        <v>-1.1141121567499901</v>
      </c>
      <c r="AH9472">
        <v>10.795004799658299</v>
      </c>
      <c r="AI9472">
        <v>95.548172266870495</v>
      </c>
      <c r="AJ9472">
        <v>109.746035238053</v>
      </c>
      <c r="AK9472">
        <v>11.5233973097806</v>
      </c>
      <c r="AL9472">
        <v>90.458197789896801</v>
      </c>
      <c r="AM9472">
        <v>92.813481749744199</v>
      </c>
      <c r="AN9472">
        <v>1.0000000225029999</v>
      </c>
    </row>
    <row r="9473" spans="1:40" x14ac:dyDescent="0.25">
      <c r="A9473" t="str">
        <f>"20190312154138845"</f>
        <v>20190312154138845</v>
      </c>
      <c r="B9473" t="str">
        <f>"1552376498835013"</f>
        <v>1552376498835013</v>
      </c>
      <c r="C9473" t="s">
        <v>40</v>
      </c>
      <c r="D9473">
        <v>4.4945110000000001</v>
      </c>
      <c r="E9473">
        <v>0.38608769999999998</v>
      </c>
      <c r="F9473" t="s">
        <v>69</v>
      </c>
      <c r="G9473">
        <v>-197.10220000000001</v>
      </c>
      <c r="H9473" s="1">
        <v>-1.015538E-5</v>
      </c>
      <c r="I9473">
        <v>-51.363700000000001</v>
      </c>
      <c r="J9473">
        <v>-205.04320000000001</v>
      </c>
      <c r="K9473">
        <v>1.114093</v>
      </c>
      <c r="L9473">
        <v>-59.637419999999999</v>
      </c>
      <c r="M9473">
        <v>0.894928099999999</v>
      </c>
      <c r="N9473">
        <v>0</v>
      </c>
      <c r="O9473">
        <v>0.44597320000000001</v>
      </c>
      <c r="P9473">
        <v>0.87199919999999997</v>
      </c>
      <c r="Q9473">
        <v>-2.2118390000000002E-2</v>
      </c>
      <c r="R9473">
        <v>0.48900749999999998</v>
      </c>
      <c r="S9473">
        <v>2.1719819999999999</v>
      </c>
      <c r="T9473">
        <v>-0.30242940000000001</v>
      </c>
      <c r="U9473">
        <v>2.2555540000000001</v>
      </c>
      <c r="V9473">
        <v>-4.8671720000000002E-2</v>
      </c>
      <c r="W9473">
        <v>-8.0332870000000001E-3</v>
      </c>
      <c r="X9473">
        <v>0.99878250000000002</v>
      </c>
      <c r="Y9473">
        <v>-0.3356827</v>
      </c>
      <c r="Z9473">
        <v>-2.8057220000000001E-2</v>
      </c>
      <c r="AA9473">
        <v>0.94155719999999998</v>
      </c>
      <c r="AB9473">
        <v>15</v>
      </c>
      <c r="AC9473">
        <v>7.9409999999999998</v>
      </c>
      <c r="AD9473">
        <v>-1.1141031553799901</v>
      </c>
      <c r="AE9473">
        <v>8.2737199999999902</v>
      </c>
      <c r="AF9473">
        <v>-3.8271990705744598</v>
      </c>
      <c r="AG9473">
        <v>-1.1141031553799901</v>
      </c>
      <c r="AH9473">
        <v>10.69666892703</v>
      </c>
      <c r="AI9473">
        <v>95.600868535023594</v>
      </c>
      <c r="AJ9473">
        <v>109.686881409541</v>
      </c>
      <c r="AK9473">
        <v>11.415226879091</v>
      </c>
      <c r="AL9473">
        <v>90.460278402355797</v>
      </c>
      <c r="AM9473">
        <v>92.789876508623394</v>
      </c>
      <c r="AN9473">
        <v>0.99999997616701597</v>
      </c>
    </row>
    <row r="9474" spans="1:40" x14ac:dyDescent="0.25">
      <c r="A9474" t="str">
        <f>"20190312154138857"</f>
        <v>20190312154138857</v>
      </c>
      <c r="B9474" t="str">
        <f>"1552376498845750"</f>
        <v>1552376498845750</v>
      </c>
      <c r="C9474" t="s">
        <v>40</v>
      </c>
      <c r="D9474">
        <v>4.5341550000000002</v>
      </c>
      <c r="E9474">
        <v>0.38650960000000001</v>
      </c>
      <c r="F9474" t="s">
        <v>69</v>
      </c>
      <c r="G9474">
        <v>-197.10249999999999</v>
      </c>
      <c r="H9474" s="1">
        <v>-1.0161740000000001E-5</v>
      </c>
      <c r="I9474">
        <v>-51.346310000000003</v>
      </c>
      <c r="J9474">
        <v>-204.9795</v>
      </c>
      <c r="K9474">
        <v>1.114088</v>
      </c>
      <c r="L9474">
        <v>-59.599789999999999</v>
      </c>
      <c r="M9474">
        <v>0.89285099999999995</v>
      </c>
      <c r="N9474">
        <v>0</v>
      </c>
      <c r="O9474">
        <v>0.45011709999999999</v>
      </c>
      <c r="P9474">
        <v>0.86991249999999998</v>
      </c>
      <c r="Q9474">
        <v>-2.241423E-2</v>
      </c>
      <c r="R9474">
        <v>0.49269649999999998</v>
      </c>
      <c r="S9474">
        <v>2.1649780000000001</v>
      </c>
      <c r="T9474">
        <v>-0.30375449999999998</v>
      </c>
      <c r="U9474">
        <v>2.260529</v>
      </c>
      <c r="V9474">
        <v>-4.8272969999999998E-2</v>
      </c>
      <c r="W9474">
        <v>-8.3247749999999995E-3</v>
      </c>
      <c r="X9474">
        <v>0.99879949999999995</v>
      </c>
      <c r="Y9474">
        <v>-0.33389619999999998</v>
      </c>
      <c r="Z9474">
        <v>-2.8710599999999999E-2</v>
      </c>
      <c r="AA9474">
        <v>0.94217249999999997</v>
      </c>
      <c r="AB9474">
        <v>15</v>
      </c>
      <c r="AC9474">
        <v>7.8769999999999998</v>
      </c>
      <c r="AD9474">
        <v>-1.1140981617400001</v>
      </c>
      <c r="AE9474">
        <v>8.2534800000000104</v>
      </c>
      <c r="AF9474">
        <v>-3.7878410858910798</v>
      </c>
      <c r="AG9474">
        <v>-1.1140981617400001</v>
      </c>
      <c r="AH9474">
        <v>10.647626612183</v>
      </c>
      <c r="AI9474">
        <v>95.630100968888101</v>
      </c>
      <c r="AJ9474">
        <v>109.582766944855</v>
      </c>
      <c r="AK9474">
        <v>11.3560956000918</v>
      </c>
      <c r="AL9474">
        <v>90.476979976855702</v>
      </c>
      <c r="AM9474">
        <v>92.767008693603699</v>
      </c>
      <c r="AN9474">
        <v>1.0000000113558301</v>
      </c>
    </row>
    <row r="9475" spans="1:40" x14ac:dyDescent="0.25">
      <c r="A9475" t="str">
        <f>"20190312154138870"</f>
        <v>20190312154138870</v>
      </c>
      <c r="B9475" t="str">
        <f>"1552376498865269"</f>
        <v>1552376498865269</v>
      </c>
      <c r="C9475" t="s">
        <v>40</v>
      </c>
      <c r="D9475">
        <v>4.5508410000000001</v>
      </c>
      <c r="E9475">
        <v>0.3872679</v>
      </c>
      <c r="F9475" t="s">
        <v>69</v>
      </c>
      <c r="G9475">
        <v>-197.1508</v>
      </c>
      <c r="H9475" s="1">
        <v>-1.0157359999999999E-5</v>
      </c>
      <c r="I9475">
        <v>-51.371600000000001</v>
      </c>
      <c r="J9475">
        <v>-204.91640000000001</v>
      </c>
      <c r="K9475">
        <v>1.11408</v>
      </c>
      <c r="L9475">
        <v>-59.561860000000003</v>
      </c>
      <c r="M9475">
        <v>0.89075839999999995</v>
      </c>
      <c r="N9475">
        <v>0</v>
      </c>
      <c r="O9475">
        <v>0.45424419999999999</v>
      </c>
      <c r="P9475">
        <v>0.86764649999999999</v>
      </c>
      <c r="Q9475">
        <v>-2.2664770000000001E-2</v>
      </c>
      <c r="R9475">
        <v>0.49666510000000003</v>
      </c>
      <c r="S9475">
        <v>2.1568299999999998</v>
      </c>
      <c r="T9475">
        <v>-0.30693550000000003</v>
      </c>
      <c r="U9475">
        <v>2.2668759999999999</v>
      </c>
      <c r="V9475">
        <v>-4.8213819999999998E-2</v>
      </c>
      <c r="W9475">
        <v>-8.5747469999999902E-3</v>
      </c>
      <c r="X9475">
        <v>0.99880020000000003</v>
      </c>
      <c r="Y9475">
        <v>-0.33265609999999901</v>
      </c>
      <c r="Z9475">
        <v>-2.951664E-2</v>
      </c>
      <c r="AA9475">
        <v>0.94258620000000004</v>
      </c>
      <c r="AB9475">
        <v>15</v>
      </c>
      <c r="AC9475">
        <v>7.7656000000000001</v>
      </c>
      <c r="AD9475">
        <v>-1.1140901573599999</v>
      </c>
      <c r="AE9475">
        <v>8.1902599999999897</v>
      </c>
      <c r="AF9475">
        <v>-3.7320986578547899</v>
      </c>
      <c r="AG9475">
        <v>-1.1140901573599999</v>
      </c>
      <c r="AH9475">
        <v>10.5361171145156</v>
      </c>
      <c r="AI9475">
        <v>95.691976815543796</v>
      </c>
      <c r="AJ9475">
        <v>109.505140724108</v>
      </c>
      <c r="AK9475">
        <v>11.2329658203644</v>
      </c>
      <c r="AL9475">
        <v>90.491302849400498</v>
      </c>
      <c r="AM9475">
        <v>92.763621538749604</v>
      </c>
      <c r="AN9475">
        <v>0.99999996912257205</v>
      </c>
    </row>
    <row r="9476" spans="1:40" x14ac:dyDescent="0.25">
      <c r="A9476" t="str">
        <f>"20190312154138879"</f>
        <v>20190312154138879</v>
      </c>
      <c r="B9476" t="str">
        <f>"1552376498875029"</f>
        <v>1552376498875029</v>
      </c>
      <c r="C9476" t="s">
        <v>40</v>
      </c>
      <c r="D9476">
        <v>4.5509300000000001</v>
      </c>
      <c r="E9476">
        <v>0.3876136</v>
      </c>
      <c r="F9476" t="s">
        <v>69</v>
      </c>
      <c r="G9476">
        <v>-197.21780000000001</v>
      </c>
      <c r="H9476" s="1">
        <v>-1.014507E-5</v>
      </c>
      <c r="I9476">
        <v>-51.423839999999998</v>
      </c>
      <c r="J9476">
        <v>-204.85390000000001</v>
      </c>
      <c r="K9476">
        <v>1.114074</v>
      </c>
      <c r="L9476">
        <v>-59.524079999999998</v>
      </c>
      <c r="M9476">
        <v>0.88866440000000002</v>
      </c>
      <c r="N9476">
        <v>0</v>
      </c>
      <c r="O9476">
        <v>0.45832729999999999</v>
      </c>
      <c r="P9476">
        <v>0.86550780000000005</v>
      </c>
      <c r="Q9476">
        <v>-2.2938110000000001E-2</v>
      </c>
      <c r="R9476">
        <v>0.50036990000000003</v>
      </c>
      <c r="S9476">
        <v>2.1490939999999998</v>
      </c>
      <c r="T9476">
        <v>-0.31100260000000002</v>
      </c>
      <c r="U9476">
        <v>2.2717589999999999</v>
      </c>
      <c r="V9476">
        <v>-4.7901270000000003E-2</v>
      </c>
      <c r="W9476">
        <v>-8.8450490000000007E-3</v>
      </c>
      <c r="X9476">
        <v>0.9988129</v>
      </c>
      <c r="Y9476">
        <v>-0.33106469999999999</v>
      </c>
      <c r="Z9476">
        <v>-3.0438969999999999E-2</v>
      </c>
      <c r="AA9476">
        <v>0.94311699999999998</v>
      </c>
      <c r="AB9476">
        <v>15</v>
      </c>
      <c r="AC9476">
        <v>7.6360999999999901</v>
      </c>
      <c r="AD9476">
        <v>-1.1140841450700001</v>
      </c>
      <c r="AE9476">
        <v>8.1002399999999994</v>
      </c>
      <c r="AF9476">
        <v>-3.6622731313458798</v>
      </c>
      <c r="AG9476">
        <v>-1.1140841450700001</v>
      </c>
      <c r="AH9476">
        <v>10.395484686634701</v>
      </c>
      <c r="AI9476">
        <v>95.7718972258034</v>
      </c>
      <c r="AJ9476">
        <v>109.407085669152</v>
      </c>
      <c r="AK9476">
        <v>11.077884718705601</v>
      </c>
      <c r="AL9476">
        <v>90.506790591691598</v>
      </c>
      <c r="AM9476">
        <v>92.745698784489505</v>
      </c>
      <c r="AN9476">
        <v>0.999999987882917</v>
      </c>
    </row>
    <row r="9477" spans="1:40" x14ac:dyDescent="0.25">
      <c r="A9477" t="str">
        <f>"20190312154138890"</f>
        <v>20190312154138890</v>
      </c>
      <c r="B9477" t="str">
        <f>"1552376498885769"</f>
        <v>1552376498885769</v>
      </c>
      <c r="C9477" t="s">
        <v>40</v>
      </c>
      <c r="D9477">
        <v>4.5399349999999998</v>
      </c>
      <c r="E9477">
        <v>0.3876136</v>
      </c>
      <c r="F9477" t="s">
        <v>69</v>
      </c>
      <c r="G9477">
        <v>-197.2003</v>
      </c>
      <c r="H9477" s="1">
        <v>-1.01599399999999E-5</v>
      </c>
      <c r="I9477">
        <v>-51.37811</v>
      </c>
      <c r="J9477">
        <v>-204.78970000000001</v>
      </c>
      <c r="K9477">
        <v>1.1140650000000001</v>
      </c>
      <c r="L9477">
        <v>-59.484679999999997</v>
      </c>
      <c r="M9477">
        <v>0.88647819999999899</v>
      </c>
      <c r="N9477">
        <v>0</v>
      </c>
      <c r="O9477">
        <v>0.46254129999999899</v>
      </c>
      <c r="P9477">
        <v>0.86311079999999996</v>
      </c>
      <c r="Q9477">
        <v>-2.3278110000000001E-2</v>
      </c>
      <c r="R9477">
        <v>0.50447770000000003</v>
      </c>
      <c r="S9477">
        <v>2.140717</v>
      </c>
      <c r="T9477">
        <v>-0.31160719999999997</v>
      </c>
      <c r="U9477">
        <v>2.2784119999999999</v>
      </c>
      <c r="V9477">
        <v>-4.7907320000000003E-2</v>
      </c>
      <c r="W9477">
        <v>-9.1854180000000007E-3</v>
      </c>
      <c r="X9477">
        <v>0.99880959999999996</v>
      </c>
      <c r="Y9477">
        <v>-0.32982240000000002</v>
      </c>
      <c r="Z9477">
        <v>-3.1021670000000001E-2</v>
      </c>
      <c r="AA9477">
        <v>0.94353319999999996</v>
      </c>
      <c r="AB9477">
        <v>15</v>
      </c>
      <c r="AC9477">
        <v>7.5894000000000101</v>
      </c>
      <c r="AD9477">
        <v>-1.1140751599399901</v>
      </c>
      <c r="AE9477">
        <v>8.1065699999999996</v>
      </c>
      <c r="AF9477">
        <v>-3.63964343526193</v>
      </c>
      <c r="AG9477">
        <v>-1.1140751599399901</v>
      </c>
      <c r="AH9477">
        <v>10.3741562697577</v>
      </c>
      <c r="AI9477">
        <v>95.786256576933397</v>
      </c>
      <c r="AJ9477">
        <v>109.33278546561399</v>
      </c>
      <c r="AK9477">
        <v>11.0503975542599</v>
      </c>
      <c r="AL9477">
        <v>90.526293058980002</v>
      </c>
      <c r="AM9477">
        <v>92.746054098318595</v>
      </c>
      <c r="AN9477">
        <v>1.0000000501327799</v>
      </c>
    </row>
    <row r="9478" spans="1:40" x14ac:dyDescent="0.25">
      <c r="A9478" t="str">
        <f>"20190312154138902"</f>
        <v>20190312154138902</v>
      </c>
      <c r="B9478" t="str">
        <f>"1552376498895525"</f>
        <v>1552376498895525</v>
      </c>
      <c r="C9478" t="s">
        <v>40</v>
      </c>
      <c r="D9478">
        <v>4.5691499999999996</v>
      </c>
      <c r="E9478">
        <v>0.39664549999999998</v>
      </c>
      <c r="F9478" t="s">
        <v>69</v>
      </c>
      <c r="G9478">
        <v>-197.1943</v>
      </c>
      <c r="H9478" s="1">
        <v>-1.017968E-5</v>
      </c>
      <c r="I9478">
        <v>-51.322200000000002</v>
      </c>
      <c r="J9478">
        <v>-204.72630000000001</v>
      </c>
      <c r="K9478">
        <v>1.114052</v>
      </c>
      <c r="L9478">
        <v>-59.445469999999901</v>
      </c>
      <c r="M9478">
        <v>0.88429679999999999</v>
      </c>
      <c r="N9478">
        <v>0</v>
      </c>
      <c r="O9478">
        <v>0.46669850000000002</v>
      </c>
      <c r="P9478">
        <v>0.86063330000000005</v>
      </c>
      <c r="Q9478">
        <v>-2.3311109999999999E-2</v>
      </c>
      <c r="R9478">
        <v>0.50869140000000002</v>
      </c>
      <c r="S9478">
        <v>2.1296539999999999</v>
      </c>
      <c r="T9478">
        <v>-0.31237379999999998</v>
      </c>
      <c r="U9478">
        <v>2.2886660000000001</v>
      </c>
      <c r="V9478">
        <v>-4.8101140000000001E-2</v>
      </c>
      <c r="W9478">
        <v>-9.2206749999999994E-3</v>
      </c>
      <c r="X9478">
        <v>0.99879989999999996</v>
      </c>
      <c r="Y9478">
        <v>-0.32995989999999997</v>
      </c>
      <c r="Z9478">
        <v>-3.1542260000000003E-2</v>
      </c>
      <c r="AA9478">
        <v>0.94346779999999997</v>
      </c>
      <c r="AB9478">
        <v>15</v>
      </c>
      <c r="AC9478">
        <v>7.5320000000000098</v>
      </c>
      <c r="AD9478">
        <v>-1.1140621796799901</v>
      </c>
      <c r="AE9478">
        <v>8.1232699999999909</v>
      </c>
      <c r="AF9478">
        <v>-3.6318653886572299</v>
      </c>
      <c r="AG9478">
        <v>-1.1140621796799901</v>
      </c>
      <c r="AH9478">
        <v>10.348090645961401</v>
      </c>
      <c r="AI9478">
        <v>95.800427356033794</v>
      </c>
      <c r="AJ9478">
        <v>109.33952331069401</v>
      </c>
      <c r="AK9478">
        <v>11.0233643121577</v>
      </c>
      <c r="AL9478">
        <v>90.528313253298805</v>
      </c>
      <c r="AM9478">
        <v>92.757173513630605</v>
      </c>
      <c r="AN9478">
        <v>0.99999999037838205</v>
      </c>
    </row>
    <row r="9479" spans="1:40" x14ac:dyDescent="0.25">
      <c r="A9479" t="str">
        <f>"20190312154138914"</f>
        <v>20190312154138914</v>
      </c>
      <c r="B9479" t="str">
        <f>"1552376498905286"</f>
        <v>1552376498905286</v>
      </c>
      <c r="C9479" t="s">
        <v>40</v>
      </c>
      <c r="D9479">
        <v>4.5368820000000003</v>
      </c>
      <c r="E9479">
        <v>0.39733079999999998</v>
      </c>
      <c r="F9479" t="s">
        <v>69</v>
      </c>
      <c r="G9479">
        <v>-197.62809999999999</v>
      </c>
      <c r="H9479" s="1">
        <v>-9.9495349999999993E-6</v>
      </c>
      <c r="I9479">
        <v>-52.074339999999999</v>
      </c>
      <c r="J9479">
        <v>-204.6644</v>
      </c>
      <c r="K9479">
        <v>1.1140429999999999</v>
      </c>
      <c r="L9479">
        <v>-59.406799999999997</v>
      </c>
      <c r="M9479">
        <v>0.88213779999999997</v>
      </c>
      <c r="N9479">
        <v>0</v>
      </c>
      <c r="O9479">
        <v>0.47076679999999999</v>
      </c>
      <c r="P9479">
        <v>0.85805399999999998</v>
      </c>
      <c r="Q9479">
        <v>-2.3410340000000002E-2</v>
      </c>
      <c r="R9479">
        <v>0.51302559999999997</v>
      </c>
      <c r="S9479">
        <v>2.1543429999999999</v>
      </c>
      <c r="T9479">
        <v>-0.33811999999999998</v>
      </c>
      <c r="U9479">
        <v>2.237152</v>
      </c>
      <c r="V9479">
        <v>-4.85383E-2</v>
      </c>
      <c r="W9479">
        <v>-9.324723E-3</v>
      </c>
      <c r="X9479">
        <v>0.99877780000000005</v>
      </c>
      <c r="Y9479">
        <v>-0.30958659999999999</v>
      </c>
      <c r="Z9479">
        <v>-3.5884149999999997E-2</v>
      </c>
      <c r="AA9479">
        <v>0.95019390000000004</v>
      </c>
      <c r="AB9479">
        <v>15</v>
      </c>
      <c r="AC9479">
        <v>7.0363000000000104</v>
      </c>
      <c r="AD9479">
        <v>-1.114052949535</v>
      </c>
      <c r="AE9479">
        <v>7.3324599999999904</v>
      </c>
      <c r="AF9479">
        <v>-3.1186388797223001</v>
      </c>
      <c r="AG9479">
        <v>-1.114052949535</v>
      </c>
      <c r="AH9479">
        <v>9.5451762838051497</v>
      </c>
      <c r="AI9479">
        <v>96.3306405307913</v>
      </c>
      <c r="AJ9479">
        <v>108.093461350731</v>
      </c>
      <c r="AK9479">
        <v>10.1033367124628</v>
      </c>
      <c r="AL9479">
        <v>90.534275012910797</v>
      </c>
      <c r="AM9479">
        <v>92.782253942084196</v>
      </c>
      <c r="AN9479">
        <v>1.0000000053993701</v>
      </c>
    </row>
    <row r="9480" spans="1:40" x14ac:dyDescent="0.25">
      <c r="A9480" t="str">
        <f>"20190312154138924"</f>
        <v>20190312154138924</v>
      </c>
      <c r="B9480" t="str">
        <f>"1552376498915046"</f>
        <v>1552376498915046</v>
      </c>
      <c r="C9480" t="s">
        <v>40</v>
      </c>
      <c r="D9480">
        <v>4.5256550000000004</v>
      </c>
      <c r="E9480">
        <v>0.39733079999999998</v>
      </c>
      <c r="F9480" t="s">
        <v>69</v>
      </c>
      <c r="G9480">
        <v>-197.56540000000001</v>
      </c>
      <c r="H9480" s="1">
        <v>-9.9754620000000007E-6</v>
      </c>
      <c r="I9480">
        <v>-51.98583</v>
      </c>
      <c r="J9480">
        <v>-204.6053</v>
      </c>
      <c r="K9480">
        <v>1.1140319999999999</v>
      </c>
      <c r="L9480">
        <v>-59.36938</v>
      </c>
      <c r="M9480">
        <v>0.88005119999999903</v>
      </c>
      <c r="N9480">
        <v>0</v>
      </c>
      <c r="O9480">
        <v>0.47465600000000002</v>
      </c>
      <c r="P9480">
        <v>0.85551489999999997</v>
      </c>
      <c r="Q9480">
        <v>-2.3423429999999999E-2</v>
      </c>
      <c r="R9480">
        <v>0.51724799999999904</v>
      </c>
      <c r="S9480">
        <v>2.1458889999999999</v>
      </c>
      <c r="T9480">
        <v>-0.336758</v>
      </c>
      <c r="U9480">
        <v>2.2432249999999998</v>
      </c>
      <c r="V9480">
        <v>-4.9052159999999997E-2</v>
      </c>
      <c r="W9480">
        <v>-9.3435600000000008E-3</v>
      </c>
      <c r="X9480">
        <v>0.99875250000000004</v>
      </c>
      <c r="Y9480">
        <v>-0.3085599</v>
      </c>
      <c r="Z9480">
        <v>-3.6265859999999997E-2</v>
      </c>
      <c r="AA9480">
        <v>0.95051330000000001</v>
      </c>
      <c r="AB9480">
        <v>15</v>
      </c>
      <c r="AC9480">
        <v>7.0398999999999798</v>
      </c>
      <c r="AD9480">
        <v>-1.1140419754619999</v>
      </c>
      <c r="AE9480">
        <v>7.3835499999999996</v>
      </c>
      <c r="AF9480">
        <v>-3.1195059610486999</v>
      </c>
      <c r="AG9480">
        <v>-1.1140419754619999</v>
      </c>
      <c r="AH9480">
        <v>9.58682478832805</v>
      </c>
      <c r="AI9480">
        <v>96.305747744273702</v>
      </c>
      <c r="AJ9480">
        <v>108.024634941054</v>
      </c>
      <c r="AK9480">
        <v>10.142958961082799</v>
      </c>
      <c r="AL9480">
        <v>90.535354350703102</v>
      </c>
      <c r="AM9480">
        <v>92.811732897560901</v>
      </c>
      <c r="AN9480">
        <v>0.99999998638519405</v>
      </c>
    </row>
    <row r="9481" spans="1:40" x14ac:dyDescent="0.25">
      <c r="A9481" t="str">
        <f>"20190312154138936"</f>
        <v>20190312154138936</v>
      </c>
      <c r="B9481" t="str">
        <f>"1552376498925781"</f>
        <v>1552376498925781</v>
      </c>
      <c r="C9481" t="s">
        <v>40</v>
      </c>
      <c r="D9481">
        <v>4.5957600000000003</v>
      </c>
      <c r="E9481">
        <v>0.39322839999999998</v>
      </c>
      <c r="F9481" t="s">
        <v>69</v>
      </c>
      <c r="G9481">
        <v>-197.54040000000001</v>
      </c>
      <c r="H9481" s="1">
        <v>-1.000071E-5</v>
      </c>
      <c r="I9481">
        <v>-51.909509999999997</v>
      </c>
      <c r="J9481">
        <v>-204.54079999999999</v>
      </c>
      <c r="K9481">
        <v>1.1140219999999901</v>
      </c>
      <c r="L9481">
        <v>-59.328310000000002</v>
      </c>
      <c r="M9481">
        <v>0.87774769999999902</v>
      </c>
      <c r="N9481">
        <v>0</v>
      </c>
      <c r="O9481">
        <v>0.47890260000000001</v>
      </c>
      <c r="P9481">
        <v>0.85272579999999998</v>
      </c>
      <c r="Q9481">
        <v>-2.3542179999999999E-2</v>
      </c>
      <c r="R9481">
        <v>0.52182799999999996</v>
      </c>
      <c r="S9481">
        <v>2.134674</v>
      </c>
      <c r="T9481">
        <v>-0.3366075</v>
      </c>
      <c r="U9481">
        <v>2.2539980000000002</v>
      </c>
      <c r="V9481">
        <v>-4.9582639999999997E-2</v>
      </c>
      <c r="W9481">
        <v>-9.4683370000000003E-3</v>
      </c>
      <c r="X9481">
        <v>0.99872510000000003</v>
      </c>
      <c r="Y9481">
        <v>-0.30874299999999999</v>
      </c>
      <c r="Z9481">
        <v>-3.6737260000000001E-2</v>
      </c>
      <c r="AA9481">
        <v>0.95043580000000005</v>
      </c>
      <c r="AB9481">
        <v>15</v>
      </c>
      <c r="AC9481">
        <v>7.0003999999999804</v>
      </c>
      <c r="AD9481">
        <v>-1.11403200070999</v>
      </c>
      <c r="AE9481">
        <v>7.4187999999999903</v>
      </c>
      <c r="AF9481">
        <v>-3.1224136762253201</v>
      </c>
      <c r="AG9481">
        <v>-1.11403200070999</v>
      </c>
      <c r="AH9481">
        <v>9.5841696169171993</v>
      </c>
      <c r="AI9481">
        <v>96.306699787419205</v>
      </c>
      <c r="AJ9481">
        <v>108.045021579451</v>
      </c>
      <c r="AK9481">
        <v>10.1413431906194</v>
      </c>
      <c r="AL9481">
        <v>90.542503878780593</v>
      </c>
      <c r="AM9481">
        <v>92.842168949053999</v>
      </c>
      <c r="AN9481">
        <v>0.99999995648246098</v>
      </c>
    </row>
    <row r="9482" spans="1:40" x14ac:dyDescent="0.25">
      <c r="A9482" t="str">
        <f>"20190312154138948"</f>
        <v>20190312154138948</v>
      </c>
      <c r="B9482" t="str">
        <f>"1552376498935541"</f>
        <v>1552376498935541</v>
      </c>
      <c r="C9482" t="s">
        <v>40</v>
      </c>
      <c r="D9482">
        <v>4.6222519999999996</v>
      </c>
      <c r="E9482">
        <v>0.3902254</v>
      </c>
      <c r="F9482" t="s">
        <v>69</v>
      </c>
      <c r="G9482">
        <v>-197.16460000000001</v>
      </c>
      <c r="H9482" s="1">
        <v>-1.0186390000000001E-5</v>
      </c>
      <c r="I9482">
        <v>-51.295589999999997</v>
      </c>
      <c r="J9482">
        <v>-204.4802</v>
      </c>
      <c r="K9482">
        <v>1.1140159999999999</v>
      </c>
      <c r="L9482">
        <v>-59.289090000000002</v>
      </c>
      <c r="M9482">
        <v>0.87555509999999903</v>
      </c>
      <c r="N9482">
        <v>0</v>
      </c>
      <c r="O9482">
        <v>0.48289949999999998</v>
      </c>
      <c r="P9482">
        <v>0.85015929999999995</v>
      </c>
      <c r="Q9482">
        <v>-2.374016E-2</v>
      </c>
      <c r="R9482">
        <v>0.52599010000000002</v>
      </c>
      <c r="S9482">
        <v>2.1059109999999999</v>
      </c>
      <c r="T9482">
        <v>-0.3180597</v>
      </c>
      <c r="U9482">
        <v>2.2933650000000001</v>
      </c>
      <c r="V9482">
        <v>-4.9912079999999998E-2</v>
      </c>
      <c r="W9482">
        <v>-9.6707389999999994E-3</v>
      </c>
      <c r="X9482">
        <v>0.99870680000000001</v>
      </c>
      <c r="Y9482">
        <v>-0.31892409999999999</v>
      </c>
      <c r="Z9482">
        <v>-3.45764E-2</v>
      </c>
      <c r="AA9482">
        <v>0.94714929999999997</v>
      </c>
      <c r="AB9482">
        <v>15</v>
      </c>
      <c r="AC9482">
        <v>7.3155999999999803</v>
      </c>
      <c r="AD9482">
        <v>-1.1140261863899901</v>
      </c>
      <c r="AE9482">
        <v>7.9934999999999903</v>
      </c>
      <c r="AF9482">
        <v>-3.4301599877705402</v>
      </c>
      <c r="AG9482">
        <v>-1.1140261863899901</v>
      </c>
      <c r="AH9482">
        <v>10.1589736415386</v>
      </c>
      <c r="AI9482">
        <v>95.931560401939606</v>
      </c>
      <c r="AJ9482">
        <v>108.65716551732901</v>
      </c>
      <c r="AK9482">
        <v>10.780157574689699</v>
      </c>
      <c r="AL9482">
        <v>90.554101163458697</v>
      </c>
      <c r="AM9482">
        <v>92.861074126799593</v>
      </c>
      <c r="AN9482">
        <v>1.00000000564448</v>
      </c>
    </row>
    <row r="9483" spans="1:40" x14ac:dyDescent="0.25">
      <c r="A9483" t="str">
        <f>"20190312154138957"</f>
        <v>20190312154138957</v>
      </c>
      <c r="B9483" t="str">
        <f>"1552376498955062"</f>
        <v>1552376498955062</v>
      </c>
      <c r="C9483" t="s">
        <v>40</v>
      </c>
      <c r="D9483">
        <v>4.5955760000000003</v>
      </c>
      <c r="E9483">
        <v>0.3857564</v>
      </c>
      <c r="F9483" t="s">
        <v>69</v>
      </c>
      <c r="G9483">
        <v>-197.02199999999999</v>
      </c>
      <c r="H9483" s="1">
        <v>-1.0291929999999999E-5</v>
      </c>
      <c r="I9483">
        <v>-50.96613</v>
      </c>
      <c r="J9483">
        <v>-204.42269999999999</v>
      </c>
      <c r="K9483">
        <v>1.114007</v>
      </c>
      <c r="L9483">
        <v>-59.251769999999901</v>
      </c>
      <c r="M9483">
        <v>0.87345469999999903</v>
      </c>
      <c r="N9483">
        <v>0</v>
      </c>
      <c r="O9483">
        <v>0.48668840000000002</v>
      </c>
      <c r="P9483">
        <v>0.84763480000000002</v>
      </c>
      <c r="Q9483">
        <v>-2.3858330000000001E-2</v>
      </c>
      <c r="R9483">
        <v>0.53004370000000001</v>
      </c>
      <c r="S9483">
        <v>2.0823360000000002</v>
      </c>
      <c r="T9483">
        <v>-0.31103910000000001</v>
      </c>
      <c r="U9483">
        <v>2.3237920000000001</v>
      </c>
      <c r="V9483">
        <v>-5.0354910000000003E-2</v>
      </c>
      <c r="W9483">
        <v>-9.7942810000000002E-3</v>
      </c>
      <c r="X9483">
        <v>0.99868330000000005</v>
      </c>
      <c r="Y9483">
        <v>-0.32628459999999998</v>
      </c>
      <c r="Z9483">
        <v>-3.3809480000000003E-2</v>
      </c>
      <c r="AA9483">
        <v>0.94466669999999997</v>
      </c>
      <c r="AB9483">
        <v>15</v>
      </c>
      <c r="AC9483">
        <v>7.4006999999999703</v>
      </c>
      <c r="AD9483">
        <v>-1.11401729193</v>
      </c>
      <c r="AE9483">
        <v>8.2856399999999901</v>
      </c>
      <c r="AF9483">
        <v>-3.59948691487932</v>
      </c>
      <c r="AG9483">
        <v>-1.11401729193</v>
      </c>
      <c r="AH9483">
        <v>10.393303443199899</v>
      </c>
      <c r="AI9483">
        <v>95.783417538864299</v>
      </c>
      <c r="AJ9483">
        <v>109.102377106378</v>
      </c>
      <c r="AK9483">
        <v>11.0552293978704</v>
      </c>
      <c r="AL9483">
        <v>90.561179971112907</v>
      </c>
      <c r="AM9483">
        <v>92.886483218679203</v>
      </c>
      <c r="AN9483">
        <v>0.99999993930014996</v>
      </c>
    </row>
    <row r="9484" spans="1:40" x14ac:dyDescent="0.25">
      <c r="A9484" t="str">
        <f>"20190312154138969"</f>
        <v>20190312154138969</v>
      </c>
      <c r="B9484" t="str">
        <f>"1552376498965798"</f>
        <v>1552376498965798</v>
      </c>
      <c r="C9484" t="s">
        <v>40</v>
      </c>
      <c r="D9484">
        <v>4.6159679999999996</v>
      </c>
      <c r="E9484">
        <v>0.38448710000000003</v>
      </c>
      <c r="F9484" t="s">
        <v>69</v>
      </c>
      <c r="G9484">
        <v>-196.90049999999999</v>
      </c>
      <c r="H9484" s="1">
        <v>-1.041711E-5</v>
      </c>
      <c r="I9484">
        <v>-50.588430000000002</v>
      </c>
      <c r="J9484">
        <v>-204.36009999999999</v>
      </c>
      <c r="K9484">
        <v>1.1139950000000001</v>
      </c>
      <c r="L9484">
        <v>-59.2104199999999</v>
      </c>
      <c r="M9484">
        <v>0.87113680000000004</v>
      </c>
      <c r="N9484">
        <v>0</v>
      </c>
      <c r="O9484">
        <v>0.49082510000000001</v>
      </c>
      <c r="P9484">
        <v>0.84482230000000003</v>
      </c>
      <c r="Q9484">
        <v>-2.4044260000000001E-2</v>
      </c>
      <c r="R9484">
        <v>0.53450629999999999</v>
      </c>
      <c r="S9484">
        <v>2.052521</v>
      </c>
      <c r="T9484">
        <v>-0.30397249999999998</v>
      </c>
      <c r="U9484">
        <v>2.3638919999999999</v>
      </c>
      <c r="V9484">
        <v>-5.0886250000000001E-2</v>
      </c>
      <c r="W9484">
        <v>-9.9869469999999995E-3</v>
      </c>
      <c r="X9484">
        <v>0.9986545</v>
      </c>
      <c r="Y9484">
        <v>-0.33650950000000002</v>
      </c>
      <c r="Z9484">
        <v>-3.2904889999999999E-2</v>
      </c>
      <c r="AA9484">
        <v>0.94110499999999997</v>
      </c>
      <c r="AB9484">
        <v>15</v>
      </c>
      <c r="AC9484">
        <v>7.4595999999999902</v>
      </c>
      <c r="AD9484">
        <v>-1.11400541711</v>
      </c>
      <c r="AE9484">
        <v>8.6219899999999896</v>
      </c>
      <c r="AF9484">
        <v>-3.8135712611897201</v>
      </c>
      <c r="AG9484">
        <v>-1.11400541711</v>
      </c>
      <c r="AH9484">
        <v>10.629868284573901</v>
      </c>
      <c r="AI9484">
        <v>95.633630728079694</v>
      </c>
      <c r="AJ9484">
        <v>109.735954647</v>
      </c>
      <c r="AK9484">
        <v>11.348058582018</v>
      </c>
      <c r="AL9484">
        <v>90.572219437166794</v>
      </c>
      <c r="AM9484">
        <v>92.916972751522394</v>
      </c>
      <c r="AN9484">
        <v>0.99999997995984602</v>
      </c>
    </row>
    <row r="9485" spans="1:40" x14ac:dyDescent="0.25">
      <c r="A9485" t="str">
        <f>"20190312154138980"</f>
        <v>20190312154138980</v>
      </c>
      <c r="B9485" t="str">
        <f>"1552376498975557"</f>
        <v>1552376498975557</v>
      </c>
      <c r="C9485" t="s">
        <v>40</v>
      </c>
      <c r="D9485">
        <v>4.5925409999999998</v>
      </c>
      <c r="E9485">
        <v>0.3835499</v>
      </c>
      <c r="F9485" t="s">
        <v>69</v>
      </c>
      <c r="G9485">
        <v>-196.82759999999999</v>
      </c>
      <c r="H9485" s="1">
        <v>-1.048272E-5</v>
      </c>
      <c r="I9485">
        <v>-50.387949999999996</v>
      </c>
      <c r="J9485">
        <v>-204.3048</v>
      </c>
      <c r="K9485">
        <v>1.1139859999999999</v>
      </c>
      <c r="L9485">
        <v>-59.173769999999998</v>
      </c>
      <c r="M9485">
        <v>0.86907199999999996</v>
      </c>
      <c r="N9485">
        <v>0</v>
      </c>
      <c r="O9485">
        <v>0.49447229999999998</v>
      </c>
      <c r="P9485">
        <v>0.842186199999999</v>
      </c>
      <c r="Q9485">
        <v>-2.3822719999999999E-2</v>
      </c>
      <c r="R9485">
        <v>0.53866029999999998</v>
      </c>
      <c r="S9485">
        <v>2.0346980000000001</v>
      </c>
      <c r="T9485">
        <v>-0.30091800000000002</v>
      </c>
      <c r="U9485">
        <v>2.3831479999999998</v>
      </c>
      <c r="V9485">
        <v>-5.1617780000000002E-2</v>
      </c>
      <c r="W9485">
        <v>-9.7737569999999992E-3</v>
      </c>
      <c r="X9485">
        <v>0.99861909999999998</v>
      </c>
      <c r="Y9485">
        <v>-0.3403815</v>
      </c>
      <c r="Z9485">
        <v>-3.2752339999999998E-2</v>
      </c>
      <c r="AA9485">
        <v>0.93971680000000002</v>
      </c>
      <c r="AB9485">
        <v>15</v>
      </c>
      <c r="AC9485">
        <v>7.4772000000000096</v>
      </c>
      <c r="AD9485">
        <v>-1.11399648272</v>
      </c>
      <c r="AE9485">
        <v>8.7858199999999993</v>
      </c>
      <c r="AF9485">
        <v>-3.9022734673823201</v>
      </c>
      <c r="AG9485">
        <v>-1.11399648272</v>
      </c>
      <c r="AH9485">
        <v>10.743543360632099</v>
      </c>
      <c r="AI9485">
        <v>95.566470326969394</v>
      </c>
      <c r="AJ9485">
        <v>109.96205110104</v>
      </c>
      <c r="AK9485">
        <v>11.4844438402358</v>
      </c>
      <c r="AL9485">
        <v>90.560003934222195</v>
      </c>
      <c r="AM9485">
        <v>92.958937250574493</v>
      </c>
      <c r="AN9485">
        <v>1.00000001421141</v>
      </c>
    </row>
    <row r="9486" spans="1:40" x14ac:dyDescent="0.25">
      <c r="A9486" t="str">
        <f>"20190312154138993"</f>
        <v>20190312154138993</v>
      </c>
      <c r="B9486" t="str">
        <f>"1552376498985318"</f>
        <v>1552376498985318</v>
      </c>
      <c r="C9486" t="s">
        <v>40</v>
      </c>
      <c r="D9486">
        <v>4.5975129999999904</v>
      </c>
      <c r="E9486">
        <v>0.38292039999999999</v>
      </c>
      <c r="F9486" t="s">
        <v>69</v>
      </c>
      <c r="G9486">
        <v>-196.74719999999999</v>
      </c>
      <c r="H9486" s="1">
        <v>-2.4962080000000001E-6</v>
      </c>
      <c r="I9486">
        <v>-50.192160000000001</v>
      </c>
      <c r="J9486">
        <v>-204.23220000000001</v>
      </c>
      <c r="K9486">
        <v>1.1139699999999999</v>
      </c>
      <c r="L9486">
        <v>-59.124969999999998</v>
      </c>
      <c r="M9486">
        <v>0.86632379999999998</v>
      </c>
      <c r="N9486">
        <v>0</v>
      </c>
      <c r="O9486">
        <v>0.49927149999999998</v>
      </c>
      <c r="P9486">
        <v>0.83891769999999999</v>
      </c>
      <c r="Q9486">
        <v>-2.391354E-2</v>
      </c>
      <c r="R9486">
        <v>0.54373280000000002</v>
      </c>
      <c r="S9486">
        <v>2.0190429999999999</v>
      </c>
      <c r="T9486">
        <v>-0.29760690000000001</v>
      </c>
      <c r="U9486">
        <v>2.3994749999999998</v>
      </c>
      <c r="V9486">
        <v>-5.212104E-2</v>
      </c>
      <c r="W9486">
        <v>-9.8715699999999997E-3</v>
      </c>
      <c r="X9486">
        <v>0.99859200000000004</v>
      </c>
      <c r="Y9486">
        <v>-0.34192529999999999</v>
      </c>
      <c r="Z9486">
        <v>-3.2800070000000001E-2</v>
      </c>
      <c r="AA9486">
        <v>0.93915459999999995</v>
      </c>
      <c r="AB9486">
        <v>15</v>
      </c>
      <c r="AC9486">
        <v>7.4850000000000101</v>
      </c>
      <c r="AD9486">
        <v>-1.113972496208</v>
      </c>
      <c r="AE9486">
        <v>8.9328099999999893</v>
      </c>
      <c r="AF9486">
        <v>-3.9658467339663099</v>
      </c>
      <c r="AG9486">
        <v>-1.113972496208</v>
      </c>
      <c r="AH9486">
        <v>10.846387130977799</v>
      </c>
      <c r="AI9486">
        <v>95.509638998795495</v>
      </c>
      <c r="AJ9486">
        <v>110.08431148701101</v>
      </c>
      <c r="AK9486">
        <v>11.602283776682</v>
      </c>
      <c r="AL9486">
        <v>90.565608475266899</v>
      </c>
      <c r="AM9486">
        <v>92.987815041172198</v>
      </c>
      <c r="AN9486">
        <v>1.00000001658447</v>
      </c>
    </row>
    <row r="9487" spans="1:40" x14ac:dyDescent="0.25">
      <c r="A9487" t="str">
        <f>"20190312154139003"</f>
        <v>20190312154139003</v>
      </c>
      <c r="B9487" t="str">
        <f>"1552376498995077"</f>
        <v>1552376498995077</v>
      </c>
      <c r="C9487" t="s">
        <v>40</v>
      </c>
      <c r="D9487">
        <v>4.5842980000000004</v>
      </c>
      <c r="E9487">
        <v>0.38250279999999998</v>
      </c>
      <c r="F9487" t="s">
        <v>69</v>
      </c>
      <c r="G9487">
        <v>-196.70089999999999</v>
      </c>
      <c r="H9487" s="1">
        <v>-2.5778320000000002E-6</v>
      </c>
      <c r="I9487">
        <v>-50.036859999999997</v>
      </c>
      <c r="J9487">
        <v>-204.1771</v>
      </c>
      <c r="K9487">
        <v>1.1139570000000001</v>
      </c>
      <c r="L9487">
        <v>-59.087589999999999</v>
      </c>
      <c r="M9487">
        <v>0.86421589999999904</v>
      </c>
      <c r="N9487">
        <v>0</v>
      </c>
      <c r="O9487">
        <v>0.50291160000000001</v>
      </c>
      <c r="P9487">
        <v>0.83617169999999896</v>
      </c>
      <c r="Q9487">
        <v>-2.380148E-2</v>
      </c>
      <c r="R9487">
        <v>0.54795119999999997</v>
      </c>
      <c r="S9487">
        <v>2.0018919999999998</v>
      </c>
      <c r="T9487">
        <v>-0.2961048</v>
      </c>
      <c r="U9487">
        <v>2.4157099999999998</v>
      </c>
      <c r="V9487">
        <v>-5.2948660000000002E-2</v>
      </c>
      <c r="W9487">
        <v>-9.7691919999999995E-3</v>
      </c>
      <c r="X9487">
        <v>0.99854949999999998</v>
      </c>
      <c r="Y9487">
        <v>-0.3450241</v>
      </c>
      <c r="Z9487">
        <v>-3.2859159999999998E-2</v>
      </c>
      <c r="AA9487">
        <v>0.93801849999999998</v>
      </c>
      <c r="AB9487">
        <v>15</v>
      </c>
      <c r="AC9487">
        <v>7.4762000000000004</v>
      </c>
      <c r="AD9487">
        <v>-1.1139595778319999</v>
      </c>
      <c r="AE9487">
        <v>9.0507299999999997</v>
      </c>
      <c r="AF9487">
        <v>-4.0260922497551102</v>
      </c>
      <c r="AG9487">
        <v>-1.1139595778319999</v>
      </c>
      <c r="AH9487">
        <v>10.915638899570199</v>
      </c>
      <c r="AI9487">
        <v>95.469203297076206</v>
      </c>
      <c r="AJ9487">
        <v>110.24584385191299</v>
      </c>
      <c r="AK9487">
        <v>11.6876643231396</v>
      </c>
      <c r="AL9487">
        <v>90.559742346007496</v>
      </c>
      <c r="AM9487">
        <v>93.035298908184103</v>
      </c>
      <c r="AN9487">
        <v>1.00000005082918</v>
      </c>
    </row>
    <row r="9488" spans="1:40" x14ac:dyDescent="0.25">
      <c r="A9488" t="str">
        <f>"20190312154139013"</f>
        <v>20190312154139013</v>
      </c>
      <c r="B9488" t="str">
        <f>"1552376499005814"</f>
        <v>1552376499005814</v>
      </c>
      <c r="C9488" t="s">
        <v>40</v>
      </c>
      <c r="D9488">
        <v>4.6980729999999999</v>
      </c>
      <c r="E9488">
        <v>0.38274459999999999</v>
      </c>
      <c r="F9488" t="s">
        <v>69</v>
      </c>
      <c r="G9488">
        <v>-196.6524</v>
      </c>
      <c r="H9488" s="1">
        <v>-2.65003E-6</v>
      </c>
      <c r="I9488">
        <v>-49.896659999999997</v>
      </c>
      <c r="J9488">
        <v>-204.12469999999999</v>
      </c>
      <c r="K9488">
        <v>1.1139479999999999</v>
      </c>
      <c r="L9488">
        <v>-59.051760000000002</v>
      </c>
      <c r="M9488">
        <v>0.86219190000000001</v>
      </c>
      <c r="N9488">
        <v>0</v>
      </c>
      <c r="O9488">
        <v>0.50637370000000004</v>
      </c>
      <c r="P9488">
        <v>0.83357440000000005</v>
      </c>
      <c r="Q9488">
        <v>-2.385721E-2</v>
      </c>
      <c r="R9488">
        <v>0.55189180000000004</v>
      </c>
      <c r="S9488">
        <v>1.9880979999999999</v>
      </c>
      <c r="T9488">
        <v>-0.29431669999999999</v>
      </c>
      <c r="U9488">
        <v>2.4283139999999999</v>
      </c>
      <c r="V9488">
        <v>-5.3657589999999998E-2</v>
      </c>
      <c r="W9488">
        <v>-9.8334349999999997E-3</v>
      </c>
      <c r="X9488">
        <v>0.99851100000000004</v>
      </c>
      <c r="Y9488">
        <v>-0.34683700000000001</v>
      </c>
      <c r="Z9488">
        <v>-3.2928739999999998E-2</v>
      </c>
      <c r="AA9488">
        <v>0.93734720000000005</v>
      </c>
      <c r="AB9488">
        <v>15</v>
      </c>
      <c r="AC9488">
        <v>7.47229999999999</v>
      </c>
      <c r="AD9488">
        <v>-1.1139506500299901</v>
      </c>
      <c r="AE9488">
        <v>9.1550999999999902</v>
      </c>
      <c r="AF9488">
        <v>-4.07391089896828</v>
      </c>
      <c r="AG9488">
        <v>-1.1139506500299901</v>
      </c>
      <c r="AH9488">
        <v>10.982044058628899</v>
      </c>
      <c r="AI9488">
        <v>95.432554776664901</v>
      </c>
      <c r="AJ9488">
        <v>110.352893503205</v>
      </c>
      <c r="AK9488">
        <v>11.7661772793504</v>
      </c>
      <c r="AL9488">
        <v>90.563423389803006</v>
      </c>
      <c r="AM9488">
        <v>93.075979394887497</v>
      </c>
      <c r="AN9488">
        <v>1.0000000252647501</v>
      </c>
    </row>
    <row r="9489" spans="1:40" x14ac:dyDescent="0.25">
      <c r="A9489" t="str">
        <f>"20190312154139024"</f>
        <v>20190312154139024</v>
      </c>
      <c r="B9489" t="str">
        <f>"1552376499015574"</f>
        <v>1552376499015574</v>
      </c>
      <c r="C9489" t="s">
        <v>40</v>
      </c>
      <c r="D9489">
        <v>4.5555940000000001</v>
      </c>
      <c r="E9489">
        <v>0.38265729999999998</v>
      </c>
      <c r="F9489" t="s">
        <v>69</v>
      </c>
      <c r="G9489">
        <v>-196.56700000000001</v>
      </c>
      <c r="H9489" s="1">
        <v>-2.7226189999999999E-6</v>
      </c>
      <c r="I9489">
        <v>-49.74194</v>
      </c>
      <c r="J9489">
        <v>-204.06710000000001</v>
      </c>
      <c r="K9489">
        <v>1.113936</v>
      </c>
      <c r="L9489">
        <v>-59.011870000000002</v>
      </c>
      <c r="M9489">
        <v>0.85994230000000005</v>
      </c>
      <c r="N9489">
        <v>0</v>
      </c>
      <c r="O9489">
        <v>0.51018490000000005</v>
      </c>
      <c r="P9489">
        <v>0.83064229999999994</v>
      </c>
      <c r="Q9489">
        <v>-2.4155220000000002E-2</v>
      </c>
      <c r="R9489">
        <v>0.55628230000000001</v>
      </c>
      <c r="S9489">
        <v>1.977692</v>
      </c>
      <c r="T9489">
        <v>-0.29149419999999998</v>
      </c>
      <c r="U9489">
        <v>2.4361570000000001</v>
      </c>
      <c r="V9489">
        <v>-5.4508719999999997E-2</v>
      </c>
      <c r="W9489">
        <v>-1.014172E-2</v>
      </c>
      <c r="X9489">
        <v>0.99846179999999995</v>
      </c>
      <c r="Y9489">
        <v>-0.34657939999999998</v>
      </c>
      <c r="Z9489">
        <v>-3.3021189999999999E-2</v>
      </c>
      <c r="AA9489">
        <v>0.93743929999999998</v>
      </c>
      <c r="AB9489">
        <v>15</v>
      </c>
      <c r="AC9489">
        <v>7.5000999999999998</v>
      </c>
      <c r="AD9489">
        <v>-1.1139387226189901</v>
      </c>
      <c r="AE9489">
        <v>9.2699299999999898</v>
      </c>
      <c r="AF9489">
        <v>-4.1097372559917797</v>
      </c>
      <c r="AG9489">
        <v>-1.1139387226189901</v>
      </c>
      <c r="AH9489">
        <v>11.083481251648699</v>
      </c>
      <c r="AI9489">
        <v>95.3833553865976</v>
      </c>
      <c r="AJ9489">
        <v>110.344700458643</v>
      </c>
      <c r="AK9489">
        <v>11.8732622495541</v>
      </c>
      <c r="AL9489">
        <v>90.581087708409299</v>
      </c>
      <c r="AM9489">
        <v>93.124829075254397</v>
      </c>
      <c r="AN9489">
        <v>1.0000000105499101</v>
      </c>
    </row>
    <row r="9490" spans="1:40" x14ac:dyDescent="0.25">
      <c r="A9490" t="str">
        <f>"20190312154139035"</f>
        <v>20190312154139035</v>
      </c>
      <c r="B9490" t="str">
        <f>"1552376499025334"</f>
        <v>1552376499025334</v>
      </c>
      <c r="C9490" t="s">
        <v>40</v>
      </c>
      <c r="D9490">
        <v>4.6379590000000004</v>
      </c>
      <c r="E9490">
        <v>0.38231910000000002</v>
      </c>
      <c r="F9490" t="s">
        <v>69</v>
      </c>
      <c r="G9490">
        <v>-196.5369</v>
      </c>
      <c r="H9490" s="1">
        <v>-2.7807829999999999E-6</v>
      </c>
      <c r="I9490">
        <v>-49.632379999999998</v>
      </c>
      <c r="J9490">
        <v>-204.011</v>
      </c>
      <c r="K9490">
        <v>1.113923</v>
      </c>
      <c r="L9490">
        <v>-58.972839999999998</v>
      </c>
      <c r="M9490">
        <v>0.85773120000000003</v>
      </c>
      <c r="N9490">
        <v>0</v>
      </c>
      <c r="O9490">
        <v>0.51389359999999995</v>
      </c>
      <c r="P9490">
        <v>0.82790649999999999</v>
      </c>
      <c r="Q9490">
        <v>-2.4281670000000002E-2</v>
      </c>
      <c r="R9490">
        <v>0.56034039999999996</v>
      </c>
      <c r="S9490">
        <v>1.964493</v>
      </c>
      <c r="T9490">
        <v>-0.29060520000000001</v>
      </c>
      <c r="U9490">
        <v>2.44693</v>
      </c>
      <c r="V9490">
        <v>-5.5083300000000002E-2</v>
      </c>
      <c r="W9490">
        <v>-1.0275690000000001E-2</v>
      </c>
      <c r="X9490">
        <v>0.99842889999999995</v>
      </c>
      <c r="Y9490">
        <v>-0.34762389999999999</v>
      </c>
      <c r="Z9490">
        <v>-3.3253320000000003E-2</v>
      </c>
      <c r="AA9490">
        <v>0.93704419999999999</v>
      </c>
      <c r="AB9490">
        <v>15</v>
      </c>
      <c r="AC9490">
        <v>7.4740999999999902</v>
      </c>
      <c r="AD9490">
        <v>-1.1139257807830001</v>
      </c>
      <c r="AE9490">
        <v>9.3404600000000002</v>
      </c>
      <c r="AF9490">
        <v>-4.1352951089584602</v>
      </c>
      <c r="AG9490">
        <v>-1.1139257807830001</v>
      </c>
      <c r="AH9490">
        <v>11.115572154219601</v>
      </c>
      <c r="AI9490">
        <v>95.365702607644195</v>
      </c>
      <c r="AJ9490">
        <v>110.406569682719</v>
      </c>
      <c r="AK9490">
        <v>11.9120712136442</v>
      </c>
      <c r="AL9490">
        <v>90.588764021869096</v>
      </c>
      <c r="AM9490">
        <v>93.157805633682798</v>
      </c>
      <c r="AN9490">
        <v>1.00000001404953</v>
      </c>
    </row>
    <row r="9491" spans="1:40" x14ac:dyDescent="0.25">
      <c r="A9491" t="str">
        <f>"20190312154139046"</f>
        <v>20190312154139046</v>
      </c>
      <c r="B9491" t="str">
        <f>"1552376499035094"</f>
        <v>1552376499035094</v>
      </c>
      <c r="C9491" t="s">
        <v>40</v>
      </c>
      <c r="D9491">
        <v>4.5369229999999998</v>
      </c>
      <c r="E9491">
        <v>0.38249339999999998</v>
      </c>
      <c r="F9491" t="s">
        <v>69</v>
      </c>
      <c r="G9491">
        <v>-196.47559999999999</v>
      </c>
      <c r="H9491" s="1">
        <v>-2.8598339999999998E-6</v>
      </c>
      <c r="I9491">
        <v>-49.4758</v>
      </c>
      <c r="J9491">
        <v>-203.95259999999999</v>
      </c>
      <c r="K9491">
        <v>1.1139129999999999</v>
      </c>
      <c r="L9491">
        <v>-58.931609999999999</v>
      </c>
      <c r="M9491">
        <v>0.85540210000000005</v>
      </c>
      <c r="N9491">
        <v>0</v>
      </c>
      <c r="O9491">
        <v>0.51776129999999998</v>
      </c>
      <c r="P9491">
        <v>0.82505980000000001</v>
      </c>
      <c r="Q9491">
        <v>-2.4411100000000002E-2</v>
      </c>
      <c r="R9491">
        <v>0.56451790000000002</v>
      </c>
      <c r="S9491">
        <v>1.950958</v>
      </c>
      <c r="T9491">
        <v>-0.28840100000000002</v>
      </c>
      <c r="U9491">
        <v>2.4588320000000001</v>
      </c>
      <c r="V9491">
        <v>-5.562309E-2</v>
      </c>
      <c r="W9491">
        <v>-1.0412630000000001E-2</v>
      </c>
      <c r="X9491">
        <v>0.99839750000000005</v>
      </c>
      <c r="Y9491">
        <v>-0.34876629999999997</v>
      </c>
      <c r="Z9491">
        <v>-3.3336570000000003E-2</v>
      </c>
      <c r="AA9491">
        <v>0.93661669999999997</v>
      </c>
      <c r="AB9491">
        <v>15</v>
      </c>
      <c r="AC9491">
        <v>7.4770000000000003</v>
      </c>
      <c r="AD9491">
        <v>-1.113915859834</v>
      </c>
      <c r="AE9491">
        <v>9.4558099999999996</v>
      </c>
      <c r="AF9491">
        <v>-4.1819544285149597</v>
      </c>
      <c r="AG9491">
        <v>-1.113915859834</v>
      </c>
      <c r="AH9491">
        <v>11.197273687414199</v>
      </c>
      <c r="AI9491">
        <v>95.324213273509699</v>
      </c>
      <c r="AJ9491">
        <v>110.479639542101</v>
      </c>
      <c r="AK9491">
        <v>12.004519541232099</v>
      </c>
      <c r="AL9491">
        <v>90.596610558159895</v>
      </c>
      <c r="AM9491">
        <v>93.188787149236802</v>
      </c>
      <c r="AN9491">
        <v>0.99999995950545595</v>
      </c>
    </row>
    <row r="9492" spans="1:40" x14ac:dyDescent="0.25">
      <c r="A9492" t="str">
        <f>"20190312154139058"</f>
        <v>20190312154139058</v>
      </c>
      <c r="B9492" t="str">
        <f>"1552376499045830"</f>
        <v>1552376499045830</v>
      </c>
      <c r="C9492" t="s">
        <v>40</v>
      </c>
      <c r="D9492">
        <v>4.6460189999999999</v>
      </c>
      <c r="E9492">
        <v>0.38274979999999997</v>
      </c>
      <c r="F9492" t="s">
        <v>69</v>
      </c>
      <c r="G9492">
        <v>-196.41370000000001</v>
      </c>
      <c r="H9492" s="1">
        <v>-2.9267350000000002E-6</v>
      </c>
      <c r="I9492">
        <v>-49.339530000000003</v>
      </c>
      <c r="J9492">
        <v>-203.89349999999999</v>
      </c>
      <c r="K9492">
        <v>1.113901</v>
      </c>
      <c r="L9492">
        <v>-58.889769999999999</v>
      </c>
      <c r="M9492">
        <v>0.85302429999999996</v>
      </c>
      <c r="N9492">
        <v>0</v>
      </c>
      <c r="O9492">
        <v>0.52166970000000001</v>
      </c>
      <c r="P9492">
        <v>0.82218500000000005</v>
      </c>
      <c r="Q9492">
        <v>-2.4484100000000002E-2</v>
      </c>
      <c r="R9492">
        <v>0.56869349999999996</v>
      </c>
      <c r="S9492">
        <v>1.9393309999999999</v>
      </c>
      <c r="T9492">
        <v>-0.28654760000000001</v>
      </c>
      <c r="U9492">
        <v>2.4674990000000001</v>
      </c>
      <c r="V9492">
        <v>-5.6117199999999999E-2</v>
      </c>
      <c r="W9492">
        <v>-1.0492659999999999E-2</v>
      </c>
      <c r="X9492">
        <v>0.99836899999999995</v>
      </c>
      <c r="Y9492">
        <v>-0.34881010000000001</v>
      </c>
      <c r="Z9492">
        <v>-3.3520429999999997E-2</v>
      </c>
      <c r="AA9492">
        <v>0.93659380000000003</v>
      </c>
      <c r="AB9492">
        <v>15</v>
      </c>
      <c r="AC9492">
        <v>7.4797999999999796</v>
      </c>
      <c r="AD9492">
        <v>-1.1139039267349999</v>
      </c>
      <c r="AE9492">
        <v>9.5502400000000005</v>
      </c>
      <c r="AF9492">
        <v>-4.2095538396635304</v>
      </c>
      <c r="AG9492">
        <v>-1.1139039267349999</v>
      </c>
      <c r="AH9492">
        <v>11.268700975355699</v>
      </c>
      <c r="AI9492">
        <v>95.290460007440402</v>
      </c>
      <c r="AJ9492">
        <v>110.48375691984</v>
      </c>
      <c r="AK9492">
        <v>12.0807593784085</v>
      </c>
      <c r="AL9492">
        <v>90.601196196950099</v>
      </c>
      <c r="AM9492">
        <v>93.217146130267196</v>
      </c>
      <c r="AN9492">
        <v>0.99999994810535597</v>
      </c>
    </row>
    <row r="9493" spans="1:40" x14ac:dyDescent="0.25">
      <c r="A9493" t="str">
        <f>"20190312154139068"</f>
        <v>20190312154139068</v>
      </c>
      <c r="B9493" t="str">
        <f>"1552376499065350"</f>
        <v>1552376499065350</v>
      </c>
      <c r="C9493" t="s">
        <v>40</v>
      </c>
      <c r="D9493">
        <v>4.5214439999999998</v>
      </c>
      <c r="E9493">
        <v>0.38327729999999999</v>
      </c>
      <c r="F9493" t="s">
        <v>69</v>
      </c>
      <c r="G9493">
        <v>-196.3107</v>
      </c>
      <c r="H9493" s="1">
        <v>-3.014075E-6</v>
      </c>
      <c r="I9493">
        <v>-49.153289999999998</v>
      </c>
      <c r="J9493">
        <v>-203.83699999999999</v>
      </c>
      <c r="K9493">
        <v>1.11389</v>
      </c>
      <c r="L9493">
        <v>-58.849060000000001</v>
      </c>
      <c r="M9493">
        <v>0.85072179999999997</v>
      </c>
      <c r="N9493">
        <v>0</v>
      </c>
      <c r="O9493">
        <v>0.52541610000000005</v>
      </c>
      <c r="P9493">
        <v>0.819341599999999</v>
      </c>
      <c r="Q9493">
        <v>-2.438034E-2</v>
      </c>
      <c r="R9493">
        <v>0.57278699999999905</v>
      </c>
      <c r="S9493">
        <v>1.928024</v>
      </c>
      <c r="T9493">
        <v>-0.2832268</v>
      </c>
      <c r="U9493">
        <v>2.4756469999999999</v>
      </c>
      <c r="V9493">
        <v>-5.6705180000000001E-2</v>
      </c>
      <c r="W9493">
        <v>-1.0396880000000001E-2</v>
      </c>
      <c r="X9493">
        <v>0.99833689999999997</v>
      </c>
      <c r="Y9493">
        <v>-0.34884520000000002</v>
      </c>
      <c r="Z9493">
        <v>-3.3512599999999997E-2</v>
      </c>
      <c r="AA9493">
        <v>0.936581</v>
      </c>
      <c r="AB9493">
        <v>15</v>
      </c>
      <c r="AC9493">
        <v>7.5263000000000098</v>
      </c>
      <c r="AD9493">
        <v>-1.1138930140750001</v>
      </c>
      <c r="AE9493">
        <v>9.69576999999998</v>
      </c>
      <c r="AF9493">
        <v>-4.25933610333899</v>
      </c>
      <c r="AG9493">
        <v>-1.1138930140750001</v>
      </c>
      <c r="AH9493">
        <v>11.404385610156099</v>
      </c>
      <c r="AI9493">
        <v>95.227951365539198</v>
      </c>
      <c r="AJ9493">
        <v>110.479769942282</v>
      </c>
      <c r="AK9493">
        <v>12.2246763897106</v>
      </c>
      <c r="AL9493">
        <v>90.595708035380696</v>
      </c>
      <c r="AM9493">
        <v>93.250886849090506</v>
      </c>
      <c r="AN9493">
        <v>1.0000000692270801</v>
      </c>
    </row>
    <row r="9494" spans="1:40" x14ac:dyDescent="0.25">
      <c r="A9494" t="str">
        <f>"20190312154139080"</f>
        <v>20190312154139080</v>
      </c>
      <c r="B9494" t="str">
        <f>"1552376499075110"</f>
        <v>1552376499075110</v>
      </c>
      <c r="C9494" t="s">
        <v>40</v>
      </c>
      <c r="D9494">
        <v>4.5240869999999997</v>
      </c>
      <c r="E9494">
        <v>0.38367970000000001</v>
      </c>
      <c r="F9494" t="s">
        <v>69</v>
      </c>
      <c r="G9494">
        <v>-196.1857</v>
      </c>
      <c r="H9494" s="1">
        <v>-3.106191E-6</v>
      </c>
      <c r="I9494">
        <v>-48.950699999999998</v>
      </c>
      <c r="J9494">
        <v>-203.77629999999999</v>
      </c>
      <c r="K9494">
        <v>1.113874</v>
      </c>
      <c r="L9494">
        <v>-58.805239999999998</v>
      </c>
      <c r="M9494">
        <v>0.84823199999999999</v>
      </c>
      <c r="N9494">
        <v>0</v>
      </c>
      <c r="O9494">
        <v>0.52942650000000002</v>
      </c>
      <c r="P9494">
        <v>0.81639589999999995</v>
      </c>
      <c r="Q9494">
        <v>-2.426466E-2</v>
      </c>
      <c r="R9494">
        <v>0.57698260000000001</v>
      </c>
      <c r="S9494">
        <v>1.918274</v>
      </c>
      <c r="T9494">
        <v>-0.27926869999999998</v>
      </c>
      <c r="U9494">
        <v>2.4816590000000001</v>
      </c>
      <c r="V9494">
        <v>-5.7113209999999998E-2</v>
      </c>
      <c r="W9494">
        <v>-1.0287579999999999E-2</v>
      </c>
      <c r="X9494">
        <v>0.9983147</v>
      </c>
      <c r="Y9494">
        <v>-0.34782249999999998</v>
      </c>
      <c r="Z9494">
        <v>-3.3497609999999997E-2</v>
      </c>
      <c r="AA9494">
        <v>0.93696179999999996</v>
      </c>
      <c r="AB9494">
        <v>15</v>
      </c>
      <c r="AC9494">
        <v>7.5905999999999896</v>
      </c>
      <c r="AD9494">
        <v>-1.113877106191</v>
      </c>
      <c r="AE9494">
        <v>9.8545400000000001</v>
      </c>
      <c r="AF9494">
        <v>-4.3061973251676298</v>
      </c>
      <c r="AG9494">
        <v>-1.113877106191</v>
      </c>
      <c r="AH9494">
        <v>11.564338201536801</v>
      </c>
      <c r="AI9494">
        <v>95.157830001744301</v>
      </c>
      <c r="AJ9494">
        <v>110.42375465196901</v>
      </c>
      <c r="AK9494">
        <v>12.3902371103422</v>
      </c>
      <c r="AL9494">
        <v>90.589445314946701</v>
      </c>
      <c r="AM9494">
        <v>93.274300996068206</v>
      </c>
      <c r="AN9494">
        <v>0.999999996647425</v>
      </c>
    </row>
    <row r="9495" spans="1:40" x14ac:dyDescent="0.25">
      <c r="A9495" t="str">
        <f>"20190312154139091"</f>
        <v>20190312154139091</v>
      </c>
      <c r="B9495" t="str">
        <f>"1552376499085846"</f>
        <v>1552376499085846</v>
      </c>
      <c r="C9495" t="s">
        <v>40</v>
      </c>
      <c r="D9495">
        <v>4.4850849999999998</v>
      </c>
      <c r="E9495">
        <v>0.38412649999999998</v>
      </c>
      <c r="F9495" t="s">
        <v>69</v>
      </c>
      <c r="G9495">
        <v>-196.1422</v>
      </c>
      <c r="H9495" s="1">
        <v>-3.1601309999999998E-6</v>
      </c>
      <c r="I9495">
        <v>-48.843209999999999</v>
      </c>
      <c r="J9495">
        <v>-203.71789999999999</v>
      </c>
      <c r="K9495">
        <v>1.1138629999999901</v>
      </c>
      <c r="L9495">
        <v>-58.762419999999999</v>
      </c>
      <c r="M9495">
        <v>0.84580109999999997</v>
      </c>
      <c r="N9495">
        <v>0</v>
      </c>
      <c r="O9495">
        <v>0.53330169999999999</v>
      </c>
      <c r="P9495">
        <v>0.81342209999999904</v>
      </c>
      <c r="Q9495">
        <v>-2.410265E-2</v>
      </c>
      <c r="R9495">
        <v>0.58117430000000003</v>
      </c>
      <c r="S9495">
        <v>1.907349</v>
      </c>
      <c r="T9495">
        <v>-0.27829559999999998</v>
      </c>
      <c r="U9495">
        <v>2.488953</v>
      </c>
      <c r="V9495">
        <v>-5.7679300000000003E-2</v>
      </c>
      <c r="W9495">
        <v>-1.013349E-2</v>
      </c>
      <c r="X9495">
        <v>0.9982837</v>
      </c>
      <c r="Y9495">
        <v>-0.34745769999999998</v>
      </c>
      <c r="Z9495">
        <v>-3.3787270000000001E-2</v>
      </c>
      <c r="AA9495">
        <v>0.9370868</v>
      </c>
      <c r="AB9495">
        <v>15</v>
      </c>
      <c r="AC9495">
        <v>7.5756999999999799</v>
      </c>
      <c r="AD9495">
        <v>-1.11386616013099</v>
      </c>
      <c r="AE9495">
        <v>9.9192099999999996</v>
      </c>
      <c r="AF9495">
        <v>-4.3156302973435796</v>
      </c>
      <c r="AG9495">
        <v>-1.11386616013099</v>
      </c>
      <c r="AH9495">
        <v>11.606258194269801</v>
      </c>
      <c r="AI9495">
        <v>95.140139666444398</v>
      </c>
      <c r="AJ9495">
        <v>110.39697096146701</v>
      </c>
      <c r="AK9495">
        <v>12.4326421953698</v>
      </c>
      <c r="AL9495">
        <v>90.580616164926198</v>
      </c>
      <c r="AM9495">
        <v>93.306785734433802</v>
      </c>
      <c r="AN9495">
        <v>0.99999996747687903</v>
      </c>
    </row>
    <row r="9496" spans="1:40" x14ac:dyDescent="0.25">
      <c r="A9496" t="str">
        <f>"20190312154139103"</f>
        <v>20190312154139103</v>
      </c>
      <c r="B9496" t="str">
        <f>"1552376499095605"</f>
        <v>1552376499095605</v>
      </c>
      <c r="C9496" t="s">
        <v>40</v>
      </c>
      <c r="D9496">
        <v>4.5085739999999896</v>
      </c>
      <c r="E9496">
        <v>0.38467079999999998</v>
      </c>
      <c r="F9496" t="s">
        <v>69</v>
      </c>
      <c r="G9496">
        <v>-196.06829999999999</v>
      </c>
      <c r="H9496" s="1">
        <v>-3.2304739999999999E-6</v>
      </c>
      <c r="I9496">
        <v>-48.696620000000003</v>
      </c>
      <c r="J9496">
        <v>-203.65880000000001</v>
      </c>
      <c r="K9496">
        <v>1.113853</v>
      </c>
      <c r="L9496">
        <v>-58.71875</v>
      </c>
      <c r="M9496">
        <v>0.84331880000000004</v>
      </c>
      <c r="N9496">
        <v>0</v>
      </c>
      <c r="O9496">
        <v>0.53721830000000004</v>
      </c>
      <c r="P9496">
        <v>0.81045299999999998</v>
      </c>
      <c r="Q9496">
        <v>-2.403199E-2</v>
      </c>
      <c r="R9496">
        <v>0.58531060000000001</v>
      </c>
      <c r="S9496">
        <v>1.8967130000000001</v>
      </c>
      <c r="T9496">
        <v>-0.27618359999999997</v>
      </c>
      <c r="U9496">
        <v>2.495819</v>
      </c>
      <c r="V9496">
        <v>-5.8135350000000002E-2</v>
      </c>
      <c r="W9496">
        <v>-1.006978E-2</v>
      </c>
      <c r="X9496">
        <v>0.99825790000000003</v>
      </c>
      <c r="Y9496">
        <v>-0.34688659999999999</v>
      </c>
      <c r="Z9496">
        <v>-3.394904E-2</v>
      </c>
      <c r="AA9496">
        <v>0.93729249999999997</v>
      </c>
      <c r="AB9496">
        <v>15</v>
      </c>
      <c r="AC9496">
        <v>7.5905000000000102</v>
      </c>
      <c r="AD9496">
        <v>-1.1138562304740001</v>
      </c>
      <c r="AE9496">
        <v>10.022129999999899</v>
      </c>
      <c r="AF9496">
        <v>-4.3404838277745297</v>
      </c>
      <c r="AG9496">
        <v>-1.1138562304740001</v>
      </c>
      <c r="AH9496">
        <v>11.6947228191982</v>
      </c>
      <c r="AI9496">
        <v>95.102556927471298</v>
      </c>
      <c r="AJ9496">
        <v>110.36235395426699</v>
      </c>
      <c r="AK9496">
        <v>12.523857927141</v>
      </c>
      <c r="AL9496">
        <v>90.576965658853695</v>
      </c>
      <c r="AM9496">
        <v>93.332958564684105</v>
      </c>
      <c r="AN9496">
        <v>0.99999997715064004</v>
      </c>
    </row>
    <row r="9497" spans="1:40" x14ac:dyDescent="0.25">
      <c r="A9497" t="str">
        <f>"20190312154139114"</f>
        <v>20190312154139114</v>
      </c>
      <c r="B9497" t="str">
        <f>"1552376499105365"</f>
        <v>1552376499105365</v>
      </c>
      <c r="C9497" t="s">
        <v>40</v>
      </c>
      <c r="D9497">
        <v>4.4968859999999999</v>
      </c>
      <c r="E9497">
        <v>0.38518459999999899</v>
      </c>
      <c r="F9497" t="s">
        <v>69</v>
      </c>
      <c r="G9497">
        <v>-196.01060000000001</v>
      </c>
      <c r="H9497" s="1">
        <v>-3.2886679999999999E-6</v>
      </c>
      <c r="I9497">
        <v>-48.576619999999998</v>
      </c>
      <c r="J9497">
        <v>-203.60210000000001</v>
      </c>
      <c r="K9497">
        <v>1.113845</v>
      </c>
      <c r="L9497">
        <v>-58.676569999999998</v>
      </c>
      <c r="M9497">
        <v>0.84091589999999905</v>
      </c>
      <c r="N9497">
        <v>0</v>
      </c>
      <c r="O9497">
        <v>0.54097209999999996</v>
      </c>
      <c r="P9497">
        <v>0.8076759</v>
      </c>
      <c r="Q9497">
        <v>-2.3697139999999998E-2</v>
      </c>
      <c r="R9497">
        <v>0.58915050000000002</v>
      </c>
      <c r="S9497">
        <v>1.8866270000000001</v>
      </c>
      <c r="T9497">
        <v>-0.27476289999999998</v>
      </c>
      <c r="U9497">
        <v>2.5018310000000001</v>
      </c>
      <c r="V9497">
        <v>-5.8421149999999998E-2</v>
      </c>
      <c r="W9497">
        <v>-9.7401039999999994E-3</v>
      </c>
      <c r="X9497">
        <v>0.99824449999999998</v>
      </c>
      <c r="Y9497">
        <v>-0.346203599999999</v>
      </c>
      <c r="Z9497">
        <v>-3.418247E-2</v>
      </c>
      <c r="AA9497">
        <v>0.93753649999999999</v>
      </c>
      <c r="AB9497">
        <v>15</v>
      </c>
      <c r="AC9497">
        <v>7.5914999999999901</v>
      </c>
      <c r="AD9497">
        <v>-1.1138482886679999</v>
      </c>
      <c r="AE9497">
        <v>10.09995</v>
      </c>
      <c r="AF9497">
        <v>-4.3530485200950402</v>
      </c>
      <c r="AG9497">
        <v>-1.1138482886679999</v>
      </c>
      <c r="AH9497">
        <v>11.757471823472301</v>
      </c>
      <c r="AI9497">
        <v>95.076932613094002</v>
      </c>
      <c r="AJ9497">
        <v>110.31640572144801</v>
      </c>
      <c r="AK9497">
        <v>12.5868118722818</v>
      </c>
      <c r="AL9497">
        <v>90.558075680501801</v>
      </c>
      <c r="AM9497">
        <v>93.349351415002602</v>
      </c>
      <c r="AN9497">
        <v>0.99999999108675097</v>
      </c>
    </row>
    <row r="9498" spans="1:40" x14ac:dyDescent="0.25">
      <c r="A9498" t="str">
        <f>"20190312154139124"</f>
        <v>20190312154139124</v>
      </c>
      <c r="B9498" t="str">
        <f>"1552376499115126"</f>
        <v>1552376499115126</v>
      </c>
      <c r="C9498" t="s">
        <v>40</v>
      </c>
      <c r="D9498">
        <v>4.4939720000000003</v>
      </c>
      <c r="E9498">
        <v>0.38573429999999997</v>
      </c>
      <c r="F9498" t="s">
        <v>69</v>
      </c>
      <c r="G9498">
        <v>-195.92830000000001</v>
      </c>
      <c r="H9498" s="1">
        <v>-3.3601199999999902E-6</v>
      </c>
      <c r="I9498">
        <v>-48.42501</v>
      </c>
      <c r="J9498">
        <v>-203.54820000000001</v>
      </c>
      <c r="K9498">
        <v>1.1138399999999999</v>
      </c>
      <c r="L9498">
        <v>-58.636020000000002</v>
      </c>
      <c r="M9498">
        <v>0.83860809999999997</v>
      </c>
      <c r="N9498">
        <v>0</v>
      </c>
      <c r="O9498">
        <v>0.54454269999999905</v>
      </c>
      <c r="P9498">
        <v>0.80495450000000002</v>
      </c>
      <c r="Q9498">
        <v>-2.3841899999999999E-2</v>
      </c>
      <c r="R9498">
        <v>0.59285739999999998</v>
      </c>
      <c r="S9498">
        <v>1.8771359999999999</v>
      </c>
      <c r="T9498">
        <v>-0.27246799999999999</v>
      </c>
      <c r="U9498">
        <v>2.5077210000000001</v>
      </c>
      <c r="V9498">
        <v>-5.8767100000000003E-2</v>
      </c>
      <c r="W9498">
        <v>-9.8906830000000008E-3</v>
      </c>
      <c r="X9498">
        <v>0.99822270000000002</v>
      </c>
      <c r="Y9498">
        <v>-0.34554759999999901</v>
      </c>
      <c r="Z9498">
        <v>-3.4280629999999999E-2</v>
      </c>
      <c r="AA9498">
        <v>0.93777489999999997</v>
      </c>
      <c r="AB9498">
        <v>15</v>
      </c>
      <c r="AC9498">
        <v>7.6199000000000003</v>
      </c>
      <c r="AD9498">
        <v>-1.11384336012</v>
      </c>
      <c r="AE9498">
        <v>10.2110099999999</v>
      </c>
      <c r="AF9498">
        <v>-4.3806568829652299</v>
      </c>
      <c r="AG9498">
        <v>-1.11384336012</v>
      </c>
      <c r="AH9498">
        <v>11.8610417576855</v>
      </c>
      <c r="AI9498">
        <v>95.034282290646601</v>
      </c>
      <c r="AJ9498">
        <v>110.27077861446</v>
      </c>
      <c r="AK9498">
        <v>12.693112830772201</v>
      </c>
      <c r="AL9498">
        <v>90.566703644686896</v>
      </c>
      <c r="AM9498">
        <v>93.369212978767806</v>
      </c>
      <c r="AN9498">
        <v>0.99999997822395303</v>
      </c>
    </row>
    <row r="9499" spans="1:40" x14ac:dyDescent="0.25">
      <c r="A9499" t="str">
        <f>"20190312154139137"</f>
        <v>20190312154139137</v>
      </c>
      <c r="B9499" t="str">
        <f>"1552376499125861"</f>
        <v>1552376499125861</v>
      </c>
      <c r="C9499" t="s">
        <v>40</v>
      </c>
      <c r="D9499">
        <v>4.5160819999999999</v>
      </c>
      <c r="E9499">
        <v>0.38573429999999997</v>
      </c>
      <c r="F9499" t="s">
        <v>69</v>
      </c>
      <c r="G9499">
        <v>-195.90520000000001</v>
      </c>
      <c r="H9499" s="1">
        <v>-3.3948519999999998E-6</v>
      </c>
      <c r="I9499">
        <v>-48.357619999999997</v>
      </c>
      <c r="J9499">
        <v>-203.4863</v>
      </c>
      <c r="K9499">
        <v>1.1138300000000001</v>
      </c>
      <c r="L9499">
        <v>-58.58914</v>
      </c>
      <c r="M9499">
        <v>0.83593079999999997</v>
      </c>
      <c r="N9499">
        <v>0</v>
      </c>
      <c r="O9499">
        <v>0.54864389999999996</v>
      </c>
      <c r="P9499">
        <v>0.80177010000000004</v>
      </c>
      <c r="Q9499">
        <v>-2.3672800000000001E-2</v>
      </c>
      <c r="R9499">
        <v>0.59716359999999902</v>
      </c>
      <c r="S9499">
        <v>1.868347</v>
      </c>
      <c r="T9499">
        <v>-0.27227780000000001</v>
      </c>
      <c r="U9499">
        <v>2.512543</v>
      </c>
      <c r="V9499">
        <v>-5.922699E-2</v>
      </c>
      <c r="W9499">
        <v>-9.7286999999999998E-3</v>
      </c>
      <c r="X9499">
        <v>0.99819709999999995</v>
      </c>
      <c r="Y9499">
        <v>-0.34393790000000002</v>
      </c>
      <c r="Z9499">
        <v>-3.4732949999999999E-2</v>
      </c>
      <c r="AA9499">
        <v>0.93834980000000001</v>
      </c>
      <c r="AB9499">
        <v>15</v>
      </c>
      <c r="AC9499">
        <v>7.5810999999999904</v>
      </c>
      <c r="AD9499">
        <v>-1.1138333948519901</v>
      </c>
      <c r="AE9499">
        <v>10.2315199999999</v>
      </c>
      <c r="AF9499">
        <v>-4.3606168413713897</v>
      </c>
      <c r="AG9499">
        <v>-1.1138333948519901</v>
      </c>
      <c r="AH9499">
        <v>11.8612409664598</v>
      </c>
      <c r="AI9499">
        <v>95.036909437358304</v>
      </c>
      <c r="AJ9499">
        <v>110.18523486082999</v>
      </c>
      <c r="AK9499">
        <v>12.686395915828999</v>
      </c>
      <c r="AL9499">
        <v>90.557422261783003</v>
      </c>
      <c r="AM9499">
        <v>93.395604643538704</v>
      </c>
      <c r="AN9499">
        <v>0.99999996719827899</v>
      </c>
    </row>
    <row r="9500" spans="1:40" x14ac:dyDescent="0.25">
      <c r="A9500" t="str">
        <f>"20190312154139149"</f>
        <v>20190312154139149</v>
      </c>
      <c r="B9500" t="str">
        <f>"1552376499145381"</f>
        <v>1552376499145381</v>
      </c>
      <c r="C9500" t="s">
        <v>40</v>
      </c>
      <c r="D9500">
        <v>4.895918</v>
      </c>
      <c r="E9500">
        <v>0.40061819999999998</v>
      </c>
      <c r="F9500" t="s">
        <v>69</v>
      </c>
      <c r="G9500">
        <v>-195.88159999999999</v>
      </c>
      <c r="H9500" s="1">
        <v>-3.4468000000000002E-6</v>
      </c>
      <c r="I9500">
        <v>-48.246099999999998</v>
      </c>
      <c r="J9500">
        <v>-203.42859999999999</v>
      </c>
      <c r="K9500">
        <v>1.1138209999999999</v>
      </c>
      <c r="L9500">
        <v>-58.544710000000002</v>
      </c>
      <c r="M9500">
        <v>0.83340079999999905</v>
      </c>
      <c r="N9500">
        <v>0</v>
      </c>
      <c r="O9500">
        <v>0.55247959999999996</v>
      </c>
      <c r="P9500">
        <v>0.79879929999999999</v>
      </c>
      <c r="Q9500">
        <v>-2.370802E-2</v>
      </c>
      <c r="R9500">
        <v>0.60113039999999995</v>
      </c>
      <c r="S9500">
        <v>1.854813</v>
      </c>
      <c r="T9500">
        <v>-0.27166459999999998</v>
      </c>
      <c r="U9500">
        <v>2.522675</v>
      </c>
      <c r="V9500">
        <v>-5.9587759999999997E-2</v>
      </c>
      <c r="W9500">
        <v>-9.7700249999999999E-3</v>
      </c>
      <c r="X9500">
        <v>0.99817529999999999</v>
      </c>
      <c r="Y9500">
        <v>-0.34469519999999998</v>
      </c>
      <c r="Z9500">
        <v>-3.499451E-2</v>
      </c>
      <c r="AA9500">
        <v>0.93806210000000001</v>
      </c>
      <c r="AB9500">
        <v>15</v>
      </c>
      <c r="AC9500">
        <v>7.5469999999999899</v>
      </c>
      <c r="AD9500">
        <v>-1.1138244468</v>
      </c>
      <c r="AE9500">
        <v>10.298609999999901</v>
      </c>
      <c r="AF9500">
        <v>-4.38043242168993</v>
      </c>
      <c r="AG9500">
        <v>-1.1138244468</v>
      </c>
      <c r="AH9500">
        <v>11.890215221742601</v>
      </c>
      <c r="AI9500">
        <v>95.023409611882897</v>
      </c>
      <c r="AJ9500">
        <v>110.22412462651199</v>
      </c>
      <c r="AK9500">
        <v>12.7202991756735</v>
      </c>
      <c r="AL9500">
        <v>90.559790080593004</v>
      </c>
      <c r="AM9500">
        <v>93.4163139209316</v>
      </c>
      <c r="AN9500">
        <v>1.0000000420302</v>
      </c>
    </row>
    <row r="9501" spans="1:40" x14ac:dyDescent="0.25">
      <c r="A9501" t="str">
        <f>"20190312154139160"</f>
        <v>20190312154139160</v>
      </c>
      <c r="B9501" t="str">
        <f>"1552376499155142"</f>
        <v>1552376499155142</v>
      </c>
      <c r="C9501" t="s">
        <v>40</v>
      </c>
      <c r="D9501">
        <v>4.5000260000000001</v>
      </c>
      <c r="E9501">
        <v>0.39891159999999998</v>
      </c>
      <c r="F9501" t="s">
        <v>69</v>
      </c>
      <c r="G9501">
        <v>-194.79920000000001</v>
      </c>
      <c r="H9501" s="1">
        <v>-3.5993329999999998E-6</v>
      </c>
      <c r="I9501">
        <v>-47.560090000000002</v>
      </c>
      <c r="J9501">
        <v>-203.37180000000001</v>
      </c>
      <c r="K9501">
        <v>1.1138110000000001</v>
      </c>
      <c r="L9501">
        <v>-58.500790000000002</v>
      </c>
      <c r="M9501">
        <v>0.83089089999999999</v>
      </c>
      <c r="N9501">
        <v>0</v>
      </c>
      <c r="O9501">
        <v>0.55624739999999995</v>
      </c>
      <c r="P9501">
        <v>0.79603029999999997</v>
      </c>
      <c r="Q9501">
        <v>-2.3671560000000001E-2</v>
      </c>
      <c r="R9501">
        <v>0.60479349999999998</v>
      </c>
      <c r="S9501">
        <v>1.9144289999999999</v>
      </c>
      <c r="T9501">
        <v>-0.2471004</v>
      </c>
      <c r="U9501">
        <v>2.4369200000000002</v>
      </c>
      <c r="V9501">
        <v>-5.9653940000000003E-2</v>
      </c>
      <c r="W9501">
        <v>-9.7367800000000004E-3</v>
      </c>
      <c r="X9501">
        <v>0.99817160000000005</v>
      </c>
      <c r="Y9501">
        <v>-0.31030590000000002</v>
      </c>
      <c r="Z9501">
        <v>-3.3745839999999999E-2</v>
      </c>
      <c r="AA9501">
        <v>0.95003769999999998</v>
      </c>
      <c r="AB9501">
        <v>15</v>
      </c>
      <c r="AC9501">
        <v>8.5725999999999907</v>
      </c>
      <c r="AD9501">
        <v>-1.113814599333</v>
      </c>
      <c r="AE9501">
        <v>10.9407</v>
      </c>
      <c r="AF9501">
        <v>-4.2949133265845001</v>
      </c>
      <c r="AG9501">
        <v>-1.113814599333</v>
      </c>
      <c r="AH9501">
        <v>13.125724266058199</v>
      </c>
      <c r="AI9501">
        <v>94.610903462258605</v>
      </c>
      <c r="AJ9501">
        <v>108.11879167031501</v>
      </c>
      <c r="AK9501">
        <v>13.8553780516141</v>
      </c>
      <c r="AL9501">
        <v>90.557885231925496</v>
      </c>
      <c r="AM9501">
        <v>93.420111830177603</v>
      </c>
      <c r="AN9501">
        <v>0.999999970244425</v>
      </c>
    </row>
    <row r="9502" spans="1:40" x14ac:dyDescent="0.25">
      <c r="A9502" t="str">
        <f>"20190312154139173"</f>
        <v>20190312154139173</v>
      </c>
      <c r="B9502" t="str">
        <f>"1552376499165877"</f>
        <v>1552376499165877</v>
      </c>
      <c r="C9502" t="s">
        <v>40</v>
      </c>
      <c r="D9502">
        <v>4.536232</v>
      </c>
      <c r="E9502">
        <v>0.39891159999999998</v>
      </c>
      <c r="F9502" t="s">
        <v>69</v>
      </c>
      <c r="G9502">
        <v>-195.00640000000001</v>
      </c>
      <c r="H9502" s="1">
        <v>-3.58804E-6</v>
      </c>
      <c r="I9502">
        <v>-47.655830000000002</v>
      </c>
      <c r="J9502">
        <v>-203.30549999999999</v>
      </c>
      <c r="K9502">
        <v>1.113801</v>
      </c>
      <c r="L9502">
        <v>-58.448880000000003</v>
      </c>
      <c r="M9502">
        <v>0.82792359999999898</v>
      </c>
      <c r="N9502">
        <v>0</v>
      </c>
      <c r="O9502">
        <v>0.56065449999999994</v>
      </c>
      <c r="P9502">
        <v>0.79244709999999996</v>
      </c>
      <c r="Q9502">
        <v>-2.3660400000000002E-2</v>
      </c>
      <c r="R9502">
        <v>0.60948159999999996</v>
      </c>
      <c r="S9502">
        <v>1.894852</v>
      </c>
      <c r="T9502">
        <v>-0.25228909999999999</v>
      </c>
      <c r="U9502">
        <v>2.4564819999999998</v>
      </c>
      <c r="V9502">
        <v>-6.024127E-2</v>
      </c>
      <c r="W9502">
        <v>-9.7341760000000006E-3</v>
      </c>
      <c r="X9502">
        <v>0.99813640000000003</v>
      </c>
      <c r="Y9502">
        <v>-0.31369089999999999</v>
      </c>
      <c r="Z9502">
        <v>-3.4686540000000002E-2</v>
      </c>
      <c r="AA9502">
        <v>0.94889140000000005</v>
      </c>
      <c r="AB9502">
        <v>15</v>
      </c>
      <c r="AC9502">
        <v>8.2990999999999797</v>
      </c>
      <c r="AD9502">
        <v>-1.1138045880399901</v>
      </c>
      <c r="AE9502">
        <v>10.793049999999999</v>
      </c>
      <c r="AF9502">
        <v>-4.25486496781597</v>
      </c>
      <c r="AG9502">
        <v>-1.1138045880399901</v>
      </c>
      <c r="AH9502">
        <v>12.837627465769801</v>
      </c>
      <c r="AI9502">
        <v>94.707991230431006</v>
      </c>
      <c r="AJ9502">
        <v>108.33710748737199</v>
      </c>
      <c r="AK9502">
        <v>13.570155323524199</v>
      </c>
      <c r="AL9502">
        <v>90.557735999502796</v>
      </c>
      <c r="AM9502">
        <v>93.453825340311795</v>
      </c>
      <c r="AN9502">
        <v>1.0000000188992799</v>
      </c>
    </row>
    <row r="9503" spans="1:40" x14ac:dyDescent="0.25">
      <c r="A9503" t="str">
        <f>"20190312154139186"</f>
        <v>20190312154139186</v>
      </c>
      <c r="B9503" t="str">
        <f>"1552376499175638"</f>
        <v>1552376499175638</v>
      </c>
      <c r="C9503" t="s">
        <v>40</v>
      </c>
      <c r="D9503">
        <v>4.5052120000000002</v>
      </c>
      <c r="E9503">
        <v>0.3691663</v>
      </c>
      <c r="F9503" t="s">
        <v>69</v>
      </c>
      <c r="G9503">
        <v>-195.00200000000001</v>
      </c>
      <c r="H9503" s="1">
        <v>-3.640218E-6</v>
      </c>
      <c r="I9503">
        <v>-47.550609999999999</v>
      </c>
      <c r="J9503">
        <v>-203.24459999999999</v>
      </c>
      <c r="K9503">
        <v>1.1137900000000001</v>
      </c>
      <c r="L9503">
        <v>-58.400669999999998</v>
      </c>
      <c r="M9503">
        <v>0.82516469999999897</v>
      </c>
      <c r="N9503">
        <v>0</v>
      </c>
      <c r="O9503">
        <v>0.56470719999999996</v>
      </c>
      <c r="P9503">
        <v>0.78934510000000002</v>
      </c>
      <c r="Q9503">
        <v>-2.3729989999999999E-2</v>
      </c>
      <c r="R9503">
        <v>0.61349100000000001</v>
      </c>
      <c r="S9503">
        <v>1.8802190000000001</v>
      </c>
      <c r="T9503">
        <v>-0.25220670000000001</v>
      </c>
      <c r="U9503">
        <v>2.4677730000000002</v>
      </c>
      <c r="V9503">
        <v>-6.0408290000000003E-2</v>
      </c>
      <c r="W9503">
        <v>-9.8081590000000003E-3</v>
      </c>
      <c r="X9503">
        <v>0.99812559999999995</v>
      </c>
      <c r="Y9503">
        <v>-0.3146949</v>
      </c>
      <c r="Z9503">
        <v>-3.5002770000000002E-2</v>
      </c>
      <c r="AA9503">
        <v>0.94854729999999998</v>
      </c>
      <c r="AB9503">
        <v>15</v>
      </c>
      <c r="AC9503">
        <v>8.2425999999999799</v>
      </c>
      <c r="AD9503">
        <v>-1.113793640218</v>
      </c>
      <c r="AE9503">
        <v>10.850059999999999</v>
      </c>
      <c r="AF9503">
        <v>-4.27034738779113</v>
      </c>
      <c r="AG9503">
        <v>-1.113793640218</v>
      </c>
      <c r="AH9503">
        <v>12.844141234514799</v>
      </c>
      <c r="AI9503">
        <v>94.704115570271199</v>
      </c>
      <c r="AJ9503">
        <v>108.39064242275499</v>
      </c>
      <c r="AK9503">
        <v>13.5811769422818</v>
      </c>
      <c r="AL9503">
        <v>90.561975105036595</v>
      </c>
      <c r="AM9503">
        <v>93.463415239691102</v>
      </c>
      <c r="AN9503">
        <v>1.0000000374295199</v>
      </c>
    </row>
    <row r="9504" spans="1:40" x14ac:dyDescent="0.25">
      <c r="A9504" t="str">
        <f>"20190312154139198"</f>
        <v>20190312154139198</v>
      </c>
      <c r="B9504" t="str">
        <f>"1552376499195158"</f>
        <v>1552376499195158</v>
      </c>
      <c r="C9504" t="s">
        <v>40</v>
      </c>
      <c r="D9504">
        <v>4.4912210000000004</v>
      </c>
      <c r="E9504">
        <v>0.366568</v>
      </c>
      <c r="F9504" t="s">
        <v>69</v>
      </c>
      <c r="G9504">
        <v>-196.4554</v>
      </c>
      <c r="H9504" s="1">
        <v>-3.7273779999999999E-6</v>
      </c>
      <c r="I9504">
        <v>-47.891539999999999</v>
      </c>
      <c r="J9504">
        <v>-203.18450000000001</v>
      </c>
      <c r="K9504">
        <v>1.11378</v>
      </c>
      <c r="L9504">
        <v>-58.352870000000003</v>
      </c>
      <c r="M9504">
        <v>0.82241939999999902</v>
      </c>
      <c r="N9504">
        <v>0</v>
      </c>
      <c r="O9504">
        <v>0.56869799999999904</v>
      </c>
      <c r="P9504">
        <v>0.78619969999999995</v>
      </c>
      <c r="Q9504">
        <v>-2.4092530000000001E-2</v>
      </c>
      <c r="R9504">
        <v>0.61750269999999996</v>
      </c>
      <c r="S9504">
        <v>1.721298</v>
      </c>
      <c r="T9504">
        <v>-0.28238550000000001</v>
      </c>
      <c r="U9504">
        <v>2.6644290000000002</v>
      </c>
      <c r="V9504">
        <v>-6.065889E-2</v>
      </c>
      <c r="W9504">
        <v>-1.017586E-2</v>
      </c>
      <c r="X9504">
        <v>0.99810670000000001</v>
      </c>
      <c r="Y9504">
        <v>-0.38265349999999998</v>
      </c>
      <c r="Z9504">
        <v>-3.597318E-2</v>
      </c>
      <c r="AA9504">
        <v>0.92319130000000005</v>
      </c>
      <c r="AB9504">
        <v>14</v>
      </c>
      <c r="AC9504">
        <v>6.7291000000000096</v>
      </c>
      <c r="AD9504">
        <v>-1.113783727378</v>
      </c>
      <c r="AE9504">
        <v>10.461329999999901</v>
      </c>
      <c r="AF9504">
        <v>-4.7392755620279603</v>
      </c>
      <c r="AG9504">
        <v>-1.113783727378</v>
      </c>
      <c r="AH9504">
        <v>11.3933302274414</v>
      </c>
      <c r="AI9504">
        <v>95.157543902317798</v>
      </c>
      <c r="AJ9504">
        <v>112.58581086944599</v>
      </c>
      <c r="AK9504">
        <v>12.3898838055786</v>
      </c>
      <c r="AL9504">
        <v>90.583043883585603</v>
      </c>
      <c r="AM9504">
        <v>93.477813501728207</v>
      </c>
      <c r="AN9504">
        <v>1.0000000168238301</v>
      </c>
    </row>
    <row r="9505" spans="1:40" x14ac:dyDescent="0.25">
      <c r="A9505" t="str">
        <f>"20190312154139209"</f>
        <v>20190312154139209</v>
      </c>
      <c r="B9505" t="str">
        <f>"1552376499205893"</f>
        <v>1552376499205893</v>
      </c>
      <c r="C9505" t="s">
        <v>40</v>
      </c>
      <c r="D9505">
        <v>4.4498449999999998</v>
      </c>
      <c r="E9505">
        <v>0.36710290000000001</v>
      </c>
      <c r="F9505" t="s">
        <v>69</v>
      </c>
      <c r="G9505">
        <v>-196.48070000000001</v>
      </c>
      <c r="H9505" s="1">
        <v>-3.8204680000000001E-6</v>
      </c>
      <c r="I9505">
        <v>-47.715519999999998</v>
      </c>
      <c r="J9505">
        <v>-203.12780000000001</v>
      </c>
      <c r="K9505">
        <v>1.1137709999999901</v>
      </c>
      <c r="L9505">
        <v>-58.306950000000001</v>
      </c>
      <c r="M9505">
        <v>0.81978949999999995</v>
      </c>
      <c r="N9505">
        <v>0</v>
      </c>
      <c r="O9505">
        <v>0.57248259999999995</v>
      </c>
      <c r="P9505">
        <v>0.78307349999999998</v>
      </c>
      <c r="Q9505">
        <v>-2.4188060000000001E-2</v>
      </c>
      <c r="R9505">
        <v>0.62145859999999997</v>
      </c>
      <c r="S9505">
        <v>1.6948700000000001</v>
      </c>
      <c r="T9505">
        <v>-0.2815896</v>
      </c>
      <c r="U9505">
        <v>2.689362</v>
      </c>
      <c r="V9505">
        <v>-6.1091909999999999E-2</v>
      </c>
      <c r="W9505">
        <v>-1.027806E-2</v>
      </c>
      <c r="X9505">
        <v>0.99807920000000006</v>
      </c>
      <c r="Y9505">
        <v>-0.38875320000000002</v>
      </c>
      <c r="Z9505">
        <v>-3.5927189999999998E-2</v>
      </c>
      <c r="AA9505">
        <v>0.92064120000000005</v>
      </c>
      <c r="AB9505">
        <v>14</v>
      </c>
      <c r="AC9505">
        <v>6.6470999999999902</v>
      </c>
      <c r="AD9505">
        <v>-1.11377482046799</v>
      </c>
      <c r="AE9505">
        <v>10.591430000000001</v>
      </c>
      <c r="AF9505">
        <v>-4.8395093549771504</v>
      </c>
      <c r="AG9505">
        <v>-1.11377482046799</v>
      </c>
      <c r="AH9505">
        <v>11.423208978101</v>
      </c>
      <c r="AI9505">
        <v>95.130067750742199</v>
      </c>
      <c r="AJ9505">
        <v>112.960228997725</v>
      </c>
      <c r="AK9505">
        <v>12.455964374747801</v>
      </c>
      <c r="AL9505">
        <v>90.588899843192806</v>
      </c>
      <c r="AM9505">
        <v>93.502674924520903</v>
      </c>
      <c r="AN9505">
        <v>0.99999997472872504</v>
      </c>
    </row>
    <row r="9506" spans="1:40" x14ac:dyDescent="0.25">
      <c r="A9506" t="str">
        <f>"20190312154139220"</f>
        <v>20190312154139220</v>
      </c>
      <c r="B9506" t="str">
        <f>"1552376499215653"</f>
        <v>1552376499215653</v>
      </c>
      <c r="C9506" t="s">
        <v>40</v>
      </c>
      <c r="D9506">
        <v>4.4497519999999904</v>
      </c>
      <c r="E9506">
        <v>0.36750319999999997</v>
      </c>
      <c r="F9506" t="s">
        <v>69</v>
      </c>
      <c r="G9506">
        <v>-196.42959999999999</v>
      </c>
      <c r="H9506" s="1">
        <v>-3.8754610000000004E-6</v>
      </c>
      <c r="I9506">
        <v>-47.588140000000003</v>
      </c>
      <c r="J9506">
        <v>-203.0744</v>
      </c>
      <c r="K9506">
        <v>1.1137549999999901</v>
      </c>
      <c r="L9506">
        <v>-58.263579999999997</v>
      </c>
      <c r="M9506">
        <v>0.81729799999999997</v>
      </c>
      <c r="N9506">
        <v>0</v>
      </c>
      <c r="O9506">
        <v>0.57603419999999905</v>
      </c>
      <c r="P9506">
        <v>0.7801785</v>
      </c>
      <c r="Q9506">
        <v>-2.4445100000000001E-2</v>
      </c>
      <c r="R9506">
        <v>0.62507900000000005</v>
      </c>
      <c r="S9506">
        <v>1.683899</v>
      </c>
      <c r="T9506">
        <v>-0.2799992</v>
      </c>
      <c r="U9506">
        <v>2.6946720000000002</v>
      </c>
      <c r="V9506">
        <v>-6.1386820000000002E-2</v>
      </c>
      <c r="W9506">
        <v>-1.0540320000000001E-2</v>
      </c>
      <c r="X9506">
        <v>0.99805840000000001</v>
      </c>
      <c r="Y9506">
        <v>-0.38827119999999998</v>
      </c>
      <c r="Z9506">
        <v>-3.6115939999999999E-2</v>
      </c>
      <c r="AA9506">
        <v>0.92083720000000002</v>
      </c>
      <c r="AB9506">
        <v>14</v>
      </c>
      <c r="AC9506">
        <v>6.6448</v>
      </c>
      <c r="AD9506">
        <v>-1.1137588754609899</v>
      </c>
      <c r="AE9506">
        <v>10.67544</v>
      </c>
      <c r="AF9506">
        <v>-4.8597690305120604</v>
      </c>
      <c r="AG9506">
        <v>-1.1137588754609899</v>
      </c>
      <c r="AH9506">
        <v>11.491257798665901</v>
      </c>
      <c r="AI9506">
        <v>95.101134803054904</v>
      </c>
      <c r="AJ9506">
        <v>112.92399301586001</v>
      </c>
      <c r="AK9506">
        <v>12.5262452338277</v>
      </c>
      <c r="AL9506">
        <v>90.603927030651207</v>
      </c>
      <c r="AM9506">
        <v>93.519614209605095</v>
      </c>
      <c r="AN9506">
        <v>1.00000000491298</v>
      </c>
    </row>
    <row r="9507" spans="1:40" x14ac:dyDescent="0.25">
      <c r="A9507" t="str">
        <f>"20190312154139232"</f>
        <v>20190312154139232</v>
      </c>
      <c r="B9507" t="str">
        <f>"1552376499225413"</f>
        <v>1552376499225413</v>
      </c>
      <c r="C9507" t="s">
        <v>40</v>
      </c>
      <c r="D9507">
        <v>4.4653320000000001</v>
      </c>
      <c r="E9507">
        <v>0.36808200000000002</v>
      </c>
      <c r="F9507" t="s">
        <v>69</v>
      </c>
      <c r="G9507">
        <v>-196.38390000000001</v>
      </c>
      <c r="H9507" s="1">
        <v>-3.9278209999999998E-6</v>
      </c>
      <c r="I9507">
        <v>-47.467910000000003</v>
      </c>
      <c r="J9507">
        <v>-203.0163</v>
      </c>
      <c r="K9507">
        <v>1.113745</v>
      </c>
      <c r="L9507">
        <v>-58.215820000000001</v>
      </c>
      <c r="M9507">
        <v>0.81455409999999995</v>
      </c>
      <c r="N9507">
        <v>0</v>
      </c>
      <c r="O9507">
        <v>0.57990779999999997</v>
      </c>
      <c r="P9507">
        <v>0.77706889999999995</v>
      </c>
      <c r="Q9507">
        <v>-2.4466379999999999E-2</v>
      </c>
      <c r="R9507">
        <v>0.62893999999999906</v>
      </c>
      <c r="S9507">
        <v>1.6733089999999999</v>
      </c>
      <c r="T9507">
        <v>-0.27855269999999999</v>
      </c>
      <c r="U9507">
        <v>2.7000120000000001</v>
      </c>
      <c r="V9507">
        <v>-6.1598100000000003E-2</v>
      </c>
      <c r="W9507">
        <v>-1.056619E-2</v>
      </c>
      <c r="X9507">
        <v>0.99804510000000002</v>
      </c>
      <c r="Y9507">
        <v>-0.3873279</v>
      </c>
      <c r="Z9507">
        <v>-3.6367160000000003E-2</v>
      </c>
      <c r="AA9507">
        <v>0.9212245</v>
      </c>
      <c r="AB9507">
        <v>14</v>
      </c>
      <c r="AC9507">
        <v>6.6323999999999899</v>
      </c>
      <c r="AD9507">
        <v>-1.113748927821</v>
      </c>
      <c r="AE9507">
        <v>10.7479099999999</v>
      </c>
      <c r="AF9507">
        <v>-4.8712036020948197</v>
      </c>
      <c r="AG9507">
        <v>-1.113748927821</v>
      </c>
      <c r="AH9507">
        <v>11.546663746236</v>
      </c>
      <c r="AI9507">
        <v>95.0786216078926</v>
      </c>
      <c r="AJ9507">
        <v>112.873474934116</v>
      </c>
      <c r="AK9507">
        <v>12.5815144110685</v>
      </c>
      <c r="AL9507">
        <v>90.605409360424105</v>
      </c>
      <c r="AM9507">
        <v>93.531744287813495</v>
      </c>
      <c r="AN9507">
        <v>0.99999999596436795</v>
      </c>
    </row>
    <row r="9508" spans="1:40" x14ac:dyDescent="0.25">
      <c r="A9508" t="str">
        <f>"20190312154139242"</f>
        <v>20190312154139242</v>
      </c>
      <c r="B9508" t="str">
        <f>"1552376499235174"</f>
        <v>1552376499235174</v>
      </c>
      <c r="C9508" t="s">
        <v>40</v>
      </c>
      <c r="D9508">
        <v>4.4986759999999997</v>
      </c>
      <c r="E9508">
        <v>0.36867840000000002</v>
      </c>
      <c r="F9508" t="s">
        <v>69</v>
      </c>
      <c r="G9508">
        <v>-196.37370000000001</v>
      </c>
      <c r="H9508" s="1">
        <v>-3.954691E-6</v>
      </c>
      <c r="I9508">
        <v>-47.41093</v>
      </c>
      <c r="J9508">
        <v>-202.9684</v>
      </c>
      <c r="K9508">
        <v>1.1137379999999999</v>
      </c>
      <c r="L9508">
        <v>-58.176180000000002</v>
      </c>
      <c r="M9508">
        <v>0.81227349999999998</v>
      </c>
      <c r="N9508">
        <v>0</v>
      </c>
      <c r="O9508">
        <v>0.58309809999999995</v>
      </c>
      <c r="P9508">
        <v>0.77433660000000004</v>
      </c>
      <c r="Q9508">
        <v>-2.4473269999999998E-2</v>
      </c>
      <c r="R9508">
        <v>0.63230059999999999</v>
      </c>
      <c r="S9508">
        <v>1.662766</v>
      </c>
      <c r="T9508">
        <v>-0.27879379999999998</v>
      </c>
      <c r="U9508">
        <v>2.7046809999999999</v>
      </c>
      <c r="V9508">
        <v>-6.2007840000000002E-2</v>
      </c>
      <c r="W9508">
        <v>-1.057902E-2</v>
      </c>
      <c r="X9508">
        <v>0.99801960000000001</v>
      </c>
      <c r="Y9508">
        <v>-0.38703589999999999</v>
      </c>
      <c r="Z9508">
        <v>-3.6747429999999998E-2</v>
      </c>
      <c r="AA9508">
        <v>0.92133209999999999</v>
      </c>
      <c r="AB9508">
        <v>14</v>
      </c>
      <c r="AC9508">
        <v>6.59469999999998</v>
      </c>
      <c r="AD9508">
        <v>-1.1137419546909999</v>
      </c>
      <c r="AE9508">
        <v>10.76525</v>
      </c>
      <c r="AF9508">
        <v>-4.8616437333746196</v>
      </c>
      <c r="AG9508">
        <v>-1.1137419546909999</v>
      </c>
      <c r="AH9508">
        <v>11.5452551998887</v>
      </c>
      <c r="AI9508">
        <v>95.080610829500998</v>
      </c>
      <c r="AJ9508">
        <v>112.83569291556999</v>
      </c>
      <c r="AK9508">
        <v>12.576522514688101</v>
      </c>
      <c r="AL9508">
        <v>90.606144500929105</v>
      </c>
      <c r="AM9508">
        <v>93.5552673940375</v>
      </c>
      <c r="AN9508">
        <v>1.0000000049348901</v>
      </c>
    </row>
    <row r="9509" spans="1:40" x14ac:dyDescent="0.25">
      <c r="A9509" t="str">
        <f>"20190312154139252"</f>
        <v>20190312154139252</v>
      </c>
      <c r="B9509" t="str">
        <f>"1552376499245909"</f>
        <v>1552376499245909</v>
      </c>
      <c r="C9509" t="s">
        <v>40</v>
      </c>
      <c r="D9509">
        <v>4.5126210000000002</v>
      </c>
      <c r="E9509">
        <v>0.3694693</v>
      </c>
      <c r="F9509" t="s">
        <v>69</v>
      </c>
      <c r="G9509">
        <v>-196.41419999999999</v>
      </c>
      <c r="H9509" s="1">
        <v>-3.9453909999999999E-6</v>
      </c>
      <c r="I9509">
        <v>-47.443730000000002</v>
      </c>
      <c r="J9509">
        <v>-202.91890000000001</v>
      </c>
      <c r="K9509">
        <v>1.1137319999999999</v>
      </c>
      <c r="L9509">
        <v>-58.134830000000001</v>
      </c>
      <c r="M9509">
        <v>0.80989180000000005</v>
      </c>
      <c r="N9509">
        <v>0</v>
      </c>
      <c r="O9509">
        <v>0.58640170000000003</v>
      </c>
      <c r="P9509">
        <v>0.77152080000000001</v>
      </c>
      <c r="Q9509">
        <v>-2.4578180000000002E-2</v>
      </c>
      <c r="R9509">
        <v>0.63572919999999999</v>
      </c>
      <c r="S9509">
        <v>1.653915</v>
      </c>
      <c r="T9509">
        <v>-0.28104440000000003</v>
      </c>
      <c r="U9509">
        <v>2.7082519999999999</v>
      </c>
      <c r="V9509">
        <v>-6.2370870000000002E-2</v>
      </c>
      <c r="W9509">
        <v>-1.0689509999999999E-2</v>
      </c>
      <c r="X9509">
        <v>0.99799579999999999</v>
      </c>
      <c r="Y9509">
        <v>-0.38602969999999998</v>
      </c>
      <c r="Z9509">
        <v>-3.7435299999999998E-2</v>
      </c>
      <c r="AA9509">
        <v>0.9217265</v>
      </c>
      <c r="AB9509">
        <v>14</v>
      </c>
      <c r="AC9509">
        <v>6.5047000000000104</v>
      </c>
      <c r="AD9509">
        <v>-1.1137359453909901</v>
      </c>
      <c r="AE9509">
        <v>10.6911</v>
      </c>
      <c r="AF9509">
        <v>-4.8067011107156601</v>
      </c>
      <c r="AG9509">
        <v>-1.1137359453909901</v>
      </c>
      <c r="AH9509">
        <v>11.4479131423391</v>
      </c>
      <c r="AI9509">
        <v>95.125774797020199</v>
      </c>
      <c r="AJ9509">
        <v>112.77635392351399</v>
      </c>
      <c r="AK9509">
        <v>12.465933524544001</v>
      </c>
      <c r="AL9509">
        <v>90.612475470180101</v>
      </c>
      <c r="AM9509">
        <v>93.576113202466303</v>
      </c>
      <c r="AN9509">
        <v>1.0000000039331101</v>
      </c>
    </row>
    <row r="9510" spans="1:40" x14ac:dyDescent="0.25">
      <c r="A9510" t="str">
        <f>"20190312154139263"</f>
        <v>20190312154139263</v>
      </c>
      <c r="B9510" t="str">
        <f>"1552376499255670"</f>
        <v>1552376499255670</v>
      </c>
      <c r="C9510" t="s">
        <v>40</v>
      </c>
      <c r="D9510">
        <v>4.5177079999999998</v>
      </c>
      <c r="E9510">
        <v>0.37007129999999999</v>
      </c>
      <c r="F9510" t="s">
        <v>69</v>
      </c>
      <c r="G9510">
        <v>-196.43539999999999</v>
      </c>
      <c r="H9510" s="1">
        <v>-3.942005E-6</v>
      </c>
      <c r="I9510">
        <v>-47.457970000000003</v>
      </c>
      <c r="J9510">
        <v>-202.86859999999999</v>
      </c>
      <c r="K9510">
        <v>1.1137250000000001</v>
      </c>
      <c r="L9510">
        <v>-58.092379999999999</v>
      </c>
      <c r="M9510">
        <v>0.80744759999999904</v>
      </c>
      <c r="N9510">
        <v>0</v>
      </c>
      <c r="O9510">
        <v>0.58976280000000003</v>
      </c>
      <c r="P9510">
        <v>0.76867149999999995</v>
      </c>
      <c r="Q9510">
        <v>-2.4281170000000001E-2</v>
      </c>
      <c r="R9510">
        <v>0.6391829</v>
      </c>
      <c r="S9510">
        <v>1.64595</v>
      </c>
      <c r="T9510">
        <v>-0.28274169999999998</v>
      </c>
      <c r="U9510">
        <v>2.7105100000000002</v>
      </c>
      <c r="V9510">
        <v>-6.2696080000000001E-2</v>
      </c>
      <c r="W9510">
        <v>-1.039765E-2</v>
      </c>
      <c r="X9510">
        <v>0.99797849999999999</v>
      </c>
      <c r="Y9510">
        <v>-0.38453090000000001</v>
      </c>
      <c r="Z9510">
        <v>-3.8089159999999997E-2</v>
      </c>
      <c r="AA9510">
        <v>0.92232599999999998</v>
      </c>
      <c r="AB9510">
        <v>14</v>
      </c>
      <c r="AC9510">
        <v>6.4331999999999896</v>
      </c>
      <c r="AD9510">
        <v>-1.1137289420050001</v>
      </c>
      <c r="AE9510">
        <v>10.634410000000001</v>
      </c>
      <c r="AF9510">
        <v>-4.7549850083655798</v>
      </c>
      <c r="AG9510">
        <v>-1.1137289420050001</v>
      </c>
      <c r="AH9510">
        <v>11.3760992666768</v>
      </c>
      <c r="AI9510">
        <v>95.161392631845004</v>
      </c>
      <c r="AJ9510">
        <v>112.683965088275</v>
      </c>
      <c r="AK9510">
        <v>12.3800609494188</v>
      </c>
      <c r="AL9510">
        <v>90.5957521979375</v>
      </c>
      <c r="AM9510">
        <v>93.594772916444001</v>
      </c>
      <c r="AN9510">
        <v>0.999999998017569</v>
      </c>
    </row>
    <row r="9511" spans="1:40" x14ac:dyDescent="0.25">
      <c r="A9511" t="str">
        <f>"20190312154139273"</f>
        <v>20190312154139273</v>
      </c>
      <c r="B9511" t="str">
        <f>"1552376499265430"</f>
        <v>1552376499265430</v>
      </c>
      <c r="C9511" t="s">
        <v>40</v>
      </c>
      <c r="D9511">
        <v>4.4985580000000001</v>
      </c>
      <c r="E9511">
        <v>0.37075609999999998</v>
      </c>
      <c r="F9511" t="s">
        <v>69</v>
      </c>
      <c r="G9511">
        <v>-196.38229999999999</v>
      </c>
      <c r="H9511" s="1">
        <v>-3.9936229999999998E-6</v>
      </c>
      <c r="I9511">
        <v>-47.33661</v>
      </c>
      <c r="J9511">
        <v>-202.81950000000001</v>
      </c>
      <c r="K9511">
        <v>1.1137170000000001</v>
      </c>
      <c r="L9511">
        <v>-58.050750000000001</v>
      </c>
      <c r="M9511">
        <v>0.80504439999999999</v>
      </c>
      <c r="N9511">
        <v>0</v>
      </c>
      <c r="O9511">
        <v>0.59303909999999904</v>
      </c>
      <c r="P9511">
        <v>0.7657467</v>
      </c>
      <c r="Q9511">
        <v>-2.3789649999999999E-2</v>
      </c>
      <c r="R9511">
        <v>0.6427022</v>
      </c>
      <c r="S9511">
        <v>1.636871</v>
      </c>
      <c r="T9511">
        <v>-0.28106059999999999</v>
      </c>
      <c r="U9511">
        <v>2.7143250000000001</v>
      </c>
      <c r="V9511">
        <v>-6.321272E-2</v>
      </c>
      <c r="W9511">
        <v>-9.9129179999999997E-3</v>
      </c>
      <c r="X9511">
        <v>0.99795089999999997</v>
      </c>
      <c r="Y9511">
        <v>-0.3836194</v>
      </c>
      <c r="Z9511">
        <v>-3.8249430000000001E-2</v>
      </c>
      <c r="AA9511">
        <v>0.92269889999999999</v>
      </c>
      <c r="AB9511">
        <v>14</v>
      </c>
      <c r="AC9511">
        <v>6.4372000000000096</v>
      </c>
      <c r="AD9511">
        <v>-1.1137209936229999</v>
      </c>
      <c r="AE9511">
        <v>10.714139999999899</v>
      </c>
      <c r="AF9511">
        <v>-4.7704728731154598</v>
      </c>
      <c r="AG9511">
        <v>-1.1137209936229999</v>
      </c>
      <c r="AH9511">
        <v>11.446458545964401</v>
      </c>
      <c r="AI9511">
        <v>95.132006092737797</v>
      </c>
      <c r="AJ9511">
        <v>112.624620969931</v>
      </c>
      <c r="AK9511">
        <v>12.4506706296989</v>
      </c>
      <c r="AL9511">
        <v>90.567977634448397</v>
      </c>
      <c r="AM9511">
        <v>93.624416572850507</v>
      </c>
      <c r="AN9511">
        <v>1.00000005636194</v>
      </c>
    </row>
    <row r="9512" spans="1:40" x14ac:dyDescent="0.25">
      <c r="A9512" t="str">
        <f>"20190312154139283"</f>
        <v>20190312154139283</v>
      </c>
      <c r="B9512" t="str">
        <f>"1552376499275189"</f>
        <v>1552376499275189</v>
      </c>
      <c r="C9512" t="s">
        <v>40</v>
      </c>
      <c r="D9512">
        <v>4.4983469999999999</v>
      </c>
      <c r="E9512">
        <v>0.37135459999999998</v>
      </c>
      <c r="F9512" t="s">
        <v>69</v>
      </c>
      <c r="G9512">
        <v>-196.30680000000001</v>
      </c>
      <c r="H9512" s="1">
        <v>-4.0584659999999997E-6</v>
      </c>
      <c r="I9512">
        <v>-47.181040000000003</v>
      </c>
      <c r="J9512">
        <v>-202.7715</v>
      </c>
      <c r="K9512">
        <v>1.1137109999999999</v>
      </c>
      <c r="L9512">
        <v>-58.009610000000002</v>
      </c>
      <c r="M9512">
        <v>0.80267149999999998</v>
      </c>
      <c r="N9512">
        <v>0</v>
      </c>
      <c r="O9512">
        <v>0.59624690000000002</v>
      </c>
      <c r="P9512">
        <v>0.76287169999999904</v>
      </c>
      <c r="Q9512">
        <v>-2.3823529999999999E-2</v>
      </c>
      <c r="R9512">
        <v>0.64611079999999999</v>
      </c>
      <c r="S9512">
        <v>1.6282350000000001</v>
      </c>
      <c r="T9512">
        <v>-0.27844069999999999</v>
      </c>
      <c r="U9512">
        <v>2.7175289999999999</v>
      </c>
      <c r="V9512">
        <v>-6.3681390000000004E-2</v>
      </c>
      <c r="W9512">
        <v>-9.9532389999999991E-3</v>
      </c>
      <c r="X9512">
        <v>0.99792060000000005</v>
      </c>
      <c r="Y9512">
        <v>-0.38257259999999998</v>
      </c>
      <c r="Z9512">
        <v>-3.827887E-2</v>
      </c>
      <c r="AA9512">
        <v>0.92313210000000001</v>
      </c>
      <c r="AB9512">
        <v>14</v>
      </c>
      <c r="AC9512">
        <v>6.4646999999999899</v>
      </c>
      <c r="AD9512">
        <v>-1.1137150584660001</v>
      </c>
      <c r="AE9512">
        <v>10.8285699999999</v>
      </c>
      <c r="AF9512">
        <v>-4.80029524207362</v>
      </c>
      <c r="AG9512">
        <v>-1.1137150584660001</v>
      </c>
      <c r="AH9512">
        <v>11.556618782485099</v>
      </c>
      <c r="AI9512">
        <v>95.085814612775494</v>
      </c>
      <c r="AJ9512">
        <v>112.556627587901</v>
      </c>
      <c r="AK9512">
        <v>12.563384628602901</v>
      </c>
      <c r="AL9512">
        <v>90.570288029143697</v>
      </c>
      <c r="AM9512">
        <v>93.651326758756497</v>
      </c>
      <c r="AN9512">
        <v>0.99999995515163997</v>
      </c>
    </row>
    <row r="9513" spans="1:40" x14ac:dyDescent="0.25">
      <c r="A9513" t="str">
        <f>"20190312154139294"</f>
        <v>20190312154139294</v>
      </c>
      <c r="B9513" t="str">
        <f>"1552376499285926"</f>
        <v>1552376499285926</v>
      </c>
      <c r="C9513" t="s">
        <v>40</v>
      </c>
      <c r="D9513">
        <v>4.4968360000000001</v>
      </c>
      <c r="E9513">
        <v>0.37196380000000001</v>
      </c>
      <c r="F9513" t="s">
        <v>69</v>
      </c>
      <c r="G9513">
        <v>-196.28649999999999</v>
      </c>
      <c r="H9513" s="1">
        <v>-4.0903539999999998E-6</v>
      </c>
      <c r="I9513">
        <v>-47.110480000000003</v>
      </c>
      <c r="J9513">
        <v>-202.7182</v>
      </c>
      <c r="K9513">
        <v>1.1136980000000001</v>
      </c>
      <c r="L9513">
        <v>-57.963679999999997</v>
      </c>
      <c r="M9513">
        <v>0.800015699999999</v>
      </c>
      <c r="N9513">
        <v>0</v>
      </c>
      <c r="O9513">
        <v>0.59980579999999994</v>
      </c>
      <c r="P9513">
        <v>0.75975919999999997</v>
      </c>
      <c r="Q9513">
        <v>-2.324006E-2</v>
      </c>
      <c r="R9513">
        <v>0.64978919999999996</v>
      </c>
      <c r="S9513">
        <v>1.6191249999999999</v>
      </c>
      <c r="T9513">
        <v>-0.27806199999999998</v>
      </c>
      <c r="U9513">
        <v>2.7211910000000001</v>
      </c>
      <c r="V9513">
        <v>-6.4065759999999999E-2</v>
      </c>
      <c r="W9513">
        <v>-9.3754370000000004E-3</v>
      </c>
      <c r="X9513">
        <v>0.99790160000000006</v>
      </c>
      <c r="Y9513">
        <v>-0.3813066</v>
      </c>
      <c r="Z9513">
        <v>-3.8652890000000002E-2</v>
      </c>
      <c r="AA9513">
        <v>0.92364020000000002</v>
      </c>
      <c r="AB9513">
        <v>14</v>
      </c>
      <c r="AC9513">
        <v>6.4317000000000002</v>
      </c>
      <c r="AD9513">
        <v>-1.11370209035399</v>
      </c>
      <c r="AE9513">
        <v>10.853199999999999</v>
      </c>
      <c r="AF9513">
        <v>-4.7881467381741603</v>
      </c>
      <c r="AG9513">
        <v>-1.11370209035399</v>
      </c>
      <c r="AH9513">
        <v>11.5663477717832</v>
      </c>
      <c r="AI9513">
        <v>95.084004358984004</v>
      </c>
      <c r="AJ9513">
        <v>112.488196454643</v>
      </c>
      <c r="AK9513">
        <v>12.567699961018301</v>
      </c>
      <c r="AL9513">
        <v>90.537180861472805</v>
      </c>
      <c r="AM9513">
        <v>93.673375131704603</v>
      </c>
      <c r="AN9513">
        <v>0.99999996185293805</v>
      </c>
    </row>
    <row r="9514" spans="1:40" x14ac:dyDescent="0.25">
      <c r="A9514" t="str">
        <f>"20190312154139305"</f>
        <v>20190312154139305</v>
      </c>
      <c r="B9514" t="str">
        <f>"1552376499295686"</f>
        <v>1552376499295686</v>
      </c>
      <c r="C9514" t="s">
        <v>40</v>
      </c>
      <c r="D9514">
        <v>4.4793159999999999</v>
      </c>
      <c r="E9514">
        <v>0.37196380000000001</v>
      </c>
      <c r="F9514" t="s">
        <v>69</v>
      </c>
      <c r="G9514">
        <v>-196.22049999999999</v>
      </c>
      <c r="H9514" s="1">
        <v>-4.1545020000000003E-6</v>
      </c>
      <c r="I9514">
        <v>-46.95966</v>
      </c>
      <c r="J9514">
        <v>-202.67089999999999</v>
      </c>
      <c r="K9514">
        <v>1.1136900000000001</v>
      </c>
      <c r="L9514">
        <v>-57.922359999999998</v>
      </c>
      <c r="M9514">
        <v>0.7976316</v>
      </c>
      <c r="N9514">
        <v>0</v>
      </c>
      <c r="O9514">
        <v>0.60297250000000002</v>
      </c>
      <c r="P9514">
        <v>0.75679969999999996</v>
      </c>
      <c r="Q9514">
        <v>-2.3457349999999998E-2</v>
      </c>
      <c r="R9514">
        <v>0.65322599999999997</v>
      </c>
      <c r="S9514">
        <v>1.609283</v>
      </c>
      <c r="T9514">
        <v>-0.27582820000000002</v>
      </c>
      <c r="U9514">
        <v>2.7253419999999999</v>
      </c>
      <c r="V9514">
        <v>-6.4634720000000007E-2</v>
      </c>
      <c r="W9514">
        <v>-9.6000870000000002E-3</v>
      </c>
      <c r="X9514">
        <v>0.99786280000000005</v>
      </c>
      <c r="Y9514">
        <v>-0.3807315</v>
      </c>
      <c r="Z9514">
        <v>-3.8699879999999999E-2</v>
      </c>
      <c r="AA9514">
        <v>0.92387549999999996</v>
      </c>
      <c r="AB9514">
        <v>14</v>
      </c>
      <c r="AC9514">
        <v>6.4504000000000001</v>
      </c>
      <c r="AD9514">
        <v>-1.113694154502</v>
      </c>
      <c r="AE9514">
        <v>10.9626999999999</v>
      </c>
      <c r="AF9514">
        <v>-4.8183483106276297</v>
      </c>
      <c r="AG9514">
        <v>-1.113694154502</v>
      </c>
      <c r="AH9514">
        <v>11.667029554803401</v>
      </c>
      <c r="AI9514">
        <v>95.042064903144905</v>
      </c>
      <c r="AJ9514">
        <v>112.440059337368</v>
      </c>
      <c r="AK9514">
        <v>12.6718733321066</v>
      </c>
      <c r="AL9514">
        <v>90.550052923756795</v>
      </c>
      <c r="AM9514">
        <v>93.706051100959797</v>
      </c>
      <c r="AN9514">
        <v>0.99999998816186297</v>
      </c>
    </row>
    <row r="9515" spans="1:40" x14ac:dyDescent="0.25">
      <c r="A9515" t="str">
        <f>"20190312154139315"</f>
        <v>20190312154139315</v>
      </c>
      <c r="B9515" t="str">
        <f>"1552376499305446"</f>
        <v>1552376499305446</v>
      </c>
      <c r="C9515" t="s">
        <v>40</v>
      </c>
      <c r="D9515">
        <v>4.5077230000000004</v>
      </c>
      <c r="E9515">
        <v>0.38192530000000002</v>
      </c>
      <c r="F9515" t="s">
        <v>69</v>
      </c>
      <c r="G9515">
        <v>-196.2422</v>
      </c>
      <c r="H9515" s="1">
        <v>-4.1774489999999999E-6</v>
      </c>
      <c r="I9515">
        <v>-46.921729999999997</v>
      </c>
      <c r="J9515">
        <v>-202.61930000000001</v>
      </c>
      <c r="K9515">
        <v>1.113683</v>
      </c>
      <c r="L9515">
        <v>-57.877139999999997</v>
      </c>
      <c r="M9515">
        <v>0.79500990000000005</v>
      </c>
      <c r="N9515">
        <v>0</v>
      </c>
      <c r="O9515">
        <v>0.60642510000000005</v>
      </c>
      <c r="P9515">
        <v>0.75370559999999998</v>
      </c>
      <c r="Q9515">
        <v>-2.362469E-2</v>
      </c>
      <c r="R9515">
        <v>0.65678749999999997</v>
      </c>
      <c r="S9515">
        <v>1.5968929999999999</v>
      </c>
      <c r="T9515">
        <v>-0.27664040000000001</v>
      </c>
      <c r="U9515">
        <v>2.7325439999999999</v>
      </c>
      <c r="V9515">
        <v>-6.5015729999999994E-2</v>
      </c>
      <c r="W9515">
        <v>-9.7731829999999995E-3</v>
      </c>
      <c r="X9515">
        <v>0.99783639999999996</v>
      </c>
      <c r="Y9515">
        <v>-0.38091619999999998</v>
      </c>
      <c r="Z9515">
        <v>-3.9152699999999999E-2</v>
      </c>
      <c r="AA9515">
        <v>0.9237803</v>
      </c>
      <c r="AB9515">
        <v>14</v>
      </c>
      <c r="AC9515">
        <v>6.3771000000000102</v>
      </c>
      <c r="AD9515">
        <v>-1.113687177449</v>
      </c>
      <c r="AE9515">
        <v>10.955410000000001</v>
      </c>
      <c r="AF9515">
        <v>-4.8058346470195703</v>
      </c>
      <c r="AG9515">
        <v>-1.113687177449</v>
      </c>
      <c r="AH9515">
        <v>11.6249815205777</v>
      </c>
      <c r="AI9515">
        <v>95.059434768838003</v>
      </c>
      <c r="AJ9515">
        <v>112.460484514006</v>
      </c>
      <c r="AK9515">
        <v>12.628402160902301</v>
      </c>
      <c r="AL9515">
        <v>90.559971041235698</v>
      </c>
      <c r="AM9515">
        <v>93.727934531145607</v>
      </c>
      <c r="AN9515">
        <v>1.0000000207091699</v>
      </c>
    </row>
    <row r="9516" spans="1:40" x14ac:dyDescent="0.25">
      <c r="A9516" t="str">
        <f>"20190312154139325"</f>
        <v>20190312154139325</v>
      </c>
      <c r="B9516" t="str">
        <f>"1552376499315206"</f>
        <v>1552376499315206</v>
      </c>
      <c r="C9516" t="s">
        <v>40</v>
      </c>
      <c r="D9516">
        <v>4.4653989999999997</v>
      </c>
      <c r="E9516">
        <v>0.38227240000000001</v>
      </c>
      <c r="F9516" t="s">
        <v>69</v>
      </c>
      <c r="G9516">
        <v>-195.77760000000001</v>
      </c>
      <c r="H9516" s="1">
        <v>-4.2201259999999999E-6</v>
      </c>
      <c r="I9516">
        <v>-46.672580000000004</v>
      </c>
      <c r="J9516">
        <v>-202.57130000000001</v>
      </c>
      <c r="K9516">
        <v>1.113672</v>
      </c>
      <c r="L9516">
        <v>-57.834440000000001</v>
      </c>
      <c r="M9516">
        <v>0.79254599999999997</v>
      </c>
      <c r="N9516">
        <v>0</v>
      </c>
      <c r="O9516">
        <v>0.60964180000000001</v>
      </c>
      <c r="P9516">
        <v>0.75093269999999901</v>
      </c>
      <c r="Q9516">
        <v>-2.367816E-2</v>
      </c>
      <c r="R9516">
        <v>0.65995419999999905</v>
      </c>
      <c r="S9516">
        <v>1.6365050000000001</v>
      </c>
      <c r="T9516">
        <v>-0.2663895</v>
      </c>
      <c r="U9516">
        <v>2.6800839999999999</v>
      </c>
      <c r="V9516">
        <v>-6.5173190000000006E-2</v>
      </c>
      <c r="W9516">
        <v>-9.8301919999999997E-3</v>
      </c>
      <c r="X9516">
        <v>0.99782559999999998</v>
      </c>
      <c r="Y9516">
        <v>-0.359245599999999</v>
      </c>
      <c r="Z9516">
        <v>-3.9128700000000002E-2</v>
      </c>
      <c r="AA9516">
        <v>0.93242239999999998</v>
      </c>
      <c r="AB9516">
        <v>14</v>
      </c>
      <c r="AC9516">
        <v>6.7937000000000003</v>
      </c>
      <c r="AD9516">
        <v>-1.113676220126</v>
      </c>
      <c r="AE9516">
        <v>11.161860000000001</v>
      </c>
      <c r="AF9516">
        <v>-4.6711214140370201</v>
      </c>
      <c r="AG9516">
        <v>-1.113676220126</v>
      </c>
      <c r="AH9516">
        <v>12.1024097794631</v>
      </c>
      <c r="AI9516">
        <v>94.906726762447903</v>
      </c>
      <c r="AJ9516">
        <v>111.104904038425</v>
      </c>
      <c r="AK9516">
        <v>13.0202907977508</v>
      </c>
      <c r="AL9516">
        <v>90.563237555164704</v>
      </c>
      <c r="AM9516">
        <v>93.736977904612104</v>
      </c>
      <c r="AN9516">
        <v>1.00000005269244</v>
      </c>
    </row>
    <row r="9517" spans="1:40" x14ac:dyDescent="0.25">
      <c r="A9517" t="str">
        <f>"20190312154139337"</f>
        <v>20190312154139337</v>
      </c>
      <c r="B9517" t="str">
        <f>"1552376499325941"</f>
        <v>1552376499325941</v>
      </c>
      <c r="C9517" t="s">
        <v>40</v>
      </c>
      <c r="D9517">
        <v>4.4602969999999997</v>
      </c>
      <c r="E9517">
        <v>0.38310680000000003</v>
      </c>
      <c r="F9517" t="s">
        <v>69</v>
      </c>
      <c r="G9517">
        <v>-195.69550000000001</v>
      </c>
      <c r="H9517" s="1">
        <v>-4.2979169999999998E-6</v>
      </c>
      <c r="I9517">
        <v>-46.488939999999999</v>
      </c>
      <c r="J9517">
        <v>-202.51929999999999</v>
      </c>
      <c r="K9517">
        <v>1.1136619999999999</v>
      </c>
      <c r="L9517">
        <v>-57.788179999999997</v>
      </c>
      <c r="M9517">
        <v>0.78986109999999998</v>
      </c>
      <c r="N9517">
        <v>0</v>
      </c>
      <c r="O9517">
        <v>0.61311649999999995</v>
      </c>
      <c r="P9517">
        <v>0.74769790000000003</v>
      </c>
      <c r="Q9517">
        <v>-2.3967519999999999E-2</v>
      </c>
      <c r="R9517">
        <v>0.66360649999999999</v>
      </c>
      <c r="S9517">
        <v>1.6271359999999999</v>
      </c>
      <c r="T9517">
        <v>-0.2635478</v>
      </c>
      <c r="U9517">
        <v>2.6848749999999999</v>
      </c>
      <c r="V9517">
        <v>-6.5658289999999994E-2</v>
      </c>
      <c r="W9517">
        <v>-1.012622E-2</v>
      </c>
      <c r="X9517">
        <v>0.99779079999999998</v>
      </c>
      <c r="Y9517">
        <v>-0.35826259999999999</v>
      </c>
      <c r="Z9517">
        <v>-3.9091340000000002E-2</v>
      </c>
      <c r="AA9517">
        <v>0.93280209999999997</v>
      </c>
      <c r="AB9517">
        <v>14</v>
      </c>
      <c r="AC9517">
        <v>6.8237999999999701</v>
      </c>
      <c r="AD9517">
        <v>-1.113666297917</v>
      </c>
      <c r="AE9517">
        <v>11.299239999999999</v>
      </c>
      <c r="AF9517">
        <v>-4.7080253402148502</v>
      </c>
      <c r="AG9517">
        <v>-1.113666297917</v>
      </c>
      <c r="AH9517">
        <v>12.2318150361977</v>
      </c>
      <c r="AI9517">
        <v>94.856752120492104</v>
      </c>
      <c r="AJ9517">
        <v>111.05171438965</v>
      </c>
      <c r="AK9517">
        <v>13.1538228020212</v>
      </c>
      <c r="AL9517">
        <v>90.580199575085302</v>
      </c>
      <c r="AM9517">
        <v>93.764844374268193</v>
      </c>
      <c r="AN9517">
        <v>1.0000000159709199</v>
      </c>
    </row>
    <row r="9518" spans="1:40" x14ac:dyDescent="0.25">
      <c r="A9518" t="str">
        <f>"20190312154139349"</f>
        <v>20190312154139349</v>
      </c>
      <c r="B9518" t="str">
        <f>"1552376499345463"</f>
        <v>1552376499345463</v>
      </c>
      <c r="C9518" t="s">
        <v>40</v>
      </c>
      <c r="D9518">
        <v>4.4653400000000003</v>
      </c>
      <c r="E9518">
        <v>0.38437369999999998</v>
      </c>
      <c r="F9518" t="s">
        <v>69</v>
      </c>
      <c r="G9518">
        <v>-195.70150000000001</v>
      </c>
      <c r="H9518" s="1">
        <v>-4.3108579999999998E-6</v>
      </c>
      <c r="I9518">
        <v>-46.465350000000001</v>
      </c>
      <c r="J9518">
        <v>-202.46539999999999</v>
      </c>
      <c r="K9518">
        <v>1.113648</v>
      </c>
      <c r="L9518">
        <v>-57.7395</v>
      </c>
      <c r="M9518">
        <v>0.78704849999999904</v>
      </c>
      <c r="N9518">
        <v>0</v>
      </c>
      <c r="O9518">
        <v>0.61672299999999902</v>
      </c>
      <c r="P9518">
        <v>0.74427779999999999</v>
      </c>
      <c r="Q9518">
        <v>-2.4057329999999998E-2</v>
      </c>
      <c r="R9518">
        <v>0.66743669999999899</v>
      </c>
      <c r="S9518">
        <v>1.6183620000000001</v>
      </c>
      <c r="T9518">
        <v>-0.26435550000000002</v>
      </c>
      <c r="U9518">
        <v>2.6877439999999999</v>
      </c>
      <c r="V9518">
        <v>-6.6218219999999994E-2</v>
      </c>
      <c r="W9518">
        <v>-1.022351E-2</v>
      </c>
      <c r="X9518">
        <v>0.9977528</v>
      </c>
      <c r="Y9518">
        <v>-0.35667949999999998</v>
      </c>
      <c r="Z9518">
        <v>-3.9641019999999999E-2</v>
      </c>
      <c r="AA9518">
        <v>0.93338540000000003</v>
      </c>
      <c r="AB9518">
        <v>14</v>
      </c>
      <c r="AC9518">
        <v>6.7638999999999703</v>
      </c>
      <c r="AD9518">
        <v>-1.1136523108580001</v>
      </c>
      <c r="AE9518">
        <v>11.274150000000001</v>
      </c>
      <c r="AF9518">
        <v>-4.6688395845206303</v>
      </c>
      <c r="AG9518">
        <v>-1.1136523108580001</v>
      </c>
      <c r="AH9518">
        <v>12.1903542821924</v>
      </c>
      <c r="AI9518">
        <v>94.876223187932993</v>
      </c>
      <c r="AJ9518">
        <v>110.95656889404199</v>
      </c>
      <c r="AK9518">
        <v>13.101260323374699</v>
      </c>
      <c r="AL9518">
        <v>90.585774172657494</v>
      </c>
      <c r="AM9518">
        <v>93.7970014092285</v>
      </c>
      <c r="AN9518">
        <v>1.00000001136226</v>
      </c>
    </row>
    <row r="9519" spans="1:40" x14ac:dyDescent="0.25">
      <c r="A9519" t="str">
        <f>"20190312154139372"</f>
        <v>20190312154139372</v>
      </c>
      <c r="B9519" t="str">
        <f>"1552376499365958"</f>
        <v>1552376499365958</v>
      </c>
      <c r="C9519" t="s">
        <v>40</v>
      </c>
      <c r="D9519">
        <v>4.5088910000000002</v>
      </c>
      <c r="E9519">
        <v>0.384712</v>
      </c>
      <c r="F9519" t="s">
        <v>69</v>
      </c>
      <c r="G9519">
        <v>-195.6782</v>
      </c>
      <c r="H9519" s="1">
        <v>-4.3326480000000003E-6</v>
      </c>
      <c r="I9519">
        <v>-46.413800000000002</v>
      </c>
      <c r="J9519">
        <v>-202.36009999999999</v>
      </c>
      <c r="K9519">
        <v>1.113623</v>
      </c>
      <c r="L9519">
        <v>-57.643250000000002</v>
      </c>
      <c r="M9519">
        <v>0.78147679999999997</v>
      </c>
      <c r="N9519">
        <v>0</v>
      </c>
      <c r="O9519">
        <v>0.62376830000000005</v>
      </c>
      <c r="P9519">
        <v>0.73779589999999995</v>
      </c>
      <c r="Q9519">
        <v>-2.3855060000000001E-2</v>
      </c>
      <c r="R9519">
        <v>0.67460220000000004</v>
      </c>
      <c r="S9519">
        <v>1.6112059999999999</v>
      </c>
      <c r="T9519">
        <v>-0.26436599999999999</v>
      </c>
      <c r="U9519">
        <v>2.6885680000000001</v>
      </c>
      <c r="V9519">
        <v>-6.6900580000000001E-2</v>
      </c>
      <c r="W9519">
        <v>-1.0032009999999999E-2</v>
      </c>
      <c r="X9519">
        <v>0.99770919999999996</v>
      </c>
      <c r="Y9519">
        <v>-0.35026069999999998</v>
      </c>
      <c r="Z9519">
        <v>-4.059169E-2</v>
      </c>
      <c r="AA9519">
        <v>0.9357723</v>
      </c>
      <c r="AB9519">
        <v>14</v>
      </c>
      <c r="AC9519">
        <v>6.6818999999999802</v>
      </c>
      <c r="AD9519">
        <v>-1.113627332648</v>
      </c>
      <c r="AE9519">
        <v>11.22945</v>
      </c>
      <c r="AF9519">
        <v>-4.5748468160478897</v>
      </c>
      <c r="AG9519">
        <v>-1.113627332648</v>
      </c>
      <c r="AH9519">
        <v>12.139421029849499</v>
      </c>
      <c r="AI9519">
        <v>94.9064098834818</v>
      </c>
      <c r="AJ9519">
        <v>110.649355784143</v>
      </c>
      <c r="AK9519">
        <v>13.0205580589418</v>
      </c>
      <c r="AL9519">
        <v>90.574801481489203</v>
      </c>
      <c r="AM9519">
        <v>93.836179341458703</v>
      </c>
      <c r="AN9519">
        <v>0.99999998829680803</v>
      </c>
    </row>
    <row r="9520" spans="1:40" x14ac:dyDescent="0.25">
      <c r="A9520" t="str">
        <f>"20190312154139385"</f>
        <v>20190312154139385</v>
      </c>
      <c r="B9520" t="str">
        <f>"1552376499375720"</f>
        <v>1552376499375720</v>
      </c>
      <c r="C9520" t="s">
        <v>40</v>
      </c>
      <c r="D9520">
        <v>4.6323740000000004</v>
      </c>
      <c r="E9520">
        <v>0.39276489999999997</v>
      </c>
      <c r="F9520" t="s">
        <v>69</v>
      </c>
      <c r="G9520">
        <v>-195.66290000000001</v>
      </c>
      <c r="H9520" s="1">
        <v>-4.4167649999999999E-6</v>
      </c>
      <c r="I9520">
        <v>-46.241250000000001</v>
      </c>
      <c r="J9520">
        <v>-202.30199999999999</v>
      </c>
      <c r="K9520">
        <v>1.113604</v>
      </c>
      <c r="L9520">
        <v>-57.589419999999997</v>
      </c>
      <c r="M9520">
        <v>0.77836229999999995</v>
      </c>
      <c r="N9520">
        <v>0</v>
      </c>
      <c r="O9520">
        <v>0.62765039999999905</v>
      </c>
      <c r="P9520">
        <v>0.7340295</v>
      </c>
      <c r="Q9520">
        <v>-2.379361E-2</v>
      </c>
      <c r="R9520">
        <v>0.67870059999999999</v>
      </c>
      <c r="S9520">
        <v>1.587067</v>
      </c>
      <c r="T9520">
        <v>-0.26390249999999998</v>
      </c>
      <c r="U9520">
        <v>2.7019959999999998</v>
      </c>
      <c r="V9520">
        <v>-6.7490530000000007E-2</v>
      </c>
      <c r="W9520">
        <v>-9.9785329999999995E-3</v>
      </c>
      <c r="X9520">
        <v>0.99766999999999995</v>
      </c>
      <c r="Y9520">
        <v>-0.35383979999999998</v>
      </c>
      <c r="Z9520">
        <v>-4.0774699999999997E-2</v>
      </c>
      <c r="AA9520">
        <v>0.93441680000000005</v>
      </c>
      <c r="AB9520">
        <v>14</v>
      </c>
      <c r="AC9520">
        <v>6.6391000000000098</v>
      </c>
      <c r="AD9520">
        <v>-1.113608416765</v>
      </c>
      <c r="AE9520">
        <v>11.3481699999999</v>
      </c>
      <c r="AF9520">
        <v>-4.6331976526806598</v>
      </c>
      <c r="AG9520">
        <v>-1.113608416765</v>
      </c>
      <c r="AH9520">
        <v>12.204027242397</v>
      </c>
      <c r="AI9520">
        <v>94.876003432135803</v>
      </c>
      <c r="AJ9520">
        <v>110.789014303716</v>
      </c>
      <c r="AK9520">
        <v>13.1013329523321</v>
      </c>
      <c r="AL9520">
        <v>90.571737323088897</v>
      </c>
      <c r="AM9520">
        <v>93.870057206346104</v>
      </c>
      <c r="AN9520">
        <v>0.99999998583025596</v>
      </c>
    </row>
    <row r="9521" spans="1:40" x14ac:dyDescent="0.25">
      <c r="A9521" t="str">
        <f>"20190312154139396"</f>
        <v>20190312154139396</v>
      </c>
      <c r="B9521" t="str">
        <f>"1552376499385478"</f>
        <v>1552376499385478</v>
      </c>
      <c r="C9521" t="s">
        <v>40</v>
      </c>
      <c r="D9521">
        <v>4.4937279999999999</v>
      </c>
      <c r="E9521">
        <v>0.39276899999999998</v>
      </c>
      <c r="F9521" t="s">
        <v>69</v>
      </c>
      <c r="G9521">
        <v>-195.5163</v>
      </c>
      <c r="H9521" s="1">
        <v>-4.3087540000000001E-6</v>
      </c>
      <c r="I9521">
        <v>-46.404029999999999</v>
      </c>
      <c r="J9521">
        <v>-202.2483</v>
      </c>
      <c r="K9521">
        <v>1.113588</v>
      </c>
      <c r="L9521">
        <v>-57.539369999999998</v>
      </c>
      <c r="M9521">
        <v>0.77546349999999997</v>
      </c>
      <c r="N9521">
        <v>0</v>
      </c>
      <c r="O9521">
        <v>0.63122860000000003</v>
      </c>
      <c r="P9521">
        <v>0.73062780000000005</v>
      </c>
      <c r="Q9521">
        <v>-2.4069090000000001E-2</v>
      </c>
      <c r="R9521">
        <v>0.68235159999999995</v>
      </c>
      <c r="S9521">
        <v>1.6157680000000001</v>
      </c>
      <c r="T9521">
        <v>-0.26516820000000002</v>
      </c>
      <c r="U9521">
        <v>2.6634220000000002</v>
      </c>
      <c r="V9521">
        <v>-6.7873290000000003E-2</v>
      </c>
      <c r="W9521">
        <v>-1.025995E-2</v>
      </c>
      <c r="X9521">
        <v>0.99764120000000001</v>
      </c>
      <c r="Y9521">
        <v>-0.33624300000000001</v>
      </c>
      <c r="Z9521">
        <v>-4.2195339999999998E-2</v>
      </c>
      <c r="AA9521">
        <v>0.94082949999999999</v>
      </c>
      <c r="AB9521">
        <v>14</v>
      </c>
      <c r="AC9521">
        <v>6.7319999999999904</v>
      </c>
      <c r="AD9521">
        <v>-1.1135923087540001</v>
      </c>
      <c r="AE9521">
        <v>11.135339999999999</v>
      </c>
      <c r="AF9521">
        <v>-4.3541818227651001</v>
      </c>
      <c r="AG9521">
        <v>-1.1135923087540001</v>
      </c>
      <c r="AH9521">
        <v>12.161559517260899</v>
      </c>
      <c r="AI9521">
        <v>94.927165615385604</v>
      </c>
      <c r="AJ9521">
        <v>109.698801900983</v>
      </c>
      <c r="AK9521">
        <v>12.965435475435999</v>
      </c>
      <c r="AL9521">
        <v>90.587862142911305</v>
      </c>
      <c r="AM9521">
        <v>93.892050261341396</v>
      </c>
      <c r="AN9521">
        <v>1.0000000070034301</v>
      </c>
    </row>
    <row r="9522" spans="1:40" x14ac:dyDescent="0.25">
      <c r="A9522" t="str">
        <f>"20190312154139406"</f>
        <v>20190312154139406</v>
      </c>
      <c r="B9522" t="str">
        <f>"1552376499395238"</f>
        <v>1552376499395238</v>
      </c>
      <c r="C9522" t="s">
        <v>40</v>
      </c>
      <c r="D9522">
        <v>4.5215439999999996</v>
      </c>
      <c r="E9522">
        <v>0.3931617</v>
      </c>
      <c r="F9522" t="s">
        <v>69</v>
      </c>
      <c r="G9522">
        <v>-195.5146</v>
      </c>
      <c r="H9522" s="1">
        <v>-4.3540189999999996E-6</v>
      </c>
      <c r="I9522">
        <v>-46.313459999999999</v>
      </c>
      <c r="J9522">
        <v>-202.20670000000001</v>
      </c>
      <c r="K9522">
        <v>1.1135699999999999</v>
      </c>
      <c r="L9522">
        <v>-57.500030000000002</v>
      </c>
      <c r="M9522">
        <v>0.77319759999999904</v>
      </c>
      <c r="N9522">
        <v>0</v>
      </c>
      <c r="O9522">
        <v>0.63400210000000001</v>
      </c>
      <c r="P9522">
        <v>0.72791309999999998</v>
      </c>
      <c r="Q9522">
        <v>-2.419702E-2</v>
      </c>
      <c r="R9522">
        <v>0.68524219999999902</v>
      </c>
      <c r="S9522">
        <v>1.6024320000000001</v>
      </c>
      <c r="T9522">
        <v>-0.2650035</v>
      </c>
      <c r="U9522">
        <v>2.6714479999999998</v>
      </c>
      <c r="V9522">
        <v>-6.8256620000000004E-2</v>
      </c>
      <c r="W9522">
        <v>-1.039342E-2</v>
      </c>
      <c r="X9522">
        <v>0.99761369999999905</v>
      </c>
      <c r="Y9522">
        <v>-0.33757300000000001</v>
      </c>
      <c r="Z9522">
        <v>-4.2390089999999998E-2</v>
      </c>
      <c r="AA9522">
        <v>0.94034439999999997</v>
      </c>
      <c r="AB9522">
        <v>14</v>
      </c>
      <c r="AC9522">
        <v>6.6921000000000097</v>
      </c>
      <c r="AD9522">
        <v>-1.113574354019</v>
      </c>
      <c r="AE9522">
        <v>11.18657</v>
      </c>
      <c r="AF9522">
        <v>-4.3751509022891097</v>
      </c>
      <c r="AG9522">
        <v>-1.113574354019</v>
      </c>
      <c r="AH9522">
        <v>12.179014587457299</v>
      </c>
      <c r="AI9522">
        <v>94.918179785704993</v>
      </c>
      <c r="AJ9522">
        <v>109.760158582746</v>
      </c>
      <c r="AK9522">
        <v>12.9888563615596</v>
      </c>
      <c r="AL9522">
        <v>90.595509797565299</v>
      </c>
      <c r="AM9522">
        <v>93.914070937043604</v>
      </c>
      <c r="AN9522">
        <v>1.0000000418904</v>
      </c>
    </row>
    <row r="9523" spans="1:40" x14ac:dyDescent="0.25">
      <c r="A9523" t="str">
        <f>"20190312154139416"</f>
        <v>20190312154139416</v>
      </c>
      <c r="B9523" t="str">
        <f>"1552376499405974"</f>
        <v>1552376499405974</v>
      </c>
      <c r="C9523" t="s">
        <v>40</v>
      </c>
      <c r="D9523">
        <v>4.5267920000000004</v>
      </c>
      <c r="E9523">
        <v>0.39376450000000002</v>
      </c>
      <c r="F9523" t="s">
        <v>69</v>
      </c>
      <c r="G9523">
        <v>-195.45920000000001</v>
      </c>
      <c r="H9523" s="1">
        <v>-4.414175E-6</v>
      </c>
      <c r="I9523">
        <v>-46.174340000000001</v>
      </c>
      <c r="J9523">
        <v>-202.16069999999999</v>
      </c>
      <c r="K9523">
        <v>1.1135520000000001</v>
      </c>
      <c r="L9523">
        <v>-57.456449999999997</v>
      </c>
      <c r="M9523">
        <v>0.77067909999999995</v>
      </c>
      <c r="N9523">
        <v>0</v>
      </c>
      <c r="O9523">
        <v>0.6370614</v>
      </c>
      <c r="P9523">
        <v>0.7251592</v>
      </c>
      <c r="Q9523">
        <v>-2.4665739999999998E-2</v>
      </c>
      <c r="R9523">
        <v>0.68813939999999996</v>
      </c>
      <c r="S9523">
        <v>1.593979</v>
      </c>
      <c r="T9523">
        <v>-0.2630634</v>
      </c>
      <c r="U9523">
        <v>2.6755070000000001</v>
      </c>
      <c r="V9523">
        <v>-6.8287669999999995E-2</v>
      </c>
      <c r="W9523">
        <v>-1.086473E-2</v>
      </c>
      <c r="X9523">
        <v>0.99760649999999995</v>
      </c>
      <c r="Y9523">
        <v>-0.3366615</v>
      </c>
      <c r="Z9523">
        <v>-4.241955E-2</v>
      </c>
      <c r="AA9523">
        <v>0.9406698</v>
      </c>
      <c r="AB9523">
        <v>14</v>
      </c>
      <c r="AC9523">
        <v>6.7014999999999798</v>
      </c>
      <c r="AD9523">
        <v>-1.1135564141750001</v>
      </c>
      <c r="AE9523">
        <v>11.2821099999999</v>
      </c>
      <c r="AF9523">
        <v>-4.3944315127063396</v>
      </c>
      <c r="AG9523">
        <v>-1.1135564141750001</v>
      </c>
      <c r="AH9523">
        <v>12.2650559597536</v>
      </c>
      <c r="AI9523">
        <v>94.885231977967095</v>
      </c>
      <c r="AJ9523">
        <v>109.712030488925</v>
      </c>
      <c r="AK9523">
        <v>13.076032804459601</v>
      </c>
      <c r="AL9523">
        <v>90.622515429292903</v>
      </c>
      <c r="AM9523">
        <v>93.915874087326301</v>
      </c>
      <c r="AN9523">
        <v>0.99999998853712502</v>
      </c>
    </row>
    <row r="9524" spans="1:40" x14ac:dyDescent="0.25">
      <c r="A9524" t="str">
        <f>"20190312154139427"</f>
        <v>20190312154139427</v>
      </c>
      <c r="B9524" t="str">
        <f>"1552376499415734"</f>
        <v>1552376499415734</v>
      </c>
      <c r="C9524" t="s">
        <v>40</v>
      </c>
      <c r="D9524">
        <v>4.5025130000000004</v>
      </c>
      <c r="E9524">
        <v>0.39449420000000002</v>
      </c>
      <c r="F9524" t="s">
        <v>69</v>
      </c>
      <c r="G9524">
        <v>-195.44370000000001</v>
      </c>
      <c r="H9524" s="1">
        <v>-4.4400190000000002E-6</v>
      </c>
      <c r="I9524">
        <v>-46.117489999999997</v>
      </c>
      <c r="J9524">
        <v>-202.1147</v>
      </c>
      <c r="K9524">
        <v>1.1135280000000001</v>
      </c>
      <c r="L9524">
        <v>-57.412379999999999</v>
      </c>
      <c r="M9524">
        <v>0.76814910000000003</v>
      </c>
      <c r="N9524">
        <v>0</v>
      </c>
      <c r="O9524">
        <v>0.6401097</v>
      </c>
      <c r="P9524">
        <v>0.72240199999999999</v>
      </c>
      <c r="Q9524">
        <v>-2.4716599999999998E-2</v>
      </c>
      <c r="R9524">
        <v>0.69103149999999902</v>
      </c>
      <c r="S9524">
        <v>1.5865479999999901</v>
      </c>
      <c r="T9524">
        <v>-0.263021</v>
      </c>
      <c r="U9524">
        <v>2.6782530000000002</v>
      </c>
      <c r="V9524">
        <v>-6.8322380000000002E-2</v>
      </c>
      <c r="W9524">
        <v>-1.091835E-2</v>
      </c>
      <c r="X9524">
        <v>0.99760349999999998</v>
      </c>
      <c r="Y9524">
        <v>-0.33529409999999998</v>
      </c>
      <c r="Z9524">
        <v>-4.2774140000000002E-2</v>
      </c>
      <c r="AA9524">
        <v>0.94114200000000003</v>
      </c>
      <c r="AB9524">
        <v>14</v>
      </c>
      <c r="AC9524">
        <v>6.6709999999999896</v>
      </c>
      <c r="AD9524">
        <v>-1.1135324400190001</v>
      </c>
      <c r="AE9524">
        <v>11.294890000000001</v>
      </c>
      <c r="AF9524">
        <v>-4.3749179628842301</v>
      </c>
      <c r="AG9524">
        <v>-1.1135324400190001</v>
      </c>
      <c r="AH9524">
        <v>12.2671722241826</v>
      </c>
      <c r="AI9524">
        <v>94.886835234422094</v>
      </c>
      <c r="AJ9524">
        <v>109.628075614908</v>
      </c>
      <c r="AK9524">
        <v>13.071471839647501</v>
      </c>
      <c r="AL9524">
        <v>90.6255878350008</v>
      </c>
      <c r="AM9524">
        <v>93.9178700384725</v>
      </c>
      <c r="AN9524">
        <v>0.999999950593917</v>
      </c>
    </row>
    <row r="9525" spans="1:40" x14ac:dyDescent="0.25">
      <c r="A9525" t="str">
        <f>"20190312154139439"</f>
        <v>20190312154139439</v>
      </c>
      <c r="B9525" t="str">
        <f>"1552376499435254"</f>
        <v>1552376499435254</v>
      </c>
      <c r="C9525" t="s">
        <v>40</v>
      </c>
      <c r="D9525">
        <v>4.5086709999999997</v>
      </c>
      <c r="E9525">
        <v>0.39552179999999998</v>
      </c>
      <c r="F9525" t="s">
        <v>69</v>
      </c>
      <c r="G9525">
        <v>-195.31059999999999</v>
      </c>
      <c r="H9525" s="1">
        <v>-4.541668E-6</v>
      </c>
      <c r="I9525">
        <v>-45.868400000000001</v>
      </c>
      <c r="J9525">
        <v>-202.06309999999999</v>
      </c>
      <c r="K9525">
        <v>1.113504</v>
      </c>
      <c r="L9525">
        <v>-57.362699999999997</v>
      </c>
      <c r="M9525">
        <v>0.7652892</v>
      </c>
      <c r="N9525">
        <v>0</v>
      </c>
      <c r="O9525">
        <v>0.6435265</v>
      </c>
      <c r="P9525">
        <v>0.71938159999999995</v>
      </c>
      <c r="Q9525">
        <v>-2.4807050000000001E-2</v>
      </c>
      <c r="R9525">
        <v>0.69417209999999996</v>
      </c>
      <c r="S9525">
        <v>1.579895</v>
      </c>
      <c r="T9525">
        <v>-0.25855620000000001</v>
      </c>
      <c r="U9525">
        <v>2.68045</v>
      </c>
      <c r="V9525">
        <v>-6.8225250000000001E-2</v>
      </c>
      <c r="W9525">
        <v>-1.1010590000000001E-2</v>
      </c>
      <c r="X9525">
        <v>0.99760919999999997</v>
      </c>
      <c r="Y9525">
        <v>-0.33315630000000002</v>
      </c>
      <c r="Z9525">
        <v>-4.2469670000000001E-2</v>
      </c>
      <c r="AA9525">
        <v>0.94191469999999999</v>
      </c>
      <c r="AB9525">
        <v>14</v>
      </c>
      <c r="AC9525">
        <v>6.7524999999999897</v>
      </c>
      <c r="AD9525">
        <v>-1.113508541668</v>
      </c>
      <c r="AE9525">
        <v>11.4942999999999</v>
      </c>
      <c r="AF9525">
        <v>-4.4206671200538796</v>
      </c>
      <c r="AG9525">
        <v>-1.113508541668</v>
      </c>
      <c r="AH9525">
        <v>12.478733953516199</v>
      </c>
      <c r="AI9525">
        <v>94.807866429237706</v>
      </c>
      <c r="AJ9525">
        <v>109.50699937116499</v>
      </c>
      <c r="AK9525">
        <v>13.2853678963486</v>
      </c>
      <c r="AL9525">
        <v>90.630873073854801</v>
      </c>
      <c r="AM9525">
        <v>93.912295252734793</v>
      </c>
      <c r="AN9525">
        <v>1.0000000168771701</v>
      </c>
    </row>
    <row r="9526" spans="1:40" x14ac:dyDescent="0.25">
      <c r="A9526" t="str">
        <f>"20190312154139448"</f>
        <v>20190312154139448</v>
      </c>
      <c r="B9526" t="str">
        <f>"1552376499445989"</f>
        <v>1552376499445989</v>
      </c>
      <c r="C9526" t="s">
        <v>40</v>
      </c>
      <c r="D9526">
        <v>4.5125270000000004</v>
      </c>
      <c r="E9526">
        <v>0.39591910000000002</v>
      </c>
      <c r="F9526" t="s">
        <v>69</v>
      </c>
      <c r="G9526">
        <v>-195.19479999999999</v>
      </c>
      <c r="H9526" s="1">
        <v>-4.6250090000000002E-6</v>
      </c>
      <c r="I9526">
        <v>-45.661850000000001</v>
      </c>
      <c r="J9526">
        <v>-202.01730000000001</v>
      </c>
      <c r="K9526">
        <v>1.1134770000000001</v>
      </c>
      <c r="L9526">
        <v>-57.318049999999999</v>
      </c>
      <c r="M9526">
        <v>0.76273869999999999</v>
      </c>
      <c r="N9526">
        <v>0</v>
      </c>
      <c r="O9526">
        <v>0.6465476</v>
      </c>
      <c r="P9526">
        <v>0.71665290000000004</v>
      </c>
      <c r="Q9526">
        <v>-2.482036E-2</v>
      </c>
      <c r="R9526">
        <v>0.69698830000000001</v>
      </c>
      <c r="S9526">
        <v>1.5739590000000001</v>
      </c>
      <c r="T9526">
        <v>-0.2551774</v>
      </c>
      <c r="U9526">
        <v>2.6814269999999998</v>
      </c>
      <c r="V9526">
        <v>-6.819385E-2</v>
      </c>
      <c r="W9526">
        <v>-1.1026350000000001E-2</v>
      </c>
      <c r="X9526">
        <v>0.99761120000000003</v>
      </c>
      <c r="Y9526">
        <v>-0.33112170000000002</v>
      </c>
      <c r="Z9526">
        <v>-4.2298639999999998E-2</v>
      </c>
      <c r="AA9526">
        <v>0.94263949999999996</v>
      </c>
      <c r="AB9526">
        <v>14</v>
      </c>
      <c r="AC9526">
        <v>6.8225000000000096</v>
      </c>
      <c r="AD9526">
        <v>-1.1134816250090001</v>
      </c>
      <c r="AE9526">
        <v>11.656199999999901</v>
      </c>
      <c r="AF9526">
        <v>-4.4497804333660902</v>
      </c>
      <c r="AG9526">
        <v>-1.1134816250090001</v>
      </c>
      <c r="AH9526">
        <v>12.655367638959101</v>
      </c>
      <c r="AI9526">
        <v>94.744873594063804</v>
      </c>
      <c r="AJ9526">
        <v>109.372291426449</v>
      </c>
      <c r="AK9526">
        <v>13.461007291863901</v>
      </c>
      <c r="AL9526">
        <v>90.631776093027199</v>
      </c>
      <c r="AM9526">
        <v>93.910492429713202</v>
      </c>
      <c r="AN9526">
        <v>1.0000000439687899</v>
      </c>
    </row>
    <row r="9527" spans="1:40" x14ac:dyDescent="0.25">
      <c r="A9527" t="str">
        <f>"20190312154139461"</f>
        <v>20190312154139461</v>
      </c>
      <c r="B9527" t="str">
        <f>"1552376499455750"</f>
        <v>1552376499455750</v>
      </c>
      <c r="C9527" t="s">
        <v>40</v>
      </c>
      <c r="D9527">
        <v>4.7499159999999998</v>
      </c>
      <c r="E9527">
        <v>0.39652480000000001</v>
      </c>
      <c r="F9527" t="s">
        <v>69</v>
      </c>
      <c r="G9527">
        <v>-195.1482</v>
      </c>
      <c r="H9527" s="1">
        <v>-4.6798560000000003E-6</v>
      </c>
      <c r="I9527">
        <v>-45.536360000000002</v>
      </c>
      <c r="J9527">
        <v>-201.96639999999999</v>
      </c>
      <c r="K9527">
        <v>1.1134489999999999</v>
      </c>
      <c r="L9527">
        <v>-57.268279999999997</v>
      </c>
      <c r="M9527">
        <v>0.75989329999999999</v>
      </c>
      <c r="N9527">
        <v>0</v>
      </c>
      <c r="O9527">
        <v>0.64988950000000001</v>
      </c>
      <c r="P9527">
        <v>0.71385750000000003</v>
      </c>
      <c r="Q9527">
        <v>-2.4672820000000002E-2</v>
      </c>
      <c r="R9527">
        <v>0.69985620000000004</v>
      </c>
      <c r="S9527">
        <v>1.5656429999999999</v>
      </c>
      <c r="T9527">
        <v>-0.25379220000000002</v>
      </c>
      <c r="U9527">
        <v>2.6853639999999999</v>
      </c>
      <c r="V9527">
        <v>-6.7813380000000006E-2</v>
      </c>
      <c r="W9527">
        <v>-1.0878519999999999E-2</v>
      </c>
      <c r="X9527">
        <v>0.99763869999999999</v>
      </c>
      <c r="Y9527">
        <v>-0.32976139999999998</v>
      </c>
      <c r="Z9527">
        <v>-4.2438190000000001E-2</v>
      </c>
      <c r="AA9527">
        <v>0.94311</v>
      </c>
      <c r="AB9527">
        <v>14</v>
      </c>
      <c r="AC9527">
        <v>6.8181999999999903</v>
      </c>
      <c r="AD9527">
        <v>-1.113453679856</v>
      </c>
      <c r="AE9527">
        <v>11.731920000000001</v>
      </c>
      <c r="AF9527">
        <v>-4.4543993813360103</v>
      </c>
      <c r="AG9527">
        <v>-1.113453679856</v>
      </c>
      <c r="AH9527">
        <v>12.7212179699071</v>
      </c>
      <c r="AI9527">
        <v>94.722444920866494</v>
      </c>
      <c r="AJ9527">
        <v>109.29796273147301</v>
      </c>
      <c r="AK9527">
        <v>13.5244533931512</v>
      </c>
      <c r="AL9527">
        <v>90.623305586241599</v>
      </c>
      <c r="AM9527">
        <v>93.888635108262804</v>
      </c>
      <c r="AN9527">
        <v>0.99999998622105202</v>
      </c>
    </row>
    <row r="9528" spans="1:40" x14ac:dyDescent="0.25">
      <c r="A9528" t="str">
        <f>"20190312154139472"</f>
        <v>20190312154139472</v>
      </c>
      <c r="B9528" t="str">
        <f>"1552376499465510"</f>
        <v>1552376499465510</v>
      </c>
      <c r="C9528" t="s">
        <v>40</v>
      </c>
      <c r="D9528">
        <v>4.5394360000000002</v>
      </c>
      <c r="E9528">
        <v>0.39705109999999999</v>
      </c>
      <c r="F9528" t="s">
        <v>69</v>
      </c>
      <c r="G9528">
        <v>-195.04249999999999</v>
      </c>
      <c r="H9528" s="1">
        <v>-4.7644840000000003E-6</v>
      </c>
      <c r="I9528">
        <v>-45.326560000000001</v>
      </c>
      <c r="J9528">
        <v>-201.91309999999999</v>
      </c>
      <c r="K9528">
        <v>1.113421</v>
      </c>
      <c r="L9528">
        <v>-57.215609999999998</v>
      </c>
      <c r="M9528">
        <v>0.7568956</v>
      </c>
      <c r="N9528">
        <v>0</v>
      </c>
      <c r="O9528">
        <v>0.65337849999999997</v>
      </c>
      <c r="P9528">
        <v>0.7106962</v>
      </c>
      <c r="Q9528">
        <v>-2.4564010000000001E-2</v>
      </c>
      <c r="R9528">
        <v>0.70307019999999998</v>
      </c>
      <c r="S9528">
        <v>1.558548</v>
      </c>
      <c r="T9528">
        <v>-0.25063530000000001</v>
      </c>
      <c r="U9528">
        <v>2.6880489999999999</v>
      </c>
      <c r="V9528">
        <v>-6.7724980000000004E-2</v>
      </c>
      <c r="W9528">
        <v>-1.077256E-2</v>
      </c>
      <c r="X9528">
        <v>0.99764589999999997</v>
      </c>
      <c r="Y9528">
        <v>-0.3276848</v>
      </c>
      <c r="Z9528">
        <v>-4.2319780000000001E-2</v>
      </c>
      <c r="AA9528">
        <v>0.94383879999999998</v>
      </c>
      <c r="AB9528">
        <v>14</v>
      </c>
      <c r="AC9528">
        <v>6.8705999999999898</v>
      </c>
      <c r="AD9528">
        <v>-1.113425764484</v>
      </c>
      <c r="AE9528">
        <v>11.8890499999999</v>
      </c>
      <c r="AF9528">
        <v>-4.4806712433314102</v>
      </c>
      <c r="AG9528">
        <v>-1.113425764484</v>
      </c>
      <c r="AH9528">
        <v>12.8849930467729</v>
      </c>
      <c r="AI9528">
        <v>94.666053902240193</v>
      </c>
      <c r="AJ9528">
        <v>109.174781425155</v>
      </c>
      <c r="AK9528">
        <v>13.687190271901001</v>
      </c>
      <c r="AL9528">
        <v>90.617234141713595</v>
      </c>
      <c r="AM9528">
        <v>93.883553550734604</v>
      </c>
      <c r="AN9528">
        <v>1.0000000313758799</v>
      </c>
    </row>
    <row r="9529" spans="1:40" x14ac:dyDescent="0.25">
      <c r="A9529" t="str">
        <f>"20190312154139486"</f>
        <v>20190312154139486</v>
      </c>
      <c r="B9529" t="str">
        <f>"1552376499475270"</f>
        <v>1552376499475270</v>
      </c>
      <c r="C9529" t="s">
        <v>40</v>
      </c>
      <c r="D9529">
        <v>4.5412369999999997</v>
      </c>
      <c r="E9529">
        <v>0.39772420000000003</v>
      </c>
      <c r="F9529" t="s">
        <v>69</v>
      </c>
      <c r="G9529">
        <v>-195.04349999999999</v>
      </c>
      <c r="H9529" s="1">
        <v>-4.7862820000000002E-6</v>
      </c>
      <c r="I9529">
        <v>-45.280119999999997</v>
      </c>
      <c r="J9529">
        <v>-201.86179999999999</v>
      </c>
      <c r="K9529">
        <v>1.1133900000000001</v>
      </c>
      <c r="L9529">
        <v>-57.164400000000001</v>
      </c>
      <c r="M9529">
        <v>0.75399669999999996</v>
      </c>
      <c r="N9529">
        <v>0</v>
      </c>
      <c r="O9529">
        <v>0.65672189999999997</v>
      </c>
      <c r="P9529">
        <v>0.70770239999999995</v>
      </c>
      <c r="Q9529">
        <v>-2.4730909999999998E-2</v>
      </c>
      <c r="R9529">
        <v>0.70607779999999998</v>
      </c>
      <c r="S9529">
        <v>1.5494079999999999</v>
      </c>
      <c r="T9529">
        <v>-0.2511274</v>
      </c>
      <c r="U9529">
        <v>2.691986</v>
      </c>
      <c r="V9529">
        <v>-6.7544069999999998E-2</v>
      </c>
      <c r="W9529">
        <v>-1.094182E-2</v>
      </c>
      <c r="X9529">
        <v>0.99765630000000005</v>
      </c>
      <c r="Y9529">
        <v>-0.3265171</v>
      </c>
      <c r="Z9529">
        <v>-4.2765669999999999E-2</v>
      </c>
      <c r="AA9529">
        <v>0.94422329999999999</v>
      </c>
      <c r="AB9529">
        <v>14</v>
      </c>
      <c r="AC9529">
        <v>6.81829999999999</v>
      </c>
      <c r="AD9529">
        <v>-1.1133947862819999</v>
      </c>
      <c r="AE9529">
        <v>11.884279999999899</v>
      </c>
      <c r="AF9529">
        <v>-4.4540290005944003</v>
      </c>
      <c r="AG9529">
        <v>-1.1133947862819999</v>
      </c>
      <c r="AH9529">
        <v>12.862037141692999</v>
      </c>
      <c r="AI9529">
        <v>94.676306832904402</v>
      </c>
      <c r="AJ9529">
        <v>109.100593898159</v>
      </c>
      <c r="AK9529">
        <v>13.656867200150501</v>
      </c>
      <c r="AL9529">
        <v>90.626932610806307</v>
      </c>
      <c r="AM9529">
        <v>93.873170993110804</v>
      </c>
      <c r="AN9529">
        <v>1.00000000887338</v>
      </c>
    </row>
    <row r="9530" spans="1:40" x14ac:dyDescent="0.25">
      <c r="A9530" t="str">
        <f>"20190312154139496"</f>
        <v>20190312154139496</v>
      </c>
      <c r="B9530" t="str">
        <f>"1552376499486006"</f>
        <v>1552376499486006</v>
      </c>
      <c r="C9530" t="s">
        <v>40</v>
      </c>
      <c r="D9530">
        <v>4.5647409999999997</v>
      </c>
      <c r="E9530">
        <v>0.39829730000000002</v>
      </c>
      <c r="F9530" t="s">
        <v>69</v>
      </c>
      <c r="G9530">
        <v>-195.05269999999999</v>
      </c>
      <c r="H9530" s="1">
        <v>-4.7960429999999996E-6</v>
      </c>
      <c r="I9530">
        <v>-45.262689999999999</v>
      </c>
      <c r="J9530">
        <v>-201.81030000000001</v>
      </c>
      <c r="K9530">
        <v>1.1133580000000001</v>
      </c>
      <c r="L9530">
        <v>-57.112850000000002</v>
      </c>
      <c r="M9530">
        <v>0.75107780000000002</v>
      </c>
      <c r="N9530">
        <v>0</v>
      </c>
      <c r="O9530">
        <v>0.66005839999999905</v>
      </c>
      <c r="P9530">
        <v>0.70481229999999995</v>
      </c>
      <c r="Q9530">
        <v>-2.4707099999999999E-2</v>
      </c>
      <c r="R9530">
        <v>0.70896349999999997</v>
      </c>
      <c r="S9530">
        <v>1.5417019999999999</v>
      </c>
      <c r="T9530">
        <v>-0.2520927</v>
      </c>
      <c r="U9530">
        <v>2.694763</v>
      </c>
      <c r="V9530">
        <v>-6.7197779999999999E-2</v>
      </c>
      <c r="W9530">
        <v>-1.091899E-2</v>
      </c>
      <c r="X9530">
        <v>0.99767989999999995</v>
      </c>
      <c r="Y9530">
        <v>-0.3247929</v>
      </c>
      <c r="Z9530">
        <v>-4.3315579999999999E-2</v>
      </c>
      <c r="AA9530">
        <v>0.94479270000000004</v>
      </c>
      <c r="AB9530">
        <v>14</v>
      </c>
      <c r="AC9530">
        <v>6.7576000000000196</v>
      </c>
      <c r="AD9530">
        <v>-1.1133627960429999</v>
      </c>
      <c r="AE9530">
        <v>11.850160000000001</v>
      </c>
      <c r="AF9530">
        <v>-4.4110541877220202</v>
      </c>
      <c r="AG9530">
        <v>-1.1133627960429999</v>
      </c>
      <c r="AH9530">
        <v>12.8132529052848</v>
      </c>
      <c r="AI9530">
        <v>94.696832614242894</v>
      </c>
      <c r="AJ9530">
        <v>108.996391640011</v>
      </c>
      <c r="AK9530">
        <v>13.596927071122501</v>
      </c>
      <c r="AL9530">
        <v>90.6256244915796</v>
      </c>
      <c r="AM9530">
        <v>93.853282830255694</v>
      </c>
      <c r="AN9530">
        <v>0.99999997442177802</v>
      </c>
    </row>
    <row r="9531" spans="1:40" x14ac:dyDescent="0.25">
      <c r="A9531" t="str">
        <f>"20190312154139507"</f>
        <v>20190312154139507</v>
      </c>
      <c r="B9531" t="str">
        <f>"1552376499495766"</f>
        <v>1552376499495766</v>
      </c>
      <c r="C9531" t="s">
        <v>40</v>
      </c>
      <c r="D9531">
        <v>4.5526169999999997</v>
      </c>
      <c r="E9531">
        <v>0.39875699999999997</v>
      </c>
      <c r="F9531" t="s">
        <v>69</v>
      </c>
      <c r="G9531">
        <v>-195.04519999999999</v>
      </c>
      <c r="H9531" s="1">
        <v>-4.8164420000000001E-6</v>
      </c>
      <c r="I9531">
        <v>-45.216030000000003</v>
      </c>
      <c r="J9531">
        <v>-201.7655</v>
      </c>
      <c r="K9531">
        <v>1.113326</v>
      </c>
      <c r="L9531">
        <v>-57.06738</v>
      </c>
      <c r="M9531">
        <v>0.74853210000000003</v>
      </c>
      <c r="N9531">
        <v>0</v>
      </c>
      <c r="O9531">
        <v>0.66294419999999898</v>
      </c>
      <c r="P9531">
        <v>0.70233069999999997</v>
      </c>
      <c r="Q9531">
        <v>-2.4965500000000002E-2</v>
      </c>
      <c r="R9531">
        <v>0.71141299999999996</v>
      </c>
      <c r="S9531">
        <v>1.534027</v>
      </c>
      <c r="T9531">
        <v>-0.25246020000000002</v>
      </c>
      <c r="U9531">
        <v>2.6976619999999998</v>
      </c>
      <c r="V9531">
        <v>-6.6836010000000001E-2</v>
      </c>
      <c r="W9531">
        <v>-1.1178449999999999E-2</v>
      </c>
      <c r="X9531">
        <v>0.99770130000000001</v>
      </c>
      <c r="Y9531">
        <v>-0.323629</v>
      </c>
      <c r="Z9531">
        <v>-4.370309E-2</v>
      </c>
      <c r="AA9531">
        <v>0.94517419999999996</v>
      </c>
      <c r="AB9531">
        <v>14</v>
      </c>
      <c r="AC9531">
        <v>6.7202999999999999</v>
      </c>
      <c r="AD9531">
        <v>-1.1133308164419999</v>
      </c>
      <c r="AE9531">
        <v>11.85135</v>
      </c>
      <c r="AF9531">
        <v>-4.38708807241205</v>
      </c>
      <c r="AG9531">
        <v>-1.1133308164419999</v>
      </c>
      <c r="AH9531">
        <v>12.8029679468836</v>
      </c>
      <c r="AI9531">
        <v>94.702748438482303</v>
      </c>
      <c r="AJ9531">
        <v>108.914628894855</v>
      </c>
      <c r="AK9531">
        <v>13.579471105712001</v>
      </c>
      <c r="AL9531">
        <v>90.640491379977107</v>
      </c>
      <c r="AM9531">
        <v>93.832518096421595</v>
      </c>
      <c r="AN9531">
        <v>0.99999994699940398</v>
      </c>
    </row>
    <row r="9532" spans="1:40" x14ac:dyDescent="0.25">
      <c r="A9532" t="str">
        <f>"20190312154139518"</f>
        <v>20190312154139518</v>
      </c>
      <c r="B9532" t="str">
        <f>"1552376499515286"</f>
        <v>1552376499515286</v>
      </c>
      <c r="C9532" t="s">
        <v>40</v>
      </c>
      <c r="D9532">
        <v>4.6054849999999998</v>
      </c>
      <c r="E9532">
        <v>0.39906730000000001</v>
      </c>
      <c r="F9532" t="s">
        <v>69</v>
      </c>
      <c r="G9532">
        <v>-195.08580000000001</v>
      </c>
      <c r="H9532" s="1">
        <v>-4.8055239999999998E-6</v>
      </c>
      <c r="I9532">
        <v>-45.254980000000003</v>
      </c>
      <c r="J9532">
        <v>-201.71950000000001</v>
      </c>
      <c r="K9532">
        <v>1.1132919999999999</v>
      </c>
      <c r="L9532">
        <v>-57.020659999999999</v>
      </c>
      <c r="M9532">
        <v>0.74591300000000005</v>
      </c>
      <c r="N9532">
        <v>0</v>
      </c>
      <c r="O9532">
        <v>0.66588990000000003</v>
      </c>
      <c r="P9532">
        <v>0.69973319999999894</v>
      </c>
      <c r="Q9532">
        <v>-2.4584580000000002E-2</v>
      </c>
      <c r="R9532">
        <v>0.71398119999999998</v>
      </c>
      <c r="S9532">
        <v>1.527069</v>
      </c>
      <c r="T9532">
        <v>-0.25452209999999997</v>
      </c>
      <c r="U9532">
        <v>2.7004700000000001</v>
      </c>
      <c r="V9532">
        <v>-6.6553230000000005E-2</v>
      </c>
      <c r="W9532">
        <v>-1.0799E-2</v>
      </c>
      <c r="X9532">
        <v>0.99772439999999996</v>
      </c>
      <c r="Y9532">
        <v>-0.32218279999999999</v>
      </c>
      <c r="Z9532">
        <v>-4.439659E-2</v>
      </c>
      <c r="AA9532">
        <v>0.94563589999999997</v>
      </c>
      <c r="AB9532">
        <v>14</v>
      </c>
      <c r="AC9532">
        <v>6.6337000000000002</v>
      </c>
      <c r="AD9532">
        <v>-1.113296805524</v>
      </c>
      <c r="AE9532">
        <v>11.76568</v>
      </c>
      <c r="AF9532">
        <v>-4.3298893462869801</v>
      </c>
      <c r="AG9532">
        <v>-1.113296805524</v>
      </c>
      <c r="AH9532">
        <v>12.697851567079599</v>
      </c>
      <c r="AI9532">
        <v>94.743768187468604</v>
      </c>
      <c r="AJ9532">
        <v>108.82906082639001</v>
      </c>
      <c r="AK9532">
        <v>13.461902018209299</v>
      </c>
      <c r="AL9532">
        <v>90.618749171526005</v>
      </c>
      <c r="AM9532">
        <v>93.816262814927995</v>
      </c>
      <c r="AN9532">
        <v>0.99999996458989504</v>
      </c>
    </row>
    <row r="9533" spans="1:40" x14ac:dyDescent="0.25">
      <c r="A9533" t="str">
        <f>"20190312154139528"</f>
        <v>20190312154139528</v>
      </c>
      <c r="B9533" t="str">
        <f>"1552376499525048"</f>
        <v>1552376499525048</v>
      </c>
      <c r="C9533" t="s">
        <v>40</v>
      </c>
      <c r="D9533">
        <v>4.6389050000000003</v>
      </c>
      <c r="E9533">
        <v>0.39028790000000002</v>
      </c>
      <c r="F9533" t="s">
        <v>69</v>
      </c>
      <c r="G9533">
        <v>-195.04400000000001</v>
      </c>
      <c r="H9533" s="1">
        <v>-4.8531180000000002E-6</v>
      </c>
      <c r="I9533">
        <v>-45.136850000000003</v>
      </c>
      <c r="J9533">
        <v>-201.67169999999999</v>
      </c>
      <c r="K9533">
        <v>1.1132519999999999</v>
      </c>
      <c r="L9533">
        <v>-56.971530000000001</v>
      </c>
      <c r="M9533">
        <v>0.74319619999999997</v>
      </c>
      <c r="N9533">
        <v>0</v>
      </c>
      <c r="O9533">
        <v>0.66892099999999999</v>
      </c>
      <c r="P9533">
        <v>0.69687869999999996</v>
      </c>
      <c r="Q9533">
        <v>-2.440602E-2</v>
      </c>
      <c r="R9533">
        <v>0.71677360000000001</v>
      </c>
      <c r="S9533">
        <v>1.5190729999999999</v>
      </c>
      <c r="T9533">
        <v>-0.25334230000000002</v>
      </c>
      <c r="U9533">
        <v>2.704285</v>
      </c>
      <c r="V9533">
        <v>-6.6479629999999998E-2</v>
      </c>
      <c r="W9533">
        <v>-1.062449E-2</v>
      </c>
      <c r="X9533">
        <v>0.99773120000000004</v>
      </c>
      <c r="Y9533">
        <v>-0.32102530000000001</v>
      </c>
      <c r="Z9533">
        <v>-4.4521659999999998E-2</v>
      </c>
      <c r="AA9533">
        <v>0.94602359999999996</v>
      </c>
      <c r="AB9533">
        <v>14</v>
      </c>
      <c r="AC9533">
        <v>6.6276999999999697</v>
      </c>
      <c r="AD9533">
        <v>-1.113256853118</v>
      </c>
      <c r="AE9533">
        <v>11.834680000000001</v>
      </c>
      <c r="AF9533">
        <v>-4.33333710836928</v>
      </c>
      <c r="AG9533">
        <v>-1.113256853118</v>
      </c>
      <c r="AH9533">
        <v>12.7575227851195</v>
      </c>
      <c r="AI9533">
        <v>94.723411279747793</v>
      </c>
      <c r="AJ9533">
        <v>108.761040235792</v>
      </c>
      <c r="AK9533">
        <v>13.5193024571769</v>
      </c>
      <c r="AL9533">
        <v>90.608749899042806</v>
      </c>
      <c r="AM9533">
        <v>93.8120290257568</v>
      </c>
      <c r="AN9533">
        <v>0.99999998422306802</v>
      </c>
    </row>
    <row r="9534" spans="1:40" x14ac:dyDescent="0.25">
      <c r="A9534" t="str">
        <f>"20190312154139539"</f>
        <v>20190312154139539</v>
      </c>
      <c r="B9534" t="str">
        <f>"1552376499535782"</f>
        <v>1552376499535782</v>
      </c>
      <c r="C9534" t="s">
        <v>40</v>
      </c>
      <c r="D9534">
        <v>4.6117920000000003</v>
      </c>
      <c r="E9534">
        <v>0.3908237</v>
      </c>
      <c r="F9534" t="s">
        <v>69</v>
      </c>
      <c r="G9534">
        <v>-195.91669999999999</v>
      </c>
      <c r="H9534" s="1">
        <v>-4.5454539999999999E-6</v>
      </c>
      <c r="I9534">
        <v>-46.075299999999999</v>
      </c>
      <c r="J9534">
        <v>-201.63069999999999</v>
      </c>
      <c r="K9534">
        <v>1.1132150000000001</v>
      </c>
      <c r="L9534">
        <v>-56.929290000000002</v>
      </c>
      <c r="M9534">
        <v>0.74085780000000001</v>
      </c>
      <c r="N9534">
        <v>0</v>
      </c>
      <c r="O9534">
        <v>0.67151019999999995</v>
      </c>
      <c r="P9534">
        <v>0.6942258</v>
      </c>
      <c r="Q9534">
        <v>-2.4072779999999998E-2</v>
      </c>
      <c r="R9534">
        <v>0.71935459999999996</v>
      </c>
      <c r="S9534">
        <v>1.45723</v>
      </c>
      <c r="T9534">
        <v>-0.28188780000000002</v>
      </c>
      <c r="U9534">
        <v>2.7590330000000001</v>
      </c>
      <c r="V9534">
        <v>-6.669535E-2</v>
      </c>
      <c r="W9534">
        <v>-1.0296799999999899E-2</v>
      </c>
      <c r="X9534">
        <v>0.99772019999999995</v>
      </c>
      <c r="Y9534">
        <v>-0.34221459999999998</v>
      </c>
      <c r="Z9534">
        <v>-4.871371E-2</v>
      </c>
      <c r="AA9534">
        <v>0.93835820000000003</v>
      </c>
      <c r="AB9534">
        <v>14</v>
      </c>
      <c r="AC9534">
        <v>5.7139999999999898</v>
      </c>
      <c r="AD9534">
        <v>-1.1132195454539999</v>
      </c>
      <c r="AE9534">
        <v>10.85399</v>
      </c>
      <c r="AF9534">
        <v>-4.1703332539110098</v>
      </c>
      <c r="AG9534">
        <v>-1.1132195454539999</v>
      </c>
      <c r="AH9534">
        <v>11.4288664624313</v>
      </c>
      <c r="AI9534">
        <v>95.228164453484496</v>
      </c>
      <c r="AJ9534">
        <v>110.046760016596</v>
      </c>
      <c r="AK9534">
        <v>12.2167886869318</v>
      </c>
      <c r="AL9534">
        <v>90.589973640108497</v>
      </c>
      <c r="AM9534">
        <v>93.824404083758495</v>
      </c>
      <c r="AN9534">
        <v>0.99999994564494898</v>
      </c>
    </row>
    <row r="9535" spans="1:40" x14ac:dyDescent="0.25">
      <c r="A9535" t="str">
        <f>"20190312154139550"</f>
        <v>20190312154139550</v>
      </c>
      <c r="B9535" t="str">
        <f>"1552376499545542"</f>
        <v>1552376499545542</v>
      </c>
      <c r="C9535" t="s">
        <v>40</v>
      </c>
      <c r="D9535">
        <v>4.5799659999999998</v>
      </c>
      <c r="E9535">
        <v>0.39127109999999998</v>
      </c>
      <c r="F9535" t="s">
        <v>69</v>
      </c>
      <c r="G9535">
        <v>-195.87559999999999</v>
      </c>
      <c r="H9535" s="1">
        <v>-4.5913579999999999E-6</v>
      </c>
      <c r="I9535">
        <v>-45.969549999999998</v>
      </c>
      <c r="J9535">
        <v>-201.58330000000001</v>
      </c>
      <c r="K9535">
        <v>1.1131719999999901</v>
      </c>
      <c r="L9535">
        <v>-56.879849999999998</v>
      </c>
      <c r="M9535">
        <v>0.73815769999999903</v>
      </c>
      <c r="N9535">
        <v>0</v>
      </c>
      <c r="O9535">
        <v>0.6744772</v>
      </c>
      <c r="P9535">
        <v>0.69132660000000001</v>
      </c>
      <c r="Q9535">
        <v>-2.387937E-2</v>
      </c>
      <c r="R9535">
        <v>0.72214780000000001</v>
      </c>
      <c r="S9535">
        <v>1.450134</v>
      </c>
      <c r="T9535">
        <v>-0.28050209999999998</v>
      </c>
      <c r="U9535">
        <v>2.7615660000000002</v>
      </c>
      <c r="V9535">
        <v>-6.6713090000000003E-2</v>
      </c>
      <c r="W9535">
        <v>-1.010867E-2</v>
      </c>
      <c r="X9535">
        <v>0.99772099999999997</v>
      </c>
      <c r="Y9535">
        <v>-0.34069110000000002</v>
      </c>
      <c r="Z9535">
        <v>-4.8855759999999998E-2</v>
      </c>
      <c r="AA9535">
        <v>0.93890510000000005</v>
      </c>
      <c r="AB9535">
        <v>14</v>
      </c>
      <c r="AC9535">
        <v>5.7077000000000098</v>
      </c>
      <c r="AD9535">
        <v>-1.1131765913579901</v>
      </c>
      <c r="AE9535">
        <v>10.910299999999999</v>
      </c>
      <c r="AF9535">
        <v>-4.17015312125511</v>
      </c>
      <c r="AG9535">
        <v>-1.1131765913579901</v>
      </c>
      <c r="AH9535">
        <v>11.479287440805299</v>
      </c>
      <c r="AI9535">
        <v>95.207821178695198</v>
      </c>
      <c r="AJ9535">
        <v>109.964883880586</v>
      </c>
      <c r="AK9535">
        <v>12.2639055494933</v>
      </c>
      <c r="AL9535">
        <v>90.5791939874847</v>
      </c>
      <c r="AM9535">
        <v>93.825415241860298</v>
      </c>
      <c r="AN9535">
        <v>1.0000000077137501</v>
      </c>
    </row>
    <row r="9536" spans="1:40" x14ac:dyDescent="0.25">
      <c r="A9536" t="str">
        <f>"20190312154139563"</f>
        <v>20190312154139563</v>
      </c>
      <c r="B9536" t="str">
        <f>"1552376499555302"</f>
        <v>1552376499555302</v>
      </c>
      <c r="C9536" t="s">
        <v>40</v>
      </c>
      <c r="D9536">
        <v>4.6212339999999896</v>
      </c>
      <c r="E9536">
        <v>0.3920999</v>
      </c>
      <c r="F9536" t="s">
        <v>69</v>
      </c>
      <c r="G9536">
        <v>-195.84970000000001</v>
      </c>
      <c r="H9536" s="1">
        <v>-4.62998E-6</v>
      </c>
      <c r="I9536">
        <v>-45.88364</v>
      </c>
      <c r="J9536">
        <v>-201.53270000000001</v>
      </c>
      <c r="K9536">
        <v>1.113124</v>
      </c>
      <c r="L9536">
        <v>-56.826900000000002</v>
      </c>
      <c r="M9536">
        <v>0.73527659999999995</v>
      </c>
      <c r="N9536">
        <v>0</v>
      </c>
      <c r="O9536">
        <v>0.67761729999999998</v>
      </c>
      <c r="P9536">
        <v>0.68813000000000002</v>
      </c>
      <c r="Q9536">
        <v>-2.371405E-2</v>
      </c>
      <c r="R9536">
        <v>0.72519990000000001</v>
      </c>
      <c r="S9536">
        <v>1.4416500000000001</v>
      </c>
      <c r="T9536">
        <v>-0.27989779999999997</v>
      </c>
      <c r="U9536">
        <v>2.7648929999999998</v>
      </c>
      <c r="V9536">
        <v>-6.6874000000000003E-2</v>
      </c>
      <c r="W9536">
        <v>-9.9502199999999992E-3</v>
      </c>
      <c r="X9536">
        <v>0.99771180000000004</v>
      </c>
      <c r="Y9536">
        <v>-0.339418099999999</v>
      </c>
      <c r="Z9536">
        <v>-4.9138229999999998E-2</v>
      </c>
      <c r="AA9536">
        <v>0.9393513</v>
      </c>
      <c r="AB9536">
        <v>14</v>
      </c>
      <c r="AC9536">
        <v>5.6829999999999901</v>
      </c>
      <c r="AD9536">
        <v>-1.1131286299800001</v>
      </c>
      <c r="AE9536">
        <v>10.94326</v>
      </c>
      <c r="AF9536">
        <v>-4.1619347492499204</v>
      </c>
      <c r="AG9536">
        <v>-1.1131286299800001</v>
      </c>
      <c r="AH9536">
        <v>11.501373047517999</v>
      </c>
      <c r="AI9536">
        <v>95.199992570630997</v>
      </c>
      <c r="AJ9536">
        <v>109.893374626145</v>
      </c>
      <c r="AK9536">
        <v>12.281788883630499</v>
      </c>
      <c r="AL9536">
        <v>90.570115026278799</v>
      </c>
      <c r="AM9536">
        <v>93.834649789510706</v>
      </c>
      <c r="AN9536">
        <v>0.99999998730664397</v>
      </c>
    </row>
    <row r="9537" spans="1:40" x14ac:dyDescent="0.25">
      <c r="A9537" t="str">
        <f>"20190312154139574"</f>
        <v>20190312154139574</v>
      </c>
      <c r="B9537" t="str">
        <f>"1552376499565062"</f>
        <v>1552376499565062</v>
      </c>
      <c r="C9537" t="s">
        <v>40</v>
      </c>
      <c r="D9537">
        <v>4.7706650000000002</v>
      </c>
      <c r="E9537">
        <v>0.3920999</v>
      </c>
      <c r="F9537" t="s">
        <v>69</v>
      </c>
      <c r="G9537">
        <v>-195.8355</v>
      </c>
      <c r="H9537" s="1">
        <v>-4.6514229999999996E-6</v>
      </c>
      <c r="I9537">
        <v>-45.835990000000002</v>
      </c>
      <c r="J9537">
        <v>-201.48150000000001</v>
      </c>
      <c r="K9537">
        <v>1.1130709999999999</v>
      </c>
      <c r="L9537">
        <v>-56.772979999999997</v>
      </c>
      <c r="M9537">
        <v>0.73236849999999998</v>
      </c>
      <c r="N9537">
        <v>0</v>
      </c>
      <c r="O9537">
        <v>0.68075959999999902</v>
      </c>
      <c r="P9537">
        <v>0.684888099999999</v>
      </c>
      <c r="Q9537">
        <v>-2.363546E-2</v>
      </c>
      <c r="R9537">
        <v>0.72826480000000005</v>
      </c>
      <c r="S9537">
        <v>1.4341740000000001</v>
      </c>
      <c r="T9537">
        <v>-0.28021200000000002</v>
      </c>
      <c r="U9537">
        <v>2.766785</v>
      </c>
      <c r="V9537">
        <v>-6.7055770000000001E-2</v>
      </c>
      <c r="W9537">
        <v>-9.8790070000000004E-3</v>
      </c>
      <c r="X9537">
        <v>0.99770029999999998</v>
      </c>
      <c r="Y9537">
        <v>-0.33766439999999998</v>
      </c>
      <c r="Z9537">
        <v>-4.9610729999999999E-2</v>
      </c>
      <c r="AA9537">
        <v>0.93995830000000002</v>
      </c>
      <c r="AB9537">
        <v>14</v>
      </c>
      <c r="AC9537">
        <v>5.6460000000000097</v>
      </c>
      <c r="AD9537">
        <v>-1.113075651423</v>
      </c>
      <c r="AE9537">
        <v>10.93699</v>
      </c>
      <c r="AF9537">
        <v>-4.13296103149536</v>
      </c>
      <c r="AG9537">
        <v>-1.113075651423</v>
      </c>
      <c r="AH9537">
        <v>11.487640872928401</v>
      </c>
      <c r="AI9537">
        <v>95.209383012275197</v>
      </c>
      <c r="AJ9537">
        <v>109.78744112566</v>
      </c>
      <c r="AK9537">
        <v>12.259127094496799</v>
      </c>
      <c r="AL9537">
        <v>90.566034625547502</v>
      </c>
      <c r="AM9537">
        <v>93.845085702177698</v>
      </c>
      <c r="AN9537">
        <v>0.99999997984484401</v>
      </c>
    </row>
    <row r="9538" spans="1:40" x14ac:dyDescent="0.25">
      <c r="A9538" t="str">
        <f>"20190312154139586"</f>
        <v>20190312154139586</v>
      </c>
      <c r="B9538" t="str">
        <f>"1552376499575798"</f>
        <v>1552376499575798</v>
      </c>
      <c r="C9538" t="s">
        <v>40</v>
      </c>
      <c r="D9538">
        <v>4.5792029999999997</v>
      </c>
      <c r="E9538">
        <v>0.39287480000000002</v>
      </c>
      <c r="F9538" t="s">
        <v>69</v>
      </c>
      <c r="G9538">
        <v>-195.8246</v>
      </c>
      <c r="H9538" s="1">
        <v>-4.6977059999999997E-6</v>
      </c>
      <c r="I9538">
        <v>-45.740169999999999</v>
      </c>
      <c r="J9538">
        <v>-201.43190000000001</v>
      </c>
      <c r="K9538">
        <v>1.113019</v>
      </c>
      <c r="L9538">
        <v>-56.720179999999999</v>
      </c>
      <c r="M9538">
        <v>0.72955689999999995</v>
      </c>
      <c r="N9538">
        <v>0</v>
      </c>
      <c r="O9538">
        <v>0.68377209999999999</v>
      </c>
      <c r="P9538">
        <v>0.68173379999999995</v>
      </c>
      <c r="Q9538">
        <v>-2.4009039999999999E-2</v>
      </c>
      <c r="R9538">
        <v>0.73120629999999998</v>
      </c>
      <c r="S9538">
        <v>1.421875</v>
      </c>
      <c r="T9538">
        <v>-0.27977210000000002</v>
      </c>
      <c r="U9538">
        <v>2.7731020000000002</v>
      </c>
      <c r="V9538">
        <v>-6.724629E-2</v>
      </c>
      <c r="W9538">
        <v>-1.0260490000000001E-2</v>
      </c>
      <c r="X9538">
        <v>0.9976836</v>
      </c>
      <c r="Y9538">
        <v>-0.33795940000000002</v>
      </c>
      <c r="Z9538">
        <v>-4.9836060000000001E-2</v>
      </c>
      <c r="AA9538">
        <v>0.93984029999999996</v>
      </c>
      <c r="AB9538">
        <v>14</v>
      </c>
      <c r="AC9538">
        <v>5.6073000000000004</v>
      </c>
      <c r="AD9538">
        <v>-1.113023697706</v>
      </c>
      <c r="AE9538">
        <v>10.98001</v>
      </c>
      <c r="AF9538">
        <v>-4.1430833915641001</v>
      </c>
      <c r="AG9538">
        <v>-1.113023697706</v>
      </c>
      <c r="AH9538">
        <v>11.5060685211453</v>
      </c>
      <c r="AI9538">
        <v>95.200343983445805</v>
      </c>
      <c r="AJ9538">
        <v>109.80283809933201</v>
      </c>
      <c r="AK9538">
        <v>12.2798035226302</v>
      </c>
      <c r="AL9538">
        <v>90.587893115750603</v>
      </c>
      <c r="AM9538">
        <v>93.856041864343993</v>
      </c>
      <c r="AN9538">
        <v>0.99999995344138104</v>
      </c>
    </row>
    <row r="9539" spans="1:40" x14ac:dyDescent="0.25">
      <c r="A9539" t="str">
        <f>"20190312154139600"</f>
        <v>20190312154139600</v>
      </c>
      <c r="B9539" t="str">
        <f>"1552376499595319"</f>
        <v>1552376499595319</v>
      </c>
      <c r="C9539" t="s">
        <v>40</v>
      </c>
      <c r="D9539">
        <v>4.578538</v>
      </c>
      <c r="E9539">
        <v>0.39489089999999999</v>
      </c>
      <c r="F9539" t="s">
        <v>69</v>
      </c>
      <c r="G9539">
        <v>-194.16319999999999</v>
      </c>
      <c r="H9539" s="1">
        <v>-5.935825E-6</v>
      </c>
      <c r="I9539">
        <v>-42.471879999999999</v>
      </c>
      <c r="J9539">
        <v>-201.38040000000001</v>
      </c>
      <c r="K9539">
        <v>1.1129610000000001</v>
      </c>
      <c r="L9539">
        <v>-56.665280000000003</v>
      </c>
      <c r="M9539">
        <v>0.72664819999999997</v>
      </c>
      <c r="N9539">
        <v>0</v>
      </c>
      <c r="O9539">
        <v>0.6868628</v>
      </c>
      <c r="P9539">
        <v>0.67863390000000001</v>
      </c>
      <c r="Q9539">
        <v>-2.3890809999999998E-2</v>
      </c>
      <c r="R9539">
        <v>0.73408809999999902</v>
      </c>
      <c r="S9539">
        <v>1.4159389999999901</v>
      </c>
      <c r="T9539">
        <v>-0.2168176</v>
      </c>
      <c r="U9539">
        <v>2.7755740000000002</v>
      </c>
      <c r="V9539">
        <v>-6.7237820000000004E-2</v>
      </c>
      <c r="W9539">
        <v>-1.014867E-2</v>
      </c>
      <c r="X9539">
        <v>0.99768539999999994</v>
      </c>
      <c r="Y9539">
        <v>-0.3356228</v>
      </c>
      <c r="Z9539">
        <v>-3.8989049999999997E-2</v>
      </c>
      <c r="AA9539">
        <v>0.94118930000000001</v>
      </c>
      <c r="AB9539">
        <v>14</v>
      </c>
      <c r="AC9539">
        <v>7.2172000000000098</v>
      </c>
      <c r="AD9539">
        <v>-1.1129669358250001</v>
      </c>
      <c r="AE9539">
        <v>14.1934</v>
      </c>
      <c r="AF9539">
        <v>-5.3308786475785004</v>
      </c>
      <c r="AG9539">
        <v>-1.1129669358250001</v>
      </c>
      <c r="AH9539">
        <v>14.9218952942134</v>
      </c>
      <c r="AI9539">
        <v>94.017770328865097</v>
      </c>
      <c r="AJ9539">
        <v>109.659375712884</v>
      </c>
      <c r="AK9539">
        <v>15.884581257525101</v>
      </c>
      <c r="AL9539">
        <v>90.581485918222398</v>
      </c>
      <c r="AM9539">
        <v>93.855550706806596</v>
      </c>
      <c r="AN9539">
        <v>1.0000000386571399</v>
      </c>
    </row>
    <row r="9540" spans="1:40" x14ac:dyDescent="0.25">
      <c r="A9540" t="str">
        <f>"20190312154139612"</f>
        <v>20190312154139612</v>
      </c>
      <c r="B9540" t="str">
        <f>"1552376499605078"</f>
        <v>1552376499605078</v>
      </c>
      <c r="C9540" t="s">
        <v>40</v>
      </c>
      <c r="D9540">
        <v>4.5902070000000004</v>
      </c>
      <c r="E9540">
        <v>0.39551770000000003</v>
      </c>
      <c r="F9540" t="s">
        <v>69</v>
      </c>
      <c r="G9540">
        <v>-194.2944</v>
      </c>
      <c r="H9540" s="1">
        <v>-5.80832199999999E-6</v>
      </c>
      <c r="I9540">
        <v>-42.799819999999997</v>
      </c>
      <c r="J9540">
        <v>-201.3261</v>
      </c>
      <c r="K9540">
        <v>1.1128990000000001</v>
      </c>
      <c r="L9540">
        <v>-56.606720000000003</v>
      </c>
      <c r="M9540">
        <v>0.72359969999999996</v>
      </c>
      <c r="N9540">
        <v>0</v>
      </c>
      <c r="O9540">
        <v>0.69007399999999997</v>
      </c>
      <c r="P9540">
        <v>0.67548330000000001</v>
      </c>
      <c r="Q9540">
        <v>-2.3729989999999999E-2</v>
      </c>
      <c r="R9540">
        <v>0.73699340000000002</v>
      </c>
      <c r="S9540">
        <v>1.415894</v>
      </c>
      <c r="T9540">
        <v>-0.22238840000000001</v>
      </c>
      <c r="U9540">
        <v>2.7705380000000002</v>
      </c>
      <c r="V9540">
        <v>-6.7099469999999994E-2</v>
      </c>
      <c r="W9540">
        <v>-9.9941549999999994E-3</v>
      </c>
      <c r="X9540">
        <v>0.99769620000000003</v>
      </c>
      <c r="Y9540">
        <v>-0.33080130000000002</v>
      </c>
      <c r="Z9540">
        <v>-4.0446999999999997E-2</v>
      </c>
      <c r="AA9540">
        <v>0.94283320000000004</v>
      </c>
      <c r="AB9540">
        <v>14</v>
      </c>
      <c r="AC9540">
        <v>7.0316999999999998</v>
      </c>
      <c r="AD9540">
        <v>-1.1129048083219999</v>
      </c>
      <c r="AE9540">
        <v>13.806899999999899</v>
      </c>
      <c r="AF9540">
        <v>-5.1124175756706096</v>
      </c>
      <c r="AG9540">
        <v>-1.1129048083219999</v>
      </c>
      <c r="AH9540">
        <v>14.542365800481701</v>
      </c>
      <c r="AI9540">
        <v>94.129417796719196</v>
      </c>
      <c r="AJ9540">
        <v>109.369296012278</v>
      </c>
      <c r="AK9540">
        <v>15.4549595164605</v>
      </c>
      <c r="AL9540">
        <v>90.5726324544748</v>
      </c>
      <c r="AM9540">
        <v>93.8475997703231</v>
      </c>
      <c r="AN9540">
        <v>0.99999996475144104</v>
      </c>
    </row>
    <row r="9541" spans="1:40" x14ac:dyDescent="0.25">
      <c r="A9541" t="str">
        <f>"20190312154139628"</f>
        <v>20190312154139628</v>
      </c>
      <c r="B9541" t="str">
        <f>"1552376499615813"</f>
        <v>1552376499615813</v>
      </c>
      <c r="C9541" t="s">
        <v>40</v>
      </c>
      <c r="D9541">
        <v>4.5915429999999997</v>
      </c>
      <c r="E9541">
        <v>0.39631509999999998</v>
      </c>
      <c r="F9541" t="s">
        <v>69</v>
      </c>
      <c r="G9541">
        <v>-194.3835</v>
      </c>
      <c r="H9541" s="1">
        <v>-5.7635409999999996E-6</v>
      </c>
      <c r="I9541">
        <v>-42.929969999999997</v>
      </c>
      <c r="J9541">
        <v>-201.261</v>
      </c>
      <c r="K9541">
        <v>1.112827</v>
      </c>
      <c r="L9541">
        <v>-56.535980000000002</v>
      </c>
      <c r="M9541">
        <v>0.7199643</v>
      </c>
      <c r="N9541">
        <v>0</v>
      </c>
      <c r="O9541">
        <v>0.69386639999999999</v>
      </c>
      <c r="P9541">
        <v>0.67219439999999997</v>
      </c>
      <c r="Q9541">
        <v>-2.3162740000000001E-2</v>
      </c>
      <c r="R9541">
        <v>0.74001229999999996</v>
      </c>
      <c r="S9541">
        <v>1.4077</v>
      </c>
      <c r="T9541">
        <v>-0.22565289999999999</v>
      </c>
      <c r="U9541">
        <v>2.7731020000000002</v>
      </c>
      <c r="V9541">
        <v>-6.6319610000000001E-2</v>
      </c>
      <c r="W9541">
        <v>-9.4305569999999991E-3</v>
      </c>
      <c r="X9541">
        <v>0.99775389999999997</v>
      </c>
      <c r="Y9541">
        <v>-0.32843020000000001</v>
      </c>
      <c r="Z9541">
        <v>-4.144374E-2</v>
      </c>
      <c r="AA9541">
        <v>0.94361859999999997</v>
      </c>
      <c r="AB9541">
        <v>14</v>
      </c>
      <c r="AC9541">
        <v>6.8774999999999897</v>
      </c>
      <c r="AD9541">
        <v>-1.112832763541</v>
      </c>
      <c r="AE9541">
        <v>13.6060099999999</v>
      </c>
      <c r="AF9541">
        <v>-4.9976513883578599</v>
      </c>
      <c r="AG9541">
        <v>-1.112832763541</v>
      </c>
      <c r="AH9541">
        <v>14.317466849729501</v>
      </c>
      <c r="AI9541">
        <v>94.197035106859403</v>
      </c>
      <c r="AJ9541">
        <v>109.24203892646599</v>
      </c>
      <c r="AK9541">
        <v>15.2054192034376</v>
      </c>
      <c r="AL9541">
        <v>90.540339104778795</v>
      </c>
      <c r="AM9541">
        <v>93.802793960448298</v>
      </c>
      <c r="AN9541">
        <v>1.0000000355205401</v>
      </c>
    </row>
    <row r="9542" spans="1:40" x14ac:dyDescent="0.25">
      <c r="A9542" t="str">
        <f>"20190312154139640"</f>
        <v>20190312154139640</v>
      </c>
      <c r="B9542" t="str">
        <f>"1552376499635336"</f>
        <v>1552376499635336</v>
      </c>
      <c r="C9542" t="s">
        <v>40</v>
      </c>
      <c r="D9542">
        <v>4.6389620000000003</v>
      </c>
      <c r="E9542">
        <v>0.39751409999999998</v>
      </c>
      <c r="F9542" t="s">
        <v>69</v>
      </c>
      <c r="G9542">
        <v>-194.4622</v>
      </c>
      <c r="H9542" s="1">
        <v>-5.7183769999999997E-6</v>
      </c>
      <c r="I9542">
        <v>-43.057029999999997</v>
      </c>
      <c r="J9542">
        <v>-201.21369999999999</v>
      </c>
      <c r="K9542">
        <v>1.1127739999999999</v>
      </c>
      <c r="L9542">
        <v>-56.484380000000002</v>
      </c>
      <c r="M9542">
        <v>0.71733939999999996</v>
      </c>
      <c r="N9542">
        <v>0</v>
      </c>
      <c r="O9542">
        <v>0.69657999999999998</v>
      </c>
      <c r="P9542">
        <v>0.66987929999999996</v>
      </c>
      <c r="Q9542">
        <v>-2.2897069999999999E-2</v>
      </c>
      <c r="R9542">
        <v>0.74211689999999997</v>
      </c>
      <c r="S9542">
        <v>1.3998409999999999</v>
      </c>
      <c r="T9542">
        <v>-0.22912840000000001</v>
      </c>
      <c r="U9542">
        <v>2.7752690000000002</v>
      </c>
      <c r="V9542">
        <v>-6.5677929999999995E-2</v>
      </c>
      <c r="W9542">
        <v>-9.1673569999999992E-3</v>
      </c>
      <c r="X9542">
        <v>0.99779870000000004</v>
      </c>
      <c r="Y9542">
        <v>-0.32730939999999997</v>
      </c>
      <c r="Z9542">
        <v>-4.2365420000000001E-2</v>
      </c>
      <c r="AA9542">
        <v>0.943967</v>
      </c>
      <c r="AB9542">
        <v>14</v>
      </c>
      <c r="AC9542">
        <v>6.7514999999999903</v>
      </c>
      <c r="AD9542">
        <v>-1.1127797183769901</v>
      </c>
      <c r="AE9542">
        <v>13.427350000000001</v>
      </c>
      <c r="AF9542">
        <v>-4.9026247957946003</v>
      </c>
      <c r="AG9542">
        <v>-1.1127797183769901</v>
      </c>
      <c r="AH9542">
        <v>14.1203544664966</v>
      </c>
      <c r="AI9542">
        <v>94.257652899854094</v>
      </c>
      <c r="AJ9542">
        <v>109.147137808442</v>
      </c>
      <c r="AK9542">
        <v>14.9886096369704</v>
      </c>
      <c r="AL9542">
        <v>90.525258255117194</v>
      </c>
      <c r="AM9542">
        <v>93.765937560073993</v>
      </c>
      <c r="AN9542">
        <v>0.99999993832256795</v>
      </c>
    </row>
    <row r="9543" spans="1:40" x14ac:dyDescent="0.25">
      <c r="A9543" t="str">
        <f>"20190312154139650"</f>
        <v>20190312154139650</v>
      </c>
      <c r="B9543" t="str">
        <f>"1552376499645094"</f>
        <v>1552376499645094</v>
      </c>
      <c r="C9543" t="s">
        <v>40</v>
      </c>
      <c r="D9543">
        <v>4.6012639999999996</v>
      </c>
      <c r="E9543">
        <v>0.39814270000000002</v>
      </c>
      <c r="F9543" t="s">
        <v>69</v>
      </c>
      <c r="G9543">
        <v>-194.56219999999999</v>
      </c>
      <c r="H9543" s="1">
        <v>-5.6284329999999996E-6</v>
      </c>
      <c r="I9543">
        <v>-43.288310000000003</v>
      </c>
      <c r="J9543">
        <v>-201.1687</v>
      </c>
      <c r="K9543">
        <v>1.112722</v>
      </c>
      <c r="L9543">
        <v>-56.434910000000002</v>
      </c>
      <c r="M9543">
        <v>0.71486740000000004</v>
      </c>
      <c r="N9543">
        <v>0</v>
      </c>
      <c r="O9543">
        <v>0.69911699999999999</v>
      </c>
      <c r="P9543">
        <v>0.66785589999999995</v>
      </c>
      <c r="Q9543">
        <v>-2.2575189999999998E-2</v>
      </c>
      <c r="R9543">
        <v>0.74394830000000001</v>
      </c>
      <c r="S9543">
        <v>1.3979490000000001</v>
      </c>
      <c r="T9543">
        <v>-0.2338722</v>
      </c>
      <c r="U9543">
        <v>2.7734070000000002</v>
      </c>
      <c r="V9543">
        <v>-6.4870709999999998E-2</v>
      </c>
      <c r="W9543">
        <v>-8.8471049999999992E-3</v>
      </c>
      <c r="X9543">
        <v>0.99785449999999998</v>
      </c>
      <c r="Y9543">
        <v>-0.3242487</v>
      </c>
      <c r="Z9543">
        <v>-4.3584690000000002E-2</v>
      </c>
      <c r="AA9543">
        <v>0.94496729999999995</v>
      </c>
      <c r="AB9543">
        <v>14</v>
      </c>
      <c r="AC9543">
        <v>6.6065000000000103</v>
      </c>
      <c r="AD9543">
        <v>-1.1127276284330001</v>
      </c>
      <c r="AE9543">
        <v>13.146599999999999</v>
      </c>
      <c r="AF9543">
        <v>-4.7526542984970597</v>
      </c>
      <c r="AG9543">
        <v>-1.1127276284330001</v>
      </c>
      <c r="AH9543">
        <v>13.8360388018131</v>
      </c>
      <c r="AI9543">
        <v>94.3495585459209</v>
      </c>
      <c r="AJ9543">
        <v>108.957503877533</v>
      </c>
      <c r="AK9543">
        <v>14.671804775874699</v>
      </c>
      <c r="AL9543">
        <v>90.506908369130599</v>
      </c>
      <c r="AM9543">
        <v>93.7195753239628</v>
      </c>
      <c r="AN9543">
        <v>1.00000004172651</v>
      </c>
    </row>
    <row r="9544" spans="1:40" x14ac:dyDescent="0.25">
      <c r="A9544" t="str">
        <f>"20190312154139663"</f>
        <v>20190312154139663</v>
      </c>
      <c r="B9544" t="str">
        <f>"1552376499655830"</f>
        <v>1552376499655830</v>
      </c>
      <c r="C9544" t="s">
        <v>40</v>
      </c>
      <c r="D9544">
        <v>4.6238739999999998</v>
      </c>
      <c r="E9544">
        <v>0.3987579</v>
      </c>
      <c r="F9544" t="s">
        <v>69</v>
      </c>
      <c r="G9544">
        <v>-194.6121</v>
      </c>
      <c r="H9544" s="1">
        <v>-5.5900550000000003E-6</v>
      </c>
      <c r="I9544">
        <v>-43.389780000000002</v>
      </c>
      <c r="J9544">
        <v>-201.12110000000001</v>
      </c>
      <c r="K9544">
        <v>1.1126670000000001</v>
      </c>
      <c r="L9544">
        <v>-56.382199999999997</v>
      </c>
      <c r="M9544">
        <v>0.71225879999999997</v>
      </c>
      <c r="N9544">
        <v>0</v>
      </c>
      <c r="O9544">
        <v>0.70177480000000003</v>
      </c>
      <c r="P9544">
        <v>0.66583409999999998</v>
      </c>
      <c r="Q9544">
        <v>-2.2526569999999999E-2</v>
      </c>
      <c r="R9544">
        <v>0.74575970000000003</v>
      </c>
      <c r="S9544">
        <v>1.39415</v>
      </c>
      <c r="T9544">
        <v>-0.2366007</v>
      </c>
      <c r="U9544">
        <v>2.7738040000000002</v>
      </c>
      <c r="V9544">
        <v>-6.3865290000000005E-2</v>
      </c>
      <c r="W9544">
        <v>-8.7996389999999997E-3</v>
      </c>
      <c r="X9544">
        <v>0.99791969999999997</v>
      </c>
      <c r="Y9544">
        <v>-0.3218317</v>
      </c>
      <c r="Z9544">
        <v>-4.4416079999999997E-2</v>
      </c>
      <c r="AA9544">
        <v>0.94575450000000005</v>
      </c>
      <c r="AB9544">
        <v>14</v>
      </c>
      <c r="AC9544">
        <v>6.5090000000000101</v>
      </c>
      <c r="AD9544">
        <v>-1.1126725900550001</v>
      </c>
      <c r="AE9544">
        <v>12.9924199999999</v>
      </c>
      <c r="AF9544">
        <v>-4.6592647184976297</v>
      </c>
      <c r="AG9544">
        <v>-1.1126725900550001</v>
      </c>
      <c r="AH9544">
        <v>13.675044284847599</v>
      </c>
      <c r="AI9544">
        <v>94.4040889277356</v>
      </c>
      <c r="AJ9544">
        <v>108.814641602782</v>
      </c>
      <c r="AK9544">
        <v>14.489776540797299</v>
      </c>
      <c r="AL9544">
        <v>90.504188698935707</v>
      </c>
      <c r="AM9544">
        <v>93.661845755585006</v>
      </c>
      <c r="AN9544">
        <v>0.99999996828070103</v>
      </c>
    </row>
    <row r="9545" spans="1:40" x14ac:dyDescent="0.25">
      <c r="A9545" t="str">
        <f>"20190312154139674"</f>
        <v>20190312154139674</v>
      </c>
      <c r="B9545" t="str">
        <f>"1552376499665591"</f>
        <v>1552376499665591</v>
      </c>
      <c r="C9545" t="s">
        <v>40</v>
      </c>
      <c r="D9545">
        <v>4.5835650000000001</v>
      </c>
      <c r="E9545">
        <v>0.39934360000000002</v>
      </c>
      <c r="F9545" t="s">
        <v>69</v>
      </c>
      <c r="G9545">
        <v>-194.67359999999999</v>
      </c>
      <c r="H9545" s="1">
        <v>-5.5427390000000003E-6</v>
      </c>
      <c r="I9545">
        <v>-43.514850000000003</v>
      </c>
      <c r="J9545">
        <v>-201.07509999999999</v>
      </c>
      <c r="K9545">
        <v>1.112616</v>
      </c>
      <c r="L9545">
        <v>-56.331090000000003</v>
      </c>
      <c r="M9545">
        <v>0.709762</v>
      </c>
      <c r="N9545">
        <v>0</v>
      </c>
      <c r="O9545">
        <v>0.70430029999999999</v>
      </c>
      <c r="P9545">
        <v>0.66384880000000002</v>
      </c>
      <c r="Q9545">
        <v>-2.2597079999999999E-2</v>
      </c>
      <c r="R9545">
        <v>0.74752529999999995</v>
      </c>
      <c r="S9545">
        <v>1.390137</v>
      </c>
      <c r="T9545">
        <v>-0.2399027</v>
      </c>
      <c r="U9545">
        <v>2.7743229999999999</v>
      </c>
      <c r="V9545">
        <v>-6.2973489999999993E-2</v>
      </c>
      <c r="W9545">
        <v>-8.8722530000000001E-3</v>
      </c>
      <c r="X9545">
        <v>0.99797579999999997</v>
      </c>
      <c r="Y9545">
        <v>-0.31965490000000002</v>
      </c>
      <c r="Z9545">
        <v>-4.5343460000000002E-2</v>
      </c>
      <c r="AA9545">
        <v>0.94644839999999997</v>
      </c>
      <c r="AB9545">
        <v>14</v>
      </c>
      <c r="AC9545">
        <v>6.4014999999999898</v>
      </c>
      <c r="AD9545">
        <v>-1.112621542739</v>
      </c>
      <c r="AE9545">
        <v>12.816239999999899</v>
      </c>
      <c r="AF9545">
        <v>-4.5608484274747303</v>
      </c>
      <c r="AG9545">
        <v>-1.112621542739</v>
      </c>
      <c r="AH9545">
        <v>13.4900051886253</v>
      </c>
      <c r="AI9545">
        <v>94.467601483157907</v>
      </c>
      <c r="AJ9545">
        <v>108.679928966696</v>
      </c>
      <c r="AK9545">
        <v>14.283539654613</v>
      </c>
      <c r="AL9545">
        <v>90.508349302111398</v>
      </c>
      <c r="AM9545">
        <v>93.610646389508304</v>
      </c>
      <c r="AN9545">
        <v>1.00000003735085</v>
      </c>
    </row>
    <row r="9546" spans="1:40" x14ac:dyDescent="0.25">
      <c r="A9546" t="str">
        <f>"20190312154139685"</f>
        <v>20190312154139685</v>
      </c>
      <c r="B9546" t="str">
        <f>"1552376499675351"</f>
        <v>1552376499675351</v>
      </c>
      <c r="C9546" t="s">
        <v>40</v>
      </c>
      <c r="D9546">
        <v>4.6145440000000004</v>
      </c>
      <c r="E9546">
        <v>0.39987349999999999</v>
      </c>
      <c r="F9546" t="s">
        <v>69</v>
      </c>
      <c r="G9546">
        <v>-194.71510000000001</v>
      </c>
      <c r="H9546" s="1">
        <v>-5.5111379999999901E-6</v>
      </c>
      <c r="I9546">
        <v>-43.598559999999999</v>
      </c>
      <c r="J9546">
        <v>-201.03139999999999</v>
      </c>
      <c r="K9546">
        <v>1.112563</v>
      </c>
      <c r="L9546">
        <v>-56.282260000000001</v>
      </c>
      <c r="M9546">
        <v>0.70741809999999905</v>
      </c>
      <c r="N9546">
        <v>0</v>
      </c>
      <c r="O9546">
        <v>0.70665480000000003</v>
      </c>
      <c r="P9546">
        <v>0.66190000000000004</v>
      </c>
      <c r="Q9546">
        <v>-2.2743429999999999E-2</v>
      </c>
      <c r="R9546">
        <v>0.74924709999999894</v>
      </c>
      <c r="S9546">
        <v>1.386093</v>
      </c>
      <c r="T9546">
        <v>-0.24248529999999999</v>
      </c>
      <c r="U9546">
        <v>2.7749329999999999</v>
      </c>
      <c r="V9546">
        <v>-6.2253879999999998E-2</v>
      </c>
      <c r="W9546">
        <v>-9.0219459999999994E-3</v>
      </c>
      <c r="X9546">
        <v>0.99801960000000001</v>
      </c>
      <c r="Y9546">
        <v>-0.31771189999999999</v>
      </c>
      <c r="Z9546">
        <v>-4.6119380000000001E-2</v>
      </c>
      <c r="AA9546">
        <v>0.94706509999999999</v>
      </c>
      <c r="AB9546">
        <v>14</v>
      </c>
      <c r="AC9546">
        <v>6.3162999999999796</v>
      </c>
      <c r="AD9546">
        <v>-1.1125685111379999</v>
      </c>
      <c r="AE9546">
        <v>12.6837</v>
      </c>
      <c r="AF9546">
        <v>-4.4820501777062001</v>
      </c>
      <c r="AG9546">
        <v>-1.1125685111379999</v>
      </c>
      <c r="AH9546">
        <v>13.350288672481501</v>
      </c>
      <c r="AI9546">
        <v>94.517166919832107</v>
      </c>
      <c r="AJ9546">
        <v>108.558283920116</v>
      </c>
      <c r="AK9546">
        <v>14.1264570974481</v>
      </c>
      <c r="AL9546">
        <v>90.516926425237102</v>
      </c>
      <c r="AM9546">
        <v>93.569337889445904</v>
      </c>
      <c r="AN9546">
        <v>1.00000003153442</v>
      </c>
    </row>
    <row r="9547" spans="1:40" x14ac:dyDescent="0.25">
      <c r="A9547" t="str">
        <f>"20190312154139695"</f>
        <v>20190312154139695</v>
      </c>
      <c r="B9547" t="str">
        <f>"1552376499686086"</f>
        <v>1552376499686086</v>
      </c>
      <c r="C9547" t="s">
        <v>40</v>
      </c>
      <c r="D9547">
        <v>4.6465399999999999</v>
      </c>
      <c r="E9547">
        <v>0.40049709999999999</v>
      </c>
      <c r="F9547" t="s">
        <v>69</v>
      </c>
      <c r="G9547">
        <v>-194.78059999999999</v>
      </c>
      <c r="H9547" s="1">
        <v>-5.463856E-6</v>
      </c>
      <c r="I9547">
        <v>-43.725070000000002</v>
      </c>
      <c r="J9547">
        <v>-200.98660000000001</v>
      </c>
      <c r="K9547">
        <v>1.1125080000000001</v>
      </c>
      <c r="L9547">
        <v>-56.232030000000002</v>
      </c>
      <c r="M9547">
        <v>0.70502319999999996</v>
      </c>
      <c r="N9547">
        <v>0</v>
      </c>
      <c r="O9547">
        <v>0.70904460000000002</v>
      </c>
      <c r="P9547">
        <v>0.65999439999999998</v>
      </c>
      <c r="Q9547">
        <v>-2.256472E-2</v>
      </c>
      <c r="R9547">
        <v>0.75093169999999898</v>
      </c>
      <c r="S9547">
        <v>1.3817900000000001</v>
      </c>
      <c r="T9547">
        <v>-0.24594070000000001</v>
      </c>
      <c r="U9547">
        <v>2.7758479999999999</v>
      </c>
      <c r="V9547">
        <v>-6.141829E-2</v>
      </c>
      <c r="W9547">
        <v>-8.846029E-3</v>
      </c>
      <c r="X9547">
        <v>0.99807290000000004</v>
      </c>
      <c r="Y9547">
        <v>-0.31582769999999999</v>
      </c>
      <c r="Z9547">
        <v>-4.7066549999999999E-2</v>
      </c>
      <c r="AA9547">
        <v>0.9476485</v>
      </c>
      <c r="AB9547">
        <v>14</v>
      </c>
      <c r="AC9547">
        <v>6.2060000000000102</v>
      </c>
      <c r="AD9547">
        <v>-1.1125134638559999</v>
      </c>
      <c r="AE9547">
        <v>12.506959999999999</v>
      </c>
      <c r="AF9547">
        <v>-4.3899314871016903</v>
      </c>
      <c r="AG9547">
        <v>-1.1125134638559999</v>
      </c>
      <c r="AH9547">
        <v>13.161116601215999</v>
      </c>
      <c r="AI9547">
        <v>94.584579730707603</v>
      </c>
      <c r="AJ9547">
        <v>108.446281568893</v>
      </c>
      <c r="AK9547">
        <v>13.9184832097291</v>
      </c>
      <c r="AL9547">
        <v>90.506846744633904</v>
      </c>
      <c r="AM9547">
        <v>93.521362972988996</v>
      </c>
      <c r="AN9547">
        <v>0.99999998614500096</v>
      </c>
    </row>
    <row r="9548" spans="1:40" x14ac:dyDescent="0.25">
      <c r="A9548" t="str">
        <f>"20190312154139707"</f>
        <v>20190312154139707</v>
      </c>
      <c r="B9548" t="str">
        <f>"1552376499695846"</f>
        <v>1552376499695846</v>
      </c>
      <c r="C9548" t="s">
        <v>40</v>
      </c>
      <c r="D9548">
        <v>4.6347680000000002</v>
      </c>
      <c r="E9548">
        <v>0.40101110000000001</v>
      </c>
      <c r="F9548" t="s">
        <v>69</v>
      </c>
      <c r="G9548">
        <v>-194.85149999999999</v>
      </c>
      <c r="H9548" s="1">
        <v>-5.4068889999999998E-6</v>
      </c>
      <c r="I9548">
        <v>-43.874459999999999</v>
      </c>
      <c r="J9548">
        <v>-200.9435</v>
      </c>
      <c r="K9548">
        <v>1.112457</v>
      </c>
      <c r="L9548">
        <v>-56.183320000000002</v>
      </c>
      <c r="M9548">
        <v>0.70276079999999996</v>
      </c>
      <c r="N9548">
        <v>0</v>
      </c>
      <c r="O9548">
        <v>0.71128729999999996</v>
      </c>
      <c r="P9548">
        <v>0.65808009999999995</v>
      </c>
      <c r="Q9548">
        <v>-2.228136E-2</v>
      </c>
      <c r="R9548">
        <v>0.75261820000000001</v>
      </c>
      <c r="S9548">
        <v>1.3782810000000001</v>
      </c>
      <c r="T9548">
        <v>-0.2499284</v>
      </c>
      <c r="U9548">
        <v>2.776154</v>
      </c>
      <c r="V9548">
        <v>-6.0788300000000003E-2</v>
      </c>
      <c r="W9548">
        <v>-8.5669049999999997E-3</v>
      </c>
      <c r="X9548">
        <v>0.9981139</v>
      </c>
      <c r="Y9548">
        <v>-0.31383359999999999</v>
      </c>
      <c r="Z9548">
        <v>-4.8116270000000003E-2</v>
      </c>
      <c r="AA9548">
        <v>0.94825800000000005</v>
      </c>
      <c r="AB9548">
        <v>14</v>
      </c>
      <c r="AC9548">
        <v>6.0920000000000103</v>
      </c>
      <c r="AD9548">
        <v>-1.1124624068889899</v>
      </c>
      <c r="AE9548">
        <v>12.3088599999999</v>
      </c>
      <c r="AF9548">
        <v>-4.2893058315883499</v>
      </c>
      <c r="AG9548">
        <v>-1.1124624068889899</v>
      </c>
      <c r="AH9548">
        <v>12.9526583062844</v>
      </c>
      <c r="AI9548">
        <v>94.661161347058993</v>
      </c>
      <c r="AJ9548">
        <v>108.32242065137901</v>
      </c>
      <c r="AK9548">
        <v>13.689670351144301</v>
      </c>
      <c r="AL9548">
        <v>90.490853512407895</v>
      </c>
      <c r="AM9548">
        <v>93.485189739411595</v>
      </c>
      <c r="AN9548">
        <v>0.99999998332568896</v>
      </c>
    </row>
    <row r="9549" spans="1:40" x14ac:dyDescent="0.25">
      <c r="A9549" t="str">
        <f>"20190312154139719"</f>
        <v>20190312154139719</v>
      </c>
      <c r="B9549" t="str">
        <f>"1552376499705606"</f>
        <v>1552376499705606</v>
      </c>
      <c r="C9549" t="s">
        <v>40</v>
      </c>
      <c r="D9549">
        <v>4.6323699999999999</v>
      </c>
      <c r="E9549">
        <v>0.40152199999999999</v>
      </c>
      <c r="F9549" t="s">
        <v>69</v>
      </c>
      <c r="G9549">
        <v>-194.91200000000001</v>
      </c>
      <c r="H9549" s="1">
        <v>-5.36154199999999E-6</v>
      </c>
      <c r="I9549">
        <v>-43.994929999999997</v>
      </c>
      <c r="J9549">
        <v>-200.899</v>
      </c>
      <c r="K9549">
        <v>1.112403</v>
      </c>
      <c r="L9549">
        <v>-56.132930000000002</v>
      </c>
      <c r="M9549">
        <v>0.70042939999999998</v>
      </c>
      <c r="N9549">
        <v>0</v>
      </c>
      <c r="O9549">
        <v>0.71358359999999998</v>
      </c>
      <c r="P9549">
        <v>0.65597369999999899</v>
      </c>
      <c r="Q9549">
        <v>-2.2019070000000002E-2</v>
      </c>
      <c r="R9549">
        <v>0.75446250000000004</v>
      </c>
      <c r="S9549">
        <v>1.3742219999999901</v>
      </c>
      <c r="T9549">
        <v>-0.2534612</v>
      </c>
      <c r="U9549">
        <v>2.7769780000000002</v>
      </c>
      <c r="V9549">
        <v>-6.0320110000000003E-2</v>
      </c>
      <c r="W9549">
        <v>-8.309973E-3</v>
      </c>
      <c r="X9549">
        <v>0.99814449999999999</v>
      </c>
      <c r="Y9549">
        <v>-0.31197589999999997</v>
      </c>
      <c r="Z9549">
        <v>-4.9084639999999999E-2</v>
      </c>
      <c r="AA9549">
        <v>0.94882120000000003</v>
      </c>
      <c r="AB9549">
        <v>14</v>
      </c>
      <c r="AC9549">
        <v>5.9869999999999903</v>
      </c>
      <c r="AD9549">
        <v>-1.112408361542</v>
      </c>
      <c r="AE9549">
        <v>12.138</v>
      </c>
      <c r="AF9549">
        <v>-4.2016196130509504</v>
      </c>
      <c r="AG9549">
        <v>-1.112408361542</v>
      </c>
      <c r="AH9549">
        <v>12.7699473754507</v>
      </c>
      <c r="AI9549">
        <v>94.7303063319263</v>
      </c>
      <c r="AJ9549">
        <v>108.212448150387</v>
      </c>
      <c r="AK9549">
        <v>13.4893519380059</v>
      </c>
      <c r="AL9549">
        <v>90.476131857426395</v>
      </c>
      <c r="AM9549">
        <v>93.458306530514704</v>
      </c>
      <c r="AN9549">
        <v>1.00000000710096</v>
      </c>
    </row>
    <row r="9550" spans="1:40" x14ac:dyDescent="0.25">
      <c r="A9550" t="str">
        <f>"20190312154139730"</f>
        <v>20190312154139730</v>
      </c>
      <c r="B9550" t="str">
        <f>"1552376499715367"</f>
        <v>1552376499715367</v>
      </c>
      <c r="C9550" t="s">
        <v>40</v>
      </c>
      <c r="D9550">
        <v>4.6542560000000002</v>
      </c>
      <c r="E9550">
        <v>0.40194920000000001</v>
      </c>
      <c r="F9550" t="s">
        <v>69</v>
      </c>
      <c r="G9550">
        <v>-194.93870000000001</v>
      </c>
      <c r="H9550" s="1">
        <v>-5.3452439999999996E-6</v>
      </c>
      <c r="I9550">
        <v>-44.040149999999997</v>
      </c>
      <c r="J9550">
        <v>-200.85489999999999</v>
      </c>
      <c r="K9550">
        <v>1.112347</v>
      </c>
      <c r="L9550">
        <v>-56.082610000000003</v>
      </c>
      <c r="M9550">
        <v>0.69816730000000005</v>
      </c>
      <c r="N9550">
        <v>0</v>
      </c>
      <c r="O9550">
        <v>0.71579709999999996</v>
      </c>
      <c r="P9550">
        <v>0.65400419999999904</v>
      </c>
      <c r="Q9550">
        <v>-2.1707609999999999E-2</v>
      </c>
      <c r="R9550">
        <v>0.75617939999999995</v>
      </c>
      <c r="S9550">
        <v>1.369354</v>
      </c>
      <c r="T9550">
        <v>-0.25557049999999998</v>
      </c>
      <c r="U9550">
        <v>2.7782589999999998</v>
      </c>
      <c r="V9550">
        <v>-5.977242E-2</v>
      </c>
      <c r="W9550">
        <v>-8.0036580000000003E-3</v>
      </c>
      <c r="X9550">
        <v>0.99817999999999996</v>
      </c>
      <c r="Y9550">
        <v>-0.310496299999999</v>
      </c>
      <c r="Z9550">
        <v>-4.9764509999999998E-2</v>
      </c>
      <c r="AA9550">
        <v>0.94927099999999998</v>
      </c>
      <c r="AB9550">
        <v>14</v>
      </c>
      <c r="AC9550">
        <v>5.9161999999999697</v>
      </c>
      <c r="AD9550">
        <v>-1.1123523452440001</v>
      </c>
      <c r="AE9550">
        <v>12.042459999999901</v>
      </c>
      <c r="AF9550">
        <v>-4.1447760819569304</v>
      </c>
      <c r="AG9550">
        <v>-1.1123523452440001</v>
      </c>
      <c r="AH9550">
        <v>12.6646643224964</v>
      </c>
      <c r="AI9550">
        <v>94.771676427266698</v>
      </c>
      <c r="AJ9550">
        <v>108.121765644544</v>
      </c>
      <c r="AK9550">
        <v>13.3719938270642</v>
      </c>
      <c r="AL9550">
        <v>90.458580694215797</v>
      </c>
      <c r="AM9550">
        <v>93.426859647523102</v>
      </c>
      <c r="AN9550">
        <v>1.00000005656701</v>
      </c>
    </row>
    <row r="9551" spans="1:40" x14ac:dyDescent="0.25">
      <c r="A9551" t="str">
        <f>"20190312154139741"</f>
        <v>20190312154139741</v>
      </c>
      <c r="B9551" t="str">
        <f>"1552376499735862"</f>
        <v>1552376499735862</v>
      </c>
      <c r="C9551" t="s">
        <v>40</v>
      </c>
      <c r="D9551">
        <v>4.656663</v>
      </c>
      <c r="E9551">
        <v>0.40269480000000002</v>
      </c>
      <c r="F9551" t="s">
        <v>69</v>
      </c>
      <c r="G9551">
        <v>-194.9649</v>
      </c>
      <c r="H9551" s="1">
        <v>-5.32903199999999E-6</v>
      </c>
      <c r="I9551">
        <v>-44.084960000000002</v>
      </c>
      <c r="J9551">
        <v>-200.8125</v>
      </c>
      <c r="K9551">
        <v>1.1122909999999999</v>
      </c>
      <c r="L9551">
        <v>-56.034120000000001</v>
      </c>
      <c r="M9551">
        <v>0.69600319999999904</v>
      </c>
      <c r="N9551">
        <v>0</v>
      </c>
      <c r="O9551">
        <v>0.71790200000000004</v>
      </c>
      <c r="P9551">
        <v>0.65214220000000001</v>
      </c>
      <c r="Q9551">
        <v>-2.114386E-2</v>
      </c>
      <c r="R9551">
        <v>0.75780179999999997</v>
      </c>
      <c r="S9551">
        <v>1.3646240000000001</v>
      </c>
      <c r="T9551">
        <v>-0.25771709999999998</v>
      </c>
      <c r="U9551">
        <v>2.7796940000000001</v>
      </c>
      <c r="V9551">
        <v>-5.9228629999999997E-2</v>
      </c>
      <c r="W9551">
        <v>-7.4446859999999998E-3</v>
      </c>
      <c r="X9551">
        <v>0.99821669999999996</v>
      </c>
      <c r="Y9551">
        <v>-0.30913879999999999</v>
      </c>
      <c r="Z9551">
        <v>-5.0438509999999999E-2</v>
      </c>
      <c r="AA9551">
        <v>0.94967849999999998</v>
      </c>
      <c r="AB9551">
        <v>14</v>
      </c>
      <c r="AC9551">
        <v>5.8475999999999999</v>
      </c>
      <c r="AD9551">
        <v>-1.11229632903199</v>
      </c>
      <c r="AE9551">
        <v>11.949159999999999</v>
      </c>
      <c r="AF9551">
        <v>-4.0904586680090098</v>
      </c>
      <c r="AG9551">
        <v>-1.11229632903199</v>
      </c>
      <c r="AH9551">
        <v>12.561699698959201</v>
      </c>
      <c r="AI9551">
        <v>94.812683647948504</v>
      </c>
      <c r="AJ9551">
        <v>108.03677210156</v>
      </c>
      <c r="AK9551">
        <v>13.2576526793056</v>
      </c>
      <c r="AL9551">
        <v>90.426553020551097</v>
      </c>
      <c r="AM9551">
        <v>93.395631929506706</v>
      </c>
      <c r="AN9551">
        <v>1.0000000170601</v>
      </c>
    </row>
    <row r="9552" spans="1:40" x14ac:dyDescent="0.25">
      <c r="A9552" t="str">
        <f>"20190312154139751"</f>
        <v>20190312154139751</v>
      </c>
      <c r="B9552" t="str">
        <f>"1552376499745622"</f>
        <v>1552376499745622</v>
      </c>
      <c r="C9552" t="s">
        <v>40</v>
      </c>
      <c r="D9552">
        <v>4.654217</v>
      </c>
      <c r="E9552">
        <v>0.40269480000000002</v>
      </c>
      <c r="F9552" t="s">
        <v>69</v>
      </c>
      <c r="G9552">
        <v>-195.02799999999999</v>
      </c>
      <c r="H9552" s="1">
        <v>-5.2725209999999999E-6</v>
      </c>
      <c r="I9552">
        <v>-44.23039</v>
      </c>
      <c r="J9552">
        <v>-200.76679999999999</v>
      </c>
      <c r="K9552">
        <v>1.1122339999999999</v>
      </c>
      <c r="L9552">
        <v>-55.981659999999998</v>
      </c>
      <c r="M9552">
        <v>0.69371260000000001</v>
      </c>
      <c r="N9552">
        <v>0</v>
      </c>
      <c r="O9552">
        <v>0.72011599999999998</v>
      </c>
      <c r="P9552">
        <v>0.65022199999999997</v>
      </c>
      <c r="Q9552">
        <v>-2.0420290000000001E-2</v>
      </c>
      <c r="R9552">
        <v>0.75946969999999903</v>
      </c>
      <c r="S9552">
        <v>1.362045</v>
      </c>
      <c r="T9552">
        <v>-0.26190920000000001</v>
      </c>
      <c r="U9552">
        <v>2.779388</v>
      </c>
      <c r="V9552">
        <v>-5.8592999999999902E-2</v>
      </c>
      <c r="W9552">
        <v>-6.7263080000000003E-3</v>
      </c>
      <c r="X9552">
        <v>0.99825929999999996</v>
      </c>
      <c r="Y9552">
        <v>-0.30680809999999997</v>
      </c>
      <c r="Z9552">
        <v>-5.1568269999999999E-2</v>
      </c>
      <c r="AA9552">
        <v>0.95037340000000003</v>
      </c>
      <c r="AB9552">
        <v>14</v>
      </c>
      <c r="AC9552">
        <v>5.7387999999999897</v>
      </c>
      <c r="AD9552">
        <v>-1.112239272521</v>
      </c>
      <c r="AE9552">
        <v>11.7512699999999</v>
      </c>
      <c r="AF9552">
        <v>-3.9909284616180001</v>
      </c>
      <c r="AG9552">
        <v>-1.112239272521</v>
      </c>
      <c r="AH9552">
        <v>12.355205274006</v>
      </c>
      <c r="AI9552">
        <v>94.896217097242499</v>
      </c>
      <c r="AJ9552">
        <v>107.901284521577</v>
      </c>
      <c r="AK9552">
        <v>13.0313346802205</v>
      </c>
      <c r="AL9552">
        <v>90.385391963717794</v>
      </c>
      <c r="AM9552">
        <v>93.359131554981204</v>
      </c>
      <c r="AN9552">
        <v>1.0000000064523999</v>
      </c>
    </row>
    <row r="9553" spans="1:40" x14ac:dyDescent="0.25">
      <c r="A9553" t="str">
        <f>"20190312154139764"</f>
        <v>20190312154139764</v>
      </c>
      <c r="B9553" t="str">
        <f>"1552376499755382"</f>
        <v>1552376499755382</v>
      </c>
      <c r="C9553" t="s">
        <v>40</v>
      </c>
      <c r="D9553">
        <v>4.6237349999999999</v>
      </c>
      <c r="E9553">
        <v>0.41070820000000002</v>
      </c>
      <c r="F9553" t="s">
        <v>69</v>
      </c>
      <c r="G9553">
        <v>-194.9511</v>
      </c>
      <c r="H9553" s="1">
        <v>-5.3488070000000003E-6</v>
      </c>
      <c r="I9553">
        <v>-44.037239999999997</v>
      </c>
      <c r="J9553">
        <v>-200.7193</v>
      </c>
      <c r="K9553">
        <v>1.112174</v>
      </c>
      <c r="L9553">
        <v>-55.926760000000002</v>
      </c>
      <c r="M9553">
        <v>0.69135559999999996</v>
      </c>
      <c r="N9553">
        <v>0</v>
      </c>
      <c r="O9553">
        <v>0.72237959999999901</v>
      </c>
      <c r="P9553">
        <v>0.64824550000000003</v>
      </c>
      <c r="Q9553">
        <v>-1.9768250000000001E-2</v>
      </c>
      <c r="R9553">
        <v>0.76117469999999998</v>
      </c>
      <c r="S9553">
        <v>1.3550420000000001</v>
      </c>
      <c r="T9553">
        <v>-0.25914910000000002</v>
      </c>
      <c r="U9553">
        <v>2.78302</v>
      </c>
      <c r="V9553">
        <v>-5.7942059999999997E-2</v>
      </c>
      <c r="W9553">
        <v>-6.0799239999999996E-3</v>
      </c>
      <c r="X9553">
        <v>0.99830140000000001</v>
      </c>
      <c r="Y9553">
        <v>-0.30610890000000002</v>
      </c>
      <c r="Z9553">
        <v>-5.1266069999999997E-2</v>
      </c>
      <c r="AA9553">
        <v>0.95061519999999999</v>
      </c>
      <c r="AB9553">
        <v>14</v>
      </c>
      <c r="AC9553">
        <v>5.7682000000000002</v>
      </c>
      <c r="AD9553">
        <v>-1.112179348807</v>
      </c>
      <c r="AE9553">
        <v>11.8895199999999</v>
      </c>
      <c r="AF9553">
        <v>-4.0249426561684203</v>
      </c>
      <c r="AG9553">
        <v>-1.112179348807</v>
      </c>
      <c r="AH9553">
        <v>12.489387736034599</v>
      </c>
      <c r="AI9553">
        <v>94.844657746021795</v>
      </c>
      <c r="AJ9553">
        <v>107.86252277157</v>
      </c>
      <c r="AK9553">
        <v>13.168975370558201</v>
      </c>
      <c r="AL9553">
        <v>90.348356142838398</v>
      </c>
      <c r="AM9553">
        <v>93.321757486473501</v>
      </c>
      <c r="AN9553">
        <v>0.99999996651742395</v>
      </c>
    </row>
    <row r="9554" spans="1:40" x14ac:dyDescent="0.25">
      <c r="A9554" t="str">
        <f>"20190312154139777"</f>
        <v>20190312154139777</v>
      </c>
      <c r="B9554" t="str">
        <f>"1552376499765142"</f>
        <v>1552376499765142</v>
      </c>
      <c r="C9554" t="s">
        <v>40</v>
      </c>
      <c r="D9554">
        <v>4.6594850000000001</v>
      </c>
      <c r="E9554">
        <v>0.41098089999999998</v>
      </c>
      <c r="F9554" t="s">
        <v>69</v>
      </c>
      <c r="G9554">
        <v>-195.5772</v>
      </c>
      <c r="H9554" s="1">
        <v>-4.6199219999999998E-6</v>
      </c>
      <c r="I9554">
        <v>-45.807220000000001</v>
      </c>
      <c r="J9554">
        <v>-200.66679999999999</v>
      </c>
      <c r="K9554">
        <v>1.112112</v>
      </c>
      <c r="L9554">
        <v>-55.866030000000002</v>
      </c>
      <c r="M9554">
        <v>0.68878379999999995</v>
      </c>
      <c r="N9554">
        <v>0</v>
      </c>
      <c r="O9554">
        <v>0.72483249999999999</v>
      </c>
      <c r="P9554">
        <v>0.64603080000000002</v>
      </c>
      <c r="Q9554">
        <v>-1.9221370000000002E-2</v>
      </c>
      <c r="R9554">
        <v>0.76306929999999995</v>
      </c>
      <c r="S9554">
        <v>1.3950199999999999</v>
      </c>
      <c r="T9554">
        <v>-0.3017299</v>
      </c>
      <c r="U9554">
        <v>2.7453919999999998</v>
      </c>
      <c r="V9554">
        <v>-5.730768E-2</v>
      </c>
      <c r="W9554">
        <v>-5.5398119999999999E-3</v>
      </c>
      <c r="X9554">
        <v>0.99834120000000004</v>
      </c>
      <c r="Y9554">
        <v>-0.28680149999999999</v>
      </c>
      <c r="Z9554">
        <v>-6.0910810000000003E-2</v>
      </c>
      <c r="AA9554">
        <v>0.9560516</v>
      </c>
      <c r="AB9554">
        <v>14</v>
      </c>
      <c r="AC9554">
        <v>5.0895999999999901</v>
      </c>
      <c r="AD9554">
        <v>-1.1121166199220001</v>
      </c>
      <c r="AE9554">
        <v>10.058809999999999</v>
      </c>
      <c r="AF9554">
        <v>-3.2083292182052099</v>
      </c>
      <c r="AG9554">
        <v>-1.1121166199220001</v>
      </c>
      <c r="AH9554">
        <v>10.693565876103801</v>
      </c>
      <c r="AI9554">
        <v>95.688581282768297</v>
      </c>
      <c r="AJ9554">
        <v>106.700519595649</v>
      </c>
      <c r="AK9554">
        <v>11.2197384503948</v>
      </c>
      <c r="AL9554">
        <v>90.317409468637095</v>
      </c>
      <c r="AM9554">
        <v>93.285338564504698</v>
      </c>
      <c r="AN9554">
        <v>1.0000000056606999</v>
      </c>
    </row>
    <row r="9555" spans="1:40" x14ac:dyDescent="0.25">
      <c r="A9555" t="str">
        <f>"20190312154139790"</f>
        <v>20190312154139790</v>
      </c>
      <c r="B9555" t="str">
        <f>"1552376499785638"</f>
        <v>1552376499785638</v>
      </c>
      <c r="C9555" t="s">
        <v>40</v>
      </c>
      <c r="D9555">
        <v>4.773949</v>
      </c>
      <c r="E9555">
        <v>0.41122700000000001</v>
      </c>
      <c r="F9555" t="s">
        <v>69</v>
      </c>
      <c r="G9555">
        <v>-195.5984</v>
      </c>
      <c r="H9555" s="1">
        <v>-4.6096029999999997E-6</v>
      </c>
      <c r="I9555">
        <v>-45.835209999999996</v>
      </c>
      <c r="J9555">
        <v>-200.6155</v>
      </c>
      <c r="K9555">
        <v>1.11205</v>
      </c>
      <c r="L9555">
        <v>-55.806150000000002</v>
      </c>
      <c r="M9555">
        <v>0.68633350000000004</v>
      </c>
      <c r="N9555">
        <v>0</v>
      </c>
      <c r="O9555">
        <v>0.72715339999999995</v>
      </c>
      <c r="P9555">
        <v>0.64384600000000003</v>
      </c>
      <c r="Q9555">
        <v>-1.8709900000000002E-2</v>
      </c>
      <c r="R9555">
        <v>0.76492629999999995</v>
      </c>
      <c r="S9555">
        <v>1.3886259999999999</v>
      </c>
      <c r="T9555">
        <v>-0.3046895</v>
      </c>
      <c r="U9555">
        <v>2.7481689999999999</v>
      </c>
      <c r="V9555">
        <v>-5.6804170000000001E-2</v>
      </c>
      <c r="W9555">
        <v>-5.0357149999999996E-3</v>
      </c>
      <c r="X9555">
        <v>0.99837260000000005</v>
      </c>
      <c r="Y9555">
        <v>-0.28575739999999999</v>
      </c>
      <c r="Z9555">
        <v>-6.1813229999999997E-2</v>
      </c>
      <c r="AA9555">
        <v>0.95630630000000005</v>
      </c>
      <c r="AB9555">
        <v>14</v>
      </c>
      <c r="AC9555">
        <v>5.0170999999999903</v>
      </c>
      <c r="AD9555">
        <v>-1.112054609603</v>
      </c>
      <c r="AE9555">
        <v>9.9709400000000006</v>
      </c>
      <c r="AF9555">
        <v>-3.16409304532616</v>
      </c>
      <c r="AG9555">
        <v>-1.112054609603</v>
      </c>
      <c r="AH9555">
        <v>10.589733920678</v>
      </c>
      <c r="AI9555">
        <v>95.745605540328697</v>
      </c>
      <c r="AJ9555">
        <v>106.635552181766</v>
      </c>
      <c r="AK9555">
        <v>11.10813282082</v>
      </c>
      <c r="AL9555">
        <v>90.288526447225493</v>
      </c>
      <c r="AM9555">
        <v>93.256433507505704</v>
      </c>
      <c r="AN9555">
        <v>0.99999996029285398</v>
      </c>
    </row>
    <row r="9556" spans="1:40" x14ac:dyDescent="0.25">
      <c r="A9556" t="str">
        <f>"20190312154139809"</f>
        <v>20190312154139809</v>
      </c>
      <c r="B9556" t="str">
        <f>"1552376499795398"</f>
        <v>1552376499795398</v>
      </c>
      <c r="C9556" t="s">
        <v>40</v>
      </c>
      <c r="D9556">
        <v>4.5766299999999998</v>
      </c>
      <c r="E9556">
        <v>0.40498499999999998</v>
      </c>
      <c r="F9556" t="s">
        <v>69</v>
      </c>
      <c r="G9556">
        <v>-195.52850000000001</v>
      </c>
      <c r="H9556" s="1">
        <v>-4.6741540000000001E-6</v>
      </c>
      <c r="I9556">
        <v>-45.68224</v>
      </c>
      <c r="J9556">
        <v>-200.54759999999999</v>
      </c>
      <c r="K9556">
        <v>1.1119680000000001</v>
      </c>
      <c r="L9556">
        <v>-55.726680000000002</v>
      </c>
      <c r="M9556">
        <v>0.68314809999999904</v>
      </c>
      <c r="N9556">
        <v>0</v>
      </c>
      <c r="O9556">
        <v>0.7301472</v>
      </c>
      <c r="P9556">
        <v>0.64124979999999998</v>
      </c>
      <c r="Q9556">
        <v>-1.8405250000000001E-2</v>
      </c>
      <c r="R9556">
        <v>0.7671114</v>
      </c>
      <c r="S9556">
        <v>1.382309</v>
      </c>
      <c r="T9556">
        <v>-0.30218600000000001</v>
      </c>
      <c r="U9556">
        <v>2.7510379999999999</v>
      </c>
      <c r="V9556">
        <v>-5.5830669999999999E-2</v>
      </c>
      <c r="W9556">
        <v>-4.7393590000000003E-3</v>
      </c>
      <c r="X9556">
        <v>0.99842900000000001</v>
      </c>
      <c r="Y9556">
        <v>-0.28371420000000003</v>
      </c>
      <c r="Z9556">
        <v>-6.1724960000000002E-2</v>
      </c>
      <c r="AA9556">
        <v>0.9569202</v>
      </c>
      <c r="AB9556">
        <v>14</v>
      </c>
      <c r="AC9556">
        <v>5.0190999999999804</v>
      </c>
      <c r="AD9556">
        <v>-1.1119726741539999</v>
      </c>
      <c r="AE9556">
        <v>10.04444</v>
      </c>
      <c r="AF9556">
        <v>-3.1664151187817899</v>
      </c>
      <c r="AG9556">
        <v>-1.1119726741539999</v>
      </c>
      <c r="AH9556">
        <v>10.659216532634799</v>
      </c>
      <c r="AI9556">
        <v>95.710667486000702</v>
      </c>
      <c r="AJ9556">
        <v>106.54452053812101</v>
      </c>
      <c r="AK9556">
        <v>11.175042059075601</v>
      </c>
      <c r="AL9556">
        <v>90.271546285773795</v>
      </c>
      <c r="AM9556">
        <v>93.200561929558006</v>
      </c>
      <c r="AN9556">
        <v>0.99999999663868899</v>
      </c>
    </row>
    <row r="9557" spans="1:40" x14ac:dyDescent="0.25">
      <c r="A9557" t="str">
        <f>"20190312154139821"</f>
        <v>20190312154139821</v>
      </c>
      <c r="B9557" t="str">
        <f>"1552376499815895"</f>
        <v>1552376499815895</v>
      </c>
      <c r="C9557" t="s">
        <v>40</v>
      </c>
      <c r="D9557">
        <v>4.547847</v>
      </c>
      <c r="E9557">
        <v>0.4053525</v>
      </c>
      <c r="F9557" t="s">
        <v>42</v>
      </c>
      <c r="G9557">
        <v>-191.76669999999999</v>
      </c>
      <c r="H9557" s="1">
        <v>-1.743428E-6</v>
      </c>
      <c r="I9557">
        <v>-37.442659999999997</v>
      </c>
      <c r="J9557">
        <v>-200.49700000000001</v>
      </c>
      <c r="K9557">
        <v>1.111909</v>
      </c>
      <c r="L9557">
        <v>-55.667140000000003</v>
      </c>
      <c r="M9557">
        <v>0.68081899999999995</v>
      </c>
      <c r="N9557">
        <v>0</v>
      </c>
      <c r="O9557">
        <v>0.73231979999999997</v>
      </c>
      <c r="P9557">
        <v>0.63910290000000003</v>
      </c>
      <c r="Q9557">
        <v>-1.8594840000000001E-2</v>
      </c>
      <c r="R9557">
        <v>0.76889649999999998</v>
      </c>
      <c r="S9557">
        <v>1.3387450000000001</v>
      </c>
      <c r="T9557">
        <v>-0.16953180000000001</v>
      </c>
      <c r="U9557">
        <v>2.787598</v>
      </c>
      <c r="V9557">
        <v>-5.5438319999999999E-2</v>
      </c>
      <c r="W9557">
        <v>-4.9367909999999899E-3</v>
      </c>
      <c r="X9557">
        <v>0.9984499</v>
      </c>
      <c r="Y9557">
        <v>-0.29703089999999999</v>
      </c>
      <c r="Z9557">
        <v>-3.4438509999999999E-2</v>
      </c>
      <c r="AA9557">
        <v>0.95424659999999994</v>
      </c>
      <c r="AB9557">
        <v>14</v>
      </c>
      <c r="AC9557">
        <v>8.7303000000000193</v>
      </c>
      <c r="AD9557">
        <v>-1.111910743428</v>
      </c>
      <c r="AE9557">
        <v>18.22448</v>
      </c>
      <c r="AF9557">
        <v>-5.9966259933966102</v>
      </c>
      <c r="AG9557">
        <v>-1.111910743428</v>
      </c>
      <c r="AH9557">
        <v>19.233532686496702</v>
      </c>
      <c r="AI9557">
        <v>93.158994827517901</v>
      </c>
      <c r="AJ9557">
        <v>107.316421060217</v>
      </c>
      <c r="AK9557">
        <v>20.177330061446899</v>
      </c>
      <c r="AL9557">
        <v>90.282858440152694</v>
      </c>
      <c r="AM9557">
        <v>93.178049862318204</v>
      </c>
      <c r="AN9557">
        <v>0.999999991019905</v>
      </c>
    </row>
    <row r="9558" spans="1:40" x14ac:dyDescent="0.25">
      <c r="A9558" t="str">
        <f>"20190312154139833"</f>
        <v>20190312154139833</v>
      </c>
      <c r="B9558" t="str">
        <f>"1552376499825655"</f>
        <v>1552376499825655</v>
      </c>
      <c r="C9558" t="s">
        <v>40</v>
      </c>
      <c r="D9558">
        <v>4.5621099999999997</v>
      </c>
      <c r="E9558">
        <v>0.40572249999999999</v>
      </c>
      <c r="F9558" t="s">
        <v>42</v>
      </c>
      <c r="G9558">
        <v>-192.4846</v>
      </c>
      <c r="H9558" s="1">
        <v>-1.311082E-6</v>
      </c>
      <c r="I9558">
        <v>-38.895760000000003</v>
      </c>
      <c r="J9558">
        <v>-200.45079999999999</v>
      </c>
      <c r="K9558">
        <v>1.111853</v>
      </c>
      <c r="L9558">
        <v>-55.612609999999997</v>
      </c>
      <c r="M9558">
        <v>0.6787398</v>
      </c>
      <c r="N9558">
        <v>0</v>
      </c>
      <c r="O9558">
        <v>0.7342476</v>
      </c>
      <c r="P9558">
        <v>0.63750299999999904</v>
      </c>
      <c r="Q9558">
        <v>-1.844082E-2</v>
      </c>
      <c r="R9558">
        <v>0.77022729999999995</v>
      </c>
      <c r="S9558">
        <v>1.332657</v>
      </c>
      <c r="T9558">
        <v>-0.18493989999999999</v>
      </c>
      <c r="U9558">
        <v>2.78952</v>
      </c>
      <c r="V9558">
        <v>-5.4686579999999999E-2</v>
      </c>
      <c r="W9558">
        <v>-4.7879460000000004E-3</v>
      </c>
      <c r="X9558">
        <v>0.99849209999999999</v>
      </c>
      <c r="Y9558">
        <v>-0.29633690000000001</v>
      </c>
      <c r="Z9558">
        <v>-3.7719879999999997E-2</v>
      </c>
      <c r="AA9558">
        <v>0.95433829999999997</v>
      </c>
      <c r="AB9558">
        <v>14</v>
      </c>
      <c r="AC9558">
        <v>7.9661999999999802</v>
      </c>
      <c r="AD9558">
        <v>-1.1118543110820001</v>
      </c>
      <c r="AE9558">
        <v>16.716850000000001</v>
      </c>
      <c r="AF9558">
        <v>-5.4780095565929496</v>
      </c>
      <c r="AG9558">
        <v>-1.1118543110820001</v>
      </c>
      <c r="AH9558">
        <v>17.619469162543499</v>
      </c>
      <c r="AI9558">
        <v>93.448389288245195</v>
      </c>
      <c r="AJ9558">
        <v>107.270815097503</v>
      </c>
      <c r="AK9558">
        <v>18.484872254928199</v>
      </c>
      <c r="AL9558">
        <v>90.2743301437132</v>
      </c>
      <c r="AM9558">
        <v>93.134910030689198</v>
      </c>
      <c r="AN9558">
        <v>1.0000000101107001</v>
      </c>
    </row>
    <row r="9559" spans="1:40" x14ac:dyDescent="0.25">
      <c r="A9559" t="str">
        <f>"20190312154139845"</f>
        <v>20190312154139845</v>
      </c>
      <c r="B9559" t="str">
        <f>"1552376499835414"</f>
        <v>1552376499835414</v>
      </c>
      <c r="C9559" t="s">
        <v>40</v>
      </c>
      <c r="D9559">
        <v>4.7659580000000004</v>
      </c>
      <c r="E9559">
        <v>0.40641529999999998</v>
      </c>
      <c r="F9559" t="s">
        <v>42</v>
      </c>
      <c r="G9559">
        <v>-192.67750000000001</v>
      </c>
      <c r="H9559" s="1">
        <v>-1.194379E-6</v>
      </c>
      <c r="I9559">
        <v>-39.287390000000002</v>
      </c>
      <c r="J9559">
        <v>-200.4074</v>
      </c>
      <c r="K9559">
        <v>1.1117999999999999</v>
      </c>
      <c r="L9559">
        <v>-55.561160000000001</v>
      </c>
      <c r="M9559">
        <v>0.67683070000000001</v>
      </c>
      <c r="N9559">
        <v>0</v>
      </c>
      <c r="O9559">
        <v>0.736008199999999</v>
      </c>
      <c r="P9559">
        <v>0.63615379999999999</v>
      </c>
      <c r="Q9559">
        <v>-1.848269E-2</v>
      </c>
      <c r="R9559">
        <v>0.7713409</v>
      </c>
      <c r="S9559">
        <v>1.3287659999999999</v>
      </c>
      <c r="T9559">
        <v>-0.19005939999999999</v>
      </c>
      <c r="U9559">
        <v>2.790619</v>
      </c>
      <c r="V9559">
        <v>-5.3840499999999999E-2</v>
      </c>
      <c r="W9559">
        <v>-4.8385700000000004E-3</v>
      </c>
      <c r="X9559">
        <v>0.99853780000000003</v>
      </c>
      <c r="Y9559">
        <v>-0.29511039999999999</v>
      </c>
      <c r="Z9559">
        <v>-3.8922569999999997E-2</v>
      </c>
      <c r="AA9559">
        <v>0.95467000000000002</v>
      </c>
      <c r="AB9559">
        <v>14</v>
      </c>
      <c r="AC9559">
        <v>7.7298999999999802</v>
      </c>
      <c r="AD9559">
        <v>-1.1118011943789901</v>
      </c>
      <c r="AE9559">
        <v>16.273769999999999</v>
      </c>
      <c r="AF9559">
        <v>-5.3056239751038099</v>
      </c>
      <c r="AG9559">
        <v>-1.1118011943789901</v>
      </c>
      <c r="AH9559">
        <v>17.1458200498477</v>
      </c>
      <c r="AI9559">
        <v>93.544707581747005</v>
      </c>
      <c r="AJ9559">
        <v>107.194224332121</v>
      </c>
      <c r="AK9559">
        <v>17.982349480609599</v>
      </c>
      <c r="AL9559">
        <v>90.277230728666694</v>
      </c>
      <c r="AM9559">
        <v>93.086361992151694</v>
      </c>
      <c r="AN9559">
        <v>0.99999997461436696</v>
      </c>
    </row>
    <row r="9560" spans="1:40" x14ac:dyDescent="0.25">
      <c r="A9560" t="str">
        <f>"20190312154139854"</f>
        <v>20190312154139854</v>
      </c>
      <c r="B9560" t="str">
        <f>"1552376499845175"</f>
        <v>1552376499845175</v>
      </c>
      <c r="C9560" t="s">
        <v>40</v>
      </c>
      <c r="D9560">
        <v>4.5883710000000004</v>
      </c>
      <c r="E9560">
        <v>0.40711449999999999</v>
      </c>
      <c r="F9560" t="s">
        <v>42</v>
      </c>
      <c r="G9560">
        <v>-192.6474</v>
      </c>
      <c r="H9560" s="1">
        <v>-1.1976279999999999E-6</v>
      </c>
      <c r="I9560">
        <v>-39.261180000000003</v>
      </c>
      <c r="J9560">
        <v>-200.3663</v>
      </c>
      <c r="K9560">
        <v>1.1117490000000001</v>
      </c>
      <c r="L9560">
        <v>-55.512329999999999</v>
      </c>
      <c r="M9560">
        <v>0.67503939999999996</v>
      </c>
      <c r="N9560">
        <v>0</v>
      </c>
      <c r="O9560">
        <v>0.73765179999999997</v>
      </c>
      <c r="P9560">
        <v>0.6348838</v>
      </c>
      <c r="Q9560">
        <v>-1.854095E-2</v>
      </c>
      <c r="R9560">
        <v>0.77238519999999999</v>
      </c>
      <c r="S9560">
        <v>1.3280179999999999</v>
      </c>
      <c r="T9560">
        <v>-0.19026970000000001</v>
      </c>
      <c r="U9560">
        <v>2.78952</v>
      </c>
      <c r="V9560">
        <v>-5.3055770000000002E-2</v>
      </c>
      <c r="W9560">
        <v>-4.90728E-3</v>
      </c>
      <c r="X9560">
        <v>0.99857949999999995</v>
      </c>
      <c r="Y9560">
        <v>-0.2928538</v>
      </c>
      <c r="Z9560">
        <v>-3.9149749999999997E-2</v>
      </c>
      <c r="AA9560">
        <v>0.95535539999999997</v>
      </c>
      <c r="AB9560">
        <v>13</v>
      </c>
      <c r="AC9560">
        <v>7.7188999999999899</v>
      </c>
      <c r="AD9560">
        <v>-1.111750197628</v>
      </c>
      <c r="AE9560">
        <v>16.251149999999999</v>
      </c>
      <c r="AF9560">
        <v>-5.2567386462900298</v>
      </c>
      <c r="AG9560">
        <v>-1.111750197628</v>
      </c>
      <c r="AH9560">
        <v>17.134471179022299</v>
      </c>
      <c r="AI9560">
        <v>93.549524392929698</v>
      </c>
      <c r="AJ9560">
        <v>107.055655540776</v>
      </c>
      <c r="AK9560">
        <v>17.957154348116301</v>
      </c>
      <c r="AL9560">
        <v>90.281167559420396</v>
      </c>
      <c r="AM9560">
        <v>93.041336305894404</v>
      </c>
      <c r="AN9560">
        <v>1.00000000697377</v>
      </c>
    </row>
    <row r="9561" spans="1:40" x14ac:dyDescent="0.25">
      <c r="A9561" t="str">
        <f>"20190312154139866"</f>
        <v>20190312154139866</v>
      </c>
      <c r="B9561" t="str">
        <f>"1552376499855911"</f>
        <v>1552376499855911</v>
      </c>
      <c r="C9561" t="s">
        <v>40</v>
      </c>
      <c r="D9561">
        <v>4.5771819999999996</v>
      </c>
      <c r="E9561">
        <v>0.4075068</v>
      </c>
      <c r="F9561" t="s">
        <v>42</v>
      </c>
      <c r="G9561">
        <v>-192.67429999999999</v>
      </c>
      <c r="H9561" s="1">
        <v>-1.163677E-6</v>
      </c>
      <c r="I9561">
        <v>-39.356969999999997</v>
      </c>
      <c r="J9561">
        <v>-200.32550000000001</v>
      </c>
      <c r="K9561">
        <v>1.1116900000000001</v>
      </c>
      <c r="L9561">
        <v>-55.463709999999999</v>
      </c>
      <c r="M9561">
        <v>0.67332209999999904</v>
      </c>
      <c r="N9561">
        <v>0</v>
      </c>
      <c r="O9561">
        <v>0.73922049999999995</v>
      </c>
      <c r="P9561">
        <v>0.6338184</v>
      </c>
      <c r="Q9561">
        <v>-1.8490199999999998E-2</v>
      </c>
      <c r="R9561">
        <v>0.77326079999999997</v>
      </c>
      <c r="S9561">
        <v>1.3275600000000001</v>
      </c>
      <c r="T9561">
        <v>-0.19187589999999999</v>
      </c>
      <c r="U9561">
        <v>2.7882389999999999</v>
      </c>
      <c r="V9561">
        <v>-5.2111049999999999E-2</v>
      </c>
      <c r="W9561">
        <v>-4.8895079999999999E-3</v>
      </c>
      <c r="X9561">
        <v>0.99862930000000005</v>
      </c>
      <c r="Y9561">
        <v>-0.29059679999999999</v>
      </c>
      <c r="Z9561">
        <v>-3.9660040000000001E-2</v>
      </c>
      <c r="AA9561">
        <v>0.95602330000000002</v>
      </c>
      <c r="AB9561">
        <v>13</v>
      </c>
      <c r="AC9561">
        <v>7.65120000000001</v>
      </c>
      <c r="AD9561">
        <v>-1.1116911636769999</v>
      </c>
      <c r="AE9561">
        <v>16.106739999999899</v>
      </c>
      <c r="AF9561">
        <v>-5.1695017039959801</v>
      </c>
      <c r="AG9561">
        <v>-1.1116911636769999</v>
      </c>
      <c r="AH9561">
        <v>16.993728506299899</v>
      </c>
      <c r="AI9561">
        <v>93.581242700137196</v>
      </c>
      <c r="AJ9561">
        <v>106.91979025664401</v>
      </c>
      <c r="AK9561">
        <v>17.797370975985299</v>
      </c>
      <c r="AL9561">
        <v>90.280149295905801</v>
      </c>
      <c r="AM9561">
        <v>92.987132031229805</v>
      </c>
      <c r="AN9561">
        <v>0.99999997381953698</v>
      </c>
    </row>
    <row r="9562" spans="1:40" x14ac:dyDescent="0.25">
      <c r="A9562" t="str">
        <f>"20190312154139878"</f>
        <v>20190312154139878</v>
      </c>
      <c r="B9562" t="str">
        <f>"1552376499865671"</f>
        <v>1552376499865671</v>
      </c>
      <c r="C9562" t="s">
        <v>40</v>
      </c>
      <c r="D9562">
        <v>4.6031890000000004</v>
      </c>
      <c r="E9562">
        <v>0.40768270000000001</v>
      </c>
      <c r="F9562" t="s">
        <v>42</v>
      </c>
      <c r="G9562">
        <v>-192.82910000000001</v>
      </c>
      <c r="H9562" s="1">
        <v>-1.056977E-6</v>
      </c>
      <c r="I9562">
        <v>-39.701740000000001</v>
      </c>
      <c r="J9562">
        <v>-200.2801</v>
      </c>
      <c r="K9562">
        <v>1.1116170000000001</v>
      </c>
      <c r="L9562">
        <v>-55.409419999999997</v>
      </c>
      <c r="M9562">
        <v>0.6714213</v>
      </c>
      <c r="N9562">
        <v>0</v>
      </c>
      <c r="O9562">
        <v>0.74094839999999995</v>
      </c>
      <c r="P9562">
        <v>0.6324244</v>
      </c>
      <c r="Q9562">
        <v>-1.8293380000000001E-2</v>
      </c>
      <c r="R9562">
        <v>0.77440609999999999</v>
      </c>
      <c r="S9562">
        <v>1.3260190000000001</v>
      </c>
      <c r="T9562">
        <v>-0.1966435</v>
      </c>
      <c r="U9562">
        <v>2.7880859999999998</v>
      </c>
      <c r="V9562">
        <v>-5.1348699999999997E-2</v>
      </c>
      <c r="W9562">
        <v>-4.7395019999999996E-3</v>
      </c>
      <c r="X9562">
        <v>0.99866960000000005</v>
      </c>
      <c r="Y9562">
        <v>-0.28857319999999997</v>
      </c>
      <c r="Z9562">
        <v>-4.0826689999999999E-2</v>
      </c>
      <c r="AA9562">
        <v>0.95658699999999997</v>
      </c>
      <c r="AB9562">
        <v>13</v>
      </c>
      <c r="AC9562">
        <v>7.4509999999999899</v>
      </c>
      <c r="AD9562">
        <v>-1.111618056977</v>
      </c>
      <c r="AE9562">
        <v>15.7076799999999</v>
      </c>
      <c r="AF9562">
        <v>-5.0056742627157602</v>
      </c>
      <c r="AG9562">
        <v>-1.111618056977</v>
      </c>
      <c r="AH9562">
        <v>16.5751477027604</v>
      </c>
      <c r="AI9562">
        <v>93.673434979345004</v>
      </c>
      <c r="AJ9562">
        <v>106.80425170461299</v>
      </c>
      <c r="AK9562">
        <v>17.350158238394702</v>
      </c>
      <c r="AL9562">
        <v>90.271554461706899</v>
      </c>
      <c r="AM9562">
        <v>92.943391122804897</v>
      </c>
      <c r="AN9562">
        <v>1.0000000609175199</v>
      </c>
    </row>
    <row r="9563" spans="1:40" x14ac:dyDescent="0.25">
      <c r="A9563" t="str">
        <f>"20190312154139890"</f>
        <v>20190312154139890</v>
      </c>
      <c r="B9563" t="str">
        <f>"1552376499885190"</f>
        <v>1552376499885190</v>
      </c>
      <c r="C9563" t="s">
        <v>40</v>
      </c>
      <c r="D9563">
        <v>4.7110120000000002</v>
      </c>
      <c r="E9563">
        <v>0.40828569999999997</v>
      </c>
      <c r="F9563" t="s">
        <v>42</v>
      </c>
      <c r="G9563">
        <v>-192.92150000000001</v>
      </c>
      <c r="H9563" s="1">
        <v>-1.0047070000000001E-6</v>
      </c>
      <c r="I9563">
        <v>-39.880859999999998</v>
      </c>
      <c r="J9563">
        <v>-200.2355</v>
      </c>
      <c r="K9563">
        <v>1.1115389999999901</v>
      </c>
      <c r="L9563">
        <v>-55.355989999999998</v>
      </c>
      <c r="M9563">
        <v>0.66963139999999999</v>
      </c>
      <c r="N9563">
        <v>0</v>
      </c>
      <c r="O9563">
        <v>0.74256840000000002</v>
      </c>
      <c r="P9563">
        <v>0.63120220000000005</v>
      </c>
      <c r="Q9563">
        <v>-1.815307E-2</v>
      </c>
      <c r="R9563">
        <v>0.77540589999999998</v>
      </c>
      <c r="S9563">
        <v>1.3219449999999999</v>
      </c>
      <c r="T9563">
        <v>-0.1996976</v>
      </c>
      <c r="U9563">
        <v>2.7896420000000002</v>
      </c>
      <c r="V9563">
        <v>-5.0515350000000001E-2</v>
      </c>
      <c r="W9563">
        <v>-4.6908799999999997E-3</v>
      </c>
      <c r="X9563">
        <v>0.99871220000000005</v>
      </c>
      <c r="Y9563">
        <v>-0.28762490000000002</v>
      </c>
      <c r="Z9563">
        <v>-4.1606629999999999E-2</v>
      </c>
      <c r="AA9563">
        <v>0.956839</v>
      </c>
      <c r="AB9563">
        <v>13</v>
      </c>
      <c r="AC9563">
        <v>7.3139999999999903</v>
      </c>
      <c r="AD9563">
        <v>-1.1115400047070001</v>
      </c>
      <c r="AE9563">
        <v>15.47513</v>
      </c>
      <c r="AF9563">
        <v>-4.9112347867955899</v>
      </c>
      <c r="AG9563">
        <v>-1.1115400047070001</v>
      </c>
      <c r="AH9563">
        <v>16.3217192349958</v>
      </c>
      <c r="AI9563">
        <v>93.731179339946394</v>
      </c>
      <c r="AJ9563">
        <v>106.74663580861601</v>
      </c>
      <c r="AK9563">
        <v>17.080815762109399</v>
      </c>
      <c r="AL9563">
        <v>90.268768630249596</v>
      </c>
      <c r="AM9563">
        <v>92.8955808073231</v>
      </c>
      <c r="AN9563">
        <v>0.99999993168481605</v>
      </c>
    </row>
    <row r="9564" spans="1:40" x14ac:dyDescent="0.25">
      <c r="A9564" t="str">
        <f>"20190312154139901"</f>
        <v>20190312154139901</v>
      </c>
      <c r="B9564" t="str">
        <f>"1552376499895926"</f>
        <v>1552376499895926</v>
      </c>
      <c r="C9564" t="s">
        <v>40</v>
      </c>
      <c r="D9564">
        <v>4.7108040000000004</v>
      </c>
      <c r="E9564">
        <v>0.40441539999999998</v>
      </c>
      <c r="F9564" t="s">
        <v>69</v>
      </c>
      <c r="G9564">
        <v>-195.54</v>
      </c>
      <c r="H9564" s="1">
        <v>-4.8097690000000003E-6</v>
      </c>
      <c r="I9564">
        <v>-45.416800000000002</v>
      </c>
      <c r="J9564">
        <v>-200.1908</v>
      </c>
      <c r="K9564">
        <v>1.111459</v>
      </c>
      <c r="L9564">
        <v>-55.302219999999998</v>
      </c>
      <c r="M9564">
        <v>0.6678579</v>
      </c>
      <c r="N9564">
        <v>0</v>
      </c>
      <c r="O9564">
        <v>0.74416599999999999</v>
      </c>
      <c r="P9564">
        <v>0.62996409999999903</v>
      </c>
      <c r="Q9564">
        <v>-1.8198829999999999E-2</v>
      </c>
      <c r="R9564">
        <v>0.77641110000000002</v>
      </c>
      <c r="S9564">
        <v>1.3176270000000001</v>
      </c>
      <c r="T9564">
        <v>-0.3119133</v>
      </c>
      <c r="U9564">
        <v>2.7890630000000001</v>
      </c>
      <c r="V9564">
        <v>-4.9724770000000001E-2</v>
      </c>
      <c r="W9564">
        <v>-4.8460769999999999E-3</v>
      </c>
      <c r="X9564">
        <v>0.99875119999999895</v>
      </c>
      <c r="Y9564">
        <v>-0.28713670000000002</v>
      </c>
      <c r="Z9564">
        <v>-6.5084820000000002E-2</v>
      </c>
      <c r="AA9564">
        <v>0.95567590000000002</v>
      </c>
      <c r="AB9564">
        <v>13</v>
      </c>
      <c r="AC9564">
        <v>4.6508000000000003</v>
      </c>
      <c r="AD9564">
        <v>-1.1114638097689999</v>
      </c>
      <c r="AE9564">
        <v>9.8854199999999892</v>
      </c>
      <c r="AF9564">
        <v>-3.1091939013646401</v>
      </c>
      <c r="AG9564">
        <v>-1.1114638097689999</v>
      </c>
      <c r="AH9564">
        <v>10.3562307784906</v>
      </c>
      <c r="AI9564">
        <v>95.868857114872696</v>
      </c>
      <c r="AJ9564">
        <v>106.71104277976499</v>
      </c>
      <c r="AK9564">
        <v>10.8698645094622</v>
      </c>
      <c r="AL9564">
        <v>90.277660846544606</v>
      </c>
      <c r="AM9564">
        <v>92.850228325538296</v>
      </c>
      <c r="AN9564">
        <v>0.99999999835764097</v>
      </c>
    </row>
    <row r="9565" spans="1:40" x14ac:dyDescent="0.25">
      <c r="A9565" t="str">
        <f>"20190312154139912"</f>
        <v>20190312154139912</v>
      </c>
      <c r="B9565" t="str">
        <f>"1552376499905686"</f>
        <v>1552376499905686</v>
      </c>
      <c r="C9565" t="s">
        <v>40</v>
      </c>
      <c r="D9565">
        <v>4.7118379999999904</v>
      </c>
      <c r="E9565">
        <v>0.40125</v>
      </c>
      <c r="F9565" t="s">
        <v>69</v>
      </c>
      <c r="G9565">
        <v>-195.75659999999999</v>
      </c>
      <c r="H9565" s="1">
        <v>-4.7400210000000003E-6</v>
      </c>
      <c r="I9565">
        <v>-45.632010000000001</v>
      </c>
      <c r="J9565">
        <v>-200.14760000000001</v>
      </c>
      <c r="K9565">
        <v>1.1113770000000001</v>
      </c>
      <c r="L9565">
        <v>-55.250149999999998</v>
      </c>
      <c r="M9565">
        <v>0.66618900000000003</v>
      </c>
      <c r="N9565">
        <v>0</v>
      </c>
      <c r="O9565">
        <v>0.74566290000000002</v>
      </c>
      <c r="P9565">
        <v>0.62882939999999998</v>
      </c>
      <c r="Q9565">
        <v>-1.8142229999999999E-2</v>
      </c>
      <c r="R9565">
        <v>0.77733169999999996</v>
      </c>
      <c r="S9565">
        <v>1.288818</v>
      </c>
      <c r="T9565">
        <v>-0.3230498</v>
      </c>
      <c r="U9565">
        <v>2.8106689999999999</v>
      </c>
      <c r="V9565">
        <v>-4.8945130000000003E-2</v>
      </c>
      <c r="W9565">
        <v>-4.9225720000000001E-3</v>
      </c>
      <c r="X9565">
        <v>0.99878929999999999</v>
      </c>
      <c r="Y9565">
        <v>-0.29593900000000001</v>
      </c>
      <c r="Z9565">
        <v>-6.7082699999999995E-2</v>
      </c>
      <c r="AA9565">
        <v>0.95284840000000004</v>
      </c>
      <c r="AB9565">
        <v>13</v>
      </c>
      <c r="AC9565">
        <v>4.3910000000000204</v>
      </c>
      <c r="AD9565">
        <v>-1.111381740021</v>
      </c>
      <c r="AE9565">
        <v>9.6181399999999897</v>
      </c>
      <c r="AF9565">
        <v>-3.0993291419418201</v>
      </c>
      <c r="AG9565">
        <v>-1.111381740021</v>
      </c>
      <c r="AH9565">
        <v>9.9876756874694195</v>
      </c>
      <c r="AI9565">
        <v>96.066392528551305</v>
      </c>
      <c r="AJ9565">
        <v>107.23991916419899</v>
      </c>
      <c r="AK9565">
        <v>10.5164003413815</v>
      </c>
      <c r="AL9565">
        <v>90.282043749846395</v>
      </c>
      <c r="AM9565">
        <v>92.805504406996803</v>
      </c>
      <c r="AN9565">
        <v>0.99999996163015004</v>
      </c>
    </row>
    <row r="9566" spans="1:40" x14ac:dyDescent="0.25">
      <c r="A9566" t="str">
        <f>"20190312154139925"</f>
        <v>20190312154139925</v>
      </c>
      <c r="B9566" t="str">
        <f>"1552376499915446"</f>
        <v>1552376499915446</v>
      </c>
      <c r="C9566" t="s">
        <v>40</v>
      </c>
      <c r="D9566">
        <v>4.7128110000000003</v>
      </c>
      <c r="E9566">
        <v>0.39953250000000001</v>
      </c>
      <c r="F9566" t="s">
        <v>69</v>
      </c>
      <c r="G9566">
        <v>-195.8475</v>
      </c>
      <c r="H9566" s="1">
        <v>-4.7548310000000004E-6</v>
      </c>
      <c r="I9566">
        <v>-45.634749999999997</v>
      </c>
      <c r="J9566">
        <v>-200.1027</v>
      </c>
      <c r="K9566">
        <v>1.1112949999999999</v>
      </c>
      <c r="L9566">
        <v>-55.196010000000001</v>
      </c>
      <c r="M9566">
        <v>0.66450299999999995</v>
      </c>
      <c r="N9566">
        <v>0</v>
      </c>
      <c r="O9566">
        <v>0.74716879999999997</v>
      </c>
      <c r="P9566">
        <v>0.62792019999999904</v>
      </c>
      <c r="Q9566">
        <v>-1.834709E-2</v>
      </c>
      <c r="R9566">
        <v>0.77806160000000002</v>
      </c>
      <c r="S9566">
        <v>1.2649079999999999</v>
      </c>
      <c r="T9566">
        <v>-0.32692329999999997</v>
      </c>
      <c r="U9566">
        <v>2.8284609999999999</v>
      </c>
      <c r="V9566">
        <v>-4.7851989999999997E-2</v>
      </c>
      <c r="W9566">
        <v>-5.2825679999999996E-3</v>
      </c>
      <c r="X9566">
        <v>0.99884050000000002</v>
      </c>
      <c r="Y9566">
        <v>-0.30274800000000002</v>
      </c>
      <c r="Z9566">
        <v>-6.767157E-2</v>
      </c>
      <c r="AA9566">
        <v>0.95066510000000004</v>
      </c>
      <c r="AB9566">
        <v>13</v>
      </c>
      <c r="AC9566">
        <v>4.2552000000000003</v>
      </c>
      <c r="AD9566">
        <v>-1.111299754831</v>
      </c>
      <c r="AE9566">
        <v>9.5612600000000008</v>
      </c>
      <c r="AF9566">
        <v>-3.13901508904411</v>
      </c>
      <c r="AG9566">
        <v>-1.111299754831</v>
      </c>
      <c r="AH9566">
        <v>9.8611453314244102</v>
      </c>
      <c r="AI9566">
        <v>96.129244406684805</v>
      </c>
      <c r="AJ9566">
        <v>107.657394072602</v>
      </c>
      <c r="AK9566">
        <v>10.408198216877199</v>
      </c>
      <c r="AL9566">
        <v>90.302670249576494</v>
      </c>
      <c r="AM9566">
        <v>92.742802697331896</v>
      </c>
      <c r="AN9566">
        <v>1.0000000314559401</v>
      </c>
    </row>
    <row r="9567" spans="1:40" x14ac:dyDescent="0.25">
      <c r="A9567" t="str">
        <f>"20190312154139934"</f>
        <v>20190312154139934</v>
      </c>
      <c r="B9567" t="str">
        <f>"1552376499925207"</f>
        <v>1552376499925207</v>
      </c>
      <c r="C9567" t="s">
        <v>40</v>
      </c>
      <c r="D9567">
        <v>4.708761</v>
      </c>
      <c r="E9567">
        <v>0.39839089999999999</v>
      </c>
      <c r="F9567" t="s">
        <v>69</v>
      </c>
      <c r="G9567">
        <v>-195.8939</v>
      </c>
      <c r="H9567" s="1">
        <v>-4.75714E-6</v>
      </c>
      <c r="I9567">
        <v>-45.64658</v>
      </c>
      <c r="J9567">
        <v>-200.06059999999999</v>
      </c>
      <c r="K9567">
        <v>1.111218</v>
      </c>
      <c r="L9567">
        <v>-55.145110000000003</v>
      </c>
      <c r="M9567">
        <v>0.66294500000000001</v>
      </c>
      <c r="N9567">
        <v>0</v>
      </c>
      <c r="O9567">
        <v>0.74855439999999995</v>
      </c>
      <c r="P9567">
        <v>0.6271234</v>
      </c>
      <c r="Q9567">
        <v>-1.8166060000000001E-2</v>
      </c>
      <c r="R9567">
        <v>0.77870810000000001</v>
      </c>
      <c r="S9567">
        <v>1.250977</v>
      </c>
      <c r="T9567">
        <v>-0.330312099999999</v>
      </c>
      <c r="U9567">
        <v>2.8383790000000002</v>
      </c>
      <c r="V9567">
        <v>-4.6794620000000002E-2</v>
      </c>
      <c r="W9567">
        <v>-5.256518E-3</v>
      </c>
      <c r="X9567">
        <v>0.99889070000000002</v>
      </c>
      <c r="Y9567">
        <v>-0.3059153</v>
      </c>
      <c r="Z9567">
        <v>-6.8344409999999994E-2</v>
      </c>
      <c r="AA9567">
        <v>0.94960250000000002</v>
      </c>
      <c r="AB9567">
        <v>14</v>
      </c>
      <c r="AC9567">
        <v>4.1666999999999899</v>
      </c>
      <c r="AD9567">
        <v>-1.11122275714</v>
      </c>
      <c r="AE9567">
        <v>9.4985299999999899</v>
      </c>
      <c r="AF9567">
        <v>-3.14220643562677</v>
      </c>
      <c r="AG9567">
        <v>-1.11122275714</v>
      </c>
      <c r="AH9567">
        <v>9.7612624684455707</v>
      </c>
      <c r="AI9567">
        <v>96.184662284591496</v>
      </c>
      <c r="AJ9567">
        <v>107.843665168504</v>
      </c>
      <c r="AK9567">
        <v>10.3145781434804</v>
      </c>
      <c r="AL9567">
        <v>90.301177683620693</v>
      </c>
      <c r="AM9567">
        <v>92.682150776874195</v>
      </c>
      <c r="AN9567">
        <v>0.99999999899445902</v>
      </c>
    </row>
    <row r="9568" spans="1:40" x14ac:dyDescent="0.25">
      <c r="A9568" t="str">
        <f>"20190312154139954"</f>
        <v>20190312154139954</v>
      </c>
      <c r="B9568" t="str">
        <f>"1552376499945702"</f>
        <v>1552376499945702</v>
      </c>
      <c r="C9568" t="s">
        <v>40</v>
      </c>
      <c r="D9568">
        <v>4.6955809999999998</v>
      </c>
      <c r="E9568">
        <v>0.39737250000000002</v>
      </c>
      <c r="F9568" t="s">
        <v>69</v>
      </c>
      <c r="G9568">
        <v>-195.88730000000001</v>
      </c>
      <c r="H9568" s="1">
        <v>-4.7919169999999996E-6</v>
      </c>
      <c r="I9568">
        <v>-45.575130000000001</v>
      </c>
      <c r="J9568">
        <v>-199.99019999999999</v>
      </c>
      <c r="K9568">
        <v>1.111086</v>
      </c>
      <c r="L9568">
        <v>-55.059809999999999</v>
      </c>
      <c r="M9568">
        <v>0.66045690000000001</v>
      </c>
      <c r="N9568">
        <v>0</v>
      </c>
      <c r="O9568">
        <v>0.75075570000000003</v>
      </c>
      <c r="P9568">
        <v>0.62649049999999995</v>
      </c>
      <c r="Q9568">
        <v>-1.872439E-2</v>
      </c>
      <c r="R9568">
        <v>0.77920409999999996</v>
      </c>
      <c r="S9568">
        <v>1.240875</v>
      </c>
      <c r="T9568">
        <v>-0.33040540000000002</v>
      </c>
      <c r="U9568">
        <v>2.8454899999999999</v>
      </c>
      <c r="V9568">
        <v>-4.4277919999999998E-2</v>
      </c>
      <c r="W9568">
        <v>-6.0971810000000001E-3</v>
      </c>
      <c r="X9568">
        <v>0.99900069999999996</v>
      </c>
      <c r="Y9568">
        <v>-0.30646040000000002</v>
      </c>
      <c r="Z9568">
        <v>-6.8563009999999994E-2</v>
      </c>
      <c r="AA9568">
        <v>0.949411</v>
      </c>
      <c r="AB9568">
        <v>14</v>
      </c>
      <c r="AC9568">
        <v>4.1028999999999698</v>
      </c>
      <c r="AD9568">
        <v>-1.1110907919169899</v>
      </c>
      <c r="AE9568">
        <v>9.4846799999999902</v>
      </c>
      <c r="AF9568">
        <v>-3.1478169592129901</v>
      </c>
      <c r="AG9568">
        <v>-1.1110907919169899</v>
      </c>
      <c r="AH9568">
        <v>9.7189149931113406</v>
      </c>
      <c r="AI9568">
        <v>96.207101679076899</v>
      </c>
      <c r="AJ9568">
        <v>107.946394025685</v>
      </c>
      <c r="AK9568">
        <v>10.276214429444099</v>
      </c>
      <c r="AL9568">
        <v>90.349344883831193</v>
      </c>
      <c r="AM9568">
        <v>92.537814698807296</v>
      </c>
      <c r="AN9568">
        <v>1.00000005420808</v>
      </c>
    </row>
    <row r="9569" spans="1:40" x14ac:dyDescent="0.25">
      <c r="A9569" t="str">
        <f>"20190312154139967"</f>
        <v>20190312154139967</v>
      </c>
      <c r="B9569" t="str">
        <f>"1552376499955463"</f>
        <v>1552376499955463</v>
      </c>
      <c r="C9569" t="s">
        <v>40</v>
      </c>
      <c r="D9569">
        <v>4.67591</v>
      </c>
      <c r="E9569">
        <v>0.39704070000000002</v>
      </c>
      <c r="F9569" t="s">
        <v>69</v>
      </c>
      <c r="G9569">
        <v>-195.86600000000001</v>
      </c>
      <c r="H9569" s="1">
        <v>-4.818717E-6</v>
      </c>
      <c r="I9569">
        <v>-45.514339999999997</v>
      </c>
      <c r="J9569">
        <v>-199.94390000000001</v>
      </c>
      <c r="K9569">
        <v>1.111003</v>
      </c>
      <c r="L9569">
        <v>-55.003480000000003</v>
      </c>
      <c r="M9569">
        <v>0.65889129999999996</v>
      </c>
      <c r="N9569">
        <v>0</v>
      </c>
      <c r="O9569">
        <v>0.75213369999999902</v>
      </c>
      <c r="P9569">
        <v>0.62578199999999995</v>
      </c>
      <c r="Q9569">
        <v>-1.8655049999999999E-2</v>
      </c>
      <c r="R9569">
        <v>0.77977489999999905</v>
      </c>
      <c r="S9569">
        <v>1.23204</v>
      </c>
      <c r="T9569">
        <v>-0.33191789999999999</v>
      </c>
      <c r="U9569">
        <v>2.8515320000000002</v>
      </c>
      <c r="V9569">
        <v>-4.3103629999999997E-2</v>
      </c>
      <c r="W9569">
        <v>-6.2273279999999999E-3</v>
      </c>
      <c r="X9569">
        <v>0.99905120000000003</v>
      </c>
      <c r="Y9569">
        <v>-0.30769770000000002</v>
      </c>
      <c r="Z9569">
        <v>-6.8954929999999998E-2</v>
      </c>
      <c r="AA9569">
        <v>0.9489822</v>
      </c>
      <c r="AB9569">
        <v>14</v>
      </c>
      <c r="AC9569">
        <v>4.0779000000000201</v>
      </c>
      <c r="AD9569">
        <v>-1.1110078187170001</v>
      </c>
      <c r="AE9569">
        <v>9.4891400000000008</v>
      </c>
      <c r="AF9569">
        <v>-3.1489982999222699</v>
      </c>
      <c r="AG9569">
        <v>-1.1110078187170001</v>
      </c>
      <c r="AH9569">
        <v>9.7123826171787009</v>
      </c>
      <c r="AI9569">
        <v>96.210170188267298</v>
      </c>
      <c r="AJ9569">
        <v>107.963995937321</v>
      </c>
      <c r="AK9569">
        <v>10.2703897087033</v>
      </c>
      <c r="AL9569">
        <v>90.356801917684294</v>
      </c>
      <c r="AM9569">
        <v>92.470469387903194</v>
      </c>
      <c r="AN9569">
        <v>1.00000000137731</v>
      </c>
    </row>
    <row r="9570" spans="1:40" x14ac:dyDescent="0.25">
      <c r="A9570" t="str">
        <f>"20190312154139981"</f>
        <v>20190312154139981</v>
      </c>
      <c r="B9570" t="str">
        <f>"1552376499975958"</f>
        <v>1552376499975958</v>
      </c>
      <c r="C9570" t="s">
        <v>40</v>
      </c>
      <c r="D9570">
        <v>4.6878789999999997</v>
      </c>
      <c r="E9570">
        <v>0.39706770000000002</v>
      </c>
      <c r="F9570" t="s">
        <v>69</v>
      </c>
      <c r="G9570">
        <v>-195.83459999999999</v>
      </c>
      <c r="H9570" s="1">
        <v>-4.8474950000000002E-6</v>
      </c>
      <c r="I9570">
        <v>-45.44603</v>
      </c>
      <c r="J9570">
        <v>-199.8896</v>
      </c>
      <c r="K9570">
        <v>1.1109089999999999</v>
      </c>
      <c r="L9570">
        <v>-54.937350000000002</v>
      </c>
      <c r="M9570">
        <v>0.65710440000000003</v>
      </c>
      <c r="N9570">
        <v>0</v>
      </c>
      <c r="O9570">
        <v>0.75369929999999996</v>
      </c>
      <c r="P9570">
        <v>0.62478639999999996</v>
      </c>
      <c r="Q9570">
        <v>-1.8479309999999999E-2</v>
      </c>
      <c r="R9570">
        <v>0.78057699999999997</v>
      </c>
      <c r="S9570">
        <v>1.2272799999999999</v>
      </c>
      <c r="T9570">
        <v>-0.33181060000000001</v>
      </c>
      <c r="U9570">
        <v>2.8544010000000002</v>
      </c>
      <c r="V9570">
        <v>-4.200885E-2</v>
      </c>
      <c r="W9570">
        <v>-6.293603E-3</v>
      </c>
      <c r="X9570">
        <v>0.99909740000000002</v>
      </c>
      <c r="Y9570">
        <v>-0.30712349999999999</v>
      </c>
      <c r="Z9570">
        <v>-6.9133680000000003E-2</v>
      </c>
      <c r="AA9570">
        <v>0.94915530000000004</v>
      </c>
      <c r="AB9570">
        <v>14</v>
      </c>
      <c r="AC9570">
        <v>4.0549999999999997</v>
      </c>
      <c r="AD9570">
        <v>-1.110913847495</v>
      </c>
      <c r="AE9570">
        <v>9.49132</v>
      </c>
      <c r="AF9570">
        <v>-3.1443505852996299</v>
      </c>
      <c r="AG9570">
        <v>-1.110913847495</v>
      </c>
      <c r="AH9570">
        <v>9.7064524776887602</v>
      </c>
      <c r="AI9570">
        <v>96.213920742080603</v>
      </c>
      <c r="AJ9570">
        <v>107.949439453292</v>
      </c>
      <c r="AK9570">
        <v>10.2633469142117</v>
      </c>
      <c r="AL9570">
        <v>90.360599276221095</v>
      </c>
      <c r="AM9570">
        <v>92.407686056727997</v>
      </c>
      <c r="AN9570">
        <v>0.99999998380190103</v>
      </c>
    </row>
    <row r="9571" spans="1:40" x14ac:dyDescent="0.25">
      <c r="A9571" t="str">
        <f>"20190312154139999"</f>
        <v>20190312154139999</v>
      </c>
      <c r="B9571" t="str">
        <f>"1552376499995478"</f>
        <v>1552376499995478</v>
      </c>
      <c r="C9571" t="s">
        <v>40</v>
      </c>
      <c r="D9571">
        <v>4.653079</v>
      </c>
      <c r="E9571">
        <v>0.3969049</v>
      </c>
      <c r="F9571" t="s">
        <v>69</v>
      </c>
      <c r="G9571">
        <v>-195.78970000000001</v>
      </c>
      <c r="H9571" s="1">
        <v>-4.8778390000000001E-6</v>
      </c>
      <c r="I9571">
        <v>-45.368760000000002</v>
      </c>
      <c r="J9571">
        <v>-199.8194</v>
      </c>
      <c r="K9571">
        <v>1.1107880000000001</v>
      </c>
      <c r="L9571">
        <v>-54.851719999999901</v>
      </c>
      <c r="M9571">
        <v>0.65491060000000001</v>
      </c>
      <c r="N9571">
        <v>0</v>
      </c>
      <c r="O9571">
        <v>0.75561179999999994</v>
      </c>
      <c r="P9571">
        <v>0.62435830000000003</v>
      </c>
      <c r="Q9571">
        <v>-1.8522009999999998E-2</v>
      </c>
      <c r="R9571">
        <v>0.78091849999999996</v>
      </c>
      <c r="S9571">
        <v>1.2237089999999999</v>
      </c>
      <c r="T9571">
        <v>-0.33158029999999999</v>
      </c>
      <c r="U9571">
        <v>2.855988</v>
      </c>
      <c r="V9571">
        <v>-3.9648040000000002E-2</v>
      </c>
      <c r="W9571">
        <v>-6.6609190000000004E-3</v>
      </c>
      <c r="X9571">
        <v>0.99919150000000001</v>
      </c>
      <c r="Y9571">
        <v>-0.30555330000000003</v>
      </c>
      <c r="Z9571">
        <v>-6.9382860000000005E-2</v>
      </c>
      <c r="AA9571">
        <v>0.94964369999999998</v>
      </c>
      <c r="AB9571">
        <v>14</v>
      </c>
      <c r="AC9571">
        <v>4.0296999999999903</v>
      </c>
      <c r="AD9571">
        <v>-1.1107928778389999</v>
      </c>
      <c r="AE9571">
        <v>9.4829600000000003</v>
      </c>
      <c r="AF9571">
        <v>-3.1294575005544001</v>
      </c>
      <c r="AG9571">
        <v>-1.1107928778389999</v>
      </c>
      <c r="AH9571">
        <v>9.6925821972323192</v>
      </c>
      <c r="AI9571">
        <v>96.224010615143797</v>
      </c>
      <c r="AJ9571">
        <v>107.89378376925301</v>
      </c>
      <c r="AK9571">
        <v>10.2456583348918</v>
      </c>
      <c r="AL9571">
        <v>90.3816453707215</v>
      </c>
      <c r="AM9571">
        <v>92.2723113919794</v>
      </c>
      <c r="AN9571">
        <v>0.99999999429500797</v>
      </c>
    </row>
    <row r="9572" spans="1:40" x14ac:dyDescent="0.25">
      <c r="A9572" t="str">
        <f>"20190312154140014"</f>
        <v>20190312154140014</v>
      </c>
      <c r="B9572" t="str">
        <f>"1552376500005238"</f>
        <v>1552376500005238</v>
      </c>
      <c r="C9572" t="s">
        <v>40</v>
      </c>
      <c r="D9572">
        <v>4.6724030000000001</v>
      </c>
      <c r="E9572">
        <v>0.39680749999999998</v>
      </c>
      <c r="F9572" t="s">
        <v>69</v>
      </c>
      <c r="G9572">
        <v>-195.7457</v>
      </c>
      <c r="H9572" s="1">
        <v>-4.8934469999999998E-6</v>
      </c>
      <c r="I9572">
        <v>-45.31841</v>
      </c>
      <c r="J9572">
        <v>-199.75819999999999</v>
      </c>
      <c r="K9572">
        <v>1.1106940000000001</v>
      </c>
      <c r="L9572">
        <v>-54.776949999999999</v>
      </c>
      <c r="M9572">
        <v>0.65309490000000003</v>
      </c>
      <c r="N9572">
        <v>0</v>
      </c>
      <c r="O9572">
        <v>0.75718640000000004</v>
      </c>
      <c r="P9572">
        <v>0.62318949999999995</v>
      </c>
      <c r="Q9572">
        <v>-1.8412749999999999E-2</v>
      </c>
      <c r="R9572">
        <v>0.7818541</v>
      </c>
      <c r="S9572">
        <v>1.221039</v>
      </c>
      <c r="T9572">
        <v>-0.33294220000000002</v>
      </c>
      <c r="U9572">
        <v>2.8574519999999999</v>
      </c>
      <c r="V9572">
        <v>-3.8743680000000003E-2</v>
      </c>
      <c r="W9572">
        <v>-6.8453489999999997E-3</v>
      </c>
      <c r="X9572">
        <v>0.99922569999999999</v>
      </c>
      <c r="Y9572">
        <v>-0.30420710000000001</v>
      </c>
      <c r="Z9572">
        <v>-6.9906579999999996E-2</v>
      </c>
      <c r="AA9572">
        <v>0.95003740000000003</v>
      </c>
      <c r="AB9572">
        <v>14</v>
      </c>
      <c r="AC9572">
        <v>4.0124999999999797</v>
      </c>
      <c r="AD9572">
        <v>-1.1106988934469999</v>
      </c>
      <c r="AE9572">
        <v>9.4585399999999993</v>
      </c>
      <c r="AF9572">
        <v>-3.1030637132417001</v>
      </c>
      <c r="AG9572">
        <v>-1.1106988934469999</v>
      </c>
      <c r="AH9572">
        <v>9.6700782267409409</v>
      </c>
      <c r="AI9572">
        <v>96.241428649888903</v>
      </c>
      <c r="AJ9572">
        <v>107.791089810811</v>
      </c>
      <c r="AK9572">
        <v>10.216313882787199</v>
      </c>
      <c r="AL9572">
        <v>90.392212683652602</v>
      </c>
      <c r="AM9572">
        <v>92.220457208706094</v>
      </c>
      <c r="AN9572">
        <v>0.99999996554168102</v>
      </c>
    </row>
    <row r="9573" spans="1:40" x14ac:dyDescent="0.25">
      <c r="A9573" t="str">
        <f>"20190312154140026"</f>
        <v>20190312154140026</v>
      </c>
      <c r="B9573" t="str">
        <f>"1552376500015975"</f>
        <v>1552376500015975</v>
      </c>
      <c r="C9573" t="s">
        <v>40</v>
      </c>
      <c r="D9573">
        <v>4.696504</v>
      </c>
      <c r="E9573">
        <v>0.39684970000000003</v>
      </c>
      <c r="F9573" t="s">
        <v>69</v>
      </c>
      <c r="G9573">
        <v>-195.7003</v>
      </c>
      <c r="H9573" s="1">
        <v>-4.9238639999999901E-6</v>
      </c>
      <c r="I9573">
        <v>-45.235779999999998</v>
      </c>
      <c r="J9573">
        <v>-199.71</v>
      </c>
      <c r="K9573">
        <v>1.1106279999999999</v>
      </c>
      <c r="L9573">
        <v>-54.717799999999997</v>
      </c>
      <c r="M9573">
        <v>0.65171889999999999</v>
      </c>
      <c r="N9573">
        <v>0</v>
      </c>
      <c r="O9573">
        <v>0.75837469999999996</v>
      </c>
      <c r="P9573">
        <v>0.62249069999999995</v>
      </c>
      <c r="Q9573">
        <v>-1.812625E-2</v>
      </c>
      <c r="R9573">
        <v>0.78241729999999998</v>
      </c>
      <c r="S9573">
        <v>1.216278</v>
      </c>
      <c r="T9573">
        <v>-0.33290599999999998</v>
      </c>
      <c r="U9573">
        <v>2.8597410000000001</v>
      </c>
      <c r="V9573">
        <v>-3.7824570000000002E-2</v>
      </c>
      <c r="W9573">
        <v>-6.7896750000000002E-3</v>
      </c>
      <c r="X9573">
        <v>0.99926130000000002</v>
      </c>
      <c r="Y9573">
        <v>-0.30409130000000001</v>
      </c>
      <c r="Z9573">
        <v>-7.0047070000000003E-2</v>
      </c>
      <c r="AA9573">
        <v>0.95006420000000003</v>
      </c>
      <c r="AB9573">
        <v>14</v>
      </c>
      <c r="AC9573">
        <v>4.0096999999999996</v>
      </c>
      <c r="AD9573">
        <v>-1.110632923864</v>
      </c>
      <c r="AE9573">
        <v>9.4820200000000003</v>
      </c>
      <c r="AF9573">
        <v>-3.1028490976824501</v>
      </c>
      <c r="AG9573">
        <v>-1.110632923864</v>
      </c>
      <c r="AH9573">
        <v>9.6919617723062697</v>
      </c>
      <c r="AI9573">
        <v>96.228420970007804</v>
      </c>
      <c r="AJ9573">
        <v>107.75229326336</v>
      </c>
      <c r="AK9573">
        <v>10.236957605187399</v>
      </c>
      <c r="AL9573">
        <v>90.389022721773202</v>
      </c>
      <c r="AM9573">
        <v>92.167755373390705</v>
      </c>
      <c r="AN9573">
        <v>0.999999971729989</v>
      </c>
    </row>
    <row r="9574" spans="1:40" x14ac:dyDescent="0.25">
      <c r="A9574" t="str">
        <f>"20190312154140043"</f>
        <v>20190312154140043</v>
      </c>
      <c r="B9574" t="str">
        <f>"1552376500035494"</f>
        <v>1552376500035494</v>
      </c>
      <c r="C9574" t="s">
        <v>40</v>
      </c>
      <c r="D9574">
        <v>4.6894150000000003</v>
      </c>
      <c r="E9574">
        <v>0.396816</v>
      </c>
      <c r="F9574" t="s">
        <v>69</v>
      </c>
      <c r="G9574">
        <v>-195.6585</v>
      </c>
      <c r="H9574" s="1">
        <v>-4.9473400000000003E-6</v>
      </c>
      <c r="I9574">
        <v>-45.169429999999998</v>
      </c>
      <c r="J9574">
        <v>-199.64580000000001</v>
      </c>
      <c r="K9574">
        <v>1.110547</v>
      </c>
      <c r="L9574">
        <v>-54.639040000000001</v>
      </c>
      <c r="M9574">
        <v>0.64994929999999995</v>
      </c>
      <c r="N9574">
        <v>0</v>
      </c>
      <c r="O9574">
        <v>0.75989649999999997</v>
      </c>
      <c r="P9574">
        <v>0.621892</v>
      </c>
      <c r="Q9574">
        <v>-1.8476340000000001E-2</v>
      </c>
      <c r="R9574">
        <v>0.7828851</v>
      </c>
      <c r="S9574">
        <v>1.213867</v>
      </c>
      <c r="T9574">
        <v>-0.33275929999999998</v>
      </c>
      <c r="U9574">
        <v>2.8608090000000002</v>
      </c>
      <c r="V9574">
        <v>-3.625101E-2</v>
      </c>
      <c r="W9574">
        <v>-7.4441759999999899E-3</v>
      </c>
      <c r="X9574">
        <v>0.99931499999999995</v>
      </c>
      <c r="Y9574">
        <v>-0.30267919999999998</v>
      </c>
      <c r="Z9574">
        <v>-7.0259020000000005E-2</v>
      </c>
      <c r="AA9574">
        <v>0.95049930000000005</v>
      </c>
      <c r="AB9574">
        <v>14</v>
      </c>
      <c r="AC9574">
        <v>3.9872999999999998</v>
      </c>
      <c r="AD9574">
        <v>-1.1105519473399901</v>
      </c>
      <c r="AE9574">
        <v>9.4696099999999994</v>
      </c>
      <c r="AF9574">
        <v>-3.0889376845077101</v>
      </c>
      <c r="AG9574">
        <v>-1.1105519473399901</v>
      </c>
      <c r="AH9574">
        <v>9.6750425455799807</v>
      </c>
      <c r="AI9574">
        <v>96.240352303325906</v>
      </c>
      <c r="AJ9574">
        <v>107.706652140735</v>
      </c>
      <c r="AK9574">
        <v>10.216717178492001</v>
      </c>
      <c r="AL9574">
        <v>90.426523801754797</v>
      </c>
      <c r="AM9574">
        <v>92.077542630660602</v>
      </c>
      <c r="AN9574">
        <v>1.0000000103536599</v>
      </c>
    </row>
    <row r="9575" spans="1:40" x14ac:dyDescent="0.25">
      <c r="A9575" t="str">
        <f>"20190312154140054"</f>
        <v>20190312154140054</v>
      </c>
      <c r="B9575" t="str">
        <f>"1552376500045255"</f>
        <v>1552376500045255</v>
      </c>
      <c r="C9575" t="s">
        <v>40</v>
      </c>
      <c r="D9575">
        <v>4.7276910000000001</v>
      </c>
      <c r="E9575">
        <v>0.3969241</v>
      </c>
      <c r="F9575" t="s">
        <v>69</v>
      </c>
      <c r="G9575">
        <v>-195.62559999999999</v>
      </c>
      <c r="H9575" s="1">
        <v>-4.953949E-6</v>
      </c>
      <c r="I9575">
        <v>-45.142650000000003</v>
      </c>
      <c r="J9575">
        <v>-199.60380000000001</v>
      </c>
      <c r="K9575">
        <v>1.1104959999999999</v>
      </c>
      <c r="L9575">
        <v>-54.58746</v>
      </c>
      <c r="M9575">
        <v>0.64883500000000005</v>
      </c>
      <c r="N9575">
        <v>0</v>
      </c>
      <c r="O9575">
        <v>0.76085100000000006</v>
      </c>
      <c r="P9575">
        <v>0.62123379999999995</v>
      </c>
      <c r="Q9575">
        <v>-1.8316829999999999E-2</v>
      </c>
      <c r="R9575">
        <v>0.78341119999999898</v>
      </c>
      <c r="S9575">
        <v>1.211487</v>
      </c>
      <c r="T9575">
        <v>-0.3346635</v>
      </c>
      <c r="U9575">
        <v>2.8617249999999999</v>
      </c>
      <c r="V9575">
        <v>-3.5627720000000002E-2</v>
      </c>
      <c r="W9575">
        <v>-7.4826329999999998E-3</v>
      </c>
      <c r="X9575">
        <v>0.99933709999999998</v>
      </c>
      <c r="Y9575">
        <v>-0.3020774</v>
      </c>
      <c r="Z9575">
        <v>-7.0802130000000005E-2</v>
      </c>
      <c r="AA9575">
        <v>0.95065049999999995</v>
      </c>
      <c r="AB9575">
        <v>14</v>
      </c>
      <c r="AC9575">
        <v>3.97820000000001</v>
      </c>
      <c r="AD9575">
        <v>-1.1105009539489901</v>
      </c>
      <c r="AE9575">
        <v>9.4448099999999897</v>
      </c>
      <c r="AF9575">
        <v>-3.0654968029029401</v>
      </c>
      <c r="AG9575">
        <v>-1.1105009539489901</v>
      </c>
      <c r="AH9575">
        <v>9.6545111087823994</v>
      </c>
      <c r="AI9575">
        <v>96.256370705082006</v>
      </c>
      <c r="AJ9575">
        <v>107.615665056688</v>
      </c>
      <c r="AK9575">
        <v>10.190194687390999</v>
      </c>
      <c r="AL9575">
        <v>90.428727299123395</v>
      </c>
      <c r="AM9575">
        <v>92.041807311377397</v>
      </c>
      <c r="AN9575">
        <v>0.99999998183270999</v>
      </c>
    </row>
    <row r="9576" spans="1:40" x14ac:dyDescent="0.25">
      <c r="A9576" t="str">
        <f>"20190312154140065"</f>
        <v>20190312154140065</v>
      </c>
      <c r="B9576" t="str">
        <f>"1552376500055990"</f>
        <v>1552376500055990</v>
      </c>
      <c r="C9576" t="s">
        <v>40</v>
      </c>
      <c r="D9576">
        <v>4.6692419999999997</v>
      </c>
      <c r="E9576">
        <v>0.3968931</v>
      </c>
      <c r="F9576" t="s">
        <v>69</v>
      </c>
      <c r="G9576">
        <v>-195.583</v>
      </c>
      <c r="H9576" s="1">
        <v>-4.978143E-6</v>
      </c>
      <c r="I9576">
        <v>-45.074440000000003</v>
      </c>
      <c r="J9576">
        <v>-199.55869999999999</v>
      </c>
      <c r="K9576">
        <v>1.110447</v>
      </c>
      <c r="L9576">
        <v>-54.531950000000002</v>
      </c>
      <c r="M9576">
        <v>0.64769049999999995</v>
      </c>
      <c r="N9576">
        <v>0</v>
      </c>
      <c r="O9576">
        <v>0.76182850000000002</v>
      </c>
      <c r="P9576">
        <v>0.62048179999999997</v>
      </c>
      <c r="Q9576">
        <v>-1.8498509999999999E-2</v>
      </c>
      <c r="R9576">
        <v>0.78400269999999905</v>
      </c>
      <c r="S9576">
        <v>1.209778</v>
      </c>
      <c r="T9576">
        <v>-0.33412730000000002</v>
      </c>
      <c r="U9576">
        <v>2.8622740000000002</v>
      </c>
      <c r="V9576">
        <v>-3.507913E-2</v>
      </c>
      <c r="W9576">
        <v>-7.8731159999999994E-3</v>
      </c>
      <c r="X9576">
        <v>0.99935350000000001</v>
      </c>
      <c r="Y9576">
        <v>-0.30119010000000002</v>
      </c>
      <c r="Z9576">
        <v>-7.0849490000000001E-2</v>
      </c>
      <c r="AA9576">
        <v>0.95092840000000001</v>
      </c>
      <c r="AB9576">
        <v>14</v>
      </c>
      <c r="AC9576">
        <v>3.9756999999999798</v>
      </c>
      <c r="AD9576">
        <v>-1.110451978143</v>
      </c>
      <c r="AE9576">
        <v>9.4575099999999992</v>
      </c>
      <c r="AF9576">
        <v>-3.0610519944264101</v>
      </c>
      <c r="AG9576">
        <v>-1.110451978143</v>
      </c>
      <c r="AH9576">
        <v>9.6673219034480393</v>
      </c>
      <c r="AI9576">
        <v>96.249444935572697</v>
      </c>
      <c r="AJ9576">
        <v>107.56982265651899</v>
      </c>
      <c r="AK9576">
        <v>10.2009928778148</v>
      </c>
      <c r="AL9576">
        <v>90.451100990259903</v>
      </c>
      <c r="AM9576">
        <v>92.010360920376897</v>
      </c>
      <c r="AN9576">
        <v>0.99999997463967705</v>
      </c>
    </row>
    <row r="9577" spans="1:40" x14ac:dyDescent="0.25">
      <c r="A9577" t="str">
        <f>"20190312154140076"</f>
        <v>20190312154140076</v>
      </c>
      <c r="B9577" t="str">
        <f>"1552376500065751"</f>
        <v>1552376500065751</v>
      </c>
      <c r="C9577" t="s">
        <v>40</v>
      </c>
      <c r="D9577">
        <v>4.6895769999999999</v>
      </c>
      <c r="E9577">
        <v>0.39689039999999998</v>
      </c>
      <c r="F9577" t="s">
        <v>69</v>
      </c>
      <c r="G9577">
        <v>-195.55170000000001</v>
      </c>
      <c r="H9577" s="1">
        <v>-4.9964569999999901E-6</v>
      </c>
      <c r="I9577">
        <v>-45.023139999999998</v>
      </c>
      <c r="J9577">
        <v>-199.5145</v>
      </c>
      <c r="K9577">
        <v>1.1103970000000001</v>
      </c>
      <c r="L9577">
        <v>-54.477510000000002</v>
      </c>
      <c r="M9577">
        <v>0.64658590000000005</v>
      </c>
      <c r="N9577">
        <v>0</v>
      </c>
      <c r="O9577">
        <v>0.76276919999999904</v>
      </c>
      <c r="P9577">
        <v>0.61995419999999901</v>
      </c>
      <c r="Q9577">
        <v>-1.8374939999999999E-2</v>
      </c>
      <c r="R9577">
        <v>0.78442279999999998</v>
      </c>
      <c r="S9577">
        <v>1.2067410000000001</v>
      </c>
      <c r="T9577">
        <v>-0.33441359999999998</v>
      </c>
      <c r="U9577">
        <v>2.8635860000000002</v>
      </c>
      <c r="V9577">
        <v>-3.4303779999999999E-2</v>
      </c>
      <c r="W9577">
        <v>-7.9522849999999999E-3</v>
      </c>
      <c r="X9577">
        <v>0.99937980000000004</v>
      </c>
      <c r="Y9577">
        <v>-0.30082399999999998</v>
      </c>
      <c r="Z9577">
        <v>-7.1041160000000006E-2</v>
      </c>
      <c r="AA9577">
        <v>0.95103000000000004</v>
      </c>
      <c r="AB9577">
        <v>14</v>
      </c>
      <c r="AC9577">
        <v>3.9627999999999801</v>
      </c>
      <c r="AD9577">
        <v>-1.11040199645699</v>
      </c>
      <c r="AE9577">
        <v>9.4543699999999902</v>
      </c>
      <c r="AF9577">
        <v>-3.05469002773828</v>
      </c>
      <c r="AG9577">
        <v>-1.11040199645699</v>
      </c>
      <c r="AH9577">
        <v>9.6609787305451693</v>
      </c>
      <c r="AI9577">
        <v>96.254040532020696</v>
      </c>
      <c r="AJ9577">
        <v>107.546353475481</v>
      </c>
      <c r="AK9577">
        <v>10.1930679283199</v>
      </c>
      <c r="AL9577">
        <v>90.455637176593797</v>
      </c>
      <c r="AM9577">
        <v>91.965909708638307</v>
      </c>
      <c r="AN9577">
        <v>0.99999998640352405</v>
      </c>
    </row>
    <row r="9578" spans="1:40" x14ac:dyDescent="0.25">
      <c r="A9578" t="str">
        <f>"20190312154140088"</f>
        <v>20190312154140088</v>
      </c>
      <c r="B9578" t="str">
        <f>"1552376500085271"</f>
        <v>1552376500085271</v>
      </c>
      <c r="C9578" t="s">
        <v>40</v>
      </c>
      <c r="D9578">
        <v>4.6592719999999996</v>
      </c>
      <c r="E9578">
        <v>0.3969646</v>
      </c>
      <c r="F9578" t="s">
        <v>69</v>
      </c>
      <c r="G9578">
        <v>-195.5093</v>
      </c>
      <c r="H9578" s="1">
        <v>-5.0221590000000003E-6</v>
      </c>
      <c r="I9578">
        <v>-44.951779999999999</v>
      </c>
      <c r="J9578">
        <v>-199.4725</v>
      </c>
      <c r="K9578">
        <v>1.110355</v>
      </c>
      <c r="L9578">
        <v>-54.425569999999901</v>
      </c>
      <c r="M9578">
        <v>0.64559769999999905</v>
      </c>
      <c r="N9578">
        <v>0</v>
      </c>
      <c r="O9578">
        <v>0.76360830000000002</v>
      </c>
      <c r="P9578">
        <v>0.61933340000000003</v>
      </c>
      <c r="Q9578">
        <v>-1.8490599999999999E-2</v>
      </c>
      <c r="R9578">
        <v>0.78491029999999995</v>
      </c>
      <c r="S9578">
        <v>1.2044979999999901</v>
      </c>
      <c r="T9578">
        <v>-0.33393289999999998</v>
      </c>
      <c r="U9578">
        <v>2.8646850000000001</v>
      </c>
      <c r="V9578">
        <v>-3.3797130000000002E-2</v>
      </c>
      <c r="W9578">
        <v>-8.258563E-3</v>
      </c>
      <c r="X9578">
        <v>0.99939460000000002</v>
      </c>
      <c r="Y9578">
        <v>-0.30035040000000002</v>
      </c>
      <c r="Z9578">
        <v>-7.1059929999999993E-2</v>
      </c>
      <c r="AA9578">
        <v>0.95117830000000003</v>
      </c>
      <c r="AB9578">
        <v>14</v>
      </c>
      <c r="AC9578">
        <v>3.9632000000000001</v>
      </c>
      <c r="AD9578">
        <v>-1.110360022159</v>
      </c>
      <c r="AE9578">
        <v>9.4737899999999904</v>
      </c>
      <c r="AF9578">
        <v>-3.054380448236</v>
      </c>
      <c r="AG9578">
        <v>-1.110360022159</v>
      </c>
      <c r="AH9578">
        <v>9.6802473454914804</v>
      </c>
      <c r="AI9578">
        <v>96.242632367218206</v>
      </c>
      <c r="AJ9578">
        <v>107.51189803382999</v>
      </c>
      <c r="AK9578">
        <v>10.211235379290301</v>
      </c>
      <c r="AL9578">
        <v>90.473186179828403</v>
      </c>
      <c r="AM9578">
        <v>91.936867806767296</v>
      </c>
      <c r="AN9578">
        <v>1.0000000081841101</v>
      </c>
    </row>
    <row r="9579" spans="1:40" x14ac:dyDescent="0.25">
      <c r="A9579" t="str">
        <f>"20190312154140100"</f>
        <v>20190312154140100</v>
      </c>
      <c r="B9579" t="str">
        <f>"1552376500096006"</f>
        <v>1552376500096006</v>
      </c>
      <c r="C9579" t="s">
        <v>40</v>
      </c>
      <c r="D9579">
        <v>4.6660949999999897</v>
      </c>
      <c r="E9579">
        <v>0.39715630000000002</v>
      </c>
      <c r="F9579" t="s">
        <v>69</v>
      </c>
      <c r="G9579">
        <v>-195.4657</v>
      </c>
      <c r="H9579" s="1">
        <v>-5.04734699999999E-6</v>
      </c>
      <c r="I9579">
        <v>-44.881059999999998</v>
      </c>
      <c r="J9579">
        <v>-199.42599999999999</v>
      </c>
      <c r="K9579">
        <v>1.1103069999999999</v>
      </c>
      <c r="L9579">
        <v>-54.368099999999998</v>
      </c>
      <c r="M9579">
        <v>0.64451930000000002</v>
      </c>
      <c r="N9579">
        <v>0</v>
      </c>
      <c r="O9579">
        <v>0.76452159999999902</v>
      </c>
      <c r="P9579">
        <v>0.61862039999999996</v>
      </c>
      <c r="Q9579">
        <v>-1.8335279999999999E-2</v>
      </c>
      <c r="R9579">
        <v>0.78547609999999901</v>
      </c>
      <c r="S9579">
        <v>1.2027890000000001</v>
      </c>
      <c r="T9579">
        <v>-0.3333198</v>
      </c>
      <c r="U9579">
        <v>2.865173</v>
      </c>
      <c r="V9579">
        <v>-3.3294829999999997E-2</v>
      </c>
      <c r="W9579">
        <v>-8.3138550000000002E-3</v>
      </c>
      <c r="X9579">
        <v>0.99941100000000005</v>
      </c>
      <c r="Y9579">
        <v>-0.29954249999999999</v>
      </c>
      <c r="Z9579">
        <v>-7.1080089999999999E-2</v>
      </c>
      <c r="AA9579">
        <v>0.95143149999999999</v>
      </c>
      <c r="AB9579">
        <v>14</v>
      </c>
      <c r="AC9579">
        <v>3.9602999999999802</v>
      </c>
      <c r="AD9579">
        <v>-1.1103120473469901</v>
      </c>
      <c r="AE9579">
        <v>9.4870399999999897</v>
      </c>
      <c r="AF9579">
        <v>-3.0514092475402901</v>
      </c>
      <c r="AG9579">
        <v>-1.1103120473469901</v>
      </c>
      <c r="AH9579">
        <v>9.6929715923772406</v>
      </c>
      <c r="AI9579">
        <v>96.235512952020699</v>
      </c>
      <c r="AJ9579">
        <v>107.474334280235</v>
      </c>
      <c r="AK9579">
        <v>10.222406249464401</v>
      </c>
      <c r="AL9579">
        <v>90.476354287655994</v>
      </c>
      <c r="AM9579">
        <v>91.908071824447902</v>
      </c>
      <c r="AN9579">
        <v>1.00000000640534</v>
      </c>
    </row>
    <row r="9580" spans="1:40" x14ac:dyDescent="0.25">
      <c r="A9580" t="str">
        <f>"20190312154140111"</f>
        <v>20190312154140111</v>
      </c>
      <c r="B9580" t="str">
        <f>"1552376500105767"</f>
        <v>1552376500105767</v>
      </c>
      <c r="C9580" t="s">
        <v>40</v>
      </c>
      <c r="D9580">
        <v>4.6851940000000001</v>
      </c>
      <c r="E9580">
        <v>0.39715630000000002</v>
      </c>
      <c r="F9580" t="s">
        <v>69</v>
      </c>
      <c r="G9580">
        <v>-195.4162</v>
      </c>
      <c r="H9580" s="1">
        <v>-5.0750249999999997E-6</v>
      </c>
      <c r="I9580">
        <v>-44.802709999999998</v>
      </c>
      <c r="J9580">
        <v>-199.3768</v>
      </c>
      <c r="K9580">
        <v>1.110263</v>
      </c>
      <c r="L9580">
        <v>-54.307220000000001</v>
      </c>
      <c r="M9580">
        <v>0.64343490000000003</v>
      </c>
      <c r="N9580">
        <v>0</v>
      </c>
      <c r="O9580">
        <v>0.76543749999999999</v>
      </c>
      <c r="P9580">
        <v>0.61782329999999996</v>
      </c>
      <c r="Q9580">
        <v>-1.8133719999999999E-2</v>
      </c>
      <c r="R9580">
        <v>0.78610780000000002</v>
      </c>
      <c r="S9580">
        <v>1.2012179999999999</v>
      </c>
      <c r="T9580">
        <v>-0.33262049999999999</v>
      </c>
      <c r="U9580">
        <v>2.8655400000000002</v>
      </c>
      <c r="V9580">
        <v>-3.2893560000000002E-2</v>
      </c>
      <c r="W9580">
        <v>-8.3355630000000007E-3</v>
      </c>
      <c r="X9580">
        <v>0.99942410000000004</v>
      </c>
      <c r="Y9580">
        <v>-0.29867460000000001</v>
      </c>
      <c r="Z9580">
        <v>-7.1085229999999999E-2</v>
      </c>
      <c r="AA9580">
        <v>0.95170399999999999</v>
      </c>
      <c r="AB9580">
        <v>14</v>
      </c>
      <c r="AC9580">
        <v>3.9605999999999999</v>
      </c>
      <c r="AD9580">
        <v>-1.110268075025</v>
      </c>
      <c r="AE9580">
        <v>9.5045099999999891</v>
      </c>
      <c r="AF9580">
        <v>-3.0486452760472398</v>
      </c>
      <c r="AG9580">
        <v>-1.110268075025</v>
      </c>
      <c r="AH9580">
        <v>9.7110645200640597</v>
      </c>
      <c r="AI9580">
        <v>96.225281280309204</v>
      </c>
      <c r="AJ9580">
        <v>107.428910559698</v>
      </c>
      <c r="AK9580">
        <v>10.2387356314357</v>
      </c>
      <c r="AL9580">
        <v>90.477598110693407</v>
      </c>
      <c r="AM9580">
        <v>91.885067703807906</v>
      </c>
      <c r="AN9580">
        <v>0.99999999978040499</v>
      </c>
    </row>
    <row r="9581" spans="1:40" x14ac:dyDescent="0.25">
      <c r="A9581" t="str">
        <f>"20190312154140123"</f>
        <v>20190312154140123</v>
      </c>
      <c r="B9581" t="str">
        <f>"1552376500115527"</f>
        <v>1552376500115527</v>
      </c>
      <c r="C9581" t="s">
        <v>40</v>
      </c>
      <c r="D9581">
        <v>4.7049310000000002</v>
      </c>
      <c r="E9581">
        <v>0.42283320000000002</v>
      </c>
      <c r="F9581" t="s">
        <v>69</v>
      </c>
      <c r="G9581">
        <v>-195.3613</v>
      </c>
      <c r="H9581" s="1">
        <v>-5.1148029999999996E-6</v>
      </c>
      <c r="I9581">
        <v>-44.696330000000003</v>
      </c>
      <c r="J9581">
        <v>-199.33070000000001</v>
      </c>
      <c r="K9581">
        <v>1.11022</v>
      </c>
      <c r="L9581">
        <v>-54.250149999999998</v>
      </c>
      <c r="M9581">
        <v>0.6424493</v>
      </c>
      <c r="N9581">
        <v>0</v>
      </c>
      <c r="O9581">
        <v>0.76626749999999999</v>
      </c>
      <c r="P9581">
        <v>0.61711000000000005</v>
      </c>
      <c r="Q9581">
        <v>-1.8379690000000001E-2</v>
      </c>
      <c r="R9581">
        <v>0.78666230000000004</v>
      </c>
      <c r="S9581">
        <v>1.1979059999999999</v>
      </c>
      <c r="T9581">
        <v>-0.3312195</v>
      </c>
      <c r="U9581">
        <v>2.8671570000000002</v>
      </c>
      <c r="V9581">
        <v>-3.2508370000000002E-2</v>
      </c>
      <c r="W9581">
        <v>-8.7893910000000006E-3</v>
      </c>
      <c r="X9581">
        <v>0.99943280000000001</v>
      </c>
      <c r="Y9581">
        <v>-0.29856389999999999</v>
      </c>
      <c r="Z9581">
        <v>-7.0891449999999995E-2</v>
      </c>
      <c r="AA9581">
        <v>0.95175310000000002</v>
      </c>
      <c r="AB9581">
        <v>14</v>
      </c>
      <c r="AC9581">
        <v>3.9693999999999998</v>
      </c>
      <c r="AD9581">
        <v>-1.110225114803</v>
      </c>
      <c r="AE9581">
        <v>9.55382</v>
      </c>
      <c r="AF9581">
        <v>-3.0611142935509301</v>
      </c>
      <c r="AG9581">
        <v>-1.110225114803</v>
      </c>
      <c r="AH9581">
        <v>9.7589924018901808</v>
      </c>
      <c r="AI9581">
        <v>96.195172173150397</v>
      </c>
      <c r="AJ9581">
        <v>107.415135858447</v>
      </c>
      <c r="AK9581">
        <v>10.2879032472059</v>
      </c>
      <c r="AL9581">
        <v>90.503601500834407</v>
      </c>
      <c r="AM9581">
        <v>91.862992635428697</v>
      </c>
      <c r="AN9581">
        <v>0.99999998461502304</v>
      </c>
    </row>
    <row r="9582" spans="1:40" x14ac:dyDescent="0.25">
      <c r="A9582" t="str">
        <f>"20190312154140135"</f>
        <v>20190312154140135</v>
      </c>
      <c r="B9582" t="str">
        <f>"1552376500125287"</f>
        <v>1552376500125287</v>
      </c>
      <c r="C9582" t="s">
        <v>40</v>
      </c>
      <c r="D9582">
        <v>4.6607789999999998</v>
      </c>
      <c r="E9582">
        <v>0.43174990000000002</v>
      </c>
      <c r="F9582" t="s">
        <v>42</v>
      </c>
      <c r="G9582">
        <v>-191.87799999999999</v>
      </c>
      <c r="H9582" s="1">
        <v>-9.9991550000000006E-7</v>
      </c>
      <c r="I9582">
        <v>-39.244840000000003</v>
      </c>
      <c r="J9582">
        <v>-199.28149999999999</v>
      </c>
      <c r="K9582">
        <v>1.110177</v>
      </c>
      <c r="L9582">
        <v>-54.189120000000003</v>
      </c>
      <c r="M9582">
        <v>0.64142290000000002</v>
      </c>
      <c r="N9582">
        <v>0</v>
      </c>
      <c r="O9582">
        <v>0.76712969999999903</v>
      </c>
      <c r="P9582">
        <v>0.61645989999999995</v>
      </c>
      <c r="Q9582">
        <v>-1.8328779999999999E-2</v>
      </c>
      <c r="R9582">
        <v>0.78717289999999995</v>
      </c>
      <c r="S9582">
        <v>1.3613280000000001</v>
      </c>
      <c r="T9582">
        <v>-0.20279559999999999</v>
      </c>
      <c r="U9582">
        <v>2.7409059999999998</v>
      </c>
      <c r="V9582">
        <v>-3.1995049999999997E-2</v>
      </c>
      <c r="W9582">
        <v>-8.9593599999999995E-3</v>
      </c>
      <c r="X9582">
        <v>0.99944789999999994</v>
      </c>
      <c r="Y9582">
        <v>-0.2338211</v>
      </c>
      <c r="Z9582">
        <v>-4.5715359999999997E-2</v>
      </c>
      <c r="AA9582">
        <v>0.97120430000000002</v>
      </c>
      <c r="AB9582">
        <v>14</v>
      </c>
      <c r="AC9582">
        <v>7.4035000000000002</v>
      </c>
      <c r="AD9582">
        <v>-1.1101779999154999</v>
      </c>
      <c r="AE9582">
        <v>14.9442799999999</v>
      </c>
      <c r="AF9582">
        <v>-3.88909871997055</v>
      </c>
      <c r="AG9582">
        <v>-1.1101779999154999</v>
      </c>
      <c r="AH9582">
        <v>16.142166074704299</v>
      </c>
      <c r="AI9582">
        <v>93.825209148983504</v>
      </c>
      <c r="AJ9582">
        <v>103.545993762504</v>
      </c>
      <c r="AK9582">
        <v>16.641127054034101</v>
      </c>
      <c r="AL9582">
        <v>90.513340368013502</v>
      </c>
      <c r="AM9582">
        <v>91.833567804260596</v>
      </c>
      <c r="AN9582">
        <v>1.00000002908526</v>
      </c>
    </row>
    <row r="9583" spans="1:40" x14ac:dyDescent="0.25">
      <c r="A9583" t="str">
        <f>"20190312154140148"</f>
        <v>20190312154140148</v>
      </c>
      <c r="B9583" t="str">
        <f>"1552376500135555"</f>
        <v>1552376500135555</v>
      </c>
      <c r="C9583" t="s">
        <v>40</v>
      </c>
      <c r="D9583">
        <v>4.6276929999999998</v>
      </c>
      <c r="E9583">
        <v>0.43672689999999997</v>
      </c>
      <c r="F9583" t="s">
        <v>42</v>
      </c>
      <c r="G9583">
        <v>-191.5205</v>
      </c>
      <c r="H9583" s="1">
        <v>-8.4213960000000003E-7</v>
      </c>
      <c r="I9583">
        <v>-39.390900000000002</v>
      </c>
      <c r="J9583">
        <v>-199.2319</v>
      </c>
      <c r="K9583">
        <v>1.110139</v>
      </c>
      <c r="L9583">
        <v>-54.12753</v>
      </c>
      <c r="M9583">
        <v>0.64043430000000001</v>
      </c>
      <c r="N9583">
        <v>0</v>
      </c>
      <c r="O9583">
        <v>0.76795789999999997</v>
      </c>
      <c r="P9583">
        <v>0.61556409999999995</v>
      </c>
      <c r="Q9583">
        <v>-1.8667670000000001E-2</v>
      </c>
      <c r="R9583">
        <v>0.787865699999999</v>
      </c>
      <c r="S9583">
        <v>1.4150700000000001</v>
      </c>
      <c r="T9583">
        <v>-0.2024205</v>
      </c>
      <c r="U9583">
        <v>2.6981809999999999</v>
      </c>
      <c r="V9583">
        <v>-3.1837619999999997E-2</v>
      </c>
      <c r="W9583">
        <v>-9.519685E-3</v>
      </c>
      <c r="X9583">
        <v>0.99944770000000005</v>
      </c>
      <c r="Y9583">
        <v>-0.2111257</v>
      </c>
      <c r="Z9583">
        <v>-4.6397710000000002E-2</v>
      </c>
      <c r="AA9583">
        <v>0.97635709999999998</v>
      </c>
      <c r="AB9583">
        <v>14</v>
      </c>
      <c r="AC9583">
        <v>7.7113999999999896</v>
      </c>
      <c r="AD9583">
        <v>-1.1101398421396</v>
      </c>
      <c r="AE9583">
        <v>14.73663</v>
      </c>
      <c r="AF9583">
        <v>-3.5003672315166998</v>
      </c>
      <c r="AG9583">
        <v>-1.1101398421396</v>
      </c>
      <c r="AH9583">
        <v>16.184342308982</v>
      </c>
      <c r="AI9583">
        <v>93.835558833729493</v>
      </c>
      <c r="AJ9583">
        <v>102.204019788835</v>
      </c>
      <c r="AK9583">
        <v>16.595719845758001</v>
      </c>
      <c r="AL9583">
        <v>90.545446021417405</v>
      </c>
      <c r="AM9583">
        <v>91.8245523060219</v>
      </c>
      <c r="AN9583">
        <v>0.99999998174252602</v>
      </c>
    </row>
    <row r="9584" spans="1:40" x14ac:dyDescent="0.25">
      <c r="A9584" t="str">
        <f>"20190312154140166"</f>
        <v>20190312154140166</v>
      </c>
      <c r="B9584" t="str">
        <f>"1552376500155075"</f>
        <v>1552376500155075</v>
      </c>
      <c r="C9584" t="s">
        <v>40</v>
      </c>
      <c r="D9584">
        <v>4.6537660000000001</v>
      </c>
      <c r="E9584">
        <v>0.44112129999999999</v>
      </c>
      <c r="F9584" t="s">
        <v>42</v>
      </c>
      <c r="G9584">
        <v>-191.4787</v>
      </c>
      <c r="H9584" s="1">
        <v>-6.7454290000000004E-7</v>
      </c>
      <c r="I9584">
        <v>-39.755629999999996</v>
      </c>
      <c r="J9584">
        <v>-199.15780000000001</v>
      </c>
      <c r="K9584">
        <v>1.110082</v>
      </c>
      <c r="L9584">
        <v>-54.035310000000003</v>
      </c>
      <c r="M9584">
        <v>0.63900100000000004</v>
      </c>
      <c r="N9584">
        <v>0</v>
      </c>
      <c r="O9584">
        <v>0.76915480000000003</v>
      </c>
      <c r="P9584">
        <v>0.61456029999999995</v>
      </c>
      <c r="Q9584">
        <v>-1.8810940000000002E-2</v>
      </c>
      <c r="R9584">
        <v>0.7886455</v>
      </c>
      <c r="S9584">
        <v>1.443222</v>
      </c>
      <c r="T9584">
        <v>-0.20664740000000001</v>
      </c>
      <c r="U9584">
        <v>2.675262</v>
      </c>
      <c r="V9584">
        <v>-3.124128E-2</v>
      </c>
      <c r="W9584">
        <v>-9.9925210000000007E-3</v>
      </c>
      <c r="X9584">
        <v>0.99946190000000001</v>
      </c>
      <c r="Y9584">
        <v>-0.19789699999999999</v>
      </c>
      <c r="Z9584">
        <v>-4.7859470000000001E-2</v>
      </c>
      <c r="AA9584">
        <v>0.97905370000000003</v>
      </c>
      <c r="AB9584">
        <v>14</v>
      </c>
      <c r="AC9584">
        <v>7.6791</v>
      </c>
      <c r="AD9584">
        <v>-1.11008267454289</v>
      </c>
      <c r="AE9584">
        <v>14.279680000000001</v>
      </c>
      <c r="AF9584">
        <v>-3.2034231092194698</v>
      </c>
      <c r="AG9584">
        <v>-1.11008267454289</v>
      </c>
      <c r="AH9584">
        <v>15.816718146504501</v>
      </c>
      <c r="AI9584">
        <v>93.935033689903193</v>
      </c>
      <c r="AJ9584">
        <v>101.44946728014099</v>
      </c>
      <c r="AK9584">
        <v>16.175993820688898</v>
      </c>
      <c r="AL9584">
        <v>90.572538820448003</v>
      </c>
      <c r="AM9584">
        <v>91.790374250227799</v>
      </c>
      <c r="AN9584">
        <v>0.99999997880179103</v>
      </c>
    </row>
    <row r="9585" spans="1:40" x14ac:dyDescent="0.25">
      <c r="A9585" t="str">
        <f>"20190312154140180"</f>
        <v>20190312154140180</v>
      </c>
      <c r="B9585" t="str">
        <f>"1552376500165811"</f>
        <v>1552376500165811</v>
      </c>
      <c r="C9585" t="s">
        <v>40</v>
      </c>
      <c r="D9585">
        <v>4.6445790000000002</v>
      </c>
      <c r="E9585">
        <v>0.44281229999999999</v>
      </c>
      <c r="F9585" t="s">
        <v>42</v>
      </c>
      <c r="G9585">
        <v>-191.35409999999999</v>
      </c>
      <c r="H9585" s="1">
        <v>-5.7560689999999998E-7</v>
      </c>
      <c r="I9585">
        <v>-39.908949999999997</v>
      </c>
      <c r="J9585">
        <v>-199.1028</v>
      </c>
      <c r="K9585">
        <v>1.1100429999999999</v>
      </c>
      <c r="L9585">
        <v>-53.966830000000002</v>
      </c>
      <c r="M9585">
        <v>0.63797320000000002</v>
      </c>
      <c r="N9585">
        <v>0</v>
      </c>
      <c r="O9585">
        <v>0.77001039999999998</v>
      </c>
      <c r="P9585">
        <v>0.61370990000000003</v>
      </c>
      <c r="Q9585">
        <v>-1.9062030000000001E-2</v>
      </c>
      <c r="R9585">
        <v>0.78930159999999905</v>
      </c>
      <c r="S9585">
        <v>1.4671019999999999</v>
      </c>
      <c r="T9585">
        <v>-0.2086961</v>
      </c>
      <c r="U9585">
        <v>2.6557620000000002</v>
      </c>
      <c r="V9585">
        <v>-3.097805E-2</v>
      </c>
      <c r="W9585">
        <v>-1.0487420000000001E-2</v>
      </c>
      <c r="X9585">
        <v>0.99946500000000005</v>
      </c>
      <c r="Y9585">
        <v>-0.18683130000000001</v>
      </c>
      <c r="Z9585">
        <v>-4.873715E-2</v>
      </c>
      <c r="AA9585">
        <v>0.98118229999999995</v>
      </c>
      <c r="AB9585">
        <v>14</v>
      </c>
      <c r="AC9585">
        <v>7.7487000000000101</v>
      </c>
      <c r="AD9585">
        <v>-1.11004357560689</v>
      </c>
      <c r="AE9585">
        <v>14.057880000000001</v>
      </c>
      <c r="AF9585">
        <v>-2.9877943979457502</v>
      </c>
      <c r="AG9585">
        <v>-1.11004357560689</v>
      </c>
      <c r="AH9585">
        <v>15.693712069161901</v>
      </c>
      <c r="AI9585">
        <v>93.974735709763905</v>
      </c>
      <c r="AJ9585">
        <v>100.77906924198599</v>
      </c>
      <c r="AK9585">
        <v>16.014109735289701</v>
      </c>
      <c r="AL9585">
        <v>90.600895945850198</v>
      </c>
      <c r="AM9585">
        <v>91.775293265384306</v>
      </c>
      <c r="AN9585">
        <v>0.99999995589252799</v>
      </c>
    </row>
    <row r="9586" spans="1:40" x14ac:dyDescent="0.25">
      <c r="A9586" t="str">
        <f>"20190312154140195"</f>
        <v>20190312154140195</v>
      </c>
      <c r="B9586" t="str">
        <f>"1552376500185331"</f>
        <v>1552376500185331</v>
      </c>
      <c r="C9586" t="s">
        <v>40</v>
      </c>
      <c r="D9586">
        <v>4.6118839999999999</v>
      </c>
      <c r="E9586">
        <v>0.44498470000000001</v>
      </c>
      <c r="F9586" t="s">
        <v>42</v>
      </c>
      <c r="G9586">
        <v>-191.3048</v>
      </c>
      <c r="H9586" s="1">
        <v>-5.4031119999999895E-7</v>
      </c>
      <c r="I9586">
        <v>-39.960659999999997</v>
      </c>
      <c r="J9586">
        <v>-199.04169999999999</v>
      </c>
      <c r="K9586">
        <v>1.110006</v>
      </c>
      <c r="L9586">
        <v>-53.890590000000003</v>
      </c>
      <c r="M9586">
        <v>0.63686999999999905</v>
      </c>
      <c r="N9586">
        <v>0</v>
      </c>
      <c r="O9586">
        <v>0.770926</v>
      </c>
      <c r="P9586">
        <v>0.61284359999999904</v>
      </c>
      <c r="Q9586">
        <v>-1.9008440000000001E-2</v>
      </c>
      <c r="R9586">
        <v>0.78997550000000005</v>
      </c>
      <c r="S9586">
        <v>1.4748380000000001</v>
      </c>
      <c r="T9586">
        <v>-0.2099424</v>
      </c>
      <c r="U9586">
        <v>2.648987</v>
      </c>
      <c r="V9586">
        <v>-3.064151E-2</v>
      </c>
      <c r="W9586">
        <v>-1.070197E-2</v>
      </c>
      <c r="X9586">
        <v>0.99947319999999995</v>
      </c>
      <c r="Y9586">
        <v>-0.18218419999999999</v>
      </c>
      <c r="Z9586">
        <v>-4.9237339999999997E-2</v>
      </c>
      <c r="AA9586">
        <v>0.98203090000000004</v>
      </c>
      <c r="AB9586">
        <v>15</v>
      </c>
      <c r="AC9586">
        <v>7.7368999999999897</v>
      </c>
      <c r="AD9586">
        <v>-1.1100065403112001</v>
      </c>
      <c r="AE9586">
        <v>13.929930000000001</v>
      </c>
      <c r="AF9586">
        <v>-2.89303940180065</v>
      </c>
      <c r="AG9586">
        <v>-1.1100065403112001</v>
      </c>
      <c r="AH9586">
        <v>15.591231102921901</v>
      </c>
      <c r="AI9586">
        <v>94.004139438260196</v>
      </c>
      <c r="AJ9586">
        <v>100.51199218404</v>
      </c>
      <c r="AK9586">
        <v>15.8961718286078</v>
      </c>
      <c r="AL9586">
        <v>90.613189384557103</v>
      </c>
      <c r="AM9586">
        <v>91.756004540043506</v>
      </c>
      <c r="AN9586">
        <v>1.0000000559075899</v>
      </c>
    </row>
    <row r="9587" spans="1:40" x14ac:dyDescent="0.25">
      <c r="A9587" t="str">
        <f>"20190312154140211"</f>
        <v>20190312154140211</v>
      </c>
      <c r="B9587" t="str">
        <f>"1552376500205827"</f>
        <v>1552376500205827</v>
      </c>
      <c r="C9587" t="s">
        <v>40</v>
      </c>
      <c r="D9587">
        <v>4.62188</v>
      </c>
      <c r="E9587">
        <v>0.44649610000000001</v>
      </c>
      <c r="F9587" t="s">
        <v>42</v>
      </c>
      <c r="G9587">
        <v>-191.11429999999999</v>
      </c>
      <c r="H9587" s="1">
        <v>-5.5744819999999999E-7</v>
      </c>
      <c r="I9587">
        <v>-39.802599999999998</v>
      </c>
      <c r="J9587">
        <v>-198.976</v>
      </c>
      <c r="K9587">
        <v>1.1099749999999999</v>
      </c>
      <c r="L9587">
        <v>-53.808439999999997</v>
      </c>
      <c r="M9587">
        <v>0.6357216</v>
      </c>
      <c r="N9587">
        <v>0</v>
      </c>
      <c r="O9587">
        <v>0.77187620000000001</v>
      </c>
      <c r="P9587">
        <v>0.61222500000000002</v>
      </c>
      <c r="Q9587">
        <v>-1.9223959999999998E-2</v>
      </c>
      <c r="R9587">
        <v>0.79044989999999904</v>
      </c>
      <c r="S9587">
        <v>1.4855959999999999</v>
      </c>
      <c r="T9587">
        <v>-0.20801649999999999</v>
      </c>
      <c r="U9587">
        <v>2.6401059999999998</v>
      </c>
      <c r="V9587">
        <v>-2.9930749999999999E-2</v>
      </c>
      <c r="W9587">
        <v>-1.1199020000000001E-2</v>
      </c>
      <c r="X9587">
        <v>0.99948919999999997</v>
      </c>
      <c r="Y9587">
        <v>-0.1762619</v>
      </c>
      <c r="Z9587">
        <v>-4.9031859999999997E-2</v>
      </c>
      <c r="AA9587">
        <v>0.98312140000000003</v>
      </c>
      <c r="AB9587">
        <v>15</v>
      </c>
      <c r="AC9587">
        <v>7.8617000000000097</v>
      </c>
      <c r="AD9587">
        <v>-1.1099755574482</v>
      </c>
      <c r="AE9587">
        <v>14.005839999999999</v>
      </c>
      <c r="AF9587">
        <v>-2.8221698250648801</v>
      </c>
      <c r="AG9587">
        <v>-1.1099755574482</v>
      </c>
      <c r="AH9587">
        <v>15.733997830914699</v>
      </c>
      <c r="AI9587">
        <v>93.972136973399103</v>
      </c>
      <c r="AJ9587">
        <v>100.168874534762</v>
      </c>
      <c r="AK9587">
        <v>16.023588112618999</v>
      </c>
      <c r="AL9587">
        <v>90.641670016849204</v>
      </c>
      <c r="AM9587">
        <v>91.715269465094394</v>
      </c>
      <c r="AN9587">
        <v>0.99999996438058003</v>
      </c>
    </row>
    <row r="9588" spans="1:40" x14ac:dyDescent="0.25">
      <c r="A9588" t="str">
        <f>"20190312154140226"</f>
        <v>20190312154140226</v>
      </c>
      <c r="B9588" t="str">
        <f>"1552376500215587"</f>
        <v>1552376500215587</v>
      </c>
      <c r="C9588" t="s">
        <v>40</v>
      </c>
      <c r="D9588">
        <v>4.7733239999999997</v>
      </c>
      <c r="E9588">
        <v>0.44697419999999999</v>
      </c>
      <c r="F9588" t="s">
        <v>42</v>
      </c>
      <c r="G9588">
        <v>-190.97280000000001</v>
      </c>
      <c r="H9588" s="1">
        <v>-5.6860549999999999E-7</v>
      </c>
      <c r="I9588">
        <v>-39.68882</v>
      </c>
      <c r="J9588">
        <v>-198.9161</v>
      </c>
      <c r="K9588">
        <v>1.109952</v>
      </c>
      <c r="L9588">
        <v>-53.733400000000003</v>
      </c>
      <c r="M9588">
        <v>0.63469980000000004</v>
      </c>
      <c r="N9588">
        <v>0</v>
      </c>
      <c r="O9588">
        <v>0.7727193</v>
      </c>
      <c r="P9588">
        <v>0.61134829999999996</v>
      </c>
      <c r="Q9588">
        <v>-1.9178480000000001E-2</v>
      </c>
      <c r="R9588">
        <v>0.79112930000000004</v>
      </c>
      <c r="S9588">
        <v>1.49295</v>
      </c>
      <c r="T9588">
        <v>-0.20705999999999999</v>
      </c>
      <c r="U9588">
        <v>2.6339419999999998</v>
      </c>
      <c r="V9588">
        <v>-2.9715249999999999E-2</v>
      </c>
      <c r="W9588">
        <v>-1.1407469999999999E-2</v>
      </c>
      <c r="X9588">
        <v>0.99949330000000003</v>
      </c>
      <c r="Y9588">
        <v>-0.17189189999999999</v>
      </c>
      <c r="Z9588">
        <v>-4.8995879999999999E-2</v>
      </c>
      <c r="AA9588">
        <v>0.98389660000000001</v>
      </c>
      <c r="AB9588">
        <v>15</v>
      </c>
      <c r="AC9588">
        <v>7.94329999999999</v>
      </c>
      <c r="AD9588">
        <v>-1.1099525686055001</v>
      </c>
      <c r="AE9588">
        <v>14.04458</v>
      </c>
      <c r="AF9588">
        <v>-2.7631599853448199</v>
      </c>
      <c r="AG9588">
        <v>-1.1099525686055001</v>
      </c>
      <c r="AH9588">
        <v>15.8197528413302</v>
      </c>
      <c r="AI9588">
        <v>93.953771549994798</v>
      </c>
      <c r="AJ9588">
        <v>99.907630748786602</v>
      </c>
      <c r="AK9588">
        <v>16.097565895809801</v>
      </c>
      <c r="AL9588">
        <v>90.653614067775806</v>
      </c>
      <c r="AM9588">
        <v>91.702919921874198</v>
      </c>
      <c r="AN9588">
        <v>0.99999999159962605</v>
      </c>
    </row>
    <row r="9589" spans="1:40" x14ac:dyDescent="0.25">
      <c r="A9589" t="str">
        <f>"20190312154140241"</f>
        <v>20190312154140241</v>
      </c>
      <c r="B9589" t="str">
        <f>"1552376500235614"</f>
        <v>1552376500235614</v>
      </c>
      <c r="C9589" t="s">
        <v>40</v>
      </c>
      <c r="D9589">
        <v>4.639996</v>
      </c>
      <c r="E9589">
        <v>0.44796180000000002</v>
      </c>
      <c r="F9589" t="s">
        <v>42</v>
      </c>
      <c r="G9589">
        <v>-190.76179999999999</v>
      </c>
      <c r="H9589" s="1">
        <v>-6.5825129999999996E-7</v>
      </c>
      <c r="I9589">
        <v>-39.348950000000002</v>
      </c>
      <c r="J9589">
        <v>-198.85380000000001</v>
      </c>
      <c r="K9589">
        <v>1.109931</v>
      </c>
      <c r="L9589">
        <v>-53.655149999999999</v>
      </c>
      <c r="M9589">
        <v>0.63365740000000004</v>
      </c>
      <c r="N9589">
        <v>0</v>
      </c>
      <c r="O9589">
        <v>0.77357699999999996</v>
      </c>
      <c r="P9589">
        <v>0.6106104</v>
      </c>
      <c r="Q9589">
        <v>-1.8916430000000001E-2</v>
      </c>
      <c r="R9589">
        <v>0.79170529999999995</v>
      </c>
      <c r="S9589">
        <v>1.4928889999999999</v>
      </c>
      <c r="T9589">
        <v>-0.20320859999999999</v>
      </c>
      <c r="U9589">
        <v>2.6334840000000002</v>
      </c>
      <c r="V9589">
        <v>-2.9301569999999999E-2</v>
      </c>
      <c r="W9589">
        <v>-1.1406960000000001E-2</v>
      </c>
      <c r="X9589">
        <v>0.99950550000000005</v>
      </c>
      <c r="Y9589">
        <v>-0.17048050000000001</v>
      </c>
      <c r="Z9589">
        <v>-4.8188679999999998E-2</v>
      </c>
      <c r="AA9589">
        <v>0.984182</v>
      </c>
      <c r="AB9589">
        <v>15</v>
      </c>
      <c r="AC9589">
        <v>8.0920000000000094</v>
      </c>
      <c r="AD9589">
        <v>-1.1099316582512999</v>
      </c>
      <c r="AE9589">
        <v>14.306199999999899</v>
      </c>
      <c r="AF9589">
        <v>-2.7927883822793498</v>
      </c>
      <c r="AG9589">
        <v>-1.1099316582512999</v>
      </c>
      <c r="AH9589">
        <v>16.1214456885786</v>
      </c>
      <c r="AI9589">
        <v>93.880871457428597</v>
      </c>
      <c r="AJ9589">
        <v>99.828058717124193</v>
      </c>
      <c r="AK9589">
        <v>16.399165415470801</v>
      </c>
      <c r="AL9589">
        <v>90.653584857421805</v>
      </c>
      <c r="AM9589">
        <v>91.679205955161393</v>
      </c>
      <c r="AN9589">
        <v>0.99999997263557805</v>
      </c>
    </row>
    <row r="9590" spans="1:40" x14ac:dyDescent="0.25">
      <c r="A9590" t="str">
        <f>"20190312154140256"</f>
        <v>20190312154140256</v>
      </c>
      <c r="B9590" t="str">
        <f>"1552376500245374"</f>
        <v>1552376500245374</v>
      </c>
      <c r="C9590" t="s">
        <v>40</v>
      </c>
      <c r="D9590">
        <v>4.6217100000000002</v>
      </c>
      <c r="E9590">
        <v>0.4485806</v>
      </c>
      <c r="F9590" t="s">
        <v>42</v>
      </c>
      <c r="G9590">
        <v>-190.52590000000001</v>
      </c>
      <c r="H9590" s="1">
        <v>-7.3572190000000004E-7</v>
      </c>
      <c r="I9590">
        <v>-39.022080000000003</v>
      </c>
      <c r="J9590">
        <v>-198.78970000000001</v>
      </c>
      <c r="K9590">
        <v>1.1099129999999999</v>
      </c>
      <c r="L9590">
        <v>-53.5745199999999</v>
      </c>
      <c r="M9590">
        <v>0.63260719999999904</v>
      </c>
      <c r="N9590">
        <v>0</v>
      </c>
      <c r="O9590">
        <v>0.77443859999999998</v>
      </c>
      <c r="P9590">
        <v>0.6102978</v>
      </c>
      <c r="Q9590">
        <v>-1.8981939999999999E-2</v>
      </c>
      <c r="R9590">
        <v>0.79194469999999995</v>
      </c>
      <c r="S9590">
        <v>1.496826</v>
      </c>
      <c r="T9590">
        <v>-0.19949520000000001</v>
      </c>
      <c r="U9590">
        <v>2.630096</v>
      </c>
      <c r="V9590">
        <v>-2.833633E-2</v>
      </c>
      <c r="W9590">
        <v>-1.17384E-2</v>
      </c>
      <c r="X9590">
        <v>0.99952949999999996</v>
      </c>
      <c r="Y9590">
        <v>-0.16746150000000001</v>
      </c>
      <c r="Z9590">
        <v>-4.7453530000000001E-2</v>
      </c>
      <c r="AA9590">
        <v>0.9847359</v>
      </c>
      <c r="AB9590">
        <v>15</v>
      </c>
      <c r="AC9590">
        <v>8.2637999999999998</v>
      </c>
      <c r="AD9590">
        <v>-1.10991373572189</v>
      </c>
      <c r="AE9590">
        <v>14.552439999999899</v>
      </c>
      <c r="AF9590">
        <v>-2.7939572705735198</v>
      </c>
      <c r="AG9590">
        <v>-1.10991373572189</v>
      </c>
      <c r="AH9590">
        <v>16.425895641244502</v>
      </c>
      <c r="AI9590">
        <v>93.811081758878103</v>
      </c>
      <c r="AJ9590">
        <v>99.653316974178296</v>
      </c>
      <c r="AK9590">
        <v>16.6987470592134</v>
      </c>
      <c r="AL9590">
        <v>90.672576238343794</v>
      </c>
      <c r="AM9590">
        <v>91.623881410099301</v>
      </c>
      <c r="AN9590">
        <v>0.99999997950133901</v>
      </c>
    </row>
    <row r="9591" spans="1:40" x14ac:dyDescent="0.25">
      <c r="A9591" t="str">
        <f>"20190312154140268"</f>
        <v>20190312154140268</v>
      </c>
      <c r="B9591" t="str">
        <f>"1552376500265871"</f>
        <v>1552376500265871</v>
      </c>
      <c r="C9591" t="s">
        <v>40</v>
      </c>
      <c r="D9591">
        <v>4.5979729999999996</v>
      </c>
      <c r="E9591">
        <v>0.4494764</v>
      </c>
      <c r="F9591" t="s">
        <v>42</v>
      </c>
      <c r="G9591">
        <v>-190.4752</v>
      </c>
      <c r="H9591" s="1">
        <v>-7.2997479999999996E-7</v>
      </c>
      <c r="I9591">
        <v>-39.004049999999999</v>
      </c>
      <c r="J9591">
        <v>-198.73750000000001</v>
      </c>
      <c r="K9591">
        <v>1.109896</v>
      </c>
      <c r="L9591">
        <v>-53.50873</v>
      </c>
      <c r="M9591">
        <v>0.63176730000000003</v>
      </c>
      <c r="N9591">
        <v>0</v>
      </c>
      <c r="O9591">
        <v>0.77512590000000003</v>
      </c>
      <c r="P9591">
        <v>0.60964759999999996</v>
      </c>
      <c r="Q9591">
        <v>-1.9035570000000002E-2</v>
      </c>
      <c r="R9591">
        <v>0.79244389999999998</v>
      </c>
      <c r="S9591">
        <v>1.499512</v>
      </c>
      <c r="T9591">
        <v>-0.2001723</v>
      </c>
      <c r="U9591">
        <v>2.627777</v>
      </c>
      <c r="V9591">
        <v>-2.8070290000000001E-2</v>
      </c>
      <c r="W9591">
        <v>-1.200652E-2</v>
      </c>
      <c r="X9591">
        <v>0.99953380000000003</v>
      </c>
      <c r="Y9591">
        <v>-0.16526569999999999</v>
      </c>
      <c r="Z9591">
        <v>-4.7721510000000002E-2</v>
      </c>
      <c r="AA9591">
        <v>0.98509380000000002</v>
      </c>
      <c r="AB9591">
        <v>15</v>
      </c>
      <c r="AC9591">
        <v>8.2623000000000104</v>
      </c>
      <c r="AD9591">
        <v>-1.1098967299747999</v>
      </c>
      <c r="AE9591">
        <v>14.50468</v>
      </c>
      <c r="AF9591">
        <v>-2.7471838301084599</v>
      </c>
      <c r="AG9591">
        <v>-1.1098967299747999</v>
      </c>
      <c r="AH9591">
        <v>16.390754241401101</v>
      </c>
      <c r="AI9591">
        <v>93.820726387513503</v>
      </c>
      <c r="AJ9591">
        <v>99.514662717136304</v>
      </c>
      <c r="AK9591">
        <v>16.656401602675899</v>
      </c>
      <c r="AL9591">
        <v>90.687939481030796</v>
      </c>
      <c r="AM9591">
        <v>91.608636481193003</v>
      </c>
      <c r="AN9591">
        <v>0.99999995752281601</v>
      </c>
    </row>
    <row r="9592" spans="1:40" x14ac:dyDescent="0.25">
      <c r="A9592" t="str">
        <f>"20190312154140281"</f>
        <v>20190312154140281</v>
      </c>
      <c r="B9592" t="str">
        <f>"1552376500275631"</f>
        <v>1552376500275631</v>
      </c>
      <c r="C9592" t="s">
        <v>40</v>
      </c>
      <c r="D9592">
        <v>4.5726040000000001</v>
      </c>
      <c r="E9592">
        <v>0.44979920000000001</v>
      </c>
      <c r="F9592" t="s">
        <v>42</v>
      </c>
      <c r="G9592">
        <v>-190.49549999999999</v>
      </c>
      <c r="H9592" s="1">
        <v>-6.8827029999999998E-7</v>
      </c>
      <c r="I9592">
        <v>-39.113860000000003</v>
      </c>
      <c r="J9592">
        <v>-198.68549999999999</v>
      </c>
      <c r="K9592">
        <v>1.109882</v>
      </c>
      <c r="L9592">
        <v>-53.443019999999997</v>
      </c>
      <c r="M9592">
        <v>0.63093429999999995</v>
      </c>
      <c r="N9592">
        <v>0</v>
      </c>
      <c r="O9592">
        <v>0.775806</v>
      </c>
      <c r="P9592">
        <v>0.60919829999999997</v>
      </c>
      <c r="Q9592">
        <v>-1.9193479999999999E-2</v>
      </c>
      <c r="R9592">
        <v>0.79278570000000004</v>
      </c>
      <c r="S9592">
        <v>1.5028379999999999</v>
      </c>
      <c r="T9592">
        <v>-0.20237820000000001</v>
      </c>
      <c r="U9592">
        <v>2.6247560000000001</v>
      </c>
      <c r="V9592">
        <v>-2.7559230000000001E-2</v>
      </c>
      <c r="W9592">
        <v>-1.237716E-2</v>
      </c>
      <c r="X9592">
        <v>0.99954350000000003</v>
      </c>
      <c r="Y9592">
        <v>-0.1627951</v>
      </c>
      <c r="Z9592">
        <v>-4.8364009999999999E-2</v>
      </c>
      <c r="AA9592">
        <v>0.98547379999999996</v>
      </c>
      <c r="AB9592">
        <v>15</v>
      </c>
      <c r="AC9592">
        <v>8.1899999999999906</v>
      </c>
      <c r="AD9592">
        <v>-1.1098826882702999</v>
      </c>
      <c r="AE9592">
        <v>14.32916</v>
      </c>
      <c r="AF9592">
        <v>-2.6748742844920401</v>
      </c>
      <c r="AG9592">
        <v>-1.1098826882702999</v>
      </c>
      <c r="AH9592">
        <v>16.211073567794799</v>
      </c>
      <c r="AI9592">
        <v>93.864520889390604</v>
      </c>
      <c r="AJ9592">
        <v>99.369547310413694</v>
      </c>
      <c r="AK9592">
        <v>16.467716849643001</v>
      </c>
      <c r="AL9592">
        <v>90.709177168725603</v>
      </c>
      <c r="AM9592">
        <v>91.579348592419294</v>
      </c>
      <c r="AN9592">
        <v>0.99999995682005305</v>
      </c>
    </row>
    <row r="9593" spans="1:40" x14ac:dyDescent="0.25">
      <c r="A9593" t="str">
        <f>"20190312154140293"</f>
        <v>20190312154140293</v>
      </c>
      <c r="B9593" t="str">
        <f>"1552376500285390"</f>
        <v>1552376500285390</v>
      </c>
      <c r="C9593" t="s">
        <v>40</v>
      </c>
      <c r="D9593">
        <v>4.5818099999999999</v>
      </c>
      <c r="E9593">
        <v>0.45022400000000001</v>
      </c>
      <c r="F9593" t="s">
        <v>42</v>
      </c>
      <c r="G9593">
        <v>-190.60400000000001</v>
      </c>
      <c r="H9593" s="1">
        <v>-6.2349069999999998E-7</v>
      </c>
      <c r="I9593">
        <v>-39.332140000000003</v>
      </c>
      <c r="J9593">
        <v>-198.63210000000001</v>
      </c>
      <c r="K9593">
        <v>1.1098680000000001</v>
      </c>
      <c r="L9593">
        <v>-53.375489999999999</v>
      </c>
      <c r="M9593">
        <v>0.63008730000000002</v>
      </c>
      <c r="N9593">
        <v>0</v>
      </c>
      <c r="O9593">
        <v>0.77649590000000002</v>
      </c>
      <c r="P9593">
        <v>0.6088846</v>
      </c>
      <c r="Q9593">
        <v>-1.9451929999999999E-2</v>
      </c>
      <c r="R9593">
        <v>0.79302039999999996</v>
      </c>
      <c r="S9593">
        <v>1.5029300000000001</v>
      </c>
      <c r="T9593">
        <v>-0.2064077</v>
      </c>
      <c r="U9593">
        <v>2.6242369999999999</v>
      </c>
      <c r="V9593">
        <v>-2.685748E-2</v>
      </c>
      <c r="W9593">
        <v>-1.285243E-2</v>
      </c>
      <c r="X9593">
        <v>0.99955669999999996</v>
      </c>
      <c r="Y9593">
        <v>-0.1616388</v>
      </c>
      <c r="Z9593">
        <v>-4.9406869999999999E-2</v>
      </c>
      <c r="AA9593">
        <v>0.9856125</v>
      </c>
      <c r="AB9593">
        <v>15</v>
      </c>
      <c r="AC9593">
        <v>8.0280999999999896</v>
      </c>
      <c r="AD9593">
        <v>-1.1098686234907</v>
      </c>
      <c r="AE9593">
        <v>14.043349999999901</v>
      </c>
      <c r="AF9593">
        <v>-2.6025557383165698</v>
      </c>
      <c r="AG9593">
        <v>-1.1098686234907</v>
      </c>
      <c r="AH9593">
        <v>15.8885632961219</v>
      </c>
      <c r="AI9593">
        <v>93.9434257053517</v>
      </c>
      <c r="AJ9593">
        <v>99.302471384346205</v>
      </c>
      <c r="AK9593">
        <v>16.138511342355098</v>
      </c>
      <c r="AL9593">
        <v>90.736410231496507</v>
      </c>
      <c r="AM9593">
        <v>91.539132385708399</v>
      </c>
      <c r="AN9593">
        <v>1.00000005285187</v>
      </c>
    </row>
    <row r="9594" spans="1:40" x14ac:dyDescent="0.25">
      <c r="A9594" t="str">
        <f>"20190312154140311"</f>
        <v>20190312154140311</v>
      </c>
      <c r="B9594" t="str">
        <f>"1552376500305887"</f>
        <v>1552376500305887</v>
      </c>
      <c r="C9594" t="s">
        <v>40</v>
      </c>
      <c r="D9594">
        <v>4.5909959999999996</v>
      </c>
      <c r="E9594">
        <v>0.45082939999999999</v>
      </c>
      <c r="F9594" t="s">
        <v>42</v>
      </c>
      <c r="G9594">
        <v>-190.59559999999999</v>
      </c>
      <c r="H9594" s="1">
        <v>-6.0634090000000005E-7</v>
      </c>
      <c r="I9594">
        <v>-39.366860000000003</v>
      </c>
      <c r="J9594">
        <v>-198.56059999999999</v>
      </c>
      <c r="K9594">
        <v>1.1098429999999999</v>
      </c>
      <c r="L9594">
        <v>-53.284790000000001</v>
      </c>
      <c r="M9594">
        <v>0.62895999999999996</v>
      </c>
      <c r="N9594">
        <v>0</v>
      </c>
      <c r="O9594">
        <v>0.77741179999999999</v>
      </c>
      <c r="P9594">
        <v>0.60877109999999901</v>
      </c>
      <c r="Q9594">
        <v>-1.980906E-2</v>
      </c>
      <c r="R9594">
        <v>0.79309859999999999</v>
      </c>
      <c r="S9594">
        <v>1.5045930000000001</v>
      </c>
      <c r="T9594">
        <v>-0.20778840000000001</v>
      </c>
      <c r="U9594">
        <v>2.622681</v>
      </c>
      <c r="V9594">
        <v>-2.5541270000000001E-2</v>
      </c>
      <c r="W9594">
        <v>-1.34977E-2</v>
      </c>
      <c r="X9594">
        <v>0.99958259999999999</v>
      </c>
      <c r="Y9594">
        <v>-0.1594959</v>
      </c>
      <c r="Z9594">
        <v>-4.9860759999999997E-2</v>
      </c>
      <c r="AA9594">
        <v>0.9859386</v>
      </c>
      <c r="AB9594">
        <v>15</v>
      </c>
      <c r="AC9594">
        <v>7.9649999999999999</v>
      </c>
      <c r="AD9594">
        <v>-1.1098436063408901</v>
      </c>
      <c r="AE9594">
        <v>13.91793</v>
      </c>
      <c r="AF9594">
        <v>-2.5495752647059602</v>
      </c>
      <c r="AG9594">
        <v>-1.1098436063408901</v>
      </c>
      <c r="AH9594">
        <v>15.7544834498045</v>
      </c>
      <c r="AI9594">
        <v>93.978028053084401</v>
      </c>
      <c r="AJ9594">
        <v>99.192578142391497</v>
      </c>
      <c r="AK9594">
        <v>15.997994737813199</v>
      </c>
      <c r="AL9594">
        <v>90.7733847593815</v>
      </c>
      <c r="AM9594">
        <v>91.463699560485196</v>
      </c>
      <c r="AN9594">
        <v>0.99999995930063001</v>
      </c>
    </row>
    <row r="9595" spans="1:40" x14ac:dyDescent="0.25">
      <c r="A9595" t="str">
        <f>"20190312154140323"</f>
        <v>20190312154140323</v>
      </c>
      <c r="B9595" t="str">
        <f>"1552376500315649"</f>
        <v>1552376500315649</v>
      </c>
      <c r="C9595" t="s">
        <v>40</v>
      </c>
      <c r="D9595">
        <v>4.6147650000000002</v>
      </c>
      <c r="E9595">
        <v>0.4511597</v>
      </c>
      <c r="F9595" t="s">
        <v>42</v>
      </c>
      <c r="G9595">
        <v>-190.80099999999999</v>
      </c>
      <c r="H9595" s="1">
        <v>-4.7609579999999999E-7</v>
      </c>
      <c r="I9595">
        <v>-39.797870000000003</v>
      </c>
      <c r="J9595">
        <v>-198.5076</v>
      </c>
      <c r="K9595">
        <v>1.1098300000000001</v>
      </c>
      <c r="L9595">
        <v>-53.217440000000003</v>
      </c>
      <c r="M9595">
        <v>0.62812579999999996</v>
      </c>
      <c r="N9595">
        <v>0</v>
      </c>
      <c r="O9595">
        <v>0.77808759999999999</v>
      </c>
      <c r="P9595">
        <v>0.60852680000000003</v>
      </c>
      <c r="Q9595">
        <v>-2.0145639999999999E-2</v>
      </c>
      <c r="R9595">
        <v>0.79327760000000003</v>
      </c>
      <c r="S9595">
        <v>1.507477</v>
      </c>
      <c r="T9595">
        <v>-0.2156102</v>
      </c>
      <c r="U9595">
        <v>2.620117</v>
      </c>
      <c r="V9595">
        <v>-2.47694E-2</v>
      </c>
      <c r="W9595">
        <v>-1.404944E-2</v>
      </c>
      <c r="X9595">
        <v>0.99959439999999999</v>
      </c>
      <c r="Y9595">
        <v>-0.15726709999999999</v>
      </c>
      <c r="Z9595">
        <v>-5.1846980000000001E-2</v>
      </c>
      <c r="AA9595">
        <v>0.98619420000000002</v>
      </c>
      <c r="AB9595">
        <v>15</v>
      </c>
      <c r="AC9595">
        <v>7.7065999999999999</v>
      </c>
      <c r="AD9595">
        <v>-1.10983047609579</v>
      </c>
      <c r="AE9595">
        <v>13.41957</v>
      </c>
      <c r="AF9595">
        <v>-2.4203651549775298</v>
      </c>
      <c r="AG9595">
        <v>-1.10983047609579</v>
      </c>
      <c r="AH9595">
        <v>15.2044008079073</v>
      </c>
      <c r="AI9595">
        <v>94.123113029875597</v>
      </c>
      <c r="AJ9595">
        <v>99.044934023568004</v>
      </c>
      <c r="AK9595">
        <v>15.435792661751799</v>
      </c>
      <c r="AL9595">
        <v>90.805000151267393</v>
      </c>
      <c r="AM9595">
        <v>91.419467454756301</v>
      </c>
      <c r="AN9595">
        <v>0.99999993722601399</v>
      </c>
    </row>
    <row r="9596" spans="1:40" x14ac:dyDescent="0.25">
      <c r="A9596" t="str">
        <f>"20190312154140334"</f>
        <v>20190312154140334</v>
      </c>
      <c r="B9596" t="str">
        <f>"1552376500325405"</f>
        <v>1552376500325405</v>
      </c>
      <c r="C9596" t="s">
        <v>40</v>
      </c>
      <c r="D9596">
        <v>4.6480969999999999</v>
      </c>
      <c r="E9596">
        <v>0.45169189999999998</v>
      </c>
      <c r="F9596" t="s">
        <v>42</v>
      </c>
      <c r="G9596">
        <v>-190.79320000000001</v>
      </c>
      <c r="H9596" s="1">
        <v>-4.6118959999999999E-7</v>
      </c>
      <c r="I9596">
        <v>-39.827800000000003</v>
      </c>
      <c r="J9596">
        <v>-198.45769999999999</v>
      </c>
      <c r="K9596">
        <v>1.1098190000000001</v>
      </c>
      <c r="L9596">
        <v>-53.1539</v>
      </c>
      <c r="M9596">
        <v>0.62734190000000001</v>
      </c>
      <c r="N9596">
        <v>0</v>
      </c>
      <c r="O9596">
        <v>0.77872149999999996</v>
      </c>
      <c r="P9596">
        <v>0.60827129999999996</v>
      </c>
      <c r="Q9596">
        <v>-2.0579980000000001E-2</v>
      </c>
      <c r="R9596">
        <v>0.79346229999999995</v>
      </c>
      <c r="S9596">
        <v>1.5088349999999999</v>
      </c>
      <c r="T9596">
        <v>-0.21706810000000001</v>
      </c>
      <c r="U9596">
        <v>2.6188349999999998</v>
      </c>
      <c r="V9596">
        <v>-2.4074700000000001E-2</v>
      </c>
      <c r="W9596">
        <v>-1.468769E-2</v>
      </c>
      <c r="X9596">
        <v>0.99960230000000005</v>
      </c>
      <c r="Y9596">
        <v>-0.15569279999999999</v>
      </c>
      <c r="Z9596">
        <v>-5.2289349999999998E-2</v>
      </c>
      <c r="AA9596">
        <v>0.98642059999999998</v>
      </c>
      <c r="AB9596">
        <v>15</v>
      </c>
      <c r="AC9596">
        <v>7.6644999999999701</v>
      </c>
      <c r="AD9596">
        <v>-1.1098194611896</v>
      </c>
      <c r="AE9596">
        <v>13.326099999999901</v>
      </c>
      <c r="AF9596">
        <v>-2.37915213233717</v>
      </c>
      <c r="AG9596">
        <v>-1.1098194611896</v>
      </c>
      <c r="AH9596">
        <v>15.1071130010007</v>
      </c>
      <c r="AI9596">
        <v>94.1506196481579</v>
      </c>
      <c r="AJ9596">
        <v>98.949751261205904</v>
      </c>
      <c r="AK9596">
        <v>15.333522991480001</v>
      </c>
      <c r="AL9596">
        <v>90.841572875504696</v>
      </c>
      <c r="AM9596">
        <v>91.379660782915593</v>
      </c>
      <c r="AN9596">
        <v>1.0000000387914501</v>
      </c>
    </row>
    <row r="9597" spans="1:40" x14ac:dyDescent="0.25">
      <c r="A9597" t="str">
        <f>"20190312154140346"</f>
        <v>20190312154140346</v>
      </c>
      <c r="B9597" t="str">
        <f>"1552376500335673"</f>
        <v>1552376500335673</v>
      </c>
      <c r="C9597" t="s">
        <v>40</v>
      </c>
      <c r="D9597">
        <v>4.7017059999999997</v>
      </c>
      <c r="E9597">
        <v>0.45169189999999998</v>
      </c>
      <c r="F9597" t="s">
        <v>42</v>
      </c>
      <c r="G9597">
        <v>-190.75219999999999</v>
      </c>
      <c r="H9597" s="1">
        <v>-4.5648789999999999E-7</v>
      </c>
      <c r="I9597">
        <v>-39.81335</v>
      </c>
      <c r="J9597">
        <v>-198.40940000000001</v>
      </c>
      <c r="K9597">
        <v>1.1098110000000001</v>
      </c>
      <c r="L9597">
        <v>-53.09225</v>
      </c>
      <c r="M9597">
        <v>0.62658119999999995</v>
      </c>
      <c r="N9597">
        <v>0</v>
      </c>
      <c r="O9597">
        <v>0.77933509999999995</v>
      </c>
      <c r="P9597">
        <v>0.60808059999999997</v>
      </c>
      <c r="Q9597">
        <v>-2.0812830000000001E-2</v>
      </c>
      <c r="R9597">
        <v>0.79360249999999999</v>
      </c>
      <c r="S9597">
        <v>1.511368</v>
      </c>
      <c r="T9597">
        <v>-0.21768190000000001</v>
      </c>
      <c r="U9597">
        <v>2.616638</v>
      </c>
      <c r="V9597">
        <v>-2.333288E-2</v>
      </c>
      <c r="W9597">
        <v>-1.5121539999999999E-2</v>
      </c>
      <c r="X9597">
        <v>0.99961339999999999</v>
      </c>
      <c r="Y9597">
        <v>-0.15366060000000001</v>
      </c>
      <c r="Z9597">
        <v>-5.2542520000000002E-2</v>
      </c>
      <c r="AA9597">
        <v>0.98672570000000004</v>
      </c>
      <c r="AB9597">
        <v>15</v>
      </c>
      <c r="AC9597">
        <v>7.6572000000000102</v>
      </c>
      <c r="AD9597">
        <v>-1.10981145648789</v>
      </c>
      <c r="AE9597">
        <v>13.2789</v>
      </c>
      <c r="AF9597">
        <v>-2.3405536636711202</v>
      </c>
      <c r="AG9597">
        <v>-1.10981145648789</v>
      </c>
      <c r="AH9597">
        <v>15.0678325501146</v>
      </c>
      <c r="AI9597">
        <v>94.162734149505695</v>
      </c>
      <c r="AJ9597">
        <v>98.829445706869805</v>
      </c>
      <c r="AK9597">
        <v>15.288866886717599</v>
      </c>
      <c r="AL9597">
        <v>90.866433429187197</v>
      </c>
      <c r="AM9597">
        <v>91.337149772906699</v>
      </c>
      <c r="AN9597">
        <v>1.00000001686031</v>
      </c>
    </row>
    <row r="9598" spans="1:40" x14ac:dyDescent="0.25">
      <c r="A9598" t="str">
        <f>"20190312154140358"</f>
        <v>20190312154140358</v>
      </c>
      <c r="B9598" t="str">
        <f>"1552376500345435"</f>
        <v>1552376500345435</v>
      </c>
      <c r="C9598" t="s">
        <v>40</v>
      </c>
      <c r="D9598">
        <v>4.6830429999999996</v>
      </c>
      <c r="E9598">
        <v>0.48092940000000001</v>
      </c>
      <c r="F9598" t="s">
        <v>42</v>
      </c>
      <c r="G9598">
        <v>-190.72720000000001</v>
      </c>
      <c r="H9598" s="1">
        <v>-4.6283379999999999E-7</v>
      </c>
      <c r="I9598">
        <v>-39.783059999999999</v>
      </c>
      <c r="J9598">
        <v>-198.35830000000001</v>
      </c>
      <c r="K9598">
        <v>1.109799</v>
      </c>
      <c r="L9598">
        <v>-53.026949999999999</v>
      </c>
      <c r="M9598">
        <v>0.62577590000000005</v>
      </c>
      <c r="N9598">
        <v>0</v>
      </c>
      <c r="O9598">
        <v>0.77998350000000005</v>
      </c>
      <c r="P9598">
        <v>0.60781649999999998</v>
      </c>
      <c r="Q9598">
        <v>-2.1199289999999999E-2</v>
      </c>
      <c r="R9598">
        <v>0.79379460000000002</v>
      </c>
      <c r="S9598">
        <v>1.5105900000000001</v>
      </c>
      <c r="T9598">
        <v>-0.2182288</v>
      </c>
      <c r="U9598">
        <v>2.6170650000000002</v>
      </c>
      <c r="V9598">
        <v>-2.262436E-2</v>
      </c>
      <c r="W9598">
        <v>-1.5721909999999999E-2</v>
      </c>
      <c r="X9598">
        <v>0.99962039999999996</v>
      </c>
      <c r="Y9598">
        <v>-0.15293470000000001</v>
      </c>
      <c r="Z9598">
        <v>-5.2742039999999997E-2</v>
      </c>
      <c r="AA9598">
        <v>0.98682789999999998</v>
      </c>
      <c r="AB9598">
        <v>16</v>
      </c>
      <c r="AC9598">
        <v>7.6311</v>
      </c>
      <c r="AD9598">
        <v>-1.1097994628337999</v>
      </c>
      <c r="AE9598">
        <v>13.243889999999899</v>
      </c>
      <c r="AF9598">
        <v>-2.3233623211560399</v>
      </c>
      <c r="AG9598">
        <v>-1.1097994628337999</v>
      </c>
      <c r="AH9598">
        <v>15.026387795255699</v>
      </c>
      <c r="AI9598">
        <v>94.174580553492504</v>
      </c>
      <c r="AJ9598">
        <v>98.789404040408499</v>
      </c>
      <c r="AK9598">
        <v>15.245392664555499</v>
      </c>
      <c r="AL9598">
        <v>90.900836209810706</v>
      </c>
      <c r="AM9598">
        <v>91.296551240958607</v>
      </c>
      <c r="AN9598">
        <v>0.99999999210780799</v>
      </c>
    </row>
    <row r="9599" spans="1:40" x14ac:dyDescent="0.25">
      <c r="A9599" t="str">
        <f>"20190312154140370"</f>
        <v>20190312154140370</v>
      </c>
      <c r="B9599" t="str">
        <f>"1552376500365930"</f>
        <v>1552376500365930</v>
      </c>
      <c r="C9599" t="s">
        <v>40</v>
      </c>
      <c r="D9599">
        <v>4.7536959999999997</v>
      </c>
      <c r="E9599">
        <v>0.4825971</v>
      </c>
      <c r="F9599" t="s">
        <v>69</v>
      </c>
      <c r="G9599">
        <v>-190.2928</v>
      </c>
      <c r="H9599" s="1">
        <v>-5.8221200000000003E-6</v>
      </c>
      <c r="I9599">
        <v>-41.24091</v>
      </c>
      <c r="J9599">
        <v>-198.30439999999999</v>
      </c>
      <c r="K9599">
        <v>1.1097859999999999</v>
      </c>
      <c r="L9599">
        <v>-52.957729999999998</v>
      </c>
      <c r="M9599">
        <v>0.62492080000000005</v>
      </c>
      <c r="N9599">
        <v>0</v>
      </c>
      <c r="O9599">
        <v>0.78067030000000004</v>
      </c>
      <c r="P9599">
        <v>0.60752229999999996</v>
      </c>
      <c r="Q9599">
        <v>-2.1718419999999999E-2</v>
      </c>
      <c r="R9599">
        <v>0.79400559999999998</v>
      </c>
      <c r="S9599">
        <v>1.6942440000000001</v>
      </c>
      <c r="T9599">
        <v>-0.2331251</v>
      </c>
      <c r="U9599">
        <v>2.4757690000000001</v>
      </c>
      <c r="V9599">
        <v>-2.1887650000000002E-2</v>
      </c>
      <c r="W9599">
        <v>-1.647179E-2</v>
      </c>
      <c r="X9599">
        <v>0.99962470000000003</v>
      </c>
      <c r="Y9599">
        <v>-7.6082769999999994E-2</v>
      </c>
      <c r="Z9599">
        <v>-5.8671929999999997E-2</v>
      </c>
      <c r="AA9599">
        <v>0.99537379999999998</v>
      </c>
      <c r="AB9599">
        <v>16</v>
      </c>
      <c r="AC9599">
        <v>8.0115999999999801</v>
      </c>
      <c r="AD9599">
        <v>-1.10979182212</v>
      </c>
      <c r="AE9599">
        <v>11.71682</v>
      </c>
      <c r="AF9599">
        <v>-1.0611938704834001</v>
      </c>
      <c r="AG9599">
        <v>-1.10979182212</v>
      </c>
      <c r="AH9599">
        <v>14.0677859859734</v>
      </c>
      <c r="AI9599">
        <v>94.497931268122102</v>
      </c>
      <c r="AJ9599">
        <v>94.313898038162407</v>
      </c>
      <c r="AK9599">
        <v>14.151338200550001</v>
      </c>
      <c r="AL9599">
        <v>90.943806763291605</v>
      </c>
      <c r="AM9599">
        <v>91.2543403675202</v>
      </c>
      <c r="AN9599">
        <v>0.99999996496920696</v>
      </c>
    </row>
    <row r="9600" spans="1:40" x14ac:dyDescent="0.25">
      <c r="A9600" t="str">
        <f>"20190312154140384"</f>
        <v>20190312154140384</v>
      </c>
      <c r="B9600" t="str">
        <f>"1552376500375690"</f>
        <v>1552376500375690</v>
      </c>
      <c r="C9600" t="s">
        <v>40</v>
      </c>
      <c r="D9600">
        <v>4.70458</v>
      </c>
      <c r="E9600">
        <v>0.48287760000000002</v>
      </c>
      <c r="F9600" t="s">
        <v>69</v>
      </c>
      <c r="G9600">
        <v>-191.14830000000001</v>
      </c>
      <c r="H9600" s="1">
        <v>-5.3500819999999997E-6</v>
      </c>
      <c r="I9600">
        <v>-42.581209999999999</v>
      </c>
      <c r="J9600">
        <v>-198.2439</v>
      </c>
      <c r="K9600">
        <v>1.109774</v>
      </c>
      <c r="L9600">
        <v>-52.880070000000003</v>
      </c>
      <c r="M9600">
        <v>0.62395979999999995</v>
      </c>
      <c r="N9600">
        <v>0</v>
      </c>
      <c r="O9600">
        <v>0.78144019999999903</v>
      </c>
      <c r="P9600">
        <v>0.60718830000000001</v>
      </c>
      <c r="Q9600">
        <v>-2.2150670000000001E-2</v>
      </c>
      <c r="R9600">
        <v>0.79424910000000004</v>
      </c>
      <c r="S9600">
        <v>1.702393</v>
      </c>
      <c r="T9600">
        <v>-0.2640151</v>
      </c>
      <c r="U9600">
        <v>2.4685359999999998</v>
      </c>
      <c r="V9600">
        <v>-2.106707E-2</v>
      </c>
      <c r="W9600">
        <v>-1.7163319999999999E-2</v>
      </c>
      <c r="X9600">
        <v>0.99963069999999998</v>
      </c>
      <c r="Y9600">
        <v>-7.1627389999999999E-2</v>
      </c>
      <c r="Z9600">
        <v>-6.662324E-2</v>
      </c>
      <c r="AA9600">
        <v>0.99520390000000003</v>
      </c>
      <c r="AB9600">
        <v>16</v>
      </c>
      <c r="AC9600">
        <v>7.0955999999999904</v>
      </c>
      <c r="AD9600">
        <v>-1.1097793500819999</v>
      </c>
      <c r="AE9600">
        <v>10.2988599999999</v>
      </c>
      <c r="AF9600">
        <v>-0.87441356175533702</v>
      </c>
      <c r="AG9600">
        <v>-1.1097793500819999</v>
      </c>
      <c r="AH9600">
        <v>12.3780058144926</v>
      </c>
      <c r="AI9600">
        <v>95.110621629473997</v>
      </c>
      <c r="AJ9600">
        <v>94.040805650010199</v>
      </c>
      <c r="AK9600">
        <v>12.4583802007509</v>
      </c>
      <c r="AL9600">
        <v>90.983434116522403</v>
      </c>
      <c r="AM9600">
        <v>91.207321404965896</v>
      </c>
      <c r="AN9600">
        <v>0.99999996868714802</v>
      </c>
    </row>
    <row r="9601" spans="1:40" x14ac:dyDescent="0.25">
      <c r="A9601" t="str">
        <f>"20190312154140402"</f>
        <v>20190312154140402</v>
      </c>
      <c r="B9601" t="str">
        <f>"1552376500395210"</f>
        <v>1552376500395210</v>
      </c>
      <c r="C9601" t="s">
        <v>40</v>
      </c>
      <c r="D9601">
        <v>4.6862130000000004</v>
      </c>
      <c r="E9601">
        <v>0.4831223</v>
      </c>
      <c r="F9601" t="s">
        <v>69</v>
      </c>
      <c r="G9601">
        <v>-191.1123</v>
      </c>
      <c r="H9601" s="1">
        <v>-5.3593420000000004E-6</v>
      </c>
      <c r="I9601">
        <v>-42.547580000000004</v>
      </c>
      <c r="J9601">
        <v>-198.17089999999999</v>
      </c>
      <c r="K9601">
        <v>1.1097509999999999</v>
      </c>
      <c r="L9601">
        <v>-52.78613</v>
      </c>
      <c r="M9601">
        <v>0.62279439999999997</v>
      </c>
      <c r="N9601">
        <v>0</v>
      </c>
      <c r="O9601">
        <v>0.78237129999999999</v>
      </c>
      <c r="P9601">
        <v>0.60707119999999903</v>
      </c>
      <c r="Q9601">
        <v>-2.3350470000000002E-2</v>
      </c>
      <c r="R9601">
        <v>0.79430429999999996</v>
      </c>
      <c r="S9601">
        <v>1.7032320000000001</v>
      </c>
      <c r="T9601">
        <v>-0.26504919999999998</v>
      </c>
      <c r="U9601">
        <v>2.4677120000000001</v>
      </c>
      <c r="V9601">
        <v>-1.969802E-2</v>
      </c>
      <c r="W9601">
        <v>-1.8676979999999999E-2</v>
      </c>
      <c r="X9601">
        <v>0.99963150000000001</v>
      </c>
      <c r="Y9601">
        <v>-6.9772429999999996E-2</v>
      </c>
      <c r="Z9601">
        <v>-6.7023609999999997E-2</v>
      </c>
      <c r="AA9601">
        <v>0.99530879999999999</v>
      </c>
      <c r="AB9601">
        <v>16</v>
      </c>
      <c r="AC9601">
        <v>7.0585999999999798</v>
      </c>
      <c r="AD9601">
        <v>-1.1097563593419999</v>
      </c>
      <c r="AE9601">
        <v>10.23855</v>
      </c>
      <c r="AF9601">
        <v>-0.84732742480530598</v>
      </c>
      <c r="AG9601">
        <v>-1.1097563593419999</v>
      </c>
      <c r="AH9601">
        <v>12.308524320435099</v>
      </c>
      <c r="AI9601">
        <v>95.139850348859596</v>
      </c>
      <c r="AJ9601">
        <v>93.938068495284895</v>
      </c>
      <c r="AK9601">
        <v>12.387465192228399</v>
      </c>
      <c r="AL9601">
        <v>91.070174364391804</v>
      </c>
      <c r="AM9601">
        <v>91.128883358819394</v>
      </c>
      <c r="AN9601">
        <v>0.99999998868304496</v>
      </c>
    </row>
    <row r="9602" spans="1:40" x14ac:dyDescent="0.25">
      <c r="A9602" t="str">
        <f>"20190312154140414"</f>
        <v>20190312154140414</v>
      </c>
      <c r="B9602" t="str">
        <f>"1552376500405946"</f>
        <v>1552376500405946</v>
      </c>
      <c r="C9602" t="s">
        <v>40</v>
      </c>
      <c r="D9602">
        <v>4.686204</v>
      </c>
      <c r="E9602">
        <v>0.48341810000000002</v>
      </c>
      <c r="F9602" t="s">
        <v>69</v>
      </c>
      <c r="G9602">
        <v>-191.11320000000001</v>
      </c>
      <c r="H9602" s="1">
        <v>-5.347369E-6</v>
      </c>
      <c r="I9602">
        <v>-42.573619999999998</v>
      </c>
      <c r="J9602">
        <v>-198.1087</v>
      </c>
      <c r="K9602">
        <v>1.109734</v>
      </c>
      <c r="L9602">
        <v>-52.705779999999997</v>
      </c>
      <c r="M9602">
        <v>0.62179419999999996</v>
      </c>
      <c r="N9602">
        <v>0</v>
      </c>
      <c r="O9602">
        <v>0.78316809999999903</v>
      </c>
      <c r="P9602">
        <v>0.60636909999999999</v>
      </c>
      <c r="Q9602">
        <v>-2.3912630000000001E-2</v>
      </c>
      <c r="R9602">
        <v>0.79482379999999997</v>
      </c>
      <c r="S9602">
        <v>1.70445299999999</v>
      </c>
      <c r="T9602">
        <v>-0.26800800000000002</v>
      </c>
      <c r="U9602">
        <v>2.4663390000000001</v>
      </c>
      <c r="V9602">
        <v>-1.9289690000000002E-2</v>
      </c>
      <c r="W9602">
        <v>-1.9510329999999999E-2</v>
      </c>
      <c r="X9602">
        <v>0.9996235</v>
      </c>
      <c r="Y9602">
        <v>-6.7945510000000001E-2</v>
      </c>
      <c r="Z9602">
        <v>-6.790148E-2</v>
      </c>
      <c r="AA9602">
        <v>0.99537569999999997</v>
      </c>
      <c r="AB9602">
        <v>16</v>
      </c>
      <c r="AC9602">
        <v>6.9954999999999901</v>
      </c>
      <c r="AD9602">
        <v>-1.109739347369</v>
      </c>
      <c r="AE9602">
        <v>10.132160000000001</v>
      </c>
      <c r="AF9602">
        <v>-0.81485440504628304</v>
      </c>
      <c r="AG9602">
        <v>-1.109739347369</v>
      </c>
      <c r="AH9602">
        <v>12.1860718600922</v>
      </c>
      <c r="AI9602">
        <v>95.191826549959202</v>
      </c>
      <c r="AJ9602">
        <v>93.825541176477401</v>
      </c>
      <c r="AK9602">
        <v>12.2635988396495</v>
      </c>
      <c r="AL9602">
        <v>91.117930560730997</v>
      </c>
      <c r="AM9602">
        <v>91.105496891101595</v>
      </c>
      <c r="AN9602">
        <v>0.99999994343462595</v>
      </c>
    </row>
    <row r="9603" spans="1:40" x14ac:dyDescent="0.25">
      <c r="A9603" t="str">
        <f>"20190312154140429"</f>
        <v>20190312154140429</v>
      </c>
      <c r="B9603" t="str">
        <f>"1552376500415707"</f>
        <v>1552376500415707</v>
      </c>
      <c r="C9603" t="s">
        <v>40</v>
      </c>
      <c r="D9603">
        <v>4.7010139999999998</v>
      </c>
      <c r="E9603">
        <v>0.48364479999999999</v>
      </c>
      <c r="F9603" t="s">
        <v>69</v>
      </c>
      <c r="G9603">
        <v>-191.09209999999999</v>
      </c>
      <c r="H9603" s="1">
        <v>-5.3542180000000004E-6</v>
      </c>
      <c r="I9603">
        <v>-42.550849999999997</v>
      </c>
      <c r="J9603">
        <v>-198.0463</v>
      </c>
      <c r="K9603">
        <v>1.1097140000000001</v>
      </c>
      <c r="L9603">
        <v>-52.6248199999999</v>
      </c>
      <c r="M9603">
        <v>0.62078389999999894</v>
      </c>
      <c r="N9603">
        <v>0</v>
      </c>
      <c r="O9603">
        <v>0.78397069999999902</v>
      </c>
      <c r="P9603">
        <v>0.60572179999999998</v>
      </c>
      <c r="Q9603">
        <v>-2.464241E-2</v>
      </c>
      <c r="R9603">
        <v>0.79529479999999997</v>
      </c>
      <c r="S9603">
        <v>1.704086</v>
      </c>
      <c r="T9603">
        <v>-0.26951710000000001</v>
      </c>
      <c r="U9603">
        <v>2.466278</v>
      </c>
      <c r="V9603">
        <v>-1.879693E-2</v>
      </c>
      <c r="W9603">
        <v>-2.0514379999999999E-2</v>
      </c>
      <c r="X9603">
        <v>0.99961290000000003</v>
      </c>
      <c r="Y9603">
        <v>-6.6769339999999996E-2</v>
      </c>
      <c r="Z9603">
        <v>-6.8394780000000002E-2</v>
      </c>
      <c r="AA9603">
        <v>0.99542149999999996</v>
      </c>
      <c r="AB9603">
        <v>16</v>
      </c>
      <c r="AC9603">
        <v>6.9542000000000099</v>
      </c>
      <c r="AD9603">
        <v>-1.1097193542179999</v>
      </c>
      <c r="AE9603">
        <v>10.0739699999999</v>
      </c>
      <c r="AF9603">
        <v>-0.79533993595049102</v>
      </c>
      <c r="AG9603">
        <v>-1.1097193542179999</v>
      </c>
      <c r="AH9603">
        <v>12.1152912518032</v>
      </c>
      <c r="AI9603">
        <v>95.222315730721206</v>
      </c>
      <c r="AJ9603">
        <v>93.755941726661504</v>
      </c>
      <c r="AK9603">
        <v>12.1919778860881</v>
      </c>
      <c r="AL9603">
        <v>91.175469783439098</v>
      </c>
      <c r="AM9603">
        <v>91.077274856838599</v>
      </c>
      <c r="AN9603">
        <v>1.0000000571053</v>
      </c>
    </row>
    <row r="9604" spans="1:40" x14ac:dyDescent="0.25">
      <c r="A9604" t="str">
        <f>"20190312154140445"</f>
        <v>20190312154140445</v>
      </c>
      <c r="B9604" t="str">
        <f>"1552376500435732"</f>
        <v>1552376500435732</v>
      </c>
      <c r="C9604" t="s">
        <v>40</v>
      </c>
      <c r="D9604">
        <v>4.6494679999999997</v>
      </c>
      <c r="E9604">
        <v>0.48411579999999899</v>
      </c>
      <c r="F9604" t="s">
        <v>69</v>
      </c>
      <c r="G9604">
        <v>-191.06960000000001</v>
      </c>
      <c r="H9604" s="1">
        <v>-5.362589E-6</v>
      </c>
      <c r="I9604">
        <v>-42.524270000000001</v>
      </c>
      <c r="J9604">
        <v>-197.97319999999999</v>
      </c>
      <c r="K9604">
        <v>1.109686</v>
      </c>
      <c r="L9604">
        <v>-52.529879999999999</v>
      </c>
      <c r="M9604">
        <v>0.61959509999999995</v>
      </c>
      <c r="N9604">
        <v>0</v>
      </c>
      <c r="O9604">
        <v>0.78491230000000001</v>
      </c>
      <c r="P9604">
        <v>0.60470590000000002</v>
      </c>
      <c r="Q9604">
        <v>-2.62738E-2</v>
      </c>
      <c r="R9604">
        <v>0.79601540000000004</v>
      </c>
      <c r="S9604">
        <v>1.7035370000000001</v>
      </c>
      <c r="T9604">
        <v>-0.2709664</v>
      </c>
      <c r="U9604">
        <v>2.4663089999999999</v>
      </c>
      <c r="V9604">
        <v>-1.8519210000000001E-2</v>
      </c>
      <c r="W9604">
        <v>-2.247219E-2</v>
      </c>
      <c r="X9604">
        <v>0.99957589999999996</v>
      </c>
      <c r="Y9604">
        <v>-6.543467E-2</v>
      </c>
      <c r="Z9604">
        <v>-6.8892239999999993E-2</v>
      </c>
      <c r="AA9604">
        <v>0.99547580000000002</v>
      </c>
      <c r="AB9604">
        <v>16</v>
      </c>
      <c r="AC9604">
        <v>6.9035999999999804</v>
      </c>
      <c r="AD9604">
        <v>-1.1096913625889999</v>
      </c>
      <c r="AE9604">
        <v>10.005610000000001</v>
      </c>
      <c r="AF9604">
        <v>-0.77425999739203999</v>
      </c>
      <c r="AG9604">
        <v>-1.1096913625889999</v>
      </c>
      <c r="AH9604">
        <v>12.030796418126901</v>
      </c>
      <c r="AI9604">
        <v>95.259093358198697</v>
      </c>
      <c r="AJ9604">
        <v>93.682277960720995</v>
      </c>
      <c r="AK9604">
        <v>12.1066492440386</v>
      </c>
      <c r="AL9604">
        <v>91.2876700761053</v>
      </c>
      <c r="AM9604">
        <v>91.061401333045794</v>
      </c>
      <c r="AN9604">
        <v>0.99999997016161402</v>
      </c>
    </row>
    <row r="9605" spans="1:40" x14ac:dyDescent="0.25">
      <c r="A9605" t="str">
        <f>"20190312154140457"</f>
        <v>20190312154140457</v>
      </c>
      <c r="B9605" t="str">
        <f>"1552376500445493"</f>
        <v>1552376500445493</v>
      </c>
      <c r="C9605" t="s">
        <v>40</v>
      </c>
      <c r="D9605">
        <v>4.6404350000000001</v>
      </c>
      <c r="E9605">
        <v>0.48432969999999997</v>
      </c>
      <c r="F9605" t="s">
        <v>69</v>
      </c>
      <c r="G9605">
        <v>-191.05080000000001</v>
      </c>
      <c r="H9605" s="1">
        <v>-5.36565E-6</v>
      </c>
      <c r="I9605">
        <v>-42.510539999999999</v>
      </c>
      <c r="J9605">
        <v>-197.91800000000001</v>
      </c>
      <c r="K9605">
        <v>1.109666</v>
      </c>
      <c r="L9605">
        <v>-52.458010000000002</v>
      </c>
      <c r="M9605">
        <v>0.61869300000000005</v>
      </c>
      <c r="N9605">
        <v>0</v>
      </c>
      <c r="O9605">
        <v>0.78562460000000001</v>
      </c>
      <c r="P9605">
        <v>0.60380540000000005</v>
      </c>
      <c r="Q9605">
        <v>-2.7078069999999999E-2</v>
      </c>
      <c r="R9605">
        <v>0.79667169999999998</v>
      </c>
      <c r="S9605">
        <v>1.703522</v>
      </c>
      <c r="T9605">
        <v>-0.27308500000000002</v>
      </c>
      <c r="U9605">
        <v>2.465668</v>
      </c>
      <c r="V9605">
        <v>-1.8480630000000001E-2</v>
      </c>
      <c r="W9605">
        <v>-2.3526789999999999E-2</v>
      </c>
      <c r="X9605">
        <v>0.99955240000000001</v>
      </c>
      <c r="Y9605">
        <v>-6.4201960000000002E-2</v>
      </c>
      <c r="Z9605">
        <v>-6.9541539999999999E-2</v>
      </c>
      <c r="AA9605">
        <v>0.99551100000000003</v>
      </c>
      <c r="AB9605">
        <v>16</v>
      </c>
      <c r="AC9605">
        <v>6.8671999999999898</v>
      </c>
      <c r="AD9605">
        <v>-1.1096713656499999</v>
      </c>
      <c r="AE9605">
        <v>9.9474699999999903</v>
      </c>
      <c r="AF9605">
        <v>-0.75304729712923002</v>
      </c>
      <c r="AG9605">
        <v>-1.1096713656499999</v>
      </c>
      <c r="AH9605">
        <v>11.9629244109983</v>
      </c>
      <c r="AI9605">
        <v>95.289136931313706</v>
      </c>
      <c r="AJ9605">
        <v>93.601926771051396</v>
      </c>
      <c r="AK9605">
        <v>12.037857418773299</v>
      </c>
      <c r="AL9605">
        <v>91.348110127792594</v>
      </c>
      <c r="AM9605">
        <v>91.059215577699007</v>
      </c>
      <c r="AN9605">
        <v>1.0000000219393299</v>
      </c>
    </row>
    <row r="9606" spans="1:40" x14ac:dyDescent="0.25">
      <c r="A9606" t="str">
        <f>"20190312154140469"</f>
        <v>20190312154140469</v>
      </c>
      <c r="B9606" t="str">
        <f>"1552376500455253"</f>
        <v>1552376500455253</v>
      </c>
      <c r="C9606" t="s">
        <v>40</v>
      </c>
      <c r="D9606">
        <v>4.6550469999999997</v>
      </c>
      <c r="E9606">
        <v>0.48452820000000002</v>
      </c>
      <c r="F9606" t="s">
        <v>69</v>
      </c>
      <c r="G9606">
        <v>-191.02510000000001</v>
      </c>
      <c r="H9606" s="1">
        <v>-5.379695E-6</v>
      </c>
      <c r="I9606">
        <v>-42.47054</v>
      </c>
      <c r="J9606">
        <v>-197.86250000000001</v>
      </c>
      <c r="K9606">
        <v>1.109642</v>
      </c>
      <c r="L9606">
        <v>-52.385530000000003</v>
      </c>
      <c r="M9606">
        <v>0.61778089999999997</v>
      </c>
      <c r="N9606">
        <v>0</v>
      </c>
      <c r="O9606">
        <v>0.78634320000000002</v>
      </c>
      <c r="P9606">
        <v>0.60287049999999998</v>
      </c>
      <c r="Q9606">
        <v>-2.7882899999999999E-2</v>
      </c>
      <c r="R9606">
        <v>0.7973517</v>
      </c>
      <c r="S9606">
        <v>1.7021329999999999</v>
      </c>
      <c r="T9606">
        <v>-0.2740225</v>
      </c>
      <c r="U9606">
        <v>2.4663089999999999</v>
      </c>
      <c r="V9606">
        <v>-1.8472059999999998E-2</v>
      </c>
      <c r="W9606">
        <v>-2.458954E-2</v>
      </c>
      <c r="X9606">
        <v>0.99952700000000005</v>
      </c>
      <c r="Y9606">
        <v>-6.3558600000000007E-2</v>
      </c>
      <c r="Z9606">
        <v>-6.987082E-2</v>
      </c>
      <c r="AA9606">
        <v>0.9955292</v>
      </c>
      <c r="AB9606">
        <v>17</v>
      </c>
      <c r="AC9606">
        <v>6.8373999999999997</v>
      </c>
      <c r="AD9606">
        <v>-1.1096473796949999</v>
      </c>
      <c r="AE9606">
        <v>9.9149899999999906</v>
      </c>
      <c r="AF9606">
        <v>-0.74245032568510105</v>
      </c>
      <c r="AG9606">
        <v>-1.1096473796949999</v>
      </c>
      <c r="AH9606">
        <v>11.919488383300299</v>
      </c>
      <c r="AI9606">
        <v>95.308404344367403</v>
      </c>
      <c r="AJ9606">
        <v>93.564278985513695</v>
      </c>
      <c r="AK9606">
        <v>11.994029894618601</v>
      </c>
      <c r="AL9606">
        <v>91.4090188185709</v>
      </c>
      <c r="AM9606">
        <v>91.058751398983105</v>
      </c>
      <c r="AN9606">
        <v>1.0000000431035201</v>
      </c>
    </row>
    <row r="9607" spans="1:40" x14ac:dyDescent="0.25">
      <c r="A9607" t="str">
        <f>"20190312154140481"</f>
        <v>20190312154140481</v>
      </c>
      <c r="B9607" t="str">
        <f>"1552376500475749"</f>
        <v>1552376500475749</v>
      </c>
      <c r="C9607" t="s">
        <v>40</v>
      </c>
      <c r="D9607">
        <v>4.688904</v>
      </c>
      <c r="E9607">
        <v>0.4848462</v>
      </c>
      <c r="F9607" t="s">
        <v>69</v>
      </c>
      <c r="G9607">
        <v>-190.99440000000001</v>
      </c>
      <c r="H9607" s="1">
        <v>-5.3961540000000001E-6</v>
      </c>
      <c r="I9607">
        <v>-42.423490000000001</v>
      </c>
      <c r="J9607">
        <v>-197.8075</v>
      </c>
      <c r="K9607">
        <v>1.109618</v>
      </c>
      <c r="L9607">
        <v>-52.313569999999999</v>
      </c>
      <c r="M9607">
        <v>0.61687449999999999</v>
      </c>
      <c r="N9607">
        <v>0</v>
      </c>
      <c r="O9607">
        <v>0.78705550000000002</v>
      </c>
      <c r="P9607">
        <v>0.6018213</v>
      </c>
      <c r="Q9607">
        <v>-2.8513320000000002E-2</v>
      </c>
      <c r="R9607">
        <v>0.79812159999999999</v>
      </c>
      <c r="S9607">
        <v>1.7007599999999901</v>
      </c>
      <c r="T9607">
        <v>-0.27478409999999998</v>
      </c>
      <c r="U9607">
        <v>2.4669189999999999</v>
      </c>
      <c r="V9607">
        <v>-1.861749E-2</v>
      </c>
      <c r="W9607">
        <v>-2.5477199999999998E-2</v>
      </c>
      <c r="X9607">
        <v>0.999502</v>
      </c>
      <c r="Y9607">
        <v>-6.2911690000000006E-2</v>
      </c>
      <c r="Z9607">
        <v>-7.0155990000000001E-2</v>
      </c>
      <c r="AA9607">
        <v>0.99555020000000005</v>
      </c>
      <c r="AB9607">
        <v>17</v>
      </c>
      <c r="AC9607">
        <v>6.8130999999999897</v>
      </c>
      <c r="AD9607">
        <v>-1.1096233961540001</v>
      </c>
      <c r="AE9607">
        <v>9.8900799999999904</v>
      </c>
      <c r="AF9607">
        <v>-0.73240154783849798</v>
      </c>
      <c r="AG9607">
        <v>-1.1096233961540001</v>
      </c>
      <c r="AH9607">
        <v>11.885463872533901</v>
      </c>
      <c r="AI9607">
        <v>95.323617066445195</v>
      </c>
      <c r="AJ9607">
        <v>93.526200052015497</v>
      </c>
      <c r="AK9607">
        <v>11.959595627523401</v>
      </c>
      <c r="AL9607">
        <v>91.459894035021904</v>
      </c>
      <c r="AM9607">
        <v>91.067111682867306</v>
      </c>
      <c r="AN9607">
        <v>0.99999997332886903</v>
      </c>
    </row>
    <row r="9608" spans="1:40" x14ac:dyDescent="0.25">
      <c r="A9608" t="str">
        <f>"20190312154140501"</f>
        <v>20190312154140501</v>
      </c>
      <c r="B9608" t="str">
        <f>"1552376500495269"</f>
        <v>1552376500495269</v>
      </c>
      <c r="C9608" t="s">
        <v>40</v>
      </c>
      <c r="D9608">
        <v>4.5894870000000001</v>
      </c>
      <c r="E9608">
        <v>0.4857629</v>
      </c>
      <c r="F9608" t="s">
        <v>69</v>
      </c>
      <c r="G9608">
        <v>-190.93709999999999</v>
      </c>
      <c r="H9608" s="1">
        <v>-5.4258039999999999E-6</v>
      </c>
      <c r="I9608">
        <v>-42.337919999999997</v>
      </c>
      <c r="J9608">
        <v>-197.71870000000001</v>
      </c>
      <c r="K9608">
        <v>1.10958</v>
      </c>
      <c r="L9608">
        <v>-52.19699</v>
      </c>
      <c r="M9608">
        <v>0.61540479999999997</v>
      </c>
      <c r="N9608">
        <v>0</v>
      </c>
      <c r="O9608">
        <v>0.78820669999999904</v>
      </c>
      <c r="P9608">
        <v>0.6001244</v>
      </c>
      <c r="Q9608">
        <v>-2.959225E-2</v>
      </c>
      <c r="R9608">
        <v>0.79935919999999905</v>
      </c>
      <c r="S9608">
        <v>1.6994629999999999</v>
      </c>
      <c r="T9608">
        <v>-0.27447470000000002</v>
      </c>
      <c r="U9608">
        <v>2.4675600000000002</v>
      </c>
      <c r="V9608">
        <v>-1.8845509999999999E-2</v>
      </c>
      <c r="W9608">
        <v>-2.6975209999999999E-2</v>
      </c>
      <c r="X9608">
        <v>0.99945839999999997</v>
      </c>
      <c r="Y9608">
        <v>-6.152523E-2</v>
      </c>
      <c r="Z9608">
        <v>-7.023045E-2</v>
      </c>
      <c r="AA9608">
        <v>0.99563159999999895</v>
      </c>
      <c r="AB9608">
        <v>17</v>
      </c>
      <c r="AC9608">
        <v>6.7816000000000196</v>
      </c>
      <c r="AD9608">
        <v>-1.1095854258040001</v>
      </c>
      <c r="AE9608">
        <v>9.8590699999999902</v>
      </c>
      <c r="AF9608">
        <v>-0.71586391841082198</v>
      </c>
      <c r="AG9608">
        <v>-1.1095854258040001</v>
      </c>
      <c r="AH9608">
        <v>11.8426321575926</v>
      </c>
      <c r="AI9608">
        <v>95.342957285867001</v>
      </c>
      <c r="AJ9608">
        <v>93.4592084706251</v>
      </c>
      <c r="AK9608">
        <v>11.9160218775767</v>
      </c>
      <c r="AL9608">
        <v>91.545753258151294</v>
      </c>
      <c r="AM9608">
        <v>91.080225296782103</v>
      </c>
      <c r="AN9608">
        <v>0.99999995426613097</v>
      </c>
    </row>
    <row r="9609" spans="1:40" x14ac:dyDescent="0.25">
      <c r="A9609" t="str">
        <f>"20190312154140512"</f>
        <v>20190312154140512</v>
      </c>
      <c r="B9609" t="str">
        <f>"1552376500506004"</f>
        <v>1552376500506004</v>
      </c>
      <c r="C9609" t="s">
        <v>40</v>
      </c>
      <c r="D9609">
        <v>4.6177330000000003</v>
      </c>
      <c r="E9609">
        <v>0.4857629</v>
      </c>
      <c r="F9609" t="s">
        <v>69</v>
      </c>
      <c r="G9609">
        <v>-190.76429999999999</v>
      </c>
      <c r="H9609" s="1">
        <v>-5.5012090000000004E-6</v>
      </c>
      <c r="I9609">
        <v>-42.110019999999999</v>
      </c>
      <c r="J9609">
        <v>-197.66290000000001</v>
      </c>
      <c r="K9609">
        <v>1.109559</v>
      </c>
      <c r="L9609">
        <v>-52.123469999999998</v>
      </c>
      <c r="M9609">
        <v>0.61447940000000001</v>
      </c>
      <c r="N9609">
        <v>0</v>
      </c>
      <c r="O9609">
        <v>0.78892929999999994</v>
      </c>
      <c r="P9609">
        <v>0.5990896</v>
      </c>
      <c r="Q9609">
        <v>-2.9335139999999999E-2</v>
      </c>
      <c r="R9609">
        <v>0.80014439999999998</v>
      </c>
      <c r="S9609">
        <v>1.7004239999999999</v>
      </c>
      <c r="T9609">
        <v>-0.27130530000000003</v>
      </c>
      <c r="U9609">
        <v>2.46637</v>
      </c>
      <c r="V9609">
        <v>-1.897037E-2</v>
      </c>
      <c r="W9609">
        <v>-2.69818E-2</v>
      </c>
      <c r="X9609">
        <v>0.99945589999999995</v>
      </c>
      <c r="Y9609">
        <v>-5.9829840000000002E-2</v>
      </c>
      <c r="Z9609">
        <v>-6.9549689999999997E-2</v>
      </c>
      <c r="AA9609">
        <v>0.99578270000000002</v>
      </c>
      <c r="AB9609">
        <v>17</v>
      </c>
      <c r="AC9609">
        <v>6.8986000000000098</v>
      </c>
      <c r="AD9609">
        <v>-1.1095645012090001</v>
      </c>
      <c r="AE9609">
        <v>10.013450000000001</v>
      </c>
      <c r="AF9609">
        <v>-0.70468561688821896</v>
      </c>
      <c r="AG9609">
        <v>-1.1095645012090001</v>
      </c>
      <c r="AH9609">
        <v>12.038746983851601</v>
      </c>
      <c r="AI9609">
        <v>95.256904744941295</v>
      </c>
      <c r="AJ9609">
        <v>93.349974310293405</v>
      </c>
      <c r="AK9609">
        <v>12.1102908363998</v>
      </c>
      <c r="AL9609">
        <v>91.546130912992993</v>
      </c>
      <c r="AM9609">
        <v>91.0873832829066</v>
      </c>
      <c r="AN9609">
        <v>0.99999999425699304</v>
      </c>
    </row>
    <row r="9610" spans="1:40" x14ac:dyDescent="0.25">
      <c r="A9610" t="str">
        <f>"20190312154140525"</f>
        <v>20190312154140525</v>
      </c>
      <c r="B9610" t="str">
        <f>"1552376500515765"</f>
        <v>1552376500515765</v>
      </c>
      <c r="C9610" t="s">
        <v>40</v>
      </c>
      <c r="D9610">
        <v>4.13558</v>
      </c>
      <c r="E9610">
        <v>0.50329020000000002</v>
      </c>
      <c r="F9610" t="s">
        <v>69</v>
      </c>
      <c r="G9610">
        <v>-190.70249999999999</v>
      </c>
      <c r="H9610" s="1">
        <v>-5.541598E-6</v>
      </c>
      <c r="I9610">
        <v>-41.999679999999998</v>
      </c>
      <c r="J9610">
        <v>-197.60509999999999</v>
      </c>
      <c r="K9610">
        <v>1.1095379999999999</v>
      </c>
      <c r="L9610">
        <v>-52.04721</v>
      </c>
      <c r="M9610">
        <v>0.61352039999999997</v>
      </c>
      <c r="N9610">
        <v>0</v>
      </c>
      <c r="O9610">
        <v>0.78967600000000004</v>
      </c>
      <c r="P9610">
        <v>0.59799279999999999</v>
      </c>
      <c r="Q9610">
        <v>-2.918107E-2</v>
      </c>
      <c r="R9610">
        <v>0.80097010000000002</v>
      </c>
      <c r="S9610">
        <v>1.6972659999999999</v>
      </c>
      <c r="T9610">
        <v>-0.27056079999999999</v>
      </c>
      <c r="U9610">
        <v>2.4686279999999998</v>
      </c>
      <c r="V9610">
        <v>-1.9126629999999999E-2</v>
      </c>
      <c r="W9610">
        <v>-2.709951E-2</v>
      </c>
      <c r="X9610">
        <v>0.9994497</v>
      </c>
      <c r="Y9610">
        <v>-5.9899069999999999E-2</v>
      </c>
      <c r="Z9610">
        <v>-6.9426189999999999E-2</v>
      </c>
      <c r="AA9610">
        <v>0.99578719999999998</v>
      </c>
      <c r="AB9610">
        <v>17</v>
      </c>
      <c r="AC9610">
        <v>6.9025999999999996</v>
      </c>
      <c r="AD9610">
        <v>-1.1095435415979999</v>
      </c>
      <c r="AE9610">
        <v>10.04753</v>
      </c>
      <c r="AF9610">
        <v>-0.70768576393109295</v>
      </c>
      <c r="AG9610">
        <v>-1.1095435415979999</v>
      </c>
      <c r="AH9610">
        <v>12.0692176958355</v>
      </c>
      <c r="AI9610">
        <v>95.243577720276306</v>
      </c>
      <c r="AJ9610">
        <v>93.355729842136896</v>
      </c>
      <c r="AK9610">
        <v>12.140754581188199</v>
      </c>
      <c r="AL9610">
        <v>91.552877723973694</v>
      </c>
      <c r="AM9610">
        <v>91.096344742077903</v>
      </c>
      <c r="AN9610">
        <v>0.99999995712374201</v>
      </c>
    </row>
    <row r="9611" spans="1:40" x14ac:dyDescent="0.25">
      <c r="A9611" t="str">
        <f>"20190312154140535"</f>
        <v>20190312154140535</v>
      </c>
      <c r="B9611" t="str">
        <f>"1552376500525525"</f>
        <v>1552376500525525</v>
      </c>
      <c r="C9611" t="s">
        <v>40</v>
      </c>
      <c r="D9611">
        <v>3.188037</v>
      </c>
      <c r="E9611">
        <v>0.50483049999999996</v>
      </c>
      <c r="F9611" t="s">
        <v>41</v>
      </c>
      <c r="G9611">
        <v>-197.13910000000001</v>
      </c>
      <c r="H9611">
        <v>0.94388209999999995</v>
      </c>
      <c r="I9611">
        <v>-51.425040000000003</v>
      </c>
      <c r="J9611">
        <v>-197.5513</v>
      </c>
      <c r="K9611">
        <v>1.1095189999999999</v>
      </c>
      <c r="L9611">
        <v>-51.97598</v>
      </c>
      <c r="M9611">
        <v>0.61262519999999998</v>
      </c>
      <c r="N9611">
        <v>0</v>
      </c>
      <c r="O9611">
        <v>0.79037139999999995</v>
      </c>
      <c r="P9611">
        <v>0.59671660000000004</v>
      </c>
      <c r="Q9611">
        <v>-2.880137E-2</v>
      </c>
      <c r="R9611">
        <v>0.80193510000000001</v>
      </c>
      <c r="S9611">
        <v>1.7880400000000001</v>
      </c>
      <c r="T9611">
        <v>-0.63566719999999999</v>
      </c>
      <c r="U9611">
        <v>2.3873899999999999</v>
      </c>
      <c r="V9611">
        <v>-1.9593260000000001E-2</v>
      </c>
      <c r="W9611">
        <v>-2.6973400000000002E-2</v>
      </c>
      <c r="X9611">
        <v>0.99944409999999895</v>
      </c>
      <c r="Y9611">
        <v>-2.6820589999999998E-2</v>
      </c>
      <c r="Z9611">
        <v>-0.16369610000000001</v>
      </c>
      <c r="AA9611">
        <v>0.98614619999999997</v>
      </c>
      <c r="AB9611">
        <v>17</v>
      </c>
      <c r="AC9611">
        <v>0.41219999999998402</v>
      </c>
      <c r="AD9611">
        <v>-0.1656369</v>
      </c>
      <c r="AE9611">
        <v>0.55093999999999699</v>
      </c>
      <c r="AF9611">
        <v>-1.10862213692292E-2</v>
      </c>
      <c r="AG9611">
        <v>-0.1656369</v>
      </c>
      <c r="AH9611">
        <v>0.65028891906095698</v>
      </c>
      <c r="AI9611">
        <v>104.288108011283</v>
      </c>
      <c r="AJ9611">
        <v>90.976692282296696</v>
      </c>
      <c r="AK9611">
        <v>0.67114392286552504</v>
      </c>
      <c r="AL9611">
        <v>91.545649468162694</v>
      </c>
      <c r="AM9611">
        <v>91.123091649611695</v>
      </c>
      <c r="AN9611">
        <v>0.99999998458489803</v>
      </c>
    </row>
    <row r="9612" spans="1:40" x14ac:dyDescent="0.25">
      <c r="A9612" t="str">
        <f>"20190312154140682"</f>
        <v>20190312154140682</v>
      </c>
      <c r="B9612" t="str">
        <f>"1552376500675868"</f>
        <v>1552376500675868</v>
      </c>
      <c r="C9612" t="s">
        <v>40</v>
      </c>
      <c r="D9612">
        <v>3.5873270000000002</v>
      </c>
      <c r="E9612">
        <v>0.50273500000000004</v>
      </c>
      <c r="F9612" t="s">
        <v>41</v>
      </c>
      <c r="G9612">
        <v>-196.471</v>
      </c>
      <c r="H9612">
        <v>0.90105349999999995</v>
      </c>
      <c r="I9612">
        <v>-50.502450000000003</v>
      </c>
      <c r="J9612">
        <v>-196.83</v>
      </c>
      <c r="K9612">
        <v>1.109378</v>
      </c>
      <c r="L9612">
        <v>-51.00562</v>
      </c>
      <c r="M9612">
        <v>0.60071180000000002</v>
      </c>
      <c r="N9612">
        <v>0</v>
      </c>
      <c r="O9612">
        <v>0.79946519999999899</v>
      </c>
      <c r="P9612">
        <v>0.58368929999999997</v>
      </c>
      <c r="Q9612">
        <v>-2.713256E-2</v>
      </c>
      <c r="R9612">
        <v>0.81152369999999996</v>
      </c>
      <c r="S9612">
        <v>1.7326809999999999</v>
      </c>
      <c r="T9612">
        <v>-0.87729099999999904</v>
      </c>
      <c r="U9612">
        <v>2.4211119999999999</v>
      </c>
      <c r="V9612">
        <v>-2.0771700000000001E-2</v>
      </c>
      <c r="W9612">
        <v>-2.7999159999999999E-2</v>
      </c>
      <c r="X9612">
        <v>0.99939210000000001</v>
      </c>
      <c r="Y9612">
        <v>-4.1871940000000003E-2</v>
      </c>
      <c r="Z9612">
        <v>-0.2240374</v>
      </c>
      <c r="AA9612">
        <v>0.97368060000000001</v>
      </c>
      <c r="AB9612">
        <v>19</v>
      </c>
      <c r="AC9612">
        <v>0.35900000000003701</v>
      </c>
      <c r="AD9612">
        <v>-0.2083245</v>
      </c>
      <c r="AE9612">
        <v>0.50316999999999701</v>
      </c>
      <c r="AF9612">
        <v>-1.36963578084737E-2</v>
      </c>
      <c r="AG9612">
        <v>-0.2083245</v>
      </c>
      <c r="AH9612">
        <v>0.55489141313700796</v>
      </c>
      <c r="AI9612">
        <v>110.572047431546</v>
      </c>
      <c r="AJ9612">
        <v>91.413941843317204</v>
      </c>
      <c r="AK9612">
        <v>0.59286690571379796</v>
      </c>
      <c r="AL9612">
        <v>91.6044433903986</v>
      </c>
      <c r="AM9612">
        <v>91.190683229758804</v>
      </c>
      <c r="AN9612">
        <v>0.99999999301200204</v>
      </c>
    </row>
    <row r="9613" spans="1:40" x14ac:dyDescent="0.25">
      <c r="A9613" t="str">
        <f>"20190312154140693"</f>
        <v>20190312154140693</v>
      </c>
      <c r="B9613" t="str">
        <f>"1552376500685628"</f>
        <v>1552376500685628</v>
      </c>
      <c r="C9613" t="s">
        <v>40</v>
      </c>
      <c r="D9613">
        <v>4.0187670000000004</v>
      </c>
      <c r="E9613">
        <v>0.50095109999999998</v>
      </c>
      <c r="F9613" t="s">
        <v>41</v>
      </c>
      <c r="G9613">
        <v>-196.376</v>
      </c>
      <c r="H9613">
        <v>0.87014570000000002</v>
      </c>
      <c r="I9613">
        <v>-50.371659999999999</v>
      </c>
      <c r="J9613">
        <v>-196.77029999999999</v>
      </c>
      <c r="K9613">
        <v>1.1093759999999999</v>
      </c>
      <c r="L9613">
        <v>-50.924010000000003</v>
      </c>
      <c r="M9613">
        <v>0.5997323</v>
      </c>
      <c r="N9613">
        <v>0</v>
      </c>
      <c r="O9613">
        <v>0.80020019999999903</v>
      </c>
      <c r="P9613">
        <v>0.58237519999999998</v>
      </c>
      <c r="Q9613">
        <v>-2.696339E-2</v>
      </c>
      <c r="R9613">
        <v>0.8124728</v>
      </c>
      <c r="S9613">
        <v>1.732834</v>
      </c>
      <c r="T9613">
        <v>-0.91317760000000003</v>
      </c>
      <c r="U9613">
        <v>2.419861</v>
      </c>
      <c r="V9613">
        <v>-2.1167729999999999E-2</v>
      </c>
      <c r="W9613">
        <v>-2.7979090000000002E-2</v>
      </c>
      <c r="X9613">
        <v>0.9993843</v>
      </c>
      <c r="Y9613">
        <v>-4.1879010000000001E-2</v>
      </c>
      <c r="Z9613">
        <v>-0.23284659999999999</v>
      </c>
      <c r="AA9613">
        <v>0.97161140000000001</v>
      </c>
      <c r="AB9613">
        <v>19</v>
      </c>
      <c r="AC9613">
        <v>0.39430000000001503</v>
      </c>
      <c r="AD9613">
        <v>-0.23923029999999901</v>
      </c>
      <c r="AE9613">
        <v>0.55234999999999701</v>
      </c>
      <c r="AF9613">
        <v>-1.40031269231582E-2</v>
      </c>
      <c r="AG9613">
        <v>-0.23923029999999901</v>
      </c>
      <c r="AH9613">
        <v>0.60347538367811604</v>
      </c>
      <c r="AI9613">
        <v>111.61913073933199</v>
      </c>
      <c r="AJ9613">
        <v>91.329260716495199</v>
      </c>
      <c r="AK9613">
        <v>0.64931484097251801</v>
      </c>
      <c r="AL9613">
        <v>91.603293097337698</v>
      </c>
      <c r="AM9613">
        <v>91.213387354884304</v>
      </c>
      <c r="AN9613">
        <v>0.99999994067853304</v>
      </c>
    </row>
    <row r="9614" spans="1:40" x14ac:dyDescent="0.25">
      <c r="A9614" t="str">
        <f>"20190312154140706"</f>
        <v>20190312154140706</v>
      </c>
      <c r="B9614" t="str">
        <f>"1552376500695390"</f>
        <v>1552376500695390</v>
      </c>
      <c r="C9614" t="s">
        <v>40</v>
      </c>
      <c r="D9614">
        <v>4.4220119999999996</v>
      </c>
      <c r="E9614">
        <v>0.49727349999999998</v>
      </c>
      <c r="F9614" t="s">
        <v>41</v>
      </c>
      <c r="G9614">
        <v>-196.37180000000001</v>
      </c>
      <c r="H9614">
        <v>0.89874240000000005</v>
      </c>
      <c r="I9614">
        <v>-50.360210000000002</v>
      </c>
      <c r="J9614">
        <v>-196.70939999999999</v>
      </c>
      <c r="K9614">
        <v>1.1093740000000001</v>
      </c>
      <c r="L9614">
        <v>-50.840449999999997</v>
      </c>
      <c r="M9614">
        <v>0.59873120000000002</v>
      </c>
      <c r="N9614">
        <v>0</v>
      </c>
      <c r="O9614">
        <v>0.80094929999999998</v>
      </c>
      <c r="P9614">
        <v>0.58119709999999902</v>
      </c>
      <c r="Q9614">
        <v>-2.6921090000000002E-2</v>
      </c>
      <c r="R9614">
        <v>0.81331739999999997</v>
      </c>
      <c r="S9614">
        <v>1.718018</v>
      </c>
      <c r="T9614">
        <v>-0.90815679999999999</v>
      </c>
      <c r="U9614">
        <v>2.4308169999999998</v>
      </c>
      <c r="V9614">
        <v>-2.1365909999999998E-2</v>
      </c>
      <c r="W9614">
        <v>-2.8074209999999999E-2</v>
      </c>
      <c r="X9614">
        <v>0.99937750000000003</v>
      </c>
      <c r="Y9614">
        <v>-4.6376920000000002E-2</v>
      </c>
      <c r="Z9614">
        <v>-0.23145089999999999</v>
      </c>
      <c r="AA9614">
        <v>0.97174050000000001</v>
      </c>
      <c r="AB9614">
        <v>19</v>
      </c>
      <c r="AC9614">
        <v>0.33759999999998003</v>
      </c>
      <c r="AD9614">
        <v>-0.2106316</v>
      </c>
      <c r="AE9614">
        <v>0.480240000000002</v>
      </c>
      <c r="AF9614">
        <v>-1.51798815517611E-2</v>
      </c>
      <c r="AG9614">
        <v>-0.2106316</v>
      </c>
      <c r="AH9614">
        <v>0.51985212775594802</v>
      </c>
      <c r="AI9614">
        <v>112.048112860854</v>
      </c>
      <c r="AJ9614">
        <v>91.672583466135706</v>
      </c>
      <c r="AK9614">
        <v>0.56110813080445798</v>
      </c>
      <c r="AL9614">
        <v>91.608745077533001</v>
      </c>
      <c r="AM9614">
        <v>91.2247524161195</v>
      </c>
      <c r="AN9614">
        <v>1.00000002544175</v>
      </c>
    </row>
    <row r="9615" spans="1:40" x14ac:dyDescent="0.25">
      <c r="A9615" t="str">
        <f>"20190312154140718"</f>
        <v>20190312154140718</v>
      </c>
      <c r="B9615" t="str">
        <f>"1552376500705148"</f>
        <v>1552376500705148</v>
      </c>
      <c r="C9615" t="s">
        <v>40</v>
      </c>
      <c r="D9615">
        <v>4.6170749999999998</v>
      </c>
      <c r="E9615">
        <v>0.49603570000000002</v>
      </c>
      <c r="F9615" t="s">
        <v>41</v>
      </c>
      <c r="G9615">
        <v>-196.2782</v>
      </c>
      <c r="H9615">
        <v>0.88552430000000004</v>
      </c>
      <c r="I9615">
        <v>-50.216209999999997</v>
      </c>
      <c r="J9615">
        <v>-196.64760000000001</v>
      </c>
      <c r="K9615">
        <v>1.109372</v>
      </c>
      <c r="L9615">
        <v>-50.755549999999999</v>
      </c>
      <c r="M9615">
        <v>0.59771479999999999</v>
      </c>
      <c r="N9615">
        <v>0</v>
      </c>
      <c r="O9615">
        <v>0.80170790000000003</v>
      </c>
      <c r="P9615">
        <v>0.57987919999999904</v>
      </c>
      <c r="Q9615">
        <v>-2.697956E-2</v>
      </c>
      <c r="R9615">
        <v>0.81425559999999997</v>
      </c>
      <c r="S9615">
        <v>1.69190999999999</v>
      </c>
      <c r="T9615">
        <v>-0.87876589999999999</v>
      </c>
      <c r="U9615">
        <v>2.4504700000000001</v>
      </c>
      <c r="V9615">
        <v>-2.171462E-2</v>
      </c>
      <c r="W9615">
        <v>-2.8266449999999999E-2</v>
      </c>
      <c r="X9615">
        <v>0.99936460000000005</v>
      </c>
      <c r="Y9615">
        <v>-5.4471619999999998E-2</v>
      </c>
      <c r="Z9615">
        <v>-0.2239014</v>
      </c>
      <c r="AA9615">
        <v>0.97308839999999996</v>
      </c>
      <c r="AB9615">
        <v>20</v>
      </c>
      <c r="AC9615">
        <v>0.369400000000013</v>
      </c>
      <c r="AD9615">
        <v>-0.22384770000000001</v>
      </c>
      <c r="AE9615">
        <v>0.53934000000000204</v>
      </c>
      <c r="AF9615">
        <v>-2.34688093566142E-2</v>
      </c>
      <c r="AG9615">
        <v>-0.22384770000000001</v>
      </c>
      <c r="AH9615">
        <v>0.58463828559097597</v>
      </c>
      <c r="AI9615">
        <v>110.93556438393399</v>
      </c>
      <c r="AJ9615">
        <v>92.298758371115497</v>
      </c>
      <c r="AK9615">
        <v>0.62646668130608696</v>
      </c>
      <c r="AL9615">
        <v>91.619763934398506</v>
      </c>
      <c r="AM9615">
        <v>91.244751251262997</v>
      </c>
      <c r="AN9615">
        <v>1.0000000603252499</v>
      </c>
    </row>
    <row r="9616" spans="1:40" x14ac:dyDescent="0.25">
      <c r="A9616" t="str">
        <f>"20190312154140730"</f>
        <v>20190312154140730</v>
      </c>
      <c r="B9616" t="str">
        <f>"1552376500725644"</f>
        <v>1552376500725644</v>
      </c>
      <c r="C9616" t="s">
        <v>40</v>
      </c>
      <c r="D9616">
        <v>4.5705910000000003</v>
      </c>
      <c r="E9616">
        <v>0.49413689999999999</v>
      </c>
      <c r="F9616" t="s">
        <v>41</v>
      </c>
      <c r="G9616">
        <v>-196.1799</v>
      </c>
      <c r="H9616">
        <v>0.875374599999999</v>
      </c>
      <c r="I9616">
        <v>-50.071719999999999</v>
      </c>
      <c r="J9616">
        <v>-196.58109999999999</v>
      </c>
      <c r="K9616">
        <v>1.109375</v>
      </c>
      <c r="L9616">
        <v>-50.663849999999996</v>
      </c>
      <c r="M9616">
        <v>0.59661969999999998</v>
      </c>
      <c r="N9616">
        <v>0</v>
      </c>
      <c r="O9616">
        <v>0.80252299999999999</v>
      </c>
      <c r="P9616">
        <v>0.57850840000000003</v>
      </c>
      <c r="Q9616">
        <v>-2.7130189999999998E-2</v>
      </c>
      <c r="R9616">
        <v>0.81522519999999998</v>
      </c>
      <c r="S9616">
        <v>1.681656</v>
      </c>
      <c r="T9616">
        <v>-0.8413699</v>
      </c>
      <c r="U9616">
        <v>2.4588619999999999</v>
      </c>
      <c r="V9616">
        <v>-2.2027049999999999E-2</v>
      </c>
      <c r="W9616">
        <v>-2.854164E-2</v>
      </c>
      <c r="X9616">
        <v>0.99934990000000001</v>
      </c>
      <c r="Y9616">
        <v>-5.597183E-2</v>
      </c>
      <c r="Z9616">
        <v>-0.21499570000000001</v>
      </c>
      <c r="AA9616">
        <v>0.97500969999999998</v>
      </c>
      <c r="AB9616">
        <v>20</v>
      </c>
      <c r="AC9616">
        <v>0.40119999999998801</v>
      </c>
      <c r="AD9616">
        <v>-0.2340004</v>
      </c>
      <c r="AE9616">
        <v>0.59212999999999705</v>
      </c>
      <c r="AF9616">
        <v>-2.8277572396211901E-2</v>
      </c>
      <c r="AG9616">
        <v>-0.2340004</v>
      </c>
      <c r="AH9616">
        <v>0.64547489186995399</v>
      </c>
      <c r="AI9616">
        <v>109.909222896383</v>
      </c>
      <c r="AJ9616">
        <v>92.508463560921996</v>
      </c>
      <c r="AK9616">
        <v>0.68716347715468096</v>
      </c>
      <c r="AL9616">
        <v>91.635537590302704</v>
      </c>
      <c r="AM9616">
        <v>91.262673545232502</v>
      </c>
      <c r="AN9616">
        <v>1.0000000193878</v>
      </c>
    </row>
    <row r="9617" spans="1:40" x14ac:dyDescent="0.25">
      <c r="A9617" t="str">
        <f>"20190312154140747"</f>
        <v>20190312154140747</v>
      </c>
      <c r="B9617" t="str">
        <f>"1552376500735913"</f>
        <v>1552376500735913</v>
      </c>
      <c r="C9617" t="s">
        <v>40</v>
      </c>
      <c r="D9617">
        <v>4.67157</v>
      </c>
      <c r="E9617">
        <v>0.4933592</v>
      </c>
      <c r="F9617" t="s">
        <v>41</v>
      </c>
      <c r="G9617">
        <v>-196.1703</v>
      </c>
      <c r="H9617">
        <v>0.92154630000000004</v>
      </c>
      <c r="I9617">
        <v>-50.055639999999997</v>
      </c>
      <c r="J9617">
        <v>-196.49510000000001</v>
      </c>
      <c r="K9617">
        <v>1.1093679999999999</v>
      </c>
      <c r="L9617">
        <v>-50.544890000000002</v>
      </c>
      <c r="M9617">
        <v>0.59520019999999996</v>
      </c>
      <c r="N9617">
        <v>0</v>
      </c>
      <c r="O9617">
        <v>0.80357609999999902</v>
      </c>
      <c r="P9617">
        <v>0.57623899999999995</v>
      </c>
      <c r="Q9617">
        <v>-2.757828E-2</v>
      </c>
      <c r="R9617">
        <v>0.81681590000000004</v>
      </c>
      <c r="S9617">
        <v>1.668671</v>
      </c>
      <c r="T9617">
        <v>-0.76291469999999995</v>
      </c>
      <c r="U9617">
        <v>2.4704280000000001</v>
      </c>
      <c r="V9617">
        <v>-2.3027820000000001E-2</v>
      </c>
      <c r="W9617">
        <v>-2.913934E-2</v>
      </c>
      <c r="X9617">
        <v>0.99931009999999998</v>
      </c>
      <c r="Y9617">
        <v>-5.7020599999999998E-2</v>
      </c>
      <c r="Z9617">
        <v>-0.19606750000000001</v>
      </c>
      <c r="AA9617">
        <v>0.97893110000000005</v>
      </c>
      <c r="AB9617">
        <v>20</v>
      </c>
      <c r="AC9617">
        <v>0.32480000000001003</v>
      </c>
      <c r="AD9617">
        <v>-0.18782170000000001</v>
      </c>
      <c r="AE9617">
        <v>0.48924999999999802</v>
      </c>
      <c r="AF9617">
        <v>-2.7397615924597399E-2</v>
      </c>
      <c r="AG9617">
        <v>-0.18782170000000001</v>
      </c>
      <c r="AH9617">
        <v>0.532046392444674</v>
      </c>
      <c r="AI9617">
        <v>109.420122751024</v>
      </c>
      <c r="AJ9617">
        <v>92.947830231139903</v>
      </c>
      <c r="AK9617">
        <v>0.56489024072171201</v>
      </c>
      <c r="AL9617">
        <v>91.669797513075494</v>
      </c>
      <c r="AM9617">
        <v>91.320074151984798</v>
      </c>
      <c r="AN9617">
        <v>1.00000002879579</v>
      </c>
    </row>
    <row r="9618" spans="1:40" x14ac:dyDescent="0.25">
      <c r="A9618" t="str">
        <f>"20190312154140759"</f>
        <v>20190312154140759</v>
      </c>
      <c r="B9618" t="str">
        <f>"1552376500755432"</f>
        <v>1552376500755432</v>
      </c>
      <c r="C9618" t="s">
        <v>40</v>
      </c>
      <c r="D9618">
        <v>4.9444739999999996</v>
      </c>
      <c r="E9618">
        <v>0.49212679999999998</v>
      </c>
      <c r="F9618" t="s">
        <v>41</v>
      </c>
      <c r="G9618">
        <v>-196.06720000000001</v>
      </c>
      <c r="H9618">
        <v>0.92357929999999999</v>
      </c>
      <c r="I9618">
        <v>-49.905970000000003</v>
      </c>
      <c r="J9618">
        <v>-196.42850000000001</v>
      </c>
      <c r="K9618">
        <v>1.109372</v>
      </c>
      <c r="L9618">
        <v>-50.45261</v>
      </c>
      <c r="M9618">
        <v>0.59409999999999996</v>
      </c>
      <c r="N9618">
        <v>0</v>
      </c>
      <c r="O9618">
        <v>0.80438969999999999</v>
      </c>
      <c r="P9618">
        <v>0.57499669999999903</v>
      </c>
      <c r="Q9618">
        <v>-2.812717E-2</v>
      </c>
      <c r="R9618">
        <v>0.81767219999999996</v>
      </c>
      <c r="S9618">
        <v>1.6588290000000001</v>
      </c>
      <c r="T9618">
        <v>-0.72067019999999904</v>
      </c>
      <c r="U9618">
        <v>2.4782099999999998</v>
      </c>
      <c r="V9618">
        <v>-2.316557E-2</v>
      </c>
      <c r="W9618">
        <v>-2.9791970000000001E-2</v>
      </c>
      <c r="X9618">
        <v>0.9992877</v>
      </c>
      <c r="Y9618">
        <v>-5.834603E-2</v>
      </c>
      <c r="Z9618">
        <v>-0.18576690000000001</v>
      </c>
      <c r="AA9618">
        <v>0.98086010000000001</v>
      </c>
      <c r="AB9618">
        <v>20</v>
      </c>
      <c r="AC9618">
        <v>0.36130000000000001</v>
      </c>
      <c r="AD9618">
        <v>-0.18579270000000001</v>
      </c>
      <c r="AE9618">
        <v>0.54663999999999602</v>
      </c>
      <c r="AF9618">
        <v>-3.1592876509734698E-2</v>
      </c>
      <c r="AG9618">
        <v>-0.18579270000000001</v>
      </c>
      <c r="AH9618">
        <v>0.60566659133884304</v>
      </c>
      <c r="AI9618">
        <v>107.03196925740301</v>
      </c>
      <c r="AJ9618">
        <v>92.985965311357006</v>
      </c>
      <c r="AK9618">
        <v>0.63430990618424299</v>
      </c>
      <c r="AL9618">
        <v>91.707206653698606</v>
      </c>
      <c r="AM9618">
        <v>91.327997634632794</v>
      </c>
      <c r="AN9618">
        <v>1.00000005624059</v>
      </c>
    </row>
    <row r="9619" spans="1:40" x14ac:dyDescent="0.25">
      <c r="A9619" t="str">
        <f>"20190312154140771"</f>
        <v>20190312154140771</v>
      </c>
      <c r="B9619" t="str">
        <f>"1552376500765193"</f>
        <v>1552376500765193</v>
      </c>
      <c r="C9619" t="s">
        <v>40</v>
      </c>
      <c r="D9619">
        <v>4.5347499999999998</v>
      </c>
      <c r="E9619">
        <v>0.49212679999999998</v>
      </c>
      <c r="F9619" t="s">
        <v>41</v>
      </c>
      <c r="G9619">
        <v>-195.96369999999999</v>
      </c>
      <c r="H9619">
        <v>0.92865799999999998</v>
      </c>
      <c r="I9619">
        <v>-49.752299999999998</v>
      </c>
      <c r="J9619">
        <v>-196.36250000000001</v>
      </c>
      <c r="K9619">
        <v>1.1093759999999999</v>
      </c>
      <c r="L9619">
        <v>-50.360810000000001</v>
      </c>
      <c r="M9619">
        <v>0.59300719999999996</v>
      </c>
      <c r="N9619">
        <v>0</v>
      </c>
      <c r="O9619">
        <v>0.80519540000000001</v>
      </c>
      <c r="P9619">
        <v>0.57377129999999998</v>
      </c>
      <c r="Q9619">
        <v>-2.8084049999999999E-2</v>
      </c>
      <c r="R9619">
        <v>0.81853399999999998</v>
      </c>
      <c r="S9619">
        <v>1.650299</v>
      </c>
      <c r="T9619">
        <v>-0.64163289999999995</v>
      </c>
      <c r="U9619">
        <v>2.4863590000000002</v>
      </c>
      <c r="V9619">
        <v>-2.330515E-2</v>
      </c>
      <c r="W9619">
        <v>-2.983821E-2</v>
      </c>
      <c r="X9619">
        <v>0.99928300000000003</v>
      </c>
      <c r="Y9619">
        <v>-5.8379970000000003E-2</v>
      </c>
      <c r="Z9619">
        <v>-0.16624839999999999</v>
      </c>
      <c r="AA9619">
        <v>0.98435430000000002</v>
      </c>
      <c r="AB9619">
        <v>20</v>
      </c>
      <c r="AC9619">
        <v>0.39880000000002203</v>
      </c>
      <c r="AD9619">
        <v>-0.18071799999999999</v>
      </c>
      <c r="AE9619">
        <v>0.60851000000000199</v>
      </c>
      <c r="AF9619">
        <v>-3.7429566684657099E-2</v>
      </c>
      <c r="AG9619">
        <v>-0.18071799999999999</v>
      </c>
      <c r="AH9619">
        <v>0.68424440208155302</v>
      </c>
      <c r="AI9619">
        <v>104.773623373528</v>
      </c>
      <c r="AJ9619">
        <v>93.131075627772304</v>
      </c>
      <c r="AK9619">
        <v>0.70869624647386298</v>
      </c>
      <c r="AL9619">
        <v>91.709857316674103</v>
      </c>
      <c r="AM9619">
        <v>91.336002636980794</v>
      </c>
      <c r="AN9619">
        <v>0.99999998144076296</v>
      </c>
    </row>
    <row r="9620" spans="1:40" x14ac:dyDescent="0.25">
      <c r="A9620" t="str">
        <f>"20190312154140783"</f>
        <v>20190312154140783</v>
      </c>
      <c r="B9620" t="str">
        <f>"1552376500775929"</f>
        <v>1552376500775929</v>
      </c>
      <c r="C9620" t="s">
        <v>40</v>
      </c>
      <c r="D9620">
        <v>4.6183920000000001</v>
      </c>
      <c r="E9620">
        <v>0.48452699999999999</v>
      </c>
      <c r="F9620" t="s">
        <v>41</v>
      </c>
      <c r="G9620">
        <v>-195.95580000000001</v>
      </c>
      <c r="H9620">
        <v>0.95094590000000001</v>
      </c>
      <c r="I9620">
        <v>-49.746139999999997</v>
      </c>
      <c r="J9620">
        <v>-196.2989</v>
      </c>
      <c r="K9620">
        <v>1.1093789999999999</v>
      </c>
      <c r="L9620">
        <v>-50.271999999999998</v>
      </c>
      <c r="M9620">
        <v>0.59195180000000003</v>
      </c>
      <c r="N9620">
        <v>0</v>
      </c>
      <c r="O9620">
        <v>0.8059714</v>
      </c>
      <c r="P9620">
        <v>0.57252190000000003</v>
      </c>
      <c r="Q9620">
        <v>-2.8538939999999999E-2</v>
      </c>
      <c r="R9620">
        <v>0.81939259999999903</v>
      </c>
      <c r="S9620">
        <v>1.64674399999999</v>
      </c>
      <c r="T9620">
        <v>-0.6415149</v>
      </c>
      <c r="U9620">
        <v>2.4887700000000001</v>
      </c>
      <c r="V9620">
        <v>-2.3508709999999999E-2</v>
      </c>
      <c r="W9620">
        <v>-3.0371160000000001E-2</v>
      </c>
      <c r="X9620">
        <v>0.99926219999999999</v>
      </c>
      <c r="Y9620">
        <v>-5.8493860000000002E-2</v>
      </c>
      <c r="Z9620">
        <v>-0.1663772</v>
      </c>
      <c r="AA9620">
        <v>0.98432569999999997</v>
      </c>
      <c r="AB9620">
        <v>20</v>
      </c>
      <c r="AC9620">
        <v>0.34309999999999202</v>
      </c>
      <c r="AD9620">
        <v>-0.15843309999999999</v>
      </c>
      <c r="AE9620">
        <v>0.525859999999994</v>
      </c>
      <c r="AF9620">
        <v>-3.2674694676071502E-2</v>
      </c>
      <c r="AG9620">
        <v>-0.15843309999999999</v>
      </c>
      <c r="AH9620">
        <v>0.58940150617976395</v>
      </c>
      <c r="AI9620">
        <v>105.023628667984</v>
      </c>
      <c r="AJ9620">
        <v>93.173062447034795</v>
      </c>
      <c r="AK9620">
        <v>0.611197855309358</v>
      </c>
      <c r="AL9620">
        <v>91.740406907858301</v>
      </c>
      <c r="AM9620">
        <v>91.3476957758228</v>
      </c>
      <c r="AN9620">
        <v>1.00000000557722</v>
      </c>
    </row>
    <row r="9621" spans="1:40" x14ac:dyDescent="0.25">
      <c r="A9621" t="str">
        <f>"20190312154140797"</f>
        <v>20190312154140797</v>
      </c>
      <c r="B9621" t="str">
        <f>"1552376500785690"</f>
        <v>1552376500785690</v>
      </c>
      <c r="C9621" t="s">
        <v>40</v>
      </c>
      <c r="D9621">
        <v>4.4670690000000004</v>
      </c>
      <c r="E9621">
        <v>0.48584460000000002</v>
      </c>
      <c r="F9621" t="s">
        <v>42</v>
      </c>
      <c r="G9621">
        <v>-176.4023</v>
      </c>
      <c r="H9621">
        <v>7.9985870000000001E-2</v>
      </c>
      <c r="I9621">
        <v>-19.142150000000001</v>
      </c>
      <c r="J9621">
        <v>-196.22540000000001</v>
      </c>
      <c r="K9621">
        <v>1.10938799999999</v>
      </c>
      <c r="L9621">
        <v>-50.169310000000003</v>
      </c>
      <c r="M9621">
        <v>0.59073120000000001</v>
      </c>
      <c r="N9621">
        <v>0</v>
      </c>
      <c r="O9621">
        <v>0.80686630000000004</v>
      </c>
      <c r="P9621">
        <v>0.57118619999999898</v>
      </c>
      <c r="Q9621">
        <v>-2.8529369999999998E-2</v>
      </c>
      <c r="R9621">
        <v>0.82032459999999996</v>
      </c>
      <c r="S9621">
        <v>1.616379</v>
      </c>
      <c r="T9621">
        <v>-8.3626989999999998E-2</v>
      </c>
      <c r="U9621">
        <v>2.5289609999999998</v>
      </c>
      <c r="V9621">
        <v>-2.362301E-2</v>
      </c>
      <c r="W9621">
        <v>-3.044266E-2</v>
      </c>
      <c r="X9621">
        <v>0.99925730000000001</v>
      </c>
      <c r="Y9621">
        <v>-6.3376360000000007E-2</v>
      </c>
      <c r="Z9621">
        <v>-2.1952389999999999E-2</v>
      </c>
      <c r="AA9621">
        <v>0.99774830000000003</v>
      </c>
      <c r="AB9621">
        <v>21</v>
      </c>
      <c r="AC9621">
        <v>19.8231</v>
      </c>
      <c r="AD9621">
        <v>-1.02940212999999</v>
      </c>
      <c r="AE9621">
        <v>31.027159999999899</v>
      </c>
      <c r="AF9621">
        <v>-2.33230100356396</v>
      </c>
      <c r="AG9621">
        <v>-1.02940212999999</v>
      </c>
      <c r="AH9621">
        <v>36.716256184061002</v>
      </c>
      <c r="AI9621">
        <v>91.602734413370698</v>
      </c>
      <c r="AJ9621">
        <v>93.634676147757006</v>
      </c>
      <c r="AK9621">
        <v>36.8046568370101</v>
      </c>
      <c r="AL9621">
        <v>91.744505501310002</v>
      </c>
      <c r="AM9621">
        <v>91.354252514059297</v>
      </c>
      <c r="AN9621">
        <v>0.99999997687631204</v>
      </c>
    </row>
    <row r="9622" spans="1:40" x14ac:dyDescent="0.25">
      <c r="A9622" t="str">
        <f>"20190312154140815"</f>
        <v>20190312154140815</v>
      </c>
      <c r="B9622" t="str">
        <f>"1552376500805208"</f>
        <v>1552376500805208</v>
      </c>
      <c r="C9622" t="s">
        <v>40</v>
      </c>
      <c r="D9622">
        <v>4.5951069999999996</v>
      </c>
      <c r="E9622">
        <v>0.48579280000000002</v>
      </c>
      <c r="F9622" t="s">
        <v>43</v>
      </c>
      <c r="G9622">
        <v>-161.62309999999999</v>
      </c>
      <c r="H9622">
        <v>-0.05</v>
      </c>
      <c r="I9622">
        <v>3.701889</v>
      </c>
      <c r="J9622">
        <v>-196.12700000000001</v>
      </c>
      <c r="K9622">
        <v>1.1094040000000001</v>
      </c>
      <c r="L9622">
        <v>-50.031219999999998</v>
      </c>
      <c r="M9622">
        <v>0.58909679999999998</v>
      </c>
      <c r="N9622">
        <v>0</v>
      </c>
      <c r="O9622">
        <v>0.80806020000000001</v>
      </c>
      <c r="P9622">
        <v>0.56963260000000004</v>
      </c>
      <c r="Q9622">
        <v>-2.8664720000000001E-2</v>
      </c>
      <c r="R9622">
        <v>0.82139949999999995</v>
      </c>
      <c r="S9622">
        <v>1.6222529999999999</v>
      </c>
      <c r="T9622">
        <v>-5.4355380000000002E-2</v>
      </c>
      <c r="U9622">
        <v>2.5256349999999999</v>
      </c>
      <c r="V9622">
        <v>-2.3486590000000002E-2</v>
      </c>
      <c r="W9622">
        <v>-3.0657790000000001E-2</v>
      </c>
      <c r="X9622">
        <v>0.99925399999999998</v>
      </c>
      <c r="Y9622">
        <v>-5.9022379999999999E-2</v>
      </c>
      <c r="Z9622">
        <v>-1.431524E-2</v>
      </c>
      <c r="AA9622">
        <v>0.99815399999999999</v>
      </c>
      <c r="AB9622">
        <v>21</v>
      </c>
      <c r="AC9622">
        <v>34.503900000000002</v>
      </c>
      <c r="AD9622">
        <v>-1.1594040000000001</v>
      </c>
      <c r="AE9622">
        <v>53.733108999999999</v>
      </c>
      <c r="AF9622">
        <v>-3.7715378898065501</v>
      </c>
      <c r="AG9622">
        <v>-1.1594040000000001</v>
      </c>
      <c r="AH9622">
        <v>63.724834354068101</v>
      </c>
      <c r="AI9622">
        <v>91.040498992955705</v>
      </c>
      <c r="AJ9622">
        <v>93.387084825849698</v>
      </c>
      <c r="AK9622">
        <v>63.846873291829098</v>
      </c>
      <c r="AL9622">
        <v>91.756837190873398</v>
      </c>
      <c r="AM9622">
        <v>91.3464392032364</v>
      </c>
      <c r="AN9622">
        <v>1.00000003825675</v>
      </c>
    </row>
    <row r="9623" spans="1:40" x14ac:dyDescent="0.25">
      <c r="A9623" t="str">
        <f>"20190312154140829"</f>
        <v>20190312154140829</v>
      </c>
      <c r="B9623" t="str">
        <f>"1552376500825705"</f>
        <v>1552376500825705</v>
      </c>
      <c r="C9623" t="s">
        <v>40</v>
      </c>
      <c r="D9623">
        <v>4.5664480000000003</v>
      </c>
      <c r="E9623">
        <v>0.4857804</v>
      </c>
      <c r="F9623" t="s">
        <v>42</v>
      </c>
      <c r="G9623">
        <v>-177.71</v>
      </c>
      <c r="H9623">
        <v>7.9986680000000004E-2</v>
      </c>
      <c r="I9623">
        <v>-21.202909999999999</v>
      </c>
      <c r="J9623">
        <v>-196.053</v>
      </c>
      <c r="K9623">
        <v>1.1094200000000001</v>
      </c>
      <c r="L9623">
        <v>-49.926850000000002</v>
      </c>
      <c r="M9623">
        <v>0.58786579999999999</v>
      </c>
      <c r="N9623">
        <v>0</v>
      </c>
      <c r="O9623">
        <v>0.80895609999999996</v>
      </c>
      <c r="P9623">
        <v>0.56833940000000005</v>
      </c>
      <c r="Q9623">
        <v>-2.8515220000000001E-2</v>
      </c>
      <c r="R9623">
        <v>0.82230000000000003</v>
      </c>
      <c r="S9623">
        <v>1.61554</v>
      </c>
      <c r="T9623">
        <v>-9.0300080000000005E-2</v>
      </c>
      <c r="U9623">
        <v>2.5288089999999999</v>
      </c>
      <c r="V9623">
        <v>-2.3539549999999999E-2</v>
      </c>
      <c r="W9623">
        <v>-3.054867E-2</v>
      </c>
      <c r="X9623">
        <v>0.99925609999999998</v>
      </c>
      <c r="Y9623">
        <v>-6.0072109999999998E-2</v>
      </c>
      <c r="Z9623">
        <v>-2.3802299999999998E-2</v>
      </c>
      <c r="AA9623">
        <v>0.99791019999999997</v>
      </c>
      <c r="AB9623">
        <v>21</v>
      </c>
      <c r="AC9623">
        <v>18.3429999999999</v>
      </c>
      <c r="AD9623">
        <v>-1.0294333200000001</v>
      </c>
      <c r="AE9623">
        <v>28.723939999999999</v>
      </c>
      <c r="AF9623">
        <v>-2.0452781163218501</v>
      </c>
      <c r="AG9623">
        <v>-1.0294333200000001</v>
      </c>
      <c r="AH9623">
        <v>33.988684097458297</v>
      </c>
      <c r="AI9623">
        <v>91.731686825389104</v>
      </c>
      <c r="AJ9623">
        <v>93.443636254472594</v>
      </c>
      <c r="AK9623">
        <v>34.065723861533399</v>
      </c>
      <c r="AL9623">
        <v>91.750582138392204</v>
      </c>
      <c r="AM9623">
        <v>91.349471337669698</v>
      </c>
      <c r="AN9623">
        <v>1.0000000425200799</v>
      </c>
    </row>
    <row r="9624" spans="1:40" x14ac:dyDescent="0.25">
      <c r="A9624" t="str">
        <f>"20190312154140841"</f>
        <v>20190312154140841</v>
      </c>
      <c r="B9624" t="str">
        <f>"1552376500835975"</f>
        <v>1552376500835975</v>
      </c>
      <c r="C9624" t="s">
        <v>40</v>
      </c>
      <c r="D9624">
        <v>4.5809829999999998</v>
      </c>
      <c r="E9624">
        <v>0.48606870000000002</v>
      </c>
      <c r="F9624" t="s">
        <v>42</v>
      </c>
      <c r="G9624">
        <v>-179.95779999999999</v>
      </c>
      <c r="H9624">
        <v>1.463385E-2</v>
      </c>
      <c r="I9624">
        <v>-24.633690000000001</v>
      </c>
      <c r="J9624">
        <v>-195.98150000000001</v>
      </c>
      <c r="K9624">
        <v>1.1094379999999999</v>
      </c>
      <c r="L9624">
        <v>-49.825870000000002</v>
      </c>
      <c r="M9624">
        <v>0.58667740000000002</v>
      </c>
      <c r="N9624">
        <v>0</v>
      </c>
      <c r="O9624">
        <v>0.80981829999999999</v>
      </c>
      <c r="P9624">
        <v>0.56693079999999996</v>
      </c>
      <c r="Q9624">
        <v>-2.8494599999999998E-2</v>
      </c>
      <c r="R9624">
        <v>0.82327249999999996</v>
      </c>
      <c r="S9624">
        <v>1.610733</v>
      </c>
      <c r="T9624">
        <v>-0.10956109999999999</v>
      </c>
      <c r="U9624">
        <v>2.5312190000000001</v>
      </c>
      <c r="V9624">
        <v>-2.37816E-2</v>
      </c>
      <c r="W9624">
        <v>-3.0556130000000001E-2</v>
      </c>
      <c r="X9624">
        <v>0.99925010000000003</v>
      </c>
      <c r="Y9624">
        <v>-6.047429E-2</v>
      </c>
      <c r="Z9624">
        <v>-2.8907929999999998E-2</v>
      </c>
      <c r="AA9624">
        <v>0.9977511</v>
      </c>
      <c r="AB9624">
        <v>21</v>
      </c>
      <c r="AC9624">
        <v>16.023700000000002</v>
      </c>
      <c r="AD9624">
        <v>-1.0948041500000001</v>
      </c>
      <c r="AE9624">
        <v>25.19218</v>
      </c>
      <c r="AF9624">
        <v>-1.8009791071386001</v>
      </c>
      <c r="AG9624">
        <v>-1.0948041500000001</v>
      </c>
      <c r="AH9624">
        <v>29.761871633696199</v>
      </c>
      <c r="AI9624">
        <v>92.102858565656803</v>
      </c>
      <c r="AJ9624">
        <v>93.462914784668001</v>
      </c>
      <c r="AK9624">
        <v>29.836406033767101</v>
      </c>
      <c r="AL9624">
        <v>91.751009835554598</v>
      </c>
      <c r="AM9624">
        <v>91.363350511688495</v>
      </c>
      <c r="AN9624">
        <v>1.0000000019645701</v>
      </c>
    </row>
    <row r="9625" spans="1:40" x14ac:dyDescent="0.25">
      <c r="A9625" t="str">
        <f>"20190312154140858"</f>
        <v>20190312154140858</v>
      </c>
      <c r="B9625" t="str">
        <f>"1552376500855495"</f>
        <v>1552376500855495</v>
      </c>
      <c r="C9625" t="s">
        <v>40</v>
      </c>
      <c r="D9625">
        <v>4.5790449999999998</v>
      </c>
      <c r="E9625">
        <v>0.48588910000000002</v>
      </c>
      <c r="F9625" t="s">
        <v>42</v>
      </c>
      <c r="G9625">
        <v>-180.68819999999999</v>
      </c>
      <c r="H9625" s="1">
        <v>-4.0483989999999998E-6</v>
      </c>
      <c r="I9625">
        <v>-25.736190000000001</v>
      </c>
      <c r="J9625">
        <v>-195.89230000000001</v>
      </c>
      <c r="K9625">
        <v>1.1094649999999999</v>
      </c>
      <c r="L9625">
        <v>-49.699339999999999</v>
      </c>
      <c r="M9625">
        <v>0.58519259999999995</v>
      </c>
      <c r="N9625">
        <v>0</v>
      </c>
      <c r="O9625">
        <v>0.8108919</v>
      </c>
      <c r="P9625">
        <v>0.56486959999999997</v>
      </c>
      <c r="Q9625">
        <v>-2.8425760000000001E-2</v>
      </c>
      <c r="R9625">
        <v>0.82469049999999999</v>
      </c>
      <c r="S9625">
        <v>1.6078950000000001</v>
      </c>
      <c r="T9625">
        <v>-0.11664330000000001</v>
      </c>
      <c r="U9625">
        <v>2.532715</v>
      </c>
      <c r="V9625">
        <v>-2.445013E-2</v>
      </c>
      <c r="W9625">
        <v>-3.0503519999999999E-2</v>
      </c>
      <c r="X9625">
        <v>0.9992356</v>
      </c>
      <c r="Y9625">
        <v>-5.9746220000000003E-2</v>
      </c>
      <c r="Z9625">
        <v>-3.082872E-2</v>
      </c>
      <c r="AA9625">
        <v>0.9977374</v>
      </c>
      <c r="AB9625">
        <v>21</v>
      </c>
      <c r="AC9625">
        <v>15.2041</v>
      </c>
      <c r="AD9625">
        <v>-1.109469048399</v>
      </c>
      <c r="AE9625">
        <v>23.963149999999999</v>
      </c>
      <c r="AF9625">
        <v>-1.6915945264844401</v>
      </c>
      <c r="AG9625">
        <v>-1.109469048399</v>
      </c>
      <c r="AH9625">
        <v>28.285676797213998</v>
      </c>
      <c r="AI9625">
        <v>92.2421993661968</v>
      </c>
      <c r="AJ9625">
        <v>93.422436325763499</v>
      </c>
      <c r="AK9625">
        <v>28.357925267689001</v>
      </c>
      <c r="AL9625">
        <v>91.747994051651006</v>
      </c>
      <c r="AM9625">
        <v>91.401681221133998</v>
      </c>
      <c r="AN9625">
        <v>1.0000000289483799</v>
      </c>
    </row>
    <row r="9626" spans="1:40" x14ac:dyDescent="0.25">
      <c r="A9626" t="str">
        <f>"20190312154140870"</f>
        <v>20190312154140870</v>
      </c>
      <c r="B9626" t="str">
        <f>"1552376500865256"</f>
        <v>1552376500865256</v>
      </c>
      <c r="C9626" t="s">
        <v>40</v>
      </c>
      <c r="D9626">
        <v>4.5640869999999998</v>
      </c>
      <c r="E9626">
        <v>0.48606860000000002</v>
      </c>
      <c r="F9626" t="s">
        <v>42</v>
      </c>
      <c r="G9626">
        <v>-181.92500000000001</v>
      </c>
      <c r="H9626" s="1">
        <v>-3.102164E-6</v>
      </c>
      <c r="I9626">
        <v>-27.549679999999999</v>
      </c>
      <c r="J9626">
        <v>-195.8254</v>
      </c>
      <c r="K9626">
        <v>1.109486</v>
      </c>
      <c r="L9626">
        <v>-49.604129999999998</v>
      </c>
      <c r="M9626">
        <v>0.58407880000000001</v>
      </c>
      <c r="N9626">
        <v>0</v>
      </c>
      <c r="O9626">
        <v>0.81169449999999999</v>
      </c>
      <c r="P9626">
        <v>0.56314799999999998</v>
      </c>
      <c r="Q9626">
        <v>-2.8514850000000001E-2</v>
      </c>
      <c r="R9626">
        <v>0.82586399999999904</v>
      </c>
      <c r="S9626">
        <v>1.6000369999999999</v>
      </c>
      <c r="T9626">
        <v>-0.12709669999999901</v>
      </c>
      <c r="U9626">
        <v>2.5373839999999999</v>
      </c>
      <c r="V9626">
        <v>-2.5159540000000001E-2</v>
      </c>
      <c r="W9626">
        <v>-3.058572E-2</v>
      </c>
      <c r="X9626">
        <v>0.99921539999999998</v>
      </c>
      <c r="Y9626">
        <v>-6.1473159999999999E-2</v>
      </c>
      <c r="Z9626">
        <v>-3.3604380000000003E-2</v>
      </c>
      <c r="AA9626">
        <v>0.99754290000000001</v>
      </c>
      <c r="AB9626">
        <v>22</v>
      </c>
      <c r="AC9626">
        <v>13.9003999999999</v>
      </c>
      <c r="AD9626">
        <v>-1.1094891021640001</v>
      </c>
      <c r="AE9626">
        <v>22.054449999999999</v>
      </c>
      <c r="AF9626">
        <v>-1.5957713039780499</v>
      </c>
      <c r="AG9626">
        <v>-1.1094891021640001</v>
      </c>
      <c r="AH9626">
        <v>25.973412164016299</v>
      </c>
      <c r="AI9626">
        <v>92.441381177042402</v>
      </c>
      <c r="AJ9626">
        <v>93.515755971969</v>
      </c>
      <c r="AK9626">
        <v>26.0460283261055</v>
      </c>
      <c r="AL9626">
        <v>91.752706097780901</v>
      </c>
      <c r="AM9626">
        <v>91.442362607006899</v>
      </c>
      <c r="AN9626">
        <v>0.99999995215904303</v>
      </c>
    </row>
    <row r="9627" spans="1:40" x14ac:dyDescent="0.25">
      <c r="A9627" t="str">
        <f>"20190312154140880"</f>
        <v>20190312154140880</v>
      </c>
      <c r="B9627" t="str">
        <f>"1552376500865256"</f>
        <v>1552376500865256</v>
      </c>
      <c r="C9627" t="s">
        <v>40</v>
      </c>
      <c r="D9627">
        <v>4.5640869999999998</v>
      </c>
      <c r="E9627">
        <v>0.48606860000000002</v>
      </c>
      <c r="F9627" t="s">
        <v>42</v>
      </c>
      <c r="G9627">
        <v>-182.511</v>
      </c>
      <c r="H9627" s="1">
        <v>-2.6534910000000001E-6</v>
      </c>
      <c r="I9627">
        <v>-28.409990000000001</v>
      </c>
      <c r="J9627">
        <v>-195.76650000000001</v>
      </c>
      <c r="K9627">
        <v>1.109507</v>
      </c>
      <c r="L9627">
        <v>-49.520110000000003</v>
      </c>
      <c r="M9627">
        <v>0.58309609999999901</v>
      </c>
      <c r="N9627">
        <v>0</v>
      </c>
      <c r="O9627">
        <v>0.81240080000000003</v>
      </c>
      <c r="P9627">
        <v>0.5618824</v>
      </c>
      <c r="Q9627">
        <v>-2.84803E-2</v>
      </c>
      <c r="R9627">
        <v>0.82672670000000004</v>
      </c>
      <c r="S9627">
        <v>1.5956269999999999</v>
      </c>
      <c r="T9627">
        <v>-0.13296340000000001</v>
      </c>
      <c r="U9627">
        <v>2.5399479999999999</v>
      </c>
      <c r="V9627">
        <v>-2.548023E-2</v>
      </c>
      <c r="W9627">
        <v>-3.0539179999999999E-2</v>
      </c>
      <c r="X9627">
        <v>0.99920869999999995</v>
      </c>
      <c r="Y9627">
        <v>-6.199557E-2</v>
      </c>
      <c r="Z9627">
        <v>-3.5180980000000001E-2</v>
      </c>
      <c r="AA9627">
        <v>0.99745620000000002</v>
      </c>
      <c r="AB9627">
        <v>22</v>
      </c>
      <c r="AC9627">
        <v>13.2555</v>
      </c>
      <c r="AD9627">
        <v>-1.1095096534909901</v>
      </c>
      <c r="AE9627">
        <v>21.110119999999899</v>
      </c>
      <c r="AF9627">
        <v>-1.5374069096257901</v>
      </c>
      <c r="AG9627">
        <v>-1.1095096534909901</v>
      </c>
      <c r="AH9627">
        <v>24.829963767383699</v>
      </c>
      <c r="AI9627">
        <v>92.553636244701906</v>
      </c>
      <c r="AJ9627">
        <v>93.543082792095007</v>
      </c>
      <c r="AK9627">
        <v>24.902243520746101</v>
      </c>
      <c r="AL9627">
        <v>91.750038301049102</v>
      </c>
      <c r="AM9627">
        <v>91.460749208727094</v>
      </c>
      <c r="AN9627">
        <v>0.99999995489580595</v>
      </c>
    </row>
    <row r="9628" spans="1:40" x14ac:dyDescent="0.25">
      <c r="A9628" t="str">
        <f>"20190312154140891"</f>
        <v>20190312154140891</v>
      </c>
      <c r="B9628" t="str">
        <f>"1552376500885752"</f>
        <v>1552376500885752</v>
      </c>
      <c r="C9628" t="s">
        <v>40</v>
      </c>
      <c r="D9628">
        <v>4.5210589999999904</v>
      </c>
      <c r="E9628">
        <v>0.48657739999999999</v>
      </c>
      <c r="F9628" t="s">
        <v>42</v>
      </c>
      <c r="G9628">
        <v>-182.4701</v>
      </c>
      <c r="H9628" s="1">
        <v>-2.7078869999999998E-6</v>
      </c>
      <c r="I9628">
        <v>-28.2821</v>
      </c>
      <c r="J9628">
        <v>-195.70140000000001</v>
      </c>
      <c r="K9628">
        <v>1.109531</v>
      </c>
      <c r="L9628">
        <v>-49.426909999999999</v>
      </c>
      <c r="M9628">
        <v>0.58200629999999998</v>
      </c>
      <c r="N9628">
        <v>0</v>
      </c>
      <c r="O9628">
        <v>0.81318190000000001</v>
      </c>
      <c r="P9628">
        <v>0.56013369999999996</v>
      </c>
      <c r="Q9628">
        <v>-2.884068E-2</v>
      </c>
      <c r="R9628">
        <v>0.82789999999999997</v>
      </c>
      <c r="S9628">
        <v>1.5917049999999999</v>
      </c>
      <c r="T9628">
        <v>-0.13281870000000001</v>
      </c>
      <c r="U9628">
        <v>2.542389</v>
      </c>
      <c r="V9628">
        <v>-2.624276E-2</v>
      </c>
      <c r="W9628">
        <v>-3.0875779999999999E-2</v>
      </c>
      <c r="X9628">
        <v>0.99917860000000003</v>
      </c>
      <c r="Y9628">
        <v>-6.219293E-2</v>
      </c>
      <c r="Z9628">
        <v>-3.517642E-2</v>
      </c>
      <c r="AA9628">
        <v>0.997444</v>
      </c>
      <c r="AB9628">
        <v>22</v>
      </c>
      <c r="AC9628">
        <v>13.231299999999999</v>
      </c>
      <c r="AD9628">
        <v>-1.109533707887</v>
      </c>
      <c r="AE9628">
        <v>21.14481</v>
      </c>
      <c r="AF9628">
        <v>-1.54390707667112</v>
      </c>
      <c r="AG9628">
        <v>-1.109533707887</v>
      </c>
      <c r="AH9628">
        <v>24.8461626578897</v>
      </c>
      <c r="AI9628">
        <v>92.551993970357998</v>
      </c>
      <c r="AJ9628">
        <v>93.555710805733</v>
      </c>
      <c r="AK9628">
        <v>24.918798384605999</v>
      </c>
      <c r="AL9628">
        <v>91.769333194959003</v>
      </c>
      <c r="AM9628">
        <v>91.504489586300593</v>
      </c>
      <c r="AN9628">
        <v>0.99999993547049004</v>
      </c>
    </row>
    <row r="9629" spans="1:40" x14ac:dyDescent="0.25">
      <c r="A9629" t="str">
        <f>"20190312154140904"</f>
        <v>20190312154140904</v>
      </c>
      <c r="B9629" t="str">
        <f>"1552376500895512"</f>
        <v>1552376500895512</v>
      </c>
      <c r="C9629" t="s">
        <v>40</v>
      </c>
      <c r="D9629">
        <v>4.5361539999999998</v>
      </c>
      <c r="E9629">
        <v>0.4867901</v>
      </c>
      <c r="F9629" t="s">
        <v>42</v>
      </c>
      <c r="G9629">
        <v>-182.77950000000001</v>
      </c>
      <c r="H9629" s="1">
        <v>-2.4658199999999999E-6</v>
      </c>
      <c r="I9629">
        <v>-28.751480000000001</v>
      </c>
      <c r="J9629">
        <v>-195.6371</v>
      </c>
      <c r="K9629">
        <v>1.109553</v>
      </c>
      <c r="L9629">
        <v>-49.33466</v>
      </c>
      <c r="M9629">
        <v>0.58092699999999997</v>
      </c>
      <c r="N9629">
        <v>0</v>
      </c>
      <c r="O9629">
        <v>0.8139535</v>
      </c>
      <c r="P9629">
        <v>0.55888329999999997</v>
      </c>
      <c r="Q9629">
        <v>-2.8840749999999998E-2</v>
      </c>
      <c r="R9629">
        <v>0.82874459999999905</v>
      </c>
      <c r="S9629">
        <v>1.5895840000000001</v>
      </c>
      <c r="T9629">
        <v>-0.13648969999999999</v>
      </c>
      <c r="U9629">
        <v>2.543396</v>
      </c>
      <c r="V9629">
        <v>-2.6424309999999999E-2</v>
      </c>
      <c r="W9629">
        <v>-3.0842809999999998E-2</v>
      </c>
      <c r="X9629">
        <v>0.99917489999999998</v>
      </c>
      <c r="Y9629">
        <v>-6.1667499999999903E-2</v>
      </c>
      <c r="Z9629">
        <v>-3.619381E-2</v>
      </c>
      <c r="AA9629">
        <v>0.99744029999999995</v>
      </c>
      <c r="AB9629">
        <v>22</v>
      </c>
      <c r="AC9629">
        <v>12.8575999999999</v>
      </c>
      <c r="AD9629">
        <v>-1.10955546582</v>
      </c>
      <c r="AE9629">
        <v>20.583179999999999</v>
      </c>
      <c r="AF9629">
        <v>-1.48872733266322</v>
      </c>
      <c r="AG9629">
        <v>-1.10955546582</v>
      </c>
      <c r="AH9629">
        <v>24.172594800757601</v>
      </c>
      <c r="AI9629">
        <v>92.623147504652593</v>
      </c>
      <c r="AJ9629">
        <v>93.524246917026105</v>
      </c>
      <c r="AK9629">
        <v>24.243798419479599</v>
      </c>
      <c r="AL9629">
        <v>91.767443135363493</v>
      </c>
      <c r="AM9629">
        <v>91.514898567289507</v>
      </c>
      <c r="AN9629">
        <v>1.00000000193884</v>
      </c>
    </row>
    <row r="9630" spans="1:40" x14ac:dyDescent="0.25">
      <c r="A9630" t="str">
        <f>"20190312154140915"</f>
        <v>20190312154140915</v>
      </c>
      <c r="B9630" t="str">
        <f>"1552376500905272"</f>
        <v>1552376500905272</v>
      </c>
      <c r="C9630" t="s">
        <v>40</v>
      </c>
      <c r="D9630">
        <v>4.5494909999999997</v>
      </c>
      <c r="E9630">
        <v>0.48701699999999998</v>
      </c>
      <c r="F9630" t="s">
        <v>42</v>
      </c>
      <c r="G9630">
        <v>-182.87540000000001</v>
      </c>
      <c r="H9630" s="1">
        <v>-2.3990389999999998E-6</v>
      </c>
      <c r="I9630">
        <v>-28.872779999999999</v>
      </c>
      <c r="J9630">
        <v>-195.57159999999999</v>
      </c>
      <c r="K9630">
        <v>1.1095729999999999</v>
      </c>
      <c r="L9630">
        <v>-49.240479999999998</v>
      </c>
      <c r="M9630">
        <v>0.57982369999999905</v>
      </c>
      <c r="N9630">
        <v>0</v>
      </c>
      <c r="O9630">
        <v>0.81473989999999996</v>
      </c>
      <c r="P9630">
        <v>0.55731960000000003</v>
      </c>
      <c r="Q9630">
        <v>-2.8711420000000001E-2</v>
      </c>
      <c r="R9630">
        <v>0.82980149999999997</v>
      </c>
      <c r="S9630">
        <v>1.587143</v>
      </c>
      <c r="T9630">
        <v>-0.137993</v>
      </c>
      <c r="U9630">
        <v>2.5448</v>
      </c>
      <c r="V9630">
        <v>-2.695664E-2</v>
      </c>
      <c r="W9630">
        <v>-3.0675089999999999E-2</v>
      </c>
      <c r="X9630">
        <v>0.99916579999999999</v>
      </c>
      <c r="Y9630">
        <v>-6.1261129999999997E-2</v>
      </c>
      <c r="Z9630">
        <v>-3.6636130000000003E-2</v>
      </c>
      <c r="AA9630">
        <v>0.99744920000000004</v>
      </c>
      <c r="AB9630">
        <v>22</v>
      </c>
      <c r="AC9630">
        <v>12.6961999999999</v>
      </c>
      <c r="AD9630">
        <v>-1.1095753990389901</v>
      </c>
      <c r="AE9630">
        <v>20.367699999999999</v>
      </c>
      <c r="AF9630">
        <v>-1.4624512446145901</v>
      </c>
      <c r="AG9630">
        <v>-1.1095753990389901</v>
      </c>
      <c r="AH9630">
        <v>23.904884240294098</v>
      </c>
      <c r="AI9630">
        <v>92.652596294538895</v>
      </c>
      <c r="AJ9630">
        <v>93.500873704587605</v>
      </c>
      <c r="AK9630">
        <v>23.975266666940101</v>
      </c>
      <c r="AL9630">
        <v>91.757829014059396</v>
      </c>
      <c r="AM9630">
        <v>91.545416317341207</v>
      </c>
      <c r="AN9630">
        <v>0.99999995873811798</v>
      </c>
    </row>
    <row r="9631" spans="1:40" x14ac:dyDescent="0.25">
      <c r="A9631" t="str">
        <f>"20190312154140926"</f>
        <v>20190312154140926</v>
      </c>
      <c r="B9631" t="str">
        <f>"1552376500916008"</f>
        <v>1552376500916008</v>
      </c>
      <c r="C9631" t="s">
        <v>40</v>
      </c>
      <c r="D9631">
        <v>4.5309629999999999</v>
      </c>
      <c r="E9631">
        <v>0.4872879</v>
      </c>
      <c r="F9631" t="s">
        <v>42</v>
      </c>
      <c r="G9631">
        <v>-182.91499999999999</v>
      </c>
      <c r="H9631" s="1">
        <v>-2.383165E-6</v>
      </c>
      <c r="I9631">
        <v>-28.888439999999999</v>
      </c>
      <c r="J9631">
        <v>-195.50530000000001</v>
      </c>
      <c r="K9631">
        <v>1.10959599999999</v>
      </c>
      <c r="L9631">
        <v>-49.144739999999999</v>
      </c>
      <c r="M9631">
        <v>0.57869910000000002</v>
      </c>
      <c r="N9631">
        <v>0</v>
      </c>
      <c r="O9631">
        <v>0.81553920000000002</v>
      </c>
      <c r="P9631">
        <v>0.55590759999999995</v>
      </c>
      <c r="Q9631">
        <v>-2.852824E-2</v>
      </c>
      <c r="R9631">
        <v>0.83075449999999995</v>
      </c>
      <c r="S9631">
        <v>1.583801</v>
      </c>
      <c r="T9631">
        <v>-0.13884850000000001</v>
      </c>
      <c r="U9631">
        <v>2.546783</v>
      </c>
      <c r="V9631">
        <v>-2.7280329999999998E-2</v>
      </c>
      <c r="W9631">
        <v>-3.0443870000000001E-2</v>
      </c>
      <c r="X9631">
        <v>0.9991641</v>
      </c>
      <c r="Y9631">
        <v>-6.1182109999999998E-2</v>
      </c>
      <c r="Z9631">
        <v>-3.6903440000000003E-2</v>
      </c>
      <c r="AA9631">
        <v>0.9974442</v>
      </c>
      <c r="AB9631">
        <v>22</v>
      </c>
      <c r="AC9631">
        <v>12.590299999999999</v>
      </c>
      <c r="AD9631">
        <v>-1.10959838316499</v>
      </c>
      <c r="AE9631">
        <v>20.2563</v>
      </c>
      <c r="AF9631">
        <v>-1.4512804741547001</v>
      </c>
      <c r="AG9631">
        <v>-1.10959838316499</v>
      </c>
      <c r="AH9631">
        <v>23.754424498649499</v>
      </c>
      <c r="AI9631">
        <v>92.6694421776875</v>
      </c>
      <c r="AJ9631">
        <v>93.496149468722507</v>
      </c>
      <c r="AK9631">
        <v>23.824569394820699</v>
      </c>
      <c r="AL9631">
        <v>91.744574869554</v>
      </c>
      <c r="AM9631">
        <v>91.563966868608702</v>
      </c>
      <c r="AN9631">
        <v>0.99999997217714698</v>
      </c>
    </row>
    <row r="9632" spans="1:40" x14ac:dyDescent="0.25">
      <c r="A9632" t="str">
        <f>"20190312154140947"</f>
        <v>20190312154140947</v>
      </c>
      <c r="B9632" t="str">
        <f>"1552376500936035"</f>
        <v>1552376500936035</v>
      </c>
      <c r="C9632" t="s">
        <v>40</v>
      </c>
      <c r="D9632">
        <v>4.5262190000000002</v>
      </c>
      <c r="E9632">
        <v>0.4877283</v>
      </c>
      <c r="F9632" t="s">
        <v>42</v>
      </c>
      <c r="G9632">
        <v>-182.99189999999999</v>
      </c>
      <c r="H9632" s="1">
        <v>-2.331912E-6</v>
      </c>
      <c r="I9632">
        <v>-28.978940000000001</v>
      </c>
      <c r="J9632">
        <v>-195.3895</v>
      </c>
      <c r="K9632">
        <v>1.1096349999999999</v>
      </c>
      <c r="L9632">
        <v>-48.976959999999998</v>
      </c>
      <c r="M9632">
        <v>0.57672179999999995</v>
      </c>
      <c r="N9632">
        <v>0</v>
      </c>
      <c r="O9632">
        <v>0.81693879999999996</v>
      </c>
      <c r="P9632">
        <v>0.55369969999999902</v>
      </c>
      <c r="Q9632">
        <v>-2.8019369999999998E-2</v>
      </c>
      <c r="R9632">
        <v>0.83224489999999995</v>
      </c>
      <c r="S9632">
        <v>1.581253</v>
      </c>
      <c r="T9632">
        <v>-0.14021410000000001</v>
      </c>
      <c r="U9632">
        <v>2.5482480000000001</v>
      </c>
      <c r="V9632">
        <v>-2.752334E-2</v>
      </c>
      <c r="W9632">
        <v>-2.9841409999999999E-2</v>
      </c>
      <c r="X9632">
        <v>0.9991757</v>
      </c>
      <c r="Y9632">
        <v>-5.9751119999999998E-2</v>
      </c>
      <c r="Z9632">
        <v>-3.7354489999999997E-2</v>
      </c>
      <c r="AA9632">
        <v>0.99751409999999996</v>
      </c>
      <c r="AB9632">
        <v>22</v>
      </c>
      <c r="AC9632">
        <v>12.397600000000001</v>
      </c>
      <c r="AD9632">
        <v>-1.1096373319120001</v>
      </c>
      <c r="AE9632">
        <v>19.99802</v>
      </c>
      <c r="AF9632">
        <v>-1.40209733643339</v>
      </c>
      <c r="AG9632">
        <v>-1.1096373319120001</v>
      </c>
      <c r="AH9632">
        <v>23.435038167315199</v>
      </c>
      <c r="AI9632">
        <v>92.706070098083202</v>
      </c>
      <c r="AJ9632">
        <v>93.423873768361901</v>
      </c>
      <c r="AK9632">
        <v>23.5031526790073</v>
      </c>
      <c r="AL9632">
        <v>91.710040607509896</v>
      </c>
      <c r="AM9632">
        <v>91.577873181934095</v>
      </c>
      <c r="AN9632">
        <v>1.00000006173301</v>
      </c>
    </row>
    <row r="9633" spans="1:40" x14ac:dyDescent="0.25">
      <c r="A9633" t="str">
        <f>"20190312154140959"</f>
        <v>20190312154140959</v>
      </c>
      <c r="B9633" t="str">
        <f>"1552376500945795"</f>
        <v>1552376500945795</v>
      </c>
      <c r="C9633" t="s">
        <v>40</v>
      </c>
      <c r="D9633">
        <v>4.6176640000000004</v>
      </c>
      <c r="E9633">
        <v>0.48775230000000003</v>
      </c>
      <c r="F9633" t="s">
        <v>42</v>
      </c>
      <c r="G9633">
        <v>-183.16489999999999</v>
      </c>
      <c r="H9633" s="1">
        <v>-2.2084939999999999E-6</v>
      </c>
      <c r="I9633">
        <v>-29.206340000000001</v>
      </c>
      <c r="J9633">
        <v>-195.3237</v>
      </c>
      <c r="K9633">
        <v>1.109659</v>
      </c>
      <c r="L9633">
        <v>-48.881410000000002</v>
      </c>
      <c r="M9633">
        <v>0.5755922</v>
      </c>
      <c r="N9633">
        <v>0</v>
      </c>
      <c r="O9633">
        <v>0.81773530000000005</v>
      </c>
      <c r="P9633">
        <v>0.55238199999999904</v>
      </c>
      <c r="Q9633">
        <v>-2.8252610000000001E-2</v>
      </c>
      <c r="R9633">
        <v>0.83311219999999997</v>
      </c>
      <c r="S9633">
        <v>1.5771029999999999</v>
      </c>
      <c r="T9633">
        <v>-0.14315549999999999</v>
      </c>
      <c r="U9633">
        <v>2.5506289999999998</v>
      </c>
      <c r="V9633">
        <v>-2.7717100000000001E-2</v>
      </c>
      <c r="W9633">
        <v>-3.001784E-2</v>
      </c>
      <c r="X9633">
        <v>0.99916499999999997</v>
      </c>
      <c r="Y9633">
        <v>-5.9981329999999999E-2</v>
      </c>
      <c r="Z9633">
        <v>-3.8175050000000002E-2</v>
      </c>
      <c r="AA9633">
        <v>0.99746919999999994</v>
      </c>
      <c r="AB9633">
        <v>22</v>
      </c>
      <c r="AC9633">
        <v>12.158799999999999</v>
      </c>
      <c r="AD9633">
        <v>-1.1096612084940001</v>
      </c>
      <c r="AE9633">
        <v>19.675069999999899</v>
      </c>
      <c r="AF9633">
        <v>-1.3789645248708999</v>
      </c>
      <c r="AG9633">
        <v>-1.1096612084940001</v>
      </c>
      <c r="AH9633">
        <v>23.034518332293999</v>
      </c>
      <c r="AI9633">
        <v>92.753104200564195</v>
      </c>
      <c r="AJ9633">
        <v>93.425930761882697</v>
      </c>
      <c r="AK9633">
        <v>23.102422512785999</v>
      </c>
      <c r="AL9633">
        <v>91.720153933342502</v>
      </c>
      <c r="AM9633">
        <v>91.588992494614999</v>
      </c>
      <c r="AN9633">
        <v>1.00000000278783</v>
      </c>
    </row>
    <row r="9634" spans="1:40" x14ac:dyDescent="0.25">
      <c r="A9634" t="str">
        <f>"20190312154140970"</f>
        <v>20190312154140970</v>
      </c>
      <c r="B9634" t="str">
        <f>"1552376500965314"</f>
        <v>1552376500965314</v>
      </c>
      <c r="C9634" t="s">
        <v>40</v>
      </c>
      <c r="D9634">
        <v>4.5876029999999997</v>
      </c>
      <c r="E9634">
        <v>0.48788599999999999</v>
      </c>
      <c r="F9634" t="s">
        <v>42</v>
      </c>
      <c r="G9634">
        <v>-183.44919999999999</v>
      </c>
      <c r="H9634" s="1">
        <v>-1.9950470000000002E-6</v>
      </c>
      <c r="I9634">
        <v>-29.61131</v>
      </c>
      <c r="J9634">
        <v>-195.25729999999999</v>
      </c>
      <c r="K9634">
        <v>1.1096779999999999</v>
      </c>
      <c r="L9634">
        <v>-48.784480000000002</v>
      </c>
      <c r="M9634">
        <v>0.57444259999999903</v>
      </c>
      <c r="N9634">
        <v>0</v>
      </c>
      <c r="O9634">
        <v>0.81854329999999997</v>
      </c>
      <c r="P9634">
        <v>0.55130380000000001</v>
      </c>
      <c r="Q9634">
        <v>-2.815196E-2</v>
      </c>
      <c r="R9634">
        <v>0.8338295</v>
      </c>
      <c r="S9634">
        <v>1.573151</v>
      </c>
      <c r="T9634">
        <v>-0.1470088</v>
      </c>
      <c r="U9634">
        <v>2.5529169999999999</v>
      </c>
      <c r="V9634">
        <v>-2.7607179999999999E-2</v>
      </c>
      <c r="W9634">
        <v>-2.985492E-2</v>
      </c>
      <c r="X9634">
        <v>0.99917290000000003</v>
      </c>
      <c r="Y9634">
        <v>-6.0123099999999999E-2</v>
      </c>
      <c r="Z9634">
        <v>-3.9241470000000001E-2</v>
      </c>
      <c r="AA9634">
        <v>0.99741939999999996</v>
      </c>
      <c r="AB9634">
        <v>23</v>
      </c>
      <c r="AC9634">
        <v>11.8080999999999</v>
      </c>
      <c r="AD9634">
        <v>-1.109679995047</v>
      </c>
      <c r="AE9634">
        <v>19.173169999999999</v>
      </c>
      <c r="AF9634">
        <v>-1.3451793424515299</v>
      </c>
      <c r="AG9634">
        <v>-1.109679995047</v>
      </c>
      <c r="AH9634">
        <v>22.4227190417093</v>
      </c>
      <c r="AI9634">
        <v>92.828128193446702</v>
      </c>
      <c r="AJ9634">
        <v>93.433162390799495</v>
      </c>
      <c r="AK9634">
        <v>22.490425215593401</v>
      </c>
      <c r="AL9634">
        <v>91.710815161156106</v>
      </c>
      <c r="AM9634">
        <v>91.582681599630604</v>
      </c>
      <c r="AN9634">
        <v>0.99999997836508403</v>
      </c>
    </row>
    <row r="9635" spans="1:40" x14ac:dyDescent="0.25">
      <c r="A9635" t="str">
        <f>"20190312154140982"</f>
        <v>20190312154140982</v>
      </c>
      <c r="B9635" t="str">
        <f>"1552376500976050"</f>
        <v>1552376500976050</v>
      </c>
      <c r="C9635" t="s">
        <v>40</v>
      </c>
      <c r="D9635">
        <v>4.6232540000000002</v>
      </c>
      <c r="E9635">
        <v>0.48788599999999999</v>
      </c>
      <c r="F9635" t="s">
        <v>42</v>
      </c>
      <c r="G9635">
        <v>-183.8364</v>
      </c>
      <c r="H9635" s="1">
        <v>-1.6886269999999999E-6</v>
      </c>
      <c r="I9635">
        <v>-30.20899</v>
      </c>
      <c r="J9635">
        <v>-195.1909</v>
      </c>
      <c r="K9635">
        <v>1.1096950000000001</v>
      </c>
      <c r="L9635">
        <v>-48.68741</v>
      </c>
      <c r="M9635">
        <v>0.57328939999999995</v>
      </c>
      <c r="N9635">
        <v>0</v>
      </c>
      <c r="O9635">
        <v>0.81935159999999996</v>
      </c>
      <c r="P9635">
        <v>0.55010459999999906</v>
      </c>
      <c r="Q9635">
        <v>-2.8296970000000001E-2</v>
      </c>
      <c r="R9635">
        <v>0.83461620000000003</v>
      </c>
      <c r="S9635">
        <v>1.570511</v>
      </c>
      <c r="T9635">
        <v>-0.15259420000000001</v>
      </c>
      <c r="U9635">
        <v>2.5543520000000002</v>
      </c>
      <c r="V9635">
        <v>-2.7632360000000002E-2</v>
      </c>
      <c r="W9635">
        <v>-2.9936750000000002E-2</v>
      </c>
      <c r="X9635">
        <v>0.9991698</v>
      </c>
      <c r="Y9635">
        <v>-5.9754109999999999E-2</v>
      </c>
      <c r="Z9635">
        <v>-4.0779629999999997E-2</v>
      </c>
      <c r="AA9635">
        <v>0.99737980000000004</v>
      </c>
      <c r="AB9635">
        <v>23</v>
      </c>
      <c r="AC9635">
        <v>11.3545</v>
      </c>
      <c r="AD9635">
        <v>-1.1096966886270001</v>
      </c>
      <c r="AE9635">
        <v>18.47842</v>
      </c>
      <c r="AF9635">
        <v>-1.2867872482981699</v>
      </c>
      <c r="AG9635">
        <v>-1.1096966886270001</v>
      </c>
      <c r="AH9635">
        <v>21.593231320637699</v>
      </c>
      <c r="AI9635">
        <v>92.936695859968495</v>
      </c>
      <c r="AJ9635">
        <v>93.410345981032606</v>
      </c>
      <c r="AK9635">
        <v>21.659983541768899</v>
      </c>
      <c r="AL9635">
        <v>91.715505695297395</v>
      </c>
      <c r="AM9635">
        <v>91.5841293115067</v>
      </c>
      <c r="AN9635">
        <v>1.0000000227758801</v>
      </c>
    </row>
    <row r="9636" spans="1:40" x14ac:dyDescent="0.25">
      <c r="A9636" t="str">
        <f>"20190312154141006"</f>
        <v>20190312154141006</v>
      </c>
      <c r="B9636" t="str">
        <f>"1552376500995570"</f>
        <v>1552376500995570</v>
      </c>
      <c r="C9636" t="s">
        <v>40</v>
      </c>
      <c r="D9636">
        <v>4.7165990000000004</v>
      </c>
      <c r="E9636">
        <v>0.4877997</v>
      </c>
      <c r="F9636" t="s">
        <v>42</v>
      </c>
      <c r="G9636">
        <v>-183.83019999999999</v>
      </c>
      <c r="H9636" s="1">
        <v>-1.710779E-6</v>
      </c>
      <c r="I9636">
        <v>-30.148679999999999</v>
      </c>
      <c r="J9636">
        <v>-195.05289999999999</v>
      </c>
      <c r="K9636">
        <v>1.1097379999999999</v>
      </c>
      <c r="L9636">
        <v>-48.484589999999997</v>
      </c>
      <c r="M9636">
        <v>0.570874199999999</v>
      </c>
      <c r="N9636">
        <v>0</v>
      </c>
      <c r="O9636">
        <v>0.82103630000000005</v>
      </c>
      <c r="P9636">
        <v>0.54832109999999901</v>
      </c>
      <c r="Q9636">
        <v>-2.8659710000000001E-2</v>
      </c>
      <c r="R9636">
        <v>0.83577669999999904</v>
      </c>
      <c r="S9636">
        <v>1.566711</v>
      </c>
      <c r="T9636">
        <v>-0.15303429999999901</v>
      </c>
      <c r="U9636">
        <v>2.55661</v>
      </c>
      <c r="V9636">
        <v>-2.6813170000000001E-2</v>
      </c>
      <c r="W9636">
        <v>-3.015777E-2</v>
      </c>
      <c r="X9636">
        <v>0.9991854</v>
      </c>
      <c r="Y9636">
        <v>-5.8289399999999998E-2</v>
      </c>
      <c r="Z9636">
        <v>-4.100873E-2</v>
      </c>
      <c r="AA9636">
        <v>0.99745709999999999</v>
      </c>
      <c r="AB9636">
        <v>23</v>
      </c>
      <c r="AC9636">
        <v>11.2227</v>
      </c>
      <c r="AD9636">
        <v>-1.1097397107789999</v>
      </c>
      <c r="AE9636">
        <v>18.335909999999998</v>
      </c>
      <c r="AF9636">
        <v>-1.2499244233031299</v>
      </c>
      <c r="AG9636">
        <v>-1.1097397107789999</v>
      </c>
      <c r="AH9636">
        <v>21.404182897329601</v>
      </c>
      <c r="AI9636">
        <v>92.962910253222304</v>
      </c>
      <c r="AJ9636">
        <v>93.342064253012197</v>
      </c>
      <c r="AK9636">
        <v>21.469347423524301</v>
      </c>
      <c r="AL9636">
        <v>91.728175053805003</v>
      </c>
      <c r="AM9636">
        <v>91.537165041858202</v>
      </c>
      <c r="AN9636">
        <v>0.99999995037498901</v>
      </c>
    </row>
    <row r="9637" spans="1:40" x14ac:dyDescent="0.25">
      <c r="A9637" t="str">
        <f>"20190312154141021"</f>
        <v>20190312154141021</v>
      </c>
      <c r="B9637" t="str">
        <f>"1552376501016067"</f>
        <v>1552376501016067</v>
      </c>
      <c r="C9637" t="s">
        <v>40</v>
      </c>
      <c r="D9637">
        <v>4.5262779999999996</v>
      </c>
      <c r="E9637">
        <v>0.44610440000000001</v>
      </c>
      <c r="F9637" t="s">
        <v>42</v>
      </c>
      <c r="G9637">
        <v>-184.03100000000001</v>
      </c>
      <c r="H9637" s="1">
        <v>-5.3331569999999999E-6</v>
      </c>
      <c r="I9637">
        <v>-30.403590000000001</v>
      </c>
      <c r="J9637">
        <v>-194.96960000000001</v>
      </c>
      <c r="K9637">
        <v>1.109766</v>
      </c>
      <c r="L9637">
        <v>-48.361629999999998</v>
      </c>
      <c r="M9637">
        <v>0.56940809999999997</v>
      </c>
      <c r="N9637">
        <v>0</v>
      </c>
      <c r="O9637">
        <v>0.82205399999999995</v>
      </c>
      <c r="P9637">
        <v>0.54700539999999997</v>
      </c>
      <c r="Q9637">
        <v>-2.867747E-2</v>
      </c>
      <c r="R9637">
        <v>0.83663779999999999</v>
      </c>
      <c r="S9637">
        <v>1.5606690000000001</v>
      </c>
      <c r="T9637">
        <v>-0.1571361</v>
      </c>
      <c r="U9637">
        <v>2.5602109999999998</v>
      </c>
      <c r="V9637">
        <v>-2.660121E-2</v>
      </c>
      <c r="W9637">
        <v>-3.0087010000000001E-2</v>
      </c>
      <c r="X9637">
        <v>0.99919329999999995</v>
      </c>
      <c r="Y9637">
        <v>-5.8876980000000002E-2</v>
      </c>
      <c r="Z9637">
        <v>-4.2153139999999999E-2</v>
      </c>
      <c r="AA9637">
        <v>0.99737480000000001</v>
      </c>
      <c r="AB9637">
        <v>23</v>
      </c>
      <c r="AC9637">
        <v>10.938599999999999</v>
      </c>
      <c r="AD9637">
        <v>-1.1097713331570001</v>
      </c>
      <c r="AE9637">
        <v>17.958039999999901</v>
      </c>
      <c r="AF9637">
        <v>-1.2299086509877299</v>
      </c>
      <c r="AG9637">
        <v>-1.1097713331570001</v>
      </c>
      <c r="AH9637">
        <v>20.932715165440399</v>
      </c>
      <c r="AI9637">
        <v>93.029543743570997</v>
      </c>
      <c r="AJ9637">
        <v>93.362566757288207</v>
      </c>
      <c r="AK9637">
        <v>20.9981625838818</v>
      </c>
      <c r="AL9637">
        <v>91.724118788992399</v>
      </c>
      <c r="AM9637">
        <v>91.5250073531857</v>
      </c>
      <c r="AN9637">
        <v>1.00000005165454</v>
      </c>
    </row>
    <row r="9638" spans="1:40" x14ac:dyDescent="0.25">
      <c r="A9638" t="str">
        <f>"20190312154141039"</f>
        <v>20190312154141039</v>
      </c>
      <c r="B9638" t="str">
        <f>"1552376501025826"</f>
        <v>1552376501025826</v>
      </c>
      <c r="C9638" t="s">
        <v>40</v>
      </c>
      <c r="D9638">
        <v>4.5234959999999997</v>
      </c>
      <c r="E9638">
        <v>0.43910719999999998</v>
      </c>
      <c r="F9638" t="s">
        <v>42</v>
      </c>
      <c r="G9638">
        <v>-184.63929999999999</v>
      </c>
      <c r="H9638" s="1">
        <v>-2.842327E-6</v>
      </c>
      <c r="I9638">
        <v>-26.19098</v>
      </c>
      <c r="J9638">
        <v>-194.8629</v>
      </c>
      <c r="K9638">
        <v>1.1097999999999999</v>
      </c>
      <c r="L9638">
        <v>-48.203339999999997</v>
      </c>
      <c r="M9638">
        <v>0.56751909999999905</v>
      </c>
      <c r="N9638">
        <v>0</v>
      </c>
      <c r="O9638">
        <v>0.82335939999999996</v>
      </c>
      <c r="P9638">
        <v>0.54555679999999995</v>
      </c>
      <c r="Q9638">
        <v>-2.8930129999999998E-2</v>
      </c>
      <c r="R9638">
        <v>0.83757440000000005</v>
      </c>
      <c r="S9638">
        <v>1.278961</v>
      </c>
      <c r="T9638">
        <v>-0.13739680000000001</v>
      </c>
      <c r="U9638">
        <v>2.7448730000000001</v>
      </c>
      <c r="V9638">
        <v>-2.6027930000000001E-2</v>
      </c>
      <c r="W9638">
        <v>-3.0219490000000002E-2</v>
      </c>
      <c r="X9638">
        <v>0.99920430000000005</v>
      </c>
      <c r="Y9638">
        <v>-0.166986</v>
      </c>
      <c r="Z9638">
        <v>-3.5161619999999998E-2</v>
      </c>
      <c r="AA9638">
        <v>0.98533210000000004</v>
      </c>
      <c r="AB9638">
        <v>23</v>
      </c>
      <c r="AC9638">
        <v>10.223599999999999</v>
      </c>
      <c r="AD9638">
        <v>-1.1098028423270001</v>
      </c>
      <c r="AE9638">
        <v>22.012360000000001</v>
      </c>
      <c r="AF9638">
        <v>-4.0662383753082896</v>
      </c>
      <c r="AG9638">
        <v>-1.1098028423270001</v>
      </c>
      <c r="AH9638">
        <v>23.876265930310598</v>
      </c>
      <c r="AI9638">
        <v>92.623553480305802</v>
      </c>
      <c r="AJ9638">
        <v>99.665007616731302</v>
      </c>
      <c r="AK9638">
        <v>24.245453834658999</v>
      </c>
      <c r="AL9638">
        <v>91.731712959313697</v>
      </c>
      <c r="AM9638">
        <v>91.492140675671706</v>
      </c>
      <c r="AN9638">
        <v>0.99999995192721602</v>
      </c>
    </row>
    <row r="9639" spans="1:40" x14ac:dyDescent="0.25">
      <c r="A9639" t="str">
        <f>"20190312154141060"</f>
        <v>20190312154141060</v>
      </c>
      <c r="B9639" t="str">
        <f>"1552376501056082"</f>
        <v>1552376501056082</v>
      </c>
      <c r="C9639" t="s">
        <v>40</v>
      </c>
      <c r="D9639">
        <v>4.5392989999999998</v>
      </c>
      <c r="E9639">
        <v>0.43118440000000002</v>
      </c>
      <c r="F9639" t="s">
        <v>42</v>
      </c>
      <c r="G9639">
        <v>-185.02539999999999</v>
      </c>
      <c r="H9639" s="1">
        <v>-2.8237670000000001E-6</v>
      </c>
      <c r="I9639">
        <v>-25.943670000000001</v>
      </c>
      <c r="J9639">
        <v>-194.74289999999999</v>
      </c>
      <c r="K9639">
        <v>1.109839</v>
      </c>
      <c r="L9639">
        <v>-48.024509999999999</v>
      </c>
      <c r="M9639">
        <v>0.56538520000000003</v>
      </c>
      <c r="N9639">
        <v>0</v>
      </c>
      <c r="O9639">
        <v>0.82482639999999996</v>
      </c>
      <c r="P9639">
        <v>0.54367349999999903</v>
      </c>
      <c r="Q9639">
        <v>-2.8790059999999999E-2</v>
      </c>
      <c r="R9639">
        <v>0.83880290000000002</v>
      </c>
      <c r="S9639">
        <v>1.2274780000000001</v>
      </c>
      <c r="T9639">
        <v>-0.1384765</v>
      </c>
      <c r="U9639">
        <v>2.777466</v>
      </c>
      <c r="V9639">
        <v>-2.5687479999999999E-2</v>
      </c>
      <c r="W9639">
        <v>-2.993877E-2</v>
      </c>
      <c r="X9639">
        <v>0.99922160000000004</v>
      </c>
      <c r="Y9639">
        <v>-0.18401619999999999</v>
      </c>
      <c r="Z9639">
        <v>-3.5189940000000003E-2</v>
      </c>
      <c r="AA9639">
        <v>0.98229310000000003</v>
      </c>
      <c r="AB9639">
        <v>23</v>
      </c>
      <c r="AC9639">
        <v>9.7174999999999994</v>
      </c>
      <c r="AD9639">
        <v>-1.109841823767</v>
      </c>
      <c r="AE9639">
        <v>22.080839999999998</v>
      </c>
      <c r="AF9639">
        <v>-4.4594935875245296</v>
      </c>
      <c r="AG9639">
        <v>-1.109841823767</v>
      </c>
      <c r="AH9639">
        <v>23.656933851949798</v>
      </c>
      <c r="AI9639">
        <v>92.639584135123897</v>
      </c>
      <c r="AJ9639">
        <v>100.67537297444299</v>
      </c>
      <c r="AK9639">
        <v>24.0991566492789</v>
      </c>
      <c r="AL9639">
        <v>91.715621538786294</v>
      </c>
      <c r="AM9639">
        <v>91.472606373798598</v>
      </c>
      <c r="AN9639">
        <v>0.99999999124221095</v>
      </c>
    </row>
    <row r="9640" spans="1:40" x14ac:dyDescent="0.25">
      <c r="A9640" t="str">
        <f>"20190312154141072"</f>
        <v>20190312154141072</v>
      </c>
      <c r="B9640" t="str">
        <f>"1552376501065843"</f>
        <v>1552376501065843</v>
      </c>
      <c r="C9640" t="s">
        <v>40</v>
      </c>
      <c r="D9640">
        <v>4.5632260000000002</v>
      </c>
      <c r="E9640">
        <v>0.4304462</v>
      </c>
      <c r="F9640" t="s">
        <v>42</v>
      </c>
      <c r="G9640">
        <v>-185.98689999999999</v>
      </c>
      <c r="H9640" s="1">
        <v>-2.2352409999999999E-6</v>
      </c>
      <c r="I9640">
        <v>-26.92127</v>
      </c>
      <c r="J9640">
        <v>-194.66079999999999</v>
      </c>
      <c r="K9640">
        <v>1.109869</v>
      </c>
      <c r="L9640">
        <v>-47.901519999999998</v>
      </c>
      <c r="M9640">
        <v>0.56391789999999997</v>
      </c>
      <c r="N9640">
        <v>0</v>
      </c>
      <c r="O9640">
        <v>0.82583030000000002</v>
      </c>
      <c r="P9640">
        <v>0.54244169999999903</v>
      </c>
      <c r="Q9640">
        <v>-2.8864250000000001E-2</v>
      </c>
      <c r="R9640">
        <v>0.8395975</v>
      </c>
      <c r="S9640">
        <v>1.167786</v>
      </c>
      <c r="T9640">
        <v>-0.14801989999999901</v>
      </c>
      <c r="U9640">
        <v>2.8145449999999999</v>
      </c>
      <c r="V9640">
        <v>-2.5374460000000001E-2</v>
      </c>
      <c r="W9640">
        <v>-2.991363E-2</v>
      </c>
      <c r="X9640">
        <v>0.99923039999999996</v>
      </c>
      <c r="Y9640">
        <v>-0.20469180000000001</v>
      </c>
      <c r="Z9640">
        <v>-3.7244069999999997E-2</v>
      </c>
      <c r="AA9640">
        <v>0.97811760000000003</v>
      </c>
      <c r="AB9640">
        <v>24</v>
      </c>
      <c r="AC9640">
        <v>8.6738999999999997</v>
      </c>
      <c r="AD9640">
        <v>-1.1098712352410001</v>
      </c>
      <c r="AE9640">
        <v>20.980250000000002</v>
      </c>
      <c r="AF9640">
        <v>-4.65684145978127</v>
      </c>
      <c r="AG9640">
        <v>-1.1098712352410001</v>
      </c>
      <c r="AH9640">
        <v>22.1645310022861</v>
      </c>
      <c r="AI9640">
        <v>92.805493893855598</v>
      </c>
      <c r="AJ9640">
        <v>101.865448543564</v>
      </c>
      <c r="AK9640">
        <v>22.675634965567198</v>
      </c>
      <c r="AL9640">
        <v>91.714180393181394</v>
      </c>
      <c r="AM9640">
        <v>91.454656582427504</v>
      </c>
      <c r="AN9640">
        <v>1.0000000403821101</v>
      </c>
    </row>
    <row r="9641" spans="1:40" x14ac:dyDescent="0.25">
      <c r="A9641" t="str">
        <f>"20190312154141085"</f>
        <v>20190312154141085</v>
      </c>
      <c r="B9641" t="str">
        <f>"1552376501075603"</f>
        <v>1552376501075603</v>
      </c>
      <c r="C9641" t="s">
        <v>40</v>
      </c>
      <c r="D9641">
        <v>4.5130249999999998</v>
      </c>
      <c r="E9641">
        <v>0.42961280000000002</v>
      </c>
      <c r="F9641" t="s">
        <v>42</v>
      </c>
      <c r="G9641">
        <v>-186.39709999999999</v>
      </c>
      <c r="H9641" s="1">
        <v>-1.8313670000000001E-6</v>
      </c>
      <c r="I9641">
        <v>-27.78734</v>
      </c>
      <c r="J9641">
        <v>-194.59309999999999</v>
      </c>
      <c r="K9641">
        <v>1.10989</v>
      </c>
      <c r="L9641">
        <v>-47.79974</v>
      </c>
      <c r="M9641">
        <v>0.56270410000000004</v>
      </c>
      <c r="N9641">
        <v>0</v>
      </c>
      <c r="O9641">
        <v>0.826658</v>
      </c>
      <c r="P9641">
        <v>0.54127919999999996</v>
      </c>
      <c r="Q9641">
        <v>-2.8759759999999999E-2</v>
      </c>
      <c r="R9641">
        <v>0.84035099999999996</v>
      </c>
      <c r="S9641">
        <v>1.158325</v>
      </c>
      <c r="T9641">
        <v>-0.15557190000000001</v>
      </c>
      <c r="U9641">
        <v>2.8194270000000001</v>
      </c>
      <c r="V9641">
        <v>-2.529122E-2</v>
      </c>
      <c r="W9641">
        <v>-2.9726849999999999E-2</v>
      </c>
      <c r="X9641">
        <v>0.99923810000000002</v>
      </c>
      <c r="Y9641">
        <v>-0.20668990000000001</v>
      </c>
      <c r="Z9641">
        <v>-3.914749E-2</v>
      </c>
      <c r="AA9641">
        <v>0.97762300000000002</v>
      </c>
      <c r="AB9641">
        <v>24</v>
      </c>
      <c r="AC9641">
        <v>8.1959999999999908</v>
      </c>
      <c r="AD9641">
        <v>-1.1098918313670001</v>
      </c>
      <c r="AE9641">
        <v>20.0124</v>
      </c>
      <c r="AF9641">
        <v>-4.4739873817476798</v>
      </c>
      <c r="AG9641">
        <v>-1.1098918313670001</v>
      </c>
      <c r="AH9641">
        <v>21.099762726586999</v>
      </c>
      <c r="AI9641">
        <v>92.945729211949896</v>
      </c>
      <c r="AJ9641">
        <v>101.971663223631</v>
      </c>
      <c r="AK9641">
        <v>21.597416745704599</v>
      </c>
      <c r="AL9641">
        <v>91.703473899959704</v>
      </c>
      <c r="AM9641">
        <v>91.449875506410905</v>
      </c>
      <c r="AN9641">
        <v>1.0000000559558</v>
      </c>
    </row>
    <row r="9642" spans="1:40" x14ac:dyDescent="0.25">
      <c r="A9642" t="str">
        <f>"20190312154141096"</f>
        <v>20190312154141096</v>
      </c>
      <c r="B9642" t="str">
        <f>"1552376501085363"</f>
        <v>1552376501085363</v>
      </c>
      <c r="C9642" t="s">
        <v>40</v>
      </c>
      <c r="D9642">
        <v>4.5351400000000002</v>
      </c>
      <c r="E9642">
        <v>0.4293109</v>
      </c>
      <c r="F9642" t="s">
        <v>42</v>
      </c>
      <c r="G9642">
        <v>-186.48009999999999</v>
      </c>
      <c r="H9642" s="1">
        <v>-1.7887699999999999E-6</v>
      </c>
      <c r="I9642">
        <v>-27.847650000000002</v>
      </c>
      <c r="J9642">
        <v>-194.52160000000001</v>
      </c>
      <c r="K9642">
        <v>1.1099159999999999</v>
      </c>
      <c r="L9642">
        <v>-47.691989999999997</v>
      </c>
      <c r="M9642">
        <v>0.5614188</v>
      </c>
      <c r="N9642">
        <v>0</v>
      </c>
      <c r="O9642">
        <v>0.82753149999999998</v>
      </c>
      <c r="P9642">
        <v>0.54013279999999997</v>
      </c>
      <c r="Q9642">
        <v>-2.868515E-2</v>
      </c>
      <c r="R9642">
        <v>0.84109080000000003</v>
      </c>
      <c r="S9642">
        <v>1.1486050000000001</v>
      </c>
      <c r="T9642">
        <v>-0.1571341</v>
      </c>
      <c r="U9642">
        <v>2.824738</v>
      </c>
      <c r="V9642">
        <v>-2.510122E-2</v>
      </c>
      <c r="W9642">
        <v>-2.9564259999999998E-2</v>
      </c>
      <c r="X9642">
        <v>0.99924769999999896</v>
      </c>
      <c r="Y9642">
        <v>-0.20870459999999999</v>
      </c>
      <c r="Z9642">
        <v>-3.9545429999999999E-2</v>
      </c>
      <c r="AA9642">
        <v>0.97717889999999996</v>
      </c>
      <c r="AB9642">
        <v>24</v>
      </c>
      <c r="AC9642">
        <v>8.0415000000000099</v>
      </c>
      <c r="AD9642">
        <v>-1.10991778876999</v>
      </c>
      <c r="AE9642">
        <v>19.844339999999999</v>
      </c>
      <c r="AF9642">
        <v>-4.4743693370243403</v>
      </c>
      <c r="AG9642">
        <v>-1.10991778876999</v>
      </c>
      <c r="AH9642">
        <v>20.880364737279699</v>
      </c>
      <c r="AI9642">
        <v>92.975334636983405</v>
      </c>
      <c r="AJ9642">
        <v>102.094771413971</v>
      </c>
      <c r="AK9642">
        <v>21.3832067292015</v>
      </c>
      <c r="AL9642">
        <v>91.694154108154905</v>
      </c>
      <c r="AM9642">
        <v>91.438974111462599</v>
      </c>
      <c r="AN9642">
        <v>1.00000004133506</v>
      </c>
    </row>
    <row r="9643" spans="1:40" x14ac:dyDescent="0.25">
      <c r="A9643" t="str">
        <f>"20190312154141107"</f>
        <v>20190312154141107</v>
      </c>
      <c r="B9643" t="str">
        <f>"1552376501105858"</f>
        <v>1552376501105858</v>
      </c>
      <c r="C9643" t="s">
        <v>40</v>
      </c>
      <c r="D9643">
        <v>4.5943930000000002</v>
      </c>
      <c r="E9643">
        <v>0.42903669999999999</v>
      </c>
      <c r="F9643" t="s">
        <v>42</v>
      </c>
      <c r="G9643">
        <v>-186.6841</v>
      </c>
      <c r="H9643" s="1">
        <v>-1.5815950000000001E-6</v>
      </c>
      <c r="I9643">
        <v>-28.296959999999999</v>
      </c>
      <c r="J9643">
        <v>-194.45519999999999</v>
      </c>
      <c r="K9643">
        <v>1.1099399999999999</v>
      </c>
      <c r="L9643">
        <v>-47.591520000000003</v>
      </c>
      <c r="M9643">
        <v>0.56022099999999997</v>
      </c>
      <c r="N9643">
        <v>0</v>
      </c>
      <c r="O9643">
        <v>0.82834289999999999</v>
      </c>
      <c r="P9643">
        <v>0.53905389999999997</v>
      </c>
      <c r="Q9643">
        <v>-2.86211E-2</v>
      </c>
      <c r="R9643">
        <v>0.84178489999999995</v>
      </c>
      <c r="S9643">
        <v>1.142593</v>
      </c>
      <c r="T9643">
        <v>-0.16180990000000001</v>
      </c>
      <c r="U9643">
        <v>2.827515</v>
      </c>
      <c r="V9643">
        <v>-2.493743E-2</v>
      </c>
      <c r="W9643">
        <v>-2.9417019999999999E-2</v>
      </c>
      <c r="X9643">
        <v>0.99925609999999998</v>
      </c>
      <c r="Y9643">
        <v>-0.20943030000000001</v>
      </c>
      <c r="Z9643">
        <v>-4.0753699999999997E-2</v>
      </c>
      <c r="AA9643">
        <v>0.97697400000000001</v>
      </c>
      <c r="AB9643">
        <v>24</v>
      </c>
      <c r="AC9643">
        <v>7.7710999999999899</v>
      </c>
      <c r="AD9643">
        <v>-1.109941581595</v>
      </c>
      <c r="AE9643">
        <v>19.294560000000001</v>
      </c>
      <c r="AF9643">
        <v>-4.3596696389466896</v>
      </c>
      <c r="AG9643">
        <v>-1.109941581595</v>
      </c>
      <c r="AH9643">
        <v>20.278310201218101</v>
      </c>
      <c r="AI9643">
        <v>93.063127995029404</v>
      </c>
      <c r="AJ9643">
        <v>102.133429017258</v>
      </c>
      <c r="AK9643">
        <v>20.771339732721501</v>
      </c>
      <c r="AL9643">
        <v>91.685714285282103</v>
      </c>
      <c r="AM9643">
        <v>91.429576441962695</v>
      </c>
      <c r="AN9643">
        <v>0.99999999493394698</v>
      </c>
    </row>
    <row r="9644" spans="1:40" x14ac:dyDescent="0.25">
      <c r="A9644" t="str">
        <f>"20190312154141127"</f>
        <v>20190312154141127</v>
      </c>
      <c r="B9644" t="str">
        <f>"1552376501115618"</f>
        <v>1552376501115618</v>
      </c>
      <c r="C9644" t="s">
        <v>40</v>
      </c>
      <c r="D9644">
        <v>4.5573499999999996</v>
      </c>
      <c r="E9644">
        <v>0.42862270000000002</v>
      </c>
      <c r="F9644" t="s">
        <v>42</v>
      </c>
      <c r="G9644">
        <v>-187.0772</v>
      </c>
      <c r="H9644" s="1">
        <v>-1.1615630000000001E-6</v>
      </c>
      <c r="I9644">
        <v>-29.223859999999998</v>
      </c>
      <c r="J9644">
        <v>-194.3409</v>
      </c>
      <c r="K9644">
        <v>1.1099889999999999</v>
      </c>
      <c r="L9644">
        <v>-47.417819999999999</v>
      </c>
      <c r="M9644">
        <v>0.55815059999999905</v>
      </c>
      <c r="N9644">
        <v>0</v>
      </c>
      <c r="O9644">
        <v>0.82973949999999996</v>
      </c>
      <c r="P9644">
        <v>0.53706929999999997</v>
      </c>
      <c r="Q9644">
        <v>-2.8662449999999999E-2</v>
      </c>
      <c r="R9644">
        <v>0.84305110000000005</v>
      </c>
      <c r="S9644">
        <v>1.136795</v>
      </c>
      <c r="T9644">
        <v>-0.17101910000000001</v>
      </c>
      <c r="U9644">
        <v>2.8300779999999999</v>
      </c>
      <c r="V9644">
        <v>-2.4793119999999998E-2</v>
      </c>
      <c r="W9644">
        <v>-2.931421E-2</v>
      </c>
      <c r="X9644">
        <v>0.99926269999999995</v>
      </c>
      <c r="Y9644">
        <v>-0.20906150000000001</v>
      </c>
      <c r="Z9644">
        <v>-4.3160410000000003E-2</v>
      </c>
      <c r="AA9644">
        <v>0.97694959999999997</v>
      </c>
      <c r="AB9644">
        <v>24</v>
      </c>
      <c r="AC9644">
        <v>7.2637</v>
      </c>
      <c r="AD9644">
        <v>-1.1099901615629999</v>
      </c>
      <c r="AE9644">
        <v>18.193960000000001</v>
      </c>
      <c r="AF9644">
        <v>-4.1147814970912</v>
      </c>
      <c r="AG9644">
        <v>-1.1099901615629999</v>
      </c>
      <c r="AH9644">
        <v>19.089205084315299</v>
      </c>
      <c r="AI9644">
        <v>93.253304100196402</v>
      </c>
      <c r="AJ9644">
        <v>102.164293532898</v>
      </c>
      <c r="AK9644">
        <v>19.559173184943699</v>
      </c>
      <c r="AL9644">
        <v>91.679821185300199</v>
      </c>
      <c r="AM9644">
        <v>91.421297669359504</v>
      </c>
      <c r="AN9644">
        <v>0.99999998265927403</v>
      </c>
    </row>
    <row r="9645" spans="1:40" x14ac:dyDescent="0.25">
      <c r="A9645" t="str">
        <f>"20190312154141140"</f>
        <v>20190312154141140</v>
      </c>
      <c r="B9645" t="str">
        <f>"1552376501136115"</f>
        <v>1552376501136115</v>
      </c>
      <c r="C9645" t="s">
        <v>40</v>
      </c>
      <c r="D9645">
        <v>4.56196</v>
      </c>
      <c r="E9645">
        <v>0.4282629</v>
      </c>
      <c r="F9645" t="s">
        <v>42</v>
      </c>
      <c r="G9645">
        <v>-187.1454</v>
      </c>
      <c r="H9645" s="1">
        <v>-1.109879E-6</v>
      </c>
      <c r="I9645">
        <v>-29.322420000000001</v>
      </c>
      <c r="J9645">
        <v>-194.26910000000001</v>
      </c>
      <c r="K9645">
        <v>1.110017</v>
      </c>
      <c r="L9645">
        <v>-47.308500000000002</v>
      </c>
      <c r="M9645">
        <v>0.55684730000000005</v>
      </c>
      <c r="N9645">
        <v>0</v>
      </c>
      <c r="O9645">
        <v>0.83061479999999999</v>
      </c>
      <c r="P9645">
        <v>0.53566320000000001</v>
      </c>
      <c r="Q9645">
        <v>-2.8805890000000001E-2</v>
      </c>
      <c r="R9645">
        <v>0.84394029999999998</v>
      </c>
      <c r="S9645">
        <v>1.1271359999999999</v>
      </c>
      <c r="T9645">
        <v>-0.173875</v>
      </c>
      <c r="U9645">
        <v>2.8345639999999999</v>
      </c>
      <c r="V9645">
        <v>-2.4885520000000001E-2</v>
      </c>
      <c r="W9645">
        <v>-2.9366969999999999E-2</v>
      </c>
      <c r="X9645">
        <v>0.99925889999999995</v>
      </c>
      <c r="Y9645">
        <v>-0.21094499999999999</v>
      </c>
      <c r="Z9645">
        <v>-4.3897569999999997E-2</v>
      </c>
      <c r="AA9645">
        <v>0.97651180000000004</v>
      </c>
      <c r="AB9645">
        <v>24</v>
      </c>
      <c r="AC9645">
        <v>7.1237000000000101</v>
      </c>
      <c r="AD9645">
        <v>-1.1100181098790001</v>
      </c>
      <c r="AE9645">
        <v>17.986079999999902</v>
      </c>
      <c r="AF9645">
        <v>-4.0850005673590299</v>
      </c>
      <c r="AG9645">
        <v>-1.1100181098790001</v>
      </c>
      <c r="AH9645">
        <v>18.8442771691697</v>
      </c>
      <c r="AI9645">
        <v>93.294749742035293</v>
      </c>
      <c r="AJ9645">
        <v>102.231145308886</v>
      </c>
      <c r="AK9645">
        <v>19.313884950161501</v>
      </c>
      <c r="AL9645">
        <v>91.682845335308599</v>
      </c>
      <c r="AM9645">
        <v>91.426597856805699</v>
      </c>
      <c r="AN9645">
        <v>1.0000000286309301</v>
      </c>
    </row>
    <row r="9646" spans="1:40" x14ac:dyDescent="0.25">
      <c r="A9646" t="str">
        <f>"20190312154141151"</f>
        <v>20190312154141151</v>
      </c>
      <c r="B9646" t="str">
        <f>"1552376501145875"</f>
        <v>1552376501145875</v>
      </c>
      <c r="C9646" t="s">
        <v>40</v>
      </c>
      <c r="D9646">
        <v>4.5471599999999999</v>
      </c>
      <c r="E9646">
        <v>0.42810409999999999</v>
      </c>
      <c r="F9646" t="s">
        <v>42</v>
      </c>
      <c r="G9646">
        <v>-187.29150000000001</v>
      </c>
      <c r="H9646" s="1">
        <v>-9.6760159999999994E-7</v>
      </c>
      <c r="I9646">
        <v>-29.626280000000001</v>
      </c>
      <c r="J9646">
        <v>-194.196</v>
      </c>
      <c r="K9646">
        <v>1.110047</v>
      </c>
      <c r="L9646">
        <v>-47.196379999999998</v>
      </c>
      <c r="M9646">
        <v>0.55551119999999898</v>
      </c>
      <c r="N9646">
        <v>0</v>
      </c>
      <c r="O9646">
        <v>0.83150900000000005</v>
      </c>
      <c r="P9646">
        <v>0.53428710000000001</v>
      </c>
      <c r="Q9646">
        <v>-2.8744929999999998E-2</v>
      </c>
      <c r="R9646">
        <v>0.84481419999999996</v>
      </c>
      <c r="S9646">
        <v>1.119858</v>
      </c>
      <c r="T9646">
        <v>-0.17814920000000001</v>
      </c>
      <c r="U9646">
        <v>2.83786</v>
      </c>
      <c r="V9646">
        <v>-2.4908030000000001E-2</v>
      </c>
      <c r="W9646">
        <v>-2.921174E-2</v>
      </c>
      <c r="X9646">
        <v>0.99926289999999995</v>
      </c>
      <c r="Y9646">
        <v>-0.21194859999999999</v>
      </c>
      <c r="Z9646">
        <v>-4.5011450000000001E-2</v>
      </c>
      <c r="AA9646">
        <v>0.97624370000000005</v>
      </c>
      <c r="AB9646">
        <v>24</v>
      </c>
      <c r="AC9646">
        <v>6.9044999999999801</v>
      </c>
      <c r="AD9646">
        <v>-1.1100479676016</v>
      </c>
      <c r="AE9646">
        <v>17.5701</v>
      </c>
      <c r="AF9646">
        <v>-4.0053847731198102</v>
      </c>
      <c r="AG9646">
        <v>-1.1100479676016</v>
      </c>
      <c r="AH9646">
        <v>18.3816684962745</v>
      </c>
      <c r="AI9646">
        <v>93.376783043634006</v>
      </c>
      <c r="AJ9646">
        <v>102.292658800206</v>
      </c>
      <c r="AK9646">
        <v>18.8457170300853</v>
      </c>
      <c r="AL9646">
        <v>91.673947476079306</v>
      </c>
      <c r="AM9646">
        <v>91.427882027210998</v>
      </c>
      <c r="AN9646">
        <v>1.00000003951435</v>
      </c>
    </row>
    <row r="9647" spans="1:40" x14ac:dyDescent="0.25">
      <c r="A9647" t="str">
        <f>"20190312154141164"</f>
        <v>20190312154141164</v>
      </c>
      <c r="B9647" t="str">
        <f>"1552376501155642"</f>
        <v>1552376501155642</v>
      </c>
      <c r="C9647" t="s">
        <v>40</v>
      </c>
      <c r="D9647">
        <v>4.5298350000000003</v>
      </c>
      <c r="E9647">
        <v>0.42795460000000002</v>
      </c>
      <c r="F9647" t="s">
        <v>42</v>
      </c>
      <c r="G9647">
        <v>-187.31110000000001</v>
      </c>
      <c r="H9647" s="1">
        <v>-9.5653350000000005E-7</v>
      </c>
      <c r="I9647">
        <v>-29.643470000000001</v>
      </c>
      <c r="J9647">
        <v>-194.12180000000001</v>
      </c>
      <c r="K9647">
        <v>1.1100749999999999</v>
      </c>
      <c r="L9647">
        <v>-47.0824</v>
      </c>
      <c r="M9647">
        <v>0.5541526</v>
      </c>
      <c r="N9647">
        <v>0</v>
      </c>
      <c r="O9647">
        <v>0.83241509999999996</v>
      </c>
      <c r="P9647">
        <v>0.53259129999999999</v>
      </c>
      <c r="Q9647">
        <v>-2.894679E-2</v>
      </c>
      <c r="R9647">
        <v>0.845877399999999</v>
      </c>
      <c r="S9647">
        <v>1.11409</v>
      </c>
      <c r="T9647">
        <v>-0.1796247</v>
      </c>
      <c r="U9647">
        <v>2.840363</v>
      </c>
      <c r="V9647">
        <v>-2.527532E-2</v>
      </c>
      <c r="W9647">
        <v>-2.931872E-2</v>
      </c>
      <c r="X9647">
        <v>0.99925050000000004</v>
      </c>
      <c r="Y9647">
        <v>-0.2123707</v>
      </c>
      <c r="Z9647">
        <v>-4.5434559999999999E-2</v>
      </c>
      <c r="AA9647">
        <v>0.97613229999999995</v>
      </c>
      <c r="AB9647">
        <v>24</v>
      </c>
      <c r="AC9647">
        <v>6.81069999999999</v>
      </c>
      <c r="AD9647">
        <v>-1.1100759565335001</v>
      </c>
      <c r="AE9647">
        <v>17.438929999999999</v>
      </c>
      <c r="AF9647">
        <v>-3.9805045110783102</v>
      </c>
      <c r="AG9647">
        <v>-1.1100759565335001</v>
      </c>
      <c r="AH9647">
        <v>18.226516313086002</v>
      </c>
      <c r="AI9647">
        <v>93.405199496490695</v>
      </c>
      <c r="AJ9647">
        <v>102.3194481024</v>
      </c>
      <c r="AK9647">
        <v>18.689103287830001</v>
      </c>
      <c r="AL9647">
        <v>91.680079678894799</v>
      </c>
      <c r="AM9647">
        <v>91.448946419237103</v>
      </c>
      <c r="AN9647">
        <v>0.999999995446895</v>
      </c>
    </row>
    <row r="9648" spans="1:40" x14ac:dyDescent="0.25">
      <c r="A9648" t="str">
        <f>"20190312154141178"</f>
        <v>20190312154141178</v>
      </c>
      <c r="B9648" t="str">
        <f>"1552376501165395"</f>
        <v>1552376501165395</v>
      </c>
      <c r="C9648" t="s">
        <v>40</v>
      </c>
      <c r="D9648">
        <v>4.5778850000000002</v>
      </c>
      <c r="E9648">
        <v>0.42787439999999999</v>
      </c>
      <c r="F9648" t="s">
        <v>42</v>
      </c>
      <c r="G9648">
        <v>-187.3372</v>
      </c>
      <c r="H9648" s="1">
        <v>-9.4375279999999996E-7</v>
      </c>
      <c r="I9648">
        <v>-29.660630000000001</v>
      </c>
      <c r="J9648">
        <v>-194.0419</v>
      </c>
      <c r="K9648">
        <v>1.1101049999999999</v>
      </c>
      <c r="L9648">
        <v>-46.959350000000001</v>
      </c>
      <c r="M9648">
        <v>0.55268609999999996</v>
      </c>
      <c r="N9648">
        <v>0</v>
      </c>
      <c r="O9648">
        <v>0.83338950000000001</v>
      </c>
      <c r="P9648">
        <v>0.53103829999999996</v>
      </c>
      <c r="Q9648">
        <v>-2.9037239999999999E-2</v>
      </c>
      <c r="R9648">
        <v>0.8468502</v>
      </c>
      <c r="S9648">
        <v>1.107254</v>
      </c>
      <c r="T9648">
        <v>-0.1811663</v>
      </c>
      <c r="U9648">
        <v>2.8432620000000002</v>
      </c>
      <c r="V9648">
        <v>-2.5346799999999999E-2</v>
      </c>
      <c r="W9648">
        <v>-2.9304839999999999E-2</v>
      </c>
      <c r="X9648">
        <v>0.9992491</v>
      </c>
      <c r="Y9648">
        <v>-0.21303259999999999</v>
      </c>
      <c r="Z9648">
        <v>-4.5875939999999997E-2</v>
      </c>
      <c r="AA9648">
        <v>0.97596749999999999</v>
      </c>
      <c r="AB9648">
        <v>24</v>
      </c>
      <c r="AC9648">
        <v>6.7046999999999999</v>
      </c>
      <c r="AD9648">
        <v>-1.11010594375279</v>
      </c>
      <c r="AE9648">
        <v>17.298719999999999</v>
      </c>
      <c r="AF9648">
        <v>-3.9589612679483799</v>
      </c>
      <c r="AG9648">
        <v>-1.11010594375279</v>
      </c>
      <c r="AH9648">
        <v>18.057514903335001</v>
      </c>
      <c r="AI9648">
        <v>93.436476355379796</v>
      </c>
      <c r="AJ9648">
        <v>102.36597335960499</v>
      </c>
      <c r="AK9648">
        <v>18.519707179424699</v>
      </c>
      <c r="AL9648">
        <v>91.679284065839099</v>
      </c>
      <c r="AM9648">
        <v>91.453044400346698</v>
      </c>
      <c r="AN9648">
        <v>0.99999999888423696</v>
      </c>
    </row>
    <row r="9649" spans="1:40" x14ac:dyDescent="0.25">
      <c r="A9649" t="str">
        <f>"20190312154141194"</f>
        <v>20190312154141194</v>
      </c>
      <c r="B9649" t="str">
        <f>"1552376501185890"</f>
        <v>1552376501185890</v>
      </c>
      <c r="C9649" t="s">
        <v>40</v>
      </c>
      <c r="D9649">
        <v>4.545102</v>
      </c>
      <c r="E9649">
        <v>0.42782680000000001</v>
      </c>
      <c r="F9649" t="s">
        <v>42</v>
      </c>
      <c r="G9649">
        <v>-187.35249999999999</v>
      </c>
      <c r="H9649" s="1">
        <v>-9.3379240000000002E-7</v>
      </c>
      <c r="I9649">
        <v>-29.677959999999999</v>
      </c>
      <c r="J9649">
        <v>-193.93889999999999</v>
      </c>
      <c r="K9649">
        <v>1.1101379999999901</v>
      </c>
      <c r="L9649">
        <v>-46.799680000000002</v>
      </c>
      <c r="M9649">
        <v>0.55078380000000005</v>
      </c>
      <c r="N9649">
        <v>0</v>
      </c>
      <c r="O9649">
        <v>0.83464799999999995</v>
      </c>
      <c r="P9649">
        <v>0.52872559999999902</v>
      </c>
      <c r="Q9649">
        <v>-2.8703800000000002E-2</v>
      </c>
      <c r="R9649">
        <v>0.84830740000000004</v>
      </c>
      <c r="S9649">
        <v>1.101486</v>
      </c>
      <c r="T9649">
        <v>-0.1827897</v>
      </c>
      <c r="U9649">
        <v>2.8455509999999999</v>
      </c>
      <c r="V9649">
        <v>-2.5800279999999998E-2</v>
      </c>
      <c r="W9649">
        <v>-2.8834889999999998E-2</v>
      </c>
      <c r="X9649">
        <v>0.99925120000000001</v>
      </c>
      <c r="Y9649">
        <v>-0.21279770000000001</v>
      </c>
      <c r="Z9649">
        <v>-4.6376529999999999E-2</v>
      </c>
      <c r="AA9649">
        <v>0.9759951</v>
      </c>
      <c r="AB9649">
        <v>25</v>
      </c>
      <c r="AC9649">
        <v>6.5863999999999896</v>
      </c>
      <c r="AD9649">
        <v>-1.1101389337923999</v>
      </c>
      <c r="AE9649">
        <v>17.12172</v>
      </c>
      <c r="AF9649">
        <v>-3.9186897755485499</v>
      </c>
      <c r="AG9649">
        <v>-1.1101389337923999</v>
      </c>
      <c r="AH9649">
        <v>17.852912589242901</v>
      </c>
      <c r="AI9649">
        <v>93.475680526706796</v>
      </c>
      <c r="AJ9649">
        <v>102.38001518903999</v>
      </c>
      <c r="AK9649">
        <v>18.311609048045401</v>
      </c>
      <c r="AL9649">
        <v>91.652346473283004</v>
      </c>
      <c r="AM9649">
        <v>91.479026288108003</v>
      </c>
      <c r="AN9649">
        <v>1.00000003301541</v>
      </c>
    </row>
    <row r="9650" spans="1:40" x14ac:dyDescent="0.25">
      <c r="A9650" t="str">
        <f>"20190312154141210"</f>
        <v>20190312154141210</v>
      </c>
      <c r="B9650" t="str">
        <f>"1552376501205411"</f>
        <v>1552376501205411</v>
      </c>
      <c r="C9650" t="s">
        <v>40</v>
      </c>
      <c r="D9650">
        <v>4.5906180000000001</v>
      </c>
      <c r="E9650">
        <v>0.42821819999999999</v>
      </c>
      <c r="F9650" t="s">
        <v>42</v>
      </c>
      <c r="G9650">
        <v>-187.3621</v>
      </c>
      <c r="H9650" s="1">
        <v>-9.3584949999999999E-7</v>
      </c>
      <c r="I9650">
        <v>-29.664400000000001</v>
      </c>
      <c r="J9650">
        <v>-193.85409999999999</v>
      </c>
      <c r="K9650">
        <v>1.110169</v>
      </c>
      <c r="L9650">
        <v>-46.66769</v>
      </c>
      <c r="M9650">
        <v>0.54921160000000002</v>
      </c>
      <c r="N9650">
        <v>0</v>
      </c>
      <c r="O9650">
        <v>0.83568330000000002</v>
      </c>
      <c r="P9650">
        <v>0.52721300000000004</v>
      </c>
      <c r="Q9650">
        <v>-2.857529E-2</v>
      </c>
      <c r="R9650">
        <v>0.84925249999999997</v>
      </c>
      <c r="S9650">
        <v>1.0933839999999999</v>
      </c>
      <c r="T9650">
        <v>-0.18455949999999999</v>
      </c>
      <c r="U9650">
        <v>2.8487239999999998</v>
      </c>
      <c r="V9650">
        <v>-2.5702309999999999E-2</v>
      </c>
      <c r="W9650">
        <v>-2.8590290000000001E-2</v>
      </c>
      <c r="X9650">
        <v>0.9992607</v>
      </c>
      <c r="Y9650">
        <v>-0.21375050000000001</v>
      </c>
      <c r="Z9650">
        <v>-4.6879709999999998E-2</v>
      </c>
      <c r="AA9650">
        <v>0.97576280000000004</v>
      </c>
      <c r="AB9650">
        <v>25</v>
      </c>
      <c r="AC9650">
        <v>6.4919999999999902</v>
      </c>
      <c r="AD9650">
        <v>-1.1101699358495001</v>
      </c>
      <c r="AE9650">
        <v>17.00329</v>
      </c>
      <c r="AF9650">
        <v>-3.8986429226019501</v>
      </c>
      <c r="AG9650">
        <v>-1.1101699358495001</v>
      </c>
      <c r="AH9650">
        <v>17.708959662815001</v>
      </c>
      <c r="AI9650">
        <v>93.503483191508295</v>
      </c>
      <c r="AJ9650">
        <v>102.415663557427</v>
      </c>
      <c r="AK9650">
        <v>18.166979558078101</v>
      </c>
      <c r="AL9650">
        <v>91.638326232473105</v>
      </c>
      <c r="AM9650">
        <v>91.473398540848706</v>
      </c>
      <c r="AN9650">
        <v>0.99999997999305401</v>
      </c>
    </row>
    <row r="9651" spans="1:40" x14ac:dyDescent="0.25">
      <c r="A9651" t="str">
        <f>"20190312154141228"</f>
        <v>20190312154141228</v>
      </c>
      <c r="B9651" t="str">
        <f>"1552376501215171"</f>
        <v>1552376501215171</v>
      </c>
      <c r="C9651" t="s">
        <v>40</v>
      </c>
      <c r="D9651">
        <v>4.5873999999999997</v>
      </c>
      <c r="E9651">
        <v>0.42837940000000002</v>
      </c>
      <c r="F9651" t="s">
        <v>42</v>
      </c>
      <c r="G9651">
        <v>-187.5403</v>
      </c>
      <c r="H9651" s="1">
        <v>-7.1491909999999996E-7</v>
      </c>
      <c r="I9651">
        <v>-30.174299999999999</v>
      </c>
      <c r="J9651">
        <v>-193.7379</v>
      </c>
      <c r="K9651">
        <v>1.110214</v>
      </c>
      <c r="L9651">
        <v>-46.485959999999999</v>
      </c>
      <c r="M9651">
        <v>0.54704609999999998</v>
      </c>
      <c r="N9651">
        <v>0</v>
      </c>
      <c r="O9651">
        <v>0.83710239999999903</v>
      </c>
      <c r="P9651">
        <v>0.52527769999999996</v>
      </c>
      <c r="Q9651">
        <v>-2.8070210000000002E-2</v>
      </c>
      <c r="R9651">
        <v>0.8504678</v>
      </c>
      <c r="S9651">
        <v>1.0906370000000001</v>
      </c>
      <c r="T9651">
        <v>-0.19176799999999999</v>
      </c>
      <c r="U9651">
        <v>2.84903</v>
      </c>
      <c r="V9651">
        <v>-2.5401650000000001E-2</v>
      </c>
      <c r="W9651">
        <v>-2.792292E-2</v>
      </c>
      <c r="X9651">
        <v>0.99928729999999999</v>
      </c>
      <c r="Y9651">
        <v>-0.21211469999999999</v>
      </c>
      <c r="Z9651">
        <v>-4.8848419999999997E-2</v>
      </c>
      <c r="AA9651">
        <v>0.97602310000000003</v>
      </c>
      <c r="AB9651">
        <v>25</v>
      </c>
      <c r="AC9651">
        <v>6.1975999999999898</v>
      </c>
      <c r="AD9651">
        <v>-1.1102147149191</v>
      </c>
      <c r="AE9651">
        <v>16.31166</v>
      </c>
      <c r="AF9651">
        <v>-3.72014477740009</v>
      </c>
      <c r="AG9651">
        <v>-1.1102147149191</v>
      </c>
      <c r="AH9651">
        <v>16.976182009795998</v>
      </c>
      <c r="AI9651">
        <v>93.655229616869605</v>
      </c>
      <c r="AJ9651">
        <v>102.36035974853699</v>
      </c>
      <c r="AK9651">
        <v>17.414442555182799</v>
      </c>
      <c r="AL9651">
        <v>91.600073407376101</v>
      </c>
      <c r="AM9651">
        <v>91.456131766721001</v>
      </c>
      <c r="AN9651">
        <v>1.00000002061266</v>
      </c>
    </row>
    <row r="9652" spans="1:40" x14ac:dyDescent="0.25">
      <c r="A9652" t="str">
        <f>"20190312154141244"</f>
        <v>20190312154141244</v>
      </c>
      <c r="B9652" t="str">
        <f>"1552376501235667"</f>
        <v>1552376501235667</v>
      </c>
      <c r="C9652" t="s">
        <v>40</v>
      </c>
      <c r="D9652">
        <v>4.6121270000000001</v>
      </c>
      <c r="E9652">
        <v>0.42879159999999999</v>
      </c>
      <c r="F9652" t="s">
        <v>42</v>
      </c>
      <c r="G9652">
        <v>-187.50370000000001</v>
      </c>
      <c r="H9652" s="1">
        <v>-7.4749569999999895E-7</v>
      </c>
      <c r="I9652">
        <v>-30.107140000000001</v>
      </c>
      <c r="J9652">
        <v>-193.64670000000001</v>
      </c>
      <c r="K9652">
        <v>1.1102430000000001</v>
      </c>
      <c r="L9652">
        <v>-46.342680000000001</v>
      </c>
      <c r="M9652">
        <v>0.54533889999999996</v>
      </c>
      <c r="N9652">
        <v>0</v>
      </c>
      <c r="O9652">
        <v>0.83821559999999995</v>
      </c>
      <c r="P9652">
        <v>0.524038</v>
      </c>
      <c r="Q9652">
        <v>-2.777481E-2</v>
      </c>
      <c r="R9652">
        <v>0.8512419</v>
      </c>
      <c r="S9652">
        <v>1.0851139999999999</v>
      </c>
      <c r="T9652">
        <v>-0.19324350000000001</v>
      </c>
      <c r="U9652">
        <v>2.8508909999999998</v>
      </c>
      <c r="V9652">
        <v>-2.48268E-2</v>
      </c>
      <c r="W9652">
        <v>-2.749704E-2</v>
      </c>
      <c r="X9652">
        <v>0.99931349999999997</v>
      </c>
      <c r="Y9652">
        <v>-0.21199509999999999</v>
      </c>
      <c r="Z9652">
        <v>-4.9310699999999999E-2</v>
      </c>
      <c r="AA9652">
        <v>0.9760259</v>
      </c>
      <c r="AB9652">
        <v>25</v>
      </c>
      <c r="AC9652">
        <v>6.1429999999999998</v>
      </c>
      <c r="AD9652">
        <v>-1.1102437474956901</v>
      </c>
      <c r="AE9652">
        <v>16.23554</v>
      </c>
      <c r="AF9652">
        <v>-3.6896202109146499</v>
      </c>
      <c r="AG9652">
        <v>-1.1102437474956901</v>
      </c>
      <c r="AH9652">
        <v>16.889809749257399</v>
      </c>
      <c r="AI9652">
        <v>93.674492049778607</v>
      </c>
      <c r="AJ9652">
        <v>102.32281609290099</v>
      </c>
      <c r="AK9652">
        <v>17.3237297325303</v>
      </c>
      <c r="AL9652">
        <v>91.575662996439604</v>
      </c>
      <c r="AM9652">
        <v>91.423155305463396</v>
      </c>
      <c r="AN9652">
        <v>0.99999996424462501</v>
      </c>
    </row>
    <row r="9653" spans="1:40" x14ac:dyDescent="0.25">
      <c r="A9653" t="str">
        <f>"20190312154141262"</f>
        <v>20190312154141262</v>
      </c>
      <c r="B9653" t="str">
        <f>"1552376501255187"</f>
        <v>1552376501255187</v>
      </c>
      <c r="C9653" t="s">
        <v>40</v>
      </c>
      <c r="D9653">
        <v>4.580959</v>
      </c>
      <c r="E9653">
        <v>0.42877549999999998</v>
      </c>
      <c r="F9653" t="s">
        <v>42</v>
      </c>
      <c r="G9653">
        <v>-187.56389999999999</v>
      </c>
      <c r="H9653" s="1">
        <v>-6.5263920000000001E-7</v>
      </c>
      <c r="I9653">
        <v>-30.338799999999999</v>
      </c>
      <c r="J9653">
        <v>-193.53800000000001</v>
      </c>
      <c r="K9653">
        <v>1.110282</v>
      </c>
      <c r="L9653">
        <v>-46.171050000000001</v>
      </c>
      <c r="M9653">
        <v>0.54329340000000004</v>
      </c>
      <c r="N9653">
        <v>0</v>
      </c>
      <c r="O9653">
        <v>0.83954269999999998</v>
      </c>
      <c r="P9653">
        <v>0.52297389999999999</v>
      </c>
      <c r="Q9653">
        <v>-2.7528029999999998E-2</v>
      </c>
      <c r="R9653">
        <v>0.85190399999999999</v>
      </c>
      <c r="S9653">
        <v>1.0835269999999999</v>
      </c>
      <c r="T9653">
        <v>-0.19776959999999999</v>
      </c>
      <c r="U9653">
        <v>2.8508</v>
      </c>
      <c r="V9653">
        <v>-2.364339E-2</v>
      </c>
      <c r="W9653">
        <v>-2.7091959999999998E-2</v>
      </c>
      <c r="X9653">
        <v>0.9993533</v>
      </c>
      <c r="Y9653">
        <v>-0.21010200000000001</v>
      </c>
      <c r="Z9653">
        <v>-5.060663E-2</v>
      </c>
      <c r="AA9653">
        <v>0.97636880000000004</v>
      </c>
      <c r="AB9653">
        <v>25</v>
      </c>
      <c r="AC9653">
        <v>5.9740999999999902</v>
      </c>
      <c r="AD9653">
        <v>-1.1102826526392</v>
      </c>
      <c r="AE9653">
        <v>15.83225</v>
      </c>
      <c r="AF9653">
        <v>-3.5706738553635602</v>
      </c>
      <c r="AG9653">
        <v>-1.1102826526392</v>
      </c>
      <c r="AH9653">
        <v>16.466653382424099</v>
      </c>
      <c r="AI9653">
        <v>93.770038541341293</v>
      </c>
      <c r="AJ9653">
        <v>102.234756959297</v>
      </c>
      <c r="AK9653">
        <v>16.885885021728299</v>
      </c>
      <c r="AL9653">
        <v>91.552444913486497</v>
      </c>
      <c r="AM9653">
        <v>91.355290260657796</v>
      </c>
      <c r="AN9653">
        <v>1.0000000012041099</v>
      </c>
    </row>
    <row r="9654" spans="1:40" x14ac:dyDescent="0.25">
      <c r="A9654" t="str">
        <f>"20190312154141273"</f>
        <v>20190312154141273</v>
      </c>
      <c r="B9654" t="str">
        <f>"1552376501265923"</f>
        <v>1552376501265923</v>
      </c>
      <c r="C9654" t="s">
        <v>40</v>
      </c>
      <c r="D9654">
        <v>4.6243939999999997</v>
      </c>
      <c r="E9654">
        <v>0.41246969999999999</v>
      </c>
      <c r="F9654" t="s">
        <v>42</v>
      </c>
      <c r="G9654">
        <v>-187.48</v>
      </c>
      <c r="H9654" s="1">
        <v>-7.3113340000000001E-7</v>
      </c>
      <c r="I9654">
        <v>-30.173760000000001</v>
      </c>
      <c r="J9654">
        <v>-193.45820000000001</v>
      </c>
      <c r="K9654">
        <v>1.1103149999999999</v>
      </c>
      <c r="L9654">
        <v>-46.044460000000001</v>
      </c>
      <c r="M9654">
        <v>0.5417843</v>
      </c>
      <c r="N9654">
        <v>0</v>
      </c>
      <c r="O9654">
        <v>0.84051730000000002</v>
      </c>
      <c r="P9654">
        <v>0.52189180000000002</v>
      </c>
      <c r="Q9654">
        <v>-2.7234209999999998E-2</v>
      </c>
      <c r="R9654">
        <v>0.85257689999999997</v>
      </c>
      <c r="S9654">
        <v>1.0800479999999999</v>
      </c>
      <c r="T9654">
        <v>-0.19794700000000001</v>
      </c>
      <c r="U9654">
        <v>2.8520810000000001</v>
      </c>
      <c r="V9654">
        <v>-2.3122799999999999E-2</v>
      </c>
      <c r="W9654">
        <v>-2.6684550000000001E-2</v>
      </c>
      <c r="X9654">
        <v>0.99937640000000005</v>
      </c>
      <c r="Y9654">
        <v>-0.20953459999999999</v>
      </c>
      <c r="Z9654">
        <v>-5.0736169999999997E-2</v>
      </c>
      <c r="AA9654">
        <v>0.97648409999999997</v>
      </c>
      <c r="AB9654">
        <v>25</v>
      </c>
      <c r="AC9654">
        <v>5.97820000000001</v>
      </c>
      <c r="AD9654">
        <v>-1.1103157311334</v>
      </c>
      <c r="AE9654">
        <v>15.870699999999999</v>
      </c>
      <c r="AF9654">
        <v>-3.5584639084751299</v>
      </c>
      <c r="AG9654">
        <v>-1.1103157311334</v>
      </c>
      <c r="AH9654">
        <v>16.5077402585387</v>
      </c>
      <c r="AI9654">
        <v>93.761784863768298</v>
      </c>
      <c r="AJ9654">
        <v>102.164728454127</v>
      </c>
      <c r="AK9654">
        <v>16.9233848521536</v>
      </c>
      <c r="AL9654">
        <v>91.529093661623804</v>
      </c>
      <c r="AM9654">
        <v>91.325429054737896</v>
      </c>
      <c r="AN9654">
        <v>0.99999995898274996</v>
      </c>
    </row>
    <row r="9655" spans="1:40" x14ac:dyDescent="0.25">
      <c r="A9655" t="str">
        <f>"20190312154141286"</f>
        <v>20190312154141286</v>
      </c>
      <c r="B9655" t="str">
        <f>"1552376501275683"</f>
        <v>1552376501275683</v>
      </c>
      <c r="C9655" t="s">
        <v>40</v>
      </c>
      <c r="D9655">
        <v>4.6111769999999996</v>
      </c>
      <c r="E9655">
        <v>0.40770689999999998</v>
      </c>
      <c r="F9655" t="s">
        <v>42</v>
      </c>
      <c r="G9655">
        <v>-188.87710000000001</v>
      </c>
      <c r="H9655" s="1">
        <v>-3.7187909999999998E-6</v>
      </c>
      <c r="I9655">
        <v>-32.162939999999999</v>
      </c>
      <c r="J9655">
        <v>-193.38820000000001</v>
      </c>
      <c r="K9655">
        <v>1.110341</v>
      </c>
      <c r="L9655">
        <v>-45.932920000000003</v>
      </c>
      <c r="M9655">
        <v>0.54045459999999901</v>
      </c>
      <c r="N9655">
        <v>0</v>
      </c>
      <c r="O9655">
        <v>0.84137280000000003</v>
      </c>
      <c r="P9655">
        <v>0.52089629999999998</v>
      </c>
      <c r="Q9655">
        <v>-2.7261319999999999E-2</v>
      </c>
      <c r="R9655">
        <v>0.85318449999999901</v>
      </c>
      <c r="S9655">
        <v>0.96403499999999998</v>
      </c>
      <c r="T9655">
        <v>-0.233651</v>
      </c>
      <c r="U9655">
        <v>2.921173</v>
      </c>
      <c r="V9655">
        <v>-2.2708249999999999E-2</v>
      </c>
      <c r="W9655">
        <v>-2.6613520000000002E-2</v>
      </c>
      <c r="X9655">
        <v>0.9993879</v>
      </c>
      <c r="Y9655">
        <v>-0.25015999999999999</v>
      </c>
      <c r="Z9655">
        <v>-5.8541870000000003E-2</v>
      </c>
      <c r="AA9655">
        <v>0.96643299999999999</v>
      </c>
      <c r="AB9655">
        <v>25</v>
      </c>
      <c r="AC9655">
        <v>4.5110999999999901</v>
      </c>
      <c r="AD9655">
        <v>-1.1103447187910001</v>
      </c>
      <c r="AE9655">
        <v>13.76998</v>
      </c>
      <c r="AF9655">
        <v>-3.6252464895376399</v>
      </c>
      <c r="AG9655">
        <v>-1.1103447187910001</v>
      </c>
      <c r="AH9655">
        <v>13.9418714054161</v>
      </c>
      <c r="AI9655">
        <v>94.407522481984699</v>
      </c>
      <c r="AJ9655">
        <v>104.57560168112001</v>
      </c>
      <c r="AK9655">
        <v>14.4482198138599</v>
      </c>
      <c r="AL9655">
        <v>91.525022343246107</v>
      </c>
      <c r="AM9655">
        <v>91.3016597848967</v>
      </c>
      <c r="AN9655">
        <v>1.00000005936562</v>
      </c>
    </row>
    <row r="9656" spans="1:40" x14ac:dyDescent="0.25">
      <c r="A9656" t="str">
        <f>"20190312154141298"</f>
        <v>20190312154141298</v>
      </c>
      <c r="B9656" t="str">
        <f>"1552376501285443"</f>
        <v>1552376501285443</v>
      </c>
      <c r="C9656" t="s">
        <v>40</v>
      </c>
      <c r="D9656">
        <v>4.631837</v>
      </c>
      <c r="E9656">
        <v>0.4034739</v>
      </c>
      <c r="F9656" t="s">
        <v>42</v>
      </c>
      <c r="G9656">
        <v>-188.87180000000001</v>
      </c>
      <c r="H9656" s="1">
        <v>-3.9512240000000002E-6</v>
      </c>
      <c r="I9656">
        <v>-31.62331</v>
      </c>
      <c r="J9656">
        <v>-193.31800000000001</v>
      </c>
      <c r="K9656">
        <v>1.110366</v>
      </c>
      <c r="L9656">
        <v>-45.820889999999999</v>
      </c>
      <c r="M9656">
        <v>0.5391186</v>
      </c>
      <c r="N9656">
        <v>0</v>
      </c>
      <c r="O9656">
        <v>0.84222940000000002</v>
      </c>
      <c r="P9656">
        <v>0.51988250000000003</v>
      </c>
      <c r="Q9656">
        <v>-2.6996220000000001E-2</v>
      </c>
      <c r="R9656">
        <v>0.85381109999999905</v>
      </c>
      <c r="S9656">
        <v>0.92855829999999995</v>
      </c>
      <c r="T9656">
        <v>-0.22828390000000001</v>
      </c>
      <c r="U9656">
        <v>2.9420169999999999</v>
      </c>
      <c r="V9656">
        <v>-2.231532E-2</v>
      </c>
      <c r="W9656">
        <v>-2.6250619999999999E-2</v>
      </c>
      <c r="X9656">
        <v>0.99940629999999997</v>
      </c>
      <c r="Y9656">
        <v>-0.26117089999999998</v>
      </c>
      <c r="Z9656">
        <v>-5.6883799999999998E-2</v>
      </c>
      <c r="AA9656">
        <v>0.96361509999999995</v>
      </c>
      <c r="AB9656">
        <v>25</v>
      </c>
      <c r="AC9656">
        <v>4.44619999999997</v>
      </c>
      <c r="AD9656">
        <v>-1.110369951224</v>
      </c>
      <c r="AE9656">
        <v>14.19758</v>
      </c>
      <c r="AF9656">
        <v>-3.8878045194170401</v>
      </c>
      <c r="AG9656">
        <v>-1.110369951224</v>
      </c>
      <c r="AH9656">
        <v>14.275137707906</v>
      </c>
      <c r="AI9656">
        <v>94.291997151740503</v>
      </c>
      <c r="AJ9656">
        <v>105.234887905015</v>
      </c>
      <c r="AK9656">
        <v>14.8366944428151</v>
      </c>
      <c r="AL9656">
        <v>91.504222512234506</v>
      </c>
      <c r="AM9656">
        <v>91.279120647787906</v>
      </c>
      <c r="AN9656">
        <v>1.0000000105183799</v>
      </c>
    </row>
    <row r="9657" spans="1:40" x14ac:dyDescent="0.25">
      <c r="A9657" t="str">
        <f>"20190312154141308"</f>
        <v>20190312154141308</v>
      </c>
      <c r="B9657" t="str">
        <f>"1552376501305939"</f>
        <v>1552376501305939</v>
      </c>
      <c r="C9657" t="s">
        <v>40</v>
      </c>
      <c r="D9657">
        <v>4.6011579999999999</v>
      </c>
      <c r="E9657">
        <v>0.39935619999999999</v>
      </c>
      <c r="F9657" t="s">
        <v>42</v>
      </c>
      <c r="G9657">
        <v>-188.595</v>
      </c>
      <c r="H9657" s="1">
        <v>-4.1553890000000001E-7</v>
      </c>
      <c r="I9657">
        <v>-30.229369999999999</v>
      </c>
      <c r="J9657">
        <v>-193.2467</v>
      </c>
      <c r="K9657">
        <v>1.11039</v>
      </c>
      <c r="L9657">
        <v>-45.706299999999999</v>
      </c>
      <c r="M9657">
        <v>0.53775240000000002</v>
      </c>
      <c r="N9657">
        <v>0</v>
      </c>
      <c r="O9657">
        <v>0.84310229999999997</v>
      </c>
      <c r="P9657">
        <v>0.51852229999999999</v>
      </c>
      <c r="Q9657">
        <v>-2.7162430000000001E-2</v>
      </c>
      <c r="R9657">
        <v>0.85463259999999996</v>
      </c>
      <c r="S9657">
        <v>0.89691160000000003</v>
      </c>
      <c r="T9657">
        <v>-0.21086189999999999</v>
      </c>
      <c r="U9657">
        <v>2.9608759999999998</v>
      </c>
      <c r="V9657">
        <v>-2.2282389999999999E-2</v>
      </c>
      <c r="W9657">
        <v>-2.632164E-2</v>
      </c>
      <c r="X9657">
        <v>0.99940510000000005</v>
      </c>
      <c r="Y9657">
        <v>-0.27067669999999999</v>
      </c>
      <c r="Z9657">
        <v>-5.230228E-2</v>
      </c>
      <c r="AA9657">
        <v>0.96124849999999995</v>
      </c>
      <c r="AB9657">
        <v>26</v>
      </c>
      <c r="AC9657">
        <v>4.6516999999999999</v>
      </c>
      <c r="AD9657">
        <v>-1.1103904155388999</v>
      </c>
      <c r="AE9657">
        <v>15.476929999999999</v>
      </c>
      <c r="AF9657">
        <v>-4.3802207421364496</v>
      </c>
      <c r="AG9657">
        <v>-1.1103904155388999</v>
      </c>
      <c r="AH9657">
        <v>15.477039780696</v>
      </c>
      <c r="AI9657">
        <v>93.949031489757999</v>
      </c>
      <c r="AJ9657">
        <v>105.802261914784</v>
      </c>
      <c r="AK9657">
        <v>16.123214970904801</v>
      </c>
      <c r="AL9657">
        <v>91.508293165690006</v>
      </c>
      <c r="AM9657">
        <v>91.277235249395403</v>
      </c>
      <c r="AN9657">
        <v>0.99999994377120405</v>
      </c>
    </row>
    <row r="9658" spans="1:40" x14ac:dyDescent="0.25">
      <c r="A9658" t="str">
        <f>"20190312154141321"</f>
        <v>20190312154141321</v>
      </c>
      <c r="B9658" t="str">
        <f>"1552376501315699"</f>
        <v>1552376501315699</v>
      </c>
      <c r="C9658" t="s">
        <v>40</v>
      </c>
      <c r="D9658">
        <v>4.6165430000000001</v>
      </c>
      <c r="E9658">
        <v>0.39833869999999999</v>
      </c>
      <c r="F9658" t="s">
        <v>42</v>
      </c>
      <c r="G9658">
        <v>-187.92660000000001</v>
      </c>
      <c r="H9658" s="1">
        <v>-1.6470380000000001E-6</v>
      </c>
      <c r="I9658">
        <v>-27.385249999999999</v>
      </c>
      <c r="J9658">
        <v>-193.17519999999999</v>
      </c>
      <c r="K9658">
        <v>1.1104130000000001</v>
      </c>
      <c r="L9658">
        <v>-45.591279999999998</v>
      </c>
      <c r="M9658">
        <v>0.53638019999999997</v>
      </c>
      <c r="N9658">
        <v>0</v>
      </c>
      <c r="O9658">
        <v>0.84397579999999905</v>
      </c>
      <c r="P9658">
        <v>0.51693449999999996</v>
      </c>
      <c r="Q9658">
        <v>-2.7155640000000002E-2</v>
      </c>
      <c r="R9658">
        <v>0.85559409999999902</v>
      </c>
      <c r="S9658">
        <v>0.86521909999999902</v>
      </c>
      <c r="T9658">
        <v>-0.18058669999999999</v>
      </c>
      <c r="U9658">
        <v>2.9796140000000002</v>
      </c>
      <c r="V9658">
        <v>-2.2511670000000001E-2</v>
      </c>
      <c r="W9658">
        <v>-2.6221629999999999E-2</v>
      </c>
      <c r="X9658">
        <v>0.99940260000000003</v>
      </c>
      <c r="Y9658">
        <v>-0.28005920000000001</v>
      </c>
      <c r="Z9658">
        <v>-4.4594759999999997E-2</v>
      </c>
      <c r="AA9658">
        <v>0.95894639999999998</v>
      </c>
      <c r="AB9658">
        <v>26</v>
      </c>
      <c r="AC9658">
        <v>5.2485999999999802</v>
      </c>
      <c r="AD9658">
        <v>-1.1104146470380001</v>
      </c>
      <c r="AE9658">
        <v>18.206029999999998</v>
      </c>
      <c r="AF9658">
        <v>-5.3174028750725197</v>
      </c>
      <c r="AG9658">
        <v>-1.1104146470380001</v>
      </c>
      <c r="AH9658">
        <v>18.118475714313501</v>
      </c>
      <c r="AI9658">
        <v>93.365466915673693</v>
      </c>
      <c r="AJ9658">
        <v>106.355887364138</v>
      </c>
      <c r="AK9658">
        <v>18.9152572341577</v>
      </c>
      <c r="AL9658">
        <v>91.502561022050401</v>
      </c>
      <c r="AM9658">
        <v>91.290376473932994</v>
      </c>
      <c r="AN9658">
        <v>0.99999995302640099</v>
      </c>
    </row>
    <row r="9659" spans="1:40" x14ac:dyDescent="0.25">
      <c r="A9659" t="str">
        <f>"20190312154141339"</f>
        <v>20190312154141339</v>
      </c>
      <c r="B9659" t="str">
        <f>"1552376501335219"</f>
        <v>1552376501335219</v>
      </c>
      <c r="C9659" t="s">
        <v>40</v>
      </c>
      <c r="D9659">
        <v>4.5731109999999999</v>
      </c>
      <c r="E9659">
        <v>0.39792290000000002</v>
      </c>
      <c r="F9659" t="s">
        <v>42</v>
      </c>
      <c r="G9659">
        <v>-187.67509999999999</v>
      </c>
      <c r="H9659" s="1">
        <v>-2.1378379999999999E-6</v>
      </c>
      <c r="I9659">
        <v>-26.345189999999999</v>
      </c>
      <c r="J9659">
        <v>-193.0702</v>
      </c>
      <c r="K9659">
        <v>1.110449</v>
      </c>
      <c r="L9659">
        <v>-45.421720000000001</v>
      </c>
      <c r="M9659">
        <v>0.53435739999999998</v>
      </c>
      <c r="N9659">
        <v>0</v>
      </c>
      <c r="O9659">
        <v>0.84525779999999995</v>
      </c>
      <c r="P9659">
        <v>0.51419929999999903</v>
      </c>
      <c r="Q9659">
        <v>-2.7097469999999999E-2</v>
      </c>
      <c r="R9659">
        <v>0.85724259999999997</v>
      </c>
      <c r="S9659">
        <v>0.853164699999999</v>
      </c>
      <c r="T9659">
        <v>-0.17224529999999999</v>
      </c>
      <c r="U9659">
        <v>2.9854129999999999</v>
      </c>
      <c r="V9659">
        <v>-2.3310959999999999E-2</v>
      </c>
      <c r="W9659">
        <v>-2.603161E-2</v>
      </c>
      <c r="X9659">
        <v>0.99938930000000004</v>
      </c>
      <c r="Y9659">
        <v>-0.28180660000000002</v>
      </c>
      <c r="Z9659">
        <v>-4.2569540000000003E-2</v>
      </c>
      <c r="AA9659">
        <v>0.9585264</v>
      </c>
      <c r="AB9659">
        <v>26</v>
      </c>
      <c r="AC9659">
        <v>5.39510000000001</v>
      </c>
      <c r="AD9659">
        <v>-1.110451137838</v>
      </c>
      <c r="AE9659">
        <v>19.076530000000002</v>
      </c>
      <c r="AF9659">
        <v>-5.6158190125471998</v>
      </c>
      <c r="AG9659">
        <v>-1.110451137838</v>
      </c>
      <c r="AH9659">
        <v>18.948061441670401</v>
      </c>
      <c r="AI9659">
        <v>93.216015892536603</v>
      </c>
      <c r="AJ9659">
        <v>106.508749420068</v>
      </c>
      <c r="AK9659">
        <v>19.793927283602201</v>
      </c>
      <c r="AL9659">
        <v>91.491669875835299</v>
      </c>
      <c r="AM9659">
        <v>91.336193495431104</v>
      </c>
      <c r="AN9659">
        <v>1.0000000092649</v>
      </c>
    </row>
    <row r="9660" spans="1:40" x14ac:dyDescent="0.25">
      <c r="A9660" t="str">
        <f>"20190312154141348"</f>
        <v>20190312154141348</v>
      </c>
      <c r="B9660" t="str">
        <f>"1552376501345955"</f>
        <v>1552376501345955</v>
      </c>
      <c r="C9660" t="s">
        <v>40</v>
      </c>
      <c r="D9660">
        <v>4.5781239999999999</v>
      </c>
      <c r="E9660">
        <v>0.39764280000000002</v>
      </c>
      <c r="F9660" t="s">
        <v>42</v>
      </c>
      <c r="G9660">
        <v>-186.9803</v>
      </c>
      <c r="H9660" s="1">
        <v>-3.3594570000000001E-6</v>
      </c>
      <c r="I9660">
        <v>-23.78482</v>
      </c>
      <c r="J9660">
        <v>-193.00309999999999</v>
      </c>
      <c r="K9660">
        <v>1.110466</v>
      </c>
      <c r="L9660">
        <v>-45.31259</v>
      </c>
      <c r="M9660">
        <v>0.53305599999999997</v>
      </c>
      <c r="N9660">
        <v>0</v>
      </c>
      <c r="O9660">
        <v>0.84607909999999997</v>
      </c>
      <c r="P9660">
        <v>0.51195579999999996</v>
      </c>
      <c r="Q9660">
        <v>-2.673536E-2</v>
      </c>
      <c r="R9660">
        <v>0.85859569999999996</v>
      </c>
      <c r="S9660">
        <v>0.84155270000000004</v>
      </c>
      <c r="T9660">
        <v>-0.15345110000000001</v>
      </c>
      <c r="U9660">
        <v>2.98996</v>
      </c>
      <c r="V9660">
        <v>-2.4393930000000001E-2</v>
      </c>
      <c r="W9660">
        <v>-2.559053E-2</v>
      </c>
      <c r="X9660">
        <v>0.99937480000000001</v>
      </c>
      <c r="Y9660">
        <v>-0.28410390000000002</v>
      </c>
      <c r="Z9660">
        <v>-3.793813E-2</v>
      </c>
      <c r="AA9660">
        <v>0.95804259999999997</v>
      </c>
      <c r="AB9660">
        <v>26</v>
      </c>
      <c r="AC9660">
        <v>6.0227999999999797</v>
      </c>
      <c r="AD9660">
        <v>-1.1104693594570001</v>
      </c>
      <c r="AE9660">
        <v>21.52777</v>
      </c>
      <c r="AF9660">
        <v>-6.3640420471652801</v>
      </c>
      <c r="AG9660">
        <v>-1.1104693594570001</v>
      </c>
      <c r="AH9660">
        <v>21.371962578639302</v>
      </c>
      <c r="AI9660">
        <v>92.850874139590701</v>
      </c>
      <c r="AJ9660">
        <v>106.582230254078</v>
      </c>
      <c r="AK9660">
        <v>22.327000645835501</v>
      </c>
      <c r="AL9660">
        <v>91.466389495955298</v>
      </c>
      <c r="AM9660">
        <v>91.398265948686898</v>
      </c>
      <c r="AN9660">
        <v>0.99999996496078203</v>
      </c>
    </row>
    <row r="9661" spans="1:40" x14ac:dyDescent="0.25">
      <c r="A9661" t="str">
        <f>"20190312154141361"</f>
        <v>20190312154141361</v>
      </c>
      <c r="B9661" t="str">
        <f>"1552376501355715"</f>
        <v>1552376501355715</v>
      </c>
      <c r="C9661" t="s">
        <v>40</v>
      </c>
      <c r="D9661">
        <v>4.6060439999999998</v>
      </c>
      <c r="E9661">
        <v>0.39767079999999999</v>
      </c>
      <c r="F9661" t="s">
        <v>42</v>
      </c>
      <c r="G9661">
        <v>-186.74969999999999</v>
      </c>
      <c r="H9661" s="1">
        <v>-3.8170199999999998E-6</v>
      </c>
      <c r="I9661">
        <v>-22.813580000000002</v>
      </c>
      <c r="J9661">
        <v>-192.9331</v>
      </c>
      <c r="K9661">
        <v>1.11049</v>
      </c>
      <c r="L9661">
        <v>-45.198520000000002</v>
      </c>
      <c r="M9661">
        <v>0.53169549999999999</v>
      </c>
      <c r="N9661">
        <v>0</v>
      </c>
      <c r="O9661">
        <v>0.84693439999999998</v>
      </c>
      <c r="P9661">
        <v>0.50992099999999996</v>
      </c>
      <c r="Q9661">
        <v>-2.684214E-2</v>
      </c>
      <c r="R9661">
        <v>0.85980239999999997</v>
      </c>
      <c r="S9661">
        <v>0.83198549999999905</v>
      </c>
      <c r="T9661">
        <v>-0.14774389999999901</v>
      </c>
      <c r="U9661">
        <v>2.9934080000000001</v>
      </c>
      <c r="V9661">
        <v>-2.5151610000000001E-2</v>
      </c>
      <c r="W9661">
        <v>-2.5614319999999999E-2</v>
      </c>
      <c r="X9661">
        <v>0.9993554</v>
      </c>
      <c r="Y9661">
        <v>-0.28567500000000001</v>
      </c>
      <c r="Z9661">
        <v>-3.655009E-2</v>
      </c>
      <c r="AA9661">
        <v>0.95762930000000002</v>
      </c>
      <c r="AB9661">
        <v>26</v>
      </c>
      <c r="AC9661">
        <v>6.1833999999999998</v>
      </c>
      <c r="AD9661">
        <v>-1.1104938170200001</v>
      </c>
      <c r="AE9661">
        <v>22.38494</v>
      </c>
      <c r="AF9661">
        <v>-6.6498390523541202</v>
      </c>
      <c r="AG9661">
        <v>-1.1104938170200001</v>
      </c>
      <c r="AH9661">
        <v>22.195532333881001</v>
      </c>
      <c r="AI9661">
        <v>92.743943962304499</v>
      </c>
      <c r="AJ9661">
        <v>106.67835230522201</v>
      </c>
      <c r="AK9661">
        <v>23.196879348830699</v>
      </c>
      <c r="AL9661">
        <v>91.4677530224252</v>
      </c>
      <c r="AM9661">
        <v>91.441706270626398</v>
      </c>
      <c r="AN9661">
        <v>0.99999995619190596</v>
      </c>
    </row>
    <row r="9662" spans="1:40" x14ac:dyDescent="0.25">
      <c r="A9662" t="str">
        <f>"20190312154141373"</f>
        <v>20190312154141373</v>
      </c>
      <c r="B9662" t="str">
        <f>"1552376501365475"</f>
        <v>1552376501365475</v>
      </c>
      <c r="C9662" t="s">
        <v>40</v>
      </c>
      <c r="D9662">
        <v>4.5336639999999999</v>
      </c>
      <c r="E9662">
        <v>0.39757049999999999</v>
      </c>
      <c r="F9662" t="s">
        <v>42</v>
      </c>
      <c r="G9662">
        <v>-186.59719999999999</v>
      </c>
      <c r="H9662" s="1">
        <v>-4.1064080000000004E-6</v>
      </c>
      <c r="I9662">
        <v>-22.202100000000002</v>
      </c>
      <c r="J9662">
        <v>-192.85640000000001</v>
      </c>
      <c r="K9662">
        <v>1.110511</v>
      </c>
      <c r="L9662">
        <v>-45.073059999999998</v>
      </c>
      <c r="M9662">
        <v>0.53019919999999998</v>
      </c>
      <c r="N9662">
        <v>0</v>
      </c>
      <c r="O9662">
        <v>0.84787190000000001</v>
      </c>
      <c r="P9662">
        <v>0.50767790000000002</v>
      </c>
      <c r="Q9662">
        <v>-2.6622549999999998E-2</v>
      </c>
      <c r="R9662">
        <v>0.8611356</v>
      </c>
      <c r="S9662">
        <v>0.82524109999999995</v>
      </c>
      <c r="T9662">
        <v>-0.14463970000000001</v>
      </c>
      <c r="U9662">
        <v>2.9952390000000002</v>
      </c>
      <c r="V9662">
        <v>-2.5996700000000001E-2</v>
      </c>
      <c r="W9662">
        <v>-2.5306550000000001E-2</v>
      </c>
      <c r="X9662">
        <v>0.9993417</v>
      </c>
      <c r="Y9662">
        <v>-0.28612890000000002</v>
      </c>
      <c r="Z9662">
        <v>-3.5831780000000001E-2</v>
      </c>
      <c r="AA9662">
        <v>0.95752099999999996</v>
      </c>
      <c r="AB9662">
        <v>26</v>
      </c>
      <c r="AC9662">
        <v>6.2592000000000203</v>
      </c>
      <c r="AD9662">
        <v>-1.1105151064079899</v>
      </c>
      <c r="AE9662">
        <v>22.87096</v>
      </c>
      <c r="AF9662">
        <v>-6.8042476165816401</v>
      </c>
      <c r="AG9662">
        <v>-1.1105151064079899</v>
      </c>
      <c r="AH9662">
        <v>22.660587237842702</v>
      </c>
      <c r="AI9662">
        <v>92.687274568636198</v>
      </c>
      <c r="AJ9662">
        <v>106.713326904638</v>
      </c>
      <c r="AK9662">
        <v>23.686140322838501</v>
      </c>
      <c r="AL9662">
        <v>91.450113257380593</v>
      </c>
      <c r="AM9662">
        <v>91.490146299638994</v>
      </c>
      <c r="AN9662">
        <v>1.0000000416213399</v>
      </c>
    </row>
    <row r="9663" spans="1:40" x14ac:dyDescent="0.25">
      <c r="A9663" t="str">
        <f>"20190312154141384"</f>
        <v>20190312154141384</v>
      </c>
      <c r="B9663" t="str">
        <f>"1552376501375236"</f>
        <v>1552376501375236</v>
      </c>
      <c r="C9663" t="s">
        <v>40</v>
      </c>
      <c r="D9663">
        <v>4.5459120000000004</v>
      </c>
      <c r="E9663">
        <v>0.39754060000000002</v>
      </c>
      <c r="F9663" t="s">
        <v>42</v>
      </c>
      <c r="G9663">
        <v>-186.5067</v>
      </c>
      <c r="H9663" s="1">
        <v>-4.3100229999999998E-6</v>
      </c>
      <c r="I9663">
        <v>-21.764880000000002</v>
      </c>
      <c r="J9663">
        <v>-192.78790000000001</v>
      </c>
      <c r="K9663">
        <v>1.11053</v>
      </c>
      <c r="L9663">
        <v>-44.960630000000002</v>
      </c>
      <c r="M9663">
        <v>0.52885869999999902</v>
      </c>
      <c r="N9663">
        <v>0</v>
      </c>
      <c r="O9663">
        <v>0.84870849999999898</v>
      </c>
      <c r="P9663">
        <v>0.50571980000000005</v>
      </c>
      <c r="Q9663">
        <v>-2.6540399999999999E-2</v>
      </c>
      <c r="R9663">
        <v>0.86228939999999998</v>
      </c>
      <c r="S9663">
        <v>0.81669619999999998</v>
      </c>
      <c r="T9663">
        <v>-0.1428343</v>
      </c>
      <c r="U9663">
        <v>2.9978940000000001</v>
      </c>
      <c r="V9663">
        <v>-2.668918E-2</v>
      </c>
      <c r="W9663">
        <v>-2.5148219999999999E-2</v>
      </c>
      <c r="X9663">
        <v>0.99932739999999998</v>
      </c>
      <c r="Y9663">
        <v>-0.28736590000000001</v>
      </c>
      <c r="Z9663">
        <v>-3.5413300000000002E-2</v>
      </c>
      <c r="AA9663">
        <v>0.95716599999999996</v>
      </c>
      <c r="AB9663">
        <v>26</v>
      </c>
      <c r="AC9663">
        <v>6.2812000000000099</v>
      </c>
      <c r="AD9663">
        <v>-1.1105343100229901</v>
      </c>
      <c r="AE9663">
        <v>23.19575</v>
      </c>
      <c r="AF9663">
        <v>-6.9215929578338899</v>
      </c>
      <c r="AG9663">
        <v>-1.1105343100229901</v>
      </c>
      <c r="AH9663">
        <v>22.9592932907013</v>
      </c>
      <c r="AI9663">
        <v>92.651528520101095</v>
      </c>
      <c r="AJ9663">
        <v>106.776608775808</v>
      </c>
      <c r="AK9663">
        <v>24.005642751988798</v>
      </c>
      <c r="AL9663">
        <v>91.441038790565102</v>
      </c>
      <c r="AM9663">
        <v>91.529842927655494</v>
      </c>
      <c r="AN9663">
        <v>0.99999999884449997</v>
      </c>
    </row>
    <row r="9664" spans="1:40" x14ac:dyDescent="0.25">
      <c r="A9664" t="str">
        <f>"20190312154141396"</f>
        <v>20190312154141396</v>
      </c>
      <c r="B9664" t="str">
        <f>"1552376501385971"</f>
        <v>1552376501385971</v>
      </c>
      <c r="C9664" t="s">
        <v>40</v>
      </c>
      <c r="D9664">
        <v>4.5252499999999998</v>
      </c>
      <c r="E9664">
        <v>0.39755459999999998</v>
      </c>
      <c r="F9664" t="s">
        <v>42</v>
      </c>
      <c r="G9664">
        <v>-186.4374</v>
      </c>
      <c r="H9664" s="1">
        <v>-4.4640360000000001E-6</v>
      </c>
      <c r="I9664">
        <v>-21.4345</v>
      </c>
      <c r="J9664">
        <v>-192.71289999999999</v>
      </c>
      <c r="K9664">
        <v>1.1105510000000001</v>
      </c>
      <c r="L9664">
        <v>-44.837159999999997</v>
      </c>
      <c r="M9664">
        <v>0.52738619999999903</v>
      </c>
      <c r="N9664">
        <v>0</v>
      </c>
      <c r="O9664">
        <v>0.84962420000000005</v>
      </c>
      <c r="P9664">
        <v>0.50394559999999999</v>
      </c>
      <c r="Q9664">
        <v>-2.6679700000000001E-2</v>
      </c>
      <c r="R9664">
        <v>0.86332319999999996</v>
      </c>
      <c r="S9664">
        <v>0.80975339999999996</v>
      </c>
      <c r="T9664">
        <v>-0.1416056</v>
      </c>
      <c r="U9664">
        <v>2.9998469999999999</v>
      </c>
      <c r="V9664">
        <v>-2.7007940000000001E-2</v>
      </c>
      <c r="W9664">
        <v>-2.520327E-2</v>
      </c>
      <c r="X9664">
        <v>0.99931749999999997</v>
      </c>
      <c r="Y9664">
        <v>-0.28792380000000001</v>
      </c>
      <c r="Z9664">
        <v>-3.5152830000000003E-2</v>
      </c>
      <c r="AA9664">
        <v>0.95700790000000002</v>
      </c>
      <c r="AB9664">
        <v>26</v>
      </c>
      <c r="AC9664">
        <v>6.2754999999999903</v>
      </c>
      <c r="AD9664">
        <v>-1.110555464036</v>
      </c>
      <c r="AE9664">
        <v>23.402660000000001</v>
      </c>
      <c r="AF9664">
        <v>-6.9957351445775497</v>
      </c>
      <c r="AG9664">
        <v>-1.110555464036</v>
      </c>
      <c r="AH9664">
        <v>23.144484648245601</v>
      </c>
      <c r="AI9664">
        <v>92.629817272547797</v>
      </c>
      <c r="AJ9664">
        <v>106.818155728717</v>
      </c>
      <c r="AK9664">
        <v>24.204148679196599</v>
      </c>
      <c r="AL9664">
        <v>91.444193849784597</v>
      </c>
      <c r="AM9664">
        <v>91.548120969480294</v>
      </c>
      <c r="AN9664">
        <v>1.00000004972399</v>
      </c>
    </row>
    <row r="9665" spans="1:40" x14ac:dyDescent="0.25">
      <c r="A9665" t="str">
        <f>"20190312154141410"</f>
        <v>20190312154141410</v>
      </c>
      <c r="B9665" t="str">
        <f>"1552376501405491"</f>
        <v>1552376501405491</v>
      </c>
      <c r="C9665" t="s">
        <v>40</v>
      </c>
      <c r="D9665">
        <v>4.5258719999999997</v>
      </c>
      <c r="E9665">
        <v>0.39755699999999999</v>
      </c>
      <c r="F9665" t="s">
        <v>42</v>
      </c>
      <c r="G9665">
        <v>-186.3357</v>
      </c>
      <c r="H9665" s="1">
        <v>-4.6582109999999998E-6</v>
      </c>
      <c r="I9665">
        <v>-21.023959999999999</v>
      </c>
      <c r="J9665">
        <v>-192.6327</v>
      </c>
      <c r="K9665">
        <v>1.110576</v>
      </c>
      <c r="L9665">
        <v>-44.704470000000001</v>
      </c>
      <c r="M9665">
        <v>0.52580509999999903</v>
      </c>
      <c r="N9665">
        <v>0</v>
      </c>
      <c r="O9665">
        <v>0.85060329999999995</v>
      </c>
      <c r="P9665">
        <v>0.50205500000000003</v>
      </c>
      <c r="Q9665">
        <v>-2.6733389999999999E-2</v>
      </c>
      <c r="R9665">
        <v>0.86442240000000004</v>
      </c>
      <c r="S9665">
        <v>0.80378719999999904</v>
      </c>
      <c r="T9665">
        <v>-0.13997519999999999</v>
      </c>
      <c r="U9665">
        <v>3.0014340000000002</v>
      </c>
      <c r="V9665">
        <v>-2.7334839999999999E-2</v>
      </c>
      <c r="W9665">
        <v>-2.5170459999999999E-2</v>
      </c>
      <c r="X9665">
        <v>0.99930940000000001</v>
      </c>
      <c r="Y9665">
        <v>-0.28804049999999998</v>
      </c>
      <c r="Z9665">
        <v>-3.4802060000000003E-2</v>
      </c>
      <c r="AA9665">
        <v>0.95698570000000005</v>
      </c>
      <c r="AB9665">
        <v>26</v>
      </c>
      <c r="AC9665">
        <v>6.2969999999999899</v>
      </c>
      <c r="AD9665">
        <v>-1.110580658211</v>
      </c>
      <c r="AE9665">
        <v>23.680510000000002</v>
      </c>
      <c r="AF9665">
        <v>-7.0805496987903904</v>
      </c>
      <c r="AG9665">
        <v>-1.110580658211</v>
      </c>
      <c r="AH9665">
        <v>23.405669830257398</v>
      </c>
      <c r="AI9665">
        <v>92.600390046557095</v>
      </c>
      <c r="AJ9665">
        <v>106.831316339065</v>
      </c>
      <c r="AK9665">
        <v>24.478418119610101</v>
      </c>
      <c r="AL9665">
        <v>91.442313434322799</v>
      </c>
      <c r="AM9665">
        <v>91.566862599334101</v>
      </c>
      <c r="AN9665">
        <v>1.00000001123139</v>
      </c>
    </row>
    <row r="9666" spans="1:40" x14ac:dyDescent="0.25">
      <c r="A9666" t="str">
        <f>"20190312154141428"</f>
        <v>20190312154141428</v>
      </c>
      <c r="B9666" t="str">
        <f>"1552376501425986"</f>
        <v>1552376501425986</v>
      </c>
      <c r="C9666" t="s">
        <v>40</v>
      </c>
      <c r="D9666">
        <v>4.5333800000000002</v>
      </c>
      <c r="E9666">
        <v>0.39736890000000002</v>
      </c>
      <c r="F9666" t="s">
        <v>42</v>
      </c>
      <c r="G9666">
        <v>-186.25620000000001</v>
      </c>
      <c r="H9666" s="1">
        <v>-4.8186629999999997E-6</v>
      </c>
      <c r="I9666">
        <v>-20.68281</v>
      </c>
      <c r="J9666">
        <v>-192.5181</v>
      </c>
      <c r="K9666">
        <v>1.1106039999999999</v>
      </c>
      <c r="L9666">
        <v>-44.513979999999997</v>
      </c>
      <c r="M9666">
        <v>0.52353539999999998</v>
      </c>
      <c r="N9666">
        <v>0</v>
      </c>
      <c r="O9666">
        <v>0.85200200000000004</v>
      </c>
      <c r="P9666">
        <v>0.4999593</v>
      </c>
      <c r="Q9666">
        <v>-2.7479799999999999E-2</v>
      </c>
      <c r="R9666">
        <v>0.86561279999999996</v>
      </c>
      <c r="S9666">
        <v>0.79721070000000005</v>
      </c>
      <c r="T9666">
        <v>-0.138847</v>
      </c>
      <c r="U9666">
        <v>3.0032350000000001</v>
      </c>
      <c r="V9666">
        <v>-2.707472E-2</v>
      </c>
      <c r="W9666">
        <v>-2.5791000000000001E-2</v>
      </c>
      <c r="X9666">
        <v>0.99930070000000004</v>
      </c>
      <c r="Y9666">
        <v>-0.28758529999999999</v>
      </c>
      <c r="Z9666">
        <v>-3.4604530000000001E-2</v>
      </c>
      <c r="AA9666">
        <v>0.95712969999999997</v>
      </c>
      <c r="AB9666">
        <v>26</v>
      </c>
      <c r="AC9666">
        <v>6.26189999999999</v>
      </c>
      <c r="AD9666">
        <v>-1.1106088186630001</v>
      </c>
      <c r="AE9666">
        <v>23.83117</v>
      </c>
      <c r="AF9666">
        <v>-7.1268426683722703</v>
      </c>
      <c r="AG9666">
        <v>-1.1106088186630001</v>
      </c>
      <c r="AH9666">
        <v>23.534756471214902</v>
      </c>
      <c r="AI9666">
        <v>92.585991618683593</v>
      </c>
      <c r="AJ9666">
        <v>106.84746846303599</v>
      </c>
      <c r="AK9666">
        <v>24.615241224233699</v>
      </c>
      <c r="AL9666">
        <v>91.477879244147601</v>
      </c>
      <c r="AM9666">
        <v>91.551973071463095</v>
      </c>
      <c r="AN9666">
        <v>1.0000000525822801</v>
      </c>
    </row>
    <row r="9667" spans="1:40" x14ac:dyDescent="0.25">
      <c r="A9667" t="str">
        <f>"20190312154141451"</f>
        <v>20190312154141451</v>
      </c>
      <c r="B9667" t="str">
        <f>"1552376501445507"</f>
        <v>1552376501445507</v>
      </c>
      <c r="C9667" t="s">
        <v>40</v>
      </c>
      <c r="D9667">
        <v>4.4118240000000002</v>
      </c>
      <c r="E9667">
        <v>0.3558788</v>
      </c>
      <c r="F9667" t="s">
        <v>42</v>
      </c>
      <c r="G9667">
        <v>-186.27379999999999</v>
      </c>
      <c r="H9667" s="1">
        <v>-4.799569E-6</v>
      </c>
      <c r="I9667">
        <v>-20.720040000000001</v>
      </c>
      <c r="J9667">
        <v>-192.38489999999999</v>
      </c>
      <c r="K9667">
        <v>1.110641</v>
      </c>
      <c r="L9667">
        <v>-44.290990000000001</v>
      </c>
      <c r="M9667">
        <v>0.52088040000000002</v>
      </c>
      <c r="N9667">
        <v>0</v>
      </c>
      <c r="O9667">
        <v>0.85362739999999904</v>
      </c>
      <c r="P9667">
        <v>0.49771759999999898</v>
      </c>
      <c r="Q9667">
        <v>-2.8316770000000002E-2</v>
      </c>
      <c r="R9667">
        <v>0.8668768</v>
      </c>
      <c r="S9667">
        <v>0.78880309999999998</v>
      </c>
      <c r="T9667">
        <v>-0.1402948</v>
      </c>
      <c r="U9667">
        <v>3.0057070000000001</v>
      </c>
      <c r="V9667">
        <v>-2.6531019999999999E-2</v>
      </c>
      <c r="W9667">
        <v>-2.648317E-2</v>
      </c>
      <c r="X9667">
        <v>0.99929710000000005</v>
      </c>
      <c r="Y9667">
        <v>-0.28730600000000001</v>
      </c>
      <c r="Z9667">
        <v>-3.5056339999999998E-2</v>
      </c>
      <c r="AA9667">
        <v>0.95719710000000002</v>
      </c>
      <c r="AB9667">
        <v>27</v>
      </c>
      <c r="AC9667">
        <v>6.1110999999999898</v>
      </c>
      <c r="AD9667">
        <v>-1.110645799569</v>
      </c>
      <c r="AE9667">
        <v>23.57095</v>
      </c>
      <c r="AF9667">
        <v>-7.04639789954562</v>
      </c>
      <c r="AG9667">
        <v>-1.110645799569</v>
      </c>
      <c r="AH9667">
        <v>23.255625404422801</v>
      </c>
      <c r="AI9667">
        <v>92.616947428333802</v>
      </c>
      <c r="AJ9667">
        <v>106.856680826328</v>
      </c>
      <c r="AK9667">
        <v>24.325076986551501</v>
      </c>
      <c r="AL9667">
        <v>91.517551335521901</v>
      </c>
      <c r="AM9667">
        <v>91.520827443599302</v>
      </c>
      <c r="AN9667">
        <v>0.99999997369194904</v>
      </c>
    </row>
    <row r="9668" spans="1:40" x14ac:dyDescent="0.25">
      <c r="A9668" t="str">
        <f>"20190312154141463"</f>
        <v>20190312154141463</v>
      </c>
      <c r="B9668" t="str">
        <f>"1552376501455267"</f>
        <v>1552376501455267</v>
      </c>
      <c r="C9668" t="s">
        <v>40</v>
      </c>
      <c r="D9668">
        <v>4.4676140000000002</v>
      </c>
      <c r="E9668">
        <v>0.34877219999999998</v>
      </c>
      <c r="F9668" t="s">
        <v>42</v>
      </c>
      <c r="G9668">
        <v>-187.9743</v>
      </c>
      <c r="H9668" s="1">
        <v>-2.2304799999999999E-6</v>
      </c>
      <c r="I9668">
        <v>-16.005510000000001</v>
      </c>
      <c r="J9668">
        <v>-192.30860000000001</v>
      </c>
      <c r="K9668">
        <v>1.1106670000000001</v>
      </c>
      <c r="L9668">
        <v>-44.162599999999998</v>
      </c>
      <c r="M9668">
        <v>0.51935229999999999</v>
      </c>
      <c r="N9668">
        <v>0</v>
      </c>
      <c r="O9668">
        <v>0.85455780000000003</v>
      </c>
      <c r="P9668">
        <v>0.49626369999999997</v>
      </c>
      <c r="Q9668">
        <v>-2.866759E-2</v>
      </c>
      <c r="R9668">
        <v>0.86769839999999998</v>
      </c>
      <c r="S9668">
        <v>0.49470520000000001</v>
      </c>
      <c r="T9668">
        <v>-0.1245729</v>
      </c>
      <c r="U9668">
        <v>3.172577</v>
      </c>
      <c r="V9668">
        <v>-2.640932E-2</v>
      </c>
      <c r="W9668">
        <v>-2.6752600000000001E-2</v>
      </c>
      <c r="X9668">
        <v>0.99929310000000005</v>
      </c>
      <c r="Y9668">
        <v>-0.38155050000000001</v>
      </c>
      <c r="Z9668">
        <v>-2.913932E-2</v>
      </c>
      <c r="AA9668">
        <v>0.92388859999999995</v>
      </c>
      <c r="AB9668">
        <v>27</v>
      </c>
      <c r="AC9668">
        <v>4.3343000000000096</v>
      </c>
      <c r="AD9668">
        <v>-1.1106692304799901</v>
      </c>
      <c r="AE9668">
        <v>28.15709</v>
      </c>
      <c r="AF9668">
        <v>-10.9029904966781</v>
      </c>
      <c r="AG9668">
        <v>-1.1106692304799901</v>
      </c>
      <c r="AH9668">
        <v>26.273011118253301</v>
      </c>
      <c r="AI9668">
        <v>92.236007658429401</v>
      </c>
      <c r="AJ9668">
        <v>112.53787496242199</v>
      </c>
      <c r="AK9668">
        <v>28.467172341664899</v>
      </c>
      <c r="AL9668">
        <v>91.532994081458099</v>
      </c>
      <c r="AM9668">
        <v>91.513860592009294</v>
      </c>
      <c r="AN9668">
        <v>0.99999992674861304</v>
      </c>
    </row>
    <row r="9669" spans="1:40" x14ac:dyDescent="0.25">
      <c r="A9669" t="str">
        <f>"20190312154141475"</f>
        <v>20190312154141475</v>
      </c>
      <c r="B9669" t="str">
        <f>"1552376501466003"</f>
        <v>1552376501466003</v>
      </c>
      <c r="C9669" t="s">
        <v>40</v>
      </c>
      <c r="D9669">
        <v>4.567456</v>
      </c>
      <c r="E9669">
        <v>0.34623009999999999</v>
      </c>
      <c r="F9669" t="s">
        <v>42</v>
      </c>
      <c r="G9669">
        <v>-188.446</v>
      </c>
      <c r="H9669" s="1">
        <v>-2.1212449999999999E-6</v>
      </c>
      <c r="I9669">
        <v>-16.06512</v>
      </c>
      <c r="J9669">
        <v>-192.2328</v>
      </c>
      <c r="K9669">
        <v>1.11069</v>
      </c>
      <c r="L9669">
        <v>-44.034640000000003</v>
      </c>
      <c r="M9669">
        <v>0.51782919999999999</v>
      </c>
      <c r="N9669">
        <v>0</v>
      </c>
      <c r="O9669">
        <v>0.8554813</v>
      </c>
      <c r="P9669">
        <v>0.49465399999999998</v>
      </c>
      <c r="Q9669">
        <v>-2.8601370000000001E-2</v>
      </c>
      <c r="R9669">
        <v>0.86861929999999998</v>
      </c>
      <c r="S9669">
        <v>0.44012449999999997</v>
      </c>
      <c r="T9669">
        <v>-0.126554</v>
      </c>
      <c r="U9669">
        <v>3.2015380000000002</v>
      </c>
      <c r="V9669">
        <v>-2.6483280000000001E-2</v>
      </c>
      <c r="W9669">
        <v>-2.6606439999999999E-2</v>
      </c>
      <c r="X9669">
        <v>0.99929509999999999</v>
      </c>
      <c r="Y9669">
        <v>-0.3965457</v>
      </c>
      <c r="Z9669">
        <v>-2.9288649999999999E-2</v>
      </c>
      <c r="AA9669">
        <v>0.91754760000000002</v>
      </c>
      <c r="AB9669">
        <v>27</v>
      </c>
      <c r="AC9669">
        <v>3.7867999999999999</v>
      </c>
      <c r="AD9669">
        <v>-1.1106921212450001</v>
      </c>
      <c r="AE9669">
        <v>27.969519999999999</v>
      </c>
      <c r="AF9669">
        <v>-11.2265388141349</v>
      </c>
      <c r="AG9669">
        <v>-1.1106921212450001</v>
      </c>
      <c r="AH9669">
        <v>25.848349557145799</v>
      </c>
      <c r="AI9669">
        <v>92.257013837958695</v>
      </c>
      <c r="AJ9669">
        <v>113.47642625967799</v>
      </c>
      <c r="AK9669">
        <v>28.202942852863298</v>
      </c>
      <c r="AL9669">
        <v>91.5246166637003</v>
      </c>
      <c r="AM9669">
        <v>91.518095180600696</v>
      </c>
      <c r="AN9669">
        <v>0.99999998182651995</v>
      </c>
    </row>
    <row r="9670" spans="1:40" x14ac:dyDescent="0.25">
      <c r="A9670" t="str">
        <f>"20190312154141487"</f>
        <v>20190312154141487</v>
      </c>
      <c r="B9670" t="str">
        <f>"1552376501475763"</f>
        <v>1552376501475763</v>
      </c>
      <c r="C9670" t="s">
        <v>40</v>
      </c>
      <c r="D9670">
        <v>4.5215699999999996</v>
      </c>
      <c r="E9670">
        <v>0.34482810000000003</v>
      </c>
      <c r="F9670" t="s">
        <v>42</v>
      </c>
      <c r="G9670">
        <v>-189.12790000000001</v>
      </c>
      <c r="H9670" s="1">
        <v>-3.3503219999999999E-7</v>
      </c>
      <c r="I9670">
        <v>-20.04928</v>
      </c>
      <c r="J9670">
        <v>-192.1602</v>
      </c>
      <c r="K9670">
        <v>1.1107149999999999</v>
      </c>
      <c r="L9670">
        <v>-43.911529999999999</v>
      </c>
      <c r="M9670">
        <v>0.51636479999999996</v>
      </c>
      <c r="N9670">
        <v>0</v>
      </c>
      <c r="O9670">
        <v>0.85636590000000001</v>
      </c>
      <c r="P9670">
        <v>0.49293979999999998</v>
      </c>
      <c r="Q9670">
        <v>-2.8669380000000001E-2</v>
      </c>
      <c r="R9670">
        <v>0.86959089999999895</v>
      </c>
      <c r="S9670">
        <v>0.415802</v>
      </c>
      <c r="T9670">
        <v>-0.14874270000000001</v>
      </c>
      <c r="U9670">
        <v>3.212097</v>
      </c>
      <c r="V9670">
        <v>-2.6742499999999999E-2</v>
      </c>
      <c r="W9670">
        <v>-2.659653E-2</v>
      </c>
      <c r="X9670">
        <v>0.99928850000000002</v>
      </c>
      <c r="Y9670">
        <v>-0.40221750000000001</v>
      </c>
      <c r="Z9670">
        <v>-3.431588E-2</v>
      </c>
      <c r="AA9670">
        <v>0.91490079999999996</v>
      </c>
      <c r="AB9670">
        <v>27</v>
      </c>
      <c r="AC9670">
        <v>3.03229999999999</v>
      </c>
      <c r="AD9670">
        <v>-1.1107153350322001</v>
      </c>
      <c r="AE9670">
        <v>23.86225</v>
      </c>
      <c r="AF9670">
        <v>-9.7041999673858808</v>
      </c>
      <c r="AG9670">
        <v>-1.1107153350322001</v>
      </c>
      <c r="AH9670">
        <v>21.953833679608898</v>
      </c>
      <c r="AI9670">
        <v>92.649420053017494</v>
      </c>
      <c r="AJ9670">
        <v>113.846750595835</v>
      </c>
      <c r="AK9670">
        <v>24.028649541628798</v>
      </c>
      <c r="AL9670">
        <v>91.5240486010713</v>
      </c>
      <c r="AM9670">
        <v>91.532957455193994</v>
      </c>
      <c r="AN9670">
        <v>1.0000000214732701</v>
      </c>
    </row>
    <row r="9671" spans="1:40" x14ac:dyDescent="0.25">
      <c r="A9671" t="str">
        <f>"20190312154141499"</f>
        <v>20190312154141499</v>
      </c>
      <c r="B9671" t="str">
        <f>"1552376501495283"</f>
        <v>1552376501495283</v>
      </c>
      <c r="C9671" t="s">
        <v>40</v>
      </c>
      <c r="D9671">
        <v>4.4719939999999996</v>
      </c>
      <c r="E9671">
        <v>0.34361839999999999</v>
      </c>
      <c r="F9671" t="s">
        <v>42</v>
      </c>
      <c r="G9671">
        <v>-189.3826</v>
      </c>
      <c r="H9671" s="1">
        <v>-3.9050809999999998E-6</v>
      </c>
      <c r="I9671">
        <v>-21.519639999999999</v>
      </c>
      <c r="J9671">
        <v>-192.09180000000001</v>
      </c>
      <c r="K9671">
        <v>1.1107389999999999</v>
      </c>
      <c r="L9671">
        <v>-43.795169999999999</v>
      </c>
      <c r="M9671">
        <v>0.51497890000000002</v>
      </c>
      <c r="N9671">
        <v>0</v>
      </c>
      <c r="O9671">
        <v>0.85719969999999901</v>
      </c>
      <c r="P9671">
        <v>0.4910871</v>
      </c>
      <c r="Q9671">
        <v>-2.875072E-2</v>
      </c>
      <c r="R9671">
        <v>0.87063590000000002</v>
      </c>
      <c r="S9671">
        <v>0.39921570000000001</v>
      </c>
      <c r="T9671">
        <v>-0.15964039999999999</v>
      </c>
      <c r="U9671">
        <v>3.2183229999999998</v>
      </c>
      <c r="V9671">
        <v>-2.7251870000000001E-2</v>
      </c>
      <c r="W9671">
        <v>-2.660475E-2</v>
      </c>
      <c r="X9671">
        <v>0.99927449999999995</v>
      </c>
      <c r="Y9671">
        <v>-0.40560819999999997</v>
      </c>
      <c r="Z9671">
        <v>-3.6784659999999997E-2</v>
      </c>
      <c r="AA9671">
        <v>0.91330650000000002</v>
      </c>
      <c r="AB9671">
        <v>27</v>
      </c>
      <c r="AC9671">
        <v>2.7092000000000001</v>
      </c>
      <c r="AD9671">
        <v>-1.1107429050809901</v>
      </c>
      <c r="AE9671">
        <v>22.27553</v>
      </c>
      <c r="AF9671">
        <v>-9.1267652320006398</v>
      </c>
      <c r="AG9671">
        <v>-1.1107429050809901</v>
      </c>
      <c r="AH9671">
        <v>20.439733298806601</v>
      </c>
      <c r="AI9671">
        <v>92.840706430120306</v>
      </c>
      <c r="AJ9671">
        <v>114.061753519145</v>
      </c>
      <c r="AK9671">
        <v>22.412369145799602</v>
      </c>
      <c r="AL9671">
        <v>91.524519769167796</v>
      </c>
      <c r="AM9671">
        <v>91.562163559359206</v>
      </c>
      <c r="AN9671">
        <v>1.0000000017456501</v>
      </c>
    </row>
    <row r="9672" spans="1:40" x14ac:dyDescent="0.25">
      <c r="A9672" t="str">
        <f>"20190312154141509"</f>
        <v>20190312154141509</v>
      </c>
      <c r="B9672" t="str">
        <f>"1552376501506018"</f>
        <v>1552376501506018</v>
      </c>
      <c r="C9672" t="s">
        <v>40</v>
      </c>
      <c r="D9672">
        <v>4.503412</v>
      </c>
      <c r="E9672">
        <v>0.34320489999999998</v>
      </c>
      <c r="F9672" t="s">
        <v>41</v>
      </c>
      <c r="G9672">
        <v>-191.96770000000001</v>
      </c>
      <c r="H9672">
        <v>1.0551459999999999</v>
      </c>
      <c r="I9672">
        <v>-42.752850000000002</v>
      </c>
      <c r="J9672">
        <v>-192.01949999999999</v>
      </c>
      <c r="K9672">
        <v>1.1107689999999999</v>
      </c>
      <c r="L9672">
        <v>-43.671390000000002</v>
      </c>
      <c r="M9672">
        <v>0.51350309999999999</v>
      </c>
      <c r="N9672">
        <v>0</v>
      </c>
      <c r="O9672">
        <v>0.85808439999999997</v>
      </c>
      <c r="P9672">
        <v>0.48911549999999998</v>
      </c>
      <c r="Q9672">
        <v>-2.9041230000000001E-2</v>
      </c>
      <c r="R9672">
        <v>0.8717355</v>
      </c>
      <c r="S9672">
        <v>0.383606</v>
      </c>
      <c r="T9672">
        <v>-0.17192979999999899</v>
      </c>
      <c r="U9672">
        <v>3.2236940000000001</v>
      </c>
      <c r="V9672">
        <v>-2.778634E-2</v>
      </c>
      <c r="W9672">
        <v>-2.6812240000000001E-2</v>
      </c>
      <c r="X9672">
        <v>0.99925419999999998</v>
      </c>
      <c r="Y9672">
        <v>-0.40858680000000003</v>
      </c>
      <c r="Z9672">
        <v>-3.9584540000000001E-2</v>
      </c>
      <c r="AA9672">
        <v>0.91186060000000002</v>
      </c>
      <c r="AB9672">
        <v>27</v>
      </c>
      <c r="AC9672">
        <v>5.1799999999985802E-2</v>
      </c>
      <c r="AD9672">
        <v>-5.56230000000002E-2</v>
      </c>
      <c r="AE9672">
        <v>0.91854000000000002</v>
      </c>
      <c r="AF9672">
        <v>-0.425669600995422</v>
      </c>
      <c r="AG9672">
        <v>-5.56230000000002E-2</v>
      </c>
      <c r="AH9672">
        <v>0.81181912391270095</v>
      </c>
      <c r="AI9672">
        <v>93.472497163907093</v>
      </c>
      <c r="AJ9672">
        <v>117.66984031120199</v>
      </c>
      <c r="AK9672">
        <v>0.91833480675132095</v>
      </c>
      <c r="AL9672">
        <v>91.536412367022905</v>
      </c>
      <c r="AM9672">
        <v>91.592817784269101</v>
      </c>
      <c r="AN9672">
        <v>0.99999996656102597</v>
      </c>
    </row>
    <row r="9673" spans="1:40" x14ac:dyDescent="0.25">
      <c r="A9673" t="str">
        <f>"20190312154141528"</f>
        <v>20190312154141528</v>
      </c>
      <c r="B9673" t="str">
        <f>"1552376501525539"</f>
        <v>1552376501525539</v>
      </c>
      <c r="C9673" t="s">
        <v>40</v>
      </c>
      <c r="D9673">
        <v>4.4928970000000001</v>
      </c>
      <c r="E9673">
        <v>0.34197499999999997</v>
      </c>
      <c r="F9673" t="s">
        <v>42</v>
      </c>
      <c r="G9673">
        <v>-189.64869999999999</v>
      </c>
      <c r="H9673" s="1">
        <v>-3.142054E-6</v>
      </c>
      <c r="I9673">
        <v>-23.18826</v>
      </c>
      <c r="J9673">
        <v>-191.90940000000001</v>
      </c>
      <c r="K9673">
        <v>1.1108199999999999</v>
      </c>
      <c r="L9673">
        <v>-43.482210000000002</v>
      </c>
      <c r="M9673">
        <v>0.51123839999999998</v>
      </c>
      <c r="N9673">
        <v>0</v>
      </c>
      <c r="O9673">
        <v>0.85943530000000001</v>
      </c>
      <c r="P9673">
        <v>0.48495060000000001</v>
      </c>
      <c r="Q9673">
        <v>-2.9213880000000001E-2</v>
      </c>
      <c r="R9673">
        <v>0.87405350000000004</v>
      </c>
      <c r="S9673">
        <v>0.3733978</v>
      </c>
      <c r="T9673">
        <v>-0.1749473</v>
      </c>
      <c r="U9673">
        <v>3.226105</v>
      </c>
      <c r="V9673">
        <v>-2.9913720000000001E-2</v>
      </c>
      <c r="W9673">
        <v>-2.6859939999999999E-2</v>
      </c>
      <c r="X9673">
        <v>0.99919150000000001</v>
      </c>
      <c r="Y9673">
        <v>-0.40910869999999999</v>
      </c>
      <c r="Z9673">
        <v>-4.0352979999999997E-2</v>
      </c>
      <c r="AA9673">
        <v>0.91159299999999999</v>
      </c>
      <c r="AB9673">
        <v>27</v>
      </c>
      <c r="AC9673">
        <v>2.2607000000000101</v>
      </c>
      <c r="AD9673">
        <v>-1.110823142054</v>
      </c>
      <c r="AE9673">
        <v>20.293949999999899</v>
      </c>
      <c r="AF9673">
        <v>-8.4072672686401795</v>
      </c>
      <c r="AG9673">
        <v>-1.110823142054</v>
      </c>
      <c r="AH9673">
        <v>18.542278284301901</v>
      </c>
      <c r="AI9673">
        <v>93.123027542793494</v>
      </c>
      <c r="AJ9673">
        <v>114.39004781722799</v>
      </c>
      <c r="AK9673">
        <v>20.3895109051631</v>
      </c>
      <c r="AL9673">
        <v>91.539146354624606</v>
      </c>
      <c r="AM9673">
        <v>91.714804546878995</v>
      </c>
      <c r="AN9673">
        <v>0.99999997034664501</v>
      </c>
    </row>
    <row r="9674" spans="1:40" x14ac:dyDescent="0.25">
      <c r="A9674" t="str">
        <f>"20190312154141541"</f>
        <v>20190312154141541</v>
      </c>
      <c r="B9674" t="str">
        <f>"1552376501535299"</f>
        <v>1552376501535299</v>
      </c>
      <c r="C9674" t="s">
        <v>40</v>
      </c>
      <c r="D9674">
        <v>4.4315100000000003</v>
      </c>
      <c r="E9674">
        <v>0.34192220000000001</v>
      </c>
      <c r="F9674" t="s">
        <v>42</v>
      </c>
      <c r="G9674">
        <v>-189.44890000000001</v>
      </c>
      <c r="H9674" s="1">
        <v>-4.2213510000000001E-6</v>
      </c>
      <c r="I9674">
        <v>-20.755019999999998</v>
      </c>
      <c r="J9674">
        <v>-191.83459999999999</v>
      </c>
      <c r="K9674">
        <v>1.1108549999999999</v>
      </c>
      <c r="L9674">
        <v>-43.353270000000002</v>
      </c>
      <c r="M9674">
        <v>0.50968720000000001</v>
      </c>
      <c r="N9674">
        <v>0</v>
      </c>
      <c r="O9674">
        <v>0.86035569999999895</v>
      </c>
      <c r="P9674">
        <v>0.48250920000000003</v>
      </c>
      <c r="Q9674">
        <v>-2.9342500000000001E-2</v>
      </c>
      <c r="R9674">
        <v>0.87539929999999999</v>
      </c>
      <c r="S9674">
        <v>0.34999079999999999</v>
      </c>
      <c r="T9674">
        <v>-0.1580088</v>
      </c>
      <c r="U9674">
        <v>3.2328190000000001</v>
      </c>
      <c r="V9674">
        <v>-3.0896119999999999E-2</v>
      </c>
      <c r="W9674">
        <v>-2.6896989999999999E-2</v>
      </c>
      <c r="X9674">
        <v>0.99916059999999995</v>
      </c>
      <c r="Y9674">
        <v>-0.4141782</v>
      </c>
      <c r="Z9674">
        <v>-3.6398010000000001E-2</v>
      </c>
      <c r="AA9674">
        <v>0.90946780000000005</v>
      </c>
      <c r="AB9674">
        <v>27</v>
      </c>
      <c r="AC9674">
        <v>2.3856999999999799</v>
      </c>
      <c r="AD9674">
        <v>-1.110859221351</v>
      </c>
      <c r="AE9674">
        <v>22.59825</v>
      </c>
      <c r="AF9674">
        <v>-9.4429550024241404</v>
      </c>
      <c r="AG9674">
        <v>-1.110859221351</v>
      </c>
      <c r="AH9674">
        <v>20.609315146653799</v>
      </c>
      <c r="AI9674">
        <v>92.805365765460294</v>
      </c>
      <c r="AJ9674">
        <v>114.616715425178</v>
      </c>
      <c r="AK9674">
        <v>22.696856130344599</v>
      </c>
      <c r="AL9674">
        <v>91.541269944267697</v>
      </c>
      <c r="AM9674">
        <v>91.771140085413194</v>
      </c>
      <c r="AN9674">
        <v>0.99999996144723602</v>
      </c>
    </row>
    <row r="9675" spans="1:40" x14ac:dyDescent="0.25">
      <c r="A9675" t="str">
        <f>"20190312154141551"</f>
        <v>20190312154141551</v>
      </c>
      <c r="B9675" t="str">
        <f>"1552376501546034"</f>
        <v>1552376501546034</v>
      </c>
      <c r="C9675" t="s">
        <v>40</v>
      </c>
      <c r="D9675">
        <v>4.4558059999999999</v>
      </c>
      <c r="E9675">
        <v>0.34190090000000001</v>
      </c>
      <c r="F9675" t="s">
        <v>41</v>
      </c>
      <c r="G9675">
        <v>-191.7269</v>
      </c>
      <c r="H9675">
        <v>1.05975</v>
      </c>
      <c r="I9675">
        <v>-42.329770000000003</v>
      </c>
      <c r="J9675">
        <v>-191.76179999999999</v>
      </c>
      <c r="K9675">
        <v>1.110897</v>
      </c>
      <c r="L9675">
        <v>-43.226959999999998</v>
      </c>
      <c r="M9675">
        <v>0.50815589999999999</v>
      </c>
      <c r="N9675">
        <v>0</v>
      </c>
      <c r="O9675">
        <v>0.86126080000000005</v>
      </c>
      <c r="P9675">
        <v>0.47991159999999999</v>
      </c>
      <c r="Q9675">
        <v>-2.892016E-2</v>
      </c>
      <c r="R9675">
        <v>0.87684010000000001</v>
      </c>
      <c r="S9675">
        <v>0.34042359999999999</v>
      </c>
      <c r="T9675">
        <v>-0.1614776</v>
      </c>
      <c r="U9675">
        <v>3.2339479999999998</v>
      </c>
      <c r="V9675">
        <v>-3.208954E-2</v>
      </c>
      <c r="W9675">
        <v>-2.6382240000000001E-2</v>
      </c>
      <c r="X9675">
        <v>0.99913669999999999</v>
      </c>
      <c r="Y9675">
        <v>-0.4152554</v>
      </c>
      <c r="Z9675">
        <v>-3.7239800000000003E-2</v>
      </c>
      <c r="AA9675">
        <v>0.90894229999999998</v>
      </c>
      <c r="AB9675">
        <v>27</v>
      </c>
      <c r="AC9675">
        <v>3.48999999999932E-2</v>
      </c>
      <c r="AD9675">
        <v>-5.1146999999999998E-2</v>
      </c>
      <c r="AE9675">
        <v>0.89718999999999405</v>
      </c>
      <c r="AF9675">
        <v>-0.42447853576400801</v>
      </c>
      <c r="AG9675">
        <v>-5.1146999999999998E-2</v>
      </c>
      <c r="AH9675">
        <v>0.78789542753796504</v>
      </c>
      <c r="AI9675">
        <v>93.270882189815097</v>
      </c>
      <c r="AJ9675">
        <v>118.313559834678</v>
      </c>
      <c r="AK9675">
        <v>0.89642470273224295</v>
      </c>
      <c r="AL9675">
        <v>91.511766482020604</v>
      </c>
      <c r="AM9675">
        <v>91.839551502445801</v>
      </c>
      <c r="AN9675">
        <v>0.999999953225858</v>
      </c>
    </row>
    <row r="9676" spans="1:40" x14ac:dyDescent="0.25">
      <c r="A9676" t="str">
        <f>"20190312154141564"</f>
        <v>20190312154141564</v>
      </c>
      <c r="B9676" t="str">
        <f>"1552376501555795"</f>
        <v>1552376501555795</v>
      </c>
      <c r="C9676" t="s">
        <v>40</v>
      </c>
      <c r="D9676">
        <v>4.4393079999999996</v>
      </c>
      <c r="E9676">
        <v>0.3418853</v>
      </c>
      <c r="F9676" t="s">
        <v>42</v>
      </c>
      <c r="G9676">
        <v>-189.4897</v>
      </c>
      <c r="H9676" s="1">
        <v>-4.1101949999999997E-6</v>
      </c>
      <c r="I9676">
        <v>-20.997260000000001</v>
      </c>
      <c r="J9676">
        <v>-191.69059999999999</v>
      </c>
      <c r="K9676">
        <v>1.110943</v>
      </c>
      <c r="L9676">
        <v>-43.10284</v>
      </c>
      <c r="M9676">
        <v>0.50663670000000005</v>
      </c>
      <c r="N9676">
        <v>0</v>
      </c>
      <c r="O9676">
        <v>0.86215499999999901</v>
      </c>
      <c r="P9676">
        <v>0.47768100000000002</v>
      </c>
      <c r="Q9676">
        <v>-2.843944E-2</v>
      </c>
      <c r="R9676">
        <v>0.87807299999999999</v>
      </c>
      <c r="S9676">
        <v>0.33065800000000001</v>
      </c>
      <c r="T9676">
        <v>-0.16166730000000001</v>
      </c>
      <c r="U9676">
        <v>3.2350460000000001</v>
      </c>
      <c r="V9676">
        <v>-3.287756E-2</v>
      </c>
      <c r="W9676">
        <v>-2.5805379999999999E-2</v>
      </c>
      <c r="X9676">
        <v>0.99912619999999996</v>
      </c>
      <c r="Y9676">
        <v>-0.4163983</v>
      </c>
      <c r="Z9676">
        <v>-3.7326720000000001E-2</v>
      </c>
      <c r="AA9676">
        <v>0.9084158</v>
      </c>
      <c r="AB9676">
        <v>27</v>
      </c>
      <c r="AC9676">
        <v>2.2008999999999901</v>
      </c>
      <c r="AD9676">
        <v>-1.1109471101949999</v>
      </c>
      <c r="AE9676">
        <v>22.10558</v>
      </c>
      <c r="AF9676">
        <v>-9.2788128897366704</v>
      </c>
      <c r="AG9676">
        <v>-1.1109471101949999</v>
      </c>
      <c r="AH9676">
        <v>20.123247289530301</v>
      </c>
      <c r="AI9676">
        <v>92.870076528980903</v>
      </c>
      <c r="AJ9676">
        <v>114.754388195104</v>
      </c>
      <c r="AK9676">
        <v>22.1872858547409</v>
      </c>
      <c r="AL9676">
        <v>91.478703498320101</v>
      </c>
      <c r="AM9676">
        <v>91.884712809632106</v>
      </c>
      <c r="AN9676">
        <v>1.00000000755746</v>
      </c>
    </row>
    <row r="9677" spans="1:40" x14ac:dyDescent="0.25">
      <c r="A9677" t="str">
        <f>"20190312154141576"</f>
        <v>20190312154141576</v>
      </c>
      <c r="B9677" t="str">
        <f>"1552376501565555"</f>
        <v>1552376501565555</v>
      </c>
      <c r="C9677" t="s">
        <v>40</v>
      </c>
      <c r="D9677">
        <v>4.5010180000000002</v>
      </c>
      <c r="E9677">
        <v>0.34054590000000001</v>
      </c>
      <c r="F9677" t="s">
        <v>41</v>
      </c>
      <c r="G9677">
        <v>-191.5873</v>
      </c>
      <c r="H9677">
        <v>1.059124</v>
      </c>
      <c r="I9677">
        <v>-42.066049999999997</v>
      </c>
      <c r="J9677">
        <v>-191.61539999999999</v>
      </c>
      <c r="K9677">
        <v>1.110994</v>
      </c>
      <c r="L9677">
        <v>-42.971440000000001</v>
      </c>
      <c r="M9677">
        <v>0.50501669999999999</v>
      </c>
      <c r="N9677">
        <v>0</v>
      </c>
      <c r="O9677">
        <v>0.86310450000000005</v>
      </c>
      <c r="P9677">
        <v>0.47564899999999999</v>
      </c>
      <c r="Q9677">
        <v>-2.8238360000000001E-2</v>
      </c>
      <c r="R9677">
        <v>0.87918180000000001</v>
      </c>
      <c r="S9677">
        <v>0.3222198</v>
      </c>
      <c r="T9677">
        <v>-0.16173670000000001</v>
      </c>
      <c r="U9677">
        <v>3.2360530000000001</v>
      </c>
      <c r="V9677">
        <v>-3.3314690000000001E-2</v>
      </c>
      <c r="W9677">
        <v>-2.5497949999999998E-2</v>
      </c>
      <c r="X9677">
        <v>0.9991196</v>
      </c>
      <c r="Y9677">
        <v>-0.4170645</v>
      </c>
      <c r="Z9677">
        <v>-3.7395980000000002E-2</v>
      </c>
      <c r="AA9677">
        <v>0.90810729999999995</v>
      </c>
      <c r="AB9677">
        <v>28</v>
      </c>
      <c r="AC9677">
        <v>2.80999999999949E-2</v>
      </c>
      <c r="AD9677">
        <v>-5.1869999999999999E-2</v>
      </c>
      <c r="AE9677">
        <v>0.90539000000000402</v>
      </c>
      <c r="AF9677">
        <v>-0.43157060383401202</v>
      </c>
      <c r="AG9677">
        <v>-5.1869999999999999E-2</v>
      </c>
      <c r="AH9677">
        <v>0.79304024707430998</v>
      </c>
      <c r="AI9677">
        <v>93.288052360844802</v>
      </c>
      <c r="AJ9677">
        <v>118.554926536256</v>
      </c>
      <c r="AK9677">
        <v>0.90435419857118804</v>
      </c>
      <c r="AL9677">
        <v>91.461083277794103</v>
      </c>
      <c r="AM9677">
        <v>91.909765547751704</v>
      </c>
      <c r="AN9677">
        <v>0.99999999456407895</v>
      </c>
    </row>
    <row r="9678" spans="1:40" x14ac:dyDescent="0.25">
      <c r="A9678" t="str">
        <f>"20190312154141588"</f>
        <v>20190312154141588</v>
      </c>
      <c r="B9678" t="str">
        <f>"1552376501586050"</f>
        <v>1552376501586050</v>
      </c>
      <c r="C9678" t="s">
        <v>40</v>
      </c>
      <c r="D9678">
        <v>4.5205359999999999</v>
      </c>
      <c r="E9678">
        <v>0.33981270000000002</v>
      </c>
      <c r="F9678" t="s">
        <v>42</v>
      </c>
      <c r="G9678">
        <v>-189.3665</v>
      </c>
      <c r="H9678" s="1">
        <v>-6.4635659999999997E-7</v>
      </c>
      <c r="I9678">
        <v>-19.122489999999999</v>
      </c>
      <c r="J9678">
        <v>-191.54169999999999</v>
      </c>
      <c r="K9678">
        <v>1.111059</v>
      </c>
      <c r="L9678">
        <v>-42.841889999999999</v>
      </c>
      <c r="M9678">
        <v>0.5033839</v>
      </c>
      <c r="N9678">
        <v>0</v>
      </c>
      <c r="O9678">
        <v>0.86405750000000003</v>
      </c>
      <c r="P9678">
        <v>0.47375529999999999</v>
      </c>
      <c r="Q9678">
        <v>-2.8263920000000001E-2</v>
      </c>
      <c r="R9678">
        <v>0.88020290000000001</v>
      </c>
      <c r="S9678">
        <v>0.30570979999999998</v>
      </c>
      <c r="T9678">
        <v>-0.15102769999999999</v>
      </c>
      <c r="U9678">
        <v>3.2420040000000001</v>
      </c>
      <c r="V9678">
        <v>-3.3573939999999997E-2</v>
      </c>
      <c r="W9678">
        <v>-2.5408190000000001E-2</v>
      </c>
      <c r="X9678">
        <v>0.99911320000000003</v>
      </c>
      <c r="Y9678">
        <v>-0.4200836</v>
      </c>
      <c r="Z9678">
        <v>-3.4898569999999997E-2</v>
      </c>
      <c r="AA9678">
        <v>0.90681420000000001</v>
      </c>
      <c r="AB9678">
        <v>28</v>
      </c>
      <c r="AC9678">
        <v>2.1751999999999798</v>
      </c>
      <c r="AD9678">
        <v>-1.1110596463566</v>
      </c>
      <c r="AE9678">
        <v>23.7194</v>
      </c>
      <c r="AF9678">
        <v>-10.0386702085368</v>
      </c>
      <c r="AG9678">
        <v>-1.1110596463566</v>
      </c>
      <c r="AH9678">
        <v>21.543111647021099</v>
      </c>
      <c r="AI9678">
        <v>92.676490043002502</v>
      </c>
      <c r="AJ9678">
        <v>114.98460181705801</v>
      </c>
      <c r="AK9678">
        <v>23.793171552559901</v>
      </c>
      <c r="AL9678">
        <v>91.455938754344601</v>
      </c>
      <c r="AM9678">
        <v>91.924628246868494</v>
      </c>
      <c r="AN9678">
        <v>0.999999985990219</v>
      </c>
    </row>
    <row r="9679" spans="1:40" x14ac:dyDescent="0.25">
      <c r="A9679" t="str">
        <f>"20190312154141603"</f>
        <v>20190312154141603</v>
      </c>
      <c r="B9679" t="str">
        <f>"1552376501595811"</f>
        <v>1552376501595811</v>
      </c>
      <c r="C9679" t="s">
        <v>40</v>
      </c>
      <c r="D9679">
        <v>4.4587440000000003</v>
      </c>
      <c r="E9679">
        <v>0.3113167</v>
      </c>
      <c r="F9679" t="s">
        <v>42</v>
      </c>
      <c r="G9679">
        <v>-189.16069999999999</v>
      </c>
      <c r="H9679" s="1">
        <v>-1.779527E-6</v>
      </c>
      <c r="I9679">
        <v>-16.566140000000001</v>
      </c>
      <c r="J9679">
        <v>-191.4528</v>
      </c>
      <c r="K9679">
        <v>1.111146</v>
      </c>
      <c r="L9679">
        <v>-42.684750000000001</v>
      </c>
      <c r="M9679">
        <v>0.5013727</v>
      </c>
      <c r="N9679">
        <v>0</v>
      </c>
      <c r="O9679">
        <v>0.86522540000000003</v>
      </c>
      <c r="P9679">
        <v>0.47180519999999998</v>
      </c>
      <c r="Q9679">
        <v>-2.8335140000000002E-2</v>
      </c>
      <c r="R9679">
        <v>0.88124740000000001</v>
      </c>
      <c r="S9679">
        <v>0.29411320000000002</v>
      </c>
      <c r="T9679">
        <v>-0.13723929999999901</v>
      </c>
      <c r="U9679">
        <v>3.2456049999999999</v>
      </c>
      <c r="V9679">
        <v>-3.3457760000000003E-2</v>
      </c>
      <c r="W9679">
        <v>-2.532709E-2</v>
      </c>
      <c r="X9679">
        <v>0.99911919999999999</v>
      </c>
      <c r="Y9679">
        <v>-0.42127300000000001</v>
      </c>
      <c r="Z9679">
        <v>-3.1746629999999998E-2</v>
      </c>
      <c r="AA9679">
        <v>0.90637809999999996</v>
      </c>
      <c r="AB9679">
        <v>28</v>
      </c>
      <c r="AC9679">
        <v>2.2921</v>
      </c>
      <c r="AD9679">
        <v>-1.1111477795269999</v>
      </c>
      <c r="AE9679">
        <v>26.11861</v>
      </c>
      <c r="AF9679">
        <v>-11.0921111095189</v>
      </c>
      <c r="AG9679">
        <v>-1.1111477795269999</v>
      </c>
      <c r="AH9679">
        <v>23.705229793832899</v>
      </c>
      <c r="AI9679">
        <v>92.431067652377706</v>
      </c>
      <c r="AJ9679">
        <v>115.075754452166</v>
      </c>
      <c r="AK9679">
        <v>26.195562559950599</v>
      </c>
      <c r="AL9679">
        <v>91.451290507566696</v>
      </c>
      <c r="AM9679">
        <v>91.917961694464594</v>
      </c>
      <c r="AN9679">
        <v>1.0000000295003599</v>
      </c>
    </row>
    <row r="9680" spans="1:40" x14ac:dyDescent="0.25">
      <c r="A9680" t="str">
        <f>"20190312154141620"</f>
        <v>20190312154141620</v>
      </c>
      <c r="B9680" t="str">
        <f>"1552376501615331"</f>
        <v>1552376501615331</v>
      </c>
      <c r="C9680" t="s">
        <v>40</v>
      </c>
      <c r="D9680">
        <v>4.3008179999999996</v>
      </c>
      <c r="E9680">
        <v>0.33593489999999998</v>
      </c>
      <c r="F9680" t="s">
        <v>51</v>
      </c>
      <c r="G9680">
        <v>-177.75059999999999</v>
      </c>
      <c r="H9680">
        <v>50.66328</v>
      </c>
      <c r="I9680">
        <v>391.87</v>
      </c>
      <c r="J9680">
        <v>-191.35380000000001</v>
      </c>
      <c r="K9680">
        <v>1.1112759999999999</v>
      </c>
      <c r="L9680">
        <v>-42.50882</v>
      </c>
      <c r="M9680">
        <v>0.4990658</v>
      </c>
      <c r="N9680">
        <v>0</v>
      </c>
      <c r="O9680">
        <v>0.86655740000000003</v>
      </c>
      <c r="P9680">
        <v>0.46992919999999999</v>
      </c>
      <c r="Q9680">
        <v>-2.823088E-2</v>
      </c>
      <c r="R9680">
        <v>0.88225259999999905</v>
      </c>
      <c r="S9680">
        <v>0.1059418</v>
      </c>
      <c r="T9680">
        <v>0.38312400000000002</v>
      </c>
      <c r="U9680">
        <v>3.3598629999999998</v>
      </c>
      <c r="V9680">
        <v>-3.2920129999999999E-2</v>
      </c>
      <c r="W9680">
        <v>-2.5030469999999999E-2</v>
      </c>
      <c r="X9680">
        <v>0.99914449999999999</v>
      </c>
      <c r="Y9680">
        <v>-0.4714332</v>
      </c>
      <c r="Z9680">
        <v>8.4017960000000003E-2</v>
      </c>
      <c r="AA9680">
        <v>0.87789050000000002</v>
      </c>
      <c r="AB9680">
        <v>28</v>
      </c>
      <c r="AC9680">
        <v>13.603199999999999</v>
      </c>
      <c r="AD9680">
        <v>49.552003999999997</v>
      </c>
      <c r="AE9680">
        <v>434.37882000000002</v>
      </c>
      <c r="AF9680">
        <v>-202.36599321092999</v>
      </c>
      <c r="AG9680">
        <v>49.552003999999997</v>
      </c>
      <c r="AH9680">
        <v>378.28737711605498</v>
      </c>
      <c r="AI9680">
        <v>83.411420063350604</v>
      </c>
      <c r="AJ9680">
        <v>118.144690582922</v>
      </c>
      <c r="AK9680">
        <v>431.86657198029002</v>
      </c>
      <c r="AL9680">
        <v>91.434290092716694</v>
      </c>
      <c r="AM9680">
        <v>91.8871168406843</v>
      </c>
      <c r="AN9680">
        <v>0.99999999563394304</v>
      </c>
    </row>
    <row r="9681" spans="1:40" x14ac:dyDescent="0.25">
      <c r="A9681" t="str">
        <f>"20190312154141633"</f>
        <v>20190312154141633</v>
      </c>
      <c r="B9681" t="str">
        <f>"1552376501626067"</f>
        <v>1552376501626067</v>
      </c>
      <c r="C9681" t="s">
        <v>40</v>
      </c>
      <c r="D9681">
        <v>4.1388179999999997</v>
      </c>
      <c r="E9681">
        <v>0.33708080000000001</v>
      </c>
      <c r="F9681" t="s">
        <v>80</v>
      </c>
      <c r="G9681">
        <v>-168.18190000000001</v>
      </c>
      <c r="H9681">
        <v>4.3931950000000004</v>
      </c>
      <c r="I9681">
        <v>249.3853</v>
      </c>
      <c r="J9681">
        <v>-191.2663</v>
      </c>
      <c r="K9681">
        <v>1.111402</v>
      </c>
      <c r="L9681">
        <v>-42.352049999999998</v>
      </c>
      <c r="M9681">
        <v>0.4969462</v>
      </c>
      <c r="N9681">
        <v>0</v>
      </c>
      <c r="O9681">
        <v>0.86777380000000004</v>
      </c>
      <c r="P9681">
        <v>0.46790219999999999</v>
      </c>
      <c r="Q9681">
        <v>-2.7824700000000001E-2</v>
      </c>
      <c r="R9681">
        <v>0.88334210000000002</v>
      </c>
      <c r="S9681">
        <v>0.259079</v>
      </c>
      <c r="T9681">
        <v>3.6694770000000002E-2</v>
      </c>
      <c r="U9681">
        <v>3.2635800000000001</v>
      </c>
      <c r="V9681">
        <v>-3.2778170000000002E-2</v>
      </c>
      <c r="W9681">
        <v>-2.443072E-2</v>
      </c>
      <c r="X9681">
        <v>0.99916400000000005</v>
      </c>
      <c r="Y9681">
        <v>-0.42672009999999999</v>
      </c>
      <c r="Z9681">
        <v>8.4778900000000001E-3</v>
      </c>
      <c r="AA9681">
        <v>0.90434400000000004</v>
      </c>
      <c r="AB9681">
        <v>28</v>
      </c>
      <c r="AC9681">
        <v>23.084399999999899</v>
      </c>
      <c r="AD9681">
        <v>3.2817929999999902</v>
      </c>
      <c r="AE9681">
        <v>291.73734999999999</v>
      </c>
      <c r="AF9681">
        <v>-124.93083800826101</v>
      </c>
      <c r="AG9681">
        <v>3.2817929999999902</v>
      </c>
      <c r="AH9681">
        <v>264.60219264944402</v>
      </c>
      <c r="AI9681">
        <v>89.357426462757104</v>
      </c>
      <c r="AJ9681">
        <v>115.27414610471401</v>
      </c>
      <c r="AK9681">
        <v>292.63083365502399</v>
      </c>
      <c r="AL9681">
        <v>91.399916451881893</v>
      </c>
      <c r="AM9681">
        <v>91.878948312792005</v>
      </c>
      <c r="AN9681">
        <v>0.99999998370213306</v>
      </c>
    </row>
    <row r="9682" spans="1:40" x14ac:dyDescent="0.25">
      <c r="A9682" t="str">
        <f>"20190312154141653"</f>
        <v>20190312154141653</v>
      </c>
      <c r="B9682" t="str">
        <f>"1552376501645586"</f>
        <v>1552376501645586</v>
      </c>
      <c r="C9682" t="s">
        <v>40</v>
      </c>
      <c r="D9682">
        <v>4.2096960000000001</v>
      </c>
      <c r="E9682">
        <v>0.33911029999999998</v>
      </c>
      <c r="F9682" t="s">
        <v>80</v>
      </c>
      <c r="G9682">
        <v>-168.0461</v>
      </c>
      <c r="H9682">
        <v>3.5682520000000002</v>
      </c>
      <c r="I9682">
        <v>249.3853</v>
      </c>
      <c r="J9682">
        <v>-191.14760000000001</v>
      </c>
      <c r="K9682">
        <v>1.111599</v>
      </c>
      <c r="L9682">
        <v>-42.137700000000002</v>
      </c>
      <c r="M9682">
        <v>0.49396180000000001</v>
      </c>
      <c r="N9682">
        <v>0</v>
      </c>
      <c r="O9682">
        <v>0.86947479999999999</v>
      </c>
      <c r="P9682">
        <v>0.46579779999999998</v>
      </c>
      <c r="Q9682">
        <v>-2.6856270000000002E-2</v>
      </c>
      <c r="R9682">
        <v>0.88448349999999898</v>
      </c>
      <c r="S9682">
        <v>0.25944519999999999</v>
      </c>
      <c r="T9682">
        <v>2.745152E-2</v>
      </c>
      <c r="U9682">
        <v>3.2596440000000002</v>
      </c>
      <c r="V9682">
        <v>-3.1739990000000003E-2</v>
      </c>
      <c r="W9682">
        <v>-2.315851E-2</v>
      </c>
      <c r="X9682">
        <v>0.9992278</v>
      </c>
      <c r="Y9682">
        <v>-0.42342269999999999</v>
      </c>
      <c r="Z9682">
        <v>6.3778899999999998E-3</v>
      </c>
      <c r="AA9682">
        <v>0.90590979999999999</v>
      </c>
      <c r="AB9682">
        <v>28</v>
      </c>
      <c r="AC9682">
        <v>23.101500000000001</v>
      </c>
      <c r="AD9682">
        <v>2.4566530000000002</v>
      </c>
      <c r="AE9682">
        <v>291.522999999999</v>
      </c>
      <c r="AF9682">
        <v>-123.90725825340201</v>
      </c>
      <c r="AG9682">
        <v>2.4566530000000002</v>
      </c>
      <c r="AH9682">
        <v>264.86649688671298</v>
      </c>
      <c r="AI9682">
        <v>89.518656942514397</v>
      </c>
      <c r="AJ9682">
        <v>115.070674177691</v>
      </c>
      <c r="AK9682">
        <v>292.42658046914403</v>
      </c>
      <c r="AL9682">
        <v>91.327003556427798</v>
      </c>
      <c r="AM9682">
        <v>91.819361113904193</v>
      </c>
      <c r="AN9682">
        <v>0.99999996992172901</v>
      </c>
    </row>
    <row r="9683" spans="1:40" x14ac:dyDescent="0.25">
      <c r="A9683" t="str">
        <f>"20190312154141667"</f>
        <v>20190312154141667</v>
      </c>
      <c r="B9683" t="str">
        <f>"1552376501655346"</f>
        <v>1552376501655346</v>
      </c>
      <c r="C9683" t="s">
        <v>40</v>
      </c>
      <c r="D9683">
        <v>4.2375749999999996</v>
      </c>
      <c r="E9683">
        <v>0.3392251</v>
      </c>
      <c r="F9683" t="s">
        <v>80</v>
      </c>
      <c r="G9683">
        <v>-167.37710000000001</v>
      </c>
      <c r="H9683">
        <v>2.4186809999999999</v>
      </c>
      <c r="I9683">
        <v>249.3853</v>
      </c>
      <c r="J9683">
        <v>-191.0694</v>
      </c>
      <c r="K9683">
        <v>1.1117440000000001</v>
      </c>
      <c r="L9683">
        <v>-41.995449999999998</v>
      </c>
      <c r="M9683">
        <v>0.49190299999999998</v>
      </c>
      <c r="N9683">
        <v>0</v>
      </c>
      <c r="O9683">
        <v>0.87063999999999997</v>
      </c>
      <c r="P9683">
        <v>0.46428170000000002</v>
      </c>
      <c r="Q9683">
        <v>-2.632056E-2</v>
      </c>
      <c r="R9683">
        <v>0.88529639999999998</v>
      </c>
      <c r="S9683">
        <v>0.26521299999999998</v>
      </c>
      <c r="T9683">
        <v>1.4584059999999999E-2</v>
      </c>
      <c r="U9683">
        <v>3.2525940000000002</v>
      </c>
      <c r="V9683">
        <v>-3.1096829999999999E-2</v>
      </c>
      <c r="W9683">
        <v>-2.238571E-2</v>
      </c>
      <c r="X9683">
        <v>0.99926570000000003</v>
      </c>
      <c r="Y9683">
        <v>-0.4195237</v>
      </c>
      <c r="Z9683">
        <v>3.4074629999999999E-3</v>
      </c>
      <c r="AA9683">
        <v>0.90773800000000004</v>
      </c>
      <c r="AB9683">
        <v>28</v>
      </c>
      <c r="AC9683">
        <v>23.6922999999999</v>
      </c>
      <c r="AD9683">
        <v>1.306937</v>
      </c>
      <c r="AE9683">
        <v>291.38074999999998</v>
      </c>
      <c r="AF9683">
        <v>-122.70221798341299</v>
      </c>
      <c r="AG9683">
        <v>1.306937</v>
      </c>
      <c r="AH9683">
        <v>265.33905891438201</v>
      </c>
      <c r="AI9683">
        <v>89.743851807756997</v>
      </c>
      <c r="AJ9683">
        <v>114.81750002408</v>
      </c>
      <c r="AK9683">
        <v>292.339457767748</v>
      </c>
      <c r="AL9683">
        <v>91.282713805668195</v>
      </c>
      <c r="AM9683">
        <v>91.782451144273907</v>
      </c>
      <c r="AN9683">
        <v>1.00000003602237</v>
      </c>
    </row>
    <row r="9684" spans="1:40" x14ac:dyDescent="0.25">
      <c r="A9684" t="str">
        <f>"20190312154141679"</f>
        <v>20190312154141679</v>
      </c>
      <c r="B9684" t="str">
        <f>"1552376501675843"</f>
        <v>1552376501675843</v>
      </c>
      <c r="C9684" t="s">
        <v>40</v>
      </c>
      <c r="D9684">
        <v>4.232405</v>
      </c>
      <c r="E9684">
        <v>0.34005590000000002</v>
      </c>
      <c r="F9684" t="s">
        <v>80</v>
      </c>
      <c r="G9684">
        <v>-167.77080000000001</v>
      </c>
      <c r="H9684">
        <v>1.7980449999999999</v>
      </c>
      <c r="I9684">
        <v>249.3853</v>
      </c>
      <c r="J9684">
        <v>-190.99369999999999</v>
      </c>
      <c r="K9684">
        <v>1.1118889999999999</v>
      </c>
      <c r="L9684">
        <v>-41.856960000000001</v>
      </c>
      <c r="M9684">
        <v>0.48985590000000001</v>
      </c>
      <c r="N9684">
        <v>0</v>
      </c>
      <c r="O9684">
        <v>0.87179229999999996</v>
      </c>
      <c r="P9684">
        <v>0.46278419999999998</v>
      </c>
      <c r="Q9684">
        <v>-2.5896160000000001E-2</v>
      </c>
      <c r="R9684">
        <v>0.88609269999999996</v>
      </c>
      <c r="S9684">
        <v>0.26007079999999999</v>
      </c>
      <c r="T9684">
        <v>7.661462E-3</v>
      </c>
      <c r="U9684">
        <v>3.2525330000000001</v>
      </c>
      <c r="V9684">
        <v>-3.0444479999999999E-2</v>
      </c>
      <c r="W9684">
        <v>-2.1709610000000001E-2</v>
      </c>
      <c r="X9684">
        <v>0.99930070000000004</v>
      </c>
      <c r="Y9684">
        <v>-0.4188153</v>
      </c>
      <c r="Z9684">
        <v>1.7945529999999999E-3</v>
      </c>
      <c r="AA9684">
        <v>0.90806969999999998</v>
      </c>
      <c r="AB9684">
        <v>28</v>
      </c>
      <c r="AC9684">
        <v>23.2228999999999</v>
      </c>
      <c r="AD9684">
        <v>0.68615599999999999</v>
      </c>
      <c r="AE9684">
        <v>291.24225999999999</v>
      </c>
      <c r="AF9684">
        <v>-122.421705226355</v>
      </c>
      <c r="AG9684">
        <v>0.68615599999999999</v>
      </c>
      <c r="AH9684">
        <v>265.27974210532199</v>
      </c>
      <c r="AI9684">
        <v>89.865439857267106</v>
      </c>
      <c r="AJ9684">
        <v>114.772452107052</v>
      </c>
      <c r="AK9684">
        <v>292.16585408300398</v>
      </c>
      <c r="AL9684">
        <v>91.243966717090402</v>
      </c>
      <c r="AM9684">
        <v>91.745021129140198</v>
      </c>
      <c r="AN9684">
        <v>1.00000003127465</v>
      </c>
    </row>
    <row r="9685" spans="1:40" x14ac:dyDescent="0.25">
      <c r="A9685" t="str">
        <f>"20190312154141697"</f>
        <v>20190312154141697</v>
      </c>
      <c r="B9685" t="str">
        <f>"1552376501685603"</f>
        <v>1552376501685603</v>
      </c>
      <c r="C9685" t="s">
        <v>40</v>
      </c>
      <c r="D9685">
        <v>4.2015760000000002</v>
      </c>
      <c r="E9685">
        <v>0.34044730000000001</v>
      </c>
      <c r="F9685" t="s">
        <v>80</v>
      </c>
      <c r="G9685">
        <v>-167.66210000000001</v>
      </c>
      <c r="H9685">
        <v>1.527274</v>
      </c>
      <c r="I9685">
        <v>249.3853</v>
      </c>
      <c r="J9685">
        <v>-190.88650000000001</v>
      </c>
      <c r="K9685">
        <v>1.1121350000000001</v>
      </c>
      <c r="L9685">
        <v>-41.658969999999997</v>
      </c>
      <c r="M9685">
        <v>0.4868015</v>
      </c>
      <c r="N9685">
        <v>0</v>
      </c>
      <c r="O9685">
        <v>0.87349920000000003</v>
      </c>
      <c r="P9685">
        <v>0.46106130000000001</v>
      </c>
      <c r="Q9685">
        <v>-2.5430290000000001E-2</v>
      </c>
      <c r="R9685">
        <v>0.88700380000000001</v>
      </c>
      <c r="S9685">
        <v>0.26034550000000001</v>
      </c>
      <c r="T9685">
        <v>4.6356920000000003E-3</v>
      </c>
      <c r="U9685">
        <v>3.2498170000000002</v>
      </c>
      <c r="V9685">
        <v>-2.889541E-2</v>
      </c>
      <c r="W9685">
        <v>-2.080895E-2</v>
      </c>
      <c r="X9685">
        <v>0.99936579999999997</v>
      </c>
      <c r="Y9685">
        <v>-0.4154986</v>
      </c>
      <c r="Z9685">
        <v>1.0914259999999999E-3</v>
      </c>
      <c r="AA9685">
        <v>0.90959319999999999</v>
      </c>
      <c r="AB9685">
        <v>28</v>
      </c>
      <c r="AC9685">
        <v>23.224399999999999</v>
      </c>
      <c r="AD9685">
        <v>0.41513899999999898</v>
      </c>
      <c r="AE9685">
        <v>291.04426999999998</v>
      </c>
      <c r="AF9685">
        <v>-121.39547016214701</v>
      </c>
      <c r="AG9685">
        <v>0.41513899999999898</v>
      </c>
      <c r="AH9685">
        <v>265.53518599155598</v>
      </c>
      <c r="AI9685">
        <v>89.918533437513702</v>
      </c>
      <c r="AJ9685">
        <v>114.56859136634399</v>
      </c>
      <c r="AK9685">
        <v>291.96912082589898</v>
      </c>
      <c r="AL9685">
        <v>91.192351096375603</v>
      </c>
      <c r="AM9685">
        <v>91.656174258297895</v>
      </c>
      <c r="AN9685">
        <v>0.99999997966440501</v>
      </c>
    </row>
    <row r="9686" spans="1:40" x14ac:dyDescent="0.25">
      <c r="A9686" t="str">
        <f>"20190312154141710"</f>
        <v>20190312154141710</v>
      </c>
      <c r="B9686" t="str">
        <f>"1552376501706099"</f>
        <v>1552376501706099</v>
      </c>
      <c r="C9686" t="s">
        <v>40</v>
      </c>
      <c r="D9686">
        <v>4.213565</v>
      </c>
      <c r="E9686">
        <v>0.34080559999999899</v>
      </c>
      <c r="F9686" t="s">
        <v>80</v>
      </c>
      <c r="G9686">
        <v>-167.89070000000001</v>
      </c>
      <c r="H9686">
        <v>1.5122899999999999</v>
      </c>
      <c r="I9686">
        <v>249.3853</v>
      </c>
      <c r="J9686">
        <v>-190.8152</v>
      </c>
      <c r="K9686">
        <v>1.1123099999999999</v>
      </c>
      <c r="L9686">
        <v>-41.525849999999998</v>
      </c>
      <c r="M9686">
        <v>0.48465079999999999</v>
      </c>
      <c r="N9686">
        <v>0</v>
      </c>
      <c r="O9686">
        <v>0.87469229999999998</v>
      </c>
      <c r="P9686">
        <v>0.45959159999999999</v>
      </c>
      <c r="Q9686">
        <v>-2.5263299999999999E-2</v>
      </c>
      <c r="R9686">
        <v>0.88777099999999898</v>
      </c>
      <c r="S9686">
        <v>0.2566986</v>
      </c>
      <c r="T9686">
        <v>4.467487E-3</v>
      </c>
      <c r="U9686">
        <v>3.2488709999999998</v>
      </c>
      <c r="V9686">
        <v>-2.8093219999999999E-2</v>
      </c>
      <c r="W9686">
        <v>-2.029939E-2</v>
      </c>
      <c r="X9686">
        <v>0.99939920000000004</v>
      </c>
      <c r="Y9686">
        <v>-0.41425450000000003</v>
      </c>
      <c r="Z9686">
        <v>1.054976E-3</v>
      </c>
      <c r="AA9686">
        <v>0.91016050000000004</v>
      </c>
      <c r="AB9686">
        <v>28</v>
      </c>
      <c r="AC9686">
        <v>22.924499999999899</v>
      </c>
      <c r="AD9686">
        <v>0.399979999999999</v>
      </c>
      <c r="AE9686">
        <v>290.91115000000002</v>
      </c>
      <c r="AF9686">
        <v>-120.939842366712</v>
      </c>
      <c r="AG9686">
        <v>0.399979999999999</v>
      </c>
      <c r="AH9686">
        <v>265.571204116312</v>
      </c>
      <c r="AI9686">
        <v>89.921466164291701</v>
      </c>
      <c r="AJ9686">
        <v>114.484290251839</v>
      </c>
      <c r="AK9686">
        <v>291.81273089341602</v>
      </c>
      <c r="AL9686">
        <v>91.163149233137304</v>
      </c>
      <c r="AM9686">
        <v>91.610166564907999</v>
      </c>
      <c r="AN9686">
        <v>1.0000000276024801</v>
      </c>
    </row>
    <row r="9687" spans="1:40" x14ac:dyDescent="0.25">
      <c r="A9687" t="str">
        <f>"20190312154141722"</f>
        <v>20190312154141722</v>
      </c>
      <c r="B9687" t="str">
        <f>"1552376501715859"</f>
        <v>1552376501715859</v>
      </c>
      <c r="C9687" t="s">
        <v>40</v>
      </c>
      <c r="D9687">
        <v>4.1928400000000003</v>
      </c>
      <c r="E9687">
        <v>0.34115580000000001</v>
      </c>
      <c r="F9687" t="s">
        <v>80</v>
      </c>
      <c r="G9687">
        <v>-168.1002</v>
      </c>
      <c r="H9687">
        <v>0.75647640000000005</v>
      </c>
      <c r="I9687">
        <v>249.3853</v>
      </c>
      <c r="J9687">
        <v>-190.7364</v>
      </c>
      <c r="K9687">
        <v>1.1125130000000001</v>
      </c>
      <c r="L9687">
        <v>-41.377809999999997</v>
      </c>
      <c r="M9687">
        <v>0.4822071</v>
      </c>
      <c r="N9687">
        <v>0</v>
      </c>
      <c r="O9687">
        <v>0.87603929999999997</v>
      </c>
      <c r="P9687">
        <v>0.45765430000000001</v>
      </c>
      <c r="Q9687">
        <v>-2.5372769999999999E-2</v>
      </c>
      <c r="R9687">
        <v>0.88876809999999995</v>
      </c>
      <c r="S9687">
        <v>0.25360110000000002</v>
      </c>
      <c r="T9687">
        <v>-3.972054E-3</v>
      </c>
      <c r="U9687">
        <v>3.2478639999999999</v>
      </c>
      <c r="V9687">
        <v>-2.747958E-2</v>
      </c>
      <c r="W9687">
        <v>-1.9998410000000001E-2</v>
      </c>
      <c r="X9687">
        <v>0.99942229999999999</v>
      </c>
      <c r="Y9687">
        <v>-0.4125547</v>
      </c>
      <c r="Z9687">
        <v>-9.4120559999999996E-4</v>
      </c>
      <c r="AA9687">
        <v>0.91093239999999998</v>
      </c>
      <c r="AB9687">
        <v>28</v>
      </c>
      <c r="AC9687">
        <v>22.636199999999999</v>
      </c>
      <c r="AD9687">
        <v>-0.35603659999999898</v>
      </c>
      <c r="AE9687">
        <v>290.76310999999998</v>
      </c>
      <c r="AF9687">
        <v>-120.379549291974</v>
      </c>
      <c r="AG9687">
        <v>-0.35603659999999898</v>
      </c>
      <c r="AH9687">
        <v>265.639030031392</v>
      </c>
      <c r="AI9687">
        <v>90.069946549332698</v>
      </c>
      <c r="AJ9687">
        <v>114.378591589434</v>
      </c>
      <c r="AK9687">
        <v>291.64268707755701</v>
      </c>
      <c r="AL9687">
        <v>91.145900881332395</v>
      </c>
      <c r="AM9687">
        <v>91.574977235812298</v>
      </c>
      <c r="AN9687">
        <v>0.99999999872839695</v>
      </c>
    </row>
    <row r="9688" spans="1:40" x14ac:dyDescent="0.25">
      <c r="A9688" t="str">
        <f>"20190312154141735"</f>
        <v>20190312154141735</v>
      </c>
      <c r="B9688" t="str">
        <f>"1552376501725619"</f>
        <v>1552376501725619</v>
      </c>
      <c r="C9688" t="s">
        <v>40</v>
      </c>
      <c r="D9688">
        <v>4.236491</v>
      </c>
      <c r="E9688">
        <v>0.3412751</v>
      </c>
      <c r="F9688" t="s">
        <v>80</v>
      </c>
      <c r="G9688">
        <v>-168.35059999999999</v>
      </c>
      <c r="H9688">
        <v>0.50770660000000001</v>
      </c>
      <c r="I9688">
        <v>250.79300000000001</v>
      </c>
      <c r="J9688">
        <v>-190.65819999999999</v>
      </c>
      <c r="K9688">
        <v>1.112724</v>
      </c>
      <c r="L9688">
        <v>-41.229950000000002</v>
      </c>
      <c r="M9688">
        <v>0.47969040000000002</v>
      </c>
      <c r="N9688">
        <v>0</v>
      </c>
      <c r="O9688">
        <v>0.8774168</v>
      </c>
      <c r="P9688">
        <v>0.45535540000000002</v>
      </c>
      <c r="Q9688">
        <v>-2.5174129999999999E-2</v>
      </c>
      <c r="R9688">
        <v>0.88995380000000002</v>
      </c>
      <c r="S9688">
        <v>0.2487946</v>
      </c>
      <c r="T9688">
        <v>-6.7211390000000001E-3</v>
      </c>
      <c r="U9688">
        <v>3.2471619999999999</v>
      </c>
      <c r="V9688">
        <v>-2.7197800000000001E-2</v>
      </c>
      <c r="W9688">
        <v>-1.9345669999999999E-2</v>
      </c>
      <c r="X9688">
        <v>0.99944290000000002</v>
      </c>
      <c r="Y9688">
        <v>-0.41126580000000001</v>
      </c>
      <c r="Z9688">
        <v>-1.5978429999999901E-3</v>
      </c>
      <c r="AA9688">
        <v>0.91151400000000005</v>
      </c>
      <c r="AB9688">
        <v>28</v>
      </c>
      <c r="AC9688">
        <v>22.307600000000001</v>
      </c>
      <c r="AD9688">
        <v>-0.60501740000000004</v>
      </c>
      <c r="AE9688">
        <v>292.02294999999998</v>
      </c>
      <c r="AF9688">
        <v>-120.509250586113</v>
      </c>
      <c r="AG9688">
        <v>-0.60501740000000004</v>
      </c>
      <c r="AH9688">
        <v>266.930366912821</v>
      </c>
      <c r="AI9688">
        <v>90.118361725469498</v>
      </c>
      <c r="AJ9688">
        <v>114.29742685057199</v>
      </c>
      <c r="AK9688">
        <v>292.87312321736601</v>
      </c>
      <c r="AL9688">
        <v>91.1084943459702</v>
      </c>
      <c r="AM9688">
        <v>91.558803063460999</v>
      </c>
      <c r="AN9688">
        <v>1.0000000428164899</v>
      </c>
    </row>
    <row r="9689" spans="1:40" x14ac:dyDescent="0.25">
      <c r="A9689" t="str">
        <f>"20190312154141753"</f>
        <v>20190312154141753</v>
      </c>
      <c r="B9689" t="str">
        <f>"1552376501746116"</f>
        <v>1552376501746116</v>
      </c>
      <c r="C9689" t="s">
        <v>40</v>
      </c>
      <c r="D9689">
        <v>4.1887889999999999</v>
      </c>
      <c r="E9689">
        <v>0.34160610000000002</v>
      </c>
      <c r="F9689" t="s">
        <v>57</v>
      </c>
      <c r="G9689">
        <v>-167.5626</v>
      </c>
      <c r="H9689">
        <v>0.14479539999999999</v>
      </c>
      <c r="I9689">
        <v>269.69009999999997</v>
      </c>
      <c r="J9689">
        <v>-190.5556</v>
      </c>
      <c r="K9689">
        <v>1.11302099999999</v>
      </c>
      <c r="L9689">
        <v>-41.033479999999997</v>
      </c>
      <c r="M9689">
        <v>0.47618579999999999</v>
      </c>
      <c r="N9689">
        <v>0</v>
      </c>
      <c r="O9689">
        <v>0.87931870000000001</v>
      </c>
      <c r="P9689">
        <v>0.45157829999999899</v>
      </c>
      <c r="Q9689">
        <v>-2.5218899999999999E-2</v>
      </c>
      <c r="R9689">
        <v>0.89187510000000003</v>
      </c>
      <c r="S9689">
        <v>0.24121090000000001</v>
      </c>
      <c r="T9689">
        <v>-1.0108229999999999E-2</v>
      </c>
      <c r="U9689">
        <v>3.2472530000000002</v>
      </c>
      <c r="V9689">
        <v>-2.7447369999999999E-2</v>
      </c>
      <c r="W9689">
        <v>-1.8716420000000001E-2</v>
      </c>
      <c r="X9689">
        <v>0.999448</v>
      </c>
      <c r="Y9689">
        <v>-0.40974929999999898</v>
      </c>
      <c r="Z9689">
        <v>-2.41296E-3</v>
      </c>
      <c r="AA9689">
        <v>0.91219499999999998</v>
      </c>
      <c r="AB9689">
        <v>28</v>
      </c>
      <c r="AC9689">
        <v>22.992999999999899</v>
      </c>
      <c r="AD9689">
        <v>-0.96822559999999902</v>
      </c>
      <c r="AE9689">
        <v>310.72358000000003</v>
      </c>
      <c r="AF9689">
        <v>-127.745667580518</v>
      </c>
      <c r="AG9689">
        <v>-0.96822559999999902</v>
      </c>
      <c r="AH9689">
        <v>284.17774497127198</v>
      </c>
      <c r="AI9689">
        <v>90.178050000507596</v>
      </c>
      <c r="AJ9689">
        <v>114.20522070222199</v>
      </c>
      <c r="AK9689">
        <v>311.571635075085</v>
      </c>
      <c r="AL9689">
        <v>91.072434510481898</v>
      </c>
      <c r="AM9689">
        <v>91.573091633812197</v>
      </c>
      <c r="AN9689">
        <v>0.99999998360076603</v>
      </c>
    </row>
    <row r="9690" spans="1:40" x14ac:dyDescent="0.25">
      <c r="A9690" t="str">
        <f>"20190312154141767"</f>
        <v>20190312154141767</v>
      </c>
      <c r="B9690" t="str">
        <f>"1552376501755875"</f>
        <v>1552376501755875</v>
      </c>
      <c r="C9690" t="s">
        <v>40</v>
      </c>
      <c r="D9690">
        <v>4.2241289999999996</v>
      </c>
      <c r="E9690">
        <v>0.34176820000000002</v>
      </c>
      <c r="F9690" t="s">
        <v>43</v>
      </c>
      <c r="G9690">
        <v>-171.8467</v>
      </c>
      <c r="H9690">
        <v>-0.05</v>
      </c>
      <c r="I9690">
        <v>223.6628</v>
      </c>
      <c r="J9690">
        <v>-190.48169999999999</v>
      </c>
      <c r="K9690">
        <v>1.113227</v>
      </c>
      <c r="L9690">
        <v>-40.890349999999998</v>
      </c>
      <c r="M9690">
        <v>0.47351260000000001</v>
      </c>
      <c r="N9690">
        <v>0</v>
      </c>
      <c r="O9690">
        <v>0.88075700000000001</v>
      </c>
      <c r="P9690">
        <v>0.44828899999999999</v>
      </c>
      <c r="Q9690">
        <v>-2.4542720000000001E-2</v>
      </c>
      <c r="R9690">
        <v>0.89355169999999995</v>
      </c>
      <c r="S9690">
        <v>0.2295074</v>
      </c>
      <c r="T9690">
        <v>-1.426709E-2</v>
      </c>
      <c r="U9690">
        <v>3.2471009999999998</v>
      </c>
      <c r="V9690">
        <v>-2.8110409999999999E-2</v>
      </c>
      <c r="W9690">
        <v>-1.7533460000000001E-2</v>
      </c>
      <c r="X9690">
        <v>0.99945099999999998</v>
      </c>
      <c r="Y9690">
        <v>-0.41024769999999999</v>
      </c>
      <c r="Z9690">
        <v>-3.4149929999999998E-3</v>
      </c>
      <c r="AA9690">
        <v>0.9119678</v>
      </c>
      <c r="AB9690">
        <v>28</v>
      </c>
      <c r="AC9690">
        <v>18.634999999999899</v>
      </c>
      <c r="AD9690">
        <v>-1.163227</v>
      </c>
      <c r="AE9690">
        <v>264.55315000000002</v>
      </c>
      <c r="AF9690">
        <v>-108.857129740071</v>
      </c>
      <c r="AG9690">
        <v>-1.163227</v>
      </c>
      <c r="AH9690">
        <v>241.832693382549</v>
      </c>
      <c r="AI9690">
        <v>90.251307226962695</v>
      </c>
      <c r="AJ9690">
        <v>114.23413211603599</v>
      </c>
      <c r="AK9690">
        <v>265.206107359839</v>
      </c>
      <c r="AL9690">
        <v>91.004644778572299</v>
      </c>
      <c r="AM9690">
        <v>91.611067833391701</v>
      </c>
      <c r="AN9690">
        <v>0.99999995938546904</v>
      </c>
    </row>
    <row r="9691" spans="1:40" x14ac:dyDescent="0.25">
      <c r="A9691" t="str">
        <f>"20190312154141780"</f>
        <v>20190312154141780</v>
      </c>
      <c r="B9691" t="str">
        <f>"1552376501775395"</f>
        <v>1552376501775395</v>
      </c>
      <c r="C9691" t="s">
        <v>40</v>
      </c>
      <c r="D9691">
        <v>4.3652899999999999</v>
      </c>
      <c r="E9691">
        <v>0.37244149999999998</v>
      </c>
      <c r="F9691" t="s">
        <v>42</v>
      </c>
      <c r="G9691">
        <v>-175.2148</v>
      </c>
      <c r="H9691">
        <v>7.9985909999999993E-2</v>
      </c>
      <c r="I9691">
        <v>185.78720000000001</v>
      </c>
      <c r="J9691">
        <v>-190.40710000000001</v>
      </c>
      <c r="K9691">
        <v>1.113435</v>
      </c>
      <c r="L9691">
        <v>-40.745150000000002</v>
      </c>
      <c r="M9691">
        <v>0.47072439999999999</v>
      </c>
      <c r="N9691">
        <v>0</v>
      </c>
      <c r="O9691">
        <v>0.88224570000000002</v>
      </c>
      <c r="P9691">
        <v>0.4449227</v>
      </c>
      <c r="Q9691">
        <v>-2.4356050000000001E-2</v>
      </c>
      <c r="R9691">
        <v>0.89523770000000003</v>
      </c>
      <c r="S9691">
        <v>0.21870419999999999</v>
      </c>
      <c r="T9691">
        <v>-1.480162E-2</v>
      </c>
      <c r="U9691">
        <v>3.2472530000000002</v>
      </c>
      <c r="V9691">
        <v>-2.871696E-2</v>
      </c>
      <c r="W9691">
        <v>-1.6828650000000001E-2</v>
      </c>
      <c r="X9691">
        <v>0.9994459</v>
      </c>
      <c r="Y9691">
        <v>-0.41038780000000002</v>
      </c>
      <c r="Z9691">
        <v>-3.5529160000000001E-3</v>
      </c>
      <c r="AA9691">
        <v>0.91190420000000005</v>
      </c>
      <c r="AB9691">
        <v>28</v>
      </c>
      <c r="AC9691">
        <v>15.192299999999999</v>
      </c>
      <c r="AD9691">
        <v>-1.03344909</v>
      </c>
      <c r="AE9691">
        <v>226.53235000000001</v>
      </c>
      <c r="AF9691">
        <v>-93.231878176662207</v>
      </c>
      <c r="AG9691">
        <v>-1.03344909</v>
      </c>
      <c r="AH9691">
        <v>207.01060963101401</v>
      </c>
      <c r="AI9691">
        <v>90.260803264521499</v>
      </c>
      <c r="AJ9691">
        <v>114.245489681346</v>
      </c>
      <c r="AK9691">
        <v>227.038859284426</v>
      </c>
      <c r="AL9691">
        <v>90.964256149403099</v>
      </c>
      <c r="AM9691">
        <v>91.645819990042099</v>
      </c>
      <c r="AN9691">
        <v>0.999999987139636</v>
      </c>
    </row>
    <row r="9692" spans="1:40" x14ac:dyDescent="0.25">
      <c r="A9692" t="str">
        <f>"20190312154141796"</f>
        <v>20190312154141796</v>
      </c>
      <c r="B9692" t="str">
        <f>"1552376501785155"</f>
        <v>1552376501785155</v>
      </c>
      <c r="C9692" t="s">
        <v>40</v>
      </c>
      <c r="D9692">
        <v>4.2877749999999999</v>
      </c>
      <c r="E9692">
        <v>0.38198090000000001</v>
      </c>
      <c r="F9692" t="s">
        <v>42</v>
      </c>
      <c r="G9692">
        <v>-183.602</v>
      </c>
      <c r="H9692" s="1">
        <v>-1.7151370000000001E-6</v>
      </c>
      <c r="I9692">
        <v>9.685632</v>
      </c>
      <c r="J9692">
        <v>-190.3115</v>
      </c>
      <c r="K9692">
        <v>1.1137060000000001</v>
      </c>
      <c r="L9692">
        <v>-40.556550000000001</v>
      </c>
      <c r="M9692">
        <v>0.46693849999999998</v>
      </c>
      <c r="N9692">
        <v>0</v>
      </c>
      <c r="O9692">
        <v>0.88424899999999995</v>
      </c>
      <c r="P9692">
        <v>0.43998009999999899</v>
      </c>
      <c r="Q9692">
        <v>-2.3760940000000001E-2</v>
      </c>
      <c r="R9692">
        <v>0.89769310000000002</v>
      </c>
      <c r="S9692">
        <v>0.42353819999999998</v>
      </c>
      <c r="T9692">
        <v>-6.9297910000000004E-2</v>
      </c>
      <c r="U9692">
        <v>3.1387019999999999</v>
      </c>
      <c r="V9692">
        <v>-2.9959489999999998E-2</v>
      </c>
      <c r="W9692">
        <v>-1.557565E-2</v>
      </c>
      <c r="X9692">
        <v>0.99942980000000003</v>
      </c>
      <c r="Y9692">
        <v>-0.34452709999999998</v>
      </c>
      <c r="Z9692">
        <v>-1.7528789999999999E-2</v>
      </c>
      <c r="AA9692">
        <v>0.93861269999999997</v>
      </c>
      <c r="AB9692">
        <v>28</v>
      </c>
      <c r="AC9692">
        <v>6.7094999999999896</v>
      </c>
      <c r="AD9692">
        <v>-1.1137077151369901</v>
      </c>
      <c r="AE9692">
        <v>50.242182</v>
      </c>
      <c r="AF9692">
        <v>-17.519315128007602</v>
      </c>
      <c r="AG9692">
        <v>-1.1137077151369901</v>
      </c>
      <c r="AH9692">
        <v>47.538289254739098</v>
      </c>
      <c r="AI9692">
        <v>91.259292473911998</v>
      </c>
      <c r="AJ9692">
        <v>110.230386625097</v>
      </c>
      <c r="AK9692">
        <v>50.675987338151003</v>
      </c>
      <c r="AL9692">
        <v>90.892455052411506</v>
      </c>
      <c r="AM9692">
        <v>91.717017491703004</v>
      </c>
      <c r="AN9692">
        <v>1.0000000485210101</v>
      </c>
    </row>
    <row r="9693" spans="1:40" x14ac:dyDescent="0.25">
      <c r="A9693" t="str">
        <f>"20190312154141812"</f>
        <v>20190312154141812</v>
      </c>
      <c r="B9693" t="str">
        <f>"1552376501805651"</f>
        <v>1552376501805651</v>
      </c>
      <c r="C9693" t="s">
        <v>40</v>
      </c>
      <c r="D9693">
        <v>4.2915760000000001</v>
      </c>
      <c r="E9693">
        <v>0.39121119999999998</v>
      </c>
      <c r="F9693" t="s">
        <v>42</v>
      </c>
      <c r="G9693">
        <v>-183.68170000000001</v>
      </c>
      <c r="H9693" s="1">
        <v>-2.785989E-6</v>
      </c>
      <c r="I9693">
        <v>2.8947560000000001</v>
      </c>
      <c r="J9693">
        <v>-190.23079999999999</v>
      </c>
      <c r="K9693">
        <v>1.113923</v>
      </c>
      <c r="L9693">
        <v>-40.395020000000002</v>
      </c>
      <c r="M9693">
        <v>0.46353870000000003</v>
      </c>
      <c r="N9693">
        <v>0</v>
      </c>
      <c r="O9693">
        <v>0.8860304</v>
      </c>
      <c r="P9693">
        <v>0.43593749999999998</v>
      </c>
      <c r="Q9693">
        <v>-2.372815E-2</v>
      </c>
      <c r="R9693">
        <v>0.89966409999999997</v>
      </c>
      <c r="S9693">
        <v>0.47412109999999902</v>
      </c>
      <c r="T9693">
        <v>-7.9646110000000006E-2</v>
      </c>
      <c r="U9693">
        <v>3.1073909999999998</v>
      </c>
      <c r="V9693">
        <v>-3.0619790000000001E-2</v>
      </c>
      <c r="W9693">
        <v>-1.5005569999999999E-2</v>
      </c>
      <c r="X9693">
        <v>0.99941840000000004</v>
      </c>
      <c r="Y9693">
        <v>-0.32463760000000003</v>
      </c>
      <c r="Z9693">
        <v>-2.048546E-2</v>
      </c>
      <c r="AA9693">
        <v>0.94561660000000003</v>
      </c>
      <c r="AB9693">
        <v>28</v>
      </c>
      <c r="AC9693">
        <v>6.5490999999999797</v>
      </c>
      <c r="AD9693">
        <v>-1.1139257859889999</v>
      </c>
      <c r="AE9693">
        <v>43.289776000000003</v>
      </c>
      <c r="AF9693">
        <v>-14.2551421426279</v>
      </c>
      <c r="AG9693">
        <v>-1.1139257859889999</v>
      </c>
      <c r="AH9693">
        <v>41.366738881115502</v>
      </c>
      <c r="AI9693">
        <v>91.458367275527195</v>
      </c>
      <c r="AJ9693">
        <v>109.01415416850401</v>
      </c>
      <c r="AK9693">
        <v>43.768218993027503</v>
      </c>
      <c r="AL9693">
        <v>90.859788151161396</v>
      </c>
      <c r="AM9693">
        <v>91.754856744815598</v>
      </c>
      <c r="AN9693">
        <v>0.99999993846461199</v>
      </c>
    </row>
    <row r="9694" spans="1:40" x14ac:dyDescent="0.25">
      <c r="A9694" t="str">
        <f>"20190312154141827"</f>
        <v>20190312154141827</v>
      </c>
      <c r="B9694" t="str">
        <f>"1552376501815411"</f>
        <v>1552376501815411</v>
      </c>
      <c r="C9694" t="s">
        <v>40</v>
      </c>
      <c r="D9694">
        <v>4.3301970000000001</v>
      </c>
      <c r="E9694">
        <v>0.39379690000000001</v>
      </c>
      <c r="F9694" t="s">
        <v>42</v>
      </c>
      <c r="G9694">
        <v>-184.06530000000001</v>
      </c>
      <c r="H9694" s="1">
        <v>-3.6508459999999998E-6</v>
      </c>
      <c r="I9694">
        <v>-4.3109109999999999</v>
      </c>
      <c r="J9694">
        <v>-190.1497</v>
      </c>
      <c r="K9694">
        <v>1.1141460000000001</v>
      </c>
      <c r="L9694">
        <v>-40.230960000000003</v>
      </c>
      <c r="M9694">
        <v>0.4599684</v>
      </c>
      <c r="N9694">
        <v>0</v>
      </c>
      <c r="O9694">
        <v>0.88788349999999905</v>
      </c>
      <c r="P9694">
        <v>0.43191040000000003</v>
      </c>
      <c r="Q9694">
        <v>-2.3603800000000001E-2</v>
      </c>
      <c r="R9694">
        <v>0.90160759999999995</v>
      </c>
      <c r="S9694">
        <v>0.52580260000000001</v>
      </c>
      <c r="T9694">
        <v>-9.4997170000000006E-2</v>
      </c>
      <c r="U9694">
        <v>3.0773009999999998</v>
      </c>
      <c r="V9694">
        <v>-3.1070440000000001E-2</v>
      </c>
      <c r="W9694">
        <v>-1.435939E-2</v>
      </c>
      <c r="X9694">
        <v>0.99941400000000002</v>
      </c>
      <c r="Y9694">
        <v>-0.30392360000000002</v>
      </c>
      <c r="Z9694">
        <v>-2.4829770000000001E-2</v>
      </c>
      <c r="AA9694">
        <v>0.95237280000000002</v>
      </c>
      <c r="AB9694">
        <v>28</v>
      </c>
      <c r="AC9694">
        <v>6.08439999999998</v>
      </c>
      <c r="AD9694">
        <v>-1.11414965084599</v>
      </c>
      <c r="AE9694">
        <v>35.920048999999999</v>
      </c>
      <c r="AF9694">
        <v>-11.109969830936</v>
      </c>
      <c r="AG9694">
        <v>-1.11414965084599</v>
      </c>
      <c r="AH9694">
        <v>34.660629444833603</v>
      </c>
      <c r="AI9694">
        <v>91.753302862868907</v>
      </c>
      <c r="AJ9694">
        <v>107.772510655242</v>
      </c>
      <c r="AK9694">
        <v>36.414722195849002</v>
      </c>
      <c r="AL9694">
        <v>90.822760757457004</v>
      </c>
      <c r="AM9694">
        <v>91.780675362238497</v>
      </c>
      <c r="AN9694">
        <v>0.99999995385948104</v>
      </c>
    </row>
    <row r="9695" spans="1:40" x14ac:dyDescent="0.25">
      <c r="A9695" t="str">
        <f>"20190312154141843"</f>
        <v>20190312154141843</v>
      </c>
      <c r="B9695" t="str">
        <f>"1552376501835908"</f>
        <v>1552376501835908</v>
      </c>
      <c r="C9695" t="s">
        <v>40</v>
      </c>
      <c r="D9695">
        <v>4.338025</v>
      </c>
      <c r="E9695">
        <v>0.39720060000000001</v>
      </c>
      <c r="F9695" t="s">
        <v>42</v>
      </c>
      <c r="G9695">
        <v>-184.1071</v>
      </c>
      <c r="H9695" s="1">
        <v>-3.3052160000000002E-6</v>
      </c>
      <c r="I9695">
        <v>-5.2469270000000003</v>
      </c>
      <c r="J9695">
        <v>-190.06020000000001</v>
      </c>
      <c r="K9695">
        <v>1.1143959999999999</v>
      </c>
      <c r="L9695">
        <v>-40.047550000000001</v>
      </c>
      <c r="M9695">
        <v>0.45582840000000002</v>
      </c>
      <c r="N9695">
        <v>0</v>
      </c>
      <c r="O9695">
        <v>0.89000970000000001</v>
      </c>
      <c r="P9695">
        <v>0.42705149999999997</v>
      </c>
      <c r="Q9695">
        <v>-2.3130390000000001E-2</v>
      </c>
      <c r="R9695">
        <v>0.90393140000000005</v>
      </c>
      <c r="S9695">
        <v>0.53039550000000002</v>
      </c>
      <c r="T9695">
        <v>-9.7795010000000002E-2</v>
      </c>
      <c r="U9695">
        <v>3.0707399999999998</v>
      </c>
      <c r="V9695">
        <v>-3.1808589999999998E-2</v>
      </c>
      <c r="W9695">
        <v>-1.3340289999999999E-2</v>
      </c>
      <c r="X9695">
        <v>0.99940499999999999</v>
      </c>
      <c r="Y9695">
        <v>-0.29776599999999998</v>
      </c>
      <c r="Z9695">
        <v>-2.5741320000000002E-2</v>
      </c>
      <c r="AA9695">
        <v>0.95429180000000002</v>
      </c>
      <c r="AB9695">
        <v>28</v>
      </c>
      <c r="AC9695">
        <v>5.9531000000000001</v>
      </c>
      <c r="AD9695">
        <v>-1.1143993052159999</v>
      </c>
      <c r="AE9695">
        <v>34.800623000000002</v>
      </c>
      <c r="AF9695">
        <v>-10.554825198779101</v>
      </c>
      <c r="AG9695">
        <v>-1.1143993052159999</v>
      </c>
      <c r="AH9695">
        <v>33.6546930021984</v>
      </c>
      <c r="AI9695">
        <v>91.809678266863301</v>
      </c>
      <c r="AJ9695">
        <v>107.41253065402501</v>
      </c>
      <c r="AK9695">
        <v>35.288589967020101</v>
      </c>
      <c r="AL9695">
        <v>90.764364947456798</v>
      </c>
      <c r="AM9695">
        <v>91.822967607103095</v>
      </c>
      <c r="AN9695">
        <v>1.00000005188003</v>
      </c>
    </row>
    <row r="9696" spans="1:40" x14ac:dyDescent="0.25">
      <c r="A9696" t="str">
        <f>"20190312154141858"</f>
        <v>20190312154141858</v>
      </c>
      <c r="B9696" t="str">
        <f>"1552376501855427"</f>
        <v>1552376501855427</v>
      </c>
      <c r="C9696" t="s">
        <v>40</v>
      </c>
      <c r="D9696">
        <v>4.2532389999999998</v>
      </c>
      <c r="E9696">
        <v>0.39910879999999999</v>
      </c>
      <c r="F9696" t="s">
        <v>42</v>
      </c>
      <c r="G9696">
        <v>-184.13300000000001</v>
      </c>
      <c r="H9696" s="1">
        <v>-2.93327E-6</v>
      </c>
      <c r="I9696">
        <v>-6.3196050000000001</v>
      </c>
      <c r="J9696">
        <v>-189.9796</v>
      </c>
      <c r="K9696">
        <v>1.114611</v>
      </c>
      <c r="L9696">
        <v>-39.880369999999999</v>
      </c>
      <c r="M9696">
        <v>0.45191789999999998</v>
      </c>
      <c r="N9696">
        <v>0</v>
      </c>
      <c r="O9696">
        <v>0.89199599999999901</v>
      </c>
      <c r="P9696">
        <v>0.42294229999999999</v>
      </c>
      <c r="Q9696">
        <v>-2.3416679999999999E-2</v>
      </c>
      <c r="R9696">
        <v>0.90585400000000005</v>
      </c>
      <c r="S9696">
        <v>0.53810119999999995</v>
      </c>
      <c r="T9696">
        <v>-0.10117139999999999</v>
      </c>
      <c r="U9696">
        <v>3.0620120000000002</v>
      </c>
      <c r="V9696">
        <v>-3.1957350000000002E-2</v>
      </c>
      <c r="W9696">
        <v>-1.315508E-2</v>
      </c>
      <c r="X9696">
        <v>0.99940260000000003</v>
      </c>
      <c r="Y9696">
        <v>-0.29078929999999997</v>
      </c>
      <c r="Z9696">
        <v>-2.6830429999999999E-2</v>
      </c>
      <c r="AA9696">
        <v>0.95641080000000001</v>
      </c>
      <c r="AB9696">
        <v>28</v>
      </c>
      <c r="AC9696">
        <v>5.84660000000002</v>
      </c>
      <c r="AD9696">
        <v>-1.11461393327</v>
      </c>
      <c r="AE9696">
        <v>33.560765000000004</v>
      </c>
      <c r="AF9696">
        <v>-9.9414879569150205</v>
      </c>
      <c r="AG9696">
        <v>-1.11461393327</v>
      </c>
      <c r="AH9696">
        <v>32.5452569816742</v>
      </c>
      <c r="AI9696">
        <v>91.875998703826198</v>
      </c>
      <c r="AJ9696">
        <v>106.986159946906</v>
      </c>
      <c r="AK9696">
        <v>34.048043982304399</v>
      </c>
      <c r="AL9696">
        <v>90.753752347720194</v>
      </c>
      <c r="AM9696">
        <v>91.831491726027295</v>
      </c>
      <c r="AN9696">
        <v>0.99999994261779201</v>
      </c>
    </row>
    <row r="9697" spans="1:40" x14ac:dyDescent="0.25">
      <c r="A9697" t="str">
        <f>"20190312154141875"</f>
        <v>20190312154141875</v>
      </c>
      <c r="B9697" t="str">
        <f>"1552376501865190"</f>
        <v>1552376501865190</v>
      </c>
      <c r="C9697" t="s">
        <v>40</v>
      </c>
      <c r="D9697">
        <v>4.3762660000000002</v>
      </c>
      <c r="E9697">
        <v>0.40019529999999998</v>
      </c>
      <c r="F9697" t="s">
        <v>42</v>
      </c>
      <c r="G9697">
        <v>-184.3973</v>
      </c>
      <c r="H9697" s="1">
        <v>-2.2427109999999998E-6</v>
      </c>
      <c r="I9697">
        <v>-8.14223099999999</v>
      </c>
      <c r="J9697">
        <v>-189.8852</v>
      </c>
      <c r="K9697">
        <v>1.1148450000000001</v>
      </c>
      <c r="L9697">
        <v>-39.68112</v>
      </c>
      <c r="M9697">
        <v>0.44705279999999997</v>
      </c>
      <c r="N9697">
        <v>0</v>
      </c>
      <c r="O9697">
        <v>0.8944377</v>
      </c>
      <c r="P9697">
        <v>0.41818880000000003</v>
      </c>
      <c r="Q9697">
        <v>-2.318197E-2</v>
      </c>
      <c r="R9697">
        <v>0.90806419999999999</v>
      </c>
      <c r="S9697">
        <v>0.53784180000000004</v>
      </c>
      <c r="T9697">
        <v>-0.10739029999999999</v>
      </c>
      <c r="U9697">
        <v>3.0578919999999998</v>
      </c>
      <c r="V9697">
        <v>-3.1760360000000001E-2</v>
      </c>
      <c r="W9697">
        <v>-1.24023E-2</v>
      </c>
      <c r="X9697">
        <v>0.99941860000000005</v>
      </c>
      <c r="Y9697">
        <v>-0.28544439999999999</v>
      </c>
      <c r="Z9697">
        <v>-2.8669099999999999E-2</v>
      </c>
      <c r="AA9697">
        <v>0.9579664</v>
      </c>
      <c r="AB9697">
        <v>28</v>
      </c>
      <c r="AC9697">
        <v>5.48789999999999</v>
      </c>
      <c r="AD9697">
        <v>-1.1148472427109899</v>
      </c>
      <c r="AE9697">
        <v>31.538889000000001</v>
      </c>
      <c r="AF9697">
        <v>-9.1804045927524101</v>
      </c>
      <c r="AG9697">
        <v>-1.1148472427109899</v>
      </c>
      <c r="AH9697">
        <v>30.627724095679099</v>
      </c>
      <c r="AI9697">
        <v>91.996939873573794</v>
      </c>
      <c r="AJ9697">
        <v>106.68566318028201</v>
      </c>
      <c r="AK9697">
        <v>31.9934398923006</v>
      </c>
      <c r="AL9697">
        <v>90.710617637726401</v>
      </c>
      <c r="AM9697">
        <v>91.820180627809407</v>
      </c>
      <c r="AN9697">
        <v>1.0000000377692799</v>
      </c>
    </row>
    <row r="9698" spans="1:40" x14ac:dyDescent="0.25">
      <c r="A9698" t="str">
        <f>"20190312154141888"</f>
        <v>20190312154141888</v>
      </c>
      <c r="B9698" t="str">
        <f>"1552376501875923"</f>
        <v>1552376501875923</v>
      </c>
      <c r="C9698" t="s">
        <v>40</v>
      </c>
      <c r="D9698">
        <v>4.2899200000000004</v>
      </c>
      <c r="E9698">
        <v>0.40114650000000002</v>
      </c>
      <c r="F9698" t="s">
        <v>42</v>
      </c>
      <c r="G9698">
        <v>-184.35480000000001</v>
      </c>
      <c r="H9698" s="1">
        <v>-2.387638E-6</v>
      </c>
      <c r="I9698">
        <v>-7.7495369999999903</v>
      </c>
      <c r="J9698">
        <v>-189.82149999999999</v>
      </c>
      <c r="K9698">
        <v>1.1149910000000001</v>
      </c>
      <c r="L9698">
        <v>-39.544280000000001</v>
      </c>
      <c r="M9698">
        <v>0.44357439999999998</v>
      </c>
      <c r="N9698">
        <v>0</v>
      </c>
      <c r="O9698">
        <v>0.89616359999999995</v>
      </c>
      <c r="P9698">
        <v>0.41485830000000001</v>
      </c>
      <c r="Q9698">
        <v>-2.3337730000000001E-2</v>
      </c>
      <c r="R9698">
        <v>0.90958669999999997</v>
      </c>
      <c r="S9698">
        <v>0.52947999999999995</v>
      </c>
      <c r="T9698">
        <v>-0.1067365</v>
      </c>
      <c r="U9698">
        <v>3.057159</v>
      </c>
      <c r="V9698">
        <v>-3.1538829999999997E-2</v>
      </c>
      <c r="W9698">
        <v>-1.223319E-2</v>
      </c>
      <c r="X9698">
        <v>0.99942770000000003</v>
      </c>
      <c r="Y9698">
        <v>-0.28422560000000002</v>
      </c>
      <c r="Z9698">
        <v>-2.8601350000000001E-2</v>
      </c>
      <c r="AA9698">
        <v>0.95833069999999998</v>
      </c>
      <c r="AB9698">
        <v>28</v>
      </c>
      <c r="AC9698">
        <v>5.4666999999999701</v>
      </c>
      <c r="AD9698">
        <v>-1.114993387638</v>
      </c>
      <c r="AE9698">
        <v>31.794743</v>
      </c>
      <c r="AF9698">
        <v>-9.1939045928862608</v>
      </c>
      <c r="AG9698">
        <v>-1.114993387638</v>
      </c>
      <c r="AH9698">
        <v>30.883339150149499</v>
      </c>
      <c r="AI9698">
        <v>91.981793832671897</v>
      </c>
      <c r="AJ9698">
        <v>106.578156903921</v>
      </c>
      <c r="AK9698">
        <v>32.2420800969902</v>
      </c>
      <c r="AL9698">
        <v>90.700927613407401</v>
      </c>
      <c r="AM9698">
        <v>91.807476787000297</v>
      </c>
      <c r="AN9698">
        <v>1.0000000381313101</v>
      </c>
    </row>
    <row r="9699" spans="1:40" x14ac:dyDescent="0.25">
      <c r="A9699" t="str">
        <f>"20190312154141902"</f>
        <v>20190312154141902</v>
      </c>
      <c r="B9699" t="str">
        <f>"1552376501895443"</f>
        <v>1552376501895443</v>
      </c>
      <c r="C9699" t="s">
        <v>40</v>
      </c>
      <c r="D9699">
        <v>4.3081459999999998</v>
      </c>
      <c r="E9699">
        <v>0.4024971</v>
      </c>
      <c r="F9699" t="s">
        <v>42</v>
      </c>
      <c r="G9699">
        <v>-184.3571</v>
      </c>
      <c r="H9699" s="1">
        <v>-2.3876720000000001E-6</v>
      </c>
      <c r="I9699">
        <v>-7.7476710000000004</v>
      </c>
      <c r="J9699">
        <v>-189.75309999999999</v>
      </c>
      <c r="K9699">
        <v>1.1151439999999999</v>
      </c>
      <c r="L9699">
        <v>-39.396270000000001</v>
      </c>
      <c r="M9699">
        <v>0.43972889999999998</v>
      </c>
      <c r="N9699">
        <v>0</v>
      </c>
      <c r="O9699">
        <v>0.89805230000000003</v>
      </c>
      <c r="P9699">
        <v>0.41125719999999999</v>
      </c>
      <c r="Q9699">
        <v>-2.3379469999999999E-2</v>
      </c>
      <c r="R9699">
        <v>0.91121949999999996</v>
      </c>
      <c r="S9699">
        <v>0.525177</v>
      </c>
      <c r="T9699">
        <v>-0.1071608</v>
      </c>
      <c r="U9699">
        <v>3.055939</v>
      </c>
      <c r="V9699">
        <v>-3.120916E-2</v>
      </c>
      <c r="W9699">
        <v>-1.1938580000000001E-2</v>
      </c>
      <c r="X9699">
        <v>0.99944160000000004</v>
      </c>
      <c r="Y9699">
        <v>-0.28136359999999999</v>
      </c>
      <c r="Z9699">
        <v>-2.8840540000000001E-2</v>
      </c>
      <c r="AA9699">
        <v>0.95916769999999996</v>
      </c>
      <c r="AB9699">
        <v>28</v>
      </c>
      <c r="AC9699">
        <v>5.3959999999999804</v>
      </c>
      <c r="AD9699">
        <v>-1.115146387672</v>
      </c>
      <c r="AE9699">
        <v>31.648599000000001</v>
      </c>
      <c r="AF9699">
        <v>-9.0606197839098197</v>
      </c>
      <c r="AG9699">
        <v>-1.115146387672</v>
      </c>
      <c r="AH9699">
        <v>30.759928388891002</v>
      </c>
      <c r="AI9699">
        <v>91.991711205681199</v>
      </c>
      <c r="AJ9699">
        <v>106.412822212653</v>
      </c>
      <c r="AK9699">
        <v>32.0860028178055</v>
      </c>
      <c r="AL9699">
        <v>90.684046479338406</v>
      </c>
      <c r="AM9699">
        <v>91.788571018420001</v>
      </c>
      <c r="AN9699">
        <v>1.0000000265854401</v>
      </c>
    </row>
    <row r="9700" spans="1:40" x14ac:dyDescent="0.25">
      <c r="A9700" t="str">
        <f>"20190312154141914"</f>
        <v>20190312154141914</v>
      </c>
      <c r="B9700" t="str">
        <f>"1552376501905204"</f>
        <v>1552376501905204</v>
      </c>
      <c r="C9700" t="s">
        <v>40</v>
      </c>
      <c r="D9700">
        <v>4.2829889999999997</v>
      </c>
      <c r="E9700">
        <v>0.40306839999999999</v>
      </c>
      <c r="F9700" t="s">
        <v>42</v>
      </c>
      <c r="G9700">
        <v>-184.55850000000001</v>
      </c>
      <c r="H9700" s="1">
        <v>-1.8942E-6</v>
      </c>
      <c r="I9700">
        <v>-9.0402629999999995</v>
      </c>
      <c r="J9700">
        <v>-189.6857</v>
      </c>
      <c r="K9700">
        <v>1.115297</v>
      </c>
      <c r="L9700">
        <v>-39.248139999999999</v>
      </c>
      <c r="M9700">
        <v>0.43576019999999999</v>
      </c>
      <c r="N9700">
        <v>0</v>
      </c>
      <c r="O9700">
        <v>0.89998049999999996</v>
      </c>
      <c r="P9700">
        <v>0.40735729999999998</v>
      </c>
      <c r="Q9700">
        <v>-2.3234600000000001E-2</v>
      </c>
      <c r="R9700">
        <v>0.91297329999999999</v>
      </c>
      <c r="S9700">
        <v>0.52253720000000003</v>
      </c>
      <c r="T9700">
        <v>-0.11217530000000001</v>
      </c>
      <c r="U9700">
        <v>3.0535890000000001</v>
      </c>
      <c r="V9700">
        <v>-3.1076349999999999E-2</v>
      </c>
      <c r="W9700">
        <v>-1.148357E-2</v>
      </c>
      <c r="X9700">
        <v>0.99945099999999998</v>
      </c>
      <c r="Y9700">
        <v>-0.27781729999999999</v>
      </c>
      <c r="Z9700">
        <v>-3.0335609999999999E-2</v>
      </c>
      <c r="AA9700">
        <v>0.96015479999999997</v>
      </c>
      <c r="AB9700">
        <v>28</v>
      </c>
      <c r="AC9700">
        <v>5.1271999999999798</v>
      </c>
      <c r="AD9700">
        <v>-1.1152988941999999</v>
      </c>
      <c r="AE9700">
        <v>30.207877</v>
      </c>
      <c r="AF9700">
        <v>-8.5383307592879092</v>
      </c>
      <c r="AG9700">
        <v>-1.1152988941999999</v>
      </c>
      <c r="AH9700">
        <v>29.383976465752301</v>
      </c>
      <c r="AI9700">
        <v>92.087417288186799</v>
      </c>
      <c r="AJ9700">
        <v>106.202690748655</v>
      </c>
      <c r="AK9700">
        <v>30.619684138120899</v>
      </c>
      <c r="AL9700">
        <v>90.657974585249605</v>
      </c>
      <c r="AM9700">
        <v>91.780947960379706</v>
      </c>
      <c r="AN9700">
        <v>0.99999995665513197</v>
      </c>
    </row>
    <row r="9701" spans="1:40" x14ac:dyDescent="0.25">
      <c r="A9701" t="str">
        <f>"20190312154141931"</f>
        <v>20190312154141931</v>
      </c>
      <c r="B9701" t="str">
        <f>"1552376501925699"</f>
        <v>1552376501925699</v>
      </c>
      <c r="C9701" t="s">
        <v>40</v>
      </c>
      <c r="D9701">
        <v>4.2758200000000004</v>
      </c>
      <c r="E9701">
        <v>0.40414440000000001</v>
      </c>
      <c r="F9701" t="s">
        <v>42</v>
      </c>
      <c r="G9701">
        <v>-184.68780000000001</v>
      </c>
      <c r="H9701" s="1">
        <v>-1.691331E-6</v>
      </c>
      <c r="I9701">
        <v>-9.535304</v>
      </c>
      <c r="J9701">
        <v>-189.60589999999999</v>
      </c>
      <c r="K9701">
        <v>1.115472</v>
      </c>
      <c r="L9701">
        <v>-39.06982</v>
      </c>
      <c r="M9701">
        <v>0.43079210000000001</v>
      </c>
      <c r="N9701">
        <v>0</v>
      </c>
      <c r="O9701">
        <v>0.90236439999999996</v>
      </c>
      <c r="P9701">
        <v>0.40258260000000001</v>
      </c>
      <c r="Q9701">
        <v>-2.346227E-2</v>
      </c>
      <c r="R9701">
        <v>0.91508290000000003</v>
      </c>
      <c r="S9701">
        <v>0.51367189999999996</v>
      </c>
      <c r="T9701">
        <v>-0.1146296</v>
      </c>
      <c r="U9701">
        <v>3.0538639999999999</v>
      </c>
      <c r="V9701">
        <v>-3.0784249999999999E-2</v>
      </c>
      <c r="W9701">
        <v>-1.1370130000000001E-2</v>
      </c>
      <c r="X9701">
        <v>0.99946140000000006</v>
      </c>
      <c r="Y9701">
        <v>-0.275250299999999</v>
      </c>
      <c r="Z9701">
        <v>-3.1146650000000001E-2</v>
      </c>
      <c r="AA9701">
        <v>0.9608679</v>
      </c>
      <c r="AB9701">
        <v>28</v>
      </c>
      <c r="AC9701">
        <v>4.9180999999999804</v>
      </c>
      <c r="AD9701">
        <v>-1.1154736913309999</v>
      </c>
      <c r="AE9701">
        <v>29.534515999999901</v>
      </c>
      <c r="AF9701">
        <v>-8.2744821247264007</v>
      </c>
      <c r="AG9701">
        <v>-1.1154736913309999</v>
      </c>
      <c r="AH9701">
        <v>28.731949062451601</v>
      </c>
      <c r="AI9701">
        <v>92.136553606051194</v>
      </c>
      <c r="AJ9701">
        <v>106.065812744284</v>
      </c>
      <c r="AK9701">
        <v>29.9204985405622</v>
      </c>
      <c r="AL9701">
        <v>90.651474486089299</v>
      </c>
      <c r="AM9701">
        <v>91.764200346178896</v>
      </c>
      <c r="AN9701">
        <v>1.00000001999711</v>
      </c>
    </row>
    <row r="9702" spans="1:40" x14ac:dyDescent="0.25">
      <c r="A9702" t="str">
        <f>"20190312154141945"</f>
        <v>20190312154141945</v>
      </c>
      <c r="B9702" t="str">
        <f>"1552376501935459"</f>
        <v>1552376501935459</v>
      </c>
      <c r="C9702" t="s">
        <v>40</v>
      </c>
      <c r="D9702">
        <v>4.2782589999999896</v>
      </c>
      <c r="E9702">
        <v>0.40465640000000003</v>
      </c>
      <c r="F9702" t="s">
        <v>42</v>
      </c>
      <c r="G9702">
        <v>-184.9</v>
      </c>
      <c r="H9702" s="1">
        <v>-5.0813339999999996E-6</v>
      </c>
      <c r="I9702">
        <v>-10.63125</v>
      </c>
      <c r="J9702">
        <v>-189.53639999999999</v>
      </c>
      <c r="K9702">
        <v>1.1156299999999999</v>
      </c>
      <c r="L9702">
        <v>-38.912080000000003</v>
      </c>
      <c r="M9702">
        <v>0.42625980000000002</v>
      </c>
      <c r="N9702">
        <v>0</v>
      </c>
      <c r="O9702">
        <v>0.90451009999999998</v>
      </c>
      <c r="P9702">
        <v>0.39791009999999999</v>
      </c>
      <c r="Q9702">
        <v>-2.3898719999999998E-2</v>
      </c>
      <c r="R9702">
        <v>0.91711310000000001</v>
      </c>
      <c r="S9702">
        <v>0.50520319999999996</v>
      </c>
      <c r="T9702">
        <v>-0.1197539</v>
      </c>
      <c r="U9702">
        <v>3.05307</v>
      </c>
      <c r="V9702">
        <v>-3.085854E-2</v>
      </c>
      <c r="W9702">
        <v>-1.153247E-2</v>
      </c>
      <c r="X9702">
        <v>0.99945720000000005</v>
      </c>
      <c r="Y9702">
        <v>-0.27298869999999997</v>
      </c>
      <c r="Z9702">
        <v>-3.2687380000000002E-2</v>
      </c>
      <c r="AA9702">
        <v>0.96146169999999997</v>
      </c>
      <c r="AB9702">
        <v>28</v>
      </c>
      <c r="AC9702">
        <v>4.6363999999999796</v>
      </c>
      <c r="AD9702">
        <v>-1.1156350813339999</v>
      </c>
      <c r="AE9702">
        <v>28.280829999999899</v>
      </c>
      <c r="AF9702">
        <v>-7.8500588884598601</v>
      </c>
      <c r="AG9702">
        <v>-1.1156350813339999</v>
      </c>
      <c r="AH9702">
        <v>27.517167183278598</v>
      </c>
      <c r="AI9702">
        <v>92.232704369449905</v>
      </c>
      <c r="AJ9702">
        <v>105.922314209577</v>
      </c>
      <c r="AK9702">
        <v>28.636734380503199</v>
      </c>
      <c r="AL9702">
        <v>90.660776525058196</v>
      </c>
      <c r="AM9702">
        <v>91.768462524057597</v>
      </c>
      <c r="AN9702">
        <v>0.99999997099353599</v>
      </c>
    </row>
    <row r="9703" spans="1:40" x14ac:dyDescent="0.25">
      <c r="A9703" t="str">
        <f>"20190312154141960"</f>
        <v>20190312154141960</v>
      </c>
      <c r="B9703" t="str">
        <f>"1552376501955955"</f>
        <v>1552376501955955</v>
      </c>
      <c r="C9703" t="s">
        <v>40</v>
      </c>
      <c r="D9703">
        <v>4.2120730000000002</v>
      </c>
      <c r="E9703">
        <v>0.40459250000000002</v>
      </c>
      <c r="F9703" t="s">
        <v>42</v>
      </c>
      <c r="G9703">
        <v>-185.07769999999999</v>
      </c>
      <c r="H9703" s="1">
        <v>-4.7570810000000003E-6</v>
      </c>
      <c r="I9703">
        <v>-11.31366</v>
      </c>
      <c r="J9703">
        <v>-189.46770000000001</v>
      </c>
      <c r="K9703">
        <v>1.1157889999999999</v>
      </c>
      <c r="L9703">
        <v>-38.754089999999998</v>
      </c>
      <c r="M9703">
        <v>0.42160249999999999</v>
      </c>
      <c r="N9703">
        <v>0</v>
      </c>
      <c r="O9703">
        <v>0.90668649999999995</v>
      </c>
      <c r="P9703">
        <v>0.3931386</v>
      </c>
      <c r="Q9703">
        <v>-2.390136E-2</v>
      </c>
      <c r="R9703">
        <v>0.91916850000000005</v>
      </c>
      <c r="S9703">
        <v>0.49337769999999997</v>
      </c>
      <c r="T9703">
        <v>-0.1234489</v>
      </c>
      <c r="U9703">
        <v>3.0538639999999999</v>
      </c>
      <c r="V9703">
        <v>-3.0913909999999999E-2</v>
      </c>
      <c r="W9703">
        <v>-1.127861E-2</v>
      </c>
      <c r="X9703">
        <v>0.99945839999999997</v>
      </c>
      <c r="Y9703">
        <v>-0.27171499999999998</v>
      </c>
      <c r="Z9703">
        <v>-3.3830770000000003E-2</v>
      </c>
      <c r="AA9703">
        <v>0.9617829</v>
      </c>
      <c r="AB9703">
        <v>27</v>
      </c>
      <c r="AC9703">
        <v>4.3900000000000103</v>
      </c>
      <c r="AD9703">
        <v>-1.1157937570809999</v>
      </c>
      <c r="AE9703">
        <v>27.440429999999999</v>
      </c>
      <c r="AF9703">
        <v>-7.5770333176389002</v>
      </c>
      <c r="AG9703">
        <v>-1.1157937570809999</v>
      </c>
      <c r="AH9703">
        <v>26.6899584447306</v>
      </c>
      <c r="AI9703">
        <v>92.302997231333606</v>
      </c>
      <c r="AJ9703">
        <v>105.848755873142</v>
      </c>
      <c r="AK9703">
        <v>27.767072430963999</v>
      </c>
      <c r="AL9703">
        <v>90.646230462739496</v>
      </c>
      <c r="AM9703">
        <v>91.7716315601172</v>
      </c>
      <c r="AN9703">
        <v>0.99999998510278898</v>
      </c>
    </row>
    <row r="9704" spans="1:40" x14ac:dyDescent="0.25">
      <c r="A9704" t="str">
        <f>"20190312154141976"</f>
        <v>20190312154141976</v>
      </c>
      <c r="B9704" t="str">
        <f>"1552376501965715"</f>
        <v>1552376501965715</v>
      </c>
      <c r="C9704" t="s">
        <v>40</v>
      </c>
      <c r="D9704">
        <v>4.2559329999999997</v>
      </c>
      <c r="E9704">
        <v>0.40448659999999997</v>
      </c>
      <c r="F9704" t="s">
        <v>42</v>
      </c>
      <c r="G9704">
        <v>-184.98099999999999</v>
      </c>
      <c r="H9704" s="1">
        <v>-1.4507449999999999E-6</v>
      </c>
      <c r="I9704">
        <v>-10.01309</v>
      </c>
      <c r="J9704">
        <v>-189.38800000000001</v>
      </c>
      <c r="K9704">
        <v>1.115974</v>
      </c>
      <c r="L9704">
        <v>-38.567140000000002</v>
      </c>
      <c r="M9704">
        <v>0.4159117</v>
      </c>
      <c r="N9704">
        <v>0</v>
      </c>
      <c r="O9704">
        <v>0.90930679999999997</v>
      </c>
      <c r="P9704">
        <v>0.3878412</v>
      </c>
      <c r="Q9704">
        <v>-2.3451079999999999E-2</v>
      </c>
      <c r="R9704">
        <v>0.92142780000000002</v>
      </c>
      <c r="S9704">
        <v>0.47717290000000001</v>
      </c>
      <c r="T9704">
        <v>-0.1186656</v>
      </c>
      <c r="U9704">
        <v>3.0566409999999999</v>
      </c>
      <c r="V9704">
        <v>-3.041613E-2</v>
      </c>
      <c r="W9704">
        <v>-1.054332E-2</v>
      </c>
      <c r="X9704">
        <v>0.99948170000000003</v>
      </c>
      <c r="Y9704">
        <v>-0.27078970000000002</v>
      </c>
      <c r="Z9704">
        <v>-3.2658189999999997E-2</v>
      </c>
      <c r="AA9704">
        <v>0.96208439999999995</v>
      </c>
      <c r="AB9704">
        <v>27</v>
      </c>
      <c r="AC9704">
        <v>4.4070000000000098</v>
      </c>
      <c r="AD9704">
        <v>-1.1159754507449999</v>
      </c>
      <c r="AE9704">
        <v>28.55405</v>
      </c>
      <c r="AF9704">
        <v>-7.8576281052992503</v>
      </c>
      <c r="AG9704">
        <v>-1.1159754507449999</v>
      </c>
      <c r="AH9704">
        <v>27.758383628281599</v>
      </c>
      <c r="AI9704">
        <v>92.215279974916299</v>
      </c>
      <c r="AJ9704">
        <v>105.805345651004</v>
      </c>
      <c r="AK9704">
        <v>28.8706699316574</v>
      </c>
      <c r="AL9704">
        <v>90.604098939209294</v>
      </c>
      <c r="AM9704">
        <v>91.743081639264801</v>
      </c>
      <c r="AN9704">
        <v>0.99999998559784398</v>
      </c>
    </row>
    <row r="9705" spans="1:40" x14ac:dyDescent="0.25">
      <c r="A9705" t="str">
        <f>"20190312154141998"</f>
        <v>20190312154141998</v>
      </c>
      <c r="B9705" t="str">
        <f>"1552376501985236"</f>
        <v>1552376501985236</v>
      </c>
      <c r="C9705" t="s">
        <v>40</v>
      </c>
      <c r="D9705">
        <v>4.2312900000000004</v>
      </c>
      <c r="E9705">
        <v>0.40451429999999999</v>
      </c>
      <c r="F9705" t="s">
        <v>42</v>
      </c>
      <c r="G9705">
        <v>-184.9384</v>
      </c>
      <c r="H9705" s="1">
        <v>-1.8402139999999999E-6</v>
      </c>
      <c r="I9705">
        <v>-8.9019009999999898</v>
      </c>
      <c r="J9705">
        <v>-189.28800000000001</v>
      </c>
      <c r="K9705">
        <v>1.1162080000000001</v>
      </c>
      <c r="L9705">
        <v>-38.326720000000002</v>
      </c>
      <c r="M9705">
        <v>0.40832220000000002</v>
      </c>
      <c r="N9705">
        <v>0</v>
      </c>
      <c r="O9705">
        <v>0.91273499999999996</v>
      </c>
      <c r="P9705">
        <v>0.38074360000000002</v>
      </c>
      <c r="Q9705">
        <v>-2.2754099999999999E-2</v>
      </c>
      <c r="R9705">
        <v>0.92440069999999996</v>
      </c>
      <c r="S9705">
        <v>0.45893859999999997</v>
      </c>
      <c r="T9705">
        <v>-0.1151025</v>
      </c>
      <c r="U9705">
        <v>3.0596920000000001</v>
      </c>
      <c r="V9705">
        <v>-2.9795430000000001E-2</v>
      </c>
      <c r="W9705">
        <v>-9.5186400000000001E-3</v>
      </c>
      <c r="X9705">
        <v>0.99951069999999997</v>
      </c>
      <c r="Y9705">
        <v>-0.26851599999999998</v>
      </c>
      <c r="Z9705">
        <v>-3.1860989999999999E-2</v>
      </c>
      <c r="AA9705">
        <v>0.96274820000000005</v>
      </c>
      <c r="AB9705">
        <v>27</v>
      </c>
      <c r="AC9705">
        <v>4.3495999999999801</v>
      </c>
      <c r="AD9705">
        <v>-1.1162098402139999</v>
      </c>
      <c r="AE9705">
        <v>29.424818999999999</v>
      </c>
      <c r="AF9705">
        <v>-8.0342160859729397</v>
      </c>
      <c r="AG9705">
        <v>-1.1162098402139999</v>
      </c>
      <c r="AH9705">
        <v>28.5955201076289</v>
      </c>
      <c r="AI9705">
        <v>92.152126237921095</v>
      </c>
      <c r="AJ9705">
        <v>105.693273710594</v>
      </c>
      <c r="AK9705">
        <v>29.723699681387401</v>
      </c>
      <c r="AL9705">
        <v>90.545386131500806</v>
      </c>
      <c r="AM9705">
        <v>91.707482448763798</v>
      </c>
      <c r="AN9705">
        <v>1.0000000057854099</v>
      </c>
    </row>
    <row r="9706" spans="1:40" x14ac:dyDescent="0.25">
      <c r="A9706" t="str">
        <f>"20190312154142015"</f>
        <v>20190312154142015</v>
      </c>
      <c r="B9706" t="str">
        <f>"1552376502005731"</f>
        <v>1552376502005731</v>
      </c>
      <c r="C9706" t="s">
        <v>40</v>
      </c>
      <c r="D9706">
        <v>4.2150990000000004</v>
      </c>
      <c r="E9706">
        <v>0.40471289999999999</v>
      </c>
      <c r="F9706" t="s">
        <v>42</v>
      </c>
      <c r="G9706">
        <v>-184.83699999999999</v>
      </c>
      <c r="H9706" s="1">
        <v>-2.5021530000000001E-6</v>
      </c>
      <c r="I9706">
        <v>-7.0360369999999897</v>
      </c>
      <c r="J9706">
        <v>-189.21199999999999</v>
      </c>
      <c r="K9706">
        <v>1.116393</v>
      </c>
      <c r="L9706">
        <v>-38.139220000000002</v>
      </c>
      <c r="M9706">
        <v>0.40218989999999999</v>
      </c>
      <c r="N9706">
        <v>0</v>
      </c>
      <c r="O9706">
        <v>0.91545019999999999</v>
      </c>
      <c r="P9706">
        <v>0.37490059999999997</v>
      </c>
      <c r="Q9706">
        <v>-2.2490110000000001E-2</v>
      </c>
      <c r="R9706">
        <v>0.92679210000000001</v>
      </c>
      <c r="S9706">
        <v>0.43573000000000001</v>
      </c>
      <c r="T9706">
        <v>-0.1092703</v>
      </c>
      <c r="U9706">
        <v>3.0631710000000001</v>
      </c>
      <c r="V9706">
        <v>-2.9407610000000001E-2</v>
      </c>
      <c r="W9706">
        <v>-9.0276420000000007E-3</v>
      </c>
      <c r="X9706">
        <v>0.99952669999999999</v>
      </c>
      <c r="Y9706">
        <v>-0.2693506</v>
      </c>
      <c r="Z9706">
        <v>-3.0366919999999999E-2</v>
      </c>
      <c r="AA9706">
        <v>0.96256330000000001</v>
      </c>
      <c r="AB9706">
        <v>27</v>
      </c>
      <c r="AC9706">
        <v>4.375</v>
      </c>
      <c r="AD9706">
        <v>-1.1163955021530001</v>
      </c>
      <c r="AE9706">
        <v>31.103183000000001</v>
      </c>
      <c r="AF9706">
        <v>-8.4943861550683408</v>
      </c>
      <c r="AG9706">
        <v>-1.1163955021530001</v>
      </c>
      <c r="AH9706">
        <v>30.197782359352399</v>
      </c>
      <c r="AI9706">
        <v>92.038198738217801</v>
      </c>
      <c r="AJ9706">
        <v>105.71085298883899</v>
      </c>
      <c r="AK9706">
        <v>31.3896001008528</v>
      </c>
      <c r="AL9706">
        <v>90.517252829730594</v>
      </c>
      <c r="AM9706">
        <v>91.685243642690097</v>
      </c>
      <c r="AN9706">
        <v>0.99999996492943999</v>
      </c>
    </row>
    <row r="9707" spans="1:40" x14ac:dyDescent="0.25">
      <c r="A9707" t="str">
        <f>"20190312154142033"</f>
        <v>20190312154142033</v>
      </c>
      <c r="B9707" t="str">
        <f>"1552376502025758"</f>
        <v>1552376502025758</v>
      </c>
      <c r="C9707" t="s">
        <v>40</v>
      </c>
      <c r="D9707">
        <v>4.2842019999999996</v>
      </c>
      <c r="E9707">
        <v>0.40504400000000002</v>
      </c>
      <c r="F9707" t="s">
        <v>42</v>
      </c>
      <c r="G9707">
        <v>-184.82839999999999</v>
      </c>
      <c r="H9707" s="1">
        <v>-2.8635589999999999E-6</v>
      </c>
      <c r="I9707">
        <v>-5.980772</v>
      </c>
      <c r="J9707">
        <v>-189.13130000000001</v>
      </c>
      <c r="K9707">
        <v>1.1165750000000001</v>
      </c>
      <c r="L9707">
        <v>-37.935760000000002</v>
      </c>
      <c r="M9707">
        <v>0.39535579999999998</v>
      </c>
      <c r="N9707">
        <v>0</v>
      </c>
      <c r="O9707">
        <v>0.91841890000000004</v>
      </c>
      <c r="P9707">
        <v>0.3686586</v>
      </c>
      <c r="Q9707">
        <v>-2.1408099999999999E-2</v>
      </c>
      <c r="R9707">
        <v>0.92931830000000004</v>
      </c>
      <c r="S9707">
        <v>0.41784670000000002</v>
      </c>
      <c r="T9707">
        <v>-0.1064157</v>
      </c>
      <c r="U9707">
        <v>3.065369</v>
      </c>
      <c r="V9707">
        <v>-2.8710630000000001E-2</v>
      </c>
      <c r="W9707">
        <v>-7.7171100000000001E-3</v>
      </c>
      <c r="X9707">
        <v>0.99955799999999995</v>
      </c>
      <c r="Y9707">
        <v>-0.26777600000000001</v>
      </c>
      <c r="Z9707">
        <v>-2.9722970000000001E-2</v>
      </c>
      <c r="AA9707">
        <v>0.96302259999999995</v>
      </c>
      <c r="AB9707">
        <v>27</v>
      </c>
      <c r="AC9707">
        <v>4.3029000000000197</v>
      </c>
      <c r="AD9707">
        <v>-1.116577863559</v>
      </c>
      <c r="AE9707">
        <v>31.954988</v>
      </c>
      <c r="AF9707">
        <v>-8.6721958838870492</v>
      </c>
      <c r="AG9707">
        <v>-1.116577863559</v>
      </c>
      <c r="AH9707">
        <v>31.0151609858043</v>
      </c>
      <c r="AI9707">
        <v>91.985717750222307</v>
      </c>
      <c r="AJ9707">
        <v>105.621603570269</v>
      </c>
      <c r="AK9707">
        <v>32.224120446480001</v>
      </c>
      <c r="AL9707">
        <v>90.442162210923996</v>
      </c>
      <c r="AM9707">
        <v>91.645272970051295</v>
      </c>
      <c r="AN9707">
        <v>1.00000002471287</v>
      </c>
    </row>
    <row r="9708" spans="1:40" x14ac:dyDescent="0.25">
      <c r="A9708" t="str">
        <f>"20190312154142056"</f>
        <v>20190312154142056</v>
      </c>
      <c r="B9708" t="str">
        <f>"1552376502045278"</f>
        <v>1552376502045278</v>
      </c>
      <c r="C9708" t="s">
        <v>40</v>
      </c>
      <c r="D9708">
        <v>4.2520490000000004</v>
      </c>
      <c r="E9708">
        <v>0.40540920000000003</v>
      </c>
      <c r="F9708" t="s">
        <v>42</v>
      </c>
      <c r="G9708">
        <v>-184.78059999999999</v>
      </c>
      <c r="H9708" s="1">
        <v>-3.426287E-6</v>
      </c>
      <c r="I9708">
        <v>-4.5385929999999997</v>
      </c>
      <c r="J9708">
        <v>-189.03120000000001</v>
      </c>
      <c r="K9708">
        <v>1.1167879999999999</v>
      </c>
      <c r="L9708">
        <v>-37.676360000000003</v>
      </c>
      <c r="M9708">
        <v>0.3863762</v>
      </c>
      <c r="N9708">
        <v>0</v>
      </c>
      <c r="O9708">
        <v>0.92222850000000001</v>
      </c>
      <c r="P9708">
        <v>0.35997610000000002</v>
      </c>
      <c r="Q9708">
        <v>-1.9977089999999999E-2</v>
      </c>
      <c r="R9708">
        <v>0.93274769999999896</v>
      </c>
      <c r="S9708">
        <v>0.39958189999999999</v>
      </c>
      <c r="T9708">
        <v>-0.1025498</v>
      </c>
      <c r="U9708">
        <v>3.067291</v>
      </c>
      <c r="V9708">
        <v>-2.8317749999999999E-2</v>
      </c>
      <c r="W9708">
        <v>-6.0324719999999997E-3</v>
      </c>
      <c r="X9708">
        <v>0.99958069999999999</v>
      </c>
      <c r="Y9708">
        <v>-0.26408680000000001</v>
      </c>
      <c r="Z9708">
        <v>-2.8840850000000001E-2</v>
      </c>
      <c r="AA9708">
        <v>0.96406760000000002</v>
      </c>
      <c r="AB9708">
        <v>27</v>
      </c>
      <c r="AC9708">
        <v>4.2506000000000199</v>
      </c>
      <c r="AD9708">
        <v>-1.11679142628699</v>
      </c>
      <c r="AE9708">
        <v>33.137766999999997</v>
      </c>
      <c r="AF9708">
        <v>-8.8746276390873895</v>
      </c>
      <c r="AG9708">
        <v>-1.11679142628699</v>
      </c>
      <c r="AH9708">
        <v>32.170326621436899</v>
      </c>
      <c r="AI9708">
        <v>91.916684841523704</v>
      </c>
      <c r="AJ9708">
        <v>105.42225197975201</v>
      </c>
      <c r="AK9708">
        <v>33.390659678302498</v>
      </c>
      <c r="AL9708">
        <v>90.345637305920306</v>
      </c>
      <c r="AM9708">
        <v>91.622734129499406</v>
      </c>
      <c r="AN9708">
        <v>0.99999993074798899</v>
      </c>
    </row>
    <row r="9709" spans="1:40" x14ac:dyDescent="0.25">
      <c r="A9709" t="str">
        <f>"20190312154142077"</f>
        <v>20190312154142077</v>
      </c>
      <c r="B9709" t="str">
        <f>"1552376502065774"</f>
        <v>1552376502065774</v>
      </c>
      <c r="C9709" t="s">
        <v>40</v>
      </c>
      <c r="D9709">
        <v>4.2966439999999997</v>
      </c>
      <c r="E9709">
        <v>0.40589229999999998</v>
      </c>
      <c r="F9709" t="s">
        <v>42</v>
      </c>
      <c r="G9709">
        <v>-184.82550000000001</v>
      </c>
      <c r="H9709" s="1">
        <v>-4.0249500000000003E-6</v>
      </c>
      <c r="I9709">
        <v>-3.124514</v>
      </c>
      <c r="J9709">
        <v>-188.94470000000001</v>
      </c>
      <c r="K9709">
        <v>1.1169739999999999</v>
      </c>
      <c r="L9709">
        <v>-37.444890000000001</v>
      </c>
      <c r="M9709">
        <v>0.37808419999999998</v>
      </c>
      <c r="N9709">
        <v>0</v>
      </c>
      <c r="O9709">
        <v>0.92565560000000002</v>
      </c>
      <c r="P9709">
        <v>0.35207690000000003</v>
      </c>
      <c r="Q9709">
        <v>-1.9114590000000001E-2</v>
      </c>
      <c r="R9709">
        <v>0.93577589999999999</v>
      </c>
      <c r="S9709">
        <v>0.37367250000000002</v>
      </c>
      <c r="T9709">
        <v>-9.9227430000000005E-2</v>
      </c>
      <c r="U9709">
        <v>3.0699459999999998</v>
      </c>
      <c r="V9709">
        <v>-2.7822199999999998E-2</v>
      </c>
      <c r="W9709">
        <v>-4.9685440000000001E-3</v>
      </c>
      <c r="X9709">
        <v>0.9996005</v>
      </c>
      <c r="Y9709">
        <v>-0.26354519999999998</v>
      </c>
      <c r="Z9709">
        <v>-2.8062030000000002E-2</v>
      </c>
      <c r="AA9709">
        <v>0.96423879999999995</v>
      </c>
      <c r="AB9709">
        <v>27</v>
      </c>
      <c r="AC9709">
        <v>4.1192000000000002</v>
      </c>
      <c r="AD9709">
        <v>-1.1169780249500001</v>
      </c>
      <c r="AE9709">
        <v>34.320376000000003</v>
      </c>
      <c r="AF9709">
        <v>-9.1544533174827194</v>
      </c>
      <c r="AG9709">
        <v>-1.1169780249500001</v>
      </c>
      <c r="AH9709">
        <v>33.295054060559202</v>
      </c>
      <c r="AI9709">
        <v>91.852726485660895</v>
      </c>
      <c r="AJ9709">
        <v>105.373552971077</v>
      </c>
      <c r="AK9709">
        <v>34.548694336338599</v>
      </c>
      <c r="AL9709">
        <v>90.284677784080102</v>
      </c>
      <c r="AM9709">
        <v>91.594320113879903</v>
      </c>
      <c r="AN9709">
        <v>0.99999996042128403</v>
      </c>
    </row>
    <row r="9710" spans="1:40" x14ac:dyDescent="0.25">
      <c r="A9710" t="str">
        <f>"20190312154142091"</f>
        <v>20190312154142091</v>
      </c>
      <c r="B9710" t="str">
        <f>"1552376502085295"</f>
        <v>1552376502085295</v>
      </c>
      <c r="C9710" t="s">
        <v>40</v>
      </c>
      <c r="D9710">
        <v>4.2711519999999998</v>
      </c>
      <c r="E9710">
        <v>0.40652169999999999</v>
      </c>
      <c r="F9710" t="s">
        <v>42</v>
      </c>
      <c r="G9710">
        <v>-184.94120000000001</v>
      </c>
      <c r="H9710" s="1">
        <v>-4.2957500000000003E-6</v>
      </c>
      <c r="I9710">
        <v>-2.4454600000000002</v>
      </c>
      <c r="J9710">
        <v>-188.88839999999999</v>
      </c>
      <c r="K9710">
        <v>1.117094</v>
      </c>
      <c r="L9710">
        <v>-37.289520000000003</v>
      </c>
      <c r="M9710">
        <v>0.3723592</v>
      </c>
      <c r="N9710">
        <v>0</v>
      </c>
      <c r="O9710">
        <v>0.9279714</v>
      </c>
      <c r="P9710">
        <v>0.34645160000000003</v>
      </c>
      <c r="Q9710">
        <v>-1.8967350000000001E-2</v>
      </c>
      <c r="R9710">
        <v>0.93787609999999999</v>
      </c>
      <c r="S9710">
        <v>0.35136410000000001</v>
      </c>
      <c r="T9710">
        <v>-9.8030329999999999E-2</v>
      </c>
      <c r="U9710">
        <v>3.0716860000000001</v>
      </c>
      <c r="V9710">
        <v>-2.7655409999999998E-2</v>
      </c>
      <c r="W9710">
        <v>-4.7021420000000003E-3</v>
      </c>
      <c r="X9710">
        <v>0.99960640000000001</v>
      </c>
      <c r="Y9710">
        <v>-0.26455830000000002</v>
      </c>
      <c r="Z9710">
        <v>-2.7823210000000001E-2</v>
      </c>
      <c r="AA9710">
        <v>0.96396820000000005</v>
      </c>
      <c r="AB9710">
        <v>27</v>
      </c>
      <c r="AC9710">
        <v>3.9471999999999801</v>
      </c>
      <c r="AD9710">
        <v>-1.11709829575</v>
      </c>
      <c r="AE9710">
        <v>34.844059999999999</v>
      </c>
      <c r="AF9710">
        <v>-9.3031903326310594</v>
      </c>
      <c r="AG9710">
        <v>-1.11709829575</v>
      </c>
      <c r="AH9710">
        <v>33.773473786602501</v>
      </c>
      <c r="AI9710">
        <v>91.826458281455402</v>
      </c>
      <c r="AJ9710">
        <v>105.400671349417</v>
      </c>
      <c r="AK9710">
        <v>35.049176746135601</v>
      </c>
      <c r="AL9710">
        <v>90.269413899327802</v>
      </c>
      <c r="AM9710">
        <v>91.584757938720898</v>
      </c>
      <c r="AN9710">
        <v>0.99999994338130604</v>
      </c>
    </row>
    <row r="9711" spans="1:40" x14ac:dyDescent="0.25">
      <c r="A9711" t="str">
        <f>"20190312154142104"</f>
        <v>20190312154142104</v>
      </c>
      <c r="B9711" t="str">
        <f>"1552376502096030"</f>
        <v>1552376502096030</v>
      </c>
      <c r="C9711" t="s">
        <v>40</v>
      </c>
      <c r="D9711">
        <v>4.2712300000000001</v>
      </c>
      <c r="E9711">
        <v>0.40681040000000002</v>
      </c>
      <c r="F9711" t="s">
        <v>42</v>
      </c>
      <c r="G9711">
        <v>-185.04949999999999</v>
      </c>
      <c r="H9711" s="1">
        <v>-4.3145120000000003E-6</v>
      </c>
      <c r="I9711">
        <v>-2.3569529999999999</v>
      </c>
      <c r="J9711">
        <v>-188.83459999999999</v>
      </c>
      <c r="K9711">
        <v>1.1172029999999999</v>
      </c>
      <c r="L9711">
        <v>-37.138489999999997</v>
      </c>
      <c r="M9711">
        <v>0.36672460000000001</v>
      </c>
      <c r="N9711">
        <v>0</v>
      </c>
      <c r="O9711">
        <v>0.9302108</v>
      </c>
      <c r="P9711">
        <v>0.34099010000000002</v>
      </c>
      <c r="Q9711">
        <v>-1.890389E-2</v>
      </c>
      <c r="R9711">
        <v>0.93987679999999996</v>
      </c>
      <c r="S9711">
        <v>0.33760069999999998</v>
      </c>
      <c r="T9711">
        <v>-9.8239300000000002E-2</v>
      </c>
      <c r="U9711">
        <v>3.0720209999999999</v>
      </c>
      <c r="V9711">
        <v>-2.741091E-2</v>
      </c>
      <c r="W9711">
        <v>-4.528018E-3</v>
      </c>
      <c r="X9711">
        <v>0.999614</v>
      </c>
      <c r="Y9711">
        <v>-0.26298759999999999</v>
      </c>
      <c r="Z9711">
        <v>-2.7998240000000001E-2</v>
      </c>
      <c r="AA9711">
        <v>0.9643929</v>
      </c>
      <c r="AB9711">
        <v>27</v>
      </c>
      <c r="AC9711">
        <v>3.7850999999999999</v>
      </c>
      <c r="AD9711">
        <v>-1.1172073145119901</v>
      </c>
      <c r="AE9711">
        <v>34.781537</v>
      </c>
      <c r="AF9711">
        <v>-9.2259172734990607</v>
      </c>
      <c r="AG9711">
        <v>-1.1172073145119901</v>
      </c>
      <c r="AH9711">
        <v>33.711604190390503</v>
      </c>
      <c r="AI9711">
        <v>91.830820874956004</v>
      </c>
      <c r="AJ9711">
        <v>105.305480413974</v>
      </c>
      <c r="AK9711">
        <v>34.969100057201899</v>
      </c>
      <c r="AL9711">
        <v>90.259437206214102</v>
      </c>
      <c r="AM9711">
        <v>91.570742292521103</v>
      </c>
      <c r="AN9711">
        <v>1.00000000496501</v>
      </c>
    </row>
    <row r="9712" spans="1:40" x14ac:dyDescent="0.25">
      <c r="A9712" t="str">
        <f>"20190312154142122"</f>
        <v>20190312154142122</v>
      </c>
      <c r="B9712" t="str">
        <f>"1552376502115550"</f>
        <v>1552376502115550</v>
      </c>
      <c r="C9712" t="s">
        <v>40</v>
      </c>
      <c r="D9712">
        <v>4.3037169999999998</v>
      </c>
      <c r="E9712">
        <v>0.40744399999999997</v>
      </c>
      <c r="F9712" t="s">
        <v>42</v>
      </c>
      <c r="G9712">
        <v>-185.19929999999999</v>
      </c>
      <c r="H9712" s="1">
        <v>-4.253185E-6</v>
      </c>
      <c r="I9712">
        <v>-2.4379529999999998</v>
      </c>
      <c r="J9712">
        <v>-188.76580000000001</v>
      </c>
      <c r="K9712">
        <v>1.117345</v>
      </c>
      <c r="L9712">
        <v>-36.940860000000001</v>
      </c>
      <c r="M9712">
        <v>0.35923139999999998</v>
      </c>
      <c r="N9712">
        <v>0</v>
      </c>
      <c r="O9712">
        <v>0.93312790000000001</v>
      </c>
      <c r="P9712">
        <v>0.333756099999999</v>
      </c>
      <c r="Q9712">
        <v>-1.8716670000000001E-2</v>
      </c>
      <c r="R9712">
        <v>0.94247360000000002</v>
      </c>
      <c r="S9712">
        <v>0.32194519999999999</v>
      </c>
      <c r="T9712">
        <v>-9.8941210000000002E-2</v>
      </c>
      <c r="U9712">
        <v>3.0731199999999999</v>
      </c>
      <c r="V9712">
        <v>-2.7061080000000001E-2</v>
      </c>
      <c r="W9712">
        <v>-4.2064579999999997E-3</v>
      </c>
      <c r="X9712">
        <v>0.99962490000000004</v>
      </c>
      <c r="Y9712">
        <v>-0.2601231</v>
      </c>
      <c r="Z9712">
        <v>-2.834623E-2</v>
      </c>
      <c r="AA9712">
        <v>0.96515930000000005</v>
      </c>
      <c r="AB9712">
        <v>27</v>
      </c>
      <c r="AC9712">
        <v>3.5665000000000102</v>
      </c>
      <c r="AD9712">
        <v>-1.117349253185</v>
      </c>
      <c r="AE9712">
        <v>34.502907</v>
      </c>
      <c r="AF9712">
        <v>-9.0581484630284397</v>
      </c>
      <c r="AG9712">
        <v>-1.117349253185</v>
      </c>
      <c r="AH9712">
        <v>33.445887676457197</v>
      </c>
      <c r="AI9712">
        <v>91.846919378108396</v>
      </c>
      <c r="AJ9712">
        <v>105.15388804677499</v>
      </c>
      <c r="AK9712">
        <v>34.668803345342802</v>
      </c>
      <c r="AL9712">
        <v>90.241013008448704</v>
      </c>
      <c r="AM9712">
        <v>91.550688744166905</v>
      </c>
      <c r="AN9712">
        <v>0.99999996851983997</v>
      </c>
    </row>
    <row r="9713" spans="1:40" x14ac:dyDescent="0.25">
      <c r="A9713" t="str">
        <f>"20190312154142135"</f>
        <v>20190312154142135</v>
      </c>
      <c r="B9713" t="str">
        <f>"1552376502125311"</f>
        <v>1552376502125311</v>
      </c>
      <c r="C9713" t="s">
        <v>40</v>
      </c>
      <c r="D9713">
        <v>4.2589790000000001</v>
      </c>
      <c r="E9713">
        <v>0.40766459999999999</v>
      </c>
      <c r="F9713" t="s">
        <v>42</v>
      </c>
      <c r="G9713">
        <v>-185.40700000000001</v>
      </c>
      <c r="H9713" s="1">
        <v>-4.0362800000000001E-6</v>
      </c>
      <c r="I9713">
        <v>-2.8576779999999999</v>
      </c>
      <c r="J9713">
        <v>-188.71549999999999</v>
      </c>
      <c r="K9713">
        <v>1.1174360000000001</v>
      </c>
      <c r="L9713">
        <v>-36.792909999999999</v>
      </c>
      <c r="M9713">
        <v>0.3535374</v>
      </c>
      <c r="N9713">
        <v>0</v>
      </c>
      <c r="O9713">
        <v>0.93529859999999998</v>
      </c>
      <c r="P9713">
        <v>0.32791880000000001</v>
      </c>
      <c r="Q9713">
        <v>-1.86711E-2</v>
      </c>
      <c r="R9713">
        <v>0.94452139999999996</v>
      </c>
      <c r="S9713">
        <v>0.30291750000000001</v>
      </c>
      <c r="T9713">
        <v>-0.1007701</v>
      </c>
      <c r="U9713">
        <v>3.0738530000000002</v>
      </c>
      <c r="V9713">
        <v>-2.7155479999999999E-2</v>
      </c>
      <c r="W9713">
        <v>-4.0750910000000003E-3</v>
      </c>
      <c r="X9713">
        <v>0.99962289999999998</v>
      </c>
      <c r="Y9713">
        <v>-0.260177299999999</v>
      </c>
      <c r="Z9713">
        <v>-2.8975890000000001E-2</v>
      </c>
      <c r="AA9713">
        <v>0.96512600000000004</v>
      </c>
      <c r="AB9713">
        <v>27</v>
      </c>
      <c r="AC9713">
        <v>3.30849999999998</v>
      </c>
      <c r="AD9713">
        <v>-1.1174400362799899</v>
      </c>
      <c r="AE9713">
        <v>33.935231999999999</v>
      </c>
      <c r="AF9713">
        <v>-8.8943993160582693</v>
      </c>
      <c r="AG9713">
        <v>-1.1174400362799899</v>
      </c>
      <c r="AH9713">
        <v>32.877689658234999</v>
      </c>
      <c r="AI9713">
        <v>91.879110101993405</v>
      </c>
      <c r="AJ9713">
        <v>105.137871430925</v>
      </c>
      <c r="AK9713">
        <v>34.077873887485801</v>
      </c>
      <c r="AL9713">
        <v>90.233486165318993</v>
      </c>
      <c r="AM9713">
        <v>91.556098630957194</v>
      </c>
      <c r="AN9713">
        <v>0.999999984332549</v>
      </c>
    </row>
    <row r="9714" spans="1:40" x14ac:dyDescent="0.25">
      <c r="A9714" t="str">
        <f>"20190312154142149"</f>
        <v>20190312154142149</v>
      </c>
      <c r="B9714" t="str">
        <f>"1552376502145806"</f>
        <v>1552376502145806</v>
      </c>
      <c r="C9714" t="s">
        <v>40</v>
      </c>
      <c r="D9714">
        <v>4.3960249999999998</v>
      </c>
      <c r="E9714">
        <v>0.40776319999999999</v>
      </c>
      <c r="F9714" t="s">
        <v>42</v>
      </c>
      <c r="G9714">
        <v>-185.55080000000001</v>
      </c>
      <c r="H9714" s="1">
        <v>-4.0737259999999999E-6</v>
      </c>
      <c r="I9714">
        <v>-2.7109489999999998</v>
      </c>
      <c r="J9714">
        <v>-188.6662</v>
      </c>
      <c r="K9714">
        <v>1.117523</v>
      </c>
      <c r="L9714">
        <v>-36.643680000000003</v>
      </c>
      <c r="M9714">
        <v>0.34770089999999998</v>
      </c>
      <c r="N9714">
        <v>0</v>
      </c>
      <c r="O9714">
        <v>0.9374827</v>
      </c>
      <c r="P9714">
        <v>0.32194669999999997</v>
      </c>
      <c r="Q9714">
        <v>-1.899996E-2</v>
      </c>
      <c r="R9714">
        <v>0.94656709999999999</v>
      </c>
      <c r="S9714">
        <v>0.28553770000000001</v>
      </c>
      <c r="T9714">
        <v>-0.10082199999999999</v>
      </c>
      <c r="U9714">
        <v>3.0750730000000002</v>
      </c>
      <c r="V9714">
        <v>-2.7231709999999999E-2</v>
      </c>
      <c r="W9714">
        <v>-4.3259049999999997E-3</v>
      </c>
      <c r="X9714">
        <v>0.99961979999999995</v>
      </c>
      <c r="Y9714">
        <v>-0.25960220000000001</v>
      </c>
      <c r="Z9714">
        <v>-2.909484E-2</v>
      </c>
      <c r="AA9714">
        <v>0.9652773</v>
      </c>
      <c r="AB9714">
        <v>27</v>
      </c>
      <c r="AC9714">
        <v>3.11539999999999</v>
      </c>
      <c r="AD9714">
        <v>-1.1175270737259999</v>
      </c>
      <c r="AE9714">
        <v>33.932730999999997</v>
      </c>
      <c r="AF9714">
        <v>-8.8692904147635598</v>
      </c>
      <c r="AG9714">
        <v>-1.1175270737259999</v>
      </c>
      <c r="AH9714">
        <v>32.863017636901603</v>
      </c>
      <c r="AI9714">
        <v>91.880399131921195</v>
      </c>
      <c r="AJ9714">
        <v>105.103522849573</v>
      </c>
      <c r="AK9714">
        <v>34.057174096293302</v>
      </c>
      <c r="AL9714">
        <v>90.247856869142893</v>
      </c>
      <c r="AM9714">
        <v>91.560469541668596</v>
      </c>
      <c r="AN9714">
        <v>1.0000000120178101</v>
      </c>
    </row>
    <row r="9715" spans="1:40" x14ac:dyDescent="0.25">
      <c r="A9715" t="str">
        <f>"20190312154142169"</f>
        <v>20190312154142169</v>
      </c>
      <c r="B9715" t="str">
        <f>"1552376502165327"</f>
        <v>1552376502165327</v>
      </c>
      <c r="C9715" t="s">
        <v>40</v>
      </c>
      <c r="D9715">
        <v>4.4259320000000004</v>
      </c>
      <c r="E9715">
        <v>0.4076553</v>
      </c>
      <c r="F9715" t="s">
        <v>42</v>
      </c>
      <c r="G9715">
        <v>-185.76840000000001</v>
      </c>
      <c r="H9715" s="1">
        <v>-3.8054539999999998E-6</v>
      </c>
      <c r="I9715">
        <v>-3.2463150000000001</v>
      </c>
      <c r="J9715">
        <v>-188.5967</v>
      </c>
      <c r="K9715">
        <v>1.117637</v>
      </c>
      <c r="L9715">
        <v>-36.428190000000001</v>
      </c>
      <c r="M9715">
        <v>0.3391631</v>
      </c>
      <c r="N9715">
        <v>0</v>
      </c>
      <c r="O9715">
        <v>0.94060330000000003</v>
      </c>
      <c r="P9715">
        <v>0.31311820000000001</v>
      </c>
      <c r="Q9715">
        <v>-1.9173510000000001E-2</v>
      </c>
      <c r="R9715">
        <v>0.94952060000000005</v>
      </c>
      <c r="S9715">
        <v>0.26693729999999999</v>
      </c>
      <c r="T9715">
        <v>-0.1029437</v>
      </c>
      <c r="U9715">
        <v>3.0764770000000001</v>
      </c>
      <c r="V9715">
        <v>-2.744858E-2</v>
      </c>
      <c r="W9715">
        <v>-4.3982409999999998E-3</v>
      </c>
      <c r="X9715">
        <v>0.99961350000000004</v>
      </c>
      <c r="Y9715">
        <v>-0.25665320000000003</v>
      </c>
      <c r="Z9715">
        <v>-2.9868140000000001E-2</v>
      </c>
      <c r="AA9715">
        <v>0.96604190000000001</v>
      </c>
      <c r="AB9715">
        <v>27</v>
      </c>
      <c r="AC9715">
        <v>2.8282999999999801</v>
      </c>
      <c r="AD9715">
        <v>-1.1176408054539999</v>
      </c>
      <c r="AE9715">
        <v>33.181874999999998</v>
      </c>
      <c r="AF9715">
        <v>-8.5850946662340295</v>
      </c>
      <c r="AG9715">
        <v>-1.1176408054539999</v>
      </c>
      <c r="AH9715">
        <v>32.137800662283396</v>
      </c>
      <c r="AI9715">
        <v>91.924321253947696</v>
      </c>
      <c r="AJ9715">
        <v>104.956405206528</v>
      </c>
      <c r="AK9715">
        <v>33.2834974545477</v>
      </c>
      <c r="AL9715">
        <v>90.252001469335895</v>
      </c>
      <c r="AM9715">
        <v>91.572900619763701</v>
      </c>
      <c r="AN9715">
        <v>0.999999959225079</v>
      </c>
    </row>
    <row r="9716" spans="1:40" x14ac:dyDescent="0.25">
      <c r="A9716" t="str">
        <f>"20190312154142183"</f>
        <v>20190312154142183</v>
      </c>
      <c r="B9716" t="str">
        <f>"1552376502176062"</f>
        <v>1552376502176062</v>
      </c>
      <c r="C9716" t="s">
        <v>40</v>
      </c>
      <c r="D9716">
        <v>4.4353590000000001</v>
      </c>
      <c r="E9716">
        <v>0.40758440000000001</v>
      </c>
      <c r="F9716" t="s">
        <v>42</v>
      </c>
      <c r="G9716">
        <v>-186.07900000000001</v>
      </c>
      <c r="H9716" s="1">
        <v>-3.5261649999999999E-6</v>
      </c>
      <c r="I9716">
        <v>-3.7689180000000002</v>
      </c>
      <c r="J9716">
        <v>-188.54089999999999</v>
      </c>
      <c r="K9716">
        <v>1.117723</v>
      </c>
      <c r="L9716">
        <v>-36.24991</v>
      </c>
      <c r="M9716">
        <v>0.3319935</v>
      </c>
      <c r="N9716">
        <v>0</v>
      </c>
      <c r="O9716">
        <v>0.94315640000000001</v>
      </c>
      <c r="P9716">
        <v>0.30595090000000003</v>
      </c>
      <c r="Q9716">
        <v>-1.9443180000000001E-2</v>
      </c>
      <c r="R9716">
        <v>0.95184869999999999</v>
      </c>
      <c r="S9716">
        <v>0.23736570000000001</v>
      </c>
      <c r="T9716">
        <v>-0.10537059999999999</v>
      </c>
      <c r="U9716">
        <v>3.0791019999999998</v>
      </c>
      <c r="V9716">
        <v>-2.7369910000000001E-2</v>
      </c>
      <c r="W9716">
        <v>-4.58772E-3</v>
      </c>
      <c r="X9716">
        <v>0.99961480000000003</v>
      </c>
      <c r="Y9716">
        <v>-0.2585847</v>
      </c>
      <c r="Z9716">
        <v>-3.0677010000000001E-2</v>
      </c>
      <c r="AA9716">
        <v>0.96550139999999995</v>
      </c>
      <c r="AB9716">
        <v>27</v>
      </c>
      <c r="AC9716">
        <v>2.46189999999998</v>
      </c>
      <c r="AD9716">
        <v>-1.117726526165</v>
      </c>
      <c r="AE9716">
        <v>32.480992000000001</v>
      </c>
      <c r="AF9716">
        <v>-8.4525694009172092</v>
      </c>
      <c r="AG9716">
        <v>-1.117726526165</v>
      </c>
      <c r="AH9716">
        <v>31.418714871451598</v>
      </c>
      <c r="AI9716">
        <v>91.967547675537404</v>
      </c>
      <c r="AJ9716">
        <v>105.057749161448</v>
      </c>
      <c r="AK9716">
        <v>32.555043944651501</v>
      </c>
      <c r="AL9716">
        <v>90.262857927816299</v>
      </c>
      <c r="AM9716">
        <v>91.568392766991394</v>
      </c>
      <c r="AN9716">
        <v>0.99999995376362205</v>
      </c>
    </row>
    <row r="9717" spans="1:40" x14ac:dyDescent="0.25">
      <c r="A9717" t="str">
        <f>"20190312154142202"</f>
        <v>20190312154142202</v>
      </c>
      <c r="B9717" t="str">
        <f>"1552376502195583"</f>
        <v>1552376502195583</v>
      </c>
      <c r="C9717" t="s">
        <v>40</v>
      </c>
      <c r="D9717">
        <v>4.6652769999999997</v>
      </c>
      <c r="E9717">
        <v>0.40750599999999998</v>
      </c>
      <c r="F9717" t="s">
        <v>42</v>
      </c>
      <c r="G9717">
        <v>-186.3272</v>
      </c>
      <c r="H9717" s="1">
        <v>-3.2437840000000002E-6</v>
      </c>
      <c r="I9717">
        <v>-4.3245089999999999</v>
      </c>
      <c r="J9717">
        <v>-188.4837</v>
      </c>
      <c r="K9717">
        <v>1.117804</v>
      </c>
      <c r="L9717">
        <v>-36.062190000000001</v>
      </c>
      <c r="M9717">
        <v>0.32435310000000001</v>
      </c>
      <c r="N9717">
        <v>0</v>
      </c>
      <c r="O9717">
        <v>0.94580980000000003</v>
      </c>
      <c r="P9717">
        <v>0.29860500000000001</v>
      </c>
      <c r="Q9717">
        <v>-1.9869560000000001E-2</v>
      </c>
      <c r="R9717">
        <v>0.95416990000000002</v>
      </c>
      <c r="S9717">
        <v>0.21362300000000001</v>
      </c>
      <c r="T9717">
        <v>-0.1078641</v>
      </c>
      <c r="U9717">
        <v>3.080902</v>
      </c>
      <c r="V9717">
        <v>-2.6979010000000001E-2</v>
      </c>
      <c r="W9717">
        <v>-4.9308939999999999E-3</v>
      </c>
      <c r="X9717">
        <v>0.99962379999999995</v>
      </c>
      <c r="Y9717">
        <v>-0.25821660000000002</v>
      </c>
      <c r="Z9717">
        <v>-3.1531389999999999E-2</v>
      </c>
      <c r="AA9717">
        <v>0.9655724</v>
      </c>
      <c r="AB9717">
        <v>27</v>
      </c>
      <c r="AC9717">
        <v>2.1564999999999901</v>
      </c>
      <c r="AD9717">
        <v>-1.1178072437839901</v>
      </c>
      <c r="AE9717">
        <v>31.737680999999998</v>
      </c>
      <c r="AF9717">
        <v>-8.24538144744748</v>
      </c>
      <c r="AG9717">
        <v>-1.1178072437839901</v>
      </c>
      <c r="AH9717">
        <v>30.6830605887628</v>
      </c>
      <c r="AI9717">
        <v>92.014980972771298</v>
      </c>
      <c r="AJ9717">
        <v>105.041597174809</v>
      </c>
      <c r="AK9717">
        <v>31.791288356118098</v>
      </c>
      <c r="AL9717">
        <v>90.282520571275299</v>
      </c>
      <c r="AM9717">
        <v>91.545989849864398</v>
      </c>
      <c r="AN9717">
        <v>0.99999996111132905</v>
      </c>
    </row>
    <row r="9718" spans="1:40" x14ac:dyDescent="0.25">
      <c r="A9718" t="str">
        <f>"20190312154142224"</f>
        <v>20190312154142224</v>
      </c>
      <c r="B9718" t="str">
        <f>"1552376502216078"</f>
        <v>1552376502216078</v>
      </c>
      <c r="C9718" t="s">
        <v>40</v>
      </c>
      <c r="D9718">
        <v>4.4139809999999997</v>
      </c>
      <c r="E9718">
        <v>0.40754000000000001</v>
      </c>
      <c r="F9718" t="s">
        <v>42</v>
      </c>
      <c r="G9718">
        <v>-186.5487</v>
      </c>
      <c r="H9718" s="1">
        <v>-3.111724E-6</v>
      </c>
      <c r="I9718">
        <v>-4.5407869999999999</v>
      </c>
      <c r="J9718">
        <v>-188.40430000000001</v>
      </c>
      <c r="K9718">
        <v>1.117904</v>
      </c>
      <c r="L9718">
        <v>-35.789760000000001</v>
      </c>
      <c r="M9718">
        <v>0.31309920000000002</v>
      </c>
      <c r="N9718">
        <v>0</v>
      </c>
      <c r="O9718">
        <v>0.94959289999999996</v>
      </c>
      <c r="P9718">
        <v>0.28720210000000002</v>
      </c>
      <c r="Q9718">
        <v>-2.049496E-2</v>
      </c>
      <c r="R9718">
        <v>0.95765069999999997</v>
      </c>
      <c r="S9718">
        <v>0.1892395</v>
      </c>
      <c r="T9718">
        <v>-0.10931399999999999</v>
      </c>
      <c r="U9718">
        <v>3.0825809999999998</v>
      </c>
      <c r="V9718">
        <v>-2.7018500000000001E-2</v>
      </c>
      <c r="W9718">
        <v>-5.4603949999999998E-3</v>
      </c>
      <c r="X9718">
        <v>0.99961999999999995</v>
      </c>
      <c r="Y9718">
        <v>-0.25438569999999999</v>
      </c>
      <c r="Z9718">
        <v>-3.216227E-2</v>
      </c>
      <c r="AA9718">
        <v>0.96656790000000004</v>
      </c>
      <c r="AB9718">
        <v>27</v>
      </c>
      <c r="AC9718">
        <v>1.8555999999999999</v>
      </c>
      <c r="AD9718">
        <v>-1.117907111724</v>
      </c>
      <c r="AE9718">
        <v>31.248972999999999</v>
      </c>
      <c r="AF9718">
        <v>-8.0127169672615501</v>
      </c>
      <c r="AG9718">
        <v>-1.117907111724</v>
      </c>
      <c r="AH9718">
        <v>30.219915159655699</v>
      </c>
      <c r="AI9718">
        <v>92.047843559319801</v>
      </c>
      <c r="AJ9718">
        <v>104.85009149539199</v>
      </c>
      <c r="AK9718">
        <v>31.284127313458399</v>
      </c>
      <c r="AL9718">
        <v>90.3128591489954</v>
      </c>
      <c r="AM9718">
        <v>91.548257544489601</v>
      </c>
      <c r="AN9718">
        <v>0.99999997982790201</v>
      </c>
    </row>
    <row r="9719" spans="1:40" x14ac:dyDescent="0.25">
      <c r="A9719" t="str">
        <f>"20190312154142248"</f>
        <v>20190312154142248</v>
      </c>
      <c r="B9719" t="str">
        <f>"1552376502235598"</f>
        <v>1552376502235598</v>
      </c>
      <c r="C9719" t="s">
        <v>40</v>
      </c>
      <c r="D9719">
        <v>4.4019940000000002</v>
      </c>
      <c r="E9719">
        <v>0.4076864</v>
      </c>
      <c r="F9719" t="s">
        <v>42</v>
      </c>
      <c r="G9719">
        <v>-186.90989999999999</v>
      </c>
      <c r="H9719" s="1">
        <v>-2.5997740000000002E-6</v>
      </c>
      <c r="I9719">
        <v>-5.5847879999999996</v>
      </c>
      <c r="J9719">
        <v>-188.33269999999999</v>
      </c>
      <c r="K9719">
        <v>1.1179829999999999</v>
      </c>
      <c r="L9719">
        <v>-35.533140000000003</v>
      </c>
      <c r="M9719">
        <v>0.30235129999999999</v>
      </c>
      <c r="N9719">
        <v>0</v>
      </c>
      <c r="O9719">
        <v>0.95306820000000003</v>
      </c>
      <c r="P9719">
        <v>0.27611619999999998</v>
      </c>
      <c r="Q9719">
        <v>-2.09886E-2</v>
      </c>
      <c r="R9719">
        <v>0.9608951</v>
      </c>
      <c r="S9719">
        <v>0.15260309999999999</v>
      </c>
      <c r="T9719">
        <v>-0.11415839999999899</v>
      </c>
      <c r="U9719">
        <v>3.084473</v>
      </c>
      <c r="V9719">
        <v>-2.7264859999999998E-2</v>
      </c>
      <c r="W9719">
        <v>-5.8799840000000004E-3</v>
      </c>
      <c r="X9719">
        <v>0.99961100000000003</v>
      </c>
      <c r="Y9719">
        <v>-0.25494410000000001</v>
      </c>
      <c r="Z9719">
        <v>-3.3763699999999897E-2</v>
      </c>
      <c r="AA9719">
        <v>0.96636619999999995</v>
      </c>
      <c r="AB9719">
        <v>27</v>
      </c>
      <c r="AC9719">
        <v>1.4227999999999901</v>
      </c>
      <c r="AD9719">
        <v>-1.117985599774</v>
      </c>
      <c r="AE9719">
        <v>29.948352</v>
      </c>
      <c r="AF9719">
        <v>-7.6891486672702998</v>
      </c>
      <c r="AG9719">
        <v>-1.117985599774</v>
      </c>
      <c r="AH9719">
        <v>28.936319056127498</v>
      </c>
      <c r="AI9719">
        <v>92.138444896613507</v>
      </c>
      <c r="AJ9719">
        <v>104.88111758573901</v>
      </c>
      <c r="AK9719">
        <v>29.961366116161901</v>
      </c>
      <c r="AL9719">
        <v>90.336900191637497</v>
      </c>
      <c r="AM9719">
        <v>91.562381955768402</v>
      </c>
      <c r="AN9719">
        <v>1.0000000490618199</v>
      </c>
    </row>
    <row r="9720" spans="1:40" x14ac:dyDescent="0.25">
      <c r="A9720" t="str">
        <f>"20190312154142267"</f>
        <v>20190312154142267</v>
      </c>
      <c r="B9720" t="str">
        <f>"1552376502256094"</f>
        <v>1552376502256094</v>
      </c>
      <c r="C9720" t="s">
        <v>40</v>
      </c>
      <c r="D9720">
        <v>4.3890060000000002</v>
      </c>
      <c r="E9720">
        <v>0.40783809999999998</v>
      </c>
      <c r="F9720" t="s">
        <v>42</v>
      </c>
      <c r="G9720">
        <v>-187.21629999999999</v>
      </c>
      <c r="H9720" s="1">
        <v>-2.2247859999999999E-6</v>
      </c>
      <c r="I9720">
        <v>-6.3321949999999996</v>
      </c>
      <c r="J9720">
        <v>-188.27260000000001</v>
      </c>
      <c r="K9720">
        <v>1.118044</v>
      </c>
      <c r="L9720">
        <v>-35.308169999999997</v>
      </c>
      <c r="M9720">
        <v>0.29282059999999999</v>
      </c>
      <c r="N9720">
        <v>0</v>
      </c>
      <c r="O9720">
        <v>0.95603839999999995</v>
      </c>
      <c r="P9720">
        <v>0.26678570000000001</v>
      </c>
      <c r="Q9720">
        <v>-2.174193E-2</v>
      </c>
      <c r="R9720">
        <v>0.96351059999999999</v>
      </c>
      <c r="S9720">
        <v>0.11796570000000001</v>
      </c>
      <c r="T9720">
        <v>-0.1181363</v>
      </c>
      <c r="U9720">
        <v>3.0856319999999999</v>
      </c>
      <c r="V9720">
        <v>-2.6959210000000001E-2</v>
      </c>
      <c r="W9720">
        <v>-6.5670219999999996E-3</v>
      </c>
      <c r="X9720">
        <v>0.99961500000000003</v>
      </c>
      <c r="Y9720">
        <v>-0.25613609999999998</v>
      </c>
      <c r="Z9720">
        <v>-3.5096370000000002E-2</v>
      </c>
      <c r="AA9720">
        <v>0.96600339999999996</v>
      </c>
      <c r="AB9720">
        <v>27</v>
      </c>
      <c r="AC9720">
        <v>1.05630000000002</v>
      </c>
      <c r="AD9720">
        <v>-1.1180462247859999</v>
      </c>
      <c r="AE9720">
        <v>28.975974999999998</v>
      </c>
      <c r="AF9720">
        <v>-7.4647222160634001</v>
      </c>
      <c r="AG9720">
        <v>-1.1180462247859999</v>
      </c>
      <c r="AH9720">
        <v>27.9733145904403</v>
      </c>
      <c r="AI9720">
        <v>92.211492445178607</v>
      </c>
      <c r="AJ9720">
        <v>104.941306215867</v>
      </c>
      <c r="AK9720">
        <v>28.9737542320544</v>
      </c>
      <c r="AL9720">
        <v>90.376265335323396</v>
      </c>
      <c r="AM9720">
        <v>91.544869385322002</v>
      </c>
      <c r="AN9720">
        <v>1.0000000365033801</v>
      </c>
    </row>
    <row r="9721" spans="1:40" x14ac:dyDescent="0.25">
      <c r="A9721" t="str">
        <f>"20190312154142283"</f>
        <v>20190312154142283</v>
      </c>
      <c r="B9721" t="str">
        <f>"1552376502275614"</f>
        <v>1552376502275614</v>
      </c>
      <c r="C9721" t="s">
        <v>40</v>
      </c>
      <c r="D9721">
        <v>4.3003109999999998</v>
      </c>
      <c r="E9721">
        <v>0.40791660000000002</v>
      </c>
      <c r="F9721" t="s">
        <v>42</v>
      </c>
      <c r="G9721">
        <v>-187.45050000000001</v>
      </c>
      <c r="H9721" s="1">
        <v>-1.9665729999999998E-6</v>
      </c>
      <c r="I9721">
        <v>-6.8372460000000004</v>
      </c>
      <c r="J9721">
        <v>-188.22890000000001</v>
      </c>
      <c r="K9721">
        <v>1.118088</v>
      </c>
      <c r="L9721">
        <v>-35.138579999999997</v>
      </c>
      <c r="M9721">
        <v>0.28557080000000001</v>
      </c>
      <c r="N9721">
        <v>0</v>
      </c>
      <c r="O9721">
        <v>0.95822819999999997</v>
      </c>
      <c r="P9721">
        <v>0.25949879999999997</v>
      </c>
      <c r="Q9721">
        <v>-2.226711E-2</v>
      </c>
      <c r="R9721">
        <v>0.96548670000000003</v>
      </c>
      <c r="S9721">
        <v>8.9111330000000002E-2</v>
      </c>
      <c r="T9721">
        <v>-0.12119480000000001</v>
      </c>
      <c r="U9721">
        <v>3.0862120000000002</v>
      </c>
      <c r="V9721">
        <v>-2.692671E-2</v>
      </c>
      <c r="W9721">
        <v>-7.0508109999999997E-3</v>
      </c>
      <c r="X9721">
        <v>0.99961259999999996</v>
      </c>
      <c r="Y9721">
        <v>-0.25784319999999999</v>
      </c>
      <c r="Z9721">
        <v>-3.612104E-2</v>
      </c>
      <c r="AA9721">
        <v>0.96551129999999996</v>
      </c>
      <c r="AB9721">
        <v>27</v>
      </c>
      <c r="AC9721">
        <v>0.77840000000000398</v>
      </c>
      <c r="AD9721">
        <v>-1.118089966573</v>
      </c>
      <c r="AE9721">
        <v>28.301334000000001</v>
      </c>
      <c r="AF9721">
        <v>-7.3256347317505304</v>
      </c>
      <c r="AG9721">
        <v>-1.118089966573</v>
      </c>
      <c r="AH9721">
        <v>27.302235715964201</v>
      </c>
      <c r="AI9721">
        <v>92.265054947920106</v>
      </c>
      <c r="AJ9721">
        <v>105.01962265218</v>
      </c>
      <c r="AK9721">
        <v>28.290053454994599</v>
      </c>
      <c r="AL9721">
        <v>90.403985037204606</v>
      </c>
      <c r="AM9721">
        <v>91.5430116104923</v>
      </c>
      <c r="AN9721">
        <v>1.00000005586296</v>
      </c>
    </row>
    <row r="9722" spans="1:40" x14ac:dyDescent="0.25">
      <c r="A9722" t="str">
        <f>"20190312154142301"</f>
        <v>20190312154142301</v>
      </c>
      <c r="B9722" t="str">
        <f>"1552376502296110"</f>
        <v>1552376502296110</v>
      </c>
      <c r="C9722" t="s">
        <v>40</v>
      </c>
      <c r="D9722">
        <v>4.3250820000000001</v>
      </c>
      <c r="E9722">
        <v>0.4079931</v>
      </c>
      <c r="F9722" t="s">
        <v>42</v>
      </c>
      <c r="G9722">
        <v>-187.6249</v>
      </c>
      <c r="H9722" s="1">
        <v>-1.827375E-6</v>
      </c>
      <c r="I9722">
        <v>-7.0896299999999997</v>
      </c>
      <c r="J9722">
        <v>-188.17619999999999</v>
      </c>
      <c r="K9722">
        <v>1.1181410000000001</v>
      </c>
      <c r="L9722">
        <v>-34.92606</v>
      </c>
      <c r="M9722">
        <v>0.27640429999999999</v>
      </c>
      <c r="N9722">
        <v>0</v>
      </c>
      <c r="O9722">
        <v>0.96091150000000003</v>
      </c>
      <c r="P9722">
        <v>0.25147360000000002</v>
      </c>
      <c r="Q9722">
        <v>-2.3028079999999999E-2</v>
      </c>
      <c r="R9722">
        <v>0.96759019999999996</v>
      </c>
      <c r="S9722">
        <v>6.6467289999999998E-2</v>
      </c>
      <c r="T9722">
        <v>-0.1230363</v>
      </c>
      <c r="U9722">
        <v>3.0865480000000001</v>
      </c>
      <c r="V9722">
        <v>-2.5658190000000001E-2</v>
      </c>
      <c r="W9722">
        <v>-7.7404379999999997E-3</v>
      </c>
      <c r="X9722">
        <v>0.9996408</v>
      </c>
      <c r="Y9722">
        <v>-0.25569570000000003</v>
      </c>
      <c r="Z9722">
        <v>-3.6838959999999997E-2</v>
      </c>
      <c r="AA9722">
        <v>0.9660552</v>
      </c>
      <c r="AB9722">
        <v>26</v>
      </c>
      <c r="AC9722">
        <v>0.55129999999999701</v>
      </c>
      <c r="AD9722">
        <v>-1.118142827375</v>
      </c>
      <c r="AE9722">
        <v>27.83643</v>
      </c>
      <c r="AF9722">
        <v>-7.1537153083909004</v>
      </c>
      <c r="AG9722">
        <v>-1.118142827375</v>
      </c>
      <c r="AH9722">
        <v>26.860764579275902</v>
      </c>
      <c r="AI9722">
        <v>92.303493753556396</v>
      </c>
      <c r="AJ9722">
        <v>104.913183402808</v>
      </c>
      <c r="AK9722">
        <v>27.819535579861899</v>
      </c>
      <c r="AL9722">
        <v>90.443498860795799</v>
      </c>
      <c r="AM9722">
        <v>91.470311417282801</v>
      </c>
      <c r="AN9722">
        <v>0.99999999305957299</v>
      </c>
    </row>
    <row r="9723" spans="1:40" x14ac:dyDescent="0.25">
      <c r="A9723" t="str">
        <f>"20190312154142316"</f>
        <v>20190312154142316</v>
      </c>
      <c r="B9723" t="str">
        <f>"1552376502305871"</f>
        <v>1552376502305871</v>
      </c>
      <c r="C9723" t="s">
        <v>40</v>
      </c>
      <c r="D9723">
        <v>4.3176370000000004</v>
      </c>
      <c r="E9723">
        <v>0.40800009999999998</v>
      </c>
      <c r="F9723" t="s">
        <v>42</v>
      </c>
      <c r="G9723">
        <v>-187.7987</v>
      </c>
      <c r="H9723" s="1">
        <v>-1.9579119999999998E-6</v>
      </c>
      <c r="I9723">
        <v>-6.7134799999999997</v>
      </c>
      <c r="J9723">
        <v>-188.1353</v>
      </c>
      <c r="K9723">
        <v>1.1181810000000001</v>
      </c>
      <c r="L9723">
        <v>-34.754939999999998</v>
      </c>
      <c r="M9723">
        <v>0.26896239999999999</v>
      </c>
      <c r="N9723">
        <v>0</v>
      </c>
      <c r="O9723">
        <v>0.96302049999999995</v>
      </c>
      <c r="P9723">
        <v>0.2444731</v>
      </c>
      <c r="Q9723">
        <v>-2.292516E-2</v>
      </c>
      <c r="R9723">
        <v>0.96938500000000005</v>
      </c>
      <c r="S9723">
        <v>4.1305540000000002E-2</v>
      </c>
      <c r="T9723">
        <v>-0.12234059999999999</v>
      </c>
      <c r="U9723">
        <v>3.0868530000000001</v>
      </c>
      <c r="V9723">
        <v>-2.5153419999999999E-2</v>
      </c>
      <c r="W9723">
        <v>-7.5932639999999997E-3</v>
      </c>
      <c r="X9723">
        <v>0.99965479999999995</v>
      </c>
      <c r="Y9723">
        <v>-0.25609110000000002</v>
      </c>
      <c r="Z9723">
        <v>-3.6752180000000002E-2</v>
      </c>
      <c r="AA9723">
        <v>0.96595379999999997</v>
      </c>
      <c r="AB9723">
        <v>26</v>
      </c>
      <c r="AC9723">
        <v>0.33660000000000401</v>
      </c>
      <c r="AD9723">
        <v>-1.118182957912</v>
      </c>
      <c r="AE9723">
        <v>28.041460000000001</v>
      </c>
      <c r="AF9723">
        <v>-7.2073919548114702</v>
      </c>
      <c r="AG9723">
        <v>-1.118182957912</v>
      </c>
      <c r="AH9723">
        <v>27.055416545221799</v>
      </c>
      <c r="AI9723">
        <v>92.286982214264</v>
      </c>
      <c r="AJ9723">
        <v>104.916813562953</v>
      </c>
      <c r="AK9723">
        <v>28.021284702045801</v>
      </c>
      <c r="AL9723">
        <v>90.435066145289696</v>
      </c>
      <c r="AM9723">
        <v>91.4413783324067</v>
      </c>
      <c r="AN9723">
        <v>1.0000000356794501</v>
      </c>
    </row>
    <row r="9724" spans="1:40" x14ac:dyDescent="0.25">
      <c r="A9724" t="str">
        <f>"20190312154142337"</f>
        <v>20190312154142337</v>
      </c>
      <c r="B9724" t="str">
        <f>"1552376502325400"</f>
        <v>1552376502325400</v>
      </c>
      <c r="C9724" t="s">
        <v>40</v>
      </c>
      <c r="D9724">
        <v>4.2601170000000002</v>
      </c>
      <c r="E9724">
        <v>0.40801939999999998</v>
      </c>
      <c r="F9724" t="s">
        <v>42</v>
      </c>
      <c r="G9724">
        <v>-187.95650000000001</v>
      </c>
      <c r="H9724" s="1">
        <v>-2.2832509999999999E-6</v>
      </c>
      <c r="I9724">
        <v>-5.889856</v>
      </c>
      <c r="J9724">
        <v>-188.08430000000001</v>
      </c>
      <c r="K9724">
        <v>1.1182399999999999</v>
      </c>
      <c r="L9724">
        <v>-34.531489999999998</v>
      </c>
      <c r="M9724">
        <v>0.25915379999999999</v>
      </c>
      <c r="N9724">
        <v>0</v>
      </c>
      <c r="O9724">
        <v>0.96570549999999999</v>
      </c>
      <c r="P9724">
        <v>0.23597090000000001</v>
      </c>
      <c r="Q9724">
        <v>-2.1928779999999998E-2</v>
      </c>
      <c r="R9724">
        <v>0.97151270000000001</v>
      </c>
      <c r="S9724">
        <v>1.9119259999999999E-2</v>
      </c>
      <c r="T9724">
        <v>-0.1195888</v>
      </c>
      <c r="U9724">
        <v>3.087097</v>
      </c>
      <c r="V9724">
        <v>-2.377075E-2</v>
      </c>
      <c r="W9724">
        <v>-6.5280310000000001E-3</v>
      </c>
      <c r="X9724">
        <v>0.99969609999999998</v>
      </c>
      <c r="Y9724">
        <v>-0.25320100000000001</v>
      </c>
      <c r="Z9724">
        <v>-3.609503E-2</v>
      </c>
      <c r="AA9724">
        <v>0.96674009999999999</v>
      </c>
      <c r="AB9724">
        <v>26</v>
      </c>
      <c r="AC9724">
        <v>0.12780000000000699</v>
      </c>
      <c r="AD9724">
        <v>-1.1182422832509999</v>
      </c>
      <c r="AE9724">
        <v>28.641634</v>
      </c>
      <c r="AF9724">
        <v>-7.2889811876466499</v>
      </c>
      <c r="AG9724">
        <v>-1.1182422832509999</v>
      </c>
      <c r="AH9724">
        <v>27.653843481257798</v>
      </c>
      <c r="AI9724">
        <v>92.239219794671001</v>
      </c>
      <c r="AJ9724">
        <v>104.766142388901</v>
      </c>
      <c r="AK9724">
        <v>28.620181198654599</v>
      </c>
      <c r="AL9724">
        <v>90.374031289641707</v>
      </c>
      <c r="AM9724">
        <v>91.362121005289197</v>
      </c>
      <c r="AN9724">
        <v>0.99999997804975405</v>
      </c>
    </row>
    <row r="9725" spans="1:40" x14ac:dyDescent="0.25">
      <c r="A9725" t="str">
        <f>"20190312154142358"</f>
        <v>20190312154142358</v>
      </c>
      <c r="B9725" t="str">
        <f>"1552376502345886"</f>
        <v>1552376502345886</v>
      </c>
      <c r="C9725" t="s">
        <v>40</v>
      </c>
      <c r="D9725">
        <v>4.3230230000000001</v>
      </c>
      <c r="E9725">
        <v>0.41198089999999998</v>
      </c>
      <c r="F9725" t="s">
        <v>42</v>
      </c>
      <c r="G9725">
        <v>-188.15940000000001</v>
      </c>
      <c r="H9725" s="1">
        <v>-3.035284E-6</v>
      </c>
      <c r="I9725">
        <v>-4.0529330000000003</v>
      </c>
      <c r="J9725">
        <v>-188.03129999999999</v>
      </c>
      <c r="K9725">
        <v>1.1183110000000001</v>
      </c>
      <c r="L9725">
        <v>-34.286929999999998</v>
      </c>
      <c r="M9725">
        <v>0.24829860000000001</v>
      </c>
      <c r="N9725">
        <v>0</v>
      </c>
      <c r="O9725">
        <v>0.96855259999999999</v>
      </c>
      <c r="P9725">
        <v>0.22633020000000001</v>
      </c>
      <c r="Q9725">
        <v>-2.096781E-2</v>
      </c>
      <c r="R9725">
        <v>0.97382489999999999</v>
      </c>
      <c r="S9725">
        <v>-7.6141359999999996E-3</v>
      </c>
      <c r="T9725">
        <v>-0.1132697</v>
      </c>
      <c r="U9725">
        <v>3.08725</v>
      </c>
      <c r="V9725">
        <v>-2.2483800000000002E-2</v>
      </c>
      <c r="W9725">
        <v>-5.5006029999999997E-3</v>
      </c>
      <c r="X9725">
        <v>0.99973210000000001</v>
      </c>
      <c r="Y9725">
        <v>-0.2507141</v>
      </c>
      <c r="Z9725">
        <v>-3.4356709999999999E-2</v>
      </c>
      <c r="AA9725">
        <v>0.96745130000000001</v>
      </c>
      <c r="AB9725">
        <v>26</v>
      </c>
      <c r="AC9725">
        <v>-0.12810000000001701</v>
      </c>
      <c r="AD9725">
        <v>-1.118314035284</v>
      </c>
      <c r="AE9725">
        <v>30.233996999999999</v>
      </c>
      <c r="AF9725">
        <v>-7.62167131261769</v>
      </c>
      <c r="AG9725">
        <v>-1.118314035284</v>
      </c>
      <c r="AH9725">
        <v>29.215149867331</v>
      </c>
      <c r="AI9725">
        <v>92.121202982323695</v>
      </c>
      <c r="AJ9725">
        <v>104.621476022409</v>
      </c>
      <c r="AK9725">
        <v>30.2136638236693</v>
      </c>
      <c r="AL9725">
        <v>90.315162918158904</v>
      </c>
      <c r="AM9725">
        <v>91.288354871865096</v>
      </c>
      <c r="AN9725">
        <v>1.0000000248331</v>
      </c>
    </row>
    <row r="9726" spans="1:40" x14ac:dyDescent="0.25">
      <c r="A9726" t="str">
        <f>"20190312154142380"</f>
        <v>20190312154142380</v>
      </c>
      <c r="B9726" t="str">
        <f>"1552376502376143"</f>
        <v>1552376502376143</v>
      </c>
      <c r="C9726" t="s">
        <v>40</v>
      </c>
      <c r="D9726">
        <v>4.3201900000000002</v>
      </c>
      <c r="E9726">
        <v>0.41338910000000001</v>
      </c>
      <c r="F9726" t="s">
        <v>54</v>
      </c>
      <c r="G9726">
        <v>-188.34870000000001</v>
      </c>
      <c r="H9726" s="1">
        <v>1.6891109999999999E-6</v>
      </c>
      <c r="I9726">
        <v>294.43439999999998</v>
      </c>
      <c r="J9726">
        <v>-187.98150000000001</v>
      </c>
      <c r="K9726">
        <v>1.1183780000000001</v>
      </c>
      <c r="L9726">
        <v>-34.042969999999997</v>
      </c>
      <c r="M9726">
        <v>0.2373402</v>
      </c>
      <c r="N9726">
        <v>0</v>
      </c>
      <c r="O9726">
        <v>0.97129540000000003</v>
      </c>
      <c r="P9726">
        <v>0.21686240000000001</v>
      </c>
      <c r="Q9726">
        <v>-2.1537480000000001E-2</v>
      </c>
      <c r="R9726">
        <v>0.97596450000000001</v>
      </c>
      <c r="S9726">
        <v>-2.9754640000000001E-3</v>
      </c>
      <c r="T9726">
        <v>-1.048195E-2</v>
      </c>
      <c r="U9726">
        <v>3.0811160000000002</v>
      </c>
      <c r="V9726">
        <v>-2.0883869999999999E-2</v>
      </c>
      <c r="W9726">
        <v>-6.0014780000000002E-3</v>
      </c>
      <c r="X9726">
        <v>0.99976390000000004</v>
      </c>
      <c r="Y9726">
        <v>-0.2383084</v>
      </c>
      <c r="Z9726">
        <v>-3.2071209999999998E-3</v>
      </c>
      <c r="AA9726">
        <v>0.9711843</v>
      </c>
      <c r="AB9726">
        <v>26</v>
      </c>
      <c r="AC9726">
        <v>-0.36719999999999597</v>
      </c>
      <c r="AD9726">
        <v>-1.1183763108889999</v>
      </c>
      <c r="AE9726">
        <v>328.47737000000001</v>
      </c>
      <c r="AF9726">
        <v>-78.3266189033437</v>
      </c>
      <c r="AG9726">
        <v>-1.1183763108889999</v>
      </c>
      <c r="AH9726">
        <v>318.99836476301601</v>
      </c>
      <c r="AI9726">
        <v>90.195077967409304</v>
      </c>
      <c r="AJ9726">
        <v>103.79544418351701</v>
      </c>
      <c r="AK9726">
        <v>328.47567142161398</v>
      </c>
      <c r="AL9726">
        <v>90.343861422812097</v>
      </c>
      <c r="AM9726">
        <v>91.196666153197299</v>
      </c>
      <c r="AN9726">
        <v>1.00000000475378</v>
      </c>
    </row>
    <row r="9727" spans="1:40" x14ac:dyDescent="0.25">
      <c r="A9727" t="str">
        <f>"20190312154142403"</f>
        <v>20190312154142403</v>
      </c>
      <c r="B9727" t="str">
        <f>"1552376502395663"</f>
        <v>1552376502395663</v>
      </c>
      <c r="C9727" t="s">
        <v>40</v>
      </c>
      <c r="D9727">
        <v>4.3006419999999999</v>
      </c>
      <c r="E9727">
        <v>0.41447830000000002</v>
      </c>
      <c r="F9727" t="s">
        <v>55</v>
      </c>
      <c r="G9727">
        <v>-189.3126</v>
      </c>
      <c r="H9727" s="1">
        <v>-1.123032E-5</v>
      </c>
      <c r="I9727">
        <v>150.893</v>
      </c>
      <c r="J9727">
        <v>-187.9315</v>
      </c>
      <c r="K9727">
        <v>1.118439</v>
      </c>
      <c r="L9727">
        <v>-33.781309999999998</v>
      </c>
      <c r="M9727">
        <v>0.22546769999999999</v>
      </c>
      <c r="N9727">
        <v>0</v>
      </c>
      <c r="O9727">
        <v>0.97411919999999996</v>
      </c>
      <c r="P9727">
        <v>0.20654890000000001</v>
      </c>
      <c r="Q9727">
        <v>-2.2672330000000001E-2</v>
      </c>
      <c r="R9727">
        <v>0.97817359999999998</v>
      </c>
      <c r="S9727">
        <v>-2.215576E-2</v>
      </c>
      <c r="T9727">
        <v>-1.8616440000000001E-2</v>
      </c>
      <c r="U9727">
        <v>3.0783999999999998</v>
      </c>
      <c r="V9727">
        <v>-1.920612E-2</v>
      </c>
      <c r="W9727">
        <v>-7.0665659999999998E-3</v>
      </c>
      <c r="X9727">
        <v>0.99979050000000003</v>
      </c>
      <c r="Y9727">
        <v>-0.23250219999999999</v>
      </c>
      <c r="Z9727">
        <v>-5.7306989999999997E-3</v>
      </c>
      <c r="AA9727">
        <v>0.97257899999999997</v>
      </c>
      <c r="AB9727">
        <v>26</v>
      </c>
      <c r="AC9727">
        <v>-1.3811</v>
      </c>
      <c r="AD9727">
        <v>-1.1184502303199999</v>
      </c>
      <c r="AE9727">
        <v>184.67430999999999</v>
      </c>
      <c r="AF9727">
        <v>-42.987376393246301</v>
      </c>
      <c r="AG9727">
        <v>-1.1184502303199999</v>
      </c>
      <c r="AH9727">
        <v>179.59981057287101</v>
      </c>
      <c r="AI9727">
        <v>90.347001446113197</v>
      </c>
      <c r="AJ9727">
        <v>103.46056295631</v>
      </c>
      <c r="AK9727">
        <v>184.67608783462799</v>
      </c>
      <c r="AL9727">
        <v>90.404887806564204</v>
      </c>
      <c r="AM9727">
        <v>91.100524843020693</v>
      </c>
      <c r="AN9727">
        <v>0.99999992764536505</v>
      </c>
    </row>
    <row r="9728" spans="1:40" x14ac:dyDescent="0.25">
      <c r="A9728" t="str">
        <f>"20190312154142425"</f>
        <v>20190312154142425</v>
      </c>
      <c r="B9728" t="str">
        <f>"1552376502416158"</f>
        <v>1552376502416158</v>
      </c>
      <c r="C9728" t="s">
        <v>40</v>
      </c>
      <c r="D9728">
        <v>4.2998219999999998</v>
      </c>
      <c r="E9728">
        <v>0.41575129999999999</v>
      </c>
      <c r="F9728" t="s">
        <v>55</v>
      </c>
      <c r="G9728">
        <v>-190.2842</v>
      </c>
      <c r="H9728" s="1">
        <v>-1.831341E-6</v>
      </c>
      <c r="I9728">
        <v>122.7985</v>
      </c>
      <c r="J9728">
        <v>-187.88550000000001</v>
      </c>
      <c r="K9728">
        <v>1.118485</v>
      </c>
      <c r="L9728">
        <v>-33.523040000000002</v>
      </c>
      <c r="M9728">
        <v>0.21363470000000001</v>
      </c>
      <c r="N9728">
        <v>0</v>
      </c>
      <c r="O9728">
        <v>0.97678200000000004</v>
      </c>
      <c r="P9728">
        <v>0.1961136</v>
      </c>
      <c r="Q9728">
        <v>-2.3036020000000001E-2</v>
      </c>
      <c r="R9728">
        <v>0.98031060000000003</v>
      </c>
      <c r="S9728">
        <v>-4.6218870000000002E-2</v>
      </c>
      <c r="T9728">
        <v>-2.197313E-2</v>
      </c>
      <c r="U9728">
        <v>3.0762019999999999</v>
      </c>
      <c r="V9728">
        <v>-1.7723409999999998E-2</v>
      </c>
      <c r="W9728">
        <v>-7.3684689999999999E-3</v>
      </c>
      <c r="X9728">
        <v>0.99981580000000003</v>
      </c>
      <c r="Y9728">
        <v>-0.22831360000000001</v>
      </c>
      <c r="Z9728">
        <v>-6.8004999999999897E-3</v>
      </c>
      <c r="AA9728">
        <v>0.97356390000000004</v>
      </c>
      <c r="AB9728">
        <v>26</v>
      </c>
      <c r="AC9728">
        <v>-2.3986999999999901</v>
      </c>
      <c r="AD9728">
        <v>-1.1184868313409999</v>
      </c>
      <c r="AE9728">
        <v>156.32154</v>
      </c>
      <c r="AF9728">
        <v>-35.741478747515501</v>
      </c>
      <c r="AG9728">
        <v>-1.1184868313409999</v>
      </c>
      <c r="AH9728">
        <v>152.191400851347</v>
      </c>
      <c r="AI9728">
        <v>90.409919310321598</v>
      </c>
      <c r="AJ9728">
        <v>103.216166664521</v>
      </c>
      <c r="AK9728">
        <v>156.33594215325701</v>
      </c>
      <c r="AL9728">
        <v>90.422185985583596</v>
      </c>
      <c r="AM9728">
        <v>91.015557311185702</v>
      </c>
      <c r="AN9728">
        <v>1.00000002376353</v>
      </c>
    </row>
    <row r="9729" spans="1:40" x14ac:dyDescent="0.25">
      <c r="A9729" t="str">
        <f>"20190312154142449"</f>
        <v>20190312154142449</v>
      </c>
      <c r="B9729" t="str">
        <f>"1552376502435678"</f>
        <v>1552376502435678</v>
      </c>
      <c r="C9729" t="s">
        <v>40</v>
      </c>
      <c r="D9729">
        <v>4.4119979999999996</v>
      </c>
      <c r="E9729">
        <v>0.41686990000000002</v>
      </c>
      <c r="F9729" t="s">
        <v>42</v>
      </c>
      <c r="G9729">
        <v>-190.73820000000001</v>
      </c>
      <c r="H9729" s="1">
        <v>-1.866819E-6</v>
      </c>
      <c r="I9729">
        <v>93.482879999999994</v>
      </c>
      <c r="J9729">
        <v>-187.84280000000001</v>
      </c>
      <c r="K9729">
        <v>1.118525</v>
      </c>
      <c r="L9729">
        <v>-33.264740000000003</v>
      </c>
      <c r="M9729">
        <v>0.20169100000000001</v>
      </c>
      <c r="N9729">
        <v>0</v>
      </c>
      <c r="O9729">
        <v>0.97931749999999995</v>
      </c>
      <c r="P9729">
        <v>0.1850513</v>
      </c>
      <c r="Q9729">
        <v>-2.2848770000000001E-2</v>
      </c>
      <c r="R9729">
        <v>0.98246319999999998</v>
      </c>
      <c r="S9729">
        <v>-6.9030759999999997E-2</v>
      </c>
      <c r="T9729">
        <v>-2.7066349999999999E-2</v>
      </c>
      <c r="U9729">
        <v>3.0734249999999999</v>
      </c>
      <c r="V9729">
        <v>-1.6789479999999999E-2</v>
      </c>
      <c r="W9729">
        <v>-7.1344499999999996E-3</v>
      </c>
      <c r="X9729">
        <v>0.99983359999999999</v>
      </c>
      <c r="Y9729">
        <v>-0.22365850000000001</v>
      </c>
      <c r="Z9729">
        <v>-8.4218929999999997E-3</v>
      </c>
      <c r="AA9729">
        <v>0.97463120000000003</v>
      </c>
      <c r="AB9729">
        <v>26</v>
      </c>
      <c r="AC9729">
        <v>-2.8953999999999902</v>
      </c>
      <c r="AD9729">
        <v>-1.118526866819</v>
      </c>
      <c r="AE9729">
        <v>126.74762</v>
      </c>
      <c r="AF9729">
        <v>-28.4008233458013</v>
      </c>
      <c r="AG9729">
        <v>-1.118526866819</v>
      </c>
      <c r="AH9729">
        <v>123.548508034365</v>
      </c>
      <c r="AI9729">
        <v>90.505520167638906</v>
      </c>
      <c r="AJ9729">
        <v>102.946010667731</v>
      </c>
      <c r="AK9729">
        <v>126.775753622642</v>
      </c>
      <c r="AL9729">
        <v>90.408777339011706</v>
      </c>
      <c r="AM9729">
        <v>90.962036023733106</v>
      </c>
      <c r="AN9729">
        <v>1.00000000735221</v>
      </c>
    </row>
    <row r="9730" spans="1:40" x14ac:dyDescent="0.25">
      <c r="A9730" t="str">
        <f>"20190312154142469"</f>
        <v>20190312154142469</v>
      </c>
      <c r="B9730" t="str">
        <f>"1552376502465935"</f>
        <v>1552376502465935</v>
      </c>
      <c r="C9730" t="s">
        <v>40</v>
      </c>
      <c r="D9730">
        <v>4.4788079999999999</v>
      </c>
      <c r="E9730">
        <v>0.41853479999999998</v>
      </c>
      <c r="F9730" t="s">
        <v>42</v>
      </c>
      <c r="G9730">
        <v>-191.14080000000001</v>
      </c>
      <c r="H9730" s="1">
        <v>-1.800932E-6</v>
      </c>
      <c r="I9730">
        <v>73.079569999999904</v>
      </c>
      <c r="J9730">
        <v>-187.80719999999999</v>
      </c>
      <c r="K9730">
        <v>1.1185560000000001</v>
      </c>
      <c r="L9730">
        <v>-33.032170000000001</v>
      </c>
      <c r="M9730">
        <v>0.1908533</v>
      </c>
      <c r="N9730">
        <v>0</v>
      </c>
      <c r="O9730">
        <v>0.98148670000000005</v>
      </c>
      <c r="P9730">
        <v>0.17458870000000001</v>
      </c>
      <c r="Q9730">
        <v>-2.1879579999999999E-2</v>
      </c>
      <c r="R9730">
        <v>0.98439829999999995</v>
      </c>
      <c r="S9730">
        <v>-9.5230099999999998E-2</v>
      </c>
      <c r="T9730">
        <v>-3.2297970000000002E-2</v>
      </c>
      <c r="U9730">
        <v>3.0707399999999998</v>
      </c>
      <c r="V9730">
        <v>-1.6398639999999999E-2</v>
      </c>
      <c r="W9730">
        <v>-6.1350759999999997E-3</v>
      </c>
      <c r="X9730">
        <v>0.99984669999999998</v>
      </c>
      <c r="Y9730">
        <v>-0.22121179999999999</v>
      </c>
      <c r="Z9730">
        <v>-1.009434E-2</v>
      </c>
      <c r="AA9730">
        <v>0.97517350000000003</v>
      </c>
      <c r="AB9730">
        <v>26</v>
      </c>
      <c r="AC9730">
        <v>-3.3336000000000099</v>
      </c>
      <c r="AD9730">
        <v>-1.1185578009320001</v>
      </c>
      <c r="AE9730">
        <v>106.11174</v>
      </c>
      <c r="AF9730">
        <v>-23.5240938465165</v>
      </c>
      <c r="AG9730">
        <v>-1.1185578009320001</v>
      </c>
      <c r="AH9730">
        <v>103.512942847719</v>
      </c>
      <c r="AI9730">
        <v>90.603719984555497</v>
      </c>
      <c r="AJ9730">
        <v>102.80343710691901</v>
      </c>
      <c r="AK9730">
        <v>106.15820034198499</v>
      </c>
      <c r="AL9730">
        <v>90.351516170801801</v>
      </c>
      <c r="AM9730">
        <v>90.939632673340995</v>
      </c>
      <c r="AN9730">
        <v>0.99999998902613196</v>
      </c>
    </row>
    <row r="9731" spans="1:40" x14ac:dyDescent="0.25">
      <c r="A9731" t="str">
        <f>"20190312154142492"</f>
        <v>20190312154142492</v>
      </c>
      <c r="B9731" t="str">
        <f>"1552376502485454"</f>
        <v>1552376502485454</v>
      </c>
      <c r="C9731" t="s">
        <v>40</v>
      </c>
      <c r="D9731">
        <v>4.3170869999999999</v>
      </c>
      <c r="E9731">
        <v>0.42709979999999997</v>
      </c>
      <c r="F9731" t="s">
        <v>42</v>
      </c>
      <c r="G9731">
        <v>-191.5076</v>
      </c>
      <c r="H9731" s="1">
        <v>-2.9979710000000002E-6</v>
      </c>
      <c r="I9731">
        <v>65.642420000000001</v>
      </c>
      <c r="J9731">
        <v>-187.7713</v>
      </c>
      <c r="K9731">
        <v>1.1185780000000001</v>
      </c>
      <c r="L9731">
        <v>-32.777709999999999</v>
      </c>
      <c r="M9731">
        <v>0.17892549999999999</v>
      </c>
      <c r="N9731">
        <v>0</v>
      </c>
      <c r="O9731">
        <v>0.98373080000000002</v>
      </c>
      <c r="P9731">
        <v>0.1629862</v>
      </c>
      <c r="Q9731">
        <v>-2.157562E-2</v>
      </c>
      <c r="R9731">
        <v>0.98639239999999995</v>
      </c>
      <c r="S9731">
        <v>-0.11502080000000001</v>
      </c>
      <c r="T9731">
        <v>-3.4768939999999998E-2</v>
      </c>
      <c r="U9731">
        <v>3.0671689999999998</v>
      </c>
      <c r="V9731">
        <v>-1.6042529999999999E-2</v>
      </c>
      <c r="W9731">
        <v>-5.8030729999999997E-3</v>
      </c>
      <c r="X9731">
        <v>0.99985440000000003</v>
      </c>
      <c r="Y9731">
        <v>-0.21568989999999999</v>
      </c>
      <c r="Z9731">
        <v>-1.092311E-2</v>
      </c>
      <c r="AA9731">
        <v>0.97640079999999996</v>
      </c>
      <c r="AB9731">
        <v>26</v>
      </c>
      <c r="AC9731">
        <v>-3.7363</v>
      </c>
      <c r="AD9731">
        <v>-1.118580997971</v>
      </c>
      <c r="AE9731">
        <v>98.42013</v>
      </c>
      <c r="AF9731">
        <v>-21.2853998696798</v>
      </c>
      <c r="AG9731">
        <v>-1.118580997971</v>
      </c>
      <c r="AH9731">
        <v>96.150463943151195</v>
      </c>
      <c r="AI9731">
        <v>90.650774837204395</v>
      </c>
      <c r="AJ9731">
        <v>102.482593146989</v>
      </c>
      <c r="AK9731">
        <v>98.484674886727504</v>
      </c>
      <c r="AL9731">
        <v>90.332493480617202</v>
      </c>
      <c r="AM9731">
        <v>90.919224236659502</v>
      </c>
      <c r="AN9731">
        <v>0.99999992981219898</v>
      </c>
    </row>
    <row r="9732" spans="1:40" x14ac:dyDescent="0.25">
      <c r="A9732" t="str">
        <f>"20190312154142514"</f>
        <v>20190312154142514</v>
      </c>
      <c r="B9732" t="str">
        <f>"1552376502505952"</f>
        <v>1552376502505952</v>
      </c>
      <c r="C9732" t="s">
        <v>40</v>
      </c>
      <c r="D9732">
        <v>4.3739980000000003</v>
      </c>
      <c r="E9732">
        <v>0.42891230000000002</v>
      </c>
      <c r="F9732" t="s">
        <v>42</v>
      </c>
      <c r="G9732">
        <v>-189.2527</v>
      </c>
      <c r="H9732" s="1">
        <v>-3.9842180000000001E-7</v>
      </c>
      <c r="I9732">
        <v>20.234539999999999</v>
      </c>
      <c r="J9732">
        <v>-187.73869999999999</v>
      </c>
      <c r="K9732">
        <v>1.118584</v>
      </c>
      <c r="L9732">
        <v>-32.52393</v>
      </c>
      <c r="M9732">
        <v>0.1669716</v>
      </c>
      <c r="N9732">
        <v>0</v>
      </c>
      <c r="O9732">
        <v>0.98582979999999998</v>
      </c>
      <c r="P9732">
        <v>0.1526701</v>
      </c>
      <c r="Q9732">
        <v>-2.1895629999999999E-2</v>
      </c>
      <c r="R9732">
        <v>0.98803459999999999</v>
      </c>
      <c r="S9732">
        <v>-8.5342409999999994E-2</v>
      </c>
      <c r="T9732">
        <v>-6.4442159999999998E-2</v>
      </c>
      <c r="U9732">
        <v>3.0540769999999999</v>
      </c>
      <c r="V9732">
        <v>-1.4346619999999999E-2</v>
      </c>
      <c r="W9732">
        <v>-6.0711439999999997E-3</v>
      </c>
      <c r="X9732">
        <v>0.99987859999999995</v>
      </c>
      <c r="Y9732">
        <v>-0.19446250000000001</v>
      </c>
      <c r="Z9732">
        <v>-2.0445669999999999E-2</v>
      </c>
      <c r="AA9732">
        <v>0.98069689999999998</v>
      </c>
      <c r="AB9732">
        <v>26</v>
      </c>
      <c r="AC9732">
        <v>-1.51400000000001</v>
      </c>
      <c r="AD9732">
        <v>-1.1185843984218</v>
      </c>
      <c r="AE9732">
        <v>52.758469999999903</v>
      </c>
      <c r="AF9732">
        <v>-10.2984268319442</v>
      </c>
      <c r="AG9732">
        <v>-1.1185843984218</v>
      </c>
      <c r="AH9732">
        <v>51.741569172124798</v>
      </c>
      <c r="AI9732">
        <v>91.214647897745493</v>
      </c>
      <c r="AJ9732">
        <v>101.25680520217399</v>
      </c>
      <c r="AK9732">
        <v>52.768350425828899</v>
      </c>
      <c r="AL9732">
        <v>90.347853082506703</v>
      </c>
      <c r="AM9732">
        <v>90.822044169469905</v>
      </c>
      <c r="AN9732">
        <v>0.99999994951642501</v>
      </c>
    </row>
    <row r="9733" spans="1:40" x14ac:dyDescent="0.25">
      <c r="A9733" t="str">
        <f>"20190312154142537"</f>
        <v>20190312154142537</v>
      </c>
      <c r="B9733" t="str">
        <f>"1552376502525471"</f>
        <v>1552376502525471</v>
      </c>
      <c r="C9733" t="s">
        <v>40</v>
      </c>
      <c r="D9733">
        <v>4.3794709999999997</v>
      </c>
      <c r="E9733">
        <v>0.43046240000000002</v>
      </c>
      <c r="F9733" t="s">
        <v>42</v>
      </c>
      <c r="G9733">
        <v>-189.767</v>
      </c>
      <c r="H9733" s="1">
        <v>-3.5405199999999902E-6</v>
      </c>
      <c r="I9733">
        <v>27.789449999999999</v>
      </c>
      <c r="J9733">
        <v>-187.70920000000001</v>
      </c>
      <c r="K9733">
        <v>1.118582</v>
      </c>
      <c r="L9733">
        <v>-32.270359999999997</v>
      </c>
      <c r="M9733">
        <v>0.15498970000000001</v>
      </c>
      <c r="N9733">
        <v>0</v>
      </c>
      <c r="O9733">
        <v>0.98778429999999995</v>
      </c>
      <c r="P9733">
        <v>0.141544</v>
      </c>
      <c r="Q9733">
        <v>-2.0862249999999999E-2</v>
      </c>
      <c r="R9733">
        <v>0.98971209999999998</v>
      </c>
      <c r="S9733">
        <v>-0.1026001</v>
      </c>
      <c r="T9733">
        <v>-5.6583399999999999E-2</v>
      </c>
      <c r="U9733">
        <v>3.0509339999999998</v>
      </c>
      <c r="V9733">
        <v>-1.348182E-2</v>
      </c>
      <c r="W9733">
        <v>-5.0065140000000001E-3</v>
      </c>
      <c r="X9733">
        <v>0.99989660000000002</v>
      </c>
      <c r="Y9733">
        <v>-0.18812039999999999</v>
      </c>
      <c r="Z9733">
        <v>-1.8035969999999998E-2</v>
      </c>
      <c r="AA9733">
        <v>0.98198039999999998</v>
      </c>
      <c r="AB9733">
        <v>26</v>
      </c>
      <c r="AC9733">
        <v>-2.0577999999999799</v>
      </c>
      <c r="AD9733">
        <v>-1.11858554052</v>
      </c>
      <c r="AE9733">
        <v>60.059809999999999</v>
      </c>
      <c r="AF9733">
        <v>-11.338862687936301</v>
      </c>
      <c r="AG9733">
        <v>-1.11858554052</v>
      </c>
      <c r="AH9733">
        <v>58.994443329245101</v>
      </c>
      <c r="AI9733">
        <v>91.066727213415703</v>
      </c>
      <c r="AJ9733">
        <v>100.87969907099</v>
      </c>
      <c r="AK9733">
        <v>60.084651820534397</v>
      </c>
      <c r="AL9733">
        <v>90.286853315550701</v>
      </c>
      <c r="AM9733">
        <v>90.772484456355002</v>
      </c>
      <c r="AN9733">
        <v>1.0000000176722501</v>
      </c>
    </row>
    <row r="9734" spans="1:40" x14ac:dyDescent="0.25">
      <c r="A9734" t="str">
        <f>"20190312154142559"</f>
        <v>20190312154142559</v>
      </c>
      <c r="B9734" t="str">
        <f>"1552376502545497"</f>
        <v>1552376502545497</v>
      </c>
      <c r="C9734" t="s">
        <v>40</v>
      </c>
      <c r="D9734">
        <v>4.4231559999999996</v>
      </c>
      <c r="E9734">
        <v>0.43197829999999898</v>
      </c>
      <c r="F9734" t="s">
        <v>42</v>
      </c>
      <c r="G9734">
        <v>-191.1224</v>
      </c>
      <c r="H9734" s="1">
        <v>-1.1626079999999999E-6</v>
      </c>
      <c r="I9734">
        <v>51.603059999999999</v>
      </c>
      <c r="J9734">
        <v>-187.6841</v>
      </c>
      <c r="K9734">
        <v>1.1185689999999999</v>
      </c>
      <c r="L9734">
        <v>-32.027369999999998</v>
      </c>
      <c r="M9734">
        <v>0.1434925</v>
      </c>
      <c r="N9734">
        <v>0</v>
      </c>
      <c r="O9734">
        <v>0.9895197</v>
      </c>
      <c r="P9734">
        <v>0.13018260000000001</v>
      </c>
      <c r="Q9734">
        <v>-1.9142180000000002E-2</v>
      </c>
      <c r="R9734">
        <v>0.9913052</v>
      </c>
      <c r="S9734">
        <v>-0.1240387</v>
      </c>
      <c r="T9734">
        <v>-4.0650730000000003E-2</v>
      </c>
      <c r="U9734">
        <v>3.0480649999999998</v>
      </c>
      <c r="V9734">
        <v>-1.3363669999999999E-2</v>
      </c>
      <c r="W9734">
        <v>-3.2751780000000001E-3</v>
      </c>
      <c r="X9734">
        <v>0.9999053</v>
      </c>
      <c r="Y9734">
        <v>-0.1836286</v>
      </c>
      <c r="Z9734">
        <v>-1.3009359999999999E-2</v>
      </c>
      <c r="AA9734">
        <v>0.98290960000000005</v>
      </c>
      <c r="AB9734">
        <v>26</v>
      </c>
      <c r="AC9734">
        <v>-3.4382999999999901</v>
      </c>
      <c r="AD9734">
        <v>-1.118570162608</v>
      </c>
      <c r="AE9734">
        <v>83.630429999999905</v>
      </c>
      <c r="AF9734">
        <v>-15.4018622554632</v>
      </c>
      <c r="AG9734">
        <v>-1.118570162608</v>
      </c>
      <c r="AH9734">
        <v>82.256620643737804</v>
      </c>
      <c r="AI9734">
        <v>90.765784368253506</v>
      </c>
      <c r="AJ9734">
        <v>100.605352866641</v>
      </c>
      <c r="AK9734">
        <v>83.693609074246098</v>
      </c>
      <c r="AL9734">
        <v>90.1876542192269</v>
      </c>
      <c r="AM9734">
        <v>90.765708818232</v>
      </c>
      <c r="AN9734">
        <v>0.99999996171744399</v>
      </c>
    </row>
    <row r="9735" spans="1:40" x14ac:dyDescent="0.25">
      <c r="A9735" t="str">
        <f>"20190312154142580"</f>
        <v>20190312154142580</v>
      </c>
      <c r="B9735" t="str">
        <f>"1552376502575753"</f>
        <v>1552376502575753</v>
      </c>
      <c r="C9735" t="s">
        <v>40</v>
      </c>
      <c r="D9735">
        <v>4.3800559999999997</v>
      </c>
      <c r="E9735">
        <v>0.4345174</v>
      </c>
      <c r="F9735" t="s">
        <v>42</v>
      </c>
      <c r="G9735">
        <v>-193.1</v>
      </c>
      <c r="H9735" s="1">
        <v>-1.168103E-6</v>
      </c>
      <c r="I9735">
        <v>80.389290000000003</v>
      </c>
      <c r="J9735">
        <v>-187.6618</v>
      </c>
      <c r="K9735">
        <v>1.1185400000000001</v>
      </c>
      <c r="L9735">
        <v>-31.782990000000002</v>
      </c>
      <c r="M9735">
        <v>0.13194359999999999</v>
      </c>
      <c r="N9735">
        <v>0</v>
      </c>
      <c r="O9735">
        <v>0.9911257</v>
      </c>
      <c r="P9735">
        <v>0.1195677</v>
      </c>
      <c r="Q9735">
        <v>-1.7642809999999998E-2</v>
      </c>
      <c r="R9735">
        <v>0.99266929999999998</v>
      </c>
      <c r="S9735">
        <v>-0.146698</v>
      </c>
      <c r="T9735">
        <v>-3.0298229999999999E-2</v>
      </c>
      <c r="U9735">
        <v>3.0449830000000002</v>
      </c>
      <c r="V9735">
        <v>-1.243826E-2</v>
      </c>
      <c r="W9735">
        <v>-1.751985E-3</v>
      </c>
      <c r="X9735">
        <v>0.99992110000000001</v>
      </c>
      <c r="Y9735">
        <v>-0.1795059</v>
      </c>
      <c r="Z9735">
        <v>-9.7326180000000002E-3</v>
      </c>
      <c r="AA9735">
        <v>0.98370869999999999</v>
      </c>
      <c r="AB9735">
        <v>26</v>
      </c>
      <c r="AC9735">
        <v>-5.4381999999999904</v>
      </c>
      <c r="AD9735">
        <v>-1.118541168103</v>
      </c>
      <c r="AE9735">
        <v>112.17228</v>
      </c>
      <c r="AF9735">
        <v>-20.1909839349326</v>
      </c>
      <c r="AG9735">
        <v>-1.118541168103</v>
      </c>
      <c r="AH9735">
        <v>110.462738925747</v>
      </c>
      <c r="AI9735">
        <v>90.570700159683895</v>
      </c>
      <c r="AJ9735">
        <v>100.358485504874</v>
      </c>
      <c r="AK9735">
        <v>112.298457948376</v>
      </c>
      <c r="AL9735">
        <v>90.100381398326107</v>
      </c>
      <c r="AM9735">
        <v>90.712679278553395</v>
      </c>
      <c r="AN9735">
        <v>0.99999999299423803</v>
      </c>
    </row>
    <row r="9736" spans="1:40" x14ac:dyDescent="0.25">
      <c r="A9736" t="str">
        <f>"20190312154142603"</f>
        <v>20190312154142603</v>
      </c>
      <c r="B9736" t="str">
        <f>"1552376502595274"</f>
        <v>1552376502595274</v>
      </c>
      <c r="C9736" t="s">
        <v>40</v>
      </c>
      <c r="D9736">
        <v>4.413481</v>
      </c>
      <c r="E9736">
        <v>0.44531929999999997</v>
      </c>
      <c r="F9736" t="s">
        <v>42</v>
      </c>
      <c r="G9736">
        <v>-193.36850000000001</v>
      </c>
      <c r="H9736" s="1">
        <v>-4.0836010000000004E-6</v>
      </c>
      <c r="I9736">
        <v>77.230819999999994</v>
      </c>
      <c r="J9736">
        <v>-187.64160000000001</v>
      </c>
      <c r="K9736">
        <v>1.118479</v>
      </c>
      <c r="L9736">
        <v>-31.529240000000001</v>
      </c>
      <c r="M9736">
        <v>0.11997819999999999</v>
      </c>
      <c r="N9736">
        <v>0</v>
      </c>
      <c r="O9736">
        <v>0.99264529999999995</v>
      </c>
      <c r="P9736">
        <v>0.10895879999999999</v>
      </c>
      <c r="Q9736">
        <v>-1.749742E-2</v>
      </c>
      <c r="R9736">
        <v>0.99389229999999995</v>
      </c>
      <c r="S9736">
        <v>-0.15917970000000001</v>
      </c>
      <c r="T9736">
        <v>-3.120005E-2</v>
      </c>
      <c r="U9736">
        <v>3.0407709999999999</v>
      </c>
      <c r="V9736">
        <v>-1.105982E-2</v>
      </c>
      <c r="W9736">
        <v>-1.578554E-3</v>
      </c>
      <c r="X9736">
        <v>0.99993759999999998</v>
      </c>
      <c r="Y9736">
        <v>-0.1717262</v>
      </c>
      <c r="Z9736">
        <v>-1.0065620000000001E-2</v>
      </c>
      <c r="AA9736">
        <v>0.98509329999999995</v>
      </c>
      <c r="AB9736">
        <v>26</v>
      </c>
      <c r="AC9736">
        <v>-5.7268999999999997</v>
      </c>
      <c r="AD9736">
        <v>-1.118483083601</v>
      </c>
      <c r="AE9736">
        <v>108.76006</v>
      </c>
      <c r="AF9736">
        <v>-18.734081672278901</v>
      </c>
      <c r="AG9736">
        <v>-1.118483083601</v>
      </c>
      <c r="AH9736">
        <v>107.27572234973501</v>
      </c>
      <c r="AI9736">
        <v>90.588453157388301</v>
      </c>
      <c r="AJ9736">
        <v>99.905945410388796</v>
      </c>
      <c r="AK9736">
        <v>108.90499265951701</v>
      </c>
      <c r="AL9736">
        <v>90.090444518801704</v>
      </c>
      <c r="AM9736">
        <v>90.633694712189794</v>
      </c>
      <c r="AN9736">
        <v>1.00000000767246</v>
      </c>
    </row>
    <row r="9737" spans="1:40" x14ac:dyDescent="0.25">
      <c r="A9737" t="str">
        <f>"20190312154142627"</f>
        <v>20190312154142627</v>
      </c>
      <c r="B9737" t="str">
        <f>"1552376502615769"</f>
        <v>1552376502615769</v>
      </c>
      <c r="C9737" t="s">
        <v>40</v>
      </c>
      <c r="D9737">
        <v>4.4572690000000001</v>
      </c>
      <c r="E9737">
        <v>0.44563350000000002</v>
      </c>
      <c r="F9737" t="s">
        <v>42</v>
      </c>
      <c r="G9737">
        <v>-189.63929999999999</v>
      </c>
      <c r="H9737" s="1">
        <v>-2.2102040000000001E-6</v>
      </c>
      <c r="I9737">
        <v>24.635649999999998</v>
      </c>
      <c r="J9737">
        <v>-187.6232</v>
      </c>
      <c r="K9737">
        <v>1.118382</v>
      </c>
      <c r="L9737">
        <v>-31.256959999999999</v>
      </c>
      <c r="M9737">
        <v>0.1072215</v>
      </c>
      <c r="N9737">
        <v>0</v>
      </c>
      <c r="O9737">
        <v>0.99410419999999999</v>
      </c>
      <c r="P9737">
        <v>9.7256579999999995E-2</v>
      </c>
      <c r="Q9737">
        <v>-1.855443E-2</v>
      </c>
      <c r="R9737">
        <v>0.99508640000000004</v>
      </c>
      <c r="S9737">
        <v>-0.1077423</v>
      </c>
      <c r="T9737">
        <v>-6.0323719999999997E-2</v>
      </c>
      <c r="U9737">
        <v>3.029175</v>
      </c>
      <c r="V9737">
        <v>-9.9621850000000001E-3</v>
      </c>
      <c r="W9737">
        <v>-2.619363E-3</v>
      </c>
      <c r="X9737">
        <v>0.99994700000000003</v>
      </c>
      <c r="Y9737">
        <v>-0.1425014</v>
      </c>
      <c r="Z9737">
        <v>-1.9630180000000001E-2</v>
      </c>
      <c r="AA9737">
        <v>0.98959989999999998</v>
      </c>
      <c r="AB9737">
        <v>26</v>
      </c>
      <c r="AC9737">
        <v>-2.01609999999999</v>
      </c>
      <c r="AD9737">
        <v>-1.118384210204</v>
      </c>
      <c r="AE9737">
        <v>55.892609999999998</v>
      </c>
      <c r="AF9737">
        <v>-7.9949474806472498</v>
      </c>
      <c r="AG9737">
        <v>-1.118384210204</v>
      </c>
      <c r="AH9737">
        <v>55.331991286575402</v>
      </c>
      <c r="AI9737">
        <v>91.146021116418297</v>
      </c>
      <c r="AJ9737">
        <v>98.221794489311705</v>
      </c>
      <c r="AK9737">
        <v>55.917789908021199</v>
      </c>
      <c r="AL9737">
        <v>90.1500786083501</v>
      </c>
      <c r="AM9737">
        <v>90.570802524137605</v>
      </c>
      <c r="AN9737">
        <v>1.0000000545007399</v>
      </c>
    </row>
    <row r="9738" spans="1:40" x14ac:dyDescent="0.25">
      <c r="A9738" t="str">
        <f>"20190312154142650"</f>
        <v>20190312154142650</v>
      </c>
      <c r="B9738" t="str">
        <f>"1552376502645557"</f>
        <v>1552376502645557</v>
      </c>
      <c r="C9738" t="s">
        <v>40</v>
      </c>
      <c r="D9738">
        <v>4.4746920000000001</v>
      </c>
      <c r="E9738">
        <v>0.44750319999999999</v>
      </c>
      <c r="F9738" t="s">
        <v>42</v>
      </c>
      <c r="G9738">
        <v>-190.4084</v>
      </c>
      <c r="H9738" s="1">
        <v>-4.0382879999999996E-6</v>
      </c>
      <c r="I9738">
        <v>28.749179999999999</v>
      </c>
      <c r="J9738">
        <v>-187.60929999999999</v>
      </c>
      <c r="K9738">
        <v>1.118255</v>
      </c>
      <c r="L9738">
        <v>-31.007290000000001</v>
      </c>
      <c r="M9738">
        <v>9.5664280000000004E-2</v>
      </c>
      <c r="N9738">
        <v>0</v>
      </c>
      <c r="O9738">
        <v>0.99528309999999998</v>
      </c>
      <c r="P9738">
        <v>8.6059449999999996E-2</v>
      </c>
      <c r="Q9738">
        <v>-1.968576E-2</v>
      </c>
      <c r="R9738">
        <v>0.99609550000000002</v>
      </c>
      <c r="S9738">
        <v>-0.14051820000000001</v>
      </c>
      <c r="T9738">
        <v>-5.6426049999999998E-2</v>
      </c>
      <c r="U9738">
        <v>3.0274960000000002</v>
      </c>
      <c r="V9738">
        <v>-9.5663959999999996E-3</v>
      </c>
      <c r="W9738">
        <v>-3.7548500000000001E-3</v>
      </c>
      <c r="X9738">
        <v>0.99994720000000004</v>
      </c>
      <c r="Y9738">
        <v>-0.14171719999999999</v>
      </c>
      <c r="Z9738">
        <v>-1.840236E-2</v>
      </c>
      <c r="AA9738">
        <v>0.98973610000000001</v>
      </c>
      <c r="AB9738">
        <v>26</v>
      </c>
      <c r="AC9738">
        <v>-2.7991000000000001</v>
      </c>
      <c r="AD9738">
        <v>-1.118259038288</v>
      </c>
      <c r="AE9738">
        <v>59.756469999999901</v>
      </c>
      <c r="AF9738">
        <v>-8.5005913158458899</v>
      </c>
      <c r="AG9738">
        <v>-1.118259038288</v>
      </c>
      <c r="AH9738">
        <v>59.193841898349604</v>
      </c>
      <c r="AI9738">
        <v>91.071285679388396</v>
      </c>
      <c r="AJ9738">
        <v>98.172146598045998</v>
      </c>
      <c r="AK9738">
        <v>59.811549676317199</v>
      </c>
      <c r="AL9738">
        <v>90.215137561345202</v>
      </c>
      <c r="AM9738">
        <v>90.5481263357823</v>
      </c>
      <c r="AN9738">
        <v>1.0000000088093901</v>
      </c>
    </row>
    <row r="9739" spans="1:40" x14ac:dyDescent="0.25">
      <c r="A9739" t="str">
        <f>"20190312154142670"</f>
        <v>20190312154142670</v>
      </c>
      <c r="B9739" t="str">
        <f>"1552376502666053"</f>
        <v>1552376502666053</v>
      </c>
      <c r="C9739" t="s">
        <v>40</v>
      </c>
      <c r="D9739">
        <v>4.4570119999999998</v>
      </c>
      <c r="E9739">
        <v>0.44871129999999998</v>
      </c>
      <c r="F9739" t="s">
        <v>42</v>
      </c>
      <c r="G9739">
        <v>-190.08099999999999</v>
      </c>
      <c r="H9739" s="1">
        <v>-2.6314520000000001E-6</v>
      </c>
      <c r="I9739">
        <v>15.67287</v>
      </c>
      <c r="J9739">
        <v>-187.59880000000001</v>
      </c>
      <c r="K9739">
        <v>1.11809</v>
      </c>
      <c r="L9739">
        <v>-30.775020000000001</v>
      </c>
      <c r="M9739">
        <v>8.5108950000000003E-2</v>
      </c>
      <c r="N9739">
        <v>0</v>
      </c>
      <c r="O9739">
        <v>0.99624159999999995</v>
      </c>
      <c r="P9739">
        <v>7.6368439999999996E-2</v>
      </c>
      <c r="Q9739">
        <v>-2.0404720000000001E-2</v>
      </c>
      <c r="R9739">
        <v>0.9968709</v>
      </c>
      <c r="S9739">
        <v>-0.16012570000000001</v>
      </c>
      <c r="T9739">
        <v>-7.244623E-2</v>
      </c>
      <c r="U9739">
        <v>3.0241699999999998</v>
      </c>
      <c r="V9739">
        <v>-8.6775900000000007E-3</v>
      </c>
      <c r="W9739">
        <v>-4.4754759999999999E-3</v>
      </c>
      <c r="X9739">
        <v>0.99995230000000002</v>
      </c>
      <c r="Y9739">
        <v>-0.1376686</v>
      </c>
      <c r="Z9739">
        <v>-2.3687799999999998E-2</v>
      </c>
      <c r="AA9739">
        <v>0.99019500000000005</v>
      </c>
      <c r="AB9739">
        <v>26</v>
      </c>
      <c r="AC9739">
        <v>-2.48219999999997</v>
      </c>
      <c r="AD9739">
        <v>-1.1180926314519899</v>
      </c>
      <c r="AE9739">
        <v>46.447890000000001</v>
      </c>
      <c r="AF9739">
        <v>-6.4231234844420504</v>
      </c>
      <c r="AG9739">
        <v>-1.1180926314519899</v>
      </c>
      <c r="AH9739">
        <v>46.041429062065802</v>
      </c>
      <c r="AI9739">
        <v>91.377787714329401</v>
      </c>
      <c r="AJ9739">
        <v>97.941931356695903</v>
      </c>
      <c r="AK9739">
        <v>46.5007509241102</v>
      </c>
      <c r="AL9739">
        <v>90.256426750775105</v>
      </c>
      <c r="AM9739">
        <v>90.497200519637801</v>
      </c>
      <c r="AN9739">
        <v>0.99999996636446098</v>
      </c>
    </row>
    <row r="9740" spans="1:40" x14ac:dyDescent="0.25">
      <c r="A9740" t="str">
        <f>"20190312154142693"</f>
        <v>20190312154142693</v>
      </c>
      <c r="B9740" t="str">
        <f>"1552376502685573"</f>
        <v>1552376502685573</v>
      </c>
      <c r="C9740" t="s">
        <v>40</v>
      </c>
      <c r="D9740">
        <v>4.4599580000000003</v>
      </c>
      <c r="E9740">
        <v>0.44978400000000002</v>
      </c>
      <c r="F9740" t="s">
        <v>42</v>
      </c>
      <c r="G9740">
        <v>-190.17699999999999</v>
      </c>
      <c r="H9740" s="1">
        <v>-1.2811210000000001E-6</v>
      </c>
      <c r="I9740">
        <v>12.465669999999999</v>
      </c>
      <c r="J9740">
        <v>-187.5898</v>
      </c>
      <c r="K9740">
        <v>1.117853</v>
      </c>
      <c r="L9740">
        <v>-30.52139</v>
      </c>
      <c r="M9740">
        <v>7.3874910000000002E-2</v>
      </c>
      <c r="N9740">
        <v>0</v>
      </c>
      <c r="O9740">
        <v>0.99713810000000003</v>
      </c>
      <c r="P9740">
        <v>6.716432E-2</v>
      </c>
      <c r="Q9740">
        <v>-1.9711490000000002E-2</v>
      </c>
      <c r="R9740">
        <v>0.99754719999999997</v>
      </c>
      <c r="S9740">
        <v>-0.1801605</v>
      </c>
      <c r="T9740">
        <v>-7.8130839999999993E-2</v>
      </c>
      <c r="U9740">
        <v>3.0216059999999998</v>
      </c>
      <c r="V9740">
        <v>-6.653038E-3</v>
      </c>
      <c r="W9740">
        <v>-3.7747050000000002E-3</v>
      </c>
      <c r="X9740">
        <v>0.99997069999999999</v>
      </c>
      <c r="Y9740">
        <v>-0.1330895</v>
      </c>
      <c r="Z9740">
        <v>-2.5604999999999999E-2</v>
      </c>
      <c r="AA9740">
        <v>0.99077320000000002</v>
      </c>
      <c r="AB9740">
        <v>25</v>
      </c>
      <c r="AC9740">
        <v>-2.5872000000000202</v>
      </c>
      <c r="AD9740">
        <v>-1.1178542811209999</v>
      </c>
      <c r="AE9740">
        <v>42.98706</v>
      </c>
      <c r="AF9740">
        <v>-5.7523279263798797</v>
      </c>
      <c r="AG9740">
        <v>-1.1178542811209999</v>
      </c>
      <c r="AH9740">
        <v>42.649677395691299</v>
      </c>
      <c r="AI9740">
        <v>91.487920791680594</v>
      </c>
      <c r="AJ9740">
        <v>97.681351447508206</v>
      </c>
      <c r="AK9740">
        <v>43.050364188041101</v>
      </c>
      <c r="AL9740">
        <v>90.216275188502394</v>
      </c>
      <c r="AM9740">
        <v>90.381196543010404</v>
      </c>
      <c r="AN9740">
        <v>0.99999995608547698</v>
      </c>
    </row>
    <row r="9741" spans="1:40" x14ac:dyDescent="0.25">
      <c r="A9741" t="str">
        <f>"20190312154142715"</f>
        <v>20190312154142715</v>
      </c>
      <c r="B9741" t="str">
        <f>"1552376502706072"</f>
        <v>1552376502706072</v>
      </c>
      <c r="C9741" t="s">
        <v>40</v>
      </c>
      <c r="D9741">
        <v>4.4595840000000004</v>
      </c>
      <c r="E9741">
        <v>0.4567581</v>
      </c>
      <c r="F9741" t="s">
        <v>42</v>
      </c>
      <c r="G9741">
        <v>-190.42169999999999</v>
      </c>
      <c r="H9741" s="1">
        <v>-1.2862709999999999E-6</v>
      </c>
      <c r="I9741">
        <v>12.32586</v>
      </c>
      <c r="J9741">
        <v>-187.58320000000001</v>
      </c>
      <c r="K9741">
        <v>1.117548</v>
      </c>
      <c r="L9741">
        <v>-30.266200000000001</v>
      </c>
      <c r="M9741">
        <v>6.2959050000000003E-2</v>
      </c>
      <c r="N9741">
        <v>0</v>
      </c>
      <c r="O9741">
        <v>0.99788759999999999</v>
      </c>
      <c r="P9741">
        <v>5.8335829999999998E-2</v>
      </c>
      <c r="Q9741">
        <v>-1.9119569999999999E-2</v>
      </c>
      <c r="R9741">
        <v>0.9981139</v>
      </c>
      <c r="S9741">
        <v>-0.19955439999999999</v>
      </c>
      <c r="T9741">
        <v>-7.8770279999999998E-2</v>
      </c>
      <c r="U9741">
        <v>3.0192570000000001</v>
      </c>
      <c r="V9741">
        <v>-4.5716999999999997E-3</v>
      </c>
      <c r="W9741">
        <v>-3.1884349999999999E-3</v>
      </c>
      <c r="X9741">
        <v>0.9999844</v>
      </c>
      <c r="Y9741">
        <v>-0.12862699999999999</v>
      </c>
      <c r="Z9741">
        <v>-2.5866210000000001E-2</v>
      </c>
      <c r="AA9741">
        <v>0.99135569999999895</v>
      </c>
      <c r="AB9741">
        <v>25</v>
      </c>
      <c r="AC9741">
        <v>-2.8384999999999798</v>
      </c>
      <c r="AD9741">
        <v>-1.1175492862709999</v>
      </c>
      <c r="AE9741">
        <v>42.592059999999996</v>
      </c>
      <c r="AF9741">
        <v>-5.5109895939557401</v>
      </c>
      <c r="AG9741">
        <v>-1.1175492862709999</v>
      </c>
      <c r="AH9741">
        <v>42.299815412068</v>
      </c>
      <c r="AI9741">
        <v>91.500709414824001</v>
      </c>
      <c r="AJ9741">
        <v>97.422913711690697</v>
      </c>
      <c r="AK9741">
        <v>42.671938163235097</v>
      </c>
      <c r="AL9741">
        <v>90.182684190450701</v>
      </c>
      <c r="AM9741">
        <v>90.261941376570306</v>
      </c>
      <c r="AN9741">
        <v>0.99999993340099702</v>
      </c>
    </row>
    <row r="9742" spans="1:40" x14ac:dyDescent="0.25">
      <c r="A9742" t="str">
        <f>"20190312154142738"</f>
        <v>20190312154142738</v>
      </c>
      <c r="B9742" t="str">
        <f>"1552376502725589"</f>
        <v>1552376502725589</v>
      </c>
      <c r="C9742" t="s">
        <v>40</v>
      </c>
      <c r="D9742">
        <v>4.4601989999999896</v>
      </c>
      <c r="E9742">
        <v>0.4584124</v>
      </c>
      <c r="F9742" t="s">
        <v>42</v>
      </c>
      <c r="G9742">
        <v>-189.5643</v>
      </c>
      <c r="H9742" s="1">
        <v>-2.1768020000000001E-6</v>
      </c>
      <c r="I9742">
        <v>4.5268300000000004</v>
      </c>
      <c r="J9742">
        <v>-187.57900000000001</v>
      </c>
      <c r="K9742">
        <v>1.1171960000000001</v>
      </c>
      <c r="L9742">
        <v>-30.02319</v>
      </c>
      <c r="M9742">
        <v>5.3027440000000002E-2</v>
      </c>
      <c r="N9742">
        <v>0</v>
      </c>
      <c r="O9742">
        <v>0.99846550000000001</v>
      </c>
      <c r="P9742">
        <v>4.9852059999999997E-2</v>
      </c>
      <c r="Q9742">
        <v>-1.8790149999999999E-2</v>
      </c>
      <c r="R9742">
        <v>0.99857989999999996</v>
      </c>
      <c r="S9742">
        <v>-0.17161560000000001</v>
      </c>
      <c r="T9742">
        <v>-9.6804860000000006E-2</v>
      </c>
      <c r="U9742">
        <v>3.013855</v>
      </c>
      <c r="V9742">
        <v>-3.1283359999999998E-3</v>
      </c>
      <c r="W9742">
        <v>-2.8871589999999998E-3</v>
      </c>
      <c r="X9742">
        <v>0.99999090000000002</v>
      </c>
      <c r="Y9742">
        <v>-0.1096895</v>
      </c>
      <c r="Z9742">
        <v>-3.1912910000000003E-2</v>
      </c>
      <c r="AA9742">
        <v>0.99345340000000004</v>
      </c>
      <c r="AB9742">
        <v>25</v>
      </c>
      <c r="AC9742">
        <v>-1.9852999999999901</v>
      </c>
      <c r="AD9742">
        <v>-1.1171981768019901</v>
      </c>
      <c r="AE9742">
        <v>34.550020000000004</v>
      </c>
      <c r="AF9742">
        <v>-3.8108670755287699</v>
      </c>
      <c r="AG9742">
        <v>-1.1171981768019901</v>
      </c>
      <c r="AH9742">
        <v>34.360300108042203</v>
      </c>
      <c r="AI9742">
        <v>91.850930008646799</v>
      </c>
      <c r="AJ9742">
        <v>96.328753506920805</v>
      </c>
      <c r="AK9742">
        <v>34.589030965731403</v>
      </c>
      <c r="AL9742">
        <v>90.165422261732104</v>
      </c>
      <c r="AM9742">
        <v>90.179241496077793</v>
      </c>
      <c r="AN9742">
        <v>0.99999996112801404</v>
      </c>
    </row>
    <row r="9743" spans="1:40" x14ac:dyDescent="0.25">
      <c r="A9743" t="str">
        <f>"20190312154142761"</f>
        <v>20190312154142761</v>
      </c>
      <c r="B9743" t="str">
        <f>"1552376502755376"</f>
        <v>1552376502755376</v>
      </c>
      <c r="C9743" t="s">
        <v>40</v>
      </c>
      <c r="D9743">
        <v>4.4498949999999997</v>
      </c>
      <c r="E9743">
        <v>0.46059240000000001</v>
      </c>
      <c r="F9743" t="s">
        <v>42</v>
      </c>
      <c r="G9743">
        <v>-189.6925</v>
      </c>
      <c r="H9743" s="1">
        <v>-2.1694080000000002E-6</v>
      </c>
      <c r="I9743">
        <v>4.5625929999999997</v>
      </c>
      <c r="J9743">
        <v>-187.57679999999999</v>
      </c>
      <c r="K9743">
        <v>1.116779</v>
      </c>
      <c r="L9743">
        <v>-29.778320000000001</v>
      </c>
      <c r="M9743">
        <v>4.3577619999999997E-2</v>
      </c>
      <c r="N9743">
        <v>0</v>
      </c>
      <c r="O9743">
        <v>0.99892369999999997</v>
      </c>
      <c r="P9743">
        <v>4.14104E-2</v>
      </c>
      <c r="Q9743">
        <v>-1.801123E-2</v>
      </c>
      <c r="R9743">
        <v>0.99897990000000003</v>
      </c>
      <c r="S9743">
        <v>-0.18403630000000001</v>
      </c>
      <c r="T9743">
        <v>-9.7282289999999993E-2</v>
      </c>
      <c r="U9743">
        <v>3.0116269999999998</v>
      </c>
      <c r="V9743">
        <v>-2.1331879999999998E-3</v>
      </c>
      <c r="W9743">
        <v>-2.1555519999999998E-3</v>
      </c>
      <c r="X9743">
        <v>0.99999539999999998</v>
      </c>
      <c r="Y9743">
        <v>-0.10440729999999999</v>
      </c>
      <c r="Z9743">
        <v>-3.2121200000000003E-2</v>
      </c>
      <c r="AA9743">
        <v>0.9940158</v>
      </c>
      <c r="AB9743">
        <v>25</v>
      </c>
      <c r="AC9743">
        <v>-2.1156999999999999</v>
      </c>
      <c r="AD9743">
        <v>-1.1167811694079901</v>
      </c>
      <c r="AE9743">
        <v>34.340913</v>
      </c>
      <c r="AF9743">
        <v>-3.6065740346912198</v>
      </c>
      <c r="AG9743">
        <v>-1.1167811694079901</v>
      </c>
      <c r="AH9743">
        <v>34.180062201190303</v>
      </c>
      <c r="AI9743">
        <v>91.861061718794105</v>
      </c>
      <c r="AJ9743">
        <v>96.023384321863503</v>
      </c>
      <c r="AK9743">
        <v>34.387951793110503</v>
      </c>
      <c r="AL9743">
        <v>90.123504127953197</v>
      </c>
      <c r="AM9743">
        <v>90.122223046141698</v>
      </c>
      <c r="AN9743">
        <v>0.999999998458314</v>
      </c>
    </row>
    <row r="9744" spans="1:40" x14ac:dyDescent="0.25">
      <c r="A9744" t="str">
        <f>"20190312154142782"</f>
        <v>20190312154142782</v>
      </c>
      <c r="B9744" t="str">
        <f>"1552376502775872"</f>
        <v>1552376502775872</v>
      </c>
      <c r="C9744" t="s">
        <v>40</v>
      </c>
      <c r="D9744">
        <v>4.4275070000000003</v>
      </c>
      <c r="E9744">
        <v>0.46784209999999898</v>
      </c>
      <c r="F9744" t="s">
        <v>42</v>
      </c>
      <c r="G9744">
        <v>-189.7405</v>
      </c>
      <c r="H9744" s="1">
        <v>-1.9584129999999999E-6</v>
      </c>
      <c r="I9744">
        <v>4.090611</v>
      </c>
      <c r="J9744">
        <v>-187.57640000000001</v>
      </c>
      <c r="K9744">
        <v>1.1163670000000001</v>
      </c>
      <c r="L9744">
        <v>-29.525020000000001</v>
      </c>
      <c r="M9744">
        <v>3.4318370000000001E-2</v>
      </c>
      <c r="N9744">
        <v>0</v>
      </c>
      <c r="O9744">
        <v>0.9992858</v>
      </c>
      <c r="P9744">
        <v>3.3516619999999997E-2</v>
      </c>
      <c r="Q9744">
        <v>-1.5748109999999999E-2</v>
      </c>
      <c r="R9744">
        <v>0.99931409999999998</v>
      </c>
      <c r="S9744">
        <v>-0.19224550000000001</v>
      </c>
      <c r="T9744">
        <v>-9.9225759999999996E-2</v>
      </c>
      <c r="U9744">
        <v>3.0092469999999998</v>
      </c>
      <c r="V9744">
        <v>-8.0329570000000001E-4</v>
      </c>
      <c r="W9744" s="1">
        <v>5.7897489999999999E-5</v>
      </c>
      <c r="X9744">
        <v>0.99999970000000005</v>
      </c>
      <c r="Y9744">
        <v>-9.7935839999999996E-2</v>
      </c>
      <c r="Z9744">
        <v>-3.2813960000000003E-2</v>
      </c>
      <c r="AA9744">
        <v>0.99465159999999997</v>
      </c>
      <c r="AB9744">
        <v>25</v>
      </c>
      <c r="AC9744">
        <v>-2.1640999999999901</v>
      </c>
      <c r="AD9744">
        <v>-1.1163689584129901</v>
      </c>
      <c r="AE9744">
        <v>33.615631</v>
      </c>
      <c r="AF9744">
        <v>-3.3129641340463101</v>
      </c>
      <c r="AG9744">
        <v>-1.1163689584129901</v>
      </c>
      <c r="AH9744">
        <v>33.484769466019301</v>
      </c>
      <c r="AI9744">
        <v>91.900240090753798</v>
      </c>
      <c r="AJ9744">
        <v>95.650422521044206</v>
      </c>
      <c r="AK9744">
        <v>33.666775865788502</v>
      </c>
      <c r="AL9744">
        <v>89.996682718257404</v>
      </c>
      <c r="AM9744">
        <v>90.046025457218803</v>
      </c>
      <c r="AN9744">
        <v>1.00000002431809</v>
      </c>
    </row>
    <row r="9745" spans="1:40" x14ac:dyDescent="0.25">
      <c r="A9745" t="str">
        <f>"20190312154142806"</f>
        <v>20190312154142806</v>
      </c>
      <c r="B9745" t="str">
        <f>"1552376502795392"</f>
        <v>1552376502795392</v>
      </c>
      <c r="C9745" t="s">
        <v>40</v>
      </c>
      <c r="D9745">
        <v>4.4181520000000001</v>
      </c>
      <c r="E9745">
        <v>0.46978320000000001</v>
      </c>
      <c r="F9745" t="s">
        <v>42</v>
      </c>
      <c r="G9745">
        <v>-189.7176</v>
      </c>
      <c r="H9745" s="1">
        <v>-7.6457959999999996E-7</v>
      </c>
      <c r="I9745">
        <v>11.298249999999999</v>
      </c>
      <c r="J9745">
        <v>-187.57759999999999</v>
      </c>
      <c r="K9745">
        <v>1.1159619999999999</v>
      </c>
      <c r="L9745">
        <v>-29.270510000000002</v>
      </c>
      <c r="M9745">
        <v>2.5589219999999999E-2</v>
      </c>
      <c r="N9745">
        <v>0</v>
      </c>
      <c r="O9745">
        <v>0.99954860000000001</v>
      </c>
      <c r="P9745">
        <v>2.6155169999999998E-2</v>
      </c>
      <c r="Q9745">
        <v>-1.3260340000000001E-2</v>
      </c>
      <c r="R9745">
        <v>0.99956999999999996</v>
      </c>
      <c r="S9745">
        <v>-0.15766910000000001</v>
      </c>
      <c r="T9745">
        <v>-8.2204340000000001E-2</v>
      </c>
      <c r="U9745">
        <v>3.0060419999999999</v>
      </c>
      <c r="V9745">
        <v>5.3006980000000004E-4</v>
      </c>
      <c r="W9745">
        <v>2.4922500000000001E-3</v>
      </c>
      <c r="X9745">
        <v>0.99999680000000002</v>
      </c>
      <c r="Y9745">
        <v>-7.7899339999999997E-2</v>
      </c>
      <c r="Z9745">
        <v>-2.7262459999999999E-2</v>
      </c>
      <c r="AA9745">
        <v>0.99658840000000004</v>
      </c>
      <c r="AB9745">
        <v>25</v>
      </c>
      <c r="AC9745">
        <v>-2.1400000000000099</v>
      </c>
      <c r="AD9745">
        <v>-1.1159627645796</v>
      </c>
      <c r="AE9745">
        <v>40.568759999999997</v>
      </c>
      <c r="AF9745">
        <v>-3.17515470306639</v>
      </c>
      <c r="AG9745">
        <v>-1.1159627645796</v>
      </c>
      <c r="AH9745">
        <v>40.470166186428699</v>
      </c>
      <c r="AI9745">
        <v>91.574691343356093</v>
      </c>
      <c r="AJ9745">
        <v>94.486046905460398</v>
      </c>
      <c r="AK9745">
        <v>40.609867414675101</v>
      </c>
      <c r="AL9745">
        <v>89.857204452273294</v>
      </c>
      <c r="AM9745">
        <v>89.969629143270396</v>
      </c>
      <c r="AN9745">
        <v>1.0000000461471401</v>
      </c>
    </row>
    <row r="9746" spans="1:40" x14ac:dyDescent="0.25">
      <c r="A9746" t="str">
        <f>"20190312154142830"</f>
        <v>20190312154142830</v>
      </c>
      <c r="B9746" t="str">
        <f>"1552376502815888"</f>
        <v>1552376502815888</v>
      </c>
      <c r="C9746" t="s">
        <v>40</v>
      </c>
      <c r="D9746">
        <v>4.4222539999999997</v>
      </c>
      <c r="E9746">
        <v>0.4717056</v>
      </c>
      <c r="F9746" t="s">
        <v>42</v>
      </c>
      <c r="G9746">
        <v>-190.21969999999999</v>
      </c>
      <c r="H9746" s="1">
        <v>-4.1847470000000002E-6</v>
      </c>
      <c r="I9746">
        <v>19.207609999999999</v>
      </c>
      <c r="J9746">
        <v>-187.5804</v>
      </c>
      <c r="K9746">
        <v>1.115532</v>
      </c>
      <c r="L9746">
        <v>-29.00705</v>
      </c>
      <c r="M9746">
        <v>1.7258119999999998E-2</v>
      </c>
      <c r="N9746">
        <v>0</v>
      </c>
      <c r="O9746">
        <v>0.99972830000000001</v>
      </c>
      <c r="P9746">
        <v>1.9300890000000001E-2</v>
      </c>
      <c r="Q9746">
        <v>-1.2533570000000001E-2</v>
      </c>
      <c r="R9746">
        <v>0.99973520000000005</v>
      </c>
      <c r="S9746">
        <v>-0.16375729999999999</v>
      </c>
      <c r="T9746">
        <v>-6.9167489999999998E-2</v>
      </c>
      <c r="U9746">
        <v>3.0046689999999998</v>
      </c>
      <c r="V9746">
        <v>2.001283E-3</v>
      </c>
      <c r="W9746">
        <v>3.1588660000000002E-3</v>
      </c>
      <c r="X9746">
        <v>0.99999300000000002</v>
      </c>
      <c r="Y9746">
        <v>-7.1632399999999999E-2</v>
      </c>
      <c r="Z9746">
        <v>-2.296217E-2</v>
      </c>
      <c r="AA9746">
        <v>0.99716680000000002</v>
      </c>
      <c r="AB9746">
        <v>25</v>
      </c>
      <c r="AC9746">
        <v>-2.6392999999999902</v>
      </c>
      <c r="AD9746">
        <v>-1.115536184747</v>
      </c>
      <c r="AE9746">
        <v>48.214660000000002</v>
      </c>
      <c r="AF9746">
        <v>-3.46925177279125</v>
      </c>
      <c r="AG9746">
        <v>-1.115536184747</v>
      </c>
      <c r="AH9746">
        <v>48.136231517083999</v>
      </c>
      <c r="AI9746">
        <v>91.324133794280698</v>
      </c>
      <c r="AJ9746">
        <v>94.122266817827693</v>
      </c>
      <c r="AK9746">
        <v>48.273977601900597</v>
      </c>
      <c r="AL9746">
        <v>89.819010007669704</v>
      </c>
      <c r="AM9746">
        <v>89.885334280913398</v>
      </c>
      <c r="AN9746">
        <v>0.99999999180852595</v>
      </c>
    </row>
    <row r="9747" spans="1:40" x14ac:dyDescent="0.25">
      <c r="A9747" t="str">
        <f>"20190312154142852"</f>
        <v>20190312154142852</v>
      </c>
      <c r="B9747" t="str">
        <f>"1552376502846143"</f>
        <v>1552376502846143</v>
      </c>
      <c r="C9747" t="s">
        <v>40</v>
      </c>
      <c r="D9747">
        <v>4.3790079999999998</v>
      </c>
      <c r="E9747">
        <v>0.47861399999999998</v>
      </c>
      <c r="F9747" t="s">
        <v>42</v>
      </c>
      <c r="G9747">
        <v>-190.55600000000001</v>
      </c>
      <c r="H9747" s="1">
        <v>-2.0028800000000002E-6</v>
      </c>
      <c r="I9747">
        <v>23.913019999999999</v>
      </c>
      <c r="J9747">
        <v>-187.58420000000001</v>
      </c>
      <c r="K9747">
        <v>1.1150850000000001</v>
      </c>
      <c r="L9747">
        <v>-28.766480000000001</v>
      </c>
      <c r="M9747">
        <v>1.034967E-2</v>
      </c>
      <c r="N9747">
        <v>0</v>
      </c>
      <c r="O9747">
        <v>0.99982490000000002</v>
      </c>
      <c r="P9747">
        <v>1.424535E-2</v>
      </c>
      <c r="Q9747">
        <v>-1.192056E-2</v>
      </c>
      <c r="R9747">
        <v>0.99982740000000003</v>
      </c>
      <c r="S9747">
        <v>-0.16886899999999999</v>
      </c>
      <c r="T9747">
        <v>-6.3307639999999998E-2</v>
      </c>
      <c r="U9747">
        <v>3.0032649999999999</v>
      </c>
      <c r="V9747">
        <v>3.851265E-3</v>
      </c>
      <c r="W9747">
        <v>3.7167630000000001E-3</v>
      </c>
      <c r="X9747">
        <v>0.99998569999999998</v>
      </c>
      <c r="Y9747">
        <v>-6.6458970000000006E-2</v>
      </c>
      <c r="Z9747">
        <v>-2.1033329999999999E-2</v>
      </c>
      <c r="AA9747">
        <v>0.99756739999999999</v>
      </c>
      <c r="AB9747">
        <v>25</v>
      </c>
      <c r="AC9747">
        <v>-2.9717999999999698</v>
      </c>
      <c r="AD9747">
        <v>-1.11508700288</v>
      </c>
      <c r="AE9747">
        <v>52.679499999999997</v>
      </c>
      <c r="AF9747">
        <v>-3.51535241995883</v>
      </c>
      <c r="AG9747">
        <v>-1.11508700288</v>
      </c>
      <c r="AH9747">
        <v>52.622413854585098</v>
      </c>
      <c r="AI9747">
        <v>91.211236679964699</v>
      </c>
      <c r="AJ9747">
        <v>93.821870285651499</v>
      </c>
      <c r="AK9747">
        <v>52.751488714004402</v>
      </c>
      <c r="AL9747">
        <v>89.7870446813223</v>
      </c>
      <c r="AM9747">
        <v>89.779336705216807</v>
      </c>
      <c r="AN9747">
        <v>1.00000002338689</v>
      </c>
    </row>
    <row r="9748" spans="1:40" x14ac:dyDescent="0.25">
      <c r="A9748" t="str">
        <f>"20190312154142872"</f>
        <v>20190312154142872</v>
      </c>
      <c r="B9748" t="str">
        <f>"1552376502865664"</f>
        <v>1552376502865664</v>
      </c>
      <c r="C9748" t="s">
        <v>40</v>
      </c>
      <c r="D9748">
        <v>4.4058619999999999</v>
      </c>
      <c r="E9748">
        <v>0.47944120000000001</v>
      </c>
      <c r="F9748" t="s">
        <v>42</v>
      </c>
      <c r="G9748">
        <v>-189.822</v>
      </c>
      <c r="H9748" s="1">
        <v>-1.62145E-6</v>
      </c>
      <c r="I9748">
        <v>23.338789999999999</v>
      </c>
      <c r="J9748">
        <v>-187.5889</v>
      </c>
      <c r="K9748">
        <v>1.114584</v>
      </c>
      <c r="L9748">
        <v>-28.52853</v>
      </c>
      <c r="M9748">
        <v>4.2218510000000004E-3</v>
      </c>
      <c r="N9748">
        <v>0</v>
      </c>
      <c r="O9748">
        <v>0.99987079999999995</v>
      </c>
      <c r="P9748">
        <v>9.6844740000000002E-3</v>
      </c>
      <c r="Q9748">
        <v>-1.1191039999999999E-2</v>
      </c>
      <c r="R9748">
        <v>0.99989050000000002</v>
      </c>
      <c r="S9748">
        <v>-0.1289063</v>
      </c>
      <c r="T9748">
        <v>-6.4235929999999997E-2</v>
      </c>
      <c r="U9748">
        <v>3.0015869999999998</v>
      </c>
      <c r="V9748">
        <v>5.4157429999999998E-3</v>
      </c>
      <c r="W9748">
        <v>4.3805140000000003E-3</v>
      </c>
      <c r="X9748">
        <v>0.99997570000000002</v>
      </c>
      <c r="Y9748">
        <v>-4.711477E-2</v>
      </c>
      <c r="Z9748">
        <v>-2.1373739999999999E-2</v>
      </c>
      <c r="AA9748">
        <v>0.99866080000000002</v>
      </c>
      <c r="AB9748">
        <v>25</v>
      </c>
      <c r="AC9748">
        <v>-2.2330999999999999</v>
      </c>
      <c r="AD9748">
        <v>-1.1145856214500001</v>
      </c>
      <c r="AE9748">
        <v>51.867319999999999</v>
      </c>
      <c r="AF9748">
        <v>-2.4509528159705898</v>
      </c>
      <c r="AG9748">
        <v>-1.1145856214500001</v>
      </c>
      <c r="AH9748">
        <v>51.833537062963202</v>
      </c>
      <c r="AI9748">
        <v>91.230476929623507</v>
      </c>
      <c r="AJ9748">
        <v>92.707218904130102</v>
      </c>
      <c r="AK9748">
        <v>51.9034202656361</v>
      </c>
      <c r="AL9748">
        <v>89.749014222938499</v>
      </c>
      <c r="AM9748">
        <v>89.689696276606199</v>
      </c>
      <c r="AN9748">
        <v>0.99999995988281698</v>
      </c>
    </row>
    <row r="9749" spans="1:40" x14ac:dyDescent="0.25">
      <c r="A9749" t="str">
        <f>"20190312154142893"</f>
        <v>20190312154142893</v>
      </c>
      <c r="B9749" t="str">
        <f>"1552376502886160"</f>
        <v>1552376502886160</v>
      </c>
      <c r="C9749" t="s">
        <v>40</v>
      </c>
      <c r="D9749">
        <v>4.344392</v>
      </c>
      <c r="E9749">
        <v>0.48052250000000002</v>
      </c>
      <c r="F9749" t="s">
        <v>42</v>
      </c>
      <c r="G9749">
        <v>-189.7354</v>
      </c>
      <c r="H9749" s="1">
        <v>-3.9643910000000001E-6</v>
      </c>
      <c r="I9749">
        <v>18.76446</v>
      </c>
      <c r="J9749">
        <v>-187.5943</v>
      </c>
      <c r="K9749">
        <v>1.114034</v>
      </c>
      <c r="L9749">
        <v>-28.287960000000002</v>
      </c>
      <c r="M9749">
        <v>-1.25062E-3</v>
      </c>
      <c r="N9749">
        <v>0</v>
      </c>
      <c r="O9749">
        <v>0.99988010000000005</v>
      </c>
      <c r="P9749">
        <v>5.6732129999999999E-3</v>
      </c>
      <c r="Q9749">
        <v>-1.123597E-2</v>
      </c>
      <c r="R9749">
        <v>0.99992080000000005</v>
      </c>
      <c r="S9749">
        <v>-0.13619999999999999</v>
      </c>
      <c r="T9749">
        <v>-7.0723300000000003E-2</v>
      </c>
      <c r="U9749">
        <v>3.0008539999999999</v>
      </c>
      <c r="V9749">
        <v>6.8841060000000001E-3</v>
      </c>
      <c r="W9749">
        <v>4.2641679999999996E-3</v>
      </c>
      <c r="X9749">
        <v>0.99996719999999895</v>
      </c>
      <c r="Y9749">
        <v>-4.4078310000000002E-2</v>
      </c>
      <c r="Z9749">
        <v>-2.3537590000000001E-2</v>
      </c>
      <c r="AA9749">
        <v>0.99875069999999999</v>
      </c>
      <c r="AB9749">
        <v>25</v>
      </c>
      <c r="AC9749">
        <v>-2.14109999999999</v>
      </c>
      <c r="AD9749">
        <v>-1.1140379643909999</v>
      </c>
      <c r="AE9749">
        <v>47.052419999999998</v>
      </c>
      <c r="AF9749">
        <v>-2.0810824190538701</v>
      </c>
      <c r="AG9749">
        <v>-1.1140379643909999</v>
      </c>
      <c r="AH9749">
        <v>47.028752409152098</v>
      </c>
      <c r="AI9749">
        <v>91.3556679029398</v>
      </c>
      <c r="AJ9749">
        <v>92.533758509163803</v>
      </c>
      <c r="AK9749">
        <v>47.087955336607301</v>
      </c>
      <c r="AL9749">
        <v>89.755680427006396</v>
      </c>
      <c r="AM9749">
        <v>89.605563073982694</v>
      </c>
      <c r="AN9749">
        <v>0.99999998755999497</v>
      </c>
    </row>
    <row r="9750" spans="1:40" x14ac:dyDescent="0.25">
      <c r="A9750" t="str">
        <f>"20190312154142917"</f>
        <v>20190312154142917</v>
      </c>
      <c r="B9750" t="str">
        <f>"1552376502905680"</f>
        <v>1552376502905680</v>
      </c>
      <c r="C9750" t="s">
        <v>40</v>
      </c>
      <c r="D9750">
        <v>4.3400109999999996</v>
      </c>
      <c r="E9750">
        <v>0.48134559999999998</v>
      </c>
      <c r="F9750" t="s">
        <v>42</v>
      </c>
      <c r="G9750">
        <v>-189.7465</v>
      </c>
      <c r="H9750" s="1">
        <v>-3.6044120000000001E-6</v>
      </c>
      <c r="I9750">
        <v>17.929939999999998</v>
      </c>
      <c r="J9750">
        <v>-187.60050000000001</v>
      </c>
      <c r="K9750">
        <v>1.113442</v>
      </c>
      <c r="L9750">
        <v>-28.036439999999999</v>
      </c>
      <c r="M9750">
        <v>-6.2124729999999996E-3</v>
      </c>
      <c r="N9750">
        <v>0</v>
      </c>
      <c r="O9750">
        <v>0.99986269999999999</v>
      </c>
      <c r="P9750">
        <v>2.8344429999999999E-3</v>
      </c>
      <c r="Q9750">
        <v>-1.1420049999999999E-2</v>
      </c>
      <c r="R9750">
        <v>0.99993080000000001</v>
      </c>
      <c r="S9750">
        <v>-0.13970949999999999</v>
      </c>
      <c r="T9750">
        <v>-7.2317240000000005E-2</v>
      </c>
      <c r="U9750">
        <v>3.0002140000000002</v>
      </c>
      <c r="V9750">
        <v>9.0155419999999997E-3</v>
      </c>
      <c r="W9750">
        <v>4.0109689999999996E-3</v>
      </c>
      <c r="X9750">
        <v>0.99995129999999999</v>
      </c>
      <c r="Y9750">
        <v>-4.0295249999999998E-2</v>
      </c>
      <c r="Z9750">
        <v>-2.4073520000000001E-2</v>
      </c>
      <c r="AA9750">
        <v>0.99889779999999995</v>
      </c>
      <c r="AB9750">
        <v>25</v>
      </c>
      <c r="AC9750">
        <v>-2.1459999999999799</v>
      </c>
      <c r="AD9750">
        <v>-1.113445604412</v>
      </c>
      <c r="AE9750">
        <v>45.966380000000001</v>
      </c>
      <c r="AF9750">
        <v>-1.85927141658322</v>
      </c>
      <c r="AG9750">
        <v>-1.113445604412</v>
      </c>
      <c r="AH9750">
        <v>45.951922372651097</v>
      </c>
      <c r="AI9750">
        <v>91.386908835312099</v>
      </c>
      <c r="AJ9750">
        <v>92.316994017316105</v>
      </c>
      <c r="AK9750">
        <v>46.0029979572708</v>
      </c>
      <c r="AL9750">
        <v>89.770187784921603</v>
      </c>
      <c r="AM9750">
        <v>89.483436332535902</v>
      </c>
      <c r="AN9750">
        <v>0.99999998512078103</v>
      </c>
    </row>
    <row r="9751" spans="1:40" x14ac:dyDescent="0.25">
      <c r="A9751" t="str">
        <f>"20190312154142939"</f>
        <v>20190312154142939</v>
      </c>
      <c r="B9751" t="str">
        <f>"1552376502935936"</f>
        <v>1552376502935936</v>
      </c>
      <c r="C9751" t="s">
        <v>40</v>
      </c>
      <c r="D9751">
        <v>4.3322149999999997</v>
      </c>
      <c r="E9751">
        <v>0.48253190000000001</v>
      </c>
      <c r="F9751" t="s">
        <v>42</v>
      </c>
      <c r="G9751">
        <v>-189.66980000000001</v>
      </c>
      <c r="H9751" s="1">
        <v>-2.6918319999999998E-6</v>
      </c>
      <c r="I9751">
        <v>15.77094</v>
      </c>
      <c r="J9751">
        <v>-187.60659999999999</v>
      </c>
      <c r="K9751">
        <v>1.1129039999999999</v>
      </c>
      <c r="L9751">
        <v>-27.797059999999998</v>
      </c>
      <c r="M9751">
        <v>-1.0145690000000001E-2</v>
      </c>
      <c r="N9751">
        <v>0</v>
      </c>
      <c r="O9751">
        <v>0.99983160000000004</v>
      </c>
      <c r="P9751">
        <v>1.2031539999999999E-3</v>
      </c>
      <c r="Q9751">
        <v>-1.2122620000000001E-2</v>
      </c>
      <c r="R9751">
        <v>0.99992579999999998</v>
      </c>
      <c r="S9751">
        <v>-0.14169309999999999</v>
      </c>
      <c r="T9751">
        <v>-7.6243519999999995E-2</v>
      </c>
      <c r="U9751">
        <v>2.9997250000000002</v>
      </c>
      <c r="V9751">
        <v>1.132794E-2</v>
      </c>
      <c r="W9751">
        <v>3.2451730000000001E-3</v>
      </c>
      <c r="X9751">
        <v>0.9999306</v>
      </c>
      <c r="Y9751">
        <v>-3.7029560000000003E-2</v>
      </c>
      <c r="Z9751">
        <v>-2.5383820000000001E-2</v>
      </c>
      <c r="AA9751">
        <v>0.99899170000000004</v>
      </c>
      <c r="AB9751">
        <v>25</v>
      </c>
      <c r="AC9751">
        <v>-2.0632000000000201</v>
      </c>
      <c r="AD9751">
        <v>-1.1129066918320001</v>
      </c>
      <c r="AE9751">
        <v>43.567999999999998</v>
      </c>
      <c r="AF9751">
        <v>-1.6199600095867199</v>
      </c>
      <c r="AG9751">
        <v>-1.1129066918320001</v>
      </c>
      <c r="AH9751">
        <v>43.558333785491001</v>
      </c>
      <c r="AI9751">
        <v>91.462566581810094</v>
      </c>
      <c r="AJ9751">
        <v>92.129882069457096</v>
      </c>
      <c r="AK9751">
        <v>43.602652143024898</v>
      </c>
      <c r="AL9751">
        <v>89.814064962367297</v>
      </c>
      <c r="AM9751">
        <v>89.350939566564804</v>
      </c>
      <c r="AN9751">
        <v>1.0000000290944</v>
      </c>
    </row>
    <row r="9752" spans="1:40" x14ac:dyDescent="0.25">
      <c r="A9752" t="str">
        <f>"20190312154142961"</f>
        <v>20190312154142961</v>
      </c>
      <c r="B9752" t="str">
        <f>"1552376502955963"</f>
        <v>1552376502955963</v>
      </c>
      <c r="C9752" t="s">
        <v>40</v>
      </c>
      <c r="D9752">
        <v>4.3155390000000002</v>
      </c>
      <c r="E9752">
        <v>0.48327979999999998</v>
      </c>
      <c r="F9752" t="s">
        <v>42</v>
      </c>
      <c r="G9752">
        <v>-189.4932</v>
      </c>
      <c r="H9752" s="1">
        <v>-1.7072829999999999E-6</v>
      </c>
      <c r="I9752">
        <v>13.402939999999999</v>
      </c>
      <c r="J9752">
        <v>-187.61320000000001</v>
      </c>
      <c r="K9752">
        <v>1.1123959999999999</v>
      </c>
      <c r="L9752">
        <v>-27.55029</v>
      </c>
      <c r="M9752">
        <v>-1.3458060000000001E-2</v>
      </c>
      <c r="N9752">
        <v>0</v>
      </c>
      <c r="O9752">
        <v>0.99979340000000005</v>
      </c>
      <c r="P9752">
        <v>6.2932159999999995E-4</v>
      </c>
      <c r="Q9752">
        <v>-1.189525E-2</v>
      </c>
      <c r="R9752">
        <v>0.99992910000000002</v>
      </c>
      <c r="S9752">
        <v>-0.13734440000000001</v>
      </c>
      <c r="T9752">
        <v>-8.1021190000000007E-2</v>
      </c>
      <c r="U9752">
        <v>2.9994200000000002</v>
      </c>
      <c r="V9752">
        <v>1.406978E-2</v>
      </c>
      <c r="W9752">
        <v>3.410635E-3</v>
      </c>
      <c r="X9752">
        <v>0.99989519999999998</v>
      </c>
      <c r="Y9752">
        <v>-3.2276050000000001E-2</v>
      </c>
      <c r="Z9752">
        <v>-2.6977609999999999E-2</v>
      </c>
      <c r="AA9752">
        <v>0.99911479999999997</v>
      </c>
      <c r="AB9752">
        <v>25</v>
      </c>
      <c r="AC9752">
        <v>-1.8799999999999899</v>
      </c>
      <c r="AD9752">
        <v>-1.112397707283</v>
      </c>
      <c r="AE9752">
        <v>40.953229999999998</v>
      </c>
      <c r="AF9752">
        <v>-1.32763723635159</v>
      </c>
      <c r="AG9752">
        <v>-1.112397707283</v>
      </c>
      <c r="AH9752">
        <v>40.944678530916597</v>
      </c>
      <c r="AI9752">
        <v>91.5554295957985</v>
      </c>
      <c r="AJ9752">
        <v>91.857173406835599</v>
      </c>
      <c r="AK9752">
        <v>40.981297554989901</v>
      </c>
      <c r="AL9752">
        <v>89.804584630387296</v>
      </c>
      <c r="AM9752">
        <v>89.193829699585706</v>
      </c>
      <c r="AN9752">
        <v>1.0000000010616901</v>
      </c>
    </row>
    <row r="9753" spans="1:40" x14ac:dyDescent="0.25">
      <c r="A9753" t="str">
        <f>"20190312154142984"</f>
        <v>20190312154142984</v>
      </c>
      <c r="B9753" t="str">
        <f>"1552376502975484"</f>
        <v>1552376502975484</v>
      </c>
      <c r="C9753" t="s">
        <v>40</v>
      </c>
      <c r="D9753">
        <v>4.3510070000000001</v>
      </c>
      <c r="E9753">
        <v>0.48389270000000001</v>
      </c>
      <c r="F9753" t="s">
        <v>42</v>
      </c>
      <c r="G9753">
        <v>-189.44200000000001</v>
      </c>
      <c r="H9753" s="1">
        <v>-1.8226520000000001E-6</v>
      </c>
      <c r="I9753">
        <v>13.650690000000001</v>
      </c>
      <c r="J9753">
        <v>-187.62010000000001</v>
      </c>
      <c r="K9753">
        <v>1.1119709999999901</v>
      </c>
      <c r="L9753">
        <v>-27.29449</v>
      </c>
      <c r="M9753">
        <v>-1.6259659999999999E-2</v>
      </c>
      <c r="N9753">
        <v>0</v>
      </c>
      <c r="O9753">
        <v>0.99975259999999999</v>
      </c>
      <c r="P9753">
        <v>6.6482460000000005E-4</v>
      </c>
      <c r="Q9753">
        <v>-1.0450340000000001E-2</v>
      </c>
      <c r="R9753">
        <v>0.99994519999999998</v>
      </c>
      <c r="S9753">
        <v>-0.1331329</v>
      </c>
      <c r="T9753">
        <v>-8.0979819999999994E-2</v>
      </c>
      <c r="U9753">
        <v>2.9993289999999999</v>
      </c>
      <c r="V9753">
        <v>1.6904809999999999E-2</v>
      </c>
      <c r="W9753">
        <v>4.7944049999999998E-3</v>
      </c>
      <c r="X9753">
        <v>0.9998456</v>
      </c>
      <c r="Y9753">
        <v>-2.807639E-2</v>
      </c>
      <c r="Z9753">
        <v>-2.696554E-2</v>
      </c>
      <c r="AA9753">
        <v>0.99924199999999996</v>
      </c>
      <c r="AB9753">
        <v>25</v>
      </c>
      <c r="AC9753">
        <v>-1.8219000000000001</v>
      </c>
      <c r="AD9753">
        <v>-1.11197282265199</v>
      </c>
      <c r="AE9753">
        <v>40.945180000000001</v>
      </c>
      <c r="AF9753">
        <v>-1.1549775402845399</v>
      </c>
      <c r="AG9753">
        <v>-1.11197282265199</v>
      </c>
      <c r="AH9753">
        <v>40.939258327117898</v>
      </c>
      <c r="AI9753">
        <v>91.555239906960097</v>
      </c>
      <c r="AJ9753">
        <v>91.6159987480778</v>
      </c>
      <c r="AK9753">
        <v>40.970639841859601</v>
      </c>
      <c r="AL9753">
        <v>89.725299773457493</v>
      </c>
      <c r="AM9753">
        <v>89.031368453485698</v>
      </c>
      <c r="AN9753">
        <v>0.99999999137990003</v>
      </c>
    </row>
    <row r="9754" spans="1:40" x14ac:dyDescent="0.25">
      <c r="A9754" t="str">
        <f>"20190312154143006"</f>
        <v>20190312154143006</v>
      </c>
      <c r="B9754" t="str">
        <f>"1552376502995983"</f>
        <v>1552376502995983</v>
      </c>
      <c r="C9754" t="s">
        <v>40</v>
      </c>
      <c r="D9754">
        <v>4.3136479999999997</v>
      </c>
      <c r="E9754">
        <v>0.4844908</v>
      </c>
      <c r="F9754" t="s">
        <v>42</v>
      </c>
      <c r="G9754">
        <v>-189.4359</v>
      </c>
      <c r="H9754" s="1">
        <v>-2.4638699999999998E-6</v>
      </c>
      <c r="I9754">
        <v>15.14287</v>
      </c>
      <c r="J9754">
        <v>-187.6267</v>
      </c>
      <c r="K9754">
        <v>1.1116330000000001</v>
      </c>
      <c r="L9754">
        <v>-27.050509999999999</v>
      </c>
      <c r="M9754">
        <v>-1.8393240000000002E-2</v>
      </c>
      <c r="N9754">
        <v>0</v>
      </c>
      <c r="O9754">
        <v>0.99971650000000001</v>
      </c>
      <c r="P9754">
        <v>6.4388809999999896E-4</v>
      </c>
      <c r="Q9754">
        <v>-8.3168410000000002E-3</v>
      </c>
      <c r="R9754">
        <v>0.9999652</v>
      </c>
      <c r="S9754">
        <v>-0.1283417</v>
      </c>
      <c r="T9754">
        <v>-7.8592899999999993E-2</v>
      </c>
      <c r="U9754">
        <v>2.9994200000000002</v>
      </c>
      <c r="V9754">
        <v>1.9014659999999999E-2</v>
      </c>
      <c r="W9754">
        <v>6.8695639999999999E-3</v>
      </c>
      <c r="X9754">
        <v>0.99979560000000001</v>
      </c>
      <c r="Y9754">
        <v>-2.4349300000000001E-2</v>
      </c>
      <c r="Z9754">
        <v>-2.617121E-2</v>
      </c>
      <c r="AA9754">
        <v>0.9993609</v>
      </c>
      <c r="AB9754">
        <v>25</v>
      </c>
      <c r="AC9754">
        <v>-1.8091999999999999</v>
      </c>
      <c r="AD9754">
        <v>-1.1116354638699999</v>
      </c>
      <c r="AE9754">
        <v>42.193379999999998</v>
      </c>
      <c r="AF9754">
        <v>-1.0320171476720199</v>
      </c>
      <c r="AG9754">
        <v>-1.1116354638699999</v>
      </c>
      <c r="AH9754">
        <v>42.190289883103297</v>
      </c>
      <c r="AI9754">
        <v>91.508836627616205</v>
      </c>
      <c r="AJ9754">
        <v>91.401233269432097</v>
      </c>
      <c r="AK9754">
        <v>42.217547929953298</v>
      </c>
      <c r="AL9754">
        <v>89.606399877967704</v>
      </c>
      <c r="AM9754">
        <v>88.910448854771005</v>
      </c>
      <c r="AN9754">
        <v>0.99999999499191194</v>
      </c>
    </row>
    <row r="9755" spans="1:40" x14ac:dyDescent="0.25">
      <c r="A9755" t="str">
        <f>"20190312154143031"</f>
        <v>20190312154143031</v>
      </c>
      <c r="B9755" t="str">
        <f>"1552376503025261"</f>
        <v>1552376503025261</v>
      </c>
      <c r="C9755" t="s">
        <v>40</v>
      </c>
      <c r="D9755">
        <v>4.2799170000000002</v>
      </c>
      <c r="E9755">
        <v>0.48555900000000002</v>
      </c>
      <c r="F9755" t="s">
        <v>42</v>
      </c>
      <c r="G9755">
        <v>-189.46690000000001</v>
      </c>
      <c r="H9755" s="1">
        <v>-3.4715819999999999E-6</v>
      </c>
      <c r="I9755">
        <v>17.50468</v>
      </c>
      <c r="J9755">
        <v>-187.63399999999999</v>
      </c>
      <c r="K9755">
        <v>1.111308</v>
      </c>
      <c r="L9755">
        <v>-26.7836</v>
      </c>
      <c r="M9755">
        <v>-2.0160640000000001E-2</v>
      </c>
      <c r="N9755">
        <v>0</v>
      </c>
      <c r="O9755">
        <v>0.99968310000000005</v>
      </c>
      <c r="P9755">
        <v>-6.3851979999999999E-4</v>
      </c>
      <c r="Q9755">
        <v>-7.9802009999999993E-3</v>
      </c>
      <c r="R9755">
        <v>0.99996790000000002</v>
      </c>
      <c r="S9755">
        <v>-0.1238861</v>
      </c>
      <c r="T9755">
        <v>-7.4838279999999993E-2</v>
      </c>
      <c r="U9755">
        <v>2.9995729999999998</v>
      </c>
      <c r="V9755">
        <v>1.9504939999999998E-2</v>
      </c>
      <c r="W9755">
        <v>7.1413550000000003E-3</v>
      </c>
      <c r="X9755">
        <v>0.99978420000000001</v>
      </c>
      <c r="Y9755">
        <v>-2.1099110000000001E-2</v>
      </c>
      <c r="Z9755">
        <v>-2.4920890000000001E-2</v>
      </c>
      <c r="AA9755">
        <v>0.99946670000000004</v>
      </c>
      <c r="AB9755">
        <v>25</v>
      </c>
      <c r="AC9755">
        <v>-1.83289999999999</v>
      </c>
      <c r="AD9755">
        <v>-1.1113114715820001</v>
      </c>
      <c r="AE9755">
        <v>44.28828</v>
      </c>
      <c r="AF9755">
        <v>-0.93895565037377804</v>
      </c>
      <c r="AG9755">
        <v>-1.1113114715820001</v>
      </c>
      <c r="AH9755">
        <v>44.288394987764299</v>
      </c>
      <c r="AI9755">
        <v>91.4370762859065</v>
      </c>
      <c r="AJ9755">
        <v>91.214542493620499</v>
      </c>
      <c r="AK9755">
        <v>44.312284769491001</v>
      </c>
      <c r="AL9755">
        <v>89.590826997674199</v>
      </c>
      <c r="AM9755">
        <v>88.882349819587304</v>
      </c>
      <c r="AN9755">
        <v>0.99999994410263804</v>
      </c>
    </row>
    <row r="9756" spans="1:40" x14ac:dyDescent="0.25">
      <c r="A9756" t="str">
        <f>"20190312154143053"</f>
        <v>20190312154143053</v>
      </c>
      <c r="B9756" t="str">
        <f>"1552376503046262"</f>
        <v>1552376503046262</v>
      </c>
      <c r="C9756" t="s">
        <v>40</v>
      </c>
      <c r="D9756">
        <v>4.2363970000000002</v>
      </c>
      <c r="E9756">
        <v>0.48613810000000002</v>
      </c>
      <c r="F9756" t="s">
        <v>42</v>
      </c>
      <c r="G9756">
        <v>-189.4273</v>
      </c>
      <c r="H9756" s="1">
        <v>-3.8222919999999996E-6</v>
      </c>
      <c r="I9756">
        <v>18.305820000000001</v>
      </c>
      <c r="J9756">
        <v>-187.6404</v>
      </c>
      <c r="K9756">
        <v>1.1110230000000001</v>
      </c>
      <c r="L9756">
        <v>-26.544429999999998</v>
      </c>
      <c r="M9756">
        <v>-2.1285910000000002E-2</v>
      </c>
      <c r="N9756">
        <v>0</v>
      </c>
      <c r="O9756">
        <v>0.9996604</v>
      </c>
      <c r="P9756">
        <v>4.2425079999999999E-4</v>
      </c>
      <c r="Q9756">
        <v>-7.0227909999999996E-3</v>
      </c>
      <c r="R9756">
        <v>0.99997530000000001</v>
      </c>
      <c r="S9756">
        <v>-0.1192932</v>
      </c>
      <c r="T9756">
        <v>-7.3926210000000006E-2</v>
      </c>
      <c r="U9756">
        <v>2.9994200000000002</v>
      </c>
      <c r="V9756">
        <v>2.169635E-2</v>
      </c>
      <c r="W9756">
        <v>8.0492269999999904E-3</v>
      </c>
      <c r="X9756">
        <v>0.99973219999999996</v>
      </c>
      <c r="Y9756">
        <v>-1.8448119999999998E-2</v>
      </c>
      <c r="Z9756">
        <v>-2.4619160000000001E-2</v>
      </c>
      <c r="AA9756">
        <v>0.99952669999999999</v>
      </c>
      <c r="AB9756">
        <v>25</v>
      </c>
      <c r="AC9756">
        <v>-1.7868999999999999</v>
      </c>
      <c r="AD9756">
        <v>-1.1110268222919999</v>
      </c>
      <c r="AE9756">
        <v>44.850250000000003</v>
      </c>
      <c r="AF9756">
        <v>-0.83119951439364403</v>
      </c>
      <c r="AG9756">
        <v>-1.1110268222919999</v>
      </c>
      <c r="AH9756">
        <v>44.850647150430099</v>
      </c>
      <c r="AI9756">
        <v>91.418780187828105</v>
      </c>
      <c r="AJ9756">
        <v>91.061718747804406</v>
      </c>
      <c r="AK9756">
        <v>44.872105177325501</v>
      </c>
      <c r="AL9756">
        <v>89.538808282831994</v>
      </c>
      <c r="AM9756">
        <v>88.756752878906994</v>
      </c>
      <c r="AN9756">
        <v>0.99999999668772999</v>
      </c>
    </row>
    <row r="9757" spans="1:40" x14ac:dyDescent="0.25">
      <c r="A9757" t="str">
        <f>"20190312154143074"</f>
        <v>20190312154143074</v>
      </c>
      <c r="B9757" t="str">
        <f>"1552376503065782"</f>
        <v>1552376503065782</v>
      </c>
      <c r="C9757" t="s">
        <v>40</v>
      </c>
      <c r="D9757">
        <v>4.2399809999999896</v>
      </c>
      <c r="E9757">
        <v>0.4867978</v>
      </c>
      <c r="F9757" t="s">
        <v>42</v>
      </c>
      <c r="G9757">
        <v>-189.2611</v>
      </c>
      <c r="H9757" s="1">
        <v>-3.249594E-6</v>
      </c>
      <c r="I9757">
        <v>16.90213</v>
      </c>
      <c r="J9757">
        <v>-187.64670000000001</v>
      </c>
      <c r="K9757">
        <v>1.1107400000000001</v>
      </c>
      <c r="L9757">
        <v>-26.305879999999998</v>
      </c>
      <c r="M9757">
        <v>-2.2032599999999999E-2</v>
      </c>
      <c r="N9757">
        <v>0</v>
      </c>
      <c r="O9757">
        <v>0.9996448</v>
      </c>
      <c r="P9757">
        <v>2.2180260000000001E-3</v>
      </c>
      <c r="Q9757">
        <v>-5.3879349999999999E-3</v>
      </c>
      <c r="R9757">
        <v>0.99998299999999996</v>
      </c>
      <c r="S9757">
        <v>-0.111892699999999</v>
      </c>
      <c r="T9757">
        <v>-7.6705809999999999E-2</v>
      </c>
      <c r="U9757">
        <v>2.9995729999999998</v>
      </c>
      <c r="V9757">
        <v>2.424041E-2</v>
      </c>
      <c r="W9757">
        <v>9.6370320000000002E-3</v>
      </c>
      <c r="X9757">
        <v>0.99965970000000004</v>
      </c>
      <c r="Y9757">
        <v>-1.523598E-2</v>
      </c>
      <c r="Z9757">
        <v>-2.5544219999999999E-2</v>
      </c>
      <c r="AA9757">
        <v>0.99955760000000005</v>
      </c>
      <c r="AB9757">
        <v>25</v>
      </c>
      <c r="AC9757">
        <v>-1.6143999999999801</v>
      </c>
      <c r="AD9757">
        <v>-1.1107432495939999</v>
      </c>
      <c r="AE9757">
        <v>43.208009999999902</v>
      </c>
      <c r="AF9757">
        <v>-0.66147965491123895</v>
      </c>
      <c r="AG9757">
        <v>-1.1107432495939999</v>
      </c>
      <c r="AH9757">
        <v>43.204580769233999</v>
      </c>
      <c r="AI9757">
        <v>91.472515897088499</v>
      </c>
      <c r="AJ9757">
        <v>90.877153089822997</v>
      </c>
      <c r="AK9757">
        <v>43.223918209084701</v>
      </c>
      <c r="AL9757">
        <v>89.447830188297303</v>
      </c>
      <c r="AM9757">
        <v>88.610926233566204</v>
      </c>
      <c r="AN9757">
        <v>0.99999999283341301</v>
      </c>
    </row>
    <row r="9758" spans="1:40" x14ac:dyDescent="0.25">
      <c r="A9758" t="str">
        <f>"20190312154143096"</f>
        <v>20190312154143096</v>
      </c>
      <c r="B9758" t="str">
        <f>"1552376503085306"</f>
        <v>1552376503085306</v>
      </c>
      <c r="C9758" t="s">
        <v>40</v>
      </c>
      <c r="D9758">
        <v>4.2404060000000001</v>
      </c>
      <c r="E9758">
        <v>0.4873208</v>
      </c>
      <c r="F9758" t="s">
        <v>42</v>
      </c>
      <c r="G9758">
        <v>-189.12899999999999</v>
      </c>
      <c r="H9758" s="1">
        <v>-3.5308589999999999E-6</v>
      </c>
      <c r="I9758">
        <v>17.503129999999999</v>
      </c>
      <c r="J9758">
        <v>-187.65260000000001</v>
      </c>
      <c r="K9758">
        <v>1.110474</v>
      </c>
      <c r="L9758">
        <v>-26.068909999999999</v>
      </c>
      <c r="M9758">
        <v>-2.2451769999999999E-2</v>
      </c>
      <c r="N9758">
        <v>0</v>
      </c>
      <c r="O9758">
        <v>0.99963579999999996</v>
      </c>
      <c r="P9758">
        <v>4.2161680000000002E-3</v>
      </c>
      <c r="Q9758">
        <v>-3.3083539999999999E-3</v>
      </c>
      <c r="R9758">
        <v>0.99998560000000003</v>
      </c>
      <c r="S9758">
        <v>-0.10150149999999999</v>
      </c>
      <c r="T9758">
        <v>-7.6059580000000002E-2</v>
      </c>
      <c r="U9758">
        <v>2.9998779999999998</v>
      </c>
      <c r="V9758">
        <v>2.6662669999999999E-2</v>
      </c>
      <c r="W9758">
        <v>1.167206E-2</v>
      </c>
      <c r="X9758">
        <v>0.99957629999999997</v>
      </c>
      <c r="Y9758">
        <v>-1.135502E-2</v>
      </c>
      <c r="Z9758">
        <v>-2.5328440000000001E-2</v>
      </c>
      <c r="AA9758">
        <v>0.99961469999999997</v>
      </c>
      <c r="AB9758">
        <v>25</v>
      </c>
      <c r="AC9758">
        <v>-1.4764000000000099</v>
      </c>
      <c r="AD9758">
        <v>-1.110477530859</v>
      </c>
      <c r="AE9758">
        <v>43.572040000000001</v>
      </c>
      <c r="AF9758">
        <v>-0.49732599943144401</v>
      </c>
      <c r="AG9758">
        <v>-1.110477530859</v>
      </c>
      <c r="AH9758">
        <v>43.565940492517001</v>
      </c>
      <c r="AI9758">
        <v>91.460034106500501</v>
      </c>
      <c r="AJ9758">
        <v>90.654030254841601</v>
      </c>
      <c r="AK9758">
        <v>43.582928590146203</v>
      </c>
      <c r="AL9758">
        <v>89.331225009277404</v>
      </c>
      <c r="AM9758">
        <v>88.472056304171204</v>
      </c>
      <c r="AN9758">
        <v>0.99999995723892998</v>
      </c>
    </row>
    <row r="9759" spans="1:40" x14ac:dyDescent="0.25">
      <c r="A9759" t="str">
        <f>"20190312154143118"</f>
        <v>20190312154143118</v>
      </c>
      <c r="B9759" t="str">
        <f>"1552376503105802"</f>
        <v>1552376503105802</v>
      </c>
      <c r="C9759" t="s">
        <v>40</v>
      </c>
      <c r="D9759">
        <v>4.2395490000000002</v>
      </c>
      <c r="E9759">
        <v>0.48784149999999998</v>
      </c>
      <c r="F9759" t="s">
        <v>42</v>
      </c>
      <c r="G9759">
        <v>-189.0609</v>
      </c>
      <c r="H9759" s="1">
        <v>-3.6806799999999998E-7</v>
      </c>
      <c r="I9759">
        <v>19.995370000000001</v>
      </c>
      <c r="J9759">
        <v>-187.65819999999999</v>
      </c>
      <c r="K9759">
        <v>1.11025</v>
      </c>
      <c r="L9759">
        <v>-25.832280000000001</v>
      </c>
      <c r="M9759">
        <v>-2.2598179999999999E-2</v>
      </c>
      <c r="N9759">
        <v>0</v>
      </c>
      <c r="O9759">
        <v>0.99963290000000005</v>
      </c>
      <c r="P9759">
        <v>6.1795110000000004E-3</v>
      </c>
      <c r="Q9759">
        <v>-1.8255280000000001E-3</v>
      </c>
      <c r="R9759">
        <v>0.99997930000000002</v>
      </c>
      <c r="S9759">
        <v>-9.1720579999999996E-2</v>
      </c>
      <c r="T9759">
        <v>-7.2325589999999995E-2</v>
      </c>
      <c r="U9759">
        <v>3.0001829999999998</v>
      </c>
      <c r="V9759">
        <v>2.877847E-2</v>
      </c>
      <c r="W9759">
        <v>1.3113430000000001E-2</v>
      </c>
      <c r="X9759">
        <v>0.99949980000000005</v>
      </c>
      <c r="Y9759">
        <v>-7.9505579999999999E-3</v>
      </c>
      <c r="Z9759">
        <v>-2.408482E-2</v>
      </c>
      <c r="AA9759">
        <v>0.99967830000000002</v>
      </c>
      <c r="AB9759">
        <v>25</v>
      </c>
      <c r="AC9759">
        <v>-1.40270000000001</v>
      </c>
      <c r="AD9759">
        <v>-1.110250368068</v>
      </c>
      <c r="AE9759">
        <v>45.827649999999998</v>
      </c>
      <c r="AF9759">
        <v>-0.36638969087009599</v>
      </c>
      <c r="AG9759">
        <v>-1.110250368068</v>
      </c>
      <c r="AH9759">
        <v>45.820777878291103</v>
      </c>
      <c r="AI9759">
        <v>91.387976942567704</v>
      </c>
      <c r="AJ9759">
        <v>90.458135730614401</v>
      </c>
      <c r="AK9759">
        <v>45.835691144097098</v>
      </c>
      <c r="AL9759">
        <v>89.248634275339498</v>
      </c>
      <c r="AM9759">
        <v>88.350745602649297</v>
      </c>
      <c r="AN9759">
        <v>1.00000000629097</v>
      </c>
    </row>
    <row r="9760" spans="1:40" x14ac:dyDescent="0.25">
      <c r="A9760" t="str">
        <f>"20190312154143140"</f>
        <v>20190312154143140</v>
      </c>
      <c r="B9760" t="str">
        <f>"1552376503136054"</f>
        <v>1552376503136054</v>
      </c>
      <c r="C9760" t="s">
        <v>40</v>
      </c>
      <c r="D9760">
        <v>4.2895989999999999</v>
      </c>
      <c r="E9760">
        <v>0.49614320000000001</v>
      </c>
      <c r="F9760" t="s">
        <v>42</v>
      </c>
      <c r="G9760">
        <v>-188.9744</v>
      </c>
      <c r="H9760" s="1">
        <v>-1.3843419999999999E-6</v>
      </c>
      <c r="I9760">
        <v>22.435649999999999</v>
      </c>
      <c r="J9760">
        <v>-187.66380000000001</v>
      </c>
      <c r="K9760">
        <v>1.1100829999999999</v>
      </c>
      <c r="L9760">
        <v>-25.582920000000001</v>
      </c>
      <c r="M9760">
        <v>-2.248501E-2</v>
      </c>
      <c r="N9760">
        <v>0</v>
      </c>
      <c r="O9760">
        <v>0.99963579999999996</v>
      </c>
      <c r="P9760">
        <v>8.9438429999999999E-3</v>
      </c>
      <c r="Q9760">
        <v>-6.0982759999999995E-4</v>
      </c>
      <c r="R9760">
        <v>0.99995979999999995</v>
      </c>
      <c r="S9760">
        <v>-8.1817630000000002E-2</v>
      </c>
      <c r="T9760">
        <v>-6.9015380000000001E-2</v>
      </c>
      <c r="U9760">
        <v>3.0004270000000002</v>
      </c>
      <c r="V9760">
        <v>3.1434749999999997E-2</v>
      </c>
      <c r="W9760">
        <v>1.4291099999999999E-2</v>
      </c>
      <c r="X9760">
        <v>0.99940370000000001</v>
      </c>
      <c r="Y9760">
        <v>-4.7652720000000001E-3</v>
      </c>
      <c r="Z9760">
        <v>-2.298265E-2</v>
      </c>
      <c r="AA9760">
        <v>0.99972450000000002</v>
      </c>
      <c r="AB9760">
        <v>24</v>
      </c>
      <c r="AC9760">
        <v>-1.31059999999999</v>
      </c>
      <c r="AD9760">
        <v>-1.1100843843420001</v>
      </c>
      <c r="AE9760">
        <v>48.018569999999997</v>
      </c>
      <c r="AF9760">
        <v>-0.230327310993483</v>
      </c>
      <c r="AG9760">
        <v>-1.1100843843420001</v>
      </c>
      <c r="AH9760">
        <v>48.010260202427197</v>
      </c>
      <c r="AI9760">
        <v>91.324531204215603</v>
      </c>
      <c r="AJ9760">
        <v>90.274872111257295</v>
      </c>
      <c r="AK9760">
        <v>48.023644413094203</v>
      </c>
      <c r="AL9760">
        <v>89.181152465944905</v>
      </c>
      <c r="AM9760">
        <v>88.198440822374394</v>
      </c>
      <c r="AN9760">
        <v>1.0000000673102201</v>
      </c>
    </row>
    <row r="9761" spans="1:40" x14ac:dyDescent="0.25">
      <c r="A9761" t="str">
        <f>"20190312154143163"</f>
        <v>20190312154143163</v>
      </c>
      <c r="B9761" t="str">
        <f>"1552376503155574"</f>
        <v>1552376503155574</v>
      </c>
      <c r="C9761" t="s">
        <v>40</v>
      </c>
      <c r="D9761">
        <v>4.2557289999999997</v>
      </c>
      <c r="E9761">
        <v>0.49585489999999999</v>
      </c>
      <c r="F9761" t="s">
        <v>42</v>
      </c>
      <c r="G9761">
        <v>-187.77170000000001</v>
      </c>
      <c r="H9761" s="1">
        <v>-1.5935840000000001E-6</v>
      </c>
      <c r="I9761">
        <v>12.42609</v>
      </c>
      <c r="J9761">
        <v>-187.66919999999999</v>
      </c>
      <c r="K9761">
        <v>1.109982</v>
      </c>
      <c r="L9761">
        <v>-25.332609999999999</v>
      </c>
      <c r="M9761">
        <v>-2.218823E-2</v>
      </c>
      <c r="N9761">
        <v>0</v>
      </c>
      <c r="O9761">
        <v>0.9996427</v>
      </c>
      <c r="P9761">
        <v>1.2574119999999999E-2</v>
      </c>
      <c r="Q9761">
        <v>1.8020039999999999E-4</v>
      </c>
      <c r="R9761">
        <v>0.9999209</v>
      </c>
      <c r="S9761">
        <v>-8.5144039999999997E-3</v>
      </c>
      <c r="T9761">
        <v>-8.7621930000000001E-2</v>
      </c>
      <c r="U9761">
        <v>3.0001530000000001</v>
      </c>
      <c r="V9761">
        <v>3.47709E-2</v>
      </c>
      <c r="W9761">
        <v>1.5046810000000001E-2</v>
      </c>
      <c r="X9761">
        <v>0.999282</v>
      </c>
      <c r="Y9761">
        <v>1.935454E-2</v>
      </c>
      <c r="Z9761">
        <v>-2.9179799999999999E-2</v>
      </c>
      <c r="AA9761">
        <v>0.99938680000000002</v>
      </c>
      <c r="AB9761">
        <v>24</v>
      </c>
      <c r="AC9761">
        <v>-0.10250000000002001</v>
      </c>
      <c r="AD9761">
        <v>-1.1099835935839999</v>
      </c>
      <c r="AE9761">
        <v>37.758699999999997</v>
      </c>
      <c r="AF9761">
        <v>0.73478206435300197</v>
      </c>
      <c r="AG9761">
        <v>-1.1099835935839999</v>
      </c>
      <c r="AH9761">
        <v>37.719081252572103</v>
      </c>
      <c r="AI9761">
        <v>91.685273640102395</v>
      </c>
      <c r="AJ9761">
        <v>88.883997554231399</v>
      </c>
      <c r="AK9761">
        <v>37.742562960115201</v>
      </c>
      <c r="AL9761">
        <v>89.137848730061194</v>
      </c>
      <c r="AM9761">
        <v>88.007146759380603</v>
      </c>
      <c r="AN9761">
        <v>0.99999996875099195</v>
      </c>
    </row>
    <row r="9762" spans="1:40" x14ac:dyDescent="0.25">
      <c r="A9762" t="str">
        <f>"20190312154143187"</f>
        <v>20190312154143187</v>
      </c>
      <c r="B9762" t="str">
        <f>"1552376503176071"</f>
        <v>1552376503176071</v>
      </c>
      <c r="C9762" t="s">
        <v>40</v>
      </c>
      <c r="D9762">
        <v>4.259366</v>
      </c>
      <c r="E9762">
        <v>0.49541449999999998</v>
      </c>
      <c r="F9762" t="s">
        <v>42</v>
      </c>
      <c r="G9762">
        <v>-187.67699999999999</v>
      </c>
      <c r="H9762" s="1">
        <v>-1.05565E-6</v>
      </c>
      <c r="I9762">
        <v>10.933809999999999</v>
      </c>
      <c r="J9762">
        <v>-187.6746</v>
      </c>
      <c r="K9762">
        <v>1.1099239999999999</v>
      </c>
      <c r="L9762">
        <v>-25.069980000000001</v>
      </c>
      <c r="M9762">
        <v>-2.174603E-2</v>
      </c>
      <c r="N9762">
        <v>0</v>
      </c>
      <c r="O9762">
        <v>0.99965280000000001</v>
      </c>
      <c r="P9762">
        <v>1.6577020000000001E-2</v>
      </c>
      <c r="Q9762" s="1">
        <v>9.9726919999999997E-5</v>
      </c>
      <c r="R9762">
        <v>0.99986260000000005</v>
      </c>
      <c r="S9762">
        <v>-6.408691E-4</v>
      </c>
      <c r="T9762">
        <v>-9.1827510000000001E-2</v>
      </c>
      <c r="U9762">
        <v>3.0002749999999998</v>
      </c>
      <c r="V9762">
        <v>3.8331539999999997E-2</v>
      </c>
      <c r="W9762">
        <v>1.4936670000000001E-2</v>
      </c>
      <c r="X9762">
        <v>0.99915339999999997</v>
      </c>
      <c r="Y9762">
        <v>2.1534979999999999E-2</v>
      </c>
      <c r="Z9762">
        <v>-3.0577650000000001E-2</v>
      </c>
      <c r="AA9762">
        <v>0.99930039999999998</v>
      </c>
      <c r="AB9762">
        <v>24</v>
      </c>
      <c r="AC9762">
        <v>-2.4000000000228201E-3</v>
      </c>
      <c r="AD9762">
        <v>-1.10992505565</v>
      </c>
      <c r="AE9762">
        <v>36.003789999999903</v>
      </c>
      <c r="AF9762">
        <v>0.77988557015815796</v>
      </c>
      <c r="AG9762">
        <v>-1.10992505565</v>
      </c>
      <c r="AH9762">
        <v>35.9611501384639</v>
      </c>
      <c r="AI9762">
        <v>91.767432453459804</v>
      </c>
      <c r="AJ9762">
        <v>88.75762737913</v>
      </c>
      <c r="AK9762">
        <v>35.986726364214299</v>
      </c>
      <c r="AL9762">
        <v>89.144159992541205</v>
      </c>
      <c r="AM9762">
        <v>87.802981060655398</v>
      </c>
      <c r="AN9762">
        <v>0.99999996390050905</v>
      </c>
    </row>
    <row r="9763" spans="1:40" x14ac:dyDescent="0.25">
      <c r="A9763" t="str">
        <f>"20190312154143209"</f>
        <v>20190312154143209</v>
      </c>
      <c r="B9763" t="str">
        <f>"1552376503195590"</f>
        <v>1552376503195590</v>
      </c>
      <c r="C9763" t="s">
        <v>40</v>
      </c>
      <c r="D9763">
        <v>4.2597360000000002</v>
      </c>
      <c r="E9763">
        <v>0.49534210000000001</v>
      </c>
      <c r="F9763" t="s">
        <v>42</v>
      </c>
      <c r="G9763">
        <v>-187.58680000000001</v>
      </c>
      <c r="H9763" s="1">
        <v>-4.636976E-6</v>
      </c>
      <c r="I9763">
        <v>9.4438820000000003</v>
      </c>
      <c r="J9763">
        <v>-187.67920000000001</v>
      </c>
      <c r="K9763">
        <v>1.1099060000000001</v>
      </c>
      <c r="L9763">
        <v>-24.839780000000001</v>
      </c>
      <c r="M9763">
        <v>-2.1305899999999999E-2</v>
      </c>
      <c r="N9763">
        <v>0</v>
      </c>
      <c r="O9763">
        <v>0.99966250000000001</v>
      </c>
      <c r="P9763">
        <v>2.1147909999999999E-2</v>
      </c>
      <c r="Q9763">
        <v>-1.1946909999999999E-3</v>
      </c>
      <c r="R9763">
        <v>0.99977559999999999</v>
      </c>
      <c r="S9763">
        <v>7.6293949999999998E-3</v>
      </c>
      <c r="T9763">
        <v>-9.6486569999999994E-2</v>
      </c>
      <c r="U9763">
        <v>3.000305</v>
      </c>
      <c r="V9763">
        <v>4.2459070000000002E-2</v>
      </c>
      <c r="W9763">
        <v>1.3617870000000001E-2</v>
      </c>
      <c r="X9763">
        <v>0.99900540000000004</v>
      </c>
      <c r="Y9763">
        <v>2.384915E-2</v>
      </c>
      <c r="Z9763">
        <v>-3.2126740000000001E-2</v>
      </c>
      <c r="AA9763">
        <v>0.99919919999999995</v>
      </c>
      <c r="AB9763">
        <v>24</v>
      </c>
      <c r="AC9763">
        <v>9.2399999999997803E-2</v>
      </c>
      <c r="AD9763">
        <v>-1.1099106369759999</v>
      </c>
      <c r="AE9763">
        <v>34.283662</v>
      </c>
      <c r="AF9763">
        <v>0.82204242815309703</v>
      </c>
      <c r="AG9763">
        <v>-1.1099106369759999</v>
      </c>
      <c r="AH9763">
        <v>34.238024605938499</v>
      </c>
      <c r="AI9763">
        <v>91.856200261284698</v>
      </c>
      <c r="AJ9763">
        <v>88.624613569044499</v>
      </c>
      <c r="AK9763">
        <v>34.265872005431397</v>
      </c>
      <c r="AL9763">
        <v>89.219729408595597</v>
      </c>
      <c r="AM9763">
        <v>87.566317156442196</v>
      </c>
      <c r="AN9763">
        <v>1.0000000041188799</v>
      </c>
    </row>
    <row r="9764" spans="1:40" x14ac:dyDescent="0.25">
      <c r="A9764" t="str">
        <f>"20190312154143229"</f>
        <v>20190312154143229</v>
      </c>
      <c r="B9764" t="str">
        <f>"1552376503225846"</f>
        <v>1552376503225846</v>
      </c>
      <c r="C9764" t="s">
        <v>40</v>
      </c>
      <c r="D9764">
        <v>4.2496900000000002</v>
      </c>
      <c r="E9764">
        <v>0.4946583</v>
      </c>
      <c r="F9764" t="s">
        <v>42</v>
      </c>
      <c r="G9764">
        <v>-187.46190000000001</v>
      </c>
      <c r="H9764" s="1">
        <v>-3.656875E-6</v>
      </c>
      <c r="I9764">
        <v>7.1075899999999903</v>
      </c>
      <c r="J9764">
        <v>-187.68340000000001</v>
      </c>
      <c r="K9764">
        <v>1.109893</v>
      </c>
      <c r="L9764">
        <v>-24.61713</v>
      </c>
      <c r="M9764">
        <v>-2.0874429999999999E-2</v>
      </c>
      <c r="N9764">
        <v>0</v>
      </c>
      <c r="O9764">
        <v>0.9996718</v>
      </c>
      <c r="P9764">
        <v>2.671691E-2</v>
      </c>
      <c r="Q9764">
        <v>-2.4607299999999999E-3</v>
      </c>
      <c r="R9764">
        <v>0.99963999999999997</v>
      </c>
      <c r="S9764">
        <v>2.0400999999999999E-2</v>
      </c>
      <c r="T9764">
        <v>-0.10422969999999999</v>
      </c>
      <c r="U9764">
        <v>3.0001220000000002</v>
      </c>
      <c r="V9764">
        <v>4.7591639999999998E-2</v>
      </c>
      <c r="W9764">
        <v>1.233004E-2</v>
      </c>
      <c r="X9764">
        <v>0.99879079999999998</v>
      </c>
      <c r="Y9764">
        <v>2.7670569999999999E-2</v>
      </c>
      <c r="Z9764">
        <v>-3.4702480000000001E-2</v>
      </c>
      <c r="AA9764">
        <v>0.99901459999999997</v>
      </c>
      <c r="AB9764">
        <v>24</v>
      </c>
      <c r="AC9764">
        <v>0.22149999999999101</v>
      </c>
      <c r="AD9764">
        <v>-1.1098966568749999</v>
      </c>
      <c r="AE9764">
        <v>31.724720000000001</v>
      </c>
      <c r="AF9764">
        <v>0.88267989498433896</v>
      </c>
      <c r="AG9764">
        <v>-1.1098966568749999</v>
      </c>
      <c r="AH9764">
        <v>31.674415102220301</v>
      </c>
      <c r="AI9764">
        <v>92.006090334643901</v>
      </c>
      <c r="AJ9764">
        <v>88.403735414131205</v>
      </c>
      <c r="AK9764">
        <v>31.7061439858856</v>
      </c>
      <c r="AL9764">
        <v>89.293522864931404</v>
      </c>
      <c r="AM9764">
        <v>87.2719620269757</v>
      </c>
      <c r="AN9764">
        <v>1.0000000281244601</v>
      </c>
    </row>
    <row r="9765" spans="1:40" x14ac:dyDescent="0.25">
      <c r="A9765" t="str">
        <f>"20190312154143253"</f>
        <v>20190312154143253</v>
      </c>
      <c r="B9765" t="str">
        <f>"1552376503245366"</f>
        <v>1552376503245366</v>
      </c>
      <c r="C9765" t="s">
        <v>40</v>
      </c>
      <c r="D9765">
        <v>4.2842460000000004</v>
      </c>
      <c r="E9765">
        <v>0.49420160000000002</v>
      </c>
      <c r="F9765" t="s">
        <v>42</v>
      </c>
      <c r="G9765">
        <v>-187.36949999999999</v>
      </c>
      <c r="H9765" s="1">
        <v>-2.928286E-6</v>
      </c>
      <c r="I9765">
        <v>5.3710290000000001</v>
      </c>
      <c r="J9765">
        <v>-187.68819999999999</v>
      </c>
      <c r="K9765">
        <v>1.1099079999999999</v>
      </c>
      <c r="L9765">
        <v>-24.360690000000002</v>
      </c>
      <c r="M9765">
        <v>-2.0405039999999999E-2</v>
      </c>
      <c r="N9765">
        <v>0</v>
      </c>
      <c r="O9765">
        <v>0.99968170000000001</v>
      </c>
      <c r="P9765">
        <v>3.1992479999999997E-2</v>
      </c>
      <c r="Q9765">
        <v>-3.757575E-3</v>
      </c>
      <c r="R9765">
        <v>0.99948099999999995</v>
      </c>
      <c r="S9765">
        <v>3.1402590000000001E-2</v>
      </c>
      <c r="T9765">
        <v>-0.1110323</v>
      </c>
      <c r="U9765">
        <v>2.9999690000000001</v>
      </c>
      <c r="V9765">
        <v>5.2392210000000002E-2</v>
      </c>
      <c r="W9765">
        <v>1.101311E-2</v>
      </c>
      <c r="X9765">
        <v>0.99856590000000001</v>
      </c>
      <c r="Y9765">
        <v>3.08639E-2</v>
      </c>
      <c r="Z9765">
        <v>-3.6964459999999998E-2</v>
      </c>
      <c r="AA9765">
        <v>0.9988399</v>
      </c>
      <c r="AB9765">
        <v>24</v>
      </c>
      <c r="AC9765">
        <v>0.31870000000000598</v>
      </c>
      <c r="AD9765">
        <v>-1.10991092828599</v>
      </c>
      <c r="AE9765">
        <v>29.731718999999998</v>
      </c>
      <c r="AF9765">
        <v>0.92408967419838395</v>
      </c>
      <c r="AG9765">
        <v>-1.10991092828599</v>
      </c>
      <c r="AH9765">
        <v>29.6776696910818</v>
      </c>
      <c r="AI9765">
        <v>92.140761917184804</v>
      </c>
      <c r="AJ9765">
        <v>88.2165265205509</v>
      </c>
      <c r="AK9765">
        <v>29.7127905503277</v>
      </c>
      <c r="AL9765">
        <v>89.368982549428907</v>
      </c>
      <c r="AM9765">
        <v>86.996590290606704</v>
      </c>
      <c r="AN9765">
        <v>1.0000000444516799</v>
      </c>
    </row>
    <row r="9766" spans="1:40" x14ac:dyDescent="0.25">
      <c r="A9766" t="str">
        <f>"20190312154143275"</f>
        <v>20190312154143275</v>
      </c>
      <c r="B9766" t="str">
        <f>"1552376503265862"</f>
        <v>1552376503265862</v>
      </c>
      <c r="C9766" t="s">
        <v>40</v>
      </c>
      <c r="D9766">
        <v>4.2253679999999996</v>
      </c>
      <c r="E9766">
        <v>0.4938613</v>
      </c>
      <c r="F9766" t="s">
        <v>42</v>
      </c>
      <c r="G9766">
        <v>-187.27199999999999</v>
      </c>
      <c r="H9766" s="1">
        <v>-2.5371319999999999E-6</v>
      </c>
      <c r="I9766">
        <v>4.4189369999999997</v>
      </c>
      <c r="J9766">
        <v>-187.6927</v>
      </c>
      <c r="K9766">
        <v>1.109936</v>
      </c>
      <c r="L9766">
        <v>-24.118189999999998</v>
      </c>
      <c r="M9766">
        <v>-2.0010799999999999E-2</v>
      </c>
      <c r="N9766">
        <v>0</v>
      </c>
      <c r="O9766">
        <v>0.99968990000000002</v>
      </c>
      <c r="P9766">
        <v>3.686445E-2</v>
      </c>
      <c r="Q9766">
        <v>-5.617113E-3</v>
      </c>
      <c r="R9766">
        <v>0.99930450000000004</v>
      </c>
      <c r="S9766">
        <v>4.3380740000000001E-2</v>
      </c>
      <c r="T9766">
        <v>-0.115686999999999</v>
      </c>
      <c r="U9766">
        <v>2.9997250000000002</v>
      </c>
      <c r="V9766">
        <v>5.6863499999999997E-2</v>
      </c>
      <c r="W9766">
        <v>9.1378050000000006E-3</v>
      </c>
      <c r="X9766">
        <v>0.99834009999999995</v>
      </c>
      <c r="Y9766">
        <v>3.4457330000000001E-2</v>
      </c>
      <c r="Z9766">
        <v>-3.8512169999999998E-2</v>
      </c>
      <c r="AA9766">
        <v>0.99866379999999999</v>
      </c>
      <c r="AB9766">
        <v>24</v>
      </c>
      <c r="AC9766">
        <v>0.42069999999998198</v>
      </c>
      <c r="AD9766">
        <v>-1.1099385371320001</v>
      </c>
      <c r="AE9766">
        <v>28.537127000000002</v>
      </c>
      <c r="AF9766">
        <v>0.99023153286660004</v>
      </c>
      <c r="AG9766">
        <v>-1.1099385371320001</v>
      </c>
      <c r="AH9766">
        <v>28.479917466994198</v>
      </c>
      <c r="AI9766">
        <v>92.230493762476101</v>
      </c>
      <c r="AJ9766">
        <v>88.008658516711193</v>
      </c>
      <c r="AK9766">
        <v>28.518734561191501</v>
      </c>
      <c r="AL9766">
        <v>89.476435030142696</v>
      </c>
      <c r="AM9766">
        <v>86.740066699451901</v>
      </c>
      <c r="AN9766">
        <v>0.99999995619023796</v>
      </c>
    </row>
    <row r="9767" spans="1:40" x14ac:dyDescent="0.25">
      <c r="A9767" t="str">
        <f>"20190312154143296"</f>
        <v>20190312154143296</v>
      </c>
      <c r="B9767" t="str">
        <f>"1552376503285382"</f>
        <v>1552376503285382</v>
      </c>
      <c r="C9767" t="s">
        <v>40</v>
      </c>
      <c r="D9767">
        <v>4.2126869999999998</v>
      </c>
      <c r="E9767">
        <v>0.4938092</v>
      </c>
      <c r="F9767" t="s">
        <v>42</v>
      </c>
      <c r="G9767">
        <v>-187.17670000000001</v>
      </c>
      <c r="H9767" s="1">
        <v>-2.2681700000000002E-6</v>
      </c>
      <c r="I9767">
        <v>3.7525729999999999</v>
      </c>
      <c r="J9767">
        <v>-187.6968</v>
      </c>
      <c r="K9767">
        <v>1.1099730000000001</v>
      </c>
      <c r="L9767">
        <v>-23.890720000000002</v>
      </c>
      <c r="M9767">
        <v>-1.96969E-2</v>
      </c>
      <c r="N9767">
        <v>0</v>
      </c>
      <c r="O9767">
        <v>0.99969629999999998</v>
      </c>
      <c r="P9767">
        <v>4.1230339999999997E-2</v>
      </c>
      <c r="Q9767">
        <v>-7.5215919999999997E-3</v>
      </c>
      <c r="R9767">
        <v>0.99912140000000005</v>
      </c>
      <c r="S9767">
        <v>5.5526730000000003E-2</v>
      </c>
      <c r="T9767">
        <v>-0.1194479</v>
      </c>
      <c r="U9767">
        <v>2.9993590000000001</v>
      </c>
      <c r="V9767">
        <v>6.0909129999999999E-2</v>
      </c>
      <c r="W9767">
        <v>7.2214619999999997E-3</v>
      </c>
      <c r="X9767">
        <v>0.99811719999999904</v>
      </c>
      <c r="Y9767">
        <v>3.8187140000000001E-2</v>
      </c>
      <c r="Z9767">
        <v>-3.9763430000000002E-2</v>
      </c>
      <c r="AA9767">
        <v>0.99847909999999995</v>
      </c>
      <c r="AB9767">
        <v>24</v>
      </c>
      <c r="AC9767">
        <v>0.52009999999998502</v>
      </c>
      <c r="AD9767">
        <v>-1.1099752681699999</v>
      </c>
      <c r="AE9767">
        <v>27.643293</v>
      </c>
      <c r="AF9767">
        <v>1.06283297469167</v>
      </c>
      <c r="AG9767">
        <v>-1.1099752681699999</v>
      </c>
      <c r="AH9767">
        <v>27.583226645559002</v>
      </c>
      <c r="AI9767">
        <v>92.302686395484102</v>
      </c>
      <c r="AJ9767">
        <v>87.793378782624202</v>
      </c>
      <c r="AK9767">
        <v>27.626003171076299</v>
      </c>
      <c r="AL9767">
        <v>89.586237112604493</v>
      </c>
      <c r="AM9767">
        <v>86.507911329600006</v>
      </c>
      <c r="AN9767">
        <v>1.0000000082833</v>
      </c>
    </row>
    <row r="9768" spans="1:40" x14ac:dyDescent="0.25">
      <c r="A9768" t="str">
        <f>"20190312154143319"</f>
        <v>20190312154143319</v>
      </c>
      <c r="B9768" t="str">
        <f>"1552376503305878"</f>
        <v>1552376503305878</v>
      </c>
      <c r="C9768" t="s">
        <v>40</v>
      </c>
      <c r="D9768">
        <v>4.225841</v>
      </c>
      <c r="E9768">
        <v>0.49353780000000003</v>
      </c>
      <c r="F9768" t="s">
        <v>42</v>
      </c>
      <c r="G9768">
        <v>-187.08410000000001</v>
      </c>
      <c r="H9768" s="1">
        <v>-1.936346E-6</v>
      </c>
      <c r="I9768">
        <v>2.940779</v>
      </c>
      <c r="J9768">
        <v>-187.7012</v>
      </c>
      <c r="K9768">
        <v>1.1100179999999999</v>
      </c>
      <c r="L9768">
        <v>-23.65213</v>
      </c>
      <c r="M9768">
        <v>-1.943566E-2</v>
      </c>
      <c r="N9768">
        <v>0</v>
      </c>
      <c r="O9768">
        <v>0.99970159999999997</v>
      </c>
      <c r="P9768">
        <v>4.566282E-2</v>
      </c>
      <c r="Q9768">
        <v>-9.8212920000000006E-3</v>
      </c>
      <c r="R9768">
        <v>0.99890860000000004</v>
      </c>
      <c r="S9768">
        <v>6.8481449999999999E-2</v>
      </c>
      <c r="T9768">
        <v>-0.1240584</v>
      </c>
      <c r="U9768">
        <v>2.9988709999999998</v>
      </c>
      <c r="V9768">
        <v>6.5073530000000004E-2</v>
      </c>
      <c r="W9768">
        <v>4.9136129999999998E-3</v>
      </c>
      <c r="X9768">
        <v>0.99786839999999999</v>
      </c>
      <c r="Y9768">
        <v>4.223872E-2</v>
      </c>
      <c r="Z9768">
        <v>-4.1297479999999998E-2</v>
      </c>
      <c r="AA9768">
        <v>0.99825370000000002</v>
      </c>
      <c r="AB9768">
        <v>24</v>
      </c>
      <c r="AC9768">
        <v>0.61709999999999299</v>
      </c>
      <c r="AD9768">
        <v>-1.1100199363459999</v>
      </c>
      <c r="AE9768">
        <v>26.592908999999999</v>
      </c>
      <c r="AF9768">
        <v>1.13191963010033</v>
      </c>
      <c r="AG9768">
        <v>-1.1100199363459999</v>
      </c>
      <c r="AH9768">
        <v>26.529691158082901</v>
      </c>
      <c r="AI9768">
        <v>92.393720847828007</v>
      </c>
      <c r="AJ9768">
        <v>87.556891764856005</v>
      </c>
      <c r="AK9768">
        <v>26.577018253584299</v>
      </c>
      <c r="AL9768">
        <v>89.718469587338404</v>
      </c>
      <c r="AM9768">
        <v>86.268879951602997</v>
      </c>
      <c r="AN9768">
        <v>1.0000000258089601</v>
      </c>
    </row>
    <row r="9769" spans="1:40" x14ac:dyDescent="0.25">
      <c r="A9769" t="str">
        <f>"20190312154143341"</f>
        <v>20190312154143341</v>
      </c>
      <c r="B9769" t="str">
        <f>"1552376503336133"</f>
        <v>1552376503336133</v>
      </c>
      <c r="C9769" t="s">
        <v>40</v>
      </c>
      <c r="D9769">
        <v>4.2735669999999999</v>
      </c>
      <c r="E9769">
        <v>0.48535529999999999</v>
      </c>
      <c r="F9769" t="s">
        <v>42</v>
      </c>
      <c r="G9769">
        <v>-187.0153</v>
      </c>
      <c r="H9769" s="1">
        <v>-1.614165E-6</v>
      </c>
      <c r="I9769">
        <v>2.057744</v>
      </c>
      <c r="J9769">
        <v>-187.7055</v>
      </c>
      <c r="K9769">
        <v>1.1100680000000001</v>
      </c>
      <c r="L9769">
        <v>-23.415679999999998</v>
      </c>
      <c r="M9769">
        <v>-1.9251319999999999E-2</v>
      </c>
      <c r="N9769">
        <v>0</v>
      </c>
      <c r="O9769">
        <v>0.99970530000000002</v>
      </c>
      <c r="P9769">
        <v>4.9939999999999998E-2</v>
      </c>
      <c r="Q9769">
        <v>-1.235696E-2</v>
      </c>
      <c r="R9769">
        <v>0.9986758</v>
      </c>
      <c r="S9769">
        <v>7.9986570000000007E-2</v>
      </c>
      <c r="T9769">
        <v>-0.1294534</v>
      </c>
      <c r="U9769">
        <v>2.9983520000000001</v>
      </c>
      <c r="V9769">
        <v>6.9159639999999994E-2</v>
      </c>
      <c r="W9769">
        <v>2.3720880000000001E-3</v>
      </c>
      <c r="X9769">
        <v>0.99760280000000001</v>
      </c>
      <c r="Y9769">
        <v>4.5884220000000003E-2</v>
      </c>
      <c r="Z9769">
        <v>-4.3092310000000002E-2</v>
      </c>
      <c r="AA9769">
        <v>0.99801689999999998</v>
      </c>
      <c r="AB9769">
        <v>24</v>
      </c>
      <c r="AC9769">
        <v>0.69020000000000403</v>
      </c>
      <c r="AD9769">
        <v>-1.1100696141649999</v>
      </c>
      <c r="AE9769">
        <v>25.473424000000001</v>
      </c>
      <c r="AF9769">
        <v>1.1782868027264299</v>
      </c>
      <c r="AG9769">
        <v>-1.1100696141649999</v>
      </c>
      <c r="AH9769">
        <v>25.407200450818699</v>
      </c>
      <c r="AI9769">
        <v>92.499044465527305</v>
      </c>
      <c r="AJ9769">
        <v>87.344747846053707</v>
      </c>
      <c r="AK9769">
        <v>25.4587204919229</v>
      </c>
      <c r="AL9769">
        <v>89.864089243491506</v>
      </c>
      <c r="AM9769">
        <v>86.034267725774797</v>
      </c>
      <c r="AN9769">
        <v>1.00000001458712</v>
      </c>
    </row>
    <row r="9770" spans="1:40" x14ac:dyDescent="0.25">
      <c r="A9770" t="str">
        <f>"20190312154143363"</f>
        <v>20190312154143363</v>
      </c>
      <c r="B9770" t="str">
        <f>"1552376503355654"</f>
        <v>1552376503355654</v>
      </c>
      <c r="C9770" t="s">
        <v>40</v>
      </c>
      <c r="D9770">
        <v>4.2989620000000004</v>
      </c>
      <c r="E9770">
        <v>0.48496610000000001</v>
      </c>
      <c r="F9770" t="s">
        <v>42</v>
      </c>
      <c r="G9770">
        <v>-187.4778</v>
      </c>
      <c r="H9770" s="1">
        <v>-1.207675E-6</v>
      </c>
      <c r="I9770">
        <v>1.2248790000000001</v>
      </c>
      <c r="J9770">
        <v>-187.7099</v>
      </c>
      <c r="K9770">
        <v>1.1101110000000001</v>
      </c>
      <c r="L9770">
        <v>-23.176760000000002</v>
      </c>
      <c r="M9770">
        <v>-1.9129779999999999E-2</v>
      </c>
      <c r="N9770">
        <v>0</v>
      </c>
      <c r="O9770">
        <v>0.99970769999999998</v>
      </c>
      <c r="P9770">
        <v>5.3056779999999998E-2</v>
      </c>
      <c r="Q9770">
        <v>-1.4782180000000001E-2</v>
      </c>
      <c r="R9770">
        <v>0.99848210000000004</v>
      </c>
      <c r="S9770">
        <v>2.7725219999999998E-2</v>
      </c>
      <c r="T9770">
        <v>-0.1351928</v>
      </c>
      <c r="U9770">
        <v>3.0009160000000001</v>
      </c>
      <c r="V9770">
        <v>7.2149889999999994E-2</v>
      </c>
      <c r="W9770" s="1">
        <v>-5.6785069999999997E-5</v>
      </c>
      <c r="X9770">
        <v>0.9973938</v>
      </c>
      <c r="Y9770">
        <v>2.8358540000000002E-2</v>
      </c>
      <c r="Z9770">
        <v>-4.4982500000000002E-2</v>
      </c>
      <c r="AA9770">
        <v>0.99858519999999995</v>
      </c>
      <c r="AB9770">
        <v>24</v>
      </c>
      <c r="AC9770">
        <v>0.232100000000002</v>
      </c>
      <c r="AD9770">
        <v>-1.1101122076750001</v>
      </c>
      <c r="AE9770">
        <v>24.401638999999999</v>
      </c>
      <c r="AF9770">
        <v>0.69746315545726401</v>
      </c>
      <c r="AG9770">
        <v>-1.1101122076750001</v>
      </c>
      <c r="AH9770">
        <v>24.342356768420402</v>
      </c>
      <c r="AI9770">
        <v>92.610045859952294</v>
      </c>
      <c r="AJ9770">
        <v>88.358796339879802</v>
      </c>
      <c r="AK9770">
        <v>24.377636001218601</v>
      </c>
      <c r="AL9770">
        <v>90.003253544848604</v>
      </c>
      <c r="AM9770">
        <v>85.862520818179306</v>
      </c>
      <c r="AN9770">
        <v>1.0000000010649901</v>
      </c>
    </row>
    <row r="9771" spans="1:40" x14ac:dyDescent="0.25">
      <c r="A9771" t="str">
        <f>"20190312154143385"</f>
        <v>20190312154143385</v>
      </c>
      <c r="B9771" t="str">
        <f>"1552376503376151"</f>
        <v>1552376503376151</v>
      </c>
      <c r="C9771" t="s">
        <v>40</v>
      </c>
      <c r="D9771">
        <v>4.2514609999999999</v>
      </c>
      <c r="E9771">
        <v>0.4843768</v>
      </c>
      <c r="F9771" t="s">
        <v>42</v>
      </c>
      <c r="G9771">
        <v>-187.43029999999999</v>
      </c>
      <c r="H9771" s="1">
        <v>-1.239471E-6</v>
      </c>
      <c r="I9771">
        <v>1.281145</v>
      </c>
      <c r="J9771">
        <v>-187.71449999999999</v>
      </c>
      <c r="K9771">
        <v>1.110155</v>
      </c>
      <c r="L9771">
        <v>-22.928650000000001</v>
      </c>
      <c r="M9771">
        <v>-1.9068069999999999E-2</v>
      </c>
      <c r="N9771">
        <v>0</v>
      </c>
      <c r="O9771">
        <v>0.99970899999999996</v>
      </c>
      <c r="P9771">
        <v>5.5281120000000003E-2</v>
      </c>
      <c r="Q9771">
        <v>-1.597554E-2</v>
      </c>
      <c r="R9771">
        <v>0.99834299999999998</v>
      </c>
      <c r="S9771">
        <v>3.4301760000000001E-2</v>
      </c>
      <c r="T9771">
        <v>-0.1361994</v>
      </c>
      <c r="U9771">
        <v>3.0007320000000002</v>
      </c>
      <c r="V9771">
        <v>7.4309449999999999E-2</v>
      </c>
      <c r="W9771">
        <v>-1.2531930000000001E-3</v>
      </c>
      <c r="X9771">
        <v>0.99723450000000002</v>
      </c>
      <c r="Y9771">
        <v>3.0485470000000001E-2</v>
      </c>
      <c r="Z9771">
        <v>-4.5317650000000001E-2</v>
      </c>
      <c r="AA9771">
        <v>0.99850740000000004</v>
      </c>
      <c r="AB9771">
        <v>24</v>
      </c>
      <c r="AC9771">
        <v>0.28419999999999801</v>
      </c>
      <c r="AD9771">
        <v>-1.1101562394710001</v>
      </c>
      <c r="AE9771">
        <v>24.209795</v>
      </c>
      <c r="AF9771">
        <v>0.744267996676236</v>
      </c>
      <c r="AG9771">
        <v>-1.1101562394710001</v>
      </c>
      <c r="AH9771">
        <v>24.1492001260319</v>
      </c>
      <c r="AI9771">
        <v>92.630828054735503</v>
      </c>
      <c r="AJ9771">
        <v>88.234727405281305</v>
      </c>
      <c r="AK9771">
        <v>24.186158199558101</v>
      </c>
      <c r="AL9771">
        <v>90.071802684558406</v>
      </c>
      <c r="AM9771">
        <v>85.738450904067406</v>
      </c>
      <c r="AN9771">
        <v>1.00000005642112</v>
      </c>
    </row>
    <row r="9772" spans="1:40" x14ac:dyDescent="0.25">
      <c r="A9772" t="str">
        <f>"20190312154143408"</f>
        <v>20190312154143408</v>
      </c>
      <c r="B9772" t="str">
        <f>"1552376503395670"</f>
        <v>1552376503395670</v>
      </c>
      <c r="C9772" t="s">
        <v>40</v>
      </c>
      <c r="D9772">
        <v>4.20791</v>
      </c>
      <c r="E9772">
        <v>0.48451100000000002</v>
      </c>
      <c r="F9772" t="s">
        <v>42</v>
      </c>
      <c r="G9772">
        <v>-187.41370000000001</v>
      </c>
      <c r="H9772" s="1">
        <v>-1.4254139999999999E-6</v>
      </c>
      <c r="I9772">
        <v>1.8145739999999999</v>
      </c>
      <c r="J9772">
        <v>-187.71889999999999</v>
      </c>
      <c r="K9772">
        <v>1.1101909999999999</v>
      </c>
      <c r="L9772">
        <v>-22.693760000000001</v>
      </c>
      <c r="M9772">
        <v>-1.9060580000000001E-2</v>
      </c>
      <c r="N9772">
        <v>0</v>
      </c>
      <c r="O9772">
        <v>0.99970930000000002</v>
      </c>
      <c r="P9772">
        <v>5.5919629999999998E-2</v>
      </c>
      <c r="Q9772">
        <v>-1.6639620000000001E-2</v>
      </c>
      <c r="R9772">
        <v>0.99829659999999998</v>
      </c>
      <c r="S9772">
        <v>3.6483759999999997E-2</v>
      </c>
      <c r="T9772">
        <v>-0.1346368</v>
      </c>
      <c r="U9772">
        <v>3.0007929999999998</v>
      </c>
      <c r="V9772">
        <v>7.4939560000000002E-2</v>
      </c>
      <c r="W9772">
        <v>-1.919865E-3</v>
      </c>
      <c r="X9772">
        <v>0.99718620000000002</v>
      </c>
      <c r="Y9772">
        <v>3.1203979999999999E-2</v>
      </c>
      <c r="Z9772">
        <v>-4.4797200000000002E-2</v>
      </c>
      <c r="AA9772">
        <v>0.99850859999999997</v>
      </c>
      <c r="AB9772">
        <v>24</v>
      </c>
      <c r="AC9772">
        <v>0.30519999999998498</v>
      </c>
      <c r="AD9772">
        <v>-1.1101924254140001</v>
      </c>
      <c r="AE9772">
        <v>24.508334000000001</v>
      </c>
      <c r="AF9772">
        <v>0.77075721457216595</v>
      </c>
      <c r="AG9772">
        <v>-1.1101924254140001</v>
      </c>
      <c r="AH9772">
        <v>24.4479043434003</v>
      </c>
      <c r="AI9772">
        <v>92.598756418421601</v>
      </c>
      <c r="AJ9772">
        <v>88.194261862776301</v>
      </c>
      <c r="AK9772">
        <v>24.485232706456301</v>
      </c>
      <c r="AL9772">
        <v>90.110000232554299</v>
      </c>
      <c r="AM9772">
        <v>85.702242362758497</v>
      </c>
      <c r="AN9772">
        <v>0.99999997050252498</v>
      </c>
    </row>
    <row r="9773" spans="1:40" x14ac:dyDescent="0.25">
      <c r="A9773" t="str">
        <f>"20190312154143422"</f>
        <v>20190312154143422</v>
      </c>
      <c r="B9773" t="str">
        <f>"1552376503416166"</f>
        <v>1552376503416166</v>
      </c>
      <c r="C9773" t="s">
        <v>40</v>
      </c>
      <c r="D9773">
        <v>4.2044319999999997</v>
      </c>
      <c r="E9773">
        <v>0.48407899999999998</v>
      </c>
      <c r="F9773" t="s">
        <v>42</v>
      </c>
      <c r="G9773">
        <v>-187.39760000000001</v>
      </c>
      <c r="H9773" s="1">
        <v>-1.4201050000000001E-6</v>
      </c>
      <c r="I9773">
        <v>1.786416</v>
      </c>
      <c r="J9773">
        <v>-187.72190000000001</v>
      </c>
      <c r="K9773">
        <v>1.1102160000000001</v>
      </c>
      <c r="L9773">
        <v>-22.53857</v>
      </c>
      <c r="M9773">
        <v>-1.9080610000000001E-2</v>
      </c>
      <c r="N9773">
        <v>0</v>
      </c>
      <c r="O9773">
        <v>0.99970899999999996</v>
      </c>
      <c r="P9773">
        <v>5.558341E-2</v>
      </c>
      <c r="Q9773">
        <v>-1.6778379999999999E-2</v>
      </c>
      <c r="R9773">
        <v>0.99831309999999995</v>
      </c>
      <c r="S9773">
        <v>3.9382929999999997E-2</v>
      </c>
      <c r="T9773">
        <v>-0.13608120000000001</v>
      </c>
      <c r="U9773">
        <v>3.0006409999999999</v>
      </c>
      <c r="V9773">
        <v>7.4623780000000001E-2</v>
      </c>
      <c r="W9773">
        <v>-2.0599889999999999E-3</v>
      </c>
      <c r="X9773">
        <v>0.99720960000000003</v>
      </c>
      <c r="Y9773">
        <v>3.2188899999999999E-2</v>
      </c>
      <c r="Z9773">
        <v>-4.5278079999999998E-2</v>
      </c>
      <c r="AA9773">
        <v>0.99845569999999895</v>
      </c>
      <c r="AB9773">
        <v>24</v>
      </c>
      <c r="AC9773">
        <v>0.32429999999999298</v>
      </c>
      <c r="AD9773">
        <v>-1.1102174201049999</v>
      </c>
      <c r="AE9773">
        <v>24.324985999999999</v>
      </c>
      <c r="AF9773">
        <v>0.78678841165935098</v>
      </c>
      <c r="AG9773">
        <v>-1.1102174201049999</v>
      </c>
      <c r="AH9773">
        <v>24.263833024448001</v>
      </c>
      <c r="AI9773">
        <v>92.618427584480798</v>
      </c>
      <c r="AJ9773">
        <v>88.142755709824499</v>
      </c>
      <c r="AK9773">
        <v>24.301959010806499</v>
      </c>
      <c r="AL9773">
        <v>90.118028762654006</v>
      </c>
      <c r="AM9773">
        <v>85.720384860706801</v>
      </c>
      <c r="AN9773">
        <v>0.99999996921416301</v>
      </c>
    </row>
    <row r="9774" spans="1:40" x14ac:dyDescent="0.25">
      <c r="A9774" t="str">
        <f>"20190312154143442"</f>
        <v>20190312154143442</v>
      </c>
      <c r="B9774" t="str">
        <f>"1552376503435686"</f>
        <v>1552376503435686</v>
      </c>
      <c r="C9774" t="s">
        <v>40</v>
      </c>
      <c r="D9774">
        <v>4.2275799999999997</v>
      </c>
      <c r="E9774">
        <v>0.47999320000000001</v>
      </c>
      <c r="F9774" t="s">
        <v>42</v>
      </c>
      <c r="G9774">
        <v>-187.5042</v>
      </c>
      <c r="H9774" s="1">
        <v>-3.7061220000000002E-6</v>
      </c>
      <c r="I9774">
        <v>-2.7601089999999999</v>
      </c>
      <c r="J9774">
        <v>-187.7259</v>
      </c>
      <c r="K9774">
        <v>1.1102379999999901</v>
      </c>
      <c r="L9774">
        <v>-22.332339999999999</v>
      </c>
      <c r="M9774">
        <v>-1.9139730000000001E-2</v>
      </c>
      <c r="N9774">
        <v>0</v>
      </c>
      <c r="O9774">
        <v>0.99970789999999998</v>
      </c>
      <c r="P9774">
        <v>5.4579919999999997E-2</v>
      </c>
      <c r="Q9774">
        <v>-1.7147639999999999E-2</v>
      </c>
      <c r="R9774">
        <v>0.99836219999999998</v>
      </c>
      <c r="S9774">
        <v>3.3020019999999997E-2</v>
      </c>
      <c r="T9774">
        <v>-0.1684206</v>
      </c>
      <c r="U9774">
        <v>3.000397</v>
      </c>
      <c r="V9774">
        <v>7.3680519999999999E-2</v>
      </c>
      <c r="W9774">
        <v>-2.4306829999999999E-3</v>
      </c>
      <c r="X9774">
        <v>0.99727889999999997</v>
      </c>
      <c r="Y9774">
        <v>3.0125909999999999E-2</v>
      </c>
      <c r="Z9774">
        <v>-5.601474E-2</v>
      </c>
      <c r="AA9774">
        <v>0.99797530000000001</v>
      </c>
      <c r="AB9774">
        <v>24</v>
      </c>
      <c r="AC9774">
        <v>0.22169999999999801</v>
      </c>
      <c r="AD9774">
        <v>-1.11024170612199</v>
      </c>
      <c r="AE9774">
        <v>19.572230999999999</v>
      </c>
      <c r="AF9774">
        <v>0.59439501684188001</v>
      </c>
      <c r="AG9774">
        <v>-1.11024170612199</v>
      </c>
      <c r="AH9774">
        <v>19.501657496912699</v>
      </c>
      <c r="AI9774">
        <v>93.2568586331859</v>
      </c>
      <c r="AJ9774">
        <v>88.254210658532102</v>
      </c>
      <c r="AK9774">
        <v>19.5422769197693</v>
      </c>
      <c r="AL9774">
        <v>90.1392680191328</v>
      </c>
      <c r="AM9774">
        <v>85.774575458694201</v>
      </c>
      <c r="AN9774">
        <v>0.99999996581626205</v>
      </c>
    </row>
    <row r="9775" spans="1:40" x14ac:dyDescent="0.25">
      <c r="A9775" t="str">
        <f>"20190312154143464"</f>
        <v>20190312154143464</v>
      </c>
      <c r="B9775" t="str">
        <f>"1552376503455206"</f>
        <v>1552376503455206</v>
      </c>
      <c r="C9775" t="s">
        <v>40</v>
      </c>
      <c r="D9775">
        <v>4.2144370000000002</v>
      </c>
      <c r="E9775">
        <v>0.48019509999999999</v>
      </c>
      <c r="F9775" t="s">
        <v>41</v>
      </c>
      <c r="G9775">
        <v>-187.73009999999999</v>
      </c>
      <c r="H9775">
        <v>1.0002139999999999</v>
      </c>
      <c r="I9775">
        <v>-21.464569999999998</v>
      </c>
      <c r="J9775">
        <v>-187.73050000000001</v>
      </c>
      <c r="K9775">
        <v>1.1102749999999999</v>
      </c>
      <c r="L9775">
        <v>-22.096070000000001</v>
      </c>
      <c r="M9775">
        <v>-1.9248830000000001E-2</v>
      </c>
      <c r="N9775">
        <v>0</v>
      </c>
      <c r="O9775">
        <v>0.99970599999999998</v>
      </c>
      <c r="P9775">
        <v>5.2720360000000001E-2</v>
      </c>
      <c r="Q9775">
        <v>-1.7227799999999901E-2</v>
      </c>
      <c r="R9775">
        <v>0.99846069999999998</v>
      </c>
      <c r="S9775">
        <v>-1.473999E-2</v>
      </c>
      <c r="T9775">
        <v>-0.38026860000000001</v>
      </c>
      <c r="U9775">
        <v>2.9992070000000002</v>
      </c>
      <c r="V9775">
        <v>7.1932200000000002E-2</v>
      </c>
      <c r="W9775">
        <v>-2.5114719999999998E-3</v>
      </c>
      <c r="X9775">
        <v>0.99740640000000003</v>
      </c>
      <c r="Y9775">
        <v>1.437604E-2</v>
      </c>
      <c r="Z9775">
        <v>-0.12574060000000001</v>
      </c>
      <c r="AA9775">
        <v>0.99195900000000004</v>
      </c>
      <c r="AB9775">
        <v>24</v>
      </c>
      <c r="AC9775">
        <v>4.0000000001327803E-4</v>
      </c>
      <c r="AD9775">
        <v>-0.11006099999999901</v>
      </c>
      <c r="AE9775">
        <v>0.63149999999999895</v>
      </c>
      <c r="AF9775">
        <v>1.21867090541776E-2</v>
      </c>
      <c r="AG9775">
        <v>-0.11006099999999901</v>
      </c>
      <c r="AH9775">
        <v>0.61276245274814301</v>
      </c>
      <c r="AI9775">
        <v>100.18060489340699</v>
      </c>
      <c r="AJ9775">
        <v>88.860643382251595</v>
      </c>
      <c r="AK9775">
        <v>0.62268753247233999</v>
      </c>
      <c r="AL9775">
        <v>90.1438968917941</v>
      </c>
      <c r="AM9775">
        <v>85.875013155995106</v>
      </c>
      <c r="AN9775">
        <v>1.0000000378247</v>
      </c>
    </row>
    <row r="9776" spans="1:40" x14ac:dyDescent="0.25">
      <c r="A9776" t="str">
        <f>"20190312154143487"</f>
        <v>20190312154143487</v>
      </c>
      <c r="B9776" t="str">
        <f>"1552376503475705"</f>
        <v>1552376503475705</v>
      </c>
      <c r="C9776" t="s">
        <v>40</v>
      </c>
      <c r="D9776">
        <v>4.2165730000000003</v>
      </c>
      <c r="E9776">
        <v>0.4806166</v>
      </c>
      <c r="F9776" t="s">
        <v>41</v>
      </c>
      <c r="G9776">
        <v>-187.73570000000001</v>
      </c>
      <c r="H9776">
        <v>1.0042519999999999</v>
      </c>
      <c r="I9776">
        <v>-21.25113</v>
      </c>
      <c r="J9776">
        <v>-187.73509999999999</v>
      </c>
      <c r="K9776">
        <v>1.1103080000000001</v>
      </c>
      <c r="L9776">
        <v>-21.862639999999999</v>
      </c>
      <c r="M9776">
        <v>-1.9390839999999999E-2</v>
      </c>
      <c r="N9776">
        <v>0</v>
      </c>
      <c r="O9776">
        <v>0.99970329999999996</v>
      </c>
      <c r="P9776">
        <v>5.1149E-2</v>
      </c>
      <c r="Q9776">
        <v>-1.706032E-2</v>
      </c>
      <c r="R9776">
        <v>0.99854529999999997</v>
      </c>
      <c r="S9776">
        <v>-1.8722530000000001E-2</v>
      </c>
      <c r="T9776">
        <v>-0.37632409999999999</v>
      </c>
      <c r="U9776">
        <v>2.9991150000000002</v>
      </c>
      <c r="V9776">
        <v>7.0504590000000006E-2</v>
      </c>
      <c r="W9776">
        <v>-2.3447289999999998E-3</v>
      </c>
      <c r="X9776">
        <v>0.99750870000000003</v>
      </c>
      <c r="Y9776">
        <v>1.319972E-2</v>
      </c>
      <c r="Z9776">
        <v>-0.1244605</v>
      </c>
      <c r="AA9776">
        <v>0.99213680000000004</v>
      </c>
      <c r="AB9776">
        <v>24</v>
      </c>
      <c r="AC9776">
        <v>-6.0000000001991696E-4</v>
      </c>
      <c r="AD9776">
        <v>-0.106055999999999</v>
      </c>
      <c r="AE9776">
        <v>0.611509999999999</v>
      </c>
      <c r="AF9776">
        <v>1.0930321207140201E-2</v>
      </c>
      <c r="AG9776">
        <v>-0.106055999999999</v>
      </c>
      <c r="AH9776">
        <v>0.593553167517056</v>
      </c>
      <c r="AI9776">
        <v>100.129010775715</v>
      </c>
      <c r="AJ9776">
        <v>88.945013638042397</v>
      </c>
      <c r="AK9776">
        <v>0.60305282498900703</v>
      </c>
      <c r="AL9776">
        <v>90.134343198796202</v>
      </c>
      <c r="AM9776">
        <v>85.9570191668858</v>
      </c>
      <c r="AN9776">
        <v>1.00000000077042</v>
      </c>
    </row>
    <row r="9777" spans="1:40" x14ac:dyDescent="0.25">
      <c r="A9777" t="str">
        <f>"20190312154143508"</f>
        <v>20190312154143508</v>
      </c>
      <c r="B9777" t="str">
        <f>"1552376503496197"</f>
        <v>1552376503496197</v>
      </c>
      <c r="C9777" t="s">
        <v>40</v>
      </c>
      <c r="D9777">
        <v>4.2246199999999998</v>
      </c>
      <c r="E9777">
        <v>0.48089769999999998</v>
      </c>
      <c r="F9777" t="s">
        <v>41</v>
      </c>
      <c r="G9777">
        <v>-187.7406</v>
      </c>
      <c r="H9777">
        <v>1.0056430000000001</v>
      </c>
      <c r="I9777">
        <v>-21.03941</v>
      </c>
      <c r="J9777">
        <v>-187.7398</v>
      </c>
      <c r="K9777">
        <v>1.1103339999999999</v>
      </c>
      <c r="L9777">
        <v>-21.633389999999999</v>
      </c>
      <c r="M9777">
        <v>-1.9560379999999999E-2</v>
      </c>
      <c r="N9777">
        <v>0</v>
      </c>
      <c r="O9777">
        <v>0.99970009999999998</v>
      </c>
      <c r="P9777">
        <v>4.9141240000000003E-2</v>
      </c>
      <c r="Q9777">
        <v>-1.7202640000000002E-2</v>
      </c>
      <c r="R9777">
        <v>0.99864370000000002</v>
      </c>
      <c r="S9777">
        <v>-2.030945E-2</v>
      </c>
      <c r="T9777">
        <v>-0.38127</v>
      </c>
      <c r="U9777">
        <v>2.998901</v>
      </c>
      <c r="V9777">
        <v>6.8668499999999993E-2</v>
      </c>
      <c r="W9777">
        <v>-2.4876379999999999E-3</v>
      </c>
      <c r="X9777">
        <v>0.99763639999999998</v>
      </c>
      <c r="Y9777">
        <v>1.2845250000000001E-2</v>
      </c>
      <c r="Z9777">
        <v>-0.12607869999999999</v>
      </c>
      <c r="AA9777">
        <v>0.99193710000000002</v>
      </c>
      <c r="AB9777">
        <v>24</v>
      </c>
      <c r="AC9777">
        <v>-7.9999999999813499E-4</v>
      </c>
      <c r="AD9777">
        <v>-0.10469099999999899</v>
      </c>
      <c r="AE9777">
        <v>0.59397999999999795</v>
      </c>
      <c r="AF9777">
        <v>1.04938940047468E-2</v>
      </c>
      <c r="AG9777">
        <v>-0.10469099999999899</v>
      </c>
      <c r="AH9777">
        <v>0.57598877259279402</v>
      </c>
      <c r="AI9777">
        <v>100.299877597151</v>
      </c>
      <c r="AJ9777">
        <v>88.956248187091703</v>
      </c>
      <c r="AK9777">
        <v>0.58551976349678903</v>
      </c>
      <c r="AL9777">
        <v>90.142531309791906</v>
      </c>
      <c r="AM9777">
        <v>86.0624738272179</v>
      </c>
      <c r="AN9777">
        <v>0.99999996892001397</v>
      </c>
    </row>
    <row r="9778" spans="1:40" x14ac:dyDescent="0.25">
      <c r="A9778" t="str">
        <f>"20190312154143530"</f>
        <v>20190312154143530</v>
      </c>
      <c r="B9778" t="str">
        <f>"1552376503525479"</f>
        <v>1552376503525479</v>
      </c>
      <c r="C9778" t="s">
        <v>40</v>
      </c>
      <c r="D9778">
        <v>4.2278609999999999</v>
      </c>
      <c r="E9778">
        <v>0.4813327</v>
      </c>
      <c r="F9778" t="s">
        <v>41</v>
      </c>
      <c r="G9778">
        <v>-187.74600000000001</v>
      </c>
      <c r="H9778">
        <v>1.007423</v>
      </c>
      <c r="I9778">
        <v>-20.82789</v>
      </c>
      <c r="J9778">
        <v>-187.74449999999999</v>
      </c>
      <c r="K9778">
        <v>1.1103590000000001</v>
      </c>
      <c r="L9778">
        <v>-21.404969999999999</v>
      </c>
      <c r="M9778">
        <v>-1.975797E-2</v>
      </c>
      <c r="N9778">
        <v>0</v>
      </c>
      <c r="O9778">
        <v>0.99969640000000004</v>
      </c>
      <c r="P9778">
        <v>4.6911700000000001E-2</v>
      </c>
      <c r="Q9778">
        <v>-1.7687689999999999E-2</v>
      </c>
      <c r="R9778">
        <v>0.99874240000000003</v>
      </c>
      <c r="S9778">
        <v>-2.36969E-2</v>
      </c>
      <c r="T9778">
        <v>-0.38308910000000002</v>
      </c>
      <c r="U9778">
        <v>2.9986269999999999</v>
      </c>
      <c r="V9778">
        <v>6.6638779999999995E-2</v>
      </c>
      <c r="W9778">
        <v>-2.9739480000000001E-3</v>
      </c>
      <c r="X9778">
        <v>0.99777280000000002</v>
      </c>
      <c r="Y9778">
        <v>1.192238E-2</v>
      </c>
      <c r="Z9778">
        <v>-0.1266815</v>
      </c>
      <c r="AA9778">
        <v>0.99187179999999997</v>
      </c>
      <c r="AB9778">
        <v>24</v>
      </c>
      <c r="AC9778">
        <v>-1.4999999999929499E-3</v>
      </c>
      <c r="AD9778">
        <v>-0.102936</v>
      </c>
      <c r="AE9778">
        <v>0.57708000000000204</v>
      </c>
      <c r="AF9778">
        <v>9.5980757419253694E-3</v>
      </c>
      <c r="AG9778">
        <v>-0.102936</v>
      </c>
      <c r="AH9778">
        <v>0.55920473320928699</v>
      </c>
      <c r="AI9778">
        <v>100.428501179375</v>
      </c>
      <c r="AJ9778">
        <v>89.016683504176399</v>
      </c>
      <c r="AK9778">
        <v>0.56868082154897504</v>
      </c>
      <c r="AL9778">
        <v>90.170394908836599</v>
      </c>
      <c r="AM9778">
        <v>86.179030950049807</v>
      </c>
      <c r="AN9778">
        <v>1.00000006589321</v>
      </c>
    </row>
    <row r="9779" spans="1:40" x14ac:dyDescent="0.25">
      <c r="A9779" t="str">
        <f>"20190312154143564"</f>
        <v>20190312154143564</v>
      </c>
      <c r="B9779" t="str">
        <f>"1552376503555735"</f>
        <v>1552376503555735</v>
      </c>
      <c r="C9779" t="s">
        <v>40</v>
      </c>
      <c r="D9779">
        <v>4.22499</v>
      </c>
      <c r="E9779">
        <v>0.4821917</v>
      </c>
      <c r="F9779" t="s">
        <v>41</v>
      </c>
      <c r="G9779">
        <v>-187.75139999999999</v>
      </c>
      <c r="H9779">
        <v>1.0089709999999901</v>
      </c>
      <c r="I9779">
        <v>-20.616910000000001</v>
      </c>
      <c r="J9779">
        <v>-187.75190000000001</v>
      </c>
      <c r="K9779">
        <v>1.110384</v>
      </c>
      <c r="L9779">
        <v>-21.050419999999999</v>
      </c>
      <c r="M9779">
        <v>-2.0111609999999999E-2</v>
      </c>
      <c r="N9779">
        <v>0</v>
      </c>
      <c r="O9779">
        <v>0.99968950000000001</v>
      </c>
      <c r="P9779">
        <v>4.3403369999999997E-2</v>
      </c>
      <c r="Q9779">
        <v>-1.8303429999999999E-2</v>
      </c>
      <c r="R9779">
        <v>0.9988899</v>
      </c>
      <c r="S9779">
        <v>-2.6626589999999999E-2</v>
      </c>
      <c r="T9779">
        <v>-0.38573879999999999</v>
      </c>
      <c r="U9779">
        <v>2.9981990000000001</v>
      </c>
      <c r="V9779">
        <v>6.3487420000000003E-2</v>
      </c>
      <c r="W9779">
        <v>-3.59444E-3</v>
      </c>
      <c r="X9779">
        <v>0.99797619999999998</v>
      </c>
      <c r="Y9779">
        <v>1.130684E-2</v>
      </c>
      <c r="Z9779">
        <v>-0.12755999999999901</v>
      </c>
      <c r="AA9779">
        <v>0.99176640000000005</v>
      </c>
      <c r="AB9779">
        <v>24</v>
      </c>
      <c r="AC9779">
        <v>5.0000000001659795E-4</v>
      </c>
      <c r="AD9779">
        <v>-0.101413</v>
      </c>
      <c r="AE9779">
        <v>0.43351000000000101</v>
      </c>
      <c r="AF9779">
        <v>8.7410685977425805E-3</v>
      </c>
      <c r="AG9779">
        <v>-0.101413</v>
      </c>
      <c r="AH9779">
        <v>0.410924273624166</v>
      </c>
      <c r="AI9779">
        <v>103.86012925441101</v>
      </c>
      <c r="AJ9779">
        <v>88.781403648545904</v>
      </c>
      <c r="AK9779">
        <v>0.42334355020807701</v>
      </c>
      <c r="AL9779">
        <v>90.205946678157005</v>
      </c>
      <c r="AM9779">
        <v>86.359967292767394</v>
      </c>
      <c r="AN9779">
        <v>1.0000000341318001</v>
      </c>
    </row>
    <row r="9780" spans="1:40" x14ac:dyDescent="0.25">
      <c r="A9780" t="str">
        <f>"20190312154143586"</f>
        <v>20190312154143586</v>
      </c>
      <c r="B9780" t="str">
        <f>"1552376503575258"</f>
        <v>1552376503575258</v>
      </c>
      <c r="C9780" t="s">
        <v>40</v>
      </c>
      <c r="D9780">
        <v>4.2151379999999996</v>
      </c>
      <c r="E9780">
        <v>0.48232079999999999</v>
      </c>
      <c r="F9780" t="s">
        <v>41</v>
      </c>
      <c r="G9780">
        <v>-187.76009999999999</v>
      </c>
      <c r="H9780">
        <v>1.000842</v>
      </c>
      <c r="I9780">
        <v>-20.20166</v>
      </c>
      <c r="J9780">
        <v>-187.75710000000001</v>
      </c>
      <c r="K9780">
        <v>1.1104000000000001</v>
      </c>
      <c r="L9780">
        <v>-20.81024</v>
      </c>
      <c r="M9780">
        <v>-2.0371839999999999E-2</v>
      </c>
      <c r="N9780">
        <v>0</v>
      </c>
      <c r="O9780">
        <v>0.99968429999999997</v>
      </c>
      <c r="P9780">
        <v>4.083266E-2</v>
      </c>
      <c r="Q9780">
        <v>-1.774075E-2</v>
      </c>
      <c r="R9780">
        <v>0.99900849999999997</v>
      </c>
      <c r="S9780">
        <v>-2.9251099999999901E-2</v>
      </c>
      <c r="T9780">
        <v>-0.38686920000000002</v>
      </c>
      <c r="U9780">
        <v>2.997528</v>
      </c>
      <c r="V9780">
        <v>6.1179219999999999E-2</v>
      </c>
      <c r="W9780">
        <v>-3.0365539999999999E-3</v>
      </c>
      <c r="X9780">
        <v>0.99812219999999996</v>
      </c>
      <c r="Y9780">
        <v>1.0697379999999999E-2</v>
      </c>
      <c r="Z9780">
        <v>-0.12795480000000001</v>
      </c>
      <c r="AA9780">
        <v>0.99172229999999995</v>
      </c>
      <c r="AB9780">
        <v>23</v>
      </c>
      <c r="AC9780">
        <v>-2.9999999999858998E-3</v>
      </c>
      <c r="AD9780">
        <v>-0.109558</v>
      </c>
      <c r="AE9780">
        <v>0.60857999999999901</v>
      </c>
      <c r="AF9780">
        <v>9.1047965908610199E-3</v>
      </c>
      <c r="AG9780">
        <v>-0.109558</v>
      </c>
      <c r="AH9780">
        <v>0.58941352169766204</v>
      </c>
      <c r="AI9780">
        <v>100.528528896575</v>
      </c>
      <c r="AJ9780">
        <v>89.115010239846498</v>
      </c>
      <c r="AK9780">
        <v>0.59957831202020695</v>
      </c>
      <c r="AL9780">
        <v>90.173981992029596</v>
      </c>
      <c r="AM9780">
        <v>86.492482424891904</v>
      </c>
      <c r="AN9780">
        <v>1.00000002187642</v>
      </c>
    </row>
    <row r="9781" spans="1:40" x14ac:dyDescent="0.25">
      <c r="A9781" t="str">
        <f>"20190312154143609"</f>
        <v>20190312154143609</v>
      </c>
      <c r="B9781" t="str">
        <f>"1552376503595750"</f>
        <v>1552376503595750</v>
      </c>
      <c r="C9781" t="s">
        <v>40</v>
      </c>
      <c r="D9781">
        <v>4.2060060000000004</v>
      </c>
      <c r="E9781">
        <v>0.4824579</v>
      </c>
      <c r="F9781" t="s">
        <v>41</v>
      </c>
      <c r="G9781">
        <v>-187.76669999999999</v>
      </c>
      <c r="H9781">
        <v>1.004939</v>
      </c>
      <c r="I9781">
        <v>-19.990649999999999</v>
      </c>
      <c r="J9781">
        <v>-187.762</v>
      </c>
      <c r="K9781">
        <v>1.110395</v>
      </c>
      <c r="L9781">
        <v>-20.58276</v>
      </c>
      <c r="M9781">
        <v>-2.0624320000000002E-2</v>
      </c>
      <c r="N9781">
        <v>0</v>
      </c>
      <c r="O9781">
        <v>0.99967919999999999</v>
      </c>
      <c r="P9781">
        <v>3.834452E-2</v>
      </c>
      <c r="Q9781">
        <v>-1.6748229999999999E-2</v>
      </c>
      <c r="R9781">
        <v>0.99912420000000002</v>
      </c>
      <c r="S9781">
        <v>-3.5766600000000003E-2</v>
      </c>
      <c r="T9781">
        <v>-0.3857064</v>
      </c>
      <c r="U9781">
        <v>2.9975890000000001</v>
      </c>
      <c r="V9781">
        <v>5.8945629999999999E-2</v>
      </c>
      <c r="W9781">
        <v>-2.0493389999999998E-3</v>
      </c>
      <c r="X9781">
        <v>0.99825909999999995</v>
      </c>
      <c r="Y9781">
        <v>8.7941779999999997E-3</v>
      </c>
      <c r="Z9781">
        <v>-0.12757260000000001</v>
      </c>
      <c r="AA9781">
        <v>0.99179019999999996</v>
      </c>
      <c r="AB9781">
        <v>23</v>
      </c>
      <c r="AC9781">
        <v>-4.6999999999854901E-3</v>
      </c>
      <c r="AD9781">
        <v>-0.10545599999999999</v>
      </c>
      <c r="AE9781">
        <v>0.59211000000000102</v>
      </c>
      <c r="AF9781">
        <v>7.2831757213095497E-3</v>
      </c>
      <c r="AG9781">
        <v>-0.10545599999999999</v>
      </c>
      <c r="AH9781">
        <v>0.57387850071038404</v>
      </c>
      <c r="AI9781">
        <v>100.411695544415</v>
      </c>
      <c r="AJ9781">
        <v>89.272889944438006</v>
      </c>
      <c r="AK9781">
        <v>0.583532814983173</v>
      </c>
      <c r="AL9781">
        <v>90.117418556634306</v>
      </c>
      <c r="AM9781">
        <v>86.620698233583298</v>
      </c>
      <c r="AN9781">
        <v>1.0000000089096199</v>
      </c>
    </row>
    <row r="9782" spans="1:40" x14ac:dyDescent="0.25">
      <c r="A9782" t="str">
        <f>"20190312154143630"</f>
        <v>20190312154143630</v>
      </c>
      <c r="B9782" t="str">
        <f>"1552376503626006"</f>
        <v>1552376503626006</v>
      </c>
      <c r="C9782" t="s">
        <v>40</v>
      </c>
      <c r="D9782">
        <v>4.2710429999999997</v>
      </c>
      <c r="E9782">
        <v>0.48278599999999999</v>
      </c>
      <c r="F9782" t="s">
        <v>41</v>
      </c>
      <c r="G9782">
        <v>-187.7731</v>
      </c>
      <c r="H9782">
        <v>1.0081370000000001</v>
      </c>
      <c r="I9782">
        <v>-19.78049</v>
      </c>
      <c r="J9782">
        <v>-187.767</v>
      </c>
      <c r="K9782">
        <v>1.1103940000000001</v>
      </c>
      <c r="L9782">
        <v>-20.357420000000001</v>
      </c>
      <c r="M9782">
        <v>-2.087464E-2</v>
      </c>
      <c r="N9782">
        <v>0</v>
      </c>
      <c r="O9782">
        <v>0.99967410000000001</v>
      </c>
      <c r="P9782">
        <v>3.6223949999999998E-2</v>
      </c>
      <c r="Q9782">
        <v>-1.6236549999999999E-2</v>
      </c>
      <c r="R9782">
        <v>0.99921179999999998</v>
      </c>
      <c r="S9782">
        <v>-4.1900630000000001E-2</v>
      </c>
      <c r="T9782">
        <v>-0.38209920000000003</v>
      </c>
      <c r="U9782">
        <v>2.997833</v>
      </c>
      <c r="V9782">
        <v>5.7077080000000002E-2</v>
      </c>
      <c r="W9782">
        <v>-1.5434699999999999E-3</v>
      </c>
      <c r="X9782">
        <v>0.99836860000000005</v>
      </c>
      <c r="Y9782">
        <v>7.0143870000000004E-3</v>
      </c>
      <c r="Z9782">
        <v>-0.12638679999999999</v>
      </c>
      <c r="AA9782">
        <v>0.99195619999999995</v>
      </c>
      <c r="AB9782">
        <v>23</v>
      </c>
      <c r="AC9782">
        <v>-6.1000000000035401E-3</v>
      </c>
      <c r="AD9782">
        <v>-0.102257</v>
      </c>
      <c r="AE9782">
        <v>0.57693000000000005</v>
      </c>
      <c r="AF9782">
        <v>5.7647553538241704E-3</v>
      </c>
      <c r="AG9782">
        <v>-0.102257</v>
      </c>
      <c r="AH9782">
        <v>0.55936113102487195</v>
      </c>
      <c r="AI9782">
        <v>100.35932615775501</v>
      </c>
      <c r="AJ9782">
        <v>89.409532696815106</v>
      </c>
      <c r="AK9782">
        <v>0.56866035676378401</v>
      </c>
      <c r="AL9782">
        <v>90.088434350289504</v>
      </c>
      <c r="AM9782">
        <v>86.727942112495796</v>
      </c>
      <c r="AN9782">
        <v>1.0000000184134601</v>
      </c>
    </row>
    <row r="9783" spans="1:40" x14ac:dyDescent="0.25">
      <c r="A9783" t="str">
        <f>"20190312154143655"</f>
        <v>20190312154143655</v>
      </c>
      <c r="B9783" t="str">
        <f>"1552376503645527"</f>
        <v>1552376503645527</v>
      </c>
      <c r="C9783" t="s">
        <v>40</v>
      </c>
      <c r="D9783">
        <v>4.2717159999999996</v>
      </c>
      <c r="E9783">
        <v>0.48303010000000002</v>
      </c>
      <c r="F9783" t="s">
        <v>41</v>
      </c>
      <c r="G9783">
        <v>-187.77879999999999</v>
      </c>
      <c r="H9783">
        <v>1.0108569999999999</v>
      </c>
      <c r="I9783">
        <v>-19.570959999999999</v>
      </c>
      <c r="J9783">
        <v>-187.77269999999999</v>
      </c>
      <c r="K9783">
        <v>1.1103959999999999</v>
      </c>
      <c r="L9783">
        <v>-20.098299999999998</v>
      </c>
      <c r="M9783">
        <v>-2.1158059999999999E-2</v>
      </c>
      <c r="N9783">
        <v>0</v>
      </c>
      <c r="O9783">
        <v>0.99966820000000001</v>
      </c>
      <c r="P9783">
        <v>3.4786650000000002E-2</v>
      </c>
      <c r="Q9783">
        <v>-1.6164700000000001E-2</v>
      </c>
      <c r="R9783">
        <v>0.99926400000000004</v>
      </c>
      <c r="S9783">
        <v>-4.5486449999999998E-2</v>
      </c>
      <c r="T9783">
        <v>-0.37941170000000002</v>
      </c>
      <c r="U9783">
        <v>2.9978639999999999</v>
      </c>
      <c r="V9783">
        <v>5.5924179999999997E-2</v>
      </c>
      <c r="W9783">
        <v>-1.47885799999999E-3</v>
      </c>
      <c r="X9783">
        <v>0.99843389999999999</v>
      </c>
      <c r="Y9783">
        <v>6.1100909999999998E-3</v>
      </c>
      <c r="Z9783">
        <v>-0.1255088</v>
      </c>
      <c r="AA9783">
        <v>0.99207369999999995</v>
      </c>
      <c r="AB9783">
        <v>23</v>
      </c>
      <c r="AC9783">
        <v>-6.1000000000035401E-3</v>
      </c>
      <c r="AD9783">
        <v>-9.9539000000000002E-2</v>
      </c>
      <c r="AE9783">
        <v>0.52733999999999803</v>
      </c>
      <c r="AF9783">
        <v>4.8860007908240197E-3</v>
      </c>
      <c r="AG9783">
        <v>-9.9539000000000002E-2</v>
      </c>
      <c r="AH9783">
        <v>0.50921070119554301</v>
      </c>
      <c r="AI9783">
        <v>101.060041137778</v>
      </c>
      <c r="AJ9783">
        <v>89.450249901720596</v>
      </c>
      <c r="AK9783">
        <v>0.51887129785408703</v>
      </c>
      <c r="AL9783">
        <v>90.084732354750201</v>
      </c>
      <c r="AM9783">
        <v>86.794104367629799</v>
      </c>
      <c r="AN9783">
        <v>0.99999997679943298</v>
      </c>
    </row>
    <row r="9784" spans="1:40" x14ac:dyDescent="0.25">
      <c r="A9784" t="str">
        <f>"20190312154143678"</f>
        <v>20190312154143678</v>
      </c>
      <c r="B9784" t="str">
        <f>"1552376503666022"</f>
        <v>1552376503666022</v>
      </c>
      <c r="C9784" t="s">
        <v>40</v>
      </c>
      <c r="D9784">
        <v>4.2687059999999999</v>
      </c>
      <c r="E9784">
        <v>0.48325889999999999</v>
      </c>
      <c r="F9784" t="s">
        <v>41</v>
      </c>
      <c r="G9784">
        <v>-187.78450000000001</v>
      </c>
      <c r="H9784">
        <v>1.0168549999999901</v>
      </c>
      <c r="I9784">
        <v>-19.360230000000001</v>
      </c>
      <c r="J9784">
        <v>-187.77809999999999</v>
      </c>
      <c r="K9784">
        <v>1.1103970000000001</v>
      </c>
      <c r="L9784">
        <v>-19.860659999999999</v>
      </c>
      <c r="M9784">
        <v>-2.1411960000000001E-2</v>
      </c>
      <c r="N9784">
        <v>0</v>
      </c>
      <c r="O9784">
        <v>0.99966290000000002</v>
      </c>
      <c r="P9784">
        <v>3.3199239999999998E-2</v>
      </c>
      <c r="Q9784">
        <v>-1.515127E-2</v>
      </c>
      <c r="R9784">
        <v>0.9993339</v>
      </c>
      <c r="S9784">
        <v>-4.7973630000000003E-2</v>
      </c>
      <c r="T9784">
        <v>-0.37992530000000002</v>
      </c>
      <c r="U9784">
        <v>2.9977420000000001</v>
      </c>
      <c r="V9784">
        <v>5.4591800000000003E-2</v>
      </c>
      <c r="W9784">
        <v>-4.7168859999999999E-4</v>
      </c>
      <c r="X9784">
        <v>0.99850859999999997</v>
      </c>
      <c r="Y9784">
        <v>5.5408940000000002E-3</v>
      </c>
      <c r="Z9784">
        <v>-0.1256795</v>
      </c>
      <c r="AA9784">
        <v>0.99205540000000003</v>
      </c>
      <c r="AB9784">
        <v>23</v>
      </c>
      <c r="AC9784">
        <v>-6.4000000000134999E-3</v>
      </c>
      <c r="AD9784">
        <v>-9.3542E-2</v>
      </c>
      <c r="AE9784">
        <v>0.50043000000000104</v>
      </c>
      <c r="AF9784">
        <v>4.17206087897877E-3</v>
      </c>
      <c r="AG9784">
        <v>-9.3542E-2</v>
      </c>
      <c r="AH9784">
        <v>0.48355935108386</v>
      </c>
      <c r="AI9784">
        <v>100.94793931983099</v>
      </c>
      <c r="AJ9784">
        <v>89.505674849190697</v>
      </c>
      <c r="AK9784">
        <v>0.49254152908828103</v>
      </c>
      <c r="AL9784">
        <v>90.027025768223893</v>
      </c>
      <c r="AM9784">
        <v>86.870564037819605</v>
      </c>
      <c r="AN9784">
        <v>0.99999995569566602</v>
      </c>
    </row>
    <row r="9785" spans="1:40" x14ac:dyDescent="0.25">
      <c r="A9785" t="str">
        <f>"20190312154143699"</f>
        <v>20190312154143699</v>
      </c>
      <c r="B9785" t="str">
        <f>"1552376503685542"</f>
        <v>1552376503685542</v>
      </c>
      <c r="C9785" t="s">
        <v>40</v>
      </c>
      <c r="D9785">
        <v>4.2386650000000001</v>
      </c>
      <c r="E9785">
        <v>0.48354000000000003</v>
      </c>
      <c r="F9785" t="s">
        <v>41</v>
      </c>
      <c r="G9785">
        <v>-187.79329999999999</v>
      </c>
      <c r="H9785">
        <v>0.99636939999999996</v>
      </c>
      <c r="I9785">
        <v>-18.955819999999999</v>
      </c>
      <c r="J9785">
        <v>-187.78290000000001</v>
      </c>
      <c r="K9785">
        <v>1.1103989999999999</v>
      </c>
      <c r="L9785">
        <v>-19.649439999999998</v>
      </c>
      <c r="M9785">
        <v>-2.1633800000000002E-2</v>
      </c>
      <c r="N9785">
        <v>0</v>
      </c>
      <c r="O9785">
        <v>0.99965820000000005</v>
      </c>
      <c r="P9785">
        <v>3.188506E-2</v>
      </c>
      <c r="Q9785">
        <v>-1.422621E-2</v>
      </c>
      <c r="R9785">
        <v>0.99939029999999995</v>
      </c>
      <c r="S9785">
        <v>-5.0796510000000003E-2</v>
      </c>
      <c r="T9785">
        <v>-0.37779509999999999</v>
      </c>
      <c r="U9785">
        <v>2.9979550000000001</v>
      </c>
      <c r="V9785">
        <v>5.350038E-2</v>
      </c>
      <c r="W9785">
        <v>4.4805220000000001E-4</v>
      </c>
      <c r="X9785">
        <v>0.99856769999999995</v>
      </c>
      <c r="Y9785">
        <v>4.8285539999999997E-3</v>
      </c>
      <c r="Z9785">
        <v>-0.1249755</v>
      </c>
      <c r="AA9785">
        <v>0.99214809999999998</v>
      </c>
      <c r="AB9785">
        <v>23</v>
      </c>
      <c r="AC9785">
        <v>-1.03999999999757E-2</v>
      </c>
      <c r="AD9785">
        <v>-0.114029599999999</v>
      </c>
      <c r="AE9785">
        <v>0.69361999999999502</v>
      </c>
      <c r="AF9785">
        <v>4.4884083955507503E-3</v>
      </c>
      <c r="AG9785">
        <v>-0.114029599999999</v>
      </c>
      <c r="AH9785">
        <v>0.67543209318244801</v>
      </c>
      <c r="AI9785">
        <v>99.582375017881802</v>
      </c>
      <c r="AJ9785">
        <v>89.619261395685399</v>
      </c>
      <c r="AK9785">
        <v>0.68500467734673798</v>
      </c>
      <c r="AL9785">
        <v>89.974328498346495</v>
      </c>
      <c r="AM9785">
        <v>86.933189422624196</v>
      </c>
      <c r="AN9785">
        <v>0.99999997144710295</v>
      </c>
    </row>
    <row r="9786" spans="1:40" x14ac:dyDescent="0.25">
      <c r="A9786" t="str">
        <f>"20190312154143720"</f>
        <v>20190312154143720</v>
      </c>
      <c r="B9786" t="str">
        <f>"1552376503715799"</f>
        <v>1552376503715799</v>
      </c>
      <c r="C9786" t="s">
        <v>40</v>
      </c>
      <c r="D9786">
        <v>4.2439660000000003</v>
      </c>
      <c r="E9786">
        <v>0.4890178</v>
      </c>
      <c r="F9786" t="s">
        <v>41</v>
      </c>
      <c r="G9786">
        <v>-187.79830000000001</v>
      </c>
      <c r="H9786">
        <v>0.99720160000000002</v>
      </c>
      <c r="I9786">
        <v>-18.74879</v>
      </c>
      <c r="J9786">
        <v>-187.7878</v>
      </c>
      <c r="K9786">
        <v>1.110403</v>
      </c>
      <c r="L9786">
        <v>-19.431760000000001</v>
      </c>
      <c r="M9786">
        <v>-2.1859779999999999E-2</v>
      </c>
      <c r="N9786">
        <v>0</v>
      </c>
      <c r="O9786">
        <v>0.99965340000000003</v>
      </c>
      <c r="P9786">
        <v>3.0697459999999999E-2</v>
      </c>
      <c r="Q9786">
        <v>-1.341502E-2</v>
      </c>
      <c r="R9786">
        <v>0.99943870000000001</v>
      </c>
      <c r="S9786">
        <v>-5.2139280000000003E-2</v>
      </c>
      <c r="T9786">
        <v>-0.3768088</v>
      </c>
      <c r="U9786">
        <v>2.998138</v>
      </c>
      <c r="V9786">
        <v>5.2539549999999997E-2</v>
      </c>
      <c r="W9786">
        <v>1.25343E-3</v>
      </c>
      <c r="X9786">
        <v>0.99861809999999995</v>
      </c>
      <c r="Y9786">
        <v>4.6106979999999999E-3</v>
      </c>
      <c r="Z9786">
        <v>-0.12464550000000001</v>
      </c>
      <c r="AA9786">
        <v>0.99219069999999998</v>
      </c>
      <c r="AB9786">
        <v>23</v>
      </c>
      <c r="AC9786">
        <v>-1.05000000000075E-2</v>
      </c>
      <c r="AD9786">
        <v>-0.11320139999999999</v>
      </c>
      <c r="AE9786">
        <v>0.68297000000000097</v>
      </c>
      <c r="AF9786">
        <v>4.3151693383214097E-3</v>
      </c>
      <c r="AG9786">
        <v>-0.11320139999999999</v>
      </c>
      <c r="AH9786">
        <v>0.66477744566738906</v>
      </c>
      <c r="AI9786">
        <v>99.663696414139693</v>
      </c>
      <c r="AJ9786">
        <v>89.628089791300198</v>
      </c>
      <c r="AK9786">
        <v>0.67436060821821198</v>
      </c>
      <c r="AL9786">
        <v>89.928183735333903</v>
      </c>
      <c r="AM9786">
        <v>86.988316626195598</v>
      </c>
      <c r="AN9786">
        <v>1.0000000425242801</v>
      </c>
    </row>
    <row r="9787" spans="1:40" x14ac:dyDescent="0.25">
      <c r="A9787" t="str">
        <f>"20190312154143743"</f>
        <v>20190312154143743</v>
      </c>
      <c r="B9787" t="str">
        <f>"1552376503736294"</f>
        <v>1552376503736294</v>
      </c>
      <c r="C9787" t="s">
        <v>40</v>
      </c>
      <c r="D9787">
        <v>4.2577220000000002</v>
      </c>
      <c r="E9787">
        <v>0.48902020000000002</v>
      </c>
      <c r="F9787" t="s">
        <v>41</v>
      </c>
      <c r="G9787">
        <v>-187.79140000000001</v>
      </c>
      <c r="H9787">
        <v>0.99527129999999997</v>
      </c>
      <c r="I9787">
        <v>-18.54355</v>
      </c>
      <c r="J9787">
        <v>-187.79339999999999</v>
      </c>
      <c r="K9787">
        <v>1.110409</v>
      </c>
      <c r="L9787">
        <v>-19.191739999999999</v>
      </c>
      <c r="M9787">
        <v>-2.2108920000000001E-2</v>
      </c>
      <c r="N9787">
        <v>0</v>
      </c>
      <c r="O9787">
        <v>0.99964799999999998</v>
      </c>
      <c r="P9787">
        <v>2.9309660000000001E-2</v>
      </c>
      <c r="Q9787">
        <v>-1.3116539999999999E-2</v>
      </c>
      <c r="R9787">
        <v>0.99948429999999999</v>
      </c>
      <c r="S9787">
        <v>-1.228333E-2</v>
      </c>
      <c r="T9787">
        <v>-0.38845350000000001</v>
      </c>
      <c r="U9787">
        <v>2.9968569999999999</v>
      </c>
      <c r="V9787">
        <v>5.1401860000000001E-2</v>
      </c>
      <c r="W9787">
        <v>1.5457310000000001E-3</v>
      </c>
      <c r="X9787">
        <v>0.99867680000000003</v>
      </c>
      <c r="Y9787">
        <v>1.8047379999999998E-2</v>
      </c>
      <c r="Z9787">
        <v>-0.12848699999999999</v>
      </c>
      <c r="AA9787">
        <v>0.99154699999999996</v>
      </c>
      <c r="AB9787">
        <v>23</v>
      </c>
      <c r="AC9787">
        <v>1.9999999999811202E-3</v>
      </c>
      <c r="AD9787">
        <v>-0.1151377</v>
      </c>
      <c r="AE9787">
        <v>0.64818999999999904</v>
      </c>
      <c r="AF9787">
        <v>1.5832293356401399E-2</v>
      </c>
      <c r="AG9787">
        <v>-0.1151377</v>
      </c>
      <c r="AH9787">
        <v>0.62816739384902798</v>
      </c>
      <c r="AI9787">
        <v>100.38330933534</v>
      </c>
      <c r="AJ9787">
        <v>88.556226267997104</v>
      </c>
      <c r="AK9787">
        <v>0.63882832292353298</v>
      </c>
      <c r="AL9787">
        <v>89.911436097359001</v>
      </c>
      <c r="AM9787">
        <v>87.053588231089407</v>
      </c>
      <c r="AN9787">
        <v>0.99999994567701</v>
      </c>
    </row>
    <row r="9788" spans="1:40" x14ac:dyDescent="0.25">
      <c r="A9788" t="str">
        <f>"20190312154143765"</f>
        <v>20190312154143765</v>
      </c>
      <c r="B9788" t="str">
        <f>"1552376503755818"</f>
        <v>1552376503755818</v>
      </c>
      <c r="C9788" t="s">
        <v>40</v>
      </c>
      <c r="D9788">
        <v>4.2657790000000002</v>
      </c>
      <c r="E9788">
        <v>0.489093</v>
      </c>
      <c r="F9788" t="s">
        <v>41</v>
      </c>
      <c r="G9788">
        <v>-187.7978</v>
      </c>
      <c r="H9788">
        <v>0.99945450000000002</v>
      </c>
      <c r="I9788">
        <v>-18.33569</v>
      </c>
      <c r="J9788">
        <v>-187.7988</v>
      </c>
      <c r="K9788">
        <v>1.1104149999999999</v>
      </c>
      <c r="L9788">
        <v>-18.959990000000001</v>
      </c>
      <c r="M9788">
        <v>-2.2352980000000001E-2</v>
      </c>
      <c r="N9788">
        <v>0</v>
      </c>
      <c r="O9788">
        <v>0.9996427</v>
      </c>
      <c r="P9788">
        <v>2.832749E-2</v>
      </c>
      <c r="Q9788">
        <v>-1.3687700000000001E-2</v>
      </c>
      <c r="R9788">
        <v>0.99950499999999998</v>
      </c>
      <c r="S9788">
        <v>-1.612854E-2</v>
      </c>
      <c r="T9788">
        <v>-0.38842890000000002</v>
      </c>
      <c r="U9788">
        <v>2.996918</v>
      </c>
      <c r="V9788">
        <v>5.066441E-2</v>
      </c>
      <c r="W9788">
        <v>9.692352E-4</v>
      </c>
      <c r="X9788">
        <v>0.99871529999999997</v>
      </c>
      <c r="Y9788">
        <v>1.7019369999999999E-2</v>
      </c>
      <c r="Z9788">
        <v>-0.12847610000000001</v>
      </c>
      <c r="AA9788">
        <v>0.99156650000000002</v>
      </c>
      <c r="AB9788">
        <v>23</v>
      </c>
      <c r="AC9788">
        <v>1.0000000000047701E-3</v>
      </c>
      <c r="AD9788">
        <v>-0.110960499999999</v>
      </c>
      <c r="AE9788">
        <v>0.62429999999999797</v>
      </c>
      <c r="AF9788">
        <v>1.44982165925817E-2</v>
      </c>
      <c r="AG9788">
        <v>-0.110960499999999</v>
      </c>
      <c r="AH9788">
        <v>0.60500940342839105</v>
      </c>
      <c r="AI9788">
        <v>100.38979816132699</v>
      </c>
      <c r="AJ9788">
        <v>88.627248332699097</v>
      </c>
      <c r="AK9788">
        <v>0.61527132964359099</v>
      </c>
      <c r="AL9788">
        <v>89.944466906997505</v>
      </c>
      <c r="AM9788">
        <v>87.095898556576898</v>
      </c>
      <c r="AN9788">
        <v>1.0000000361557999</v>
      </c>
    </row>
    <row r="9789" spans="1:40" x14ac:dyDescent="0.25">
      <c r="A9789" t="str">
        <f>"20190312154143788"</f>
        <v>20190312154143788</v>
      </c>
      <c r="B9789" t="str">
        <f>"1552376503775338"</f>
        <v>1552376503775338</v>
      </c>
      <c r="C9789" t="s">
        <v>40</v>
      </c>
      <c r="D9789">
        <v>4.2247640000000004</v>
      </c>
      <c r="E9789">
        <v>0.48902899999999999</v>
      </c>
      <c r="F9789" t="s">
        <v>41</v>
      </c>
      <c r="G9789">
        <v>-187.8038</v>
      </c>
      <c r="H9789">
        <v>1.0023629999999999</v>
      </c>
      <c r="I9789">
        <v>-18.12885</v>
      </c>
      <c r="J9789">
        <v>-187.80420000000001</v>
      </c>
      <c r="K9789">
        <v>1.1104130000000001</v>
      </c>
      <c r="L9789">
        <v>-18.731539999999999</v>
      </c>
      <c r="M9789">
        <v>-2.2601630000000001E-2</v>
      </c>
      <c r="N9789">
        <v>0</v>
      </c>
      <c r="O9789">
        <v>0.9996372</v>
      </c>
      <c r="P9789">
        <v>2.7359930000000001E-2</v>
      </c>
      <c r="Q9789">
        <v>-1.4109699999999999E-2</v>
      </c>
      <c r="R9789">
        <v>0.99952609999999997</v>
      </c>
      <c r="S9789">
        <v>-1.8615719999999999E-2</v>
      </c>
      <c r="T9789">
        <v>-0.38957809999999998</v>
      </c>
      <c r="U9789">
        <v>2.9966740000000001</v>
      </c>
      <c r="V9789">
        <v>4.99461E-2</v>
      </c>
      <c r="W9789">
        <v>5.4246570000000003E-4</v>
      </c>
      <c r="X9789">
        <v>0.99875179999999997</v>
      </c>
      <c r="Y9789">
        <v>1.644499E-2</v>
      </c>
      <c r="Z9789">
        <v>-0.12885949999999999</v>
      </c>
      <c r="AA9789">
        <v>0.99152649999999998</v>
      </c>
      <c r="AB9789">
        <v>23</v>
      </c>
      <c r="AC9789">
        <v>4.0000000001327803E-4</v>
      </c>
      <c r="AD9789">
        <v>-0.10804999999999899</v>
      </c>
      <c r="AE9789">
        <v>0.60268999999999895</v>
      </c>
      <c r="AF9789">
        <v>1.35864521079547E-2</v>
      </c>
      <c r="AG9789">
        <v>-0.10804999999999899</v>
      </c>
      <c r="AH9789">
        <v>0.58376411971470699</v>
      </c>
      <c r="AI9789">
        <v>100.483532364578</v>
      </c>
      <c r="AJ9789">
        <v>88.666745986578405</v>
      </c>
      <c r="AK9789">
        <v>0.59383494478446497</v>
      </c>
      <c r="AL9789">
        <v>89.968919004347896</v>
      </c>
      <c r="AM9789">
        <v>87.137107795092206</v>
      </c>
      <c r="AN9789">
        <v>1.0000000325887399</v>
      </c>
    </row>
    <row r="9790" spans="1:40" x14ac:dyDescent="0.25">
      <c r="A9790" t="str">
        <f>"20190312154143810"</f>
        <v>20190312154143810</v>
      </c>
      <c r="B9790" t="str">
        <f>"1552376503805591"</f>
        <v>1552376503805591</v>
      </c>
      <c r="C9790" t="s">
        <v>40</v>
      </c>
      <c r="D9790">
        <v>4.2627389999999998</v>
      </c>
      <c r="E9790">
        <v>0.48940319999999998</v>
      </c>
      <c r="F9790" t="s">
        <v>41</v>
      </c>
      <c r="G9790">
        <v>-187.81010000000001</v>
      </c>
      <c r="H9790">
        <v>1.0044109999999999</v>
      </c>
      <c r="I9790">
        <v>-17.922840000000001</v>
      </c>
      <c r="J9790">
        <v>-187.8098</v>
      </c>
      <c r="K9790">
        <v>1.110414</v>
      </c>
      <c r="L9790">
        <v>-18.500640000000001</v>
      </c>
      <c r="M9790">
        <v>-2.2867439999999999E-2</v>
      </c>
      <c r="N9790">
        <v>0</v>
      </c>
      <c r="O9790">
        <v>0.99963120000000005</v>
      </c>
      <c r="P9790">
        <v>2.6849959999999999E-2</v>
      </c>
      <c r="Q9790">
        <v>-1.398011E-2</v>
      </c>
      <c r="R9790">
        <v>0.99954169999999998</v>
      </c>
      <c r="S9790">
        <v>-2.215576E-2</v>
      </c>
      <c r="T9790">
        <v>-0.3927657</v>
      </c>
      <c r="U9790">
        <v>2.9964900000000001</v>
      </c>
      <c r="V9790">
        <v>4.9702120000000002E-2</v>
      </c>
      <c r="W9790">
        <v>6.6692019999999995E-4</v>
      </c>
      <c r="X9790">
        <v>0.99876390000000004</v>
      </c>
      <c r="Y9790">
        <v>1.5540160000000001E-2</v>
      </c>
      <c r="Z9790">
        <v>-0.1299032</v>
      </c>
      <c r="AA9790">
        <v>0.99140490000000003</v>
      </c>
      <c r="AB9790">
        <v>23</v>
      </c>
      <c r="AC9790">
        <v>-3.0000000000995799E-4</v>
      </c>
      <c r="AD9790">
        <v>-0.106002999999999</v>
      </c>
      <c r="AE9790">
        <v>0.57779999999999898</v>
      </c>
      <c r="AF9790">
        <v>1.2493793738167801E-2</v>
      </c>
      <c r="AG9790">
        <v>-0.106002999999999</v>
      </c>
      <c r="AH9790">
        <v>0.55884639643976597</v>
      </c>
      <c r="AI9790">
        <v>100.737750052845</v>
      </c>
      <c r="AJ9790">
        <v>88.719285960621093</v>
      </c>
      <c r="AK9790">
        <v>0.56894817488474603</v>
      </c>
      <c r="AL9790">
        <v>89.961788285838793</v>
      </c>
      <c r="AM9790">
        <v>87.151104001679499</v>
      </c>
      <c r="AN9790">
        <v>1.00000003672912</v>
      </c>
    </row>
    <row r="9791" spans="1:40" x14ac:dyDescent="0.25">
      <c r="A9791" t="str">
        <f>"20190312154143832"</f>
        <v>20190312154143832</v>
      </c>
      <c r="B9791" t="str">
        <f>"1552376503826087"</f>
        <v>1552376503826087</v>
      </c>
      <c r="C9791" t="s">
        <v>40</v>
      </c>
      <c r="D9791">
        <v>4.2494800000000001</v>
      </c>
      <c r="E9791">
        <v>0.48953730000000001</v>
      </c>
      <c r="F9791" t="s">
        <v>41</v>
      </c>
      <c r="G9791">
        <v>-187.8152</v>
      </c>
      <c r="H9791">
        <v>1.00823</v>
      </c>
      <c r="I9791">
        <v>-17.716329999999999</v>
      </c>
      <c r="J9791">
        <v>-187.81540000000001</v>
      </c>
      <c r="K9791">
        <v>1.110425</v>
      </c>
      <c r="L9791">
        <v>-18.271360000000001</v>
      </c>
      <c r="M9791">
        <v>-2.3152619999999999E-2</v>
      </c>
      <c r="N9791">
        <v>0</v>
      </c>
      <c r="O9791">
        <v>0.99962470000000003</v>
      </c>
      <c r="P9791">
        <v>2.662289E-2</v>
      </c>
      <c r="Q9791">
        <v>-1.4295840000000001E-2</v>
      </c>
      <c r="R9791">
        <v>0.99954330000000002</v>
      </c>
      <c r="S9791">
        <v>-2.079773E-2</v>
      </c>
      <c r="T9791">
        <v>-0.3903972</v>
      </c>
      <c r="U9791">
        <v>2.9964599999999999</v>
      </c>
      <c r="V9791">
        <v>4.9760119999999998E-2</v>
      </c>
      <c r="W9791">
        <v>3.4743950000000001E-4</v>
      </c>
      <c r="X9791">
        <v>0.99876109999999896</v>
      </c>
      <c r="Y9791">
        <v>1.6273920000000001E-2</v>
      </c>
      <c r="Z9791">
        <v>-0.12913239999999901</v>
      </c>
      <c r="AA9791">
        <v>0.99149379999999998</v>
      </c>
      <c r="AB9791">
        <v>23</v>
      </c>
      <c r="AC9791">
        <v>2.0000000000663901E-4</v>
      </c>
      <c r="AD9791">
        <v>-0.10219499999999999</v>
      </c>
      <c r="AE9791">
        <v>0.55503000000000202</v>
      </c>
      <c r="AF9791">
        <v>1.2623751524518299E-2</v>
      </c>
      <c r="AG9791">
        <v>-0.10219499999999999</v>
      </c>
      <c r="AH9791">
        <v>0.53668192425601202</v>
      </c>
      <c r="AI9791">
        <v>100.77828254638401</v>
      </c>
      <c r="AJ9791">
        <v>88.652545758213293</v>
      </c>
      <c r="AK9791">
        <v>0.54647110166109303</v>
      </c>
      <c r="AL9791">
        <v>89.980093181868099</v>
      </c>
      <c r="AM9791">
        <v>87.147776979654196</v>
      </c>
      <c r="AN9791">
        <v>0.99999996256491397</v>
      </c>
    </row>
    <row r="9792" spans="1:40" x14ac:dyDescent="0.25">
      <c r="A9792" t="str">
        <f>"20190312154143856"</f>
        <v>20190312154143856</v>
      </c>
      <c r="B9792" t="str">
        <f>"1552376503845607"</f>
        <v>1552376503845607</v>
      </c>
      <c r="C9792" t="s">
        <v>40</v>
      </c>
      <c r="D9792">
        <v>4.2467540000000001</v>
      </c>
      <c r="E9792">
        <v>0.48964099999999999</v>
      </c>
      <c r="F9792" t="s">
        <v>41</v>
      </c>
      <c r="G9792">
        <v>-187.82050000000001</v>
      </c>
      <c r="H9792">
        <v>1.010691</v>
      </c>
      <c r="I9792">
        <v>-17.510909999999999</v>
      </c>
      <c r="J9792">
        <v>-187.82130000000001</v>
      </c>
      <c r="K9792">
        <v>1.1104449999999999</v>
      </c>
      <c r="L9792">
        <v>-18.031279999999999</v>
      </c>
      <c r="M9792">
        <v>-2.347923E-2</v>
      </c>
      <c r="N9792">
        <v>0</v>
      </c>
      <c r="O9792">
        <v>0.99961719999999998</v>
      </c>
      <c r="P9792">
        <v>2.7513119999999999E-2</v>
      </c>
      <c r="Q9792">
        <v>-1.4426110000000001E-2</v>
      </c>
      <c r="R9792">
        <v>0.99951730000000005</v>
      </c>
      <c r="S9792">
        <v>-2.0980829999999999E-2</v>
      </c>
      <c r="T9792">
        <v>-0.3929743</v>
      </c>
      <c r="U9792">
        <v>2.9963069999999998</v>
      </c>
      <c r="V9792">
        <v>5.097587E-2</v>
      </c>
      <c r="W9792">
        <v>2.1297140000000001E-4</v>
      </c>
      <c r="X9792">
        <v>0.99869980000000003</v>
      </c>
      <c r="Y9792">
        <v>1.654044E-2</v>
      </c>
      <c r="Z9792">
        <v>-0.12997520000000001</v>
      </c>
      <c r="AA9792">
        <v>0.99137929999999996</v>
      </c>
      <c r="AB9792">
        <v>23</v>
      </c>
      <c r="AC9792">
        <v>7.9999999999813499E-4</v>
      </c>
      <c r="AD9792">
        <v>-9.9754000000000106E-2</v>
      </c>
      <c r="AE9792">
        <v>0.520369999999999</v>
      </c>
      <c r="AF9792">
        <v>1.2557510076156801E-2</v>
      </c>
      <c r="AG9792">
        <v>-9.9754000000000106E-2</v>
      </c>
      <c r="AH9792">
        <v>0.50176867595448305</v>
      </c>
      <c r="AI9792">
        <v>101.240639017191</v>
      </c>
      <c r="AJ9792">
        <v>88.566386848439194</v>
      </c>
      <c r="AK9792">
        <v>0.51174247013945195</v>
      </c>
      <c r="AL9792">
        <v>89.987797636769301</v>
      </c>
      <c r="AM9792">
        <v>87.078031135165006</v>
      </c>
      <c r="AN9792">
        <v>0.99999993759955497</v>
      </c>
    </row>
    <row r="9793" spans="1:40" x14ac:dyDescent="0.25">
      <c r="A9793" t="str">
        <f>"20190312154143879"</f>
        <v>20190312154143879</v>
      </c>
      <c r="B9793" t="str">
        <f>"1552376503875863"</f>
        <v>1552376503875863</v>
      </c>
      <c r="C9793" t="s">
        <v>40</v>
      </c>
      <c r="D9793">
        <v>4.260014</v>
      </c>
      <c r="E9793">
        <v>0.49008370000000001</v>
      </c>
      <c r="F9793" t="s">
        <v>41</v>
      </c>
      <c r="G9793">
        <v>-187.82550000000001</v>
      </c>
      <c r="H9793">
        <v>1.0148239999999999</v>
      </c>
      <c r="I9793">
        <v>-17.305070000000001</v>
      </c>
      <c r="J9793">
        <v>-187.8271</v>
      </c>
      <c r="K9793">
        <v>1.1104609999999999</v>
      </c>
      <c r="L9793">
        <v>-17.801479999999898</v>
      </c>
      <c r="M9793">
        <v>-2.3825320000000001E-2</v>
      </c>
      <c r="N9793">
        <v>0</v>
      </c>
      <c r="O9793">
        <v>0.99960910000000003</v>
      </c>
      <c r="P9793">
        <v>2.8663620000000001E-2</v>
      </c>
      <c r="Q9793">
        <v>-1.466376E-2</v>
      </c>
      <c r="R9793">
        <v>0.99948159999999997</v>
      </c>
      <c r="S9793">
        <v>-1.7517089999999999E-2</v>
      </c>
      <c r="T9793">
        <v>-0.39452019999999999</v>
      </c>
      <c r="U9793">
        <v>2.9962460000000002</v>
      </c>
      <c r="V9793">
        <v>5.247102E-2</v>
      </c>
      <c r="W9793" s="1">
        <v>-2.7938510000000001E-5</v>
      </c>
      <c r="X9793">
        <v>0.99862240000000002</v>
      </c>
      <c r="Y9793">
        <v>1.8032860000000001E-2</v>
      </c>
      <c r="Z9793">
        <v>-0.1304776</v>
      </c>
      <c r="AA9793">
        <v>0.99128720000000003</v>
      </c>
      <c r="AB9793">
        <v>23</v>
      </c>
      <c r="AC9793">
        <v>1.59999999999627E-3</v>
      </c>
      <c r="AD9793">
        <v>-9.5637000000000194E-2</v>
      </c>
      <c r="AE9793">
        <v>0.49640999999999702</v>
      </c>
      <c r="AF9793">
        <v>1.2947377938429599E-2</v>
      </c>
      <c r="AG9793">
        <v>-9.5637000000000194E-2</v>
      </c>
      <c r="AH9793">
        <v>0.47847176340394298</v>
      </c>
      <c r="AI9793">
        <v>101.299298978458</v>
      </c>
      <c r="AJ9793">
        <v>88.449962603891507</v>
      </c>
      <c r="AK9793">
        <v>0.48810787612920098</v>
      </c>
      <c r="AL9793">
        <v>90.001600758783894</v>
      </c>
      <c r="AM9793">
        <v>86.992250627340994</v>
      </c>
      <c r="AN9793">
        <v>0.99999995325107904</v>
      </c>
    </row>
    <row r="9794" spans="1:40" x14ac:dyDescent="0.25">
      <c r="A9794" t="str">
        <f>"20190312154143899"</f>
        <v>20190312154143899</v>
      </c>
      <c r="B9794" t="str">
        <f>"1552376503885624"</f>
        <v>1552376503885624</v>
      </c>
      <c r="C9794" t="s">
        <v>40</v>
      </c>
      <c r="D9794">
        <v>4.2209949999999896</v>
      </c>
      <c r="E9794">
        <v>0.49021589999999998</v>
      </c>
      <c r="F9794" t="s">
        <v>41</v>
      </c>
      <c r="G9794">
        <v>-187.83019999999999</v>
      </c>
      <c r="H9794">
        <v>0.99181010000000003</v>
      </c>
      <c r="I9794">
        <v>-16.909949999999998</v>
      </c>
      <c r="J9794">
        <v>-187.8322</v>
      </c>
      <c r="K9794">
        <v>1.110473</v>
      </c>
      <c r="L9794">
        <v>-17.60126</v>
      </c>
      <c r="M9794">
        <v>-2.415204E-2</v>
      </c>
      <c r="N9794">
        <v>0</v>
      </c>
      <c r="O9794">
        <v>0.99960130000000003</v>
      </c>
      <c r="P9794">
        <v>2.938752E-2</v>
      </c>
      <c r="Q9794">
        <v>-1.6110449999999998E-2</v>
      </c>
      <c r="R9794">
        <v>0.99943820000000005</v>
      </c>
      <c r="S9794">
        <v>-1.0803220000000001E-2</v>
      </c>
      <c r="T9794">
        <v>-0.39872550000000001</v>
      </c>
      <c r="U9794">
        <v>2.9960330000000002</v>
      </c>
      <c r="V9794">
        <v>5.3520810000000002E-2</v>
      </c>
      <c r="W9794">
        <v>-1.47737E-3</v>
      </c>
      <c r="X9794">
        <v>0.99856560000000005</v>
      </c>
      <c r="Y9794">
        <v>2.0581169999999999E-2</v>
      </c>
      <c r="Z9794">
        <v>-0.13184939999999901</v>
      </c>
      <c r="AA9794">
        <v>0.9910561</v>
      </c>
      <c r="AB9794">
        <v>23</v>
      </c>
      <c r="AC9794">
        <v>2.0000000000095402E-3</v>
      </c>
      <c r="AD9794">
        <v>-0.1186629</v>
      </c>
      <c r="AE9794">
        <v>0.69131000000000098</v>
      </c>
      <c r="AF9794">
        <v>1.8162619646905E-2</v>
      </c>
      <c r="AG9794">
        <v>-0.1186629</v>
      </c>
      <c r="AH9794">
        <v>0.67128184765655796</v>
      </c>
      <c r="AI9794">
        <v>100.021056658169</v>
      </c>
      <c r="AJ9794">
        <v>88.450147835567194</v>
      </c>
      <c r="AK9794">
        <v>0.68193114284511902</v>
      </c>
      <c r="AL9794">
        <v>90.084647100074505</v>
      </c>
      <c r="AM9794">
        <v>86.932014107721997</v>
      </c>
      <c r="AN9794">
        <v>0.99999995861426505</v>
      </c>
    </row>
    <row r="9795" spans="1:40" x14ac:dyDescent="0.25">
      <c r="A9795" t="str">
        <f>"20190312154143920"</f>
        <v>20190312154143920</v>
      </c>
      <c r="B9795" t="str">
        <f>"1552376503915878"</f>
        <v>1552376503915878</v>
      </c>
      <c r="C9795" t="s">
        <v>40</v>
      </c>
      <c r="D9795">
        <v>4.2052110000000003</v>
      </c>
      <c r="E9795">
        <v>0.49055559999999998</v>
      </c>
      <c r="F9795" t="s">
        <v>41</v>
      </c>
      <c r="G9795">
        <v>-187.83430000000001</v>
      </c>
      <c r="H9795">
        <v>0.98999360000000003</v>
      </c>
      <c r="I9795">
        <v>-16.70823</v>
      </c>
      <c r="J9795">
        <v>-187.8381</v>
      </c>
      <c r="K9795">
        <v>1.1104849999999999</v>
      </c>
      <c r="L9795">
        <v>-17.37772</v>
      </c>
      <c r="M9795">
        <v>-2.4540510000000001E-2</v>
      </c>
      <c r="N9795">
        <v>0</v>
      </c>
      <c r="O9795">
        <v>0.99959189999999998</v>
      </c>
      <c r="P9795">
        <v>2.9733909999999999E-2</v>
      </c>
      <c r="Q9795">
        <v>-1.7894770000000001E-2</v>
      </c>
      <c r="R9795">
        <v>0.9993976</v>
      </c>
      <c r="S9795">
        <v>-7.27844199999999E-3</v>
      </c>
      <c r="T9795">
        <v>-0.40411449999999999</v>
      </c>
      <c r="U9795">
        <v>2.9953919999999998</v>
      </c>
      <c r="V9795">
        <v>5.4255209999999998E-2</v>
      </c>
      <c r="W9795">
        <v>-3.2651680000000002E-3</v>
      </c>
      <c r="X9795">
        <v>0.99852169999999896</v>
      </c>
      <c r="Y9795">
        <v>2.2135700000000001E-2</v>
      </c>
      <c r="Z9795">
        <v>-0.13362399999999999</v>
      </c>
      <c r="AA9795">
        <v>0.99078489999999997</v>
      </c>
      <c r="AB9795">
        <v>23</v>
      </c>
      <c r="AC9795">
        <v>3.7999999999840301E-3</v>
      </c>
      <c r="AD9795">
        <v>-0.1204914</v>
      </c>
      <c r="AE9795">
        <v>0.66948999999999903</v>
      </c>
      <c r="AF9795">
        <v>1.95955399189114E-2</v>
      </c>
      <c r="AG9795">
        <v>-0.1204914</v>
      </c>
      <c r="AH9795">
        <v>0.64819992111639202</v>
      </c>
      <c r="AI9795">
        <v>100.525602840204</v>
      </c>
      <c r="AJ9795">
        <v>88.268435612791194</v>
      </c>
      <c r="AK9795">
        <v>0.659594800156862</v>
      </c>
      <c r="AL9795">
        <v>90.187080689962301</v>
      </c>
      <c r="AM9795">
        <v>86.8898615449896</v>
      </c>
      <c r="AN9795">
        <v>0.99999993725254899</v>
      </c>
    </row>
    <row r="9796" spans="1:40" x14ac:dyDescent="0.25">
      <c r="A9796" t="str">
        <f>"20190312154143944"</f>
        <v>20190312154143944</v>
      </c>
      <c r="B9796" t="str">
        <f>"1552376503935399"</f>
        <v>1552376503935399</v>
      </c>
      <c r="C9796" t="s">
        <v>40</v>
      </c>
      <c r="D9796">
        <v>4.2273370000000003</v>
      </c>
      <c r="E9796">
        <v>0.49076959999999997</v>
      </c>
      <c r="F9796" t="s">
        <v>41</v>
      </c>
      <c r="G9796">
        <v>-187.8389</v>
      </c>
      <c r="H9796">
        <v>0.99053179999999996</v>
      </c>
      <c r="I9796">
        <v>-16.505759999999999</v>
      </c>
      <c r="J9796">
        <v>-187.84440000000001</v>
      </c>
      <c r="K9796">
        <v>1.1104889999999901</v>
      </c>
      <c r="L9796">
        <v>-17.140170000000001</v>
      </c>
      <c r="M9796">
        <v>-2.4972939999999999E-2</v>
      </c>
      <c r="N9796">
        <v>0</v>
      </c>
      <c r="O9796">
        <v>0.99958130000000001</v>
      </c>
      <c r="P9796">
        <v>2.955429E-2</v>
      </c>
      <c r="Q9796">
        <v>-1.829749E-2</v>
      </c>
      <c r="R9796">
        <v>0.9993957</v>
      </c>
      <c r="S9796">
        <v>-3.005981E-3</v>
      </c>
      <c r="T9796">
        <v>-0.41195540000000003</v>
      </c>
      <c r="U9796">
        <v>2.994507</v>
      </c>
      <c r="V9796">
        <v>5.4507840000000002E-2</v>
      </c>
      <c r="W9796">
        <v>-3.6722840000000001E-3</v>
      </c>
      <c r="X9796">
        <v>0.99850660000000002</v>
      </c>
      <c r="Y9796">
        <v>2.3981410000000002E-2</v>
      </c>
      <c r="Z9796">
        <v>-0.13620350000000001</v>
      </c>
      <c r="AA9796">
        <v>0.99039060000000001</v>
      </c>
      <c r="AB9796">
        <v>23</v>
      </c>
      <c r="AC9796">
        <v>5.5000000000120499E-3</v>
      </c>
      <c r="AD9796">
        <v>-0.119957199999999</v>
      </c>
      <c r="AE9796">
        <v>0.63440999999999903</v>
      </c>
      <c r="AF9796">
        <v>2.06063747924152E-2</v>
      </c>
      <c r="AG9796">
        <v>-0.119957199999999</v>
      </c>
      <c r="AH9796">
        <v>0.61218879037193896</v>
      </c>
      <c r="AI9796">
        <v>101.080409247064</v>
      </c>
      <c r="AJ9796">
        <v>88.072142564153694</v>
      </c>
      <c r="AK9796">
        <v>0.62417102429621296</v>
      </c>
      <c r="AL9796">
        <v>90.210406845127693</v>
      </c>
      <c r="AM9796">
        <v>86.875361194297497</v>
      </c>
      <c r="AN9796">
        <v>1.0000000102674</v>
      </c>
    </row>
    <row r="9797" spans="1:40" x14ac:dyDescent="0.25">
      <c r="A9797" t="str">
        <f>"20190312154143966"</f>
        <v>20190312154143966</v>
      </c>
      <c r="B9797" t="str">
        <f>"1552376503955898"</f>
        <v>1552376503955898</v>
      </c>
      <c r="C9797" t="s">
        <v>40</v>
      </c>
      <c r="D9797">
        <v>4.2364810000000004</v>
      </c>
      <c r="E9797">
        <v>0.4908341</v>
      </c>
      <c r="F9797" t="s">
        <v>41</v>
      </c>
      <c r="G9797">
        <v>-187.84479999999999</v>
      </c>
      <c r="H9797">
        <v>0.99461849999999996</v>
      </c>
      <c r="I9797">
        <v>-16.301939999999998</v>
      </c>
      <c r="J9797">
        <v>-187.85059999999999</v>
      </c>
      <c r="K9797">
        <v>1.110492</v>
      </c>
      <c r="L9797">
        <v>-16.911650000000002</v>
      </c>
      <c r="M9797">
        <v>-2.540094E-2</v>
      </c>
      <c r="N9797">
        <v>0</v>
      </c>
      <c r="O9797">
        <v>0.99957059999999998</v>
      </c>
      <c r="P9797">
        <v>2.924684E-2</v>
      </c>
      <c r="Q9797">
        <v>-1.8395169999999999E-2</v>
      </c>
      <c r="R9797">
        <v>0.99940289999999998</v>
      </c>
      <c r="S9797">
        <v>-1.8615719999999999E-3</v>
      </c>
      <c r="T9797">
        <v>-0.41391640000000002</v>
      </c>
      <c r="U9797">
        <v>2.9942929999999999</v>
      </c>
      <c r="V9797">
        <v>5.462823E-2</v>
      </c>
      <c r="W9797">
        <v>-3.7750040000000002E-3</v>
      </c>
      <c r="X9797">
        <v>0.99849960000000004</v>
      </c>
      <c r="Y9797">
        <v>2.4787960000000001E-2</v>
      </c>
      <c r="Z9797">
        <v>-0.13684589999999999</v>
      </c>
      <c r="AA9797">
        <v>0.9902822</v>
      </c>
      <c r="AB9797">
        <v>23</v>
      </c>
      <c r="AC9797">
        <v>5.7999999999935803E-3</v>
      </c>
      <c r="AD9797">
        <v>-0.1158735</v>
      </c>
      <c r="AE9797">
        <v>0.60971000000000297</v>
      </c>
      <c r="AF9797">
        <v>2.0545014013266201E-2</v>
      </c>
      <c r="AG9797">
        <v>-0.1158735</v>
      </c>
      <c r="AH9797">
        <v>0.58812597988230897</v>
      </c>
      <c r="AI9797">
        <v>101.13912608437499</v>
      </c>
      <c r="AJ9797">
        <v>87.999299206201101</v>
      </c>
      <c r="AK9797">
        <v>0.59978407265913702</v>
      </c>
      <c r="AL9797">
        <v>90.216292316473101</v>
      </c>
      <c r="AM9797">
        <v>86.868451699193699</v>
      </c>
      <c r="AN9797">
        <v>0.99999997268414598</v>
      </c>
    </row>
    <row r="9798" spans="1:40" x14ac:dyDescent="0.25">
      <c r="A9798" t="str">
        <f>"20190312154143991"</f>
        <v>20190312154143991</v>
      </c>
      <c r="B9798" t="str">
        <f>"1552376503986150"</f>
        <v>1552376503986150</v>
      </c>
      <c r="C9798" t="s">
        <v>40</v>
      </c>
      <c r="D9798">
        <v>4.2918260000000004</v>
      </c>
      <c r="E9798">
        <v>0.49092950000000002</v>
      </c>
      <c r="F9798" t="s">
        <v>41</v>
      </c>
      <c r="G9798">
        <v>-187.85130000000001</v>
      </c>
      <c r="H9798">
        <v>0.99753219999999998</v>
      </c>
      <c r="I9798">
        <v>-16.0991</v>
      </c>
      <c r="J9798">
        <v>-187.85720000000001</v>
      </c>
      <c r="K9798">
        <v>1.1104879999999999</v>
      </c>
      <c r="L9798">
        <v>-16.67606</v>
      </c>
      <c r="M9798">
        <v>-2.5848159999999998E-2</v>
      </c>
      <c r="N9798">
        <v>0</v>
      </c>
      <c r="O9798">
        <v>0.99955919999999998</v>
      </c>
      <c r="P9798">
        <v>2.9007419999999999E-2</v>
      </c>
      <c r="Q9798">
        <v>-1.8759979999999999E-2</v>
      </c>
      <c r="R9798">
        <v>0.99940309999999999</v>
      </c>
      <c r="S9798">
        <v>-2.5176999999999999E-3</v>
      </c>
      <c r="T9798">
        <v>-0.41624929999999899</v>
      </c>
      <c r="U9798">
        <v>2.994202</v>
      </c>
      <c r="V9798">
        <v>5.4835769999999999E-2</v>
      </c>
      <c r="W9798">
        <v>-4.1457020000000002E-3</v>
      </c>
      <c r="X9798">
        <v>0.99848680000000001</v>
      </c>
      <c r="Y9798">
        <v>2.50183E-2</v>
      </c>
      <c r="Z9798">
        <v>-0.1376039</v>
      </c>
      <c r="AA9798">
        <v>0.99017129999999998</v>
      </c>
      <c r="AB9798">
        <v>23</v>
      </c>
      <c r="AC9798">
        <v>5.8999999999968999E-3</v>
      </c>
      <c r="AD9798">
        <v>-0.112955799999999</v>
      </c>
      <c r="AE9798">
        <v>0.57695999999999903</v>
      </c>
      <c r="AF9798">
        <v>2.0044761183973098E-2</v>
      </c>
      <c r="AG9798">
        <v>-0.112955799999999</v>
      </c>
      <c r="AH9798">
        <v>0.55533167234686198</v>
      </c>
      <c r="AI9798">
        <v>101.48997181313599</v>
      </c>
      <c r="AJ9798">
        <v>87.932799630862107</v>
      </c>
      <c r="AK9798">
        <v>0.56705737938600698</v>
      </c>
      <c r="AL9798">
        <v>90.237531903578599</v>
      </c>
      <c r="AM9798">
        <v>86.856538123591505</v>
      </c>
      <c r="AN9798">
        <v>1.0000000191453999</v>
      </c>
    </row>
    <row r="9799" spans="1:40" x14ac:dyDescent="0.25">
      <c r="A9799" t="str">
        <f>"20190312154144023"</f>
        <v>20190312154144023</v>
      </c>
      <c r="B9799" t="str">
        <f>"1552376504015430"</f>
        <v>1552376504015430</v>
      </c>
      <c r="C9799" t="s">
        <v>40</v>
      </c>
      <c r="D9799">
        <v>4.2561710000000001</v>
      </c>
      <c r="E9799">
        <v>0.49104130000000001</v>
      </c>
      <c r="F9799" t="s">
        <v>41</v>
      </c>
      <c r="G9799">
        <v>-187.85759999999999</v>
      </c>
      <c r="H9799">
        <v>1.0009980000000001</v>
      </c>
      <c r="I9799">
        <v>-15.896369999999999</v>
      </c>
      <c r="J9799">
        <v>-187.86619999999999</v>
      </c>
      <c r="K9799">
        <v>1.11049</v>
      </c>
      <c r="L9799">
        <v>-16.354769999999998</v>
      </c>
      <c r="M9799">
        <v>-2.6448820000000001E-2</v>
      </c>
      <c r="N9799">
        <v>0</v>
      </c>
      <c r="O9799">
        <v>0.99954359999999998</v>
      </c>
      <c r="P9799">
        <v>2.6010410000000001E-2</v>
      </c>
      <c r="Q9799">
        <v>-1.8054799999999999E-2</v>
      </c>
      <c r="R9799">
        <v>0.99949860000000001</v>
      </c>
      <c r="S9799">
        <v>-2.426147E-3</v>
      </c>
      <c r="T9799">
        <v>-0.42044969999999998</v>
      </c>
      <c r="U9799">
        <v>2.9939879999999999</v>
      </c>
      <c r="V9799">
        <v>5.2441740000000001E-2</v>
      </c>
      <c r="W9799">
        <v>-3.4488679999999999E-3</v>
      </c>
      <c r="X9799">
        <v>0.99861800000000001</v>
      </c>
      <c r="Y9799">
        <v>2.5649399999999999E-2</v>
      </c>
      <c r="Z9799">
        <v>-0.13897119999999999</v>
      </c>
      <c r="AA9799">
        <v>0.98996419999999996</v>
      </c>
      <c r="AB9799">
        <v>23</v>
      </c>
      <c r="AC9799">
        <v>8.6000000000012698E-3</v>
      </c>
      <c r="AD9799">
        <v>-0.10949199999999901</v>
      </c>
      <c r="AE9799">
        <v>0.45840000000000097</v>
      </c>
      <c r="AF9799">
        <v>1.9604336498411101E-2</v>
      </c>
      <c r="AG9799">
        <v>-0.10949199999999901</v>
      </c>
      <c r="AH9799">
        <v>0.43329992313993898</v>
      </c>
      <c r="AI9799">
        <v>104.167481245985</v>
      </c>
      <c r="AJ9799">
        <v>87.409461259370204</v>
      </c>
      <c r="AK9799">
        <v>0.44734958529836599</v>
      </c>
      <c r="AL9799">
        <v>90.197605978100796</v>
      </c>
      <c r="AM9799">
        <v>86.993912718668994</v>
      </c>
      <c r="AN9799">
        <v>0.99999997035435395</v>
      </c>
    </row>
    <row r="9800" spans="1:40" x14ac:dyDescent="0.25">
      <c r="A9800" t="str">
        <f>"20190312154144044"</f>
        <v>20190312154144044</v>
      </c>
      <c r="B9800" t="str">
        <f>"1552376504035928"</f>
        <v>1552376504035928</v>
      </c>
      <c r="C9800" t="s">
        <v>40</v>
      </c>
      <c r="D9800">
        <v>4.3317160000000001</v>
      </c>
      <c r="E9800">
        <v>0.49013210000000001</v>
      </c>
      <c r="F9800" t="s">
        <v>42</v>
      </c>
      <c r="G9800">
        <v>-187.87100000000001</v>
      </c>
      <c r="H9800" s="1">
        <v>-6.4572739999999999E-7</v>
      </c>
      <c r="I9800">
        <v>-0.119001</v>
      </c>
      <c r="J9800">
        <v>-187.87270000000001</v>
      </c>
      <c r="K9800">
        <v>1.1104750000000001</v>
      </c>
      <c r="L9800">
        <v>-16.128509999999999</v>
      </c>
      <c r="M9800">
        <v>-2.6847820000000001E-2</v>
      </c>
      <c r="N9800">
        <v>0</v>
      </c>
      <c r="O9800">
        <v>0.99953309999999995</v>
      </c>
      <c r="P9800">
        <v>2.394866E-2</v>
      </c>
      <c r="Q9800">
        <v>-1.706448E-2</v>
      </c>
      <c r="R9800">
        <v>0.9995676</v>
      </c>
      <c r="S9800">
        <v>-8.8500979999999905E-4</v>
      </c>
      <c r="T9800">
        <v>-0.20504520000000001</v>
      </c>
      <c r="U9800">
        <v>2.997833</v>
      </c>
      <c r="V9800">
        <v>5.0780480000000003E-2</v>
      </c>
      <c r="W9800">
        <v>-2.4652039999999999E-3</v>
      </c>
      <c r="X9800">
        <v>0.99870680000000001</v>
      </c>
      <c r="Y9800">
        <v>2.6556239999999998E-2</v>
      </c>
      <c r="Z9800">
        <v>-6.8189449999999999E-2</v>
      </c>
      <c r="AA9800">
        <v>0.99731890000000001</v>
      </c>
      <c r="AB9800">
        <v>22</v>
      </c>
      <c r="AC9800">
        <v>1.7000000000280101E-3</v>
      </c>
      <c r="AD9800">
        <v>-1.1104756457273901</v>
      </c>
      <c r="AE9800">
        <v>16.009509000000001</v>
      </c>
      <c r="AF9800">
        <v>0.429499091032989</v>
      </c>
      <c r="AG9800">
        <v>-1.1104756457273901</v>
      </c>
      <c r="AH9800">
        <v>15.9270614131618</v>
      </c>
      <c r="AI9800">
        <v>93.9869098471261</v>
      </c>
      <c r="AJ9800">
        <v>88.455300566968504</v>
      </c>
      <c r="AK9800">
        <v>15.9715030879244</v>
      </c>
      <c r="AL9800">
        <v>90.141245927426596</v>
      </c>
      <c r="AM9800">
        <v>87.089232081693396</v>
      </c>
      <c r="AN9800">
        <v>1.0000000033730101</v>
      </c>
    </row>
    <row r="9801" spans="1:40" x14ac:dyDescent="0.25">
      <c r="A9801" t="str">
        <f>"20190312154144068"</f>
        <v>20190312154144068</v>
      </c>
      <c r="B9801" t="str">
        <f>"1552376504055446"</f>
        <v>1552376504055446</v>
      </c>
      <c r="C9801" t="s">
        <v>40</v>
      </c>
      <c r="D9801">
        <v>4.235023</v>
      </c>
      <c r="E9801">
        <v>0.4898632</v>
      </c>
      <c r="F9801" t="s">
        <v>42</v>
      </c>
      <c r="G9801">
        <v>-187.9597</v>
      </c>
      <c r="H9801" s="1">
        <v>-3.2399079999999999E-6</v>
      </c>
      <c r="I9801">
        <v>6.3414549999999998</v>
      </c>
      <c r="J9801">
        <v>-187.8793</v>
      </c>
      <c r="K9801">
        <v>1.1104590000000001</v>
      </c>
      <c r="L9801">
        <v>-15.89847</v>
      </c>
      <c r="M9801">
        <v>-2.7222759999999999E-2</v>
      </c>
      <c r="N9801">
        <v>0</v>
      </c>
      <c r="O9801">
        <v>0.99952300000000005</v>
      </c>
      <c r="P9801">
        <v>2.2323880000000001E-2</v>
      </c>
      <c r="Q9801">
        <v>-1.645021E-2</v>
      </c>
      <c r="R9801">
        <v>0.99961540000000004</v>
      </c>
      <c r="S9801">
        <v>-1.1611939999999999E-2</v>
      </c>
      <c r="T9801">
        <v>-0.14821489999999901</v>
      </c>
      <c r="U9801">
        <v>2.9990540000000001</v>
      </c>
      <c r="V9801">
        <v>4.9531739999999998E-2</v>
      </c>
      <c r="W9801">
        <v>-1.858766E-3</v>
      </c>
      <c r="X9801">
        <v>0.99877079999999996</v>
      </c>
      <c r="Y9801">
        <v>2.335976E-2</v>
      </c>
      <c r="Z9801">
        <v>-4.9325939999999999E-2</v>
      </c>
      <c r="AA9801">
        <v>0.99850950000000005</v>
      </c>
      <c r="AB9801">
        <v>22</v>
      </c>
      <c r="AC9801">
        <v>-8.0399999999997293E-2</v>
      </c>
      <c r="AD9801">
        <v>-1.110462239908</v>
      </c>
      <c r="AE9801">
        <v>22.239924999999999</v>
      </c>
      <c r="AF9801">
        <v>0.52382041663491297</v>
      </c>
      <c r="AG9801">
        <v>-1.110462239908</v>
      </c>
      <c r="AH9801">
        <v>22.178577047010499</v>
      </c>
      <c r="AI9801">
        <v>92.865558867251906</v>
      </c>
      <c r="AJ9801">
        <v>88.647022291177507</v>
      </c>
      <c r="AK9801">
        <v>22.212536866493299</v>
      </c>
      <c r="AL9801">
        <v>90.106499510400596</v>
      </c>
      <c r="AM9801">
        <v>87.160873657934303</v>
      </c>
      <c r="AN9801">
        <v>0.99999997960555398</v>
      </c>
    </row>
    <row r="9802" spans="1:40" x14ac:dyDescent="0.25">
      <c r="A9802" t="str">
        <f>"20190312154144101"</f>
        <v>20190312154144101</v>
      </c>
      <c r="B9802" t="str">
        <f>"1552376504095462"</f>
        <v>1552376504095462</v>
      </c>
      <c r="C9802" t="s">
        <v>40</v>
      </c>
      <c r="D9802">
        <v>4.3002609999999999</v>
      </c>
      <c r="E9802">
        <v>0.4899521</v>
      </c>
      <c r="F9802" t="s">
        <v>42</v>
      </c>
      <c r="G9802">
        <v>-188.03890000000001</v>
      </c>
      <c r="H9802" s="1">
        <v>-1.2527619999999999E-6</v>
      </c>
      <c r="I9802">
        <v>11.74212</v>
      </c>
      <c r="J9802">
        <v>-187.8887</v>
      </c>
      <c r="K9802">
        <v>1.1104130000000001</v>
      </c>
      <c r="L9802">
        <v>-15.57761</v>
      </c>
      <c r="M9802">
        <v>-2.7651249999999999E-2</v>
      </c>
      <c r="N9802">
        <v>0</v>
      </c>
      <c r="O9802">
        <v>0.99951140000000005</v>
      </c>
      <c r="P9802">
        <v>2.183013E-2</v>
      </c>
      <c r="Q9802">
        <v>-1.602754E-2</v>
      </c>
      <c r="R9802">
        <v>0.9996332</v>
      </c>
      <c r="S9802">
        <v>-1.7318730000000001E-2</v>
      </c>
      <c r="T9802">
        <v>-0.1205078</v>
      </c>
      <c r="U9802">
        <v>2.9995729999999998</v>
      </c>
      <c r="V9802">
        <v>4.9466410000000002E-2</v>
      </c>
      <c r="W9802">
        <v>-1.450326E-3</v>
      </c>
      <c r="X9802">
        <v>0.99877470000000002</v>
      </c>
      <c r="Y9802">
        <v>2.1886949999999999E-2</v>
      </c>
      <c r="Z9802">
        <v>-4.0114450000000003E-2</v>
      </c>
      <c r="AA9802">
        <v>0.99895540000000005</v>
      </c>
      <c r="AB9802">
        <v>22</v>
      </c>
      <c r="AC9802">
        <v>-0.15020000000001199</v>
      </c>
      <c r="AD9802">
        <v>-1.11041425276199</v>
      </c>
      <c r="AE9802">
        <v>27.31973</v>
      </c>
      <c r="AF9802">
        <v>0.60436395993875802</v>
      </c>
      <c r="AG9802">
        <v>-1.11041425276199</v>
      </c>
      <c r="AH9802">
        <v>27.2683884603066</v>
      </c>
      <c r="AI9802">
        <v>92.331319409556002</v>
      </c>
      <c r="AJ9802">
        <v>88.730330691163601</v>
      </c>
      <c r="AK9802">
        <v>27.2976791107045</v>
      </c>
      <c r="AL9802">
        <v>90.0830975907366</v>
      </c>
      <c r="AM9802">
        <v>87.164623268823505</v>
      </c>
      <c r="AN9802">
        <v>0.99999996526194102</v>
      </c>
    </row>
    <row r="9803" spans="1:40" x14ac:dyDescent="0.25">
      <c r="A9803" t="str">
        <f>"20190312154144123"</f>
        <v>20190312154144123</v>
      </c>
      <c r="B9803" t="str">
        <f>"1552376504115958"</f>
        <v>1552376504115958</v>
      </c>
      <c r="C9803" t="s">
        <v>40</v>
      </c>
      <c r="D9803">
        <v>4.2656330000000002</v>
      </c>
      <c r="E9803">
        <v>0.4902302</v>
      </c>
      <c r="F9803" t="s">
        <v>42</v>
      </c>
      <c r="G9803">
        <v>-188.07640000000001</v>
      </c>
      <c r="H9803" s="1">
        <v>-3.5118870000000001E-6</v>
      </c>
      <c r="I9803">
        <v>17.023689999999998</v>
      </c>
      <c r="J9803">
        <v>-187.8954</v>
      </c>
      <c r="K9803">
        <v>1.110349</v>
      </c>
      <c r="L9803">
        <v>-15.34573</v>
      </c>
      <c r="M9803">
        <v>-2.7853449999999998E-2</v>
      </c>
      <c r="N9803">
        <v>0</v>
      </c>
      <c r="O9803">
        <v>0.9995058</v>
      </c>
      <c r="P9803">
        <v>2.150119E-2</v>
      </c>
      <c r="Q9803">
        <v>-1.6433440000000001E-2</v>
      </c>
      <c r="R9803">
        <v>0.99963369999999996</v>
      </c>
      <c r="S9803">
        <v>-1.7272949999999999E-2</v>
      </c>
      <c r="T9803">
        <v>-0.1021763</v>
      </c>
      <c r="U9803">
        <v>2.9998469999999999</v>
      </c>
      <c r="V9803">
        <v>4.933949E-2</v>
      </c>
      <c r="W9803">
        <v>-1.8693410000000001E-3</v>
      </c>
      <c r="X9803">
        <v>0.99878029999999995</v>
      </c>
      <c r="Y9803">
        <v>2.2103669999999999E-2</v>
      </c>
      <c r="Z9803">
        <v>-3.4016520000000001E-2</v>
      </c>
      <c r="AA9803">
        <v>0.99917679999999998</v>
      </c>
      <c r="AB9803">
        <v>22</v>
      </c>
      <c r="AC9803">
        <v>-0.18100000000001101</v>
      </c>
      <c r="AD9803">
        <v>-1.1103525118869999</v>
      </c>
      <c r="AE9803">
        <v>32.369419999999998</v>
      </c>
      <c r="AF9803">
        <v>0.71991892474378905</v>
      </c>
      <c r="AG9803">
        <v>-1.1103525118869999</v>
      </c>
      <c r="AH9803">
        <v>32.323867475659803</v>
      </c>
      <c r="AI9803">
        <v>91.9668980890509</v>
      </c>
      <c r="AJ9803">
        <v>88.724116236780503</v>
      </c>
      <c r="AK9803">
        <v>32.350943951342103</v>
      </c>
      <c r="AL9803">
        <v>90.107105413896704</v>
      </c>
      <c r="AM9803">
        <v>87.171902231178905</v>
      </c>
      <c r="AN9803">
        <v>0.99999998368866205</v>
      </c>
    </row>
    <row r="9804" spans="1:40" x14ac:dyDescent="0.25">
      <c r="A9804" t="str">
        <f>"20190312154144137"</f>
        <v>20190312154144137</v>
      </c>
      <c r="B9804" t="str">
        <f>"1552376504125719"</f>
        <v>1552376504125719</v>
      </c>
      <c r="C9804" t="s">
        <v>40</v>
      </c>
      <c r="D9804">
        <v>4.3123060000000004</v>
      </c>
      <c r="E9804">
        <v>0.49030839999999998</v>
      </c>
      <c r="F9804" t="s">
        <v>42</v>
      </c>
      <c r="G9804">
        <v>-188.07159999999999</v>
      </c>
      <c r="H9804" s="1">
        <v>-3.945126E-6</v>
      </c>
      <c r="I9804">
        <v>18.031600000000001</v>
      </c>
      <c r="J9804">
        <v>-187.89930000000001</v>
      </c>
      <c r="K9804">
        <v>1.1103099999999999</v>
      </c>
      <c r="L9804">
        <v>-15.210570000000001</v>
      </c>
      <c r="M9804">
        <v>-2.7940070000000001E-2</v>
      </c>
      <c r="N9804">
        <v>0</v>
      </c>
      <c r="O9804">
        <v>0.99950340000000004</v>
      </c>
      <c r="P9804">
        <v>2.1377899999999998E-2</v>
      </c>
      <c r="Q9804">
        <v>-1.6604239999999999E-2</v>
      </c>
      <c r="R9804">
        <v>0.99963360000000001</v>
      </c>
      <c r="S9804">
        <v>-1.5838620000000001E-2</v>
      </c>
      <c r="T9804">
        <v>-9.979296E-2</v>
      </c>
      <c r="U9804">
        <v>2.9997859999999998</v>
      </c>
      <c r="V9804">
        <v>4.9302650000000003E-2</v>
      </c>
      <c r="W9804">
        <v>-2.048093E-3</v>
      </c>
      <c r="X9804">
        <v>0.99878180000000005</v>
      </c>
      <c r="Y9804">
        <v>2.2667779999999998E-2</v>
      </c>
      <c r="Z9804">
        <v>-3.3224320000000002E-2</v>
      </c>
      <c r="AA9804">
        <v>0.99919080000000005</v>
      </c>
      <c r="AB9804">
        <v>22</v>
      </c>
      <c r="AC9804">
        <v>-0.172299999999978</v>
      </c>
      <c r="AD9804">
        <v>-1.110313945126</v>
      </c>
      <c r="AE9804">
        <v>33.242170000000002</v>
      </c>
      <c r="AF9804">
        <v>0.75581127743180898</v>
      </c>
      <c r="AG9804">
        <v>-1.110313945126</v>
      </c>
      <c r="AH9804">
        <v>33.1969701708692</v>
      </c>
      <c r="AI9804">
        <v>91.915118575441795</v>
      </c>
      <c r="AJ9804">
        <v>88.695744944627094</v>
      </c>
      <c r="AK9804">
        <v>33.2241309332451</v>
      </c>
      <c r="AL9804">
        <v>90.117347165229603</v>
      </c>
      <c r="AM9804">
        <v>87.174014681723506</v>
      </c>
      <c r="AN9804">
        <v>1.00000001499659</v>
      </c>
    </row>
    <row r="9805" spans="1:40" x14ac:dyDescent="0.25">
      <c r="A9805" t="str">
        <f>"20190312154144158"</f>
        <v>20190312154144158</v>
      </c>
      <c r="B9805" t="str">
        <f>"1552376504146215"</f>
        <v>1552376504146215</v>
      </c>
      <c r="C9805" t="s">
        <v>40</v>
      </c>
      <c r="D9805">
        <v>4.3225790000000002</v>
      </c>
      <c r="E9805">
        <v>0.49051329999999999</v>
      </c>
      <c r="F9805" t="s">
        <v>42</v>
      </c>
      <c r="G9805">
        <v>-188.07040000000001</v>
      </c>
      <c r="H9805" s="1">
        <v>-4.0757919999999998E-6</v>
      </c>
      <c r="I9805">
        <v>18.335699999999999</v>
      </c>
      <c r="J9805">
        <v>-187.9051</v>
      </c>
      <c r="K9805">
        <v>1.1102540000000001</v>
      </c>
      <c r="L9805">
        <v>-15.00726</v>
      </c>
      <c r="M9805">
        <v>-2.800447E-2</v>
      </c>
      <c r="N9805">
        <v>0</v>
      </c>
      <c r="O9805">
        <v>0.99950170000000005</v>
      </c>
      <c r="P9805">
        <v>2.0961960000000002E-2</v>
      </c>
      <c r="Q9805">
        <v>-1.7038879999999999E-2</v>
      </c>
      <c r="R9805">
        <v>0.99963500000000005</v>
      </c>
      <c r="S9805">
        <v>-1.530457E-2</v>
      </c>
      <c r="T9805">
        <v>-9.9286910000000006E-2</v>
      </c>
      <c r="U9805">
        <v>2.9997859999999998</v>
      </c>
      <c r="V9805">
        <v>4.8950939999999998E-2</v>
      </c>
      <c r="W9805">
        <v>-2.4945140000000002E-3</v>
      </c>
      <c r="X9805">
        <v>0.99879810000000002</v>
      </c>
      <c r="Y9805">
        <v>2.291004E-2</v>
      </c>
      <c r="Z9805">
        <v>-3.3055859999999999E-2</v>
      </c>
      <c r="AA9805">
        <v>0.99919089999999999</v>
      </c>
      <c r="AB9805">
        <v>22</v>
      </c>
      <c r="AC9805">
        <v>-0.165300000000001</v>
      </c>
      <c r="AD9805">
        <v>-1.110258075792</v>
      </c>
      <c r="AE9805">
        <v>33.342959999999998</v>
      </c>
      <c r="AF9805">
        <v>0.76776455888407003</v>
      </c>
      <c r="AG9805">
        <v>-1.110258075792</v>
      </c>
      <c r="AH9805">
        <v>33.297591374227103</v>
      </c>
      <c r="AI9805">
        <v>91.909226932049904</v>
      </c>
      <c r="AJ9805">
        <v>88.679127415279893</v>
      </c>
      <c r="AK9805">
        <v>33.324941511392602</v>
      </c>
      <c r="AL9805">
        <v>90.142925267955704</v>
      </c>
      <c r="AM9805">
        <v>87.194187781137302</v>
      </c>
      <c r="AN9805">
        <v>1.0000000308452901</v>
      </c>
    </row>
    <row r="9806" spans="1:40" x14ac:dyDescent="0.25">
      <c r="A9806" t="str">
        <f>"20190312154144180"</f>
        <v>20190312154144180</v>
      </c>
      <c r="B9806" t="str">
        <f>"1552376504175495"</f>
        <v>1552376504175495</v>
      </c>
      <c r="C9806" t="s">
        <v>40</v>
      </c>
      <c r="D9806">
        <v>4.3724930000000004</v>
      </c>
      <c r="E9806">
        <v>0.49044500000000002</v>
      </c>
      <c r="F9806" t="s">
        <v>42</v>
      </c>
      <c r="G9806">
        <v>-188.072</v>
      </c>
      <c r="H9806" s="1">
        <v>-4.3428689999999997E-6</v>
      </c>
      <c r="I9806">
        <v>18.9589</v>
      </c>
      <c r="J9806">
        <v>-187.91120000000001</v>
      </c>
      <c r="K9806">
        <v>1.1101829999999999</v>
      </c>
      <c r="L9806">
        <v>-14.78876</v>
      </c>
      <c r="M9806">
        <v>-2.7961429999999999E-2</v>
      </c>
      <c r="N9806">
        <v>0</v>
      </c>
      <c r="O9806">
        <v>0.99950300000000003</v>
      </c>
      <c r="P9806">
        <v>1.9964309999999999E-2</v>
      </c>
      <c r="Q9806">
        <v>-1.7297280000000002E-2</v>
      </c>
      <c r="R9806">
        <v>0.99965110000000001</v>
      </c>
      <c r="S9806">
        <v>-1.473999E-2</v>
      </c>
      <c r="T9806">
        <v>-9.8052619999999993E-2</v>
      </c>
      <c r="U9806">
        <v>2.9997250000000002</v>
      </c>
      <c r="V9806">
        <v>4.7910660000000001E-2</v>
      </c>
      <c r="W9806">
        <v>-2.7656600000000001E-3</v>
      </c>
      <c r="X9806">
        <v>0.99884779999999995</v>
      </c>
      <c r="Y9806">
        <v>2.3054870000000002E-2</v>
      </c>
      <c r="Z9806">
        <v>-3.2646059999999998E-2</v>
      </c>
      <c r="AA9806">
        <v>0.99920109999999995</v>
      </c>
      <c r="AB9806">
        <v>22</v>
      </c>
      <c r="AC9806">
        <v>-0.160799999999994</v>
      </c>
      <c r="AD9806">
        <v>-1.1101873428689999</v>
      </c>
      <c r="AE9806">
        <v>33.747660000000003</v>
      </c>
      <c r="AF9806">
        <v>0.78214929937698596</v>
      </c>
      <c r="AG9806">
        <v>-1.1101873428689999</v>
      </c>
      <c r="AH9806">
        <v>33.702486827010901</v>
      </c>
      <c r="AI9806">
        <v>91.886179888137306</v>
      </c>
      <c r="AJ9806">
        <v>88.670548815757201</v>
      </c>
      <c r="AK9806">
        <v>33.729836818277498</v>
      </c>
      <c r="AL9806">
        <v>90.158460846959898</v>
      </c>
      <c r="AM9806">
        <v>87.253859612309199</v>
      </c>
      <c r="AN9806">
        <v>1.0000000038908501</v>
      </c>
    </row>
    <row r="9807" spans="1:40" x14ac:dyDescent="0.25">
      <c r="A9807" t="str">
        <f>"20190312154144202"</f>
        <v>20190312154144202</v>
      </c>
      <c r="B9807" t="str">
        <f>"1552376504195991"</f>
        <v>1552376504195991</v>
      </c>
      <c r="C9807" t="s">
        <v>40</v>
      </c>
      <c r="D9807">
        <v>4.37643</v>
      </c>
      <c r="E9807">
        <v>0.49049019999999999</v>
      </c>
      <c r="F9807" t="s">
        <v>42</v>
      </c>
      <c r="G9807">
        <v>-188.11199999999999</v>
      </c>
      <c r="H9807" s="1">
        <v>-3.7964030000000001E-6</v>
      </c>
      <c r="I9807">
        <v>17.701619999999998</v>
      </c>
      <c r="J9807">
        <v>-187.91720000000001</v>
      </c>
      <c r="K9807">
        <v>1.1101110000000001</v>
      </c>
      <c r="L9807">
        <v>-14.569459999999999</v>
      </c>
      <c r="M9807">
        <v>-2.780999E-2</v>
      </c>
      <c r="N9807">
        <v>0</v>
      </c>
      <c r="O9807">
        <v>0.99950729999999999</v>
      </c>
      <c r="P9807">
        <v>1.8696870000000001E-2</v>
      </c>
      <c r="Q9807">
        <v>-1.77368E-2</v>
      </c>
      <c r="R9807">
        <v>0.99966790000000005</v>
      </c>
      <c r="S9807">
        <v>-1.8539429999999999E-2</v>
      </c>
      <c r="T9807">
        <v>-0.10249659999999999</v>
      </c>
      <c r="U9807">
        <v>2.9996339999999999</v>
      </c>
      <c r="V9807">
        <v>4.6492270000000002E-2</v>
      </c>
      <c r="W9807">
        <v>-3.217176E-3</v>
      </c>
      <c r="X9807">
        <v>0.99891350000000001</v>
      </c>
      <c r="Y9807">
        <v>2.163795E-2</v>
      </c>
      <c r="Z9807">
        <v>-3.412565E-2</v>
      </c>
      <c r="AA9807">
        <v>0.9991833</v>
      </c>
      <c r="AB9807">
        <v>22</v>
      </c>
      <c r="AC9807">
        <v>-0.19479999999998601</v>
      </c>
      <c r="AD9807">
        <v>-1.110114796403</v>
      </c>
      <c r="AE9807">
        <v>32.271079999999998</v>
      </c>
      <c r="AF9807">
        <v>0.70199813934993704</v>
      </c>
      <c r="AG9807">
        <v>-1.110114796403</v>
      </c>
      <c r="AH9807">
        <v>32.225881029411298</v>
      </c>
      <c r="AI9807">
        <v>91.972473100291296</v>
      </c>
      <c r="AJ9807">
        <v>88.752084689414204</v>
      </c>
      <c r="AK9807">
        <v>32.252636549135197</v>
      </c>
      <c r="AL9807">
        <v>90.184330919026706</v>
      </c>
      <c r="AM9807">
        <v>87.335214844627998</v>
      </c>
      <c r="AN9807">
        <v>1.0000000309367001</v>
      </c>
    </row>
    <row r="9808" spans="1:40" x14ac:dyDescent="0.25">
      <c r="A9808" t="str">
        <f>"20190312154144224"</f>
        <v>20190312154144224</v>
      </c>
      <c r="B9808" t="str">
        <f>"1552376504215511"</f>
        <v>1552376504215511</v>
      </c>
      <c r="C9808" t="s">
        <v>40</v>
      </c>
      <c r="D9808">
        <v>4.3819720000000002</v>
      </c>
      <c r="E9808">
        <v>0.49049860000000001</v>
      </c>
      <c r="F9808" t="s">
        <v>42</v>
      </c>
      <c r="G9808">
        <v>-188.15450000000001</v>
      </c>
      <c r="H9808" s="1">
        <v>-3.757859E-6</v>
      </c>
      <c r="I9808">
        <v>17.629359999999998</v>
      </c>
      <c r="J9808">
        <v>-187.923</v>
      </c>
      <c r="K9808">
        <v>1.1100369999999999</v>
      </c>
      <c r="L9808">
        <v>-14.3544</v>
      </c>
      <c r="M9808">
        <v>-2.7557729999999999E-2</v>
      </c>
      <c r="N9808">
        <v>0</v>
      </c>
      <c r="O9808">
        <v>0.99951440000000003</v>
      </c>
      <c r="P9808">
        <v>1.7965120000000001E-2</v>
      </c>
      <c r="Q9808">
        <v>-1.8519569999999999E-2</v>
      </c>
      <c r="R9808">
        <v>0.99966710000000003</v>
      </c>
      <c r="S9808">
        <v>-2.210999E-2</v>
      </c>
      <c r="T9808">
        <v>-0.1034158</v>
      </c>
      <c r="U9808">
        <v>2.9995729999999998</v>
      </c>
      <c r="V9808">
        <v>4.5507770000000003E-2</v>
      </c>
      <c r="W9808">
        <v>-4.0131769999999997E-3</v>
      </c>
      <c r="X9808">
        <v>0.99895590000000001</v>
      </c>
      <c r="Y9808">
        <v>2.0196220000000001E-2</v>
      </c>
      <c r="Z9808">
        <v>-3.4432780000000003E-2</v>
      </c>
      <c r="AA9808">
        <v>0.9992029</v>
      </c>
      <c r="AB9808">
        <v>22</v>
      </c>
      <c r="AC9808">
        <v>-0.231500000000011</v>
      </c>
      <c r="AD9808">
        <v>-1.1100407578589999</v>
      </c>
      <c r="AE9808">
        <v>31.98376</v>
      </c>
      <c r="AF9808">
        <v>0.64929893894538104</v>
      </c>
      <c r="AG9808">
        <v>-1.1100407578589999</v>
      </c>
      <c r="AH9808">
        <v>31.939520522039999</v>
      </c>
      <c r="AI9808">
        <v>91.990071819978596</v>
      </c>
      <c r="AJ9808">
        <v>88.835393747757095</v>
      </c>
      <c r="AK9808">
        <v>31.965399274434802</v>
      </c>
      <c r="AL9808">
        <v>90.229938727177299</v>
      </c>
      <c r="AM9808">
        <v>87.391674953748804</v>
      </c>
      <c r="AN9808">
        <v>0.99999997643240701</v>
      </c>
    </row>
    <row r="9809" spans="1:40" x14ac:dyDescent="0.25">
      <c r="A9809" t="str">
        <f>"20190312154144246"</f>
        <v>20190312154144246</v>
      </c>
      <c r="B9809" t="str">
        <f>"1552376504236010"</f>
        <v>1552376504236010</v>
      </c>
      <c r="C9809" t="s">
        <v>40</v>
      </c>
      <c r="D9809">
        <v>4.3630979999999999</v>
      </c>
      <c r="E9809">
        <v>0.49051610000000001</v>
      </c>
      <c r="F9809" t="s">
        <v>42</v>
      </c>
      <c r="G9809">
        <v>-188.17420000000001</v>
      </c>
      <c r="H9809" s="1">
        <v>-3.4570219999999999E-6</v>
      </c>
      <c r="I9809">
        <v>16.936219999999999</v>
      </c>
      <c r="J9809">
        <v>-187.92869999999999</v>
      </c>
      <c r="K9809">
        <v>1.109961</v>
      </c>
      <c r="L9809">
        <v>-14.13171</v>
      </c>
      <c r="M9809">
        <v>-2.718752E-2</v>
      </c>
      <c r="N9809">
        <v>0</v>
      </c>
      <c r="O9809">
        <v>0.99952479999999999</v>
      </c>
      <c r="P9809">
        <v>1.744441E-2</v>
      </c>
      <c r="Q9809">
        <v>-1.8346479999999998E-2</v>
      </c>
      <c r="R9809">
        <v>0.99967950000000005</v>
      </c>
      <c r="S9809">
        <v>-2.4078370000000002E-2</v>
      </c>
      <c r="T9809">
        <v>-0.1064061</v>
      </c>
      <c r="U9809">
        <v>2.9994510000000001</v>
      </c>
      <c r="V9809">
        <v>4.461706E-2</v>
      </c>
      <c r="W9809">
        <v>-3.864826E-3</v>
      </c>
      <c r="X9809">
        <v>0.99899669999999896</v>
      </c>
      <c r="Y9809">
        <v>1.917019E-2</v>
      </c>
      <c r="Z9809">
        <v>-3.54294E-2</v>
      </c>
      <c r="AA9809">
        <v>0.99918830000000003</v>
      </c>
      <c r="AB9809">
        <v>22</v>
      </c>
      <c r="AC9809">
        <v>-0.24550000000002101</v>
      </c>
      <c r="AD9809">
        <v>-1.109964457022</v>
      </c>
      <c r="AE9809">
        <v>31.06793</v>
      </c>
      <c r="AF9809">
        <v>0.598575881044765</v>
      </c>
      <c r="AG9809">
        <v>-1.109964457022</v>
      </c>
      <c r="AH9809">
        <v>31.023522025651499</v>
      </c>
      <c r="AI9809">
        <v>92.048682432588095</v>
      </c>
      <c r="AJ9809">
        <v>88.894657516086994</v>
      </c>
      <c r="AK9809">
        <v>31.049142227399798</v>
      </c>
      <c r="AL9809">
        <v>90.221438766795004</v>
      </c>
      <c r="AM9809">
        <v>87.442762775315103</v>
      </c>
      <c r="AN9809">
        <v>1.0000000127669699</v>
      </c>
    </row>
    <row r="9810" spans="1:40" x14ac:dyDescent="0.25">
      <c r="A9810" t="str">
        <f>"20190312154144269"</f>
        <v>20190312154144269</v>
      </c>
      <c r="B9810" t="str">
        <f>"1552376504266262"</f>
        <v>1552376504266262</v>
      </c>
      <c r="C9810" t="s">
        <v>40</v>
      </c>
      <c r="D9810">
        <v>4.3800759999999999</v>
      </c>
      <c r="E9810">
        <v>0.4906682</v>
      </c>
      <c r="F9810" t="s">
        <v>42</v>
      </c>
      <c r="G9810">
        <v>-188.19370000000001</v>
      </c>
      <c r="H9810" s="1">
        <v>-3.4992969999999998E-6</v>
      </c>
      <c r="I9810">
        <v>17.042850000000001</v>
      </c>
      <c r="J9810">
        <v>-187.9342</v>
      </c>
      <c r="K9810">
        <v>1.109888</v>
      </c>
      <c r="L9810">
        <v>-13.90967</v>
      </c>
      <c r="M9810">
        <v>-2.6711479999999999E-2</v>
      </c>
      <c r="N9810">
        <v>0</v>
      </c>
      <c r="O9810">
        <v>0.99953829999999999</v>
      </c>
      <c r="P9810">
        <v>1.7498759999999999E-2</v>
      </c>
      <c r="Q9810">
        <v>-1.713665E-2</v>
      </c>
      <c r="R9810">
        <v>0.99970000000000003</v>
      </c>
      <c r="S9810">
        <v>-2.549744E-2</v>
      </c>
      <c r="T9810">
        <v>-0.1067948</v>
      </c>
      <c r="U9810">
        <v>2.9994510000000001</v>
      </c>
      <c r="V9810">
        <v>4.4196539999999999E-2</v>
      </c>
      <c r="W9810">
        <v>-2.709365E-3</v>
      </c>
      <c r="X9810">
        <v>0.9990192</v>
      </c>
      <c r="Y9810">
        <v>1.8221339999999999E-2</v>
      </c>
      <c r="Z9810">
        <v>-3.555962E-2</v>
      </c>
      <c r="AA9810">
        <v>0.99920140000000002</v>
      </c>
      <c r="AB9810">
        <v>22</v>
      </c>
      <c r="AC9810">
        <v>-0.25950000000000201</v>
      </c>
      <c r="AD9810">
        <v>-1.1098914992969999</v>
      </c>
      <c r="AE9810">
        <v>30.95252</v>
      </c>
      <c r="AF9810">
        <v>0.56673827399321797</v>
      </c>
      <c r="AG9810">
        <v>-1.1098914992969999</v>
      </c>
      <c r="AH9810">
        <v>30.908666540439398</v>
      </c>
      <c r="AI9810">
        <v>92.056190726753201</v>
      </c>
      <c r="AJ9810">
        <v>88.949547926112302</v>
      </c>
      <c r="AK9810">
        <v>30.933779573784701</v>
      </c>
      <c r="AL9810">
        <v>90.155235366727993</v>
      </c>
      <c r="AM9810">
        <v>87.466890410005902</v>
      </c>
      <c r="AN9810">
        <v>1.0000000183876501</v>
      </c>
    </row>
    <row r="9811" spans="1:40" x14ac:dyDescent="0.25">
      <c r="A9811" t="str">
        <f>"20190312154144291"</f>
        <v>20190312154144291</v>
      </c>
      <c r="B9811" t="str">
        <f>"1552376504285783"</f>
        <v>1552376504285783</v>
      </c>
      <c r="C9811" t="s">
        <v>40</v>
      </c>
      <c r="D9811">
        <v>4.3393319999999997</v>
      </c>
      <c r="E9811">
        <v>0.49075190000000002</v>
      </c>
      <c r="F9811" t="s">
        <v>42</v>
      </c>
      <c r="G9811">
        <v>-188.18979999999999</v>
      </c>
      <c r="H9811" s="1">
        <v>-3.701804E-6</v>
      </c>
      <c r="I9811">
        <v>17.513300000000001</v>
      </c>
      <c r="J9811">
        <v>-187.93940000000001</v>
      </c>
      <c r="K9811">
        <v>1.1098190000000001</v>
      </c>
      <c r="L9811">
        <v>-13.692600000000001</v>
      </c>
      <c r="M9811">
        <v>-2.6152479999999999E-2</v>
      </c>
      <c r="N9811">
        <v>0</v>
      </c>
      <c r="O9811">
        <v>0.99955439999999995</v>
      </c>
      <c r="P9811">
        <v>1.852846E-2</v>
      </c>
      <c r="Q9811">
        <v>-1.6160790000000001E-2</v>
      </c>
      <c r="R9811">
        <v>0.99969770000000002</v>
      </c>
      <c r="S9811">
        <v>-2.4398799999999998E-2</v>
      </c>
      <c r="T9811">
        <v>-0.10594580000000001</v>
      </c>
      <c r="U9811">
        <v>2.9995120000000002</v>
      </c>
      <c r="V9811">
        <v>4.466763E-2</v>
      </c>
      <c r="W9811">
        <v>-1.8297529999999999E-3</v>
      </c>
      <c r="X9811">
        <v>0.99900029999999995</v>
      </c>
      <c r="Y9811">
        <v>1.8028180000000001E-2</v>
      </c>
      <c r="Z9811">
        <v>-3.5277450000000002E-2</v>
      </c>
      <c r="AA9811">
        <v>0.99921490000000002</v>
      </c>
      <c r="AB9811">
        <v>22</v>
      </c>
      <c r="AC9811">
        <v>-0.25039999999998402</v>
      </c>
      <c r="AD9811">
        <v>-1.1098227018039999</v>
      </c>
      <c r="AE9811">
        <v>31.2059</v>
      </c>
      <c r="AF9811">
        <v>0.56516704272136398</v>
      </c>
      <c r="AG9811">
        <v>-1.1098227018039999</v>
      </c>
      <c r="AH9811">
        <v>31.162360852007701</v>
      </c>
      <c r="AI9811">
        <v>92.039346477707895</v>
      </c>
      <c r="AJ9811">
        <v>88.960985761887997</v>
      </c>
      <c r="AK9811">
        <v>31.187238641572002</v>
      </c>
      <c r="AL9811">
        <v>90.104837175372595</v>
      </c>
      <c r="AM9811">
        <v>87.439877411548395</v>
      </c>
      <c r="AN9811">
        <v>1.0000000722829701</v>
      </c>
    </row>
    <row r="9812" spans="1:40" x14ac:dyDescent="0.25">
      <c r="A9812" t="str">
        <f>"20190312154144313"</f>
        <v>20190312154144313</v>
      </c>
      <c r="B9812" t="str">
        <f>"1552376504306279"</f>
        <v>1552376504306279</v>
      </c>
      <c r="C9812" t="s">
        <v>40</v>
      </c>
      <c r="D9812">
        <v>4.3392229999999996</v>
      </c>
      <c r="E9812">
        <v>0.49088019999999999</v>
      </c>
      <c r="F9812" t="s">
        <v>42</v>
      </c>
      <c r="G9812">
        <v>-188.1602</v>
      </c>
      <c r="H9812" s="1">
        <v>-4.021718E-6</v>
      </c>
      <c r="I9812">
        <v>18.246780000000001</v>
      </c>
      <c r="J9812">
        <v>-187.9443</v>
      </c>
      <c r="K9812">
        <v>1.1097459999999999</v>
      </c>
      <c r="L9812">
        <v>-13.48007</v>
      </c>
      <c r="M9812">
        <v>-2.553625E-2</v>
      </c>
      <c r="N9812">
        <v>0</v>
      </c>
      <c r="O9812">
        <v>0.99957220000000002</v>
      </c>
      <c r="P9812">
        <v>1.9527820000000001E-2</v>
      </c>
      <c r="Q9812">
        <v>-1.476476E-2</v>
      </c>
      <c r="R9812">
        <v>0.99970029999999999</v>
      </c>
      <c r="S9812">
        <v>-2.0736689999999999E-2</v>
      </c>
      <c r="T9812">
        <v>-0.10422960000000001</v>
      </c>
      <c r="U9812">
        <v>2.999603</v>
      </c>
      <c r="V9812">
        <v>4.505203E-2</v>
      </c>
      <c r="W9812">
        <v>-5.6591040000000001E-4</v>
      </c>
      <c r="X9812">
        <v>0.99898450000000005</v>
      </c>
      <c r="Y9812">
        <v>1.8631680000000001E-2</v>
      </c>
      <c r="Z9812">
        <v>-3.4706420000000002E-2</v>
      </c>
      <c r="AA9812">
        <v>0.99922390000000005</v>
      </c>
      <c r="AB9812">
        <v>22</v>
      </c>
      <c r="AC9812">
        <v>-0.21590000000000401</v>
      </c>
      <c r="AD9812">
        <v>-1.1097500217180001</v>
      </c>
      <c r="AE9812">
        <v>31.726849999999999</v>
      </c>
      <c r="AF9812">
        <v>0.59371120862988902</v>
      </c>
      <c r="AG9812">
        <v>-1.1097500217180001</v>
      </c>
      <c r="AH9812">
        <v>31.683253514248001</v>
      </c>
      <c r="AI9812">
        <v>92.005692436833399</v>
      </c>
      <c r="AJ9812">
        <v>88.926462345911503</v>
      </c>
      <c r="AK9812">
        <v>31.708241694519501</v>
      </c>
      <c r="AL9812">
        <v>90.032424278634906</v>
      </c>
      <c r="AM9812">
        <v>87.417834456406993</v>
      </c>
      <c r="AN9812">
        <v>1.0000000184509701</v>
      </c>
    </row>
    <row r="9813" spans="1:40" x14ac:dyDescent="0.25">
      <c r="A9813" t="str">
        <f>"20190312154144335"</f>
        <v>20190312154144335</v>
      </c>
      <c r="B9813" t="str">
        <f>"1552376504325800"</f>
        <v>1552376504325800</v>
      </c>
      <c r="C9813" t="s">
        <v>40</v>
      </c>
      <c r="D9813">
        <v>4.3074250000000003</v>
      </c>
      <c r="E9813">
        <v>0.491095</v>
      </c>
      <c r="F9813" t="s">
        <v>42</v>
      </c>
      <c r="G9813">
        <v>-188.12819999999999</v>
      </c>
      <c r="H9813" s="1">
        <v>-4.5543090000000002E-6</v>
      </c>
      <c r="I9813">
        <v>19.47503</v>
      </c>
      <c r="J9813">
        <v>-187.94919999999999</v>
      </c>
      <c r="K9813">
        <v>1.109685</v>
      </c>
      <c r="L9813">
        <v>-13.258579999999901</v>
      </c>
      <c r="M9813">
        <v>-2.4845809999999999E-2</v>
      </c>
      <c r="N9813">
        <v>0</v>
      </c>
      <c r="O9813">
        <v>0.99959189999999998</v>
      </c>
      <c r="P9813">
        <v>2.155543E-2</v>
      </c>
      <c r="Q9813">
        <v>-1.3982319999999999E-2</v>
      </c>
      <c r="R9813">
        <v>0.99966980000000005</v>
      </c>
      <c r="S9813">
        <v>-1.6738889999999999E-2</v>
      </c>
      <c r="T9813">
        <v>-0.1010146</v>
      </c>
      <c r="U9813">
        <v>2.9997250000000002</v>
      </c>
      <c r="V9813">
        <v>4.6388930000000002E-2</v>
      </c>
      <c r="W9813" s="1">
        <v>4.268507E-5</v>
      </c>
      <c r="X9813">
        <v>0.99892349999999996</v>
      </c>
      <c r="Y9813">
        <v>1.9272709999999998E-2</v>
      </c>
      <c r="Z9813">
        <v>-3.3636569999999998E-2</v>
      </c>
      <c r="AA9813">
        <v>0.99924829999999998</v>
      </c>
      <c r="AB9813">
        <v>22</v>
      </c>
      <c r="AC9813">
        <v>-0.17900000000000199</v>
      </c>
      <c r="AD9813">
        <v>-1.109689554309</v>
      </c>
      <c r="AE9813">
        <v>32.733609999999999</v>
      </c>
      <c r="AF9813">
        <v>0.633700884228238</v>
      </c>
      <c r="AG9813">
        <v>-1.109689554309</v>
      </c>
      <c r="AH9813">
        <v>32.690382453990701</v>
      </c>
      <c r="AI9813">
        <v>91.943819255004001</v>
      </c>
      <c r="AJ9813">
        <v>88.889464224515294</v>
      </c>
      <c r="AK9813">
        <v>32.715349496922599</v>
      </c>
      <c r="AL9813">
        <v>89.997554325754294</v>
      </c>
      <c r="AM9813">
        <v>87.341156025784599</v>
      </c>
      <c r="AN9813">
        <v>1.0000000467504</v>
      </c>
    </row>
    <row r="9814" spans="1:40" x14ac:dyDescent="0.25">
      <c r="A9814" t="str">
        <f>"20190312154144358"</f>
        <v>20190312154144358</v>
      </c>
      <c r="B9814" t="str">
        <f>"1552376504345322"</f>
        <v>1552376504345322</v>
      </c>
      <c r="C9814" t="s">
        <v>40</v>
      </c>
      <c r="D9814">
        <v>4.3104259999999996</v>
      </c>
      <c r="E9814">
        <v>0.4911915</v>
      </c>
      <c r="F9814" t="s">
        <v>42</v>
      </c>
      <c r="G9814">
        <v>-188.05029999999999</v>
      </c>
      <c r="H9814" s="1">
        <v>-8.8884760000000005E-7</v>
      </c>
      <c r="I9814">
        <v>20.735569999999999</v>
      </c>
      <c r="J9814">
        <v>-187.9538</v>
      </c>
      <c r="K9814">
        <v>1.10964</v>
      </c>
      <c r="L9814">
        <v>-13.03912</v>
      </c>
      <c r="M9814">
        <v>-2.4128199999999999E-2</v>
      </c>
      <c r="N9814">
        <v>0</v>
      </c>
      <c r="O9814">
        <v>0.99961239999999996</v>
      </c>
      <c r="P9814">
        <v>2.4011210000000002E-2</v>
      </c>
      <c r="Q9814">
        <v>-1.32876E-2</v>
      </c>
      <c r="R9814">
        <v>0.99962340000000005</v>
      </c>
      <c r="S9814">
        <v>-8.926392E-3</v>
      </c>
      <c r="T9814">
        <v>-9.7924349999999993E-2</v>
      </c>
      <c r="U9814">
        <v>2.9998170000000002</v>
      </c>
      <c r="V9814">
        <v>4.8126330000000002E-2</v>
      </c>
      <c r="W9814">
        <v>5.2673019999999995E-4</v>
      </c>
      <c r="X9814">
        <v>0.99884110000000004</v>
      </c>
      <c r="Y9814">
        <v>2.1157240000000001E-2</v>
      </c>
      <c r="Z9814">
        <v>-3.2608099999999897E-2</v>
      </c>
      <c r="AA9814">
        <v>0.99924429999999997</v>
      </c>
      <c r="AB9814">
        <v>22</v>
      </c>
      <c r="AC9814">
        <v>-9.6499999999991801E-2</v>
      </c>
      <c r="AD9814">
        <v>-1.1096408888475999</v>
      </c>
      <c r="AE9814">
        <v>33.77469</v>
      </c>
      <c r="AF9814">
        <v>0.71775443949203199</v>
      </c>
      <c r="AG9814">
        <v>-1.1096408888475999</v>
      </c>
      <c r="AH9814">
        <v>33.730775280830798</v>
      </c>
      <c r="AI9814">
        <v>91.883752919321296</v>
      </c>
      <c r="AJ9814">
        <v>88.780991704769505</v>
      </c>
      <c r="AK9814">
        <v>33.756653794230303</v>
      </c>
      <c r="AL9814">
        <v>89.969820580661093</v>
      </c>
      <c r="AM9814">
        <v>87.241498427969304</v>
      </c>
      <c r="AN9814">
        <v>0.99999998206659102</v>
      </c>
    </row>
    <row r="9815" spans="1:40" x14ac:dyDescent="0.25">
      <c r="A9815" t="str">
        <f>"20190312154144379"</f>
        <v>20190312154144379</v>
      </c>
      <c r="B9815" t="str">
        <f>"1552376504375747"</f>
        <v>1552376504375747</v>
      </c>
      <c r="C9815" t="s">
        <v>40</v>
      </c>
      <c r="D9815">
        <v>4.3159020000000003</v>
      </c>
      <c r="E9815">
        <v>0.49117309999999997</v>
      </c>
      <c r="F9815" t="s">
        <v>42</v>
      </c>
      <c r="G9815">
        <v>-187.96459999999999</v>
      </c>
      <c r="H9815" s="1">
        <v>-1.067333E-6</v>
      </c>
      <c r="I9815">
        <v>21.193010000000001</v>
      </c>
      <c r="J9815">
        <v>-187.958</v>
      </c>
      <c r="K9815">
        <v>1.109607</v>
      </c>
      <c r="L9815">
        <v>-12.83066</v>
      </c>
      <c r="M9815">
        <v>-2.3434400000000001E-2</v>
      </c>
      <c r="N9815">
        <v>0</v>
      </c>
      <c r="O9815">
        <v>0.99963210000000002</v>
      </c>
      <c r="P9815">
        <v>2.6407980000000001E-2</v>
      </c>
      <c r="Q9815">
        <v>-1.2746179999999999E-2</v>
      </c>
      <c r="R9815">
        <v>0.99956999999999996</v>
      </c>
      <c r="S9815">
        <v>-9.4604490000000003E-4</v>
      </c>
      <c r="T9815">
        <v>-9.7240569999999998E-2</v>
      </c>
      <c r="U9815">
        <v>2.9998469999999999</v>
      </c>
      <c r="V9815">
        <v>4.9828259999999999E-2</v>
      </c>
      <c r="W9815">
        <v>8.3047519999999997E-4</v>
      </c>
      <c r="X9815">
        <v>0.99875749999999996</v>
      </c>
      <c r="Y9815">
        <v>2.3121470000000002E-2</v>
      </c>
      <c r="Z9815">
        <v>-3.2380480000000003E-2</v>
      </c>
      <c r="AA9815">
        <v>0.99920819999999999</v>
      </c>
      <c r="AB9815">
        <v>22</v>
      </c>
      <c r="AC9815">
        <v>-6.5999999999917201E-3</v>
      </c>
      <c r="AD9815">
        <v>-1.109608067333</v>
      </c>
      <c r="AE9815">
        <v>34.023670000000003</v>
      </c>
      <c r="AF9815">
        <v>0.78996026448315504</v>
      </c>
      <c r="AG9815">
        <v>-1.109608067333</v>
      </c>
      <c r="AH9815">
        <v>33.978340005291301</v>
      </c>
      <c r="AI9815">
        <v>91.869900566300899</v>
      </c>
      <c r="AJ9815">
        <v>88.668173990131905</v>
      </c>
      <c r="AK9815">
        <v>34.005629780930803</v>
      </c>
      <c r="AL9815">
        <v>89.952417272697303</v>
      </c>
      <c r="AM9815">
        <v>87.143867416749202</v>
      </c>
      <c r="AN9815">
        <v>1.0000000444949599</v>
      </c>
    </row>
    <row r="9816" spans="1:40" x14ac:dyDescent="0.25">
      <c r="A9816" t="str">
        <f>"20190312154144393"</f>
        <v>20190312154144393</v>
      </c>
      <c r="B9816" t="str">
        <f>"1552376504385506"</f>
        <v>1552376504385506</v>
      </c>
      <c r="C9816" t="s">
        <v>40</v>
      </c>
      <c r="D9816">
        <v>4.3099559999999997</v>
      </c>
      <c r="E9816">
        <v>0.49118210000000001</v>
      </c>
      <c r="F9816" t="s">
        <v>42</v>
      </c>
      <c r="G9816">
        <v>-187.8903</v>
      </c>
      <c r="H9816" s="1">
        <v>-1.237868E-6</v>
      </c>
      <c r="I9816">
        <v>21.636099999999999</v>
      </c>
      <c r="J9816">
        <v>-187.96090000000001</v>
      </c>
      <c r="K9816">
        <v>1.109591</v>
      </c>
      <c r="L9816">
        <v>-12.68478</v>
      </c>
      <c r="M9816">
        <v>-2.2949609999999999E-2</v>
      </c>
      <c r="N9816">
        <v>0</v>
      </c>
      <c r="O9816">
        <v>0.99964580000000003</v>
      </c>
      <c r="P9816">
        <v>2.784609E-2</v>
      </c>
      <c r="Q9816">
        <v>-1.226355E-2</v>
      </c>
      <c r="R9816">
        <v>0.99953700000000001</v>
      </c>
      <c r="S9816">
        <v>5.8898930000000002E-3</v>
      </c>
      <c r="T9816">
        <v>-9.6577759999999999E-2</v>
      </c>
      <c r="U9816">
        <v>2.999908</v>
      </c>
      <c r="V9816">
        <v>5.078117E-2</v>
      </c>
      <c r="W9816">
        <v>1.134697E-3</v>
      </c>
      <c r="X9816">
        <v>0.99870910000000002</v>
      </c>
      <c r="Y9816">
        <v>2.491347E-2</v>
      </c>
      <c r="Z9816">
        <v>-3.2159159999999999E-2</v>
      </c>
      <c r="AA9816">
        <v>0.99917219999999995</v>
      </c>
      <c r="AB9816">
        <v>22</v>
      </c>
      <c r="AC9816">
        <v>7.0600000000013097E-2</v>
      </c>
      <c r="AD9816">
        <v>-1.1095922378679901</v>
      </c>
      <c r="AE9816">
        <v>34.320879999999903</v>
      </c>
      <c r="AF9816">
        <v>0.85740755710069105</v>
      </c>
      <c r="AG9816">
        <v>-1.1095922378679901</v>
      </c>
      <c r="AH9816">
        <v>34.274394319756297</v>
      </c>
      <c r="AI9816">
        <v>91.853654741784098</v>
      </c>
      <c r="AJ9816">
        <v>88.566988811075007</v>
      </c>
      <c r="AK9816">
        <v>34.303067627246598</v>
      </c>
      <c r="AL9816">
        <v>89.934986633060404</v>
      </c>
      <c r="AM9816">
        <v>87.089199290474895</v>
      </c>
      <c r="AN9816">
        <v>0.99999994059332797</v>
      </c>
    </row>
    <row r="9817" spans="1:40" x14ac:dyDescent="0.25">
      <c r="A9817" t="str">
        <f>"20190312154144414"</f>
        <v>20190312154144414</v>
      </c>
      <c r="B9817" t="str">
        <f>"1552376504406003"</f>
        <v>1552376504406003</v>
      </c>
      <c r="C9817" t="s">
        <v>40</v>
      </c>
      <c r="D9817">
        <v>4.2478669999999896</v>
      </c>
      <c r="E9817">
        <v>0.49114799999999997</v>
      </c>
      <c r="F9817" t="s">
        <v>42</v>
      </c>
      <c r="G9817">
        <v>-187.8391</v>
      </c>
      <c r="H9817" s="1">
        <v>-1.555784E-6</v>
      </c>
      <c r="I9817">
        <v>22.365839999999999</v>
      </c>
      <c r="J9817">
        <v>-187.96469999999999</v>
      </c>
      <c r="K9817">
        <v>1.1095740000000001</v>
      </c>
      <c r="L9817">
        <v>-12.48593</v>
      </c>
      <c r="M9817">
        <v>-2.230014E-2</v>
      </c>
      <c r="N9817">
        <v>0</v>
      </c>
      <c r="O9817">
        <v>0.99966390000000005</v>
      </c>
      <c r="P9817">
        <v>2.9551979999999999E-2</v>
      </c>
      <c r="Q9817">
        <v>-1.096247E-2</v>
      </c>
      <c r="R9817">
        <v>0.99950309999999998</v>
      </c>
      <c r="S9817">
        <v>1.042175E-2</v>
      </c>
      <c r="T9817">
        <v>-9.496868E-2</v>
      </c>
      <c r="U9817">
        <v>2.9999389999999999</v>
      </c>
      <c r="V9817">
        <v>5.1838080000000002E-2</v>
      </c>
      <c r="W9817">
        <v>2.1827840000000001E-3</v>
      </c>
      <c r="X9817">
        <v>0.99865309999999896</v>
      </c>
      <c r="Y9817">
        <v>2.5773319999999999E-2</v>
      </c>
      <c r="Z9817">
        <v>-3.1623869999999998E-2</v>
      </c>
      <c r="AA9817">
        <v>0.99916749999999999</v>
      </c>
      <c r="AB9817">
        <v>22</v>
      </c>
      <c r="AC9817">
        <v>0.125599999999991</v>
      </c>
      <c r="AD9817">
        <v>-1.1095755557839999</v>
      </c>
      <c r="AE9817">
        <v>34.851770000000002</v>
      </c>
      <c r="AF9817">
        <v>0.90192187241610999</v>
      </c>
      <c r="AG9817">
        <v>-1.1095755557839999</v>
      </c>
      <c r="AH9817">
        <v>34.805022729237102</v>
      </c>
      <c r="AI9817">
        <v>91.825344574670893</v>
      </c>
      <c r="AJ9817">
        <v>88.515594869584604</v>
      </c>
      <c r="AK9817">
        <v>34.834382844549602</v>
      </c>
      <c r="AL9817">
        <v>89.874935587723996</v>
      </c>
      <c r="AM9817">
        <v>87.028557846414202</v>
      </c>
      <c r="AN9817">
        <v>0.99999998261184297</v>
      </c>
    </row>
    <row r="9818" spans="1:40" x14ac:dyDescent="0.25">
      <c r="A9818" t="str">
        <f>"20190312154144436"</f>
        <v>20190312154144436</v>
      </c>
      <c r="B9818" t="str">
        <f>"1552376504425522"</f>
        <v>1552376504425522</v>
      </c>
      <c r="C9818" t="s">
        <v>40</v>
      </c>
      <c r="D9818">
        <v>4.2688829999999998</v>
      </c>
      <c r="E9818">
        <v>0.4911218</v>
      </c>
      <c r="F9818" t="s">
        <v>42</v>
      </c>
      <c r="G9818">
        <v>-187.78049999999999</v>
      </c>
      <c r="H9818" s="1">
        <v>-2.1751339999999998E-6</v>
      </c>
      <c r="I9818">
        <v>23.785350000000001</v>
      </c>
      <c r="J9818">
        <v>-187.96870000000001</v>
      </c>
      <c r="K9818">
        <v>1.109558</v>
      </c>
      <c r="L9818">
        <v>-12.27234</v>
      </c>
      <c r="M9818">
        <v>-2.162729E-2</v>
      </c>
      <c r="N9818">
        <v>0</v>
      </c>
      <c r="O9818">
        <v>0.99968270000000004</v>
      </c>
      <c r="P9818">
        <v>3.032673E-2</v>
      </c>
      <c r="Q9818">
        <v>-9.7970090000000006E-3</v>
      </c>
      <c r="R9818">
        <v>0.99949200000000005</v>
      </c>
      <c r="S9818">
        <v>1.522827E-2</v>
      </c>
      <c r="T9818">
        <v>-9.1774110000000006E-2</v>
      </c>
      <c r="U9818">
        <v>3.0000309999999999</v>
      </c>
      <c r="V9818">
        <v>5.194095E-2</v>
      </c>
      <c r="W9818">
        <v>3.0477640000000001E-3</v>
      </c>
      <c r="X9818">
        <v>0.99864549999999996</v>
      </c>
      <c r="Y9818">
        <v>2.6701229999999999E-2</v>
      </c>
      <c r="Z9818">
        <v>-3.0560380000000002E-2</v>
      </c>
      <c r="AA9818">
        <v>0.99917619999999896</v>
      </c>
      <c r="AB9818">
        <v>22</v>
      </c>
      <c r="AC9818">
        <v>0.18820000000002299</v>
      </c>
      <c r="AD9818">
        <v>-1.1095601751340001</v>
      </c>
      <c r="AE9818">
        <v>36.057690000000001</v>
      </c>
      <c r="AF9818">
        <v>0.96713536246818699</v>
      </c>
      <c r="AG9818">
        <v>-1.1095601751340001</v>
      </c>
      <c r="AH9818">
        <v>36.011086095324501</v>
      </c>
      <c r="AI9818">
        <v>91.764182168629503</v>
      </c>
      <c r="AJ9818">
        <v>88.461599923703304</v>
      </c>
      <c r="AK9818">
        <v>36.041154203999298</v>
      </c>
      <c r="AL9818">
        <v>89.825375714265903</v>
      </c>
      <c r="AM9818">
        <v>87.022649153768896</v>
      </c>
      <c r="AN9818">
        <v>0.99999999291127595</v>
      </c>
    </row>
    <row r="9819" spans="1:40" x14ac:dyDescent="0.25">
      <c r="A9819" t="str">
        <f>"20190312154144459"</f>
        <v>20190312154144459</v>
      </c>
      <c r="B9819" t="str">
        <f>"1552376504456287"</f>
        <v>1552376504456287</v>
      </c>
      <c r="C9819" t="s">
        <v>40</v>
      </c>
      <c r="D9819">
        <v>4.2427900000000003</v>
      </c>
      <c r="E9819">
        <v>0.49110549999999997</v>
      </c>
      <c r="F9819" t="s">
        <v>42</v>
      </c>
      <c r="G9819">
        <v>-187.75229999999999</v>
      </c>
      <c r="H9819" s="1">
        <v>-2.719861E-6</v>
      </c>
      <c r="I9819">
        <v>25.04346</v>
      </c>
      <c r="J9819">
        <v>-187.9727</v>
      </c>
      <c r="K9819">
        <v>1.1095219999999999</v>
      </c>
      <c r="L9819">
        <v>-12.050840000000001</v>
      </c>
      <c r="M9819">
        <v>-2.0963160000000002E-2</v>
      </c>
      <c r="N9819">
        <v>0</v>
      </c>
      <c r="O9819">
        <v>0.99970150000000002</v>
      </c>
      <c r="P9819">
        <v>3.0212909999999999E-2</v>
      </c>
      <c r="Q9819">
        <v>-9.0898860000000001E-3</v>
      </c>
      <c r="R9819">
        <v>0.99950220000000001</v>
      </c>
      <c r="S9819">
        <v>1.7395020000000001E-2</v>
      </c>
      <c r="T9819">
        <v>-8.92067E-2</v>
      </c>
      <c r="U9819">
        <v>3.0001220000000002</v>
      </c>
      <c r="V9819">
        <v>5.1164050000000003E-2</v>
      </c>
      <c r="W9819">
        <v>3.392993E-3</v>
      </c>
      <c r="X9819">
        <v>0.99868449999999998</v>
      </c>
      <c r="Y9819">
        <v>2.6758629999999999E-2</v>
      </c>
      <c r="Z9819">
        <v>-2.9705849999999999E-2</v>
      </c>
      <c r="AA9819">
        <v>0.99920050000000005</v>
      </c>
      <c r="AB9819">
        <v>22</v>
      </c>
      <c r="AC9819">
        <v>0.220400000000012</v>
      </c>
      <c r="AD9819">
        <v>-1.1095247198610001</v>
      </c>
      <c r="AE9819">
        <v>37.094299999999997</v>
      </c>
      <c r="AF9819">
        <v>0.997134464640826</v>
      </c>
      <c r="AG9819">
        <v>-1.1095247198610001</v>
      </c>
      <c r="AH9819">
        <v>37.0483818993565</v>
      </c>
      <c r="AI9819">
        <v>91.714760364350596</v>
      </c>
      <c r="AJ9819">
        <v>88.458291444316103</v>
      </c>
      <c r="AK9819">
        <v>37.0784023874428</v>
      </c>
      <c r="AL9819">
        <v>89.805595448457893</v>
      </c>
      <c r="AM9819">
        <v>87.067218484076406</v>
      </c>
      <c r="AN9819">
        <v>1.00000000147707</v>
      </c>
    </row>
    <row r="9820" spans="1:40" x14ac:dyDescent="0.25">
      <c r="A9820" t="str">
        <f>"20190312154144480"</f>
        <v>20190312154144480</v>
      </c>
      <c r="B9820" t="str">
        <f>"1552376504475805"</f>
        <v>1552376504475805</v>
      </c>
      <c r="C9820" t="s">
        <v>40</v>
      </c>
      <c r="D9820">
        <v>4.2412660000000004</v>
      </c>
      <c r="E9820">
        <v>0.49107440000000002</v>
      </c>
      <c r="F9820" t="s">
        <v>42</v>
      </c>
      <c r="G9820">
        <v>-187.7612</v>
      </c>
      <c r="H9820" s="1">
        <v>-2.9394490000000001E-6</v>
      </c>
      <c r="I9820">
        <v>25.558969999999999</v>
      </c>
      <c r="J9820">
        <v>-187.97659999999999</v>
      </c>
      <c r="K9820">
        <v>1.1094759999999999</v>
      </c>
      <c r="L9820">
        <v>-11.83014</v>
      </c>
      <c r="M9820">
        <v>-2.033161E-2</v>
      </c>
      <c r="N9820">
        <v>0</v>
      </c>
      <c r="O9820">
        <v>0.99971960000000004</v>
      </c>
      <c r="P9820">
        <v>2.9508389999999999E-2</v>
      </c>
      <c r="Q9820">
        <v>-8.1042259999999904E-3</v>
      </c>
      <c r="R9820">
        <v>0.99953170000000002</v>
      </c>
      <c r="S9820">
        <v>1.6876220000000001E-2</v>
      </c>
      <c r="T9820">
        <v>-8.8508249999999997E-2</v>
      </c>
      <c r="U9820">
        <v>3.0001829999999998</v>
      </c>
      <c r="V9820">
        <v>4.9829699999999998E-2</v>
      </c>
      <c r="W9820">
        <v>3.9752059999999898E-3</v>
      </c>
      <c r="X9820">
        <v>0.99874980000000002</v>
      </c>
      <c r="Y9820">
        <v>2.5954149999999999E-2</v>
      </c>
      <c r="Z9820">
        <v>-2.9473780000000002E-2</v>
      </c>
      <c r="AA9820">
        <v>0.99922849999999996</v>
      </c>
      <c r="AB9820">
        <v>22</v>
      </c>
      <c r="AC9820">
        <v>0.21539999999998799</v>
      </c>
      <c r="AD9820">
        <v>-1.1094789394489999</v>
      </c>
      <c r="AE9820">
        <v>37.389109999999903</v>
      </c>
      <c r="AF9820">
        <v>0.97473402115716501</v>
      </c>
      <c r="AG9820">
        <v>-1.1094789394489999</v>
      </c>
      <c r="AH9820">
        <v>37.3441186542235</v>
      </c>
      <c r="AI9820">
        <v>91.701155250761104</v>
      </c>
      <c r="AJ9820">
        <v>88.504839049658003</v>
      </c>
      <c r="AK9820">
        <v>37.373309299415901</v>
      </c>
      <c r="AL9820">
        <v>89.772236869570506</v>
      </c>
      <c r="AM9820">
        <v>87.143763029375094</v>
      </c>
      <c r="AN9820">
        <v>0.99999998213243602</v>
      </c>
    </row>
    <row r="9821" spans="1:40" x14ac:dyDescent="0.25">
      <c r="A9821" t="str">
        <f>"20190312154144503"</f>
        <v>20190312154144503</v>
      </c>
      <c r="B9821" t="str">
        <f>"1552376504496301"</f>
        <v>1552376504496301</v>
      </c>
      <c r="C9821" t="s">
        <v>40</v>
      </c>
      <c r="D9821">
        <v>4.2331339999999997</v>
      </c>
      <c r="E9821">
        <v>0.49098239999999999</v>
      </c>
      <c r="F9821" t="s">
        <v>42</v>
      </c>
      <c r="G9821">
        <v>-187.79</v>
      </c>
      <c r="H9821" s="1">
        <v>-3.4609019999999998E-6</v>
      </c>
      <c r="I9821">
        <v>26.786429999999999</v>
      </c>
      <c r="J9821">
        <v>-187.9804</v>
      </c>
      <c r="K9821">
        <v>1.109429</v>
      </c>
      <c r="L9821">
        <v>-11.60873</v>
      </c>
      <c r="M9821">
        <v>-1.9717709999999999E-2</v>
      </c>
      <c r="N9821">
        <v>0</v>
      </c>
      <c r="O9821">
        <v>0.99973679999999998</v>
      </c>
      <c r="P9821">
        <v>2.8453550000000001E-2</v>
      </c>
      <c r="Q9821">
        <v>-7.5663900000000001E-3</v>
      </c>
      <c r="R9821">
        <v>0.99956650000000002</v>
      </c>
      <c r="S9821">
        <v>1.4495849999999999E-2</v>
      </c>
      <c r="T9821">
        <v>-8.6199880000000006E-2</v>
      </c>
      <c r="U9821">
        <v>3.0002749999999998</v>
      </c>
      <c r="V9821">
        <v>4.8162370000000003E-2</v>
      </c>
      <c r="W9821">
        <v>4.097753E-3</v>
      </c>
      <c r="X9821">
        <v>0.99883109999999997</v>
      </c>
      <c r="Y9821">
        <v>2.4547360000000001E-2</v>
      </c>
      <c r="Z9821">
        <v>-2.8705939999999999E-2</v>
      </c>
      <c r="AA9821">
        <v>0.99928649999999997</v>
      </c>
      <c r="AB9821">
        <v>22</v>
      </c>
      <c r="AC9821">
        <v>0.190400000000011</v>
      </c>
      <c r="AD9821">
        <v>-1.1094324609020001</v>
      </c>
      <c r="AE9821">
        <v>38.395159999999997</v>
      </c>
      <c r="AF9821">
        <v>0.94668928117830498</v>
      </c>
      <c r="AG9821">
        <v>-1.1094324609020001</v>
      </c>
      <c r="AH9821">
        <v>38.351919661253604</v>
      </c>
      <c r="AI9821">
        <v>91.656468191001693</v>
      </c>
      <c r="AJ9821">
        <v>88.585982444247705</v>
      </c>
      <c r="AK9821">
        <v>38.379640471005601</v>
      </c>
      <c r="AL9821">
        <v>89.765215387230796</v>
      </c>
      <c r="AM9821">
        <v>87.239408288872696</v>
      </c>
      <c r="AN9821">
        <v>0.99999998589543704</v>
      </c>
    </row>
    <row r="9822" spans="1:40" x14ac:dyDescent="0.25">
      <c r="A9822" t="str">
        <f>"20190312154144525"</f>
        <v>20190312154144525</v>
      </c>
      <c r="B9822" t="str">
        <f>"1552376504515874"</f>
        <v>1552376504515874</v>
      </c>
      <c r="C9822" t="s">
        <v>40</v>
      </c>
      <c r="D9822">
        <v>4.2172049999999999</v>
      </c>
      <c r="E9822">
        <v>0.4841858</v>
      </c>
      <c r="F9822" t="s">
        <v>42</v>
      </c>
      <c r="G9822">
        <v>-187.8409</v>
      </c>
      <c r="H9822" s="1">
        <v>-3.9643329999999997E-6</v>
      </c>
      <c r="I9822">
        <v>27.980969999999999</v>
      </c>
      <c r="J9822">
        <v>-187.98410000000001</v>
      </c>
      <c r="K9822">
        <v>1.109378</v>
      </c>
      <c r="L9822">
        <v>-11.386200000000001</v>
      </c>
      <c r="M9822">
        <v>-1.911148E-2</v>
      </c>
      <c r="N9822">
        <v>0</v>
      </c>
      <c r="O9822">
        <v>0.99975349999999996</v>
      </c>
      <c r="P9822">
        <v>2.7938330000000001E-2</v>
      </c>
      <c r="Q9822">
        <v>-7.1580659999999898E-3</v>
      </c>
      <c r="R9822">
        <v>0.99958400000000003</v>
      </c>
      <c r="S9822">
        <v>1.057434E-2</v>
      </c>
      <c r="T9822">
        <v>-8.4080100000000005E-2</v>
      </c>
      <c r="U9822">
        <v>3.0003660000000001</v>
      </c>
      <c r="V9822">
        <v>4.704175E-2</v>
      </c>
      <c r="W9822">
        <v>4.0872620000000004E-3</v>
      </c>
      <c r="X9822">
        <v>0.99888460000000001</v>
      </c>
      <c r="Y9822">
        <v>2.263488E-2</v>
      </c>
      <c r="Z9822">
        <v>-2.800093E-2</v>
      </c>
      <c r="AA9822">
        <v>0.99935160000000001</v>
      </c>
      <c r="AB9822">
        <v>22</v>
      </c>
      <c r="AC9822">
        <v>0.14320000000000699</v>
      </c>
      <c r="AD9822">
        <v>-1.1093819643330001</v>
      </c>
      <c r="AE9822">
        <v>39.367170000000002</v>
      </c>
      <c r="AF9822">
        <v>0.89487612194427701</v>
      </c>
      <c r="AG9822">
        <v>-1.1093819643330001</v>
      </c>
      <c r="AH9822">
        <v>39.326012371447398</v>
      </c>
      <c r="AI9822">
        <v>91.615460364758405</v>
      </c>
      <c r="AJ9822">
        <v>88.696440984081903</v>
      </c>
      <c r="AK9822">
        <v>39.351833256605097</v>
      </c>
      <c r="AL9822">
        <v>89.765816494506296</v>
      </c>
      <c r="AM9822">
        <v>87.303688755821696</v>
      </c>
      <c r="AN9822">
        <v>1.0000000380354299</v>
      </c>
    </row>
    <row r="9823" spans="1:40" x14ac:dyDescent="0.25">
      <c r="A9823" t="str">
        <f>"20190312154144548"</f>
        <v>20190312154144548</v>
      </c>
      <c r="B9823" t="str">
        <f>"1552376504535398"</f>
        <v>1552376504535398</v>
      </c>
      <c r="C9823" t="s">
        <v>40</v>
      </c>
      <c r="D9823">
        <v>4.2064139999999997</v>
      </c>
      <c r="E9823">
        <v>0.48499809999999999</v>
      </c>
      <c r="F9823" t="s">
        <v>42</v>
      </c>
      <c r="G9823">
        <v>-189.18170000000001</v>
      </c>
      <c r="H9823" s="1">
        <v>-1.0324559999999999E-6</v>
      </c>
      <c r="I9823">
        <v>71.701119999999904</v>
      </c>
      <c r="J9823">
        <v>-187.98759999999999</v>
      </c>
      <c r="K9823">
        <v>1.109326</v>
      </c>
      <c r="L9823">
        <v>-11.165469999999999</v>
      </c>
      <c r="M9823">
        <v>-1.8515400000000001E-2</v>
      </c>
      <c r="N9823">
        <v>0</v>
      </c>
      <c r="O9823">
        <v>0.99976929999999997</v>
      </c>
      <c r="P9823">
        <v>2.7541059999999999E-2</v>
      </c>
      <c r="Q9823">
        <v>-6.7549330000000003E-3</v>
      </c>
      <c r="R9823">
        <v>0.99959779999999998</v>
      </c>
      <c r="S9823">
        <v>-4.3273930000000002E-2</v>
      </c>
      <c r="T9823">
        <v>-4.0084839999999997E-2</v>
      </c>
      <c r="U9823">
        <v>3.002167</v>
      </c>
      <c r="V9823">
        <v>4.6049130000000001E-2</v>
      </c>
      <c r="W9823">
        <v>4.07391E-3</v>
      </c>
      <c r="X9823">
        <v>0.99893089999999995</v>
      </c>
      <c r="Y9823">
        <v>4.1055919999999999E-3</v>
      </c>
      <c r="Z9823">
        <v>-1.33466E-2</v>
      </c>
      <c r="AA9823">
        <v>0.99990250000000003</v>
      </c>
      <c r="AB9823">
        <v>22</v>
      </c>
      <c r="AC9823">
        <v>-1.1941000000000199</v>
      </c>
      <c r="AD9823">
        <v>-1.1093270324560001</v>
      </c>
      <c r="AE9823">
        <v>82.866589999999903</v>
      </c>
      <c r="AF9823">
        <v>0.340442721556306</v>
      </c>
      <c r="AG9823">
        <v>-1.1093270324560001</v>
      </c>
      <c r="AH9823">
        <v>82.859647357288097</v>
      </c>
      <c r="AI9823">
        <v>90.767025031484394</v>
      </c>
      <c r="AJ9823">
        <v>89.764592030336502</v>
      </c>
      <c r="AK9823">
        <v>82.867772190917194</v>
      </c>
      <c r="AL9823">
        <v>89.766581512463006</v>
      </c>
      <c r="AM9823">
        <v>87.360624001987006</v>
      </c>
      <c r="AN9823">
        <v>1.0000000310456201</v>
      </c>
    </row>
    <row r="9824" spans="1:40" x14ac:dyDescent="0.25">
      <c r="A9824" t="str">
        <f>"20190312154144562"</f>
        <v>20190312154144562</v>
      </c>
      <c r="B9824" t="str">
        <f>"1552376504555422"</f>
        <v>1552376504555422</v>
      </c>
      <c r="C9824" t="s">
        <v>40</v>
      </c>
      <c r="D9824">
        <v>4.2202840000000004</v>
      </c>
      <c r="E9824">
        <v>0.48515259999999999</v>
      </c>
      <c r="F9824" t="s">
        <v>42</v>
      </c>
      <c r="G9824">
        <v>-189.19319999999999</v>
      </c>
      <c r="H9824" s="1">
        <v>-2.252735E-6</v>
      </c>
      <c r="I9824">
        <v>84.550349999999995</v>
      </c>
      <c r="J9824">
        <v>-187.98990000000001</v>
      </c>
      <c r="K9824">
        <v>1.1092900000000001</v>
      </c>
      <c r="L9824">
        <v>-11.01694</v>
      </c>
      <c r="M9824">
        <v>-1.811519E-2</v>
      </c>
      <c r="N9824">
        <v>0</v>
      </c>
      <c r="O9824">
        <v>0.99977969999999905</v>
      </c>
      <c r="P9824">
        <v>2.7545670000000001E-2</v>
      </c>
      <c r="Q9824">
        <v>-6.5153659999999999E-3</v>
      </c>
      <c r="R9824">
        <v>0.99959929999999997</v>
      </c>
      <c r="S9824">
        <v>-3.7811280000000003E-2</v>
      </c>
      <c r="T9824">
        <v>-3.4792780000000002E-2</v>
      </c>
      <c r="U9824">
        <v>3.002014</v>
      </c>
      <c r="V9824">
        <v>4.565379E-2</v>
      </c>
      <c r="W9824">
        <v>4.0314729999999998E-3</v>
      </c>
      <c r="X9824">
        <v>0.99894919999999998</v>
      </c>
      <c r="Y9824">
        <v>5.5233779999999998E-3</v>
      </c>
      <c r="Z9824">
        <v>-1.1585639999999999E-2</v>
      </c>
      <c r="AA9824">
        <v>0.99991759999999996</v>
      </c>
      <c r="AB9824">
        <v>22</v>
      </c>
      <c r="AC9824">
        <v>-1.2032999999999801</v>
      </c>
      <c r="AD9824">
        <v>-1.109292252735</v>
      </c>
      <c r="AE9824">
        <v>95.56729</v>
      </c>
      <c r="AF9824">
        <v>0.52814324037393201</v>
      </c>
      <c r="AG9824">
        <v>-1.109292252735</v>
      </c>
      <c r="AH9824">
        <v>95.560532397835203</v>
      </c>
      <c r="AI9824">
        <v>90.665064724680505</v>
      </c>
      <c r="AJ9824">
        <v>89.683341335668004</v>
      </c>
      <c r="AK9824">
        <v>95.568430021330997</v>
      </c>
      <c r="AL9824">
        <v>89.769012989124207</v>
      </c>
      <c r="AM9824">
        <v>87.383299754083694</v>
      </c>
      <c r="AN9824">
        <v>1.00000001274827</v>
      </c>
    </row>
    <row r="9825" spans="1:40" x14ac:dyDescent="0.25">
      <c r="A9825" t="str">
        <f>"20190312154144758"</f>
        <v>20190312154144758</v>
      </c>
      <c r="B9825" t="str">
        <f>"1552376504756009"</f>
        <v>1552376504756009</v>
      </c>
      <c r="C9825" t="s">
        <v>40</v>
      </c>
      <c r="D9825">
        <v>3.4987249999999999</v>
      </c>
      <c r="E9825">
        <v>0.48515259999999999</v>
      </c>
      <c r="F9825" t="s">
        <v>42</v>
      </c>
      <c r="G9825">
        <v>-189.09559999999999</v>
      </c>
      <c r="H9825" s="1">
        <v>-4.4276510000000001E-6</v>
      </c>
      <c r="I9825">
        <v>79.579769999999996</v>
      </c>
      <c r="J9825">
        <v>-188.01560000000001</v>
      </c>
      <c r="K9825">
        <v>1.1089549999999999</v>
      </c>
      <c r="L9825">
        <v>-9.0024110000000004</v>
      </c>
      <c r="M9825">
        <v>-1.265908E-2</v>
      </c>
      <c r="N9825">
        <v>0</v>
      </c>
      <c r="O9825">
        <v>0.99989249999999996</v>
      </c>
      <c r="P9825">
        <v>2.5428220000000001E-2</v>
      </c>
      <c r="Q9825">
        <v>-1.9154700000000001E-3</v>
      </c>
      <c r="R9825">
        <v>0.99967479999999997</v>
      </c>
      <c r="S9825">
        <v>-3.6636349999999998E-2</v>
      </c>
      <c r="T9825">
        <v>-3.6757230000000002E-2</v>
      </c>
      <c r="U9825">
        <v>3.0019840000000002</v>
      </c>
      <c r="V9825">
        <v>3.8086759999999997E-2</v>
      </c>
      <c r="W9825">
        <v>5.4424169999999997E-3</v>
      </c>
      <c r="X9825">
        <v>0.99925960000000003</v>
      </c>
      <c r="Y9825">
        <v>4.5724360000000001E-4</v>
      </c>
      <c r="Z9825">
        <v>-1.2241470000000001E-2</v>
      </c>
      <c r="AA9825">
        <v>0.99992499999999995</v>
      </c>
      <c r="AB9825">
        <v>23</v>
      </c>
      <c r="AC9825">
        <v>-1.0799999999999801</v>
      </c>
      <c r="AD9825">
        <v>-1.108959427651</v>
      </c>
      <c r="AE9825">
        <v>88.582180999999906</v>
      </c>
      <c r="AF9825">
        <v>4.14796513282416E-2</v>
      </c>
      <c r="AG9825">
        <v>-1.108959427651</v>
      </c>
      <c r="AH9825">
        <v>88.574874914625795</v>
      </c>
      <c r="AI9825">
        <v>90.717306892567194</v>
      </c>
      <c r="AJ9825">
        <v>89.973168364219006</v>
      </c>
      <c r="AK9825">
        <v>88.581826452807206</v>
      </c>
      <c r="AL9825">
        <v>89.6881709313719</v>
      </c>
      <c r="AM9825">
        <v>87.817229089679202</v>
      </c>
      <c r="AN9825">
        <v>0.99999998469112905</v>
      </c>
    </row>
    <row r="9826" spans="1:40" x14ac:dyDescent="0.25">
      <c r="A9826" t="str">
        <f>"20190312154144781"</f>
        <v>20190312154144781</v>
      </c>
      <c r="B9826" t="str">
        <f>"1552376504775528"</f>
        <v>1552376504775528</v>
      </c>
      <c r="C9826" t="s">
        <v>40</v>
      </c>
      <c r="D9826">
        <v>4.1522480000000002</v>
      </c>
      <c r="E9826">
        <v>0.52196120000000001</v>
      </c>
      <c r="F9826" t="s">
        <v>55</v>
      </c>
      <c r="G9826">
        <v>-190.0556</v>
      </c>
      <c r="H9826" s="1">
        <v>-6.0666079999999999E-6</v>
      </c>
      <c r="I9826">
        <v>133.3708</v>
      </c>
      <c r="J9826">
        <v>-188.0179</v>
      </c>
      <c r="K9826">
        <v>1.108943</v>
      </c>
      <c r="L9826">
        <v>-8.7663270000000004</v>
      </c>
      <c r="M9826">
        <v>-1.207022E-2</v>
      </c>
      <c r="N9826">
        <v>0</v>
      </c>
      <c r="O9826">
        <v>0.99990140000000005</v>
      </c>
      <c r="P9826">
        <v>2.603896E-2</v>
      </c>
      <c r="Q9826">
        <v>-8.8016919999999897E-4</v>
      </c>
      <c r="R9826">
        <v>0.99966060000000001</v>
      </c>
      <c r="S9826">
        <v>-4.3014530000000002E-2</v>
      </c>
      <c r="T9826">
        <v>-2.3383020000000001E-2</v>
      </c>
      <c r="U9826">
        <v>3.002014</v>
      </c>
      <c r="V9826">
        <v>3.8109320000000002E-2</v>
      </c>
      <c r="W9826">
        <v>6.249213E-3</v>
      </c>
      <c r="X9826">
        <v>0.99925399999999998</v>
      </c>
      <c r="Y9826">
        <v>-2.256316E-3</v>
      </c>
      <c r="Z9826">
        <v>-7.7876150000000003E-3</v>
      </c>
      <c r="AA9826">
        <v>0.99996719999999895</v>
      </c>
      <c r="AB9826">
        <v>23</v>
      </c>
      <c r="AC9826">
        <v>-2.0377000000000001</v>
      </c>
      <c r="AD9826">
        <v>-1.108949066608</v>
      </c>
      <c r="AE9826">
        <v>142.13712699999999</v>
      </c>
      <c r="AF9826">
        <v>-0.32186139037978001</v>
      </c>
      <c r="AG9826">
        <v>-1.108949066608</v>
      </c>
      <c r="AH9826">
        <v>142.14271767062399</v>
      </c>
      <c r="AI9826">
        <v>90.446991941057902</v>
      </c>
      <c r="AJ9826">
        <v>90.129737689283402</v>
      </c>
      <c r="AK9826">
        <v>142.14740781870699</v>
      </c>
      <c r="AL9826">
        <v>89.641944126659496</v>
      </c>
      <c r="AM9826">
        <v>87.815925188712598</v>
      </c>
      <c r="AN9826">
        <v>0.99999996472498998</v>
      </c>
    </row>
    <row r="9827" spans="1:40" x14ac:dyDescent="0.25">
      <c r="A9827" t="str">
        <f>"20190312154144804"</f>
        <v>20190312154144804</v>
      </c>
      <c r="B9827" t="str">
        <f>"1552376504796024"</f>
        <v>1552376504796024</v>
      </c>
      <c r="C9827" t="s">
        <v>40</v>
      </c>
      <c r="D9827">
        <v>4.2578230000000001</v>
      </c>
      <c r="E9827">
        <v>0.52022760000000001</v>
      </c>
      <c r="F9827" t="s">
        <v>41</v>
      </c>
      <c r="G9827">
        <v>-187.9521</v>
      </c>
      <c r="H9827">
        <v>0.94871899999999998</v>
      </c>
      <c r="I9827">
        <v>-7.9090959999999999</v>
      </c>
      <c r="J9827">
        <v>-188.02019999999999</v>
      </c>
      <c r="K9827">
        <v>1.1089500000000001</v>
      </c>
      <c r="L9827">
        <v>-8.5142819999999997</v>
      </c>
      <c r="M9827">
        <v>-1.147683E-2</v>
      </c>
      <c r="N9827">
        <v>0</v>
      </c>
      <c r="O9827">
        <v>0.99990990000000002</v>
      </c>
      <c r="P9827">
        <v>2.7310290000000001E-2</v>
      </c>
      <c r="Q9827">
        <v>-1.4152920000000001E-4</v>
      </c>
      <c r="R9827">
        <v>0.99962700000000004</v>
      </c>
      <c r="S9827">
        <v>0.22932430000000001</v>
      </c>
      <c r="T9827">
        <v>-0.55968200000000001</v>
      </c>
      <c r="U9827">
        <v>2.9945369999999998</v>
      </c>
      <c r="V9827">
        <v>3.878728E-2</v>
      </c>
      <c r="W9827">
        <v>6.7775369999999897E-3</v>
      </c>
      <c r="X9827">
        <v>0.99922449999999996</v>
      </c>
      <c r="Y9827">
        <v>8.6504579999999998E-2</v>
      </c>
      <c r="Z9827">
        <v>-0.1830976</v>
      </c>
      <c r="AA9827">
        <v>0.97928150000000003</v>
      </c>
      <c r="AB9827">
        <v>24</v>
      </c>
      <c r="AC9827">
        <v>6.8099999999986893E-2</v>
      </c>
      <c r="AD9827">
        <v>-0.16023099999999901</v>
      </c>
      <c r="AE9827">
        <v>0.605186</v>
      </c>
      <c r="AF9827">
        <v>7.0183018162993493E-2</v>
      </c>
      <c r="AG9827">
        <v>-0.16023099999999901</v>
      </c>
      <c r="AH9827">
        <v>0.56523711877404903</v>
      </c>
      <c r="AI9827">
        <v>105.71211453855901</v>
      </c>
      <c r="AJ9827">
        <v>82.922059357291602</v>
      </c>
      <c r="AK9827">
        <v>0.59168625963381605</v>
      </c>
      <c r="AL9827">
        <v>89.611672759359195</v>
      </c>
      <c r="AM9827">
        <v>87.7770438497204</v>
      </c>
      <c r="AN9827">
        <v>0.99999999474891699</v>
      </c>
    </row>
    <row r="9828" spans="1:40" x14ac:dyDescent="0.25">
      <c r="A9828" t="str">
        <f>"20190312154144826"</f>
        <v>20190312154144826</v>
      </c>
      <c r="B9828" t="str">
        <f>"1552376504815544"</f>
        <v>1552376504815544</v>
      </c>
      <c r="C9828" t="s">
        <v>40</v>
      </c>
      <c r="D9828">
        <v>4.2317920000000004</v>
      </c>
      <c r="E9828">
        <v>0.52160969999999995</v>
      </c>
      <c r="F9828" t="s">
        <v>41</v>
      </c>
      <c r="G9828">
        <v>-187.95660000000001</v>
      </c>
      <c r="H9828">
        <v>0.99919820000000004</v>
      </c>
      <c r="I9828">
        <v>-7.6723280000000003</v>
      </c>
      <c r="J9828">
        <v>-188.0223</v>
      </c>
      <c r="K9828">
        <v>1.1089709999999999</v>
      </c>
      <c r="L9828">
        <v>-8.2869869999999999</v>
      </c>
      <c r="M9828">
        <v>-1.098465E-2</v>
      </c>
      <c r="N9828">
        <v>0</v>
      </c>
      <c r="O9828">
        <v>0.99991660000000004</v>
      </c>
      <c r="P9828">
        <v>2.9191620000000001E-2</v>
      </c>
      <c r="Q9828">
        <v>3.2167840000000002E-4</v>
      </c>
      <c r="R9828">
        <v>0.99957379999999996</v>
      </c>
      <c r="S9828">
        <v>0.2260742</v>
      </c>
      <c r="T9828">
        <v>-0.39038349999999999</v>
      </c>
      <c r="U9828">
        <v>2.9948730000000001</v>
      </c>
      <c r="V9828">
        <v>4.0175860000000001E-2</v>
      </c>
      <c r="W9828">
        <v>7.0779379999999998E-3</v>
      </c>
      <c r="X9828">
        <v>0.99916760000000004</v>
      </c>
      <c r="Y9828">
        <v>8.5594660000000003E-2</v>
      </c>
      <c r="Z9828">
        <v>-0.1288279</v>
      </c>
      <c r="AA9828">
        <v>0.98796609999999996</v>
      </c>
      <c r="AB9828">
        <v>24</v>
      </c>
      <c r="AC9828">
        <v>6.5699999999992501E-2</v>
      </c>
      <c r="AD9828">
        <v>-0.109772799999999</v>
      </c>
      <c r="AE9828">
        <v>0.61465899999999896</v>
      </c>
      <c r="AF9828">
        <v>7.0233229296541494E-2</v>
      </c>
      <c r="AG9828">
        <v>-0.109772799999999</v>
      </c>
      <c r="AH9828">
        <v>0.59513293062411898</v>
      </c>
      <c r="AI9828">
        <v>100.380343026012</v>
      </c>
      <c r="AJ9828">
        <v>83.269501772592605</v>
      </c>
      <c r="AK9828">
        <v>0.60923392816759003</v>
      </c>
      <c r="AL9828">
        <v>89.594460657045403</v>
      </c>
      <c r="AM9828">
        <v>87.697415477320206</v>
      </c>
      <c r="AN9828">
        <v>1.0000000449114099</v>
      </c>
    </row>
    <row r="9829" spans="1:40" x14ac:dyDescent="0.25">
      <c r="A9829" t="str">
        <f>"20190312154144847"</f>
        <v>20190312154144847</v>
      </c>
      <c r="B9829" t="str">
        <f>"1552376504836044"</f>
        <v>1552376504836044</v>
      </c>
      <c r="C9829" t="s">
        <v>40</v>
      </c>
      <c r="D9829">
        <v>4.2181220000000001</v>
      </c>
      <c r="E9829">
        <v>0.51735909999999996</v>
      </c>
      <c r="F9829" t="s">
        <v>75</v>
      </c>
      <c r="G9829">
        <v>-168.8732</v>
      </c>
      <c r="H9829">
        <v>8.7245270000000001</v>
      </c>
      <c r="I9829">
        <v>208.21260000000001</v>
      </c>
      <c r="J9829">
        <v>-188.02440000000001</v>
      </c>
      <c r="K9829">
        <v>1.1090009999999999</v>
      </c>
      <c r="L9829">
        <v>-8.0523070000000008</v>
      </c>
      <c r="M9829">
        <v>-1.053657E-2</v>
      </c>
      <c r="N9829">
        <v>0</v>
      </c>
      <c r="O9829">
        <v>0.99992239999999999</v>
      </c>
      <c r="P9829">
        <v>3.0727640000000001E-2</v>
      </c>
      <c r="Q9829">
        <v>4.3115120000000002E-4</v>
      </c>
      <c r="R9829">
        <v>0.99952770000000002</v>
      </c>
      <c r="S9829">
        <v>0.26477050000000002</v>
      </c>
      <c r="T9829">
        <v>0.1052994</v>
      </c>
      <c r="U9829">
        <v>2.9935</v>
      </c>
      <c r="V9829">
        <v>4.126287E-2</v>
      </c>
      <c r="W9829">
        <v>7.0450349999999998E-3</v>
      </c>
      <c r="X9829">
        <v>0.99912350000000005</v>
      </c>
      <c r="Y9829">
        <v>9.8541480000000001E-2</v>
      </c>
      <c r="Z9829">
        <v>3.4997550000000002E-2</v>
      </c>
      <c r="AA9829">
        <v>0.99451730000000005</v>
      </c>
      <c r="AB9829">
        <v>24</v>
      </c>
      <c r="AC9829">
        <v>19.151199999999999</v>
      </c>
      <c r="AD9829">
        <v>7.6155259999999902</v>
      </c>
      <c r="AE9829">
        <v>216.26490699999999</v>
      </c>
      <c r="AF9829">
        <v>21.402544487301402</v>
      </c>
      <c r="AG9829">
        <v>7.6155259999999902</v>
      </c>
      <c r="AH9829">
        <v>215.78561304625899</v>
      </c>
      <c r="AI9829">
        <v>87.9886120590361</v>
      </c>
      <c r="AJ9829">
        <v>84.335684152474698</v>
      </c>
      <c r="AK9829">
        <v>216.978100149618</v>
      </c>
      <c r="AL9829">
        <v>89.596345893957803</v>
      </c>
      <c r="AM9829">
        <v>87.635081603718405</v>
      </c>
      <c r="AN9829">
        <v>1.00000001260551</v>
      </c>
    </row>
    <row r="9830" spans="1:40" x14ac:dyDescent="0.25">
      <c r="A9830" t="str">
        <f>"20190312154144870"</f>
        <v>20190312154144870</v>
      </c>
      <c r="B9830" t="str">
        <f>"1552376504865828"</f>
        <v>1552376504865828</v>
      </c>
      <c r="C9830" t="s">
        <v>40</v>
      </c>
      <c r="D9830">
        <v>4.2003810000000001</v>
      </c>
      <c r="E9830">
        <v>0.51700459999999904</v>
      </c>
      <c r="F9830" t="s">
        <v>80</v>
      </c>
      <c r="G9830">
        <v>-167.89859999999999</v>
      </c>
      <c r="H9830">
        <v>9.7483839999999997</v>
      </c>
      <c r="I9830">
        <v>248.2039</v>
      </c>
      <c r="J9830">
        <v>-188.0265</v>
      </c>
      <c r="K9830">
        <v>1.1090409999999999</v>
      </c>
      <c r="L9830">
        <v>-7.8095089999999896</v>
      </c>
      <c r="M9830">
        <v>-1.015107E-2</v>
      </c>
      <c r="N9830">
        <v>0</v>
      </c>
      <c r="O9830">
        <v>0.99992720000000002</v>
      </c>
      <c r="P9830">
        <v>3.2649579999999997E-2</v>
      </c>
      <c r="Q9830">
        <v>6.3050029999999998E-4</v>
      </c>
      <c r="R9830">
        <v>0.99946670000000004</v>
      </c>
      <c r="S9830">
        <v>0.23515320000000001</v>
      </c>
      <c r="T9830">
        <v>0.1009446</v>
      </c>
      <c r="U9830">
        <v>2.9941409999999999</v>
      </c>
      <c r="V9830">
        <v>4.2798089999999997E-2</v>
      </c>
      <c r="W9830">
        <v>7.1251429999999996E-3</v>
      </c>
      <c r="X9830">
        <v>0.99905829999999995</v>
      </c>
      <c r="Y9830">
        <v>8.8368630000000004E-2</v>
      </c>
      <c r="Z9830">
        <v>3.3574769999999997E-2</v>
      </c>
      <c r="AA9830">
        <v>0.99552180000000001</v>
      </c>
      <c r="AB9830">
        <v>24</v>
      </c>
      <c r="AC9830">
        <v>20.1279</v>
      </c>
      <c r="AD9830">
        <v>8.6393429999999896</v>
      </c>
      <c r="AE9830">
        <v>256.013408999999</v>
      </c>
      <c r="AF9830">
        <v>22.7000369072389</v>
      </c>
      <c r="AG9830">
        <v>8.6393429999999896</v>
      </c>
      <c r="AH9830">
        <v>255.50671774875599</v>
      </c>
      <c r="AI9830">
        <v>88.071011426165896</v>
      </c>
      <c r="AJ9830">
        <v>84.922988857421799</v>
      </c>
      <c r="AK9830">
        <v>256.658552824183</v>
      </c>
      <c r="AL9830">
        <v>89.591755909265899</v>
      </c>
      <c r="AM9830">
        <v>87.547038474033499</v>
      </c>
      <c r="AN9830">
        <v>0.99999996548465298</v>
      </c>
    </row>
    <row r="9831" spans="1:40" x14ac:dyDescent="0.25">
      <c r="A9831" t="str">
        <f>"20190312154144895"</f>
        <v>20190312154144895</v>
      </c>
      <c r="B9831" t="str">
        <f>"1552376504885349"</f>
        <v>1552376504885349</v>
      </c>
      <c r="C9831" t="s">
        <v>40</v>
      </c>
      <c r="D9831">
        <v>4.2231420000000002</v>
      </c>
      <c r="E9831">
        <v>0.51706430000000003</v>
      </c>
      <c r="F9831" t="s">
        <v>101</v>
      </c>
      <c r="G9831">
        <v>-174.059</v>
      </c>
      <c r="H9831">
        <v>6.1423540000000001</v>
      </c>
      <c r="I9831">
        <v>168.36799999999999</v>
      </c>
      <c r="J9831">
        <v>-188.02869999999999</v>
      </c>
      <c r="K9831">
        <v>1.109097</v>
      </c>
      <c r="L9831">
        <v>-7.5531309999999996</v>
      </c>
      <c r="M9831">
        <v>-9.8372600000000004E-3</v>
      </c>
      <c r="N9831">
        <v>0</v>
      </c>
      <c r="O9831">
        <v>0.99993089999999996</v>
      </c>
      <c r="P9831">
        <v>3.3633660000000003E-2</v>
      </c>
      <c r="Q9831">
        <v>1.2683659999999999E-3</v>
      </c>
      <c r="R9831">
        <v>0.99943340000000003</v>
      </c>
      <c r="S9831">
        <v>0.23735049999999999</v>
      </c>
      <c r="T9831">
        <v>8.5531709999999997E-2</v>
      </c>
      <c r="U9831">
        <v>2.993805</v>
      </c>
      <c r="V9831">
        <v>4.3467440000000003E-2</v>
      </c>
      <c r="W9831">
        <v>7.6720590000000002E-3</v>
      </c>
      <c r="X9831">
        <v>0.99902539999999995</v>
      </c>
      <c r="Y9831">
        <v>8.8803409999999999E-2</v>
      </c>
      <c r="Z9831">
        <v>2.8454819999999999E-2</v>
      </c>
      <c r="AA9831">
        <v>0.99564269999999999</v>
      </c>
      <c r="AB9831">
        <v>24</v>
      </c>
      <c r="AC9831">
        <v>13.9696999999999</v>
      </c>
      <c r="AD9831">
        <v>5.0332569999999999</v>
      </c>
      <c r="AE9831">
        <v>175.921131</v>
      </c>
      <c r="AF9831">
        <v>15.6868812358481</v>
      </c>
      <c r="AG9831">
        <v>5.0332569999999999</v>
      </c>
      <c r="AH9831">
        <v>175.63232336813999</v>
      </c>
      <c r="AI9831">
        <v>88.364976595760098</v>
      </c>
      <c r="AJ9831">
        <v>84.8960793657929</v>
      </c>
      <c r="AK9831">
        <v>176.40330192665499</v>
      </c>
      <c r="AL9831">
        <v>89.560419093030603</v>
      </c>
      <c r="AM9831">
        <v>87.508640874976507</v>
      </c>
      <c r="AN9831">
        <v>1.0000000143373</v>
      </c>
    </row>
    <row r="9832" spans="1:40" x14ac:dyDescent="0.25">
      <c r="A9832" t="str">
        <f>"20190312154144916"</f>
        <v>20190312154144916</v>
      </c>
      <c r="B9832" t="str">
        <f>"1552376504905844"</f>
        <v>1552376504905844</v>
      </c>
      <c r="C9832" t="s">
        <v>40</v>
      </c>
      <c r="D9832">
        <v>4.2370369999999999</v>
      </c>
      <c r="E9832">
        <v>0.51667280000000004</v>
      </c>
      <c r="F9832" t="s">
        <v>101</v>
      </c>
      <c r="G9832">
        <v>-173.9667</v>
      </c>
      <c r="H9832">
        <v>5.8903800000000004</v>
      </c>
      <c r="I9832">
        <v>167.4033</v>
      </c>
      <c r="J9832">
        <v>-188.0308</v>
      </c>
      <c r="K9832">
        <v>1.109156</v>
      </c>
      <c r="L9832">
        <v>-7.315582</v>
      </c>
      <c r="M9832">
        <v>-9.6357209999999999E-3</v>
      </c>
      <c r="N9832">
        <v>0</v>
      </c>
      <c r="O9832">
        <v>0.99993330000000002</v>
      </c>
      <c r="P9832">
        <v>3.4010779999999997E-2</v>
      </c>
      <c r="Q9832">
        <v>1.8573420000000001E-3</v>
      </c>
      <c r="R9832">
        <v>0.99941970000000002</v>
      </c>
      <c r="S9832">
        <v>0.2406006</v>
      </c>
      <c r="T9832">
        <v>8.1807610000000003E-2</v>
      </c>
      <c r="U9832">
        <v>2.9935</v>
      </c>
      <c r="V9832">
        <v>4.3642100000000003E-2</v>
      </c>
      <c r="W9832">
        <v>8.2089609999999903E-3</v>
      </c>
      <c r="X9832">
        <v>0.9990135</v>
      </c>
      <c r="Y9832">
        <v>8.9687539999999996E-2</v>
      </c>
      <c r="Z9832">
        <v>2.7217410000000001E-2</v>
      </c>
      <c r="AA9832">
        <v>0.99559799999999998</v>
      </c>
      <c r="AB9832">
        <v>24</v>
      </c>
      <c r="AC9832">
        <v>14.0640999999999</v>
      </c>
      <c r="AD9832">
        <v>4.7812239999999999</v>
      </c>
      <c r="AE9832">
        <v>174.71888200000001</v>
      </c>
      <c r="AF9832">
        <v>15.735315956022299</v>
      </c>
      <c r="AG9832">
        <v>4.7812239999999999</v>
      </c>
      <c r="AH9832">
        <v>174.44545633986999</v>
      </c>
      <c r="AI9832">
        <v>88.436367890129304</v>
      </c>
      <c r="AJ9832">
        <v>84.845759162796597</v>
      </c>
      <c r="AK9832">
        <v>175.21894163816799</v>
      </c>
      <c r="AL9832">
        <v>89.529655896276296</v>
      </c>
      <c r="AM9832">
        <v>87.498613077328102</v>
      </c>
      <c r="AN9832">
        <v>0.99999999655767902</v>
      </c>
    </row>
    <row r="9833" spans="1:40" x14ac:dyDescent="0.25">
      <c r="A9833" t="str">
        <f>"20190312154144938"</f>
        <v>20190312154144938</v>
      </c>
      <c r="B9833" t="str">
        <f>"1552376504926349"</f>
        <v>1552376504926349</v>
      </c>
      <c r="C9833" t="s">
        <v>40</v>
      </c>
      <c r="D9833">
        <v>4.2564080000000004</v>
      </c>
      <c r="E9833">
        <v>0.51560760000000005</v>
      </c>
      <c r="F9833" t="s">
        <v>101</v>
      </c>
      <c r="G9833">
        <v>-174.11490000000001</v>
      </c>
      <c r="H9833">
        <v>5.9624069999999998</v>
      </c>
      <c r="I9833">
        <v>167.52850000000001</v>
      </c>
      <c r="J9833">
        <v>-188.03290000000001</v>
      </c>
      <c r="K9833">
        <v>1.1092139999999999</v>
      </c>
      <c r="L9833">
        <v>-7.0851139999999999</v>
      </c>
      <c r="M9833">
        <v>-9.5187129999999998E-3</v>
      </c>
      <c r="N9833">
        <v>0</v>
      </c>
      <c r="O9833">
        <v>0.99993460000000001</v>
      </c>
      <c r="P9833">
        <v>3.4211430000000001E-2</v>
      </c>
      <c r="Q9833">
        <v>3.390746E-3</v>
      </c>
      <c r="R9833">
        <v>0.99940879999999999</v>
      </c>
      <c r="S9833">
        <v>0.23825070000000001</v>
      </c>
      <c r="T9833">
        <v>8.3091620000000005E-2</v>
      </c>
      <c r="U9833">
        <v>2.9934690000000002</v>
      </c>
      <c r="V9833">
        <v>4.3724880000000001E-2</v>
      </c>
      <c r="W9833">
        <v>9.7180909999999999E-3</v>
      </c>
      <c r="X9833">
        <v>0.99899629999999995</v>
      </c>
      <c r="Y9833">
        <v>8.8794239999999997E-2</v>
      </c>
      <c r="Z9833">
        <v>2.764658E-2</v>
      </c>
      <c r="AA9833">
        <v>0.99566619999999995</v>
      </c>
      <c r="AB9833">
        <v>24</v>
      </c>
      <c r="AC9833">
        <v>13.917999999999999</v>
      </c>
      <c r="AD9833">
        <v>4.8531930000000001</v>
      </c>
      <c r="AE9833">
        <v>174.61361399999899</v>
      </c>
      <c r="AF9833">
        <v>15.5675496897633</v>
      </c>
      <c r="AG9833">
        <v>4.8531930000000001</v>
      </c>
      <c r="AH9833">
        <v>174.33939180629699</v>
      </c>
      <c r="AI9833">
        <v>88.4117500486865</v>
      </c>
      <c r="AJ9833">
        <v>84.897335061847997</v>
      </c>
      <c r="AK9833">
        <v>175.100330156821</v>
      </c>
      <c r="AL9833">
        <v>89.443185612174304</v>
      </c>
      <c r="AM9833">
        <v>87.493831415742306</v>
      </c>
      <c r="AN9833">
        <v>0.99999995691869303</v>
      </c>
    </row>
    <row r="9834" spans="1:40" x14ac:dyDescent="0.25">
      <c r="A9834" t="str">
        <f>"20190312154144960"</f>
        <v>20190312154144960</v>
      </c>
      <c r="B9834" t="str">
        <f>"1552376504955620"</f>
        <v>1552376504955620</v>
      </c>
      <c r="C9834" t="s">
        <v>40</v>
      </c>
      <c r="D9834">
        <v>4.2449500000000002</v>
      </c>
      <c r="E9834">
        <v>0.51466909999999999</v>
      </c>
      <c r="F9834" t="s">
        <v>102</v>
      </c>
      <c r="G9834">
        <v>-174.2159</v>
      </c>
      <c r="H9834">
        <v>6.1651470000000002</v>
      </c>
      <c r="I9834">
        <v>172.53970000000001</v>
      </c>
      <c r="J9834">
        <v>-188.0352</v>
      </c>
      <c r="K9834">
        <v>1.109264</v>
      </c>
      <c r="L9834">
        <v>-6.8357849999999996</v>
      </c>
      <c r="M9834">
        <v>-9.4626150000000006E-3</v>
      </c>
      <c r="N9834">
        <v>0</v>
      </c>
      <c r="O9834">
        <v>0.99993520000000002</v>
      </c>
      <c r="P9834">
        <v>3.4261989999999999E-2</v>
      </c>
      <c r="Q9834">
        <v>4.0371809999999999E-3</v>
      </c>
      <c r="R9834">
        <v>0.99940469999999904</v>
      </c>
      <c r="S9834">
        <v>0.23027039999999999</v>
      </c>
      <c r="T9834">
        <v>8.4261420000000004E-2</v>
      </c>
      <c r="U9834">
        <v>2.9935909999999999</v>
      </c>
      <c r="V9834">
        <v>4.3718279999999998E-2</v>
      </c>
      <c r="W9834">
        <v>1.03594E-2</v>
      </c>
      <c r="X9834">
        <v>0.99899020000000005</v>
      </c>
      <c r="Y9834">
        <v>8.609588E-2</v>
      </c>
      <c r="Z9834">
        <v>2.8040610000000001E-2</v>
      </c>
      <c r="AA9834">
        <v>0.99589220000000001</v>
      </c>
      <c r="AB9834">
        <v>24</v>
      </c>
      <c r="AC9834">
        <v>13.819299999999901</v>
      </c>
      <c r="AD9834">
        <v>5.0558829999999997</v>
      </c>
      <c r="AE9834">
        <v>179.375485</v>
      </c>
      <c r="AF9834">
        <v>15.5038320323323</v>
      </c>
      <c r="AG9834">
        <v>5.0558829999999997</v>
      </c>
      <c r="AH9834">
        <v>179.09524130487301</v>
      </c>
      <c r="AI9834">
        <v>88.388983794790207</v>
      </c>
      <c r="AJ9834">
        <v>85.052380540838897</v>
      </c>
      <c r="AK9834">
        <v>179.83613713224301</v>
      </c>
      <c r="AL9834">
        <v>89.406439492231698</v>
      </c>
      <c r="AM9834">
        <v>87.494193942886696</v>
      </c>
      <c r="AN9834">
        <v>1.0000000124352699</v>
      </c>
    </row>
    <row r="9835" spans="1:40" x14ac:dyDescent="0.25">
      <c r="A9835" t="str">
        <f>"20190312154144983"</f>
        <v>20190312154144983</v>
      </c>
      <c r="B9835" t="str">
        <f>"1552376504976116"</f>
        <v>1552376504976116</v>
      </c>
      <c r="C9835" t="s">
        <v>40</v>
      </c>
      <c r="D9835">
        <v>4.3139760000000003</v>
      </c>
      <c r="E9835">
        <v>0.51380959999999998</v>
      </c>
      <c r="F9835" t="s">
        <v>102</v>
      </c>
      <c r="G9835">
        <v>-174.68629999999999</v>
      </c>
      <c r="H9835">
        <v>6.1027690000000003</v>
      </c>
      <c r="I9835">
        <v>172.53980000000001</v>
      </c>
      <c r="J9835">
        <v>-188.03749999999999</v>
      </c>
      <c r="K9835">
        <v>1.1092979999999999</v>
      </c>
      <c r="L9835">
        <v>-6.5848690000000003</v>
      </c>
      <c r="M9835">
        <v>-9.452472E-3</v>
      </c>
      <c r="N9835">
        <v>0</v>
      </c>
      <c r="O9835">
        <v>0.99993529999999997</v>
      </c>
      <c r="P9835">
        <v>3.3612950000000003E-2</v>
      </c>
      <c r="Q9835">
        <v>3.9068009999999997E-3</v>
      </c>
      <c r="R9835">
        <v>0.99942730000000002</v>
      </c>
      <c r="S9835">
        <v>0.22279360000000001</v>
      </c>
      <c r="T9835">
        <v>8.3342550000000001E-2</v>
      </c>
      <c r="U9835">
        <v>2.993805</v>
      </c>
      <c r="V9835">
        <v>4.3058619999999999E-2</v>
      </c>
      <c r="W9835">
        <v>1.023782E-2</v>
      </c>
      <c r="X9835">
        <v>0.99902009999999997</v>
      </c>
      <c r="Y9835">
        <v>8.3607699999999993E-2</v>
      </c>
      <c r="Z9835">
        <v>2.773865E-2</v>
      </c>
      <c r="AA9835">
        <v>0.99611260000000001</v>
      </c>
      <c r="AB9835">
        <v>24</v>
      </c>
      <c r="AC9835">
        <v>13.3512</v>
      </c>
      <c r="AD9835">
        <v>4.9934709999999898</v>
      </c>
      <c r="AE9835">
        <v>179.12466899999899</v>
      </c>
      <c r="AF9835">
        <v>15.0321908845671</v>
      </c>
      <c r="AG9835">
        <v>4.9934709999999898</v>
      </c>
      <c r="AH9835">
        <v>178.852238089921</v>
      </c>
      <c r="AI9835">
        <v>88.406360019486499</v>
      </c>
      <c r="AJ9835">
        <v>85.195690014305001</v>
      </c>
      <c r="AK9835">
        <v>179.552289278616</v>
      </c>
      <c r="AL9835">
        <v>89.413405880425799</v>
      </c>
      <c r="AM9835">
        <v>87.532030421437597</v>
      </c>
      <c r="AN9835">
        <v>1.0000000089593299</v>
      </c>
    </row>
    <row r="9836" spans="1:40" x14ac:dyDescent="0.25">
      <c r="A9836" t="str">
        <f>"20190312154145005"</f>
        <v>20190312154145005</v>
      </c>
      <c r="B9836" t="str">
        <f>"1552376504995636"</f>
        <v>1552376504995636</v>
      </c>
      <c r="C9836" t="s">
        <v>40</v>
      </c>
      <c r="D9836">
        <v>4.3263930000000004</v>
      </c>
      <c r="E9836">
        <v>0.51283749999999995</v>
      </c>
      <c r="F9836" t="s">
        <v>102</v>
      </c>
      <c r="G9836">
        <v>-175.2561</v>
      </c>
      <c r="H9836">
        <v>5.8235510000000001</v>
      </c>
      <c r="I9836">
        <v>172.54</v>
      </c>
      <c r="J9836">
        <v>-188.03989999999999</v>
      </c>
      <c r="K9836">
        <v>1.109316</v>
      </c>
      <c r="L9836">
        <v>-6.3421329999999996</v>
      </c>
      <c r="M9836">
        <v>-9.4699469999999994E-3</v>
      </c>
      <c r="N9836">
        <v>0</v>
      </c>
      <c r="O9836">
        <v>0.99993500000000002</v>
      </c>
      <c r="P9836">
        <v>3.260557E-2</v>
      </c>
      <c r="Q9836">
        <v>3.1113410000000001E-3</v>
      </c>
      <c r="R9836">
        <v>0.9994634</v>
      </c>
      <c r="S9836">
        <v>0.2136536</v>
      </c>
      <c r="T9836">
        <v>7.880318E-2</v>
      </c>
      <c r="U9836">
        <v>2.9942319999999998</v>
      </c>
      <c r="V9836">
        <v>4.2068809999999998E-2</v>
      </c>
      <c r="W9836">
        <v>9.4620409999999992E-3</v>
      </c>
      <c r="X9836">
        <v>0.99906989999999996</v>
      </c>
      <c r="Y9836">
        <v>8.0592510000000006E-2</v>
      </c>
      <c r="Z9836">
        <v>2.6231330000000001E-2</v>
      </c>
      <c r="AA9836">
        <v>0.99640189999999995</v>
      </c>
      <c r="AB9836">
        <v>25</v>
      </c>
      <c r="AC9836">
        <v>12.7837999999999</v>
      </c>
      <c r="AD9836">
        <v>4.7142349999999897</v>
      </c>
      <c r="AE9836">
        <v>178.88213299999899</v>
      </c>
      <c r="AF9836">
        <v>14.467268368313301</v>
      </c>
      <c r="AG9836">
        <v>4.7142349999999897</v>
      </c>
      <c r="AH9836">
        <v>178.62961456466701</v>
      </c>
      <c r="AI9836">
        <v>88.493182873644201</v>
      </c>
      <c r="AJ9836">
        <v>85.3697032808508</v>
      </c>
      <c r="AK9836">
        <v>179.27650449849099</v>
      </c>
      <c r="AL9836">
        <v>89.457856889816696</v>
      </c>
      <c r="AM9836">
        <v>87.588815172594394</v>
      </c>
      <c r="AN9836">
        <v>0.999999990040355</v>
      </c>
    </row>
    <row r="9837" spans="1:40" x14ac:dyDescent="0.25">
      <c r="A9837" t="str">
        <f>"20190312154145027"</f>
        <v>20190312154145027</v>
      </c>
      <c r="B9837" t="str">
        <f>"1552376505016136"</f>
        <v>1552376505016136</v>
      </c>
      <c r="C9837" t="s">
        <v>40</v>
      </c>
      <c r="D9837">
        <v>4.3623379999999896</v>
      </c>
      <c r="E9837">
        <v>0.51211819999999997</v>
      </c>
      <c r="F9837" t="s">
        <v>102</v>
      </c>
      <c r="G9837">
        <v>-175.65989999999999</v>
      </c>
      <c r="H9837">
        <v>5.4667589999999997</v>
      </c>
      <c r="I9837">
        <v>176.6909</v>
      </c>
      <c r="J9837">
        <v>-188.04220000000001</v>
      </c>
      <c r="K9837">
        <v>1.109324</v>
      </c>
      <c r="L9837">
        <v>-6.0955810000000001</v>
      </c>
      <c r="M9837">
        <v>-9.5015269999999992E-3</v>
      </c>
      <c r="N9837">
        <v>0</v>
      </c>
      <c r="O9837">
        <v>0.9999344</v>
      </c>
      <c r="P9837">
        <v>3.0940680000000002E-2</v>
      </c>
      <c r="Q9837">
        <v>2.8517709999999999E-3</v>
      </c>
      <c r="R9837">
        <v>0.99951710000000005</v>
      </c>
      <c r="S9837">
        <v>0.2025604</v>
      </c>
      <c r="T9837">
        <v>7.1296570000000004E-2</v>
      </c>
      <c r="U9837">
        <v>2.9947810000000001</v>
      </c>
      <c r="V9837">
        <v>4.0436060000000003E-2</v>
      </c>
      <c r="W9837">
        <v>9.2446119999999993E-3</v>
      </c>
      <c r="X9837">
        <v>0.99913940000000001</v>
      </c>
      <c r="Y9837">
        <v>7.6941620000000002E-2</v>
      </c>
      <c r="Z9837">
        <v>2.3736210000000001E-2</v>
      </c>
      <c r="AA9837">
        <v>0.996753</v>
      </c>
      <c r="AB9837">
        <v>25</v>
      </c>
      <c r="AC9837">
        <v>12.382300000000001</v>
      </c>
      <c r="AD9837">
        <v>4.3574349999999997</v>
      </c>
      <c r="AE9837">
        <v>182.78648100000001</v>
      </c>
      <c r="AF9837">
        <v>14.1105449312586</v>
      </c>
      <c r="AG9837">
        <v>4.3574349999999997</v>
      </c>
      <c r="AH9837">
        <v>182.557303964341</v>
      </c>
      <c r="AI9837">
        <v>88.636739280074394</v>
      </c>
      <c r="AJ9837">
        <v>85.580180199824397</v>
      </c>
      <c r="AK9837">
        <v>183.15366212217799</v>
      </c>
      <c r="AL9837">
        <v>89.470315225025104</v>
      </c>
      <c r="AM9837">
        <v>87.682453598397601</v>
      </c>
      <c r="AN9837">
        <v>1.0000000392158499</v>
      </c>
    </row>
    <row r="9838" spans="1:40" x14ac:dyDescent="0.25">
      <c r="A9838" t="str">
        <f>"20190312154145050"</f>
        <v>20190312154145050</v>
      </c>
      <c r="B9838" t="str">
        <f>"1552376505045412"</f>
        <v>1552376505045412</v>
      </c>
      <c r="C9838" t="s">
        <v>40</v>
      </c>
      <c r="D9838">
        <v>4.3749690000000001</v>
      </c>
      <c r="E9838">
        <v>0.51127630000000002</v>
      </c>
      <c r="F9838" t="s">
        <v>57</v>
      </c>
      <c r="G9838">
        <v>-169.1438</v>
      </c>
      <c r="H9838">
        <v>7.4938690000000001</v>
      </c>
      <c r="I9838">
        <v>289.29430000000002</v>
      </c>
      <c r="J9838">
        <v>-188.0446</v>
      </c>
      <c r="K9838">
        <v>1.109335</v>
      </c>
      <c r="L9838">
        <v>-5.8506769999999904</v>
      </c>
      <c r="M9838">
        <v>-9.5355720000000008E-3</v>
      </c>
      <c r="N9838">
        <v>0</v>
      </c>
      <c r="O9838">
        <v>0.99993359999999998</v>
      </c>
      <c r="P9838">
        <v>2.9244969999999999E-2</v>
      </c>
      <c r="Q9838">
        <v>3.705219E-3</v>
      </c>
      <c r="R9838">
        <v>0.99956540000000005</v>
      </c>
      <c r="S9838">
        <v>0.1916351</v>
      </c>
      <c r="T9838">
        <v>6.4741729999999997E-2</v>
      </c>
      <c r="U9838">
        <v>2.9953310000000002</v>
      </c>
      <c r="V9838">
        <v>3.8774990000000002E-2</v>
      </c>
      <c r="W9838">
        <v>1.017583E-2</v>
      </c>
      <c r="X9838">
        <v>0.99919619999999998</v>
      </c>
      <c r="Y9838">
        <v>7.3345980000000005E-2</v>
      </c>
      <c r="Z9838">
        <v>2.1556570000000001E-2</v>
      </c>
      <c r="AA9838">
        <v>0.99707349999999995</v>
      </c>
      <c r="AB9838">
        <v>25</v>
      </c>
      <c r="AC9838">
        <v>18.9008</v>
      </c>
      <c r="AD9838">
        <v>6.3845339999999897</v>
      </c>
      <c r="AE9838">
        <v>295.14497699999998</v>
      </c>
      <c r="AF9838">
        <v>21.704260992421901</v>
      </c>
      <c r="AG9838">
        <v>6.3845339999999897</v>
      </c>
      <c r="AH9838">
        <v>294.81393309748199</v>
      </c>
      <c r="AI9838">
        <v>88.762735441871996</v>
      </c>
      <c r="AJ9838">
        <v>85.789469169378705</v>
      </c>
      <c r="AK9838">
        <v>295.68072708249201</v>
      </c>
      <c r="AL9838">
        <v>89.416957852813795</v>
      </c>
      <c r="AM9838">
        <v>87.7776846242039</v>
      </c>
      <c r="AN9838">
        <v>1.00000004673006</v>
      </c>
    </row>
    <row r="9839" spans="1:40" x14ac:dyDescent="0.25">
      <c r="A9839" t="str">
        <f>"20190312154145071"</f>
        <v>20190312154145071</v>
      </c>
      <c r="B9839" t="str">
        <f>"1552376505065908"</f>
        <v>1552376505065908</v>
      </c>
      <c r="C9839" t="s">
        <v>40</v>
      </c>
      <c r="D9839">
        <v>4.3368250000000002</v>
      </c>
      <c r="E9839">
        <v>0.51097000000000004</v>
      </c>
      <c r="F9839" t="s">
        <v>53</v>
      </c>
      <c r="G9839">
        <v>-168.90770000000001</v>
      </c>
      <c r="H9839">
        <v>7.623278</v>
      </c>
      <c r="I9839">
        <v>313.58659999999998</v>
      </c>
      <c r="J9839">
        <v>-188.04689999999999</v>
      </c>
      <c r="K9839">
        <v>1.1093580000000001</v>
      </c>
      <c r="L9839">
        <v>-5.6090999999999998</v>
      </c>
      <c r="M9839">
        <v>-9.5642969999999994E-3</v>
      </c>
      <c r="N9839">
        <v>0</v>
      </c>
      <c r="O9839">
        <v>0.9999325</v>
      </c>
      <c r="P9839">
        <v>2.8072409999999999E-2</v>
      </c>
      <c r="Q9839">
        <v>5.1620260000000001E-3</v>
      </c>
      <c r="R9839">
        <v>0.99959249999999999</v>
      </c>
      <c r="S9839">
        <v>0.17947389999999999</v>
      </c>
      <c r="T9839">
        <v>6.109059E-2</v>
      </c>
      <c r="U9839">
        <v>2.995819</v>
      </c>
      <c r="V9839">
        <v>3.7631600000000001E-2</v>
      </c>
      <c r="W9839">
        <v>1.174978E-2</v>
      </c>
      <c r="X9839">
        <v>0.99922259999999996</v>
      </c>
      <c r="Y9839">
        <v>6.933317E-2</v>
      </c>
      <c r="Z9839">
        <v>2.0343549999999998E-2</v>
      </c>
      <c r="AA9839">
        <v>0.99738610000000005</v>
      </c>
      <c r="AB9839">
        <v>25</v>
      </c>
      <c r="AC9839">
        <v>19.139199999999899</v>
      </c>
      <c r="AD9839">
        <v>6.5139199999999997</v>
      </c>
      <c r="AE9839">
        <v>319.19569999999999</v>
      </c>
      <c r="AF9839">
        <v>22.182068666715701</v>
      </c>
      <c r="AG9839">
        <v>6.5139199999999997</v>
      </c>
      <c r="AH9839">
        <v>318.86572438954101</v>
      </c>
      <c r="AI9839">
        <v>88.832521792264401</v>
      </c>
      <c r="AJ9839">
        <v>86.020598729838596</v>
      </c>
      <c r="AK9839">
        <v>319.70271427463399</v>
      </c>
      <c r="AL9839">
        <v>89.326771704166404</v>
      </c>
      <c r="AM9839">
        <v>87.843209965725706</v>
      </c>
      <c r="AN9839">
        <v>0.99999999949968399</v>
      </c>
    </row>
    <row r="9840" spans="1:40" x14ac:dyDescent="0.25">
      <c r="A9840" t="str">
        <f>"20190312154145095"</f>
        <v>20190312154145095</v>
      </c>
      <c r="B9840" t="str">
        <f>"1552376505086404"</f>
        <v>1552376505086404</v>
      </c>
      <c r="C9840" t="s">
        <v>40</v>
      </c>
      <c r="D9840">
        <v>4.340452</v>
      </c>
      <c r="E9840">
        <v>0.5108625</v>
      </c>
      <c r="F9840" t="s">
        <v>53</v>
      </c>
      <c r="G9840">
        <v>-169.56799999999899</v>
      </c>
      <c r="H9840">
        <v>7.8003809999999998</v>
      </c>
      <c r="I9840">
        <v>313.58659999999998</v>
      </c>
      <c r="J9840">
        <v>-188.04949999999999</v>
      </c>
      <c r="K9840">
        <v>1.109383</v>
      </c>
      <c r="L9840">
        <v>-5.3472289999999996</v>
      </c>
      <c r="M9840">
        <v>-9.5861230000000002E-3</v>
      </c>
      <c r="N9840">
        <v>0</v>
      </c>
      <c r="O9840">
        <v>0.99993120000000002</v>
      </c>
      <c r="P9840">
        <v>2.6746610000000001E-2</v>
      </c>
      <c r="Q9840">
        <v>6.2206630000000004E-3</v>
      </c>
      <c r="R9840">
        <v>0.99962289999999998</v>
      </c>
      <c r="S9840">
        <v>0.17344670000000001</v>
      </c>
      <c r="T9840">
        <v>6.2803269999999994E-2</v>
      </c>
      <c r="U9840">
        <v>2.9960330000000002</v>
      </c>
      <c r="V9840">
        <v>3.6328149999999997E-2</v>
      </c>
      <c r="W9840">
        <v>1.2970860000000001E-2</v>
      </c>
      <c r="X9840">
        <v>0.99925569999999997</v>
      </c>
      <c r="Y9840">
        <v>6.7350370000000007E-2</v>
      </c>
      <c r="Z9840">
        <v>2.0914800000000001E-2</v>
      </c>
      <c r="AA9840">
        <v>0.99751009999999996</v>
      </c>
      <c r="AB9840">
        <v>25</v>
      </c>
      <c r="AC9840">
        <v>18.4815</v>
      </c>
      <c r="AD9840">
        <v>6.6909979999999996</v>
      </c>
      <c r="AE9840">
        <v>318.933829</v>
      </c>
      <c r="AF9840">
        <v>21.528615882158601</v>
      </c>
      <c r="AG9840">
        <v>6.6909979999999996</v>
      </c>
      <c r="AH9840">
        <v>318.60224699991801</v>
      </c>
      <c r="AI9840">
        <v>88.799638886101604</v>
      </c>
      <c r="AJ9840">
        <v>86.134281576500697</v>
      </c>
      <c r="AK9840">
        <v>319.39887687566198</v>
      </c>
      <c r="AL9840">
        <v>89.256803599336294</v>
      </c>
      <c r="AM9840">
        <v>87.917916924720899</v>
      </c>
      <c r="AN9840">
        <v>0.999999965837025</v>
      </c>
    </row>
    <row r="9841" spans="1:40" x14ac:dyDescent="0.25">
      <c r="A9841" t="str">
        <f>"20190312154145119"</f>
        <v>20190312154145119</v>
      </c>
      <c r="B9841" t="str">
        <f>"1552376505105926"</f>
        <v>1552376505105926</v>
      </c>
      <c r="C9841" t="s">
        <v>40</v>
      </c>
      <c r="D9841">
        <v>4.358638</v>
      </c>
      <c r="E9841">
        <v>0.51077470000000003</v>
      </c>
      <c r="F9841" t="s">
        <v>53</v>
      </c>
      <c r="G9841">
        <v>-168.96639999999999</v>
      </c>
      <c r="H9841">
        <v>8.3773800000000005</v>
      </c>
      <c r="I9841">
        <v>333.94639999999998</v>
      </c>
      <c r="J9841">
        <v>-188.05199999999999</v>
      </c>
      <c r="K9841">
        <v>1.109405</v>
      </c>
      <c r="L9841">
        <v>-5.0845640000000003</v>
      </c>
      <c r="M9841">
        <v>-9.5974230000000008E-3</v>
      </c>
      <c r="N9841">
        <v>0</v>
      </c>
      <c r="O9841">
        <v>0.99992990000000004</v>
      </c>
      <c r="P9841">
        <v>2.6385889999999999E-2</v>
      </c>
      <c r="Q9841">
        <v>6.2875190000000001E-3</v>
      </c>
      <c r="R9841">
        <v>0.99963210000000002</v>
      </c>
      <c r="S9841">
        <v>0.1685181</v>
      </c>
      <c r="T9841">
        <v>6.4181920000000003E-2</v>
      </c>
      <c r="U9841">
        <v>2.996216</v>
      </c>
      <c r="V9841">
        <v>3.5978959999999997E-2</v>
      </c>
      <c r="W9841">
        <v>1.321927E-2</v>
      </c>
      <c r="X9841">
        <v>0.99926510000000002</v>
      </c>
      <c r="Y9841">
        <v>6.5722000000000003E-2</v>
      </c>
      <c r="Z9841">
        <v>2.1374569999999999E-2</v>
      </c>
      <c r="AA9841">
        <v>0.99760899999999997</v>
      </c>
      <c r="AB9841">
        <v>25</v>
      </c>
      <c r="AC9841">
        <v>19.085599999999999</v>
      </c>
      <c r="AD9841">
        <v>7.2679749999999999</v>
      </c>
      <c r="AE9841">
        <v>339.03096399999998</v>
      </c>
      <c r="AF9841">
        <v>22.328393789223</v>
      </c>
      <c r="AG9841">
        <v>7.2679749999999999</v>
      </c>
      <c r="AH9841">
        <v>338.677018914737</v>
      </c>
      <c r="AI9841">
        <v>88.773289256476801</v>
      </c>
      <c r="AJ9841">
        <v>86.228046388495002</v>
      </c>
      <c r="AK9841">
        <v>339.49006431820698</v>
      </c>
      <c r="AL9841">
        <v>89.242569550048898</v>
      </c>
      <c r="AM9841">
        <v>87.937932146178795</v>
      </c>
      <c r="AN9841">
        <v>0.99999998737001194</v>
      </c>
    </row>
    <row r="9842" spans="1:40" x14ac:dyDescent="0.25">
      <c r="A9842" t="str">
        <f>"20190312154145140"</f>
        <v>20190312154145140</v>
      </c>
      <c r="B9842" t="str">
        <f>"1552376505125446"</f>
        <v>1552376505125446</v>
      </c>
      <c r="C9842" t="s">
        <v>40</v>
      </c>
      <c r="D9842">
        <v>4.3945559999999997</v>
      </c>
      <c r="E9842">
        <v>0.51075079999999995</v>
      </c>
      <c r="F9842" t="s">
        <v>53</v>
      </c>
      <c r="G9842">
        <v>-168.83850000000001</v>
      </c>
      <c r="H9842">
        <v>8.3778419999999993</v>
      </c>
      <c r="I9842">
        <v>339.94389999999999</v>
      </c>
      <c r="J9842">
        <v>-188.05430000000001</v>
      </c>
      <c r="K9842">
        <v>1.1094250000000001</v>
      </c>
      <c r="L9842">
        <v>-4.8476559999999997</v>
      </c>
      <c r="M9842">
        <v>-9.6012809999999997E-3</v>
      </c>
      <c r="N9842">
        <v>0</v>
      </c>
      <c r="O9842">
        <v>0.9999287</v>
      </c>
      <c r="P9842">
        <v>2.5413129999999999E-2</v>
      </c>
      <c r="Q9842">
        <v>6.2651769999999898E-3</v>
      </c>
      <c r="R9842">
        <v>0.99965740000000003</v>
      </c>
      <c r="S9842">
        <v>0.1668549</v>
      </c>
      <c r="T9842">
        <v>6.3120839999999998E-2</v>
      </c>
      <c r="U9842">
        <v>2.9963069999999998</v>
      </c>
      <c r="V9842">
        <v>3.501042E-2</v>
      </c>
      <c r="W9842">
        <v>1.336184E-2</v>
      </c>
      <c r="X9842">
        <v>0.99929760000000001</v>
      </c>
      <c r="Y9842">
        <v>6.5172499999999994E-2</v>
      </c>
      <c r="Z9842">
        <v>2.1021419999999999E-2</v>
      </c>
      <c r="AA9842">
        <v>0.9976526</v>
      </c>
      <c r="AB9842">
        <v>25</v>
      </c>
      <c r="AC9842">
        <v>19.215800000000002</v>
      </c>
      <c r="AD9842">
        <v>7.2684169999999897</v>
      </c>
      <c r="AE9842">
        <v>344.79155600000001</v>
      </c>
      <c r="AF9842">
        <v>22.515463578683299</v>
      </c>
      <c r="AG9842">
        <v>7.2684169999999897</v>
      </c>
      <c r="AH9842">
        <v>344.43856979008302</v>
      </c>
      <c r="AI9842">
        <v>88.793685333033807</v>
      </c>
      <c r="AJ9842">
        <v>86.259976740643097</v>
      </c>
      <c r="AK9842">
        <v>345.25020542338098</v>
      </c>
      <c r="AL9842">
        <v>89.234400164092705</v>
      </c>
      <c r="AM9842">
        <v>87.9934614347289</v>
      </c>
      <c r="AN9842">
        <v>0.99999998082125996</v>
      </c>
    </row>
    <row r="9843" spans="1:40" x14ac:dyDescent="0.25">
      <c r="A9843" t="str">
        <f>"20190312154145161"</f>
        <v>20190312154145161</v>
      </c>
      <c r="B9843" t="str">
        <f>"1552376505155701"</f>
        <v>1552376505155701</v>
      </c>
      <c r="C9843" t="s">
        <v>40</v>
      </c>
      <c r="D9843">
        <v>4.4648779999999997</v>
      </c>
      <c r="E9843">
        <v>0.51060309999999998</v>
      </c>
      <c r="F9843" t="s">
        <v>47</v>
      </c>
      <c r="G9843">
        <v>-168.52510000000001</v>
      </c>
      <c r="H9843">
        <v>8.4840450000000001</v>
      </c>
      <c r="I9843">
        <v>352.77179999999998</v>
      </c>
      <c r="J9843">
        <v>-188.05670000000001</v>
      </c>
      <c r="K9843">
        <v>1.1094409999999999</v>
      </c>
      <c r="L9843">
        <v>-4.5994570000000001</v>
      </c>
      <c r="M9843">
        <v>-9.6014859999999994E-3</v>
      </c>
      <c r="N9843">
        <v>0</v>
      </c>
      <c r="O9843">
        <v>0.99992749999999997</v>
      </c>
      <c r="P9843">
        <v>2.536484E-2</v>
      </c>
      <c r="Q9843">
        <v>5.9052380000000002E-3</v>
      </c>
      <c r="R9843">
        <v>0.99966080000000002</v>
      </c>
      <c r="S9843">
        <v>0.16363529999999901</v>
      </c>
      <c r="T9843">
        <v>6.1792609999999998E-2</v>
      </c>
      <c r="U9843">
        <v>2.9964900000000001</v>
      </c>
      <c r="V9843">
        <v>3.4962409999999999E-2</v>
      </c>
      <c r="W9843">
        <v>1.317017E-2</v>
      </c>
      <c r="X9843">
        <v>0.99930189999999997</v>
      </c>
      <c r="Y9843">
        <v>6.4101119999999998E-2</v>
      </c>
      <c r="Z9843">
        <v>2.057933E-2</v>
      </c>
      <c r="AA9843">
        <v>0.99773120000000004</v>
      </c>
      <c r="AB9843">
        <v>25</v>
      </c>
      <c r="AC9843">
        <v>19.531600000000001</v>
      </c>
      <c r="AD9843">
        <v>7.3746039999999997</v>
      </c>
      <c r="AE9843">
        <v>357.37125700000001</v>
      </c>
      <c r="AF9843">
        <v>22.9523406275231</v>
      </c>
      <c r="AG9843">
        <v>7.3746039999999997</v>
      </c>
      <c r="AH9843">
        <v>357.01566975407201</v>
      </c>
      <c r="AI9843">
        <v>88.8190897088882</v>
      </c>
      <c r="AJ9843">
        <v>86.321548185812404</v>
      </c>
      <c r="AK9843">
        <v>357.82870647055</v>
      </c>
      <c r="AL9843">
        <v>89.245383069135301</v>
      </c>
      <c r="AM9843">
        <v>87.996219383833505</v>
      </c>
      <c r="AN9843">
        <v>1.0000000554172199</v>
      </c>
    </row>
    <row r="9844" spans="1:40" x14ac:dyDescent="0.25">
      <c r="A9844" t="str">
        <f>"20190312154145184"</f>
        <v>20190312154145184</v>
      </c>
      <c r="B9844" t="str">
        <f>"1552376505176197"</f>
        <v>1552376505176197</v>
      </c>
      <c r="C9844" t="s">
        <v>40</v>
      </c>
      <c r="D9844">
        <v>4.433567</v>
      </c>
      <c r="E9844">
        <v>0.51042379999999998</v>
      </c>
      <c r="F9844" t="s">
        <v>53</v>
      </c>
      <c r="G9844">
        <v>-169.6942</v>
      </c>
      <c r="H9844">
        <v>7.6398999999999999</v>
      </c>
      <c r="I9844">
        <v>334.57130000000001</v>
      </c>
      <c r="J9844">
        <v>-188.0591</v>
      </c>
      <c r="K9844">
        <v>1.109445</v>
      </c>
      <c r="L9844">
        <v>-4.3454899999999999</v>
      </c>
      <c r="M9844">
        <v>-9.6001590000000005E-3</v>
      </c>
      <c r="N9844">
        <v>0</v>
      </c>
      <c r="O9844">
        <v>0.99992619999999999</v>
      </c>
      <c r="P9844">
        <v>2.5503680000000001E-2</v>
      </c>
      <c r="Q9844">
        <v>5.7773659999999999E-3</v>
      </c>
      <c r="R9844">
        <v>0.99965800000000005</v>
      </c>
      <c r="S9844">
        <v>0.1622314</v>
      </c>
      <c r="T9844">
        <v>5.7696219999999999E-2</v>
      </c>
      <c r="U9844">
        <v>2.9965519999999999</v>
      </c>
      <c r="V9844">
        <v>3.5099930000000001E-2</v>
      </c>
      <c r="W9844">
        <v>1.321164E-2</v>
      </c>
      <c r="X9844">
        <v>0.99929650000000003</v>
      </c>
      <c r="Y9844">
        <v>6.3634140000000006E-2</v>
      </c>
      <c r="Z9844">
        <v>1.9215739999999999E-2</v>
      </c>
      <c r="AA9844">
        <v>0.99778829999999996</v>
      </c>
      <c r="AB9844">
        <v>25</v>
      </c>
      <c r="AC9844">
        <v>18.364899999999999</v>
      </c>
      <c r="AD9844">
        <v>6.5304549999999999</v>
      </c>
      <c r="AE9844">
        <v>338.91678999999999</v>
      </c>
      <c r="AF9844">
        <v>21.609799122552101</v>
      </c>
      <c r="AG9844">
        <v>6.5304549999999999</v>
      </c>
      <c r="AH9844">
        <v>338.59951318927602</v>
      </c>
      <c r="AI9844">
        <v>88.897335358119307</v>
      </c>
      <c r="AJ9844">
        <v>86.348271976231601</v>
      </c>
      <c r="AK9844">
        <v>339.35123484767098</v>
      </c>
      <c r="AL9844">
        <v>89.2430067825468</v>
      </c>
      <c r="AM9844">
        <v>87.988333379944294</v>
      </c>
      <c r="AN9844">
        <v>1.0000000237148701</v>
      </c>
    </row>
    <row r="9845" spans="1:40" x14ac:dyDescent="0.25">
      <c r="A9845" t="str">
        <f>"20190312154145207"</f>
        <v>20190312154145207</v>
      </c>
      <c r="B9845" t="str">
        <f>"1552376505195717"</f>
        <v>1552376505195717</v>
      </c>
      <c r="C9845" t="s">
        <v>40</v>
      </c>
      <c r="D9845">
        <v>4.4287359999999998</v>
      </c>
      <c r="E9845">
        <v>0.51024809999999998</v>
      </c>
      <c r="F9845" t="s">
        <v>53</v>
      </c>
      <c r="G9845">
        <v>-169.69409999999999</v>
      </c>
      <c r="H9845">
        <v>7.3271039999999896</v>
      </c>
      <c r="I9845">
        <v>337.67750000000001</v>
      </c>
      <c r="J9845">
        <v>-188.0616</v>
      </c>
      <c r="K9845">
        <v>1.1094550000000001</v>
      </c>
      <c r="L9845">
        <v>-4.0890810000000002</v>
      </c>
      <c r="M9845">
        <v>-9.5988740000000003E-3</v>
      </c>
      <c r="N9845">
        <v>0</v>
      </c>
      <c r="O9845">
        <v>0.99992499999999995</v>
      </c>
      <c r="P9845">
        <v>2.5766790000000001E-2</v>
      </c>
      <c r="Q9845">
        <v>5.6602459999999999E-3</v>
      </c>
      <c r="R9845">
        <v>0.99965199999999999</v>
      </c>
      <c r="S9845">
        <v>0.16090389999999999</v>
      </c>
      <c r="T9845">
        <v>5.4475669999999997E-2</v>
      </c>
      <c r="U9845">
        <v>2.996613</v>
      </c>
      <c r="V9845">
        <v>3.5361770000000001E-2</v>
      </c>
      <c r="W9845">
        <v>1.3266480000000001E-2</v>
      </c>
      <c r="X9845">
        <v>0.99928649999999997</v>
      </c>
      <c r="Y9845">
        <v>6.3192079999999998E-2</v>
      </c>
      <c r="Z9845">
        <v>1.8143599999999999E-2</v>
      </c>
      <c r="AA9845">
        <v>0.99783650000000002</v>
      </c>
      <c r="AB9845">
        <v>25</v>
      </c>
      <c r="AC9845">
        <v>18.3675</v>
      </c>
      <c r="AD9845">
        <v>6.2176489999999998</v>
      </c>
      <c r="AE9845">
        <v>341.76658099999997</v>
      </c>
      <c r="AF9845">
        <v>21.640181309543699</v>
      </c>
      <c r="AG9845">
        <v>6.2176489999999998</v>
      </c>
      <c r="AH9845">
        <v>341.46183306115199</v>
      </c>
      <c r="AI9845">
        <v>88.958909551415999</v>
      </c>
      <c r="AJ9845">
        <v>86.373723333560093</v>
      </c>
      <c r="AK9845">
        <v>342.20336065514999</v>
      </c>
      <c r="AL9845">
        <v>89.239864374716603</v>
      </c>
      <c r="AM9845">
        <v>87.973318864658097</v>
      </c>
      <c r="AN9845">
        <v>0.99999998167568604</v>
      </c>
    </row>
    <row r="9846" spans="1:40" x14ac:dyDescent="0.25">
      <c r="A9846" t="str">
        <f>"20190312154145227"</f>
        <v>20190312154145227</v>
      </c>
      <c r="B9846" t="str">
        <f>"1552376505216217"</f>
        <v>1552376505216217</v>
      </c>
      <c r="C9846" t="s">
        <v>40</v>
      </c>
      <c r="D9846">
        <v>4.7858099999999997</v>
      </c>
      <c r="E9846">
        <v>0.51015509999999997</v>
      </c>
      <c r="F9846" t="s">
        <v>53</v>
      </c>
      <c r="G9846">
        <v>-169.69399999999999</v>
      </c>
      <c r="H9846">
        <v>7.0477309999999997</v>
      </c>
      <c r="I9846">
        <v>339.54599999999999</v>
      </c>
      <c r="J9846">
        <v>-188.06389999999999</v>
      </c>
      <c r="K9846">
        <v>1.1094679999999999</v>
      </c>
      <c r="L9846">
        <v>-3.8513790000000001</v>
      </c>
      <c r="M9846">
        <v>-9.5980419999999993E-3</v>
      </c>
      <c r="N9846">
        <v>0</v>
      </c>
      <c r="O9846">
        <v>0.99992380000000003</v>
      </c>
      <c r="P9846">
        <v>2.641201E-2</v>
      </c>
      <c r="Q9846">
        <v>5.1501999999999997E-3</v>
      </c>
      <c r="R9846">
        <v>0.99963789999999997</v>
      </c>
      <c r="S9846">
        <v>0.16017149999999999</v>
      </c>
      <c r="T9846">
        <v>5.1783799999999998E-2</v>
      </c>
      <c r="U9846">
        <v>2.996613</v>
      </c>
      <c r="V9846">
        <v>3.600602E-2</v>
      </c>
      <c r="W9846">
        <v>1.291317E-2</v>
      </c>
      <c r="X9846">
        <v>0.99926809999999999</v>
      </c>
      <c r="Y9846">
        <v>6.2948909999999997E-2</v>
      </c>
      <c r="Z9846">
        <v>1.7247559999999999E-2</v>
      </c>
      <c r="AA9846">
        <v>0.99786770000000002</v>
      </c>
      <c r="AB9846">
        <v>25</v>
      </c>
      <c r="AC9846">
        <v>18.369899999999902</v>
      </c>
      <c r="AD9846">
        <v>5.9382629999999903</v>
      </c>
      <c r="AE9846">
        <v>343.397379</v>
      </c>
      <c r="AF9846">
        <v>21.6586373345623</v>
      </c>
      <c r="AG9846">
        <v>5.9382629999999903</v>
      </c>
      <c r="AH9846">
        <v>343.10293230452402</v>
      </c>
      <c r="AI9846">
        <v>89.010420108720496</v>
      </c>
      <c r="AJ9846">
        <v>86.387952460243298</v>
      </c>
      <c r="AK9846">
        <v>343.837144146193</v>
      </c>
      <c r="AL9846">
        <v>89.260109265177306</v>
      </c>
      <c r="AM9846">
        <v>87.936388782508601</v>
      </c>
      <c r="AN9846">
        <v>0.999999959556648</v>
      </c>
    </row>
    <row r="9847" spans="1:40" x14ac:dyDescent="0.25">
      <c r="A9847" t="str">
        <f>"20190312154145243"</f>
        <v>20190312154145243</v>
      </c>
      <c r="B9847" t="str">
        <f>"1552376505235733"</f>
        <v>1552376505235733</v>
      </c>
      <c r="C9847" t="s">
        <v>40</v>
      </c>
      <c r="D9847">
        <v>4.3969839999999998</v>
      </c>
      <c r="E9847">
        <v>0.51010909999999998</v>
      </c>
      <c r="F9847" t="s">
        <v>47</v>
      </c>
      <c r="G9847">
        <v>-168.8621</v>
      </c>
      <c r="H9847">
        <v>6.9471720000000001</v>
      </c>
      <c r="I9847">
        <v>352.77179999999998</v>
      </c>
      <c r="J9847">
        <v>-188.06559999999999</v>
      </c>
      <c r="K9847">
        <v>1.109475</v>
      </c>
      <c r="L9847">
        <v>-3.6745299999999999</v>
      </c>
      <c r="M9847">
        <v>-9.5976519999999999E-3</v>
      </c>
      <c r="N9847">
        <v>0</v>
      </c>
      <c r="O9847">
        <v>0.99992289999999995</v>
      </c>
      <c r="P9847">
        <v>2.6640609999999999E-2</v>
      </c>
      <c r="Q9847">
        <v>4.7000890000000002E-3</v>
      </c>
      <c r="R9847">
        <v>0.99963400000000002</v>
      </c>
      <c r="S9847">
        <v>0.1613464</v>
      </c>
      <c r="T9847">
        <v>4.9052949999999998E-2</v>
      </c>
      <c r="U9847">
        <v>2.9965820000000001</v>
      </c>
      <c r="V9847">
        <v>3.6234200000000001E-2</v>
      </c>
      <c r="W9847">
        <v>1.2575599999999999E-2</v>
      </c>
      <c r="X9847">
        <v>0.99926420000000005</v>
      </c>
      <c r="Y9847">
        <v>6.3340019999999997E-2</v>
      </c>
      <c r="Z9847">
        <v>1.633805E-2</v>
      </c>
      <c r="AA9847">
        <v>0.99785829999999998</v>
      </c>
      <c r="AB9847">
        <v>25</v>
      </c>
      <c r="AC9847">
        <v>19.203499999999899</v>
      </c>
      <c r="AD9847">
        <v>5.8376970000000004</v>
      </c>
      <c r="AE9847">
        <v>356.44632999999999</v>
      </c>
      <c r="AF9847">
        <v>22.617720466422401</v>
      </c>
      <c r="AG9847">
        <v>5.8376970000000004</v>
      </c>
      <c r="AH9847">
        <v>356.15034637634</v>
      </c>
      <c r="AI9847">
        <v>89.062830644975904</v>
      </c>
      <c r="AJ9847">
        <v>86.3662481046739</v>
      </c>
      <c r="AK9847">
        <v>356.91554912800802</v>
      </c>
      <c r="AL9847">
        <v>89.279452203952999</v>
      </c>
      <c r="AM9847">
        <v>87.923314430030899</v>
      </c>
      <c r="AN9847">
        <v>1.00000000218332</v>
      </c>
    </row>
    <row r="9848" spans="1:40" x14ac:dyDescent="0.25">
      <c r="A9848" t="str">
        <f>"20190312154145262"</f>
        <v>20190312154145262</v>
      </c>
      <c r="B9848" t="str">
        <f>"1552376505256228"</f>
        <v>1552376505256228</v>
      </c>
      <c r="C9848" t="s">
        <v>40</v>
      </c>
      <c r="D9848">
        <v>4.3826890000000001</v>
      </c>
      <c r="E9848">
        <v>0.51004529999999904</v>
      </c>
      <c r="F9848" t="s">
        <v>47</v>
      </c>
      <c r="G9848">
        <v>-168.8425</v>
      </c>
      <c r="H9848">
        <v>6.7742659999999999</v>
      </c>
      <c r="I9848">
        <v>352.77179999999998</v>
      </c>
      <c r="J9848">
        <v>-188.0676</v>
      </c>
      <c r="K9848">
        <v>1.10948</v>
      </c>
      <c r="L9848">
        <v>-3.4695429999999998</v>
      </c>
      <c r="M9848">
        <v>-9.5973829999999993E-3</v>
      </c>
      <c r="N9848">
        <v>0</v>
      </c>
      <c r="O9848">
        <v>0.99992190000000003</v>
      </c>
      <c r="P9848">
        <v>2.676425E-2</v>
      </c>
      <c r="Q9848">
        <v>4.3998609999999997E-3</v>
      </c>
      <c r="R9848">
        <v>0.99963210000000002</v>
      </c>
      <c r="S9848">
        <v>0.16160579999999999</v>
      </c>
      <c r="T9848">
        <v>4.762363E-2</v>
      </c>
      <c r="U9848">
        <v>2.9965820000000001</v>
      </c>
      <c r="V9848">
        <v>3.6357590000000002E-2</v>
      </c>
      <c r="W9848">
        <v>1.2399179999999999E-2</v>
      </c>
      <c r="X9848">
        <v>0.99926190000000004</v>
      </c>
      <c r="Y9848">
        <v>6.3426300000000005E-2</v>
      </c>
      <c r="Z9848">
        <v>1.5862029999999999E-2</v>
      </c>
      <c r="AA9848">
        <v>0.99786039999999998</v>
      </c>
      <c r="AB9848">
        <v>25</v>
      </c>
      <c r="AC9848">
        <v>19.225100000000001</v>
      </c>
      <c r="AD9848">
        <v>5.6647860000000003</v>
      </c>
      <c r="AE9848">
        <v>356.24134299999997</v>
      </c>
      <c r="AF9848">
        <v>22.637601180738201</v>
      </c>
      <c r="AG9848">
        <v>5.6647860000000003</v>
      </c>
      <c r="AH9848">
        <v>355.950674403238</v>
      </c>
      <c r="AI9848">
        <v>89.090079826911605</v>
      </c>
      <c r="AJ9848">
        <v>86.361027973573002</v>
      </c>
      <c r="AK9848">
        <v>356.714778773972</v>
      </c>
      <c r="AL9848">
        <v>89.289561097377899</v>
      </c>
      <c r="AM9848">
        <v>87.916244028022206</v>
      </c>
      <c r="AN9848">
        <v>0.99999997940344498</v>
      </c>
    </row>
    <row r="9849" spans="1:40" x14ac:dyDescent="0.25">
      <c r="A9849" t="str">
        <f>"20190312154145286"</f>
        <v>20190312154145286</v>
      </c>
      <c r="B9849" t="str">
        <f>"1552376505275749"</f>
        <v>1552376505275749</v>
      </c>
      <c r="C9849" t="s">
        <v>40</v>
      </c>
      <c r="D9849">
        <v>4.2969949999999999</v>
      </c>
      <c r="E9849">
        <v>0.51000990000000002</v>
      </c>
      <c r="F9849" t="s">
        <v>47</v>
      </c>
      <c r="G9849">
        <v>-168.8501</v>
      </c>
      <c r="H9849">
        <v>6.7197259999999996</v>
      </c>
      <c r="I9849">
        <v>352.77179999999998</v>
      </c>
      <c r="J9849">
        <v>-188.0702</v>
      </c>
      <c r="K9849">
        <v>1.1094889999999999</v>
      </c>
      <c r="L9849">
        <v>-3.195465</v>
      </c>
      <c r="M9849">
        <v>-9.5971709999999998E-3</v>
      </c>
      <c r="N9849">
        <v>0</v>
      </c>
      <c r="O9849">
        <v>0.9999207</v>
      </c>
      <c r="P9849">
        <v>2.6336700000000001E-2</v>
      </c>
      <c r="Q9849">
        <v>4.0415809999999998E-3</v>
      </c>
      <c r="R9849">
        <v>0.99964489999999995</v>
      </c>
      <c r="S9849">
        <v>0.16165160000000001</v>
      </c>
      <c r="T9849">
        <v>4.719222E-2</v>
      </c>
      <c r="U9849">
        <v>2.9965820000000001</v>
      </c>
      <c r="V9849">
        <v>3.5930009999999998E-2</v>
      </c>
      <c r="W9849">
        <v>1.219225E-2</v>
      </c>
      <c r="X9849">
        <v>0.9992799</v>
      </c>
      <c r="Y9849">
        <v>6.3441429999999993E-2</v>
      </c>
      <c r="Z9849">
        <v>1.5718360000000001E-2</v>
      </c>
      <c r="AA9849">
        <v>0.99786180000000002</v>
      </c>
      <c r="AB9849">
        <v>25</v>
      </c>
      <c r="AC9849">
        <v>19.220099999999999</v>
      </c>
      <c r="AD9849">
        <v>5.6102369999999997</v>
      </c>
      <c r="AE9849">
        <v>355.967265</v>
      </c>
      <c r="AF9849">
        <v>22.6300022374054</v>
      </c>
      <c r="AG9849">
        <v>5.6102369999999997</v>
      </c>
      <c r="AH9849">
        <v>355.67831372536801</v>
      </c>
      <c r="AI9849">
        <v>89.098152054680995</v>
      </c>
      <c r="AJ9849">
        <v>86.359468094090204</v>
      </c>
      <c r="AK9849">
        <v>356.44165667747399</v>
      </c>
      <c r="AL9849">
        <v>89.301418201365095</v>
      </c>
      <c r="AM9849">
        <v>87.940765681126194</v>
      </c>
      <c r="AN9849">
        <v>0.99999996756133502</v>
      </c>
    </row>
    <row r="9850" spans="1:40" x14ac:dyDescent="0.25">
      <c r="A9850" t="str">
        <f>"20190312154145307"</f>
        <v>20190312154145307</v>
      </c>
      <c r="B9850" t="str">
        <f>"1552376505296244"</f>
        <v>1552376505296244</v>
      </c>
      <c r="C9850" t="s">
        <v>40</v>
      </c>
      <c r="D9850">
        <v>4.278772</v>
      </c>
      <c r="E9850">
        <v>0.51004709999999998</v>
      </c>
      <c r="F9850" t="s">
        <v>47</v>
      </c>
      <c r="G9850">
        <v>-169.0112</v>
      </c>
      <c r="H9850">
        <v>6.5807099999999998</v>
      </c>
      <c r="I9850">
        <v>353.69009999999997</v>
      </c>
      <c r="J9850">
        <v>-188.07259999999999</v>
      </c>
      <c r="K9850">
        <v>1.1094999999999999</v>
      </c>
      <c r="L9850">
        <v>-2.946625</v>
      </c>
      <c r="M9850">
        <v>-9.5970450000000002E-3</v>
      </c>
      <c r="N9850">
        <v>0</v>
      </c>
      <c r="O9850">
        <v>0.99991969999999997</v>
      </c>
      <c r="P9850">
        <v>2.6091059999999999E-2</v>
      </c>
      <c r="Q9850">
        <v>4.6018860000000003E-3</v>
      </c>
      <c r="R9850">
        <v>0.99964900000000001</v>
      </c>
      <c r="S9850">
        <v>0.16003419999999999</v>
      </c>
      <c r="T9850">
        <v>4.594111E-2</v>
      </c>
      <c r="U9850">
        <v>2.9966740000000001</v>
      </c>
      <c r="V9850">
        <v>3.5684340000000002E-2</v>
      </c>
      <c r="W9850">
        <v>1.2876459999999999E-2</v>
      </c>
      <c r="X9850">
        <v>0.99928019999999995</v>
      </c>
      <c r="Y9850">
        <v>6.2902970000000002E-2</v>
      </c>
      <c r="Z9850">
        <v>1.5301769999999999E-2</v>
      </c>
      <c r="AA9850">
        <v>0.99790230000000002</v>
      </c>
      <c r="AB9850">
        <v>25</v>
      </c>
      <c r="AC9850">
        <v>19.0613999999999</v>
      </c>
      <c r="AD9850">
        <v>5.4712100000000001</v>
      </c>
      <c r="AE9850">
        <v>356.63672500000001</v>
      </c>
      <c r="AF9850">
        <v>22.478022886110999</v>
      </c>
      <c r="AG9850">
        <v>5.4712100000000001</v>
      </c>
      <c r="AH9850">
        <v>356.35373137700202</v>
      </c>
      <c r="AI9850">
        <v>89.122133560830207</v>
      </c>
      <c r="AJ9850">
        <v>86.390687968393394</v>
      </c>
      <c r="AK9850">
        <v>357.10387496923801</v>
      </c>
      <c r="AL9850">
        <v>89.262212832534203</v>
      </c>
      <c r="AM9850">
        <v>87.954834228745696</v>
      </c>
      <c r="AN9850">
        <v>1.0000000467276999</v>
      </c>
    </row>
    <row r="9851" spans="1:40" x14ac:dyDescent="0.25">
      <c r="A9851" t="str">
        <f>"20190312154145329"</f>
        <v>20190312154145329</v>
      </c>
      <c r="B9851" t="str">
        <f>"1552376505325527"</f>
        <v>1552376505325527</v>
      </c>
      <c r="C9851" t="s">
        <v>40</v>
      </c>
      <c r="D9851">
        <v>4.2542410000000004</v>
      </c>
      <c r="E9851">
        <v>0.51012270000000004</v>
      </c>
      <c r="F9851" t="s">
        <v>47</v>
      </c>
      <c r="G9851">
        <v>-169.1429</v>
      </c>
      <c r="H9851">
        <v>6.7684649999999902</v>
      </c>
      <c r="I9851">
        <v>352.77179999999998</v>
      </c>
      <c r="J9851">
        <v>-188.07499999999999</v>
      </c>
      <c r="K9851">
        <v>1.1095120000000001</v>
      </c>
      <c r="L9851">
        <v>-2.7013850000000001</v>
      </c>
      <c r="M9851">
        <v>-9.5970020000000003E-3</v>
      </c>
      <c r="N9851">
        <v>0</v>
      </c>
      <c r="O9851">
        <v>0.99991870000000005</v>
      </c>
      <c r="P9851">
        <v>2.6232140000000001E-2</v>
      </c>
      <c r="Q9851">
        <v>5.2047700000000001E-3</v>
      </c>
      <c r="R9851">
        <v>0.99964229999999998</v>
      </c>
      <c r="S9851">
        <v>0.15946959999999999</v>
      </c>
      <c r="T9851">
        <v>4.7673460000000001E-2</v>
      </c>
      <c r="U9851">
        <v>2.9966740000000001</v>
      </c>
      <c r="V9851">
        <v>3.5825330000000002E-2</v>
      </c>
      <c r="W9851">
        <v>1.359117E-2</v>
      </c>
      <c r="X9851">
        <v>0.99926570000000003</v>
      </c>
      <c r="Y9851">
        <v>6.2714989999999998E-2</v>
      </c>
      <c r="Z9851">
        <v>1.5878799999999998E-2</v>
      </c>
      <c r="AA9851">
        <v>0.99790509999999999</v>
      </c>
      <c r="AB9851">
        <v>25</v>
      </c>
      <c r="AC9851">
        <v>18.932099999999899</v>
      </c>
      <c r="AD9851">
        <v>5.6589529999999897</v>
      </c>
      <c r="AE9851">
        <v>355.473185</v>
      </c>
      <c r="AF9851">
        <v>22.3371802791759</v>
      </c>
      <c r="AG9851">
        <v>5.6589529999999897</v>
      </c>
      <c r="AH9851">
        <v>355.18535557344501</v>
      </c>
      <c r="AI9851">
        <v>89.089017685511394</v>
      </c>
      <c r="AJ9851">
        <v>86.401476325526303</v>
      </c>
      <c r="AK9851">
        <v>355.93203028909198</v>
      </c>
      <c r="AL9851">
        <v>89.221259388428905</v>
      </c>
      <c r="AM9851">
        <v>87.946730845880495</v>
      </c>
      <c r="AN9851">
        <v>1.0000000566840299</v>
      </c>
    </row>
    <row r="9852" spans="1:40" x14ac:dyDescent="0.25">
      <c r="A9852" t="str">
        <f>"20190312154145350"</f>
        <v>20190312154145350</v>
      </c>
      <c r="B9852" t="str">
        <f>"1552376505346021"</f>
        <v>1552376505346021</v>
      </c>
      <c r="C9852" t="s">
        <v>40</v>
      </c>
      <c r="D9852">
        <v>4.1794560000000001</v>
      </c>
      <c r="E9852">
        <v>0.51021859999999997</v>
      </c>
      <c r="F9852" t="s">
        <v>53</v>
      </c>
      <c r="G9852">
        <v>-169.59569999999999</v>
      </c>
      <c r="H9852">
        <v>6.955578</v>
      </c>
      <c r="I9852">
        <v>342.33319999999998</v>
      </c>
      <c r="J9852">
        <v>-188.07730000000001</v>
      </c>
      <c r="K9852">
        <v>1.1095219999999999</v>
      </c>
      <c r="L9852">
        <v>-2.4573670000000001</v>
      </c>
      <c r="M9852">
        <v>-9.597062E-3</v>
      </c>
      <c r="N9852">
        <v>0</v>
      </c>
      <c r="O9852">
        <v>0.99991790000000003</v>
      </c>
      <c r="P9852">
        <v>2.592299E-2</v>
      </c>
      <c r="Q9852">
        <v>5.5113269999999999E-3</v>
      </c>
      <c r="R9852">
        <v>0.99964869999999995</v>
      </c>
      <c r="S9852">
        <v>0.16049189999999999</v>
      </c>
      <c r="T9852">
        <v>5.0772909999999997E-2</v>
      </c>
      <c r="U9852">
        <v>2.996613</v>
      </c>
      <c r="V9852">
        <v>3.5516350000000002E-2</v>
      </c>
      <c r="W9852">
        <v>1.400217E-2</v>
      </c>
      <c r="X9852">
        <v>0.99927100000000002</v>
      </c>
      <c r="Y9852">
        <v>6.3054700000000005E-2</v>
      </c>
      <c r="Z9852">
        <v>1.691086E-2</v>
      </c>
      <c r="AA9852">
        <v>0.99786680000000005</v>
      </c>
      <c r="AB9852">
        <v>25</v>
      </c>
      <c r="AC9852">
        <v>18.4816</v>
      </c>
      <c r="AD9852">
        <v>5.8460559999999999</v>
      </c>
      <c r="AE9852">
        <v>344.79056699999899</v>
      </c>
      <c r="AF9852">
        <v>21.783600018132599</v>
      </c>
      <c r="AG9852">
        <v>5.8460559999999999</v>
      </c>
      <c r="AH9852">
        <v>344.498557383606</v>
      </c>
      <c r="AI9852">
        <v>89.029735432339805</v>
      </c>
      <c r="AJ9852">
        <v>86.3818459492214</v>
      </c>
      <c r="AK9852">
        <v>345.23608971237502</v>
      </c>
      <c r="AL9852">
        <v>89.197708538538905</v>
      </c>
      <c r="AM9852">
        <v>87.964435345345606</v>
      </c>
      <c r="AN9852">
        <v>1.00000000166151</v>
      </c>
    </row>
    <row r="9853" spans="1:40" x14ac:dyDescent="0.25">
      <c r="A9853" t="str">
        <f>"20190312154145374"</f>
        <v>20190312154145374</v>
      </c>
      <c r="B9853" t="str">
        <f>"1552376505365541"</f>
        <v>1552376505365541</v>
      </c>
      <c r="C9853" t="s">
        <v>40</v>
      </c>
      <c r="D9853">
        <v>4.1519440000000003</v>
      </c>
      <c r="E9853">
        <v>0.51031819999999894</v>
      </c>
      <c r="F9853" t="s">
        <v>53</v>
      </c>
      <c r="G9853">
        <v>-169.69409999999999</v>
      </c>
      <c r="H9853">
        <v>7.1537379999999997</v>
      </c>
      <c r="I9853">
        <v>341.0772</v>
      </c>
      <c r="J9853">
        <v>-188.07990000000001</v>
      </c>
      <c r="K9853">
        <v>1.1095200000000001</v>
      </c>
      <c r="L9853">
        <v>-2.1878660000000001</v>
      </c>
      <c r="M9853">
        <v>-9.5972539999999995E-3</v>
      </c>
      <c r="N9853">
        <v>0</v>
      </c>
      <c r="O9853">
        <v>0.9999169</v>
      </c>
      <c r="P9853">
        <v>2.642738E-2</v>
      </c>
      <c r="Q9853">
        <v>5.9015469999999896E-3</v>
      </c>
      <c r="R9853">
        <v>0.99963329999999995</v>
      </c>
      <c r="S9853">
        <v>0.16035460000000001</v>
      </c>
      <c r="T9853">
        <v>5.272305E-2</v>
      </c>
      <c r="U9853">
        <v>2.996613</v>
      </c>
      <c r="V9853">
        <v>3.6020789999999997E-2</v>
      </c>
      <c r="W9853">
        <v>1.450137E-2</v>
      </c>
      <c r="X9853">
        <v>0.99924579999999996</v>
      </c>
      <c r="Y9853">
        <v>6.3008700000000001E-2</v>
      </c>
      <c r="Z9853">
        <v>1.7560240000000001E-2</v>
      </c>
      <c r="AA9853">
        <v>0.99785849999999998</v>
      </c>
      <c r="AB9853">
        <v>26</v>
      </c>
      <c r="AC9853">
        <v>18.3858</v>
      </c>
      <c r="AD9853">
        <v>6.0442179999999999</v>
      </c>
      <c r="AE9853">
        <v>343.26506599999999</v>
      </c>
      <c r="AF9853">
        <v>21.672776996603499</v>
      </c>
      <c r="AG9853">
        <v>6.0442179999999999</v>
      </c>
      <c r="AH9853">
        <v>342.96676608847099</v>
      </c>
      <c r="AI9853">
        <v>88.992371265464797</v>
      </c>
      <c r="AJ9853">
        <v>86.384169415014</v>
      </c>
      <c r="AK9853">
        <v>343.70400706881497</v>
      </c>
      <c r="AL9853">
        <v>89.169103560270997</v>
      </c>
      <c r="AM9853">
        <v>87.935496970298104</v>
      </c>
      <c r="AN9853">
        <v>0.99999997793087003</v>
      </c>
    </row>
    <row r="9854" spans="1:40" x14ac:dyDescent="0.25">
      <c r="A9854" t="str">
        <f>"20190312154145396"</f>
        <v>20190312154145396</v>
      </c>
      <c r="B9854" t="str">
        <f>"1552376505386040"</f>
        <v>1552376505386040</v>
      </c>
      <c r="C9854" t="s">
        <v>40</v>
      </c>
      <c r="D9854">
        <v>4.0872449999999896</v>
      </c>
      <c r="E9854">
        <v>0.51045839999999998</v>
      </c>
      <c r="F9854" t="s">
        <v>53</v>
      </c>
      <c r="G9854">
        <v>-169.69409999999999</v>
      </c>
      <c r="H9854">
        <v>7.3008579999999998</v>
      </c>
      <c r="I9854">
        <v>336.32029999999997</v>
      </c>
      <c r="J9854">
        <v>-188.0823</v>
      </c>
      <c r="K9854">
        <v>1.109526</v>
      </c>
      <c r="L9854">
        <v>-1.9331970000000001</v>
      </c>
      <c r="M9854">
        <v>-9.5975309999999994E-3</v>
      </c>
      <c r="N9854">
        <v>0</v>
      </c>
      <c r="O9854">
        <v>0.99991600000000003</v>
      </c>
      <c r="P9854">
        <v>2.656186E-2</v>
      </c>
      <c r="Q9854">
        <v>6.1387289999999999E-3</v>
      </c>
      <c r="R9854">
        <v>0.99962830000000003</v>
      </c>
      <c r="S9854">
        <v>0.16275020000000001</v>
      </c>
      <c r="T9854">
        <v>5.4805520000000003E-2</v>
      </c>
      <c r="U9854">
        <v>2.9964599999999999</v>
      </c>
      <c r="V9854">
        <v>3.6155529999999998E-2</v>
      </c>
      <c r="W9854">
        <v>1.483988E-2</v>
      </c>
      <c r="X9854">
        <v>0.99923600000000001</v>
      </c>
      <c r="Y9854">
        <v>6.3806489999999993E-2</v>
      </c>
      <c r="Z9854">
        <v>1.8253689999999999E-2</v>
      </c>
      <c r="AA9854">
        <v>0.99779530000000005</v>
      </c>
      <c r="AB9854">
        <v>26</v>
      </c>
      <c r="AC9854">
        <v>18.388200000000001</v>
      </c>
      <c r="AD9854">
        <v>6.1913320000000001</v>
      </c>
      <c r="AE9854">
        <v>338.25349699999998</v>
      </c>
      <c r="AF9854">
        <v>21.626650397387301</v>
      </c>
      <c r="AG9854">
        <v>6.1913320000000001</v>
      </c>
      <c r="AH9854">
        <v>337.94853948161898</v>
      </c>
      <c r="AI9854">
        <v>88.952581311610501</v>
      </c>
      <c r="AJ9854">
        <v>86.338411598677894</v>
      </c>
      <c r="AK9854">
        <v>338.69641264280398</v>
      </c>
      <c r="AL9854">
        <v>89.149706308610405</v>
      </c>
      <c r="AM9854">
        <v>87.927760868463906</v>
      </c>
      <c r="AN9854">
        <v>1.00000001404199</v>
      </c>
    </row>
    <row r="9855" spans="1:40" x14ac:dyDescent="0.25">
      <c r="A9855" t="str">
        <f>"20190312154145419"</f>
        <v>20190312154145419</v>
      </c>
      <c r="B9855" t="str">
        <f>"1552376505405557"</f>
        <v>1552376505405557</v>
      </c>
      <c r="C9855" t="s">
        <v>40</v>
      </c>
      <c r="D9855">
        <v>4.1250939999999998</v>
      </c>
      <c r="E9855">
        <v>0.51057949999999996</v>
      </c>
      <c r="F9855" t="s">
        <v>53</v>
      </c>
      <c r="G9855">
        <v>-169.69409999999999</v>
      </c>
      <c r="H9855">
        <v>7.4024000000000001</v>
      </c>
      <c r="I9855">
        <v>333.09469999999999</v>
      </c>
      <c r="J9855">
        <v>-188.0848</v>
      </c>
      <c r="K9855">
        <v>1.1095349999999999</v>
      </c>
      <c r="L9855">
        <v>-1.678955</v>
      </c>
      <c r="M9855">
        <v>-9.597876E-3</v>
      </c>
      <c r="N9855">
        <v>0</v>
      </c>
      <c r="O9855">
        <v>0.99991509999999995</v>
      </c>
      <c r="P9855">
        <v>2.7021130000000001E-2</v>
      </c>
      <c r="Q9855">
        <v>6.1360690000000001E-3</v>
      </c>
      <c r="R9855">
        <v>0.99961599999999995</v>
      </c>
      <c r="S9855">
        <v>0.1644592</v>
      </c>
      <c r="T9855">
        <v>5.6281810000000002E-2</v>
      </c>
      <c r="U9855">
        <v>2.9963989999999998</v>
      </c>
      <c r="V9855">
        <v>3.6615010000000003E-2</v>
      </c>
      <c r="W9855">
        <v>1.493619E-2</v>
      </c>
      <c r="X9855">
        <v>0.99921780000000004</v>
      </c>
      <c r="Y9855">
        <v>6.4374840000000003E-2</v>
      </c>
      <c r="Z9855">
        <v>1.8744960000000001E-2</v>
      </c>
      <c r="AA9855">
        <v>0.99774969999999996</v>
      </c>
      <c r="AB9855">
        <v>26</v>
      </c>
      <c r="AC9855">
        <v>18.390699999999999</v>
      </c>
      <c r="AD9855">
        <v>6.2928649999999999</v>
      </c>
      <c r="AE9855">
        <v>334.77365500000002</v>
      </c>
      <c r="AF9855">
        <v>21.5954860527543</v>
      </c>
      <c r="AG9855">
        <v>6.2928649999999999</v>
      </c>
      <c r="AH9855">
        <v>334.46389108844602</v>
      </c>
      <c r="AI9855">
        <v>88.924358900504899</v>
      </c>
      <c r="AJ9855">
        <v>86.305684800609001</v>
      </c>
      <c r="AK9855">
        <v>335.21942009642999</v>
      </c>
      <c r="AL9855">
        <v>89.144187511606006</v>
      </c>
      <c r="AM9855">
        <v>87.901411172936903</v>
      </c>
      <c r="AN9855">
        <v>0.99999998028292703</v>
      </c>
    </row>
    <row r="9856" spans="1:40" x14ac:dyDescent="0.25">
      <c r="A9856" t="str">
        <f>"20190312154145440"</f>
        <v>20190312154145440</v>
      </c>
      <c r="B9856" t="str">
        <f>"1552376505435813"</f>
        <v>1552376505435813</v>
      </c>
      <c r="C9856" t="s">
        <v>40</v>
      </c>
      <c r="D9856">
        <v>4.0789910000000003</v>
      </c>
      <c r="E9856">
        <v>0.51074240000000004</v>
      </c>
      <c r="F9856" t="s">
        <v>53</v>
      </c>
      <c r="G9856">
        <v>-169.69409999999999</v>
      </c>
      <c r="H9856">
        <v>7.4744060000000001</v>
      </c>
      <c r="I9856">
        <v>328.75080000000003</v>
      </c>
      <c r="J9856">
        <v>-188.0872</v>
      </c>
      <c r="K9856">
        <v>1.1095379999999999</v>
      </c>
      <c r="L9856">
        <v>-1.427551</v>
      </c>
      <c r="M9856">
        <v>-9.598456E-3</v>
      </c>
      <c r="N9856">
        <v>0</v>
      </c>
      <c r="O9856">
        <v>0.99991430000000003</v>
      </c>
      <c r="P9856">
        <v>2.7696490000000001E-2</v>
      </c>
      <c r="Q9856">
        <v>5.8267669999999896E-3</v>
      </c>
      <c r="R9856">
        <v>0.99959940000000003</v>
      </c>
      <c r="S9856">
        <v>0.166763299999999</v>
      </c>
      <c r="T9856">
        <v>5.7715540000000003E-2</v>
      </c>
      <c r="U9856">
        <v>2.9962770000000001</v>
      </c>
      <c r="V9856">
        <v>3.7290749999999998E-2</v>
      </c>
      <c r="W9856">
        <v>1.471926E-2</v>
      </c>
      <c r="X9856">
        <v>0.99919610000000003</v>
      </c>
      <c r="Y9856">
        <v>6.514201E-2</v>
      </c>
      <c r="Z9856">
        <v>1.922219E-2</v>
      </c>
      <c r="AA9856">
        <v>0.99769090000000005</v>
      </c>
      <c r="AB9856">
        <v>26</v>
      </c>
      <c r="AC9856">
        <v>18.3931</v>
      </c>
      <c r="AD9856">
        <v>6.3648680000000004</v>
      </c>
      <c r="AE9856">
        <v>330.178350999999</v>
      </c>
      <c r="AF9856">
        <v>21.553595965591398</v>
      </c>
      <c r="AG9856">
        <v>6.3648680000000004</v>
      </c>
      <c r="AH9856">
        <v>329.86438730069801</v>
      </c>
      <c r="AI9856">
        <v>88.896943332713505</v>
      </c>
      <c r="AJ9856">
        <v>86.261563416130002</v>
      </c>
      <c r="AK9856">
        <v>330.629071699647</v>
      </c>
      <c r="AL9856">
        <v>89.156618111926406</v>
      </c>
      <c r="AM9856">
        <v>87.862670363461604</v>
      </c>
      <c r="AN9856">
        <v>1.00000005145285</v>
      </c>
    </row>
    <row r="9857" spans="1:40" x14ac:dyDescent="0.25">
      <c r="A9857" t="str">
        <f>"20190312154145462"</f>
        <v>20190312154145462</v>
      </c>
      <c r="B9857" t="str">
        <f>"1552376505456308"</f>
        <v>1552376505456308</v>
      </c>
      <c r="C9857" t="s">
        <v>40</v>
      </c>
      <c r="D9857">
        <v>4.0947969999999998</v>
      </c>
      <c r="E9857">
        <v>0.51085170000000002</v>
      </c>
      <c r="F9857" t="s">
        <v>53</v>
      </c>
      <c r="G9857">
        <v>-169.69409999999999</v>
      </c>
      <c r="H9857">
        <v>7.4290979999999998</v>
      </c>
      <c r="I9857">
        <v>322.45420000000001</v>
      </c>
      <c r="J9857">
        <v>-188.08959999999999</v>
      </c>
      <c r="K9857">
        <v>1.1095459999999999</v>
      </c>
      <c r="L9857">
        <v>-1.171753</v>
      </c>
      <c r="M9857">
        <v>-9.5988480000000001E-3</v>
      </c>
      <c r="N9857">
        <v>0</v>
      </c>
      <c r="O9857">
        <v>0.99991350000000001</v>
      </c>
      <c r="P9857">
        <v>2.823291E-2</v>
      </c>
      <c r="Q9857">
        <v>5.2880419999999997E-3</v>
      </c>
      <c r="R9857">
        <v>0.99958740000000001</v>
      </c>
      <c r="S9857">
        <v>0.17015079999999999</v>
      </c>
      <c r="T9857">
        <v>5.8460829999999998E-2</v>
      </c>
      <c r="U9857">
        <v>2.9961549999999999</v>
      </c>
      <c r="V9857">
        <v>3.782742E-2</v>
      </c>
      <c r="W9857">
        <v>1.426726E-2</v>
      </c>
      <c r="X9857">
        <v>0.99918240000000003</v>
      </c>
      <c r="Y9857">
        <v>6.6268789999999994E-2</v>
      </c>
      <c r="Z9857">
        <v>1.9469770000000001E-2</v>
      </c>
      <c r="AA9857">
        <v>0.99761180000000005</v>
      </c>
      <c r="AB9857">
        <v>26</v>
      </c>
      <c r="AC9857">
        <v>18.395499999999998</v>
      </c>
      <c r="AD9857">
        <v>6.3195519999999998</v>
      </c>
      <c r="AE9857">
        <v>323.62595299999998</v>
      </c>
      <c r="AF9857">
        <v>21.493045111393101</v>
      </c>
      <c r="AG9857">
        <v>6.3195519999999998</v>
      </c>
      <c r="AH9857">
        <v>323.311572523667</v>
      </c>
      <c r="AI9857">
        <v>88.882686377885406</v>
      </c>
      <c r="AJ9857">
        <v>86.196698142733993</v>
      </c>
      <c r="AK9857">
        <v>324.08681036624699</v>
      </c>
      <c r="AL9857">
        <v>89.182518455681702</v>
      </c>
      <c r="AM9857">
        <v>87.831910421372399</v>
      </c>
      <c r="AN9857">
        <v>0.999999968440761</v>
      </c>
    </row>
    <row r="9858" spans="1:40" x14ac:dyDescent="0.25">
      <c r="A9858" t="str">
        <f>"20190312154145486"</f>
        <v>20190312154145486</v>
      </c>
      <c r="B9858" t="str">
        <f>"1552376505475829"</f>
        <v>1552376505475829</v>
      </c>
      <c r="C9858" t="s">
        <v>40</v>
      </c>
      <c r="D9858">
        <v>4.0576439999999998</v>
      </c>
      <c r="E9858">
        <v>0.51093980000000006</v>
      </c>
      <c r="F9858" t="s">
        <v>53</v>
      </c>
      <c r="G9858">
        <v>-169.69399999999999</v>
      </c>
      <c r="H9858">
        <v>7.2547819999999996</v>
      </c>
      <c r="I9858">
        <v>317.9649</v>
      </c>
      <c r="J9858">
        <v>-188.09229999999999</v>
      </c>
      <c r="K9858">
        <v>1.1095549999999901</v>
      </c>
      <c r="L9858">
        <v>-0.89349369999999995</v>
      </c>
      <c r="M9858">
        <v>-9.5992319999999992E-3</v>
      </c>
      <c r="N9858">
        <v>0</v>
      </c>
      <c r="O9858">
        <v>0.99991280000000005</v>
      </c>
      <c r="P9858">
        <v>2.9059129999999999E-2</v>
      </c>
      <c r="Q9858">
        <v>5.528491E-3</v>
      </c>
      <c r="R9858">
        <v>0.99956239999999996</v>
      </c>
      <c r="S9858">
        <v>0.17269899999999999</v>
      </c>
      <c r="T9858">
        <v>5.7691689999999997E-2</v>
      </c>
      <c r="U9858">
        <v>2.9960629999999999</v>
      </c>
      <c r="V9858">
        <v>3.8653760000000002E-2</v>
      </c>
      <c r="W9858">
        <v>1.4591949999999999E-2</v>
      </c>
      <c r="X9858">
        <v>0.99914610000000004</v>
      </c>
      <c r="Y9858">
        <v>6.7116889999999998E-2</v>
      </c>
      <c r="Z9858">
        <v>1.9213290000000001E-2</v>
      </c>
      <c r="AA9858">
        <v>0.99756009999999995</v>
      </c>
      <c r="AB9858">
        <v>26</v>
      </c>
      <c r="AC9858">
        <v>18.3982999999999</v>
      </c>
      <c r="AD9858">
        <v>6.1452269999999896</v>
      </c>
      <c r="AE9858">
        <v>318.858393699999</v>
      </c>
      <c r="AF9858">
        <v>21.4504328733317</v>
      </c>
      <c r="AG9858">
        <v>6.1452269999999896</v>
      </c>
      <c r="AH9858">
        <v>318.54915773776497</v>
      </c>
      <c r="AI9858">
        <v>88.897323617327501</v>
      </c>
      <c r="AJ9858">
        <v>86.147637935355803</v>
      </c>
      <c r="AK9858">
        <v>319.32968978905501</v>
      </c>
      <c r="AL9858">
        <v>89.163913164046207</v>
      </c>
      <c r="AM9858">
        <v>87.7845147846554</v>
      </c>
      <c r="AN9858">
        <v>0.99999998365607501</v>
      </c>
    </row>
    <row r="9859" spans="1:40" x14ac:dyDescent="0.25">
      <c r="A9859" t="str">
        <f>"20190312154145509"</f>
        <v>20190312154145509</v>
      </c>
      <c r="B9859" t="str">
        <f>"1552376505496325"</f>
        <v>1552376505496325</v>
      </c>
      <c r="C9859" t="s">
        <v>40</v>
      </c>
      <c r="D9859">
        <v>4.0541900000000002</v>
      </c>
      <c r="E9859">
        <v>0.51103469999999995</v>
      </c>
      <c r="F9859" t="s">
        <v>53</v>
      </c>
      <c r="G9859">
        <v>-169.62119999999999</v>
      </c>
      <c r="H9859">
        <v>7.3384470000000004</v>
      </c>
      <c r="I9859">
        <v>313.58659999999998</v>
      </c>
      <c r="J9859">
        <v>-188.09469999999999</v>
      </c>
      <c r="K9859">
        <v>1.1095619999999999</v>
      </c>
      <c r="L9859">
        <v>-0.63897709999999996</v>
      </c>
      <c r="M9859">
        <v>-9.599514E-3</v>
      </c>
      <c r="N9859">
        <v>0</v>
      </c>
      <c r="O9859">
        <v>0.99991209999999997</v>
      </c>
      <c r="P9859">
        <v>2.9598630000000001E-2</v>
      </c>
      <c r="Q9859">
        <v>6.2232930000000004E-3</v>
      </c>
      <c r="R9859">
        <v>0.9995425</v>
      </c>
      <c r="S9859">
        <v>0.17596439999999999</v>
      </c>
      <c r="T9859">
        <v>5.9339280000000001E-2</v>
      </c>
      <c r="U9859">
        <v>2.9958800000000001</v>
      </c>
      <c r="V9859">
        <v>3.9193369999999998E-2</v>
      </c>
      <c r="W9859">
        <v>1.535243E-2</v>
      </c>
      <c r="X9859">
        <v>0.99911369999999999</v>
      </c>
      <c r="Y9859">
        <v>6.8203639999999996E-2</v>
      </c>
      <c r="Z9859">
        <v>1.9761629999999999E-2</v>
      </c>
      <c r="AA9859">
        <v>0.99747569999999997</v>
      </c>
      <c r="AB9859">
        <v>26</v>
      </c>
      <c r="AC9859">
        <v>18.473500000000001</v>
      </c>
      <c r="AD9859">
        <v>6.228885</v>
      </c>
      <c r="AE9859">
        <v>314.22557709999899</v>
      </c>
      <c r="AF9859">
        <v>21.480775917617599</v>
      </c>
      <c r="AG9859">
        <v>6.228885</v>
      </c>
      <c r="AH9859">
        <v>313.91082700709501</v>
      </c>
      <c r="AI9859">
        <v>88.865889203391006</v>
      </c>
      <c r="AJ9859">
        <v>86.085378316745604</v>
      </c>
      <c r="AK9859">
        <v>314.70657771111797</v>
      </c>
      <c r="AL9859">
        <v>89.120335998981602</v>
      </c>
      <c r="AM9859">
        <v>87.753545104413703</v>
      </c>
      <c r="AN9859">
        <v>1.0000000014432699</v>
      </c>
    </row>
    <row r="9860" spans="1:40" x14ac:dyDescent="0.25">
      <c r="A9860" t="str">
        <f>"20190312154145529"</f>
        <v>20190312154145529</v>
      </c>
      <c r="B9860" t="str">
        <f>"1552376505515845"</f>
        <v>1552376505515845</v>
      </c>
      <c r="C9860" t="s">
        <v>40</v>
      </c>
      <c r="D9860">
        <v>4.0503339999999897</v>
      </c>
      <c r="E9860">
        <v>0.51112630000000003</v>
      </c>
      <c r="F9860" t="s">
        <v>53</v>
      </c>
      <c r="G9860">
        <v>-169.3862</v>
      </c>
      <c r="H9860">
        <v>7.626652</v>
      </c>
      <c r="I9860">
        <v>313.58659999999998</v>
      </c>
      <c r="J9860">
        <v>-188.09700000000001</v>
      </c>
      <c r="K9860">
        <v>1.109567</v>
      </c>
      <c r="L9860">
        <v>-0.3995667</v>
      </c>
      <c r="M9860">
        <v>-9.5997389999999995E-3</v>
      </c>
      <c r="N9860">
        <v>0</v>
      </c>
      <c r="O9860">
        <v>0.99991169999999996</v>
      </c>
      <c r="P9860">
        <v>3.009554E-2</v>
      </c>
      <c r="Q9860">
        <v>6.9765540000000003E-3</v>
      </c>
      <c r="R9860">
        <v>0.99952269999999999</v>
      </c>
      <c r="S9860">
        <v>0.17835999999999999</v>
      </c>
      <c r="T9860">
        <v>6.2131289999999999E-2</v>
      </c>
      <c r="U9860">
        <v>2.9956969999999998</v>
      </c>
      <c r="V9860">
        <v>3.9690330000000003E-2</v>
      </c>
      <c r="W9860">
        <v>1.615198E-2</v>
      </c>
      <c r="X9860">
        <v>0.99908149999999996</v>
      </c>
      <c r="Y9860">
        <v>6.9001199999999999E-2</v>
      </c>
      <c r="Z9860">
        <v>2.0691270000000001E-2</v>
      </c>
      <c r="AA9860">
        <v>0.99740200000000001</v>
      </c>
      <c r="AB9860">
        <v>26</v>
      </c>
      <c r="AC9860">
        <v>18.710799999999999</v>
      </c>
      <c r="AD9860">
        <v>6.5170849999999998</v>
      </c>
      <c r="AE9860">
        <v>313.98616670000001</v>
      </c>
      <c r="AF9860">
        <v>21.714928368764301</v>
      </c>
      <c r="AG9860">
        <v>6.5170849999999998</v>
      </c>
      <c r="AH9860">
        <v>313.65742247683102</v>
      </c>
      <c r="AI9860">
        <v>88.812537331672303</v>
      </c>
      <c r="AJ9860">
        <v>86.039654766642499</v>
      </c>
      <c r="AK9860">
        <v>314.47573703827601</v>
      </c>
      <c r="AL9860">
        <v>89.074519495603496</v>
      </c>
      <c r="AM9860">
        <v>87.725017237656601</v>
      </c>
      <c r="AN9860">
        <v>1.0000000261978299</v>
      </c>
    </row>
    <row r="9861" spans="1:40" x14ac:dyDescent="0.25">
      <c r="A9861" t="str">
        <f>"20190312154145552"</f>
        <v>20190312154145552</v>
      </c>
      <c r="B9861" t="str">
        <f>"1552376505546101"</f>
        <v>1552376505546101</v>
      </c>
      <c r="C9861" t="s">
        <v>40</v>
      </c>
      <c r="D9861">
        <v>4.1083319999999999</v>
      </c>
      <c r="E9861">
        <v>0.51108880000000001</v>
      </c>
      <c r="F9861" t="s">
        <v>53</v>
      </c>
      <c r="G9861">
        <v>-169.16980000000001</v>
      </c>
      <c r="H9861">
        <v>7.9026909999999999</v>
      </c>
      <c r="I9861">
        <v>313.58659999999998</v>
      </c>
      <c r="J9861">
        <v>-188.09960000000001</v>
      </c>
      <c r="K9861">
        <v>1.109572</v>
      </c>
      <c r="L9861">
        <v>-0.13208010000000001</v>
      </c>
      <c r="M9861">
        <v>-9.5999929999999994E-3</v>
      </c>
      <c r="N9861">
        <v>0</v>
      </c>
      <c r="O9861">
        <v>0.99991149999999995</v>
      </c>
      <c r="P9861">
        <v>3.0370080000000001E-2</v>
      </c>
      <c r="Q9861">
        <v>7.3295690000000002E-3</v>
      </c>
      <c r="R9861">
        <v>0.99951179999999995</v>
      </c>
      <c r="S9861">
        <v>0.1805725</v>
      </c>
      <c r="T9861">
        <v>6.4808959999999999E-2</v>
      </c>
      <c r="U9861">
        <v>2.9955440000000002</v>
      </c>
      <c r="V9861">
        <v>3.9965010000000002E-2</v>
      </c>
      <c r="W9861">
        <v>1.6533880000000001E-2</v>
      </c>
      <c r="X9861">
        <v>0.99906430000000002</v>
      </c>
      <c r="Y9861">
        <v>6.9737359999999998E-2</v>
      </c>
      <c r="Z9861">
        <v>2.158266E-2</v>
      </c>
      <c r="AA9861">
        <v>0.99733190000000005</v>
      </c>
      <c r="AB9861">
        <v>26</v>
      </c>
      <c r="AC9861">
        <v>18.9298</v>
      </c>
      <c r="AD9861">
        <v>6.7931189999999999</v>
      </c>
      <c r="AE9861">
        <v>313.71868009999997</v>
      </c>
      <c r="AF9861">
        <v>21.930507129293801</v>
      </c>
      <c r="AG9861">
        <v>6.7931189999999999</v>
      </c>
      <c r="AH9861">
        <v>313.37608736533201</v>
      </c>
      <c r="AI9861">
        <v>88.761210659719694</v>
      </c>
      <c r="AJ9861">
        <v>85.996885781021007</v>
      </c>
      <c r="AK9861">
        <v>314.21595398881402</v>
      </c>
      <c r="AL9861">
        <v>89.052635312438696</v>
      </c>
      <c r="AM9861">
        <v>87.709250362788296</v>
      </c>
      <c r="AN9861">
        <v>1.0000000233733199</v>
      </c>
    </row>
    <row r="9862" spans="1:40" x14ac:dyDescent="0.25">
      <c r="A9862" t="str">
        <f>"20190312154145574"</f>
        <v>20190312154145574</v>
      </c>
      <c r="B9862" t="str">
        <f>"1552376505565621"</f>
        <v>1552376505565621</v>
      </c>
      <c r="C9862" t="s">
        <v>40</v>
      </c>
      <c r="D9862">
        <v>4.1380280000000003</v>
      </c>
      <c r="E9862">
        <v>0.48784749999999999</v>
      </c>
      <c r="F9862" t="s">
        <v>53</v>
      </c>
      <c r="G9862">
        <v>-168.9845</v>
      </c>
      <c r="H9862">
        <v>8.0441179999999992</v>
      </c>
      <c r="I9862">
        <v>315.81639999999999</v>
      </c>
      <c r="J9862">
        <v>-188.10210000000001</v>
      </c>
      <c r="K9862">
        <v>1.109559</v>
      </c>
      <c r="L9862">
        <v>0.12823490000000001</v>
      </c>
      <c r="M9862">
        <v>-9.6002699999999993E-3</v>
      </c>
      <c r="N9862">
        <v>0</v>
      </c>
      <c r="O9862">
        <v>0.99991149999999995</v>
      </c>
      <c r="P9862">
        <v>3.073041E-2</v>
      </c>
      <c r="Q9862">
        <v>7.3804730000000002E-3</v>
      </c>
      <c r="R9862">
        <v>0.99950050000000001</v>
      </c>
      <c r="S9862">
        <v>0.18122859999999999</v>
      </c>
      <c r="T9862">
        <v>6.5745949999999997E-2</v>
      </c>
      <c r="U9862">
        <v>2.9954830000000001</v>
      </c>
      <c r="V9862">
        <v>4.0325489999999999E-2</v>
      </c>
      <c r="W9862">
        <v>1.6583460000000001E-2</v>
      </c>
      <c r="X9862">
        <v>0.99904890000000002</v>
      </c>
      <c r="Y9862">
        <v>6.9956110000000002E-2</v>
      </c>
      <c r="Z9862">
        <v>2.1894670000000001E-2</v>
      </c>
      <c r="AA9862">
        <v>0.99730969999999997</v>
      </c>
      <c r="AB9862">
        <v>26</v>
      </c>
      <c r="AC9862">
        <v>19.117599999999999</v>
      </c>
      <c r="AD9862">
        <v>6.9345589999999904</v>
      </c>
      <c r="AE9862">
        <v>315.68816509999999</v>
      </c>
      <c r="AF9862">
        <v>22.136896480212599</v>
      </c>
      <c r="AG9862">
        <v>6.9345589999999904</v>
      </c>
      <c r="AH9862">
        <v>315.33847073216498</v>
      </c>
      <c r="AI9862">
        <v>88.743312261860794</v>
      </c>
      <c r="AJ9862">
        <v>85.984399378846504</v>
      </c>
      <c r="AK9862">
        <v>316.19057768693898</v>
      </c>
      <c r="AL9862">
        <v>89.049794109914302</v>
      </c>
      <c r="AM9862">
        <v>87.688574772347195</v>
      </c>
      <c r="AN9862">
        <v>0.99999993044025803</v>
      </c>
    </row>
    <row r="9863" spans="1:40" x14ac:dyDescent="0.25">
      <c r="A9863" t="str">
        <f>"20190312154145597"</f>
        <v>20190312154145597</v>
      </c>
      <c r="B9863" t="str">
        <f>"1552376505586121"</f>
        <v>1552376505586121</v>
      </c>
      <c r="C9863" t="s">
        <v>40</v>
      </c>
      <c r="D9863">
        <v>4.1098270000000001</v>
      </c>
      <c r="E9863">
        <v>0.48741060000000003</v>
      </c>
      <c r="F9863" t="s">
        <v>51</v>
      </c>
      <c r="G9863">
        <v>-188.7672</v>
      </c>
      <c r="H9863">
        <v>2.4683229999999998</v>
      </c>
      <c r="I9863">
        <v>391.87</v>
      </c>
      <c r="J9863">
        <v>-188.1046</v>
      </c>
      <c r="K9863">
        <v>1.1095459999999999</v>
      </c>
      <c r="L9863">
        <v>0.3922119</v>
      </c>
      <c r="M9863">
        <v>-9.6005799999999992E-3</v>
      </c>
      <c r="N9863">
        <v>0</v>
      </c>
      <c r="O9863">
        <v>0.99991180000000002</v>
      </c>
      <c r="P9863">
        <v>3.080213E-2</v>
      </c>
      <c r="Q9863">
        <v>7.6389379999999996E-3</v>
      </c>
      <c r="R9863">
        <v>0.9994963</v>
      </c>
      <c r="S9863">
        <v>-5.0964360000000002E-3</v>
      </c>
      <c r="T9863">
        <v>1.041102E-2</v>
      </c>
      <c r="U9863">
        <v>3.0015869999999998</v>
      </c>
      <c r="V9863">
        <v>4.039748E-2</v>
      </c>
      <c r="W9863">
        <v>1.6802299999999999E-2</v>
      </c>
      <c r="X9863">
        <v>0.9990424</v>
      </c>
      <c r="Y9863">
        <v>7.9031469999999993E-3</v>
      </c>
      <c r="Z9863">
        <v>3.468189E-3</v>
      </c>
      <c r="AA9863">
        <v>0.99996269999999998</v>
      </c>
      <c r="AB9863">
        <v>26</v>
      </c>
      <c r="AC9863">
        <v>-0.66259999999999697</v>
      </c>
      <c r="AD9863">
        <v>1.3587769999999999</v>
      </c>
      <c r="AE9863">
        <v>391.4777881</v>
      </c>
      <c r="AF9863">
        <v>3.0959653440286998</v>
      </c>
      <c r="AG9863">
        <v>1.3587769999999999</v>
      </c>
      <c r="AH9863">
        <v>391.46139034376102</v>
      </c>
      <c r="AI9863">
        <v>89.801131242941494</v>
      </c>
      <c r="AJ9863">
        <v>89.546872172163603</v>
      </c>
      <c r="AK9863">
        <v>391.47599084262902</v>
      </c>
      <c r="AL9863">
        <v>89.0372538157919</v>
      </c>
      <c r="AM9863">
        <v>87.684437800945204</v>
      </c>
      <c r="AN9863">
        <v>0.99999999533670003</v>
      </c>
    </row>
    <row r="9864" spans="1:40" x14ac:dyDescent="0.25">
      <c r="A9864" t="str">
        <f>"20190312154145619"</f>
        <v>20190312154145619</v>
      </c>
      <c r="B9864" t="str">
        <f>"1552376505605637"</f>
        <v>1552376505605637</v>
      </c>
      <c r="C9864" t="s">
        <v>40</v>
      </c>
      <c r="D9864">
        <v>4.1054620000000002</v>
      </c>
      <c r="E9864">
        <v>0.48671049999999899</v>
      </c>
      <c r="F9864" t="s">
        <v>51</v>
      </c>
      <c r="G9864">
        <v>-189.19720000000001</v>
      </c>
      <c r="H9864">
        <v>2.5933480000000002</v>
      </c>
      <c r="I9864">
        <v>391.87</v>
      </c>
      <c r="J9864">
        <v>-188.107</v>
      </c>
      <c r="K9864">
        <v>1.109531</v>
      </c>
      <c r="L9864">
        <v>0.64782709999999999</v>
      </c>
      <c r="M9864">
        <v>-9.6009070000000005E-3</v>
      </c>
      <c r="N9864">
        <v>0</v>
      </c>
      <c r="O9864">
        <v>0.99991269999999999</v>
      </c>
      <c r="P9864">
        <v>3.0821129999999999E-2</v>
      </c>
      <c r="Q9864">
        <v>8.6584160000000004E-3</v>
      </c>
      <c r="R9864">
        <v>0.99948740000000003</v>
      </c>
      <c r="S9864">
        <v>-8.3770749999999995E-3</v>
      </c>
      <c r="T9864">
        <v>1.1377099999999999E-2</v>
      </c>
      <c r="U9864">
        <v>3.0016780000000001</v>
      </c>
      <c r="V9864">
        <v>4.041674E-2</v>
      </c>
      <c r="W9864">
        <v>1.773247E-2</v>
      </c>
      <c r="X9864">
        <v>0.99902550000000001</v>
      </c>
      <c r="Y9864">
        <v>6.810628E-3</v>
      </c>
      <c r="Z9864">
        <v>3.7899050000000001E-3</v>
      </c>
      <c r="AA9864">
        <v>0.99996960000000001</v>
      </c>
      <c r="AB9864">
        <v>26</v>
      </c>
      <c r="AC9864">
        <v>-1.09020000000001</v>
      </c>
      <c r="AD9864">
        <v>1.4838169999999899</v>
      </c>
      <c r="AE9864">
        <v>391.22217289999998</v>
      </c>
      <c r="AF9864">
        <v>2.6660543868036499</v>
      </c>
      <c r="AG9864">
        <v>1.4838169999999899</v>
      </c>
      <c r="AH9864">
        <v>391.20897986610402</v>
      </c>
      <c r="AI9864">
        <v>89.782688858766804</v>
      </c>
      <c r="AJ9864">
        <v>89.6095404056055</v>
      </c>
      <c r="AK9864">
        <v>391.22087813249499</v>
      </c>
      <c r="AL9864">
        <v>88.983951006815204</v>
      </c>
      <c r="AM9864">
        <v>87.683295883348094</v>
      </c>
      <c r="AN9864">
        <v>0.99999995150738796</v>
      </c>
    </row>
    <row r="9865" spans="1:40" x14ac:dyDescent="0.25">
      <c r="A9865" t="str">
        <f>"20190312154145652"</f>
        <v>20190312154145652</v>
      </c>
      <c r="B9865" t="str">
        <f>"1552376505645653"</f>
        <v>1552376505645653</v>
      </c>
      <c r="C9865" t="s">
        <v>40</v>
      </c>
      <c r="D9865">
        <v>4.0939120000000004</v>
      </c>
      <c r="E9865">
        <v>0.48641139999999999</v>
      </c>
      <c r="F9865" t="s">
        <v>51</v>
      </c>
      <c r="G9865">
        <v>-189.94649999999999</v>
      </c>
      <c r="H9865">
        <v>2.8963580000000002</v>
      </c>
      <c r="I9865">
        <v>391.87</v>
      </c>
      <c r="J9865">
        <v>-188.11080000000001</v>
      </c>
      <c r="K9865">
        <v>1.1094889999999999</v>
      </c>
      <c r="L9865">
        <v>1.040314</v>
      </c>
      <c r="M9865">
        <v>-9.6014619999999998E-3</v>
      </c>
      <c r="N9865">
        <v>0</v>
      </c>
      <c r="O9865">
        <v>0.99991459999999999</v>
      </c>
      <c r="P9865">
        <v>3.065936E-2</v>
      </c>
      <c r="Q9865">
        <v>1.113828E-2</v>
      </c>
      <c r="R9865">
        <v>0.99946780000000002</v>
      </c>
      <c r="S9865">
        <v>-1.4114379999999999E-2</v>
      </c>
      <c r="T9865">
        <v>1.3710379999999999E-2</v>
      </c>
      <c r="U9865">
        <v>3.001862</v>
      </c>
      <c r="V9865">
        <v>4.025542E-2</v>
      </c>
      <c r="W9865">
        <v>1.9993230000000001E-2</v>
      </c>
      <c r="X9865">
        <v>0.99898940000000003</v>
      </c>
      <c r="Y9865">
        <v>4.9001749999999997E-3</v>
      </c>
      <c r="Z9865">
        <v>4.5668760000000001E-3</v>
      </c>
      <c r="AA9865">
        <v>0.99997760000000002</v>
      </c>
      <c r="AB9865">
        <v>26</v>
      </c>
      <c r="AC9865">
        <v>-1.8356999999999699</v>
      </c>
      <c r="AD9865">
        <v>1.786869</v>
      </c>
      <c r="AE9865">
        <v>390.82968599999998</v>
      </c>
      <c r="AF9865">
        <v>1.91702842317569</v>
      </c>
      <c r="AG9865">
        <v>1.786869</v>
      </c>
      <c r="AH9865">
        <v>390.82112616124101</v>
      </c>
      <c r="AI9865">
        <v>89.738043569257002</v>
      </c>
      <c r="AJ9865">
        <v>89.718959008083004</v>
      </c>
      <c r="AK9865">
        <v>390.82991256138399</v>
      </c>
      <c r="AL9865">
        <v>88.854395999912995</v>
      </c>
      <c r="AM9865">
        <v>87.692449503042099</v>
      </c>
      <c r="AN9865">
        <v>1.0000000246987799</v>
      </c>
    </row>
    <row r="9866" spans="1:40" x14ac:dyDescent="0.25">
      <c r="A9866" t="str">
        <f>"20190312154145675"</f>
        <v>20190312154145675</v>
      </c>
      <c r="B9866" t="str">
        <f>"1552376505666149"</f>
        <v>1552376505666149</v>
      </c>
      <c r="C9866" t="s">
        <v>40</v>
      </c>
      <c r="D9866">
        <v>4.1616679999999997</v>
      </c>
      <c r="E9866">
        <v>0.48612440000000001</v>
      </c>
      <c r="F9866" t="s">
        <v>51</v>
      </c>
      <c r="G9866">
        <v>-190.2961</v>
      </c>
      <c r="H9866">
        <v>3.7929970000000002</v>
      </c>
      <c r="I9866">
        <v>391.87</v>
      </c>
      <c r="J9866">
        <v>-188.11349999999999</v>
      </c>
      <c r="K9866">
        <v>1.109453</v>
      </c>
      <c r="L9866">
        <v>1.318085</v>
      </c>
      <c r="M9866">
        <v>-9.6018990000000005E-3</v>
      </c>
      <c r="N9866">
        <v>0</v>
      </c>
      <c r="O9866">
        <v>0.99991629999999998</v>
      </c>
      <c r="P9866">
        <v>3.0877080000000001E-2</v>
      </c>
      <c r="Q9866">
        <v>1.149268E-2</v>
      </c>
      <c r="R9866">
        <v>0.99945709999999999</v>
      </c>
      <c r="S9866">
        <v>-1.6784670000000002E-2</v>
      </c>
      <c r="T9866">
        <v>2.0611520000000001E-2</v>
      </c>
      <c r="U9866">
        <v>3.0018919999999998</v>
      </c>
      <c r="V9866">
        <v>4.0473450000000001E-2</v>
      </c>
      <c r="W9866">
        <v>2.0161040000000002E-2</v>
      </c>
      <c r="X9866">
        <v>0.99897720000000001</v>
      </c>
      <c r="Y9866">
        <v>4.0112259999999997E-3</v>
      </c>
      <c r="Z9866">
        <v>6.8654609999999998E-3</v>
      </c>
      <c r="AA9866">
        <v>0.99996839999999998</v>
      </c>
      <c r="AB9866">
        <v>26</v>
      </c>
      <c r="AC9866">
        <v>-2.1825999999999999</v>
      </c>
      <c r="AD9866">
        <v>2.6835439999999999</v>
      </c>
      <c r="AE9866">
        <v>390.55191500000001</v>
      </c>
      <c r="AF9866">
        <v>1.5676076600659901</v>
      </c>
      <c r="AG9866">
        <v>2.6835439999999999</v>
      </c>
      <c r="AH9866">
        <v>390.53642962244999</v>
      </c>
      <c r="AI9866">
        <v>89.606305391211095</v>
      </c>
      <c r="AJ9866">
        <v>89.770016793146695</v>
      </c>
      <c r="AK9866">
        <v>390.548795497345</v>
      </c>
      <c r="AL9866">
        <v>88.844779236411497</v>
      </c>
      <c r="AM9866">
        <v>87.679936746393693</v>
      </c>
      <c r="AN9866">
        <v>1.00000000690431</v>
      </c>
    </row>
    <row r="9867" spans="1:40" x14ac:dyDescent="0.25">
      <c r="A9867" t="str">
        <f>"20190312154145699"</f>
        <v>20190312154145699</v>
      </c>
      <c r="B9867" t="str">
        <f>"1552376505685668"</f>
        <v>1552376505685668</v>
      </c>
      <c r="C9867" t="s">
        <v>40</v>
      </c>
      <c r="D9867">
        <v>4.0890219999999999</v>
      </c>
      <c r="E9867">
        <v>0.4860062</v>
      </c>
      <c r="F9867" t="s">
        <v>51</v>
      </c>
      <c r="G9867">
        <v>-190.5155</v>
      </c>
      <c r="H9867">
        <v>3.731528</v>
      </c>
      <c r="I9867">
        <v>391.87</v>
      </c>
      <c r="J9867">
        <v>-188.11600000000001</v>
      </c>
      <c r="K9867">
        <v>1.1094109999999999</v>
      </c>
      <c r="L9867">
        <v>1.5846559999999901</v>
      </c>
      <c r="M9867">
        <v>-9.6023459999999995E-3</v>
      </c>
      <c r="N9867">
        <v>0</v>
      </c>
      <c r="O9867">
        <v>0.99991799999999997</v>
      </c>
      <c r="P9867">
        <v>3.0904569999999999E-2</v>
      </c>
      <c r="Q9867">
        <v>1.093533E-2</v>
      </c>
      <c r="R9867">
        <v>0.99946250000000003</v>
      </c>
      <c r="S9867">
        <v>-1.8463130000000001E-2</v>
      </c>
      <c r="T9867">
        <v>2.0154600000000002E-2</v>
      </c>
      <c r="U9867">
        <v>3.0019840000000002</v>
      </c>
      <c r="V9867">
        <v>4.05014E-2</v>
      </c>
      <c r="W9867">
        <v>1.9392059999999999E-2</v>
      </c>
      <c r="X9867">
        <v>0.99899130000000003</v>
      </c>
      <c r="Y9867">
        <v>3.4527360000000001E-3</v>
      </c>
      <c r="Z9867">
        <v>6.7130609999999898E-3</v>
      </c>
      <c r="AA9867">
        <v>0.99997150000000001</v>
      </c>
      <c r="AB9867">
        <v>26</v>
      </c>
      <c r="AC9867">
        <v>-2.39950000000001</v>
      </c>
      <c r="AD9867">
        <v>2.6221169999999998</v>
      </c>
      <c r="AE9867">
        <v>390.28534400000001</v>
      </c>
      <c r="AF9867">
        <v>1.3483392126496301</v>
      </c>
      <c r="AG9867">
        <v>2.6221169999999998</v>
      </c>
      <c r="AH9867">
        <v>390.27277545152202</v>
      </c>
      <c r="AI9867">
        <v>89.6150562123551</v>
      </c>
      <c r="AJ9867">
        <v>89.802051683520503</v>
      </c>
      <c r="AK9867">
        <v>390.283913036174</v>
      </c>
      <c r="AL9867">
        <v>88.888847174904001</v>
      </c>
      <c r="AM9867">
        <v>87.678369051251806</v>
      </c>
      <c r="AN9867">
        <v>1.0000000164343401</v>
      </c>
    </row>
    <row r="9868" spans="1:40" x14ac:dyDescent="0.25">
      <c r="A9868" t="str">
        <f>"20190312154145720"</f>
        <v>20190312154145720</v>
      </c>
      <c r="B9868" t="str">
        <f>"1552376505715925"</f>
        <v>1552376505715925</v>
      </c>
      <c r="C9868" t="s">
        <v>40</v>
      </c>
      <c r="D9868">
        <v>4.0840160000000001</v>
      </c>
      <c r="E9868">
        <v>0.48584620000000001</v>
      </c>
      <c r="F9868" t="s">
        <v>51</v>
      </c>
      <c r="G9868">
        <v>-190.62950000000001</v>
      </c>
      <c r="H9868">
        <v>3.4110109999999998</v>
      </c>
      <c r="I9868">
        <v>391.87</v>
      </c>
      <c r="J9868">
        <v>-188.11859999999999</v>
      </c>
      <c r="K9868">
        <v>1.1093599999999999</v>
      </c>
      <c r="L9868">
        <v>1.848206</v>
      </c>
      <c r="M9868">
        <v>-9.6028120000000005E-3</v>
      </c>
      <c r="N9868">
        <v>0</v>
      </c>
      <c r="O9868">
        <v>0.99992009999999998</v>
      </c>
      <c r="P9868">
        <v>3.1144270000000002E-2</v>
      </c>
      <c r="Q9868">
        <v>1.022176E-2</v>
      </c>
      <c r="R9868">
        <v>0.99946259999999998</v>
      </c>
      <c r="S9868">
        <v>-1.9332889999999998E-2</v>
      </c>
      <c r="T9868">
        <v>1.7703529999999999E-2</v>
      </c>
      <c r="U9868">
        <v>3.002014</v>
      </c>
      <c r="V9868">
        <v>4.07415E-2</v>
      </c>
      <c r="W9868">
        <v>1.843235E-2</v>
      </c>
      <c r="X9868">
        <v>0.99899970000000005</v>
      </c>
      <c r="Y9868">
        <v>3.1635080000000002E-3</v>
      </c>
      <c r="Z9868">
        <v>5.8966330000000001E-3</v>
      </c>
      <c r="AA9868">
        <v>0.99997760000000002</v>
      </c>
      <c r="AB9868">
        <v>27</v>
      </c>
      <c r="AC9868">
        <v>-2.5109000000000199</v>
      </c>
      <c r="AD9868">
        <v>2.3016509999999899</v>
      </c>
      <c r="AE9868">
        <v>390.021794</v>
      </c>
      <c r="AF9868">
        <v>1.23460530948504</v>
      </c>
      <c r="AG9868">
        <v>2.3016509999999899</v>
      </c>
      <c r="AH9868">
        <v>390.01434014955998</v>
      </c>
      <c r="AI9868">
        <v>89.661877313165107</v>
      </c>
      <c r="AJ9868">
        <v>89.818628624543607</v>
      </c>
      <c r="AK9868">
        <v>390.02308568838998</v>
      </c>
      <c r="AL9868">
        <v>88.943844339242304</v>
      </c>
      <c r="AM9868">
        <v>87.6646407905628</v>
      </c>
      <c r="AN9868">
        <v>1.00000001097443</v>
      </c>
    </row>
    <row r="9869" spans="1:40" x14ac:dyDescent="0.25">
      <c r="A9869" t="str">
        <f>"20190312154145742"</f>
        <v>20190312154145742</v>
      </c>
      <c r="B9869" t="str">
        <f>"1552376505735445"</f>
        <v>1552376505735445</v>
      </c>
      <c r="C9869" t="s">
        <v>40</v>
      </c>
      <c r="D9869">
        <v>4.0959139999999996</v>
      </c>
      <c r="E9869">
        <v>0.48577169999999997</v>
      </c>
      <c r="F9869" t="s">
        <v>51</v>
      </c>
      <c r="G9869">
        <v>-190.71350000000001</v>
      </c>
      <c r="H9869">
        <v>3.0055719999999999</v>
      </c>
      <c r="I9869">
        <v>391.87</v>
      </c>
      <c r="J9869">
        <v>-188.12100000000001</v>
      </c>
      <c r="K9869">
        <v>1.1093170000000001</v>
      </c>
      <c r="L9869">
        <v>2.100006</v>
      </c>
      <c r="M9869">
        <v>-9.6032779999999998E-3</v>
      </c>
      <c r="N9869">
        <v>0</v>
      </c>
      <c r="O9869">
        <v>0.99992219999999998</v>
      </c>
      <c r="P9869">
        <v>3.117994E-2</v>
      </c>
      <c r="Q9869">
        <v>9.8755709999999997E-3</v>
      </c>
      <c r="R9869">
        <v>0.99946500000000005</v>
      </c>
      <c r="S9869">
        <v>-1.9973749999999998E-2</v>
      </c>
      <c r="T9869">
        <v>1.4595510000000001E-2</v>
      </c>
      <c r="U9869">
        <v>3.002075</v>
      </c>
      <c r="V9869">
        <v>4.0777599999999997E-2</v>
      </c>
      <c r="W9869">
        <v>1.7832110000000002E-2</v>
      </c>
      <c r="X9869">
        <v>0.99900909999999998</v>
      </c>
      <c r="Y9869">
        <v>2.9505870000000002E-3</v>
      </c>
      <c r="Z9869">
        <v>4.8613479999999997E-3</v>
      </c>
      <c r="AA9869">
        <v>0.99998379999999998</v>
      </c>
      <c r="AB9869">
        <v>27</v>
      </c>
      <c r="AC9869">
        <v>-2.5925000000000198</v>
      </c>
      <c r="AD9869">
        <v>1.896255</v>
      </c>
      <c r="AE9869">
        <v>389.769994</v>
      </c>
      <c r="AF9869">
        <v>1.1507805330204099</v>
      </c>
      <c r="AG9869">
        <v>1.896255</v>
      </c>
      <c r="AH9869">
        <v>389.767691929987</v>
      </c>
      <c r="AI9869">
        <v>89.721254275522597</v>
      </c>
      <c r="AJ9869">
        <v>89.830835963404496</v>
      </c>
      <c r="AK9869">
        <v>389.77400343184701</v>
      </c>
      <c r="AL9869">
        <v>88.978241190903603</v>
      </c>
      <c r="AM9869">
        <v>87.662595751943698</v>
      </c>
      <c r="AN9869">
        <v>0.99999998934581003</v>
      </c>
    </row>
    <row r="9870" spans="1:40" x14ac:dyDescent="0.25">
      <c r="A9870" t="str">
        <f>"20190312154145765"</f>
        <v>20190312154145765</v>
      </c>
      <c r="B9870" t="str">
        <f>"1552376505755941"</f>
        <v>1552376505755941</v>
      </c>
      <c r="C9870" t="s">
        <v>40</v>
      </c>
      <c r="D9870">
        <v>4.1421299999999999</v>
      </c>
      <c r="E9870">
        <v>0.4855621</v>
      </c>
      <c r="F9870" t="s">
        <v>51</v>
      </c>
      <c r="G9870">
        <v>-190.8014</v>
      </c>
      <c r="H9870">
        <v>2.7446549999999998</v>
      </c>
      <c r="I9870">
        <v>391.87</v>
      </c>
      <c r="J9870">
        <v>-188.12370000000001</v>
      </c>
      <c r="K9870">
        <v>1.109273</v>
      </c>
      <c r="L9870">
        <v>2.3832089999999999</v>
      </c>
      <c r="M9870">
        <v>-9.6038259999999993E-3</v>
      </c>
      <c r="N9870">
        <v>0</v>
      </c>
      <c r="O9870">
        <v>0.99992449999999999</v>
      </c>
      <c r="P9870">
        <v>3.1619510000000003E-2</v>
      </c>
      <c r="Q9870">
        <v>9.8176879999999998E-3</v>
      </c>
      <c r="R9870">
        <v>0.9994518</v>
      </c>
      <c r="S9870">
        <v>-2.0645139999999999E-2</v>
      </c>
      <c r="T9870">
        <v>1.259589E-2</v>
      </c>
      <c r="U9870">
        <v>3.0021360000000001</v>
      </c>
      <c r="V9870">
        <v>4.1217539999999997E-2</v>
      </c>
      <c r="W9870">
        <v>1.747311E-2</v>
      </c>
      <c r="X9870">
        <v>0.99899740000000004</v>
      </c>
      <c r="Y9870">
        <v>2.7276050000000001E-3</v>
      </c>
      <c r="Z9870">
        <v>4.1952589999999998E-3</v>
      </c>
      <c r="AA9870">
        <v>0.99998750000000003</v>
      </c>
      <c r="AB9870">
        <v>27</v>
      </c>
      <c r="AC9870">
        <v>-2.6776999999999802</v>
      </c>
      <c r="AD9870">
        <v>1.6353819999999999</v>
      </c>
      <c r="AE9870">
        <v>389.48679099999998</v>
      </c>
      <c r="AF9870">
        <v>1.06307802988558</v>
      </c>
      <c r="AG9870">
        <v>1.6353819999999999</v>
      </c>
      <c r="AH9870">
        <v>389.48767823737501</v>
      </c>
      <c r="AI9870">
        <v>89.759428623618405</v>
      </c>
      <c r="AJ9870">
        <v>89.843615763592297</v>
      </c>
      <c r="AK9870">
        <v>389.49256232683598</v>
      </c>
      <c r="AL9870">
        <v>88.998813592517294</v>
      </c>
      <c r="AM9870">
        <v>87.637378828478404</v>
      </c>
      <c r="AN9870">
        <v>1.00000000019174</v>
      </c>
    </row>
    <row r="9871" spans="1:40" x14ac:dyDescent="0.25">
      <c r="A9871" t="str">
        <f>"20190312154145787"</f>
        <v>20190312154145787</v>
      </c>
      <c r="B9871" t="str">
        <f>"1552376505775465"</f>
        <v>1552376505775465</v>
      </c>
      <c r="C9871" t="s">
        <v>40</v>
      </c>
      <c r="D9871">
        <v>4.1620339999999896</v>
      </c>
      <c r="E9871">
        <v>0.48525380000000001</v>
      </c>
      <c r="F9871" t="s">
        <v>51</v>
      </c>
      <c r="G9871">
        <v>-190.84370000000001</v>
      </c>
      <c r="H9871">
        <v>2.56515</v>
      </c>
      <c r="I9871">
        <v>391.87</v>
      </c>
      <c r="J9871">
        <v>-188.12620000000001</v>
      </c>
      <c r="K9871">
        <v>1.109229</v>
      </c>
      <c r="L9871">
        <v>2.6411129999999998</v>
      </c>
      <c r="M9871">
        <v>-9.6043489999999999E-3</v>
      </c>
      <c r="N9871">
        <v>0</v>
      </c>
      <c r="O9871">
        <v>0.99992669999999995</v>
      </c>
      <c r="P9871">
        <v>3.2297029999999997E-2</v>
      </c>
      <c r="Q9871">
        <v>1.0321840000000001E-2</v>
      </c>
      <c r="R9871">
        <v>0.99942500000000001</v>
      </c>
      <c r="S9871">
        <v>-2.0965580000000001E-2</v>
      </c>
      <c r="T9871">
        <v>1.1221999999999999E-2</v>
      </c>
      <c r="U9871">
        <v>3.0021969999999998</v>
      </c>
      <c r="V9871">
        <v>4.189528E-2</v>
      </c>
      <c r="W9871">
        <v>1.769099E-2</v>
      </c>
      <c r="X9871">
        <v>0.9989654</v>
      </c>
      <c r="Y9871">
        <v>2.6215069999999999E-3</v>
      </c>
      <c r="Z9871">
        <v>3.7375939999999999E-3</v>
      </c>
      <c r="AA9871">
        <v>0.99998960000000003</v>
      </c>
      <c r="AB9871">
        <v>27</v>
      </c>
      <c r="AC9871">
        <v>-2.7174999999999998</v>
      </c>
      <c r="AD9871">
        <v>1.455921</v>
      </c>
      <c r="AE9871">
        <v>389.22888699999999</v>
      </c>
      <c r="AF9871">
        <v>1.0210027267558901</v>
      </c>
      <c r="AG9871">
        <v>1.455921</v>
      </c>
      <c r="AH9871">
        <v>389.231588533089</v>
      </c>
      <c r="AI9871">
        <v>89.785686837769703</v>
      </c>
      <c r="AJ9871">
        <v>89.849706409589601</v>
      </c>
      <c r="AK9871">
        <v>389.23565055698299</v>
      </c>
      <c r="AL9871">
        <v>88.986328086285098</v>
      </c>
      <c r="AM9871">
        <v>87.598498527203503</v>
      </c>
      <c r="AN9871">
        <v>1.0000000280053001</v>
      </c>
    </row>
    <row r="9872" spans="1:40" x14ac:dyDescent="0.25">
      <c r="A9872" t="str">
        <f>"20190312154145808"</f>
        <v>20190312154145808</v>
      </c>
      <c r="B9872" t="str">
        <f>"1552376505795960"</f>
        <v>1552376505795960</v>
      </c>
      <c r="C9872" t="s">
        <v>40</v>
      </c>
      <c r="D9872">
        <v>4.1591509999999996</v>
      </c>
      <c r="E9872">
        <v>0.48509360000000001</v>
      </c>
      <c r="F9872" t="s">
        <v>51</v>
      </c>
      <c r="G9872">
        <v>-190.91550000000001</v>
      </c>
      <c r="H9872">
        <v>2.516375</v>
      </c>
      <c r="I9872">
        <v>391.87</v>
      </c>
      <c r="J9872">
        <v>-188.12870000000001</v>
      </c>
      <c r="K9872">
        <v>1.1091930000000001</v>
      </c>
      <c r="L9872">
        <v>2.9089659999999999</v>
      </c>
      <c r="M9872">
        <v>-9.6049180000000005E-3</v>
      </c>
      <c r="N9872">
        <v>0</v>
      </c>
      <c r="O9872">
        <v>0.99992879999999995</v>
      </c>
      <c r="P9872">
        <v>3.3234720000000002E-2</v>
      </c>
      <c r="Q9872">
        <v>1.0415580000000001E-2</v>
      </c>
      <c r="R9872">
        <v>0.99939330000000004</v>
      </c>
      <c r="S9872">
        <v>-2.1514889999999998E-2</v>
      </c>
      <c r="T9872">
        <v>1.0854010000000001E-2</v>
      </c>
      <c r="U9872">
        <v>3.002319</v>
      </c>
      <c r="V9872">
        <v>4.2833160000000002E-2</v>
      </c>
      <c r="W9872">
        <v>1.7480740000000002E-2</v>
      </c>
      <c r="X9872">
        <v>0.99892930000000002</v>
      </c>
      <c r="Y9872">
        <v>2.4393819999999999E-3</v>
      </c>
      <c r="Z9872">
        <v>3.6148809999999999E-3</v>
      </c>
      <c r="AA9872">
        <v>0.9999905</v>
      </c>
      <c r="AB9872">
        <v>27</v>
      </c>
      <c r="AC9872">
        <v>-2.7867999999999902</v>
      </c>
      <c r="AD9872">
        <v>1.4071819999999999</v>
      </c>
      <c r="AE9872">
        <v>388.96103399999998</v>
      </c>
      <c r="AF9872">
        <v>0.94934863306541495</v>
      </c>
      <c r="AG9872">
        <v>1.4071819999999999</v>
      </c>
      <c r="AH9872">
        <v>388.964767963817</v>
      </c>
      <c r="AI9872">
        <v>89.792719021461394</v>
      </c>
      <c r="AJ9872">
        <v>89.860158126305905</v>
      </c>
      <c r="AK9872">
        <v>388.96847191148299</v>
      </c>
      <c r="AL9872">
        <v>88.998376359882101</v>
      </c>
      <c r="AM9872">
        <v>87.544714261715797</v>
      </c>
      <c r="AN9872">
        <v>1.0000000011325101</v>
      </c>
    </row>
    <row r="9873" spans="1:40" x14ac:dyDescent="0.25">
      <c r="A9873" t="str">
        <f>"20190312154145832"</f>
        <v>20190312154145832</v>
      </c>
      <c r="B9873" t="str">
        <f>"1552376505826214"</f>
        <v>1552376505826214</v>
      </c>
      <c r="C9873" t="s">
        <v>40</v>
      </c>
      <c r="D9873">
        <v>4.1319280000000003</v>
      </c>
      <c r="E9873">
        <v>0.48496</v>
      </c>
      <c r="F9873" t="s">
        <v>51</v>
      </c>
      <c r="G9873">
        <v>-190.71639999999999</v>
      </c>
      <c r="H9873">
        <v>2.3425579999999999</v>
      </c>
      <c r="I9873">
        <v>391.87</v>
      </c>
      <c r="J9873">
        <v>-188.13130000000001</v>
      </c>
      <c r="K9873">
        <v>1.109154</v>
      </c>
      <c r="L9873">
        <v>3.1817929999999999</v>
      </c>
      <c r="M9873">
        <v>-9.6055199999999993E-3</v>
      </c>
      <c r="N9873">
        <v>0</v>
      </c>
      <c r="O9873">
        <v>0.99993100000000001</v>
      </c>
      <c r="P9873">
        <v>3.4174940000000001E-2</v>
      </c>
      <c r="Q9873">
        <v>1.0678E-2</v>
      </c>
      <c r="R9873">
        <v>0.99935879999999999</v>
      </c>
      <c r="S9873">
        <v>-1.9973749999999998E-2</v>
      </c>
      <c r="T9873">
        <v>9.5202919999999996E-3</v>
      </c>
      <c r="U9873">
        <v>3.00238</v>
      </c>
      <c r="V9873">
        <v>4.3773600000000003E-2</v>
      </c>
      <c r="W9873">
        <v>1.7434020000000001E-2</v>
      </c>
      <c r="X9873">
        <v>0.99888929999999998</v>
      </c>
      <c r="Y9873">
        <v>2.9533760000000002E-3</v>
      </c>
      <c r="Z9873">
        <v>3.1706379999999999E-3</v>
      </c>
      <c r="AA9873">
        <v>0.99999059999999995</v>
      </c>
      <c r="AB9873">
        <v>27</v>
      </c>
      <c r="AC9873">
        <v>-2.5850999999999802</v>
      </c>
      <c r="AD9873">
        <v>1.2334039999999999</v>
      </c>
      <c r="AE9873">
        <v>388.68820699999998</v>
      </c>
      <c r="AF9873">
        <v>1.14864541612413</v>
      </c>
      <c r="AG9873">
        <v>1.2334039999999999</v>
      </c>
      <c r="AH9873">
        <v>388.69119245448701</v>
      </c>
      <c r="AI9873">
        <v>89.8181890939601</v>
      </c>
      <c r="AJ9873">
        <v>89.830682186271005</v>
      </c>
      <c r="AK9873">
        <v>388.69484658715299</v>
      </c>
      <c r="AL9873">
        <v>89.0010535789866</v>
      </c>
      <c r="AM9873">
        <v>87.490774095987504</v>
      </c>
      <c r="AN9873">
        <v>0.99999995338240399</v>
      </c>
    </row>
    <row r="9874" spans="1:40" x14ac:dyDescent="0.25">
      <c r="A9874" t="str">
        <f>"20190312154145855"</f>
        <v>20190312154145855</v>
      </c>
      <c r="B9874" t="str">
        <f>"1552376505845733"</f>
        <v>1552376505845733</v>
      </c>
      <c r="C9874" t="s">
        <v>40</v>
      </c>
      <c r="D9874">
        <v>4.1077130000000004</v>
      </c>
      <c r="E9874">
        <v>0.48498580000000002</v>
      </c>
      <c r="F9874" t="s">
        <v>51</v>
      </c>
      <c r="G9874">
        <v>-190.5018</v>
      </c>
      <c r="H9874">
        <v>2.197371</v>
      </c>
      <c r="I9874">
        <v>391.87</v>
      </c>
      <c r="J9874">
        <v>-188.13419999999999</v>
      </c>
      <c r="K9874">
        <v>1.1091200000000001</v>
      </c>
      <c r="L9874">
        <v>3.4747309999999998</v>
      </c>
      <c r="M9874">
        <v>-9.6061659999999993E-3</v>
      </c>
      <c r="N9874">
        <v>0</v>
      </c>
      <c r="O9874">
        <v>0.99993310000000002</v>
      </c>
      <c r="P9874">
        <v>3.4739699999999998E-2</v>
      </c>
      <c r="Q9874">
        <v>1.1452510000000001E-2</v>
      </c>
      <c r="R9874">
        <v>0.99933079999999996</v>
      </c>
      <c r="S9874">
        <v>-1.8310549999999998E-2</v>
      </c>
      <c r="T9874">
        <v>8.4060430000000002E-3</v>
      </c>
      <c r="U9874">
        <v>3.002472</v>
      </c>
      <c r="V9874">
        <v>4.433869E-2</v>
      </c>
      <c r="W9874">
        <v>1.7880739999999999E-2</v>
      </c>
      <c r="X9874">
        <v>0.99885650000000004</v>
      </c>
      <c r="Y9874">
        <v>3.5081140000000001E-3</v>
      </c>
      <c r="Z9874">
        <v>2.7994679999999998E-3</v>
      </c>
      <c r="AA9874">
        <v>0.99998989999999999</v>
      </c>
      <c r="AB9874">
        <v>27</v>
      </c>
      <c r="AC9874">
        <v>-2.3675999999999999</v>
      </c>
      <c r="AD9874">
        <v>1.0882510000000001</v>
      </c>
      <c r="AE9874">
        <v>388.39526899999998</v>
      </c>
      <c r="AF9874">
        <v>1.3635654216328199</v>
      </c>
      <c r="AG9874">
        <v>1.0882510000000001</v>
      </c>
      <c r="AH9874">
        <v>388.39704253263301</v>
      </c>
      <c r="AI9874">
        <v>89.839464169124597</v>
      </c>
      <c r="AJ9874">
        <v>89.7988495940576</v>
      </c>
      <c r="AK9874">
        <v>388.40096066950503</v>
      </c>
      <c r="AL9874">
        <v>88.975454437019593</v>
      </c>
      <c r="AM9874">
        <v>87.458340403599394</v>
      </c>
      <c r="AN9874">
        <v>0.99999997394305595</v>
      </c>
    </row>
    <row r="9875" spans="1:40" x14ac:dyDescent="0.25">
      <c r="A9875" t="str">
        <f>"20190312154145876"</f>
        <v>20190312154145876</v>
      </c>
      <c r="B9875" t="str">
        <f>"1552376505866229"</f>
        <v>1552376505866229</v>
      </c>
      <c r="C9875" t="s">
        <v>40</v>
      </c>
      <c r="D9875">
        <v>4.2007599999999998</v>
      </c>
      <c r="E9875">
        <v>0.48489559999999998</v>
      </c>
      <c r="F9875" t="s">
        <v>51</v>
      </c>
      <c r="G9875">
        <v>-190.27379999999999</v>
      </c>
      <c r="H9875">
        <v>2.345926</v>
      </c>
      <c r="I9875">
        <v>391.87</v>
      </c>
      <c r="J9875">
        <v>-188.13669999999999</v>
      </c>
      <c r="K9875">
        <v>1.109091</v>
      </c>
      <c r="L9875">
        <v>3.741028</v>
      </c>
      <c r="M9875">
        <v>-9.6067470000000005E-3</v>
      </c>
      <c r="N9875">
        <v>0</v>
      </c>
      <c r="O9875">
        <v>0.99993500000000002</v>
      </c>
      <c r="P9875">
        <v>3.4901990000000001E-2</v>
      </c>
      <c r="Q9875">
        <v>1.240834E-2</v>
      </c>
      <c r="R9875">
        <v>0.99931369999999997</v>
      </c>
      <c r="S9875">
        <v>-1.6540530000000001E-2</v>
      </c>
      <c r="T9875">
        <v>9.5610620000000004E-3</v>
      </c>
      <c r="U9875">
        <v>3.002472</v>
      </c>
      <c r="V9875">
        <v>4.450138E-2</v>
      </c>
      <c r="W9875">
        <v>1.8543440000000001E-2</v>
      </c>
      <c r="X9875">
        <v>0.99883719999999998</v>
      </c>
      <c r="Y9875">
        <v>4.0981799999999999E-3</v>
      </c>
      <c r="Z9875">
        <v>3.1841230000000001E-3</v>
      </c>
      <c r="AA9875">
        <v>0.9999865</v>
      </c>
      <c r="AB9875">
        <v>27</v>
      </c>
      <c r="AC9875">
        <v>-2.1371000000000002</v>
      </c>
      <c r="AD9875">
        <v>1.2368349999999999</v>
      </c>
      <c r="AE9875">
        <v>388.12897199999998</v>
      </c>
      <c r="AF9875">
        <v>1.59170959510771</v>
      </c>
      <c r="AG9875">
        <v>1.2368349999999999</v>
      </c>
      <c r="AH9875">
        <v>388.12765050652899</v>
      </c>
      <c r="AI9875">
        <v>89.817419373272799</v>
      </c>
      <c r="AJ9875">
        <v>89.765031605879997</v>
      </c>
      <c r="AK9875">
        <v>388.13288496077001</v>
      </c>
      <c r="AL9875">
        <v>88.937478242986501</v>
      </c>
      <c r="AM9875">
        <v>87.448977475319793</v>
      </c>
      <c r="AN9875">
        <v>0.99999999204638901</v>
      </c>
    </row>
    <row r="9876" spans="1:40" x14ac:dyDescent="0.25">
      <c r="A9876" t="str">
        <f>"20190312154145899"</f>
        <v>20190312154145899</v>
      </c>
      <c r="B9876" t="str">
        <f>"1552376505885749"</f>
        <v>1552376505885749</v>
      </c>
      <c r="C9876" t="s">
        <v>40</v>
      </c>
      <c r="D9876">
        <v>4.2051429999999996</v>
      </c>
      <c r="E9876">
        <v>0.48478840000000001</v>
      </c>
      <c r="F9876" t="s">
        <v>51</v>
      </c>
      <c r="G9876">
        <v>-190.29859999999999</v>
      </c>
      <c r="H9876">
        <v>2.5153180000000002</v>
      </c>
      <c r="I9876">
        <v>391.87</v>
      </c>
      <c r="J9876">
        <v>-188.13939999999999</v>
      </c>
      <c r="K9876">
        <v>1.1090549999999999</v>
      </c>
      <c r="L9876">
        <v>4.015625</v>
      </c>
      <c r="M9876">
        <v>-9.6073600000000006E-3</v>
      </c>
      <c r="N9876">
        <v>0</v>
      </c>
      <c r="O9876">
        <v>0.99993670000000001</v>
      </c>
      <c r="P9876">
        <v>3.3819549999999997E-2</v>
      </c>
      <c r="Q9876">
        <v>1.266312E-2</v>
      </c>
      <c r="R9876">
        <v>0.99934769999999995</v>
      </c>
      <c r="S9876">
        <v>-1.672363E-2</v>
      </c>
      <c r="T9876">
        <v>1.087832E-2</v>
      </c>
      <c r="U9876">
        <v>3.0025019999999998</v>
      </c>
      <c r="V9876">
        <v>4.3419920000000001E-2</v>
      </c>
      <c r="W9876">
        <v>1.8506729999999999E-2</v>
      </c>
      <c r="X9876">
        <v>0.99888549999999998</v>
      </c>
      <c r="Y9876">
        <v>4.0378580000000001E-3</v>
      </c>
      <c r="Z9876">
        <v>3.6227690000000001E-3</v>
      </c>
      <c r="AA9876">
        <v>0.99998529999999997</v>
      </c>
      <c r="AB9876">
        <v>27</v>
      </c>
      <c r="AC9876">
        <v>-2.15919999999999</v>
      </c>
      <c r="AD9876">
        <v>1.406263</v>
      </c>
      <c r="AE9876">
        <v>387.854375</v>
      </c>
      <c r="AF9876">
        <v>1.5671995575400399</v>
      </c>
      <c r="AG9876">
        <v>1.406263</v>
      </c>
      <c r="AH9876">
        <v>387.85212022569198</v>
      </c>
      <c r="AI9876">
        <v>89.792261225980894</v>
      </c>
      <c r="AJ9876">
        <v>89.768485391919995</v>
      </c>
      <c r="AK9876">
        <v>387.85783588016301</v>
      </c>
      <c r="AL9876">
        <v>88.939581956742103</v>
      </c>
      <c r="AM9876">
        <v>87.511012971796006</v>
      </c>
      <c r="AN9876">
        <v>1.0000000153091699</v>
      </c>
    </row>
    <row r="9877" spans="1:40" x14ac:dyDescent="0.25">
      <c r="A9877" t="str">
        <f>"20190312154145922"</f>
        <v>20190312154145922</v>
      </c>
      <c r="B9877" t="str">
        <f>"1552376505916005"</f>
        <v>1552376505916005</v>
      </c>
      <c r="C9877" t="s">
        <v>40</v>
      </c>
      <c r="D9877">
        <v>4.1405919999999998</v>
      </c>
      <c r="E9877">
        <v>0.48480600000000001</v>
      </c>
      <c r="F9877" t="s">
        <v>51</v>
      </c>
      <c r="G9877">
        <v>-190.83779999999999</v>
      </c>
      <c r="H9877">
        <v>2.3910200000000001</v>
      </c>
      <c r="I9877">
        <v>391.87</v>
      </c>
      <c r="J9877">
        <v>-188.14230000000001</v>
      </c>
      <c r="K9877">
        <v>1.1090199999999999</v>
      </c>
      <c r="L9877">
        <v>4.3178099999999997</v>
      </c>
      <c r="M9877">
        <v>-9.6080690000000003E-3</v>
      </c>
      <c r="N9877">
        <v>0</v>
      </c>
      <c r="O9877">
        <v>0.99993840000000001</v>
      </c>
      <c r="P9877">
        <v>3.3177020000000002E-2</v>
      </c>
      <c r="Q9877">
        <v>1.235994E-2</v>
      </c>
      <c r="R9877">
        <v>0.99937310000000001</v>
      </c>
      <c r="S9877">
        <v>-2.088928E-2</v>
      </c>
      <c r="T9877">
        <v>9.9241729999999997E-3</v>
      </c>
      <c r="U9877">
        <v>3.0025330000000001</v>
      </c>
      <c r="V9877">
        <v>4.2778339999999998E-2</v>
      </c>
      <c r="W9877">
        <v>1.7902669999999999E-2</v>
      </c>
      <c r="X9877">
        <v>0.99892420000000004</v>
      </c>
      <c r="Y9877">
        <v>2.6512929999999999E-3</v>
      </c>
      <c r="Z9877">
        <v>3.3049749999999999E-3</v>
      </c>
      <c r="AA9877">
        <v>0.99999099999999996</v>
      </c>
      <c r="AB9877">
        <v>28</v>
      </c>
      <c r="AC9877">
        <v>-2.69549999999998</v>
      </c>
      <c r="AD9877">
        <v>1.28199999999999</v>
      </c>
      <c r="AE9877">
        <v>387.55219</v>
      </c>
      <c r="AF9877">
        <v>1.0282988516839899</v>
      </c>
      <c r="AG9877">
        <v>1.28199999999999</v>
      </c>
      <c r="AH9877">
        <v>387.555958929116</v>
      </c>
      <c r="AI9877">
        <v>89.810472110720795</v>
      </c>
      <c r="AJ9877">
        <v>89.847977963788907</v>
      </c>
      <c r="AK9877">
        <v>387.55944347157202</v>
      </c>
      <c r="AL9877">
        <v>88.974197791410305</v>
      </c>
      <c r="AM9877">
        <v>87.547840315619993</v>
      </c>
      <c r="AN9877">
        <v>1.0000000246559599</v>
      </c>
    </row>
    <row r="9878" spans="1:40" x14ac:dyDescent="0.25">
      <c r="A9878" t="str">
        <f>"20190312154145943"</f>
        <v>20190312154145943</v>
      </c>
      <c r="B9878" t="str">
        <f>"1552376505935525"</f>
        <v>1552376505935525</v>
      </c>
      <c r="C9878" t="s">
        <v>40</v>
      </c>
      <c r="D9878">
        <v>4.1759589999999998</v>
      </c>
      <c r="E9878">
        <v>0.48481580000000002</v>
      </c>
      <c r="F9878" t="s">
        <v>51</v>
      </c>
      <c r="G9878">
        <v>-191.071</v>
      </c>
      <c r="H9878">
        <v>2.0108869999999999</v>
      </c>
      <c r="I9878">
        <v>391.87</v>
      </c>
      <c r="J9878">
        <v>-188.1447</v>
      </c>
      <c r="K9878">
        <v>1.108995</v>
      </c>
      <c r="L9878">
        <v>4.5670780000000004</v>
      </c>
      <c r="M9878">
        <v>-9.6086829999999998E-3</v>
      </c>
      <c r="N9878">
        <v>0</v>
      </c>
      <c r="O9878">
        <v>0.99993969999999999</v>
      </c>
      <c r="P9878">
        <v>3.2536200000000001E-2</v>
      </c>
      <c r="Q9878">
        <v>1.2396849999999999E-2</v>
      </c>
      <c r="R9878">
        <v>0.99939370000000005</v>
      </c>
      <c r="S9878">
        <v>-2.2689819999999999E-2</v>
      </c>
      <c r="T9878">
        <v>6.9872140000000003E-3</v>
      </c>
      <c r="U9878">
        <v>3.0025629999999999</v>
      </c>
      <c r="V9878">
        <v>4.2138330000000002E-2</v>
      </c>
      <c r="W9878">
        <v>1.770911E-2</v>
      </c>
      <c r="X9878">
        <v>0.99895480000000003</v>
      </c>
      <c r="Y9878">
        <v>2.052314E-3</v>
      </c>
      <c r="Z9878">
        <v>2.3268799999999999E-3</v>
      </c>
      <c r="AA9878">
        <v>0.99999519999999997</v>
      </c>
      <c r="AB9878">
        <v>28</v>
      </c>
      <c r="AC9878">
        <v>-2.9262999999999901</v>
      </c>
      <c r="AD9878">
        <v>0.90189199999999903</v>
      </c>
      <c r="AE9878">
        <v>387.30292200000002</v>
      </c>
      <c r="AF9878">
        <v>0.79535438802533098</v>
      </c>
      <c r="AG9878">
        <v>0.90189199999999903</v>
      </c>
      <c r="AH9878">
        <v>387.31106003792002</v>
      </c>
      <c r="AI9878">
        <v>89.866581649339494</v>
      </c>
      <c r="AJ9878">
        <v>89.882341636228503</v>
      </c>
      <c r="AK9878">
        <v>387.31292674719703</v>
      </c>
      <c r="AL9878">
        <v>88.9852896672231</v>
      </c>
      <c r="AM9878">
        <v>87.584557383296598</v>
      </c>
      <c r="AN9878">
        <v>0.99999997193761003</v>
      </c>
    </row>
    <row r="9879" spans="1:40" x14ac:dyDescent="0.25">
      <c r="A9879" t="str">
        <f>"20190312154145965"</f>
        <v>20190312154145965</v>
      </c>
      <c r="B9879" t="str">
        <f>"1552376505956021"</f>
        <v>1552376505956021</v>
      </c>
      <c r="C9879" t="s">
        <v>40</v>
      </c>
      <c r="D9879">
        <v>4.2082449999999998</v>
      </c>
      <c r="E9879">
        <v>0.48481839999999998</v>
      </c>
      <c r="F9879" t="s">
        <v>51</v>
      </c>
      <c r="G9879">
        <v>-191.3254</v>
      </c>
      <c r="H9879">
        <v>1.7266570000000001</v>
      </c>
      <c r="I9879">
        <v>391.87</v>
      </c>
      <c r="J9879">
        <v>-188.14750000000001</v>
      </c>
      <c r="K9879">
        <v>1.10897</v>
      </c>
      <c r="L9879">
        <v>4.8566279999999997</v>
      </c>
      <c r="M9879">
        <v>-9.6094189999999993E-3</v>
      </c>
      <c r="N9879">
        <v>0</v>
      </c>
      <c r="O9879">
        <v>0.99994090000000002</v>
      </c>
      <c r="P9879">
        <v>3.1884759999999998E-2</v>
      </c>
      <c r="Q9879">
        <v>1.3342110000000001E-2</v>
      </c>
      <c r="R9879">
        <v>0.99940249999999997</v>
      </c>
      <c r="S9879">
        <v>-2.4658200000000002E-2</v>
      </c>
      <c r="T9879">
        <v>4.7883989999999996E-3</v>
      </c>
      <c r="U9879">
        <v>3.0025629999999999</v>
      </c>
      <c r="V9879">
        <v>4.1487759999999999E-2</v>
      </c>
      <c r="W9879">
        <v>1.8408999999999998E-2</v>
      </c>
      <c r="X9879">
        <v>0.99896940000000001</v>
      </c>
      <c r="Y9879">
        <v>1.3975019999999999E-3</v>
      </c>
      <c r="Z9879">
        <v>1.5946300000000001E-3</v>
      </c>
      <c r="AA9879">
        <v>0.99999769999999999</v>
      </c>
      <c r="AB9879">
        <v>28</v>
      </c>
      <c r="AC9879">
        <v>-3.17789999999999</v>
      </c>
      <c r="AD9879">
        <v>0.61768699999999899</v>
      </c>
      <c r="AE9879">
        <v>387.013372</v>
      </c>
      <c r="AF9879">
        <v>0.54126708279720803</v>
      </c>
      <c r="AG9879">
        <v>0.61768699999999899</v>
      </c>
      <c r="AH9879">
        <v>387.02505489130903</v>
      </c>
      <c r="AI9879">
        <v>89.908556841336903</v>
      </c>
      <c r="AJ9879">
        <v>89.919870047629203</v>
      </c>
      <c r="AK9879">
        <v>387.02592629035303</v>
      </c>
      <c r="AL9879">
        <v>88.945182404625598</v>
      </c>
      <c r="AM9879">
        <v>87.621840756002698</v>
      </c>
      <c r="AN9879">
        <v>0.99999999382358795</v>
      </c>
    </row>
    <row r="9880" spans="1:40" x14ac:dyDescent="0.25">
      <c r="A9880" t="str">
        <f>"20190312154145998"</f>
        <v>20190312154145998</v>
      </c>
      <c r="B9880" t="str">
        <f>"1552376505996037"</f>
        <v>1552376505996037</v>
      </c>
      <c r="C9880" t="s">
        <v>40</v>
      </c>
      <c r="D9880">
        <v>4.2439869999999997</v>
      </c>
      <c r="E9880">
        <v>0.48564790000000002</v>
      </c>
      <c r="F9880" t="s">
        <v>51</v>
      </c>
      <c r="G9880">
        <v>-191.59719999999999</v>
      </c>
      <c r="H9880">
        <v>1.7242729999999999</v>
      </c>
      <c r="I9880">
        <v>391.87</v>
      </c>
      <c r="J9880">
        <v>-188.1515</v>
      </c>
      <c r="K9880">
        <v>1.1089439999999999</v>
      </c>
      <c r="L9880">
        <v>5.2749629999999996</v>
      </c>
      <c r="M9880">
        <v>-9.6105040000000006E-3</v>
      </c>
      <c r="N9880">
        <v>0</v>
      </c>
      <c r="O9880">
        <v>0.99994249999999996</v>
      </c>
      <c r="P9880">
        <v>3.2236180000000003E-2</v>
      </c>
      <c r="Q9880">
        <v>1.374152E-2</v>
      </c>
      <c r="R9880">
        <v>0.99938579999999999</v>
      </c>
      <c r="S9880">
        <v>-2.676392E-2</v>
      </c>
      <c r="T9880">
        <v>4.7737359999999998E-3</v>
      </c>
      <c r="U9880">
        <v>3.0025940000000002</v>
      </c>
      <c r="V9880">
        <v>4.184007E-2</v>
      </c>
      <c r="W9880">
        <v>1.84929E-2</v>
      </c>
      <c r="X9880">
        <v>0.99895319999999999</v>
      </c>
      <c r="Y9880">
        <v>6.9740979999999904E-4</v>
      </c>
      <c r="Z9880">
        <v>1.589727E-3</v>
      </c>
      <c r="AA9880">
        <v>0.99999850000000001</v>
      </c>
      <c r="AB9880">
        <v>28</v>
      </c>
      <c r="AC9880">
        <v>-3.44569999999998</v>
      </c>
      <c r="AD9880">
        <v>0.61532899999999902</v>
      </c>
      <c r="AE9880">
        <v>386.59503699999999</v>
      </c>
      <c r="AF9880">
        <v>0.26987364788493501</v>
      </c>
      <c r="AG9880">
        <v>0.61532899999999902</v>
      </c>
      <c r="AH9880">
        <v>386.60931881300502</v>
      </c>
      <c r="AI9880">
        <v>89.908807898214505</v>
      </c>
      <c r="AJ9880">
        <v>89.960004537496502</v>
      </c>
      <c r="AK9880">
        <v>386.60990268566599</v>
      </c>
      <c r="AL9880">
        <v>88.940374516296004</v>
      </c>
      <c r="AM9880">
        <v>87.601630294669206</v>
      </c>
      <c r="AN9880">
        <v>1.00000003729912</v>
      </c>
    </row>
    <row r="9881" spans="1:40" x14ac:dyDescent="0.25">
      <c r="A9881" t="str">
        <f>"20190312154146020"</f>
        <v>20190312154146020</v>
      </c>
      <c r="B9881" t="str">
        <f>"1552376506015557"</f>
        <v>1552376506015557</v>
      </c>
      <c r="C9881" t="s">
        <v>40</v>
      </c>
      <c r="D9881">
        <v>4.2149769999999904</v>
      </c>
      <c r="E9881">
        <v>0.50913779999999997</v>
      </c>
      <c r="F9881" t="s">
        <v>51</v>
      </c>
      <c r="G9881">
        <v>-190.6251</v>
      </c>
      <c r="H9881">
        <v>1.153734</v>
      </c>
      <c r="I9881">
        <v>391.87</v>
      </c>
      <c r="J9881">
        <v>-188.1541</v>
      </c>
      <c r="K9881">
        <v>1.1089169999999999</v>
      </c>
      <c r="L9881">
        <v>5.5497740000000002</v>
      </c>
      <c r="M9881">
        <v>-9.6112070000000001E-3</v>
      </c>
      <c r="N9881">
        <v>0</v>
      </c>
      <c r="O9881">
        <v>0.99994329999999998</v>
      </c>
      <c r="P9881">
        <v>3.2400999999999999E-2</v>
      </c>
      <c r="Q9881">
        <v>1.390982E-2</v>
      </c>
      <c r="R9881">
        <v>0.99937810000000005</v>
      </c>
      <c r="S9881">
        <v>-1.921082E-2</v>
      </c>
      <c r="T9881">
        <v>3.4785270000000002E-4</v>
      </c>
      <c r="U9881">
        <v>3.002472</v>
      </c>
      <c r="V9881">
        <v>4.2005500000000001E-2</v>
      </c>
      <c r="W9881">
        <v>1.8485749999999999E-2</v>
      </c>
      <c r="X9881">
        <v>0.99894640000000001</v>
      </c>
      <c r="Y9881">
        <v>3.2132039999999999E-3</v>
      </c>
      <c r="Z9881">
        <v>1.1584589999999999E-4</v>
      </c>
      <c r="AA9881">
        <v>0.99999479999999996</v>
      </c>
      <c r="AB9881">
        <v>28</v>
      </c>
      <c r="AC9881">
        <v>-2.4710000000000001</v>
      </c>
      <c r="AD9881">
        <v>4.48170000000001E-2</v>
      </c>
      <c r="AE9881">
        <v>386.32022599999999</v>
      </c>
      <c r="AF9881">
        <v>1.24215680541531</v>
      </c>
      <c r="AG9881">
        <v>4.48170000000001E-2</v>
      </c>
      <c r="AH9881">
        <v>386.32612633244798</v>
      </c>
      <c r="AI9881">
        <v>89.993353253920304</v>
      </c>
      <c r="AJ9881">
        <v>89.815777157337706</v>
      </c>
      <c r="AK9881">
        <v>386.32812588410798</v>
      </c>
      <c r="AL9881">
        <v>88.940784261981193</v>
      </c>
      <c r="AM9881">
        <v>87.592142231750401</v>
      </c>
      <c r="AN9881">
        <v>1.0000000475281301</v>
      </c>
    </row>
    <row r="9882" spans="1:40" x14ac:dyDescent="0.25">
      <c r="A9882" t="str">
        <f>"20190312154146043"</f>
        <v>20190312154146043</v>
      </c>
      <c r="B9882" t="str">
        <f>"1552376506036054"</f>
        <v>1552376506036054</v>
      </c>
      <c r="C9882" t="s">
        <v>40</v>
      </c>
      <c r="D9882">
        <v>4.2316659999999997</v>
      </c>
      <c r="E9882">
        <v>0.50948890000000002</v>
      </c>
      <c r="F9882" t="s">
        <v>42</v>
      </c>
      <c r="G9882">
        <v>-185.70249999999999</v>
      </c>
      <c r="H9882" s="1">
        <v>-1.206423E-6</v>
      </c>
      <c r="I9882">
        <v>49.83305</v>
      </c>
      <c r="J9882">
        <v>-188.15700000000001</v>
      </c>
      <c r="K9882">
        <v>1.1089020000000001</v>
      </c>
      <c r="L9882">
        <v>5.8517460000000003</v>
      </c>
      <c r="M9882">
        <v>-9.6119610000000005E-3</v>
      </c>
      <c r="N9882">
        <v>0</v>
      </c>
      <c r="O9882">
        <v>0.99994400000000006</v>
      </c>
      <c r="P9882">
        <v>3.2818489999999999E-2</v>
      </c>
      <c r="Q9882">
        <v>1.3923120000000001E-2</v>
      </c>
      <c r="R9882">
        <v>0.99936429999999998</v>
      </c>
      <c r="S9882">
        <v>0.16595460000000001</v>
      </c>
      <c r="T9882">
        <v>-7.5062509999999999E-2</v>
      </c>
      <c r="U9882">
        <v>2.997528</v>
      </c>
      <c r="V9882">
        <v>4.2423580000000002E-2</v>
      </c>
      <c r="W9882">
        <v>1.8332230000000001E-2</v>
      </c>
      <c r="X9882">
        <v>0.99893149999999997</v>
      </c>
      <c r="Y9882">
        <v>6.4856700000000003E-2</v>
      </c>
      <c r="Z9882">
        <v>-2.4986410000000001E-2</v>
      </c>
      <c r="AA9882">
        <v>0.99758170000000002</v>
      </c>
      <c r="AB9882">
        <v>29</v>
      </c>
      <c r="AC9882">
        <v>2.4545000000000199</v>
      </c>
      <c r="AD9882">
        <v>-1.108903206423</v>
      </c>
      <c r="AE9882">
        <v>43.981303999999902</v>
      </c>
      <c r="AF9882">
        <v>2.8753151750874002</v>
      </c>
      <c r="AG9882">
        <v>-1.108903206423</v>
      </c>
      <c r="AH9882">
        <v>43.927841258448602</v>
      </c>
      <c r="AI9882">
        <v>91.442966396390503</v>
      </c>
      <c r="AJ9882">
        <v>86.255023093733897</v>
      </c>
      <c r="AK9882">
        <v>44.0358074900956</v>
      </c>
      <c r="AL9882">
        <v>88.949581736091105</v>
      </c>
      <c r="AM9882">
        <v>87.568169265771701</v>
      </c>
      <c r="AN9882">
        <v>0.99999998624451902</v>
      </c>
    </row>
    <row r="9883" spans="1:40" x14ac:dyDescent="0.25">
      <c r="A9883" t="str">
        <f>"20190312154146067"</f>
        <v>20190312154146067</v>
      </c>
      <c r="B9883" t="str">
        <f>"1552376506055574"</f>
        <v>1552376506055574</v>
      </c>
      <c r="C9883" t="s">
        <v>40</v>
      </c>
      <c r="D9883">
        <v>4.2137190000000002</v>
      </c>
      <c r="E9883">
        <v>0.50938640000000002</v>
      </c>
      <c r="F9883" t="s">
        <v>42</v>
      </c>
      <c r="G9883">
        <v>-185.54329999999999</v>
      </c>
      <c r="H9883" s="1">
        <v>-1.9447300000000002E-6</v>
      </c>
      <c r="I9883">
        <v>51.878160000000001</v>
      </c>
      <c r="J9883">
        <v>-188.15989999999999</v>
      </c>
      <c r="K9883">
        <v>1.108889</v>
      </c>
      <c r="L9883">
        <v>6.1529850000000001</v>
      </c>
      <c r="M9883">
        <v>-9.61271E-3</v>
      </c>
      <c r="N9883">
        <v>0</v>
      </c>
      <c r="O9883">
        <v>0.99994459999999996</v>
      </c>
      <c r="P9883">
        <v>3.3129869999999999E-2</v>
      </c>
      <c r="Q9883">
        <v>1.3292790000000001E-2</v>
      </c>
      <c r="R9883">
        <v>0.99936259999999999</v>
      </c>
      <c r="S9883">
        <v>0.1702118</v>
      </c>
      <c r="T9883">
        <v>-7.2213650000000004E-2</v>
      </c>
      <c r="U9883">
        <v>2.9973139999999998</v>
      </c>
      <c r="V9883">
        <v>4.2735639999999998E-2</v>
      </c>
      <c r="W9883">
        <v>1.7562270000000001E-2</v>
      </c>
      <c r="X9883">
        <v>0.99893209999999999</v>
      </c>
      <c r="Y9883">
        <v>6.627508E-2</v>
      </c>
      <c r="Z9883">
        <v>-2.403829E-2</v>
      </c>
      <c r="AA9883">
        <v>0.99751179999999995</v>
      </c>
      <c r="AB9883">
        <v>29</v>
      </c>
      <c r="AC9883">
        <v>2.6166</v>
      </c>
      <c r="AD9883">
        <v>-1.1088909447299999</v>
      </c>
      <c r="AE9883">
        <v>45.725175</v>
      </c>
      <c r="AF9883">
        <v>3.0542355936580798</v>
      </c>
      <c r="AG9883">
        <v>-1.1088909447299999</v>
      </c>
      <c r="AH9883">
        <v>45.671136966197899</v>
      </c>
      <c r="AI9883">
        <v>91.387764409789099</v>
      </c>
      <c r="AJ9883">
        <v>86.174068617158298</v>
      </c>
      <c r="AK9883">
        <v>45.786578229586901</v>
      </c>
      <c r="AL9883">
        <v>88.993704371301504</v>
      </c>
      <c r="AM9883">
        <v>87.550304351143495</v>
      </c>
      <c r="AN9883">
        <v>1.0000000543320799</v>
      </c>
    </row>
    <row r="9884" spans="1:40" x14ac:dyDescent="0.25">
      <c r="A9884" t="str">
        <f>"20190312154146099"</f>
        <v>20190312154146099</v>
      </c>
      <c r="B9884" t="str">
        <f>"1552376506095671"</f>
        <v>1552376506095671</v>
      </c>
      <c r="C9884" t="s">
        <v>40</v>
      </c>
      <c r="D9884">
        <v>4.2016879999999999</v>
      </c>
      <c r="E9884">
        <v>0.50977529999999904</v>
      </c>
      <c r="F9884" t="s">
        <v>42</v>
      </c>
      <c r="G9884">
        <v>-185.6978</v>
      </c>
      <c r="H9884" s="1">
        <v>-4.9933499999999901E-6</v>
      </c>
      <c r="I9884">
        <v>49.493499999999997</v>
      </c>
      <c r="J9884">
        <v>-188.16399999999999</v>
      </c>
      <c r="K9884">
        <v>1.1088709999999999</v>
      </c>
      <c r="L9884">
        <v>6.5737920000000001</v>
      </c>
      <c r="M9884">
        <v>-9.6137649999999998E-3</v>
      </c>
      <c r="N9884">
        <v>0</v>
      </c>
      <c r="O9884">
        <v>0.99994530000000004</v>
      </c>
      <c r="P9884">
        <v>3.3881120000000001E-2</v>
      </c>
      <c r="Q9884">
        <v>1.3315459999999999E-2</v>
      </c>
      <c r="R9884">
        <v>0.99933709999999998</v>
      </c>
      <c r="S9884">
        <v>0.170272799999999</v>
      </c>
      <c r="T9884">
        <v>-7.6687340000000007E-2</v>
      </c>
      <c r="U9884">
        <v>2.9972840000000001</v>
      </c>
      <c r="V9884">
        <v>4.3487650000000003E-2</v>
      </c>
      <c r="W9884">
        <v>1.742925E-2</v>
      </c>
      <c r="X9884">
        <v>0.99890190000000001</v>
      </c>
      <c r="Y9884">
        <v>6.6294859999999997E-2</v>
      </c>
      <c r="Z9884">
        <v>-2.5526770000000001E-2</v>
      </c>
      <c r="AA9884">
        <v>0.99747350000000001</v>
      </c>
      <c r="AB9884">
        <v>29</v>
      </c>
      <c r="AC9884">
        <v>2.4662000000000099</v>
      </c>
      <c r="AD9884">
        <v>-1.1088759933500001</v>
      </c>
      <c r="AE9884">
        <v>42.919708</v>
      </c>
      <c r="AF9884">
        <v>2.87679556815608</v>
      </c>
      <c r="AG9884">
        <v>-1.1088759933500001</v>
      </c>
      <c r="AH9884">
        <v>42.865496201272698</v>
      </c>
      <c r="AI9884">
        <v>91.478514204158898</v>
      </c>
      <c r="AJ9884">
        <v>86.1605146001626</v>
      </c>
      <c r="AK9884">
        <v>42.976229747279</v>
      </c>
      <c r="AL9884">
        <v>89.001326948125694</v>
      </c>
      <c r="AM9884">
        <v>87.507176213361305</v>
      </c>
      <c r="AN9884">
        <v>0.99999998014084701</v>
      </c>
    </row>
    <row r="9885" spans="1:40" x14ac:dyDescent="0.25">
      <c r="A9885" t="str">
        <f>"20190312154146122"</f>
        <v>20190312154146122</v>
      </c>
      <c r="B9885" t="str">
        <f>"1552376506116167"</f>
        <v>1552376506116167</v>
      </c>
      <c r="C9885" t="s">
        <v>40</v>
      </c>
      <c r="D9885">
        <v>4.2115999999999998</v>
      </c>
      <c r="E9885">
        <v>0.50991209999999998</v>
      </c>
      <c r="F9885" t="s">
        <v>42</v>
      </c>
      <c r="G9885">
        <v>-185.62479999999999</v>
      </c>
      <c r="H9885" s="1">
        <v>-1.2574170000000001E-6</v>
      </c>
      <c r="I9885">
        <v>49.922229999999999</v>
      </c>
      <c r="J9885">
        <v>-188.167</v>
      </c>
      <c r="K9885">
        <v>1.1088629999999999</v>
      </c>
      <c r="L9885">
        <v>6.8848880000000001</v>
      </c>
      <c r="M9885">
        <v>-9.6145810000000005E-3</v>
      </c>
      <c r="N9885">
        <v>0</v>
      </c>
      <c r="O9885">
        <v>0.99994559999999999</v>
      </c>
      <c r="P9885">
        <v>3.4199689999999998E-2</v>
      </c>
      <c r="Q9885">
        <v>1.2733100000000001E-2</v>
      </c>
      <c r="R9885">
        <v>0.9993339</v>
      </c>
      <c r="S9885">
        <v>0.1755524</v>
      </c>
      <c r="T9885">
        <v>-7.6666360000000003E-2</v>
      </c>
      <c r="U9885">
        <v>2.9970699999999999</v>
      </c>
      <c r="V9885">
        <v>4.3806959999999999E-2</v>
      </c>
      <c r="W9885">
        <v>1.67613E-2</v>
      </c>
      <c r="X9885">
        <v>0.99889939999999999</v>
      </c>
      <c r="Y9885">
        <v>6.80508999999999E-2</v>
      </c>
      <c r="Z9885">
        <v>-2.5518800000000001E-2</v>
      </c>
      <c r="AA9885">
        <v>0.99735549999999995</v>
      </c>
      <c r="AB9885">
        <v>29</v>
      </c>
      <c r="AC9885">
        <v>2.5421999999999998</v>
      </c>
      <c r="AD9885">
        <v>-1.108864257417</v>
      </c>
      <c r="AE9885">
        <v>43.037342000000002</v>
      </c>
      <c r="AF9885">
        <v>2.9539177679540298</v>
      </c>
      <c r="AG9885">
        <v>-1.108864257417</v>
      </c>
      <c r="AH9885">
        <v>42.982475909191301</v>
      </c>
      <c r="AI9885">
        <v>91.474315935825899</v>
      </c>
      <c r="AJ9885">
        <v>86.068599555910893</v>
      </c>
      <c r="AK9885">
        <v>43.098125776017497</v>
      </c>
      <c r="AL9885">
        <v>89.0396032791799</v>
      </c>
      <c r="AM9885">
        <v>87.488889611799607</v>
      </c>
      <c r="AN9885">
        <v>1.00000000112124</v>
      </c>
    </row>
    <row r="9886" spans="1:40" x14ac:dyDescent="0.25">
      <c r="A9886" t="str">
        <f>"20190312154146145"</f>
        <v>20190312154146145</v>
      </c>
      <c r="B9886" t="str">
        <f>"1552376506135687"</f>
        <v>1552376506135687</v>
      </c>
      <c r="C9886" t="s">
        <v>40</v>
      </c>
      <c r="D9886">
        <v>4.2080710000000003</v>
      </c>
      <c r="E9886">
        <v>0.51008799999999999</v>
      </c>
      <c r="F9886" t="s">
        <v>42</v>
      </c>
      <c r="G9886">
        <v>-185.67080000000001</v>
      </c>
      <c r="H9886" s="1">
        <v>-4.769522E-6</v>
      </c>
      <c r="I9886">
        <v>48.96058</v>
      </c>
      <c r="J9886">
        <v>-188.16980000000001</v>
      </c>
      <c r="K9886">
        <v>1.1088549999999999</v>
      </c>
      <c r="L9886">
        <v>7.1759639999999996</v>
      </c>
      <c r="M9886">
        <v>-9.6153760000000001E-3</v>
      </c>
      <c r="N9886">
        <v>0</v>
      </c>
      <c r="O9886">
        <v>0.99994590000000005</v>
      </c>
      <c r="P9886">
        <v>3.4464920000000003E-2</v>
      </c>
      <c r="Q9886">
        <v>1.209067E-2</v>
      </c>
      <c r="R9886">
        <v>0.99933280000000002</v>
      </c>
      <c r="S9886">
        <v>0.17779539999999999</v>
      </c>
      <c r="T9886">
        <v>-7.8981159999999995E-2</v>
      </c>
      <c r="U9886">
        <v>2.996918</v>
      </c>
      <c r="V9886">
        <v>4.4072930000000003E-2</v>
      </c>
      <c r="W9886">
        <v>1.6056629999999999E-2</v>
      </c>
      <c r="X9886">
        <v>0.99889930000000005</v>
      </c>
      <c r="Y9886">
        <v>6.8797330000000004E-2</v>
      </c>
      <c r="Z9886">
        <v>-2.6288849999999999E-2</v>
      </c>
      <c r="AA9886">
        <v>0.99728419999999895</v>
      </c>
      <c r="AB9886">
        <v>29</v>
      </c>
      <c r="AC9886">
        <v>2.4989999999999899</v>
      </c>
      <c r="AD9886">
        <v>-1.1088597695219999</v>
      </c>
      <c r="AE9886">
        <v>41.784616</v>
      </c>
      <c r="AF9886">
        <v>2.89862837529073</v>
      </c>
      <c r="AG9886">
        <v>-1.1088597695219999</v>
      </c>
      <c r="AH9886">
        <v>41.7293725676492</v>
      </c>
      <c r="AI9886">
        <v>91.518484914386406</v>
      </c>
      <c r="AJ9886">
        <v>86.026472013295404</v>
      </c>
      <c r="AK9886">
        <v>41.844619144355697</v>
      </c>
      <c r="AL9886">
        <v>89.079983355535802</v>
      </c>
      <c r="AM9886">
        <v>87.473663072844204</v>
      </c>
      <c r="AN9886">
        <v>1.00000002503311</v>
      </c>
    </row>
    <row r="9887" spans="1:40" x14ac:dyDescent="0.25">
      <c r="A9887" t="str">
        <f>"20190312154146167"</f>
        <v>20190312154146167</v>
      </c>
      <c r="B9887" t="str">
        <f>"1552376506156183"</f>
        <v>1552376506156183</v>
      </c>
      <c r="C9887" t="s">
        <v>40</v>
      </c>
      <c r="D9887">
        <v>4.2163199999999996</v>
      </c>
      <c r="E9887">
        <v>0.50999499999999998</v>
      </c>
      <c r="F9887" t="s">
        <v>42</v>
      </c>
      <c r="G9887">
        <v>-185.6866</v>
      </c>
      <c r="H9887" s="1">
        <v>-4.5680299999999997E-6</v>
      </c>
      <c r="I9887">
        <v>48.497459999999997</v>
      </c>
      <c r="J9887">
        <v>-188.17259999999999</v>
      </c>
      <c r="K9887">
        <v>1.1088499999999999</v>
      </c>
      <c r="L9887">
        <v>7.4740909999999996</v>
      </c>
      <c r="M9887">
        <v>-9.6162009999999996E-3</v>
      </c>
      <c r="N9887">
        <v>0</v>
      </c>
      <c r="O9887">
        <v>0.99994609999999995</v>
      </c>
      <c r="P9887">
        <v>3.4831149999999998E-2</v>
      </c>
      <c r="Q9887">
        <v>1.1602339999999999E-2</v>
      </c>
      <c r="R9887">
        <v>0.99932589999999999</v>
      </c>
      <c r="S9887">
        <v>0.1800842</v>
      </c>
      <c r="T9887">
        <v>-8.0417989999999995E-2</v>
      </c>
      <c r="U9887">
        <v>2.9967649999999999</v>
      </c>
      <c r="V9887">
        <v>4.4439899999999997E-2</v>
      </c>
      <c r="W9887">
        <v>1.552073E-2</v>
      </c>
      <c r="X9887">
        <v>0.99889150000000004</v>
      </c>
      <c r="Y9887">
        <v>6.9559350000000006E-2</v>
      </c>
      <c r="Z9887">
        <v>-2.67668E-2</v>
      </c>
      <c r="AA9887">
        <v>0.99721870000000001</v>
      </c>
      <c r="AB9887">
        <v>29</v>
      </c>
      <c r="AC9887">
        <v>2.48599999999999</v>
      </c>
      <c r="AD9887">
        <v>-1.1088545680299999</v>
      </c>
      <c r="AE9887">
        <v>41.023369000000002</v>
      </c>
      <c r="AF9887">
        <v>2.8782818270156998</v>
      </c>
      <c r="AG9887">
        <v>-1.1088545680299999</v>
      </c>
      <c r="AH9887">
        <v>40.967744134291301</v>
      </c>
      <c r="AI9887">
        <v>91.546608709848201</v>
      </c>
      <c r="AJ9887">
        <v>85.981158760675996</v>
      </c>
      <c r="AK9887">
        <v>41.083696573963898</v>
      </c>
      <c r="AL9887">
        <v>89.1106919807157</v>
      </c>
      <c r="AM9887">
        <v>87.4526354442703</v>
      </c>
      <c r="AN9887">
        <v>1.00000001327199</v>
      </c>
    </row>
    <row r="9888" spans="1:40" x14ac:dyDescent="0.25">
      <c r="A9888" t="str">
        <f>"20190312154146189"</f>
        <v>20190312154146189</v>
      </c>
      <c r="B9888" t="str">
        <f>"1552376506175703"</f>
        <v>1552376506175703</v>
      </c>
      <c r="C9888" t="s">
        <v>40</v>
      </c>
      <c r="D9888">
        <v>4.2463819999999997</v>
      </c>
      <c r="E9888">
        <v>0.50996940000000002</v>
      </c>
      <c r="F9888" t="s">
        <v>42</v>
      </c>
      <c r="G9888">
        <v>-185.69759999999999</v>
      </c>
      <c r="H9888" s="1">
        <v>-4.6072760000000001E-6</v>
      </c>
      <c r="I9888">
        <v>48.593470000000003</v>
      </c>
      <c r="J9888">
        <v>-188.1755</v>
      </c>
      <c r="K9888">
        <v>1.1088469999999999</v>
      </c>
      <c r="L9888">
        <v>7.7673030000000001</v>
      </c>
      <c r="M9888">
        <v>-9.6170019999999995E-3</v>
      </c>
      <c r="N9888">
        <v>0</v>
      </c>
      <c r="O9888">
        <v>0.99994620000000001</v>
      </c>
      <c r="P9888">
        <v>3.4153549999999998E-2</v>
      </c>
      <c r="Q9888">
        <v>1.169011E-2</v>
      </c>
      <c r="R9888">
        <v>0.99934820000000002</v>
      </c>
      <c r="S9888">
        <v>0.18037410000000001</v>
      </c>
      <c r="T9888">
        <v>-8.0810430000000003E-2</v>
      </c>
      <c r="U9888">
        <v>2.9966740000000001</v>
      </c>
      <c r="V9888">
        <v>4.3763349999999999E-2</v>
      </c>
      <c r="W9888">
        <v>1.5576029999999999E-2</v>
      </c>
      <c r="X9888">
        <v>0.99892049999999999</v>
      </c>
      <c r="Y9888">
        <v>6.9657899999999995E-2</v>
      </c>
      <c r="Z9888">
        <v>-2.6897979999999998E-2</v>
      </c>
      <c r="AA9888">
        <v>0.99720819999999999</v>
      </c>
      <c r="AB9888">
        <v>30</v>
      </c>
      <c r="AC9888">
        <v>2.4779</v>
      </c>
      <c r="AD9888">
        <v>-1.108851607276</v>
      </c>
      <c r="AE9888">
        <v>40.826166999999998</v>
      </c>
      <c r="AF9888">
        <v>2.8683055714871202</v>
      </c>
      <c r="AG9888">
        <v>-1.108851607276</v>
      </c>
      <c r="AH9888">
        <v>40.7704835403392</v>
      </c>
      <c r="AI9888">
        <v>91.554073538416304</v>
      </c>
      <c r="AJ9888">
        <v>85.9757290936098</v>
      </c>
      <c r="AK9888">
        <v>40.886294242098501</v>
      </c>
      <c r="AL9888">
        <v>89.107523133186803</v>
      </c>
      <c r="AM9888">
        <v>87.4914391581366</v>
      </c>
      <c r="AN9888">
        <v>1.0000000044170101</v>
      </c>
    </row>
    <row r="9889" spans="1:40" x14ac:dyDescent="0.25">
      <c r="A9889" t="str">
        <f>"20190312154146211"</f>
        <v>20190312154146211</v>
      </c>
      <c r="B9889" t="str">
        <f>"1552376506205959"</f>
        <v>1552376506205959</v>
      </c>
      <c r="C9889" t="s">
        <v>40</v>
      </c>
      <c r="D9889">
        <v>4.1877979999999999</v>
      </c>
      <c r="E9889">
        <v>0.51013059999999999</v>
      </c>
      <c r="F9889" t="s">
        <v>42</v>
      </c>
      <c r="G9889">
        <v>-185.70169999999999</v>
      </c>
      <c r="H9889" s="1">
        <v>-4.9213239999999996E-6</v>
      </c>
      <c r="I9889">
        <v>49.32723</v>
      </c>
      <c r="J9889">
        <v>-188.17830000000001</v>
      </c>
      <c r="K9889">
        <v>1.108846</v>
      </c>
      <c r="L9889">
        <v>8.0623470000000008</v>
      </c>
      <c r="M9889">
        <v>-9.6178050000000001E-3</v>
      </c>
      <c r="N9889">
        <v>0</v>
      </c>
      <c r="O9889">
        <v>0.99994620000000001</v>
      </c>
      <c r="P9889">
        <v>3.3527960000000002E-2</v>
      </c>
      <c r="Q9889">
        <v>1.2115310000000001E-2</v>
      </c>
      <c r="R9889">
        <v>0.99936429999999998</v>
      </c>
      <c r="S9889">
        <v>0.17837520000000001</v>
      </c>
      <c r="T9889">
        <v>-7.9956890000000003E-2</v>
      </c>
      <c r="U9889">
        <v>2.9967959999999998</v>
      </c>
      <c r="V9889">
        <v>4.3138759999999998E-2</v>
      </c>
      <c r="W9889">
        <v>1.598082E-2</v>
      </c>
      <c r="X9889">
        <v>0.99894119999999997</v>
      </c>
      <c r="Y9889">
        <v>6.899392E-2</v>
      </c>
      <c r="Z9889">
        <v>-2.6614140000000001E-2</v>
      </c>
      <c r="AA9889">
        <v>0.99726199999999998</v>
      </c>
      <c r="AB9889">
        <v>30</v>
      </c>
      <c r="AC9889">
        <v>2.4766000000000101</v>
      </c>
      <c r="AD9889">
        <v>-1.1088509213240001</v>
      </c>
      <c r="AE9889">
        <v>41.264882999999998</v>
      </c>
      <c r="AF9889">
        <v>2.8713001777035299</v>
      </c>
      <c r="AG9889">
        <v>-1.1088509213240001</v>
      </c>
      <c r="AH9889">
        <v>41.209505002101402</v>
      </c>
      <c r="AI9889">
        <v>91.537596876598499</v>
      </c>
      <c r="AJ9889">
        <v>86.014319181351198</v>
      </c>
      <c r="AK9889">
        <v>41.324293310284403</v>
      </c>
      <c r="AL9889">
        <v>89.084327418963596</v>
      </c>
      <c r="AM9889">
        <v>87.527247722994105</v>
      </c>
      <c r="AN9889">
        <v>0.99999993013982202</v>
      </c>
    </row>
    <row r="9890" spans="1:40" x14ac:dyDescent="0.25">
      <c r="A9890" t="str">
        <f>"20190312154146233"</f>
        <v>20190312154146233</v>
      </c>
      <c r="B9890" t="str">
        <f>"1552376506225479"</f>
        <v>1552376506225479</v>
      </c>
      <c r="C9890" t="s">
        <v>40</v>
      </c>
      <c r="D9890">
        <v>4.1635780000000002</v>
      </c>
      <c r="E9890">
        <v>0.51018859999999999</v>
      </c>
      <c r="F9890" t="s">
        <v>42</v>
      </c>
      <c r="G9890">
        <v>-185.61170000000001</v>
      </c>
      <c r="H9890" s="1">
        <v>-1.7533189999999999E-6</v>
      </c>
      <c r="I9890">
        <v>51.369169999999997</v>
      </c>
      <c r="J9890">
        <v>-188.18119999999999</v>
      </c>
      <c r="K9890">
        <v>1.108843</v>
      </c>
      <c r="L9890">
        <v>8.3601379999999992</v>
      </c>
      <c r="M9890">
        <v>-9.618606E-3</v>
      </c>
      <c r="N9890">
        <v>0</v>
      </c>
      <c r="O9890">
        <v>0.99994629999999995</v>
      </c>
      <c r="P9890">
        <v>3.2746629999999999E-2</v>
      </c>
      <c r="Q9890">
        <v>1.223639E-2</v>
      </c>
      <c r="R9890">
        <v>0.99938879999999997</v>
      </c>
      <c r="S9890">
        <v>0.177612299999999</v>
      </c>
      <c r="T9890">
        <v>-7.6733709999999997E-2</v>
      </c>
      <c r="U9890">
        <v>2.9968870000000001</v>
      </c>
      <c r="V9890">
        <v>4.2358519999999997E-2</v>
      </c>
      <c r="W9890">
        <v>1.6092390000000002E-2</v>
      </c>
      <c r="X9890">
        <v>0.99897290000000005</v>
      </c>
      <c r="Y9890">
        <v>6.8741570000000002E-2</v>
      </c>
      <c r="Z9890">
        <v>-2.5541629999999999E-2</v>
      </c>
      <c r="AA9890">
        <v>0.99730750000000001</v>
      </c>
      <c r="AB9890">
        <v>30</v>
      </c>
      <c r="AC9890">
        <v>2.5694999999999699</v>
      </c>
      <c r="AD9890">
        <v>-1.108844753319</v>
      </c>
      <c r="AE9890">
        <v>43.009031999999998</v>
      </c>
      <c r="AF9890">
        <v>2.9810966730511801</v>
      </c>
      <c r="AG9890">
        <v>-1.108844753319</v>
      </c>
      <c r="AH9890">
        <v>42.953877519992801</v>
      </c>
      <c r="AI9890">
        <v>91.475202383279907</v>
      </c>
      <c r="AJ9890">
        <v>86.029908796520701</v>
      </c>
      <c r="AK9890">
        <v>43.071476269842201</v>
      </c>
      <c r="AL9890">
        <v>89.077934200254603</v>
      </c>
      <c r="AM9890">
        <v>87.571994714905799</v>
      </c>
      <c r="AN9890">
        <v>1.0000000320834499</v>
      </c>
    </row>
    <row r="9891" spans="1:40" x14ac:dyDescent="0.25">
      <c r="A9891" t="str">
        <f>"20190312154146256"</f>
        <v>20190312154146256</v>
      </c>
      <c r="B9891" t="str">
        <f>"1552376506245979"</f>
        <v>1552376506245979</v>
      </c>
      <c r="C9891" t="s">
        <v>40</v>
      </c>
      <c r="D9891">
        <v>4.1556369999999996</v>
      </c>
      <c r="E9891">
        <v>0.51032699999999998</v>
      </c>
      <c r="F9891" t="s">
        <v>42</v>
      </c>
      <c r="G9891">
        <v>-185.6104</v>
      </c>
      <c r="H9891" s="1">
        <v>-2.034294E-6</v>
      </c>
      <c r="I9891">
        <v>52.193849999999998</v>
      </c>
      <c r="J9891">
        <v>-188.1842</v>
      </c>
      <c r="K9891">
        <v>1.10884</v>
      </c>
      <c r="L9891">
        <v>8.6737669999999998</v>
      </c>
      <c r="M9891">
        <v>-9.6194409999999994E-3</v>
      </c>
      <c r="N9891">
        <v>0</v>
      </c>
      <c r="O9891">
        <v>0.99994629999999995</v>
      </c>
      <c r="P9891">
        <v>3.2112410000000001E-2</v>
      </c>
      <c r="Q9891">
        <v>1.21479E-2</v>
      </c>
      <c r="R9891">
        <v>0.99941049999999998</v>
      </c>
      <c r="S9891">
        <v>0.17576600000000001</v>
      </c>
      <c r="T9891">
        <v>-7.581425E-2</v>
      </c>
      <c r="U9891">
        <v>2.9970089999999998</v>
      </c>
      <c r="V9891">
        <v>4.1725360000000003E-2</v>
      </c>
      <c r="W9891">
        <v>1.6003699999999999E-2</v>
      </c>
      <c r="X9891">
        <v>0.99900100000000003</v>
      </c>
      <c r="Y9891">
        <v>6.8128209999999995E-2</v>
      </c>
      <c r="Z9891">
        <v>-2.5235750000000001E-2</v>
      </c>
      <c r="AA9891">
        <v>0.99735739999999995</v>
      </c>
      <c r="AB9891">
        <v>30</v>
      </c>
      <c r="AC9891">
        <v>2.5737999999999999</v>
      </c>
      <c r="AD9891">
        <v>-1.108842034294</v>
      </c>
      <c r="AE9891">
        <v>43.520083</v>
      </c>
      <c r="AF9891">
        <v>2.9903883849650801</v>
      </c>
      <c r="AG9891">
        <v>-1.108842034294</v>
      </c>
      <c r="AH9891">
        <v>43.465192636049899</v>
      </c>
      <c r="AI9891">
        <v>91.457912780227602</v>
      </c>
      <c r="AJ9891">
        <v>86.064274556604204</v>
      </c>
      <c r="AK9891">
        <v>43.582048187744498</v>
      </c>
      <c r="AL9891">
        <v>89.083016443812497</v>
      </c>
      <c r="AM9891">
        <v>87.608312400217599</v>
      </c>
      <c r="AN9891">
        <v>1.0000000610408999</v>
      </c>
    </row>
    <row r="9892" spans="1:40" x14ac:dyDescent="0.25">
      <c r="A9892" t="str">
        <f>"20190312154146278"</f>
        <v>20190312154146278</v>
      </c>
      <c r="B9892" t="str">
        <f>"1552376506265498"</f>
        <v>1552376506265498</v>
      </c>
      <c r="C9892" t="s">
        <v>40</v>
      </c>
      <c r="D9892">
        <v>4.1688070000000002</v>
      </c>
      <c r="E9892">
        <v>0.51059469999999996</v>
      </c>
      <c r="F9892" t="s">
        <v>42</v>
      </c>
      <c r="G9892">
        <v>-185.589</v>
      </c>
      <c r="H9892" s="1">
        <v>-2.3505920000000002E-6</v>
      </c>
      <c r="I9892">
        <v>53.106540000000003</v>
      </c>
      <c r="J9892">
        <v>-188.18700000000001</v>
      </c>
      <c r="K9892">
        <v>1.108835</v>
      </c>
      <c r="L9892">
        <v>8.9674379999999996</v>
      </c>
      <c r="M9892">
        <v>-9.6202189999999993E-3</v>
      </c>
      <c r="N9892">
        <v>0</v>
      </c>
      <c r="O9892">
        <v>0.99994620000000001</v>
      </c>
      <c r="P9892">
        <v>3.1650169999999998E-2</v>
      </c>
      <c r="Q9892">
        <v>1.1883019999999999E-2</v>
      </c>
      <c r="R9892">
        <v>0.99942839999999999</v>
      </c>
      <c r="S9892">
        <v>0.17504879999999901</v>
      </c>
      <c r="T9892">
        <v>-7.4792620000000004E-2</v>
      </c>
      <c r="U9892">
        <v>2.9970400000000001</v>
      </c>
      <c r="V9892">
        <v>4.1264080000000002E-2</v>
      </c>
      <c r="W9892">
        <v>1.574768E-2</v>
      </c>
      <c r="X9892">
        <v>0.99902420000000003</v>
      </c>
      <c r="Y9892">
        <v>6.7891030000000005E-2</v>
      </c>
      <c r="Z9892">
        <v>-2.4896020000000001E-2</v>
      </c>
      <c r="AA9892">
        <v>0.99738199999999999</v>
      </c>
      <c r="AB9892">
        <v>30</v>
      </c>
      <c r="AC9892">
        <v>2.5979999999999799</v>
      </c>
      <c r="AD9892">
        <v>-1.1088373505919999</v>
      </c>
      <c r="AE9892">
        <v>44.139102000000001</v>
      </c>
      <c r="AF9892">
        <v>3.0206111127320101</v>
      </c>
      <c r="AG9892">
        <v>-1.1088373505919999</v>
      </c>
      <c r="AH9892">
        <v>44.084340929081698</v>
      </c>
      <c r="AI9892">
        <v>91.437467078149496</v>
      </c>
      <c r="AJ9892">
        <v>86.080281969382199</v>
      </c>
      <c r="AK9892">
        <v>44.201614528385001</v>
      </c>
      <c r="AL9892">
        <v>89.097687131984998</v>
      </c>
      <c r="AM9892">
        <v>87.634777527455199</v>
      </c>
      <c r="AN9892">
        <v>1.0000000329546299</v>
      </c>
    </row>
    <row r="9893" spans="1:40" x14ac:dyDescent="0.25">
      <c r="A9893" t="str">
        <f>"20190312154146292"</f>
        <v>20190312154146292</v>
      </c>
      <c r="B9893" t="str">
        <f>"1552376506285991"</f>
        <v>1552376506285991</v>
      </c>
      <c r="C9893" t="s">
        <v>40</v>
      </c>
      <c r="D9893">
        <v>4.1882469999999996</v>
      </c>
      <c r="E9893">
        <v>0.51082039999999995</v>
      </c>
      <c r="F9893" t="s">
        <v>42</v>
      </c>
      <c r="G9893">
        <v>-185.59020000000001</v>
      </c>
      <c r="H9893" s="1">
        <v>-2.3877590000000002E-6</v>
      </c>
      <c r="I9893">
        <v>53.216669999999901</v>
      </c>
      <c r="J9893">
        <v>-188.18889999999999</v>
      </c>
      <c r="K9893">
        <v>1.108833</v>
      </c>
      <c r="L9893">
        <v>9.1689760000000007</v>
      </c>
      <c r="M9893">
        <v>-9.6207529999999992E-3</v>
      </c>
      <c r="N9893">
        <v>0</v>
      </c>
      <c r="O9893">
        <v>0.99994620000000001</v>
      </c>
      <c r="P9893">
        <v>3.1804239999999998E-2</v>
      </c>
      <c r="Q9893">
        <v>1.163816E-2</v>
      </c>
      <c r="R9893">
        <v>0.99942640000000005</v>
      </c>
      <c r="S9893">
        <v>0.17588809999999999</v>
      </c>
      <c r="T9893">
        <v>-7.5102569999999993E-2</v>
      </c>
      <c r="U9893">
        <v>2.9970400000000001</v>
      </c>
      <c r="V9893">
        <v>4.1418650000000001E-2</v>
      </c>
      <c r="W9893">
        <v>1.55131E-2</v>
      </c>
      <c r="X9893">
        <v>0.99902150000000001</v>
      </c>
      <c r="Y9893">
        <v>6.8169740000000006E-2</v>
      </c>
      <c r="Z9893">
        <v>-2.499869E-2</v>
      </c>
      <c r="AA9893">
        <v>0.99736049999999998</v>
      </c>
      <c r="AB9893">
        <v>30</v>
      </c>
      <c r="AC9893">
        <v>2.59869999999998</v>
      </c>
      <c r="AD9893">
        <v>-1.108835387759</v>
      </c>
      <c r="AE9893">
        <v>44.0476939999999</v>
      </c>
      <c r="AF9893">
        <v>3.0204474632354898</v>
      </c>
      <c r="AG9893">
        <v>-1.108835387759</v>
      </c>
      <c r="AH9893">
        <v>43.992871934921297</v>
      </c>
      <c r="AI9893">
        <v>91.440438383266795</v>
      </c>
      <c r="AJ9893">
        <v>86.0723697981322</v>
      </c>
      <c r="AK9893">
        <v>44.110377462426001</v>
      </c>
      <c r="AL9893">
        <v>89.111129240930097</v>
      </c>
      <c r="AM9893">
        <v>87.625921414238206</v>
      </c>
      <c r="AN9893">
        <v>1.00000005915083</v>
      </c>
    </row>
    <row r="9894" spans="1:40" x14ac:dyDescent="0.25">
      <c r="A9894" t="str">
        <f>"20190312154146312"</f>
        <v>20190312154146312</v>
      </c>
      <c r="B9894" t="str">
        <f>"1552376506305512"</f>
        <v>1552376506305512</v>
      </c>
      <c r="C9894" t="s">
        <v>40</v>
      </c>
      <c r="D9894">
        <v>4.1468959999999999</v>
      </c>
      <c r="E9894">
        <v>0.51099759999999905</v>
      </c>
      <c r="F9894" t="s">
        <v>42</v>
      </c>
      <c r="G9894">
        <v>-185.54839999999999</v>
      </c>
      <c r="H9894" s="1">
        <v>-2.5223009999999998E-6</v>
      </c>
      <c r="I9894">
        <v>53.579360000000001</v>
      </c>
      <c r="J9894">
        <v>-188.19149999999999</v>
      </c>
      <c r="K9894">
        <v>1.108827</v>
      </c>
      <c r="L9894">
        <v>9.4331359999999993</v>
      </c>
      <c r="M9894">
        <v>-9.6214520000000008E-3</v>
      </c>
      <c r="N9894">
        <v>0</v>
      </c>
      <c r="O9894">
        <v>0.99994609999999995</v>
      </c>
      <c r="P9894">
        <v>3.2207659999999999E-2</v>
      </c>
      <c r="Q9894">
        <v>1.131628E-2</v>
      </c>
      <c r="R9894">
        <v>0.99941709999999995</v>
      </c>
      <c r="S9894">
        <v>0.17819209999999999</v>
      </c>
      <c r="T9894">
        <v>-7.4826840000000006E-2</v>
      </c>
      <c r="U9894">
        <v>2.996918</v>
      </c>
      <c r="V9894">
        <v>4.1822659999999998E-2</v>
      </c>
      <c r="W9894">
        <v>1.5207480000000001E-2</v>
      </c>
      <c r="X9894">
        <v>0.99900929999999999</v>
      </c>
      <c r="Y9894">
        <v>6.8937040000000005E-2</v>
      </c>
      <c r="Z9894">
        <v>-2.4906749999999998E-2</v>
      </c>
      <c r="AA9894">
        <v>0.99731000000000003</v>
      </c>
      <c r="AB9894">
        <v>30</v>
      </c>
      <c r="AC9894">
        <v>2.6431</v>
      </c>
      <c r="AD9894">
        <v>-1.1088295223010001</v>
      </c>
      <c r="AE9894">
        <v>44.146223999999997</v>
      </c>
      <c r="AF9894">
        <v>3.0658044378115101</v>
      </c>
      <c r="AG9894">
        <v>-1.1088295223010001</v>
      </c>
      <c r="AH9894">
        <v>44.091033386937497</v>
      </c>
      <c r="AI9894">
        <v>91.437138705126998</v>
      </c>
      <c r="AJ9894">
        <v>86.022425337641707</v>
      </c>
      <c r="AK9894">
        <v>44.211399942644597</v>
      </c>
      <c r="AL9894">
        <v>89.128641983597404</v>
      </c>
      <c r="AM9894">
        <v>87.602761580467103</v>
      </c>
      <c r="AN9894">
        <v>0.99999999191195799</v>
      </c>
    </row>
    <row r="9895" spans="1:40" x14ac:dyDescent="0.25">
      <c r="A9895" t="str">
        <f>"20190312154146335"</f>
        <v>20190312154146335</v>
      </c>
      <c r="B9895" t="str">
        <f>"1552376506326008"</f>
        <v>1552376506326008</v>
      </c>
      <c r="C9895" t="s">
        <v>40</v>
      </c>
      <c r="D9895">
        <v>4.1701430000000004</v>
      </c>
      <c r="E9895">
        <v>0.51109890000000002</v>
      </c>
      <c r="F9895" t="s">
        <v>42</v>
      </c>
      <c r="G9895">
        <v>-185.49950000000001</v>
      </c>
      <c r="H9895" s="1">
        <v>-2.699862E-6</v>
      </c>
      <c r="I9895">
        <v>54.062939999999998</v>
      </c>
      <c r="J9895">
        <v>-188.19450000000001</v>
      </c>
      <c r="K9895">
        <v>1.108824</v>
      </c>
      <c r="L9895">
        <v>9.7501829999999998</v>
      </c>
      <c r="M9895">
        <v>-9.6222770000000003E-3</v>
      </c>
      <c r="N9895">
        <v>0</v>
      </c>
      <c r="O9895">
        <v>0.999946</v>
      </c>
      <c r="P9895">
        <v>3.2779229999999999E-2</v>
      </c>
      <c r="Q9895">
        <v>1.1732579999999999E-2</v>
      </c>
      <c r="R9895">
        <v>0.9993938</v>
      </c>
      <c r="S9895">
        <v>0.18075559999999999</v>
      </c>
      <c r="T9895">
        <v>-7.4454779999999998E-2</v>
      </c>
      <c r="U9895">
        <v>2.9967649999999999</v>
      </c>
      <c r="V9895">
        <v>4.2394809999999998E-2</v>
      </c>
      <c r="W9895">
        <v>1.565327E-2</v>
      </c>
      <c r="X9895">
        <v>0.99897829999999999</v>
      </c>
      <c r="Y9895">
        <v>6.9791099999999995E-2</v>
      </c>
      <c r="Z9895">
        <v>-2.478288E-2</v>
      </c>
      <c r="AA9895">
        <v>0.99725370000000002</v>
      </c>
      <c r="AB9895">
        <v>31</v>
      </c>
      <c r="AC9895">
        <v>2.6949999999999901</v>
      </c>
      <c r="AD9895">
        <v>-1.108826699862</v>
      </c>
      <c r="AE9895">
        <v>44.312756999999998</v>
      </c>
      <c r="AF9895">
        <v>3.11932221274171</v>
      </c>
      <c r="AG9895">
        <v>-1.108826699862</v>
      </c>
      <c r="AH9895">
        <v>44.257164308759698</v>
      </c>
      <c r="AI9895">
        <v>91.431648095218407</v>
      </c>
      <c r="AJ9895">
        <v>85.968360561845401</v>
      </c>
      <c r="AK9895">
        <v>44.3808095957001</v>
      </c>
      <c r="AL9895">
        <v>89.103097058533606</v>
      </c>
      <c r="AM9895">
        <v>87.5699301720867</v>
      </c>
      <c r="AN9895">
        <v>0.99999999432375897</v>
      </c>
    </row>
    <row r="9896" spans="1:40" x14ac:dyDescent="0.25">
      <c r="A9896" t="str">
        <f>"20190312154146357"</f>
        <v>20190312154146357</v>
      </c>
      <c r="B9896" t="str">
        <f>"1552376506345528"</f>
        <v>1552376506345528</v>
      </c>
      <c r="C9896" t="s">
        <v>40</v>
      </c>
      <c r="D9896">
        <v>4.1692809999999998</v>
      </c>
      <c r="E9896">
        <v>0.51125679999999996</v>
      </c>
      <c r="F9896" t="s">
        <v>42</v>
      </c>
      <c r="G9896">
        <v>-185.36089999999999</v>
      </c>
      <c r="H9896" s="1">
        <v>-3.5813599999999999E-6</v>
      </c>
      <c r="I9896">
        <v>56.062809999999999</v>
      </c>
      <c r="J9896">
        <v>-188.19739999999999</v>
      </c>
      <c r="K9896">
        <v>1.1088180000000001</v>
      </c>
      <c r="L9896">
        <v>10.05087</v>
      </c>
      <c r="M9896">
        <v>-9.6230420000000001E-3</v>
      </c>
      <c r="N9896">
        <v>0</v>
      </c>
      <c r="O9896">
        <v>0.9999458</v>
      </c>
      <c r="P9896">
        <v>3.2822860000000002E-2</v>
      </c>
      <c r="Q9896">
        <v>1.1750450000000001E-2</v>
      </c>
      <c r="R9896">
        <v>0.99939210000000001</v>
      </c>
      <c r="S9896">
        <v>0.1833496</v>
      </c>
      <c r="T9896">
        <v>-7.174635E-2</v>
      </c>
      <c r="U9896">
        <v>2.9966430000000002</v>
      </c>
      <c r="V9896">
        <v>4.2439200000000003E-2</v>
      </c>
      <c r="W9896">
        <v>1.5710490000000001E-2</v>
      </c>
      <c r="X9896">
        <v>0.99897550000000002</v>
      </c>
      <c r="Y9896">
        <v>7.0655700000000002E-2</v>
      </c>
      <c r="Z9896">
        <v>-2.3881489999999998E-2</v>
      </c>
      <c r="AA9896">
        <v>0.99721490000000002</v>
      </c>
      <c r="AB9896">
        <v>31</v>
      </c>
      <c r="AC9896">
        <v>2.8365</v>
      </c>
      <c r="AD9896">
        <v>-1.10882158136</v>
      </c>
      <c r="AE9896">
        <v>46.011940000000003</v>
      </c>
      <c r="AF9896">
        <v>3.27725096117452</v>
      </c>
      <c r="AG9896">
        <v>-1.10882158136</v>
      </c>
      <c r="AH9896">
        <v>45.955926088311102</v>
      </c>
      <c r="AI9896">
        <v>91.378660844203495</v>
      </c>
      <c r="AJ9896">
        <v>85.920976373002304</v>
      </c>
      <c r="AK9896">
        <v>46.085974024600098</v>
      </c>
      <c r="AL9896">
        <v>89.099818175575393</v>
      </c>
      <c r="AM9896">
        <v>87.567381982933199</v>
      </c>
      <c r="AN9896">
        <v>0.99999997739646396</v>
      </c>
    </row>
    <row r="9897" spans="1:40" x14ac:dyDescent="0.25">
      <c r="A9897" t="str">
        <f>"20190312154146378"</f>
        <v>20190312154146378</v>
      </c>
      <c r="B9897" t="str">
        <f>"1552376506375784"</f>
        <v>1552376506375784</v>
      </c>
      <c r="C9897" t="s">
        <v>40</v>
      </c>
      <c r="D9897">
        <v>4.2054809999999998</v>
      </c>
      <c r="E9897">
        <v>0.52926700000000004</v>
      </c>
      <c r="F9897" t="s">
        <v>42</v>
      </c>
      <c r="G9897">
        <v>-185.29599999999999</v>
      </c>
      <c r="H9897" s="1">
        <v>-4.027394E-6</v>
      </c>
      <c r="I9897">
        <v>57.075679999999998</v>
      </c>
      <c r="J9897">
        <v>-188.2003</v>
      </c>
      <c r="K9897">
        <v>1.1088070000000001</v>
      </c>
      <c r="L9897">
        <v>10.354369999999999</v>
      </c>
      <c r="M9897">
        <v>-9.6237879999999994E-3</v>
      </c>
      <c r="N9897">
        <v>0</v>
      </c>
      <c r="O9897">
        <v>0.99994559999999999</v>
      </c>
      <c r="P9897">
        <v>3.2938050000000003E-2</v>
      </c>
      <c r="Q9897">
        <v>1.134579E-2</v>
      </c>
      <c r="R9897">
        <v>0.99939299999999998</v>
      </c>
      <c r="S9897">
        <v>0.18489069999999999</v>
      </c>
      <c r="T9897">
        <v>-7.065797E-2</v>
      </c>
      <c r="U9897">
        <v>2.9965820000000001</v>
      </c>
      <c r="V9897">
        <v>4.2555120000000002E-2</v>
      </c>
      <c r="W9897">
        <v>1.5354329999999999E-2</v>
      </c>
      <c r="X9897">
        <v>0.99897610000000003</v>
      </c>
      <c r="Y9897">
        <v>7.116915E-2</v>
      </c>
      <c r="Z9897">
        <v>-2.3519089999999999E-2</v>
      </c>
      <c r="AA9897">
        <v>0.99718700000000005</v>
      </c>
      <c r="AB9897">
        <v>31</v>
      </c>
      <c r="AC9897">
        <v>2.9043000000000001</v>
      </c>
      <c r="AD9897">
        <v>-1.1088110273939999</v>
      </c>
      <c r="AE9897">
        <v>46.721309999999903</v>
      </c>
      <c r="AF9897">
        <v>3.3519244863428401</v>
      </c>
      <c r="AG9897">
        <v>-1.1088110273939999</v>
      </c>
      <c r="AH9897">
        <v>46.665013799606903</v>
      </c>
      <c r="AI9897">
        <v>91.357656775077302</v>
      </c>
      <c r="AJ9897">
        <v>85.891529113538994</v>
      </c>
      <c r="AK9897">
        <v>46.798380020830997</v>
      </c>
      <c r="AL9897">
        <v>89.120227097408403</v>
      </c>
      <c r="AM9897">
        <v>87.560746918258303</v>
      </c>
      <c r="AN9897">
        <v>0.99999997102958604</v>
      </c>
    </row>
    <row r="9898" spans="1:40" x14ac:dyDescent="0.25">
      <c r="A9898" t="str">
        <f>"20190312154146393"</f>
        <v>20190312154146393</v>
      </c>
      <c r="B9898" t="str">
        <f>"1552376506385545"</f>
        <v>1552376506385545</v>
      </c>
      <c r="C9898" t="s">
        <v>40</v>
      </c>
      <c r="D9898">
        <v>4.1351380000000004</v>
      </c>
      <c r="E9898">
        <v>0.53155330000000001</v>
      </c>
      <c r="F9898" t="s">
        <v>75</v>
      </c>
      <c r="G9898">
        <v>-168.92869999999999</v>
      </c>
      <c r="H9898">
        <v>1.065526</v>
      </c>
      <c r="I9898">
        <v>184.38319999999999</v>
      </c>
      <c r="J9898">
        <v>-188.20240000000001</v>
      </c>
      <c r="K9898">
        <v>1.10880499999999</v>
      </c>
      <c r="L9898">
        <v>10.56622</v>
      </c>
      <c r="M9898">
        <v>-9.6242900000000006E-3</v>
      </c>
      <c r="N9898">
        <v>0</v>
      </c>
      <c r="O9898">
        <v>0.99994550000000004</v>
      </c>
      <c r="P9898">
        <v>3.306357E-2</v>
      </c>
      <c r="Q9898">
        <v>1.0932300000000001E-2</v>
      </c>
      <c r="R9898">
        <v>0.99939350000000005</v>
      </c>
      <c r="S9898">
        <v>0.33120729999999998</v>
      </c>
      <c r="T9898">
        <v>-7.4326990000000005E-4</v>
      </c>
      <c r="U9898">
        <v>2.9909059999999998</v>
      </c>
      <c r="V9898">
        <v>4.2681139999999999E-2</v>
      </c>
      <c r="W9898">
        <v>1.49772E-2</v>
      </c>
      <c r="X9898">
        <v>0.99897650000000004</v>
      </c>
      <c r="Y9898">
        <v>0.1196261</v>
      </c>
      <c r="Z9898">
        <v>-2.46846E-4</v>
      </c>
      <c r="AA9898">
        <v>0.99281900000000001</v>
      </c>
      <c r="AB9898">
        <v>31</v>
      </c>
      <c r="AC9898">
        <v>19.273700000000002</v>
      </c>
      <c r="AD9898">
        <v>-4.3278999999999797E-2</v>
      </c>
      <c r="AE9898">
        <v>173.81698</v>
      </c>
      <c r="AF9898">
        <v>20.945684764892398</v>
      </c>
      <c r="AG9898">
        <v>-4.3278999999999797E-2</v>
      </c>
      <c r="AH9898">
        <v>173.62342178288199</v>
      </c>
      <c r="AI9898">
        <v>90.014179274720405</v>
      </c>
      <c r="AJ9898">
        <v>83.121160209882802</v>
      </c>
      <c r="AK9898">
        <v>174.882292342417</v>
      </c>
      <c r="AL9898">
        <v>89.141837584490403</v>
      </c>
      <c r="AM9898">
        <v>87.553533212915497</v>
      </c>
      <c r="AN9898">
        <v>1.0000000218918901</v>
      </c>
    </row>
    <row r="9899" spans="1:40" x14ac:dyDescent="0.25">
      <c r="A9899" t="str">
        <f>"20190312154146411"</f>
        <v>20190312154146411</v>
      </c>
      <c r="B9899" t="str">
        <f>"1552376506406040"</f>
        <v>1552376506406040</v>
      </c>
      <c r="C9899" t="s">
        <v>40</v>
      </c>
      <c r="D9899">
        <v>4.153492</v>
      </c>
      <c r="E9899">
        <v>0.53261780000000003</v>
      </c>
      <c r="F9899" t="s">
        <v>75</v>
      </c>
      <c r="G9899">
        <v>-169.24160000000001</v>
      </c>
      <c r="H9899">
        <v>0.97344399999999998</v>
      </c>
      <c r="I9899">
        <v>172.69149999999999</v>
      </c>
      <c r="J9899">
        <v>-188.20490000000001</v>
      </c>
      <c r="K9899">
        <v>1.10880499999999</v>
      </c>
      <c r="L9899">
        <v>10.82211</v>
      </c>
      <c r="M9899">
        <v>-9.6248770000000004E-3</v>
      </c>
      <c r="N9899">
        <v>0</v>
      </c>
      <c r="O9899">
        <v>0.99994530000000004</v>
      </c>
      <c r="P9899">
        <v>3.3005230000000003E-2</v>
      </c>
      <c r="Q9899">
        <v>1.0334960000000001E-2</v>
      </c>
      <c r="R9899">
        <v>0.99940169999999995</v>
      </c>
      <c r="S9899">
        <v>0.34971619999999998</v>
      </c>
      <c r="T9899">
        <v>-2.496004E-3</v>
      </c>
      <c r="U9899">
        <v>2.990265</v>
      </c>
      <c r="V9899">
        <v>4.2623429999999997E-2</v>
      </c>
      <c r="W9899">
        <v>1.4426990000000001E-2</v>
      </c>
      <c r="X9899">
        <v>0.99898699999999996</v>
      </c>
      <c r="Y9899">
        <v>0.1257143</v>
      </c>
      <c r="Z9899">
        <v>-8.2851720000000004E-4</v>
      </c>
      <c r="AA9899">
        <v>0.99206609999999995</v>
      </c>
      <c r="AB9899">
        <v>31</v>
      </c>
      <c r="AC9899">
        <v>18.9633</v>
      </c>
      <c r="AD9899">
        <v>-0.13536099999999901</v>
      </c>
      <c r="AE9899">
        <v>161.86938999999899</v>
      </c>
      <c r="AF9899">
        <v>20.520393469782999</v>
      </c>
      <c r="AG9899">
        <v>-0.13536099999999901</v>
      </c>
      <c r="AH9899">
        <v>161.679259562086</v>
      </c>
      <c r="AI9899">
        <v>90.047587366593106</v>
      </c>
      <c r="AJ9899">
        <v>82.7666723327455</v>
      </c>
      <c r="AK9899">
        <v>162.976341360639</v>
      </c>
      <c r="AL9899">
        <v>89.173365651900198</v>
      </c>
      <c r="AM9899">
        <v>87.556862765325207</v>
      </c>
      <c r="AN9899">
        <v>0.99999996049721096</v>
      </c>
    </row>
    <row r="9900" spans="1:40" x14ac:dyDescent="0.25">
      <c r="A9900" t="str">
        <f>"20190312154146434"</f>
        <v>20190312154146434</v>
      </c>
      <c r="B9900" t="str">
        <f>"1552376506425559"</f>
        <v>1552376506425559</v>
      </c>
      <c r="C9900" t="s">
        <v>40</v>
      </c>
      <c r="D9900">
        <v>4.1715090000000004</v>
      </c>
      <c r="E9900">
        <v>0.53325339999999999</v>
      </c>
      <c r="F9900" t="s">
        <v>75</v>
      </c>
      <c r="G9900">
        <v>-168.81979999999999</v>
      </c>
      <c r="H9900">
        <v>0.89096450000000005</v>
      </c>
      <c r="I9900">
        <v>172.69130000000001</v>
      </c>
      <c r="J9900">
        <v>-188.2079</v>
      </c>
      <c r="K9900">
        <v>1.10880499999999</v>
      </c>
      <c r="L9900">
        <v>11.138949999999999</v>
      </c>
      <c r="M9900">
        <v>-9.6255739999999996E-3</v>
      </c>
      <c r="N9900">
        <v>0</v>
      </c>
      <c r="O9900">
        <v>0.99994499999999997</v>
      </c>
      <c r="P9900">
        <v>3.3234270000000003E-2</v>
      </c>
      <c r="Q9900">
        <v>1.0086980000000001E-2</v>
      </c>
      <c r="R9900">
        <v>0.99939670000000003</v>
      </c>
      <c r="S9900">
        <v>0.35807800000000001</v>
      </c>
      <c r="T9900">
        <v>-4.0233140000000001E-3</v>
      </c>
      <c r="U9900">
        <v>2.990021</v>
      </c>
      <c r="V9900">
        <v>4.285311E-2</v>
      </c>
      <c r="W9900">
        <v>1.423961E-2</v>
      </c>
      <c r="X9900">
        <v>0.99897990000000003</v>
      </c>
      <c r="Y9900">
        <v>0.12845980000000001</v>
      </c>
      <c r="Z9900">
        <v>-1.335141E-3</v>
      </c>
      <c r="AA9900">
        <v>0.99171379999999998</v>
      </c>
      <c r="AB9900">
        <v>31</v>
      </c>
      <c r="AC9900">
        <v>19.388100000000001</v>
      </c>
      <c r="AD9900">
        <v>-0.21784049999999899</v>
      </c>
      <c r="AE9900">
        <v>161.55234999999999</v>
      </c>
      <c r="AF9900">
        <v>20.942211842603701</v>
      </c>
      <c r="AG9900">
        <v>-0.21784049999999899</v>
      </c>
      <c r="AH9900">
        <v>161.35795321756001</v>
      </c>
      <c r="AI9900">
        <v>90.076708466065</v>
      </c>
      <c r="AJ9900">
        <v>82.605072907885599</v>
      </c>
      <c r="AK9900">
        <v>162.71144015681301</v>
      </c>
      <c r="AL9900">
        <v>89.184102869159503</v>
      </c>
      <c r="AM9900">
        <v>87.543696356514502</v>
      </c>
      <c r="AN9900">
        <v>0.99999999806681705</v>
      </c>
    </row>
    <row r="9901" spans="1:40" x14ac:dyDescent="0.25">
      <c r="A9901" t="str">
        <f>"20190312154146448"</f>
        <v>20190312154146448</v>
      </c>
      <c r="B9901" t="str">
        <f>"1552376506446056"</f>
        <v>1552376506446056</v>
      </c>
      <c r="C9901" t="s">
        <v>40</v>
      </c>
      <c r="D9901">
        <v>4.1697379999999997</v>
      </c>
      <c r="E9901">
        <v>0.53330679999999997</v>
      </c>
      <c r="F9901" t="s">
        <v>75</v>
      </c>
      <c r="G9901">
        <v>-168.54820000000001</v>
      </c>
      <c r="H9901">
        <v>0.98596379999999995</v>
      </c>
      <c r="I9901">
        <v>172.69120000000001</v>
      </c>
      <c r="J9901">
        <v>-188.2097</v>
      </c>
      <c r="K9901">
        <v>1.1088089999999999</v>
      </c>
      <c r="L9901">
        <v>11.33112</v>
      </c>
      <c r="M9901">
        <v>-9.6259859999999996E-3</v>
      </c>
      <c r="N9901">
        <v>0</v>
      </c>
      <c r="O9901">
        <v>0.99994490000000003</v>
      </c>
      <c r="P9901">
        <v>3.3417479999999999E-2</v>
      </c>
      <c r="Q9901">
        <v>1.0071699999999999E-2</v>
      </c>
      <c r="R9901">
        <v>0.99939069999999997</v>
      </c>
      <c r="S9901">
        <v>0.3638306</v>
      </c>
      <c r="T9901">
        <v>-2.2727250000000002E-3</v>
      </c>
      <c r="U9901">
        <v>2.9897459999999998</v>
      </c>
      <c r="V9901">
        <v>4.3036659999999997E-2</v>
      </c>
      <c r="W9901">
        <v>1.426202E-2</v>
      </c>
      <c r="X9901">
        <v>0.99897170000000002</v>
      </c>
      <c r="Y9901">
        <v>0.13035150000000001</v>
      </c>
      <c r="Z9901">
        <v>-7.540957E-4</v>
      </c>
      <c r="AA9901">
        <v>0.99146749999999995</v>
      </c>
      <c r="AB9901">
        <v>31</v>
      </c>
      <c r="AC9901">
        <v>19.661499999999901</v>
      </c>
      <c r="AD9901">
        <v>-0.122845199999999</v>
      </c>
      <c r="AE9901">
        <v>161.36008000000001</v>
      </c>
      <c r="AF9901">
        <v>21.213840425119798</v>
      </c>
      <c r="AG9901">
        <v>-0.122845199999999</v>
      </c>
      <c r="AH9901">
        <v>161.163248888862</v>
      </c>
      <c r="AI9901">
        <v>90.043299669891496</v>
      </c>
      <c r="AJ9901">
        <v>82.501294326339504</v>
      </c>
      <c r="AK9901">
        <v>162.553483226103</v>
      </c>
      <c r="AL9901">
        <v>89.182818748749</v>
      </c>
      <c r="AM9901">
        <v>87.533168172613699</v>
      </c>
      <c r="AN9901">
        <v>1.0000000083596601</v>
      </c>
    </row>
    <row r="9902" spans="1:40" x14ac:dyDescent="0.25">
      <c r="A9902" t="str">
        <f>"20190312154146468"</f>
        <v>20190312154146468</v>
      </c>
      <c r="B9902" t="str">
        <f>"1552376506455819"</f>
        <v>1552376506455819</v>
      </c>
      <c r="C9902" t="s">
        <v>40</v>
      </c>
      <c r="D9902">
        <v>4.1986379999999999</v>
      </c>
      <c r="E9902">
        <v>0.533278699999999</v>
      </c>
      <c r="F9902" t="s">
        <v>75</v>
      </c>
      <c r="G9902">
        <v>-168.52359999999999</v>
      </c>
      <c r="H9902">
        <v>0.78961179999999997</v>
      </c>
      <c r="I9902">
        <v>172.69130000000001</v>
      </c>
      <c r="J9902">
        <v>-188.2124</v>
      </c>
      <c r="K9902">
        <v>1.108808</v>
      </c>
      <c r="L9902">
        <v>11.60641</v>
      </c>
      <c r="M9902">
        <v>-9.6265770000000007E-3</v>
      </c>
      <c r="N9902">
        <v>0</v>
      </c>
      <c r="O9902">
        <v>0.99994459999999996</v>
      </c>
      <c r="P9902">
        <v>3.3465830000000002E-2</v>
      </c>
      <c r="Q9902">
        <v>1.0242579999999999E-2</v>
      </c>
      <c r="R9902">
        <v>0.99938740000000004</v>
      </c>
      <c r="S9902">
        <v>0.36474610000000002</v>
      </c>
      <c r="T9902">
        <v>-5.9134959999999999E-3</v>
      </c>
      <c r="U9902">
        <v>2.9896850000000001</v>
      </c>
      <c r="V9902">
        <v>4.3085569999999997E-2</v>
      </c>
      <c r="W9902">
        <v>1.448754E-2</v>
      </c>
      <c r="X9902">
        <v>0.99896629999999997</v>
      </c>
      <c r="Y9902">
        <v>0.13065360000000001</v>
      </c>
      <c r="Z9902">
        <v>-1.9620729999999999E-3</v>
      </c>
      <c r="AA9902">
        <v>0.99142620000000004</v>
      </c>
      <c r="AB9902">
        <v>31</v>
      </c>
      <c r="AC9902">
        <v>19.688800000000001</v>
      </c>
      <c r="AD9902">
        <v>-0.31919619999999899</v>
      </c>
      <c r="AE9902">
        <v>161.08489</v>
      </c>
      <c r="AF9902">
        <v>21.238515657733199</v>
      </c>
      <c r="AG9902">
        <v>-0.31919619999999899</v>
      </c>
      <c r="AH9902">
        <v>160.88726585147299</v>
      </c>
      <c r="AI9902">
        <v>90.112695515754197</v>
      </c>
      <c r="AJ9902">
        <v>82.479940842669606</v>
      </c>
      <c r="AK9902">
        <v>162.283359426407</v>
      </c>
      <c r="AL9902">
        <v>89.1698960308171</v>
      </c>
      <c r="AM9902">
        <v>87.530354820802202</v>
      </c>
      <c r="AN9902">
        <v>0.99999996184658202</v>
      </c>
    </row>
    <row r="9903" spans="1:40" x14ac:dyDescent="0.25">
      <c r="A9903" t="str">
        <f>"20190312154146481"</f>
        <v>20190312154146481</v>
      </c>
      <c r="B9903" t="str">
        <f>"1552376506475945"</f>
        <v>1552376506475945</v>
      </c>
      <c r="C9903" t="s">
        <v>40</v>
      </c>
      <c r="D9903">
        <v>4.1651949999999998</v>
      </c>
      <c r="E9903">
        <v>0.53318399999999999</v>
      </c>
      <c r="F9903" t="s">
        <v>75</v>
      </c>
      <c r="G9903">
        <v>-168.56309999999999</v>
      </c>
      <c r="H9903">
        <v>0.79901219999999995</v>
      </c>
      <c r="I9903">
        <v>172.69130000000001</v>
      </c>
      <c r="J9903">
        <v>-188.21430000000001</v>
      </c>
      <c r="K9903">
        <v>1.1088089999999999</v>
      </c>
      <c r="L9903">
        <v>11.80756</v>
      </c>
      <c r="M9903">
        <v>-9.6270090000000006E-3</v>
      </c>
      <c r="N9903">
        <v>0</v>
      </c>
      <c r="O9903">
        <v>0.99994439999999996</v>
      </c>
      <c r="P9903">
        <v>3.3569099999999998E-2</v>
      </c>
      <c r="Q9903">
        <v>9.8788529999999999E-3</v>
      </c>
      <c r="R9903">
        <v>0.99938760000000004</v>
      </c>
      <c r="S9903">
        <v>0.36468509999999998</v>
      </c>
      <c r="T9903">
        <v>-5.7491060000000004E-3</v>
      </c>
      <c r="U9903">
        <v>2.9896850000000001</v>
      </c>
      <c r="V9903">
        <v>4.3189249999999998E-2</v>
      </c>
      <c r="W9903">
        <v>1.416428E-2</v>
      </c>
      <c r="X9903">
        <v>0.99896649999999998</v>
      </c>
      <c r="Y9903">
        <v>0.1306341</v>
      </c>
      <c r="Z9903">
        <v>-1.9075349999999999E-3</v>
      </c>
      <c r="AA9903">
        <v>0.9914288</v>
      </c>
      <c r="AB9903">
        <v>32</v>
      </c>
      <c r="AC9903">
        <v>19.651199999999999</v>
      </c>
      <c r="AD9903">
        <v>-0.30979679999999998</v>
      </c>
      <c r="AE9903">
        <v>160.88373999999999</v>
      </c>
      <c r="AF9903">
        <v>21.199055436961402</v>
      </c>
      <c r="AG9903">
        <v>-0.30979679999999998</v>
      </c>
      <c r="AH9903">
        <v>160.686513308819</v>
      </c>
      <c r="AI9903">
        <v>90.109514763282206</v>
      </c>
      <c r="AJ9903">
        <v>82.484482570019296</v>
      </c>
      <c r="AK9903">
        <v>162.07915191295299</v>
      </c>
      <c r="AL9903">
        <v>89.188419399684705</v>
      </c>
      <c r="AM9903">
        <v>87.524419810299506</v>
      </c>
      <c r="AN9903">
        <v>1.00000000313286</v>
      </c>
    </row>
    <row r="9904" spans="1:40" x14ac:dyDescent="0.25">
      <c r="A9904" t="str">
        <f>"20190312154146501"</f>
        <v>20190312154146501</v>
      </c>
      <c r="B9904" t="str">
        <f>"1552376506495464"</f>
        <v>1552376506495464</v>
      </c>
      <c r="C9904" t="s">
        <v>40</v>
      </c>
      <c r="D9904">
        <v>4.1705620000000003</v>
      </c>
      <c r="E9904">
        <v>0.53329280000000001</v>
      </c>
      <c r="F9904" t="s">
        <v>75</v>
      </c>
      <c r="G9904">
        <v>-168.61340000000001</v>
      </c>
      <c r="H9904">
        <v>0.70519540000000003</v>
      </c>
      <c r="I9904">
        <v>172.69130000000001</v>
      </c>
      <c r="J9904">
        <v>-188.21700000000001</v>
      </c>
      <c r="K9904">
        <v>1.1088100000000001</v>
      </c>
      <c r="L9904">
        <v>12.080170000000001</v>
      </c>
      <c r="M9904">
        <v>-9.6276529999999999E-3</v>
      </c>
      <c r="N9904">
        <v>0</v>
      </c>
      <c r="O9904">
        <v>0.99994419999999995</v>
      </c>
      <c r="P9904">
        <v>3.4066800000000001E-2</v>
      </c>
      <c r="Q9904">
        <v>9.7738809999999999E-3</v>
      </c>
      <c r="R9904">
        <v>0.99937180000000003</v>
      </c>
      <c r="S9904">
        <v>0.36424260000000003</v>
      </c>
      <c r="T9904">
        <v>-7.4996949999999998E-3</v>
      </c>
      <c r="U9904">
        <v>2.9896850000000001</v>
      </c>
      <c r="V9904">
        <v>4.3687440000000001E-2</v>
      </c>
      <c r="W9904">
        <v>1.411374E-2</v>
      </c>
      <c r="X9904">
        <v>0.99894550000000004</v>
      </c>
      <c r="Y9904">
        <v>0.13048989999999999</v>
      </c>
      <c r="Z9904">
        <v>-2.4884170000000001E-3</v>
      </c>
      <c r="AA9904">
        <v>0.99144650000000001</v>
      </c>
      <c r="AB9904">
        <v>32</v>
      </c>
      <c r="AC9904">
        <v>19.6036</v>
      </c>
      <c r="AD9904">
        <v>-0.40361459999999999</v>
      </c>
      <c r="AE9904">
        <v>160.61113</v>
      </c>
      <c r="AF9904">
        <v>21.1488826631576</v>
      </c>
      <c r="AG9904">
        <v>-0.40361459999999999</v>
      </c>
      <c r="AH9904">
        <v>160.41394941989</v>
      </c>
      <c r="AI9904">
        <v>90.1429237890531</v>
      </c>
      <c r="AJ9904">
        <v>82.489472639571105</v>
      </c>
      <c r="AK9904">
        <v>161.80257510661701</v>
      </c>
      <c r="AL9904">
        <v>89.191315375715504</v>
      </c>
      <c r="AM9904">
        <v>87.495847446062399</v>
      </c>
      <c r="AN9904">
        <v>0.99999995102039396</v>
      </c>
    </row>
    <row r="9905" spans="1:40" x14ac:dyDescent="0.25">
      <c r="A9905" t="str">
        <f>"20190312154146525"</f>
        <v>20190312154146525</v>
      </c>
      <c r="B9905" t="str">
        <f>"1552376506515960"</f>
        <v>1552376506515960</v>
      </c>
      <c r="C9905" t="s">
        <v>40</v>
      </c>
      <c r="D9905">
        <v>4.1898619999999998</v>
      </c>
      <c r="E9905">
        <v>0.53338219999999903</v>
      </c>
      <c r="F9905" t="s">
        <v>75</v>
      </c>
      <c r="G9905">
        <v>-168.52160000000001</v>
      </c>
      <c r="H9905">
        <v>0.63688089999999997</v>
      </c>
      <c r="I9905">
        <v>172.69130000000001</v>
      </c>
      <c r="J9905">
        <v>-188.22040000000001</v>
      </c>
      <c r="K9905">
        <v>1.108806</v>
      </c>
      <c r="L9905">
        <v>12.43399</v>
      </c>
      <c r="M9905">
        <v>-9.6286659999999993E-3</v>
      </c>
      <c r="N9905">
        <v>0</v>
      </c>
      <c r="O9905">
        <v>0.9999439</v>
      </c>
      <c r="P9905">
        <v>3.4578350000000001E-2</v>
      </c>
      <c r="Q9905">
        <v>9.3150290000000007E-3</v>
      </c>
      <c r="R9905">
        <v>0.99935859999999999</v>
      </c>
      <c r="S9905">
        <v>0.36659239999999998</v>
      </c>
      <c r="T9905">
        <v>-8.7834599999999999E-3</v>
      </c>
      <c r="U9905">
        <v>2.989471</v>
      </c>
      <c r="V9905">
        <v>4.4199830000000002E-2</v>
      </c>
      <c r="W9905">
        <v>1.3725630000000001E-2</v>
      </c>
      <c r="X9905">
        <v>0.99892840000000005</v>
      </c>
      <c r="Y9905">
        <v>0.1312671</v>
      </c>
      <c r="Z9905">
        <v>-2.9142880000000001E-3</v>
      </c>
      <c r="AA9905">
        <v>0.99134279999999997</v>
      </c>
      <c r="AB9905">
        <v>32</v>
      </c>
      <c r="AC9905">
        <v>19.698799999999999</v>
      </c>
      <c r="AD9905">
        <v>-0.47192509999999999</v>
      </c>
      <c r="AE9905">
        <v>160.25730999999999</v>
      </c>
      <c r="AF9905">
        <v>21.2407845026305</v>
      </c>
      <c r="AG9905">
        <v>-0.47192509999999999</v>
      </c>
      <c r="AH9905">
        <v>160.05883850227201</v>
      </c>
      <c r="AI9905">
        <v>90.167464953837495</v>
      </c>
      <c r="AJ9905">
        <v>82.440669519941906</v>
      </c>
      <c r="AK9905">
        <v>161.46276791348399</v>
      </c>
      <c r="AL9905">
        <v>89.213554621782393</v>
      </c>
      <c r="AM9905">
        <v>87.466472120248199</v>
      </c>
      <c r="AN9905">
        <v>0.99999998310874205</v>
      </c>
    </row>
    <row r="9906" spans="1:40" x14ac:dyDescent="0.25">
      <c r="A9906" t="str">
        <f>"20190312154146548"</f>
        <v>20190312154146548</v>
      </c>
      <c r="B9906" t="str">
        <f>"1552376506535481"</f>
        <v>1552376506535481</v>
      </c>
      <c r="C9906" t="s">
        <v>40</v>
      </c>
      <c r="D9906">
        <v>4.1818280000000003</v>
      </c>
      <c r="E9906">
        <v>0.53345290000000001</v>
      </c>
      <c r="F9906" t="s">
        <v>75</v>
      </c>
      <c r="G9906">
        <v>-168.4615</v>
      </c>
      <c r="H9906">
        <v>0.55614949999999996</v>
      </c>
      <c r="I9906">
        <v>172.69130000000001</v>
      </c>
      <c r="J9906">
        <v>-188.2234</v>
      </c>
      <c r="K9906">
        <v>1.1088020000000001</v>
      </c>
      <c r="L9906">
        <v>12.74591</v>
      </c>
      <c r="M9906">
        <v>-9.6294210000000009E-3</v>
      </c>
      <c r="N9906">
        <v>0</v>
      </c>
      <c r="O9906">
        <v>0.99994360000000004</v>
      </c>
      <c r="P9906">
        <v>3.4964179999999997E-2</v>
      </c>
      <c r="Q9906">
        <v>9.1933629999999995E-3</v>
      </c>
      <c r="R9906">
        <v>0.99934630000000002</v>
      </c>
      <c r="S9906">
        <v>0.36856080000000002</v>
      </c>
      <c r="T9906">
        <v>-1.0308029999999999E-2</v>
      </c>
      <c r="U9906">
        <v>2.989258</v>
      </c>
      <c r="V9906">
        <v>4.4586279999999999E-2</v>
      </c>
      <c r="W9906">
        <v>1.3666029999999999E-2</v>
      </c>
      <c r="X9906">
        <v>0.99891200000000002</v>
      </c>
      <c r="Y9906">
        <v>0.13191929999999999</v>
      </c>
      <c r="Z9906">
        <v>-3.4200789999999999E-3</v>
      </c>
      <c r="AA9906">
        <v>0.99125459999999999</v>
      </c>
      <c r="AB9906">
        <v>32</v>
      </c>
      <c r="AC9906">
        <v>19.761900000000001</v>
      </c>
      <c r="AD9906">
        <v>-0.55265249999999999</v>
      </c>
      <c r="AE9906">
        <v>159.94539</v>
      </c>
      <c r="AF9906">
        <v>21.300930212134102</v>
      </c>
      <c r="AG9906">
        <v>-0.55265249999999999</v>
      </c>
      <c r="AH9906">
        <v>159.745798089223</v>
      </c>
      <c r="AI9906">
        <v>90.196479214231303</v>
      </c>
      <c r="AJ9906">
        <v>82.404831386282694</v>
      </c>
      <c r="AK9906">
        <v>161.160649849306</v>
      </c>
      <c r="AL9906">
        <v>89.216969737046199</v>
      </c>
      <c r="AM9906">
        <v>87.444308201483295</v>
      </c>
      <c r="AN9906">
        <v>0.99999994024209704</v>
      </c>
    </row>
    <row r="9907" spans="1:40" x14ac:dyDescent="0.25">
      <c r="A9907" t="str">
        <f>"20190312154146568"</f>
        <v>20190312154146568</v>
      </c>
      <c r="B9907" t="str">
        <f>"1552376506566358"</f>
        <v>1552376506566358</v>
      </c>
      <c r="C9907" t="s">
        <v>40</v>
      </c>
      <c r="D9907">
        <v>4.2050219999999996</v>
      </c>
      <c r="E9907">
        <v>0.53345149999999997</v>
      </c>
      <c r="F9907" t="s">
        <v>75</v>
      </c>
      <c r="G9907">
        <v>-168.4015</v>
      </c>
      <c r="H9907">
        <v>0.47482679999999999</v>
      </c>
      <c r="I9907">
        <v>172.69130000000001</v>
      </c>
      <c r="J9907">
        <v>-188.22630000000001</v>
      </c>
      <c r="K9907">
        <v>1.1088039999999999</v>
      </c>
      <c r="L9907">
        <v>13.047940000000001</v>
      </c>
      <c r="M9907">
        <v>-9.6301249999999998E-3</v>
      </c>
      <c r="N9907">
        <v>0</v>
      </c>
      <c r="O9907">
        <v>0.99994329999999998</v>
      </c>
      <c r="P9907">
        <v>3.5105940000000002E-2</v>
      </c>
      <c r="Q9907">
        <v>9.0991279999999997E-3</v>
      </c>
      <c r="R9907">
        <v>0.99934210000000001</v>
      </c>
      <c r="S9907">
        <v>0.37043759999999998</v>
      </c>
      <c r="T9907">
        <v>-1.184726E-2</v>
      </c>
      <c r="U9907">
        <v>2.9891049999999999</v>
      </c>
      <c r="V9907">
        <v>4.4728690000000002E-2</v>
      </c>
      <c r="W9907">
        <v>1.36317E-2</v>
      </c>
      <c r="X9907">
        <v>0.99890610000000002</v>
      </c>
      <c r="Y9907">
        <v>0.13253889999999999</v>
      </c>
      <c r="Z9907">
        <v>-3.9306559999999898E-3</v>
      </c>
      <c r="AA9907">
        <v>0.99117</v>
      </c>
      <c r="AB9907">
        <v>32</v>
      </c>
      <c r="AC9907">
        <v>19.8248</v>
      </c>
      <c r="AD9907">
        <v>-0.63397720000000002</v>
      </c>
      <c r="AE9907">
        <v>159.64336</v>
      </c>
      <c r="AF9907">
        <v>21.360950325423001</v>
      </c>
      <c r="AG9907">
        <v>-0.63397720000000002</v>
      </c>
      <c r="AH9907">
        <v>159.44256349190599</v>
      </c>
      <c r="AI9907">
        <v>90.225801494806902</v>
      </c>
      <c r="AJ9907">
        <v>82.369366658423502</v>
      </c>
      <c r="AK9907">
        <v>160.86834113263501</v>
      </c>
      <c r="AL9907">
        <v>89.218936882595699</v>
      </c>
      <c r="AM9907">
        <v>87.436140992368607</v>
      </c>
      <c r="AN9907">
        <v>0.99999993778560603</v>
      </c>
    </row>
    <row r="9908" spans="1:40" x14ac:dyDescent="0.25">
      <c r="A9908" t="str">
        <f>"20190312154146590"</f>
        <v>20190312154146590</v>
      </c>
      <c r="B9908" t="str">
        <f>"1552376506585880"</f>
        <v>1552376506585880</v>
      </c>
      <c r="C9908" t="s">
        <v>40</v>
      </c>
      <c r="D9908">
        <v>4.1441290000000004</v>
      </c>
      <c r="E9908">
        <v>0.53353240000000002</v>
      </c>
      <c r="F9908" t="s">
        <v>75</v>
      </c>
      <c r="G9908">
        <v>-168.42769999999999</v>
      </c>
      <c r="H9908">
        <v>0.44556899999999999</v>
      </c>
      <c r="I9908">
        <v>172.69139999999999</v>
      </c>
      <c r="J9908">
        <v>-188.22929999999999</v>
      </c>
      <c r="K9908">
        <v>1.108808</v>
      </c>
      <c r="L9908">
        <v>13.3570299999999</v>
      </c>
      <c r="M9908">
        <v>-9.6307960000000005E-3</v>
      </c>
      <c r="N9908">
        <v>0</v>
      </c>
      <c r="O9908">
        <v>0.99994300000000003</v>
      </c>
      <c r="P9908">
        <v>3.4949580000000001E-2</v>
      </c>
      <c r="Q9908">
        <v>9.2426020000000008E-3</v>
      </c>
      <c r="R9908">
        <v>0.99934630000000002</v>
      </c>
      <c r="S9908">
        <v>0.370697</v>
      </c>
      <c r="T9908">
        <v>-1.241744E-2</v>
      </c>
      <c r="U9908">
        <v>2.9890750000000001</v>
      </c>
      <c r="V9908">
        <v>4.4573059999999998E-2</v>
      </c>
      <c r="W9908">
        <v>1.3835770000000001E-2</v>
      </c>
      <c r="X9908">
        <v>0.99891030000000003</v>
      </c>
      <c r="Y9908">
        <v>0.1326254</v>
      </c>
      <c r="Z9908">
        <v>-4.1198199999999997E-3</v>
      </c>
      <c r="AA9908">
        <v>0.99115770000000003</v>
      </c>
      <c r="AB9908">
        <v>32</v>
      </c>
      <c r="AC9908">
        <v>19.801600000000001</v>
      </c>
      <c r="AD9908">
        <v>-0.66323900000000002</v>
      </c>
      <c r="AE9908">
        <v>159.33436999999901</v>
      </c>
      <c r="AF9908">
        <v>21.3348507069535</v>
      </c>
      <c r="AG9908">
        <v>-0.66323900000000002</v>
      </c>
      <c r="AH9908">
        <v>159.13355781149301</v>
      </c>
      <c r="AI9908">
        <v>90.236679152752799</v>
      </c>
      <c r="AJ9908">
        <v>82.363955575626093</v>
      </c>
      <c r="AK9908">
        <v>160.55872745635099</v>
      </c>
      <c r="AL9908">
        <v>89.2072434681684</v>
      </c>
      <c r="AM9908">
        <v>87.4450606270874</v>
      </c>
      <c r="AN9908">
        <v>0.99999998682767299</v>
      </c>
    </row>
    <row r="9909" spans="1:40" x14ac:dyDescent="0.25">
      <c r="A9909" t="str">
        <f>"20190312154146604"</f>
        <v>20190312154146604</v>
      </c>
      <c r="B9909" t="str">
        <f>"1552376506595640"</f>
        <v>1552376506595640</v>
      </c>
      <c r="C9909" t="s">
        <v>40</v>
      </c>
      <c r="D9909">
        <v>4.1791320000000001</v>
      </c>
      <c r="E9909">
        <v>0.53356949999999903</v>
      </c>
      <c r="F9909" t="s">
        <v>75</v>
      </c>
      <c r="G9909">
        <v>-168.4546</v>
      </c>
      <c r="H9909">
        <v>0.4666071</v>
      </c>
      <c r="I9909">
        <v>172.69139999999999</v>
      </c>
      <c r="J9909">
        <v>-188.23140000000001</v>
      </c>
      <c r="K9909">
        <v>1.1088169999999999</v>
      </c>
      <c r="L9909">
        <v>13.572509999999999</v>
      </c>
      <c r="M9909">
        <v>-9.6312440000000006E-3</v>
      </c>
      <c r="N9909">
        <v>0</v>
      </c>
      <c r="O9909">
        <v>0.99994269999999996</v>
      </c>
      <c r="P9909">
        <v>3.4908300000000003E-2</v>
      </c>
      <c r="Q9909">
        <v>9.3038659999999992E-3</v>
      </c>
      <c r="R9909">
        <v>0.99934719999999999</v>
      </c>
      <c r="S9909">
        <v>0.37097170000000002</v>
      </c>
      <c r="T9909">
        <v>-1.204705E-2</v>
      </c>
      <c r="U9909">
        <v>2.9891049999999999</v>
      </c>
      <c r="V9909">
        <v>4.4532240000000001E-2</v>
      </c>
      <c r="W9909">
        <v>1.3960210000000001E-2</v>
      </c>
      <c r="X9909">
        <v>0.99891039999999998</v>
      </c>
      <c r="Y9909">
        <v>0.13271429999999901</v>
      </c>
      <c r="Z9909">
        <v>-3.9968499999999997E-3</v>
      </c>
      <c r="AA9909">
        <v>0.99114630000000004</v>
      </c>
      <c r="AB9909">
        <v>32</v>
      </c>
      <c r="AC9909">
        <v>19.776800000000001</v>
      </c>
      <c r="AD9909">
        <v>-0.642209899999999</v>
      </c>
      <c r="AE9909">
        <v>159.11888999999999</v>
      </c>
      <c r="AF9909">
        <v>21.3080704693045</v>
      </c>
      <c r="AG9909">
        <v>-0.642209899999999</v>
      </c>
      <c r="AH9909">
        <v>158.91848306186401</v>
      </c>
      <c r="AI9909">
        <v>90.229484689650704</v>
      </c>
      <c r="AJ9909">
        <v>82.363227905754698</v>
      </c>
      <c r="AK9909">
        <v>160.34191766149101</v>
      </c>
      <c r="AL9909">
        <v>89.200112901157496</v>
      </c>
      <c r="AM9909">
        <v>87.447397599028605</v>
      </c>
      <c r="AN9909">
        <v>0.99999999754541002</v>
      </c>
    </row>
    <row r="9910" spans="1:40" x14ac:dyDescent="0.25">
      <c r="A9910" t="str">
        <f>"20190312154146624"</f>
        <v>20190312154146624</v>
      </c>
      <c r="B9910" t="str">
        <f>"1552376506616135"</f>
        <v>1552376506616135</v>
      </c>
      <c r="C9910" t="s">
        <v>40</v>
      </c>
      <c r="D9910">
        <v>4.2245759999999999</v>
      </c>
      <c r="E9910">
        <v>0.53367419999999899</v>
      </c>
      <c r="F9910" t="s">
        <v>75</v>
      </c>
      <c r="G9910">
        <v>-168.4753</v>
      </c>
      <c r="H9910">
        <v>0.48122979999999999</v>
      </c>
      <c r="I9910">
        <v>172.69139999999999</v>
      </c>
      <c r="J9910">
        <v>-188.23419999999999</v>
      </c>
      <c r="K9910">
        <v>1.1088519999999999</v>
      </c>
      <c r="L9910">
        <v>13.86871</v>
      </c>
      <c r="M9910">
        <v>-9.6318500000000008E-3</v>
      </c>
      <c r="N9910">
        <v>0</v>
      </c>
      <c r="O9910">
        <v>0.99994190000000005</v>
      </c>
      <c r="P9910">
        <v>3.4637040000000001E-2</v>
      </c>
      <c r="Q9910">
        <v>9.2115760000000008E-3</v>
      </c>
      <c r="R9910">
        <v>0.99935750000000001</v>
      </c>
      <c r="S9910">
        <v>0.37112430000000002</v>
      </c>
      <c r="T9910">
        <v>-1.178885E-2</v>
      </c>
      <c r="U9910">
        <v>2.9891049999999999</v>
      </c>
      <c r="V9910">
        <v>4.4261710000000003E-2</v>
      </c>
      <c r="W9910">
        <v>1.4031729999999999E-2</v>
      </c>
      <c r="X9910">
        <v>0.99892150000000002</v>
      </c>
      <c r="Y9910">
        <v>0.13276479999999999</v>
      </c>
      <c r="Z9910">
        <v>-3.9111609999999998E-3</v>
      </c>
      <c r="AA9910">
        <v>0.99113980000000002</v>
      </c>
      <c r="AB9910">
        <v>32</v>
      </c>
      <c r="AC9910">
        <v>19.758899999999901</v>
      </c>
      <c r="AD9910">
        <v>-0.62762220000000002</v>
      </c>
      <c r="AE9910">
        <v>158.82268999999999</v>
      </c>
      <c r="AF9910">
        <v>21.287430300106401</v>
      </c>
      <c r="AG9910">
        <v>-0.62762220000000002</v>
      </c>
      <c r="AH9910">
        <v>158.62256616945899</v>
      </c>
      <c r="AI9910">
        <v>90.224686864885101</v>
      </c>
      <c r="AJ9910">
        <v>82.356473169018798</v>
      </c>
      <c r="AK9910">
        <v>160.04582811367601</v>
      </c>
      <c r="AL9910">
        <v>89.196014768496198</v>
      </c>
      <c r="AM9910">
        <v>87.462912297169098</v>
      </c>
      <c r="AN9910">
        <v>1.00000007579058</v>
      </c>
    </row>
    <row r="9911" spans="1:40" x14ac:dyDescent="0.25">
      <c r="A9911" t="str">
        <f>"20190312154146640"</f>
        <v>20190312154146640</v>
      </c>
      <c r="B9911" t="str">
        <f>"1552376506635654"</f>
        <v>1552376506635654</v>
      </c>
      <c r="C9911" t="s">
        <v>40</v>
      </c>
      <c r="D9911">
        <v>4.1759700000000004</v>
      </c>
      <c r="E9911">
        <v>0.53378179999999997</v>
      </c>
      <c r="F9911" t="s">
        <v>75</v>
      </c>
      <c r="G9911">
        <v>-168.51390000000001</v>
      </c>
      <c r="H9911">
        <v>0.44881339999999997</v>
      </c>
      <c r="I9911">
        <v>172.69139999999999</v>
      </c>
      <c r="J9911">
        <v>-188.2363</v>
      </c>
      <c r="K9911">
        <v>1.108892</v>
      </c>
      <c r="L9911">
        <v>14.08249</v>
      </c>
      <c r="M9911">
        <v>-9.6324919999999994E-3</v>
      </c>
      <c r="N9911">
        <v>0</v>
      </c>
      <c r="O9911">
        <v>0.99994099999999997</v>
      </c>
      <c r="P9911">
        <v>3.457768E-2</v>
      </c>
      <c r="Q9911">
        <v>8.9261449999999999E-3</v>
      </c>
      <c r="R9911">
        <v>0.99936219999999998</v>
      </c>
      <c r="S9911">
        <v>0.37115480000000001</v>
      </c>
      <c r="T9911">
        <v>-1.2421969999999999E-2</v>
      </c>
      <c r="U9911">
        <v>2.9891969999999999</v>
      </c>
      <c r="V9911">
        <v>4.420317E-2</v>
      </c>
      <c r="W9911">
        <v>1.3942090000000001E-2</v>
      </c>
      <c r="X9911">
        <v>0.99892530000000002</v>
      </c>
      <c r="Y9911">
        <v>0.13277159999999999</v>
      </c>
      <c r="Z9911">
        <v>-4.1210769999999999E-3</v>
      </c>
      <c r="AA9911">
        <v>0.99113810000000002</v>
      </c>
      <c r="AB9911">
        <v>33</v>
      </c>
      <c r="AC9911">
        <v>19.7224</v>
      </c>
      <c r="AD9911">
        <v>-0.66007859999999996</v>
      </c>
      <c r="AE9911">
        <v>158.60890999999901</v>
      </c>
      <c r="AF9911">
        <v>21.248940883424201</v>
      </c>
      <c r="AG9911">
        <v>-0.66007859999999996</v>
      </c>
      <c r="AH9911">
        <v>158.40887134014201</v>
      </c>
      <c r="AI9911">
        <v>90.236626736858298</v>
      </c>
      <c r="AJ9911">
        <v>82.3599590801022</v>
      </c>
      <c r="AK9911">
        <v>159.82904526926001</v>
      </c>
      <c r="AL9911">
        <v>89.201151226500599</v>
      </c>
      <c r="AM9911">
        <v>87.466273068683293</v>
      </c>
      <c r="AN9911">
        <v>1.0000000285458499</v>
      </c>
    </row>
    <row r="9912" spans="1:40" x14ac:dyDescent="0.25">
      <c r="A9912" t="str">
        <f>"20190312154146658"</f>
        <v>20190312154146658</v>
      </c>
      <c r="B9912" t="str">
        <f>"1552376506645414"</f>
        <v>1552376506645414</v>
      </c>
      <c r="C9912" t="s">
        <v>40</v>
      </c>
      <c r="D9912">
        <v>4.1625940000000003</v>
      </c>
      <c r="E9912">
        <v>0.53386599999999995</v>
      </c>
      <c r="F9912" t="s">
        <v>75</v>
      </c>
      <c r="G9912">
        <v>-168.51240000000001</v>
      </c>
      <c r="H9912">
        <v>0.39595029999999998</v>
      </c>
      <c r="I9912">
        <v>172.69139999999999</v>
      </c>
      <c r="J9912">
        <v>-188.2388</v>
      </c>
      <c r="K9912">
        <v>1.108948</v>
      </c>
      <c r="L9912">
        <v>14.34225</v>
      </c>
      <c r="M9912">
        <v>-9.6346950000000004E-3</v>
      </c>
      <c r="N9912">
        <v>0</v>
      </c>
      <c r="O9912">
        <v>0.99993900000000002</v>
      </c>
      <c r="P9912">
        <v>3.4658719999999997E-2</v>
      </c>
      <c r="Q9912">
        <v>8.8502730000000005E-3</v>
      </c>
      <c r="R9912">
        <v>0.99936000000000003</v>
      </c>
      <c r="S9912">
        <v>0.37171939999999998</v>
      </c>
      <c r="T9912">
        <v>-1.3435600000000001E-2</v>
      </c>
      <c r="U9912">
        <v>2.989166</v>
      </c>
      <c r="V9912">
        <v>4.4287359999999998E-2</v>
      </c>
      <c r="W9912">
        <v>1.423961E-2</v>
      </c>
      <c r="X9912">
        <v>0.99891730000000001</v>
      </c>
      <c r="Y9912">
        <v>0.132959299999999</v>
      </c>
      <c r="Z9912">
        <v>-4.4572889999999997E-3</v>
      </c>
      <c r="AA9912">
        <v>0.99111150000000003</v>
      </c>
      <c r="AB9912">
        <v>33</v>
      </c>
      <c r="AC9912">
        <v>19.726399999999899</v>
      </c>
      <c r="AD9912">
        <v>-0.71299769999999996</v>
      </c>
      <c r="AE9912">
        <v>158.34914999999901</v>
      </c>
      <c r="AF9912">
        <v>21.2507281338331</v>
      </c>
      <c r="AG9912">
        <v>-0.71299769999999996</v>
      </c>
      <c r="AH9912">
        <v>158.14858208492001</v>
      </c>
      <c r="AI9912">
        <v>90.256009908711803</v>
      </c>
      <c r="AJ9912">
        <v>82.3468975631516</v>
      </c>
      <c r="AK9912">
        <v>159.57153827487201</v>
      </c>
      <c r="AL9912">
        <v>89.184102833606104</v>
      </c>
      <c r="AM9912">
        <v>87.461433298688704</v>
      </c>
      <c r="AN9912">
        <v>0.99999995449400403</v>
      </c>
    </row>
    <row r="9913" spans="1:40" x14ac:dyDescent="0.25">
      <c r="A9913" t="str">
        <f>"20190312154146679"</f>
        <v>20190312154146679</v>
      </c>
      <c r="B9913" t="str">
        <f>"1552376506675674"</f>
        <v>1552376506675674</v>
      </c>
      <c r="C9913" t="s">
        <v>40</v>
      </c>
      <c r="D9913">
        <v>4.1590999999999996</v>
      </c>
      <c r="E9913">
        <v>0.53396060000000001</v>
      </c>
      <c r="F9913" t="s">
        <v>75</v>
      </c>
      <c r="G9913">
        <v>-168.49019999999999</v>
      </c>
      <c r="H9913">
        <v>0.38396550000000002</v>
      </c>
      <c r="I9913">
        <v>172.69139999999999</v>
      </c>
      <c r="J9913">
        <v>-188.24189999999999</v>
      </c>
      <c r="K9913">
        <v>1.109097</v>
      </c>
      <c r="L9913">
        <v>14.6604299999999</v>
      </c>
      <c r="M9913">
        <v>-9.6536699999999996E-3</v>
      </c>
      <c r="N9913">
        <v>0</v>
      </c>
      <c r="O9913">
        <v>0.99993379999999998</v>
      </c>
      <c r="P9913">
        <v>3.4876209999999998E-2</v>
      </c>
      <c r="Q9913">
        <v>7.8773599999999999E-3</v>
      </c>
      <c r="R9913">
        <v>0.99936060000000004</v>
      </c>
      <c r="S9913">
        <v>0.37278749999999999</v>
      </c>
      <c r="T9913">
        <v>-1.368463E-2</v>
      </c>
      <c r="U9913">
        <v>2.9891049999999999</v>
      </c>
      <c r="V9913">
        <v>4.452528E-2</v>
      </c>
      <c r="W9913">
        <v>1.411374E-2</v>
      </c>
      <c r="X9913">
        <v>0.99890860000000004</v>
      </c>
      <c r="Y9913">
        <v>0.13332929999999901</v>
      </c>
      <c r="Z9913">
        <v>-4.5397800000000002E-3</v>
      </c>
      <c r="AA9913">
        <v>0.99106139999999998</v>
      </c>
      <c r="AB9913">
        <v>33</v>
      </c>
      <c r="AC9913">
        <v>19.7517</v>
      </c>
      <c r="AD9913">
        <v>-0.72513149999999904</v>
      </c>
      <c r="AE9913">
        <v>158.03097</v>
      </c>
      <c r="AF9913">
        <v>21.275947248519</v>
      </c>
      <c r="AG9913">
        <v>-0.72513149999999904</v>
      </c>
      <c r="AH9913">
        <v>157.829653747404</v>
      </c>
      <c r="AI9913">
        <v>90.260877871899794</v>
      </c>
      <c r="AJ9913">
        <v>82.322624769102006</v>
      </c>
      <c r="AK9913">
        <v>159.25888153895599</v>
      </c>
      <c r="AL9913">
        <v>89.191315451465599</v>
      </c>
      <c r="AM9913">
        <v>87.447791428012394</v>
      </c>
      <c r="AN9913">
        <v>1.00000004468491</v>
      </c>
    </row>
    <row r="9914" spans="1:40" x14ac:dyDescent="0.25">
      <c r="A9914" t="str">
        <f>"20190312154146702"</f>
        <v>20190312154146702</v>
      </c>
      <c r="B9914" t="str">
        <f>"1552376506696167"</f>
        <v>1552376506696167</v>
      </c>
      <c r="C9914" t="s">
        <v>40</v>
      </c>
      <c r="D9914">
        <v>4.1293540000000002</v>
      </c>
      <c r="E9914">
        <v>0.53408279999999997</v>
      </c>
      <c r="F9914" t="s">
        <v>75</v>
      </c>
      <c r="G9914">
        <v>-168.46360000000001</v>
      </c>
      <c r="H9914">
        <v>0.2315102</v>
      </c>
      <c r="I9914">
        <v>172.69149999999999</v>
      </c>
      <c r="J9914">
        <v>-188.24510000000001</v>
      </c>
      <c r="K9914">
        <v>1.109216</v>
      </c>
      <c r="L9914">
        <v>14.984769999999999</v>
      </c>
      <c r="M9914">
        <v>-9.6767680000000005E-3</v>
      </c>
      <c r="N9914">
        <v>0</v>
      </c>
      <c r="O9914">
        <v>0.99992800000000004</v>
      </c>
      <c r="P9914">
        <v>3.5049160000000003E-2</v>
      </c>
      <c r="Q9914">
        <v>7.1352150000000003E-3</v>
      </c>
      <c r="R9914">
        <v>0.99936009999999997</v>
      </c>
      <c r="S9914">
        <v>0.37408449999999999</v>
      </c>
      <c r="T9914">
        <v>-1.659799E-2</v>
      </c>
      <c r="U9914">
        <v>2.9889830000000002</v>
      </c>
      <c r="V9914">
        <v>4.4722730000000002E-2</v>
      </c>
      <c r="W9914">
        <v>1.420719E-2</v>
      </c>
      <c r="X9914">
        <v>0.99889839999999996</v>
      </c>
      <c r="Y9914">
        <v>0.13377999999999901</v>
      </c>
      <c r="Z9914">
        <v>-5.5061440000000001E-3</v>
      </c>
      <c r="AA9914">
        <v>0.99099579999999998</v>
      </c>
      <c r="AB9914">
        <v>32</v>
      </c>
      <c r="AC9914">
        <v>19.781499999999902</v>
      </c>
      <c r="AD9914">
        <v>-0.87770579999999998</v>
      </c>
      <c r="AE9914">
        <v>157.70672999999999</v>
      </c>
      <c r="AF9914">
        <v>21.306053914357101</v>
      </c>
      <c r="AG9914">
        <v>-0.87770579999999998</v>
      </c>
      <c r="AH9914">
        <v>157.503116895098</v>
      </c>
      <c r="AI9914">
        <v>90.316402838699304</v>
      </c>
      <c r="AJ9914">
        <v>82.296142857561605</v>
      </c>
      <c r="AK9914">
        <v>158.94008346714699</v>
      </c>
      <c r="AL9914">
        <v>89.185960579832198</v>
      </c>
      <c r="AM9914">
        <v>87.4364624307035</v>
      </c>
      <c r="AN9914">
        <v>0.99999999017445396</v>
      </c>
    </row>
    <row r="9915" spans="1:40" x14ac:dyDescent="0.25">
      <c r="A9915" t="str">
        <f>"20190312154146726"</f>
        <v>20190312154146726</v>
      </c>
      <c r="B9915" t="str">
        <f>"1552376506715687"</f>
        <v>1552376506715687</v>
      </c>
      <c r="C9915" t="s">
        <v>40</v>
      </c>
      <c r="D9915">
        <v>4.1184589999999996</v>
      </c>
      <c r="E9915">
        <v>0.53415519999999905</v>
      </c>
      <c r="F9915" t="s">
        <v>75</v>
      </c>
      <c r="G9915">
        <v>-168.42869999999999</v>
      </c>
      <c r="H9915">
        <v>0.1021547</v>
      </c>
      <c r="I9915">
        <v>172.69149999999999</v>
      </c>
      <c r="J9915">
        <v>-188.24860000000001</v>
      </c>
      <c r="K9915">
        <v>1.1092820000000001</v>
      </c>
      <c r="L9915">
        <v>15.34146</v>
      </c>
      <c r="M9915">
        <v>-9.6904109999999995E-3</v>
      </c>
      <c r="N9915">
        <v>0</v>
      </c>
      <c r="O9915">
        <v>0.99992250000000005</v>
      </c>
      <c r="P9915">
        <v>3.4780560000000002E-2</v>
      </c>
      <c r="Q9915">
        <v>6.5695450000000004E-3</v>
      </c>
      <c r="R9915">
        <v>0.99937339999999997</v>
      </c>
      <c r="S9915">
        <v>0.37556460000000003</v>
      </c>
      <c r="T9915">
        <v>-1.9085410000000001E-2</v>
      </c>
      <c r="U9915">
        <v>2.9888919999999999</v>
      </c>
      <c r="V9915">
        <v>4.4469170000000002E-2</v>
      </c>
      <c r="W9915">
        <v>1.4367390000000001E-2</v>
      </c>
      <c r="X9915">
        <v>0.9989074</v>
      </c>
      <c r="Y9915">
        <v>0.13427990000000001</v>
      </c>
      <c r="Z9915">
        <v>-6.3310619999999897E-3</v>
      </c>
      <c r="AA9915">
        <v>0.9909232</v>
      </c>
      <c r="AB9915">
        <v>32</v>
      </c>
      <c r="AC9915">
        <v>19.819900000000001</v>
      </c>
      <c r="AD9915">
        <v>-1.0071272999999901</v>
      </c>
      <c r="AE9915">
        <v>157.35003999999901</v>
      </c>
      <c r="AF9915">
        <v>21.3429417697837</v>
      </c>
      <c r="AG9915">
        <v>-1.0071272999999901</v>
      </c>
      <c r="AH9915">
        <v>157.144245432444</v>
      </c>
      <c r="AI9915">
        <v>90.363859394239597</v>
      </c>
      <c r="AJ9915">
        <v>82.265555141343796</v>
      </c>
      <c r="AK9915">
        <v>158.590193080527</v>
      </c>
      <c r="AL9915">
        <v>89.176780835183806</v>
      </c>
      <c r="AM9915">
        <v>87.451000374951207</v>
      </c>
      <c r="AN9915">
        <v>0.99999996137532898</v>
      </c>
    </row>
    <row r="9916" spans="1:40" x14ac:dyDescent="0.25">
      <c r="A9916" t="str">
        <f>"20190312154146747"</f>
        <v>20190312154146747</v>
      </c>
      <c r="B9916" t="str">
        <f>"1552376506736183"</f>
        <v>1552376506736183</v>
      </c>
      <c r="C9916" t="s">
        <v>40</v>
      </c>
      <c r="D9916">
        <v>4.0959729999999999</v>
      </c>
      <c r="E9916">
        <v>0.53427799999999903</v>
      </c>
      <c r="F9916" t="s">
        <v>75</v>
      </c>
      <c r="G9916">
        <v>-168.48779999999999</v>
      </c>
      <c r="H9916">
        <v>3.1683919999999997E-2</v>
      </c>
      <c r="I9916">
        <v>172.69149999999999</v>
      </c>
      <c r="J9916">
        <v>-188.2516</v>
      </c>
      <c r="K9916">
        <v>1.10931</v>
      </c>
      <c r="L9916">
        <v>15.65146</v>
      </c>
      <c r="M9916">
        <v>-9.6930869999999995E-3</v>
      </c>
      <c r="N9916">
        <v>0</v>
      </c>
      <c r="O9916">
        <v>0.99991799999999997</v>
      </c>
      <c r="P9916">
        <v>3.4729790000000003E-2</v>
      </c>
      <c r="Q9916">
        <v>5.661068E-3</v>
      </c>
      <c r="R9916">
        <v>0.99938070000000001</v>
      </c>
      <c r="S9916">
        <v>0.37536619999999998</v>
      </c>
      <c r="T9916">
        <v>-2.046895E-2</v>
      </c>
      <c r="U9916">
        <v>2.988953</v>
      </c>
      <c r="V9916">
        <v>4.4421780000000001E-2</v>
      </c>
      <c r="W9916">
        <v>1.400217E-2</v>
      </c>
      <c r="X9916">
        <v>0.99891470000000004</v>
      </c>
      <c r="Y9916">
        <v>0.1342149</v>
      </c>
      <c r="Z9916">
        <v>-6.7899129999999999E-3</v>
      </c>
      <c r="AA9916">
        <v>0.99092899999999995</v>
      </c>
      <c r="AB9916">
        <v>32</v>
      </c>
      <c r="AC9916">
        <v>19.7638</v>
      </c>
      <c r="AD9916">
        <v>-1.0776260799999999</v>
      </c>
      <c r="AE9916">
        <v>157.04003999999901</v>
      </c>
      <c r="AF9916">
        <v>21.284140915694699</v>
      </c>
      <c r="AG9916">
        <v>-1.0776260799999999</v>
      </c>
      <c r="AH9916">
        <v>156.83381301449799</v>
      </c>
      <c r="AI9916">
        <v>90.390104865609501</v>
      </c>
      <c r="AJ9916">
        <v>82.271523708720906</v>
      </c>
      <c r="AK9916">
        <v>158.27514282778</v>
      </c>
      <c r="AL9916">
        <v>89.197708510399195</v>
      </c>
      <c r="AM9916">
        <v>87.453731804776893</v>
      </c>
      <c r="AN9916">
        <v>0.99999996658958301</v>
      </c>
    </row>
    <row r="9917" spans="1:40" x14ac:dyDescent="0.25">
      <c r="A9917" t="str">
        <f>"20190312154146769"</f>
        <v>20190312154146769</v>
      </c>
      <c r="B9917" t="str">
        <f>"1552376506765463"</f>
        <v>1552376506765463</v>
      </c>
      <c r="C9917" t="s">
        <v>40</v>
      </c>
      <c r="D9917">
        <v>4.1852019999999897</v>
      </c>
      <c r="E9917">
        <v>0.53259619999999996</v>
      </c>
      <c r="F9917" t="s">
        <v>55</v>
      </c>
      <c r="G9917">
        <v>-171.39400000000001</v>
      </c>
      <c r="H9917">
        <v>4.8560829999999999E-2</v>
      </c>
      <c r="I9917">
        <v>149.6163</v>
      </c>
      <c r="J9917">
        <v>-188.25470000000001</v>
      </c>
      <c r="K9917">
        <v>1.1093280000000001</v>
      </c>
      <c r="L9917">
        <v>15.962770000000001</v>
      </c>
      <c r="M9917">
        <v>-9.6932960000000006E-3</v>
      </c>
      <c r="N9917">
        <v>0</v>
      </c>
      <c r="O9917">
        <v>0.99991359999999996</v>
      </c>
      <c r="P9917">
        <v>3.4654799999999999E-2</v>
      </c>
      <c r="Q9917">
        <v>5.4534859999999996E-3</v>
      </c>
      <c r="R9917">
        <v>0.99938450000000001</v>
      </c>
      <c r="S9917">
        <v>0.3761139</v>
      </c>
      <c r="T9917">
        <v>-2.3666619999999999E-2</v>
      </c>
      <c r="U9917">
        <v>2.9889220000000001</v>
      </c>
      <c r="V9917">
        <v>4.4347829999999998E-2</v>
      </c>
      <c r="W9917">
        <v>1.429587E-2</v>
      </c>
      <c r="X9917">
        <v>0.99891390000000002</v>
      </c>
      <c r="Y9917">
        <v>0.13445950000000001</v>
      </c>
      <c r="Z9917">
        <v>-7.8504030000000006E-3</v>
      </c>
      <c r="AA9917">
        <v>0.99088799999999999</v>
      </c>
      <c r="AB9917">
        <v>32</v>
      </c>
      <c r="AC9917">
        <v>16.860700000000001</v>
      </c>
      <c r="AD9917">
        <v>-1.0607671700000001</v>
      </c>
      <c r="AE9917">
        <v>133.65352999999999</v>
      </c>
      <c r="AF9917">
        <v>18.154376449298798</v>
      </c>
      <c r="AG9917">
        <v>-1.0607671700000001</v>
      </c>
      <c r="AH9917">
        <v>133.47553205362999</v>
      </c>
      <c r="AI9917">
        <v>90.451181891572105</v>
      </c>
      <c r="AJ9917">
        <v>82.254571240294197</v>
      </c>
      <c r="AK9917">
        <v>134.70866441417701</v>
      </c>
      <c r="AL9917">
        <v>89.180879115430599</v>
      </c>
      <c r="AM9917">
        <v>87.457963040221699</v>
      </c>
      <c r="AN9917">
        <v>1.00000004076898</v>
      </c>
    </row>
    <row r="9918" spans="1:40" x14ac:dyDescent="0.25">
      <c r="A9918" t="str">
        <f>"20190312154146792"</f>
        <v>20190312154146792</v>
      </c>
      <c r="B9918" t="str">
        <f>"1552376506785959"</f>
        <v>1552376506785959</v>
      </c>
      <c r="C9918" t="s">
        <v>40</v>
      </c>
      <c r="D9918">
        <v>4.1902299999999997</v>
      </c>
      <c r="E9918">
        <v>0.53038540000000001</v>
      </c>
      <c r="F9918" t="s">
        <v>55</v>
      </c>
      <c r="G9918">
        <v>-171.5034</v>
      </c>
      <c r="H9918">
        <v>7.9983960000000007E-2</v>
      </c>
      <c r="I9918">
        <v>153.99719999999999</v>
      </c>
      <c r="J9918">
        <v>-188.25790000000001</v>
      </c>
      <c r="K9918">
        <v>1.109345</v>
      </c>
      <c r="L9918">
        <v>16.289639999999999</v>
      </c>
      <c r="M9918">
        <v>-9.6956569999999999E-3</v>
      </c>
      <c r="N9918">
        <v>0</v>
      </c>
      <c r="O9918">
        <v>0.9999093</v>
      </c>
      <c r="P9918">
        <v>3.4703779999999997E-2</v>
      </c>
      <c r="Q9918">
        <v>4.9611809999999899E-3</v>
      </c>
      <c r="R9918">
        <v>0.99938539999999998</v>
      </c>
      <c r="S9918">
        <v>0.36277769999999998</v>
      </c>
      <c r="T9918">
        <v>-2.2292260000000001E-2</v>
      </c>
      <c r="U9918">
        <v>2.9893800000000001</v>
      </c>
      <c r="V9918">
        <v>4.4399840000000003E-2</v>
      </c>
      <c r="W9918">
        <v>1.4280609999999999E-2</v>
      </c>
      <c r="X9918">
        <v>0.99891169999999996</v>
      </c>
      <c r="Y9918">
        <v>0.13008819999999999</v>
      </c>
      <c r="Z9918">
        <v>-7.3975990000000004E-3</v>
      </c>
      <c r="AA9918">
        <v>0.99147479999999999</v>
      </c>
      <c r="AB9918">
        <v>32</v>
      </c>
      <c r="AC9918">
        <v>16.7545</v>
      </c>
      <c r="AD9918">
        <v>-1.0293610399999999</v>
      </c>
      <c r="AE9918">
        <v>137.70756</v>
      </c>
      <c r="AF9918">
        <v>18.087940085642199</v>
      </c>
      <c r="AG9918">
        <v>-1.0293610399999999</v>
      </c>
      <c r="AH9918">
        <v>137.53106115191</v>
      </c>
      <c r="AI9918">
        <v>90.425165153101005</v>
      </c>
      <c r="AJ9918">
        <v>82.507521754315803</v>
      </c>
      <c r="AK9918">
        <v>138.719234218845</v>
      </c>
      <c r="AL9918">
        <v>89.181753450070104</v>
      </c>
      <c r="AM9918">
        <v>87.454980124127601</v>
      </c>
      <c r="AN9918">
        <v>0.99999993300544099</v>
      </c>
    </row>
    <row r="9919" spans="1:40" x14ac:dyDescent="0.25">
      <c r="A9919" t="str">
        <f>"20190312154146814"</f>
        <v>20190312154146814</v>
      </c>
      <c r="B9919" t="str">
        <f>"1552376506805479"</f>
        <v>1552376506805479</v>
      </c>
      <c r="C9919" t="s">
        <v>40</v>
      </c>
      <c r="D9919">
        <v>4.1622009999999996</v>
      </c>
      <c r="E9919">
        <v>0.52835069999999995</v>
      </c>
      <c r="F9919" t="s">
        <v>55</v>
      </c>
      <c r="G9919">
        <v>-172.86510000000001</v>
      </c>
      <c r="H9919">
        <v>1.811871E-2</v>
      </c>
      <c r="I9919">
        <v>149.6163</v>
      </c>
      <c r="J9919">
        <v>-188.261</v>
      </c>
      <c r="K9919">
        <v>1.1093440000000001</v>
      </c>
      <c r="L9919">
        <v>16.61523</v>
      </c>
      <c r="M9919">
        <v>-9.7003669999999997E-3</v>
      </c>
      <c r="N9919">
        <v>0</v>
      </c>
      <c r="O9919">
        <v>0.99990520000000005</v>
      </c>
      <c r="P9919">
        <v>3.4427270000000003E-2</v>
      </c>
      <c r="Q9919">
        <v>4.1929230000000003E-3</v>
      </c>
      <c r="R9919">
        <v>0.99939840000000002</v>
      </c>
      <c r="S9919">
        <v>0.345199599999999</v>
      </c>
      <c r="T9919">
        <v>-2.4471880000000001E-2</v>
      </c>
      <c r="U9919">
        <v>2.9899900000000001</v>
      </c>
      <c r="V9919">
        <v>4.4128540000000001E-2</v>
      </c>
      <c r="W9919">
        <v>1.3932079999999999E-2</v>
      </c>
      <c r="X9919">
        <v>0.9989287</v>
      </c>
      <c r="Y9919">
        <v>0.1243175</v>
      </c>
      <c r="Z9919">
        <v>-8.1250209999999996E-3</v>
      </c>
      <c r="AA9919">
        <v>0.99220920000000001</v>
      </c>
      <c r="AB9919">
        <v>32</v>
      </c>
      <c r="AC9919">
        <v>15.3958999999999</v>
      </c>
      <c r="AD9919">
        <v>-1.0912252899999999</v>
      </c>
      <c r="AE9919">
        <v>133.00107</v>
      </c>
      <c r="AF9919">
        <v>16.684288085221102</v>
      </c>
      <c r="AG9919">
        <v>-1.0912252899999999</v>
      </c>
      <c r="AH9919">
        <v>132.836634935738</v>
      </c>
      <c r="AI9919">
        <v>90.466993389336196</v>
      </c>
      <c r="AJ9919">
        <v>82.841134710016107</v>
      </c>
      <c r="AK9919">
        <v>133.884755751336</v>
      </c>
      <c r="AL9919">
        <v>89.201724781607993</v>
      </c>
      <c r="AM9919">
        <v>87.470553899782004</v>
      </c>
      <c r="AN9919">
        <v>0.99999998928967304</v>
      </c>
    </row>
    <row r="9920" spans="1:40" x14ac:dyDescent="0.25">
      <c r="A9920" t="str">
        <f>"20190312154146836"</f>
        <v>20190312154146836</v>
      </c>
      <c r="B9920" t="str">
        <f>"1552376506825979"</f>
        <v>1552376506825979</v>
      </c>
      <c r="C9920" t="s">
        <v>40</v>
      </c>
      <c r="D9920">
        <v>4.1319210000000002</v>
      </c>
      <c r="E9920">
        <v>0.52649290000000004</v>
      </c>
      <c r="F9920" t="s">
        <v>48</v>
      </c>
      <c r="G9920">
        <v>-177.02809999999999</v>
      </c>
      <c r="H9920">
        <v>0.17461989999999999</v>
      </c>
      <c r="I9920">
        <v>119.01949999999999</v>
      </c>
      <c r="J9920">
        <v>-188.26419999999999</v>
      </c>
      <c r="K9920">
        <v>1.109345</v>
      </c>
      <c r="L9920">
        <v>16.940249999999999</v>
      </c>
      <c r="M9920">
        <v>-9.7054659999999994E-3</v>
      </c>
      <c r="N9920">
        <v>0</v>
      </c>
      <c r="O9920">
        <v>0.9999015</v>
      </c>
      <c r="P9920">
        <v>3.4743639999999999E-2</v>
      </c>
      <c r="Q9920">
        <v>3.717363E-3</v>
      </c>
      <c r="R9920">
        <v>0.99938939999999998</v>
      </c>
      <c r="S9920">
        <v>0.32804870000000003</v>
      </c>
      <c r="T9920">
        <v>-2.7297849999999999E-2</v>
      </c>
      <c r="U9920">
        <v>2.990631</v>
      </c>
      <c r="V9920">
        <v>4.445027E-2</v>
      </c>
      <c r="W9920">
        <v>1.3822889999999999E-2</v>
      </c>
      <c r="X9920">
        <v>0.99891600000000003</v>
      </c>
      <c r="Y9920">
        <v>0.11867659999999999</v>
      </c>
      <c r="Z9920">
        <v>-9.0673230000000004E-3</v>
      </c>
      <c r="AA9920">
        <v>0.99289159999999999</v>
      </c>
      <c r="AB9920">
        <v>32</v>
      </c>
      <c r="AC9920">
        <v>11.236099999999899</v>
      </c>
      <c r="AD9920">
        <v>-0.93472509999999998</v>
      </c>
      <c r="AE9920">
        <v>102.07925</v>
      </c>
      <c r="AF9920">
        <v>12.225335550173799</v>
      </c>
      <c r="AG9920">
        <v>-0.93472509999999998</v>
      </c>
      <c r="AH9920">
        <v>101.956937917706</v>
      </c>
      <c r="AI9920">
        <v>90.521528351195201</v>
      </c>
      <c r="AJ9920">
        <v>83.162487823914404</v>
      </c>
      <c r="AK9920">
        <v>102.69152705984</v>
      </c>
      <c r="AL9920">
        <v>89.207981548076205</v>
      </c>
      <c r="AM9920">
        <v>87.452104213308303</v>
      </c>
      <c r="AN9920">
        <v>1.00000003692351</v>
      </c>
    </row>
    <row r="9921" spans="1:40" x14ac:dyDescent="0.25">
      <c r="A9921" t="str">
        <f>"20190312154146859"</f>
        <v>20190312154146859</v>
      </c>
      <c r="B9921" t="str">
        <f>"1552376506856231"</f>
        <v>1552376506856231</v>
      </c>
      <c r="C9921" t="s">
        <v>40</v>
      </c>
      <c r="D9921">
        <v>4.1023329999999998</v>
      </c>
      <c r="E9921">
        <v>0.5240108</v>
      </c>
      <c r="F9921" t="s">
        <v>48</v>
      </c>
      <c r="G9921">
        <v>-177.54069999999999</v>
      </c>
      <c r="H9921">
        <v>0.10428419999999999</v>
      </c>
      <c r="I9921">
        <v>119.01949999999999</v>
      </c>
      <c r="J9921">
        <v>-188.26730000000001</v>
      </c>
      <c r="K9921">
        <v>1.109353</v>
      </c>
      <c r="L9921">
        <v>17.259889999999999</v>
      </c>
      <c r="M9921">
        <v>-9.7082469999999997E-3</v>
      </c>
      <c r="N9921">
        <v>0</v>
      </c>
      <c r="O9921">
        <v>0.99989819999999996</v>
      </c>
      <c r="P9921">
        <v>3.4770500000000003E-2</v>
      </c>
      <c r="Q9921">
        <v>3.3799759999999998E-3</v>
      </c>
      <c r="R9921">
        <v>0.99938959999999999</v>
      </c>
      <c r="S9921">
        <v>0.31420900000000002</v>
      </c>
      <c r="T9921">
        <v>-2.9449340000000001E-2</v>
      </c>
      <c r="U9921">
        <v>2.991028</v>
      </c>
      <c r="V9921">
        <v>4.4480159999999998E-2</v>
      </c>
      <c r="W9921">
        <v>1.379858E-2</v>
      </c>
      <c r="X9921">
        <v>0.998915</v>
      </c>
      <c r="Y9921">
        <v>0.1141214</v>
      </c>
      <c r="Z9921">
        <v>-9.7856390000000005E-3</v>
      </c>
      <c r="AA9921">
        <v>0.99341860000000004</v>
      </c>
      <c r="AB9921">
        <v>32</v>
      </c>
      <c r="AC9921">
        <v>10.726599999999999</v>
      </c>
      <c r="AD9921">
        <v>-1.0050688000000001</v>
      </c>
      <c r="AE9921">
        <v>101.75961</v>
      </c>
      <c r="AF9921">
        <v>11.712925808650001</v>
      </c>
      <c r="AG9921">
        <v>-1.0050688000000001</v>
      </c>
      <c r="AH9921">
        <v>101.640865352842</v>
      </c>
      <c r="AI9921">
        <v>90.5628224232956</v>
      </c>
      <c r="AJ9921">
        <v>83.426325657164696</v>
      </c>
      <c r="AK9921">
        <v>102.31846511733001</v>
      </c>
      <c r="AL9921">
        <v>89.209374536859102</v>
      </c>
      <c r="AM9921">
        <v>87.450390625345406</v>
      </c>
      <c r="AN9921">
        <v>1.00000003133432</v>
      </c>
    </row>
    <row r="9922" spans="1:40" x14ac:dyDescent="0.25">
      <c r="A9922" t="str">
        <f>"20190312154146880"</f>
        <v>20190312154146880</v>
      </c>
      <c r="B9922" t="str">
        <f>"1552376506875750"</f>
        <v>1552376506875750</v>
      </c>
      <c r="C9922" t="s">
        <v>40</v>
      </c>
      <c r="D9922">
        <v>4.1032039999999999</v>
      </c>
      <c r="E9922">
        <v>0.52254269999999903</v>
      </c>
      <c r="F9922" t="s">
        <v>42</v>
      </c>
      <c r="G9922">
        <v>-178.4264</v>
      </c>
      <c r="H9922">
        <v>7.9986199999999993E-2</v>
      </c>
      <c r="I9922">
        <v>117.2672</v>
      </c>
      <c r="J9922">
        <v>-188.2704</v>
      </c>
      <c r="K9922">
        <v>1.109359</v>
      </c>
      <c r="L9922">
        <v>17.578700000000001</v>
      </c>
      <c r="M9922">
        <v>-9.7096289999999991E-3</v>
      </c>
      <c r="N9922">
        <v>0</v>
      </c>
      <c r="O9922">
        <v>0.99989530000000004</v>
      </c>
      <c r="P9922">
        <v>3.4368999999999997E-2</v>
      </c>
      <c r="Q9922">
        <v>3.1135590000000001E-3</v>
      </c>
      <c r="R9922">
        <v>0.99940439999999997</v>
      </c>
      <c r="S9922">
        <v>0.29438779999999998</v>
      </c>
      <c r="T9922">
        <v>-3.0793310000000001E-2</v>
      </c>
      <c r="U9922">
        <v>2.9916990000000001</v>
      </c>
      <c r="V9922">
        <v>4.4080399999999999E-2</v>
      </c>
      <c r="W9922">
        <v>1.380525E-2</v>
      </c>
      <c r="X9922">
        <v>0.99893259999999995</v>
      </c>
      <c r="Y9922">
        <v>0.10758230000000001</v>
      </c>
      <c r="Z9922">
        <v>-1.0237059999999999E-2</v>
      </c>
      <c r="AA9922">
        <v>0.99414349999999996</v>
      </c>
      <c r="AB9922">
        <v>32</v>
      </c>
      <c r="AC9922">
        <v>9.8439999999999905</v>
      </c>
      <c r="AD9922">
        <v>-1.0293728</v>
      </c>
      <c r="AE9922">
        <v>99.688500000000005</v>
      </c>
      <c r="AF9922">
        <v>10.8103884542841</v>
      </c>
      <c r="AG9922">
        <v>-1.0293728</v>
      </c>
      <c r="AH9922">
        <v>99.577698249224497</v>
      </c>
      <c r="AI9922">
        <v>90.588807946102307</v>
      </c>
      <c r="AJ9922">
        <v>83.8041009453583</v>
      </c>
      <c r="AK9922">
        <v>100.16806924118799</v>
      </c>
      <c r="AL9922">
        <v>89.2089923151769</v>
      </c>
      <c r="AM9922">
        <v>87.473319556386102</v>
      </c>
      <c r="AN9922">
        <v>1.00000000296724</v>
      </c>
    </row>
    <row r="9923" spans="1:40" x14ac:dyDescent="0.25">
      <c r="A9923" t="str">
        <f>"20190312154146903"</f>
        <v>20190312154146903</v>
      </c>
      <c r="B9923" t="str">
        <f>"1552376506896248"</f>
        <v>1552376506896248</v>
      </c>
      <c r="C9923" t="s">
        <v>40</v>
      </c>
      <c r="D9923">
        <v>4.049779</v>
      </c>
      <c r="E9923">
        <v>0.52117279999999999</v>
      </c>
      <c r="F9923" t="s">
        <v>42</v>
      </c>
      <c r="G9923">
        <v>-179.24959999999999</v>
      </c>
      <c r="H9923">
        <v>7.9986509999999997E-2</v>
      </c>
      <c r="I9923">
        <v>113.4209</v>
      </c>
      <c r="J9923">
        <v>-188.27350000000001</v>
      </c>
      <c r="K9923">
        <v>1.1093630000000001</v>
      </c>
      <c r="L9923">
        <v>17.89987</v>
      </c>
      <c r="M9923">
        <v>-9.7107779999999998E-3</v>
      </c>
      <c r="N9923">
        <v>0</v>
      </c>
      <c r="O9923">
        <v>0.99989269999999997</v>
      </c>
      <c r="P9923">
        <v>3.3751530000000002E-2</v>
      </c>
      <c r="Q9923">
        <v>3.054579E-3</v>
      </c>
      <c r="R9923">
        <v>0.99942560000000003</v>
      </c>
      <c r="S9923">
        <v>0.28163149999999998</v>
      </c>
      <c r="T9923">
        <v>-3.2137270000000003E-2</v>
      </c>
      <c r="U9923">
        <v>2.9922179999999998</v>
      </c>
      <c r="V9923">
        <v>4.3464540000000003E-2</v>
      </c>
      <c r="W9923">
        <v>1.398691E-2</v>
      </c>
      <c r="X9923">
        <v>0.99895699999999998</v>
      </c>
      <c r="Y9923">
        <v>0.103366</v>
      </c>
      <c r="Z9923">
        <v>-1.068653E-2</v>
      </c>
      <c r="AA9923">
        <v>0.99458599999999997</v>
      </c>
      <c r="AB9923">
        <v>32</v>
      </c>
      <c r="AC9923">
        <v>9.0239000000000207</v>
      </c>
      <c r="AD9923">
        <v>-1.02937649</v>
      </c>
      <c r="AE9923">
        <v>95.521029999999996</v>
      </c>
      <c r="AF9923">
        <v>9.9499684915910702</v>
      </c>
      <c r="AG9923">
        <v>-1.02937649</v>
      </c>
      <c r="AH9923">
        <v>95.417908195547895</v>
      </c>
      <c r="AI9923">
        <v>90.614754671225796</v>
      </c>
      <c r="AJ9923">
        <v>84.046838524129896</v>
      </c>
      <c r="AK9923">
        <v>95.940808279666996</v>
      </c>
      <c r="AL9923">
        <v>89.198582911444305</v>
      </c>
      <c r="AM9923">
        <v>87.508636519986695</v>
      </c>
      <c r="AN9923">
        <v>0.99999994386887803</v>
      </c>
    </row>
    <row r="9924" spans="1:40" x14ac:dyDescent="0.25">
      <c r="A9924" t="str">
        <f>"20190312154146926"</f>
        <v>20190312154146926</v>
      </c>
      <c r="B9924" t="str">
        <f>"1552376506915771"</f>
        <v>1552376506915771</v>
      </c>
      <c r="C9924" t="s">
        <v>40</v>
      </c>
      <c r="D9924">
        <v>4.0810930000000001</v>
      </c>
      <c r="E9924">
        <v>0.51993729999999905</v>
      </c>
      <c r="F9924" t="s">
        <v>42</v>
      </c>
      <c r="G9924">
        <v>-179.8613</v>
      </c>
      <c r="H9924">
        <v>7.9985940000000005E-2</v>
      </c>
      <c r="I9924">
        <v>111.60339999999999</v>
      </c>
      <c r="J9924">
        <v>-188.27680000000001</v>
      </c>
      <c r="K9924">
        <v>1.1093679999999999</v>
      </c>
      <c r="L9924">
        <v>18.231570000000001</v>
      </c>
      <c r="M9924">
        <v>-9.7124910000000002E-3</v>
      </c>
      <c r="N9924">
        <v>0</v>
      </c>
      <c r="O9924">
        <v>0.99989030000000001</v>
      </c>
      <c r="P9924">
        <v>3.3200279999999999E-2</v>
      </c>
      <c r="Q9924">
        <v>2.676767E-3</v>
      </c>
      <c r="R9924">
        <v>0.99944509999999998</v>
      </c>
      <c r="S9924">
        <v>0.26867679999999999</v>
      </c>
      <c r="T9924">
        <v>-3.2876969999999998E-2</v>
      </c>
      <c r="U9924">
        <v>2.9927670000000002</v>
      </c>
      <c r="V9924">
        <v>4.2915210000000002E-2</v>
      </c>
      <c r="W9924">
        <v>1.3824799999999899E-2</v>
      </c>
      <c r="X9924">
        <v>0.99898310000000001</v>
      </c>
      <c r="Y9924">
        <v>9.9080379999999996E-2</v>
      </c>
      <c r="Z9924">
        <v>-1.093502E-2</v>
      </c>
      <c r="AA9924">
        <v>0.9950194</v>
      </c>
      <c r="AB9924">
        <v>32</v>
      </c>
      <c r="AC9924">
        <v>8.4154999999999998</v>
      </c>
      <c r="AD9924">
        <v>-1.0293820600000001</v>
      </c>
      <c r="AE9924">
        <v>93.371830000000003</v>
      </c>
      <c r="AF9924">
        <v>9.32090904138858</v>
      </c>
      <c r="AG9924">
        <v>-1.0293820600000001</v>
      </c>
      <c r="AH9924">
        <v>93.274439482521998</v>
      </c>
      <c r="AI9924">
        <v>90.629160498651899</v>
      </c>
      <c r="AJ9924">
        <v>84.2933813489893</v>
      </c>
      <c r="AK9924">
        <v>93.744653359868707</v>
      </c>
      <c r="AL9924">
        <v>89.207872102914394</v>
      </c>
      <c r="AM9924">
        <v>87.540149076660299</v>
      </c>
      <c r="AN9924">
        <v>1.00000003721499</v>
      </c>
    </row>
    <row r="9925" spans="1:40" x14ac:dyDescent="0.25">
      <c r="A9925" t="str">
        <f>"20190312154146948"</f>
        <v>20190312154146948</v>
      </c>
      <c r="B9925" t="str">
        <f>"1552376506946023"</f>
        <v>1552376506946023</v>
      </c>
      <c r="C9925" t="s">
        <v>40</v>
      </c>
      <c r="D9925">
        <v>4.0802959999999997</v>
      </c>
      <c r="E9925">
        <v>0.51821419999999996</v>
      </c>
      <c r="F9925" t="s">
        <v>42</v>
      </c>
      <c r="G9925">
        <v>-179.97890000000001</v>
      </c>
      <c r="H9925" s="1">
        <v>-4.424901E-6</v>
      </c>
      <c r="I9925">
        <v>114.8156</v>
      </c>
      <c r="J9925">
        <v>-188.28</v>
      </c>
      <c r="K9925">
        <v>1.1093759999999999</v>
      </c>
      <c r="L9925">
        <v>18.560549999999999</v>
      </c>
      <c r="M9925">
        <v>-9.7147069999999995E-3</v>
      </c>
      <c r="N9925">
        <v>0</v>
      </c>
      <c r="O9925">
        <v>0.9998882</v>
      </c>
      <c r="P9925">
        <v>3.297228E-2</v>
      </c>
      <c r="Q9925">
        <v>2.1572459999999998E-3</v>
      </c>
      <c r="R9925">
        <v>0.99945399999999995</v>
      </c>
      <c r="S9925">
        <v>0.25715640000000001</v>
      </c>
      <c r="T9925">
        <v>-3.4380439999999998E-2</v>
      </c>
      <c r="U9925">
        <v>2.9932249999999998</v>
      </c>
      <c r="V9925">
        <v>4.2689339999999999E-2</v>
      </c>
      <c r="W9925">
        <v>1.349057E-2</v>
      </c>
      <c r="X9925">
        <v>0.99899729999999998</v>
      </c>
      <c r="Y9925">
        <v>9.5267539999999998E-2</v>
      </c>
      <c r="Z9925">
        <v>-1.1437330000000001E-2</v>
      </c>
      <c r="AA9925">
        <v>0.99538599999999999</v>
      </c>
      <c r="AB9925">
        <v>32</v>
      </c>
      <c r="AC9925">
        <v>8.3010999999999893</v>
      </c>
      <c r="AD9925">
        <v>-1.109380424901</v>
      </c>
      <c r="AE9925">
        <v>96.255049999999997</v>
      </c>
      <c r="AF9925">
        <v>9.2346406245836992</v>
      </c>
      <c r="AG9925">
        <v>-1.109380424901</v>
      </c>
      <c r="AH9925">
        <v>96.157180497029302</v>
      </c>
      <c r="AI9925">
        <v>90.657973994160997</v>
      </c>
      <c r="AJ9925">
        <v>84.514312826848197</v>
      </c>
      <c r="AK9925">
        <v>96.605966034870903</v>
      </c>
      <c r="AL9925">
        <v>89.227023820719097</v>
      </c>
      <c r="AM9925">
        <v>87.553114648704096</v>
      </c>
      <c r="AN9925">
        <v>0.99999999031792497</v>
      </c>
    </row>
    <row r="9926" spans="1:40" x14ac:dyDescent="0.25">
      <c r="A9926" t="str">
        <f>"20190312154146971"</f>
        <v>20190312154146971</v>
      </c>
      <c r="B9926" t="str">
        <f>"1552376506965543"</f>
        <v>1552376506965543</v>
      </c>
      <c r="C9926" t="s">
        <v>40</v>
      </c>
      <c r="D9926">
        <v>4.0830880000000001</v>
      </c>
      <c r="E9926">
        <v>0.5171154</v>
      </c>
      <c r="F9926" t="s">
        <v>42</v>
      </c>
      <c r="G9926">
        <v>-180.83850000000001</v>
      </c>
      <c r="H9926" s="1">
        <v>-2.6661990000000002E-6</v>
      </c>
      <c r="I9926">
        <v>110.3197</v>
      </c>
      <c r="J9926">
        <v>-188.28309999999999</v>
      </c>
      <c r="K9926">
        <v>1.109405</v>
      </c>
      <c r="L9926">
        <v>18.8812</v>
      </c>
      <c r="M9926">
        <v>-9.7160200000000006E-3</v>
      </c>
      <c r="N9926">
        <v>0</v>
      </c>
      <c r="O9926">
        <v>0.99988630000000001</v>
      </c>
      <c r="P9926">
        <v>3.2115009999999999E-2</v>
      </c>
      <c r="Q9926">
        <v>2.436096E-3</v>
      </c>
      <c r="R9926">
        <v>0.99948119999999996</v>
      </c>
      <c r="S9926">
        <v>0.24278259999999999</v>
      </c>
      <c r="T9926">
        <v>-3.6194320000000002E-2</v>
      </c>
      <c r="U9926">
        <v>2.9937130000000001</v>
      </c>
      <c r="V9926">
        <v>4.183336E-2</v>
      </c>
      <c r="W9926">
        <v>1.392827E-2</v>
      </c>
      <c r="X9926">
        <v>0.99902749999999996</v>
      </c>
      <c r="Y9926">
        <v>9.0507299999999999E-2</v>
      </c>
      <c r="Z9926">
        <v>-1.204379E-2</v>
      </c>
      <c r="AA9926">
        <v>0.99582300000000001</v>
      </c>
      <c r="AB9926">
        <v>32</v>
      </c>
      <c r="AC9926">
        <v>7.4445999999999799</v>
      </c>
      <c r="AD9926">
        <v>-1.109407666199</v>
      </c>
      <c r="AE9926">
        <v>91.438500000000005</v>
      </c>
      <c r="AF9926">
        <v>8.3315075623315398</v>
      </c>
      <c r="AG9926">
        <v>-1.109407666199</v>
      </c>
      <c r="AH9926">
        <v>91.348488231935093</v>
      </c>
      <c r="AI9926">
        <v>90.692934828479807</v>
      </c>
      <c r="AJ9926">
        <v>84.788713438967093</v>
      </c>
      <c r="AK9926">
        <v>91.734350741099107</v>
      </c>
      <c r="AL9926">
        <v>89.201943097275702</v>
      </c>
      <c r="AM9926">
        <v>87.602192613963297</v>
      </c>
      <c r="AN9926">
        <v>0.99999998623516595</v>
      </c>
    </row>
    <row r="9927" spans="1:40" x14ac:dyDescent="0.25">
      <c r="A9927" t="str">
        <f>"20190312154146994"</f>
        <v>20190312154146994</v>
      </c>
      <c r="B9927" t="str">
        <f>"1552376506986040"</f>
        <v>1552376506986040</v>
      </c>
      <c r="C9927" t="s">
        <v>40</v>
      </c>
      <c r="D9927">
        <v>4.0785780000000003</v>
      </c>
      <c r="E9927">
        <v>0.51614269999999995</v>
      </c>
      <c r="F9927" t="s">
        <v>42</v>
      </c>
      <c r="G9927">
        <v>-181.07149999999999</v>
      </c>
      <c r="H9927" s="1">
        <v>-3.2213529999999898E-6</v>
      </c>
      <c r="I9927">
        <v>112.1332</v>
      </c>
      <c r="J9927">
        <v>-188.28630000000001</v>
      </c>
      <c r="K9927">
        <v>1.1092360000000001</v>
      </c>
      <c r="L9927">
        <v>19.22043</v>
      </c>
      <c r="M9927">
        <v>-9.7110200000000008E-3</v>
      </c>
      <c r="N9927">
        <v>0</v>
      </c>
      <c r="O9927">
        <v>0.99989380000000005</v>
      </c>
      <c r="P9927">
        <v>3.2101629999999999E-2</v>
      </c>
      <c r="Q9927">
        <v>3.7851199999999999E-3</v>
      </c>
      <c r="R9927">
        <v>0.99947739999999996</v>
      </c>
      <c r="S9927">
        <v>0.23155210000000001</v>
      </c>
      <c r="T9927">
        <v>-3.5621640000000003E-2</v>
      </c>
      <c r="U9927">
        <v>2.994202</v>
      </c>
      <c r="V9927">
        <v>4.1813879999999998E-2</v>
      </c>
      <c r="W9927">
        <v>1.461866E-2</v>
      </c>
      <c r="X9927">
        <v>0.99901850000000003</v>
      </c>
      <c r="Y9927">
        <v>8.6776939999999997E-2</v>
      </c>
      <c r="Z9927">
        <v>-1.1855060000000001E-2</v>
      </c>
      <c r="AA9927">
        <v>0.99615719999999996</v>
      </c>
      <c r="AB9927">
        <v>32</v>
      </c>
      <c r="AC9927">
        <v>7.2148000000000199</v>
      </c>
      <c r="AD9927">
        <v>-1.109239221353</v>
      </c>
      <c r="AE9927">
        <v>92.912769999999995</v>
      </c>
      <c r="AF9927">
        <v>8.1156410332228592</v>
      </c>
      <c r="AG9927">
        <v>-1.109239221353</v>
      </c>
      <c r="AH9927">
        <v>92.825170284163804</v>
      </c>
      <c r="AI9927">
        <v>90.682037171044797</v>
      </c>
      <c r="AJ9927">
        <v>85.003374619362802</v>
      </c>
      <c r="AK9927">
        <v>93.1858695259873</v>
      </c>
      <c r="AL9927">
        <v>89.162382673141096</v>
      </c>
      <c r="AM9927">
        <v>87.603286301371597</v>
      </c>
      <c r="AN9927">
        <v>1.0000000345615401</v>
      </c>
    </row>
    <row r="9928" spans="1:40" x14ac:dyDescent="0.25">
      <c r="A9928" t="str">
        <f>"20190312154147015"</f>
        <v>20190312154147015</v>
      </c>
      <c r="B9928" t="str">
        <f>"1552376507005559"</f>
        <v>1552376507005559</v>
      </c>
      <c r="C9928" t="s">
        <v>40</v>
      </c>
      <c r="D9928">
        <v>4.0661170000000002</v>
      </c>
      <c r="E9928">
        <v>0.51521130000000004</v>
      </c>
      <c r="F9928" t="s">
        <v>55</v>
      </c>
      <c r="G9928">
        <v>-180.43469999999999</v>
      </c>
      <c r="H9928" s="1">
        <v>-3.90827099999999E-6</v>
      </c>
      <c r="I9928">
        <v>124.2829</v>
      </c>
      <c r="J9928">
        <v>-188.2893</v>
      </c>
      <c r="K9928">
        <v>1.108976</v>
      </c>
      <c r="L9928">
        <v>19.532810000000001</v>
      </c>
      <c r="M9928">
        <v>-9.7027599999999995E-3</v>
      </c>
      <c r="N9928">
        <v>0</v>
      </c>
      <c r="O9928">
        <v>0.99990559999999995</v>
      </c>
      <c r="P9928">
        <v>3.2396800000000003E-2</v>
      </c>
      <c r="Q9928">
        <v>5.2380660000000004E-3</v>
      </c>
      <c r="R9928">
        <v>0.99946140000000006</v>
      </c>
      <c r="S9928">
        <v>0.2237854</v>
      </c>
      <c r="T9928">
        <v>-3.1615730000000002E-2</v>
      </c>
      <c r="U9928">
        <v>2.994507</v>
      </c>
      <c r="V9928">
        <v>4.2099320000000003E-2</v>
      </c>
      <c r="W9928">
        <v>1.4936670000000001E-2</v>
      </c>
      <c r="X9928">
        <v>0.99900180000000005</v>
      </c>
      <c r="Y9928">
        <v>8.419277E-2</v>
      </c>
      <c r="Z9928">
        <v>-1.052316E-2</v>
      </c>
      <c r="AA9928">
        <v>0.99639390000000005</v>
      </c>
      <c r="AB9928">
        <v>32</v>
      </c>
      <c r="AC9928">
        <v>7.8545999999999996</v>
      </c>
      <c r="AD9928">
        <v>-1.1089799082709999</v>
      </c>
      <c r="AE9928">
        <v>104.75009</v>
      </c>
      <c r="AF9928">
        <v>8.8696547348455095</v>
      </c>
      <c r="AG9928">
        <v>-1.1089799082709999</v>
      </c>
      <c r="AH9928">
        <v>104.657279055666</v>
      </c>
      <c r="AI9928">
        <v>90.604932129229297</v>
      </c>
      <c r="AJ9928">
        <v>85.155785573264296</v>
      </c>
      <c r="AK9928">
        <v>105.03831049140101</v>
      </c>
      <c r="AL9928">
        <v>89.144160046230994</v>
      </c>
      <c r="AM9928">
        <v>87.586904259708305</v>
      </c>
      <c r="AN9928">
        <v>1.00000002662919</v>
      </c>
    </row>
    <row r="9929" spans="1:40" x14ac:dyDescent="0.25">
      <c r="A9929" t="str">
        <f>"20190312154147036"</f>
        <v>20190312154147036</v>
      </c>
      <c r="B9929" t="str">
        <f>"1552376507026059"</f>
        <v>1552376507026059</v>
      </c>
      <c r="C9929" t="s">
        <v>40</v>
      </c>
      <c r="D9929">
        <v>4.0797990000000004</v>
      </c>
      <c r="E9929">
        <v>0.51436809999999999</v>
      </c>
      <c r="F9929" t="s">
        <v>55</v>
      </c>
      <c r="G9929">
        <v>-179.5908</v>
      </c>
      <c r="H9929" s="1">
        <v>-8.6698429999999904E-6</v>
      </c>
      <c r="I9929">
        <v>139.5291</v>
      </c>
      <c r="J9929">
        <v>-188.29239999999999</v>
      </c>
      <c r="K9929">
        <v>1.108738</v>
      </c>
      <c r="L9929">
        <v>19.853940000000001</v>
      </c>
      <c r="M9929">
        <v>-9.6957160000000001E-3</v>
      </c>
      <c r="N9929">
        <v>0</v>
      </c>
      <c r="O9929">
        <v>0.99991699999999994</v>
      </c>
      <c r="P9929">
        <v>3.236994E-2</v>
      </c>
      <c r="Q9929">
        <v>6.5915540000000003E-3</v>
      </c>
      <c r="R9929">
        <v>0.99945419999999996</v>
      </c>
      <c r="S9929">
        <v>0.2170868</v>
      </c>
      <c r="T9929">
        <v>-2.7676699999999999E-2</v>
      </c>
      <c r="U9929">
        <v>2.99472</v>
      </c>
      <c r="V9929">
        <v>4.2064120000000003E-2</v>
      </c>
      <c r="W9929">
        <v>1.5061110000000001E-2</v>
      </c>
      <c r="X9929">
        <v>0.99900140000000004</v>
      </c>
      <c r="Y9929">
        <v>8.1964339999999997E-2</v>
      </c>
      <c r="Z9929">
        <v>-9.2131509999999993E-3</v>
      </c>
      <c r="AA9929">
        <v>0.9965927</v>
      </c>
      <c r="AB9929">
        <v>33</v>
      </c>
      <c r="AC9929">
        <v>8.7015999999999796</v>
      </c>
      <c r="AD9929">
        <v>-1.108746669843</v>
      </c>
      <c r="AE9929">
        <v>119.67516000000001</v>
      </c>
      <c r="AF9929">
        <v>9.8607271564028292</v>
      </c>
      <c r="AG9929">
        <v>-1.108746669843</v>
      </c>
      <c r="AH9929">
        <v>119.57495348118</v>
      </c>
      <c r="AI9929">
        <v>90.529456980439605</v>
      </c>
      <c r="AJ9929">
        <v>85.285780743438295</v>
      </c>
      <c r="AK9929">
        <v>119.985969009952</v>
      </c>
      <c r="AL9929">
        <v>89.1370293450438</v>
      </c>
      <c r="AM9929">
        <v>87.588918546198002</v>
      </c>
      <c r="AN9929">
        <v>1.0000000122138799</v>
      </c>
    </row>
    <row r="9930" spans="1:40" x14ac:dyDescent="0.25">
      <c r="A9930" t="str">
        <f>"20190312154147059"</f>
        <v>20190312154147059</v>
      </c>
      <c r="B9930" t="str">
        <f>"1552376507056312"</f>
        <v>1552376507056312</v>
      </c>
      <c r="C9930" t="s">
        <v>40</v>
      </c>
      <c r="D9930">
        <v>4.0708080000000004</v>
      </c>
      <c r="E9930">
        <v>0.5131793</v>
      </c>
      <c r="F9930" t="s">
        <v>55</v>
      </c>
      <c r="G9930">
        <v>-179.10939999999999</v>
      </c>
      <c r="H9930">
        <v>5.5539669999999999E-2</v>
      </c>
      <c r="I9930">
        <v>150.7028</v>
      </c>
      <c r="J9930">
        <v>-188.2955</v>
      </c>
      <c r="K9930">
        <v>1.1085400000000001</v>
      </c>
      <c r="L9930">
        <v>20.178799999999999</v>
      </c>
      <c r="M9930">
        <v>-9.6928599999999993E-3</v>
      </c>
      <c r="N9930">
        <v>0</v>
      </c>
      <c r="O9930">
        <v>0.9999266</v>
      </c>
      <c r="P9930">
        <v>3.2320599999999998E-2</v>
      </c>
      <c r="Q9930">
        <v>7.8442789999999991E-3</v>
      </c>
      <c r="R9930">
        <v>0.99944670000000002</v>
      </c>
      <c r="S9930">
        <v>0.21018980000000001</v>
      </c>
      <c r="T9930">
        <v>-2.4106619999999999E-2</v>
      </c>
      <c r="U9930">
        <v>2.9949949999999999</v>
      </c>
      <c r="V9930">
        <v>4.2010829999999999E-2</v>
      </c>
      <c r="W9930">
        <v>1.509258E-2</v>
      </c>
      <c r="X9930">
        <v>0.99900319999999998</v>
      </c>
      <c r="Y9930">
        <v>7.9671950000000005E-2</v>
      </c>
      <c r="Z9930">
        <v>-8.0254790000000003E-3</v>
      </c>
      <c r="AA9930">
        <v>0.99678889999999998</v>
      </c>
      <c r="AB9930">
        <v>33</v>
      </c>
      <c r="AC9930">
        <v>9.1861000000000104</v>
      </c>
      <c r="AD9930">
        <v>-1.0530003299999999</v>
      </c>
      <c r="AE9930">
        <v>130.524</v>
      </c>
      <c r="AF9930">
        <v>10.4501759399737</v>
      </c>
      <c r="AG9930">
        <v>-1.0530003299999999</v>
      </c>
      <c r="AH9930">
        <v>130.42037965002299</v>
      </c>
      <c r="AI9930">
        <v>90.461112192787198</v>
      </c>
      <c r="AJ9930">
        <v>85.418856301766695</v>
      </c>
      <c r="AK9930">
        <v>130.84261696759</v>
      </c>
      <c r="AL9930">
        <v>89.135226070020593</v>
      </c>
      <c r="AM9930">
        <v>87.591973821771404</v>
      </c>
      <c r="AN9930">
        <v>1.00000004470929</v>
      </c>
    </row>
    <row r="9931" spans="1:40" x14ac:dyDescent="0.25">
      <c r="A9931" t="str">
        <f>"20190312154147081"</f>
        <v>20190312154147081</v>
      </c>
      <c r="B9931" t="str">
        <f>"1552376507075832"</f>
        <v>1552376507075832</v>
      </c>
      <c r="C9931" t="s">
        <v>40</v>
      </c>
      <c r="D9931">
        <v>4.0990080000000004</v>
      </c>
      <c r="E9931">
        <v>0.51246320000000001</v>
      </c>
      <c r="F9931" t="s">
        <v>42</v>
      </c>
      <c r="G9931">
        <v>-178.3843</v>
      </c>
      <c r="H9931">
        <v>7.9986059999999998E-2</v>
      </c>
      <c r="I9931">
        <v>168.042</v>
      </c>
      <c r="J9931">
        <v>-188.2988</v>
      </c>
      <c r="K9931">
        <v>1.108368</v>
      </c>
      <c r="L9931">
        <v>20.52112</v>
      </c>
      <c r="M9931">
        <v>-9.6942179999999992E-3</v>
      </c>
      <c r="N9931">
        <v>0</v>
      </c>
      <c r="O9931">
        <v>0.99993489999999996</v>
      </c>
      <c r="P9931">
        <v>3.1829919999999998E-2</v>
      </c>
      <c r="Q9931">
        <v>8.9910459999999904E-3</v>
      </c>
      <c r="R9931">
        <v>0.99945280000000003</v>
      </c>
      <c r="S9931">
        <v>0.20077510000000001</v>
      </c>
      <c r="T9931">
        <v>-2.0835880000000001E-2</v>
      </c>
      <c r="U9931">
        <v>2.9953310000000002</v>
      </c>
      <c r="V9931">
        <v>4.1520719999999997E-2</v>
      </c>
      <c r="W9931">
        <v>1.500199E-2</v>
      </c>
      <c r="X9931">
        <v>0.99902500000000005</v>
      </c>
      <c r="Y9931">
        <v>7.6547240000000003E-2</v>
      </c>
      <c r="Z9931">
        <v>-6.9374730000000004E-3</v>
      </c>
      <c r="AA9931">
        <v>0.99704179999999998</v>
      </c>
      <c r="AB9931">
        <v>34</v>
      </c>
      <c r="AC9931">
        <v>9.9145000000000003</v>
      </c>
      <c r="AD9931">
        <v>-1.02838194</v>
      </c>
      <c r="AE9931">
        <v>147.52088000000001</v>
      </c>
      <c r="AF9931">
        <v>11.343610791885601</v>
      </c>
      <c r="AG9931">
        <v>-1.02838194</v>
      </c>
      <c r="AH9931">
        <v>147.41070129090201</v>
      </c>
      <c r="AI9931">
        <v>90.398528123353898</v>
      </c>
      <c r="AJ9931">
        <v>85.599623074520395</v>
      </c>
      <c r="AK9931">
        <v>147.85009276388001</v>
      </c>
      <c r="AL9931">
        <v>89.140417035358297</v>
      </c>
      <c r="AM9931">
        <v>87.620085903798994</v>
      </c>
      <c r="AN9931">
        <v>0.99999999025913899</v>
      </c>
    </row>
    <row r="9932" spans="1:40" x14ac:dyDescent="0.25">
      <c r="A9932" t="str">
        <f>"20190312154147104"</f>
        <v>20190312154147104</v>
      </c>
      <c r="B9932" t="str">
        <f>"1552376507096328"</f>
        <v>1552376507096328</v>
      </c>
      <c r="C9932" t="s">
        <v>40</v>
      </c>
      <c r="D9932">
        <v>4.085928</v>
      </c>
      <c r="E9932">
        <v>0.51179149999999995</v>
      </c>
      <c r="F9932" t="s">
        <v>42</v>
      </c>
      <c r="G9932">
        <v>-176.9487</v>
      </c>
      <c r="H9932">
        <v>7.9985970000000003E-2</v>
      </c>
      <c r="I9932">
        <v>196.2388</v>
      </c>
      <c r="J9932">
        <v>-188.3022</v>
      </c>
      <c r="K9932">
        <v>1.108236</v>
      </c>
      <c r="L9932">
        <v>20.869289999999999</v>
      </c>
      <c r="M9932">
        <v>-9.6976330000000006E-3</v>
      </c>
      <c r="N9932">
        <v>0</v>
      </c>
      <c r="O9932">
        <v>0.99994119999999997</v>
      </c>
      <c r="P9932">
        <v>3.1068999999999999E-2</v>
      </c>
      <c r="Q9932">
        <v>1.079461E-2</v>
      </c>
      <c r="R9932">
        <v>0.99945899999999999</v>
      </c>
      <c r="S9932">
        <v>0.19349669999999999</v>
      </c>
      <c r="T9932">
        <v>-1.7531870000000001E-2</v>
      </c>
      <c r="U9932">
        <v>2.9956360000000002</v>
      </c>
      <c r="V9932">
        <v>4.0762779999999998E-2</v>
      </c>
      <c r="W9932">
        <v>1.5633729999999998E-2</v>
      </c>
      <c r="X9932">
        <v>0.99904660000000001</v>
      </c>
      <c r="Y9932">
        <v>7.4132000000000003E-2</v>
      </c>
      <c r="Z9932">
        <v>-5.8378249999999996E-3</v>
      </c>
      <c r="AA9932">
        <v>0.99723139999999999</v>
      </c>
      <c r="AB9932">
        <v>34</v>
      </c>
      <c r="AC9932">
        <v>11.353499999999899</v>
      </c>
      <c r="AD9932">
        <v>-1.0282500299999999</v>
      </c>
      <c r="AE9932">
        <v>175.36950999999999</v>
      </c>
      <c r="AF9932">
        <v>13.0532084061518</v>
      </c>
      <c r="AG9932">
        <v>-1.0282500299999999</v>
      </c>
      <c r="AH9932">
        <v>175.24516045395501</v>
      </c>
      <c r="AI9932">
        <v>90.335250129020494</v>
      </c>
      <c r="AJ9932">
        <v>85.7401664567941</v>
      </c>
      <c r="AK9932">
        <v>175.73363312226601</v>
      </c>
      <c r="AL9932">
        <v>89.104216816931597</v>
      </c>
      <c r="AM9932">
        <v>87.663531911612196</v>
      </c>
      <c r="AN9932">
        <v>1.00000006335929</v>
      </c>
    </row>
    <row r="9933" spans="1:40" x14ac:dyDescent="0.25">
      <c r="A9933" t="str">
        <f>"20190312154147127"</f>
        <v>20190312154147127</v>
      </c>
      <c r="B9933" t="str">
        <f>"1552376507115851"</f>
        <v>1552376507115851</v>
      </c>
      <c r="C9933" t="s">
        <v>40</v>
      </c>
      <c r="D9933">
        <v>4.0798069999999997</v>
      </c>
      <c r="E9933">
        <v>0.51115259999999996</v>
      </c>
      <c r="F9933" t="s">
        <v>43</v>
      </c>
      <c r="G9933">
        <v>-169.80250000000001</v>
      </c>
      <c r="H9933">
        <v>-0.05</v>
      </c>
      <c r="I9933">
        <v>319.21019999999999</v>
      </c>
      <c r="J9933">
        <v>-188.3056</v>
      </c>
      <c r="K9933">
        <v>1.1081510000000001</v>
      </c>
      <c r="L9933">
        <v>21.228059999999999</v>
      </c>
      <c r="M9933">
        <v>-9.7000070000000001E-3</v>
      </c>
      <c r="N9933">
        <v>0</v>
      </c>
      <c r="O9933">
        <v>0.9999458</v>
      </c>
      <c r="P9933">
        <v>3.0627499999999998E-2</v>
      </c>
      <c r="Q9933">
        <v>1.245722E-2</v>
      </c>
      <c r="R9933">
        <v>0.99945320000000004</v>
      </c>
      <c r="S9933">
        <v>0.18577579999999999</v>
      </c>
      <c r="T9933">
        <v>-1.163113E-2</v>
      </c>
      <c r="U9933">
        <v>2.9959720000000001</v>
      </c>
      <c r="V9933">
        <v>4.0323129999999999E-2</v>
      </c>
      <c r="W9933">
        <v>1.6238280000000001E-2</v>
      </c>
      <c r="X9933">
        <v>0.99905469999999996</v>
      </c>
      <c r="Y9933">
        <v>7.1567740000000005E-2</v>
      </c>
      <c r="Z9933">
        <v>-3.8732559999999998E-3</v>
      </c>
      <c r="AA9933">
        <v>0.99742819999999999</v>
      </c>
      <c r="AB9933">
        <v>34</v>
      </c>
      <c r="AC9933">
        <v>18.5030999999999</v>
      </c>
      <c r="AD9933">
        <v>-1.1581509999999999</v>
      </c>
      <c r="AE9933">
        <v>297.98214000000002</v>
      </c>
      <c r="AF9933">
        <v>21.392357096096301</v>
      </c>
      <c r="AG9933">
        <v>-1.1581509999999999</v>
      </c>
      <c r="AH9933">
        <v>297.78415834213899</v>
      </c>
      <c r="AI9933">
        <v>90.222262546623696</v>
      </c>
      <c r="AJ9933">
        <v>85.891017894646595</v>
      </c>
      <c r="AK9933">
        <v>298.55381293060299</v>
      </c>
      <c r="AL9933">
        <v>89.069574164509504</v>
      </c>
      <c r="AM9933">
        <v>87.688723302588798</v>
      </c>
      <c r="AN9933">
        <v>0.99999996507122202</v>
      </c>
    </row>
    <row r="9934" spans="1:40" x14ac:dyDescent="0.25">
      <c r="A9934" t="str">
        <f>"20190312154147150"</f>
        <v>20190312154147150</v>
      </c>
      <c r="B9934" t="str">
        <f>"1552376507146104"</f>
        <v>1552376507146104</v>
      </c>
      <c r="C9934" t="s">
        <v>40</v>
      </c>
      <c r="D9934">
        <v>4.1003119999999997</v>
      </c>
      <c r="E9934">
        <v>0.51028220000000002</v>
      </c>
      <c r="F9934" t="s">
        <v>48</v>
      </c>
      <c r="G9934">
        <v>-177.2732</v>
      </c>
      <c r="H9934">
        <v>0.70376939999999999</v>
      </c>
      <c r="I9934">
        <v>205.4546</v>
      </c>
      <c r="J9934">
        <v>-188.309</v>
      </c>
      <c r="K9934">
        <v>1.1081179999999999</v>
      </c>
      <c r="L9934">
        <v>21.57883</v>
      </c>
      <c r="M9934">
        <v>-9.6997999999999997E-3</v>
      </c>
      <c r="N9934">
        <v>0</v>
      </c>
      <c r="O9934">
        <v>0.99994859999999997</v>
      </c>
      <c r="P9934">
        <v>3.0505069999999999E-2</v>
      </c>
      <c r="Q9934">
        <v>1.4285330000000001E-2</v>
      </c>
      <c r="R9934">
        <v>0.99943249999999995</v>
      </c>
      <c r="S9934">
        <v>0.17942810000000001</v>
      </c>
      <c r="T9934">
        <v>-6.5767769999999998E-3</v>
      </c>
      <c r="U9934">
        <v>2.996216</v>
      </c>
      <c r="V9934">
        <v>4.019996E-2</v>
      </c>
      <c r="W9934">
        <v>1.7239020000000001E-2</v>
      </c>
      <c r="X9934">
        <v>0.99904289999999996</v>
      </c>
      <c r="Y9934">
        <v>6.9457370000000004E-2</v>
      </c>
      <c r="Z9934">
        <v>-2.1902549999999999E-3</v>
      </c>
      <c r="AA9934">
        <v>0.99758250000000004</v>
      </c>
      <c r="AB9934">
        <v>34</v>
      </c>
      <c r="AC9934">
        <v>11.0358</v>
      </c>
      <c r="AD9934">
        <v>-0.4043486</v>
      </c>
      <c r="AE9934">
        <v>183.87576999999999</v>
      </c>
      <c r="AF9934">
        <v>12.818785022045899</v>
      </c>
      <c r="AG9934">
        <v>-0.4043486</v>
      </c>
      <c r="AH9934">
        <v>183.75918870106599</v>
      </c>
      <c r="AI9934">
        <v>90.125769310785003</v>
      </c>
      <c r="AJ9934">
        <v>86.009590651714504</v>
      </c>
      <c r="AK9934">
        <v>184.20620016521099</v>
      </c>
      <c r="AL9934">
        <v>89.012227950664496</v>
      </c>
      <c r="AM9934">
        <v>87.695748461153102</v>
      </c>
      <c r="AN9934">
        <v>0.99999996831748506</v>
      </c>
    </row>
    <row r="9935" spans="1:40" x14ac:dyDescent="0.25">
      <c r="A9935" t="str">
        <f>"20190312154147172"</f>
        <v>20190312154147172</v>
      </c>
      <c r="B9935" t="str">
        <f>"1552376507165623"</f>
        <v>1552376507165623</v>
      </c>
      <c r="C9935" t="s">
        <v>40</v>
      </c>
      <c r="D9935">
        <v>4.05457</v>
      </c>
      <c r="E9935">
        <v>0.50981120000000002</v>
      </c>
      <c r="F9935" t="s">
        <v>47</v>
      </c>
      <c r="G9935">
        <v>-169.239</v>
      </c>
      <c r="H9935">
        <v>1.0389949999999999</v>
      </c>
      <c r="I9935">
        <v>353.69009999999997</v>
      </c>
      <c r="J9935">
        <v>-188.3124</v>
      </c>
      <c r="K9935">
        <v>1.108136</v>
      </c>
      <c r="L9935">
        <v>21.927949999999999</v>
      </c>
      <c r="M9935">
        <v>-9.6960919999999999E-3</v>
      </c>
      <c r="N9935">
        <v>0</v>
      </c>
      <c r="O9935">
        <v>0.99995009999999995</v>
      </c>
      <c r="P9935">
        <v>3.079378E-2</v>
      </c>
      <c r="Q9935">
        <v>1.5203799999999899E-2</v>
      </c>
      <c r="R9935">
        <v>0.99941009999999997</v>
      </c>
      <c r="S9935">
        <v>0.17205809999999999</v>
      </c>
      <c r="T9935">
        <v>-6.2286850000000001E-4</v>
      </c>
      <c r="U9935">
        <v>2.9964599999999999</v>
      </c>
      <c r="V9935">
        <v>4.048438E-2</v>
      </c>
      <c r="W9935">
        <v>1.7590870000000002E-2</v>
      </c>
      <c r="X9935">
        <v>0.9990253</v>
      </c>
      <c r="Y9935">
        <v>6.7003510000000002E-2</v>
      </c>
      <c r="Z9935">
        <v>-2.0744909999999999E-4</v>
      </c>
      <c r="AA9935">
        <v>0.99775270000000005</v>
      </c>
      <c r="AB9935">
        <v>35</v>
      </c>
      <c r="AC9935">
        <v>19.0733999999999</v>
      </c>
      <c r="AD9935">
        <v>-6.9140999999999897E-2</v>
      </c>
      <c r="AE9935">
        <v>331.76215000000002</v>
      </c>
      <c r="AF9935">
        <v>22.289308054044501</v>
      </c>
      <c r="AG9935">
        <v>-6.9140999999999897E-2</v>
      </c>
      <c r="AH9935">
        <v>331.56160203753802</v>
      </c>
      <c r="AI9935">
        <v>90.011921061408501</v>
      </c>
      <c r="AJ9935">
        <v>86.154064103251997</v>
      </c>
      <c r="AK9935">
        <v>332.30996671737802</v>
      </c>
      <c r="AL9935">
        <v>88.992065390929</v>
      </c>
      <c r="AM9935">
        <v>87.679422501838999</v>
      </c>
      <c r="AN9935">
        <v>0.99999998688571501</v>
      </c>
    </row>
    <row r="9936" spans="1:40" x14ac:dyDescent="0.25">
      <c r="A9936" t="str">
        <f>"20190312154147194"</f>
        <v>20190312154147194</v>
      </c>
      <c r="B9936" t="str">
        <f>"1552376507176360"</f>
        <v>1552376507176360</v>
      </c>
      <c r="C9936" t="s">
        <v>40</v>
      </c>
      <c r="D9936">
        <v>4.0337839999999998</v>
      </c>
      <c r="E9936">
        <v>0.50955459999999997</v>
      </c>
      <c r="F9936" t="s">
        <v>47</v>
      </c>
      <c r="G9936">
        <v>-168.00389999999999</v>
      </c>
      <c r="H9936">
        <v>1.407378</v>
      </c>
      <c r="I9936">
        <v>381.38529999999997</v>
      </c>
      <c r="J9936">
        <v>-188.31569999999999</v>
      </c>
      <c r="K9936">
        <v>1.108198</v>
      </c>
      <c r="L9936">
        <v>22.274380000000001</v>
      </c>
      <c r="M9936">
        <v>-9.6902470000000008E-3</v>
      </c>
      <c r="N9936">
        <v>0</v>
      </c>
      <c r="O9936">
        <v>0.99995089999999998</v>
      </c>
      <c r="P9936">
        <v>3.0916200000000001E-2</v>
      </c>
      <c r="Q9936">
        <v>1.4983109999999999E-2</v>
      </c>
      <c r="R9936">
        <v>0.99940969999999996</v>
      </c>
      <c r="S9936">
        <v>0.16929629999999901</v>
      </c>
      <c r="T9936">
        <v>2.4952889999999999E-3</v>
      </c>
      <c r="U9936">
        <v>2.996521</v>
      </c>
      <c r="V9936">
        <v>4.0600619999999997E-2</v>
      </c>
      <c r="W9936">
        <v>1.7071679999999999E-2</v>
      </c>
      <c r="X9936">
        <v>0.99902959999999996</v>
      </c>
      <c r="Y9936">
        <v>6.6079840000000001E-2</v>
      </c>
      <c r="Z9936">
        <v>8.3109709999999997E-4</v>
      </c>
      <c r="AA9936">
        <v>0.99781399999999998</v>
      </c>
      <c r="AB9936">
        <v>35</v>
      </c>
      <c r="AC9936">
        <v>20.311800000000002</v>
      </c>
      <c r="AD9936">
        <v>0.29918</v>
      </c>
      <c r="AE9936">
        <v>359.11092000000002</v>
      </c>
      <c r="AF9936">
        <v>23.790710856772201</v>
      </c>
      <c r="AG9936">
        <v>0.29918</v>
      </c>
      <c r="AH9936">
        <v>358.89698402502103</v>
      </c>
      <c r="AI9936">
        <v>89.952342287468596</v>
      </c>
      <c r="AJ9936">
        <v>86.207502252245902</v>
      </c>
      <c r="AK9936">
        <v>359.68476833749799</v>
      </c>
      <c r="AL9936">
        <v>89.021817266115406</v>
      </c>
      <c r="AM9936">
        <v>87.672776909475601</v>
      </c>
      <c r="AN9936">
        <v>0.999999997139283</v>
      </c>
    </row>
    <row r="9937" spans="1:40" x14ac:dyDescent="0.25">
      <c r="A9937" t="str">
        <f>"20190312154147217"</f>
        <v>20190312154147217</v>
      </c>
      <c r="B9937" t="str">
        <f>"1552376507205639"</f>
        <v>1552376507205639</v>
      </c>
      <c r="C9937" t="s">
        <v>40</v>
      </c>
      <c r="D9937">
        <v>4.0623659999999999</v>
      </c>
      <c r="E9937">
        <v>0.47958529999999999</v>
      </c>
      <c r="F9937" t="s">
        <v>47</v>
      </c>
      <c r="G9937">
        <v>-168.23</v>
      </c>
      <c r="H9937">
        <v>1.3488039999999999</v>
      </c>
      <c r="I9937">
        <v>381.38529999999997</v>
      </c>
      <c r="J9937">
        <v>-188.3192</v>
      </c>
      <c r="K9937">
        <v>1.1082970000000001</v>
      </c>
      <c r="L9937">
        <v>22.630520000000001</v>
      </c>
      <c r="M9937">
        <v>-9.6840450000000005E-3</v>
      </c>
      <c r="N9937">
        <v>0</v>
      </c>
      <c r="O9937">
        <v>0.99995109999999998</v>
      </c>
      <c r="P9937">
        <v>3.102595E-2</v>
      </c>
      <c r="Q9937">
        <v>1.515788E-2</v>
      </c>
      <c r="R9937">
        <v>0.99940370000000001</v>
      </c>
      <c r="S9937">
        <v>0.16760249999999999</v>
      </c>
      <c r="T9937">
        <v>2.008438E-3</v>
      </c>
      <c r="U9937">
        <v>2.9965519999999999</v>
      </c>
      <c r="V9937">
        <v>4.070389E-2</v>
      </c>
      <c r="W9937">
        <v>1.7158920000000001E-2</v>
      </c>
      <c r="X9937">
        <v>0.99902389999999996</v>
      </c>
      <c r="Y9937">
        <v>6.5510849999999995E-2</v>
      </c>
      <c r="Z9937">
        <v>6.6895989999999998E-4</v>
      </c>
      <c r="AA9937">
        <v>0.99785159999999995</v>
      </c>
      <c r="AB9937">
        <v>35</v>
      </c>
      <c r="AC9937">
        <v>20.089200000000002</v>
      </c>
      <c r="AD9937">
        <v>0.240507</v>
      </c>
      <c r="AE9937">
        <v>358.75477999999998</v>
      </c>
      <c r="AF9937">
        <v>23.562451838937001</v>
      </c>
      <c r="AG9937">
        <v>0.240507</v>
      </c>
      <c r="AH9937">
        <v>358.54325165266903</v>
      </c>
      <c r="AI9937">
        <v>89.961649330415995</v>
      </c>
      <c r="AJ9937">
        <v>86.240089357924404</v>
      </c>
      <c r="AK9937">
        <v>359.31672697767402</v>
      </c>
      <c r="AL9937">
        <v>89.016818046919695</v>
      </c>
      <c r="AM9937">
        <v>87.666850720473704</v>
      </c>
      <c r="AN9937">
        <v>0.99999999398395401</v>
      </c>
    </row>
    <row r="9938" spans="1:40" x14ac:dyDescent="0.25">
      <c r="A9938" t="str">
        <f>"20190312154147239"</f>
        <v>20190312154147239</v>
      </c>
      <c r="B9938" t="str">
        <f>"1552376507226136"</f>
        <v>1552376507226136</v>
      </c>
      <c r="C9938" t="s">
        <v>40</v>
      </c>
      <c r="D9938">
        <v>4.0377140000000002</v>
      </c>
      <c r="E9938">
        <v>0.47991450000000002</v>
      </c>
      <c r="F9938" t="s">
        <v>51</v>
      </c>
      <c r="G9938">
        <v>-196.96680000000001</v>
      </c>
      <c r="H9938">
        <v>4.6638859999999998</v>
      </c>
      <c r="I9938">
        <v>391.87</v>
      </c>
      <c r="J9938">
        <v>-188.32249999999999</v>
      </c>
      <c r="K9938">
        <v>1.1083959999999999</v>
      </c>
      <c r="L9938">
        <v>22.972629999999999</v>
      </c>
      <c r="M9938">
        <v>-9.6792890000000006E-3</v>
      </c>
      <c r="N9938">
        <v>0</v>
      </c>
      <c r="O9938">
        <v>0.99995100000000003</v>
      </c>
      <c r="P9938">
        <v>3.0968519999999999E-2</v>
      </c>
      <c r="Q9938">
        <v>1.5473890000000001E-2</v>
      </c>
      <c r="R9938">
        <v>0.99940059999999997</v>
      </c>
      <c r="S9938">
        <v>-7.0343020000000006E-2</v>
      </c>
      <c r="T9938">
        <v>2.892256E-2</v>
      </c>
      <c r="U9938">
        <v>3.0035400000000001</v>
      </c>
      <c r="V9938">
        <v>4.0641570000000002E-2</v>
      </c>
      <c r="W9938">
        <v>1.7532229999999999E-2</v>
      </c>
      <c r="X9938">
        <v>0.99902000000000002</v>
      </c>
      <c r="Y9938">
        <v>-1.373478E-2</v>
      </c>
      <c r="Z9938">
        <v>9.6265929999999993E-3</v>
      </c>
      <c r="AA9938">
        <v>0.99985930000000001</v>
      </c>
      <c r="AB9938">
        <v>35</v>
      </c>
      <c r="AC9938">
        <v>-8.6443000000000101</v>
      </c>
      <c r="AD9938">
        <v>3.5554899999999998</v>
      </c>
      <c r="AE9938">
        <v>368.89737000000002</v>
      </c>
      <c r="AF9938">
        <v>-5.07275213412629</v>
      </c>
      <c r="AG9938">
        <v>3.5554899999999998</v>
      </c>
      <c r="AH9938">
        <v>368.92950709248697</v>
      </c>
      <c r="AI9938">
        <v>89.447891784143593</v>
      </c>
      <c r="AJ9938">
        <v>90.787762886036106</v>
      </c>
      <c r="AK9938">
        <v>368.981511090813</v>
      </c>
      <c r="AL9938">
        <v>88.995425785407903</v>
      </c>
      <c r="AM9938">
        <v>87.670409883543797</v>
      </c>
      <c r="AN9938">
        <v>1.00000003835041</v>
      </c>
    </row>
    <row r="9939" spans="1:40" x14ac:dyDescent="0.25">
      <c r="A9939" t="str">
        <f>"20190312154147260"</f>
        <v>20190312154147260</v>
      </c>
      <c r="B9939" t="str">
        <f>"1552376507245655"</f>
        <v>1552376507245655</v>
      </c>
      <c r="C9939" t="s">
        <v>40</v>
      </c>
      <c r="D9939">
        <v>4.0163799999999998</v>
      </c>
      <c r="E9939">
        <v>0.48050520000000002</v>
      </c>
      <c r="F9939" t="s">
        <v>51</v>
      </c>
      <c r="G9939">
        <v>-196.64760000000001</v>
      </c>
      <c r="H9939">
        <v>5.1127279999999997</v>
      </c>
      <c r="I9939">
        <v>391.87</v>
      </c>
      <c r="J9939">
        <v>-188.32579999999999</v>
      </c>
      <c r="K9939">
        <v>1.1084860000000001</v>
      </c>
      <c r="L9939">
        <v>23.313079999999999</v>
      </c>
      <c r="M9939">
        <v>-9.6765280000000002E-3</v>
      </c>
      <c r="N9939">
        <v>0</v>
      </c>
      <c r="O9939">
        <v>0.99995080000000003</v>
      </c>
      <c r="P9939">
        <v>3.0905769999999999E-2</v>
      </c>
      <c r="Q9939">
        <v>1.532002E-2</v>
      </c>
      <c r="R9939">
        <v>0.99940490000000004</v>
      </c>
      <c r="S9939">
        <v>-6.7779539999999999E-2</v>
      </c>
      <c r="T9939">
        <v>3.2601360000000003E-2</v>
      </c>
      <c r="U9939">
        <v>3.003387</v>
      </c>
      <c r="V9939">
        <v>4.0576050000000002E-2</v>
      </c>
      <c r="W9939">
        <v>1.7503149999999999E-2</v>
      </c>
      <c r="X9939">
        <v>0.99902310000000005</v>
      </c>
      <c r="Y9939">
        <v>-1.288548E-2</v>
      </c>
      <c r="Z9939">
        <v>1.0851629999999999E-2</v>
      </c>
      <c r="AA9939">
        <v>0.99985809999999997</v>
      </c>
      <c r="AB9939">
        <v>35</v>
      </c>
      <c r="AC9939">
        <v>-8.3218000000000192</v>
      </c>
      <c r="AD9939">
        <v>4.0042419999999996</v>
      </c>
      <c r="AE9939">
        <v>368.55691999999999</v>
      </c>
      <c r="AF9939">
        <v>-4.7544895972388197</v>
      </c>
      <c r="AG9939">
        <v>4.0042419999999996</v>
      </c>
      <c r="AH9939">
        <v>368.57670603280701</v>
      </c>
      <c r="AI9939">
        <v>89.377611081129999</v>
      </c>
      <c r="AJ9939">
        <v>90.739051261133</v>
      </c>
      <c r="AK9939">
        <v>368.62911897369099</v>
      </c>
      <c r="AL9939">
        <v>88.9970921289611</v>
      </c>
      <c r="AM9939">
        <v>87.674168596132901</v>
      </c>
      <c r="AN9939">
        <v>0.99999996521356604</v>
      </c>
    </row>
    <row r="9940" spans="1:40" x14ac:dyDescent="0.25">
      <c r="A9940" t="str">
        <f>"20190312154147283"</f>
        <v>20190312154147283</v>
      </c>
      <c r="B9940" t="str">
        <f>"1552376507275912"</f>
        <v>1552376507275912</v>
      </c>
      <c r="C9940" t="s">
        <v>40</v>
      </c>
      <c r="D9940">
        <v>3.9913449999999999</v>
      </c>
      <c r="E9940">
        <v>0.48079620000000001</v>
      </c>
      <c r="F9940" t="s">
        <v>51</v>
      </c>
      <c r="G9940">
        <v>-196.07820000000001</v>
      </c>
      <c r="H9940">
        <v>5.1364349999999996</v>
      </c>
      <c r="I9940">
        <v>391.87</v>
      </c>
      <c r="J9940">
        <v>-188.32929999999999</v>
      </c>
      <c r="K9940">
        <v>1.1085609999999999</v>
      </c>
      <c r="L9940">
        <v>23.67896</v>
      </c>
      <c r="M9940">
        <v>-9.6752850000000005E-3</v>
      </c>
      <c r="N9940">
        <v>0</v>
      </c>
      <c r="O9940">
        <v>0.99995040000000002</v>
      </c>
      <c r="P9940">
        <v>3.024667E-2</v>
      </c>
      <c r="Q9940">
        <v>1.5487310000000001E-2</v>
      </c>
      <c r="R9940">
        <v>0.99942249999999999</v>
      </c>
      <c r="S9940">
        <v>-6.3171389999999994E-2</v>
      </c>
      <c r="T9940">
        <v>3.2822249999999997E-2</v>
      </c>
      <c r="U9940">
        <v>3.0032350000000001</v>
      </c>
      <c r="V9940">
        <v>3.9915880000000001E-2</v>
      </c>
      <c r="W9940">
        <v>1.7843560000000001E-2</v>
      </c>
      <c r="X9940">
        <v>0.99904369999999998</v>
      </c>
      <c r="Y9940">
        <v>-1.1354380000000001E-2</v>
      </c>
      <c r="Z9940">
        <v>1.092599E-2</v>
      </c>
      <c r="AA9940">
        <v>0.99987579999999998</v>
      </c>
      <c r="AB9940">
        <v>36</v>
      </c>
      <c r="AC9940">
        <v>-7.7489000000000097</v>
      </c>
      <c r="AD9940">
        <v>4.0278739999999997</v>
      </c>
      <c r="AE9940">
        <v>368.19103999999999</v>
      </c>
      <c r="AF9940">
        <v>-4.1856734000872402</v>
      </c>
      <c r="AG9940">
        <v>4.0278739999999997</v>
      </c>
      <c r="AH9940">
        <v>368.204733550529</v>
      </c>
      <c r="AI9940">
        <v>89.373294131109802</v>
      </c>
      <c r="AJ9940">
        <v>90.651298228291296</v>
      </c>
      <c r="AK9940">
        <v>368.250552531545</v>
      </c>
      <c r="AL9940">
        <v>88.977585052855304</v>
      </c>
      <c r="AM9940">
        <v>87.712016318422897</v>
      </c>
      <c r="AN9940">
        <v>0.99999999230966796</v>
      </c>
    </row>
    <row r="9941" spans="1:40" x14ac:dyDescent="0.25">
      <c r="A9941" t="str">
        <f>"20190312154147306"</f>
        <v>20190312154147306</v>
      </c>
      <c r="B9941" t="str">
        <f>"1552376507296407"</f>
        <v>1552376507296407</v>
      </c>
      <c r="C9941" t="s">
        <v>40</v>
      </c>
      <c r="D9941">
        <v>4.0350890000000001</v>
      </c>
      <c r="E9941">
        <v>0.48089609999999999</v>
      </c>
      <c r="F9941" t="s">
        <v>51</v>
      </c>
      <c r="G9941">
        <v>-196.0164</v>
      </c>
      <c r="H9941">
        <v>5.1999899999999997</v>
      </c>
      <c r="I9941">
        <v>391.87</v>
      </c>
      <c r="J9941">
        <v>-188.3329</v>
      </c>
      <c r="K9941">
        <v>1.1086149999999999</v>
      </c>
      <c r="L9941">
        <v>24.045680000000001</v>
      </c>
      <c r="M9941">
        <v>-9.6751909999999997E-3</v>
      </c>
      <c r="N9941">
        <v>0</v>
      </c>
      <c r="O9941">
        <v>0.99994989999999995</v>
      </c>
      <c r="P9941">
        <v>2.9390079999999999E-2</v>
      </c>
      <c r="Q9941">
        <v>1.5560849999999999E-2</v>
      </c>
      <c r="R9941">
        <v>0.99944690000000003</v>
      </c>
      <c r="S9941">
        <v>-6.2698359999999995E-2</v>
      </c>
      <c r="T9941">
        <v>3.3371329999999998E-2</v>
      </c>
      <c r="U9941">
        <v>3.0031129999999999</v>
      </c>
      <c r="V9941">
        <v>3.9059480000000001E-2</v>
      </c>
      <c r="W9941">
        <v>1.8108160000000002E-2</v>
      </c>
      <c r="X9941">
        <v>0.99907279999999998</v>
      </c>
      <c r="Y9941">
        <v>-1.119787E-2</v>
      </c>
      <c r="Z9941">
        <v>1.110922E-2</v>
      </c>
      <c r="AA9941">
        <v>0.99987559999999998</v>
      </c>
      <c r="AB9941">
        <v>36</v>
      </c>
      <c r="AC9941">
        <v>-7.6835000000000004</v>
      </c>
      <c r="AD9941">
        <v>4.0913750000000002</v>
      </c>
      <c r="AE9941">
        <v>367.82432</v>
      </c>
      <c r="AF9941">
        <v>-4.1238480913760096</v>
      </c>
      <c r="AG9941">
        <v>4.0913750000000002</v>
      </c>
      <c r="AH9941">
        <v>367.83595248880602</v>
      </c>
      <c r="AI9941">
        <v>89.362775380875306</v>
      </c>
      <c r="AJ9941">
        <v>90.642322184430697</v>
      </c>
      <c r="AK9941">
        <v>367.88181990391797</v>
      </c>
      <c r="AL9941">
        <v>88.962422151631102</v>
      </c>
      <c r="AM9941">
        <v>87.761119926173393</v>
      </c>
      <c r="AN9941">
        <v>1.00000000406814</v>
      </c>
    </row>
    <row r="9942" spans="1:40" x14ac:dyDescent="0.25">
      <c r="A9942" t="str">
        <f>"20190312154147328"</f>
        <v>20190312154147328</v>
      </c>
      <c r="B9942" t="str">
        <f>"1552376507315931"</f>
        <v>1552376507315931</v>
      </c>
      <c r="C9942" t="s">
        <v>40</v>
      </c>
      <c r="D9942">
        <v>4.0184689999999996</v>
      </c>
      <c r="E9942">
        <v>0.48103200000000002</v>
      </c>
      <c r="F9942" t="s">
        <v>51</v>
      </c>
      <c r="G9942">
        <v>-196.24250000000001</v>
      </c>
      <c r="H9942">
        <v>5.5778379999999999</v>
      </c>
      <c r="I9942">
        <v>391.87</v>
      </c>
      <c r="J9942">
        <v>-188.33629999999999</v>
      </c>
      <c r="K9942">
        <v>1.1086510000000001</v>
      </c>
      <c r="L9942">
        <v>24.39847</v>
      </c>
      <c r="M9942">
        <v>-9.6699079999999996E-3</v>
      </c>
      <c r="N9942">
        <v>0</v>
      </c>
      <c r="O9942">
        <v>0.99994950000000005</v>
      </c>
      <c r="P9942">
        <v>2.8558879999999998E-2</v>
      </c>
      <c r="Q9942">
        <v>1.6156429999999999E-2</v>
      </c>
      <c r="R9942">
        <v>0.9994615</v>
      </c>
      <c r="S9942">
        <v>-6.4575199999999999E-2</v>
      </c>
      <c r="T9942">
        <v>3.6487579999999999E-2</v>
      </c>
      <c r="U9942">
        <v>3.0029910000000002</v>
      </c>
      <c r="V9942">
        <v>3.822333E-2</v>
      </c>
      <c r="W9942">
        <v>1.889147E-2</v>
      </c>
      <c r="X9942">
        <v>0.99909060000000005</v>
      </c>
      <c r="Y9942">
        <v>-1.182836E-2</v>
      </c>
      <c r="Z9942">
        <v>1.2146840000000001E-2</v>
      </c>
      <c r="AA9942">
        <v>0.99985619999999997</v>
      </c>
      <c r="AB9942">
        <v>36</v>
      </c>
      <c r="AC9942">
        <v>-7.9062000000000099</v>
      </c>
      <c r="AD9942">
        <v>4.4691869999999998</v>
      </c>
      <c r="AE9942">
        <v>367.47152999999997</v>
      </c>
      <c r="AF9942">
        <v>-4.3517577610390896</v>
      </c>
      <c r="AG9942">
        <v>4.4691869999999998</v>
      </c>
      <c r="AH9942">
        <v>367.47647156762099</v>
      </c>
      <c r="AI9942">
        <v>89.303261573794003</v>
      </c>
      <c r="AJ9942">
        <v>90.678480713171794</v>
      </c>
      <c r="AK9942">
        <v>367.52941186228901</v>
      </c>
      <c r="AL9942">
        <v>88.917534073465603</v>
      </c>
      <c r="AM9942">
        <v>87.809039621859796</v>
      </c>
      <c r="AN9942">
        <v>0.99999996880170405</v>
      </c>
    </row>
    <row r="9943" spans="1:40" x14ac:dyDescent="0.25">
      <c r="A9943" t="str">
        <f>"20190312154147352"</f>
        <v>20190312154147352</v>
      </c>
      <c r="B9943" t="str">
        <f>"1552376507346183"</f>
        <v>1552376507346183</v>
      </c>
      <c r="C9943" t="s">
        <v>40</v>
      </c>
      <c r="D9943">
        <v>4.0462680000000004</v>
      </c>
      <c r="E9943">
        <v>0.48129329999999998</v>
      </c>
      <c r="F9943" t="s">
        <v>51</v>
      </c>
      <c r="G9943">
        <v>-196.3683</v>
      </c>
      <c r="H9943">
        <v>6.0040889999999996</v>
      </c>
      <c r="I9943">
        <v>390.11860000000001</v>
      </c>
      <c r="J9943">
        <v>-188.34</v>
      </c>
      <c r="K9943">
        <v>1.1086579999999999</v>
      </c>
      <c r="L9943">
        <v>24.782530000000001</v>
      </c>
      <c r="M9943">
        <v>-9.6399640000000009E-3</v>
      </c>
      <c r="N9943">
        <v>0</v>
      </c>
      <c r="O9943">
        <v>0.99994919999999998</v>
      </c>
      <c r="P9943">
        <v>2.7211780000000001E-2</v>
      </c>
      <c r="Q9943">
        <v>1.6903049999999999E-2</v>
      </c>
      <c r="R9943">
        <v>0.99948669999999995</v>
      </c>
      <c r="S9943">
        <v>-6.5948489999999999E-2</v>
      </c>
      <c r="T9943">
        <v>4.0195229999999998E-2</v>
      </c>
      <c r="U9943">
        <v>3.0028380000000001</v>
      </c>
      <c r="V9943">
        <v>3.6847249999999998E-2</v>
      </c>
      <c r="W9943">
        <v>1.9837810000000001E-2</v>
      </c>
      <c r="X9943">
        <v>0.99912400000000001</v>
      </c>
      <c r="Y9943">
        <v>-1.231609E-2</v>
      </c>
      <c r="Z9943">
        <v>1.3381499999999999E-2</v>
      </c>
      <c r="AA9943">
        <v>0.99983460000000002</v>
      </c>
      <c r="AB9943">
        <v>36</v>
      </c>
      <c r="AC9943">
        <v>-8.0282999999999998</v>
      </c>
      <c r="AD9943">
        <v>4.8954309999999897</v>
      </c>
      <c r="AE9943">
        <v>365.33607000000001</v>
      </c>
      <c r="AF9943">
        <v>-4.5052765771301804</v>
      </c>
      <c r="AG9943">
        <v>4.8954309999999897</v>
      </c>
      <c r="AH9943">
        <v>365.33092195630701</v>
      </c>
      <c r="AI9943">
        <v>89.232341392010696</v>
      </c>
      <c r="AJ9943">
        <v>90.706538191848594</v>
      </c>
      <c r="AK9943">
        <v>365.39149593163398</v>
      </c>
      <c r="AL9943">
        <v>88.863302662898803</v>
      </c>
      <c r="AM9943">
        <v>87.887914266129698</v>
      </c>
      <c r="AN9943">
        <v>1.0000000129570701</v>
      </c>
    </row>
    <row r="9944" spans="1:40" x14ac:dyDescent="0.25">
      <c r="A9944" t="str">
        <f>"20190312154147374"</f>
        <v>20190312154147374</v>
      </c>
      <c r="B9944" t="str">
        <f>"1552376507365704"</f>
        <v>1552376507365704</v>
      </c>
      <c r="C9944" t="s">
        <v>40</v>
      </c>
      <c r="D9944">
        <v>3.996934</v>
      </c>
      <c r="E9944">
        <v>0.48143279999999999</v>
      </c>
      <c r="F9944" t="s">
        <v>51</v>
      </c>
      <c r="G9944">
        <v>-196.58510000000001</v>
      </c>
      <c r="H9944">
        <v>6.5913919999999999</v>
      </c>
      <c r="I9944">
        <v>390.11860000000001</v>
      </c>
      <c r="J9944">
        <v>-188.34360000000001</v>
      </c>
      <c r="K9944">
        <v>1.108644</v>
      </c>
      <c r="L9944">
        <v>25.15063</v>
      </c>
      <c r="M9944">
        <v>-9.5700319999999992E-3</v>
      </c>
      <c r="N9944">
        <v>0</v>
      </c>
      <c r="O9944">
        <v>0.99994930000000004</v>
      </c>
      <c r="P9944">
        <v>2.640634E-2</v>
      </c>
      <c r="Q9944">
        <v>1.6981449999999999E-2</v>
      </c>
      <c r="R9944">
        <v>0.99950709999999998</v>
      </c>
      <c r="S9944">
        <v>-6.7764279999999996E-2</v>
      </c>
      <c r="T9944">
        <v>4.5061469999999999E-2</v>
      </c>
      <c r="U9944">
        <v>3.0026250000000001</v>
      </c>
      <c r="V9944">
        <v>3.5973409999999997E-2</v>
      </c>
      <c r="W9944">
        <v>2.0097159999999999E-2</v>
      </c>
      <c r="X9944">
        <v>0.9991506</v>
      </c>
      <c r="Y9944">
        <v>-1.299139E-2</v>
      </c>
      <c r="Z9944">
        <v>1.5002100000000001E-2</v>
      </c>
      <c r="AA9944">
        <v>0.99980309999999994</v>
      </c>
      <c r="AB9944">
        <v>36</v>
      </c>
      <c r="AC9944">
        <v>-8.2415000000000003</v>
      </c>
      <c r="AD9944">
        <v>5.482748</v>
      </c>
      <c r="AE9944">
        <v>364.96796999999998</v>
      </c>
      <c r="AF9944">
        <v>-4.7472794941497103</v>
      </c>
      <c r="AG9944">
        <v>5.482748</v>
      </c>
      <c r="AH9944">
        <v>364.94781006291902</v>
      </c>
      <c r="AI9944">
        <v>89.139361539429103</v>
      </c>
      <c r="AJ9944">
        <v>90.745267491718906</v>
      </c>
      <c r="AK9944">
        <v>365.01986419638502</v>
      </c>
      <c r="AL9944">
        <v>88.848439969004502</v>
      </c>
      <c r="AM9944">
        <v>87.938013892546707</v>
      </c>
      <c r="AN9944">
        <v>0.99999995177372503</v>
      </c>
    </row>
    <row r="9945" spans="1:40" x14ac:dyDescent="0.25">
      <c r="A9945" t="str">
        <f>"20190312154147395"</f>
        <v>20190312154147395</v>
      </c>
      <c r="B9945" t="str">
        <f>"1552376507386201"</f>
        <v>1552376507386201</v>
      </c>
      <c r="C9945" t="s">
        <v>40</v>
      </c>
      <c r="D9945">
        <v>4.0188949999999997</v>
      </c>
      <c r="E9945">
        <v>0.48157139999999998</v>
      </c>
      <c r="F9945" t="s">
        <v>51</v>
      </c>
      <c r="G9945">
        <v>-196.7364</v>
      </c>
      <c r="H9945">
        <v>6.6651360000000004</v>
      </c>
      <c r="I9945">
        <v>390.11860000000001</v>
      </c>
      <c r="J9945">
        <v>-188.3468</v>
      </c>
      <c r="K9945">
        <v>1.108609</v>
      </c>
      <c r="L9945">
        <v>25.50055</v>
      </c>
      <c r="M9945">
        <v>-9.4543839999999997E-3</v>
      </c>
      <c r="N9945">
        <v>0</v>
      </c>
      <c r="O9945">
        <v>0.99994989999999995</v>
      </c>
      <c r="P9945">
        <v>2.5716820000000001E-2</v>
      </c>
      <c r="Q9945">
        <v>1.6201110000000001E-2</v>
      </c>
      <c r="R9945">
        <v>0.99953800000000004</v>
      </c>
      <c r="S9945">
        <v>-6.904602E-2</v>
      </c>
      <c r="T9945">
        <v>4.5712349999999999E-2</v>
      </c>
      <c r="U9945">
        <v>3.0025330000000001</v>
      </c>
      <c r="V9945">
        <v>3.5170269999999997E-2</v>
      </c>
      <c r="W9945">
        <v>1.947596E-2</v>
      </c>
      <c r="X9945">
        <v>0.99919150000000001</v>
      </c>
      <c r="Y9945">
        <v>-1.353422E-2</v>
      </c>
      <c r="Z9945">
        <v>1.5219109999999999E-2</v>
      </c>
      <c r="AA9945">
        <v>0.99979260000000003</v>
      </c>
      <c r="AB9945">
        <v>36</v>
      </c>
      <c r="AC9945">
        <v>-8.3895999999999997</v>
      </c>
      <c r="AD9945">
        <v>5.556527</v>
      </c>
      <c r="AE9945">
        <v>364.61804999999998</v>
      </c>
      <c r="AF9945">
        <v>-4.9408205078004901</v>
      </c>
      <c r="AG9945">
        <v>5.556527</v>
      </c>
      <c r="AH9945">
        <v>364.59644481938801</v>
      </c>
      <c r="AI9945">
        <v>89.1269479349005</v>
      </c>
      <c r="AJ9945">
        <v>90.776394941174303</v>
      </c>
      <c r="AK9945">
        <v>364.67225597038401</v>
      </c>
      <c r="AL9945">
        <v>88.884039085035795</v>
      </c>
      <c r="AM9945">
        <v>87.9840936926701</v>
      </c>
      <c r="AN9945">
        <v>0.99999995729102098</v>
      </c>
    </row>
    <row r="9946" spans="1:40" x14ac:dyDescent="0.25">
      <c r="A9946" t="str">
        <f>"20190312154147418"</f>
        <v>20190312154147418</v>
      </c>
      <c r="B9946" t="str">
        <f>"1552376507405720"</f>
        <v>1552376507405720</v>
      </c>
      <c r="C9946" t="s">
        <v>40</v>
      </c>
      <c r="D9946">
        <v>3.9938400000000001</v>
      </c>
      <c r="E9946">
        <v>0.4816684</v>
      </c>
      <c r="F9946" t="s">
        <v>51</v>
      </c>
      <c r="G9946">
        <v>-196.8391</v>
      </c>
      <c r="H9946">
        <v>6.2704690000000003</v>
      </c>
      <c r="I9946">
        <v>390.11860000000001</v>
      </c>
      <c r="J9946">
        <v>-188.3501</v>
      </c>
      <c r="K9946">
        <v>1.108554</v>
      </c>
      <c r="L9946">
        <v>25.859159999999999</v>
      </c>
      <c r="M9946">
        <v>-9.2803139999999996E-3</v>
      </c>
      <c r="N9946">
        <v>0</v>
      </c>
      <c r="O9946">
        <v>0.99995100000000003</v>
      </c>
      <c r="P9946">
        <v>2.569637E-2</v>
      </c>
      <c r="Q9946">
        <v>1.4566559999999999E-2</v>
      </c>
      <c r="R9946">
        <v>0.9995636</v>
      </c>
      <c r="S9946">
        <v>-6.9931030000000005E-2</v>
      </c>
      <c r="T9946">
        <v>4.2506099999999998E-2</v>
      </c>
      <c r="U9946">
        <v>3.0025019999999998</v>
      </c>
      <c r="V9946">
        <v>3.4977750000000002E-2</v>
      </c>
      <c r="W9946">
        <v>1.799135E-2</v>
      </c>
      <c r="X9946">
        <v>0.99922619999999895</v>
      </c>
      <c r="Y9946">
        <v>-1.4003410000000001E-2</v>
      </c>
      <c r="Z9946">
        <v>1.415195E-2</v>
      </c>
      <c r="AA9946">
        <v>0.99980179999999996</v>
      </c>
      <c r="AB9946">
        <v>36</v>
      </c>
      <c r="AC9946">
        <v>-8.4890000000000008</v>
      </c>
      <c r="AD9946">
        <v>5.1619149999999996</v>
      </c>
      <c r="AE9946">
        <v>364.25943999999998</v>
      </c>
      <c r="AF9946">
        <v>-5.1071473397124603</v>
      </c>
      <c r="AG9946">
        <v>5.1619149999999996</v>
      </c>
      <c r="AH9946">
        <v>364.24942704517201</v>
      </c>
      <c r="AI9946">
        <v>89.188174189417097</v>
      </c>
      <c r="AJ9946">
        <v>90.8032924510035</v>
      </c>
      <c r="AK9946">
        <v>364.32179926975601</v>
      </c>
      <c r="AL9946">
        <v>88.969116025147301</v>
      </c>
      <c r="AM9946">
        <v>87.995189182061907</v>
      </c>
      <c r="AN9946">
        <v>1.00000006521816</v>
      </c>
    </row>
    <row r="9947" spans="1:40" x14ac:dyDescent="0.25">
      <c r="A9947" t="str">
        <f>"20190312154147438"</f>
        <v>20190312154147438</v>
      </c>
      <c r="B9947" t="str">
        <f>"1552376507426216"</f>
        <v>1552376507426216</v>
      </c>
      <c r="C9947" t="s">
        <v>40</v>
      </c>
      <c r="D9947">
        <v>4.0408949999999999</v>
      </c>
      <c r="E9947">
        <v>0.48182140000000001</v>
      </c>
      <c r="F9947" t="s">
        <v>51</v>
      </c>
      <c r="G9947">
        <v>-196.8058</v>
      </c>
      <c r="H9947">
        <v>5.6060270000000001</v>
      </c>
      <c r="I9947">
        <v>391.87</v>
      </c>
      <c r="J9947">
        <v>-188.35310000000001</v>
      </c>
      <c r="K9947">
        <v>1.108501</v>
      </c>
      <c r="L9947">
        <v>26.209409999999998</v>
      </c>
      <c r="M9947">
        <v>-9.0568439999999997E-3</v>
      </c>
      <c r="N9947">
        <v>0</v>
      </c>
      <c r="O9947">
        <v>0.99995259999999997</v>
      </c>
      <c r="P9947">
        <v>2.5507470000000001E-2</v>
      </c>
      <c r="Q9947">
        <v>1.316027E-2</v>
      </c>
      <c r="R9947">
        <v>0.99958800000000003</v>
      </c>
      <c r="S9947">
        <v>-6.9366460000000005E-2</v>
      </c>
      <c r="T9947">
        <v>3.6894919999999998E-2</v>
      </c>
      <c r="U9947">
        <v>3.0025629999999999</v>
      </c>
      <c r="V9947">
        <v>3.4567149999999998E-2</v>
      </c>
      <c r="W9947">
        <v>1.671839E-2</v>
      </c>
      <c r="X9947">
        <v>0.99926250000000005</v>
      </c>
      <c r="Y9947">
        <v>-1.4039070000000001E-2</v>
      </c>
      <c r="Z9947">
        <v>1.228388E-2</v>
      </c>
      <c r="AA9947">
        <v>0.99982599999999999</v>
      </c>
      <c r="AB9947">
        <v>37</v>
      </c>
      <c r="AC9947">
        <v>-8.4526999999999894</v>
      </c>
      <c r="AD9947">
        <v>4.4975259999999997</v>
      </c>
      <c r="AE9947">
        <v>365.66059000000001</v>
      </c>
      <c r="AF9947">
        <v>-5.1398240933192003</v>
      </c>
      <c r="AG9947">
        <v>4.4975259999999997</v>
      </c>
      <c r="AH9947">
        <v>365.66685810733901</v>
      </c>
      <c r="AI9947">
        <v>89.2953946719485</v>
      </c>
      <c r="AJ9947">
        <v>90.805298127023093</v>
      </c>
      <c r="AK9947">
        <v>365.73063400530702</v>
      </c>
      <c r="AL9947">
        <v>89.0420621540475</v>
      </c>
      <c r="AM9947">
        <v>88.018776486731497</v>
      </c>
      <c r="AN9947">
        <v>0.99999996816478098</v>
      </c>
    </row>
    <row r="9948" spans="1:40" x14ac:dyDescent="0.25">
      <c r="A9948" t="str">
        <f>"20190312154147462"</f>
        <v>20190312154147462</v>
      </c>
      <c r="B9948" t="str">
        <f>"1552376507456472"</f>
        <v>1552376507456472</v>
      </c>
      <c r="C9948" t="s">
        <v>40</v>
      </c>
      <c r="D9948">
        <v>4.0578849999999997</v>
      </c>
      <c r="E9948">
        <v>0.48186010000000001</v>
      </c>
      <c r="F9948" t="s">
        <v>51</v>
      </c>
      <c r="G9948">
        <v>-196.70240000000001</v>
      </c>
      <c r="H9948">
        <v>5.1546120000000002</v>
      </c>
      <c r="I9948">
        <v>391.87</v>
      </c>
      <c r="J9948">
        <v>-188.3562</v>
      </c>
      <c r="K9948">
        <v>1.108449</v>
      </c>
      <c r="L9948">
        <v>26.581389999999999</v>
      </c>
      <c r="M9948">
        <v>-8.7742340000000005E-3</v>
      </c>
      <c r="N9948">
        <v>0</v>
      </c>
      <c r="O9948">
        <v>0.99995460000000003</v>
      </c>
      <c r="P9948">
        <v>2.5310010000000001E-2</v>
      </c>
      <c r="Q9948">
        <v>1.2794440000000001E-2</v>
      </c>
      <c r="R9948">
        <v>0.99959779999999998</v>
      </c>
      <c r="S9948">
        <v>-6.8557740000000006E-2</v>
      </c>
      <c r="T9948">
        <v>3.3223629999999997E-2</v>
      </c>
      <c r="U9948">
        <v>3.0025330000000001</v>
      </c>
      <c r="V9948">
        <v>3.408895E-2</v>
      </c>
      <c r="W9948">
        <v>1.6481909999999999E-2</v>
      </c>
      <c r="X9948">
        <v>0.99928289999999997</v>
      </c>
      <c r="Y9948">
        <v>-1.4053070000000001E-2</v>
      </c>
      <c r="Z9948">
        <v>1.10619E-2</v>
      </c>
      <c r="AA9948">
        <v>0.99984010000000001</v>
      </c>
      <c r="AB9948">
        <v>37</v>
      </c>
      <c r="AC9948">
        <v>-8.3462000000000103</v>
      </c>
      <c r="AD9948">
        <v>4.046163</v>
      </c>
      <c r="AE9948">
        <v>365.28861000000001</v>
      </c>
      <c r="AF9948">
        <v>-5.1400985222831004</v>
      </c>
      <c r="AG9948">
        <v>4.046163</v>
      </c>
      <c r="AH9948">
        <v>365.30298409551398</v>
      </c>
      <c r="AI9948">
        <v>89.365470170491506</v>
      </c>
      <c r="AJ9948">
        <v>90.806143203400097</v>
      </c>
      <c r="AK9948">
        <v>365.36155002535298</v>
      </c>
      <c r="AL9948">
        <v>89.055613369142094</v>
      </c>
      <c r="AM9948">
        <v>88.046203084889001</v>
      </c>
      <c r="AN9948">
        <v>1.0000000120508801</v>
      </c>
    </row>
    <row r="9949" spans="1:40" x14ac:dyDescent="0.25">
      <c r="A9949" t="str">
        <f>"20190312154147475"</f>
        <v>20190312154147475</v>
      </c>
      <c r="B9949" t="str">
        <f>"1552376507466232"</f>
        <v>1552376507466232</v>
      </c>
      <c r="C9949" t="s">
        <v>40</v>
      </c>
      <c r="D9949">
        <v>4.0879640000000004</v>
      </c>
      <c r="E9949">
        <v>0.48192790000000002</v>
      </c>
      <c r="F9949" t="s">
        <v>51</v>
      </c>
      <c r="G9949">
        <v>-196.72669999999999</v>
      </c>
      <c r="H9949">
        <v>5.0903130000000001</v>
      </c>
      <c r="I9949">
        <v>391.87</v>
      </c>
      <c r="J9949">
        <v>-188.35820000000001</v>
      </c>
      <c r="K9949">
        <v>1.108419</v>
      </c>
      <c r="L9949">
        <v>26.821840000000002</v>
      </c>
      <c r="M9949">
        <v>-8.5732689999999997E-3</v>
      </c>
      <c r="N9949">
        <v>0</v>
      </c>
      <c r="O9949">
        <v>0.99995610000000001</v>
      </c>
      <c r="P9949">
        <v>2.5631080000000001E-2</v>
      </c>
      <c r="Q9949">
        <v>1.267895E-2</v>
      </c>
      <c r="R9949">
        <v>0.99959109999999995</v>
      </c>
      <c r="S9949">
        <v>-6.8801879999999996E-2</v>
      </c>
      <c r="T9949">
        <v>3.2729389999999997E-2</v>
      </c>
      <c r="U9949">
        <v>3.0025330000000001</v>
      </c>
      <c r="V9949">
        <v>3.4210039999999997E-2</v>
      </c>
      <c r="W9949">
        <v>1.6444250000000001E-2</v>
      </c>
      <c r="X9949">
        <v>0.99927940000000004</v>
      </c>
      <c r="Y9949">
        <v>-1.433532E-2</v>
      </c>
      <c r="Z9949">
        <v>1.089735E-2</v>
      </c>
      <c r="AA9949">
        <v>0.99983789999999995</v>
      </c>
      <c r="AB9949">
        <v>37</v>
      </c>
      <c r="AC9949">
        <v>-8.3684999999999796</v>
      </c>
      <c r="AD9949">
        <v>3.981894</v>
      </c>
      <c r="AE9949">
        <v>365.04816</v>
      </c>
      <c r="AF9949">
        <v>-5.2378911129535597</v>
      </c>
      <c r="AG9949">
        <v>3.981894</v>
      </c>
      <c r="AH9949">
        <v>365.063076884422</v>
      </c>
      <c r="AI9949">
        <v>89.3751403216787</v>
      </c>
      <c r="AJ9949">
        <v>90.822018117248305</v>
      </c>
      <c r="AK9949">
        <v>365.122364540246</v>
      </c>
      <c r="AL9949">
        <v>89.057771437303003</v>
      </c>
      <c r="AM9949">
        <v>88.0392613969575</v>
      </c>
      <c r="AN9949">
        <v>1.0000000297296101</v>
      </c>
    </row>
    <row r="9950" spans="1:40" x14ac:dyDescent="0.25">
      <c r="A9950" t="str">
        <f>"20190312154147496"</f>
        <v>20190312154147496</v>
      </c>
      <c r="B9950" t="str">
        <f>"1552376507485755"</f>
        <v>1552376507485755</v>
      </c>
      <c r="C9950" t="s">
        <v>40</v>
      </c>
      <c r="D9950">
        <v>4.0982450000000004</v>
      </c>
      <c r="E9950">
        <v>0.48198950000000002</v>
      </c>
      <c r="F9950" t="s">
        <v>51</v>
      </c>
      <c r="G9950">
        <v>-196.56729999999999</v>
      </c>
      <c r="H9950">
        <v>5.0250120000000003</v>
      </c>
      <c r="I9950">
        <v>391.87</v>
      </c>
      <c r="J9950">
        <v>-188.36080000000001</v>
      </c>
      <c r="K9950">
        <v>1.1083829999999999</v>
      </c>
      <c r="L9950">
        <v>27.153960000000001</v>
      </c>
      <c r="M9950">
        <v>-8.2730900000000003E-3</v>
      </c>
      <c r="N9950">
        <v>0</v>
      </c>
      <c r="O9950">
        <v>0.99995820000000002</v>
      </c>
      <c r="P9950">
        <v>2.6270849999999998E-2</v>
      </c>
      <c r="Q9950">
        <v>1.2580320000000001E-2</v>
      </c>
      <c r="R9950">
        <v>0.99957569999999996</v>
      </c>
      <c r="S9950">
        <v>-6.7520140000000006E-2</v>
      </c>
      <c r="T9950">
        <v>3.2214399999999997E-2</v>
      </c>
      <c r="U9950">
        <v>3.0025629999999999</v>
      </c>
      <c r="V9950">
        <v>3.455072E-2</v>
      </c>
      <c r="W9950">
        <v>1.6444719999999999E-2</v>
      </c>
      <c r="X9950">
        <v>0.99926760000000003</v>
      </c>
      <c r="Y9950">
        <v>-1.420869E-2</v>
      </c>
      <c r="Z9950">
        <v>1.07259E-2</v>
      </c>
      <c r="AA9950">
        <v>0.99984150000000005</v>
      </c>
      <c r="AB9950">
        <v>37</v>
      </c>
      <c r="AC9950">
        <v>-8.2064999999999699</v>
      </c>
      <c r="AD9950">
        <v>3.9166289999999999</v>
      </c>
      <c r="AE9950">
        <v>364.716039999999</v>
      </c>
      <c r="AF9950">
        <v>-5.1882696387889604</v>
      </c>
      <c r="AG9950">
        <v>3.9166289999999999</v>
      </c>
      <c r="AH9950">
        <v>364.72941158053999</v>
      </c>
      <c r="AI9950">
        <v>89.384817947019101</v>
      </c>
      <c r="AJ9950">
        <v>90.814976515938497</v>
      </c>
      <c r="AK9950">
        <v>364.78733776881</v>
      </c>
      <c r="AL9950">
        <v>89.057744437748397</v>
      </c>
      <c r="AM9950">
        <v>88.019727524516199</v>
      </c>
      <c r="AN9950">
        <v>0.99999995873907699</v>
      </c>
    </row>
    <row r="9951" spans="1:40" x14ac:dyDescent="0.25">
      <c r="A9951" t="str">
        <f>"20190312154147517"</f>
        <v>20190312154147517</v>
      </c>
      <c r="B9951" t="str">
        <f>"1552376507506251"</f>
        <v>1552376507506251</v>
      </c>
      <c r="C9951" t="s">
        <v>40</v>
      </c>
      <c r="D9951">
        <v>4.0935810000000004</v>
      </c>
      <c r="E9951">
        <v>0.4820681</v>
      </c>
      <c r="F9951" t="s">
        <v>51</v>
      </c>
      <c r="G9951">
        <v>-196.25839999999999</v>
      </c>
      <c r="H9951">
        <v>5.0526900000000001</v>
      </c>
      <c r="I9951">
        <v>391.87</v>
      </c>
      <c r="J9951">
        <v>-188.36349999999999</v>
      </c>
      <c r="K9951">
        <v>1.108355</v>
      </c>
      <c r="L9951">
        <v>27.515260000000001</v>
      </c>
      <c r="M9951">
        <v>-7.9278790000000005E-3</v>
      </c>
      <c r="N9951">
        <v>0</v>
      </c>
      <c r="O9951">
        <v>0.99996059999999998</v>
      </c>
      <c r="P9951">
        <v>2.722987E-2</v>
      </c>
      <c r="Q9951">
        <v>1.229469E-2</v>
      </c>
      <c r="R9951">
        <v>0.99955360000000004</v>
      </c>
      <c r="S9951">
        <v>-6.5017699999999998E-2</v>
      </c>
      <c r="T9951">
        <v>3.2471899999999998E-2</v>
      </c>
      <c r="U9951">
        <v>3.0025629999999999</v>
      </c>
      <c r="V9951">
        <v>3.516528E-2</v>
      </c>
      <c r="W9951">
        <v>1.625735E-2</v>
      </c>
      <c r="X9951">
        <v>0.99924930000000001</v>
      </c>
      <c r="Y9951">
        <v>-1.3720960000000001E-2</v>
      </c>
      <c r="Z9951">
        <v>1.081181E-2</v>
      </c>
      <c r="AA9951">
        <v>0.99984740000000005</v>
      </c>
      <c r="AB9951">
        <v>37</v>
      </c>
      <c r="AC9951">
        <v>-7.8948999999999998</v>
      </c>
      <c r="AD9951">
        <v>3.9443349999999899</v>
      </c>
      <c r="AE9951">
        <v>364.35473999999999</v>
      </c>
      <c r="AF9951">
        <v>-5.0054822374145704</v>
      </c>
      <c r="AG9951">
        <v>3.9443349999999899</v>
      </c>
      <c r="AH9951">
        <v>364.36319938104998</v>
      </c>
      <c r="AI9951">
        <v>89.379839670500203</v>
      </c>
      <c r="AJ9951">
        <v>90.787057989844598</v>
      </c>
      <c r="AK9951">
        <v>364.41892609223203</v>
      </c>
      <c r="AL9951">
        <v>89.068481451076096</v>
      </c>
      <c r="AM9951">
        <v>87.984495970160594</v>
      </c>
      <c r="AN9951">
        <v>1.00000003094849</v>
      </c>
    </row>
    <row r="9952" spans="1:40" x14ac:dyDescent="0.25">
      <c r="A9952" t="str">
        <f>"20190312154147540"</f>
        <v>20190312154147540</v>
      </c>
      <c r="B9952" t="str">
        <f>"1552376507525768"</f>
        <v>1552376507525768</v>
      </c>
      <c r="C9952" t="s">
        <v>40</v>
      </c>
      <c r="D9952">
        <v>4.0740470000000002</v>
      </c>
      <c r="E9952">
        <v>0.48214259999999898</v>
      </c>
      <c r="F9952" t="s">
        <v>51</v>
      </c>
      <c r="G9952">
        <v>-195.83099999999999</v>
      </c>
      <c r="H9952">
        <v>4.9451850000000004</v>
      </c>
      <c r="I9952">
        <v>391.87</v>
      </c>
      <c r="J9952">
        <v>-188.36609999999999</v>
      </c>
      <c r="K9952">
        <v>1.1083270000000001</v>
      </c>
      <c r="L9952">
        <v>27.87668</v>
      </c>
      <c r="M9952">
        <v>-7.5702149999999999E-3</v>
      </c>
      <c r="N9952">
        <v>0</v>
      </c>
      <c r="O9952">
        <v>0.99996300000000005</v>
      </c>
      <c r="P9952">
        <v>2.8322940000000001E-2</v>
      </c>
      <c r="Q9952">
        <v>1.2391060000000001E-2</v>
      </c>
      <c r="R9952">
        <v>0.99952200000000002</v>
      </c>
      <c r="S9952">
        <v>-6.1538700000000002E-2</v>
      </c>
      <c r="T9952">
        <v>3.1619069999999999E-2</v>
      </c>
      <c r="U9952">
        <v>3.0026250000000001</v>
      </c>
      <c r="V9952">
        <v>3.590148E-2</v>
      </c>
      <c r="W9952">
        <v>1.644282E-2</v>
      </c>
      <c r="X9952">
        <v>0.99922010000000006</v>
      </c>
      <c r="Y9952">
        <v>-1.2920259999999999E-2</v>
      </c>
      <c r="Z9952">
        <v>1.05279E-2</v>
      </c>
      <c r="AA9952">
        <v>0.99986109999999995</v>
      </c>
      <c r="AB9952">
        <v>37</v>
      </c>
      <c r="AC9952">
        <v>-7.4649000000000001</v>
      </c>
      <c r="AD9952">
        <v>3.8368579999999999</v>
      </c>
      <c r="AE9952">
        <v>363.99331999999998</v>
      </c>
      <c r="AF9952">
        <v>-4.7086324369019197</v>
      </c>
      <c r="AG9952">
        <v>3.8368579999999999</v>
      </c>
      <c r="AH9952">
        <v>363.99897316205801</v>
      </c>
      <c r="AI9952">
        <v>89.396126758779502</v>
      </c>
      <c r="AJ9952">
        <v>90.741127692888</v>
      </c>
      <c r="AK9952">
        <v>364.04964656179902</v>
      </c>
      <c r="AL9952">
        <v>89.057853396128294</v>
      </c>
      <c r="AM9952">
        <v>87.942276362541193</v>
      </c>
      <c r="AN9952">
        <v>1.0000000454198701</v>
      </c>
    </row>
    <row r="9953" spans="1:40" x14ac:dyDescent="0.25">
      <c r="A9953" t="str">
        <f>"20190312154147563"</f>
        <v>20190312154147563</v>
      </c>
      <c r="B9953" t="str">
        <f>"1552376507556024"</f>
        <v>1552376507556024</v>
      </c>
      <c r="C9953" t="s">
        <v>40</v>
      </c>
      <c r="D9953">
        <v>4.1298789999999999</v>
      </c>
      <c r="E9953">
        <v>0.4821318</v>
      </c>
      <c r="F9953" t="s">
        <v>51</v>
      </c>
      <c r="G9953">
        <v>-195.35990000000001</v>
      </c>
      <c r="H9953">
        <v>4.9912609999999997</v>
      </c>
      <c r="I9953">
        <v>391.87</v>
      </c>
      <c r="J9953">
        <v>-188.36879999999999</v>
      </c>
      <c r="K9953">
        <v>1.108303</v>
      </c>
      <c r="L9953">
        <v>28.273350000000001</v>
      </c>
      <c r="M9953">
        <v>-7.1716599999999998E-3</v>
      </c>
      <c r="N9953">
        <v>0</v>
      </c>
      <c r="O9953">
        <v>0.99996549999999995</v>
      </c>
      <c r="P9953">
        <v>2.9203799999999999E-2</v>
      </c>
      <c r="Q9953">
        <v>1.2563909999999999E-2</v>
      </c>
      <c r="R9953">
        <v>0.99949449999999995</v>
      </c>
      <c r="S9953">
        <v>-5.7693479999999998E-2</v>
      </c>
      <c r="T9953">
        <v>3.2031419999999998E-2</v>
      </c>
      <c r="U9953">
        <v>3.0026860000000002</v>
      </c>
      <c r="V9953">
        <v>3.6384670000000001E-2</v>
      </c>
      <c r="W9953">
        <v>1.670408E-2</v>
      </c>
      <c r="X9953">
        <v>0.99919829999999998</v>
      </c>
      <c r="Y9953">
        <v>-1.2038429999999999E-2</v>
      </c>
      <c r="Z9953">
        <v>1.06652E-2</v>
      </c>
      <c r="AA9953">
        <v>0.9998707</v>
      </c>
      <c r="AB9953">
        <v>37</v>
      </c>
      <c r="AC9953">
        <v>-6.9911000000000101</v>
      </c>
      <c r="AD9953">
        <v>3.8829579999999999</v>
      </c>
      <c r="AE9953">
        <v>363.59665000000001</v>
      </c>
      <c r="AF9953">
        <v>-4.3828060918775202</v>
      </c>
      <c r="AG9953">
        <v>3.8829579999999999</v>
      </c>
      <c r="AH9953">
        <v>363.59598569215302</v>
      </c>
      <c r="AI9953">
        <v>89.388187720181804</v>
      </c>
      <c r="AJ9953">
        <v>90.690613043076496</v>
      </c>
      <c r="AK9953">
        <v>363.64313160503599</v>
      </c>
      <c r="AL9953">
        <v>89.042882255849193</v>
      </c>
      <c r="AM9953">
        <v>87.9145607518725</v>
      </c>
      <c r="AN9953">
        <v>1.0000000566112699</v>
      </c>
    </row>
    <row r="9954" spans="1:40" x14ac:dyDescent="0.25">
      <c r="A9954" t="str">
        <f>"20190312154147586"</f>
        <v>20190312154147586</v>
      </c>
      <c r="B9954" t="str">
        <f>"1552376507576519"</f>
        <v>1552376507576519</v>
      </c>
      <c r="C9954" t="s">
        <v>40</v>
      </c>
      <c r="D9954">
        <v>4.1323800000000004</v>
      </c>
      <c r="E9954">
        <v>0.48208830000000003</v>
      </c>
      <c r="F9954" t="s">
        <v>51</v>
      </c>
      <c r="G9954">
        <v>-195.0334</v>
      </c>
      <c r="H9954">
        <v>5.0722319999999996</v>
      </c>
      <c r="I9954">
        <v>391.87</v>
      </c>
      <c r="J9954">
        <v>-188.37119999999999</v>
      </c>
      <c r="K9954">
        <v>1.108284</v>
      </c>
      <c r="L9954">
        <v>28.65625</v>
      </c>
      <c r="M9954">
        <v>-6.7854119999999898E-3</v>
      </c>
      <c r="N9954">
        <v>0</v>
      </c>
      <c r="O9954">
        <v>0.99996790000000002</v>
      </c>
      <c r="P9954">
        <v>2.981808E-2</v>
      </c>
      <c r="Q9954">
        <v>1.2549619999999999E-2</v>
      </c>
      <c r="R9954">
        <v>0.99947660000000005</v>
      </c>
      <c r="S9954">
        <v>-5.5038450000000003E-2</v>
      </c>
      <c r="T9954">
        <v>3.2735590000000002E-2</v>
      </c>
      <c r="U9954">
        <v>3.0027159999999999</v>
      </c>
      <c r="V9954">
        <v>3.6613430000000002E-2</v>
      </c>
      <c r="W9954">
        <v>1.676797E-2</v>
      </c>
      <c r="X9954">
        <v>0.99918879999999999</v>
      </c>
      <c r="Y9954">
        <v>-1.154064E-2</v>
      </c>
      <c r="Z9954">
        <v>1.089969E-2</v>
      </c>
      <c r="AA9954">
        <v>0.99987400000000004</v>
      </c>
      <c r="AB9954">
        <v>37</v>
      </c>
      <c r="AC9954">
        <v>-6.6622000000000101</v>
      </c>
      <c r="AD9954">
        <v>3.9639479999999998</v>
      </c>
      <c r="AE9954">
        <v>363.21375</v>
      </c>
      <c r="AF9954">
        <v>-4.1969695993016796</v>
      </c>
      <c r="AG9954">
        <v>3.9639479999999998</v>
      </c>
      <c r="AH9954">
        <v>363.20734902845601</v>
      </c>
      <c r="AI9954">
        <v>89.374755728451703</v>
      </c>
      <c r="AJ9954">
        <v>90.662040411438397</v>
      </c>
      <c r="AK9954">
        <v>363.25322548580698</v>
      </c>
      <c r="AL9954">
        <v>89.039221045261002</v>
      </c>
      <c r="AM9954">
        <v>87.901440798247904</v>
      </c>
      <c r="AN9954">
        <v>0.99999998305986204</v>
      </c>
    </row>
    <row r="9955" spans="1:40" x14ac:dyDescent="0.25">
      <c r="A9955" t="str">
        <f>"20190312154147608"</f>
        <v>20190312154147608</v>
      </c>
      <c r="B9955" t="str">
        <f>"1552376507596043"</f>
        <v>1552376507596043</v>
      </c>
      <c r="C9955" t="s">
        <v>40</v>
      </c>
      <c r="D9955">
        <v>4.140587</v>
      </c>
      <c r="E9955">
        <v>0.4820834</v>
      </c>
      <c r="F9955" t="s">
        <v>51</v>
      </c>
      <c r="G9955">
        <v>-194.8349</v>
      </c>
      <c r="H9955">
        <v>5.1082409999999996</v>
      </c>
      <c r="I9955">
        <v>391.87</v>
      </c>
      <c r="J9955">
        <v>-188.37350000000001</v>
      </c>
      <c r="K9955">
        <v>1.1082689999999999</v>
      </c>
      <c r="L9955">
        <v>29.032779999999999</v>
      </c>
      <c r="M9955">
        <v>-6.4059310000000001E-3</v>
      </c>
      <c r="N9955">
        <v>0</v>
      </c>
      <c r="O9955">
        <v>0.99997009999999997</v>
      </c>
      <c r="P9955">
        <v>2.9824980000000001E-2</v>
      </c>
      <c r="Q9955">
        <v>1.220132E-2</v>
      </c>
      <c r="R9955">
        <v>0.9994807</v>
      </c>
      <c r="S9955">
        <v>-5.3436280000000003E-2</v>
      </c>
      <c r="T9955">
        <v>3.3068300000000002E-2</v>
      </c>
      <c r="U9955">
        <v>3.0027469999999998</v>
      </c>
      <c r="V9955">
        <v>3.6241370000000002E-2</v>
      </c>
      <c r="W9955">
        <v>1.6490970000000001E-2</v>
      </c>
      <c r="X9955">
        <v>0.99920699999999996</v>
      </c>
      <c r="Y9955">
        <v>-1.138656E-2</v>
      </c>
      <c r="Z9955">
        <v>1.101045E-2</v>
      </c>
      <c r="AA9955">
        <v>0.9998745</v>
      </c>
      <c r="AB9955">
        <v>38</v>
      </c>
      <c r="AC9955">
        <v>-6.4613999999999896</v>
      </c>
      <c r="AD9955">
        <v>3.9999720000000001</v>
      </c>
      <c r="AE9955">
        <v>362.83722</v>
      </c>
      <c r="AF9955">
        <v>-4.1364328706270497</v>
      </c>
      <c r="AG9955">
        <v>3.9999720000000001</v>
      </c>
      <c r="AH9955">
        <v>362.82708568827701</v>
      </c>
      <c r="AI9955">
        <v>89.3684117083383</v>
      </c>
      <c r="AJ9955">
        <v>90.653175818496706</v>
      </c>
      <c r="AK9955">
        <v>362.87271041226302</v>
      </c>
      <c r="AL9955">
        <v>89.055094195866602</v>
      </c>
      <c r="AM9955">
        <v>87.922785056712996</v>
      </c>
      <c r="AN9955">
        <v>1.0000000089200001</v>
      </c>
    </row>
    <row r="9956" spans="1:40" x14ac:dyDescent="0.25">
      <c r="A9956" t="str">
        <f>"20190312154147630"</f>
        <v>20190312154147630</v>
      </c>
      <c r="B9956" t="str">
        <f>"1552376507615560"</f>
        <v>1552376507615560</v>
      </c>
      <c r="C9956" t="s">
        <v>40</v>
      </c>
      <c r="D9956">
        <v>4.135173</v>
      </c>
      <c r="E9956">
        <v>0.48212280000000002</v>
      </c>
      <c r="F9956" t="s">
        <v>51</v>
      </c>
      <c r="G9956">
        <v>-194.8323</v>
      </c>
      <c r="H9956">
        <v>4.9616379999999998</v>
      </c>
      <c r="I9956">
        <v>391.87</v>
      </c>
      <c r="J9956">
        <v>-188.37549999999999</v>
      </c>
      <c r="K9956">
        <v>1.108257</v>
      </c>
      <c r="L9956">
        <v>29.395050000000001</v>
      </c>
      <c r="M9956">
        <v>-6.0417999999999999E-3</v>
      </c>
      <c r="N9956">
        <v>0</v>
      </c>
      <c r="O9956">
        <v>0.99997210000000003</v>
      </c>
      <c r="P9956">
        <v>2.990305E-2</v>
      </c>
      <c r="Q9956">
        <v>1.235317E-2</v>
      </c>
      <c r="R9956">
        <v>0.99947649999999999</v>
      </c>
      <c r="S9956">
        <v>-5.3451539999999999E-2</v>
      </c>
      <c r="T9956">
        <v>3.1889800000000003E-2</v>
      </c>
      <c r="U9956">
        <v>3.002777</v>
      </c>
      <c r="V9956">
        <v>3.5956149999999999E-2</v>
      </c>
      <c r="W9956">
        <v>1.670599E-2</v>
      </c>
      <c r="X9956">
        <v>0.99921369999999998</v>
      </c>
      <c r="Y9956">
        <v>-1.1755649999999999E-2</v>
      </c>
      <c r="Z9956">
        <v>1.0618000000000001E-2</v>
      </c>
      <c r="AA9956">
        <v>0.9998745</v>
      </c>
      <c r="AB9956">
        <v>38</v>
      </c>
      <c r="AC9956">
        <v>-6.4568000000000101</v>
      </c>
      <c r="AD9956">
        <v>3.8533810000000002</v>
      </c>
      <c r="AE9956">
        <v>362.47494999999998</v>
      </c>
      <c r="AF9956">
        <v>-4.2661778869611302</v>
      </c>
      <c r="AG9956">
        <v>3.8533810000000002</v>
      </c>
      <c r="AH9956">
        <v>362.46639473417599</v>
      </c>
      <c r="AI9956">
        <v>89.390953574411199</v>
      </c>
      <c r="AJ9956">
        <v>90.674332034510698</v>
      </c>
      <c r="AK9956">
        <v>362.51198067165501</v>
      </c>
      <c r="AL9956">
        <v>89.042772728996397</v>
      </c>
      <c r="AM9956">
        <v>87.939132416718806</v>
      </c>
      <c r="AN9956">
        <v>0.99999997654619599</v>
      </c>
    </row>
    <row r="9957" spans="1:40" x14ac:dyDescent="0.25">
      <c r="A9957" t="str">
        <f>"20190312154147651"</f>
        <v>20190312154147651</v>
      </c>
      <c r="B9957" t="str">
        <f>"1552376507645816"</f>
        <v>1552376507645816</v>
      </c>
      <c r="C9957" t="s">
        <v>40</v>
      </c>
      <c r="D9957">
        <v>4.1344289999999999</v>
      </c>
      <c r="E9957">
        <v>0.4822092</v>
      </c>
      <c r="F9957" t="s">
        <v>51</v>
      </c>
      <c r="G9957">
        <v>-194.78739999999999</v>
      </c>
      <c r="H9957">
        <v>5.028778</v>
      </c>
      <c r="I9957">
        <v>391.87</v>
      </c>
      <c r="J9957">
        <v>-188.3775</v>
      </c>
      <c r="K9957">
        <v>1.108241</v>
      </c>
      <c r="L9957">
        <v>29.769130000000001</v>
      </c>
      <c r="M9957">
        <v>-5.6665800000000001E-3</v>
      </c>
      <c r="N9957">
        <v>0</v>
      </c>
      <c r="O9957">
        <v>0.99997409999999998</v>
      </c>
      <c r="P9957">
        <v>2.9856589999999999E-2</v>
      </c>
      <c r="Q9957">
        <v>1.2669140000000001E-2</v>
      </c>
      <c r="R9957">
        <v>0.99947390000000003</v>
      </c>
      <c r="S9957">
        <v>-5.3115839999999998E-2</v>
      </c>
      <c r="T9957">
        <v>3.2477619999999999E-2</v>
      </c>
      <c r="U9957">
        <v>3.0027469999999998</v>
      </c>
      <c r="V9957">
        <v>3.553543E-2</v>
      </c>
      <c r="W9957">
        <v>1.708169E-2</v>
      </c>
      <c r="X9957">
        <v>0.99922239999999996</v>
      </c>
      <c r="Y9957">
        <v>-1.201925E-2</v>
      </c>
      <c r="Z9957">
        <v>1.081384E-2</v>
      </c>
      <c r="AA9957">
        <v>0.99986929999999996</v>
      </c>
      <c r="AB9957">
        <v>38</v>
      </c>
      <c r="AC9957">
        <v>-6.4098999999999897</v>
      </c>
      <c r="AD9957">
        <v>3.9205369999999999</v>
      </c>
      <c r="AE9957">
        <v>362.10086999999999</v>
      </c>
      <c r="AF9957">
        <v>-4.3573926885482397</v>
      </c>
      <c r="AG9957">
        <v>3.9205369999999999</v>
      </c>
      <c r="AH9957">
        <v>362.08894512820399</v>
      </c>
      <c r="AI9957">
        <v>89.379696101375899</v>
      </c>
      <c r="AJ9957">
        <v>90.689466395944606</v>
      </c>
      <c r="AK9957">
        <v>362.13638544817098</v>
      </c>
      <c r="AL9957">
        <v>89.021243632778095</v>
      </c>
      <c r="AM9957">
        <v>87.963243750198899</v>
      </c>
      <c r="AN9957">
        <v>0.99999997779015004</v>
      </c>
    </row>
    <row r="9958" spans="1:40" x14ac:dyDescent="0.25">
      <c r="A9958" t="str">
        <f>"20190312154147676"</f>
        <v>20190312154147676</v>
      </c>
      <c r="B9958" t="str">
        <f>"1552376507666312"</f>
        <v>1552376507666312</v>
      </c>
      <c r="C9958" t="s">
        <v>40</v>
      </c>
      <c r="D9958">
        <v>4.1571449999999999</v>
      </c>
      <c r="E9958">
        <v>0.48226550000000001</v>
      </c>
      <c r="F9958" t="s">
        <v>51</v>
      </c>
      <c r="G9958">
        <v>-194.69630000000001</v>
      </c>
      <c r="H9958">
        <v>5.1600449999999896</v>
      </c>
      <c r="I9958">
        <v>391.87</v>
      </c>
      <c r="J9958">
        <v>-188.3794</v>
      </c>
      <c r="K9958">
        <v>1.108222</v>
      </c>
      <c r="L9958">
        <v>30.17023</v>
      </c>
      <c r="M9958">
        <v>-5.2647419999999898E-3</v>
      </c>
      <c r="N9958">
        <v>0</v>
      </c>
      <c r="O9958">
        <v>0.99997599999999998</v>
      </c>
      <c r="P9958">
        <v>3.0025360000000001E-2</v>
      </c>
      <c r="Q9958">
        <v>1.269853E-2</v>
      </c>
      <c r="R9958">
        <v>0.99946840000000003</v>
      </c>
      <c r="S9958">
        <v>-5.2398680000000003E-2</v>
      </c>
      <c r="T9958">
        <v>3.3599499999999997E-2</v>
      </c>
      <c r="U9958">
        <v>3.0027159999999999</v>
      </c>
      <c r="V9958">
        <v>3.5303019999999997E-2</v>
      </c>
      <c r="W9958">
        <v>1.7170359999999999E-2</v>
      </c>
      <c r="X9958">
        <v>0.99922909999999998</v>
      </c>
      <c r="Y9958">
        <v>-1.2182439999999999E-2</v>
      </c>
      <c r="Z9958">
        <v>1.11875E-2</v>
      </c>
      <c r="AA9958">
        <v>0.99986319999999995</v>
      </c>
      <c r="AB9958">
        <v>38</v>
      </c>
      <c r="AC9958">
        <v>-6.3169000000000004</v>
      </c>
      <c r="AD9958">
        <v>4.05182299999999</v>
      </c>
      <c r="AE9958">
        <v>361.69977</v>
      </c>
      <c r="AF9958">
        <v>-4.4119836863884796</v>
      </c>
      <c r="AG9958">
        <v>4.05182299999999</v>
      </c>
      <c r="AH9958">
        <v>361.68264111233202</v>
      </c>
      <c r="AI9958">
        <v>89.358207026241402</v>
      </c>
      <c r="AJ9958">
        <v>90.698887583574106</v>
      </c>
      <c r="AK9958">
        <v>361.73224317395898</v>
      </c>
      <c r="AL9958">
        <v>89.016162452575998</v>
      </c>
      <c r="AM9958">
        <v>87.976567057828007</v>
      </c>
      <c r="AN9958">
        <v>0.99999995938522901</v>
      </c>
    </row>
    <row r="9959" spans="1:40" x14ac:dyDescent="0.25">
      <c r="A9959" t="str">
        <f>"20190312154147696"</f>
        <v>20190312154147696</v>
      </c>
      <c r="B9959" t="str">
        <f>"1552376507685835"</f>
        <v>1552376507685835</v>
      </c>
      <c r="C9959" t="s">
        <v>40</v>
      </c>
      <c r="D9959">
        <v>4.177575</v>
      </c>
      <c r="E9959">
        <v>0.48232340000000001</v>
      </c>
      <c r="F9959" t="s">
        <v>51</v>
      </c>
      <c r="G9959">
        <v>-194.57</v>
      </c>
      <c r="H9959">
        <v>5.1691060000000002</v>
      </c>
      <c r="I9959">
        <v>391.87</v>
      </c>
      <c r="J9959">
        <v>-188.3811</v>
      </c>
      <c r="K9959">
        <v>1.108209</v>
      </c>
      <c r="L9959">
        <v>30.54196</v>
      </c>
      <c r="M9959">
        <v>-4.8921939999999999E-3</v>
      </c>
      <c r="N9959">
        <v>0</v>
      </c>
      <c r="O9959">
        <v>0.99997760000000002</v>
      </c>
      <c r="P9959">
        <v>3.0639380000000001E-2</v>
      </c>
      <c r="Q9959">
        <v>1.2671689999999999E-2</v>
      </c>
      <c r="R9959">
        <v>0.99945019999999996</v>
      </c>
      <c r="S9959">
        <v>-5.1391600000000003E-2</v>
      </c>
      <c r="T9959">
        <v>3.3712150000000003E-2</v>
      </c>
      <c r="U9959">
        <v>3.0027159999999999</v>
      </c>
      <c r="V9959">
        <v>3.5544939999999997E-2</v>
      </c>
      <c r="W9959">
        <v>1.71942E-2</v>
      </c>
      <c r="X9959">
        <v>0.99922010000000006</v>
      </c>
      <c r="Y9959">
        <v>-1.221972E-2</v>
      </c>
      <c r="Z9959">
        <v>1.122507E-2</v>
      </c>
      <c r="AA9959">
        <v>0.99986229999999998</v>
      </c>
      <c r="AB9959">
        <v>38</v>
      </c>
      <c r="AC9959">
        <v>-6.1888999999999896</v>
      </c>
      <c r="AD9959">
        <v>4.0608969999999998</v>
      </c>
      <c r="AE9959">
        <v>361.32803999999999</v>
      </c>
      <c r="AF9959">
        <v>-4.4205624237874002</v>
      </c>
      <c r="AG9959">
        <v>4.0608969999999998</v>
      </c>
      <c r="AH9959">
        <v>361.30836978745401</v>
      </c>
      <c r="AI9959">
        <v>89.356103894972904</v>
      </c>
      <c r="AJ9959">
        <v>90.700971674843103</v>
      </c>
      <c r="AK9959">
        <v>361.35822992572702</v>
      </c>
      <c r="AL9959">
        <v>89.014796306033404</v>
      </c>
      <c r="AM9959">
        <v>87.962694446788106</v>
      </c>
      <c r="AN9959">
        <v>0.99999994575862505</v>
      </c>
    </row>
    <row r="9960" spans="1:40" x14ac:dyDescent="0.25">
      <c r="A9960" t="str">
        <f>"20190312154147729"</f>
        <v>20190312154147729</v>
      </c>
      <c r="B9960" t="str">
        <f>"1552376507716088"</f>
        <v>1552376507716088</v>
      </c>
      <c r="C9960" t="s">
        <v>40</v>
      </c>
      <c r="D9960">
        <v>4.1504240000000001</v>
      </c>
      <c r="E9960">
        <v>0.48235090000000003</v>
      </c>
      <c r="F9960" t="s">
        <v>51</v>
      </c>
      <c r="G9960">
        <v>-194.2843</v>
      </c>
      <c r="H9960">
        <v>5.2117399999999998</v>
      </c>
      <c r="I9960">
        <v>391.87</v>
      </c>
      <c r="J9960">
        <v>-188.38339999999999</v>
      </c>
      <c r="K9960">
        <v>1.1081939999999999</v>
      </c>
      <c r="L9960">
        <v>31.097560000000001</v>
      </c>
      <c r="M9960">
        <v>-4.3356280000000002E-3</v>
      </c>
      <c r="N9960">
        <v>0</v>
      </c>
      <c r="O9960">
        <v>0.99997990000000003</v>
      </c>
      <c r="P9960">
        <v>3.2350200000000003E-2</v>
      </c>
      <c r="Q9960">
        <v>1.199775E-2</v>
      </c>
      <c r="R9960">
        <v>0.99940459999999998</v>
      </c>
      <c r="S9960">
        <v>-4.9057009999999998E-2</v>
      </c>
      <c r="T9960">
        <v>3.410125E-2</v>
      </c>
      <c r="U9960">
        <v>3.0027159999999999</v>
      </c>
      <c r="V9960">
        <v>3.6699099999999998E-2</v>
      </c>
      <c r="W9960">
        <v>1.658871E-2</v>
      </c>
      <c r="X9960">
        <v>0.99918870000000004</v>
      </c>
      <c r="Y9960">
        <v>-1.1999060000000001E-2</v>
      </c>
      <c r="Z9960">
        <v>1.135474E-2</v>
      </c>
      <c r="AA9960">
        <v>0.99986359999999996</v>
      </c>
      <c r="AB9960">
        <v>38</v>
      </c>
      <c r="AC9960">
        <v>-5.9009</v>
      </c>
      <c r="AD9960">
        <v>4.1035459999999997</v>
      </c>
      <c r="AE9960">
        <v>360.77244000000002</v>
      </c>
      <c r="AF9960">
        <v>-4.3360918721867403</v>
      </c>
      <c r="AG9960">
        <v>4.1035459999999997</v>
      </c>
      <c r="AH9960">
        <v>360.74797399973198</v>
      </c>
      <c r="AI9960">
        <v>89.3483296822738</v>
      </c>
      <c r="AJ9960">
        <v>90.688646419251697</v>
      </c>
      <c r="AK9960">
        <v>360.79736906941201</v>
      </c>
      <c r="AL9960">
        <v>89.0494933638481</v>
      </c>
      <c r="AM9960">
        <v>87.8965346761521</v>
      </c>
      <c r="AN9960">
        <v>1.0000000337239801</v>
      </c>
    </row>
    <row r="9961" spans="1:40" x14ac:dyDescent="0.25">
      <c r="A9961" t="str">
        <f>"20190312154147752"</f>
        <v>20190312154147752</v>
      </c>
      <c r="B9961" t="str">
        <f>"1552376507746344"</f>
        <v>1552376507746344</v>
      </c>
      <c r="C9961" t="s">
        <v>40</v>
      </c>
      <c r="D9961">
        <v>4.1612519999999904</v>
      </c>
      <c r="E9961">
        <v>0.48242210000000002</v>
      </c>
      <c r="F9961" t="s">
        <v>51</v>
      </c>
      <c r="G9961">
        <v>-193.63929999999999</v>
      </c>
      <c r="H9961">
        <v>4.9607979999999996</v>
      </c>
      <c r="I9961">
        <v>391.87</v>
      </c>
      <c r="J9961">
        <v>-188.38480000000001</v>
      </c>
      <c r="K9961">
        <v>1.10819</v>
      </c>
      <c r="L9961">
        <v>31.494350000000001</v>
      </c>
      <c r="M9961">
        <v>-3.9381650000000004E-3</v>
      </c>
      <c r="N9961">
        <v>0</v>
      </c>
      <c r="O9961">
        <v>0.99998129999999996</v>
      </c>
      <c r="P9961">
        <v>3.3282230000000003E-2</v>
      </c>
      <c r="Q9961">
        <v>1.126716E-2</v>
      </c>
      <c r="R9961">
        <v>0.99938249999999995</v>
      </c>
      <c r="S9961">
        <v>-4.374695E-2</v>
      </c>
      <c r="T9961">
        <v>3.2066579999999997E-2</v>
      </c>
      <c r="U9961">
        <v>3.0028380000000001</v>
      </c>
      <c r="V9961">
        <v>3.7233389999999998E-2</v>
      </c>
      <c r="W9961">
        <v>1.590358E-2</v>
      </c>
      <c r="X9961">
        <v>0.99917999999999996</v>
      </c>
      <c r="Y9961">
        <v>-1.0628250000000001E-2</v>
      </c>
      <c r="Z9961">
        <v>1.067716E-2</v>
      </c>
      <c r="AA9961">
        <v>0.99988650000000001</v>
      </c>
      <c r="AB9961">
        <v>38</v>
      </c>
      <c r="AC9961">
        <v>-5.25449999999997</v>
      </c>
      <c r="AD9961">
        <v>3.852608</v>
      </c>
      <c r="AE9961">
        <v>360.37565000000001</v>
      </c>
      <c r="AF9961">
        <v>-3.8347867718323001</v>
      </c>
      <c r="AG9961">
        <v>3.852608</v>
      </c>
      <c r="AH9961">
        <v>360.35237366207798</v>
      </c>
      <c r="AI9961">
        <v>89.387495994395593</v>
      </c>
      <c r="AJ9961">
        <v>90.609705443508702</v>
      </c>
      <c r="AK9961">
        <v>360.39337033563902</v>
      </c>
      <c r="AL9961">
        <v>89.088753535708506</v>
      </c>
      <c r="AM9961">
        <v>87.865920571146205</v>
      </c>
      <c r="AN9961">
        <v>0.999999960793853</v>
      </c>
    </row>
    <row r="9962" spans="1:40" x14ac:dyDescent="0.25">
      <c r="A9962" t="str">
        <f>"20190312154147776"</f>
        <v>20190312154147776</v>
      </c>
      <c r="B9962" t="str">
        <f>"1552376507765864"</f>
        <v>1552376507765864</v>
      </c>
      <c r="C9962" t="s">
        <v>40</v>
      </c>
      <c r="D9962">
        <v>4.1499379999999997</v>
      </c>
      <c r="E9962">
        <v>0.48244340000000002</v>
      </c>
      <c r="F9962" t="s">
        <v>51</v>
      </c>
      <c r="G9962">
        <v>-193.232</v>
      </c>
      <c r="H9962">
        <v>4.6772010000000002</v>
      </c>
      <c r="I9962">
        <v>391.87</v>
      </c>
      <c r="J9962">
        <v>-188.386</v>
      </c>
      <c r="K9962">
        <v>1.1081829999999999</v>
      </c>
      <c r="L9962">
        <v>31.905760000000001</v>
      </c>
      <c r="M9962">
        <v>-3.5260619999999999E-3</v>
      </c>
      <c r="N9962">
        <v>0</v>
      </c>
      <c r="O9962">
        <v>0.9999827</v>
      </c>
      <c r="P9962">
        <v>3.3496150000000002E-2</v>
      </c>
      <c r="Q9962">
        <v>1.1089419999999999E-2</v>
      </c>
      <c r="R9962">
        <v>0.99937730000000002</v>
      </c>
      <c r="S9962">
        <v>-4.0390009999999997E-2</v>
      </c>
      <c r="T9962">
        <v>2.9739140000000001E-2</v>
      </c>
      <c r="U9962">
        <v>3.002869</v>
      </c>
      <c r="V9962">
        <v>3.7035499999999999E-2</v>
      </c>
      <c r="W9962">
        <v>1.5771509999999999E-2</v>
      </c>
      <c r="X9962">
        <v>0.99918949999999995</v>
      </c>
      <c r="Y9962">
        <v>-9.9227340000000008E-3</v>
      </c>
      <c r="Z9962">
        <v>9.9023080000000003E-3</v>
      </c>
      <c r="AA9962">
        <v>0.9999017</v>
      </c>
      <c r="AB9962">
        <v>39</v>
      </c>
      <c r="AC9962">
        <v>-4.8460000000000001</v>
      </c>
      <c r="AD9962">
        <v>3.5690179999999998</v>
      </c>
      <c r="AE9962">
        <v>359.96424000000002</v>
      </c>
      <c r="AF9962">
        <v>-3.5763480662679701</v>
      </c>
      <c r="AG9962">
        <v>3.5690179999999998</v>
      </c>
      <c r="AH9962">
        <v>359.94371157969499</v>
      </c>
      <c r="AI9962">
        <v>89.431930969669096</v>
      </c>
      <c r="AJ9962">
        <v>90.569263751802296</v>
      </c>
      <c r="AK9962">
        <v>359.97917114847297</v>
      </c>
      <c r="AL9962">
        <v>89.0963215858486</v>
      </c>
      <c r="AM9962">
        <v>87.877272649922702</v>
      </c>
      <c r="AN9962">
        <v>1.00000001284909</v>
      </c>
    </row>
    <row r="9963" spans="1:40" x14ac:dyDescent="0.25">
      <c r="A9963" t="str">
        <f>"20190312154147799"</f>
        <v>20190312154147799</v>
      </c>
      <c r="B9963" t="str">
        <f>"1552376507786360"</f>
        <v>1552376507786360</v>
      </c>
      <c r="C9963" t="s">
        <v>40</v>
      </c>
      <c r="D9963">
        <v>4.1776030000000004</v>
      </c>
      <c r="E9963">
        <v>0.482437</v>
      </c>
      <c r="F9963" t="s">
        <v>51</v>
      </c>
      <c r="G9963">
        <v>-193.14179999999999</v>
      </c>
      <c r="H9963">
        <v>4.596025</v>
      </c>
      <c r="I9963">
        <v>391.87</v>
      </c>
      <c r="J9963">
        <v>-188.38720000000001</v>
      </c>
      <c r="K9963">
        <v>1.108179</v>
      </c>
      <c r="L9963">
        <v>32.297420000000002</v>
      </c>
      <c r="M9963">
        <v>-3.1336200000000002E-3</v>
      </c>
      <c r="N9963">
        <v>0</v>
      </c>
      <c r="O9963">
        <v>0.99998370000000003</v>
      </c>
      <c r="P9963">
        <v>3.3653179999999998E-2</v>
      </c>
      <c r="Q9963">
        <v>1.091543E-2</v>
      </c>
      <c r="R9963">
        <v>0.99937399999999998</v>
      </c>
      <c r="S9963">
        <v>-3.9672850000000003E-2</v>
      </c>
      <c r="T9963">
        <v>2.9096009999999999E-2</v>
      </c>
      <c r="U9963">
        <v>3.002869</v>
      </c>
      <c r="V9963">
        <v>3.6800369999999999E-2</v>
      </c>
      <c r="W9963">
        <v>1.5638969999999999E-2</v>
      </c>
      <c r="X9963">
        <v>0.99920030000000004</v>
      </c>
      <c r="Y9963">
        <v>-1.0076430000000001E-2</v>
      </c>
      <c r="Z9963">
        <v>9.6882089999999997E-3</v>
      </c>
      <c r="AA9963">
        <v>0.99990230000000002</v>
      </c>
      <c r="AB9963">
        <v>39</v>
      </c>
      <c r="AC9963">
        <v>-4.7545999999999804</v>
      </c>
      <c r="AD9963">
        <v>3.4878459999999998</v>
      </c>
      <c r="AE9963">
        <v>359.57257999999899</v>
      </c>
      <c r="AF9963">
        <v>-3.6274587466906101</v>
      </c>
      <c r="AG9963">
        <v>3.4878459999999998</v>
      </c>
      <c r="AH9963">
        <v>359.55188964237902</v>
      </c>
      <c r="AI9963">
        <v>89.444245949814501</v>
      </c>
      <c r="AJ9963">
        <v>90.578027904714702</v>
      </c>
      <c r="AK9963">
        <v>359.58710331724097</v>
      </c>
      <c r="AL9963">
        <v>89.103916531275999</v>
      </c>
      <c r="AM9963">
        <v>87.890759931041998</v>
      </c>
      <c r="AN9963">
        <v>1.00000004206744</v>
      </c>
    </row>
    <row r="9964" spans="1:40" x14ac:dyDescent="0.25">
      <c r="A9964" t="str">
        <f>"20190312154147819"</f>
        <v>20190312154147819</v>
      </c>
      <c r="B9964" t="str">
        <f>"1552376507805884"</f>
        <v>1552376507805884</v>
      </c>
      <c r="C9964" t="s">
        <v>40</v>
      </c>
      <c r="D9964">
        <v>4.1726890000000001</v>
      </c>
      <c r="E9964">
        <v>0.4824156</v>
      </c>
      <c r="F9964" t="s">
        <v>51</v>
      </c>
      <c r="G9964">
        <v>-193.0883</v>
      </c>
      <c r="H9964">
        <v>4.4870159999999997</v>
      </c>
      <c r="I9964">
        <v>391.87</v>
      </c>
      <c r="J9964">
        <v>-188.38800000000001</v>
      </c>
      <c r="K9964">
        <v>1.108179</v>
      </c>
      <c r="L9964">
        <v>32.670810000000003</v>
      </c>
      <c r="M9964">
        <v>-2.7601359999999998E-3</v>
      </c>
      <c r="N9964">
        <v>0</v>
      </c>
      <c r="O9964">
        <v>0.9999846</v>
      </c>
      <c r="P9964">
        <v>3.328913E-2</v>
      </c>
      <c r="Q9964">
        <v>1.0353390000000001E-2</v>
      </c>
      <c r="R9964">
        <v>0.99939219999999895</v>
      </c>
      <c r="S9964">
        <v>-3.9260860000000002E-2</v>
      </c>
      <c r="T9964">
        <v>2.821767E-2</v>
      </c>
      <c r="U9964">
        <v>3.0028990000000002</v>
      </c>
      <c r="V9964">
        <v>3.6062749999999998E-2</v>
      </c>
      <c r="W9964">
        <v>1.5118799999999899E-2</v>
      </c>
      <c r="X9964">
        <v>0.99923519999999999</v>
      </c>
      <c r="Y9964">
        <v>-1.031264E-2</v>
      </c>
      <c r="Z9964">
        <v>9.3956920000000006E-3</v>
      </c>
      <c r="AA9964">
        <v>0.99990270000000003</v>
      </c>
      <c r="AB9964">
        <v>39</v>
      </c>
      <c r="AC9964">
        <v>-4.7002999999999897</v>
      </c>
      <c r="AD9964">
        <v>3.3788369999999999</v>
      </c>
      <c r="AE9964">
        <v>359.19918999999999</v>
      </c>
      <c r="AF9964">
        <v>-3.7085039017664498</v>
      </c>
      <c r="AG9964">
        <v>3.3788369999999999</v>
      </c>
      <c r="AH9964">
        <v>359.17901924565598</v>
      </c>
      <c r="AI9964">
        <v>89.461056849396897</v>
      </c>
      <c r="AJ9964">
        <v>90.591554797127998</v>
      </c>
      <c r="AK9964">
        <v>359.21405513556101</v>
      </c>
      <c r="AL9964">
        <v>89.133723601394394</v>
      </c>
      <c r="AM9964">
        <v>87.933072243870697</v>
      </c>
      <c r="AN9964">
        <v>1.0000000424850199</v>
      </c>
    </row>
    <row r="9965" spans="1:40" x14ac:dyDescent="0.25">
      <c r="A9965" t="str">
        <f>"20190312154147841"</f>
        <v>20190312154147841</v>
      </c>
      <c r="B9965" t="str">
        <f>"1552376507836136"</f>
        <v>1552376507836136</v>
      </c>
      <c r="C9965" t="s">
        <v>40</v>
      </c>
      <c r="D9965">
        <v>4.198893</v>
      </c>
      <c r="E9965">
        <v>0.4824039</v>
      </c>
      <c r="F9965" t="s">
        <v>51</v>
      </c>
      <c r="G9965">
        <v>-193.2286</v>
      </c>
      <c r="H9965">
        <v>4.2757059999999996</v>
      </c>
      <c r="I9965">
        <v>391.87</v>
      </c>
      <c r="J9965">
        <v>-188.3888</v>
      </c>
      <c r="K9965">
        <v>1.108176</v>
      </c>
      <c r="L9965">
        <v>33.044709999999903</v>
      </c>
      <c r="M9965">
        <v>-2.386221E-3</v>
      </c>
      <c r="N9965">
        <v>0</v>
      </c>
      <c r="O9965">
        <v>0.99998540000000002</v>
      </c>
      <c r="P9965">
        <v>3.2758240000000001E-2</v>
      </c>
      <c r="Q9965">
        <v>1.014701E-2</v>
      </c>
      <c r="R9965">
        <v>0.99941179999999996</v>
      </c>
      <c r="S9965">
        <v>-4.0466309999999998E-2</v>
      </c>
      <c r="T9965">
        <v>2.6480440000000001E-2</v>
      </c>
      <c r="U9965">
        <v>3.0028990000000002</v>
      </c>
      <c r="V9965">
        <v>3.5158189999999999E-2</v>
      </c>
      <c r="W9965">
        <v>1.495574E-2</v>
      </c>
      <c r="X9965">
        <v>0.99926979999999999</v>
      </c>
      <c r="Y9965">
        <v>-1.1087929999999999E-2</v>
      </c>
      <c r="Z9965">
        <v>8.8172389999999993E-3</v>
      </c>
      <c r="AA9965">
        <v>0.9998996</v>
      </c>
      <c r="AB9965">
        <v>39</v>
      </c>
      <c r="AC9965">
        <v>-4.8397999999999897</v>
      </c>
      <c r="AD9965">
        <v>3.16752999999999</v>
      </c>
      <c r="AE9965">
        <v>358.82529</v>
      </c>
      <c r="AF9965">
        <v>-3.98322937921021</v>
      </c>
      <c r="AG9965">
        <v>3.16752999999999</v>
      </c>
      <c r="AH9965">
        <v>358.80786243277697</v>
      </c>
      <c r="AI9965">
        <v>89.494241280594494</v>
      </c>
      <c r="AJ9965">
        <v>90.636030816450997</v>
      </c>
      <c r="AK9965">
        <v>358.84395146939198</v>
      </c>
      <c r="AL9965">
        <v>89.143067230444203</v>
      </c>
      <c r="AM9965">
        <v>87.984943305287999</v>
      </c>
      <c r="AN9965">
        <v>0.99999995283752996</v>
      </c>
    </row>
    <row r="9966" spans="1:40" x14ac:dyDescent="0.25">
      <c r="A9966" t="str">
        <f>"20190312154147865"</f>
        <v>20190312154147865</v>
      </c>
      <c r="B9966" t="str">
        <f>"1552376507855657"</f>
        <v>1552376507855657</v>
      </c>
      <c r="C9966" t="s">
        <v>40</v>
      </c>
      <c r="D9966">
        <v>4.2112749999999997</v>
      </c>
      <c r="E9966">
        <v>0.482406</v>
      </c>
      <c r="F9966" t="s">
        <v>51</v>
      </c>
      <c r="G9966">
        <v>-193.43029999999999</v>
      </c>
      <c r="H9966">
        <v>4.1473940000000002</v>
      </c>
      <c r="I9966">
        <v>391.87</v>
      </c>
      <c r="J9966">
        <v>-188.3895</v>
      </c>
      <c r="K9966">
        <v>1.1081780000000001</v>
      </c>
      <c r="L9966">
        <v>33.458559999999999</v>
      </c>
      <c r="M9966">
        <v>-1.9728440000000001E-3</v>
      </c>
      <c r="N9966">
        <v>0</v>
      </c>
      <c r="O9966">
        <v>0.99998609999999999</v>
      </c>
      <c r="P9966">
        <v>3.2874010000000002E-2</v>
      </c>
      <c r="Q9966">
        <v>9.4702940000000006E-3</v>
      </c>
      <c r="R9966">
        <v>0.99941460000000004</v>
      </c>
      <c r="S9966">
        <v>-4.219055E-2</v>
      </c>
      <c r="T9966">
        <v>2.543426E-2</v>
      </c>
      <c r="U9966">
        <v>3.0028990000000002</v>
      </c>
      <c r="V9966">
        <v>3.4860339999999997E-2</v>
      </c>
      <c r="W9966">
        <v>1.433163E-2</v>
      </c>
      <c r="X9966">
        <v>0.99928950000000005</v>
      </c>
      <c r="Y9966">
        <v>-1.207535E-2</v>
      </c>
      <c r="Z9966">
        <v>8.4688449999999992E-3</v>
      </c>
      <c r="AA9966">
        <v>0.99989119999999998</v>
      </c>
      <c r="AB9966">
        <v>39</v>
      </c>
      <c r="AC9966">
        <v>-5.0407999999999902</v>
      </c>
      <c r="AD9966">
        <v>3.0392160000000001</v>
      </c>
      <c r="AE9966">
        <v>358.411439999999</v>
      </c>
      <c r="AF9966">
        <v>-4.3333803482233701</v>
      </c>
      <c r="AG9966">
        <v>3.0392160000000001</v>
      </c>
      <c r="AH9966">
        <v>358.39492201539599</v>
      </c>
      <c r="AI9966">
        <v>89.514174619041896</v>
      </c>
      <c r="AJ9966">
        <v>90.692733885297898</v>
      </c>
      <c r="AK9966">
        <v>358.43400389131398</v>
      </c>
      <c r="AL9966">
        <v>89.178830034052197</v>
      </c>
      <c r="AM9966">
        <v>88.002039743560601</v>
      </c>
      <c r="AN9966">
        <v>1.0000000718668001</v>
      </c>
    </row>
    <row r="9967" spans="1:40" x14ac:dyDescent="0.25">
      <c r="A9967" t="str">
        <f>"20190312154147886"</f>
        <v>20190312154147886</v>
      </c>
      <c r="B9967" t="str">
        <f>"1552376507876152"</f>
        <v>1552376507876152</v>
      </c>
      <c r="C9967" t="s">
        <v>40</v>
      </c>
      <c r="D9967">
        <v>4.2263409999999997</v>
      </c>
      <c r="E9967">
        <v>0.48240119999999997</v>
      </c>
      <c r="F9967" t="s">
        <v>51</v>
      </c>
      <c r="G9967">
        <v>-193.3869</v>
      </c>
      <c r="H9967">
        <v>3.88916</v>
      </c>
      <c r="I9967">
        <v>391.87</v>
      </c>
      <c r="J9967">
        <v>-188.38990000000001</v>
      </c>
      <c r="K9967">
        <v>1.108182</v>
      </c>
      <c r="L9967">
        <v>33.84695</v>
      </c>
      <c r="M9967">
        <v>-1.5849810000000001E-3</v>
      </c>
      <c r="N9967">
        <v>0</v>
      </c>
      <c r="O9967">
        <v>0.9999865</v>
      </c>
      <c r="P9967">
        <v>3.32135E-2</v>
      </c>
      <c r="Q9967">
        <v>9.4823749999999995E-3</v>
      </c>
      <c r="R9967">
        <v>0.99940329999999999</v>
      </c>
      <c r="S9967">
        <v>-4.1870119999999997E-2</v>
      </c>
      <c r="T9967">
        <v>2.3300049999999999E-2</v>
      </c>
      <c r="U9967">
        <v>3.0028990000000002</v>
      </c>
      <c r="V9967">
        <v>3.4812379999999997E-2</v>
      </c>
      <c r="W9967">
        <v>1.440029E-2</v>
      </c>
      <c r="X9967">
        <v>0.99929009999999996</v>
      </c>
      <c r="Y9967">
        <v>-1.2356590000000001E-2</v>
      </c>
      <c r="Z9967">
        <v>7.7582650000000003E-3</v>
      </c>
      <c r="AA9967">
        <v>0.99989349999999999</v>
      </c>
      <c r="AB9967">
        <v>39</v>
      </c>
      <c r="AC9967">
        <v>-4.9969999999999803</v>
      </c>
      <c r="AD9967">
        <v>2.78097799999999</v>
      </c>
      <c r="AE9967">
        <v>358.02305000000001</v>
      </c>
      <c r="AF9967">
        <v>-4.4292598536901799</v>
      </c>
      <c r="AG9967">
        <v>2.78097799999999</v>
      </c>
      <c r="AH9967">
        <v>358.00892407825302</v>
      </c>
      <c r="AI9967">
        <v>89.554975045334899</v>
      </c>
      <c r="AJ9967">
        <v>90.708822970523698</v>
      </c>
      <c r="AK9967">
        <v>358.04712245898099</v>
      </c>
      <c r="AL9967">
        <v>89.174895630123501</v>
      </c>
      <c r="AM9967">
        <v>88.004787462088103</v>
      </c>
      <c r="AN9967">
        <v>0.99999998705567905</v>
      </c>
    </row>
    <row r="9968" spans="1:40" x14ac:dyDescent="0.25">
      <c r="A9968" t="str">
        <f>"20190312154147908"</f>
        <v>20190312154147908</v>
      </c>
      <c r="B9968" t="str">
        <f>"1552376507895672"</f>
        <v>1552376507895672</v>
      </c>
      <c r="C9968" t="s">
        <v>40</v>
      </c>
      <c r="D9968">
        <v>4.211284</v>
      </c>
      <c r="E9968">
        <v>0.48239379999999998</v>
      </c>
      <c r="F9968" t="s">
        <v>51</v>
      </c>
      <c r="G9968">
        <v>-193.25819999999999</v>
      </c>
      <c r="H9968">
        <v>3.8701059999999998</v>
      </c>
      <c r="I9968">
        <v>391.87</v>
      </c>
      <c r="J9968">
        <v>-188.39019999999999</v>
      </c>
      <c r="K9968">
        <v>1.1081840000000001</v>
      </c>
      <c r="L9968">
        <v>34.233730000000001</v>
      </c>
      <c r="M9968">
        <v>-1.199002E-3</v>
      </c>
      <c r="N9968">
        <v>0</v>
      </c>
      <c r="O9968">
        <v>0.99998659999999995</v>
      </c>
      <c r="P9968">
        <v>3.3758829999999997E-2</v>
      </c>
      <c r="Q9968">
        <v>9.0328170000000003E-3</v>
      </c>
      <c r="R9968">
        <v>0.99938919999999998</v>
      </c>
      <c r="S9968">
        <v>-4.0832519999999997E-2</v>
      </c>
      <c r="T9968">
        <v>2.3165700000000001E-2</v>
      </c>
      <c r="U9968">
        <v>3.0029300000000001</v>
      </c>
      <c r="V9968">
        <v>3.497165E-2</v>
      </c>
      <c r="W9968">
        <v>1.4020289999999999E-2</v>
      </c>
      <c r="X9968">
        <v>0.99928989999999995</v>
      </c>
      <c r="Y9968">
        <v>-1.239698E-2</v>
      </c>
      <c r="Z9968">
        <v>7.7134769999999998E-3</v>
      </c>
      <c r="AA9968">
        <v>0.99989340000000004</v>
      </c>
      <c r="AB9968">
        <v>39</v>
      </c>
      <c r="AC9968">
        <v>-4.8679999999999897</v>
      </c>
      <c r="AD9968">
        <v>2.7619220000000002</v>
      </c>
      <c r="AE9968">
        <v>357.63627000000002</v>
      </c>
      <c r="AF9968">
        <v>-4.43891977053209</v>
      </c>
      <c r="AG9968">
        <v>2.7619220000000002</v>
      </c>
      <c r="AH9968">
        <v>357.62052510028002</v>
      </c>
      <c r="AI9968">
        <v>89.557544579876605</v>
      </c>
      <c r="AJ9968">
        <v>90.711140134434004</v>
      </c>
      <c r="AK9968">
        <v>357.65873705931398</v>
      </c>
      <c r="AL9968">
        <v>89.1966701912026</v>
      </c>
      <c r="AM9968">
        <v>87.995666199686497</v>
      </c>
      <c r="AN9968">
        <v>0.999999944538706</v>
      </c>
    </row>
    <row r="9969" spans="1:40" x14ac:dyDescent="0.25">
      <c r="A9969" t="str">
        <f>"20190312154147929"</f>
        <v>20190312154147929</v>
      </c>
      <c r="B9969" t="str">
        <f>"1552376507916168"</f>
        <v>1552376507916168</v>
      </c>
      <c r="C9969" t="s">
        <v>40</v>
      </c>
      <c r="D9969">
        <v>4.207433</v>
      </c>
      <c r="E9969">
        <v>0.48238259999999999</v>
      </c>
      <c r="F9969" t="s">
        <v>51</v>
      </c>
      <c r="G9969">
        <v>-193.07689999999999</v>
      </c>
      <c r="H9969">
        <v>3.6656949999999999</v>
      </c>
      <c r="I9969">
        <v>391.87</v>
      </c>
      <c r="J9969">
        <v>-188.3904</v>
      </c>
      <c r="K9969">
        <v>1.1081970000000001</v>
      </c>
      <c r="L9969">
        <v>34.614379999999997</v>
      </c>
      <c r="M9969">
        <v>-8.1942110000000001E-4</v>
      </c>
      <c r="N9969">
        <v>0</v>
      </c>
      <c r="O9969">
        <v>0.99998659999999995</v>
      </c>
      <c r="P9969">
        <v>3.3965620000000002E-2</v>
      </c>
      <c r="Q9969">
        <v>8.9645880000000008E-3</v>
      </c>
      <c r="R9969">
        <v>0.99938280000000002</v>
      </c>
      <c r="S9969">
        <v>-3.9352419999999999E-2</v>
      </c>
      <c r="T9969">
        <v>2.14746E-2</v>
      </c>
      <c r="U9969">
        <v>3.0029599999999999</v>
      </c>
      <c r="V9969">
        <v>3.4799219999999999E-2</v>
      </c>
      <c r="W9969">
        <v>1.403888E-2</v>
      </c>
      <c r="X9969">
        <v>0.99929570000000001</v>
      </c>
      <c r="Y9969">
        <v>-1.228372E-2</v>
      </c>
      <c r="Z9969">
        <v>7.1503819999999899E-3</v>
      </c>
      <c r="AA9969">
        <v>0.99989899999999998</v>
      </c>
      <c r="AB9969">
        <v>40</v>
      </c>
      <c r="AC9969">
        <v>-4.6864999999999899</v>
      </c>
      <c r="AD9969">
        <v>2.5574979999999998</v>
      </c>
      <c r="AE9969">
        <v>357.25562000000002</v>
      </c>
      <c r="AF9969">
        <v>-4.39352669053154</v>
      </c>
      <c r="AG9969">
        <v>2.5574979999999998</v>
      </c>
      <c r="AH9969">
        <v>357.24103577328498</v>
      </c>
      <c r="AI9969">
        <v>89.589856025659898</v>
      </c>
      <c r="AJ9969">
        <v>90.704616269769005</v>
      </c>
      <c r="AK9969">
        <v>357.27720542062298</v>
      </c>
      <c r="AL9969">
        <v>89.195604991076905</v>
      </c>
      <c r="AM9969">
        <v>88.005552263732795</v>
      </c>
      <c r="AN9969">
        <v>0.99999998595137596</v>
      </c>
    </row>
    <row r="9970" spans="1:40" x14ac:dyDescent="0.25">
      <c r="A9970" t="str">
        <f>"20190312154147954"</f>
        <v>20190312154147954</v>
      </c>
      <c r="B9970" t="str">
        <f>"1552376507945448"</f>
        <v>1552376507945448</v>
      </c>
      <c r="C9970" t="s">
        <v>40</v>
      </c>
      <c r="D9970">
        <v>4.2215850000000001</v>
      </c>
      <c r="E9970">
        <v>0.48239569999999998</v>
      </c>
      <c r="F9970" t="s">
        <v>51</v>
      </c>
      <c r="G9970">
        <v>-192.994</v>
      </c>
      <c r="H9970">
        <v>3.6052520000000001</v>
      </c>
      <c r="I9970">
        <v>391.87</v>
      </c>
      <c r="J9970">
        <v>-188.3905</v>
      </c>
      <c r="K9970">
        <v>1.1082080000000001</v>
      </c>
      <c r="L9970">
        <v>35.039369999999998</v>
      </c>
      <c r="M9970">
        <v>-3.9600859999999998E-4</v>
      </c>
      <c r="N9970">
        <v>0</v>
      </c>
      <c r="O9970">
        <v>0.99998620000000005</v>
      </c>
      <c r="P9970">
        <v>3.4573239999999998E-2</v>
      </c>
      <c r="Q9970">
        <v>9.2471029999999996E-3</v>
      </c>
      <c r="R9970">
        <v>0.99935940000000001</v>
      </c>
      <c r="S9970">
        <v>-3.8696290000000001E-2</v>
      </c>
      <c r="T9970">
        <v>2.0989540000000001E-2</v>
      </c>
      <c r="U9970">
        <v>3.0029910000000002</v>
      </c>
      <c r="V9970">
        <v>3.4984220000000003E-2</v>
      </c>
      <c r="W9970">
        <v>1.444177E-2</v>
      </c>
      <c r="X9970">
        <v>0.99928349999999999</v>
      </c>
      <c r="Y9970">
        <v>-1.2488549999999999E-2</v>
      </c>
      <c r="Z9970">
        <v>6.9888110000000002E-3</v>
      </c>
      <c r="AA9970">
        <v>0.99989760000000005</v>
      </c>
      <c r="AB9970">
        <v>40</v>
      </c>
      <c r="AC9970">
        <v>-4.6035000000000199</v>
      </c>
      <c r="AD9970">
        <v>2.4970439999999998</v>
      </c>
      <c r="AE9970">
        <v>356.83062999999999</v>
      </c>
      <c r="AF9970">
        <v>-4.4619712364223796</v>
      </c>
      <c r="AG9970">
        <v>2.4970439999999998</v>
      </c>
      <c r="AH9970">
        <v>356.81495482877</v>
      </c>
      <c r="AI9970">
        <v>89.599073523740103</v>
      </c>
      <c r="AJ9970">
        <v>90.716446415925404</v>
      </c>
      <c r="AK9970">
        <v>356.85158876696897</v>
      </c>
      <c r="AL9970">
        <v>89.172518753837807</v>
      </c>
      <c r="AM9970">
        <v>87.994933530834203</v>
      </c>
      <c r="AN9970">
        <v>0.99999998687099501</v>
      </c>
    </row>
    <row r="9971" spans="1:40" x14ac:dyDescent="0.25">
      <c r="A9971" t="str">
        <f>"20190312154147977"</f>
        <v>20190312154147977</v>
      </c>
      <c r="B9971" t="str">
        <f>"1552376507965945"</f>
        <v>1552376507965945</v>
      </c>
      <c r="C9971" t="s">
        <v>40</v>
      </c>
      <c r="D9971">
        <v>4.239598</v>
      </c>
      <c r="E9971">
        <v>0.48237020000000003</v>
      </c>
      <c r="F9971" t="s">
        <v>51</v>
      </c>
      <c r="G9971">
        <v>-192.75829999999999</v>
      </c>
      <c r="H9971">
        <v>3.6670430000000001</v>
      </c>
      <c r="I9971">
        <v>391.87</v>
      </c>
      <c r="J9971">
        <v>-188.3903</v>
      </c>
      <c r="K9971">
        <v>1.108233</v>
      </c>
      <c r="L9971">
        <v>35.456879999999998</v>
      </c>
      <c r="M9971" s="1">
        <v>1.9378029999999999E-5</v>
      </c>
      <c r="N9971">
        <v>0</v>
      </c>
      <c r="O9971">
        <v>0.99998549999999997</v>
      </c>
      <c r="P9971">
        <v>3.5101130000000001E-2</v>
      </c>
      <c r="Q9971">
        <v>9.1729989999999994E-3</v>
      </c>
      <c r="R9971">
        <v>0.9993417</v>
      </c>
      <c r="S9971">
        <v>-3.675842E-2</v>
      </c>
      <c r="T9971">
        <v>2.1534439999999998E-2</v>
      </c>
      <c r="U9971">
        <v>3.0029910000000002</v>
      </c>
      <c r="V9971">
        <v>3.5097199999999898E-2</v>
      </c>
      <c r="W9971">
        <v>1.452139E-2</v>
      </c>
      <c r="X9971">
        <v>0.99927840000000001</v>
      </c>
      <c r="Y9971">
        <v>-1.2258750000000001E-2</v>
      </c>
      <c r="Z9971">
        <v>7.1702769999999897E-3</v>
      </c>
      <c r="AA9971">
        <v>0.99989910000000004</v>
      </c>
      <c r="AB9971">
        <v>40</v>
      </c>
      <c r="AC9971">
        <v>-4.3679999999999897</v>
      </c>
      <c r="AD9971">
        <v>2.5588099999999998</v>
      </c>
      <c r="AE9971">
        <v>356.41311999999999</v>
      </c>
      <c r="AF9971">
        <v>-4.3746812336323702</v>
      </c>
      <c r="AG9971">
        <v>2.5588099999999998</v>
      </c>
      <c r="AH9971">
        <v>356.39466843825898</v>
      </c>
      <c r="AI9971">
        <v>89.588671031230305</v>
      </c>
      <c r="AJ9971">
        <v>90.703260194704001</v>
      </c>
      <c r="AK9971">
        <v>356.43070158970397</v>
      </c>
      <c r="AL9971">
        <v>89.167956398358101</v>
      </c>
      <c r="AM9971">
        <v>87.988453309982106</v>
      </c>
      <c r="AN9971">
        <v>1.0000000024609601</v>
      </c>
    </row>
    <row r="9972" spans="1:40" x14ac:dyDescent="0.25">
      <c r="A9972" t="str">
        <f>"20190312154148000"</f>
        <v>20190312154148000</v>
      </c>
      <c r="B9972" t="str">
        <f>"1552376507985466"</f>
        <v>1552376507985466</v>
      </c>
      <c r="C9972" t="s">
        <v>40</v>
      </c>
      <c r="D9972">
        <v>4.2307759999999996</v>
      </c>
      <c r="E9972">
        <v>0.48235679999999997</v>
      </c>
      <c r="F9972" t="s">
        <v>51</v>
      </c>
      <c r="G9972">
        <v>-192.59180000000001</v>
      </c>
      <c r="H9972">
        <v>3.5806</v>
      </c>
      <c r="I9972">
        <v>391.87</v>
      </c>
      <c r="J9972">
        <v>-188.39</v>
      </c>
      <c r="K9972">
        <v>1.108263</v>
      </c>
      <c r="L9972">
        <v>35.857849999999999</v>
      </c>
      <c r="M9972">
        <v>4.1820190000000003E-4</v>
      </c>
      <c r="N9972">
        <v>0</v>
      </c>
      <c r="O9972">
        <v>0.99998430000000005</v>
      </c>
      <c r="P9972">
        <v>3.6182190000000003E-2</v>
      </c>
      <c r="Q9972">
        <v>8.9590079999999992E-3</v>
      </c>
      <c r="R9972">
        <v>0.99930509999999995</v>
      </c>
      <c r="S9972">
        <v>-3.5400389999999997E-2</v>
      </c>
      <c r="T9972">
        <v>2.0831349999999998E-2</v>
      </c>
      <c r="U9972">
        <v>3.0030209999999999</v>
      </c>
      <c r="V9972">
        <v>3.57798E-2</v>
      </c>
      <c r="W9972">
        <v>1.45028E-2</v>
      </c>
      <c r="X9972">
        <v>0.99925450000000005</v>
      </c>
      <c r="Y9972">
        <v>-1.220533E-2</v>
      </c>
      <c r="Z9972">
        <v>6.9361300000000004E-3</v>
      </c>
      <c r="AA9972">
        <v>0.9999015</v>
      </c>
      <c r="AB9972">
        <v>40</v>
      </c>
      <c r="AC9972">
        <v>-4.20180000000002</v>
      </c>
      <c r="AD9972">
        <v>2.472337</v>
      </c>
      <c r="AE9972">
        <v>356.01215000000002</v>
      </c>
      <c r="AF9972">
        <v>-4.3504771355786103</v>
      </c>
      <c r="AG9972">
        <v>2.472337</v>
      </c>
      <c r="AH9972">
        <v>355.993195726039</v>
      </c>
      <c r="AI9972">
        <v>89.602122669759197</v>
      </c>
      <c r="AJ9972">
        <v>90.700158244801699</v>
      </c>
      <c r="AK9972">
        <v>356.028361938746</v>
      </c>
      <c r="AL9972">
        <v>89.169021670712098</v>
      </c>
      <c r="AM9972">
        <v>87.949315127811502</v>
      </c>
      <c r="AN9972">
        <v>1.00000004053306</v>
      </c>
    </row>
    <row r="9973" spans="1:40" x14ac:dyDescent="0.25">
      <c r="A9973" t="str">
        <f>"20190312154148020"</f>
        <v>20190312154148020</v>
      </c>
      <c r="B9973" t="str">
        <f>"1552376508005960"</f>
        <v>1552376508005960</v>
      </c>
      <c r="C9973" t="s">
        <v>40</v>
      </c>
      <c r="D9973">
        <v>4.2436429999999996</v>
      </c>
      <c r="E9973">
        <v>0.48236050000000003</v>
      </c>
      <c r="F9973" t="s">
        <v>51</v>
      </c>
      <c r="G9973">
        <v>-192.23570000000001</v>
      </c>
      <c r="H9973">
        <v>3.4672999999999998</v>
      </c>
      <c r="I9973">
        <v>391.87</v>
      </c>
      <c r="J9973">
        <v>-188.3895</v>
      </c>
      <c r="K9973">
        <v>1.1083069999999999</v>
      </c>
      <c r="L9973">
        <v>36.241030000000002</v>
      </c>
      <c r="M9973">
        <v>7.9875110000000003E-4</v>
      </c>
      <c r="N9973">
        <v>0</v>
      </c>
      <c r="O9973">
        <v>0.99998279999999995</v>
      </c>
      <c r="P9973">
        <v>3.7062820000000003E-2</v>
      </c>
      <c r="Q9973">
        <v>8.7165790000000003E-3</v>
      </c>
      <c r="R9973">
        <v>0.99927489999999997</v>
      </c>
      <c r="S9973">
        <v>-3.2440190000000001E-2</v>
      </c>
      <c r="T9973">
        <v>1.989925E-2</v>
      </c>
      <c r="U9973">
        <v>3.003082</v>
      </c>
      <c r="V9973">
        <v>3.628029E-2</v>
      </c>
      <c r="W9973">
        <v>1.449231E-2</v>
      </c>
      <c r="X9973">
        <v>0.99923660000000003</v>
      </c>
      <c r="Y9973">
        <v>-1.160015E-2</v>
      </c>
      <c r="Z9973">
        <v>6.6257109999999899E-3</v>
      </c>
      <c r="AA9973">
        <v>0.99991079999999999</v>
      </c>
      <c r="AB9973">
        <v>40</v>
      </c>
      <c r="AC9973">
        <v>-3.8462000000000001</v>
      </c>
      <c r="AD9973">
        <v>2.3589929999999999</v>
      </c>
      <c r="AE9973">
        <v>355.62896999999998</v>
      </c>
      <c r="AF9973">
        <v>-4.13008089430451</v>
      </c>
      <c r="AG9973">
        <v>2.3589929999999999</v>
      </c>
      <c r="AH9973">
        <v>355.61013909617498</v>
      </c>
      <c r="AI9973">
        <v>89.619951089502607</v>
      </c>
      <c r="AJ9973">
        <v>90.665407252077699</v>
      </c>
      <c r="AK9973">
        <v>355.641945563467</v>
      </c>
      <c r="AL9973">
        <v>89.169622761689595</v>
      </c>
      <c r="AM9973">
        <v>87.920617814871605</v>
      </c>
      <c r="AN9973">
        <v>1.00000003463558</v>
      </c>
    </row>
    <row r="9974" spans="1:40" x14ac:dyDescent="0.25">
      <c r="A9974" t="str">
        <f>"20190312154148043"</f>
        <v>20190312154148043</v>
      </c>
      <c r="B9974" t="str">
        <f>"1552376508036216"</f>
        <v>1552376508036216</v>
      </c>
      <c r="C9974" t="s">
        <v>40</v>
      </c>
      <c r="D9974">
        <v>4.2322089999999903</v>
      </c>
      <c r="E9974">
        <v>0.5139688</v>
      </c>
      <c r="F9974" t="s">
        <v>51</v>
      </c>
      <c r="G9974">
        <v>-191.89500000000001</v>
      </c>
      <c r="H9974">
        <v>3.3439679999999998</v>
      </c>
      <c r="I9974">
        <v>391.87</v>
      </c>
      <c r="J9974">
        <v>-188.38890000000001</v>
      </c>
      <c r="K9974">
        <v>1.108355</v>
      </c>
      <c r="L9974">
        <v>36.632570000000001</v>
      </c>
      <c r="M9974">
        <v>1.1878870000000001E-3</v>
      </c>
      <c r="N9974">
        <v>0</v>
      </c>
      <c r="O9974">
        <v>0.99998069999999895</v>
      </c>
      <c r="P9974">
        <v>3.8416619999999999E-2</v>
      </c>
      <c r="Q9974">
        <v>8.5585850000000005E-3</v>
      </c>
      <c r="R9974">
        <v>0.99922509999999998</v>
      </c>
      <c r="S9974">
        <v>-2.9602050000000001E-2</v>
      </c>
      <c r="T9974">
        <v>1.887906E-2</v>
      </c>
      <c r="U9974">
        <v>3.0031129999999999</v>
      </c>
      <c r="V9974">
        <v>3.7245489999999999E-2</v>
      </c>
      <c r="W9974">
        <v>1.460292E-2</v>
      </c>
      <c r="X9974">
        <v>0.99919950000000002</v>
      </c>
      <c r="Y9974">
        <v>-1.104429E-2</v>
      </c>
      <c r="Z9974">
        <v>6.2860210000000001E-3</v>
      </c>
      <c r="AA9974">
        <v>0.99991920000000001</v>
      </c>
      <c r="AB9974">
        <v>40</v>
      </c>
      <c r="AC9974">
        <v>-3.5061</v>
      </c>
      <c r="AD9974">
        <v>2.2356129999999999</v>
      </c>
      <c r="AE9974">
        <v>355.23742999999899</v>
      </c>
      <c r="AF9974">
        <v>-3.9279317452384799</v>
      </c>
      <c r="AG9974">
        <v>2.2356129999999999</v>
      </c>
      <c r="AH9974">
        <v>355.218947165266</v>
      </c>
      <c r="AI9974">
        <v>89.639428951464197</v>
      </c>
      <c r="AJ9974">
        <v>90.633538106307199</v>
      </c>
      <c r="AK9974">
        <v>355.24769814663199</v>
      </c>
      <c r="AL9974">
        <v>89.163284623144094</v>
      </c>
      <c r="AM9974">
        <v>87.865269308578604</v>
      </c>
      <c r="AN9974">
        <v>1.0000000562990501</v>
      </c>
    </row>
    <row r="9975" spans="1:40" x14ac:dyDescent="0.25">
      <c r="A9975" t="str">
        <f>"20190312154148066"</f>
        <v>20190312154148066</v>
      </c>
      <c r="B9975" t="str">
        <f>"1552376508055736"</f>
        <v>1552376508055736</v>
      </c>
      <c r="C9975" t="s">
        <v>40</v>
      </c>
      <c r="D9975">
        <v>4.204828</v>
      </c>
      <c r="E9975">
        <v>0.52289129999999995</v>
      </c>
      <c r="F9975" t="s">
        <v>53</v>
      </c>
      <c r="G9975">
        <v>-167.39599999999999</v>
      </c>
      <c r="H9975">
        <v>1.8735900000000001</v>
      </c>
      <c r="I9975">
        <v>314.49709999999999</v>
      </c>
      <c r="J9975">
        <v>-188.38800000000001</v>
      </c>
      <c r="K9975">
        <v>1.108414</v>
      </c>
      <c r="L9975">
        <v>37.055419999999998</v>
      </c>
      <c r="M9975">
        <v>1.607842E-3</v>
      </c>
      <c r="N9975">
        <v>0</v>
      </c>
      <c r="O9975">
        <v>0.99997800000000003</v>
      </c>
      <c r="P9975">
        <v>3.9047999999999999E-2</v>
      </c>
      <c r="Q9975">
        <v>9.2408860000000002E-3</v>
      </c>
      <c r="R9975">
        <v>0.99919460000000004</v>
      </c>
      <c r="S9975">
        <v>0.2261658</v>
      </c>
      <c r="T9975">
        <v>8.244276E-3</v>
      </c>
      <c r="U9975">
        <v>2.9935610000000001</v>
      </c>
      <c r="V9975">
        <v>3.7458499999999999E-2</v>
      </c>
      <c r="W9975">
        <v>1.5628960000000001E-2</v>
      </c>
      <c r="X9975">
        <v>0.99917599999999995</v>
      </c>
      <c r="Y9975">
        <v>7.3732370000000005E-2</v>
      </c>
      <c r="Z9975">
        <v>2.7463259999999999E-3</v>
      </c>
      <c r="AA9975">
        <v>0.99727429999999995</v>
      </c>
      <c r="AB9975">
        <v>40</v>
      </c>
      <c r="AC9975">
        <v>20.992000000000001</v>
      </c>
      <c r="AD9975">
        <v>0.76517599999999997</v>
      </c>
      <c r="AE9975">
        <v>277.441679999999</v>
      </c>
      <c r="AF9975">
        <v>20.545725852546099</v>
      </c>
      <c r="AG9975">
        <v>0.76517599999999997</v>
      </c>
      <c r="AH9975">
        <v>277.47297533107002</v>
      </c>
      <c r="AI9975">
        <v>89.842429517288295</v>
      </c>
      <c r="AJ9975">
        <v>85.765212772511802</v>
      </c>
      <c r="AK9975">
        <v>278.23365070421602</v>
      </c>
      <c r="AL9975">
        <v>89.104490131416796</v>
      </c>
      <c r="AM9975">
        <v>87.853021554493196</v>
      </c>
      <c r="AN9975">
        <v>1.0000000412944601</v>
      </c>
    </row>
    <row r="9976" spans="1:40" x14ac:dyDescent="0.25">
      <c r="A9976" t="str">
        <f>"20190312154148087"</f>
        <v>20190312154148087</v>
      </c>
      <c r="B9976" t="str">
        <f>"1552376508076232"</f>
        <v>1552376508076232</v>
      </c>
      <c r="C9976" t="s">
        <v>40</v>
      </c>
      <c r="D9976">
        <v>4.1958960000000003</v>
      </c>
      <c r="E9976">
        <v>0.52640889999999996</v>
      </c>
      <c r="F9976" t="s">
        <v>80</v>
      </c>
      <c r="G9976">
        <v>-167.13910000000001</v>
      </c>
      <c r="H9976">
        <v>2.0683419999999999</v>
      </c>
      <c r="I9976">
        <v>249.3853</v>
      </c>
      <c r="J9976">
        <v>-188.3871</v>
      </c>
      <c r="K9976">
        <v>1.108482</v>
      </c>
      <c r="L9976">
        <v>37.437100000000001</v>
      </c>
      <c r="M9976">
        <v>1.987015E-3</v>
      </c>
      <c r="N9976">
        <v>0</v>
      </c>
      <c r="O9976">
        <v>0.99997480000000005</v>
      </c>
      <c r="P9976">
        <v>3.9269659999999998E-2</v>
      </c>
      <c r="Q9976">
        <v>9.3322809999999996E-3</v>
      </c>
      <c r="R9976">
        <v>0.99918510000000005</v>
      </c>
      <c r="S9976">
        <v>0.29928589999999999</v>
      </c>
      <c r="T9976">
        <v>1.352108E-2</v>
      </c>
      <c r="U9976">
        <v>2.9906009999999998</v>
      </c>
      <c r="V9976">
        <v>3.7301910000000001E-2</v>
      </c>
      <c r="W9976">
        <v>1.610288E-2</v>
      </c>
      <c r="X9976">
        <v>0.99917429999999996</v>
      </c>
      <c r="Y9976">
        <v>9.7599729999999996E-2</v>
      </c>
      <c r="Z9976">
        <v>4.4991019999999996E-3</v>
      </c>
      <c r="AA9976">
        <v>0.99521559999999998</v>
      </c>
      <c r="AB9976">
        <v>40</v>
      </c>
      <c r="AC9976">
        <v>21.247999999999902</v>
      </c>
      <c r="AD9976">
        <v>0.95986000000000005</v>
      </c>
      <c r="AE9976">
        <v>211.94820000000001</v>
      </c>
      <c r="AF9976">
        <v>20.826381128003799</v>
      </c>
      <c r="AG9976">
        <v>0.95986000000000005</v>
      </c>
      <c r="AH9976">
        <v>211.985698173331</v>
      </c>
      <c r="AI9976">
        <v>89.741812517255298</v>
      </c>
      <c r="AJ9976">
        <v>84.389023741687495</v>
      </c>
      <c r="AK9976">
        <v>213.00844047159899</v>
      </c>
      <c r="AL9976">
        <v>89.077333067902799</v>
      </c>
      <c r="AM9976">
        <v>87.861984715526901</v>
      </c>
      <c r="AN9976">
        <v>1.00000000850721</v>
      </c>
    </row>
    <row r="9977" spans="1:40" x14ac:dyDescent="0.25">
      <c r="A9977" t="str">
        <f>"20190312154148109"</f>
        <v>20190312154148109</v>
      </c>
      <c r="B9977" t="str">
        <f>"1552376508095753"</f>
        <v>1552376508095753</v>
      </c>
      <c r="C9977" t="s">
        <v>40</v>
      </c>
      <c r="D9977">
        <v>4.203398</v>
      </c>
      <c r="E9977">
        <v>0.52814369999999999</v>
      </c>
      <c r="F9977" t="s">
        <v>80</v>
      </c>
      <c r="G9977">
        <v>-168.17160000000001</v>
      </c>
      <c r="H9977">
        <v>2.008667</v>
      </c>
      <c r="I9977">
        <v>221.6901</v>
      </c>
      <c r="J9977">
        <v>-188.386</v>
      </c>
      <c r="K9977">
        <v>1.1085590000000001</v>
      </c>
      <c r="L9977">
        <v>37.829900000000002</v>
      </c>
      <c r="M9977">
        <v>2.3765790000000002E-3</v>
      </c>
      <c r="N9977">
        <v>0</v>
      </c>
      <c r="O9977">
        <v>0.99997040000000004</v>
      </c>
      <c r="P9977">
        <v>3.9015569999999999E-2</v>
      </c>
      <c r="Q9977">
        <v>8.5502389999999994E-3</v>
      </c>
      <c r="R9977">
        <v>0.99920200000000003</v>
      </c>
      <c r="S9977">
        <v>0.32798769999999999</v>
      </c>
      <c r="T9977">
        <v>1.4605999999999999E-2</v>
      </c>
      <c r="U9977">
        <v>2.9894099999999999</v>
      </c>
      <c r="V9977">
        <v>3.6658349999999999E-2</v>
      </c>
      <c r="W9977">
        <v>1.5817290000000001E-2</v>
      </c>
      <c r="X9977">
        <v>0.9992027</v>
      </c>
      <c r="Y9977">
        <v>0.106698</v>
      </c>
      <c r="Z9977">
        <v>4.8573150000000001E-3</v>
      </c>
      <c r="AA9977">
        <v>0.99427960000000004</v>
      </c>
      <c r="AB9977">
        <v>40</v>
      </c>
      <c r="AC9977">
        <v>20.214399999999898</v>
      </c>
      <c r="AD9977">
        <v>0.90010799999999902</v>
      </c>
      <c r="AE9977">
        <v>183.86019999999999</v>
      </c>
      <c r="AF9977">
        <v>19.776904587501999</v>
      </c>
      <c r="AG9977">
        <v>0.90010799999999902</v>
      </c>
      <c r="AH9977">
        <v>183.90336817217201</v>
      </c>
      <c r="AI9977">
        <v>89.721177836311</v>
      </c>
      <c r="AJ9977">
        <v>83.862020616876194</v>
      </c>
      <c r="AK9977">
        <v>184.965902194281</v>
      </c>
      <c r="AL9977">
        <v>89.093698272038097</v>
      </c>
      <c r="AM9977">
        <v>87.898897643363398</v>
      </c>
      <c r="AN9977">
        <v>1.0000000284874699</v>
      </c>
    </row>
    <row r="9978" spans="1:40" x14ac:dyDescent="0.25">
      <c r="A9978" t="str">
        <f>"20190312154148131"</f>
        <v>20190312154148131</v>
      </c>
      <c r="B9978" t="str">
        <f>"1552376508126009"</f>
        <v>1552376508126009</v>
      </c>
      <c r="C9978" t="s">
        <v>40</v>
      </c>
      <c r="D9978">
        <v>4.2385729999999997</v>
      </c>
      <c r="E9978">
        <v>0.53000780000000003</v>
      </c>
      <c r="F9978" t="s">
        <v>75</v>
      </c>
      <c r="G9978">
        <v>-168.94730000000001</v>
      </c>
      <c r="H9978">
        <v>1.6910130000000001</v>
      </c>
      <c r="I9978">
        <v>208.215</v>
      </c>
      <c r="J9978">
        <v>-188.38470000000001</v>
      </c>
      <c r="K9978">
        <v>1.108665</v>
      </c>
      <c r="L9978">
        <v>38.236660000000001</v>
      </c>
      <c r="M9978">
        <v>2.7698950000000001E-3</v>
      </c>
      <c r="N9978">
        <v>0</v>
      </c>
      <c r="O9978">
        <v>0.99996450000000003</v>
      </c>
      <c r="P9978">
        <v>3.882903E-2</v>
      </c>
      <c r="Q9978">
        <v>8.3982469999999993E-3</v>
      </c>
      <c r="R9978">
        <v>0.99921059999999995</v>
      </c>
      <c r="S9978">
        <v>0.34100340000000001</v>
      </c>
      <c r="T9978">
        <v>1.0218380000000001E-2</v>
      </c>
      <c r="U9978">
        <v>2.9889830000000002</v>
      </c>
      <c r="V9978">
        <v>3.60795E-2</v>
      </c>
      <c r="W9978">
        <v>1.6305980000000001E-2</v>
      </c>
      <c r="X9978">
        <v>0.99921590000000005</v>
      </c>
      <c r="Y9978">
        <v>0.1105983</v>
      </c>
      <c r="Z9978">
        <v>3.3971370000000002E-3</v>
      </c>
      <c r="AA9978">
        <v>0.99385939999999995</v>
      </c>
      <c r="AB9978">
        <v>40</v>
      </c>
      <c r="AC9978">
        <v>19.4374</v>
      </c>
      <c r="AD9978">
        <v>0.58234799999999998</v>
      </c>
      <c r="AE9978">
        <v>169.97834</v>
      </c>
      <c r="AF9978">
        <v>18.966268623312398</v>
      </c>
      <c r="AG9978">
        <v>0.58234799999999998</v>
      </c>
      <c r="AH9978">
        <v>170.02955918258701</v>
      </c>
      <c r="AI9978">
        <v>89.804973383638298</v>
      </c>
      <c r="AJ9978">
        <v>83.635145606001899</v>
      </c>
      <c r="AK9978">
        <v>171.085094238246</v>
      </c>
      <c r="AL9978">
        <v>89.065694773170506</v>
      </c>
      <c r="AM9978">
        <v>87.932073148097899</v>
      </c>
      <c r="AN9978">
        <v>1.0000000150584101</v>
      </c>
    </row>
    <row r="9979" spans="1:40" x14ac:dyDescent="0.25">
      <c r="A9979" t="str">
        <f>"20190312154148156"</f>
        <v>20190312154148156</v>
      </c>
      <c r="B9979" t="str">
        <f>"1552376508146504"</f>
        <v>1552376508146504</v>
      </c>
      <c r="C9979" t="s">
        <v>40</v>
      </c>
      <c r="D9979">
        <v>4.2480650000000004</v>
      </c>
      <c r="E9979">
        <v>0.53094649999999999</v>
      </c>
      <c r="F9979" t="s">
        <v>75</v>
      </c>
      <c r="G9979">
        <v>-168.4111</v>
      </c>
      <c r="H9979">
        <v>1.5412790000000001</v>
      </c>
      <c r="I9979">
        <v>206.3031</v>
      </c>
      <c r="J9979">
        <v>-188.38310000000001</v>
      </c>
      <c r="K9979">
        <v>1.1087819999999999</v>
      </c>
      <c r="L9979">
        <v>38.656829999999999</v>
      </c>
      <c r="M9979">
        <v>3.1726419999999998E-3</v>
      </c>
      <c r="N9979">
        <v>0</v>
      </c>
      <c r="O9979">
        <v>0.99995710000000004</v>
      </c>
      <c r="P9979">
        <v>3.9000809999999997E-2</v>
      </c>
      <c r="Q9979">
        <v>8.5125200000000008E-3</v>
      </c>
      <c r="R9979">
        <v>0.9992029</v>
      </c>
      <c r="S9979">
        <v>0.35516360000000002</v>
      </c>
      <c r="T9979">
        <v>7.6931719999999999E-3</v>
      </c>
      <c r="U9979">
        <v>2.9884949999999999</v>
      </c>
      <c r="V9979">
        <v>3.5849789999999999E-2</v>
      </c>
      <c r="W9979">
        <v>1.716703E-2</v>
      </c>
      <c r="X9979">
        <v>0.99920969999999998</v>
      </c>
      <c r="Y9979">
        <v>0.11486159999999999</v>
      </c>
      <c r="Z9979">
        <v>2.5567200000000002E-3</v>
      </c>
      <c r="AA9979">
        <v>0.99337819999999999</v>
      </c>
      <c r="AB9979">
        <v>40</v>
      </c>
      <c r="AC9979">
        <v>19.972000000000001</v>
      </c>
      <c r="AD9979">
        <v>0.43249700000000002</v>
      </c>
      <c r="AE9979">
        <v>167.64626999999999</v>
      </c>
      <c r="AF9979">
        <v>19.439870166786601</v>
      </c>
      <c r="AG9979">
        <v>0.43249700000000002</v>
      </c>
      <c r="AH9979">
        <v>167.70769205133001</v>
      </c>
      <c r="AI9979">
        <v>89.853224501418396</v>
      </c>
      <c r="AJ9979">
        <v>83.388056488518103</v>
      </c>
      <c r="AK9979">
        <v>168.83117478398401</v>
      </c>
      <c r="AL9979">
        <v>89.016353285574397</v>
      </c>
      <c r="AM9979">
        <v>87.945215109044796</v>
      </c>
      <c r="AN9979">
        <v>0.99999996946807701</v>
      </c>
    </row>
    <row r="9980" spans="1:40" x14ac:dyDescent="0.25">
      <c r="A9980" t="str">
        <f>"20190312154148180"</f>
        <v>20190312154148180</v>
      </c>
      <c r="B9980" t="str">
        <f>"1552376508166024"</f>
        <v>1552376508166024</v>
      </c>
      <c r="C9980" t="s">
        <v>40</v>
      </c>
      <c r="D9980">
        <v>4.2690099999999997</v>
      </c>
      <c r="E9980">
        <v>0.53130010000000005</v>
      </c>
      <c r="F9980" t="s">
        <v>75</v>
      </c>
      <c r="G9980">
        <v>-168.41210000000001</v>
      </c>
      <c r="H9980">
        <v>1.3308009999999999</v>
      </c>
      <c r="I9980">
        <v>203.0335</v>
      </c>
      <c r="J9980">
        <v>-188.38140000000001</v>
      </c>
      <c r="K9980">
        <v>1.1088830000000001</v>
      </c>
      <c r="L9980">
        <v>39.078609999999998</v>
      </c>
      <c r="M9980">
        <v>3.5846860000000001E-3</v>
      </c>
      <c r="N9980">
        <v>0</v>
      </c>
      <c r="O9980">
        <v>0.99994890000000003</v>
      </c>
      <c r="P9980">
        <v>3.9112050000000002E-2</v>
      </c>
      <c r="Q9980">
        <v>6.8720250000000004E-3</v>
      </c>
      <c r="R9980">
        <v>0.99921119999999997</v>
      </c>
      <c r="S9980">
        <v>0.3630524</v>
      </c>
      <c r="T9980">
        <v>4.036665E-3</v>
      </c>
      <c r="U9980">
        <v>2.9881899999999999</v>
      </c>
      <c r="V9980">
        <v>3.554798E-2</v>
      </c>
      <c r="W9980">
        <v>1.6275939999999999E-2</v>
      </c>
      <c r="X9980">
        <v>0.99923550000000005</v>
      </c>
      <c r="Y9980">
        <v>0.1170493</v>
      </c>
      <c r="Z9980">
        <v>1.3412840000000001E-3</v>
      </c>
      <c r="AA9980">
        <v>0.99312520000000004</v>
      </c>
      <c r="AB9980">
        <v>40</v>
      </c>
      <c r="AC9980">
        <v>19.9693</v>
      </c>
      <c r="AD9980">
        <v>0.221918</v>
      </c>
      <c r="AE9980">
        <v>163.95488999999901</v>
      </c>
      <c r="AF9980">
        <v>19.3813836405849</v>
      </c>
      <c r="AG9980">
        <v>0.221918</v>
      </c>
      <c r="AH9980">
        <v>164.02512725386799</v>
      </c>
      <c r="AI9980">
        <v>89.923017205901601</v>
      </c>
      <c r="AJ9980">
        <v>83.261116624132995</v>
      </c>
      <c r="AK9980">
        <v>165.16636960976601</v>
      </c>
      <c r="AL9980">
        <v>89.067416222504093</v>
      </c>
      <c r="AM9980">
        <v>87.962551726718701</v>
      </c>
      <c r="AN9980">
        <v>1.0000000747825999</v>
      </c>
    </row>
    <row r="9981" spans="1:40" x14ac:dyDescent="0.25">
      <c r="A9981" t="str">
        <f>"20190312154148202"</f>
        <v>20190312154148202</v>
      </c>
      <c r="B9981" t="str">
        <f>"1552376508195811"</f>
        <v>1552376508195811</v>
      </c>
      <c r="C9981" t="s">
        <v>40</v>
      </c>
      <c r="D9981">
        <v>4.2469099999999997</v>
      </c>
      <c r="E9981">
        <v>0.53164719999999999</v>
      </c>
      <c r="F9981" t="s">
        <v>75</v>
      </c>
      <c r="G9981">
        <v>-168.41229999999999</v>
      </c>
      <c r="H9981">
        <v>1.00746</v>
      </c>
      <c r="I9981">
        <v>201.99969999999999</v>
      </c>
      <c r="J9981">
        <v>-188.37950000000001</v>
      </c>
      <c r="K9981">
        <v>1.10897</v>
      </c>
      <c r="L9981">
        <v>39.497500000000002</v>
      </c>
      <c r="M9981">
        <v>3.9971670000000003E-3</v>
      </c>
      <c r="N9981">
        <v>0</v>
      </c>
      <c r="O9981">
        <v>0.99994059999999996</v>
      </c>
      <c r="P9981">
        <v>3.9315379999999997E-2</v>
      </c>
      <c r="Q9981">
        <v>6.1048489999999999E-3</v>
      </c>
      <c r="R9981">
        <v>0.99920819999999999</v>
      </c>
      <c r="S9981">
        <v>0.3662415</v>
      </c>
      <c r="T9981">
        <v>-1.8595459999999999E-3</v>
      </c>
      <c r="U9981">
        <v>2.9880369999999998</v>
      </c>
      <c r="V9981">
        <v>3.5338710000000002E-2</v>
      </c>
      <c r="W9981">
        <v>1.6198710000000002E-2</v>
      </c>
      <c r="X9981">
        <v>0.99924409999999997</v>
      </c>
      <c r="Y9981">
        <v>0.11769010000000001</v>
      </c>
      <c r="Z9981">
        <v>-6.1784830000000005E-4</v>
      </c>
      <c r="AA9981">
        <v>0.99305019999999999</v>
      </c>
      <c r="AB9981">
        <v>40</v>
      </c>
      <c r="AC9981">
        <v>19.967199999999998</v>
      </c>
      <c r="AD9981">
        <v>-0.10151</v>
      </c>
      <c r="AE9981">
        <v>162.50219999999999</v>
      </c>
      <c r="AF9981">
        <v>19.3174512189414</v>
      </c>
      <c r="AG9981">
        <v>-0.10151</v>
      </c>
      <c r="AH9981">
        <v>162.58065552375999</v>
      </c>
      <c r="AI9981">
        <v>90.035523714175298</v>
      </c>
      <c r="AJ9981">
        <v>83.224017974663795</v>
      </c>
      <c r="AK9981">
        <v>163.72429195575</v>
      </c>
      <c r="AL9981">
        <v>89.071841686468403</v>
      </c>
      <c r="AM9981">
        <v>87.9745535274932</v>
      </c>
      <c r="AN9981">
        <v>0.999999997007469</v>
      </c>
    </row>
    <row r="9982" spans="1:40" x14ac:dyDescent="0.25">
      <c r="A9982" t="str">
        <f>"20190312154148222"</f>
        <v>20190312154148222</v>
      </c>
      <c r="B9982" t="str">
        <f>"1552376508216307"</f>
        <v>1552376508216307</v>
      </c>
      <c r="C9982" t="s">
        <v>40</v>
      </c>
      <c r="D9982">
        <v>4.248488</v>
      </c>
      <c r="E9982">
        <v>0.53182289999999999</v>
      </c>
      <c r="F9982" t="s">
        <v>75</v>
      </c>
      <c r="G9982">
        <v>-168.4126</v>
      </c>
      <c r="H9982">
        <v>0.84167389999999997</v>
      </c>
      <c r="I9982">
        <v>200.9178</v>
      </c>
      <c r="J9982">
        <v>-188.37780000000001</v>
      </c>
      <c r="K9982">
        <v>1.109038</v>
      </c>
      <c r="L9982">
        <v>39.851410000000001</v>
      </c>
      <c r="M9982">
        <v>4.3433209999999998E-3</v>
      </c>
      <c r="N9982">
        <v>0</v>
      </c>
      <c r="O9982">
        <v>0.99993359999999998</v>
      </c>
      <c r="P9982">
        <v>3.8985199999999998E-2</v>
      </c>
      <c r="Q9982">
        <v>6.3999579999999999E-3</v>
      </c>
      <c r="R9982">
        <v>0.99921930000000003</v>
      </c>
      <c r="S9982">
        <v>0.3695831</v>
      </c>
      <c r="T9982">
        <v>-4.9469470000000001E-3</v>
      </c>
      <c r="U9982">
        <v>2.987854</v>
      </c>
      <c r="V9982">
        <v>3.4663239999999998E-2</v>
      </c>
      <c r="W9982">
        <v>1.7029720000000002E-2</v>
      </c>
      <c r="X9982">
        <v>0.99925390000000003</v>
      </c>
      <c r="Y9982">
        <v>0.1184476</v>
      </c>
      <c r="Z9982">
        <v>-1.6435690000000001E-3</v>
      </c>
      <c r="AA9982">
        <v>0.99295900000000004</v>
      </c>
      <c r="AB9982">
        <v>40</v>
      </c>
      <c r="AC9982">
        <v>19.965199999999999</v>
      </c>
      <c r="AD9982">
        <v>-0.26736409999999899</v>
      </c>
      <c r="AE9982">
        <v>161.06638999999899</v>
      </c>
      <c r="AF9982">
        <v>19.265356491152701</v>
      </c>
      <c r="AG9982">
        <v>-0.26736409999999899</v>
      </c>
      <c r="AH9982">
        <v>161.15115349074799</v>
      </c>
      <c r="AI9982">
        <v>90.094386624294401</v>
      </c>
      <c r="AJ9982">
        <v>83.182737541552896</v>
      </c>
      <c r="AK9982">
        <v>162.298859255671</v>
      </c>
      <c r="AL9982">
        <v>89.024221704595803</v>
      </c>
      <c r="AM9982">
        <v>88.013256390547795</v>
      </c>
      <c r="AN9982">
        <v>0.999999954117892</v>
      </c>
    </row>
    <row r="9983" spans="1:40" x14ac:dyDescent="0.25">
      <c r="A9983" t="str">
        <f>"20190312154148244"</f>
        <v>20190312154148244</v>
      </c>
      <c r="B9983" t="str">
        <f>"1552376508235827"</f>
        <v>1552376508235827</v>
      </c>
      <c r="C9983" t="s">
        <v>40</v>
      </c>
      <c r="D9983">
        <v>4.249231</v>
      </c>
      <c r="E9983">
        <v>0.53202430000000001</v>
      </c>
      <c r="F9983" t="s">
        <v>75</v>
      </c>
      <c r="G9983">
        <v>-168.41249999999999</v>
      </c>
      <c r="H9983">
        <v>0.79488559999999997</v>
      </c>
      <c r="I9983">
        <v>201.13679999999999</v>
      </c>
      <c r="J9983">
        <v>-188.37569999999999</v>
      </c>
      <c r="K9983">
        <v>1.109092</v>
      </c>
      <c r="L9983">
        <v>40.248379999999997</v>
      </c>
      <c r="M9983">
        <v>4.7251949999999997E-3</v>
      </c>
      <c r="N9983">
        <v>0</v>
      </c>
      <c r="O9983">
        <v>0.99992590000000003</v>
      </c>
      <c r="P9983">
        <v>3.8726669999999998E-2</v>
      </c>
      <c r="Q9983">
        <v>7.45749699999999E-3</v>
      </c>
      <c r="R9983">
        <v>0.99922200000000005</v>
      </c>
      <c r="S9983">
        <v>0.36987300000000001</v>
      </c>
      <c r="T9983">
        <v>-5.8193209999999997E-3</v>
      </c>
      <c r="U9983">
        <v>2.987946</v>
      </c>
      <c r="V9983">
        <v>3.4024560000000002E-2</v>
      </c>
      <c r="W9983">
        <v>1.8631640000000001E-2</v>
      </c>
      <c r="X9983">
        <v>0.99924729999999995</v>
      </c>
      <c r="Y9983">
        <v>0.1181595</v>
      </c>
      <c r="Z9983">
        <v>-1.933363E-3</v>
      </c>
      <c r="AA9983">
        <v>0.99299280000000001</v>
      </c>
      <c r="AB9983">
        <v>40</v>
      </c>
      <c r="AC9983">
        <v>19.963200000000001</v>
      </c>
      <c r="AD9983">
        <v>-0.3142064</v>
      </c>
      <c r="AE9983">
        <v>160.88842</v>
      </c>
      <c r="AF9983">
        <v>19.202627972398702</v>
      </c>
      <c r="AG9983">
        <v>-0.3142064</v>
      </c>
      <c r="AH9983">
        <v>160.98035492903699</v>
      </c>
      <c r="AI9983">
        <v>90.111044285591603</v>
      </c>
      <c r="AJ9983">
        <v>83.197584639074293</v>
      </c>
      <c r="AK9983">
        <v>162.12191190516799</v>
      </c>
      <c r="AL9983">
        <v>88.932423877262806</v>
      </c>
      <c r="AM9983">
        <v>88.049821301773903</v>
      </c>
      <c r="AN9983">
        <v>0.99999998762478604</v>
      </c>
    </row>
    <row r="9984" spans="1:40" x14ac:dyDescent="0.25">
      <c r="A9984" t="str">
        <f>"20190312154148267"</f>
        <v>20190312154148267</v>
      </c>
      <c r="B9984" t="str">
        <f>"1552376508256324"</f>
        <v>1552376508256324</v>
      </c>
      <c r="C9984" t="s">
        <v>40</v>
      </c>
      <c r="D9984">
        <v>4.4821589999999896</v>
      </c>
      <c r="E9984">
        <v>0.53222499999999995</v>
      </c>
      <c r="F9984" t="s">
        <v>75</v>
      </c>
      <c r="G9984">
        <v>-168.4126</v>
      </c>
      <c r="H9984">
        <v>0.9408379</v>
      </c>
      <c r="I9984">
        <v>201.20140000000001</v>
      </c>
      <c r="J9984">
        <v>-188.3734</v>
      </c>
      <c r="K9984">
        <v>1.109138</v>
      </c>
      <c r="L9984">
        <v>40.648739999999997</v>
      </c>
      <c r="M9984">
        <v>5.1017399999999996E-3</v>
      </c>
      <c r="N9984">
        <v>0</v>
      </c>
      <c r="O9984">
        <v>0.99991839999999999</v>
      </c>
      <c r="P9984">
        <v>3.8758750000000002E-2</v>
      </c>
      <c r="Q9984">
        <v>7.7206829999999999E-3</v>
      </c>
      <c r="R9984">
        <v>0.99921879999999996</v>
      </c>
      <c r="S9984">
        <v>0.37060549999999998</v>
      </c>
      <c r="T9984">
        <v>-3.1229259999999998E-3</v>
      </c>
      <c r="U9984">
        <v>2.9880070000000001</v>
      </c>
      <c r="V9984">
        <v>3.3680849999999998E-2</v>
      </c>
      <c r="W9984">
        <v>1.9387290000000001E-2</v>
      </c>
      <c r="X9984">
        <v>0.99924460000000004</v>
      </c>
      <c r="Y9984">
        <v>0.1180229</v>
      </c>
      <c r="Z9984">
        <v>-1.037505E-3</v>
      </c>
      <c r="AA9984">
        <v>0.99301030000000001</v>
      </c>
      <c r="AB9984">
        <v>40</v>
      </c>
      <c r="AC9984">
        <v>19.960799999999999</v>
      </c>
      <c r="AD9984">
        <v>-0.16830009999999901</v>
      </c>
      <c r="AE9984">
        <v>160.55266</v>
      </c>
      <c r="AF9984">
        <v>19.141365372769599</v>
      </c>
      <c r="AG9984">
        <v>-0.16830009999999901</v>
      </c>
      <c r="AH9984">
        <v>160.652238240325</v>
      </c>
      <c r="AI9984">
        <v>90.059601759207496</v>
      </c>
      <c r="AJ9984">
        <v>83.205364132914397</v>
      </c>
      <c r="AK9984">
        <v>161.78863323757901</v>
      </c>
      <c r="AL9984">
        <v>88.889120529618694</v>
      </c>
      <c r="AM9984">
        <v>88.069501462270495</v>
      </c>
      <c r="AN9984">
        <v>1.00000001864971</v>
      </c>
    </row>
    <row r="9985" spans="1:40" x14ac:dyDescent="0.25">
      <c r="A9985" t="str">
        <f>"20190312154148288"</f>
        <v>20190312154148288</v>
      </c>
      <c r="B9985" t="str">
        <f>"1552376508275846"</f>
        <v>1552376508275846</v>
      </c>
      <c r="C9985" t="s">
        <v>40</v>
      </c>
      <c r="D9985">
        <v>4.3031899999999998</v>
      </c>
      <c r="E9985">
        <v>0.53236640000000002</v>
      </c>
      <c r="F9985" t="s">
        <v>75</v>
      </c>
      <c r="G9985">
        <v>-168.4127</v>
      </c>
      <c r="H9985">
        <v>0.90449049999999998</v>
      </c>
      <c r="I9985">
        <v>200.82749999999999</v>
      </c>
      <c r="J9985">
        <v>-188.37110000000001</v>
      </c>
      <c r="K9985">
        <v>1.1091690000000001</v>
      </c>
      <c r="L9985">
        <v>41.036960000000001</v>
      </c>
      <c r="M9985">
        <v>5.4580059999999996E-3</v>
      </c>
      <c r="N9985">
        <v>0</v>
      </c>
      <c r="O9985">
        <v>0.99991149999999995</v>
      </c>
      <c r="P9985">
        <v>3.9165499999999999E-2</v>
      </c>
      <c r="Q9985">
        <v>6.2130700000000002E-3</v>
      </c>
      <c r="R9985">
        <v>0.99921340000000003</v>
      </c>
      <c r="S9985">
        <v>0.37234499999999998</v>
      </c>
      <c r="T9985">
        <v>-3.8168429999999999E-3</v>
      </c>
      <c r="U9985">
        <v>2.987946</v>
      </c>
      <c r="V9985">
        <v>3.3730019999999999E-2</v>
      </c>
      <c r="W9985">
        <v>1.8305539999999999E-2</v>
      </c>
      <c r="X9985">
        <v>0.99926329999999997</v>
      </c>
      <c r="Y9985">
        <v>0.11824079999999999</v>
      </c>
      <c r="Z9985">
        <v>-1.268E-3</v>
      </c>
      <c r="AA9985">
        <v>0.99298410000000004</v>
      </c>
      <c r="AB9985">
        <v>40</v>
      </c>
      <c r="AC9985">
        <v>19.958400000000001</v>
      </c>
      <c r="AD9985">
        <v>-0.20467850000000001</v>
      </c>
      <c r="AE9985">
        <v>159.79053999999999</v>
      </c>
      <c r="AF9985">
        <v>19.0858699177499</v>
      </c>
      <c r="AG9985">
        <v>-0.20467850000000001</v>
      </c>
      <c r="AH9985">
        <v>159.896842330174</v>
      </c>
      <c r="AI9985">
        <v>90.072825374284307</v>
      </c>
      <c r="AJ9985">
        <v>83.193172169301903</v>
      </c>
      <c r="AK9985">
        <v>161.03202324682499</v>
      </c>
      <c r="AL9985">
        <v>88.951111205205905</v>
      </c>
      <c r="AM9985">
        <v>88.066721455383203</v>
      </c>
      <c r="AN9985">
        <v>0.99999997488539005</v>
      </c>
    </row>
    <row r="9986" spans="1:40" x14ac:dyDescent="0.25">
      <c r="A9986" t="str">
        <f>"20190312154148310"</f>
        <v>20190312154148310</v>
      </c>
      <c r="B9986" t="str">
        <f>"1552376508296339"</f>
        <v>1552376508296339</v>
      </c>
      <c r="C9986" t="s">
        <v>40</v>
      </c>
      <c r="D9986">
        <v>4.3006379999999904</v>
      </c>
      <c r="E9986">
        <v>0.53247699999999998</v>
      </c>
      <c r="F9986" t="s">
        <v>75</v>
      </c>
      <c r="G9986">
        <v>-168.4128</v>
      </c>
      <c r="H9986">
        <v>0.67639159999999998</v>
      </c>
      <c r="I9986">
        <v>200.1996</v>
      </c>
      <c r="J9986">
        <v>-188.36869999999999</v>
      </c>
      <c r="K9986">
        <v>1.109194</v>
      </c>
      <c r="L9986">
        <v>41.41733</v>
      </c>
      <c r="M9986">
        <v>5.7971169999999897E-3</v>
      </c>
      <c r="N9986">
        <v>0</v>
      </c>
      <c r="O9986">
        <v>0.99990500000000004</v>
      </c>
      <c r="P9986">
        <v>3.9755020000000002E-2</v>
      </c>
      <c r="Q9986">
        <v>5.0407489999999998E-3</v>
      </c>
      <c r="R9986">
        <v>0.9991968</v>
      </c>
      <c r="S9986">
        <v>0.37464900000000001</v>
      </c>
      <c r="T9986">
        <v>-8.1232790000000006E-3</v>
      </c>
      <c r="U9986">
        <v>2.9877319999999998</v>
      </c>
      <c r="V9986">
        <v>3.3979380000000003E-2</v>
      </c>
      <c r="W9986">
        <v>1.7503620000000001E-2</v>
      </c>
      <c r="X9986">
        <v>0.99926919999999997</v>
      </c>
      <c r="Y9986">
        <v>0.11866640000000001</v>
      </c>
      <c r="Z9986">
        <v>-2.6986269999999999E-3</v>
      </c>
      <c r="AA9986">
        <v>0.99293050000000005</v>
      </c>
      <c r="AB9986">
        <v>40</v>
      </c>
      <c r="AC9986">
        <v>19.9558999999999</v>
      </c>
      <c r="AD9986">
        <v>-0.43280239999999998</v>
      </c>
      <c r="AE9986">
        <v>158.78226999999899</v>
      </c>
      <c r="AF9986">
        <v>19.034874015079801</v>
      </c>
      <c r="AG9986">
        <v>-0.43280239999999998</v>
      </c>
      <c r="AH9986">
        <v>158.89413504175701</v>
      </c>
      <c r="AI9986">
        <v>90.154956293946398</v>
      </c>
      <c r="AJ9986">
        <v>83.168752049487296</v>
      </c>
      <c r="AK9986">
        <v>160.030809212962</v>
      </c>
      <c r="AL9986">
        <v>88.997065185095195</v>
      </c>
      <c r="AM9986">
        <v>88.052451529490199</v>
      </c>
      <c r="AN9986">
        <v>0.99999995452346302</v>
      </c>
    </row>
    <row r="9987" spans="1:40" x14ac:dyDescent="0.25">
      <c r="A9987" t="str">
        <f>"20190312154148333"</f>
        <v>20190312154148333</v>
      </c>
      <c r="B9987" t="str">
        <f>"1552376508325619"</f>
        <v>1552376508325619</v>
      </c>
      <c r="C9987" t="s">
        <v>40</v>
      </c>
      <c r="D9987">
        <v>4.2434659999999997</v>
      </c>
      <c r="E9987">
        <v>0.53269109999999997</v>
      </c>
      <c r="F9987" t="s">
        <v>75</v>
      </c>
      <c r="G9987">
        <v>-168.41299999999899</v>
      </c>
      <c r="H9987">
        <v>0.50970839999999995</v>
      </c>
      <c r="I9987">
        <v>199.399</v>
      </c>
      <c r="J9987">
        <v>-188.36600000000001</v>
      </c>
      <c r="K9987">
        <v>1.1092229999999901</v>
      </c>
      <c r="L9987">
        <v>41.82629</v>
      </c>
      <c r="M9987">
        <v>6.1488309999999996E-3</v>
      </c>
      <c r="N9987">
        <v>0</v>
      </c>
      <c r="O9987">
        <v>0.99989839999999997</v>
      </c>
      <c r="P9987">
        <v>4.0719390000000001E-2</v>
      </c>
      <c r="Q9987">
        <v>4.8723909999999898E-3</v>
      </c>
      <c r="R9987">
        <v>0.99915869999999996</v>
      </c>
      <c r="S9987">
        <v>0.37736510000000001</v>
      </c>
      <c r="T9987">
        <v>-1.133573E-2</v>
      </c>
      <c r="U9987">
        <v>2.987457</v>
      </c>
      <c r="V9987">
        <v>3.4591959999999998E-2</v>
      </c>
      <c r="W9987">
        <v>1.768575E-2</v>
      </c>
      <c r="X9987">
        <v>0.99924500000000005</v>
      </c>
      <c r="Y9987">
        <v>0.1192165</v>
      </c>
      <c r="Z9987">
        <v>-3.7658140000000001E-3</v>
      </c>
      <c r="AA9987">
        <v>0.9928612</v>
      </c>
      <c r="AB9987">
        <v>40</v>
      </c>
      <c r="AC9987">
        <v>19.952999999999999</v>
      </c>
      <c r="AD9987">
        <v>-0.59951459999999901</v>
      </c>
      <c r="AE9987">
        <v>157.57271</v>
      </c>
      <c r="AF9987">
        <v>18.9833841894697</v>
      </c>
      <c r="AG9987">
        <v>-0.59951459999999901</v>
      </c>
      <c r="AH9987">
        <v>157.69018184500101</v>
      </c>
      <c r="AI9987">
        <v>90.2162675187774</v>
      </c>
      <c r="AJ9987">
        <v>83.135534975015105</v>
      </c>
      <c r="AK9987">
        <v>158.829851549859</v>
      </c>
      <c r="AL9987">
        <v>88.986628314221605</v>
      </c>
      <c r="AM9987">
        <v>88.017320936017001</v>
      </c>
      <c r="AN9987">
        <v>0.999999979737351</v>
      </c>
    </row>
    <row r="9988" spans="1:40" x14ac:dyDescent="0.25">
      <c r="A9988" t="str">
        <f>"20190312154148356"</f>
        <v>20190312154148356</v>
      </c>
      <c r="B9988" t="str">
        <f>"1552376508346119"</f>
        <v>1552376508346119</v>
      </c>
      <c r="C9988" t="s">
        <v>40</v>
      </c>
      <c r="D9988">
        <v>4.2317729999999996</v>
      </c>
      <c r="E9988">
        <v>0.53292169999999905</v>
      </c>
      <c r="F9988" t="s">
        <v>75</v>
      </c>
      <c r="G9988">
        <v>-168.4135</v>
      </c>
      <c r="H9988">
        <v>0.44154739999999998</v>
      </c>
      <c r="I9988">
        <v>197.9109</v>
      </c>
      <c r="J9988">
        <v>-188.3631</v>
      </c>
      <c r="K9988">
        <v>1.1092630000000001</v>
      </c>
      <c r="L9988">
        <v>42.237340000000003</v>
      </c>
      <c r="M9988">
        <v>6.4844909999999898E-3</v>
      </c>
      <c r="N9988">
        <v>0</v>
      </c>
      <c r="O9988">
        <v>0.99989240000000001</v>
      </c>
      <c r="P9988">
        <v>4.187258E-2</v>
      </c>
      <c r="Q9988">
        <v>5.3589880000000003E-3</v>
      </c>
      <c r="R9988">
        <v>0.99910860000000001</v>
      </c>
      <c r="S9988">
        <v>0.38183590000000001</v>
      </c>
      <c r="T9988">
        <v>-1.2776849999999999E-2</v>
      </c>
      <c r="U9988">
        <v>2.9870299999999999</v>
      </c>
      <c r="V9988">
        <v>3.5409910000000003E-2</v>
      </c>
      <c r="W9988">
        <v>1.8479550000000001E-2</v>
      </c>
      <c r="X9988">
        <v>0.99920200000000003</v>
      </c>
      <c r="Y9988">
        <v>0.120363</v>
      </c>
      <c r="Z9988">
        <v>-4.2444520000000001E-3</v>
      </c>
      <c r="AA9988">
        <v>0.99272090000000002</v>
      </c>
      <c r="AB9988">
        <v>40</v>
      </c>
      <c r="AC9988">
        <v>19.9496</v>
      </c>
      <c r="AD9988">
        <v>-0.66771559999999897</v>
      </c>
      <c r="AE9988">
        <v>155.67356000000001</v>
      </c>
      <c r="AF9988">
        <v>18.939286495583101</v>
      </c>
      <c r="AG9988">
        <v>-0.66771559999999897</v>
      </c>
      <c r="AH9988">
        <v>155.79684074536101</v>
      </c>
      <c r="AI9988">
        <v>90.2437627878965</v>
      </c>
      <c r="AJ9988">
        <v>83.068904710490102</v>
      </c>
      <c r="AK9988">
        <v>156.94520700970699</v>
      </c>
      <c r="AL9988">
        <v>88.941139502078897</v>
      </c>
      <c r="AM9988">
        <v>87.970390652305198</v>
      </c>
      <c r="AN9988">
        <v>0.99999999614920498</v>
      </c>
    </row>
    <row r="9989" spans="1:40" x14ac:dyDescent="0.25">
      <c r="A9989" t="str">
        <f>"20190312154148379"</f>
        <v>20190312154148379</v>
      </c>
      <c r="B9989" t="str">
        <f>"1552376508375904"</f>
        <v>1552376508375904</v>
      </c>
      <c r="C9989" t="s">
        <v>40</v>
      </c>
      <c r="D9989">
        <v>4.2371759999999998</v>
      </c>
      <c r="E9989">
        <v>0.53297510000000003</v>
      </c>
      <c r="F9989" t="s">
        <v>75</v>
      </c>
      <c r="G9989">
        <v>-168.41409999999999</v>
      </c>
      <c r="H9989">
        <v>0.50527100000000003</v>
      </c>
      <c r="I9989">
        <v>196.1276</v>
      </c>
      <c r="J9989">
        <v>-188.3603</v>
      </c>
      <c r="K9989">
        <v>1.109289</v>
      </c>
      <c r="L9989">
        <v>42.628169999999997</v>
      </c>
      <c r="M9989">
        <v>6.7818590000000003E-3</v>
      </c>
      <c r="N9989">
        <v>0</v>
      </c>
      <c r="O9989">
        <v>0.99988699999999997</v>
      </c>
      <c r="P9989">
        <v>4.2791200000000001E-2</v>
      </c>
      <c r="Q9989">
        <v>5.5652269999999998E-3</v>
      </c>
      <c r="R9989">
        <v>0.99906859999999997</v>
      </c>
      <c r="S9989">
        <v>0.38714599999999999</v>
      </c>
      <c r="T9989">
        <v>-1.1720899999999999E-2</v>
      </c>
      <c r="U9989">
        <v>2.9865110000000001</v>
      </c>
      <c r="V9989">
        <v>3.6031059999999997E-2</v>
      </c>
      <c r="W9989">
        <v>1.8938190000000001E-2</v>
      </c>
      <c r="X9989">
        <v>0.99917120000000004</v>
      </c>
      <c r="Y9989">
        <v>0.1218258</v>
      </c>
      <c r="Z9989">
        <v>-3.8935409999999999E-3</v>
      </c>
      <c r="AA9989">
        <v>0.99254390000000003</v>
      </c>
      <c r="AB9989">
        <v>40</v>
      </c>
      <c r="AC9989">
        <v>19.946200000000001</v>
      </c>
      <c r="AD9989">
        <v>-0.60401799999999894</v>
      </c>
      <c r="AE9989">
        <v>153.49942999999999</v>
      </c>
      <c r="AF9989">
        <v>18.904348165584199</v>
      </c>
      <c r="AG9989">
        <v>-0.60401799999999894</v>
      </c>
      <c r="AH9989">
        <v>153.62884451292399</v>
      </c>
      <c r="AI9989">
        <v>90.223580635688904</v>
      </c>
      <c r="AJ9989">
        <v>82.984900680153999</v>
      </c>
      <c r="AK9989">
        <v>154.78876278233599</v>
      </c>
      <c r="AL9989">
        <v>88.914856758174096</v>
      </c>
      <c r="AM9989">
        <v>87.934754812877799</v>
      </c>
      <c r="AN9989">
        <v>0.99999998961731895</v>
      </c>
    </row>
    <row r="9990" spans="1:40" x14ac:dyDescent="0.25">
      <c r="A9990" t="str">
        <f>"20190312154148400"</f>
        <v>20190312154148400</v>
      </c>
      <c r="B9990" t="str">
        <f>"1552376508385664"</f>
        <v>1552376508385664</v>
      </c>
      <c r="C9990" t="s">
        <v>40</v>
      </c>
      <c r="D9990">
        <v>4.2526000000000002</v>
      </c>
      <c r="E9990">
        <v>0.53299700000000005</v>
      </c>
      <c r="F9990" t="s">
        <v>75</v>
      </c>
      <c r="G9990">
        <v>-168.4144</v>
      </c>
      <c r="H9990">
        <v>0.50404170000000004</v>
      </c>
      <c r="I9990">
        <v>195.14680000000001</v>
      </c>
      <c r="J9990">
        <v>-188.35740000000001</v>
      </c>
      <c r="K9990">
        <v>1.109313</v>
      </c>
      <c r="L9990">
        <v>43.011539999999997</v>
      </c>
      <c r="M9990">
        <v>7.0497219999999996E-3</v>
      </c>
      <c r="N9990">
        <v>0</v>
      </c>
      <c r="O9990">
        <v>0.9998823</v>
      </c>
      <c r="P9990">
        <v>4.3858040000000001E-2</v>
      </c>
      <c r="Q9990">
        <v>4.8121350000000004E-3</v>
      </c>
      <c r="R9990">
        <v>0.99902619999999998</v>
      </c>
      <c r="S9990">
        <v>0.39051819999999998</v>
      </c>
      <c r="T9990">
        <v>-1.18494E-2</v>
      </c>
      <c r="U9990">
        <v>2.986145</v>
      </c>
      <c r="V9990">
        <v>3.6828989999999999E-2</v>
      </c>
      <c r="W9990">
        <v>1.840089E-2</v>
      </c>
      <c r="X9990">
        <v>0.99915220000000005</v>
      </c>
      <c r="Y9990">
        <v>0.12267749999999999</v>
      </c>
      <c r="Z9990">
        <v>-3.9362039999999996E-3</v>
      </c>
      <c r="AA9990">
        <v>0.99243879999999995</v>
      </c>
      <c r="AB9990">
        <v>40</v>
      </c>
      <c r="AC9990">
        <v>19.943000000000001</v>
      </c>
      <c r="AD9990">
        <v>-0.60527129999999996</v>
      </c>
      <c r="AE9990">
        <v>152.13525999999999</v>
      </c>
      <c r="AF9990">
        <v>18.869599820974202</v>
      </c>
      <c r="AG9990">
        <v>-0.60527129999999996</v>
      </c>
      <c r="AH9990">
        <v>152.269714970748</v>
      </c>
      <c r="AI9990">
        <v>90.226020381617502</v>
      </c>
      <c r="AJ9990">
        <v>82.935794386080204</v>
      </c>
      <c r="AK9990">
        <v>153.43563552194499</v>
      </c>
      <c r="AL9990">
        <v>88.9456472039885</v>
      </c>
      <c r="AM9990">
        <v>87.889019510716693</v>
      </c>
      <c r="AN9990">
        <v>1.0000000430110201</v>
      </c>
    </row>
    <row r="9991" spans="1:40" x14ac:dyDescent="0.25">
      <c r="A9991" t="str">
        <f>"20190312154148422"</f>
        <v>20190312154148422</v>
      </c>
      <c r="B9991" t="str">
        <f>"1552376508415921"</f>
        <v>1552376508415921</v>
      </c>
      <c r="C9991" t="s">
        <v>40</v>
      </c>
      <c r="D9991">
        <v>4.2721080000000002</v>
      </c>
      <c r="E9991">
        <v>0.53311739999999996</v>
      </c>
      <c r="F9991" t="s">
        <v>75</v>
      </c>
      <c r="G9991">
        <v>-168.41470000000001</v>
      </c>
      <c r="H9991">
        <v>0.38130380000000003</v>
      </c>
      <c r="I9991">
        <v>194.27289999999999</v>
      </c>
      <c r="J9991">
        <v>-188.3544</v>
      </c>
      <c r="K9991">
        <v>1.1093390000000001</v>
      </c>
      <c r="L9991">
        <v>43.400179999999999</v>
      </c>
      <c r="M9991">
        <v>7.3006019999999998E-3</v>
      </c>
      <c r="N9991">
        <v>0</v>
      </c>
      <c r="O9991">
        <v>0.99987789999999999</v>
      </c>
      <c r="P9991">
        <v>4.4911550000000001E-2</v>
      </c>
      <c r="Q9991">
        <v>3.7669069999999999E-3</v>
      </c>
      <c r="R9991">
        <v>0.99898390000000004</v>
      </c>
      <c r="S9991">
        <v>0.3936462</v>
      </c>
      <c r="T9991">
        <v>-1.4369369999999999E-2</v>
      </c>
      <c r="U9991">
        <v>2.9857179999999999</v>
      </c>
      <c r="V9991">
        <v>3.7630379999999998E-2</v>
      </c>
      <c r="W9991">
        <v>1.7545580000000002E-2</v>
      </c>
      <c r="X9991">
        <v>0.99913770000000002</v>
      </c>
      <c r="Y9991">
        <v>0.1234683</v>
      </c>
      <c r="Z9991">
        <v>-4.7733879999999999E-3</v>
      </c>
      <c r="AA9991">
        <v>0.99233700000000002</v>
      </c>
      <c r="AB9991">
        <v>39</v>
      </c>
      <c r="AC9991">
        <v>19.939699999999899</v>
      </c>
      <c r="AD9991">
        <v>-0.72803519999999899</v>
      </c>
      <c r="AE9991">
        <v>150.87271999999999</v>
      </c>
      <c r="AF9991">
        <v>18.837170586453901</v>
      </c>
      <c r="AG9991">
        <v>-0.72803519999999899</v>
      </c>
      <c r="AH9991">
        <v>151.010828242446</v>
      </c>
      <c r="AI9991">
        <v>90.274101095480603</v>
      </c>
      <c r="AJ9991">
        <v>82.889621999586495</v>
      </c>
      <c r="AK9991">
        <v>152.182913881373</v>
      </c>
      <c r="AL9991">
        <v>88.994660748866096</v>
      </c>
      <c r="AM9991">
        <v>87.843096731396898</v>
      </c>
      <c r="AN9991">
        <v>1.00000001821888</v>
      </c>
    </row>
    <row r="9992" spans="1:40" x14ac:dyDescent="0.25">
      <c r="A9992" t="str">
        <f>"20190312154148445"</f>
        <v>20190312154148445</v>
      </c>
      <c r="B9992" t="str">
        <f>"1552376508436417"</f>
        <v>1552376508436417</v>
      </c>
      <c r="C9992" t="s">
        <v>40</v>
      </c>
      <c r="D9992">
        <v>4.2551079999999999</v>
      </c>
      <c r="E9992">
        <v>0.53321770000000002</v>
      </c>
      <c r="F9992" t="s">
        <v>75</v>
      </c>
      <c r="G9992">
        <v>-169.40010000000001</v>
      </c>
      <c r="H9992">
        <v>0.2279795</v>
      </c>
      <c r="I9992">
        <v>185.65209999999999</v>
      </c>
      <c r="J9992">
        <v>-188.35120000000001</v>
      </c>
      <c r="K9992">
        <v>1.10937</v>
      </c>
      <c r="L9992">
        <v>43.805790000000002</v>
      </c>
      <c r="M9992">
        <v>7.5400249999999997E-3</v>
      </c>
      <c r="N9992">
        <v>0</v>
      </c>
      <c r="O9992">
        <v>0.99987369999999998</v>
      </c>
      <c r="P9992">
        <v>4.5841750000000001E-2</v>
      </c>
      <c r="Q9992">
        <v>2.9187990000000001E-3</v>
      </c>
      <c r="R9992">
        <v>0.99894450000000001</v>
      </c>
      <c r="S9992">
        <v>0.39776610000000001</v>
      </c>
      <c r="T9992">
        <v>-1.8495080000000001E-2</v>
      </c>
      <c r="U9992">
        <v>2.9852289999999999</v>
      </c>
      <c r="V9992">
        <v>3.8320130000000001E-2</v>
      </c>
      <c r="W9992">
        <v>1.6869519999999999E-2</v>
      </c>
      <c r="X9992">
        <v>0.99912310000000004</v>
      </c>
      <c r="Y9992">
        <v>0.1245965</v>
      </c>
      <c r="Z9992">
        <v>-6.1438600000000001E-3</v>
      </c>
      <c r="AA9992">
        <v>0.99218850000000003</v>
      </c>
      <c r="AB9992">
        <v>39</v>
      </c>
      <c r="AC9992">
        <v>18.9511</v>
      </c>
      <c r="AD9992">
        <v>-0.88139049999999997</v>
      </c>
      <c r="AE9992">
        <v>141.84630999999999</v>
      </c>
      <c r="AF9992">
        <v>17.880253522760501</v>
      </c>
      <c r="AG9992">
        <v>-0.88139049999999997</v>
      </c>
      <c r="AH9992">
        <v>141.97979706902299</v>
      </c>
      <c r="AI9992">
        <v>90.3528922287027</v>
      </c>
      <c r="AJ9992">
        <v>82.822231324090396</v>
      </c>
      <c r="AK9992">
        <v>143.10395903332901</v>
      </c>
      <c r="AL9992">
        <v>89.033401843337899</v>
      </c>
      <c r="AM9992">
        <v>87.803567855084793</v>
      </c>
      <c r="AN9992">
        <v>0.99999999101092796</v>
      </c>
    </row>
    <row r="9993" spans="1:40" x14ac:dyDescent="0.25">
      <c r="A9993" t="str">
        <f>"20190312154148467"</f>
        <v>20190312154148467</v>
      </c>
      <c r="B9993" t="str">
        <f>"1552376508455939"</f>
        <v>1552376508455939</v>
      </c>
      <c r="C9993" t="s">
        <v>40</v>
      </c>
      <c r="D9993">
        <v>4.2639809999999896</v>
      </c>
      <c r="E9993">
        <v>0.53324579999999999</v>
      </c>
      <c r="F9993" t="s">
        <v>75</v>
      </c>
      <c r="G9993">
        <v>-169.40039999999999</v>
      </c>
      <c r="H9993">
        <v>0.1025973</v>
      </c>
      <c r="I9993">
        <v>184.7567</v>
      </c>
      <c r="J9993">
        <v>-188.34809999999999</v>
      </c>
      <c r="K9993">
        <v>1.1094029999999999</v>
      </c>
      <c r="L9993">
        <v>44.187899999999999</v>
      </c>
      <c r="M9993">
        <v>7.7465559999999999E-3</v>
      </c>
      <c r="N9993">
        <v>0</v>
      </c>
      <c r="O9993">
        <v>0.99987020000000004</v>
      </c>
      <c r="P9993">
        <v>4.6488050000000003E-2</v>
      </c>
      <c r="Q9993">
        <v>2.6672359999999999E-3</v>
      </c>
      <c r="R9993">
        <v>0.99891529999999995</v>
      </c>
      <c r="S9993">
        <v>0.4013062</v>
      </c>
      <c r="T9993">
        <v>-2.131891E-2</v>
      </c>
      <c r="U9993">
        <v>2.9848020000000002</v>
      </c>
      <c r="V9993">
        <v>3.875932E-2</v>
      </c>
      <c r="W9993">
        <v>1.6757959999999999E-2</v>
      </c>
      <c r="X9993">
        <v>0.999108</v>
      </c>
      <c r="Y9993">
        <v>0.12556529999999999</v>
      </c>
      <c r="Z9993">
        <v>-7.0818610000000001E-3</v>
      </c>
      <c r="AA9993">
        <v>0.9920601</v>
      </c>
      <c r="AB9993">
        <v>39</v>
      </c>
      <c r="AC9993">
        <v>18.947700000000001</v>
      </c>
      <c r="AD9993">
        <v>-1.0068056999999999</v>
      </c>
      <c r="AE9993">
        <v>140.56880000000001</v>
      </c>
      <c r="AF9993">
        <v>17.857198883778199</v>
      </c>
      <c r="AG9993">
        <v>-1.0068056999999999</v>
      </c>
      <c r="AH9993">
        <v>140.70428619813401</v>
      </c>
      <c r="AI9993">
        <v>90.406709180437304</v>
      </c>
      <c r="AJ9993">
        <v>82.767090294139606</v>
      </c>
      <c r="AK9993">
        <v>141.836488127064</v>
      </c>
      <c r="AL9993">
        <v>89.0397946295667</v>
      </c>
      <c r="AM9993">
        <v>87.778385913241394</v>
      </c>
      <c r="AN9993">
        <v>0.99999995488711102</v>
      </c>
    </row>
    <row r="9994" spans="1:40" x14ac:dyDescent="0.25">
      <c r="A9994" t="str">
        <f>"20190312154148488"</f>
        <v>20190312154148488</v>
      </c>
      <c r="B9994" t="str">
        <f>"1552376508475967"</f>
        <v>1552376508475967</v>
      </c>
      <c r="C9994" t="s">
        <v>40</v>
      </c>
      <c r="D9994">
        <v>4.2594070000000004</v>
      </c>
      <c r="E9994">
        <v>0.53325649999999902</v>
      </c>
      <c r="F9994" t="s">
        <v>75</v>
      </c>
      <c r="G9994">
        <v>-169.39169999999999</v>
      </c>
      <c r="H9994">
        <v>7.9479279999999999E-2</v>
      </c>
      <c r="I9994">
        <v>184.3837</v>
      </c>
      <c r="J9994">
        <v>-188.345</v>
      </c>
      <c r="K9994">
        <v>1.109432</v>
      </c>
      <c r="L9994">
        <v>44.567439999999998</v>
      </c>
      <c r="M9994">
        <v>7.9353830000000007E-3</v>
      </c>
      <c r="N9994">
        <v>0</v>
      </c>
      <c r="O9994">
        <v>0.99986699999999995</v>
      </c>
      <c r="P9994">
        <v>4.7311239999999997E-2</v>
      </c>
      <c r="Q9994">
        <v>2.3885109999999998E-3</v>
      </c>
      <c r="R9994">
        <v>0.99887729999999997</v>
      </c>
      <c r="S9994">
        <v>0.4035492</v>
      </c>
      <c r="T9994">
        <v>-2.1924610000000001E-2</v>
      </c>
      <c r="U9994">
        <v>2.9845280000000001</v>
      </c>
      <c r="V9994">
        <v>3.9393209999999998E-2</v>
      </c>
      <c r="W9994">
        <v>1.659967E-2</v>
      </c>
      <c r="X9994">
        <v>0.99908589999999997</v>
      </c>
      <c r="Y9994">
        <v>0.12612200000000001</v>
      </c>
      <c r="Z9994">
        <v>-7.2830819999999998E-3</v>
      </c>
      <c r="AA9994">
        <v>0.99198799999999998</v>
      </c>
      <c r="AB9994">
        <v>39</v>
      </c>
      <c r="AC9994">
        <v>18.953299999999999</v>
      </c>
      <c r="AD9994">
        <v>-1.02995272</v>
      </c>
      <c r="AE9994">
        <v>139.81626</v>
      </c>
      <c r="AF9994">
        <v>17.842144179711699</v>
      </c>
      <c r="AG9994">
        <v>-1.02995272</v>
      </c>
      <c r="AH9994">
        <v>139.95481626833001</v>
      </c>
      <c r="AI9994">
        <v>90.4182573283599</v>
      </c>
      <c r="AJ9994">
        <v>82.734835459882206</v>
      </c>
      <c r="AK9994">
        <v>141.091294941385</v>
      </c>
      <c r="AL9994">
        <v>89.048865288142906</v>
      </c>
      <c r="AM9994">
        <v>87.742039894867702</v>
      </c>
      <c r="AN9994">
        <v>1.00000000480851</v>
      </c>
    </row>
    <row r="9995" spans="1:40" x14ac:dyDescent="0.25">
      <c r="A9995" t="str">
        <f>"20190312154148503"</f>
        <v>20190312154148503</v>
      </c>
      <c r="B9995" t="str">
        <f>"1552376508496460"</f>
        <v>1552376508496460</v>
      </c>
      <c r="C9995" t="s">
        <v>40</v>
      </c>
      <c r="D9995">
        <v>4.2607799999999996</v>
      </c>
      <c r="E9995">
        <v>0.5332344</v>
      </c>
      <c r="F9995" t="s">
        <v>75</v>
      </c>
      <c r="G9995">
        <v>-169.32060000000001</v>
      </c>
      <c r="H9995">
        <v>3.4309270000000003E-2</v>
      </c>
      <c r="I9995">
        <v>184.3837</v>
      </c>
      <c r="J9995">
        <v>-188.34280000000001</v>
      </c>
      <c r="K9995">
        <v>1.109451</v>
      </c>
      <c r="L9995">
        <v>44.827939999999998</v>
      </c>
      <c r="M9995">
        <v>8.0576999999999992E-3</v>
      </c>
      <c r="N9995">
        <v>0</v>
      </c>
      <c r="O9995">
        <v>0.999865</v>
      </c>
      <c r="P9995">
        <v>4.7404309999999998E-2</v>
      </c>
      <c r="Q9995">
        <v>2.049553E-3</v>
      </c>
      <c r="R9995">
        <v>0.99887369999999998</v>
      </c>
      <c r="S9995">
        <v>0.40605160000000001</v>
      </c>
      <c r="T9995">
        <v>-2.2946359999999999E-2</v>
      </c>
      <c r="U9995">
        <v>2.9841920000000002</v>
      </c>
      <c r="V9995">
        <v>3.9363429999999998E-2</v>
      </c>
      <c r="W9995">
        <v>1.633459E-2</v>
      </c>
      <c r="X9995">
        <v>0.99909139999999996</v>
      </c>
      <c r="Y9995">
        <v>0.1268319</v>
      </c>
      <c r="Z9995">
        <v>-7.6225379999999999E-3</v>
      </c>
      <c r="AA9995">
        <v>0.99189499999999997</v>
      </c>
      <c r="AB9995">
        <v>39</v>
      </c>
      <c r="AC9995">
        <v>19.022200000000002</v>
      </c>
      <c r="AD9995">
        <v>-1.0751417299999999</v>
      </c>
      <c r="AE9995">
        <v>139.55575999999999</v>
      </c>
      <c r="AF9995">
        <v>17.895925797130001</v>
      </c>
      <c r="AG9995">
        <v>-1.0751417299999999</v>
      </c>
      <c r="AH9995">
        <v>139.696379424996</v>
      </c>
      <c r="AI9995">
        <v>90.437381149926097</v>
      </c>
      <c r="AJ9995">
        <v>82.6998358200741</v>
      </c>
      <c r="AK9995">
        <v>140.842104905914</v>
      </c>
      <c r="AL9995">
        <v>89.064055272932094</v>
      </c>
      <c r="AM9995">
        <v>87.743757483177106</v>
      </c>
      <c r="AN9995">
        <v>0.99999996200289498</v>
      </c>
    </row>
    <row r="9996" spans="1:40" x14ac:dyDescent="0.25">
      <c r="A9996" t="str">
        <f>"20190312154148522"</f>
        <v>20190312154148522</v>
      </c>
      <c r="B9996" t="str">
        <f>"1552376508515979"</f>
        <v>1552376508515979</v>
      </c>
      <c r="C9996" t="s">
        <v>40</v>
      </c>
      <c r="D9996">
        <v>4.2914510000000003</v>
      </c>
      <c r="E9996">
        <v>0.51206049999999903</v>
      </c>
      <c r="F9996" t="s">
        <v>75</v>
      </c>
      <c r="G9996">
        <v>-169.34649999999999</v>
      </c>
      <c r="H9996">
        <v>2.5973380000000001E-2</v>
      </c>
      <c r="I9996">
        <v>184.3837</v>
      </c>
      <c r="J9996">
        <v>-188.34</v>
      </c>
      <c r="K9996">
        <v>1.109475</v>
      </c>
      <c r="L9996">
        <v>45.164250000000003</v>
      </c>
      <c r="M9996">
        <v>8.2086269999999996E-3</v>
      </c>
      <c r="N9996">
        <v>0</v>
      </c>
      <c r="O9996">
        <v>0.99986260000000005</v>
      </c>
      <c r="P9996">
        <v>4.7470079999999998E-2</v>
      </c>
      <c r="Q9996">
        <v>1.5793090000000001E-3</v>
      </c>
      <c r="R9996">
        <v>0.99887139999999996</v>
      </c>
      <c r="S9996">
        <v>0.40620420000000002</v>
      </c>
      <c r="T9996">
        <v>-2.3167610000000002E-2</v>
      </c>
      <c r="U9996">
        <v>2.9841609999999998</v>
      </c>
      <c r="V9996">
        <v>3.9277649999999997E-2</v>
      </c>
      <c r="W9996">
        <v>1.594887E-2</v>
      </c>
      <c r="X9996">
        <v>0.99910100000000002</v>
      </c>
      <c r="Y9996">
        <v>0.12673329999999999</v>
      </c>
      <c r="Z9996">
        <v>-7.6961159999999898E-3</v>
      </c>
      <c r="AA9996">
        <v>0.99190699999999998</v>
      </c>
      <c r="AB9996">
        <v>39</v>
      </c>
      <c r="AC9996">
        <v>18.993500000000001</v>
      </c>
      <c r="AD9996">
        <v>-1.0835016200000001</v>
      </c>
      <c r="AE9996">
        <v>139.21944999999999</v>
      </c>
      <c r="AF9996">
        <v>17.848879531673301</v>
      </c>
      <c r="AG9996">
        <v>-1.0835016200000001</v>
      </c>
      <c r="AH9996">
        <v>139.36239829274101</v>
      </c>
      <c r="AI9996">
        <v>90.441839916317804</v>
      </c>
      <c r="AJ9996">
        <v>82.701559488553698</v>
      </c>
      <c r="AK9996">
        <v>140.50492708158399</v>
      </c>
      <c r="AL9996">
        <v>89.086158274589494</v>
      </c>
      <c r="AM9996">
        <v>87.748690786970201</v>
      </c>
      <c r="AN9996">
        <v>0.99999995422239796</v>
      </c>
    </row>
    <row r="9997" spans="1:40" x14ac:dyDescent="0.25">
      <c r="A9997" t="str">
        <f>"20190312154148546"</f>
        <v>20190312154148546</v>
      </c>
      <c r="B9997" t="str">
        <f>"1552376508536482"</f>
        <v>1552376508536482</v>
      </c>
      <c r="C9997" t="s">
        <v>40</v>
      </c>
      <c r="D9997">
        <v>4.3072150000000002</v>
      </c>
      <c r="E9997">
        <v>0.49947150000000001</v>
      </c>
      <c r="F9997" t="s">
        <v>57</v>
      </c>
      <c r="G9997">
        <v>-168.1721</v>
      </c>
      <c r="H9997">
        <v>3.2910499999999998</v>
      </c>
      <c r="I9997">
        <v>297.38529999999997</v>
      </c>
      <c r="J9997">
        <v>-188.3365</v>
      </c>
      <c r="K9997">
        <v>1.1094949999999999</v>
      </c>
      <c r="L9997">
        <v>45.56964</v>
      </c>
      <c r="M9997">
        <v>8.3832560000000004E-3</v>
      </c>
      <c r="N9997">
        <v>0</v>
      </c>
      <c r="O9997">
        <v>0.99985990000000002</v>
      </c>
      <c r="P9997">
        <v>4.6946460000000002E-2</v>
      </c>
      <c r="Q9997">
        <v>9.3822230000000005E-4</v>
      </c>
      <c r="R9997">
        <v>0.99889700000000003</v>
      </c>
      <c r="S9997">
        <v>0.2392426</v>
      </c>
      <c r="T9997">
        <v>2.5879860000000001E-2</v>
      </c>
      <c r="U9997">
        <v>2.9919739999999999</v>
      </c>
      <c r="V9997">
        <v>3.8578479999999998E-2</v>
      </c>
      <c r="W9997">
        <v>1.5396760000000001E-2</v>
      </c>
      <c r="X9997">
        <v>0.99913689999999999</v>
      </c>
      <c r="Y9997">
        <v>7.1343799999999999E-2</v>
      </c>
      <c r="Z9997">
        <v>8.6241990000000008E-3</v>
      </c>
      <c r="AA9997">
        <v>0.99741449999999998</v>
      </c>
      <c r="AB9997">
        <v>39</v>
      </c>
      <c r="AC9997">
        <v>20.164400000000001</v>
      </c>
      <c r="AD9997">
        <v>2.1815549999999901</v>
      </c>
      <c r="AE9997">
        <v>251.81566000000001</v>
      </c>
      <c r="AF9997">
        <v>18.051088387107502</v>
      </c>
      <c r="AG9997">
        <v>2.1815549999999901</v>
      </c>
      <c r="AH9997">
        <v>251.957080783289</v>
      </c>
      <c r="AI9997">
        <v>89.505188581345607</v>
      </c>
      <c r="AJ9997">
        <v>85.902131130130897</v>
      </c>
      <c r="AK9997">
        <v>252.61229489281399</v>
      </c>
      <c r="AL9997">
        <v>89.117795733335598</v>
      </c>
      <c r="AM9997">
        <v>87.788804918186102</v>
      </c>
      <c r="AN9997">
        <v>0.99999995213960702</v>
      </c>
    </row>
    <row r="9998" spans="1:40" x14ac:dyDescent="0.25">
      <c r="A9998" t="str">
        <f>"20190312154148568"</f>
        <v>20190312154148568</v>
      </c>
      <c r="B9998" t="str">
        <f>"1552376508555996"</f>
        <v>1552376508555996</v>
      </c>
      <c r="C9998" t="s">
        <v>40</v>
      </c>
      <c r="D9998">
        <v>4.288284</v>
      </c>
      <c r="E9998">
        <v>0.4922106</v>
      </c>
      <c r="F9998" t="s">
        <v>50</v>
      </c>
      <c r="G9998">
        <v>0</v>
      </c>
      <c r="H9998">
        <v>0</v>
      </c>
      <c r="I9998">
        <v>0</v>
      </c>
      <c r="J9998">
        <v>-188.333</v>
      </c>
      <c r="K9998">
        <v>1.1095159999999999</v>
      </c>
      <c r="L9998">
        <v>45.967350000000003</v>
      </c>
      <c r="M9998">
        <v>8.5500530000000002E-3</v>
      </c>
      <c r="N9998">
        <v>0</v>
      </c>
      <c r="O9998">
        <v>0.99985740000000001</v>
      </c>
      <c r="P9998">
        <v>4.6555899999999997E-2</v>
      </c>
      <c r="Q9998">
        <v>8.0429609999999995E-4</v>
      </c>
      <c r="R9998">
        <v>0.99891540000000001</v>
      </c>
      <c r="S9998">
        <v>0.13699339999999999</v>
      </c>
      <c r="T9998">
        <v>1.395917E-2</v>
      </c>
      <c r="U9998">
        <v>2.9968569999999999</v>
      </c>
      <c r="V9998">
        <v>3.8020680000000001E-2</v>
      </c>
      <c r="W9998">
        <v>1.5337170000000001E-2</v>
      </c>
      <c r="X9998">
        <v>0.99915920000000003</v>
      </c>
      <c r="Y9998">
        <v>3.7120479999999997E-2</v>
      </c>
      <c r="Z9998">
        <v>4.6535959999999899E-3</v>
      </c>
      <c r="AA9998">
        <v>0.99929990000000002</v>
      </c>
      <c r="AB9998">
        <v>39</v>
      </c>
      <c r="AC9998">
        <v>0.13699339999999999</v>
      </c>
      <c r="AD9998">
        <v>1.395917E-2</v>
      </c>
      <c r="AE9998">
        <v>2.9968569999999999</v>
      </c>
      <c r="AF9998">
        <v>0.11135997677374</v>
      </c>
      <c r="AG9998">
        <v>1.395917E-2</v>
      </c>
      <c r="AH9998">
        <v>2.9978539526580801</v>
      </c>
      <c r="AI9998">
        <v>89.733394444440194</v>
      </c>
      <c r="AJ9998">
        <v>87.872636734135199</v>
      </c>
      <c r="AK9998">
        <v>2.9999540370348701</v>
      </c>
      <c r="AL9998">
        <v>89.121210393762397</v>
      </c>
      <c r="AM9998">
        <v>87.820793769903105</v>
      </c>
      <c r="AN9998">
        <v>0.99999995391795404</v>
      </c>
    </row>
    <row r="9999" spans="1:40" x14ac:dyDescent="0.25">
      <c r="A9999" t="str">
        <f>"20190312154148591"</f>
        <v>20190312154148591</v>
      </c>
      <c r="B9999" t="str">
        <f>"1552376508585782"</f>
        <v>1552376508585782</v>
      </c>
      <c r="C9999" t="s">
        <v>40</v>
      </c>
      <c r="D9999">
        <v>4.2987539999999997</v>
      </c>
      <c r="E9999">
        <v>0.48663030000000002</v>
      </c>
      <c r="F9999" t="s">
        <v>51</v>
      </c>
      <c r="G9999">
        <v>-179.3468</v>
      </c>
      <c r="H9999">
        <v>2.4229769999999999</v>
      </c>
      <c r="I9999">
        <v>391.87</v>
      </c>
      <c r="J9999">
        <v>-188.3296</v>
      </c>
      <c r="K9999">
        <v>1.1095330000000001</v>
      </c>
      <c r="L9999">
        <v>46.34787</v>
      </c>
      <c r="M9999">
        <v>8.7070519999999998E-3</v>
      </c>
      <c r="N9999">
        <v>0</v>
      </c>
      <c r="O9999">
        <v>0.99985520000000006</v>
      </c>
      <c r="P9999">
        <v>4.5767740000000001E-2</v>
      </c>
      <c r="Q9999">
        <v>1.198981E-3</v>
      </c>
      <c r="R9999">
        <v>0.99895140000000004</v>
      </c>
      <c r="S9999">
        <v>7.7926640000000005E-2</v>
      </c>
      <c r="T9999">
        <v>1.139009E-2</v>
      </c>
      <c r="U9999">
        <v>2.999603</v>
      </c>
      <c r="V9999">
        <v>3.7075259999999999E-2</v>
      </c>
      <c r="W9999">
        <v>1.579297E-2</v>
      </c>
      <c r="X9999">
        <v>0.99918759999999995</v>
      </c>
      <c r="Y9999">
        <v>1.7263999999999901E-2</v>
      </c>
      <c r="Z9999">
        <v>3.7960329999999999E-3</v>
      </c>
      <c r="AA9999">
        <v>0.99984379999999995</v>
      </c>
      <c r="AB9999">
        <v>39</v>
      </c>
      <c r="AC9999">
        <v>8.9827999999999903</v>
      </c>
      <c r="AD9999">
        <v>1.3134439999999901</v>
      </c>
      <c r="AE9999">
        <v>345.52213</v>
      </c>
      <c r="AF9999">
        <v>5.9735723944917902</v>
      </c>
      <c r="AG9999">
        <v>1.3134439999999901</v>
      </c>
      <c r="AH9999">
        <v>345.58226119532702</v>
      </c>
      <c r="AI9999">
        <v>89.782271244988806</v>
      </c>
      <c r="AJ9999">
        <v>89.009710730533399</v>
      </c>
      <c r="AK9999">
        <v>345.63638112208099</v>
      </c>
      <c r="AL9999">
        <v>89.095091787042307</v>
      </c>
      <c r="AM9999">
        <v>87.874991816107894</v>
      </c>
      <c r="AN9999">
        <v>0.99999992639962099</v>
      </c>
    </row>
    <row r="10000" spans="1:40" x14ac:dyDescent="0.25">
      <c r="A10000" t="str">
        <f>"20190312154148612"</f>
        <v>20190312154148612</v>
      </c>
      <c r="B10000" t="str">
        <f>"1552376508606279"</f>
        <v>1552376508606279</v>
      </c>
      <c r="C10000" t="s">
        <v>40</v>
      </c>
      <c r="D10000">
        <v>4.2622280000000003</v>
      </c>
      <c r="E10000">
        <v>0.48461470000000001</v>
      </c>
      <c r="F10000" t="s">
        <v>51</v>
      </c>
      <c r="G10000">
        <v>-184.7852</v>
      </c>
      <c r="H10000">
        <v>1.9541550000000001</v>
      </c>
      <c r="I10000">
        <v>391.87</v>
      </c>
      <c r="J10000">
        <v>-188.3262</v>
      </c>
      <c r="K10000">
        <v>1.1095539999999999</v>
      </c>
      <c r="L10000">
        <v>46.720640000000003</v>
      </c>
      <c r="M10000">
        <v>8.8598400000000008E-3</v>
      </c>
      <c r="N10000">
        <v>0</v>
      </c>
      <c r="O10000">
        <v>0.99985310000000005</v>
      </c>
      <c r="P10000">
        <v>4.5208930000000001E-2</v>
      </c>
      <c r="Q10000">
        <v>1.5332060000000001E-3</v>
      </c>
      <c r="R10000">
        <v>0.99897630000000004</v>
      </c>
      <c r="S10000">
        <v>3.0792239999999999E-2</v>
      </c>
      <c r="T10000">
        <v>7.3376889999999997E-3</v>
      </c>
      <c r="U10000">
        <v>3.0017399999999999</v>
      </c>
      <c r="V10000">
        <v>3.6363520000000003E-2</v>
      </c>
      <c r="W10000">
        <v>1.6178680000000001E-2</v>
      </c>
      <c r="X10000">
        <v>0.99920770000000003</v>
      </c>
      <c r="Y10000">
        <v>1.3968299999999999E-3</v>
      </c>
      <c r="Z10000">
        <v>2.4442629999999999E-3</v>
      </c>
      <c r="AA10000">
        <v>0.99999610000000005</v>
      </c>
      <c r="AB10000">
        <v>39</v>
      </c>
      <c r="AC10000">
        <v>3.5409999999999902</v>
      </c>
      <c r="AD10000">
        <v>0.84460099999999905</v>
      </c>
      <c r="AE10000">
        <v>345.14936</v>
      </c>
      <c r="AF10000">
        <v>0.482560778428133</v>
      </c>
      <c r="AG10000">
        <v>0.84460099999999905</v>
      </c>
      <c r="AH10000">
        <v>345.16511966828199</v>
      </c>
      <c r="AI10000">
        <v>89.859800640216406</v>
      </c>
      <c r="AJ10000">
        <v>89.919897242295605</v>
      </c>
      <c r="AK10000">
        <v>345.16649033672599</v>
      </c>
      <c r="AL10000">
        <v>89.072989512602007</v>
      </c>
      <c r="AM10000">
        <v>87.915791514834893</v>
      </c>
      <c r="AN10000">
        <v>1.0000000415063099</v>
      </c>
    </row>
    <row r="10001" spans="1:40" x14ac:dyDescent="0.25">
      <c r="A10001" t="str">
        <f>"20190312154148625"</f>
        <v>20190312154148625</v>
      </c>
      <c r="B10001" t="str">
        <f>"1552376508616039"</f>
        <v>1552376508616039</v>
      </c>
      <c r="C10001" t="s">
        <v>40</v>
      </c>
      <c r="D10001">
        <v>4.2593439999999996</v>
      </c>
      <c r="E10001">
        <v>0.4838094</v>
      </c>
      <c r="F10001" t="s">
        <v>51</v>
      </c>
      <c r="G10001">
        <v>-186.83519999999999</v>
      </c>
      <c r="H10001">
        <v>1.8083480000000001</v>
      </c>
      <c r="I10001">
        <v>391.87</v>
      </c>
      <c r="J10001">
        <v>-188.32380000000001</v>
      </c>
      <c r="K10001">
        <v>1.1095649999999999</v>
      </c>
      <c r="L10001">
        <v>46.97345</v>
      </c>
      <c r="M10001">
        <v>8.9632919999999994E-3</v>
      </c>
      <c r="N10001">
        <v>0</v>
      </c>
      <c r="O10001">
        <v>0.99985170000000001</v>
      </c>
      <c r="P10001">
        <v>4.5079660000000001E-2</v>
      </c>
      <c r="Q10001">
        <v>1.5836170000000001E-3</v>
      </c>
      <c r="R10001">
        <v>0.99898209999999998</v>
      </c>
      <c r="S10001">
        <v>1.2969970000000001E-2</v>
      </c>
      <c r="T10001">
        <v>6.0788389999999999E-3</v>
      </c>
      <c r="U10001">
        <v>3.002472</v>
      </c>
      <c r="V10001">
        <v>3.6130719999999998E-2</v>
      </c>
      <c r="W10001">
        <v>1.625973E-2</v>
      </c>
      <c r="X10001">
        <v>0.99921479999999996</v>
      </c>
      <c r="Y10001">
        <v>-4.6446370000000001E-3</v>
      </c>
      <c r="Z10001">
        <v>2.024465E-3</v>
      </c>
      <c r="AA10001">
        <v>0.99998719999999996</v>
      </c>
      <c r="AB10001">
        <v>39</v>
      </c>
      <c r="AC10001">
        <v>1.4886000000000099</v>
      </c>
      <c r="AD10001">
        <v>0.69878300000000004</v>
      </c>
      <c r="AE10001">
        <v>344.89654999999999</v>
      </c>
      <c r="AF10001">
        <v>-1.6031960114739801</v>
      </c>
      <c r="AG10001">
        <v>0.69878300000000004</v>
      </c>
      <c r="AH10001">
        <v>344.89462058005802</v>
      </c>
      <c r="AI10001">
        <v>89.883915761562804</v>
      </c>
      <c r="AJ10001">
        <v>90.266329766044294</v>
      </c>
      <c r="AK10001">
        <v>344.89905456552702</v>
      </c>
      <c r="AL10001">
        <v>89.068345051576699</v>
      </c>
      <c r="AM10001">
        <v>87.9291377072377</v>
      </c>
      <c r="AN10001">
        <v>1.00000001214321</v>
      </c>
    </row>
    <row r="10002" spans="1:40" x14ac:dyDescent="0.25">
      <c r="A10002" t="str">
        <f>"20190312154148647"</f>
        <v>20190312154148647</v>
      </c>
      <c r="B10002" t="str">
        <f>"1552376508636534"</f>
        <v>1552376508636534</v>
      </c>
      <c r="C10002" t="s">
        <v>40</v>
      </c>
      <c r="D10002">
        <v>4.2546949999999999</v>
      </c>
      <c r="E10002">
        <v>0.4826453</v>
      </c>
      <c r="F10002" t="s">
        <v>51</v>
      </c>
      <c r="G10002">
        <v>-187.6053</v>
      </c>
      <c r="H10002">
        <v>1.8153710000000001</v>
      </c>
      <c r="I10002">
        <v>391.87</v>
      </c>
      <c r="J10002">
        <v>-188.32050000000001</v>
      </c>
      <c r="K10002">
        <v>1.1095809999999999</v>
      </c>
      <c r="L10002">
        <v>47.329410000000003</v>
      </c>
      <c r="M10002">
        <v>9.1090709999999998E-3</v>
      </c>
      <c r="N10002">
        <v>0</v>
      </c>
      <c r="O10002">
        <v>0.99984989999999996</v>
      </c>
      <c r="P10002">
        <v>4.5047249999999997E-2</v>
      </c>
      <c r="Q10002">
        <v>1.760602E-3</v>
      </c>
      <c r="R10002">
        <v>0.99898330000000002</v>
      </c>
      <c r="S10002">
        <v>6.2561040000000002E-3</v>
      </c>
      <c r="T10002">
        <v>6.1448809999999996E-3</v>
      </c>
      <c r="U10002">
        <v>3.0027469999999998</v>
      </c>
      <c r="V10002">
        <v>3.5952530000000003E-2</v>
      </c>
      <c r="W10002">
        <v>1.6473809999999998E-2</v>
      </c>
      <c r="X10002">
        <v>0.99921769999999999</v>
      </c>
      <c r="Y10002">
        <v>-7.0266779999999997E-3</v>
      </c>
      <c r="Z10002">
        <v>2.0462610000000002E-3</v>
      </c>
      <c r="AA10002">
        <v>0.99997320000000001</v>
      </c>
      <c r="AB10002">
        <v>39</v>
      </c>
      <c r="AC10002">
        <v>0.71520000000000905</v>
      </c>
      <c r="AD10002">
        <v>0.70578999999999903</v>
      </c>
      <c r="AE10002">
        <v>344.54059000000001</v>
      </c>
      <c r="AF10002">
        <v>-2.4236050996891798</v>
      </c>
      <c r="AG10002">
        <v>0.70578999999999903</v>
      </c>
      <c r="AH10002">
        <v>344.531362192372</v>
      </c>
      <c r="AI10002">
        <v>89.882629752777603</v>
      </c>
      <c r="AJ10002">
        <v>90.403040385373103</v>
      </c>
      <c r="AK10002">
        <v>344.540609413948</v>
      </c>
      <c r="AL10002">
        <v>89.056077508485103</v>
      </c>
      <c r="AM10002">
        <v>87.939347964229995</v>
      </c>
      <c r="AN10002">
        <v>0.99999999141130302</v>
      </c>
    </row>
    <row r="10003" spans="1:40" x14ac:dyDescent="0.25">
      <c r="A10003" t="str">
        <f>"20190312154148667"</f>
        <v>20190312154148667</v>
      </c>
      <c r="B10003" t="str">
        <f>"1552376508656058"</f>
        <v>1552376508656058</v>
      </c>
      <c r="C10003" t="s">
        <v>40</v>
      </c>
      <c r="D10003">
        <v>4.2602200000000003</v>
      </c>
      <c r="E10003">
        <v>0.48171849999999999</v>
      </c>
      <c r="F10003" t="s">
        <v>51</v>
      </c>
      <c r="G10003">
        <v>-188.67939999999999</v>
      </c>
      <c r="H10003">
        <v>2.0530870000000001</v>
      </c>
      <c r="I10003">
        <v>391.87</v>
      </c>
      <c r="J10003">
        <v>-188.31710000000001</v>
      </c>
      <c r="K10003">
        <v>1.10959599999999</v>
      </c>
      <c r="L10003">
        <v>47.691650000000003</v>
      </c>
      <c r="M10003">
        <v>9.2576810000000002E-3</v>
      </c>
      <c r="N10003">
        <v>0</v>
      </c>
      <c r="O10003">
        <v>0.99984799999999996</v>
      </c>
      <c r="P10003">
        <v>4.5308229999999998E-2</v>
      </c>
      <c r="Q10003">
        <v>1.152534E-3</v>
      </c>
      <c r="R10003">
        <v>0.99897239999999998</v>
      </c>
      <c r="S10003">
        <v>-3.1280520000000001E-3</v>
      </c>
      <c r="T10003">
        <v>8.2240100000000003E-3</v>
      </c>
      <c r="U10003">
        <v>3.003174</v>
      </c>
      <c r="V10003">
        <v>3.6064649999999997E-2</v>
      </c>
      <c r="W10003">
        <v>1.589834E-2</v>
      </c>
      <c r="X10003">
        <v>0.99922299999999997</v>
      </c>
      <c r="Y10003">
        <v>-1.0300220000000001E-2</v>
      </c>
      <c r="Z10003">
        <v>2.7381800000000002E-3</v>
      </c>
      <c r="AA10003">
        <v>0.99994320000000003</v>
      </c>
      <c r="AB10003">
        <v>39</v>
      </c>
      <c r="AC10003">
        <v>-0.36229999999997597</v>
      </c>
      <c r="AD10003">
        <v>0.94349099999999997</v>
      </c>
      <c r="AE10003">
        <v>344.17835000000002</v>
      </c>
      <c r="AF10003">
        <v>-3.54889897023167</v>
      </c>
      <c r="AG10003">
        <v>0.94349099999999997</v>
      </c>
      <c r="AH10003">
        <v>344.15765697663198</v>
      </c>
      <c r="AI10003">
        <v>89.842935230604894</v>
      </c>
      <c r="AJ10003">
        <v>90.5908040168122</v>
      </c>
      <c r="AK10003">
        <v>344.17724752634803</v>
      </c>
      <c r="AL10003">
        <v>89.089053848360294</v>
      </c>
      <c r="AM10003">
        <v>87.932938224731103</v>
      </c>
      <c r="AN10003">
        <v>1.0000000099616799</v>
      </c>
    </row>
    <row r="10004" spans="1:40" x14ac:dyDescent="0.25">
      <c r="A10004" t="str">
        <f>"20190312154148680"</f>
        <v>20190312154148680</v>
      </c>
      <c r="B10004" t="str">
        <f>"1552376508676081"</f>
        <v>1552376508676081</v>
      </c>
      <c r="C10004" t="s">
        <v>40</v>
      </c>
      <c r="D10004">
        <v>4.2795589999999999</v>
      </c>
      <c r="E10004">
        <v>0.48106290000000002</v>
      </c>
      <c r="F10004" t="s">
        <v>51</v>
      </c>
      <c r="G10004">
        <v>-189.42920000000001</v>
      </c>
      <c r="H10004">
        <v>1.8710020000000001</v>
      </c>
      <c r="I10004">
        <v>391.87</v>
      </c>
      <c r="J10004">
        <v>-188.31479999999999</v>
      </c>
      <c r="K10004">
        <v>1.109602</v>
      </c>
      <c r="L10004">
        <v>47.928739999999998</v>
      </c>
      <c r="M10004">
        <v>9.3551329999999999E-3</v>
      </c>
      <c r="N10004">
        <v>0</v>
      </c>
      <c r="O10004">
        <v>0.99984680000000004</v>
      </c>
      <c r="P10004">
        <v>4.5604199999999998E-2</v>
      </c>
      <c r="Q10004">
        <v>9.4804160000000004E-4</v>
      </c>
      <c r="R10004">
        <v>0.99895909999999999</v>
      </c>
      <c r="S10004">
        <v>-9.7045900000000008E-3</v>
      </c>
      <c r="T10004">
        <v>6.6444869999999897E-3</v>
      </c>
      <c r="U10004">
        <v>3.0035099999999999</v>
      </c>
      <c r="V10004">
        <v>3.6263169999999997E-2</v>
      </c>
      <c r="W10004">
        <v>1.5712399999999901E-2</v>
      </c>
      <c r="X10004">
        <v>0.99921879999999996</v>
      </c>
      <c r="Y10004">
        <v>-1.2587030000000001E-2</v>
      </c>
      <c r="Z10004">
        <v>2.2119980000000002E-3</v>
      </c>
      <c r="AA10004">
        <v>0.99991830000000004</v>
      </c>
      <c r="AB10004">
        <v>39</v>
      </c>
      <c r="AC10004">
        <v>-1.11440000000001</v>
      </c>
      <c r="AD10004">
        <v>0.76139999999999997</v>
      </c>
      <c r="AE10004">
        <v>343.94126</v>
      </c>
      <c r="AF10004">
        <v>-4.3322983817614098</v>
      </c>
      <c r="AG10004">
        <v>0.76139999999999997</v>
      </c>
      <c r="AH10004">
        <v>343.91409386223398</v>
      </c>
      <c r="AI10004">
        <v>89.873161713552406</v>
      </c>
      <c r="AJ10004">
        <v>90.721718850126607</v>
      </c>
      <c r="AK10004">
        <v>343.94222261349398</v>
      </c>
      <c r="AL10004">
        <v>89.099708795774106</v>
      </c>
      <c r="AM10004">
        <v>87.921561184234307</v>
      </c>
      <c r="AN10004">
        <v>1.00000005364282</v>
      </c>
    </row>
    <row r="10005" spans="1:40" x14ac:dyDescent="0.25">
      <c r="A10005" t="str">
        <f>"20190312154148701"</f>
        <v>20190312154148701</v>
      </c>
      <c r="B10005" t="str">
        <f>"1552376508695601"</f>
        <v>1552376508695601</v>
      </c>
      <c r="C10005" t="s">
        <v>40</v>
      </c>
      <c r="D10005">
        <v>4.2759510000000001</v>
      </c>
      <c r="E10005">
        <v>0.48054140000000001</v>
      </c>
      <c r="F10005" t="s">
        <v>51</v>
      </c>
      <c r="G10005">
        <v>-189.92920000000001</v>
      </c>
      <c r="H10005">
        <v>1.768187</v>
      </c>
      <c r="I10005">
        <v>391.87</v>
      </c>
      <c r="J10005">
        <v>-188.3115</v>
      </c>
      <c r="K10005">
        <v>1.1096140000000001</v>
      </c>
      <c r="L10005">
        <v>48.270479999999999</v>
      </c>
      <c r="M10005">
        <v>9.4958560000000004E-3</v>
      </c>
      <c r="N10005">
        <v>0</v>
      </c>
      <c r="O10005">
        <v>0.99984510000000004</v>
      </c>
      <c r="P10005">
        <v>4.5833930000000002E-2</v>
      </c>
      <c r="Q10005">
        <v>4.3524999999999998E-4</v>
      </c>
      <c r="R10005">
        <v>0.99894899999999998</v>
      </c>
      <c r="S10005">
        <v>-1.409912E-2</v>
      </c>
      <c r="T10005">
        <v>5.7516099999999999E-3</v>
      </c>
      <c r="U10005">
        <v>3.0037539999999998</v>
      </c>
      <c r="V10005">
        <v>3.6352009999999997E-2</v>
      </c>
      <c r="W10005">
        <v>1.522369E-2</v>
      </c>
      <c r="X10005">
        <v>0.99922310000000003</v>
      </c>
      <c r="Y10005">
        <v>-1.4190360000000001E-2</v>
      </c>
      <c r="Z10005">
        <v>1.914568E-3</v>
      </c>
      <c r="AA10005">
        <v>0.99989749999999999</v>
      </c>
      <c r="AB10005">
        <v>39</v>
      </c>
      <c r="AC10005">
        <v>-1.6177000000000099</v>
      </c>
      <c r="AD10005">
        <v>0.65857299999999996</v>
      </c>
      <c r="AE10005">
        <v>343.59951999999998</v>
      </c>
      <c r="AF10005">
        <v>-4.8807389999916397</v>
      </c>
      <c r="AG10005">
        <v>0.65857299999999996</v>
      </c>
      <c r="AH10005">
        <v>343.56739957731901</v>
      </c>
      <c r="AI10005">
        <v>89.890182827916803</v>
      </c>
      <c r="AJ10005">
        <v>90.813892517910105</v>
      </c>
      <c r="AK10005">
        <v>343.602696997424</v>
      </c>
      <c r="AL10005">
        <v>89.127713132898407</v>
      </c>
      <c r="AM10005">
        <v>87.916482722808595</v>
      </c>
      <c r="AN10005">
        <v>1.00000001647093</v>
      </c>
    </row>
    <row r="10006" spans="1:40" x14ac:dyDescent="0.25">
      <c r="A10006" t="str">
        <f>"20190312154148723"</f>
        <v>20190312154148723</v>
      </c>
      <c r="B10006" t="str">
        <f>"1552376508716097"</f>
        <v>1552376508716097</v>
      </c>
      <c r="C10006" t="s">
        <v>40</v>
      </c>
      <c r="D10006">
        <v>4.2878959999999999</v>
      </c>
      <c r="E10006">
        <v>0.48008210000000001</v>
      </c>
      <c r="F10006" t="s">
        <v>51</v>
      </c>
      <c r="G10006">
        <v>-190.3134</v>
      </c>
      <c r="H10006">
        <v>1.609146</v>
      </c>
      <c r="I10006">
        <v>391.87</v>
      </c>
      <c r="J10006">
        <v>-188.3075</v>
      </c>
      <c r="K10006">
        <v>1.1096250000000001</v>
      </c>
      <c r="L10006">
        <v>48.672580000000004</v>
      </c>
      <c r="M10006">
        <v>9.6609720000000003E-3</v>
      </c>
      <c r="N10006">
        <v>0</v>
      </c>
      <c r="O10006">
        <v>0.99984320000000004</v>
      </c>
      <c r="P10006">
        <v>4.583636E-2</v>
      </c>
      <c r="Q10006">
        <v>3.0162420000000003E-4</v>
      </c>
      <c r="R10006">
        <v>0.99894890000000003</v>
      </c>
      <c r="S10006">
        <v>-1.7501829999999999E-2</v>
      </c>
      <c r="T10006">
        <v>4.3672320000000004E-3</v>
      </c>
      <c r="U10006">
        <v>3.0039669999999998</v>
      </c>
      <c r="V10006">
        <v>3.6189279999999997E-2</v>
      </c>
      <c r="W10006">
        <v>1.5114030000000001E-2</v>
      </c>
      <c r="X10006">
        <v>0.99923070000000003</v>
      </c>
      <c r="Y10006">
        <v>-1.548773E-2</v>
      </c>
      <c r="Z10006">
        <v>1.453619E-3</v>
      </c>
      <c r="AA10006">
        <v>0.99987899999999996</v>
      </c>
      <c r="AB10006">
        <v>39</v>
      </c>
      <c r="AC10006">
        <v>-2.0058999999999898</v>
      </c>
      <c r="AD10006">
        <v>0.49952099999999899</v>
      </c>
      <c r="AE10006">
        <v>343.19742000000002</v>
      </c>
      <c r="AF10006">
        <v>-5.3217809371779499</v>
      </c>
      <c r="AG10006">
        <v>0.49952099999999899</v>
      </c>
      <c r="AH10006">
        <v>343.16129201331802</v>
      </c>
      <c r="AI10006">
        <v>89.916607774447101</v>
      </c>
      <c r="AJ10006">
        <v>90.888477673966904</v>
      </c>
      <c r="AK10006">
        <v>343.20291841682001</v>
      </c>
      <c r="AL10006">
        <v>89.133996935535293</v>
      </c>
      <c r="AM10006">
        <v>87.925817198107396</v>
      </c>
      <c r="AN10006">
        <v>1.0000000448561199</v>
      </c>
    </row>
    <row r="10007" spans="1:40" x14ac:dyDescent="0.25">
      <c r="A10007" t="str">
        <f>"20190312154148746"</f>
        <v>20190312154148746</v>
      </c>
      <c r="B10007" t="str">
        <f>"1552376508735617"</f>
        <v>1552376508735617</v>
      </c>
      <c r="C10007" t="s">
        <v>40</v>
      </c>
      <c r="D10007">
        <v>4.2912100000000004</v>
      </c>
      <c r="E10007">
        <v>0.47962850000000001</v>
      </c>
      <c r="F10007" t="s">
        <v>51</v>
      </c>
      <c r="G10007">
        <v>-190.73400000000001</v>
      </c>
      <c r="H10007">
        <v>1.4947950000000001</v>
      </c>
      <c r="I10007">
        <v>391.87</v>
      </c>
      <c r="J10007">
        <v>-188.30359999999999</v>
      </c>
      <c r="K10007">
        <v>1.109632</v>
      </c>
      <c r="L10007">
        <v>49.059840000000001</v>
      </c>
      <c r="M10007">
        <v>9.8189890000000002E-3</v>
      </c>
      <c r="N10007">
        <v>0</v>
      </c>
      <c r="O10007">
        <v>0.99984139999999999</v>
      </c>
      <c r="P10007">
        <v>4.6112119999999999E-2</v>
      </c>
      <c r="Q10007">
        <v>4.9212050000000003E-4</v>
      </c>
      <c r="R10007">
        <v>0.99893620000000005</v>
      </c>
      <c r="S10007">
        <v>-2.1240229999999999E-2</v>
      </c>
      <c r="T10007">
        <v>3.3714769999999999E-3</v>
      </c>
      <c r="U10007">
        <v>3.0041199999999999</v>
      </c>
      <c r="V10007">
        <v>3.6307220000000001E-2</v>
      </c>
      <c r="W10007">
        <v>1.532382E-2</v>
      </c>
      <c r="X10007">
        <v>0.99922319999999998</v>
      </c>
      <c r="Y10007">
        <v>-1.6889669999999999E-2</v>
      </c>
      <c r="Z10007">
        <v>1.122109E-3</v>
      </c>
      <c r="AA10007">
        <v>0.99985670000000004</v>
      </c>
      <c r="AB10007">
        <v>39</v>
      </c>
      <c r="AC10007">
        <v>-2.4304000000000201</v>
      </c>
      <c r="AD10007">
        <v>0.38516299999999998</v>
      </c>
      <c r="AE10007">
        <v>342.81016</v>
      </c>
      <c r="AF10007">
        <v>-5.7966962936945698</v>
      </c>
      <c r="AG10007">
        <v>0.38516299999999998</v>
      </c>
      <c r="AH10007">
        <v>342.769330971942</v>
      </c>
      <c r="AI10007">
        <v>89.9356271170345</v>
      </c>
      <c r="AJ10007">
        <v>90.9688573221609</v>
      </c>
      <c r="AK10007">
        <v>342.81855885207102</v>
      </c>
      <c r="AL10007">
        <v>89.121975439108596</v>
      </c>
      <c r="AM10007">
        <v>87.919047813634606</v>
      </c>
      <c r="AN10007">
        <v>1.0000000185508799</v>
      </c>
    </row>
    <row r="10008" spans="1:40" x14ac:dyDescent="0.25">
      <c r="A10008" t="str">
        <f>"20190312154148768"</f>
        <v>20190312154148768</v>
      </c>
      <c r="B10008" t="str">
        <f>"1552376508756116"</f>
        <v>1552376508756116</v>
      </c>
      <c r="C10008" t="s">
        <v>40</v>
      </c>
      <c r="D10008">
        <v>4.3029039999999998</v>
      </c>
      <c r="E10008">
        <v>0.47928229999999999</v>
      </c>
      <c r="F10008" t="s">
        <v>51</v>
      </c>
      <c r="G10008">
        <v>-191.04069999999999</v>
      </c>
      <c r="H10008">
        <v>1.5605450000000001</v>
      </c>
      <c r="I10008">
        <v>391.87</v>
      </c>
      <c r="J10008">
        <v>-188.2996</v>
      </c>
      <c r="K10008">
        <v>1.109637</v>
      </c>
      <c r="L10008">
        <v>49.450989999999997</v>
      </c>
      <c r="M10008">
        <v>9.9760769999999999E-3</v>
      </c>
      <c r="N10008">
        <v>0</v>
      </c>
      <c r="O10008">
        <v>0.99983960000000005</v>
      </c>
      <c r="P10008">
        <v>4.6569739999999998E-2</v>
      </c>
      <c r="Q10008">
        <v>6.2340810000000003E-4</v>
      </c>
      <c r="R10008">
        <v>0.99891479999999999</v>
      </c>
      <c r="S10008">
        <v>-2.3986819999999999E-2</v>
      </c>
      <c r="T10008">
        <v>3.9516689999999997E-3</v>
      </c>
      <c r="U10008">
        <v>3.0043030000000002</v>
      </c>
      <c r="V10008">
        <v>3.6607969999999997E-2</v>
      </c>
      <c r="W10008">
        <v>1.5470670000000001E-2</v>
      </c>
      <c r="X10008">
        <v>0.99920989999999998</v>
      </c>
      <c r="Y10008">
        <v>-1.7960360000000002E-2</v>
      </c>
      <c r="Z10008">
        <v>1.31511E-3</v>
      </c>
      <c r="AA10008">
        <v>0.9998378</v>
      </c>
      <c r="AB10008">
        <v>39</v>
      </c>
      <c r="AC10008">
        <v>-2.7410999999999799</v>
      </c>
      <c r="AD10008">
        <v>0.45090799999999998</v>
      </c>
      <c r="AE10008">
        <v>342.41901000000001</v>
      </c>
      <c r="AF10008">
        <v>-6.1573292612476402</v>
      </c>
      <c r="AG10008">
        <v>0.45090799999999998</v>
      </c>
      <c r="AH10008">
        <v>342.37402456957398</v>
      </c>
      <c r="AI10008">
        <v>89.924553466022999</v>
      </c>
      <c r="AJ10008">
        <v>91.030308748264503</v>
      </c>
      <c r="AK10008">
        <v>342.42968434647003</v>
      </c>
      <c r="AL10008">
        <v>89.113560499872705</v>
      </c>
      <c r="AM10008">
        <v>87.901797735823493</v>
      </c>
      <c r="AN10008">
        <v>0.99999995467788805</v>
      </c>
    </row>
    <row r="10009" spans="1:40" x14ac:dyDescent="0.25">
      <c r="A10009" t="str">
        <f>"20190312154148791"</f>
        <v>20190312154148791</v>
      </c>
      <c r="B10009" t="str">
        <f>"1552376508785900"</f>
        <v>1552376508785900</v>
      </c>
      <c r="C10009" t="s">
        <v>40</v>
      </c>
      <c r="D10009">
        <v>4.3138019999999999</v>
      </c>
      <c r="E10009">
        <v>0.4788287</v>
      </c>
      <c r="F10009" t="s">
        <v>51</v>
      </c>
      <c r="G10009">
        <v>-191.1865</v>
      </c>
      <c r="H10009">
        <v>1.6130450000000001</v>
      </c>
      <c r="I10009">
        <v>391.87</v>
      </c>
      <c r="J10009">
        <v>-188.2955</v>
      </c>
      <c r="K10009">
        <v>1.1096469999999901</v>
      </c>
      <c r="L10009">
        <v>49.842289999999998</v>
      </c>
      <c r="M10009">
        <v>1.012675E-2</v>
      </c>
      <c r="N10009">
        <v>0</v>
      </c>
      <c r="O10009">
        <v>0.99983789999999995</v>
      </c>
      <c r="P10009">
        <v>4.6886320000000002E-2</v>
      </c>
      <c r="Q10009">
        <v>9.0368570000000001E-4</v>
      </c>
      <c r="R10009">
        <v>0.9988998</v>
      </c>
      <c r="S10009">
        <v>-2.5329589999999999E-2</v>
      </c>
      <c r="T10009">
        <v>4.4169430000000004E-3</v>
      </c>
      <c r="U10009">
        <v>3.0044249999999999</v>
      </c>
      <c r="V10009">
        <v>3.6774019999999998E-2</v>
      </c>
      <c r="W10009">
        <v>1.5764360000000002E-2</v>
      </c>
      <c r="X10009">
        <v>0.99919930000000001</v>
      </c>
      <c r="Y10009">
        <v>-1.8557540000000001E-2</v>
      </c>
      <c r="Z10009">
        <v>1.469878E-3</v>
      </c>
      <c r="AA10009">
        <v>0.99982669999999996</v>
      </c>
      <c r="AB10009">
        <v>39</v>
      </c>
      <c r="AC10009">
        <v>-2.8909999999999898</v>
      </c>
      <c r="AD10009">
        <v>0.50339800000000001</v>
      </c>
      <c r="AE10009">
        <v>342.02771000000001</v>
      </c>
      <c r="AF10009">
        <v>-6.3548509462144898</v>
      </c>
      <c r="AG10009">
        <v>0.50339800000000001</v>
      </c>
      <c r="AH10009">
        <v>341.98014758293903</v>
      </c>
      <c r="AI10009">
        <v>89.915674691429501</v>
      </c>
      <c r="AJ10009">
        <v>91.064577110972294</v>
      </c>
      <c r="AK10009">
        <v>342.03955747975101</v>
      </c>
      <c r="AL10009">
        <v>89.096731328258997</v>
      </c>
      <c r="AM10009">
        <v>87.892266730352802</v>
      </c>
      <c r="AN10009">
        <v>1.0000000423568201</v>
      </c>
    </row>
    <row r="10010" spans="1:40" x14ac:dyDescent="0.25">
      <c r="A10010" t="str">
        <f>"20190312154148814"</f>
        <v>20190312154148814</v>
      </c>
      <c r="B10010" t="str">
        <f>"1552376508806396"</f>
        <v>1552376508806396</v>
      </c>
      <c r="C10010" t="s">
        <v>40</v>
      </c>
      <c r="D10010">
        <v>4.3093620000000001</v>
      </c>
      <c r="E10010">
        <v>0.47859459999999998</v>
      </c>
      <c r="F10010" t="s">
        <v>51</v>
      </c>
      <c r="G10010">
        <v>-191.4794</v>
      </c>
      <c r="H10010">
        <v>1.7245790000000001</v>
      </c>
      <c r="I10010">
        <v>391.87</v>
      </c>
      <c r="J10010">
        <v>-188.29150000000001</v>
      </c>
      <c r="K10010">
        <v>1.109661</v>
      </c>
      <c r="L10010">
        <v>50.222230000000003</v>
      </c>
      <c r="M10010">
        <v>1.0263319999999999E-2</v>
      </c>
      <c r="N10010">
        <v>0</v>
      </c>
      <c r="O10010">
        <v>0.99983639999999996</v>
      </c>
      <c r="P10010">
        <v>4.7273450000000002E-2</v>
      </c>
      <c r="Q10010">
        <v>1.323222E-3</v>
      </c>
      <c r="R10010">
        <v>0.99888109999999997</v>
      </c>
      <c r="S10010">
        <v>-2.7969359999999999E-2</v>
      </c>
      <c r="T10010">
        <v>5.4019690000000004E-3</v>
      </c>
      <c r="U10010">
        <v>3.0046080000000002</v>
      </c>
      <c r="V10010">
        <v>3.702474E-2</v>
      </c>
      <c r="W10010">
        <v>1.619394E-2</v>
      </c>
      <c r="X10010">
        <v>0.99918309999999999</v>
      </c>
      <c r="Y10010">
        <v>-1.9571930000000001E-2</v>
      </c>
      <c r="Z10010">
        <v>1.7975389999999999E-3</v>
      </c>
      <c r="AA10010">
        <v>0.9998068</v>
      </c>
      <c r="AB10010">
        <v>39</v>
      </c>
      <c r="AC10010">
        <v>-3.18789999999998</v>
      </c>
      <c r="AD10010">
        <v>0.61491799999999996</v>
      </c>
      <c r="AE10010">
        <v>341.64776999999998</v>
      </c>
      <c r="AF10010">
        <v>-6.6945397588857203</v>
      </c>
      <c r="AG10010">
        <v>0.61491799999999996</v>
      </c>
      <c r="AH10010">
        <v>341.59594310410102</v>
      </c>
      <c r="AI10010">
        <v>89.896879910704897</v>
      </c>
      <c r="AJ10010">
        <v>91.122729314023502</v>
      </c>
      <c r="AK10010">
        <v>341.66208939815101</v>
      </c>
      <c r="AL10010">
        <v>89.072114999237897</v>
      </c>
      <c r="AM10010">
        <v>87.877875226139807</v>
      </c>
      <c r="AN10010">
        <v>0.99999997119520001</v>
      </c>
    </row>
    <row r="10011" spans="1:40" x14ac:dyDescent="0.25">
      <c r="A10011" t="str">
        <f>"20190312154148835"</f>
        <v>20190312154148835</v>
      </c>
      <c r="B10011" t="str">
        <f>"1552376508825919"</f>
        <v>1552376508825919</v>
      </c>
      <c r="C10011" t="s">
        <v>40</v>
      </c>
      <c r="D10011">
        <v>4.3322139999999996</v>
      </c>
      <c r="E10011">
        <v>0.47833700000000001</v>
      </c>
      <c r="F10011" t="s">
        <v>51</v>
      </c>
      <c r="G10011">
        <v>-191.54470000000001</v>
      </c>
      <c r="H10011">
        <v>1.841288</v>
      </c>
      <c r="I10011">
        <v>391.87</v>
      </c>
      <c r="J10011">
        <v>-188.28749999999999</v>
      </c>
      <c r="K10011">
        <v>1.1096809999999999</v>
      </c>
      <c r="L10011">
        <v>50.605530000000002</v>
      </c>
      <c r="M10011">
        <v>1.038731E-2</v>
      </c>
      <c r="N10011">
        <v>0</v>
      </c>
      <c r="O10011">
        <v>0.99983500000000003</v>
      </c>
      <c r="P10011">
        <v>4.8411599999999999E-2</v>
      </c>
      <c r="Q10011">
        <v>1.820094E-3</v>
      </c>
      <c r="R10011">
        <v>0.99882579999999999</v>
      </c>
      <c r="S10011">
        <v>-2.861023E-2</v>
      </c>
      <c r="T10011">
        <v>6.4344409999999999E-3</v>
      </c>
      <c r="U10011">
        <v>3.0047000000000001</v>
      </c>
      <c r="V10011">
        <v>3.8039240000000002E-2</v>
      </c>
      <c r="W10011">
        <v>1.669932E-2</v>
      </c>
      <c r="X10011">
        <v>0.99913669999999999</v>
      </c>
      <c r="Y10011">
        <v>-1.9908849999999999E-2</v>
      </c>
      <c r="Z10011">
        <v>2.14102E-3</v>
      </c>
      <c r="AA10011">
        <v>0.99979949999999995</v>
      </c>
      <c r="AB10011">
        <v>39</v>
      </c>
      <c r="AC10011">
        <v>-3.2572000000000099</v>
      </c>
      <c r="AD10011">
        <v>0.73160700000000001</v>
      </c>
      <c r="AE10011">
        <v>341.26447000000002</v>
      </c>
      <c r="AF10011">
        <v>-6.8022064949872298</v>
      </c>
      <c r="AG10011">
        <v>0.73160700000000001</v>
      </c>
      <c r="AH10011">
        <v>341.210649500854</v>
      </c>
      <c r="AI10011">
        <v>89.877173815967495</v>
      </c>
      <c r="AJ10011">
        <v>91.142069000476098</v>
      </c>
      <c r="AK10011">
        <v>341.2792296563</v>
      </c>
      <c r="AL10011">
        <v>89.043154965873299</v>
      </c>
      <c r="AM10011">
        <v>87.819681953955296</v>
      </c>
      <c r="AN10011">
        <v>0.99999999817756402</v>
      </c>
    </row>
    <row r="10012" spans="1:40" x14ac:dyDescent="0.25">
      <c r="A10012" t="str">
        <f>"20190312154148858"</f>
        <v>20190312154148858</v>
      </c>
      <c r="B10012" t="str">
        <f>"1552376508846411"</f>
        <v>1552376508846411</v>
      </c>
      <c r="C10012" t="s">
        <v>40</v>
      </c>
      <c r="D10012">
        <v>4.3154750000000002</v>
      </c>
      <c r="E10012">
        <v>0.47810429999999998</v>
      </c>
      <c r="F10012" t="s">
        <v>51</v>
      </c>
      <c r="G10012">
        <v>-191.3878</v>
      </c>
      <c r="H10012">
        <v>2.0899390000000002</v>
      </c>
      <c r="I10012">
        <v>391.87</v>
      </c>
      <c r="J10012">
        <v>-188.2835</v>
      </c>
      <c r="K10012">
        <v>1.1097049999999999</v>
      </c>
      <c r="L10012">
        <v>50.981929999999998</v>
      </c>
      <c r="M10012">
        <v>1.049172E-2</v>
      </c>
      <c r="N10012">
        <v>0</v>
      </c>
      <c r="O10012">
        <v>0.99983379999999999</v>
      </c>
      <c r="P10012">
        <v>4.9244129999999997E-2</v>
      </c>
      <c r="Q10012">
        <v>1.300018E-3</v>
      </c>
      <c r="R10012">
        <v>0.9987859</v>
      </c>
      <c r="S10012">
        <v>-2.7297970000000001E-2</v>
      </c>
      <c r="T10012">
        <v>8.6311100000000009E-3</v>
      </c>
      <c r="U10012">
        <v>3.0048219999999999</v>
      </c>
      <c r="V10012">
        <v>3.8767030000000001E-2</v>
      </c>
      <c r="W10012">
        <v>1.618679E-2</v>
      </c>
      <c r="X10012">
        <v>0.99911709999999998</v>
      </c>
      <c r="Y10012">
        <v>-1.9576260000000002E-2</v>
      </c>
      <c r="Z10012">
        <v>2.8718369999999999E-3</v>
      </c>
      <c r="AA10012">
        <v>0.99980429999999998</v>
      </c>
      <c r="AB10012">
        <v>39</v>
      </c>
      <c r="AC10012">
        <v>-3.1042999999999901</v>
      </c>
      <c r="AD10012">
        <v>0.98023399999999905</v>
      </c>
      <c r="AE10012">
        <v>340.88807000000003</v>
      </c>
      <c r="AF10012">
        <v>-6.6809736338033403</v>
      </c>
      <c r="AG10012">
        <v>0.98023399999999905</v>
      </c>
      <c r="AH10012">
        <v>340.83391240391899</v>
      </c>
      <c r="AI10012">
        <v>89.835250168572799</v>
      </c>
      <c r="AJ10012">
        <v>91.122959197004107</v>
      </c>
      <c r="AK10012">
        <v>340.90079511780601</v>
      </c>
      <c r="AL10012">
        <v>89.072524686196303</v>
      </c>
      <c r="AM10012">
        <v>87.777964651221694</v>
      </c>
      <c r="AN10012">
        <v>0.99999993714896496</v>
      </c>
    </row>
    <row r="10013" spans="1:40" x14ac:dyDescent="0.25">
      <c r="A10013" t="str">
        <f>"20190312154148879"</f>
        <v>20190312154148879</v>
      </c>
      <c r="B10013" t="str">
        <f>"1552376508865932"</f>
        <v>1552376508865932</v>
      </c>
      <c r="C10013" t="s">
        <v>40</v>
      </c>
      <c r="D10013">
        <v>4.314514</v>
      </c>
      <c r="E10013">
        <v>0.47789880000000001</v>
      </c>
      <c r="F10013" t="s">
        <v>51</v>
      </c>
      <c r="G10013">
        <v>-191.31100000000001</v>
      </c>
      <c r="H10013">
        <v>1.8635269999999999</v>
      </c>
      <c r="I10013">
        <v>391.87</v>
      </c>
      <c r="J10013">
        <v>-188.27950000000001</v>
      </c>
      <c r="K10013">
        <v>1.1097300000000001</v>
      </c>
      <c r="L10013">
        <v>51.350459999999998</v>
      </c>
      <c r="M10013">
        <v>1.0573539999999999E-2</v>
      </c>
      <c r="N10013">
        <v>0</v>
      </c>
      <c r="O10013">
        <v>0.99983279999999997</v>
      </c>
      <c r="P10013">
        <v>4.9206569999999998E-2</v>
      </c>
      <c r="Q10013">
        <v>9.2425479999999995E-4</v>
      </c>
      <c r="R10013">
        <v>0.99878820000000001</v>
      </c>
      <c r="S10013">
        <v>-2.6687619999999999E-2</v>
      </c>
      <c r="T10013">
        <v>6.6449639999999997E-3</v>
      </c>
      <c r="U10013">
        <v>3.0049440000000001</v>
      </c>
      <c r="V10013">
        <v>3.864691E-2</v>
      </c>
      <c r="W10013">
        <v>1.5817290000000001E-2</v>
      </c>
      <c r="X10013">
        <v>0.99912769999999995</v>
      </c>
      <c r="Y10013">
        <v>-1.945467E-2</v>
      </c>
      <c r="Z10013">
        <v>2.2109E-3</v>
      </c>
      <c r="AA10013">
        <v>0.99980829999999998</v>
      </c>
      <c r="AB10013">
        <v>38</v>
      </c>
      <c r="AC10013">
        <v>-3.0314999999999599</v>
      </c>
      <c r="AD10013">
        <v>0.75379700000000005</v>
      </c>
      <c r="AE10013">
        <v>340.51954000000001</v>
      </c>
      <c r="AF10013">
        <v>-6.6321957290493296</v>
      </c>
      <c r="AG10013">
        <v>0.75379700000000005</v>
      </c>
      <c r="AH10013">
        <v>340.46677471141101</v>
      </c>
      <c r="AI10013">
        <v>89.873170813094504</v>
      </c>
      <c r="AJ10013">
        <v>91.115964313989195</v>
      </c>
      <c r="AK10013">
        <v>340.53219952376998</v>
      </c>
      <c r="AL10013">
        <v>89.093698215048704</v>
      </c>
      <c r="AM10013">
        <v>87.784866256582504</v>
      </c>
      <c r="AN10013">
        <v>0.99999996561139004</v>
      </c>
    </row>
    <row r="10014" spans="1:40" x14ac:dyDescent="0.25">
      <c r="A10014" t="str">
        <f>"20190312154148902"</f>
        <v>20190312154148902</v>
      </c>
      <c r="B10014" t="str">
        <f>"1552376508896188"</f>
        <v>1552376508896188</v>
      </c>
      <c r="C10014" t="s">
        <v>40</v>
      </c>
      <c r="D10014">
        <v>4.3124640000000003</v>
      </c>
      <c r="E10014">
        <v>0.47758050000000002</v>
      </c>
      <c r="F10014" t="s">
        <v>51</v>
      </c>
      <c r="G10014">
        <v>-191.5025</v>
      </c>
      <c r="H10014">
        <v>1.7088429999999999</v>
      </c>
      <c r="I10014">
        <v>391.87</v>
      </c>
      <c r="J10014">
        <v>-188.27539999999999</v>
      </c>
      <c r="K10014">
        <v>1.109753</v>
      </c>
      <c r="L10014">
        <v>51.73471</v>
      </c>
      <c r="M10014">
        <v>1.06406E-2</v>
      </c>
      <c r="N10014">
        <v>0</v>
      </c>
      <c r="O10014">
        <v>0.99983200000000005</v>
      </c>
      <c r="P10014">
        <v>4.9024150000000002E-2</v>
      </c>
      <c r="Q10014">
        <v>9.2663730000000001E-4</v>
      </c>
      <c r="R10014">
        <v>0.99879720000000005</v>
      </c>
      <c r="S10014">
        <v>-2.844238E-2</v>
      </c>
      <c r="T10014">
        <v>5.2870510000000001E-3</v>
      </c>
      <c r="U10014">
        <v>3.0050349999999999</v>
      </c>
      <c r="V10014">
        <v>3.8396689999999997E-2</v>
      </c>
      <c r="W10014">
        <v>1.5825390000000002E-2</v>
      </c>
      <c r="X10014">
        <v>0.99913730000000001</v>
      </c>
      <c r="Y10014">
        <v>-2.0105250000000002E-2</v>
      </c>
      <c r="Z10014">
        <v>1.7590279999999999E-3</v>
      </c>
      <c r="AA10014">
        <v>0.99979629999999997</v>
      </c>
      <c r="AB10014">
        <v>38</v>
      </c>
      <c r="AC10014">
        <v>-3.2271000000000001</v>
      </c>
      <c r="AD10014">
        <v>0.59909000000000001</v>
      </c>
      <c r="AE10014">
        <v>340.13529</v>
      </c>
      <c r="AF10014">
        <v>-6.84654275250967</v>
      </c>
      <c r="AG10014">
        <v>0.59909000000000001</v>
      </c>
      <c r="AH10014">
        <v>340.08063266792402</v>
      </c>
      <c r="AI10014">
        <v>89.899087640351894</v>
      </c>
      <c r="AJ10014">
        <v>91.153329481745303</v>
      </c>
      <c r="AK10014">
        <v>340.15007095737298</v>
      </c>
      <c r="AL10014">
        <v>89.093234134486295</v>
      </c>
      <c r="AM10014">
        <v>87.799215149802706</v>
      </c>
      <c r="AN10014">
        <v>1.00000004651144</v>
      </c>
    </row>
    <row r="10015" spans="1:40" x14ac:dyDescent="0.25">
      <c r="A10015" t="str">
        <f>"20190312154148924"</f>
        <v>20190312154148924</v>
      </c>
      <c r="B10015" t="str">
        <f>"1552376508915707"</f>
        <v>1552376508915707</v>
      </c>
      <c r="C10015" t="s">
        <v>40</v>
      </c>
      <c r="D10015">
        <v>4.3313839999999999</v>
      </c>
      <c r="E10015">
        <v>0.47738910000000001</v>
      </c>
      <c r="F10015" t="s">
        <v>51</v>
      </c>
      <c r="G10015">
        <v>-191.85050000000001</v>
      </c>
      <c r="H10015">
        <v>1.6475419999999901</v>
      </c>
      <c r="I10015">
        <v>391.87</v>
      </c>
      <c r="J10015">
        <v>-188.27109999999999</v>
      </c>
      <c r="K10015">
        <v>1.1097809999999999</v>
      </c>
      <c r="L10015">
        <v>52.136290000000002</v>
      </c>
      <c r="M10015">
        <v>1.0690430000000001E-2</v>
      </c>
      <c r="N10015">
        <v>0</v>
      </c>
      <c r="O10015">
        <v>0.99983149999999998</v>
      </c>
      <c r="P10015">
        <v>4.8304640000000003E-2</v>
      </c>
      <c r="Q10015">
        <v>8.1538379999999998E-4</v>
      </c>
      <c r="R10015">
        <v>0.99883230000000001</v>
      </c>
      <c r="S10015">
        <v>-3.158569E-2</v>
      </c>
      <c r="T10015">
        <v>4.7514439999999996E-3</v>
      </c>
      <c r="U10015">
        <v>3.0051570000000001</v>
      </c>
      <c r="V10015">
        <v>3.7626340000000001E-2</v>
      </c>
      <c r="W10015">
        <v>1.5719549999999999E-2</v>
      </c>
      <c r="X10015">
        <v>0.99916819999999895</v>
      </c>
      <c r="Y10015">
        <v>-2.120033E-2</v>
      </c>
      <c r="Z10015">
        <v>1.5807379999999999E-3</v>
      </c>
      <c r="AA10015">
        <v>0.99977400000000005</v>
      </c>
      <c r="AB10015">
        <v>38</v>
      </c>
      <c r="AC10015">
        <v>-3.5794000000000201</v>
      </c>
      <c r="AD10015">
        <v>0.53776099999999905</v>
      </c>
      <c r="AE10015">
        <v>339.73370999999997</v>
      </c>
      <c r="AF10015">
        <v>-7.2114812456541202</v>
      </c>
      <c r="AG10015">
        <v>0.53776099999999905</v>
      </c>
      <c r="AH10015">
        <v>339.67517127596301</v>
      </c>
      <c r="AI10015">
        <v>89.909311980926702</v>
      </c>
      <c r="AJ10015">
        <v>91.216236604190698</v>
      </c>
      <c r="AK10015">
        <v>339.75213999326598</v>
      </c>
      <c r="AL10015">
        <v>89.099299003949298</v>
      </c>
      <c r="AM10015">
        <v>87.843393849081906</v>
      </c>
      <c r="AN10015">
        <v>0.99999996880261799</v>
      </c>
    </row>
    <row r="10016" spans="1:40" x14ac:dyDescent="0.25">
      <c r="A10016" t="str">
        <f>"20190312154148946"</f>
        <v>20190312154148946</v>
      </c>
      <c r="B10016" t="str">
        <f>"1552376508936207"</f>
        <v>1552376508936207</v>
      </c>
      <c r="C10016" t="s">
        <v>40</v>
      </c>
      <c r="D10016">
        <v>4.3219830000000004</v>
      </c>
      <c r="E10016">
        <v>0.47717670000000001</v>
      </c>
      <c r="F10016" t="s">
        <v>51</v>
      </c>
      <c r="G10016">
        <v>-192.23679999999999</v>
      </c>
      <c r="H10016">
        <v>1.580611</v>
      </c>
      <c r="I10016">
        <v>391.87</v>
      </c>
      <c r="J10016">
        <v>-188.267</v>
      </c>
      <c r="K10016">
        <v>1.1098049999999999</v>
      </c>
      <c r="L10016">
        <v>52.511539999999997</v>
      </c>
      <c r="M10016">
        <v>1.072035E-2</v>
      </c>
      <c r="N10016">
        <v>0</v>
      </c>
      <c r="O10016">
        <v>0.99983109999999997</v>
      </c>
      <c r="P10016">
        <v>4.8040880000000001E-2</v>
      </c>
      <c r="Q10016">
        <v>9.5260639999999997E-4</v>
      </c>
      <c r="R10016">
        <v>0.99884490000000004</v>
      </c>
      <c r="S10016">
        <v>-3.507996E-2</v>
      </c>
      <c r="T10016">
        <v>4.1648149999999997E-3</v>
      </c>
      <c r="U10016">
        <v>3.005188</v>
      </c>
      <c r="V10016">
        <v>3.7331990000000002E-2</v>
      </c>
      <c r="W10016">
        <v>1.586019E-2</v>
      </c>
      <c r="X10016">
        <v>0.99917699999999998</v>
      </c>
      <c r="Y10016">
        <v>-2.2392479999999999E-2</v>
      </c>
      <c r="Z10016">
        <v>1.385533E-3</v>
      </c>
      <c r="AA10016">
        <v>0.99974830000000003</v>
      </c>
      <c r="AB10016">
        <v>38</v>
      </c>
      <c r="AC10016">
        <v>-3.96979999999999</v>
      </c>
      <c r="AD10016">
        <v>0.470806</v>
      </c>
      <c r="AE10016">
        <v>339.35845999999998</v>
      </c>
      <c r="AF10016">
        <v>-7.6080040800600504</v>
      </c>
      <c r="AG10016">
        <v>0.470806</v>
      </c>
      <c r="AH10016">
        <v>339.29573920730201</v>
      </c>
      <c r="AI10016">
        <v>89.920516536134897</v>
      </c>
      <c r="AJ10016">
        <v>91.284523911812101</v>
      </c>
      <c r="AK10016">
        <v>339.38135191639702</v>
      </c>
      <c r="AL10016">
        <v>89.091239903660906</v>
      </c>
      <c r="AM10016">
        <v>87.860268013532703</v>
      </c>
      <c r="AN10016">
        <v>0.99999995021659605</v>
      </c>
    </row>
    <row r="10017" spans="1:40" x14ac:dyDescent="0.25">
      <c r="A10017" t="str">
        <f>"20190312154149080"</f>
        <v>20190312154149080</v>
      </c>
      <c r="B10017" t="str">
        <f>"1552376509075772"</f>
        <v>1552376509075772</v>
      </c>
      <c r="C10017" t="s">
        <v>40</v>
      </c>
      <c r="D10017">
        <v>3.8789289999999998</v>
      </c>
      <c r="E10017">
        <v>0.51483230000000002</v>
      </c>
      <c r="F10017" t="s">
        <v>51</v>
      </c>
      <c r="G10017">
        <v>-192.52809999999999</v>
      </c>
      <c r="H10017">
        <v>1.5605</v>
      </c>
      <c r="I10017">
        <v>391.87</v>
      </c>
      <c r="J10017">
        <v>-188.24250000000001</v>
      </c>
      <c r="K10017">
        <v>1.1098870000000001</v>
      </c>
      <c r="L10017">
        <v>54.793520000000001</v>
      </c>
      <c r="M10017">
        <v>1.075041E-2</v>
      </c>
      <c r="N10017">
        <v>0</v>
      </c>
      <c r="O10017">
        <v>0.99983080000000002</v>
      </c>
      <c r="P10017">
        <v>4.6985180000000001E-2</v>
      </c>
      <c r="Q10017">
        <v>6.0966220000000003E-3</v>
      </c>
      <c r="R10017">
        <v>0.99887700000000001</v>
      </c>
      <c r="S10017">
        <v>-3.7734990000000003E-2</v>
      </c>
      <c r="T10017">
        <v>3.9912460000000004E-3</v>
      </c>
      <c r="U10017">
        <v>3.00528</v>
      </c>
      <c r="V10017">
        <v>3.6244419999999999E-2</v>
      </c>
      <c r="W10017">
        <v>2.1005820000000001E-2</v>
      </c>
      <c r="X10017">
        <v>0.99912210000000001</v>
      </c>
      <c r="Y10017">
        <v>-2.3305269999999999E-2</v>
      </c>
      <c r="Z10017">
        <v>1.3277289999999999E-3</v>
      </c>
      <c r="AA10017">
        <v>0.99972749999999999</v>
      </c>
      <c r="AB10017">
        <v>38</v>
      </c>
      <c r="AC10017">
        <v>-4.2855999999999801</v>
      </c>
      <c r="AD10017">
        <v>0.45061299999999899</v>
      </c>
      <c r="AE10017">
        <v>337.07648</v>
      </c>
      <c r="AF10017">
        <v>-7.9094522689474598</v>
      </c>
      <c r="AG10017">
        <v>0.45061299999999899</v>
      </c>
      <c r="AH10017">
        <v>337.01031764367701</v>
      </c>
      <c r="AI10017">
        <v>89.923411543320597</v>
      </c>
      <c r="AJ10017">
        <v>91.344454549669294</v>
      </c>
      <c r="AK10017">
        <v>337.10342134953601</v>
      </c>
      <c r="AL10017">
        <v>88.796366565281502</v>
      </c>
      <c r="AM10017">
        <v>87.922434025022696</v>
      </c>
      <c r="AN10017">
        <v>0.99999993658170705</v>
      </c>
    </row>
    <row r="10018" spans="1:40" x14ac:dyDescent="0.25">
      <c r="A10018" t="str">
        <f>"20190312154149103"</f>
        <v>20190312154149103</v>
      </c>
      <c r="B10018" t="str">
        <f>"1552376509096268"</f>
        <v>1552376509096268</v>
      </c>
      <c r="C10018" t="s">
        <v>40</v>
      </c>
      <c r="D10018">
        <v>4.3854980000000001</v>
      </c>
      <c r="E10018">
        <v>0.52744669999999905</v>
      </c>
      <c r="F10018" t="s">
        <v>41</v>
      </c>
      <c r="G10018">
        <v>-188.167</v>
      </c>
      <c r="H10018">
        <v>0.8880749</v>
      </c>
      <c r="I10018">
        <v>55.728839999999998</v>
      </c>
      <c r="J10018">
        <v>-188.23840000000001</v>
      </c>
      <c r="K10018">
        <v>1.10989</v>
      </c>
      <c r="L10018">
        <v>55.1706199999999</v>
      </c>
      <c r="M10018">
        <v>1.074985E-2</v>
      </c>
      <c r="N10018">
        <v>0</v>
      </c>
      <c r="O10018">
        <v>0.99983089999999997</v>
      </c>
      <c r="P10018">
        <v>4.6542600000000003E-2</v>
      </c>
      <c r="Q10018">
        <v>4.8179750000000004E-3</v>
      </c>
      <c r="R10018">
        <v>0.99890469999999998</v>
      </c>
      <c r="S10018">
        <v>0.24192810000000001</v>
      </c>
      <c r="T10018">
        <v>-0.71057419999999905</v>
      </c>
      <c r="U10018">
        <v>2.9963069999999998</v>
      </c>
      <c r="V10018">
        <v>3.5801890000000003E-2</v>
      </c>
      <c r="W10018">
        <v>1.9725779999999998E-2</v>
      </c>
      <c r="X10018">
        <v>0.99916419999999995</v>
      </c>
      <c r="Y10018">
        <v>6.7599800000000002E-2</v>
      </c>
      <c r="Z10018">
        <v>-0.23011309999999999</v>
      </c>
      <c r="AA10018">
        <v>0.97081320000000004</v>
      </c>
      <c r="AB10018">
        <v>38</v>
      </c>
      <c r="AC10018">
        <v>7.1400000000011205E-2</v>
      </c>
      <c r="AD10018">
        <v>-0.22181509999999999</v>
      </c>
      <c r="AE10018">
        <v>0.55822000000001204</v>
      </c>
      <c r="AF10018">
        <v>5.6601176865309903E-2</v>
      </c>
      <c r="AG10018">
        <v>-0.22181509999999999</v>
      </c>
      <c r="AH10018">
        <v>0.483795548988049</v>
      </c>
      <c r="AI10018">
        <v>114.483730811226</v>
      </c>
      <c r="AJ10018">
        <v>83.327072631699707</v>
      </c>
      <c r="AK10018">
        <v>0.53522309837225501</v>
      </c>
      <c r="AL10018">
        <v>88.869722739486406</v>
      </c>
      <c r="AM10018">
        <v>87.947864855111604</v>
      </c>
      <c r="AN10018">
        <v>0.99999999014290997</v>
      </c>
    </row>
    <row r="10019" spans="1:40" x14ac:dyDescent="0.25">
      <c r="A10019" t="str">
        <f>"20190312154149125"</f>
        <v>20190312154149125</v>
      </c>
      <c r="B10019" t="str">
        <f>"1552376509115793"</f>
        <v>1552376509115793</v>
      </c>
      <c r="C10019" t="s">
        <v>40</v>
      </c>
      <c r="D10019">
        <v>4.3789350000000002</v>
      </c>
      <c r="E10019">
        <v>0.53245019999999998</v>
      </c>
      <c r="F10019" t="s">
        <v>41</v>
      </c>
      <c r="G10019">
        <v>-188.13229999999999</v>
      </c>
      <c r="H10019">
        <v>0.93768580000000001</v>
      </c>
      <c r="I10019">
        <v>56.090949999999999</v>
      </c>
      <c r="J10019">
        <v>-188.23429999999999</v>
      </c>
      <c r="K10019">
        <v>1.109901</v>
      </c>
      <c r="L10019">
        <v>55.549990000000001</v>
      </c>
      <c r="M10019">
        <v>1.0749649999999999E-2</v>
      </c>
      <c r="N10019">
        <v>0</v>
      </c>
      <c r="O10019">
        <v>0.99983089999999997</v>
      </c>
      <c r="P10019">
        <v>4.6916729999999997E-2</v>
      </c>
      <c r="Q10019">
        <v>4.8645939999999999E-3</v>
      </c>
      <c r="R10019">
        <v>0.99888690000000002</v>
      </c>
      <c r="S10019">
        <v>0.3445435</v>
      </c>
      <c r="T10019">
        <v>-0.55944709999999997</v>
      </c>
      <c r="U10019">
        <v>2.9899290000000001</v>
      </c>
      <c r="V10019">
        <v>3.6176260000000002E-2</v>
      </c>
      <c r="W10019">
        <v>1.9770590000000001E-2</v>
      </c>
      <c r="X10019">
        <v>0.99914990000000004</v>
      </c>
      <c r="Y10019">
        <v>0.1018609</v>
      </c>
      <c r="Z10019">
        <v>-0.1828409</v>
      </c>
      <c r="AA10019">
        <v>0.97785149999999998</v>
      </c>
      <c r="AB10019">
        <v>38</v>
      </c>
      <c r="AC10019">
        <v>0.102000000000003</v>
      </c>
      <c r="AD10019">
        <v>-0.17221520000000001</v>
      </c>
      <c r="AE10019">
        <v>0.540959999999998</v>
      </c>
      <c r="AF10019">
        <v>8.7604639781179799E-2</v>
      </c>
      <c r="AG10019">
        <v>-0.17221520000000001</v>
      </c>
      <c r="AH10019">
        <v>0.49370720606108598</v>
      </c>
      <c r="AI10019">
        <v>108.95531207593299</v>
      </c>
      <c r="AJ10019">
        <v>79.938024686146306</v>
      </c>
      <c r="AK10019">
        <v>0.530169268572664</v>
      </c>
      <c r="AL10019">
        <v>88.867154894335002</v>
      </c>
      <c r="AM10019">
        <v>87.926395255970306</v>
      </c>
      <c r="AN10019">
        <v>1.0000000603432699</v>
      </c>
    </row>
    <row r="10020" spans="1:40" x14ac:dyDescent="0.25">
      <c r="A10020" t="str">
        <f>"20190312154149147"</f>
        <v>20190312154149147</v>
      </c>
      <c r="B10020" t="str">
        <f>"1552376509136288"</f>
        <v>1552376509136288</v>
      </c>
      <c r="C10020" t="s">
        <v>40</v>
      </c>
      <c r="D10020">
        <v>4.2819520000000004</v>
      </c>
      <c r="E10020">
        <v>0.55620150000000002</v>
      </c>
      <c r="F10020" t="s">
        <v>41</v>
      </c>
      <c r="G10020">
        <v>-188.11869999999999</v>
      </c>
      <c r="H10020">
        <v>0.96434569999999997</v>
      </c>
      <c r="I10020">
        <v>56.442799999999998</v>
      </c>
      <c r="J10020">
        <v>-188.2303</v>
      </c>
      <c r="K10020">
        <v>1.109912</v>
      </c>
      <c r="L10020">
        <v>55.9285</v>
      </c>
      <c r="M10020">
        <v>1.0749710000000001E-2</v>
      </c>
      <c r="N10020">
        <v>0</v>
      </c>
      <c r="O10020">
        <v>0.99983100000000003</v>
      </c>
      <c r="P10020">
        <v>4.6494199999999902E-2</v>
      </c>
      <c r="Q10020">
        <v>6.7136000000000001E-3</v>
      </c>
      <c r="R10020">
        <v>0.99889600000000001</v>
      </c>
      <c r="S10020">
        <v>0.38713069999999999</v>
      </c>
      <c r="T10020">
        <v>-0.4870582</v>
      </c>
      <c r="U10020">
        <v>2.987549</v>
      </c>
      <c r="V10020">
        <v>3.575362E-2</v>
      </c>
      <c r="W10020">
        <v>2.1616989999999999E-2</v>
      </c>
      <c r="X10020">
        <v>0.99912679999999998</v>
      </c>
      <c r="Y10020">
        <v>0.116188899999999</v>
      </c>
      <c r="Z10020">
        <v>-0.15969659999999999</v>
      </c>
      <c r="AA10020">
        <v>0.98030459999999997</v>
      </c>
      <c r="AB10020">
        <v>38</v>
      </c>
      <c r="AC10020">
        <v>0.111600000000009</v>
      </c>
      <c r="AD10020">
        <v>-0.14556629999999901</v>
      </c>
      <c r="AE10020">
        <v>0.51429999999999798</v>
      </c>
      <c r="AF10020">
        <v>9.8526320401496406E-2</v>
      </c>
      <c r="AG10020">
        <v>-0.14556629999999901</v>
      </c>
      <c r="AH10020">
        <v>0.47883540051777901</v>
      </c>
      <c r="AI10020">
        <v>106.581567657283</v>
      </c>
      <c r="AJ10020">
        <v>78.372959573213194</v>
      </c>
      <c r="AK10020">
        <v>0.51007874323144498</v>
      </c>
      <c r="AL10020">
        <v>88.761341211180095</v>
      </c>
      <c r="AM10020">
        <v>87.950552643299702</v>
      </c>
      <c r="AN10020">
        <v>0.999999989039002</v>
      </c>
    </row>
    <row r="10021" spans="1:40" x14ac:dyDescent="0.25">
      <c r="A10021" t="str">
        <f>"20190312154149171"</f>
        <v>20190312154149171</v>
      </c>
      <c r="B10021" t="str">
        <f>"1552376509166540"</f>
        <v>1552376509166540</v>
      </c>
      <c r="C10021" t="s">
        <v>40</v>
      </c>
      <c r="D10021">
        <v>4.240545</v>
      </c>
      <c r="E10021">
        <v>0.55346070000000003</v>
      </c>
      <c r="F10021" t="s">
        <v>101</v>
      </c>
      <c r="G10021">
        <v>-166.1865</v>
      </c>
      <c r="H10021">
        <v>5.0085139999999999</v>
      </c>
      <c r="I10021">
        <v>167.20179999999999</v>
      </c>
      <c r="J10021">
        <v>-188.2261</v>
      </c>
      <c r="K10021">
        <v>1.1099190000000001</v>
      </c>
      <c r="L10021">
        <v>56.315460000000002</v>
      </c>
      <c r="M10021">
        <v>1.074988E-2</v>
      </c>
      <c r="N10021">
        <v>0</v>
      </c>
      <c r="O10021">
        <v>0.99983100000000003</v>
      </c>
      <c r="P10021">
        <v>4.6344280000000002E-2</v>
      </c>
      <c r="Q10021">
        <v>8.1610339999999993E-3</v>
      </c>
      <c r="R10021">
        <v>0.99889220000000001</v>
      </c>
      <c r="S10021">
        <v>0.58940119999999996</v>
      </c>
      <c r="T10021">
        <v>0.1042396</v>
      </c>
      <c r="U10021">
        <v>2.9751889999999999</v>
      </c>
      <c r="V10021">
        <v>3.5603549999999998E-2</v>
      </c>
      <c r="W10021">
        <v>2.3061439999999999E-2</v>
      </c>
      <c r="X10021">
        <v>0.99909990000000004</v>
      </c>
      <c r="Y10021">
        <v>0.18365670000000001</v>
      </c>
      <c r="Z10021">
        <v>3.4380319999999999E-2</v>
      </c>
      <c r="AA10021">
        <v>0.98238899999999996</v>
      </c>
      <c r="AB10021">
        <v>38</v>
      </c>
      <c r="AC10021">
        <v>22.0396</v>
      </c>
      <c r="AD10021">
        <v>3.8985949999999998</v>
      </c>
      <c r="AE10021">
        <v>110.88634</v>
      </c>
      <c r="AF10021">
        <v>20.821419186256001</v>
      </c>
      <c r="AG10021">
        <v>3.8985949999999998</v>
      </c>
      <c r="AH10021">
        <v>110.984904016182</v>
      </c>
      <c r="AI10021">
        <v>88.022652076817295</v>
      </c>
      <c r="AJ10021">
        <v>79.374485087804999</v>
      </c>
      <c r="AK10021">
        <v>112.988404092566</v>
      </c>
      <c r="AL10021">
        <v>88.678559705582401</v>
      </c>
      <c r="AM10021">
        <v>87.959092673509005</v>
      </c>
      <c r="AN10021">
        <v>1.0000000264837401</v>
      </c>
    </row>
    <row r="10022" spans="1:40" x14ac:dyDescent="0.25">
      <c r="A10022" t="str">
        <f>"20190312154149193"</f>
        <v>20190312154149193</v>
      </c>
      <c r="B10022" t="str">
        <f>"1552376509186061"</f>
        <v>1552376509186061</v>
      </c>
      <c r="C10022" t="s">
        <v>40</v>
      </c>
      <c r="D10022">
        <v>4.2917630000000004</v>
      </c>
      <c r="E10022">
        <v>0.55194219999999905</v>
      </c>
      <c r="F10022" t="s">
        <v>75</v>
      </c>
      <c r="G10022">
        <v>-166.4126</v>
      </c>
      <c r="H10022">
        <v>4.2378260000000001</v>
      </c>
      <c r="I10022">
        <v>170.94839999999999</v>
      </c>
      <c r="J10022">
        <v>-188.22200000000001</v>
      </c>
      <c r="K10022">
        <v>1.109915</v>
      </c>
      <c r="L10022">
        <v>56.704680000000003</v>
      </c>
      <c r="M10022">
        <v>1.0750030000000001E-2</v>
      </c>
      <c r="N10022">
        <v>0</v>
      </c>
      <c r="O10022">
        <v>0.99983109999999997</v>
      </c>
      <c r="P10022">
        <v>4.6568320000000003E-2</v>
      </c>
      <c r="Q10022">
        <v>8.4561410000000004E-3</v>
      </c>
      <c r="R10022">
        <v>0.99887930000000003</v>
      </c>
      <c r="S10022">
        <v>0.56637569999999904</v>
      </c>
      <c r="T10022">
        <v>8.1215140000000005E-2</v>
      </c>
      <c r="U10022">
        <v>2.9763790000000001</v>
      </c>
      <c r="V10022">
        <v>3.5827520000000002E-2</v>
      </c>
      <c r="W10022">
        <v>2.3353189999999999E-2</v>
      </c>
      <c r="X10022">
        <v>0.99908509999999995</v>
      </c>
      <c r="Y10022">
        <v>0.17629610000000001</v>
      </c>
      <c r="Z10022">
        <v>2.681998E-2</v>
      </c>
      <c r="AA10022">
        <v>0.9839717</v>
      </c>
      <c r="AB10022">
        <v>38</v>
      </c>
      <c r="AC10022">
        <v>21.8094</v>
      </c>
      <c r="AD10022">
        <v>3.1279110000000001</v>
      </c>
      <c r="AE10022">
        <v>114.24372</v>
      </c>
      <c r="AF10022">
        <v>20.565005631851498</v>
      </c>
      <c r="AG10022">
        <v>3.1279110000000001</v>
      </c>
      <c r="AH10022">
        <v>114.388861281172</v>
      </c>
      <c r="AI10022">
        <v>88.458367010323997</v>
      </c>
      <c r="AJ10022">
        <v>79.808150761650296</v>
      </c>
      <c r="AK10022">
        <v>116.264847950983</v>
      </c>
      <c r="AL10022">
        <v>88.661839136761998</v>
      </c>
      <c r="AM10022">
        <v>87.946234572302401</v>
      </c>
      <c r="AN10022">
        <v>1.0000000098572599</v>
      </c>
    </row>
    <row r="10023" spans="1:40" x14ac:dyDescent="0.25">
      <c r="A10023" t="str">
        <f>"20190312154149217"</f>
        <v>20190312154149217</v>
      </c>
      <c r="B10023" t="str">
        <f>"1552376509205580"</f>
        <v>1552376509205580</v>
      </c>
      <c r="C10023" t="s">
        <v>40</v>
      </c>
      <c r="D10023">
        <v>4.2943499999999997</v>
      </c>
      <c r="E10023">
        <v>0.54949459999999894</v>
      </c>
      <c r="F10023" t="s">
        <v>75</v>
      </c>
      <c r="G10023">
        <v>-166.85059999999999</v>
      </c>
      <c r="H10023">
        <v>3.7010619999999999</v>
      </c>
      <c r="I10023">
        <v>171.3862</v>
      </c>
      <c r="J10023">
        <v>-188.21770000000001</v>
      </c>
      <c r="K10023">
        <v>1.1099239999999999</v>
      </c>
      <c r="L10023">
        <v>57.09854</v>
      </c>
      <c r="M10023">
        <v>1.075011E-2</v>
      </c>
      <c r="N10023">
        <v>0</v>
      </c>
      <c r="O10023">
        <v>0.99983109999999997</v>
      </c>
      <c r="P10023">
        <v>4.6468490000000001E-2</v>
      </c>
      <c r="Q10023">
        <v>9.2336229999999998E-3</v>
      </c>
      <c r="R10023">
        <v>0.99887709999999996</v>
      </c>
      <c r="S10023">
        <v>0.55476380000000003</v>
      </c>
      <c r="T10023">
        <v>6.7262409999999995E-2</v>
      </c>
      <c r="U10023">
        <v>2.9769290000000002</v>
      </c>
      <c r="V10023">
        <v>3.5727630000000003E-2</v>
      </c>
      <c r="W10023">
        <v>2.4127349999999999E-2</v>
      </c>
      <c r="X10023">
        <v>0.99907029999999997</v>
      </c>
      <c r="Y10023">
        <v>0.17257529999999999</v>
      </c>
      <c r="Z10023">
        <v>2.2226159999999998E-2</v>
      </c>
      <c r="AA10023">
        <v>0.9847456</v>
      </c>
      <c r="AB10023">
        <v>38</v>
      </c>
      <c r="AC10023">
        <v>21.367100000000001</v>
      </c>
      <c r="AD10023">
        <v>2.5911379999999999</v>
      </c>
      <c r="AE10023">
        <v>114.28766</v>
      </c>
      <c r="AF10023">
        <v>20.127127212974901</v>
      </c>
      <c r="AG10023">
        <v>2.5911379999999999</v>
      </c>
      <c r="AH10023">
        <v>114.453933727596</v>
      </c>
      <c r="AI10023">
        <v>88.722687757433206</v>
      </c>
      <c r="AJ10023">
        <v>80.026311397382202</v>
      </c>
      <c r="AK10023">
        <v>116.23905622338501</v>
      </c>
      <c r="AL10023">
        <v>88.617470556290598</v>
      </c>
      <c r="AM10023">
        <v>87.951925438580702</v>
      </c>
      <c r="AN10023">
        <v>1.0000000284527599</v>
      </c>
    </row>
    <row r="10024" spans="1:40" x14ac:dyDescent="0.25">
      <c r="A10024" t="str">
        <f>"20190312154149237"</f>
        <v>20190312154149237</v>
      </c>
      <c r="B10024" t="str">
        <f>"1552376509226076"</f>
        <v>1552376509226076</v>
      </c>
      <c r="C10024" t="s">
        <v>40</v>
      </c>
      <c r="D10024">
        <v>4.2694590000000003</v>
      </c>
      <c r="E10024">
        <v>0.54825069999999998</v>
      </c>
      <c r="F10024" t="s">
        <v>75</v>
      </c>
      <c r="G10024">
        <v>-167.577</v>
      </c>
      <c r="H10024">
        <v>3.2747510000000002</v>
      </c>
      <c r="I10024">
        <v>172.1122</v>
      </c>
      <c r="J10024">
        <v>-188.2139</v>
      </c>
      <c r="K10024">
        <v>1.109928</v>
      </c>
      <c r="L10024">
        <v>57.448459999999997</v>
      </c>
      <c r="M10024">
        <v>1.0750010000000001E-2</v>
      </c>
      <c r="N10024">
        <v>0</v>
      </c>
      <c r="O10024">
        <v>0.99983109999999997</v>
      </c>
      <c r="P10024">
        <v>4.6754009999999999E-2</v>
      </c>
      <c r="Q10024">
        <v>9.5165489999999991E-3</v>
      </c>
      <c r="R10024">
        <v>0.99886109999999995</v>
      </c>
      <c r="S10024">
        <v>0.53443909999999994</v>
      </c>
      <c r="T10024">
        <v>5.6053760000000001E-2</v>
      </c>
      <c r="U10024">
        <v>2.9779969999999998</v>
      </c>
      <c r="V10024">
        <v>3.6013389999999999E-2</v>
      </c>
      <c r="W10024">
        <v>2.4407169999999999E-2</v>
      </c>
      <c r="X10024">
        <v>0.99905319999999997</v>
      </c>
      <c r="Y10024">
        <v>0.166018</v>
      </c>
      <c r="Z10024">
        <v>1.853906E-2</v>
      </c>
      <c r="AA10024">
        <v>0.98594839999999995</v>
      </c>
      <c r="AB10024">
        <v>38</v>
      </c>
      <c r="AC10024">
        <v>20.636900000000001</v>
      </c>
      <c r="AD10024">
        <v>2.1648230000000002</v>
      </c>
      <c r="AE10024">
        <v>114.663739999999</v>
      </c>
      <c r="AF10024">
        <v>19.396237175326899</v>
      </c>
      <c r="AG10024">
        <v>2.1648230000000002</v>
      </c>
      <c r="AH10024">
        <v>114.839334857526</v>
      </c>
      <c r="AI10024">
        <v>88.935130141353198</v>
      </c>
      <c r="AJ10024">
        <v>80.413282235376698</v>
      </c>
      <c r="AK10024">
        <v>116.485936085443</v>
      </c>
      <c r="AL10024">
        <v>88.601433268476796</v>
      </c>
      <c r="AM10024">
        <v>87.935523154409793</v>
      </c>
      <c r="AN10024">
        <v>0.99999998531847001</v>
      </c>
    </row>
    <row r="10025" spans="1:40" x14ac:dyDescent="0.25">
      <c r="A10025" t="str">
        <f>"20190312154149259"</f>
        <v>20190312154149259</v>
      </c>
      <c r="B10025" t="str">
        <f>"1552376509245596"</f>
        <v>1552376509245596</v>
      </c>
      <c r="C10025" t="s">
        <v>40</v>
      </c>
      <c r="D10025">
        <v>4.2903640000000003</v>
      </c>
      <c r="E10025">
        <v>0.54728080000000001</v>
      </c>
      <c r="F10025" t="s">
        <v>75</v>
      </c>
      <c r="G10025">
        <v>-167.92920000000001</v>
      </c>
      <c r="H10025">
        <v>2.9390200000000002</v>
      </c>
      <c r="I10025">
        <v>172.46420000000001</v>
      </c>
      <c r="J10025">
        <v>-188.21010000000001</v>
      </c>
      <c r="K10025">
        <v>1.1099349999999999</v>
      </c>
      <c r="L10025">
        <v>57.808500000000002</v>
      </c>
      <c r="M10025">
        <v>1.074496E-2</v>
      </c>
      <c r="N10025">
        <v>0</v>
      </c>
      <c r="O10025">
        <v>0.99983129999999998</v>
      </c>
      <c r="P10025">
        <v>4.7237410000000001E-2</v>
      </c>
      <c r="Q10025">
        <v>9.4866859999999994E-3</v>
      </c>
      <c r="R10025">
        <v>0.99883869999999997</v>
      </c>
      <c r="S10025">
        <v>0.52528379999999997</v>
      </c>
      <c r="T10025">
        <v>4.7366140000000001E-2</v>
      </c>
      <c r="U10025">
        <v>2.9783940000000002</v>
      </c>
      <c r="V10025">
        <v>3.6501890000000002E-2</v>
      </c>
      <c r="W10025">
        <v>2.4374280000000002E-2</v>
      </c>
      <c r="X10025">
        <v>0.99903629999999999</v>
      </c>
      <c r="Y10025">
        <v>0.1630701</v>
      </c>
      <c r="Z10025">
        <v>1.567253E-2</v>
      </c>
      <c r="AA10025">
        <v>0.98648999999999998</v>
      </c>
      <c r="AB10025">
        <v>38</v>
      </c>
      <c r="AC10025">
        <v>20.280899999999999</v>
      </c>
      <c r="AD10025">
        <v>1.8290849999999901</v>
      </c>
      <c r="AE10025">
        <v>114.6557</v>
      </c>
      <c r="AF10025">
        <v>19.0429220531948</v>
      </c>
      <c r="AG10025">
        <v>1.8290849999999901</v>
      </c>
      <c r="AH10025">
        <v>114.838682241895</v>
      </c>
      <c r="AI10025">
        <v>89.099793326719706</v>
      </c>
      <c r="AJ10025">
        <v>80.584703078322306</v>
      </c>
      <c r="AK10025">
        <v>116.42122388686801</v>
      </c>
      <c r="AL10025">
        <v>88.603318323509598</v>
      </c>
      <c r="AM10025">
        <v>87.907509127397006</v>
      </c>
      <c r="AN10025">
        <v>1.00000001110839</v>
      </c>
    </row>
    <row r="10026" spans="1:40" x14ac:dyDescent="0.25">
      <c r="A10026" t="str">
        <f>"20190312154149281"</f>
        <v>20190312154149281</v>
      </c>
      <c r="B10026" t="str">
        <f>"1552376509275851"</f>
        <v>1552376509275851</v>
      </c>
      <c r="C10026" t="s">
        <v>40</v>
      </c>
      <c r="D10026">
        <v>4.319903</v>
      </c>
      <c r="E10026">
        <v>0.54708389999999996</v>
      </c>
      <c r="F10026" t="s">
        <v>48</v>
      </c>
      <c r="G10026">
        <v>-177.46879999999999</v>
      </c>
      <c r="H10026">
        <v>1.9362360000000001</v>
      </c>
      <c r="I10026">
        <v>119.4935</v>
      </c>
      <c r="J10026">
        <v>-188.20599999999999</v>
      </c>
      <c r="K10026">
        <v>1.109939</v>
      </c>
      <c r="L10026">
        <v>58.186579999999999</v>
      </c>
      <c r="M10026">
        <v>1.073258E-2</v>
      </c>
      <c r="N10026">
        <v>0</v>
      </c>
      <c r="O10026">
        <v>0.99983140000000004</v>
      </c>
      <c r="P10026">
        <v>4.8353609999999998E-2</v>
      </c>
      <c r="Q10026">
        <v>8.6746810000000001E-3</v>
      </c>
      <c r="R10026">
        <v>0.99879260000000003</v>
      </c>
      <c r="S10026">
        <v>0.5186615</v>
      </c>
      <c r="T10026">
        <v>3.9899469999999999E-2</v>
      </c>
      <c r="U10026">
        <v>2.978577</v>
      </c>
      <c r="V10026">
        <v>3.7630579999999997E-2</v>
      </c>
      <c r="W10026">
        <v>2.355865E-2</v>
      </c>
      <c r="X10026">
        <v>0.99901399999999996</v>
      </c>
      <c r="Y10026">
        <v>0.160949799999999</v>
      </c>
      <c r="Z10026">
        <v>1.320647E-2</v>
      </c>
      <c r="AA10026">
        <v>0.98687420000000003</v>
      </c>
      <c r="AB10026">
        <v>38</v>
      </c>
      <c r="AC10026">
        <v>10.7372</v>
      </c>
      <c r="AD10026">
        <v>0.82629699999999995</v>
      </c>
      <c r="AE10026">
        <v>61.306919999999899</v>
      </c>
      <c r="AF10026">
        <v>10.076750938912101</v>
      </c>
      <c r="AG10026">
        <v>0.82629699999999995</v>
      </c>
      <c r="AH10026">
        <v>61.407815640256999</v>
      </c>
      <c r="AI10026">
        <v>89.239253829019304</v>
      </c>
      <c r="AJ10026">
        <v>80.681068443290201</v>
      </c>
      <c r="AK10026">
        <v>62.234584419957898</v>
      </c>
      <c r="AL10026">
        <v>88.650063921845998</v>
      </c>
      <c r="AM10026">
        <v>87.842818457211806</v>
      </c>
      <c r="AN10026">
        <v>1.0000000213684701</v>
      </c>
    </row>
    <row r="10027" spans="1:40" x14ac:dyDescent="0.25">
      <c r="A10027" t="str">
        <f>"20190312154149305"</f>
        <v>20190312154149305</v>
      </c>
      <c r="B10027" t="str">
        <f>"1552376509296348"</f>
        <v>1552376509296348</v>
      </c>
      <c r="C10027" t="s">
        <v>40</v>
      </c>
      <c r="D10027">
        <v>4.2674839999999996</v>
      </c>
      <c r="E10027">
        <v>0.54684730000000004</v>
      </c>
      <c r="F10027" t="s">
        <v>48</v>
      </c>
      <c r="G10027">
        <v>-177.4932</v>
      </c>
      <c r="H10027">
        <v>1.8678589999999999</v>
      </c>
      <c r="I10027">
        <v>119.48350000000001</v>
      </c>
      <c r="J10027">
        <v>-188.20179999999999</v>
      </c>
      <c r="K10027">
        <v>1.1099429999999999</v>
      </c>
      <c r="L10027">
        <v>58.576900000000002</v>
      </c>
      <c r="M10027">
        <v>1.070364E-2</v>
      </c>
      <c r="N10027">
        <v>0</v>
      </c>
      <c r="O10027">
        <v>0.99983180000000005</v>
      </c>
      <c r="P10027">
        <v>4.8782029999999997E-2</v>
      </c>
      <c r="Q10027">
        <v>8.115466E-3</v>
      </c>
      <c r="R10027">
        <v>0.99877649999999996</v>
      </c>
      <c r="S10027">
        <v>0.52047730000000003</v>
      </c>
      <c r="T10027">
        <v>3.6823269999999998E-2</v>
      </c>
      <c r="U10027">
        <v>2.9780880000000001</v>
      </c>
      <c r="V10027">
        <v>3.808748E-2</v>
      </c>
      <c r="W10027">
        <v>2.2996610000000001E-2</v>
      </c>
      <c r="X10027">
        <v>0.99900979999999995</v>
      </c>
      <c r="Y10027">
        <v>0.16159189999999901</v>
      </c>
      <c r="Z10027">
        <v>1.2189119999999999E-2</v>
      </c>
      <c r="AA10027">
        <v>0.98678239999999995</v>
      </c>
      <c r="AB10027">
        <v>38</v>
      </c>
      <c r="AC10027">
        <v>10.708599999999899</v>
      </c>
      <c r="AD10027">
        <v>0.75791599999999903</v>
      </c>
      <c r="AE10027">
        <v>60.906599999999997</v>
      </c>
      <c r="AF10027">
        <v>10.054481525578799</v>
      </c>
      <c r="AG10027">
        <v>0.75791599999999903</v>
      </c>
      <c r="AH10027">
        <v>61.008579923219799</v>
      </c>
      <c r="AI10027">
        <v>89.297717430015993</v>
      </c>
      <c r="AJ10027">
        <v>80.641526082915107</v>
      </c>
      <c r="AK10027">
        <v>61.836185681679602</v>
      </c>
      <c r="AL10027">
        <v>88.682275194500306</v>
      </c>
      <c r="AM10027">
        <v>87.816642587279205</v>
      </c>
      <c r="AN10027">
        <v>1.0000000403501399</v>
      </c>
    </row>
    <row r="10028" spans="1:40" x14ac:dyDescent="0.25">
      <c r="A10028" t="str">
        <f>"20190312154149326"</f>
        <v>20190312154149326</v>
      </c>
      <c r="B10028" t="str">
        <f>"1552376509315871"</f>
        <v>1552376509315871</v>
      </c>
      <c r="C10028" t="s">
        <v>40</v>
      </c>
      <c r="D10028">
        <v>4.2763429999999998</v>
      </c>
      <c r="E10028">
        <v>0.54662900000000003</v>
      </c>
      <c r="F10028" t="s">
        <v>48</v>
      </c>
      <c r="G10028">
        <v>-177.56469999999999</v>
      </c>
      <c r="H10028">
        <v>1.856187</v>
      </c>
      <c r="I10028">
        <v>119.5179</v>
      </c>
      <c r="J10028">
        <v>-188.19800000000001</v>
      </c>
      <c r="K10028">
        <v>1.109961</v>
      </c>
      <c r="L10028">
        <v>58.940309999999997</v>
      </c>
      <c r="M10028">
        <v>1.0655090000000001E-2</v>
      </c>
      <c r="N10028">
        <v>0</v>
      </c>
      <c r="O10028">
        <v>0.99983230000000001</v>
      </c>
      <c r="P10028">
        <v>4.9328999999999998E-2</v>
      </c>
      <c r="Q10028">
        <v>8.0384010000000006E-3</v>
      </c>
      <c r="R10028">
        <v>0.99875020000000003</v>
      </c>
      <c r="S10028">
        <v>0.51980590000000004</v>
      </c>
      <c r="T10028">
        <v>3.6466600000000002E-2</v>
      </c>
      <c r="U10028">
        <v>2.9779969999999998</v>
      </c>
      <c r="V10028">
        <v>3.8682359999999999E-2</v>
      </c>
      <c r="W10028">
        <v>2.2917949999999999E-2</v>
      </c>
      <c r="X10028">
        <v>0.99898869999999895</v>
      </c>
      <c r="Y10028">
        <v>0.1614293</v>
      </c>
      <c r="Z10028">
        <v>1.207184E-2</v>
      </c>
      <c r="AA10028">
        <v>0.98681039999999998</v>
      </c>
      <c r="AB10028">
        <v>38</v>
      </c>
      <c r="AC10028">
        <v>10.633299999999901</v>
      </c>
      <c r="AD10028">
        <v>0.74622599999999895</v>
      </c>
      <c r="AE10028">
        <v>60.577590000000001</v>
      </c>
      <c r="AF10028">
        <v>9.9856949696902806</v>
      </c>
      <c r="AG10028">
        <v>0.74622599999999895</v>
      </c>
      <c r="AH10028">
        <v>60.678529270733101</v>
      </c>
      <c r="AI10028">
        <v>89.304761182154394</v>
      </c>
      <c r="AJ10028">
        <v>80.654757608309893</v>
      </c>
      <c r="AK10028">
        <v>61.499226594567702</v>
      </c>
      <c r="AL10028">
        <v>88.686783202409302</v>
      </c>
      <c r="AM10028">
        <v>87.782528197972198</v>
      </c>
      <c r="AN10028">
        <v>0.99999999006753004</v>
      </c>
    </row>
    <row r="10029" spans="1:40" x14ac:dyDescent="0.25">
      <c r="A10029" t="str">
        <f>"20190312154149349"</f>
        <v>20190312154149349</v>
      </c>
      <c r="B10029" t="str">
        <f>"1552376509336368"</f>
        <v>1552376509336368</v>
      </c>
      <c r="C10029" t="s">
        <v>40</v>
      </c>
      <c r="D10029">
        <v>4.3182410000000004</v>
      </c>
      <c r="E10029">
        <v>0.54646289999999997</v>
      </c>
      <c r="F10029" t="s">
        <v>48</v>
      </c>
      <c r="G10029">
        <v>-177.6054</v>
      </c>
      <c r="H10029">
        <v>1.8413580000000001</v>
      </c>
      <c r="I10029">
        <v>119.6216</v>
      </c>
      <c r="J10029">
        <v>-188.1942</v>
      </c>
      <c r="K10029">
        <v>1.109985</v>
      </c>
      <c r="L10029">
        <v>59.3078</v>
      </c>
      <c r="M10029">
        <v>1.0579079999999999E-2</v>
      </c>
      <c r="N10029">
        <v>0</v>
      </c>
      <c r="O10029">
        <v>0.99983319999999998</v>
      </c>
      <c r="P10029">
        <v>4.9571759999999999E-2</v>
      </c>
      <c r="Q10029">
        <v>8.7145419999999901E-3</v>
      </c>
      <c r="R10029">
        <v>0.99873259999999997</v>
      </c>
      <c r="S10029">
        <v>0.51980590000000004</v>
      </c>
      <c r="T10029">
        <v>3.5891529999999998E-2</v>
      </c>
      <c r="U10029">
        <v>2.9777830000000001</v>
      </c>
      <c r="V10029">
        <v>3.9000010000000002E-2</v>
      </c>
      <c r="W10029">
        <v>2.359201E-2</v>
      </c>
      <c r="X10029">
        <v>0.99896070000000003</v>
      </c>
      <c r="Y10029">
        <v>0.16151660000000001</v>
      </c>
      <c r="Z10029">
        <v>1.188227E-2</v>
      </c>
      <c r="AA10029">
        <v>0.98679850000000002</v>
      </c>
      <c r="AB10029">
        <v>38</v>
      </c>
      <c r="AC10029">
        <v>10.5887999999999</v>
      </c>
      <c r="AD10029">
        <v>0.73137300000000005</v>
      </c>
      <c r="AE10029">
        <v>60.313800000000001</v>
      </c>
      <c r="AF10029">
        <v>9.9486529373019295</v>
      </c>
      <c r="AG10029">
        <v>0.73137300000000005</v>
      </c>
      <c r="AH10029">
        <v>60.413838452351001</v>
      </c>
      <c r="AI10029">
        <v>89.315624699992796</v>
      </c>
      <c r="AJ10029">
        <v>80.648739676953795</v>
      </c>
      <c r="AK10029">
        <v>61.231874691852902</v>
      </c>
      <c r="AL10029">
        <v>88.648152017570297</v>
      </c>
      <c r="AM10029">
        <v>87.764274668483495</v>
      </c>
      <c r="AN10029">
        <v>1.0000000319301601</v>
      </c>
    </row>
    <row r="10030" spans="1:40" x14ac:dyDescent="0.25">
      <c r="A10030" t="str">
        <f>"20190312154149363"</f>
        <v>20190312154149363</v>
      </c>
      <c r="B10030" t="str">
        <f>"1552376509355885"</f>
        <v>1552376509355885</v>
      </c>
      <c r="C10030" t="s">
        <v>40</v>
      </c>
      <c r="D10030">
        <v>4.348052</v>
      </c>
      <c r="E10030">
        <v>0.5463462</v>
      </c>
      <c r="F10030" t="s">
        <v>75</v>
      </c>
      <c r="G10030">
        <v>-168.42420000000001</v>
      </c>
      <c r="H10030">
        <v>2.5735649999999999</v>
      </c>
      <c r="I10030">
        <v>172.69069999999999</v>
      </c>
      <c r="J10030">
        <v>-188.19159999999999</v>
      </c>
      <c r="K10030">
        <v>1.110006</v>
      </c>
      <c r="L10030">
        <v>59.553310000000003</v>
      </c>
      <c r="M10030">
        <v>1.05115E-2</v>
      </c>
      <c r="N10030">
        <v>0</v>
      </c>
      <c r="O10030">
        <v>0.99983390000000005</v>
      </c>
      <c r="P10030">
        <v>4.9640209999999997E-2</v>
      </c>
      <c r="Q10030">
        <v>8.8915769999999995E-3</v>
      </c>
      <c r="R10030">
        <v>0.99872760000000005</v>
      </c>
      <c r="S10030">
        <v>0.51921079999999997</v>
      </c>
      <c r="T10030">
        <v>3.8438199999999902E-2</v>
      </c>
      <c r="U10030">
        <v>2.977722</v>
      </c>
      <c r="V10030">
        <v>3.9135049999999998E-2</v>
      </c>
      <c r="W10030">
        <v>2.3767920000000001E-2</v>
      </c>
      <c r="X10030">
        <v>0.99895120000000004</v>
      </c>
      <c r="Y10030">
        <v>0.1613936</v>
      </c>
      <c r="Z10030">
        <v>1.272586E-2</v>
      </c>
      <c r="AA10030">
        <v>0.98680809999999997</v>
      </c>
      <c r="AB10030">
        <v>37</v>
      </c>
      <c r="AC10030">
        <v>19.767399999999899</v>
      </c>
      <c r="AD10030">
        <v>1.4635590000000001</v>
      </c>
      <c r="AE10030">
        <v>113.13739</v>
      </c>
      <c r="AF10030">
        <v>18.5739160036334</v>
      </c>
      <c r="AG10030">
        <v>1.4635590000000001</v>
      </c>
      <c r="AH10030">
        <v>113.320544458797</v>
      </c>
      <c r="AI10030">
        <v>89.269796368543695</v>
      </c>
      <c r="AJ10030">
        <v>80.6916464795477</v>
      </c>
      <c r="AK10030">
        <v>114.841970364039</v>
      </c>
      <c r="AL10030">
        <v>88.638070223735298</v>
      </c>
      <c r="AM10030">
        <v>87.756519911245405</v>
      </c>
      <c r="AN10030">
        <v>0.99999998307053395</v>
      </c>
    </row>
    <row r="10031" spans="1:40" x14ac:dyDescent="0.25">
      <c r="A10031" t="str">
        <f>"20190312154149383"</f>
        <v>20190312154149383</v>
      </c>
      <c r="B10031" t="str">
        <f>"1552376509376380"</f>
        <v>1552376509376380</v>
      </c>
      <c r="C10031" t="s">
        <v>40</v>
      </c>
      <c r="D10031">
        <v>4.4708069999999998</v>
      </c>
      <c r="E10031">
        <v>0.54609449999999904</v>
      </c>
      <c r="F10031" t="s">
        <v>75</v>
      </c>
      <c r="G10031">
        <v>-168.49209999999999</v>
      </c>
      <c r="H10031">
        <v>2.6032030000000002</v>
      </c>
      <c r="I10031">
        <v>172.69069999999999</v>
      </c>
      <c r="J10031">
        <v>-188.1883</v>
      </c>
      <c r="K10031">
        <v>1.110025</v>
      </c>
      <c r="L10031">
        <v>59.8780199999999</v>
      </c>
      <c r="M10031">
        <v>1.039937E-2</v>
      </c>
      <c r="N10031">
        <v>0</v>
      </c>
      <c r="O10031">
        <v>0.99983520000000004</v>
      </c>
      <c r="P10031">
        <v>4.8905299999999999E-2</v>
      </c>
      <c r="Q10031">
        <v>9.463206E-3</v>
      </c>
      <c r="R10031">
        <v>0.99875860000000005</v>
      </c>
      <c r="S10031">
        <v>0.51847840000000001</v>
      </c>
      <c r="T10031">
        <v>3.9300679999999998E-2</v>
      </c>
      <c r="U10031">
        <v>2.9776919999999998</v>
      </c>
      <c r="V10031">
        <v>3.8510429999999998E-2</v>
      </c>
      <c r="W10031">
        <v>2.4338530000000001E-2</v>
      </c>
      <c r="X10031">
        <v>0.99896169999999995</v>
      </c>
      <c r="Y10031">
        <v>0.16126979999999999</v>
      </c>
      <c r="Z10031">
        <v>1.301191E-2</v>
      </c>
      <c r="AA10031">
        <v>0.98682460000000005</v>
      </c>
      <c r="AB10031">
        <v>37</v>
      </c>
      <c r="AC10031">
        <v>19.696200000000001</v>
      </c>
      <c r="AD10031">
        <v>1.4931779999999899</v>
      </c>
      <c r="AE10031">
        <v>112.81268</v>
      </c>
      <c r="AF10031">
        <v>18.5186756817881</v>
      </c>
      <c r="AG10031">
        <v>1.4931779999999899</v>
      </c>
      <c r="AH10031">
        <v>112.992219599452</v>
      </c>
      <c r="AI10031">
        <v>89.252854440286399</v>
      </c>
      <c r="AJ10031">
        <v>80.692350611254398</v>
      </c>
      <c r="AK10031">
        <v>114.509443364107</v>
      </c>
      <c r="AL10031">
        <v>88.605367166944205</v>
      </c>
      <c r="AM10031">
        <v>87.792314727452506</v>
      </c>
      <c r="AN10031">
        <v>0.99999994766411604</v>
      </c>
    </row>
    <row r="10032" spans="1:40" x14ac:dyDescent="0.25">
      <c r="A10032" t="str">
        <f>"20190312154149406"</f>
        <v>20190312154149406</v>
      </c>
      <c r="B10032" t="str">
        <f>"1552376509395900"</f>
        <v>1552376509395900</v>
      </c>
      <c r="C10032" t="s">
        <v>40</v>
      </c>
      <c r="D10032">
        <v>4.4547970000000001</v>
      </c>
      <c r="E10032">
        <v>0.50170630000000005</v>
      </c>
      <c r="F10032" t="s">
        <v>75</v>
      </c>
      <c r="G10032">
        <v>-168.70320000000001</v>
      </c>
      <c r="H10032">
        <v>2.6383640000000002</v>
      </c>
      <c r="I10032">
        <v>172.69069999999999</v>
      </c>
      <c r="J10032">
        <v>-188.18440000000001</v>
      </c>
      <c r="K10032">
        <v>1.110052</v>
      </c>
      <c r="L10032">
        <v>60.263370000000002</v>
      </c>
      <c r="M10032">
        <v>1.023406E-2</v>
      </c>
      <c r="N10032">
        <v>0</v>
      </c>
      <c r="O10032">
        <v>0.99983699999999998</v>
      </c>
      <c r="P10032">
        <v>4.7701100000000003E-2</v>
      </c>
      <c r="Q10032">
        <v>8.726312E-3</v>
      </c>
      <c r="R10032">
        <v>0.99882349999999998</v>
      </c>
      <c r="S10032">
        <v>0.51438899999999999</v>
      </c>
      <c r="T10032">
        <v>4.0347580000000001E-2</v>
      </c>
      <c r="U10032">
        <v>2.9781490000000002</v>
      </c>
      <c r="V10032">
        <v>3.7469299999999997E-2</v>
      </c>
      <c r="W10032">
        <v>2.3601069999999998E-2</v>
      </c>
      <c r="X10032">
        <v>0.99901899999999999</v>
      </c>
      <c r="Y10032">
        <v>0.16009100000000001</v>
      </c>
      <c r="Z10032">
        <v>1.3359319999999999E-2</v>
      </c>
      <c r="AA10032">
        <v>0.98701179999999999</v>
      </c>
      <c r="AB10032">
        <v>37</v>
      </c>
      <c r="AC10032">
        <v>19.481200000000001</v>
      </c>
      <c r="AD10032">
        <v>1.5283119999999999</v>
      </c>
      <c r="AE10032">
        <v>112.42733</v>
      </c>
      <c r="AF10032">
        <v>18.326176426527098</v>
      </c>
      <c r="AG10032">
        <v>1.5283119999999999</v>
      </c>
      <c r="AH10032">
        <v>112.600633762141</v>
      </c>
      <c r="AI10032">
        <v>89.232478168820094</v>
      </c>
      <c r="AJ10032">
        <v>80.755949049614799</v>
      </c>
      <c r="AK10032">
        <v>114.09245024812699</v>
      </c>
      <c r="AL10032">
        <v>88.647632676838597</v>
      </c>
      <c r="AM10032">
        <v>87.852065931501599</v>
      </c>
      <c r="AN10032">
        <v>0.99999996065431596</v>
      </c>
    </row>
    <row r="10033" spans="1:40" x14ac:dyDescent="0.25">
      <c r="A10033" t="str">
        <f>"20190312154149428"</f>
        <v>20190312154149428</v>
      </c>
      <c r="B10033" t="str">
        <f>"1552376509416396"</f>
        <v>1552376509416396</v>
      </c>
      <c r="C10033" t="s">
        <v>40</v>
      </c>
      <c r="D10033">
        <v>4.4788300000000003</v>
      </c>
      <c r="E10033">
        <v>0.49155969999999999</v>
      </c>
      <c r="F10033" t="s">
        <v>54</v>
      </c>
      <c r="G10033">
        <v>-179.66589999999999</v>
      </c>
      <c r="H10033">
        <v>8.0001500000000003E-2</v>
      </c>
      <c r="I10033">
        <v>224.20859999999999</v>
      </c>
      <c r="J10033">
        <v>-188.1808</v>
      </c>
      <c r="K10033">
        <v>1.1100680000000001</v>
      </c>
      <c r="L10033">
        <v>60.631320000000002</v>
      </c>
      <c r="M10033">
        <v>1.0049789999999999E-2</v>
      </c>
      <c r="N10033">
        <v>0</v>
      </c>
      <c r="O10033">
        <v>0.99983889999999997</v>
      </c>
      <c r="P10033">
        <v>4.7459420000000002E-2</v>
      </c>
      <c r="Q10033">
        <v>7.8365850000000001E-3</v>
      </c>
      <c r="R10033">
        <v>0.99884240000000002</v>
      </c>
      <c r="S10033">
        <v>0.1556854</v>
      </c>
      <c r="T10033">
        <v>-1.8825290000000001E-2</v>
      </c>
      <c r="U10033">
        <v>2.9962770000000001</v>
      </c>
      <c r="V10033">
        <v>3.7410470000000001E-2</v>
      </c>
      <c r="W10033">
        <v>2.2709630000000001E-2</v>
      </c>
      <c r="X10033">
        <v>0.99904190000000004</v>
      </c>
      <c r="Y10033">
        <v>4.1848620000000003E-2</v>
      </c>
      <c r="Z10033">
        <v>-6.2753110000000004E-3</v>
      </c>
      <c r="AA10033">
        <v>0.99910429999999995</v>
      </c>
      <c r="AB10033">
        <v>37</v>
      </c>
      <c r="AC10033">
        <v>8.5149000000000097</v>
      </c>
      <c r="AD10033">
        <v>-1.0300665</v>
      </c>
      <c r="AE10033">
        <v>163.57728</v>
      </c>
      <c r="AF10033">
        <v>6.8700990694232598</v>
      </c>
      <c r="AG10033">
        <v>-1.0300665</v>
      </c>
      <c r="AH10033">
        <v>163.64812814349699</v>
      </c>
      <c r="AI10033">
        <v>90.360320328898396</v>
      </c>
      <c r="AJ10033">
        <v>87.596081987883693</v>
      </c>
      <c r="AK10033">
        <v>163.79551014325301</v>
      </c>
      <c r="AL10033">
        <v>88.698722172126395</v>
      </c>
      <c r="AM10033">
        <v>87.855484331693503</v>
      </c>
      <c r="AN10033">
        <v>0.99999999425798303</v>
      </c>
    </row>
    <row r="10034" spans="1:40" x14ac:dyDescent="0.25">
      <c r="A10034" t="str">
        <f>"20190312154149448"</f>
        <v>20190312154149448</v>
      </c>
      <c r="B10034" t="str">
        <f>"1552376509435916"</f>
        <v>1552376509435916</v>
      </c>
      <c r="C10034" t="s">
        <v>40</v>
      </c>
      <c r="D10034">
        <v>4.397583</v>
      </c>
      <c r="E10034">
        <v>0.48716880000000001</v>
      </c>
      <c r="F10034" t="s">
        <v>55</v>
      </c>
      <c r="G10034">
        <v>-185.8931</v>
      </c>
      <c r="H10034" s="1">
        <v>-1.238578E-5</v>
      </c>
      <c r="I10034">
        <v>153.6473</v>
      </c>
      <c r="J10034">
        <v>-188.17760000000001</v>
      </c>
      <c r="K10034">
        <v>1.1100840000000001</v>
      </c>
      <c r="L10034">
        <v>60.976529999999997</v>
      </c>
      <c r="M10034">
        <v>9.8574950000000008E-3</v>
      </c>
      <c r="N10034">
        <v>0</v>
      </c>
      <c r="O10034">
        <v>0.99984090000000003</v>
      </c>
      <c r="P10034">
        <v>4.7428400000000003E-2</v>
      </c>
      <c r="Q10034">
        <v>6.837709E-3</v>
      </c>
      <c r="R10034">
        <v>0.99885119999999905</v>
      </c>
      <c r="S10034">
        <v>7.3791499999999996E-2</v>
      </c>
      <c r="T10034">
        <v>-3.5805820000000002E-2</v>
      </c>
      <c r="U10034">
        <v>3.0002439999999999</v>
      </c>
      <c r="V10034">
        <v>3.7570840000000001E-2</v>
      </c>
      <c r="W10034">
        <v>2.1708990000000001E-2</v>
      </c>
      <c r="X10034">
        <v>0.99905809999999995</v>
      </c>
      <c r="Y10034">
        <v>1.472918E-2</v>
      </c>
      <c r="Z10034">
        <v>-1.1930140000000001E-2</v>
      </c>
      <c r="AA10034">
        <v>0.99982040000000005</v>
      </c>
      <c r="AB10034">
        <v>37</v>
      </c>
      <c r="AC10034">
        <v>2.2845</v>
      </c>
      <c r="AD10034">
        <v>-1.1100963857799999</v>
      </c>
      <c r="AE10034">
        <v>92.670769999999905</v>
      </c>
      <c r="AF10034">
        <v>1.37058981454775</v>
      </c>
      <c r="AG10034">
        <v>-1.1100963857799999</v>
      </c>
      <c r="AH10034">
        <v>92.675498047216905</v>
      </c>
      <c r="AI10034">
        <v>90.686199091189707</v>
      </c>
      <c r="AJ10034">
        <v>89.152707145052005</v>
      </c>
      <c r="AK10034">
        <v>92.692279984501198</v>
      </c>
      <c r="AL10034">
        <v>88.756068735596003</v>
      </c>
      <c r="AM10034">
        <v>87.846334819435299</v>
      </c>
      <c r="AN10034">
        <v>0.99999996772036703</v>
      </c>
    </row>
    <row r="10035" spans="1:40" x14ac:dyDescent="0.25">
      <c r="A10035" t="str">
        <f>"20190312154149471"</f>
        <v>20190312154149471</v>
      </c>
      <c r="B10035" t="str">
        <f>"1552376509456412"</f>
        <v>1552376509456412</v>
      </c>
      <c r="C10035" t="s">
        <v>40</v>
      </c>
      <c r="D10035">
        <v>4.4160279999999998</v>
      </c>
      <c r="E10035">
        <v>0.48471249999999999</v>
      </c>
      <c r="F10035" t="s">
        <v>55</v>
      </c>
      <c r="G10035">
        <v>-187.27670000000001</v>
      </c>
      <c r="H10035" s="1">
        <v>-5.5226630000000001E-6</v>
      </c>
      <c r="I10035">
        <v>131.2278</v>
      </c>
      <c r="J10035">
        <v>-188.17410000000001</v>
      </c>
      <c r="K10035">
        <v>1.1101000000000001</v>
      </c>
      <c r="L10035">
        <v>61.346710000000002</v>
      </c>
      <c r="M10035">
        <v>9.6354470000000001E-3</v>
      </c>
      <c r="N10035">
        <v>0</v>
      </c>
      <c r="O10035">
        <v>0.99984309999999998</v>
      </c>
      <c r="P10035">
        <v>4.712537E-2</v>
      </c>
      <c r="Q10035">
        <v>6.7437309999999898E-3</v>
      </c>
      <c r="R10035">
        <v>0.99886620000000004</v>
      </c>
      <c r="S10035">
        <v>3.8497919999999998E-2</v>
      </c>
      <c r="T10035">
        <v>-4.7435999999999999E-2</v>
      </c>
      <c r="U10035">
        <v>3.0019529999999999</v>
      </c>
      <c r="V10035">
        <v>3.748874E-2</v>
      </c>
      <c r="W10035">
        <v>2.1613170000000001E-2</v>
      </c>
      <c r="X10035">
        <v>0.99906329999999999</v>
      </c>
      <c r="Y10035">
        <v>3.1853239999999998E-3</v>
      </c>
      <c r="Z10035">
        <v>-1.5797950000000002E-2</v>
      </c>
      <c r="AA10035">
        <v>0.99987009999999998</v>
      </c>
      <c r="AB10035">
        <v>37</v>
      </c>
      <c r="AC10035">
        <v>0.89740000000000397</v>
      </c>
      <c r="AD10035">
        <v>-1.1101055226629899</v>
      </c>
      <c r="AE10035">
        <v>69.88109</v>
      </c>
      <c r="AF10035">
        <v>0.22389190859438099</v>
      </c>
      <c r="AG10035">
        <v>-1.1101055226629899</v>
      </c>
      <c r="AH10035">
        <v>69.868864329558207</v>
      </c>
      <c r="AI10035">
        <v>90.910257867709305</v>
      </c>
      <c r="AJ10035">
        <v>89.816398654187495</v>
      </c>
      <c r="AK10035">
        <v>69.878041361792498</v>
      </c>
      <c r="AL10035">
        <v>88.761560153309503</v>
      </c>
      <c r="AM10035">
        <v>87.851047777505002</v>
      </c>
      <c r="AN10035">
        <v>1.0000000060755601</v>
      </c>
    </row>
    <row r="10036" spans="1:40" x14ac:dyDescent="0.25">
      <c r="A10036" t="str">
        <f>"20190312154149494"</f>
        <v>20190312154149494</v>
      </c>
      <c r="B10036" t="str">
        <f>"1552376509486668"</f>
        <v>1552376509486668</v>
      </c>
      <c r="C10036" t="s">
        <v>40</v>
      </c>
      <c r="D10036">
        <v>4.3680409999999998</v>
      </c>
      <c r="E10036">
        <v>0.4828519</v>
      </c>
      <c r="F10036" t="s">
        <v>55</v>
      </c>
      <c r="G10036">
        <v>-187.8066</v>
      </c>
      <c r="H10036" s="1">
        <v>-2.1252309999999998E-6</v>
      </c>
      <c r="I10036">
        <v>122.94670000000001</v>
      </c>
      <c r="J10036">
        <v>-188.17070000000001</v>
      </c>
      <c r="K10036">
        <v>1.1101160000000001</v>
      </c>
      <c r="L10036">
        <v>61.729489999999998</v>
      </c>
      <c r="M10036">
        <v>9.3950360000000007E-3</v>
      </c>
      <c r="N10036">
        <v>0</v>
      </c>
      <c r="O10036">
        <v>0.9998454</v>
      </c>
      <c r="P10036">
        <v>4.6839760000000001E-2</v>
      </c>
      <c r="Q10036">
        <v>6.4106769999999896E-3</v>
      </c>
      <c r="R10036">
        <v>0.99888180000000004</v>
      </c>
      <c r="S10036">
        <v>1.791382E-2</v>
      </c>
      <c r="T10036">
        <v>-5.4116249999999998E-2</v>
      </c>
      <c r="U10036">
        <v>3.0029300000000001</v>
      </c>
      <c r="V10036">
        <v>3.7442700000000002E-2</v>
      </c>
      <c r="W10036">
        <v>2.127708E-2</v>
      </c>
      <c r="X10036">
        <v>0.99907230000000002</v>
      </c>
      <c r="Y10036">
        <v>-3.4317969999999999E-3</v>
      </c>
      <c r="Z10036">
        <v>-1.8016819999999999E-2</v>
      </c>
      <c r="AA10036">
        <v>0.99983180000000005</v>
      </c>
      <c r="AB10036">
        <v>37</v>
      </c>
      <c r="AC10036">
        <v>0.36410000000000697</v>
      </c>
      <c r="AD10036">
        <v>-1.110118125231</v>
      </c>
      <c r="AE10036">
        <v>61.217209999999902</v>
      </c>
      <c r="AF10036">
        <v>-0.21104810216679501</v>
      </c>
      <c r="AG10036">
        <v>-1.110118125231</v>
      </c>
      <c r="AH10036">
        <v>61.197804849370499</v>
      </c>
      <c r="AI10036">
        <v>91.039215871809901</v>
      </c>
      <c r="AJ10036">
        <v>90.197590708051607</v>
      </c>
      <c r="AK10036">
        <v>61.208236553057397</v>
      </c>
      <c r="AL10036">
        <v>88.780821193506895</v>
      </c>
      <c r="AM10036">
        <v>87.853703757148295</v>
      </c>
      <c r="AN10036">
        <v>1.0000000652719501</v>
      </c>
    </row>
    <row r="10037" spans="1:40" x14ac:dyDescent="0.25">
      <c r="A10037" t="str">
        <f>"20190312154149508"</f>
        <v>20190312154149508</v>
      </c>
      <c r="B10037" t="str">
        <f>"1552376509496427"</f>
        <v>1552376509496427</v>
      </c>
      <c r="C10037" t="s">
        <v>40</v>
      </c>
      <c r="D10037">
        <v>4.3660500000000004</v>
      </c>
      <c r="E10037">
        <v>0.48226059999999998</v>
      </c>
      <c r="F10037" t="s">
        <v>42</v>
      </c>
      <c r="G10037">
        <v>-188.1311</v>
      </c>
      <c r="H10037" s="1">
        <v>-3.8095070000000001E-6</v>
      </c>
      <c r="I10037">
        <v>117.7401</v>
      </c>
      <c r="J10037">
        <v>-188.1686</v>
      </c>
      <c r="K10037">
        <v>1.1101209999999999</v>
      </c>
      <c r="L10037">
        <v>61.960360000000001</v>
      </c>
      <c r="M10037">
        <v>9.2467350000000007E-3</v>
      </c>
      <c r="N10037">
        <v>0</v>
      </c>
      <c r="O10037">
        <v>0.99984680000000004</v>
      </c>
      <c r="P10037">
        <v>4.6482290000000002E-2</v>
      </c>
      <c r="Q10037">
        <v>6.5851440000000002E-3</v>
      </c>
      <c r="R10037">
        <v>0.99889740000000005</v>
      </c>
      <c r="S10037">
        <v>2.120972E-3</v>
      </c>
      <c r="T10037">
        <v>-5.9532050000000003E-2</v>
      </c>
      <c r="U10037">
        <v>3.0036619999999998</v>
      </c>
      <c r="V10037">
        <v>3.7232920000000003E-2</v>
      </c>
      <c r="W10037">
        <v>2.1449659999999999E-2</v>
      </c>
      <c r="X10037">
        <v>0.99907639999999998</v>
      </c>
      <c r="Y10037">
        <v>-8.5417949999999996E-3</v>
      </c>
      <c r="Z10037">
        <v>-1.98143E-2</v>
      </c>
      <c r="AA10037">
        <v>0.99976719999999997</v>
      </c>
      <c r="AB10037">
        <v>37</v>
      </c>
      <c r="AC10037">
        <v>3.7499999999994302E-2</v>
      </c>
      <c r="AD10037">
        <v>-1.110124809507</v>
      </c>
      <c r="AE10037">
        <v>55.779739999999997</v>
      </c>
      <c r="AF10037">
        <v>-0.47814965969293399</v>
      </c>
      <c r="AG10037">
        <v>-1.110124809507</v>
      </c>
      <c r="AH10037">
        <v>55.755617502161599</v>
      </c>
      <c r="AI10037">
        <v>91.140597634251193</v>
      </c>
      <c r="AJ10037">
        <v>90.491345753580504</v>
      </c>
      <c r="AK10037">
        <v>55.768717819554503</v>
      </c>
      <c r="AL10037">
        <v>88.7709307702968</v>
      </c>
      <c r="AM10037">
        <v>87.865726397302694</v>
      </c>
      <c r="AN10037">
        <v>1.0000000156414</v>
      </c>
    </row>
    <row r="10038" spans="1:40" x14ac:dyDescent="0.25">
      <c r="A10038" t="str">
        <f>"20190312154149527"</f>
        <v>20190312154149527</v>
      </c>
      <c r="B10038" t="str">
        <f>"1552376509515951"</f>
        <v>1552376509515951</v>
      </c>
      <c r="C10038" t="s">
        <v>40</v>
      </c>
      <c r="D10038">
        <v>4.3469980000000001</v>
      </c>
      <c r="E10038">
        <v>0.48155029999999999</v>
      </c>
      <c r="F10038" t="s">
        <v>42</v>
      </c>
      <c r="G10038">
        <v>-188.23660000000001</v>
      </c>
      <c r="H10038" s="1">
        <v>-3.3791910000000002E-6</v>
      </c>
      <c r="I10038">
        <v>116.78060000000001</v>
      </c>
      <c r="J10038">
        <v>-188.16579999999999</v>
      </c>
      <c r="K10038">
        <v>1.1101350000000001</v>
      </c>
      <c r="L10038">
        <v>62.284820000000003</v>
      </c>
      <c r="M10038">
        <v>9.0364199999999999E-3</v>
      </c>
      <c r="N10038">
        <v>0</v>
      </c>
      <c r="O10038">
        <v>0.99984879999999998</v>
      </c>
      <c r="P10038">
        <v>4.6089459999999999E-2</v>
      </c>
      <c r="Q10038">
        <v>6.4774250000000002E-3</v>
      </c>
      <c r="R10038">
        <v>0.99891629999999998</v>
      </c>
      <c r="S10038">
        <v>-3.7231450000000002E-3</v>
      </c>
      <c r="T10038">
        <v>-6.0829279999999999E-2</v>
      </c>
      <c r="U10038">
        <v>3.003876</v>
      </c>
      <c r="V10038">
        <v>3.7049810000000002E-2</v>
      </c>
      <c r="W10038">
        <v>2.1339529999999999E-2</v>
      </c>
      <c r="X10038">
        <v>0.99908549999999996</v>
      </c>
      <c r="Y10038">
        <v>-1.0276550000000001E-2</v>
      </c>
      <c r="Z10038">
        <v>-2.0244330000000001E-2</v>
      </c>
      <c r="AA10038">
        <v>0.99974229999999997</v>
      </c>
      <c r="AB10038">
        <v>37</v>
      </c>
      <c r="AC10038">
        <v>-7.0800000000019694E-2</v>
      </c>
      <c r="AD10038">
        <v>-1.110138379191</v>
      </c>
      <c r="AE10038">
        <v>54.495780000000003</v>
      </c>
      <c r="AF10038">
        <v>-0.56306455959318602</v>
      </c>
      <c r="AG10038">
        <v>-1.110138379191</v>
      </c>
      <c r="AH10038">
        <v>54.470310516233198</v>
      </c>
      <c r="AI10038">
        <v>91.167499176052502</v>
      </c>
      <c r="AJ10038">
        <v>90.592250595419102</v>
      </c>
      <c r="AK10038">
        <v>54.484531535602699</v>
      </c>
      <c r="AL10038">
        <v>88.777242118915893</v>
      </c>
      <c r="AM10038">
        <v>87.876232359866705</v>
      </c>
      <c r="AN10038">
        <v>0.999999950135952</v>
      </c>
    </row>
    <row r="10039" spans="1:40" x14ac:dyDescent="0.25">
      <c r="A10039" t="str">
        <f>"20190312154149549"</f>
        <v>20190312154149549</v>
      </c>
      <c r="B10039" t="str">
        <f>"1552376509536444"</f>
        <v>1552376509536444</v>
      </c>
      <c r="C10039" t="s">
        <v>40</v>
      </c>
      <c r="D10039">
        <v>4.3234029999999999</v>
      </c>
      <c r="E10039">
        <v>0.48103200000000002</v>
      </c>
      <c r="F10039" t="s">
        <v>42</v>
      </c>
      <c r="G10039">
        <v>-188.351</v>
      </c>
      <c r="H10039" s="1">
        <v>-2.782155E-6</v>
      </c>
      <c r="I10039">
        <v>115.4362</v>
      </c>
      <c r="J10039">
        <v>-188.1628</v>
      </c>
      <c r="K10039">
        <v>1.110142</v>
      </c>
      <c r="L10039">
        <v>62.641199999999998</v>
      </c>
      <c r="M10039">
        <v>8.8044100000000004E-3</v>
      </c>
      <c r="N10039">
        <v>0</v>
      </c>
      <c r="O10039">
        <v>0.99985089999999999</v>
      </c>
      <c r="P10039">
        <v>4.581321E-2</v>
      </c>
      <c r="Q10039">
        <v>6.8482969999999997E-3</v>
      </c>
      <c r="R10039">
        <v>0.99892650000000005</v>
      </c>
      <c r="S10039">
        <v>-1.0467529999999999E-2</v>
      </c>
      <c r="T10039">
        <v>-6.2745690000000007E-2</v>
      </c>
      <c r="U10039">
        <v>3.0041500000000001</v>
      </c>
      <c r="V10039">
        <v>3.7004839999999997E-2</v>
      </c>
      <c r="W10039">
        <v>2.1706610000000001E-2</v>
      </c>
      <c r="X10039">
        <v>0.9990793</v>
      </c>
      <c r="Y10039">
        <v>-1.2288769999999999E-2</v>
      </c>
      <c r="Z10039">
        <v>-2.0879720000000001E-2</v>
      </c>
      <c r="AA10039">
        <v>0.9997064</v>
      </c>
      <c r="AB10039">
        <v>37</v>
      </c>
      <c r="AC10039">
        <v>-0.18819999999999401</v>
      </c>
      <c r="AD10039">
        <v>-1.1101447821549999</v>
      </c>
      <c r="AE10039">
        <v>52.795000000000002</v>
      </c>
      <c r="AF10039">
        <v>-0.65278419533336995</v>
      </c>
      <c r="AG10039">
        <v>-1.1101447821549999</v>
      </c>
      <c r="AH10039">
        <v>52.767964788650197</v>
      </c>
      <c r="AI10039">
        <v>91.205132029772003</v>
      </c>
      <c r="AJ10039">
        <v>90.708760925099597</v>
      </c>
      <c r="AK10039">
        <v>52.783677937211301</v>
      </c>
      <c r="AL10039">
        <v>88.756205161147093</v>
      </c>
      <c r="AM10039">
        <v>87.878794620617995</v>
      </c>
      <c r="AN10039">
        <v>0.999999991394803</v>
      </c>
    </row>
    <row r="10040" spans="1:40" x14ac:dyDescent="0.25">
      <c r="A10040" t="str">
        <f>"20190312154149562"</f>
        <v>20190312154149562</v>
      </c>
      <c r="B10040" t="str">
        <f>"1552376509555964"</f>
        <v>1552376509555964</v>
      </c>
      <c r="C10040" t="s">
        <v>40</v>
      </c>
      <c r="D10040">
        <v>4.285425</v>
      </c>
      <c r="E10040">
        <v>0.48051650000000001</v>
      </c>
      <c r="F10040" t="s">
        <v>42</v>
      </c>
      <c r="G10040">
        <v>-188.4375</v>
      </c>
      <c r="H10040" s="1">
        <v>-2.9139690000000002E-6</v>
      </c>
      <c r="I10040">
        <v>115.7792</v>
      </c>
      <c r="J10040">
        <v>-188.1609</v>
      </c>
      <c r="K10040">
        <v>1.1101460000000001</v>
      </c>
      <c r="L10040">
        <v>62.86383</v>
      </c>
      <c r="M10040">
        <v>8.6595400000000003E-3</v>
      </c>
      <c r="N10040">
        <v>0</v>
      </c>
      <c r="O10040">
        <v>0.99985219999999997</v>
      </c>
      <c r="P10040">
        <v>4.5946149999999998E-2</v>
      </c>
      <c r="Q10040">
        <v>7.2648740000000002E-3</v>
      </c>
      <c r="R10040">
        <v>0.99891750000000001</v>
      </c>
      <c r="S10040">
        <v>-1.5533450000000001E-2</v>
      </c>
      <c r="T10040">
        <v>-6.2766310000000006E-2</v>
      </c>
      <c r="U10040">
        <v>3.0043639999999998</v>
      </c>
      <c r="V10040">
        <v>3.7282269999999999E-2</v>
      </c>
      <c r="W10040">
        <v>2.212136E-2</v>
      </c>
      <c r="X10040">
        <v>0.9990599</v>
      </c>
      <c r="Y10040">
        <v>-1.3829279999999999E-2</v>
      </c>
      <c r="Z10040">
        <v>-2.0884839999999998E-2</v>
      </c>
      <c r="AA10040">
        <v>0.99968619999999997</v>
      </c>
      <c r="AB10040">
        <v>37</v>
      </c>
      <c r="AC10040">
        <v>-0.27660000000000201</v>
      </c>
      <c r="AD10040">
        <v>-1.110148913969</v>
      </c>
      <c r="AE10040">
        <v>52.915370000000003</v>
      </c>
      <c r="AF10040">
        <v>-0.73453964064782795</v>
      </c>
      <c r="AG10040">
        <v>-1.110148913969</v>
      </c>
      <c r="AH10040">
        <v>52.887712244412498</v>
      </c>
      <c r="AI10040">
        <v>91.202384715330396</v>
      </c>
      <c r="AJ10040">
        <v>90.795710643564405</v>
      </c>
      <c r="AK10040">
        <v>52.904461867999899</v>
      </c>
      <c r="AL10040">
        <v>88.732436043015099</v>
      </c>
      <c r="AM10040">
        <v>87.862864904474904</v>
      </c>
      <c r="AN10040">
        <v>1.0000000030063001</v>
      </c>
    </row>
    <row r="10041" spans="1:40" x14ac:dyDescent="0.25">
      <c r="A10041" t="str">
        <f>"20190312154149584"</f>
        <v>20190312154149584</v>
      </c>
      <c r="B10041" t="str">
        <f>"1552376509576460"</f>
        <v>1552376509576460</v>
      </c>
      <c r="C10041" t="s">
        <v>40</v>
      </c>
      <c r="D10041">
        <v>4.2618790000000004</v>
      </c>
      <c r="E10041">
        <v>0.48010209999999998</v>
      </c>
      <c r="F10041" t="s">
        <v>42</v>
      </c>
      <c r="G10041">
        <v>-188.50299999999999</v>
      </c>
      <c r="H10041" s="1">
        <v>-3.0058699999999999E-6</v>
      </c>
      <c r="I10041">
        <v>116.0205</v>
      </c>
      <c r="J10041">
        <v>-188.15809999999999</v>
      </c>
      <c r="K10041">
        <v>1.1101559999999999</v>
      </c>
      <c r="L10041">
        <v>63.213990000000003</v>
      </c>
      <c r="M10041">
        <v>8.4320639999999995E-3</v>
      </c>
      <c r="N10041">
        <v>0</v>
      </c>
      <c r="O10041">
        <v>0.99985429999999997</v>
      </c>
      <c r="P10041">
        <v>4.6169040000000001E-2</v>
      </c>
      <c r="Q10041">
        <v>7.305293E-3</v>
      </c>
      <c r="R10041">
        <v>0.99890690000000004</v>
      </c>
      <c r="S10041">
        <v>-1.9332889999999998E-2</v>
      </c>
      <c r="T10041">
        <v>-6.2749620000000006E-2</v>
      </c>
      <c r="U10041">
        <v>3.0046080000000002</v>
      </c>
      <c r="V10041">
        <v>3.7732340000000003E-2</v>
      </c>
      <c r="W10041">
        <v>2.2158540000000001E-2</v>
      </c>
      <c r="X10041">
        <v>0.99904219999999999</v>
      </c>
      <c r="Y10041">
        <v>-1.486547E-2</v>
      </c>
      <c r="Z10041">
        <v>-2.0877429999999999E-2</v>
      </c>
      <c r="AA10041">
        <v>0.99967150000000005</v>
      </c>
      <c r="AB10041">
        <v>37</v>
      </c>
      <c r="AC10041">
        <v>-0.34489999999999499</v>
      </c>
      <c r="AD10041">
        <v>-1.1101590058699999</v>
      </c>
      <c r="AE10041">
        <v>52.806510000000003</v>
      </c>
      <c r="AF10041">
        <v>-0.78985557786452698</v>
      </c>
      <c r="AG10041">
        <v>-1.1101590058699999</v>
      </c>
      <c r="AH10041">
        <v>52.778398134267498</v>
      </c>
      <c r="AI10041">
        <v>91.204866590169701</v>
      </c>
      <c r="AJ10041">
        <v>90.857396482784694</v>
      </c>
      <c r="AK10041">
        <v>52.795981234100097</v>
      </c>
      <c r="AL10041">
        <v>88.730305290151193</v>
      </c>
      <c r="AM10041">
        <v>87.837051572887901</v>
      </c>
      <c r="AN10041">
        <v>1.00000002387882</v>
      </c>
    </row>
    <row r="10042" spans="1:40" x14ac:dyDescent="0.25">
      <c r="A10042" t="str">
        <f>"20190312154149607"</f>
        <v>20190312154149607</v>
      </c>
      <c r="B10042" t="str">
        <f>"1552376509595981"</f>
        <v>1552376509595981</v>
      </c>
      <c r="C10042" t="s">
        <v>40</v>
      </c>
      <c r="D10042">
        <v>4.2411899999999996</v>
      </c>
      <c r="E10042">
        <v>0.47970489999999999</v>
      </c>
      <c r="F10042" t="s">
        <v>42</v>
      </c>
      <c r="G10042">
        <v>-188.54310000000001</v>
      </c>
      <c r="H10042" s="1">
        <v>-3.1313879999999999E-6</v>
      </c>
      <c r="I10042">
        <v>116.3297</v>
      </c>
      <c r="J10042">
        <v>-188.15520000000001</v>
      </c>
      <c r="K10042">
        <v>1.11016</v>
      </c>
      <c r="L10042">
        <v>63.595759999999999</v>
      </c>
      <c r="M10042">
        <v>8.1845759999999903E-3</v>
      </c>
      <c r="N10042">
        <v>0</v>
      </c>
      <c r="O10042">
        <v>0.99985639999999998</v>
      </c>
      <c r="P10042">
        <v>4.6428520000000001E-2</v>
      </c>
      <c r="Q10042">
        <v>6.9639899999999998E-3</v>
      </c>
      <c r="R10042">
        <v>0.99889729999999999</v>
      </c>
      <c r="S10042">
        <v>-2.1774290000000002E-2</v>
      </c>
      <c r="T10042">
        <v>-6.2801839999999998E-2</v>
      </c>
      <c r="U10042">
        <v>3.0047609999999998</v>
      </c>
      <c r="V10042">
        <v>3.8239219999999997E-2</v>
      </c>
      <c r="W10042">
        <v>2.1813389999999998E-2</v>
      </c>
      <c r="X10042">
        <v>0.99903050000000004</v>
      </c>
      <c r="Y10042">
        <v>-1.542985E-2</v>
      </c>
      <c r="Z10042">
        <v>-2.089365E-2</v>
      </c>
      <c r="AA10042">
        <v>0.99966259999999996</v>
      </c>
      <c r="AB10042">
        <v>37</v>
      </c>
      <c r="AC10042">
        <v>-0.38790000000000102</v>
      </c>
      <c r="AD10042">
        <v>-1.110163131388</v>
      </c>
      <c r="AE10042">
        <v>52.733939999999997</v>
      </c>
      <c r="AF10042">
        <v>-0.81917643645070803</v>
      </c>
      <c r="AG10042">
        <v>-1.110163131388</v>
      </c>
      <c r="AH10042">
        <v>52.705640661540897</v>
      </c>
      <c r="AI10042">
        <v>91.206523225382298</v>
      </c>
      <c r="AJ10042">
        <v>90.890446887139802</v>
      </c>
      <c r="AK10042">
        <v>52.7236955244584</v>
      </c>
      <c r="AL10042">
        <v>88.750085680721</v>
      </c>
      <c r="AM10042">
        <v>87.807997965002201</v>
      </c>
      <c r="AN10042">
        <v>1.00000000092987</v>
      </c>
    </row>
    <row r="10043" spans="1:40" x14ac:dyDescent="0.25">
      <c r="A10043" t="str">
        <f>"20190312154149629"</f>
        <v>20190312154149629</v>
      </c>
      <c r="B10043" t="str">
        <f>"1552376509616476"</f>
        <v>1552376509616476</v>
      </c>
      <c r="C10043" t="s">
        <v>40</v>
      </c>
      <c r="D10043">
        <v>4.2577259999999999</v>
      </c>
      <c r="E10043">
        <v>0.47941210000000001</v>
      </c>
      <c r="F10043" t="s">
        <v>42</v>
      </c>
      <c r="G10043">
        <v>-188.57589999999999</v>
      </c>
      <c r="H10043" s="1">
        <v>-2.973387E-6</v>
      </c>
      <c r="I10043">
        <v>115.97499999999999</v>
      </c>
      <c r="J10043">
        <v>-188.1524</v>
      </c>
      <c r="K10043">
        <v>1.1101620000000001</v>
      </c>
      <c r="L10043">
        <v>63.955350000000003</v>
      </c>
      <c r="M10043">
        <v>7.9517129999999991E-3</v>
      </c>
      <c r="N10043">
        <v>0</v>
      </c>
      <c r="O10043">
        <v>0.99985829999999998</v>
      </c>
      <c r="P10043">
        <v>4.6488719999999997E-2</v>
      </c>
      <c r="Q10043">
        <v>6.3374460000000001E-3</v>
      </c>
      <c r="R10043">
        <v>0.99889870000000003</v>
      </c>
      <c r="S10043">
        <v>-2.4139399999999998E-2</v>
      </c>
      <c r="T10043">
        <v>-6.3687679999999997E-2</v>
      </c>
      <c r="U10043">
        <v>3.004883</v>
      </c>
      <c r="V10043">
        <v>3.853235E-2</v>
      </c>
      <c r="W10043">
        <v>2.1183159999999999E-2</v>
      </c>
      <c r="X10043">
        <v>0.99903280000000005</v>
      </c>
      <c r="Y10043">
        <v>-1.598341E-2</v>
      </c>
      <c r="Z10043">
        <v>-2.1187279999999999E-2</v>
      </c>
      <c r="AA10043">
        <v>0.99964770000000003</v>
      </c>
      <c r="AB10043">
        <v>37</v>
      </c>
      <c r="AC10043">
        <v>-0.42349999999999</v>
      </c>
      <c r="AD10043">
        <v>-1.110164973387</v>
      </c>
      <c r="AE10043">
        <v>52.019649999999899</v>
      </c>
      <c r="AF10043">
        <v>-0.83679638146876401</v>
      </c>
      <c r="AG10043">
        <v>-1.110164973387</v>
      </c>
      <c r="AH10043">
        <v>51.9909594111991</v>
      </c>
      <c r="AI10043">
        <v>91.223094747344405</v>
      </c>
      <c r="AJ10043">
        <v>90.922098036100195</v>
      </c>
      <c r="AK10043">
        <v>52.009542921940103</v>
      </c>
      <c r="AL10043">
        <v>88.786203548917101</v>
      </c>
      <c r="AM10043">
        <v>87.791216417303602</v>
      </c>
      <c r="AN10043">
        <v>1.00000000186997</v>
      </c>
    </row>
    <row r="10044" spans="1:40" x14ac:dyDescent="0.25">
      <c r="A10044" t="str">
        <f>"20190312154149650"</f>
        <v>20190312154149650</v>
      </c>
      <c r="B10044" t="str">
        <f>"1552376509635997"</f>
        <v>1552376509635997</v>
      </c>
      <c r="C10044" t="s">
        <v>40</v>
      </c>
      <c r="D10044">
        <v>4.2492320000000001</v>
      </c>
      <c r="E10044">
        <v>0.47904809999999998</v>
      </c>
      <c r="F10044" t="s">
        <v>42</v>
      </c>
      <c r="G10044">
        <v>-188.5993</v>
      </c>
      <c r="H10044" s="1">
        <v>-2.4239070000000002E-6</v>
      </c>
      <c r="I10044">
        <v>114.7038</v>
      </c>
      <c r="J10044">
        <v>-188.1499</v>
      </c>
      <c r="K10044">
        <v>1.1101650000000001</v>
      </c>
      <c r="L10044">
        <v>64.304230000000004</v>
      </c>
      <c r="M10044">
        <v>7.7258530000000004E-3</v>
      </c>
      <c r="N10044">
        <v>0</v>
      </c>
      <c r="O10044">
        <v>0.99986010000000003</v>
      </c>
      <c r="P10044">
        <v>4.687003E-2</v>
      </c>
      <c r="Q10044">
        <v>6.0258350000000002E-3</v>
      </c>
      <c r="R10044">
        <v>0.99888279999999996</v>
      </c>
      <c r="S10044">
        <v>-2.6458740000000001E-2</v>
      </c>
      <c r="T10044">
        <v>-6.5735699999999994E-2</v>
      </c>
      <c r="U10044">
        <v>3.0049440000000001</v>
      </c>
      <c r="V10044">
        <v>3.9139569999999999E-2</v>
      </c>
      <c r="W10044">
        <v>2.0868040000000001E-2</v>
      </c>
      <c r="X10044">
        <v>0.99901580000000001</v>
      </c>
      <c r="Y10044">
        <v>-1.652876E-2</v>
      </c>
      <c r="Z10044">
        <v>-2.186772E-2</v>
      </c>
      <c r="AA10044">
        <v>0.99962430000000002</v>
      </c>
      <c r="AB10044">
        <v>37</v>
      </c>
      <c r="AC10044">
        <v>-0.44939999999999702</v>
      </c>
      <c r="AD10044">
        <v>-1.1101674239070001</v>
      </c>
      <c r="AE10044">
        <v>50.399569999999997</v>
      </c>
      <c r="AF10044">
        <v>-0.83840234770819499</v>
      </c>
      <c r="AG10044">
        <v>-1.1101674239070001</v>
      </c>
      <c r="AH10044">
        <v>50.370155323602802</v>
      </c>
      <c r="AI10044">
        <v>91.262430217952598</v>
      </c>
      <c r="AJ10044">
        <v>90.953590082750793</v>
      </c>
      <c r="AK10044">
        <v>50.389363337212501</v>
      </c>
      <c r="AL10044">
        <v>88.804262554848194</v>
      </c>
      <c r="AM10044">
        <v>87.756405999802595</v>
      </c>
      <c r="AN10044">
        <v>0.99999997484143299</v>
      </c>
    </row>
    <row r="10045" spans="1:40" x14ac:dyDescent="0.25">
      <c r="A10045" t="str">
        <f>"20190312154149664"</f>
        <v>20190312154149664</v>
      </c>
      <c r="B10045" t="str">
        <f>"1552376509656493"</f>
        <v>1552376509656493</v>
      </c>
      <c r="C10045" t="s">
        <v>40</v>
      </c>
      <c r="D10045">
        <v>4.2216449999999996</v>
      </c>
      <c r="E10045">
        <v>0.47878559999999998</v>
      </c>
      <c r="F10045" t="s">
        <v>42</v>
      </c>
      <c r="G10045">
        <v>-188.62139999999999</v>
      </c>
      <c r="H10045" s="1">
        <v>-2.3450349999999999E-6</v>
      </c>
      <c r="I10045">
        <v>114.5291</v>
      </c>
      <c r="J10045">
        <v>-188.1482</v>
      </c>
      <c r="K10045">
        <v>1.1101650000000001</v>
      </c>
      <c r="L10045">
        <v>64.535889999999995</v>
      </c>
      <c r="M10045">
        <v>7.5758659999999997E-3</v>
      </c>
      <c r="N10045">
        <v>0</v>
      </c>
      <c r="O10045">
        <v>0.99986129999999995</v>
      </c>
      <c r="P10045">
        <v>4.6566219999999998E-2</v>
      </c>
      <c r="Q10045">
        <v>6.0912190000000001E-3</v>
      </c>
      <c r="R10045">
        <v>0.99889669999999997</v>
      </c>
      <c r="S10045">
        <v>-2.8213499999999999E-2</v>
      </c>
      <c r="T10045">
        <v>-6.6424490000000003E-2</v>
      </c>
      <c r="U10045">
        <v>3.005096</v>
      </c>
      <c r="V10045">
        <v>3.8985480000000003E-2</v>
      </c>
      <c r="W10045">
        <v>2.093097E-2</v>
      </c>
      <c r="X10045">
        <v>0.99902049999999998</v>
      </c>
      <c r="Y10045">
        <v>-1.696195E-2</v>
      </c>
      <c r="Z10045">
        <v>-2.209552E-2</v>
      </c>
      <c r="AA10045">
        <v>0.99961199999999995</v>
      </c>
      <c r="AB10045">
        <v>37</v>
      </c>
      <c r="AC10045">
        <v>-0.47319999999999102</v>
      </c>
      <c r="AD10045">
        <v>-1.110167345035</v>
      </c>
      <c r="AE10045">
        <v>49.993209999999898</v>
      </c>
      <c r="AF10045">
        <v>-0.85155006243828801</v>
      </c>
      <c r="AG10045">
        <v>-1.110167345035</v>
      </c>
      <c r="AH10045">
        <v>49.963553773571597</v>
      </c>
      <c r="AI10045">
        <v>91.2726918327308</v>
      </c>
      <c r="AJ10045">
        <v>90.976421763322804</v>
      </c>
      <c r="AK10045">
        <v>49.983140304780797</v>
      </c>
      <c r="AL10045">
        <v>88.800656133385303</v>
      </c>
      <c r="AM10045">
        <v>87.7652404164985</v>
      </c>
      <c r="AN10045">
        <v>0.99999996628811005</v>
      </c>
    </row>
    <row r="10046" spans="1:40" x14ac:dyDescent="0.25">
      <c r="A10046" t="str">
        <f>"20190312154149684"</f>
        <v>20190312154149684</v>
      </c>
      <c r="B10046" t="str">
        <f>"1552376509676013"</f>
        <v>1552376509676013</v>
      </c>
      <c r="C10046" t="s">
        <v>40</v>
      </c>
      <c r="D10046">
        <v>4.2235610000000001</v>
      </c>
      <c r="E10046">
        <v>0.4785606</v>
      </c>
      <c r="F10046" t="s">
        <v>42</v>
      </c>
      <c r="G10046">
        <v>-188.6712</v>
      </c>
      <c r="H10046" s="1">
        <v>-2.432555E-6</v>
      </c>
      <c r="I10046">
        <v>114.75369999999999</v>
      </c>
      <c r="J10046">
        <v>-188.14590000000001</v>
      </c>
      <c r="K10046">
        <v>1.110166</v>
      </c>
      <c r="L10046">
        <v>64.86703</v>
      </c>
      <c r="M10046">
        <v>7.36140699999999E-3</v>
      </c>
      <c r="N10046">
        <v>0</v>
      </c>
      <c r="O10046">
        <v>0.99986299999999995</v>
      </c>
      <c r="P10046">
        <v>4.6204099999999998E-2</v>
      </c>
      <c r="Q10046">
        <v>6.6455999999999998E-3</v>
      </c>
      <c r="R10046">
        <v>0.99890990000000002</v>
      </c>
      <c r="S10046">
        <v>-3.1295780000000002E-2</v>
      </c>
      <c r="T10046">
        <v>-6.6435220000000003E-2</v>
      </c>
      <c r="U10046">
        <v>3.0051570000000001</v>
      </c>
      <c r="V10046">
        <v>3.8837259999999998E-2</v>
      </c>
      <c r="W10046">
        <v>2.1482069999999999E-2</v>
      </c>
      <c r="X10046">
        <v>0.99901459999999997</v>
      </c>
      <c r="Y10046">
        <v>-1.7772449999999999E-2</v>
      </c>
      <c r="Z10046">
        <v>-2.2098429999999999E-2</v>
      </c>
      <c r="AA10046">
        <v>0.99959779999999998</v>
      </c>
      <c r="AB10046">
        <v>37</v>
      </c>
      <c r="AC10046">
        <v>-0.525299999999987</v>
      </c>
      <c r="AD10046">
        <v>-1.1101684325550001</v>
      </c>
      <c r="AE10046">
        <v>49.886670000000002</v>
      </c>
      <c r="AF10046">
        <v>-0.892120451935558</v>
      </c>
      <c r="AG10046">
        <v>-1.1101684325550001</v>
      </c>
      <c r="AH10046">
        <v>49.8567626972658</v>
      </c>
      <c r="AI10046">
        <v>91.275399303255</v>
      </c>
      <c r="AJ10046">
        <v>91.025122363190405</v>
      </c>
      <c r="AK10046">
        <v>49.8771003517734</v>
      </c>
      <c r="AL10046">
        <v>88.769073356482807</v>
      </c>
      <c r="AM10046">
        <v>87.773715112043305</v>
      </c>
      <c r="AN10046">
        <v>0.99999999155447605</v>
      </c>
    </row>
    <row r="10047" spans="1:40" x14ac:dyDescent="0.25">
      <c r="A10047" t="str">
        <f>"20190312154149707"</f>
        <v>20190312154149707</v>
      </c>
      <c r="B10047" t="str">
        <f>"1552376509696508"</f>
        <v>1552376509696508</v>
      </c>
      <c r="C10047" t="s">
        <v>40</v>
      </c>
      <c r="D10047">
        <v>4.2263120000000001</v>
      </c>
      <c r="E10047">
        <v>0.47833870000000001</v>
      </c>
      <c r="F10047" t="s">
        <v>42</v>
      </c>
      <c r="G10047">
        <v>-188.72970000000001</v>
      </c>
      <c r="H10047" s="1">
        <v>-3.0404510000000001E-6</v>
      </c>
      <c r="I10047">
        <v>116.1949</v>
      </c>
      <c r="J10047">
        <v>-188.14340000000001</v>
      </c>
      <c r="K10047">
        <v>1.110166</v>
      </c>
      <c r="L10047">
        <v>65.247739999999993</v>
      </c>
      <c r="M10047">
        <v>7.1147609999999998E-3</v>
      </c>
      <c r="N10047">
        <v>0</v>
      </c>
      <c r="O10047">
        <v>0.9998648</v>
      </c>
      <c r="P10047">
        <v>4.572565E-2</v>
      </c>
      <c r="Q10047">
        <v>7.1720319999999897E-3</v>
      </c>
      <c r="R10047">
        <v>0.99892829999999999</v>
      </c>
      <c r="S10047">
        <v>-3.4179689999999999E-2</v>
      </c>
      <c r="T10047">
        <v>-6.5001130000000004E-2</v>
      </c>
      <c r="U10047">
        <v>3.00528</v>
      </c>
      <c r="V10047">
        <v>3.8604880000000001E-2</v>
      </c>
      <c r="W10047">
        <v>2.2004079999999999E-2</v>
      </c>
      <c r="X10047">
        <v>0.99901220000000002</v>
      </c>
      <c r="Y10047">
        <v>-1.8484609999999999E-2</v>
      </c>
      <c r="Z10047">
        <v>-2.162056E-2</v>
      </c>
      <c r="AA10047">
        <v>0.99959529999999996</v>
      </c>
      <c r="AB10047">
        <v>37</v>
      </c>
      <c r="AC10047">
        <v>-0.58629999999999405</v>
      </c>
      <c r="AD10047">
        <v>-1.1101690404510001</v>
      </c>
      <c r="AE10047">
        <v>50.947159999999997</v>
      </c>
      <c r="AF10047">
        <v>-0.94835161395808998</v>
      </c>
      <c r="AG10047">
        <v>-1.1101690404510001</v>
      </c>
      <c r="AH10047">
        <v>50.917524416268598</v>
      </c>
      <c r="AI10047">
        <v>91.2488215026803</v>
      </c>
      <c r="AJ10047">
        <v>91.067024836535793</v>
      </c>
      <c r="AK10047">
        <v>50.938454420637697</v>
      </c>
      <c r="AL10047">
        <v>88.739157256198695</v>
      </c>
      <c r="AM10047">
        <v>87.787017335410297</v>
      </c>
      <c r="AN10047">
        <v>0.99999994602264797</v>
      </c>
    </row>
    <row r="10048" spans="1:40" x14ac:dyDescent="0.25">
      <c r="A10048" t="str">
        <f>"20190312154149722"</f>
        <v>20190312154149722</v>
      </c>
      <c r="B10048" t="str">
        <f>"1552376509706269"</f>
        <v>1552376509706269</v>
      </c>
      <c r="C10048" t="s">
        <v>40</v>
      </c>
      <c r="D10048">
        <v>4.203443</v>
      </c>
      <c r="E10048">
        <v>0.47823949999999998</v>
      </c>
      <c r="F10048" t="s">
        <v>42</v>
      </c>
      <c r="G10048">
        <v>-188.79730000000001</v>
      </c>
      <c r="H10048" s="1">
        <v>-3.7429619999999998E-6</v>
      </c>
      <c r="I10048">
        <v>117.8604</v>
      </c>
      <c r="J10048">
        <v>-188.14179999999999</v>
      </c>
      <c r="K10048">
        <v>1.110158</v>
      </c>
      <c r="L10048">
        <v>65.487089999999995</v>
      </c>
      <c r="M10048">
        <v>6.9596419999999899E-3</v>
      </c>
      <c r="N10048">
        <v>0</v>
      </c>
      <c r="O10048">
        <v>0.99986589999999997</v>
      </c>
      <c r="P10048">
        <v>4.5766719999999997E-2</v>
      </c>
      <c r="Q10048">
        <v>7.1666630000000002E-3</v>
      </c>
      <c r="R10048">
        <v>0.99892650000000005</v>
      </c>
      <c r="S10048">
        <v>-3.7353520000000001E-2</v>
      </c>
      <c r="T10048">
        <v>-6.3415769999999996E-2</v>
      </c>
      <c r="U10048">
        <v>3.0053709999999998</v>
      </c>
      <c r="V10048">
        <v>3.8800979999999999E-2</v>
      </c>
      <c r="W10048">
        <v>2.1995979999999998E-2</v>
      </c>
      <c r="X10048">
        <v>0.99900480000000003</v>
      </c>
      <c r="Y10048">
        <v>-1.9384760000000001E-2</v>
      </c>
      <c r="Z10048">
        <v>-2.1092550000000002E-2</v>
      </c>
      <c r="AA10048">
        <v>0.99958959999999997</v>
      </c>
      <c r="AB10048">
        <v>37</v>
      </c>
      <c r="AC10048">
        <v>-0.65550000000001696</v>
      </c>
      <c r="AD10048">
        <v>-1.1101617429620001</v>
      </c>
      <c r="AE10048">
        <v>52.373309999999897</v>
      </c>
      <c r="AF10048">
        <v>-1.01956562829957</v>
      </c>
      <c r="AG10048">
        <v>-1.1101617429620001</v>
      </c>
      <c r="AH10048">
        <v>52.343963437850597</v>
      </c>
      <c r="AI10048">
        <v>91.214772172642995</v>
      </c>
      <c r="AJ10048">
        <v>91.115876932259098</v>
      </c>
      <c r="AK10048">
        <v>52.365661282456699</v>
      </c>
      <c r="AL10048">
        <v>88.739621488065595</v>
      </c>
      <c r="AM10048">
        <v>87.775770919283502</v>
      </c>
      <c r="AN10048">
        <v>0.99999996480407904</v>
      </c>
    </row>
    <row r="10049" spans="1:40" x14ac:dyDescent="0.25">
      <c r="A10049" t="str">
        <f>"20190312154149739"</f>
        <v>20190312154149739</v>
      </c>
      <c r="B10049" t="str">
        <f>"1552376509725788"</f>
        <v>1552376509725788</v>
      </c>
      <c r="C10049" t="s">
        <v>40</v>
      </c>
      <c r="D10049">
        <v>4.1856900000000001</v>
      </c>
      <c r="E10049">
        <v>0.47801729999999998</v>
      </c>
      <c r="F10049" t="s">
        <v>42</v>
      </c>
      <c r="G10049">
        <v>-188.81039999999999</v>
      </c>
      <c r="H10049" s="1">
        <v>-3.96955E-6</v>
      </c>
      <c r="I10049">
        <v>118.39400000000001</v>
      </c>
      <c r="J10049">
        <v>-188.14</v>
      </c>
      <c r="K10049">
        <v>1.11016</v>
      </c>
      <c r="L10049">
        <v>65.770359999999997</v>
      </c>
      <c r="M10049">
        <v>6.7759919999999998E-3</v>
      </c>
      <c r="N10049">
        <v>0</v>
      </c>
      <c r="O10049">
        <v>0.99986730000000001</v>
      </c>
      <c r="P10049">
        <v>4.6207350000000001E-2</v>
      </c>
      <c r="Q10049">
        <v>6.9101419999999898E-3</v>
      </c>
      <c r="R10049">
        <v>0.99890800000000002</v>
      </c>
      <c r="S10049">
        <v>-3.797913E-2</v>
      </c>
      <c r="T10049">
        <v>-6.3063259999999996E-2</v>
      </c>
      <c r="U10049">
        <v>3.0054020000000001</v>
      </c>
      <c r="V10049">
        <v>3.9425389999999998E-2</v>
      </c>
      <c r="W10049">
        <v>2.1736640000000002E-2</v>
      </c>
      <c r="X10049">
        <v>0.99898609999999999</v>
      </c>
      <c r="Y10049">
        <v>-1.940907E-2</v>
      </c>
      <c r="Z10049">
        <v>-2.0975150000000001E-2</v>
      </c>
      <c r="AA10049">
        <v>0.99959160000000002</v>
      </c>
      <c r="AB10049">
        <v>37</v>
      </c>
      <c r="AC10049">
        <v>-0.6704</v>
      </c>
      <c r="AD10049">
        <v>-1.1101639695500001</v>
      </c>
      <c r="AE10049">
        <v>52.623640000000002</v>
      </c>
      <c r="AF10049">
        <v>-1.02654431157767</v>
      </c>
      <c r="AG10049">
        <v>-1.1101639695500001</v>
      </c>
      <c r="AH10049">
        <v>52.5944849390415</v>
      </c>
      <c r="AI10049">
        <v>91.208989095572505</v>
      </c>
      <c r="AJ10049">
        <v>91.118162663932694</v>
      </c>
      <c r="AK10049">
        <v>52.616215212289703</v>
      </c>
      <c r="AL10049">
        <v>88.754484217689907</v>
      </c>
      <c r="AM10049">
        <v>87.7399717735899</v>
      </c>
      <c r="AN10049">
        <v>1.00000003544417</v>
      </c>
    </row>
    <row r="10050" spans="1:40" x14ac:dyDescent="0.25">
      <c r="A10050" t="str">
        <f>"20190312154149761"</f>
        <v>20190312154149761</v>
      </c>
      <c r="B10050" t="str">
        <f>"1552376509756044"</f>
        <v>1552376509756044</v>
      </c>
      <c r="C10050" t="s">
        <v>40</v>
      </c>
      <c r="D10050">
        <v>4.213527</v>
      </c>
      <c r="E10050">
        <v>0.47772140000000002</v>
      </c>
      <c r="F10050" t="s">
        <v>42</v>
      </c>
      <c r="G10050">
        <v>-188.816</v>
      </c>
      <c r="H10050" s="1">
        <v>-3.8639560000000002E-6</v>
      </c>
      <c r="I10050">
        <v>118.1502</v>
      </c>
      <c r="J10050">
        <v>-188.1378</v>
      </c>
      <c r="K10050">
        <v>1.110168</v>
      </c>
      <c r="L10050">
        <v>66.128749999999997</v>
      </c>
      <c r="M10050">
        <v>6.5435519999999898E-3</v>
      </c>
      <c r="N10050">
        <v>0</v>
      </c>
      <c r="O10050">
        <v>0.99986889999999995</v>
      </c>
      <c r="P10050">
        <v>4.689364E-2</v>
      </c>
      <c r="Q10050">
        <v>6.8046390000000003E-3</v>
      </c>
      <c r="R10050">
        <v>0.99887669999999995</v>
      </c>
      <c r="S10050">
        <v>-3.8787839999999997E-2</v>
      </c>
      <c r="T10050">
        <v>-6.3700560000000003E-2</v>
      </c>
      <c r="U10050">
        <v>3.0055239999999999</v>
      </c>
      <c r="V10050">
        <v>4.0344209999999998E-2</v>
      </c>
      <c r="W10050">
        <v>2.1627469999999999E-2</v>
      </c>
      <c r="X10050">
        <v>0.9989517</v>
      </c>
      <c r="Y10050">
        <v>-1.9445E-2</v>
      </c>
      <c r="Z10050">
        <v>-2.1186179999999999E-2</v>
      </c>
      <c r="AA10050">
        <v>0.99958650000000004</v>
      </c>
      <c r="AB10050">
        <v>37</v>
      </c>
      <c r="AC10050">
        <v>-0.67819999999997505</v>
      </c>
      <c r="AD10050">
        <v>-1.1101718639560001</v>
      </c>
      <c r="AE10050">
        <v>52.021450000000002</v>
      </c>
      <c r="AF10050">
        <v>-1.01816426558621</v>
      </c>
      <c r="AG10050">
        <v>-1.1101718639560001</v>
      </c>
      <c r="AH10050">
        <v>51.992223229359503</v>
      </c>
      <c r="AI10050">
        <v>91.222996562425905</v>
      </c>
      <c r="AJ10050">
        <v>91.121880468290001</v>
      </c>
      <c r="AK10050">
        <v>52.014040569549998</v>
      </c>
      <c r="AL10050">
        <v>88.760740563640496</v>
      </c>
      <c r="AM10050">
        <v>87.6872781550925</v>
      </c>
      <c r="AN10050">
        <v>0.99999995083600601</v>
      </c>
    </row>
    <row r="10051" spans="1:40" x14ac:dyDescent="0.25">
      <c r="A10051" t="str">
        <f>"20190312154149785"</f>
        <v>20190312154149785</v>
      </c>
      <c r="B10051" t="str">
        <f>"1552376509776542"</f>
        <v>1552376509776542</v>
      </c>
      <c r="C10051" t="s">
        <v>40</v>
      </c>
      <c r="D10051">
        <v>4.1997859999999996</v>
      </c>
      <c r="E10051">
        <v>0.47754560000000001</v>
      </c>
      <c r="F10051" t="s">
        <v>42</v>
      </c>
      <c r="G10051">
        <v>-188.8134</v>
      </c>
      <c r="H10051" s="1">
        <v>-3.9800860000000003E-6</v>
      </c>
      <c r="I10051">
        <v>118.4198</v>
      </c>
      <c r="J10051">
        <v>-188.13550000000001</v>
      </c>
      <c r="K10051">
        <v>1.110169</v>
      </c>
      <c r="L10051">
        <v>66.516779999999997</v>
      </c>
      <c r="M10051">
        <v>6.2917600000000004E-3</v>
      </c>
      <c r="N10051">
        <v>0</v>
      </c>
      <c r="O10051">
        <v>0.9998705</v>
      </c>
      <c r="P10051">
        <v>4.7419660000000002E-2</v>
      </c>
      <c r="Q10051">
        <v>6.8968519999999898E-3</v>
      </c>
      <c r="R10051">
        <v>0.99885119999999905</v>
      </c>
      <c r="S10051">
        <v>-3.8833619999999999E-2</v>
      </c>
      <c r="T10051">
        <v>-6.3811779999999999E-2</v>
      </c>
      <c r="U10051">
        <v>3.005646</v>
      </c>
      <c r="V10051">
        <v>4.1121970000000001E-2</v>
      </c>
      <c r="W10051">
        <v>2.1715189999999999E-2</v>
      </c>
      <c r="X10051">
        <v>0.99891810000000003</v>
      </c>
      <c r="Y10051">
        <v>-1.9207910000000002E-2</v>
      </c>
      <c r="Z10051">
        <v>-2.1222390000000001E-2</v>
      </c>
      <c r="AA10051">
        <v>0.99959030000000004</v>
      </c>
      <c r="AB10051">
        <v>37</v>
      </c>
      <c r="AC10051">
        <v>-0.67789999999999395</v>
      </c>
      <c r="AD10051">
        <v>-1.1101729800860001</v>
      </c>
      <c r="AE10051">
        <v>51.903019999999898</v>
      </c>
      <c r="AF10051">
        <v>-1.0040244853698499</v>
      </c>
      <c r="AG10051">
        <v>-1.1101729800860001</v>
      </c>
      <c r="AH10051">
        <v>51.873998212552699</v>
      </c>
      <c r="AI10051">
        <v>91.225789688783195</v>
      </c>
      <c r="AJ10051">
        <v>91.108824953856598</v>
      </c>
      <c r="AK10051">
        <v>51.895589791126298</v>
      </c>
      <c r="AL10051">
        <v>88.755713418588201</v>
      </c>
      <c r="AM10051">
        <v>87.642663875019906</v>
      </c>
      <c r="AN10051">
        <v>0.99999996820051296</v>
      </c>
    </row>
    <row r="10052" spans="1:40" x14ac:dyDescent="0.25">
      <c r="A10052" t="str">
        <f>"20190312154149808"</f>
        <v>20190312154149808</v>
      </c>
      <c r="B10052" t="str">
        <f>"1552376509796060"</f>
        <v>1552376509796060</v>
      </c>
      <c r="C10052" t="s">
        <v>40</v>
      </c>
      <c r="D10052">
        <v>4.2043509999999999</v>
      </c>
      <c r="E10052">
        <v>0.4774004</v>
      </c>
      <c r="F10052" t="s">
        <v>42</v>
      </c>
      <c r="G10052">
        <v>-188.8133</v>
      </c>
      <c r="H10052" s="1">
        <v>-4.3518699999999901E-6</v>
      </c>
      <c r="I10052">
        <v>119.2864</v>
      </c>
      <c r="J10052">
        <v>-188.13339999999999</v>
      </c>
      <c r="K10052">
        <v>1.110169</v>
      </c>
      <c r="L10052">
        <v>66.891540000000006</v>
      </c>
      <c r="M10052">
        <v>6.04851E-3</v>
      </c>
      <c r="N10052">
        <v>0</v>
      </c>
      <c r="O10052">
        <v>0.99987210000000004</v>
      </c>
      <c r="P10052">
        <v>4.7457190000000003E-2</v>
      </c>
      <c r="Q10052">
        <v>6.7565000000000004E-3</v>
      </c>
      <c r="R10052">
        <v>0.99885040000000003</v>
      </c>
      <c r="S10052">
        <v>-3.8604739999999999E-2</v>
      </c>
      <c r="T10052">
        <v>-6.3235040000000006E-2</v>
      </c>
      <c r="U10052">
        <v>3.0057369999999999</v>
      </c>
      <c r="V10052">
        <v>4.1402649999999999E-2</v>
      </c>
      <c r="W10052">
        <v>2.1571219999999999E-2</v>
      </c>
      <c r="X10052">
        <v>0.99890970000000001</v>
      </c>
      <c r="Y10052">
        <v>-1.8888220000000001E-2</v>
      </c>
      <c r="Z10052">
        <v>-2.1030139999999999E-2</v>
      </c>
      <c r="AA10052">
        <v>0.99960039999999994</v>
      </c>
      <c r="AB10052">
        <v>37</v>
      </c>
      <c r="AC10052">
        <v>-0.67990000000000295</v>
      </c>
      <c r="AD10052">
        <v>-1.1101733518700001</v>
      </c>
      <c r="AE10052">
        <v>52.394860000000001</v>
      </c>
      <c r="AF10052">
        <v>-0.99638587536747203</v>
      </c>
      <c r="AG10052">
        <v>-1.1101733518700001</v>
      </c>
      <c r="AH10052">
        <v>52.366282306446301</v>
      </c>
      <c r="AI10052">
        <v>91.214277812282504</v>
      </c>
      <c r="AJ10052">
        <v>91.090049073946503</v>
      </c>
      <c r="AK10052">
        <v>52.387525158975301</v>
      </c>
      <c r="AL10052">
        <v>88.763964317208405</v>
      </c>
      <c r="AM10052">
        <v>87.626572165204905</v>
      </c>
      <c r="AN10052">
        <v>1.00000004285669</v>
      </c>
    </row>
    <row r="10053" spans="1:40" x14ac:dyDescent="0.25">
      <c r="A10053" t="str">
        <f>"20190312154149829"</f>
        <v>20190312154149829</v>
      </c>
      <c r="B10053" t="str">
        <f>"1552376509816556"</f>
        <v>1552376509816556</v>
      </c>
      <c r="C10053" t="s">
        <v>40</v>
      </c>
      <c r="D10053">
        <v>4.2085509999999999</v>
      </c>
      <c r="E10053">
        <v>0.47727779999999997</v>
      </c>
      <c r="F10053" t="s">
        <v>42</v>
      </c>
      <c r="G10053">
        <v>-188.82570000000001</v>
      </c>
      <c r="H10053" s="1">
        <v>-4.4082959999999997E-6</v>
      </c>
      <c r="I10053">
        <v>119.42310000000001</v>
      </c>
      <c r="J10053">
        <v>-188.13149999999999</v>
      </c>
      <c r="K10053">
        <v>1.1101719999999999</v>
      </c>
      <c r="L10053">
        <v>67.236359999999905</v>
      </c>
      <c r="M10053">
        <v>5.8245629999999996E-3</v>
      </c>
      <c r="N10053">
        <v>0</v>
      </c>
      <c r="O10053">
        <v>0.99987349999999997</v>
      </c>
      <c r="P10053">
        <v>4.727485E-2</v>
      </c>
      <c r="Q10053">
        <v>6.6081959999999898E-3</v>
      </c>
      <c r="R10053">
        <v>0.99886010000000003</v>
      </c>
      <c r="S10053">
        <v>-3.9611819999999999E-2</v>
      </c>
      <c r="T10053">
        <v>-6.3522339999999997E-2</v>
      </c>
      <c r="U10053">
        <v>3.0057680000000002</v>
      </c>
      <c r="V10053">
        <v>4.1444130000000003E-2</v>
      </c>
      <c r="W10053">
        <v>2.1418659999999999E-2</v>
      </c>
      <c r="X10053">
        <v>0.9989112</v>
      </c>
      <c r="Y10053">
        <v>-1.899899E-2</v>
      </c>
      <c r="Z10053">
        <v>-2.1125399999999999E-2</v>
      </c>
      <c r="AA10053">
        <v>0.99959629999999999</v>
      </c>
      <c r="AB10053">
        <v>36</v>
      </c>
      <c r="AC10053">
        <v>-0.69420000000002302</v>
      </c>
      <c r="AD10053">
        <v>-1.110176408296</v>
      </c>
      <c r="AE10053">
        <v>52.18674</v>
      </c>
      <c r="AF10053">
        <v>-0.99773503310676404</v>
      </c>
      <c r="AG10053">
        <v>-1.110176408296</v>
      </c>
      <c r="AH10053">
        <v>52.158210848652999</v>
      </c>
      <c r="AI10053">
        <v>91.219121384966598</v>
      </c>
      <c r="AJ10053">
        <v>91.095877990420107</v>
      </c>
      <c r="AK10053">
        <v>52.179564254470002</v>
      </c>
      <c r="AL10053">
        <v>88.772707304073407</v>
      </c>
      <c r="AM10053">
        <v>87.624200590100401</v>
      </c>
      <c r="AN10053">
        <v>0.99999998019654601</v>
      </c>
    </row>
    <row r="10054" spans="1:40" x14ac:dyDescent="0.25">
      <c r="A10054" t="str">
        <f>"20190312154149851"</f>
        <v>20190312154149851</v>
      </c>
      <c r="B10054" t="str">
        <f>"1552376509845836"</f>
        <v>1552376509845836</v>
      </c>
      <c r="C10054" t="s">
        <v>40</v>
      </c>
      <c r="D10054">
        <v>4.2013819999999997</v>
      </c>
      <c r="E10054">
        <v>0.47718070000000001</v>
      </c>
      <c r="F10054" t="s">
        <v>42</v>
      </c>
      <c r="G10054">
        <v>-188.84389999999999</v>
      </c>
      <c r="H10054" s="1">
        <v>-4.3470869999999997E-6</v>
      </c>
      <c r="I10054">
        <v>119.28789999999999</v>
      </c>
      <c r="J10054">
        <v>-188.12970000000001</v>
      </c>
      <c r="K10054">
        <v>1.110174</v>
      </c>
      <c r="L10054">
        <v>67.587249999999997</v>
      </c>
      <c r="M10054">
        <v>5.5965839999999999E-3</v>
      </c>
      <c r="N10054">
        <v>0</v>
      </c>
      <c r="O10054">
        <v>0.99987479999999995</v>
      </c>
      <c r="P10054">
        <v>4.6926950000000002E-2</v>
      </c>
      <c r="Q10054">
        <v>6.534794E-3</v>
      </c>
      <c r="R10054">
        <v>0.99887689999999996</v>
      </c>
      <c r="S10054">
        <v>-4.1137699999999902E-2</v>
      </c>
      <c r="T10054">
        <v>-6.4108849999999995E-2</v>
      </c>
      <c r="U10054">
        <v>3.005798</v>
      </c>
      <c r="V10054">
        <v>4.1324E-2</v>
      </c>
      <c r="W10054">
        <v>2.134144E-2</v>
      </c>
      <c r="X10054">
        <v>0.99891790000000003</v>
      </c>
      <c r="Y10054">
        <v>-1.9278179999999999E-2</v>
      </c>
      <c r="Z10054">
        <v>-2.1320059999999998E-2</v>
      </c>
      <c r="AA10054">
        <v>0.9995868</v>
      </c>
      <c r="AB10054">
        <v>36</v>
      </c>
      <c r="AC10054">
        <v>-0.71419999999997597</v>
      </c>
      <c r="AD10054">
        <v>-1.1101783470869999</v>
      </c>
      <c r="AE10054">
        <v>51.700650000000003</v>
      </c>
      <c r="AF10054">
        <v>-1.00310509901964</v>
      </c>
      <c r="AG10054">
        <v>-1.1101783470869999</v>
      </c>
      <c r="AH10054">
        <v>51.672021286485098</v>
      </c>
      <c r="AI10054">
        <v>91.230584184538102</v>
      </c>
      <c r="AJ10054">
        <v>91.112139004946101</v>
      </c>
      <c r="AK10054">
        <v>51.693679494044503</v>
      </c>
      <c r="AL10054">
        <v>88.777132781780693</v>
      </c>
      <c r="AM10054">
        <v>87.631095098930501</v>
      </c>
      <c r="AN10054">
        <v>1.00000005048884</v>
      </c>
    </row>
    <row r="10055" spans="1:40" x14ac:dyDescent="0.25">
      <c r="A10055" t="str">
        <f>"20190312154149874"</f>
        <v>20190312154149874</v>
      </c>
      <c r="B10055" t="str">
        <f>"1552376509866332"</f>
        <v>1552376509866332</v>
      </c>
      <c r="C10055" t="s">
        <v>40</v>
      </c>
      <c r="D10055">
        <v>4.1963489999999997</v>
      </c>
      <c r="E10055">
        <v>0.47705130000000001</v>
      </c>
      <c r="F10055" t="s">
        <v>42</v>
      </c>
      <c r="G10055">
        <v>-188.86969999999999</v>
      </c>
      <c r="H10055" s="1">
        <v>-4.2998489999999998E-6</v>
      </c>
      <c r="I10055">
        <v>119.1885</v>
      </c>
      <c r="J10055">
        <v>-188.12780000000001</v>
      </c>
      <c r="K10055">
        <v>1.1101749999999999</v>
      </c>
      <c r="L10055">
        <v>67.965999999999994</v>
      </c>
      <c r="M10055">
        <v>5.3504360000000001E-3</v>
      </c>
      <c r="N10055">
        <v>0</v>
      </c>
      <c r="O10055">
        <v>0.99987630000000005</v>
      </c>
      <c r="P10055">
        <v>4.6856200000000001E-2</v>
      </c>
      <c r="Q10055">
        <v>6.8514830000000002E-3</v>
      </c>
      <c r="R10055">
        <v>0.99887809999999999</v>
      </c>
      <c r="S10055">
        <v>-4.3106079999999998E-2</v>
      </c>
      <c r="T10055">
        <v>-6.4669130000000005E-2</v>
      </c>
      <c r="U10055">
        <v>3.0058289999999999</v>
      </c>
      <c r="V10055">
        <v>4.1499069999999999E-2</v>
      </c>
      <c r="W10055">
        <v>2.165417E-2</v>
      </c>
      <c r="X10055">
        <v>0.99890389999999996</v>
      </c>
      <c r="Y10055">
        <v>-1.9686309999999999E-2</v>
      </c>
      <c r="Z10055">
        <v>-2.1505949999999999E-2</v>
      </c>
      <c r="AA10055">
        <v>0.99957490000000004</v>
      </c>
      <c r="AB10055">
        <v>36</v>
      </c>
      <c r="AC10055">
        <v>-0.74189999999998602</v>
      </c>
      <c r="AD10055">
        <v>-1.1101792998490001</v>
      </c>
      <c r="AE10055">
        <v>51.222499999999997</v>
      </c>
      <c r="AF10055">
        <v>-1.01550513672238</v>
      </c>
      <c r="AG10055">
        <v>-1.1101792998490001</v>
      </c>
      <c r="AH10055">
        <v>51.193753627373198</v>
      </c>
      <c r="AI10055">
        <v>91.242067840379605</v>
      </c>
      <c r="AJ10055">
        <v>91.136398965082904</v>
      </c>
      <c r="AK10055">
        <v>51.215858473921102</v>
      </c>
      <c r="AL10055">
        <v>88.759210516896005</v>
      </c>
      <c r="AM10055">
        <v>87.621037385808805</v>
      </c>
      <c r="AN10055">
        <v>1.0000000386622301</v>
      </c>
    </row>
    <row r="10056" spans="1:40" x14ac:dyDescent="0.25">
      <c r="A10056" t="str">
        <f>"20190312154149896"</f>
        <v>20190312154149896</v>
      </c>
      <c r="B10056" t="str">
        <f>"1552376509885856"</f>
        <v>1552376509885856</v>
      </c>
      <c r="C10056" t="s">
        <v>40</v>
      </c>
      <c r="D10056">
        <v>4.2066309999999998</v>
      </c>
      <c r="E10056">
        <v>0.47696729999999998</v>
      </c>
      <c r="F10056" t="s">
        <v>55</v>
      </c>
      <c r="G10056">
        <v>-188.898</v>
      </c>
      <c r="H10056" s="1">
        <v>-6.0397059999999897E-7</v>
      </c>
      <c r="I10056">
        <v>120.44889999999999</v>
      </c>
      <c r="J10056">
        <v>-188.12610000000001</v>
      </c>
      <c r="K10056">
        <v>1.1101760000000001</v>
      </c>
      <c r="L10056">
        <v>68.334319999999906</v>
      </c>
      <c r="M10056">
        <v>5.110926E-3</v>
      </c>
      <c r="N10056">
        <v>0</v>
      </c>
      <c r="O10056">
        <v>0.99987760000000003</v>
      </c>
      <c r="P10056">
        <v>4.6107500000000003E-2</v>
      </c>
      <c r="Q10056">
        <v>6.6288229999999998E-3</v>
      </c>
      <c r="R10056">
        <v>0.99891450000000004</v>
      </c>
      <c r="S10056">
        <v>-4.4113159999999998E-2</v>
      </c>
      <c r="T10056">
        <v>-6.3583249999999994E-2</v>
      </c>
      <c r="U10056">
        <v>3.0058590000000001</v>
      </c>
      <c r="V10056">
        <v>4.0989659999999997E-2</v>
      </c>
      <c r="W10056">
        <v>2.1427249999999998E-2</v>
      </c>
      <c r="X10056">
        <v>0.99892979999999998</v>
      </c>
      <c r="Y10056">
        <v>-1.9781610000000002E-2</v>
      </c>
      <c r="Z10056">
        <v>-2.1144759999999999E-2</v>
      </c>
      <c r="AA10056">
        <v>0.99958069999999999</v>
      </c>
      <c r="AB10056">
        <v>36</v>
      </c>
      <c r="AC10056">
        <v>-0.77189999999998704</v>
      </c>
      <c r="AD10056">
        <v>-1.1101766039706</v>
      </c>
      <c r="AE10056">
        <v>52.114579999999997</v>
      </c>
      <c r="AF10056">
        <v>-1.0378019512133401</v>
      </c>
      <c r="AG10056">
        <v>-1.1101766039706</v>
      </c>
      <c r="AH10056">
        <v>52.086321982353702</v>
      </c>
      <c r="AI10056">
        <v>91.220784752994604</v>
      </c>
      <c r="AJ10056">
        <v>91.141447558329901</v>
      </c>
      <c r="AK10056">
        <v>52.108487433731597</v>
      </c>
      <c r="AL10056">
        <v>88.7722150597602</v>
      </c>
      <c r="AM10056">
        <v>87.650267582951003</v>
      </c>
      <c r="AN10056">
        <v>1.00000001229875</v>
      </c>
    </row>
    <row r="10057" spans="1:40" x14ac:dyDescent="0.25">
      <c r="A10057" t="str">
        <f>"20190312154149918"</f>
        <v>20190312154149918</v>
      </c>
      <c r="B10057" t="str">
        <f>"1552376509906352"</f>
        <v>1552376509906352</v>
      </c>
      <c r="C10057" t="s">
        <v>40</v>
      </c>
      <c r="D10057">
        <v>4.2164250000000001</v>
      </c>
      <c r="E10057">
        <v>0.47687780000000002</v>
      </c>
      <c r="F10057" t="s">
        <v>55</v>
      </c>
      <c r="G10057">
        <v>-188.9393</v>
      </c>
      <c r="H10057" s="1">
        <v>-4.1108190000000001E-7</v>
      </c>
      <c r="I10057">
        <v>120.0919</v>
      </c>
      <c r="J10057">
        <v>-188.12459999999999</v>
      </c>
      <c r="K10057">
        <v>1.1101749999999999</v>
      </c>
      <c r="L10057">
        <v>68.675079999999994</v>
      </c>
      <c r="M10057">
        <v>4.8892509999999998E-3</v>
      </c>
      <c r="N10057">
        <v>0</v>
      </c>
      <c r="O10057">
        <v>0.99987870000000001</v>
      </c>
      <c r="P10057">
        <v>4.5692150000000001E-2</v>
      </c>
      <c r="Q10057">
        <v>7.0900019999999998E-3</v>
      </c>
      <c r="R10057">
        <v>0.9989304</v>
      </c>
      <c r="S10057">
        <v>-4.7225950000000003E-2</v>
      </c>
      <c r="T10057">
        <v>-6.4474939999999994E-2</v>
      </c>
      <c r="U10057">
        <v>3.00589</v>
      </c>
      <c r="V10057">
        <v>4.0795530000000003E-2</v>
      </c>
      <c r="W10057">
        <v>2.188491E-2</v>
      </c>
      <c r="X10057">
        <v>0.99892780000000003</v>
      </c>
      <c r="Y10057">
        <v>-2.0594580000000001E-2</v>
      </c>
      <c r="Z10057">
        <v>-2.1440620000000001E-2</v>
      </c>
      <c r="AA10057">
        <v>0.99955799999999995</v>
      </c>
      <c r="AB10057">
        <v>36</v>
      </c>
      <c r="AC10057">
        <v>-0.81470000000001597</v>
      </c>
      <c r="AD10057">
        <v>-1.11017541108189</v>
      </c>
      <c r="AE10057">
        <v>51.416819999999902</v>
      </c>
      <c r="AF10057">
        <v>-1.06561082667139</v>
      </c>
      <c r="AG10057">
        <v>-1.11017541108189</v>
      </c>
      <c r="AH10057">
        <v>51.388270373116299</v>
      </c>
      <c r="AI10057">
        <v>91.237340877721607</v>
      </c>
      <c r="AJ10057">
        <v>91.187941402825004</v>
      </c>
      <c r="AK10057">
        <v>51.411305642025802</v>
      </c>
      <c r="AL10057">
        <v>88.745986890742799</v>
      </c>
      <c r="AM10057">
        <v>87.661379023673305</v>
      </c>
      <c r="AN10057">
        <v>0.99999998708326399</v>
      </c>
    </row>
    <row r="10058" spans="1:40" x14ac:dyDescent="0.25">
      <c r="A10058" t="str">
        <f>"20190312154149940"</f>
        <v>20190312154149940</v>
      </c>
      <c r="B10058" t="str">
        <f>"1552376509925868"</f>
        <v>1552376509925868</v>
      </c>
      <c r="C10058" t="s">
        <v>40</v>
      </c>
      <c r="D10058">
        <v>4.220726</v>
      </c>
      <c r="E10058">
        <v>0.47680159999999999</v>
      </c>
      <c r="F10058" t="s">
        <v>55</v>
      </c>
      <c r="G10058">
        <v>-188.9889</v>
      </c>
      <c r="H10058" s="1">
        <v>-1.1951819999999999E-6</v>
      </c>
      <c r="I10058">
        <v>121.5504</v>
      </c>
      <c r="J10058">
        <v>-188.12309999999999</v>
      </c>
      <c r="K10058">
        <v>1.1101780000000001</v>
      </c>
      <c r="L10058">
        <v>69.026919999999905</v>
      </c>
      <c r="M10058">
        <v>4.6603039999999997E-3</v>
      </c>
      <c r="N10058">
        <v>0</v>
      </c>
      <c r="O10058">
        <v>0.99987979999999999</v>
      </c>
      <c r="P10058">
        <v>4.544144E-2</v>
      </c>
      <c r="Q10058">
        <v>7.0801299999999996E-3</v>
      </c>
      <c r="R10058">
        <v>0.99894190000000005</v>
      </c>
      <c r="S10058">
        <v>-4.9133299999999998E-2</v>
      </c>
      <c r="T10058">
        <v>-6.3112020000000005E-2</v>
      </c>
      <c r="U10058">
        <v>3.00589</v>
      </c>
      <c r="V10058">
        <v>4.0773589999999998E-2</v>
      </c>
      <c r="W10058">
        <v>2.1871560000000002E-2</v>
      </c>
      <c r="X10058">
        <v>0.99892899999999996</v>
      </c>
      <c r="Y10058">
        <v>-2.099991E-2</v>
      </c>
      <c r="Z10058">
        <v>-2.098744E-2</v>
      </c>
      <c r="AA10058">
        <v>0.99955919999999998</v>
      </c>
      <c r="AB10058">
        <v>36</v>
      </c>
      <c r="AC10058">
        <v>-0.86580000000000701</v>
      </c>
      <c r="AD10058">
        <v>-1.1101791951819999</v>
      </c>
      <c r="AE10058">
        <v>52.523479999999999</v>
      </c>
      <c r="AF10058">
        <v>-1.1100969287001099</v>
      </c>
      <c r="AG10058">
        <v>-1.1101791951819999</v>
      </c>
      <c r="AH10058">
        <v>52.495427425135098</v>
      </c>
      <c r="AI10058">
        <v>91.211246278407103</v>
      </c>
      <c r="AJ10058">
        <v>91.211427238739006</v>
      </c>
      <c r="AK10058">
        <v>52.518898632627</v>
      </c>
      <c r="AL10058">
        <v>88.746751987360796</v>
      </c>
      <c r="AM10058">
        <v>87.662638152849098</v>
      </c>
      <c r="AN10058">
        <v>0.99999999890965996</v>
      </c>
    </row>
    <row r="10059" spans="1:40" x14ac:dyDescent="0.25">
      <c r="A10059" t="str">
        <f>"20190312154149962"</f>
        <v>20190312154149962</v>
      </c>
      <c r="B10059" t="str">
        <f>"1552376509956125"</f>
        <v>1552376509956125</v>
      </c>
      <c r="C10059" t="s">
        <v>40</v>
      </c>
      <c r="D10059">
        <v>4.2590149999999998</v>
      </c>
      <c r="E10059">
        <v>0.47672779999999998</v>
      </c>
      <c r="F10059" t="s">
        <v>55</v>
      </c>
      <c r="G10059">
        <v>-189.01150000000001</v>
      </c>
      <c r="H10059" s="1">
        <v>-1.347814E-6</v>
      </c>
      <c r="I10059">
        <v>121.83459999999999</v>
      </c>
      <c r="J10059">
        <v>-188.1216</v>
      </c>
      <c r="K10059">
        <v>1.1101799999999999</v>
      </c>
      <c r="L10059">
        <v>69.403350000000003</v>
      </c>
      <c r="M10059">
        <v>4.4152840000000002E-3</v>
      </c>
      <c r="N10059">
        <v>0</v>
      </c>
      <c r="O10059">
        <v>0.99988100000000002</v>
      </c>
      <c r="P10059">
        <v>4.543432E-2</v>
      </c>
      <c r="Q10059">
        <v>7.401398E-3</v>
      </c>
      <c r="R10059">
        <v>0.99893989999999999</v>
      </c>
      <c r="S10059">
        <v>-5.0567630000000002E-2</v>
      </c>
      <c r="T10059">
        <v>-6.3193680000000002E-2</v>
      </c>
      <c r="U10059">
        <v>3.0059200000000001</v>
      </c>
      <c r="V10059">
        <v>4.1011159999999998E-2</v>
      </c>
      <c r="W10059">
        <v>2.2187620000000002E-2</v>
      </c>
      <c r="X10059">
        <v>0.99891229999999998</v>
      </c>
      <c r="Y10059">
        <v>-2.123156E-2</v>
      </c>
      <c r="Z10059">
        <v>-2.101426E-2</v>
      </c>
      <c r="AA10059">
        <v>0.99955369999999999</v>
      </c>
      <c r="AB10059">
        <v>36</v>
      </c>
      <c r="AC10059">
        <v>-0.88990000000001102</v>
      </c>
      <c r="AD10059">
        <v>-1.1101813478139999</v>
      </c>
      <c r="AE10059">
        <v>52.431249999999899</v>
      </c>
      <c r="AF10059">
        <v>-1.1209130721012901</v>
      </c>
      <c r="AG10059">
        <v>-1.1101813478139999</v>
      </c>
      <c r="AH10059">
        <v>52.403321492825398</v>
      </c>
      <c r="AI10059">
        <v>91.213370642898099</v>
      </c>
      <c r="AJ10059">
        <v>91.225376449459802</v>
      </c>
      <c r="AK10059">
        <v>52.427064119790799</v>
      </c>
      <c r="AL10059">
        <v>88.728638681717797</v>
      </c>
      <c r="AM10059">
        <v>87.648995337463106</v>
      </c>
      <c r="AN10059">
        <v>0.99999999440855003</v>
      </c>
    </row>
    <row r="10060" spans="1:40" x14ac:dyDescent="0.25">
      <c r="A10060" t="str">
        <f>"20190312154149986"</f>
        <v>20190312154149986</v>
      </c>
      <c r="B10060" t="str">
        <f>"1552376509975644"</f>
        <v>1552376509975644</v>
      </c>
      <c r="C10060" t="s">
        <v>40</v>
      </c>
      <c r="D10060">
        <v>4.2481309999999999</v>
      </c>
      <c r="E10060">
        <v>0.47668680000000002</v>
      </c>
      <c r="F10060" t="s">
        <v>55</v>
      </c>
      <c r="G10060">
        <v>-189.02510000000001</v>
      </c>
      <c r="H10060" s="1">
        <v>-1.7998610000000001E-6</v>
      </c>
      <c r="I10060">
        <v>122.6626</v>
      </c>
      <c r="J10060">
        <v>-188.12020000000001</v>
      </c>
      <c r="K10060">
        <v>1.110185</v>
      </c>
      <c r="L10060">
        <v>69.777619999999999</v>
      </c>
      <c r="M10060">
        <v>4.1715720000000001E-3</v>
      </c>
      <c r="N10060">
        <v>0</v>
      </c>
      <c r="O10060">
        <v>0.99988220000000005</v>
      </c>
      <c r="P10060">
        <v>4.5127479999999998E-2</v>
      </c>
      <c r="Q10060">
        <v>7.9526379999999997E-3</v>
      </c>
      <c r="R10060">
        <v>0.99894959999999999</v>
      </c>
      <c r="S10060">
        <v>-5.0994869999999998E-2</v>
      </c>
      <c r="T10060">
        <v>-6.2659259999999994E-2</v>
      </c>
      <c r="U10060">
        <v>3.0059809999999998</v>
      </c>
      <c r="V10060">
        <v>4.0947560000000001E-2</v>
      </c>
      <c r="W10060">
        <v>2.2734420000000002E-2</v>
      </c>
      <c r="X10060">
        <v>0.99890259999999997</v>
      </c>
      <c r="Y10060">
        <v>-2.1129620000000002E-2</v>
      </c>
      <c r="Z10060">
        <v>-2.0836239999999999E-2</v>
      </c>
      <c r="AA10060">
        <v>0.99955959999999999</v>
      </c>
      <c r="AB10060">
        <v>36</v>
      </c>
      <c r="AC10060">
        <v>-0.90489999999999704</v>
      </c>
      <c r="AD10060">
        <v>-1.110186799861</v>
      </c>
      <c r="AE10060">
        <v>52.884979999999999</v>
      </c>
      <c r="AF10060">
        <v>-1.1250340580498299</v>
      </c>
      <c r="AG10060">
        <v>-1.110186799861</v>
      </c>
      <c r="AH10060">
        <v>52.8574578515965</v>
      </c>
      <c r="AI10060">
        <v>91.202957401251794</v>
      </c>
      <c r="AJ10060">
        <v>91.219316530201993</v>
      </c>
      <c r="AK10060">
        <v>52.881084206884999</v>
      </c>
      <c r="AL10060">
        <v>88.697301424892601</v>
      </c>
      <c r="AM10060">
        <v>87.652614418896405</v>
      </c>
      <c r="AN10060">
        <v>0.99999998040472404</v>
      </c>
    </row>
    <row r="10061" spans="1:40" x14ac:dyDescent="0.25">
      <c r="A10061" t="str">
        <f>"20190312154150008"</f>
        <v>20190312154150008</v>
      </c>
      <c r="B10061" t="str">
        <f>"1552376509996140"</f>
        <v>1552376509996140</v>
      </c>
      <c r="C10061" t="s">
        <v>40</v>
      </c>
      <c r="D10061">
        <v>4.2548659999999998</v>
      </c>
      <c r="E10061">
        <v>0.47665380000000002</v>
      </c>
      <c r="F10061" t="s">
        <v>55</v>
      </c>
      <c r="G10061">
        <v>-189.06890000000001</v>
      </c>
      <c r="H10061" s="1">
        <v>-2.6202910000000001E-6</v>
      </c>
      <c r="I10061">
        <v>124.1703</v>
      </c>
      <c r="J10061">
        <v>-188.1189</v>
      </c>
      <c r="K10061">
        <v>1.1101859999999999</v>
      </c>
      <c r="L10061">
        <v>70.138310000000004</v>
      </c>
      <c r="M10061">
        <v>3.9366230000000002E-3</v>
      </c>
      <c r="N10061">
        <v>0</v>
      </c>
      <c r="O10061">
        <v>0.99988319999999997</v>
      </c>
      <c r="P10061">
        <v>4.5428499999999997E-2</v>
      </c>
      <c r="Q10061">
        <v>8.0764119999999998E-3</v>
      </c>
      <c r="R10061">
        <v>0.99893489999999996</v>
      </c>
      <c r="S10061">
        <v>-5.2429199999999898E-2</v>
      </c>
      <c r="T10061">
        <v>-6.1354520000000003E-2</v>
      </c>
      <c r="U10061">
        <v>3.0060120000000001</v>
      </c>
      <c r="V10061">
        <v>4.148338E-2</v>
      </c>
      <c r="W10061">
        <v>2.2854070000000001E-2</v>
      </c>
      <c r="X10061">
        <v>0.99887780000000004</v>
      </c>
      <c r="Y10061">
        <v>-2.137149E-2</v>
      </c>
      <c r="Z10061">
        <v>-2.040223E-2</v>
      </c>
      <c r="AA10061">
        <v>0.99956339999999999</v>
      </c>
      <c r="AB10061">
        <v>36</v>
      </c>
      <c r="AC10061">
        <v>-0.95000000000001705</v>
      </c>
      <c r="AD10061">
        <v>-1.1101886202910001</v>
      </c>
      <c r="AE10061">
        <v>54.031989999999901</v>
      </c>
      <c r="AF10061">
        <v>-1.16222889850689</v>
      </c>
      <c r="AG10061">
        <v>-1.1101886202910001</v>
      </c>
      <c r="AH10061">
        <v>54.005038556183301</v>
      </c>
      <c r="AI10061">
        <v>91.177398393738002</v>
      </c>
      <c r="AJ10061">
        <v>91.232857803645402</v>
      </c>
      <c r="AK10061">
        <v>54.028950426970098</v>
      </c>
      <c r="AL10061">
        <v>88.690444254061205</v>
      </c>
      <c r="AM10061">
        <v>87.621873727142102</v>
      </c>
      <c r="AN10061">
        <v>1.00000001933231</v>
      </c>
    </row>
    <row r="10062" spans="1:40" x14ac:dyDescent="0.25">
      <c r="A10062" t="str">
        <f>"20190312154150031"</f>
        <v>20190312154150031</v>
      </c>
      <c r="B10062" t="str">
        <f>"1552376510015660"</f>
        <v>1552376510015660</v>
      </c>
      <c r="C10062" t="s">
        <v>40</v>
      </c>
      <c r="D10062">
        <v>4.2523819999999999</v>
      </c>
      <c r="E10062">
        <v>0.47660999999999998</v>
      </c>
      <c r="F10062" t="s">
        <v>55</v>
      </c>
      <c r="G10062">
        <v>-189.05330000000001</v>
      </c>
      <c r="H10062" s="1">
        <v>-2.7874819999999999E-6</v>
      </c>
      <c r="I10062">
        <v>124.4713</v>
      </c>
      <c r="J10062">
        <v>-188.11770000000001</v>
      </c>
      <c r="K10062">
        <v>1.110188</v>
      </c>
      <c r="L10062">
        <v>70.493650000000002</v>
      </c>
      <c r="M10062">
        <v>3.70507E-3</v>
      </c>
      <c r="N10062">
        <v>0</v>
      </c>
      <c r="O10062">
        <v>0.99988410000000005</v>
      </c>
      <c r="P10062">
        <v>4.5322750000000002E-2</v>
      </c>
      <c r="Q10062">
        <v>7.8636680000000007E-3</v>
      </c>
      <c r="R10062">
        <v>0.99894139999999998</v>
      </c>
      <c r="S10062">
        <v>-5.1696779999999998E-2</v>
      </c>
      <c r="T10062">
        <v>-6.1422589999999999E-2</v>
      </c>
      <c r="U10062">
        <v>3.0060419999999999</v>
      </c>
      <c r="V10062">
        <v>4.1609109999999998E-2</v>
      </c>
      <c r="W10062">
        <v>2.2637170000000002E-2</v>
      </c>
      <c r="X10062">
        <v>0.99887749999999997</v>
      </c>
      <c r="Y10062">
        <v>-2.08963E-2</v>
      </c>
      <c r="Z10062">
        <v>-2.0424830000000001E-2</v>
      </c>
      <c r="AA10062">
        <v>0.99957300000000004</v>
      </c>
      <c r="AB10062">
        <v>36</v>
      </c>
      <c r="AC10062">
        <v>-0.93559999999999299</v>
      </c>
      <c r="AD10062">
        <v>-1.1101907874820001</v>
      </c>
      <c r="AE10062">
        <v>53.977649999999997</v>
      </c>
      <c r="AF10062">
        <v>-1.1351263130254099</v>
      </c>
      <c r="AG10062">
        <v>-1.1101907874820001</v>
      </c>
      <c r="AH10062">
        <v>53.950996754324301</v>
      </c>
      <c r="AI10062">
        <v>91.178591791283495</v>
      </c>
      <c r="AJ10062">
        <v>91.205322541226906</v>
      </c>
      <c r="AK10062">
        <v>53.974355819372597</v>
      </c>
      <c r="AL10062">
        <v>88.702874911996403</v>
      </c>
      <c r="AM10062">
        <v>87.614673574851395</v>
      </c>
      <c r="AN10062">
        <v>1.0000000097534201</v>
      </c>
    </row>
    <row r="10063" spans="1:40" x14ac:dyDescent="0.25">
      <c r="A10063" t="str">
        <f>"20190312154150052"</f>
        <v>20190312154150052</v>
      </c>
      <c r="B10063" t="str">
        <f>"1552376510045917"</f>
        <v>1552376510045917</v>
      </c>
      <c r="C10063" t="s">
        <v>40</v>
      </c>
      <c r="D10063">
        <v>4.2974439999999996</v>
      </c>
      <c r="E10063">
        <v>0.4949152</v>
      </c>
      <c r="F10063" t="s">
        <v>55</v>
      </c>
      <c r="G10063">
        <v>-189.04839999999999</v>
      </c>
      <c r="H10063" s="1">
        <v>-2.4760679999999999E-6</v>
      </c>
      <c r="I10063">
        <v>123.902</v>
      </c>
      <c r="J10063">
        <v>-188.11660000000001</v>
      </c>
      <c r="K10063">
        <v>1.11019</v>
      </c>
      <c r="L10063">
        <v>70.84787</v>
      </c>
      <c r="M10063">
        <v>3.4743790000000001E-3</v>
      </c>
      <c r="N10063">
        <v>0</v>
      </c>
      <c r="O10063">
        <v>0.99988500000000002</v>
      </c>
      <c r="P10063">
        <v>4.5454260000000003E-2</v>
      </c>
      <c r="Q10063">
        <v>8.0793069999999904E-3</v>
      </c>
      <c r="R10063">
        <v>0.99893370000000004</v>
      </c>
      <c r="S10063">
        <v>-5.238342E-2</v>
      </c>
      <c r="T10063">
        <v>-6.2486050000000001E-2</v>
      </c>
      <c r="U10063">
        <v>3.0060419999999999</v>
      </c>
      <c r="V10063">
        <v>4.1971069999999999E-2</v>
      </c>
      <c r="W10063">
        <v>2.284835E-2</v>
      </c>
      <c r="X10063">
        <v>0.99885760000000001</v>
      </c>
      <c r="Y10063">
        <v>-2.0893760000000001E-2</v>
      </c>
      <c r="Z10063">
        <v>-2.07783E-2</v>
      </c>
      <c r="AA10063">
        <v>0.99956579999999995</v>
      </c>
      <c r="AB10063">
        <v>36</v>
      </c>
      <c r="AC10063">
        <v>-0.93179999999998098</v>
      </c>
      <c r="AD10063">
        <v>-1.110192476068</v>
      </c>
      <c r="AE10063">
        <v>53.054130000000001</v>
      </c>
      <c r="AF10063">
        <v>-1.1156562410036599</v>
      </c>
      <c r="AG10063">
        <v>-1.110192476068</v>
      </c>
      <c r="AH10063">
        <v>53.027359310511301</v>
      </c>
      <c r="AI10063">
        <v>91.199116554595903</v>
      </c>
      <c r="AJ10063">
        <v>91.205282812038504</v>
      </c>
      <c r="AK10063">
        <v>53.050712074656303</v>
      </c>
      <c r="AL10063">
        <v>88.690772126660605</v>
      </c>
      <c r="AM10063">
        <v>87.593899887607506</v>
      </c>
      <c r="AN10063">
        <v>1.0000000614462099</v>
      </c>
    </row>
    <row r="10064" spans="1:40" x14ac:dyDescent="0.25">
      <c r="A10064" t="str">
        <f>"20190312154150075"</f>
        <v>20190312154150075</v>
      </c>
      <c r="B10064" t="str">
        <f>"1552376510066417"</f>
        <v>1552376510066417</v>
      </c>
      <c r="C10064" t="s">
        <v>40</v>
      </c>
      <c r="D10064">
        <v>4.2735349999999999</v>
      </c>
      <c r="E10064">
        <v>0.50070190000000003</v>
      </c>
      <c r="F10064" t="s">
        <v>42</v>
      </c>
      <c r="G10064">
        <v>-186.67420000000001</v>
      </c>
      <c r="H10064" s="1">
        <v>-3.782156E-6</v>
      </c>
      <c r="I10064">
        <v>117.07389999999999</v>
      </c>
      <c r="J10064">
        <v>-188.1156</v>
      </c>
      <c r="K10064">
        <v>1.11019</v>
      </c>
      <c r="L10064">
        <v>71.215940000000003</v>
      </c>
      <c r="M10064">
        <v>3.2345080000000001E-3</v>
      </c>
      <c r="N10064">
        <v>0</v>
      </c>
      <c r="O10064">
        <v>0.99988589999999999</v>
      </c>
      <c r="P10064">
        <v>4.5623190000000001E-2</v>
      </c>
      <c r="Q10064">
        <v>8.0945419999999997E-3</v>
      </c>
      <c r="R10064">
        <v>0.99892590000000003</v>
      </c>
      <c r="S10064">
        <v>9.3597410000000006E-2</v>
      </c>
      <c r="T10064">
        <v>-7.2038889999999994E-2</v>
      </c>
      <c r="U10064">
        <v>2.9995419999999999</v>
      </c>
      <c r="V10064">
        <v>4.2379729999999997E-2</v>
      </c>
      <c r="W10064">
        <v>2.2859790000000001E-2</v>
      </c>
      <c r="X10064">
        <v>0.99883999999999995</v>
      </c>
      <c r="Y10064">
        <v>2.7946289999999999E-2</v>
      </c>
      <c r="Z10064">
        <v>-2.3998990000000001E-2</v>
      </c>
      <c r="AA10064">
        <v>0.99932129999999997</v>
      </c>
      <c r="AB10064">
        <v>36</v>
      </c>
      <c r="AC10064">
        <v>1.44139999999998</v>
      </c>
      <c r="AD10064">
        <v>-1.110193782156</v>
      </c>
      <c r="AE10064">
        <v>45.857959999999899</v>
      </c>
      <c r="AF10064">
        <v>1.2922917115369099</v>
      </c>
      <c r="AG10064">
        <v>-1.110193782156</v>
      </c>
      <c r="AH10064">
        <v>45.835545314723298</v>
      </c>
      <c r="AI10064">
        <v>91.386952658054199</v>
      </c>
      <c r="AJ10064">
        <v>88.385025186195705</v>
      </c>
      <c r="AK10064">
        <v>45.867197019217301</v>
      </c>
      <c r="AL10064">
        <v>88.690116383144698</v>
      </c>
      <c r="AM10064">
        <v>87.570457575365793</v>
      </c>
      <c r="AN10064">
        <v>0.99999997855685796</v>
      </c>
    </row>
    <row r="10065" spans="1:40" x14ac:dyDescent="0.25">
      <c r="A10065" t="str">
        <f>"20190312154150097"</f>
        <v>20190312154150097</v>
      </c>
      <c r="B10065" t="str">
        <f>"1552376510085936"</f>
        <v>1552376510085936</v>
      </c>
      <c r="C10065" t="s">
        <v>40</v>
      </c>
      <c r="D10065">
        <v>4.2736660000000004</v>
      </c>
      <c r="E10065">
        <v>0.50287929999999903</v>
      </c>
      <c r="F10065" t="s">
        <v>42</v>
      </c>
      <c r="G10065">
        <v>-186.06979999999999</v>
      </c>
      <c r="H10065" s="1">
        <v>-2.9903329999999998E-6</v>
      </c>
      <c r="I10065">
        <v>114.9782</v>
      </c>
      <c r="J10065">
        <v>-188.1147</v>
      </c>
      <c r="K10065">
        <v>1.1101890000000001</v>
      </c>
      <c r="L10065">
        <v>71.562349999999995</v>
      </c>
      <c r="M10065">
        <v>3.0088480000000002E-3</v>
      </c>
      <c r="N10065">
        <v>0</v>
      </c>
      <c r="O10065">
        <v>0.99988659999999996</v>
      </c>
      <c r="P10065">
        <v>4.5700240000000003E-2</v>
      </c>
      <c r="Q10065">
        <v>8.0784120000000001E-3</v>
      </c>
      <c r="R10065">
        <v>0.99892250000000005</v>
      </c>
      <c r="S10065">
        <v>0.14012149999999901</v>
      </c>
      <c r="T10065">
        <v>-7.60411E-2</v>
      </c>
      <c r="U10065">
        <v>2.9974370000000001</v>
      </c>
      <c r="V10065">
        <v>4.2682299999999999E-2</v>
      </c>
      <c r="W10065">
        <v>2.28393E-2</v>
      </c>
      <c r="X10065">
        <v>0.99882760000000004</v>
      </c>
      <c r="Y10065">
        <v>4.3675020000000002E-2</v>
      </c>
      <c r="Z10065">
        <v>-2.533446E-2</v>
      </c>
      <c r="AA10065">
        <v>0.99872450000000002</v>
      </c>
      <c r="AB10065">
        <v>36</v>
      </c>
      <c r="AC10065">
        <v>2.0449000000000099</v>
      </c>
      <c r="AD10065">
        <v>-1.110191990333</v>
      </c>
      <c r="AE10065">
        <v>43.415849999999999</v>
      </c>
      <c r="AF10065">
        <v>1.9129967185162999</v>
      </c>
      <c r="AG10065">
        <v>-1.110191990333</v>
      </c>
      <c r="AH10065">
        <v>43.393495464287398</v>
      </c>
      <c r="AI10065">
        <v>91.464130979493007</v>
      </c>
      <c r="AJ10065">
        <v>87.475757282305594</v>
      </c>
      <c r="AK10065">
        <v>43.449827747755002</v>
      </c>
      <c r="AL10065">
        <v>88.691290699764295</v>
      </c>
      <c r="AM10065">
        <v>87.553102529820094</v>
      </c>
      <c r="AN10065">
        <v>0.99999999343976997</v>
      </c>
    </row>
    <row r="10066" spans="1:40" x14ac:dyDescent="0.25">
      <c r="A10066" t="str">
        <f>"20190312154150119"</f>
        <v>20190312154150119</v>
      </c>
      <c r="B10066" t="str">
        <f>"1552376510106428"</f>
        <v>1552376510106428</v>
      </c>
      <c r="C10066" t="s">
        <v>40</v>
      </c>
      <c r="D10066">
        <v>4.2694609999999997</v>
      </c>
      <c r="E10066">
        <v>0.50379940000000001</v>
      </c>
      <c r="F10066" t="s">
        <v>42</v>
      </c>
      <c r="G10066">
        <v>-185.75640000000001</v>
      </c>
      <c r="H10066" s="1">
        <v>-3.6322289999999999E-6</v>
      </c>
      <c r="I10066">
        <v>116.3449</v>
      </c>
      <c r="J10066">
        <v>-188.1139</v>
      </c>
      <c r="K10066">
        <v>1.110187</v>
      </c>
      <c r="L10066">
        <v>71.902190000000004</v>
      </c>
      <c r="M10066">
        <v>2.7871990000000002E-3</v>
      </c>
      <c r="N10066">
        <v>0</v>
      </c>
      <c r="O10066">
        <v>0.99988730000000003</v>
      </c>
      <c r="P10066">
        <v>4.585297E-2</v>
      </c>
      <c r="Q10066">
        <v>7.8375770000000001E-3</v>
      </c>
      <c r="R10066">
        <v>0.99891750000000001</v>
      </c>
      <c r="S10066">
        <v>0.15780640000000001</v>
      </c>
      <c r="T10066">
        <v>-7.428825E-2</v>
      </c>
      <c r="U10066">
        <v>2.996613</v>
      </c>
      <c r="V10066">
        <v>4.3056669999999998E-2</v>
      </c>
      <c r="W10066">
        <v>2.2594739999999999E-2</v>
      </c>
      <c r="X10066">
        <v>0.99881710000000001</v>
      </c>
      <c r="Y10066">
        <v>4.9788770000000003E-2</v>
      </c>
      <c r="Z10066">
        <v>-2.4750479999999998E-2</v>
      </c>
      <c r="AA10066">
        <v>0.99845300000000003</v>
      </c>
      <c r="AB10066">
        <v>36</v>
      </c>
      <c r="AC10066">
        <v>2.3574999999999799</v>
      </c>
      <c r="AD10066">
        <v>-1.1101906322290001</v>
      </c>
      <c r="AE10066">
        <v>44.442709999999899</v>
      </c>
      <c r="AF10066">
        <v>2.2322176578905699</v>
      </c>
      <c r="AG10066">
        <v>-1.1101906322290001</v>
      </c>
      <c r="AH10066">
        <v>44.421467053600203</v>
      </c>
      <c r="AI10066">
        <v>91.429846727046794</v>
      </c>
      <c r="AJ10066">
        <v>87.123256630862201</v>
      </c>
      <c r="AK10066">
        <v>44.491370557740503</v>
      </c>
      <c r="AL10066">
        <v>88.7053065801652</v>
      </c>
      <c r="AM10066">
        <v>87.531641102269703</v>
      </c>
      <c r="AN10066">
        <v>0.99999999917978299</v>
      </c>
    </row>
    <row r="10067" spans="1:40" x14ac:dyDescent="0.25">
      <c r="A10067" t="str">
        <f>"20190312154150141"</f>
        <v>20190312154150141</v>
      </c>
      <c r="B10067" t="str">
        <f>"1552376510135709"</f>
        <v>1552376510135709</v>
      </c>
      <c r="C10067" t="s">
        <v>40</v>
      </c>
      <c r="D10067">
        <v>4.2975770000000004</v>
      </c>
      <c r="E10067">
        <v>0.50418079999999998</v>
      </c>
      <c r="F10067" t="s">
        <v>42</v>
      </c>
      <c r="G10067">
        <v>-185.65010000000001</v>
      </c>
      <c r="H10067" s="1">
        <v>-3.724919E-6</v>
      </c>
      <c r="I10067">
        <v>116.517</v>
      </c>
      <c r="J10067">
        <v>-188.1131</v>
      </c>
      <c r="K10067">
        <v>1.110188</v>
      </c>
      <c r="L10067">
        <v>72.268159999999995</v>
      </c>
      <c r="M10067">
        <v>2.5485880000000001E-3</v>
      </c>
      <c r="N10067">
        <v>0</v>
      </c>
      <c r="O10067">
        <v>0.999888</v>
      </c>
      <c r="P10067">
        <v>4.5462290000000002E-2</v>
      </c>
      <c r="Q10067">
        <v>7.5780329999999996E-3</v>
      </c>
      <c r="R10067">
        <v>0.99893730000000003</v>
      </c>
      <c r="S10067">
        <v>0.16546629999999901</v>
      </c>
      <c r="T10067">
        <v>-7.4558260000000001E-2</v>
      </c>
      <c r="U10067">
        <v>2.9962460000000002</v>
      </c>
      <c r="V10067">
        <v>4.2904499999999998E-2</v>
      </c>
      <c r="W10067">
        <v>2.2331119999999999E-2</v>
      </c>
      <c r="X10067">
        <v>0.99882959999999998</v>
      </c>
      <c r="Y10067">
        <v>5.2578340000000001E-2</v>
      </c>
      <c r="Z10067">
        <v>-2.483995E-2</v>
      </c>
      <c r="AA10067">
        <v>0.99830779999999997</v>
      </c>
      <c r="AB10067">
        <v>36</v>
      </c>
      <c r="AC10067">
        <v>2.4629999999999899</v>
      </c>
      <c r="AD10067">
        <v>-1.1101917249190001</v>
      </c>
      <c r="AE10067">
        <v>44.248840000000001</v>
      </c>
      <c r="AF10067">
        <v>2.34873372206139</v>
      </c>
      <c r="AG10067">
        <v>-1.1101917249190001</v>
      </c>
      <c r="AH10067">
        <v>44.227219304322098</v>
      </c>
      <c r="AI10067">
        <v>91.435914226591606</v>
      </c>
      <c r="AJ10067">
        <v>86.9601020448615</v>
      </c>
      <c r="AK10067">
        <v>44.303453625601598</v>
      </c>
      <c r="AL10067">
        <v>88.720414735517295</v>
      </c>
      <c r="AM10067">
        <v>87.540384736646004</v>
      </c>
      <c r="AN10067">
        <v>1.00000002243843</v>
      </c>
    </row>
    <row r="10068" spans="1:40" x14ac:dyDescent="0.25">
      <c r="A10068" t="str">
        <f>"20190312154150165"</f>
        <v>20190312154150165</v>
      </c>
      <c r="B10068" t="str">
        <f>"1552376510156206"</f>
        <v>1552376510156206</v>
      </c>
      <c r="C10068" t="s">
        <v>40</v>
      </c>
      <c r="D10068">
        <v>4.2962239999999996</v>
      </c>
      <c r="E10068">
        <v>0.50463829999999998</v>
      </c>
      <c r="F10068" t="s">
        <v>42</v>
      </c>
      <c r="G10068">
        <v>-185.80459999999999</v>
      </c>
      <c r="H10068" s="1">
        <v>-2.458842E-6</v>
      </c>
      <c r="I10068">
        <v>113.5932</v>
      </c>
      <c r="J10068">
        <v>-188.11240000000001</v>
      </c>
      <c r="K10068">
        <v>1.110187</v>
      </c>
      <c r="L10068">
        <v>72.654330000000002</v>
      </c>
      <c r="M10068">
        <v>2.296424E-3</v>
      </c>
      <c r="N10068">
        <v>0</v>
      </c>
      <c r="O10068">
        <v>0.99988869999999996</v>
      </c>
      <c r="P10068">
        <v>4.508844E-2</v>
      </c>
      <c r="Q10068">
        <v>7.6589939999999997E-3</v>
      </c>
      <c r="R10068">
        <v>0.9989536</v>
      </c>
      <c r="S10068">
        <v>0.16737369999999999</v>
      </c>
      <c r="T10068">
        <v>-8.0492019999999997E-2</v>
      </c>
      <c r="U10068">
        <v>2.9961850000000001</v>
      </c>
      <c r="V10068">
        <v>4.2782569999999999E-2</v>
      </c>
      <c r="W10068">
        <v>2.2407389999999999E-2</v>
      </c>
      <c r="X10068">
        <v>0.99883310000000003</v>
      </c>
      <c r="Y10068">
        <v>5.3462000000000003E-2</v>
      </c>
      <c r="Z10068">
        <v>-2.6814950000000001E-2</v>
      </c>
      <c r="AA10068">
        <v>0.99820980000000004</v>
      </c>
      <c r="AB10068">
        <v>36</v>
      </c>
      <c r="AC10068">
        <v>2.3078000000000101</v>
      </c>
      <c r="AD10068">
        <v>-1.110189458842</v>
      </c>
      <c r="AE10068">
        <v>40.938870000000001</v>
      </c>
      <c r="AF10068">
        <v>2.21214903617083</v>
      </c>
      <c r="AG10068">
        <v>-1.110189458842</v>
      </c>
      <c r="AH10068">
        <v>40.914069475047597</v>
      </c>
      <c r="AI10068">
        <v>91.552054381036399</v>
      </c>
      <c r="AJ10068">
        <v>86.905135273096704</v>
      </c>
      <c r="AK10068">
        <v>40.988866842128999</v>
      </c>
      <c r="AL10068">
        <v>88.716043664652503</v>
      </c>
      <c r="AM10068">
        <v>87.547374735952005</v>
      </c>
      <c r="AN10068">
        <v>1.0000000005390099</v>
      </c>
    </row>
    <row r="10069" spans="1:40" x14ac:dyDescent="0.25">
      <c r="A10069" t="str">
        <f>"20190312154150187"</f>
        <v>20190312154150187</v>
      </c>
      <c r="B10069" t="str">
        <f>"1552376510175725"</f>
        <v>1552376510175725</v>
      </c>
      <c r="C10069" t="s">
        <v>40</v>
      </c>
      <c r="D10069">
        <v>4.3274100000000004</v>
      </c>
      <c r="E10069">
        <v>0.50476989999999999</v>
      </c>
      <c r="F10069" t="s">
        <v>42</v>
      </c>
      <c r="G10069">
        <v>-185.79480000000001</v>
      </c>
      <c r="H10069" s="1">
        <v>-2.4551009999999998E-6</v>
      </c>
      <c r="I10069">
        <v>113.5745</v>
      </c>
      <c r="J10069">
        <v>-188.11179999999999</v>
      </c>
      <c r="K10069">
        <v>1.11019</v>
      </c>
      <c r="L10069">
        <v>73.007750000000001</v>
      </c>
      <c r="M10069">
        <v>2.065444E-3</v>
      </c>
      <c r="N10069">
        <v>0</v>
      </c>
      <c r="O10069">
        <v>0.99988929999999998</v>
      </c>
      <c r="P10069">
        <v>4.4098119999999998E-2</v>
      </c>
      <c r="Q10069">
        <v>7.7234929999999997E-3</v>
      </c>
      <c r="R10069">
        <v>0.99899729999999998</v>
      </c>
      <c r="S10069">
        <v>0.16969300000000001</v>
      </c>
      <c r="T10069">
        <v>-8.1286670000000005E-2</v>
      </c>
      <c r="U10069">
        <v>2.996124</v>
      </c>
      <c r="V10069">
        <v>4.2022940000000002E-2</v>
      </c>
      <c r="W10069">
        <v>2.2468410000000001E-2</v>
      </c>
      <c r="X10069">
        <v>0.99886399999999997</v>
      </c>
      <c r="Y10069">
        <v>5.4463669999999999E-2</v>
      </c>
      <c r="Z10069">
        <v>-2.707874E-2</v>
      </c>
      <c r="AA10069">
        <v>0.99814849999999999</v>
      </c>
      <c r="AB10069">
        <v>36</v>
      </c>
      <c r="AC10069">
        <v>2.3169999999999802</v>
      </c>
      <c r="AD10069">
        <v>-1.1101924551010001</v>
      </c>
      <c r="AE10069">
        <v>40.566749999999999</v>
      </c>
      <c r="AF10069">
        <v>2.23153172481581</v>
      </c>
      <c r="AG10069">
        <v>-1.1101924551010001</v>
      </c>
      <c r="AH10069">
        <v>40.5411847844154</v>
      </c>
      <c r="AI10069">
        <v>91.566243761747202</v>
      </c>
      <c r="AJ10069">
        <v>86.849414801243995</v>
      </c>
      <c r="AK10069">
        <v>40.6177291936703</v>
      </c>
      <c r="AL10069">
        <v>88.712546625604205</v>
      </c>
      <c r="AM10069">
        <v>87.590945224369506</v>
      </c>
      <c r="AN10069">
        <v>1.0000000237150799</v>
      </c>
    </row>
    <row r="10070" spans="1:40" x14ac:dyDescent="0.25">
      <c r="A10070" t="str">
        <f>"20190312154150210"</f>
        <v>20190312154150210</v>
      </c>
      <c r="B10070" t="str">
        <f>"1552376510205981"</f>
        <v>1552376510205981</v>
      </c>
      <c r="C10070" t="s">
        <v>40</v>
      </c>
      <c r="D10070">
        <v>4.3277000000000001</v>
      </c>
      <c r="E10070">
        <v>0.50519349999999996</v>
      </c>
      <c r="F10070" t="s">
        <v>42</v>
      </c>
      <c r="G10070">
        <v>-185.84479999999999</v>
      </c>
      <c r="H10070" s="1">
        <v>-2.4022180000000001E-6</v>
      </c>
      <c r="I10070">
        <v>113.45820000000001</v>
      </c>
      <c r="J10070">
        <v>-188.1113</v>
      </c>
      <c r="K10070">
        <v>1.1101810000000001</v>
      </c>
      <c r="L10070">
        <v>73.363069999999993</v>
      </c>
      <c r="M10070">
        <v>1.8330880000000001E-3</v>
      </c>
      <c r="N10070">
        <v>0</v>
      </c>
      <c r="O10070">
        <v>0.99988980000000005</v>
      </c>
      <c r="P10070">
        <v>4.389639E-2</v>
      </c>
      <c r="Q10070">
        <v>7.766401E-3</v>
      </c>
      <c r="R10070">
        <v>0.9990059</v>
      </c>
      <c r="S10070">
        <v>0.16792299999999999</v>
      </c>
      <c r="T10070">
        <v>-8.2234139999999997E-2</v>
      </c>
      <c r="U10070">
        <v>2.9962460000000002</v>
      </c>
      <c r="V10070">
        <v>4.205337E-2</v>
      </c>
      <c r="W10070">
        <v>2.2507019999999999E-2</v>
      </c>
      <c r="X10070">
        <v>0.99886180000000002</v>
      </c>
      <c r="Y10070">
        <v>5.4105130000000001E-2</v>
      </c>
      <c r="Z10070">
        <v>-2.7393750000000001E-2</v>
      </c>
      <c r="AA10070">
        <v>0.99815940000000003</v>
      </c>
      <c r="AB10070">
        <v>36</v>
      </c>
      <c r="AC10070">
        <v>2.2665000000000002</v>
      </c>
      <c r="AD10070">
        <v>-1.1101834022179999</v>
      </c>
      <c r="AE10070">
        <v>40.095129999999997</v>
      </c>
      <c r="AF10070">
        <v>2.1913156567168701</v>
      </c>
      <c r="AG10070">
        <v>-1.1101834022179999</v>
      </c>
      <c r="AH10070">
        <v>40.068596383508499</v>
      </c>
      <c r="AI10070">
        <v>91.584725229627296</v>
      </c>
      <c r="AJ10070">
        <v>86.869663478078394</v>
      </c>
      <c r="AK10070">
        <v>40.143826270529303</v>
      </c>
      <c r="AL10070">
        <v>88.710333811519504</v>
      </c>
      <c r="AM10070">
        <v>87.589197513587195</v>
      </c>
      <c r="AN10070">
        <v>0.99999997368843796</v>
      </c>
    </row>
    <row r="10071" spans="1:40" x14ac:dyDescent="0.25">
      <c r="A10071" t="str">
        <f>"20190312154150231"</f>
        <v>20190312154150231</v>
      </c>
      <c r="B10071" t="str">
        <f>"1552376510226477"</f>
        <v>1552376510226477</v>
      </c>
      <c r="C10071" t="s">
        <v>40</v>
      </c>
      <c r="D10071">
        <v>4.3434689999999998</v>
      </c>
      <c r="E10071">
        <v>0.50534970000000001</v>
      </c>
      <c r="F10071" t="s">
        <v>42</v>
      </c>
      <c r="G10071">
        <v>-185.83179999999999</v>
      </c>
      <c r="H10071" s="1">
        <v>-2.3960929999999998E-6</v>
      </c>
      <c r="I10071">
        <v>113.4301</v>
      </c>
      <c r="J10071">
        <v>-188.11089999999999</v>
      </c>
      <c r="K10071">
        <v>1.1101840000000001</v>
      </c>
      <c r="L10071">
        <v>73.70035</v>
      </c>
      <c r="M10071">
        <v>1.6125709999999999E-3</v>
      </c>
      <c r="N10071">
        <v>0</v>
      </c>
      <c r="O10071">
        <v>0.99989019999999995</v>
      </c>
      <c r="P10071">
        <v>4.3376949999999997E-2</v>
      </c>
      <c r="Q10071">
        <v>7.5850529999999996E-3</v>
      </c>
      <c r="R10071">
        <v>0.99902999999999997</v>
      </c>
      <c r="S10071">
        <v>0.17045589999999999</v>
      </c>
      <c r="T10071">
        <v>-8.3017830000000001E-2</v>
      </c>
      <c r="U10071">
        <v>2.9961549999999999</v>
      </c>
      <c r="V10071">
        <v>4.1754350000000003E-2</v>
      </c>
      <c r="W10071">
        <v>2.232253E-2</v>
      </c>
      <c r="X10071">
        <v>0.9988785</v>
      </c>
      <c r="Y10071">
        <v>5.516778E-2</v>
      </c>
      <c r="Z10071">
        <v>-2.765401E-2</v>
      </c>
      <c r="AA10071">
        <v>0.99809409999999998</v>
      </c>
      <c r="AB10071">
        <v>36</v>
      </c>
      <c r="AC10071">
        <v>2.2791000000000001</v>
      </c>
      <c r="AD10071">
        <v>-1.1101863960930001</v>
      </c>
      <c r="AE10071">
        <v>39.729750000000003</v>
      </c>
      <c r="AF10071">
        <v>2.21330048396965</v>
      </c>
      <c r="AG10071">
        <v>-1.1101863960930001</v>
      </c>
      <c r="AH10071">
        <v>39.702474480748499</v>
      </c>
      <c r="AI10071">
        <v>91.5992426449059</v>
      </c>
      <c r="AJ10071">
        <v>86.809225236798397</v>
      </c>
      <c r="AK10071">
        <v>39.779614034840698</v>
      </c>
      <c r="AL10071">
        <v>88.7209069867354</v>
      </c>
      <c r="AM10071">
        <v>87.606359459173504</v>
      </c>
      <c r="AN10071">
        <v>0.99999998942588597</v>
      </c>
    </row>
    <row r="10072" spans="1:40" x14ac:dyDescent="0.25">
      <c r="A10072" t="str">
        <f>"20190312154150254"</f>
        <v>20190312154150254</v>
      </c>
      <c r="B10072" t="str">
        <f>"1552376510245997"</f>
        <v>1552376510245997</v>
      </c>
      <c r="C10072" t="s">
        <v>40</v>
      </c>
      <c r="D10072">
        <v>4.3551270000000004</v>
      </c>
      <c r="E10072">
        <v>0.50551889999999999</v>
      </c>
      <c r="F10072" t="s">
        <v>42</v>
      </c>
      <c r="G10072">
        <v>-185.8783</v>
      </c>
      <c r="H10072" s="1">
        <v>-2.2242729999999999E-6</v>
      </c>
      <c r="I10072">
        <v>112.9616</v>
      </c>
      <c r="J10072">
        <v>-188.11060000000001</v>
      </c>
      <c r="K10072">
        <v>1.1101909999999999</v>
      </c>
      <c r="L10072">
        <v>74.071690000000004</v>
      </c>
      <c r="M10072">
        <v>1.369772E-3</v>
      </c>
      <c r="N10072">
        <v>0</v>
      </c>
      <c r="O10072">
        <v>0.99989059999999996</v>
      </c>
      <c r="P10072">
        <v>4.3389740000000003E-2</v>
      </c>
      <c r="Q10072">
        <v>7.5252959999999999E-3</v>
      </c>
      <c r="R10072">
        <v>0.99902990000000003</v>
      </c>
      <c r="S10072">
        <v>0.17037959999999999</v>
      </c>
      <c r="T10072">
        <v>-8.4722039999999998E-2</v>
      </c>
      <c r="U10072">
        <v>2.9961549999999999</v>
      </c>
      <c r="V10072">
        <v>4.2009820000000003E-2</v>
      </c>
      <c r="W10072">
        <v>2.2258650000000001E-2</v>
      </c>
      <c r="X10072">
        <v>0.99886920000000001</v>
      </c>
      <c r="Y10072">
        <v>5.5384000000000003E-2</v>
      </c>
      <c r="Z10072">
        <v>-2.8221119999999999E-2</v>
      </c>
      <c r="AA10072">
        <v>0.99806620000000001</v>
      </c>
      <c r="AB10072">
        <v>36</v>
      </c>
      <c r="AC10072">
        <v>2.2323</v>
      </c>
      <c r="AD10072">
        <v>-1.1101932242729999</v>
      </c>
      <c r="AE10072">
        <v>38.88991</v>
      </c>
      <c r="AF10072">
        <v>2.1772533228301798</v>
      </c>
      <c r="AG10072">
        <v>-1.1101932242729999</v>
      </c>
      <c r="AH10072">
        <v>38.861366075138498</v>
      </c>
      <c r="AI10072">
        <v>91.6338224633202</v>
      </c>
      <c r="AJ10072">
        <v>86.793289591701793</v>
      </c>
      <c r="AK10072">
        <v>38.938139840687398</v>
      </c>
      <c r="AL10072">
        <v>88.724567933148904</v>
      </c>
      <c r="AM10072">
        <v>87.591708993265797</v>
      </c>
      <c r="AN10072">
        <v>0.99999997559244702</v>
      </c>
    </row>
    <row r="10073" spans="1:40" x14ac:dyDescent="0.25">
      <c r="A10073" t="str">
        <f>"20190312154150276"</f>
        <v>20190312154150276</v>
      </c>
      <c r="B10073" t="str">
        <f>"1552376510266492"</f>
        <v>1552376510266492</v>
      </c>
      <c r="C10073" t="s">
        <v>40</v>
      </c>
      <c r="D10073">
        <v>4.3276890000000003</v>
      </c>
      <c r="E10073">
        <v>0.5056986</v>
      </c>
      <c r="F10073" t="s">
        <v>42</v>
      </c>
      <c r="G10073">
        <v>-185.90620000000001</v>
      </c>
      <c r="H10073" s="1">
        <v>-2.0837570000000001E-6</v>
      </c>
      <c r="I10073">
        <v>112.57040000000001</v>
      </c>
      <c r="J10073">
        <v>-188.1104</v>
      </c>
      <c r="K10073">
        <v>1.110195</v>
      </c>
      <c r="L10073">
        <v>74.41431</v>
      </c>
      <c r="M10073">
        <v>1.14576E-3</v>
      </c>
      <c r="N10073">
        <v>0</v>
      </c>
      <c r="O10073">
        <v>0.99989099999999997</v>
      </c>
      <c r="P10073">
        <v>4.3460400000000003E-2</v>
      </c>
      <c r="Q10073">
        <v>7.5138269999999998E-3</v>
      </c>
      <c r="R10073">
        <v>0.99902690000000005</v>
      </c>
      <c r="S10073">
        <v>0.1715546</v>
      </c>
      <c r="T10073">
        <v>-8.639956E-2</v>
      </c>
      <c r="U10073">
        <v>2.996124</v>
      </c>
      <c r="V10073">
        <v>4.2304340000000003E-2</v>
      </c>
      <c r="W10073">
        <v>2.2242919999999999E-2</v>
      </c>
      <c r="X10073">
        <v>0.99885710000000005</v>
      </c>
      <c r="Y10073">
        <v>5.5997480000000002E-2</v>
      </c>
      <c r="Z10073">
        <v>-2.8778930000000001E-2</v>
      </c>
      <c r="AA10073">
        <v>0.99801609999999996</v>
      </c>
      <c r="AB10073">
        <v>36</v>
      </c>
      <c r="AC10073">
        <v>2.2041999999999802</v>
      </c>
      <c r="AD10073">
        <v>-1.1101970837569901</v>
      </c>
      <c r="AE10073">
        <v>38.156089999999999</v>
      </c>
      <c r="AF10073">
        <v>2.1586546799491502</v>
      </c>
      <c r="AG10073">
        <v>-1.1101970837569901</v>
      </c>
      <c r="AH10073">
        <v>38.126420668745403</v>
      </c>
      <c r="AI10073">
        <v>91.665249789381605</v>
      </c>
      <c r="AJ10073">
        <v>86.759467728711698</v>
      </c>
      <c r="AK10073">
        <v>38.2036160670974</v>
      </c>
      <c r="AL10073">
        <v>88.725469393291306</v>
      </c>
      <c r="AM10073">
        <v>87.574815832560006</v>
      </c>
      <c r="AN10073">
        <v>0.99999995544668496</v>
      </c>
    </row>
    <row r="10074" spans="1:40" x14ac:dyDescent="0.25">
      <c r="A10074" t="str">
        <f>"20190312154150290"</f>
        <v>20190312154150290</v>
      </c>
      <c r="B10074" t="str">
        <f>"1552376510276253"</f>
        <v>1552376510276253</v>
      </c>
      <c r="C10074" t="s">
        <v>40</v>
      </c>
      <c r="D10074">
        <v>4.3464609999999997</v>
      </c>
      <c r="E10074">
        <v>0.50576140000000003</v>
      </c>
      <c r="F10074" t="s">
        <v>42</v>
      </c>
      <c r="G10074">
        <v>-185.94499999999999</v>
      </c>
      <c r="H10074" s="1">
        <v>-1.833104E-6</v>
      </c>
      <c r="I10074">
        <v>111.8642</v>
      </c>
      <c r="J10074">
        <v>-188.1103</v>
      </c>
      <c r="K10074">
        <v>1.110195</v>
      </c>
      <c r="L10074">
        <v>74.633700000000005</v>
      </c>
      <c r="M10074">
        <v>1.002335E-3</v>
      </c>
      <c r="N10074">
        <v>0</v>
      </c>
      <c r="O10074">
        <v>0.99989119999999998</v>
      </c>
      <c r="P10074">
        <v>4.3357029999999998E-2</v>
      </c>
      <c r="Q10074">
        <v>7.5129630000000001E-3</v>
      </c>
      <c r="R10074">
        <v>0.99903140000000001</v>
      </c>
      <c r="S10074">
        <v>0.173233</v>
      </c>
      <c r="T10074">
        <v>-8.881783E-2</v>
      </c>
      <c r="U10074">
        <v>2.9960629999999999</v>
      </c>
      <c r="V10074">
        <v>4.2344279999999998E-2</v>
      </c>
      <c r="W10074">
        <v>2.2240059999999999E-2</v>
      </c>
      <c r="X10074">
        <v>0.99885550000000001</v>
      </c>
      <c r="Y10074">
        <v>5.6697749999999998E-2</v>
      </c>
      <c r="Z10074">
        <v>-2.95833E-2</v>
      </c>
      <c r="AA10074">
        <v>0.99795299999999998</v>
      </c>
      <c r="AB10074">
        <v>36</v>
      </c>
      <c r="AC10074">
        <v>2.1652999999999998</v>
      </c>
      <c r="AD10074">
        <v>-1.110196833104</v>
      </c>
      <c r="AE10074">
        <v>37.2304999999999</v>
      </c>
      <c r="AF10074">
        <v>2.1260932759635098</v>
      </c>
      <c r="AG10074">
        <v>-1.110196833104</v>
      </c>
      <c r="AH10074">
        <v>37.1996852230032</v>
      </c>
      <c r="AI10074">
        <v>91.706658863802105</v>
      </c>
      <c r="AJ10074">
        <v>86.728902633654599</v>
      </c>
      <c r="AK10074">
        <v>37.276928391658799</v>
      </c>
      <c r="AL10074">
        <v>88.725633336293399</v>
      </c>
      <c r="AM10074">
        <v>87.572525042999104</v>
      </c>
      <c r="AN10074">
        <v>0.99999998409888502</v>
      </c>
    </row>
    <row r="10075" spans="1:40" x14ac:dyDescent="0.25">
      <c r="A10075" t="str">
        <f>"20190312154150322"</f>
        <v>20190312154150322</v>
      </c>
      <c r="B10075" t="str">
        <f>"1552376510296337"</f>
        <v>1552376510296337</v>
      </c>
      <c r="C10075" t="s">
        <v>40</v>
      </c>
      <c r="D10075">
        <v>4.384023</v>
      </c>
      <c r="E10075">
        <v>0.50566140000000004</v>
      </c>
      <c r="F10075" t="s">
        <v>42</v>
      </c>
      <c r="G10075">
        <v>-185.9496</v>
      </c>
      <c r="H10075" s="1">
        <v>-1.8628810000000001E-6</v>
      </c>
      <c r="I10075">
        <v>111.95529999999999</v>
      </c>
      <c r="J10075">
        <v>-188.11009999999999</v>
      </c>
      <c r="K10075">
        <v>1.110188</v>
      </c>
      <c r="L10075">
        <v>74.942869999999999</v>
      </c>
      <c r="M10075">
        <v>8.0017849999999998E-4</v>
      </c>
      <c r="N10075">
        <v>0</v>
      </c>
      <c r="O10075">
        <v>0.99989139999999999</v>
      </c>
      <c r="P10075">
        <v>4.3826070000000002E-2</v>
      </c>
      <c r="Q10075">
        <v>7.0215019999999998E-3</v>
      </c>
      <c r="R10075">
        <v>0.99901450000000003</v>
      </c>
      <c r="S10075">
        <v>0.17344670000000001</v>
      </c>
      <c r="T10075">
        <v>-8.9122179999999995E-2</v>
      </c>
      <c r="U10075">
        <v>2.9960330000000002</v>
      </c>
      <c r="V10075">
        <v>4.3015579999999998E-2</v>
      </c>
      <c r="W10075">
        <v>2.1745219999999999E-2</v>
      </c>
      <c r="X10075">
        <v>0.99883770000000005</v>
      </c>
      <c r="Y10075">
        <v>5.6970920000000001E-2</v>
      </c>
      <c r="Z10075">
        <v>-2.968459E-2</v>
      </c>
      <c r="AA10075">
        <v>0.99793449999999995</v>
      </c>
      <c r="AB10075">
        <v>36</v>
      </c>
      <c r="AC10075">
        <v>2.1604999999999799</v>
      </c>
      <c r="AD10075">
        <v>-1.1101898628810001</v>
      </c>
      <c r="AE10075">
        <v>37.012430000000002</v>
      </c>
      <c r="AF10075">
        <v>2.1289706127068002</v>
      </c>
      <c r="AG10075">
        <v>-1.1101898628810001</v>
      </c>
      <c r="AH10075">
        <v>36.980988186864401</v>
      </c>
      <c r="AI10075">
        <v>91.716694070666506</v>
      </c>
      <c r="AJ10075">
        <v>86.705157257810598</v>
      </c>
      <c r="AK10075">
        <v>37.058852177022601</v>
      </c>
      <c r="AL10075">
        <v>88.753992425664705</v>
      </c>
      <c r="AM10075">
        <v>87.534044602298195</v>
      </c>
      <c r="AN10075">
        <v>0.999999972828437</v>
      </c>
    </row>
    <row r="10076" spans="1:40" x14ac:dyDescent="0.25">
      <c r="A10076" t="str">
        <f>"20190312154150337"</f>
        <v>20190312154150337</v>
      </c>
      <c r="B10076" t="str">
        <f>"1552376510325616"</f>
        <v>1552376510325616</v>
      </c>
      <c r="C10076" t="s">
        <v>40</v>
      </c>
      <c r="D10076">
        <v>4.3701420000000004</v>
      </c>
      <c r="E10076">
        <v>0.50553909999999902</v>
      </c>
      <c r="F10076" t="s">
        <v>42</v>
      </c>
      <c r="G10076">
        <v>-186.0232</v>
      </c>
      <c r="H10076" s="1">
        <v>-1.4763970000000001E-6</v>
      </c>
      <c r="I10076">
        <v>110.8772</v>
      </c>
      <c r="J10076">
        <v>-188.11009999999999</v>
      </c>
      <c r="K10076">
        <v>1.1101859999999999</v>
      </c>
      <c r="L10076">
        <v>75.380949999999999</v>
      </c>
      <c r="M10076">
        <v>5.1330180000000003E-4</v>
      </c>
      <c r="N10076">
        <v>0</v>
      </c>
      <c r="O10076">
        <v>0.99989159999999999</v>
      </c>
      <c r="P10076">
        <v>4.3641949999999999E-2</v>
      </c>
      <c r="Q10076">
        <v>6.3123859999999997E-3</v>
      </c>
      <c r="R10076">
        <v>0.99902729999999995</v>
      </c>
      <c r="S10076">
        <v>0.17399600000000001</v>
      </c>
      <c r="T10076">
        <v>-9.2560530000000002E-2</v>
      </c>
      <c r="U10076">
        <v>2.9959720000000001</v>
      </c>
      <c r="V10076">
        <v>4.3118509999999999E-2</v>
      </c>
      <c r="W10076">
        <v>2.1031089999999999E-2</v>
      </c>
      <c r="X10076">
        <v>0.99884859999999998</v>
      </c>
      <c r="Y10076">
        <v>5.7438879999999998E-2</v>
      </c>
      <c r="Z10076">
        <v>-3.0828810000000002E-2</v>
      </c>
      <c r="AA10076">
        <v>0.99787289999999995</v>
      </c>
      <c r="AB10076">
        <v>35</v>
      </c>
      <c r="AC10076">
        <v>2.08689999999998</v>
      </c>
      <c r="AD10076">
        <v>-1.1101874763969899</v>
      </c>
      <c r="AE10076">
        <v>35.496250000000003</v>
      </c>
      <c r="AF10076">
        <v>2.0666628169997501</v>
      </c>
      <c r="AG10076">
        <v>-1.1101874763969899</v>
      </c>
      <c r="AH10076">
        <v>35.4627464786929</v>
      </c>
      <c r="AI10076">
        <v>91.790065919520998</v>
      </c>
      <c r="AJ10076">
        <v>86.664745635033796</v>
      </c>
      <c r="AK10076">
        <v>35.540258851673599</v>
      </c>
      <c r="AL10076">
        <v>88.794918480480106</v>
      </c>
      <c r="AM10076">
        <v>87.528178182168105</v>
      </c>
      <c r="AN10076">
        <v>1.0000000191865801</v>
      </c>
    </row>
    <row r="10077" spans="1:40" x14ac:dyDescent="0.25">
      <c r="A10077" t="str">
        <f>"20190312154150354"</f>
        <v>20190312154150354</v>
      </c>
      <c r="B10077" t="str">
        <f>"1552376510346116"</f>
        <v>1552376510346116</v>
      </c>
      <c r="C10077" t="s">
        <v>40</v>
      </c>
      <c r="D10077">
        <v>4.3549989999999896</v>
      </c>
      <c r="E10077">
        <v>0.50550139999999999</v>
      </c>
      <c r="F10077" t="s">
        <v>42</v>
      </c>
      <c r="G10077">
        <v>-186.14429999999999</v>
      </c>
      <c r="H10077" s="1">
        <v>-4.9319750000000003E-6</v>
      </c>
      <c r="I10077">
        <v>109.535</v>
      </c>
      <c r="J10077">
        <v>-188.11009999999999</v>
      </c>
      <c r="K10077">
        <v>1.1101810000000001</v>
      </c>
      <c r="L10077">
        <v>75.649569999999997</v>
      </c>
      <c r="M10077">
        <v>3.3738600000000001E-4</v>
      </c>
      <c r="N10077">
        <v>0</v>
      </c>
      <c r="O10077">
        <v>0.9998918</v>
      </c>
      <c r="P10077">
        <v>4.3302229999999997E-2</v>
      </c>
      <c r="Q10077">
        <v>5.7247610000000001E-3</v>
      </c>
      <c r="R10077">
        <v>0.99904559999999998</v>
      </c>
      <c r="S10077">
        <v>0.1724396</v>
      </c>
      <c r="T10077">
        <v>-9.7386120000000007E-2</v>
      </c>
      <c r="U10077">
        <v>2.9960019999999998</v>
      </c>
      <c r="V10077">
        <v>4.2954859999999997E-2</v>
      </c>
      <c r="W10077">
        <v>2.044089E-2</v>
      </c>
      <c r="X10077">
        <v>0.99886790000000003</v>
      </c>
      <c r="Y10077">
        <v>5.7094350000000002E-2</v>
      </c>
      <c r="Z10077">
        <v>-3.2434879999999999E-2</v>
      </c>
      <c r="AA10077">
        <v>0.9978418</v>
      </c>
      <c r="AB10077">
        <v>35</v>
      </c>
      <c r="AC10077">
        <v>1.9658</v>
      </c>
      <c r="AD10077">
        <v>-1.11018593197499</v>
      </c>
      <c r="AE10077">
        <v>33.885429999999999</v>
      </c>
      <c r="AF10077">
        <v>1.9522776176891701</v>
      </c>
      <c r="AG10077">
        <v>-1.11018593197499</v>
      </c>
      <c r="AH10077">
        <v>33.849878470186603</v>
      </c>
      <c r="AI10077">
        <v>91.875361506510103</v>
      </c>
      <c r="AJ10077">
        <v>86.699146520668407</v>
      </c>
      <c r="AK10077">
        <v>33.924300628701097</v>
      </c>
      <c r="AL10077">
        <v>88.828741717905103</v>
      </c>
      <c r="AM10077">
        <v>87.537595571087195</v>
      </c>
      <c r="AN10077">
        <v>1.0000000158160101</v>
      </c>
    </row>
    <row r="10078" spans="1:40" x14ac:dyDescent="0.25">
      <c r="A10078" t="str">
        <f>"20190312154150369"</f>
        <v>20190312154150369</v>
      </c>
      <c r="B10078" t="str">
        <f>"1552376510355874"</f>
        <v>1552376510355874</v>
      </c>
      <c r="C10078" t="s">
        <v>40</v>
      </c>
      <c r="D10078">
        <v>4.3448440000000002</v>
      </c>
      <c r="E10078">
        <v>0.50559399999999999</v>
      </c>
      <c r="F10078" t="s">
        <v>42</v>
      </c>
      <c r="G10078">
        <v>-186.2295</v>
      </c>
      <c r="H10078" s="1">
        <v>-4.5172840000000003E-6</v>
      </c>
      <c r="I10078">
        <v>108.6036</v>
      </c>
      <c r="J10078">
        <v>-188.11019999999999</v>
      </c>
      <c r="K10078">
        <v>1.1101760000000001</v>
      </c>
      <c r="L10078">
        <v>75.880369999999999</v>
      </c>
      <c r="M10078">
        <v>1.861926E-4</v>
      </c>
      <c r="N10078">
        <v>0</v>
      </c>
      <c r="O10078">
        <v>0.9998918</v>
      </c>
      <c r="P10078">
        <v>4.2935359999999999E-2</v>
      </c>
      <c r="Q10078">
        <v>5.6225590000000001E-3</v>
      </c>
      <c r="R10078">
        <v>0.99906200000000001</v>
      </c>
      <c r="S10078">
        <v>0.17097470000000001</v>
      </c>
      <c r="T10078">
        <v>-0.10093299999999999</v>
      </c>
      <c r="U10078">
        <v>2.9960330000000002</v>
      </c>
      <c r="V10078">
        <v>4.2739119999999999E-2</v>
      </c>
      <c r="W10078">
        <v>2.0336E-2</v>
      </c>
      <c r="X10078">
        <v>0.99887930000000003</v>
      </c>
      <c r="Y10078">
        <v>5.6756239999999999E-2</v>
      </c>
      <c r="Z10078">
        <v>-3.3615319999999997E-2</v>
      </c>
      <c r="AA10078">
        <v>0.99782199999999999</v>
      </c>
      <c r="AB10078">
        <v>35</v>
      </c>
      <c r="AC10078">
        <v>1.88069999999999</v>
      </c>
      <c r="AD10078">
        <v>-1.110180517284</v>
      </c>
      <c r="AE10078">
        <v>32.723230000000001</v>
      </c>
      <c r="AF10078">
        <v>1.8724583830222801</v>
      </c>
      <c r="AG10078">
        <v>-1.110180517284</v>
      </c>
      <c r="AH10078">
        <v>32.686081862090802</v>
      </c>
      <c r="AI10078">
        <v>91.942117720961406</v>
      </c>
      <c r="AJ10078">
        <v>86.721331244425201</v>
      </c>
      <c r="AK10078">
        <v>32.7584881927175</v>
      </c>
      <c r="AL10078">
        <v>88.834752727209107</v>
      </c>
      <c r="AM10078">
        <v>87.549975771576399</v>
      </c>
      <c r="AN10078">
        <v>1.0000000206214299</v>
      </c>
    </row>
    <row r="10079" spans="1:40" x14ac:dyDescent="0.25">
      <c r="A10079" t="str">
        <f>"20190312154150387"</f>
        <v>20190312154150387</v>
      </c>
      <c r="B10079" t="str">
        <f>"1552376510376371"</f>
        <v>1552376510376371</v>
      </c>
      <c r="C10079" t="s">
        <v>40</v>
      </c>
      <c r="D10079">
        <v>4.3437279999999996</v>
      </c>
      <c r="E10079">
        <v>0.50575539999999997</v>
      </c>
      <c r="F10079" t="s">
        <v>42</v>
      </c>
      <c r="G10079">
        <v>-186.23759999999999</v>
      </c>
      <c r="H10079" s="1">
        <v>-4.5798109999999998E-6</v>
      </c>
      <c r="I10079">
        <v>108.7527</v>
      </c>
      <c r="J10079">
        <v>-188.1103</v>
      </c>
      <c r="K10079">
        <v>1.1101760000000001</v>
      </c>
      <c r="L10079">
        <v>76.171909999999997</v>
      </c>
      <c r="M10079" s="1">
        <v>-4.806919E-6</v>
      </c>
      <c r="N10079">
        <v>0</v>
      </c>
      <c r="O10079">
        <v>0.99989189999999994</v>
      </c>
      <c r="P10079">
        <v>4.2046439999999997E-2</v>
      </c>
      <c r="Q10079">
        <v>5.0938579999999997E-3</v>
      </c>
      <c r="R10079">
        <v>0.99910270000000001</v>
      </c>
      <c r="S10079">
        <v>0.1706696</v>
      </c>
      <c r="T10079">
        <v>-0.10118340000000001</v>
      </c>
      <c r="U10079">
        <v>2.9960330000000002</v>
      </c>
      <c r="V10079">
        <v>4.2041340000000003E-2</v>
      </c>
      <c r="W10079">
        <v>1.9803970000000001E-2</v>
      </c>
      <c r="X10079">
        <v>0.99891960000000002</v>
      </c>
      <c r="Y10079">
        <v>5.6845489999999999E-2</v>
      </c>
      <c r="Z10079">
        <v>-3.3698649999999997E-2</v>
      </c>
      <c r="AA10079">
        <v>0.99781410000000004</v>
      </c>
      <c r="AB10079">
        <v>35</v>
      </c>
      <c r="AC10079">
        <v>1.8727</v>
      </c>
      <c r="AD10079">
        <v>-1.1101805798109901</v>
      </c>
      <c r="AE10079">
        <v>32.58079</v>
      </c>
      <c r="AF10079">
        <v>1.8706917502371201</v>
      </c>
      <c r="AG10079">
        <v>-1.1101805798109901</v>
      </c>
      <c r="AH10079">
        <v>32.543120090664402</v>
      </c>
      <c r="AI10079">
        <v>91.950620964383901</v>
      </c>
      <c r="AJ10079">
        <v>86.710059796774999</v>
      </c>
      <c r="AK10079">
        <v>32.6157424226339</v>
      </c>
      <c r="AL10079">
        <v>88.865241940318199</v>
      </c>
      <c r="AM10079">
        <v>87.590025637419899</v>
      </c>
      <c r="AN10079">
        <v>1.0000000193804499</v>
      </c>
    </row>
    <row r="10080" spans="1:40" x14ac:dyDescent="0.25">
      <c r="A10080" t="str">
        <f>"20190312154150401"</f>
        <v>20190312154150401</v>
      </c>
      <c r="B10080" t="str">
        <f>"1552376510396436"</f>
        <v>1552376510396436</v>
      </c>
      <c r="C10080" t="s">
        <v>40</v>
      </c>
      <c r="D10080">
        <v>4.3415030000000003</v>
      </c>
      <c r="E10080">
        <v>0.50589340000000005</v>
      </c>
      <c r="F10080" t="s">
        <v>42</v>
      </c>
      <c r="G10080">
        <v>-186.286</v>
      </c>
      <c r="H10080" s="1">
        <v>-4.4558590000000003E-6</v>
      </c>
      <c r="I10080">
        <v>108.4838</v>
      </c>
      <c r="J10080">
        <v>-188.1104</v>
      </c>
      <c r="K10080">
        <v>1.110177</v>
      </c>
      <c r="L10080">
        <v>76.385829999999999</v>
      </c>
      <c r="M10080">
        <v>-1.4491999999999999E-4</v>
      </c>
      <c r="N10080">
        <v>0</v>
      </c>
      <c r="O10080">
        <v>0.99989189999999994</v>
      </c>
      <c r="P10080">
        <v>4.1339769999999998E-2</v>
      </c>
      <c r="Q10080">
        <v>5.005158E-3</v>
      </c>
      <c r="R10080">
        <v>0.99913260000000004</v>
      </c>
      <c r="S10080">
        <v>0.1691589</v>
      </c>
      <c r="T10080">
        <v>-0.10294059999999999</v>
      </c>
      <c r="U10080">
        <v>2.9960939999999998</v>
      </c>
      <c r="V10080">
        <v>4.1474730000000001E-2</v>
      </c>
      <c r="W10080">
        <v>1.971291E-2</v>
      </c>
      <c r="X10080">
        <v>0.99894510000000003</v>
      </c>
      <c r="Y10080">
        <v>5.6481629999999998E-2</v>
      </c>
      <c r="Z10080">
        <v>-3.4283330000000001E-2</v>
      </c>
      <c r="AA10080">
        <v>0.9978148</v>
      </c>
      <c r="AB10080">
        <v>35</v>
      </c>
      <c r="AC10080">
        <v>1.82440000000002</v>
      </c>
      <c r="AD10080">
        <v>-1.110181455859</v>
      </c>
      <c r="AE10080">
        <v>32.097969999999997</v>
      </c>
      <c r="AF10080">
        <v>1.82687370682788</v>
      </c>
      <c r="AG10080">
        <v>-1.110181455859</v>
      </c>
      <c r="AH10080">
        <v>32.059476636748798</v>
      </c>
      <c r="AI10080">
        <v>91.980082377194293</v>
      </c>
      <c r="AJ10080">
        <v>86.738590631465897</v>
      </c>
      <c r="AK10080">
        <v>32.130670902237298</v>
      </c>
      <c r="AL10080">
        <v>88.870460327360107</v>
      </c>
      <c r="AM10080">
        <v>87.622529038054907</v>
      </c>
      <c r="AN10080">
        <v>1.0000000324316201</v>
      </c>
    </row>
    <row r="10081" spans="1:40" x14ac:dyDescent="0.25">
      <c r="A10081" t="str">
        <f>"20190312154150421"</f>
        <v>20190312154150421</v>
      </c>
      <c r="B10081" t="str">
        <f>"1552376510415956"</f>
        <v>1552376510415956</v>
      </c>
      <c r="C10081" t="s">
        <v>40</v>
      </c>
      <c r="D10081">
        <v>4.3100239999999896</v>
      </c>
      <c r="E10081">
        <v>0.50597519999999996</v>
      </c>
      <c r="F10081" t="s">
        <v>42</v>
      </c>
      <c r="G10081">
        <v>-186.30680000000001</v>
      </c>
      <c r="H10081" s="1">
        <v>-4.4681740000000004E-6</v>
      </c>
      <c r="I10081">
        <v>108.5211</v>
      </c>
      <c r="J10081">
        <v>-188.11070000000001</v>
      </c>
      <c r="K10081">
        <v>1.110171</v>
      </c>
      <c r="L10081">
        <v>76.713350000000005</v>
      </c>
      <c r="M10081">
        <v>-3.593235E-4</v>
      </c>
      <c r="N10081">
        <v>0</v>
      </c>
      <c r="O10081">
        <v>0.99989189999999994</v>
      </c>
      <c r="P10081">
        <v>4.009045E-2</v>
      </c>
      <c r="Q10081">
        <v>4.8517830000000001E-3</v>
      </c>
      <c r="R10081">
        <v>0.99918430000000003</v>
      </c>
      <c r="S10081">
        <v>0.16816710000000001</v>
      </c>
      <c r="T10081">
        <v>-0.10350860000000001</v>
      </c>
      <c r="U10081">
        <v>2.9961549999999999</v>
      </c>
      <c r="V10081">
        <v>4.0439749999999997E-2</v>
      </c>
      <c r="W10081">
        <v>1.9556529999999999E-2</v>
      </c>
      <c r="X10081">
        <v>0.99899059999999995</v>
      </c>
      <c r="Y10081">
        <v>5.6364940000000002E-2</v>
      </c>
      <c r="Z10081">
        <v>-3.4472009999999997E-2</v>
      </c>
      <c r="AA10081">
        <v>0.99781500000000001</v>
      </c>
      <c r="AB10081">
        <v>35</v>
      </c>
      <c r="AC10081">
        <v>1.8038999999999901</v>
      </c>
      <c r="AD10081">
        <v>-1.1101754681739999</v>
      </c>
      <c r="AE10081">
        <v>31.807749999999999</v>
      </c>
      <c r="AF10081">
        <v>1.81312872463513</v>
      </c>
      <c r="AG10081">
        <v>-1.1101754681739999</v>
      </c>
      <c r="AH10081">
        <v>31.768523461199599</v>
      </c>
      <c r="AI10081">
        <v>91.998181504014497</v>
      </c>
      <c r="AJ10081">
        <v>86.733494780750206</v>
      </c>
      <c r="AK10081">
        <v>31.839582413201001</v>
      </c>
      <c r="AL10081">
        <v>88.879421960447701</v>
      </c>
      <c r="AM10081">
        <v>87.681897486683894</v>
      </c>
      <c r="AN10081">
        <v>1.00000002506703</v>
      </c>
    </row>
    <row r="10082" spans="1:40" x14ac:dyDescent="0.25">
      <c r="A10082" t="str">
        <f>"20190312154150445"</f>
        <v>20190312154150445</v>
      </c>
      <c r="B10082" t="str">
        <f>"1552376510436452"</f>
        <v>1552376510436452</v>
      </c>
      <c r="C10082" t="s">
        <v>40</v>
      </c>
      <c r="D10082">
        <v>4.2784639999999996</v>
      </c>
      <c r="E10082">
        <v>0.50602420000000004</v>
      </c>
      <c r="F10082" t="s">
        <v>42</v>
      </c>
      <c r="G10082">
        <v>-186.36</v>
      </c>
      <c r="H10082" s="1">
        <v>-4.4514950000000001E-6</v>
      </c>
      <c r="I10082">
        <v>108.5042</v>
      </c>
      <c r="J10082">
        <v>-188.11109999999999</v>
      </c>
      <c r="K10082">
        <v>1.110179</v>
      </c>
      <c r="L10082">
        <v>77.080869999999905</v>
      </c>
      <c r="M10082">
        <v>-6.0031679999999999E-4</v>
      </c>
      <c r="N10082">
        <v>0</v>
      </c>
      <c r="O10082">
        <v>0.99989189999999994</v>
      </c>
      <c r="P10082">
        <v>3.8964949999999998E-2</v>
      </c>
      <c r="Q10082">
        <v>4.8666760000000003E-3</v>
      </c>
      <c r="R10082">
        <v>0.99922869999999997</v>
      </c>
      <c r="S10082">
        <v>0.1650085</v>
      </c>
      <c r="T10082">
        <v>-0.1046357</v>
      </c>
      <c r="U10082">
        <v>2.9963380000000002</v>
      </c>
      <c r="V10082">
        <v>3.9555119999999999E-2</v>
      </c>
      <c r="W10082">
        <v>1.9567020000000001E-2</v>
      </c>
      <c r="X10082">
        <v>0.99902579999999996</v>
      </c>
      <c r="Y10082">
        <v>5.5552829999999997E-2</v>
      </c>
      <c r="Z10082">
        <v>-3.4846599999999998E-2</v>
      </c>
      <c r="AA10082">
        <v>0.9978475</v>
      </c>
      <c r="AB10082">
        <v>35</v>
      </c>
      <c r="AC10082">
        <v>1.7510999999999699</v>
      </c>
      <c r="AD10082">
        <v>-1.110183451495</v>
      </c>
      <c r="AE10082">
        <v>31.42333</v>
      </c>
      <c r="AF10082">
        <v>1.7677659741679801</v>
      </c>
      <c r="AG10082">
        <v>-1.110183451495</v>
      </c>
      <c r="AH10082">
        <v>31.383221659263299</v>
      </c>
      <c r="AI10082">
        <v>92.0227931643403</v>
      </c>
      <c r="AJ10082">
        <v>86.776028555282593</v>
      </c>
      <c r="AK10082">
        <v>31.452569140689501</v>
      </c>
      <c r="AL10082">
        <v>88.878820798533397</v>
      </c>
      <c r="AM10082">
        <v>87.732632868737696</v>
      </c>
      <c r="AN10082">
        <v>1.0000000124277599</v>
      </c>
    </row>
    <row r="10083" spans="1:40" x14ac:dyDescent="0.25">
      <c r="A10083" t="str">
        <f>"20190312154150466"</f>
        <v>20190312154150466</v>
      </c>
      <c r="B10083" t="str">
        <f>"1552376510455972"</f>
        <v>1552376510455972</v>
      </c>
      <c r="C10083" t="s">
        <v>40</v>
      </c>
      <c r="D10083">
        <v>4.2638259999999999</v>
      </c>
      <c r="E10083">
        <v>0.50609269999999995</v>
      </c>
      <c r="F10083" t="s">
        <v>42</v>
      </c>
      <c r="G10083">
        <v>-186.4024</v>
      </c>
      <c r="H10083" s="1">
        <v>-4.524622E-6</v>
      </c>
      <c r="I10083">
        <v>108.6922</v>
      </c>
      <c r="J10083">
        <v>-188.11150000000001</v>
      </c>
      <c r="K10083">
        <v>1.1101799999999999</v>
      </c>
      <c r="L10083">
        <v>77.425019999999904</v>
      </c>
      <c r="M10083">
        <v>-8.2594639999999996E-4</v>
      </c>
      <c r="N10083">
        <v>0</v>
      </c>
      <c r="O10083">
        <v>0.9998918</v>
      </c>
      <c r="P10083">
        <v>3.7775360000000001E-2</v>
      </c>
      <c r="Q10083">
        <v>5.4428360000000004E-3</v>
      </c>
      <c r="R10083">
        <v>0.99927149999999998</v>
      </c>
      <c r="S10083">
        <v>0.161972</v>
      </c>
      <c r="T10083">
        <v>-0.1052371</v>
      </c>
      <c r="U10083">
        <v>2.996521</v>
      </c>
      <c r="V10083">
        <v>3.859079E-2</v>
      </c>
      <c r="W10083">
        <v>2.0139589999999999E-2</v>
      </c>
      <c r="X10083">
        <v>0.9990521</v>
      </c>
      <c r="Y10083">
        <v>5.4766229999999999E-2</v>
      </c>
      <c r="Z10083">
        <v>-3.5046229999999998E-2</v>
      </c>
      <c r="AA10083">
        <v>0.99788399999999999</v>
      </c>
      <c r="AB10083">
        <v>35</v>
      </c>
      <c r="AC10083">
        <v>1.7091000000000001</v>
      </c>
      <c r="AD10083">
        <v>-1.1101845246219999</v>
      </c>
      <c r="AE10083">
        <v>31.26718</v>
      </c>
      <c r="AF10083">
        <v>1.732749242078</v>
      </c>
      <c r="AG10083">
        <v>-1.1101845246219999</v>
      </c>
      <c r="AH10083">
        <v>31.226507465504501</v>
      </c>
      <c r="AI10083">
        <v>92.033033225709204</v>
      </c>
      <c r="AJ10083">
        <v>86.823932058319599</v>
      </c>
      <c r="AK10083">
        <v>31.2942438494341</v>
      </c>
      <c r="AL10083">
        <v>88.846008444022999</v>
      </c>
      <c r="AM10083">
        <v>87.787912488490093</v>
      </c>
      <c r="AN10083">
        <v>0.99999997533630003</v>
      </c>
    </row>
    <row r="10084" spans="1:40" x14ac:dyDescent="0.25">
      <c r="A10084" t="str">
        <f>"20190312154150488"</f>
        <v>20190312154150488</v>
      </c>
      <c r="B10084" t="str">
        <f>"1552376510476469"</f>
        <v>1552376510476469</v>
      </c>
      <c r="C10084" t="s">
        <v>40</v>
      </c>
      <c r="D10084">
        <v>4.2701019999999996</v>
      </c>
      <c r="E10084">
        <v>0.5062181</v>
      </c>
      <c r="F10084" t="s">
        <v>42</v>
      </c>
      <c r="G10084">
        <v>-186.42230000000001</v>
      </c>
      <c r="H10084" s="1">
        <v>-4.7790380000000001E-6</v>
      </c>
      <c r="I10084">
        <v>109.29349999999999</v>
      </c>
      <c r="J10084">
        <v>-188.11199999999999</v>
      </c>
      <c r="K10084">
        <v>1.1101840000000001</v>
      </c>
      <c r="L10084">
        <v>77.761659999999907</v>
      </c>
      <c r="M10084">
        <v>-1.0466570000000001E-3</v>
      </c>
      <c r="N10084">
        <v>0</v>
      </c>
      <c r="O10084">
        <v>0.99989159999999999</v>
      </c>
      <c r="P10084">
        <v>3.6755059999999999E-2</v>
      </c>
      <c r="Q10084">
        <v>5.9336969999999999E-3</v>
      </c>
      <c r="R10084">
        <v>0.99930669999999999</v>
      </c>
      <c r="S10084">
        <v>0.15884400000000001</v>
      </c>
      <c r="T10084">
        <v>-0.10439660000000001</v>
      </c>
      <c r="U10084">
        <v>2.9967649999999999</v>
      </c>
      <c r="V10084">
        <v>3.7790860000000003E-2</v>
      </c>
      <c r="W10084">
        <v>2.0626820000000001E-2</v>
      </c>
      <c r="X10084">
        <v>0.99907279999999998</v>
      </c>
      <c r="Y10084">
        <v>5.394413E-2</v>
      </c>
      <c r="Z10084">
        <v>-3.4765560000000001E-2</v>
      </c>
      <c r="AA10084">
        <v>0.99793860000000001</v>
      </c>
      <c r="AB10084">
        <v>35</v>
      </c>
      <c r="AC10084">
        <v>1.68969999999998</v>
      </c>
      <c r="AD10084">
        <v>-1.1101887790380001</v>
      </c>
      <c r="AE10084">
        <v>31.531839999999999</v>
      </c>
      <c r="AF10084">
        <v>1.7205788666833799</v>
      </c>
      <c r="AG10084">
        <v>-1.1101887790380001</v>
      </c>
      <c r="AH10084">
        <v>31.491128162984499</v>
      </c>
      <c r="AI10084">
        <v>92.016065772953795</v>
      </c>
      <c r="AJ10084">
        <v>86.872643406545905</v>
      </c>
      <c r="AK10084">
        <v>31.557630832163198</v>
      </c>
      <c r="AL10084">
        <v>88.818086492539194</v>
      </c>
      <c r="AM10084">
        <v>87.833766484443004</v>
      </c>
      <c r="AN10084">
        <v>1.00000003725134</v>
      </c>
    </row>
    <row r="10085" spans="1:40" x14ac:dyDescent="0.25">
      <c r="A10085" t="str">
        <f>"20190312154150510"</f>
        <v>20190312154150510</v>
      </c>
      <c r="B10085" t="str">
        <f>"1552376510495893"</f>
        <v>1552376510495893</v>
      </c>
      <c r="C10085" t="s">
        <v>40</v>
      </c>
      <c r="D10085">
        <v>4.2410930000000002</v>
      </c>
      <c r="E10085">
        <v>0.50639020000000001</v>
      </c>
      <c r="F10085" t="s">
        <v>42</v>
      </c>
      <c r="G10085">
        <v>-186.43129999999999</v>
      </c>
      <c r="H10085" s="1">
        <v>-1.0410620000000001E-6</v>
      </c>
      <c r="I10085">
        <v>109.917</v>
      </c>
      <c r="J10085">
        <v>-188.11259999999999</v>
      </c>
      <c r="K10085">
        <v>1.1101909999999999</v>
      </c>
      <c r="L10085">
        <v>78.100309999999993</v>
      </c>
      <c r="M10085">
        <v>-1.268758E-3</v>
      </c>
      <c r="N10085">
        <v>0</v>
      </c>
      <c r="O10085">
        <v>0.99989139999999999</v>
      </c>
      <c r="P10085">
        <v>3.5882480000000001E-2</v>
      </c>
      <c r="Q10085">
        <v>5.9711900000000004E-3</v>
      </c>
      <c r="R10085">
        <v>0.99933819999999995</v>
      </c>
      <c r="S10085">
        <v>0.1566467</v>
      </c>
      <c r="T10085">
        <v>-0.1034706</v>
      </c>
      <c r="U10085">
        <v>2.996918</v>
      </c>
      <c r="V10085">
        <v>3.7140279999999998E-2</v>
      </c>
      <c r="W10085">
        <v>2.0660669999999999E-2</v>
      </c>
      <c r="X10085">
        <v>0.99909650000000005</v>
      </c>
      <c r="Y10085">
        <v>5.343415E-2</v>
      </c>
      <c r="Z10085">
        <v>-3.4456920000000002E-2</v>
      </c>
      <c r="AA10085">
        <v>0.99797670000000005</v>
      </c>
      <c r="AB10085">
        <v>35</v>
      </c>
      <c r="AC10085">
        <v>1.68129999999999</v>
      </c>
      <c r="AD10085">
        <v>-1.1101920410620001</v>
      </c>
      <c r="AE10085">
        <v>31.816690000000001</v>
      </c>
      <c r="AF10085">
        <v>1.7195828331984999</v>
      </c>
      <c r="AG10085">
        <v>-1.1101920410620001</v>
      </c>
      <c r="AH10085">
        <v>31.7759499712908</v>
      </c>
      <c r="AI10085">
        <v>91.998071868547697</v>
      </c>
      <c r="AJ10085">
        <v>86.902411097943499</v>
      </c>
      <c r="AK10085">
        <v>31.8418040956577</v>
      </c>
      <c r="AL10085">
        <v>88.816146620329903</v>
      </c>
      <c r="AM10085">
        <v>87.871074626590399</v>
      </c>
      <c r="AN10085">
        <v>1.00000003999778</v>
      </c>
    </row>
    <row r="10086" spans="1:40" x14ac:dyDescent="0.25">
      <c r="A10086" t="str">
        <f>"20190312154150532"</f>
        <v>20190312154150532</v>
      </c>
      <c r="B10086" t="str">
        <f>"1552376510526149"</f>
        <v>1552376510526149</v>
      </c>
      <c r="C10086" t="s">
        <v>40</v>
      </c>
      <c r="D10086">
        <v>4.23522</v>
      </c>
      <c r="E10086">
        <v>0.50662339999999995</v>
      </c>
      <c r="F10086" t="s">
        <v>42</v>
      </c>
      <c r="G10086">
        <v>-186.4442</v>
      </c>
      <c r="H10086" s="1">
        <v>-1.161639E-6</v>
      </c>
      <c r="I10086">
        <v>110.2814</v>
      </c>
      <c r="J10086">
        <v>-188.11330000000001</v>
      </c>
      <c r="K10086">
        <v>1.11019</v>
      </c>
      <c r="L10086">
        <v>78.46002</v>
      </c>
      <c r="M10086">
        <v>-1.5049799999999999E-3</v>
      </c>
      <c r="N10086">
        <v>0</v>
      </c>
      <c r="O10086">
        <v>0.99989119999999998</v>
      </c>
      <c r="P10086">
        <v>3.5406159999999999E-2</v>
      </c>
      <c r="Q10086">
        <v>6.0764219999999997E-3</v>
      </c>
      <c r="R10086">
        <v>0.99935450000000003</v>
      </c>
      <c r="S10086">
        <v>0.1553802</v>
      </c>
      <c r="T10086">
        <v>-0.1033927</v>
      </c>
      <c r="U10086">
        <v>2.9970400000000001</v>
      </c>
      <c r="V10086">
        <v>3.6900059999999998E-2</v>
      </c>
      <c r="W10086">
        <v>2.076221E-2</v>
      </c>
      <c r="X10086">
        <v>0.99910319999999997</v>
      </c>
      <c r="Y10086">
        <v>5.3247410000000002E-2</v>
      </c>
      <c r="Z10086">
        <v>-3.4430170000000003E-2</v>
      </c>
      <c r="AA10086">
        <v>0.99798759999999997</v>
      </c>
      <c r="AB10086">
        <v>35</v>
      </c>
      <c r="AC10086">
        <v>1.66910000000001</v>
      </c>
      <c r="AD10086">
        <v>-1.1101911616389999</v>
      </c>
      <c r="AE10086">
        <v>31.821380000000001</v>
      </c>
      <c r="AF10086">
        <v>1.7149121639348699</v>
      </c>
      <c r="AG10086">
        <v>-1.1101911616389999</v>
      </c>
      <c r="AH10086">
        <v>31.780255322957899</v>
      </c>
      <c r="AI10086">
        <v>91.997816418786599</v>
      </c>
      <c r="AJ10086">
        <v>86.911226030002595</v>
      </c>
      <c r="AK10086">
        <v>31.8458486546958</v>
      </c>
      <c r="AL10086">
        <v>88.810327444694195</v>
      </c>
      <c r="AM10086">
        <v>87.884845948600301</v>
      </c>
      <c r="AN10086">
        <v>0.99999994402116199</v>
      </c>
    </row>
    <row r="10087" spans="1:40" x14ac:dyDescent="0.25">
      <c r="A10087" t="str">
        <f>"20190312154150556"</f>
        <v>20190312154150556</v>
      </c>
      <c r="B10087" t="str">
        <f>"1552376510545668"</f>
        <v>1552376510545668</v>
      </c>
      <c r="C10087" t="s">
        <v>40</v>
      </c>
      <c r="D10087">
        <v>4.2394910000000001</v>
      </c>
      <c r="E10087">
        <v>0.5068011</v>
      </c>
      <c r="F10087" t="s">
        <v>42</v>
      </c>
      <c r="G10087">
        <v>-186.4308</v>
      </c>
      <c r="H10087" s="1">
        <v>-1.342091E-6</v>
      </c>
      <c r="I10087">
        <v>110.80119999999999</v>
      </c>
      <c r="J10087">
        <v>-188.11410000000001</v>
      </c>
      <c r="K10087">
        <v>1.110182</v>
      </c>
      <c r="L10087">
        <v>78.823030000000003</v>
      </c>
      <c r="M10087">
        <v>-1.7433259999999999E-3</v>
      </c>
      <c r="N10087">
        <v>0</v>
      </c>
      <c r="O10087">
        <v>0.99989079999999997</v>
      </c>
      <c r="P10087">
        <v>3.5059079999999999E-2</v>
      </c>
      <c r="Q10087">
        <v>6.0585409999999998E-3</v>
      </c>
      <c r="R10087">
        <v>0.99936689999999995</v>
      </c>
      <c r="S10087">
        <v>0.15591429999999901</v>
      </c>
      <c r="T10087">
        <v>-0.10288070000000001</v>
      </c>
      <c r="U10087">
        <v>2.9970400000000001</v>
      </c>
      <c r="V10087">
        <v>3.6791219999999999E-2</v>
      </c>
      <c r="W10087">
        <v>2.074028E-2</v>
      </c>
      <c r="X10087">
        <v>0.99910770000000004</v>
      </c>
      <c r="Y10087">
        <v>5.3663099999999998E-2</v>
      </c>
      <c r="Z10087">
        <v>-3.4259299999999999E-2</v>
      </c>
      <c r="AA10087">
        <v>0.99797119999999995</v>
      </c>
      <c r="AB10087">
        <v>35</v>
      </c>
      <c r="AC10087">
        <v>1.6833</v>
      </c>
      <c r="AD10087">
        <v>-1.1101833420909999</v>
      </c>
      <c r="AE10087">
        <v>31.978169999999899</v>
      </c>
      <c r="AF10087">
        <v>1.73696410476467</v>
      </c>
      <c r="AG10087">
        <v>-1.1101833420909999</v>
      </c>
      <c r="AH10087">
        <v>31.936800623969201</v>
      </c>
      <c r="AI10087">
        <v>91.987971858350406</v>
      </c>
      <c r="AJ10087">
        <v>86.886890463825296</v>
      </c>
      <c r="AK10087">
        <v>32.003262106376802</v>
      </c>
      <c r="AL10087">
        <v>88.811584248224094</v>
      </c>
      <c r="AM10087">
        <v>87.8910886314207</v>
      </c>
      <c r="AN10087">
        <v>0.99999997464142798</v>
      </c>
    </row>
    <row r="10088" spans="1:40" x14ac:dyDescent="0.25">
      <c r="A10088" t="str">
        <f>"20190312154150570"</f>
        <v>20190312154150570</v>
      </c>
      <c r="B10088" t="str">
        <f>"1552376510556405"</f>
        <v>1552376510556405</v>
      </c>
      <c r="C10088" t="s">
        <v>40</v>
      </c>
      <c r="D10088">
        <v>4.2208629999999996</v>
      </c>
      <c r="E10088">
        <v>0.50690500000000005</v>
      </c>
      <c r="F10088" t="s">
        <v>42</v>
      </c>
      <c r="G10088">
        <v>-186.4229</v>
      </c>
      <c r="H10088" s="1">
        <v>-1.4999799999999999E-6</v>
      </c>
      <c r="I10088">
        <v>111.259</v>
      </c>
      <c r="J10088">
        <v>-188.1146</v>
      </c>
      <c r="K10088">
        <v>1.1101840000000001</v>
      </c>
      <c r="L10088">
        <v>79.03049</v>
      </c>
      <c r="M10088">
        <v>-1.8796150000000001E-3</v>
      </c>
      <c r="N10088">
        <v>0</v>
      </c>
      <c r="O10088">
        <v>0.99989059999999996</v>
      </c>
      <c r="P10088">
        <v>3.4992469999999998E-2</v>
      </c>
      <c r="Q10088">
        <v>5.5884569999999998E-3</v>
      </c>
      <c r="R10088">
        <v>0.99937189999999998</v>
      </c>
      <c r="S10088">
        <v>0.156265299999999</v>
      </c>
      <c r="T10088">
        <v>-0.1025795</v>
      </c>
      <c r="U10088">
        <v>2.9970400000000001</v>
      </c>
      <c r="V10088">
        <v>3.6861100000000001E-2</v>
      </c>
      <c r="W10088">
        <v>2.0267830000000001E-2</v>
      </c>
      <c r="X10088">
        <v>0.99911490000000003</v>
      </c>
      <c r="Y10088">
        <v>5.3915930000000001E-2</v>
      </c>
      <c r="Z10088">
        <v>-3.4158760000000003E-2</v>
      </c>
      <c r="AA10088">
        <v>0.99796099999999999</v>
      </c>
      <c r="AB10088">
        <v>35</v>
      </c>
      <c r="AC10088">
        <v>1.69169999999999</v>
      </c>
      <c r="AD10088">
        <v>-1.11018549998</v>
      </c>
      <c r="AE10088">
        <v>32.22851</v>
      </c>
      <c r="AF10088">
        <v>1.75020960033453</v>
      </c>
      <c r="AG10088">
        <v>-1.11018549998</v>
      </c>
      <c r="AH10088">
        <v>32.1871840487225</v>
      </c>
      <c r="AI10088">
        <v>91.972524798219396</v>
      </c>
      <c r="AJ10088">
        <v>86.887551133582505</v>
      </c>
      <c r="AK10088">
        <v>32.253845700564199</v>
      </c>
      <c r="AL10088">
        <v>88.838659424967304</v>
      </c>
      <c r="AM10088">
        <v>87.887101876226396</v>
      </c>
      <c r="AN10088">
        <v>1.0000000545140599</v>
      </c>
    </row>
    <row r="10089" spans="1:40" x14ac:dyDescent="0.25">
      <c r="A10089" t="str">
        <f>"20190312154150587"</f>
        <v>20190312154150587</v>
      </c>
      <c r="B10089" t="str">
        <f>"1552376510575928"</f>
        <v>1552376510575928</v>
      </c>
      <c r="C10089" t="s">
        <v>40</v>
      </c>
      <c r="D10089">
        <v>4.2015190000000002</v>
      </c>
      <c r="E10089">
        <v>0.50708940000000002</v>
      </c>
      <c r="F10089" t="s">
        <v>42</v>
      </c>
      <c r="G10089">
        <v>-186.43809999999999</v>
      </c>
      <c r="H10089" s="1">
        <v>-1.4202019999999901E-6</v>
      </c>
      <c r="I10089">
        <v>111.0365</v>
      </c>
      <c r="J10089">
        <v>-188.11529999999999</v>
      </c>
      <c r="K10089">
        <v>1.1101799999999999</v>
      </c>
      <c r="L10089">
        <v>79.319369999999907</v>
      </c>
      <c r="M10089">
        <v>-2.0692789999999998E-3</v>
      </c>
      <c r="N10089">
        <v>0</v>
      </c>
      <c r="O10089">
        <v>0.99989030000000001</v>
      </c>
      <c r="P10089">
        <v>3.474476E-2</v>
      </c>
      <c r="Q10089">
        <v>5.1812239999999999E-3</v>
      </c>
      <c r="R10089">
        <v>0.99938280000000002</v>
      </c>
      <c r="S10089">
        <v>0.15698239999999999</v>
      </c>
      <c r="T10089">
        <v>-0.1039556</v>
      </c>
      <c r="U10089">
        <v>2.9969790000000001</v>
      </c>
      <c r="V10089">
        <v>3.6803170000000003E-2</v>
      </c>
      <c r="W10089">
        <v>1.9857360000000001E-2</v>
      </c>
      <c r="X10089">
        <v>0.99912520000000005</v>
      </c>
      <c r="Y10089">
        <v>5.4343719999999998E-2</v>
      </c>
      <c r="Z10089">
        <v>-3.461653E-2</v>
      </c>
      <c r="AA10089">
        <v>0.99792210000000003</v>
      </c>
      <c r="AB10089">
        <v>35</v>
      </c>
      <c r="AC10089">
        <v>1.67719999999999</v>
      </c>
      <c r="AD10089">
        <v>-1.1101814202019999</v>
      </c>
      <c r="AE10089">
        <v>31.717130000000001</v>
      </c>
      <c r="AF10089">
        <v>1.7407083242041601</v>
      </c>
      <c r="AG10089">
        <v>-1.1101814202019999</v>
      </c>
      <c r="AH10089">
        <v>31.6748918604507</v>
      </c>
      <c r="AI10089">
        <v>92.004330894727701</v>
      </c>
      <c r="AJ10089">
        <v>86.8544480352314</v>
      </c>
      <c r="AK10089">
        <v>31.742106776755701</v>
      </c>
      <c r="AL10089">
        <v>88.862182268441998</v>
      </c>
      <c r="AM10089">
        <v>87.890441180543206</v>
      </c>
      <c r="AN10089">
        <v>0.99999997667162899</v>
      </c>
    </row>
    <row r="10090" spans="1:40" x14ac:dyDescent="0.25">
      <c r="A10090" t="str">
        <f>"20190312154150610"</f>
        <v>20190312154150610</v>
      </c>
      <c r="B10090" t="str">
        <f>"1552376510595560"</f>
        <v>1552376510595560</v>
      </c>
      <c r="C10090" t="s">
        <v>40</v>
      </c>
      <c r="D10090">
        <v>4.273066</v>
      </c>
      <c r="E10090">
        <v>0.49158289999999999</v>
      </c>
      <c r="F10090" t="s">
        <v>42</v>
      </c>
      <c r="G10090">
        <v>-186.44839999999999</v>
      </c>
      <c r="H10090" s="1">
        <v>-1.3977819999999999E-6</v>
      </c>
      <c r="I10090">
        <v>110.9786</v>
      </c>
      <c r="J10090">
        <v>-188.1163</v>
      </c>
      <c r="K10090">
        <v>1.110179</v>
      </c>
      <c r="L10090">
        <v>79.660640000000001</v>
      </c>
      <c r="M10090">
        <v>-2.293238E-3</v>
      </c>
      <c r="N10090">
        <v>0</v>
      </c>
      <c r="O10090">
        <v>0.9998899</v>
      </c>
      <c r="P10090">
        <v>3.4754100000000003E-2</v>
      </c>
      <c r="Q10090">
        <v>4.4454209999999997E-3</v>
      </c>
      <c r="R10090">
        <v>0.999386</v>
      </c>
      <c r="S10090">
        <v>0.15779109999999999</v>
      </c>
      <c r="T10090">
        <v>-0.10509159999999999</v>
      </c>
      <c r="U10090">
        <v>2.996918</v>
      </c>
      <c r="V10090">
        <v>3.7036739999999999E-2</v>
      </c>
      <c r="W10090">
        <v>1.9117930000000002E-2</v>
      </c>
      <c r="X10090">
        <v>0.99913099999999999</v>
      </c>
      <c r="Y10090">
        <v>5.4836280000000001E-2</v>
      </c>
      <c r="Z10090">
        <v>-3.4994299999999999E-2</v>
      </c>
      <c r="AA10090">
        <v>0.99788189999999999</v>
      </c>
      <c r="AB10090">
        <v>35</v>
      </c>
      <c r="AC10090">
        <v>1.6678999999999999</v>
      </c>
      <c r="AD10090">
        <v>-1.110180397782</v>
      </c>
      <c r="AE10090">
        <v>31.317959999999999</v>
      </c>
      <c r="AF10090">
        <v>1.7375456283816999</v>
      </c>
      <c r="AG10090">
        <v>-1.110180397782</v>
      </c>
      <c r="AH10090">
        <v>31.274863206314699</v>
      </c>
      <c r="AI10090">
        <v>92.029877351103806</v>
      </c>
      <c r="AJ10090">
        <v>86.820072666044197</v>
      </c>
      <c r="AK10090">
        <v>31.342760470322801</v>
      </c>
      <c r="AL10090">
        <v>88.904556545016902</v>
      </c>
      <c r="AM10090">
        <v>87.877077465090295</v>
      </c>
      <c r="AN10090">
        <v>0.99999998525915601</v>
      </c>
    </row>
    <row r="10091" spans="1:40" x14ac:dyDescent="0.25">
      <c r="A10091" t="str">
        <f>"20190312154150624"</f>
        <v>20190312154150624</v>
      </c>
      <c r="B10091" t="str">
        <f>"1552376510616057"</f>
        <v>1552376510616057</v>
      </c>
      <c r="C10091" t="s">
        <v>40</v>
      </c>
      <c r="D10091">
        <v>4.2467129999999997</v>
      </c>
      <c r="E10091">
        <v>0.48365350000000001</v>
      </c>
      <c r="F10091" t="s">
        <v>42</v>
      </c>
      <c r="G10091">
        <v>-187.72730000000001</v>
      </c>
      <c r="H10091" s="1">
        <v>-2.100546E-6</v>
      </c>
      <c r="I10091">
        <v>113.5895</v>
      </c>
      <c r="J10091">
        <v>-188.11689999999999</v>
      </c>
      <c r="K10091">
        <v>1.110179</v>
      </c>
      <c r="L10091">
        <v>79.885440000000003</v>
      </c>
      <c r="M10091">
        <v>-2.440486E-3</v>
      </c>
      <c r="N10091">
        <v>0</v>
      </c>
      <c r="O10091">
        <v>0.99988960000000005</v>
      </c>
      <c r="P10091">
        <v>3.4705760000000002E-2</v>
      </c>
      <c r="Q10091">
        <v>3.9448629999999998E-3</v>
      </c>
      <c r="R10091">
        <v>0.99938979999999999</v>
      </c>
      <c r="S10091">
        <v>3.4408569999999999E-2</v>
      </c>
      <c r="T10091">
        <v>-9.8198649999999998E-2</v>
      </c>
      <c r="U10091">
        <v>3.001099</v>
      </c>
      <c r="V10091">
        <v>3.7135849999999998E-2</v>
      </c>
      <c r="W10091">
        <v>1.8614470000000001E-2</v>
      </c>
      <c r="X10091">
        <v>0.99913689999999999</v>
      </c>
      <c r="Y10091">
        <v>1.389899E-2</v>
      </c>
      <c r="Z10091">
        <v>-3.2700600000000003E-2</v>
      </c>
      <c r="AA10091">
        <v>0.99936849999999999</v>
      </c>
      <c r="AB10091">
        <v>35</v>
      </c>
      <c r="AC10091">
        <v>0.38959999999997302</v>
      </c>
      <c r="AD10091">
        <v>-1.1101811005460001</v>
      </c>
      <c r="AE10091">
        <v>33.704059999999998</v>
      </c>
      <c r="AF10091">
        <v>0.47135062351592699</v>
      </c>
      <c r="AG10091">
        <v>-1.1101811005460001</v>
      </c>
      <c r="AH10091">
        <v>33.666485983619097</v>
      </c>
      <c r="AI10091">
        <v>91.888507875528106</v>
      </c>
      <c r="AJ10091">
        <v>89.197877763294102</v>
      </c>
      <c r="AK10091">
        <v>33.688083233860603</v>
      </c>
      <c r="AL10091">
        <v>88.933407890873099</v>
      </c>
      <c r="AM10091">
        <v>87.871414319331194</v>
      </c>
      <c r="AN10091">
        <v>1.0000000573951</v>
      </c>
    </row>
    <row r="10092" spans="1:40" x14ac:dyDescent="0.25">
      <c r="A10092" t="str">
        <f>"20190312154150645"</f>
        <v>20190312154150645</v>
      </c>
      <c r="B10092" t="str">
        <f>"1552376510636551"</f>
        <v>1552376510636551</v>
      </c>
      <c r="C10092" t="s">
        <v>40</v>
      </c>
      <c r="D10092">
        <v>4.2040959999999998</v>
      </c>
      <c r="E10092">
        <v>0.48128399999999999</v>
      </c>
      <c r="F10092" t="s">
        <v>42</v>
      </c>
      <c r="G10092">
        <v>-188.45179999999999</v>
      </c>
      <c r="H10092" s="1">
        <v>-2.450291E-6</v>
      </c>
      <c r="I10092">
        <v>114.7043</v>
      </c>
      <c r="J10092">
        <v>-188.11789999999999</v>
      </c>
      <c r="K10092">
        <v>1.1101799999999999</v>
      </c>
      <c r="L10092">
        <v>80.200680000000006</v>
      </c>
      <c r="M10092">
        <v>-2.646299E-3</v>
      </c>
      <c r="N10092">
        <v>0</v>
      </c>
      <c r="O10092">
        <v>0.99988909999999998</v>
      </c>
      <c r="P10092">
        <v>3.5090030000000001E-2</v>
      </c>
      <c r="Q10092">
        <v>3.5199659999999998E-3</v>
      </c>
      <c r="R10092">
        <v>0.99937799999999999</v>
      </c>
      <c r="S10092">
        <v>-2.888489E-2</v>
      </c>
      <c r="T10092">
        <v>-9.5755580000000007E-2</v>
      </c>
      <c r="U10092">
        <v>3.0032040000000002</v>
      </c>
      <c r="V10092">
        <v>3.7726019999999999E-2</v>
      </c>
      <c r="W10092">
        <v>1.818587E-2</v>
      </c>
      <c r="X10092">
        <v>0.99912259999999997</v>
      </c>
      <c r="Y10092">
        <v>-6.9661979999999998E-3</v>
      </c>
      <c r="Z10092">
        <v>-3.1866989999999998E-2</v>
      </c>
      <c r="AA10092">
        <v>0.99946780000000002</v>
      </c>
      <c r="AB10092">
        <v>35</v>
      </c>
      <c r="AC10092">
        <v>-0.33389999999999898</v>
      </c>
      <c r="AD10092">
        <v>-1.110182450291</v>
      </c>
      <c r="AE10092">
        <v>34.503619999999998</v>
      </c>
      <c r="AF10092">
        <v>-0.24233127013398201</v>
      </c>
      <c r="AG10092">
        <v>-1.110182450291</v>
      </c>
      <c r="AH10092">
        <v>34.468701310996899</v>
      </c>
      <c r="AI10092">
        <v>91.844723308065596</v>
      </c>
      <c r="AJ10092">
        <v>90.402809788054498</v>
      </c>
      <c r="AK10092">
        <v>34.487426688347398</v>
      </c>
      <c r="AL10092">
        <v>88.957968932125098</v>
      </c>
      <c r="AM10092">
        <v>87.837587372597497</v>
      </c>
      <c r="AN10092">
        <v>0.99999997414172803</v>
      </c>
    </row>
    <row r="10093" spans="1:40" x14ac:dyDescent="0.25">
      <c r="A10093" t="str">
        <f>"20190312154150667"</f>
        <v>20190312154150667</v>
      </c>
      <c r="B10093" t="str">
        <f>"1552376510656072"</f>
        <v>1552376510656072</v>
      </c>
      <c r="C10093" t="s">
        <v>40</v>
      </c>
      <c r="D10093">
        <v>4.2063259999999998</v>
      </c>
      <c r="E10093">
        <v>0.48037210000000002</v>
      </c>
      <c r="F10093" t="s">
        <v>42</v>
      </c>
      <c r="G10093">
        <v>-188.65459999999999</v>
      </c>
      <c r="H10093" s="1">
        <v>-2.4289920000000002E-6</v>
      </c>
      <c r="I10093">
        <v>114.7385</v>
      </c>
      <c r="J10093">
        <v>-188.1191</v>
      </c>
      <c r="K10093">
        <v>1.110174</v>
      </c>
      <c r="L10093">
        <v>80.555239999999998</v>
      </c>
      <c r="M10093">
        <v>-2.87711E-3</v>
      </c>
      <c r="N10093">
        <v>0</v>
      </c>
      <c r="O10093">
        <v>0.99988849999999996</v>
      </c>
      <c r="P10093">
        <v>3.5840230000000001E-2</v>
      </c>
      <c r="Q10093">
        <v>2.4137130000000001E-3</v>
      </c>
      <c r="R10093">
        <v>0.99935459999999998</v>
      </c>
      <c r="S10093">
        <v>-4.6676639999999998E-2</v>
      </c>
      <c r="T10093">
        <v>-9.6555470000000004E-2</v>
      </c>
      <c r="U10093">
        <v>3.0038450000000001</v>
      </c>
      <c r="V10093">
        <v>3.8707430000000001E-2</v>
      </c>
      <c r="W10093">
        <v>1.7075489999999999E-2</v>
      </c>
      <c r="X10093">
        <v>0.99910469999999896</v>
      </c>
      <c r="Y10093">
        <v>-1.265193E-2</v>
      </c>
      <c r="Z10093">
        <v>-3.2123949999999998E-2</v>
      </c>
      <c r="AA10093">
        <v>0.99940379999999995</v>
      </c>
      <c r="AB10093">
        <v>35</v>
      </c>
      <c r="AC10093">
        <v>-0.53549999999998399</v>
      </c>
      <c r="AD10093">
        <v>-1.110176428992</v>
      </c>
      <c r="AE10093">
        <v>34.183259999999997</v>
      </c>
      <c r="AF10093">
        <v>-0.43667774321033997</v>
      </c>
      <c r="AG10093">
        <v>-1.110176428992</v>
      </c>
      <c r="AH10093">
        <v>34.148649272948298</v>
      </c>
      <c r="AI10093">
        <v>91.861884305753804</v>
      </c>
      <c r="AJ10093">
        <v>90.732633020665205</v>
      </c>
      <c r="AK10093">
        <v>34.1694809196999</v>
      </c>
      <c r="AL10093">
        <v>89.021598959278606</v>
      </c>
      <c r="AM10093">
        <v>87.781349859155597</v>
      </c>
      <c r="AN10093">
        <v>1.00000001952901</v>
      </c>
    </row>
    <row r="10094" spans="1:40" x14ac:dyDescent="0.25">
      <c r="A10094" t="str">
        <f>"20190312154150699"</f>
        <v>20190312154150699</v>
      </c>
      <c r="B10094" t="str">
        <f>"1552376510686329"</f>
        <v>1552376510686329</v>
      </c>
      <c r="C10094" t="s">
        <v>40</v>
      </c>
      <c r="D10094">
        <v>4.1841720000000002</v>
      </c>
      <c r="E10094">
        <v>0.47944520000000002</v>
      </c>
      <c r="F10094" t="s">
        <v>42</v>
      </c>
      <c r="G10094">
        <v>-188.70509999999999</v>
      </c>
      <c r="H10094" s="1">
        <v>-2.36447E-6</v>
      </c>
      <c r="I10094">
        <v>114.60899999999999</v>
      </c>
      <c r="J10094">
        <v>-188.1208</v>
      </c>
      <c r="K10094">
        <v>1.110166</v>
      </c>
      <c r="L10094">
        <v>81.043880000000001</v>
      </c>
      <c r="M10094">
        <v>-3.1945319999999999E-3</v>
      </c>
      <c r="N10094">
        <v>0</v>
      </c>
      <c r="O10094">
        <v>0.99988759999999999</v>
      </c>
      <c r="P10094">
        <v>3.6812060000000001E-2</v>
      </c>
      <c r="Q10094">
        <v>8.4716700000000002E-4</v>
      </c>
      <c r="R10094">
        <v>0.99932180000000004</v>
      </c>
      <c r="S10094">
        <v>-5.1696779999999998E-2</v>
      </c>
      <c r="T10094">
        <v>-9.7933409999999999E-2</v>
      </c>
      <c r="U10094">
        <v>3.0040279999999999</v>
      </c>
      <c r="V10094">
        <v>3.999718E-2</v>
      </c>
      <c r="W10094">
        <v>1.5503090000000001E-2</v>
      </c>
      <c r="X10094">
        <v>0.99907950000000001</v>
      </c>
      <c r="Y10094">
        <v>-1.400298E-2</v>
      </c>
      <c r="Z10094">
        <v>-3.2579139999999999E-2</v>
      </c>
      <c r="AA10094">
        <v>0.99937109999999996</v>
      </c>
      <c r="AB10094">
        <v>35</v>
      </c>
      <c r="AC10094">
        <v>-0.58429999999998405</v>
      </c>
      <c r="AD10094">
        <v>-1.11016836447</v>
      </c>
      <c r="AE10094">
        <v>33.565119999999901</v>
      </c>
      <c r="AF10094">
        <v>-0.47653950485714902</v>
      </c>
      <c r="AG10094">
        <v>-1.11016836447</v>
      </c>
      <c r="AH10094">
        <v>33.530145948472097</v>
      </c>
      <c r="AI10094">
        <v>91.896153924012097</v>
      </c>
      <c r="AJ10094">
        <v>90.814248298186399</v>
      </c>
      <c r="AK10094">
        <v>33.551903836041902</v>
      </c>
      <c r="AL10094">
        <v>89.111702773657498</v>
      </c>
      <c r="AM10094">
        <v>87.707443223444798</v>
      </c>
      <c r="AN10094">
        <v>0.999999983763875</v>
      </c>
    </row>
    <row r="10095" spans="1:40" x14ac:dyDescent="0.25">
      <c r="A10095" t="str">
        <f>"20190312154150722"</f>
        <v>20190312154150722</v>
      </c>
      <c r="B10095" t="str">
        <f>"1552376510716585"</f>
        <v>1552376510716585</v>
      </c>
      <c r="C10095" t="s">
        <v>40</v>
      </c>
      <c r="D10095">
        <v>4.3824079999999999</v>
      </c>
      <c r="E10095">
        <v>0.47966760000000003</v>
      </c>
      <c r="F10095" t="s">
        <v>42</v>
      </c>
      <c r="G10095">
        <v>-188.72800000000001</v>
      </c>
      <c r="H10095" s="1">
        <v>-1.8731379999999999E-6</v>
      </c>
      <c r="I10095">
        <v>113.4731</v>
      </c>
      <c r="J10095">
        <v>-188.12219999999999</v>
      </c>
      <c r="K10095">
        <v>1.1101570000000001</v>
      </c>
      <c r="L10095">
        <v>81.40155</v>
      </c>
      <c r="M10095">
        <v>-3.4261439999999999E-3</v>
      </c>
      <c r="N10095">
        <v>0</v>
      </c>
      <c r="O10095">
        <v>0.99988690000000002</v>
      </c>
      <c r="P10095">
        <v>3.696497E-2</v>
      </c>
      <c r="Q10095" s="1">
        <v>-2.901608E-5</v>
      </c>
      <c r="R10095">
        <v>0.9993166</v>
      </c>
      <c r="S10095">
        <v>-5.6243899999999999E-2</v>
      </c>
      <c r="T10095">
        <v>-0.1028448</v>
      </c>
      <c r="U10095">
        <v>3.0042110000000002</v>
      </c>
      <c r="V10095">
        <v>4.0381979999999998E-2</v>
      </c>
      <c r="W10095">
        <v>1.462342E-2</v>
      </c>
      <c r="X10095">
        <v>0.99907729999999995</v>
      </c>
      <c r="Y10095">
        <v>-1.528143E-2</v>
      </c>
      <c r="Z10095">
        <v>-3.4208219999999998E-2</v>
      </c>
      <c r="AA10095">
        <v>0.99929789999999996</v>
      </c>
      <c r="AB10095">
        <v>35</v>
      </c>
      <c r="AC10095">
        <v>-0.60579999999998702</v>
      </c>
      <c r="AD10095">
        <v>-1.1101588731380001</v>
      </c>
      <c r="AE10095">
        <v>32.071550000000002</v>
      </c>
      <c r="AF10095">
        <v>-0.495309641368958</v>
      </c>
      <c r="AG10095">
        <v>-1.1101588731380001</v>
      </c>
      <c r="AH10095">
        <v>32.035066684769099</v>
      </c>
      <c r="AI10095">
        <v>91.984524701656696</v>
      </c>
      <c r="AJ10095">
        <v>90.885807143469805</v>
      </c>
      <c r="AK10095">
        <v>32.058123492525901</v>
      </c>
      <c r="AL10095">
        <v>89.162109887163794</v>
      </c>
      <c r="AM10095">
        <v>87.685406055026505</v>
      </c>
      <c r="AN10095">
        <v>1.0000000000482501</v>
      </c>
    </row>
    <row r="10096" spans="1:40" x14ac:dyDescent="0.25">
      <c r="A10096" t="str">
        <f>"20190312154150744"</f>
        <v>20190312154150744</v>
      </c>
      <c r="B10096" t="str">
        <f>"1552376510736107"</f>
        <v>1552376510736107</v>
      </c>
      <c r="C10096" t="s">
        <v>40</v>
      </c>
      <c r="D10096">
        <v>4.204269</v>
      </c>
      <c r="E10096">
        <v>0.52499469999999904</v>
      </c>
      <c r="F10096" t="s">
        <v>42</v>
      </c>
      <c r="G10096">
        <v>-188.71010000000001</v>
      </c>
      <c r="H10096" s="1">
        <v>-2.1790409999999999E-6</v>
      </c>
      <c r="I10096">
        <v>114.1788</v>
      </c>
      <c r="J10096">
        <v>-188.12370000000001</v>
      </c>
      <c r="K10096">
        <v>1.1101510000000001</v>
      </c>
      <c r="L10096">
        <v>81.751829999999998</v>
      </c>
      <c r="M10096">
        <v>-3.6527719999999999E-3</v>
      </c>
      <c r="N10096">
        <v>0</v>
      </c>
      <c r="O10096">
        <v>0.99988619999999995</v>
      </c>
      <c r="P10096">
        <v>3.6898599999999997E-2</v>
      </c>
      <c r="Q10096">
        <v>-5.2240580000000004E-4</v>
      </c>
      <c r="R10096">
        <v>0.99931890000000001</v>
      </c>
      <c r="S10096">
        <v>-5.3878780000000001E-2</v>
      </c>
      <c r="T10096">
        <v>-0.1017458</v>
      </c>
      <c r="U10096">
        <v>3.0040279999999999</v>
      </c>
      <c r="V10096">
        <v>4.0542349999999998E-2</v>
      </c>
      <c r="W10096">
        <v>1.4126130000000001E-2</v>
      </c>
      <c r="X10096">
        <v>0.99907800000000002</v>
      </c>
      <c r="Y10096">
        <v>-1.426966E-2</v>
      </c>
      <c r="Z10096">
        <v>-3.384562E-2</v>
      </c>
      <c r="AA10096">
        <v>0.99932520000000002</v>
      </c>
      <c r="AB10096">
        <v>35</v>
      </c>
      <c r="AC10096">
        <v>-0.58639999999999703</v>
      </c>
      <c r="AD10096">
        <v>-1.110153179041</v>
      </c>
      <c r="AE10096">
        <v>32.426969999999997</v>
      </c>
      <c r="AF10096">
        <v>-0.467387437409299</v>
      </c>
      <c r="AG10096">
        <v>-1.110153179041</v>
      </c>
      <c r="AH10096">
        <v>32.390943834676598</v>
      </c>
      <c r="AI10096">
        <v>91.962758189537496</v>
      </c>
      <c r="AJ10096">
        <v>90.826696169541094</v>
      </c>
      <c r="AK10096">
        <v>32.4133326518388</v>
      </c>
      <c r="AL10096">
        <v>89.190605482129001</v>
      </c>
      <c r="AM10096">
        <v>87.6762257315103</v>
      </c>
      <c r="AN10096">
        <v>1.0000000398881399</v>
      </c>
    </row>
    <row r="10097" spans="1:40" x14ac:dyDescent="0.25">
      <c r="A10097" t="str">
        <f>"20190312154150766"</f>
        <v>20190312154150766</v>
      </c>
      <c r="B10097" t="str">
        <f>"1552376510756599"</f>
        <v>1552376510756599</v>
      </c>
      <c r="C10097" t="s">
        <v>40</v>
      </c>
      <c r="D10097">
        <v>4.1793500000000003</v>
      </c>
      <c r="E10097">
        <v>0.53249000000000002</v>
      </c>
      <c r="F10097" t="s">
        <v>41</v>
      </c>
      <c r="G10097">
        <v>-188.036</v>
      </c>
      <c r="H10097">
        <v>0.96281799999999995</v>
      </c>
      <c r="I10097">
        <v>82.635080000000002</v>
      </c>
      <c r="J10097">
        <v>-188.1251</v>
      </c>
      <c r="K10097">
        <v>1.11015</v>
      </c>
      <c r="L10097">
        <v>82.085719999999995</v>
      </c>
      <c r="M10097">
        <v>-3.8685199999999999E-3</v>
      </c>
      <c r="N10097">
        <v>0</v>
      </c>
      <c r="O10097">
        <v>0.99988540000000004</v>
      </c>
      <c r="P10097">
        <v>3.7176460000000001E-2</v>
      </c>
      <c r="Q10097">
        <v>-9.2561460000000005E-4</v>
      </c>
      <c r="R10097">
        <v>0.99930830000000004</v>
      </c>
      <c r="S10097">
        <v>0.29666140000000002</v>
      </c>
      <c r="T10097">
        <v>-0.49891639999999998</v>
      </c>
      <c r="U10097">
        <v>2.9908450000000002</v>
      </c>
      <c r="V10097">
        <v>4.1035969999999998E-2</v>
      </c>
      <c r="W10097">
        <v>1.3718950000000001E-2</v>
      </c>
      <c r="X10097">
        <v>0.99906349999999999</v>
      </c>
      <c r="Y10097">
        <v>0.1012227</v>
      </c>
      <c r="Z10097">
        <v>-0.16372539999999999</v>
      </c>
      <c r="AA10097">
        <v>0.98129909999999998</v>
      </c>
      <c r="AB10097">
        <v>35</v>
      </c>
      <c r="AC10097">
        <v>8.9100000000030294E-2</v>
      </c>
      <c r="AD10097">
        <v>-0.14733199999999899</v>
      </c>
      <c r="AE10097">
        <v>0.54936000000000695</v>
      </c>
      <c r="AF10097">
        <v>8.5250299500222504E-2</v>
      </c>
      <c r="AG10097">
        <v>-0.14733199999999899</v>
      </c>
      <c r="AH10097">
        <v>0.51305545485520299</v>
      </c>
      <c r="AI10097">
        <v>105.81646011929701</v>
      </c>
      <c r="AJ10097">
        <v>80.565816149612402</v>
      </c>
      <c r="AK10097">
        <v>0.54055548424334499</v>
      </c>
      <c r="AL10097">
        <v>89.213937421636302</v>
      </c>
      <c r="AM10097">
        <v>87.647930297646496</v>
      </c>
      <c r="AN10097">
        <v>1.0000000187275899</v>
      </c>
    </row>
    <row r="10098" spans="1:40" x14ac:dyDescent="0.25">
      <c r="A10098" t="str">
        <f>"20190312154150788"</f>
        <v>20190312154150788</v>
      </c>
      <c r="B10098" t="str">
        <f>"1552376510776120"</f>
        <v>1552376510776120</v>
      </c>
      <c r="C10098" t="s">
        <v>40</v>
      </c>
      <c r="D10098">
        <v>4.1733739999999999</v>
      </c>
      <c r="E10098">
        <v>0.53426669999999998</v>
      </c>
      <c r="F10098" t="s">
        <v>41</v>
      </c>
      <c r="G10098">
        <v>-188.0247</v>
      </c>
      <c r="H10098">
        <v>0.93984570000000001</v>
      </c>
      <c r="I10098">
        <v>82.932689999999994</v>
      </c>
      <c r="J10098">
        <v>-188.1267</v>
      </c>
      <c r="K10098">
        <v>1.1101570000000001</v>
      </c>
      <c r="L10098">
        <v>82.426299999999998</v>
      </c>
      <c r="M10098">
        <v>-4.0885449999999999E-3</v>
      </c>
      <c r="N10098">
        <v>0</v>
      </c>
      <c r="O10098">
        <v>0.99988449999999995</v>
      </c>
      <c r="P10098">
        <v>3.674467E-2</v>
      </c>
      <c r="Q10098">
        <v>-8.8170329999999995E-4</v>
      </c>
      <c r="R10098">
        <v>0.99932430000000005</v>
      </c>
      <c r="S10098">
        <v>0.3545837</v>
      </c>
      <c r="T10098">
        <v>-0.60088030000000003</v>
      </c>
      <c r="U10098">
        <v>2.9883120000000001</v>
      </c>
      <c r="V10098">
        <v>4.0824119999999998E-2</v>
      </c>
      <c r="W10098">
        <v>1.375901E-2</v>
      </c>
      <c r="X10098">
        <v>0.99907159999999995</v>
      </c>
      <c r="Y10098">
        <v>0.1196097</v>
      </c>
      <c r="Z10098">
        <v>-0.1957605</v>
      </c>
      <c r="AA10098">
        <v>0.97333000000000003</v>
      </c>
      <c r="AB10098">
        <v>35</v>
      </c>
      <c r="AC10098">
        <v>0.102000000000003</v>
      </c>
      <c r="AD10098">
        <v>-0.1703113</v>
      </c>
      <c r="AE10098">
        <v>0.50639000000001</v>
      </c>
      <c r="AF10098">
        <v>9.3866166000385401E-2</v>
      </c>
      <c r="AG10098">
        <v>-0.1703113</v>
      </c>
      <c r="AH10098">
        <v>0.45636059585403699</v>
      </c>
      <c r="AI10098">
        <v>110.079498906908</v>
      </c>
      <c r="AJ10098">
        <v>78.377257851324003</v>
      </c>
      <c r="AK10098">
        <v>0.49606631560261599</v>
      </c>
      <c r="AL10098">
        <v>89.211641913861598</v>
      </c>
      <c r="AM10098">
        <v>87.660078378867496</v>
      </c>
      <c r="AN10098">
        <v>0.99999999052825705</v>
      </c>
    </row>
    <row r="10099" spans="1:40" x14ac:dyDescent="0.25">
      <c r="A10099" t="str">
        <f>"20190312154150811"</f>
        <v>20190312154150811</v>
      </c>
      <c r="B10099" t="str">
        <f>"1552376510806376"</f>
        <v>1552376510806376</v>
      </c>
      <c r="C10099" t="s">
        <v>40</v>
      </c>
      <c r="D10099">
        <v>4.1482029999999996</v>
      </c>
      <c r="E10099">
        <v>0.53580220000000001</v>
      </c>
      <c r="F10099" t="s">
        <v>41</v>
      </c>
      <c r="G10099">
        <v>-188.02690000000001</v>
      </c>
      <c r="H10099">
        <v>0.93587629999999999</v>
      </c>
      <c r="I10099">
        <v>83.238839999999996</v>
      </c>
      <c r="J10099">
        <v>-188.1283</v>
      </c>
      <c r="K10099">
        <v>1.1101559999999999</v>
      </c>
      <c r="L10099">
        <v>82.773830000000004</v>
      </c>
      <c r="M10099">
        <v>-4.31197E-3</v>
      </c>
      <c r="N10099">
        <v>0</v>
      </c>
      <c r="O10099">
        <v>0.99988370000000004</v>
      </c>
      <c r="P10099">
        <v>3.6105770000000002E-2</v>
      </c>
      <c r="Q10099">
        <v>-3.3578449999999897E-4</v>
      </c>
      <c r="R10099">
        <v>0.99934789999999996</v>
      </c>
      <c r="S10099">
        <v>0.36614989999999997</v>
      </c>
      <c r="T10099">
        <v>-0.64092640000000001</v>
      </c>
      <c r="U10099">
        <v>2.9880070000000001</v>
      </c>
      <c r="V10099">
        <v>4.0408369999999999E-2</v>
      </c>
      <c r="W10099">
        <v>1.4301110000000001E-2</v>
      </c>
      <c r="X10099">
        <v>0.99908090000000005</v>
      </c>
      <c r="Y10099">
        <v>0.12324400000000001</v>
      </c>
      <c r="Z10099">
        <v>-0.2081817</v>
      </c>
      <c r="AA10099">
        <v>0.9702944</v>
      </c>
      <c r="AB10099">
        <v>35</v>
      </c>
      <c r="AC10099">
        <v>0.101399999999983</v>
      </c>
      <c r="AD10099">
        <v>-0.17427969999999901</v>
      </c>
      <c r="AE10099">
        <v>0.46500999999999199</v>
      </c>
      <c r="AF10099">
        <v>9.11783384430747E-2</v>
      </c>
      <c r="AG10099">
        <v>-0.17427969999999901</v>
      </c>
      <c r="AH10099">
        <v>0.40964003692084899</v>
      </c>
      <c r="AI10099">
        <v>112.552291543062</v>
      </c>
      <c r="AJ10099">
        <v>77.451571455192905</v>
      </c>
      <c r="AK10099">
        <v>0.454413757584258</v>
      </c>
      <c r="AL10099">
        <v>89.180578822624796</v>
      </c>
      <c r="AM10099">
        <v>87.683903429619903</v>
      </c>
      <c r="AN10099">
        <v>1.00000000142904</v>
      </c>
    </row>
    <row r="10100" spans="1:40" x14ac:dyDescent="0.25">
      <c r="A10100" t="str">
        <f>"20190312154150834"</f>
        <v>20190312154150834</v>
      </c>
      <c r="B10100" t="str">
        <f>"1552376510825896"</f>
        <v>1552376510825896</v>
      </c>
      <c r="C10100" t="s">
        <v>40</v>
      </c>
      <c r="D10100">
        <v>4.2228059999999896</v>
      </c>
      <c r="E10100">
        <v>0.53664440000000002</v>
      </c>
      <c r="F10100" t="s">
        <v>41</v>
      </c>
      <c r="G10100">
        <v>-188.03100000000001</v>
      </c>
      <c r="H10100">
        <v>0.93821120000000002</v>
      </c>
      <c r="I10100">
        <v>83.547609999999906</v>
      </c>
      <c r="J10100">
        <v>-188.1301</v>
      </c>
      <c r="K10100">
        <v>1.1101559999999999</v>
      </c>
      <c r="L10100">
        <v>83.135469999999998</v>
      </c>
      <c r="M10100">
        <v>-4.5410659999999999E-3</v>
      </c>
      <c r="N10100">
        <v>0</v>
      </c>
      <c r="O10100">
        <v>0.99988270000000001</v>
      </c>
      <c r="P10100">
        <v>3.540372E-2</v>
      </c>
      <c r="Q10100" s="1">
        <v>-6.5234429999999995E-5</v>
      </c>
      <c r="R10100">
        <v>0.99937310000000001</v>
      </c>
      <c r="S10100">
        <v>0.37567139999999999</v>
      </c>
      <c r="T10100">
        <v>-0.66400749999999997</v>
      </c>
      <c r="U10100">
        <v>2.988159</v>
      </c>
      <c r="V10100">
        <v>3.9935329999999998E-2</v>
      </c>
      <c r="W10100">
        <v>1.456764E-2</v>
      </c>
      <c r="X10100">
        <v>0.99909610000000004</v>
      </c>
      <c r="Y10100">
        <v>0.12631869999999901</v>
      </c>
      <c r="Z10100">
        <v>-0.2152415</v>
      </c>
      <c r="AA10100">
        <v>0.96835669999999996</v>
      </c>
      <c r="AB10100">
        <v>34</v>
      </c>
      <c r="AC10100">
        <v>9.9100000000021199E-2</v>
      </c>
      <c r="AD10100">
        <v>-0.17194479999999901</v>
      </c>
      <c r="AE10100">
        <v>0.41213999999999301</v>
      </c>
      <c r="AF10100">
        <v>8.67042118520472E-2</v>
      </c>
      <c r="AG10100">
        <v>-0.17194479999999901</v>
      </c>
      <c r="AH10100">
        <v>0.35351711776524702</v>
      </c>
      <c r="AI10100">
        <v>115.28525415514601</v>
      </c>
      <c r="AJ10100">
        <v>76.219554539873798</v>
      </c>
      <c r="AK10100">
        <v>0.40256302258525001</v>
      </c>
      <c r="AL10100">
        <v>89.165306212784998</v>
      </c>
      <c r="AM10100">
        <v>87.711022556988695</v>
      </c>
      <c r="AN10100">
        <v>1.0000000318762901</v>
      </c>
    </row>
    <row r="10101" spans="1:40" x14ac:dyDescent="0.25">
      <c r="A10101" t="str">
        <f>"20190312154150858"</f>
        <v>20190312154150858</v>
      </c>
      <c r="B10101" t="str">
        <f>"1552376510846392"</f>
        <v>1552376510846392</v>
      </c>
      <c r="C10101" t="s">
        <v>40</v>
      </c>
      <c r="D10101">
        <v>4.2260799999999996</v>
      </c>
      <c r="E10101">
        <v>0.53693610000000003</v>
      </c>
      <c r="F10101" t="s">
        <v>41</v>
      </c>
      <c r="G10101">
        <v>-188.03790000000001</v>
      </c>
      <c r="H10101">
        <v>0.94666039999999996</v>
      </c>
      <c r="I10101">
        <v>83.858909999999995</v>
      </c>
      <c r="J10101">
        <v>-188.13200000000001</v>
      </c>
      <c r="K10101">
        <v>1.1101510000000001</v>
      </c>
      <c r="L10101">
        <v>83.491759999999999</v>
      </c>
      <c r="M10101">
        <v>-4.7586460000000001E-3</v>
      </c>
      <c r="N10101">
        <v>0</v>
      </c>
      <c r="O10101">
        <v>0.99988169999999998</v>
      </c>
      <c r="P10101">
        <v>3.4625339999999998E-2</v>
      </c>
      <c r="Q10101" s="1">
        <v>5.4249049999999999E-5</v>
      </c>
      <c r="R10101">
        <v>0.99940039999999997</v>
      </c>
      <c r="S10101">
        <v>0.3797913</v>
      </c>
      <c r="T10101">
        <v>-0.67540630000000001</v>
      </c>
      <c r="U10101">
        <v>2.9883730000000002</v>
      </c>
      <c r="V10101">
        <v>3.9374659999999999E-2</v>
      </c>
      <c r="W10101">
        <v>1.4682550000000001E-2</v>
      </c>
      <c r="X10101">
        <v>0.99911669999999997</v>
      </c>
      <c r="Y10101">
        <v>0.12774260000000001</v>
      </c>
      <c r="Z10101">
        <v>-0.2187065</v>
      </c>
      <c r="AA10101">
        <v>0.96739299999999995</v>
      </c>
      <c r="AB10101">
        <v>34</v>
      </c>
      <c r="AC10101">
        <v>9.4099999999997394E-2</v>
      </c>
      <c r="AD10101">
        <v>-0.16349060000000001</v>
      </c>
      <c r="AE10101">
        <v>0.36714999999999498</v>
      </c>
      <c r="AF10101">
        <v>8.0810192948151296E-2</v>
      </c>
      <c r="AG10101">
        <v>-0.16349060000000001</v>
      </c>
      <c r="AH10101">
        <v>0.30917155413552899</v>
      </c>
      <c r="AI10101">
        <v>117.094954510428</v>
      </c>
      <c r="AJ10101">
        <v>75.351932357504396</v>
      </c>
      <c r="AK10101">
        <v>0.358951965392663</v>
      </c>
      <c r="AL10101">
        <v>89.158721674959295</v>
      </c>
      <c r="AM10101">
        <v>87.743171555451198</v>
      </c>
      <c r="AN10101">
        <v>1.0000000606717501</v>
      </c>
    </row>
    <row r="10102" spans="1:40" x14ac:dyDescent="0.25">
      <c r="A10102" t="str">
        <f>"20190312154150878"</f>
        <v>20190312154150878</v>
      </c>
      <c r="B10102" t="str">
        <f>"1552376510865912"</f>
        <v>1552376510865912</v>
      </c>
      <c r="C10102" t="s">
        <v>40</v>
      </c>
      <c r="D10102">
        <v>4.243519</v>
      </c>
      <c r="E10102">
        <v>0.53746380000000005</v>
      </c>
      <c r="F10102" t="s">
        <v>41</v>
      </c>
      <c r="G10102">
        <v>-188.01009999999999</v>
      </c>
      <c r="H10102">
        <v>0.89199499999999998</v>
      </c>
      <c r="I10102">
        <v>84.449010000000001</v>
      </c>
      <c r="J10102">
        <v>-188.1336</v>
      </c>
      <c r="K10102">
        <v>1.110147</v>
      </c>
      <c r="L10102">
        <v>83.803529999999995</v>
      </c>
      <c r="M10102">
        <v>-4.9375970000000002E-3</v>
      </c>
      <c r="N10102">
        <v>0</v>
      </c>
      <c r="O10102">
        <v>0.99988100000000002</v>
      </c>
      <c r="P10102">
        <v>3.4297899999999999E-2</v>
      </c>
      <c r="Q10102" s="1">
        <v>-9.1359279999999996E-5</v>
      </c>
      <c r="R10102">
        <v>0.99941159999999996</v>
      </c>
      <c r="S10102">
        <v>0.37985229999999998</v>
      </c>
      <c r="T10102">
        <v>-0.68113230000000002</v>
      </c>
      <c r="U10102">
        <v>2.9886780000000002</v>
      </c>
      <c r="V10102">
        <v>3.9226469999999999E-2</v>
      </c>
      <c r="W10102">
        <v>1.453283E-2</v>
      </c>
      <c r="X10102">
        <v>0.99912460000000003</v>
      </c>
      <c r="Y10102">
        <v>0.12787770000000001</v>
      </c>
      <c r="Z10102">
        <v>-0.22044639999999999</v>
      </c>
      <c r="AA10102">
        <v>0.96698019999999996</v>
      </c>
      <c r="AB10102">
        <v>34</v>
      </c>
      <c r="AC10102">
        <v>0.12350000000000699</v>
      </c>
      <c r="AD10102">
        <v>-0.21815199999999901</v>
      </c>
      <c r="AE10102">
        <v>0.64547999999999195</v>
      </c>
      <c r="AF10102">
        <v>0.11411205332968299</v>
      </c>
      <c r="AG10102">
        <v>-0.21815199999999901</v>
      </c>
      <c r="AH10102">
        <v>0.58085806001951401</v>
      </c>
      <c r="AI10102">
        <v>110.230071529314</v>
      </c>
      <c r="AJ10102">
        <v>78.8855410713238</v>
      </c>
      <c r="AK10102">
        <v>0.63087870601942897</v>
      </c>
      <c r="AL10102">
        <v>89.167300815710107</v>
      </c>
      <c r="AM10102">
        <v>87.751674354046898</v>
      </c>
      <c r="AN10102">
        <v>0.99999994271081305</v>
      </c>
    </row>
    <row r="10103" spans="1:40" x14ac:dyDescent="0.25">
      <c r="A10103" t="str">
        <f>"20190312154150900"</f>
        <v>20190312154150900</v>
      </c>
      <c r="B10103" t="str">
        <f>"1552376510886408"</f>
        <v>1552376510886408</v>
      </c>
      <c r="C10103" t="s">
        <v>40</v>
      </c>
      <c r="D10103">
        <v>4.244669</v>
      </c>
      <c r="E10103">
        <v>0.53779239999999995</v>
      </c>
      <c r="F10103" t="s">
        <v>41</v>
      </c>
      <c r="G10103">
        <v>-188.01159999999999</v>
      </c>
      <c r="H10103">
        <v>0.89104619999999901</v>
      </c>
      <c r="I10103">
        <v>84.754949999999994</v>
      </c>
      <c r="J10103">
        <v>-188.1354</v>
      </c>
      <c r="K10103">
        <v>1.1101399999999999</v>
      </c>
      <c r="L10103">
        <v>84.13467</v>
      </c>
      <c r="M10103">
        <v>-5.1165220000000001E-3</v>
      </c>
      <c r="N10103">
        <v>0</v>
      </c>
      <c r="O10103">
        <v>0.99988010000000005</v>
      </c>
      <c r="P10103">
        <v>3.4329749999999999E-2</v>
      </c>
      <c r="Q10103">
        <v>-4.8524620000000001E-4</v>
      </c>
      <c r="R10103">
        <v>0.99941049999999998</v>
      </c>
      <c r="S10103">
        <v>0.38294980000000001</v>
      </c>
      <c r="T10103">
        <v>-0.68822879999999997</v>
      </c>
      <c r="U10103">
        <v>2.988556</v>
      </c>
      <c r="V10103">
        <v>3.9437659999999999E-2</v>
      </c>
      <c r="W10103">
        <v>1.413472E-2</v>
      </c>
      <c r="X10103">
        <v>0.99912210000000001</v>
      </c>
      <c r="Y10103">
        <v>0.12898370000000001</v>
      </c>
      <c r="Z10103">
        <v>-0.22260730000000001</v>
      </c>
      <c r="AA10103">
        <v>0.96633800000000003</v>
      </c>
      <c r="AB10103">
        <v>34</v>
      </c>
      <c r="AC10103">
        <v>0.12380000000001699</v>
      </c>
      <c r="AD10103">
        <v>-0.21909380000000001</v>
      </c>
      <c r="AE10103">
        <v>0.62027999999999395</v>
      </c>
      <c r="AF10103">
        <v>0.11336991792253499</v>
      </c>
      <c r="AG10103">
        <v>-0.21909380000000001</v>
      </c>
      <c r="AH10103">
        <v>0.55325689704037795</v>
      </c>
      <c r="AI10103">
        <v>111.20357620195701</v>
      </c>
      <c r="AJ10103">
        <v>78.419619054202698</v>
      </c>
      <c r="AK10103">
        <v>0.60576235077045704</v>
      </c>
      <c r="AL10103">
        <v>89.190113266417896</v>
      </c>
      <c r="AM10103">
        <v>87.739576545893897</v>
      </c>
      <c r="AN10103">
        <v>1.0000000450220801</v>
      </c>
    </row>
    <row r="10104" spans="1:40" x14ac:dyDescent="0.25">
      <c r="A10104" t="str">
        <f>"20190312154150923"</f>
        <v>20190312154150923</v>
      </c>
      <c r="B10104" t="str">
        <f>"1552376510915696"</f>
        <v>1552376510915696</v>
      </c>
      <c r="C10104" t="s">
        <v>40</v>
      </c>
      <c r="D10104">
        <v>4.2436319999999998</v>
      </c>
      <c r="E10104">
        <v>0.5380587</v>
      </c>
      <c r="F10104" t="s">
        <v>41</v>
      </c>
      <c r="G10104">
        <v>-188.0155</v>
      </c>
      <c r="H10104">
        <v>0.89464449999999995</v>
      </c>
      <c r="I10104">
        <v>85.062389999999994</v>
      </c>
      <c r="J10104">
        <v>-188.13749999999999</v>
      </c>
      <c r="K10104">
        <v>1.110134</v>
      </c>
      <c r="L10104">
        <v>84.494659999999996</v>
      </c>
      <c r="M10104">
        <v>-5.2936839999999999E-3</v>
      </c>
      <c r="N10104">
        <v>0</v>
      </c>
      <c r="O10104">
        <v>0.99987919999999997</v>
      </c>
      <c r="P10104">
        <v>3.416172E-2</v>
      </c>
      <c r="Q10104">
        <v>-8.6193899999999896E-4</v>
      </c>
      <c r="R10104">
        <v>0.99941590000000002</v>
      </c>
      <c r="S10104">
        <v>0.38578800000000002</v>
      </c>
      <c r="T10104">
        <v>-0.69413290000000005</v>
      </c>
      <c r="U10104">
        <v>2.9881899999999999</v>
      </c>
      <c r="V10104">
        <v>3.9447299999999998E-2</v>
      </c>
      <c r="W10104">
        <v>1.3752810000000001E-2</v>
      </c>
      <c r="X10104">
        <v>0.99912699999999999</v>
      </c>
      <c r="Y10104">
        <v>0.13002379999999999</v>
      </c>
      <c r="Z10104">
        <v>-0.2244178</v>
      </c>
      <c r="AA10104">
        <v>0.96577970000000002</v>
      </c>
      <c r="AB10104">
        <v>34</v>
      </c>
      <c r="AC10104">
        <v>0.121999999999985</v>
      </c>
      <c r="AD10104">
        <v>-0.2154895</v>
      </c>
      <c r="AE10104">
        <v>0.56773000000001095</v>
      </c>
      <c r="AF10104">
        <v>0.109873415530138</v>
      </c>
      <c r="AG10104">
        <v>-0.2154895</v>
      </c>
      <c r="AH10104">
        <v>0.49843681572397702</v>
      </c>
      <c r="AI10104">
        <v>112.88921084738401</v>
      </c>
      <c r="AJ10104">
        <v>77.568756215579</v>
      </c>
      <c r="AK10104">
        <v>0.55402811419599196</v>
      </c>
      <c r="AL10104">
        <v>89.211997185383694</v>
      </c>
      <c r="AM10104">
        <v>87.739035666407105</v>
      </c>
      <c r="AN10104">
        <v>0.99999999569459297</v>
      </c>
    </row>
    <row r="10105" spans="1:40" x14ac:dyDescent="0.25">
      <c r="A10105" t="str">
        <f>"20190312154150945"</f>
        <v>20190312154150945</v>
      </c>
      <c r="B10105" t="str">
        <f>"1552376510936188"</f>
        <v>1552376510936188</v>
      </c>
      <c r="C10105" t="s">
        <v>40</v>
      </c>
      <c r="D10105">
        <v>4.2546609999999996</v>
      </c>
      <c r="E10105">
        <v>0.53844449999999999</v>
      </c>
      <c r="F10105" t="s">
        <v>41</v>
      </c>
      <c r="G10105">
        <v>-188.02359999999999</v>
      </c>
      <c r="H10105">
        <v>0.90451510000000002</v>
      </c>
      <c r="I10105">
        <v>85.371960000000001</v>
      </c>
      <c r="J10105">
        <v>-188.1395</v>
      </c>
      <c r="K10105">
        <v>1.1101160000000001</v>
      </c>
      <c r="L10105">
        <v>84.841399999999993</v>
      </c>
      <c r="M10105">
        <v>-5.4419719999999998E-3</v>
      </c>
      <c r="N10105">
        <v>0</v>
      </c>
      <c r="O10105">
        <v>0.9998785</v>
      </c>
      <c r="P10105">
        <v>3.3977439999999998E-2</v>
      </c>
      <c r="Q10105">
        <v>-1.28188E-3</v>
      </c>
      <c r="R10105">
        <v>0.99942180000000003</v>
      </c>
      <c r="S10105">
        <v>0.38771060000000002</v>
      </c>
      <c r="T10105">
        <v>-0.70029770000000002</v>
      </c>
      <c r="U10105">
        <v>2.9878849999999999</v>
      </c>
      <c r="V10105">
        <v>3.9411910000000001E-2</v>
      </c>
      <c r="W10105">
        <v>1.332703E-2</v>
      </c>
      <c r="X10105">
        <v>0.99913419999999997</v>
      </c>
      <c r="Y10105">
        <v>0.1307382</v>
      </c>
      <c r="Z10105">
        <v>-0.22631029999999999</v>
      </c>
      <c r="AA10105">
        <v>0.96524149999999997</v>
      </c>
      <c r="AB10105">
        <v>34</v>
      </c>
      <c r="AC10105">
        <v>0.11590000000001</v>
      </c>
      <c r="AD10105">
        <v>-0.205600899999999</v>
      </c>
      <c r="AE10105">
        <v>0.53056000000000803</v>
      </c>
      <c r="AF10105">
        <v>0.103894698349504</v>
      </c>
      <c r="AG10105">
        <v>-0.205600899999999</v>
      </c>
      <c r="AH10105">
        <v>0.46348957372981697</v>
      </c>
      <c r="AI10105">
        <v>113.405468734531</v>
      </c>
      <c r="AJ10105">
        <v>77.365566454674806</v>
      </c>
      <c r="AK10105">
        <v>0.51757938848276397</v>
      </c>
      <c r="AL10105">
        <v>89.2363948446081</v>
      </c>
      <c r="AM10105">
        <v>87.741078241550198</v>
      </c>
      <c r="AN10105">
        <v>1.00000002899405</v>
      </c>
    </row>
    <row r="10106" spans="1:40" x14ac:dyDescent="0.25">
      <c r="A10106" t="str">
        <f>"20190312154150967"</f>
        <v>20190312154150967</v>
      </c>
      <c r="B10106" t="str">
        <f>"1552376510955704"</f>
        <v>1552376510955704</v>
      </c>
      <c r="C10106" t="s">
        <v>40</v>
      </c>
      <c r="D10106">
        <v>4.288144</v>
      </c>
      <c r="E10106">
        <v>0.53879049999999995</v>
      </c>
      <c r="F10106" t="s">
        <v>41</v>
      </c>
      <c r="G10106">
        <v>-188.02969999999999</v>
      </c>
      <c r="H10106">
        <v>0.91182180000000002</v>
      </c>
      <c r="I10106">
        <v>85.680169999999904</v>
      </c>
      <c r="J10106">
        <v>-188.1414</v>
      </c>
      <c r="K10106">
        <v>1.1101000000000001</v>
      </c>
      <c r="L10106">
        <v>85.16507</v>
      </c>
      <c r="M10106">
        <v>-5.5565900000000001E-3</v>
      </c>
      <c r="N10106">
        <v>0</v>
      </c>
      <c r="O10106">
        <v>0.99987789999999999</v>
      </c>
      <c r="P10106">
        <v>3.375537E-2</v>
      </c>
      <c r="Q10106">
        <v>-1.2110129999999999E-3</v>
      </c>
      <c r="R10106">
        <v>0.99942940000000002</v>
      </c>
      <c r="S10106">
        <v>0.39048769999999999</v>
      </c>
      <c r="T10106">
        <v>-0.70629310000000001</v>
      </c>
      <c r="U10106">
        <v>2.987549</v>
      </c>
      <c r="V10106">
        <v>3.9305020000000003E-2</v>
      </c>
      <c r="W10106">
        <v>1.339283E-2</v>
      </c>
      <c r="X10106">
        <v>0.99913750000000001</v>
      </c>
      <c r="Y10106">
        <v>0.13169229999999901</v>
      </c>
      <c r="Z10106">
        <v>-0.22814290000000001</v>
      </c>
      <c r="AA10106">
        <v>0.96468030000000005</v>
      </c>
      <c r="AB10106">
        <v>34</v>
      </c>
      <c r="AC10106">
        <v>0.111700000000013</v>
      </c>
      <c r="AD10106">
        <v>-0.19827819999999999</v>
      </c>
      <c r="AE10106">
        <v>0.51509999999998901</v>
      </c>
      <c r="AF10106">
        <v>0.100358324573907</v>
      </c>
      <c r="AG10106">
        <v>-0.19827819999999999</v>
      </c>
      <c r="AH10106">
        <v>0.450690703972569</v>
      </c>
      <c r="AI10106">
        <v>113.239906974394</v>
      </c>
      <c r="AJ10106">
        <v>77.4463797037685</v>
      </c>
      <c r="AK10106">
        <v>0.50250188910471905</v>
      </c>
      <c r="AL10106">
        <v>89.232624422292304</v>
      </c>
      <c r="AM10106">
        <v>87.747205830363995</v>
      </c>
      <c r="AN10106">
        <v>0.99999999819942897</v>
      </c>
    </row>
    <row r="10107" spans="1:40" x14ac:dyDescent="0.25">
      <c r="A10107" t="str">
        <f>"20190312154150990"</f>
        <v>20190312154150990</v>
      </c>
      <c r="B10107" t="str">
        <f>"1552376510976200"</f>
        <v>1552376510976200</v>
      </c>
      <c r="C10107" t="s">
        <v>40</v>
      </c>
      <c r="D10107">
        <v>4.3033419999999998</v>
      </c>
      <c r="E10107">
        <v>0.53910749999999996</v>
      </c>
      <c r="F10107" t="s">
        <v>41</v>
      </c>
      <c r="G10107">
        <v>-188.0334</v>
      </c>
      <c r="H10107">
        <v>0.91465229999999997</v>
      </c>
      <c r="I10107">
        <v>85.986219999999904</v>
      </c>
      <c r="J10107">
        <v>-188.14340000000001</v>
      </c>
      <c r="K10107">
        <v>1.110082</v>
      </c>
      <c r="L10107">
        <v>85.515439999999998</v>
      </c>
      <c r="M10107">
        <v>-5.6510459999999998E-3</v>
      </c>
      <c r="N10107">
        <v>0</v>
      </c>
      <c r="O10107">
        <v>0.99987749999999997</v>
      </c>
      <c r="P10107">
        <v>3.3471300000000002E-2</v>
      </c>
      <c r="Q10107">
        <v>-7.1352639999999897E-4</v>
      </c>
      <c r="R10107">
        <v>0.99943939999999998</v>
      </c>
      <c r="S10107">
        <v>0.39259339999999998</v>
      </c>
      <c r="T10107">
        <v>-0.71110430000000002</v>
      </c>
      <c r="U10107">
        <v>2.9875790000000002</v>
      </c>
      <c r="V10107">
        <v>3.9116070000000003E-2</v>
      </c>
      <c r="W10107">
        <v>1.38844E-2</v>
      </c>
      <c r="X10107">
        <v>0.99913819999999998</v>
      </c>
      <c r="Y10107">
        <v>0.13240869999999999</v>
      </c>
      <c r="Z10107">
        <v>-0.2295913</v>
      </c>
      <c r="AA10107">
        <v>0.9642385</v>
      </c>
      <c r="AB10107">
        <v>34</v>
      </c>
      <c r="AC10107">
        <v>0.110000000000013</v>
      </c>
      <c r="AD10107">
        <v>-0.19542970000000001</v>
      </c>
      <c r="AE10107">
        <v>0.47077999999998998</v>
      </c>
      <c r="AF10107">
        <v>9.68356981950175E-2</v>
      </c>
      <c r="AG10107">
        <v>-0.19542970000000001</v>
      </c>
      <c r="AH10107">
        <v>0.40411694440745799</v>
      </c>
      <c r="AI10107">
        <v>115.186836365416</v>
      </c>
      <c r="AJ10107">
        <v>76.524694743126105</v>
      </c>
      <c r="AK10107">
        <v>0.45921718700874797</v>
      </c>
      <c r="AL10107">
        <v>89.204456911696994</v>
      </c>
      <c r="AM10107">
        <v>87.758026120368001</v>
      </c>
      <c r="AN10107">
        <v>0.99999999309742205</v>
      </c>
    </row>
    <row r="10108" spans="1:40" x14ac:dyDescent="0.25">
      <c r="A10108" t="str">
        <f>"20190312154151013"</f>
        <v>20190312154151013</v>
      </c>
      <c r="B10108" t="str">
        <f>"1552376511006456"</f>
        <v>1552376511006456</v>
      </c>
      <c r="C10108" t="s">
        <v>40</v>
      </c>
      <c r="D10108">
        <v>4.2863540000000002</v>
      </c>
      <c r="E10108">
        <v>0.53946640000000001</v>
      </c>
      <c r="F10108" t="s">
        <v>41</v>
      </c>
      <c r="G10108">
        <v>-188.04050000000001</v>
      </c>
      <c r="H10108">
        <v>0.92367109999999997</v>
      </c>
      <c r="I10108">
        <v>86.294849999999997</v>
      </c>
      <c r="J10108">
        <v>-188.1454</v>
      </c>
      <c r="K10108">
        <v>1.110058</v>
      </c>
      <c r="L10108">
        <v>85.857389999999995</v>
      </c>
      <c r="M10108">
        <v>-5.7135479999999997E-3</v>
      </c>
      <c r="N10108">
        <v>0</v>
      </c>
      <c r="O10108">
        <v>0.99987720000000002</v>
      </c>
      <c r="P10108">
        <v>3.3572119999999997E-2</v>
      </c>
      <c r="Q10108">
        <v>-4.6592680000000003E-4</v>
      </c>
      <c r="R10108">
        <v>0.9994362</v>
      </c>
      <c r="S10108">
        <v>0.39410400000000001</v>
      </c>
      <c r="T10108">
        <v>-0.71462809999999999</v>
      </c>
      <c r="U10108">
        <v>2.9879760000000002</v>
      </c>
      <c r="V10108">
        <v>3.9280139999999998E-2</v>
      </c>
      <c r="W10108">
        <v>1.412566E-2</v>
      </c>
      <c r="X10108">
        <v>0.99912840000000003</v>
      </c>
      <c r="Y10108">
        <v>0.1329013</v>
      </c>
      <c r="Z10108">
        <v>-0.2306243</v>
      </c>
      <c r="AA10108">
        <v>0.96392409999999995</v>
      </c>
      <c r="AB10108">
        <v>34</v>
      </c>
      <c r="AC10108">
        <v>0.104899999999986</v>
      </c>
      <c r="AD10108">
        <v>-0.18638689999999999</v>
      </c>
      <c r="AE10108">
        <v>0.43745999999998703</v>
      </c>
      <c r="AF10108">
        <v>9.1662981320380199E-2</v>
      </c>
      <c r="AG10108">
        <v>-0.18638689999999999</v>
      </c>
      <c r="AH10108">
        <v>0.37284947709470601</v>
      </c>
      <c r="AI10108">
        <v>115.893964117138</v>
      </c>
      <c r="AJ10108">
        <v>76.188063601001602</v>
      </c>
      <c r="AK10108">
        <v>0.42680078632301699</v>
      </c>
      <c r="AL10108">
        <v>89.190632390997294</v>
      </c>
      <c r="AM10108">
        <v>87.748609892528506</v>
      </c>
      <c r="AN10108">
        <v>1.0000000116776999</v>
      </c>
    </row>
    <row r="10109" spans="1:40" x14ac:dyDescent="0.25">
      <c r="A10109" t="str">
        <f>"20190312154151036"</f>
        <v>20190312154151036</v>
      </c>
      <c r="B10109" t="str">
        <f>"1552376511025976"</f>
        <v>1552376511025976</v>
      </c>
      <c r="C10109" t="s">
        <v>40</v>
      </c>
      <c r="D10109">
        <v>4.2884880000000001</v>
      </c>
      <c r="E10109">
        <v>0.53974630000000001</v>
      </c>
      <c r="F10109" t="s">
        <v>41</v>
      </c>
      <c r="G10109">
        <v>-188.04650000000001</v>
      </c>
      <c r="H10109">
        <v>0.93062999999999996</v>
      </c>
      <c r="I10109">
        <v>86.602239999999995</v>
      </c>
      <c r="J10109">
        <v>-188.14750000000001</v>
      </c>
      <c r="K10109">
        <v>1.110036</v>
      </c>
      <c r="L10109">
        <v>86.211299999999994</v>
      </c>
      <c r="M10109">
        <v>-5.7528519999999897E-3</v>
      </c>
      <c r="N10109">
        <v>0</v>
      </c>
      <c r="O10109">
        <v>0.99987700000000002</v>
      </c>
      <c r="P10109">
        <v>3.4181139999999999E-2</v>
      </c>
      <c r="Q10109">
        <v>-4.9321559999999996E-4</v>
      </c>
      <c r="R10109">
        <v>0.99941550000000001</v>
      </c>
      <c r="S10109">
        <v>0.3969879</v>
      </c>
      <c r="T10109">
        <v>-0.71978199999999903</v>
      </c>
      <c r="U10109">
        <v>2.9880070000000001</v>
      </c>
      <c r="V10109">
        <v>3.9929140000000002E-2</v>
      </c>
      <c r="W10109">
        <v>1.409181E-2</v>
      </c>
      <c r="X10109">
        <v>0.99910310000000002</v>
      </c>
      <c r="Y10109">
        <v>0.133804799999999</v>
      </c>
      <c r="Z10109">
        <v>-0.23216709999999999</v>
      </c>
      <c r="AA10109">
        <v>0.96342859999999997</v>
      </c>
      <c r="AB10109">
        <v>34</v>
      </c>
      <c r="AC10109">
        <v>0.10099999999999899</v>
      </c>
      <c r="AD10109">
        <v>-0.17940600000000001</v>
      </c>
      <c r="AE10109">
        <v>0.390940000000014</v>
      </c>
      <c r="AF10109">
        <v>8.6224984333562293E-2</v>
      </c>
      <c r="AG10109">
        <v>-0.17940600000000001</v>
      </c>
      <c r="AH10109">
        <v>0.32599436815372002</v>
      </c>
      <c r="AI10109">
        <v>118.014705281161</v>
      </c>
      <c r="AJ10109">
        <v>75.184630765008393</v>
      </c>
      <c r="AK10109">
        <v>0.38196019272597798</v>
      </c>
      <c r="AL10109">
        <v>89.192572004345493</v>
      </c>
      <c r="AM10109">
        <v>87.711392990256101</v>
      </c>
      <c r="AN10109">
        <v>0.99999995987991197</v>
      </c>
    </row>
    <row r="10110" spans="1:40" x14ac:dyDescent="0.25">
      <c r="A10110" t="str">
        <f>"20190312154151068"</f>
        <v>20190312154151068</v>
      </c>
      <c r="B10110" t="str">
        <f>"1552376511056232"</f>
        <v>1552376511056232</v>
      </c>
      <c r="C10110" t="s">
        <v>40</v>
      </c>
      <c r="D10110">
        <v>4.2552050000000001</v>
      </c>
      <c r="E10110">
        <v>0.5400739</v>
      </c>
      <c r="F10110" t="s">
        <v>41</v>
      </c>
      <c r="G10110">
        <v>-188.05359999999999</v>
      </c>
      <c r="H10110">
        <v>0.9406371</v>
      </c>
      <c r="I10110">
        <v>86.910749999999993</v>
      </c>
      <c r="J10110">
        <v>-188.15039999999999</v>
      </c>
      <c r="K10110">
        <v>1.1100129999999999</v>
      </c>
      <c r="L10110">
        <v>86.702759999999998</v>
      </c>
      <c r="M10110">
        <v>-5.7739879999999999E-3</v>
      </c>
      <c r="N10110">
        <v>0</v>
      </c>
      <c r="O10110">
        <v>0.99987689999999996</v>
      </c>
      <c r="P10110">
        <v>3.4697789999999999E-2</v>
      </c>
      <c r="Q10110">
        <v>3.7097600000000002E-4</v>
      </c>
      <c r="R10110">
        <v>0.9993978</v>
      </c>
      <c r="S10110">
        <v>0.40061950000000002</v>
      </c>
      <c r="T10110">
        <v>-0.72358610000000001</v>
      </c>
      <c r="U10110">
        <v>2.9877009999999999</v>
      </c>
      <c r="V10110">
        <v>4.0467589999999998E-2</v>
      </c>
      <c r="W10110">
        <v>1.4948120000000001E-2</v>
      </c>
      <c r="X10110">
        <v>0.99906899999999998</v>
      </c>
      <c r="Y10110">
        <v>0.13495260000000001</v>
      </c>
      <c r="Z10110">
        <v>-0.2333132</v>
      </c>
      <c r="AA10110">
        <v>0.9629915</v>
      </c>
      <c r="AB10110">
        <v>34</v>
      </c>
      <c r="AC10110">
        <v>9.6800000000001704E-2</v>
      </c>
      <c r="AD10110">
        <v>-0.1693759</v>
      </c>
      <c r="AE10110">
        <v>0.20798999999999501</v>
      </c>
      <c r="AF10110">
        <v>6.3426316349414993E-2</v>
      </c>
      <c r="AG10110">
        <v>-0.1693759</v>
      </c>
      <c r="AH10110">
        <v>0.134249386419307</v>
      </c>
      <c r="AI10110">
        <v>138.761553731238</v>
      </c>
      <c r="AJ10110">
        <v>64.711539994333094</v>
      </c>
      <c r="AK10110">
        <v>0.22524207169271601</v>
      </c>
      <c r="AL10110">
        <v>89.143503887341893</v>
      </c>
      <c r="AM10110">
        <v>87.680485209342905</v>
      </c>
      <c r="AN10110">
        <v>0.99999996944646996</v>
      </c>
    </row>
    <row r="10111" spans="1:40" x14ac:dyDescent="0.25">
      <c r="A10111" t="str">
        <f>"20190312154151090"</f>
        <v>20190312154151090</v>
      </c>
      <c r="B10111" t="str">
        <f>"1552376511075753"</f>
        <v>1552376511075753</v>
      </c>
      <c r="C10111" t="s">
        <v>40</v>
      </c>
      <c r="D10111">
        <v>4.2630929999999996</v>
      </c>
      <c r="E10111">
        <v>0.54040440000000001</v>
      </c>
      <c r="F10111" t="s">
        <v>41</v>
      </c>
      <c r="G10111">
        <v>-188.04159999999999</v>
      </c>
      <c r="H10111">
        <v>0.91524970000000005</v>
      </c>
      <c r="I10111">
        <v>87.506119999999996</v>
      </c>
      <c r="J10111">
        <v>-188.1523</v>
      </c>
      <c r="K10111">
        <v>1.1100049999999999</v>
      </c>
      <c r="L10111">
        <v>87.032619999999994</v>
      </c>
      <c r="M10111">
        <v>-5.7753659999999997E-3</v>
      </c>
      <c r="N10111">
        <v>0</v>
      </c>
      <c r="O10111">
        <v>0.99987700000000002</v>
      </c>
      <c r="P10111">
        <v>3.5001459999999998E-2</v>
      </c>
      <c r="Q10111">
        <v>9.0469719999999995E-4</v>
      </c>
      <c r="R10111">
        <v>0.99938680000000002</v>
      </c>
      <c r="S10111">
        <v>0.40440369999999998</v>
      </c>
      <c r="T10111">
        <v>-0.72441140000000004</v>
      </c>
      <c r="U10111">
        <v>2.9880369999999998</v>
      </c>
      <c r="V10111">
        <v>4.0772940000000001E-2</v>
      </c>
      <c r="W10111">
        <v>1.5477339999999999E-2</v>
      </c>
      <c r="X10111">
        <v>0.99904850000000001</v>
      </c>
      <c r="Y10111">
        <v>0.13613129999999901</v>
      </c>
      <c r="Z10111">
        <v>-0.2335025</v>
      </c>
      <c r="AA10111">
        <v>0.96277979999999996</v>
      </c>
      <c r="AB10111">
        <v>34</v>
      </c>
      <c r="AC10111">
        <v>0.110700000000008</v>
      </c>
      <c r="AD10111">
        <v>-0.19475529999999999</v>
      </c>
      <c r="AE10111">
        <v>0.47350000000000098</v>
      </c>
      <c r="AF10111">
        <v>9.7752729502061694E-2</v>
      </c>
      <c r="AG10111">
        <v>-0.19475529999999999</v>
      </c>
      <c r="AH10111">
        <v>0.40748820479506298</v>
      </c>
      <c r="AI10111">
        <v>114.926894682786</v>
      </c>
      <c r="AJ10111">
        <v>76.510175086865999</v>
      </c>
      <c r="AK10111">
        <v>0.462095076851395</v>
      </c>
      <c r="AL10111">
        <v>89.113178280905899</v>
      </c>
      <c r="AM10111">
        <v>87.662954639322194</v>
      </c>
      <c r="AN10111">
        <v>0.99999994302098205</v>
      </c>
    </row>
    <row r="10112" spans="1:40" x14ac:dyDescent="0.25">
      <c r="A10112" t="str">
        <f>"20190312154151113"</f>
        <v>20190312154151113</v>
      </c>
      <c r="B10112" t="str">
        <f>"1552376511106009"</f>
        <v>1552376511106009</v>
      </c>
      <c r="C10112" t="s">
        <v>40</v>
      </c>
      <c r="D10112">
        <v>4.2496429999999998</v>
      </c>
      <c r="E10112">
        <v>0.54081939999999995</v>
      </c>
      <c r="F10112" t="s">
        <v>41</v>
      </c>
      <c r="G10112">
        <v>-188.0462</v>
      </c>
      <c r="H10112">
        <v>0.92077290000000001</v>
      </c>
      <c r="I10112">
        <v>87.811480000000003</v>
      </c>
      <c r="J10112">
        <v>-188.15430000000001</v>
      </c>
      <c r="K10112">
        <v>1.109999</v>
      </c>
      <c r="L10112">
        <v>87.378780000000006</v>
      </c>
      <c r="M10112">
        <v>-5.7647380000000002E-3</v>
      </c>
      <c r="N10112">
        <v>0</v>
      </c>
      <c r="O10112">
        <v>0.99987709999999996</v>
      </c>
      <c r="P10112">
        <v>3.564904E-2</v>
      </c>
      <c r="Q10112">
        <v>1.2076470000000001E-3</v>
      </c>
      <c r="R10112">
        <v>0.99936369999999997</v>
      </c>
      <c r="S10112">
        <v>0.40718080000000001</v>
      </c>
      <c r="T10112">
        <v>-0.72602580000000005</v>
      </c>
      <c r="U10112">
        <v>2.988251</v>
      </c>
      <c r="V10112">
        <v>4.1410160000000001E-2</v>
      </c>
      <c r="W10112">
        <v>1.577485E-2</v>
      </c>
      <c r="X10112">
        <v>0.99901770000000001</v>
      </c>
      <c r="Y10112">
        <v>0.1369756</v>
      </c>
      <c r="Z10112">
        <v>-0.2339511</v>
      </c>
      <c r="AA10112">
        <v>0.96255109999999999</v>
      </c>
      <c r="AB10112">
        <v>34</v>
      </c>
      <c r="AC10112">
        <v>0.108100000000007</v>
      </c>
      <c r="AD10112">
        <v>-0.18922610000000001</v>
      </c>
      <c r="AE10112">
        <v>0.43269999999999698</v>
      </c>
      <c r="AF10112">
        <v>9.3722039084712994E-2</v>
      </c>
      <c r="AG10112">
        <v>-0.18922610000000001</v>
      </c>
      <c r="AH10112">
        <v>0.36615779366849099</v>
      </c>
      <c r="AI10112">
        <v>116.594761319388</v>
      </c>
      <c r="AJ10112">
        <v>75.642771727650896</v>
      </c>
      <c r="AK10112">
        <v>0.42268412247869402</v>
      </c>
      <c r="AL10112">
        <v>89.096130188017298</v>
      </c>
      <c r="AM10112">
        <v>87.626398478321903</v>
      </c>
      <c r="AN10112">
        <v>1.0000000060785099</v>
      </c>
    </row>
    <row r="10113" spans="1:40" x14ac:dyDescent="0.25">
      <c r="A10113" t="str">
        <f>"20190312154151135"</f>
        <v>20190312154151135</v>
      </c>
      <c r="B10113" t="str">
        <f>"1552376511126505"</f>
        <v>1552376511126505</v>
      </c>
      <c r="C10113" t="s">
        <v>40</v>
      </c>
      <c r="D10113">
        <v>4.1590490000000004</v>
      </c>
      <c r="E10113">
        <v>0.53938390000000003</v>
      </c>
      <c r="F10113" t="s">
        <v>41</v>
      </c>
      <c r="G10113">
        <v>-188.0523</v>
      </c>
      <c r="H10113">
        <v>0.92961059999999995</v>
      </c>
      <c r="I10113">
        <v>88.117999999999995</v>
      </c>
      <c r="J10113">
        <v>-188.15620000000001</v>
      </c>
      <c r="K10113">
        <v>1.1099889999999999</v>
      </c>
      <c r="L10113">
        <v>87.720889999999997</v>
      </c>
      <c r="M10113">
        <v>-5.7369630000000003E-3</v>
      </c>
      <c r="N10113">
        <v>0</v>
      </c>
      <c r="O10113">
        <v>0.99987729999999997</v>
      </c>
      <c r="P10113">
        <v>3.6535390000000001E-2</v>
      </c>
      <c r="Q10113">
        <v>2.0560169999999998E-3</v>
      </c>
      <c r="R10113">
        <v>0.99933019999999995</v>
      </c>
      <c r="S10113">
        <v>0.41186519999999999</v>
      </c>
      <c r="T10113">
        <v>-0.72917779999999999</v>
      </c>
      <c r="U10113">
        <v>2.9880979999999999</v>
      </c>
      <c r="V10113">
        <v>4.2269109999999999E-2</v>
      </c>
      <c r="W10113">
        <v>1.661731E-2</v>
      </c>
      <c r="X10113">
        <v>0.99896810000000003</v>
      </c>
      <c r="Y10113">
        <v>0.13840520000000001</v>
      </c>
      <c r="Z10113">
        <v>-0.23487459999999999</v>
      </c>
      <c r="AA10113">
        <v>0.96212149999999996</v>
      </c>
      <c r="AB10113">
        <v>34</v>
      </c>
      <c r="AC10113">
        <v>0.10390000000001</v>
      </c>
      <c r="AD10113">
        <v>-0.180378399999999</v>
      </c>
      <c r="AE10113">
        <v>0.39710999999999702</v>
      </c>
      <c r="AF10113">
        <v>8.8992033998447101E-2</v>
      </c>
      <c r="AG10113">
        <v>-0.180378399999999</v>
      </c>
      <c r="AH10113">
        <v>0.33233262470244301</v>
      </c>
      <c r="AI10113">
        <v>117.66768826565</v>
      </c>
      <c r="AJ10113">
        <v>75.009044414887796</v>
      </c>
      <c r="AK10113">
        <v>0.38845967968806699</v>
      </c>
      <c r="AL10113">
        <v>89.047854483477593</v>
      </c>
      <c r="AM10113">
        <v>87.577101985574402</v>
      </c>
      <c r="AN10113">
        <v>1.0000000387347101</v>
      </c>
    </row>
    <row r="10114" spans="1:40" x14ac:dyDescent="0.25">
      <c r="A10114" t="str">
        <f>"20190312154151158"</f>
        <v>20190312154151158</v>
      </c>
      <c r="B10114" t="str">
        <f>"1552376511146028"</f>
        <v>1552376511146028</v>
      </c>
      <c r="C10114" t="s">
        <v>40</v>
      </c>
      <c r="D10114">
        <v>4.1986369999999997</v>
      </c>
      <c r="E10114">
        <v>0.54008780000000001</v>
      </c>
      <c r="F10114" t="s">
        <v>41</v>
      </c>
      <c r="G10114">
        <v>-188.0564</v>
      </c>
      <c r="H10114">
        <v>0.99086169999999996</v>
      </c>
      <c r="I10114">
        <v>88.449860000000001</v>
      </c>
      <c r="J10114">
        <v>-188.15809999999999</v>
      </c>
      <c r="K10114">
        <v>1.109977</v>
      </c>
      <c r="L10114">
        <v>88.061949999999996</v>
      </c>
      <c r="M10114">
        <v>-5.6893969999999997E-3</v>
      </c>
      <c r="N10114">
        <v>0</v>
      </c>
      <c r="O10114">
        <v>0.99987760000000003</v>
      </c>
      <c r="P10114">
        <v>3.7266430000000003E-2</v>
      </c>
      <c r="Q10114">
        <v>2.9020119999999998E-3</v>
      </c>
      <c r="R10114">
        <v>0.99930110000000005</v>
      </c>
      <c r="S10114">
        <v>0.4094391</v>
      </c>
      <c r="T10114">
        <v>-0.48830089999999998</v>
      </c>
      <c r="U10114">
        <v>2.9880369999999998</v>
      </c>
      <c r="V10114">
        <v>4.2953289999999998E-2</v>
      </c>
      <c r="W10114">
        <v>1.7457380000000002E-2</v>
      </c>
      <c r="X10114">
        <v>0.99892460000000005</v>
      </c>
      <c r="Y10114">
        <v>0.13964860000000001</v>
      </c>
      <c r="Z10114">
        <v>-0.1597577</v>
      </c>
      <c r="AA10114">
        <v>0.9772286</v>
      </c>
      <c r="AB10114">
        <v>34</v>
      </c>
      <c r="AC10114">
        <v>0.101699999999993</v>
      </c>
      <c r="AD10114">
        <v>-0.11911529999999899</v>
      </c>
      <c r="AE10114">
        <v>0.38791000000000497</v>
      </c>
      <c r="AF10114">
        <v>9.5481488258588598E-2</v>
      </c>
      <c r="AG10114">
        <v>-0.11911529999999899</v>
      </c>
      <c r="AH10114">
        <v>0.35592292860409502</v>
      </c>
      <c r="AI10114">
        <v>107.91275359232399</v>
      </c>
      <c r="AJ10114">
        <v>74.983145447754296</v>
      </c>
      <c r="AK10114">
        <v>0.38728064810971502</v>
      </c>
      <c r="AL10114">
        <v>88.9997150433081</v>
      </c>
      <c r="AM10114">
        <v>87.537825052714297</v>
      </c>
      <c r="AN10114">
        <v>1.0000000508617199</v>
      </c>
    </row>
    <row r="10115" spans="1:40" x14ac:dyDescent="0.25">
      <c r="A10115" t="str">
        <f>"20190312154151181"</f>
        <v>20190312154151181</v>
      </c>
      <c r="B10115" t="str">
        <f>"1552376511166521"</f>
        <v>1552376511166521</v>
      </c>
      <c r="C10115" t="s">
        <v>40</v>
      </c>
      <c r="D10115">
        <v>4.1910720000000001</v>
      </c>
      <c r="E10115">
        <v>0.54067919999999903</v>
      </c>
      <c r="F10115" t="s">
        <v>41</v>
      </c>
      <c r="G10115">
        <v>-188.0164</v>
      </c>
      <c r="H10115">
        <v>1.0104820000000001</v>
      </c>
      <c r="I10115">
        <v>89.063999999999993</v>
      </c>
      <c r="J10115">
        <v>-188.16</v>
      </c>
      <c r="K10115">
        <v>1.1099540000000001</v>
      </c>
      <c r="L10115">
        <v>88.399720000000002</v>
      </c>
      <c r="M10115">
        <v>-5.6211380000000003E-3</v>
      </c>
      <c r="N10115">
        <v>0</v>
      </c>
      <c r="O10115">
        <v>0.99987800000000004</v>
      </c>
      <c r="P10115">
        <v>3.8637810000000002E-2</v>
      </c>
      <c r="Q10115">
        <v>3.326514E-3</v>
      </c>
      <c r="R10115">
        <v>0.99924769999999896</v>
      </c>
      <c r="S10115">
        <v>0.42245480000000002</v>
      </c>
      <c r="T10115">
        <v>-0.29660199999999998</v>
      </c>
      <c r="U10115">
        <v>2.9871829999999999</v>
      </c>
      <c r="V10115">
        <v>4.4257089999999999E-2</v>
      </c>
      <c r="W10115">
        <v>1.7874540000000001E-2</v>
      </c>
      <c r="X10115">
        <v>0.99886019999999998</v>
      </c>
      <c r="Y10115">
        <v>0.14492179999999999</v>
      </c>
      <c r="Z10115">
        <v>-9.7799860000000002E-2</v>
      </c>
      <c r="AA10115">
        <v>0.98459779999999997</v>
      </c>
      <c r="AB10115">
        <v>34</v>
      </c>
      <c r="AC10115">
        <v>0.14359999999999201</v>
      </c>
      <c r="AD10115">
        <v>-9.9472000000000199E-2</v>
      </c>
      <c r="AE10115">
        <v>0.66427999999998999</v>
      </c>
      <c r="AF10115">
        <v>0.14424215184845901</v>
      </c>
      <c r="AG10115">
        <v>-9.9472000000000199E-2</v>
      </c>
      <c r="AH10115">
        <v>0.64954748177010502</v>
      </c>
      <c r="AI10115">
        <v>98.502672753847904</v>
      </c>
      <c r="AJ10115">
        <v>77.479744021809907</v>
      </c>
      <c r="AK10115">
        <v>0.67276474954307697</v>
      </c>
      <c r="AL10115">
        <v>88.975809697146801</v>
      </c>
      <c r="AM10115">
        <v>87.463021288961102</v>
      </c>
      <c r="AN10115">
        <v>0.99999994416975801</v>
      </c>
    </row>
    <row r="10116" spans="1:40" x14ac:dyDescent="0.25">
      <c r="A10116" t="str">
        <f>"20190312154151203"</f>
        <v>20190312154151203</v>
      </c>
      <c r="B10116" t="str">
        <f>"1552376511195802"</f>
        <v>1552376511195802</v>
      </c>
      <c r="C10116" t="s">
        <v>40</v>
      </c>
      <c r="D10116">
        <v>4.2199039999999997</v>
      </c>
      <c r="E10116">
        <v>0.54012869999999902</v>
      </c>
      <c r="F10116" t="s">
        <v>42</v>
      </c>
      <c r="G10116">
        <v>-185.9016</v>
      </c>
      <c r="H10116" s="1">
        <v>-2.5806969999999998E-6</v>
      </c>
      <c r="I10116">
        <v>103.9538</v>
      </c>
      <c r="J10116">
        <v>-188.1618</v>
      </c>
      <c r="K10116">
        <v>1.109931</v>
      </c>
      <c r="L10116">
        <v>88.733279999999993</v>
      </c>
      <c r="M10116">
        <v>-5.5352789999999997E-3</v>
      </c>
      <c r="N10116">
        <v>0</v>
      </c>
      <c r="O10116">
        <v>0.99987859999999995</v>
      </c>
      <c r="P10116">
        <v>3.9683299999999998E-2</v>
      </c>
      <c r="Q10116">
        <v>3.4904879999999999E-3</v>
      </c>
      <c r="R10116">
        <v>0.99920620000000004</v>
      </c>
      <c r="S10116">
        <v>0.43357849999999998</v>
      </c>
      <c r="T10116">
        <v>-0.2130985</v>
      </c>
      <c r="U10116">
        <v>2.9862060000000001</v>
      </c>
      <c r="V10116">
        <v>4.5217449999999999E-2</v>
      </c>
      <c r="W10116">
        <v>1.8032349999999999E-2</v>
      </c>
      <c r="X10116">
        <v>0.99881439999999999</v>
      </c>
      <c r="Y10116">
        <v>0.14880660000000001</v>
      </c>
      <c r="Z10116">
        <v>-7.041472E-2</v>
      </c>
      <c r="AA10116">
        <v>0.98635609999999996</v>
      </c>
      <c r="AB10116">
        <v>34</v>
      </c>
      <c r="AC10116">
        <v>2.26019999999999</v>
      </c>
      <c r="AD10116">
        <v>-1.1099335806970001</v>
      </c>
      <c r="AE10116">
        <v>15.220519999999899</v>
      </c>
      <c r="AF10116">
        <v>2.3322889934069</v>
      </c>
      <c r="AG10116">
        <v>-1.1099335806970001</v>
      </c>
      <c r="AH10116">
        <v>15.129056594255999</v>
      </c>
      <c r="AI10116">
        <v>94.147135671484904</v>
      </c>
      <c r="AJ10116">
        <v>81.236295845007703</v>
      </c>
      <c r="AK10116">
        <v>15.347960057757801</v>
      </c>
      <c r="AL10116">
        <v>88.966766444152</v>
      </c>
      <c r="AM10116">
        <v>87.407925523044995</v>
      </c>
      <c r="AN10116">
        <v>0.99999999453919197</v>
      </c>
    </row>
    <row r="10117" spans="1:40" x14ac:dyDescent="0.25">
      <c r="A10117" t="str">
        <f>"20190312154151226"</f>
        <v>20190312154151226</v>
      </c>
      <c r="B10117" t="str">
        <f>"1552376511216296"</f>
        <v>1552376511216296</v>
      </c>
      <c r="C10117" t="s">
        <v>40</v>
      </c>
      <c r="D10117">
        <v>4.2171110000000001</v>
      </c>
      <c r="E10117">
        <v>0.54009669999999999</v>
      </c>
      <c r="F10117" t="s">
        <v>42</v>
      </c>
      <c r="G10117">
        <v>-185.44390000000001</v>
      </c>
      <c r="H10117" s="1">
        <v>-4.1676480000000002E-6</v>
      </c>
      <c r="I10117">
        <v>107.46380000000001</v>
      </c>
      <c r="J10117">
        <v>-188.1636</v>
      </c>
      <c r="K10117">
        <v>1.1099110000000001</v>
      </c>
      <c r="L10117">
        <v>89.082459999999998</v>
      </c>
      <c r="M10117">
        <v>-5.4214700000000003E-3</v>
      </c>
      <c r="N10117">
        <v>0</v>
      </c>
      <c r="O10117">
        <v>0.99987930000000003</v>
      </c>
      <c r="P10117">
        <v>4.0452160000000001E-2</v>
      </c>
      <c r="Q10117">
        <v>3.140814E-3</v>
      </c>
      <c r="R10117">
        <v>0.99917659999999997</v>
      </c>
      <c r="S10117">
        <v>0.43325809999999998</v>
      </c>
      <c r="T10117">
        <v>-0.17693349999999999</v>
      </c>
      <c r="U10117">
        <v>2.9858090000000002</v>
      </c>
      <c r="V10117">
        <v>4.5873209999999998E-2</v>
      </c>
      <c r="W10117">
        <v>1.7676210000000001E-2</v>
      </c>
      <c r="X10117">
        <v>0.99879090000000004</v>
      </c>
      <c r="Y10117">
        <v>0.1487194</v>
      </c>
      <c r="Z10117">
        <v>-5.8518779999999999E-2</v>
      </c>
      <c r="AA10117">
        <v>0.98714639999999998</v>
      </c>
      <c r="AB10117">
        <v>34</v>
      </c>
      <c r="AC10117">
        <v>2.71969999999998</v>
      </c>
      <c r="AD10117">
        <v>-1.1099151676479999</v>
      </c>
      <c r="AE10117">
        <v>18.381340000000002</v>
      </c>
      <c r="AF10117">
        <v>2.8093009916140801</v>
      </c>
      <c r="AG10117">
        <v>-1.1099151676479999</v>
      </c>
      <c r="AH10117">
        <v>18.301026109333499</v>
      </c>
      <c r="AI10117">
        <v>93.430521265295795</v>
      </c>
      <c r="AJ10117">
        <v>81.272927392912493</v>
      </c>
      <c r="AK10117">
        <v>18.5486290705099</v>
      </c>
      <c r="AL10117">
        <v>88.987175053210805</v>
      </c>
      <c r="AM10117">
        <v>87.370324916213093</v>
      </c>
      <c r="AN10117">
        <v>1.0000000308592301</v>
      </c>
    </row>
    <row r="10118" spans="1:40" x14ac:dyDescent="0.25">
      <c r="A10118" t="str">
        <f>"20190312154151248"</f>
        <v>20190312154151248</v>
      </c>
      <c r="B10118" t="str">
        <f>"1552376511235817"</f>
        <v>1552376511235817</v>
      </c>
      <c r="C10118" t="s">
        <v>40</v>
      </c>
      <c r="D10118">
        <v>4.2699530000000001</v>
      </c>
      <c r="E10118">
        <v>0.5402285</v>
      </c>
      <c r="F10118" t="s">
        <v>42</v>
      </c>
      <c r="G10118">
        <v>-185.21100000000001</v>
      </c>
      <c r="H10118" s="1">
        <v>-5.0000310000000002E-6</v>
      </c>
      <c r="I10118">
        <v>109.3078</v>
      </c>
      <c r="J10118">
        <v>-188.1653</v>
      </c>
      <c r="K10118">
        <v>1.1098980000000001</v>
      </c>
      <c r="L10118">
        <v>89.417789999999997</v>
      </c>
      <c r="M10118">
        <v>-5.2859369999999897E-3</v>
      </c>
      <c r="N10118">
        <v>0</v>
      </c>
      <c r="O10118">
        <v>0.99988010000000005</v>
      </c>
      <c r="P10118">
        <v>4.1231669999999998E-2</v>
      </c>
      <c r="Q10118">
        <v>3.3563730000000002E-3</v>
      </c>
      <c r="R10118">
        <v>0.99914400000000003</v>
      </c>
      <c r="S10118">
        <v>0.43582149999999997</v>
      </c>
      <c r="T10118">
        <v>-0.16382869999999999</v>
      </c>
      <c r="U10118">
        <v>2.9853519999999998</v>
      </c>
      <c r="V10118">
        <v>4.651802E-2</v>
      </c>
      <c r="W10118">
        <v>1.788551E-2</v>
      </c>
      <c r="X10118">
        <v>0.99875729999999996</v>
      </c>
      <c r="Y10118">
        <v>0.1494721</v>
      </c>
      <c r="Z10118">
        <v>-5.4199740000000003E-2</v>
      </c>
      <c r="AA10118">
        <v>0.98727940000000003</v>
      </c>
      <c r="AB10118">
        <v>34</v>
      </c>
      <c r="AC10118">
        <v>2.9543000000000101</v>
      </c>
      <c r="AD10118">
        <v>-1.109903000031</v>
      </c>
      <c r="AE10118">
        <v>19.89001</v>
      </c>
      <c r="AF10118">
        <v>3.0501145563735501</v>
      </c>
      <c r="AG10118">
        <v>-1.109903000031</v>
      </c>
      <c r="AH10118">
        <v>19.813748558855199</v>
      </c>
      <c r="AI10118">
        <v>93.168925858607906</v>
      </c>
      <c r="AJ10118">
        <v>81.248624401751698</v>
      </c>
      <c r="AK10118">
        <v>20.077841403647401</v>
      </c>
      <c r="AL10118">
        <v>88.975181099642398</v>
      </c>
      <c r="AM10118">
        <v>87.333324681930407</v>
      </c>
      <c r="AN10118">
        <v>0.99999998097798504</v>
      </c>
    </row>
    <row r="10119" spans="1:40" x14ac:dyDescent="0.25">
      <c r="A10119" t="str">
        <f>"20190312154151270"</f>
        <v>20190312154151270</v>
      </c>
      <c r="B10119" t="str">
        <f>"1552376511266072"</f>
        <v>1552376511266072</v>
      </c>
      <c r="C10119" t="s">
        <v>40</v>
      </c>
      <c r="D10119">
        <v>4.2401749999999998</v>
      </c>
      <c r="E10119">
        <v>0.54036709999999999</v>
      </c>
      <c r="F10119" t="s">
        <v>42</v>
      </c>
      <c r="G10119">
        <v>-185.07169999999999</v>
      </c>
      <c r="H10119" s="1">
        <v>-1.5813640000000001E-6</v>
      </c>
      <c r="I10119">
        <v>110.44159999999999</v>
      </c>
      <c r="J10119">
        <v>-188.1669</v>
      </c>
      <c r="K10119">
        <v>1.1098779999999999</v>
      </c>
      <c r="L10119">
        <v>89.745609999999999</v>
      </c>
      <c r="M10119">
        <v>-5.1247590000000004E-3</v>
      </c>
      <c r="N10119">
        <v>0</v>
      </c>
      <c r="O10119">
        <v>0.99988100000000002</v>
      </c>
      <c r="P10119">
        <v>4.2100739999999998E-2</v>
      </c>
      <c r="Q10119">
        <v>3.0555500000000002E-3</v>
      </c>
      <c r="R10119">
        <v>0.99910869999999996</v>
      </c>
      <c r="S10119">
        <v>0.4392395</v>
      </c>
      <c r="T10119">
        <v>-0.15758449999999999</v>
      </c>
      <c r="U10119">
        <v>2.984985</v>
      </c>
      <c r="V10119">
        <v>4.722672E-2</v>
      </c>
      <c r="W10119">
        <v>1.7577519999999999E-2</v>
      </c>
      <c r="X10119">
        <v>0.99872950000000005</v>
      </c>
      <c r="Y10119">
        <v>0.15045269999999999</v>
      </c>
      <c r="Z10119">
        <v>-5.2137940000000001E-2</v>
      </c>
      <c r="AA10119">
        <v>0.98724140000000005</v>
      </c>
      <c r="AB10119">
        <v>34</v>
      </c>
      <c r="AC10119">
        <v>3.0952000000000002</v>
      </c>
      <c r="AD10119">
        <v>-1.1098795813639999</v>
      </c>
      <c r="AE10119">
        <v>20.695989999999899</v>
      </c>
      <c r="AF10119">
        <v>3.1922526719358899</v>
      </c>
      <c r="AG10119">
        <v>-1.1098795813639999</v>
      </c>
      <c r="AH10119">
        <v>20.621844710842701</v>
      </c>
      <c r="AI10119">
        <v>93.044527144215607</v>
      </c>
      <c r="AJ10119">
        <v>81.200481781448701</v>
      </c>
      <c r="AK10119">
        <v>20.896956455061201</v>
      </c>
      <c r="AL10119">
        <v>88.992830394123501</v>
      </c>
      <c r="AM10119">
        <v>87.292682744184006</v>
      </c>
      <c r="AN10119">
        <v>0.99999997323077905</v>
      </c>
    </row>
    <row r="10120" spans="1:40" x14ac:dyDescent="0.25">
      <c r="A10120" t="str">
        <f>"20190312154151291"</f>
        <v>20190312154151291</v>
      </c>
      <c r="B10120" t="str">
        <f>"1552376511286569"</f>
        <v>1552376511286569</v>
      </c>
      <c r="C10120" t="s">
        <v>40</v>
      </c>
      <c r="D10120">
        <v>4.2099510000000002</v>
      </c>
      <c r="E10120">
        <v>0.54032429999999998</v>
      </c>
      <c r="F10120" t="s">
        <v>42</v>
      </c>
      <c r="G10120">
        <v>-184.99549999999999</v>
      </c>
      <c r="H10120" s="1">
        <v>-1.8287829999999999E-6</v>
      </c>
      <c r="I10120">
        <v>111.1091</v>
      </c>
      <c r="J10120">
        <v>-188.16839999999999</v>
      </c>
      <c r="K10120">
        <v>1.109856</v>
      </c>
      <c r="L10120">
        <v>90.063019999999995</v>
      </c>
      <c r="M10120">
        <v>-4.9372670000000004E-3</v>
      </c>
      <c r="N10120">
        <v>0</v>
      </c>
      <c r="O10120">
        <v>0.99988189999999999</v>
      </c>
      <c r="P10120">
        <v>4.2137689999999998E-2</v>
      </c>
      <c r="Q10120">
        <v>2.7088590000000001E-3</v>
      </c>
      <c r="R10120">
        <v>0.99910810000000005</v>
      </c>
      <c r="S10120">
        <v>0.44305420000000001</v>
      </c>
      <c r="T10120">
        <v>-0.15505099999999999</v>
      </c>
      <c r="U10120">
        <v>2.9844970000000002</v>
      </c>
      <c r="V10120">
        <v>4.7077340000000002E-2</v>
      </c>
      <c r="W10120">
        <v>1.7224719999999999E-2</v>
      </c>
      <c r="X10120">
        <v>0.99874269999999998</v>
      </c>
      <c r="Y10120">
        <v>0.15153169999999999</v>
      </c>
      <c r="Z10120">
        <v>-5.1301300000000001E-2</v>
      </c>
      <c r="AA10120">
        <v>0.9871202</v>
      </c>
      <c r="AB10120">
        <v>34</v>
      </c>
      <c r="AC10120">
        <v>3.1728999999999901</v>
      </c>
      <c r="AD10120">
        <v>-1.1098578287830001</v>
      </c>
      <c r="AE10120">
        <v>21.04608</v>
      </c>
      <c r="AF10120">
        <v>3.2678965664877202</v>
      </c>
      <c r="AG10120">
        <v>-1.1098578287830001</v>
      </c>
      <c r="AH10120">
        <v>20.9731273989158</v>
      </c>
      <c r="AI10120">
        <v>92.993109360758197</v>
      </c>
      <c r="AJ10120">
        <v>81.1437555653049</v>
      </c>
      <c r="AK10120">
        <v>21.255187725835999</v>
      </c>
      <c r="AL10120">
        <v>89.013047407482105</v>
      </c>
      <c r="AM10120">
        <v>87.301269032160803</v>
      </c>
      <c r="AN10120">
        <v>0.99999997386192097</v>
      </c>
    </row>
    <row r="10121" spans="1:40" x14ac:dyDescent="0.25">
      <c r="A10121" t="str">
        <f>"20190312154151305"</f>
        <v>20190312154151305</v>
      </c>
      <c r="B10121" t="str">
        <f>"1552376511296328"</f>
        <v>1552376511296328</v>
      </c>
      <c r="C10121" t="s">
        <v>40</v>
      </c>
      <c r="D10121">
        <v>4.2695550000000004</v>
      </c>
      <c r="E10121">
        <v>0.54028599999999904</v>
      </c>
      <c r="F10121" t="s">
        <v>42</v>
      </c>
      <c r="G10121">
        <v>-184.98689999999999</v>
      </c>
      <c r="H10121" s="1">
        <v>-1.964622E-6</v>
      </c>
      <c r="I10121">
        <v>111.5016</v>
      </c>
      <c r="J10121">
        <v>-188.16919999999999</v>
      </c>
      <c r="K10121">
        <v>1.1098380000000001</v>
      </c>
      <c r="L10121">
        <v>90.26379</v>
      </c>
      <c r="M10121">
        <v>-4.8009860000000001E-3</v>
      </c>
      <c r="N10121">
        <v>0</v>
      </c>
      <c r="O10121">
        <v>0.99988259999999995</v>
      </c>
      <c r="P10121">
        <v>4.2132759999999998E-2</v>
      </c>
      <c r="Q10121">
        <v>2.8010000000000001E-3</v>
      </c>
      <c r="R10121">
        <v>0.99910810000000005</v>
      </c>
      <c r="S10121">
        <v>0.44288640000000001</v>
      </c>
      <c r="T10121">
        <v>-0.15450059999999999</v>
      </c>
      <c r="U10121">
        <v>2.9844059999999999</v>
      </c>
      <c r="V10121">
        <v>4.6937090000000001E-2</v>
      </c>
      <c r="W10121">
        <v>1.7312439999999998E-2</v>
      </c>
      <c r="X10121">
        <v>0.99874779999999996</v>
      </c>
      <c r="Y10121">
        <v>0.15134839999999999</v>
      </c>
      <c r="Z10121">
        <v>-5.1122210000000001E-2</v>
      </c>
      <c r="AA10121">
        <v>0.98715759999999997</v>
      </c>
      <c r="AB10121">
        <v>34</v>
      </c>
      <c r="AC10121">
        <v>3.1822999999999899</v>
      </c>
      <c r="AD10121">
        <v>-1.1098399646220001</v>
      </c>
      <c r="AE10121">
        <v>21.23781</v>
      </c>
      <c r="AF10121">
        <v>3.2754880300054698</v>
      </c>
      <c r="AG10121">
        <v>-1.1098399646220001</v>
      </c>
      <c r="AH10121">
        <v>21.1657537106449</v>
      </c>
      <c r="AI10121">
        <v>92.966346324500094</v>
      </c>
      <c r="AJ10121">
        <v>81.203023727117298</v>
      </c>
      <c r="AK10121">
        <v>21.446437856237502</v>
      </c>
      <c r="AL10121">
        <v>89.008020687533204</v>
      </c>
      <c r="AM10121">
        <v>87.309310816735803</v>
      </c>
      <c r="AN10121">
        <v>0.99999998950062996</v>
      </c>
    </row>
    <row r="10122" spans="1:40" x14ac:dyDescent="0.25">
      <c r="A10122" t="str">
        <f>"20190312154151325"</f>
        <v>20190312154151325</v>
      </c>
      <c r="B10122" t="str">
        <f>"1552376511315852"</f>
        <v>1552376511315852</v>
      </c>
      <c r="C10122" t="s">
        <v>40</v>
      </c>
      <c r="D10122">
        <v>4.2217460000000004</v>
      </c>
      <c r="E10122">
        <v>0.54021869999999905</v>
      </c>
      <c r="F10122" t="s">
        <v>42</v>
      </c>
      <c r="G10122">
        <v>-184.97190000000001</v>
      </c>
      <c r="H10122" s="1">
        <v>-2.077698E-6</v>
      </c>
      <c r="I10122">
        <v>111.82210000000001</v>
      </c>
      <c r="J10122">
        <v>-188.1705</v>
      </c>
      <c r="K10122">
        <v>1.109807</v>
      </c>
      <c r="L10122">
        <v>90.579679999999996</v>
      </c>
      <c r="M10122">
        <v>-4.5596070000000002E-3</v>
      </c>
      <c r="N10122">
        <v>0</v>
      </c>
      <c r="O10122">
        <v>0.99988379999999999</v>
      </c>
      <c r="P10122">
        <v>4.1661610000000002E-2</v>
      </c>
      <c r="Q10122">
        <v>2.8947090000000001E-3</v>
      </c>
      <c r="R10122">
        <v>0.9991276</v>
      </c>
      <c r="S10122">
        <v>0.44262699999999999</v>
      </c>
      <c r="T10122">
        <v>-0.15364120000000001</v>
      </c>
      <c r="U10122">
        <v>2.9844360000000001</v>
      </c>
      <c r="V10122">
        <v>4.6226280000000002E-2</v>
      </c>
      <c r="W10122">
        <v>1.7399689999999999E-2</v>
      </c>
      <c r="X10122">
        <v>0.99877950000000004</v>
      </c>
      <c r="Y10122">
        <v>0.15102650000000001</v>
      </c>
      <c r="Z10122">
        <v>-5.0839750000000003E-2</v>
      </c>
      <c r="AA10122">
        <v>0.98722149999999997</v>
      </c>
      <c r="AB10122">
        <v>33</v>
      </c>
      <c r="AC10122">
        <v>3.1985999999999901</v>
      </c>
      <c r="AD10122">
        <v>-1.1098090776980001</v>
      </c>
      <c r="AE10122">
        <v>21.242419999999999</v>
      </c>
      <c r="AF10122">
        <v>3.2866619152117398</v>
      </c>
      <c r="AG10122">
        <v>-1.1098090776980001</v>
      </c>
      <c r="AH10122">
        <v>21.171107141965301</v>
      </c>
      <c r="AI10122">
        <v>92.965296250701897</v>
      </c>
      <c r="AJ10122">
        <v>81.175682575449699</v>
      </c>
      <c r="AK10122">
        <v>21.4534286385747</v>
      </c>
      <c r="AL10122">
        <v>89.003020941814796</v>
      </c>
      <c r="AM10122">
        <v>87.3500837667832</v>
      </c>
      <c r="AN10122">
        <v>1.00000005389749</v>
      </c>
    </row>
    <row r="10123" spans="1:40" x14ac:dyDescent="0.25">
      <c r="A10123" t="str">
        <f>"20190312154151340"</f>
        <v>20190312154151340</v>
      </c>
      <c r="B10123" t="str">
        <f>"1552376511336345"</f>
        <v>1552376511336345</v>
      </c>
      <c r="C10123" t="s">
        <v>40</v>
      </c>
      <c r="D10123">
        <v>4.202725</v>
      </c>
      <c r="E10123">
        <v>0.54018710000000003</v>
      </c>
      <c r="F10123" t="s">
        <v>42</v>
      </c>
      <c r="G10123">
        <v>-184.9391</v>
      </c>
      <c r="H10123" s="1">
        <v>-2.30649E-6</v>
      </c>
      <c r="I10123">
        <v>112.4688</v>
      </c>
      <c r="J10123">
        <v>-188.1713</v>
      </c>
      <c r="K10123">
        <v>1.109785</v>
      </c>
      <c r="L10123">
        <v>90.793059999999997</v>
      </c>
      <c r="M10123">
        <v>-4.379656E-3</v>
      </c>
      <c r="N10123">
        <v>0</v>
      </c>
      <c r="O10123">
        <v>0.99988469999999996</v>
      </c>
      <c r="P10123">
        <v>4.1618309999999999E-2</v>
      </c>
      <c r="Q10123">
        <v>3.0656049999999999E-3</v>
      </c>
      <c r="R10123">
        <v>0.99912889999999999</v>
      </c>
      <c r="S10123">
        <v>0.44061280000000003</v>
      </c>
      <c r="T10123">
        <v>-0.1513274</v>
      </c>
      <c r="U10123">
        <v>2.98468</v>
      </c>
      <c r="V10123">
        <v>4.6004209999999997E-2</v>
      </c>
      <c r="W10123">
        <v>1.7566080000000001E-2</v>
      </c>
      <c r="X10123">
        <v>0.99878679999999997</v>
      </c>
      <c r="Y10123">
        <v>0.1501905</v>
      </c>
      <c r="Z10123">
        <v>-5.0077740000000003E-2</v>
      </c>
      <c r="AA10123">
        <v>0.98738800000000004</v>
      </c>
      <c r="AB10123">
        <v>33</v>
      </c>
      <c r="AC10123">
        <v>3.2322000000000002</v>
      </c>
      <c r="AD10123">
        <v>-1.1097873064899999</v>
      </c>
      <c r="AE10123">
        <v>21.675740000000001</v>
      </c>
      <c r="AF10123">
        <v>3.31860119468507</v>
      </c>
      <c r="AG10123">
        <v>-1.1097873064899999</v>
      </c>
      <c r="AH10123">
        <v>21.605968955857499</v>
      </c>
      <c r="AI10123">
        <v>92.906380693895599</v>
      </c>
      <c r="AJ10123">
        <v>81.267811683852599</v>
      </c>
      <c r="AK10123">
        <v>21.887499543723401</v>
      </c>
      <c r="AL10123">
        <v>88.993485999288197</v>
      </c>
      <c r="AM10123">
        <v>87.362815136560499</v>
      </c>
      <c r="AN10123">
        <v>1.0000000131792599</v>
      </c>
    </row>
    <row r="10124" spans="1:40" x14ac:dyDescent="0.25">
      <c r="A10124" t="str">
        <f>"20190312154151358"</f>
        <v>20190312154151358</v>
      </c>
      <c r="B10124" t="str">
        <f>"1552376511355865"</f>
        <v>1552376511355865</v>
      </c>
      <c r="C10124" t="s">
        <v>40</v>
      </c>
      <c r="D10124">
        <v>4.1714140000000004</v>
      </c>
      <c r="E10124">
        <v>0.54021129999999995</v>
      </c>
      <c r="F10124" t="s">
        <v>42</v>
      </c>
      <c r="G10124">
        <v>-184.87799999999999</v>
      </c>
      <c r="H10124" s="1">
        <v>-2.5437150000000001E-6</v>
      </c>
      <c r="I10124">
        <v>113.1181</v>
      </c>
      <c r="J10124">
        <v>-188.17230000000001</v>
      </c>
      <c r="K10124">
        <v>1.109764</v>
      </c>
      <c r="L10124">
        <v>91.06644</v>
      </c>
      <c r="M10124">
        <v>-4.127103E-3</v>
      </c>
      <c r="N10124">
        <v>0</v>
      </c>
      <c r="O10124">
        <v>0.99988580000000005</v>
      </c>
      <c r="P10124">
        <v>4.124038E-2</v>
      </c>
      <c r="Q10124">
        <v>3.1798099999999999E-3</v>
      </c>
      <c r="R10124">
        <v>0.99914420000000004</v>
      </c>
      <c r="S10124">
        <v>0.44029239999999997</v>
      </c>
      <c r="T10124">
        <v>-0.148371</v>
      </c>
      <c r="U10124">
        <v>2.9847109999999999</v>
      </c>
      <c r="V10124">
        <v>4.5375209999999999E-2</v>
      </c>
      <c r="W10124">
        <v>1.7675260000000002E-2</v>
      </c>
      <c r="X10124">
        <v>0.99881359999999997</v>
      </c>
      <c r="Y10124">
        <v>0.1498427</v>
      </c>
      <c r="Z10124">
        <v>-4.9103069999999999E-2</v>
      </c>
      <c r="AA10124">
        <v>0.98748979999999997</v>
      </c>
      <c r="AB10124">
        <v>33</v>
      </c>
      <c r="AC10124">
        <v>3.2943000000000202</v>
      </c>
      <c r="AD10124">
        <v>-1.1097665437149999</v>
      </c>
      <c r="AE10124">
        <v>22.051659999999998</v>
      </c>
      <c r="AF10124">
        <v>3.3769250584833501</v>
      </c>
      <c r="AG10124">
        <v>-1.1097665437149999</v>
      </c>
      <c r="AH10124">
        <v>21.983413247871098</v>
      </c>
      <c r="AI10124">
        <v>92.856502787999801</v>
      </c>
      <c r="AJ10124">
        <v>81.266921156469493</v>
      </c>
      <c r="AK10124">
        <v>22.2689394147732</v>
      </c>
      <c r="AL10124">
        <v>88.987229427032304</v>
      </c>
      <c r="AM10124">
        <v>87.398892304775401</v>
      </c>
      <c r="AN10124">
        <v>0.99999996602178498</v>
      </c>
    </row>
    <row r="10125" spans="1:40" x14ac:dyDescent="0.25">
      <c r="A10125" t="str">
        <f>"20190312154151381"</f>
        <v>20190312154151381</v>
      </c>
      <c r="B10125" t="str">
        <f>"1552376511376361"</f>
        <v>1552376511376361</v>
      </c>
      <c r="C10125" t="s">
        <v>40</v>
      </c>
      <c r="D10125">
        <v>4.1841169999999996</v>
      </c>
      <c r="E10125">
        <v>0.54035359999999999</v>
      </c>
      <c r="F10125" t="s">
        <v>42</v>
      </c>
      <c r="G10125">
        <v>-184.8912</v>
      </c>
      <c r="H10125" s="1">
        <v>-2.6244939999999999E-6</v>
      </c>
      <c r="I10125">
        <v>113.36579999999999</v>
      </c>
      <c r="J10125">
        <v>-188.17320000000001</v>
      </c>
      <c r="K10125">
        <v>1.109737</v>
      </c>
      <c r="L10125">
        <v>91.389189999999999</v>
      </c>
      <c r="M10125">
        <v>-3.7993369999999999E-3</v>
      </c>
      <c r="N10125">
        <v>0</v>
      </c>
      <c r="O10125">
        <v>0.99988710000000003</v>
      </c>
      <c r="P10125">
        <v>4.1601579999999999E-2</v>
      </c>
      <c r="Q10125">
        <v>3.2255510000000001E-3</v>
      </c>
      <c r="R10125">
        <v>0.99912909999999999</v>
      </c>
      <c r="S10125">
        <v>0.43919370000000002</v>
      </c>
      <c r="T10125">
        <v>-0.14854990000000001</v>
      </c>
      <c r="U10125">
        <v>2.9849239999999999</v>
      </c>
      <c r="V10125">
        <v>4.541005E-2</v>
      </c>
      <c r="W10125">
        <v>1.771435E-2</v>
      </c>
      <c r="X10125">
        <v>0.99881140000000002</v>
      </c>
      <c r="Y10125">
        <v>0.14915220000000001</v>
      </c>
      <c r="Z10125">
        <v>-4.9162650000000002E-2</v>
      </c>
      <c r="AA10125">
        <v>0.98759129999999995</v>
      </c>
      <c r="AB10125">
        <v>33</v>
      </c>
      <c r="AC10125">
        <v>3.2820000000000098</v>
      </c>
      <c r="AD10125">
        <v>-1.1097396244940001</v>
      </c>
      <c r="AE10125">
        <v>21.976609999999901</v>
      </c>
      <c r="AF10125">
        <v>3.3571081868506898</v>
      </c>
      <c r="AG10125">
        <v>-1.1097396244940001</v>
      </c>
      <c r="AH10125">
        <v>21.9093330864679</v>
      </c>
      <c r="AI10125">
        <v>92.866240920235896</v>
      </c>
      <c r="AJ10125">
        <v>81.288478241194696</v>
      </c>
      <c r="AK10125">
        <v>22.192804548010301</v>
      </c>
      <c r="AL10125">
        <v>88.984989461149098</v>
      </c>
      <c r="AM10125">
        <v>87.396892142264704</v>
      </c>
      <c r="AN10125">
        <v>1.00000004180344</v>
      </c>
    </row>
    <row r="10126" spans="1:40" x14ac:dyDescent="0.25">
      <c r="A10126" t="str">
        <f>"20190312154151392"</f>
        <v>20190312154151392</v>
      </c>
      <c r="B10126" t="str">
        <f>"1552376511386121"</f>
        <v>1552376511386121</v>
      </c>
      <c r="C10126" t="s">
        <v>40</v>
      </c>
      <c r="D10126">
        <v>4.1802409999999997</v>
      </c>
      <c r="E10126">
        <v>0.54035540000000004</v>
      </c>
      <c r="F10126" t="s">
        <v>42</v>
      </c>
      <c r="G10126">
        <v>-184.90469999999999</v>
      </c>
      <c r="H10126" s="1">
        <v>-2.6645570000000002E-6</v>
      </c>
      <c r="I10126">
        <v>113.4941</v>
      </c>
      <c r="J10126">
        <v>-188.1738</v>
      </c>
      <c r="K10126">
        <v>1.109723</v>
      </c>
      <c r="L10126">
        <v>91.589079999999996</v>
      </c>
      <c r="M10126">
        <v>-3.5836499999999999E-3</v>
      </c>
      <c r="N10126">
        <v>0</v>
      </c>
      <c r="O10126">
        <v>0.99988790000000005</v>
      </c>
      <c r="P10126">
        <v>4.2096910000000001E-2</v>
      </c>
      <c r="Q10126">
        <v>3.2323339999999999E-3</v>
      </c>
      <c r="R10126">
        <v>0.99910829999999995</v>
      </c>
      <c r="S10126">
        <v>0.44133</v>
      </c>
      <c r="T10126">
        <v>-0.149842</v>
      </c>
      <c r="U10126">
        <v>2.9847109999999999</v>
      </c>
      <c r="V10126">
        <v>4.5690450000000001E-2</v>
      </c>
      <c r="W10126">
        <v>1.7717210000000001E-2</v>
      </c>
      <c r="X10126">
        <v>0.99879850000000003</v>
      </c>
      <c r="Y10126">
        <v>0.14963770000000001</v>
      </c>
      <c r="Z10126">
        <v>-4.9588390000000003E-2</v>
      </c>
      <c r="AA10126">
        <v>0.98749659999999995</v>
      </c>
      <c r="AB10126">
        <v>33</v>
      </c>
      <c r="AC10126">
        <v>3.2690999999999999</v>
      </c>
      <c r="AD10126">
        <v>-1.1097256645569999</v>
      </c>
      <c r="AE10126">
        <v>21.90502</v>
      </c>
      <c r="AF10126">
        <v>3.3392038249963001</v>
      </c>
      <c r="AG10126">
        <v>-1.1097256645569999</v>
      </c>
      <c r="AH10126">
        <v>21.838335470258102</v>
      </c>
      <c r="AI10126">
        <v>92.875645626727305</v>
      </c>
      <c r="AJ10126">
        <v>81.306488830135294</v>
      </c>
      <c r="AK10126">
        <v>22.120006088312401</v>
      </c>
      <c r="AL10126">
        <v>88.984825506937597</v>
      </c>
      <c r="AM10126">
        <v>87.380806889953604</v>
      </c>
      <c r="AN10126">
        <v>0.99999998017681802</v>
      </c>
    </row>
    <row r="10127" spans="1:40" x14ac:dyDescent="0.25">
      <c r="A10127" t="str">
        <f>"20190312154151406"</f>
        <v>20190312154151406</v>
      </c>
      <c r="B10127" t="str">
        <f>"1552376511395881"</f>
        <v>1552376511395881</v>
      </c>
      <c r="C10127" t="s">
        <v>40</v>
      </c>
      <c r="D10127">
        <v>4.1748669999999999</v>
      </c>
      <c r="E10127">
        <v>0.54042950000000001</v>
      </c>
      <c r="F10127" t="s">
        <v>42</v>
      </c>
      <c r="G10127">
        <v>-184.8997</v>
      </c>
      <c r="H10127" s="1">
        <v>-2.7219449999999999E-6</v>
      </c>
      <c r="I10127">
        <v>113.6589</v>
      </c>
      <c r="J10127">
        <v>-188.17429999999999</v>
      </c>
      <c r="K10127">
        <v>1.1097109999999999</v>
      </c>
      <c r="L10127">
        <v>91.778499999999994</v>
      </c>
      <c r="M10127">
        <v>-3.3715889999999999E-3</v>
      </c>
      <c r="N10127">
        <v>0</v>
      </c>
      <c r="O10127">
        <v>0.99988869999999996</v>
      </c>
      <c r="P10127">
        <v>4.2563860000000002E-2</v>
      </c>
      <c r="Q10127">
        <v>3.7897870000000002E-3</v>
      </c>
      <c r="R10127">
        <v>0.99908660000000005</v>
      </c>
      <c r="S10127">
        <v>0.442749</v>
      </c>
      <c r="T10127">
        <v>-0.15006820000000001</v>
      </c>
      <c r="U10127">
        <v>2.9844970000000002</v>
      </c>
      <c r="V10127">
        <v>4.5946380000000002E-2</v>
      </c>
      <c r="W10127">
        <v>1.827121E-2</v>
      </c>
      <c r="X10127">
        <v>0.99877680000000002</v>
      </c>
      <c r="Y10127">
        <v>0.14989720000000001</v>
      </c>
      <c r="Z10127">
        <v>-4.9663909999999999E-2</v>
      </c>
      <c r="AA10127">
        <v>0.98745349999999998</v>
      </c>
      <c r="AB10127">
        <v>33</v>
      </c>
      <c r="AC10127">
        <v>3.2745999999999902</v>
      </c>
      <c r="AD10127">
        <v>-1.109713721945</v>
      </c>
      <c r="AE10127">
        <v>21.880400000000002</v>
      </c>
      <c r="AF10127">
        <v>3.3399579286001702</v>
      </c>
      <c r="AG10127">
        <v>-1.109713721945</v>
      </c>
      <c r="AH10127">
        <v>21.8143513510886</v>
      </c>
      <c r="AI10127">
        <v>92.878683968357905</v>
      </c>
      <c r="AJ10127">
        <v>81.295141571311504</v>
      </c>
      <c r="AK10127">
        <v>22.096441079464199</v>
      </c>
      <c r="AL10127">
        <v>88.953078526343205</v>
      </c>
      <c r="AM10127">
        <v>87.366099227994795</v>
      </c>
      <c r="AN10127">
        <v>1.0000000015841</v>
      </c>
    </row>
    <row r="10128" spans="1:40" x14ac:dyDescent="0.25">
      <c r="A10128" t="str">
        <f>"20190312154151420"</f>
        <v>20190312154151420</v>
      </c>
      <c r="B10128" t="str">
        <f>"1552376511416377"</f>
        <v>1552376511416377</v>
      </c>
      <c r="C10128" t="s">
        <v>40</v>
      </c>
      <c r="D10128">
        <v>4.1743449999999998</v>
      </c>
      <c r="E10128">
        <v>0.54057639999999996</v>
      </c>
      <c r="F10128" t="s">
        <v>42</v>
      </c>
      <c r="G10128">
        <v>-184.8552</v>
      </c>
      <c r="H10128" s="1">
        <v>-2.869676E-6</v>
      </c>
      <c r="I10128">
        <v>114.0581</v>
      </c>
      <c r="J10128">
        <v>-188.1747</v>
      </c>
      <c r="K10128">
        <v>1.109701</v>
      </c>
      <c r="L10128">
        <v>91.982209999999995</v>
      </c>
      <c r="M10128">
        <v>-3.138737E-3</v>
      </c>
      <c r="N10128">
        <v>0</v>
      </c>
      <c r="O10128">
        <v>0.99988949999999999</v>
      </c>
      <c r="P10128">
        <v>4.3448939999999998E-2</v>
      </c>
      <c r="Q10128">
        <v>3.6390070000000001E-3</v>
      </c>
      <c r="R10128">
        <v>0.99904899999999996</v>
      </c>
      <c r="S10128">
        <v>0.44459530000000003</v>
      </c>
      <c r="T10128">
        <v>-0.1486471</v>
      </c>
      <c r="U10128">
        <v>2.984375</v>
      </c>
      <c r="V10128">
        <v>4.6599080000000001E-2</v>
      </c>
      <c r="W10128">
        <v>1.8115780000000001E-2</v>
      </c>
      <c r="X10128">
        <v>0.99874940000000001</v>
      </c>
      <c r="Y10128">
        <v>0.15027399999999999</v>
      </c>
      <c r="Z10128">
        <v>-4.9193180000000003E-2</v>
      </c>
      <c r="AA10128">
        <v>0.98741979999999996</v>
      </c>
      <c r="AB10128">
        <v>33</v>
      </c>
      <c r="AC10128">
        <v>3.3195000000000001</v>
      </c>
      <c r="AD10128">
        <v>-1.109703869676</v>
      </c>
      <c r="AE10128">
        <v>22.075890000000001</v>
      </c>
      <c r="AF10128">
        <v>3.3804284354456602</v>
      </c>
      <c r="AG10128">
        <v>-1.109703869676</v>
      </c>
      <c r="AH10128">
        <v>22.010972635725899</v>
      </c>
      <c r="AI10128">
        <v>92.852785467186706</v>
      </c>
      <c r="AJ10128">
        <v>81.268777811675093</v>
      </c>
      <c r="AK10128">
        <v>22.296673641066299</v>
      </c>
      <c r="AL10128">
        <v>88.961985492188703</v>
      </c>
      <c r="AM10128">
        <v>87.328663491429197</v>
      </c>
      <c r="AN10128">
        <v>1.0000000098710999</v>
      </c>
    </row>
    <row r="10129" spans="1:40" x14ac:dyDescent="0.25">
      <c r="A10129" t="str">
        <f>"20190312154151438"</f>
        <v>20190312154151438</v>
      </c>
      <c r="B10129" t="str">
        <f>"1552376511426137"</f>
        <v>1552376511426137</v>
      </c>
      <c r="C10129" t="s">
        <v>40</v>
      </c>
      <c r="D10129">
        <v>4.1526420000000002</v>
      </c>
      <c r="E10129">
        <v>0.54068269999999996</v>
      </c>
      <c r="F10129" t="s">
        <v>42</v>
      </c>
      <c r="G10129">
        <v>-184.83789999999999</v>
      </c>
      <c r="H10129" s="1">
        <v>-2.9167489999999998E-6</v>
      </c>
      <c r="I10129">
        <v>114.18300000000001</v>
      </c>
      <c r="J10129">
        <v>-188.17529999999999</v>
      </c>
      <c r="K10129">
        <v>1.1096919999999999</v>
      </c>
      <c r="L10129">
        <v>92.248410000000007</v>
      </c>
      <c r="M10129">
        <v>-2.8265299999999998E-3</v>
      </c>
      <c r="N10129">
        <v>0</v>
      </c>
      <c r="O10129">
        <v>0.99989050000000002</v>
      </c>
      <c r="P10129">
        <v>4.5281719999999998E-2</v>
      </c>
      <c r="Q10129">
        <v>3.9246589999999996E-3</v>
      </c>
      <c r="R10129">
        <v>0.99896660000000004</v>
      </c>
      <c r="S10129">
        <v>0.4484863</v>
      </c>
      <c r="T10129">
        <v>-0.14914939999999999</v>
      </c>
      <c r="U10129">
        <v>2.9838870000000002</v>
      </c>
      <c r="V10129">
        <v>4.8120450000000002E-2</v>
      </c>
      <c r="W10129">
        <v>1.8395160000000001E-2</v>
      </c>
      <c r="X10129">
        <v>0.99867209999999995</v>
      </c>
      <c r="Y10129">
        <v>0.15124689999999999</v>
      </c>
      <c r="Z10129">
        <v>-4.9358640000000002E-2</v>
      </c>
      <c r="AA10129">
        <v>0.987263</v>
      </c>
      <c r="AB10129">
        <v>33</v>
      </c>
      <c r="AC10129">
        <v>3.3374000000000001</v>
      </c>
      <c r="AD10129">
        <v>-1.109694916749</v>
      </c>
      <c r="AE10129">
        <v>21.93459</v>
      </c>
      <c r="AF10129">
        <v>3.3909094640394701</v>
      </c>
      <c r="AG10129">
        <v>-1.109694916749</v>
      </c>
      <c r="AH10129">
        <v>21.870358371032399</v>
      </c>
      <c r="AI10129">
        <v>92.870440028592398</v>
      </c>
      <c r="AJ10129">
        <v>81.186698684393704</v>
      </c>
      <c r="AK10129">
        <v>22.1594734837938</v>
      </c>
      <c r="AL10129">
        <v>88.945975478411697</v>
      </c>
      <c r="AM10129">
        <v>87.241368908164503</v>
      </c>
      <c r="AN10129">
        <v>0.99999996146901804</v>
      </c>
    </row>
    <row r="10130" spans="1:40" x14ac:dyDescent="0.25">
      <c r="A10130" t="str">
        <f>"20190312154151460"</f>
        <v>20190312154151460</v>
      </c>
      <c r="B10130" t="str">
        <f>"1552376511446633"</f>
        <v>1552376511446633</v>
      </c>
      <c r="C10130" t="s">
        <v>40</v>
      </c>
      <c r="D10130">
        <v>4.1575220000000002</v>
      </c>
      <c r="E10130">
        <v>0.5409562</v>
      </c>
      <c r="F10130" t="s">
        <v>42</v>
      </c>
      <c r="G10130">
        <v>-184.75210000000001</v>
      </c>
      <c r="H10130" s="1">
        <v>-3.115726E-6</v>
      </c>
      <c r="I10130">
        <v>114.70050000000001</v>
      </c>
      <c r="J10130">
        <v>-188.17580000000001</v>
      </c>
      <c r="K10130">
        <v>1.1096820000000001</v>
      </c>
      <c r="L10130">
        <v>92.569519999999997</v>
      </c>
      <c r="M10130">
        <v>-2.4437399999999998E-3</v>
      </c>
      <c r="N10130">
        <v>0</v>
      </c>
      <c r="O10130">
        <v>0.99989150000000004</v>
      </c>
      <c r="P10130">
        <v>4.679005E-2</v>
      </c>
      <c r="Q10130">
        <v>4.1598039999999996E-3</v>
      </c>
      <c r="R10130">
        <v>0.99889609999999995</v>
      </c>
      <c r="S10130">
        <v>0.45481870000000002</v>
      </c>
      <c r="T10130">
        <v>-0.1474376</v>
      </c>
      <c r="U10130">
        <v>2.983063</v>
      </c>
      <c r="V10130">
        <v>4.9246900000000003E-2</v>
      </c>
      <c r="W10130">
        <v>1.862401E-2</v>
      </c>
      <c r="X10130">
        <v>0.99861299999999997</v>
      </c>
      <c r="Y10130">
        <v>0.15296129999999999</v>
      </c>
      <c r="Z10130">
        <v>-4.8792729999999999E-2</v>
      </c>
      <c r="AA10130">
        <v>0.98702690000000004</v>
      </c>
      <c r="AB10130">
        <v>33</v>
      </c>
      <c r="AC10130">
        <v>3.42369999999999</v>
      </c>
      <c r="AD10130">
        <v>-1.1096851157259999</v>
      </c>
      <c r="AE10130">
        <v>22.130980000000001</v>
      </c>
      <c r="AF10130">
        <v>3.4692593333355202</v>
      </c>
      <c r="AG10130">
        <v>-1.1096851157259999</v>
      </c>
      <c r="AH10130">
        <v>22.0683591653927</v>
      </c>
      <c r="AI10130">
        <v>92.843768929593494</v>
      </c>
      <c r="AJ10130">
        <v>81.065927788017206</v>
      </c>
      <c r="AK10130">
        <v>22.366931788485701</v>
      </c>
      <c r="AL10130">
        <v>88.932861151645596</v>
      </c>
      <c r="AM10130">
        <v>87.176728674593804</v>
      </c>
      <c r="AN10130">
        <v>1.0000000173385399</v>
      </c>
    </row>
    <row r="10131" spans="1:40" x14ac:dyDescent="0.25">
      <c r="A10131" t="str">
        <f>"20190312154151481"</f>
        <v>20190312154151481</v>
      </c>
      <c r="B10131" t="str">
        <f>"1552376511475913"</f>
        <v>1552376511475913</v>
      </c>
      <c r="C10131" t="s">
        <v>40</v>
      </c>
      <c r="D10131">
        <v>4.1282389999999998</v>
      </c>
      <c r="E10131">
        <v>0.54132990000000003</v>
      </c>
      <c r="F10131" t="s">
        <v>42</v>
      </c>
      <c r="G10131">
        <v>-184.6473</v>
      </c>
      <c r="H10131" s="1">
        <v>-3.409335E-6</v>
      </c>
      <c r="I10131">
        <v>115.36669999999999</v>
      </c>
      <c r="J10131">
        <v>-188.17619999999999</v>
      </c>
      <c r="K10131">
        <v>1.10968</v>
      </c>
      <c r="L10131">
        <v>92.885249999999999</v>
      </c>
      <c r="M10131">
        <v>-2.0641320000000002E-3</v>
      </c>
      <c r="N10131">
        <v>0</v>
      </c>
      <c r="O10131">
        <v>0.99989249999999996</v>
      </c>
      <c r="P10131">
        <v>4.7736349999999997E-2</v>
      </c>
      <c r="Q10131">
        <v>4.2104359999999997E-3</v>
      </c>
      <c r="R10131">
        <v>0.99885109999999999</v>
      </c>
      <c r="S10131">
        <v>0.46159359999999999</v>
      </c>
      <c r="T10131">
        <v>-0.1451675</v>
      </c>
      <c r="U10131">
        <v>2.9823</v>
      </c>
      <c r="V10131">
        <v>4.9814259999999999E-2</v>
      </c>
      <c r="W10131">
        <v>1.86693E-2</v>
      </c>
      <c r="X10131">
        <v>0.99858400000000003</v>
      </c>
      <c r="Y10131">
        <v>0.1548196</v>
      </c>
      <c r="Z10131">
        <v>-4.8040190000000003E-2</v>
      </c>
      <c r="AA10131">
        <v>0.98677400000000004</v>
      </c>
      <c r="AB10131">
        <v>33</v>
      </c>
      <c r="AC10131">
        <v>3.5288999999999899</v>
      </c>
      <c r="AD10131">
        <v>-1.1096834093350001</v>
      </c>
      <c r="AE10131">
        <v>22.481449999999899</v>
      </c>
      <c r="AF10131">
        <v>3.56682080269962</v>
      </c>
      <c r="AG10131">
        <v>-1.1096834093350001</v>
      </c>
      <c r="AH10131">
        <v>22.4208046350419</v>
      </c>
      <c r="AI10131">
        <v>92.798322877676299</v>
      </c>
      <c r="AJ10131">
        <v>80.960829716002394</v>
      </c>
      <c r="AK10131">
        <v>22.729850162071902</v>
      </c>
      <c r="AL10131">
        <v>88.930265760493299</v>
      </c>
      <c r="AM10131">
        <v>87.144173280749698</v>
      </c>
      <c r="AN10131">
        <v>1.0000000041589101</v>
      </c>
    </row>
    <row r="10132" spans="1:40" x14ac:dyDescent="0.25">
      <c r="A10132" t="str">
        <f>"20190312154151493"</f>
        <v>20190312154151493</v>
      </c>
      <c r="B10132" t="str">
        <f>"1552376511486650"</f>
        <v>1552376511486650</v>
      </c>
      <c r="C10132" t="s">
        <v>40</v>
      </c>
      <c r="D10132">
        <v>4.0997560000000002</v>
      </c>
      <c r="E10132">
        <v>0.54139099999999996</v>
      </c>
      <c r="F10132" t="s">
        <v>42</v>
      </c>
      <c r="G10132">
        <v>-184.5719</v>
      </c>
      <c r="H10132" s="1">
        <v>-3.637113E-6</v>
      </c>
      <c r="I10132">
        <v>115.8665</v>
      </c>
      <c r="J10132">
        <v>-188.1764</v>
      </c>
      <c r="K10132">
        <v>1.10968</v>
      </c>
      <c r="L10132">
        <v>93.073149999999998</v>
      </c>
      <c r="M10132">
        <v>-1.8378890000000001E-3</v>
      </c>
      <c r="N10132">
        <v>0</v>
      </c>
      <c r="O10132">
        <v>0.99989289999999997</v>
      </c>
      <c r="P10132">
        <v>4.7747249999999998E-2</v>
      </c>
      <c r="Q10132">
        <v>4.2704459999999998E-3</v>
      </c>
      <c r="R10132">
        <v>0.99885029999999997</v>
      </c>
      <c r="S10132">
        <v>0.4676361</v>
      </c>
      <c r="T10132">
        <v>-0.14397660000000001</v>
      </c>
      <c r="U10132">
        <v>2.9817200000000001</v>
      </c>
      <c r="V10132">
        <v>4.959935E-2</v>
      </c>
      <c r="W10132">
        <v>1.8727460000000001E-2</v>
      </c>
      <c r="X10132">
        <v>0.99859359999999997</v>
      </c>
      <c r="Y10132">
        <v>0.1565801</v>
      </c>
      <c r="Z10132">
        <v>-4.7642139999999999E-2</v>
      </c>
      <c r="AA10132">
        <v>0.98651549999999999</v>
      </c>
      <c r="AB10132">
        <v>33</v>
      </c>
      <c r="AC10132">
        <v>3.6044999999999998</v>
      </c>
      <c r="AD10132">
        <v>-1.1096836371130001</v>
      </c>
      <c r="AE10132">
        <v>22.79335</v>
      </c>
      <c r="AF10132">
        <v>3.6379776707675102</v>
      </c>
      <c r="AG10132">
        <v>-1.1096836371130001</v>
      </c>
      <c r="AH10132">
        <v>22.734116728471999</v>
      </c>
      <c r="AI10132">
        <v>92.759416242342297</v>
      </c>
      <c r="AJ10132">
        <v>80.908447734710606</v>
      </c>
      <c r="AK10132">
        <v>23.050083356275898</v>
      </c>
      <c r="AL10132">
        <v>88.926932846114198</v>
      </c>
      <c r="AM10132">
        <v>87.156500990947706</v>
      </c>
      <c r="AN10132">
        <v>0.99999999561971697</v>
      </c>
    </row>
    <row r="10133" spans="1:40" x14ac:dyDescent="0.25">
      <c r="A10133" t="str">
        <f>"20190312154151506"</f>
        <v>20190312154151506</v>
      </c>
      <c r="B10133" t="str">
        <f>"1552376511496409"</f>
        <v>1552376511496409</v>
      </c>
      <c r="C10133" t="s">
        <v>40</v>
      </c>
      <c r="D10133">
        <v>4.1451260000000003</v>
      </c>
      <c r="E10133">
        <v>0.54141209999999995</v>
      </c>
      <c r="F10133" t="s">
        <v>42</v>
      </c>
      <c r="G10133">
        <v>-184.55760000000001</v>
      </c>
      <c r="H10133" s="1">
        <v>-3.7495229999999998E-6</v>
      </c>
      <c r="I10133">
        <v>116.12269999999999</v>
      </c>
      <c r="J10133">
        <v>-188.1765</v>
      </c>
      <c r="K10133">
        <v>1.1096790000000001</v>
      </c>
      <c r="L10133">
        <v>93.263059999999996</v>
      </c>
      <c r="M10133">
        <v>-1.6094799999999999E-3</v>
      </c>
      <c r="N10133">
        <v>0</v>
      </c>
      <c r="O10133">
        <v>0.99989329999999998</v>
      </c>
      <c r="P10133">
        <v>4.770133E-2</v>
      </c>
      <c r="Q10133">
        <v>4.4021859999999998E-3</v>
      </c>
      <c r="R10133">
        <v>0.99885199999999996</v>
      </c>
      <c r="S10133">
        <v>0.4681244</v>
      </c>
      <c r="T10133">
        <v>-0.14354900000000001</v>
      </c>
      <c r="U10133">
        <v>2.9816889999999998</v>
      </c>
      <c r="V10133">
        <v>4.9325510000000003E-2</v>
      </c>
      <c r="W10133">
        <v>1.8857140000000001E-2</v>
      </c>
      <c r="X10133">
        <v>0.99860470000000001</v>
      </c>
      <c r="Y10133">
        <v>0.15651470000000001</v>
      </c>
      <c r="Z10133">
        <v>-4.7501120000000001E-2</v>
      </c>
      <c r="AA10133">
        <v>0.98653270000000004</v>
      </c>
      <c r="AB10133">
        <v>33</v>
      </c>
      <c r="AC10133">
        <v>3.6188999999999898</v>
      </c>
      <c r="AD10133">
        <v>-1.1096827495229999</v>
      </c>
      <c r="AE10133">
        <v>22.859639999999999</v>
      </c>
      <c r="AF10133">
        <v>3.6473067480227899</v>
      </c>
      <c r="AG10133">
        <v>-1.1096827495229999</v>
      </c>
      <c r="AH10133">
        <v>22.801368520497501</v>
      </c>
      <c r="AI10133">
        <v>92.751314700499293</v>
      </c>
      <c r="AJ10133">
        <v>80.911958111192206</v>
      </c>
      <c r="AK10133">
        <v>23.1178859052098</v>
      </c>
      <c r="AL10133">
        <v>88.919501391827794</v>
      </c>
      <c r="AM10133">
        <v>87.172205892279905</v>
      </c>
      <c r="AN10133">
        <v>0.99999997226391402</v>
      </c>
    </row>
    <row r="10134" spans="1:40" x14ac:dyDescent="0.25">
      <c r="A10134" t="str">
        <f>"20190312154151526"</f>
        <v>20190312154151526</v>
      </c>
      <c r="B10134" t="str">
        <f>"1552376511515929"</f>
        <v>1552376511515929</v>
      </c>
      <c r="C10134" t="s">
        <v>40</v>
      </c>
      <c r="D10134">
        <v>4.2142759999999999</v>
      </c>
      <c r="E10134">
        <v>0.54123310000000002</v>
      </c>
      <c r="F10134" t="s">
        <v>42</v>
      </c>
      <c r="G10134">
        <v>-184.55779999999999</v>
      </c>
      <c r="H10134" s="1">
        <v>-3.8306619999999998E-6</v>
      </c>
      <c r="I10134">
        <v>116.31189999999999</v>
      </c>
      <c r="J10134">
        <v>-188.17660000000001</v>
      </c>
      <c r="K10134">
        <v>1.1096710000000001</v>
      </c>
      <c r="L10134">
        <v>93.56326</v>
      </c>
      <c r="M10134">
        <v>-1.248278E-3</v>
      </c>
      <c r="N10134">
        <v>0</v>
      </c>
      <c r="O10134">
        <v>0.9998939</v>
      </c>
      <c r="P10134">
        <v>4.7052469999999999E-2</v>
      </c>
      <c r="Q10134">
        <v>4.8355759999999899E-3</v>
      </c>
      <c r="R10134">
        <v>0.99888069999999896</v>
      </c>
      <c r="S10134">
        <v>0.46813959999999999</v>
      </c>
      <c r="T10134">
        <v>-0.14355470000000001</v>
      </c>
      <c r="U10134">
        <v>2.9817200000000001</v>
      </c>
      <c r="V10134">
        <v>4.8316400000000002E-2</v>
      </c>
      <c r="W10134">
        <v>1.9288599999999999E-2</v>
      </c>
      <c r="X10134">
        <v>0.99864580000000003</v>
      </c>
      <c r="Y10134">
        <v>0.156161299999999</v>
      </c>
      <c r="Z10134">
        <v>-4.7503910000000003E-2</v>
      </c>
      <c r="AA10134">
        <v>0.98658860000000004</v>
      </c>
      <c r="AB10134">
        <v>33</v>
      </c>
      <c r="AC10134">
        <v>3.6188000000000198</v>
      </c>
      <c r="AD10134">
        <v>-1.1096748306619999</v>
      </c>
      <c r="AE10134">
        <v>22.748639999999899</v>
      </c>
      <c r="AF10134">
        <v>3.6387521858293899</v>
      </c>
      <c r="AG10134">
        <v>-1.1096748306619999</v>
      </c>
      <c r="AH10134">
        <v>22.6914434985847</v>
      </c>
      <c r="AI10134">
        <v>92.764431167669699</v>
      </c>
      <c r="AJ10134">
        <v>80.889729993366998</v>
      </c>
      <c r="AK10134">
        <v>23.0081182139945</v>
      </c>
      <c r="AL10134">
        <v>88.894776063988502</v>
      </c>
      <c r="AM10134">
        <v>87.230080186271294</v>
      </c>
      <c r="AN10134">
        <v>0.99999997922827899</v>
      </c>
    </row>
    <row r="10135" spans="1:40" x14ac:dyDescent="0.25">
      <c r="A10135" t="str">
        <f>"20190312154151548"</f>
        <v>20190312154151548</v>
      </c>
      <c r="B10135" t="str">
        <f>"1552376511536424"</f>
        <v>1552376511536424</v>
      </c>
      <c r="C10135" t="s">
        <v>40</v>
      </c>
      <c r="D10135">
        <v>4.1816630000000004</v>
      </c>
      <c r="E10135">
        <v>0.52094779999999996</v>
      </c>
      <c r="F10135" t="s">
        <v>42</v>
      </c>
      <c r="G10135">
        <v>-184.5335</v>
      </c>
      <c r="H10135" s="1">
        <v>-4.1014199999999999E-6</v>
      </c>
      <c r="I10135">
        <v>116.93300000000001</v>
      </c>
      <c r="J10135">
        <v>-188.17660000000001</v>
      </c>
      <c r="K10135">
        <v>1.109664</v>
      </c>
      <c r="L10135">
        <v>93.882019999999997</v>
      </c>
      <c r="M10135">
        <v>-8.6317459999999996E-4</v>
      </c>
      <c r="N10135">
        <v>0</v>
      </c>
      <c r="O10135">
        <v>0.99989439999999996</v>
      </c>
      <c r="P10135">
        <v>4.6533089999999999E-2</v>
      </c>
      <c r="Q10135">
        <v>5.3983130000000001E-3</v>
      </c>
      <c r="R10135">
        <v>0.99890210000000002</v>
      </c>
      <c r="S10135">
        <v>0.46488950000000001</v>
      </c>
      <c r="T10135">
        <v>-0.141602799999999</v>
      </c>
      <c r="U10135">
        <v>2.9821469999999999</v>
      </c>
      <c r="V10135">
        <v>4.7412990000000002E-2</v>
      </c>
      <c r="W10135">
        <v>1.984878E-2</v>
      </c>
      <c r="X10135">
        <v>0.99867810000000001</v>
      </c>
      <c r="Y10135">
        <v>0.1547142</v>
      </c>
      <c r="Z10135">
        <v>-4.6862109999999998E-2</v>
      </c>
      <c r="AA10135">
        <v>0.98684720000000004</v>
      </c>
      <c r="AB10135">
        <v>33</v>
      </c>
      <c r="AC10135">
        <v>3.6431</v>
      </c>
      <c r="AD10135">
        <v>-1.1096681014200001</v>
      </c>
      <c r="AE10135">
        <v>23.050979999999999</v>
      </c>
      <c r="AF10135">
        <v>3.6547345510631701</v>
      </c>
      <c r="AG10135">
        <v>-1.1096681014200001</v>
      </c>
      <c r="AH10135">
        <v>22.995833805714799</v>
      </c>
      <c r="AI10135">
        <v>92.728483591821401</v>
      </c>
      <c r="AJ10135">
        <v>80.969493006254794</v>
      </c>
      <c r="AK10135">
        <v>23.310873436104899</v>
      </c>
      <c r="AL10135">
        <v>88.8626739402672</v>
      </c>
      <c r="AM10135">
        <v>87.281880938530307</v>
      </c>
      <c r="AN10135">
        <v>0.99999995655391805</v>
      </c>
    </row>
    <row r="10136" spans="1:40" x14ac:dyDescent="0.25">
      <c r="A10136" t="str">
        <f>"20190312154151561"</f>
        <v>20190312154151561</v>
      </c>
      <c r="B10136" t="str">
        <f>"1552376511555946"</f>
        <v>1552376511555946</v>
      </c>
      <c r="C10136" t="s">
        <v>40</v>
      </c>
      <c r="D10136">
        <v>4.1798349999999997</v>
      </c>
      <c r="E10136">
        <v>0.52024229999999905</v>
      </c>
      <c r="F10136" t="s">
        <v>55</v>
      </c>
      <c r="G10136">
        <v>-184.9606</v>
      </c>
      <c r="H10136" s="1">
        <v>-3.7024419999999998E-6</v>
      </c>
      <c r="I10136">
        <v>125.6391</v>
      </c>
      <c r="J10136">
        <v>-188.17660000000001</v>
      </c>
      <c r="K10136">
        <v>1.109664</v>
      </c>
      <c r="L10136">
        <v>94.069730000000007</v>
      </c>
      <c r="M10136">
        <v>-6.348336E-4</v>
      </c>
      <c r="N10136">
        <v>0</v>
      </c>
      <c r="O10136">
        <v>0.99989459999999997</v>
      </c>
      <c r="P10136">
        <v>4.6610529999999997E-2</v>
      </c>
      <c r="Q10136">
        <v>5.229895E-3</v>
      </c>
      <c r="R10136">
        <v>0.99889950000000005</v>
      </c>
      <c r="S10136">
        <v>0.3027649</v>
      </c>
      <c r="T10136">
        <v>-0.1044688</v>
      </c>
      <c r="U10136">
        <v>2.9897459999999998</v>
      </c>
      <c r="V10136">
        <v>4.7262270000000002E-2</v>
      </c>
      <c r="W10136">
        <v>1.9678580000000001E-2</v>
      </c>
      <c r="X10136">
        <v>0.99868860000000004</v>
      </c>
      <c r="Y10136">
        <v>0.10132330000000001</v>
      </c>
      <c r="Z10136">
        <v>-3.4742450000000001E-2</v>
      </c>
      <c r="AA10136">
        <v>0.99424670000000004</v>
      </c>
      <c r="AB10136">
        <v>33</v>
      </c>
      <c r="AC10136">
        <v>3.2160000000000002</v>
      </c>
      <c r="AD10136">
        <v>-1.1096677024420001</v>
      </c>
      <c r="AE10136">
        <v>31.5693699999999</v>
      </c>
      <c r="AF10136">
        <v>3.2320904215079098</v>
      </c>
      <c r="AG10136">
        <v>-1.1096677024420001</v>
      </c>
      <c r="AH10136">
        <v>31.5287670995098</v>
      </c>
      <c r="AI10136">
        <v>92.005216071829594</v>
      </c>
      <c r="AJ10136">
        <v>84.146916425650303</v>
      </c>
      <c r="AK10136">
        <v>31.7134187012024</v>
      </c>
      <c r="AL10136">
        <v>88.872427573558497</v>
      </c>
      <c r="AM10136">
        <v>87.290537048974599</v>
      </c>
      <c r="AN10136">
        <v>0.99999994422316296</v>
      </c>
    </row>
    <row r="10137" spans="1:40" x14ac:dyDescent="0.25">
      <c r="A10137" t="str">
        <f>"20190312154151574"</f>
        <v>20190312154151574</v>
      </c>
      <c r="B10137" t="str">
        <f>"1552376511565705"</f>
        <v>1552376511565705</v>
      </c>
      <c r="C10137" t="s">
        <v>40</v>
      </c>
      <c r="D10137">
        <v>4.1777329999999999</v>
      </c>
      <c r="E10137">
        <v>0.51994399999999996</v>
      </c>
      <c r="F10137" t="s">
        <v>55</v>
      </c>
      <c r="G10137">
        <v>-185.1687</v>
      </c>
      <c r="H10137" s="1">
        <v>-3.250668E-6</v>
      </c>
      <c r="I10137">
        <v>124.3296</v>
      </c>
      <c r="J10137">
        <v>-188.1765</v>
      </c>
      <c r="K10137">
        <v>1.109661</v>
      </c>
      <c r="L10137">
        <v>94.270049999999998</v>
      </c>
      <c r="M10137">
        <v>-3.8895690000000002E-4</v>
      </c>
      <c r="N10137">
        <v>0</v>
      </c>
      <c r="O10137">
        <v>0.99989470000000003</v>
      </c>
      <c r="P10137">
        <v>4.6676549999999997E-2</v>
      </c>
      <c r="Q10137">
        <v>5.3262200000000004E-3</v>
      </c>
      <c r="R10137">
        <v>0.99889589999999995</v>
      </c>
      <c r="S10137">
        <v>0.29721069999999999</v>
      </c>
      <c r="T10137">
        <v>-0.1096478</v>
      </c>
      <c r="U10137">
        <v>2.990021</v>
      </c>
      <c r="V10137">
        <v>4.7082899999999997E-2</v>
      </c>
      <c r="W10137">
        <v>1.9772499999999998E-2</v>
      </c>
      <c r="X10137">
        <v>0.99869529999999995</v>
      </c>
      <c r="Y10137">
        <v>9.9234729999999993E-2</v>
      </c>
      <c r="Z10137">
        <v>-3.6466419999999999E-2</v>
      </c>
      <c r="AA10137">
        <v>0.99439560000000005</v>
      </c>
      <c r="AB10137">
        <v>33</v>
      </c>
      <c r="AC10137">
        <v>3.0078</v>
      </c>
      <c r="AD10137">
        <v>-1.1096642506679999</v>
      </c>
      <c r="AE10137">
        <v>30.059550000000002</v>
      </c>
      <c r="AF10137">
        <v>3.0154243188237801</v>
      </c>
      <c r="AG10137">
        <v>-1.1096642506679999</v>
      </c>
      <c r="AH10137">
        <v>30.017876156993399</v>
      </c>
      <c r="AI10137">
        <v>92.106484486488895</v>
      </c>
      <c r="AJ10137">
        <v>84.263637058223594</v>
      </c>
      <c r="AK10137">
        <v>30.1893528838953</v>
      </c>
      <c r="AL10137">
        <v>88.867045399925502</v>
      </c>
      <c r="AM10137">
        <v>87.300822861175504</v>
      </c>
      <c r="AN10137">
        <v>1.0000000267353699</v>
      </c>
    </row>
    <row r="10138" spans="1:40" x14ac:dyDescent="0.25">
      <c r="A10138" t="str">
        <f>"20190312154151594"</f>
        <v>20190312154151594</v>
      </c>
      <c r="B10138" t="str">
        <f>"1552376511586201"</f>
        <v>1552376511586201</v>
      </c>
      <c r="C10138" t="s">
        <v>40</v>
      </c>
      <c r="D10138">
        <v>4.1661580000000002</v>
      </c>
      <c r="E10138">
        <v>0.52002669999999995</v>
      </c>
      <c r="F10138" t="s">
        <v>55</v>
      </c>
      <c r="G10138">
        <v>-185.22659999999999</v>
      </c>
      <c r="H10138" s="1">
        <v>-3.161319E-6</v>
      </c>
      <c r="I10138">
        <v>124.18129999999999</v>
      </c>
      <c r="J10138">
        <v>-188.17619999999999</v>
      </c>
      <c r="K10138">
        <v>1.1096539999999999</v>
      </c>
      <c r="L10138">
        <v>94.542969999999997</v>
      </c>
      <c r="M10138" s="1">
        <v>-4.7399089999999998E-5</v>
      </c>
      <c r="N10138">
        <v>0</v>
      </c>
      <c r="O10138">
        <v>0.99989479999999997</v>
      </c>
      <c r="P10138">
        <v>4.7031879999999998E-2</v>
      </c>
      <c r="Q10138">
        <v>5.2665979999999999E-3</v>
      </c>
      <c r="R10138">
        <v>0.99887950000000003</v>
      </c>
      <c r="S10138">
        <v>0.29489140000000003</v>
      </c>
      <c r="T10138">
        <v>-0.1109298</v>
      </c>
      <c r="U10138">
        <v>2.9901430000000002</v>
      </c>
      <c r="V10138">
        <v>4.7097239999999999E-2</v>
      </c>
      <c r="W10138">
        <v>1.971005E-2</v>
      </c>
      <c r="X10138">
        <v>0.99869589999999997</v>
      </c>
      <c r="Y10138">
        <v>9.8125370000000003E-2</v>
      </c>
      <c r="Z10138">
        <v>-3.6894179999999999E-2</v>
      </c>
      <c r="AA10138">
        <v>0.99448990000000004</v>
      </c>
      <c r="AB10138">
        <v>33</v>
      </c>
      <c r="AC10138">
        <v>2.9496000000000002</v>
      </c>
      <c r="AD10138">
        <v>-1.1096571613190001</v>
      </c>
      <c r="AE10138">
        <v>29.63833</v>
      </c>
      <c r="AF10138">
        <v>2.9469146517031599</v>
      </c>
      <c r="AG10138">
        <v>-1.1096571613190001</v>
      </c>
      <c r="AH10138">
        <v>29.597109304503299</v>
      </c>
      <c r="AI10138">
        <v>92.136577498073805</v>
      </c>
      <c r="AJ10138">
        <v>84.313934415274701</v>
      </c>
      <c r="AK10138">
        <v>29.7641483023252</v>
      </c>
      <c r="AL10138">
        <v>88.870624265734307</v>
      </c>
      <c r="AM10138">
        <v>87.300003611058301</v>
      </c>
      <c r="AN10138">
        <v>1.0000000683817101</v>
      </c>
    </row>
    <row r="10139" spans="1:40" x14ac:dyDescent="0.25">
      <c r="A10139" t="str">
        <f>"20190312154151606"</f>
        <v>20190312154151606</v>
      </c>
      <c r="B10139" t="str">
        <f>"1552376511595961"</f>
        <v>1552376511595961</v>
      </c>
      <c r="C10139" t="s">
        <v>40</v>
      </c>
      <c r="D10139">
        <v>4.1923190000000004</v>
      </c>
      <c r="E10139">
        <v>0.51998250000000001</v>
      </c>
      <c r="F10139" t="s">
        <v>55</v>
      </c>
      <c r="G10139">
        <v>-185.286</v>
      </c>
      <c r="H10139" s="1">
        <v>-2.8859569999999999E-6</v>
      </c>
      <c r="I10139">
        <v>123.69410000000001</v>
      </c>
      <c r="J10139">
        <v>-188.17599999999999</v>
      </c>
      <c r="K10139">
        <v>1.109648</v>
      </c>
      <c r="L10139">
        <v>94.737949999999998</v>
      </c>
      <c r="M10139">
        <v>2.032546E-4</v>
      </c>
      <c r="N10139">
        <v>0</v>
      </c>
      <c r="O10139">
        <v>0.99989490000000003</v>
      </c>
      <c r="P10139">
        <v>4.7121919999999998E-2</v>
      </c>
      <c r="Q10139">
        <v>5.169847E-3</v>
      </c>
      <c r="R10139">
        <v>0.99887570000000003</v>
      </c>
      <c r="S10139">
        <v>0.29644779999999998</v>
      </c>
      <c r="T10139">
        <v>-0.113815899999999</v>
      </c>
      <c r="U10139">
        <v>2.9899900000000001</v>
      </c>
      <c r="V10139">
        <v>4.6937069999999997E-2</v>
      </c>
      <c r="W10139">
        <v>1.9610410000000002E-2</v>
      </c>
      <c r="X10139">
        <v>0.99870530000000002</v>
      </c>
      <c r="Y10139">
        <v>9.8389980000000002E-2</v>
      </c>
      <c r="Z10139">
        <v>-3.7853150000000002E-2</v>
      </c>
      <c r="AA10139">
        <v>0.99442770000000003</v>
      </c>
      <c r="AB10139">
        <v>33</v>
      </c>
      <c r="AC10139">
        <v>2.8900000000000099</v>
      </c>
      <c r="AD10139">
        <v>-1.109650885957</v>
      </c>
      <c r="AE10139">
        <v>28.956150000000001</v>
      </c>
      <c r="AF10139">
        <v>2.8799262264966199</v>
      </c>
      <c r="AG10139">
        <v>-1.109650885957</v>
      </c>
      <c r="AH10139">
        <v>28.914692778793299</v>
      </c>
      <c r="AI10139">
        <v>92.1869350331622</v>
      </c>
      <c r="AJ10139">
        <v>84.312054371912396</v>
      </c>
      <c r="AK10139">
        <v>29.078940122548701</v>
      </c>
      <c r="AL10139">
        <v>88.876334205948694</v>
      </c>
      <c r="AM10139">
        <v>87.309197627354905</v>
      </c>
      <c r="AN10139">
        <v>0.99999996648431999</v>
      </c>
    </row>
    <row r="10140" spans="1:40" x14ac:dyDescent="0.25">
      <c r="A10140" t="str">
        <f>"20190312154151619"</f>
        <v>20190312154151619</v>
      </c>
      <c r="B10140" t="str">
        <f>"1552376511605721"</f>
        <v>1552376511605721</v>
      </c>
      <c r="C10140" t="s">
        <v>40</v>
      </c>
      <c r="D10140">
        <v>4.212593</v>
      </c>
      <c r="E10140">
        <v>0.5198952</v>
      </c>
      <c r="F10140" t="s">
        <v>55</v>
      </c>
      <c r="G10140">
        <v>-185.3091</v>
      </c>
      <c r="H10140" s="1">
        <v>-2.8502310000000001E-6</v>
      </c>
      <c r="I10140">
        <v>123.6348</v>
      </c>
      <c r="J10140">
        <v>-188.17570000000001</v>
      </c>
      <c r="K10140">
        <v>1.10965</v>
      </c>
      <c r="L10140">
        <v>94.928799999999995</v>
      </c>
      <c r="M10140">
        <v>4.5282379999999999E-4</v>
      </c>
      <c r="N10140">
        <v>0</v>
      </c>
      <c r="O10140">
        <v>0.99989479999999997</v>
      </c>
      <c r="P10140">
        <v>4.7361489999999999E-2</v>
      </c>
      <c r="Q10140">
        <v>5.0948699999999996E-3</v>
      </c>
      <c r="R10140">
        <v>0.9988648</v>
      </c>
      <c r="S10140">
        <v>0.29663089999999998</v>
      </c>
      <c r="T10140">
        <v>-0.1148155</v>
      </c>
      <c r="U10140">
        <v>2.98996</v>
      </c>
      <c r="V10140">
        <v>4.6927570000000002E-2</v>
      </c>
      <c r="W10140">
        <v>1.9532689999999998E-2</v>
      </c>
      <c r="X10140">
        <v>0.99870729999999996</v>
      </c>
      <c r="Y10140">
        <v>9.8201659999999996E-2</v>
      </c>
      <c r="Z10140">
        <v>-3.8185749999999997E-2</v>
      </c>
      <c r="AA10140">
        <v>0.99443360000000003</v>
      </c>
      <c r="AB10140">
        <v>33</v>
      </c>
      <c r="AC10140">
        <v>2.8666</v>
      </c>
      <c r="AD10140">
        <v>-1.1096528502309999</v>
      </c>
      <c r="AE10140">
        <v>28.706</v>
      </c>
      <c r="AF10140">
        <v>2.8493838722788598</v>
      </c>
      <c r="AG10140">
        <v>-1.1096528502309999</v>
      </c>
      <c r="AH10140">
        <v>28.6648851168768</v>
      </c>
      <c r="AI10140">
        <v>92.206021689715598</v>
      </c>
      <c r="AJ10140">
        <v>84.323259349858006</v>
      </c>
      <c r="AK10140">
        <v>28.827520820621601</v>
      </c>
      <c r="AL10140">
        <v>88.880788121273895</v>
      </c>
      <c r="AM10140">
        <v>87.309746821521699</v>
      </c>
      <c r="AN10140">
        <v>0.99999999693901498</v>
      </c>
    </row>
    <row r="10141" spans="1:40" x14ac:dyDescent="0.25">
      <c r="A10141" t="str">
        <f>"20190312154151638"</f>
        <v>20190312154151638</v>
      </c>
      <c r="B10141" t="str">
        <f>"1552376511626217"</f>
        <v>1552376511626217</v>
      </c>
      <c r="C10141" t="s">
        <v>40</v>
      </c>
      <c r="D10141">
        <v>4.1984000000000004</v>
      </c>
      <c r="E10141">
        <v>0.52000479999999905</v>
      </c>
      <c r="F10141" t="s">
        <v>55</v>
      </c>
      <c r="G10141">
        <v>-185.31540000000001</v>
      </c>
      <c r="H10141" s="1">
        <v>-2.9209100000000001E-6</v>
      </c>
      <c r="I10141">
        <v>123.7654</v>
      </c>
      <c r="J10141">
        <v>-188.17519999999999</v>
      </c>
      <c r="K10141">
        <v>1.109634</v>
      </c>
      <c r="L10141">
        <v>95.213200000000001</v>
      </c>
      <c r="M10141">
        <v>8.3824840000000002E-4</v>
      </c>
      <c r="N10141">
        <v>0</v>
      </c>
      <c r="O10141">
        <v>0.99989459999999997</v>
      </c>
      <c r="P10141">
        <v>4.8055019999999997E-2</v>
      </c>
      <c r="Q10141">
        <v>4.9959990000000001E-3</v>
      </c>
      <c r="R10141">
        <v>0.99883219999999995</v>
      </c>
      <c r="S10141">
        <v>0.29656979999999999</v>
      </c>
      <c r="T10141">
        <v>-0.1150559</v>
      </c>
      <c r="U10141">
        <v>2.98996</v>
      </c>
      <c r="V10141">
        <v>4.7236559999999997E-2</v>
      </c>
      <c r="W10141">
        <v>1.942924E-2</v>
      </c>
      <c r="X10141">
        <v>0.99869479999999999</v>
      </c>
      <c r="Y10141">
        <v>9.7797640000000005E-2</v>
      </c>
      <c r="Z10141">
        <v>-3.8266359999999999E-2</v>
      </c>
      <c r="AA10141">
        <v>0.99447039999999998</v>
      </c>
      <c r="AB10141">
        <v>33</v>
      </c>
      <c r="AC10141">
        <v>2.8597999999999701</v>
      </c>
      <c r="AD10141">
        <v>-1.1096369209100001</v>
      </c>
      <c r="AE10141">
        <v>28.552199999999999</v>
      </c>
      <c r="AF10141">
        <v>2.8316283242612501</v>
      </c>
      <c r="AG10141">
        <v>-1.1096369209100001</v>
      </c>
      <c r="AH10141">
        <v>28.5119516419607</v>
      </c>
      <c r="AI10141">
        <v>92.217830363288797</v>
      </c>
      <c r="AJ10141">
        <v>84.328340452263106</v>
      </c>
      <c r="AK10141">
        <v>28.673695253603299</v>
      </c>
      <c r="AL10141">
        <v>88.886716549080106</v>
      </c>
      <c r="AM10141">
        <v>87.292025550008006</v>
      </c>
      <c r="AN10141">
        <v>1.0000000457573199</v>
      </c>
    </row>
    <row r="10142" spans="1:40" x14ac:dyDescent="0.25">
      <c r="A10142" t="str">
        <f>"20190312154151661"</f>
        <v>20190312154151661</v>
      </c>
      <c r="B10142" t="str">
        <f>"1552376511656473"</f>
        <v>1552376511656473</v>
      </c>
      <c r="C10142" t="s">
        <v>40</v>
      </c>
      <c r="D10142">
        <v>4.2094870000000002</v>
      </c>
      <c r="E10142">
        <v>0.52016240000000002</v>
      </c>
      <c r="F10142" t="s">
        <v>55</v>
      </c>
      <c r="G10142">
        <v>-185.3409</v>
      </c>
      <c r="H10142" s="1">
        <v>-2.7727909999999999E-6</v>
      </c>
      <c r="I10142">
        <v>123.5016</v>
      </c>
      <c r="J10142">
        <v>-188.17439999999999</v>
      </c>
      <c r="K10142">
        <v>1.1096220000000001</v>
      </c>
      <c r="L10142">
        <v>95.537689999999998</v>
      </c>
      <c r="M10142">
        <v>1.2966640000000001E-3</v>
      </c>
      <c r="N10142">
        <v>0</v>
      </c>
      <c r="O10142">
        <v>0.99989410000000001</v>
      </c>
      <c r="P10142">
        <v>4.8478430000000003E-2</v>
      </c>
      <c r="Q10142">
        <v>4.6873710000000001E-3</v>
      </c>
      <c r="R10142">
        <v>0.99881319999999996</v>
      </c>
      <c r="S10142">
        <v>0.29954530000000001</v>
      </c>
      <c r="T10142">
        <v>-0.1172729</v>
      </c>
      <c r="U10142">
        <v>2.9896850000000001</v>
      </c>
      <c r="V10142">
        <v>4.7202460000000002E-2</v>
      </c>
      <c r="W10142">
        <v>1.911506E-2</v>
      </c>
      <c r="X10142">
        <v>0.99870239999999999</v>
      </c>
      <c r="Y10142">
        <v>9.8327499999999998E-2</v>
      </c>
      <c r="Z10142">
        <v>-3.9003169999999997E-2</v>
      </c>
      <c r="AA10142">
        <v>0.99438950000000004</v>
      </c>
      <c r="AB10142">
        <v>33</v>
      </c>
      <c r="AC10142">
        <v>2.8334999999999799</v>
      </c>
      <c r="AD10142">
        <v>-1.10962477279099</v>
      </c>
      <c r="AE10142">
        <v>27.963909999999998</v>
      </c>
      <c r="AF10142">
        <v>2.79288117212139</v>
      </c>
      <c r="AG10142">
        <v>-1.10962477279099</v>
      </c>
      <c r="AH10142">
        <v>27.924040005905901</v>
      </c>
      <c r="AI10142">
        <v>92.264294592922397</v>
      </c>
      <c r="AJ10142">
        <v>84.288437476380494</v>
      </c>
      <c r="AK10142">
        <v>28.085289078615801</v>
      </c>
      <c r="AL10142">
        <v>88.904720998075604</v>
      </c>
      <c r="AM10142">
        <v>87.293998087717895</v>
      </c>
      <c r="AN10142">
        <v>0.99999997075730696</v>
      </c>
    </row>
    <row r="10143" spans="1:40" x14ac:dyDescent="0.25">
      <c r="A10143" t="str">
        <f>"20190312154151683"</f>
        <v>20190312154151683</v>
      </c>
      <c r="B10143" t="str">
        <f>"1552376511675993"</f>
        <v>1552376511675993</v>
      </c>
      <c r="C10143" t="s">
        <v>40</v>
      </c>
      <c r="D10143">
        <v>4.2146140000000001</v>
      </c>
      <c r="E10143">
        <v>0.5202388</v>
      </c>
      <c r="F10143" t="s">
        <v>55</v>
      </c>
      <c r="G10143">
        <v>-185.3904</v>
      </c>
      <c r="H10143" s="1">
        <v>-2.5422579999999999E-6</v>
      </c>
      <c r="I10143">
        <v>123.0937</v>
      </c>
      <c r="J10143">
        <v>-188.17349999999999</v>
      </c>
      <c r="K10143">
        <v>1.1096060000000001</v>
      </c>
      <c r="L10143">
        <v>95.867429999999999</v>
      </c>
      <c r="M10143">
        <v>1.7821650000000001E-3</v>
      </c>
      <c r="N10143">
        <v>0</v>
      </c>
      <c r="O10143">
        <v>0.99989340000000004</v>
      </c>
      <c r="P10143">
        <v>4.8854340000000003E-2</v>
      </c>
      <c r="Q10143">
        <v>4.6159560000000001E-3</v>
      </c>
      <c r="R10143">
        <v>0.99879530000000005</v>
      </c>
      <c r="S10143">
        <v>0.30203249999999998</v>
      </c>
      <c r="T10143">
        <v>-0.12038</v>
      </c>
      <c r="U10143">
        <v>2.989471</v>
      </c>
      <c r="V10143">
        <v>4.709402E-2</v>
      </c>
      <c r="W10143">
        <v>1.9038780000000002E-2</v>
      </c>
      <c r="X10143">
        <v>0.99870899999999996</v>
      </c>
      <c r="Y10143">
        <v>9.866627E-2</v>
      </c>
      <c r="Z10143">
        <v>-4.0035399999999999E-2</v>
      </c>
      <c r="AA10143">
        <v>0.9943149</v>
      </c>
      <c r="AB10143">
        <v>33</v>
      </c>
      <c r="AC10143">
        <v>2.7830999999999899</v>
      </c>
      <c r="AD10143">
        <v>-1.10960854225799</v>
      </c>
      <c r="AE10143">
        <v>27.22627</v>
      </c>
      <c r="AF10143">
        <v>2.7300810723133599</v>
      </c>
      <c r="AG10143">
        <v>-1.10960854225799</v>
      </c>
      <c r="AH10143">
        <v>27.186498068676201</v>
      </c>
      <c r="AI10143">
        <v>92.325529074319107</v>
      </c>
      <c r="AJ10143">
        <v>84.265554895807796</v>
      </c>
      <c r="AK10143">
        <v>27.3457538023107</v>
      </c>
      <c r="AL10143">
        <v>88.909092341418301</v>
      </c>
      <c r="AM10143">
        <v>87.300223295342505</v>
      </c>
      <c r="AN10143">
        <v>0.999999994272324</v>
      </c>
    </row>
    <row r="10144" spans="1:40" x14ac:dyDescent="0.25">
      <c r="A10144" t="str">
        <f>"20190312154151705"</f>
        <v>20190312154151705</v>
      </c>
      <c r="B10144" t="str">
        <f>"1552376511696489"</f>
        <v>1552376511696489</v>
      </c>
      <c r="C10144" t="s">
        <v>40</v>
      </c>
      <c r="D10144">
        <v>4.2255729999999998</v>
      </c>
      <c r="E10144">
        <v>0.52026159999999999</v>
      </c>
      <c r="F10144" t="s">
        <v>55</v>
      </c>
      <c r="G10144">
        <v>-185.39850000000001</v>
      </c>
      <c r="H10144" s="1">
        <v>-2.5913009999999999E-6</v>
      </c>
      <c r="I10144">
        <v>123.18519999999999</v>
      </c>
      <c r="J10144">
        <v>-188.17240000000001</v>
      </c>
      <c r="K10144">
        <v>1.1095900000000001</v>
      </c>
      <c r="L10144">
        <v>96.185239999999993</v>
      </c>
      <c r="M10144">
        <v>2.2693560000000002E-3</v>
      </c>
      <c r="N10144">
        <v>0</v>
      </c>
      <c r="O10144">
        <v>0.99989249999999996</v>
      </c>
      <c r="P10144">
        <v>4.9084969999999999E-2</v>
      </c>
      <c r="Q10144">
        <v>4.7066850000000004E-3</v>
      </c>
      <c r="R10144">
        <v>0.99878350000000005</v>
      </c>
      <c r="S10144">
        <v>0.30366520000000002</v>
      </c>
      <c r="T10144">
        <v>-0.1214219</v>
      </c>
      <c r="U10144">
        <v>2.9893190000000001</v>
      </c>
      <c r="V10144">
        <v>4.6838749999999998E-2</v>
      </c>
      <c r="W10144">
        <v>1.9125070000000001E-2</v>
      </c>
      <c r="X10144">
        <v>0.99871929999999998</v>
      </c>
      <c r="Y10144">
        <v>9.872264E-2</v>
      </c>
      <c r="Z10144">
        <v>-4.0382090000000002E-2</v>
      </c>
      <c r="AA10144">
        <v>0.99429529999999999</v>
      </c>
      <c r="AB10144">
        <v>33</v>
      </c>
      <c r="AC10144">
        <v>2.77389999999999</v>
      </c>
      <c r="AD10144">
        <v>-1.1095925913010001</v>
      </c>
      <c r="AE10144">
        <v>26.999959999999898</v>
      </c>
      <c r="AF10144">
        <v>2.70808801783775</v>
      </c>
      <c r="AG10144">
        <v>-1.1095925913010001</v>
      </c>
      <c r="AH10144">
        <v>26.9611273546912</v>
      </c>
      <c r="AI10144">
        <v>92.344907600449204</v>
      </c>
      <c r="AJ10144">
        <v>84.264210964198099</v>
      </c>
      <c r="AK10144">
        <v>27.119500818910801</v>
      </c>
      <c r="AL10144">
        <v>88.904147327086903</v>
      </c>
      <c r="AM10144">
        <v>87.314863431257606</v>
      </c>
      <c r="AN10144">
        <v>0.99999993849827595</v>
      </c>
    </row>
    <row r="10145" spans="1:40" x14ac:dyDescent="0.25">
      <c r="A10145" t="str">
        <f>"20190312154151727"</f>
        <v>20190312154151727</v>
      </c>
      <c r="B10145" t="str">
        <f>"1552376511716012"</f>
        <v>1552376511716012</v>
      </c>
      <c r="C10145" t="s">
        <v>40</v>
      </c>
      <c r="D10145">
        <v>4.2250579999999998</v>
      </c>
      <c r="E10145">
        <v>0.52039970000000002</v>
      </c>
      <c r="F10145" t="s">
        <v>55</v>
      </c>
      <c r="G10145">
        <v>-185.4205</v>
      </c>
      <c r="H10145" s="1">
        <v>-2.5924540000000002E-6</v>
      </c>
      <c r="I10145">
        <v>123.19289999999999</v>
      </c>
      <c r="J10145">
        <v>-188.1711</v>
      </c>
      <c r="K10145">
        <v>1.1095710000000001</v>
      </c>
      <c r="L10145">
        <v>96.507170000000002</v>
      </c>
      <c r="M10145">
        <v>2.7825599999999999E-3</v>
      </c>
      <c r="N10145">
        <v>0</v>
      </c>
      <c r="O10145">
        <v>0.99989130000000004</v>
      </c>
      <c r="P10145">
        <v>4.9873529999999999E-2</v>
      </c>
      <c r="Q10145">
        <v>4.6840110000000001E-3</v>
      </c>
      <c r="R10145">
        <v>0.99874450000000004</v>
      </c>
      <c r="S10145">
        <v>0.30458069999999998</v>
      </c>
      <c r="T10145">
        <v>-0.1228117</v>
      </c>
      <c r="U10145">
        <v>2.989258</v>
      </c>
      <c r="V10145">
        <v>4.7115339999999999E-2</v>
      </c>
      <c r="W10145">
        <v>1.9096950000000001E-2</v>
      </c>
      <c r="X10145">
        <v>0.99870689999999995</v>
      </c>
      <c r="Y10145">
        <v>9.8513429999999999E-2</v>
      </c>
      <c r="Z10145">
        <v>-4.0844100000000001E-2</v>
      </c>
      <c r="AA10145">
        <v>0.99429710000000004</v>
      </c>
      <c r="AB10145">
        <v>33</v>
      </c>
      <c r="AC10145">
        <v>2.7505999999999902</v>
      </c>
      <c r="AD10145">
        <v>-1.10957359245399</v>
      </c>
      <c r="AE10145">
        <v>26.6857299999999</v>
      </c>
      <c r="AF10145">
        <v>2.6717564458993399</v>
      </c>
      <c r="AG10145">
        <v>-1.10957359245399</v>
      </c>
      <c r="AH10145">
        <v>26.647695965260599</v>
      </c>
      <c r="AI10145">
        <v>92.372459444290797</v>
      </c>
      <c r="AJ10145">
        <v>84.274533413427505</v>
      </c>
      <c r="AK10145">
        <v>26.804274590449999</v>
      </c>
      <c r="AL10145">
        <v>88.905758857534494</v>
      </c>
      <c r="AM10145">
        <v>87.298997214154994</v>
      </c>
      <c r="AN10145">
        <v>1.0000000104351101</v>
      </c>
    </row>
    <row r="10146" spans="1:40" x14ac:dyDescent="0.25">
      <c r="A10146" t="str">
        <f>"20190312154151749"</f>
        <v>20190312154151749</v>
      </c>
      <c r="B10146" t="str">
        <f>"1552376511736505"</f>
        <v>1552376511736505</v>
      </c>
      <c r="C10146" t="s">
        <v>40</v>
      </c>
      <c r="D10146">
        <v>4.25617</v>
      </c>
      <c r="E10146">
        <v>0.52042679999999997</v>
      </c>
      <c r="F10146" t="s">
        <v>55</v>
      </c>
      <c r="G10146">
        <v>-185.43279999999999</v>
      </c>
      <c r="H10146" s="1">
        <v>-2.537596E-6</v>
      </c>
      <c r="I10146">
        <v>123.096</v>
      </c>
      <c r="J10146">
        <v>-188.16970000000001</v>
      </c>
      <c r="K10146">
        <v>1.109553</v>
      </c>
      <c r="L10146">
        <v>96.822509999999994</v>
      </c>
      <c r="M10146">
        <v>3.3015929999999998E-3</v>
      </c>
      <c r="N10146">
        <v>0</v>
      </c>
      <c r="O10146">
        <v>0.99988969999999999</v>
      </c>
      <c r="P10146">
        <v>5.0749330000000002E-2</v>
      </c>
      <c r="Q10146">
        <v>4.17017E-3</v>
      </c>
      <c r="R10146">
        <v>0.99870270000000005</v>
      </c>
      <c r="S10146">
        <v>0.30783080000000002</v>
      </c>
      <c r="T10146">
        <v>-0.12473289999999999</v>
      </c>
      <c r="U10146">
        <v>2.9889830000000002</v>
      </c>
      <c r="V10146">
        <v>4.7472790000000001E-2</v>
      </c>
      <c r="W10146">
        <v>1.8577759999999999E-2</v>
      </c>
      <c r="X10146">
        <v>0.99869980000000003</v>
      </c>
      <c r="Y10146">
        <v>9.9073300000000003E-2</v>
      </c>
      <c r="Z10146">
        <v>-4.148218E-2</v>
      </c>
      <c r="AA10146">
        <v>0.99421510000000002</v>
      </c>
      <c r="AB10146">
        <v>33</v>
      </c>
      <c r="AC10146">
        <v>2.7369000000000199</v>
      </c>
      <c r="AD10146">
        <v>-1.109555537596</v>
      </c>
      <c r="AE10146">
        <v>26.273489999999999</v>
      </c>
      <c r="AF10146">
        <v>2.6454641902703901</v>
      </c>
      <c r="AG10146">
        <v>-1.109555537596</v>
      </c>
      <c r="AH10146">
        <v>26.236095203636602</v>
      </c>
      <c r="AI10146">
        <v>92.409459950669103</v>
      </c>
      <c r="AJ10146">
        <v>84.242155928645005</v>
      </c>
      <c r="AK10146">
        <v>26.392466459338301</v>
      </c>
      <c r="AL10146">
        <v>88.935511569120095</v>
      </c>
      <c r="AM10146">
        <v>87.278516886372401</v>
      </c>
      <c r="AN10146">
        <v>1.00000004473851</v>
      </c>
    </row>
    <row r="10147" spans="1:40" x14ac:dyDescent="0.25">
      <c r="A10147" t="str">
        <f>"20190312154151761"</f>
        <v>20190312154151761</v>
      </c>
      <c r="B10147" t="str">
        <f>"1552376511756025"</f>
        <v>1552376511756025</v>
      </c>
      <c r="C10147" t="s">
        <v>40</v>
      </c>
      <c r="D10147">
        <v>4.283874</v>
      </c>
      <c r="E10147">
        <v>0.52049389999999995</v>
      </c>
      <c r="F10147" t="s">
        <v>55</v>
      </c>
      <c r="G10147">
        <v>-185.47730000000001</v>
      </c>
      <c r="H10147" s="1">
        <v>-2.323543E-6</v>
      </c>
      <c r="I10147">
        <v>122.71680000000001</v>
      </c>
      <c r="J10147">
        <v>-188.1688</v>
      </c>
      <c r="K10147">
        <v>1.109548</v>
      </c>
      <c r="L10147">
        <v>97.009519999999995</v>
      </c>
      <c r="M10147">
        <v>3.6150850000000001E-3</v>
      </c>
      <c r="N10147">
        <v>0</v>
      </c>
      <c r="O10147">
        <v>0.99988869999999996</v>
      </c>
      <c r="P10147">
        <v>5.1342069999999997E-2</v>
      </c>
      <c r="Q10147">
        <v>3.9516580000000003E-3</v>
      </c>
      <c r="R10147">
        <v>0.99867329999999999</v>
      </c>
      <c r="S10147">
        <v>0.3107452</v>
      </c>
      <c r="T10147">
        <v>-0.12806049999999999</v>
      </c>
      <c r="U10147">
        <v>2.9886170000000001</v>
      </c>
      <c r="V10147">
        <v>4.7752509999999998E-2</v>
      </c>
      <c r="W10147">
        <v>1.83556E-2</v>
      </c>
      <c r="X10147">
        <v>0.99869050000000004</v>
      </c>
      <c r="Y10147">
        <v>9.9728170000000005E-2</v>
      </c>
      <c r="Z10147">
        <v>-4.258841E-2</v>
      </c>
      <c r="AA10147">
        <v>0.99410290000000001</v>
      </c>
      <c r="AB10147">
        <v>33</v>
      </c>
      <c r="AC10147">
        <v>2.6914999999999898</v>
      </c>
      <c r="AD10147">
        <v>-1.109550323543</v>
      </c>
      <c r="AE10147">
        <v>25.707280000000001</v>
      </c>
      <c r="AF10147">
        <v>2.5937592324832202</v>
      </c>
      <c r="AG10147">
        <v>-1.109550323543</v>
      </c>
      <c r="AH10147">
        <v>25.6695425612773</v>
      </c>
      <c r="AI10147">
        <v>92.462510925922899</v>
      </c>
      <c r="AJ10147">
        <v>84.230175257105003</v>
      </c>
      <c r="AK10147">
        <v>25.8240992908134</v>
      </c>
      <c r="AL10147">
        <v>88.948242493932199</v>
      </c>
      <c r="AM10147">
        <v>87.262480184089796</v>
      </c>
      <c r="AN10147">
        <v>0.99999997252645401</v>
      </c>
    </row>
    <row r="10148" spans="1:40" x14ac:dyDescent="0.25">
      <c r="A10148" t="str">
        <f>"20190312154151784"</f>
        <v>20190312154151784</v>
      </c>
      <c r="B10148" t="str">
        <f>"1552376511776521"</f>
        <v>1552376511776521</v>
      </c>
      <c r="C10148" t="s">
        <v>40</v>
      </c>
      <c r="D10148">
        <v>4.2950569999999999</v>
      </c>
      <c r="E10148">
        <v>0.5206269</v>
      </c>
      <c r="F10148" t="s">
        <v>55</v>
      </c>
      <c r="G10148">
        <v>-185.5104</v>
      </c>
      <c r="H10148" s="1">
        <v>-2.1388190000000001E-6</v>
      </c>
      <c r="I10148">
        <v>122.3882</v>
      </c>
      <c r="J10148">
        <v>-188.1671</v>
      </c>
      <c r="K10148">
        <v>1.109542</v>
      </c>
      <c r="L10148">
        <v>97.327299999999994</v>
      </c>
      <c r="M10148">
        <v>4.1572149999999997E-3</v>
      </c>
      <c r="N10148">
        <v>0</v>
      </c>
      <c r="O10148">
        <v>0.99988659999999996</v>
      </c>
      <c r="P10148">
        <v>5.233728E-2</v>
      </c>
      <c r="Q10148">
        <v>3.5198030000000002E-3</v>
      </c>
      <c r="R10148">
        <v>0.99862329999999999</v>
      </c>
      <c r="S10148">
        <v>0.31303409999999998</v>
      </c>
      <c r="T10148">
        <v>-0.13065209999999999</v>
      </c>
      <c r="U10148">
        <v>2.9884029999999999</v>
      </c>
      <c r="V10148">
        <v>4.8206300000000001E-2</v>
      </c>
      <c r="W10148">
        <v>1.7918880000000002E-2</v>
      </c>
      <c r="X10148">
        <v>0.99867669999999997</v>
      </c>
      <c r="Y10148">
        <v>9.9945309999999996E-2</v>
      </c>
      <c r="Z10148">
        <v>-4.3449429999999997E-2</v>
      </c>
      <c r="AA10148">
        <v>0.99404380000000003</v>
      </c>
      <c r="AB10148">
        <v>33</v>
      </c>
      <c r="AC10148">
        <v>2.6566999999999998</v>
      </c>
      <c r="AD10148">
        <v>-1.1095441388189999</v>
      </c>
      <c r="AE10148">
        <v>25.0609</v>
      </c>
      <c r="AF10148">
        <v>2.5475444243229202</v>
      </c>
      <c r="AG10148">
        <v>-1.1095441388189999</v>
      </c>
      <c r="AH10148">
        <v>25.0232241180919</v>
      </c>
      <c r="AI10148">
        <v>92.525825849704304</v>
      </c>
      <c r="AJ10148">
        <v>84.186905482188394</v>
      </c>
      <c r="AK10148">
        <v>25.177029531978999</v>
      </c>
      <c r="AL10148">
        <v>88.973268896030604</v>
      </c>
      <c r="AM10148">
        <v>87.236467663783799</v>
      </c>
      <c r="AN10148">
        <v>1.0000000423715101</v>
      </c>
    </row>
    <row r="10149" spans="1:40" x14ac:dyDescent="0.25">
      <c r="A10149" t="str">
        <f>"20190312154151806"</f>
        <v>20190312154151806</v>
      </c>
      <c r="B10149" t="str">
        <f>"1552376511796041"</f>
        <v>1552376511796041</v>
      </c>
      <c r="C10149" t="s">
        <v>40</v>
      </c>
      <c r="D10149">
        <v>4.2961400000000003</v>
      </c>
      <c r="E10149">
        <v>0.52073749999999996</v>
      </c>
      <c r="F10149" t="s">
        <v>55</v>
      </c>
      <c r="G10149">
        <v>-185.52879999999999</v>
      </c>
      <c r="H10149" s="1">
        <v>-2.0320359999999999E-6</v>
      </c>
      <c r="I10149">
        <v>122.1981</v>
      </c>
      <c r="J10149">
        <v>-188.1651</v>
      </c>
      <c r="K10149">
        <v>1.109532</v>
      </c>
      <c r="L10149">
        <v>97.661900000000003</v>
      </c>
      <c r="M10149">
        <v>4.7363960000000004E-3</v>
      </c>
      <c r="N10149">
        <v>0</v>
      </c>
      <c r="O10149">
        <v>0.99988410000000005</v>
      </c>
      <c r="P10149">
        <v>5.3349210000000001E-2</v>
      </c>
      <c r="Q10149">
        <v>3.9302209999999898E-3</v>
      </c>
      <c r="R10149">
        <v>0.99856820000000002</v>
      </c>
      <c r="S10149">
        <v>0.3169708</v>
      </c>
      <c r="T10149">
        <v>-0.1333019</v>
      </c>
      <c r="U10149">
        <v>2.9880070000000001</v>
      </c>
      <c r="V10149">
        <v>4.8640759999999998E-2</v>
      </c>
      <c r="W10149">
        <v>1.832365E-2</v>
      </c>
      <c r="X10149">
        <v>0.99864819999999999</v>
      </c>
      <c r="Y10149">
        <v>0.10067379999999999</v>
      </c>
      <c r="Z10149">
        <v>-4.4329899999999998E-2</v>
      </c>
      <c r="AA10149">
        <v>0.99393140000000002</v>
      </c>
      <c r="AB10149">
        <v>33</v>
      </c>
      <c r="AC10149">
        <v>2.6362999999999999</v>
      </c>
      <c r="AD10149">
        <v>-1.1095340320360001</v>
      </c>
      <c r="AE10149">
        <v>24.536199999999901</v>
      </c>
      <c r="AF10149">
        <v>2.5149610104586801</v>
      </c>
      <c r="AG10149">
        <v>-1.1095340320360001</v>
      </c>
      <c r="AH10149">
        <v>24.498887190460501</v>
      </c>
      <c r="AI10149">
        <v>92.579567777140895</v>
      </c>
      <c r="AJ10149">
        <v>84.138768424837906</v>
      </c>
      <c r="AK10149">
        <v>24.6526178776876</v>
      </c>
      <c r="AL10149">
        <v>88.950073382114894</v>
      </c>
      <c r="AM10149">
        <v>87.211520968544207</v>
      </c>
      <c r="AN10149">
        <v>0.999999953522968</v>
      </c>
    </row>
    <row r="10150" spans="1:40" x14ac:dyDescent="0.25">
      <c r="A10150" t="str">
        <f>"20190312154151828"</f>
        <v>20190312154151828</v>
      </c>
      <c r="B10150" t="str">
        <f>"1552376511816537"</f>
        <v>1552376511816537</v>
      </c>
      <c r="C10150" t="s">
        <v>40</v>
      </c>
      <c r="D10150">
        <v>4.3150009999999996</v>
      </c>
      <c r="E10150">
        <v>0.52080839999999995</v>
      </c>
      <c r="F10150" t="s">
        <v>55</v>
      </c>
      <c r="G10150">
        <v>-185.4982</v>
      </c>
      <c r="H10150" s="1">
        <v>-2.2033780000000002E-6</v>
      </c>
      <c r="I10150">
        <v>122.5029</v>
      </c>
      <c r="J10150">
        <v>-188.16309999999999</v>
      </c>
      <c r="K10150">
        <v>1.1095330000000001</v>
      </c>
      <c r="L10150">
        <v>97.968350000000001</v>
      </c>
      <c r="M10150">
        <v>5.271413E-3</v>
      </c>
      <c r="N10150">
        <v>0</v>
      </c>
      <c r="O10150">
        <v>0.99988140000000003</v>
      </c>
      <c r="P10150">
        <v>5.4017990000000002E-2</v>
      </c>
      <c r="Q10150">
        <v>4.3195869999999997E-3</v>
      </c>
      <c r="R10150">
        <v>0.99853060000000005</v>
      </c>
      <c r="S10150">
        <v>0.32075500000000001</v>
      </c>
      <c r="T10150">
        <v>-0.13344690000000001</v>
      </c>
      <c r="U10150">
        <v>2.9877009999999999</v>
      </c>
      <c r="V10150">
        <v>4.8775979999999997E-2</v>
      </c>
      <c r="W10150">
        <v>1.8708869999999999E-2</v>
      </c>
      <c r="X10150">
        <v>0.99863449999999998</v>
      </c>
      <c r="Y10150">
        <v>0.1013966</v>
      </c>
      <c r="Z10150">
        <v>-4.4377769999999997E-2</v>
      </c>
      <c r="AA10150">
        <v>0.99385579999999996</v>
      </c>
      <c r="AB10150">
        <v>33</v>
      </c>
      <c r="AC10150">
        <v>2.6648999999999798</v>
      </c>
      <c r="AD10150">
        <v>-1.1095352033779999</v>
      </c>
      <c r="AE10150">
        <v>24.534549999999999</v>
      </c>
      <c r="AF10150">
        <v>2.5304029570826199</v>
      </c>
      <c r="AG10150">
        <v>-1.1095352033779999</v>
      </c>
      <c r="AH10150">
        <v>24.498738842719401</v>
      </c>
      <c r="AI10150">
        <v>92.5794204912049</v>
      </c>
      <c r="AJ10150">
        <v>84.102997647439693</v>
      </c>
      <c r="AK10150">
        <v>24.654050628173</v>
      </c>
      <c r="AL10150">
        <v>88.927998156689299</v>
      </c>
      <c r="AM10150">
        <v>87.203743058273204</v>
      </c>
      <c r="AN10150">
        <v>0.99999999131594297</v>
      </c>
    </row>
    <row r="10151" spans="1:40" x14ac:dyDescent="0.25">
      <c r="A10151" t="str">
        <f>"20190312154151850"</f>
        <v>20190312154151850</v>
      </c>
      <c r="B10151" t="str">
        <f>"1552376511845818"</f>
        <v>1552376511845818</v>
      </c>
      <c r="C10151" t="s">
        <v>40</v>
      </c>
      <c r="D10151">
        <v>4.3852039999999999</v>
      </c>
      <c r="E10151">
        <v>0.5208429</v>
      </c>
      <c r="F10151" t="s">
        <v>55</v>
      </c>
      <c r="G10151">
        <v>-185.47489999999999</v>
      </c>
      <c r="H10151" s="1">
        <v>-2.3669970000000001E-6</v>
      </c>
      <c r="I10151">
        <v>122.7955</v>
      </c>
      <c r="J10151">
        <v>-188.16079999999999</v>
      </c>
      <c r="K10151">
        <v>1.109532</v>
      </c>
      <c r="L10151">
        <v>98.289919999999995</v>
      </c>
      <c r="M10151">
        <v>5.8355840000000004E-3</v>
      </c>
      <c r="N10151">
        <v>0</v>
      </c>
      <c r="O10151">
        <v>0.9998783</v>
      </c>
      <c r="P10151">
        <v>5.4039320000000002E-2</v>
      </c>
      <c r="Q10151">
        <v>4.0652179999999998E-3</v>
      </c>
      <c r="R10151">
        <v>0.99853049999999999</v>
      </c>
      <c r="S10151">
        <v>0.32347110000000001</v>
      </c>
      <c r="T10151">
        <v>-0.133512299999999</v>
      </c>
      <c r="U10151">
        <v>2.9874879999999999</v>
      </c>
      <c r="V10151">
        <v>4.8233570000000003E-2</v>
      </c>
      <c r="W10151">
        <v>1.84519E-2</v>
      </c>
      <c r="X10151">
        <v>0.99866560000000004</v>
      </c>
      <c r="Y10151">
        <v>0.1017359</v>
      </c>
      <c r="Z10151">
        <v>-4.4399460000000002E-2</v>
      </c>
      <c r="AA10151">
        <v>0.99382009999999998</v>
      </c>
      <c r="AB10151">
        <v>32</v>
      </c>
      <c r="AC10151">
        <v>2.6859000000000002</v>
      </c>
      <c r="AD10151">
        <v>-1.1095343669969999</v>
      </c>
      <c r="AE10151">
        <v>24.505579999999998</v>
      </c>
      <c r="AF10151">
        <v>2.5376944232798699</v>
      </c>
      <c r="AG10151">
        <v>-1.1095343669969999</v>
      </c>
      <c r="AH10151">
        <v>24.471267742615598</v>
      </c>
      <c r="AI10151">
        <v>92.582200954951503</v>
      </c>
      <c r="AJ10151">
        <v>84.079533736645701</v>
      </c>
      <c r="AK10151">
        <v>24.627503008390299</v>
      </c>
      <c r="AL10151">
        <v>88.942723967888796</v>
      </c>
      <c r="AM10151">
        <v>87.2348760906319</v>
      </c>
      <c r="AN10151">
        <v>0.99999996525595602</v>
      </c>
    </row>
    <row r="10152" spans="1:40" x14ac:dyDescent="0.25">
      <c r="A10152" t="str">
        <f>"20190312154151873"</f>
        <v>20190312154151873</v>
      </c>
      <c r="B10152" t="str">
        <f>"1552376511866312"</f>
        <v>1552376511866312</v>
      </c>
      <c r="C10152" t="s">
        <v>40</v>
      </c>
      <c r="D10152">
        <v>4.4138699999999904</v>
      </c>
      <c r="E10152">
        <v>0.52080150000000003</v>
      </c>
      <c r="F10152" t="s">
        <v>55</v>
      </c>
      <c r="G10152">
        <v>-185.5582</v>
      </c>
      <c r="H10152" s="1">
        <v>-2.0897990000000001E-6</v>
      </c>
      <c r="I10152">
        <v>122.31100000000001</v>
      </c>
      <c r="J10152">
        <v>-188.15819999999999</v>
      </c>
      <c r="K10152">
        <v>1.1095269999999999</v>
      </c>
      <c r="L10152">
        <v>98.625640000000004</v>
      </c>
      <c r="M10152">
        <v>6.4256890000000001E-3</v>
      </c>
      <c r="N10152">
        <v>0</v>
      </c>
      <c r="O10152">
        <v>0.99987479999999995</v>
      </c>
      <c r="P10152">
        <v>5.3997009999999998E-2</v>
      </c>
      <c r="Q10152">
        <v>4.3545060000000002E-3</v>
      </c>
      <c r="R10152">
        <v>0.99853159999999996</v>
      </c>
      <c r="S10152">
        <v>0.32368469999999999</v>
      </c>
      <c r="T10152">
        <v>-0.1379909</v>
      </c>
      <c r="U10152">
        <v>2.987457</v>
      </c>
      <c r="V10152">
        <v>4.7602180000000001E-2</v>
      </c>
      <c r="W10152">
        <v>1.873843E-2</v>
      </c>
      <c r="X10152">
        <v>0.99869059999999998</v>
      </c>
      <c r="Y10152">
        <v>0.10121280000000001</v>
      </c>
      <c r="Z10152">
        <v>-4.5886999999999997E-2</v>
      </c>
      <c r="AA10152">
        <v>0.99380599999999997</v>
      </c>
      <c r="AB10152">
        <v>32</v>
      </c>
      <c r="AC10152">
        <v>2.5999999999999899</v>
      </c>
      <c r="AD10152">
        <v>-1.109529089799</v>
      </c>
      <c r="AE10152">
        <v>23.685359999999999</v>
      </c>
      <c r="AF10152">
        <v>2.4424397464277199</v>
      </c>
      <c r="AG10152">
        <v>-1.109529089799</v>
      </c>
      <c r="AH10152">
        <v>23.6502989735868</v>
      </c>
      <c r="AI10152">
        <v>92.671812942461003</v>
      </c>
      <c r="AJ10152">
        <v>84.103789496323898</v>
      </c>
      <c r="AK10152">
        <v>23.801958076092902</v>
      </c>
      <c r="AL10152">
        <v>88.926304211614706</v>
      </c>
      <c r="AM10152">
        <v>87.271085413808606</v>
      </c>
      <c r="AN10152">
        <v>1.0000000054139799</v>
      </c>
    </row>
    <row r="10153" spans="1:40" x14ac:dyDescent="0.25">
      <c r="A10153" t="str">
        <f>"20190312154151895"</f>
        <v>20190312154151895</v>
      </c>
      <c r="B10153" t="str">
        <f>"1552376511885833"</f>
        <v>1552376511885833</v>
      </c>
      <c r="C10153" t="s">
        <v>40</v>
      </c>
      <c r="D10153">
        <v>4.4381870000000001</v>
      </c>
      <c r="E10153">
        <v>0.52085099999999995</v>
      </c>
      <c r="F10153" t="s">
        <v>55</v>
      </c>
      <c r="G10153">
        <v>-185.6164</v>
      </c>
      <c r="H10153" s="1">
        <v>-1.9876799999999999E-6</v>
      </c>
      <c r="I10153">
        <v>122.1395</v>
      </c>
      <c r="J10153">
        <v>-188.15559999999999</v>
      </c>
      <c r="K10153">
        <v>1.1095299999999999</v>
      </c>
      <c r="L10153">
        <v>98.944400000000002</v>
      </c>
      <c r="M10153">
        <v>6.986384E-3</v>
      </c>
      <c r="N10153">
        <v>0</v>
      </c>
      <c r="O10153">
        <v>0.99987110000000001</v>
      </c>
      <c r="P10153">
        <v>5.4190380000000003E-2</v>
      </c>
      <c r="Q10153">
        <v>4.1249199999999998E-3</v>
      </c>
      <c r="R10153">
        <v>0.99852209999999997</v>
      </c>
      <c r="S10153">
        <v>0.32295230000000003</v>
      </c>
      <c r="T10153">
        <v>-0.1409726</v>
      </c>
      <c r="U10153">
        <v>2.9875790000000002</v>
      </c>
      <c r="V10153">
        <v>4.7235249999999999E-2</v>
      </c>
      <c r="W10153">
        <v>1.8506249999999998E-2</v>
      </c>
      <c r="X10153">
        <v>0.99871239999999994</v>
      </c>
      <c r="Y10153">
        <v>0.1004048</v>
      </c>
      <c r="Z10153">
        <v>-4.687674E-2</v>
      </c>
      <c r="AA10153">
        <v>0.9938418</v>
      </c>
      <c r="AB10153">
        <v>32</v>
      </c>
      <c r="AC10153">
        <v>2.5391999999999899</v>
      </c>
      <c r="AD10153">
        <v>-1.1095319876799901</v>
      </c>
      <c r="AE10153">
        <v>23.1951</v>
      </c>
      <c r="AF10153">
        <v>2.3717086142848798</v>
      </c>
      <c r="AG10153">
        <v>-1.1095319876799901</v>
      </c>
      <c r="AH10153">
        <v>23.1599093665989</v>
      </c>
      <c r="AI10153">
        <v>92.728549074828294</v>
      </c>
      <c r="AJ10153">
        <v>84.152963267557297</v>
      </c>
      <c r="AK10153">
        <v>23.307455134609501</v>
      </c>
      <c r="AL10153">
        <v>88.939609504482704</v>
      </c>
      <c r="AM10153">
        <v>87.292148187267102</v>
      </c>
      <c r="AN10153">
        <v>1.0000000540226901</v>
      </c>
    </row>
    <row r="10154" spans="1:40" x14ac:dyDescent="0.25">
      <c r="A10154" t="str">
        <f>"20190312154151917"</f>
        <v>20190312154151917</v>
      </c>
      <c r="B10154" t="str">
        <f>"1552376511906330"</f>
        <v>1552376511906330</v>
      </c>
      <c r="C10154" t="s">
        <v>40</v>
      </c>
      <c r="D10154">
        <v>4.4620519999999999</v>
      </c>
      <c r="E10154">
        <v>0.52086509999999997</v>
      </c>
      <c r="F10154" t="s">
        <v>55</v>
      </c>
      <c r="G10154">
        <v>-185.67930000000001</v>
      </c>
      <c r="H10154" s="1">
        <v>-1.781629E-6</v>
      </c>
      <c r="I10154">
        <v>121.7796</v>
      </c>
      <c r="J10154">
        <v>-188.15280000000001</v>
      </c>
      <c r="K10154">
        <v>1.1095250000000001</v>
      </c>
      <c r="L10154">
        <v>99.25949</v>
      </c>
      <c r="M10154">
        <v>7.5420039999999997E-3</v>
      </c>
      <c r="N10154">
        <v>0</v>
      </c>
      <c r="O10154">
        <v>0.99986710000000001</v>
      </c>
      <c r="P10154">
        <v>5.4786889999999998E-2</v>
      </c>
      <c r="Q10154">
        <v>4.6308759999999999E-3</v>
      </c>
      <c r="R10154">
        <v>0.99848740000000002</v>
      </c>
      <c r="S10154">
        <v>0.32395940000000001</v>
      </c>
      <c r="T10154">
        <v>-0.1451566</v>
      </c>
      <c r="U10154">
        <v>2.987457</v>
      </c>
      <c r="V10154">
        <v>4.7277630000000001E-2</v>
      </c>
      <c r="W10154">
        <v>1.9008750000000001E-2</v>
      </c>
      <c r="X10154">
        <v>0.9987009</v>
      </c>
      <c r="Y10154">
        <v>0.1001803</v>
      </c>
      <c r="Z10154">
        <v>-4.8266139999999999E-2</v>
      </c>
      <c r="AA10154">
        <v>0.99379790000000001</v>
      </c>
      <c r="AB10154">
        <v>32</v>
      </c>
      <c r="AC10154">
        <v>2.4735</v>
      </c>
      <c r="AD10154">
        <v>-1.109526781629</v>
      </c>
      <c r="AE10154">
        <v>22.520109999999999</v>
      </c>
      <c r="AF10154">
        <v>2.2980534169839602</v>
      </c>
      <c r="AG10154">
        <v>-1.109526781629</v>
      </c>
      <c r="AH10154">
        <v>22.484199725741799</v>
      </c>
      <c r="AI10154">
        <v>92.810462805176599</v>
      </c>
      <c r="AJ10154">
        <v>84.164207350009605</v>
      </c>
      <c r="AK10154">
        <v>22.628551356494501</v>
      </c>
      <c r="AL10154">
        <v>88.910813248379</v>
      </c>
      <c r="AM10154">
        <v>87.289691130769995</v>
      </c>
      <c r="AN10154">
        <v>0.99999999726789401</v>
      </c>
    </row>
    <row r="10155" spans="1:40" x14ac:dyDescent="0.25">
      <c r="A10155" t="str">
        <f>"20190312154151938"</f>
        <v>20190312154151938</v>
      </c>
      <c r="B10155" t="str">
        <f>"1552376511925850"</f>
        <v>1552376511925850</v>
      </c>
      <c r="C10155" t="s">
        <v>40</v>
      </c>
      <c r="D10155">
        <v>4.4627489999999996</v>
      </c>
      <c r="E10155">
        <v>0.52236939999999998</v>
      </c>
      <c r="F10155" t="s">
        <v>55</v>
      </c>
      <c r="G10155">
        <v>-185.696</v>
      </c>
      <c r="H10155" s="1">
        <v>-1.789064E-6</v>
      </c>
      <c r="I10155">
        <v>121.7974</v>
      </c>
      <c r="J10155">
        <v>-188.1499</v>
      </c>
      <c r="K10155">
        <v>1.1095280000000001</v>
      </c>
      <c r="L10155">
        <v>99.567869999999999</v>
      </c>
      <c r="M10155">
        <v>8.0929899999999996E-3</v>
      </c>
      <c r="N10155">
        <v>0</v>
      </c>
      <c r="O10155">
        <v>0.99986280000000005</v>
      </c>
      <c r="P10155">
        <v>5.5381380000000001E-2</v>
      </c>
      <c r="Q10155">
        <v>4.8125399999999997E-3</v>
      </c>
      <c r="R10155">
        <v>0.9984537</v>
      </c>
      <c r="S10155">
        <v>0.32565309999999997</v>
      </c>
      <c r="T10155">
        <v>-0.14706469999999999</v>
      </c>
      <c r="U10155">
        <v>2.9873349999999999</v>
      </c>
      <c r="V10155">
        <v>4.7322309999999999E-2</v>
      </c>
      <c r="W10155">
        <v>1.9186100000000001E-2</v>
      </c>
      <c r="X10155">
        <v>0.99869540000000001</v>
      </c>
      <c r="Y10155">
        <v>0.100189899999999</v>
      </c>
      <c r="Z10155">
        <v>-4.889926E-2</v>
      </c>
      <c r="AA10155">
        <v>0.99376600000000004</v>
      </c>
      <c r="AB10155">
        <v>32</v>
      </c>
      <c r="AC10155">
        <v>2.4539</v>
      </c>
      <c r="AD10155">
        <v>-1.1095297890639999</v>
      </c>
      <c r="AE10155">
        <v>22.22953</v>
      </c>
      <c r="AF10155">
        <v>2.2683145571313599</v>
      </c>
      <c r="AG10155">
        <v>-1.1095297890639999</v>
      </c>
      <c r="AH10155">
        <v>22.194038066532102</v>
      </c>
      <c r="AI10155">
        <v>92.847155092068107</v>
      </c>
      <c r="AJ10155">
        <v>84.164417279600301</v>
      </c>
      <c r="AK10155">
        <v>22.337225274899101</v>
      </c>
      <c r="AL10155">
        <v>88.900649996534995</v>
      </c>
      <c r="AM10155">
        <v>87.287118644326</v>
      </c>
      <c r="AN10155">
        <v>1.00000000471905</v>
      </c>
    </row>
    <row r="10156" spans="1:40" x14ac:dyDescent="0.25">
      <c r="A10156" t="str">
        <f>"20190312154151960"</f>
        <v>20190312154151960</v>
      </c>
      <c r="B10156" t="str">
        <f>"1552376511956105"</f>
        <v>1552376511956105</v>
      </c>
      <c r="C10156" t="s">
        <v>40</v>
      </c>
      <c r="D10156">
        <v>4.4330600000000002</v>
      </c>
      <c r="E10156">
        <v>0.54284149999999998</v>
      </c>
      <c r="F10156" t="s">
        <v>41</v>
      </c>
      <c r="G10156">
        <v>-188.0367</v>
      </c>
      <c r="H10156">
        <v>1.037282</v>
      </c>
      <c r="I10156">
        <v>100.56950000000001</v>
      </c>
      <c r="J10156">
        <v>-188.14670000000001</v>
      </c>
      <c r="K10156">
        <v>1.1095170000000001</v>
      </c>
      <c r="L10156">
        <v>99.893590000000003</v>
      </c>
      <c r="M10156">
        <v>8.6900840000000007E-3</v>
      </c>
      <c r="N10156">
        <v>0</v>
      </c>
      <c r="O10156">
        <v>0.99985789999999997</v>
      </c>
      <c r="P10156">
        <v>5.5572240000000002E-2</v>
      </c>
      <c r="Q10156">
        <v>4.908819E-3</v>
      </c>
      <c r="R10156">
        <v>0.99844259999999996</v>
      </c>
      <c r="S10156">
        <v>0.33750920000000001</v>
      </c>
      <c r="T10156">
        <v>-0.21543950000000001</v>
      </c>
      <c r="U10156">
        <v>2.9869379999999999</v>
      </c>
      <c r="V10156">
        <v>4.691729E-2</v>
      </c>
      <c r="W10156">
        <v>1.9278590000000002E-2</v>
      </c>
      <c r="X10156">
        <v>0.99871270000000001</v>
      </c>
      <c r="Y10156">
        <v>0.10335279999999999</v>
      </c>
      <c r="Z10156">
        <v>-7.1517269999999994E-2</v>
      </c>
      <c r="AA10156">
        <v>0.99207029999999996</v>
      </c>
      <c r="AB10156">
        <v>32</v>
      </c>
      <c r="AC10156">
        <v>0.110000000000013</v>
      </c>
      <c r="AD10156">
        <v>-7.2234999999999994E-2</v>
      </c>
      <c r="AE10156">
        <v>0.67591000000000101</v>
      </c>
      <c r="AF10156">
        <v>0.102975741966777</v>
      </c>
      <c r="AG10156">
        <v>-7.2234999999999994E-2</v>
      </c>
      <c r="AH10156">
        <v>0.66939238041653804</v>
      </c>
      <c r="AI10156">
        <v>96.087961051794593</v>
      </c>
      <c r="AJ10156">
        <v>81.254481669683898</v>
      </c>
      <c r="AK10156">
        <v>0.68110796326157297</v>
      </c>
      <c r="AL10156">
        <v>88.895349698556402</v>
      </c>
      <c r="AM10156">
        <v>87.310349807090404</v>
      </c>
      <c r="AN10156">
        <v>0.99999997663731</v>
      </c>
    </row>
    <row r="10157" spans="1:40" x14ac:dyDescent="0.25">
      <c r="A10157" t="str">
        <f>"20190312154151986"</f>
        <v>20190312154151986</v>
      </c>
      <c r="B10157" t="str">
        <f>"1552376511976601"</f>
        <v>1552376511976601</v>
      </c>
      <c r="C10157" t="s">
        <v>40</v>
      </c>
      <c r="D10157">
        <v>4.5415109999999999</v>
      </c>
      <c r="E10157">
        <v>0.55231470000000005</v>
      </c>
      <c r="F10157" t="s">
        <v>55</v>
      </c>
      <c r="G10157">
        <v>-184.22040000000001</v>
      </c>
      <c r="H10157" s="1">
        <v>-2.7186690000000001E-6</v>
      </c>
      <c r="I10157">
        <v>123.1183</v>
      </c>
      <c r="J10157">
        <v>-188.14279999999999</v>
      </c>
      <c r="K10157">
        <v>1.1095079999999999</v>
      </c>
      <c r="L10157">
        <v>100.2556</v>
      </c>
      <c r="M10157">
        <v>9.3732190000000003E-3</v>
      </c>
      <c r="N10157">
        <v>0</v>
      </c>
      <c r="O10157">
        <v>0.99985179999999996</v>
      </c>
      <c r="P10157">
        <v>5.602642E-2</v>
      </c>
      <c r="Q10157">
        <v>4.6092670000000002E-3</v>
      </c>
      <c r="R10157">
        <v>0.99841860000000004</v>
      </c>
      <c r="S10157">
        <v>0.5033417</v>
      </c>
      <c r="T10157">
        <v>-0.1422378</v>
      </c>
      <c r="U10157">
        <v>2.9773559999999999</v>
      </c>
      <c r="V10157">
        <v>4.6689460000000002E-2</v>
      </c>
      <c r="W10157">
        <v>1.8973940000000002E-2</v>
      </c>
      <c r="X10157">
        <v>0.99872919999999998</v>
      </c>
      <c r="Y10157">
        <v>0.15725620000000001</v>
      </c>
      <c r="Z10157">
        <v>-4.7085500000000002E-2</v>
      </c>
      <c r="AA10157">
        <v>0.9864347</v>
      </c>
      <c r="AB10157">
        <v>32</v>
      </c>
      <c r="AC10157">
        <v>3.9223999999999801</v>
      </c>
      <c r="AD10157">
        <v>-1.1095107186690001</v>
      </c>
      <c r="AE10157">
        <v>22.8627</v>
      </c>
      <c r="AF10157">
        <v>3.69944479182502</v>
      </c>
      <c r="AG10157">
        <v>-1.1095107186690001</v>
      </c>
      <c r="AH10157">
        <v>22.846198289633602</v>
      </c>
      <c r="AI10157">
        <v>92.744652857239203</v>
      </c>
      <c r="AJ10157">
        <v>80.8020330046308</v>
      </c>
      <c r="AK10157">
        <v>23.1703621484831</v>
      </c>
      <c r="AL10157">
        <v>88.912808039701702</v>
      </c>
      <c r="AM10157">
        <v>87.323435843427006</v>
      </c>
      <c r="AN10157">
        <v>0.99999996550342696</v>
      </c>
    </row>
    <row r="10158" spans="1:40" x14ac:dyDescent="0.25">
      <c r="A10158" t="str">
        <f>"20190312154152005"</f>
        <v>20190312154152005</v>
      </c>
      <c r="B10158" t="str">
        <f>"1552376511996121"</f>
        <v>1552376511996121</v>
      </c>
      <c r="C10158" t="s">
        <v>40</v>
      </c>
      <c r="D10158">
        <v>4.5189919999999999</v>
      </c>
      <c r="E10158">
        <v>0.55598530000000002</v>
      </c>
      <c r="F10158" t="s">
        <v>55</v>
      </c>
      <c r="G10158">
        <v>-184.32239999999999</v>
      </c>
      <c r="H10158" s="1">
        <v>-1.5705489999999999E-6</v>
      </c>
      <c r="I10158">
        <v>119.85769999999999</v>
      </c>
      <c r="J10158">
        <v>-188.1395</v>
      </c>
      <c r="K10158">
        <v>1.1094869999999999</v>
      </c>
      <c r="L10158">
        <v>100.5489</v>
      </c>
      <c r="M10158">
        <v>9.9504450000000005E-3</v>
      </c>
      <c r="N10158">
        <v>0</v>
      </c>
      <c r="O10158">
        <v>0.99984620000000002</v>
      </c>
      <c r="P10158">
        <v>5.6339670000000001E-2</v>
      </c>
      <c r="Q10158">
        <v>4.8089350000000003E-3</v>
      </c>
      <c r="R10158">
        <v>0.99840010000000001</v>
      </c>
      <c r="S10158">
        <v>0.57943730000000004</v>
      </c>
      <c r="T10158">
        <v>-0.1682777</v>
      </c>
      <c r="U10158">
        <v>2.9730219999999998</v>
      </c>
      <c r="V10158">
        <v>4.6427209999999997E-2</v>
      </c>
      <c r="W10158">
        <v>1.9169410000000001E-2</v>
      </c>
      <c r="X10158">
        <v>0.99873780000000001</v>
      </c>
      <c r="Y10158">
        <v>0.18122679999999999</v>
      </c>
      <c r="Z10158">
        <v>-5.5518440000000002E-2</v>
      </c>
      <c r="AA10158">
        <v>0.981873</v>
      </c>
      <c r="AB10158">
        <v>32</v>
      </c>
      <c r="AC10158">
        <v>3.8171000000000102</v>
      </c>
      <c r="AD10158">
        <v>-1.1094885705490001</v>
      </c>
      <c r="AE10158">
        <v>19.308799999999898</v>
      </c>
      <c r="AF10158">
        <v>3.6132785909321798</v>
      </c>
      <c r="AG10158">
        <v>-1.1094885705490001</v>
      </c>
      <c r="AH10158">
        <v>19.284552952207701</v>
      </c>
      <c r="AI10158">
        <v>93.236541331067201</v>
      </c>
      <c r="AJ10158">
        <v>79.387735833724307</v>
      </c>
      <c r="AK10158">
        <v>19.651481614126901</v>
      </c>
      <c r="AL10158">
        <v>88.901606513590394</v>
      </c>
      <c r="AM10158">
        <v>87.338471041209104</v>
      </c>
      <c r="AN10158">
        <v>1.0000000726284799</v>
      </c>
    </row>
    <row r="10159" spans="1:40" x14ac:dyDescent="0.25">
      <c r="A10159" t="str">
        <f>"20190312154152027"</f>
        <v>20190312154152027</v>
      </c>
      <c r="B10159" t="str">
        <f>"1552376512016618"</f>
        <v>1552376512016618</v>
      </c>
      <c r="C10159" t="s">
        <v>40</v>
      </c>
      <c r="D10159">
        <v>4.5123569999999997</v>
      </c>
      <c r="E10159">
        <v>0.55800799999999995</v>
      </c>
      <c r="F10159" t="s">
        <v>42</v>
      </c>
      <c r="G10159">
        <v>-184.4101</v>
      </c>
      <c r="H10159" s="1">
        <v>-4.8975640000000002E-6</v>
      </c>
      <c r="I10159">
        <v>118.73779999999999</v>
      </c>
      <c r="J10159">
        <v>-188.13579999999999</v>
      </c>
      <c r="K10159">
        <v>1.109459</v>
      </c>
      <c r="L10159">
        <v>100.8546</v>
      </c>
      <c r="M10159">
        <v>1.059031E-2</v>
      </c>
      <c r="N10159">
        <v>0</v>
      </c>
      <c r="O10159">
        <v>0.9998397</v>
      </c>
      <c r="P10159">
        <v>5.6856730000000001E-2</v>
      </c>
      <c r="Q10159">
        <v>5.4884670000000003E-3</v>
      </c>
      <c r="R10159">
        <v>0.99836720000000001</v>
      </c>
      <c r="S10159">
        <v>0.60922240000000005</v>
      </c>
      <c r="T10159">
        <v>-0.1812454</v>
      </c>
      <c r="U10159">
        <v>2.9713129999999999</v>
      </c>
      <c r="V10159">
        <v>4.6307429999999997E-2</v>
      </c>
      <c r="W10159">
        <v>1.9843050000000001E-2</v>
      </c>
      <c r="X10159">
        <v>0.99873009999999995</v>
      </c>
      <c r="Y10159">
        <v>0.19011120000000001</v>
      </c>
      <c r="Z10159">
        <v>-5.9706240000000001E-2</v>
      </c>
      <c r="AA10159">
        <v>0.97994539999999997</v>
      </c>
      <c r="AB10159">
        <v>32</v>
      </c>
      <c r="AC10159">
        <v>3.7256999999999798</v>
      </c>
      <c r="AD10159">
        <v>-1.1094638975640001</v>
      </c>
      <c r="AE10159">
        <v>17.883199999999899</v>
      </c>
      <c r="AF10159">
        <v>3.5230867359322899</v>
      </c>
      <c r="AG10159">
        <v>-1.1094638975640001</v>
      </c>
      <c r="AH10159">
        <v>17.855791142026</v>
      </c>
      <c r="AI10159">
        <v>93.488400986371204</v>
      </c>
      <c r="AJ10159">
        <v>78.838463369558198</v>
      </c>
      <c r="AK10159">
        <v>18.2338237239629</v>
      </c>
      <c r="AL10159">
        <v>88.863002323555193</v>
      </c>
      <c r="AM10159">
        <v>87.345307386392406</v>
      </c>
      <c r="AN10159">
        <v>0.99999996867625796</v>
      </c>
    </row>
    <row r="10160" spans="1:40" x14ac:dyDescent="0.25">
      <c r="A10160" t="str">
        <f>"20190312154152050"</f>
        <v>20190312154152050</v>
      </c>
      <c r="B10160" t="str">
        <f>"1552376512036145"</f>
        <v>1552376512036145</v>
      </c>
      <c r="C10160" t="s">
        <v>40</v>
      </c>
      <c r="D10160">
        <v>4.5214910000000001</v>
      </c>
      <c r="E10160">
        <v>0.55929180000000001</v>
      </c>
      <c r="F10160" t="s">
        <v>42</v>
      </c>
      <c r="G10160">
        <v>-184.57650000000001</v>
      </c>
      <c r="H10160" s="1">
        <v>-4.4344390000000003E-6</v>
      </c>
      <c r="I10160">
        <v>117.727</v>
      </c>
      <c r="J10160">
        <v>-188.13149999999999</v>
      </c>
      <c r="K10160">
        <v>1.109421</v>
      </c>
      <c r="L10160">
        <v>101.1846</v>
      </c>
      <c r="M10160">
        <v>1.134158E-2</v>
      </c>
      <c r="N10160">
        <v>0</v>
      </c>
      <c r="O10160">
        <v>0.99983149999999998</v>
      </c>
      <c r="P10160">
        <v>5.8077419999999998E-2</v>
      </c>
      <c r="Q10160">
        <v>6.2020230000000001E-3</v>
      </c>
      <c r="R10160">
        <v>0.99829279999999998</v>
      </c>
      <c r="S10160">
        <v>0.62658689999999995</v>
      </c>
      <c r="T10160">
        <v>-0.19531589999999999</v>
      </c>
      <c r="U10160">
        <v>2.9703059999999999</v>
      </c>
      <c r="V10160">
        <v>4.6781349999999999E-2</v>
      </c>
      <c r="W10160">
        <v>2.0547679999999999E-2</v>
      </c>
      <c r="X10160">
        <v>0.99869379999999996</v>
      </c>
      <c r="Y10160">
        <v>0.1948693</v>
      </c>
      <c r="Z10160">
        <v>-6.4275009999999994E-2</v>
      </c>
      <c r="AA10160">
        <v>0.97872099999999995</v>
      </c>
      <c r="AB10160">
        <v>32</v>
      </c>
      <c r="AC10160">
        <v>3.55499999999997</v>
      </c>
      <c r="AD10160">
        <v>-1.109425434439</v>
      </c>
      <c r="AE10160">
        <v>16.542400000000001</v>
      </c>
      <c r="AF10160">
        <v>3.35272065670397</v>
      </c>
      <c r="AG10160">
        <v>-1.109425434439</v>
      </c>
      <c r="AH10160">
        <v>16.510675991128199</v>
      </c>
      <c r="AI10160">
        <v>93.7675148331721</v>
      </c>
      <c r="AJ10160">
        <v>78.521376077979895</v>
      </c>
      <c r="AK10160">
        <v>16.884134039994098</v>
      </c>
      <c r="AL10160">
        <v>88.822621802440096</v>
      </c>
      <c r="AM10160">
        <v>87.318080831469501</v>
      </c>
      <c r="AN10160">
        <v>1.00000000400982</v>
      </c>
    </row>
    <row r="10161" spans="1:40" x14ac:dyDescent="0.25">
      <c r="A10161" t="str">
        <f>"20190312154152076"</f>
        <v>20190312154152076</v>
      </c>
      <c r="B10161" t="str">
        <f>"1552376512066393"</f>
        <v>1552376512066393</v>
      </c>
      <c r="C10161" t="s">
        <v>40</v>
      </c>
      <c r="D10161">
        <v>4.5456500000000002</v>
      </c>
      <c r="E10161">
        <v>0.56012859999999998</v>
      </c>
      <c r="F10161" t="s">
        <v>42</v>
      </c>
      <c r="G10161">
        <v>-184.55879999999999</v>
      </c>
      <c r="H10161" s="1">
        <v>-4.4507149999999998E-6</v>
      </c>
      <c r="I10161">
        <v>117.7576</v>
      </c>
      <c r="J10161">
        <v>-188.12649999999999</v>
      </c>
      <c r="K10161">
        <v>1.1093569999999999</v>
      </c>
      <c r="L10161">
        <v>101.5398</v>
      </c>
      <c r="M10161">
        <v>1.2237029999999999E-2</v>
      </c>
      <c r="N10161">
        <v>0</v>
      </c>
      <c r="O10161">
        <v>0.99982099999999996</v>
      </c>
      <c r="P10161">
        <v>5.9871859999999999E-2</v>
      </c>
      <c r="Q10161">
        <v>6.1320699999999999E-3</v>
      </c>
      <c r="R10161">
        <v>0.99818720000000005</v>
      </c>
      <c r="S10161">
        <v>0.64006039999999997</v>
      </c>
      <c r="T10161">
        <v>-0.1987575</v>
      </c>
      <c r="U10161">
        <v>2.9691160000000001</v>
      </c>
      <c r="V10161">
        <v>4.7685239999999997E-2</v>
      </c>
      <c r="W10161">
        <v>2.0466149999999999E-2</v>
      </c>
      <c r="X10161">
        <v>0.99865269999999995</v>
      </c>
      <c r="Y10161">
        <v>0.19830200000000001</v>
      </c>
      <c r="Z10161">
        <v>-6.5373979999999998E-2</v>
      </c>
      <c r="AA10161">
        <v>0.97795840000000001</v>
      </c>
      <c r="AB10161">
        <v>32</v>
      </c>
      <c r="AC10161">
        <v>3.5676999999999999</v>
      </c>
      <c r="AD10161">
        <v>-1.109361450715</v>
      </c>
      <c r="AE10161">
        <v>16.217799999999901</v>
      </c>
      <c r="AF10161">
        <v>3.3539852338645</v>
      </c>
      <c r="AG10161">
        <v>-1.109361450715</v>
      </c>
      <c r="AH10161">
        <v>16.187999197941899</v>
      </c>
      <c r="AI10161">
        <v>93.839059551190502</v>
      </c>
      <c r="AJ10161">
        <v>78.294530035687401</v>
      </c>
      <c r="AK10161">
        <v>16.5689836082326</v>
      </c>
      <c r="AL10161">
        <v>88.827294082067993</v>
      </c>
      <c r="AM10161">
        <v>87.266227418781696</v>
      </c>
      <c r="AN10161">
        <v>0.99999998031348403</v>
      </c>
    </row>
    <row r="10162" spans="1:40" x14ac:dyDescent="0.25">
      <c r="A10162" t="str">
        <f>"20190312154152096"</f>
        <v>20190312154152096</v>
      </c>
      <c r="B10162" t="str">
        <f>"1552376512085913"</f>
        <v>1552376512085913</v>
      </c>
      <c r="C10162" t="s">
        <v>40</v>
      </c>
      <c r="D10162">
        <v>4.5434070000000002</v>
      </c>
      <c r="E10162">
        <v>0.56053629999999999</v>
      </c>
      <c r="F10162" t="s">
        <v>42</v>
      </c>
      <c r="G10162">
        <v>-184.64570000000001</v>
      </c>
      <c r="H10162" s="1">
        <v>-4.27571999999999E-6</v>
      </c>
      <c r="I10162">
        <v>117.3856</v>
      </c>
      <c r="J10162">
        <v>-188.12200000000001</v>
      </c>
      <c r="K10162">
        <v>1.1092900000000001</v>
      </c>
      <c r="L10162">
        <v>101.84059999999999</v>
      </c>
      <c r="M10162">
        <v>1.309011E-2</v>
      </c>
      <c r="N10162">
        <v>0</v>
      </c>
      <c r="O10162">
        <v>0.99981019999999998</v>
      </c>
      <c r="P10162">
        <v>6.1682269999999997E-2</v>
      </c>
      <c r="Q10162">
        <v>5.1526280000000002E-3</v>
      </c>
      <c r="R10162">
        <v>0.99808249999999998</v>
      </c>
      <c r="S10162">
        <v>0.65190119999999996</v>
      </c>
      <c r="T10162">
        <v>-0.20776230000000001</v>
      </c>
      <c r="U10162">
        <v>2.9676209999999998</v>
      </c>
      <c r="V10162">
        <v>4.8646149999999999E-2</v>
      </c>
      <c r="W10162">
        <v>1.947405E-2</v>
      </c>
      <c r="X10162">
        <v>0.99862620000000002</v>
      </c>
      <c r="Y10162">
        <v>0.20124980000000001</v>
      </c>
      <c r="Z10162">
        <v>-6.8305080000000004E-2</v>
      </c>
      <c r="AA10162">
        <v>0.97715560000000001</v>
      </c>
      <c r="AB10162">
        <v>32</v>
      </c>
      <c r="AC10162">
        <v>3.4763000000000002</v>
      </c>
      <c r="AD10162">
        <v>-1.1092942757199999</v>
      </c>
      <c r="AE10162">
        <v>15.545</v>
      </c>
      <c r="AF10162">
        <v>3.2567009771967999</v>
      </c>
      <c r="AG10162">
        <v>-1.1092942757199999</v>
      </c>
      <c r="AH10162">
        <v>15.513939090586</v>
      </c>
      <c r="AI10162">
        <v>94.002909565321502</v>
      </c>
      <c r="AJ10162">
        <v>78.144558363612106</v>
      </c>
      <c r="AK10162">
        <v>15.890844570111099</v>
      </c>
      <c r="AL10162">
        <v>88.884148573814898</v>
      </c>
      <c r="AM10162">
        <v>87.211151117492605</v>
      </c>
      <c r="AN10162">
        <v>0.99999998692983205</v>
      </c>
    </row>
    <row r="10163" spans="1:40" x14ac:dyDescent="0.25">
      <c r="A10163" t="str">
        <f>"20190312154152118"</f>
        <v>20190312154152118</v>
      </c>
      <c r="B10163" t="str">
        <f>"1552376512106409"</f>
        <v>1552376512106409</v>
      </c>
      <c r="C10163" t="s">
        <v>40</v>
      </c>
      <c r="D10163">
        <v>4.5657959999999997</v>
      </c>
      <c r="E10163">
        <v>0.56080620000000003</v>
      </c>
      <c r="F10163" t="s">
        <v>42</v>
      </c>
      <c r="G10163">
        <v>-184.7124</v>
      </c>
      <c r="H10163" s="1">
        <v>-4.1621159999999999E-6</v>
      </c>
      <c r="I10163">
        <v>117.1484</v>
      </c>
      <c r="J10163">
        <v>-188.11699999999999</v>
      </c>
      <c r="K10163">
        <v>1.1092070000000001</v>
      </c>
      <c r="L10163">
        <v>102.1478</v>
      </c>
      <c r="M10163">
        <v>1.408098E-2</v>
      </c>
      <c r="N10163">
        <v>0</v>
      </c>
      <c r="O10163">
        <v>0.99979680000000004</v>
      </c>
      <c r="P10163">
        <v>6.3004089999999999E-2</v>
      </c>
      <c r="Q10163">
        <v>4.823712E-3</v>
      </c>
      <c r="R10163">
        <v>0.99800160000000004</v>
      </c>
      <c r="S10163">
        <v>0.66064449999999997</v>
      </c>
      <c r="T10163">
        <v>-0.21493860000000001</v>
      </c>
      <c r="U10163">
        <v>2.9660639999999998</v>
      </c>
      <c r="V10163">
        <v>4.8982520000000002E-2</v>
      </c>
      <c r="W10163">
        <v>1.9131749999999999E-2</v>
      </c>
      <c r="X10163">
        <v>0.99861639999999996</v>
      </c>
      <c r="Y10163">
        <v>0.20309669999999999</v>
      </c>
      <c r="Z10163">
        <v>-7.0651480000000003E-2</v>
      </c>
      <c r="AA10163">
        <v>0.97660639999999999</v>
      </c>
      <c r="AB10163">
        <v>32</v>
      </c>
      <c r="AC10163">
        <v>3.4046000000000101</v>
      </c>
      <c r="AD10163">
        <v>-1.1092111621159999</v>
      </c>
      <c r="AE10163">
        <v>15.000599999999899</v>
      </c>
      <c r="AF10163">
        <v>3.1764997190919</v>
      </c>
      <c r="AG10163">
        <v>-1.1092111621159999</v>
      </c>
      <c r="AH10163">
        <v>14.969218857181099</v>
      </c>
      <c r="AI10163">
        <v>94.145858868482804</v>
      </c>
      <c r="AJ10163">
        <v>78.019432493602096</v>
      </c>
      <c r="AK10163">
        <v>15.342685979376</v>
      </c>
      <c r="AL10163">
        <v>88.903764602608405</v>
      </c>
      <c r="AM10163">
        <v>87.191870513136905</v>
      </c>
      <c r="AN10163">
        <v>1.00000001273628</v>
      </c>
    </row>
    <row r="10164" spans="1:40" x14ac:dyDescent="0.25">
      <c r="A10164" t="str">
        <f>"20190312154152140"</f>
        <v>20190312154152140</v>
      </c>
      <c r="B10164" t="str">
        <f>"1552376512125933"</f>
        <v>1552376512125933</v>
      </c>
      <c r="C10164" t="s">
        <v>40</v>
      </c>
      <c r="D10164">
        <v>4.3771559999999896</v>
      </c>
      <c r="E10164">
        <v>0.56122749999999999</v>
      </c>
      <c r="F10164" t="s">
        <v>42</v>
      </c>
      <c r="G10164">
        <v>-184.74459999999999</v>
      </c>
      <c r="H10164" s="1">
        <v>-4.1556779999999997E-6</v>
      </c>
      <c r="I10164">
        <v>117.1467</v>
      </c>
      <c r="J10164">
        <v>-188.1113</v>
      </c>
      <c r="K10164">
        <v>1.1091009999999999</v>
      </c>
      <c r="L10164">
        <v>102.465</v>
      </c>
      <c r="M10164">
        <v>1.525466E-2</v>
      </c>
      <c r="N10164">
        <v>0</v>
      </c>
      <c r="O10164">
        <v>0.99977959999999999</v>
      </c>
      <c r="P10164">
        <v>6.4303609999999997E-2</v>
      </c>
      <c r="Q10164">
        <v>5.2830459999999996E-3</v>
      </c>
      <c r="R10164">
        <v>0.99791640000000004</v>
      </c>
      <c r="S10164">
        <v>0.66665649999999999</v>
      </c>
      <c r="T10164">
        <v>-0.2192674</v>
      </c>
      <c r="U10164">
        <v>2.964966</v>
      </c>
      <c r="V10164">
        <v>4.911679E-2</v>
      </c>
      <c r="W10164">
        <v>1.9575599999999999E-2</v>
      </c>
      <c r="X10164">
        <v>0.99860119999999997</v>
      </c>
      <c r="Y10164">
        <v>0.2038876</v>
      </c>
      <c r="Z10164">
        <v>-7.2069259999999996E-2</v>
      </c>
      <c r="AA10164">
        <v>0.97633800000000004</v>
      </c>
      <c r="AB10164">
        <v>32</v>
      </c>
      <c r="AC10164">
        <v>3.3666999999999998</v>
      </c>
      <c r="AD10164">
        <v>-1.1091051556780001</v>
      </c>
      <c r="AE10164">
        <v>14.6816999999999</v>
      </c>
      <c r="AF10164">
        <v>3.1253756652134799</v>
      </c>
      <c r="AG10164">
        <v>-1.1091051556780001</v>
      </c>
      <c r="AH10164">
        <v>14.6519161383455</v>
      </c>
      <c r="AI10164">
        <v>94.2339652981847</v>
      </c>
      <c r="AJ10164">
        <v>77.958795454007102</v>
      </c>
      <c r="AK10164">
        <v>15.0225408576635</v>
      </c>
      <c r="AL10164">
        <v>88.878329103748101</v>
      </c>
      <c r="AM10164">
        <v>87.184142499456797</v>
      </c>
      <c r="AN10164">
        <v>1.0000000099083499</v>
      </c>
    </row>
    <row r="10165" spans="1:40" x14ac:dyDescent="0.25">
      <c r="A10165" t="str">
        <f>"20190312154152163"</f>
        <v>20190312154152163</v>
      </c>
      <c r="B10165" t="str">
        <f>"1552376512156186"</f>
        <v>1552376512156186</v>
      </c>
      <c r="C10165" t="s">
        <v>40</v>
      </c>
      <c r="D10165">
        <v>4.5627420000000001</v>
      </c>
      <c r="E10165">
        <v>0.56154130000000002</v>
      </c>
      <c r="F10165" t="s">
        <v>42</v>
      </c>
      <c r="G10165">
        <v>-184.76300000000001</v>
      </c>
      <c r="H10165" s="1">
        <v>-4.1718740000000004E-6</v>
      </c>
      <c r="I10165">
        <v>117.1921</v>
      </c>
      <c r="J10165">
        <v>-188.10509999999999</v>
      </c>
      <c r="K10165">
        <v>1.1089910000000001</v>
      </c>
      <c r="L10165">
        <v>102.78619999999999</v>
      </c>
      <c r="M10165">
        <v>1.657672E-2</v>
      </c>
      <c r="N10165">
        <v>0</v>
      </c>
      <c r="O10165">
        <v>0.99975860000000005</v>
      </c>
      <c r="P10165">
        <v>6.552587E-2</v>
      </c>
      <c r="Q10165">
        <v>6.2931910000000001E-3</v>
      </c>
      <c r="R10165">
        <v>0.99783100000000002</v>
      </c>
      <c r="S10165">
        <v>0.67388919999999997</v>
      </c>
      <c r="T10165">
        <v>-0.22322139999999999</v>
      </c>
      <c r="U10165">
        <v>2.9640200000000001</v>
      </c>
      <c r="V10165">
        <v>4.9027469999999997E-2</v>
      </c>
      <c r="W10165">
        <v>2.0571510000000001E-2</v>
      </c>
      <c r="X10165">
        <v>0.99858559999999996</v>
      </c>
      <c r="Y10165">
        <v>0.20490549999999999</v>
      </c>
      <c r="Z10165">
        <v>-7.3354909999999995E-2</v>
      </c>
      <c r="AA10165">
        <v>0.97602909999999998</v>
      </c>
      <c r="AB10165">
        <v>32</v>
      </c>
      <c r="AC10165">
        <v>3.3420999999999799</v>
      </c>
      <c r="AD10165">
        <v>-1.1089951718739901</v>
      </c>
      <c r="AE10165">
        <v>14.405900000000001</v>
      </c>
      <c r="AF10165">
        <v>3.0854620032526001</v>
      </c>
      <c r="AG10165">
        <v>-1.1089951718739901</v>
      </c>
      <c r="AH10165">
        <v>14.3784688031553</v>
      </c>
      <c r="AI10165">
        <v>94.3126329021445</v>
      </c>
      <c r="AJ10165">
        <v>77.888626956698204</v>
      </c>
      <c r="AK10165">
        <v>14.747552718606</v>
      </c>
      <c r="AL10165">
        <v>88.821256198006495</v>
      </c>
      <c r="AM10165">
        <v>87.189211142026906</v>
      </c>
      <c r="AN10165">
        <v>1.00000004018281</v>
      </c>
    </row>
    <row r="10166" spans="1:40" x14ac:dyDescent="0.25">
      <c r="A10166" t="str">
        <f>"20190312154152186"</f>
        <v>20190312154152186</v>
      </c>
      <c r="B10166" t="str">
        <f>"1552376512175705"</f>
        <v>1552376512175705</v>
      </c>
      <c r="C10166" t="s">
        <v>40</v>
      </c>
      <c r="D10166">
        <v>4.5643229999999999</v>
      </c>
      <c r="E10166">
        <v>0.56177149999999998</v>
      </c>
      <c r="F10166" t="s">
        <v>42</v>
      </c>
      <c r="G10166">
        <v>-184.71279999999999</v>
      </c>
      <c r="H10166" s="1">
        <v>-4.3429719999999998E-6</v>
      </c>
      <c r="I10166">
        <v>117.5702</v>
      </c>
      <c r="J10166">
        <v>-188.09780000000001</v>
      </c>
      <c r="K10166">
        <v>1.108873</v>
      </c>
      <c r="L10166">
        <v>103.1259</v>
      </c>
      <c r="M10166">
        <v>1.815083E-2</v>
      </c>
      <c r="N10166">
        <v>0</v>
      </c>
      <c r="O10166">
        <v>0.99973120000000004</v>
      </c>
      <c r="P10166">
        <v>6.6658739999999994E-2</v>
      </c>
      <c r="Q10166">
        <v>6.3995299999999996E-3</v>
      </c>
      <c r="R10166">
        <v>0.99775530000000001</v>
      </c>
      <c r="S10166">
        <v>0.67994690000000002</v>
      </c>
      <c r="T10166">
        <v>-0.2222865</v>
      </c>
      <c r="U10166">
        <v>2.9632869999999998</v>
      </c>
      <c r="V10166">
        <v>4.8595480000000003E-2</v>
      </c>
      <c r="W10166">
        <v>2.0663049999999999E-2</v>
      </c>
      <c r="X10166">
        <v>0.99860479999999996</v>
      </c>
      <c r="Y10166">
        <v>0.20531820000000001</v>
      </c>
      <c r="Z10166">
        <v>-7.3044390000000001E-2</v>
      </c>
      <c r="AA10166">
        <v>0.97596559999999999</v>
      </c>
      <c r="AB10166">
        <v>32</v>
      </c>
      <c r="AC10166">
        <v>3.3850000000000202</v>
      </c>
      <c r="AD10166">
        <v>-1.108877342972</v>
      </c>
      <c r="AE10166">
        <v>14.444299999999901</v>
      </c>
      <c r="AF10166">
        <v>3.10489284177791</v>
      </c>
      <c r="AG10166">
        <v>-1.108877342972</v>
      </c>
      <c r="AH10166">
        <v>14.4227911967905</v>
      </c>
      <c r="AI10166">
        <v>94.298369388387201</v>
      </c>
      <c r="AJ10166">
        <v>77.850960013184803</v>
      </c>
      <c r="AK10166">
        <v>14.794825934322301</v>
      </c>
      <c r="AL10166">
        <v>88.816010197007301</v>
      </c>
      <c r="AM10166">
        <v>87.213991804846799</v>
      </c>
      <c r="AN10166">
        <v>1.00000001444738</v>
      </c>
    </row>
    <row r="10167" spans="1:40" x14ac:dyDescent="0.25">
      <c r="A10167" t="str">
        <f>"20190312154152207"</f>
        <v>20190312154152207</v>
      </c>
      <c r="B10167" t="str">
        <f>"1552376512195733"</f>
        <v>1552376512195733</v>
      </c>
      <c r="C10167" t="s">
        <v>40</v>
      </c>
      <c r="D10167">
        <v>4.5307469999999999</v>
      </c>
      <c r="E10167">
        <v>0.56200519999999998</v>
      </c>
      <c r="F10167" t="s">
        <v>42</v>
      </c>
      <c r="G10167">
        <v>-184.6892</v>
      </c>
      <c r="H10167" s="1">
        <v>-4.4712910000000003E-6</v>
      </c>
      <c r="I10167">
        <v>117.8595</v>
      </c>
      <c r="J10167">
        <v>-188.0909</v>
      </c>
      <c r="K10167">
        <v>1.108744</v>
      </c>
      <c r="L10167">
        <v>103.4216</v>
      </c>
      <c r="M10167">
        <v>1.9699959999999999E-2</v>
      </c>
      <c r="N10167">
        <v>0</v>
      </c>
      <c r="O10167">
        <v>0.99970190000000003</v>
      </c>
      <c r="P10167">
        <v>6.8208539999999998E-2</v>
      </c>
      <c r="Q10167">
        <v>6.6331680000000001E-3</v>
      </c>
      <c r="R10167">
        <v>0.99764900000000001</v>
      </c>
      <c r="S10167">
        <v>0.68534849999999903</v>
      </c>
      <c r="T10167">
        <v>-0.2229556</v>
      </c>
      <c r="U10167">
        <v>2.962402</v>
      </c>
      <c r="V10167">
        <v>4.8606410000000003E-2</v>
      </c>
      <c r="W10167">
        <v>2.0880920000000001E-2</v>
      </c>
      <c r="X10167">
        <v>0.99859969999999998</v>
      </c>
      <c r="Y10167">
        <v>0.2055516</v>
      </c>
      <c r="Z10167">
        <v>-7.3264460000000003E-2</v>
      </c>
      <c r="AA10167">
        <v>0.97590010000000005</v>
      </c>
      <c r="AB10167">
        <v>32</v>
      </c>
      <c r="AC10167">
        <v>3.4016999999999999</v>
      </c>
      <c r="AD10167">
        <v>-1.1087484712909901</v>
      </c>
      <c r="AE10167">
        <v>14.437900000000001</v>
      </c>
      <c r="AF10167">
        <v>3.0992678179059698</v>
      </c>
      <c r="AG10167">
        <v>-1.1087484712909901</v>
      </c>
      <c r="AH10167">
        <v>14.4215416987828</v>
      </c>
      <c r="AI10167">
        <v>94.298569644775199</v>
      </c>
      <c r="AJ10167">
        <v>77.871298238428196</v>
      </c>
      <c r="AK10167">
        <v>14.7924186375802</v>
      </c>
      <c r="AL10167">
        <v>88.803524428584396</v>
      </c>
      <c r="AM10167">
        <v>87.213351959609994</v>
      </c>
      <c r="AN10167">
        <v>0.99999997837661103</v>
      </c>
    </row>
    <row r="10168" spans="1:40" x14ac:dyDescent="0.25">
      <c r="A10168" t="str">
        <f>"20190312154152229"</f>
        <v>20190312154152229</v>
      </c>
      <c r="B10168" t="str">
        <f>"1552376512216230"</f>
        <v>1552376512216230</v>
      </c>
      <c r="C10168" t="s">
        <v>40</v>
      </c>
      <c r="D10168">
        <v>4.4967489999999897</v>
      </c>
      <c r="E10168">
        <v>0.56215419999999905</v>
      </c>
      <c r="F10168" t="s">
        <v>42</v>
      </c>
      <c r="G10168">
        <v>-184.64269999999999</v>
      </c>
      <c r="H10168" s="1">
        <v>-4.6131839999999997E-6</v>
      </c>
      <c r="I10168">
        <v>118.17100000000001</v>
      </c>
      <c r="J10168">
        <v>-188.0829</v>
      </c>
      <c r="K10168">
        <v>1.1085860000000001</v>
      </c>
      <c r="L10168">
        <v>103.7341</v>
      </c>
      <c r="M10168">
        <v>2.1548330000000001E-2</v>
      </c>
      <c r="N10168">
        <v>0</v>
      </c>
      <c r="O10168">
        <v>0.99966379999999999</v>
      </c>
      <c r="P10168">
        <v>7.0587159999999996E-2</v>
      </c>
      <c r="Q10168">
        <v>6.2415419999999897E-3</v>
      </c>
      <c r="R10168">
        <v>0.99748610000000004</v>
      </c>
      <c r="S10168">
        <v>0.69229130000000005</v>
      </c>
      <c r="T10168">
        <v>-0.22260050000000001</v>
      </c>
      <c r="U10168">
        <v>2.9612120000000002</v>
      </c>
      <c r="V10168">
        <v>4.9147879999999998E-2</v>
      </c>
      <c r="W10168">
        <v>2.046949E-2</v>
      </c>
      <c r="X10168">
        <v>0.99858170000000002</v>
      </c>
      <c r="Y10168">
        <v>0.20600109999999999</v>
      </c>
      <c r="Z10168">
        <v>-7.315017E-2</v>
      </c>
      <c r="AA10168">
        <v>0.97581379999999995</v>
      </c>
      <c r="AB10168">
        <v>32</v>
      </c>
      <c r="AC10168">
        <v>3.4401999999999999</v>
      </c>
      <c r="AD10168">
        <v>-1.108590613184</v>
      </c>
      <c r="AE10168">
        <v>14.4369</v>
      </c>
      <c r="AF10168">
        <v>3.11091969960217</v>
      </c>
      <c r="AG10168">
        <v>-1.108590613184</v>
      </c>
      <c r="AH10168">
        <v>14.427186482166</v>
      </c>
      <c r="AI10168">
        <v>94.295647509554399</v>
      </c>
      <c r="AJ10168">
        <v>77.831677899069902</v>
      </c>
      <c r="AK10168">
        <v>14.800354871293001</v>
      </c>
      <c r="AL10168">
        <v>88.827102653579701</v>
      </c>
      <c r="AM10168">
        <v>87.182308052936307</v>
      </c>
      <c r="AN10168">
        <v>0.999999962852121</v>
      </c>
    </row>
    <row r="10169" spans="1:40" x14ac:dyDescent="0.25">
      <c r="A10169" t="str">
        <f>"20190312154152251"</f>
        <v>20190312154152251</v>
      </c>
      <c r="B10169" t="str">
        <f>"1552376512235749"</f>
        <v>1552376512235749</v>
      </c>
      <c r="C10169" t="s">
        <v>40</v>
      </c>
      <c r="D10169">
        <v>4.5569980000000001</v>
      </c>
      <c r="E10169">
        <v>0.56255409999999995</v>
      </c>
      <c r="F10169" t="s">
        <v>42</v>
      </c>
      <c r="G10169">
        <v>-184.62029999999999</v>
      </c>
      <c r="H10169" s="1">
        <v>-4.6976050000000001E-6</v>
      </c>
      <c r="I10169">
        <v>118.3586</v>
      </c>
      <c r="J10169">
        <v>-188.07419999999999</v>
      </c>
      <c r="K10169">
        <v>1.108401</v>
      </c>
      <c r="L10169">
        <v>104.0432</v>
      </c>
      <c r="M10169">
        <v>2.360976E-2</v>
      </c>
      <c r="N10169">
        <v>0</v>
      </c>
      <c r="O10169">
        <v>0.99961719999999998</v>
      </c>
      <c r="P10169">
        <v>7.3449539999999994E-2</v>
      </c>
      <c r="Q10169">
        <v>5.9760389999999998E-3</v>
      </c>
      <c r="R10169">
        <v>0.99728099999999997</v>
      </c>
      <c r="S10169">
        <v>0.70068359999999996</v>
      </c>
      <c r="T10169">
        <v>-0.22433230000000001</v>
      </c>
      <c r="U10169">
        <v>2.959381</v>
      </c>
      <c r="V10169">
        <v>4.9962689999999997E-2</v>
      </c>
      <c r="W10169">
        <v>2.017963E-2</v>
      </c>
      <c r="X10169">
        <v>0.99854719999999997</v>
      </c>
      <c r="Y10169">
        <v>0.20672940000000001</v>
      </c>
      <c r="Z10169">
        <v>-7.3725849999999996E-2</v>
      </c>
      <c r="AA10169">
        <v>0.9756165</v>
      </c>
      <c r="AB10169">
        <v>32</v>
      </c>
      <c r="AC10169">
        <v>3.4539</v>
      </c>
      <c r="AD10169">
        <v>-1.1084056976050001</v>
      </c>
      <c r="AE10169">
        <v>14.315399999999901</v>
      </c>
      <c r="AF10169">
        <v>3.0973713749698701</v>
      </c>
      <c r="AG10169">
        <v>-1.1084056976050001</v>
      </c>
      <c r="AH10169">
        <v>14.3118828333271</v>
      </c>
      <c r="AI10169">
        <v>94.328701077659005</v>
      </c>
      <c r="AJ10169">
        <v>77.788401380269207</v>
      </c>
      <c r="AK10169">
        <v>14.685103433747001</v>
      </c>
      <c r="AL10169">
        <v>88.843713882282401</v>
      </c>
      <c r="AM10169">
        <v>87.135572627817893</v>
      </c>
      <c r="AN10169">
        <v>0.99999999924340599</v>
      </c>
    </row>
    <row r="10170" spans="1:40" x14ac:dyDescent="0.25">
      <c r="A10170" t="str">
        <f>"20190312154152275"</f>
        <v>20190312154152275</v>
      </c>
      <c r="B10170" t="str">
        <f>"1552376512266005"</f>
        <v>1552376512266005</v>
      </c>
      <c r="C10170" t="s">
        <v>40</v>
      </c>
      <c r="D10170">
        <v>4.5322469999999999</v>
      </c>
      <c r="E10170">
        <v>0.56280669999999899</v>
      </c>
      <c r="F10170" t="s">
        <v>42</v>
      </c>
      <c r="G10170">
        <v>-184.62479999999999</v>
      </c>
      <c r="H10170" s="1">
        <v>-4.6988790000000001E-6</v>
      </c>
      <c r="I10170">
        <v>118.3634</v>
      </c>
      <c r="J10170">
        <v>-188.0635</v>
      </c>
      <c r="K10170">
        <v>1.1081719999999999</v>
      </c>
      <c r="L10170">
        <v>104.3854</v>
      </c>
      <c r="M10170">
        <v>2.61727E-2</v>
      </c>
      <c r="N10170">
        <v>0</v>
      </c>
      <c r="O10170">
        <v>0.99955329999999998</v>
      </c>
      <c r="P10170">
        <v>7.6885629999999996E-2</v>
      </c>
      <c r="Q10170">
        <v>4.563976E-3</v>
      </c>
      <c r="R10170">
        <v>0.99702950000000001</v>
      </c>
      <c r="S10170">
        <v>0.71229549999999997</v>
      </c>
      <c r="T10170">
        <v>-0.2288837</v>
      </c>
      <c r="U10170">
        <v>2.9570919999999998</v>
      </c>
      <c r="V10170">
        <v>5.0847940000000001E-2</v>
      </c>
      <c r="W10170">
        <v>1.873938E-2</v>
      </c>
      <c r="X10170">
        <v>0.99853060000000005</v>
      </c>
      <c r="Y10170">
        <v>0.20798839999999999</v>
      </c>
      <c r="Z10170">
        <v>-7.5218389999999996E-2</v>
      </c>
      <c r="AA10170">
        <v>0.97523490000000002</v>
      </c>
      <c r="AB10170">
        <v>32</v>
      </c>
      <c r="AC10170">
        <v>3.4387000000000101</v>
      </c>
      <c r="AD10170">
        <v>-1.1081766988789901</v>
      </c>
      <c r="AE10170">
        <v>13.9779999999999</v>
      </c>
      <c r="AF10170">
        <v>3.0535444095126598</v>
      </c>
      <c r="AG10170">
        <v>-1.1081766988789901</v>
      </c>
      <c r="AH10170">
        <v>13.9803633902256</v>
      </c>
      <c r="AI10170">
        <v>94.428203610247493</v>
      </c>
      <c r="AJ10170">
        <v>77.679140266805703</v>
      </c>
      <c r="AK10170">
        <v>14.3527958802306</v>
      </c>
      <c r="AL10170">
        <v>88.926249784850398</v>
      </c>
      <c r="AM10170">
        <v>87.084858470490701</v>
      </c>
      <c r="AN10170">
        <v>1.0000000182506901</v>
      </c>
    </row>
    <row r="10171" spans="1:40" x14ac:dyDescent="0.25">
      <c r="A10171" t="str">
        <f>"20190312154152298"</f>
        <v>20190312154152298</v>
      </c>
      <c r="B10171" t="str">
        <f>"1552376512286501"</f>
        <v>1552376512286501</v>
      </c>
      <c r="C10171" t="s">
        <v>40</v>
      </c>
      <c r="D10171">
        <v>4.4836790000000004</v>
      </c>
      <c r="E10171">
        <v>0.56298950000000003</v>
      </c>
      <c r="F10171" t="s">
        <v>42</v>
      </c>
      <c r="G10171">
        <v>-184.59530000000001</v>
      </c>
      <c r="H10171" s="1">
        <v>-4.7746699999999998E-6</v>
      </c>
      <c r="I10171">
        <v>118.5279</v>
      </c>
      <c r="J10171">
        <v>-188.05240000000001</v>
      </c>
      <c r="K10171">
        <v>1.107947</v>
      </c>
      <c r="L10171">
        <v>104.7052</v>
      </c>
      <c r="M10171">
        <v>2.8860340000000002E-2</v>
      </c>
      <c r="N10171">
        <v>0</v>
      </c>
      <c r="O10171">
        <v>0.99947920000000001</v>
      </c>
      <c r="P10171">
        <v>8.0752009999999999E-2</v>
      </c>
      <c r="Q10171">
        <v>4.4438480000000002E-3</v>
      </c>
      <c r="R10171">
        <v>0.99672430000000001</v>
      </c>
      <c r="S10171">
        <v>0.72445680000000001</v>
      </c>
      <c r="T10171">
        <v>-0.23147899999999999</v>
      </c>
      <c r="U10171">
        <v>2.9541170000000001</v>
      </c>
      <c r="V10171">
        <v>5.2045380000000002E-2</v>
      </c>
      <c r="W10171">
        <v>1.8590160000000001E-2</v>
      </c>
      <c r="X10171">
        <v>0.99847169999999996</v>
      </c>
      <c r="Y10171">
        <v>0.20935709999999999</v>
      </c>
      <c r="Z10171">
        <v>-7.6084319999999997E-2</v>
      </c>
      <c r="AA10171">
        <v>0.97487469999999998</v>
      </c>
      <c r="AB10171">
        <v>32</v>
      </c>
      <c r="AC10171">
        <v>3.4570999999999898</v>
      </c>
      <c r="AD10171">
        <v>-1.1079517746700001</v>
      </c>
      <c r="AE10171">
        <v>13.8226999999999</v>
      </c>
      <c r="AF10171">
        <v>3.0383189836011502</v>
      </c>
      <c r="AG10171">
        <v>-1.1079517746700001</v>
      </c>
      <c r="AH10171">
        <v>13.833082388960101</v>
      </c>
      <c r="AI10171">
        <v>94.473115028230794</v>
      </c>
      <c r="AJ10171">
        <v>77.612175145502903</v>
      </c>
      <c r="AK10171">
        <v>14.206094036041801</v>
      </c>
      <c r="AL10171">
        <v>88.934800958449401</v>
      </c>
      <c r="AM10171">
        <v>87.016155479478599</v>
      </c>
      <c r="AN10171">
        <v>1.0000000256645201</v>
      </c>
    </row>
    <row r="10172" spans="1:40" x14ac:dyDescent="0.25">
      <c r="A10172" t="str">
        <f>"20190312154152318"</f>
        <v>20190312154152318</v>
      </c>
      <c r="B10172" t="str">
        <f>"1552376512306529"</f>
        <v>1552376512306529</v>
      </c>
      <c r="C10172" t="s">
        <v>40</v>
      </c>
      <c r="D10172">
        <v>4.3872</v>
      </c>
      <c r="E10172">
        <v>0.5631235</v>
      </c>
      <c r="F10172" t="s">
        <v>42</v>
      </c>
      <c r="G10172">
        <v>-184.50980000000001</v>
      </c>
      <c r="H10172" s="1">
        <v>-4.940594E-6</v>
      </c>
      <c r="I10172">
        <v>118.8793</v>
      </c>
      <c r="J10172">
        <v>-188.04130000000001</v>
      </c>
      <c r="K10172">
        <v>1.10775</v>
      </c>
      <c r="L10172">
        <v>104.997</v>
      </c>
      <c r="M10172">
        <v>3.1570460000000002E-2</v>
      </c>
      <c r="N10172">
        <v>0</v>
      </c>
      <c r="O10172">
        <v>0.99939730000000004</v>
      </c>
      <c r="P10172">
        <v>8.5223759999999996E-2</v>
      </c>
      <c r="Q10172">
        <v>4.6533520000000004E-3</v>
      </c>
      <c r="R10172">
        <v>0.99635090000000004</v>
      </c>
      <c r="S10172">
        <v>0.73759459999999999</v>
      </c>
      <c r="T10172">
        <v>-0.2306812</v>
      </c>
      <c r="U10172">
        <v>2.9511259999999999</v>
      </c>
      <c r="V10172">
        <v>5.3828809999999998E-2</v>
      </c>
      <c r="W10172">
        <v>1.8767989999999998E-2</v>
      </c>
      <c r="X10172">
        <v>0.99837379999999998</v>
      </c>
      <c r="Y10172">
        <v>0.21102779999999999</v>
      </c>
      <c r="Z10172">
        <v>-7.5834899999999997E-2</v>
      </c>
      <c r="AA10172">
        <v>0.97453389999999995</v>
      </c>
      <c r="AB10172">
        <v>32</v>
      </c>
      <c r="AC10172">
        <v>3.5314999999999901</v>
      </c>
      <c r="AD10172">
        <v>-1.1077549405939999</v>
      </c>
      <c r="AE10172">
        <v>13.882299999999899</v>
      </c>
      <c r="AF10172">
        <v>3.0730449211842399</v>
      </c>
      <c r="AG10172">
        <v>-1.1077549405939999</v>
      </c>
      <c r="AH10172">
        <v>13.903731164125499</v>
      </c>
      <c r="AI10172">
        <v>94.448403547326393</v>
      </c>
      <c r="AJ10172">
        <v>77.536683683923599</v>
      </c>
      <c r="AK10172">
        <v>14.2823130612763</v>
      </c>
      <c r="AL10172">
        <v>88.924610256903804</v>
      </c>
      <c r="AM10172">
        <v>86.913800934072896</v>
      </c>
      <c r="AN10172">
        <v>1.0000000113805401</v>
      </c>
    </row>
    <row r="10173" spans="1:40" x14ac:dyDescent="0.25">
      <c r="A10173" t="str">
        <f>"20190312154152330"</f>
        <v>20190312154152330</v>
      </c>
      <c r="B10173" t="str">
        <f>"1552376512316289"</f>
        <v>1552376512316289</v>
      </c>
      <c r="C10173" t="s">
        <v>40</v>
      </c>
      <c r="D10173">
        <v>4.5012189999999999</v>
      </c>
      <c r="E10173">
        <v>0.56319039999999998</v>
      </c>
      <c r="F10173" t="s">
        <v>42</v>
      </c>
      <c r="G10173">
        <v>-184.40299999999999</v>
      </c>
      <c r="H10173" s="1">
        <v>-5.1222790000000001E-6</v>
      </c>
      <c r="I10173">
        <v>119.2586</v>
      </c>
      <c r="J10173">
        <v>-188.03380000000001</v>
      </c>
      <c r="K10173">
        <v>1.1076379999999999</v>
      </c>
      <c r="L10173">
        <v>105.1784</v>
      </c>
      <c r="M10173">
        <v>3.3365909999999999E-2</v>
      </c>
      <c r="N10173">
        <v>0</v>
      </c>
      <c r="O10173">
        <v>0.99933890000000003</v>
      </c>
      <c r="P10173">
        <v>8.7940099999999993E-2</v>
      </c>
      <c r="Q10173">
        <v>4.9993169999999997E-3</v>
      </c>
      <c r="R10173">
        <v>0.99611320000000003</v>
      </c>
      <c r="S10173">
        <v>0.75199890000000003</v>
      </c>
      <c r="T10173">
        <v>-0.22896089999999999</v>
      </c>
      <c r="U10173">
        <v>2.9477229999999999</v>
      </c>
      <c r="V10173">
        <v>5.4764699999999902E-2</v>
      </c>
      <c r="W10173">
        <v>1.909599E-2</v>
      </c>
      <c r="X10173">
        <v>0.9983166</v>
      </c>
      <c r="Y10173">
        <v>0.2140224</v>
      </c>
      <c r="Z10173">
        <v>-7.5280890000000003E-2</v>
      </c>
      <c r="AA10173">
        <v>0.9739236</v>
      </c>
      <c r="AB10173">
        <v>32</v>
      </c>
      <c r="AC10173">
        <v>3.6308000000000198</v>
      </c>
      <c r="AD10173">
        <v>-1.107643122279</v>
      </c>
      <c r="AE10173">
        <v>14.0802</v>
      </c>
      <c r="AF10173">
        <v>3.1407060033554801</v>
      </c>
      <c r="AG10173">
        <v>-1.107643122279</v>
      </c>
      <c r="AH10173">
        <v>14.111631835547</v>
      </c>
      <c r="AI10173">
        <v>94.381264123123302</v>
      </c>
      <c r="AJ10173">
        <v>77.452669011558996</v>
      </c>
      <c r="AK10173">
        <v>14.499277931947899</v>
      </c>
      <c r="AL10173">
        <v>88.905813785153597</v>
      </c>
      <c r="AM10173">
        <v>86.860069903134601</v>
      </c>
      <c r="AN10173">
        <v>0.99999993151786204</v>
      </c>
    </row>
    <row r="10174" spans="1:40" x14ac:dyDescent="0.25">
      <c r="A10174" t="str">
        <f>"20190312154152344"</f>
        <v>20190312154152344</v>
      </c>
      <c r="B10174" t="str">
        <f>"1552376512335810"</f>
        <v>1552376512335810</v>
      </c>
      <c r="C10174" t="s">
        <v>40</v>
      </c>
      <c r="D10174">
        <v>4.5006399999999998</v>
      </c>
      <c r="E10174">
        <v>0.56340559999999995</v>
      </c>
      <c r="F10174" t="s">
        <v>42</v>
      </c>
      <c r="G10174">
        <v>-184.33109999999999</v>
      </c>
      <c r="H10174" s="1">
        <v>-5.2464430000000004E-6</v>
      </c>
      <c r="I10174">
        <v>119.5183</v>
      </c>
      <c r="J10174">
        <v>-188.0258</v>
      </c>
      <c r="K10174">
        <v>1.107521</v>
      </c>
      <c r="L10174">
        <v>105.3631</v>
      </c>
      <c r="M10174">
        <v>3.5257959999999998E-2</v>
      </c>
      <c r="N10174">
        <v>0</v>
      </c>
      <c r="O10174">
        <v>0.99927379999999999</v>
      </c>
      <c r="P10174">
        <v>9.0368829999999997E-2</v>
      </c>
      <c r="Q10174">
        <v>4.9684569999999999E-3</v>
      </c>
      <c r="R10174">
        <v>0.995896</v>
      </c>
      <c r="S10174">
        <v>0.76060490000000003</v>
      </c>
      <c r="T10174">
        <v>-0.22752929999999999</v>
      </c>
      <c r="U10174">
        <v>2.9456790000000002</v>
      </c>
      <c r="V10174">
        <v>5.5313899999999999E-2</v>
      </c>
      <c r="W10174">
        <v>1.9050230000000001E-2</v>
      </c>
      <c r="X10174">
        <v>0.99828729999999999</v>
      </c>
      <c r="Y10174">
        <v>0.21501310000000001</v>
      </c>
      <c r="Z10174">
        <v>-7.4820730000000002E-2</v>
      </c>
      <c r="AA10174">
        <v>0.97374079999999996</v>
      </c>
      <c r="AB10174">
        <v>32</v>
      </c>
      <c r="AC10174">
        <v>3.6947000000000099</v>
      </c>
      <c r="AD10174">
        <v>-1.107526246443</v>
      </c>
      <c r="AE10174">
        <v>14.155199999999899</v>
      </c>
      <c r="AF10174">
        <v>3.1750694894905598</v>
      </c>
      <c r="AG10174">
        <v>-1.107526246443</v>
      </c>
      <c r="AH10174">
        <v>14.195320719788301</v>
      </c>
      <c r="AI10174">
        <v>94.354054033214396</v>
      </c>
      <c r="AJ10174">
        <v>77.392160526999206</v>
      </c>
      <c r="AK10174">
        <v>14.588173668671001</v>
      </c>
      <c r="AL10174">
        <v>88.908436231365798</v>
      </c>
      <c r="AM10174">
        <v>86.828552627080299</v>
      </c>
      <c r="AN10174">
        <v>1.00000003606877</v>
      </c>
    </row>
    <row r="10175" spans="1:40" x14ac:dyDescent="0.25">
      <c r="A10175" t="str">
        <f>"20190312154152364"</f>
        <v>20190312154152364</v>
      </c>
      <c r="B10175" t="str">
        <f>"1552376512356310"</f>
        <v>1552376512356310</v>
      </c>
      <c r="C10175" t="s">
        <v>40</v>
      </c>
      <c r="D10175">
        <v>4.4637779999999996</v>
      </c>
      <c r="E10175">
        <v>0.563532699999999</v>
      </c>
      <c r="F10175" t="s">
        <v>55</v>
      </c>
      <c r="G10175">
        <v>-184.27809999999999</v>
      </c>
      <c r="H10175" s="1">
        <v>-1.5349370000000001E-6</v>
      </c>
      <c r="I10175">
        <v>119.6968</v>
      </c>
      <c r="J10175">
        <v>-188.01310000000001</v>
      </c>
      <c r="K10175">
        <v>1.107364</v>
      </c>
      <c r="L10175">
        <v>105.63939999999999</v>
      </c>
      <c r="M10175">
        <v>3.8235930000000001E-2</v>
      </c>
      <c r="N10175">
        <v>0</v>
      </c>
      <c r="O10175">
        <v>0.99916430000000001</v>
      </c>
      <c r="P10175">
        <v>9.4450359999999997E-2</v>
      </c>
      <c r="Q10175">
        <v>4.5175290000000002E-3</v>
      </c>
      <c r="R10175">
        <v>0.9955193</v>
      </c>
      <c r="S10175">
        <v>0.76965329999999998</v>
      </c>
      <c r="T10175">
        <v>-0.22744729999999999</v>
      </c>
      <c r="U10175">
        <v>2.9436650000000002</v>
      </c>
      <c r="V10175">
        <v>5.6435260000000001E-2</v>
      </c>
      <c r="W10175">
        <v>1.8574429999999999E-2</v>
      </c>
      <c r="X10175">
        <v>0.99823340000000005</v>
      </c>
      <c r="Y10175">
        <v>0.21506829999999999</v>
      </c>
      <c r="Z10175">
        <v>-7.4802069999999998E-2</v>
      </c>
      <c r="AA10175">
        <v>0.97373010000000004</v>
      </c>
      <c r="AB10175">
        <v>32</v>
      </c>
      <c r="AC10175">
        <v>3.7350000000000101</v>
      </c>
      <c r="AD10175">
        <v>-1.107365534937</v>
      </c>
      <c r="AE10175">
        <v>14.057399999999999</v>
      </c>
      <c r="AF10175">
        <v>3.1763036641349598</v>
      </c>
      <c r="AG10175">
        <v>-1.107365534937</v>
      </c>
      <c r="AH10175">
        <v>14.1081698822154</v>
      </c>
      <c r="AI10175">
        <v>94.378843555342101</v>
      </c>
      <c r="AJ10175">
        <v>77.312019349584403</v>
      </c>
      <c r="AK10175">
        <v>14.5036416399542</v>
      </c>
      <c r="AL10175">
        <v>88.935702279589705</v>
      </c>
      <c r="AM10175">
        <v>86.764219861964094</v>
      </c>
      <c r="AN10175">
        <v>0.99999993444832402</v>
      </c>
    </row>
    <row r="10176" spans="1:40" x14ac:dyDescent="0.25">
      <c r="A10176" t="str">
        <f>"20190312154152377"</f>
        <v>20190312154152377</v>
      </c>
      <c r="B10176" t="str">
        <f>"1552376512366065"</f>
        <v>1552376512366065</v>
      </c>
      <c r="C10176" t="s">
        <v>40</v>
      </c>
      <c r="D10176">
        <v>4.5154620000000003</v>
      </c>
      <c r="E10176">
        <v>0.56355239999999995</v>
      </c>
      <c r="F10176" t="s">
        <v>55</v>
      </c>
      <c r="G10176">
        <v>-184.21190000000001</v>
      </c>
      <c r="H10176" s="1">
        <v>-1.616604E-6</v>
      </c>
      <c r="I10176">
        <v>119.9143</v>
      </c>
      <c r="J10176">
        <v>-188.00360000000001</v>
      </c>
      <c r="K10176">
        <v>1.1072550000000001</v>
      </c>
      <c r="L10176">
        <v>105.8347</v>
      </c>
      <c r="M10176">
        <v>4.0437479999999998E-2</v>
      </c>
      <c r="N10176">
        <v>0</v>
      </c>
      <c r="O10176">
        <v>0.99907760000000001</v>
      </c>
      <c r="P10176">
        <v>9.725926E-2</v>
      </c>
      <c r="Q10176">
        <v>4.4691510000000002E-3</v>
      </c>
      <c r="R10176">
        <v>0.99524900000000005</v>
      </c>
      <c r="S10176">
        <v>0.78294370000000002</v>
      </c>
      <c r="T10176">
        <v>-0.22808729999999999</v>
      </c>
      <c r="U10176">
        <v>2.9402469999999998</v>
      </c>
      <c r="V10176">
        <v>5.7057429999999999E-2</v>
      </c>
      <c r="W10176">
        <v>1.8509109999999999E-2</v>
      </c>
      <c r="X10176">
        <v>0.99819930000000001</v>
      </c>
      <c r="Y10176">
        <v>0.21730350000000001</v>
      </c>
      <c r="Z10176">
        <v>-7.5024229999999997E-2</v>
      </c>
      <c r="AA10176">
        <v>0.97321659999999999</v>
      </c>
      <c r="AB10176">
        <v>31</v>
      </c>
      <c r="AC10176">
        <v>3.7916999999999899</v>
      </c>
      <c r="AD10176">
        <v>-1.1072566166040001</v>
      </c>
      <c r="AE10176">
        <v>14.079599999999999</v>
      </c>
      <c r="AF10176">
        <v>3.20073813184539</v>
      </c>
      <c r="AG10176">
        <v>-1.1072566166040001</v>
      </c>
      <c r="AH10176">
        <v>14.139887320279099</v>
      </c>
      <c r="AI10176">
        <v>94.367488192276198</v>
      </c>
      <c r="AJ10176">
        <v>77.245342497932697</v>
      </c>
      <c r="AK10176">
        <v>14.539847153043</v>
      </c>
      <c r="AL10176">
        <v>88.939445542578397</v>
      </c>
      <c r="AM10176">
        <v>86.728512578540602</v>
      </c>
      <c r="AN10176">
        <v>0.99999998999584305</v>
      </c>
    </row>
    <row r="10177" spans="1:40" x14ac:dyDescent="0.25">
      <c r="A10177" t="str">
        <f>"20190312154152396"</f>
        <v>20190312154152396</v>
      </c>
      <c r="B10177" t="str">
        <f>"1552376512386560"</f>
        <v>1552376512386560</v>
      </c>
      <c r="C10177" t="s">
        <v>40</v>
      </c>
      <c r="D10177">
        <v>4.4813900000000002</v>
      </c>
      <c r="E10177">
        <v>0.56372129999999998</v>
      </c>
      <c r="F10177" t="s">
        <v>55</v>
      </c>
      <c r="G10177">
        <v>-184.15199999999999</v>
      </c>
      <c r="H10177" s="1">
        <v>-1.6959079999999999E-6</v>
      </c>
      <c r="I10177">
        <v>120.12949999999999</v>
      </c>
      <c r="J10177">
        <v>-187.98939999999999</v>
      </c>
      <c r="K10177">
        <v>1.1071</v>
      </c>
      <c r="L10177">
        <v>106.1053</v>
      </c>
      <c r="M10177">
        <v>4.3653539999999998E-2</v>
      </c>
      <c r="N10177">
        <v>0</v>
      </c>
      <c r="O10177">
        <v>0.99894210000000006</v>
      </c>
      <c r="P10177">
        <v>0.1024138</v>
      </c>
      <c r="Q10177">
        <v>4.5329029999999996E-3</v>
      </c>
      <c r="R10177">
        <v>0.99473149999999999</v>
      </c>
      <c r="S10177">
        <v>0.7916107</v>
      </c>
      <c r="T10177">
        <v>-0.227572</v>
      </c>
      <c r="U10177">
        <v>2.9379729999999999</v>
      </c>
      <c r="V10177">
        <v>5.9022829999999998E-2</v>
      </c>
      <c r="W10177">
        <v>1.8541060000000002E-2</v>
      </c>
      <c r="X10177">
        <v>0.99808439999999998</v>
      </c>
      <c r="Y10177">
        <v>0.21703059999999999</v>
      </c>
      <c r="Z10177">
        <v>-7.4870430000000002E-2</v>
      </c>
      <c r="AA10177">
        <v>0.97328930000000002</v>
      </c>
      <c r="AB10177">
        <v>31</v>
      </c>
      <c r="AC10177">
        <v>3.8373999999999699</v>
      </c>
      <c r="AD10177">
        <v>-1.107101695908</v>
      </c>
      <c r="AE10177">
        <v>14.024199999999899</v>
      </c>
      <c r="AF10177">
        <v>3.2029014419891402</v>
      </c>
      <c r="AG10177">
        <v>-1.107101695908</v>
      </c>
      <c r="AH10177">
        <v>14.096632697140601</v>
      </c>
      <c r="AI10177">
        <v>94.379428882195697</v>
      </c>
      <c r="AJ10177">
        <v>77.199130104823894</v>
      </c>
      <c r="AK10177">
        <v>14.498251798416</v>
      </c>
      <c r="AL10177">
        <v>88.937614604251905</v>
      </c>
      <c r="AM10177">
        <v>86.615691808003902</v>
      </c>
      <c r="AN10177">
        <v>0.999999967445245</v>
      </c>
    </row>
    <row r="10178" spans="1:40" x14ac:dyDescent="0.25">
      <c r="A10178" t="str">
        <f>"20190312154152419"</f>
        <v>20190312154152419</v>
      </c>
      <c r="B10178" t="str">
        <f>"1552376512406480"</f>
        <v>1552376512406480</v>
      </c>
      <c r="C10178" t="s">
        <v>40</v>
      </c>
      <c r="D10178">
        <v>4.4776350000000003</v>
      </c>
      <c r="E10178">
        <v>0.56382540000000003</v>
      </c>
      <c r="F10178" t="s">
        <v>55</v>
      </c>
      <c r="G10178">
        <v>-184.03649999999999</v>
      </c>
      <c r="H10178" s="1">
        <v>-1.819671E-6</v>
      </c>
      <c r="I10178">
        <v>120.44540000000001</v>
      </c>
      <c r="J10178">
        <v>-187.9725</v>
      </c>
      <c r="K10178">
        <v>1.106922</v>
      </c>
      <c r="L10178">
        <v>106.40560000000001</v>
      </c>
      <c r="M10178">
        <v>4.7406049999999998E-2</v>
      </c>
      <c r="N10178">
        <v>0</v>
      </c>
      <c r="O10178">
        <v>0.99877099999999996</v>
      </c>
      <c r="P10178">
        <v>0.10866530000000001</v>
      </c>
      <c r="Q10178">
        <v>4.1258950000000001E-3</v>
      </c>
      <c r="R10178">
        <v>0.9940698</v>
      </c>
      <c r="S10178">
        <v>0.80867</v>
      </c>
      <c r="T10178">
        <v>-0.22648750000000001</v>
      </c>
      <c r="U10178">
        <v>2.9336549999999999</v>
      </c>
      <c r="V10178">
        <v>6.155265E-2</v>
      </c>
      <c r="W10178">
        <v>1.809529E-2</v>
      </c>
      <c r="X10178">
        <v>0.99793980000000004</v>
      </c>
      <c r="Y10178">
        <v>0.2189981</v>
      </c>
      <c r="Z10178">
        <v>-7.4529419999999999E-2</v>
      </c>
      <c r="AA10178">
        <v>0.97287469999999998</v>
      </c>
      <c r="AB10178">
        <v>31</v>
      </c>
      <c r="AC10178">
        <v>3.9359999999999999</v>
      </c>
      <c r="AD10178">
        <v>-1.1069238196709901</v>
      </c>
      <c r="AE10178">
        <v>14.0398</v>
      </c>
      <c r="AF10178">
        <v>3.24721873109252</v>
      </c>
      <c r="AG10178">
        <v>-1.1069238196709901</v>
      </c>
      <c r="AH10178">
        <v>14.129193624088799</v>
      </c>
      <c r="AI10178">
        <v>94.366207437824599</v>
      </c>
      <c r="AJ10178">
        <v>77.056848180022399</v>
      </c>
      <c r="AK10178">
        <v>14.539732538706</v>
      </c>
      <c r="AL10178">
        <v>88.963159671501103</v>
      </c>
      <c r="AM10178">
        <v>86.470483567274897</v>
      </c>
      <c r="AN10178">
        <v>1.00000000633312</v>
      </c>
    </row>
    <row r="10179" spans="1:40" x14ac:dyDescent="0.25">
      <c r="A10179" t="str">
        <f>"20190312154152431"</f>
        <v>20190312154152431</v>
      </c>
      <c r="B10179" t="str">
        <f>"1552376512416240"</f>
        <v>1552376512416240</v>
      </c>
      <c r="C10179" t="s">
        <v>40</v>
      </c>
      <c r="D10179">
        <v>4.4899940000000003</v>
      </c>
      <c r="E10179">
        <v>0.56385909999999995</v>
      </c>
      <c r="F10179" t="s">
        <v>55</v>
      </c>
      <c r="G10179">
        <v>-183.94649999999999</v>
      </c>
      <c r="H10179" s="1">
        <v>-1.9012840000000001E-6</v>
      </c>
      <c r="I10179">
        <v>120.64109999999999</v>
      </c>
      <c r="J10179">
        <v>-187.96090000000001</v>
      </c>
      <c r="K10179">
        <v>1.106811</v>
      </c>
      <c r="L10179">
        <v>106.5972</v>
      </c>
      <c r="M10179">
        <v>4.9910950000000003E-2</v>
      </c>
      <c r="N10179">
        <v>0</v>
      </c>
      <c r="O10179">
        <v>0.99864889999999995</v>
      </c>
      <c r="P10179">
        <v>0.11255039999999999</v>
      </c>
      <c r="Q10179">
        <v>4.2650539999999999E-3</v>
      </c>
      <c r="R10179">
        <v>0.99363679999999999</v>
      </c>
      <c r="S10179">
        <v>0.82817079999999998</v>
      </c>
      <c r="T10179">
        <v>-0.22770080000000001</v>
      </c>
      <c r="U10179">
        <v>2.9283290000000002</v>
      </c>
      <c r="V10179">
        <v>6.2956890000000001E-2</v>
      </c>
      <c r="W10179">
        <v>1.8210190000000001E-2</v>
      </c>
      <c r="X10179">
        <v>0.99785009999999996</v>
      </c>
      <c r="Y10179">
        <v>0.22300339999999999</v>
      </c>
      <c r="Z10179">
        <v>-7.4943040000000002E-2</v>
      </c>
      <c r="AA10179">
        <v>0.97193260000000004</v>
      </c>
      <c r="AB10179">
        <v>31</v>
      </c>
      <c r="AC10179">
        <v>4.0144000000000197</v>
      </c>
      <c r="AD10179">
        <v>-1.106812901284</v>
      </c>
      <c r="AE10179">
        <v>14.043899999999899</v>
      </c>
      <c r="AF10179">
        <v>3.2894897118793098</v>
      </c>
      <c r="AG10179">
        <v>-1.106812901284</v>
      </c>
      <c r="AH10179">
        <v>14.145552814657799</v>
      </c>
      <c r="AI10179">
        <v>94.358147551037803</v>
      </c>
      <c r="AJ10179">
        <v>76.908774529385198</v>
      </c>
      <c r="AK10179">
        <v>14.5651104285303</v>
      </c>
      <c r="AL10179">
        <v>88.956575296539</v>
      </c>
      <c r="AM10179">
        <v>86.389849356808298</v>
      </c>
      <c r="AN10179">
        <v>1.0000000015441499</v>
      </c>
    </row>
    <row r="10180" spans="1:40" x14ac:dyDescent="0.25">
      <c r="A10180" t="str">
        <f>"20190312154152454"</f>
        <v>20190312154152454</v>
      </c>
      <c r="B10180" t="str">
        <f>"1552376512446497"</f>
        <v>1552376512446497</v>
      </c>
      <c r="C10180" t="s">
        <v>40</v>
      </c>
      <c r="D10180">
        <v>4.5140409999999997</v>
      </c>
      <c r="E10180">
        <v>0.56402099999999999</v>
      </c>
      <c r="F10180" t="s">
        <v>55</v>
      </c>
      <c r="G10180">
        <v>-183.8647</v>
      </c>
      <c r="H10180" s="1">
        <v>-1.9881410000000001E-6</v>
      </c>
      <c r="I10180">
        <v>120.8621</v>
      </c>
      <c r="J10180">
        <v>-187.9417</v>
      </c>
      <c r="K10180">
        <v>1.1066389999999999</v>
      </c>
      <c r="L10180">
        <v>106.899</v>
      </c>
      <c r="M10180">
        <v>5.3972150000000003E-2</v>
      </c>
      <c r="N10180">
        <v>0</v>
      </c>
      <c r="O10180">
        <v>0.99843749999999998</v>
      </c>
      <c r="P10180">
        <v>0.1192262</v>
      </c>
      <c r="Q10180">
        <v>4.2661670000000004E-3</v>
      </c>
      <c r="R10180">
        <v>0.99285789999999996</v>
      </c>
      <c r="S10180">
        <v>0.83993530000000005</v>
      </c>
      <c r="T10180">
        <v>-0.2269545</v>
      </c>
      <c r="U10180">
        <v>2.9250639999999999</v>
      </c>
      <c r="V10180">
        <v>6.5612589999999998E-2</v>
      </c>
      <c r="W10180">
        <v>1.816918E-2</v>
      </c>
      <c r="X10180">
        <v>0.99767980000000001</v>
      </c>
      <c r="Y10180">
        <v>0.22294340000000001</v>
      </c>
      <c r="Z10180">
        <v>-7.4715069999999995E-2</v>
      </c>
      <c r="AA10180">
        <v>0.97196389999999999</v>
      </c>
      <c r="AB10180">
        <v>31</v>
      </c>
      <c r="AC10180">
        <v>4.0769999999999902</v>
      </c>
      <c r="AD10180">
        <v>-1.106640988141</v>
      </c>
      <c r="AE10180">
        <v>13.963099999999899</v>
      </c>
      <c r="AF10180">
        <v>3.2982688547568801</v>
      </c>
      <c r="AG10180">
        <v>-1.106640988141</v>
      </c>
      <c r="AH10180">
        <v>14.081310524501699</v>
      </c>
      <c r="AI10180">
        <v>94.375650732019196</v>
      </c>
      <c r="AJ10180">
        <v>76.817251362824194</v>
      </c>
      <c r="AK10180">
        <v>14.5047074359442</v>
      </c>
      <c r="AL10180">
        <v>88.958925443212607</v>
      </c>
      <c r="AM10180">
        <v>86.237351157398507</v>
      </c>
      <c r="AN10180">
        <v>1.0000000571982</v>
      </c>
    </row>
    <row r="10181" spans="1:40" x14ac:dyDescent="0.25">
      <c r="A10181" t="str">
        <f>"20190312154152476"</f>
        <v>20190312154152476</v>
      </c>
      <c r="B10181" t="str">
        <f>"1552376512466017"</f>
        <v>1552376512466017</v>
      </c>
      <c r="C10181" t="s">
        <v>40</v>
      </c>
      <c r="D10181">
        <v>4.5451090000000001</v>
      </c>
      <c r="E10181">
        <v>0.57374409999999998</v>
      </c>
      <c r="F10181" t="s">
        <v>55</v>
      </c>
      <c r="G10181">
        <v>-183.74170000000001</v>
      </c>
      <c r="H10181" s="1">
        <v>-2.1013180000000002E-6</v>
      </c>
      <c r="I10181">
        <v>121.1353</v>
      </c>
      <c r="J10181">
        <v>-187.92</v>
      </c>
      <c r="K10181">
        <v>1.106487</v>
      </c>
      <c r="L10181">
        <v>107.2154</v>
      </c>
      <c r="M10181">
        <v>5.8405560000000002E-2</v>
      </c>
      <c r="N10181">
        <v>0</v>
      </c>
      <c r="O10181">
        <v>0.99818779999999996</v>
      </c>
      <c r="P10181">
        <v>0.12589900000000001</v>
      </c>
      <c r="Q10181">
        <v>3.894266E-3</v>
      </c>
      <c r="R10181">
        <v>0.99203540000000001</v>
      </c>
      <c r="S10181">
        <v>0.86120609999999997</v>
      </c>
      <c r="T10181">
        <v>-0.22691700000000001</v>
      </c>
      <c r="U10181">
        <v>2.9191440000000002</v>
      </c>
      <c r="V10181">
        <v>6.7893839999999997E-2</v>
      </c>
      <c r="W10181">
        <v>1.7757740000000001E-2</v>
      </c>
      <c r="X10181">
        <v>0.99753449999999999</v>
      </c>
      <c r="Y10181">
        <v>0.225665</v>
      </c>
      <c r="Z10181">
        <v>-7.4721369999999995E-2</v>
      </c>
      <c r="AA10181">
        <v>0.97133519999999896</v>
      </c>
      <c r="AB10181">
        <v>31</v>
      </c>
      <c r="AC10181">
        <v>4.1782999999999699</v>
      </c>
      <c r="AD10181">
        <v>-1.106489101318</v>
      </c>
      <c r="AE10181">
        <v>13.919899999999901</v>
      </c>
      <c r="AF10181">
        <v>3.3387285098255899</v>
      </c>
      <c r="AG10181">
        <v>-1.106489101318</v>
      </c>
      <c r="AH10181">
        <v>14.0587050966957</v>
      </c>
      <c r="AI10181">
        <v>94.378887028251299</v>
      </c>
      <c r="AJ10181">
        <v>76.640606949457805</v>
      </c>
      <c r="AK10181">
        <v>14.4920190170147</v>
      </c>
      <c r="AL10181">
        <v>88.982502958403899</v>
      </c>
      <c r="AM10181">
        <v>86.106359812715297</v>
      </c>
      <c r="AN10181">
        <v>0.99999999476505097</v>
      </c>
    </row>
    <row r="10182" spans="1:40" x14ac:dyDescent="0.25">
      <c r="A10182" t="str">
        <f>"20190312154152498"</f>
        <v>20190312154152498</v>
      </c>
      <c r="B10182" t="str">
        <f>"1552376512486512"</f>
        <v>1552376512486512</v>
      </c>
      <c r="C10182" t="s">
        <v>40</v>
      </c>
      <c r="D10182">
        <v>4.5118980000000004</v>
      </c>
      <c r="E10182">
        <v>0.57368359999999996</v>
      </c>
      <c r="F10182" t="s">
        <v>55</v>
      </c>
      <c r="G10182">
        <v>-183.07570000000001</v>
      </c>
      <c r="H10182" s="1">
        <v>-2.5043849999999999E-6</v>
      </c>
      <c r="I10182">
        <v>121.9021</v>
      </c>
      <c r="J10182">
        <v>-187.8974</v>
      </c>
      <c r="K10182">
        <v>1.1063449999999999</v>
      </c>
      <c r="L10182">
        <v>107.52379999999999</v>
      </c>
      <c r="M10182">
        <v>6.2904779999999993E-2</v>
      </c>
      <c r="N10182">
        <v>0</v>
      </c>
      <c r="O10182">
        <v>0.99791430000000003</v>
      </c>
      <c r="P10182">
        <v>0.13290379999999999</v>
      </c>
      <c r="Q10182">
        <v>4.1378059999999999E-3</v>
      </c>
      <c r="R10182">
        <v>0.99112029999999995</v>
      </c>
      <c r="S10182">
        <v>0.95768739999999997</v>
      </c>
      <c r="T10182">
        <v>-0.21874150000000001</v>
      </c>
      <c r="U10182">
        <v>2.9034119999999999</v>
      </c>
      <c r="V10182">
        <v>7.0452280000000006E-2</v>
      </c>
      <c r="W10182">
        <v>1.7959409999999999E-2</v>
      </c>
      <c r="X10182">
        <v>0.9973535</v>
      </c>
      <c r="Y10182">
        <v>0.25207499999999999</v>
      </c>
      <c r="Z10182">
        <v>-7.1800249999999996E-2</v>
      </c>
      <c r="AA10182">
        <v>0.96504040000000002</v>
      </c>
      <c r="AB10182">
        <v>31</v>
      </c>
      <c r="AC10182">
        <v>4.8216999999999901</v>
      </c>
      <c r="AD10182">
        <v>-1.106347504385</v>
      </c>
      <c r="AE10182">
        <v>14.378299999999999</v>
      </c>
      <c r="AF10182">
        <v>3.88690339681964</v>
      </c>
      <c r="AG10182">
        <v>-1.106347504385</v>
      </c>
      <c r="AH10182">
        <v>14.5755850418813</v>
      </c>
      <c r="AI10182">
        <v>94.194628142329094</v>
      </c>
      <c r="AJ10182">
        <v>75.068286586292999</v>
      </c>
      <c r="AK10182">
        <v>15.125465352503401</v>
      </c>
      <c r="AL10182">
        <v>88.970946315888</v>
      </c>
      <c r="AM10182">
        <v>85.959382281558803</v>
      </c>
      <c r="AN10182">
        <v>1.00000003406349</v>
      </c>
    </row>
    <row r="10183" spans="1:40" x14ac:dyDescent="0.25">
      <c r="A10183" t="str">
        <f>"20190312154152519"</f>
        <v>20190312154152519</v>
      </c>
      <c r="B10183" t="str">
        <f>"1552376512506539"</f>
        <v>1552376512506539</v>
      </c>
      <c r="C10183" t="s">
        <v>40</v>
      </c>
      <c r="D10183">
        <v>4.4972960000000004</v>
      </c>
      <c r="E10183">
        <v>0.57388349999999999</v>
      </c>
      <c r="F10183" t="s">
        <v>55</v>
      </c>
      <c r="G10183">
        <v>-183.06870000000001</v>
      </c>
      <c r="H10183" s="1">
        <v>-2.4850389999999999E-6</v>
      </c>
      <c r="I10183">
        <v>121.8301</v>
      </c>
      <c r="J10183">
        <v>-187.87459999999999</v>
      </c>
      <c r="K10183">
        <v>1.106233</v>
      </c>
      <c r="L10183">
        <v>107.81399999999999</v>
      </c>
      <c r="M10183">
        <v>6.7270769999999994E-2</v>
      </c>
      <c r="N10183">
        <v>0</v>
      </c>
      <c r="O10183">
        <v>0.9976294</v>
      </c>
      <c r="P10183">
        <v>0.14000889999999999</v>
      </c>
      <c r="Q10183">
        <v>4.4403769999999997E-3</v>
      </c>
      <c r="R10183">
        <v>0.99014029999999997</v>
      </c>
      <c r="S10183">
        <v>0.97770690000000005</v>
      </c>
      <c r="T10183">
        <v>-0.2240113</v>
      </c>
      <c r="U10183">
        <v>2.8967130000000001</v>
      </c>
      <c r="V10183">
        <v>7.3249519999999999E-2</v>
      </c>
      <c r="W10183">
        <v>1.8219719999999998E-2</v>
      </c>
      <c r="X10183">
        <v>0.99714720000000001</v>
      </c>
      <c r="Y10183">
        <v>0.25446360000000001</v>
      </c>
      <c r="Z10183">
        <v>-7.354774E-2</v>
      </c>
      <c r="AA10183">
        <v>0.96428159999999896</v>
      </c>
      <c r="AB10183">
        <v>31</v>
      </c>
      <c r="AC10183">
        <v>4.8058999999999799</v>
      </c>
      <c r="AD10183">
        <v>-1.1062354850389999</v>
      </c>
      <c r="AE10183">
        <v>14.0161</v>
      </c>
      <c r="AF10183">
        <v>3.8306860035463099</v>
      </c>
      <c r="AG10183">
        <v>-1.1062354850389999</v>
      </c>
      <c r="AH10183">
        <v>14.2283652420412</v>
      </c>
      <c r="AI10183">
        <v>94.293444146043797</v>
      </c>
      <c r="AJ10183">
        <v>74.931615904071606</v>
      </c>
      <c r="AK10183">
        <v>14.7764775798243</v>
      </c>
      <c r="AL10183">
        <v>88.956029169720907</v>
      </c>
      <c r="AM10183">
        <v>85.798650830168896</v>
      </c>
      <c r="AN10183">
        <v>0.999999994422474</v>
      </c>
    </row>
    <row r="10184" spans="1:40" x14ac:dyDescent="0.25">
      <c r="A10184" t="str">
        <f>"20190312154152530"</f>
        <v>20190312154152530</v>
      </c>
      <c r="B10184" t="str">
        <f>"1552376512516300"</f>
        <v>1552376512516300</v>
      </c>
      <c r="C10184" t="s">
        <v>40</v>
      </c>
      <c r="D10184">
        <v>4.5397589999999903</v>
      </c>
      <c r="E10184">
        <v>0.57347409999999999</v>
      </c>
      <c r="F10184" t="s">
        <v>55</v>
      </c>
      <c r="G10184">
        <v>-182.99010000000001</v>
      </c>
      <c r="H10184" s="1">
        <v>-2.5355370000000001E-6</v>
      </c>
      <c r="I10184">
        <v>121.9306</v>
      </c>
      <c r="J10184">
        <v>-187.86019999999999</v>
      </c>
      <c r="K10184">
        <v>1.106176</v>
      </c>
      <c r="L10184">
        <v>107.98779999999999</v>
      </c>
      <c r="M10184">
        <v>6.9937570000000004E-2</v>
      </c>
      <c r="N10184">
        <v>0</v>
      </c>
      <c r="O10184">
        <v>0.9974459</v>
      </c>
      <c r="P10184">
        <v>0.14365449999999999</v>
      </c>
      <c r="Q10184">
        <v>5.0937650000000001E-3</v>
      </c>
      <c r="R10184">
        <v>0.98961480000000002</v>
      </c>
      <c r="S10184">
        <v>0.99980159999999996</v>
      </c>
      <c r="T10184">
        <v>-0.2264351</v>
      </c>
      <c r="U10184">
        <v>2.889526</v>
      </c>
      <c r="V10184">
        <v>7.4265199999999906E-2</v>
      </c>
      <c r="W10184">
        <v>1.8855710000000001E-2</v>
      </c>
      <c r="X10184">
        <v>0.99706019999999895</v>
      </c>
      <c r="Y10184">
        <v>0.25918330000000001</v>
      </c>
      <c r="Z10184">
        <v>-7.4355740000000003E-2</v>
      </c>
      <c r="AA10184">
        <v>0.96296170000000003</v>
      </c>
      <c r="AB10184">
        <v>31</v>
      </c>
      <c r="AC10184">
        <v>4.8700999999999697</v>
      </c>
      <c r="AD10184">
        <v>-1.106178535537</v>
      </c>
      <c r="AE10184">
        <v>13.9428</v>
      </c>
      <c r="AF10184">
        <v>3.8612828109859199</v>
      </c>
      <c r="AG10184">
        <v>-1.106178535537</v>
      </c>
      <c r="AH10184">
        <v>14.169799554438301</v>
      </c>
      <c r="AI10184">
        <v>94.307357002522295</v>
      </c>
      <c r="AJ10184">
        <v>74.756955461396501</v>
      </c>
      <c r="AK10184">
        <v>14.728080503305801</v>
      </c>
      <c r="AL10184">
        <v>88.919583315391293</v>
      </c>
      <c r="AM10184">
        <v>85.740237447050802</v>
      </c>
      <c r="AN10184">
        <v>0.99999995007733999</v>
      </c>
    </row>
    <row r="10185" spans="1:40" x14ac:dyDescent="0.25">
      <c r="A10185" t="str">
        <f>"20190312154152544"</f>
        <v>20190312154152544</v>
      </c>
      <c r="B10185" t="str">
        <f>"1552376512535820"</f>
        <v>1552376512535820</v>
      </c>
      <c r="C10185" t="s">
        <v>40</v>
      </c>
      <c r="D10185">
        <v>4.5130929999999996</v>
      </c>
      <c r="E10185">
        <v>0.57312229999999997</v>
      </c>
      <c r="F10185" t="s">
        <v>55</v>
      </c>
      <c r="G10185">
        <v>-182.8836</v>
      </c>
      <c r="H10185" s="1">
        <v>-2.6592080000000001E-6</v>
      </c>
      <c r="I10185">
        <v>122.2543</v>
      </c>
      <c r="J10185">
        <v>-187.84520000000001</v>
      </c>
      <c r="K10185">
        <v>1.1061270000000001</v>
      </c>
      <c r="L10185">
        <v>108.16379999999999</v>
      </c>
      <c r="M10185">
        <v>7.2659650000000006E-2</v>
      </c>
      <c r="N10185">
        <v>0</v>
      </c>
      <c r="O10185">
        <v>0.99725129999999995</v>
      </c>
      <c r="P10185">
        <v>0.1476365</v>
      </c>
      <c r="Q10185">
        <v>5.6774269999999996E-3</v>
      </c>
      <c r="R10185">
        <v>0.98902540000000005</v>
      </c>
      <c r="S10185">
        <v>1.0068969999999999</v>
      </c>
      <c r="T10185">
        <v>-0.22381000000000001</v>
      </c>
      <c r="U10185">
        <v>2.8864899999999998</v>
      </c>
      <c r="V10185">
        <v>7.5565489999999999E-2</v>
      </c>
      <c r="W10185">
        <v>1.9419229999999999E-2</v>
      </c>
      <c r="X10185">
        <v>0.99695180000000005</v>
      </c>
      <c r="Y10185">
        <v>0.25899299999999997</v>
      </c>
      <c r="Z10185">
        <v>-7.3522770000000001E-2</v>
      </c>
      <c r="AA10185">
        <v>0.96307679999999996</v>
      </c>
      <c r="AB10185">
        <v>31</v>
      </c>
      <c r="AC10185">
        <v>4.9615999999999998</v>
      </c>
      <c r="AD10185">
        <v>-1.1061296592080001</v>
      </c>
      <c r="AE10185">
        <v>14.0905</v>
      </c>
      <c r="AF10185">
        <v>3.9031642051096398</v>
      </c>
      <c r="AG10185">
        <v>-1.1061296592080001</v>
      </c>
      <c r="AH10185">
        <v>14.335198183122101</v>
      </c>
      <c r="AI10185">
        <v>94.257894737695906</v>
      </c>
      <c r="AJ10185">
        <v>74.768824330403007</v>
      </c>
      <c r="AK10185">
        <v>14.898191856209101</v>
      </c>
      <c r="AL10185">
        <v>88.887290215733799</v>
      </c>
      <c r="AM10185">
        <v>85.665466675522595</v>
      </c>
      <c r="AN10185">
        <v>1.0000000706479799</v>
      </c>
    </row>
    <row r="10186" spans="1:40" x14ac:dyDescent="0.25">
      <c r="A10186" t="str">
        <f>"20190312154152565"</f>
        <v>20190312154152565</v>
      </c>
      <c r="B10186" t="str">
        <f>"1552376512556315"</f>
        <v>1552376512556315</v>
      </c>
      <c r="C10186" t="s">
        <v>40</v>
      </c>
      <c r="D10186">
        <v>4.5311789999999998</v>
      </c>
      <c r="E10186">
        <v>0.57456560000000001</v>
      </c>
      <c r="F10186" t="s">
        <v>55</v>
      </c>
      <c r="G10186">
        <v>-182.79769999999999</v>
      </c>
      <c r="H10186" s="1">
        <v>-2.7517790000000001E-6</v>
      </c>
      <c r="I10186">
        <v>122.491</v>
      </c>
      <c r="J10186">
        <v>-187.8185</v>
      </c>
      <c r="K10186">
        <v>1.1060559999999999</v>
      </c>
      <c r="L10186">
        <v>108.4629</v>
      </c>
      <c r="M10186">
        <v>7.7341469999999995E-2</v>
      </c>
      <c r="N10186">
        <v>0</v>
      </c>
      <c r="O10186">
        <v>0.99689910000000004</v>
      </c>
      <c r="P10186">
        <v>0.1542308</v>
      </c>
      <c r="Q10186">
        <v>6.9148400000000002E-3</v>
      </c>
      <c r="R10186">
        <v>0.98801059999999996</v>
      </c>
      <c r="S10186">
        <v>1.0156559999999999</v>
      </c>
      <c r="T10186">
        <v>-0.2225782</v>
      </c>
      <c r="U10186">
        <v>2.882965</v>
      </c>
      <c r="V10186">
        <v>7.7550899999999895E-2</v>
      </c>
      <c r="W10186">
        <v>2.062634E-2</v>
      </c>
      <c r="X10186">
        <v>0.99677499999999997</v>
      </c>
      <c r="Y10186">
        <v>0.25743899999999997</v>
      </c>
      <c r="Z10186">
        <v>-7.3145189999999999E-2</v>
      </c>
      <c r="AA10186">
        <v>0.96352210000000005</v>
      </c>
      <c r="AB10186">
        <v>31</v>
      </c>
      <c r="AC10186">
        <v>5.0208000000000004</v>
      </c>
      <c r="AD10186">
        <v>-1.1060587517789999</v>
      </c>
      <c r="AE10186">
        <v>14.028099999999901</v>
      </c>
      <c r="AF10186">
        <v>3.89920221102409</v>
      </c>
      <c r="AG10186">
        <v>-1.1060587517789999</v>
      </c>
      <c r="AH10186">
        <v>14.2956493335445</v>
      </c>
      <c r="AI10186">
        <v>94.268844287487397</v>
      </c>
      <c r="AJ10186">
        <v>74.743431072097295</v>
      </c>
      <c r="AK10186">
        <v>14.859095992438901</v>
      </c>
      <c r="AL10186">
        <v>88.818113949604196</v>
      </c>
      <c r="AM10186">
        <v>85.551246439290793</v>
      </c>
      <c r="AN10186">
        <v>0.99999999430880204</v>
      </c>
    </row>
    <row r="10187" spans="1:40" x14ac:dyDescent="0.25">
      <c r="A10187" t="str">
        <f>"20190312154152578"</f>
        <v>20190312154152578</v>
      </c>
      <c r="B10187" t="str">
        <f>"1552376512566076"</f>
        <v>1552376512566076</v>
      </c>
      <c r="C10187" t="s">
        <v>40</v>
      </c>
      <c r="D10187">
        <v>4.466437</v>
      </c>
      <c r="E10187">
        <v>0.57488830000000002</v>
      </c>
      <c r="F10187" t="s">
        <v>55</v>
      </c>
      <c r="G10187">
        <v>-182.8099</v>
      </c>
      <c r="H10187" s="1">
        <v>-2.6732180000000002E-6</v>
      </c>
      <c r="I10187">
        <v>122.23520000000001</v>
      </c>
      <c r="J10187">
        <v>-187.80240000000001</v>
      </c>
      <c r="K10187">
        <v>1.1060239999999999</v>
      </c>
      <c r="L10187">
        <v>108.6373</v>
      </c>
      <c r="M10187">
        <v>8.0091419999999997E-2</v>
      </c>
      <c r="N10187">
        <v>0</v>
      </c>
      <c r="O10187">
        <v>0.99668190000000001</v>
      </c>
      <c r="P10187">
        <v>0.15774949999999999</v>
      </c>
      <c r="Q10187">
        <v>7.3864259999999998E-3</v>
      </c>
      <c r="R10187">
        <v>0.98745159999999998</v>
      </c>
      <c r="S10187">
        <v>1.0455019999999999</v>
      </c>
      <c r="T10187">
        <v>-0.2308781</v>
      </c>
      <c r="U10187">
        <v>2.8748320000000001</v>
      </c>
      <c r="V10187">
        <v>7.8358620000000004E-2</v>
      </c>
      <c r="W10187">
        <v>2.1084950000000002E-2</v>
      </c>
      <c r="X10187">
        <v>0.99670230000000004</v>
      </c>
      <c r="Y10187">
        <v>0.2644164</v>
      </c>
      <c r="Z10187">
        <v>-7.5831529999999994E-2</v>
      </c>
      <c r="AA10187">
        <v>0.96142269999999996</v>
      </c>
      <c r="AB10187">
        <v>31</v>
      </c>
      <c r="AC10187">
        <v>4.9924999999999997</v>
      </c>
      <c r="AD10187">
        <v>-1.106026673218</v>
      </c>
      <c r="AE10187">
        <v>13.597899999999999</v>
      </c>
      <c r="AF10187">
        <v>3.8647371458089101</v>
      </c>
      <c r="AG10187">
        <v>-1.106026673218</v>
      </c>
      <c r="AH10187">
        <v>13.8732255707476</v>
      </c>
      <c r="AI10187">
        <v>94.391667809586494</v>
      </c>
      <c r="AJ10187">
        <v>74.433479511845604</v>
      </c>
      <c r="AK10187">
        <v>14.443887148026</v>
      </c>
      <c r="AL10187">
        <v>88.791831896701893</v>
      </c>
      <c r="AM10187">
        <v>85.504773492385894</v>
      </c>
      <c r="AN10187">
        <v>1.00000006163504</v>
      </c>
    </row>
    <row r="10188" spans="1:40" x14ac:dyDescent="0.25">
      <c r="A10188" t="str">
        <f>"20190312154152597"</f>
        <v>20190312154152597</v>
      </c>
      <c r="B10188" t="str">
        <f>"1552376512586571"</f>
        <v>1552376512586571</v>
      </c>
      <c r="C10188" t="s">
        <v>40</v>
      </c>
      <c r="D10188">
        <v>4.524438</v>
      </c>
      <c r="E10188">
        <v>0.57493660000000002</v>
      </c>
      <c r="F10188" t="s">
        <v>55</v>
      </c>
      <c r="G10188">
        <v>-182.74760000000001</v>
      </c>
      <c r="H10188" s="1">
        <v>-2.7251529999999999E-6</v>
      </c>
      <c r="I10188">
        <v>122.3553</v>
      </c>
      <c r="J10188">
        <v>-187.77610000000001</v>
      </c>
      <c r="K10188">
        <v>1.105985</v>
      </c>
      <c r="L10188">
        <v>108.9096</v>
      </c>
      <c r="M10188">
        <v>8.4415480000000001E-2</v>
      </c>
      <c r="N10188">
        <v>0</v>
      </c>
      <c r="O10188">
        <v>0.99632489999999996</v>
      </c>
      <c r="P10188">
        <v>0.16451569999999999</v>
      </c>
      <c r="Q10188">
        <v>7.9549200000000007E-3</v>
      </c>
      <c r="R10188">
        <v>0.98634239999999995</v>
      </c>
      <c r="S10188">
        <v>1.0578459999999901</v>
      </c>
      <c r="T10188">
        <v>-0.23146549999999999</v>
      </c>
      <c r="U10188">
        <v>2.8708649999999998</v>
      </c>
      <c r="V10188">
        <v>8.0875199999999994E-2</v>
      </c>
      <c r="W10188">
        <v>2.162128E-2</v>
      </c>
      <c r="X10188">
        <v>0.99648970000000003</v>
      </c>
      <c r="Y10188">
        <v>0.26429920000000001</v>
      </c>
      <c r="Z10188">
        <v>-7.6027300000000006E-2</v>
      </c>
      <c r="AA10188">
        <v>0.96143940000000006</v>
      </c>
      <c r="AB10188">
        <v>31</v>
      </c>
      <c r="AC10188">
        <v>5.0285000000000002</v>
      </c>
      <c r="AD10188">
        <v>-1.1059877251529999</v>
      </c>
      <c r="AE10188">
        <v>13.4457</v>
      </c>
      <c r="AF10188">
        <v>3.8525349465819199</v>
      </c>
      <c r="AG10188">
        <v>-1.1059877251529999</v>
      </c>
      <c r="AH10188">
        <v>13.740663325461099</v>
      </c>
      <c r="AI10188">
        <v>94.431652989943601</v>
      </c>
      <c r="AJ10188">
        <v>74.337845257928095</v>
      </c>
      <c r="AK10188">
        <v>14.313317679227801</v>
      </c>
      <c r="AL10188">
        <v>88.761095368359904</v>
      </c>
      <c r="AM10188">
        <v>85.360038932290607</v>
      </c>
      <c r="AN10188">
        <v>0.99999999996498401</v>
      </c>
    </row>
    <row r="10189" spans="1:40" x14ac:dyDescent="0.25">
      <c r="A10189" t="str">
        <f>"20190312154152611"</f>
        <v>20190312154152611</v>
      </c>
      <c r="B10189" t="str">
        <f>"1552376512595862"</f>
        <v>1552376512595862</v>
      </c>
      <c r="C10189" t="s">
        <v>40</v>
      </c>
      <c r="D10189">
        <v>4.4831050000000001</v>
      </c>
      <c r="E10189">
        <v>0.57485620000000004</v>
      </c>
      <c r="F10189" t="s">
        <v>55</v>
      </c>
      <c r="G10189">
        <v>-182.77500000000001</v>
      </c>
      <c r="H10189" s="1">
        <v>-2.6737849999999999E-6</v>
      </c>
      <c r="I10189">
        <v>122.20569999999999</v>
      </c>
      <c r="J10189">
        <v>-187.75720000000001</v>
      </c>
      <c r="K10189">
        <v>1.1059619999999999</v>
      </c>
      <c r="L10189">
        <v>109.09699999999999</v>
      </c>
      <c r="M10189">
        <v>8.7403579999999995E-2</v>
      </c>
      <c r="N10189">
        <v>0</v>
      </c>
      <c r="O10189">
        <v>0.99606719999999904</v>
      </c>
      <c r="P10189">
        <v>0.16856119999999999</v>
      </c>
      <c r="Q10189">
        <v>7.6549269999999997E-3</v>
      </c>
      <c r="R10189">
        <v>0.98566140000000002</v>
      </c>
      <c r="S10189">
        <v>1.077164</v>
      </c>
      <c r="T10189">
        <v>-0.2382147</v>
      </c>
      <c r="U10189">
        <v>2.8637999999999999</v>
      </c>
      <c r="V10189">
        <v>8.1972439999999994E-2</v>
      </c>
      <c r="W10189">
        <v>2.1306160000000001E-2</v>
      </c>
      <c r="X10189">
        <v>0.99640689999999998</v>
      </c>
      <c r="Y10189">
        <v>0.2678082</v>
      </c>
      <c r="Z10189">
        <v>-7.8252000000000002E-2</v>
      </c>
      <c r="AA10189">
        <v>0.96028919999999995</v>
      </c>
      <c r="AB10189">
        <v>31</v>
      </c>
      <c r="AC10189">
        <v>4.9821999999999997</v>
      </c>
      <c r="AD10189">
        <v>-1.105964673785</v>
      </c>
      <c r="AE10189">
        <v>13.108699999999899</v>
      </c>
      <c r="AF10189">
        <v>3.7936656928990899</v>
      </c>
      <c r="AG10189">
        <v>-1.105964673785</v>
      </c>
      <c r="AH10189">
        <v>13.4106208821861</v>
      </c>
      <c r="AI10189">
        <v>94.537212844571897</v>
      </c>
      <c r="AJ10189">
        <v>74.204578832440404</v>
      </c>
      <c r="AK10189">
        <v>13.980694177860601</v>
      </c>
      <c r="AL10189">
        <v>88.779154662613095</v>
      </c>
      <c r="AM10189">
        <v>85.296979654091203</v>
      </c>
      <c r="AN10189">
        <v>1.00000007187055</v>
      </c>
    </row>
    <row r="10190" spans="1:40" x14ac:dyDescent="0.25">
      <c r="A10190" t="str">
        <f>"20190312154152631"</f>
        <v>20190312154152631</v>
      </c>
      <c r="B10190" t="str">
        <f>"1552376512616358"</f>
        <v>1552376512616358</v>
      </c>
      <c r="C10190" t="s">
        <v>40</v>
      </c>
      <c r="D10190">
        <v>4.4709070000000004</v>
      </c>
      <c r="E10190">
        <v>0.57452309999999995</v>
      </c>
      <c r="F10190" t="s">
        <v>55</v>
      </c>
      <c r="G10190">
        <v>-182.81540000000001</v>
      </c>
      <c r="H10190" s="1">
        <v>-2.6284830000000001E-6</v>
      </c>
      <c r="I10190">
        <v>122.0883</v>
      </c>
      <c r="J10190">
        <v>-187.72909999999999</v>
      </c>
      <c r="K10190">
        <v>1.1059399999999999</v>
      </c>
      <c r="L10190">
        <v>109.3664</v>
      </c>
      <c r="M10190">
        <v>9.1704149999999998E-2</v>
      </c>
      <c r="N10190">
        <v>0</v>
      </c>
      <c r="O10190">
        <v>0.99568049999999997</v>
      </c>
      <c r="P10190">
        <v>0.17510490000000001</v>
      </c>
      <c r="Q10190">
        <v>6.8236869999999897E-3</v>
      </c>
      <c r="R10190">
        <v>0.98452609999999996</v>
      </c>
      <c r="S10190">
        <v>1.0877380000000001</v>
      </c>
      <c r="T10190">
        <v>-0.24343319999999999</v>
      </c>
      <c r="U10190">
        <v>2.8595120000000001</v>
      </c>
      <c r="V10190">
        <v>8.4280670000000002E-2</v>
      </c>
      <c r="W10190">
        <v>2.044756E-2</v>
      </c>
      <c r="X10190">
        <v>0.99623220000000001</v>
      </c>
      <c r="Y10190">
        <v>0.26718029999999998</v>
      </c>
      <c r="Z10190">
        <v>-7.9976279999999997E-2</v>
      </c>
      <c r="AA10190">
        <v>0.96032209999999996</v>
      </c>
      <c r="AB10190">
        <v>31</v>
      </c>
      <c r="AC10190">
        <v>4.9136999999999702</v>
      </c>
      <c r="AD10190">
        <v>-1.1059426284829901</v>
      </c>
      <c r="AE10190">
        <v>12.7219</v>
      </c>
      <c r="AF10190">
        <v>3.70187267472103</v>
      </c>
      <c r="AG10190">
        <v>-1.1059426284829901</v>
      </c>
      <c r="AH10190">
        <v>13.033227845067101</v>
      </c>
      <c r="AI10190">
        <v>94.666528303637307</v>
      </c>
      <c r="AJ10190">
        <v>74.143680061475393</v>
      </c>
      <c r="AK10190">
        <v>13.593822069557</v>
      </c>
      <c r="AL10190">
        <v>88.828359415837099</v>
      </c>
      <c r="AM10190">
        <v>85.164324547070393</v>
      </c>
      <c r="AN10190">
        <v>0.99999996518122003</v>
      </c>
    </row>
    <row r="10191" spans="1:40" x14ac:dyDescent="0.25">
      <c r="A10191" t="str">
        <f>"20190312154152643"</f>
        <v>20190312154152643</v>
      </c>
      <c r="B10191" t="str">
        <f>"1552376512635887"</f>
        <v>1552376512635887</v>
      </c>
      <c r="C10191" t="s">
        <v>40</v>
      </c>
      <c r="D10191">
        <v>4.4955040000000004</v>
      </c>
      <c r="E10191">
        <v>0.57428789999999996</v>
      </c>
      <c r="F10191" t="s">
        <v>55</v>
      </c>
      <c r="G10191">
        <v>-182.8603</v>
      </c>
      <c r="H10191" s="1">
        <v>-2.5759460000000002E-6</v>
      </c>
      <c r="I10191">
        <v>121.95050000000001</v>
      </c>
      <c r="J10191">
        <v>-187.7106</v>
      </c>
      <c r="K10191">
        <v>1.105931</v>
      </c>
      <c r="L10191">
        <v>109.5381</v>
      </c>
      <c r="M10191">
        <v>9.4446100000000005E-2</v>
      </c>
      <c r="N10191">
        <v>0</v>
      </c>
      <c r="O10191">
        <v>0.99542419999999998</v>
      </c>
      <c r="P10191">
        <v>0.1788679</v>
      </c>
      <c r="Q10191">
        <v>6.5588620000000004E-3</v>
      </c>
      <c r="R10191">
        <v>0.98385129999999998</v>
      </c>
      <c r="S10191">
        <v>1.1036680000000001</v>
      </c>
      <c r="T10191">
        <v>-0.25069710000000001</v>
      </c>
      <c r="U10191">
        <v>2.8525849999999999</v>
      </c>
      <c r="V10191">
        <v>8.5343499999999906E-2</v>
      </c>
      <c r="W10191">
        <v>2.0169630000000001E-2</v>
      </c>
      <c r="X10191">
        <v>0.99614740000000002</v>
      </c>
      <c r="Y10191">
        <v>0.26990320000000001</v>
      </c>
      <c r="Z10191">
        <v>-8.2388409999999995E-2</v>
      </c>
      <c r="AA10191">
        <v>0.95935619999999999</v>
      </c>
      <c r="AB10191">
        <v>31</v>
      </c>
      <c r="AC10191">
        <v>4.8502999999999998</v>
      </c>
      <c r="AD10191">
        <v>-1.1059335759460001</v>
      </c>
      <c r="AE10191">
        <v>12.4124</v>
      </c>
      <c r="AF10191">
        <v>3.6311801851430001</v>
      </c>
      <c r="AG10191">
        <v>-1.1059335759460001</v>
      </c>
      <c r="AH10191">
        <v>12.7273907951443</v>
      </c>
      <c r="AI10191">
        <v>94.7765206959712</v>
      </c>
      <c r="AJ10191">
        <v>74.076320442411799</v>
      </c>
      <c r="AK10191">
        <v>13.281379260592701</v>
      </c>
      <c r="AL10191">
        <v>88.844286939958707</v>
      </c>
      <c r="AM10191">
        <v>85.1032236072366</v>
      </c>
      <c r="AN10191">
        <v>0.99999998474667295</v>
      </c>
    </row>
    <row r="10192" spans="1:40" x14ac:dyDescent="0.25">
      <c r="A10192" t="str">
        <f>"20190312154152655"</f>
        <v>20190312154152655</v>
      </c>
      <c r="B10192" t="str">
        <f>"1552376512646624"</f>
        <v>1552376512646624</v>
      </c>
      <c r="C10192" t="s">
        <v>40</v>
      </c>
      <c r="D10192">
        <v>4.5224080000000004</v>
      </c>
      <c r="E10192">
        <v>0.57417790000000002</v>
      </c>
      <c r="F10192" t="s">
        <v>55</v>
      </c>
      <c r="G10192">
        <v>-182.91130000000001</v>
      </c>
      <c r="H10192" s="1">
        <v>-2.5257530000000002E-6</v>
      </c>
      <c r="I10192">
        <v>121.8261</v>
      </c>
      <c r="J10192">
        <v>-187.6908</v>
      </c>
      <c r="K10192">
        <v>1.105926</v>
      </c>
      <c r="L10192">
        <v>109.7175</v>
      </c>
      <c r="M10192">
        <v>9.7309450000000006E-2</v>
      </c>
      <c r="N10192">
        <v>0</v>
      </c>
      <c r="O10192">
        <v>0.99514829999999999</v>
      </c>
      <c r="P10192">
        <v>0.1830862</v>
      </c>
      <c r="Q10192">
        <v>6.0137439999999997E-3</v>
      </c>
      <c r="R10192">
        <v>0.98307849999999997</v>
      </c>
      <c r="S10192">
        <v>1.1126100000000001</v>
      </c>
      <c r="T10192">
        <v>-0.25638529999999998</v>
      </c>
      <c r="U10192">
        <v>2.8486940000000001</v>
      </c>
      <c r="V10192">
        <v>8.6744859999999993E-2</v>
      </c>
      <c r="W10192">
        <v>1.960754E-2</v>
      </c>
      <c r="X10192">
        <v>0.99603759999999997</v>
      </c>
      <c r="Y10192">
        <v>0.27013310000000001</v>
      </c>
      <c r="Z10192">
        <v>-8.4266590000000002E-2</v>
      </c>
      <c r="AA10192">
        <v>0.95912839999999999</v>
      </c>
      <c r="AB10192">
        <v>31</v>
      </c>
      <c r="AC10192">
        <v>4.7794999999999801</v>
      </c>
      <c r="AD10192">
        <v>-1.1059285257529901</v>
      </c>
      <c r="AE10192">
        <v>12.1085999999999</v>
      </c>
      <c r="AF10192">
        <v>3.5527653390598202</v>
      </c>
      <c r="AG10192">
        <v>-1.1059285257529901</v>
      </c>
      <c r="AH10192">
        <v>12.4265742141119</v>
      </c>
      <c r="AI10192">
        <v>94.8908053626716</v>
      </c>
      <c r="AJ10192">
        <v>74.044733880772796</v>
      </c>
      <c r="AK10192">
        <v>12.9716986612135</v>
      </c>
      <c r="AL10192">
        <v>88.876498729279803</v>
      </c>
      <c r="AM10192">
        <v>85.022672128534396</v>
      </c>
      <c r="AN10192">
        <v>1.00000001348751</v>
      </c>
    </row>
    <row r="10193" spans="1:40" x14ac:dyDescent="0.25">
      <c r="A10193" t="str">
        <f>"20190312154152676"</f>
        <v>20190312154152676</v>
      </c>
      <c r="B10193" t="str">
        <f>"1552376512666144"</f>
        <v>1552376512666144</v>
      </c>
      <c r="C10193" t="s">
        <v>40</v>
      </c>
      <c r="D10193">
        <v>4.508292</v>
      </c>
      <c r="E10193">
        <v>0.57379530000000001</v>
      </c>
      <c r="F10193" t="s">
        <v>55</v>
      </c>
      <c r="G10193">
        <v>-182.9126</v>
      </c>
      <c r="H10193" s="1">
        <v>-2.518896E-6</v>
      </c>
      <c r="I10193">
        <v>121.80410000000001</v>
      </c>
      <c r="J10193">
        <v>-187.65780000000001</v>
      </c>
      <c r="K10193">
        <v>1.1059289999999999</v>
      </c>
      <c r="L10193">
        <v>110.00579999999999</v>
      </c>
      <c r="M10193">
        <v>0.10191020000000001</v>
      </c>
      <c r="N10193">
        <v>0</v>
      </c>
      <c r="O10193">
        <v>0.99468769999999995</v>
      </c>
      <c r="P10193">
        <v>0.19158210000000001</v>
      </c>
      <c r="Q10193">
        <v>6.0469959999999998E-3</v>
      </c>
      <c r="R10193">
        <v>0.98145789999999999</v>
      </c>
      <c r="S10193">
        <v>1.124252</v>
      </c>
      <c r="T10193">
        <v>-0.26021280000000002</v>
      </c>
      <c r="U10193">
        <v>2.8438569999999999</v>
      </c>
      <c r="V10193">
        <v>9.0754189999999998E-2</v>
      </c>
      <c r="W10193">
        <v>1.9594670000000002E-2</v>
      </c>
      <c r="X10193">
        <v>0.99568049999999997</v>
      </c>
      <c r="Y10193">
        <v>0.2695958</v>
      </c>
      <c r="Z10193">
        <v>-8.5534890000000002E-2</v>
      </c>
      <c r="AA10193">
        <v>0.95916729999999994</v>
      </c>
      <c r="AB10193">
        <v>31</v>
      </c>
      <c r="AC10193">
        <v>4.7452000000000103</v>
      </c>
      <c r="AD10193">
        <v>-1.1059315188959999</v>
      </c>
      <c r="AE10193">
        <v>11.798299999999999</v>
      </c>
      <c r="AF10193">
        <v>3.4915882644165999</v>
      </c>
      <c r="AG10193">
        <v>-1.1059315188959999</v>
      </c>
      <c r="AH10193">
        <v>12.1287642435043</v>
      </c>
      <c r="AI10193">
        <v>95.007693477414406</v>
      </c>
      <c r="AJ10193">
        <v>73.940124739506402</v>
      </c>
      <c r="AK10193">
        <v>12.6696959398088</v>
      </c>
      <c r="AL10193">
        <v>88.877236214422396</v>
      </c>
      <c r="AM10193">
        <v>84.792000593992796</v>
      </c>
      <c r="AN10193">
        <v>0.999999966087606</v>
      </c>
    </row>
    <row r="10194" spans="1:40" x14ac:dyDescent="0.25">
      <c r="A10194" t="str">
        <f>"20190312154152708"</f>
        <v>20190312154152708</v>
      </c>
      <c r="B10194" t="str">
        <f>"1552376512695932"</f>
        <v>1552376512695932</v>
      </c>
      <c r="C10194" t="s">
        <v>40</v>
      </c>
      <c r="D10194">
        <v>4.5208919999999999</v>
      </c>
      <c r="E10194">
        <v>0.57322839999999997</v>
      </c>
      <c r="F10194" t="s">
        <v>55</v>
      </c>
      <c r="G10194">
        <v>-182.85149999999999</v>
      </c>
      <c r="H10194" s="1">
        <v>-2.5634279999999998E-6</v>
      </c>
      <c r="I10194">
        <v>121.90009999999999</v>
      </c>
      <c r="J10194">
        <v>-187.60560000000001</v>
      </c>
      <c r="K10194">
        <v>1.105939</v>
      </c>
      <c r="L10194">
        <v>110.4383</v>
      </c>
      <c r="M10194">
        <v>0.1088037</v>
      </c>
      <c r="N10194">
        <v>0</v>
      </c>
      <c r="O10194">
        <v>0.99395730000000004</v>
      </c>
      <c r="P10194">
        <v>0.2019425</v>
      </c>
      <c r="Q10194">
        <v>7.572344E-3</v>
      </c>
      <c r="R10194">
        <v>0.97936809999999996</v>
      </c>
      <c r="S10194">
        <v>1.145462</v>
      </c>
      <c r="T10194">
        <v>-0.26357069999999999</v>
      </c>
      <c r="U10194">
        <v>2.8347020000000001</v>
      </c>
      <c r="V10194">
        <v>9.4389059999999997E-2</v>
      </c>
      <c r="W10194">
        <v>2.1077809999999999E-2</v>
      </c>
      <c r="X10194">
        <v>0.99531219999999998</v>
      </c>
      <c r="Y10194">
        <v>0.2701288</v>
      </c>
      <c r="Z10194">
        <v>-8.6669999999999997E-2</v>
      </c>
      <c r="AA10194">
        <v>0.95891539999999997</v>
      </c>
      <c r="AB10194">
        <v>31</v>
      </c>
      <c r="AC10194">
        <v>4.7541000000000198</v>
      </c>
      <c r="AD10194">
        <v>-1.1059415634280001</v>
      </c>
      <c r="AE10194">
        <v>11.461799999999901</v>
      </c>
      <c r="AF10194">
        <v>3.4512373774009699</v>
      </c>
      <c r="AG10194">
        <v>-1.1059415634280001</v>
      </c>
      <c r="AH10194">
        <v>11.817187270130701</v>
      </c>
      <c r="AI10194">
        <v>95.133370977192797</v>
      </c>
      <c r="AJ10194">
        <v>73.719431572408695</v>
      </c>
      <c r="AK10194">
        <v>12.360423178606201</v>
      </c>
      <c r="AL10194">
        <v>88.7922409713197</v>
      </c>
      <c r="AM10194">
        <v>84.582635196925494</v>
      </c>
      <c r="AN10194">
        <v>0.99999997209545899</v>
      </c>
    </row>
    <row r="10195" spans="1:40" x14ac:dyDescent="0.25">
      <c r="A10195" t="str">
        <f>"20190312154152732"</f>
        <v>20190312154152732</v>
      </c>
      <c r="B10195" t="str">
        <f>"1552376512716427"</f>
        <v>1552376512716427</v>
      </c>
      <c r="C10195" t="s">
        <v>40</v>
      </c>
      <c r="D10195">
        <v>4.5080410000000004</v>
      </c>
      <c r="E10195">
        <v>0.57293430000000001</v>
      </c>
      <c r="F10195" t="s">
        <v>55</v>
      </c>
      <c r="G10195">
        <v>-182.65450000000001</v>
      </c>
      <c r="H10195" s="1">
        <v>-2.7567790000000001E-6</v>
      </c>
      <c r="I10195">
        <v>122.37860000000001</v>
      </c>
      <c r="J10195">
        <v>-187.5651</v>
      </c>
      <c r="K10195">
        <v>1.1059429999999999</v>
      </c>
      <c r="L10195">
        <v>110.7585</v>
      </c>
      <c r="M10195">
        <v>0.113905199999999</v>
      </c>
      <c r="N10195">
        <v>0</v>
      </c>
      <c r="O10195">
        <v>0.99338559999999998</v>
      </c>
      <c r="P10195">
        <v>0.20848359999999999</v>
      </c>
      <c r="Q10195">
        <v>8.0304539999999994E-3</v>
      </c>
      <c r="R10195">
        <v>0.97799290000000005</v>
      </c>
      <c r="S10195">
        <v>1.170914</v>
      </c>
      <c r="T10195">
        <v>-0.26154830000000001</v>
      </c>
      <c r="U10195">
        <v>2.8237920000000001</v>
      </c>
      <c r="V10195">
        <v>9.5936370000000007E-2</v>
      </c>
      <c r="W10195">
        <v>2.1517830000000002E-2</v>
      </c>
      <c r="X10195">
        <v>0.99515489999999995</v>
      </c>
      <c r="Y10195">
        <v>0.27389059999999998</v>
      </c>
      <c r="Z10195">
        <v>-8.6053290000000005E-2</v>
      </c>
      <c r="AA10195">
        <v>0.95790330000000001</v>
      </c>
      <c r="AB10195">
        <v>31</v>
      </c>
      <c r="AC10195">
        <v>4.9105999999999801</v>
      </c>
      <c r="AD10195">
        <v>-1.1059457567790001</v>
      </c>
      <c r="AE10195">
        <v>11.620100000000001</v>
      </c>
      <c r="AF10195">
        <v>3.5277902423986198</v>
      </c>
      <c r="AG10195">
        <v>-1.1059457567790001</v>
      </c>
      <c r="AH10195">
        <v>12.0115401089495</v>
      </c>
      <c r="AI10195">
        <v>95.048529871176399</v>
      </c>
      <c r="AJ10195">
        <v>73.632482354254705</v>
      </c>
      <c r="AK10195">
        <v>12.5676376380052</v>
      </c>
      <c r="AL10195">
        <v>88.767024044857294</v>
      </c>
      <c r="AM10195">
        <v>84.493505296520198</v>
      </c>
      <c r="AN10195">
        <v>1.0000000395453399</v>
      </c>
    </row>
    <row r="10196" spans="1:40" x14ac:dyDescent="0.25">
      <c r="A10196" t="str">
        <f>"20190312154152754"</f>
        <v>20190312154152754</v>
      </c>
      <c r="B10196" t="str">
        <f>"1552376512745708"</f>
        <v>1552376512745708</v>
      </c>
      <c r="C10196" t="s">
        <v>40</v>
      </c>
      <c r="D10196">
        <v>4.5601909999999997</v>
      </c>
      <c r="E10196">
        <v>0.57239719999999905</v>
      </c>
      <c r="F10196" t="s">
        <v>55</v>
      </c>
      <c r="G10196">
        <v>-182.57</v>
      </c>
      <c r="H10196" s="1">
        <v>-2.846119E-6</v>
      </c>
      <c r="I10196">
        <v>122.6056</v>
      </c>
      <c r="J10196">
        <v>-187.5241</v>
      </c>
      <c r="K10196">
        <v>1.1059509999999999</v>
      </c>
      <c r="L10196">
        <v>111.0705</v>
      </c>
      <c r="M10196">
        <v>0.1188761</v>
      </c>
      <c r="N10196">
        <v>0</v>
      </c>
      <c r="O10196">
        <v>0.99280299999999999</v>
      </c>
      <c r="P10196">
        <v>0.21459110000000001</v>
      </c>
      <c r="Q10196">
        <v>7.8778069999999902E-3</v>
      </c>
      <c r="R10196">
        <v>0.97667219999999999</v>
      </c>
      <c r="S10196">
        <v>1.187546</v>
      </c>
      <c r="T10196">
        <v>-0.26292779999999999</v>
      </c>
      <c r="U10196">
        <v>2.816513</v>
      </c>
      <c r="V10196">
        <v>9.7172300000000003E-2</v>
      </c>
      <c r="W10196">
        <v>2.135049E-2</v>
      </c>
      <c r="X10196">
        <v>0.9950386</v>
      </c>
      <c r="Y10196">
        <v>0.27475050000000001</v>
      </c>
      <c r="Z10196">
        <v>-8.6526779999999998E-2</v>
      </c>
      <c r="AA10196">
        <v>0.95761439999999998</v>
      </c>
      <c r="AB10196">
        <v>31</v>
      </c>
      <c r="AC10196">
        <v>4.9541000000000102</v>
      </c>
      <c r="AD10196">
        <v>-1.1059538461189999</v>
      </c>
      <c r="AE10196">
        <v>11.5351</v>
      </c>
      <c r="AF10196">
        <v>3.5202509644562698</v>
      </c>
      <c r="AG10196">
        <v>-1.1059538461189999</v>
      </c>
      <c r="AH10196">
        <v>11.9495351470824</v>
      </c>
      <c r="AI10196">
        <v>95.073406346332902</v>
      </c>
      <c r="AJ10196">
        <v>73.585388755486207</v>
      </c>
      <c r="AK10196">
        <v>12.506266069209399</v>
      </c>
      <c r="AL10196">
        <v>88.776614145285095</v>
      </c>
      <c r="AM10196">
        <v>84.422362854304197</v>
      </c>
      <c r="AN10196">
        <v>1.0000000574002399</v>
      </c>
    </row>
    <row r="10197" spans="1:40" x14ac:dyDescent="0.25">
      <c r="A10197" t="str">
        <f>"20190312154152776"</f>
        <v>20190312154152776</v>
      </c>
      <c r="B10197" t="str">
        <f>"1552376512766207"</f>
        <v>1552376512766207</v>
      </c>
      <c r="C10197" t="s">
        <v>40</v>
      </c>
      <c r="D10197">
        <v>4.5469809999999997</v>
      </c>
      <c r="E10197">
        <v>0.57196689999999994</v>
      </c>
      <c r="F10197" t="s">
        <v>55</v>
      </c>
      <c r="G10197">
        <v>-182.56440000000001</v>
      </c>
      <c r="H10197" s="1">
        <v>-2.869087E-6</v>
      </c>
      <c r="I10197">
        <v>122.6785</v>
      </c>
      <c r="J10197">
        <v>-187.482</v>
      </c>
      <c r="K10197">
        <v>1.105947</v>
      </c>
      <c r="L10197">
        <v>111.3784</v>
      </c>
      <c r="M10197">
        <v>0.1237859</v>
      </c>
      <c r="N10197">
        <v>0</v>
      </c>
      <c r="O10197">
        <v>0.99220280000000005</v>
      </c>
      <c r="P10197">
        <v>0.2205799</v>
      </c>
      <c r="Q10197">
        <v>7.3267979999999998E-3</v>
      </c>
      <c r="R10197">
        <v>0.97534140000000003</v>
      </c>
      <c r="S10197">
        <v>1.200623</v>
      </c>
      <c r="T10197">
        <v>-0.26772560000000001</v>
      </c>
      <c r="U10197">
        <v>2.8100130000000001</v>
      </c>
      <c r="V10197">
        <v>9.8349530000000004E-2</v>
      </c>
      <c r="W10197">
        <v>2.078557E-2</v>
      </c>
      <c r="X10197">
        <v>0.99493489999999996</v>
      </c>
      <c r="Y10197">
        <v>0.27450790000000003</v>
      </c>
      <c r="Z10197">
        <v>-8.8125579999999995E-2</v>
      </c>
      <c r="AA10197">
        <v>0.95753809999999995</v>
      </c>
      <c r="AB10197">
        <v>31</v>
      </c>
      <c r="AC10197">
        <v>4.9175999999999904</v>
      </c>
      <c r="AD10197">
        <v>-1.105949869087</v>
      </c>
      <c r="AE10197">
        <v>11.3001</v>
      </c>
      <c r="AF10197">
        <v>3.4530211939575999</v>
      </c>
      <c r="AG10197">
        <v>-1.105949869087</v>
      </c>
      <c r="AH10197">
        <v>11.7275181227806</v>
      </c>
      <c r="AI10197">
        <v>95.169135311237596</v>
      </c>
      <c r="AJ10197">
        <v>73.593593652650895</v>
      </c>
      <c r="AK10197">
        <v>12.2752255294557</v>
      </c>
      <c r="AL10197">
        <v>88.808988867568303</v>
      </c>
      <c r="AM10197">
        <v>84.354639762766595</v>
      </c>
      <c r="AN10197">
        <v>1.0000000626047201</v>
      </c>
    </row>
    <row r="10198" spans="1:40" x14ac:dyDescent="0.25">
      <c r="A10198" t="str">
        <f>"20190312154152798"</f>
        <v>20190312154152798</v>
      </c>
      <c r="B10198" t="str">
        <f>"1552376512785724"</f>
        <v>1552376512785724</v>
      </c>
      <c r="C10198" t="s">
        <v>40</v>
      </c>
      <c r="D10198">
        <v>4.5025180000000002</v>
      </c>
      <c r="E10198">
        <v>0.57166779999999995</v>
      </c>
      <c r="F10198" t="s">
        <v>55</v>
      </c>
      <c r="G10198">
        <v>-182.5264</v>
      </c>
      <c r="H10198" s="1">
        <v>-2.9204500000000001E-6</v>
      </c>
      <c r="I10198">
        <v>122.8186</v>
      </c>
      <c r="J10198">
        <v>-187.4419</v>
      </c>
      <c r="K10198">
        <v>1.1059490000000001</v>
      </c>
      <c r="L10198">
        <v>111.6615</v>
      </c>
      <c r="M10198">
        <v>0.12831189999999901</v>
      </c>
      <c r="N10198">
        <v>0</v>
      </c>
      <c r="O10198">
        <v>0.9916277</v>
      </c>
      <c r="P10198">
        <v>0.22548889999999999</v>
      </c>
      <c r="Q10198">
        <v>6.8201109999999898E-3</v>
      </c>
      <c r="R10198">
        <v>0.97422189999999997</v>
      </c>
      <c r="S10198">
        <v>1.214294</v>
      </c>
      <c r="T10198">
        <v>-0.27099820000000002</v>
      </c>
      <c r="U10198">
        <v>2.8032680000000001</v>
      </c>
      <c r="V10198">
        <v>9.8814700000000005E-2</v>
      </c>
      <c r="W10198">
        <v>2.0272600000000002E-2</v>
      </c>
      <c r="X10198">
        <v>0.99489930000000004</v>
      </c>
      <c r="Y10198">
        <v>0.27485409999999999</v>
      </c>
      <c r="Z10198">
        <v>-8.9225139999999994E-2</v>
      </c>
      <c r="AA10198">
        <v>0.95733699999999999</v>
      </c>
      <c r="AB10198">
        <v>31</v>
      </c>
      <c r="AC10198">
        <v>4.9154999999999998</v>
      </c>
      <c r="AD10198">
        <v>-1.1059519204499999</v>
      </c>
      <c r="AE10198">
        <v>11.1571</v>
      </c>
      <c r="AF10198">
        <v>3.4150188175813501</v>
      </c>
      <c r="AG10198">
        <v>-1.1059519204499999</v>
      </c>
      <c r="AH10198">
        <v>11.600184223043501</v>
      </c>
      <c r="AI10198">
        <v>95.2256354838715</v>
      </c>
      <c r="AJ10198">
        <v>73.595913994631005</v>
      </c>
      <c r="AK10198">
        <v>12.1428891612881</v>
      </c>
      <c r="AL10198">
        <v>88.838385969988295</v>
      </c>
      <c r="AM10198">
        <v>84.327910608324103</v>
      </c>
      <c r="AN10198">
        <v>0.99999997019366904</v>
      </c>
    </row>
    <row r="10199" spans="1:40" x14ac:dyDescent="0.25">
      <c r="A10199" t="str">
        <f>"20190312154152819"</f>
        <v>20190312154152819</v>
      </c>
      <c r="B10199" t="str">
        <f>"1552376512806224"</f>
        <v>1552376512806224</v>
      </c>
      <c r="C10199" t="s">
        <v>40</v>
      </c>
      <c r="D10199">
        <v>4.4575259999999997</v>
      </c>
      <c r="E10199">
        <v>0.57130899999999996</v>
      </c>
      <c r="F10199" t="s">
        <v>55</v>
      </c>
      <c r="G10199">
        <v>-182.4683</v>
      </c>
      <c r="H10199" s="1">
        <v>-2.9916479999999999E-6</v>
      </c>
      <c r="I10199">
        <v>123.0078</v>
      </c>
      <c r="J10199">
        <v>-187.3974</v>
      </c>
      <c r="K10199">
        <v>1.105945</v>
      </c>
      <c r="L10199">
        <v>111.9649</v>
      </c>
      <c r="M10199">
        <v>0.13318269999999999</v>
      </c>
      <c r="N10199">
        <v>0</v>
      </c>
      <c r="O10199">
        <v>0.99098529999999996</v>
      </c>
      <c r="P10199">
        <v>0.2308404</v>
      </c>
      <c r="Q10199">
        <v>6.8845590000000002E-3</v>
      </c>
      <c r="R10199">
        <v>0.97296729999999998</v>
      </c>
      <c r="S10199">
        <v>1.2262569999999999</v>
      </c>
      <c r="T10199">
        <v>-0.27267520000000001</v>
      </c>
      <c r="U10199">
        <v>2.7974700000000001</v>
      </c>
      <c r="V10199">
        <v>9.9395830000000004E-2</v>
      </c>
      <c r="W10199">
        <v>2.032838E-2</v>
      </c>
      <c r="X10199">
        <v>0.99484030000000001</v>
      </c>
      <c r="Y10199">
        <v>0.27427380000000001</v>
      </c>
      <c r="Z10199">
        <v>-8.9788899999999894E-2</v>
      </c>
      <c r="AA10199">
        <v>0.95745069999999999</v>
      </c>
      <c r="AB10199">
        <v>31</v>
      </c>
      <c r="AC10199">
        <v>4.9291</v>
      </c>
      <c r="AD10199">
        <v>-1.105947991648</v>
      </c>
      <c r="AE10199">
        <v>11.042899999999999</v>
      </c>
      <c r="AF10199">
        <v>3.38598245420396</v>
      </c>
      <c r="AG10199">
        <v>-1.105947991648</v>
      </c>
      <c r="AH10199">
        <v>11.504820679351001</v>
      </c>
      <c r="AI10199">
        <v>95.268808089525393</v>
      </c>
      <c r="AJ10199">
        <v>73.600322701084394</v>
      </c>
      <c r="AK10199">
        <v>12.0436247452513</v>
      </c>
      <c r="AL10199">
        <v>88.835189385283698</v>
      </c>
      <c r="AM10199">
        <v>84.294436310069401</v>
      </c>
      <c r="AN10199">
        <v>0.99999999827945096</v>
      </c>
    </row>
    <row r="10200" spans="1:40" x14ac:dyDescent="0.25">
      <c r="A10200" t="str">
        <f>"20190312154152843"</f>
        <v>20190312154152843</v>
      </c>
      <c r="B10200" t="str">
        <f>"1552376512836479"</f>
        <v>1552376512836479</v>
      </c>
      <c r="C10200" t="s">
        <v>40</v>
      </c>
      <c r="D10200">
        <v>4.5137359999999997</v>
      </c>
      <c r="E10200">
        <v>0.57101369999999996</v>
      </c>
      <c r="F10200" t="s">
        <v>55</v>
      </c>
      <c r="G10200">
        <v>-182.39070000000001</v>
      </c>
      <c r="H10200" s="1">
        <v>-3.0829639999999998E-6</v>
      </c>
      <c r="I10200">
        <v>123.24769999999999</v>
      </c>
      <c r="J10200">
        <v>-187.3484</v>
      </c>
      <c r="K10200">
        <v>1.1059410000000001</v>
      </c>
      <c r="L10200">
        <v>112.2868</v>
      </c>
      <c r="M10200">
        <v>0.1383712</v>
      </c>
      <c r="N10200">
        <v>0</v>
      </c>
      <c r="O10200">
        <v>0.99027419999999999</v>
      </c>
      <c r="P10200">
        <v>0.23567940000000001</v>
      </c>
      <c r="Q10200">
        <v>7.1263239999999999E-3</v>
      </c>
      <c r="R10200">
        <v>0.97180469999999997</v>
      </c>
      <c r="S10200">
        <v>1.2386629999999901</v>
      </c>
      <c r="T10200">
        <v>-0.27361419999999997</v>
      </c>
      <c r="U10200">
        <v>2.7914119999999998</v>
      </c>
      <c r="V10200">
        <v>9.9138939999999995E-2</v>
      </c>
      <c r="W10200">
        <v>2.0570560000000002E-2</v>
      </c>
      <c r="X10200">
        <v>0.99486090000000005</v>
      </c>
      <c r="Y10200">
        <v>0.27355159999999901</v>
      </c>
      <c r="Z10200">
        <v>-9.0108369999999993E-2</v>
      </c>
      <c r="AA10200">
        <v>0.95762729999999996</v>
      </c>
      <c r="AB10200">
        <v>31</v>
      </c>
      <c r="AC10200">
        <v>4.9576999999999796</v>
      </c>
      <c r="AD10200">
        <v>-1.1059440829639999</v>
      </c>
      <c r="AE10200">
        <v>10.960899999999899</v>
      </c>
      <c r="AF10200">
        <v>3.3647292812762402</v>
      </c>
      <c r="AG10200">
        <v>-1.1059440829639999</v>
      </c>
      <c r="AH10200">
        <v>11.444787293216899</v>
      </c>
      <c r="AI10200">
        <v>95.296716713729296</v>
      </c>
      <c r="AJ10200">
        <v>73.616839811535101</v>
      </c>
      <c r="AK10200">
        <v>11.980303486886299</v>
      </c>
      <c r="AL10200">
        <v>88.821310526959707</v>
      </c>
      <c r="AM10200">
        <v>84.309202571135998</v>
      </c>
      <c r="AN10200">
        <v>0.99999994385592195</v>
      </c>
    </row>
    <row r="10201" spans="1:40" x14ac:dyDescent="0.25">
      <c r="A10201" t="str">
        <f>"20190312154152865"</f>
        <v>20190312154152865</v>
      </c>
      <c r="B10201" t="str">
        <f>"1552376512856000"</f>
        <v>1552376512856000</v>
      </c>
      <c r="C10201" t="s">
        <v>40</v>
      </c>
      <c r="D10201">
        <v>4.3989229999999999</v>
      </c>
      <c r="E10201">
        <v>0.57083909999999904</v>
      </c>
      <c r="F10201" t="s">
        <v>55</v>
      </c>
      <c r="G10201">
        <v>-182.2544</v>
      </c>
      <c r="H10201" s="1">
        <v>-3.2785250000000001E-6</v>
      </c>
      <c r="I10201">
        <v>123.64019999999999</v>
      </c>
      <c r="J10201">
        <v>-187.3015</v>
      </c>
      <c r="K10201">
        <v>1.1059319999999999</v>
      </c>
      <c r="L10201">
        <v>112.58499999999999</v>
      </c>
      <c r="M10201">
        <v>0.14319689999999999</v>
      </c>
      <c r="N10201">
        <v>0</v>
      </c>
      <c r="O10201">
        <v>0.98958789999999996</v>
      </c>
      <c r="P10201">
        <v>0.24023120000000001</v>
      </c>
      <c r="Q10201">
        <v>7.6190219999999996E-3</v>
      </c>
      <c r="R10201">
        <v>0.97068580000000004</v>
      </c>
      <c r="S10201">
        <v>1.249954</v>
      </c>
      <c r="T10201">
        <v>-0.27137349999999999</v>
      </c>
      <c r="U10201">
        <v>2.785873</v>
      </c>
      <c r="V10201">
        <v>9.8957370000000003E-2</v>
      </c>
      <c r="W10201">
        <v>2.1062549999999999E-2</v>
      </c>
      <c r="X10201">
        <v>0.9948688</v>
      </c>
      <c r="Y10201">
        <v>0.27283239999999997</v>
      </c>
      <c r="Z10201">
        <v>-8.9383740000000003E-2</v>
      </c>
      <c r="AA10201">
        <v>0.95790030000000004</v>
      </c>
      <c r="AB10201">
        <v>31</v>
      </c>
      <c r="AC10201">
        <v>5.0471000000000004</v>
      </c>
      <c r="AD10201">
        <v>-1.1059352785249901</v>
      </c>
      <c r="AE10201">
        <v>11.055199999999999</v>
      </c>
      <c r="AF10201">
        <v>3.3838148339733798</v>
      </c>
      <c r="AG10201">
        <v>-1.1059352785249901</v>
      </c>
      <c r="AH10201">
        <v>11.568246703516801</v>
      </c>
      <c r="AI10201">
        <v>95.242557713513904</v>
      </c>
      <c r="AJ10201">
        <v>73.695333550965302</v>
      </c>
      <c r="AK10201">
        <v>12.1036204279683</v>
      </c>
      <c r="AL10201">
        <v>88.793115605978301</v>
      </c>
      <c r="AM10201">
        <v>84.319601683559497</v>
      </c>
      <c r="AN10201">
        <v>1.0000000606516199</v>
      </c>
    </row>
    <row r="10202" spans="1:40" x14ac:dyDescent="0.25">
      <c r="A10202" t="str">
        <f>"20190312154152888"</f>
        <v>20190312154152888</v>
      </c>
      <c r="B10202" t="str">
        <f>"1552376512876492"</f>
        <v>1552376512876492</v>
      </c>
      <c r="C10202" t="s">
        <v>40</v>
      </c>
      <c r="D10202">
        <v>4.3623379999999896</v>
      </c>
      <c r="E10202">
        <v>0.57060549999999999</v>
      </c>
      <c r="F10202" t="s">
        <v>55</v>
      </c>
      <c r="G10202">
        <v>-182.13229999999999</v>
      </c>
      <c r="H10202" s="1">
        <v>-3.4807450000000002E-6</v>
      </c>
      <c r="I10202">
        <v>123.9781</v>
      </c>
      <c r="J10202">
        <v>-187.25229999999999</v>
      </c>
      <c r="K10202">
        <v>1.105925</v>
      </c>
      <c r="L10202">
        <v>112.8882</v>
      </c>
      <c r="M10202">
        <v>0.14812410000000001</v>
      </c>
      <c r="N10202">
        <v>0</v>
      </c>
      <c r="O10202">
        <v>0.98886240000000003</v>
      </c>
      <c r="P10202">
        <v>0.24522330000000001</v>
      </c>
      <c r="Q10202">
        <v>7.7428269999999999E-3</v>
      </c>
      <c r="R10202">
        <v>0.96943570000000001</v>
      </c>
      <c r="S10202">
        <v>1.261566</v>
      </c>
      <c r="T10202">
        <v>-0.26990459999999999</v>
      </c>
      <c r="U10202">
        <v>2.7805019999999998</v>
      </c>
      <c r="V10202">
        <v>9.912348E-2</v>
      </c>
      <c r="W10202">
        <v>2.1181729999999999E-2</v>
      </c>
      <c r="X10202">
        <v>0.99484969999999995</v>
      </c>
      <c r="Y10202">
        <v>0.27207340000000002</v>
      </c>
      <c r="Z10202">
        <v>-8.8898640000000001E-2</v>
      </c>
      <c r="AA10202">
        <v>0.95816129999999999</v>
      </c>
      <c r="AB10202">
        <v>31</v>
      </c>
      <c r="AC10202">
        <v>5.12</v>
      </c>
      <c r="AD10202">
        <v>-1.1059284807450001</v>
      </c>
      <c r="AE10202">
        <v>11.0899</v>
      </c>
      <c r="AF10202">
        <v>3.39284090500872</v>
      </c>
      <c r="AG10202">
        <v>-1.1059284807450001</v>
      </c>
      <c r="AH10202">
        <v>11.630671103465801</v>
      </c>
      <c r="AI10202">
        <v>95.215651596048602</v>
      </c>
      <c r="AJ10202">
        <v>73.737244575984207</v>
      </c>
      <c r="AK10202">
        <v>12.1658110098841</v>
      </c>
      <c r="AL10202">
        <v>88.786285531723294</v>
      </c>
      <c r="AM10202">
        <v>84.310020549575597</v>
      </c>
      <c r="AN10202">
        <v>1.0000000277815899</v>
      </c>
    </row>
    <row r="10203" spans="1:40" x14ac:dyDescent="0.25">
      <c r="A10203" t="str">
        <f>"20190312154152910"</f>
        <v>20190312154152910</v>
      </c>
      <c r="B10203" t="str">
        <f>"1552376512896012"</f>
        <v>1552376512896012</v>
      </c>
      <c r="C10203" t="s">
        <v>40</v>
      </c>
      <c r="D10203">
        <v>4.3508089999999999</v>
      </c>
      <c r="E10203">
        <v>0.57035249999999904</v>
      </c>
      <c r="F10203" t="s">
        <v>55</v>
      </c>
      <c r="G10203">
        <v>-182.03280000000001</v>
      </c>
      <c r="H10203" s="1">
        <v>-3.64927E-6</v>
      </c>
      <c r="I10203">
        <v>124.2602</v>
      </c>
      <c r="J10203">
        <v>-187.2022</v>
      </c>
      <c r="K10203">
        <v>1.1059239999999999</v>
      </c>
      <c r="L10203">
        <v>113.1875</v>
      </c>
      <c r="M10203">
        <v>0.1530067</v>
      </c>
      <c r="N10203">
        <v>0</v>
      </c>
      <c r="O10203">
        <v>0.98811870000000002</v>
      </c>
      <c r="P10203">
        <v>0.25034810000000002</v>
      </c>
      <c r="Q10203">
        <v>7.4132809999999999E-3</v>
      </c>
      <c r="R10203">
        <v>0.96812750000000003</v>
      </c>
      <c r="S10203">
        <v>1.2734829999999999</v>
      </c>
      <c r="T10203">
        <v>-0.26982800000000001</v>
      </c>
      <c r="U10203">
        <v>2.774597</v>
      </c>
      <c r="V10203">
        <v>9.9468630000000002E-2</v>
      </c>
      <c r="W10203">
        <v>2.0845639999999999E-2</v>
      </c>
      <c r="X10203">
        <v>0.99482230000000005</v>
      </c>
      <c r="Y10203">
        <v>0.27149440000000002</v>
      </c>
      <c r="Z10203">
        <v>-8.8876230000000001E-2</v>
      </c>
      <c r="AA10203">
        <v>0.95832759999999995</v>
      </c>
      <c r="AB10203">
        <v>30</v>
      </c>
      <c r="AC10203">
        <v>5.1693999999999898</v>
      </c>
      <c r="AD10203">
        <v>-1.1059276492700001</v>
      </c>
      <c r="AE10203">
        <v>11.0726999999999</v>
      </c>
      <c r="AF10203">
        <v>3.3864060939395602</v>
      </c>
      <c r="AG10203">
        <v>-1.1059276492700001</v>
      </c>
      <c r="AH10203">
        <v>11.6380072035286</v>
      </c>
      <c r="AI10203">
        <v>95.213403872834803</v>
      </c>
      <c r="AJ10203">
        <v>73.776156998417505</v>
      </c>
      <c r="AK10203">
        <v>12.1710325719667</v>
      </c>
      <c r="AL10203">
        <v>88.805546264334694</v>
      </c>
      <c r="AM10203">
        <v>84.2901823865013</v>
      </c>
      <c r="AN10203">
        <v>0.99999997881918801</v>
      </c>
    </row>
    <row r="10204" spans="1:40" x14ac:dyDescent="0.25">
      <c r="A10204" t="str">
        <f>"20190312154152932"</f>
        <v>20190312154152932</v>
      </c>
      <c r="B10204" t="str">
        <f>"1552376512926272"</f>
        <v>1552376512926272</v>
      </c>
      <c r="C10204" t="s">
        <v>40</v>
      </c>
      <c r="D10204">
        <v>4.3276899999999996</v>
      </c>
      <c r="E10204">
        <v>0.57013829999999999</v>
      </c>
      <c r="F10204" t="s">
        <v>55</v>
      </c>
      <c r="G10204">
        <v>-181.95320000000001</v>
      </c>
      <c r="H10204" s="1">
        <v>-3.786712E-6</v>
      </c>
      <c r="I10204">
        <v>124.4907</v>
      </c>
      <c r="J10204">
        <v>-187.1507</v>
      </c>
      <c r="K10204">
        <v>1.10592</v>
      </c>
      <c r="L10204">
        <v>113.4863</v>
      </c>
      <c r="M10204">
        <v>0.1578936</v>
      </c>
      <c r="N10204">
        <v>0</v>
      </c>
      <c r="O10204">
        <v>0.98734960000000005</v>
      </c>
      <c r="P10204">
        <v>0.25642680000000001</v>
      </c>
      <c r="Q10204">
        <v>6.8401240000000004E-3</v>
      </c>
      <c r="R10204">
        <v>0.96653940000000005</v>
      </c>
      <c r="S10204">
        <v>1.2855989999999999</v>
      </c>
      <c r="T10204">
        <v>-0.27086320000000003</v>
      </c>
      <c r="U10204">
        <v>2.7683870000000002</v>
      </c>
      <c r="V10204">
        <v>0.1007918</v>
      </c>
      <c r="W10204">
        <v>2.0255909999999998E-2</v>
      </c>
      <c r="X10204">
        <v>0.99470130000000001</v>
      </c>
      <c r="Y10204">
        <v>0.27099139999999999</v>
      </c>
      <c r="Z10204">
        <v>-8.9219350000000003E-2</v>
      </c>
      <c r="AA10204">
        <v>0.95843809999999996</v>
      </c>
      <c r="AB10204">
        <v>30</v>
      </c>
      <c r="AC10204">
        <v>5.19749999999999</v>
      </c>
      <c r="AD10204">
        <v>-1.105923786712</v>
      </c>
      <c r="AE10204">
        <v>11.0044</v>
      </c>
      <c r="AF10204">
        <v>3.3667801582057302</v>
      </c>
      <c r="AG10204">
        <v>-1.105923786712</v>
      </c>
      <c r="AH10204">
        <v>11.591352441295401</v>
      </c>
      <c r="AI10204">
        <v>95.234981494306794</v>
      </c>
      <c r="AJ10204">
        <v>73.803733409873999</v>
      </c>
      <c r="AK10204">
        <v>12.1209623163356</v>
      </c>
      <c r="AL10204">
        <v>88.839342447297597</v>
      </c>
      <c r="AM10204">
        <v>84.214041077891693</v>
      </c>
      <c r="AN10204">
        <v>0.99999998252942801</v>
      </c>
    </row>
    <row r="10205" spans="1:40" x14ac:dyDescent="0.25">
      <c r="A10205" t="str">
        <f>"20190312154152954"</f>
        <v>20190312154152954</v>
      </c>
      <c r="B10205" t="str">
        <f>"1552376512946764"</f>
        <v>1552376512946764</v>
      </c>
      <c r="C10205" t="s">
        <v>40</v>
      </c>
      <c r="D10205">
        <v>4.3563280000000004</v>
      </c>
      <c r="E10205">
        <v>0.57000919999999999</v>
      </c>
      <c r="F10205" t="s">
        <v>55</v>
      </c>
      <c r="G10205">
        <v>-181.82040000000001</v>
      </c>
      <c r="H10205" s="1">
        <v>-3.9204639999999998E-6</v>
      </c>
      <c r="I10205">
        <v>124.795</v>
      </c>
      <c r="J10205">
        <v>-187.0966</v>
      </c>
      <c r="K10205">
        <v>1.105925</v>
      </c>
      <c r="L10205">
        <v>113.7908</v>
      </c>
      <c r="M10205">
        <v>0.16288259999999999</v>
      </c>
      <c r="N10205">
        <v>0</v>
      </c>
      <c r="O10205">
        <v>0.9865389</v>
      </c>
      <c r="P10205">
        <v>0.26274639999999999</v>
      </c>
      <c r="Q10205">
        <v>6.6397829999999998E-3</v>
      </c>
      <c r="R10205">
        <v>0.96484210000000004</v>
      </c>
      <c r="S10205">
        <v>1.3011779999999999</v>
      </c>
      <c r="T10205">
        <v>-0.26996540000000002</v>
      </c>
      <c r="U10205">
        <v>2.7605590000000002</v>
      </c>
      <c r="V10205">
        <v>0.10227070000000001</v>
      </c>
      <c r="W10205">
        <v>2.003709E-2</v>
      </c>
      <c r="X10205">
        <v>0.99455479999999996</v>
      </c>
      <c r="Y10205">
        <v>0.27161089999999999</v>
      </c>
      <c r="Z10205">
        <v>-8.8934319999999997E-2</v>
      </c>
      <c r="AA10205">
        <v>0.95828919999999995</v>
      </c>
      <c r="AB10205">
        <v>30</v>
      </c>
      <c r="AC10205">
        <v>5.2761999999999798</v>
      </c>
      <c r="AD10205">
        <v>-1.1059289204639999</v>
      </c>
      <c r="AE10205">
        <v>11.0041999999999</v>
      </c>
      <c r="AF10205">
        <v>3.3853408958326798</v>
      </c>
      <c r="AG10205">
        <v>-1.1059289204639999</v>
      </c>
      <c r="AH10205">
        <v>11.6212658599103</v>
      </c>
      <c r="AI10205">
        <v>95.2204223077797</v>
      </c>
      <c r="AJ10205">
        <v>73.758857959478803</v>
      </c>
      <c r="AK10205">
        <v>12.1547287894397</v>
      </c>
      <c r="AL10205">
        <v>88.8518824931583</v>
      </c>
      <c r="AM10205">
        <v>84.128874704089895</v>
      </c>
      <c r="AN10205">
        <v>1.00000001562859</v>
      </c>
    </row>
    <row r="10206" spans="1:40" x14ac:dyDescent="0.25">
      <c r="A10206" t="str">
        <f>"20190312154152976"</f>
        <v>20190312154152976</v>
      </c>
      <c r="B10206" t="str">
        <f>"1552376512966288"</f>
        <v>1552376512966288</v>
      </c>
      <c r="C10206" t="s">
        <v>40</v>
      </c>
      <c r="D10206">
        <v>4.3889040000000001</v>
      </c>
      <c r="E10206">
        <v>0.56991669999999905</v>
      </c>
      <c r="F10206" t="s">
        <v>55</v>
      </c>
      <c r="G10206">
        <v>-181.6628</v>
      </c>
      <c r="H10206" s="1">
        <v>-4.0303479999999998E-6</v>
      </c>
      <c r="I10206">
        <v>125.1336</v>
      </c>
      <c r="J10206">
        <v>-187.04390000000001</v>
      </c>
      <c r="K10206">
        <v>1.1059300000000001</v>
      </c>
      <c r="L10206">
        <v>114.0793</v>
      </c>
      <c r="M10206">
        <v>0.16761509999999999</v>
      </c>
      <c r="N10206">
        <v>0</v>
      </c>
      <c r="O10206">
        <v>0.98574589999999995</v>
      </c>
      <c r="P10206">
        <v>0.26849780000000001</v>
      </c>
      <c r="Q10206">
        <v>5.3622610000000001E-3</v>
      </c>
      <c r="R10206">
        <v>0.96326540000000005</v>
      </c>
      <c r="S10206">
        <v>1.3184359999999999</v>
      </c>
      <c r="T10206">
        <v>-0.26833449999999998</v>
      </c>
      <c r="U10206">
        <v>2.752151</v>
      </c>
      <c r="V10206">
        <v>0.10341690000000001</v>
      </c>
      <c r="W10206">
        <v>1.8745580000000001E-2</v>
      </c>
      <c r="X10206">
        <v>0.99446140000000005</v>
      </c>
      <c r="Y10206">
        <v>0.2730417</v>
      </c>
      <c r="Z10206">
        <v>-8.8405949999999997E-2</v>
      </c>
      <c r="AA10206">
        <v>0.95793150000000005</v>
      </c>
      <c r="AB10206">
        <v>30</v>
      </c>
      <c r="AC10206">
        <v>5.3811</v>
      </c>
      <c r="AD10206">
        <v>-1.1059340303480001</v>
      </c>
      <c r="AE10206">
        <v>11.0542999999999</v>
      </c>
      <c r="AF10206">
        <v>3.4241850185279801</v>
      </c>
      <c r="AG10206">
        <v>-1.1059340303480001</v>
      </c>
      <c r="AH10206">
        <v>11.705209779775</v>
      </c>
      <c r="AI10206">
        <v>95.181507967873998</v>
      </c>
      <c r="AJ10206">
        <v>73.693948056172005</v>
      </c>
      <c r="AK10206">
        <v>12.245818433617799</v>
      </c>
      <c r="AL10206">
        <v>88.925894430371201</v>
      </c>
      <c r="AM10206">
        <v>84.062987768611805</v>
      </c>
      <c r="AN10206">
        <v>0.99999996403255198</v>
      </c>
    </row>
    <row r="10207" spans="1:40" x14ac:dyDescent="0.25">
      <c r="A10207" t="str">
        <f>"20190312154152999"</f>
        <v>20190312154152999</v>
      </c>
      <c r="B10207" t="str">
        <f>"1552376512986781"</f>
        <v>1552376512986781</v>
      </c>
      <c r="C10207" t="s">
        <v>40</v>
      </c>
      <c r="D10207">
        <v>4.3410120000000001</v>
      </c>
      <c r="E10207">
        <v>0.56976789999999999</v>
      </c>
      <c r="F10207" t="s">
        <v>55</v>
      </c>
      <c r="G10207">
        <v>-181.57149999999999</v>
      </c>
      <c r="H10207" s="1">
        <v>-4.0949800000000001E-6</v>
      </c>
      <c r="I10207">
        <v>125.3335</v>
      </c>
      <c r="J10207">
        <v>-186.988</v>
      </c>
      <c r="K10207">
        <v>1.1059410000000001</v>
      </c>
      <c r="L10207">
        <v>114.37649999999999</v>
      </c>
      <c r="M10207">
        <v>0.17248949999999999</v>
      </c>
      <c r="N10207">
        <v>0</v>
      </c>
      <c r="O10207">
        <v>0.98490469999999997</v>
      </c>
      <c r="P10207">
        <v>0.27354209999999901</v>
      </c>
      <c r="Q10207">
        <v>4.7729299999999999E-3</v>
      </c>
      <c r="R10207">
        <v>0.96184820000000004</v>
      </c>
      <c r="S10207">
        <v>1.334274</v>
      </c>
      <c r="T10207">
        <v>-0.26964749999999998</v>
      </c>
      <c r="U10207">
        <v>2.7440030000000002</v>
      </c>
      <c r="V10207">
        <v>0.1037018</v>
      </c>
      <c r="W10207">
        <v>1.8152970000000001E-2</v>
      </c>
      <c r="X10207">
        <v>0.99444279999999996</v>
      </c>
      <c r="Y10207">
        <v>0.27385670000000001</v>
      </c>
      <c r="Z10207">
        <v>-8.8841050000000005E-2</v>
      </c>
      <c r="AA10207">
        <v>0.95765849999999997</v>
      </c>
      <c r="AB10207">
        <v>30</v>
      </c>
      <c r="AC10207">
        <v>5.4165000000000099</v>
      </c>
      <c r="AD10207">
        <v>-1.10594509498</v>
      </c>
      <c r="AE10207">
        <v>10.957000000000001</v>
      </c>
      <c r="AF10207">
        <v>3.4171540218030398</v>
      </c>
      <c r="AG10207">
        <v>-1.10594509498</v>
      </c>
      <c r="AH10207">
        <v>11.631890104659099</v>
      </c>
      <c r="AI10207">
        <v>95.212306410951498</v>
      </c>
      <c r="AJ10207">
        <v>73.628550872453999</v>
      </c>
      <c r="AK10207">
        <v>12.173780167585599</v>
      </c>
      <c r="AL10207">
        <v>88.959854341036603</v>
      </c>
      <c r="AM10207">
        <v>84.046638832789398</v>
      </c>
      <c r="AN10207">
        <v>1.0000000380574401</v>
      </c>
    </row>
    <row r="10208" spans="1:40" x14ac:dyDescent="0.25">
      <c r="A10208" t="str">
        <f>"20190312154153021"</f>
        <v>20190312154153021</v>
      </c>
      <c r="B10208" t="str">
        <f>"1552376513016061"</f>
        <v>1552376513016061</v>
      </c>
      <c r="C10208" t="s">
        <v>40</v>
      </c>
      <c r="D10208">
        <v>4.3887289999999997</v>
      </c>
      <c r="E10208">
        <v>0.56967509999999999</v>
      </c>
      <c r="F10208" t="s">
        <v>55</v>
      </c>
      <c r="G10208">
        <v>-181.4684</v>
      </c>
      <c r="H10208" s="1">
        <v>-4.1749139999999996E-6</v>
      </c>
      <c r="I10208">
        <v>125.5861</v>
      </c>
      <c r="J10208">
        <v>-186.9289</v>
      </c>
      <c r="K10208">
        <v>1.105953</v>
      </c>
      <c r="L10208">
        <v>114.6823</v>
      </c>
      <c r="M10208">
        <v>0.17749980000000001</v>
      </c>
      <c r="N10208">
        <v>0</v>
      </c>
      <c r="O10208">
        <v>0.98401419999999995</v>
      </c>
      <c r="P10208">
        <v>0.2787422</v>
      </c>
      <c r="Q10208">
        <v>4.8252959999999998E-3</v>
      </c>
      <c r="R10208">
        <v>0.96035389999999998</v>
      </c>
      <c r="S10208">
        <v>1.3477330000000001</v>
      </c>
      <c r="T10208">
        <v>-0.27004</v>
      </c>
      <c r="U10208">
        <v>2.7370610000000002</v>
      </c>
      <c r="V10208">
        <v>0.1040213</v>
      </c>
      <c r="W10208">
        <v>1.8201599999999998E-2</v>
      </c>
      <c r="X10208">
        <v>0.99440850000000003</v>
      </c>
      <c r="Y10208">
        <v>0.27371069999999997</v>
      </c>
      <c r="Z10208">
        <v>-8.8961029999999996E-2</v>
      </c>
      <c r="AA10208">
        <v>0.95768909999999996</v>
      </c>
      <c r="AB10208">
        <v>30</v>
      </c>
      <c r="AC10208">
        <v>5.4604999999999899</v>
      </c>
      <c r="AD10208">
        <v>-1.105957174914</v>
      </c>
      <c r="AE10208">
        <v>10.9038</v>
      </c>
      <c r="AF10208">
        <v>3.4100999070479499</v>
      </c>
      <c r="AG10208">
        <v>-1.105957174914</v>
      </c>
      <c r="AH10208">
        <v>11.604512235232299</v>
      </c>
      <c r="AI10208">
        <v>95.224472548845199</v>
      </c>
      <c r="AJ10208">
        <v>73.624056732114099</v>
      </c>
      <c r="AK10208">
        <v>12.1456422994607</v>
      </c>
      <c r="AL10208">
        <v>88.957067544114494</v>
      </c>
      <c r="AM10208">
        <v>84.028224677906806</v>
      </c>
      <c r="AN10208">
        <v>0.99999999698424902</v>
      </c>
    </row>
    <row r="10209" spans="1:40" x14ac:dyDescent="0.25">
      <c r="A10209" t="str">
        <f>"20190312154153044"</f>
        <v>20190312154153044</v>
      </c>
      <c r="B10209" t="str">
        <f>"1552376513036556"</f>
        <v>1552376513036556</v>
      </c>
      <c r="C10209" t="s">
        <v>40</v>
      </c>
      <c r="D10209">
        <v>4.477786</v>
      </c>
      <c r="E10209">
        <v>0.56935959999999997</v>
      </c>
      <c r="F10209" t="s">
        <v>55</v>
      </c>
      <c r="G10209">
        <v>-181.2758</v>
      </c>
      <c r="H10209" s="1">
        <v>-4.3117830000000001E-6</v>
      </c>
      <c r="I10209">
        <v>126.0098</v>
      </c>
      <c r="J10209">
        <v>-186.869</v>
      </c>
      <c r="K10209">
        <v>1.1059650000000001</v>
      </c>
      <c r="L10209">
        <v>114.9843</v>
      </c>
      <c r="M10209">
        <v>0.1824424</v>
      </c>
      <c r="N10209">
        <v>0</v>
      </c>
      <c r="O10209">
        <v>0.98310980000000003</v>
      </c>
      <c r="P10209">
        <v>0.28368729999999998</v>
      </c>
      <c r="Q10209">
        <v>4.889455E-3</v>
      </c>
      <c r="R10209">
        <v>0.95890439999999999</v>
      </c>
      <c r="S10209">
        <v>1.3623350000000001</v>
      </c>
      <c r="T10209">
        <v>-0.26651970000000003</v>
      </c>
      <c r="U10209">
        <v>2.7297669999999998</v>
      </c>
      <c r="V10209">
        <v>0.1041485</v>
      </c>
      <c r="W10209">
        <v>1.8264539999999999E-2</v>
      </c>
      <c r="X10209">
        <v>0.99439409999999895</v>
      </c>
      <c r="Y10209">
        <v>0.27404909999999999</v>
      </c>
      <c r="Z10209">
        <v>-8.7795880000000007E-2</v>
      </c>
      <c r="AA10209">
        <v>0.95769979999999999</v>
      </c>
      <c r="AB10209">
        <v>30</v>
      </c>
      <c r="AC10209">
        <v>5.5932000000000199</v>
      </c>
      <c r="AD10209">
        <v>-1.1059693117829901</v>
      </c>
      <c r="AE10209">
        <v>11.0254999999999</v>
      </c>
      <c r="AF10209">
        <v>3.4598888264915701</v>
      </c>
      <c r="AG10209">
        <v>-1.1059693117829901</v>
      </c>
      <c r="AH10209">
        <v>11.7667933209386</v>
      </c>
      <c r="AI10209">
        <v>95.152618738373604</v>
      </c>
      <c r="AJ10209">
        <v>73.614639912725494</v>
      </c>
      <c r="AK10209">
        <v>12.3146832629984</v>
      </c>
      <c r="AL10209">
        <v>88.953460819133895</v>
      </c>
      <c r="AM10209">
        <v>84.020889143766496</v>
      </c>
      <c r="AN10209">
        <v>1.00000006479423</v>
      </c>
    </row>
    <row r="10210" spans="1:40" x14ac:dyDescent="0.25">
      <c r="A10210" t="str">
        <f>"20190312154153065"</f>
        <v>20190312154153065</v>
      </c>
      <c r="B10210" t="str">
        <f>"1552376513056080"</f>
        <v>1552376513056080</v>
      </c>
      <c r="C10210" t="s">
        <v>40</v>
      </c>
      <c r="D10210">
        <v>4.339639</v>
      </c>
      <c r="E10210">
        <v>0.56917549999999995</v>
      </c>
      <c r="F10210" t="s">
        <v>55</v>
      </c>
      <c r="G10210">
        <v>-181.1652</v>
      </c>
      <c r="H10210" s="1">
        <v>-4.3994980000000003E-6</v>
      </c>
      <c r="I10210">
        <v>126.2882</v>
      </c>
      <c r="J10210">
        <v>-186.80940000000001</v>
      </c>
      <c r="K10210">
        <v>1.10598</v>
      </c>
      <c r="L10210">
        <v>115.2771</v>
      </c>
      <c r="M10210">
        <v>0.187224</v>
      </c>
      <c r="N10210">
        <v>0</v>
      </c>
      <c r="O10210">
        <v>0.98221049999999999</v>
      </c>
      <c r="P10210">
        <v>0.28845189999999998</v>
      </c>
      <c r="Q10210">
        <v>4.4196890000000001E-3</v>
      </c>
      <c r="R10210">
        <v>0.95748420000000001</v>
      </c>
      <c r="S10210">
        <v>1.3741760000000001</v>
      </c>
      <c r="T10210">
        <v>-0.26645419999999997</v>
      </c>
      <c r="U10210">
        <v>2.7233890000000001</v>
      </c>
      <c r="V10210">
        <v>0.1042486</v>
      </c>
      <c r="W10210">
        <v>1.779445E-2</v>
      </c>
      <c r="X10210">
        <v>0.9943921</v>
      </c>
      <c r="Y10210">
        <v>0.27359240000000001</v>
      </c>
      <c r="Z10210">
        <v>-8.7761930000000002E-2</v>
      </c>
      <c r="AA10210">
        <v>0.9578335</v>
      </c>
      <c r="AB10210">
        <v>30</v>
      </c>
      <c r="AC10210">
        <v>5.6442000000000103</v>
      </c>
      <c r="AD10210">
        <v>-1.1059843994980001</v>
      </c>
      <c r="AE10210">
        <v>11.011100000000001</v>
      </c>
      <c r="AF10210">
        <v>3.4550117194106602</v>
      </c>
      <c r="AG10210">
        <v>-1.1059843994980001</v>
      </c>
      <c r="AH10210">
        <v>11.779083874667201</v>
      </c>
      <c r="AI10210">
        <v>95.1483389945667</v>
      </c>
      <c r="AJ10210">
        <v>73.6526624891723</v>
      </c>
      <c r="AK10210">
        <v>12.3250608274216</v>
      </c>
      <c r="AL10210">
        <v>88.980399334675795</v>
      </c>
      <c r="AM10210">
        <v>84.015172195112996</v>
      </c>
      <c r="AN10210">
        <v>1.00000003079758</v>
      </c>
    </row>
    <row r="10211" spans="1:40" x14ac:dyDescent="0.25">
      <c r="A10211" t="str">
        <f>"20190312154153089"</f>
        <v>20190312154153089</v>
      </c>
      <c r="B10211" t="str">
        <f>"1552376513076572"</f>
        <v>1552376513076572</v>
      </c>
      <c r="C10211" t="s">
        <v>40</v>
      </c>
      <c r="D10211">
        <v>4.3591449999999998</v>
      </c>
      <c r="E10211">
        <v>0.56896020000000003</v>
      </c>
      <c r="F10211" t="s">
        <v>55</v>
      </c>
      <c r="G10211">
        <v>-181.0702</v>
      </c>
      <c r="H10211" s="1">
        <v>-4.4738969999999998E-6</v>
      </c>
      <c r="I10211">
        <v>126.52379999999999</v>
      </c>
      <c r="J10211">
        <v>-186.7465</v>
      </c>
      <c r="K10211">
        <v>1.1060019999999999</v>
      </c>
      <c r="L10211">
        <v>115.5789</v>
      </c>
      <c r="M10211">
        <v>0.19213179999999999</v>
      </c>
      <c r="N10211">
        <v>0</v>
      </c>
      <c r="O10211">
        <v>0.98126230000000003</v>
      </c>
      <c r="P10211">
        <v>0.29252509999999998</v>
      </c>
      <c r="Q10211">
        <v>3.3790270000000002E-3</v>
      </c>
      <c r="R10211">
        <v>0.95625190000000004</v>
      </c>
      <c r="S10211">
        <v>1.3863829999999999</v>
      </c>
      <c r="T10211">
        <v>-0.26716649999999997</v>
      </c>
      <c r="U10211">
        <v>2.7167819999999998</v>
      </c>
      <c r="V10211">
        <v>0.1034983</v>
      </c>
      <c r="W10211">
        <v>1.676416E-2</v>
      </c>
      <c r="X10211">
        <v>0.99448840000000005</v>
      </c>
      <c r="Y10211">
        <v>0.27313349999999997</v>
      </c>
      <c r="Z10211">
        <v>-8.7978680000000004E-2</v>
      </c>
      <c r="AA10211">
        <v>0.95794460000000003</v>
      </c>
      <c r="AB10211">
        <v>30</v>
      </c>
      <c r="AC10211">
        <v>5.6762999999999897</v>
      </c>
      <c r="AD10211">
        <v>-1.1060064738969999</v>
      </c>
      <c r="AE10211">
        <v>10.944899999999899</v>
      </c>
      <c r="AF10211">
        <v>3.4397592776564698</v>
      </c>
      <c r="AG10211">
        <v>-1.1060064738969999</v>
      </c>
      <c r="AH10211">
        <v>11.7372053892989</v>
      </c>
      <c r="AI10211">
        <v>95.167062575619497</v>
      </c>
      <c r="AJ10211">
        <v>73.666007442211196</v>
      </c>
      <c r="AK10211">
        <v>12.2807648197949</v>
      </c>
      <c r="AL10211">
        <v>89.039439443374107</v>
      </c>
      <c r="AM10211">
        <v>84.058508291604895</v>
      </c>
      <c r="AN10211">
        <v>1.0000000564489699</v>
      </c>
    </row>
    <row r="10212" spans="1:40" x14ac:dyDescent="0.25">
      <c r="A10212" t="str">
        <f>"20190312154153110"</f>
        <v>20190312154153110</v>
      </c>
      <c r="B10212" t="str">
        <f>"1552376513105853"</f>
        <v>1552376513105853</v>
      </c>
      <c r="C10212" t="s">
        <v>40</v>
      </c>
      <c r="D10212">
        <v>4.4696350000000002</v>
      </c>
      <c r="E10212">
        <v>0.56866470000000002</v>
      </c>
      <c r="F10212" t="s">
        <v>55</v>
      </c>
      <c r="G10212">
        <v>-181.0438</v>
      </c>
      <c r="H10212" s="1">
        <v>-4.5109490000000002E-6</v>
      </c>
      <c r="I10212">
        <v>126.65219999999999</v>
      </c>
      <c r="J10212">
        <v>-186.68440000000001</v>
      </c>
      <c r="K10212">
        <v>1.10602</v>
      </c>
      <c r="L10212">
        <v>115.8693</v>
      </c>
      <c r="M10212">
        <v>0.19683129999999999</v>
      </c>
      <c r="N10212">
        <v>0</v>
      </c>
      <c r="O10212">
        <v>0.98033049999999999</v>
      </c>
      <c r="P10212">
        <v>0.29666160000000003</v>
      </c>
      <c r="Q10212">
        <v>2.9654999999999998E-3</v>
      </c>
      <c r="R10212">
        <v>0.95497799999999999</v>
      </c>
      <c r="S10212">
        <v>1.3961939999999999</v>
      </c>
      <c r="T10212">
        <v>-0.27078439999999998</v>
      </c>
      <c r="U10212">
        <v>2.7111049999999999</v>
      </c>
      <c r="V10212">
        <v>0.1030326</v>
      </c>
      <c r="W10212">
        <v>1.635843E-2</v>
      </c>
      <c r="X10212">
        <v>0.99454339999999997</v>
      </c>
      <c r="Y10212">
        <v>0.27203290000000002</v>
      </c>
      <c r="Z10212">
        <v>-8.9143520000000004E-2</v>
      </c>
      <c r="AA10212">
        <v>0.95814999999999995</v>
      </c>
      <c r="AB10212">
        <v>30</v>
      </c>
      <c r="AC10212">
        <v>5.6406000000000001</v>
      </c>
      <c r="AD10212">
        <v>-1.1060245109489999</v>
      </c>
      <c r="AE10212">
        <v>10.7828999999999</v>
      </c>
      <c r="AF10212">
        <v>3.3796788622132601</v>
      </c>
      <c r="AG10212">
        <v>-1.1060245109489999</v>
      </c>
      <c r="AH10212">
        <v>11.5865644596372</v>
      </c>
      <c r="AI10212">
        <v>95.235883694341595</v>
      </c>
      <c r="AJ10212">
        <v>73.738591124352894</v>
      </c>
      <c r="AK10212">
        <v>12.119983308892801</v>
      </c>
      <c r="AL10212">
        <v>89.062689142736005</v>
      </c>
      <c r="AM10212">
        <v>84.085377394551998</v>
      </c>
      <c r="AN10212">
        <v>0.99999994468918996</v>
      </c>
    </row>
    <row r="10213" spans="1:40" x14ac:dyDescent="0.25">
      <c r="A10213" t="str">
        <f>"20190312154153133"</f>
        <v>20190312154153133</v>
      </c>
      <c r="B10213" t="str">
        <f>"1552376513126349"</f>
        <v>1552376513126349</v>
      </c>
      <c r="C10213" t="s">
        <v>40</v>
      </c>
      <c r="D10213">
        <v>4.4059860000000004</v>
      </c>
      <c r="E10213">
        <v>0.56855049999999996</v>
      </c>
      <c r="F10213" t="s">
        <v>55</v>
      </c>
      <c r="G10213">
        <v>-180.97149999999999</v>
      </c>
      <c r="H10213" s="1">
        <v>-4.5773850000000002E-6</v>
      </c>
      <c r="I10213">
        <v>126.8693</v>
      </c>
      <c r="J10213">
        <v>-186.61969999999999</v>
      </c>
      <c r="K10213">
        <v>1.106052</v>
      </c>
      <c r="L10213">
        <v>116.1656</v>
      </c>
      <c r="M10213">
        <v>0.20159679999999999</v>
      </c>
      <c r="N10213">
        <v>0</v>
      </c>
      <c r="O10213">
        <v>0.9793617</v>
      </c>
      <c r="P10213">
        <v>0.30125359999999901</v>
      </c>
      <c r="Q10213">
        <v>3.3682130000000001E-3</v>
      </c>
      <c r="R10213">
        <v>0.95353810000000006</v>
      </c>
      <c r="S10213">
        <v>1.405243</v>
      </c>
      <c r="T10213">
        <v>-0.27205469999999998</v>
      </c>
      <c r="U10213">
        <v>2.7057340000000001</v>
      </c>
      <c r="V10213">
        <v>0.102984199999999</v>
      </c>
      <c r="W10213">
        <v>1.676559E-2</v>
      </c>
      <c r="X10213">
        <v>0.99454169999999997</v>
      </c>
      <c r="Y10213">
        <v>0.27063789999999999</v>
      </c>
      <c r="Z10213">
        <v>-8.9536240000000003E-2</v>
      </c>
      <c r="AA10213">
        <v>0.95850840000000004</v>
      </c>
      <c r="AB10213">
        <v>30</v>
      </c>
      <c r="AC10213">
        <v>5.6482000000000001</v>
      </c>
      <c r="AD10213">
        <v>-1.106056577385</v>
      </c>
      <c r="AE10213">
        <v>10.7036999999999</v>
      </c>
      <c r="AF10213">
        <v>3.3462041259308801</v>
      </c>
      <c r="AG10213">
        <v>-1.106056577385</v>
      </c>
      <c r="AH10213">
        <v>11.526398747442499</v>
      </c>
      <c r="AI10213">
        <v>95.2651529651625</v>
      </c>
      <c r="AJ10213">
        <v>73.811571740793497</v>
      </c>
      <c r="AK10213">
        <v>12.0531452861823</v>
      </c>
      <c r="AL10213">
        <v>89.0393574559521</v>
      </c>
      <c r="AM10213">
        <v>84.088126097035101</v>
      </c>
      <c r="AN10213">
        <v>1.0000000117482799</v>
      </c>
    </row>
    <row r="10214" spans="1:40" x14ac:dyDescent="0.25">
      <c r="A10214" t="str">
        <f>"20190312154153156"</f>
        <v>20190312154153156</v>
      </c>
      <c r="B10214" t="str">
        <f>"1552376513145872"</f>
        <v>1552376513145872</v>
      </c>
      <c r="C10214" t="s">
        <v>40</v>
      </c>
      <c r="D10214">
        <v>4.4196519999999904</v>
      </c>
      <c r="E10214">
        <v>0.56843299999999997</v>
      </c>
      <c r="F10214" t="s">
        <v>55</v>
      </c>
      <c r="G10214">
        <v>-180.82650000000001</v>
      </c>
      <c r="H10214" s="1">
        <v>-4.6827430000000002E-6</v>
      </c>
      <c r="I10214">
        <v>127.1972</v>
      </c>
      <c r="J10214">
        <v>-186.55260000000001</v>
      </c>
      <c r="K10214">
        <v>1.106088</v>
      </c>
      <c r="L10214">
        <v>116.4659</v>
      </c>
      <c r="M10214">
        <v>0.2063895</v>
      </c>
      <c r="N10214">
        <v>0</v>
      </c>
      <c r="O10214">
        <v>0.97836299999999998</v>
      </c>
      <c r="P10214">
        <v>0.30647529999999901</v>
      </c>
      <c r="Q10214">
        <v>3.3177660000000002E-3</v>
      </c>
      <c r="R10214">
        <v>0.95187279999999996</v>
      </c>
      <c r="S10214">
        <v>1.4175260000000001</v>
      </c>
      <c r="T10214">
        <v>-0.27063690000000001</v>
      </c>
      <c r="U10214">
        <v>2.6992799999999999</v>
      </c>
      <c r="V10214">
        <v>0.10356360000000001</v>
      </c>
      <c r="W10214">
        <v>1.6712669999999999E-2</v>
      </c>
      <c r="X10214">
        <v>0.99448239999999999</v>
      </c>
      <c r="Y10214">
        <v>0.27030859999999901</v>
      </c>
      <c r="Z10214">
        <v>-8.9041590000000004E-2</v>
      </c>
      <c r="AA10214">
        <v>0.95864740000000004</v>
      </c>
      <c r="AB10214">
        <v>30</v>
      </c>
      <c r="AC10214">
        <v>5.7260999999999997</v>
      </c>
      <c r="AD10214">
        <v>-1.106092682743</v>
      </c>
      <c r="AE10214">
        <v>10.7312999999999</v>
      </c>
      <c r="AF10214">
        <v>3.3599465860101301</v>
      </c>
      <c r="AG10214">
        <v>-1.106092682743</v>
      </c>
      <c r="AH10214">
        <v>11.586324599680999</v>
      </c>
      <c r="AI10214">
        <v>95.238682598983004</v>
      </c>
      <c r="AJ10214">
        <v>73.828240334682505</v>
      </c>
      <c r="AK10214">
        <v>12.114272566391699</v>
      </c>
      <c r="AL10214">
        <v>89.042389950944298</v>
      </c>
      <c r="AM10214">
        <v>84.054750865715306</v>
      </c>
      <c r="AN10214">
        <v>0.99999998824662395</v>
      </c>
    </row>
    <row r="10215" spans="1:40" x14ac:dyDescent="0.25">
      <c r="A10215" t="str">
        <f>"20190312154153178"</f>
        <v>20190312154153178</v>
      </c>
      <c r="B10215" t="str">
        <f>"1552376513166365"</f>
        <v>1552376513166365</v>
      </c>
      <c r="C10215" t="s">
        <v>40</v>
      </c>
      <c r="D10215">
        <v>4.483053</v>
      </c>
      <c r="E10215">
        <v>0.56828339999999999</v>
      </c>
      <c r="F10215" t="s">
        <v>55</v>
      </c>
      <c r="G10215">
        <v>-180.68539999999999</v>
      </c>
      <c r="H10215" s="1">
        <v>-4.7800650000000003E-6</v>
      </c>
      <c r="I10215">
        <v>127.49630000000001</v>
      </c>
      <c r="J10215">
        <v>-186.48740000000001</v>
      </c>
      <c r="K10215">
        <v>1.106123</v>
      </c>
      <c r="L10215">
        <v>116.7516</v>
      </c>
      <c r="M10215">
        <v>0.21091109999999999</v>
      </c>
      <c r="N10215">
        <v>0</v>
      </c>
      <c r="O10215">
        <v>0.97739830000000005</v>
      </c>
      <c r="P10215">
        <v>0.31089090000000003</v>
      </c>
      <c r="Q10215">
        <v>2.6450089999999998E-3</v>
      </c>
      <c r="R10215">
        <v>0.95044189999999995</v>
      </c>
      <c r="S10215">
        <v>1.431732</v>
      </c>
      <c r="T10215">
        <v>-0.26991120000000002</v>
      </c>
      <c r="U10215">
        <v>2.6916660000000001</v>
      </c>
      <c r="V10215">
        <v>0.1035736</v>
      </c>
      <c r="W10215">
        <v>1.604423E-2</v>
      </c>
      <c r="X10215">
        <v>0.99449240000000005</v>
      </c>
      <c r="Y10215">
        <v>0.27093679999999998</v>
      </c>
      <c r="Z10215">
        <v>-8.8783829999999994E-2</v>
      </c>
      <c r="AA10215">
        <v>0.95849390000000001</v>
      </c>
      <c r="AB10215">
        <v>30</v>
      </c>
      <c r="AC10215">
        <v>5.80200000000002</v>
      </c>
      <c r="AD10215">
        <v>-1.106127780065</v>
      </c>
      <c r="AE10215">
        <v>10.7447</v>
      </c>
      <c r="AF10215">
        <v>3.3773321175580602</v>
      </c>
      <c r="AG10215">
        <v>-1.106127780065</v>
      </c>
      <c r="AH10215">
        <v>11.6313440610251</v>
      </c>
      <c r="AI10215">
        <v>95.218165869018904</v>
      </c>
      <c r="AJ10215">
        <v>73.808566336207704</v>
      </c>
      <c r="AK10215">
        <v>12.1621566987137</v>
      </c>
      <c r="AL10215">
        <v>89.080693910819605</v>
      </c>
      <c r="AM10215">
        <v>84.054240269822401</v>
      </c>
      <c r="AN10215">
        <v>1.0000000207955</v>
      </c>
    </row>
    <row r="10216" spans="1:40" x14ac:dyDescent="0.25">
      <c r="A10216" t="str">
        <f>"20190312154153200"</f>
        <v>20190312154153200</v>
      </c>
      <c r="B10216" t="str">
        <f>"1552376513185884"</f>
        <v>1552376513185884</v>
      </c>
      <c r="C10216" t="s">
        <v>40</v>
      </c>
      <c r="D10216">
        <v>4.4535489999999998</v>
      </c>
      <c r="E10216">
        <v>0.56843759999999999</v>
      </c>
      <c r="F10216" t="s">
        <v>55</v>
      </c>
      <c r="G10216">
        <v>-180.63740000000001</v>
      </c>
      <c r="H10216" s="1">
        <v>-4.8234399999999997E-6</v>
      </c>
      <c r="I10216">
        <v>127.63760000000001</v>
      </c>
      <c r="J10216">
        <v>-186.4188</v>
      </c>
      <c r="K10216">
        <v>1.1061620000000001</v>
      </c>
      <c r="L10216">
        <v>117.04519999999999</v>
      </c>
      <c r="M10216">
        <v>0.21551919999999999</v>
      </c>
      <c r="N10216">
        <v>0</v>
      </c>
      <c r="O10216">
        <v>0.97639260000000005</v>
      </c>
      <c r="P10216">
        <v>0.31558779999999997</v>
      </c>
      <c r="Q10216">
        <v>2.3354869999999998E-3</v>
      </c>
      <c r="R10216">
        <v>0.94889349999999995</v>
      </c>
      <c r="S10216">
        <v>1.4429780000000001</v>
      </c>
      <c r="T10216">
        <v>-0.27284219999999998</v>
      </c>
      <c r="U10216">
        <v>2.685181</v>
      </c>
      <c r="V10216">
        <v>0.1037964</v>
      </c>
      <c r="W10216">
        <v>1.5737190000000002E-2</v>
      </c>
      <c r="X10216">
        <v>0.99447410000000003</v>
      </c>
      <c r="Y10216">
        <v>0.27043630000000002</v>
      </c>
      <c r="Z10216">
        <v>-8.9715180000000005E-2</v>
      </c>
      <c r="AA10216">
        <v>0.95854859999999997</v>
      </c>
      <c r="AB10216">
        <v>30</v>
      </c>
      <c r="AC10216">
        <v>5.7813999999999899</v>
      </c>
      <c r="AD10216">
        <v>-1.1061668234399999</v>
      </c>
      <c r="AE10216">
        <v>10.5924</v>
      </c>
      <c r="AF10216">
        <v>3.3343846894179401</v>
      </c>
      <c r="AG10216">
        <v>-1.1061668234399999</v>
      </c>
      <c r="AH10216">
        <v>11.492984578654401</v>
      </c>
      <c r="AI10216">
        <v>95.281156723413304</v>
      </c>
      <c r="AJ10216">
        <v>73.821315120936902</v>
      </c>
      <c r="AK10216">
        <v>12.017920819488401</v>
      </c>
      <c r="AL10216">
        <v>89.098288248859106</v>
      </c>
      <c r="AM10216">
        <v>84.041433245626905</v>
      </c>
      <c r="AN10216">
        <v>1.00000004368643</v>
      </c>
    </row>
    <row r="10217" spans="1:40" x14ac:dyDescent="0.25">
      <c r="A10217" t="str">
        <f>"20190312154153222"</f>
        <v>20190312154153222</v>
      </c>
      <c r="B10217" t="str">
        <f>"1552376513216144"</f>
        <v>1552376513216144</v>
      </c>
      <c r="C10217" t="s">
        <v>40</v>
      </c>
      <c r="D10217">
        <v>4.5724720000000003</v>
      </c>
      <c r="E10217">
        <v>0.59000129999999995</v>
      </c>
      <c r="F10217" t="s">
        <v>55</v>
      </c>
      <c r="G10217">
        <v>-180.53630000000001</v>
      </c>
      <c r="H10217" s="1">
        <v>-4.8930609999999998E-6</v>
      </c>
      <c r="I10217">
        <v>127.8514</v>
      </c>
      <c r="J10217">
        <v>-186.34809999999999</v>
      </c>
      <c r="K10217">
        <v>1.1062019999999999</v>
      </c>
      <c r="L10217">
        <v>117.3416</v>
      </c>
      <c r="M10217">
        <v>0.2201429</v>
      </c>
      <c r="N10217">
        <v>0</v>
      </c>
      <c r="O10217">
        <v>0.97536060000000002</v>
      </c>
      <c r="P10217">
        <v>0.3197275</v>
      </c>
      <c r="Q10217">
        <v>2.0113150000000001E-3</v>
      </c>
      <c r="R10217">
        <v>0.9475074</v>
      </c>
      <c r="S10217">
        <v>1.4575199999999999</v>
      </c>
      <c r="T10217">
        <v>-0.2740784</v>
      </c>
      <c r="U10217">
        <v>2.677505</v>
      </c>
      <c r="V10217">
        <v>0.1034216</v>
      </c>
      <c r="W10217">
        <v>1.542061E-2</v>
      </c>
      <c r="X10217">
        <v>0.99451800000000001</v>
      </c>
      <c r="Y10217">
        <v>0.27102959999999998</v>
      </c>
      <c r="Z10217">
        <v>-9.0084979999999995E-2</v>
      </c>
      <c r="AA10217">
        <v>0.95834629999999998</v>
      </c>
      <c r="AB10217">
        <v>30</v>
      </c>
      <c r="AC10217">
        <v>5.8117999999999697</v>
      </c>
      <c r="AD10217">
        <v>-1.1062068930610001</v>
      </c>
      <c r="AE10217">
        <v>10.509799999999901</v>
      </c>
      <c r="AF10217">
        <v>3.3270658755132301</v>
      </c>
      <c r="AG10217">
        <v>-1.1062068930610001</v>
      </c>
      <c r="AH10217">
        <v>11.434463604867799</v>
      </c>
      <c r="AI10217">
        <v>95.307028128094103</v>
      </c>
      <c r="AJ10217">
        <v>73.7766812091308</v>
      </c>
      <c r="AK10217">
        <v>11.959933902882</v>
      </c>
      <c r="AL10217">
        <v>89.116429053689302</v>
      </c>
      <c r="AM10217">
        <v>84.063055364776503</v>
      </c>
      <c r="AN10217">
        <v>0.99999993744166404</v>
      </c>
    </row>
    <row r="10218" spans="1:40" x14ac:dyDescent="0.25">
      <c r="A10218" t="str">
        <f>"20190312154153233"</f>
        <v>20190312154153233</v>
      </c>
      <c r="B10218" t="str">
        <f>"1552376513225901"</f>
        <v>1552376513225901</v>
      </c>
      <c r="C10218" t="s">
        <v>40</v>
      </c>
      <c r="D10218">
        <v>4.550478</v>
      </c>
      <c r="E10218">
        <v>0.59003619999999901</v>
      </c>
      <c r="F10218" t="s">
        <v>55</v>
      </c>
      <c r="G10218">
        <v>-181.22329999999999</v>
      </c>
      <c r="H10218" s="1">
        <v>-4.2038859999999997E-6</v>
      </c>
      <c r="I10218">
        <v>125.56619999999999</v>
      </c>
      <c r="J10218">
        <v>-186.31209999999999</v>
      </c>
      <c r="K10218">
        <v>1.1062179999999999</v>
      </c>
      <c r="L10218">
        <v>117.4909</v>
      </c>
      <c r="M10218">
        <v>0.22246279999999999</v>
      </c>
      <c r="N10218">
        <v>0</v>
      </c>
      <c r="O10218">
        <v>0.97483410000000004</v>
      </c>
      <c r="P10218">
        <v>0.32178230000000002</v>
      </c>
      <c r="Q10218">
        <v>2.0594860000000001E-3</v>
      </c>
      <c r="R10218">
        <v>0.94681139999999997</v>
      </c>
      <c r="S10218">
        <v>1.6305080000000001</v>
      </c>
      <c r="T10218">
        <v>-0.35195140000000003</v>
      </c>
      <c r="U10218">
        <v>2.6167600000000002</v>
      </c>
      <c r="V10218">
        <v>0.1032129</v>
      </c>
      <c r="W10218">
        <v>1.547257E-2</v>
      </c>
      <c r="X10218">
        <v>0.9945389</v>
      </c>
      <c r="Y10218">
        <v>0.32320919999999997</v>
      </c>
      <c r="Z10218">
        <v>-0.1147977</v>
      </c>
      <c r="AA10218">
        <v>0.93933880000000003</v>
      </c>
      <c r="AB10218">
        <v>30</v>
      </c>
      <c r="AC10218">
        <v>5.0887999999999902</v>
      </c>
      <c r="AD10218">
        <v>-1.1062222038859999</v>
      </c>
      <c r="AE10218">
        <v>8.0752999999999897</v>
      </c>
      <c r="AF10218">
        <v>3.1226690455705999</v>
      </c>
      <c r="AG10218">
        <v>-1.1062222038859999</v>
      </c>
      <c r="AH10218">
        <v>8.8857346749091608</v>
      </c>
      <c r="AI10218">
        <v>96.698846252316997</v>
      </c>
      <c r="AJ10218">
        <v>70.637251340367797</v>
      </c>
      <c r="AK10218">
        <v>9.4831993675878294</v>
      </c>
      <c r="AL10218">
        <v>89.113451632571497</v>
      </c>
      <c r="AM10218">
        <v>84.075074156658204</v>
      </c>
      <c r="AN10218">
        <v>0.99999996338101105</v>
      </c>
    </row>
    <row r="10219" spans="1:40" x14ac:dyDescent="0.25">
      <c r="A10219" t="str">
        <f>"20190312154153246"</f>
        <v>20190312154153246</v>
      </c>
      <c r="B10219" t="str">
        <f>"1552376513236638"</f>
        <v>1552376513236638</v>
      </c>
      <c r="C10219" t="s">
        <v>40</v>
      </c>
      <c r="D10219">
        <v>4.569566</v>
      </c>
      <c r="E10219">
        <v>0.58996389999999999</v>
      </c>
      <c r="F10219" t="s">
        <v>55</v>
      </c>
      <c r="G10219">
        <v>-181.20920000000001</v>
      </c>
      <c r="H10219" s="1">
        <v>-4.2244090000000002E-6</v>
      </c>
      <c r="I10219">
        <v>125.6377</v>
      </c>
      <c r="J10219">
        <v>-186.27449999999999</v>
      </c>
      <c r="K10219">
        <v>1.1062350000000001</v>
      </c>
      <c r="L10219">
        <v>117.6442</v>
      </c>
      <c r="M10219">
        <v>0.22484109999999999</v>
      </c>
      <c r="N10219">
        <v>0</v>
      </c>
      <c r="O10219">
        <v>0.9742883</v>
      </c>
      <c r="P10219">
        <v>0.32367299999999999</v>
      </c>
      <c r="Q10219">
        <v>2.3562539999999999E-3</v>
      </c>
      <c r="R10219">
        <v>0.94616610000000001</v>
      </c>
      <c r="S10219">
        <v>1.636719</v>
      </c>
      <c r="T10219">
        <v>-0.35481580000000001</v>
      </c>
      <c r="U10219">
        <v>2.6130520000000002</v>
      </c>
      <c r="V10219">
        <v>0.1027748</v>
      </c>
      <c r="W10219">
        <v>1.5774380000000001E-2</v>
      </c>
      <c r="X10219">
        <v>0.99457960000000001</v>
      </c>
      <c r="Y10219">
        <v>0.32304809999999901</v>
      </c>
      <c r="Z10219">
        <v>-0.1156961</v>
      </c>
      <c r="AA10219">
        <v>0.93928400000000001</v>
      </c>
      <c r="AB10219">
        <v>30</v>
      </c>
      <c r="AC10219">
        <v>5.0652999999999704</v>
      </c>
      <c r="AD10219">
        <v>-1.106239224409</v>
      </c>
      <c r="AE10219">
        <v>7.9934999999999903</v>
      </c>
      <c r="AF10219">
        <v>3.0958177947724099</v>
      </c>
      <c r="AG10219">
        <v>-1.106239224409</v>
      </c>
      <c r="AH10219">
        <v>8.8074376746067298</v>
      </c>
      <c r="AI10219">
        <v>96.757794816367493</v>
      </c>
      <c r="AJ10219">
        <v>70.633405115220796</v>
      </c>
      <c r="AK10219">
        <v>9.4010005548416196</v>
      </c>
      <c r="AL10219">
        <v>89.0961571471219</v>
      </c>
      <c r="AM10219">
        <v>84.100285198414198</v>
      </c>
      <c r="AN10219">
        <v>1.0000000356577901</v>
      </c>
    </row>
    <row r="10220" spans="1:40" x14ac:dyDescent="0.25">
      <c r="A10220" t="str">
        <f>"20190312154153258"</f>
        <v>20190312154153258</v>
      </c>
      <c r="B10220" t="str">
        <f>"1552376513246397"</f>
        <v>1552376513246397</v>
      </c>
      <c r="C10220" t="s">
        <v>40</v>
      </c>
      <c r="D10220">
        <v>4.568003</v>
      </c>
      <c r="E10220">
        <v>0.58992359999999999</v>
      </c>
      <c r="F10220" t="s">
        <v>55</v>
      </c>
      <c r="G10220">
        <v>-181.18119999999999</v>
      </c>
      <c r="H10220" s="1">
        <v>-4.2555680000000004E-6</v>
      </c>
      <c r="I10220">
        <v>125.7426</v>
      </c>
      <c r="J10220">
        <v>-186.2353</v>
      </c>
      <c r="K10220">
        <v>1.106249</v>
      </c>
      <c r="L10220">
        <v>117.80329999999999</v>
      </c>
      <c r="M10220">
        <v>0.22730400000000001</v>
      </c>
      <c r="N10220">
        <v>0</v>
      </c>
      <c r="O10220">
        <v>0.97371669999999999</v>
      </c>
      <c r="P10220">
        <v>0.32565080000000002</v>
      </c>
      <c r="Q10220">
        <v>2.3148270000000002E-3</v>
      </c>
      <c r="R10220">
        <v>0.94548730000000003</v>
      </c>
      <c r="S10220">
        <v>1.6415409999999999</v>
      </c>
      <c r="T10220">
        <v>-0.3565314</v>
      </c>
      <c r="U10220">
        <v>2.6100310000000002</v>
      </c>
      <c r="V10220">
        <v>0.1023387</v>
      </c>
      <c r="W10220">
        <v>1.5738140000000001E-2</v>
      </c>
      <c r="X10220">
        <v>0.99462510000000004</v>
      </c>
      <c r="Y10220">
        <v>0.32235659999999999</v>
      </c>
      <c r="Z10220">
        <v>-0.1162204</v>
      </c>
      <c r="AA10220">
        <v>0.93945679999999998</v>
      </c>
      <c r="AB10220">
        <v>30</v>
      </c>
      <c r="AC10220">
        <v>5.0541</v>
      </c>
      <c r="AD10220">
        <v>-1.106253255568</v>
      </c>
      <c r="AE10220">
        <v>7.9393000000000002</v>
      </c>
      <c r="AF10220">
        <v>3.0744743749205301</v>
      </c>
      <c r="AG10220">
        <v>-1.106253255568</v>
      </c>
      <c r="AH10220">
        <v>8.75935114310305</v>
      </c>
      <c r="AI10220">
        <v>96.795699930374695</v>
      </c>
      <c r="AJ10220">
        <v>70.659263744522704</v>
      </c>
      <c r="AK10220">
        <v>9.3489262161854008</v>
      </c>
      <c r="AL10220">
        <v>89.098233766373298</v>
      </c>
      <c r="AM10220">
        <v>84.125410617288495</v>
      </c>
      <c r="AN10220">
        <v>0.99999999405917905</v>
      </c>
    </row>
    <row r="10221" spans="1:40" x14ac:dyDescent="0.25">
      <c r="A10221" t="str">
        <f>"20190312154153269"</f>
        <v>20190312154153269</v>
      </c>
      <c r="B10221" t="str">
        <f>"1552376513256157"</f>
        <v>1552376513256157</v>
      </c>
      <c r="C10221" t="s">
        <v>40</v>
      </c>
      <c r="D10221">
        <v>4.5641819999999997</v>
      </c>
      <c r="E10221">
        <v>0.58994829999999998</v>
      </c>
      <c r="F10221" t="s">
        <v>55</v>
      </c>
      <c r="G10221">
        <v>-181.12020000000001</v>
      </c>
      <c r="H10221" s="1">
        <v>-4.3050390000000003E-6</v>
      </c>
      <c r="I10221">
        <v>125.9004</v>
      </c>
      <c r="J10221">
        <v>-186.19739999999999</v>
      </c>
      <c r="K10221">
        <v>1.106258</v>
      </c>
      <c r="L10221">
        <v>117.9547</v>
      </c>
      <c r="M10221">
        <v>0.22964390000000001</v>
      </c>
      <c r="N10221">
        <v>0</v>
      </c>
      <c r="O10221">
        <v>0.97316760000000002</v>
      </c>
      <c r="P10221">
        <v>0.32709389999999999</v>
      </c>
      <c r="Q10221">
        <v>2.2613830000000001E-3</v>
      </c>
      <c r="R10221">
        <v>0.94498910000000003</v>
      </c>
      <c r="S10221">
        <v>1.6466829999999999</v>
      </c>
      <c r="T10221">
        <v>-0.35613109999999998</v>
      </c>
      <c r="U10221">
        <v>2.6066590000000001</v>
      </c>
      <c r="V10221">
        <v>0.1014655</v>
      </c>
      <c r="W10221">
        <v>1.56937999999999E-2</v>
      </c>
      <c r="X10221">
        <v>0.99471529999999997</v>
      </c>
      <c r="Y10221">
        <v>0.32196529999999901</v>
      </c>
      <c r="Z10221">
        <v>-0.11607199999999999</v>
      </c>
      <c r="AA10221">
        <v>0.93960929999999998</v>
      </c>
      <c r="AB10221">
        <v>30</v>
      </c>
      <c r="AC10221">
        <v>5.0771999999999702</v>
      </c>
      <c r="AD10221">
        <v>-1.1062623050389999</v>
      </c>
      <c r="AE10221">
        <v>7.9457000000000004</v>
      </c>
      <c r="AF10221">
        <v>3.0742943032759902</v>
      </c>
      <c r="AG10221">
        <v>-1.1062623050389999</v>
      </c>
      <c r="AH10221">
        <v>8.7785427953206696</v>
      </c>
      <c r="AI10221">
        <v>96.782689313006998</v>
      </c>
      <c r="AJ10221">
        <v>70.699463170350199</v>
      </c>
      <c r="AK10221">
        <v>9.3668519450230399</v>
      </c>
      <c r="AL10221">
        <v>89.100774612364802</v>
      </c>
      <c r="AM10221">
        <v>84.175713706046295</v>
      </c>
      <c r="AN10221">
        <v>1.0000000355513801</v>
      </c>
    </row>
    <row r="10222" spans="1:40" x14ac:dyDescent="0.25">
      <c r="A10222" t="str">
        <f>"20190312154153283"</f>
        <v>20190312154153283</v>
      </c>
      <c r="B10222" t="str">
        <f>"1552376513276653"</f>
        <v>1552376513276653</v>
      </c>
      <c r="C10222" t="s">
        <v>40</v>
      </c>
      <c r="D10222">
        <v>4.5712320000000002</v>
      </c>
      <c r="E10222">
        <v>0.58970900000000004</v>
      </c>
      <c r="F10222" t="s">
        <v>55</v>
      </c>
      <c r="G10222">
        <v>-181.06639999999999</v>
      </c>
      <c r="H10222" s="1">
        <v>-4.3506740000000002E-6</v>
      </c>
      <c r="I10222">
        <v>126.04730000000001</v>
      </c>
      <c r="J10222">
        <v>-186.15539999999999</v>
      </c>
      <c r="K10222">
        <v>1.106266</v>
      </c>
      <c r="L10222">
        <v>118.1212</v>
      </c>
      <c r="M10222">
        <v>0.23221700000000001</v>
      </c>
      <c r="N10222">
        <v>0</v>
      </c>
      <c r="O10222">
        <v>0.97255689999999995</v>
      </c>
      <c r="P10222">
        <v>0.32921289999999997</v>
      </c>
      <c r="Q10222">
        <v>2.0314249999999999E-3</v>
      </c>
      <c r="R10222">
        <v>0.94425360000000003</v>
      </c>
      <c r="S10222">
        <v>1.6510309999999999</v>
      </c>
      <c r="T10222">
        <v>-0.35597089999999998</v>
      </c>
      <c r="U10222">
        <v>2.604034</v>
      </c>
      <c r="V10222">
        <v>0.10106320000000001</v>
      </c>
      <c r="W10222">
        <v>1.5468279999999999E-2</v>
      </c>
      <c r="X10222">
        <v>0.99475970000000002</v>
      </c>
      <c r="Y10222">
        <v>0.32101570000000001</v>
      </c>
      <c r="Z10222">
        <v>-0.1159821</v>
      </c>
      <c r="AA10222">
        <v>0.93994520000000004</v>
      </c>
      <c r="AB10222">
        <v>30</v>
      </c>
      <c r="AC10222">
        <v>5.0889999999999898</v>
      </c>
      <c r="AD10222">
        <v>-1.1062703506739999</v>
      </c>
      <c r="AE10222">
        <v>7.9260999999999999</v>
      </c>
      <c r="AF10222">
        <v>3.0667869510799699</v>
      </c>
      <c r="AG10222">
        <v>-1.1062703506739999</v>
      </c>
      <c r="AH10222">
        <v>8.7702828657769807</v>
      </c>
      <c r="AI10222">
        <v>96.790170008889106</v>
      </c>
      <c r="AJ10222">
        <v>70.7263215476288</v>
      </c>
      <c r="AK10222">
        <v>9.3566488572477695</v>
      </c>
      <c r="AL10222">
        <v>89.113697448512397</v>
      </c>
      <c r="AM10222">
        <v>84.198905738295906</v>
      </c>
      <c r="AN10222">
        <v>0.99999994941224202</v>
      </c>
    </row>
    <row r="10223" spans="1:40" x14ac:dyDescent="0.25">
      <c r="A10223" t="str">
        <f>"20190312154153302"</f>
        <v>20190312154153302</v>
      </c>
      <c r="B10223" t="str">
        <f>"1552376513296174"</f>
        <v>1552376513296174</v>
      </c>
      <c r="C10223" t="s">
        <v>40</v>
      </c>
      <c r="D10223">
        <v>4.5867610000000001</v>
      </c>
      <c r="E10223">
        <v>0.58975669999999902</v>
      </c>
      <c r="F10223" t="s">
        <v>55</v>
      </c>
      <c r="G10223">
        <v>-181.03030000000001</v>
      </c>
      <c r="H10223" s="1">
        <v>-4.3894389999999999E-6</v>
      </c>
      <c r="I10223">
        <v>126.1772</v>
      </c>
      <c r="J10223">
        <v>-186.09389999999999</v>
      </c>
      <c r="K10223">
        <v>1.1062780000000001</v>
      </c>
      <c r="L10223">
        <v>118.3613</v>
      </c>
      <c r="M10223">
        <v>0.2359262</v>
      </c>
      <c r="N10223">
        <v>0</v>
      </c>
      <c r="O10223">
        <v>0.97166379999999997</v>
      </c>
      <c r="P10223">
        <v>0.33292529999999998</v>
      </c>
      <c r="Q10223">
        <v>1.6461819999999999E-3</v>
      </c>
      <c r="R10223">
        <v>0.94295169999999995</v>
      </c>
      <c r="S10223">
        <v>1.6546940000000001</v>
      </c>
      <c r="T10223">
        <v>-0.35717490000000002</v>
      </c>
      <c r="U10223">
        <v>2.6009980000000001</v>
      </c>
      <c r="V10223">
        <v>0.10117710000000001</v>
      </c>
      <c r="W10223">
        <v>1.5081610000000001E-2</v>
      </c>
      <c r="X10223">
        <v>0.99475409999999997</v>
      </c>
      <c r="Y10223">
        <v>0.31881939999999998</v>
      </c>
      <c r="Z10223">
        <v>-0.1163279</v>
      </c>
      <c r="AA10223">
        <v>0.94064970000000003</v>
      </c>
      <c r="AB10223">
        <v>30</v>
      </c>
      <c r="AC10223">
        <v>5.0635999999999797</v>
      </c>
      <c r="AD10223">
        <v>-1.1062823894389999</v>
      </c>
      <c r="AE10223">
        <v>7.8158999999999903</v>
      </c>
      <c r="AF10223">
        <v>3.0336524731458501</v>
      </c>
      <c r="AG10223">
        <v>-1.1062823894389999</v>
      </c>
      <c r="AH10223">
        <v>8.6676653331990501</v>
      </c>
      <c r="AI10223">
        <v>96.869197333911501</v>
      </c>
      <c r="AJ10223">
        <v>70.710132765121998</v>
      </c>
      <c r="AK10223">
        <v>9.2496124449269495</v>
      </c>
      <c r="AL10223">
        <v>89.135854628955599</v>
      </c>
      <c r="AM10223">
        <v>84.192379997114799</v>
      </c>
      <c r="AN10223">
        <v>0.99999998999570505</v>
      </c>
    </row>
    <row r="10224" spans="1:40" x14ac:dyDescent="0.25">
      <c r="A10224" t="str">
        <f>"20190312154153314"</f>
        <v>20190312154153314</v>
      </c>
      <c r="B10224" t="str">
        <f>"1552376513305933"</f>
        <v>1552376513305933</v>
      </c>
      <c r="C10224" t="s">
        <v>40</v>
      </c>
      <c r="D10224">
        <v>4.5530410000000003</v>
      </c>
      <c r="E10224">
        <v>0.58984289999999995</v>
      </c>
      <c r="F10224" t="s">
        <v>55</v>
      </c>
      <c r="G10224">
        <v>-180.982</v>
      </c>
      <c r="H10224" s="1">
        <v>-4.4347969999999996E-6</v>
      </c>
      <c r="I10224">
        <v>126.3259</v>
      </c>
      <c r="J10224">
        <v>-186.0479</v>
      </c>
      <c r="K10224">
        <v>1.106279</v>
      </c>
      <c r="L10224">
        <v>118.53879999999999</v>
      </c>
      <c r="M10224">
        <v>0.2386675</v>
      </c>
      <c r="N10224">
        <v>0</v>
      </c>
      <c r="O10224">
        <v>0.97099409999999997</v>
      </c>
      <c r="P10224">
        <v>0.3359568</v>
      </c>
      <c r="Q10224">
        <v>8.2698929999999997E-4</v>
      </c>
      <c r="R10224">
        <v>0.94187699999999996</v>
      </c>
      <c r="S10224">
        <v>1.6650700000000001</v>
      </c>
      <c r="T10224">
        <v>-0.36033979999999999</v>
      </c>
      <c r="U10224">
        <v>2.5942379999999998</v>
      </c>
      <c r="V10224">
        <v>0.1015615</v>
      </c>
      <c r="W10224">
        <v>1.425773E-2</v>
      </c>
      <c r="X10224">
        <v>0.99472709999999998</v>
      </c>
      <c r="Y10224">
        <v>0.31985920000000001</v>
      </c>
      <c r="Z10224">
        <v>-0.1173404</v>
      </c>
      <c r="AA10224">
        <v>0.94017090000000003</v>
      </c>
      <c r="AB10224">
        <v>30</v>
      </c>
      <c r="AC10224">
        <v>5.0658999999999903</v>
      </c>
      <c r="AD10224">
        <v>-1.1062834347970001</v>
      </c>
      <c r="AE10224">
        <v>7.7870999999999997</v>
      </c>
      <c r="AF10224">
        <v>3.0179521399187501</v>
      </c>
      <c r="AG10224">
        <v>-1.1062834347970001</v>
      </c>
      <c r="AH10224">
        <v>8.6485610330652101</v>
      </c>
      <c r="AI10224">
        <v>96.886445565748801</v>
      </c>
      <c r="AJ10224">
        <v>70.763349339223495</v>
      </c>
      <c r="AK10224">
        <v>9.22656523846228</v>
      </c>
      <c r="AL10224">
        <v>89.183064575863696</v>
      </c>
      <c r="AM10224">
        <v>84.1703097644818</v>
      </c>
      <c r="AN10224">
        <v>1.0000000123107</v>
      </c>
    </row>
    <row r="10225" spans="1:40" x14ac:dyDescent="0.25">
      <c r="A10225" t="str">
        <f>"20190312154153328"</f>
        <v>20190312154153328</v>
      </c>
      <c r="B10225" t="str">
        <f>"1552376513316668"</f>
        <v>1552376513316668</v>
      </c>
      <c r="C10225" t="s">
        <v>40</v>
      </c>
      <c r="D10225">
        <v>4.5655739999999998</v>
      </c>
      <c r="E10225">
        <v>0.58993300000000004</v>
      </c>
      <c r="F10225" t="s">
        <v>55</v>
      </c>
      <c r="G10225">
        <v>-180.95689999999999</v>
      </c>
      <c r="H10225" s="1">
        <v>-4.4607310000000001E-6</v>
      </c>
      <c r="I10225">
        <v>126.4123</v>
      </c>
      <c r="J10225">
        <v>-186.00460000000001</v>
      </c>
      <c r="K10225">
        <v>1.106284</v>
      </c>
      <c r="L10225">
        <v>118.70359999999999</v>
      </c>
      <c r="M10225">
        <v>0.24121600000000001</v>
      </c>
      <c r="N10225">
        <v>0</v>
      </c>
      <c r="O10225">
        <v>0.97036420000000001</v>
      </c>
      <c r="P10225">
        <v>0.33938940000000001</v>
      </c>
      <c r="Q10225">
        <v>4.1851539999999997E-4</v>
      </c>
      <c r="R10225">
        <v>0.94064590000000003</v>
      </c>
      <c r="S10225">
        <v>1.673691</v>
      </c>
      <c r="T10225">
        <v>-0.36369449999999998</v>
      </c>
      <c r="U10225">
        <v>2.5884550000000002</v>
      </c>
      <c r="V10225">
        <v>0.10257330000000001</v>
      </c>
      <c r="W10225">
        <v>1.3837199999999999E-2</v>
      </c>
      <c r="X10225">
        <v>0.99462919999999999</v>
      </c>
      <c r="Y10225">
        <v>0.32046849999999999</v>
      </c>
      <c r="Z10225">
        <v>-0.1184113</v>
      </c>
      <c r="AA10225">
        <v>0.93982909999999997</v>
      </c>
      <c r="AB10225">
        <v>30</v>
      </c>
      <c r="AC10225">
        <v>5.0477000000000096</v>
      </c>
      <c r="AD10225">
        <v>-1.106288460731</v>
      </c>
      <c r="AE10225">
        <v>7.7087000000000003</v>
      </c>
      <c r="AF10225">
        <v>2.9957780252052699</v>
      </c>
      <c r="AG10225">
        <v>-1.106288460731</v>
      </c>
      <c r="AH10225">
        <v>8.5751281967242097</v>
      </c>
      <c r="AI10225">
        <v>96.9440139888316</v>
      </c>
      <c r="AJ10225">
        <v>70.742799094808007</v>
      </c>
      <c r="AK10225">
        <v>9.15048543657133</v>
      </c>
      <c r="AL10225">
        <v>89.207161536006595</v>
      </c>
      <c r="AM10225">
        <v>84.112062384054397</v>
      </c>
      <c r="AN10225">
        <v>0.99999999773468495</v>
      </c>
    </row>
    <row r="10226" spans="1:40" x14ac:dyDescent="0.25">
      <c r="A10226" t="str">
        <f>"20190312154153341"</f>
        <v>20190312154153341</v>
      </c>
      <c r="B10226" t="str">
        <f>"1552376513336189"</f>
        <v>1552376513336189</v>
      </c>
      <c r="C10226" t="s">
        <v>40</v>
      </c>
      <c r="D10226">
        <v>4.5517289999999999</v>
      </c>
      <c r="E10226">
        <v>0.58993759999999995</v>
      </c>
      <c r="F10226" t="s">
        <v>55</v>
      </c>
      <c r="G10226">
        <v>-180.9135</v>
      </c>
      <c r="H10226" s="1">
        <v>-4.4924789999999998E-6</v>
      </c>
      <c r="I10226">
        <v>126.51130000000001</v>
      </c>
      <c r="J10226">
        <v>-185.95910000000001</v>
      </c>
      <c r="K10226">
        <v>1.1062890000000001</v>
      </c>
      <c r="L10226">
        <v>118.8754</v>
      </c>
      <c r="M10226">
        <v>0.24387639999999999</v>
      </c>
      <c r="N10226">
        <v>0</v>
      </c>
      <c r="O10226">
        <v>0.96969899999999998</v>
      </c>
      <c r="P10226">
        <v>0.34283380000000002</v>
      </c>
      <c r="Q10226" s="1">
        <v>9.0706160000000006E-5</v>
      </c>
      <c r="R10226">
        <v>0.93939609999999996</v>
      </c>
      <c r="S10226">
        <v>1.68364</v>
      </c>
      <c r="T10226">
        <v>-0.3658497</v>
      </c>
      <c r="U10226">
        <v>2.582001</v>
      </c>
      <c r="V10226">
        <v>0.10348690000000001</v>
      </c>
      <c r="W10226">
        <v>1.349915E-2</v>
      </c>
      <c r="X10226">
        <v>0.99453919999999996</v>
      </c>
      <c r="Y10226">
        <v>0.32144260000000002</v>
      </c>
      <c r="Z10226">
        <v>-0.1190928</v>
      </c>
      <c r="AA10226">
        <v>0.93941019999999997</v>
      </c>
      <c r="AB10226">
        <v>30</v>
      </c>
      <c r="AC10226">
        <v>5.0456000000000003</v>
      </c>
      <c r="AD10226">
        <v>-1.10629349247899</v>
      </c>
      <c r="AE10226">
        <v>7.6359000000000004</v>
      </c>
      <c r="AF10226">
        <v>2.9871676229781201</v>
      </c>
      <c r="AG10226">
        <v>-1.10629349247899</v>
      </c>
      <c r="AH10226">
        <v>8.5115643185835594</v>
      </c>
      <c r="AI10226">
        <v>96.991941065314904</v>
      </c>
      <c r="AJ10226">
        <v>70.661272766726</v>
      </c>
      <c r="AK10226">
        <v>9.0881121718789792</v>
      </c>
      <c r="AL10226">
        <v>89.226532180177401</v>
      </c>
      <c r="AM10226">
        <v>84.059459328515501</v>
      </c>
      <c r="AN10226">
        <v>0.99999999292948605</v>
      </c>
    </row>
    <row r="10227" spans="1:40" x14ac:dyDescent="0.25">
      <c r="A10227" t="str">
        <f>"20190312154153356"</f>
        <v>20190312154153356</v>
      </c>
      <c r="B10227" t="str">
        <f>"1552376513345949"</f>
        <v>1552376513345949</v>
      </c>
      <c r="C10227" t="s">
        <v>40</v>
      </c>
      <c r="D10227">
        <v>4.5425630000000004</v>
      </c>
      <c r="E10227">
        <v>0.58992509999999998</v>
      </c>
      <c r="F10227" t="s">
        <v>55</v>
      </c>
      <c r="G10227">
        <v>-180.88059999999999</v>
      </c>
      <c r="H10227" s="1">
        <v>-4.5203870000000002E-6</v>
      </c>
      <c r="I10227">
        <v>126.6011</v>
      </c>
      <c r="J10227">
        <v>-185.90530000000001</v>
      </c>
      <c r="K10227">
        <v>1.1062959999999999</v>
      </c>
      <c r="L10227">
        <v>119.0761</v>
      </c>
      <c r="M10227">
        <v>0.24698970000000001</v>
      </c>
      <c r="N10227">
        <v>0</v>
      </c>
      <c r="O10227">
        <v>0.96891079999999996</v>
      </c>
      <c r="P10227">
        <v>0.34896949999999999</v>
      </c>
      <c r="Q10227">
        <v>-6.4793879999999998E-4</v>
      </c>
      <c r="R10227">
        <v>0.93713380000000002</v>
      </c>
      <c r="S10227">
        <v>1.6931</v>
      </c>
      <c r="T10227">
        <v>-0.36882730000000002</v>
      </c>
      <c r="U10227">
        <v>2.5756679999999998</v>
      </c>
      <c r="V10227">
        <v>0.106789</v>
      </c>
      <c r="W10227">
        <v>1.272388E-2</v>
      </c>
      <c r="X10227">
        <v>0.99420030000000004</v>
      </c>
      <c r="Y10227">
        <v>0.32180940000000002</v>
      </c>
      <c r="Z10227">
        <v>-0.1200278</v>
      </c>
      <c r="AA10227">
        <v>0.93916560000000004</v>
      </c>
      <c r="AB10227">
        <v>30</v>
      </c>
      <c r="AC10227">
        <v>5.0247000000000197</v>
      </c>
      <c r="AD10227">
        <v>-1.106300520387</v>
      </c>
      <c r="AE10227">
        <v>7.5250000000000004</v>
      </c>
      <c r="AF10227">
        <v>2.9658656821511702</v>
      </c>
      <c r="AG10227">
        <v>-1.106300520387</v>
      </c>
      <c r="AH10227">
        <v>8.4073115523660995</v>
      </c>
      <c r="AI10227">
        <v>97.073826128870294</v>
      </c>
      <c r="AJ10227">
        <v>70.568575507565896</v>
      </c>
      <c r="AK10227">
        <v>8.9834930636428503</v>
      </c>
      <c r="AL10227">
        <v>89.270955713179603</v>
      </c>
      <c r="AM10227">
        <v>83.869253562105797</v>
      </c>
      <c r="AN10227">
        <v>1.0000000120816701</v>
      </c>
    </row>
    <row r="10228" spans="1:40" x14ac:dyDescent="0.25">
      <c r="A10228" t="str">
        <f>"20190312154153369"</f>
        <v>20190312154153369</v>
      </c>
      <c r="B10228" t="str">
        <f>"1552376513356685"</f>
        <v>1552376513356685</v>
      </c>
      <c r="C10228" t="s">
        <v>40</v>
      </c>
      <c r="D10228">
        <v>4.5594089999999996</v>
      </c>
      <c r="E10228">
        <v>0.58996519999999997</v>
      </c>
      <c r="F10228" t="s">
        <v>55</v>
      </c>
      <c r="G10228">
        <v>-180.8124</v>
      </c>
      <c r="H10228" s="1">
        <v>-4.5597069999999997E-6</v>
      </c>
      <c r="I10228">
        <v>126.71599999999999</v>
      </c>
      <c r="J10228">
        <v>-185.86189999999999</v>
      </c>
      <c r="K10228">
        <v>1.1062970000000001</v>
      </c>
      <c r="L10228">
        <v>119.2351</v>
      </c>
      <c r="M10228">
        <v>0.2494721</v>
      </c>
      <c r="N10228">
        <v>0</v>
      </c>
      <c r="O10228">
        <v>0.96827459999999999</v>
      </c>
      <c r="P10228">
        <v>0.353334599999999</v>
      </c>
      <c r="Q10228">
        <v>-6.8255839999999905E-4</v>
      </c>
      <c r="R10228">
        <v>0.93549669999999896</v>
      </c>
      <c r="S10228">
        <v>1.709457</v>
      </c>
      <c r="T10228">
        <v>-0.37134109999999998</v>
      </c>
      <c r="U10228">
        <v>2.5644070000000001</v>
      </c>
      <c r="V10228">
        <v>0.1088755</v>
      </c>
      <c r="W10228">
        <v>1.266428E-2</v>
      </c>
      <c r="X10228">
        <v>0.99397469999999999</v>
      </c>
      <c r="Y10228">
        <v>0.32537460000000001</v>
      </c>
      <c r="Z10228">
        <v>-0.12088069999999999</v>
      </c>
      <c r="AA10228">
        <v>0.93782690000000002</v>
      </c>
      <c r="AB10228">
        <v>30</v>
      </c>
      <c r="AC10228">
        <v>5.0494999999999903</v>
      </c>
      <c r="AD10228">
        <v>-1.1063015597069901</v>
      </c>
      <c r="AE10228">
        <v>7.4809000000000001</v>
      </c>
      <c r="AF10228">
        <v>2.9785897894031601</v>
      </c>
      <c r="AG10228">
        <v>-1.1063015597069901</v>
      </c>
      <c r="AH10228">
        <v>8.3782809680174299</v>
      </c>
      <c r="AI10228">
        <v>97.092036376810498</v>
      </c>
      <c r="AJ10228">
        <v>70.4290267362083</v>
      </c>
      <c r="AK10228">
        <v>8.9605520060758597</v>
      </c>
      <c r="AL10228">
        <v>89.274370794472503</v>
      </c>
      <c r="AM10228">
        <v>83.748999444834894</v>
      </c>
      <c r="AN10228">
        <v>0.99999998136412804</v>
      </c>
    </row>
    <row r="10229" spans="1:40" x14ac:dyDescent="0.25">
      <c r="A10229" t="str">
        <f>"20190312154153382"</f>
        <v>20190312154153382</v>
      </c>
      <c r="B10229" t="str">
        <f>"1552376513376205"</f>
        <v>1552376513376205</v>
      </c>
      <c r="C10229" t="s">
        <v>40</v>
      </c>
      <c r="D10229">
        <v>4.5351249999999999</v>
      </c>
      <c r="E10229">
        <v>0.58991309999999997</v>
      </c>
      <c r="F10229" t="s">
        <v>55</v>
      </c>
      <c r="G10229">
        <v>-180.72810000000001</v>
      </c>
      <c r="H10229" s="1">
        <v>-4.6076419999999996E-6</v>
      </c>
      <c r="I10229">
        <v>126.8553</v>
      </c>
      <c r="J10229">
        <v>-185.8177</v>
      </c>
      <c r="K10229">
        <v>1.1062959999999999</v>
      </c>
      <c r="L10229">
        <v>119.3964</v>
      </c>
      <c r="M10229">
        <v>0.25200070000000002</v>
      </c>
      <c r="N10229">
        <v>0</v>
      </c>
      <c r="O10229">
        <v>0.96761960000000002</v>
      </c>
      <c r="P10229">
        <v>0.35701440000000001</v>
      </c>
      <c r="Q10229">
        <v>-5.4026949999999997E-4</v>
      </c>
      <c r="R10229">
        <v>0.93409869999999995</v>
      </c>
      <c r="S10229">
        <v>1.7221070000000001</v>
      </c>
      <c r="T10229">
        <v>-0.37110140000000003</v>
      </c>
      <c r="U10229">
        <v>2.556152</v>
      </c>
      <c r="V10229">
        <v>0.110193</v>
      </c>
      <c r="W10229">
        <v>1.2789200000000001E-2</v>
      </c>
      <c r="X10229">
        <v>0.99382789999999999</v>
      </c>
      <c r="Y10229">
        <v>0.32750689999999999</v>
      </c>
      <c r="Z10229">
        <v>-0.1208047</v>
      </c>
      <c r="AA10229">
        <v>0.93709419999999999</v>
      </c>
      <c r="AB10229">
        <v>30</v>
      </c>
      <c r="AC10229">
        <v>5.0895999999999901</v>
      </c>
      <c r="AD10229">
        <v>-1.1063006076419999</v>
      </c>
      <c r="AE10229">
        <v>7.4588999999999999</v>
      </c>
      <c r="AF10229">
        <v>3.0004290307501398</v>
      </c>
      <c r="AG10229">
        <v>-1.1063006076419999</v>
      </c>
      <c r="AH10229">
        <v>8.3751340545087807</v>
      </c>
      <c r="AI10229">
        <v>97.088576751579595</v>
      </c>
      <c r="AJ10229">
        <v>70.289711047774503</v>
      </c>
      <c r="AK10229">
        <v>8.9648951937002597</v>
      </c>
      <c r="AL10229">
        <v>89.267212823272601</v>
      </c>
      <c r="AM10229">
        <v>83.673039005285901</v>
      </c>
      <c r="AN10229">
        <v>0.99999997785202399</v>
      </c>
    </row>
    <row r="10230" spans="1:40" x14ac:dyDescent="0.25">
      <c r="A10230" t="str">
        <f>"20190312154153401"</f>
        <v>20190312154153401</v>
      </c>
      <c r="B10230" t="str">
        <f>"1552376513396701"</f>
        <v>1552376513396701</v>
      </c>
      <c r="C10230" t="s">
        <v>40</v>
      </c>
      <c r="D10230">
        <v>4.5491190000000001</v>
      </c>
      <c r="E10230">
        <v>0.58984579999999998</v>
      </c>
      <c r="F10230" t="s">
        <v>55</v>
      </c>
      <c r="G10230">
        <v>-180.64330000000001</v>
      </c>
      <c r="H10230" s="1">
        <v>-4.6607070000000001E-6</v>
      </c>
      <c r="I10230">
        <v>127.0142</v>
      </c>
      <c r="J10230">
        <v>-185.7484</v>
      </c>
      <c r="K10230">
        <v>1.106277</v>
      </c>
      <c r="L10230">
        <v>119.6454</v>
      </c>
      <c r="M10230">
        <v>0.25594289999999997</v>
      </c>
      <c r="N10230">
        <v>0</v>
      </c>
      <c r="O10230">
        <v>0.96658440000000001</v>
      </c>
      <c r="P10230">
        <v>0.3633787</v>
      </c>
      <c r="Q10230">
        <v>6.7317769999999998E-4</v>
      </c>
      <c r="R10230">
        <v>0.93164130000000001</v>
      </c>
      <c r="S10230">
        <v>1.7317959999999999</v>
      </c>
      <c r="T10230">
        <v>-0.37026290000000001</v>
      </c>
      <c r="U10230">
        <v>2.5495450000000002</v>
      </c>
      <c r="V10230">
        <v>0.11293350000000001</v>
      </c>
      <c r="W10230">
        <v>1.396498E-2</v>
      </c>
      <c r="X10230">
        <v>0.99350439999999995</v>
      </c>
      <c r="Y10230">
        <v>0.32724550000000002</v>
      </c>
      <c r="Z10230">
        <v>-0.12048970000000001</v>
      </c>
      <c r="AA10230">
        <v>0.937226</v>
      </c>
      <c r="AB10230">
        <v>30</v>
      </c>
      <c r="AC10230">
        <v>5.1050999999999904</v>
      </c>
      <c r="AD10230">
        <v>-1.1062816607069901</v>
      </c>
      <c r="AE10230">
        <v>7.3688000000000002</v>
      </c>
      <c r="AF10230">
        <v>3.0030992154160101</v>
      </c>
      <c r="AG10230">
        <v>-1.1062816607069901</v>
      </c>
      <c r="AH10230">
        <v>8.3035979121554799</v>
      </c>
      <c r="AI10230">
        <v>97.141215632588001</v>
      </c>
      <c r="AJ10230">
        <v>70.1168473944619</v>
      </c>
      <c r="AK10230">
        <v>8.8990000728846894</v>
      </c>
      <c r="AL10230">
        <v>89.199839571170301</v>
      </c>
      <c r="AM10230">
        <v>83.514918056493798</v>
      </c>
      <c r="AN10230">
        <v>0.999999994454005</v>
      </c>
    </row>
    <row r="10231" spans="1:40" x14ac:dyDescent="0.25">
      <c r="A10231" t="str">
        <f>"20190312154153413"</f>
        <v>20190312154153413</v>
      </c>
      <c r="B10231" t="str">
        <f>"1552376513406461"</f>
        <v>1552376513406461</v>
      </c>
      <c r="C10231" t="s">
        <v>40</v>
      </c>
      <c r="D10231">
        <v>4.5131509999999997</v>
      </c>
      <c r="E10231">
        <v>0.58972749999999996</v>
      </c>
      <c r="F10231" t="s">
        <v>55</v>
      </c>
      <c r="G10231">
        <v>-180.4383</v>
      </c>
      <c r="H10231" s="1">
        <v>-4.7760480000000002E-6</v>
      </c>
      <c r="I10231">
        <v>127.3484</v>
      </c>
      <c r="J10231">
        <v>-185.7021</v>
      </c>
      <c r="K10231">
        <v>1.106257</v>
      </c>
      <c r="L10231">
        <v>119.8098</v>
      </c>
      <c r="M10231">
        <v>0.25857580000000002</v>
      </c>
      <c r="N10231">
        <v>0</v>
      </c>
      <c r="O10231">
        <v>0.96588339999999995</v>
      </c>
      <c r="P10231">
        <v>0.36691839999999998</v>
      </c>
      <c r="Q10231">
        <v>8.3111789999999904E-4</v>
      </c>
      <c r="R10231">
        <v>0.93025279999999999</v>
      </c>
      <c r="S10231">
        <v>1.749573</v>
      </c>
      <c r="T10231">
        <v>-0.36449799999999999</v>
      </c>
      <c r="U10231">
        <v>2.537979</v>
      </c>
      <c r="V10231">
        <v>0.114006</v>
      </c>
      <c r="W10231">
        <v>1.4104200000000001E-2</v>
      </c>
      <c r="X10231">
        <v>0.99338000000000004</v>
      </c>
      <c r="Y10231">
        <v>0.33124559999999997</v>
      </c>
      <c r="Z10231">
        <v>-0.1186565</v>
      </c>
      <c r="AA10231">
        <v>0.93605389999999999</v>
      </c>
      <c r="AB10231">
        <v>30</v>
      </c>
      <c r="AC10231">
        <v>5.2637999999999998</v>
      </c>
      <c r="AD10231">
        <v>-1.106261776048</v>
      </c>
      <c r="AE10231">
        <v>7.5385999999999997</v>
      </c>
      <c r="AF10231">
        <v>3.0905036432993001</v>
      </c>
      <c r="AG10231">
        <v>-1.106261776048</v>
      </c>
      <c r="AH10231">
        <v>8.52005747693042</v>
      </c>
      <c r="AI10231">
        <v>96.959104098835994</v>
      </c>
      <c r="AJ10231">
        <v>70.062634879009394</v>
      </c>
      <c r="AK10231">
        <v>9.1305206476185692</v>
      </c>
      <c r="AL10231">
        <v>89.191862120328594</v>
      </c>
      <c r="AM10231">
        <v>83.453050346554704</v>
      </c>
      <c r="AN10231">
        <v>1.00000006044681</v>
      </c>
    </row>
    <row r="10232" spans="1:40" x14ac:dyDescent="0.25">
      <c r="A10232" t="str">
        <f>"20190312154153425"</f>
        <v>20190312154153425</v>
      </c>
      <c r="B10232" t="str">
        <f>"1552376513416223"</f>
        <v>1552376513416223</v>
      </c>
      <c r="C10232" t="s">
        <v>40</v>
      </c>
      <c r="D10232">
        <v>4.5862540000000003</v>
      </c>
      <c r="E10232">
        <v>0.58972749999999996</v>
      </c>
      <c r="F10232" t="s">
        <v>55</v>
      </c>
      <c r="G10232">
        <v>-180.3586</v>
      </c>
      <c r="H10232" s="1">
        <v>-4.8270919999999997E-6</v>
      </c>
      <c r="I10232">
        <v>127.5021</v>
      </c>
      <c r="J10232">
        <v>-185.6635</v>
      </c>
      <c r="K10232">
        <v>1.106236</v>
      </c>
      <c r="L10232">
        <v>119.9448</v>
      </c>
      <c r="M10232">
        <v>0.26076369999999999</v>
      </c>
      <c r="N10232">
        <v>0</v>
      </c>
      <c r="O10232">
        <v>0.96529500000000001</v>
      </c>
      <c r="P10232">
        <v>0.36989030000000001</v>
      </c>
      <c r="Q10232">
        <v>1.162897E-3</v>
      </c>
      <c r="R10232">
        <v>0.92907470000000003</v>
      </c>
      <c r="S10232">
        <v>1.758591</v>
      </c>
      <c r="T10232">
        <v>-0.36407899999999999</v>
      </c>
      <c r="U10232">
        <v>2.5316160000000001</v>
      </c>
      <c r="V10232">
        <v>0.1149348</v>
      </c>
      <c r="W10232">
        <v>1.441888E-2</v>
      </c>
      <c r="X10232">
        <v>0.99326840000000005</v>
      </c>
      <c r="Y10232">
        <v>0.33246969999999998</v>
      </c>
      <c r="Z10232">
        <v>-0.1185216</v>
      </c>
      <c r="AA10232">
        <v>0.93563700000000005</v>
      </c>
      <c r="AB10232">
        <v>30</v>
      </c>
      <c r="AC10232">
        <v>5.3048999999999999</v>
      </c>
      <c r="AD10232">
        <v>-1.1062408270919999</v>
      </c>
      <c r="AE10232">
        <v>7.5572999999999899</v>
      </c>
      <c r="AF10232">
        <v>3.10586892365628</v>
      </c>
      <c r="AG10232">
        <v>-1.1062408270919999</v>
      </c>
      <c r="AH10232">
        <v>8.5564301004252901</v>
      </c>
      <c r="AI10232">
        <v>96.929121418737296</v>
      </c>
      <c r="AJ10232">
        <v>70.049784406878004</v>
      </c>
      <c r="AK10232">
        <v>9.1696612043151795</v>
      </c>
      <c r="AL10232">
        <v>89.173830412734006</v>
      </c>
      <c r="AM10232">
        <v>83.399446432621701</v>
      </c>
      <c r="AN10232">
        <v>1.00000001339502</v>
      </c>
    </row>
    <row r="10233" spans="1:40" x14ac:dyDescent="0.25">
      <c r="A10233" t="str">
        <f>"20190312154153437"</f>
        <v>20190312154153437</v>
      </c>
      <c r="B10233" t="str">
        <f>"1552376513425982"</f>
        <v>1552376513425982</v>
      </c>
      <c r="C10233" t="s">
        <v>40</v>
      </c>
      <c r="D10233">
        <v>4.63279</v>
      </c>
      <c r="E10233">
        <v>0.60252329999999998</v>
      </c>
      <c r="F10233" t="s">
        <v>55</v>
      </c>
      <c r="G10233">
        <v>-180.27459999999999</v>
      </c>
      <c r="H10233" s="1">
        <v>-4.876883E-6</v>
      </c>
      <c r="I10233">
        <v>127.64879999999999</v>
      </c>
      <c r="J10233">
        <v>-185.61619999999999</v>
      </c>
      <c r="K10233">
        <v>1.106203</v>
      </c>
      <c r="L10233">
        <v>120.1096</v>
      </c>
      <c r="M10233">
        <v>0.26344780000000001</v>
      </c>
      <c r="N10233">
        <v>0</v>
      </c>
      <c r="O10233">
        <v>0.96456589999999998</v>
      </c>
      <c r="P10233">
        <v>0.37328600000000001</v>
      </c>
      <c r="Q10233">
        <v>1.5062539999999901E-3</v>
      </c>
      <c r="R10233">
        <v>0.92771510000000001</v>
      </c>
      <c r="S10233">
        <v>1.766937</v>
      </c>
      <c r="T10233">
        <v>-0.36271629999999999</v>
      </c>
      <c r="U10233">
        <v>2.5260159999999998</v>
      </c>
      <c r="V10233">
        <v>0.11580940000000001</v>
      </c>
      <c r="W10233">
        <v>1.474405E-2</v>
      </c>
      <c r="X10233">
        <v>0.99316199999999999</v>
      </c>
      <c r="Y10233">
        <v>0.33293099999999998</v>
      </c>
      <c r="Z10233">
        <v>-0.11805400000000001</v>
      </c>
      <c r="AA10233">
        <v>0.93553209999999998</v>
      </c>
      <c r="AB10233">
        <v>30</v>
      </c>
      <c r="AC10233">
        <v>5.3415999999999997</v>
      </c>
      <c r="AD10233">
        <v>-1.1062078768829999</v>
      </c>
      <c r="AE10233">
        <v>7.5391999999999904</v>
      </c>
      <c r="AF10233">
        <v>3.1217230056677598</v>
      </c>
      <c r="AG10233">
        <v>-1.1062078768829999</v>
      </c>
      <c r="AH10233">
        <v>8.5575296143180104</v>
      </c>
      <c r="AI10233">
        <v>96.9240550009321</v>
      </c>
      <c r="AJ10233">
        <v>69.9584074728876</v>
      </c>
      <c r="AK10233">
        <v>9.1760647061212008</v>
      </c>
      <c r="AL10233">
        <v>89.155197536114201</v>
      </c>
      <c r="AM10233">
        <v>83.348961454425705</v>
      </c>
      <c r="AN10233">
        <v>0.999999981191381</v>
      </c>
    </row>
    <row r="10234" spans="1:40" x14ac:dyDescent="0.25">
      <c r="A10234" t="str">
        <f>"20190312154153449"</f>
        <v>20190312154153449</v>
      </c>
      <c r="B10234" t="str">
        <f>"1552376513446479"</f>
        <v>1552376513446479</v>
      </c>
      <c r="C10234" t="s">
        <v>40</v>
      </c>
      <c r="D10234">
        <v>4.4794710000000002</v>
      </c>
      <c r="E10234">
        <v>0.61958679999999999</v>
      </c>
      <c r="F10234" t="s">
        <v>55</v>
      </c>
      <c r="G10234">
        <v>-180.96180000000001</v>
      </c>
      <c r="H10234" s="1">
        <v>-4.4282159999999998E-6</v>
      </c>
      <c r="I10234">
        <v>126.2897</v>
      </c>
      <c r="J10234">
        <v>-185.56989999999999</v>
      </c>
      <c r="K10234">
        <v>1.1061589999999999</v>
      </c>
      <c r="L10234">
        <v>120.2683</v>
      </c>
      <c r="M10234">
        <v>0.26610159999999899</v>
      </c>
      <c r="N10234">
        <v>0</v>
      </c>
      <c r="O10234">
        <v>0.9638371</v>
      </c>
      <c r="P10234">
        <v>0.37648359999999997</v>
      </c>
      <c r="Q10234">
        <v>1.2551210000000001E-3</v>
      </c>
      <c r="R10234">
        <v>0.92642239999999998</v>
      </c>
      <c r="S10234">
        <v>1.8694459999999999</v>
      </c>
      <c r="T10234">
        <v>-0.44430419999999998</v>
      </c>
      <c r="U10234">
        <v>2.4822389999999999</v>
      </c>
      <c r="V10234">
        <v>0.1165006</v>
      </c>
      <c r="W10234">
        <v>1.4472759999999999E-2</v>
      </c>
      <c r="X10234">
        <v>0.99308510000000005</v>
      </c>
      <c r="Y10234">
        <v>0.36094579999999998</v>
      </c>
      <c r="Z10234">
        <v>-0.143567</v>
      </c>
      <c r="AA10234">
        <v>0.92146989999999995</v>
      </c>
      <c r="AB10234">
        <v>29</v>
      </c>
      <c r="AC10234">
        <v>4.6080999999999701</v>
      </c>
      <c r="AD10234">
        <v>-1.106163428216</v>
      </c>
      <c r="AE10234">
        <v>6.0213999999999999</v>
      </c>
      <c r="AF10234">
        <v>2.7802763063239899</v>
      </c>
      <c r="AG10234">
        <v>-1.106163428216</v>
      </c>
      <c r="AH10234">
        <v>6.8840887620641098</v>
      </c>
      <c r="AI10234">
        <v>98.474260943092503</v>
      </c>
      <c r="AJ10234">
        <v>68.007699843386504</v>
      </c>
      <c r="AK10234">
        <v>7.5062781691998701</v>
      </c>
      <c r="AL10234">
        <v>89.170742927517296</v>
      </c>
      <c r="AM10234">
        <v>83.309110642646701</v>
      </c>
      <c r="AN10234">
        <v>0.99999993321219105</v>
      </c>
    </row>
    <row r="10235" spans="1:40" x14ac:dyDescent="0.25">
      <c r="A10235" t="str">
        <f>"20190312154153462"</f>
        <v>20190312154153462</v>
      </c>
      <c r="B10235" t="str">
        <f>"1552376513456237"</f>
        <v>1552376513456237</v>
      </c>
      <c r="C10235" t="s">
        <v>40</v>
      </c>
      <c r="D10235">
        <v>4.4939070000000001</v>
      </c>
      <c r="E10235">
        <v>0.62622349999999904</v>
      </c>
      <c r="F10235" t="s">
        <v>55</v>
      </c>
      <c r="G10235">
        <v>-180.8929</v>
      </c>
      <c r="H10235" s="1">
        <v>-4.344091E-6</v>
      </c>
      <c r="I10235">
        <v>125.9289</v>
      </c>
      <c r="J10235">
        <v>-185.52690000000001</v>
      </c>
      <c r="K10235">
        <v>1.106114</v>
      </c>
      <c r="L10235">
        <v>120.4148</v>
      </c>
      <c r="M10235">
        <v>0.2685747</v>
      </c>
      <c r="N10235">
        <v>0</v>
      </c>
      <c r="O10235">
        <v>0.96315090000000003</v>
      </c>
      <c r="P10235">
        <v>0.37925239999999999</v>
      </c>
      <c r="Q10235">
        <v>9.9119919999999997E-4</v>
      </c>
      <c r="R10235">
        <v>0.92529269999999997</v>
      </c>
      <c r="S10235">
        <v>2.003403</v>
      </c>
      <c r="T10235">
        <v>-0.47382760000000002</v>
      </c>
      <c r="U10235">
        <v>2.424744</v>
      </c>
      <c r="V10235">
        <v>0.1169203</v>
      </c>
      <c r="W10235">
        <v>1.4192410000000001E-2</v>
      </c>
      <c r="X10235">
        <v>0.99303989999999998</v>
      </c>
      <c r="Y10235">
        <v>0.398922</v>
      </c>
      <c r="Z10235">
        <v>-0.1519394</v>
      </c>
      <c r="AA10235">
        <v>0.90430949999999999</v>
      </c>
      <c r="AB10235">
        <v>29</v>
      </c>
      <c r="AC10235">
        <v>4.6340000000000101</v>
      </c>
      <c r="AD10235">
        <v>-1.1061183440909901</v>
      </c>
      <c r="AE10235">
        <v>5.5140999999999902</v>
      </c>
      <c r="AF10235">
        <v>2.9138839145467799</v>
      </c>
      <c r="AG10235">
        <v>-1.1061183440909901</v>
      </c>
      <c r="AH10235">
        <v>6.4051119545193904</v>
      </c>
      <c r="AI10235">
        <v>98.933289225880102</v>
      </c>
      <c r="AJ10235">
        <v>65.537740841385201</v>
      </c>
      <c r="AK10235">
        <v>7.1231788134593597</v>
      </c>
      <c r="AL10235">
        <v>89.186807514617897</v>
      </c>
      <c r="AM10235">
        <v>83.284923206009196</v>
      </c>
      <c r="AN10235">
        <v>1.00000001202285</v>
      </c>
    </row>
    <row r="10236" spans="1:40" x14ac:dyDescent="0.25">
      <c r="A10236" t="str">
        <f>"20190312154153473"</f>
        <v>20190312154153473</v>
      </c>
      <c r="B10236" t="str">
        <f>"1552376513465997"</f>
        <v>1552376513465997</v>
      </c>
      <c r="C10236" t="s">
        <v>40</v>
      </c>
      <c r="D10236">
        <v>4.4752970000000003</v>
      </c>
      <c r="E10236">
        <v>0.63076100000000002</v>
      </c>
      <c r="F10236" t="s">
        <v>55</v>
      </c>
      <c r="G10236">
        <v>-180.8389</v>
      </c>
      <c r="H10236" s="1">
        <v>-4.3377379999999998E-6</v>
      </c>
      <c r="I10236">
        <v>125.8755</v>
      </c>
      <c r="J10236">
        <v>-185.47890000000001</v>
      </c>
      <c r="K10236">
        <v>1.106058</v>
      </c>
      <c r="L10236">
        <v>120.5762</v>
      </c>
      <c r="M10236">
        <v>0.27134950000000002</v>
      </c>
      <c r="N10236">
        <v>0</v>
      </c>
      <c r="O10236">
        <v>0.96237280000000003</v>
      </c>
      <c r="P10236">
        <v>0.382218</v>
      </c>
      <c r="Q10236">
        <v>8.2058740000000004E-4</v>
      </c>
      <c r="R10236">
        <v>0.9240718</v>
      </c>
      <c r="S10236">
        <v>2.05925</v>
      </c>
      <c r="T10236">
        <v>-0.48587710000000001</v>
      </c>
      <c r="U10236">
        <v>2.3986969999999999</v>
      </c>
      <c r="V10236">
        <v>0.1172435</v>
      </c>
      <c r="W10236">
        <v>1.400407E-2</v>
      </c>
      <c r="X10236">
        <v>0.99300440000000001</v>
      </c>
      <c r="Y10236">
        <v>0.412962</v>
      </c>
      <c r="Z10236">
        <v>-0.15525320000000001</v>
      </c>
      <c r="AA10236">
        <v>0.89741780000000004</v>
      </c>
      <c r="AB10236">
        <v>29</v>
      </c>
      <c r="AC10236">
        <v>4.6400000000000103</v>
      </c>
      <c r="AD10236">
        <v>-1.1060623377379999</v>
      </c>
      <c r="AE10236">
        <v>5.2992999999999997</v>
      </c>
      <c r="AF10236">
        <v>2.9548982842860001</v>
      </c>
      <c r="AG10236">
        <v>-1.1060623377379999</v>
      </c>
      <c r="AH10236">
        <v>6.2065790077052299</v>
      </c>
      <c r="AI10236">
        <v>99.140727932927504</v>
      </c>
      <c r="AJ10236">
        <v>64.541287026540104</v>
      </c>
      <c r="AK10236">
        <v>6.9625010408851002</v>
      </c>
      <c r="AL10236">
        <v>89.197599620691193</v>
      </c>
      <c r="AM10236">
        <v>83.266292576945105</v>
      </c>
      <c r="AN10236">
        <v>0.99999994534408598</v>
      </c>
    </row>
    <row r="10237" spans="1:40" x14ac:dyDescent="0.25">
      <c r="A10237" t="str">
        <f>"20190312154153490"</f>
        <v>20190312154153490</v>
      </c>
      <c r="B10237" t="str">
        <f>"1552376513486493"</f>
        <v>1552376513486493</v>
      </c>
      <c r="C10237" t="s">
        <v>40</v>
      </c>
      <c r="D10237">
        <v>4.4461940000000002</v>
      </c>
      <c r="E10237">
        <v>0.63618629999999998</v>
      </c>
      <c r="F10237" t="s">
        <v>55</v>
      </c>
      <c r="G10237">
        <v>-180.73390000000001</v>
      </c>
      <c r="H10237" s="1">
        <v>-4.3715410000000001E-6</v>
      </c>
      <c r="I10237">
        <v>125.9494</v>
      </c>
      <c r="J10237">
        <v>-185.4178</v>
      </c>
      <c r="K10237">
        <v>1.1059680000000001</v>
      </c>
      <c r="L10237">
        <v>120.7787</v>
      </c>
      <c r="M10237">
        <v>0.27492109999999997</v>
      </c>
      <c r="N10237">
        <v>0</v>
      </c>
      <c r="O10237">
        <v>0.96135859999999995</v>
      </c>
      <c r="P10237">
        <v>0.38622200000000001</v>
      </c>
      <c r="Q10237">
        <v>2.8041559999999999E-4</v>
      </c>
      <c r="R10237">
        <v>0.92240580000000005</v>
      </c>
      <c r="S10237">
        <v>2.1001889999999999</v>
      </c>
      <c r="T10237">
        <v>-0.48956080000000002</v>
      </c>
      <c r="U10237">
        <v>2.3782350000000001</v>
      </c>
      <c r="V10237">
        <v>0.117860199999999</v>
      </c>
      <c r="W10237">
        <v>1.3436689999999999E-2</v>
      </c>
      <c r="X10237">
        <v>0.99293929999999997</v>
      </c>
      <c r="Y10237">
        <v>0.42204510000000001</v>
      </c>
      <c r="Z10237">
        <v>-0.1560406</v>
      </c>
      <c r="AA10237">
        <v>0.89304490000000003</v>
      </c>
      <c r="AB10237">
        <v>29</v>
      </c>
      <c r="AC10237">
        <v>4.6838999999999897</v>
      </c>
      <c r="AD10237">
        <v>-1.1059723715409999</v>
      </c>
      <c r="AE10237">
        <v>5.1706999999999903</v>
      </c>
      <c r="AF10237">
        <v>3.0061508156950199</v>
      </c>
      <c r="AG10237">
        <v>-1.1059723715409999</v>
      </c>
      <c r="AH10237">
        <v>6.1058154802919802</v>
      </c>
      <c r="AI10237">
        <v>99.230228023603402</v>
      </c>
      <c r="AJ10237">
        <v>63.787029139686702</v>
      </c>
      <c r="AK10237">
        <v>6.8950054599462902</v>
      </c>
      <c r="AL10237">
        <v>89.230111214212997</v>
      </c>
      <c r="AM10237">
        <v>83.230761446059603</v>
      </c>
      <c r="AN10237">
        <v>1.0000000124333399</v>
      </c>
    </row>
    <row r="10238" spans="1:40" x14ac:dyDescent="0.25">
      <c r="A10238" t="str">
        <f>"20190312154153506"</f>
        <v>20190312154153506</v>
      </c>
      <c r="B10238" t="str">
        <f>"1552376513496253"</f>
        <v>1552376513496253</v>
      </c>
      <c r="C10238" t="s">
        <v>40</v>
      </c>
      <c r="D10238">
        <v>4.4589829999999999</v>
      </c>
      <c r="E10238">
        <v>0.63795000000000002</v>
      </c>
      <c r="F10238" t="s">
        <v>55</v>
      </c>
      <c r="G10238">
        <v>-180.65889999999999</v>
      </c>
      <c r="H10238" s="1">
        <v>-4.3914699999999998E-6</v>
      </c>
      <c r="I10238">
        <v>125.9859</v>
      </c>
      <c r="J10238">
        <v>-185.35640000000001</v>
      </c>
      <c r="K10238">
        <v>1.1058749999999999</v>
      </c>
      <c r="L10238">
        <v>120.97929999999999</v>
      </c>
      <c r="M10238">
        <v>0.27855489999999999</v>
      </c>
      <c r="N10238">
        <v>0</v>
      </c>
      <c r="O10238">
        <v>0.9603119</v>
      </c>
      <c r="P10238">
        <v>0.38989059999999998</v>
      </c>
      <c r="Q10238">
        <v>2.5586640000000002E-4</v>
      </c>
      <c r="R10238">
        <v>0.92086109999999999</v>
      </c>
      <c r="S10238">
        <v>2.1498409999999999</v>
      </c>
      <c r="T10238">
        <v>-0.49962610000000002</v>
      </c>
      <c r="U10238">
        <v>2.3523559999999999</v>
      </c>
      <c r="V10238">
        <v>0.11806030000000001</v>
      </c>
      <c r="W10238">
        <v>1.338806E-2</v>
      </c>
      <c r="X10238">
        <v>0.99291620000000003</v>
      </c>
      <c r="Y10238">
        <v>0.433529</v>
      </c>
      <c r="Z10238">
        <v>-0.1587546</v>
      </c>
      <c r="AA10238">
        <v>0.88704539999999998</v>
      </c>
      <c r="AB10238">
        <v>29</v>
      </c>
      <c r="AC10238">
        <v>4.6975000000000096</v>
      </c>
      <c r="AD10238">
        <v>-1.10587939147</v>
      </c>
      <c r="AE10238">
        <v>5.0065999999999997</v>
      </c>
      <c r="AF10238">
        <v>3.0379496653130098</v>
      </c>
      <c r="AG10238">
        <v>-1.10587939147</v>
      </c>
      <c r="AH10238">
        <v>5.9623386356001298</v>
      </c>
      <c r="AI10238">
        <v>99.383985536513705</v>
      </c>
      <c r="AJ10238">
        <v>63.000103815785302</v>
      </c>
      <c r="AK10238">
        <v>6.7824471544586</v>
      </c>
      <c r="AL10238">
        <v>89.232897770071006</v>
      </c>
      <c r="AM10238">
        <v>83.219219442953204</v>
      </c>
      <c r="AN10238">
        <v>1.00000002740454</v>
      </c>
    </row>
    <row r="10239" spans="1:40" x14ac:dyDescent="0.25">
      <c r="A10239" t="str">
        <f>"20190312154153521"</f>
        <v>20190312154153521</v>
      </c>
      <c r="B10239" t="str">
        <f>"1552376513516749"</f>
        <v>1552376513516749</v>
      </c>
      <c r="C10239" t="s">
        <v>40</v>
      </c>
      <c r="D10239">
        <v>4.4749879999999997</v>
      </c>
      <c r="E10239">
        <v>0.64063009999999998</v>
      </c>
      <c r="F10239" t="s">
        <v>55</v>
      </c>
      <c r="G10239">
        <v>-180.61089999999999</v>
      </c>
      <c r="H10239" s="1">
        <v>-4.42469299999999E-6</v>
      </c>
      <c r="I10239">
        <v>126.0881</v>
      </c>
      <c r="J10239">
        <v>-185.29900000000001</v>
      </c>
      <c r="K10239">
        <v>1.1057840000000001</v>
      </c>
      <c r="L10239">
        <v>121.1645</v>
      </c>
      <c r="M10239">
        <v>0.28199259999999998</v>
      </c>
      <c r="N10239">
        <v>0</v>
      </c>
      <c r="O10239">
        <v>0.95930800000000005</v>
      </c>
      <c r="P10239">
        <v>0.39327909999999999</v>
      </c>
      <c r="Q10239">
        <v>1.089759E-4</v>
      </c>
      <c r="R10239">
        <v>0.91941910000000004</v>
      </c>
      <c r="S10239">
        <v>2.1720579999999998</v>
      </c>
      <c r="T10239">
        <v>-0.50617109999999998</v>
      </c>
      <c r="U10239">
        <v>2.3383180000000001</v>
      </c>
      <c r="V10239">
        <v>0.118162</v>
      </c>
      <c r="W10239">
        <v>1.321784E-2</v>
      </c>
      <c r="X10239">
        <v>0.99290630000000002</v>
      </c>
      <c r="Y10239">
        <v>0.43728909999999999</v>
      </c>
      <c r="Z10239">
        <v>-0.1606216</v>
      </c>
      <c r="AA10239">
        <v>0.88486100000000001</v>
      </c>
      <c r="AB10239">
        <v>29</v>
      </c>
      <c r="AC10239">
        <v>4.6881000000000199</v>
      </c>
      <c r="AD10239">
        <v>-1.1057884246930001</v>
      </c>
      <c r="AE10239">
        <v>4.9235999999999898</v>
      </c>
      <c r="AF10239">
        <v>3.0291011267849499</v>
      </c>
      <c r="AG10239">
        <v>-1.1057884246930001</v>
      </c>
      <c r="AH10239">
        <v>5.8900646470475602</v>
      </c>
      <c r="AI10239">
        <v>99.478333787315094</v>
      </c>
      <c r="AJ10239">
        <v>62.784465235624502</v>
      </c>
      <c r="AK10239">
        <v>6.7149894432436996</v>
      </c>
      <c r="AL10239">
        <v>89.242651458127597</v>
      </c>
      <c r="AM10239">
        <v>83.213365736074195</v>
      </c>
      <c r="AN10239">
        <v>0.99999994505897605</v>
      </c>
    </row>
    <row r="10240" spans="1:40" x14ac:dyDescent="0.25">
      <c r="A10240" t="str">
        <f>"20190312154153535"</f>
        <v>20190312154153535</v>
      </c>
      <c r="B10240" t="str">
        <f>"1552376513526509"</f>
        <v>1552376513526509</v>
      </c>
      <c r="C10240" t="s">
        <v>40</v>
      </c>
      <c r="D10240">
        <v>4.4605090000000001</v>
      </c>
      <c r="E10240">
        <v>0.64152259999999905</v>
      </c>
      <c r="F10240" t="s">
        <v>55</v>
      </c>
      <c r="G10240">
        <v>-180.54310000000001</v>
      </c>
      <c r="H10240" s="1">
        <v>-4.4587799999999999E-6</v>
      </c>
      <c r="I10240">
        <v>126.18300000000001</v>
      </c>
      <c r="J10240">
        <v>-185.2415</v>
      </c>
      <c r="K10240">
        <v>1.1056870000000001</v>
      </c>
      <c r="L10240">
        <v>121.3471</v>
      </c>
      <c r="M10240">
        <v>0.28548010000000001</v>
      </c>
      <c r="N10240">
        <v>0</v>
      </c>
      <c r="O10240">
        <v>0.95827589999999996</v>
      </c>
      <c r="P10240">
        <v>0.39764139999999998</v>
      </c>
      <c r="Q10240">
        <v>2.222108E-4</v>
      </c>
      <c r="R10240">
        <v>0.91754089999999999</v>
      </c>
      <c r="S10240">
        <v>2.2003170000000001</v>
      </c>
      <c r="T10240">
        <v>-0.51159730000000003</v>
      </c>
      <c r="U10240">
        <v>2.3218380000000001</v>
      </c>
      <c r="V10240">
        <v>0.11927069999999999</v>
      </c>
      <c r="W10240">
        <v>1.3295080000000001E-2</v>
      </c>
      <c r="X10240">
        <v>0.99277280000000001</v>
      </c>
      <c r="Y10240">
        <v>0.44268849999999998</v>
      </c>
      <c r="Z10240">
        <v>-0.16205320000000001</v>
      </c>
      <c r="AA10240">
        <v>0.88191030000000004</v>
      </c>
      <c r="AB10240">
        <v>29</v>
      </c>
      <c r="AC10240">
        <v>4.6983999999999897</v>
      </c>
      <c r="AD10240">
        <v>-1.10569145878</v>
      </c>
      <c r="AE10240">
        <v>4.8358999999999899</v>
      </c>
      <c r="AF10240">
        <v>3.04037264254216</v>
      </c>
      <c r="AG10240">
        <v>-1.10569145878</v>
      </c>
      <c r="AH10240">
        <v>5.8195471647654999</v>
      </c>
      <c r="AI10240">
        <v>99.558876950533801</v>
      </c>
      <c r="AJ10240">
        <v>62.415567748407298</v>
      </c>
      <c r="AK10240">
        <v>6.65834428446502</v>
      </c>
      <c r="AL10240">
        <v>89.238225619654898</v>
      </c>
      <c r="AM10240">
        <v>83.149377445890295</v>
      </c>
      <c r="AN10240">
        <v>1.00000004572526</v>
      </c>
    </row>
    <row r="10241" spans="1:40" x14ac:dyDescent="0.25">
      <c r="A10241" t="str">
        <f>"20190312154153548"</f>
        <v>20190312154153548</v>
      </c>
      <c r="B10241" t="str">
        <f>"1552376513536270"</f>
        <v>1552376513536270</v>
      </c>
      <c r="C10241" t="s">
        <v>40</v>
      </c>
      <c r="D10241">
        <v>4.467263</v>
      </c>
      <c r="E10241">
        <v>0.64230390000000004</v>
      </c>
      <c r="F10241" t="s">
        <v>55</v>
      </c>
      <c r="G10241">
        <v>-180.5043</v>
      </c>
      <c r="H10241" s="1">
        <v>-4.4896890000000003E-6</v>
      </c>
      <c r="I10241">
        <v>126.2812</v>
      </c>
      <c r="J10241">
        <v>-185.18819999999999</v>
      </c>
      <c r="K10241">
        <v>1.105596</v>
      </c>
      <c r="L10241">
        <v>121.5137</v>
      </c>
      <c r="M10241">
        <v>0.28875770000000001</v>
      </c>
      <c r="N10241">
        <v>0</v>
      </c>
      <c r="O10241">
        <v>0.95729319999999896</v>
      </c>
      <c r="P10241">
        <v>0.401339</v>
      </c>
      <c r="Q10241">
        <v>-1.092767E-4</v>
      </c>
      <c r="R10241">
        <v>0.91592960000000001</v>
      </c>
      <c r="S10241">
        <v>2.2168429999999999</v>
      </c>
      <c r="T10241">
        <v>-0.51742879999999902</v>
      </c>
      <c r="U10241">
        <v>2.3090060000000001</v>
      </c>
      <c r="V10241">
        <v>0.1198771</v>
      </c>
      <c r="W10241">
        <v>1.293558E-2</v>
      </c>
      <c r="X10241">
        <v>0.99270449999999999</v>
      </c>
      <c r="Y10241">
        <v>0.44516289999999997</v>
      </c>
      <c r="Z10241">
        <v>-0.16378799999999999</v>
      </c>
      <c r="AA10241">
        <v>0.88034279999999998</v>
      </c>
      <c r="AB10241">
        <v>29</v>
      </c>
      <c r="AC10241">
        <v>4.6838999999999897</v>
      </c>
      <c r="AD10241">
        <v>-1.1056004896889999</v>
      </c>
      <c r="AE10241">
        <v>4.7674999999999903</v>
      </c>
      <c r="AF10241">
        <v>3.0247640360663799</v>
      </c>
      <c r="AG10241">
        <v>-1.1056004896889999</v>
      </c>
      <c r="AH10241">
        <v>5.7594168972227697</v>
      </c>
      <c r="AI10241">
        <v>99.6453440212386</v>
      </c>
      <c r="AJ10241">
        <v>62.292181955738997</v>
      </c>
      <c r="AK10241">
        <v>6.5986690258487997</v>
      </c>
      <c r="AL10241">
        <v>89.258825216357394</v>
      </c>
      <c r="AM10241">
        <v>83.114411630987107</v>
      </c>
      <c r="AN10241">
        <v>1.0000000363272901</v>
      </c>
    </row>
    <row r="10242" spans="1:40" x14ac:dyDescent="0.25">
      <c r="A10242" t="str">
        <f>"20190312154153562"</f>
        <v>20190312154153562</v>
      </c>
      <c r="B10242" t="str">
        <f>"1552376513556764"</f>
        <v>1552376513556764</v>
      </c>
      <c r="C10242" t="s">
        <v>40</v>
      </c>
      <c r="D10242">
        <v>4.477087</v>
      </c>
      <c r="E10242">
        <v>0.64382839999999997</v>
      </c>
      <c r="F10242" t="s">
        <v>55</v>
      </c>
      <c r="G10242">
        <v>-180.4513</v>
      </c>
      <c r="H10242" s="1">
        <v>-4.5258949999999998E-6</v>
      </c>
      <c r="I10242">
        <v>126.3921</v>
      </c>
      <c r="J10242">
        <v>-185.13300000000001</v>
      </c>
      <c r="K10242">
        <v>1.1054949999999999</v>
      </c>
      <c r="L10242">
        <v>121.6844</v>
      </c>
      <c r="M10242">
        <v>0.29217890000000002</v>
      </c>
      <c r="N10242">
        <v>0</v>
      </c>
      <c r="O10242">
        <v>0.95625450000000001</v>
      </c>
      <c r="P10242">
        <v>0.40476380000000001</v>
      </c>
      <c r="Q10242" s="1">
        <v>6.7517630000000001E-5</v>
      </c>
      <c r="R10242">
        <v>0.91442129999999999</v>
      </c>
      <c r="S10242">
        <v>2.2310639999999999</v>
      </c>
      <c r="T10242">
        <v>-0.52073259999999999</v>
      </c>
      <c r="U10242">
        <v>2.297714</v>
      </c>
      <c r="V10242">
        <v>0.1200474</v>
      </c>
      <c r="W10242">
        <v>1.3089109999999999E-2</v>
      </c>
      <c r="X10242">
        <v>0.99268190000000001</v>
      </c>
      <c r="Y10242">
        <v>0.44682840000000001</v>
      </c>
      <c r="Z10242">
        <v>-0.1647335</v>
      </c>
      <c r="AA10242">
        <v>0.8793221</v>
      </c>
      <c r="AB10242">
        <v>29</v>
      </c>
      <c r="AC10242">
        <v>4.68169999999997</v>
      </c>
      <c r="AD10242">
        <v>-1.105499525895</v>
      </c>
      <c r="AE10242">
        <v>4.7077</v>
      </c>
      <c r="AF10242">
        <v>3.0180550447229302</v>
      </c>
      <c r="AG10242">
        <v>-1.105499525895</v>
      </c>
      <c r="AH10242">
        <v>5.7119049113094196</v>
      </c>
      <c r="AI10242">
        <v>99.710624293345901</v>
      </c>
      <c r="AJ10242">
        <v>62.148932848827101</v>
      </c>
      <c r="AK10242">
        <v>6.5541317632904104</v>
      </c>
      <c r="AL10242">
        <v>89.250027845185798</v>
      </c>
      <c r="AM10242">
        <v>83.104568452231504</v>
      </c>
      <c r="AN10242">
        <v>1.00000002881748</v>
      </c>
    </row>
    <row r="10243" spans="1:40" x14ac:dyDescent="0.25">
      <c r="A10243" t="str">
        <f>"20190312154153573"</f>
        <v>20190312154153573</v>
      </c>
      <c r="B10243" t="str">
        <f>"1552376513566056"</f>
        <v>1552376513566056</v>
      </c>
      <c r="C10243" t="s">
        <v>40</v>
      </c>
      <c r="D10243">
        <v>4.4862529999999996</v>
      </c>
      <c r="E10243">
        <v>0.64434019999999903</v>
      </c>
      <c r="F10243" t="s">
        <v>55</v>
      </c>
      <c r="G10243">
        <v>-180.38390000000001</v>
      </c>
      <c r="H10243" s="1">
        <v>-4.5650649999999998E-6</v>
      </c>
      <c r="I10243">
        <v>126.5068</v>
      </c>
      <c r="J10243">
        <v>-185.08170000000001</v>
      </c>
      <c r="K10243">
        <v>1.1054010000000001</v>
      </c>
      <c r="L10243">
        <v>121.84099999999999</v>
      </c>
      <c r="M10243">
        <v>0.29539680000000001</v>
      </c>
      <c r="N10243">
        <v>0</v>
      </c>
      <c r="O10243">
        <v>0.95526520000000004</v>
      </c>
      <c r="P10243">
        <v>0.40801320000000002</v>
      </c>
      <c r="Q10243" s="1">
        <v>-6.8610530000000005E-5</v>
      </c>
      <c r="R10243">
        <v>0.91297609999999996</v>
      </c>
      <c r="S10243">
        <v>2.2500610000000001</v>
      </c>
      <c r="T10243">
        <v>-0.52376940000000005</v>
      </c>
      <c r="U10243">
        <v>2.284805</v>
      </c>
      <c r="V10243">
        <v>0.1202368</v>
      </c>
      <c r="W10243">
        <v>1.292986E-2</v>
      </c>
      <c r="X10243">
        <v>0.99266109999999996</v>
      </c>
      <c r="Y10243">
        <v>0.4499339</v>
      </c>
      <c r="Z10243">
        <v>-0.1655218</v>
      </c>
      <c r="AA10243">
        <v>0.877588699999999</v>
      </c>
      <c r="AB10243">
        <v>29</v>
      </c>
      <c r="AC10243">
        <v>4.6978</v>
      </c>
      <c r="AD10243">
        <v>-1.1054055650650001</v>
      </c>
      <c r="AE10243">
        <v>4.6657999999999902</v>
      </c>
      <c r="AF10243">
        <v>3.0253814252303401</v>
      </c>
      <c r="AG10243">
        <v>-1.1054055650650001</v>
      </c>
      <c r="AH10243">
        <v>5.6868923961406601</v>
      </c>
      <c r="AI10243">
        <v>99.737414636300201</v>
      </c>
      <c r="AJ10243">
        <v>61.987378532150402</v>
      </c>
      <c r="AK10243">
        <v>6.5357172029309698</v>
      </c>
      <c r="AL10243">
        <v>89.259152996416503</v>
      </c>
      <c r="AM10243">
        <v>83.093651132707805</v>
      </c>
      <c r="AN10243">
        <v>1.0000000644035301</v>
      </c>
    </row>
    <row r="10244" spans="1:40" x14ac:dyDescent="0.25">
      <c r="A10244" t="str">
        <f>"20190312154153590"</f>
        <v>20190312154153590</v>
      </c>
      <c r="B10244" t="str">
        <f>"1552376513586552"</f>
        <v>1552376513586552</v>
      </c>
      <c r="C10244" t="s">
        <v>40</v>
      </c>
      <c r="D10244">
        <v>4.5020939999999996</v>
      </c>
      <c r="E10244">
        <v>0.64506909999999995</v>
      </c>
      <c r="F10244" t="s">
        <v>55</v>
      </c>
      <c r="G10244">
        <v>-180.3355</v>
      </c>
      <c r="H10244" s="1">
        <v>-4.6000549999999996E-6</v>
      </c>
      <c r="I10244">
        <v>126.6156</v>
      </c>
      <c r="J10244">
        <v>-185.01669999999999</v>
      </c>
      <c r="K10244">
        <v>1.1052759999999999</v>
      </c>
      <c r="L10244">
        <v>122.036</v>
      </c>
      <c r="M10244">
        <v>0.29952279999999998</v>
      </c>
      <c r="N10244">
        <v>0</v>
      </c>
      <c r="O10244">
        <v>0.95397940000000003</v>
      </c>
      <c r="P10244">
        <v>0.41244540000000002</v>
      </c>
      <c r="Q10244">
        <v>-1.5634290000000001E-3</v>
      </c>
      <c r="R10244">
        <v>0.91098100000000004</v>
      </c>
      <c r="S10244">
        <v>2.2616580000000002</v>
      </c>
      <c r="T10244">
        <v>-0.52674750000000004</v>
      </c>
      <c r="U10244">
        <v>2.2751769999999998</v>
      </c>
      <c r="V10244">
        <v>0.12075760000000001</v>
      </c>
      <c r="W10244">
        <v>1.140362E-2</v>
      </c>
      <c r="X10244">
        <v>0.99261650000000001</v>
      </c>
      <c r="Y10244">
        <v>0.45009579999999999</v>
      </c>
      <c r="Z10244">
        <v>-0.1663337</v>
      </c>
      <c r="AA10244">
        <v>0.87735219999999903</v>
      </c>
      <c r="AB10244">
        <v>29</v>
      </c>
      <c r="AC10244">
        <v>4.6811999999999898</v>
      </c>
      <c r="AD10244">
        <v>-1.105280600055</v>
      </c>
      <c r="AE10244">
        <v>4.5795999999999903</v>
      </c>
      <c r="AF10244">
        <v>3.0086932291436601</v>
      </c>
      <c r="AG10244">
        <v>-1.105280600055</v>
      </c>
      <c r="AH10244">
        <v>5.6117210934576898</v>
      </c>
      <c r="AI10244">
        <v>99.847538637004206</v>
      </c>
      <c r="AJ10244">
        <v>61.802261869650202</v>
      </c>
      <c r="AK10244">
        <v>6.4626073517358904</v>
      </c>
      <c r="AL10244">
        <v>89.346606526629301</v>
      </c>
      <c r="AM10244">
        <v>83.063718780364397</v>
      </c>
      <c r="AN10244">
        <v>0.999999978289557</v>
      </c>
    </row>
    <row r="10245" spans="1:40" x14ac:dyDescent="0.25">
      <c r="A10245" t="str">
        <f>"20190312154153604"</f>
        <v>20190312154153604</v>
      </c>
      <c r="B10245" t="str">
        <f>"1552376513596311"</f>
        <v>1552376513596311</v>
      </c>
      <c r="C10245" t="s">
        <v>40</v>
      </c>
      <c r="D10245">
        <v>4.4794859999999996</v>
      </c>
      <c r="E10245">
        <v>0.64534650000000005</v>
      </c>
      <c r="F10245" t="s">
        <v>55</v>
      </c>
      <c r="G10245">
        <v>-180.28720000000001</v>
      </c>
      <c r="H10245" s="1">
        <v>-4.6363620000000004E-6</v>
      </c>
      <c r="I10245">
        <v>126.7295</v>
      </c>
      <c r="J10245">
        <v>-184.95920000000001</v>
      </c>
      <c r="K10245">
        <v>1.105167</v>
      </c>
      <c r="L10245">
        <v>122.2064</v>
      </c>
      <c r="M10245">
        <v>0.30321759999999998</v>
      </c>
      <c r="N10245">
        <v>0</v>
      </c>
      <c r="O10245">
        <v>0.95281139999999998</v>
      </c>
      <c r="P10245">
        <v>0.41653770000000001</v>
      </c>
      <c r="Q10245">
        <v>-2.243657E-3</v>
      </c>
      <c r="R10245">
        <v>0.90911569999999997</v>
      </c>
      <c r="S10245">
        <v>2.2781370000000001</v>
      </c>
      <c r="T10245">
        <v>-0.5324025</v>
      </c>
      <c r="U10245">
        <v>2.2608489999999999</v>
      </c>
      <c r="V10245">
        <v>0.121369699999999</v>
      </c>
      <c r="W10245">
        <v>1.0692220000000001E-2</v>
      </c>
      <c r="X10245">
        <v>0.99254980000000004</v>
      </c>
      <c r="Y10245">
        <v>0.45239370000000001</v>
      </c>
      <c r="Z10245">
        <v>-0.16802329999999999</v>
      </c>
      <c r="AA10245">
        <v>0.87584709999999999</v>
      </c>
      <c r="AB10245">
        <v>29</v>
      </c>
      <c r="AC10245">
        <v>4.6719999999999899</v>
      </c>
      <c r="AD10245">
        <v>-1.1051716363619899</v>
      </c>
      <c r="AE10245">
        <v>4.5231000000000003</v>
      </c>
      <c r="AF10245">
        <v>2.99389726434298</v>
      </c>
      <c r="AG10245">
        <v>-1.1051716363619899</v>
      </c>
      <c r="AH10245">
        <v>5.5661200718474104</v>
      </c>
      <c r="AI10245">
        <v>99.918628514236403</v>
      </c>
      <c r="AJ10245">
        <v>61.725139992943703</v>
      </c>
      <c r="AK10245">
        <v>6.4161139196153698</v>
      </c>
      <c r="AL10245">
        <v>89.387369257121705</v>
      </c>
      <c r="AM10245">
        <v>83.028441175160197</v>
      </c>
      <c r="AN10245">
        <v>1.00000001656332</v>
      </c>
    </row>
    <row r="10246" spans="1:40" x14ac:dyDescent="0.25">
      <c r="A10246" t="str">
        <f>"20190312154153614"</f>
        <v>20190312154153614</v>
      </c>
      <c r="B10246" t="str">
        <f>"1552376513606072"</f>
        <v>1552376513606072</v>
      </c>
      <c r="C10246" t="s">
        <v>40</v>
      </c>
      <c r="D10246">
        <v>4.447247</v>
      </c>
      <c r="E10246">
        <v>0.64559840000000002</v>
      </c>
      <c r="F10246" t="s">
        <v>55</v>
      </c>
      <c r="G10246">
        <v>-180.21119999999999</v>
      </c>
      <c r="H10246" s="1">
        <v>-4.6830550000000003E-6</v>
      </c>
      <c r="I10246">
        <v>126.8685</v>
      </c>
      <c r="J10246">
        <v>-184.90979999999999</v>
      </c>
      <c r="K10246">
        <v>1.105067</v>
      </c>
      <c r="L10246">
        <v>122.35080000000001</v>
      </c>
      <c r="M10246">
        <v>0.30640689999999998</v>
      </c>
      <c r="N10246">
        <v>0</v>
      </c>
      <c r="O10246">
        <v>0.95179040000000004</v>
      </c>
      <c r="P10246">
        <v>0.41996339999999999</v>
      </c>
      <c r="Q10246">
        <v>-3.0339619999999999E-3</v>
      </c>
      <c r="R10246">
        <v>0.90753600000000001</v>
      </c>
      <c r="S10246">
        <v>2.290527</v>
      </c>
      <c r="T10246">
        <v>-0.53315959999999996</v>
      </c>
      <c r="U10246">
        <v>2.2491300000000001</v>
      </c>
      <c r="V10246">
        <v>0.1217826</v>
      </c>
      <c r="W10246">
        <v>9.8773460000000004E-3</v>
      </c>
      <c r="X10246">
        <v>0.99250760000000005</v>
      </c>
      <c r="Y10246">
        <v>0.45404129999999998</v>
      </c>
      <c r="Z10246">
        <v>-0.16823759999999999</v>
      </c>
      <c r="AA10246">
        <v>0.87495290000000003</v>
      </c>
      <c r="AB10246">
        <v>29</v>
      </c>
      <c r="AC10246">
        <v>4.6985999999999901</v>
      </c>
      <c r="AD10246">
        <v>-1.105071683055</v>
      </c>
      <c r="AE10246">
        <v>4.5176999999999898</v>
      </c>
      <c r="AF10246">
        <v>3.0018695561939901</v>
      </c>
      <c r="AG10246">
        <v>-1.105071683055</v>
      </c>
      <c r="AH10246">
        <v>5.5798094228918398</v>
      </c>
      <c r="AI10246">
        <v>99.893457064637403</v>
      </c>
      <c r="AJ10246">
        <v>61.720289334758398</v>
      </c>
      <c r="AK10246">
        <v>6.4316932026400897</v>
      </c>
      <c r="AL10246">
        <v>89.434060530407393</v>
      </c>
      <c r="AM10246">
        <v>83.004664022264905</v>
      </c>
      <c r="AN10246">
        <v>0.99999994984226004</v>
      </c>
    </row>
    <row r="10247" spans="1:40" x14ac:dyDescent="0.25">
      <c r="A10247" t="str">
        <f>"20190312154153626"</f>
        <v>20190312154153626</v>
      </c>
      <c r="B10247" t="str">
        <f>"1552376513616808"</f>
        <v>1552376513616808</v>
      </c>
      <c r="C10247" t="s">
        <v>40</v>
      </c>
      <c r="D10247">
        <v>4.4677519999999999</v>
      </c>
      <c r="E10247">
        <v>0.64588400000000001</v>
      </c>
      <c r="F10247" t="s">
        <v>55</v>
      </c>
      <c r="G10247">
        <v>-180.15549999999999</v>
      </c>
      <c r="H10247" s="1">
        <v>-4.7189989999999998E-6</v>
      </c>
      <c r="I10247">
        <v>126.97709999999999</v>
      </c>
      <c r="J10247">
        <v>-184.86060000000001</v>
      </c>
      <c r="K10247">
        <v>1.10497</v>
      </c>
      <c r="L10247">
        <v>122.4924</v>
      </c>
      <c r="M10247">
        <v>0.30963059999999998</v>
      </c>
      <c r="N10247">
        <v>0</v>
      </c>
      <c r="O10247">
        <v>0.95074639999999999</v>
      </c>
      <c r="P10247">
        <v>0.42391600000000002</v>
      </c>
      <c r="Q10247">
        <v>-3.4049200000000001E-3</v>
      </c>
      <c r="R10247">
        <v>0.90569509999999998</v>
      </c>
      <c r="S10247">
        <v>2.3010410000000001</v>
      </c>
      <c r="T10247">
        <v>-0.53483979999999998</v>
      </c>
      <c r="U10247">
        <v>2.2390750000000001</v>
      </c>
      <c r="V10247">
        <v>0.1227442</v>
      </c>
      <c r="W10247">
        <v>9.474438E-3</v>
      </c>
      <c r="X10247">
        <v>0.99239310000000003</v>
      </c>
      <c r="Y10247">
        <v>0.45493470000000003</v>
      </c>
      <c r="Z10247">
        <v>-0.16871639999999999</v>
      </c>
      <c r="AA10247">
        <v>0.87439650000000002</v>
      </c>
      <c r="AB10247">
        <v>29</v>
      </c>
      <c r="AC10247">
        <v>4.7051000000000096</v>
      </c>
      <c r="AD10247">
        <v>-1.104974718999</v>
      </c>
      <c r="AE10247">
        <v>4.4846999999999797</v>
      </c>
      <c r="AF10247">
        <v>2.9984310866940298</v>
      </c>
      <c r="AG10247">
        <v>-1.104974718999</v>
      </c>
      <c r="AH10247">
        <v>5.5605654911681501</v>
      </c>
      <c r="AI10247">
        <v>99.921113064368598</v>
      </c>
      <c r="AJ10247">
        <v>61.665063414401601</v>
      </c>
      <c r="AK10247">
        <v>6.4133802859997502</v>
      </c>
      <c r="AL10247">
        <v>89.457146559057307</v>
      </c>
      <c r="AM10247">
        <v>82.949177051169002</v>
      </c>
      <c r="AN10247">
        <v>0.99999998426833203</v>
      </c>
    </row>
    <row r="10248" spans="1:40" x14ac:dyDescent="0.25">
      <c r="A10248" t="str">
        <f>"20190312154153639"</f>
        <v>20190312154153639</v>
      </c>
      <c r="B10248" t="str">
        <f>"1552376513636327"</f>
        <v>1552376513636327</v>
      </c>
      <c r="C10248" t="s">
        <v>40</v>
      </c>
      <c r="D10248">
        <v>4.4882660000000003</v>
      </c>
      <c r="E10248">
        <v>0.64640679999999995</v>
      </c>
      <c r="F10248" t="s">
        <v>55</v>
      </c>
      <c r="G10248">
        <v>-180.0898</v>
      </c>
      <c r="H10248" s="1">
        <v>-4.7568650000000002E-6</v>
      </c>
      <c r="I10248">
        <v>127.0877</v>
      </c>
      <c r="J10248">
        <v>-184.80770000000001</v>
      </c>
      <c r="K10248">
        <v>1.1048659999999999</v>
      </c>
      <c r="L10248">
        <v>122.64360000000001</v>
      </c>
      <c r="M10248">
        <v>0.31311129999999998</v>
      </c>
      <c r="N10248">
        <v>0</v>
      </c>
      <c r="O10248">
        <v>0.9496057</v>
      </c>
      <c r="P10248">
        <v>0.42799160000000003</v>
      </c>
      <c r="Q10248">
        <v>-4.197218E-3</v>
      </c>
      <c r="R10248">
        <v>0.90377300000000005</v>
      </c>
      <c r="S10248">
        <v>2.312897</v>
      </c>
      <c r="T10248">
        <v>-0.53568839999999995</v>
      </c>
      <c r="U10248">
        <v>2.2277830000000001</v>
      </c>
      <c r="V10248">
        <v>0.12357269999999899</v>
      </c>
      <c r="W10248">
        <v>8.6495430000000009E-3</v>
      </c>
      <c r="X10248">
        <v>0.99229780000000001</v>
      </c>
      <c r="Y10248">
        <v>0.45611109999999999</v>
      </c>
      <c r="Z10248">
        <v>-0.1689341</v>
      </c>
      <c r="AA10248">
        <v>0.87374130000000005</v>
      </c>
      <c r="AB10248">
        <v>29</v>
      </c>
      <c r="AC10248">
        <v>4.71790000000001</v>
      </c>
      <c r="AD10248">
        <v>-1.10487075686499</v>
      </c>
      <c r="AE10248">
        <v>4.4440999999999899</v>
      </c>
      <c r="AF10248">
        <v>3.00174320453343</v>
      </c>
      <c r="AG10248">
        <v>-1.10487075686499</v>
      </c>
      <c r="AH10248">
        <v>5.5370666346524002</v>
      </c>
      <c r="AI10248">
        <v>99.949674509239699</v>
      </c>
      <c r="AJ10248">
        <v>61.537084055016003</v>
      </c>
      <c r="AK10248">
        <v>6.3945530392607504</v>
      </c>
      <c r="AL10248">
        <v>89.504411499484704</v>
      </c>
      <c r="AM10248">
        <v>82.901394435840203</v>
      </c>
      <c r="AN10248">
        <v>0.99999997533211904</v>
      </c>
    </row>
    <row r="10249" spans="1:40" x14ac:dyDescent="0.25">
      <c r="A10249" t="str">
        <f>"20190312154153650"</f>
        <v>20190312154153650</v>
      </c>
      <c r="B10249" t="str">
        <f>"1552376513646088"</f>
        <v>1552376513646088</v>
      </c>
      <c r="C10249" t="s">
        <v>40</v>
      </c>
      <c r="D10249">
        <v>4.4891509999999997</v>
      </c>
      <c r="E10249">
        <v>0.64662869999999995</v>
      </c>
      <c r="F10249" t="s">
        <v>55</v>
      </c>
      <c r="G10249">
        <v>-180.0258</v>
      </c>
      <c r="H10249" s="1">
        <v>-4.7939279999999999E-6</v>
      </c>
      <c r="I10249">
        <v>127.196</v>
      </c>
      <c r="J10249">
        <v>-184.75559999999999</v>
      </c>
      <c r="K10249">
        <v>1.1047640000000001</v>
      </c>
      <c r="L10249">
        <v>122.7899</v>
      </c>
      <c r="M10249">
        <v>0.3165847</v>
      </c>
      <c r="N10249">
        <v>0</v>
      </c>
      <c r="O10249">
        <v>0.9484532</v>
      </c>
      <c r="P10249">
        <v>0.43240440000000002</v>
      </c>
      <c r="Q10249">
        <v>-4.6628499999999996E-3</v>
      </c>
      <c r="R10249">
        <v>0.90166769999999996</v>
      </c>
      <c r="S10249">
        <v>2.3267519999999999</v>
      </c>
      <c r="T10249">
        <v>-0.53759780000000001</v>
      </c>
      <c r="U10249">
        <v>2.2150729999999998</v>
      </c>
      <c r="V10249">
        <v>0.1247885</v>
      </c>
      <c r="W10249">
        <v>8.145546E-3</v>
      </c>
      <c r="X10249">
        <v>0.99214990000000003</v>
      </c>
      <c r="Y10249">
        <v>0.45790130000000001</v>
      </c>
      <c r="Z10249">
        <v>-0.1694677</v>
      </c>
      <c r="AA10249">
        <v>0.87270099999999995</v>
      </c>
      <c r="AB10249">
        <v>29</v>
      </c>
      <c r="AC10249">
        <v>4.7297999999999796</v>
      </c>
      <c r="AD10249">
        <v>-1.10476879392799</v>
      </c>
      <c r="AE10249">
        <v>4.4060999999999897</v>
      </c>
      <c r="AF10249">
        <v>3.0036795232481901</v>
      </c>
      <c r="AG10249">
        <v>-1.10476879392799</v>
      </c>
      <c r="AH10249">
        <v>5.51584445524818</v>
      </c>
      <c r="AI10249">
        <v>99.976285303764996</v>
      </c>
      <c r="AJ10249">
        <v>61.4292866331038</v>
      </c>
      <c r="AK10249">
        <v>6.3770796467434598</v>
      </c>
      <c r="AL10249">
        <v>89.533289418105397</v>
      </c>
      <c r="AM10249">
        <v>82.831218628832204</v>
      </c>
      <c r="AN10249">
        <v>0.99999997186094802</v>
      </c>
    </row>
    <row r="10250" spans="1:40" x14ac:dyDescent="0.25">
      <c r="A10250" t="str">
        <f>"20190312154153663"</f>
        <v>20190312154153663</v>
      </c>
      <c r="B10250" t="str">
        <f>"1552376513656824"</f>
        <v>1552376513656824</v>
      </c>
      <c r="C10250" t="s">
        <v>40</v>
      </c>
      <c r="D10250">
        <v>4.4865339999999998</v>
      </c>
      <c r="E10250">
        <v>0.6468102</v>
      </c>
      <c r="F10250" t="s">
        <v>55</v>
      </c>
      <c r="G10250">
        <v>-179.96010000000001</v>
      </c>
      <c r="H10250" s="1">
        <v>-4.8313510000000002E-6</v>
      </c>
      <c r="I10250">
        <v>127.30500000000001</v>
      </c>
      <c r="J10250">
        <v>-184.70179999999999</v>
      </c>
      <c r="K10250">
        <v>1.1046590000000001</v>
      </c>
      <c r="L10250">
        <v>122.9393</v>
      </c>
      <c r="M10250">
        <v>0.32018950000000002</v>
      </c>
      <c r="N10250">
        <v>0</v>
      </c>
      <c r="O10250">
        <v>0.94724209999999998</v>
      </c>
      <c r="P10250">
        <v>0.43727500000000002</v>
      </c>
      <c r="Q10250">
        <v>-5.5729739999999996E-3</v>
      </c>
      <c r="R10250">
        <v>0.89931059999999996</v>
      </c>
      <c r="S10250">
        <v>2.33934</v>
      </c>
      <c r="T10250">
        <v>-0.53893329999999995</v>
      </c>
      <c r="U10250">
        <v>2.2025760000000001</v>
      </c>
      <c r="V10250">
        <v>0.12637319999999999</v>
      </c>
      <c r="W10250">
        <v>7.1904680000000002E-3</v>
      </c>
      <c r="X10250">
        <v>0.99195670000000002</v>
      </c>
      <c r="Y10250">
        <v>0.45929979999999998</v>
      </c>
      <c r="Z10250">
        <v>-0.16984340000000001</v>
      </c>
      <c r="AA10250">
        <v>0.87189280000000002</v>
      </c>
      <c r="AB10250">
        <v>29</v>
      </c>
      <c r="AC10250">
        <v>4.7416999999999803</v>
      </c>
      <c r="AD10250">
        <v>-1.104663831351</v>
      </c>
      <c r="AE10250">
        <v>4.3657000000000004</v>
      </c>
      <c r="AF10250">
        <v>3.0057232770464801</v>
      </c>
      <c r="AG10250">
        <v>-1.104663831351</v>
      </c>
      <c r="AH10250">
        <v>5.4928671743706801</v>
      </c>
      <c r="AI10250">
        <v>100.005310090918</v>
      </c>
      <c r="AJ10250">
        <v>61.3123097034618</v>
      </c>
      <c r="AK10250">
        <v>6.3581636023110502</v>
      </c>
      <c r="AL10250">
        <v>89.588012977210695</v>
      </c>
      <c r="AM10250">
        <v>82.739747976352604</v>
      </c>
      <c r="AN10250">
        <v>0.99999999159159403</v>
      </c>
    </row>
    <row r="10251" spans="1:40" x14ac:dyDescent="0.25">
      <c r="A10251" t="str">
        <f>"20190312154153674"</f>
        <v>20190312154153674</v>
      </c>
      <c r="B10251" t="str">
        <f>"1552376513666584"</f>
        <v>1552376513666584</v>
      </c>
      <c r="C10251" t="s">
        <v>40</v>
      </c>
      <c r="D10251">
        <v>4.4929500000000004</v>
      </c>
      <c r="E10251">
        <v>0.64698120000000003</v>
      </c>
      <c r="F10251" t="s">
        <v>55</v>
      </c>
      <c r="G10251">
        <v>-179.88929999999999</v>
      </c>
      <c r="H10251" s="1">
        <v>-4.8159449999999997E-6</v>
      </c>
      <c r="I10251">
        <v>127.41630000000001</v>
      </c>
      <c r="J10251">
        <v>-184.64869999999999</v>
      </c>
      <c r="K10251">
        <v>1.104554</v>
      </c>
      <c r="L10251">
        <v>123.0851</v>
      </c>
      <c r="M10251">
        <v>0.32376899999999997</v>
      </c>
      <c r="N10251">
        <v>0</v>
      </c>
      <c r="O10251">
        <v>0.94602450000000005</v>
      </c>
      <c r="P10251">
        <v>0.44217600000000001</v>
      </c>
      <c r="Q10251">
        <v>-6.1400630000000003E-3</v>
      </c>
      <c r="R10251">
        <v>0.89690729999999996</v>
      </c>
      <c r="S10251">
        <v>2.3526150000000001</v>
      </c>
      <c r="T10251">
        <v>-0.54002169999999905</v>
      </c>
      <c r="U10251">
        <v>2.188644</v>
      </c>
      <c r="V10251">
        <v>0.1280308</v>
      </c>
      <c r="W10251">
        <v>6.5782230000000002E-3</v>
      </c>
      <c r="X10251">
        <v>0.99174839999999997</v>
      </c>
      <c r="Y10251">
        <v>0.46113130000000002</v>
      </c>
      <c r="Z10251">
        <v>-0.17017539999999901</v>
      </c>
      <c r="AA10251">
        <v>0.87086070000000004</v>
      </c>
      <c r="AB10251">
        <v>29</v>
      </c>
      <c r="AC10251">
        <v>4.7593999999999896</v>
      </c>
      <c r="AD10251">
        <v>-1.1045588159449999</v>
      </c>
      <c r="AE10251">
        <v>4.3312000000000097</v>
      </c>
      <c r="AF10251">
        <v>3.0117952002399599</v>
      </c>
      <c r="AG10251">
        <v>-1.1045588159449999</v>
      </c>
      <c r="AH10251">
        <v>5.4775834623018698</v>
      </c>
      <c r="AI10251">
        <v>100.02081126653</v>
      </c>
      <c r="AJ10251">
        <v>61.196239288488599</v>
      </c>
      <c r="AK10251">
        <v>6.3478249103573399</v>
      </c>
      <c r="AL10251">
        <v>89.623092876036097</v>
      </c>
      <c r="AM10251">
        <v>82.644025576143207</v>
      </c>
      <c r="AN10251">
        <v>1.0000000238345099</v>
      </c>
    </row>
    <row r="10252" spans="1:40" x14ac:dyDescent="0.25">
      <c r="A10252" t="str">
        <f>"20190312154153687"</f>
        <v>20190312154153687</v>
      </c>
      <c r="B10252" t="str">
        <f>"1552376513676344"</f>
        <v>1552376513676344</v>
      </c>
      <c r="C10252" t="s">
        <v>40</v>
      </c>
      <c r="D10252">
        <v>4.498094</v>
      </c>
      <c r="E10252">
        <v>0.6471074</v>
      </c>
      <c r="F10252" t="s">
        <v>55</v>
      </c>
      <c r="G10252">
        <v>-179.80359999999999</v>
      </c>
      <c r="H10252" s="1">
        <v>-4.7916839999999998E-6</v>
      </c>
      <c r="I10252">
        <v>127.5381</v>
      </c>
      <c r="J10252">
        <v>-184.59180000000001</v>
      </c>
      <c r="K10252">
        <v>1.1044480000000001</v>
      </c>
      <c r="L10252">
        <v>123.23820000000001</v>
      </c>
      <c r="M10252">
        <v>0.32763750000000003</v>
      </c>
      <c r="N10252">
        <v>0</v>
      </c>
      <c r="O10252">
        <v>0.94469150000000002</v>
      </c>
      <c r="P10252">
        <v>0.44741750000000002</v>
      </c>
      <c r="Q10252">
        <v>-6.4698869999999997E-3</v>
      </c>
      <c r="R10252">
        <v>0.89430180000000004</v>
      </c>
      <c r="S10252">
        <v>2.3660890000000001</v>
      </c>
      <c r="T10252">
        <v>-0.53941589999999995</v>
      </c>
      <c r="U10252">
        <v>2.174652</v>
      </c>
      <c r="V10252">
        <v>0.12977429999999901</v>
      </c>
      <c r="W10252">
        <v>6.1991470000000003E-3</v>
      </c>
      <c r="X10252">
        <v>0.99152419999999997</v>
      </c>
      <c r="Y10252">
        <v>0.4628042</v>
      </c>
      <c r="Z10252">
        <v>-0.16996439999999999</v>
      </c>
      <c r="AA10252">
        <v>0.87001399999999995</v>
      </c>
      <c r="AB10252">
        <v>29</v>
      </c>
      <c r="AC10252">
        <v>4.7882000000000096</v>
      </c>
      <c r="AD10252">
        <v>-1.1044527916839999</v>
      </c>
      <c r="AE10252">
        <v>4.2998999999999903</v>
      </c>
      <c r="AF10252">
        <v>3.0257755117611498</v>
      </c>
      <c r="AG10252">
        <v>-1.1044527916839999</v>
      </c>
      <c r="AH10252">
        <v>5.4703517854215198</v>
      </c>
      <c r="AI10252">
        <v>100.019211325548</v>
      </c>
      <c r="AJ10252">
        <v>61.052024610504297</v>
      </c>
      <c r="AK10252">
        <v>6.3482188110442896</v>
      </c>
      <c r="AL10252">
        <v>89.644812772022505</v>
      </c>
      <c r="AM10252">
        <v>82.543305870611704</v>
      </c>
      <c r="AN10252">
        <v>1.0000000187748199</v>
      </c>
    </row>
    <row r="10253" spans="1:40" x14ac:dyDescent="0.25">
      <c r="A10253" t="str">
        <f>"20190312154153703"</f>
        <v>20190312154153703</v>
      </c>
      <c r="B10253" t="str">
        <f>"1552376513695864"</f>
        <v>1552376513695864</v>
      </c>
      <c r="C10253" t="s">
        <v>40</v>
      </c>
      <c r="D10253">
        <v>4.5093909999999999</v>
      </c>
      <c r="E10253">
        <v>0.64735529999999997</v>
      </c>
      <c r="F10253" t="s">
        <v>55</v>
      </c>
      <c r="G10253">
        <v>-179.7234</v>
      </c>
      <c r="H10253" s="1">
        <v>-4.7701380000000001E-6</v>
      </c>
      <c r="I10253">
        <v>127.6566</v>
      </c>
      <c r="J10253">
        <v>-184.51689999999999</v>
      </c>
      <c r="K10253">
        <v>1.1043019999999999</v>
      </c>
      <c r="L10253">
        <v>123.4376</v>
      </c>
      <c r="M10253">
        <v>0.33277780000000001</v>
      </c>
      <c r="N10253">
        <v>0</v>
      </c>
      <c r="O10253">
        <v>0.94289279999999998</v>
      </c>
      <c r="P10253">
        <v>0.45623089999999999</v>
      </c>
      <c r="Q10253">
        <v>-6.2309219999999998E-3</v>
      </c>
      <c r="R10253">
        <v>0.88983959999999995</v>
      </c>
      <c r="S10253">
        <v>2.3800050000000001</v>
      </c>
      <c r="T10253">
        <v>-0.5399292</v>
      </c>
      <c r="U10253">
        <v>2.1599729999999999</v>
      </c>
      <c r="V10253">
        <v>0.13417319999999999</v>
      </c>
      <c r="W10253">
        <v>6.3383800000000002E-3</v>
      </c>
      <c r="X10253">
        <v>0.99093770000000003</v>
      </c>
      <c r="Y10253">
        <v>0.46345730000000002</v>
      </c>
      <c r="Z10253">
        <v>-0.17004179999999999</v>
      </c>
      <c r="AA10253">
        <v>0.86965119999999896</v>
      </c>
      <c r="AB10253">
        <v>29</v>
      </c>
      <c r="AC10253">
        <v>4.7934999999999901</v>
      </c>
      <c r="AD10253">
        <v>-1.104306770138</v>
      </c>
      <c r="AE10253">
        <v>4.2189999999999896</v>
      </c>
      <c r="AF10253">
        <v>3.0256136963445002</v>
      </c>
      <c r="AG10253">
        <v>-1.104306770138</v>
      </c>
      <c r="AH10253">
        <v>5.4119759085256396</v>
      </c>
      <c r="AI10253">
        <v>100.098778928597</v>
      </c>
      <c r="AJ10253">
        <v>60.792235229134697</v>
      </c>
      <c r="AK10253">
        <v>6.29788178013386</v>
      </c>
      <c r="AL10253">
        <v>89.636835172190899</v>
      </c>
      <c r="AM10253">
        <v>82.289031956351096</v>
      </c>
      <c r="AN10253">
        <v>1.0000000739702699</v>
      </c>
    </row>
    <row r="10254" spans="1:40" x14ac:dyDescent="0.25">
      <c r="A10254" t="str">
        <f>"20190312154153718"</f>
        <v>20190312154153718</v>
      </c>
      <c r="B10254" t="str">
        <f>"1552376513706602"</f>
        <v>1552376513706602</v>
      </c>
      <c r="C10254" t="s">
        <v>40</v>
      </c>
      <c r="D10254">
        <v>4.5088619999999997</v>
      </c>
      <c r="E10254">
        <v>0.64745379999999997</v>
      </c>
      <c r="F10254" t="s">
        <v>55</v>
      </c>
      <c r="G10254">
        <v>-179.57259999999999</v>
      </c>
      <c r="H10254" s="1">
        <v>-4.7168689999999999E-6</v>
      </c>
      <c r="I10254">
        <v>127.83029999999999</v>
      </c>
      <c r="J10254">
        <v>-184.45169999999999</v>
      </c>
      <c r="K10254">
        <v>1.1041729999999901</v>
      </c>
      <c r="L10254">
        <v>123.60850000000001</v>
      </c>
      <c r="M10254">
        <v>0.33728509999999901</v>
      </c>
      <c r="N10254">
        <v>0</v>
      </c>
      <c r="O10254">
        <v>0.94128970000000001</v>
      </c>
      <c r="P10254">
        <v>0.46239459999999999</v>
      </c>
      <c r="Q10254">
        <v>-6.2187179999999998E-3</v>
      </c>
      <c r="R10254">
        <v>0.88665249999999995</v>
      </c>
      <c r="S10254">
        <v>2.403473</v>
      </c>
      <c r="T10254">
        <v>-0.5368136</v>
      </c>
      <c r="U10254">
        <v>2.1353610000000001</v>
      </c>
      <c r="V10254">
        <v>0.1363103</v>
      </c>
      <c r="W10254">
        <v>6.2878359999999998E-3</v>
      </c>
      <c r="X10254">
        <v>0.99064620000000003</v>
      </c>
      <c r="Y10254">
        <v>0.46854839999999998</v>
      </c>
      <c r="Z10254">
        <v>-0.16912829999999901</v>
      </c>
      <c r="AA10254">
        <v>0.86709740000000002</v>
      </c>
      <c r="AB10254">
        <v>29</v>
      </c>
      <c r="AC10254">
        <v>4.8790999999999896</v>
      </c>
      <c r="AD10254">
        <v>-1.1041777168689999</v>
      </c>
      <c r="AE10254">
        <v>4.2217999999999796</v>
      </c>
      <c r="AF10254">
        <v>3.07886138120683</v>
      </c>
      <c r="AG10254">
        <v>-1.1041777168689999</v>
      </c>
      <c r="AH10254">
        <v>5.4602650762198701</v>
      </c>
      <c r="AI10254">
        <v>99.990026874159597</v>
      </c>
      <c r="AJ10254">
        <v>60.582798549814498</v>
      </c>
      <c r="AK10254">
        <v>6.3649894373599096</v>
      </c>
      <c r="AL10254">
        <v>89.639731148010299</v>
      </c>
      <c r="AM10254">
        <v>82.165448855869698</v>
      </c>
      <c r="AN10254">
        <v>0.99999996417104497</v>
      </c>
    </row>
    <row r="10255" spans="1:40" x14ac:dyDescent="0.25">
      <c r="A10255" t="str">
        <f>"20190312154153731"</f>
        <v>20190312154153731</v>
      </c>
      <c r="B10255" t="str">
        <f>"1552376513726120"</f>
        <v>1552376513726120</v>
      </c>
      <c r="C10255" t="s">
        <v>40</v>
      </c>
      <c r="D10255">
        <v>4.5131809999999897</v>
      </c>
      <c r="E10255">
        <v>0.64758930000000003</v>
      </c>
      <c r="F10255" t="s">
        <v>55</v>
      </c>
      <c r="G10255">
        <v>-179.51589999999999</v>
      </c>
      <c r="H10255">
        <v>1.279364E-2</v>
      </c>
      <c r="I10255">
        <v>127.92910000000001</v>
      </c>
      <c r="J10255">
        <v>-184.3809</v>
      </c>
      <c r="K10255">
        <v>1.1040270000000001</v>
      </c>
      <c r="L10255">
        <v>123.7899</v>
      </c>
      <c r="M10255">
        <v>0.34224070000000001</v>
      </c>
      <c r="N10255">
        <v>0</v>
      </c>
      <c r="O10255">
        <v>0.93949890000000003</v>
      </c>
      <c r="P10255">
        <v>0.46885250000000001</v>
      </c>
      <c r="Q10255">
        <v>-6.0658269999999898E-3</v>
      </c>
      <c r="R10255">
        <v>0.88325569999999898</v>
      </c>
      <c r="S10255">
        <v>2.4195250000000001</v>
      </c>
      <c r="T10255">
        <v>-0.53499200000000002</v>
      </c>
      <c r="U10255">
        <v>2.117966</v>
      </c>
      <c r="V10255">
        <v>0.13832269999999999</v>
      </c>
      <c r="W10255">
        <v>6.3770010000000002E-3</v>
      </c>
      <c r="X10255">
        <v>0.99036670000000004</v>
      </c>
      <c r="Y10255">
        <v>0.47037299999999899</v>
      </c>
      <c r="Z10255">
        <v>-0.1685179</v>
      </c>
      <c r="AA10255">
        <v>0.866228</v>
      </c>
      <c r="AB10255">
        <v>29</v>
      </c>
      <c r="AC10255">
        <v>4.8650000000000002</v>
      </c>
      <c r="AD10255">
        <v>-1.0912333599999999</v>
      </c>
      <c r="AE10255">
        <v>4.1391999999999998</v>
      </c>
      <c r="AF10255">
        <v>3.06494464509217</v>
      </c>
      <c r="AG10255">
        <v>-1.0912333599999999</v>
      </c>
      <c r="AH10255">
        <v>5.3968584933628403</v>
      </c>
      <c r="AI10255">
        <v>99.971969692590704</v>
      </c>
      <c r="AJ10255">
        <v>60.407205583526398</v>
      </c>
      <c r="AK10255">
        <v>6.3016472069482496</v>
      </c>
      <c r="AL10255">
        <v>89.634622286870695</v>
      </c>
      <c r="AM10255">
        <v>82.049037694476198</v>
      </c>
      <c r="AN10255">
        <v>1.00000001797296</v>
      </c>
    </row>
    <row r="10256" spans="1:40" x14ac:dyDescent="0.25">
      <c r="A10256" t="str">
        <f>"20190312154153744"</f>
        <v>20190312154153744</v>
      </c>
      <c r="B10256" t="str">
        <f>"1552376513735880"</f>
        <v>1552376513735880</v>
      </c>
      <c r="C10256" t="s">
        <v>40</v>
      </c>
      <c r="D10256">
        <v>4.4877820000000002</v>
      </c>
      <c r="E10256">
        <v>0.64758930000000003</v>
      </c>
      <c r="F10256" t="s">
        <v>55</v>
      </c>
      <c r="G10256">
        <v>-179.46</v>
      </c>
      <c r="H10256">
        <v>2.6480400000000001E-2</v>
      </c>
      <c r="I10256">
        <v>128.0299</v>
      </c>
      <c r="J10256">
        <v>-184.32220000000001</v>
      </c>
      <c r="K10256">
        <v>1.1039060000000001</v>
      </c>
      <c r="L10256">
        <v>123.9383</v>
      </c>
      <c r="M10256">
        <v>0.3463775</v>
      </c>
      <c r="N10256">
        <v>0</v>
      </c>
      <c r="O10256">
        <v>0.93798139999999997</v>
      </c>
      <c r="P10256">
        <v>0.47480149999999999</v>
      </c>
      <c r="Q10256">
        <v>-6.1936129999999997E-3</v>
      </c>
      <c r="R10256">
        <v>0.88007119999999905</v>
      </c>
      <c r="S10256">
        <v>2.436569</v>
      </c>
      <c r="T10256">
        <v>-0.53354729999999995</v>
      </c>
      <c r="U10256">
        <v>2.0994419999999998</v>
      </c>
      <c r="V10256">
        <v>0.1406405</v>
      </c>
      <c r="W10256">
        <v>6.185795E-3</v>
      </c>
      <c r="X10256">
        <v>0.99004139999999996</v>
      </c>
      <c r="Y10256">
        <v>0.47333649999999999</v>
      </c>
      <c r="Z10256">
        <v>-0.16806559999999901</v>
      </c>
      <c r="AA10256">
        <v>0.86470029999999998</v>
      </c>
      <c r="AB10256">
        <v>29</v>
      </c>
      <c r="AC10256">
        <v>4.8621999999999996</v>
      </c>
      <c r="AD10256">
        <v>-1.0774256</v>
      </c>
      <c r="AE10256">
        <v>4.0915999999999997</v>
      </c>
      <c r="AF10256">
        <v>3.0559041124339301</v>
      </c>
      <c r="AG10256">
        <v>-1.0774256</v>
      </c>
      <c r="AH10256">
        <v>5.3682720231049696</v>
      </c>
      <c r="AI10256">
        <v>99.894098699713496</v>
      </c>
      <c r="AJ10256">
        <v>60.349181271194503</v>
      </c>
      <c r="AK10256">
        <v>6.2703859834923703</v>
      </c>
      <c r="AL10256">
        <v>89.645577791146195</v>
      </c>
      <c r="AM10256">
        <v>81.914933324865501</v>
      </c>
      <c r="AN10256">
        <v>0.99999999400699502</v>
      </c>
    </row>
    <row r="10257" spans="1:40" x14ac:dyDescent="0.25">
      <c r="A10257" t="str">
        <f>"20190312154153758"</f>
        <v>20190312154153758</v>
      </c>
      <c r="B10257" t="str">
        <f>"1552376513746616"</f>
        <v>1552376513746616</v>
      </c>
      <c r="C10257" t="s">
        <v>40</v>
      </c>
      <c r="D10257">
        <v>4.5142290000000003</v>
      </c>
      <c r="E10257">
        <v>0.66826169999999996</v>
      </c>
      <c r="F10257" t="s">
        <v>55</v>
      </c>
      <c r="G10257">
        <v>-179.41849999999999</v>
      </c>
      <c r="H10257">
        <v>3.8231380000000002E-2</v>
      </c>
      <c r="I10257">
        <v>128.10489999999999</v>
      </c>
      <c r="J10257">
        <v>-184.2593</v>
      </c>
      <c r="K10257">
        <v>1.1037709999999901</v>
      </c>
      <c r="L10257">
        <v>124.0955</v>
      </c>
      <c r="M10257">
        <v>0.35081869999999998</v>
      </c>
      <c r="N10257">
        <v>0</v>
      </c>
      <c r="O10257">
        <v>0.93632910000000003</v>
      </c>
      <c r="P10257">
        <v>0.48321969999999997</v>
      </c>
      <c r="Q10257">
        <v>-6.4742760000000002E-3</v>
      </c>
      <c r="R10257">
        <v>0.87547520000000001</v>
      </c>
      <c r="S10257">
        <v>2.4511409999999998</v>
      </c>
      <c r="T10257">
        <v>-0.53268680000000002</v>
      </c>
      <c r="U10257">
        <v>2.082687</v>
      </c>
      <c r="V10257">
        <v>0.14543979999999901</v>
      </c>
      <c r="W10257">
        <v>5.7952709999999899E-3</v>
      </c>
      <c r="X10257">
        <v>0.98935010000000001</v>
      </c>
      <c r="Y10257">
        <v>0.47518569999999999</v>
      </c>
      <c r="Z10257">
        <v>-0.1677749</v>
      </c>
      <c r="AA10257">
        <v>0.86374189999999995</v>
      </c>
      <c r="AB10257">
        <v>29</v>
      </c>
      <c r="AC10257">
        <v>4.8407999999999998</v>
      </c>
      <c r="AD10257">
        <v>-1.06553961999999</v>
      </c>
      <c r="AE10257">
        <v>4.0093999999999799</v>
      </c>
      <c r="AF10257">
        <v>3.0390108210128401</v>
      </c>
      <c r="AG10257">
        <v>-1.06553961999999</v>
      </c>
      <c r="AH10257">
        <v>5.3006187984640496</v>
      </c>
      <c r="AI10257">
        <v>99.892476257118304</v>
      </c>
      <c r="AJ10257">
        <v>60.173001768862598</v>
      </c>
      <c r="AK10257">
        <v>6.2022190463295797</v>
      </c>
      <c r="AL10257">
        <v>89.667953562106504</v>
      </c>
      <c r="AM10257">
        <v>81.637110453810394</v>
      </c>
      <c r="AN10257">
        <v>0.999999970480006</v>
      </c>
    </row>
    <row r="10258" spans="1:40" x14ac:dyDescent="0.25">
      <c r="A10258" t="str">
        <f>"20190312154153771"</f>
        <v>20190312154153771</v>
      </c>
      <c r="B10258" t="str">
        <f>"1552376513766136"</f>
        <v>1552376513766136</v>
      </c>
      <c r="C10258" t="s">
        <v>40</v>
      </c>
      <c r="D10258">
        <v>4.5344509999999998</v>
      </c>
      <c r="E10258">
        <v>0.67510019999999904</v>
      </c>
      <c r="F10258" t="s">
        <v>55</v>
      </c>
      <c r="G10258">
        <v>-178.88159999999999</v>
      </c>
      <c r="H10258">
        <v>7.9987859999999994E-2</v>
      </c>
      <c r="I10258">
        <v>128.16489999999999</v>
      </c>
      <c r="J10258">
        <v>-184.18799999999999</v>
      </c>
      <c r="K10258">
        <v>1.103618</v>
      </c>
      <c r="L10258">
        <v>124.2697</v>
      </c>
      <c r="M10258">
        <v>0.35593079999999999</v>
      </c>
      <c r="N10258">
        <v>0</v>
      </c>
      <c r="O10258">
        <v>0.93439749999999999</v>
      </c>
      <c r="P10258">
        <v>0.4902667</v>
      </c>
      <c r="Q10258">
        <v>-6.4810909999999996E-3</v>
      </c>
      <c r="R10258">
        <v>0.8715484</v>
      </c>
      <c r="S10258">
        <v>2.6156619999999999</v>
      </c>
      <c r="T10258">
        <v>-0.49795440000000002</v>
      </c>
      <c r="U10258">
        <v>1.9792940000000001</v>
      </c>
      <c r="V10258">
        <v>0.14801549999999999</v>
      </c>
      <c r="W10258">
        <v>5.7089669999999997E-3</v>
      </c>
      <c r="X10258">
        <v>0.98896859999999998</v>
      </c>
      <c r="Y10258">
        <v>0.52030889999999996</v>
      </c>
      <c r="Z10258">
        <v>-0.1555</v>
      </c>
      <c r="AA10258">
        <v>0.83970140000000004</v>
      </c>
      <c r="AB10258">
        <v>29</v>
      </c>
      <c r="AC10258">
        <v>5.3063999999999902</v>
      </c>
      <c r="AD10258">
        <v>-1.0236301400000001</v>
      </c>
      <c r="AE10258">
        <v>3.89519999999998</v>
      </c>
      <c r="AF10258">
        <v>3.4879039207270202</v>
      </c>
      <c r="AG10258">
        <v>-1.0236301400000001</v>
      </c>
      <c r="AH10258">
        <v>5.3984246893194703</v>
      </c>
      <c r="AI10258">
        <v>99.049276592802798</v>
      </c>
      <c r="AJ10258">
        <v>57.133634383762903</v>
      </c>
      <c r="AK10258">
        <v>6.5081703688512498</v>
      </c>
      <c r="AL10258">
        <v>89.672898520502002</v>
      </c>
      <c r="AM10258">
        <v>81.487921215383196</v>
      </c>
      <c r="AN10258">
        <v>1.0000000361651999</v>
      </c>
    </row>
    <row r="10259" spans="1:40" x14ac:dyDescent="0.25">
      <c r="A10259" t="str">
        <f>"20190312154153783"</f>
        <v>20190312154153783</v>
      </c>
      <c r="B10259" t="str">
        <f>"1552376513775896"</f>
        <v>1552376513775896</v>
      </c>
      <c r="C10259" t="s">
        <v>40</v>
      </c>
      <c r="D10259">
        <v>4.618754</v>
      </c>
      <c r="E10259">
        <v>0.67669419999999902</v>
      </c>
      <c r="F10259" t="s">
        <v>55</v>
      </c>
      <c r="G10259">
        <v>-178.66849999999999</v>
      </c>
      <c r="H10259">
        <v>7.9987939999999993E-2</v>
      </c>
      <c r="I10259">
        <v>128.24969999999999</v>
      </c>
      <c r="J10259">
        <v>-184.1317</v>
      </c>
      <c r="K10259">
        <v>1.1034999999999999</v>
      </c>
      <c r="L10259">
        <v>124.4057</v>
      </c>
      <c r="M10259">
        <v>0.35999989999999998</v>
      </c>
      <c r="N10259">
        <v>0</v>
      </c>
      <c r="O10259">
        <v>0.93283709999999997</v>
      </c>
      <c r="P10259">
        <v>0.49589220000000001</v>
      </c>
      <c r="Q10259">
        <v>-6.5254830000000003E-3</v>
      </c>
      <c r="R10259">
        <v>0.86835960000000001</v>
      </c>
      <c r="S10259">
        <v>2.6787570000000001</v>
      </c>
      <c r="T10259">
        <v>-0.49678810000000001</v>
      </c>
      <c r="U10259">
        <v>1.9315800000000001</v>
      </c>
      <c r="V10259">
        <v>0.15010090000000001</v>
      </c>
      <c r="W10259">
        <v>5.5997719999999898E-3</v>
      </c>
      <c r="X10259">
        <v>0.98865479999999994</v>
      </c>
      <c r="Y10259">
        <v>0.53600559999999997</v>
      </c>
      <c r="Z10259">
        <v>-0.15459679999999901</v>
      </c>
      <c r="AA10259">
        <v>0.82993850000000002</v>
      </c>
      <c r="AB10259">
        <v>29</v>
      </c>
      <c r="AC10259">
        <v>5.4631999999999996</v>
      </c>
      <c r="AD10259">
        <v>-1.0235120599999901</v>
      </c>
      <c r="AE10259">
        <v>3.8439999999999901</v>
      </c>
      <c r="AF10259">
        <v>3.6276711925802099</v>
      </c>
      <c r="AG10259">
        <v>-1.0235120599999901</v>
      </c>
      <c r="AH10259">
        <v>5.4257970870703103</v>
      </c>
      <c r="AI10259">
        <v>98.912343293656903</v>
      </c>
      <c r="AJ10259">
        <v>56.233434852516403</v>
      </c>
      <c r="AK10259">
        <v>6.60657621226777</v>
      </c>
      <c r="AL10259">
        <v>89.679155013506104</v>
      </c>
      <c r="AM10259">
        <v>81.367089495494895</v>
      </c>
      <c r="AN10259">
        <v>0.99999997559514997</v>
      </c>
    </row>
    <row r="10260" spans="1:40" x14ac:dyDescent="0.25">
      <c r="A10260" t="str">
        <f>"20190312154153794"</f>
        <v>20190312154153794</v>
      </c>
      <c r="B10260" t="str">
        <f>"1552376513786633"</f>
        <v>1552376513786633</v>
      </c>
      <c r="C10260" t="s">
        <v>40</v>
      </c>
      <c r="D10260">
        <v>4.4757369999999996</v>
      </c>
      <c r="E10260">
        <v>0.67725679999999999</v>
      </c>
      <c r="F10260" t="s">
        <v>55</v>
      </c>
      <c r="G10260">
        <v>-178.81620000000001</v>
      </c>
      <c r="H10260">
        <v>7.9987909999999995E-2</v>
      </c>
      <c r="I10260">
        <v>128.15969999999999</v>
      </c>
      <c r="J10260">
        <v>-184.0753</v>
      </c>
      <c r="K10260">
        <v>1.103378</v>
      </c>
      <c r="L10260">
        <v>124.5401</v>
      </c>
      <c r="M10260">
        <v>0.36408810000000003</v>
      </c>
      <c r="N10260">
        <v>0</v>
      </c>
      <c r="O10260">
        <v>0.93124879999999999</v>
      </c>
      <c r="P10260">
        <v>0.5014324</v>
      </c>
      <c r="Q10260">
        <v>-6.8431419999999896E-3</v>
      </c>
      <c r="R10260">
        <v>0.86516979999999999</v>
      </c>
      <c r="S10260">
        <v>2.7016909999999998</v>
      </c>
      <c r="T10260">
        <v>-0.52021799999999996</v>
      </c>
      <c r="U10260">
        <v>1.90802</v>
      </c>
      <c r="V10260">
        <v>0.15208060000000001</v>
      </c>
      <c r="W10260">
        <v>5.217831E-3</v>
      </c>
      <c r="X10260">
        <v>0.98835430000000002</v>
      </c>
      <c r="Y10260">
        <v>0.53952679999999997</v>
      </c>
      <c r="Z10260">
        <v>-0.16157560000000001</v>
      </c>
      <c r="AA10260">
        <v>0.82631969999999999</v>
      </c>
      <c r="AB10260">
        <v>29</v>
      </c>
      <c r="AC10260">
        <v>5.2590999999999797</v>
      </c>
      <c r="AD10260">
        <v>-1.0233900899999999</v>
      </c>
      <c r="AE10260">
        <v>3.6195999999999899</v>
      </c>
      <c r="AF10260">
        <v>3.4903771396218901</v>
      </c>
      <c r="AG10260">
        <v>-1.0233900899999999</v>
      </c>
      <c r="AH10260">
        <v>5.1536689772838304</v>
      </c>
      <c r="AI10260">
        <v>99.336814491506999</v>
      </c>
      <c r="AJ10260">
        <v>55.891760856652802</v>
      </c>
      <c r="AK10260">
        <v>6.3079603502656196</v>
      </c>
      <c r="AL10260">
        <v>89.701038942473403</v>
      </c>
      <c r="AM10260">
        <v>81.252360122258594</v>
      </c>
      <c r="AN10260">
        <v>0.99999997849259703</v>
      </c>
    </row>
    <row r="10261" spans="1:40" x14ac:dyDescent="0.25">
      <c r="A10261" t="str">
        <f>"20190312154153805"</f>
        <v>20190312154153805</v>
      </c>
      <c r="B10261" t="str">
        <f>"1552376513796392"</f>
        <v>1552376513796392</v>
      </c>
      <c r="C10261" t="s">
        <v>40</v>
      </c>
      <c r="D10261">
        <v>4.827693</v>
      </c>
      <c r="E10261">
        <v>0.67836640000000004</v>
      </c>
      <c r="F10261" t="s">
        <v>55</v>
      </c>
      <c r="G10261">
        <v>-178.6687</v>
      </c>
      <c r="H10261">
        <v>7.9987939999999993E-2</v>
      </c>
      <c r="I10261">
        <v>128.29570000000001</v>
      </c>
      <c r="J10261">
        <v>-184.01840000000001</v>
      </c>
      <c r="K10261">
        <v>1.103248</v>
      </c>
      <c r="L10261">
        <v>124.6733</v>
      </c>
      <c r="M10261">
        <v>0.36826140000000002</v>
      </c>
      <c r="N10261">
        <v>0</v>
      </c>
      <c r="O10261">
        <v>0.92960600000000004</v>
      </c>
      <c r="P10261">
        <v>0.50722800000000001</v>
      </c>
      <c r="Q10261">
        <v>-7.1828780000000002E-3</v>
      </c>
      <c r="R10261">
        <v>0.86178199999999905</v>
      </c>
      <c r="S10261">
        <v>2.7181090000000001</v>
      </c>
      <c r="T10261">
        <v>-0.5144997</v>
      </c>
      <c r="U10261">
        <v>1.8880920000000001</v>
      </c>
      <c r="V10261">
        <v>0.15427779999999999</v>
      </c>
      <c r="W10261">
        <v>4.808232E-3</v>
      </c>
      <c r="X10261">
        <v>0.9880158</v>
      </c>
      <c r="Y10261">
        <v>0.54244759999999903</v>
      </c>
      <c r="Z10261">
        <v>-0.15978899999999999</v>
      </c>
      <c r="AA10261">
        <v>0.82475330000000002</v>
      </c>
      <c r="AB10261">
        <v>29</v>
      </c>
      <c r="AC10261">
        <v>5.3497000000000101</v>
      </c>
      <c r="AD10261">
        <v>-1.0232600599999999</v>
      </c>
      <c r="AE10261">
        <v>3.6224000000000101</v>
      </c>
      <c r="AF10261">
        <v>3.5504546288181</v>
      </c>
      <c r="AG10261">
        <v>-1.0232600599999999</v>
      </c>
      <c r="AH10261">
        <v>5.2074429274810496</v>
      </c>
      <c r="AI10261">
        <v>99.221756359906607</v>
      </c>
      <c r="AJ10261">
        <v>55.7136836462888</v>
      </c>
      <c r="AK10261">
        <v>6.3851586561854097</v>
      </c>
      <c r="AL10261">
        <v>89.724507535156704</v>
      </c>
      <c r="AM10261">
        <v>81.1249830550273</v>
      </c>
      <c r="AN10261">
        <v>0.99999998985872196</v>
      </c>
    </row>
    <row r="10262" spans="1:40" x14ac:dyDescent="0.25">
      <c r="A10262" t="str">
        <f>"20190312154153816"</f>
        <v>20190312154153816</v>
      </c>
      <c r="B10262" t="str">
        <f>"1552376513806153"</f>
        <v>1552376513806153</v>
      </c>
      <c r="C10262" t="s">
        <v>40</v>
      </c>
      <c r="D10262">
        <v>4.4578329999999999</v>
      </c>
      <c r="E10262">
        <v>0.67890519999999999</v>
      </c>
      <c r="F10262" t="s">
        <v>55</v>
      </c>
      <c r="G10262">
        <v>-178.4117</v>
      </c>
      <c r="H10262">
        <v>7.9987929999999999E-2</v>
      </c>
      <c r="I10262">
        <v>128.49019999999999</v>
      </c>
      <c r="J10262">
        <v>-183.95930000000001</v>
      </c>
      <c r="K10262">
        <v>1.1031120000000001</v>
      </c>
      <c r="L10262">
        <v>124.8108</v>
      </c>
      <c r="M10262">
        <v>0.37260470000000001</v>
      </c>
      <c r="N10262">
        <v>0</v>
      </c>
      <c r="O10262">
        <v>0.92787339999999996</v>
      </c>
      <c r="P10262">
        <v>0.51236409999999999</v>
      </c>
      <c r="Q10262">
        <v>-7.61392199999999E-3</v>
      </c>
      <c r="R10262">
        <v>0.85873449999999996</v>
      </c>
      <c r="S10262">
        <v>2.7392120000000002</v>
      </c>
      <c r="T10262">
        <v>-0.49992599999999998</v>
      </c>
      <c r="U10262">
        <v>1.8647769999999999</v>
      </c>
      <c r="V10262">
        <v>0.15555169999999999</v>
      </c>
      <c r="W10262">
        <v>4.321386E-3</v>
      </c>
      <c r="X10262">
        <v>0.98781830000000004</v>
      </c>
      <c r="Y10262">
        <v>0.54692350000000001</v>
      </c>
      <c r="Z10262">
        <v>-0.1552586</v>
      </c>
      <c r="AA10262">
        <v>0.82265999999999995</v>
      </c>
      <c r="AB10262">
        <v>29</v>
      </c>
      <c r="AC10262">
        <v>5.5476000000000099</v>
      </c>
      <c r="AD10262">
        <v>-1.0231240699999999</v>
      </c>
      <c r="AE10262">
        <v>3.6793999999999798</v>
      </c>
      <c r="AF10262">
        <v>3.68975841074593</v>
      </c>
      <c r="AG10262">
        <v>-1.0231240699999999</v>
      </c>
      <c r="AH10262">
        <v>5.3551731366108202</v>
      </c>
      <c r="AI10262">
        <v>98.940783272170904</v>
      </c>
      <c r="AJ10262">
        <v>55.432838156243498</v>
      </c>
      <c r="AK10262">
        <v>6.58323471519601</v>
      </c>
      <c r="AL10262">
        <v>89.752402049872202</v>
      </c>
      <c r="AM10262">
        <v>81.051121318012704</v>
      </c>
      <c r="AN10262">
        <v>0.99999999978236997</v>
      </c>
    </row>
    <row r="10263" spans="1:40" x14ac:dyDescent="0.25">
      <c r="A10263" t="str">
        <f>"20190312154153827"</f>
        <v>20190312154153827</v>
      </c>
      <c r="B10263" t="str">
        <f>"1552376513815912"</f>
        <v>1552376513815912</v>
      </c>
      <c r="C10263" t="s">
        <v>40</v>
      </c>
      <c r="D10263">
        <v>4.8488110000000004</v>
      </c>
      <c r="E10263">
        <v>0.67964769999999997</v>
      </c>
      <c r="F10263" t="s">
        <v>55</v>
      </c>
      <c r="G10263">
        <v>-178.17930000000001</v>
      </c>
      <c r="H10263">
        <v>7.9987929999999999E-2</v>
      </c>
      <c r="I10263">
        <v>128.6831</v>
      </c>
      <c r="J10263">
        <v>-183.90369999999999</v>
      </c>
      <c r="K10263">
        <v>1.102983</v>
      </c>
      <c r="L10263">
        <v>124.93680000000001</v>
      </c>
      <c r="M10263">
        <v>0.37675170000000002</v>
      </c>
      <c r="N10263">
        <v>0</v>
      </c>
      <c r="O10263">
        <v>0.92619689999999999</v>
      </c>
      <c r="P10263">
        <v>0.51750799999999997</v>
      </c>
      <c r="Q10263">
        <v>-8.1273349999999994E-3</v>
      </c>
      <c r="R10263">
        <v>0.85563979999999995</v>
      </c>
      <c r="S10263">
        <v>2.7547609999999998</v>
      </c>
      <c r="T10263">
        <v>-0.48762729999999999</v>
      </c>
      <c r="U10263">
        <v>1.8455809999999999</v>
      </c>
      <c r="V10263">
        <v>0.157054799999999</v>
      </c>
      <c r="W10263">
        <v>3.7491870000000002E-3</v>
      </c>
      <c r="X10263">
        <v>0.98758270000000004</v>
      </c>
      <c r="Y10263">
        <v>0.54981689999999905</v>
      </c>
      <c r="Z10263">
        <v>-0.1514568</v>
      </c>
      <c r="AA10263">
        <v>0.82143909999999998</v>
      </c>
      <c r="AB10263">
        <v>29</v>
      </c>
      <c r="AC10263">
        <v>5.72439999999997</v>
      </c>
      <c r="AD10263">
        <v>-1.0229950699999999</v>
      </c>
      <c r="AE10263">
        <v>3.74629999999999</v>
      </c>
      <c r="AF10263">
        <v>3.8058221696869898</v>
      </c>
      <c r="AG10263">
        <v>-1.0229950699999999</v>
      </c>
      <c r="AH10263">
        <v>5.5040315124451098</v>
      </c>
      <c r="AI10263">
        <v>98.691829315975198</v>
      </c>
      <c r="AJ10263">
        <v>55.337660295216899</v>
      </c>
      <c r="AK10263">
        <v>6.7694286457953101</v>
      </c>
      <c r="AL10263">
        <v>89.785186889570298</v>
      </c>
      <c r="AM10263">
        <v>80.963947894330204</v>
      </c>
      <c r="AN10263">
        <v>0.99999992797274195</v>
      </c>
    </row>
    <row r="10264" spans="1:40" x14ac:dyDescent="0.25">
      <c r="A10264" t="str">
        <f>"20190312154153839"</f>
        <v>20190312154153839</v>
      </c>
      <c r="B10264" t="str">
        <f>"1552376513836408"</f>
        <v>1552376513836408</v>
      </c>
      <c r="C10264" t="s">
        <v>40</v>
      </c>
      <c r="D10264">
        <v>4.5503679999999997</v>
      </c>
      <c r="E10264">
        <v>0.68019379999999996</v>
      </c>
      <c r="F10264" t="s">
        <v>55</v>
      </c>
      <c r="G10264">
        <v>-177.99189999999999</v>
      </c>
      <c r="H10264">
        <v>7.9987909999999995E-2</v>
      </c>
      <c r="I10264">
        <v>128.83009999999999</v>
      </c>
      <c r="J10264">
        <v>-183.84569999999999</v>
      </c>
      <c r="K10264">
        <v>1.1028439999999999</v>
      </c>
      <c r="L10264">
        <v>125.06789999999999</v>
      </c>
      <c r="M10264">
        <v>0.38108259999999999</v>
      </c>
      <c r="N10264">
        <v>0</v>
      </c>
      <c r="O10264">
        <v>0.92442310000000005</v>
      </c>
      <c r="P10264">
        <v>0.52268570000000003</v>
      </c>
      <c r="Q10264">
        <v>-7.8218349999999992E-3</v>
      </c>
      <c r="R10264">
        <v>0.85248959999999996</v>
      </c>
      <c r="S10264">
        <v>2.7716059999999998</v>
      </c>
      <c r="T10264">
        <v>-0.47960849999999999</v>
      </c>
      <c r="U10264">
        <v>1.8252870000000001</v>
      </c>
      <c r="V10264">
        <v>0.15842479999999901</v>
      </c>
      <c r="W10264">
        <v>3.9952329999999999E-3</v>
      </c>
      <c r="X10264">
        <v>0.98736299999999999</v>
      </c>
      <c r="Y10264">
        <v>0.55275540000000001</v>
      </c>
      <c r="Z10264">
        <v>-0.14892810000000001</v>
      </c>
      <c r="AA10264">
        <v>0.81992799999999999</v>
      </c>
      <c r="AB10264">
        <v>29</v>
      </c>
      <c r="AC10264">
        <v>5.8537999999999997</v>
      </c>
      <c r="AD10264">
        <v>-1.0228560900000001</v>
      </c>
      <c r="AE10264">
        <v>3.7621999999999902</v>
      </c>
      <c r="AF10264">
        <v>3.89397551320313</v>
      </c>
      <c r="AG10264">
        <v>-1.0228560900000001</v>
      </c>
      <c r="AH10264">
        <v>5.5885171913835601</v>
      </c>
      <c r="AI10264">
        <v>98.540248289176603</v>
      </c>
      <c r="AJ10264">
        <v>55.131928914903497</v>
      </c>
      <c r="AK10264">
        <v>6.8877285280900296</v>
      </c>
      <c r="AL10264">
        <v>89.771089410296696</v>
      </c>
      <c r="AM10264">
        <v>80.884449166113896</v>
      </c>
      <c r="AN10264">
        <v>1.00000003645538</v>
      </c>
    </row>
    <row r="10265" spans="1:40" x14ac:dyDescent="0.25">
      <c r="A10265" t="str">
        <f>"20190312154153850"</f>
        <v>20190312154153850</v>
      </c>
      <c r="B10265" t="str">
        <f>"1552376513846168"</f>
        <v>1552376513846168</v>
      </c>
      <c r="C10265" t="s">
        <v>40</v>
      </c>
      <c r="D10265">
        <v>4.5331099999999998</v>
      </c>
      <c r="E10265">
        <v>0.68028840000000002</v>
      </c>
      <c r="F10265" t="s">
        <v>55</v>
      </c>
      <c r="G10265">
        <v>-177.709</v>
      </c>
      <c r="H10265">
        <v>7.9987859999999994E-2</v>
      </c>
      <c r="I10265">
        <v>129.04560000000001</v>
      </c>
      <c r="J10265">
        <v>-183.78540000000001</v>
      </c>
      <c r="K10265">
        <v>1.102689</v>
      </c>
      <c r="L10265">
        <v>125.20099999999999</v>
      </c>
      <c r="M10265">
        <v>0.3856369</v>
      </c>
      <c r="N10265">
        <v>0</v>
      </c>
      <c r="O10265">
        <v>0.92253209999999997</v>
      </c>
      <c r="P10265">
        <v>0.52803730000000004</v>
      </c>
      <c r="Q10265">
        <v>-7.2838929999999996E-3</v>
      </c>
      <c r="R10265">
        <v>0.84918989999999905</v>
      </c>
      <c r="S10265">
        <v>2.786667</v>
      </c>
      <c r="T10265">
        <v>-0.46448050000000002</v>
      </c>
      <c r="U10265">
        <v>1.8062590000000001</v>
      </c>
      <c r="V10265">
        <v>0.15977479999999999</v>
      </c>
      <c r="W10265">
        <v>4.4739740000000004E-3</v>
      </c>
      <c r="X10265">
        <v>0.98714329999999995</v>
      </c>
      <c r="Y10265">
        <v>0.555245199999999</v>
      </c>
      <c r="Z10265">
        <v>-0.1442338</v>
      </c>
      <c r="AA10265">
        <v>0.81908449999999999</v>
      </c>
      <c r="AB10265">
        <v>29</v>
      </c>
      <c r="AC10265">
        <v>6.0763999999999996</v>
      </c>
      <c r="AD10265">
        <v>-1.0227011399999999</v>
      </c>
      <c r="AE10265">
        <v>3.8445999999999998</v>
      </c>
      <c r="AF10265">
        <v>4.0417444681536301</v>
      </c>
      <c r="AG10265">
        <v>-1.0227011399999999</v>
      </c>
      <c r="AH10265">
        <v>5.7738944153372396</v>
      </c>
      <c r="AI10265">
        <v>98.256349455115497</v>
      </c>
      <c r="AJ10265">
        <v>55.007857409912397</v>
      </c>
      <c r="AK10265">
        <v>7.1217605047537402</v>
      </c>
      <c r="AL10265">
        <v>89.743659303885295</v>
      </c>
      <c r="AM10265">
        <v>80.806081658751694</v>
      </c>
      <c r="AN10265">
        <v>0.99999994894664002</v>
      </c>
    </row>
    <row r="10266" spans="1:40" x14ac:dyDescent="0.25">
      <c r="A10266" t="str">
        <f>"20190312154153861"</f>
        <v>20190312154153861</v>
      </c>
      <c r="B10266" t="str">
        <f>"1552376513855928"</f>
        <v>1552376513855928</v>
      </c>
      <c r="C10266" t="s">
        <v>40</v>
      </c>
      <c r="D10266">
        <v>4.5312060000000001</v>
      </c>
      <c r="E10266">
        <v>0.67992989999999998</v>
      </c>
      <c r="F10266" t="s">
        <v>55</v>
      </c>
      <c r="G10266">
        <v>-177.56</v>
      </c>
      <c r="H10266">
        <v>7.9987820000000001E-2</v>
      </c>
      <c r="I10266">
        <v>129.1798</v>
      </c>
      <c r="J10266">
        <v>-183.72559999999999</v>
      </c>
      <c r="K10266">
        <v>1.1025450000000001</v>
      </c>
      <c r="L10266">
        <v>125.33199999999999</v>
      </c>
      <c r="M10266">
        <v>0.39016990000000001</v>
      </c>
      <c r="N10266">
        <v>0</v>
      </c>
      <c r="O10266">
        <v>0.92062370000000004</v>
      </c>
      <c r="P10266">
        <v>0.53319939999999999</v>
      </c>
      <c r="Q10266">
        <v>-6.501906E-3</v>
      </c>
      <c r="R10266">
        <v>0.84596459999999996</v>
      </c>
      <c r="S10266">
        <v>2.7985989999999998</v>
      </c>
      <c r="T10266">
        <v>-0.45974890000000002</v>
      </c>
      <c r="U10266">
        <v>1.78863499999999</v>
      </c>
      <c r="V10266">
        <v>0.16094449999999999</v>
      </c>
      <c r="W10266">
        <v>5.200189E-3</v>
      </c>
      <c r="X10266">
        <v>0.98694970000000004</v>
      </c>
      <c r="Y10266">
        <v>0.55661019999999894</v>
      </c>
      <c r="Z10266">
        <v>-0.14274609999999999</v>
      </c>
      <c r="AA10266">
        <v>0.81841839999999999</v>
      </c>
      <c r="AB10266">
        <v>29</v>
      </c>
      <c r="AC10266">
        <v>6.16559999999998</v>
      </c>
      <c r="AD10266">
        <v>-1.02255718</v>
      </c>
      <c r="AE10266">
        <v>3.8477999999999901</v>
      </c>
      <c r="AF10266">
        <v>4.0943093737583398</v>
      </c>
      <c r="AG10266">
        <v>-1.02255718</v>
      </c>
      <c r="AH10266">
        <v>5.8331869785684098</v>
      </c>
      <c r="AI10266">
        <v>98.165249292910204</v>
      </c>
      <c r="AJ10266">
        <v>54.935013316259699</v>
      </c>
      <c r="AK10266">
        <v>7.19965712804124</v>
      </c>
      <c r="AL10266">
        <v>89.702049757534098</v>
      </c>
      <c r="AM10266">
        <v>80.7381505092835</v>
      </c>
      <c r="AN10266">
        <v>0.99999994218798605</v>
      </c>
    </row>
    <row r="10267" spans="1:40" x14ac:dyDescent="0.25">
      <c r="A10267" t="str">
        <f>"20190312154153873"</f>
        <v>20190312154153873</v>
      </c>
      <c r="B10267" t="str">
        <f>"1552376513866664"</f>
        <v>1552376513866664</v>
      </c>
      <c r="C10267" t="s">
        <v>40</v>
      </c>
      <c r="D10267">
        <v>4.5366059999999999</v>
      </c>
      <c r="E10267">
        <v>0.67933379999999999</v>
      </c>
      <c r="F10267" t="s">
        <v>55</v>
      </c>
      <c r="G10267">
        <v>-177.52369999999999</v>
      </c>
      <c r="H10267">
        <v>7.9987790000000003E-2</v>
      </c>
      <c r="I10267">
        <v>129.25059999999999</v>
      </c>
      <c r="J10267">
        <v>-183.65950000000001</v>
      </c>
      <c r="K10267">
        <v>1.1023889999999901</v>
      </c>
      <c r="L10267">
        <v>125.4742</v>
      </c>
      <c r="M10267">
        <v>0.39521279999999998</v>
      </c>
      <c r="N10267">
        <v>0</v>
      </c>
      <c r="O10267">
        <v>0.91846969999999994</v>
      </c>
      <c r="P10267">
        <v>0.53897439999999996</v>
      </c>
      <c r="Q10267">
        <v>-6.5383730000000001E-3</v>
      </c>
      <c r="R10267">
        <v>0.84229679999999996</v>
      </c>
      <c r="S10267">
        <v>2.806915</v>
      </c>
      <c r="T10267">
        <v>-0.4627945</v>
      </c>
      <c r="U10267">
        <v>1.773514</v>
      </c>
      <c r="V10267">
        <v>0.1622854</v>
      </c>
      <c r="W10267">
        <v>5.1019619999999998E-3</v>
      </c>
      <c r="X10267">
        <v>0.98673069999999896</v>
      </c>
      <c r="Y10267">
        <v>0.5562028</v>
      </c>
      <c r="Z10267">
        <v>-0.14362739999999999</v>
      </c>
      <c r="AA10267">
        <v>0.81854119999999997</v>
      </c>
      <c r="AB10267">
        <v>29</v>
      </c>
      <c r="AC10267">
        <v>6.1358000000000104</v>
      </c>
      <c r="AD10267">
        <v>-1.0224012099999999</v>
      </c>
      <c r="AE10267">
        <v>3.77639999999999</v>
      </c>
      <c r="AF10267">
        <v>4.0617294401215203</v>
      </c>
      <c r="AG10267">
        <v>-1.0224012099999999</v>
      </c>
      <c r="AH10267">
        <v>5.7777572296422903</v>
      </c>
      <c r="AI10267">
        <v>98.237087585821101</v>
      </c>
      <c r="AJ10267">
        <v>54.893006620416699</v>
      </c>
      <c r="AK10267">
        <v>7.1362054961753403</v>
      </c>
      <c r="AL10267">
        <v>89.7076778500589</v>
      </c>
      <c r="AM10267">
        <v>80.660303638290898</v>
      </c>
      <c r="AN10267">
        <v>1.00000002769594</v>
      </c>
    </row>
    <row r="10268" spans="1:40" x14ac:dyDescent="0.25">
      <c r="A10268" t="str">
        <f>"20190312154153885"</f>
        <v>20190312154153885</v>
      </c>
      <c r="B10268" t="str">
        <f>"1552376513876423"</f>
        <v>1552376513876423</v>
      </c>
      <c r="C10268" t="s">
        <v>40</v>
      </c>
      <c r="D10268">
        <v>4.5523400000000001</v>
      </c>
      <c r="E10268">
        <v>0.67874559999999995</v>
      </c>
      <c r="F10268" t="s">
        <v>55</v>
      </c>
      <c r="G10268">
        <v>-177.4956</v>
      </c>
      <c r="H10268">
        <v>7.9987730000000007E-2</v>
      </c>
      <c r="I10268">
        <v>129.32220000000001</v>
      </c>
      <c r="J10268">
        <v>-183.5934</v>
      </c>
      <c r="K10268">
        <v>1.1022430000000001</v>
      </c>
      <c r="L10268">
        <v>125.61369999999999</v>
      </c>
      <c r="M10268">
        <v>0.4002753</v>
      </c>
      <c r="N10268">
        <v>0</v>
      </c>
      <c r="O10268">
        <v>0.91627420000000004</v>
      </c>
      <c r="P10268">
        <v>0.54449360000000002</v>
      </c>
      <c r="Q10268">
        <v>-6.4538069999999998E-3</v>
      </c>
      <c r="R10268">
        <v>0.83874020000000005</v>
      </c>
      <c r="S10268">
        <v>2.8145449999999999</v>
      </c>
      <c r="T10268">
        <v>-0.46685019999999999</v>
      </c>
      <c r="U10268">
        <v>1.75708</v>
      </c>
      <c r="V10268">
        <v>0.16332269999999999</v>
      </c>
      <c r="W10268">
        <v>5.13248E-3</v>
      </c>
      <c r="X10268">
        <v>0.98655930000000003</v>
      </c>
      <c r="Y10268">
        <v>0.55590580000000001</v>
      </c>
      <c r="Z10268">
        <v>-0.1448661</v>
      </c>
      <c r="AA10268">
        <v>0.81852469999999999</v>
      </c>
      <c r="AB10268">
        <v>29</v>
      </c>
      <c r="AC10268">
        <v>6.0978000000000003</v>
      </c>
      <c r="AD10268">
        <v>-1.02225527</v>
      </c>
      <c r="AE10268">
        <v>3.7085000000000101</v>
      </c>
      <c r="AF10268">
        <v>4.0207991496060096</v>
      </c>
      <c r="AG10268">
        <v>-1.02225527</v>
      </c>
      <c r="AH10268">
        <v>5.7220540257392001</v>
      </c>
      <c r="AI10268">
        <v>98.316181609499907</v>
      </c>
      <c r="AJ10268">
        <v>54.9048781997449</v>
      </c>
      <c r="AK10268">
        <v>7.0677955482592596</v>
      </c>
      <c r="AL10268">
        <v>89.705929251633705</v>
      </c>
      <c r="AM10268">
        <v>80.600064046208601</v>
      </c>
      <c r="AN10268">
        <v>0.99999994955136395</v>
      </c>
    </row>
    <row r="10269" spans="1:40" x14ac:dyDescent="0.25">
      <c r="A10269" t="str">
        <f>"20190312154153898"</f>
        <v>20190312154153898</v>
      </c>
      <c r="B10269" t="str">
        <f>"1552376513886184"</f>
        <v>1552376513886184</v>
      </c>
      <c r="C10269" t="s">
        <v>40</v>
      </c>
      <c r="D10269">
        <v>4.5689169999999999</v>
      </c>
      <c r="E10269">
        <v>0.67833149999999998</v>
      </c>
      <c r="F10269" t="s">
        <v>55</v>
      </c>
      <c r="G10269">
        <v>-177.44990000000001</v>
      </c>
      <c r="H10269">
        <v>7.9987699999999995E-2</v>
      </c>
      <c r="I10269">
        <v>129.40440000000001</v>
      </c>
      <c r="J10269">
        <v>-183.52070000000001</v>
      </c>
      <c r="K10269">
        <v>1.102079</v>
      </c>
      <c r="L10269">
        <v>125.7659</v>
      </c>
      <c r="M10269">
        <v>0.40586689999999997</v>
      </c>
      <c r="N10269">
        <v>0</v>
      </c>
      <c r="O10269">
        <v>0.91381069999999998</v>
      </c>
      <c r="P10269">
        <v>0.5503538</v>
      </c>
      <c r="Q10269">
        <v>-7.1048530000000004E-3</v>
      </c>
      <c r="R10269">
        <v>0.83490129999999996</v>
      </c>
      <c r="S10269">
        <v>2.8219910000000001</v>
      </c>
      <c r="T10269">
        <v>-0.46956379999999998</v>
      </c>
      <c r="U10269">
        <v>1.7412110000000001</v>
      </c>
      <c r="V10269">
        <v>0.16419449999999999</v>
      </c>
      <c r="W10269">
        <v>4.4272440000000003E-3</v>
      </c>
      <c r="X10269">
        <v>0.98641809999999996</v>
      </c>
      <c r="Y10269">
        <v>0.55503800000000003</v>
      </c>
      <c r="Z10269">
        <v>-0.1456479</v>
      </c>
      <c r="AA10269">
        <v>0.81897469999999895</v>
      </c>
      <c r="AB10269">
        <v>29</v>
      </c>
      <c r="AC10269">
        <v>6.0707999999999904</v>
      </c>
      <c r="AD10269">
        <v>-1.0220913</v>
      </c>
      <c r="AE10269">
        <v>3.6385000000000001</v>
      </c>
      <c r="AF10269">
        <v>3.9880975667822298</v>
      </c>
      <c r="AG10269">
        <v>-1.0220913</v>
      </c>
      <c r="AH10269">
        <v>5.6712096199919397</v>
      </c>
      <c r="AI10269">
        <v>98.386280487851195</v>
      </c>
      <c r="AJ10269">
        <v>54.884417334804802</v>
      </c>
      <c r="AK10269">
        <v>7.0080105152317698</v>
      </c>
      <c r="AL10269">
        <v>89.746336788245301</v>
      </c>
      <c r="AM10269">
        <v>80.549462478413801</v>
      </c>
      <c r="AN10269">
        <v>1.00000005116364</v>
      </c>
    </row>
    <row r="10270" spans="1:40" x14ac:dyDescent="0.25">
      <c r="A10270" t="str">
        <f>"20190312154153911"</f>
        <v>20190312154153911</v>
      </c>
      <c r="B10270" t="str">
        <f>"1552376513906680"</f>
        <v>1552376513906680</v>
      </c>
      <c r="C10270" t="s">
        <v>40</v>
      </c>
      <c r="D10270">
        <v>4.5579150000000004</v>
      </c>
      <c r="E10270">
        <v>0.677199199999999</v>
      </c>
      <c r="F10270" t="s">
        <v>55</v>
      </c>
      <c r="G10270">
        <v>-176.9359</v>
      </c>
      <c r="H10270" s="1">
        <v>-3.4300589999999999E-6</v>
      </c>
      <c r="I10270">
        <v>129.77289999999999</v>
      </c>
      <c r="J10270">
        <v>-183.4443</v>
      </c>
      <c r="K10270">
        <v>1.101912</v>
      </c>
      <c r="L10270">
        <v>125.92140000000001</v>
      </c>
      <c r="M10270">
        <v>0.41178130000000002</v>
      </c>
      <c r="N10270">
        <v>0</v>
      </c>
      <c r="O10270">
        <v>0.91116030000000003</v>
      </c>
      <c r="P10270">
        <v>0.55657179999999995</v>
      </c>
      <c r="Q10270">
        <v>-7.6969250000000003E-3</v>
      </c>
      <c r="R10270">
        <v>0.8307639</v>
      </c>
      <c r="S10270">
        <v>2.8312680000000001</v>
      </c>
      <c r="T10270">
        <v>-0.47386539999999999</v>
      </c>
      <c r="U10270">
        <v>1.7229000000000001</v>
      </c>
      <c r="V10270">
        <v>0.1651579</v>
      </c>
      <c r="W10270">
        <v>3.7801810000000001E-3</v>
      </c>
      <c r="X10270">
        <v>0.98625989999999997</v>
      </c>
      <c r="Y10270">
        <v>0.55455399999999999</v>
      </c>
      <c r="Z10270">
        <v>-0.14689829999999901</v>
      </c>
      <c r="AA10270">
        <v>0.81907919999999901</v>
      </c>
      <c r="AB10270">
        <v>29</v>
      </c>
      <c r="AC10270">
        <v>6.5083999999999902</v>
      </c>
      <c r="AD10270">
        <v>-1.1019154300589999</v>
      </c>
      <c r="AE10270">
        <v>3.8514999999999802</v>
      </c>
      <c r="AF10270">
        <v>4.2543838112246997</v>
      </c>
      <c r="AG10270">
        <v>-1.1019154300589999</v>
      </c>
      <c r="AH10270">
        <v>6.0613783319828904</v>
      </c>
      <c r="AI10270">
        <v>98.463439948070004</v>
      </c>
      <c r="AJ10270">
        <v>54.935601596703101</v>
      </c>
      <c r="AK10270">
        <v>7.4869424007163703</v>
      </c>
      <c r="AL10270">
        <v>89.783411068372899</v>
      </c>
      <c r="AM10270">
        <v>80.493524184292795</v>
      </c>
      <c r="AN10270">
        <v>1.0000000060244001</v>
      </c>
    </row>
    <row r="10271" spans="1:40" x14ac:dyDescent="0.25">
      <c r="A10271" t="str">
        <f>"20190312154153926"</f>
        <v>20190312154153926</v>
      </c>
      <c r="B10271" t="str">
        <f>"1552376513916441"</f>
        <v>1552376513916441</v>
      </c>
      <c r="C10271" t="s">
        <v>40</v>
      </c>
      <c r="D10271">
        <v>4.5814909999999998</v>
      </c>
      <c r="E10271">
        <v>0.67678240000000001</v>
      </c>
      <c r="F10271" t="s">
        <v>55</v>
      </c>
      <c r="G10271">
        <v>-176.89439999999999</v>
      </c>
      <c r="H10271" s="1">
        <v>-3.4353069999999999E-6</v>
      </c>
      <c r="I10271">
        <v>129.8613</v>
      </c>
      <c r="J10271">
        <v>-183.36150000000001</v>
      </c>
      <c r="K10271">
        <v>1.1017410000000001</v>
      </c>
      <c r="L10271">
        <v>126.0877</v>
      </c>
      <c r="M10271">
        <v>0.418215</v>
      </c>
      <c r="N10271">
        <v>0</v>
      </c>
      <c r="O10271">
        <v>0.9082247</v>
      </c>
      <c r="P10271">
        <v>0.56357679999999999</v>
      </c>
      <c r="Q10271">
        <v>-7.6550109999999998E-3</v>
      </c>
      <c r="R10271">
        <v>0.82602819999999899</v>
      </c>
      <c r="S10271">
        <v>2.8366549999999999</v>
      </c>
      <c r="T10271">
        <v>-0.4772207</v>
      </c>
      <c r="U10271">
        <v>1.7062679999999999</v>
      </c>
      <c r="V10271">
        <v>0.1665249</v>
      </c>
      <c r="W10271">
        <v>3.756817E-3</v>
      </c>
      <c r="X10271">
        <v>0.98603010000000002</v>
      </c>
      <c r="Y10271">
        <v>0.55276169999999902</v>
      </c>
      <c r="Z10271">
        <v>-0.14789150000000001</v>
      </c>
      <c r="AA10271">
        <v>0.82011139999999905</v>
      </c>
      <c r="AB10271">
        <v>29</v>
      </c>
      <c r="AC10271">
        <v>6.4671000000000101</v>
      </c>
      <c r="AD10271">
        <v>-1.1017444353070001</v>
      </c>
      <c r="AE10271">
        <v>3.7736000000000001</v>
      </c>
      <c r="AF10271">
        <v>4.2048452808362597</v>
      </c>
      <c r="AG10271">
        <v>-1.1017444353070001</v>
      </c>
      <c r="AH10271">
        <v>6.0026378563696703</v>
      </c>
      <c r="AI10271">
        <v>98.549217268599193</v>
      </c>
      <c r="AJ10271">
        <v>54.988773793998597</v>
      </c>
      <c r="AK10271">
        <v>7.4112229673126997</v>
      </c>
      <c r="AL10271">
        <v>89.784749736683807</v>
      </c>
      <c r="AM10271">
        <v>80.414101308681595</v>
      </c>
      <c r="AN10271">
        <v>1.0000000070499899</v>
      </c>
    </row>
    <row r="10272" spans="1:40" x14ac:dyDescent="0.25">
      <c r="A10272" t="str">
        <f>"20190312154153938"</f>
        <v>20190312154153938</v>
      </c>
      <c r="B10272" t="str">
        <f>"1552376513926201"</f>
        <v>1552376513926201</v>
      </c>
      <c r="C10272" t="s">
        <v>40</v>
      </c>
      <c r="D10272">
        <v>4.6274600000000001</v>
      </c>
      <c r="E10272">
        <v>0.67629859999999997</v>
      </c>
      <c r="F10272" t="s">
        <v>55</v>
      </c>
      <c r="G10272">
        <v>-176.78389999999999</v>
      </c>
      <c r="H10272" s="1">
        <v>-3.4037519999999999E-6</v>
      </c>
      <c r="I10272">
        <v>129.97669999999999</v>
      </c>
      <c r="J10272">
        <v>-183.28579999999999</v>
      </c>
      <c r="K10272">
        <v>1.1015889999999999</v>
      </c>
      <c r="L10272">
        <v>126.2372</v>
      </c>
      <c r="M10272">
        <v>0.42409039999999998</v>
      </c>
      <c r="N10272">
        <v>0</v>
      </c>
      <c r="O10272">
        <v>0.90549559999999996</v>
      </c>
      <c r="P10272">
        <v>0.56962999999999997</v>
      </c>
      <c r="Q10272">
        <v>-7.1235059999999999E-3</v>
      </c>
      <c r="R10272">
        <v>0.82187030000000005</v>
      </c>
      <c r="S10272">
        <v>2.848328</v>
      </c>
      <c r="T10272">
        <v>-0.4770991</v>
      </c>
      <c r="U10272">
        <v>1.684113</v>
      </c>
      <c r="V10272">
        <v>0.16739089999999901</v>
      </c>
      <c r="W10272">
        <v>4.2374650000000002E-3</v>
      </c>
      <c r="X10272">
        <v>0.98588149999999997</v>
      </c>
      <c r="Y10272">
        <v>0.55359150000000001</v>
      </c>
      <c r="Z10272">
        <v>-0.14781529999999901</v>
      </c>
      <c r="AA10272">
        <v>0.81956519999999999</v>
      </c>
      <c r="AB10272">
        <v>29</v>
      </c>
      <c r="AC10272">
        <v>6.5019</v>
      </c>
      <c r="AD10272">
        <v>-1.101592403752</v>
      </c>
      <c r="AE10272">
        <v>3.7394999999999898</v>
      </c>
      <c r="AF10272">
        <v>4.2112036017358498</v>
      </c>
      <c r="AG10272">
        <v>-1.101592403752</v>
      </c>
      <c r="AH10272">
        <v>6.0144529154890103</v>
      </c>
      <c r="AI10272">
        <v>98.5327698931426</v>
      </c>
      <c r="AJ10272">
        <v>55.001033438925298</v>
      </c>
      <c r="AK10272">
        <v>7.4243777834853804</v>
      </c>
      <c r="AL10272">
        <v>89.757210413257894</v>
      </c>
      <c r="AM10272">
        <v>80.363757692360096</v>
      </c>
      <c r="AN10272">
        <v>1.00000000077734</v>
      </c>
    </row>
    <row r="10273" spans="1:40" x14ac:dyDescent="0.25">
      <c r="A10273" t="str">
        <f>"20190312154153950"</f>
        <v>20190312154153950</v>
      </c>
      <c r="B10273" t="str">
        <f>"1552376513946696"</f>
        <v>1552376513946696</v>
      </c>
      <c r="C10273" t="s">
        <v>40</v>
      </c>
      <c r="D10273">
        <v>4.6216160000000004</v>
      </c>
      <c r="E10273">
        <v>0.67527789999999999</v>
      </c>
      <c r="F10273" t="s">
        <v>55</v>
      </c>
      <c r="G10273">
        <v>-176.72900000000001</v>
      </c>
      <c r="H10273" s="1">
        <v>-3.3976159999999999E-6</v>
      </c>
      <c r="I10273">
        <v>130.0592</v>
      </c>
      <c r="J10273">
        <v>-183.21469999999999</v>
      </c>
      <c r="K10273">
        <v>1.101453</v>
      </c>
      <c r="L10273">
        <v>126.37439999999999</v>
      </c>
      <c r="M10273">
        <v>0.42964249999999998</v>
      </c>
      <c r="N10273">
        <v>0</v>
      </c>
      <c r="O10273">
        <v>0.90287390000000001</v>
      </c>
      <c r="P10273">
        <v>0.57519140000000002</v>
      </c>
      <c r="Q10273">
        <v>-6.1763879999999997E-3</v>
      </c>
      <c r="R10273">
        <v>0.81799549999999999</v>
      </c>
      <c r="S10273">
        <v>2.857361</v>
      </c>
      <c r="T10273">
        <v>-0.48005750000000003</v>
      </c>
      <c r="U10273">
        <v>1.6656040000000001</v>
      </c>
      <c r="V10273">
        <v>0.1680422</v>
      </c>
      <c r="W10273">
        <v>5.144399E-3</v>
      </c>
      <c r="X10273">
        <v>0.98576640000000004</v>
      </c>
      <c r="Y10273">
        <v>0.55346850000000003</v>
      </c>
      <c r="Z10273">
        <v>-0.148651799999999</v>
      </c>
      <c r="AA10273">
        <v>0.81949699999999903</v>
      </c>
      <c r="AB10273">
        <v>28</v>
      </c>
      <c r="AC10273">
        <v>6.48569999999998</v>
      </c>
      <c r="AD10273">
        <v>-1.1014563976159999</v>
      </c>
      <c r="AE10273">
        <v>3.6848000000000001</v>
      </c>
      <c r="AF10273">
        <v>4.1819238717910201</v>
      </c>
      <c r="AG10273">
        <v>-1.1014563976159999</v>
      </c>
      <c r="AH10273">
        <v>5.9836667246088302</v>
      </c>
      <c r="AI10273">
        <v>98.580100182702395</v>
      </c>
      <c r="AJ10273">
        <v>55.050691706962901</v>
      </c>
      <c r="AK10273">
        <v>7.3828152446404696</v>
      </c>
      <c r="AL10273">
        <v>89.705246355128097</v>
      </c>
      <c r="AM10273">
        <v>80.325863063792397</v>
      </c>
      <c r="AN10273">
        <v>1.00000002059543</v>
      </c>
    </row>
    <row r="10274" spans="1:40" x14ac:dyDescent="0.25">
      <c r="A10274" t="str">
        <f>"20190312154153962"</f>
        <v>20190312154153962</v>
      </c>
      <c r="B10274" t="str">
        <f>"1552376513956455"</f>
        <v>1552376513956455</v>
      </c>
      <c r="C10274" t="s">
        <v>40</v>
      </c>
      <c r="D10274">
        <v>4.6075530000000002</v>
      </c>
      <c r="E10274">
        <v>0.67488349999999997</v>
      </c>
      <c r="F10274" t="s">
        <v>55</v>
      </c>
      <c r="G10274">
        <v>-176.66370000000001</v>
      </c>
      <c r="H10274" s="1">
        <v>-3.389212E-6</v>
      </c>
      <c r="I10274">
        <v>130.15450000000001</v>
      </c>
      <c r="J10274">
        <v>-183.14930000000001</v>
      </c>
      <c r="K10274">
        <v>1.1013280000000001</v>
      </c>
      <c r="L10274">
        <v>126.49930000000001</v>
      </c>
      <c r="M10274">
        <v>0.43475079999999999</v>
      </c>
      <c r="N10274">
        <v>0</v>
      </c>
      <c r="O10274">
        <v>0.90042489999999997</v>
      </c>
      <c r="P10274">
        <v>0.58018840000000005</v>
      </c>
      <c r="Q10274">
        <v>-5.576864E-3</v>
      </c>
      <c r="R10274">
        <v>0.81446319999999905</v>
      </c>
      <c r="S10274">
        <v>2.8619379999999999</v>
      </c>
      <c r="T10274">
        <v>-0.48119129999999899</v>
      </c>
      <c r="U10274">
        <v>1.6514279999999999</v>
      </c>
      <c r="V10274">
        <v>0.16850490000000001</v>
      </c>
      <c r="W10274">
        <v>5.7089659999999898E-3</v>
      </c>
      <c r="X10274">
        <v>0.98568429999999996</v>
      </c>
      <c r="Y10274">
        <v>0.55233109999999996</v>
      </c>
      <c r="Z10274">
        <v>-0.14896409999999999</v>
      </c>
      <c r="AA10274">
        <v>0.82020740000000003</v>
      </c>
      <c r="AB10274">
        <v>28</v>
      </c>
      <c r="AC10274">
        <v>6.4855999999999998</v>
      </c>
      <c r="AD10274">
        <v>-1.101331389212</v>
      </c>
      <c r="AE10274">
        <v>3.6551999999999998</v>
      </c>
      <c r="AF10274">
        <v>4.1601330091838502</v>
      </c>
      <c r="AG10274">
        <v>-1.101331389212</v>
      </c>
      <c r="AH10274">
        <v>5.9806603723374998</v>
      </c>
      <c r="AI10274">
        <v>98.596459202313198</v>
      </c>
      <c r="AJ10274">
        <v>55.177617988484002</v>
      </c>
      <c r="AK10274">
        <v>7.3680347428749799</v>
      </c>
      <c r="AL10274">
        <v>89.672898571347105</v>
      </c>
      <c r="AM10274">
        <v>80.2989383873484</v>
      </c>
      <c r="AN10274">
        <v>1.00000001644164</v>
      </c>
    </row>
    <row r="10275" spans="1:40" x14ac:dyDescent="0.25">
      <c r="A10275" t="str">
        <f>"20190312154153973"</f>
        <v>20190312154153973</v>
      </c>
      <c r="B10275" t="str">
        <f>"1552376513966217"</f>
        <v>1552376513966217</v>
      </c>
      <c r="C10275" t="s">
        <v>40</v>
      </c>
      <c r="D10275">
        <v>4.596781</v>
      </c>
      <c r="E10275">
        <v>0.67462390000000005</v>
      </c>
      <c r="F10275" t="s">
        <v>55</v>
      </c>
      <c r="G10275">
        <v>-176.67449999999999</v>
      </c>
      <c r="H10275" s="1">
        <v>-3.4103199999999999E-6</v>
      </c>
      <c r="I10275">
        <v>130.19069999999999</v>
      </c>
      <c r="J10275">
        <v>-183.07689999999999</v>
      </c>
      <c r="K10275">
        <v>1.1011919999999999</v>
      </c>
      <c r="L10275">
        <v>126.63509999999999</v>
      </c>
      <c r="M10275">
        <v>0.44040049999999997</v>
      </c>
      <c r="N10275">
        <v>0</v>
      </c>
      <c r="O10275">
        <v>0.89767459999999899</v>
      </c>
      <c r="P10275">
        <v>0.58571960000000001</v>
      </c>
      <c r="Q10275">
        <v>-5.1840890000000002E-3</v>
      </c>
      <c r="R10275">
        <v>0.81049720000000003</v>
      </c>
      <c r="S10275">
        <v>2.8694920000000002</v>
      </c>
      <c r="T10275">
        <v>-0.48808849999999998</v>
      </c>
      <c r="U10275">
        <v>1.6359709999999901</v>
      </c>
      <c r="V10275">
        <v>0.1690304</v>
      </c>
      <c r="W10275">
        <v>6.0646789999999999E-3</v>
      </c>
      <c r="X10275">
        <v>0.98559220000000003</v>
      </c>
      <c r="Y10275">
        <v>0.55109569999999997</v>
      </c>
      <c r="Z10275">
        <v>-0.15091450000000001</v>
      </c>
      <c r="AA10275">
        <v>0.82068159999999901</v>
      </c>
      <c r="AB10275">
        <v>28</v>
      </c>
      <c r="AC10275">
        <v>6.4024000000000001</v>
      </c>
      <c r="AD10275">
        <v>-1.1011954103199999</v>
      </c>
      <c r="AE10275">
        <v>3.5555999999999899</v>
      </c>
      <c r="AF10275">
        <v>4.0893995279724598</v>
      </c>
      <c r="AG10275">
        <v>-1.1011954103199999</v>
      </c>
      <c r="AH10275">
        <v>5.8791501602570699</v>
      </c>
      <c r="AI10275">
        <v>98.741634457626603</v>
      </c>
      <c r="AJ10275">
        <v>55.178427281791997</v>
      </c>
      <c r="AK10275">
        <v>7.2457039987803702</v>
      </c>
      <c r="AL10275">
        <v>89.652517366238996</v>
      </c>
      <c r="AM10275">
        <v>80.268370234574107</v>
      </c>
      <c r="AN10275">
        <v>1.00000002057818</v>
      </c>
    </row>
    <row r="10276" spans="1:40" x14ac:dyDescent="0.25">
      <c r="A10276" t="str">
        <f>"20190312154153986"</f>
        <v>20190312154153986</v>
      </c>
      <c r="B10276" t="str">
        <f>"1552376513975976"</f>
        <v>1552376513975976</v>
      </c>
      <c r="C10276" t="s">
        <v>40</v>
      </c>
      <c r="D10276">
        <v>4.6340649999999997</v>
      </c>
      <c r="E10276">
        <v>0.67462390000000005</v>
      </c>
      <c r="F10276" t="s">
        <v>55</v>
      </c>
      <c r="G10276">
        <v>-176.66650000000001</v>
      </c>
      <c r="H10276" s="1">
        <v>-3.4225400000000001E-6</v>
      </c>
      <c r="I10276">
        <v>130.2373</v>
      </c>
      <c r="J10276">
        <v>-183.00120000000001</v>
      </c>
      <c r="K10276">
        <v>1.1010519999999999</v>
      </c>
      <c r="L10276">
        <v>126.7744</v>
      </c>
      <c r="M10276">
        <v>0.44631539999999997</v>
      </c>
      <c r="N10276">
        <v>0</v>
      </c>
      <c r="O10276">
        <v>0.89474789999999904</v>
      </c>
      <c r="P10276">
        <v>0.59142830000000002</v>
      </c>
      <c r="Q10276">
        <v>-5.4667759999999996E-3</v>
      </c>
      <c r="R10276">
        <v>0.80633909999999998</v>
      </c>
      <c r="S10276">
        <v>2.8789370000000001</v>
      </c>
      <c r="T10276">
        <v>-0.49455009999999999</v>
      </c>
      <c r="U10276">
        <v>1.617767</v>
      </c>
      <c r="V10276">
        <v>0.16948239999999901</v>
      </c>
      <c r="W10276">
        <v>5.7471120000000004E-3</v>
      </c>
      <c r="X10276">
        <v>0.98551639999999996</v>
      </c>
      <c r="Y10276">
        <v>0.55044009999999999</v>
      </c>
      <c r="Z10276">
        <v>-0.15271970000000001</v>
      </c>
      <c r="AA10276">
        <v>0.82078759999999995</v>
      </c>
      <c r="AB10276">
        <v>28</v>
      </c>
      <c r="AC10276">
        <v>6.33469999999999</v>
      </c>
      <c r="AD10276">
        <v>-1.10105542254</v>
      </c>
      <c r="AE10276">
        <v>3.4628999999999999</v>
      </c>
      <c r="AF10276">
        <v>4.0291663795307899</v>
      </c>
      <c r="AG10276">
        <v>-1.10105542254</v>
      </c>
      <c r="AH10276">
        <v>5.7916595059055798</v>
      </c>
      <c r="AI10276">
        <v>98.870052794182698</v>
      </c>
      <c r="AJ10276">
        <v>55.174271846012402</v>
      </c>
      <c r="AK10276">
        <v>7.1407159717911002</v>
      </c>
      <c r="AL10276">
        <v>89.670712906846404</v>
      </c>
      <c r="AM10276">
        <v>80.242110650146302</v>
      </c>
      <c r="AN10276">
        <v>0.999999943937528</v>
      </c>
    </row>
    <row r="10277" spans="1:40" x14ac:dyDescent="0.25">
      <c r="A10277" t="str">
        <f>"20190312154154001"</f>
        <v>20190312154154001</v>
      </c>
      <c r="B10277" t="str">
        <f>"1552376513996472"</f>
        <v>1552376513996472</v>
      </c>
      <c r="C10277" t="s">
        <v>40</v>
      </c>
      <c r="D10277">
        <v>4.7580600000000004</v>
      </c>
      <c r="E10277">
        <v>0.67172759999999998</v>
      </c>
      <c r="F10277" t="s">
        <v>55</v>
      </c>
      <c r="G10277">
        <v>-176.58449999999999</v>
      </c>
      <c r="H10277" s="1">
        <v>-3.3983079999999999E-6</v>
      </c>
      <c r="I10277">
        <v>130.32079999999999</v>
      </c>
      <c r="J10277">
        <v>-182.90629999999999</v>
      </c>
      <c r="K10277">
        <v>1.1008819999999999</v>
      </c>
      <c r="L10277">
        <v>126.9466</v>
      </c>
      <c r="M10277">
        <v>0.45372590000000002</v>
      </c>
      <c r="N10277">
        <v>0</v>
      </c>
      <c r="O10277">
        <v>0.89101229999999998</v>
      </c>
      <c r="P10277">
        <v>0.59842499999999998</v>
      </c>
      <c r="Q10277">
        <v>-6.0445550000000001E-3</v>
      </c>
      <c r="R10277">
        <v>0.80115599999999998</v>
      </c>
      <c r="S10277">
        <v>2.8901210000000002</v>
      </c>
      <c r="T10277">
        <v>-0.4959229</v>
      </c>
      <c r="U10277">
        <v>1.597321</v>
      </c>
      <c r="V10277">
        <v>0.1698741</v>
      </c>
      <c r="W10277">
        <v>5.1305700000000001E-3</v>
      </c>
      <c r="X10277">
        <v>0.98545240000000001</v>
      </c>
      <c r="Y10277">
        <v>0.54930369999999995</v>
      </c>
      <c r="Z10277">
        <v>-0.15287779999999901</v>
      </c>
      <c r="AA10277">
        <v>0.82151929999999995</v>
      </c>
      <c r="AB10277">
        <v>28</v>
      </c>
      <c r="AC10277">
        <v>6.3217999999999899</v>
      </c>
      <c r="AD10277">
        <v>-1.10088539830799</v>
      </c>
      <c r="AE10277">
        <v>3.3741999999999801</v>
      </c>
      <c r="AF10277">
        <v>4.0077227171929204</v>
      </c>
      <c r="AG10277">
        <v>-1.10088539830799</v>
      </c>
      <c r="AH10277">
        <v>5.74002011110775</v>
      </c>
      <c r="AI10277">
        <v>98.936794652152699</v>
      </c>
      <c r="AJ10277">
        <v>55.0769817728875</v>
      </c>
      <c r="AK10277">
        <v>7.0867214502923304</v>
      </c>
      <c r="AL10277">
        <v>89.706038697743594</v>
      </c>
      <c r="AM10277">
        <v>80.219370788050199</v>
      </c>
      <c r="AN10277">
        <v>0.99999998263254697</v>
      </c>
    </row>
    <row r="10278" spans="1:40" x14ac:dyDescent="0.25">
      <c r="A10278" t="str">
        <f>"20190312154154014"</f>
        <v>20190312154154014</v>
      </c>
      <c r="B10278" t="str">
        <f>"1552376514006406"</f>
        <v>1552376514006406</v>
      </c>
      <c r="C10278" t="s">
        <v>40</v>
      </c>
      <c r="D10278">
        <v>4.7791800000000002</v>
      </c>
      <c r="E10278">
        <v>0.67032179999999997</v>
      </c>
      <c r="F10278" t="s">
        <v>55</v>
      </c>
      <c r="G10278">
        <v>-176.50530000000001</v>
      </c>
      <c r="H10278" s="1">
        <v>-3.3986669999999999E-6</v>
      </c>
      <c r="I10278">
        <v>130.46420000000001</v>
      </c>
      <c r="J10278">
        <v>-182.81829999999999</v>
      </c>
      <c r="K10278">
        <v>1.100724</v>
      </c>
      <c r="L10278">
        <v>127.1028</v>
      </c>
      <c r="M10278">
        <v>0.46058749999999998</v>
      </c>
      <c r="N10278">
        <v>0</v>
      </c>
      <c r="O10278">
        <v>0.8874841</v>
      </c>
      <c r="P10278">
        <v>0.60532799999999998</v>
      </c>
      <c r="Q10278">
        <v>-6.2807150000000001E-3</v>
      </c>
      <c r="R10278">
        <v>0.79595139999999998</v>
      </c>
      <c r="S10278">
        <v>2.8853610000000001</v>
      </c>
      <c r="T10278">
        <v>-0.49624410000000002</v>
      </c>
      <c r="U10278">
        <v>1.5856319999999999</v>
      </c>
      <c r="V10278">
        <v>0.170786299999999</v>
      </c>
      <c r="W10278">
        <v>4.8454250000000004E-3</v>
      </c>
      <c r="X10278">
        <v>0.98529619999999996</v>
      </c>
      <c r="Y10278">
        <v>0.54482200000000003</v>
      </c>
      <c r="Z10278">
        <v>-0.15300739999999999</v>
      </c>
      <c r="AA10278">
        <v>0.82447429999999999</v>
      </c>
      <c r="AB10278">
        <v>28</v>
      </c>
      <c r="AC10278">
        <v>6.3129999999999802</v>
      </c>
      <c r="AD10278">
        <v>-1.1007273986669901</v>
      </c>
      <c r="AE10278">
        <v>3.3614000000000002</v>
      </c>
      <c r="AF10278">
        <v>3.9611146395123402</v>
      </c>
      <c r="AG10278">
        <v>-1.1007273986669901</v>
      </c>
      <c r="AH10278">
        <v>5.7552411614667101</v>
      </c>
      <c r="AI10278">
        <v>98.953203917033505</v>
      </c>
      <c r="AJ10278">
        <v>55.461835143722197</v>
      </c>
      <c r="AK10278">
        <v>7.07282339806219</v>
      </c>
      <c r="AL10278">
        <v>89.722376516770893</v>
      </c>
      <c r="AM10278">
        <v>80.166344278164004</v>
      </c>
      <c r="AN10278">
        <v>1.0000000200727801</v>
      </c>
    </row>
    <row r="10279" spans="1:40" x14ac:dyDescent="0.25">
      <c r="A10279" t="str">
        <f>"20190312154154026"</f>
        <v>20190312154154026</v>
      </c>
      <c r="B10279" t="str">
        <f>"1552376514016167"</f>
        <v>1552376514016167</v>
      </c>
      <c r="C10279" t="s">
        <v>40</v>
      </c>
      <c r="D10279">
        <v>4.7228919999999999</v>
      </c>
      <c r="E10279">
        <v>0.66901119999999903</v>
      </c>
      <c r="F10279" t="s">
        <v>55</v>
      </c>
      <c r="G10279">
        <v>-176.3578</v>
      </c>
      <c r="H10279" s="1">
        <v>-3.3519390000000001E-6</v>
      </c>
      <c r="I10279">
        <v>130.6061</v>
      </c>
      <c r="J10279">
        <v>-182.74279999999999</v>
      </c>
      <c r="K10279">
        <v>1.1006</v>
      </c>
      <c r="L10279">
        <v>127.2337</v>
      </c>
      <c r="M10279">
        <v>0.46645959999999997</v>
      </c>
      <c r="N10279">
        <v>0</v>
      </c>
      <c r="O10279">
        <v>0.88441130000000001</v>
      </c>
      <c r="P10279">
        <v>0.61161469999999996</v>
      </c>
      <c r="Q10279">
        <v>-5.0863749999999998E-3</v>
      </c>
      <c r="R10279">
        <v>0.79113940000000005</v>
      </c>
      <c r="S10279">
        <v>2.8901059999999998</v>
      </c>
      <c r="T10279">
        <v>-0.4924171</v>
      </c>
      <c r="U10279">
        <v>1.567245</v>
      </c>
      <c r="V10279">
        <v>0.17208619999999999</v>
      </c>
      <c r="W10279">
        <v>5.9879109999999899E-3</v>
      </c>
      <c r="X10279">
        <v>0.98506369999999999</v>
      </c>
      <c r="Y10279">
        <v>0.544068</v>
      </c>
      <c r="Z10279">
        <v>-0.15183350000000001</v>
      </c>
      <c r="AA10279">
        <v>0.82518879999999994</v>
      </c>
      <c r="AB10279">
        <v>28</v>
      </c>
      <c r="AC10279">
        <v>6.38499999999999</v>
      </c>
      <c r="AD10279">
        <v>-1.1006033519389999</v>
      </c>
      <c r="AE10279">
        <v>3.3723999999999901</v>
      </c>
      <c r="AF10279">
        <v>3.9818458547935802</v>
      </c>
      <c r="AG10279">
        <v>-1.1006033519389999</v>
      </c>
      <c r="AH10279">
        <v>5.8262712828048997</v>
      </c>
      <c r="AI10279">
        <v>98.864450843341004</v>
      </c>
      <c r="AJ10279">
        <v>55.650145458582102</v>
      </c>
      <c r="AK10279">
        <v>7.1422588311033204</v>
      </c>
      <c r="AL10279">
        <v>89.6569159227966</v>
      </c>
      <c r="AM10279">
        <v>80.090683260555906</v>
      </c>
      <c r="AN10279">
        <v>1.0000000041831301</v>
      </c>
    </row>
    <row r="10280" spans="1:40" x14ac:dyDescent="0.25">
      <c r="A10280" t="str">
        <f>"20190312154154037"</f>
        <v>20190312154154037</v>
      </c>
      <c r="B10280" t="str">
        <f>"1552376514025928"</f>
        <v>1552376514025928</v>
      </c>
      <c r="C10280" t="s">
        <v>40</v>
      </c>
      <c r="D10280">
        <v>4.693943</v>
      </c>
      <c r="E10280">
        <v>0.66771990000000003</v>
      </c>
      <c r="F10280" t="s">
        <v>55</v>
      </c>
      <c r="G10280">
        <v>-176.2319</v>
      </c>
      <c r="H10280" s="1">
        <v>-3.310748E-6</v>
      </c>
      <c r="I10280">
        <v>130.72399999999999</v>
      </c>
      <c r="J10280">
        <v>-182.67230000000001</v>
      </c>
      <c r="K10280">
        <v>1.1004849999999999</v>
      </c>
      <c r="L10280">
        <v>127.3553</v>
      </c>
      <c r="M10280">
        <v>0.47192709999999999</v>
      </c>
      <c r="N10280">
        <v>0</v>
      </c>
      <c r="O10280">
        <v>0.88150539999999999</v>
      </c>
      <c r="P10280">
        <v>0.61777209999999905</v>
      </c>
      <c r="Q10280">
        <v>-3.7295060000000001E-3</v>
      </c>
      <c r="R10280">
        <v>0.78634839999999995</v>
      </c>
      <c r="S10280">
        <v>2.8941349999999999</v>
      </c>
      <c r="T10280">
        <v>-0.4892224</v>
      </c>
      <c r="U10280">
        <v>1.551453</v>
      </c>
      <c r="V10280">
        <v>0.17370569999999999</v>
      </c>
      <c r="W10280">
        <v>7.2848790000000002E-3</v>
      </c>
      <c r="X10280">
        <v>0.9847707</v>
      </c>
      <c r="Y10280">
        <v>0.54300819999999905</v>
      </c>
      <c r="Z10280">
        <v>-0.15081129999999901</v>
      </c>
      <c r="AA10280">
        <v>0.82607389999999903</v>
      </c>
      <c r="AB10280">
        <v>28</v>
      </c>
      <c r="AC10280">
        <v>6.4404000000000101</v>
      </c>
      <c r="AD10280">
        <v>-1.1004883107479999</v>
      </c>
      <c r="AE10280">
        <v>3.3686999999999898</v>
      </c>
      <c r="AF10280">
        <v>3.9963257831869798</v>
      </c>
      <c r="AG10280">
        <v>-1.1004883107479999</v>
      </c>
      <c r="AH10280">
        <v>5.8749417794826702</v>
      </c>
      <c r="AI10280">
        <v>98.804148424162406</v>
      </c>
      <c r="AJ10280">
        <v>55.775193342247498</v>
      </c>
      <c r="AK10280">
        <v>7.1900372182464496</v>
      </c>
      <c r="AL10280">
        <v>89.582603502016894</v>
      </c>
      <c r="AM10280">
        <v>79.996385535892699</v>
      </c>
      <c r="AN10280">
        <v>1.00000003562651</v>
      </c>
    </row>
    <row r="10281" spans="1:40" x14ac:dyDescent="0.25">
      <c r="A10281" t="str">
        <f>"20190312154154048"</f>
        <v>20190312154154048</v>
      </c>
      <c r="B10281" t="str">
        <f>"1552376514036662"</f>
        <v>1552376514036662</v>
      </c>
      <c r="C10281" t="s">
        <v>40</v>
      </c>
      <c r="D10281">
        <v>4.7091310000000002</v>
      </c>
      <c r="E10281">
        <v>0.66656759999999904</v>
      </c>
      <c r="F10281" t="s">
        <v>55</v>
      </c>
      <c r="G10281">
        <v>-176.1756</v>
      </c>
      <c r="H10281" s="1">
        <v>-3.301038E-6</v>
      </c>
      <c r="I10281">
        <v>130.79949999999999</v>
      </c>
      <c r="J10281">
        <v>-182.59880000000001</v>
      </c>
      <c r="K10281">
        <v>1.100374</v>
      </c>
      <c r="L10281">
        <v>127.4786</v>
      </c>
      <c r="M10281">
        <v>0.47762149999999998</v>
      </c>
      <c r="N10281">
        <v>0</v>
      </c>
      <c r="O10281">
        <v>0.87843249999999995</v>
      </c>
      <c r="P10281">
        <v>0.62409650000000005</v>
      </c>
      <c r="Q10281">
        <v>-2.578917E-3</v>
      </c>
      <c r="R10281">
        <v>0.78134300000000001</v>
      </c>
      <c r="S10281">
        <v>2.897751</v>
      </c>
      <c r="T10281">
        <v>-0.49086049999999998</v>
      </c>
      <c r="U10281">
        <v>1.5362549999999999</v>
      </c>
      <c r="V10281">
        <v>0.1753053</v>
      </c>
      <c r="W10281">
        <v>8.3772789999999996E-3</v>
      </c>
      <c r="X10281">
        <v>0.98447850000000003</v>
      </c>
      <c r="Y10281">
        <v>0.54133180000000003</v>
      </c>
      <c r="Z10281">
        <v>-0.1512097</v>
      </c>
      <c r="AA10281">
        <v>0.82710059999999996</v>
      </c>
      <c r="AB10281">
        <v>28</v>
      </c>
      <c r="AC10281">
        <v>6.4231999999999996</v>
      </c>
      <c r="AD10281">
        <v>-1.100377301038</v>
      </c>
      <c r="AE10281">
        <v>3.3208999999999902</v>
      </c>
      <c r="AF10281">
        <v>3.9648711240191701</v>
      </c>
      <c r="AG10281">
        <v>-1.100377301038</v>
      </c>
      <c r="AH10281">
        <v>5.8502656474924697</v>
      </c>
      <c r="AI10281">
        <v>98.849964602476902</v>
      </c>
      <c r="AJ10281">
        <v>55.8735261339015</v>
      </c>
      <c r="AK10281">
        <v>7.1523871106751002</v>
      </c>
      <c r="AL10281">
        <v>89.520011665770497</v>
      </c>
      <c r="AM10281">
        <v>79.903217049479096</v>
      </c>
      <c r="AN10281">
        <v>1.0000000219868901</v>
      </c>
    </row>
    <row r="10282" spans="1:40" x14ac:dyDescent="0.25">
      <c r="A10282" t="str">
        <f>"20190312154154061"</f>
        <v>20190312154154061</v>
      </c>
      <c r="B10282" t="str">
        <f>"1552376514056183"</f>
        <v>1552376514056183</v>
      </c>
      <c r="C10282" t="s">
        <v>40</v>
      </c>
      <c r="D10282">
        <v>4.727887</v>
      </c>
      <c r="E10282">
        <v>0.6642941</v>
      </c>
      <c r="F10282" t="s">
        <v>55</v>
      </c>
      <c r="G10282">
        <v>-176.10339999999999</v>
      </c>
      <c r="H10282" s="1">
        <v>-3.2814929999999999E-6</v>
      </c>
      <c r="I10282">
        <v>130.87790000000001</v>
      </c>
      <c r="J10282">
        <v>-182.5164</v>
      </c>
      <c r="K10282">
        <v>1.1002449999999999</v>
      </c>
      <c r="L10282">
        <v>127.61539999999999</v>
      </c>
      <c r="M10282">
        <v>0.48397210000000002</v>
      </c>
      <c r="N10282">
        <v>0</v>
      </c>
      <c r="O10282">
        <v>0.87494919999999998</v>
      </c>
      <c r="P10282">
        <v>0.63102419999999904</v>
      </c>
      <c r="Q10282">
        <v>-2.2428819999999999E-3</v>
      </c>
      <c r="R10282">
        <v>0.77575989999999995</v>
      </c>
      <c r="S10282">
        <v>2.9028930000000002</v>
      </c>
      <c r="T10282">
        <v>-0.49177579999999999</v>
      </c>
      <c r="U10282">
        <v>1.519226</v>
      </c>
      <c r="V10282">
        <v>0.17694379999999901</v>
      </c>
      <c r="W10282">
        <v>8.6509740000000005E-3</v>
      </c>
      <c r="X10282">
        <v>0.98418300000000003</v>
      </c>
      <c r="Y10282">
        <v>0.53964299999999998</v>
      </c>
      <c r="Z10282">
        <v>-0.15132860000000001</v>
      </c>
      <c r="AA10282">
        <v>0.82818179999999997</v>
      </c>
      <c r="AB10282">
        <v>28</v>
      </c>
      <c r="AC10282">
        <v>6.41300000000001</v>
      </c>
      <c r="AD10282">
        <v>-1.1002482814929999</v>
      </c>
      <c r="AE10282">
        <v>3.2625000000000099</v>
      </c>
      <c r="AF10282">
        <v>3.9404251509293702</v>
      </c>
      <c r="AG10282">
        <v>-1.1002482814929999</v>
      </c>
      <c r="AH10282">
        <v>5.8227809921824498</v>
      </c>
      <c r="AI10282">
        <v>98.894106280247101</v>
      </c>
      <c r="AJ10282">
        <v>55.9127806280977</v>
      </c>
      <c r="AK10282">
        <v>7.1163386045020598</v>
      </c>
      <c r="AL10282">
        <v>89.504329549411295</v>
      </c>
      <c r="AM10282">
        <v>79.807820029579702</v>
      </c>
      <c r="AN10282">
        <v>1.00000006259929</v>
      </c>
    </row>
    <row r="10283" spans="1:40" x14ac:dyDescent="0.25">
      <c r="A10283" t="str">
        <f>"20190312154154072"</f>
        <v>20190312154154072</v>
      </c>
      <c r="B10283" t="str">
        <f>"1552376514065943"</f>
        <v>1552376514065943</v>
      </c>
      <c r="C10283" t="s">
        <v>40</v>
      </c>
      <c r="D10283">
        <v>4.7420179999999998</v>
      </c>
      <c r="E10283">
        <v>0.66311999999999904</v>
      </c>
      <c r="F10283" t="s">
        <v>55</v>
      </c>
      <c r="G10283">
        <v>-176.1019</v>
      </c>
      <c r="H10283" s="1">
        <v>-3.3047759999999999E-6</v>
      </c>
      <c r="I10283">
        <v>130.9419</v>
      </c>
      <c r="J10283">
        <v>-182.43680000000001</v>
      </c>
      <c r="K10283">
        <v>1.100128</v>
      </c>
      <c r="L10283">
        <v>127.7453</v>
      </c>
      <c r="M10283">
        <v>0.49009799999999998</v>
      </c>
      <c r="N10283">
        <v>0</v>
      </c>
      <c r="O10283">
        <v>0.87153199999999997</v>
      </c>
      <c r="P10283">
        <v>0.63751899999999995</v>
      </c>
      <c r="Q10283">
        <v>-2.9759700000000001E-3</v>
      </c>
      <c r="R10283">
        <v>0.77042900000000003</v>
      </c>
      <c r="S10283">
        <v>2.9021759999999999</v>
      </c>
      <c r="T10283">
        <v>-0.49779230000000002</v>
      </c>
      <c r="U10283">
        <v>1.5050349999999999</v>
      </c>
      <c r="V10283">
        <v>0.1782936</v>
      </c>
      <c r="W10283">
        <v>7.8646959999999991E-3</v>
      </c>
      <c r="X10283">
        <v>0.98394590000000004</v>
      </c>
      <c r="Y10283">
        <v>0.53657940000000004</v>
      </c>
      <c r="Z10283">
        <v>-0.15309420000000001</v>
      </c>
      <c r="AA10283">
        <v>0.82984619999999998</v>
      </c>
      <c r="AB10283">
        <v>28</v>
      </c>
      <c r="AC10283">
        <v>6.3349000000000002</v>
      </c>
      <c r="AD10283">
        <v>-1.100131304776</v>
      </c>
      <c r="AE10283">
        <v>3.1966000000000001</v>
      </c>
      <c r="AF10283">
        <v>3.8620517674348802</v>
      </c>
      <c r="AG10283">
        <v>-1.100131304776</v>
      </c>
      <c r="AH10283">
        <v>5.7530644615356001</v>
      </c>
      <c r="AI10283">
        <v>99.021462768768004</v>
      </c>
      <c r="AJ10283">
        <v>56.1264035301555</v>
      </c>
      <c r="AK10283">
        <v>7.0159449428198197</v>
      </c>
      <c r="AL10283">
        <v>89.549381465537493</v>
      </c>
      <c r="AM10283">
        <v>79.729296301074498</v>
      </c>
      <c r="AN10283">
        <v>0.99999999768547099</v>
      </c>
    </row>
    <row r="10284" spans="1:40" x14ac:dyDescent="0.25">
      <c r="A10284" t="str">
        <f>"20190312154154084"</f>
        <v>20190312154154084</v>
      </c>
      <c r="B10284" t="str">
        <f>"1552376514076679"</f>
        <v>1552376514076679</v>
      </c>
      <c r="C10284" t="s">
        <v>40</v>
      </c>
      <c r="D10284">
        <v>4.7163170000000001</v>
      </c>
      <c r="E10284">
        <v>0.66203259999999997</v>
      </c>
      <c r="F10284" t="s">
        <v>55</v>
      </c>
      <c r="G10284">
        <v>-176.0412</v>
      </c>
      <c r="H10284" s="1">
        <v>-3.2905789999999999E-6</v>
      </c>
      <c r="I10284">
        <v>131.0137</v>
      </c>
      <c r="J10284">
        <v>-182.36060000000001</v>
      </c>
      <c r="K10284">
        <v>1.10002</v>
      </c>
      <c r="L10284">
        <v>127.8672</v>
      </c>
      <c r="M10284">
        <v>0.49592540000000002</v>
      </c>
      <c r="N10284">
        <v>0</v>
      </c>
      <c r="O10284">
        <v>0.86822869999999996</v>
      </c>
      <c r="P10284">
        <v>0.64329789999999998</v>
      </c>
      <c r="Q10284">
        <v>-4.6364680000000004E-3</v>
      </c>
      <c r="R10284">
        <v>0.76560189999999995</v>
      </c>
      <c r="S10284">
        <v>2.907715</v>
      </c>
      <c r="T10284">
        <v>-0.50016830000000001</v>
      </c>
      <c r="U10284">
        <v>1.4859309999999999</v>
      </c>
      <c r="V10284">
        <v>0.1790717</v>
      </c>
      <c r="W10284">
        <v>6.1676750000000001E-3</v>
      </c>
      <c r="X10284">
        <v>0.98381669999999999</v>
      </c>
      <c r="Y10284">
        <v>0.53580260000000002</v>
      </c>
      <c r="Z10284">
        <v>-0.1537145</v>
      </c>
      <c r="AA10284">
        <v>0.83023329999999995</v>
      </c>
      <c r="AB10284">
        <v>28</v>
      </c>
      <c r="AC10284">
        <v>6.3193999999999999</v>
      </c>
      <c r="AD10284">
        <v>-1.1000232905789999</v>
      </c>
      <c r="AE10284">
        <v>3.1465000000000001</v>
      </c>
      <c r="AF10284">
        <v>3.8336357914524801</v>
      </c>
      <c r="AG10284">
        <v>-1.1000232905789999</v>
      </c>
      <c r="AH10284">
        <v>5.7274590440110504</v>
      </c>
      <c r="AI10284">
        <v>99.068333211451005</v>
      </c>
      <c r="AJ10284">
        <v>56.2038952003468</v>
      </c>
      <c r="AK10284">
        <v>6.9792980823393496</v>
      </c>
      <c r="AL10284">
        <v>89.646616014924703</v>
      </c>
      <c r="AM10284">
        <v>79.684108076119699</v>
      </c>
      <c r="AN10284">
        <v>1.00000000657734</v>
      </c>
    </row>
    <row r="10285" spans="1:40" x14ac:dyDescent="0.25">
      <c r="A10285" t="str">
        <f>"20190312154154105"</f>
        <v>20190312154154105</v>
      </c>
      <c r="B10285" t="str">
        <f>"1552376514096198"</f>
        <v>1552376514096198</v>
      </c>
      <c r="C10285" t="s">
        <v>40</v>
      </c>
      <c r="D10285">
        <v>4.7228269999999997</v>
      </c>
      <c r="E10285">
        <v>0.65995280000000001</v>
      </c>
      <c r="F10285" t="s">
        <v>55</v>
      </c>
      <c r="G10285">
        <v>-176.02099999999999</v>
      </c>
      <c r="H10285" s="1">
        <v>-3.2959410000000001E-6</v>
      </c>
      <c r="I10285">
        <v>131.0641</v>
      </c>
      <c r="J10285">
        <v>-182.2182</v>
      </c>
      <c r="K10285">
        <v>1.0998250000000001</v>
      </c>
      <c r="L10285">
        <v>128.09049999999999</v>
      </c>
      <c r="M10285">
        <v>0.50676049999999995</v>
      </c>
      <c r="N10285">
        <v>0</v>
      </c>
      <c r="O10285">
        <v>0.86194839999999995</v>
      </c>
      <c r="P10285">
        <v>0.6534181</v>
      </c>
      <c r="Q10285">
        <v>-7.8675719999999998E-3</v>
      </c>
      <c r="R10285">
        <v>0.75695630000000003</v>
      </c>
      <c r="S10285">
        <v>2.91214</v>
      </c>
      <c r="T10285">
        <v>-0.50529749999999996</v>
      </c>
      <c r="U10285">
        <v>1.468491</v>
      </c>
      <c r="V10285">
        <v>0.17976489999999901</v>
      </c>
      <c r="W10285">
        <v>2.8913620000000002E-3</v>
      </c>
      <c r="X10285">
        <v>0.9837053</v>
      </c>
      <c r="Y10285">
        <v>0.52954599999999996</v>
      </c>
      <c r="Z10285">
        <v>-0.1546651</v>
      </c>
      <c r="AA10285">
        <v>0.83406219999999998</v>
      </c>
      <c r="AB10285">
        <v>28</v>
      </c>
      <c r="AC10285">
        <v>6.1971999999999996</v>
      </c>
      <c r="AD10285">
        <v>-1.099828295941</v>
      </c>
      <c r="AE10285">
        <v>2.9735999999999998</v>
      </c>
      <c r="AF10285">
        <v>3.7394840134765199</v>
      </c>
      <c r="AG10285">
        <v>-1.099828295941</v>
      </c>
      <c r="AH10285">
        <v>5.5618730724368</v>
      </c>
      <c r="AI10285">
        <v>99.3192893742184</v>
      </c>
      <c r="AJ10285">
        <v>56.085379897428602</v>
      </c>
      <c r="AK10285">
        <v>6.7917446242844299</v>
      </c>
      <c r="AL10285">
        <v>89.834336920958194</v>
      </c>
      <c r="AM10285">
        <v>79.643889492853603</v>
      </c>
      <c r="AN10285">
        <v>0.99999994824715599</v>
      </c>
    </row>
    <row r="10286" spans="1:40" x14ac:dyDescent="0.25">
      <c r="A10286" t="str">
        <f>"20190312154154119"</f>
        <v>20190312154154119</v>
      </c>
      <c r="B10286" t="str">
        <f>"1552376514106466"</f>
        <v>1552376514106466</v>
      </c>
      <c r="C10286" t="s">
        <v>40</v>
      </c>
      <c r="D10286">
        <v>4.7302350000000004</v>
      </c>
      <c r="E10286">
        <v>0.65896269999999901</v>
      </c>
      <c r="F10286" t="s">
        <v>55</v>
      </c>
      <c r="G10286">
        <v>-176.0112</v>
      </c>
      <c r="H10286" s="1">
        <v>-3.3217069999999999E-6</v>
      </c>
      <c r="I10286">
        <v>131.14949999999999</v>
      </c>
      <c r="J10286">
        <v>-182.1217</v>
      </c>
      <c r="K10286">
        <v>1.0996980000000001</v>
      </c>
      <c r="L10286">
        <v>128.23869999999999</v>
      </c>
      <c r="M10286">
        <v>0.51405199999999995</v>
      </c>
      <c r="N10286">
        <v>0</v>
      </c>
      <c r="O10286">
        <v>0.85761919999999903</v>
      </c>
      <c r="P10286">
        <v>0.6600705</v>
      </c>
      <c r="Q10286">
        <v>-8.6587920000000002E-3</v>
      </c>
      <c r="R10286">
        <v>0.75115369999999904</v>
      </c>
      <c r="S10286">
        <v>2.9186860000000001</v>
      </c>
      <c r="T10286">
        <v>-0.51716660000000003</v>
      </c>
      <c r="U10286">
        <v>1.438431</v>
      </c>
      <c r="V10286">
        <v>0.18008679999999999</v>
      </c>
      <c r="W10286">
        <v>2.0740649999999999E-3</v>
      </c>
      <c r="X10286">
        <v>0.98364850000000004</v>
      </c>
      <c r="Y10286">
        <v>0.5294335</v>
      </c>
      <c r="Z10286">
        <v>-0.15824460000000001</v>
      </c>
      <c r="AA10286">
        <v>0.83346200000000004</v>
      </c>
      <c r="AB10286">
        <v>28</v>
      </c>
      <c r="AC10286">
        <v>6.1105</v>
      </c>
      <c r="AD10286">
        <v>-1.099701321707</v>
      </c>
      <c r="AE10286">
        <v>2.9107999999999898</v>
      </c>
      <c r="AF10286">
        <v>3.6483183535470598</v>
      </c>
      <c r="AG10286">
        <v>-1.099701321707</v>
      </c>
      <c r="AH10286">
        <v>5.4931380395047098</v>
      </c>
      <c r="AI10286">
        <v>99.467828315107496</v>
      </c>
      <c r="AJ10286">
        <v>56.4095082021948</v>
      </c>
      <c r="AK10286">
        <v>6.6853672544480398</v>
      </c>
      <c r="AL10286">
        <v>89.881164739635594</v>
      </c>
      <c r="AM10286">
        <v>79.625161365439396</v>
      </c>
      <c r="AN10286">
        <v>0.99999996441605599</v>
      </c>
    </row>
    <row r="10287" spans="1:40" x14ac:dyDescent="0.25">
      <c r="A10287" t="str">
        <f>"20190312154154131"</f>
        <v>20190312154154131</v>
      </c>
      <c r="B10287" t="str">
        <f>"1552376514125987"</f>
        <v>1552376514125987</v>
      </c>
      <c r="C10287" t="s">
        <v>40</v>
      </c>
      <c r="D10287">
        <v>4.7890699999999997</v>
      </c>
      <c r="E10287">
        <v>0.65699849999999904</v>
      </c>
      <c r="F10287" t="s">
        <v>55</v>
      </c>
      <c r="G10287">
        <v>-175.94919999999999</v>
      </c>
      <c r="H10287" s="1">
        <v>-3.3098500000000002E-6</v>
      </c>
      <c r="I10287">
        <v>131.22970000000001</v>
      </c>
      <c r="J10287">
        <v>-182.0273</v>
      </c>
      <c r="K10287">
        <v>1.099585</v>
      </c>
      <c r="L10287">
        <v>128.3801</v>
      </c>
      <c r="M10287">
        <v>0.52114229999999995</v>
      </c>
      <c r="N10287">
        <v>0</v>
      </c>
      <c r="O10287">
        <v>0.85332859999999999</v>
      </c>
      <c r="P10287">
        <v>0.66660459999999999</v>
      </c>
      <c r="Q10287">
        <v>-8.6637339999999993E-3</v>
      </c>
      <c r="R10287">
        <v>0.74536119999999995</v>
      </c>
      <c r="S10287">
        <v>2.9251100000000001</v>
      </c>
      <c r="T10287">
        <v>-0.52114320000000003</v>
      </c>
      <c r="U10287">
        <v>1.417419</v>
      </c>
      <c r="V10287">
        <v>0.18052460000000001</v>
      </c>
      <c r="W10287">
        <v>2.0445009999999998E-3</v>
      </c>
      <c r="X10287">
        <v>0.98356840000000001</v>
      </c>
      <c r="Y10287">
        <v>0.52782320000000005</v>
      </c>
      <c r="Z10287">
        <v>-0.1591707</v>
      </c>
      <c r="AA10287">
        <v>0.83430649999999995</v>
      </c>
      <c r="AB10287">
        <v>28</v>
      </c>
      <c r="AC10287">
        <v>6.0781000000000001</v>
      </c>
      <c r="AD10287">
        <v>-1.0995883098499999</v>
      </c>
      <c r="AE10287">
        <v>2.8496000000000001</v>
      </c>
      <c r="AF10287">
        <v>3.6052826412505898</v>
      </c>
      <c r="AG10287">
        <v>-1.0995883098499999</v>
      </c>
      <c r="AH10287">
        <v>5.4535513774632198</v>
      </c>
      <c r="AI10287">
        <v>99.547574859522499</v>
      </c>
      <c r="AJ10287">
        <v>56.531749193502797</v>
      </c>
      <c r="AK10287">
        <v>6.6293574350077602</v>
      </c>
      <c r="AL10287">
        <v>89.882858646246206</v>
      </c>
      <c r="AM10287">
        <v>79.599660838286994</v>
      </c>
      <c r="AN10287">
        <v>1.0000000543340199</v>
      </c>
    </row>
    <row r="10288" spans="1:40" x14ac:dyDescent="0.25">
      <c r="A10288" t="str">
        <f>"20190312154154145"</f>
        <v>20190312154154145</v>
      </c>
      <c r="B10288" t="str">
        <f>"1552376514136722"</f>
        <v>1552376514136722</v>
      </c>
      <c r="C10288" t="s">
        <v>40</v>
      </c>
      <c r="D10288">
        <v>4.7856930000000002</v>
      </c>
      <c r="E10288">
        <v>0.65603489999999998</v>
      </c>
      <c r="F10288" t="s">
        <v>55</v>
      </c>
      <c r="G10288">
        <v>-175.8708</v>
      </c>
      <c r="H10288" s="1">
        <v>-3.2948179999999999E-6</v>
      </c>
      <c r="I10288">
        <v>131.33099999999999</v>
      </c>
      <c r="J10288">
        <v>-181.9342</v>
      </c>
      <c r="K10288">
        <v>1.099478</v>
      </c>
      <c r="L10288">
        <v>128.517</v>
      </c>
      <c r="M10288">
        <v>0.5280802</v>
      </c>
      <c r="N10288">
        <v>0</v>
      </c>
      <c r="O10288">
        <v>0.84905200000000003</v>
      </c>
      <c r="P10288">
        <v>0.67329550000000005</v>
      </c>
      <c r="Q10288">
        <v>-8.0370389999999993E-3</v>
      </c>
      <c r="R10288">
        <v>0.73932989999999998</v>
      </c>
      <c r="S10288">
        <v>2.9256289999999998</v>
      </c>
      <c r="T10288">
        <v>-0.52254199999999995</v>
      </c>
      <c r="U10288">
        <v>1.402344</v>
      </c>
      <c r="V10288">
        <v>0.18138570000000001</v>
      </c>
      <c r="W10288">
        <v>2.634824E-3</v>
      </c>
      <c r="X10288">
        <v>0.98340850000000002</v>
      </c>
      <c r="Y10288">
        <v>0.52442119999999903</v>
      </c>
      <c r="Z10288">
        <v>-0.1593425</v>
      </c>
      <c r="AA10288">
        <v>0.83641639999999995</v>
      </c>
      <c r="AB10288">
        <v>28</v>
      </c>
      <c r="AC10288">
        <v>6.0633999999999997</v>
      </c>
      <c r="AD10288">
        <v>-1.0994812948179999</v>
      </c>
      <c r="AE10288">
        <v>2.81400000000002</v>
      </c>
      <c r="AF10288">
        <v>3.5660908750483502</v>
      </c>
      <c r="AG10288">
        <v>-1.0994812948179999</v>
      </c>
      <c r="AH10288">
        <v>5.4445737148404403</v>
      </c>
      <c r="AI10288">
        <v>99.5884742154349</v>
      </c>
      <c r="AJ10288">
        <v>56.775973758540701</v>
      </c>
      <c r="AK10288">
        <v>6.6007004312488897</v>
      </c>
      <c r="AL10288">
        <v>89.849035529787798</v>
      </c>
      <c r="AM10288">
        <v>79.549479958657301</v>
      </c>
      <c r="AN10288">
        <v>0.99999999616712498</v>
      </c>
    </row>
    <row r="10289" spans="1:40" x14ac:dyDescent="0.25">
      <c r="A10289" t="str">
        <f>"20190312154154158"</f>
        <v>20190312154154158</v>
      </c>
      <c r="B10289" t="str">
        <f>"1552376514146482"</f>
        <v>1552376514146482</v>
      </c>
      <c r="C10289" t="s">
        <v>40</v>
      </c>
      <c r="D10289">
        <v>4.7836019999999904</v>
      </c>
      <c r="E10289">
        <v>0.6550994</v>
      </c>
      <c r="F10289" t="s">
        <v>55</v>
      </c>
      <c r="G10289">
        <v>-175.73759999999999</v>
      </c>
      <c r="H10289" s="1">
        <v>-3.2438830000000001E-6</v>
      </c>
      <c r="I10289">
        <v>131.43620000000001</v>
      </c>
      <c r="J10289">
        <v>-181.839</v>
      </c>
      <c r="K10289">
        <v>1.0993729999999999</v>
      </c>
      <c r="L10289">
        <v>128.65520000000001</v>
      </c>
      <c r="M10289">
        <v>0.53513409999999995</v>
      </c>
      <c r="N10289">
        <v>0</v>
      </c>
      <c r="O10289">
        <v>0.84462329999999997</v>
      </c>
      <c r="P10289">
        <v>0.68040100000000003</v>
      </c>
      <c r="Q10289">
        <v>-6.8667299999999997E-3</v>
      </c>
      <c r="R10289">
        <v>0.73280789999999996</v>
      </c>
      <c r="S10289">
        <v>2.9324650000000001</v>
      </c>
      <c r="T10289">
        <v>-0.52031759999999905</v>
      </c>
      <c r="U10289">
        <v>1.381516</v>
      </c>
      <c r="V10289">
        <v>0.18271190000000001</v>
      </c>
      <c r="W10289">
        <v>3.7558629999999999E-3</v>
      </c>
      <c r="X10289">
        <v>0.98315929999999996</v>
      </c>
      <c r="Y10289">
        <v>0.52310820000000002</v>
      </c>
      <c r="Z10289">
        <v>-0.158362</v>
      </c>
      <c r="AA10289">
        <v>0.83742419999999995</v>
      </c>
      <c r="AB10289">
        <v>28</v>
      </c>
      <c r="AC10289">
        <v>6.1014000000000399</v>
      </c>
      <c r="AD10289">
        <v>-1.0993762438829999</v>
      </c>
      <c r="AE10289">
        <v>2.7810000000000001</v>
      </c>
      <c r="AF10289">
        <v>3.5696634944557299</v>
      </c>
      <c r="AG10289">
        <v>-1.0993762438829999</v>
      </c>
      <c r="AH10289">
        <v>5.4676667117489899</v>
      </c>
      <c r="AI10289">
        <v>99.556903230259906</v>
      </c>
      <c r="AJ10289">
        <v>56.8607741799444</v>
      </c>
      <c r="AK10289">
        <v>6.6216693408862</v>
      </c>
      <c r="AL10289">
        <v>89.784804390785197</v>
      </c>
      <c r="AM10289">
        <v>79.472164328094195</v>
      </c>
      <c r="AN10289">
        <v>0.999999977042487</v>
      </c>
    </row>
    <row r="10290" spans="1:40" x14ac:dyDescent="0.25">
      <c r="A10290" t="str">
        <f>"20190312154154170"</f>
        <v>20190312154154170</v>
      </c>
      <c r="B10290" t="str">
        <f>"1552376514166002"</f>
        <v>1552376514166002</v>
      </c>
      <c r="C10290" t="s">
        <v>40</v>
      </c>
      <c r="D10290">
        <v>4.7990570000000004</v>
      </c>
      <c r="E10290">
        <v>0.65332939999999995</v>
      </c>
      <c r="F10290" t="s">
        <v>55</v>
      </c>
      <c r="G10290">
        <v>-175.58529999999999</v>
      </c>
      <c r="H10290" s="1">
        <v>-3.181672E-6</v>
      </c>
      <c r="I10290">
        <v>131.5461</v>
      </c>
      <c r="J10290">
        <v>-181.7422</v>
      </c>
      <c r="K10290">
        <v>1.09927</v>
      </c>
      <c r="L10290">
        <v>128.7919</v>
      </c>
      <c r="M10290">
        <v>0.54225630000000002</v>
      </c>
      <c r="N10290">
        <v>0</v>
      </c>
      <c r="O10290">
        <v>0.84006780000000003</v>
      </c>
      <c r="P10290">
        <v>0.68776179999999998</v>
      </c>
      <c r="Q10290">
        <v>-5.6854100000000001E-3</v>
      </c>
      <c r="R10290">
        <v>0.72591419999999995</v>
      </c>
      <c r="S10290">
        <v>2.9401549999999999</v>
      </c>
      <c r="T10290">
        <v>-0.51687070000000002</v>
      </c>
      <c r="U10290">
        <v>1.359146</v>
      </c>
      <c r="V10290">
        <v>0.18434700000000001</v>
      </c>
      <c r="W10290">
        <v>4.878327E-3</v>
      </c>
      <c r="X10290">
        <v>0.98284910000000003</v>
      </c>
      <c r="Y10290">
        <v>0.5222135</v>
      </c>
      <c r="Z10290">
        <v>-0.15701029999999999</v>
      </c>
      <c r="AA10290">
        <v>0.83823669999999995</v>
      </c>
      <c r="AB10290">
        <v>28</v>
      </c>
      <c r="AC10290">
        <v>6.1569000000000003</v>
      </c>
      <c r="AD10290">
        <v>-1.0992731816720001</v>
      </c>
      <c r="AE10290">
        <v>2.7541999999999902</v>
      </c>
      <c r="AF10290">
        <v>3.5839814469814302</v>
      </c>
      <c r="AG10290">
        <v>-1.0992731816720001</v>
      </c>
      <c r="AH10290">
        <v>5.5067506251816196</v>
      </c>
      <c r="AI10290">
        <v>99.4981096336153</v>
      </c>
      <c r="AJ10290">
        <v>56.942546547190801</v>
      </c>
      <c r="AK10290">
        <v>6.6616534725388297</v>
      </c>
      <c r="AL10290">
        <v>89.720491338687197</v>
      </c>
      <c r="AM10290">
        <v>79.376808487587397</v>
      </c>
      <c r="AN10290">
        <v>0.99999998392706402</v>
      </c>
    </row>
    <row r="10291" spans="1:40" x14ac:dyDescent="0.25">
      <c r="A10291" t="str">
        <f>"20190312154154194"</f>
        <v>20190312154154194</v>
      </c>
      <c r="B10291" t="str">
        <f>"1552376514186498"</f>
        <v>1552376514186498</v>
      </c>
      <c r="C10291" t="s">
        <v>40</v>
      </c>
      <c r="D10291">
        <v>4.8190179999999998</v>
      </c>
      <c r="E10291">
        <v>0.65160069999999903</v>
      </c>
      <c r="F10291" t="s">
        <v>55</v>
      </c>
      <c r="G10291">
        <v>-175.3921</v>
      </c>
      <c r="H10291" s="1">
        <v>-3.1011790000000001E-6</v>
      </c>
      <c r="I10291">
        <v>131.6814</v>
      </c>
      <c r="J10291">
        <v>-181.57320000000001</v>
      </c>
      <c r="K10291">
        <v>1.0990799999999901</v>
      </c>
      <c r="L10291">
        <v>129.0257</v>
      </c>
      <c r="M10291">
        <v>0.55457749999999995</v>
      </c>
      <c r="N10291">
        <v>0</v>
      </c>
      <c r="O10291">
        <v>0.83198419999999895</v>
      </c>
      <c r="P10291">
        <v>0.69916409999999996</v>
      </c>
      <c r="Q10291">
        <v>-6.5451279999999999E-3</v>
      </c>
      <c r="R10291">
        <v>0.71493119999999999</v>
      </c>
      <c r="S10291">
        <v>2.9439090000000001</v>
      </c>
      <c r="T10291">
        <v>-0.50961920000000005</v>
      </c>
      <c r="U10291">
        <v>1.339539</v>
      </c>
      <c r="V10291">
        <v>0.1854016</v>
      </c>
      <c r="W10291">
        <v>3.968053E-3</v>
      </c>
      <c r="X10291">
        <v>0.98265480000000005</v>
      </c>
      <c r="Y10291">
        <v>0.51514579999999999</v>
      </c>
      <c r="Z10291">
        <v>-0.15397640000000001</v>
      </c>
      <c r="AA10291">
        <v>0.84315839999999997</v>
      </c>
      <c r="AB10291">
        <v>28</v>
      </c>
      <c r="AC10291">
        <v>6.1811000000000096</v>
      </c>
      <c r="AD10291">
        <v>-1.0990831011790001</v>
      </c>
      <c r="AE10291">
        <v>2.6556999999999902</v>
      </c>
      <c r="AF10291">
        <v>3.5748234575078701</v>
      </c>
      <c r="AG10291">
        <v>-1.0990831011790001</v>
      </c>
      <c r="AH10291">
        <v>5.4915211159002002</v>
      </c>
      <c r="AI10291">
        <v>99.521765244408499</v>
      </c>
      <c r="AJ10291">
        <v>56.9370215708378</v>
      </c>
      <c r="AK10291">
        <v>6.64410645474796</v>
      </c>
      <c r="AL10291">
        <v>89.772646708432603</v>
      </c>
      <c r="AM10291">
        <v>79.315367201876299</v>
      </c>
      <c r="AN10291">
        <v>0.99999997734510504</v>
      </c>
    </row>
    <row r="10292" spans="1:40" x14ac:dyDescent="0.25">
      <c r="A10292" t="str">
        <f>"20190312154154207"</f>
        <v>20190312154154207</v>
      </c>
      <c r="B10292" t="str">
        <f>"1552376514196259"</f>
        <v>1552376514196259</v>
      </c>
      <c r="C10292" t="s">
        <v>40</v>
      </c>
      <c r="D10292">
        <v>4.8058009999999998</v>
      </c>
      <c r="E10292">
        <v>0.6507001</v>
      </c>
      <c r="F10292" t="s">
        <v>55</v>
      </c>
      <c r="G10292">
        <v>-175.15430000000001</v>
      </c>
      <c r="H10292" s="1">
        <v>-3.0037109999999998E-6</v>
      </c>
      <c r="I10292">
        <v>131.8518</v>
      </c>
      <c r="J10292">
        <v>-181.4727</v>
      </c>
      <c r="K10292">
        <v>1.0989739999999999</v>
      </c>
      <c r="L10292">
        <v>129.16069999999999</v>
      </c>
      <c r="M10292">
        <v>0.56182650000000001</v>
      </c>
      <c r="N10292">
        <v>0</v>
      </c>
      <c r="O10292">
        <v>0.8271056</v>
      </c>
      <c r="P10292">
        <v>0.70589979999999997</v>
      </c>
      <c r="Q10292">
        <v>-7.0241330000000001E-3</v>
      </c>
      <c r="R10292">
        <v>0.70827689999999999</v>
      </c>
      <c r="S10292">
        <v>2.9554749999999999</v>
      </c>
      <c r="T10292">
        <v>-0.50606220000000002</v>
      </c>
      <c r="U10292">
        <v>1.3012539999999999</v>
      </c>
      <c r="V10292">
        <v>0.18610679999999999</v>
      </c>
      <c r="W10292">
        <v>3.4573659999999999E-3</v>
      </c>
      <c r="X10292">
        <v>0.98252340000000005</v>
      </c>
      <c r="Y10292">
        <v>0.51819329999999997</v>
      </c>
      <c r="Z10292">
        <v>-0.1528921</v>
      </c>
      <c r="AA10292">
        <v>0.84148659999999997</v>
      </c>
      <c r="AB10292">
        <v>28</v>
      </c>
      <c r="AC10292">
        <v>6.3183999999999898</v>
      </c>
      <c r="AD10292">
        <v>-1.0989770037109901</v>
      </c>
      <c r="AE10292">
        <v>2.6911</v>
      </c>
      <c r="AF10292">
        <v>3.6217681651827398</v>
      </c>
      <c r="AG10292">
        <v>-1.0989770037109901</v>
      </c>
      <c r="AH10292">
        <v>5.6321580783753804</v>
      </c>
      <c r="AI10292">
        <v>99.320336325078699</v>
      </c>
      <c r="AJ10292">
        <v>57.256891566295998</v>
      </c>
      <c r="AK10292">
        <v>6.7857320693367997</v>
      </c>
      <c r="AL10292">
        <v>89.801907117984001</v>
      </c>
      <c r="AM10292">
        <v>79.274266648874303</v>
      </c>
      <c r="AN10292">
        <v>0.999999962966728</v>
      </c>
    </row>
    <row r="10293" spans="1:40" x14ac:dyDescent="0.25">
      <c r="A10293" t="str">
        <f>"20190312154154221"</f>
        <v>20190312154154221</v>
      </c>
      <c r="B10293" t="str">
        <f>"1552376514216288"</f>
        <v>1552376514216288</v>
      </c>
      <c r="C10293" t="s">
        <v>40</v>
      </c>
      <c r="D10293">
        <v>4.812907</v>
      </c>
      <c r="E10293">
        <v>0.64894799999999997</v>
      </c>
      <c r="F10293" t="s">
        <v>55</v>
      </c>
      <c r="G10293">
        <v>-175.02709999999999</v>
      </c>
      <c r="H10293" s="1">
        <v>-2.950546E-6</v>
      </c>
      <c r="I10293">
        <v>131.94049999999999</v>
      </c>
      <c r="J10293">
        <v>-181.3646</v>
      </c>
      <c r="K10293">
        <v>1.0988629999999999</v>
      </c>
      <c r="L10293">
        <v>129.30359999999999</v>
      </c>
      <c r="M10293">
        <v>0.56957019999999903</v>
      </c>
      <c r="N10293">
        <v>0</v>
      </c>
      <c r="O10293">
        <v>0.82179150000000001</v>
      </c>
      <c r="P10293">
        <v>0.71256730000000001</v>
      </c>
      <c r="Q10293">
        <v>-7.4366040000000003E-3</v>
      </c>
      <c r="R10293">
        <v>0.70156439999999998</v>
      </c>
      <c r="S10293">
        <v>2.9627840000000001</v>
      </c>
      <c r="T10293">
        <v>-0.50515329999999903</v>
      </c>
      <c r="U10293">
        <v>1.277771</v>
      </c>
      <c r="V10293">
        <v>0.1861642</v>
      </c>
      <c r="W10293">
        <v>3.0310749999999998E-3</v>
      </c>
      <c r="X10293">
        <v>0.982514</v>
      </c>
      <c r="Y10293">
        <v>0.516652</v>
      </c>
      <c r="Z10293">
        <v>-0.15218199999999901</v>
      </c>
      <c r="AA10293">
        <v>0.84256239999999905</v>
      </c>
      <c r="AB10293">
        <v>28</v>
      </c>
      <c r="AC10293">
        <v>6.3375000000000004</v>
      </c>
      <c r="AD10293">
        <v>-1.0988659505459999</v>
      </c>
      <c r="AE10293">
        <v>2.63689999999999</v>
      </c>
      <c r="AF10293">
        <v>3.61404475834274</v>
      </c>
      <c r="AG10293">
        <v>-1.0988659505459999</v>
      </c>
      <c r="AH10293">
        <v>5.6329902284275901</v>
      </c>
      <c r="AI10293">
        <v>99.324163355529095</v>
      </c>
      <c r="AJ10293">
        <v>57.316358432967697</v>
      </c>
      <c r="AK10293">
        <v>6.7822861047094403</v>
      </c>
      <c r="AL10293">
        <v>89.826331934132099</v>
      </c>
      <c r="AM10293">
        <v>79.270935079075699</v>
      </c>
      <c r="AN10293">
        <v>1.0000000284866399</v>
      </c>
    </row>
    <row r="10294" spans="1:40" x14ac:dyDescent="0.25">
      <c r="A10294" t="str">
        <f>"20190312154154238"</f>
        <v>20190312154154238</v>
      </c>
      <c r="B10294" t="str">
        <f>"1552376514226047"</f>
        <v>1552376514226047</v>
      </c>
      <c r="C10294" t="s">
        <v>40</v>
      </c>
      <c r="D10294">
        <v>5.0991869999999997</v>
      </c>
      <c r="E10294">
        <v>0.64813080000000001</v>
      </c>
      <c r="F10294" t="s">
        <v>55</v>
      </c>
      <c r="G10294">
        <v>-174.92869999999999</v>
      </c>
      <c r="H10294" s="1">
        <v>-2.9268940000000001E-6</v>
      </c>
      <c r="I10294">
        <v>132.0368</v>
      </c>
      <c r="J10294">
        <v>-181.22909999999999</v>
      </c>
      <c r="K10294">
        <v>1.0987279999999999</v>
      </c>
      <c r="L10294">
        <v>129.4787</v>
      </c>
      <c r="M10294">
        <v>0.57919799999999999</v>
      </c>
      <c r="N10294">
        <v>0</v>
      </c>
      <c r="O10294">
        <v>0.81503349999999997</v>
      </c>
      <c r="P10294">
        <v>0.72119860000000002</v>
      </c>
      <c r="Q10294">
        <v>-7.0029569999999998E-3</v>
      </c>
      <c r="R10294">
        <v>0.69269289999999994</v>
      </c>
      <c r="S10294">
        <v>2.9651179999999999</v>
      </c>
      <c r="T10294">
        <v>-0.50626190000000004</v>
      </c>
      <c r="U10294">
        <v>1.2591859999999999</v>
      </c>
      <c r="V10294">
        <v>0.18678149999999999</v>
      </c>
      <c r="W10294">
        <v>3.4316149999999998E-3</v>
      </c>
      <c r="X10294">
        <v>0.98239549999999998</v>
      </c>
      <c r="Y10294">
        <v>0.51132699999999998</v>
      </c>
      <c r="Z10294">
        <v>-0.15182309999999999</v>
      </c>
      <c r="AA10294">
        <v>0.84586909999999904</v>
      </c>
      <c r="AB10294">
        <v>28</v>
      </c>
      <c r="AC10294">
        <v>6.30039999999999</v>
      </c>
      <c r="AD10294">
        <v>-1.098730926894</v>
      </c>
      <c r="AE10294">
        <v>2.5580999999999898</v>
      </c>
      <c r="AF10294">
        <v>3.5608797878482901</v>
      </c>
      <c r="AG10294">
        <v>-1.098730926894</v>
      </c>
      <c r="AH10294">
        <v>5.5889174329398204</v>
      </c>
      <c r="AI10294">
        <v>99.413918389584495</v>
      </c>
      <c r="AJ10294">
        <v>57.497471887034102</v>
      </c>
      <c r="AK10294">
        <v>6.7173709578553504</v>
      </c>
      <c r="AL10294">
        <v>89.803382559966295</v>
      </c>
      <c r="AM10294">
        <v>79.234920501659602</v>
      </c>
      <c r="AN10294">
        <v>1.000000011572</v>
      </c>
    </row>
    <row r="10295" spans="1:40" x14ac:dyDescent="0.25">
      <c r="A10295" t="str">
        <f>"20190312154154249"</f>
        <v>20190312154154249</v>
      </c>
      <c r="B10295" t="str">
        <f>"1552376514246542"</f>
        <v>1552376514246542</v>
      </c>
      <c r="C10295" t="s">
        <v>40</v>
      </c>
      <c r="D10295">
        <v>4.8690249999999997</v>
      </c>
      <c r="E10295">
        <v>0.64743189999999995</v>
      </c>
      <c r="F10295" t="s">
        <v>55</v>
      </c>
      <c r="G10295">
        <v>-174.72919999999999</v>
      </c>
      <c r="H10295" s="1">
        <v>-2.884979E-6</v>
      </c>
      <c r="I10295">
        <v>132.15940000000001</v>
      </c>
      <c r="J10295">
        <v>-181.13720000000001</v>
      </c>
      <c r="K10295">
        <v>1.0986370000000001</v>
      </c>
      <c r="L10295">
        <v>129.5942</v>
      </c>
      <c r="M10295">
        <v>0.58566649999999998</v>
      </c>
      <c r="N10295">
        <v>0</v>
      </c>
      <c r="O10295">
        <v>0.81039719999999904</v>
      </c>
      <c r="P10295">
        <v>0.72727299999999995</v>
      </c>
      <c r="Q10295">
        <v>-6.2162329999999998E-3</v>
      </c>
      <c r="R10295">
        <v>0.68632009999999999</v>
      </c>
      <c r="S10295">
        <v>2.976013</v>
      </c>
      <c r="T10295">
        <v>-0.5030656</v>
      </c>
      <c r="U10295">
        <v>1.2273559999999999</v>
      </c>
      <c r="V10295">
        <v>0.1876353</v>
      </c>
      <c r="W10295">
        <v>4.184536E-3</v>
      </c>
      <c r="X10295">
        <v>0.98222980000000004</v>
      </c>
      <c r="Y10295">
        <v>0.51350019999999996</v>
      </c>
      <c r="Z10295">
        <v>-0.15067610000000001</v>
      </c>
      <c r="AA10295">
        <v>0.84475699999999998</v>
      </c>
      <c r="AB10295">
        <v>28</v>
      </c>
      <c r="AC10295">
        <v>6.4080000000000101</v>
      </c>
      <c r="AD10295">
        <v>-1.098639884979</v>
      </c>
      <c r="AE10295">
        <v>2.5651999999999999</v>
      </c>
      <c r="AF10295">
        <v>3.59993413009283</v>
      </c>
      <c r="AG10295">
        <v>-1.098639884979</v>
      </c>
      <c r="AH10295">
        <v>5.6884008169232798</v>
      </c>
      <c r="AI10295">
        <v>99.269011080961704</v>
      </c>
      <c r="AJ10295">
        <v>57.672112409784397</v>
      </c>
      <c r="AK10295">
        <v>6.8208825815906904</v>
      </c>
      <c r="AL10295">
        <v>89.760243035822796</v>
      </c>
      <c r="AM10295">
        <v>79.185088537184996</v>
      </c>
      <c r="AN10295">
        <v>0.99999994807783099</v>
      </c>
    </row>
    <row r="10296" spans="1:40" x14ac:dyDescent="0.25">
      <c r="A10296" t="str">
        <f>"20190312154154262"</f>
        <v>20190312154154262</v>
      </c>
      <c r="B10296" t="str">
        <f>"1552376514256303"</f>
        <v>1552376514256303</v>
      </c>
      <c r="C10296" t="s">
        <v>40</v>
      </c>
      <c r="D10296">
        <v>4.779744</v>
      </c>
      <c r="E10296">
        <v>0.64763990000000005</v>
      </c>
      <c r="F10296" t="s">
        <v>55</v>
      </c>
      <c r="G10296">
        <v>-174.6309</v>
      </c>
      <c r="H10296" s="1">
        <v>-2.8661820000000001E-6</v>
      </c>
      <c r="I10296">
        <v>132.22470000000001</v>
      </c>
      <c r="J10296">
        <v>-181.0463</v>
      </c>
      <c r="K10296">
        <v>1.0985549999999999</v>
      </c>
      <c r="L10296">
        <v>129.7072</v>
      </c>
      <c r="M10296">
        <v>0.59201969999999904</v>
      </c>
      <c r="N10296">
        <v>0</v>
      </c>
      <c r="O10296">
        <v>0.80576700000000001</v>
      </c>
      <c r="P10296">
        <v>0.73336060000000003</v>
      </c>
      <c r="Q10296">
        <v>-5.6437019999999996E-3</v>
      </c>
      <c r="R10296">
        <v>0.67981639999999999</v>
      </c>
      <c r="S10296">
        <v>2.9826969999999999</v>
      </c>
      <c r="T10296">
        <v>-0.50365479999999996</v>
      </c>
      <c r="U10296">
        <v>1.2059169999999999</v>
      </c>
      <c r="V10296">
        <v>0.1886804</v>
      </c>
      <c r="W10296">
        <v>4.7171590000000003E-3</v>
      </c>
      <c r="X10296">
        <v>0.98202719999999999</v>
      </c>
      <c r="Y10296">
        <v>0.51266219999999996</v>
      </c>
      <c r="Z10296">
        <v>-0.15045220000000001</v>
      </c>
      <c r="AA10296">
        <v>0.84530559999999999</v>
      </c>
      <c r="AB10296">
        <v>28</v>
      </c>
      <c r="AC10296">
        <v>6.4154</v>
      </c>
      <c r="AD10296">
        <v>-1.0985578661819999</v>
      </c>
      <c r="AE10296">
        <v>2.5175000000000098</v>
      </c>
      <c r="AF10296">
        <v>3.5881976592335301</v>
      </c>
      <c r="AG10296">
        <v>-1.0985578661819999</v>
      </c>
      <c r="AH10296">
        <v>5.6828968320776898</v>
      </c>
      <c r="AI10296">
        <v>99.283132920549704</v>
      </c>
      <c r="AJ10296">
        <v>57.7315659436983</v>
      </c>
      <c r="AK10296">
        <v>6.8100887094896203</v>
      </c>
      <c r="AL10296">
        <v>89.729725691131904</v>
      </c>
      <c r="AM10296">
        <v>79.124093472023802</v>
      </c>
      <c r="AN10296">
        <v>0.99999998323651496</v>
      </c>
    </row>
    <row r="10297" spans="1:40" x14ac:dyDescent="0.25">
      <c r="A10297" t="str">
        <f>"20190312154154271"</f>
        <v>20190312154154271</v>
      </c>
      <c r="B10297" t="str">
        <f>"1552376514266062"</f>
        <v>1552376514266062</v>
      </c>
      <c r="C10297" t="s">
        <v>40</v>
      </c>
      <c r="D10297">
        <v>4.7853779999999997</v>
      </c>
      <c r="E10297">
        <v>0.64795669999999905</v>
      </c>
      <c r="F10297" t="s">
        <v>55</v>
      </c>
      <c r="G10297">
        <v>-174.54140000000001</v>
      </c>
      <c r="H10297" s="1">
        <v>-2.8427089999999999E-6</v>
      </c>
      <c r="I10297">
        <v>132.26750000000001</v>
      </c>
      <c r="J10297">
        <v>-180.9579</v>
      </c>
      <c r="K10297">
        <v>1.0984750000000001</v>
      </c>
      <c r="L10297">
        <v>129.815</v>
      </c>
      <c r="M10297">
        <v>0.59815189999999996</v>
      </c>
      <c r="N10297">
        <v>0</v>
      </c>
      <c r="O10297">
        <v>0.80122479999999996</v>
      </c>
      <c r="P10297">
        <v>0.7390099</v>
      </c>
      <c r="Q10297">
        <v>-4.6690600000000001E-3</v>
      </c>
      <c r="R10297">
        <v>0.67367840000000001</v>
      </c>
      <c r="S10297">
        <v>2.9943390000000001</v>
      </c>
      <c r="T10297">
        <v>-0.50569279999999905</v>
      </c>
      <c r="U10297">
        <v>1.1785429999999999</v>
      </c>
      <c r="V10297">
        <v>0.1894072</v>
      </c>
      <c r="W10297">
        <v>5.6631900000000002E-3</v>
      </c>
      <c r="X10297">
        <v>0.98188229999999999</v>
      </c>
      <c r="Y10297">
        <v>0.51388909999999999</v>
      </c>
      <c r="Z10297">
        <v>-0.15065780000000001</v>
      </c>
      <c r="AA10297">
        <v>0.84452369999999899</v>
      </c>
      <c r="AB10297">
        <v>28</v>
      </c>
      <c r="AC10297">
        <v>6.4164999999999797</v>
      </c>
      <c r="AD10297">
        <v>-1.0984778427090001</v>
      </c>
      <c r="AE10297">
        <v>2.4525000000000099</v>
      </c>
      <c r="AF10297">
        <v>3.5829331600373102</v>
      </c>
      <c r="AG10297">
        <v>-1.0984778427090001</v>
      </c>
      <c r="AH10297">
        <v>5.6590655694689804</v>
      </c>
      <c r="AI10297">
        <v>99.313726193387893</v>
      </c>
      <c r="AJ10297">
        <v>57.660807321696502</v>
      </c>
      <c r="AK10297">
        <v>6.7874212127852198</v>
      </c>
      <c r="AL10297">
        <v>89.675521381624804</v>
      </c>
      <c r="AM10297">
        <v>79.081631720809895</v>
      </c>
      <c r="AN10297">
        <v>1.00000000509305</v>
      </c>
    </row>
    <row r="10298" spans="1:40" x14ac:dyDescent="0.25">
      <c r="A10298" t="str">
        <f>"20190312154154284"</f>
        <v>20190312154154284</v>
      </c>
      <c r="B10298" t="str">
        <f>"1552376514275823"</f>
        <v>1552376514275823</v>
      </c>
      <c r="C10298" t="s">
        <v>40</v>
      </c>
      <c r="D10298">
        <v>4.7832679999999996</v>
      </c>
      <c r="E10298">
        <v>0.64821739999999906</v>
      </c>
      <c r="F10298" t="s">
        <v>55</v>
      </c>
      <c r="G10298">
        <v>-174.44659999999999</v>
      </c>
      <c r="H10298" s="1">
        <v>-2.8171830000000001E-6</v>
      </c>
      <c r="I10298">
        <v>132.31100000000001</v>
      </c>
      <c r="J10298">
        <v>-180.8623</v>
      </c>
      <c r="K10298">
        <v>1.098387</v>
      </c>
      <c r="L10298">
        <v>129.92959999999999</v>
      </c>
      <c r="M10298">
        <v>0.60473769999999905</v>
      </c>
      <c r="N10298">
        <v>0</v>
      </c>
      <c r="O10298">
        <v>0.79626509999999995</v>
      </c>
      <c r="P10298">
        <v>0.74527369999999904</v>
      </c>
      <c r="Q10298">
        <v>-3.7335910000000001E-3</v>
      </c>
      <c r="R10298">
        <v>0.66674820000000001</v>
      </c>
      <c r="S10298">
        <v>3.00589</v>
      </c>
      <c r="T10298">
        <v>-0.50710770000000005</v>
      </c>
      <c r="U10298">
        <v>1.1522520000000001</v>
      </c>
      <c r="V10298">
        <v>0.19051219999999999</v>
      </c>
      <c r="W10298">
        <v>6.5572440000000003E-3</v>
      </c>
      <c r="X10298">
        <v>0.9816629</v>
      </c>
      <c r="Y10298">
        <v>0.51435909999999996</v>
      </c>
      <c r="Z10298">
        <v>-0.1505629</v>
      </c>
      <c r="AA10298">
        <v>0.84425450000000002</v>
      </c>
      <c r="AB10298">
        <v>28</v>
      </c>
      <c r="AC10298">
        <v>6.41570000000001</v>
      </c>
      <c r="AD10298">
        <v>-1.098389817183</v>
      </c>
      <c r="AE10298">
        <v>2.38140000000001</v>
      </c>
      <c r="AF10298">
        <v>3.5767990139542398</v>
      </c>
      <c r="AG10298">
        <v>-1.098389817183</v>
      </c>
      <c r="AH10298">
        <v>5.6316958566285598</v>
      </c>
      <c r="AI10298">
        <v>99.349194891273896</v>
      </c>
      <c r="AJ10298">
        <v>57.5795796788057</v>
      </c>
      <c r="AK10298">
        <v>6.76135708258946</v>
      </c>
      <c r="AL10298">
        <v>89.624294890810603</v>
      </c>
      <c r="AM10298">
        <v>79.017083531459207</v>
      </c>
      <c r="AN10298">
        <v>0.99999997251706196</v>
      </c>
    </row>
    <row r="10299" spans="1:40" x14ac:dyDescent="0.25">
      <c r="A10299" t="str">
        <f>"20190312154154306"</f>
        <v>20190312154154306</v>
      </c>
      <c r="B10299" t="str">
        <f>"1552376514296317"</f>
        <v>1552376514296317</v>
      </c>
      <c r="C10299" t="s">
        <v>40</v>
      </c>
      <c r="D10299">
        <v>4.8085139999999997</v>
      </c>
      <c r="E10299">
        <v>0.64861389999999997</v>
      </c>
      <c r="F10299" t="s">
        <v>55</v>
      </c>
      <c r="G10299">
        <v>-174.3202</v>
      </c>
      <c r="H10299" s="1">
        <v>-2.7809330000000002E-6</v>
      </c>
      <c r="I10299">
        <v>132.36320000000001</v>
      </c>
      <c r="J10299">
        <v>-180.69030000000001</v>
      </c>
      <c r="K10299">
        <v>1.098225</v>
      </c>
      <c r="L10299">
        <v>130.13079999999999</v>
      </c>
      <c r="M10299">
        <v>0.61646369999999995</v>
      </c>
      <c r="N10299">
        <v>0</v>
      </c>
      <c r="O10299">
        <v>0.7872207</v>
      </c>
      <c r="P10299">
        <v>0.75606980000000001</v>
      </c>
      <c r="Q10299">
        <v>-3.7355510000000001E-3</v>
      </c>
      <c r="R10299">
        <v>0.65448039999999996</v>
      </c>
      <c r="S10299">
        <v>3.0183260000000001</v>
      </c>
      <c r="T10299">
        <v>-0.50676409999999905</v>
      </c>
      <c r="U10299">
        <v>1.122803</v>
      </c>
      <c r="V10299">
        <v>0.19201860000000001</v>
      </c>
      <c r="W10299">
        <v>6.4943020000000004E-3</v>
      </c>
      <c r="X10299">
        <v>0.98136979999999996</v>
      </c>
      <c r="Y10299">
        <v>0.51023409999999902</v>
      </c>
      <c r="Z10299">
        <v>-0.1492665</v>
      </c>
      <c r="AA10299">
        <v>0.84698329999999999</v>
      </c>
      <c r="AB10299">
        <v>28</v>
      </c>
      <c r="AC10299">
        <v>6.3700999999999999</v>
      </c>
      <c r="AD10299">
        <v>-1.0982277809330001</v>
      </c>
      <c r="AE10299">
        <v>2.2324000000000099</v>
      </c>
      <c r="AF10299">
        <v>3.54510160743266</v>
      </c>
      <c r="AG10299">
        <v>-1.0982277809330001</v>
      </c>
      <c r="AH10299">
        <v>5.5384421016915599</v>
      </c>
      <c r="AI10299">
        <v>99.481388786890307</v>
      </c>
      <c r="AJ10299">
        <v>57.377097376602499</v>
      </c>
      <c r="AK10299">
        <v>6.6669476208850096</v>
      </c>
      <c r="AL10299">
        <v>89.627901289450705</v>
      </c>
      <c r="AM10299">
        <v>78.929152723222799</v>
      </c>
      <c r="AN10299">
        <v>1.00000000152823</v>
      </c>
    </row>
    <row r="10300" spans="1:40" x14ac:dyDescent="0.25">
      <c r="A10300" t="str">
        <f>"20190312154154319"</f>
        <v>20190312154154319</v>
      </c>
      <c r="B10300" t="str">
        <f>"1552376514306079"</f>
        <v>1552376514306079</v>
      </c>
      <c r="C10300" t="s">
        <v>40</v>
      </c>
      <c r="D10300">
        <v>4.7452519999999998</v>
      </c>
      <c r="E10300">
        <v>0.64880159999999998</v>
      </c>
      <c r="F10300" t="s">
        <v>55</v>
      </c>
      <c r="G10300">
        <v>-174.14269999999999</v>
      </c>
      <c r="H10300" s="1">
        <v>-2.730332E-6</v>
      </c>
      <c r="I10300">
        <v>132.43729999999999</v>
      </c>
      <c r="J10300">
        <v>-180.5745</v>
      </c>
      <c r="K10300">
        <v>1.0981160000000001</v>
      </c>
      <c r="L10300">
        <v>130.26329999999999</v>
      </c>
      <c r="M10300">
        <v>0.6242723</v>
      </c>
      <c r="N10300">
        <v>0</v>
      </c>
      <c r="O10300">
        <v>0.78104200000000001</v>
      </c>
      <c r="P10300">
        <v>0.76303460000000001</v>
      </c>
      <c r="Q10300">
        <v>-4.0438180000000002E-3</v>
      </c>
      <c r="R10300">
        <v>0.64634510000000001</v>
      </c>
      <c r="S10300">
        <v>3.0387729999999999</v>
      </c>
      <c r="T10300">
        <v>-0.50969229999999999</v>
      </c>
      <c r="U10300">
        <v>1.070435</v>
      </c>
      <c r="V10300">
        <v>0.1927487</v>
      </c>
      <c r="W10300">
        <v>6.15337E-3</v>
      </c>
      <c r="X10300">
        <v>0.98122880000000001</v>
      </c>
      <c r="Y10300">
        <v>0.51634670000000005</v>
      </c>
      <c r="Z10300">
        <v>-0.1498111</v>
      </c>
      <c r="AA10300">
        <v>0.84317419999999998</v>
      </c>
      <c r="AB10300">
        <v>28</v>
      </c>
      <c r="AC10300">
        <v>6.4318000000000097</v>
      </c>
      <c r="AD10300">
        <v>-1.0981187303319999</v>
      </c>
      <c r="AE10300">
        <v>2.1739999999999999</v>
      </c>
      <c r="AF10300">
        <v>3.5733289049489998</v>
      </c>
      <c r="AG10300">
        <v>-1.0981187303319999</v>
      </c>
      <c r="AH10300">
        <v>5.56824577500341</v>
      </c>
      <c r="AI10300">
        <v>99.4237232441087</v>
      </c>
      <c r="AJ10300">
        <v>57.310357976501201</v>
      </c>
      <c r="AK10300">
        <v>6.7067059887617901</v>
      </c>
      <c r="AL10300">
        <v>89.6474356237009</v>
      </c>
      <c r="AM10300">
        <v>78.886547433563507</v>
      </c>
      <c r="AN10300">
        <v>0.999999941631741</v>
      </c>
    </row>
    <row r="10301" spans="1:40" x14ac:dyDescent="0.25">
      <c r="A10301" t="str">
        <f>"20190312154154332"</f>
        <v>20190312154154332</v>
      </c>
      <c r="B10301" t="str">
        <f>"1552376514326575"</f>
        <v>1552376514326575</v>
      </c>
      <c r="C10301" t="s">
        <v>40</v>
      </c>
      <c r="D10301">
        <v>4.8142699999999996</v>
      </c>
      <c r="E10301">
        <v>0.6490321</v>
      </c>
      <c r="F10301" t="s">
        <v>55</v>
      </c>
      <c r="G10301">
        <v>-174.00960000000001</v>
      </c>
      <c r="H10301" s="1">
        <v>-2.6924510000000002E-6</v>
      </c>
      <c r="I10301">
        <v>132.49299999999999</v>
      </c>
      <c r="J10301">
        <v>-180.46199999999999</v>
      </c>
      <c r="K10301">
        <v>1.098017</v>
      </c>
      <c r="L10301">
        <v>130.3886</v>
      </c>
      <c r="M10301">
        <v>0.63178449999999997</v>
      </c>
      <c r="N10301">
        <v>0</v>
      </c>
      <c r="O10301">
        <v>0.77497709999999997</v>
      </c>
      <c r="P10301">
        <v>0.7694453</v>
      </c>
      <c r="Q10301">
        <v>-4.5976790000000003E-3</v>
      </c>
      <c r="R10301">
        <v>0.63869609999999899</v>
      </c>
      <c r="S10301">
        <v>3.0511629999999998</v>
      </c>
      <c r="T10301">
        <v>-0.51037060000000001</v>
      </c>
      <c r="U10301">
        <v>1.0363009999999999</v>
      </c>
      <c r="V10301">
        <v>0.19305269999999999</v>
      </c>
      <c r="W10301">
        <v>5.5835600000000004E-3</v>
      </c>
      <c r="X10301">
        <v>0.9811725</v>
      </c>
      <c r="Y10301">
        <v>0.51763779999999904</v>
      </c>
      <c r="Z10301">
        <v>-0.14945139999999901</v>
      </c>
      <c r="AA10301">
        <v>0.84244609999999998</v>
      </c>
      <c r="AB10301">
        <v>28</v>
      </c>
      <c r="AC10301">
        <v>6.4524000000000097</v>
      </c>
      <c r="AD10301">
        <v>-1.098019692451</v>
      </c>
      <c r="AE10301">
        <v>2.1043999999999898</v>
      </c>
      <c r="AF10301">
        <v>3.5777640664142401</v>
      </c>
      <c r="AG10301">
        <v>-1.098019692451</v>
      </c>
      <c r="AH10301">
        <v>5.56253065275392</v>
      </c>
      <c r="AI10301">
        <v>99.426261973698203</v>
      </c>
      <c r="AJ10301">
        <v>57.251281446263498</v>
      </c>
      <c r="AK10301">
        <v>6.7043113160683498</v>
      </c>
      <c r="AL10301">
        <v>89.680083914375899</v>
      </c>
      <c r="AM10301">
        <v>78.868834099397702</v>
      </c>
      <c r="AN10301">
        <v>0.99999999793790595</v>
      </c>
    </row>
    <row r="10302" spans="1:40" x14ac:dyDescent="0.25">
      <c r="A10302" t="str">
        <f>"20190312154154346"</f>
        <v>20190312154154346</v>
      </c>
      <c r="B10302" t="str">
        <f>"1552376514336334"</f>
        <v>1552376514336334</v>
      </c>
      <c r="C10302" t="s">
        <v>40</v>
      </c>
      <c r="D10302">
        <v>4.8225910000000001</v>
      </c>
      <c r="E10302">
        <v>0.64910129999999999</v>
      </c>
      <c r="F10302" t="s">
        <v>55</v>
      </c>
      <c r="G10302">
        <v>-173.87559999999999</v>
      </c>
      <c r="H10302" s="1">
        <v>-2.6535999999999999E-6</v>
      </c>
      <c r="I10302">
        <v>132.5472</v>
      </c>
      <c r="J10302">
        <v>-180.34440000000001</v>
      </c>
      <c r="K10302">
        <v>1.0979179999999999</v>
      </c>
      <c r="L10302">
        <v>130.517</v>
      </c>
      <c r="M10302">
        <v>0.63955660000000003</v>
      </c>
      <c r="N10302">
        <v>0</v>
      </c>
      <c r="O10302">
        <v>0.7685748</v>
      </c>
      <c r="P10302">
        <v>0.77638940000000001</v>
      </c>
      <c r="Q10302">
        <v>-4.9811589999999998E-3</v>
      </c>
      <c r="R10302">
        <v>0.63023379999999996</v>
      </c>
      <c r="S10302">
        <v>3.0626980000000001</v>
      </c>
      <c r="T10302">
        <v>-0.51058409999999999</v>
      </c>
      <c r="U10302">
        <v>1.003738</v>
      </c>
      <c r="V10302">
        <v>0.19390260000000001</v>
      </c>
      <c r="W10302">
        <v>5.1677650000000004E-3</v>
      </c>
      <c r="X10302">
        <v>0.98100719999999997</v>
      </c>
      <c r="Y10302">
        <v>0.51814659999999901</v>
      </c>
      <c r="Z10302">
        <v>-0.14886350000000001</v>
      </c>
      <c r="AA10302">
        <v>0.84223740000000002</v>
      </c>
      <c r="AB10302">
        <v>28</v>
      </c>
      <c r="AC10302">
        <v>6.4688000000000097</v>
      </c>
      <c r="AD10302">
        <v>-1.0979206535999999</v>
      </c>
      <c r="AE10302">
        <v>2.0301999999999998</v>
      </c>
      <c r="AF10302">
        <v>3.5799275686915699</v>
      </c>
      <c r="AG10302">
        <v>-1.0979206535999999</v>
      </c>
      <c r="AH10302">
        <v>5.5526540324641802</v>
      </c>
      <c r="AI10302">
        <v>99.435419758229997</v>
      </c>
      <c r="AJ10302">
        <v>57.189165705629598</v>
      </c>
      <c r="AK10302">
        <v>6.6972589887893799</v>
      </c>
      <c r="AL10302">
        <v>89.703907565558595</v>
      </c>
      <c r="AM10302">
        <v>78.819225392944603</v>
      </c>
      <c r="AN10302">
        <v>1.00000002526684</v>
      </c>
    </row>
    <row r="10303" spans="1:40" x14ac:dyDescent="0.25">
      <c r="A10303" t="str">
        <f>"20190312154154357"</f>
        <v>20190312154154357</v>
      </c>
      <c r="B10303" t="str">
        <f>"1552376514346095"</f>
        <v>1552376514346095</v>
      </c>
      <c r="C10303" t="s">
        <v>40</v>
      </c>
      <c r="D10303">
        <v>4.8403549999999997</v>
      </c>
      <c r="E10303">
        <v>0.64914229999999995</v>
      </c>
      <c r="F10303" t="s">
        <v>55</v>
      </c>
      <c r="G10303">
        <v>-173.74430000000001</v>
      </c>
      <c r="H10303" s="1">
        <v>-2.614977E-6</v>
      </c>
      <c r="I10303">
        <v>132.59889999999999</v>
      </c>
      <c r="J10303">
        <v>-180.2473</v>
      </c>
      <c r="K10303">
        <v>1.097837</v>
      </c>
      <c r="L10303">
        <v>130.62190000000001</v>
      </c>
      <c r="M10303">
        <v>0.64592179999999999</v>
      </c>
      <c r="N10303">
        <v>0</v>
      </c>
      <c r="O10303">
        <v>0.76323249999999998</v>
      </c>
      <c r="P10303">
        <v>0.78201639999999994</v>
      </c>
      <c r="Q10303">
        <v>-4.4042200000000004E-3</v>
      </c>
      <c r="R10303">
        <v>0.62324230000000003</v>
      </c>
      <c r="S10303">
        <v>3.073715</v>
      </c>
      <c r="T10303">
        <v>-0.51130549999999997</v>
      </c>
      <c r="U10303">
        <v>0.96952819999999995</v>
      </c>
      <c r="V10303">
        <v>0.19457279999999999</v>
      </c>
      <c r="W10303">
        <v>5.7189800000000002E-3</v>
      </c>
      <c r="X10303">
        <v>0.98087139999999995</v>
      </c>
      <c r="Y10303">
        <v>0.52046020000000004</v>
      </c>
      <c r="Z10303">
        <v>-0.14866979999999999</v>
      </c>
      <c r="AA10303">
        <v>0.84084389999999998</v>
      </c>
      <c r="AB10303">
        <v>28</v>
      </c>
      <c r="AC10303">
        <v>6.5029999999999797</v>
      </c>
      <c r="AD10303">
        <v>-1.097839614977</v>
      </c>
      <c r="AE10303">
        <v>1.9769999999999699</v>
      </c>
      <c r="AF10303">
        <v>3.5930554823523302</v>
      </c>
      <c r="AG10303">
        <v>-1.097839614977</v>
      </c>
      <c r="AH10303">
        <v>5.56490258875455</v>
      </c>
      <c r="AI10303">
        <v>99.410383345183803</v>
      </c>
      <c r="AJ10303">
        <v>57.151137965463697</v>
      </c>
      <c r="AK10303">
        <v>6.7144203280552901</v>
      </c>
      <c r="AL10303">
        <v>89.672324794138106</v>
      </c>
      <c r="AM10303">
        <v>78.780045200847994</v>
      </c>
      <c r="AN10303">
        <v>0.99999999228502001</v>
      </c>
    </row>
    <row r="10304" spans="1:40" x14ac:dyDescent="0.25">
      <c r="A10304" t="str">
        <f>"20190312154154371"</f>
        <v>20190312154154371</v>
      </c>
      <c r="B10304" t="str">
        <f>"1552376514366590"</f>
        <v>1552376514366590</v>
      </c>
      <c r="C10304" t="s">
        <v>40</v>
      </c>
      <c r="D10304">
        <v>4.8552410000000004</v>
      </c>
      <c r="E10304">
        <v>0.64913589999999999</v>
      </c>
      <c r="F10304" t="s">
        <v>55</v>
      </c>
      <c r="G10304">
        <v>-173.61060000000001</v>
      </c>
      <c r="H10304" s="1">
        <v>-2.5748829999999999E-6</v>
      </c>
      <c r="I10304">
        <v>132.64940000000001</v>
      </c>
      <c r="J10304">
        <v>-180.12379999999999</v>
      </c>
      <c r="K10304">
        <v>1.0977440000000001</v>
      </c>
      <c r="L10304">
        <v>130.75120000000001</v>
      </c>
      <c r="M10304">
        <v>0.65392150000000004</v>
      </c>
      <c r="N10304">
        <v>0</v>
      </c>
      <c r="O10304">
        <v>0.75638890000000003</v>
      </c>
      <c r="P10304">
        <v>0.7898712</v>
      </c>
      <c r="Q10304">
        <v>-3.5818880000000001E-3</v>
      </c>
      <c r="R10304">
        <v>0.61326250000000004</v>
      </c>
      <c r="S10304">
        <v>3.0827939999999998</v>
      </c>
      <c r="T10304">
        <v>-0.50995740000000001</v>
      </c>
      <c r="U10304">
        <v>0.94180299999999995</v>
      </c>
      <c r="V10304">
        <v>0.1967286</v>
      </c>
      <c r="W10304">
        <v>6.4676009999999999E-3</v>
      </c>
      <c r="X10304">
        <v>0.98043659999999999</v>
      </c>
      <c r="Y10304">
        <v>0.51927709999999905</v>
      </c>
      <c r="Z10304">
        <v>-0.14747669999999999</v>
      </c>
      <c r="AA10304">
        <v>0.84178500000000001</v>
      </c>
      <c r="AB10304">
        <v>28</v>
      </c>
      <c r="AC10304">
        <v>6.5131999999999799</v>
      </c>
      <c r="AD10304">
        <v>-1.097746574883</v>
      </c>
      <c r="AE10304">
        <v>1.8982000000000001</v>
      </c>
      <c r="AF10304">
        <v>3.59168297241601</v>
      </c>
      <c r="AG10304">
        <v>-1.097746574883</v>
      </c>
      <c r="AH10304">
        <v>5.5503251940429399</v>
      </c>
      <c r="AI10304">
        <v>99.427753867998007</v>
      </c>
      <c r="AJ10304">
        <v>57.092602709196001</v>
      </c>
      <c r="AK10304">
        <v>6.7015926373242296</v>
      </c>
      <c r="AL10304">
        <v>89.629431156821695</v>
      </c>
      <c r="AM10304">
        <v>78.654037647914194</v>
      </c>
      <c r="AN10304">
        <v>0.99999994927010605</v>
      </c>
    </row>
    <row r="10305" spans="1:40" x14ac:dyDescent="0.25">
      <c r="A10305" t="str">
        <f>"20190312154154384"</f>
        <v>20190312154154384</v>
      </c>
      <c r="B10305" t="str">
        <f>"1552376514376351"</f>
        <v>1552376514376351</v>
      </c>
      <c r="C10305" t="s">
        <v>40</v>
      </c>
      <c r="D10305">
        <v>4.829593</v>
      </c>
      <c r="E10305">
        <v>0.64910480000000004</v>
      </c>
      <c r="F10305" t="s">
        <v>55</v>
      </c>
      <c r="G10305">
        <v>-173.4436</v>
      </c>
      <c r="H10305" s="1">
        <v>-2.5207560000000001E-6</v>
      </c>
      <c r="I10305">
        <v>132.70189999999999</v>
      </c>
      <c r="J10305">
        <v>-180.01949999999999</v>
      </c>
      <c r="K10305">
        <v>1.0976709999999901</v>
      </c>
      <c r="L10305">
        <v>130.8586</v>
      </c>
      <c r="M10305">
        <v>0.66061190000000003</v>
      </c>
      <c r="N10305">
        <v>0</v>
      </c>
      <c r="O10305">
        <v>0.75055209999999895</v>
      </c>
      <c r="P10305">
        <v>0.79588340000000002</v>
      </c>
      <c r="Q10305">
        <v>-3.4099859999999998E-3</v>
      </c>
      <c r="R10305">
        <v>0.60544039999999999</v>
      </c>
      <c r="S10305">
        <v>3.0942379999999998</v>
      </c>
      <c r="T10305">
        <v>-0.50847100000000001</v>
      </c>
      <c r="U10305">
        <v>0.90357969999999999</v>
      </c>
      <c r="V10305">
        <v>0.19770219999999999</v>
      </c>
      <c r="W10305">
        <v>6.6058790000000003E-3</v>
      </c>
      <c r="X10305">
        <v>0.98023990000000005</v>
      </c>
      <c r="Y10305">
        <v>0.52225149999999998</v>
      </c>
      <c r="Z10305">
        <v>-0.1466401</v>
      </c>
      <c r="AA10305">
        <v>0.84008939999999999</v>
      </c>
      <c r="AB10305">
        <v>28</v>
      </c>
      <c r="AC10305">
        <v>6.5758999999999901</v>
      </c>
      <c r="AD10305">
        <v>-1.09767352075599</v>
      </c>
      <c r="AE10305">
        <v>1.8432999999999899</v>
      </c>
      <c r="AF10305">
        <v>3.6247002442755298</v>
      </c>
      <c r="AG10305">
        <v>-1.09767352075599</v>
      </c>
      <c r="AH10305">
        <v>5.5841072442531301</v>
      </c>
      <c r="AI10305">
        <v>99.362731430460101</v>
      </c>
      <c r="AJ10305">
        <v>57.011991824658097</v>
      </c>
      <c r="AK10305">
        <v>6.7472655746117001</v>
      </c>
      <c r="AL10305">
        <v>89.621508271723997</v>
      </c>
      <c r="AM10305">
        <v>78.597126195835699</v>
      </c>
      <c r="AN10305">
        <v>1.0000000295371001</v>
      </c>
    </row>
    <row r="10306" spans="1:40" x14ac:dyDescent="0.25">
      <c r="A10306" t="str">
        <f>"20190312154154394"</f>
        <v>20190312154154394</v>
      </c>
      <c r="B10306" t="str">
        <f>"1552376514386110"</f>
        <v>1552376514386110</v>
      </c>
      <c r="C10306" t="s">
        <v>40</v>
      </c>
      <c r="D10306">
        <v>4.8213970000000002</v>
      </c>
      <c r="E10306">
        <v>0.64900839999999904</v>
      </c>
      <c r="F10306" t="s">
        <v>55</v>
      </c>
      <c r="G10306">
        <v>-173.3057</v>
      </c>
      <c r="H10306" s="1">
        <v>-2.466217E-6</v>
      </c>
      <c r="I10306">
        <v>132.74809999999999</v>
      </c>
      <c r="J10306">
        <v>-179.91399999999999</v>
      </c>
      <c r="K10306">
        <v>1.0975999999999999</v>
      </c>
      <c r="L10306">
        <v>130.9658</v>
      </c>
      <c r="M10306">
        <v>0.66731359999999995</v>
      </c>
      <c r="N10306">
        <v>0</v>
      </c>
      <c r="O10306">
        <v>0.74459919999999902</v>
      </c>
      <c r="P10306">
        <v>0.80186999999999997</v>
      </c>
      <c r="Q10306">
        <v>-3.488391E-3</v>
      </c>
      <c r="R10306">
        <v>0.59748849999999998</v>
      </c>
      <c r="S10306">
        <v>3.1029209999999998</v>
      </c>
      <c r="T10306">
        <v>-0.50731179999999998</v>
      </c>
      <c r="U10306">
        <v>0.8732605</v>
      </c>
      <c r="V10306">
        <v>0.19867019999999999</v>
      </c>
      <c r="W10306">
        <v>6.4933480000000003E-3</v>
      </c>
      <c r="X10306">
        <v>0.9800449</v>
      </c>
      <c r="Y10306">
        <v>0.52297740000000004</v>
      </c>
      <c r="Z10306">
        <v>-0.1457358</v>
      </c>
      <c r="AA10306">
        <v>0.83979499999999996</v>
      </c>
      <c r="AB10306">
        <v>27</v>
      </c>
      <c r="AC10306">
        <v>6.6083000000000096</v>
      </c>
      <c r="AD10306">
        <v>-1.0976024662170001</v>
      </c>
      <c r="AE10306">
        <v>1.78229999999999</v>
      </c>
      <c r="AF10306">
        <v>3.6381151906122899</v>
      </c>
      <c r="AG10306">
        <v>-1.0976024662170001</v>
      </c>
      <c r="AH10306">
        <v>5.5938122313528202</v>
      </c>
      <c r="AI10306">
        <v>99.340845973886402</v>
      </c>
      <c r="AJ10306">
        <v>56.960745938961701</v>
      </c>
      <c r="AK10306">
        <v>6.7624957370516698</v>
      </c>
      <c r="AL10306">
        <v>89.627955953547797</v>
      </c>
      <c r="AM10306">
        <v>78.540548525093897</v>
      </c>
      <c r="AN10306">
        <v>1.0000000089761401</v>
      </c>
    </row>
    <row r="10307" spans="1:40" x14ac:dyDescent="0.25">
      <c r="A10307" t="str">
        <f>"20190312154154407"</f>
        <v>20190312154154407</v>
      </c>
      <c r="B10307" t="str">
        <f>"1552376514395871"</f>
        <v>1552376514395871</v>
      </c>
      <c r="C10307" t="s">
        <v>40</v>
      </c>
      <c r="D10307">
        <v>4.8429650000000004</v>
      </c>
      <c r="E10307">
        <v>0.64890349999999997</v>
      </c>
      <c r="F10307" t="s">
        <v>55</v>
      </c>
      <c r="G10307">
        <v>-173.1782</v>
      </c>
      <c r="H10307" s="1">
        <v>-2.4122299999999999E-6</v>
      </c>
      <c r="I10307">
        <v>132.7903</v>
      </c>
      <c r="J10307">
        <v>-179.81469999999999</v>
      </c>
      <c r="K10307">
        <v>1.097539</v>
      </c>
      <c r="L10307">
        <v>131.06399999999999</v>
      </c>
      <c r="M10307">
        <v>0.6735468</v>
      </c>
      <c r="N10307">
        <v>0</v>
      </c>
      <c r="O10307">
        <v>0.73896490000000004</v>
      </c>
      <c r="P10307">
        <v>0.80734469999999903</v>
      </c>
      <c r="Q10307">
        <v>-3.8770330000000002E-3</v>
      </c>
      <c r="R10307">
        <v>0.59006740000000002</v>
      </c>
      <c r="S10307">
        <v>3.1111149999999999</v>
      </c>
      <c r="T10307">
        <v>-0.50696319999999995</v>
      </c>
      <c r="U10307">
        <v>0.84272769999999997</v>
      </c>
      <c r="V10307">
        <v>0.19946220000000001</v>
      </c>
      <c r="W10307">
        <v>6.0785070000000004E-3</v>
      </c>
      <c r="X10307">
        <v>0.9798867</v>
      </c>
      <c r="Y10307">
        <v>0.52414989999999995</v>
      </c>
      <c r="Z10307">
        <v>-0.1451317</v>
      </c>
      <c r="AA10307">
        <v>0.83916840000000004</v>
      </c>
      <c r="AB10307">
        <v>27</v>
      </c>
      <c r="AC10307">
        <v>6.6364999999999803</v>
      </c>
      <c r="AD10307">
        <v>-1.09754141222999</v>
      </c>
      <c r="AE10307">
        <v>1.7262999999999999</v>
      </c>
      <c r="AF10307">
        <v>3.6484315642381802</v>
      </c>
      <c r="AG10307">
        <v>-1.09754141222999</v>
      </c>
      <c r="AH10307">
        <v>5.6029017216304604</v>
      </c>
      <c r="AI10307">
        <v>99.322157159274198</v>
      </c>
      <c r="AJ10307">
        <v>56.929103559918303</v>
      </c>
      <c r="AK10307">
        <v>6.7755558984292099</v>
      </c>
      <c r="AL10307">
        <v>89.651725069296504</v>
      </c>
      <c r="AM10307">
        <v>78.494273176845198</v>
      </c>
      <c r="AN10307">
        <v>1.00000003115653</v>
      </c>
    </row>
    <row r="10308" spans="1:40" x14ac:dyDescent="0.25">
      <c r="A10308" t="str">
        <f>"20190312154154417"</f>
        <v>20190312154154417</v>
      </c>
      <c r="B10308" t="str">
        <f>"1552376514406140"</f>
        <v>1552376514406140</v>
      </c>
      <c r="C10308" t="s">
        <v>40</v>
      </c>
      <c r="D10308">
        <v>4.8445720000000003</v>
      </c>
      <c r="E10308">
        <v>0.64881750000000005</v>
      </c>
      <c r="F10308" t="s">
        <v>55</v>
      </c>
      <c r="G10308">
        <v>-173.08500000000001</v>
      </c>
      <c r="H10308" s="1">
        <v>-2.3732980000000002E-6</v>
      </c>
      <c r="I10308">
        <v>132.82239999999999</v>
      </c>
      <c r="J10308">
        <v>-179.71379999999999</v>
      </c>
      <c r="K10308">
        <v>1.097475</v>
      </c>
      <c r="L10308">
        <v>131.16299999999899</v>
      </c>
      <c r="M10308">
        <v>0.67982319999999996</v>
      </c>
      <c r="N10308">
        <v>0</v>
      </c>
      <c r="O10308">
        <v>0.73319429999999997</v>
      </c>
      <c r="P10308">
        <v>0.81274040000000003</v>
      </c>
      <c r="Q10308">
        <v>-4.4973050000000001E-3</v>
      </c>
      <c r="R10308">
        <v>0.58260859999999903</v>
      </c>
      <c r="S10308">
        <v>3.1179809999999999</v>
      </c>
      <c r="T10308">
        <v>-0.50851219999999997</v>
      </c>
      <c r="U10308">
        <v>0.8147278</v>
      </c>
      <c r="V10308">
        <v>0.20010929999999999</v>
      </c>
      <c r="W10308">
        <v>5.4366950000000001E-3</v>
      </c>
      <c r="X10308">
        <v>0.97975849999999998</v>
      </c>
      <c r="Y10308">
        <v>0.52440319999999996</v>
      </c>
      <c r="Z10308">
        <v>-0.1449955</v>
      </c>
      <c r="AA10308">
        <v>0.83903379999999905</v>
      </c>
      <c r="AB10308">
        <v>27</v>
      </c>
      <c r="AC10308">
        <v>6.6287999999999796</v>
      </c>
      <c r="AD10308">
        <v>-1.0974773732980001</v>
      </c>
      <c r="AE10308">
        <v>1.6594</v>
      </c>
      <c r="AF10308">
        <v>3.63873835123941</v>
      </c>
      <c r="AG10308">
        <v>-1.0974773732980001</v>
      </c>
      <c r="AH10308">
        <v>5.5799074424880404</v>
      </c>
      <c r="AI10308">
        <v>99.355379560445797</v>
      </c>
      <c r="AJ10308">
        <v>56.891047849583899</v>
      </c>
      <c r="AK10308">
        <v>6.7513139788055296</v>
      </c>
      <c r="AL10308">
        <v>89.688498788680207</v>
      </c>
      <c r="AM10308">
        <v>78.456476428880904</v>
      </c>
      <c r="AN10308">
        <v>1.00000000396063</v>
      </c>
    </row>
    <row r="10309" spans="1:40" x14ac:dyDescent="0.25">
      <c r="A10309" t="str">
        <f>"20190312154154438"</f>
        <v>20190312154154438</v>
      </c>
      <c r="B10309" t="str">
        <f>"1552376514426635"</f>
        <v>1552376514426635</v>
      </c>
      <c r="C10309" t="s">
        <v>40</v>
      </c>
      <c r="D10309">
        <v>4.8521340000000004</v>
      </c>
      <c r="E10309">
        <v>0.64847460000000001</v>
      </c>
      <c r="F10309" t="s">
        <v>55</v>
      </c>
      <c r="G10309">
        <v>-172.97909999999999</v>
      </c>
      <c r="H10309" s="1">
        <v>-2.328354E-6</v>
      </c>
      <c r="I10309">
        <v>132.85720000000001</v>
      </c>
      <c r="J10309">
        <v>-179.52869999999999</v>
      </c>
      <c r="K10309">
        <v>1.0973679999999999</v>
      </c>
      <c r="L10309">
        <v>131.33920000000001</v>
      </c>
      <c r="M10309">
        <v>0.69113840000000004</v>
      </c>
      <c r="N10309">
        <v>0</v>
      </c>
      <c r="O10309">
        <v>0.72253669999999903</v>
      </c>
      <c r="P10309">
        <v>0.82216359999999999</v>
      </c>
      <c r="Q10309">
        <v>-6.0563789999999998E-3</v>
      </c>
      <c r="R10309">
        <v>0.56921899999999903</v>
      </c>
      <c r="S10309">
        <v>3.1248629999999999</v>
      </c>
      <c r="T10309">
        <v>-0.50922909999999999</v>
      </c>
      <c r="U10309">
        <v>0.78610230000000003</v>
      </c>
      <c r="V10309">
        <v>0.20087279999999999</v>
      </c>
      <c r="W10309">
        <v>3.856951E-3</v>
      </c>
      <c r="X10309">
        <v>0.97960970000000003</v>
      </c>
      <c r="Y10309">
        <v>0.51901249999999999</v>
      </c>
      <c r="Z10309">
        <v>-0.14368979999999901</v>
      </c>
      <c r="AA10309">
        <v>0.84260270000000004</v>
      </c>
      <c r="AB10309">
        <v>27</v>
      </c>
      <c r="AC10309">
        <v>6.5495999999999901</v>
      </c>
      <c r="AD10309">
        <v>-1.0973703283539999</v>
      </c>
      <c r="AE10309">
        <v>1.518</v>
      </c>
      <c r="AF10309">
        <v>3.5880821242400298</v>
      </c>
      <c r="AG10309">
        <v>-1.0973703283539999</v>
      </c>
      <c r="AH10309">
        <v>5.4782975998892596</v>
      </c>
      <c r="AI10309">
        <v>99.512646894303501</v>
      </c>
      <c r="AJ10309">
        <v>56.776685494391899</v>
      </c>
      <c r="AK10309">
        <v>6.6400526775617603</v>
      </c>
      <c r="AL10309">
        <v>89.779012429406293</v>
      </c>
      <c r="AM10309">
        <v>78.411909521835398</v>
      </c>
      <c r="AN10309">
        <v>0.99999996109247202</v>
      </c>
    </row>
    <row r="10310" spans="1:40" x14ac:dyDescent="0.25">
      <c r="A10310" t="str">
        <f>"20190312154154450"</f>
        <v>20190312154154450</v>
      </c>
      <c r="B10310" t="str">
        <f>"1552376514446156"</f>
        <v>1552376514446156</v>
      </c>
      <c r="C10310" t="s">
        <v>40</v>
      </c>
      <c r="D10310">
        <v>4.8515810000000004</v>
      </c>
      <c r="E10310">
        <v>0.64806189999999997</v>
      </c>
      <c r="F10310" t="s">
        <v>55</v>
      </c>
      <c r="G10310">
        <v>-172.8355</v>
      </c>
      <c r="H10310" s="1">
        <v>-2.270597E-6</v>
      </c>
      <c r="I10310">
        <v>132.9117</v>
      </c>
      <c r="J10310">
        <v>-179.41739999999999</v>
      </c>
      <c r="K10310">
        <v>1.0973189999999999</v>
      </c>
      <c r="L10310">
        <v>131.44210000000001</v>
      </c>
      <c r="M10310">
        <v>0.69782239999999995</v>
      </c>
      <c r="N10310">
        <v>0</v>
      </c>
      <c r="O10310">
        <v>0.71608289999999997</v>
      </c>
      <c r="P10310">
        <v>0.82747059999999995</v>
      </c>
      <c r="Q10310">
        <v>-6.3909789999999998E-3</v>
      </c>
      <c r="R10310">
        <v>0.56147269999999905</v>
      </c>
      <c r="S10310">
        <v>3.1351619999999998</v>
      </c>
      <c r="T10310">
        <v>-0.51401929999999996</v>
      </c>
      <c r="U10310">
        <v>0.73657229999999996</v>
      </c>
      <c r="V10310">
        <v>0.2009589</v>
      </c>
      <c r="W10310">
        <v>3.5255519999999999E-3</v>
      </c>
      <c r="X10310">
        <v>0.9795933</v>
      </c>
      <c r="Y10310">
        <v>0.52408049999999995</v>
      </c>
      <c r="Z10310">
        <v>-0.1447416</v>
      </c>
      <c r="AA10310">
        <v>0.839279199999999</v>
      </c>
      <c r="AB10310">
        <v>27</v>
      </c>
      <c r="AC10310">
        <v>6.5818999999999903</v>
      </c>
      <c r="AD10310">
        <v>-1.0973212705969999</v>
      </c>
      <c r="AE10310">
        <v>1.46959999999998</v>
      </c>
      <c r="AF10310">
        <v>3.5930369284567698</v>
      </c>
      <c r="AG10310">
        <v>-1.0973212705969999</v>
      </c>
      <c r="AH10310">
        <v>5.5004871228873702</v>
      </c>
      <c r="AI10310">
        <v>99.481977121012605</v>
      </c>
      <c r="AJ10310">
        <v>56.846563579166599</v>
      </c>
      <c r="AK10310">
        <v>6.6610349743270696</v>
      </c>
      <c r="AL10310">
        <v>89.798000325668397</v>
      </c>
      <c r="AM10310">
        <v>78.406888124779996</v>
      </c>
      <c r="AN10310">
        <v>0.99999997120550099</v>
      </c>
    </row>
    <row r="10311" spans="1:40" x14ac:dyDescent="0.25">
      <c r="A10311" t="str">
        <f>"20190312154154461"</f>
        <v>20190312154154461</v>
      </c>
      <c r="B10311" t="str">
        <f>"1552376514455915"</f>
        <v>1552376514455915</v>
      </c>
      <c r="C10311" t="s">
        <v>40</v>
      </c>
      <c r="D10311">
        <v>4.85114</v>
      </c>
      <c r="E10311">
        <v>0.64780419999999905</v>
      </c>
      <c r="F10311" t="s">
        <v>55</v>
      </c>
      <c r="G10311">
        <v>-172.75280000000001</v>
      </c>
      <c r="H10311" s="1">
        <v>-2.2398020000000002E-6</v>
      </c>
      <c r="I10311">
        <v>132.9487</v>
      </c>
      <c r="J10311">
        <v>-179.3098</v>
      </c>
      <c r="K10311">
        <v>1.097278</v>
      </c>
      <c r="L10311">
        <v>131.5401</v>
      </c>
      <c r="M10311">
        <v>0.70419779999999998</v>
      </c>
      <c r="N10311">
        <v>0</v>
      </c>
      <c r="O10311">
        <v>0.70981369999999999</v>
      </c>
      <c r="P10311">
        <v>0.83244099999999999</v>
      </c>
      <c r="Q10311">
        <v>-7.2100829999999999E-3</v>
      </c>
      <c r="R10311">
        <v>0.55406669999999902</v>
      </c>
      <c r="S10311">
        <v>3.1398929999999998</v>
      </c>
      <c r="T10311">
        <v>-0.51698149999999998</v>
      </c>
      <c r="U10311">
        <v>0.70980829999999995</v>
      </c>
      <c r="V10311">
        <v>0.20091100000000001</v>
      </c>
      <c r="W10311">
        <v>2.713979E-3</v>
      </c>
      <c r="X10311">
        <v>0.97960570000000002</v>
      </c>
      <c r="Y10311">
        <v>0.52348760000000005</v>
      </c>
      <c r="Z10311">
        <v>-0.1448817</v>
      </c>
      <c r="AA10311">
        <v>0.83962490000000001</v>
      </c>
      <c r="AB10311">
        <v>27</v>
      </c>
      <c r="AC10311">
        <v>6.55699999999998</v>
      </c>
      <c r="AD10311">
        <v>-1.0972802398019901</v>
      </c>
      <c r="AE10311">
        <v>1.4086000000000001</v>
      </c>
      <c r="AF10311">
        <v>3.5673166025330501</v>
      </c>
      <c r="AG10311">
        <v>-1.0972802398019901</v>
      </c>
      <c r="AH10311">
        <v>5.47155914376025</v>
      </c>
      <c r="AI10311">
        <v>99.536182703176905</v>
      </c>
      <c r="AJ10311">
        <v>56.8966780152669</v>
      </c>
      <c r="AK10311">
        <v>6.6232719354586598</v>
      </c>
      <c r="AL10311">
        <v>89.844500260737902</v>
      </c>
      <c r="AM10311">
        <v>78.409719390101799</v>
      </c>
      <c r="AN10311">
        <v>0.99999996153774995</v>
      </c>
    </row>
    <row r="10312" spans="1:40" x14ac:dyDescent="0.25">
      <c r="A10312" t="str">
        <f>"20190312154154473"</f>
        <v>20190312154154473</v>
      </c>
      <c r="B10312" t="str">
        <f>"1552376514466651"</f>
        <v>1552376514466651</v>
      </c>
      <c r="C10312" t="s">
        <v>40</v>
      </c>
      <c r="D10312">
        <v>4.830298</v>
      </c>
      <c r="E10312">
        <v>0.64752319999999997</v>
      </c>
      <c r="F10312" t="s">
        <v>55</v>
      </c>
      <c r="G10312">
        <v>-172.68799999999999</v>
      </c>
      <c r="H10312" s="1">
        <v>-2.2161459999999998E-6</v>
      </c>
      <c r="I10312">
        <v>132.9786</v>
      </c>
      <c r="J10312">
        <v>-179.2003</v>
      </c>
      <c r="K10312">
        <v>1.097248</v>
      </c>
      <c r="L10312">
        <v>131.63810000000001</v>
      </c>
      <c r="M10312">
        <v>0.71060059999999903</v>
      </c>
      <c r="N10312">
        <v>0</v>
      </c>
      <c r="O10312">
        <v>0.70340319999999901</v>
      </c>
      <c r="P10312">
        <v>0.8372231</v>
      </c>
      <c r="Q10312">
        <v>-7.8533390000000008E-3</v>
      </c>
      <c r="R10312">
        <v>0.5468054</v>
      </c>
      <c r="S10312">
        <v>3.144638</v>
      </c>
      <c r="T10312">
        <v>-0.52108809999999905</v>
      </c>
      <c r="U10312">
        <v>0.68312069999999903</v>
      </c>
      <c r="V10312">
        <v>0.20053170000000001</v>
      </c>
      <c r="W10312">
        <v>2.0907550000000001E-3</v>
      </c>
      <c r="X10312">
        <v>0.97968500000000003</v>
      </c>
      <c r="Y10312">
        <v>0.52272689999999999</v>
      </c>
      <c r="Z10312">
        <v>-0.14528189999999999</v>
      </c>
      <c r="AA10312">
        <v>0.84002960000000004</v>
      </c>
      <c r="AB10312">
        <v>27</v>
      </c>
      <c r="AC10312">
        <v>6.5122999999999998</v>
      </c>
      <c r="AD10312">
        <v>-1.097250216146</v>
      </c>
      <c r="AE10312">
        <v>1.34049999999999</v>
      </c>
      <c r="AF10312">
        <v>3.5324977518182501</v>
      </c>
      <c r="AG10312">
        <v>-1.097250216146</v>
      </c>
      <c r="AH10312">
        <v>5.4236010779923598</v>
      </c>
      <c r="AI10312">
        <v>99.621506628719004</v>
      </c>
      <c r="AJ10312">
        <v>56.923012841368703</v>
      </c>
      <c r="AK10312">
        <v>6.5649026692429597</v>
      </c>
      <c r="AL10312">
        <v>89.880208477218503</v>
      </c>
      <c r="AM10312">
        <v>78.431921446021406</v>
      </c>
      <c r="AN10312">
        <v>1.0000000165931799</v>
      </c>
    </row>
    <row r="10313" spans="1:40" x14ac:dyDescent="0.25">
      <c r="A10313" t="str">
        <f>"20190312154154484"</f>
        <v>20190312154154484</v>
      </c>
      <c r="B10313" t="str">
        <f>"1552376514476411"</f>
        <v>1552376514476411</v>
      </c>
      <c r="C10313" t="s">
        <v>40</v>
      </c>
      <c r="D10313">
        <v>4.8146879999999896</v>
      </c>
      <c r="E10313">
        <v>0.64723949999999997</v>
      </c>
      <c r="F10313" t="s">
        <v>55</v>
      </c>
      <c r="G10313">
        <v>-172.6181</v>
      </c>
      <c r="H10313" s="1">
        <v>-2.1912639999999999E-6</v>
      </c>
      <c r="I10313">
        <v>133.01249999999999</v>
      </c>
      <c r="J10313">
        <v>-179.1011</v>
      </c>
      <c r="K10313">
        <v>1.097221</v>
      </c>
      <c r="L10313">
        <v>131.7251</v>
      </c>
      <c r="M10313">
        <v>0.71632109999999904</v>
      </c>
      <c r="N10313">
        <v>0</v>
      </c>
      <c r="O10313">
        <v>0.69757630000000004</v>
      </c>
      <c r="P10313">
        <v>0.84127799999999997</v>
      </c>
      <c r="Q10313">
        <v>-8.6332900000000001E-3</v>
      </c>
      <c r="R10313">
        <v>0.54053379999999995</v>
      </c>
      <c r="S10313">
        <v>3.1489410000000002</v>
      </c>
      <c r="T10313">
        <v>-0.52492059999999996</v>
      </c>
      <c r="U10313">
        <v>0.65750120000000001</v>
      </c>
      <c r="V10313">
        <v>0.19982349999999999</v>
      </c>
      <c r="W10313">
        <v>1.342598E-3</v>
      </c>
      <c r="X10313">
        <v>0.97983100000000001</v>
      </c>
      <c r="Y10313">
        <v>0.52243549999999905</v>
      </c>
      <c r="Z10313">
        <v>-0.14569079999999901</v>
      </c>
      <c r="AA10313">
        <v>0.84014009999999995</v>
      </c>
      <c r="AB10313">
        <v>27</v>
      </c>
      <c r="AC10313">
        <v>6.4829999999999997</v>
      </c>
      <c r="AD10313">
        <v>-1.097223191264</v>
      </c>
      <c r="AE10313">
        <v>1.2873999999999901</v>
      </c>
      <c r="AF10313">
        <v>3.5041190052362001</v>
      </c>
      <c r="AG10313">
        <v>-1.097223191264</v>
      </c>
      <c r="AH10313">
        <v>5.39407403811758</v>
      </c>
      <c r="AI10313">
        <v>99.680306893865904</v>
      </c>
      <c r="AJ10313">
        <v>56.9912867391144</v>
      </c>
      <c r="AK10313">
        <v>6.5252420233275004</v>
      </c>
      <c r="AL10313">
        <v>89.923074778763805</v>
      </c>
      <c r="AM10313">
        <v>78.473351612819798</v>
      </c>
      <c r="AN10313">
        <v>1.0000000111413101</v>
      </c>
    </row>
    <row r="10314" spans="1:40" x14ac:dyDescent="0.25">
      <c r="A10314" t="str">
        <f>"20190312154154495"</f>
        <v>20190312154154495</v>
      </c>
      <c r="B10314" t="str">
        <f>"1552376514486171"</f>
        <v>1552376514486171</v>
      </c>
      <c r="C10314" t="s">
        <v>40</v>
      </c>
      <c r="D10314">
        <v>4.823372</v>
      </c>
      <c r="E10314">
        <v>0.6469182</v>
      </c>
      <c r="F10314" t="s">
        <v>55</v>
      </c>
      <c r="G10314">
        <v>-172.55369999999999</v>
      </c>
      <c r="H10314" s="1">
        <v>-2.168797E-6</v>
      </c>
      <c r="I10314">
        <v>133.0446</v>
      </c>
      <c r="J10314">
        <v>-178.9933</v>
      </c>
      <c r="K10314">
        <v>1.0971949999999999</v>
      </c>
      <c r="L10314">
        <v>131.8185</v>
      </c>
      <c r="M10314">
        <v>0.72245839999999995</v>
      </c>
      <c r="N10314">
        <v>0</v>
      </c>
      <c r="O10314">
        <v>0.69121769999999905</v>
      </c>
      <c r="P10314">
        <v>0.84560659999999899</v>
      </c>
      <c r="Q10314">
        <v>-9.6131859999999993E-3</v>
      </c>
      <c r="R10314">
        <v>0.53372010000000003</v>
      </c>
      <c r="S10314">
        <v>3.15239</v>
      </c>
      <c r="T10314">
        <v>-0.52828439999999999</v>
      </c>
      <c r="U10314">
        <v>0.63531490000000002</v>
      </c>
      <c r="V10314">
        <v>0.19904230000000001</v>
      </c>
      <c r="W10314">
        <v>3.9798440000000002E-4</v>
      </c>
      <c r="X10314">
        <v>0.97999080000000005</v>
      </c>
      <c r="Y10314">
        <v>0.52070249999999996</v>
      </c>
      <c r="Z10314">
        <v>-0.14578379999999999</v>
      </c>
      <c r="AA10314">
        <v>0.84119909999999998</v>
      </c>
      <c r="AB10314">
        <v>27</v>
      </c>
      <c r="AC10314">
        <v>6.4396000000000102</v>
      </c>
      <c r="AD10314">
        <v>-1.0971971687969999</v>
      </c>
      <c r="AE10314">
        <v>1.2261</v>
      </c>
      <c r="AF10314">
        <v>3.4686703659640101</v>
      </c>
      <c r="AG10314">
        <v>-1.0971971687969999</v>
      </c>
      <c r="AH10314">
        <v>5.3506949685562297</v>
      </c>
      <c r="AI10314">
        <v>99.762995138591293</v>
      </c>
      <c r="AJ10314">
        <v>57.046054807713098</v>
      </c>
      <c r="AK10314">
        <v>6.4703517973496698</v>
      </c>
      <c r="AL10314">
        <v>89.977197172551698</v>
      </c>
      <c r="AM10314">
        <v>78.519037929226897</v>
      </c>
      <c r="AN10314">
        <v>0.99999998183275596</v>
      </c>
    </row>
    <row r="10315" spans="1:40" x14ac:dyDescent="0.25">
      <c r="A10315" t="str">
        <f>"20190312154154510"</f>
        <v>20190312154154510</v>
      </c>
      <c r="B10315" t="str">
        <f>"1552376514495932"</f>
        <v>1552376514495932</v>
      </c>
      <c r="C10315" t="s">
        <v>40</v>
      </c>
      <c r="D10315">
        <v>4.8073040000000002</v>
      </c>
      <c r="E10315">
        <v>0.64658139999999997</v>
      </c>
      <c r="F10315" t="s">
        <v>55</v>
      </c>
      <c r="G10315">
        <v>-172.4898</v>
      </c>
      <c r="H10315" s="1">
        <v>-2.1475670000000001E-6</v>
      </c>
      <c r="I10315">
        <v>133.0789</v>
      </c>
      <c r="J10315">
        <v>-178.86150000000001</v>
      </c>
      <c r="K10315">
        <v>1.0971759999999999</v>
      </c>
      <c r="L10315">
        <v>131.92959999999999</v>
      </c>
      <c r="M10315">
        <v>0.72982630000000004</v>
      </c>
      <c r="N10315">
        <v>0</v>
      </c>
      <c r="O10315">
        <v>0.68343319999999996</v>
      </c>
      <c r="P10315">
        <v>0.85073159999999903</v>
      </c>
      <c r="Q10315">
        <v>-1.073527E-2</v>
      </c>
      <c r="R10315">
        <v>0.52549080000000004</v>
      </c>
      <c r="S10315">
        <v>3.1556850000000001</v>
      </c>
      <c r="T10315">
        <v>-0.53239239999999999</v>
      </c>
      <c r="U10315">
        <v>0.61158749999999995</v>
      </c>
      <c r="V10315">
        <v>0.19800209999999999</v>
      </c>
      <c r="W10315">
        <v>-6.7651159999999996E-4</v>
      </c>
      <c r="X10315">
        <v>0.9802014</v>
      </c>
      <c r="Y10315">
        <v>0.5177503</v>
      </c>
      <c r="Z10315">
        <v>-0.14580839999999901</v>
      </c>
      <c r="AA10315">
        <v>0.84301510000000002</v>
      </c>
      <c r="AB10315">
        <v>27</v>
      </c>
      <c r="AC10315">
        <v>6.3716999999999997</v>
      </c>
      <c r="AD10315">
        <v>-1.0971781475669999</v>
      </c>
      <c r="AE10315">
        <v>1.14930000000001</v>
      </c>
      <c r="AF10315">
        <v>3.4181620411061502</v>
      </c>
      <c r="AG10315">
        <v>-1.0971781475669999</v>
      </c>
      <c r="AH10315">
        <v>5.2846849676412102</v>
      </c>
      <c r="AI10315">
        <v>99.888840478684401</v>
      </c>
      <c r="AJ10315">
        <v>57.104998763891203</v>
      </c>
      <c r="AK10315">
        <v>6.3887030635310103</v>
      </c>
      <c r="AL10315">
        <v>90.038761260997305</v>
      </c>
      <c r="AM10315">
        <v>78.579846240528497</v>
      </c>
      <c r="AN10315">
        <v>1.00000003691715</v>
      </c>
    </row>
    <row r="10316" spans="1:40" x14ac:dyDescent="0.25">
      <c r="A10316" t="str">
        <f>"20190312154154522"</f>
        <v>20190312154154522</v>
      </c>
      <c r="B10316" t="str">
        <f>"1552376514515959"</f>
        <v>1552376514515959</v>
      </c>
      <c r="C10316" t="s">
        <v>40</v>
      </c>
      <c r="D10316">
        <v>4.9795989999999897</v>
      </c>
      <c r="E10316">
        <v>0.64586339999999998</v>
      </c>
      <c r="F10316" t="s">
        <v>55</v>
      </c>
      <c r="G10316">
        <v>-172.4007</v>
      </c>
      <c r="H10316" s="1">
        <v>-2.1153840000000001E-6</v>
      </c>
      <c r="I10316">
        <v>133.12100000000001</v>
      </c>
      <c r="J10316">
        <v>-178.73840000000001</v>
      </c>
      <c r="K10316">
        <v>1.0971599999999999</v>
      </c>
      <c r="L10316">
        <v>132.0316</v>
      </c>
      <c r="M10316">
        <v>0.73659519999999901</v>
      </c>
      <c r="N10316">
        <v>0</v>
      </c>
      <c r="O10316">
        <v>0.67613190000000001</v>
      </c>
      <c r="P10316">
        <v>0.85525069999999903</v>
      </c>
      <c r="Q10316">
        <v>-1.1399090000000001E-2</v>
      </c>
      <c r="R10316">
        <v>0.51808920000000003</v>
      </c>
      <c r="S10316">
        <v>3.1596980000000001</v>
      </c>
      <c r="T10316">
        <v>-0.536582</v>
      </c>
      <c r="U10316">
        <v>0.58267209999999903</v>
      </c>
      <c r="V10316">
        <v>0.1967217</v>
      </c>
      <c r="W10316">
        <v>-1.2847030000000001E-3</v>
      </c>
      <c r="X10316">
        <v>0.98045850000000001</v>
      </c>
      <c r="Y10316">
        <v>0.51678859999999904</v>
      </c>
      <c r="Z10316">
        <v>-0.1460427</v>
      </c>
      <c r="AA10316">
        <v>0.84356450000000005</v>
      </c>
      <c r="AB10316">
        <v>27</v>
      </c>
      <c r="AC10316">
        <v>6.3377000000000097</v>
      </c>
      <c r="AD10316">
        <v>-1.0971621153839901</v>
      </c>
      <c r="AE10316">
        <v>1.0894000000000099</v>
      </c>
      <c r="AF10316">
        <v>3.3846259266080998</v>
      </c>
      <c r="AG10316">
        <v>-1.0971621153839901</v>
      </c>
      <c r="AH10316">
        <v>5.2527323647764099</v>
      </c>
      <c r="AI10316">
        <v>99.958543352231601</v>
      </c>
      <c r="AJ10316">
        <v>57.204077791713203</v>
      </c>
      <c r="AK10316">
        <v>6.3443403649608197</v>
      </c>
      <c r="AL10316">
        <v>90.073608081991907</v>
      </c>
      <c r="AM10316">
        <v>78.654672119058404</v>
      </c>
      <c r="AN10316">
        <v>0.99999997396746798</v>
      </c>
    </row>
    <row r="10317" spans="1:40" x14ac:dyDescent="0.25">
      <c r="A10317" t="str">
        <f>"20190312154154535"</f>
        <v>20190312154154535</v>
      </c>
      <c r="B10317" t="str">
        <f>"1552376514526697"</f>
        <v>1552376514526697</v>
      </c>
      <c r="C10317" t="s">
        <v>40</v>
      </c>
      <c r="D10317">
        <v>4.814381</v>
      </c>
      <c r="E10317">
        <v>0.6454799</v>
      </c>
      <c r="F10317" t="s">
        <v>55</v>
      </c>
      <c r="G10317">
        <v>-172.29419999999999</v>
      </c>
      <c r="H10317" s="1">
        <v>-2.077544E-6</v>
      </c>
      <c r="I10317">
        <v>133.17259999999999</v>
      </c>
      <c r="J10317">
        <v>-178.60990000000001</v>
      </c>
      <c r="K10317">
        <v>1.097151</v>
      </c>
      <c r="L10317">
        <v>132.1361</v>
      </c>
      <c r="M10317">
        <v>0.74354379999999998</v>
      </c>
      <c r="N10317">
        <v>0</v>
      </c>
      <c r="O10317">
        <v>0.66848260000000004</v>
      </c>
      <c r="P10317">
        <v>0.86011000000000004</v>
      </c>
      <c r="Q10317">
        <v>-1.2221549999999999E-2</v>
      </c>
      <c r="R10317">
        <v>0.50996229999999998</v>
      </c>
      <c r="S10317">
        <v>3.1614840000000002</v>
      </c>
      <c r="T10317">
        <v>-0.53825869999999998</v>
      </c>
      <c r="U10317">
        <v>0.55976870000000001</v>
      </c>
      <c r="V10317">
        <v>0.19584599999999999</v>
      </c>
      <c r="W10317">
        <v>-2.0644750000000001E-3</v>
      </c>
      <c r="X10317">
        <v>0.98063250000000002</v>
      </c>
      <c r="Y10317">
        <v>0.51400729999999994</v>
      </c>
      <c r="Z10317">
        <v>-0.14543829999999999</v>
      </c>
      <c r="AA10317">
        <v>0.84536630000000001</v>
      </c>
      <c r="AB10317">
        <v>27</v>
      </c>
      <c r="AC10317">
        <v>6.3157000000000201</v>
      </c>
      <c r="AD10317">
        <v>-1.0971530775439999</v>
      </c>
      <c r="AE10317">
        <v>1.03649999999998</v>
      </c>
      <c r="AF10317">
        <v>3.3531860151763802</v>
      </c>
      <c r="AG10317">
        <v>-1.0971530775439999</v>
      </c>
      <c r="AH10317">
        <v>5.2357581907762896</v>
      </c>
      <c r="AI10317">
        <v>100.007544154762</v>
      </c>
      <c r="AJ10317">
        <v>57.362898868159803</v>
      </c>
      <c r="AK10317">
        <v>6.3135382441401102</v>
      </c>
      <c r="AL10317">
        <v>90.118285787379307</v>
      </c>
      <c r="AM10317">
        <v>78.705826928761795</v>
      </c>
      <c r="AN10317">
        <v>1.0000000089146299</v>
      </c>
    </row>
    <row r="10318" spans="1:40" x14ac:dyDescent="0.25">
      <c r="A10318" t="str">
        <f>"20190312154154550"</f>
        <v>20190312154154550</v>
      </c>
      <c r="B10318" t="str">
        <f>"1552376514546216"</f>
        <v>1552376514546216</v>
      </c>
      <c r="C10318" t="s">
        <v>40</v>
      </c>
      <c r="D10318">
        <v>4.996518</v>
      </c>
      <c r="E10318">
        <v>0.6447233</v>
      </c>
      <c r="F10318" t="s">
        <v>55</v>
      </c>
      <c r="G10318">
        <v>-172.1858</v>
      </c>
      <c r="H10318" s="1">
        <v>-2.0351659999999999E-6</v>
      </c>
      <c r="I10318">
        <v>133.2165</v>
      </c>
      <c r="J10318">
        <v>-178.4691</v>
      </c>
      <c r="K10318">
        <v>1.097145</v>
      </c>
      <c r="L10318">
        <v>132.2474</v>
      </c>
      <c r="M10318">
        <v>0.75099340000000003</v>
      </c>
      <c r="N10318">
        <v>0</v>
      </c>
      <c r="O10318">
        <v>0.66010210000000002</v>
      </c>
      <c r="P10318">
        <v>0.86497289999999905</v>
      </c>
      <c r="Q10318">
        <v>-1.28366E-2</v>
      </c>
      <c r="R10318">
        <v>0.5016543</v>
      </c>
      <c r="S10318">
        <v>3.1646730000000001</v>
      </c>
      <c r="T10318">
        <v>-0.54048660000000004</v>
      </c>
      <c r="U10318">
        <v>0.53221130000000005</v>
      </c>
      <c r="V10318">
        <v>0.19427050000000001</v>
      </c>
      <c r="W10318">
        <v>-2.6113439999999998E-3</v>
      </c>
      <c r="X10318">
        <v>0.9809445</v>
      </c>
      <c r="Y10318">
        <v>0.51173349999999995</v>
      </c>
      <c r="Z10318">
        <v>-0.144876</v>
      </c>
      <c r="AA10318">
        <v>0.84684099999999995</v>
      </c>
      <c r="AB10318">
        <v>27</v>
      </c>
      <c r="AC10318">
        <v>6.2832999999999899</v>
      </c>
      <c r="AD10318">
        <v>-1.097147035166</v>
      </c>
      <c r="AE10318">
        <v>0.96909999999999696</v>
      </c>
      <c r="AF10318">
        <v>3.3213854131202001</v>
      </c>
      <c r="AG10318">
        <v>-1.097147035166</v>
      </c>
      <c r="AH10318">
        <v>5.2041693432674601</v>
      </c>
      <c r="AI10318">
        <v>100.076949924895</v>
      </c>
      <c r="AJ10318">
        <v>57.453319680512003</v>
      </c>
      <c r="AK10318">
        <v>6.2704633985588396</v>
      </c>
      <c r="AL10318">
        <v>90.149619163216698</v>
      </c>
      <c r="AM10318">
        <v>78.797849683910698</v>
      </c>
      <c r="AN10318">
        <v>0.99999997918399297</v>
      </c>
    </row>
    <row r="10319" spans="1:40" x14ac:dyDescent="0.25">
      <c r="A10319" t="str">
        <f>"20190312154154564"</f>
        <v>20190312154154564</v>
      </c>
      <c r="B10319" t="str">
        <f>"1552376514555976"</f>
        <v>1552376514555976</v>
      </c>
      <c r="C10319" t="s">
        <v>40</v>
      </c>
      <c r="D10319">
        <v>5.0325129999999998</v>
      </c>
      <c r="E10319">
        <v>0.64436249999999995</v>
      </c>
      <c r="F10319" t="s">
        <v>55</v>
      </c>
      <c r="G10319">
        <v>-172.04130000000001</v>
      </c>
      <c r="H10319" s="1">
        <v>-1.979246E-6</v>
      </c>
      <c r="I10319">
        <v>133.27619999999999</v>
      </c>
      <c r="J10319">
        <v>-178.32669999999999</v>
      </c>
      <c r="K10319">
        <v>1.097148</v>
      </c>
      <c r="L10319">
        <v>132.35769999999999</v>
      </c>
      <c r="M10319">
        <v>0.758382</v>
      </c>
      <c r="N10319">
        <v>0</v>
      </c>
      <c r="O10319">
        <v>0.651599699999999</v>
      </c>
      <c r="P10319">
        <v>0.87053700000000001</v>
      </c>
      <c r="Q10319">
        <v>-1.257745E-2</v>
      </c>
      <c r="R10319">
        <v>0.4919422</v>
      </c>
      <c r="S10319">
        <v>3.1663670000000002</v>
      </c>
      <c r="T10319">
        <v>-0.540462</v>
      </c>
      <c r="U10319">
        <v>0.50680539999999996</v>
      </c>
      <c r="V10319">
        <v>0.19420899999999999</v>
      </c>
      <c r="W10319">
        <v>-2.335373E-3</v>
      </c>
      <c r="X10319">
        <v>0.98095739999999998</v>
      </c>
      <c r="Y10319">
        <v>0.50891929999999996</v>
      </c>
      <c r="Z10319">
        <v>-0.1436829</v>
      </c>
      <c r="AA10319">
        <v>0.84873809999999905</v>
      </c>
      <c r="AB10319">
        <v>27</v>
      </c>
      <c r="AC10319">
        <v>6.2853999999999797</v>
      </c>
      <c r="AD10319">
        <v>-1.097149979246</v>
      </c>
      <c r="AE10319">
        <v>0.91849999999999399</v>
      </c>
      <c r="AF10319">
        <v>3.3009811145697099</v>
      </c>
      <c r="AG10319">
        <v>-1.097149979246</v>
      </c>
      <c r="AH10319">
        <v>5.2105223863880701</v>
      </c>
      <c r="AI10319">
        <v>100.085917387138</v>
      </c>
      <c r="AJ10319">
        <v>57.644837667309801</v>
      </c>
      <c r="AK10319">
        <v>6.2649627241314603</v>
      </c>
      <c r="AL10319">
        <v>90.133807137432299</v>
      </c>
      <c r="AM10319">
        <v>78.801449839167503</v>
      </c>
      <c r="AN10319">
        <v>1.0000000051314</v>
      </c>
    </row>
    <row r="10320" spans="1:40" x14ac:dyDescent="0.25">
      <c r="A10320" t="str">
        <f>"20190312154154575"</f>
        <v>20190312154154575</v>
      </c>
      <c r="B10320" t="str">
        <f>"1552376514566711"</f>
        <v>1552376514566711</v>
      </c>
      <c r="C10320" t="s">
        <v>40</v>
      </c>
      <c r="D10320">
        <v>4.7651000000000003</v>
      </c>
      <c r="E10320">
        <v>0.64399980000000001</v>
      </c>
      <c r="F10320" t="s">
        <v>55</v>
      </c>
      <c r="G10320">
        <v>-171.86959999999999</v>
      </c>
      <c r="H10320" s="1">
        <v>-1.9018829999999999E-6</v>
      </c>
      <c r="I10320">
        <v>133.32259999999999</v>
      </c>
      <c r="J10320">
        <v>-178.2193</v>
      </c>
      <c r="K10320">
        <v>1.097154</v>
      </c>
      <c r="L10320">
        <v>132.43960000000001</v>
      </c>
      <c r="M10320">
        <v>0.76386080000000001</v>
      </c>
      <c r="N10320">
        <v>0</v>
      </c>
      <c r="O10320">
        <v>0.64516809999999902</v>
      </c>
      <c r="P10320">
        <v>0.87460830000000001</v>
      </c>
      <c r="Q10320">
        <v>-1.261027E-2</v>
      </c>
      <c r="R10320">
        <v>0.48466609999999999</v>
      </c>
      <c r="S10320">
        <v>3.1706240000000001</v>
      </c>
      <c r="T10320">
        <v>-0.5387305</v>
      </c>
      <c r="U10320">
        <v>0.47378540000000002</v>
      </c>
      <c r="V10320">
        <v>0.19409870000000001</v>
      </c>
      <c r="W10320">
        <v>-2.353567E-3</v>
      </c>
      <c r="X10320">
        <v>0.98097920000000005</v>
      </c>
      <c r="Y10320">
        <v>0.51064100000000001</v>
      </c>
      <c r="Z10320">
        <v>-0.1425931</v>
      </c>
      <c r="AA10320">
        <v>0.84788730000000001</v>
      </c>
      <c r="AB10320">
        <v>27</v>
      </c>
      <c r="AC10320">
        <v>6.3497000000000101</v>
      </c>
      <c r="AD10320">
        <v>-1.0971559018829999</v>
      </c>
      <c r="AE10320">
        <v>0.88299999999998102</v>
      </c>
      <c r="AF10320">
        <v>3.32521131332929</v>
      </c>
      <c r="AG10320">
        <v>-1.0971559018829999</v>
      </c>
      <c r="AH10320">
        <v>5.2664631296427</v>
      </c>
      <c r="AI10320">
        <v>99.990410743471898</v>
      </c>
      <c r="AJ10320">
        <v>57.731946228137801</v>
      </c>
      <c r="AK10320">
        <v>6.3242719143958297</v>
      </c>
      <c r="AL10320">
        <v>90.134849578005998</v>
      </c>
      <c r="AM10320">
        <v>78.8078918312996</v>
      </c>
      <c r="AN10320">
        <v>1.00000001772597</v>
      </c>
    </row>
    <row r="10321" spans="1:40" x14ac:dyDescent="0.25">
      <c r="A10321" t="str">
        <f>"20190312154154586"</f>
        <v>20190312154154586</v>
      </c>
      <c r="B10321" t="str">
        <f>"1552376514576472"</f>
        <v>1552376514576472</v>
      </c>
      <c r="C10321" t="s">
        <v>40</v>
      </c>
      <c r="D10321">
        <v>4.7578849999999999</v>
      </c>
      <c r="E10321">
        <v>0.64399980000000001</v>
      </c>
      <c r="F10321" t="s">
        <v>55</v>
      </c>
      <c r="G10321">
        <v>-171.7448</v>
      </c>
      <c r="H10321" s="1">
        <v>-1.8461579999999999E-6</v>
      </c>
      <c r="I10321">
        <v>133.35749999999999</v>
      </c>
      <c r="J10321">
        <v>-178.1096</v>
      </c>
      <c r="K10321">
        <v>1.097164</v>
      </c>
      <c r="L10321">
        <v>132.52099999999999</v>
      </c>
      <c r="M10321">
        <v>0.7693468</v>
      </c>
      <c r="N10321">
        <v>0</v>
      </c>
      <c r="O10321">
        <v>0.63861610000000002</v>
      </c>
      <c r="P10321">
        <v>0.87880130000000001</v>
      </c>
      <c r="Q10321">
        <v>-1.2393080000000001E-2</v>
      </c>
      <c r="R10321">
        <v>0.47702699999999998</v>
      </c>
      <c r="S10321">
        <v>3.1730800000000001</v>
      </c>
      <c r="T10321">
        <v>-0.53770240000000002</v>
      </c>
      <c r="U10321">
        <v>0.44982909999999998</v>
      </c>
      <c r="V10321">
        <v>0.1942712</v>
      </c>
      <c r="W10321">
        <v>-2.1314960000000001E-3</v>
      </c>
      <c r="X10321">
        <v>0.98094550000000003</v>
      </c>
      <c r="Y10321">
        <v>0.50983789999999996</v>
      </c>
      <c r="Z10321">
        <v>-0.14147390000000001</v>
      </c>
      <c r="AA10321">
        <v>0.84855789999999998</v>
      </c>
      <c r="AB10321">
        <v>27</v>
      </c>
      <c r="AC10321">
        <v>6.3647999999999998</v>
      </c>
      <c r="AD10321">
        <v>-1.0971658461579901</v>
      </c>
      <c r="AE10321">
        <v>0.83649999999997204</v>
      </c>
      <c r="AF10321">
        <v>3.3244665938184399</v>
      </c>
      <c r="AG10321">
        <v>-1.0971658461579901</v>
      </c>
      <c r="AH10321">
        <v>5.2775289595284702</v>
      </c>
      <c r="AI10321">
        <v>99.976432371836594</v>
      </c>
      <c r="AJ10321">
        <v>57.791999658538202</v>
      </c>
      <c r="AK10321">
        <v>6.3331005791833199</v>
      </c>
      <c r="AL10321">
        <v>90.122125822429496</v>
      </c>
      <c r="AM10321">
        <v>78.797821471842497</v>
      </c>
      <c r="AN10321">
        <v>0.99999995819744303</v>
      </c>
    </row>
    <row r="10322" spans="1:40" x14ac:dyDescent="0.25">
      <c r="A10322" t="str">
        <f>"20190312154154597"</f>
        <v>20190312154154597</v>
      </c>
      <c r="B10322" t="str">
        <f>"1552376514586232"</f>
        <v>1552376514586232</v>
      </c>
      <c r="C10322" t="s">
        <v>40</v>
      </c>
      <c r="D10322">
        <v>4.7506899999999996</v>
      </c>
      <c r="E10322">
        <v>0.61259549999999996</v>
      </c>
      <c r="F10322" t="s">
        <v>55</v>
      </c>
      <c r="G10322">
        <v>-171.60749999999999</v>
      </c>
      <c r="H10322" s="1">
        <v>-1.779749E-6</v>
      </c>
      <c r="I10322">
        <v>133.38419999999999</v>
      </c>
      <c r="J10322">
        <v>-177.99610000000001</v>
      </c>
      <c r="K10322">
        <v>1.097175</v>
      </c>
      <c r="L10322">
        <v>132.6046</v>
      </c>
      <c r="M10322">
        <v>0.77495729999999996</v>
      </c>
      <c r="N10322">
        <v>0</v>
      </c>
      <c r="O10322">
        <v>0.63179580000000002</v>
      </c>
      <c r="P10322">
        <v>0.88341039999999904</v>
      </c>
      <c r="Q10322">
        <v>-1.2353680000000001E-2</v>
      </c>
      <c r="R10322">
        <v>0.4684372</v>
      </c>
      <c r="S10322">
        <v>3.177216</v>
      </c>
      <c r="T10322">
        <v>-0.53612299999999902</v>
      </c>
      <c r="U10322">
        <v>0.42179870000000003</v>
      </c>
      <c r="V10322">
        <v>0.19517090000000001</v>
      </c>
      <c r="W10322">
        <v>-2.111787E-3</v>
      </c>
      <c r="X10322">
        <v>0.98076700000000006</v>
      </c>
      <c r="Y10322">
        <v>0.5099553</v>
      </c>
      <c r="Z10322">
        <v>-0.1401945</v>
      </c>
      <c r="AA10322">
        <v>0.848699599999999</v>
      </c>
      <c r="AB10322">
        <v>27</v>
      </c>
      <c r="AC10322">
        <v>6.3886000000000198</v>
      </c>
      <c r="AD10322">
        <v>-1.097176779749</v>
      </c>
      <c r="AE10322">
        <v>0.77959999999998697</v>
      </c>
      <c r="AF10322">
        <v>3.3356659724158999</v>
      </c>
      <c r="AG10322">
        <v>-1.097176779749</v>
      </c>
      <c r="AH10322">
        <v>5.2904398907323902</v>
      </c>
      <c r="AI10322">
        <v>99.950120470027201</v>
      </c>
      <c r="AJ10322">
        <v>57.768230672429297</v>
      </c>
      <c r="AK10322">
        <v>6.3497416170271297</v>
      </c>
      <c r="AL10322">
        <v>90.120996569351902</v>
      </c>
      <c r="AM10322">
        <v>78.745267585617697</v>
      </c>
      <c r="AN10322">
        <v>1.0000000240700699</v>
      </c>
    </row>
    <row r="10323" spans="1:40" x14ac:dyDescent="0.25">
      <c r="A10323" t="str">
        <f>"20190312154154609"</f>
        <v>20190312154154609</v>
      </c>
      <c r="B10323" t="str">
        <f>"1552376514595992"</f>
        <v>1552376514595992</v>
      </c>
      <c r="C10323" t="s">
        <v>40</v>
      </c>
      <c r="D10323">
        <v>4.7466530000000002</v>
      </c>
      <c r="E10323">
        <v>0.61209709999999995</v>
      </c>
      <c r="F10323" t="s">
        <v>55</v>
      </c>
      <c r="G10323">
        <v>-170.26900000000001</v>
      </c>
      <c r="H10323" s="1">
        <v>-1.3544440000000001E-6</v>
      </c>
      <c r="I10323">
        <v>134.14699999999999</v>
      </c>
      <c r="J10323">
        <v>-177.8776</v>
      </c>
      <c r="K10323">
        <v>1.097189</v>
      </c>
      <c r="L10323">
        <v>132.6892</v>
      </c>
      <c r="M10323">
        <v>0.78068740000000003</v>
      </c>
      <c r="N10323">
        <v>0</v>
      </c>
      <c r="O10323">
        <v>0.62470150000000002</v>
      </c>
      <c r="P10323">
        <v>0.88795630000000003</v>
      </c>
      <c r="Q10323">
        <v>-1.198258E-2</v>
      </c>
      <c r="R10323">
        <v>0.45977180000000001</v>
      </c>
      <c r="S10323">
        <v>3.0653990000000002</v>
      </c>
      <c r="T10323">
        <v>-0.43525819999999998</v>
      </c>
      <c r="U10323">
        <v>0.61187740000000002</v>
      </c>
      <c r="V10323">
        <v>0.1958356</v>
      </c>
      <c r="W10323">
        <v>-1.7524960000000001E-3</v>
      </c>
      <c r="X10323">
        <v>0.98063520000000004</v>
      </c>
      <c r="Y10323">
        <v>0.45053199999999999</v>
      </c>
      <c r="Z10323">
        <v>-0.1122615</v>
      </c>
      <c r="AA10323">
        <v>0.88567389999999901</v>
      </c>
      <c r="AB10323">
        <v>27</v>
      </c>
      <c r="AC10323">
        <v>7.6085999999999903</v>
      </c>
      <c r="AD10323">
        <v>-1.097190354444</v>
      </c>
      <c r="AE10323">
        <v>1.45780000000002</v>
      </c>
      <c r="AF10323">
        <v>3.5444197829978998</v>
      </c>
      <c r="AG10323">
        <v>-1.097190354444</v>
      </c>
      <c r="AH10323">
        <v>6.7168415597733402</v>
      </c>
      <c r="AI10323">
        <v>98.220567528183096</v>
      </c>
      <c r="AJ10323">
        <v>62.179772897939102</v>
      </c>
      <c r="AK10323">
        <v>7.6735062918518597</v>
      </c>
      <c r="AL10323">
        <v>90.100410673353693</v>
      </c>
      <c r="AM10323">
        <v>78.706441563574302</v>
      </c>
      <c r="AN10323">
        <v>1.0000000244743099</v>
      </c>
    </row>
    <row r="10324" spans="1:40" x14ac:dyDescent="0.25">
      <c r="A10324" t="str">
        <f>"20190312154154620"</f>
        <v>20190312154154620</v>
      </c>
      <c r="B10324" t="str">
        <f>"1552376514616018"</f>
        <v>1552376514616018</v>
      </c>
      <c r="C10324" t="s">
        <v>40</v>
      </c>
      <c r="D10324">
        <v>4.7076320000000003</v>
      </c>
      <c r="E10324">
        <v>0.62550090000000003</v>
      </c>
      <c r="F10324" t="s">
        <v>55</v>
      </c>
      <c r="G10324">
        <v>-170.3656</v>
      </c>
      <c r="H10324" s="1">
        <v>-1.3984109999999999E-6</v>
      </c>
      <c r="I10324">
        <v>134.12190000000001</v>
      </c>
      <c r="J10324">
        <v>-177.76570000000001</v>
      </c>
      <c r="K10324">
        <v>1.097202</v>
      </c>
      <c r="L10324">
        <v>132.76820000000001</v>
      </c>
      <c r="M10324">
        <v>0.78601679999999996</v>
      </c>
      <c r="N10324">
        <v>0</v>
      </c>
      <c r="O10324">
        <v>0.61798240000000004</v>
      </c>
      <c r="P10324">
        <v>0.89213989999999999</v>
      </c>
      <c r="Q10324">
        <v>-1.2075880000000001E-2</v>
      </c>
      <c r="R10324">
        <v>0.4515979</v>
      </c>
      <c r="S10324">
        <v>3.0693969999999999</v>
      </c>
      <c r="T10324">
        <v>-0.44831199999999999</v>
      </c>
      <c r="U10324">
        <v>0.58540340000000002</v>
      </c>
      <c r="V10324">
        <v>0.1964264</v>
      </c>
      <c r="W10324">
        <v>-1.85607E-3</v>
      </c>
      <c r="X10324">
        <v>0.98051679999999997</v>
      </c>
      <c r="Y10324">
        <v>0.44997039999999999</v>
      </c>
      <c r="Z10324">
        <v>-0.1148226</v>
      </c>
      <c r="AA10324">
        <v>0.8856311</v>
      </c>
      <c r="AB10324">
        <v>27</v>
      </c>
      <c r="AC10324">
        <v>7.4001000000000001</v>
      </c>
      <c r="AD10324">
        <v>-1.0972033984109999</v>
      </c>
      <c r="AE10324">
        <v>1.3536999999999999</v>
      </c>
      <c r="AF10324">
        <v>3.43648366327607</v>
      </c>
      <c r="AG10324">
        <v>-1.0972033984109999</v>
      </c>
      <c r="AH10324">
        <v>6.5154857972804203</v>
      </c>
      <c r="AI10324">
        <v>98.4719744093495</v>
      </c>
      <c r="AJ10324">
        <v>62.191346454545403</v>
      </c>
      <c r="AK10324">
        <v>7.44747141250041</v>
      </c>
      <c r="AL10324">
        <v>90.106345040098802</v>
      </c>
      <c r="AM10324">
        <v>78.671918094479395</v>
      </c>
      <c r="AN10324">
        <v>0.99999998534752199</v>
      </c>
    </row>
    <row r="10325" spans="1:40" x14ac:dyDescent="0.25">
      <c r="A10325" t="str">
        <f>"20190312154154631"</f>
        <v>20190312154154631</v>
      </c>
      <c r="B10325" t="str">
        <f>"1552376514626754"</f>
        <v>1552376514626754</v>
      </c>
      <c r="C10325" t="s">
        <v>40</v>
      </c>
      <c r="D10325">
        <v>4.6268710000000004</v>
      </c>
      <c r="E10325">
        <v>0.63239190000000001</v>
      </c>
      <c r="F10325" t="s">
        <v>55</v>
      </c>
      <c r="G10325">
        <v>-172.2089</v>
      </c>
      <c r="H10325" s="1">
        <v>-2.2138470000000001E-6</v>
      </c>
      <c r="I10325">
        <v>133.59030000000001</v>
      </c>
      <c r="J10325">
        <v>-177.64680000000001</v>
      </c>
      <c r="K10325">
        <v>1.0972139999999999</v>
      </c>
      <c r="L10325">
        <v>132.85040000000001</v>
      </c>
      <c r="M10325">
        <v>0.79158130000000004</v>
      </c>
      <c r="N10325">
        <v>0</v>
      </c>
      <c r="O10325">
        <v>0.6108384</v>
      </c>
      <c r="P10325">
        <v>0.89652960000000004</v>
      </c>
      <c r="Q10325">
        <v>-1.22025E-2</v>
      </c>
      <c r="R10325">
        <v>0.44281589999999998</v>
      </c>
      <c r="S10325">
        <v>3.1206670000000001</v>
      </c>
      <c r="T10325">
        <v>-0.61617769999999905</v>
      </c>
      <c r="U10325">
        <v>0.46166990000000002</v>
      </c>
      <c r="V10325">
        <v>0.19716890000000001</v>
      </c>
      <c r="W10325">
        <v>-1.9981040000000001E-3</v>
      </c>
      <c r="X10325">
        <v>0.98036749999999995</v>
      </c>
      <c r="Y10325">
        <v>0.46984910000000002</v>
      </c>
      <c r="Z10325">
        <v>-0.15631030000000001</v>
      </c>
      <c r="AA10325">
        <v>0.86879740000000005</v>
      </c>
      <c r="AB10325">
        <v>27</v>
      </c>
      <c r="AC10325">
        <v>5.4379000000000097</v>
      </c>
      <c r="AD10325">
        <v>-1.0972162138470001</v>
      </c>
      <c r="AE10325">
        <v>0.739900000000005</v>
      </c>
      <c r="AF10325">
        <v>2.6311902864492001</v>
      </c>
      <c r="AG10325">
        <v>-1.0972162138470001</v>
      </c>
      <c r="AH10325">
        <v>4.5743105177720196</v>
      </c>
      <c r="AI10325">
        <v>101.74566899760001</v>
      </c>
      <c r="AJ10325">
        <v>60.092045860978203</v>
      </c>
      <c r="AK10325">
        <v>5.3899315817951798</v>
      </c>
      <c r="AL10325">
        <v>90.114483002256605</v>
      </c>
      <c r="AM10325">
        <v>78.628524386181596</v>
      </c>
      <c r="AN10325">
        <v>1.00000000130152</v>
      </c>
    </row>
    <row r="10326" spans="1:40" x14ac:dyDescent="0.25">
      <c r="A10326" t="str">
        <f>"20190312154154643"</f>
        <v>20190312154154643</v>
      </c>
      <c r="B10326" t="str">
        <f>"1552376514636514"</f>
        <v>1552376514636514</v>
      </c>
      <c r="C10326" t="s">
        <v>40</v>
      </c>
      <c r="D10326">
        <v>4.5977079999999999</v>
      </c>
      <c r="E10326">
        <v>0.6365883</v>
      </c>
      <c r="F10326" t="s">
        <v>55</v>
      </c>
      <c r="G10326">
        <v>-171.88980000000001</v>
      </c>
      <c r="H10326" s="1">
        <v>-2.013074E-6</v>
      </c>
      <c r="I10326">
        <v>133.54769999999999</v>
      </c>
      <c r="J10326">
        <v>-177.53550000000001</v>
      </c>
      <c r="K10326">
        <v>1.097229</v>
      </c>
      <c r="L10326">
        <v>132.92590000000001</v>
      </c>
      <c r="M10326">
        <v>0.79669699999999999</v>
      </c>
      <c r="N10326">
        <v>0</v>
      </c>
      <c r="O10326">
        <v>0.60415099999999999</v>
      </c>
      <c r="P10326">
        <v>0.90033779999999997</v>
      </c>
      <c r="Q10326">
        <v>-1.2331079999999999E-2</v>
      </c>
      <c r="R10326">
        <v>0.43501699999999999</v>
      </c>
      <c r="S10326">
        <v>3.1496430000000002</v>
      </c>
      <c r="T10326">
        <v>-0.6002904</v>
      </c>
      <c r="U10326">
        <v>0.38146970000000002</v>
      </c>
      <c r="V10326">
        <v>0.1974185</v>
      </c>
      <c r="W10326">
        <v>-2.1262159999999998E-3</v>
      </c>
      <c r="X10326">
        <v>0.98031699999999999</v>
      </c>
      <c r="Y10326">
        <v>0.48625699999999999</v>
      </c>
      <c r="Z10326">
        <v>-0.1520185</v>
      </c>
      <c r="AA10326">
        <v>0.86049089999999995</v>
      </c>
      <c r="AB10326">
        <v>27</v>
      </c>
      <c r="AC10326">
        <v>5.6456999999999997</v>
      </c>
      <c r="AD10326">
        <v>-1.097231013074</v>
      </c>
      <c r="AE10326">
        <v>0.62179999999997904</v>
      </c>
      <c r="AF10326">
        <v>2.8109695638531398</v>
      </c>
      <c r="AG10326">
        <v>-1.097231013074</v>
      </c>
      <c r="AH10326">
        <v>4.6988892149446198</v>
      </c>
      <c r="AI10326">
        <v>101.331370446015</v>
      </c>
      <c r="AJ10326">
        <v>59.111291906867002</v>
      </c>
      <c r="AK10326">
        <v>5.5843554363313004</v>
      </c>
      <c r="AL10326">
        <v>90.121823294592502</v>
      </c>
      <c r="AM10326">
        <v>78.613933566548695</v>
      </c>
      <c r="AN10326">
        <v>1.0000000027128599</v>
      </c>
    </row>
    <row r="10327" spans="1:40" x14ac:dyDescent="0.25">
      <c r="A10327" t="str">
        <f>"20190312154154655"</f>
        <v>20190312154154655</v>
      </c>
      <c r="B10327" t="str">
        <f>"1552376514646274"</f>
        <v>1552376514646274</v>
      </c>
      <c r="C10327" t="s">
        <v>40</v>
      </c>
      <c r="D10327">
        <v>4.5782699999999998</v>
      </c>
      <c r="E10327">
        <v>0.63837219999999995</v>
      </c>
      <c r="F10327" t="s">
        <v>55</v>
      </c>
      <c r="G10327">
        <v>-171.65620000000001</v>
      </c>
      <c r="H10327" s="1">
        <v>-1.870727E-6</v>
      </c>
      <c r="I10327">
        <v>133.52699999999999</v>
      </c>
      <c r="J10327">
        <v>-177.41540000000001</v>
      </c>
      <c r="K10327">
        <v>1.097245</v>
      </c>
      <c r="L10327">
        <v>133.0061</v>
      </c>
      <c r="M10327">
        <v>0.80212589999999995</v>
      </c>
      <c r="N10327">
        <v>0</v>
      </c>
      <c r="O10327">
        <v>0.59692409999999996</v>
      </c>
      <c r="P10327">
        <v>0.90444389999999997</v>
      </c>
      <c r="Q10327">
        <v>-1.26455E-2</v>
      </c>
      <c r="R10327">
        <v>0.42640509999999898</v>
      </c>
      <c r="S10327">
        <v>3.1675110000000002</v>
      </c>
      <c r="T10327">
        <v>-0.59113939999999998</v>
      </c>
      <c r="U10327">
        <v>0.32385249999999999</v>
      </c>
      <c r="V10327">
        <v>0.1978992</v>
      </c>
      <c r="W10327">
        <v>-2.4476340000000002E-3</v>
      </c>
      <c r="X10327">
        <v>0.98021930000000002</v>
      </c>
      <c r="Y10327">
        <v>0.49505329999999897</v>
      </c>
      <c r="Z10327">
        <v>-0.14896999999999999</v>
      </c>
      <c r="AA10327">
        <v>0.8559966</v>
      </c>
      <c r="AB10327">
        <v>27</v>
      </c>
      <c r="AC10327">
        <v>5.7591999999999901</v>
      </c>
      <c r="AD10327">
        <v>-1.097246870727</v>
      </c>
      <c r="AE10327">
        <v>0.52090000000001102</v>
      </c>
      <c r="AF10327">
        <v>2.9154282808109402</v>
      </c>
      <c r="AG10327">
        <v>-1.097246870727</v>
      </c>
      <c r="AH10327">
        <v>4.7598492071643896</v>
      </c>
      <c r="AI10327">
        <v>101.12126842652999</v>
      </c>
      <c r="AJ10327">
        <v>58.512349953248602</v>
      </c>
      <c r="AK10327">
        <v>5.68857075466377</v>
      </c>
      <c r="AL10327">
        <v>90.140239240798905</v>
      </c>
      <c r="AM10327">
        <v>78.585828337979393</v>
      </c>
      <c r="AN10327">
        <v>0.99999998018266301</v>
      </c>
    </row>
    <row r="10328" spans="1:40" x14ac:dyDescent="0.25">
      <c r="A10328" t="str">
        <f>"20190312154154666"</f>
        <v>20190312154154666</v>
      </c>
      <c r="B10328" t="str">
        <f>"1552376514656033"</f>
        <v>1552376514656033</v>
      </c>
      <c r="C10328" t="s">
        <v>40</v>
      </c>
      <c r="D10328">
        <v>4.5404609999999996</v>
      </c>
      <c r="E10328">
        <v>0.63927800000000001</v>
      </c>
      <c r="F10328" t="s">
        <v>55</v>
      </c>
      <c r="G10328">
        <v>-171.398</v>
      </c>
      <c r="H10328" s="1">
        <v>-1.7279159999999901E-6</v>
      </c>
      <c r="I10328">
        <v>133.5368</v>
      </c>
      <c r="J10328">
        <v>-177.2962</v>
      </c>
      <c r="K10328">
        <v>1.097261</v>
      </c>
      <c r="L10328">
        <v>133.08359999999999</v>
      </c>
      <c r="M10328">
        <v>0.80740859999999903</v>
      </c>
      <c r="N10328">
        <v>0</v>
      </c>
      <c r="O10328">
        <v>0.58975900000000003</v>
      </c>
      <c r="P10328">
        <v>0.90831260000000003</v>
      </c>
      <c r="Q10328">
        <v>-1.269471E-2</v>
      </c>
      <c r="R10328">
        <v>0.41809960000000002</v>
      </c>
      <c r="S10328">
        <v>3.1767430000000001</v>
      </c>
      <c r="T10328">
        <v>-0.57926639999999996</v>
      </c>
      <c r="U10328">
        <v>0.28019709999999998</v>
      </c>
      <c r="V10328">
        <v>0.1981522</v>
      </c>
      <c r="W10328">
        <v>-2.4964169999999999E-3</v>
      </c>
      <c r="X10328">
        <v>0.98016809999999999</v>
      </c>
      <c r="Y10328">
        <v>0.50003520000000001</v>
      </c>
      <c r="Z10328">
        <v>-0.14522850000000001</v>
      </c>
      <c r="AA10328">
        <v>0.85374089999999903</v>
      </c>
      <c r="AB10328">
        <v>27</v>
      </c>
      <c r="AC10328">
        <v>5.8982000000000001</v>
      </c>
      <c r="AD10328">
        <v>-1.0972627279160001</v>
      </c>
      <c r="AE10328">
        <v>0.45320000000000898</v>
      </c>
      <c r="AF10328">
        <v>3.00948571965694</v>
      </c>
      <c r="AG10328">
        <v>-1.0972627279160001</v>
      </c>
      <c r="AH10328">
        <v>4.8629192301373596</v>
      </c>
      <c r="AI10328">
        <v>100.861257459943</v>
      </c>
      <c r="AJ10328">
        <v>58.248125790299198</v>
      </c>
      <c r="AK10328">
        <v>5.8231411823630399</v>
      </c>
      <c r="AL10328">
        <v>90.143034304375206</v>
      </c>
      <c r="AM10328">
        <v>78.5710386068601</v>
      </c>
      <c r="AN10328">
        <v>1.00000001536014</v>
      </c>
    </row>
    <row r="10329" spans="1:40" x14ac:dyDescent="0.25">
      <c r="A10329" t="str">
        <f>"20190312154154680"</f>
        <v>20190312154154680</v>
      </c>
      <c r="B10329" t="str">
        <f>"1552376514676530"</f>
        <v>1552376514676530</v>
      </c>
      <c r="C10329" t="s">
        <v>40</v>
      </c>
      <c r="D10329">
        <v>4.5342440000000002</v>
      </c>
      <c r="E10329">
        <v>0.6400207</v>
      </c>
      <c r="F10329" t="s">
        <v>55</v>
      </c>
      <c r="G10329">
        <v>-171.14789999999999</v>
      </c>
      <c r="H10329" s="1">
        <v>-1.5938479999999999E-6</v>
      </c>
      <c r="I10329">
        <v>133.55609999999999</v>
      </c>
      <c r="J10329">
        <v>-177.1566</v>
      </c>
      <c r="K10329">
        <v>1.09728</v>
      </c>
      <c r="L10329">
        <v>133.17310000000001</v>
      </c>
      <c r="M10329">
        <v>0.81348880000000001</v>
      </c>
      <c r="N10329">
        <v>0</v>
      </c>
      <c r="O10329">
        <v>0.58134350000000001</v>
      </c>
      <c r="P10329">
        <v>0.91281809999999997</v>
      </c>
      <c r="Q10329">
        <v>-1.307641E-2</v>
      </c>
      <c r="R10329">
        <v>0.40815709999999999</v>
      </c>
      <c r="S10329">
        <v>3.182312</v>
      </c>
      <c r="T10329">
        <v>-0.56793019999999905</v>
      </c>
      <c r="U10329">
        <v>0.2445679</v>
      </c>
      <c r="V10329">
        <v>0.1986618</v>
      </c>
      <c r="W10329">
        <v>-2.8850109999999998E-3</v>
      </c>
      <c r="X10329">
        <v>0.98006389999999999</v>
      </c>
      <c r="Y10329">
        <v>0.5014904</v>
      </c>
      <c r="Z10329">
        <v>-0.1412621</v>
      </c>
      <c r="AA10329">
        <v>0.85355289999999995</v>
      </c>
      <c r="AB10329">
        <v>27</v>
      </c>
      <c r="AC10329">
        <v>6.0087000000000002</v>
      </c>
      <c r="AD10329">
        <v>-1.0972815938480001</v>
      </c>
      <c r="AE10329">
        <v>0.38299999999998102</v>
      </c>
      <c r="AF10329">
        <v>3.0797035231277401</v>
      </c>
      <c r="AG10329">
        <v>-1.0972815938480001</v>
      </c>
      <c r="AH10329">
        <v>4.9470603521153196</v>
      </c>
      <c r="AI10329">
        <v>100.663853203191</v>
      </c>
      <c r="AJ10329">
        <v>58.096413567118802</v>
      </c>
      <c r="AK10329">
        <v>5.9297560501284003</v>
      </c>
      <c r="AL10329">
        <v>90.165299176665002</v>
      </c>
      <c r="AM10329">
        <v>78.541236499208495</v>
      </c>
      <c r="AN10329">
        <v>1.0000000410754499</v>
      </c>
    </row>
    <row r="10330" spans="1:40" x14ac:dyDescent="0.25">
      <c r="A10330" t="str">
        <f>"20190312154154693"</f>
        <v>20190312154154693</v>
      </c>
      <c r="B10330" t="str">
        <f>"1552376514686291"</f>
        <v>1552376514686291</v>
      </c>
      <c r="C10330" t="s">
        <v>40</v>
      </c>
      <c r="D10330">
        <v>4.5764659999999999</v>
      </c>
      <c r="E10330">
        <v>0.63997169999999903</v>
      </c>
      <c r="F10330" t="s">
        <v>55</v>
      </c>
      <c r="G10330">
        <v>-170.98929999999999</v>
      </c>
      <c r="H10330" s="1">
        <v>-1.5088010000000001E-6</v>
      </c>
      <c r="I10330">
        <v>133.56829999999999</v>
      </c>
      <c r="J10330">
        <v>-177.01759999999999</v>
      </c>
      <c r="K10330">
        <v>1.0973029999999999</v>
      </c>
      <c r="L10330">
        <v>133.25980000000001</v>
      </c>
      <c r="M10330">
        <v>0.8194013</v>
      </c>
      <c r="N10330">
        <v>0</v>
      </c>
      <c r="O10330">
        <v>0.57297989999999999</v>
      </c>
      <c r="P10330">
        <v>0.91693469999999999</v>
      </c>
      <c r="Q10330">
        <v>-1.322862E-2</v>
      </c>
      <c r="R10330">
        <v>0.39881800000000001</v>
      </c>
      <c r="S10330">
        <v>3.1870880000000001</v>
      </c>
      <c r="T10330">
        <v>-0.56704239999999995</v>
      </c>
      <c r="U10330">
        <v>0.20419309999999999</v>
      </c>
      <c r="V10330">
        <v>0.19862079999999999</v>
      </c>
      <c r="W10330">
        <v>-3.025593E-3</v>
      </c>
      <c r="X10330">
        <v>0.98007169999999999</v>
      </c>
      <c r="Y10330">
        <v>0.50369359999999996</v>
      </c>
      <c r="Z10330">
        <v>-0.13997979999999999</v>
      </c>
      <c r="AA10330">
        <v>0.85246599999999995</v>
      </c>
      <c r="AB10330">
        <v>27</v>
      </c>
      <c r="AC10330">
        <v>6.0282999999999998</v>
      </c>
      <c r="AD10330">
        <v>-1.0973045088010001</v>
      </c>
      <c r="AE10330">
        <v>0.30849999999998001</v>
      </c>
      <c r="AF10330">
        <v>3.0993278663248001</v>
      </c>
      <c r="AG10330">
        <v>-1.0973045088010001</v>
      </c>
      <c r="AH10330">
        <v>4.9533733151787498</v>
      </c>
      <c r="AI10330">
        <v>100.63599005172701</v>
      </c>
      <c r="AJ10330">
        <v>57.965766696875903</v>
      </c>
      <c r="AK10330">
        <v>5.9452348656329299</v>
      </c>
      <c r="AL10330">
        <v>90.173353981405</v>
      </c>
      <c r="AM10330">
        <v>78.543627598004605</v>
      </c>
      <c r="AN10330">
        <v>0.99999995677326403</v>
      </c>
    </row>
    <row r="10331" spans="1:40" x14ac:dyDescent="0.25">
      <c r="A10331" t="str">
        <f>"20190312154154706"</f>
        <v>20190312154154706</v>
      </c>
      <c r="B10331" t="str">
        <f>"1552376514696051"</f>
        <v>1552376514696051</v>
      </c>
      <c r="C10331" t="s">
        <v>40</v>
      </c>
      <c r="D10331">
        <v>4.5344610000000003</v>
      </c>
      <c r="E10331">
        <v>0.63949069999999997</v>
      </c>
      <c r="F10331" t="s">
        <v>55</v>
      </c>
      <c r="G10331">
        <v>-170.81139999999999</v>
      </c>
      <c r="H10331" s="1">
        <v>-1.4188669999999901E-6</v>
      </c>
      <c r="I10331">
        <v>133.5941</v>
      </c>
      <c r="J10331">
        <v>-176.8793</v>
      </c>
      <c r="K10331">
        <v>1.0973280000000001</v>
      </c>
      <c r="L10331">
        <v>133.3441</v>
      </c>
      <c r="M10331">
        <v>0.82516339999999999</v>
      </c>
      <c r="N10331">
        <v>0</v>
      </c>
      <c r="O10331">
        <v>0.56465019999999999</v>
      </c>
      <c r="P10331">
        <v>0.92090959999999999</v>
      </c>
      <c r="Q10331">
        <v>-1.311938E-2</v>
      </c>
      <c r="R10331">
        <v>0.3895554</v>
      </c>
      <c r="S10331">
        <v>3.1889189999999998</v>
      </c>
      <c r="T10331">
        <v>-0.56382410000000005</v>
      </c>
      <c r="U10331">
        <v>0.17176820000000001</v>
      </c>
      <c r="V10331">
        <v>0.19857610000000001</v>
      </c>
      <c r="W10331">
        <v>-2.9048030000000001E-3</v>
      </c>
      <c r="X10331">
        <v>0.98008110000000004</v>
      </c>
      <c r="Y10331">
        <v>0.50395920000000005</v>
      </c>
      <c r="Z10331">
        <v>-0.13804949999999999</v>
      </c>
      <c r="AA10331">
        <v>0.85262380000000004</v>
      </c>
      <c r="AB10331">
        <v>27</v>
      </c>
      <c r="AC10331">
        <v>6.0678999999999998</v>
      </c>
      <c r="AD10331">
        <v>-1.097329418867</v>
      </c>
      <c r="AE10331">
        <v>0.25</v>
      </c>
      <c r="AF10331">
        <v>3.1185774938076798</v>
      </c>
      <c r="AG10331">
        <v>-1.097329418867</v>
      </c>
      <c r="AH10331">
        <v>4.9860933935410197</v>
      </c>
      <c r="AI10331">
        <v>100.569145139558</v>
      </c>
      <c r="AJ10331">
        <v>57.975870241502598</v>
      </c>
      <c r="AK10331">
        <v>5.9825399929719003</v>
      </c>
      <c r="AL10331">
        <v>90.166433197263601</v>
      </c>
      <c r="AM10331">
        <v>78.546244677116604</v>
      </c>
      <c r="AN10331">
        <v>0.99999993397444198</v>
      </c>
    </row>
    <row r="10332" spans="1:40" x14ac:dyDescent="0.25">
      <c r="A10332" t="str">
        <f>"20190312154154724"</f>
        <v>20190312154154724</v>
      </c>
      <c r="B10332" t="str">
        <f>"1552376514716545"</f>
        <v>1552376514716545</v>
      </c>
      <c r="C10332" t="s">
        <v>40</v>
      </c>
      <c r="D10332">
        <v>4.5400119999999999</v>
      </c>
      <c r="E10332">
        <v>0.63819740000000003</v>
      </c>
      <c r="F10332" t="s">
        <v>55</v>
      </c>
      <c r="G10332">
        <v>-170.69409999999999</v>
      </c>
      <c r="H10332" s="1">
        <v>-1.3640509999999999E-6</v>
      </c>
      <c r="I10332">
        <v>133.62139999999999</v>
      </c>
      <c r="J10332">
        <v>-176.6934</v>
      </c>
      <c r="K10332">
        <v>1.097364</v>
      </c>
      <c r="L10332">
        <v>133.4547</v>
      </c>
      <c r="M10332">
        <v>0.83271930000000005</v>
      </c>
      <c r="N10332">
        <v>0</v>
      </c>
      <c r="O10332">
        <v>0.55344669999999996</v>
      </c>
      <c r="P10332">
        <v>0.92591769999999995</v>
      </c>
      <c r="Q10332">
        <v>-1.316252E-2</v>
      </c>
      <c r="R10332">
        <v>0.3774959</v>
      </c>
      <c r="S10332">
        <v>3.1891020000000001</v>
      </c>
      <c r="T10332">
        <v>-0.5657818</v>
      </c>
      <c r="U10332">
        <v>0.14297489999999999</v>
      </c>
      <c r="V10332">
        <v>0.198128</v>
      </c>
      <c r="W10332">
        <v>-2.9194020000000002E-3</v>
      </c>
      <c r="X10332">
        <v>0.98017180000000004</v>
      </c>
      <c r="Y10332">
        <v>0.500139</v>
      </c>
      <c r="Z10332">
        <v>-0.1366251</v>
      </c>
      <c r="AA10332">
        <v>0.8550991</v>
      </c>
      <c r="AB10332">
        <v>27</v>
      </c>
      <c r="AC10332">
        <v>5.9992999999999999</v>
      </c>
      <c r="AD10332">
        <v>-1.0973653640509999</v>
      </c>
      <c r="AE10332">
        <v>0.16669999999999099</v>
      </c>
      <c r="AF10332">
        <v>3.07897919757667</v>
      </c>
      <c r="AG10332">
        <v>-1.0973653640509999</v>
      </c>
      <c r="AH10332">
        <v>4.9240700650648197</v>
      </c>
      <c r="AI10332">
        <v>100.70032971214</v>
      </c>
      <c r="AJ10332">
        <v>57.982607801256101</v>
      </c>
      <c r="AK10332">
        <v>5.9102275461268103</v>
      </c>
      <c r="AL10332">
        <v>90.167269652177197</v>
      </c>
      <c r="AM10332">
        <v>78.572439684126806</v>
      </c>
      <c r="AN10332">
        <v>0.99999999240363802</v>
      </c>
    </row>
    <row r="10333" spans="1:40" x14ac:dyDescent="0.25">
      <c r="A10333" t="str">
        <f>"20190312154154738"</f>
        <v>20190312154154738</v>
      </c>
      <c r="B10333" t="str">
        <f>"1552376514726306"</f>
        <v>1552376514726306</v>
      </c>
      <c r="C10333" t="s">
        <v>40</v>
      </c>
      <c r="D10333">
        <v>4.4981119999999999</v>
      </c>
      <c r="E10333">
        <v>0.63753269999999995</v>
      </c>
      <c r="F10333" t="s">
        <v>55</v>
      </c>
      <c r="G10333">
        <v>-170.41460000000001</v>
      </c>
      <c r="H10333" s="1">
        <v>-1.2274699999999999E-6</v>
      </c>
      <c r="I10333">
        <v>133.6728</v>
      </c>
      <c r="J10333">
        <v>-176.5454</v>
      </c>
      <c r="K10333">
        <v>1.0973949999999999</v>
      </c>
      <c r="L10333">
        <v>133.54060000000001</v>
      </c>
      <c r="M10333">
        <v>0.83858759999999999</v>
      </c>
      <c r="N10333">
        <v>0</v>
      </c>
      <c r="O10333">
        <v>0.54451400000000005</v>
      </c>
      <c r="P10333">
        <v>0.92977880000000002</v>
      </c>
      <c r="Q10333">
        <v>-1.3201289999999999E-2</v>
      </c>
      <c r="R10333">
        <v>0.36788209999999999</v>
      </c>
      <c r="S10333">
        <v>3.186966</v>
      </c>
      <c r="T10333">
        <v>-0.55699500000000002</v>
      </c>
      <c r="U10333">
        <v>0.110733</v>
      </c>
      <c r="V10333">
        <v>0.19780529999999999</v>
      </c>
      <c r="W10333">
        <v>-2.9364069999999998E-3</v>
      </c>
      <c r="X10333">
        <v>0.98023689999999997</v>
      </c>
      <c r="Y10333">
        <v>0.50012219999999996</v>
      </c>
      <c r="Z10333">
        <v>-0.1334091</v>
      </c>
      <c r="AA10333">
        <v>0.85561659999999995</v>
      </c>
      <c r="AB10333">
        <v>27</v>
      </c>
      <c r="AC10333">
        <v>6.13079999999999</v>
      </c>
      <c r="AD10333">
        <v>-1.09739622747</v>
      </c>
      <c r="AE10333">
        <v>0.132199999999983</v>
      </c>
      <c r="AF10333">
        <v>3.12772384082683</v>
      </c>
      <c r="AG10333">
        <v>-1.09739622747</v>
      </c>
      <c r="AH10333">
        <v>5.0521206985687401</v>
      </c>
      <c r="AI10333">
        <v>100.463860815697</v>
      </c>
      <c r="AJ10333">
        <v>58.238711664322402</v>
      </c>
      <c r="AK10333">
        <v>6.0424215723043204</v>
      </c>
      <c r="AL10333">
        <v>90.168243974918298</v>
      </c>
      <c r="AM10333">
        <v>78.591301593011394</v>
      </c>
      <c r="AN10333">
        <v>0.99999996965788396</v>
      </c>
    </row>
    <row r="10334" spans="1:40" x14ac:dyDescent="0.25">
      <c r="A10334" t="str">
        <f>"20190312154154753"</f>
        <v>20190312154154753</v>
      </c>
      <c r="B10334" t="str">
        <f>"1552376514745827"</f>
        <v>1552376514745827</v>
      </c>
      <c r="C10334" t="s">
        <v>40</v>
      </c>
      <c r="D10334">
        <v>4.5147089999999999</v>
      </c>
      <c r="E10334">
        <v>0.63580749999999997</v>
      </c>
      <c r="F10334" t="s">
        <v>55</v>
      </c>
      <c r="G10334">
        <v>-170.2672</v>
      </c>
      <c r="H10334" s="1">
        <v>-1.157074E-6</v>
      </c>
      <c r="I10334">
        <v>133.70349999999999</v>
      </c>
      <c r="J10334">
        <v>-176.38120000000001</v>
      </c>
      <c r="K10334">
        <v>1.097426</v>
      </c>
      <c r="L10334">
        <v>133.6328</v>
      </c>
      <c r="M10334">
        <v>0.84492389999999995</v>
      </c>
      <c r="N10334">
        <v>0</v>
      </c>
      <c r="O10334">
        <v>0.53462940000000003</v>
      </c>
      <c r="P10334">
        <v>0.93391009999999997</v>
      </c>
      <c r="Q10334">
        <v>-1.384437E-2</v>
      </c>
      <c r="R10334">
        <v>0.3572401</v>
      </c>
      <c r="S10334">
        <v>3.185959</v>
      </c>
      <c r="T10334">
        <v>-0.55689409999999995</v>
      </c>
      <c r="U10334">
        <v>8.2672120000000002E-2</v>
      </c>
      <c r="V10334">
        <v>0.197465</v>
      </c>
      <c r="W10334">
        <v>-3.5567289999999998E-3</v>
      </c>
      <c r="X10334">
        <v>0.98030349999999999</v>
      </c>
      <c r="Y10334">
        <v>0.49769869999999999</v>
      </c>
      <c r="Z10334">
        <v>-0.13183010000000001</v>
      </c>
      <c r="AA10334">
        <v>0.85727289999999901</v>
      </c>
      <c r="AB10334">
        <v>27</v>
      </c>
      <c r="AC10334">
        <v>6.1139999999999999</v>
      </c>
      <c r="AD10334">
        <v>-1.097427157074</v>
      </c>
      <c r="AE10334">
        <v>7.0699999999987995E-2</v>
      </c>
      <c r="AF10334">
        <v>3.1092679187470398</v>
      </c>
      <c r="AG10334">
        <v>-1.097427157074</v>
      </c>
      <c r="AH10334">
        <v>5.0419578811938699</v>
      </c>
      <c r="AI10334">
        <v>100.495840017674</v>
      </c>
      <c r="AJ10334">
        <v>58.338750327815902</v>
      </c>
      <c r="AK10334">
        <v>6.0243864941889296</v>
      </c>
      <c r="AL10334">
        <v>90.203785987312898</v>
      </c>
      <c r="AM10334">
        <v>78.611169027786303</v>
      </c>
      <c r="AN10334">
        <v>1.00000001432921</v>
      </c>
    </row>
    <row r="10335" spans="1:40" x14ac:dyDescent="0.25">
      <c r="A10335" t="str">
        <f>"20190312154154773"</f>
        <v>20190312154154773</v>
      </c>
      <c r="B10335" t="str">
        <f>"1552376514766323"</f>
        <v>1552376514766323</v>
      </c>
      <c r="C10335" t="s">
        <v>40</v>
      </c>
      <c r="D10335">
        <v>4.7913009999999998</v>
      </c>
      <c r="E10335">
        <v>0.63407740000000001</v>
      </c>
      <c r="F10335" t="s">
        <v>55</v>
      </c>
      <c r="G10335">
        <v>-170.11359999999999</v>
      </c>
      <c r="H10335" s="1">
        <v>-1.0892610000000001E-6</v>
      </c>
      <c r="I10335">
        <v>133.7482</v>
      </c>
      <c r="J10335">
        <v>-176.1678</v>
      </c>
      <c r="K10335">
        <v>1.097475</v>
      </c>
      <c r="L10335">
        <v>133.7492</v>
      </c>
      <c r="M10335">
        <v>0.85292349999999995</v>
      </c>
      <c r="N10335">
        <v>0</v>
      </c>
      <c r="O10335">
        <v>0.52177280000000004</v>
      </c>
      <c r="P10335">
        <v>0.9389033</v>
      </c>
      <c r="Q10335">
        <v>-1.4794969999999999E-2</v>
      </c>
      <c r="R10335">
        <v>0.34386309999999998</v>
      </c>
      <c r="S10335">
        <v>3.1816409999999999</v>
      </c>
      <c r="T10335">
        <v>-0.55708630000000003</v>
      </c>
      <c r="U10335">
        <v>5.8578489999999997E-2</v>
      </c>
      <c r="V10335">
        <v>0.19658700000000001</v>
      </c>
      <c r="W10335">
        <v>-4.463E-3</v>
      </c>
      <c r="X10335">
        <v>0.98047620000000002</v>
      </c>
      <c r="Y10335">
        <v>0.49131540000000001</v>
      </c>
      <c r="Z10335">
        <v>-0.129632</v>
      </c>
      <c r="AA10335">
        <v>0.86128090000000002</v>
      </c>
      <c r="AB10335">
        <v>27</v>
      </c>
      <c r="AC10335">
        <v>6.0541999999999998</v>
      </c>
      <c r="AD10335">
        <v>-1.097476089261</v>
      </c>
      <c r="AE10335">
        <v>-1.0000000000047701E-3</v>
      </c>
      <c r="AF10335">
        <v>3.0596612509044401</v>
      </c>
      <c r="AG10335">
        <v>-1.097476089261</v>
      </c>
      <c r="AH10335">
        <v>4.9996644729546604</v>
      </c>
      <c r="AI10335">
        <v>100.604820000861</v>
      </c>
      <c r="AJ10335">
        <v>58.534479994613498</v>
      </c>
      <c r="AK10335">
        <v>5.9634407500125901</v>
      </c>
      <c r="AL10335">
        <v>90.255711919807695</v>
      </c>
      <c r="AM10335">
        <v>78.662438630927397</v>
      </c>
      <c r="AN10335">
        <v>0.99999997285221898</v>
      </c>
    </row>
    <row r="10336" spans="1:40" x14ac:dyDescent="0.25">
      <c r="A10336" t="str">
        <f>"20190312154154788"</f>
        <v>20190312154154788</v>
      </c>
      <c r="B10336" t="str">
        <f>"1552376514785842"</f>
        <v>1552376514785842</v>
      </c>
      <c r="C10336" t="s">
        <v>40</v>
      </c>
      <c r="D10336">
        <v>4.4738920000000002</v>
      </c>
      <c r="E10336">
        <v>0.63296280000000005</v>
      </c>
      <c r="F10336" t="s">
        <v>42</v>
      </c>
      <c r="G10336">
        <v>-169.8244</v>
      </c>
      <c r="H10336" s="1">
        <v>-1.5990179999999999E-6</v>
      </c>
      <c r="I10336">
        <v>133.80070000000001</v>
      </c>
      <c r="J10336">
        <v>-176.0026</v>
      </c>
      <c r="K10336">
        <v>1.0975170000000001</v>
      </c>
      <c r="L10336">
        <v>133.83629999999999</v>
      </c>
      <c r="M10336">
        <v>0.85892710000000005</v>
      </c>
      <c r="N10336">
        <v>0</v>
      </c>
      <c r="O10336">
        <v>0.5118298</v>
      </c>
      <c r="P10336">
        <v>0.94268039999999997</v>
      </c>
      <c r="Q10336">
        <v>-1.509953E-2</v>
      </c>
      <c r="R10336">
        <v>0.33335520000000002</v>
      </c>
      <c r="S10336">
        <v>3.1771090000000002</v>
      </c>
      <c r="T10336">
        <v>-0.549674199999999</v>
      </c>
      <c r="U10336">
        <v>2.580261E-2</v>
      </c>
      <c r="V10336">
        <v>0.19613710000000001</v>
      </c>
      <c r="W10336">
        <v>-4.7403109999999997E-3</v>
      </c>
      <c r="X10336">
        <v>0.98056500000000002</v>
      </c>
      <c r="Y10336">
        <v>0.4906104</v>
      </c>
      <c r="Z10336">
        <v>-0.12663630000000001</v>
      </c>
      <c r="AA10336">
        <v>0.86212800000000001</v>
      </c>
      <c r="AB10336">
        <v>27</v>
      </c>
      <c r="AC10336">
        <v>6.1782000000000004</v>
      </c>
      <c r="AD10336">
        <v>-1.0975185990180001</v>
      </c>
      <c r="AE10336">
        <v>-3.5599999999988002E-2</v>
      </c>
      <c r="AF10336">
        <v>3.0955199494782599</v>
      </c>
      <c r="AG10336">
        <v>-1.0975185990180001</v>
      </c>
      <c r="AH10336">
        <v>5.1273289416161996</v>
      </c>
      <c r="AI10336">
        <v>100.384043018791</v>
      </c>
      <c r="AJ10336">
        <v>58.879379190699503</v>
      </c>
      <c r="AK10336">
        <v>6.0890305392848401</v>
      </c>
      <c r="AL10336">
        <v>90.271600837605504</v>
      </c>
      <c r="AM10336">
        <v>78.688713497199998</v>
      </c>
      <c r="AN10336">
        <v>0.99999997588489298</v>
      </c>
    </row>
    <row r="10337" spans="1:40" x14ac:dyDescent="0.25">
      <c r="A10337" t="str">
        <f>"20190312154154803"</f>
        <v>20190312154154803</v>
      </c>
      <c r="B10337" t="str">
        <f>"1552376514796578"</f>
        <v>1552376514796578</v>
      </c>
      <c r="C10337" t="s">
        <v>40</v>
      </c>
      <c r="D10337">
        <v>4.4712319999999997</v>
      </c>
      <c r="E10337">
        <v>0.61167109999999902</v>
      </c>
      <c r="F10337" t="s">
        <v>42</v>
      </c>
      <c r="G10337">
        <v>-169.58709999999999</v>
      </c>
      <c r="H10337" s="1">
        <v>-1.6815849999999999E-6</v>
      </c>
      <c r="I10337">
        <v>133.833</v>
      </c>
      <c r="J10337">
        <v>-175.8443</v>
      </c>
      <c r="K10337">
        <v>1.0975619999999999</v>
      </c>
      <c r="L10337">
        <v>133.9177</v>
      </c>
      <c r="M10337">
        <v>0.86453239999999998</v>
      </c>
      <c r="N10337">
        <v>0</v>
      </c>
      <c r="O10337">
        <v>0.50230410000000003</v>
      </c>
      <c r="P10337">
        <v>0.94612560000000001</v>
      </c>
      <c r="Q10337">
        <v>-1.548474E-2</v>
      </c>
      <c r="R10337">
        <v>0.32342949999999998</v>
      </c>
      <c r="S10337">
        <v>3.1743009999999998</v>
      </c>
      <c r="T10337">
        <v>-0.54303230000000002</v>
      </c>
      <c r="U10337">
        <v>-1.63269E-3</v>
      </c>
      <c r="V10337">
        <v>0.19558970000000001</v>
      </c>
      <c r="W10337">
        <v>-5.0951909999999998E-3</v>
      </c>
      <c r="X10337">
        <v>0.98067260000000001</v>
      </c>
      <c r="Y10337">
        <v>0.48894900000000002</v>
      </c>
      <c r="Z10337">
        <v>-0.1237283</v>
      </c>
      <c r="AA10337">
        <v>0.86349299999999996</v>
      </c>
      <c r="AB10337">
        <v>27</v>
      </c>
      <c r="AC10337">
        <v>6.2572000000000099</v>
      </c>
      <c r="AD10337">
        <v>-1.0975636815850001</v>
      </c>
      <c r="AE10337">
        <v>-8.4699999999997999E-2</v>
      </c>
      <c r="AF10337">
        <v>3.1206846789592699</v>
      </c>
      <c r="AG10337">
        <v>-1.0975636815850001</v>
      </c>
      <c r="AH10337">
        <v>5.2075467790589496</v>
      </c>
      <c r="AI10337">
        <v>100.24767356696999</v>
      </c>
      <c r="AJ10337">
        <v>59.067346749886802</v>
      </c>
      <c r="AK10337">
        <v>6.1694296621902396</v>
      </c>
      <c r="AL10337">
        <v>90.291934197417007</v>
      </c>
      <c r="AM10337">
        <v>78.720677619327404</v>
      </c>
      <c r="AN10337">
        <v>1.00000002005408</v>
      </c>
    </row>
    <row r="10338" spans="1:40" x14ac:dyDescent="0.25">
      <c r="A10338" t="str">
        <f>"20190312154154814"</f>
        <v>20190312154154814</v>
      </c>
      <c r="B10338" t="str">
        <f>"1552376514806338"</f>
        <v>1552376514806338</v>
      </c>
      <c r="C10338" t="s">
        <v>40</v>
      </c>
      <c r="D10338">
        <v>4.450685</v>
      </c>
      <c r="E10338">
        <v>0.61077309999999996</v>
      </c>
      <c r="F10338" t="s">
        <v>42</v>
      </c>
      <c r="G10338">
        <v>-167.75980000000001</v>
      </c>
      <c r="H10338" s="1">
        <v>-2.2739590000000001E-6</v>
      </c>
      <c r="I10338">
        <v>134.24379999999999</v>
      </c>
      <c r="J10338">
        <v>-175.7174</v>
      </c>
      <c r="K10338">
        <v>1.0975999999999999</v>
      </c>
      <c r="L10338">
        <v>133.98159999999999</v>
      </c>
      <c r="M10338">
        <v>0.86892539999999996</v>
      </c>
      <c r="N10338">
        <v>0</v>
      </c>
      <c r="O10338">
        <v>0.4946662</v>
      </c>
      <c r="P10338">
        <v>0.9487196</v>
      </c>
      <c r="Q10338">
        <v>-1.576412E-2</v>
      </c>
      <c r="R10338">
        <v>0.3157258</v>
      </c>
      <c r="S10338">
        <v>3.1208499999999999</v>
      </c>
      <c r="T10338">
        <v>-0.42369099999999998</v>
      </c>
      <c r="U10338">
        <v>0.12590029999999999</v>
      </c>
      <c r="V10338">
        <v>0.19491140000000001</v>
      </c>
      <c r="W10338">
        <v>-5.3420200000000003E-3</v>
      </c>
      <c r="X10338">
        <v>0.98080630000000002</v>
      </c>
      <c r="Y10338">
        <v>0.4510016</v>
      </c>
      <c r="Z10338">
        <v>-9.477932E-2</v>
      </c>
      <c r="AA10338">
        <v>0.88747640000000005</v>
      </c>
      <c r="AB10338">
        <v>27</v>
      </c>
      <c r="AC10338">
        <v>7.9575999999999798</v>
      </c>
      <c r="AD10338">
        <v>-1.0976022739589999</v>
      </c>
      <c r="AE10338">
        <v>0.26220000000000698</v>
      </c>
      <c r="AF10338">
        <v>3.6398583021578399</v>
      </c>
      <c r="AG10338">
        <v>-1.0976022739589999</v>
      </c>
      <c r="AH10338">
        <v>6.9138341196373796</v>
      </c>
      <c r="AI10338">
        <v>97.996379026137603</v>
      </c>
      <c r="AJ10338">
        <v>62.234981730348501</v>
      </c>
      <c r="AK10338">
        <v>7.89014584437128</v>
      </c>
      <c r="AL10338">
        <v>90.306076657507703</v>
      </c>
      <c r="AM10338">
        <v>78.760289598015504</v>
      </c>
      <c r="AN10338">
        <v>0.99999999457366495</v>
      </c>
    </row>
    <row r="10339" spans="1:40" x14ac:dyDescent="0.25">
      <c r="A10339" t="str">
        <f>"20190312154154829"</f>
        <v>20190312154154829</v>
      </c>
      <c r="B10339" t="str">
        <f>"1552376514816098"</f>
        <v>1552376514816098</v>
      </c>
      <c r="C10339" t="s">
        <v>40</v>
      </c>
      <c r="D10339">
        <v>4.4298919999999997</v>
      </c>
      <c r="E10339">
        <v>0.60961409999999905</v>
      </c>
      <c r="F10339" t="s">
        <v>42</v>
      </c>
      <c r="G10339">
        <v>-167.5692</v>
      </c>
      <c r="H10339" s="1">
        <v>-2.3424830000000002E-6</v>
      </c>
      <c r="I10339">
        <v>134.26140000000001</v>
      </c>
      <c r="J10339">
        <v>-175.56139999999999</v>
      </c>
      <c r="K10339">
        <v>1.0976539999999999</v>
      </c>
      <c r="L10339">
        <v>134.05760000000001</v>
      </c>
      <c r="M10339">
        <v>0.87418399999999996</v>
      </c>
      <c r="N10339">
        <v>0</v>
      </c>
      <c r="O10339">
        <v>0.48531299999999999</v>
      </c>
      <c r="P10339">
        <v>0.95159260000000001</v>
      </c>
      <c r="Q10339">
        <v>-1.6032580000000001E-2</v>
      </c>
      <c r="R10339">
        <v>0.30694349999999998</v>
      </c>
      <c r="S10339">
        <v>3.1195219999999999</v>
      </c>
      <c r="T10339">
        <v>-0.42021779999999997</v>
      </c>
      <c r="U10339">
        <v>0.10713200000000001</v>
      </c>
      <c r="V10339">
        <v>0.19344220000000001</v>
      </c>
      <c r="W10339">
        <v>-5.5498769999999999E-3</v>
      </c>
      <c r="X10339">
        <v>0.98109599999999997</v>
      </c>
      <c r="Y10339">
        <v>0.4470036</v>
      </c>
      <c r="Z10339">
        <v>-9.2708819999999997E-2</v>
      </c>
      <c r="AA10339">
        <v>0.88971509999999998</v>
      </c>
      <c r="AB10339">
        <v>27</v>
      </c>
      <c r="AC10339">
        <v>7.9921999999999898</v>
      </c>
      <c r="AD10339">
        <v>-1.0976563424829999</v>
      </c>
      <c r="AE10339">
        <v>0.20380000000000101</v>
      </c>
      <c r="AF10339">
        <v>3.6325908952038199</v>
      </c>
      <c r="AG10339">
        <v>-1.0976563424829999</v>
      </c>
      <c r="AH10339">
        <v>6.9554181749512898</v>
      </c>
      <c r="AI10339">
        <v>97.963113855867206</v>
      </c>
      <c r="AJ10339">
        <v>62.423384578783498</v>
      </c>
      <c r="AK10339">
        <v>7.9232826559800102</v>
      </c>
      <c r="AL10339">
        <v>90.317986153832706</v>
      </c>
      <c r="AM10339">
        <v>78.846090681638202</v>
      </c>
      <c r="AN10339">
        <v>1.00000002354577</v>
      </c>
    </row>
    <row r="10340" spans="1:40" x14ac:dyDescent="0.25">
      <c r="A10340" t="str">
        <f>"20190312154154844"</f>
        <v>20190312154154844</v>
      </c>
      <c r="B10340" t="str">
        <f>"1552376514836595"</f>
        <v>1552376514836595</v>
      </c>
      <c r="C10340" t="s">
        <v>40</v>
      </c>
      <c r="D10340">
        <v>4.4386510000000001</v>
      </c>
      <c r="E10340">
        <v>0.60753409999999997</v>
      </c>
      <c r="F10340" t="s">
        <v>42</v>
      </c>
      <c r="G10340">
        <v>-167.32980000000001</v>
      </c>
      <c r="H10340" s="1">
        <v>-2.4278490000000002E-6</v>
      </c>
      <c r="I10340">
        <v>134.2861</v>
      </c>
      <c r="J10340">
        <v>-175.4008</v>
      </c>
      <c r="K10340">
        <v>1.0977030000000001</v>
      </c>
      <c r="L10340">
        <v>134.13399999999999</v>
      </c>
      <c r="M10340">
        <v>0.87946259999999998</v>
      </c>
      <c r="N10340">
        <v>0</v>
      </c>
      <c r="O10340">
        <v>0.47568090000000002</v>
      </c>
      <c r="P10340">
        <v>0.95462139999999995</v>
      </c>
      <c r="Q10340">
        <v>-1.5976730000000001E-2</v>
      </c>
      <c r="R10340">
        <v>0.29739330000000003</v>
      </c>
      <c r="S10340">
        <v>3.1177060000000001</v>
      </c>
      <c r="T10340">
        <v>-0.41573300000000002</v>
      </c>
      <c r="U10340">
        <v>8.6563109999999999E-2</v>
      </c>
      <c r="V10340">
        <v>0.19249820000000001</v>
      </c>
      <c r="W10340">
        <v>-5.4500479999999999E-3</v>
      </c>
      <c r="X10340">
        <v>0.98128219999999999</v>
      </c>
      <c r="Y10340">
        <v>0.44331900000000002</v>
      </c>
      <c r="Z10340">
        <v>-9.0434669999999995E-2</v>
      </c>
      <c r="AA10340">
        <v>0.89179019999999998</v>
      </c>
      <c r="AB10340">
        <v>26</v>
      </c>
      <c r="AC10340">
        <v>8.0709999999999908</v>
      </c>
      <c r="AD10340">
        <v>-1.0977054278489999</v>
      </c>
      <c r="AE10340">
        <v>0.152100000000018</v>
      </c>
      <c r="AF10340">
        <v>3.6386774379165101</v>
      </c>
      <c r="AG10340">
        <v>-1.0977054278489999</v>
      </c>
      <c r="AH10340">
        <v>7.04127259188932</v>
      </c>
      <c r="AI10340">
        <v>97.885101173877203</v>
      </c>
      <c r="AJ10340">
        <v>62.671699093978802</v>
      </c>
      <c r="AK10340">
        <v>8.0015280051265005</v>
      </c>
      <c r="AL10340">
        <v>90.312266291924104</v>
      </c>
      <c r="AM10340">
        <v>78.901220840446896</v>
      </c>
      <c r="AN10340">
        <v>1.00000000803164</v>
      </c>
    </row>
    <row r="10341" spans="1:40" x14ac:dyDescent="0.25">
      <c r="A10341" t="str">
        <f>"20190312154154856"</f>
        <v>20190312154154856</v>
      </c>
      <c r="B10341" t="str">
        <f>"1552376514846354"</f>
        <v>1552376514846354</v>
      </c>
      <c r="C10341" t="s">
        <v>40</v>
      </c>
      <c r="D10341">
        <v>4.4024859999999997</v>
      </c>
      <c r="E10341">
        <v>0.60753409999999997</v>
      </c>
      <c r="F10341" t="s">
        <v>42</v>
      </c>
      <c r="G10341">
        <v>-167.03880000000001</v>
      </c>
      <c r="H10341" s="1">
        <v>-2.5292150000000001E-6</v>
      </c>
      <c r="I10341">
        <v>134.32509999999999</v>
      </c>
      <c r="J10341">
        <v>-175.26650000000001</v>
      </c>
      <c r="K10341">
        <v>1.0977509999999999</v>
      </c>
      <c r="L10341">
        <v>134.19659999999999</v>
      </c>
      <c r="M10341">
        <v>0.883770099999999</v>
      </c>
      <c r="N10341">
        <v>0</v>
      </c>
      <c r="O10341">
        <v>0.46762959999999898</v>
      </c>
      <c r="P10341">
        <v>0.95701519999999995</v>
      </c>
      <c r="Q10341">
        <v>-1.5836840000000001E-2</v>
      </c>
      <c r="R10341">
        <v>0.28960560000000002</v>
      </c>
      <c r="S10341">
        <v>3.1135860000000002</v>
      </c>
      <c r="T10341">
        <v>-0.40872900000000001</v>
      </c>
      <c r="U10341">
        <v>7.1151729999999996E-2</v>
      </c>
      <c r="V10341">
        <v>0.19153780000000001</v>
      </c>
      <c r="W10341">
        <v>-5.2674810000000001E-3</v>
      </c>
      <c r="X10341">
        <v>0.98147110000000004</v>
      </c>
      <c r="Y10341">
        <v>0.43986449999999999</v>
      </c>
      <c r="Z10341">
        <v>-8.7897450000000002E-2</v>
      </c>
      <c r="AA10341">
        <v>0.89375230000000006</v>
      </c>
      <c r="AB10341">
        <v>26</v>
      </c>
      <c r="AC10341">
        <v>8.2276999999999898</v>
      </c>
      <c r="AD10341">
        <v>-1.097753529215</v>
      </c>
      <c r="AE10341">
        <v>0.128500000000002</v>
      </c>
      <c r="AF10341">
        <v>3.66916125727453</v>
      </c>
      <c r="AG10341">
        <v>-1.097753529215</v>
      </c>
      <c r="AH10341">
        <v>7.2042720398504301</v>
      </c>
      <c r="AI10341">
        <v>97.732312860929795</v>
      </c>
      <c r="AJ10341">
        <v>63.010094809080996</v>
      </c>
      <c r="AK10341">
        <v>8.1590037852031401</v>
      </c>
      <c r="AL10341">
        <v>90.301805826351199</v>
      </c>
      <c r="AM10341">
        <v>78.957302786051699</v>
      </c>
      <c r="AN10341">
        <v>0.99999999766006697</v>
      </c>
    </row>
    <row r="10342" spans="1:40" x14ac:dyDescent="0.25">
      <c r="A10342" t="str">
        <f>"20190312154154867"</f>
        <v>20190312154154867</v>
      </c>
      <c r="B10342" t="str">
        <f>"1552376514856115"</f>
        <v>1552376514856115</v>
      </c>
      <c r="C10342" t="s">
        <v>40</v>
      </c>
      <c r="D10342">
        <v>4.4169769999999904</v>
      </c>
      <c r="E10342">
        <v>0.5973195</v>
      </c>
      <c r="F10342" t="s">
        <v>42</v>
      </c>
      <c r="G10342">
        <v>-166.89500000000001</v>
      </c>
      <c r="H10342" s="1">
        <v>-2.5857850000000001E-6</v>
      </c>
      <c r="I10342">
        <v>134.3201</v>
      </c>
      <c r="J10342">
        <v>-175.1362</v>
      </c>
      <c r="K10342">
        <v>1.097801</v>
      </c>
      <c r="L10342">
        <v>134.25530000000001</v>
      </c>
      <c r="M10342">
        <v>0.88784339999999995</v>
      </c>
      <c r="N10342">
        <v>0</v>
      </c>
      <c r="O10342">
        <v>0.45984960000000003</v>
      </c>
      <c r="P10342">
        <v>0.95923080000000005</v>
      </c>
      <c r="Q10342">
        <v>-1.5853989999999998E-2</v>
      </c>
      <c r="R10342">
        <v>0.28217910000000002</v>
      </c>
      <c r="S10342">
        <v>3.1141049999999999</v>
      </c>
      <c r="T10342">
        <v>-0.40835060000000001</v>
      </c>
      <c r="U10342">
        <v>4.5928959999999998E-2</v>
      </c>
      <c r="V10342">
        <v>0.1905251</v>
      </c>
      <c r="W10342">
        <v>-5.2412070000000003E-3</v>
      </c>
      <c r="X10342">
        <v>0.9816684</v>
      </c>
      <c r="Y10342">
        <v>0.4393184</v>
      </c>
      <c r="Z10342">
        <v>-8.6887999999999896E-2</v>
      </c>
      <c r="AA10342">
        <v>0.89411960000000001</v>
      </c>
      <c r="AB10342">
        <v>26</v>
      </c>
      <c r="AC10342">
        <v>8.2411999999999903</v>
      </c>
      <c r="AD10342">
        <v>-1.0978035857849999</v>
      </c>
      <c r="AE10342">
        <v>6.4799999999991004E-2</v>
      </c>
      <c r="AF10342">
        <v>3.6676121649347802</v>
      </c>
      <c r="AG10342">
        <v>-1.0978035857849999</v>
      </c>
      <c r="AH10342">
        <v>7.2195927569787699</v>
      </c>
      <c r="AI10342">
        <v>97.720441175172795</v>
      </c>
      <c r="AJ10342">
        <v>63.069058003264303</v>
      </c>
      <c r="AK10342">
        <v>8.1718462590751404</v>
      </c>
      <c r="AL10342">
        <v>90.300300395802196</v>
      </c>
      <c r="AM10342">
        <v>79.016417981212399</v>
      </c>
      <c r="AN10342">
        <v>1.0000000657696899</v>
      </c>
    </row>
    <row r="10343" spans="1:40" x14ac:dyDescent="0.25">
      <c r="A10343" t="str">
        <f>"20190312154154882"</f>
        <v>20190312154154882</v>
      </c>
      <c r="B10343" t="str">
        <f>"1552376514865874"</f>
        <v>1552376514865874</v>
      </c>
      <c r="C10343" t="s">
        <v>40</v>
      </c>
      <c r="D10343">
        <v>4.3735290000000004</v>
      </c>
      <c r="E10343">
        <v>0.59588719999999995</v>
      </c>
      <c r="F10343" t="s">
        <v>42</v>
      </c>
      <c r="G10343">
        <v>-166.3869</v>
      </c>
      <c r="H10343" s="1">
        <v>-2.722922E-6</v>
      </c>
      <c r="I10343">
        <v>134.53799999999899</v>
      </c>
      <c r="J10343">
        <v>-174.9777</v>
      </c>
      <c r="K10343">
        <v>1.09786299999999</v>
      </c>
      <c r="L10343">
        <v>134.3253</v>
      </c>
      <c r="M10343">
        <v>0.89267830000000004</v>
      </c>
      <c r="N10343">
        <v>0</v>
      </c>
      <c r="O10343">
        <v>0.45039240000000003</v>
      </c>
      <c r="P10343">
        <v>0.96186470000000002</v>
      </c>
      <c r="Q10343">
        <v>-1.5684759999999999E-2</v>
      </c>
      <c r="R10343">
        <v>0.27307589999999998</v>
      </c>
      <c r="S10343">
        <v>3.0917050000000001</v>
      </c>
      <c r="T10343">
        <v>-0.3879263</v>
      </c>
      <c r="U10343">
        <v>9.9914550000000005E-2</v>
      </c>
      <c r="V10343">
        <v>0.18940750000000001</v>
      </c>
      <c r="W10343">
        <v>-5.0222640000000002E-3</v>
      </c>
      <c r="X10343">
        <v>0.98188569999999997</v>
      </c>
      <c r="Y10343">
        <v>0.41482859999999999</v>
      </c>
      <c r="Z10343">
        <v>-8.0500329999999995E-2</v>
      </c>
      <c r="AA10343">
        <v>0.90633160000000001</v>
      </c>
      <c r="AB10343">
        <v>26</v>
      </c>
      <c r="AC10343">
        <v>8.5907999999999998</v>
      </c>
      <c r="AD10343">
        <v>-1.0978657229219999</v>
      </c>
      <c r="AE10343">
        <v>0.21269999999998301</v>
      </c>
      <c r="AF10343">
        <v>3.6207621530727101</v>
      </c>
      <c r="AG10343">
        <v>-1.0978657229219999</v>
      </c>
      <c r="AH10343">
        <v>7.6409625340181098</v>
      </c>
      <c r="AI10343">
        <v>97.397985102844402</v>
      </c>
      <c r="AJ10343">
        <v>64.645502582767705</v>
      </c>
      <c r="AK10343">
        <v>8.5264022987986703</v>
      </c>
      <c r="AL10343">
        <v>90.287755747390904</v>
      </c>
      <c r="AM10343">
        <v>79.081651741663094</v>
      </c>
      <c r="AN10343">
        <v>0.999999976028212</v>
      </c>
    </row>
    <row r="10344" spans="1:40" x14ac:dyDescent="0.25">
      <c r="A10344" t="str">
        <f>"20190312154154895"</f>
        <v>20190312154154895</v>
      </c>
      <c r="B10344" t="str">
        <f>"1552376514886370"</f>
        <v>1552376514886370</v>
      </c>
      <c r="C10344" t="s">
        <v>40</v>
      </c>
      <c r="D10344">
        <v>4.2456630000000004</v>
      </c>
      <c r="E10344">
        <v>0.59497769999999905</v>
      </c>
      <c r="F10344" t="s">
        <v>42</v>
      </c>
      <c r="G10344">
        <v>-166.07759999999999</v>
      </c>
      <c r="H10344" s="1">
        <v>-2.8355959999999999E-6</v>
      </c>
      <c r="I10344">
        <v>134.5609</v>
      </c>
      <c r="J10344">
        <v>-174.8237</v>
      </c>
      <c r="K10344">
        <v>1.0979319999999999</v>
      </c>
      <c r="L10344">
        <v>134.39160000000001</v>
      </c>
      <c r="M10344">
        <v>0.89724729999999997</v>
      </c>
      <c r="N10344">
        <v>0</v>
      </c>
      <c r="O10344">
        <v>0.44122090000000003</v>
      </c>
      <c r="P10344">
        <v>0.96401170000000003</v>
      </c>
      <c r="Q10344">
        <v>-1.424096E-2</v>
      </c>
      <c r="R10344">
        <v>0.26547809999999999</v>
      </c>
      <c r="S10344">
        <v>3.0895079999999999</v>
      </c>
      <c r="T10344">
        <v>-0.3811042</v>
      </c>
      <c r="U10344">
        <v>8.1771849999999993E-2</v>
      </c>
      <c r="V10344">
        <v>0.18714549999999999</v>
      </c>
      <c r="W10344">
        <v>-3.490936E-3</v>
      </c>
      <c r="X10344">
        <v>0.98232600000000003</v>
      </c>
      <c r="Y10344">
        <v>0.41112739999999998</v>
      </c>
      <c r="Z10344">
        <v>-7.7926129999999996E-2</v>
      </c>
      <c r="AA10344">
        <v>0.90824099999999997</v>
      </c>
      <c r="AB10344">
        <v>26</v>
      </c>
      <c r="AC10344">
        <v>8.7461000000000109</v>
      </c>
      <c r="AD10344">
        <v>-1.0979348355959999</v>
      </c>
      <c r="AE10344">
        <v>0.16929999999999201</v>
      </c>
      <c r="AF10344">
        <v>3.65006209555309</v>
      </c>
      <c r="AG10344">
        <v>-1.0979348355959999</v>
      </c>
      <c r="AH10344">
        <v>7.8003107504029403</v>
      </c>
      <c r="AI10344">
        <v>97.265324528917503</v>
      </c>
      <c r="AJ10344">
        <v>64.923318422647</v>
      </c>
      <c r="AK10344">
        <v>8.6817775833904207</v>
      </c>
      <c r="AL10344">
        <v>90.200016306097893</v>
      </c>
      <c r="AM10344">
        <v>79.213687962244094</v>
      </c>
      <c r="AN10344">
        <v>0.99999999754020297</v>
      </c>
    </row>
    <row r="10345" spans="1:40" x14ac:dyDescent="0.25">
      <c r="A10345" t="str">
        <f>"20190312154154911"</f>
        <v>20190312154154911</v>
      </c>
      <c r="B10345" t="str">
        <f>"1552376514905891"</f>
        <v>1552376514905891</v>
      </c>
      <c r="C10345" t="s">
        <v>40</v>
      </c>
      <c r="D10345">
        <v>4.3396309999999998</v>
      </c>
      <c r="E10345">
        <v>0.592721099999999</v>
      </c>
      <c r="F10345" t="s">
        <v>42</v>
      </c>
      <c r="G10345">
        <v>-165.40170000000001</v>
      </c>
      <c r="H10345" s="1">
        <v>-3.0878010000000001E-6</v>
      </c>
      <c r="I10345">
        <v>134.58850000000001</v>
      </c>
      <c r="J10345">
        <v>-174.65350000000001</v>
      </c>
      <c r="K10345">
        <v>1.0980099999999999</v>
      </c>
      <c r="L10345">
        <v>134.4622</v>
      </c>
      <c r="M10345">
        <v>0.90213600000000005</v>
      </c>
      <c r="N10345">
        <v>0</v>
      </c>
      <c r="O10345">
        <v>0.43113780000000002</v>
      </c>
      <c r="P10345">
        <v>0.96662990000000004</v>
      </c>
      <c r="Q10345">
        <v>-1.344981E-2</v>
      </c>
      <c r="R10345">
        <v>0.2558242</v>
      </c>
      <c r="S10345">
        <v>3.0888979999999999</v>
      </c>
      <c r="T10345">
        <v>-0.3599464</v>
      </c>
      <c r="U10345">
        <v>6.4544679999999993E-2</v>
      </c>
      <c r="V10345">
        <v>0.18598870000000001</v>
      </c>
      <c r="W10345">
        <v>-2.647632E-3</v>
      </c>
      <c r="X10345">
        <v>0.98254830000000004</v>
      </c>
      <c r="Y10345">
        <v>0.40674840000000001</v>
      </c>
      <c r="Z10345">
        <v>-7.2342190000000001E-2</v>
      </c>
      <c r="AA10345">
        <v>0.91067140000000002</v>
      </c>
      <c r="AB10345">
        <v>26</v>
      </c>
      <c r="AC10345">
        <v>9.2517999999999994</v>
      </c>
      <c r="AD10345">
        <v>-1.0980130878009999</v>
      </c>
      <c r="AE10345">
        <v>0.12630000000001401</v>
      </c>
      <c r="AF10345">
        <v>3.8215682840861702</v>
      </c>
      <c r="AG10345">
        <v>-1.0980130878009999</v>
      </c>
      <c r="AH10345">
        <v>8.2852942401377501</v>
      </c>
      <c r="AI10345">
        <v>96.862041205359702</v>
      </c>
      <c r="AJ10345">
        <v>65.238621194575302</v>
      </c>
      <c r="AK10345">
        <v>9.1900009541117793</v>
      </c>
      <c r="AL10345">
        <v>90.151698318940404</v>
      </c>
      <c r="AM10345">
        <v>79.281180600700793</v>
      </c>
      <c r="AN10345">
        <v>0.99999998415789304</v>
      </c>
    </row>
    <row r="10346" spans="1:40" x14ac:dyDescent="0.25">
      <c r="A10346" t="str">
        <f>"20190312154154930"</f>
        <v>20190312154154930</v>
      </c>
      <c r="B10346" t="str">
        <f>"1552376514926386"</f>
        <v>1552376514926386</v>
      </c>
      <c r="C10346" t="s">
        <v>40</v>
      </c>
      <c r="D10346">
        <v>4.2289399999999997</v>
      </c>
      <c r="E10346">
        <v>0.59157930000000003</v>
      </c>
      <c r="F10346" t="s">
        <v>42</v>
      </c>
      <c r="G10346">
        <v>-165.6833</v>
      </c>
      <c r="H10346" s="1">
        <v>-2.9738950000000001E-6</v>
      </c>
      <c r="I10346">
        <v>134.6103</v>
      </c>
      <c r="J10346">
        <v>-174.447</v>
      </c>
      <c r="K10346">
        <v>1.098112</v>
      </c>
      <c r="L10346">
        <v>134.5453</v>
      </c>
      <c r="M10346">
        <v>0.9078581</v>
      </c>
      <c r="N10346">
        <v>0</v>
      </c>
      <c r="O10346">
        <v>0.41895529999999997</v>
      </c>
      <c r="P10346">
        <v>0.96957859999999996</v>
      </c>
      <c r="Q10346">
        <v>-1.2094199999999999E-2</v>
      </c>
      <c r="R10346">
        <v>0.24448149999999999</v>
      </c>
      <c r="S10346">
        <v>3.0848390000000001</v>
      </c>
      <c r="T10346">
        <v>-0.37760480000000002</v>
      </c>
      <c r="U10346">
        <v>5.0903320000000002E-2</v>
      </c>
      <c r="V10346">
        <v>0.18432109999999999</v>
      </c>
      <c r="W10346">
        <v>-1.218713E-3</v>
      </c>
      <c r="X10346">
        <v>0.98286530000000005</v>
      </c>
      <c r="Y10346">
        <v>0.39803939999999999</v>
      </c>
      <c r="Z10346">
        <v>-7.4084549999999999E-2</v>
      </c>
      <c r="AA10346">
        <v>0.91437199999999996</v>
      </c>
      <c r="AB10346">
        <v>26</v>
      </c>
      <c r="AC10346">
        <v>8.7637</v>
      </c>
      <c r="AD10346">
        <v>-1.098114973895</v>
      </c>
      <c r="AE10346">
        <v>6.4999999999997699E-2</v>
      </c>
      <c r="AF10346">
        <v>3.5572277139147901</v>
      </c>
      <c r="AG10346">
        <v>-1.098114973895</v>
      </c>
      <c r="AH10346">
        <v>7.8610883558758697</v>
      </c>
      <c r="AI10346">
        <v>97.252838097310004</v>
      </c>
      <c r="AJ10346">
        <v>65.652732505809396</v>
      </c>
      <c r="AK10346">
        <v>8.6980708000925695</v>
      </c>
      <c r="AL10346">
        <v>90.069827130329898</v>
      </c>
      <c r="AM10346">
        <v>79.378438127025206</v>
      </c>
      <c r="AN10346">
        <v>0.99999997555533704</v>
      </c>
    </row>
    <row r="10347" spans="1:40" x14ac:dyDescent="0.25">
      <c r="A10347" t="str">
        <f>"20190312154154948"</f>
        <v>20190312154154948</v>
      </c>
      <c r="B10347" t="str">
        <f>"1552376514936147"</f>
        <v>1552376514936147</v>
      </c>
      <c r="C10347" t="s">
        <v>40</v>
      </c>
      <c r="D10347">
        <v>4.2347659999999996</v>
      </c>
      <c r="E10347">
        <v>0.59100799999999998</v>
      </c>
      <c r="F10347" t="s">
        <v>42</v>
      </c>
      <c r="G10347">
        <v>-164.9111</v>
      </c>
      <c r="H10347" s="1">
        <v>-3.272746E-6</v>
      </c>
      <c r="I10347">
        <v>134.61750000000001</v>
      </c>
      <c r="J10347">
        <v>-174.24279999999999</v>
      </c>
      <c r="K10347">
        <v>1.0982270000000001</v>
      </c>
      <c r="L10347">
        <v>134.62430000000001</v>
      </c>
      <c r="M10347">
        <v>0.91329110000000002</v>
      </c>
      <c r="N10347">
        <v>0</v>
      </c>
      <c r="O10347">
        <v>0.40697699999999998</v>
      </c>
      <c r="P10347">
        <v>0.97249810000000003</v>
      </c>
      <c r="Q10347">
        <v>-1.1886559999999999E-2</v>
      </c>
      <c r="R10347">
        <v>0.23260819999999999</v>
      </c>
      <c r="S10347">
        <v>3.0838169999999998</v>
      </c>
      <c r="T10347">
        <v>-0.35511730000000002</v>
      </c>
      <c r="U10347">
        <v>2.3376460000000002E-2</v>
      </c>
      <c r="V10347">
        <v>0.18341640000000001</v>
      </c>
      <c r="W10347">
        <v>-9.6153920000000004E-4</v>
      </c>
      <c r="X10347">
        <v>0.98303479999999999</v>
      </c>
      <c r="Y10347">
        <v>0.39492310000000003</v>
      </c>
      <c r="Z10347">
        <v>-6.8302020000000005E-2</v>
      </c>
      <c r="AA10347">
        <v>0.91617170000000003</v>
      </c>
      <c r="AB10347">
        <v>26</v>
      </c>
      <c r="AC10347">
        <v>9.3316999999999801</v>
      </c>
      <c r="AD10347">
        <v>-1.098230272746</v>
      </c>
      <c r="AE10347">
        <v>-6.7999999999983603E-3</v>
      </c>
      <c r="AF10347">
        <v>3.7525351188931699</v>
      </c>
      <c r="AG10347">
        <v>-1.098230272746</v>
      </c>
      <c r="AH10347">
        <v>8.4045307858532698</v>
      </c>
      <c r="AI10347">
        <v>96.804256683028996</v>
      </c>
      <c r="AJ10347">
        <v>65.939737682883901</v>
      </c>
      <c r="AK10347">
        <v>9.2695073914883803</v>
      </c>
      <c r="AL10347">
        <v>90.055092148734602</v>
      </c>
      <c r="AM10347">
        <v>79.431175566760402</v>
      </c>
      <c r="AN10347">
        <v>0.99999995917881501</v>
      </c>
    </row>
    <row r="10348" spans="1:40" x14ac:dyDescent="0.25">
      <c r="A10348" t="str">
        <f>"20190312154154963"</f>
        <v>20190312154154963</v>
      </c>
      <c r="B10348" t="str">
        <f>"1552376514956642"</f>
        <v>1552376514956642</v>
      </c>
      <c r="C10348" t="s">
        <v>40</v>
      </c>
      <c r="D10348">
        <v>4.2238579999999999</v>
      </c>
      <c r="E10348">
        <v>0.58946309999999902</v>
      </c>
      <c r="F10348" t="s">
        <v>42</v>
      </c>
      <c r="G10348">
        <v>-164.58920000000001</v>
      </c>
      <c r="H10348" s="1">
        <v>-3.429233E-6</v>
      </c>
      <c r="I10348">
        <v>134.59299999999999</v>
      </c>
      <c r="J10348">
        <v>-174.07820000000001</v>
      </c>
      <c r="K10348">
        <v>1.0983240000000001</v>
      </c>
      <c r="L10348">
        <v>134.68600000000001</v>
      </c>
      <c r="M10348">
        <v>0.9175065</v>
      </c>
      <c r="N10348">
        <v>0</v>
      </c>
      <c r="O10348">
        <v>0.39738329999999999</v>
      </c>
      <c r="P10348">
        <v>0.97473589999999999</v>
      </c>
      <c r="Q10348">
        <v>-1.2299839999999999E-2</v>
      </c>
      <c r="R10348">
        <v>0.2230221</v>
      </c>
      <c r="S10348">
        <v>3.0829469999999999</v>
      </c>
      <c r="T10348">
        <v>-0.3507305</v>
      </c>
      <c r="U10348">
        <v>-1.0009769999999999E-2</v>
      </c>
      <c r="V10348">
        <v>0.18277869999999999</v>
      </c>
      <c r="W10348">
        <v>-1.3370179999999999E-3</v>
      </c>
      <c r="X10348">
        <v>0.98315319999999995</v>
      </c>
      <c r="Y10348">
        <v>0.3954086</v>
      </c>
      <c r="Z10348">
        <v>-6.6524490000000006E-2</v>
      </c>
      <c r="AA10348">
        <v>0.91609309999999999</v>
      </c>
      <c r="AB10348">
        <v>26</v>
      </c>
      <c r="AC10348">
        <v>9.4890000000000008</v>
      </c>
      <c r="AD10348">
        <v>-1.0983274292330001</v>
      </c>
      <c r="AE10348">
        <v>-9.3000000000017694E-2</v>
      </c>
      <c r="AF10348">
        <v>3.8056347291701602</v>
      </c>
      <c r="AG10348">
        <v>-1.0983274292330001</v>
      </c>
      <c r="AH10348">
        <v>8.5558106999760692</v>
      </c>
      <c r="AI10348">
        <v>96.689791672674701</v>
      </c>
      <c r="AJ10348">
        <v>66.0204451080631</v>
      </c>
      <c r="AK10348">
        <v>9.4282063812528296</v>
      </c>
      <c r="AL10348">
        <v>90.076605509232195</v>
      </c>
      <c r="AM10348">
        <v>79.468337536428905</v>
      </c>
      <c r="AN10348">
        <v>1.0000000277305301</v>
      </c>
    </row>
    <row r="10349" spans="1:40" x14ac:dyDescent="0.25">
      <c r="A10349" t="str">
        <f>"20190312154154974"</f>
        <v>20190312154154974</v>
      </c>
      <c r="B10349" t="str">
        <f>"1552376514966402"</f>
        <v>1552376514966402</v>
      </c>
      <c r="C10349" t="s">
        <v>40</v>
      </c>
      <c r="D10349">
        <v>4.2136579999999997</v>
      </c>
      <c r="E10349">
        <v>0.58896199999999999</v>
      </c>
      <c r="F10349" t="s">
        <v>42</v>
      </c>
      <c r="G10349">
        <v>-164.3021</v>
      </c>
      <c r="H10349" s="1">
        <v>-3.5644499999999998E-6</v>
      </c>
      <c r="I10349">
        <v>134.596</v>
      </c>
      <c r="J10349">
        <v>-173.94049999999999</v>
      </c>
      <c r="K10349">
        <v>1.098403</v>
      </c>
      <c r="L10349">
        <v>134.7362</v>
      </c>
      <c r="M10349">
        <v>0.92092110000000005</v>
      </c>
      <c r="N10349">
        <v>0</v>
      </c>
      <c r="O10349">
        <v>0.38940550000000002</v>
      </c>
      <c r="P10349">
        <v>0.97653259999999997</v>
      </c>
      <c r="Q10349">
        <v>-1.33379E-2</v>
      </c>
      <c r="R10349">
        <v>0.2149566</v>
      </c>
      <c r="S10349">
        <v>3.0798800000000002</v>
      </c>
      <c r="T10349">
        <v>-0.34601900000000002</v>
      </c>
      <c r="U10349">
        <v>-2.836609E-2</v>
      </c>
      <c r="V10349">
        <v>0.1823391</v>
      </c>
      <c r="W10349">
        <v>-2.3459280000000002E-3</v>
      </c>
      <c r="X10349">
        <v>0.98323289999999997</v>
      </c>
      <c r="Y10349">
        <v>0.39309739999999999</v>
      </c>
      <c r="Z10349">
        <v>-6.4749390000000004E-2</v>
      </c>
      <c r="AA10349">
        <v>0.91721419999999998</v>
      </c>
      <c r="AB10349">
        <v>26</v>
      </c>
      <c r="AC10349">
        <v>9.6383999999999901</v>
      </c>
      <c r="AD10349">
        <v>-1.0984065644499901</v>
      </c>
      <c r="AE10349">
        <v>-0.140199999999993</v>
      </c>
      <c r="AF10349">
        <v>3.8331079343014198</v>
      </c>
      <c r="AG10349">
        <v>-1.0984065644499901</v>
      </c>
      <c r="AH10349">
        <v>8.7097013012910391</v>
      </c>
      <c r="AI10349">
        <v>96.584455643022395</v>
      </c>
      <c r="AJ10349">
        <v>66.245879627823797</v>
      </c>
      <c r="AK10349">
        <v>9.5790453686441204</v>
      </c>
      <c r="AL10349">
        <v>90.134411897641698</v>
      </c>
      <c r="AM10349">
        <v>79.493935184711304</v>
      </c>
      <c r="AN10349">
        <v>0.99999999320470001</v>
      </c>
    </row>
    <row r="10350" spans="1:40" x14ac:dyDescent="0.25">
      <c r="A10350" t="str">
        <f>"20190312154154992"</f>
        <v>20190312154154992</v>
      </c>
      <c r="B10350" t="str">
        <f>"1552376514985923"</f>
        <v>1552376514985923</v>
      </c>
      <c r="C10350" t="s">
        <v>40</v>
      </c>
      <c r="D10350">
        <v>4.1585320000000001</v>
      </c>
      <c r="E10350">
        <v>0.58762449999999999</v>
      </c>
      <c r="F10350" t="s">
        <v>42</v>
      </c>
      <c r="G10350">
        <v>-164.14009999999999</v>
      </c>
      <c r="H10350" s="1">
        <v>-3.6443410000000001E-6</v>
      </c>
      <c r="I10350">
        <v>134.5772</v>
      </c>
      <c r="J10350">
        <v>-173.74420000000001</v>
      </c>
      <c r="K10350">
        <v>1.098538</v>
      </c>
      <c r="L10350">
        <v>134.80510000000001</v>
      </c>
      <c r="M10350">
        <v>0.92560679999999995</v>
      </c>
      <c r="N10350">
        <v>0</v>
      </c>
      <c r="O10350">
        <v>0.37813459999999899</v>
      </c>
      <c r="P10350">
        <v>0.97901159999999998</v>
      </c>
      <c r="Q10350">
        <v>-1.3631549999999999E-2</v>
      </c>
      <c r="R10350">
        <v>0.20334840000000001</v>
      </c>
      <c r="S10350">
        <v>3.078354</v>
      </c>
      <c r="T10350">
        <v>-0.34501359999999998</v>
      </c>
      <c r="U10350">
        <v>-4.9926760000000001E-2</v>
      </c>
      <c r="V10350">
        <v>0.1819992</v>
      </c>
      <c r="W10350">
        <v>-2.6049519999999998E-3</v>
      </c>
      <c r="X10350">
        <v>0.98329520000000004</v>
      </c>
      <c r="Y10350">
        <v>0.38843290000000003</v>
      </c>
      <c r="Z10350">
        <v>-6.3163919999999998E-2</v>
      </c>
      <c r="AA10350">
        <v>0.91930959999999995</v>
      </c>
      <c r="AB10350">
        <v>26</v>
      </c>
      <c r="AC10350">
        <v>9.6041000000000096</v>
      </c>
      <c r="AD10350">
        <v>-1.0985416443410001</v>
      </c>
      <c r="AE10350">
        <v>-0.22790000000000499</v>
      </c>
      <c r="AF10350">
        <v>3.79349620607656</v>
      </c>
      <c r="AG10350">
        <v>-1.0985416443410001</v>
      </c>
      <c r="AH10350">
        <v>8.6909724615250905</v>
      </c>
      <c r="AI10350">
        <v>96.608010259018798</v>
      </c>
      <c r="AJ10350">
        <v>66.419358061318604</v>
      </c>
      <c r="AK10350">
        <v>9.5462248840500408</v>
      </c>
      <c r="AL10350">
        <v>90.149252928344396</v>
      </c>
      <c r="AM10350">
        <v>79.513734470738498</v>
      </c>
      <c r="AN10350">
        <v>0.99999997245930095</v>
      </c>
    </row>
    <row r="10351" spans="1:40" x14ac:dyDescent="0.25">
      <c r="A10351" t="str">
        <f>"20190312154155007"</f>
        <v>20190312154155007</v>
      </c>
      <c r="B10351" t="str">
        <f>"1552376514996658"</f>
        <v>1552376514996658</v>
      </c>
      <c r="C10351" t="s">
        <v>40</v>
      </c>
      <c r="D10351">
        <v>4.1544239999999997</v>
      </c>
      <c r="E10351">
        <v>0.5869588</v>
      </c>
      <c r="F10351" t="s">
        <v>42</v>
      </c>
      <c r="G10351">
        <v>-163.70050000000001</v>
      </c>
      <c r="H10351" s="1">
        <v>-3.8556330000000003E-6</v>
      </c>
      <c r="I10351">
        <v>134.5575</v>
      </c>
      <c r="J10351">
        <v>-173.56599999999901</v>
      </c>
      <c r="K10351">
        <v>1.098678</v>
      </c>
      <c r="L10351">
        <v>134.8656</v>
      </c>
      <c r="M10351">
        <v>0.92968019999999996</v>
      </c>
      <c r="N10351">
        <v>0</v>
      </c>
      <c r="O10351">
        <v>0.36800769999999999</v>
      </c>
      <c r="P10351">
        <v>0.98112849999999996</v>
      </c>
      <c r="Q10351">
        <v>-1.376031E-2</v>
      </c>
      <c r="R10351">
        <v>0.19286729999999999</v>
      </c>
      <c r="S10351">
        <v>3.0753780000000002</v>
      </c>
      <c r="T10351">
        <v>-0.33637319999999998</v>
      </c>
      <c r="U10351">
        <v>-7.5836180000000003E-2</v>
      </c>
      <c r="V10351">
        <v>0.18177589999999999</v>
      </c>
      <c r="W10351">
        <v>-2.7017629999999998E-3</v>
      </c>
      <c r="X10351">
        <v>0.98333630000000005</v>
      </c>
      <c r="Y10351">
        <v>0.38643880000000003</v>
      </c>
      <c r="Z10351">
        <v>-6.051194E-2</v>
      </c>
      <c r="AA10351">
        <v>0.92032789999999998</v>
      </c>
      <c r="AB10351">
        <v>26</v>
      </c>
      <c r="AC10351">
        <v>9.86549999999996</v>
      </c>
      <c r="AD10351">
        <v>-1.098681855633</v>
      </c>
      <c r="AE10351">
        <v>-0.30809999999999599</v>
      </c>
      <c r="AF10351">
        <v>3.8695882402814101</v>
      </c>
      <c r="AG10351">
        <v>-1.098681855633</v>
      </c>
      <c r="AH10351">
        <v>8.9487003660080902</v>
      </c>
      <c r="AI10351">
        <v>96.429591995826698</v>
      </c>
      <c r="AJ10351">
        <v>66.615426369428604</v>
      </c>
      <c r="AK10351">
        <v>9.8112207808108494</v>
      </c>
      <c r="AL10351">
        <v>90.154799801119296</v>
      </c>
      <c r="AM10351">
        <v>79.526743568356295</v>
      </c>
      <c r="AN10351">
        <v>1.0000000281209001</v>
      </c>
    </row>
    <row r="10352" spans="1:40" x14ac:dyDescent="0.25">
      <c r="A10352" t="str">
        <f>"20190312154155023"</f>
        <v>20190312154155023</v>
      </c>
      <c r="B10352" t="str">
        <f>"1552376515016179"</f>
        <v>1552376515016179</v>
      </c>
      <c r="C10352" t="s">
        <v>40</v>
      </c>
      <c r="D10352">
        <v>4.1860169999999997</v>
      </c>
      <c r="E10352">
        <v>0.58629209999999998</v>
      </c>
      <c r="F10352" t="s">
        <v>42</v>
      </c>
      <c r="G10352">
        <v>-163.4451</v>
      </c>
      <c r="H10352" s="1">
        <v>-3.9821390000000004E-6</v>
      </c>
      <c r="I10352">
        <v>134.52500000000001</v>
      </c>
      <c r="J10352">
        <v>-173.3895</v>
      </c>
      <c r="K10352">
        <v>1.0988290000000001</v>
      </c>
      <c r="L10352">
        <v>134.92359999999999</v>
      </c>
      <c r="M10352">
        <v>0.93354890000000001</v>
      </c>
      <c r="N10352">
        <v>0</v>
      </c>
      <c r="O10352">
        <v>0.35808179999999901</v>
      </c>
      <c r="P10352">
        <v>0.98303560000000001</v>
      </c>
      <c r="Q10352">
        <v>-1.4109780000000001E-2</v>
      </c>
      <c r="R10352">
        <v>0.18287200000000001</v>
      </c>
      <c r="S10352">
        <v>3.0733799999999998</v>
      </c>
      <c r="T10352">
        <v>-0.33363379999999998</v>
      </c>
      <c r="U10352">
        <v>-0.1034393</v>
      </c>
      <c r="V10352">
        <v>0.18129580000000001</v>
      </c>
      <c r="W10352">
        <v>-3.0091340000000001E-3</v>
      </c>
      <c r="X10352">
        <v>0.98342399999999996</v>
      </c>
      <c r="Y10352">
        <v>0.38503080000000001</v>
      </c>
      <c r="Z10352">
        <v>-5.8975760000000002E-2</v>
      </c>
      <c r="AA10352">
        <v>0.92101750000000004</v>
      </c>
      <c r="AB10352">
        <v>26</v>
      </c>
      <c r="AC10352">
        <v>9.9443999999999999</v>
      </c>
      <c r="AD10352">
        <v>-1.0988329821389999</v>
      </c>
      <c r="AE10352">
        <v>-0.39859999999998702</v>
      </c>
      <c r="AF10352">
        <v>3.88616730273323</v>
      </c>
      <c r="AG10352">
        <v>-1.0988329821389999</v>
      </c>
      <c r="AH10352">
        <v>9.0319576310276499</v>
      </c>
      <c r="AI10352">
        <v>96.376626258643796</v>
      </c>
      <c r="AJ10352">
        <v>66.719310791906295</v>
      </c>
      <c r="AK10352">
        <v>9.8937348294841598</v>
      </c>
      <c r="AL10352">
        <v>90.172410939610998</v>
      </c>
      <c r="AM10352">
        <v>79.5547065159477</v>
      </c>
      <c r="AN10352">
        <v>0.99999999288053398</v>
      </c>
    </row>
    <row r="10353" spans="1:40" x14ac:dyDescent="0.25">
      <c r="A10353" t="str">
        <f>"20190312154155035"</f>
        <v>20190312154155035</v>
      </c>
      <c r="B10353" t="str">
        <f>"1552376515025939"</f>
        <v>1552376515025939</v>
      </c>
      <c r="C10353" t="s">
        <v>40</v>
      </c>
      <c r="D10353">
        <v>4.1659249999999997</v>
      </c>
      <c r="E10353">
        <v>0.56811119999999904</v>
      </c>
      <c r="F10353" t="s">
        <v>42</v>
      </c>
      <c r="G10353">
        <v>-163.22899999999899</v>
      </c>
      <c r="H10353" s="1">
        <v>-4.0895200000000001E-6</v>
      </c>
      <c r="I10353">
        <v>134.4956</v>
      </c>
      <c r="J10353">
        <v>-173.2414</v>
      </c>
      <c r="K10353">
        <v>1.0989629999999999</v>
      </c>
      <c r="L10353">
        <v>134.971</v>
      </c>
      <c r="M10353">
        <v>0.93667129999999998</v>
      </c>
      <c r="N10353">
        <v>0</v>
      </c>
      <c r="O10353">
        <v>0.349834599999999</v>
      </c>
      <c r="P10353">
        <v>0.98454489999999995</v>
      </c>
      <c r="Q10353">
        <v>-1.4573350000000001E-2</v>
      </c>
      <c r="R10353">
        <v>0.17452500000000001</v>
      </c>
      <c r="S10353">
        <v>3.071075</v>
      </c>
      <c r="T10353">
        <v>-0.3321289</v>
      </c>
      <c r="U10353">
        <v>-0.1293793</v>
      </c>
      <c r="V10353">
        <v>0.18095169999999999</v>
      </c>
      <c r="W10353">
        <v>-3.4373300000000002E-3</v>
      </c>
      <c r="X10353">
        <v>0.98348599999999997</v>
      </c>
      <c r="Y10353">
        <v>0.3847757</v>
      </c>
      <c r="Z10353">
        <v>-5.7901099999999997E-2</v>
      </c>
      <c r="AA10353">
        <v>0.92119220000000002</v>
      </c>
      <c r="AB10353">
        <v>26</v>
      </c>
      <c r="AC10353">
        <v>10.0124</v>
      </c>
      <c r="AD10353">
        <v>-1.0989670895200001</v>
      </c>
      <c r="AE10353">
        <v>-0.47540000000000698</v>
      </c>
      <c r="AF10353">
        <v>3.90159767193478</v>
      </c>
      <c r="AG10353">
        <v>-1.0989670895200001</v>
      </c>
      <c r="AH10353">
        <v>9.1037959820176901</v>
      </c>
      <c r="AI10353">
        <v>96.331353850011794</v>
      </c>
      <c r="AJ10353">
        <v>66.801564623857402</v>
      </c>
      <c r="AK10353">
        <v>9.9654048758540892</v>
      </c>
      <c r="AL10353">
        <v>90.1969448851724</v>
      </c>
      <c r="AM10353">
        <v>79.574739423081695</v>
      </c>
      <c r="AN10353">
        <v>1.0000000225832</v>
      </c>
    </row>
    <row r="10354" spans="1:40" x14ac:dyDescent="0.25">
      <c r="A10354" t="str">
        <f>"20190312154155049"</f>
        <v>20190312154155049</v>
      </c>
      <c r="B10354" t="str">
        <f>"1552376515036675"</f>
        <v>1552376515036675</v>
      </c>
      <c r="C10354" t="s">
        <v>40</v>
      </c>
      <c r="D10354">
        <v>4.124136</v>
      </c>
      <c r="E10354">
        <v>0.56684820000000002</v>
      </c>
      <c r="F10354" t="s">
        <v>42</v>
      </c>
      <c r="G10354">
        <v>-157.53200000000001</v>
      </c>
      <c r="H10354" s="1">
        <v>-2.078496E-6</v>
      </c>
      <c r="I10354">
        <v>134.90860000000001</v>
      </c>
      <c r="J10354">
        <v>-173.09710000000001</v>
      </c>
      <c r="K10354">
        <v>1.0991040000000001</v>
      </c>
      <c r="L10354">
        <v>135.0153</v>
      </c>
      <c r="M10354">
        <v>0.93958540000000002</v>
      </c>
      <c r="N10354">
        <v>0</v>
      </c>
      <c r="O10354">
        <v>0.34193220000000002</v>
      </c>
      <c r="P10354">
        <v>0.98583379999999998</v>
      </c>
      <c r="Q10354">
        <v>-1.5291040000000001E-2</v>
      </c>
      <c r="R10354">
        <v>0.16702690000000001</v>
      </c>
      <c r="S10354">
        <v>3.0460820000000002</v>
      </c>
      <c r="T10354">
        <v>-0.21309069999999999</v>
      </c>
      <c r="U10354">
        <v>-1.208496E-2</v>
      </c>
      <c r="V10354">
        <v>0.18013009999999999</v>
      </c>
      <c r="W10354">
        <v>-4.1068950000000002E-3</v>
      </c>
      <c r="X10354">
        <v>0.98363420000000001</v>
      </c>
      <c r="Y10354">
        <v>0.34405140000000001</v>
      </c>
      <c r="Z10354">
        <v>-3.5545630000000002E-2</v>
      </c>
      <c r="AA10354">
        <v>0.93827780000000005</v>
      </c>
      <c r="AB10354">
        <v>26</v>
      </c>
      <c r="AC10354">
        <v>15.565099999999999</v>
      </c>
      <c r="AD10354">
        <v>-1.0991060784960001</v>
      </c>
      <c r="AE10354">
        <v>-0.106699999999989</v>
      </c>
      <c r="AF10354">
        <v>5.3962662213142503</v>
      </c>
      <c r="AG10354">
        <v>-1.0991060784960001</v>
      </c>
      <c r="AH10354">
        <v>14.5177793042803</v>
      </c>
      <c r="AI10354">
        <v>94.059127718985707</v>
      </c>
      <c r="AJ10354">
        <v>69.609873139420998</v>
      </c>
      <c r="AK10354">
        <v>15.5271903199154</v>
      </c>
      <c r="AL10354">
        <v>90.235308416714503</v>
      </c>
      <c r="AM10354">
        <v>79.622573446749996</v>
      </c>
      <c r="AN10354">
        <v>0.99999997946109498</v>
      </c>
    </row>
    <row r="10355" spans="1:40" x14ac:dyDescent="0.25">
      <c r="A10355" t="str">
        <f>"20190312154155063"</f>
        <v>20190312154155063</v>
      </c>
      <c r="B10355" t="str">
        <f>"1552376515056196"</f>
        <v>1552376515056196</v>
      </c>
      <c r="C10355" t="s">
        <v>40</v>
      </c>
      <c r="D10355">
        <v>4.0823039999999997</v>
      </c>
      <c r="E10355">
        <v>0.56716999999999995</v>
      </c>
      <c r="F10355" t="s">
        <v>42</v>
      </c>
      <c r="G10355">
        <v>-155.0247</v>
      </c>
      <c r="H10355" s="1">
        <v>-2.9591979999999999E-6</v>
      </c>
      <c r="I10355">
        <v>134.8664</v>
      </c>
      <c r="J10355">
        <v>-172.9427</v>
      </c>
      <c r="K10355">
        <v>1.099262</v>
      </c>
      <c r="L10355">
        <v>135.0617</v>
      </c>
      <c r="M10355">
        <v>0.94259570000000004</v>
      </c>
      <c r="N10355">
        <v>0</v>
      </c>
      <c r="O10355">
        <v>0.33354620000000001</v>
      </c>
      <c r="P10355">
        <v>0.98717200000000005</v>
      </c>
      <c r="Q10355">
        <v>-1.6502739999999998E-2</v>
      </c>
      <c r="R10355">
        <v>0.15880569999999999</v>
      </c>
      <c r="S10355">
        <v>3.0444789999999999</v>
      </c>
      <c r="T10355">
        <v>-0.1851556</v>
      </c>
      <c r="U10355">
        <v>-2.5070189999999999E-2</v>
      </c>
      <c r="V10355">
        <v>0.17952489999999999</v>
      </c>
      <c r="W10355">
        <v>-5.273415E-3</v>
      </c>
      <c r="X10355">
        <v>0.98373929999999998</v>
      </c>
      <c r="Y10355">
        <v>0.34011370000000002</v>
      </c>
      <c r="Z10355">
        <v>-3.0309269999999999E-2</v>
      </c>
      <c r="AA10355">
        <v>0.9398957</v>
      </c>
      <c r="AB10355">
        <v>26</v>
      </c>
      <c r="AC10355">
        <v>17.917999999999999</v>
      </c>
      <c r="AD10355">
        <v>-1.0992649591979999</v>
      </c>
      <c r="AE10355">
        <v>-0.195300000000003</v>
      </c>
      <c r="AF10355">
        <v>6.1382712048003896</v>
      </c>
      <c r="AG10355">
        <v>-1.0992649591979999</v>
      </c>
      <c r="AH10355">
        <v>16.7633916724374</v>
      </c>
      <c r="AI10355">
        <v>93.523652016381703</v>
      </c>
      <c r="AJ10355">
        <v>69.8887245320917</v>
      </c>
      <c r="AK10355">
        <v>17.885694205083102</v>
      </c>
      <c r="AL10355">
        <v>90.302145822164604</v>
      </c>
      <c r="AM10355">
        <v>79.657766855666495</v>
      </c>
      <c r="AN10355">
        <v>1.00000000449513</v>
      </c>
    </row>
    <row r="10356" spans="1:40" x14ac:dyDescent="0.25">
      <c r="A10356" t="str">
        <f>"20190312154155074"</f>
        <v>20190312154155074</v>
      </c>
      <c r="B10356" t="str">
        <f>"1552376515065955"</f>
        <v>1552376515065955</v>
      </c>
      <c r="C10356" t="s">
        <v>40</v>
      </c>
      <c r="D10356">
        <v>4.0447100000000002</v>
      </c>
      <c r="E10356">
        <v>0.56594369999999905</v>
      </c>
      <c r="F10356" t="s">
        <v>42</v>
      </c>
      <c r="G10356">
        <v>-145.43709999999999</v>
      </c>
      <c r="H10356" s="1">
        <v>-2.877553E-6</v>
      </c>
      <c r="I10356">
        <v>134.5849</v>
      </c>
      <c r="J10356">
        <v>-172.79839999999999</v>
      </c>
      <c r="K10356">
        <v>1.0994109999999999</v>
      </c>
      <c r="L10356">
        <v>135.10399999999899</v>
      </c>
      <c r="M10356">
        <v>0.94529859999999999</v>
      </c>
      <c r="N10356">
        <v>0</v>
      </c>
      <c r="O10356">
        <v>0.32580910000000002</v>
      </c>
      <c r="P10356">
        <v>0.98812999999999995</v>
      </c>
      <c r="Q10356">
        <v>-1.807342E-2</v>
      </c>
      <c r="R10356">
        <v>0.15255379999999999</v>
      </c>
      <c r="S10356">
        <v>3.0454409999999998</v>
      </c>
      <c r="T10356">
        <v>-0.1217111</v>
      </c>
      <c r="U10356">
        <v>-5.2795410000000001E-2</v>
      </c>
      <c r="V10356">
        <v>0.1776412</v>
      </c>
      <c r="W10356">
        <v>-6.7627429999999999E-3</v>
      </c>
      <c r="X10356">
        <v>0.98407210000000001</v>
      </c>
      <c r="Y10356">
        <v>0.34166340000000001</v>
      </c>
      <c r="Z10356">
        <v>-1.9667069999999998E-2</v>
      </c>
      <c r="AA10356">
        <v>0.93961660000000002</v>
      </c>
      <c r="AB10356">
        <v>26</v>
      </c>
      <c r="AC10356">
        <v>27.3613</v>
      </c>
      <c r="AD10356">
        <v>-1.099413877553</v>
      </c>
      <c r="AE10356">
        <v>-0.51909999999998002</v>
      </c>
      <c r="AF10356">
        <v>9.3913259678198298</v>
      </c>
      <c r="AG10356">
        <v>-1.099413877553</v>
      </c>
      <c r="AH10356">
        <v>25.657389134144999</v>
      </c>
      <c r="AI10356">
        <v>92.304279240074393</v>
      </c>
      <c r="AJ10356">
        <v>69.895953282139104</v>
      </c>
      <c r="AK10356">
        <v>27.344237628592701</v>
      </c>
      <c r="AL10356">
        <v>90.387479579866607</v>
      </c>
      <c r="AM10356">
        <v>79.767367211867693</v>
      </c>
      <c r="AN10356">
        <v>1.0000000143143599</v>
      </c>
    </row>
    <row r="10357" spans="1:40" x14ac:dyDescent="0.25">
      <c r="A10357" t="str">
        <f>"20190312154155093"</f>
        <v>20190312154155093</v>
      </c>
      <c r="B10357" t="str">
        <f>"1552376515086450"</f>
        <v>1552376515086450</v>
      </c>
      <c r="C10357" t="s">
        <v>40</v>
      </c>
      <c r="D10357">
        <v>4.0423150000000003</v>
      </c>
      <c r="E10357">
        <v>0.56418230000000003</v>
      </c>
      <c r="F10357" t="s">
        <v>42</v>
      </c>
      <c r="G10357">
        <v>-144.6003</v>
      </c>
      <c r="H10357" s="1">
        <v>-3.201402E-6</v>
      </c>
      <c r="I10357">
        <v>134.52760000000001</v>
      </c>
      <c r="J10357">
        <v>-172.59370000000001</v>
      </c>
      <c r="K10357">
        <v>1.0996410000000001</v>
      </c>
      <c r="L10357">
        <v>135.1617</v>
      </c>
      <c r="M10357">
        <v>0.94894140000000005</v>
      </c>
      <c r="N10357">
        <v>0</v>
      </c>
      <c r="O10357">
        <v>0.31504490000000002</v>
      </c>
      <c r="P10357">
        <v>0.98961719999999997</v>
      </c>
      <c r="Q10357">
        <v>-1.8320679999999999E-2</v>
      </c>
      <c r="R10357">
        <v>0.14255509999999999</v>
      </c>
      <c r="S10357">
        <v>3.043472</v>
      </c>
      <c r="T10357">
        <v>-0.1186615</v>
      </c>
      <c r="U10357">
        <v>-6.2210080000000001E-2</v>
      </c>
      <c r="V10357">
        <v>0.17640229999999901</v>
      </c>
      <c r="W10357">
        <v>-6.9360619999999998E-3</v>
      </c>
      <c r="X10357">
        <v>0.98429370000000005</v>
      </c>
      <c r="Y10357">
        <v>0.33392739999999999</v>
      </c>
      <c r="Z10357">
        <v>-1.8634830000000002E-2</v>
      </c>
      <c r="AA10357">
        <v>0.94241459999999999</v>
      </c>
      <c r="AB10357">
        <v>26</v>
      </c>
      <c r="AC10357">
        <v>27.993400000000001</v>
      </c>
      <c r="AD10357">
        <v>-1.099644201402</v>
      </c>
      <c r="AE10357">
        <v>-0.63409999999998901</v>
      </c>
      <c r="AF10357">
        <v>9.4076027426854694</v>
      </c>
      <c r="AG10357">
        <v>-1.099644201402</v>
      </c>
      <c r="AH10357">
        <v>26.3271093310582</v>
      </c>
      <c r="AI10357">
        <v>92.252440194179101</v>
      </c>
      <c r="AJ10357">
        <v>70.336403020537801</v>
      </c>
      <c r="AK10357">
        <v>27.9790795499664</v>
      </c>
      <c r="AL10357">
        <v>90.397410271890095</v>
      </c>
      <c r="AM10357">
        <v>79.839479198921595</v>
      </c>
      <c r="AN10357">
        <v>0.99999998413052305</v>
      </c>
    </row>
    <row r="10358" spans="1:40" x14ac:dyDescent="0.25">
      <c r="A10358" t="str">
        <f>"20190312154155106"</f>
        <v>20190312154155106</v>
      </c>
      <c r="B10358" t="str">
        <f>"1552376515096211"</f>
        <v>1552376515096211</v>
      </c>
      <c r="C10358" t="s">
        <v>40</v>
      </c>
      <c r="D10358">
        <v>4.058764</v>
      </c>
      <c r="E10358">
        <v>0.56315680000000001</v>
      </c>
      <c r="F10358" t="s">
        <v>42</v>
      </c>
      <c r="G10358">
        <v>-141.92160000000001</v>
      </c>
      <c r="H10358" s="1">
        <v>-4.3795890000000003E-6</v>
      </c>
      <c r="I10358">
        <v>134.3639</v>
      </c>
      <c r="J10358">
        <v>-172.43360000000001</v>
      </c>
      <c r="K10358">
        <v>1.0998300000000001</v>
      </c>
      <c r="L10358">
        <v>135.20509999999999</v>
      </c>
      <c r="M10358">
        <v>0.95164300000000002</v>
      </c>
      <c r="N10358">
        <v>0</v>
      </c>
      <c r="O10358">
        <v>0.30679010000000001</v>
      </c>
      <c r="P10358">
        <v>0.99066969999999999</v>
      </c>
      <c r="Q10358">
        <v>-1.8723589999999998E-2</v>
      </c>
      <c r="R10358">
        <v>0.13499369999999999</v>
      </c>
      <c r="S10358">
        <v>3.040848</v>
      </c>
      <c r="T10358">
        <v>-0.1090192</v>
      </c>
      <c r="U10358">
        <v>-7.9086299999999998E-2</v>
      </c>
      <c r="V10358">
        <v>0.17535870000000001</v>
      </c>
      <c r="W10358">
        <v>-7.2792509999999996E-3</v>
      </c>
      <c r="X10358">
        <v>0.98447770000000001</v>
      </c>
      <c r="Y10358">
        <v>0.3310651</v>
      </c>
      <c r="Z10358">
        <v>-1.6801690000000001E-2</v>
      </c>
      <c r="AA10358">
        <v>0.94345829999999997</v>
      </c>
      <c r="AB10358">
        <v>26</v>
      </c>
      <c r="AC10358">
        <v>30.511999999999901</v>
      </c>
      <c r="AD10358">
        <v>-1.09983437958899</v>
      </c>
      <c r="AE10358">
        <v>-0.84119999999998596</v>
      </c>
      <c r="AF10358">
        <v>10.149422404015301</v>
      </c>
      <c r="AG10358">
        <v>-1.09983437958899</v>
      </c>
      <c r="AH10358">
        <v>28.744815503597898</v>
      </c>
      <c r="AI10358">
        <v>92.066281168278195</v>
      </c>
      <c r="AJ10358">
        <v>70.552532853917299</v>
      </c>
      <c r="AK10358">
        <v>30.503849415008901</v>
      </c>
      <c r="AL10358">
        <v>90.417074043039605</v>
      </c>
      <c r="AM10358">
        <v>79.900196723016194</v>
      </c>
      <c r="AN10358">
        <v>1.00000000147905</v>
      </c>
    </row>
    <row r="10359" spans="1:40" x14ac:dyDescent="0.25">
      <c r="A10359" t="str">
        <f>"20190312154155120"</f>
        <v>20190312154155120</v>
      </c>
      <c r="B10359" t="str">
        <f>"1552376515105970"</f>
        <v>1552376515105970</v>
      </c>
      <c r="C10359" t="s">
        <v>40</v>
      </c>
      <c r="D10359">
        <v>4.0343999999999998</v>
      </c>
      <c r="E10359">
        <v>0.56200439999999996</v>
      </c>
      <c r="F10359" t="s">
        <v>42</v>
      </c>
      <c r="G10359">
        <v>-141.71680000000001</v>
      </c>
      <c r="H10359" s="1">
        <v>-4.4870670000000004E-6</v>
      </c>
      <c r="I10359">
        <v>134.25319999999999</v>
      </c>
      <c r="J10359">
        <v>-172.27780000000001</v>
      </c>
      <c r="K10359">
        <v>1.1000049999999999</v>
      </c>
      <c r="L10359">
        <v>135.24639999999999</v>
      </c>
      <c r="M10359">
        <v>0.9541636</v>
      </c>
      <c r="N10359">
        <v>0</v>
      </c>
      <c r="O10359">
        <v>0.29886160000000001</v>
      </c>
      <c r="P10359">
        <v>0.99138499999999996</v>
      </c>
      <c r="Q10359">
        <v>-1.9139059999999999E-2</v>
      </c>
      <c r="R10359">
        <v>0.12957399999999999</v>
      </c>
      <c r="S10359">
        <v>3.0390169999999999</v>
      </c>
      <c r="T10359">
        <v>-0.10881390000000001</v>
      </c>
      <c r="U10359">
        <v>-9.4177250000000004E-2</v>
      </c>
      <c r="V10359">
        <v>0.17254169999999999</v>
      </c>
      <c r="W10359">
        <v>-7.588058E-3</v>
      </c>
      <c r="X10359">
        <v>0.98497299999999999</v>
      </c>
      <c r="Y10359">
        <v>0.32791690000000001</v>
      </c>
      <c r="Z10359">
        <v>-1.6450889999999999E-2</v>
      </c>
      <c r="AA10359">
        <v>0.94456329999999999</v>
      </c>
      <c r="AB10359">
        <v>26</v>
      </c>
      <c r="AC10359">
        <v>30.561</v>
      </c>
      <c r="AD10359">
        <v>-1.1000094870670001</v>
      </c>
      <c r="AE10359">
        <v>-0.99320000000000097</v>
      </c>
      <c r="AF10359">
        <v>10.069431228912</v>
      </c>
      <c r="AG10359">
        <v>-1.1000094870670001</v>
      </c>
      <c r="AH10359">
        <v>28.8297133203477</v>
      </c>
      <c r="AI10359">
        <v>92.062985810756103</v>
      </c>
      <c r="AJ10359">
        <v>70.747086810067003</v>
      </c>
      <c r="AK10359">
        <v>30.557418678266298</v>
      </c>
      <c r="AL10359">
        <v>90.434767864392896</v>
      </c>
      <c r="AM10359">
        <v>80.064079315575796</v>
      </c>
      <c r="AN10359">
        <v>1.0000000137960501</v>
      </c>
    </row>
    <row r="10360" spans="1:40" x14ac:dyDescent="0.25">
      <c r="A10360" t="str">
        <f>"20190312154155144"</f>
        <v>20190312154155144</v>
      </c>
      <c r="B10360" t="str">
        <f>"1552376515136226"</f>
        <v>1552376515136226</v>
      </c>
      <c r="C10360" t="s">
        <v>40</v>
      </c>
      <c r="D10360">
        <v>3.9550619999999999</v>
      </c>
      <c r="E10360">
        <v>0.55967869999999997</v>
      </c>
      <c r="F10360" t="s">
        <v>42</v>
      </c>
      <c r="G10360">
        <v>-141.66739999999999</v>
      </c>
      <c r="H10360" s="1">
        <v>-4.5136969999999998E-6</v>
      </c>
      <c r="I10360">
        <v>134.2226</v>
      </c>
      <c r="J10360">
        <v>-172.01060000000001</v>
      </c>
      <c r="K10360">
        <v>1.1003270000000001</v>
      </c>
      <c r="L10360">
        <v>135.31399999999999</v>
      </c>
      <c r="M10360">
        <v>0.95820930000000004</v>
      </c>
      <c r="N10360">
        <v>0</v>
      </c>
      <c r="O10360">
        <v>0.28562949999999998</v>
      </c>
      <c r="P10360">
        <v>0.99269459999999998</v>
      </c>
      <c r="Q10360">
        <v>-2.0428419999999999E-2</v>
      </c>
      <c r="R10360">
        <v>0.1189128</v>
      </c>
      <c r="S10360">
        <v>3.0372309999999998</v>
      </c>
      <c r="T10360">
        <v>-0.10914509999999999</v>
      </c>
      <c r="U10360">
        <v>-0.1015778</v>
      </c>
      <c r="V10360">
        <v>0.16946349999999999</v>
      </c>
      <c r="W10360">
        <v>-8.7489230000000005E-3</v>
      </c>
      <c r="X10360">
        <v>0.98549770000000003</v>
      </c>
      <c r="Y10360">
        <v>0.31715270000000001</v>
      </c>
      <c r="Z10360">
        <v>-1.5857619999999999E-2</v>
      </c>
      <c r="AA10360">
        <v>0.94824189999999997</v>
      </c>
      <c r="AB10360">
        <v>26</v>
      </c>
      <c r="AC10360">
        <v>30.3432</v>
      </c>
      <c r="AD10360">
        <v>-1.100331513697</v>
      </c>
      <c r="AE10360">
        <v>-1.0913999999999899</v>
      </c>
      <c r="AF10360">
        <v>9.7011799901467199</v>
      </c>
      <c r="AG10360">
        <v>-1.100331513697</v>
      </c>
      <c r="AH10360">
        <v>28.729276877785001</v>
      </c>
      <c r="AI10360">
        <v>92.078181756424499</v>
      </c>
      <c r="AJ10360">
        <v>71.341421935243702</v>
      </c>
      <c r="AK10360">
        <v>30.3429558969077</v>
      </c>
      <c r="AL10360">
        <v>90.501282723688604</v>
      </c>
      <c r="AM10360">
        <v>80.242996316030997</v>
      </c>
      <c r="AN10360">
        <v>1.0000000690955899</v>
      </c>
    </row>
    <row r="10361" spans="1:40" x14ac:dyDescent="0.25">
      <c r="A10361" t="str">
        <f>"20190312154155166"</f>
        <v>20190312154155166</v>
      </c>
      <c r="B10361" t="str">
        <f>"1552376515156723"</f>
        <v>1552376515156723</v>
      </c>
      <c r="C10361" t="s">
        <v>40</v>
      </c>
      <c r="D10361">
        <v>3.9739279999999999</v>
      </c>
      <c r="E10361">
        <v>0.55859349999999997</v>
      </c>
      <c r="F10361" t="s">
        <v>42</v>
      </c>
      <c r="G10361">
        <v>-140.2132</v>
      </c>
      <c r="H10361" s="1">
        <v>-5.1593220000000001E-6</v>
      </c>
      <c r="I10361">
        <v>134.09979999999999</v>
      </c>
      <c r="J10361">
        <v>-171.7576</v>
      </c>
      <c r="K10361">
        <v>1.100622</v>
      </c>
      <c r="L10361">
        <v>135.37479999999999</v>
      </c>
      <c r="M10361">
        <v>0.9617578</v>
      </c>
      <c r="N10361">
        <v>0</v>
      </c>
      <c r="O10361">
        <v>0.27344800000000002</v>
      </c>
      <c r="P10361">
        <v>0.9937724</v>
      </c>
      <c r="Q10361">
        <v>-2.1716510000000001E-2</v>
      </c>
      <c r="R10361">
        <v>0.109292899999999</v>
      </c>
      <c r="S10361">
        <v>3.0337830000000001</v>
      </c>
      <c r="T10361">
        <v>-0.1049824</v>
      </c>
      <c r="U10361">
        <v>-0.11584469999999999</v>
      </c>
      <c r="V10361">
        <v>0.1664716</v>
      </c>
      <c r="W10361">
        <v>-9.9228739999999999E-3</v>
      </c>
      <c r="X10361">
        <v>0.98599630000000005</v>
      </c>
      <c r="Y10361">
        <v>0.30963889999999999</v>
      </c>
      <c r="Z10361">
        <v>-1.473177E-2</v>
      </c>
      <c r="AA10361">
        <v>0.95074009999999998</v>
      </c>
      <c r="AB10361">
        <v>26</v>
      </c>
      <c r="AC10361">
        <v>31.5444</v>
      </c>
      <c r="AD10361">
        <v>-1.1006271593220001</v>
      </c>
      <c r="AE10361">
        <v>-1.2749999999999999</v>
      </c>
      <c r="AF10361">
        <v>9.8412555037046907</v>
      </c>
      <c r="AG10361">
        <v>-1.1006271593220001</v>
      </c>
      <c r="AH10361">
        <v>29.956737740431102</v>
      </c>
      <c r="AI10361">
        <v>91.999113099271995</v>
      </c>
      <c r="AJ10361">
        <v>71.813841697308902</v>
      </c>
      <c r="AK10361">
        <v>31.551035261651901</v>
      </c>
      <c r="AL10361">
        <v>90.568548142487003</v>
      </c>
      <c r="AM10361">
        <v>80.416790171250199</v>
      </c>
      <c r="AN10361">
        <v>0.99999998032433401</v>
      </c>
    </row>
    <row r="10362" spans="1:40" x14ac:dyDescent="0.25">
      <c r="A10362" t="str">
        <f>"20190312154155186"</f>
        <v>20190312154155186</v>
      </c>
      <c r="B10362" t="str">
        <f>"1552376515176243"</f>
        <v>1552376515176243</v>
      </c>
      <c r="C10362" t="s">
        <v>40</v>
      </c>
      <c r="D10362">
        <v>3.9643839999999999</v>
      </c>
      <c r="E10362">
        <v>0.55746809999999902</v>
      </c>
      <c r="F10362" t="s">
        <v>42</v>
      </c>
      <c r="G10362">
        <v>-139.8443</v>
      </c>
      <c r="H10362" s="1">
        <v>-1.5502570000000001E-6</v>
      </c>
      <c r="I10362">
        <v>133.9365</v>
      </c>
      <c r="J10362">
        <v>-171.51070000000001</v>
      </c>
      <c r="K10362">
        <v>1.1008960000000001</v>
      </c>
      <c r="L10362">
        <v>135.43129999999999</v>
      </c>
      <c r="M10362">
        <v>0.96497319999999998</v>
      </c>
      <c r="N10362">
        <v>0</v>
      </c>
      <c r="O10362">
        <v>0.26188</v>
      </c>
      <c r="P10362">
        <v>0.99470009999999998</v>
      </c>
      <c r="Q10362">
        <v>-2.2470810000000001E-2</v>
      </c>
      <c r="R10362">
        <v>0.1003347</v>
      </c>
      <c r="S10362">
        <v>3.0315400000000001</v>
      </c>
      <c r="T10362">
        <v>-0.1045517</v>
      </c>
      <c r="U10362">
        <v>-0.1366272</v>
      </c>
      <c r="V10362">
        <v>0.16350010000000001</v>
      </c>
      <c r="W10362">
        <v>-1.057309E-2</v>
      </c>
      <c r="X10362">
        <v>0.98648670000000005</v>
      </c>
      <c r="Y10362">
        <v>0.30476330000000001</v>
      </c>
      <c r="Z10362">
        <v>-1.420982E-2</v>
      </c>
      <c r="AA10362">
        <v>0.95232209999999995</v>
      </c>
      <c r="AB10362">
        <v>26</v>
      </c>
      <c r="AC10362">
        <v>31.666399999999999</v>
      </c>
      <c r="AD10362">
        <v>-1.100897550257</v>
      </c>
      <c r="AE10362">
        <v>-1.4947999999999899</v>
      </c>
      <c r="AF10362">
        <v>9.7247069017846499</v>
      </c>
      <c r="AG10362">
        <v>-1.100897550257</v>
      </c>
      <c r="AH10362">
        <v>30.133134894204002</v>
      </c>
      <c r="AI10362">
        <v>91.991296967250804</v>
      </c>
      <c r="AJ10362">
        <v>72.113827934141696</v>
      </c>
      <c r="AK10362">
        <v>31.6826090828087</v>
      </c>
      <c r="AL10362">
        <v>90.605804696042298</v>
      </c>
      <c r="AM10362">
        <v>80.589356281004001</v>
      </c>
      <c r="AN10362">
        <v>1.00000004110452</v>
      </c>
    </row>
    <row r="10363" spans="1:40" x14ac:dyDescent="0.25">
      <c r="A10363" t="str">
        <f>"20190312154155210"</f>
        <v>20190312154155210</v>
      </c>
      <c r="B10363" t="str">
        <f>"1552376515196739"</f>
        <v>1552376515196739</v>
      </c>
      <c r="C10363" t="s">
        <v>40</v>
      </c>
      <c r="D10363">
        <v>3.9834139999999998</v>
      </c>
      <c r="E10363">
        <v>0.55640210000000001</v>
      </c>
      <c r="F10363" t="s">
        <v>42</v>
      </c>
      <c r="G10363">
        <v>-138.97059999999999</v>
      </c>
      <c r="H10363" s="1">
        <v>-1.8927980000000001E-6</v>
      </c>
      <c r="I10363">
        <v>133.76660000000001</v>
      </c>
      <c r="J10363">
        <v>-171.25290000000001</v>
      </c>
      <c r="K10363">
        <v>1.1011799999999901</v>
      </c>
      <c r="L10363">
        <v>135.4873</v>
      </c>
      <c r="M10363">
        <v>0.96808450000000001</v>
      </c>
      <c r="N10363">
        <v>0</v>
      </c>
      <c r="O10363">
        <v>0.25013859999999999</v>
      </c>
      <c r="P10363">
        <v>0.99560190000000004</v>
      </c>
      <c r="Q10363">
        <v>-2.2546480000000001E-2</v>
      </c>
      <c r="R10363">
        <v>9.0932760000000001E-2</v>
      </c>
      <c r="S10363">
        <v>3.0292970000000001</v>
      </c>
      <c r="T10363">
        <v>-0.1024872</v>
      </c>
      <c r="U10363">
        <v>-0.1549683</v>
      </c>
      <c r="V10363">
        <v>0.16084019999999999</v>
      </c>
      <c r="W10363">
        <v>-1.0556309999999999E-2</v>
      </c>
      <c r="X10363">
        <v>0.98692400000000002</v>
      </c>
      <c r="Y10363">
        <v>0.29899530000000002</v>
      </c>
      <c r="Z10363">
        <v>-1.345406E-2</v>
      </c>
      <c r="AA10363">
        <v>0.95415970000000006</v>
      </c>
      <c r="AB10363">
        <v>26</v>
      </c>
      <c r="AC10363">
        <v>32.282299999999999</v>
      </c>
      <c r="AD10363">
        <v>-1.1011818927979899</v>
      </c>
      <c r="AE10363">
        <v>-1.7206999999999899</v>
      </c>
      <c r="AF10363">
        <v>9.7307262325781192</v>
      </c>
      <c r="AG10363">
        <v>-1.1011818927979899</v>
      </c>
      <c r="AH10363">
        <v>30.789603439158601</v>
      </c>
      <c r="AI10363">
        <v>91.953154072529699</v>
      </c>
      <c r="AJ10363">
        <v>72.461413998866206</v>
      </c>
      <c r="AK10363">
        <v>32.309430736474702</v>
      </c>
      <c r="AL10363">
        <v>90.604843247919007</v>
      </c>
      <c r="AM10363">
        <v>80.743811872489303</v>
      </c>
      <c r="AN10363">
        <v>0.999999993696428</v>
      </c>
    </row>
    <row r="10364" spans="1:40" x14ac:dyDescent="0.25">
      <c r="A10364" t="str">
        <f>"20190312154155231"</f>
        <v>20190312154155231</v>
      </c>
      <c r="B10364" t="str">
        <f>"1552376515226019"</f>
        <v>1552376515226019</v>
      </c>
      <c r="C10364" t="s">
        <v>40</v>
      </c>
      <c r="D10364">
        <v>3.954612</v>
      </c>
      <c r="E10364">
        <v>0.55530950000000001</v>
      </c>
      <c r="F10364" t="s">
        <v>42</v>
      </c>
      <c r="G10364">
        <v>-137.29660000000001</v>
      </c>
      <c r="H10364" s="1">
        <v>-2.5273989999999999E-6</v>
      </c>
      <c r="I10364">
        <v>133.52260000000001</v>
      </c>
      <c r="J10364">
        <v>-170.9957</v>
      </c>
      <c r="K10364">
        <v>1.101464</v>
      </c>
      <c r="L10364">
        <v>135.5403</v>
      </c>
      <c r="M10364">
        <v>0.97095200000000004</v>
      </c>
      <c r="N10364">
        <v>0</v>
      </c>
      <c r="O10364">
        <v>0.2387717</v>
      </c>
      <c r="P10364">
        <v>0.99639849999999996</v>
      </c>
      <c r="Q10364">
        <v>-2.2327969999999999E-2</v>
      </c>
      <c r="R10364">
        <v>8.1800719999999993E-2</v>
      </c>
      <c r="S10364">
        <v>3.0270229999999998</v>
      </c>
      <c r="T10364">
        <v>-9.8164559999999998E-2</v>
      </c>
      <c r="U10364">
        <v>-0.1751404</v>
      </c>
      <c r="V10364">
        <v>0.1583299</v>
      </c>
      <c r="W10364">
        <v>-1.0253160000000001E-2</v>
      </c>
      <c r="X10364">
        <v>0.98733309999999996</v>
      </c>
      <c r="Y10364">
        <v>0.29421449999999999</v>
      </c>
      <c r="Z10364">
        <v>-1.2457620000000001E-2</v>
      </c>
      <c r="AA10364">
        <v>0.95565829999999996</v>
      </c>
      <c r="AB10364">
        <v>26</v>
      </c>
      <c r="AC10364">
        <v>33.699099999999902</v>
      </c>
      <c r="AD10364">
        <v>-1.1014665273989901</v>
      </c>
      <c r="AE10364">
        <v>-2.0176999999999898</v>
      </c>
      <c r="AF10364">
        <v>9.9960426261792499</v>
      </c>
      <c r="AG10364">
        <v>-1.1014665273989901</v>
      </c>
      <c r="AH10364">
        <v>32.208026917251701</v>
      </c>
      <c r="AI10364">
        <v>91.870709197628102</v>
      </c>
      <c r="AJ10364">
        <v>72.757813552313493</v>
      </c>
      <c r="AK10364">
        <v>33.741533672875399</v>
      </c>
      <c r="AL10364">
        <v>90.587473048600799</v>
      </c>
      <c r="AM10364">
        <v>80.889546727198393</v>
      </c>
      <c r="AN10364">
        <v>1.0000000674398</v>
      </c>
    </row>
    <row r="10365" spans="1:40" x14ac:dyDescent="0.25">
      <c r="A10365" t="str">
        <f>"20190312154155254"</f>
        <v>20190312154155254</v>
      </c>
      <c r="B10365" t="str">
        <f>"1552376515246514"</f>
        <v>1552376515246514</v>
      </c>
      <c r="C10365" t="s">
        <v>40</v>
      </c>
      <c r="D10365">
        <v>3.9241220000000001</v>
      </c>
      <c r="E10365">
        <v>0.54239340000000003</v>
      </c>
      <c r="F10365" t="s">
        <v>42</v>
      </c>
      <c r="G10365">
        <v>-135.8467</v>
      </c>
      <c r="H10365" s="1">
        <v>-3.0844719999999999E-6</v>
      </c>
      <c r="I10365">
        <v>133.2834</v>
      </c>
      <c r="J10365">
        <v>-170.7372</v>
      </c>
      <c r="K10365">
        <v>1.101758</v>
      </c>
      <c r="L10365">
        <v>135.5908</v>
      </c>
      <c r="M10365">
        <v>0.97361229999999999</v>
      </c>
      <c r="N10365">
        <v>0</v>
      </c>
      <c r="O10365">
        <v>0.22768640000000001</v>
      </c>
      <c r="P10365">
        <v>0.99707809999999997</v>
      </c>
      <c r="Q10365">
        <v>-2.0979399999999999E-2</v>
      </c>
      <c r="R10365">
        <v>7.3452970000000006E-2</v>
      </c>
      <c r="S10365">
        <v>3.0246580000000001</v>
      </c>
      <c r="T10365">
        <v>-9.4783900000000004E-2</v>
      </c>
      <c r="U10365">
        <v>-0.19421389999999999</v>
      </c>
      <c r="V10365">
        <v>0.15538109999999999</v>
      </c>
      <c r="W10365">
        <v>-8.8115709999999903E-3</v>
      </c>
      <c r="X10365">
        <v>0.98781529999999995</v>
      </c>
      <c r="Y10365">
        <v>0.28938799999999998</v>
      </c>
      <c r="Z10365">
        <v>-1.162091E-2</v>
      </c>
      <c r="AA10365">
        <v>0.95714129999999997</v>
      </c>
      <c r="AB10365">
        <v>26</v>
      </c>
      <c r="AC10365">
        <v>34.890500000000003</v>
      </c>
      <c r="AD10365">
        <v>-1.1017610844720001</v>
      </c>
      <c r="AE10365">
        <v>-2.3073999999999999</v>
      </c>
      <c r="AF10365">
        <v>10.1817097391031</v>
      </c>
      <c r="AG10365">
        <v>-1.1017610844720001</v>
      </c>
      <c r="AH10365">
        <v>33.415261894612598</v>
      </c>
      <c r="AI10365">
        <v>91.806517820381202</v>
      </c>
      <c r="AJ10365">
        <v>73.0538966271845</v>
      </c>
      <c r="AK10365">
        <v>34.949403688534602</v>
      </c>
      <c r="AL10365">
        <v>90.504872363464102</v>
      </c>
      <c r="AM10365">
        <v>81.060750632459701</v>
      </c>
      <c r="AN10365">
        <v>0.99999999846739396</v>
      </c>
    </row>
    <row r="10366" spans="1:40" x14ac:dyDescent="0.25">
      <c r="A10366" t="str">
        <f>"20190312154155275"</f>
        <v>20190312154155275</v>
      </c>
      <c r="B10366" t="str">
        <f>"1552376515266035"</f>
        <v>1552376515266035</v>
      </c>
      <c r="C10366" t="s">
        <v>40</v>
      </c>
      <c r="D10366">
        <v>3.8966669999999999</v>
      </c>
      <c r="E10366">
        <v>0.54107740000000004</v>
      </c>
      <c r="F10366" t="s">
        <v>42</v>
      </c>
      <c r="G10366">
        <v>-130.66679999999999</v>
      </c>
      <c r="H10366" s="1">
        <v>-4.9753539999999998E-6</v>
      </c>
      <c r="I10366">
        <v>134.03989999999999</v>
      </c>
      <c r="J10366">
        <v>-170.48560000000001</v>
      </c>
      <c r="K10366">
        <v>1.1020509999999999</v>
      </c>
      <c r="L10366">
        <v>135.63740000000001</v>
      </c>
      <c r="M10366">
        <v>0.97600010000000004</v>
      </c>
      <c r="N10366">
        <v>0</v>
      </c>
      <c r="O10366">
        <v>0.21722830000000001</v>
      </c>
      <c r="P10366">
        <v>0.99763409999999997</v>
      </c>
      <c r="Q10366">
        <v>-1.9878E-2</v>
      </c>
      <c r="R10366">
        <v>6.5811480000000006E-2</v>
      </c>
      <c r="S10366">
        <v>3.0156399999999999</v>
      </c>
      <c r="T10366">
        <v>-8.2917089999999999E-2</v>
      </c>
      <c r="U10366">
        <v>-0.1167145</v>
      </c>
      <c r="V10366">
        <v>0.15238279999999901</v>
      </c>
      <c r="W10366">
        <v>-7.6178629999999999E-3</v>
      </c>
      <c r="X10366">
        <v>0.98829219999999895</v>
      </c>
      <c r="Y10366">
        <v>0.25466430000000001</v>
      </c>
      <c r="Z10366">
        <v>-9.4394939999999997E-3</v>
      </c>
      <c r="AA10366">
        <v>0.96698340000000005</v>
      </c>
      <c r="AB10366">
        <v>26</v>
      </c>
      <c r="AC10366">
        <v>39.818800000000003</v>
      </c>
      <c r="AD10366">
        <v>-1.102055975354</v>
      </c>
      <c r="AE10366">
        <v>-1.5975000000000199</v>
      </c>
      <c r="AF10366">
        <v>10.2023311094491</v>
      </c>
      <c r="AG10366">
        <v>-1.102055975354</v>
      </c>
      <c r="AH10366">
        <v>38.491232879083803</v>
      </c>
      <c r="AI10366">
        <v>91.585294869346995</v>
      </c>
      <c r="AJ10366">
        <v>75.154776503834995</v>
      </c>
      <c r="AK10366">
        <v>39.835625964599998</v>
      </c>
      <c r="AL10366">
        <v>90.436475615623806</v>
      </c>
      <c r="AM10366">
        <v>81.234705114296801</v>
      </c>
      <c r="AN10366">
        <v>1.00000001107668</v>
      </c>
    </row>
    <row r="10367" spans="1:40" x14ac:dyDescent="0.25">
      <c r="A10367" t="str">
        <f>"20190312154155299"</f>
        <v>20190312154155299</v>
      </c>
      <c r="B10367" t="str">
        <f>"1552376515286531"</f>
        <v>1552376515286531</v>
      </c>
      <c r="C10367" t="s">
        <v>40</v>
      </c>
      <c r="D10367">
        <v>3.8739029999999999</v>
      </c>
      <c r="E10367">
        <v>0.53981449999999997</v>
      </c>
      <c r="F10367" t="s">
        <v>42</v>
      </c>
      <c r="G10367">
        <v>-125.51519999999999</v>
      </c>
      <c r="H10367" s="1">
        <v>-3.084842E-6</v>
      </c>
      <c r="I10367">
        <v>133.70590000000001</v>
      </c>
      <c r="J10367">
        <v>-170.22790000000001</v>
      </c>
      <c r="K10367">
        <v>1.102355</v>
      </c>
      <c r="L10367">
        <v>135.6825</v>
      </c>
      <c r="M10367">
        <v>0.97825039999999996</v>
      </c>
      <c r="N10367">
        <v>0</v>
      </c>
      <c r="O10367">
        <v>0.20686479999999999</v>
      </c>
      <c r="P10367">
        <v>0.99808739999999996</v>
      </c>
      <c r="Q10367">
        <v>-2.003164E-2</v>
      </c>
      <c r="R10367">
        <v>5.8484300000000003E-2</v>
      </c>
      <c r="S10367">
        <v>3.0142060000000002</v>
      </c>
      <c r="T10367">
        <v>-7.3866719999999997E-2</v>
      </c>
      <c r="U10367">
        <v>-0.1294556</v>
      </c>
      <c r="V10367">
        <v>0.1491586</v>
      </c>
      <c r="W10367">
        <v>-7.6751419999999898E-3</v>
      </c>
      <c r="X10367">
        <v>0.98878350000000004</v>
      </c>
      <c r="Y10367">
        <v>0.24854280000000001</v>
      </c>
      <c r="Z10367">
        <v>-8.0884530000000007E-3</v>
      </c>
      <c r="AA10367">
        <v>0.96858719999999998</v>
      </c>
      <c r="AB10367">
        <v>26</v>
      </c>
      <c r="AC10367">
        <v>44.712699999999998</v>
      </c>
      <c r="AD10367">
        <v>-1.102358084842</v>
      </c>
      <c r="AE10367">
        <v>-1.9765999999999899</v>
      </c>
      <c r="AF10367">
        <v>11.1776162917596</v>
      </c>
      <c r="AG10367">
        <v>-1.102358084842</v>
      </c>
      <c r="AH10367">
        <v>43.310105125486402</v>
      </c>
      <c r="AI10367">
        <v>91.411776555085595</v>
      </c>
      <c r="AJ10367">
        <v>75.528695084051407</v>
      </c>
      <c r="AK10367">
        <v>44.742815124818698</v>
      </c>
      <c r="AL10367">
        <v>90.439757560122899</v>
      </c>
      <c r="AM10367">
        <v>81.421576090876599</v>
      </c>
      <c r="AN10367">
        <v>1.0000000028154601</v>
      </c>
    </row>
    <row r="10368" spans="1:40" x14ac:dyDescent="0.25">
      <c r="A10368" t="str">
        <f>"20190312154155316"</f>
        <v>20190312154155316</v>
      </c>
      <c r="B10368" t="str">
        <f>"1552376515306051"</f>
        <v>1552376515306051</v>
      </c>
      <c r="C10368" t="s">
        <v>40</v>
      </c>
      <c r="D10368">
        <v>3.8708619999999998</v>
      </c>
      <c r="E10368">
        <v>0.53860779999999997</v>
      </c>
      <c r="F10368" t="s">
        <v>42</v>
      </c>
      <c r="G10368">
        <v>-119.3823</v>
      </c>
      <c r="H10368" s="1">
        <v>-1.878666E-6</v>
      </c>
      <c r="I10368">
        <v>133.29320000000001</v>
      </c>
      <c r="J10368">
        <v>-170.01939999999999</v>
      </c>
      <c r="K10368">
        <v>1.1025990000000001</v>
      </c>
      <c r="L10368">
        <v>135.71719999999999</v>
      </c>
      <c r="M10368">
        <v>0.97993490000000005</v>
      </c>
      <c r="N10368">
        <v>0</v>
      </c>
      <c r="O10368">
        <v>0.19873689999999999</v>
      </c>
      <c r="P10368">
        <v>0.99836550000000002</v>
      </c>
      <c r="Q10368">
        <v>-1.979993E-2</v>
      </c>
      <c r="R10368">
        <v>5.3614990000000001E-2</v>
      </c>
      <c r="S10368">
        <v>3.0127259999999998</v>
      </c>
      <c r="T10368">
        <v>-6.5317390000000003E-2</v>
      </c>
      <c r="U10368">
        <v>-0.141571</v>
      </c>
      <c r="V10368">
        <v>0.14578189999999999</v>
      </c>
      <c r="W10368">
        <v>-7.3514629999999999E-3</v>
      </c>
      <c r="X10368">
        <v>0.98928950000000004</v>
      </c>
      <c r="Y10368">
        <v>0.24443980000000001</v>
      </c>
      <c r="Z10368">
        <v>-6.9376840000000004E-3</v>
      </c>
      <c r="AA10368">
        <v>0.96963969999999999</v>
      </c>
      <c r="AB10368">
        <v>26</v>
      </c>
      <c r="AC10368">
        <v>50.637099999999897</v>
      </c>
      <c r="AD10368">
        <v>-1.102600878666</v>
      </c>
      <c r="AE10368">
        <v>-2.4239999999999702</v>
      </c>
      <c r="AF10368">
        <v>12.4343788254107</v>
      </c>
      <c r="AG10368">
        <v>-1.102600878666</v>
      </c>
      <c r="AH10368">
        <v>49.121768722699798</v>
      </c>
      <c r="AI10368">
        <v>91.246556508614105</v>
      </c>
      <c r="AJ10368">
        <v>75.794891260243503</v>
      </c>
      <c r="AK10368">
        <v>50.6831102825968</v>
      </c>
      <c r="AL10368">
        <v>90.421211571675499</v>
      </c>
      <c r="AM10368">
        <v>81.617212458456606</v>
      </c>
      <c r="AN10368">
        <v>1.0000000605930399</v>
      </c>
    </row>
    <row r="10369" spans="1:40" x14ac:dyDescent="0.25">
      <c r="A10369" t="str">
        <f>"20190312154155345"</f>
        <v>20190312154155345</v>
      </c>
      <c r="B10369" t="str">
        <f>"1552376515336306"</f>
        <v>1552376515336306</v>
      </c>
      <c r="C10369" t="s">
        <v>40</v>
      </c>
      <c r="D10369">
        <v>3.8134999999999999</v>
      </c>
      <c r="E10369">
        <v>0.53736790000000001</v>
      </c>
      <c r="F10369" t="s">
        <v>42</v>
      </c>
      <c r="G10369">
        <v>-113.9436</v>
      </c>
      <c r="H10369" s="1">
        <v>-3.8111409999999999E-6</v>
      </c>
      <c r="I10369">
        <v>132.9863</v>
      </c>
      <c r="J10369">
        <v>-169.6994</v>
      </c>
      <c r="K10369">
        <v>1.1029450000000001</v>
      </c>
      <c r="L10369">
        <v>135.76740000000001</v>
      </c>
      <c r="M10369">
        <v>0.98230709999999999</v>
      </c>
      <c r="N10369">
        <v>0</v>
      </c>
      <c r="O10369">
        <v>0.18666659999999999</v>
      </c>
      <c r="P10369">
        <v>0.99858639999999999</v>
      </c>
      <c r="Q10369">
        <v>-1.977632E-2</v>
      </c>
      <c r="R10369">
        <v>4.9338279999999998E-2</v>
      </c>
      <c r="S10369">
        <v>3.0116269999999998</v>
      </c>
      <c r="T10369">
        <v>-5.9216739999999997E-2</v>
      </c>
      <c r="U10369">
        <v>-0.14666750000000001</v>
      </c>
      <c r="V10369">
        <v>0.13785159999999999</v>
      </c>
      <c r="W10369">
        <v>-7.1495019999999899E-3</v>
      </c>
      <c r="X10369">
        <v>0.9904271</v>
      </c>
      <c r="Y10369">
        <v>0.23417350000000001</v>
      </c>
      <c r="Z10369">
        <v>-5.9568269999999996E-3</v>
      </c>
      <c r="AA10369">
        <v>0.97217659999999995</v>
      </c>
      <c r="AB10369">
        <v>26</v>
      </c>
      <c r="AC10369">
        <v>55.755800000000001</v>
      </c>
      <c r="AD10369">
        <v>-1.102948811141</v>
      </c>
      <c r="AE10369">
        <v>-2.7810999999999999</v>
      </c>
      <c r="AF10369">
        <v>13.1360127031883</v>
      </c>
      <c r="AG10369">
        <v>-1.102948811141</v>
      </c>
      <c r="AH10369">
        <v>54.235203998687702</v>
      </c>
      <c r="AI10369">
        <v>91.132299440029797</v>
      </c>
      <c r="AJ10369">
        <v>76.384894964973498</v>
      </c>
      <c r="AK10369">
        <v>55.814233655919701</v>
      </c>
      <c r="AL10369">
        <v>90.409639776109501</v>
      </c>
      <c r="AM10369">
        <v>82.0762496513548</v>
      </c>
      <c r="AN10369">
        <v>1.0000000097079</v>
      </c>
    </row>
    <row r="10370" spans="1:40" x14ac:dyDescent="0.25">
      <c r="A10370" t="str">
        <f>"20190312154155365"</f>
        <v>20190312154155365</v>
      </c>
      <c r="B10370" t="str">
        <f>"1552376515356803"</f>
        <v>1552376515356803</v>
      </c>
      <c r="C10370" t="s">
        <v>40</v>
      </c>
      <c r="D10370">
        <v>3.8007089999999999</v>
      </c>
      <c r="E10370">
        <v>0.5367151</v>
      </c>
      <c r="F10370" t="s">
        <v>42</v>
      </c>
      <c r="G10370">
        <v>-99.248829999999998</v>
      </c>
      <c r="H10370" s="1">
        <v>-2.1978960000000001E-6</v>
      </c>
      <c r="I10370">
        <v>132.26419999999999</v>
      </c>
      <c r="J10370">
        <v>-169.45240000000001</v>
      </c>
      <c r="K10370">
        <v>1.103197</v>
      </c>
      <c r="L10370">
        <v>135.8038</v>
      </c>
      <c r="M10370">
        <v>0.98397389999999996</v>
      </c>
      <c r="N10370">
        <v>0</v>
      </c>
      <c r="O10370">
        <v>0.1776771</v>
      </c>
      <c r="P10370">
        <v>0.99884810000000002</v>
      </c>
      <c r="Q10370">
        <v>-1.9281820000000002E-2</v>
      </c>
      <c r="R10370">
        <v>4.394211E-2</v>
      </c>
      <c r="S10370">
        <v>3.0106959999999998</v>
      </c>
      <c r="T10370">
        <v>-4.7134280000000001E-2</v>
      </c>
      <c r="U10370">
        <v>-0.149704</v>
      </c>
      <c r="V10370">
        <v>0.13416029999999901</v>
      </c>
      <c r="W10370">
        <v>-6.5705900000000003E-3</v>
      </c>
      <c r="X10370">
        <v>0.99093790000000004</v>
      </c>
      <c r="Y10370">
        <v>0.2263009</v>
      </c>
      <c r="Z10370">
        <v>-4.5422329999999997E-3</v>
      </c>
      <c r="AA10370">
        <v>0.97404679999999999</v>
      </c>
      <c r="AB10370">
        <v>26</v>
      </c>
      <c r="AC10370">
        <v>70.203569999999999</v>
      </c>
      <c r="AD10370">
        <v>-1.1031991978960001</v>
      </c>
      <c r="AE10370">
        <v>-3.5396000000000001</v>
      </c>
      <c r="AF10370">
        <v>15.9543160699226</v>
      </c>
      <c r="AG10370">
        <v>-1.1031991978960001</v>
      </c>
      <c r="AH10370">
        <v>68.440460326723198</v>
      </c>
      <c r="AI10370">
        <v>90.899367840488097</v>
      </c>
      <c r="AJ10370">
        <v>76.877986317212404</v>
      </c>
      <c r="AK10370">
        <v>70.284093929302401</v>
      </c>
      <c r="AL10370">
        <v>90.376469769675197</v>
      </c>
      <c r="AM10370">
        <v>82.289765941835697</v>
      </c>
      <c r="AN10370">
        <v>1.00000004020272</v>
      </c>
    </row>
    <row r="10371" spans="1:40" x14ac:dyDescent="0.25">
      <c r="A10371" t="str">
        <f>"20190312154155387"</f>
        <v>20190312154155387</v>
      </c>
      <c r="B10371" t="str">
        <f>"1552376515376322"</f>
        <v>1552376515376322</v>
      </c>
      <c r="C10371" t="s">
        <v>40</v>
      </c>
      <c r="D10371">
        <v>3.8508339999999999</v>
      </c>
      <c r="E10371">
        <v>0.53616949999999997</v>
      </c>
      <c r="F10371" t="s">
        <v>42</v>
      </c>
      <c r="G10371">
        <v>-89.802269999999993</v>
      </c>
      <c r="H10371" s="1">
        <v>-2.1999209999999998E-6</v>
      </c>
      <c r="I10371">
        <v>131.5488</v>
      </c>
      <c r="J10371">
        <v>-169.209</v>
      </c>
      <c r="K10371">
        <v>1.103434</v>
      </c>
      <c r="L10371">
        <v>135.83779999999999</v>
      </c>
      <c r="M10371">
        <v>0.98548539999999996</v>
      </c>
      <c r="N10371">
        <v>0</v>
      </c>
      <c r="O10371">
        <v>0.16909879999999999</v>
      </c>
      <c r="P10371">
        <v>0.99907789999999996</v>
      </c>
      <c r="Q10371">
        <v>-1.9238990000000001E-2</v>
      </c>
      <c r="R10371">
        <v>3.8383859999999999E-2</v>
      </c>
      <c r="S10371">
        <v>3.009735</v>
      </c>
      <c r="T10371">
        <v>-4.1686529999999999E-2</v>
      </c>
      <c r="U10371">
        <v>-0.16078190000000001</v>
      </c>
      <c r="V10371">
        <v>0.1310451</v>
      </c>
      <c r="W10371">
        <v>-6.4602799999999997E-3</v>
      </c>
      <c r="X10371">
        <v>0.9913554</v>
      </c>
      <c r="Y10371">
        <v>0.2214158</v>
      </c>
      <c r="Z10371">
        <v>-3.8669540000000001E-3</v>
      </c>
      <c r="AA10371">
        <v>0.97517180000000003</v>
      </c>
      <c r="AB10371">
        <v>26</v>
      </c>
      <c r="AC10371">
        <v>79.406729999999996</v>
      </c>
      <c r="AD10371">
        <v>-1.1034361999210001</v>
      </c>
      <c r="AE10371">
        <v>-4.2889999999999802</v>
      </c>
      <c r="AF10371">
        <v>17.652909490120201</v>
      </c>
      <c r="AG10371">
        <v>-1.1034361999210001</v>
      </c>
      <c r="AH10371">
        <v>77.522671761458497</v>
      </c>
      <c r="AI10371">
        <v>90.795125518040805</v>
      </c>
      <c r="AJ10371">
        <v>77.171756929307605</v>
      </c>
      <c r="AK10371">
        <v>79.514825170835394</v>
      </c>
      <c r="AL10371">
        <v>90.370149337933697</v>
      </c>
      <c r="AM10371">
        <v>82.469853453946897</v>
      </c>
      <c r="AN10371">
        <v>1.00000004128042</v>
      </c>
    </row>
    <row r="10372" spans="1:40" x14ac:dyDescent="0.25">
      <c r="A10372" t="str">
        <f>"20190312154155410"</f>
        <v>20190312154155410</v>
      </c>
      <c r="B10372" t="str">
        <f>"1552376515396819"</f>
        <v>1552376515396819</v>
      </c>
      <c r="C10372" t="s">
        <v>40</v>
      </c>
      <c r="D10372">
        <v>3.8376860000000002</v>
      </c>
      <c r="E10372">
        <v>0.5355856</v>
      </c>
      <c r="F10372" t="s">
        <v>42</v>
      </c>
      <c r="G10372">
        <v>-85.362960000000001</v>
      </c>
      <c r="H10372" s="1">
        <v>-3.8538829999999998E-6</v>
      </c>
      <c r="I10372">
        <v>131.01050000000001</v>
      </c>
      <c r="J10372">
        <v>-168.9408</v>
      </c>
      <c r="K10372">
        <v>1.1036999999999999</v>
      </c>
      <c r="L10372">
        <v>135.87309999999999</v>
      </c>
      <c r="M10372">
        <v>0.98700619999999994</v>
      </c>
      <c r="N10372">
        <v>0</v>
      </c>
      <c r="O10372">
        <v>0.1599891</v>
      </c>
      <c r="P10372">
        <v>0.99924650000000004</v>
      </c>
      <c r="Q10372">
        <v>-2.063079E-2</v>
      </c>
      <c r="R10372">
        <v>3.2880390000000002E-2</v>
      </c>
      <c r="S10372">
        <v>3.008667</v>
      </c>
      <c r="T10372">
        <v>-3.9594890000000001E-2</v>
      </c>
      <c r="U10372">
        <v>-0.17321779999999901</v>
      </c>
      <c r="V10372">
        <v>0.1273263</v>
      </c>
      <c r="W10372">
        <v>-7.7742269999999999E-3</v>
      </c>
      <c r="X10372">
        <v>0.9918304</v>
      </c>
      <c r="Y10372">
        <v>0.2164471</v>
      </c>
      <c r="Z10372">
        <v>-3.5225180000000001E-3</v>
      </c>
      <c r="AA10372">
        <v>0.97628800000000004</v>
      </c>
      <c r="AB10372">
        <v>26</v>
      </c>
      <c r="AC10372">
        <v>83.577839999999995</v>
      </c>
      <c r="AD10372">
        <v>-1.103703853883</v>
      </c>
      <c r="AE10372">
        <v>-4.86259999999998</v>
      </c>
      <c r="AF10372">
        <v>18.169821370792398</v>
      </c>
      <c r="AG10372">
        <v>-1.103703853883</v>
      </c>
      <c r="AH10372">
        <v>81.708764032969896</v>
      </c>
      <c r="AI10372">
        <v>90.755441015191295</v>
      </c>
      <c r="AJ10372">
        <v>77.462961239451204</v>
      </c>
      <c r="AK10372">
        <v>83.7119029209057</v>
      </c>
      <c r="AL10372">
        <v>90.445434890271002</v>
      </c>
      <c r="AM10372">
        <v>82.684661009482099</v>
      </c>
      <c r="AN10372">
        <v>0.99999998382064803</v>
      </c>
    </row>
    <row r="10373" spans="1:40" x14ac:dyDescent="0.25">
      <c r="A10373" t="str">
        <f>"20190312154155432"</f>
        <v>20190312154155432</v>
      </c>
      <c r="B10373" t="str">
        <f>"1552376515426098"</f>
        <v>1552376515426098</v>
      </c>
      <c r="C10373" t="s">
        <v>40</v>
      </c>
      <c r="D10373">
        <v>3.7939210000000001</v>
      </c>
      <c r="E10373">
        <v>0.52918319999999996</v>
      </c>
      <c r="F10373" t="s">
        <v>42</v>
      </c>
      <c r="G10373">
        <v>-90.102779999999996</v>
      </c>
      <c r="H10373" s="1">
        <v>-5.7532570000000003E-6</v>
      </c>
      <c r="I10373">
        <v>131.0187</v>
      </c>
      <c r="J10373">
        <v>-168.68459999999999</v>
      </c>
      <c r="K10373">
        <v>1.1039680000000001</v>
      </c>
      <c r="L10373">
        <v>135.90479999999999</v>
      </c>
      <c r="M10373">
        <v>0.98832319999999996</v>
      </c>
      <c r="N10373">
        <v>0</v>
      </c>
      <c r="O10373">
        <v>0.15164739999999999</v>
      </c>
      <c r="P10373">
        <v>0.99939789999999995</v>
      </c>
      <c r="Q10373">
        <v>-2.0722259999999999E-2</v>
      </c>
      <c r="R10373">
        <v>2.7826110000000001E-2</v>
      </c>
      <c r="S10373">
        <v>3.0074770000000002</v>
      </c>
      <c r="T10373">
        <v>-4.2103649999999999E-2</v>
      </c>
      <c r="U10373">
        <v>-0.1851807</v>
      </c>
      <c r="V10373">
        <v>0.1239688</v>
      </c>
      <c r="W10373">
        <v>-7.7926430000000001E-3</v>
      </c>
      <c r="X10373">
        <v>0.99225549999999996</v>
      </c>
      <c r="Y10373">
        <v>0.212088</v>
      </c>
      <c r="Z10373">
        <v>-3.600546E-3</v>
      </c>
      <c r="AA10373">
        <v>0.977244</v>
      </c>
      <c r="AB10373">
        <v>26</v>
      </c>
      <c r="AC10373">
        <v>78.581819999999894</v>
      </c>
      <c r="AD10373">
        <v>-1.103973753257</v>
      </c>
      <c r="AE10373">
        <v>-4.8860999999999901</v>
      </c>
      <c r="AF10373">
        <v>16.7443276429956</v>
      </c>
      <c r="AG10373">
        <v>-1.103973753257</v>
      </c>
      <c r="AH10373">
        <v>76.916624354354795</v>
      </c>
      <c r="AI10373">
        <v>90.803485965097906</v>
      </c>
      <c r="AJ10373">
        <v>77.718638301431</v>
      </c>
      <c r="AK10373">
        <v>78.725843077942301</v>
      </c>
      <c r="AL10373">
        <v>90.446490081706898</v>
      </c>
      <c r="AM10373">
        <v>82.878573337558905</v>
      </c>
      <c r="AN10373">
        <v>0.99999998296930703</v>
      </c>
    </row>
    <row r="10374" spans="1:40" x14ac:dyDescent="0.25">
      <c r="A10374" t="str">
        <f>"20190312154155455"</f>
        <v>20190312154155455</v>
      </c>
      <c r="B10374" t="str">
        <f>"1552376515446594"</f>
        <v>1552376515446594</v>
      </c>
      <c r="C10374" t="s">
        <v>40</v>
      </c>
      <c r="D10374">
        <v>3.7904589999999998</v>
      </c>
      <c r="E10374">
        <v>0.52767830000000004</v>
      </c>
      <c r="F10374" t="s">
        <v>50</v>
      </c>
      <c r="G10374">
        <v>0</v>
      </c>
      <c r="H10374">
        <v>0</v>
      </c>
      <c r="I10374">
        <v>0</v>
      </c>
      <c r="J10374">
        <v>-168.42789999999999</v>
      </c>
      <c r="K10374">
        <v>1.1042670000000001</v>
      </c>
      <c r="L10374">
        <v>135.9349</v>
      </c>
      <c r="M10374">
        <v>0.98951460000000002</v>
      </c>
      <c r="N10374">
        <v>0</v>
      </c>
      <c r="O10374">
        <v>0.14367550000000001</v>
      </c>
      <c r="P10374">
        <v>0.99953499999999995</v>
      </c>
      <c r="Q10374">
        <v>-2.0529700000000001E-2</v>
      </c>
      <c r="R10374">
        <v>2.255304E-2</v>
      </c>
      <c r="S10374">
        <v>3.0057070000000001</v>
      </c>
      <c r="T10374">
        <v>-1.301122E-2</v>
      </c>
      <c r="U10374">
        <v>-0.1494904</v>
      </c>
      <c r="V10374">
        <v>0.12121319999999999</v>
      </c>
      <c r="W10374">
        <v>-7.5324939999999998E-3</v>
      </c>
      <c r="X10374">
        <v>0.99259790000000003</v>
      </c>
      <c r="Y10374">
        <v>0.19266929999999999</v>
      </c>
      <c r="Z10374">
        <v>-1.0373209999999999E-3</v>
      </c>
      <c r="AA10374">
        <v>0.9812632</v>
      </c>
      <c r="AB10374">
        <v>26</v>
      </c>
      <c r="AC10374">
        <v>3.0057070000000001</v>
      </c>
      <c r="AD10374">
        <v>-1.301122E-2</v>
      </c>
      <c r="AE10374">
        <v>-0.1494904</v>
      </c>
      <c r="AF10374">
        <v>0.57982181630741603</v>
      </c>
      <c r="AG10374">
        <v>-1.301122E-2</v>
      </c>
      <c r="AH10374">
        <v>2.9529798571403401</v>
      </c>
      <c r="AI10374">
        <v>90.247721068631506</v>
      </c>
      <c r="AJ10374">
        <v>78.891215228831001</v>
      </c>
      <c r="AK10374">
        <v>3.0093940697736001</v>
      </c>
      <c r="AL10374">
        <v>90.431584203313093</v>
      </c>
      <c r="AM10374">
        <v>83.037676436244894</v>
      </c>
      <c r="AN10374">
        <v>0.99999998470225404</v>
      </c>
    </row>
    <row r="10375" spans="1:40" x14ac:dyDescent="0.25">
      <c r="A10375" t="str">
        <f>"20190312154155476"</f>
        <v>20190312154155476</v>
      </c>
      <c r="B10375" t="str">
        <f>"1552376515466115"</f>
        <v>1552376515466115</v>
      </c>
      <c r="C10375" t="s">
        <v>40</v>
      </c>
      <c r="D10375">
        <v>3.8191389999999998</v>
      </c>
      <c r="E10375">
        <v>0.52675590000000005</v>
      </c>
      <c r="F10375" t="s">
        <v>50</v>
      </c>
      <c r="G10375">
        <v>0</v>
      </c>
      <c r="H10375">
        <v>0</v>
      </c>
      <c r="I10375">
        <v>0</v>
      </c>
      <c r="J10375">
        <v>-168.17959999999999</v>
      </c>
      <c r="K10375">
        <v>1.1045910000000001</v>
      </c>
      <c r="L10375">
        <v>135.9624</v>
      </c>
      <c r="M10375">
        <v>0.99054799999999998</v>
      </c>
      <c r="N10375">
        <v>0</v>
      </c>
      <c r="O10375">
        <v>0.1363753</v>
      </c>
      <c r="P10375">
        <v>0.999637</v>
      </c>
      <c r="Q10375">
        <v>-2.0741289999999999E-2</v>
      </c>
      <c r="R10375">
        <v>1.719329E-2</v>
      </c>
      <c r="S10375">
        <v>3.0043790000000001</v>
      </c>
      <c r="T10375">
        <v>-2.3543479999999999E-2</v>
      </c>
      <c r="U10375">
        <v>-0.15344240000000001</v>
      </c>
      <c r="V10375">
        <v>0.11921850000000001</v>
      </c>
      <c r="W10375">
        <v>-7.6839359999999997E-3</v>
      </c>
      <c r="X10375">
        <v>0.99283829999999995</v>
      </c>
      <c r="Y10375">
        <v>0.18673239999999999</v>
      </c>
      <c r="Z10375">
        <v>-1.79768299999999E-3</v>
      </c>
      <c r="AA10375">
        <v>0.98240919999999998</v>
      </c>
      <c r="AB10375">
        <v>25</v>
      </c>
      <c r="AC10375">
        <v>3.0043790000000001</v>
      </c>
      <c r="AD10375">
        <v>-2.3543479999999999E-2</v>
      </c>
      <c r="AE10375">
        <v>-0.15344240000000001</v>
      </c>
      <c r="AF10375">
        <v>0.56174154155528899</v>
      </c>
      <c r="AG10375">
        <v>-2.3543479999999999E-2</v>
      </c>
      <c r="AH10375">
        <v>2.9551946970023799</v>
      </c>
      <c r="AI10375">
        <v>90.448425834299201</v>
      </c>
      <c r="AJ10375">
        <v>79.237269702945994</v>
      </c>
      <c r="AK10375">
        <v>3.0082027112796701</v>
      </c>
      <c r="AL10375">
        <v>90.440261438923002</v>
      </c>
      <c r="AM10375">
        <v>83.152794680815703</v>
      </c>
      <c r="AN10375">
        <v>0.99999999178079502</v>
      </c>
    </row>
    <row r="10376" spans="1:40" x14ac:dyDescent="0.25">
      <c r="A10376" t="str">
        <f>"20190312154155499"</f>
        <v>20190312154155499</v>
      </c>
      <c r="B10376" t="str">
        <f>"1552376515486611"</f>
        <v>1552376515486611</v>
      </c>
      <c r="C10376" t="s">
        <v>40</v>
      </c>
      <c r="D10376">
        <v>3.7461739999999999</v>
      </c>
      <c r="E10376">
        <v>0.52569769999999905</v>
      </c>
      <c r="F10376" t="s">
        <v>42</v>
      </c>
      <c r="G10376">
        <v>-59.020310000000002</v>
      </c>
      <c r="H10376" s="1">
        <v>-2.8608030000000001E-6</v>
      </c>
      <c r="I10376">
        <v>130.0652</v>
      </c>
      <c r="J10376">
        <v>-167.92330000000001</v>
      </c>
      <c r="K10376">
        <v>1.104957</v>
      </c>
      <c r="L10376">
        <v>135.98939999999999</v>
      </c>
      <c r="M10376">
        <v>0.99149430000000005</v>
      </c>
      <c r="N10376">
        <v>0</v>
      </c>
      <c r="O10376">
        <v>0.1293243</v>
      </c>
      <c r="P10376">
        <v>0.9996794</v>
      </c>
      <c r="Q10376">
        <v>-2.2003120000000001E-2</v>
      </c>
      <c r="R10376">
        <v>1.253864E-2</v>
      </c>
      <c r="S10376">
        <v>3.0032350000000001</v>
      </c>
      <c r="T10376">
        <v>-3.039002E-2</v>
      </c>
      <c r="U10376">
        <v>-0.16224669999999999</v>
      </c>
      <c r="V10376">
        <v>0.11676449999999999</v>
      </c>
      <c r="W10376">
        <v>-8.8738769999999901E-3</v>
      </c>
      <c r="X10376">
        <v>0.99312</v>
      </c>
      <c r="Y10376">
        <v>0.18262610000000001</v>
      </c>
      <c r="Z10376">
        <v>-2.2294929999999999E-3</v>
      </c>
      <c r="AA10376">
        <v>0.9831799</v>
      </c>
      <c r="AB10376">
        <v>25</v>
      </c>
      <c r="AC10376">
        <v>108.90299</v>
      </c>
      <c r="AD10376">
        <v>-1.104959860803</v>
      </c>
      <c r="AE10376">
        <v>-5.9241999999999804</v>
      </c>
      <c r="AF10376">
        <v>19.957703546893999</v>
      </c>
      <c r="AG10376">
        <v>-1.104959860803</v>
      </c>
      <c r="AH10376">
        <v>107.211034642136</v>
      </c>
      <c r="AI10376">
        <v>90.580520289083296</v>
      </c>
      <c r="AJ10376">
        <v>79.454894474475296</v>
      </c>
      <c r="AK10376">
        <v>109.058410112182</v>
      </c>
      <c r="AL10376">
        <v>90.508442365849206</v>
      </c>
      <c r="AM10376">
        <v>83.294325667894498</v>
      </c>
      <c r="AN10376">
        <v>1.0000000142766301</v>
      </c>
    </row>
    <row r="10377" spans="1:40" x14ac:dyDescent="0.25">
      <c r="A10377" t="str">
        <f>"20190312154155522"</f>
        <v>20190312154155522</v>
      </c>
      <c r="B10377" t="str">
        <f>"1552376515516867"</f>
        <v>1552376515516867</v>
      </c>
      <c r="C10377" t="s">
        <v>40</v>
      </c>
      <c r="D10377">
        <v>3.8295020000000002</v>
      </c>
      <c r="E10377">
        <v>0.52412499999999995</v>
      </c>
      <c r="F10377" t="s">
        <v>42</v>
      </c>
      <c r="G10377">
        <v>-75.679310000000001</v>
      </c>
      <c r="H10377" s="1">
        <v>-3.7937690000000002E-6</v>
      </c>
      <c r="I10377">
        <v>130.83179999999999</v>
      </c>
      <c r="J10377">
        <v>-167.66460000000001</v>
      </c>
      <c r="K10377">
        <v>1.1053329999999999</v>
      </c>
      <c r="L10377">
        <v>136.01519999999999</v>
      </c>
      <c r="M10377">
        <v>0.99233649999999995</v>
      </c>
      <c r="N10377">
        <v>0</v>
      </c>
      <c r="O10377">
        <v>0.1227029</v>
      </c>
      <c r="P10377">
        <v>0.99970440000000005</v>
      </c>
      <c r="Q10377">
        <v>-2.26436E-2</v>
      </c>
      <c r="R10377">
        <v>8.8614739999999994E-3</v>
      </c>
      <c r="S10377">
        <v>3.0022579999999999</v>
      </c>
      <c r="T10377">
        <v>-3.5963059999999998E-2</v>
      </c>
      <c r="U10377">
        <v>-0.16786189999999901</v>
      </c>
      <c r="V10377">
        <v>0.11378679999999999</v>
      </c>
      <c r="W10377">
        <v>-9.4362409999999997E-3</v>
      </c>
      <c r="X10377">
        <v>0.99346040000000002</v>
      </c>
      <c r="Y10377">
        <v>0.17790590000000001</v>
      </c>
      <c r="Z10377">
        <v>-2.5319169999999998E-3</v>
      </c>
      <c r="AA10377">
        <v>0.98404429999999998</v>
      </c>
      <c r="AB10377">
        <v>25</v>
      </c>
      <c r="AC10377">
        <v>91.985290000000006</v>
      </c>
      <c r="AD10377">
        <v>-1.105336793769</v>
      </c>
      <c r="AE10377">
        <v>-5.1833999999999998</v>
      </c>
      <c r="AF10377">
        <v>16.429918089478601</v>
      </c>
      <c r="AG10377">
        <v>-1.105336793769</v>
      </c>
      <c r="AH10377">
        <v>90.640917869017201</v>
      </c>
      <c r="AI10377">
        <v>90.687467409671299</v>
      </c>
      <c r="AJ10377">
        <v>79.725903288203398</v>
      </c>
      <c r="AK10377">
        <v>92.124589388461004</v>
      </c>
      <c r="AL10377">
        <v>90.540664795545496</v>
      </c>
      <c r="AM10377">
        <v>83.466053488443407</v>
      </c>
      <c r="AN10377">
        <v>1.0000000224333001</v>
      </c>
    </row>
    <row r="10378" spans="1:40" x14ac:dyDescent="0.25">
      <c r="A10378" t="str">
        <f>"20190312154155545"</f>
        <v>20190312154155545</v>
      </c>
      <c r="B10378" t="str">
        <f>"1552376515536387"</f>
        <v>1552376515536387</v>
      </c>
      <c r="C10378" t="s">
        <v>40</v>
      </c>
      <c r="D10378">
        <v>3.8255949999999999</v>
      </c>
      <c r="E10378">
        <v>0.51668939999999997</v>
      </c>
      <c r="F10378" t="s">
        <v>42</v>
      </c>
      <c r="G10378">
        <v>-85.50658</v>
      </c>
      <c r="H10378" s="1">
        <v>-3.6842779999999998E-6</v>
      </c>
      <c r="I10378">
        <v>131.46420000000001</v>
      </c>
      <c r="J10378">
        <v>-167.4057</v>
      </c>
      <c r="K10378">
        <v>1.1056539999999999</v>
      </c>
      <c r="L10378">
        <v>136.03989999999999</v>
      </c>
      <c r="M10378">
        <v>0.99308569999999996</v>
      </c>
      <c r="N10378">
        <v>0</v>
      </c>
      <c r="O10378">
        <v>0.11649080000000001</v>
      </c>
      <c r="P10378">
        <v>0.99973179999999995</v>
      </c>
      <c r="Q10378">
        <v>-2.247122E-2</v>
      </c>
      <c r="R10378">
        <v>5.5806199999999997E-3</v>
      </c>
      <c r="S10378">
        <v>3.0014500000000002</v>
      </c>
      <c r="T10378">
        <v>-4.0380840000000001E-2</v>
      </c>
      <c r="U10378">
        <v>-0.16625980000000001</v>
      </c>
      <c r="V10378">
        <v>0.1108397</v>
      </c>
      <c r="W10378">
        <v>-9.1981749999999994E-3</v>
      </c>
      <c r="X10378">
        <v>0.99379580000000001</v>
      </c>
      <c r="Y10378">
        <v>0.17123050000000001</v>
      </c>
      <c r="Z10378">
        <v>-2.7156379999999998E-3</v>
      </c>
      <c r="AA10378">
        <v>0.98522719999999997</v>
      </c>
      <c r="AB10378">
        <v>25</v>
      </c>
      <c r="AC10378">
        <v>81.899119999999996</v>
      </c>
      <c r="AD10378">
        <v>-1.1056576842779999</v>
      </c>
      <c r="AE10378">
        <v>-4.5756999999999799</v>
      </c>
      <c r="AF10378">
        <v>14.0834813711883</v>
      </c>
      <c r="AG10378">
        <v>-1.1056576842779999</v>
      </c>
      <c r="AH10378">
        <v>80.793651657013697</v>
      </c>
      <c r="AI10378">
        <v>90.772395823047404</v>
      </c>
      <c r="AJ10378">
        <v>80.111884344625594</v>
      </c>
      <c r="AK10378">
        <v>82.019394502289998</v>
      </c>
      <c r="AL10378">
        <v>90.527024002239202</v>
      </c>
      <c r="AM10378">
        <v>83.636007258284394</v>
      </c>
      <c r="AN10378">
        <v>1.00000006880852</v>
      </c>
    </row>
    <row r="10379" spans="1:40" x14ac:dyDescent="0.25">
      <c r="A10379" t="str">
        <f>"20190312154155566"</f>
        <v>20190312154155566</v>
      </c>
      <c r="B10379" t="str">
        <f>"1552376515556882"</f>
        <v>1552376515556882</v>
      </c>
      <c r="C10379" t="s">
        <v>40</v>
      </c>
      <c r="D10379">
        <v>3.8036880000000002</v>
      </c>
      <c r="E10379">
        <v>0.5149321</v>
      </c>
      <c r="F10379" t="s">
        <v>42</v>
      </c>
      <c r="G10379">
        <v>-115.96469999999999</v>
      </c>
      <c r="H10379" s="1">
        <v>-2.8421880000000002E-6</v>
      </c>
      <c r="I10379">
        <v>134.04300000000001</v>
      </c>
      <c r="J10379">
        <v>-167.1568</v>
      </c>
      <c r="K10379">
        <v>1.105944</v>
      </c>
      <c r="L10379">
        <v>136.0626</v>
      </c>
      <c r="M10379">
        <v>0.99372400000000005</v>
      </c>
      <c r="N10379">
        <v>0</v>
      </c>
      <c r="O10379">
        <v>0.1109224</v>
      </c>
      <c r="P10379">
        <v>0.99974940000000001</v>
      </c>
      <c r="Q10379">
        <v>-2.2203500000000001E-2</v>
      </c>
      <c r="R10379">
        <v>2.899642E-3</v>
      </c>
      <c r="S10379">
        <v>3</v>
      </c>
      <c r="T10379">
        <v>-6.448102E-2</v>
      </c>
      <c r="U10379">
        <v>-0.11645510000000001</v>
      </c>
      <c r="V10379">
        <v>0.1079437</v>
      </c>
      <c r="W10379">
        <v>-8.8754279999999994E-3</v>
      </c>
      <c r="X10379">
        <v>0.99411740000000004</v>
      </c>
      <c r="Y10379">
        <v>0.14934020000000001</v>
      </c>
      <c r="Z10379">
        <v>-3.9849450000000002E-3</v>
      </c>
      <c r="AA10379">
        <v>0.98877789999999999</v>
      </c>
      <c r="AB10379">
        <v>25</v>
      </c>
      <c r="AC10379">
        <v>51.192100000000003</v>
      </c>
      <c r="AD10379">
        <v>-1.1059468421879901</v>
      </c>
      <c r="AE10379">
        <v>-2.0195999999999898</v>
      </c>
      <c r="AF10379">
        <v>7.6824981240410297</v>
      </c>
      <c r="AG10379">
        <v>-1.1059468421879901</v>
      </c>
      <c r="AH10379">
        <v>50.628495742727601</v>
      </c>
      <c r="AI10379">
        <v>91.237231750582097</v>
      </c>
      <c r="AJ10379">
        <v>81.371614471435194</v>
      </c>
      <c r="AK10379">
        <v>51.220000751806197</v>
      </c>
      <c r="AL10379">
        <v>90.508531237130398</v>
      </c>
      <c r="AM10379">
        <v>83.802962611349997</v>
      </c>
      <c r="AN10379">
        <v>1.0000000102873099</v>
      </c>
    </row>
    <row r="10380" spans="1:40" x14ac:dyDescent="0.25">
      <c r="A10380" t="str">
        <f>"20190312154155589"</f>
        <v>20190312154155589</v>
      </c>
      <c r="B10380" t="str">
        <f>"1552376515576402"</f>
        <v>1552376515576402</v>
      </c>
      <c r="C10380" t="s">
        <v>40</v>
      </c>
      <c r="D10380">
        <v>3.7991009999999998</v>
      </c>
      <c r="E10380">
        <v>0.51412829999999998</v>
      </c>
      <c r="F10380" t="s">
        <v>42</v>
      </c>
      <c r="G10380">
        <v>-109.8574</v>
      </c>
      <c r="H10380" s="1">
        <v>-1.5465440000000001E-6</v>
      </c>
      <c r="I10380">
        <v>133.9503</v>
      </c>
      <c r="J10380">
        <v>-166.9067</v>
      </c>
      <c r="K10380">
        <v>1.106225</v>
      </c>
      <c r="L10380">
        <v>136.08430000000001</v>
      </c>
      <c r="M10380">
        <v>0.99428819999999996</v>
      </c>
      <c r="N10380">
        <v>0</v>
      </c>
      <c r="O10380">
        <v>0.10575279999999999</v>
      </c>
      <c r="P10380">
        <v>0.99972859999999997</v>
      </c>
      <c r="Q10380">
        <v>-2.3288320000000001E-2</v>
      </c>
      <c r="R10380">
        <v>8.0631880000000004E-4</v>
      </c>
      <c r="S10380">
        <v>2.9997859999999998</v>
      </c>
      <c r="T10380">
        <v>-5.7899359999999997E-2</v>
      </c>
      <c r="U10380">
        <v>-0.110580399999999</v>
      </c>
      <c r="V10380">
        <v>0.10484839999999999</v>
      </c>
      <c r="W10380">
        <v>-9.9071809999999993E-3</v>
      </c>
      <c r="X10380">
        <v>0.99443890000000001</v>
      </c>
      <c r="Y10380">
        <v>0.14227699999999999</v>
      </c>
      <c r="Z10380">
        <v>-3.4110669999999998E-3</v>
      </c>
      <c r="AA10380">
        <v>0.98982099999999995</v>
      </c>
      <c r="AB10380">
        <v>25</v>
      </c>
      <c r="AC10380">
        <v>57.049300000000002</v>
      </c>
      <c r="AD10380">
        <v>-1.106226546544</v>
      </c>
      <c r="AE10380">
        <v>-2.1340000000000101</v>
      </c>
      <c r="AF10380">
        <v>8.1527185697582194</v>
      </c>
      <c r="AG10380">
        <v>-1.106226546544</v>
      </c>
      <c r="AH10380">
        <v>56.4824191215612</v>
      </c>
      <c r="AI10380">
        <v>91.1105072829764</v>
      </c>
      <c r="AJ10380">
        <v>81.786606856669295</v>
      </c>
      <c r="AK10380">
        <v>57.0784918079802</v>
      </c>
      <c r="AL10380">
        <v>90.567648925968797</v>
      </c>
      <c r="AM10380">
        <v>83.981271413359707</v>
      </c>
      <c r="AN10380">
        <v>1.00000003252556</v>
      </c>
    </row>
    <row r="10381" spans="1:40" x14ac:dyDescent="0.25">
      <c r="A10381" t="str">
        <f>"20190312154155611"</f>
        <v>20190312154155611</v>
      </c>
      <c r="B10381" t="str">
        <f>"1552376515606658"</f>
        <v>1552376515606658</v>
      </c>
      <c r="C10381" t="s">
        <v>40</v>
      </c>
      <c r="D10381">
        <v>3.8022779999999998</v>
      </c>
      <c r="E10381">
        <v>0.49168460000000003</v>
      </c>
      <c r="F10381" t="s">
        <v>42</v>
      </c>
      <c r="G10381">
        <v>-112.0051</v>
      </c>
      <c r="H10381" s="1">
        <v>-4.3971690000000002E-6</v>
      </c>
      <c r="I10381">
        <v>134.06280000000001</v>
      </c>
      <c r="J10381">
        <v>-166.64439999999999</v>
      </c>
      <c r="K10381">
        <v>1.106541</v>
      </c>
      <c r="L10381">
        <v>136.1062</v>
      </c>
      <c r="M10381">
        <v>0.99480440000000003</v>
      </c>
      <c r="N10381">
        <v>0</v>
      </c>
      <c r="O10381">
        <v>0.1007895</v>
      </c>
      <c r="P10381">
        <v>0.99968069999999998</v>
      </c>
      <c r="Q10381">
        <v>-2.5274580000000001E-2</v>
      </c>
      <c r="R10381">
        <v>-3.2813329999999998E-4</v>
      </c>
      <c r="S10381">
        <v>2.9994960000000002</v>
      </c>
      <c r="T10381">
        <v>-6.04378E-2</v>
      </c>
      <c r="U10381">
        <v>-0.1104431</v>
      </c>
      <c r="V10381">
        <v>0.1010001</v>
      </c>
      <c r="W10381">
        <v>-1.1832229999999999E-2</v>
      </c>
      <c r="X10381">
        <v>0.99481609999999998</v>
      </c>
      <c r="Y10381">
        <v>0.13729160000000001</v>
      </c>
      <c r="Z10381">
        <v>-3.411061E-3</v>
      </c>
      <c r="AA10381">
        <v>0.99052479999999998</v>
      </c>
      <c r="AB10381">
        <v>25</v>
      </c>
      <c r="AC10381">
        <v>54.639299999999899</v>
      </c>
      <c r="AD10381">
        <v>-1.106545397169</v>
      </c>
      <c r="AE10381">
        <v>-2.0433999999999899</v>
      </c>
      <c r="AF10381">
        <v>7.5375394644262297</v>
      </c>
      <c r="AG10381">
        <v>-1.106545397169</v>
      </c>
      <c r="AH10381">
        <v>54.1328616006966</v>
      </c>
      <c r="AI10381">
        <v>91.159849810469197</v>
      </c>
      <c r="AJ10381">
        <v>82.073018904148896</v>
      </c>
      <c r="AK10381">
        <v>54.666311828894699</v>
      </c>
      <c r="AL10381">
        <v>90.677952628841496</v>
      </c>
      <c r="AM10381">
        <v>84.202829484399899</v>
      </c>
      <c r="AN10381">
        <v>1.00000004734299</v>
      </c>
    </row>
    <row r="10382" spans="1:40" x14ac:dyDescent="0.25">
      <c r="A10382" t="str">
        <f>"20190312154155633"</f>
        <v>20190312154155633</v>
      </c>
      <c r="B10382" t="str">
        <f>"1552376515626179"</f>
        <v>1552376515626179</v>
      </c>
      <c r="C10382" t="s">
        <v>40</v>
      </c>
      <c r="D10382">
        <v>3.8365809999999998</v>
      </c>
      <c r="E10382">
        <v>0.4852725</v>
      </c>
      <c r="F10382" t="s">
        <v>42</v>
      </c>
      <c r="G10382">
        <v>-115.3117</v>
      </c>
      <c r="H10382" s="1">
        <v>-2.4184399999999998E-6</v>
      </c>
      <c r="I10382">
        <v>137.22110000000001</v>
      </c>
      <c r="J10382">
        <v>-166.39429999999999</v>
      </c>
      <c r="K10382">
        <v>1.1068579999999999</v>
      </c>
      <c r="L10382">
        <v>136.12629999999999</v>
      </c>
      <c r="M10382">
        <v>0.99523189999999995</v>
      </c>
      <c r="N10382">
        <v>0</v>
      </c>
      <c r="O10382">
        <v>9.6481999999999998E-2</v>
      </c>
      <c r="P10382">
        <v>0.99966120000000003</v>
      </c>
      <c r="Q10382">
        <v>-2.6028969999999998E-2</v>
      </c>
      <c r="R10382">
        <v>-3.4144950000000002E-4</v>
      </c>
      <c r="S10382">
        <v>2.9993439999999998</v>
      </c>
      <c r="T10382">
        <v>-6.4654710000000004E-2</v>
      </c>
      <c r="U10382">
        <v>6.513977E-2</v>
      </c>
      <c r="V10382">
        <v>9.6708279999999994E-2</v>
      </c>
      <c r="W10382">
        <v>-1.252087E-2</v>
      </c>
      <c r="X10382">
        <v>0.99523399999999995</v>
      </c>
      <c r="Y10382">
        <v>7.4817839999999997E-2</v>
      </c>
      <c r="Z10382">
        <v>-2.8827520000000001E-3</v>
      </c>
      <c r="AA10382">
        <v>0.997193</v>
      </c>
      <c r="AB10382">
        <v>25</v>
      </c>
      <c r="AC10382">
        <v>51.0825999999999</v>
      </c>
      <c r="AD10382">
        <v>-1.1068604184399999</v>
      </c>
      <c r="AE10382">
        <v>1.09480000000002</v>
      </c>
      <c r="AF10382">
        <v>3.8375635608235199</v>
      </c>
      <c r="AG10382">
        <v>-1.1068604184399999</v>
      </c>
      <c r="AH10382">
        <v>50.925977256209897</v>
      </c>
      <c r="AI10382">
        <v>91.241590989229906</v>
      </c>
      <c r="AJ10382">
        <v>85.690580094807302</v>
      </c>
      <c r="AK10382">
        <v>51.082356969596397</v>
      </c>
      <c r="AL10382">
        <v>90.717411760461403</v>
      </c>
      <c r="AM10382">
        <v>84.449913677075102</v>
      </c>
      <c r="AN10382">
        <v>0.99999998918105704</v>
      </c>
    </row>
    <row r="10383" spans="1:40" x14ac:dyDescent="0.25">
      <c r="A10383" t="str">
        <f>"20190312154155655"</f>
        <v>20190312154155655</v>
      </c>
      <c r="B10383" t="str">
        <f>"1552376515646675"</f>
        <v>1552376515646675</v>
      </c>
      <c r="C10383" t="s">
        <v>40</v>
      </c>
      <c r="D10383">
        <v>3.7833540000000001</v>
      </c>
      <c r="E10383">
        <v>0.48170289999999999</v>
      </c>
      <c r="F10383" t="s">
        <v>42</v>
      </c>
      <c r="G10383">
        <v>-108.24169999999999</v>
      </c>
      <c r="H10383" s="1">
        <v>-1.0311E-6</v>
      </c>
      <c r="I10383">
        <v>138.37899999999999</v>
      </c>
      <c r="J10383">
        <v>-166.14570000000001</v>
      </c>
      <c r="K10383">
        <v>1.107191</v>
      </c>
      <c r="L10383">
        <v>136.14580000000001</v>
      </c>
      <c r="M10383">
        <v>0.99560000000000004</v>
      </c>
      <c r="N10383">
        <v>0</v>
      </c>
      <c r="O10383">
        <v>9.2616480000000001E-2</v>
      </c>
      <c r="P10383">
        <v>0.99964710000000001</v>
      </c>
      <c r="Q10383">
        <v>-2.656414E-2</v>
      </c>
      <c r="R10383">
        <v>-6.2457059999999995E-4</v>
      </c>
      <c r="S10383">
        <v>2.9995569999999998</v>
      </c>
      <c r="T10383">
        <v>-5.7092669999999998E-2</v>
      </c>
      <c r="U10383">
        <v>0.1161957</v>
      </c>
      <c r="V10383">
        <v>9.3130660000000004E-2</v>
      </c>
      <c r="W10383">
        <v>-1.299575E-2</v>
      </c>
      <c r="X10383">
        <v>0.99556909999999998</v>
      </c>
      <c r="Y10383">
        <v>5.3987830000000001E-2</v>
      </c>
      <c r="Z10383">
        <v>-2.273059E-3</v>
      </c>
      <c r="AA10383">
        <v>0.99853899999999995</v>
      </c>
      <c r="AB10383">
        <v>25</v>
      </c>
      <c r="AC10383">
        <v>57.904000000000003</v>
      </c>
      <c r="AD10383">
        <v>-1.1071920311000001</v>
      </c>
      <c r="AE10383">
        <v>2.2331999999999801</v>
      </c>
      <c r="AF10383">
        <v>3.13866332349258</v>
      </c>
      <c r="AG10383">
        <v>-1.1071920311000001</v>
      </c>
      <c r="AH10383">
        <v>57.840805529943502</v>
      </c>
      <c r="AI10383">
        <v>91.095014592190395</v>
      </c>
      <c r="AJ10383">
        <v>86.893958127471507</v>
      </c>
      <c r="AK10383">
        <v>57.936481305000797</v>
      </c>
      <c r="AL10383">
        <v>90.744622571713407</v>
      </c>
      <c r="AM10383">
        <v>84.655810005443399</v>
      </c>
      <c r="AN10383">
        <v>1.00000002111245</v>
      </c>
    </row>
    <row r="10384" spans="1:40" x14ac:dyDescent="0.25">
      <c r="A10384" t="str">
        <f>"20190312154155677"</f>
        <v>20190312154155677</v>
      </c>
      <c r="B10384" t="str">
        <f>"1552376515666195"</f>
        <v>1552376515666195</v>
      </c>
      <c r="C10384" t="s">
        <v>40</v>
      </c>
      <c r="D10384">
        <v>3.7684250000000001</v>
      </c>
      <c r="E10384">
        <v>0.4797592</v>
      </c>
      <c r="F10384" t="s">
        <v>42</v>
      </c>
      <c r="G10384">
        <v>-108.8622</v>
      </c>
      <c r="H10384" s="1">
        <v>-6.4692219999999996E-7</v>
      </c>
      <c r="I10384">
        <v>138.8913</v>
      </c>
      <c r="J10384">
        <v>-165.8965</v>
      </c>
      <c r="K10384">
        <v>1.1075360000000001</v>
      </c>
      <c r="L10384">
        <v>136.16470000000001</v>
      </c>
      <c r="M10384">
        <v>0.99591390000000002</v>
      </c>
      <c r="N10384">
        <v>0</v>
      </c>
      <c r="O10384">
        <v>8.9184020000000003E-2</v>
      </c>
      <c r="P10384">
        <v>0.99962320000000005</v>
      </c>
      <c r="Q10384">
        <v>-2.7454389999999999E-2</v>
      </c>
      <c r="R10384">
        <v>-2.1074599999999999E-4</v>
      </c>
      <c r="S10384">
        <v>2.999603</v>
      </c>
      <c r="T10384">
        <v>-5.7977199999999902E-2</v>
      </c>
      <c r="U10384">
        <v>0.14376829999999999</v>
      </c>
      <c r="V10384">
        <v>8.9290330000000001E-2</v>
      </c>
      <c r="W10384">
        <v>-1.382505E-2</v>
      </c>
      <c r="X10384">
        <v>0.99590970000000001</v>
      </c>
      <c r="Y10384">
        <v>4.1383120000000002E-2</v>
      </c>
      <c r="Z10384">
        <v>-2.119826E-3</v>
      </c>
      <c r="AA10384">
        <v>0.9991411</v>
      </c>
      <c r="AB10384">
        <v>25</v>
      </c>
      <c r="AC10384">
        <v>57.034300000000002</v>
      </c>
      <c r="AD10384">
        <v>-1.1075366469222001</v>
      </c>
      <c r="AE10384">
        <v>2.7265999999999901</v>
      </c>
      <c r="AF10384">
        <v>2.3704366621104498</v>
      </c>
      <c r="AG10384">
        <v>-1.1075366469222001</v>
      </c>
      <c r="AH10384">
        <v>57.028719633433901</v>
      </c>
      <c r="AI10384">
        <v>91.111623648004993</v>
      </c>
      <c r="AJ10384">
        <v>87.619832927208407</v>
      </c>
      <c r="AK10384">
        <v>57.088707030569203</v>
      </c>
      <c r="AL10384">
        <v>90.792142241743093</v>
      </c>
      <c r="AM10384">
        <v>84.876727501436406</v>
      </c>
      <c r="AN10384">
        <v>1.00000001279655</v>
      </c>
    </row>
    <row r="10385" spans="1:40" x14ac:dyDescent="0.25">
      <c r="A10385" t="str">
        <f>"20190312154155700"</f>
        <v>20190312154155700</v>
      </c>
      <c r="B10385" t="str">
        <f>"1552376515696452"</f>
        <v>1552376515696452</v>
      </c>
      <c r="C10385" t="s">
        <v>40</v>
      </c>
      <c r="D10385">
        <v>3.7902399999999998</v>
      </c>
      <c r="E10385">
        <v>0.47772120000000001</v>
      </c>
      <c r="F10385" t="s">
        <v>42</v>
      </c>
      <c r="G10385">
        <v>-111.2329</v>
      </c>
      <c r="H10385" s="1">
        <v>-3.8367360000000002E-6</v>
      </c>
      <c r="I10385">
        <v>139.0899</v>
      </c>
      <c r="J10385">
        <v>-165.64330000000001</v>
      </c>
      <c r="K10385">
        <v>1.107872</v>
      </c>
      <c r="L10385">
        <v>136.18369999999999</v>
      </c>
      <c r="M10385">
        <v>0.99617900000000004</v>
      </c>
      <c r="N10385">
        <v>0</v>
      </c>
      <c r="O10385">
        <v>8.6177580000000004E-2</v>
      </c>
      <c r="P10385">
        <v>0.99958619999999998</v>
      </c>
      <c r="Q10385">
        <v>-2.8763879999999999E-2</v>
      </c>
      <c r="R10385" s="1">
        <v>5.1623209999999998E-5</v>
      </c>
      <c r="S10385">
        <v>2.9994960000000002</v>
      </c>
      <c r="T10385">
        <v>-6.0772779999999998E-2</v>
      </c>
      <c r="U10385">
        <v>0.16050719999999999</v>
      </c>
      <c r="V10385">
        <v>8.6024760000000006E-2</v>
      </c>
      <c r="W10385">
        <v>-1.5082450000000001E-2</v>
      </c>
      <c r="X10385">
        <v>0.99617880000000003</v>
      </c>
      <c r="Y10385">
        <v>3.2802709999999999E-2</v>
      </c>
      <c r="Z10385">
        <v>-2.0741980000000002E-3</v>
      </c>
      <c r="AA10385">
        <v>0.99945969999999995</v>
      </c>
      <c r="AB10385">
        <v>25</v>
      </c>
      <c r="AC10385">
        <v>54.410400000000003</v>
      </c>
      <c r="AD10385">
        <v>-1.107875836736</v>
      </c>
      <c r="AE10385">
        <v>2.9062000000000099</v>
      </c>
      <c r="AF10385">
        <v>1.79329997358959</v>
      </c>
      <c r="AG10385">
        <v>-1.107875836736</v>
      </c>
      <c r="AH10385">
        <v>54.435911358879402</v>
      </c>
      <c r="AI10385">
        <v>91.165286739773606</v>
      </c>
      <c r="AJ10385">
        <v>88.113168829266399</v>
      </c>
      <c r="AK10385">
        <v>54.476708409527397</v>
      </c>
      <c r="AL10385">
        <v>90.864193521737107</v>
      </c>
      <c r="AM10385">
        <v>85.064481913032495</v>
      </c>
      <c r="AN10385">
        <v>0.99999997060024903</v>
      </c>
    </row>
    <row r="10386" spans="1:40" x14ac:dyDescent="0.25">
      <c r="A10386" t="str">
        <f>"20190312154155723"</f>
        <v>20190312154155723</v>
      </c>
      <c r="B10386" t="str">
        <f>"1552376515715971"</f>
        <v>1552376515715971</v>
      </c>
      <c r="C10386" t="s">
        <v>40</v>
      </c>
      <c r="D10386">
        <v>3.784942</v>
      </c>
      <c r="E10386">
        <v>0.47679759999999999</v>
      </c>
      <c r="F10386" t="s">
        <v>42</v>
      </c>
      <c r="G10386">
        <v>-113.46210000000001</v>
      </c>
      <c r="H10386" s="1">
        <v>-2.8479319999999999E-6</v>
      </c>
      <c r="I10386">
        <v>139.2731</v>
      </c>
      <c r="J10386">
        <v>-165.38570000000001</v>
      </c>
      <c r="K10386">
        <v>1.108158</v>
      </c>
      <c r="L10386">
        <v>136.20259999999999</v>
      </c>
      <c r="M10386">
        <v>0.99640770000000001</v>
      </c>
      <c r="N10386">
        <v>0</v>
      </c>
      <c r="O10386">
        <v>8.3499870000000004E-2</v>
      </c>
      <c r="P10386">
        <v>0.99955240000000001</v>
      </c>
      <c r="Q10386">
        <v>-2.9911989999999999E-2</v>
      </c>
      <c r="R10386">
        <v>7.9126909999999997E-4</v>
      </c>
      <c r="S10386">
        <v>2.999374</v>
      </c>
      <c r="T10386">
        <v>-6.3680529999999999E-2</v>
      </c>
      <c r="U10386">
        <v>0.17758180000000001</v>
      </c>
      <c r="V10386">
        <v>8.2613539999999999E-2</v>
      </c>
      <c r="W10386">
        <v>-1.6189439999999999E-2</v>
      </c>
      <c r="X10386">
        <v>0.99645010000000001</v>
      </c>
      <c r="Y10386">
        <v>2.44417E-2</v>
      </c>
      <c r="Z10386">
        <v>-2.027802E-3</v>
      </c>
      <c r="AA10386">
        <v>0.99969920000000001</v>
      </c>
      <c r="AB10386">
        <v>25</v>
      </c>
      <c r="AC10386">
        <v>51.9236</v>
      </c>
      <c r="AD10386">
        <v>-1.108160847932</v>
      </c>
      <c r="AE10386">
        <v>3.0705</v>
      </c>
      <c r="AF10386">
        <v>1.2756922640711501</v>
      </c>
      <c r="AG10386">
        <v>-1.108160847932</v>
      </c>
      <c r="AH10386">
        <v>51.975056004883498</v>
      </c>
      <c r="AI10386">
        <v>91.221051377678293</v>
      </c>
      <c r="AJ10386">
        <v>88.593996501281794</v>
      </c>
      <c r="AK10386">
        <v>52.002517803739799</v>
      </c>
      <c r="AL10386">
        <v>90.927627157113307</v>
      </c>
      <c r="AM10386">
        <v>85.260569171362505</v>
      </c>
      <c r="AN10386">
        <v>0.99999994837442596</v>
      </c>
    </row>
    <row r="10387" spans="1:40" x14ac:dyDescent="0.25">
      <c r="A10387" t="str">
        <f>"20190312154155746"</f>
        <v>20190312154155746</v>
      </c>
      <c r="B10387" t="str">
        <f>"1552376515736467"</f>
        <v>1552376515736467</v>
      </c>
      <c r="C10387" t="s">
        <v>40</v>
      </c>
      <c r="D10387">
        <v>3.7492429999999999</v>
      </c>
      <c r="E10387">
        <v>0.47613220000000001</v>
      </c>
      <c r="F10387" t="s">
        <v>42</v>
      </c>
      <c r="G10387">
        <v>-115.30970000000001</v>
      </c>
      <c r="H10387" s="1">
        <v>-2.0456669999999999E-6</v>
      </c>
      <c r="I10387">
        <v>139.32759999999999</v>
      </c>
      <c r="J10387">
        <v>-165.13720000000001</v>
      </c>
      <c r="K10387">
        <v>1.108385</v>
      </c>
      <c r="L10387">
        <v>136.22069999999999</v>
      </c>
      <c r="M10387">
        <v>0.99659260000000005</v>
      </c>
      <c r="N10387">
        <v>0</v>
      </c>
      <c r="O10387">
        <v>8.1268350000000003E-2</v>
      </c>
      <c r="P10387">
        <v>0.99951480000000004</v>
      </c>
      <c r="Q10387">
        <v>-3.1137020000000001E-2</v>
      </c>
      <c r="R10387">
        <v>8.0463069999999999E-4</v>
      </c>
      <c r="S10387">
        <v>2.9992070000000002</v>
      </c>
      <c r="T10387">
        <v>-6.6370960000000007E-2</v>
      </c>
      <c r="U10387">
        <v>0.18716430000000001</v>
      </c>
      <c r="V10387">
        <v>8.0370830000000004E-2</v>
      </c>
      <c r="W10387">
        <v>-1.7389310000000002E-2</v>
      </c>
      <c r="X10387">
        <v>0.99661330000000004</v>
      </c>
      <c r="Y10387">
        <v>1.901684E-2</v>
      </c>
      <c r="Z10387">
        <v>-2.0042020000000001E-3</v>
      </c>
      <c r="AA10387">
        <v>0.99981710000000001</v>
      </c>
      <c r="AB10387">
        <v>25</v>
      </c>
      <c r="AC10387">
        <v>49.827500000000001</v>
      </c>
      <c r="AD10387">
        <v>-1.108387045667</v>
      </c>
      <c r="AE10387">
        <v>3.1068999999999898</v>
      </c>
      <c r="AF10387">
        <v>0.95271024597336196</v>
      </c>
      <c r="AG10387">
        <v>-1.108387045667</v>
      </c>
      <c r="AH10387">
        <v>49.890577254487702</v>
      </c>
      <c r="AI10387">
        <v>91.272462420295895</v>
      </c>
      <c r="AJ10387">
        <v>88.906013007708097</v>
      </c>
      <c r="AK10387">
        <v>49.911981301505101</v>
      </c>
      <c r="AL10387">
        <v>90.996384327536802</v>
      </c>
      <c r="AM10387">
        <v>85.3894198137628</v>
      </c>
      <c r="AN10387">
        <v>0.99999996407702696</v>
      </c>
    </row>
    <row r="10388" spans="1:40" x14ac:dyDescent="0.25">
      <c r="A10388" t="str">
        <f>"20190312154155768"</f>
        <v>20190312154155768</v>
      </c>
      <c r="B10388" t="str">
        <f>"1552376515755987"</f>
        <v>1552376515755987</v>
      </c>
      <c r="C10388" t="s">
        <v>40</v>
      </c>
      <c r="D10388">
        <v>3.7358229999999999</v>
      </c>
      <c r="E10388">
        <v>0.47583429999999999</v>
      </c>
      <c r="F10388" t="s">
        <v>42</v>
      </c>
      <c r="G10388">
        <v>-116.901</v>
      </c>
      <c r="H10388" s="1">
        <v>-1.3650639999999999E-6</v>
      </c>
      <c r="I10388">
        <v>139.3158</v>
      </c>
      <c r="J10388">
        <v>-164.88149999999999</v>
      </c>
      <c r="K10388">
        <v>1.1086119999999999</v>
      </c>
      <c r="L10388">
        <v>136.239</v>
      </c>
      <c r="M10388">
        <v>0.99674850000000004</v>
      </c>
      <c r="N10388">
        <v>0</v>
      </c>
      <c r="O10388">
        <v>7.9338880000000001E-2</v>
      </c>
      <c r="P10388">
        <v>0.99947280000000005</v>
      </c>
      <c r="Q10388">
        <v>-3.2467389999999999E-2</v>
      </c>
      <c r="R10388">
        <v>4.8343719999999999E-4</v>
      </c>
      <c r="S10388">
        <v>2.999161</v>
      </c>
      <c r="T10388">
        <v>-6.8915610000000002E-2</v>
      </c>
      <c r="U10388">
        <v>0.1924438</v>
      </c>
      <c r="V10388">
        <v>7.876416E-2</v>
      </c>
      <c r="W10388">
        <v>-1.869995E-2</v>
      </c>
      <c r="X10388">
        <v>0.99671790000000005</v>
      </c>
      <c r="Y10388">
        <v>1.532675E-2</v>
      </c>
      <c r="Z10388">
        <v>-1.9944329999999999E-3</v>
      </c>
      <c r="AA10388">
        <v>0.99988060000000001</v>
      </c>
      <c r="AB10388">
        <v>25</v>
      </c>
      <c r="AC10388">
        <v>47.9804999999999</v>
      </c>
      <c r="AD10388">
        <v>-1.108613365064</v>
      </c>
      <c r="AE10388">
        <v>3.0767999999999902</v>
      </c>
      <c r="AF10388">
        <v>0.73960329457497798</v>
      </c>
      <c r="AG10388">
        <v>-1.108613365064</v>
      </c>
      <c r="AH10388">
        <v>48.047809286322902</v>
      </c>
      <c r="AI10388">
        <v>91.321601956255407</v>
      </c>
      <c r="AJ10388">
        <v>89.118111700890694</v>
      </c>
      <c r="AK10388">
        <v>48.066287706056599</v>
      </c>
      <c r="AL10388">
        <v>91.071490637710994</v>
      </c>
      <c r="AM10388">
        <v>85.481675252819997</v>
      </c>
      <c r="AN10388">
        <v>1.0000000266054501</v>
      </c>
    </row>
    <row r="10389" spans="1:40" x14ac:dyDescent="0.25">
      <c r="A10389" t="str">
        <f>"20190312154155791"</f>
        <v>20190312154155791</v>
      </c>
      <c r="B10389" t="str">
        <f>"1552376515786244"</f>
        <v>1552376515786244</v>
      </c>
      <c r="C10389" t="s">
        <v>40</v>
      </c>
      <c r="D10389">
        <v>3.7270729999999999</v>
      </c>
      <c r="E10389">
        <v>0.4754582</v>
      </c>
      <c r="F10389" t="s">
        <v>42</v>
      </c>
      <c r="G10389">
        <v>-117.47790000000001</v>
      </c>
      <c r="H10389" s="1">
        <v>-1.1196569999999999E-6</v>
      </c>
      <c r="I10389">
        <v>139.30410000000001</v>
      </c>
      <c r="J10389">
        <v>-164.6335</v>
      </c>
      <c r="K10389">
        <v>1.108843</v>
      </c>
      <c r="L10389">
        <v>136.2567</v>
      </c>
      <c r="M10389">
        <v>0.99686909999999895</v>
      </c>
      <c r="N10389">
        <v>0</v>
      </c>
      <c r="O10389">
        <v>7.7813980000000005E-2</v>
      </c>
      <c r="P10389">
        <v>0.99941219999999997</v>
      </c>
      <c r="Q10389">
        <v>-3.4275670000000001E-2</v>
      </c>
      <c r="R10389">
        <v>7.4662449999999896E-4</v>
      </c>
      <c r="S10389">
        <v>2.9992070000000002</v>
      </c>
      <c r="T10389">
        <v>-7.0141430000000005E-2</v>
      </c>
      <c r="U10389">
        <v>0.19392400000000001</v>
      </c>
      <c r="V10389">
        <v>7.6978459999999999E-2</v>
      </c>
      <c r="W10389">
        <v>-2.048614E-2</v>
      </c>
      <c r="X10389">
        <v>0.99682230000000005</v>
      </c>
      <c r="Y10389">
        <v>1.3306729999999999E-2</v>
      </c>
      <c r="Z10389">
        <v>-1.9707380000000001E-3</v>
      </c>
      <c r="AA10389">
        <v>0.99990950000000001</v>
      </c>
      <c r="AB10389">
        <v>25</v>
      </c>
      <c r="AC10389">
        <v>47.1555999999999</v>
      </c>
      <c r="AD10389">
        <v>-1.108844119657</v>
      </c>
      <c r="AE10389">
        <v>3.0474000000000099</v>
      </c>
      <c r="AF10389">
        <v>0.63122065407723504</v>
      </c>
      <c r="AG10389">
        <v>-1.108844119657</v>
      </c>
      <c r="AH10389">
        <v>47.2237416733457</v>
      </c>
      <c r="AI10389">
        <v>91.344974841837796</v>
      </c>
      <c r="AJ10389">
        <v>89.234196095518996</v>
      </c>
      <c r="AK10389">
        <v>47.240975354312098</v>
      </c>
      <c r="AL10389">
        <v>91.173851440666297</v>
      </c>
      <c r="AM10389">
        <v>85.584163140806098</v>
      </c>
      <c r="AN10389">
        <v>1.0000000315066799</v>
      </c>
    </row>
    <row r="10390" spans="1:40" x14ac:dyDescent="0.25">
      <c r="A10390" t="str">
        <f>"20190312154155878"</f>
        <v>20190312154155878</v>
      </c>
      <c r="B10390" t="str">
        <f>"1552376515876036"</f>
        <v>1552376515876036</v>
      </c>
      <c r="C10390" t="s">
        <v>40</v>
      </c>
      <c r="D10390">
        <v>3.224405</v>
      </c>
      <c r="E10390">
        <v>0.46875539999999999</v>
      </c>
      <c r="F10390" t="s">
        <v>42</v>
      </c>
      <c r="G10390">
        <v>-120.2235</v>
      </c>
      <c r="H10390" s="1">
        <v>-4.2530429999999999E-6</v>
      </c>
      <c r="I10390">
        <v>139.1841</v>
      </c>
      <c r="J10390">
        <v>-163.64959999999999</v>
      </c>
      <c r="K10390">
        <v>1.109802</v>
      </c>
      <c r="L10390">
        <v>136.32769999999999</v>
      </c>
      <c r="M10390">
        <v>0.99709680000000001</v>
      </c>
      <c r="N10390">
        <v>0</v>
      </c>
      <c r="O10390">
        <v>7.4855400000000002E-2</v>
      </c>
      <c r="P10390">
        <v>0.99952540000000001</v>
      </c>
      <c r="Q10390">
        <v>-3.0538909999999999E-2</v>
      </c>
      <c r="R10390">
        <v>4.0475270000000004E-3</v>
      </c>
      <c r="S10390">
        <v>2.999069</v>
      </c>
      <c r="T10390">
        <v>-7.4882030000000002E-2</v>
      </c>
      <c r="U10390">
        <v>0.1976929</v>
      </c>
      <c r="V10390">
        <v>7.0785109999999998E-2</v>
      </c>
      <c r="W10390">
        <v>-1.6648380000000001E-2</v>
      </c>
      <c r="X10390">
        <v>0.99735269999999998</v>
      </c>
      <c r="Y10390">
        <v>9.0838340000000007E-3</v>
      </c>
      <c r="Z10390">
        <v>-1.9776910000000002E-3</v>
      </c>
      <c r="AA10390">
        <v>0.99995679999999998</v>
      </c>
      <c r="AB10390">
        <v>25</v>
      </c>
      <c r="AC10390">
        <v>43.426099999999899</v>
      </c>
      <c r="AD10390">
        <v>-1.109806253043</v>
      </c>
      <c r="AE10390">
        <v>2.8563999999999998</v>
      </c>
      <c r="AF10390">
        <v>0.40234832090855099</v>
      </c>
      <c r="AG10390">
        <v>-1.109806253043</v>
      </c>
      <c r="AH10390">
        <v>43.489796032693498</v>
      </c>
      <c r="AI10390">
        <v>91.4617382334594</v>
      </c>
      <c r="AJ10390">
        <v>89.469939960386498</v>
      </c>
      <c r="AK10390">
        <v>43.505814703966998</v>
      </c>
      <c r="AL10390">
        <v>90.953925927792298</v>
      </c>
      <c r="AM10390">
        <v>85.940354061702905</v>
      </c>
      <c r="AN10390">
        <v>1.0000000542758101</v>
      </c>
    </row>
    <row r="10391" spans="1:40" x14ac:dyDescent="0.25">
      <c r="A10391" t="str">
        <f>"20190312154155901"</f>
        <v>20190312154155901</v>
      </c>
      <c r="B10391" t="str">
        <f>"1552376515896531"</f>
        <v>1552376515896531</v>
      </c>
      <c r="C10391" t="s">
        <v>40</v>
      </c>
      <c r="D10391">
        <v>3.6991339999999999</v>
      </c>
      <c r="E10391">
        <v>0.46970600000000001</v>
      </c>
      <c r="F10391" t="s">
        <v>41</v>
      </c>
      <c r="G10391">
        <v>-162.7714</v>
      </c>
      <c r="H10391">
        <v>0.93430829999999998</v>
      </c>
      <c r="I10391">
        <v>136.405</v>
      </c>
      <c r="J10391">
        <v>-163.40369999999999</v>
      </c>
      <c r="K10391">
        <v>1.109964</v>
      </c>
      <c r="L10391">
        <v>136.346</v>
      </c>
      <c r="M10391">
        <v>0.99710069999999995</v>
      </c>
      <c r="N10391">
        <v>0</v>
      </c>
      <c r="O10391">
        <v>7.4807170000000006E-2</v>
      </c>
      <c r="P10391">
        <v>0.99954050000000005</v>
      </c>
      <c r="Q10391">
        <v>-2.9828790000000001E-2</v>
      </c>
      <c r="R10391">
        <v>5.4094069999999998E-3</v>
      </c>
      <c r="S10391">
        <v>2.9821469999999999</v>
      </c>
      <c r="T10391">
        <v>-0.59593560000000001</v>
      </c>
      <c r="U10391">
        <v>0.26251219999999997</v>
      </c>
      <c r="V10391">
        <v>6.9386329999999996E-2</v>
      </c>
      <c r="W10391">
        <v>-1.5924270000000001E-2</v>
      </c>
      <c r="X10391">
        <v>0.99746270000000004</v>
      </c>
      <c r="Y10391">
        <v>-1.410398E-2</v>
      </c>
      <c r="Z10391">
        <v>-1.3361110000000001E-2</v>
      </c>
      <c r="AA10391">
        <v>0.99981120000000001</v>
      </c>
      <c r="AB10391">
        <v>25</v>
      </c>
      <c r="AC10391">
        <v>0.63229999999998598</v>
      </c>
      <c r="AD10391">
        <v>-0.175655699999999</v>
      </c>
      <c r="AE10391">
        <v>5.8999999999997499E-2</v>
      </c>
      <c r="AF10391">
        <v>-1.0710068693466799E-2</v>
      </c>
      <c r="AG10391">
        <v>-0.175655699999999</v>
      </c>
      <c r="AH10391">
        <v>0.589815732901388</v>
      </c>
      <c r="AI10391">
        <v>106.581713228643</v>
      </c>
      <c r="AJ10391">
        <v>91.040281344179803</v>
      </c>
      <c r="AK10391">
        <v>0.61550973127312203</v>
      </c>
      <c r="AL10391">
        <v>90.912432081733598</v>
      </c>
      <c r="AM10391">
        <v>86.020753574920406</v>
      </c>
      <c r="AN10391">
        <v>0.99999994152859395</v>
      </c>
    </row>
    <row r="10392" spans="1:40" x14ac:dyDescent="0.25">
      <c r="A10392" t="str">
        <f>"20190312154155921"</f>
        <v>20190312154155921</v>
      </c>
      <c r="B10392" t="str">
        <f>"1552376515916739"</f>
        <v>1552376515916739</v>
      </c>
      <c r="C10392" t="s">
        <v>40</v>
      </c>
      <c r="D10392">
        <v>3.820675</v>
      </c>
      <c r="E10392">
        <v>0.47103529999999999</v>
      </c>
      <c r="F10392" t="s">
        <v>41</v>
      </c>
      <c r="G10392">
        <v>-162.53659999999999</v>
      </c>
      <c r="H10392">
        <v>0.96408269999999996</v>
      </c>
      <c r="I10392">
        <v>136.42099999999999</v>
      </c>
      <c r="J10392">
        <v>-163.1867</v>
      </c>
      <c r="K10392">
        <v>1.1100620000000001</v>
      </c>
      <c r="L10392">
        <v>136.3622</v>
      </c>
      <c r="M10392">
        <v>0.99709389999999998</v>
      </c>
      <c r="N10392">
        <v>0</v>
      </c>
      <c r="O10392">
        <v>7.4899750000000001E-2</v>
      </c>
      <c r="P10392">
        <v>0.99953159999999996</v>
      </c>
      <c r="Q10392">
        <v>-2.998847E-2</v>
      </c>
      <c r="R10392">
        <v>6.1217469999999899E-3</v>
      </c>
      <c r="S10392">
        <v>2.9850159999999999</v>
      </c>
      <c r="T10392">
        <v>-0.50222860000000003</v>
      </c>
      <c r="U10392">
        <v>0.25846859999999999</v>
      </c>
      <c r="V10392">
        <v>6.8771760000000001E-2</v>
      </c>
      <c r="W10392">
        <v>-1.6079030000000001E-2</v>
      </c>
      <c r="X10392">
        <v>0.99750289999999997</v>
      </c>
      <c r="Y10392">
        <v>-1.22668E-2</v>
      </c>
      <c r="Z10392">
        <v>-1.145052E-2</v>
      </c>
      <c r="AA10392">
        <v>0.99985919999999895</v>
      </c>
      <c r="AB10392">
        <v>25</v>
      </c>
      <c r="AC10392">
        <v>0.650100000000009</v>
      </c>
      <c r="AD10392">
        <v>-0.14597930000000001</v>
      </c>
      <c r="AE10392">
        <v>5.8799999999990797E-2</v>
      </c>
      <c r="AF10392">
        <v>-9.4644121405661596E-3</v>
      </c>
      <c r="AG10392">
        <v>-0.14597930000000001</v>
      </c>
      <c r="AH10392">
        <v>0.62159042472576898</v>
      </c>
      <c r="AI10392">
        <v>103.214822541918</v>
      </c>
      <c r="AJ10392">
        <v>90.872325167393498</v>
      </c>
      <c r="AK10392">
        <v>0.63857199064507897</v>
      </c>
      <c r="AL10392">
        <v>90.921300200761493</v>
      </c>
      <c r="AM10392">
        <v>86.056045353760595</v>
      </c>
      <c r="AN10392">
        <v>1.0000000628438199</v>
      </c>
    </row>
    <row r="10393" spans="1:40" x14ac:dyDescent="0.25">
      <c r="A10393" t="str">
        <f>"20190312154155936"</f>
        <v>20190312154155936</v>
      </c>
      <c r="B10393" t="str">
        <f>"1552376515926499"</f>
        <v>1552376515926499</v>
      </c>
      <c r="C10393" t="s">
        <v>40</v>
      </c>
      <c r="D10393">
        <v>3.763131</v>
      </c>
      <c r="E10393">
        <v>0.47191240000000001</v>
      </c>
      <c r="F10393" t="s">
        <v>41</v>
      </c>
      <c r="G10393">
        <v>-162.3032</v>
      </c>
      <c r="H10393">
        <v>0.99054469999999994</v>
      </c>
      <c r="I10393">
        <v>136.43600000000001</v>
      </c>
      <c r="J10393">
        <v>-163.01009999999999</v>
      </c>
      <c r="K10393">
        <v>1.11012</v>
      </c>
      <c r="L10393">
        <v>136.37559999999999</v>
      </c>
      <c r="M10393">
        <v>0.99708289999999999</v>
      </c>
      <c r="N10393">
        <v>0</v>
      </c>
      <c r="O10393">
        <v>7.5047340000000004E-2</v>
      </c>
      <c r="P10393">
        <v>0.99951239999999997</v>
      </c>
      <c r="Q10393">
        <v>-3.0300500000000001E-2</v>
      </c>
      <c r="R10393">
        <v>7.5492919999999896E-3</v>
      </c>
      <c r="S10393">
        <v>2.9877470000000002</v>
      </c>
      <c r="T10393">
        <v>-0.40424549999999998</v>
      </c>
      <c r="U10393">
        <v>0.24986269999999999</v>
      </c>
      <c r="V10393">
        <v>6.7496790000000001E-2</v>
      </c>
      <c r="W10393">
        <v>-1.639001E-2</v>
      </c>
      <c r="X10393">
        <v>0.9975849</v>
      </c>
      <c r="Y10393">
        <v>-8.9062819999999997E-3</v>
      </c>
      <c r="Z10393">
        <v>-9.4777760000000003E-3</v>
      </c>
      <c r="AA10393">
        <v>0.99991540000000001</v>
      </c>
      <c r="AB10393">
        <v>25</v>
      </c>
      <c r="AC10393">
        <v>0.70689999999998998</v>
      </c>
      <c r="AD10393">
        <v>-0.119575299999999</v>
      </c>
      <c r="AE10393">
        <v>6.0400000000015497E-2</v>
      </c>
      <c r="AF10393">
        <v>-6.9753948275910402E-3</v>
      </c>
      <c r="AG10393">
        <v>-0.119575299999999</v>
      </c>
      <c r="AH10393">
        <v>0.68984382828260105</v>
      </c>
      <c r="AI10393">
        <v>99.8332621790926</v>
      </c>
      <c r="AJ10393">
        <v>90.579329766530705</v>
      </c>
      <c r="AK10393">
        <v>0.70016527757572</v>
      </c>
      <c r="AL10393">
        <v>90.939120410333899</v>
      </c>
      <c r="AM10393">
        <v>86.129255756202994</v>
      </c>
      <c r="AN10393">
        <v>1.0000000408980501</v>
      </c>
    </row>
    <row r="10394" spans="1:40" x14ac:dyDescent="0.25">
      <c r="A10394" t="str">
        <f>"20190312154155957"</f>
        <v>20190312154155957</v>
      </c>
      <c r="B10394" t="str">
        <f>"1552376515946018"</f>
        <v>1552376515946018</v>
      </c>
      <c r="C10394" t="s">
        <v>40</v>
      </c>
      <c r="D10394">
        <v>3.9501360000000001</v>
      </c>
      <c r="E10394">
        <v>0.47260980000000002</v>
      </c>
      <c r="F10394" t="s">
        <v>41</v>
      </c>
      <c r="G10394">
        <v>-162.2877</v>
      </c>
      <c r="H10394">
        <v>1.0223519999999999</v>
      </c>
      <c r="I10394">
        <v>136.43520000000001</v>
      </c>
      <c r="J10394">
        <v>-162.78360000000001</v>
      </c>
      <c r="K10394">
        <v>1.110174</v>
      </c>
      <c r="L10394">
        <v>136.39279999999999</v>
      </c>
      <c r="M10394">
        <v>0.99706249999999996</v>
      </c>
      <c r="N10394">
        <v>0</v>
      </c>
      <c r="O10394">
        <v>7.5319670000000005E-2</v>
      </c>
      <c r="P10394">
        <v>0.9994807</v>
      </c>
      <c r="Q10394">
        <v>-3.1047419999999999E-2</v>
      </c>
      <c r="R10394">
        <v>8.6209930000000004E-3</v>
      </c>
      <c r="S10394">
        <v>2.9885709999999999</v>
      </c>
      <c r="T10394">
        <v>-0.3631914</v>
      </c>
      <c r="U10394">
        <v>0.24684139999999999</v>
      </c>
      <c r="V10394">
        <v>6.6700770000000006E-2</v>
      </c>
      <c r="W10394">
        <v>-1.7138529999999999E-2</v>
      </c>
      <c r="X10394">
        <v>0.99762580000000001</v>
      </c>
      <c r="Y10394">
        <v>-7.5037209999999997E-3</v>
      </c>
      <c r="Z10394">
        <v>-8.6383060000000001E-3</v>
      </c>
      <c r="AA10394">
        <v>0.99993460000000001</v>
      </c>
      <c r="AB10394">
        <v>25</v>
      </c>
      <c r="AC10394">
        <v>0.495900000000006</v>
      </c>
      <c r="AD10394">
        <v>-8.7821999999999803E-2</v>
      </c>
      <c r="AE10394">
        <v>4.2400000000014801E-2</v>
      </c>
      <c r="AF10394">
        <v>-4.7761928124183204E-3</v>
      </c>
      <c r="AG10394">
        <v>-8.7821999999999803E-2</v>
      </c>
      <c r="AH10394">
        <v>0.48265720833805997</v>
      </c>
      <c r="AI10394">
        <v>100.311952864386</v>
      </c>
      <c r="AJ10394">
        <v>90.566958813968995</v>
      </c>
      <c r="AK10394">
        <v>0.49060523485025198</v>
      </c>
      <c r="AL10394">
        <v>90.982013534655906</v>
      </c>
      <c r="AM10394">
        <v>86.174925210401796</v>
      </c>
      <c r="AN10394">
        <v>0.99999997937739604</v>
      </c>
    </row>
    <row r="10395" spans="1:40" x14ac:dyDescent="0.25">
      <c r="A10395" t="str">
        <f>"20190312154155980"</f>
        <v>20190312154155980</v>
      </c>
      <c r="B10395" t="str">
        <f>"1552376515976275"</f>
        <v>1552376515976275</v>
      </c>
      <c r="C10395" t="s">
        <v>40</v>
      </c>
      <c r="D10395">
        <v>3.8284600000000002</v>
      </c>
      <c r="E10395">
        <v>0.47467019999999999</v>
      </c>
      <c r="F10395" t="s">
        <v>41</v>
      </c>
      <c r="G10395">
        <v>-161.85470000000001</v>
      </c>
      <c r="H10395">
        <v>1.0075400000000001</v>
      </c>
      <c r="I10395">
        <v>136.46870000000001</v>
      </c>
      <c r="J10395">
        <v>-162.5395</v>
      </c>
      <c r="K10395">
        <v>1.110223</v>
      </c>
      <c r="L10395">
        <v>136.41159999999999</v>
      </c>
      <c r="M10395">
        <v>0.99703549999999996</v>
      </c>
      <c r="N10395">
        <v>0</v>
      </c>
      <c r="O10395">
        <v>7.5678910000000002E-2</v>
      </c>
      <c r="P10395">
        <v>0.99947859999999999</v>
      </c>
      <c r="Q10395">
        <v>-3.0737830000000001E-2</v>
      </c>
      <c r="R10395">
        <v>9.8884400000000001E-3</v>
      </c>
      <c r="S10395">
        <v>2.989182</v>
      </c>
      <c r="T10395">
        <v>-0.33028359999999901</v>
      </c>
      <c r="U10395">
        <v>0.2441711</v>
      </c>
      <c r="V10395">
        <v>6.5797919999999996E-2</v>
      </c>
      <c r="W10395">
        <v>-1.6831019999999999E-2</v>
      </c>
      <c r="X10395">
        <v>0.99769099999999999</v>
      </c>
      <c r="Y10395">
        <v>-6.1643009999999996E-3</v>
      </c>
      <c r="Z10395">
        <v>-7.9723409999999904E-3</v>
      </c>
      <c r="AA10395">
        <v>0.99994919999999998</v>
      </c>
      <c r="AB10395">
        <v>25</v>
      </c>
      <c r="AC10395">
        <v>0.68479999999999497</v>
      </c>
      <c r="AD10395">
        <v>-0.102683</v>
      </c>
      <c r="AE10395">
        <v>5.71000000000196E-2</v>
      </c>
      <c r="AF10395">
        <v>-4.9947759251421902E-3</v>
      </c>
      <c r="AG10395">
        <v>-0.102683</v>
      </c>
      <c r="AH10395">
        <v>0.67214933834720203</v>
      </c>
      <c r="AI10395">
        <v>98.685578469278596</v>
      </c>
      <c r="AJ10395">
        <v>90.425760015387297</v>
      </c>
      <c r="AK10395">
        <v>0.67996579275440305</v>
      </c>
      <c r="AL10395">
        <v>90.964391956400405</v>
      </c>
      <c r="AM10395">
        <v>86.226796035526206</v>
      </c>
      <c r="AN10395">
        <v>0.99999999049578303</v>
      </c>
    </row>
    <row r="10396" spans="1:40" x14ac:dyDescent="0.25">
      <c r="A10396" t="str">
        <f>"20190312154156003"</f>
        <v>20190312154156003</v>
      </c>
      <c r="B10396" t="str">
        <f>"1552376515996771"</f>
        <v>1552376515996771</v>
      </c>
      <c r="C10396" t="s">
        <v>40</v>
      </c>
      <c r="D10396">
        <v>3.8674119999999998</v>
      </c>
      <c r="E10396">
        <v>0.47404790000000002</v>
      </c>
      <c r="F10396" t="s">
        <v>42</v>
      </c>
      <c r="G10396">
        <v>-106.1957</v>
      </c>
      <c r="H10396" s="1">
        <v>-2.0850439999999999E-6</v>
      </c>
      <c r="I10396">
        <v>140.76730000000001</v>
      </c>
      <c r="J10396">
        <v>-162.28649999999999</v>
      </c>
      <c r="K10396">
        <v>1.1102639999999999</v>
      </c>
      <c r="L10396">
        <v>136.43119999999999</v>
      </c>
      <c r="M10396">
        <v>0.99700489999999997</v>
      </c>
      <c r="N10396">
        <v>0</v>
      </c>
      <c r="O10396">
        <v>7.6080960000000003E-2</v>
      </c>
      <c r="P10396">
        <v>0.99943950000000004</v>
      </c>
      <c r="Q10396">
        <v>-3.121958E-2</v>
      </c>
      <c r="R10396">
        <v>1.209406E-2</v>
      </c>
      <c r="S10396">
        <v>2.997452</v>
      </c>
      <c r="T10396">
        <v>-5.9063200000000003E-2</v>
      </c>
      <c r="U10396">
        <v>0.23172000000000001</v>
      </c>
      <c r="V10396">
        <v>6.3999399999999998E-2</v>
      </c>
      <c r="W10396">
        <v>-1.731626E-2</v>
      </c>
      <c r="X10396">
        <v>0.99779969999999996</v>
      </c>
      <c r="Y10396">
        <v>-1.004745E-3</v>
      </c>
      <c r="Z10396">
        <v>-1.4848350000000001E-3</v>
      </c>
      <c r="AA10396">
        <v>0.99999839999999995</v>
      </c>
      <c r="AB10396">
        <v>25</v>
      </c>
      <c r="AC10396">
        <v>56.090799999999902</v>
      </c>
      <c r="AD10396">
        <v>-1.11026608504399</v>
      </c>
      <c r="AE10396">
        <v>4.3361000000000098</v>
      </c>
      <c r="AF10396">
        <v>-5.5654730132999902E-2</v>
      </c>
      <c r="AG10396">
        <v>-1.11026608504399</v>
      </c>
      <c r="AH10396">
        <v>56.236221142721</v>
      </c>
      <c r="AI10396">
        <v>91.131037348649699</v>
      </c>
      <c r="AJ10396">
        <v>90.056703313997701</v>
      </c>
      <c r="AK10396">
        <v>56.2472075452783</v>
      </c>
      <c r="AL10396">
        <v>90.992198196119304</v>
      </c>
      <c r="AM10396">
        <v>86.330045657035399</v>
      </c>
      <c r="AN10396">
        <v>1.0000000086904099</v>
      </c>
    </row>
    <row r="10397" spans="1:40" x14ac:dyDescent="0.25">
      <c r="A10397" t="str">
        <f>"20190312154156024"</f>
        <v>20190312154156024</v>
      </c>
      <c r="B10397" t="str">
        <f>"1552376516016291"</f>
        <v>1552376516016291</v>
      </c>
      <c r="C10397" t="s">
        <v>40</v>
      </c>
      <c r="D10397">
        <v>3.8759079999999999</v>
      </c>
      <c r="E10397">
        <v>0.47363880000000003</v>
      </c>
      <c r="F10397" t="s">
        <v>42</v>
      </c>
      <c r="G10397">
        <v>-119.7787</v>
      </c>
      <c r="H10397" s="1">
        <v>-1.4805149999999999E-7</v>
      </c>
      <c r="I10397">
        <v>139.88239999999999</v>
      </c>
      <c r="J10397">
        <v>-162.04920000000001</v>
      </c>
      <c r="K10397">
        <v>1.1102799999999999</v>
      </c>
      <c r="L10397">
        <v>136.44980000000001</v>
      </c>
      <c r="M10397">
        <v>0.99697559999999996</v>
      </c>
      <c r="N10397">
        <v>0</v>
      </c>
      <c r="O10397">
        <v>7.6466080000000006E-2</v>
      </c>
      <c r="P10397">
        <v>0.99935609999999997</v>
      </c>
      <c r="Q10397">
        <v>-3.2622709999999999E-2</v>
      </c>
      <c r="R10397">
        <v>1.4941080000000001E-2</v>
      </c>
      <c r="S10397">
        <v>2.996292</v>
      </c>
      <c r="T10397">
        <v>-7.8260300000000005E-2</v>
      </c>
      <c r="U10397">
        <v>0.24327090000000001</v>
      </c>
      <c r="V10397">
        <v>6.1541770000000003E-2</v>
      </c>
      <c r="W10397">
        <v>-1.8724970000000001E-2</v>
      </c>
      <c r="X10397">
        <v>0.99792890000000001</v>
      </c>
      <c r="Y10397">
        <v>-4.4890590000000001E-3</v>
      </c>
      <c r="Z10397">
        <v>-1.9322720000000001E-3</v>
      </c>
      <c r="AA10397">
        <v>0.99998810000000005</v>
      </c>
      <c r="AB10397">
        <v>25</v>
      </c>
      <c r="AC10397">
        <v>42.270499999999998</v>
      </c>
      <c r="AD10397">
        <v>-1.1102801480515001</v>
      </c>
      <c r="AE10397">
        <v>3.4325999999999701</v>
      </c>
      <c r="AF10397">
        <v>-0.189847186016292</v>
      </c>
      <c r="AG10397">
        <v>-1.1102801480515001</v>
      </c>
      <c r="AH10397">
        <v>42.380171771742603</v>
      </c>
      <c r="AI10397">
        <v>91.500682473792395</v>
      </c>
      <c r="AJ10397">
        <v>90.256661766529405</v>
      </c>
      <c r="AK10397">
        <v>42.395137968446399</v>
      </c>
      <c r="AL10397">
        <v>91.072924402189997</v>
      </c>
      <c r="AM10397">
        <v>86.471067417875602</v>
      </c>
      <c r="AN10397">
        <v>1.0000000517057199</v>
      </c>
    </row>
    <row r="10398" spans="1:40" x14ac:dyDescent="0.25">
      <c r="A10398" t="str">
        <f>"20190312154156046"</f>
        <v>20190312154156046</v>
      </c>
      <c r="B10398" t="str">
        <f>"1552376516036788"</f>
        <v>1552376516036788</v>
      </c>
      <c r="C10398" t="s">
        <v>40</v>
      </c>
      <c r="D10398">
        <v>3.9094009999999999</v>
      </c>
      <c r="E10398">
        <v>0.47332299999999999</v>
      </c>
      <c r="F10398" t="s">
        <v>42</v>
      </c>
      <c r="G10398">
        <v>-125.066</v>
      </c>
      <c r="H10398" s="1">
        <v>-2.1019480000000002E-6</v>
      </c>
      <c r="I10398">
        <v>139.59960000000001</v>
      </c>
      <c r="J10398">
        <v>-161.8049</v>
      </c>
      <c r="K10398">
        <v>1.1102810000000001</v>
      </c>
      <c r="L10398">
        <v>136.46899999999999</v>
      </c>
      <c r="M10398">
        <v>0.99694510000000003</v>
      </c>
      <c r="N10398">
        <v>0</v>
      </c>
      <c r="O10398">
        <v>7.6864260000000004E-2</v>
      </c>
      <c r="P10398">
        <v>0.99930569999999996</v>
      </c>
      <c r="Q10398">
        <v>-3.2339979999999997E-2</v>
      </c>
      <c r="R10398">
        <v>1.8503849999999999E-2</v>
      </c>
      <c r="S10398">
        <v>2.9951780000000001</v>
      </c>
      <c r="T10398">
        <v>-8.9918970000000001E-2</v>
      </c>
      <c r="U10398">
        <v>0.2550964</v>
      </c>
      <c r="V10398">
        <v>5.8383650000000002E-2</v>
      </c>
      <c r="W10398">
        <v>-1.8449569999999998E-2</v>
      </c>
      <c r="X10398">
        <v>0.99812369999999995</v>
      </c>
      <c r="Y10398">
        <v>-8.0470319999999904E-3</v>
      </c>
      <c r="Z10398">
        <v>-2.1789660000000001E-3</v>
      </c>
      <c r="AA10398">
        <v>0.99996529999999995</v>
      </c>
      <c r="AB10398">
        <v>25</v>
      </c>
      <c r="AC10398">
        <v>36.738900000000001</v>
      </c>
      <c r="AD10398">
        <v>-1.110283101948</v>
      </c>
      <c r="AE10398">
        <v>3.13060000000001</v>
      </c>
      <c r="AF10398">
        <v>-0.29688735557311802</v>
      </c>
      <c r="AG10398">
        <v>-1.110283101948</v>
      </c>
      <c r="AH10398">
        <v>36.837442629802901</v>
      </c>
      <c r="AI10398">
        <v>91.726320144547401</v>
      </c>
      <c r="AJ10398">
        <v>90.461759095330805</v>
      </c>
      <c r="AK10398">
        <v>36.855366640048402</v>
      </c>
      <c r="AL10398">
        <v>91.057142495826696</v>
      </c>
      <c r="AM10398">
        <v>86.652389431731393</v>
      </c>
      <c r="AN10398">
        <v>0.99999997886109804</v>
      </c>
    </row>
    <row r="10399" spans="1:40" x14ac:dyDescent="0.25">
      <c r="A10399" t="str">
        <f>"20190312154156068"</f>
        <v>20190312154156068</v>
      </c>
      <c r="B10399" t="str">
        <f>"1552376516056307"</f>
        <v>1552376516056307</v>
      </c>
      <c r="C10399" t="s">
        <v>40</v>
      </c>
      <c r="D10399">
        <v>3.9532989999999999</v>
      </c>
      <c r="E10399">
        <v>0.47291460000000002</v>
      </c>
      <c r="F10399" t="s">
        <v>42</v>
      </c>
      <c r="G10399">
        <v>-126.64619999999999</v>
      </c>
      <c r="H10399" s="1">
        <v>-1.4216319999999999E-6</v>
      </c>
      <c r="I10399">
        <v>139.6183</v>
      </c>
      <c r="J10399">
        <v>-161.56479999999999</v>
      </c>
      <c r="K10399">
        <v>1.110271</v>
      </c>
      <c r="L10399">
        <v>136.488</v>
      </c>
      <c r="M10399">
        <v>0.99691510000000005</v>
      </c>
      <c r="N10399">
        <v>0</v>
      </c>
      <c r="O10399">
        <v>7.7254530000000002E-2</v>
      </c>
      <c r="P10399">
        <v>0.99928989999999995</v>
      </c>
      <c r="Q10399">
        <v>-3.0522549999999999E-2</v>
      </c>
      <c r="R10399">
        <v>2.2097269999999999E-2</v>
      </c>
      <c r="S10399">
        <v>2.994049</v>
      </c>
      <c r="T10399">
        <v>-9.4549419999999995E-2</v>
      </c>
      <c r="U10399">
        <v>0.2681885</v>
      </c>
      <c r="V10399">
        <v>5.518845E-2</v>
      </c>
      <c r="W10399">
        <v>-1.6640099999999901E-2</v>
      </c>
      <c r="X10399">
        <v>0.99833729999999998</v>
      </c>
      <c r="Y10399">
        <v>-1.2028260000000001E-2</v>
      </c>
      <c r="Z10399">
        <v>-2.2409719999999999E-3</v>
      </c>
      <c r="AA10399">
        <v>0.99992510000000001</v>
      </c>
      <c r="AB10399">
        <v>25</v>
      </c>
      <c r="AC10399">
        <v>34.918599999999998</v>
      </c>
      <c r="AD10399">
        <v>-1.1102724216319999</v>
      </c>
      <c r="AE10399">
        <v>3.1303000000000001</v>
      </c>
      <c r="AF10399">
        <v>-0.42264004973320601</v>
      </c>
      <c r="AG10399">
        <v>-1.1102724216319999</v>
      </c>
      <c r="AH10399">
        <v>35.020951924852703</v>
      </c>
      <c r="AI10399">
        <v>91.815712979519105</v>
      </c>
      <c r="AJ10399">
        <v>90.691423684410395</v>
      </c>
      <c r="AK10399">
        <v>35.041095918716998</v>
      </c>
      <c r="AL10399">
        <v>90.953451494057802</v>
      </c>
      <c r="AM10399">
        <v>86.835888881364994</v>
      </c>
      <c r="AN10399">
        <v>1.0000000112563501</v>
      </c>
    </row>
    <row r="10400" spans="1:40" x14ac:dyDescent="0.25">
      <c r="A10400" t="str">
        <f>"20190312154156091"</f>
        <v>20190312154156091</v>
      </c>
      <c r="B10400" t="str">
        <f>"1552376516086563"</f>
        <v>1552376516086563</v>
      </c>
      <c r="C10400" t="s">
        <v>40</v>
      </c>
      <c r="D10400">
        <v>3.9972129999999999</v>
      </c>
      <c r="E10400">
        <v>0.47249639999999998</v>
      </c>
      <c r="F10400" t="s">
        <v>42</v>
      </c>
      <c r="G10400">
        <v>-125.0665</v>
      </c>
      <c r="H10400" s="1">
        <v>-2.182191E-6</v>
      </c>
      <c r="I10400">
        <v>139.9299</v>
      </c>
      <c r="J10400">
        <v>-161.31700000000001</v>
      </c>
      <c r="K10400">
        <v>1.110242</v>
      </c>
      <c r="L10400">
        <v>136.5077</v>
      </c>
      <c r="M10400">
        <v>0.99688429999999995</v>
      </c>
      <c r="N10400">
        <v>0</v>
      </c>
      <c r="O10400">
        <v>7.7650780000000003E-2</v>
      </c>
      <c r="P10400">
        <v>0.99923680000000004</v>
      </c>
      <c r="Q10400">
        <v>-3.034456E-2</v>
      </c>
      <c r="R10400">
        <v>2.4605490000000001E-2</v>
      </c>
      <c r="S10400">
        <v>2.9930880000000002</v>
      </c>
      <c r="T10400">
        <v>-9.1049430000000001E-2</v>
      </c>
      <c r="U10400">
        <v>0.28225709999999998</v>
      </c>
      <c r="V10400">
        <v>5.307941E-2</v>
      </c>
      <c r="W10400">
        <v>-1.6471070000000001E-2</v>
      </c>
      <c r="X10400">
        <v>0.99845450000000002</v>
      </c>
      <c r="Y10400">
        <v>-1.6315710000000001E-2</v>
      </c>
      <c r="Z10400">
        <v>-2.1050999999999999E-3</v>
      </c>
      <c r="AA10400">
        <v>0.99986470000000005</v>
      </c>
      <c r="AB10400">
        <v>25</v>
      </c>
      <c r="AC10400">
        <v>36.250500000000002</v>
      </c>
      <c r="AD10400">
        <v>-1.1102441821910001</v>
      </c>
      <c r="AE10400">
        <v>3.4222000000000001</v>
      </c>
      <c r="AF10400">
        <v>-0.59616088588719596</v>
      </c>
      <c r="AG10400">
        <v>-1.1102441821910001</v>
      </c>
      <c r="AH10400">
        <v>36.372969975060897</v>
      </c>
      <c r="AI10400">
        <v>91.7481120245195</v>
      </c>
      <c r="AJ10400">
        <v>90.939006204517895</v>
      </c>
      <c r="AK10400">
        <v>36.394793511608697</v>
      </c>
      <c r="AL10400">
        <v>90.943765420471905</v>
      </c>
      <c r="AM10400">
        <v>86.956930906122494</v>
      </c>
      <c r="AN10400">
        <v>1.0000000542415699</v>
      </c>
    </row>
    <row r="10401" spans="1:40" x14ac:dyDescent="0.25">
      <c r="A10401" t="str">
        <f>"20190312154156114"</f>
        <v>20190312154156114</v>
      </c>
      <c r="B10401" t="str">
        <f>"1552376516106083"</f>
        <v>1552376516106083</v>
      </c>
      <c r="C10401" t="s">
        <v>40</v>
      </c>
      <c r="D10401">
        <v>4.0199069999999999</v>
      </c>
      <c r="E10401">
        <v>0.47235349999999998</v>
      </c>
      <c r="F10401" t="s">
        <v>42</v>
      </c>
      <c r="G10401">
        <v>-126.5093</v>
      </c>
      <c r="H10401" s="1">
        <v>-1.559834E-6</v>
      </c>
      <c r="I10401">
        <v>139.917</v>
      </c>
      <c r="J10401">
        <v>-161.0692</v>
      </c>
      <c r="K10401">
        <v>1.1102270000000001</v>
      </c>
      <c r="L10401">
        <v>136.5275</v>
      </c>
      <c r="M10401">
        <v>0.99685440000000003</v>
      </c>
      <c r="N10401">
        <v>0</v>
      </c>
      <c r="O10401">
        <v>7.8034619999999999E-2</v>
      </c>
      <c r="P10401">
        <v>0.99919749999999996</v>
      </c>
      <c r="Q10401">
        <v>-3.010993E-2</v>
      </c>
      <c r="R10401">
        <v>2.642187E-2</v>
      </c>
      <c r="S10401">
        <v>2.9921720000000001</v>
      </c>
      <c r="T10401">
        <v>-9.5439670000000004E-2</v>
      </c>
      <c r="U10401">
        <v>0.29307559999999999</v>
      </c>
      <c r="V10401">
        <v>5.1648720000000002E-2</v>
      </c>
      <c r="W10401">
        <v>-1.6244580000000002E-2</v>
      </c>
      <c r="X10401">
        <v>0.99853320000000001</v>
      </c>
      <c r="Y10401">
        <v>-1.954256E-2</v>
      </c>
      <c r="Z10401">
        <v>-2.1675930000000002E-3</v>
      </c>
      <c r="AA10401">
        <v>0.99980670000000005</v>
      </c>
      <c r="AB10401">
        <v>25</v>
      </c>
      <c r="AC10401">
        <v>34.559899999999999</v>
      </c>
      <c r="AD10401">
        <v>-1.110228559834</v>
      </c>
      <c r="AE10401">
        <v>3.3894999999999902</v>
      </c>
      <c r="AF10401">
        <v>-0.68133832820196705</v>
      </c>
      <c r="AG10401">
        <v>-1.110228559834</v>
      </c>
      <c r="AH10401">
        <v>34.683565792516802</v>
      </c>
      <c r="AI10401">
        <v>91.833071032177898</v>
      </c>
      <c r="AJ10401">
        <v>91.125397267961404</v>
      </c>
      <c r="AK10401">
        <v>34.708018748646403</v>
      </c>
      <c r="AL10401">
        <v>90.930786800911207</v>
      </c>
      <c r="AM10401">
        <v>87.039038054558404</v>
      </c>
      <c r="AN10401">
        <v>1.0000000140796199</v>
      </c>
    </row>
    <row r="10402" spans="1:40" x14ac:dyDescent="0.25">
      <c r="A10402" t="str">
        <f>"20190312154156137"</f>
        <v>20190312154156137</v>
      </c>
      <c r="B10402" t="str">
        <f>"1552376516125988"</f>
        <v>1552376516125988</v>
      </c>
      <c r="C10402" t="s">
        <v>40</v>
      </c>
      <c r="D10402">
        <v>4.0472159999999997</v>
      </c>
      <c r="E10402">
        <v>0.47232489999999999</v>
      </c>
      <c r="F10402" t="s">
        <v>42</v>
      </c>
      <c r="G10402">
        <v>-127.7253</v>
      </c>
      <c r="H10402" s="1">
        <v>-1.0248290000000001E-6</v>
      </c>
      <c r="I10402">
        <v>139.86689999999999</v>
      </c>
      <c r="J10402">
        <v>-160.82480000000001</v>
      </c>
      <c r="K10402">
        <v>1.1102110000000001</v>
      </c>
      <c r="L10402">
        <v>136.547</v>
      </c>
      <c r="M10402">
        <v>0.99682590000000004</v>
      </c>
      <c r="N10402">
        <v>0</v>
      </c>
      <c r="O10402">
        <v>7.8398419999999996E-2</v>
      </c>
      <c r="P10402">
        <v>0.99919659999999999</v>
      </c>
      <c r="Q10402">
        <v>-2.974363E-2</v>
      </c>
      <c r="R10402">
        <v>2.6856379999999999E-2</v>
      </c>
      <c r="S10402">
        <v>2.9914860000000001</v>
      </c>
      <c r="T10402">
        <v>-9.9605440000000003E-2</v>
      </c>
      <c r="U10402">
        <v>0.29960629999999999</v>
      </c>
      <c r="V10402">
        <v>5.1578999999999903E-2</v>
      </c>
      <c r="W10402">
        <v>-1.5885469999999999E-2</v>
      </c>
      <c r="X10402">
        <v>0.9985425</v>
      </c>
      <c r="Y10402">
        <v>-2.1363210000000001E-2</v>
      </c>
      <c r="Z10402">
        <v>-2.2441750000000002E-3</v>
      </c>
      <c r="AA10402">
        <v>0.99976929999999997</v>
      </c>
      <c r="AB10402">
        <v>25</v>
      </c>
      <c r="AC10402">
        <v>33.099499999999999</v>
      </c>
      <c r="AD10402">
        <v>-1.1102120248289999</v>
      </c>
      <c r="AE10402">
        <v>3.3198999999999899</v>
      </c>
      <c r="AF10402">
        <v>-0.71368739776372703</v>
      </c>
      <c r="AG10402">
        <v>-1.1102120248289999</v>
      </c>
      <c r="AH10402">
        <v>33.220900915228398</v>
      </c>
      <c r="AI10402">
        <v>91.913618815138705</v>
      </c>
      <c r="AJ10402">
        <v>91.230700722898604</v>
      </c>
      <c r="AK10402">
        <v>33.247107814984801</v>
      </c>
      <c r="AL10402">
        <v>90.910208732022895</v>
      </c>
      <c r="AM10402">
        <v>87.043055415162101</v>
      </c>
      <c r="AN10402">
        <v>0.99999993285218303</v>
      </c>
    </row>
    <row r="10403" spans="1:40" x14ac:dyDescent="0.25">
      <c r="A10403" t="str">
        <f>"20190312154156159"</f>
        <v>20190312154156159</v>
      </c>
      <c r="B10403" t="str">
        <f>"1552376516146483"</f>
        <v>1552376516146483</v>
      </c>
      <c r="C10403" t="s">
        <v>40</v>
      </c>
      <c r="D10403">
        <v>4.0419530000000004</v>
      </c>
      <c r="E10403">
        <v>0.47243570000000001</v>
      </c>
      <c r="F10403" t="s">
        <v>42</v>
      </c>
      <c r="G10403">
        <v>-128.51580000000001</v>
      </c>
      <c r="H10403" s="1">
        <v>-6.6788659999999998E-7</v>
      </c>
      <c r="I10403">
        <v>139.79990000000001</v>
      </c>
      <c r="J10403">
        <v>-160.58410000000001</v>
      </c>
      <c r="K10403">
        <v>1.1102019999999999</v>
      </c>
      <c r="L10403">
        <v>136.56639999999999</v>
      </c>
      <c r="M10403">
        <v>0.99679890000000004</v>
      </c>
      <c r="N10403">
        <v>0</v>
      </c>
      <c r="O10403">
        <v>7.874341E-2</v>
      </c>
      <c r="P10403">
        <v>0.99919219999999997</v>
      </c>
      <c r="Q10403">
        <v>-3.001026E-2</v>
      </c>
      <c r="R10403">
        <v>2.6731870000000001E-2</v>
      </c>
      <c r="S10403">
        <v>2.9912570000000001</v>
      </c>
      <c r="T10403">
        <v>-0.1027865</v>
      </c>
      <c r="U10403">
        <v>0.30116270000000001</v>
      </c>
      <c r="V10403">
        <v>5.2047950000000003E-2</v>
      </c>
      <c r="W10403">
        <v>-1.6158769999999999E-2</v>
      </c>
      <c r="X10403">
        <v>0.99851389999999995</v>
      </c>
      <c r="Y10403">
        <v>-2.1541919999999999E-2</v>
      </c>
      <c r="Z10403">
        <v>-2.3246170000000002E-3</v>
      </c>
      <c r="AA10403">
        <v>0.99976520000000002</v>
      </c>
      <c r="AB10403">
        <v>24</v>
      </c>
      <c r="AC10403">
        <v>32.068299999999901</v>
      </c>
      <c r="AD10403">
        <v>-1.1102026678865999</v>
      </c>
      <c r="AE10403">
        <v>3.2335000000000198</v>
      </c>
      <c r="AF10403">
        <v>-0.69722152701810403</v>
      </c>
      <c r="AG10403">
        <v>-1.1102026678865999</v>
      </c>
      <c r="AH10403">
        <v>32.185160394234799</v>
      </c>
      <c r="AI10403">
        <v>91.975128080331402</v>
      </c>
      <c r="AJ10403">
        <v>91.240994398367604</v>
      </c>
      <c r="AK10403">
        <v>32.211849022124497</v>
      </c>
      <c r="AL10403">
        <v>90.925869569875402</v>
      </c>
      <c r="AM10403">
        <v>87.016134287522704</v>
      </c>
      <c r="AN10403">
        <v>1.0000000517201599</v>
      </c>
    </row>
    <row r="10404" spans="1:40" x14ac:dyDescent="0.25">
      <c r="A10404" t="str">
        <f>"20190312154156186"</f>
        <v>20190312154156186</v>
      </c>
      <c r="B10404" t="str">
        <f>"1552376516176740"</f>
        <v>1552376516176740</v>
      </c>
      <c r="C10404" t="s">
        <v>40</v>
      </c>
      <c r="D10404">
        <v>4.1106220000000002</v>
      </c>
      <c r="E10404">
        <v>0.47239599999999998</v>
      </c>
      <c r="F10404" t="s">
        <v>42</v>
      </c>
      <c r="G10404">
        <v>-129.5514</v>
      </c>
      <c r="H10404" s="1">
        <v>-1.9086430000000001E-7</v>
      </c>
      <c r="I10404">
        <v>139.67670000000001</v>
      </c>
      <c r="J10404">
        <v>-160.2818</v>
      </c>
      <c r="K10404">
        <v>1.1101859999999999</v>
      </c>
      <c r="L10404">
        <v>136.5908</v>
      </c>
      <c r="M10404">
        <v>0.99676520000000002</v>
      </c>
      <c r="N10404">
        <v>0</v>
      </c>
      <c r="O10404">
        <v>7.91689E-2</v>
      </c>
      <c r="P10404">
        <v>0.99920509999999996</v>
      </c>
      <c r="Q10404">
        <v>-3.0462599999999999E-2</v>
      </c>
      <c r="R10404">
        <v>2.571733E-2</v>
      </c>
      <c r="S10404">
        <v>2.991196</v>
      </c>
      <c r="T10404">
        <v>-0.10701049999999999</v>
      </c>
      <c r="U10404">
        <v>0.29980469999999998</v>
      </c>
      <c r="V10404">
        <v>5.3486150000000003E-2</v>
      </c>
      <c r="W10404">
        <v>-1.66187E-2</v>
      </c>
      <c r="X10404">
        <v>0.99843029999999999</v>
      </c>
      <c r="Y10404">
        <v>-2.0671430000000001E-2</v>
      </c>
      <c r="Z10404">
        <v>-2.4508450000000001E-3</v>
      </c>
      <c r="AA10404">
        <v>0.99978330000000004</v>
      </c>
      <c r="AB10404">
        <v>24</v>
      </c>
      <c r="AC10404">
        <v>30.730399999999999</v>
      </c>
      <c r="AD10404">
        <v>-1.1101861908643</v>
      </c>
      <c r="AE10404">
        <v>3.0859000000000001</v>
      </c>
      <c r="AF10404">
        <v>-0.64225745536825896</v>
      </c>
      <c r="AG10404">
        <v>-1.1101861908643</v>
      </c>
      <c r="AH10404">
        <v>30.838409669864902</v>
      </c>
      <c r="AI10404">
        <v>92.061317470131797</v>
      </c>
      <c r="AJ10404">
        <v>91.193100517310299</v>
      </c>
      <c r="AK10404">
        <v>30.865069560650198</v>
      </c>
      <c r="AL10404">
        <v>90.952225199163806</v>
      </c>
      <c r="AM10404">
        <v>86.933582449573294</v>
      </c>
      <c r="AN10404">
        <v>1.0000000066948</v>
      </c>
    </row>
    <row r="10405" spans="1:40" x14ac:dyDescent="0.25">
      <c r="A10405" t="str">
        <f>"20190312154156205"</f>
        <v>20190312154156205</v>
      </c>
      <c r="B10405" t="str">
        <f>"1552376516196260"</f>
        <v>1552376516196260</v>
      </c>
      <c r="C10405" t="s">
        <v>40</v>
      </c>
      <c r="D10405">
        <v>4.1558349999999997</v>
      </c>
      <c r="E10405">
        <v>0.47237030000000002</v>
      </c>
      <c r="F10405" t="s">
        <v>42</v>
      </c>
      <c r="G10405">
        <v>-131.49600000000001</v>
      </c>
      <c r="H10405" s="1">
        <v>-3.6600199999999998E-6</v>
      </c>
      <c r="I10405">
        <v>139.44970000000001</v>
      </c>
      <c r="J10405">
        <v>-160.0865</v>
      </c>
      <c r="K10405">
        <v>1.1101799999999999</v>
      </c>
      <c r="L10405">
        <v>136.60669999999999</v>
      </c>
      <c r="M10405">
        <v>0.99674339999999995</v>
      </c>
      <c r="N10405">
        <v>0</v>
      </c>
      <c r="O10405">
        <v>7.9443479999999997E-2</v>
      </c>
      <c r="P10405">
        <v>0.99924420000000003</v>
      </c>
      <c r="Q10405">
        <v>-3.0873580000000001E-2</v>
      </c>
      <c r="R10405">
        <v>2.3626250000000001E-2</v>
      </c>
      <c r="S10405">
        <v>2.991196</v>
      </c>
      <c r="T10405">
        <v>-0.1153623</v>
      </c>
      <c r="U10405">
        <v>0.29707339999999999</v>
      </c>
      <c r="V10405">
        <v>5.584865E-2</v>
      </c>
      <c r="W10405">
        <v>-1.7034589999999999E-2</v>
      </c>
      <c r="X10405">
        <v>0.99829389999999996</v>
      </c>
      <c r="Y10405">
        <v>-1.949913E-2</v>
      </c>
      <c r="Z10405">
        <v>-2.675195E-3</v>
      </c>
      <c r="AA10405">
        <v>0.99980630000000004</v>
      </c>
      <c r="AB10405">
        <v>24</v>
      </c>
      <c r="AC10405">
        <v>28.590499999999899</v>
      </c>
      <c r="AD10405">
        <v>-1.1101836600199999</v>
      </c>
      <c r="AE10405">
        <v>2.8430000000000102</v>
      </c>
      <c r="AF10405">
        <v>-0.56162794577631203</v>
      </c>
      <c r="AG10405">
        <v>-1.1101836600199999</v>
      </c>
      <c r="AH10405">
        <v>28.683172896006099</v>
      </c>
      <c r="AI10405">
        <v>92.216105289365899</v>
      </c>
      <c r="AJ10405">
        <v>91.121730836161206</v>
      </c>
      <c r="AK10405">
        <v>28.710143522640799</v>
      </c>
      <c r="AL10405">
        <v>90.9760573412063</v>
      </c>
      <c r="AM10405">
        <v>86.797977116089498</v>
      </c>
      <c r="AN10405">
        <v>0.99999997987025002</v>
      </c>
    </row>
    <row r="10406" spans="1:40" x14ac:dyDescent="0.25">
      <c r="A10406" t="str">
        <f>"20190312154156226"</f>
        <v>20190312154156226</v>
      </c>
      <c r="B10406" t="str">
        <f>"1552376516216756"</f>
        <v>1552376516216756</v>
      </c>
      <c r="C10406" t="s">
        <v>40</v>
      </c>
      <c r="D10406">
        <v>4.15489</v>
      </c>
      <c r="E10406">
        <v>0.47236349999999999</v>
      </c>
      <c r="F10406" t="s">
        <v>42</v>
      </c>
      <c r="G10406">
        <v>-132.7784</v>
      </c>
      <c r="H10406" s="1">
        <v>-3.1430869999999999E-6</v>
      </c>
      <c r="I10406">
        <v>139.2627</v>
      </c>
      <c r="J10406">
        <v>-159.85570000000001</v>
      </c>
      <c r="K10406">
        <v>1.1101719999999999</v>
      </c>
      <c r="L10406">
        <v>136.62540000000001</v>
      </c>
      <c r="M10406">
        <v>0.99671750000000003</v>
      </c>
      <c r="N10406">
        <v>0</v>
      </c>
      <c r="O10406">
        <v>7.9769809999999997E-2</v>
      </c>
      <c r="P10406">
        <v>0.99926729999999997</v>
      </c>
      <c r="Q10406">
        <v>-3.1789680000000001E-2</v>
      </c>
      <c r="R10406">
        <v>2.1316080000000001E-2</v>
      </c>
      <c r="S10406">
        <v>2.9916230000000001</v>
      </c>
      <c r="T10406">
        <v>-0.12162100000000001</v>
      </c>
      <c r="U10406">
        <v>0.2909698</v>
      </c>
      <c r="V10406">
        <v>5.8480530000000003E-2</v>
      </c>
      <c r="W10406">
        <v>-1.7956389999999999E-2</v>
      </c>
      <c r="X10406">
        <v>0.99812699999999999</v>
      </c>
      <c r="Y10406">
        <v>-1.71445E-2</v>
      </c>
      <c r="Z10406">
        <v>-2.8810620000000002E-3</v>
      </c>
      <c r="AA10406">
        <v>0.99984879999999998</v>
      </c>
      <c r="AB10406">
        <v>24</v>
      </c>
      <c r="AC10406">
        <v>27.077300000000001</v>
      </c>
      <c r="AD10406">
        <v>-1.1101751430869999</v>
      </c>
      <c r="AE10406">
        <v>2.6372999999999802</v>
      </c>
      <c r="AF10406">
        <v>-0.46795750112363699</v>
      </c>
      <c r="AG10406">
        <v>-1.1101751430869999</v>
      </c>
      <c r="AH10406">
        <v>27.156172560126901</v>
      </c>
      <c r="AI10406">
        <v>92.340665785062299</v>
      </c>
      <c r="AJ10406">
        <v>90.987228090619396</v>
      </c>
      <c r="AK10406">
        <v>27.182883974784101</v>
      </c>
      <c r="AL10406">
        <v>91.028880703046596</v>
      </c>
      <c r="AM10406">
        <v>86.646858237100702</v>
      </c>
      <c r="AN10406">
        <v>0.99999995622995497</v>
      </c>
    </row>
    <row r="10407" spans="1:40" x14ac:dyDescent="0.25">
      <c r="A10407" t="str">
        <f>"20190312154156247"</f>
        <v>20190312154156247</v>
      </c>
      <c r="B10407" t="str">
        <f>"1552376516236276"</f>
        <v>1552376516236276</v>
      </c>
      <c r="C10407" t="s">
        <v>40</v>
      </c>
      <c r="D10407">
        <v>4.1828209999999997</v>
      </c>
      <c r="E10407">
        <v>0.47230519999999998</v>
      </c>
      <c r="F10407" t="s">
        <v>42</v>
      </c>
      <c r="G10407">
        <v>-134.03440000000001</v>
      </c>
      <c r="H10407" s="1">
        <v>-2.6372809999999998E-6</v>
      </c>
      <c r="I10407">
        <v>139.07660000000001</v>
      </c>
      <c r="J10407">
        <v>-159.61420000000001</v>
      </c>
      <c r="K10407">
        <v>1.110163</v>
      </c>
      <c r="L10407">
        <v>136.64519999999999</v>
      </c>
      <c r="M10407">
        <v>0.99668999999999996</v>
      </c>
      <c r="N10407">
        <v>0</v>
      </c>
      <c r="O10407">
        <v>8.0113089999999998E-2</v>
      </c>
      <c r="P10407">
        <v>0.99929670000000004</v>
      </c>
      <c r="Q10407">
        <v>-3.23822E-2</v>
      </c>
      <c r="R10407">
        <v>1.8921810000000001E-2</v>
      </c>
      <c r="S10407">
        <v>2.9920650000000002</v>
      </c>
      <c r="T10407">
        <v>-0.12864200000000001</v>
      </c>
      <c r="U10407">
        <v>0.28402709999999998</v>
      </c>
      <c r="V10407">
        <v>6.1213169999999997E-2</v>
      </c>
      <c r="W10407">
        <v>-1.8554419999999999E-2</v>
      </c>
      <c r="X10407">
        <v>0.99795219999999996</v>
      </c>
      <c r="Y10407">
        <v>-1.449582E-2</v>
      </c>
      <c r="Z10407">
        <v>-3.1186429999999999E-3</v>
      </c>
      <c r="AA10407">
        <v>0.9998901</v>
      </c>
      <c r="AB10407">
        <v>24</v>
      </c>
      <c r="AC10407">
        <v>25.579799999999999</v>
      </c>
      <c r="AD10407">
        <v>-1.110165637281</v>
      </c>
      <c r="AE10407">
        <v>2.43140000000002</v>
      </c>
      <c r="AF10407">
        <v>-0.37341391117043499</v>
      </c>
      <c r="AG10407">
        <v>-1.110165637281</v>
      </c>
      <c r="AH10407">
        <v>25.644500100024398</v>
      </c>
      <c r="AI10407">
        <v>92.478558172235594</v>
      </c>
      <c r="AJ10407">
        <v>90.834234596773598</v>
      </c>
      <c r="AK10407">
        <v>25.671234700952901</v>
      </c>
      <c r="AL10407">
        <v>91.063151011169595</v>
      </c>
      <c r="AM10407">
        <v>86.4899445343232</v>
      </c>
      <c r="AN10407">
        <v>0.99999995608391101</v>
      </c>
    </row>
    <row r="10408" spans="1:40" x14ac:dyDescent="0.25">
      <c r="A10408" t="str">
        <f>"20190312154156271"</f>
        <v>20190312154156271</v>
      </c>
      <c r="B10408" t="str">
        <f>"1552376516266534"</f>
        <v>1552376516266534</v>
      </c>
      <c r="C10408" t="s">
        <v>40</v>
      </c>
      <c r="D10408">
        <v>4.2188819999999998</v>
      </c>
      <c r="E10408">
        <v>0.47219139999999998</v>
      </c>
      <c r="F10408" t="s">
        <v>42</v>
      </c>
      <c r="G10408">
        <v>-134.8852</v>
      </c>
      <c r="H10408" s="1">
        <v>-2.297015E-6</v>
      </c>
      <c r="I10408">
        <v>138.93709999999999</v>
      </c>
      <c r="J10408">
        <v>-159.36940000000001</v>
      </c>
      <c r="K10408">
        <v>1.110158</v>
      </c>
      <c r="L10408">
        <v>136.6652</v>
      </c>
      <c r="M10408">
        <v>0.99666189999999999</v>
      </c>
      <c r="N10408">
        <v>0</v>
      </c>
      <c r="O10408">
        <v>8.0462889999999995E-2</v>
      </c>
      <c r="P10408">
        <v>0.99928839999999997</v>
      </c>
      <c r="Q10408">
        <v>-3.3434030000000003E-2</v>
      </c>
      <c r="R10408">
        <v>1.7463739999999998E-2</v>
      </c>
      <c r="S10408">
        <v>2.9925079999999999</v>
      </c>
      <c r="T10408">
        <v>-0.13434299999999999</v>
      </c>
      <c r="U10408">
        <v>0.27735900000000002</v>
      </c>
      <c r="V10408">
        <v>6.3016390000000005E-2</v>
      </c>
      <c r="W10408">
        <v>-1.9611420000000001E-2</v>
      </c>
      <c r="X10408">
        <v>0.99781980000000003</v>
      </c>
      <c r="Y10408">
        <v>-1.1930670000000001E-2</v>
      </c>
      <c r="Z10408">
        <v>-3.3296799999999998E-3</v>
      </c>
      <c r="AA10408">
        <v>0.99992329999999996</v>
      </c>
      <c r="AB10408">
        <v>24</v>
      </c>
      <c r="AC10408">
        <v>24.484200000000001</v>
      </c>
      <c r="AD10408">
        <v>-1.110160297015</v>
      </c>
      <c r="AE10408">
        <v>2.27189999999998</v>
      </c>
      <c r="AF10408">
        <v>-0.29367614024148803</v>
      </c>
      <c r="AG10408">
        <v>-1.110160297015</v>
      </c>
      <c r="AH10408">
        <v>24.537602528768499</v>
      </c>
      <c r="AI10408">
        <v>92.5902940777965</v>
      </c>
      <c r="AJ10408">
        <v>90.685706764055894</v>
      </c>
      <c r="AK10408">
        <v>24.564458866831199</v>
      </c>
      <c r="AL10408">
        <v>91.123723621377096</v>
      </c>
      <c r="AM10408">
        <v>86.386337032329095</v>
      </c>
      <c r="AN10408">
        <v>1.00000001323754</v>
      </c>
    </row>
    <row r="10409" spans="1:40" x14ac:dyDescent="0.25">
      <c r="A10409" t="str">
        <f>"20190312154156295"</f>
        <v>20190312154156295</v>
      </c>
      <c r="B10409" t="str">
        <f>"1552376516286052"</f>
        <v>1552376516286052</v>
      </c>
      <c r="C10409" t="s">
        <v>40</v>
      </c>
      <c r="D10409">
        <v>4.2453940000000001</v>
      </c>
      <c r="E10409">
        <v>0.47216999999999998</v>
      </c>
      <c r="F10409" t="s">
        <v>42</v>
      </c>
      <c r="G10409">
        <v>-135.98650000000001</v>
      </c>
      <c r="H10409" s="1">
        <v>-1.847955E-6</v>
      </c>
      <c r="I10409">
        <v>138.80510000000001</v>
      </c>
      <c r="J10409">
        <v>-159.11269999999999</v>
      </c>
      <c r="K10409">
        <v>1.1101570000000001</v>
      </c>
      <c r="L10409">
        <v>136.68639999999999</v>
      </c>
      <c r="M10409">
        <v>0.99663219999999997</v>
      </c>
      <c r="N10409">
        <v>0</v>
      </c>
      <c r="O10409">
        <v>8.0830830000000006E-2</v>
      </c>
      <c r="P10409">
        <v>0.99929159999999995</v>
      </c>
      <c r="Q10409">
        <v>-3.3797769999999998E-2</v>
      </c>
      <c r="R10409">
        <v>1.656173E-2</v>
      </c>
      <c r="S10409">
        <v>2.9925989999999998</v>
      </c>
      <c r="T10409">
        <v>-0.14208129999999999</v>
      </c>
      <c r="U10409">
        <v>0.27386470000000002</v>
      </c>
      <c r="V10409">
        <v>6.4284040000000001E-2</v>
      </c>
      <c r="W10409">
        <v>-1.9979830000000001E-2</v>
      </c>
      <c r="X10409">
        <v>0.99773160000000005</v>
      </c>
      <c r="Y10409">
        <v>-1.0411159999999999E-2</v>
      </c>
      <c r="Z10409">
        <v>-3.574715E-3</v>
      </c>
      <c r="AA10409">
        <v>0.99993940000000003</v>
      </c>
      <c r="AB10409">
        <v>24</v>
      </c>
      <c r="AC10409">
        <v>23.126199999999901</v>
      </c>
      <c r="AD10409">
        <v>-1.110158847955</v>
      </c>
      <c r="AE10409">
        <v>2.1187000000000098</v>
      </c>
      <c r="AF10409">
        <v>-0.24172539531614301</v>
      </c>
      <c r="AG10409">
        <v>-1.110158847955</v>
      </c>
      <c r="AH10409">
        <v>23.168839058215902</v>
      </c>
      <c r="AI10409">
        <v>92.743139177133003</v>
      </c>
      <c r="AJ10409">
        <v>90.597757290447504</v>
      </c>
      <c r="AK10409">
        <v>23.196680519849</v>
      </c>
      <c r="AL10409">
        <v>91.144836124690499</v>
      </c>
      <c r="AM10409">
        <v>86.3135173774252</v>
      </c>
      <c r="AN10409">
        <v>0.99999998852205496</v>
      </c>
    </row>
    <row r="10410" spans="1:40" x14ac:dyDescent="0.25">
      <c r="A10410" t="str">
        <f>"20190312154156314"</f>
        <v>20190312154156314</v>
      </c>
      <c r="B10410" t="str">
        <f>"1552376516306548"</f>
        <v>1552376516306548</v>
      </c>
      <c r="C10410" t="s">
        <v>40</v>
      </c>
      <c r="D10410">
        <v>4.2652720000000004</v>
      </c>
      <c r="E10410">
        <v>0.47208610000000001</v>
      </c>
      <c r="F10410" t="s">
        <v>42</v>
      </c>
      <c r="G10410">
        <v>-136.28489999999999</v>
      </c>
      <c r="H10410" s="1">
        <v>-1.7286320000000001E-6</v>
      </c>
      <c r="I10410">
        <v>138.75630000000001</v>
      </c>
      <c r="J10410">
        <v>-158.89420000000001</v>
      </c>
      <c r="K10410">
        <v>1.1101570000000001</v>
      </c>
      <c r="L10410">
        <v>136.7045</v>
      </c>
      <c r="M10410">
        <v>0.99660669999999996</v>
      </c>
      <c r="N10410">
        <v>0</v>
      </c>
      <c r="O10410">
        <v>8.1144999999999995E-2</v>
      </c>
      <c r="P10410">
        <v>0.99930989999999997</v>
      </c>
      <c r="Q10410">
        <v>-3.3461159999999997E-2</v>
      </c>
      <c r="R10410">
        <v>1.6137019999999998E-2</v>
      </c>
      <c r="S10410">
        <v>2.9927060000000001</v>
      </c>
      <c r="T10410">
        <v>-0.14554059999999999</v>
      </c>
      <c r="U10410">
        <v>0.2713623</v>
      </c>
      <c r="V10410">
        <v>6.5022940000000001E-2</v>
      </c>
      <c r="W10410">
        <v>-1.9646630000000002E-2</v>
      </c>
      <c r="X10410">
        <v>0.99769030000000003</v>
      </c>
      <c r="Y10410">
        <v>-9.2690150000000002E-3</v>
      </c>
      <c r="Z10410">
        <v>-3.7045619999999998E-3</v>
      </c>
      <c r="AA10410">
        <v>0.99995020000000001</v>
      </c>
      <c r="AB10410">
        <v>24</v>
      </c>
      <c r="AC10410">
        <v>22.609300000000001</v>
      </c>
      <c r="AD10410">
        <v>-1.110158728632</v>
      </c>
      <c r="AE10410">
        <v>2.0518000000000098</v>
      </c>
      <c r="AF10410">
        <v>-0.20972449738186799</v>
      </c>
      <c r="AG10410">
        <v>-1.110158728632</v>
      </c>
      <c r="AH10410">
        <v>22.6470804727734</v>
      </c>
      <c r="AI10410">
        <v>92.806269614009594</v>
      </c>
      <c r="AJ10410">
        <v>90.530575457372507</v>
      </c>
      <c r="AK10410">
        <v>22.675244005475101</v>
      </c>
      <c r="AL10410">
        <v>91.125741461477404</v>
      </c>
      <c r="AM10410">
        <v>86.271108788670404</v>
      </c>
      <c r="AN10410">
        <v>0.99999995375534401</v>
      </c>
    </row>
    <row r="10411" spans="1:40" x14ac:dyDescent="0.25">
      <c r="A10411" t="str">
        <f>"20190312154156337"</f>
        <v>20190312154156337</v>
      </c>
      <c r="B10411" t="str">
        <f>"1552376516326068"</f>
        <v>1552376516326068</v>
      </c>
      <c r="C10411" t="s">
        <v>40</v>
      </c>
      <c r="D10411">
        <v>4.2515850000000004</v>
      </c>
      <c r="E10411">
        <v>0.47207199999999999</v>
      </c>
      <c r="F10411" t="s">
        <v>42</v>
      </c>
      <c r="G10411">
        <v>-136.3005</v>
      </c>
      <c r="H10411" s="1">
        <v>-1.7232779999999999E-6</v>
      </c>
      <c r="I10411">
        <v>138.74860000000001</v>
      </c>
      <c r="J10411">
        <v>-158.65119999999999</v>
      </c>
      <c r="K10411">
        <v>1.1101620000000001</v>
      </c>
      <c r="L10411">
        <v>136.72460000000001</v>
      </c>
      <c r="M10411">
        <v>0.99657819999999997</v>
      </c>
      <c r="N10411">
        <v>0</v>
      </c>
      <c r="O10411">
        <v>8.1494819999999996E-2</v>
      </c>
      <c r="P10411">
        <v>0.99936040000000004</v>
      </c>
      <c r="Q10411">
        <v>-3.2559810000000002E-2</v>
      </c>
      <c r="R10411">
        <v>1.479899E-2</v>
      </c>
      <c r="S10411">
        <v>2.9927830000000002</v>
      </c>
      <c r="T10411">
        <v>-0.14705260000000001</v>
      </c>
      <c r="U10411">
        <v>0.27076719999999999</v>
      </c>
      <c r="V10411">
        <v>6.6710329999999998E-2</v>
      </c>
      <c r="W10411">
        <v>-1.874901E-2</v>
      </c>
      <c r="X10411">
        <v>0.99759620000000004</v>
      </c>
      <c r="Y10411">
        <v>-8.7213169999999993E-3</v>
      </c>
      <c r="Z10411">
        <v>-3.7734399999999999E-3</v>
      </c>
      <c r="AA10411">
        <v>0.99995480000000003</v>
      </c>
      <c r="AB10411">
        <v>24</v>
      </c>
      <c r="AC10411">
        <v>22.3506999999999</v>
      </c>
      <c r="AD10411">
        <v>-1.1101637232779999</v>
      </c>
      <c r="AE10411">
        <v>2.024</v>
      </c>
      <c r="AF10411">
        <v>-0.19514909447832601</v>
      </c>
      <c r="AG10411">
        <v>-1.1101637232779999</v>
      </c>
      <c r="AH10411">
        <v>22.386522165086099</v>
      </c>
      <c r="AI10411">
        <v>92.838905451063795</v>
      </c>
      <c r="AJ10411">
        <v>90.499449454335803</v>
      </c>
      <c r="AK10411">
        <v>22.414881692961199</v>
      </c>
      <c r="AL10411">
        <v>91.074302105230899</v>
      </c>
      <c r="AM10411">
        <v>86.174265428816</v>
      </c>
      <c r="AN10411">
        <v>0.99999998587956396</v>
      </c>
    </row>
    <row r="10412" spans="1:40" x14ac:dyDescent="0.25">
      <c r="A10412" t="str">
        <f>"20190312154156370"</f>
        <v>20190312154156370</v>
      </c>
      <c r="B10412" t="str">
        <f>"1552376516366085"</f>
        <v>1552376516366085</v>
      </c>
      <c r="C10412" t="s">
        <v>40</v>
      </c>
      <c r="D10412">
        <v>4.1483499999999998</v>
      </c>
      <c r="E10412">
        <v>0.51669989999999999</v>
      </c>
      <c r="F10412" t="s">
        <v>42</v>
      </c>
      <c r="G10412">
        <v>-135.52709999999999</v>
      </c>
      <c r="H10412" s="1">
        <v>-2.048178E-6</v>
      </c>
      <c r="I10412">
        <v>138.78739999999999</v>
      </c>
      <c r="J10412">
        <v>-158.2921</v>
      </c>
      <c r="K10412">
        <v>1.1101620000000001</v>
      </c>
      <c r="L10412">
        <v>136.75460000000001</v>
      </c>
      <c r="M10412">
        <v>0.99653570000000002</v>
      </c>
      <c r="N10412">
        <v>0</v>
      </c>
      <c r="O10412">
        <v>8.2013680000000005E-2</v>
      </c>
      <c r="P10412">
        <v>0.99934009999999995</v>
      </c>
      <c r="Q10412">
        <v>-3.3695650000000001E-2</v>
      </c>
      <c r="R10412">
        <v>1.3578679999999999E-2</v>
      </c>
      <c r="S10412">
        <v>2.9932859999999999</v>
      </c>
      <c r="T10412">
        <v>-0.14370439999999901</v>
      </c>
      <c r="U10412">
        <v>0.26701350000000001</v>
      </c>
      <c r="V10412">
        <v>6.8444720000000001E-2</v>
      </c>
      <c r="W10412">
        <v>-1.9890580000000001E-2</v>
      </c>
      <c r="X10412">
        <v>0.99745660000000003</v>
      </c>
      <c r="Y10412">
        <v>-6.9403499999999996E-3</v>
      </c>
      <c r="Z10412">
        <v>-3.7546459999999999E-3</v>
      </c>
      <c r="AA10412">
        <v>0.99996890000000005</v>
      </c>
      <c r="AB10412">
        <v>24</v>
      </c>
      <c r="AC10412">
        <v>22.765000000000001</v>
      </c>
      <c r="AD10412">
        <v>-1.110164048178</v>
      </c>
      <c r="AE10412">
        <v>2.03279999999998</v>
      </c>
      <c r="AF10412">
        <v>-0.15835783474340601</v>
      </c>
      <c r="AG10412">
        <v>-1.110164048178</v>
      </c>
      <c r="AH10412">
        <v>22.8012322307376</v>
      </c>
      <c r="AI10412">
        <v>92.787392897548798</v>
      </c>
      <c r="AJ10412">
        <v>90.397921025208802</v>
      </c>
      <c r="AK10412">
        <v>22.828791747653099</v>
      </c>
      <c r="AL10412">
        <v>91.139721456068798</v>
      </c>
      <c r="AM10412">
        <v>86.074560192732704</v>
      </c>
      <c r="AN10412">
        <v>0.99999999187608701</v>
      </c>
    </row>
    <row r="10413" spans="1:40" x14ac:dyDescent="0.25">
      <c r="A10413" t="str">
        <f>"20190312154156394"</f>
        <v>20190312154156394</v>
      </c>
      <c r="B10413" t="str">
        <f>"1552376516386580"</f>
        <v>1552376516386580</v>
      </c>
      <c r="C10413" t="s">
        <v>40</v>
      </c>
      <c r="D10413">
        <v>4.1024390000000004</v>
      </c>
      <c r="E10413">
        <v>0.5170574</v>
      </c>
      <c r="F10413" t="s">
        <v>41</v>
      </c>
      <c r="G10413">
        <v>-157.53890000000001</v>
      </c>
      <c r="H10413">
        <v>0.94293110000000002</v>
      </c>
      <c r="I10413">
        <v>136.7312</v>
      </c>
      <c r="J10413">
        <v>-158.0444</v>
      </c>
      <c r="K10413">
        <v>1.1101650000000001</v>
      </c>
      <c r="L10413">
        <v>136.77539999999999</v>
      </c>
      <c r="M10413">
        <v>0.99650620000000001</v>
      </c>
      <c r="N10413">
        <v>0</v>
      </c>
      <c r="O10413">
        <v>8.2371730000000004E-2</v>
      </c>
      <c r="P10413">
        <v>0.9993244</v>
      </c>
      <c r="Q10413">
        <v>-3.4419699999999998E-2</v>
      </c>
      <c r="R10413">
        <v>1.288827E-2</v>
      </c>
      <c r="S10413">
        <v>2.980896</v>
      </c>
      <c r="T10413">
        <v>-0.66191899999999904</v>
      </c>
      <c r="U10413">
        <v>-9.2071529999999999E-2</v>
      </c>
      <c r="V10413">
        <v>6.9489980000000007E-2</v>
      </c>
      <c r="W10413">
        <v>-2.0618480000000002E-2</v>
      </c>
      <c r="X10413">
        <v>0.99736950000000002</v>
      </c>
      <c r="Y10413">
        <v>0.1084643</v>
      </c>
      <c r="Z10413">
        <v>-2.995337E-2</v>
      </c>
      <c r="AA10413">
        <v>0.993649</v>
      </c>
      <c r="AB10413">
        <v>24</v>
      </c>
      <c r="AC10413">
        <v>0.50549999999998296</v>
      </c>
      <c r="AD10413">
        <v>-0.16723389999999999</v>
      </c>
      <c r="AE10413">
        <v>-4.4199999999989303E-2</v>
      </c>
      <c r="AF10413">
        <v>7.72968683798511E-2</v>
      </c>
      <c r="AG10413">
        <v>-0.16723389999999999</v>
      </c>
      <c r="AH10413">
        <v>0.45113917176867402</v>
      </c>
      <c r="AI10413">
        <v>110.070702521627</v>
      </c>
      <c r="AJ10413">
        <v>80.277513942264207</v>
      </c>
      <c r="AK10413">
        <v>0.48730743424933198</v>
      </c>
      <c r="AL10413">
        <v>91.181435662974806</v>
      </c>
      <c r="AM10413">
        <v>86.014457277583602</v>
      </c>
      <c r="AN10413">
        <v>0.99999994928407898</v>
      </c>
    </row>
    <row r="10414" spans="1:40" x14ac:dyDescent="0.25">
      <c r="A10414" t="str">
        <f>"20190312154156415"</f>
        <v>20190312154156415</v>
      </c>
      <c r="B10414" t="str">
        <f>"1552376516406100"</f>
        <v>1552376516406100</v>
      </c>
      <c r="C10414" t="s">
        <v>40</v>
      </c>
      <c r="D10414">
        <v>4.0472449999999904</v>
      </c>
      <c r="E10414">
        <v>0.51696019999999998</v>
      </c>
      <c r="F10414" t="s">
        <v>41</v>
      </c>
      <c r="G10414">
        <v>-157.32419999999999</v>
      </c>
      <c r="H10414">
        <v>0.94433199999999995</v>
      </c>
      <c r="I10414">
        <v>136.7517</v>
      </c>
      <c r="J10414">
        <v>-157.8135</v>
      </c>
      <c r="K10414">
        <v>1.1101620000000001</v>
      </c>
      <c r="L10414">
        <v>136.79490000000001</v>
      </c>
      <c r="M10414">
        <v>0.9964788</v>
      </c>
      <c r="N10414">
        <v>0</v>
      </c>
      <c r="O10414">
        <v>8.270197E-2</v>
      </c>
      <c r="P10414">
        <v>0.99932730000000003</v>
      </c>
      <c r="Q10414">
        <v>-3.4402849999999999E-2</v>
      </c>
      <c r="R10414">
        <v>1.271093E-2</v>
      </c>
      <c r="S10414">
        <v>2.9796299999999998</v>
      </c>
      <c r="T10414">
        <v>-0.68626709999999902</v>
      </c>
      <c r="U10414">
        <v>-9.6954349999999995E-2</v>
      </c>
      <c r="V10414">
        <v>6.9997290000000004E-2</v>
      </c>
      <c r="W10414">
        <v>-2.0604939999999999E-2</v>
      </c>
      <c r="X10414">
        <v>0.99733439999999995</v>
      </c>
      <c r="Y10414">
        <v>0.11003590000000001</v>
      </c>
      <c r="Z10414">
        <v>-3.1293460000000002E-2</v>
      </c>
      <c r="AA10414">
        <v>0.99343479999999995</v>
      </c>
      <c r="AB10414">
        <v>24</v>
      </c>
      <c r="AC10414">
        <v>0.489300000000014</v>
      </c>
      <c r="AD10414">
        <v>-0.16583000000000001</v>
      </c>
      <c r="AE10414">
        <v>-4.3200000000012999E-2</v>
      </c>
      <c r="AF10414">
        <v>7.4976573019796502E-2</v>
      </c>
      <c r="AG10414">
        <v>-0.16583000000000001</v>
      </c>
      <c r="AH10414">
        <v>0.43452601761051401</v>
      </c>
      <c r="AI10414">
        <v>110.610118638459</v>
      </c>
      <c r="AJ10414">
        <v>80.210128481390996</v>
      </c>
      <c r="AK10414">
        <v>0.47109864718787398</v>
      </c>
      <c r="AL10414">
        <v>91.180659600457304</v>
      </c>
      <c r="AM10414">
        <v>85.985314883292205</v>
      </c>
      <c r="AN10414">
        <v>1.00000004479155</v>
      </c>
    </row>
    <row r="10415" spans="1:40" x14ac:dyDescent="0.25">
      <c r="A10415" t="str">
        <f>"20190312154156438"</f>
        <v>20190312154156438</v>
      </c>
      <c r="B10415" t="str">
        <f>"1552376516426596"</f>
        <v>1552376516426596</v>
      </c>
      <c r="C10415" t="s">
        <v>40</v>
      </c>
      <c r="D10415">
        <v>4.034923</v>
      </c>
      <c r="E10415">
        <v>0.5165999</v>
      </c>
      <c r="F10415" t="s">
        <v>41</v>
      </c>
      <c r="G10415">
        <v>-157.10890000000001</v>
      </c>
      <c r="H10415">
        <v>0.94742660000000001</v>
      </c>
      <c r="I10415">
        <v>136.77180000000001</v>
      </c>
      <c r="J10415">
        <v>-157.5796</v>
      </c>
      <c r="K10415">
        <v>1.110152</v>
      </c>
      <c r="L10415">
        <v>136.81469999999999</v>
      </c>
      <c r="M10415">
        <v>0.996452</v>
      </c>
      <c r="N10415">
        <v>0</v>
      </c>
      <c r="O10415">
        <v>8.302474E-2</v>
      </c>
      <c r="P10415">
        <v>0.99932600000000005</v>
      </c>
      <c r="Q10415">
        <v>-3.4336079999999998E-2</v>
      </c>
      <c r="R10415">
        <v>1.30002E-2</v>
      </c>
      <c r="S10415">
        <v>2.9795379999999998</v>
      </c>
      <c r="T10415">
        <v>-0.68824819999999998</v>
      </c>
      <c r="U10415">
        <v>-9.6984860000000006E-2</v>
      </c>
      <c r="V10415">
        <v>7.0031389999999999E-2</v>
      </c>
      <c r="W10415">
        <v>-2.0541960000000001E-2</v>
      </c>
      <c r="X10415">
        <v>0.99733329999999998</v>
      </c>
      <c r="Y10415">
        <v>0.1103237</v>
      </c>
      <c r="Z10415">
        <v>-3.1488660000000002E-2</v>
      </c>
      <c r="AA10415">
        <v>0.99339679999999997</v>
      </c>
      <c r="AB10415">
        <v>24</v>
      </c>
      <c r="AC10415">
        <v>0.47069999999999301</v>
      </c>
      <c r="AD10415">
        <v>-0.16272539999999999</v>
      </c>
      <c r="AE10415">
        <v>-4.2899999999974597E-2</v>
      </c>
      <c r="AF10415">
        <v>7.3163254916231907E-2</v>
      </c>
      <c r="AG10415">
        <v>-0.16272539999999999</v>
      </c>
      <c r="AH10415">
        <v>0.41618225244215501</v>
      </c>
      <c r="AI10415">
        <v>111.06121298007101</v>
      </c>
      <c r="AJ10415">
        <v>80.029497627314797</v>
      </c>
      <c r="AK10415">
        <v>0.45281352113527201</v>
      </c>
      <c r="AL10415">
        <v>91.177050354737801</v>
      </c>
      <c r="AM10415">
        <v>85.983361066795396</v>
      </c>
      <c r="AN10415">
        <v>1.00000003949743</v>
      </c>
    </row>
    <row r="10416" spans="1:40" x14ac:dyDescent="0.25">
      <c r="A10416" t="str">
        <f>"20190312154156460"</f>
        <v>20190312154156460</v>
      </c>
      <c r="B10416" t="str">
        <f>"1552376516456851"</f>
        <v>1552376516456851</v>
      </c>
      <c r="C10416" t="s">
        <v>40</v>
      </c>
      <c r="D10416">
        <v>4.0181589999999998</v>
      </c>
      <c r="E10416">
        <v>0.5161656</v>
      </c>
      <c r="F10416" t="s">
        <v>41</v>
      </c>
      <c r="G10416">
        <v>-156.6986</v>
      </c>
      <c r="H10416">
        <v>0.90744919999999996</v>
      </c>
      <c r="I10416">
        <v>136.78700000000001</v>
      </c>
      <c r="J10416">
        <v>-157.34440000000001</v>
      </c>
      <c r="K10416">
        <v>1.110136</v>
      </c>
      <c r="L10416">
        <v>136.83459999999999</v>
      </c>
      <c r="M10416">
        <v>0.9964269</v>
      </c>
      <c r="N10416">
        <v>0</v>
      </c>
      <c r="O10416">
        <v>8.3326529999999996E-2</v>
      </c>
      <c r="P10416">
        <v>0.99932529999999997</v>
      </c>
      <c r="Q10416">
        <v>-3.426945E-2</v>
      </c>
      <c r="R10416">
        <v>1.322313E-2</v>
      </c>
      <c r="S10416">
        <v>2.9796749999999999</v>
      </c>
      <c r="T10416">
        <v>-0.68566510000000003</v>
      </c>
      <c r="U10416">
        <v>-9.3109129999999998E-2</v>
      </c>
      <c r="V10416">
        <v>7.0110450000000005E-2</v>
      </c>
      <c r="W10416">
        <v>-2.0480439999999999E-2</v>
      </c>
      <c r="X10416">
        <v>0.99732900000000002</v>
      </c>
      <c r="Y10416">
        <v>0.1093867</v>
      </c>
      <c r="Z10416">
        <v>-3.1334460000000001E-2</v>
      </c>
      <c r="AA10416">
        <v>0.99350519999999998</v>
      </c>
      <c r="AB10416">
        <v>24</v>
      </c>
      <c r="AC10416">
        <v>0.64580000000000803</v>
      </c>
      <c r="AD10416">
        <v>-0.202686799999999</v>
      </c>
      <c r="AE10416">
        <v>-4.7599999999988499E-2</v>
      </c>
      <c r="AF10416">
        <v>9.2217125757935794E-2</v>
      </c>
      <c r="AG10416">
        <v>-0.202686799999999</v>
      </c>
      <c r="AH10416">
        <v>0.58251664922075097</v>
      </c>
      <c r="AI10416">
        <v>108.966330594711</v>
      </c>
      <c r="AJ10416">
        <v>81.004264897913501</v>
      </c>
      <c r="AK10416">
        <v>0.62362776060456704</v>
      </c>
      <c r="AL10416">
        <v>91.173524789222299</v>
      </c>
      <c r="AM10416">
        <v>85.978824179923905</v>
      </c>
      <c r="AN10416">
        <v>1.00000002893139</v>
      </c>
    </row>
    <row r="10417" spans="1:40" x14ac:dyDescent="0.25">
      <c r="A10417" t="str">
        <f>"20190312154156483"</f>
        <v>20190312154156483</v>
      </c>
      <c r="B10417" t="str">
        <f>"1552376516476373"</f>
        <v>1552376516476373</v>
      </c>
      <c r="C10417" t="s">
        <v>40</v>
      </c>
      <c r="D10417">
        <v>4.015244</v>
      </c>
      <c r="E10417">
        <v>0.51600489999999999</v>
      </c>
      <c r="F10417" t="s">
        <v>41</v>
      </c>
      <c r="G10417">
        <v>-156.48339999999999</v>
      </c>
      <c r="H10417">
        <v>0.91305029999999998</v>
      </c>
      <c r="I10417">
        <v>136.80869999999999</v>
      </c>
      <c r="J10417">
        <v>-157.09809999999999</v>
      </c>
      <c r="K10417">
        <v>1.110112</v>
      </c>
      <c r="L10417">
        <v>136.85560000000001</v>
      </c>
      <c r="M10417">
        <v>0.99640249999999997</v>
      </c>
      <c r="N10417">
        <v>0</v>
      </c>
      <c r="O10417">
        <v>8.3618159999999997E-2</v>
      </c>
      <c r="P10417">
        <v>0.99929009999999996</v>
      </c>
      <c r="Q10417">
        <v>-3.4998969999999997E-2</v>
      </c>
      <c r="R10417">
        <v>1.39489E-2</v>
      </c>
      <c r="S10417">
        <v>2.979797</v>
      </c>
      <c r="T10417">
        <v>-0.68207299999999904</v>
      </c>
      <c r="U10417">
        <v>-8.9309689999999997E-2</v>
      </c>
      <c r="V10417">
        <v>6.9675390000000004E-2</v>
      </c>
      <c r="W10417">
        <v>-2.1216249999999999E-2</v>
      </c>
      <c r="X10417">
        <v>0.99734409999999896</v>
      </c>
      <c r="Y10417">
        <v>0.10847859999999999</v>
      </c>
      <c r="Z10417">
        <v>-3.1136730000000001E-2</v>
      </c>
      <c r="AA10417">
        <v>0.99361100000000002</v>
      </c>
      <c r="AB10417">
        <v>24</v>
      </c>
      <c r="AC10417">
        <v>0.61469999999999902</v>
      </c>
      <c r="AD10417">
        <v>-0.19706169999999901</v>
      </c>
      <c r="AE10417">
        <v>-4.6900000000022098E-2</v>
      </c>
      <c r="AF10417">
        <v>8.9042505990666196E-2</v>
      </c>
      <c r="AG10417">
        <v>-0.19706169999999901</v>
      </c>
      <c r="AH10417">
        <v>0.55220190525814195</v>
      </c>
      <c r="AI10417">
        <v>109.408091716134</v>
      </c>
      <c r="AJ10417">
        <v>80.839909885381104</v>
      </c>
      <c r="AK10417">
        <v>0.59303357885596097</v>
      </c>
      <c r="AL10417">
        <v>91.215692770713503</v>
      </c>
      <c r="AM10417">
        <v>86.003756198361401</v>
      </c>
      <c r="AN10417">
        <v>1.00000002152026</v>
      </c>
    </row>
    <row r="10418" spans="1:40" x14ac:dyDescent="0.25">
      <c r="A10418" t="str">
        <f>"20190312154156504"</f>
        <v>20190312154156504</v>
      </c>
      <c r="B10418" t="str">
        <f>"1552376516496868"</f>
        <v>1552376516496868</v>
      </c>
      <c r="C10418" t="s">
        <v>40</v>
      </c>
      <c r="D10418">
        <v>4.0288899999999996</v>
      </c>
      <c r="E10418">
        <v>0.51584149999999995</v>
      </c>
      <c r="F10418" t="s">
        <v>41</v>
      </c>
      <c r="G10418">
        <v>-156.26769999999999</v>
      </c>
      <c r="H10418">
        <v>0.9201028</v>
      </c>
      <c r="I10418">
        <v>136.83150000000001</v>
      </c>
      <c r="J10418">
        <v>-156.86160000000001</v>
      </c>
      <c r="K10418">
        <v>1.1100840000000001</v>
      </c>
      <c r="L10418">
        <v>136.87569999999999</v>
      </c>
      <c r="M10418">
        <v>0.99638190000000004</v>
      </c>
      <c r="N10418">
        <v>0</v>
      </c>
      <c r="O10418">
        <v>8.3863699999999999E-2</v>
      </c>
      <c r="P10418">
        <v>0.99923130000000004</v>
      </c>
      <c r="Q10418">
        <v>-3.6331389999999998E-2</v>
      </c>
      <c r="R10418">
        <v>1.473402E-2</v>
      </c>
      <c r="S10418">
        <v>2.9794619999999998</v>
      </c>
      <c r="T10418">
        <v>-0.6817609</v>
      </c>
      <c r="U10418">
        <v>-8.5906979999999994E-2</v>
      </c>
      <c r="V10418">
        <v>6.9132890000000002E-2</v>
      </c>
      <c r="W10418">
        <v>-2.255571E-2</v>
      </c>
      <c r="X10418">
        <v>0.99735240000000003</v>
      </c>
      <c r="Y10418">
        <v>0.10761229999999999</v>
      </c>
      <c r="Z10418">
        <v>-3.1084049999999998E-2</v>
      </c>
      <c r="AA10418">
        <v>0.99370689999999995</v>
      </c>
      <c r="AB10418">
        <v>24</v>
      </c>
      <c r="AC10418">
        <v>0.59390000000001897</v>
      </c>
      <c r="AD10418">
        <v>-0.18998119999999999</v>
      </c>
      <c r="AE10418">
        <v>-4.4199999999989303E-2</v>
      </c>
      <c r="AF10418">
        <v>8.5186678738654598E-2</v>
      </c>
      <c r="AG10418">
        <v>-0.18998119999999999</v>
      </c>
      <c r="AH10418">
        <v>0.53378046954540004</v>
      </c>
      <c r="AI10418">
        <v>109.364976586712</v>
      </c>
      <c r="AJ10418">
        <v>80.932561032060704</v>
      </c>
      <c r="AK10418">
        <v>0.57294957566619298</v>
      </c>
      <c r="AL10418">
        <v>91.292456642059705</v>
      </c>
      <c r="AM10418">
        <v>86.034804628002505</v>
      </c>
      <c r="AN10418">
        <v>0.99999996315955697</v>
      </c>
    </row>
    <row r="10419" spans="1:40" x14ac:dyDescent="0.25">
      <c r="A10419" t="str">
        <f>"20190312154156527"</f>
        <v>20190312154156527</v>
      </c>
      <c r="B10419" t="str">
        <f>"1552376516516388"</f>
        <v>1552376516516388</v>
      </c>
      <c r="C10419" t="s">
        <v>40</v>
      </c>
      <c r="D10419">
        <v>3.9559380000000002</v>
      </c>
      <c r="E10419">
        <v>0.51629480000000005</v>
      </c>
      <c r="F10419" t="s">
        <v>41</v>
      </c>
      <c r="G10419">
        <v>-156.05350000000001</v>
      </c>
      <c r="H10419">
        <v>0.92432519999999996</v>
      </c>
      <c r="I10419">
        <v>136.85319999999999</v>
      </c>
      <c r="J10419">
        <v>-156.63120000000001</v>
      </c>
      <c r="K10419">
        <v>1.11005</v>
      </c>
      <c r="L10419">
        <v>136.89529999999999</v>
      </c>
      <c r="M10419">
        <v>0.99636570000000002</v>
      </c>
      <c r="N10419">
        <v>0</v>
      </c>
      <c r="O10419">
        <v>8.4056019999999995E-2</v>
      </c>
      <c r="P10419">
        <v>0.99918830000000003</v>
      </c>
      <c r="Q10419">
        <v>-3.7241910000000003E-2</v>
      </c>
      <c r="R10419">
        <v>1.5366299999999901E-2</v>
      </c>
      <c r="S10419">
        <v>2.9786380000000001</v>
      </c>
      <c r="T10419">
        <v>-0.684666199999999</v>
      </c>
      <c r="U10419">
        <v>-8.2702639999999994E-2</v>
      </c>
      <c r="V10419">
        <v>6.8690230000000005E-2</v>
      </c>
      <c r="W10419">
        <v>-2.3474120000000001E-2</v>
      </c>
      <c r="X10419">
        <v>0.99736179999999997</v>
      </c>
      <c r="Y10419">
        <v>0.1067176</v>
      </c>
      <c r="Z10419">
        <v>-3.1163880000000001E-2</v>
      </c>
      <c r="AA10419">
        <v>0.99380089999999999</v>
      </c>
      <c r="AB10419">
        <v>24</v>
      </c>
      <c r="AC10419">
        <v>0.577699999999992</v>
      </c>
      <c r="AD10419">
        <v>-0.185724799999999</v>
      </c>
      <c r="AE10419">
        <v>-4.2100000000004897E-2</v>
      </c>
      <c r="AF10419">
        <v>8.2076485946875097E-2</v>
      </c>
      <c r="AG10419">
        <v>-0.185724799999999</v>
      </c>
      <c r="AH10419">
        <v>0.51878032690797504</v>
      </c>
      <c r="AI10419">
        <v>109.473832344107</v>
      </c>
      <c r="AJ10419">
        <v>81.009723386938404</v>
      </c>
      <c r="AK10419">
        <v>0.557102574457499</v>
      </c>
      <c r="AL10419">
        <v>91.345091593951594</v>
      </c>
      <c r="AM10419">
        <v>86.060150694798196</v>
      </c>
      <c r="AN10419">
        <v>0.99999997105323302</v>
      </c>
    </row>
    <row r="10420" spans="1:40" x14ac:dyDescent="0.25">
      <c r="A10420" t="str">
        <f>"20190312154156549"</f>
        <v>20190312154156549</v>
      </c>
      <c r="B10420" t="str">
        <f>"1552376516536884"</f>
        <v>1552376516536884</v>
      </c>
      <c r="C10420" t="s">
        <v>40</v>
      </c>
      <c r="D10420">
        <v>3.9524460000000001</v>
      </c>
      <c r="E10420">
        <v>0.52758680000000002</v>
      </c>
      <c r="F10420" t="s">
        <v>41</v>
      </c>
      <c r="G10420">
        <v>-155.83969999999999</v>
      </c>
      <c r="H10420">
        <v>0.9274753</v>
      </c>
      <c r="I10420">
        <v>136.87280000000001</v>
      </c>
      <c r="J10420">
        <v>-156.38679999999999</v>
      </c>
      <c r="K10420">
        <v>1.1100030000000001</v>
      </c>
      <c r="L10420">
        <v>136.9161</v>
      </c>
      <c r="M10420">
        <v>0.99635390000000001</v>
      </c>
      <c r="N10420">
        <v>0</v>
      </c>
      <c r="O10420">
        <v>8.4195899999999907E-2</v>
      </c>
      <c r="P10420">
        <v>0.99918300000000004</v>
      </c>
      <c r="Q10420">
        <v>-3.7141380000000002E-2</v>
      </c>
      <c r="R10420">
        <v>1.5943639999999999E-2</v>
      </c>
      <c r="S10420">
        <v>2.978119</v>
      </c>
      <c r="T10420">
        <v>-0.6870347</v>
      </c>
      <c r="U10420">
        <v>-8.4350590000000003E-2</v>
      </c>
      <c r="V10420">
        <v>6.8251950000000006E-2</v>
      </c>
      <c r="W10420">
        <v>-2.3382960000000001E-2</v>
      </c>
      <c r="X10420">
        <v>0.99739409999999895</v>
      </c>
      <c r="Y10420">
        <v>0.1073553</v>
      </c>
      <c r="Z10420">
        <v>-3.137848E-2</v>
      </c>
      <c r="AA10420">
        <v>0.99372539999999998</v>
      </c>
      <c r="AB10420">
        <v>24</v>
      </c>
      <c r="AC10420">
        <v>0.54710000000000003</v>
      </c>
      <c r="AD10420">
        <v>-0.18252769999999999</v>
      </c>
      <c r="AE10420">
        <v>-4.3299999999987897E-2</v>
      </c>
      <c r="AF10420">
        <v>8.0328656403083398E-2</v>
      </c>
      <c r="AG10420">
        <v>-0.18252769999999999</v>
      </c>
      <c r="AH10420">
        <v>0.487577774409439</v>
      </c>
      <c r="AI10420">
        <v>110.273054758515</v>
      </c>
      <c r="AJ10420">
        <v>80.644534825859395</v>
      </c>
      <c r="AK10420">
        <v>0.52678377006593202</v>
      </c>
      <c r="AL10420">
        <v>91.339866982603198</v>
      </c>
      <c r="AM10420">
        <v>86.085336986686002</v>
      </c>
      <c r="AN10420">
        <v>1.00000004110598</v>
      </c>
    </row>
    <row r="10421" spans="1:40" x14ac:dyDescent="0.25">
      <c r="A10421" t="str">
        <f>"20190312154156572"</f>
        <v>20190312154156572</v>
      </c>
      <c r="B10421" t="str">
        <f>"1552376516566164"</f>
        <v>1552376516566164</v>
      </c>
      <c r="C10421" t="s">
        <v>40</v>
      </c>
      <c r="D10421">
        <v>3.9487030000000001</v>
      </c>
      <c r="E10421">
        <v>0.52714139999999998</v>
      </c>
      <c r="F10421" t="s">
        <v>41</v>
      </c>
      <c r="G10421">
        <v>-155.6232</v>
      </c>
      <c r="H10421">
        <v>0.93193939999999997</v>
      </c>
      <c r="I10421">
        <v>136.87190000000001</v>
      </c>
      <c r="J10421">
        <v>-156.1464</v>
      </c>
      <c r="K10421">
        <v>1.10995</v>
      </c>
      <c r="L10421">
        <v>136.9366</v>
      </c>
      <c r="M10421">
        <v>0.9963476</v>
      </c>
      <c r="N10421">
        <v>0</v>
      </c>
      <c r="O10421">
        <v>8.4271460000000006E-2</v>
      </c>
      <c r="P10421">
        <v>0.99919210000000003</v>
      </c>
      <c r="Q10421">
        <v>-3.6927269999999998E-2</v>
      </c>
      <c r="R10421">
        <v>1.5862069999999999E-2</v>
      </c>
      <c r="S10421">
        <v>2.9793699999999999</v>
      </c>
      <c r="T10421">
        <v>-0.69480439999999999</v>
      </c>
      <c r="U10421">
        <v>-0.172287</v>
      </c>
      <c r="V10421">
        <v>6.8407280000000001E-2</v>
      </c>
      <c r="W10421">
        <v>-2.317905E-2</v>
      </c>
      <c r="X10421">
        <v>0.99738819999999995</v>
      </c>
      <c r="Y10421">
        <v>0.13577529999999999</v>
      </c>
      <c r="Z10421">
        <v>-3.4982439999999997E-2</v>
      </c>
      <c r="AA10421">
        <v>0.99012180000000005</v>
      </c>
      <c r="AB10421">
        <v>24</v>
      </c>
      <c r="AC10421">
        <v>0.523200000000002</v>
      </c>
      <c r="AD10421">
        <v>-0.17801059999999999</v>
      </c>
      <c r="AE10421">
        <v>-6.4699999999987698E-2</v>
      </c>
      <c r="AF10421">
        <v>9.7453569989316799E-2</v>
      </c>
      <c r="AG10421">
        <v>-0.17801059999999999</v>
      </c>
      <c r="AH10421">
        <v>0.463086467014376</v>
      </c>
      <c r="AI10421">
        <v>110.614349894038</v>
      </c>
      <c r="AJ10421">
        <v>78.115881734445793</v>
      </c>
      <c r="AK10421">
        <v>0.50560265816931704</v>
      </c>
      <c r="AL10421">
        <v>91.3281806573777</v>
      </c>
      <c r="AM10421">
        <v>86.076432527062707</v>
      </c>
      <c r="AN10421">
        <v>1.0000000229075701</v>
      </c>
    </row>
    <row r="10422" spans="1:40" x14ac:dyDescent="0.25">
      <c r="A10422" t="str">
        <f>"20190312154156594"</f>
        <v>20190312154156594</v>
      </c>
      <c r="B10422" t="str">
        <f>"1552376516586660"</f>
        <v>1552376516586660</v>
      </c>
      <c r="C10422" t="s">
        <v>40</v>
      </c>
      <c r="D10422">
        <v>3.935333</v>
      </c>
      <c r="E10422">
        <v>0.52678019999999903</v>
      </c>
      <c r="F10422" t="s">
        <v>41</v>
      </c>
      <c r="G10422">
        <v>-155.40809999999999</v>
      </c>
      <c r="H10422">
        <v>0.9398744</v>
      </c>
      <c r="I10422">
        <v>136.8947</v>
      </c>
      <c r="J10422">
        <v>-155.91810000000001</v>
      </c>
      <c r="K10422">
        <v>1.1099079999999999</v>
      </c>
      <c r="L10422">
        <v>136.95590000000001</v>
      </c>
      <c r="M10422">
        <v>0.99634670000000003</v>
      </c>
      <c r="N10422">
        <v>0</v>
      </c>
      <c r="O10422">
        <v>8.4282499999999996E-2</v>
      </c>
      <c r="P10422">
        <v>0.99918090000000004</v>
      </c>
      <c r="Q10422">
        <v>-3.7202150000000003E-2</v>
      </c>
      <c r="R10422">
        <v>1.5928640000000001E-2</v>
      </c>
      <c r="S10422">
        <v>2.9797359999999999</v>
      </c>
      <c r="T10422">
        <v>-0.68637510000000002</v>
      </c>
      <c r="U10422">
        <v>-0.16897579999999901</v>
      </c>
      <c r="V10422">
        <v>6.8348530000000005E-2</v>
      </c>
      <c r="W10422">
        <v>-2.3463689999999999E-2</v>
      </c>
      <c r="X10422">
        <v>0.99738559999999998</v>
      </c>
      <c r="Y10422">
        <v>0.13484769999999999</v>
      </c>
      <c r="Z10422">
        <v>-3.446275E-2</v>
      </c>
      <c r="AA10422">
        <v>0.99026689999999995</v>
      </c>
      <c r="AB10422">
        <v>24</v>
      </c>
      <c r="AC10422">
        <v>0.51000000000001899</v>
      </c>
      <c r="AD10422">
        <v>-0.17003359999999901</v>
      </c>
      <c r="AE10422">
        <v>-6.1200000000013598E-2</v>
      </c>
      <c r="AF10422">
        <v>9.3702684859782795E-2</v>
      </c>
      <c r="AG10422">
        <v>-0.17003359999999901</v>
      </c>
      <c r="AH10422">
        <v>0.453349689509641</v>
      </c>
      <c r="AI10422">
        <v>110.168135185346</v>
      </c>
      <c r="AJ10422">
        <v>78.321999726675202</v>
      </c>
      <c r="AK10422">
        <v>0.49317092296421899</v>
      </c>
      <c r="AL10422">
        <v>91.344493727214598</v>
      </c>
      <c r="AM10422">
        <v>86.079781493172703</v>
      </c>
      <c r="AN10422">
        <v>1.00000005069446</v>
      </c>
    </row>
    <row r="10423" spans="1:40" x14ac:dyDescent="0.25">
      <c r="A10423" t="str">
        <f>"20190312154156615"</f>
        <v>20190312154156615</v>
      </c>
      <c r="B10423" t="str">
        <f>"1552376516606180"</f>
        <v>1552376516606180</v>
      </c>
      <c r="C10423" t="s">
        <v>40</v>
      </c>
      <c r="D10423">
        <v>3.938412</v>
      </c>
      <c r="E10423">
        <v>0.52662390000000003</v>
      </c>
      <c r="F10423" t="s">
        <v>41</v>
      </c>
      <c r="G10423">
        <v>-155.1952</v>
      </c>
      <c r="H10423">
        <v>0.94327499999999997</v>
      </c>
      <c r="I10423">
        <v>136.91550000000001</v>
      </c>
      <c r="J10423">
        <v>-155.68199999999999</v>
      </c>
      <c r="K10423">
        <v>1.1098589999999999</v>
      </c>
      <c r="L10423">
        <v>136.9759</v>
      </c>
      <c r="M10423">
        <v>0.99635220000000002</v>
      </c>
      <c r="N10423">
        <v>0</v>
      </c>
      <c r="O10423">
        <v>8.4217479999999997E-2</v>
      </c>
      <c r="P10423">
        <v>0.99915710000000002</v>
      </c>
      <c r="Q10423">
        <v>-3.7606689999999998E-2</v>
      </c>
      <c r="R10423">
        <v>1.6464179999999998E-2</v>
      </c>
      <c r="S10423">
        <v>2.9795229999999999</v>
      </c>
      <c r="T10423">
        <v>-0.68687889999999996</v>
      </c>
      <c r="U10423">
        <v>-0.1653442</v>
      </c>
      <c r="V10423">
        <v>6.7744879999999993E-2</v>
      </c>
      <c r="W10423">
        <v>-2.3878529999999999E-2</v>
      </c>
      <c r="X10423">
        <v>0.99741690000000005</v>
      </c>
      <c r="Y10423">
        <v>0.13360849999999999</v>
      </c>
      <c r="Z10423">
        <v>-3.4335039999999997E-2</v>
      </c>
      <c r="AA10423">
        <v>0.99043919999999996</v>
      </c>
      <c r="AB10423">
        <v>24</v>
      </c>
      <c r="AC10423">
        <v>0.486800000000016</v>
      </c>
      <c r="AD10423">
        <v>-0.16658399999999901</v>
      </c>
      <c r="AE10423">
        <v>-6.0399999999987103E-2</v>
      </c>
      <c r="AF10423">
        <v>9.0723484770018403E-2</v>
      </c>
      <c r="AG10423">
        <v>-0.16658399999999901</v>
      </c>
      <c r="AH10423">
        <v>0.43035190623098302</v>
      </c>
      <c r="AI10423">
        <v>110.74482833537201</v>
      </c>
      <c r="AJ10423">
        <v>78.095651366081995</v>
      </c>
      <c r="AK10423">
        <v>0.47030175732337698</v>
      </c>
      <c r="AL10423">
        <v>91.368269021194607</v>
      </c>
      <c r="AM10423">
        <v>86.114419650559796</v>
      </c>
      <c r="AN10423">
        <v>1.0000000126833899</v>
      </c>
    </row>
    <row r="10424" spans="1:40" x14ac:dyDescent="0.25">
      <c r="A10424" t="str">
        <f>"20190312154156639"</f>
        <v>20190312154156639</v>
      </c>
      <c r="B10424" t="str">
        <f>"1552376516626676"</f>
        <v>1552376516626676</v>
      </c>
      <c r="C10424" t="s">
        <v>40</v>
      </c>
      <c r="D10424">
        <v>3.9668070000000002</v>
      </c>
      <c r="E10424">
        <v>0.52690319999999902</v>
      </c>
      <c r="F10424" t="s">
        <v>41</v>
      </c>
      <c r="G10424">
        <v>-154.982</v>
      </c>
      <c r="H10424">
        <v>0.94798419999999906</v>
      </c>
      <c r="I10424">
        <v>136.93770000000001</v>
      </c>
      <c r="J10424">
        <v>-155.44409999999999</v>
      </c>
      <c r="K10424">
        <v>1.1097939999999999</v>
      </c>
      <c r="L10424">
        <v>136.99590000000001</v>
      </c>
      <c r="M10424">
        <v>0.99636619999999998</v>
      </c>
      <c r="N10424">
        <v>0</v>
      </c>
      <c r="O10424">
        <v>8.4053069999999994E-2</v>
      </c>
      <c r="P10424">
        <v>0.9991717</v>
      </c>
      <c r="Q10424">
        <v>-3.6925439999999997E-2</v>
      </c>
      <c r="R10424">
        <v>1.711116E-2</v>
      </c>
      <c r="S10424">
        <v>2.979279</v>
      </c>
      <c r="T10424">
        <v>-0.68886499999999995</v>
      </c>
      <c r="U10424">
        <v>-0.16267400000000001</v>
      </c>
      <c r="V10424">
        <v>6.6933610000000004E-2</v>
      </c>
      <c r="W10424">
        <v>-2.3208240000000002E-2</v>
      </c>
      <c r="X10424">
        <v>0.99748749999999997</v>
      </c>
      <c r="Y10424">
        <v>0.1325625</v>
      </c>
      <c r="Z10424">
        <v>-3.4278450000000002E-2</v>
      </c>
      <c r="AA10424">
        <v>0.99058179999999996</v>
      </c>
      <c r="AB10424">
        <v>24</v>
      </c>
      <c r="AC10424">
        <v>0.46209999999999202</v>
      </c>
      <c r="AD10424">
        <v>-0.1618098</v>
      </c>
      <c r="AE10424">
        <v>-5.8199999999999301E-2</v>
      </c>
      <c r="AF10424">
        <v>8.6409137218161305E-2</v>
      </c>
      <c r="AG10424">
        <v>-0.1618098</v>
      </c>
      <c r="AH10424">
        <v>0.40650718882591502</v>
      </c>
      <c r="AI10424">
        <v>111.273454279303</v>
      </c>
      <c r="AJ10424">
        <v>77.999545965930196</v>
      </c>
      <c r="AK10424">
        <v>0.44597874942420201</v>
      </c>
      <c r="AL10424">
        <v>91.329853572905904</v>
      </c>
      <c r="AM10424">
        <v>86.161081835882399</v>
      </c>
      <c r="AN10424">
        <v>1.00000002160388</v>
      </c>
    </row>
    <row r="10425" spans="1:40" x14ac:dyDescent="0.25">
      <c r="A10425" t="str">
        <f>"20190312154156660"</f>
        <v>20190312154156660</v>
      </c>
      <c r="B10425" t="str">
        <f>"1552376516656938"</f>
        <v>1552376516656938</v>
      </c>
      <c r="C10425" t="s">
        <v>40</v>
      </c>
      <c r="D10425">
        <v>3.9653369999999999</v>
      </c>
      <c r="E10425">
        <v>0.52736159999999999</v>
      </c>
      <c r="F10425" t="s">
        <v>41</v>
      </c>
      <c r="G10425">
        <v>-154.5753</v>
      </c>
      <c r="H10425">
        <v>0.9089448</v>
      </c>
      <c r="I10425">
        <v>136.94829999999999</v>
      </c>
      <c r="J10425">
        <v>-155.21129999999999</v>
      </c>
      <c r="K10425">
        <v>1.109728</v>
      </c>
      <c r="L10425">
        <v>137.0153</v>
      </c>
      <c r="M10425">
        <v>0.9963881</v>
      </c>
      <c r="N10425">
        <v>0</v>
      </c>
      <c r="O10425">
        <v>8.3792489999999997E-2</v>
      </c>
      <c r="P10425">
        <v>0.99919970000000002</v>
      </c>
      <c r="Q10425">
        <v>-3.6230070000000003E-2</v>
      </c>
      <c r="R10425">
        <v>1.695609E-2</v>
      </c>
      <c r="S10425">
        <v>2.9798279999999999</v>
      </c>
      <c r="T10425">
        <v>-0.68887449999999995</v>
      </c>
      <c r="U10425">
        <v>-0.1630402</v>
      </c>
      <c r="V10425">
        <v>6.682631E-2</v>
      </c>
      <c r="W10425">
        <v>-2.2525710000000001E-2</v>
      </c>
      <c r="X10425">
        <v>0.99751029999999996</v>
      </c>
      <c r="Y10425">
        <v>0.1324273</v>
      </c>
      <c r="Z10425">
        <v>-3.4197940000000003E-2</v>
      </c>
      <c r="AA10425">
        <v>0.9906026</v>
      </c>
      <c r="AB10425">
        <v>24</v>
      </c>
      <c r="AC10425">
        <v>0.63599999999999501</v>
      </c>
      <c r="AD10425">
        <v>-0.2007832</v>
      </c>
      <c r="AE10425">
        <v>-6.7000000000007207E-2</v>
      </c>
      <c r="AF10425">
        <v>0.109288750296739</v>
      </c>
      <c r="AG10425">
        <v>-0.2007832</v>
      </c>
      <c r="AH10425">
        <v>0.57178690410330701</v>
      </c>
      <c r="AI10425">
        <v>109.029657912239</v>
      </c>
      <c r="AJ10425">
        <v>79.179255928845905</v>
      </c>
      <c r="AK10425">
        <v>0.61579070149500204</v>
      </c>
      <c r="AL10425">
        <v>91.290737308795698</v>
      </c>
      <c r="AM10425">
        <v>86.167304919651201</v>
      </c>
      <c r="AN10425">
        <v>0.99999998096265397</v>
      </c>
    </row>
    <row r="10426" spans="1:40" x14ac:dyDescent="0.25">
      <c r="A10426" t="str">
        <f>"20190312154156683"</f>
        <v>20190312154156683</v>
      </c>
      <c r="B10426" t="str">
        <f>"1552376516676452"</f>
        <v>1552376516676452</v>
      </c>
      <c r="C10426" t="s">
        <v>40</v>
      </c>
      <c r="D10426">
        <v>3.9293439999999999</v>
      </c>
      <c r="E10426">
        <v>0.5275434</v>
      </c>
      <c r="F10426" t="s">
        <v>41</v>
      </c>
      <c r="G10426">
        <v>-154.36269999999999</v>
      </c>
      <c r="H10426">
        <v>0.91393849999999999</v>
      </c>
      <c r="I10426">
        <v>136.96770000000001</v>
      </c>
      <c r="J10426">
        <v>-154.97569999999999</v>
      </c>
      <c r="K10426">
        <v>1.1096680000000001</v>
      </c>
      <c r="L10426">
        <v>137.03469999999999</v>
      </c>
      <c r="M10426">
        <v>0.9964172</v>
      </c>
      <c r="N10426">
        <v>0</v>
      </c>
      <c r="O10426">
        <v>8.3445549999999993E-2</v>
      </c>
      <c r="P10426">
        <v>0.9992181</v>
      </c>
      <c r="Q10426">
        <v>-3.5955969999999997E-2</v>
      </c>
      <c r="R10426">
        <v>1.645595E-2</v>
      </c>
      <c r="S10426">
        <v>2.9803009999999999</v>
      </c>
      <c r="T10426">
        <v>-0.68764590000000003</v>
      </c>
      <c r="U10426">
        <v>-0.16650390000000001</v>
      </c>
      <c r="V10426">
        <v>6.6975290000000007E-2</v>
      </c>
      <c r="W10426">
        <v>-2.2264610000000001E-2</v>
      </c>
      <c r="X10426">
        <v>0.99750620000000001</v>
      </c>
      <c r="Y10426">
        <v>0.13323180000000001</v>
      </c>
      <c r="Z10426">
        <v>-3.4145109999999999E-2</v>
      </c>
      <c r="AA10426">
        <v>0.99049659999999995</v>
      </c>
      <c r="AB10426">
        <v>24</v>
      </c>
      <c r="AC10426">
        <v>0.61299999999999899</v>
      </c>
      <c r="AD10426">
        <v>-0.1957295</v>
      </c>
      <c r="AE10426">
        <v>-6.6999999999978799E-2</v>
      </c>
      <c r="AF10426">
        <v>0.107130160210143</v>
      </c>
      <c r="AG10426">
        <v>-0.1957295</v>
      </c>
      <c r="AH10426">
        <v>0.54987204916778598</v>
      </c>
      <c r="AI10426">
        <v>109.258671469153</v>
      </c>
      <c r="AJ10426">
        <v>78.975316432405506</v>
      </c>
      <c r="AK10426">
        <v>0.59341905838360198</v>
      </c>
      <c r="AL10426">
        <v>91.2757735895769</v>
      </c>
      <c r="AM10426">
        <v>86.1587702672185</v>
      </c>
      <c r="AN10426">
        <v>1.0000000106837299</v>
      </c>
    </row>
    <row r="10427" spans="1:40" x14ac:dyDescent="0.25">
      <c r="A10427" t="str">
        <f>"20190312154156705"</f>
        <v>20190312154156705</v>
      </c>
      <c r="B10427" t="str">
        <f>"1552376516695972"</f>
        <v>1552376516695972</v>
      </c>
      <c r="C10427" t="s">
        <v>40</v>
      </c>
      <c r="D10427">
        <v>3.8989389999999999</v>
      </c>
      <c r="E10427">
        <v>0.52763389999999999</v>
      </c>
      <c r="F10427" t="s">
        <v>41</v>
      </c>
      <c r="G10427">
        <v>-154.15</v>
      </c>
      <c r="H10427">
        <v>0.91957029999999995</v>
      </c>
      <c r="I10427">
        <v>136.98779999999999</v>
      </c>
      <c r="J10427">
        <v>-154.7372</v>
      </c>
      <c r="K10427">
        <v>1.109612</v>
      </c>
      <c r="L10427">
        <v>137.05430000000001</v>
      </c>
      <c r="M10427">
        <v>0.99645439999999996</v>
      </c>
      <c r="N10427">
        <v>0</v>
      </c>
      <c r="O10427">
        <v>8.3000690000000002E-2</v>
      </c>
      <c r="P10427">
        <v>0.99925419999999998</v>
      </c>
      <c r="Q10427">
        <v>-3.5404709999999999E-2</v>
      </c>
      <c r="R10427">
        <v>1.541383E-2</v>
      </c>
      <c r="S10427">
        <v>2.9804379999999999</v>
      </c>
      <c r="T10427">
        <v>-0.68615380000000004</v>
      </c>
      <c r="U10427">
        <v>-0.16896059999999999</v>
      </c>
      <c r="V10427">
        <v>6.7568929999999999E-2</v>
      </c>
      <c r="W10427">
        <v>-2.172694E-2</v>
      </c>
      <c r="X10427">
        <v>0.99747799999999998</v>
      </c>
      <c r="Y10427">
        <v>0.1336273</v>
      </c>
      <c r="Z10427">
        <v>-3.4014809999999999E-2</v>
      </c>
      <c r="AA10427">
        <v>0.99044779999999999</v>
      </c>
      <c r="AB10427">
        <v>24</v>
      </c>
      <c r="AC10427">
        <v>0.58719999999999495</v>
      </c>
      <c r="AD10427">
        <v>-0.19004169999999901</v>
      </c>
      <c r="AE10427">
        <v>-6.6500000000019099E-2</v>
      </c>
      <c r="AF10427">
        <v>0.104233613886797</v>
      </c>
      <c r="AG10427">
        <v>-0.19004169999999901</v>
      </c>
      <c r="AH10427">
        <v>0.52532588057645402</v>
      </c>
      <c r="AI10427">
        <v>109.536828320824</v>
      </c>
      <c r="AJ10427">
        <v>78.777301797687201</v>
      </c>
      <c r="AK10427">
        <v>0.56828494156208198</v>
      </c>
      <c r="AL10427">
        <v>91.244959938130094</v>
      </c>
      <c r="AM10427">
        <v>86.124717328008103</v>
      </c>
      <c r="AN10427">
        <v>0.99999999035355402</v>
      </c>
    </row>
    <row r="10428" spans="1:40" x14ac:dyDescent="0.25">
      <c r="A10428" t="str">
        <f>"20190312154156728"</f>
        <v>20190312154156728</v>
      </c>
      <c r="B10428" t="str">
        <f>"1552376516716468"</f>
        <v>1552376516716468</v>
      </c>
      <c r="C10428" t="s">
        <v>40</v>
      </c>
      <c r="D10428">
        <v>3.8864709999999998</v>
      </c>
      <c r="E10428">
        <v>0.51648870000000002</v>
      </c>
      <c r="F10428" t="s">
        <v>41</v>
      </c>
      <c r="G10428">
        <v>-153.93719999999999</v>
      </c>
      <c r="H10428">
        <v>0.92571150000000002</v>
      </c>
      <c r="I10428">
        <v>137.00790000000001</v>
      </c>
      <c r="J10428">
        <v>-154.505</v>
      </c>
      <c r="K10428">
        <v>1.109553</v>
      </c>
      <c r="L10428">
        <v>137.07299999999901</v>
      </c>
      <c r="M10428">
        <v>0.99649929999999998</v>
      </c>
      <c r="N10428">
        <v>0</v>
      </c>
      <c r="O10428">
        <v>8.2460809999999996E-2</v>
      </c>
      <c r="P10428">
        <v>0.99927770000000005</v>
      </c>
      <c r="Q10428">
        <v>-3.5057020000000001E-2</v>
      </c>
      <c r="R10428">
        <v>1.468378E-2</v>
      </c>
      <c r="S10428">
        <v>2.9806210000000002</v>
      </c>
      <c r="T10428">
        <v>-0.68523599999999996</v>
      </c>
      <c r="U10428">
        <v>-0.17239380000000001</v>
      </c>
      <c r="V10428">
        <v>6.7754780000000001E-2</v>
      </c>
      <c r="W10428">
        <v>-2.1392339999999999E-2</v>
      </c>
      <c r="X10428">
        <v>0.99747260000000004</v>
      </c>
      <c r="Y10428">
        <v>0.13423850000000001</v>
      </c>
      <c r="Z10428">
        <v>-3.3914619999999999E-2</v>
      </c>
      <c r="AA10428">
        <v>0.99036849999999998</v>
      </c>
      <c r="AB10428">
        <v>24</v>
      </c>
      <c r="AC10428">
        <v>0.56780000000000497</v>
      </c>
      <c r="AD10428">
        <v>-0.18384149999999999</v>
      </c>
      <c r="AE10428">
        <v>-6.5099999999972596E-2</v>
      </c>
      <c r="AF10428">
        <v>0.101229471021552</v>
      </c>
      <c r="AG10428">
        <v>-0.18384149999999999</v>
      </c>
      <c r="AH10428">
        <v>0.50793945183939604</v>
      </c>
      <c r="AI10428">
        <v>109.54259244415</v>
      </c>
      <c r="AJ10428">
        <v>78.728947651757693</v>
      </c>
      <c r="AK10428">
        <v>0.54958856398260303</v>
      </c>
      <c r="AL10428">
        <v>91.225784343899704</v>
      </c>
      <c r="AM10428">
        <v>86.114069907116402</v>
      </c>
      <c r="AN10428">
        <v>0.99999996508714095</v>
      </c>
    </row>
    <row r="10429" spans="1:40" x14ac:dyDescent="0.25">
      <c r="A10429" t="str">
        <f>"20190312154156750"</f>
        <v>20190312154156750</v>
      </c>
      <c r="B10429" t="str">
        <f>"1552376516735988"</f>
        <v>1552376516735988</v>
      </c>
      <c r="C10429" t="s">
        <v>40</v>
      </c>
      <c r="D10429">
        <v>3.9438909999999998</v>
      </c>
      <c r="E10429">
        <v>0.51088529999999999</v>
      </c>
      <c r="F10429" t="s">
        <v>41</v>
      </c>
      <c r="G10429">
        <v>-153.69759999999999</v>
      </c>
      <c r="H10429">
        <v>0.99174989999999996</v>
      </c>
      <c r="I10429">
        <v>137.0496</v>
      </c>
      <c r="J10429">
        <v>-154.2697</v>
      </c>
      <c r="K10429">
        <v>1.1094809999999999</v>
      </c>
      <c r="L10429">
        <v>137.09180000000001</v>
      </c>
      <c r="M10429">
        <v>0.9965543</v>
      </c>
      <c r="N10429">
        <v>0</v>
      </c>
      <c r="O10429">
        <v>8.1792770000000001E-2</v>
      </c>
      <c r="P10429">
        <v>0.99927279999999996</v>
      </c>
      <c r="Q10429">
        <v>-3.5353330000000002E-2</v>
      </c>
      <c r="R10429">
        <v>1.429512E-2</v>
      </c>
      <c r="S10429">
        <v>2.9881289999999998</v>
      </c>
      <c r="T10429">
        <v>-0.43597540000000001</v>
      </c>
      <c r="U10429">
        <v>-8.6212159999999996E-2</v>
      </c>
      <c r="V10429">
        <v>6.7469070000000006E-2</v>
      </c>
      <c r="W10429">
        <v>-2.1702280000000001E-2</v>
      </c>
      <c r="X10429">
        <v>0.99748530000000002</v>
      </c>
      <c r="Y10429">
        <v>0.1084965</v>
      </c>
      <c r="Z10429">
        <v>-1.973476E-2</v>
      </c>
      <c r="AA10429">
        <v>0.99390089999999998</v>
      </c>
      <c r="AB10429">
        <v>24</v>
      </c>
      <c r="AC10429">
        <v>0.57210000000000505</v>
      </c>
      <c r="AD10429">
        <v>-0.11773109999999901</v>
      </c>
      <c r="AE10429">
        <v>-4.2200000000008203E-2</v>
      </c>
      <c r="AF10429">
        <v>8.5265331064945299E-2</v>
      </c>
      <c r="AG10429">
        <v>-0.11773109999999901</v>
      </c>
      <c r="AH10429">
        <v>0.54382517607856395</v>
      </c>
      <c r="AI10429">
        <v>102.07221292908601</v>
      </c>
      <c r="AJ10429">
        <v>81.089245691144498</v>
      </c>
      <c r="AK10429">
        <v>0.56291794315486599</v>
      </c>
      <c r="AL10429">
        <v>91.243546686379204</v>
      </c>
      <c r="AM10429">
        <v>86.130455421861299</v>
      </c>
      <c r="AN10429">
        <v>0.99999999403997597</v>
      </c>
    </row>
    <row r="10430" spans="1:40" x14ac:dyDescent="0.25">
      <c r="A10430" t="str">
        <f>"20190312154156776"</f>
        <v>20190312154156776</v>
      </c>
      <c r="B10430" t="str">
        <f>"1552376516766244"</f>
        <v>1552376516766244</v>
      </c>
      <c r="C10430" t="s">
        <v>40</v>
      </c>
      <c r="D10430">
        <v>3.915692</v>
      </c>
      <c r="E10430">
        <v>0.50808750000000003</v>
      </c>
      <c r="F10430" t="s">
        <v>41</v>
      </c>
      <c r="G10430">
        <v>-153.47219999999999</v>
      </c>
      <c r="H10430">
        <v>1.02562999999999</v>
      </c>
      <c r="I10430">
        <v>137.08019999999999</v>
      </c>
      <c r="J10430">
        <v>-154.00360000000001</v>
      </c>
      <c r="K10430">
        <v>1.109375</v>
      </c>
      <c r="L10430">
        <v>137.11269999999999</v>
      </c>
      <c r="M10430">
        <v>0.99662859999999998</v>
      </c>
      <c r="N10430">
        <v>0</v>
      </c>
      <c r="O10430">
        <v>8.0883300000000005E-2</v>
      </c>
      <c r="P10430">
        <v>0.99926789999999999</v>
      </c>
      <c r="Q10430">
        <v>-3.5701070000000001E-2</v>
      </c>
      <c r="R10430">
        <v>1.3758640000000001E-2</v>
      </c>
      <c r="S10430">
        <v>2.9916689999999999</v>
      </c>
      <c r="T10430">
        <v>-0.31461329999999998</v>
      </c>
      <c r="U10430">
        <v>-4.3167110000000002E-2</v>
      </c>
      <c r="V10430">
        <v>6.7087800000000003E-2</v>
      </c>
      <c r="W10430">
        <v>-2.2067170000000001E-2</v>
      </c>
      <c r="X10430">
        <v>0.99750300000000003</v>
      </c>
      <c r="Y10430">
        <v>9.4297469999999994E-2</v>
      </c>
      <c r="Z10430">
        <v>-1.3421600000000001E-2</v>
      </c>
      <c r="AA10430">
        <v>0.99545360000000005</v>
      </c>
      <c r="AB10430">
        <v>24</v>
      </c>
      <c r="AC10430">
        <v>0.53140000000001897</v>
      </c>
      <c r="AD10430">
        <v>-8.3745000000000097E-2</v>
      </c>
      <c r="AE10430">
        <v>-3.2499999999998801E-2</v>
      </c>
      <c r="AF10430">
        <v>7.3558879925382695E-2</v>
      </c>
      <c r="AG10430">
        <v>-8.3745000000000097E-2</v>
      </c>
      <c r="AH10430">
        <v>0.51430416898646703</v>
      </c>
      <c r="AI10430">
        <v>99.156817406595295</v>
      </c>
      <c r="AJ10430">
        <v>81.860415270580603</v>
      </c>
      <c r="AK10430">
        <v>0.52624415633595201</v>
      </c>
      <c r="AL10430">
        <v>91.264458364689602</v>
      </c>
      <c r="AM10430">
        <v>86.152324548219099</v>
      </c>
      <c r="AN10430">
        <v>0.99999998395482403</v>
      </c>
    </row>
    <row r="10431" spans="1:40" x14ac:dyDescent="0.25">
      <c r="A10431" t="str">
        <f>"20190312154156795"</f>
        <v>20190312154156795</v>
      </c>
      <c r="B10431" t="str">
        <f>"1552376516786740"</f>
        <v>1552376516786740</v>
      </c>
      <c r="C10431" t="s">
        <v>40</v>
      </c>
      <c r="D10431">
        <v>3.9440050000000002</v>
      </c>
      <c r="E10431">
        <v>0.50749350000000004</v>
      </c>
      <c r="F10431" t="s">
        <v>41</v>
      </c>
      <c r="G10431">
        <v>-153.24629999999999</v>
      </c>
      <c r="H10431">
        <v>1.052783</v>
      </c>
      <c r="I10431">
        <v>137.1069</v>
      </c>
      <c r="J10431">
        <v>-153.80070000000001</v>
      </c>
      <c r="K10431">
        <v>1.109286</v>
      </c>
      <c r="L10431">
        <v>137.1283</v>
      </c>
      <c r="M10431">
        <v>0.9966952</v>
      </c>
      <c r="N10431">
        <v>0</v>
      </c>
      <c r="O10431">
        <v>8.005872E-2</v>
      </c>
      <c r="P10431">
        <v>0.99925419999999998</v>
      </c>
      <c r="Q10431">
        <v>-3.6112819999999997E-2</v>
      </c>
      <c r="R10431">
        <v>1.368517E-2</v>
      </c>
      <c r="S10431">
        <v>2.9945369999999998</v>
      </c>
      <c r="T10431">
        <v>-0.22378439999999999</v>
      </c>
      <c r="U10431">
        <v>-2.2689819999999999E-2</v>
      </c>
      <c r="V10431">
        <v>6.6329659999999999E-2</v>
      </c>
      <c r="W10431">
        <v>-2.2492080000000001E-2</v>
      </c>
      <c r="X10431">
        <v>0.99754419999999999</v>
      </c>
      <c r="Y10431">
        <v>8.7150569999999997E-2</v>
      </c>
      <c r="Z10431">
        <v>-9.222493E-3</v>
      </c>
      <c r="AA10431">
        <v>0.9961525</v>
      </c>
      <c r="AB10431">
        <v>24</v>
      </c>
      <c r="AC10431">
        <v>0.55440000000001499</v>
      </c>
      <c r="AD10431">
        <v>-5.6502999999999901E-2</v>
      </c>
      <c r="AE10431">
        <v>-2.1399999999999801E-2</v>
      </c>
      <c r="AF10431">
        <v>6.5045420069675203E-2</v>
      </c>
      <c r="AG10431">
        <v>-5.6502999999999901E-2</v>
      </c>
      <c r="AH10431">
        <v>0.54525151709625197</v>
      </c>
      <c r="AI10431">
        <v>95.874934237624302</v>
      </c>
      <c r="AJ10431">
        <v>83.197087280601707</v>
      </c>
      <c r="AK10431">
        <v>0.55201694953760705</v>
      </c>
      <c r="AL10431">
        <v>91.288809972096402</v>
      </c>
      <c r="AM10431">
        <v>86.195834277186094</v>
      </c>
      <c r="AN10431">
        <v>0.99999997420604003</v>
      </c>
    </row>
    <row r="10432" spans="1:40" x14ac:dyDescent="0.25">
      <c r="A10432" t="str">
        <f>"20190312154156817"</f>
        <v>20190312154156817</v>
      </c>
      <c r="B10432" t="str">
        <f>"1552376516806261"</f>
        <v>1552376516806261</v>
      </c>
      <c r="C10432" t="s">
        <v>40</v>
      </c>
      <c r="D10432">
        <v>3.9488970000000001</v>
      </c>
      <c r="E10432">
        <v>0.50713620000000004</v>
      </c>
      <c r="F10432" t="s">
        <v>42</v>
      </c>
      <c r="G10432">
        <v>-136.97919999999999</v>
      </c>
      <c r="H10432" s="1">
        <v>-1.737779E-6</v>
      </c>
      <c r="I10432">
        <v>137.02539999999999</v>
      </c>
      <c r="J10432">
        <v>-153.56819999999999</v>
      </c>
      <c r="K10432">
        <v>1.1091789999999999</v>
      </c>
      <c r="L10432">
        <v>137.14580000000001</v>
      </c>
      <c r="M10432">
        <v>0.99678160000000005</v>
      </c>
      <c r="N10432">
        <v>0</v>
      </c>
      <c r="O10432">
        <v>7.897411E-2</v>
      </c>
      <c r="P10432">
        <v>0.99925419999999998</v>
      </c>
      <c r="Q10432">
        <v>-3.6439729999999997E-2</v>
      </c>
      <c r="R10432">
        <v>1.277849E-2</v>
      </c>
      <c r="S10432">
        <v>2.9953460000000001</v>
      </c>
      <c r="T10432">
        <v>-0.19752690000000001</v>
      </c>
      <c r="U10432">
        <v>-1.8310549999999998E-2</v>
      </c>
      <c r="V10432">
        <v>6.6141889999999995E-2</v>
      </c>
      <c r="W10432">
        <v>-2.2836639999999998E-2</v>
      </c>
      <c r="X10432">
        <v>0.99754889999999996</v>
      </c>
      <c r="Y10432">
        <v>8.4718589999999996E-2</v>
      </c>
      <c r="Z10432">
        <v>-7.98926199999999E-3</v>
      </c>
      <c r="AA10432">
        <v>0.99637290000000001</v>
      </c>
      <c r="AB10432">
        <v>23</v>
      </c>
      <c r="AC10432">
        <v>16.588999999999999</v>
      </c>
      <c r="AD10432">
        <v>-1.1091807377789999</v>
      </c>
      <c r="AE10432">
        <v>-0.12040000000001699</v>
      </c>
      <c r="AF10432">
        <v>1.42388430221903</v>
      </c>
      <c r="AG10432">
        <v>-1.1091807377789999</v>
      </c>
      <c r="AH10432">
        <v>16.454112203454599</v>
      </c>
      <c r="AI10432">
        <v>93.842189241589395</v>
      </c>
      <c r="AJ10432">
        <v>85.054134562169196</v>
      </c>
      <c r="AK10432">
        <v>16.552810541386599</v>
      </c>
      <c r="AL10432">
        <v>91.308556799548398</v>
      </c>
      <c r="AM10432">
        <v>86.206589672125503</v>
      </c>
      <c r="AN10432">
        <v>1.00000003481523</v>
      </c>
    </row>
    <row r="10433" spans="1:40" x14ac:dyDescent="0.25">
      <c r="A10433" t="str">
        <f>"20190312154156839"</f>
        <v>20190312154156839</v>
      </c>
      <c r="B10433" t="str">
        <f>"1552376516826756"</f>
        <v>1552376516826756</v>
      </c>
      <c r="C10433" t="s">
        <v>40</v>
      </c>
      <c r="D10433">
        <v>3.9514849999999999</v>
      </c>
      <c r="E10433">
        <v>0.50701649999999998</v>
      </c>
      <c r="F10433" t="s">
        <v>41</v>
      </c>
      <c r="G10433">
        <v>-152.6183</v>
      </c>
      <c r="H10433">
        <v>1.0517479999999999</v>
      </c>
      <c r="I10433">
        <v>137.13990000000001</v>
      </c>
      <c r="J10433">
        <v>-153.33619999999999</v>
      </c>
      <c r="K10433">
        <v>1.1090709999999999</v>
      </c>
      <c r="L10433">
        <v>137.1627</v>
      </c>
      <c r="M10433">
        <v>0.99688049999999995</v>
      </c>
      <c r="N10433">
        <v>0</v>
      </c>
      <c r="O10433">
        <v>7.7716999999999994E-2</v>
      </c>
      <c r="P10433">
        <v>0.99923960000000001</v>
      </c>
      <c r="Q10433">
        <v>-3.7484030000000002E-2</v>
      </c>
      <c r="R10433">
        <v>1.073387E-2</v>
      </c>
      <c r="S10433">
        <v>2.9958650000000002</v>
      </c>
      <c r="T10433">
        <v>-0.18114849999999999</v>
      </c>
      <c r="U10433">
        <v>-1.8096919999999999E-2</v>
      </c>
      <c r="V10433">
        <v>6.6913310000000004E-2</v>
      </c>
      <c r="W10433">
        <v>-2.3901390000000002E-2</v>
      </c>
      <c r="X10433">
        <v>0.99747249999999998</v>
      </c>
      <c r="Y10433">
        <v>8.3451010000000006E-2</v>
      </c>
      <c r="Z10433">
        <v>-7.212736E-3</v>
      </c>
      <c r="AA10433">
        <v>0.99648579999999998</v>
      </c>
      <c r="AB10433">
        <v>23</v>
      </c>
      <c r="AC10433">
        <v>0.71789999999998599</v>
      </c>
      <c r="AD10433">
        <v>-5.7322999999999999E-2</v>
      </c>
      <c r="AE10433">
        <v>-2.2799999999989402E-2</v>
      </c>
      <c r="AF10433">
        <v>7.80323325235069E-2</v>
      </c>
      <c r="AG10433">
        <v>-5.7322999999999999E-2</v>
      </c>
      <c r="AH10433">
        <v>0.70943753116670505</v>
      </c>
      <c r="AI10433">
        <v>94.591925381765293</v>
      </c>
      <c r="AJ10433">
        <v>83.723164005015605</v>
      </c>
      <c r="AK10433">
        <v>0.71601437267415902</v>
      </c>
      <c r="AL10433">
        <v>91.369579155810001</v>
      </c>
      <c r="AM10433">
        <v>86.162185104910606</v>
      </c>
      <c r="AN10433">
        <v>1.00000002787766</v>
      </c>
    </row>
    <row r="10434" spans="1:40" x14ac:dyDescent="0.25">
      <c r="A10434" t="str">
        <f>"20190312154156862"</f>
        <v>20190312154156862</v>
      </c>
      <c r="B10434" t="str">
        <f>"1552376516856036"</f>
        <v>1552376516856036</v>
      </c>
      <c r="C10434" t="s">
        <v>40</v>
      </c>
      <c r="D10434">
        <v>3.8770449999999999</v>
      </c>
      <c r="E10434">
        <v>0.50712309999999905</v>
      </c>
      <c r="F10434" t="s">
        <v>42</v>
      </c>
      <c r="G10434">
        <v>-134.0669</v>
      </c>
      <c r="H10434" s="1">
        <v>-2.9894710000000002E-6</v>
      </c>
      <c r="I10434">
        <v>137.01249999999999</v>
      </c>
      <c r="J10434">
        <v>-153.09960000000001</v>
      </c>
      <c r="K10434">
        <v>1.1089739999999999</v>
      </c>
      <c r="L10434">
        <v>137.17959999999999</v>
      </c>
      <c r="M10434">
        <v>0.99699059999999995</v>
      </c>
      <c r="N10434">
        <v>0</v>
      </c>
      <c r="O10434">
        <v>7.6292209999999999E-2</v>
      </c>
      <c r="P10434">
        <v>0.999247</v>
      </c>
      <c r="Q10434">
        <v>-3.7793920000000002E-2</v>
      </c>
      <c r="R10434">
        <v>8.7761309999999995E-3</v>
      </c>
      <c r="S10434">
        <v>2.996048</v>
      </c>
      <c r="T10434">
        <v>-0.17244119999999999</v>
      </c>
      <c r="U10434">
        <v>-2.336121E-2</v>
      </c>
      <c r="V10434">
        <v>6.7434519999999998E-2</v>
      </c>
      <c r="W10434">
        <v>-2.422873E-2</v>
      </c>
      <c r="X10434">
        <v>0.99742949999999997</v>
      </c>
      <c r="Y10434">
        <v>8.3806690000000003E-2</v>
      </c>
      <c r="Z10434">
        <v>-6.7947009999999898E-3</v>
      </c>
      <c r="AA10434">
        <v>0.99645890000000004</v>
      </c>
      <c r="AB10434">
        <v>23</v>
      </c>
      <c r="AC10434">
        <v>19.032699999999998</v>
      </c>
      <c r="AD10434">
        <v>-1.108976989471</v>
      </c>
      <c r="AE10434">
        <v>-0.167100000000004</v>
      </c>
      <c r="AF10434">
        <v>1.6133201976432301</v>
      </c>
      <c r="AG10434">
        <v>-1.108976989471</v>
      </c>
      <c r="AH10434">
        <v>18.900306829324801</v>
      </c>
      <c r="AI10434">
        <v>93.345844918670196</v>
      </c>
      <c r="AJ10434">
        <v>85.121089255983605</v>
      </c>
      <c r="AK10434">
        <v>19.001427058669101</v>
      </c>
      <c r="AL10434">
        <v>91.388339790713104</v>
      </c>
      <c r="AM10434">
        <v>86.132215238281304</v>
      </c>
      <c r="AN10434">
        <v>1.0000000266576401</v>
      </c>
    </row>
    <row r="10435" spans="1:40" x14ac:dyDescent="0.25">
      <c r="A10435" t="str">
        <f>"20190312154156885"</f>
        <v>20190312154156885</v>
      </c>
      <c r="B10435" t="str">
        <f>"1552376516876532"</f>
        <v>1552376516876532</v>
      </c>
      <c r="C10435" t="s">
        <v>40</v>
      </c>
      <c r="D10435">
        <v>3.9162430000000001</v>
      </c>
      <c r="E10435">
        <v>0.50710149999999998</v>
      </c>
      <c r="F10435" t="s">
        <v>42</v>
      </c>
      <c r="G10435">
        <v>-132.16329999999999</v>
      </c>
      <c r="H10435" s="1">
        <v>-3.8138860000000001E-6</v>
      </c>
      <c r="I10435">
        <v>136.96850000000001</v>
      </c>
      <c r="J10435">
        <v>-152.86439999999999</v>
      </c>
      <c r="K10435">
        <v>1.108886</v>
      </c>
      <c r="L10435">
        <v>137.19579999999999</v>
      </c>
      <c r="M10435">
        <v>0.99710889999999996</v>
      </c>
      <c r="N10435">
        <v>0</v>
      </c>
      <c r="O10435">
        <v>7.4730550000000007E-2</v>
      </c>
      <c r="P10435">
        <v>0.99923589999999995</v>
      </c>
      <c r="Q10435">
        <v>-3.8469099999999999E-2</v>
      </c>
      <c r="R10435">
        <v>6.9380300000000004E-3</v>
      </c>
      <c r="S10435">
        <v>2.996521</v>
      </c>
      <c r="T10435">
        <v>-0.15872310000000001</v>
      </c>
      <c r="U10435">
        <v>-3.02124E-2</v>
      </c>
      <c r="V10435">
        <v>6.7698250000000001E-2</v>
      </c>
      <c r="W10435">
        <v>-2.491898E-2</v>
      </c>
      <c r="X10435">
        <v>0.99739460000000002</v>
      </c>
      <c r="Y10435">
        <v>8.4564399999999901E-2</v>
      </c>
      <c r="Z10435">
        <v>-6.1915399999999997E-3</v>
      </c>
      <c r="AA10435">
        <v>0.99639880000000003</v>
      </c>
      <c r="AB10435">
        <v>23</v>
      </c>
      <c r="AC10435">
        <v>20.7011</v>
      </c>
      <c r="AD10435">
        <v>-1.1088898138859999</v>
      </c>
      <c r="AE10435">
        <v>-0.22729999999998499</v>
      </c>
      <c r="AF10435">
        <v>1.76874064128078</v>
      </c>
      <c r="AG10435">
        <v>-1.1088898138859999</v>
      </c>
      <c r="AH10435">
        <v>20.567207713180402</v>
      </c>
      <c r="AI10435">
        <v>93.074811167793897</v>
      </c>
      <c r="AJ10435">
        <v>85.084765574806397</v>
      </c>
      <c r="AK10435">
        <v>20.672883523895901</v>
      </c>
      <c r="AL10435">
        <v>91.427900189210703</v>
      </c>
      <c r="AM10435">
        <v>86.116999430542705</v>
      </c>
      <c r="AN10435">
        <v>0.99999999836323095</v>
      </c>
    </row>
    <row r="10436" spans="1:40" x14ac:dyDescent="0.25">
      <c r="A10436" t="str">
        <f>"20190312154156906"</f>
        <v>20190312154156906</v>
      </c>
      <c r="B10436" t="str">
        <f>"1552376516896053"</f>
        <v>1552376516896053</v>
      </c>
      <c r="C10436" t="s">
        <v>40</v>
      </c>
      <c r="D10436">
        <v>3.894123</v>
      </c>
      <c r="E10436">
        <v>0.50702329999999995</v>
      </c>
      <c r="F10436" t="s">
        <v>42</v>
      </c>
      <c r="G10436">
        <v>-131.26329999999999</v>
      </c>
      <c r="H10436" s="1">
        <v>-4.2050730000000001E-6</v>
      </c>
      <c r="I10436">
        <v>136.93979999999999</v>
      </c>
      <c r="J10436">
        <v>-152.6354</v>
      </c>
      <c r="K10436">
        <v>1.1088100000000001</v>
      </c>
      <c r="L10436">
        <v>137.21109999999999</v>
      </c>
      <c r="M10436">
        <v>0.99723229999999996</v>
      </c>
      <c r="N10436">
        <v>0</v>
      </c>
      <c r="O10436">
        <v>7.3065480000000002E-2</v>
      </c>
      <c r="P10436">
        <v>0.9992162</v>
      </c>
      <c r="Q10436">
        <v>-3.9157409999999997E-2</v>
      </c>
      <c r="R10436">
        <v>5.8417429999999999E-3</v>
      </c>
      <c r="S10436">
        <v>2.9966279999999998</v>
      </c>
      <c r="T10436">
        <v>-0.15383160000000001</v>
      </c>
      <c r="U10436">
        <v>-3.5507200000000003E-2</v>
      </c>
      <c r="V10436">
        <v>6.7118639999999993E-2</v>
      </c>
      <c r="W10436">
        <v>-2.5618450000000001E-2</v>
      </c>
      <c r="X10436">
        <v>0.99741610000000003</v>
      </c>
      <c r="Y10436">
        <v>8.4676219999999996E-2</v>
      </c>
      <c r="Z10436">
        <v>-5.9183780000000002E-3</v>
      </c>
      <c r="AA10436">
        <v>0.99639089999999997</v>
      </c>
      <c r="AB10436">
        <v>23</v>
      </c>
      <c r="AC10436">
        <v>21.3721</v>
      </c>
      <c r="AD10436">
        <v>-1.1088142050730001</v>
      </c>
      <c r="AE10436">
        <v>-0.27129999999999599</v>
      </c>
      <c r="AF10436">
        <v>1.8273672954225599</v>
      </c>
      <c r="AG10436">
        <v>-1.1088142050730001</v>
      </c>
      <c r="AH10436">
        <v>21.2379835175214</v>
      </c>
      <c r="AI10436">
        <v>92.977660715982793</v>
      </c>
      <c r="AJ10436">
        <v>85.082245020395902</v>
      </c>
      <c r="AK10436">
        <v>21.3452731082144</v>
      </c>
      <c r="AL10436">
        <v>91.467989598820907</v>
      </c>
      <c r="AM10436">
        <v>86.150226729083698</v>
      </c>
      <c r="AN10436">
        <v>1.0000000466775301</v>
      </c>
    </row>
    <row r="10437" spans="1:40" x14ac:dyDescent="0.25">
      <c r="A10437" t="str">
        <f>"20190312154156929"</f>
        <v>20190312154156929</v>
      </c>
      <c r="B10437" t="str">
        <f>"1552376516916548"</f>
        <v>1552376516916548</v>
      </c>
      <c r="C10437" t="s">
        <v>40</v>
      </c>
      <c r="D10437">
        <v>3.8911310000000001</v>
      </c>
      <c r="E10437">
        <v>0.50691589999999997</v>
      </c>
      <c r="F10437" t="s">
        <v>42</v>
      </c>
      <c r="G10437">
        <v>-130.374</v>
      </c>
      <c r="H10437" s="1">
        <v>-4.5889000000000002E-6</v>
      </c>
      <c r="I10437">
        <v>136.92670000000001</v>
      </c>
      <c r="J10437">
        <v>-152.40369999999999</v>
      </c>
      <c r="K10437">
        <v>1.1087279999999999</v>
      </c>
      <c r="L10437">
        <v>137.2261</v>
      </c>
      <c r="M10437">
        <v>0.99736420000000003</v>
      </c>
      <c r="N10437">
        <v>0</v>
      </c>
      <c r="O10437">
        <v>7.1240159999999997E-2</v>
      </c>
      <c r="P10437">
        <v>0.99922569999999999</v>
      </c>
      <c r="Q10437">
        <v>-3.9103739999999998E-2</v>
      </c>
      <c r="R10437">
        <v>4.3669520000000003E-3</v>
      </c>
      <c r="S10437">
        <v>2.9967350000000001</v>
      </c>
      <c r="T10437">
        <v>-0.14926389999999901</v>
      </c>
      <c r="U10437">
        <v>-3.82843E-2</v>
      </c>
      <c r="V10437">
        <v>6.67605E-2</v>
      </c>
      <c r="W10437">
        <v>-2.5576479999999999E-2</v>
      </c>
      <c r="X10437">
        <v>0.99744120000000003</v>
      </c>
      <c r="Y10437">
        <v>8.3790840000000005E-2</v>
      </c>
      <c r="Z10437">
        <v>-5.6299139999999998E-3</v>
      </c>
      <c r="AA10437">
        <v>0.99646749999999995</v>
      </c>
      <c r="AB10437">
        <v>23</v>
      </c>
      <c r="AC10437">
        <v>22.029699999999899</v>
      </c>
      <c r="AD10437">
        <v>-1.1087325888999999</v>
      </c>
      <c r="AE10437">
        <v>-0.29939999999999101</v>
      </c>
      <c r="AF10437">
        <v>1.8634678997351399</v>
      </c>
      <c r="AG10437">
        <v>-1.1087325888999999</v>
      </c>
      <c r="AH10437">
        <v>21.8969299709516</v>
      </c>
      <c r="AI10437">
        <v>92.888225902520901</v>
      </c>
      <c r="AJ10437">
        <v>85.135746922556393</v>
      </c>
      <c r="AK10437">
        <v>22.0040301472206</v>
      </c>
      <c r="AL10437">
        <v>91.465584125338594</v>
      </c>
      <c r="AM10437">
        <v>86.170803624486396</v>
      </c>
      <c r="AN10437">
        <v>1.0000000340734301</v>
      </c>
    </row>
    <row r="10438" spans="1:40" x14ac:dyDescent="0.25">
      <c r="A10438" t="str">
        <f>"20190312154156952"</f>
        <v>20190312154156952</v>
      </c>
      <c r="B10438" t="str">
        <f>"1552376516946804"</f>
        <v>1552376516946804</v>
      </c>
      <c r="C10438" t="s">
        <v>40</v>
      </c>
      <c r="D10438">
        <v>3.8775949999999999</v>
      </c>
      <c r="E10438">
        <v>0.50670919999999997</v>
      </c>
      <c r="F10438" t="s">
        <v>42</v>
      </c>
      <c r="G10438">
        <v>-129.2209</v>
      </c>
      <c r="H10438" s="1">
        <v>-9.7335120000000008E-7</v>
      </c>
      <c r="I10438">
        <v>136.90209999999999</v>
      </c>
      <c r="J10438">
        <v>-152.16550000000001</v>
      </c>
      <c r="K10438">
        <v>1.1086530000000001</v>
      </c>
      <c r="L10438">
        <v>137.24080000000001</v>
      </c>
      <c r="M10438">
        <v>0.99750609999999995</v>
      </c>
      <c r="N10438">
        <v>0</v>
      </c>
      <c r="O10438">
        <v>6.9225969999999998E-2</v>
      </c>
      <c r="P10438">
        <v>0.9992183</v>
      </c>
      <c r="Q10438">
        <v>-3.945763E-2</v>
      </c>
      <c r="R10438">
        <v>2.440036E-3</v>
      </c>
      <c r="S10438">
        <v>2.996902</v>
      </c>
      <c r="T10438">
        <v>-0.14332810000000001</v>
      </c>
      <c r="U10438">
        <v>-4.1870119999999997E-2</v>
      </c>
      <c r="V10438">
        <v>6.666213E-2</v>
      </c>
      <c r="W10438">
        <v>-2.5943730000000002E-2</v>
      </c>
      <c r="X10438">
        <v>0.9974383</v>
      </c>
      <c r="Y10438">
        <v>8.2988119999999999E-2</v>
      </c>
      <c r="Z10438">
        <v>-5.2906730000000001E-3</v>
      </c>
      <c r="AA10438">
        <v>0.99653650000000005</v>
      </c>
      <c r="AB10438">
        <v>23</v>
      </c>
      <c r="AC10438">
        <v>22.944600000000001</v>
      </c>
      <c r="AD10438">
        <v>-1.1086539733512</v>
      </c>
      <c r="AE10438">
        <v>-0.33870000000001699</v>
      </c>
      <c r="AF10438">
        <v>1.9219137793361001</v>
      </c>
      <c r="AG10438">
        <v>-1.1086539733512</v>
      </c>
      <c r="AH10438">
        <v>22.812846978383298</v>
      </c>
      <c r="AI10438">
        <v>92.772453355702993</v>
      </c>
      <c r="AJ10438">
        <v>85.184374388922393</v>
      </c>
      <c r="AK10438">
        <v>22.9204898173438</v>
      </c>
      <c r="AL10438">
        <v>91.486632976681506</v>
      </c>
      <c r="AM10438">
        <v>86.176418021073204</v>
      </c>
      <c r="AN10438">
        <v>1.00000003950466</v>
      </c>
    </row>
    <row r="10439" spans="1:40" x14ac:dyDescent="0.25">
      <c r="A10439" t="str">
        <f>"20190312154156975"</f>
        <v>20190312154156975</v>
      </c>
      <c r="B10439" t="str">
        <f>"1552376516966324"</f>
        <v>1552376516966324</v>
      </c>
      <c r="C10439" t="s">
        <v>40</v>
      </c>
      <c r="D10439">
        <v>3.8624580000000002</v>
      </c>
      <c r="E10439">
        <v>0.50659829999999995</v>
      </c>
      <c r="F10439" t="s">
        <v>42</v>
      </c>
      <c r="G10439">
        <v>-127.80370000000001</v>
      </c>
      <c r="H10439" s="1">
        <v>-1.4651439999999999E-6</v>
      </c>
      <c r="I10439">
        <v>136.8663</v>
      </c>
      <c r="J10439">
        <v>-151.9315</v>
      </c>
      <c r="K10439">
        <v>1.1085830000000001</v>
      </c>
      <c r="L10439">
        <v>137.25470000000001</v>
      </c>
      <c r="M10439">
        <v>0.99765000000000004</v>
      </c>
      <c r="N10439">
        <v>0</v>
      </c>
      <c r="O10439">
        <v>6.7120600000000002E-2</v>
      </c>
      <c r="P10439">
        <v>0.99918450000000003</v>
      </c>
      <c r="Q10439">
        <v>-4.0379239999999997E-2</v>
      </c>
      <c r="R10439">
        <v>-1.7682439999999999E-4</v>
      </c>
      <c r="S10439">
        <v>2.9970699999999999</v>
      </c>
      <c r="T10439">
        <v>-0.13639039999999999</v>
      </c>
      <c r="U10439">
        <v>-4.6066280000000001E-2</v>
      </c>
      <c r="V10439">
        <v>6.7157800000000004E-2</v>
      </c>
      <c r="W10439">
        <v>-2.6880930000000001E-2</v>
      </c>
      <c r="X10439">
        <v>0.99738020000000005</v>
      </c>
      <c r="Y10439">
        <v>8.2298410000000002E-2</v>
      </c>
      <c r="Z10439">
        <v>-4.9232529999999998E-3</v>
      </c>
      <c r="AA10439">
        <v>0.99659560000000003</v>
      </c>
      <c r="AB10439">
        <v>23</v>
      </c>
      <c r="AC10439">
        <v>24.127799999999901</v>
      </c>
      <c r="AD10439">
        <v>-1.108584465144</v>
      </c>
      <c r="AE10439">
        <v>-0.38840000000001801</v>
      </c>
      <c r="AF10439">
        <v>2.0029224517859099</v>
      </c>
      <c r="AG10439">
        <v>-1.108584465144</v>
      </c>
      <c r="AH10439">
        <v>23.996660797154401</v>
      </c>
      <c r="AI10439">
        <v>92.635885351995199</v>
      </c>
      <c r="AJ10439">
        <v>85.228768881732407</v>
      </c>
      <c r="AK10439">
        <v>24.1056090418374</v>
      </c>
      <c r="AL10439">
        <v>91.540349368033304</v>
      </c>
      <c r="AM10439">
        <v>86.1478491271953</v>
      </c>
      <c r="AN10439">
        <v>1.0000000089252701</v>
      </c>
    </row>
    <row r="10440" spans="1:40" x14ac:dyDescent="0.25">
      <c r="A10440" t="str">
        <f>"20190312154156999"</f>
        <v>20190312154156999</v>
      </c>
      <c r="B10440" t="str">
        <f>"1552376516986823"</f>
        <v>1552376516986823</v>
      </c>
      <c r="C10440" t="s">
        <v>40</v>
      </c>
      <c r="D10440">
        <v>3.8406560000000001</v>
      </c>
      <c r="E10440">
        <v>0.50654909999999997</v>
      </c>
      <c r="F10440" t="s">
        <v>42</v>
      </c>
      <c r="G10440">
        <v>-127.3339</v>
      </c>
      <c r="H10440" s="1">
        <v>-1.6376030000000001E-6</v>
      </c>
      <c r="I10440">
        <v>136.81909999999999</v>
      </c>
      <c r="J10440">
        <v>-151.67609999999999</v>
      </c>
      <c r="K10440">
        <v>1.1085339999999999</v>
      </c>
      <c r="L10440">
        <v>137.26910000000001</v>
      </c>
      <c r="M10440">
        <v>0.99781089999999995</v>
      </c>
      <c r="N10440">
        <v>0</v>
      </c>
      <c r="O10440">
        <v>6.4684729999999996E-2</v>
      </c>
      <c r="P10440">
        <v>0.99918709999999999</v>
      </c>
      <c r="Q10440">
        <v>-4.0216259999999997E-2</v>
      </c>
      <c r="R10440">
        <v>-2.831053E-3</v>
      </c>
      <c r="S10440">
        <v>2.9969640000000002</v>
      </c>
      <c r="T10440">
        <v>-0.1350692</v>
      </c>
      <c r="U10440">
        <v>-5.3070069999999997E-2</v>
      </c>
      <c r="V10440">
        <v>6.7367640000000006E-2</v>
      </c>
      <c r="W10440">
        <v>-2.6731499999999998E-2</v>
      </c>
      <c r="X10440">
        <v>0.99737010000000004</v>
      </c>
      <c r="Y10440">
        <v>8.2199770000000005E-2</v>
      </c>
      <c r="Z10440">
        <v>-4.7639459999999998E-3</v>
      </c>
      <c r="AA10440">
        <v>0.9966045</v>
      </c>
      <c r="AB10440">
        <v>23</v>
      </c>
      <c r="AC10440">
        <v>24.342199999999899</v>
      </c>
      <c r="AD10440">
        <v>-1.108535637603</v>
      </c>
      <c r="AE10440">
        <v>-0.450000000000017</v>
      </c>
      <c r="AF10440">
        <v>2.0195881779521101</v>
      </c>
      <c r="AG10440">
        <v>-1.108535637603</v>
      </c>
      <c r="AH10440">
        <v>24.211905823969701</v>
      </c>
      <c r="AI10440">
        <v>92.612381512985394</v>
      </c>
      <c r="AJ10440">
        <v>85.2318241330901</v>
      </c>
      <c r="AK10440">
        <v>24.321265824318001</v>
      </c>
      <c r="AL10440">
        <v>91.531784527968497</v>
      </c>
      <c r="AM10440">
        <v>86.135810164774696</v>
      </c>
      <c r="AN10440">
        <v>1.0000000441927099</v>
      </c>
    </row>
    <row r="10441" spans="1:40" x14ac:dyDescent="0.25">
      <c r="A10441" t="str">
        <f>"20190312154157019"</f>
        <v>20190312154157019</v>
      </c>
      <c r="B10441" t="str">
        <f>"1552376517006341"</f>
        <v>1552376517006341</v>
      </c>
      <c r="C10441" t="s">
        <v>40</v>
      </c>
      <c r="D10441">
        <v>3.8569830000000001</v>
      </c>
      <c r="E10441">
        <v>0.50647489999999995</v>
      </c>
      <c r="F10441" t="s">
        <v>42</v>
      </c>
      <c r="G10441">
        <v>-126.36499999999999</v>
      </c>
      <c r="H10441" s="1">
        <v>-2.0489879999999999E-6</v>
      </c>
      <c r="I10441">
        <v>136.75649999999999</v>
      </c>
      <c r="J10441">
        <v>-151.47450000000001</v>
      </c>
      <c r="K10441">
        <v>1.108514</v>
      </c>
      <c r="L10441">
        <v>137.2799</v>
      </c>
      <c r="M10441">
        <v>0.99793920000000003</v>
      </c>
      <c r="N10441">
        <v>0</v>
      </c>
      <c r="O10441">
        <v>6.2673989999999999E-2</v>
      </c>
      <c r="P10441">
        <v>0.99923530000000005</v>
      </c>
      <c r="Q10441">
        <v>-3.8890069999999999E-2</v>
      </c>
      <c r="R10441">
        <v>-4.1236520000000002E-3</v>
      </c>
      <c r="S10441">
        <v>2.9969790000000001</v>
      </c>
      <c r="T10441">
        <v>-0.1312566</v>
      </c>
      <c r="U10441">
        <v>-6.0684200000000001E-2</v>
      </c>
      <c r="V10441">
        <v>6.6653119999999996E-2</v>
      </c>
      <c r="W10441">
        <v>-2.5409359999999999E-2</v>
      </c>
      <c r="X10441">
        <v>0.99745260000000002</v>
      </c>
      <c r="Y10441">
        <v>8.2732280000000005E-2</v>
      </c>
      <c r="Z10441">
        <v>-4.5532680000000001E-3</v>
      </c>
      <c r="AA10441">
        <v>0.99656140000000004</v>
      </c>
      <c r="AB10441">
        <v>23</v>
      </c>
      <c r="AC10441">
        <v>25.109500000000001</v>
      </c>
      <c r="AD10441">
        <v>-1.1085160489879999</v>
      </c>
      <c r="AE10441">
        <v>-0.52340000000000897</v>
      </c>
      <c r="AF10441">
        <v>2.09215656754529</v>
      </c>
      <c r="AG10441">
        <v>-1.1085160489879999</v>
      </c>
      <c r="AH10441">
        <v>24.978658212338502</v>
      </c>
      <c r="AI10441">
        <v>92.5321800462456</v>
      </c>
      <c r="AJ10441">
        <v>85.212208765873996</v>
      </c>
      <c r="AK10441">
        <v>25.090621614914401</v>
      </c>
      <c r="AL10441">
        <v>91.456005818430597</v>
      </c>
      <c r="AM10441">
        <v>86.176987927626399</v>
      </c>
      <c r="AN10441">
        <v>0.99999998161405101</v>
      </c>
    </row>
    <row r="10442" spans="1:40" x14ac:dyDescent="0.25">
      <c r="A10442" t="str">
        <f>"20190312154157041"</f>
        <v>20190312154157041</v>
      </c>
      <c r="B10442" t="str">
        <f>"1552376517036596"</f>
        <v>1552376517036596</v>
      </c>
      <c r="C10442" t="s">
        <v>40</v>
      </c>
      <c r="D10442">
        <v>3.8928060000000002</v>
      </c>
      <c r="E10442">
        <v>0.50625620000000005</v>
      </c>
      <c r="F10442" t="s">
        <v>42</v>
      </c>
      <c r="G10442">
        <v>-124.58029999999999</v>
      </c>
      <c r="H10442" s="1">
        <v>-2.8236099999999998E-6</v>
      </c>
      <c r="I10442">
        <v>136.70570000000001</v>
      </c>
      <c r="J10442">
        <v>-151.24039999999999</v>
      </c>
      <c r="K10442">
        <v>1.108514</v>
      </c>
      <c r="L10442">
        <v>137.29169999999999</v>
      </c>
      <c r="M10442">
        <v>0.99808750000000002</v>
      </c>
      <c r="N10442">
        <v>0</v>
      </c>
      <c r="O10442">
        <v>6.0265180000000002E-2</v>
      </c>
      <c r="P10442">
        <v>0.99923459999999997</v>
      </c>
      <c r="Q10442">
        <v>-3.8605199999999999E-2</v>
      </c>
      <c r="R10442">
        <v>-6.3552349999999999E-3</v>
      </c>
      <c r="S10442">
        <v>2.9972080000000001</v>
      </c>
      <c r="T10442">
        <v>-0.12353790000000001</v>
      </c>
      <c r="U10442">
        <v>-6.3980099999999998E-2</v>
      </c>
      <c r="V10442">
        <v>6.6472569999999995E-2</v>
      </c>
      <c r="W10442">
        <v>-2.5129189999999999E-2</v>
      </c>
      <c r="X10442">
        <v>0.99747169999999996</v>
      </c>
      <c r="Y10442">
        <v>8.1439819999999996E-2</v>
      </c>
      <c r="Z10442">
        <v>-4.1596350000000001E-3</v>
      </c>
      <c r="AA10442">
        <v>0.99666960000000004</v>
      </c>
      <c r="AB10442">
        <v>23</v>
      </c>
      <c r="AC10442">
        <v>26.6601</v>
      </c>
      <c r="AD10442">
        <v>-1.10851682361</v>
      </c>
      <c r="AE10442">
        <v>-0.58599999999998398</v>
      </c>
      <c r="AF10442">
        <v>2.1879817274622</v>
      </c>
      <c r="AG10442">
        <v>-1.10851682361</v>
      </c>
      <c r="AH10442">
        <v>26.53046928509</v>
      </c>
      <c r="AI10442">
        <v>92.384499586443397</v>
      </c>
      <c r="AJ10442">
        <v>85.285456152552797</v>
      </c>
      <c r="AK10442">
        <v>26.6436085032609</v>
      </c>
      <c r="AL10442">
        <v>91.439948198387697</v>
      </c>
      <c r="AM10442">
        <v>86.187385910807095</v>
      </c>
      <c r="AN10442">
        <v>0.99999993552667299</v>
      </c>
    </row>
    <row r="10443" spans="1:40" x14ac:dyDescent="0.25">
      <c r="A10443" t="str">
        <f>"20190312154157062"</f>
        <v>20190312154157062</v>
      </c>
      <c r="B10443" t="str">
        <f>"1552376517056116"</f>
        <v>1552376517056116</v>
      </c>
      <c r="C10443" t="s">
        <v>40</v>
      </c>
      <c r="D10443">
        <v>3.8953340000000001</v>
      </c>
      <c r="E10443">
        <v>0.50649709999999903</v>
      </c>
      <c r="F10443" t="s">
        <v>42</v>
      </c>
      <c r="G10443">
        <v>-123.38209999999999</v>
      </c>
      <c r="H10443" s="1">
        <v>-3.3473300000000001E-6</v>
      </c>
      <c r="I10443">
        <v>136.65110000000001</v>
      </c>
      <c r="J10443">
        <v>-151.01320000000001</v>
      </c>
      <c r="K10443">
        <v>1.108522</v>
      </c>
      <c r="L10443">
        <v>137.30269999999999</v>
      </c>
      <c r="M10443">
        <v>0.99822840000000002</v>
      </c>
      <c r="N10443">
        <v>0</v>
      </c>
      <c r="O10443">
        <v>5.7883299999999999E-2</v>
      </c>
      <c r="P10443">
        <v>0.99919420000000003</v>
      </c>
      <c r="Q10443">
        <v>-3.9144459999999999E-2</v>
      </c>
      <c r="R10443">
        <v>-8.8822399999999996E-3</v>
      </c>
      <c r="S10443">
        <v>2.9972530000000002</v>
      </c>
      <c r="T10443">
        <v>-0.1192645</v>
      </c>
      <c r="U10443">
        <v>-6.8923949999999998E-2</v>
      </c>
      <c r="V10443">
        <v>6.6610539999999996E-2</v>
      </c>
      <c r="W10443">
        <v>-2.567206E-2</v>
      </c>
      <c r="X10443">
        <v>0.99744869999999997</v>
      </c>
      <c r="Y10443">
        <v>8.0714939999999999E-2</v>
      </c>
      <c r="Z10443">
        <v>-3.9066969999999998E-3</v>
      </c>
      <c r="AA10443">
        <v>0.99672959999999999</v>
      </c>
      <c r="AB10443">
        <v>23</v>
      </c>
      <c r="AC10443">
        <v>27.6311</v>
      </c>
      <c r="AD10443">
        <v>-1.1085253473299901</v>
      </c>
      <c r="AE10443">
        <v>-0.65159999999997298</v>
      </c>
      <c r="AF10443">
        <v>2.2464245295822001</v>
      </c>
      <c r="AG10443">
        <v>-1.1085253473299901</v>
      </c>
      <c r="AH10443">
        <v>27.5028018058496</v>
      </c>
      <c r="AI10443">
        <v>92.300456129524804</v>
      </c>
      <c r="AJ10443">
        <v>85.330455761197797</v>
      </c>
      <c r="AK10443">
        <v>27.6166500282824</v>
      </c>
      <c r="AL10443">
        <v>91.471062357759905</v>
      </c>
      <c r="AM10443">
        <v>86.179408052156205</v>
      </c>
      <c r="AN10443">
        <v>0.99999996391771195</v>
      </c>
    </row>
    <row r="10444" spans="1:40" x14ac:dyDescent="0.25">
      <c r="A10444" t="str">
        <f>"20190312154157175"</f>
        <v>20190312154157175</v>
      </c>
      <c r="B10444" t="str">
        <f>"1552376517166405"</f>
        <v>1552376517166405</v>
      </c>
      <c r="C10444" t="s">
        <v>40</v>
      </c>
      <c r="D10444">
        <v>3.2046549999999998</v>
      </c>
      <c r="E10444">
        <v>0.51862439999999999</v>
      </c>
      <c r="F10444" t="s">
        <v>42</v>
      </c>
      <c r="G10444">
        <v>-122.8822</v>
      </c>
      <c r="H10444" s="1">
        <v>-3.5769559999999999E-6</v>
      </c>
      <c r="I10444">
        <v>136.56549999999999</v>
      </c>
      <c r="J10444">
        <v>-149.85910000000001</v>
      </c>
      <c r="K10444">
        <v>1.1086009999999999</v>
      </c>
      <c r="L10444">
        <v>137.34979999999999</v>
      </c>
      <c r="M10444">
        <v>0.99885699999999999</v>
      </c>
      <c r="N10444">
        <v>0</v>
      </c>
      <c r="O10444">
        <v>4.5775650000000001E-2</v>
      </c>
      <c r="P10444">
        <v>0.99889669999999997</v>
      </c>
      <c r="Q10444">
        <v>-4.2258450000000003E-2</v>
      </c>
      <c r="R10444">
        <v>-2.0487890000000002E-2</v>
      </c>
      <c r="S10444">
        <v>2.9971009999999998</v>
      </c>
      <c r="T10444">
        <v>-0.11810320000000001</v>
      </c>
      <c r="U10444">
        <v>-7.8536990000000001E-2</v>
      </c>
      <c r="V10444">
        <v>6.6089850000000006E-2</v>
      </c>
      <c r="W10444">
        <v>-2.878139E-2</v>
      </c>
      <c r="X10444">
        <v>0.99739849999999997</v>
      </c>
      <c r="Y10444">
        <v>7.1840899999999999E-2</v>
      </c>
      <c r="Z10444">
        <v>-3.2174690000000001E-3</v>
      </c>
      <c r="AA10444">
        <v>0.99741089999999999</v>
      </c>
      <c r="AB10444">
        <v>23</v>
      </c>
      <c r="AC10444">
        <v>26.976900000000001</v>
      </c>
      <c r="AD10444">
        <v>-1.108604576956</v>
      </c>
      <c r="AE10444">
        <v>-0.784300000000001</v>
      </c>
      <c r="AF10444">
        <v>2.0150795967800801</v>
      </c>
      <c r="AG10444">
        <v>-1.108604576956</v>
      </c>
      <c r="AH10444">
        <v>26.8673763768426</v>
      </c>
      <c r="AI10444">
        <v>92.356194105581807</v>
      </c>
      <c r="AJ10444">
        <v>85.710790753779193</v>
      </c>
      <c r="AK10444">
        <v>26.9656348574315</v>
      </c>
      <c r="AL10444">
        <v>91.649279927184494</v>
      </c>
      <c r="AM10444">
        <v>86.208995696444404</v>
      </c>
      <c r="AN10444">
        <v>1.0000000022427999</v>
      </c>
    </row>
    <row r="10445" spans="1:40" x14ac:dyDescent="0.25">
      <c r="A10445" t="str">
        <f>"20190312154157203"</f>
        <v>20190312154157203</v>
      </c>
      <c r="B10445" t="str">
        <f>"1552376517196661"</f>
        <v>1552376517196661</v>
      </c>
      <c r="C10445" t="s">
        <v>40</v>
      </c>
      <c r="D10445">
        <v>4.4518680000000002</v>
      </c>
      <c r="E10445">
        <v>0.51601059999999999</v>
      </c>
      <c r="F10445" t="s">
        <v>41</v>
      </c>
      <c r="G10445">
        <v>-149.18510000000001</v>
      </c>
      <c r="H10445">
        <v>0.87171319999999997</v>
      </c>
      <c r="I10445">
        <v>137.3049</v>
      </c>
      <c r="J10445">
        <v>-149.57490000000001</v>
      </c>
      <c r="K10445">
        <v>1.1086119999999999</v>
      </c>
      <c r="L10445">
        <v>137.35929999999999</v>
      </c>
      <c r="M10445">
        <v>0.99898549999999997</v>
      </c>
      <c r="N10445">
        <v>0</v>
      </c>
      <c r="O10445">
        <v>4.2882219999999999E-2</v>
      </c>
      <c r="P10445">
        <v>0.99879370000000001</v>
      </c>
      <c r="Q10445">
        <v>-4.2899649999999998E-2</v>
      </c>
      <c r="R10445">
        <v>-2.389639E-2</v>
      </c>
      <c r="S10445">
        <v>2.9553219999999998</v>
      </c>
      <c r="T10445">
        <v>-1.0387729999999999</v>
      </c>
      <c r="U10445">
        <v>-0.19700619999999999</v>
      </c>
      <c r="V10445">
        <v>6.6602679999999997E-2</v>
      </c>
      <c r="W10445">
        <v>-2.9423479999999998E-2</v>
      </c>
      <c r="X10445">
        <v>0.99734560000000005</v>
      </c>
      <c r="Y10445">
        <v>0.1006664</v>
      </c>
      <c r="Z10445">
        <v>-3.1781259999999999E-2</v>
      </c>
      <c r="AA10445">
        <v>0.99441250000000003</v>
      </c>
      <c r="AB10445">
        <v>23</v>
      </c>
      <c r="AC10445">
        <v>0.38980000000000797</v>
      </c>
      <c r="AD10445">
        <v>-0.23689879999999999</v>
      </c>
      <c r="AE10445">
        <v>-5.4399999999986903E-2</v>
      </c>
      <c r="AF10445">
        <v>5.2167051901326797E-2</v>
      </c>
      <c r="AG10445">
        <v>-0.23689879999999999</v>
      </c>
      <c r="AH10445">
        <v>0.28415855522029299</v>
      </c>
      <c r="AI10445">
        <v>129.351127917703</v>
      </c>
      <c r="AJ10445">
        <v>79.597230584022995</v>
      </c>
      <c r="AK10445">
        <v>0.37361548047477899</v>
      </c>
      <c r="AL10445">
        <v>91.686084648720197</v>
      </c>
      <c r="AM10445">
        <v>86.179463809092297</v>
      </c>
      <c r="AN10445">
        <v>0.999999951998925</v>
      </c>
    </row>
    <row r="10446" spans="1:40" x14ac:dyDescent="0.25">
      <c r="A10446" t="str">
        <f>"20190312154157223"</f>
        <v>20190312154157223</v>
      </c>
      <c r="B10446" t="str">
        <f>"1552376517216181"</f>
        <v>1552376517216181</v>
      </c>
      <c r="C10446" t="s">
        <v>40</v>
      </c>
      <c r="D10446">
        <v>4.0200300000000002</v>
      </c>
      <c r="E10446">
        <v>0.51579830000000004</v>
      </c>
      <c r="F10446" t="s">
        <v>41</v>
      </c>
      <c r="G10446">
        <v>-148.76990000000001</v>
      </c>
      <c r="H10446">
        <v>0.88430640000000005</v>
      </c>
      <c r="I10446">
        <v>137.30789999999999</v>
      </c>
      <c r="J10446">
        <v>-149.37629999999999</v>
      </c>
      <c r="K10446">
        <v>1.1086259999999999</v>
      </c>
      <c r="L10446">
        <v>137.36539999999999</v>
      </c>
      <c r="M10446">
        <v>0.99906919999999999</v>
      </c>
      <c r="N10446">
        <v>0</v>
      </c>
      <c r="O10446">
        <v>4.0883490000000001E-2</v>
      </c>
      <c r="P10446">
        <v>0.9986256</v>
      </c>
      <c r="Q10446">
        <v>-4.5296910000000003E-2</v>
      </c>
      <c r="R10446">
        <v>-2.6365679999999999E-2</v>
      </c>
      <c r="S10446">
        <v>2.9636230000000001</v>
      </c>
      <c r="T10446">
        <v>-0.82572999999999996</v>
      </c>
      <c r="U10446">
        <v>-0.18858340000000001</v>
      </c>
      <c r="V10446">
        <v>6.7061620000000002E-2</v>
      </c>
      <c r="W10446">
        <v>-3.1822749999999997E-2</v>
      </c>
      <c r="X10446">
        <v>0.99724120000000005</v>
      </c>
      <c r="Y10446">
        <v>9.8947950000000007E-2</v>
      </c>
      <c r="Z10446">
        <v>-2.4683699999999999E-2</v>
      </c>
      <c r="AA10446">
        <v>0.99478639999999996</v>
      </c>
      <c r="AB10446">
        <v>23</v>
      </c>
      <c r="AC10446">
        <v>0.60639999999997896</v>
      </c>
      <c r="AD10446">
        <v>-0.22431960000000001</v>
      </c>
      <c r="AE10446">
        <v>-5.7500000000004499E-2</v>
      </c>
      <c r="AF10446">
        <v>7.2423785614570496E-2</v>
      </c>
      <c r="AG10446">
        <v>-0.22431960000000001</v>
      </c>
      <c r="AH10446">
        <v>0.53146392444744295</v>
      </c>
      <c r="AI10446">
        <v>112.695336054067</v>
      </c>
      <c r="AJ10446">
        <v>82.239974421705199</v>
      </c>
      <c r="AK10446">
        <v>0.58139349037977905</v>
      </c>
      <c r="AL10446">
        <v>91.823617185365606</v>
      </c>
      <c r="AM10446">
        <v>86.152814854542896</v>
      </c>
      <c r="AN10446">
        <v>0.99999997963601295</v>
      </c>
    </row>
    <row r="10447" spans="1:40" x14ac:dyDescent="0.25">
      <c r="A10447" t="str">
        <f>"20190312154157242"</f>
        <v>20190312154157242</v>
      </c>
      <c r="B10447" t="str">
        <f>"1552376517236677"</f>
        <v>1552376517236677</v>
      </c>
      <c r="C10447" t="s">
        <v>40</v>
      </c>
      <c r="D10447">
        <v>4.0351339999999896</v>
      </c>
      <c r="E10447">
        <v>0.51893370000000005</v>
      </c>
      <c r="F10447" t="s">
        <v>41</v>
      </c>
      <c r="G10447">
        <v>-148.56030000000001</v>
      </c>
      <c r="H10447">
        <v>0.89693069999999897</v>
      </c>
      <c r="I10447">
        <v>137.31190000000001</v>
      </c>
      <c r="J10447">
        <v>-149.16970000000001</v>
      </c>
      <c r="K10447">
        <v>1.10866</v>
      </c>
      <c r="L10447">
        <v>137.3715</v>
      </c>
      <c r="M10447">
        <v>0.99915160000000003</v>
      </c>
      <c r="N10447">
        <v>0</v>
      </c>
      <c r="O10447">
        <v>3.8822240000000001E-2</v>
      </c>
      <c r="P10447">
        <v>0.9984381</v>
      </c>
      <c r="Q10447">
        <v>-4.7990089999999999E-2</v>
      </c>
      <c r="R10447">
        <v>-2.8614069999999998E-2</v>
      </c>
      <c r="S10447">
        <v>2.9641109999999999</v>
      </c>
      <c r="T10447">
        <v>-0.76885099999999995</v>
      </c>
      <c r="U10447">
        <v>-0.19413759999999999</v>
      </c>
      <c r="V10447">
        <v>6.7236799999999999E-2</v>
      </c>
      <c r="W10447">
        <v>-3.451688E-2</v>
      </c>
      <c r="X10447">
        <v>0.99713980000000002</v>
      </c>
      <c r="Y10447">
        <v>9.9489149999999998E-2</v>
      </c>
      <c r="Z10447">
        <v>-2.257822E-2</v>
      </c>
      <c r="AA10447">
        <v>0.99478239999999996</v>
      </c>
      <c r="AB10447">
        <v>23</v>
      </c>
      <c r="AC10447">
        <v>0.60939999999999295</v>
      </c>
      <c r="AD10447">
        <v>-0.21172930000000001</v>
      </c>
      <c r="AE10447">
        <v>-5.9599999999989002E-2</v>
      </c>
      <c r="AF10447">
        <v>7.4328143111142803E-2</v>
      </c>
      <c r="AG10447">
        <v>-0.21172930000000001</v>
      </c>
      <c r="AH10447">
        <v>0.54183875077968702</v>
      </c>
      <c r="AI10447">
        <v>111.163174497515</v>
      </c>
      <c r="AJ10447">
        <v>82.189053295260507</v>
      </c>
      <c r="AK10447">
        <v>0.58646670935640699</v>
      </c>
      <c r="AL10447">
        <v>91.978064478042</v>
      </c>
      <c r="AM10447">
        <v>86.142404382831003</v>
      </c>
      <c r="AN10447">
        <v>0.99999999151160701</v>
      </c>
    </row>
    <row r="10448" spans="1:40" x14ac:dyDescent="0.25">
      <c r="A10448" t="str">
        <f>"20190312154157264"</f>
        <v>20190312154157264</v>
      </c>
      <c r="B10448" t="str">
        <f>"1552376517256197"</f>
        <v>1552376517256197</v>
      </c>
      <c r="C10448" t="s">
        <v>40</v>
      </c>
      <c r="D10448">
        <v>4.0484549999999997</v>
      </c>
      <c r="E10448">
        <v>0.51853199999999999</v>
      </c>
      <c r="F10448" t="s">
        <v>41</v>
      </c>
      <c r="G10448">
        <v>-148.2937</v>
      </c>
      <c r="H10448">
        <v>1.023703</v>
      </c>
      <c r="I10448">
        <v>137.30269999999999</v>
      </c>
      <c r="J10448">
        <v>-148.9435</v>
      </c>
      <c r="K10448">
        <v>1.1087</v>
      </c>
      <c r="L10448">
        <v>137.3776</v>
      </c>
      <c r="M10448">
        <v>0.99923589999999995</v>
      </c>
      <c r="N10448">
        <v>0</v>
      </c>
      <c r="O10448">
        <v>3.6588009999999997E-2</v>
      </c>
      <c r="P10448">
        <v>0.99835700000000005</v>
      </c>
      <c r="Q10448">
        <v>-4.8797529999999999E-2</v>
      </c>
      <c r="R10448">
        <v>-3.00366E-2</v>
      </c>
      <c r="S10448">
        <v>2.9840849999999999</v>
      </c>
      <c r="T10448">
        <v>-0.28937099999999999</v>
      </c>
      <c r="U10448">
        <v>-0.23393249999999999</v>
      </c>
      <c r="V10448">
        <v>6.6426410000000005E-2</v>
      </c>
      <c r="W10448">
        <v>-3.5319950000000003E-2</v>
      </c>
      <c r="X10448">
        <v>0.997166</v>
      </c>
      <c r="Y10448">
        <v>0.1138788</v>
      </c>
      <c r="Z10448">
        <v>-9.0355090000000006E-3</v>
      </c>
      <c r="AA10448">
        <v>0.99345360000000005</v>
      </c>
      <c r="AB10448">
        <v>23</v>
      </c>
      <c r="AC10448">
        <v>0.64979999999999905</v>
      </c>
      <c r="AD10448">
        <v>-8.4996999999999906E-2</v>
      </c>
      <c r="AE10448">
        <v>-7.4900000000013706E-2</v>
      </c>
      <c r="AF10448">
        <v>9.6989256786142494E-2</v>
      </c>
      <c r="AG10448">
        <v>-8.4996999999999906E-2</v>
      </c>
      <c r="AH10448">
        <v>0.63588682471545099</v>
      </c>
      <c r="AI10448">
        <v>97.52737855702</v>
      </c>
      <c r="AJ10448">
        <v>81.327744219497006</v>
      </c>
      <c r="AK10448">
        <v>0.64883238188890202</v>
      </c>
      <c r="AL10448">
        <v>92.024105062905804</v>
      </c>
      <c r="AM10448">
        <v>86.188861094971699</v>
      </c>
      <c r="AN10448">
        <v>0.99999999918474503</v>
      </c>
    </row>
    <row r="10449" spans="1:40" x14ac:dyDescent="0.25">
      <c r="A10449" t="str">
        <f>"20190312154157286"</f>
        <v>20190312154157286</v>
      </c>
      <c r="B10449" t="str">
        <f>"1552376517276693"</f>
        <v>1552376517276693</v>
      </c>
      <c r="C10449" t="s">
        <v>40</v>
      </c>
      <c r="D10449">
        <v>4.0466119999999997</v>
      </c>
      <c r="E10449">
        <v>0.51716709999999999</v>
      </c>
      <c r="F10449" t="s">
        <v>41</v>
      </c>
      <c r="G10449">
        <v>-148.08869999999999</v>
      </c>
      <c r="H10449">
        <v>1.026152</v>
      </c>
      <c r="I10449">
        <v>137.31020000000001</v>
      </c>
      <c r="J10449">
        <v>-148.71969999999999</v>
      </c>
      <c r="K10449">
        <v>1.1087359999999999</v>
      </c>
      <c r="L10449">
        <v>137.38319999999999</v>
      </c>
      <c r="M10449">
        <v>0.99931369999999997</v>
      </c>
      <c r="N10449">
        <v>0</v>
      </c>
      <c r="O10449">
        <v>3.4400409999999999E-2</v>
      </c>
      <c r="P10449">
        <v>0.99833209999999994</v>
      </c>
      <c r="Q10449">
        <v>-4.8657989999999998E-2</v>
      </c>
      <c r="R10449">
        <v>-3.107472E-2</v>
      </c>
      <c r="S10449">
        <v>2.9838100000000001</v>
      </c>
      <c r="T10449">
        <v>-0.28812159999999998</v>
      </c>
      <c r="U10449">
        <v>-0.2349243</v>
      </c>
      <c r="V10449">
        <v>6.5283540000000001E-2</v>
      </c>
      <c r="W10449">
        <v>-3.5174459999999998E-2</v>
      </c>
      <c r="X10449">
        <v>0.99724659999999998</v>
      </c>
      <c r="Y10449">
        <v>0.1120637</v>
      </c>
      <c r="Z10449">
        <v>-8.6995969999999999E-3</v>
      </c>
      <c r="AA10449">
        <v>0.99366299999999996</v>
      </c>
      <c r="AB10449">
        <v>23</v>
      </c>
      <c r="AC10449">
        <v>0.63100000000000001</v>
      </c>
      <c r="AD10449">
        <v>-8.2584000000000199E-2</v>
      </c>
      <c r="AE10449">
        <v>-7.2999999999978998E-2</v>
      </c>
      <c r="AF10449">
        <v>9.3091976343662494E-2</v>
      </c>
      <c r="AG10449">
        <v>-8.2584000000000199E-2</v>
      </c>
      <c r="AH10449">
        <v>0.61767455395502002</v>
      </c>
      <c r="AI10449">
        <v>97.531304707430493</v>
      </c>
      <c r="AJ10449">
        <v>81.429250135184802</v>
      </c>
      <c r="AK10449">
        <v>0.63008577806446497</v>
      </c>
      <c r="AL10449">
        <v>92.015763951152294</v>
      </c>
      <c r="AM10449">
        <v>86.254545527388203</v>
      </c>
      <c r="AN10449">
        <v>0.99999998222139097</v>
      </c>
    </row>
    <row r="10450" spans="1:40" x14ac:dyDescent="0.25">
      <c r="A10450" t="str">
        <f>"20190312154157308"</f>
        <v>20190312154157308</v>
      </c>
      <c r="B10450" t="str">
        <f>"1552376517296213"</f>
        <v>1552376517296213</v>
      </c>
      <c r="C10450" t="s">
        <v>40</v>
      </c>
      <c r="D10450">
        <v>4.1419050000000004</v>
      </c>
      <c r="E10450">
        <v>0.51599740000000005</v>
      </c>
      <c r="F10450" t="s">
        <v>41</v>
      </c>
      <c r="G10450">
        <v>-147.8845</v>
      </c>
      <c r="H10450">
        <v>1.0276449999999999</v>
      </c>
      <c r="I10450">
        <v>137.31960000000001</v>
      </c>
      <c r="J10450">
        <v>-148.49379999999999</v>
      </c>
      <c r="K10450">
        <v>1.1087739999999999</v>
      </c>
      <c r="L10450">
        <v>137.38839999999999</v>
      </c>
      <c r="M10450">
        <v>0.99938660000000001</v>
      </c>
      <c r="N10450">
        <v>0</v>
      </c>
      <c r="O10450">
        <v>3.2215769999999998E-2</v>
      </c>
      <c r="P10450">
        <v>0.99833939999999999</v>
      </c>
      <c r="Q10450">
        <v>-4.7726629999999999E-2</v>
      </c>
      <c r="R10450">
        <v>-3.2267949999999997E-2</v>
      </c>
      <c r="S10450">
        <v>2.983841</v>
      </c>
      <c r="T10450">
        <v>-0.28966960000000003</v>
      </c>
      <c r="U10450">
        <v>-0.2269592</v>
      </c>
      <c r="V10450">
        <v>6.4302369999999998E-2</v>
      </c>
      <c r="W10450">
        <v>-3.4237789999999997E-2</v>
      </c>
      <c r="X10450">
        <v>0.99734290000000003</v>
      </c>
      <c r="Y10450">
        <v>0.1072779</v>
      </c>
      <c r="Z10450">
        <v>-8.3041150000000008E-3</v>
      </c>
      <c r="AA10450">
        <v>0.99419440000000003</v>
      </c>
      <c r="AB10450">
        <v>23</v>
      </c>
      <c r="AC10450">
        <v>0.60929999999998996</v>
      </c>
      <c r="AD10450">
        <v>-8.1128999999999701E-2</v>
      </c>
      <c r="AE10450">
        <v>-6.8799999999981695E-2</v>
      </c>
      <c r="AF10450">
        <v>8.6874376244808593E-2</v>
      </c>
      <c r="AG10450">
        <v>-8.1128999999999701E-2</v>
      </c>
      <c r="AH10450">
        <v>0.59632769306001898</v>
      </c>
      <c r="AI10450">
        <v>97.667433741296705</v>
      </c>
      <c r="AJ10450">
        <v>81.711329862005101</v>
      </c>
      <c r="AK10450">
        <v>0.608059034468865</v>
      </c>
      <c r="AL10450">
        <v>91.962064441364106</v>
      </c>
      <c r="AM10450">
        <v>86.311035916595998</v>
      </c>
      <c r="AN10450">
        <v>0.99999994061605302</v>
      </c>
    </row>
    <row r="10451" spans="1:40" x14ac:dyDescent="0.25">
      <c r="A10451" t="str">
        <f>"20190312154157331"</f>
        <v>20190312154157331</v>
      </c>
      <c r="B10451" t="str">
        <f>"1552376517326469"</f>
        <v>1552376517326469</v>
      </c>
      <c r="C10451" t="s">
        <v>40</v>
      </c>
      <c r="D10451">
        <v>4.1886890000000001</v>
      </c>
      <c r="E10451">
        <v>0.51523739999999996</v>
      </c>
      <c r="F10451" t="s">
        <v>41</v>
      </c>
      <c r="G10451">
        <v>-147.68090000000001</v>
      </c>
      <c r="H10451">
        <v>1.0281419999999999</v>
      </c>
      <c r="I10451">
        <v>137.328</v>
      </c>
      <c r="J10451">
        <v>-148.26679999999999</v>
      </c>
      <c r="K10451">
        <v>1.1087990000000001</v>
      </c>
      <c r="L10451">
        <v>137.3931</v>
      </c>
      <c r="M10451">
        <v>0.99945410000000001</v>
      </c>
      <c r="N10451">
        <v>0</v>
      </c>
      <c r="O10451">
        <v>3.0046199999999999E-2</v>
      </c>
      <c r="P10451">
        <v>0.99833669999999997</v>
      </c>
      <c r="Q10451">
        <v>-4.714223E-2</v>
      </c>
      <c r="R10451">
        <v>-3.3189009999999998E-2</v>
      </c>
      <c r="S10451">
        <v>2.9837039999999999</v>
      </c>
      <c r="T10451">
        <v>-0.29594480000000001</v>
      </c>
      <c r="U10451">
        <v>-0.22103880000000001</v>
      </c>
      <c r="V10451">
        <v>6.3062880000000002E-2</v>
      </c>
      <c r="W10451">
        <v>-3.3647370000000003E-2</v>
      </c>
      <c r="X10451">
        <v>0.99744219999999895</v>
      </c>
      <c r="Y10451">
        <v>0.1031627</v>
      </c>
      <c r="Z10451">
        <v>-8.0663790000000003E-3</v>
      </c>
      <c r="AA10451">
        <v>0.99463179999999995</v>
      </c>
      <c r="AB10451">
        <v>23</v>
      </c>
      <c r="AC10451">
        <v>0.58589999999997999</v>
      </c>
      <c r="AD10451">
        <v>-8.0656999999999701E-2</v>
      </c>
      <c r="AE10451">
        <v>-6.5100000000001004E-2</v>
      </c>
      <c r="AF10451">
        <v>8.1157063700207005E-2</v>
      </c>
      <c r="AG10451">
        <v>-8.0656999999999701E-2</v>
      </c>
      <c r="AH10451">
        <v>0.57295348063988305</v>
      </c>
      <c r="AI10451">
        <v>97.934921459123998</v>
      </c>
      <c r="AJ10451">
        <v>81.937866128550198</v>
      </c>
      <c r="AK10451">
        <v>0.58426681543178205</v>
      </c>
      <c r="AL10451">
        <v>91.928216232225296</v>
      </c>
      <c r="AM10451">
        <v>86.382312754340703</v>
      </c>
      <c r="AN10451">
        <v>1.00000000734132</v>
      </c>
    </row>
    <row r="10452" spans="1:40" x14ac:dyDescent="0.25">
      <c r="A10452" t="str">
        <f>"20190312154157354"</f>
        <v>20190312154157354</v>
      </c>
      <c r="B10452" t="str">
        <f>"1552376517346964"</f>
        <v>1552376517346964</v>
      </c>
      <c r="C10452" t="s">
        <v>40</v>
      </c>
      <c r="D10452">
        <v>4.2235230000000001</v>
      </c>
      <c r="E10452">
        <v>0.51397409999999999</v>
      </c>
      <c r="F10452" t="s">
        <v>41</v>
      </c>
      <c r="G10452">
        <v>-147.47620000000001</v>
      </c>
      <c r="H10452">
        <v>1.0314810000000001</v>
      </c>
      <c r="I10452">
        <v>137.33539999999999</v>
      </c>
      <c r="J10452">
        <v>-148.0316</v>
      </c>
      <c r="K10452">
        <v>1.108806</v>
      </c>
      <c r="L10452">
        <v>137.39750000000001</v>
      </c>
      <c r="M10452">
        <v>0.99951849999999998</v>
      </c>
      <c r="N10452">
        <v>0</v>
      </c>
      <c r="O10452">
        <v>2.782811E-2</v>
      </c>
      <c r="P10452">
        <v>0.99833170000000004</v>
      </c>
      <c r="Q10452">
        <v>-4.6954669999999997E-2</v>
      </c>
      <c r="R10452">
        <v>-3.360668E-2</v>
      </c>
      <c r="S10452">
        <v>2.983994</v>
      </c>
      <c r="T10452">
        <v>-0.291809599999999</v>
      </c>
      <c r="U10452">
        <v>-0.21774289999999999</v>
      </c>
      <c r="V10452">
        <v>6.1270280000000003E-2</v>
      </c>
      <c r="W10452">
        <v>-3.3451809999999998E-2</v>
      </c>
      <c r="X10452">
        <v>0.99756049999999996</v>
      </c>
      <c r="Y10452">
        <v>9.9899199999999994E-2</v>
      </c>
      <c r="Z10452">
        <v>-7.5785869999999899E-3</v>
      </c>
      <c r="AA10452">
        <v>0.99496870000000004</v>
      </c>
      <c r="AB10452">
        <v>23</v>
      </c>
      <c r="AC10452">
        <v>0.55539999999999101</v>
      </c>
      <c r="AD10452">
        <v>-7.7325000000000005E-2</v>
      </c>
      <c r="AE10452">
        <v>-6.2100000000015101E-2</v>
      </c>
      <c r="AF10452">
        <v>7.6076722200340299E-2</v>
      </c>
      <c r="AG10452">
        <v>-7.7325000000000005E-2</v>
      </c>
      <c r="AH10452">
        <v>0.54306024108610396</v>
      </c>
      <c r="AI10452">
        <v>98.0263914795229</v>
      </c>
      <c r="AJ10452">
        <v>82.025392911793205</v>
      </c>
      <c r="AK10452">
        <v>0.553788090097869</v>
      </c>
      <c r="AL10452">
        <v>91.917005151437905</v>
      </c>
      <c r="AM10452">
        <v>86.485301883520094</v>
      </c>
      <c r="AN10452">
        <v>1.0000000109819001</v>
      </c>
    </row>
    <row r="10453" spans="1:40" x14ac:dyDescent="0.25">
      <c r="A10453" t="str">
        <f>"20190312154157379"</f>
        <v>20190312154157379</v>
      </c>
      <c r="B10453" t="str">
        <f>"1552376517366485"</f>
        <v>1552376517366485</v>
      </c>
      <c r="C10453" t="s">
        <v>40</v>
      </c>
      <c r="D10453">
        <v>4.2093780000000001</v>
      </c>
      <c r="E10453">
        <v>0.51328560000000001</v>
      </c>
      <c r="F10453" t="s">
        <v>41</v>
      </c>
      <c r="G10453">
        <v>-147.27199999999999</v>
      </c>
      <c r="H10453">
        <v>1.0345519999999999</v>
      </c>
      <c r="I10453">
        <v>137.3442</v>
      </c>
      <c r="J10453">
        <v>-147.78919999999999</v>
      </c>
      <c r="K10453">
        <v>1.108806</v>
      </c>
      <c r="L10453">
        <v>137.4016</v>
      </c>
      <c r="M10453">
        <v>0.99957830000000003</v>
      </c>
      <c r="N10453">
        <v>0</v>
      </c>
      <c r="O10453">
        <v>2.55838E-2</v>
      </c>
      <c r="P10453">
        <v>0.99829389999999996</v>
      </c>
      <c r="Q10453">
        <v>-4.7565570000000001E-2</v>
      </c>
      <c r="R10453">
        <v>-3.3869089999999998E-2</v>
      </c>
      <c r="S10453">
        <v>2.9842680000000001</v>
      </c>
      <c r="T10453">
        <v>-0.29167310000000002</v>
      </c>
      <c r="U10453">
        <v>-0.2088776</v>
      </c>
      <c r="V10453">
        <v>5.92933E-2</v>
      </c>
      <c r="W10453">
        <v>-3.4054189999999998E-2</v>
      </c>
      <c r="X10453">
        <v>0.99765959999999998</v>
      </c>
      <c r="Y10453">
        <v>9.4752130000000004E-2</v>
      </c>
      <c r="Z10453">
        <v>-7.1058769999999896E-3</v>
      </c>
      <c r="AA10453">
        <v>0.99547549999999996</v>
      </c>
      <c r="AB10453">
        <v>23</v>
      </c>
      <c r="AC10453">
        <v>0.51719999999997401</v>
      </c>
      <c r="AD10453">
        <v>-7.4253999999999806E-2</v>
      </c>
      <c r="AE10453">
        <v>-5.74000000000012E-2</v>
      </c>
      <c r="AF10453">
        <v>6.9205286642456995E-2</v>
      </c>
      <c r="AG10453">
        <v>-7.4253999999999806E-2</v>
      </c>
      <c r="AH10453">
        <v>0.50527398019960801</v>
      </c>
      <c r="AI10453">
        <v>98.283972611099898</v>
      </c>
      <c r="AJ10453">
        <v>82.200961593277896</v>
      </c>
      <c r="AK10453">
        <v>0.51536862853885301</v>
      </c>
      <c r="AL10453">
        <v>91.9515386223962</v>
      </c>
      <c r="AM10453">
        <v>86.598775414682294</v>
      </c>
      <c r="AN10453">
        <v>1.0000000303768</v>
      </c>
    </row>
    <row r="10454" spans="1:40" x14ac:dyDescent="0.25">
      <c r="A10454" t="str">
        <f>"20190312154157400"</f>
        <v>20190312154157400</v>
      </c>
      <c r="B10454" t="str">
        <f>"1552376517396743"</f>
        <v>1552376517396743</v>
      </c>
      <c r="C10454" t="s">
        <v>40</v>
      </c>
      <c r="D10454">
        <v>4.1630500000000001</v>
      </c>
      <c r="E10454">
        <v>0.51237109999999997</v>
      </c>
      <c r="F10454" t="s">
        <v>41</v>
      </c>
      <c r="G10454">
        <v>-146.87430000000001</v>
      </c>
      <c r="H10454">
        <v>1.0188759999999999</v>
      </c>
      <c r="I10454">
        <v>137.3389</v>
      </c>
      <c r="J10454">
        <v>-147.56440000000001</v>
      </c>
      <c r="K10454">
        <v>1.1088129999999901</v>
      </c>
      <c r="L10454">
        <v>137.4049</v>
      </c>
      <c r="M10454">
        <v>0.99962819999999997</v>
      </c>
      <c r="N10454">
        <v>0</v>
      </c>
      <c r="O10454">
        <v>2.3556190000000001E-2</v>
      </c>
      <c r="P10454">
        <v>0.99824480000000004</v>
      </c>
      <c r="Q10454">
        <v>-4.8536490000000002E-2</v>
      </c>
      <c r="R10454">
        <v>-3.3936620000000001E-2</v>
      </c>
      <c r="S10454">
        <v>2.9842219999999999</v>
      </c>
      <c r="T10454">
        <v>-0.29331459999999998</v>
      </c>
      <c r="U10454">
        <v>-0.20420840000000001</v>
      </c>
      <c r="V10454">
        <v>5.7337239999999998E-2</v>
      </c>
      <c r="W10454">
        <v>-3.5016329999999998E-2</v>
      </c>
      <c r="X10454">
        <v>0.99774059999999998</v>
      </c>
      <c r="Y10454">
        <v>9.1203549999999994E-2</v>
      </c>
      <c r="Z10454">
        <v>-6.7737479999999996E-3</v>
      </c>
      <c r="AA10454">
        <v>0.99580930000000001</v>
      </c>
      <c r="AB10454">
        <v>23</v>
      </c>
      <c r="AC10454">
        <v>0.69010000000000105</v>
      </c>
      <c r="AD10454">
        <v>-8.9936999999999698E-2</v>
      </c>
      <c r="AE10454">
        <v>-6.6000000000002501E-2</v>
      </c>
      <c r="AF10454">
        <v>8.0878118495220294E-2</v>
      </c>
      <c r="AG10454">
        <v>-8.9936999999999698E-2</v>
      </c>
      <c r="AH10454">
        <v>0.67696000332058004</v>
      </c>
      <c r="AI10454">
        <v>97.514845565454394</v>
      </c>
      <c r="AJ10454">
        <v>83.187021717313897</v>
      </c>
      <c r="AK10454">
        <v>0.687680725421418</v>
      </c>
      <c r="AL10454">
        <v>92.006698141490304</v>
      </c>
      <c r="AM10454">
        <v>86.710996214781403</v>
      </c>
      <c r="AN10454">
        <v>1.00000000367292</v>
      </c>
    </row>
    <row r="10455" spans="1:40" x14ac:dyDescent="0.25">
      <c r="A10455" t="str">
        <f>"20190312154157422"</f>
        <v>20190312154157422</v>
      </c>
      <c r="B10455" t="str">
        <f>"1552376517416261"</f>
        <v>1552376517416261</v>
      </c>
      <c r="C10455" t="s">
        <v>40</v>
      </c>
      <c r="D10455">
        <v>4.2317679999999998</v>
      </c>
      <c r="E10455">
        <v>0.5117971</v>
      </c>
      <c r="F10455" t="s">
        <v>41</v>
      </c>
      <c r="G10455">
        <v>-146.67240000000001</v>
      </c>
      <c r="H10455">
        <v>1.0187330000000001</v>
      </c>
      <c r="I10455">
        <v>137.346</v>
      </c>
      <c r="J10455">
        <v>-147.35059999999999</v>
      </c>
      <c r="K10455">
        <v>1.1088359999999999</v>
      </c>
      <c r="L10455">
        <v>137.40770000000001</v>
      </c>
      <c r="M10455">
        <v>0.99967090000000003</v>
      </c>
      <c r="N10455">
        <v>0</v>
      </c>
      <c r="O10455">
        <v>2.1672250000000001E-2</v>
      </c>
      <c r="P10455">
        <v>0.99814919999999996</v>
      </c>
      <c r="Q10455">
        <v>-5.0126610000000002E-2</v>
      </c>
      <c r="R10455">
        <v>-3.4429389999999997E-2</v>
      </c>
      <c r="S10455">
        <v>2.9839169999999999</v>
      </c>
      <c r="T10455">
        <v>-0.3013672</v>
      </c>
      <c r="U10455">
        <v>-0.197052</v>
      </c>
      <c r="V10455">
        <v>5.5947070000000002E-2</v>
      </c>
      <c r="W10455">
        <v>-3.6600519999999998E-2</v>
      </c>
      <c r="X10455">
        <v>0.9977627</v>
      </c>
      <c r="Y10455">
        <v>8.6955790000000005E-2</v>
      </c>
      <c r="Z10455">
        <v>-6.5566649999999997E-3</v>
      </c>
      <c r="AA10455">
        <v>0.99619060000000004</v>
      </c>
      <c r="AB10455">
        <v>23</v>
      </c>
      <c r="AC10455">
        <v>0.67819999999997505</v>
      </c>
      <c r="AD10455">
        <v>-9.0103000000000197E-2</v>
      </c>
      <c r="AE10455">
        <v>-6.1700000000001802E-2</v>
      </c>
      <c r="AF10455">
        <v>7.5070831716244499E-2</v>
      </c>
      <c r="AG10455">
        <v>-9.0103000000000197E-2</v>
      </c>
      <c r="AH10455">
        <v>0.66506091963329805</v>
      </c>
      <c r="AI10455">
        <v>97.667394377820301</v>
      </c>
      <c r="AJ10455">
        <v>83.5598197946928</v>
      </c>
      <c r="AK10455">
        <v>0.67532229876338101</v>
      </c>
      <c r="AL10455">
        <v>92.097523726258103</v>
      </c>
      <c r="AM10455">
        <v>86.790641925409801</v>
      </c>
      <c r="AN10455">
        <v>1.0000000391085699</v>
      </c>
    </row>
    <row r="10456" spans="1:40" x14ac:dyDescent="0.25">
      <c r="A10456" t="str">
        <f>"20190312154157443"</f>
        <v>20190312154157443</v>
      </c>
      <c r="B10456" t="str">
        <f>"1552376517436757"</f>
        <v>1552376517436757</v>
      </c>
      <c r="C10456" t="s">
        <v>40</v>
      </c>
      <c r="D10456">
        <v>4.2615980000000002</v>
      </c>
      <c r="E10456">
        <v>0.51117040000000002</v>
      </c>
      <c r="F10456" t="s">
        <v>41</v>
      </c>
      <c r="G10456">
        <v>-146.4718</v>
      </c>
      <c r="H10456">
        <v>1.01627</v>
      </c>
      <c r="I10456">
        <v>137.35059999999999</v>
      </c>
      <c r="J10456">
        <v>-147.1311</v>
      </c>
      <c r="K10456">
        <v>1.108881</v>
      </c>
      <c r="L10456">
        <v>137.4102</v>
      </c>
      <c r="M10456">
        <v>0.99970979999999998</v>
      </c>
      <c r="N10456">
        <v>0</v>
      </c>
      <c r="O10456">
        <v>1.9798679999999999E-2</v>
      </c>
      <c r="P10456">
        <v>0.99808359999999996</v>
      </c>
      <c r="Q10456">
        <v>-5.0193540000000002E-2</v>
      </c>
      <c r="R10456">
        <v>-3.6192259999999997E-2</v>
      </c>
      <c r="S10456">
        <v>2.9830930000000002</v>
      </c>
      <c r="T10456">
        <v>-0.31425069999999999</v>
      </c>
      <c r="U10456">
        <v>-0.19377140000000001</v>
      </c>
      <c r="V10456">
        <v>5.5842839999999998E-2</v>
      </c>
      <c r="W10456">
        <v>-3.6664740000000001E-2</v>
      </c>
      <c r="X10456">
        <v>0.99776609999999999</v>
      </c>
      <c r="Y10456">
        <v>8.3994020000000003E-2</v>
      </c>
      <c r="Z10456">
        <v>-6.4854889999999997E-3</v>
      </c>
      <c r="AA10456">
        <v>0.99644520000000003</v>
      </c>
      <c r="AB10456">
        <v>23</v>
      </c>
      <c r="AC10456">
        <v>0.659300000000001</v>
      </c>
      <c r="AD10456">
        <v>-9.2610999999999999E-2</v>
      </c>
      <c r="AE10456">
        <v>-5.9600000000017403E-2</v>
      </c>
      <c r="AF10456">
        <v>7.1248376013619205E-2</v>
      </c>
      <c r="AG10456">
        <v>-9.2610999999999999E-2</v>
      </c>
      <c r="AH10456">
        <v>0.6453599614894</v>
      </c>
      <c r="AI10456">
        <v>98.117698315203796</v>
      </c>
      <c r="AJ10456">
        <v>83.700002372258993</v>
      </c>
      <c r="AK10456">
        <v>0.65585258122475798</v>
      </c>
      <c r="AL10456">
        <v>92.101205902679496</v>
      </c>
      <c r="AM10456">
        <v>86.796619423829597</v>
      </c>
      <c r="AN10456">
        <v>0.99999995812386999</v>
      </c>
    </row>
    <row r="10457" spans="1:40" x14ac:dyDescent="0.25">
      <c r="A10457" t="str">
        <f>"20190312154157465"</f>
        <v>20190312154157465</v>
      </c>
      <c r="B10457" t="str">
        <f>"1552376517456277"</f>
        <v>1552376517456277</v>
      </c>
      <c r="C10457" t="s">
        <v>40</v>
      </c>
      <c r="D10457">
        <v>4.2228700000000003</v>
      </c>
      <c r="E10457">
        <v>0.51093859999999902</v>
      </c>
      <c r="F10457" t="s">
        <v>41</v>
      </c>
      <c r="G10457">
        <v>-146.27019999999999</v>
      </c>
      <c r="H10457">
        <v>1.016516</v>
      </c>
      <c r="I10457">
        <v>137.35419999999999</v>
      </c>
      <c r="J10457">
        <v>-146.90719999999999</v>
      </c>
      <c r="K10457">
        <v>1.1089549999999999</v>
      </c>
      <c r="L10457">
        <v>137.41249999999999</v>
      </c>
      <c r="M10457">
        <v>0.99974439999999998</v>
      </c>
      <c r="N10457">
        <v>0</v>
      </c>
      <c r="O10457">
        <v>1.7974130000000001E-2</v>
      </c>
      <c r="P10457">
        <v>0.99808260000000004</v>
      </c>
      <c r="Q10457">
        <v>-4.883912E-2</v>
      </c>
      <c r="R10457">
        <v>-3.8025410000000003E-2</v>
      </c>
      <c r="S10457">
        <v>2.9826350000000001</v>
      </c>
      <c r="T10457">
        <v>-0.31995050000000003</v>
      </c>
      <c r="U10457">
        <v>-0.19393920000000001</v>
      </c>
      <c r="V10457">
        <v>5.5864499999999997E-2</v>
      </c>
      <c r="W10457">
        <v>-3.5305980000000001E-2</v>
      </c>
      <c r="X10457">
        <v>0.99781390000000003</v>
      </c>
      <c r="Y10457">
        <v>8.2240510000000003E-2</v>
      </c>
      <c r="Z10457">
        <v>-6.3147580000000002E-3</v>
      </c>
      <c r="AA10457">
        <v>0.99659249999999999</v>
      </c>
      <c r="AB10457">
        <v>23</v>
      </c>
      <c r="AC10457">
        <v>0.63700000000000001</v>
      </c>
      <c r="AD10457">
        <v>-9.2438999999999896E-2</v>
      </c>
      <c r="AE10457">
        <v>-5.83000000000026E-2</v>
      </c>
      <c r="AF10457">
        <v>6.8314512908873998E-2</v>
      </c>
      <c r="AG10457">
        <v>-9.2438999999999896E-2</v>
      </c>
      <c r="AH10457">
        <v>0.62284179860849997</v>
      </c>
      <c r="AI10457">
        <v>98.392317357575493</v>
      </c>
      <c r="AJ10457">
        <v>83.740706294127804</v>
      </c>
      <c r="AK10457">
        <v>0.63335909837062299</v>
      </c>
      <c r="AL10457">
        <v>92.023304206866698</v>
      </c>
      <c r="AM10457">
        <v>86.795532700664594</v>
      </c>
      <c r="AN10457">
        <v>0.99999996680860903</v>
      </c>
    </row>
    <row r="10458" spans="1:40" x14ac:dyDescent="0.25">
      <c r="A10458" t="str">
        <f>"20190312154157487"</f>
        <v>20190312154157487</v>
      </c>
      <c r="B10458" t="str">
        <f>"1552376517476773"</f>
        <v>1552376517476773</v>
      </c>
      <c r="C10458" t="s">
        <v>40</v>
      </c>
      <c r="D10458">
        <v>4.248011</v>
      </c>
      <c r="E10458">
        <v>0.51074049999999904</v>
      </c>
      <c r="F10458" t="s">
        <v>41</v>
      </c>
      <c r="G10458">
        <v>-146.0676</v>
      </c>
      <c r="H10458">
        <v>1.0190539999999999</v>
      </c>
      <c r="I10458">
        <v>137.35679999999999</v>
      </c>
      <c r="J10458">
        <v>-146.68690000000001</v>
      </c>
      <c r="K10458">
        <v>1.1090439999999999</v>
      </c>
      <c r="L10458">
        <v>137.4144</v>
      </c>
      <c r="M10458">
        <v>0.99977340000000003</v>
      </c>
      <c r="N10458">
        <v>0</v>
      </c>
      <c r="O10458">
        <v>1.6287650000000001E-2</v>
      </c>
      <c r="P10458">
        <v>0.99808739999999996</v>
      </c>
      <c r="Q10458">
        <v>-4.7210429999999998E-2</v>
      </c>
      <c r="R10458">
        <v>-3.9911170000000003E-2</v>
      </c>
      <c r="S10458">
        <v>2.982605</v>
      </c>
      <c r="T10458">
        <v>-0.31942029999999999</v>
      </c>
      <c r="U10458">
        <v>-0.1972351</v>
      </c>
      <c r="V10458">
        <v>5.6077990000000001E-2</v>
      </c>
      <c r="W10458">
        <v>-3.3671909999999999E-2</v>
      </c>
      <c r="X10458">
        <v>0.99785849999999998</v>
      </c>
      <c r="Y10458">
        <v>8.1671419999999995E-2</v>
      </c>
      <c r="Z10458">
        <v>-6.0938930000000004E-3</v>
      </c>
      <c r="AA10458">
        <v>0.99664070000000005</v>
      </c>
      <c r="AB10458">
        <v>22</v>
      </c>
      <c r="AC10458">
        <v>0.61930000000000895</v>
      </c>
      <c r="AD10458">
        <v>-8.9990000000000001E-2</v>
      </c>
      <c r="AE10458">
        <v>-5.7600000000007798E-2</v>
      </c>
      <c r="AF10458">
        <v>6.62925008966056E-2</v>
      </c>
      <c r="AG10458">
        <v>-8.9990000000000001E-2</v>
      </c>
      <c r="AH10458">
        <v>0.60560209441220003</v>
      </c>
      <c r="AI10458">
        <v>98.402601764753001</v>
      </c>
      <c r="AJ10458">
        <v>83.752965020123895</v>
      </c>
      <c r="AK10458">
        <v>0.61583016533097001</v>
      </c>
      <c r="AL10458">
        <v>91.929622961821707</v>
      </c>
      <c r="AM10458">
        <v>86.783455747718904</v>
      </c>
      <c r="AN10458">
        <v>1.0000000622538601</v>
      </c>
    </row>
    <row r="10459" spans="1:40" x14ac:dyDescent="0.25">
      <c r="A10459" t="str">
        <f>"20190312154157510"</f>
        <v>20190312154157510</v>
      </c>
      <c r="B10459" t="str">
        <f>"1552376517496293"</f>
        <v>1552376517496293</v>
      </c>
      <c r="C10459" t="s">
        <v>40</v>
      </c>
      <c r="D10459">
        <v>4.2771790000000003</v>
      </c>
      <c r="E10459">
        <v>0.48540369999999999</v>
      </c>
      <c r="F10459" t="s">
        <v>41</v>
      </c>
      <c r="G10459">
        <v>-145.86490000000001</v>
      </c>
      <c r="H10459">
        <v>1.0225229999999901</v>
      </c>
      <c r="I10459">
        <v>137.3588</v>
      </c>
      <c r="J10459">
        <v>-146.45769999999999</v>
      </c>
      <c r="K10459">
        <v>1.1091470000000001</v>
      </c>
      <c r="L10459">
        <v>137.4161</v>
      </c>
      <c r="M10459">
        <v>0.99979850000000003</v>
      </c>
      <c r="N10459">
        <v>0</v>
      </c>
      <c r="O10459">
        <v>1.466721E-2</v>
      </c>
      <c r="P10459">
        <v>0.99803299999999995</v>
      </c>
      <c r="Q10459">
        <v>-4.5993800000000001E-2</v>
      </c>
      <c r="R10459">
        <v>-4.2606119999999997E-2</v>
      </c>
      <c r="S10459">
        <v>2.9828190000000001</v>
      </c>
      <c r="T10459">
        <v>-0.31397370000000002</v>
      </c>
      <c r="U10459">
        <v>-0.20115659999999999</v>
      </c>
      <c r="V10459">
        <v>5.7165750000000001E-2</v>
      </c>
      <c r="W10459">
        <v>-3.2450319999999998E-2</v>
      </c>
      <c r="X10459">
        <v>0.99783719999999998</v>
      </c>
      <c r="Y10459">
        <v>8.1385310000000002E-2</v>
      </c>
      <c r="Z10459">
        <v>-5.8049209999999898E-3</v>
      </c>
      <c r="AA10459">
        <v>0.99666580000000005</v>
      </c>
      <c r="AB10459">
        <v>22</v>
      </c>
      <c r="AC10459">
        <v>0.59279999999998201</v>
      </c>
      <c r="AD10459">
        <v>-8.6624000000000007E-2</v>
      </c>
      <c r="AE10459">
        <v>-5.7299999999997901E-2</v>
      </c>
      <c r="AF10459">
        <v>6.4622264049558398E-2</v>
      </c>
      <c r="AG10459">
        <v>-8.6624000000000007E-2</v>
      </c>
      <c r="AH10459">
        <v>0.57963333574991904</v>
      </c>
      <c r="AI10459">
        <v>98.448151736316106</v>
      </c>
      <c r="AJ10459">
        <v>83.638468309525607</v>
      </c>
      <c r="AK10459">
        <v>0.58962238619261098</v>
      </c>
      <c r="AL10459">
        <v>91.859592820758706</v>
      </c>
      <c r="AM10459">
        <v>86.721128563084307</v>
      </c>
      <c r="AN10459">
        <v>1.0000000119725001</v>
      </c>
    </row>
    <row r="10460" spans="1:40" x14ac:dyDescent="0.25">
      <c r="A10460" t="str">
        <f>"20190312154157532"</f>
        <v>20190312154157532</v>
      </c>
      <c r="B10460" t="str">
        <f>"1552376517526549"</f>
        <v>1552376517526549</v>
      </c>
      <c r="C10460" t="s">
        <v>40</v>
      </c>
      <c r="D10460">
        <v>4.3051079999999997</v>
      </c>
      <c r="E10460">
        <v>0.48414699999999999</v>
      </c>
      <c r="F10460" t="s">
        <v>42</v>
      </c>
      <c r="G10460">
        <v>-124.23569999999999</v>
      </c>
      <c r="H10460" s="1">
        <v>-2.8602179999999998E-6</v>
      </c>
      <c r="I10460">
        <v>137.3329</v>
      </c>
      <c r="J10460">
        <v>-146.23330000000001</v>
      </c>
      <c r="K10460">
        <v>1.1092690000000001</v>
      </c>
      <c r="L10460">
        <v>137.41759999999999</v>
      </c>
      <c r="M10460">
        <v>0.9998184</v>
      </c>
      <c r="N10460">
        <v>0</v>
      </c>
      <c r="O10460">
        <v>1.3235780000000001E-2</v>
      </c>
      <c r="P10460">
        <v>0.99796189999999996</v>
      </c>
      <c r="Q10460">
        <v>-4.4224399999999997E-2</v>
      </c>
      <c r="R10460">
        <v>-4.6002759999999997E-2</v>
      </c>
      <c r="S10460">
        <v>2.998535</v>
      </c>
      <c r="T10460">
        <v>-0.1496634</v>
      </c>
      <c r="U10460">
        <v>-1.1230469999999999E-2</v>
      </c>
      <c r="V10460">
        <v>5.9145629999999998E-2</v>
      </c>
      <c r="W10460">
        <v>-3.0675770000000002E-2</v>
      </c>
      <c r="X10460">
        <v>0.9977779</v>
      </c>
      <c r="Y10460">
        <v>1.6944330000000001E-2</v>
      </c>
      <c r="Z10460">
        <v>-1.0828649999999999E-3</v>
      </c>
      <c r="AA10460">
        <v>0.99985590000000002</v>
      </c>
      <c r="AB10460">
        <v>22</v>
      </c>
      <c r="AC10460">
        <v>21.997599999999998</v>
      </c>
      <c r="AD10460">
        <v>-1.1092718602180001</v>
      </c>
      <c r="AE10460">
        <v>-8.4699999999997999E-2</v>
      </c>
      <c r="AF10460">
        <v>0.37492197658982201</v>
      </c>
      <c r="AG10460">
        <v>-1.1092718602180001</v>
      </c>
      <c r="AH10460">
        <v>21.9387647849111</v>
      </c>
      <c r="AI10460">
        <v>92.894112898537699</v>
      </c>
      <c r="AJ10460">
        <v>89.020940501334806</v>
      </c>
      <c r="AK10460">
        <v>21.9699897777868</v>
      </c>
      <c r="AL10460">
        <v>91.757867968331993</v>
      </c>
      <c r="AM10460">
        <v>86.607627673981398</v>
      </c>
      <c r="AN10460">
        <v>0.99999997307079902</v>
      </c>
    </row>
    <row r="10461" spans="1:40" x14ac:dyDescent="0.25">
      <c r="A10461" t="str">
        <f>"20190312154157566"</f>
        <v>20190312154157566</v>
      </c>
      <c r="B10461" t="str">
        <f>"1552376517556808"</f>
        <v>1552376517556808</v>
      </c>
      <c r="C10461" t="s">
        <v>40</v>
      </c>
      <c r="D10461">
        <v>4.3784299999999998</v>
      </c>
      <c r="E10461">
        <v>0.4823364</v>
      </c>
      <c r="F10461" t="s">
        <v>42</v>
      </c>
      <c r="G10461">
        <v>-112.8567</v>
      </c>
      <c r="H10461" s="1">
        <v>-3.461676E-6</v>
      </c>
      <c r="I10461">
        <v>137.2773</v>
      </c>
      <c r="J10461">
        <v>-145.90049999999999</v>
      </c>
      <c r="K10461">
        <v>1.1094740000000001</v>
      </c>
      <c r="L10461">
        <v>137.41970000000001</v>
      </c>
      <c r="M10461">
        <v>0.99984070000000003</v>
      </c>
      <c r="N10461">
        <v>0</v>
      </c>
      <c r="O10461">
        <v>1.1454590000000001E-2</v>
      </c>
      <c r="P10461">
        <v>0.99784720000000005</v>
      </c>
      <c r="Q10461">
        <v>-4.0661839999999998E-2</v>
      </c>
      <c r="R10461">
        <v>-5.1460539999999999E-2</v>
      </c>
      <c r="S10461">
        <v>3.0011139999999998</v>
      </c>
      <c r="T10461">
        <v>-9.9741940000000001E-2</v>
      </c>
      <c r="U10461">
        <v>-1.261902E-2</v>
      </c>
      <c r="V10461">
        <v>6.2844109999999995E-2</v>
      </c>
      <c r="W10461">
        <v>-2.7101859999999998E-2</v>
      </c>
      <c r="X10461">
        <v>0.99765530000000002</v>
      </c>
      <c r="Y10461">
        <v>1.5645070000000001E-2</v>
      </c>
      <c r="Z10461">
        <v>-6.4052680000000004E-4</v>
      </c>
      <c r="AA10461">
        <v>0.99987740000000003</v>
      </c>
      <c r="AB10461">
        <v>22</v>
      </c>
      <c r="AC10461">
        <v>33.043799999999898</v>
      </c>
      <c r="AD10461">
        <v>-1.1094774616759999</v>
      </c>
      <c r="AE10461">
        <v>-0.14240000000000899</v>
      </c>
      <c r="AF10461">
        <v>0.52034270642130698</v>
      </c>
      <c r="AG10461">
        <v>-1.1094774616759999</v>
      </c>
      <c r="AH10461">
        <v>33.002795577806403</v>
      </c>
      <c r="AI10461">
        <v>91.925187038472302</v>
      </c>
      <c r="AJ10461">
        <v>89.096713765642207</v>
      </c>
      <c r="AK10461">
        <v>33.025538795310702</v>
      </c>
      <c r="AL10461">
        <v>91.553012359234401</v>
      </c>
      <c r="AM10461">
        <v>86.395597671341207</v>
      </c>
      <c r="AN10461">
        <v>0.99999999529761996</v>
      </c>
    </row>
    <row r="10462" spans="1:40" x14ac:dyDescent="0.25">
      <c r="A10462" t="str">
        <f>"20190312154157589"</f>
        <v>20190312154157589</v>
      </c>
      <c r="B10462" t="str">
        <f>"1552376517576325"</f>
        <v>1552376517576325</v>
      </c>
      <c r="C10462" t="s">
        <v>40</v>
      </c>
      <c r="D10462">
        <v>4.3651049999999998</v>
      </c>
      <c r="E10462">
        <v>0.48171510000000001</v>
      </c>
      <c r="F10462" t="s">
        <v>42</v>
      </c>
      <c r="G10462">
        <v>-112.98909999999999</v>
      </c>
      <c r="H10462" s="1">
        <v>-3.4072729999999999E-6</v>
      </c>
      <c r="I10462">
        <v>137.2637</v>
      </c>
      <c r="J10462">
        <v>-145.66999999999999</v>
      </c>
      <c r="K10462">
        <v>1.109623</v>
      </c>
      <c r="L10462">
        <v>137.42099999999999</v>
      </c>
      <c r="M10462">
        <v>0.99985179999999996</v>
      </c>
      <c r="N10462">
        <v>0</v>
      </c>
      <c r="O10462">
        <v>1.0456439999999999E-2</v>
      </c>
      <c r="P10462">
        <v>0.9978302</v>
      </c>
      <c r="Q10462">
        <v>-3.8397269999999997E-2</v>
      </c>
      <c r="R10462">
        <v>-5.3485659999999997E-2</v>
      </c>
      <c r="S10462">
        <v>3.001617</v>
      </c>
      <c r="T10462">
        <v>-0.1011876</v>
      </c>
      <c r="U10462">
        <v>-1.422119E-2</v>
      </c>
      <c r="V10462">
        <v>6.388489E-2</v>
      </c>
      <c r="W10462">
        <v>-2.482409E-2</v>
      </c>
      <c r="X10462">
        <v>0.99764850000000005</v>
      </c>
      <c r="Y10462">
        <v>1.5180269999999999E-2</v>
      </c>
      <c r="Z10462">
        <v>-6.0822280000000001E-4</v>
      </c>
      <c r="AA10462">
        <v>0.99988460000000001</v>
      </c>
      <c r="AB10462">
        <v>22</v>
      </c>
      <c r="AC10462">
        <v>32.680899999999902</v>
      </c>
      <c r="AD10462">
        <v>-1.109626407273</v>
      </c>
      <c r="AE10462">
        <v>-0.157299999999992</v>
      </c>
      <c r="AF10462">
        <v>0.49847458810775502</v>
      </c>
      <c r="AG10462">
        <v>-1.109626407273</v>
      </c>
      <c r="AH10462">
        <v>32.639840706772802</v>
      </c>
      <c r="AI10462">
        <v>91.946854784210004</v>
      </c>
      <c r="AJ10462">
        <v>89.125048732800593</v>
      </c>
      <c r="AK10462">
        <v>32.662500655066303</v>
      </c>
      <c r="AL10462">
        <v>91.422461676570293</v>
      </c>
      <c r="AM10462">
        <v>86.336040471901896</v>
      </c>
      <c r="AN10462">
        <v>1.00000002208344</v>
      </c>
    </row>
    <row r="10463" spans="1:40" x14ac:dyDescent="0.25">
      <c r="A10463" t="str">
        <f>"20190312154157611"</f>
        <v>20190312154157611</v>
      </c>
      <c r="B10463" t="str">
        <f>"1552376517606581"</f>
        <v>1552376517606581</v>
      </c>
      <c r="C10463" t="s">
        <v>40</v>
      </c>
      <c r="D10463">
        <v>4.3149769999999998</v>
      </c>
      <c r="E10463">
        <v>0.48079519999999998</v>
      </c>
      <c r="F10463" t="s">
        <v>42</v>
      </c>
      <c r="G10463">
        <v>-112.0042</v>
      </c>
      <c r="H10463" s="1">
        <v>-3.8321339999999998E-6</v>
      </c>
      <c r="I10463">
        <v>137.25049999999999</v>
      </c>
      <c r="J10463">
        <v>-145.4443</v>
      </c>
      <c r="K10463">
        <v>1.109758</v>
      </c>
      <c r="L10463">
        <v>137.42230000000001</v>
      </c>
      <c r="M10463">
        <v>0.99985979999999997</v>
      </c>
      <c r="N10463">
        <v>0</v>
      </c>
      <c r="O10463">
        <v>9.6532579999999996E-3</v>
      </c>
      <c r="P10463">
        <v>0.99797760000000002</v>
      </c>
      <c r="Q10463">
        <v>-3.6319839999999999E-2</v>
      </c>
      <c r="R10463">
        <v>-5.2172120000000002E-2</v>
      </c>
      <c r="S10463">
        <v>3.0019070000000001</v>
      </c>
      <c r="T10463">
        <v>-9.8942879999999997E-2</v>
      </c>
      <c r="U10463">
        <v>-1.5197749999999999E-2</v>
      </c>
      <c r="V10463">
        <v>6.1780950000000001E-2</v>
      </c>
      <c r="W10463">
        <v>-2.2728999999999999E-2</v>
      </c>
      <c r="X10463">
        <v>0.99783089999999997</v>
      </c>
      <c r="Y10463">
        <v>1.470321E-2</v>
      </c>
      <c r="Z10463">
        <v>-5.6035269999999999E-4</v>
      </c>
      <c r="AA10463">
        <v>0.9998918</v>
      </c>
      <c r="AB10463">
        <v>22</v>
      </c>
      <c r="AC10463">
        <v>33.440100000000001</v>
      </c>
      <c r="AD10463">
        <v>-1.1097618321339999</v>
      </c>
      <c r="AE10463">
        <v>-0.17180000000001799</v>
      </c>
      <c r="AF10463">
        <v>0.49408398072363402</v>
      </c>
      <c r="AG10463">
        <v>-1.1097618321339999</v>
      </c>
      <c r="AH10463">
        <v>33.400098872790203</v>
      </c>
      <c r="AI10463">
        <v>91.902818844783795</v>
      </c>
      <c r="AJ10463">
        <v>89.152491666093994</v>
      </c>
      <c r="AK10463">
        <v>33.4221826788173</v>
      </c>
      <c r="AL10463">
        <v>91.3023879273467</v>
      </c>
      <c r="AM10463">
        <v>86.457040157574696</v>
      </c>
      <c r="AN10463">
        <v>0.999999999109356</v>
      </c>
    </row>
    <row r="10464" spans="1:40" x14ac:dyDescent="0.25">
      <c r="A10464" t="str">
        <f>"20190312154157632"</f>
        <v>20190312154157632</v>
      </c>
      <c r="B10464" t="str">
        <f>"1552376517626101"</f>
        <v>1552376517626101</v>
      </c>
      <c r="C10464" t="s">
        <v>40</v>
      </c>
      <c r="D10464">
        <v>4.3444129999999896</v>
      </c>
      <c r="E10464">
        <v>0.48008489999999998</v>
      </c>
      <c r="F10464" t="s">
        <v>42</v>
      </c>
      <c r="G10464">
        <v>-111.607</v>
      </c>
      <c r="H10464" s="1">
        <v>-3.9796650000000003E-6</v>
      </c>
      <c r="I10464">
        <v>137.37950000000001</v>
      </c>
      <c r="J10464">
        <v>-145.23140000000001</v>
      </c>
      <c r="K10464">
        <v>1.109874</v>
      </c>
      <c r="L10464">
        <v>137.42359999999999</v>
      </c>
      <c r="M10464">
        <v>0.99986540000000002</v>
      </c>
      <c r="N10464">
        <v>0</v>
      </c>
      <c r="O10464">
        <v>9.0656929999999997E-3</v>
      </c>
      <c r="P10464">
        <v>0.99811519999999998</v>
      </c>
      <c r="Q10464">
        <v>-3.6010779999999999E-2</v>
      </c>
      <c r="R10464">
        <v>-4.9696419999999998E-2</v>
      </c>
      <c r="S10464">
        <v>3.0023040000000001</v>
      </c>
      <c r="T10464">
        <v>-9.8466399999999996E-2</v>
      </c>
      <c r="U10464">
        <v>-3.799438E-3</v>
      </c>
      <c r="V10464">
        <v>5.8726180000000003E-2</v>
      </c>
      <c r="W10464">
        <v>-2.2404130000000001E-2</v>
      </c>
      <c r="X10464">
        <v>0.99802270000000004</v>
      </c>
      <c r="Y10464">
        <v>1.032156E-2</v>
      </c>
      <c r="Z10464">
        <v>-4.6648449999999998E-4</v>
      </c>
      <c r="AA10464">
        <v>0.99994660000000002</v>
      </c>
      <c r="AB10464">
        <v>22</v>
      </c>
      <c r="AC10464">
        <v>33.624399999999902</v>
      </c>
      <c r="AD10464">
        <v>-1.109877979665</v>
      </c>
      <c r="AE10464">
        <v>-4.4099999999985998E-2</v>
      </c>
      <c r="AF10464">
        <v>0.34857539521557501</v>
      </c>
      <c r="AG10464">
        <v>-1.109877979665</v>
      </c>
      <c r="AH10464">
        <v>33.5860250345427</v>
      </c>
      <c r="AI10464">
        <v>91.892595817250495</v>
      </c>
      <c r="AJ10464">
        <v>89.405372266511606</v>
      </c>
      <c r="AK10464">
        <v>33.606166272825902</v>
      </c>
      <c r="AL10464">
        <v>91.283769492715194</v>
      </c>
      <c r="AM10464">
        <v>86.632454476312304</v>
      </c>
      <c r="AN10464">
        <v>1.00000000948686</v>
      </c>
    </row>
    <row r="10465" spans="1:40" x14ac:dyDescent="0.25">
      <c r="A10465" t="str">
        <f>"20190312154157655"</f>
        <v>20190312154157655</v>
      </c>
      <c r="B10465" t="str">
        <f>"1552376517646597"</f>
        <v>1552376517646597</v>
      </c>
      <c r="C10465" t="s">
        <v>40</v>
      </c>
      <c r="D10465">
        <v>4.3168290000000002</v>
      </c>
      <c r="E10465">
        <v>0.47965089999999999</v>
      </c>
      <c r="F10465" t="s">
        <v>42</v>
      </c>
      <c r="G10465">
        <v>-111.9085</v>
      </c>
      <c r="H10465" s="1">
        <v>-3.8240619999999997E-6</v>
      </c>
      <c r="I10465">
        <v>137.5275</v>
      </c>
      <c r="J10465">
        <v>-145.0061</v>
      </c>
      <c r="K10465">
        <v>1.109982</v>
      </c>
      <c r="L10465">
        <v>137.42500000000001</v>
      </c>
      <c r="M10465">
        <v>0.99986940000000002</v>
      </c>
      <c r="N10465">
        <v>0</v>
      </c>
      <c r="O10465">
        <v>8.6162630000000007E-3</v>
      </c>
      <c r="P10465">
        <v>0.99821470000000001</v>
      </c>
      <c r="Q10465">
        <v>-3.7352219999999998E-2</v>
      </c>
      <c r="R10465">
        <v>-4.6608120000000003E-2</v>
      </c>
      <c r="S10465">
        <v>3.0025330000000001</v>
      </c>
      <c r="T10465">
        <v>-0.10000439999999999</v>
      </c>
      <c r="U10465">
        <v>9.3688959999999998E-3</v>
      </c>
      <c r="V10465">
        <v>5.5195569999999999E-2</v>
      </c>
      <c r="W10465">
        <v>-2.373103E-2</v>
      </c>
      <c r="X10465">
        <v>0.99819349999999996</v>
      </c>
      <c r="Y10465">
        <v>5.4890059999999899E-3</v>
      </c>
      <c r="Z10465">
        <v>-3.783069E-4</v>
      </c>
      <c r="AA10465">
        <v>0.99998489999999995</v>
      </c>
      <c r="AB10465">
        <v>22</v>
      </c>
      <c r="AC10465">
        <v>33.0976</v>
      </c>
      <c r="AD10465">
        <v>-1.109985824062</v>
      </c>
      <c r="AE10465">
        <v>0.102499999999992</v>
      </c>
      <c r="AF10465">
        <v>0.182502830157452</v>
      </c>
      <c r="AG10465">
        <v>-1.109985824062</v>
      </c>
      <c r="AH10465">
        <v>33.060071666202298</v>
      </c>
      <c r="AI10465">
        <v>91.922943626808603</v>
      </c>
      <c r="AJ10465">
        <v>89.683711039539304</v>
      </c>
      <c r="AK10465">
        <v>33.079203654064301</v>
      </c>
      <c r="AL10465">
        <v>91.359815531760404</v>
      </c>
      <c r="AM10465">
        <v>86.835026546508104</v>
      </c>
      <c r="AN10465">
        <v>0.99999998808736701</v>
      </c>
    </row>
    <row r="10466" spans="1:40" x14ac:dyDescent="0.25">
      <c r="A10466" t="str">
        <f>"20190312154157678"</f>
        <v>20190312154157678</v>
      </c>
      <c r="B10466" t="str">
        <f>"1552376517666117"</f>
        <v>1552376517666117</v>
      </c>
      <c r="C10466" t="s">
        <v>40</v>
      </c>
      <c r="D10466">
        <v>4.262448</v>
      </c>
      <c r="E10466">
        <v>0.47930990000000001</v>
      </c>
      <c r="F10466" t="s">
        <v>42</v>
      </c>
      <c r="G10466">
        <v>-112.84099999999999</v>
      </c>
      <c r="H10466" s="1">
        <v>-3.400173E-6</v>
      </c>
      <c r="I10466">
        <v>137.66200000000001</v>
      </c>
      <c r="J10466">
        <v>-144.7808</v>
      </c>
      <c r="K10466">
        <v>1.110093</v>
      </c>
      <c r="L10466">
        <v>137.4265</v>
      </c>
      <c r="M10466">
        <v>0.99987190000000004</v>
      </c>
      <c r="N10466">
        <v>0</v>
      </c>
      <c r="O10466">
        <v>8.3318400000000001E-3</v>
      </c>
      <c r="P10466">
        <v>0.99821990000000005</v>
      </c>
      <c r="Q10466">
        <v>-3.8443739999999997E-2</v>
      </c>
      <c r="R10466">
        <v>-4.560078E-2</v>
      </c>
      <c r="S10466">
        <v>3.0025179999999998</v>
      </c>
      <c r="T10466">
        <v>-0.1036136</v>
      </c>
      <c r="U10466">
        <v>2.2125240000000001E-2</v>
      </c>
      <c r="V10466">
        <v>5.3910130000000001E-2</v>
      </c>
      <c r="W10466">
        <v>-2.4812230000000001E-2</v>
      </c>
      <c r="X10466">
        <v>0.9982375</v>
      </c>
      <c r="Y10466">
        <v>9.5842110000000002E-4</v>
      </c>
      <c r="Z10466">
        <v>-3.0398730000000002E-4</v>
      </c>
      <c r="AA10466">
        <v>0.99999950000000004</v>
      </c>
      <c r="AB10466">
        <v>22</v>
      </c>
      <c r="AC10466">
        <v>31.939799999999899</v>
      </c>
      <c r="AD10466">
        <v>-1.110096400173</v>
      </c>
      <c r="AE10466">
        <v>0.23550000000000099</v>
      </c>
      <c r="AF10466">
        <v>3.06133550285612E-2</v>
      </c>
      <c r="AG10466">
        <v>-1.110096400173</v>
      </c>
      <c r="AH10466">
        <v>31.902118698561701</v>
      </c>
      <c r="AI10466">
        <v>91.9929133068688</v>
      </c>
      <c r="AJ10466">
        <v>89.9450188397185</v>
      </c>
      <c r="AK10466">
        <v>31.9214415190214</v>
      </c>
      <c r="AL10466">
        <v>91.421781931366894</v>
      </c>
      <c r="AM10466">
        <v>86.908726391084599</v>
      </c>
      <c r="AN10466">
        <v>1.0000000276402099</v>
      </c>
    </row>
    <row r="10467" spans="1:40" x14ac:dyDescent="0.25">
      <c r="A10467" t="str">
        <f>"20190312154157700"</f>
        <v>20190312154157700</v>
      </c>
      <c r="B10467" t="str">
        <f>"1552376517686613"</f>
        <v>1552376517686613</v>
      </c>
      <c r="C10467" t="s">
        <v>40</v>
      </c>
      <c r="D10467">
        <v>4.3233050000000004</v>
      </c>
      <c r="E10467">
        <v>0.47898819999999998</v>
      </c>
      <c r="F10467" t="s">
        <v>42</v>
      </c>
      <c r="G10467">
        <v>-113.3614</v>
      </c>
      <c r="H10467" s="1">
        <v>-3.167066E-6</v>
      </c>
      <c r="I10467">
        <v>137.7175</v>
      </c>
      <c r="J10467">
        <v>-144.56979999999999</v>
      </c>
      <c r="K10467">
        <v>1.1101909999999999</v>
      </c>
      <c r="L10467">
        <v>137.428</v>
      </c>
      <c r="M10467">
        <v>0.99987300000000001</v>
      </c>
      <c r="N10467">
        <v>0</v>
      </c>
      <c r="O10467">
        <v>8.192497E-3</v>
      </c>
      <c r="P10467">
        <v>0.99822829999999996</v>
      </c>
      <c r="Q10467">
        <v>-3.8150089999999998E-2</v>
      </c>
      <c r="R10467">
        <v>-4.5662679999999997E-2</v>
      </c>
      <c r="S10467">
        <v>3.0025330000000001</v>
      </c>
      <c r="T10467">
        <v>-0.106084</v>
      </c>
      <c r="U10467">
        <v>2.7816770000000001E-2</v>
      </c>
      <c r="V10467">
        <v>5.3838289999999997E-2</v>
      </c>
      <c r="W10467">
        <v>-2.451066E-2</v>
      </c>
      <c r="X10467">
        <v>0.99824880000000005</v>
      </c>
      <c r="Y10467">
        <v>-1.0752559999999999E-3</v>
      </c>
      <c r="Z10467">
        <v>-2.7038970000000002E-4</v>
      </c>
      <c r="AA10467">
        <v>0.99999939999999998</v>
      </c>
      <c r="AB10467">
        <v>22</v>
      </c>
      <c r="AC10467">
        <v>31.208399999999902</v>
      </c>
      <c r="AD10467">
        <v>-1.1101941670659901</v>
      </c>
      <c r="AE10467">
        <v>0.28950000000000298</v>
      </c>
      <c r="AF10467">
        <v>-3.37489626221519E-2</v>
      </c>
      <c r="AG10467">
        <v>-1.1101941670659901</v>
      </c>
      <c r="AH10467">
        <v>31.170282491215399</v>
      </c>
      <c r="AI10467">
        <v>92.039844382230598</v>
      </c>
      <c r="AJ10467">
        <v>90.062035766474807</v>
      </c>
      <c r="AK10467">
        <v>31.1900654161423</v>
      </c>
      <c r="AL10467">
        <v>91.404498025207204</v>
      </c>
      <c r="AM10467">
        <v>86.912872690613796</v>
      </c>
      <c r="AN10467">
        <v>1.0000000003125999</v>
      </c>
    </row>
    <row r="10468" spans="1:40" x14ac:dyDescent="0.25">
      <c r="A10468" t="str">
        <f>"20190312154157721"</f>
        <v>20190312154157721</v>
      </c>
      <c r="B10468" t="str">
        <f>"1552376517716869"</f>
        <v>1552376517716869</v>
      </c>
      <c r="C10468" t="s">
        <v>40</v>
      </c>
      <c r="D10468">
        <v>4.2603229999999996</v>
      </c>
      <c r="E10468">
        <v>0.47852410000000001</v>
      </c>
      <c r="F10468" t="s">
        <v>42</v>
      </c>
      <c r="G10468">
        <v>-114.0699</v>
      </c>
      <c r="H10468" s="1">
        <v>-2.859796E-6</v>
      </c>
      <c r="I10468">
        <v>137.7362</v>
      </c>
      <c r="J10468">
        <v>-144.3468</v>
      </c>
      <c r="K10468">
        <v>1.110279</v>
      </c>
      <c r="L10468">
        <v>137.42959999999999</v>
      </c>
      <c r="M10468">
        <v>0.99987360000000003</v>
      </c>
      <c r="N10468">
        <v>0</v>
      </c>
      <c r="O10468">
        <v>8.1379650000000005E-3</v>
      </c>
      <c r="P10468">
        <v>0.99824440000000003</v>
      </c>
      <c r="Q10468">
        <v>-3.8186339999999999E-2</v>
      </c>
      <c r="R10468">
        <v>-4.5281099999999998E-2</v>
      </c>
      <c r="S10468">
        <v>3.0025330000000001</v>
      </c>
      <c r="T10468">
        <v>-0.10929170000000001</v>
      </c>
      <c r="U10468">
        <v>3.0349729999999998E-2</v>
      </c>
      <c r="V10468">
        <v>5.3406509999999997E-2</v>
      </c>
      <c r="W10468">
        <v>-2.4541150000000001E-2</v>
      </c>
      <c r="X10468">
        <v>0.99827120000000003</v>
      </c>
      <c r="Y10468">
        <v>-1.972966E-3</v>
      </c>
      <c r="Z10468">
        <v>-2.6024210000000003E-4</v>
      </c>
      <c r="AA10468">
        <v>0.99999800000000005</v>
      </c>
      <c r="AB10468">
        <v>22</v>
      </c>
      <c r="AC10468">
        <v>30.276900000000001</v>
      </c>
      <c r="AD10468">
        <v>-1.110281859796</v>
      </c>
      <c r="AE10468">
        <v>0.30660000000000298</v>
      </c>
      <c r="AF10468">
        <v>-6.0093703401010501E-2</v>
      </c>
      <c r="AG10468">
        <v>-1.110281859796</v>
      </c>
      <c r="AH10468">
        <v>30.237734340369901</v>
      </c>
      <c r="AI10468">
        <v>92.1028616868863</v>
      </c>
      <c r="AJ10468">
        <v>90.113868023589305</v>
      </c>
      <c r="AK10468">
        <v>30.2581710468456</v>
      </c>
      <c r="AL10468">
        <v>91.406245561427795</v>
      </c>
      <c r="AM10468">
        <v>86.937652543923505</v>
      </c>
      <c r="AN10468">
        <v>0.99999995605156999</v>
      </c>
    </row>
    <row r="10469" spans="1:40" x14ac:dyDescent="0.25">
      <c r="A10469" t="str">
        <f>"20190312154157744"</f>
        <v>20190312154157744</v>
      </c>
      <c r="B10469" t="str">
        <f>"1552376517736389"</f>
        <v>1552376517736389</v>
      </c>
      <c r="C10469" t="s">
        <v>40</v>
      </c>
      <c r="D10469">
        <v>4.2362549999999999</v>
      </c>
      <c r="E10469">
        <v>0.47827890000000001</v>
      </c>
      <c r="F10469" t="s">
        <v>42</v>
      </c>
      <c r="G10469">
        <v>-115.59059999999999</v>
      </c>
      <c r="H10469" s="1">
        <v>-2.2017870000000001E-6</v>
      </c>
      <c r="I10469">
        <v>137.7681</v>
      </c>
      <c r="J10469">
        <v>-144.12809999999999</v>
      </c>
      <c r="K10469">
        <v>1.1103350000000001</v>
      </c>
      <c r="L10469">
        <v>137.4314</v>
      </c>
      <c r="M10469">
        <v>0.99987349999999997</v>
      </c>
      <c r="N10469">
        <v>0</v>
      </c>
      <c r="O10469">
        <v>8.1551809999999992E-3</v>
      </c>
      <c r="P10469">
        <v>0.99831599999999998</v>
      </c>
      <c r="Q10469">
        <v>-3.908122E-2</v>
      </c>
      <c r="R10469">
        <v>-4.2874379999999997E-2</v>
      </c>
      <c r="S10469">
        <v>3.0024570000000002</v>
      </c>
      <c r="T10469">
        <v>-0.1159251</v>
      </c>
      <c r="U10469">
        <v>3.533936E-2</v>
      </c>
      <c r="V10469">
        <v>5.1020599999999999E-2</v>
      </c>
      <c r="W10469">
        <v>-2.5432929999999999E-2</v>
      </c>
      <c r="X10469">
        <v>0.99837370000000003</v>
      </c>
      <c r="Y10469">
        <v>-3.6169459999999998E-3</v>
      </c>
      <c r="Z10469">
        <v>-2.4497020000000002E-4</v>
      </c>
      <c r="AA10469">
        <v>0.99999340000000003</v>
      </c>
      <c r="AB10469">
        <v>22</v>
      </c>
      <c r="AC10469">
        <v>28.537499999999898</v>
      </c>
      <c r="AD10469">
        <v>-1.1103372017869999</v>
      </c>
      <c r="AE10469">
        <v>0.33670000000000699</v>
      </c>
      <c r="AF10469">
        <v>-0.103781535163633</v>
      </c>
      <c r="AG10469">
        <v>-1.1103372017869999</v>
      </c>
      <c r="AH10469">
        <v>28.496164514795002</v>
      </c>
      <c r="AI10469">
        <v>92.231354614212407</v>
      </c>
      <c r="AJ10469">
        <v>90.208667298488294</v>
      </c>
      <c r="AK10469">
        <v>28.5179769858063</v>
      </c>
      <c r="AL10469">
        <v>91.457356704028996</v>
      </c>
      <c r="AM10469">
        <v>87.074518049451498</v>
      </c>
      <c r="AN10469">
        <v>0.99999999020221697</v>
      </c>
    </row>
    <row r="10470" spans="1:40" x14ac:dyDescent="0.25">
      <c r="A10470" t="str">
        <f>"20190312154157766"</f>
        <v>20190312154157766</v>
      </c>
      <c r="B10470" t="str">
        <f>"1552376517756885"</f>
        <v>1552376517756885</v>
      </c>
      <c r="C10470" t="s">
        <v>40</v>
      </c>
      <c r="D10470">
        <v>4.1627140000000002</v>
      </c>
      <c r="E10470">
        <v>0.47809829999999998</v>
      </c>
      <c r="F10470" t="s">
        <v>42</v>
      </c>
      <c r="G10470">
        <v>-116.9337</v>
      </c>
      <c r="H10470" s="1">
        <v>-1.6137309999999999E-6</v>
      </c>
      <c r="I10470">
        <v>137.8348</v>
      </c>
      <c r="J10470">
        <v>-143.90790000000001</v>
      </c>
      <c r="K10470">
        <v>1.110344</v>
      </c>
      <c r="L10470">
        <v>137.4333</v>
      </c>
      <c r="M10470">
        <v>0.99987289999999995</v>
      </c>
      <c r="N10470">
        <v>0</v>
      </c>
      <c r="O10470">
        <v>8.2196830000000002E-3</v>
      </c>
      <c r="P10470">
        <v>0.99844659999999996</v>
      </c>
      <c r="Q10470">
        <v>-3.9516240000000001E-2</v>
      </c>
      <c r="R10470">
        <v>-3.9280379999999997E-2</v>
      </c>
      <c r="S10470">
        <v>3.0021819999999999</v>
      </c>
      <c r="T10470">
        <v>-0.12257800000000001</v>
      </c>
      <c r="U10470">
        <v>4.4540410000000002E-2</v>
      </c>
      <c r="V10470">
        <v>4.7493630000000002E-2</v>
      </c>
      <c r="W10470">
        <v>-2.5867569999999999E-2</v>
      </c>
      <c r="X10470">
        <v>0.99853650000000005</v>
      </c>
      <c r="Y10470">
        <v>-6.6156699999999997E-3</v>
      </c>
      <c r="Z10470">
        <v>-2.0047779999999999E-4</v>
      </c>
      <c r="AA10470">
        <v>0.99997809999999998</v>
      </c>
      <c r="AB10470">
        <v>22</v>
      </c>
      <c r="AC10470">
        <v>26.9742</v>
      </c>
      <c r="AD10470">
        <v>-1.1103456137309999</v>
      </c>
      <c r="AE10470">
        <v>0.40149999999999803</v>
      </c>
      <c r="AF10470">
        <v>-0.17944238702211199</v>
      </c>
      <c r="AG10470">
        <v>-1.1103456137309999</v>
      </c>
      <c r="AH10470">
        <v>26.930967026904199</v>
      </c>
      <c r="AI10470">
        <v>92.360876871775304</v>
      </c>
      <c r="AJ10470">
        <v>90.381759009458406</v>
      </c>
      <c r="AK10470">
        <v>26.954444011264499</v>
      </c>
      <c r="AL10470">
        <v>91.482267984750294</v>
      </c>
      <c r="AM10470">
        <v>87.2768793899305</v>
      </c>
      <c r="AN10470">
        <v>0.99999995895026506</v>
      </c>
    </row>
    <row r="10471" spans="1:40" x14ac:dyDescent="0.25">
      <c r="A10471" t="str">
        <f>"20190312154157790"</f>
        <v>20190312154157790</v>
      </c>
      <c r="B10471" t="str">
        <f>"1552376517776405"</f>
        <v>1552376517776405</v>
      </c>
      <c r="C10471" t="s">
        <v>40</v>
      </c>
      <c r="D10471">
        <v>4.1726859999999997</v>
      </c>
      <c r="E10471">
        <v>0.47815859999999899</v>
      </c>
      <c r="F10471" t="s">
        <v>42</v>
      </c>
      <c r="G10471">
        <v>-117.71080000000001</v>
      </c>
      <c r="H10471" s="1">
        <v>-1.2637099999999999E-6</v>
      </c>
      <c r="I10471">
        <v>137.9289</v>
      </c>
      <c r="J10471">
        <v>-143.6824</v>
      </c>
      <c r="K10471">
        <v>1.110325</v>
      </c>
      <c r="L10471">
        <v>137.43520000000001</v>
      </c>
      <c r="M10471">
        <v>0.99987230000000005</v>
      </c>
      <c r="N10471">
        <v>0</v>
      </c>
      <c r="O10471">
        <v>8.3061990000000002E-3</v>
      </c>
      <c r="P10471">
        <v>0.99850879999999997</v>
      </c>
      <c r="Q10471">
        <v>-4.16592E-2</v>
      </c>
      <c r="R10471">
        <v>-3.5284160000000002E-2</v>
      </c>
      <c r="S10471">
        <v>3.001862</v>
      </c>
      <c r="T10471">
        <v>-0.1272315</v>
      </c>
      <c r="U10471">
        <v>5.6793209999999997E-2</v>
      </c>
      <c r="V10471">
        <v>4.3584949999999997E-2</v>
      </c>
      <c r="W10471">
        <v>-2.8013440000000001E-2</v>
      </c>
      <c r="X10471">
        <v>0.99865689999999996</v>
      </c>
      <c r="Y10471">
        <v>-1.0607739999999999E-2</v>
      </c>
      <c r="Z10471">
        <v>-1.2720559999999999E-4</v>
      </c>
      <c r="AA10471">
        <v>0.99994369999999999</v>
      </c>
      <c r="AB10471">
        <v>22</v>
      </c>
      <c r="AC10471">
        <v>25.971599999999899</v>
      </c>
      <c r="AD10471">
        <v>-1.11032626371</v>
      </c>
      <c r="AE10471">
        <v>0.49369999999998898</v>
      </c>
      <c r="AF10471">
        <v>-0.27743070460803398</v>
      </c>
      <c r="AG10471">
        <v>-1.11032626371</v>
      </c>
      <c r="AH10471">
        <v>25.927434706265199</v>
      </c>
      <c r="AI10471">
        <v>92.452017626408406</v>
      </c>
      <c r="AJ10471">
        <v>90.613057251611707</v>
      </c>
      <c r="AK10471">
        <v>25.952681222860001</v>
      </c>
      <c r="AL10471">
        <v>91.605261880279699</v>
      </c>
      <c r="AM10471">
        <v>87.500993634116398</v>
      </c>
      <c r="AN10471">
        <v>1.0000000023023701</v>
      </c>
    </row>
    <row r="10472" spans="1:40" x14ac:dyDescent="0.25">
      <c r="A10472" t="str">
        <f>"20190312154157812"</f>
        <v>20190312154157812</v>
      </c>
      <c r="B10472" t="str">
        <f>"1552376517806661"</f>
        <v>1552376517806661</v>
      </c>
      <c r="C10472" t="s">
        <v>40</v>
      </c>
      <c r="D10472">
        <v>4.117623</v>
      </c>
      <c r="E10472">
        <v>0.47816419999999998</v>
      </c>
      <c r="F10472" t="s">
        <v>42</v>
      </c>
      <c r="G10472">
        <v>-118.9739</v>
      </c>
      <c r="H10472" s="1">
        <v>-7.6607609999999998E-7</v>
      </c>
      <c r="I10472">
        <v>137.99709999999999</v>
      </c>
      <c r="J10472">
        <v>-143.4623</v>
      </c>
      <c r="K10472">
        <v>1.1102879999999999</v>
      </c>
      <c r="L10472">
        <v>137.43709999999999</v>
      </c>
      <c r="M10472">
        <v>0.99987159999999997</v>
      </c>
      <c r="N10472">
        <v>0</v>
      </c>
      <c r="O10472">
        <v>8.3874239999999992E-3</v>
      </c>
      <c r="P10472">
        <v>0.99855550000000004</v>
      </c>
      <c r="Q10472">
        <v>-4.3480150000000002E-2</v>
      </c>
      <c r="R10472">
        <v>-3.1568260000000001E-2</v>
      </c>
      <c r="S10472">
        <v>3.0012660000000002</v>
      </c>
      <c r="T10472">
        <v>-0.13486799999999999</v>
      </c>
      <c r="U10472">
        <v>6.8252560000000004E-2</v>
      </c>
      <c r="V10472">
        <v>3.995021E-2</v>
      </c>
      <c r="W10472">
        <v>-2.983854E-2</v>
      </c>
      <c r="X10472">
        <v>0.99875610000000004</v>
      </c>
      <c r="Y10472">
        <v>-1.4342529999999999E-2</v>
      </c>
      <c r="Z10472" s="1">
        <v>-5.4638749999999999E-5</v>
      </c>
      <c r="AA10472">
        <v>0.99989709999999998</v>
      </c>
      <c r="AB10472">
        <v>22</v>
      </c>
      <c r="AC10472">
        <v>24.488399999999999</v>
      </c>
      <c r="AD10472">
        <v>-1.1102887660760901</v>
      </c>
      <c r="AE10472">
        <v>0.56000000000000205</v>
      </c>
      <c r="AF10472">
        <v>-0.35383956210444401</v>
      </c>
      <c r="AG10472">
        <v>-1.1102887660760901</v>
      </c>
      <c r="AH10472">
        <v>24.442017661948899</v>
      </c>
      <c r="AI10472">
        <v>92.600624396194206</v>
      </c>
      <c r="AJ10472">
        <v>90.829395417372595</v>
      </c>
      <c r="AK10472">
        <v>24.469780770713999</v>
      </c>
      <c r="AL10472">
        <v>91.709876111135301</v>
      </c>
      <c r="AM10472">
        <v>87.709391904728307</v>
      </c>
      <c r="AN10472">
        <v>1.0000000525177899</v>
      </c>
    </row>
    <row r="10473" spans="1:40" x14ac:dyDescent="0.25">
      <c r="A10473" t="str">
        <f>"20190312154157835"</f>
        <v>20190312154157835</v>
      </c>
      <c r="B10473" t="str">
        <f>"1552376517826687"</f>
        <v>1552376517826687</v>
      </c>
      <c r="C10473" t="s">
        <v>40</v>
      </c>
      <c r="D10473">
        <v>4.1075819999999998</v>
      </c>
      <c r="E10473">
        <v>0.47827609999999898</v>
      </c>
      <c r="F10473" t="s">
        <v>42</v>
      </c>
      <c r="G10473">
        <v>-119.84350000000001</v>
      </c>
      <c r="H10473" s="1">
        <v>-4.5270000000000002E-7</v>
      </c>
      <c r="I10473">
        <v>138.0626</v>
      </c>
      <c r="J10473">
        <v>-143.23820000000001</v>
      </c>
      <c r="K10473">
        <v>1.1102350000000001</v>
      </c>
      <c r="L10473">
        <v>137.4391</v>
      </c>
      <c r="M10473">
        <v>0.99987110000000001</v>
      </c>
      <c r="N10473">
        <v>0</v>
      </c>
      <c r="O10473">
        <v>8.4518960000000004E-3</v>
      </c>
      <c r="P10473">
        <v>0.99855579999999999</v>
      </c>
      <c r="Q10473">
        <v>-4.4742560000000001E-2</v>
      </c>
      <c r="R10473">
        <v>-2.9736229999999999E-2</v>
      </c>
      <c r="S10473">
        <v>3.0007169999999999</v>
      </c>
      <c r="T10473">
        <v>-0.14105999999999999</v>
      </c>
      <c r="U10473">
        <v>7.9467769999999993E-2</v>
      </c>
      <c r="V10473">
        <v>3.818158E-2</v>
      </c>
      <c r="W10473">
        <v>-3.1105939999999999E-2</v>
      </c>
      <c r="X10473">
        <v>0.99878659999999997</v>
      </c>
      <c r="Y10473">
        <v>-1.8012429999999999E-2</v>
      </c>
      <c r="Z10473" s="1">
        <v>2.6016529999999999E-5</v>
      </c>
      <c r="AA10473">
        <v>0.9998378</v>
      </c>
      <c r="AB10473">
        <v>22</v>
      </c>
      <c r="AC10473">
        <v>23.3947</v>
      </c>
      <c r="AD10473">
        <v>-1.1102354527</v>
      </c>
      <c r="AE10473">
        <v>0.62350000000000705</v>
      </c>
      <c r="AF10473">
        <v>-0.42477375787339</v>
      </c>
      <c r="AG10473">
        <v>-1.1102354527</v>
      </c>
      <c r="AH10473">
        <v>23.346592029115602</v>
      </c>
      <c r="AI10473">
        <v>92.722171055682594</v>
      </c>
      <c r="AJ10473">
        <v>91.042338794585007</v>
      </c>
      <c r="AK10473">
        <v>23.3768350056156</v>
      </c>
      <c r="AL10473">
        <v>91.782526538980306</v>
      </c>
      <c r="AM10473">
        <v>87.810764917101196</v>
      </c>
      <c r="AN10473">
        <v>1.0000000424470601</v>
      </c>
    </row>
    <row r="10474" spans="1:40" x14ac:dyDescent="0.25">
      <c r="A10474" t="str">
        <f>"20190312154157857"</f>
        <v>20190312154157857</v>
      </c>
      <c r="B10474" t="str">
        <f>"1552376517846208"</f>
        <v>1552376517846208</v>
      </c>
      <c r="C10474" t="s">
        <v>40</v>
      </c>
      <c r="D10474">
        <v>4.100619</v>
      </c>
      <c r="E10474">
        <v>0.47836970000000001</v>
      </c>
      <c r="F10474" t="s">
        <v>42</v>
      </c>
      <c r="G10474">
        <v>-120.3193</v>
      </c>
      <c r="H10474" s="1">
        <v>-4.4076500000000001E-6</v>
      </c>
      <c r="I10474">
        <v>138.08090000000001</v>
      </c>
      <c r="J10474">
        <v>-143.0189</v>
      </c>
      <c r="K10474">
        <v>1.110188</v>
      </c>
      <c r="L10474">
        <v>137.441</v>
      </c>
      <c r="M10474">
        <v>0.99987090000000001</v>
      </c>
      <c r="N10474">
        <v>0</v>
      </c>
      <c r="O10474">
        <v>8.4910160000000005E-3</v>
      </c>
      <c r="P10474">
        <v>0.99850030000000001</v>
      </c>
      <c r="Q10474">
        <v>-4.6564179999999997E-2</v>
      </c>
      <c r="R10474">
        <v>-2.8797860000000002E-2</v>
      </c>
      <c r="S10474">
        <v>3.0003359999999999</v>
      </c>
      <c r="T10474">
        <v>-0.14534259999999999</v>
      </c>
      <c r="U10474">
        <v>8.4014889999999995E-2</v>
      </c>
      <c r="V10474">
        <v>3.7280300000000002E-2</v>
      </c>
      <c r="W10474">
        <v>-3.2932969999999999E-2</v>
      </c>
      <c r="X10474">
        <v>0.99876200000000004</v>
      </c>
      <c r="Y10474">
        <v>-1.9488490000000001E-2</v>
      </c>
      <c r="Z10474" s="1">
        <v>6.0639230000000003E-5</v>
      </c>
      <c r="AA10474">
        <v>0.99981010000000003</v>
      </c>
      <c r="AB10474">
        <v>22</v>
      </c>
      <c r="AC10474">
        <v>22.6996</v>
      </c>
      <c r="AD10474">
        <v>-1.11019240765</v>
      </c>
      <c r="AE10474">
        <v>0.63990000000001102</v>
      </c>
      <c r="AF10474">
        <v>-0.44605022280890999</v>
      </c>
      <c r="AG10474">
        <v>-1.11019240765</v>
      </c>
      <c r="AH10474">
        <v>22.6500796134418</v>
      </c>
      <c r="AI10474">
        <v>92.805560632344793</v>
      </c>
      <c r="AJ10474">
        <v>91.128185535181402</v>
      </c>
      <c r="AK10474">
        <v>22.681657666020001</v>
      </c>
      <c r="AL10474">
        <v>91.887261502926506</v>
      </c>
      <c r="AM10474">
        <v>87.862340909471598</v>
      </c>
      <c r="AN10474">
        <v>0.999999966962555</v>
      </c>
    </row>
    <row r="10475" spans="1:40" x14ac:dyDescent="0.25">
      <c r="A10475" t="str">
        <f>"20190312154157878"</f>
        <v>20190312154157878</v>
      </c>
      <c r="B10475" t="str">
        <f>"1552376517866703"</f>
        <v>1552376517866703</v>
      </c>
      <c r="C10475" t="s">
        <v>40</v>
      </c>
      <c r="D10475">
        <v>4.1530079999999998</v>
      </c>
      <c r="E10475">
        <v>0.47842430000000002</v>
      </c>
      <c r="F10475" t="s">
        <v>42</v>
      </c>
      <c r="G10475">
        <v>-121.04049999999999</v>
      </c>
      <c r="H10475" s="1">
        <v>-4.0997680000000001E-6</v>
      </c>
      <c r="I10475">
        <v>138.07230000000001</v>
      </c>
      <c r="J10475">
        <v>-142.81360000000001</v>
      </c>
      <c r="K10475">
        <v>1.1101430000000001</v>
      </c>
      <c r="L10475">
        <v>137.44280000000001</v>
      </c>
      <c r="M10475">
        <v>0.99987079999999995</v>
      </c>
      <c r="N10475">
        <v>0</v>
      </c>
      <c r="O10475">
        <v>8.5065169999999999E-3</v>
      </c>
      <c r="P10475">
        <v>0.99840899999999999</v>
      </c>
      <c r="Q10475">
        <v>-4.8002490000000002E-2</v>
      </c>
      <c r="R10475">
        <v>-2.9588090000000001E-2</v>
      </c>
      <c r="S10475">
        <v>2.9999389999999999</v>
      </c>
      <c r="T10475">
        <v>-0.15153559999999999</v>
      </c>
      <c r="U10475">
        <v>8.6166380000000001E-2</v>
      </c>
      <c r="V10475">
        <v>3.8083690000000003E-2</v>
      </c>
      <c r="W10475">
        <v>-3.4376619999999997E-2</v>
      </c>
      <c r="X10475">
        <v>0.99868310000000005</v>
      </c>
      <c r="Y10475">
        <v>-2.0191150000000001E-2</v>
      </c>
      <c r="Z10475" s="1">
        <v>8.017736E-5</v>
      </c>
      <c r="AA10475">
        <v>0.99979620000000002</v>
      </c>
      <c r="AB10475">
        <v>22</v>
      </c>
      <c r="AC10475">
        <v>21.773099999999999</v>
      </c>
      <c r="AD10475">
        <v>-1.1101470997679901</v>
      </c>
      <c r="AE10475">
        <v>0.62950000000000705</v>
      </c>
      <c r="AF10475">
        <v>-0.44309579828224799</v>
      </c>
      <c r="AG10475">
        <v>-1.1101470997679901</v>
      </c>
      <c r="AH10475">
        <v>21.721246220793599</v>
      </c>
      <c r="AI10475">
        <v>92.9251660416015</v>
      </c>
      <c r="AJ10475">
        <v>91.168625331437397</v>
      </c>
      <c r="AK10475">
        <v>21.7541099071858</v>
      </c>
      <c r="AL10475">
        <v>91.970023330213394</v>
      </c>
      <c r="AM10475">
        <v>87.8161461569902</v>
      </c>
      <c r="AN10475">
        <v>1.00000002683612</v>
      </c>
    </row>
    <row r="10476" spans="1:40" x14ac:dyDescent="0.25">
      <c r="A10476" t="str">
        <f>"20190312154157900"</f>
        <v>20190312154157900</v>
      </c>
      <c r="B10476" t="str">
        <f>"1552376517896959"</f>
        <v>1552376517896959</v>
      </c>
      <c r="C10476" t="s">
        <v>40</v>
      </c>
      <c r="D10476">
        <v>4.1009089999999997</v>
      </c>
      <c r="E10476">
        <v>0.51045810000000003</v>
      </c>
      <c r="F10476" t="s">
        <v>42</v>
      </c>
      <c r="G10476">
        <v>-121.462</v>
      </c>
      <c r="H10476" s="1">
        <v>-3.9254289999999999E-6</v>
      </c>
      <c r="I10476">
        <v>138.0359</v>
      </c>
      <c r="J10476">
        <v>-142.59219999999999</v>
      </c>
      <c r="K10476">
        <v>1.110112</v>
      </c>
      <c r="L10476">
        <v>137.44470000000001</v>
      </c>
      <c r="M10476">
        <v>0.99987079999999995</v>
      </c>
      <c r="N10476">
        <v>0</v>
      </c>
      <c r="O10476">
        <v>8.5070809999999997E-3</v>
      </c>
      <c r="P10476">
        <v>0.99831829999999999</v>
      </c>
      <c r="Q10476">
        <v>-4.9339000000000001E-2</v>
      </c>
      <c r="R10476">
        <v>-3.043674E-2</v>
      </c>
      <c r="S10476">
        <v>2.9997560000000001</v>
      </c>
      <c r="T10476">
        <v>-0.15596779999999999</v>
      </c>
      <c r="U10476">
        <v>8.3328250000000006E-2</v>
      </c>
      <c r="V10476">
        <v>3.8930859999999998E-2</v>
      </c>
      <c r="W10476">
        <v>-3.5718590000000001E-2</v>
      </c>
      <c r="X10476">
        <v>0.99860329999999997</v>
      </c>
      <c r="Y10476">
        <v>-1.924754E-2</v>
      </c>
      <c r="Z10476" s="1">
        <v>5.7986180000000003E-5</v>
      </c>
      <c r="AA10476">
        <v>0.99981469999999995</v>
      </c>
      <c r="AB10476">
        <v>22</v>
      </c>
      <c r="AC10476">
        <v>21.130199999999899</v>
      </c>
      <c r="AD10476">
        <v>-1.1101159254290001</v>
      </c>
      <c r="AE10476">
        <v>0.59119999999998596</v>
      </c>
      <c r="AF10476">
        <v>-0.41027403549184599</v>
      </c>
      <c r="AG10476">
        <v>-1.1101159254290001</v>
      </c>
      <c r="AH10476">
        <v>21.0763371819978</v>
      </c>
      <c r="AI10476">
        <v>93.014481194614007</v>
      </c>
      <c r="AJ10476">
        <v>91.115184388640699</v>
      </c>
      <c r="AK10476">
        <v>21.1095398140593</v>
      </c>
      <c r="AL10476">
        <v>92.046959892697203</v>
      </c>
      <c r="AM10476">
        <v>87.767436828077905</v>
      </c>
      <c r="AN10476">
        <v>0.99999999015140795</v>
      </c>
    </row>
    <row r="10477" spans="1:40" x14ac:dyDescent="0.25">
      <c r="A10477" t="str">
        <f>"20190312154157923"</f>
        <v>20190312154157923</v>
      </c>
      <c r="B10477" t="str">
        <f>"1552376517916479"</f>
        <v>1552376517916479</v>
      </c>
      <c r="C10477" t="s">
        <v>40</v>
      </c>
      <c r="D10477">
        <v>4.0481189999999998</v>
      </c>
      <c r="E10477">
        <v>0.51997119999999997</v>
      </c>
      <c r="F10477" t="s">
        <v>42</v>
      </c>
      <c r="G10477">
        <v>-119.3993</v>
      </c>
      <c r="H10477" s="1">
        <v>-1.128597E-6</v>
      </c>
      <c r="I10477">
        <v>136.09059999999999</v>
      </c>
      <c r="J10477">
        <v>-142.3683</v>
      </c>
      <c r="K10477">
        <v>1.1100950000000001</v>
      </c>
      <c r="L10477">
        <v>137.44669999999999</v>
      </c>
      <c r="M10477">
        <v>0.99987099999999995</v>
      </c>
      <c r="N10477">
        <v>0</v>
      </c>
      <c r="O10477">
        <v>8.4980980000000008E-3</v>
      </c>
      <c r="P10477">
        <v>0.99821309999999996</v>
      </c>
      <c r="Q10477">
        <v>-5.116917E-2</v>
      </c>
      <c r="R10477">
        <v>-3.0868739999999999E-2</v>
      </c>
      <c r="S10477">
        <v>2.992645</v>
      </c>
      <c r="T10477">
        <v>-0.14324039999999999</v>
      </c>
      <c r="U10477">
        <v>-0.17472839999999901</v>
      </c>
      <c r="V10477">
        <v>3.9351549999999999E-2</v>
      </c>
      <c r="W10477">
        <v>-3.7554039999999997E-2</v>
      </c>
      <c r="X10477">
        <v>0.9985195</v>
      </c>
      <c r="Y10477">
        <v>6.6683220000000001E-2</v>
      </c>
      <c r="Z10477">
        <v>-1.9998350000000002E-3</v>
      </c>
      <c r="AA10477">
        <v>0.9977722</v>
      </c>
      <c r="AB10477">
        <v>22</v>
      </c>
      <c r="AC10477">
        <v>22.969000000000001</v>
      </c>
      <c r="AD10477">
        <v>-1.1100961285969999</v>
      </c>
      <c r="AE10477">
        <v>-1.3560999999999901</v>
      </c>
      <c r="AF10477">
        <v>1.5476594915507</v>
      </c>
      <c r="AG10477">
        <v>-1.1100961285969999</v>
      </c>
      <c r="AH10477">
        <v>22.9033331677355</v>
      </c>
      <c r="AI10477">
        <v>92.7685798659912</v>
      </c>
      <c r="AJ10477">
        <v>86.134197713110098</v>
      </c>
      <c r="AK10477">
        <v>22.982389638782301</v>
      </c>
      <c r="AL10477">
        <v>92.152194027766299</v>
      </c>
      <c r="AM10477">
        <v>87.743147187223599</v>
      </c>
      <c r="AN10477">
        <v>1.0000000211439799</v>
      </c>
    </row>
    <row r="10478" spans="1:40" x14ac:dyDescent="0.25">
      <c r="A10478" t="str">
        <f>"20190312154157945"</f>
        <v>20190312154157945</v>
      </c>
      <c r="B10478" t="str">
        <f>"1552376517936508"</f>
        <v>1552376517936508</v>
      </c>
      <c r="C10478" t="s">
        <v>40</v>
      </c>
      <c r="D10478">
        <v>4.0595949999999998</v>
      </c>
      <c r="E10478">
        <v>0.5244761</v>
      </c>
      <c r="F10478" t="s">
        <v>42</v>
      </c>
      <c r="G10478">
        <v>-116.774</v>
      </c>
      <c r="H10478" s="1">
        <v>-2.2347299999999999E-6</v>
      </c>
      <c r="I10478">
        <v>135.291</v>
      </c>
      <c r="J10478">
        <v>-142.15610000000001</v>
      </c>
      <c r="K10478">
        <v>1.110098</v>
      </c>
      <c r="L10478">
        <v>137.4485</v>
      </c>
      <c r="M10478">
        <v>0.99987110000000001</v>
      </c>
      <c r="N10478">
        <v>0</v>
      </c>
      <c r="O10478">
        <v>8.485846E-3</v>
      </c>
      <c r="P10478">
        <v>0.99815509999999996</v>
      </c>
      <c r="Q10478">
        <v>-5.2585300000000001E-2</v>
      </c>
      <c r="R10478">
        <v>-3.0354519999999999E-2</v>
      </c>
      <c r="S10478">
        <v>2.9909520000000001</v>
      </c>
      <c r="T10478">
        <v>-0.1297256</v>
      </c>
      <c r="U10478">
        <v>-0.2519073</v>
      </c>
      <c r="V10478">
        <v>3.8823950000000003E-2</v>
      </c>
      <c r="W10478">
        <v>-3.8974189999999999E-2</v>
      </c>
      <c r="X10478">
        <v>0.99848570000000003</v>
      </c>
      <c r="Y10478">
        <v>9.2285580000000006E-2</v>
      </c>
      <c r="Z10478">
        <v>-2.364161E-3</v>
      </c>
      <c r="AA10478">
        <v>0.99572969999999905</v>
      </c>
      <c r="AB10478">
        <v>22</v>
      </c>
      <c r="AC10478">
        <v>25.382100000000001</v>
      </c>
      <c r="AD10478">
        <v>-1.11010023473</v>
      </c>
      <c r="AE10478">
        <v>-2.1575000000000002</v>
      </c>
      <c r="AF10478">
        <v>2.3683332563377801</v>
      </c>
      <c r="AG10478">
        <v>-1.11010023473</v>
      </c>
      <c r="AH10478">
        <v>25.314801249030001</v>
      </c>
      <c r="AI10478">
        <v>92.500012823637604</v>
      </c>
      <c r="AJ10478">
        <v>84.655234729877293</v>
      </c>
      <c r="AK10478">
        <v>25.4495675252472</v>
      </c>
      <c r="AL10478">
        <v>92.233622337257501</v>
      </c>
      <c r="AM10478">
        <v>87.773299641774202</v>
      </c>
      <c r="AN10478">
        <v>0.99999998984212402</v>
      </c>
    </row>
    <row r="10479" spans="1:40" x14ac:dyDescent="0.25">
      <c r="A10479" t="str">
        <f>"20190312154157967"</f>
        <v>20190312154157967</v>
      </c>
      <c r="B10479" t="str">
        <f>"1552376517957003"</f>
        <v>1552376517957003</v>
      </c>
      <c r="C10479" t="s">
        <v>40</v>
      </c>
      <c r="D10479">
        <v>4.0768690000000003</v>
      </c>
      <c r="E10479">
        <v>0.52708060000000001</v>
      </c>
      <c r="F10479" t="s">
        <v>42</v>
      </c>
      <c r="G10479">
        <v>-115.2975</v>
      </c>
      <c r="H10479" s="1">
        <v>-2.847308E-6</v>
      </c>
      <c r="I10479">
        <v>134.87710000000001</v>
      </c>
      <c r="J10479">
        <v>-141.94040000000001</v>
      </c>
      <c r="K10479">
        <v>1.110101</v>
      </c>
      <c r="L10479">
        <v>137.4504</v>
      </c>
      <c r="M10479">
        <v>0.99987130000000002</v>
      </c>
      <c r="N10479">
        <v>0</v>
      </c>
      <c r="O10479">
        <v>8.4735250000000008E-3</v>
      </c>
      <c r="P10479">
        <v>0.99819080000000004</v>
      </c>
      <c r="Q10479">
        <v>-5.2588169999999997E-2</v>
      </c>
      <c r="R10479">
        <v>-2.9153490000000001E-2</v>
      </c>
      <c r="S10479">
        <v>2.990326</v>
      </c>
      <c r="T10479">
        <v>-0.12359389999999899</v>
      </c>
      <c r="U10479">
        <v>-0.28628540000000002</v>
      </c>
      <c r="V10479">
        <v>3.7610150000000002E-2</v>
      </c>
      <c r="W10479">
        <v>-3.8979529999999998E-2</v>
      </c>
      <c r="X10479">
        <v>0.99853190000000003</v>
      </c>
      <c r="Y10479">
        <v>0.10363890000000001</v>
      </c>
      <c r="Z10479">
        <v>-2.4853100000000001E-3</v>
      </c>
      <c r="AA10479">
        <v>0.99461189999999999</v>
      </c>
      <c r="AB10479">
        <v>22</v>
      </c>
      <c r="AC10479">
        <v>26.642900000000001</v>
      </c>
      <c r="AD10479">
        <v>-1.110103847308</v>
      </c>
      <c r="AE10479">
        <v>-2.5732999999999802</v>
      </c>
      <c r="AF10479">
        <v>2.7941818016101001</v>
      </c>
      <c r="AG10479">
        <v>-1.110103847308</v>
      </c>
      <c r="AH10479">
        <v>26.574428019741301</v>
      </c>
      <c r="AI10479">
        <v>92.378949000114901</v>
      </c>
      <c r="AJ10479">
        <v>83.997660950025605</v>
      </c>
      <c r="AK10479">
        <v>26.743971415417501</v>
      </c>
      <c r="AL10479">
        <v>92.233928638045995</v>
      </c>
      <c r="AM10479">
        <v>87.842948547779898</v>
      </c>
      <c r="AN10479">
        <v>0.99999994122982505</v>
      </c>
    </row>
    <row r="10480" spans="1:40" x14ac:dyDescent="0.25">
      <c r="A10480" t="str">
        <f>"20190312154157994"</f>
        <v>20190312154157994</v>
      </c>
      <c r="B10480" t="str">
        <f>"1552376517986283"</f>
        <v>1552376517986283</v>
      </c>
      <c r="C10480" t="s">
        <v>40</v>
      </c>
      <c r="D10480">
        <v>4.0914590000000004</v>
      </c>
      <c r="E10480">
        <v>0.52958780000000005</v>
      </c>
      <c r="F10480" t="s">
        <v>42</v>
      </c>
      <c r="G10480">
        <v>-113.5087</v>
      </c>
      <c r="H10480" s="1">
        <v>-3.663087E-6</v>
      </c>
      <c r="I10480">
        <v>134.565</v>
      </c>
      <c r="J10480">
        <v>-141.69220000000001</v>
      </c>
      <c r="K10480">
        <v>1.1101160000000001</v>
      </c>
      <c r="L10480">
        <v>137.45249999999999</v>
      </c>
      <c r="M10480">
        <v>0.99987139999999997</v>
      </c>
      <c r="N10480">
        <v>0</v>
      </c>
      <c r="O10480">
        <v>8.4615460000000003E-3</v>
      </c>
      <c r="P10480">
        <v>0.99828950000000005</v>
      </c>
      <c r="Q10480">
        <v>-5.1312549999999998E-2</v>
      </c>
      <c r="R10480">
        <v>-2.8021150000000002E-2</v>
      </c>
      <c r="S10480">
        <v>2.9904169999999999</v>
      </c>
      <c r="T10480">
        <v>-0.1167594</v>
      </c>
      <c r="U10480">
        <v>-0.30348209999999998</v>
      </c>
      <c r="V10480">
        <v>3.6466390000000001E-2</v>
      </c>
      <c r="W10480">
        <v>-3.7705719999999998E-2</v>
      </c>
      <c r="X10480">
        <v>0.99862329999999999</v>
      </c>
      <c r="Y10480">
        <v>0.109292899999999</v>
      </c>
      <c r="Z10480">
        <v>-2.4568419999999999E-3</v>
      </c>
      <c r="AA10480">
        <v>0.99400659999999996</v>
      </c>
      <c r="AB10480">
        <v>22</v>
      </c>
      <c r="AC10480">
        <v>28.183499999999999</v>
      </c>
      <c r="AD10480">
        <v>-1.1101196630869901</v>
      </c>
      <c r="AE10480">
        <v>-2.8874999999999802</v>
      </c>
      <c r="AF10480">
        <v>3.12110265635796</v>
      </c>
      <c r="AG10480">
        <v>-1.1101196630869901</v>
      </c>
      <c r="AH10480">
        <v>28.114888941847099</v>
      </c>
      <c r="AI10480">
        <v>92.247364604402904</v>
      </c>
      <c r="AJ10480">
        <v>83.6653923361458</v>
      </c>
      <c r="AK10480">
        <v>28.309373494839001</v>
      </c>
      <c r="AL10480">
        <v>92.160890841302006</v>
      </c>
      <c r="AM10480">
        <v>87.908678596254504</v>
      </c>
      <c r="AN10480">
        <v>1.00000000711162</v>
      </c>
    </row>
    <row r="10481" spans="1:40" x14ac:dyDescent="0.25">
      <c r="A10481" t="str">
        <f>"20190312154158014"</f>
        <v>20190312154158014</v>
      </c>
      <c r="B10481" t="str">
        <f>"1552376518006781"</f>
        <v>1552376518006781</v>
      </c>
      <c r="C10481" t="s">
        <v>40</v>
      </c>
      <c r="D10481">
        <v>4.1035750000000002</v>
      </c>
      <c r="E10481">
        <v>0.53091290000000002</v>
      </c>
      <c r="F10481" t="s">
        <v>42</v>
      </c>
      <c r="G10481">
        <v>-109.2714</v>
      </c>
      <c r="H10481" s="1">
        <v>-1.763073E-6</v>
      </c>
      <c r="I10481">
        <v>133.98230000000001</v>
      </c>
      <c r="J10481">
        <v>-141.48679999999999</v>
      </c>
      <c r="K10481">
        <v>1.1101289999999999</v>
      </c>
      <c r="L10481">
        <v>137.45419999999999</v>
      </c>
      <c r="M10481">
        <v>0.99987139999999997</v>
      </c>
      <c r="N10481">
        <v>0</v>
      </c>
      <c r="O10481">
        <v>8.4546259999999998E-3</v>
      </c>
      <c r="P10481">
        <v>0.99843740000000003</v>
      </c>
      <c r="Q10481">
        <v>-4.838104E-2</v>
      </c>
      <c r="R10481">
        <v>-2.796703E-2</v>
      </c>
      <c r="S10481">
        <v>2.990875</v>
      </c>
      <c r="T10481">
        <v>-0.1024103</v>
      </c>
      <c r="U10481">
        <v>-0.32012940000000001</v>
      </c>
      <c r="V10481">
        <v>3.6406630000000002E-2</v>
      </c>
      <c r="W10481">
        <v>-3.4774859999999998E-2</v>
      </c>
      <c r="X10481">
        <v>0.99873190000000001</v>
      </c>
      <c r="Y10481">
        <v>0.1147596</v>
      </c>
      <c r="Z10481">
        <v>-2.2472170000000001E-3</v>
      </c>
      <c r="AA10481">
        <v>0.99339069999999996</v>
      </c>
      <c r="AB10481">
        <v>22</v>
      </c>
      <c r="AC10481">
        <v>32.215399999999903</v>
      </c>
      <c r="AD10481">
        <v>-1.110130763073</v>
      </c>
      <c r="AE10481">
        <v>-3.47189999999997</v>
      </c>
      <c r="AF10481">
        <v>3.7397804641275099</v>
      </c>
      <c r="AG10481">
        <v>-1.110130763073</v>
      </c>
      <c r="AH10481">
        <v>32.1471566597193</v>
      </c>
      <c r="AI10481">
        <v>91.964558328775198</v>
      </c>
      <c r="AJ10481">
        <v>83.364427350961293</v>
      </c>
      <c r="AK10481">
        <v>32.382989817734902</v>
      </c>
      <c r="AL10481">
        <v>91.992854364439296</v>
      </c>
      <c r="AM10481">
        <v>87.912329586469795</v>
      </c>
      <c r="AN10481">
        <v>1.00000007083679</v>
      </c>
    </row>
    <row r="10482" spans="1:40" x14ac:dyDescent="0.25">
      <c r="A10482" t="str">
        <f>"20190312154158037"</f>
        <v>20190312154158037</v>
      </c>
      <c r="B10482" t="str">
        <f>"1552376518026300"</f>
        <v>1552376518026300</v>
      </c>
      <c r="C10482" t="s">
        <v>40</v>
      </c>
      <c r="D10482">
        <v>4.1011579999999999</v>
      </c>
      <c r="E10482">
        <v>0.5319102</v>
      </c>
      <c r="F10482" t="s">
        <v>42</v>
      </c>
      <c r="G10482">
        <v>-103.3288</v>
      </c>
      <c r="H10482" s="1">
        <v>-4.2655850000000001E-6</v>
      </c>
      <c r="I10482">
        <v>133.2371</v>
      </c>
      <c r="J10482">
        <v>-141.27199999999999</v>
      </c>
      <c r="K10482">
        <v>1.110142</v>
      </c>
      <c r="L10482">
        <v>137.45599999999999</v>
      </c>
      <c r="M10482">
        <v>0.99987159999999997</v>
      </c>
      <c r="N10482">
        <v>0</v>
      </c>
      <c r="O10482">
        <v>8.4502919999999999E-3</v>
      </c>
      <c r="P10482">
        <v>0.99859339999999996</v>
      </c>
      <c r="Q10482">
        <v>-4.4852089999999997E-2</v>
      </c>
      <c r="R10482">
        <v>-2.8281000000000001E-2</v>
      </c>
      <c r="S10482">
        <v>2.991196</v>
      </c>
      <c r="T10482">
        <v>-8.7022899999999903E-2</v>
      </c>
      <c r="U10482">
        <v>-0.33058169999999998</v>
      </c>
      <c r="V10482">
        <v>3.6717649999999998E-2</v>
      </c>
      <c r="W10482">
        <v>-3.1246530000000002E-2</v>
      </c>
      <c r="X10482">
        <v>0.99883710000000003</v>
      </c>
      <c r="Y10482">
        <v>0.11819250000000001</v>
      </c>
      <c r="Z10482">
        <v>-1.9588069999999999E-3</v>
      </c>
      <c r="AA10482">
        <v>0.9929888</v>
      </c>
      <c r="AB10482">
        <v>22</v>
      </c>
      <c r="AC10482">
        <v>37.943199999999997</v>
      </c>
      <c r="AD10482">
        <v>-1.1101462655850001</v>
      </c>
      <c r="AE10482">
        <v>-4.2189000000000103</v>
      </c>
      <c r="AF10482">
        <v>4.5355749769206799</v>
      </c>
      <c r="AG10482">
        <v>-1.1101462655850001</v>
      </c>
      <c r="AH10482">
        <v>37.874165026402999</v>
      </c>
      <c r="AI10482">
        <v>91.667036891559107</v>
      </c>
      <c r="AJ10482">
        <v>83.171133275441306</v>
      </c>
      <c r="AK10482">
        <v>38.160925585596999</v>
      </c>
      <c r="AL10482">
        <v>91.790585670789895</v>
      </c>
      <c r="AM10482">
        <v>87.894732263293704</v>
      </c>
      <c r="AN10482">
        <v>1.0000000418974799</v>
      </c>
    </row>
    <row r="10483" spans="1:40" x14ac:dyDescent="0.25">
      <c r="A10483" t="str">
        <f>"20190312154158057"</f>
        <v>20190312154158057</v>
      </c>
      <c r="B10483" t="str">
        <f>"1552376518046796"</f>
        <v>1552376518046796</v>
      </c>
      <c r="C10483" t="s">
        <v>40</v>
      </c>
      <c r="D10483">
        <v>4.1195959999999996</v>
      </c>
      <c r="E10483">
        <v>0.53267540000000002</v>
      </c>
      <c r="F10483" t="s">
        <v>42</v>
      </c>
      <c r="G10483">
        <v>-95.379509999999996</v>
      </c>
      <c r="H10483" s="1">
        <v>-3.5188839999999999E-6</v>
      </c>
      <c r="I10483">
        <v>132.2483</v>
      </c>
      <c r="J10483">
        <v>-141.0744</v>
      </c>
      <c r="K10483">
        <v>1.1101490000000001</v>
      </c>
      <c r="L10483">
        <v>137.45769999999999</v>
      </c>
      <c r="M10483">
        <v>0.99987150000000002</v>
      </c>
      <c r="N10483">
        <v>0</v>
      </c>
      <c r="O10483">
        <v>8.449125E-3</v>
      </c>
      <c r="P10483">
        <v>0.99873959999999995</v>
      </c>
      <c r="Q10483">
        <v>-4.1267890000000002E-2</v>
      </c>
      <c r="R10483">
        <v>-2.856821E-2</v>
      </c>
      <c r="S10483">
        <v>2.9913479999999999</v>
      </c>
      <c r="T10483">
        <v>-7.2361110000000006E-2</v>
      </c>
      <c r="U10483">
        <v>-0.339447</v>
      </c>
      <c r="V10483">
        <v>3.7005299999999998E-2</v>
      </c>
      <c r="W10483">
        <v>-2.766267E-2</v>
      </c>
      <c r="X10483">
        <v>0.99893209999999999</v>
      </c>
      <c r="Y10483">
        <v>0.121107199999999</v>
      </c>
      <c r="Z10483">
        <v>-1.6636470000000001E-3</v>
      </c>
      <c r="AA10483">
        <v>0.99263809999999997</v>
      </c>
      <c r="AB10483">
        <v>22</v>
      </c>
      <c r="AC10483">
        <v>45.694890000000001</v>
      </c>
      <c r="AD10483">
        <v>-1.110152518884</v>
      </c>
      <c r="AE10483">
        <v>-5.20939999999998</v>
      </c>
      <c r="AF10483">
        <v>5.5920733608973103</v>
      </c>
      <c r="AG10483">
        <v>-1.110152518884</v>
      </c>
      <c r="AH10483">
        <v>45.622656777164003</v>
      </c>
      <c r="AI10483">
        <v>91.383573176361693</v>
      </c>
      <c r="AJ10483">
        <v>83.011982092487798</v>
      </c>
      <c r="AK10483">
        <v>45.977500307169201</v>
      </c>
      <c r="AL10483">
        <v>91.585156486279502</v>
      </c>
      <c r="AM10483">
        <v>87.878455982911703</v>
      </c>
      <c r="AN10483">
        <v>0.99999997797501405</v>
      </c>
    </row>
    <row r="10484" spans="1:40" x14ac:dyDescent="0.25">
      <c r="A10484" t="str">
        <f>"20190312154158079"</f>
        <v>20190312154158079</v>
      </c>
      <c r="B10484" t="str">
        <f>"1552376518066315"</f>
        <v>1552376518066315</v>
      </c>
      <c r="C10484" t="s">
        <v>40</v>
      </c>
      <c r="D10484">
        <v>4.1882380000000001</v>
      </c>
      <c r="E10484">
        <v>0.53330059999999901</v>
      </c>
      <c r="F10484" t="s">
        <v>42</v>
      </c>
      <c r="G10484">
        <v>-84.034850000000006</v>
      </c>
      <c r="H10484" s="1">
        <v>-4.3476910000000003E-6</v>
      </c>
      <c r="I10484">
        <v>130.85319999999999</v>
      </c>
      <c r="J10484">
        <v>-140.86109999999999</v>
      </c>
      <c r="K10484">
        <v>1.110152</v>
      </c>
      <c r="L10484">
        <v>137.45949999999999</v>
      </c>
      <c r="M10484">
        <v>0.99987159999999997</v>
      </c>
      <c r="N10484">
        <v>0</v>
      </c>
      <c r="O10484">
        <v>8.4496969999999904E-3</v>
      </c>
      <c r="P10484">
        <v>0.99886319999999995</v>
      </c>
      <c r="Q10484">
        <v>-3.8033209999999998E-2</v>
      </c>
      <c r="R10484">
        <v>-2.874347E-2</v>
      </c>
      <c r="S10484">
        <v>2.9914550000000002</v>
      </c>
      <c r="T10484">
        <v>-5.8222290000000003E-2</v>
      </c>
      <c r="U10484">
        <v>-0.34637449999999997</v>
      </c>
      <c r="V10484">
        <v>3.7182E-2</v>
      </c>
      <c r="W10484">
        <v>-2.4428800000000001E-2</v>
      </c>
      <c r="X10484">
        <v>0.99900979999999995</v>
      </c>
      <c r="Y10484">
        <v>0.1233852</v>
      </c>
      <c r="Z10484">
        <v>-1.3605309999999999E-3</v>
      </c>
      <c r="AA10484">
        <v>0.99235790000000001</v>
      </c>
      <c r="AB10484">
        <v>22</v>
      </c>
      <c r="AC10484">
        <v>56.826249999999902</v>
      </c>
      <c r="AD10484">
        <v>-1.1101563476909999</v>
      </c>
      <c r="AE10484">
        <v>-6.6063000000000001</v>
      </c>
      <c r="AF10484">
        <v>7.0836057852509802</v>
      </c>
      <c r="AG10484">
        <v>-1.1101563476909999</v>
      </c>
      <c r="AH10484">
        <v>56.7470256065466</v>
      </c>
      <c r="AI10484">
        <v>91.1121199663136</v>
      </c>
      <c r="AJ10484">
        <v>82.884698974782793</v>
      </c>
      <c r="AK10484">
        <v>57.198206556038301</v>
      </c>
      <c r="AL10484">
        <v>91.399806494807194</v>
      </c>
      <c r="AM10484">
        <v>87.868500592867704</v>
      </c>
      <c r="AN10484">
        <v>0.99999992394473702</v>
      </c>
    </row>
    <row r="10485" spans="1:40" x14ac:dyDescent="0.25">
      <c r="A10485" t="str">
        <f>"20190312154158102"</f>
        <v>20190312154158102</v>
      </c>
      <c r="B10485" t="str">
        <f>"1552376518096572"</f>
        <v>1552376518096572</v>
      </c>
      <c r="C10485" t="s">
        <v>40</v>
      </c>
      <c r="D10485">
        <v>4.1247829999999999</v>
      </c>
      <c r="E10485">
        <v>0.53434809999999999</v>
      </c>
      <c r="F10485" t="s">
        <v>42</v>
      </c>
      <c r="G10485">
        <v>-74.015010000000004</v>
      </c>
      <c r="H10485">
        <v>7.0863309999999999E-2</v>
      </c>
      <c r="I10485">
        <v>129.59559999999999</v>
      </c>
      <c r="J10485">
        <v>-140.64070000000001</v>
      </c>
      <c r="K10485">
        <v>1.1101479999999999</v>
      </c>
      <c r="L10485">
        <v>137.4614</v>
      </c>
      <c r="M10485">
        <v>0.99987170000000003</v>
      </c>
      <c r="N10485">
        <v>0</v>
      </c>
      <c r="O10485">
        <v>8.4514020000000002E-3</v>
      </c>
      <c r="P10485">
        <v>0.99896419999999997</v>
      </c>
      <c r="Q10485">
        <v>-3.5608309999999997E-2</v>
      </c>
      <c r="R10485">
        <v>-2.8338990000000001E-2</v>
      </c>
      <c r="S10485">
        <v>2.9915159999999998</v>
      </c>
      <c r="T10485">
        <v>-4.6510580000000003E-2</v>
      </c>
      <c r="U10485">
        <v>-0.35192869999999998</v>
      </c>
      <c r="V10485">
        <v>3.6780519999999997E-2</v>
      </c>
      <c r="W10485">
        <v>-2.2005150000000001E-2</v>
      </c>
      <c r="X10485">
        <v>0.99908110000000006</v>
      </c>
      <c r="Y10485">
        <v>0.12521070000000001</v>
      </c>
      <c r="Z10485">
        <v>-1.10092E-3</v>
      </c>
      <c r="AA10485">
        <v>0.99212959999999994</v>
      </c>
      <c r="AB10485">
        <v>22</v>
      </c>
      <c r="AC10485">
        <v>66.625690000000006</v>
      </c>
      <c r="AD10485">
        <v>-1.0392846899999999</v>
      </c>
      <c r="AE10485">
        <v>-7.8658000000000001</v>
      </c>
      <c r="AF10485">
        <v>8.4266294385243192</v>
      </c>
      <c r="AG10485">
        <v>-1.0392846899999999</v>
      </c>
      <c r="AH10485">
        <v>66.540858470222602</v>
      </c>
      <c r="AI10485">
        <v>90.887726501123097</v>
      </c>
      <c r="AJ10485">
        <v>82.782571821697104</v>
      </c>
      <c r="AK10485">
        <v>67.080355114707501</v>
      </c>
      <c r="AL10485">
        <v>91.260903948099397</v>
      </c>
      <c r="AM10485">
        <v>87.8916453314244</v>
      </c>
      <c r="AN10485">
        <v>1.0000000388276</v>
      </c>
    </row>
    <row r="10486" spans="1:40" x14ac:dyDescent="0.25">
      <c r="A10486" t="str">
        <f>"20190312154158123"</f>
        <v>20190312154158123</v>
      </c>
      <c r="B10486" t="str">
        <f>"1552376518116092"</f>
        <v>1552376518116092</v>
      </c>
      <c r="C10486" t="s">
        <v>40</v>
      </c>
      <c r="D10486">
        <v>4.1301139999999998</v>
      </c>
      <c r="E10486">
        <v>0.53487039999999997</v>
      </c>
      <c r="F10486" t="s">
        <v>42</v>
      </c>
      <c r="G10486">
        <v>-56.038020000000003</v>
      </c>
      <c r="H10486">
        <v>7.9986630000000003E-2</v>
      </c>
      <c r="I10486">
        <v>127.3082</v>
      </c>
      <c r="J10486">
        <v>-140.4288</v>
      </c>
      <c r="K10486">
        <v>1.1101319999999999</v>
      </c>
      <c r="L10486">
        <v>137.4632</v>
      </c>
      <c r="M10486">
        <v>0.99987170000000003</v>
      </c>
      <c r="N10486">
        <v>0</v>
      </c>
      <c r="O10486">
        <v>8.4534620000000001E-3</v>
      </c>
      <c r="P10486">
        <v>0.99900009999999995</v>
      </c>
      <c r="Q10486">
        <v>-3.5030289999999999E-2</v>
      </c>
      <c r="R10486">
        <v>-2.7782210000000002E-2</v>
      </c>
      <c r="S10486">
        <v>2.9916230000000001</v>
      </c>
      <c r="T10486">
        <v>-3.6427380000000002E-2</v>
      </c>
      <c r="U10486">
        <v>-0.35902399999999901</v>
      </c>
      <c r="V10486">
        <v>3.6226199999999903E-2</v>
      </c>
      <c r="W10486">
        <v>-2.142904E-2</v>
      </c>
      <c r="X10486">
        <v>0.9991139</v>
      </c>
      <c r="Y10486">
        <v>0.1275346</v>
      </c>
      <c r="Z10486">
        <v>-8.7623940000000004E-4</v>
      </c>
      <c r="AA10486">
        <v>0.99183370000000004</v>
      </c>
      <c r="AB10486">
        <v>22</v>
      </c>
      <c r="AC10486">
        <v>84.390780000000007</v>
      </c>
      <c r="AD10486">
        <v>-1.0301453699999901</v>
      </c>
      <c r="AE10486">
        <v>-10.154999999999999</v>
      </c>
      <c r="AF10486">
        <v>10.8665013018671</v>
      </c>
      <c r="AG10486">
        <v>-1.0301453699999901</v>
      </c>
      <c r="AH10486">
        <v>84.289530737895006</v>
      </c>
      <c r="AI10486">
        <v>90.694459477140697</v>
      </c>
      <c r="AJ10486">
        <v>82.654017517694996</v>
      </c>
      <c r="AK10486">
        <v>84.993335280134502</v>
      </c>
      <c r="AL10486">
        <v>91.227887460668896</v>
      </c>
      <c r="AM10486">
        <v>87.923460471242393</v>
      </c>
      <c r="AN10486">
        <v>1.0000000632474799</v>
      </c>
    </row>
    <row r="10487" spans="1:40" x14ac:dyDescent="0.25">
      <c r="A10487" t="str">
        <f>"20190312154158146"</f>
        <v>20190312154158146</v>
      </c>
      <c r="B10487" t="str">
        <f>"1552376518136588"</f>
        <v>1552376518136588</v>
      </c>
      <c r="C10487" t="s">
        <v>40</v>
      </c>
      <c r="D10487">
        <v>4.2733349999999897</v>
      </c>
      <c r="E10487">
        <v>0.53457159999999904</v>
      </c>
      <c r="F10487" t="s">
        <v>50</v>
      </c>
      <c r="G10487">
        <v>0</v>
      </c>
      <c r="H10487">
        <v>0</v>
      </c>
      <c r="I10487">
        <v>0</v>
      </c>
      <c r="J10487">
        <v>-140.2116</v>
      </c>
      <c r="K10487">
        <v>1.1101179999999999</v>
      </c>
      <c r="L10487">
        <v>137.465</v>
      </c>
      <c r="M10487">
        <v>0.99987170000000003</v>
      </c>
      <c r="N10487">
        <v>0</v>
      </c>
      <c r="O10487">
        <v>8.4551590000000003E-3</v>
      </c>
      <c r="P10487">
        <v>0.99899760000000004</v>
      </c>
      <c r="Q10487">
        <v>-3.5113190000000002E-2</v>
      </c>
      <c r="R10487">
        <v>-2.7768359999999999E-2</v>
      </c>
      <c r="S10487">
        <v>2.9918209999999998</v>
      </c>
      <c r="T10487">
        <v>-3.2533880000000001E-2</v>
      </c>
      <c r="U10487">
        <v>-0.36166379999999998</v>
      </c>
      <c r="V10487">
        <v>3.6214089999999997E-2</v>
      </c>
      <c r="W10487">
        <v>-2.151438E-2</v>
      </c>
      <c r="X10487">
        <v>0.99911240000000001</v>
      </c>
      <c r="Y10487">
        <v>0.12839310000000001</v>
      </c>
      <c r="Z10487">
        <v>-7.871655E-4</v>
      </c>
      <c r="AA10487">
        <v>0.99172309999999997</v>
      </c>
      <c r="AB10487">
        <v>22</v>
      </c>
      <c r="AC10487">
        <v>2.9918209999999998</v>
      </c>
      <c r="AD10487">
        <v>-3.2533880000000001E-2</v>
      </c>
      <c r="AE10487">
        <v>-0.36166379999999998</v>
      </c>
      <c r="AF10487">
        <v>0.38690444098346799</v>
      </c>
      <c r="AG10487">
        <v>-3.2533880000000001E-2</v>
      </c>
      <c r="AH10487">
        <v>2.9883075506285</v>
      </c>
      <c r="AI10487">
        <v>90.618595016285397</v>
      </c>
      <c r="AJ10487">
        <v>82.6227961800342</v>
      </c>
      <c r="AK10487">
        <v>3.0134258771278701</v>
      </c>
      <c r="AL10487">
        <v>91.232778339054505</v>
      </c>
      <c r="AM10487">
        <v>87.924150913201402</v>
      </c>
      <c r="AN10487">
        <v>0.99999995834753497</v>
      </c>
    </row>
    <row r="10488" spans="1:40" x14ac:dyDescent="0.25">
      <c r="A10488" t="str">
        <f>"20190312154158168"</f>
        <v>20190312154158168</v>
      </c>
      <c r="B10488" t="str">
        <f>"1552376518156109"</f>
        <v>1552376518156109</v>
      </c>
      <c r="C10488" t="s">
        <v>40</v>
      </c>
      <c r="D10488">
        <v>4.1895040000000003</v>
      </c>
      <c r="E10488">
        <v>0.49322070000000001</v>
      </c>
      <c r="F10488" t="s">
        <v>42</v>
      </c>
      <c r="G10488">
        <v>-52.204880000000003</v>
      </c>
      <c r="H10488">
        <v>7.9986299999999996E-2</v>
      </c>
      <c r="I10488">
        <v>126.8963</v>
      </c>
      <c r="J10488">
        <v>-139.99789999999999</v>
      </c>
      <c r="K10488">
        <v>1.110098</v>
      </c>
      <c r="L10488">
        <v>137.46680000000001</v>
      </c>
      <c r="M10488">
        <v>0.99987170000000003</v>
      </c>
      <c r="N10488">
        <v>0</v>
      </c>
      <c r="O10488">
        <v>8.4568479999999994E-3</v>
      </c>
      <c r="P10488">
        <v>0.99892840000000005</v>
      </c>
      <c r="Q10488">
        <v>-3.6783870000000003E-2</v>
      </c>
      <c r="R10488">
        <v>-2.8096369999999999E-2</v>
      </c>
      <c r="S10488">
        <v>2.991806</v>
      </c>
      <c r="T10488">
        <v>-3.5019519999999998E-2</v>
      </c>
      <c r="U10488">
        <v>-0.35928339999999998</v>
      </c>
      <c r="V10488">
        <v>3.6543119999999998E-2</v>
      </c>
      <c r="W10488">
        <v>-2.3188299999999998E-2</v>
      </c>
      <c r="X10488">
        <v>0.99906300000000003</v>
      </c>
      <c r="Y10488">
        <v>0.12761639999999999</v>
      </c>
      <c r="Z10488">
        <v>-8.4283679999999997E-4</v>
      </c>
      <c r="AA10488">
        <v>0.99182329999999996</v>
      </c>
      <c r="AB10488">
        <v>22</v>
      </c>
      <c r="AC10488">
        <v>87.793019999999899</v>
      </c>
      <c r="AD10488">
        <v>-1.0301117</v>
      </c>
      <c r="AE10488">
        <v>-10.570499999999999</v>
      </c>
      <c r="AF10488">
        <v>11.3111078860052</v>
      </c>
      <c r="AG10488">
        <v>-1.0301117</v>
      </c>
      <c r="AH10488">
        <v>87.688578737818304</v>
      </c>
      <c r="AI10488">
        <v>90.667514821470505</v>
      </c>
      <c r="AJ10488">
        <v>82.649900588947901</v>
      </c>
      <c r="AK10488">
        <v>88.421089864250604</v>
      </c>
      <c r="AL10488">
        <v>91.328710832970401</v>
      </c>
      <c r="AM10488">
        <v>87.905203634767801</v>
      </c>
      <c r="AN10488">
        <v>0.99999998742261198</v>
      </c>
    </row>
    <row r="10489" spans="1:40" x14ac:dyDescent="0.25">
      <c r="A10489" t="str">
        <f>"20190312154158193"</f>
        <v>20190312154158193</v>
      </c>
      <c r="B10489" t="str">
        <f>"1552376518186364"</f>
        <v>1552376518186364</v>
      </c>
      <c r="C10489" t="s">
        <v>40</v>
      </c>
      <c r="D10489">
        <v>4.2320539999999998</v>
      </c>
      <c r="E10489">
        <v>0.48727540000000003</v>
      </c>
      <c r="F10489" t="s">
        <v>42</v>
      </c>
      <c r="G10489">
        <v>-103.4058</v>
      </c>
      <c r="H10489" s="1">
        <v>-3.5447740000000001E-6</v>
      </c>
      <c r="I10489">
        <v>137.09540000000001</v>
      </c>
      <c r="J10489">
        <v>-139.7654</v>
      </c>
      <c r="K10489">
        <v>1.1100909999999999</v>
      </c>
      <c r="L10489">
        <v>137.46870000000001</v>
      </c>
      <c r="M10489">
        <v>0.99987159999999997</v>
      </c>
      <c r="N10489">
        <v>0</v>
      </c>
      <c r="O10489">
        <v>8.4582349999999997E-3</v>
      </c>
      <c r="P10489">
        <v>0.99882130000000002</v>
      </c>
      <c r="Q10489">
        <v>-3.8959929999999997E-2</v>
      </c>
      <c r="R10489">
        <v>-2.8951999999999999E-2</v>
      </c>
      <c r="S10489">
        <v>2.9990079999999999</v>
      </c>
      <c r="T10489">
        <v>-9.0981599999999996E-2</v>
      </c>
      <c r="U10489">
        <v>-3.0441280000000001E-2</v>
      </c>
      <c r="V10489">
        <v>3.739903E-2</v>
      </c>
      <c r="W10489">
        <v>-2.5368399999999999E-2</v>
      </c>
      <c r="X10489">
        <v>0.99897840000000004</v>
      </c>
      <c r="Y10489">
        <v>1.85957E-2</v>
      </c>
      <c r="Z10489">
        <v>-5.3855709999999998E-4</v>
      </c>
      <c r="AA10489">
        <v>0.99982700000000002</v>
      </c>
      <c r="AB10489">
        <v>21</v>
      </c>
      <c r="AC10489">
        <v>36.3596</v>
      </c>
      <c r="AD10489">
        <v>-1.110094544774</v>
      </c>
      <c r="AE10489">
        <v>-0.37330000000000002</v>
      </c>
      <c r="AF10489">
        <v>0.68021918017986205</v>
      </c>
      <c r="AG10489">
        <v>-1.110094544774</v>
      </c>
      <c r="AH10489">
        <v>36.321288365650801</v>
      </c>
      <c r="AI10489">
        <v>91.750290294484202</v>
      </c>
      <c r="AJ10489">
        <v>88.927099383259502</v>
      </c>
      <c r="AK10489">
        <v>36.344614409457897</v>
      </c>
      <c r="AL10489">
        <v>91.453658136656401</v>
      </c>
      <c r="AM10489">
        <v>87.856003358402702</v>
      </c>
      <c r="AN10489">
        <v>1.00000004341502</v>
      </c>
    </row>
    <row r="10490" spans="1:40" x14ac:dyDescent="0.25">
      <c r="A10490" t="str">
        <f>"20190312154158218"</f>
        <v>20190312154158218</v>
      </c>
      <c r="B10490" t="str">
        <f>"1552376518206860"</f>
        <v>1552376518206860</v>
      </c>
      <c r="C10490" t="s">
        <v>40</v>
      </c>
      <c r="D10490">
        <v>4.1907030000000001</v>
      </c>
      <c r="E10490">
        <v>0.48596899999999998</v>
      </c>
      <c r="F10490" t="s">
        <v>42</v>
      </c>
      <c r="G10490">
        <v>-107.3948</v>
      </c>
      <c r="H10490" s="1">
        <v>-1.5651019999999999E-6</v>
      </c>
      <c r="I10490">
        <v>137.62549999999999</v>
      </c>
      <c r="J10490">
        <v>-139.5326</v>
      </c>
      <c r="K10490">
        <v>1.110125</v>
      </c>
      <c r="L10490">
        <v>137.47069999999999</v>
      </c>
      <c r="M10490">
        <v>0.99986969999999997</v>
      </c>
      <c r="N10490">
        <v>0</v>
      </c>
      <c r="O10490">
        <v>8.4589009999999996E-3</v>
      </c>
      <c r="P10490">
        <v>0.99870890000000001</v>
      </c>
      <c r="Q10490">
        <v>-4.0285689999999999E-2</v>
      </c>
      <c r="R10490">
        <v>-3.094831E-2</v>
      </c>
      <c r="S10490">
        <v>2.9999539999999998</v>
      </c>
      <c r="T10490">
        <v>-0.1028781</v>
      </c>
      <c r="U10490">
        <v>1.452637E-2</v>
      </c>
      <c r="V10490">
        <v>3.9395060000000003E-2</v>
      </c>
      <c r="W10490">
        <v>-2.6551829999999998E-2</v>
      </c>
      <c r="X10490">
        <v>0.99887079999999995</v>
      </c>
      <c r="Y10490">
        <v>3.6105410000000001E-3</v>
      </c>
      <c r="Z10490">
        <v>-3.519094E-4</v>
      </c>
      <c r="AA10490">
        <v>0.99999340000000003</v>
      </c>
      <c r="AB10490">
        <v>21</v>
      </c>
      <c r="AC10490">
        <v>32.137799999999999</v>
      </c>
      <c r="AD10490">
        <v>-1.110126565102</v>
      </c>
      <c r="AE10490">
        <v>0.154799999999994</v>
      </c>
      <c r="AF10490">
        <v>0.116942173508952</v>
      </c>
      <c r="AG10490">
        <v>-1.110126565102</v>
      </c>
      <c r="AH10490">
        <v>32.099659168636201</v>
      </c>
      <c r="AI10490">
        <v>91.980700324388906</v>
      </c>
      <c r="AJ10490">
        <v>89.791266838325498</v>
      </c>
      <c r="AK10490">
        <v>32.119062489510803</v>
      </c>
      <c r="AL10490">
        <v>91.521486725212498</v>
      </c>
      <c r="AM10490">
        <v>87.741448209811594</v>
      </c>
      <c r="AN10490">
        <v>0.99999992276069305</v>
      </c>
    </row>
    <row r="10491" spans="1:40" x14ac:dyDescent="0.25">
      <c r="A10491" t="str">
        <f>"20190312154158241"</f>
        <v>20190312154158241</v>
      </c>
      <c r="B10491" t="str">
        <f>"1552376518236140"</f>
        <v>1552376518236140</v>
      </c>
      <c r="C10491" t="s">
        <v>40</v>
      </c>
      <c r="D10491">
        <v>4.1714779999999996</v>
      </c>
      <c r="E10491">
        <v>0.4847514</v>
      </c>
      <c r="F10491" t="s">
        <v>42</v>
      </c>
      <c r="G10491">
        <v>-109.1127</v>
      </c>
      <c r="H10491" s="1">
        <v>-8.4497609999999997E-7</v>
      </c>
      <c r="I10491">
        <v>137.6619</v>
      </c>
      <c r="J10491">
        <v>-139.30269999999999</v>
      </c>
      <c r="K10491">
        <v>1.11025</v>
      </c>
      <c r="L10491">
        <v>137.4726</v>
      </c>
      <c r="M10491">
        <v>0.99986260000000005</v>
      </c>
      <c r="N10491">
        <v>0</v>
      </c>
      <c r="O10491">
        <v>8.4590080000000005E-3</v>
      </c>
      <c r="P10491">
        <v>0.9986237</v>
      </c>
      <c r="Q10491">
        <v>-4.1231719999999999E-2</v>
      </c>
      <c r="R10491">
        <v>-3.2415289999999999E-2</v>
      </c>
      <c r="S10491">
        <v>3.0000309999999999</v>
      </c>
      <c r="T10491">
        <v>-0.1094811</v>
      </c>
      <c r="U10491">
        <v>1.8859859999999999E-2</v>
      </c>
      <c r="V10491">
        <v>4.0861439999999999E-2</v>
      </c>
      <c r="W10491">
        <v>-2.6993799999999998E-2</v>
      </c>
      <c r="X10491">
        <v>0.99880009999999997</v>
      </c>
      <c r="Y10491">
        <v>2.1664190000000002E-3</v>
      </c>
      <c r="Z10491">
        <v>-3.4813449999999898E-4</v>
      </c>
      <c r="AA10491">
        <v>0.99999760000000004</v>
      </c>
      <c r="AB10491">
        <v>21</v>
      </c>
      <c r="AC10491">
        <v>30.189999999999898</v>
      </c>
      <c r="AD10491">
        <v>-1.1102508449760999</v>
      </c>
      <c r="AE10491">
        <v>0.18930000000000199</v>
      </c>
      <c r="AF10491">
        <v>6.6020893970521993E-2</v>
      </c>
      <c r="AG10491">
        <v>-1.1102508449760999</v>
      </c>
      <c r="AH10491">
        <v>30.149747161714998</v>
      </c>
      <c r="AI10491">
        <v>92.108933265752498</v>
      </c>
      <c r="AJ10491">
        <v>89.874535845432405</v>
      </c>
      <c r="AK10491">
        <v>30.1702547157387</v>
      </c>
      <c r="AL10491">
        <v>91.5468187331699</v>
      </c>
      <c r="AM10491">
        <v>87.657305760760593</v>
      </c>
      <c r="AN10491">
        <v>0.99999998113866095</v>
      </c>
    </row>
    <row r="10492" spans="1:40" x14ac:dyDescent="0.25">
      <c r="A10492" t="str">
        <f>"20190312154158264"</f>
        <v>20190312154158264</v>
      </c>
      <c r="B10492" t="str">
        <f>"1552376518256636"</f>
        <v>1552376518256636</v>
      </c>
      <c r="C10492" t="s">
        <v>40</v>
      </c>
      <c r="D10492">
        <v>4.178636</v>
      </c>
      <c r="E10492">
        <v>0.48420039999999998</v>
      </c>
      <c r="F10492" t="s">
        <v>42</v>
      </c>
      <c r="G10492">
        <v>-110.48399999999999</v>
      </c>
      <c r="H10492" s="1">
        <v>-4.4035110000000004E-6</v>
      </c>
      <c r="I10492">
        <v>137.70580000000001</v>
      </c>
      <c r="J10492">
        <v>-139.0975</v>
      </c>
      <c r="K10492">
        <v>1.11039</v>
      </c>
      <c r="L10492">
        <v>137.4744</v>
      </c>
      <c r="M10492">
        <v>0.9998534</v>
      </c>
      <c r="N10492">
        <v>0</v>
      </c>
      <c r="O10492">
        <v>8.4587009999999904E-3</v>
      </c>
      <c r="P10492">
        <v>0.99863590000000002</v>
      </c>
      <c r="Q10492">
        <v>-4.0202830000000002E-2</v>
      </c>
      <c r="R10492">
        <v>-3.331953E-2</v>
      </c>
      <c r="S10492">
        <v>3.0001530000000001</v>
      </c>
      <c r="T10492">
        <v>-0.11558259999999999</v>
      </c>
      <c r="U10492">
        <v>2.427673E-2</v>
      </c>
      <c r="V10492">
        <v>4.176556E-2</v>
      </c>
      <c r="W10492">
        <v>-2.533405E-2</v>
      </c>
      <c r="X10492">
        <v>0.99880619999999998</v>
      </c>
      <c r="Y10492">
        <v>3.6153969999999999E-4</v>
      </c>
      <c r="Z10492">
        <v>-3.327421E-4</v>
      </c>
      <c r="AA10492">
        <v>0.99999990000000005</v>
      </c>
      <c r="AB10492">
        <v>21</v>
      </c>
      <c r="AC10492">
        <v>28.613499999999998</v>
      </c>
      <c r="AD10492">
        <v>-1.110394403511</v>
      </c>
      <c r="AE10492">
        <v>0.23140000000000699</v>
      </c>
      <c r="AF10492">
        <v>1.0652105989609299E-2</v>
      </c>
      <c r="AG10492">
        <v>-1.110394403511</v>
      </c>
      <c r="AH10492">
        <v>28.571409173826101</v>
      </c>
      <c r="AI10492">
        <v>92.225613240095498</v>
      </c>
      <c r="AJ10492">
        <v>89.978638761422602</v>
      </c>
      <c r="AK10492">
        <v>28.592980106608401</v>
      </c>
      <c r="AL10492">
        <v>91.451689456104702</v>
      </c>
      <c r="AM10492">
        <v>87.605544462442893</v>
      </c>
      <c r="AN10492">
        <v>1.0000000006249701</v>
      </c>
    </row>
    <row r="10493" spans="1:40" x14ac:dyDescent="0.25">
      <c r="A10493" t="str">
        <f>"20190312154158281"</f>
        <v>20190312154158281</v>
      </c>
      <c r="B10493" t="str">
        <f>"1552376518276156"</f>
        <v>1552376518276156</v>
      </c>
      <c r="C10493" t="s">
        <v>40</v>
      </c>
      <c r="D10493">
        <v>4.2014079999999998</v>
      </c>
      <c r="E10493">
        <v>0.48387760000000002</v>
      </c>
      <c r="F10493" t="s">
        <v>42</v>
      </c>
      <c r="G10493">
        <v>-109.667</v>
      </c>
      <c r="H10493" s="1">
        <v>-6.1440979999999997E-7</v>
      </c>
      <c r="I10493">
        <v>137.72839999999999</v>
      </c>
      <c r="J10493">
        <v>-138.9358</v>
      </c>
      <c r="K10493">
        <v>1.1104879999999999</v>
      </c>
      <c r="L10493">
        <v>137.47569999999999</v>
      </c>
      <c r="M10493">
        <v>0.99984530000000005</v>
      </c>
      <c r="N10493">
        <v>0</v>
      </c>
      <c r="O10493">
        <v>8.4581759999999995E-3</v>
      </c>
      <c r="P10493">
        <v>0.9986545</v>
      </c>
      <c r="Q10493">
        <v>-3.8985350000000002E-2</v>
      </c>
      <c r="R10493">
        <v>-3.4193649999999999E-2</v>
      </c>
      <c r="S10493">
        <v>3.0004119999999999</v>
      </c>
      <c r="T10493">
        <v>-0.1132035</v>
      </c>
      <c r="U10493">
        <v>2.5894170000000001E-2</v>
      </c>
      <c r="V10493">
        <v>4.2639450000000002E-2</v>
      </c>
      <c r="W10493">
        <v>-2.359004E-2</v>
      </c>
      <c r="X10493">
        <v>0.99881200000000003</v>
      </c>
      <c r="Y10493">
        <v>-1.7659850000000001E-4</v>
      </c>
      <c r="Z10493">
        <v>-3.1570369999999999E-4</v>
      </c>
      <c r="AA10493">
        <v>0.99999990000000005</v>
      </c>
      <c r="AB10493">
        <v>21</v>
      </c>
      <c r="AC10493">
        <v>29.268799999999999</v>
      </c>
      <c r="AD10493">
        <v>-1.1104886144097901</v>
      </c>
      <c r="AE10493">
        <v>0.25270000000000398</v>
      </c>
      <c r="AF10493">
        <v>-5.09352052901468E-3</v>
      </c>
      <c r="AG10493">
        <v>-1.1104886144097901</v>
      </c>
      <c r="AH10493">
        <v>29.227819450882699</v>
      </c>
      <c r="AI10493">
        <v>92.175862631986504</v>
      </c>
      <c r="AJ10493">
        <v>90.009984912720299</v>
      </c>
      <c r="AK10493">
        <v>29.248908368691001</v>
      </c>
      <c r="AL10493">
        <v>91.351735105252303</v>
      </c>
      <c r="AM10493">
        <v>87.555517927577199</v>
      </c>
      <c r="AN10493">
        <v>1.00000001201375</v>
      </c>
    </row>
    <row r="10494" spans="1:40" x14ac:dyDescent="0.25">
      <c r="A10494" t="str">
        <f>"20190312154158304"</f>
        <v>20190312154158304</v>
      </c>
      <c r="B10494" t="str">
        <f>"1552376518296652"</f>
        <v>1552376518296652</v>
      </c>
      <c r="C10494" t="s">
        <v>40</v>
      </c>
      <c r="D10494">
        <v>4.2194370000000001</v>
      </c>
      <c r="E10494">
        <v>0.48347220000000002</v>
      </c>
      <c r="F10494" t="s">
        <v>42</v>
      </c>
      <c r="G10494">
        <v>-108.6588</v>
      </c>
      <c r="H10494" s="1">
        <v>-9.992629E-7</v>
      </c>
      <c r="I10494">
        <v>137.7372</v>
      </c>
      <c r="J10494">
        <v>-138.72479999999999</v>
      </c>
      <c r="K10494">
        <v>1.1106</v>
      </c>
      <c r="L10494">
        <v>137.47749999999999</v>
      </c>
      <c r="M10494">
        <v>0.99983420000000001</v>
      </c>
      <c r="N10494">
        <v>0</v>
      </c>
      <c r="O10494">
        <v>8.45721199999999E-3</v>
      </c>
      <c r="P10494">
        <v>0.99862470000000003</v>
      </c>
      <c r="Q10494">
        <v>-3.9018869999999997E-2</v>
      </c>
      <c r="R10494">
        <v>-3.5012790000000002E-2</v>
      </c>
      <c r="S10494">
        <v>3.00061</v>
      </c>
      <c r="T10494">
        <v>-0.11005520000000001</v>
      </c>
      <c r="U10494">
        <v>2.5909419999999999E-2</v>
      </c>
      <c r="V10494">
        <v>4.34574E-2</v>
      </c>
      <c r="W10494">
        <v>-2.2914179999999999E-2</v>
      </c>
      <c r="X10494">
        <v>0.99879249999999997</v>
      </c>
      <c r="Y10494">
        <v>-1.816554E-4</v>
      </c>
      <c r="Z10494">
        <v>-3.067848E-4</v>
      </c>
      <c r="AA10494">
        <v>0.99999990000000005</v>
      </c>
      <c r="AB10494">
        <v>21</v>
      </c>
      <c r="AC10494">
        <v>30.065999999999899</v>
      </c>
      <c r="AD10494">
        <v>-1.1106009992629</v>
      </c>
      <c r="AE10494">
        <v>0.25970000000000898</v>
      </c>
      <c r="AF10494">
        <v>-5.3757711814981703E-3</v>
      </c>
      <c r="AG10494">
        <v>-1.1106009992629</v>
      </c>
      <c r="AH10494">
        <v>30.026154290047302</v>
      </c>
      <c r="AI10494">
        <v>92.118278403765999</v>
      </c>
      <c r="AJ10494">
        <v>90.010258023523804</v>
      </c>
      <c r="AK10494">
        <v>30.046687087401299</v>
      </c>
      <c r="AL10494">
        <v>91.313000681142299</v>
      </c>
      <c r="AM10494">
        <v>87.508635524752705</v>
      </c>
      <c r="AN10494">
        <v>1.00000003165804</v>
      </c>
    </row>
    <row r="10495" spans="1:40" x14ac:dyDescent="0.25">
      <c r="A10495" t="str">
        <f>"20190312154158324"</f>
        <v>20190312154158324</v>
      </c>
      <c r="B10495" t="str">
        <f>"1552376518316173"</f>
        <v>1552376518316173</v>
      </c>
      <c r="C10495" t="s">
        <v>40</v>
      </c>
      <c r="D10495">
        <v>4.2196680000000004</v>
      </c>
      <c r="E10495">
        <v>0.48315750000000002</v>
      </c>
      <c r="F10495" t="s">
        <v>42</v>
      </c>
      <c r="G10495">
        <v>-108.361</v>
      </c>
      <c r="H10495" s="1">
        <v>-1.1111259999999999E-6</v>
      </c>
      <c r="I10495">
        <v>137.7465</v>
      </c>
      <c r="J10495">
        <v>-138.5316</v>
      </c>
      <c r="K10495">
        <v>1.1107260000000001</v>
      </c>
      <c r="L10495">
        <v>137.47909999999999</v>
      </c>
      <c r="M10495">
        <v>0.99982139999999997</v>
      </c>
      <c r="N10495">
        <v>0</v>
      </c>
      <c r="O10495">
        <v>8.4562649999999993E-3</v>
      </c>
      <c r="P10495">
        <v>0.99855629999999995</v>
      </c>
      <c r="Q10495">
        <v>-3.991517E-2</v>
      </c>
      <c r="R10495">
        <v>-3.5946930000000002E-2</v>
      </c>
      <c r="S10495">
        <v>3.0007779999999999</v>
      </c>
      <c r="T10495">
        <v>-0.10975790000000001</v>
      </c>
      <c r="U10495">
        <v>2.658081E-2</v>
      </c>
      <c r="V10495">
        <v>4.4390029999999997E-2</v>
      </c>
      <c r="W10495">
        <v>-2.303562E-2</v>
      </c>
      <c r="X10495">
        <v>0.99874870000000004</v>
      </c>
      <c r="Y10495">
        <v>-4.0555069999999999E-4</v>
      </c>
      <c r="Z10495">
        <v>-3.018152E-4</v>
      </c>
      <c r="AA10495">
        <v>0.99999990000000005</v>
      </c>
      <c r="AB10495">
        <v>21</v>
      </c>
      <c r="AC10495">
        <v>30.1706</v>
      </c>
      <c r="AD10495">
        <v>-1.110727111126</v>
      </c>
      <c r="AE10495">
        <v>0.26740000000000902</v>
      </c>
      <c r="AF10495">
        <v>-1.22068564541162E-2</v>
      </c>
      <c r="AG10495">
        <v>-1.110727111126</v>
      </c>
      <c r="AH10495">
        <v>30.1309481352991</v>
      </c>
      <c r="AI10495">
        <v>92.111157164421599</v>
      </c>
      <c r="AJ10495">
        <v>90.023212058065297</v>
      </c>
      <c r="AK10495">
        <v>30.151416206454002</v>
      </c>
      <c r="AL10495">
        <v>91.319960506280196</v>
      </c>
      <c r="AM10495">
        <v>87.455126978444596</v>
      </c>
      <c r="AN10495">
        <v>1.00000004015193</v>
      </c>
    </row>
    <row r="10496" spans="1:40" x14ac:dyDescent="0.25">
      <c r="A10496" t="str">
        <f>"20190312154158347"</f>
        <v>20190312154158347</v>
      </c>
      <c r="B10496" t="str">
        <f>"1552376518336668"</f>
        <v>1552376518336668</v>
      </c>
      <c r="C10496" t="s">
        <v>40</v>
      </c>
      <c r="D10496">
        <v>4.2308339999999998</v>
      </c>
      <c r="E10496">
        <v>0.48284890000000003</v>
      </c>
      <c r="F10496" t="s">
        <v>42</v>
      </c>
      <c r="G10496">
        <v>-109.1323</v>
      </c>
      <c r="H10496" s="1">
        <v>-8.1745129999999996E-7</v>
      </c>
      <c r="I10496">
        <v>137.73699999999999</v>
      </c>
      <c r="J10496">
        <v>-138.3322</v>
      </c>
      <c r="K10496">
        <v>1.1108979999999999</v>
      </c>
      <c r="L10496">
        <v>137.48079999999999</v>
      </c>
      <c r="M10496">
        <v>0.99980349999999996</v>
      </c>
      <c r="N10496">
        <v>0</v>
      </c>
      <c r="O10496">
        <v>8.4556479999999996E-3</v>
      </c>
      <c r="P10496">
        <v>0.99846919999999995</v>
      </c>
      <c r="Q10496">
        <v>-4.0362160000000001E-2</v>
      </c>
      <c r="R10496">
        <v>-3.7819560000000002E-2</v>
      </c>
      <c r="S10496">
        <v>3.0007480000000002</v>
      </c>
      <c r="T10496">
        <v>-0.1133704</v>
      </c>
      <c r="U10496">
        <v>2.632141E-2</v>
      </c>
      <c r="V10496">
        <v>4.6261370000000003E-2</v>
      </c>
      <c r="W10496">
        <v>-2.2461229999999999E-2</v>
      </c>
      <c r="X10496">
        <v>0.99867680000000003</v>
      </c>
      <c r="Y10496">
        <v>-3.2008919999999998E-4</v>
      </c>
      <c r="Z10496">
        <v>-3.1334139999999999E-4</v>
      </c>
      <c r="AA10496">
        <v>0.99999990000000005</v>
      </c>
      <c r="AB10496">
        <v>20</v>
      </c>
      <c r="AC10496">
        <v>29.1999</v>
      </c>
      <c r="AD10496">
        <v>-1.1108988174512999</v>
      </c>
      <c r="AE10496">
        <v>0.25620000000000598</v>
      </c>
      <c r="AF10496">
        <v>-9.2337033181074894E-3</v>
      </c>
      <c r="AG10496">
        <v>-1.1108988174512999</v>
      </c>
      <c r="AH10496">
        <v>29.1588214568769</v>
      </c>
      <c r="AI10496">
        <v>92.181811156804997</v>
      </c>
      <c r="AJ10496">
        <v>90.018143813271095</v>
      </c>
      <c r="AK10496">
        <v>29.1799768710998</v>
      </c>
      <c r="AL10496">
        <v>91.287041935369999</v>
      </c>
      <c r="AM10496">
        <v>87.347802782900303</v>
      </c>
      <c r="AN10496">
        <v>0.99999998603281404</v>
      </c>
    </row>
    <row r="10497" spans="1:40" x14ac:dyDescent="0.25">
      <c r="A10497" t="str">
        <f>"20190312154158369"</f>
        <v>20190312154158369</v>
      </c>
      <c r="B10497" t="str">
        <f>"1552376518356188"</f>
        <v>1552376518356188</v>
      </c>
      <c r="C10497" t="s">
        <v>40</v>
      </c>
      <c r="D10497">
        <v>4.2111049999999999</v>
      </c>
      <c r="E10497">
        <v>0.48268820000000001</v>
      </c>
      <c r="F10497" t="s">
        <v>42</v>
      </c>
      <c r="G10497">
        <v>-109.1962</v>
      </c>
      <c r="H10497" s="1">
        <v>-8.0116190000000002E-7</v>
      </c>
      <c r="I10497">
        <v>137.70599999999999</v>
      </c>
      <c r="J10497">
        <v>-138.13470000000001</v>
      </c>
      <c r="K10497">
        <v>1.1111089999999999</v>
      </c>
      <c r="L10497">
        <v>137.48240000000001</v>
      </c>
      <c r="M10497">
        <v>0.99978080000000003</v>
      </c>
      <c r="N10497">
        <v>0</v>
      </c>
      <c r="O10497">
        <v>8.4547189999999994E-3</v>
      </c>
      <c r="P10497">
        <v>0.9983379</v>
      </c>
      <c r="Q10497">
        <v>-4.1713989999999999E-2</v>
      </c>
      <c r="R10497">
        <v>-3.9766170000000003E-2</v>
      </c>
      <c r="S10497">
        <v>3.0008699999999999</v>
      </c>
      <c r="T10497">
        <v>-0.11441759999999999</v>
      </c>
      <c r="U10497">
        <v>2.319336E-2</v>
      </c>
      <c r="V10497">
        <v>4.8206199999999998E-2</v>
      </c>
      <c r="W10497">
        <v>-2.2592319999999999E-2</v>
      </c>
      <c r="X10497">
        <v>0.99858190000000002</v>
      </c>
      <c r="Y10497">
        <v>7.2097809999999997E-4</v>
      </c>
      <c r="Z10497">
        <v>-3.3603389999999999E-4</v>
      </c>
      <c r="AA10497">
        <v>0.99999970000000005</v>
      </c>
      <c r="AB10497">
        <v>20</v>
      </c>
      <c r="AC10497">
        <v>28.938500000000001</v>
      </c>
      <c r="AD10497">
        <v>-1.1111098011618901</v>
      </c>
      <c r="AE10497">
        <v>0.22360000000000399</v>
      </c>
      <c r="AF10497">
        <v>2.1088685879374201E-2</v>
      </c>
      <c r="AG10497">
        <v>-1.1111098011618901</v>
      </c>
      <c r="AH10497">
        <v>28.896758529564998</v>
      </c>
      <c r="AI10497">
        <v>92.201995725251706</v>
      </c>
      <c r="AJ10497">
        <v>89.958185881623393</v>
      </c>
      <c r="AK10497">
        <v>28.918119981058499</v>
      </c>
      <c r="AL10497">
        <v>91.294554687672203</v>
      </c>
      <c r="AM10497">
        <v>87.236211440010095</v>
      </c>
      <c r="AN10497">
        <v>1.0000000308245101</v>
      </c>
    </row>
    <row r="10498" spans="1:40" x14ac:dyDescent="0.25">
      <c r="A10498" t="str">
        <f>"20190312154158395"</f>
        <v>20190312154158395</v>
      </c>
      <c r="B10498" t="str">
        <f>"1552376518386443"</f>
        <v>1552376518386443</v>
      </c>
      <c r="C10498" t="s">
        <v>40</v>
      </c>
      <c r="D10498">
        <v>4.2360569999999997</v>
      </c>
      <c r="E10498">
        <v>0.48219899999999999</v>
      </c>
      <c r="F10498" t="s">
        <v>42</v>
      </c>
      <c r="G10498">
        <v>-109.9067</v>
      </c>
      <c r="H10498" s="1">
        <v>-5.4132779999999995E-7</v>
      </c>
      <c r="I10498">
        <v>137.65710000000001</v>
      </c>
      <c r="J10498">
        <v>-137.91849999999999</v>
      </c>
      <c r="K10498">
        <v>1.111361</v>
      </c>
      <c r="L10498">
        <v>137.48429999999999</v>
      </c>
      <c r="M10498">
        <v>0.99975029999999998</v>
      </c>
      <c r="N10498">
        <v>0</v>
      </c>
      <c r="O10498">
        <v>8.4535610000000001E-3</v>
      </c>
      <c r="P10498">
        <v>0.99817040000000001</v>
      </c>
      <c r="Q10498">
        <v>-4.3644700000000002E-2</v>
      </c>
      <c r="R10498">
        <v>-4.1848929999999999E-2</v>
      </c>
      <c r="S10498">
        <v>3.0007779999999999</v>
      </c>
      <c r="T10498">
        <v>-0.1181165</v>
      </c>
      <c r="U10498">
        <v>1.8569950000000002E-2</v>
      </c>
      <c r="V10498">
        <v>5.0286329999999997E-2</v>
      </c>
      <c r="W10498">
        <v>-2.2992539999999999E-2</v>
      </c>
      <c r="X10498">
        <v>0.99847010000000003</v>
      </c>
      <c r="Y10498">
        <v>2.258875E-3</v>
      </c>
      <c r="Z10498">
        <v>-3.7712200000000003E-4</v>
      </c>
      <c r="AA10498">
        <v>0.99999740000000004</v>
      </c>
      <c r="AB10498">
        <v>20</v>
      </c>
      <c r="AC10498">
        <v>28.011799999999901</v>
      </c>
      <c r="AD10498">
        <v>-1.1113615413278</v>
      </c>
      <c r="AE10498">
        <v>0.17280000000002299</v>
      </c>
      <c r="AF10498">
        <v>6.3955645781296505E-2</v>
      </c>
      <c r="AG10498">
        <v>-1.1113615413278</v>
      </c>
      <c r="AH10498">
        <v>27.968236983149701</v>
      </c>
      <c r="AI10498">
        <v>92.275534082215998</v>
      </c>
      <c r="AJ10498">
        <v>89.868980579849605</v>
      </c>
      <c r="AK10498">
        <v>27.9903821829176</v>
      </c>
      <c r="AL10498">
        <v>91.317491660848802</v>
      </c>
      <c r="AM10498">
        <v>87.116826877856298</v>
      </c>
      <c r="AN10498">
        <v>0.99999995623726401</v>
      </c>
    </row>
    <row r="10499" spans="1:40" x14ac:dyDescent="0.25">
      <c r="A10499" t="str">
        <f>"20190312154158418"</f>
        <v>20190312154158418</v>
      </c>
      <c r="B10499" t="str">
        <f>"1552376518406940"</f>
        <v>1552376518406940</v>
      </c>
      <c r="C10499" t="s">
        <v>40</v>
      </c>
      <c r="D10499">
        <v>4.2449640000000004</v>
      </c>
      <c r="E10499">
        <v>0.4818327</v>
      </c>
      <c r="F10499" t="s">
        <v>42</v>
      </c>
      <c r="G10499">
        <v>-111.1639</v>
      </c>
      <c r="H10499" s="1">
        <v>-4.1254980000000001E-6</v>
      </c>
      <c r="I10499">
        <v>137.62889999999999</v>
      </c>
      <c r="J10499">
        <v>-137.72640000000001</v>
      </c>
      <c r="K10499">
        <v>1.11159599999999</v>
      </c>
      <c r="L10499">
        <v>137.48589999999999</v>
      </c>
      <c r="M10499">
        <v>0.99971719999999997</v>
      </c>
      <c r="N10499">
        <v>0</v>
      </c>
      <c r="O10499">
        <v>8.4525019999999902E-3</v>
      </c>
      <c r="P10499">
        <v>0.99804680000000001</v>
      </c>
      <c r="Q10499">
        <v>-4.5258399999999997E-2</v>
      </c>
      <c r="R10499">
        <v>-4.305995E-2</v>
      </c>
      <c r="S10499">
        <v>3.0007480000000002</v>
      </c>
      <c r="T10499">
        <v>-0.1246485</v>
      </c>
      <c r="U10499">
        <v>1.622009E-2</v>
      </c>
      <c r="V10499">
        <v>5.1495619999999999E-2</v>
      </c>
      <c r="W10499">
        <v>-2.3078319999999999E-2</v>
      </c>
      <c r="X10499">
        <v>0.99840649999999997</v>
      </c>
      <c r="Y10499">
        <v>3.0394770000000001E-3</v>
      </c>
      <c r="Z10499">
        <v>-4.1413840000000001E-4</v>
      </c>
      <c r="AA10499">
        <v>0.99999530000000003</v>
      </c>
      <c r="AB10499">
        <v>20</v>
      </c>
      <c r="AC10499">
        <v>26.5625</v>
      </c>
      <c r="AD10499">
        <v>-1.1116001254979999</v>
      </c>
      <c r="AE10499">
        <v>0.14299999999999999</v>
      </c>
      <c r="AF10499">
        <v>8.1437563583109204E-2</v>
      </c>
      <c r="AG10499">
        <v>-1.1116001254979999</v>
      </c>
      <c r="AH10499">
        <v>26.516323089181999</v>
      </c>
      <c r="AI10499">
        <v>92.400499697237905</v>
      </c>
      <c r="AJ10499">
        <v>89.824032389374295</v>
      </c>
      <c r="AK10499">
        <v>26.5397376981321</v>
      </c>
      <c r="AL10499">
        <v>91.322407774716396</v>
      </c>
      <c r="AM10499">
        <v>87.047425574735499</v>
      </c>
      <c r="AN10499">
        <v>0.99999997348772796</v>
      </c>
    </row>
    <row r="10500" spans="1:40" x14ac:dyDescent="0.25">
      <c r="A10500" t="str">
        <f>"20190312154158439"</f>
        <v>20190312154158439</v>
      </c>
      <c r="B10500" t="str">
        <f>"1552376518426460"</f>
        <v>1552376518426460</v>
      </c>
      <c r="C10500" t="s">
        <v>40</v>
      </c>
      <c r="D10500">
        <v>4.2930129999999904</v>
      </c>
      <c r="E10500">
        <v>0.48176350000000001</v>
      </c>
      <c r="F10500" t="s">
        <v>42</v>
      </c>
      <c r="G10500">
        <v>-112.10509999999999</v>
      </c>
      <c r="H10500" s="1">
        <v>-3.7236880000000001E-6</v>
      </c>
      <c r="I10500">
        <v>137.61779999999999</v>
      </c>
      <c r="J10500">
        <v>-137.5498</v>
      </c>
      <c r="K10500">
        <v>1.1118170000000001</v>
      </c>
      <c r="L10500">
        <v>137.48740000000001</v>
      </c>
      <c r="M10500">
        <v>0.99968199999999996</v>
      </c>
      <c r="N10500">
        <v>0</v>
      </c>
      <c r="O10500">
        <v>8.4512770000000001E-3</v>
      </c>
      <c r="P10500">
        <v>0.99796240000000003</v>
      </c>
      <c r="Q10500">
        <v>-4.6880720000000001E-2</v>
      </c>
      <c r="R10500">
        <v>-4.3281630000000001E-2</v>
      </c>
      <c r="S10500">
        <v>3.0006409999999999</v>
      </c>
      <c r="T10500">
        <v>-0.13018479999999999</v>
      </c>
      <c r="U10500">
        <v>1.5457149999999999E-2</v>
      </c>
      <c r="V10500">
        <v>5.1715709999999998E-2</v>
      </c>
      <c r="W10500">
        <v>-2.3167340000000002E-2</v>
      </c>
      <c r="X10500">
        <v>0.99839310000000003</v>
      </c>
      <c r="Y10500">
        <v>3.2914709999999998E-3</v>
      </c>
      <c r="Z10500">
        <v>-4.3795489999999998E-4</v>
      </c>
      <c r="AA10500">
        <v>0.99999450000000001</v>
      </c>
      <c r="AB10500">
        <v>19</v>
      </c>
      <c r="AC10500">
        <v>25.444700000000001</v>
      </c>
      <c r="AD10500">
        <v>-1.111820723688</v>
      </c>
      <c r="AE10500">
        <v>0.13039999999998</v>
      </c>
      <c r="AF10500">
        <v>8.4544169341950498E-2</v>
      </c>
      <c r="AG10500">
        <v>-1.111820723688</v>
      </c>
      <c r="AH10500">
        <v>25.396404986747999</v>
      </c>
      <c r="AI10500">
        <v>92.506718278530499</v>
      </c>
      <c r="AJ10500">
        <v>89.809264098821799</v>
      </c>
      <c r="AK10500">
        <v>25.420870938839101</v>
      </c>
      <c r="AL10500">
        <v>91.327509559121793</v>
      </c>
      <c r="AM10500">
        <v>87.034789147987098</v>
      </c>
      <c r="AN10500">
        <v>1.0000000112155401</v>
      </c>
    </row>
    <row r="10501" spans="1:40" x14ac:dyDescent="0.25">
      <c r="A10501" t="str">
        <f>"20190312154158460"</f>
        <v>20190312154158460</v>
      </c>
      <c r="B10501" t="str">
        <f>"1552376518446956"</f>
        <v>1552376518446956</v>
      </c>
      <c r="C10501" t="s">
        <v>40</v>
      </c>
      <c r="D10501">
        <v>4.1666420000000004</v>
      </c>
      <c r="E10501">
        <v>0.50461179999999894</v>
      </c>
      <c r="F10501" t="s">
        <v>42</v>
      </c>
      <c r="G10501">
        <v>-112.89360000000001</v>
      </c>
      <c r="H10501" s="1">
        <v>-3.3861699999999901E-6</v>
      </c>
      <c r="I10501">
        <v>137.61359999999999</v>
      </c>
      <c r="J10501">
        <v>-137.3835</v>
      </c>
      <c r="K10501">
        <v>1.112009</v>
      </c>
      <c r="L10501">
        <v>137.4888</v>
      </c>
      <c r="M10501">
        <v>0.99964560000000002</v>
      </c>
      <c r="N10501">
        <v>0</v>
      </c>
      <c r="O10501">
        <v>8.4504030000000004E-3</v>
      </c>
      <c r="P10501">
        <v>0.99790120000000004</v>
      </c>
      <c r="Q10501">
        <v>-4.7998230000000003E-2</v>
      </c>
      <c r="R10501">
        <v>-4.3466919999999999E-2</v>
      </c>
      <c r="S10501">
        <v>3.0004430000000002</v>
      </c>
      <c r="T10501">
        <v>-0.13529840000000001</v>
      </c>
      <c r="U10501">
        <v>1.53656E-2</v>
      </c>
      <c r="V10501">
        <v>5.1899760000000003E-2</v>
      </c>
      <c r="W10501">
        <v>-2.280656E-2</v>
      </c>
      <c r="X10501">
        <v>0.9983919</v>
      </c>
      <c r="Y10501">
        <v>3.3201620000000002E-3</v>
      </c>
      <c r="Z10501">
        <v>-4.5579149999999999E-4</v>
      </c>
      <c r="AA10501">
        <v>0.99999439999999995</v>
      </c>
      <c r="AB10501">
        <v>18</v>
      </c>
      <c r="AC10501">
        <v>24.489899999999899</v>
      </c>
      <c r="AD10501">
        <v>-1.11201238617</v>
      </c>
      <c r="AE10501">
        <v>0.124799999999993</v>
      </c>
      <c r="AF10501">
        <v>8.2050788266462296E-2</v>
      </c>
      <c r="AG10501">
        <v>-1.11201238617</v>
      </c>
      <c r="AH10501">
        <v>24.439691674009001</v>
      </c>
      <c r="AI10501">
        <v>92.605161527535202</v>
      </c>
      <c r="AJ10501">
        <v>89.8076429820199</v>
      </c>
      <c r="AK10501">
        <v>24.465114612432899</v>
      </c>
      <c r="AL10501">
        <v>91.306832867027296</v>
      </c>
      <c r="AM10501">
        <v>87.024251681581603</v>
      </c>
      <c r="AN10501">
        <v>1.0000000551263399</v>
      </c>
    </row>
    <row r="10502" spans="1:40" x14ac:dyDescent="0.25">
      <c r="A10502" t="str">
        <f>"20190312154158483"</f>
        <v>20190312154158483</v>
      </c>
      <c r="B10502" t="str">
        <f>"1552376518476236"</f>
        <v>1552376518476236</v>
      </c>
      <c r="C10502" t="s">
        <v>40</v>
      </c>
      <c r="D10502">
        <v>4.1630419999999999</v>
      </c>
      <c r="E10502">
        <v>0.51675309999999997</v>
      </c>
      <c r="F10502" t="s">
        <v>41</v>
      </c>
      <c r="G10502">
        <v>-136.5239</v>
      </c>
      <c r="H10502">
        <v>1.0234859999999999</v>
      </c>
      <c r="I10502">
        <v>137.44139999999999</v>
      </c>
      <c r="J10502">
        <v>-137.20670000000001</v>
      </c>
      <c r="K10502">
        <v>1.1121760000000001</v>
      </c>
      <c r="L10502">
        <v>137.49029999999999</v>
      </c>
      <c r="M10502">
        <v>0.9996062</v>
      </c>
      <c r="N10502">
        <v>0</v>
      </c>
      <c r="O10502">
        <v>8.4492509999999996E-3</v>
      </c>
      <c r="P10502">
        <v>0.99787459999999994</v>
      </c>
      <c r="Q10502">
        <v>-4.855951E-2</v>
      </c>
      <c r="R10502">
        <v>-4.3459900000000003E-2</v>
      </c>
      <c r="S10502">
        <v>2.984375</v>
      </c>
      <c r="T10502">
        <v>-0.30740329999999999</v>
      </c>
      <c r="U10502">
        <v>-0.16419979999999901</v>
      </c>
      <c r="V10502">
        <v>5.189175E-2</v>
      </c>
      <c r="W10502">
        <v>-2.1848139999999999E-2</v>
      </c>
      <c r="X10502">
        <v>0.99841369999999896</v>
      </c>
      <c r="Y10502">
        <v>6.2997369999999997E-2</v>
      </c>
      <c r="Z10502">
        <v>-4.1012280000000002E-3</v>
      </c>
      <c r="AA10502">
        <v>0.99800529999999998</v>
      </c>
      <c r="AB10502">
        <v>18</v>
      </c>
      <c r="AC10502">
        <v>0.68280000000001395</v>
      </c>
      <c r="AD10502">
        <v>-8.8689999999999894E-2</v>
      </c>
      <c r="AE10502">
        <v>-4.8900000000003198E-2</v>
      </c>
      <c r="AF10502">
        <v>5.3766950393697797E-2</v>
      </c>
      <c r="AG10502">
        <v>-8.8689999999999894E-2</v>
      </c>
      <c r="AH10502">
        <v>0.67109742632065095</v>
      </c>
      <c r="AI10502">
        <v>97.504621118789302</v>
      </c>
      <c r="AJ10502">
        <v>85.419363712881605</v>
      </c>
      <c r="AK10502">
        <v>0.67906447165850203</v>
      </c>
      <c r="AL10502">
        <v>91.251905816327195</v>
      </c>
      <c r="AM10502">
        <v>87.024774968999296</v>
      </c>
      <c r="AN10502">
        <v>1.0000000056436</v>
      </c>
    </row>
    <row r="10503" spans="1:40" x14ac:dyDescent="0.25">
      <c r="A10503" t="str">
        <f>"20190312154158504"</f>
        <v>20190312154158504</v>
      </c>
      <c r="B10503" t="str">
        <f>"1552376518496733"</f>
        <v>1552376518496733</v>
      </c>
      <c r="C10503" t="s">
        <v>40</v>
      </c>
      <c r="D10503">
        <v>4.2276949999999998</v>
      </c>
      <c r="E10503">
        <v>0.51932040000000002</v>
      </c>
      <c r="F10503" t="s">
        <v>41</v>
      </c>
      <c r="G10503">
        <v>-136.39689999999999</v>
      </c>
      <c r="H10503">
        <v>0.97346259999999996</v>
      </c>
      <c r="I10503">
        <v>137.4203</v>
      </c>
      <c r="J10503">
        <v>-137.0427</v>
      </c>
      <c r="K10503">
        <v>1.112298</v>
      </c>
      <c r="L10503">
        <v>137.49170000000001</v>
      </c>
      <c r="M10503">
        <v>0.99956979999999995</v>
      </c>
      <c r="N10503">
        <v>0</v>
      </c>
      <c r="O10503">
        <v>8.4501890000000003E-3</v>
      </c>
      <c r="P10503">
        <v>0.99787130000000002</v>
      </c>
      <c r="Q10503">
        <v>-4.8378999999999998E-2</v>
      </c>
      <c r="R10503">
        <v>-4.3732930000000003E-2</v>
      </c>
      <c r="S10503">
        <v>2.970459</v>
      </c>
      <c r="T10503">
        <v>-0.50879039999999998</v>
      </c>
      <c r="U10503">
        <v>-0.25692749999999998</v>
      </c>
      <c r="V10503">
        <v>5.2166079999999997E-2</v>
      </c>
      <c r="W10503">
        <v>-2.0344689999999999E-2</v>
      </c>
      <c r="X10503">
        <v>0.99843110000000002</v>
      </c>
      <c r="Y10503">
        <v>9.3122860000000002E-2</v>
      </c>
      <c r="Z10503">
        <v>-9.3380890000000008E-3</v>
      </c>
      <c r="AA10503">
        <v>0.99561080000000002</v>
      </c>
      <c r="AB10503">
        <v>17</v>
      </c>
      <c r="AC10503">
        <v>0.64580000000000803</v>
      </c>
      <c r="AD10503">
        <v>-0.138835399999999</v>
      </c>
      <c r="AE10503">
        <v>-7.1400000000011205E-2</v>
      </c>
      <c r="AF10503">
        <v>7.3500752118129398E-2</v>
      </c>
      <c r="AG10503">
        <v>-0.138835399999999</v>
      </c>
      <c r="AH10503">
        <v>0.61700157201283501</v>
      </c>
      <c r="AI10503">
        <v>102.595088571852</v>
      </c>
      <c r="AJ10503">
        <v>83.206613545851894</v>
      </c>
      <c r="AK10503">
        <v>0.63668561215202701</v>
      </c>
      <c r="AL10503">
        <v>91.165745377266305</v>
      </c>
      <c r="AM10503">
        <v>87.009126710107793</v>
      </c>
      <c r="AN10503">
        <v>0.99999993388048403</v>
      </c>
    </row>
    <row r="10504" spans="1:40" x14ac:dyDescent="0.25">
      <c r="A10504" t="str">
        <f>"20190312154158526"</f>
        <v>20190312154158526</v>
      </c>
      <c r="B10504" t="str">
        <f>"1552376518516253"</f>
        <v>1552376518516253</v>
      </c>
      <c r="C10504" t="s">
        <v>40</v>
      </c>
      <c r="D10504">
        <v>4.2306689999999998</v>
      </c>
      <c r="E10504">
        <v>0.5208412</v>
      </c>
      <c r="F10504" t="s">
        <v>41</v>
      </c>
      <c r="G10504">
        <v>-136.25470000000001</v>
      </c>
      <c r="H10504">
        <v>0.96106239999999998</v>
      </c>
      <c r="I10504">
        <v>137.41810000000001</v>
      </c>
      <c r="J10504">
        <v>-136.88210000000001</v>
      </c>
      <c r="K10504">
        <v>1.1123879999999999</v>
      </c>
      <c r="L10504">
        <v>137.49299999999999</v>
      </c>
      <c r="M10504">
        <v>0.99953460000000005</v>
      </c>
      <c r="N10504">
        <v>0</v>
      </c>
      <c r="O10504">
        <v>8.4578299999999995E-3</v>
      </c>
      <c r="P10504">
        <v>0.99785190000000001</v>
      </c>
      <c r="Q10504">
        <v>-4.8203870000000003E-2</v>
      </c>
      <c r="R10504">
        <v>-4.4365689999999999E-2</v>
      </c>
      <c r="S10504">
        <v>2.9666899999999998</v>
      </c>
      <c r="T10504">
        <v>-0.56942950000000003</v>
      </c>
      <c r="U10504">
        <v>-0.27651979999999998</v>
      </c>
      <c r="V10504">
        <v>5.2806779999999998E-2</v>
      </c>
      <c r="W10504">
        <v>-1.8950160000000001E-2</v>
      </c>
      <c r="X10504">
        <v>0.99842489999999995</v>
      </c>
      <c r="Y10504">
        <v>9.9277290000000004E-2</v>
      </c>
      <c r="Z10504">
        <v>-1.1027810000000001E-2</v>
      </c>
      <c r="AA10504">
        <v>0.99499870000000001</v>
      </c>
      <c r="AB10504">
        <v>17</v>
      </c>
      <c r="AC10504">
        <v>0.62739999999999396</v>
      </c>
      <c r="AD10504">
        <v>-0.15132559999999901</v>
      </c>
      <c r="AE10504">
        <v>-7.4899999999985298E-2</v>
      </c>
      <c r="AF10504">
        <v>7.5855181262593496E-2</v>
      </c>
      <c r="AG10504">
        <v>-0.15132559999999901</v>
      </c>
      <c r="AH10504">
        <v>0.59274540418764499</v>
      </c>
      <c r="AI10504">
        <v>104.21034136983801</v>
      </c>
      <c r="AJ10504">
        <v>82.707347272027306</v>
      </c>
      <c r="AK10504">
        <v>0.61644185445613298</v>
      </c>
      <c r="AL10504">
        <v>91.085829213720302</v>
      </c>
      <c r="AM10504">
        <v>86.972442181615094</v>
      </c>
      <c r="AN10504">
        <v>0.99999997275900099</v>
      </c>
    </row>
    <row r="10505" spans="1:40" x14ac:dyDescent="0.25">
      <c r="A10505" t="str">
        <f>"20190312154158548"</f>
        <v>20190312154158548</v>
      </c>
      <c r="B10505" t="str">
        <f>"1552376518536748"</f>
        <v>1552376518536748</v>
      </c>
      <c r="C10505" t="s">
        <v>40</v>
      </c>
      <c r="D10505">
        <v>4.2035920000000004</v>
      </c>
      <c r="E10505">
        <v>0.52218520000000002</v>
      </c>
      <c r="F10505" t="s">
        <v>41</v>
      </c>
      <c r="G10505">
        <v>-136.113</v>
      </c>
      <c r="H10505">
        <v>0.9556384</v>
      </c>
      <c r="I10505">
        <v>137.4178</v>
      </c>
      <c r="J10505">
        <v>-136.7234</v>
      </c>
      <c r="K10505">
        <v>1.1124719999999999</v>
      </c>
      <c r="L10505">
        <v>137.49440000000001</v>
      </c>
      <c r="M10505">
        <v>0.9995001</v>
      </c>
      <c r="N10505">
        <v>0</v>
      </c>
      <c r="O10505">
        <v>8.4778079999999999E-3</v>
      </c>
      <c r="P10505">
        <v>0.99777179999999999</v>
      </c>
      <c r="Q10505">
        <v>-4.8740529999999997E-2</v>
      </c>
      <c r="R10505">
        <v>-4.5559719999999998E-2</v>
      </c>
      <c r="S10505">
        <v>2.9643860000000002</v>
      </c>
      <c r="T10505">
        <v>-0.60418109999999903</v>
      </c>
      <c r="U10505">
        <v>-0.28981020000000002</v>
      </c>
      <c r="V10505">
        <v>5.402088E-2</v>
      </c>
      <c r="W10505">
        <v>-1.833893E-2</v>
      </c>
      <c r="X10505">
        <v>0.99837140000000002</v>
      </c>
      <c r="Y10505">
        <v>0.10345790000000001</v>
      </c>
      <c r="Z10505">
        <v>-1.211901E-2</v>
      </c>
      <c r="AA10505">
        <v>0.99456</v>
      </c>
      <c r="AB10505">
        <v>17</v>
      </c>
      <c r="AC10505">
        <v>0.61039999999999806</v>
      </c>
      <c r="AD10505">
        <v>-0.15683359999999899</v>
      </c>
      <c r="AE10505">
        <v>-7.6600000000013296E-2</v>
      </c>
      <c r="AF10505">
        <v>7.6784110399270203E-2</v>
      </c>
      <c r="AG10505">
        <v>-0.15683359999999899</v>
      </c>
      <c r="AH10505">
        <v>0.57251891446719405</v>
      </c>
      <c r="AI10505">
        <v>105.189925292334</v>
      </c>
      <c r="AJ10505">
        <v>82.361284863200297</v>
      </c>
      <c r="AK10505">
        <v>0.59855700239948895</v>
      </c>
      <c r="AL10505">
        <v>91.0508021830275</v>
      </c>
      <c r="AM10505">
        <v>86.902802841516504</v>
      </c>
      <c r="AN10505">
        <v>1.00000001208373</v>
      </c>
    </row>
    <row r="10506" spans="1:40" x14ac:dyDescent="0.25">
      <c r="A10506" t="str">
        <f>"20190312154158570"</f>
        <v>20190312154158570</v>
      </c>
      <c r="B10506" t="str">
        <f>"1552376518567005"</f>
        <v>1552376518567005</v>
      </c>
      <c r="C10506" t="s">
        <v>40</v>
      </c>
      <c r="D10506">
        <v>4.2238980000000002</v>
      </c>
      <c r="E10506">
        <v>0.52296450000000005</v>
      </c>
      <c r="F10506" t="s">
        <v>41</v>
      </c>
      <c r="G10506">
        <v>-135.97389999999999</v>
      </c>
      <c r="H10506">
        <v>0.9531579</v>
      </c>
      <c r="I10506">
        <v>137.41739999999999</v>
      </c>
      <c r="J10506">
        <v>-136.5686</v>
      </c>
      <c r="K10506">
        <v>1.112549</v>
      </c>
      <c r="L10506">
        <v>137.4957</v>
      </c>
      <c r="M10506">
        <v>0.99946679999999999</v>
      </c>
      <c r="N10506">
        <v>0</v>
      </c>
      <c r="O10506">
        <v>8.5156499999999996E-3</v>
      </c>
      <c r="P10506">
        <v>0.99768129999999999</v>
      </c>
      <c r="Q10506">
        <v>-4.9727100000000003E-2</v>
      </c>
      <c r="R10506">
        <v>-4.6471419999999999E-2</v>
      </c>
      <c r="S10506">
        <v>2.9620820000000001</v>
      </c>
      <c r="T10506">
        <v>-0.62967659999999903</v>
      </c>
      <c r="U10506">
        <v>-0.30339050000000001</v>
      </c>
      <c r="V10506">
        <v>5.497018E-2</v>
      </c>
      <c r="W10506">
        <v>-1.8263749999999999E-2</v>
      </c>
      <c r="X10506">
        <v>0.99832089999999996</v>
      </c>
      <c r="Y10506">
        <v>0.1077907</v>
      </c>
      <c r="Z10506">
        <v>-1.308862E-2</v>
      </c>
      <c r="AA10506">
        <v>0.99408750000000001</v>
      </c>
      <c r="AB10506">
        <v>16</v>
      </c>
      <c r="AC10506">
        <v>0.59470000000001699</v>
      </c>
      <c r="AD10506">
        <v>-0.15939110000000001</v>
      </c>
      <c r="AE10506">
        <v>-7.8300000000012901E-2</v>
      </c>
      <c r="AF10506">
        <v>7.7865803319078303E-2</v>
      </c>
      <c r="AG10506">
        <v>-0.15939110000000001</v>
      </c>
      <c r="AH10506">
        <v>0.55483427995378998</v>
      </c>
      <c r="AI10506">
        <v>105.88047142812199</v>
      </c>
      <c r="AJ10506">
        <v>82.011247907046197</v>
      </c>
      <c r="AK10506">
        <v>0.58250294788745605</v>
      </c>
      <c r="AL10506">
        <v>91.046494027373598</v>
      </c>
      <c r="AM10506">
        <v>86.848325976360897</v>
      </c>
      <c r="AN10506">
        <v>0.99999995231505101</v>
      </c>
    </row>
    <row r="10507" spans="1:40" x14ac:dyDescent="0.25">
      <c r="A10507" t="str">
        <f>"20190312154158595"</f>
        <v>20190312154158595</v>
      </c>
      <c r="B10507" t="str">
        <f>"1552376518586524"</f>
        <v>1552376518586524</v>
      </c>
      <c r="C10507" t="s">
        <v>40</v>
      </c>
      <c r="D10507">
        <v>4.2475079999999998</v>
      </c>
      <c r="E10507">
        <v>0.52337679999999998</v>
      </c>
      <c r="F10507" t="s">
        <v>41</v>
      </c>
      <c r="G10507">
        <v>-135.83879999999999</v>
      </c>
      <c r="H10507">
        <v>0.95115709999999998</v>
      </c>
      <c r="I10507">
        <v>137.41890000000001</v>
      </c>
      <c r="J10507">
        <v>-136.40690000000001</v>
      </c>
      <c r="K10507">
        <v>1.1126180000000001</v>
      </c>
      <c r="L10507">
        <v>137.49719999999999</v>
      </c>
      <c r="M10507">
        <v>0.99943360000000003</v>
      </c>
      <c r="N10507">
        <v>0</v>
      </c>
      <c r="O10507">
        <v>8.5818869999999998E-3</v>
      </c>
      <c r="P10507">
        <v>0.99759359999999997</v>
      </c>
      <c r="Q10507">
        <v>-5.0404949999999997E-2</v>
      </c>
      <c r="R10507">
        <v>-4.7610310000000003E-2</v>
      </c>
      <c r="S10507">
        <v>2.959854</v>
      </c>
      <c r="T10507">
        <v>-0.65462889999999996</v>
      </c>
      <c r="U10507">
        <v>-0.31127929999999998</v>
      </c>
      <c r="V10507">
        <v>5.6175240000000001E-2</v>
      </c>
      <c r="W10507">
        <v>-1.7926060000000001E-2</v>
      </c>
      <c r="X10507">
        <v>0.99826000000000004</v>
      </c>
      <c r="Y10507">
        <v>0.1102836</v>
      </c>
      <c r="Z10507">
        <v>-1.388969E-2</v>
      </c>
      <c r="AA10507">
        <v>0.99380310000000005</v>
      </c>
      <c r="AB10507">
        <v>16</v>
      </c>
      <c r="AC10507">
        <v>0.56810000000001504</v>
      </c>
      <c r="AD10507">
        <v>-0.16146089999999999</v>
      </c>
      <c r="AE10507">
        <v>-7.8299999999984493E-2</v>
      </c>
      <c r="AF10507">
        <v>7.7065994626305104E-2</v>
      </c>
      <c r="AG10507">
        <v>-0.16146089999999999</v>
      </c>
      <c r="AH10507">
        <v>0.52573164643510595</v>
      </c>
      <c r="AI10507">
        <v>106.902408251198</v>
      </c>
      <c r="AJ10507">
        <v>81.660516120657704</v>
      </c>
      <c r="AK10507">
        <v>0.55534003441127699</v>
      </c>
      <c r="AL10507">
        <v>91.027142582461593</v>
      </c>
      <c r="AM10507">
        <v>86.779182588985194</v>
      </c>
      <c r="AN10507">
        <v>1.0000000144080901</v>
      </c>
    </row>
    <row r="10508" spans="1:40" x14ac:dyDescent="0.25">
      <c r="A10508" t="str">
        <f>"20190312154158619"</f>
        <v>20190312154158619</v>
      </c>
      <c r="B10508" t="str">
        <f>"1552376518607022"</f>
        <v>1552376518607022</v>
      </c>
      <c r="C10508" t="s">
        <v>40</v>
      </c>
      <c r="D10508">
        <v>4.2637260000000001</v>
      </c>
      <c r="E10508">
        <v>0.52381750000000005</v>
      </c>
      <c r="F10508" t="s">
        <v>41</v>
      </c>
      <c r="G10508">
        <v>-135.70519999999999</v>
      </c>
      <c r="H10508">
        <v>0.95425309999999997</v>
      </c>
      <c r="I10508">
        <v>137.42160000000001</v>
      </c>
      <c r="J10508">
        <v>-136.25630000000001</v>
      </c>
      <c r="K10508">
        <v>1.1128</v>
      </c>
      <c r="L10508">
        <v>137.49850000000001</v>
      </c>
      <c r="M10508">
        <v>0.99938649999999996</v>
      </c>
      <c r="N10508">
        <v>0</v>
      </c>
      <c r="O10508">
        <v>8.6587980000000005E-3</v>
      </c>
      <c r="P10508">
        <v>0.99746829999999997</v>
      </c>
      <c r="Q10508">
        <v>-5.193967E-2</v>
      </c>
      <c r="R10508">
        <v>-4.8576979999999999E-2</v>
      </c>
      <c r="S10508">
        <v>2.9583439999999999</v>
      </c>
      <c r="T10508">
        <v>-0.66772149999999997</v>
      </c>
      <c r="U10508">
        <v>-0.31758120000000001</v>
      </c>
      <c r="V10508">
        <v>5.7218190000000002E-2</v>
      </c>
      <c r="W10508">
        <v>-1.8068569999999999E-2</v>
      </c>
      <c r="X10508">
        <v>0.99819820000000004</v>
      </c>
      <c r="Y10508">
        <v>0.1123377</v>
      </c>
      <c r="Z10508">
        <v>-1.4411790000000001E-2</v>
      </c>
      <c r="AA10508">
        <v>0.99356560000000005</v>
      </c>
      <c r="AB10508">
        <v>15</v>
      </c>
      <c r="AC10508">
        <v>0.55110000000001902</v>
      </c>
      <c r="AD10508">
        <v>-0.15854689999999999</v>
      </c>
      <c r="AE10508">
        <v>-7.6899999999994806E-2</v>
      </c>
      <c r="AF10508">
        <v>7.5539035231289298E-2</v>
      </c>
      <c r="AG10508">
        <v>-0.15854689999999999</v>
      </c>
      <c r="AH10508">
        <v>0.50908280774857195</v>
      </c>
      <c r="AI10508">
        <v>107.12215288172899</v>
      </c>
      <c r="AJ10508">
        <v>81.559886313209006</v>
      </c>
      <c r="AK10508">
        <v>0.538524438153417</v>
      </c>
      <c r="AL10508">
        <v>91.035309120288602</v>
      </c>
      <c r="AM10508">
        <v>86.719311621032404</v>
      </c>
      <c r="AN10508">
        <v>1.00000002048598</v>
      </c>
    </row>
    <row r="10509" spans="1:40" x14ac:dyDescent="0.25">
      <c r="A10509" t="str">
        <f>"20190312154158644"</f>
        <v>20190312154158644</v>
      </c>
      <c r="B10509" t="str">
        <f>"1552376518636300"</f>
        <v>1552376518636300</v>
      </c>
      <c r="C10509" t="s">
        <v>40</v>
      </c>
      <c r="D10509">
        <v>4.2679830000000001</v>
      </c>
      <c r="E10509">
        <v>0.52517009999999997</v>
      </c>
      <c r="F10509" t="s">
        <v>41</v>
      </c>
      <c r="G10509">
        <v>-135.46979999999999</v>
      </c>
      <c r="H10509">
        <v>0.93136890000000006</v>
      </c>
      <c r="I10509">
        <v>137.41220000000001</v>
      </c>
      <c r="J10509">
        <v>-136.10929999999999</v>
      </c>
      <c r="K10509">
        <v>1.1130340000000001</v>
      </c>
      <c r="L10509">
        <v>137.4999</v>
      </c>
      <c r="M10509">
        <v>0.99932690000000002</v>
      </c>
      <c r="N10509">
        <v>0</v>
      </c>
      <c r="O10509">
        <v>8.7541960000000005E-3</v>
      </c>
      <c r="P10509">
        <v>0.99732580000000004</v>
      </c>
      <c r="Q10509">
        <v>-5.4340529999999998E-2</v>
      </c>
      <c r="R10509">
        <v>-4.887412E-2</v>
      </c>
      <c r="S10509">
        <v>2.9563290000000002</v>
      </c>
      <c r="T10509">
        <v>-0.68202499999999999</v>
      </c>
      <c r="U10509">
        <v>-0.32388309999999998</v>
      </c>
      <c r="V10509">
        <v>5.7610080000000001E-2</v>
      </c>
      <c r="W10509">
        <v>-1.8787269999999998E-2</v>
      </c>
      <c r="X10509">
        <v>0.99816240000000001</v>
      </c>
      <c r="Y10509">
        <v>0.1144096</v>
      </c>
      <c r="Z10509">
        <v>-1.4977860000000001E-2</v>
      </c>
      <c r="AA10509">
        <v>0.9933208</v>
      </c>
      <c r="AB10509">
        <v>14</v>
      </c>
      <c r="AC10509">
        <v>0.63949999999999796</v>
      </c>
      <c r="AD10509">
        <v>-0.1816651</v>
      </c>
      <c r="AE10509">
        <v>-8.7699999999983902E-2</v>
      </c>
      <c r="AF10509">
        <v>8.6450882608353902E-2</v>
      </c>
      <c r="AG10509">
        <v>-0.1816651</v>
      </c>
      <c r="AH10509">
        <v>0.59182949828864995</v>
      </c>
      <c r="AI10509">
        <v>106.89520290770901</v>
      </c>
      <c r="AJ10509">
        <v>81.689355313444494</v>
      </c>
      <c r="AK10509">
        <v>0.62509048841457204</v>
      </c>
      <c r="AL10509">
        <v>91.076494580682095</v>
      </c>
      <c r="AM10509">
        <v>86.696773413586399</v>
      </c>
      <c r="AN10509">
        <v>1.0000000298027001</v>
      </c>
    </row>
    <row r="10510" spans="1:40" x14ac:dyDescent="0.25">
      <c r="A10510" t="str">
        <f>"20190312154158660"</f>
        <v>20190312154158660</v>
      </c>
      <c r="B10510" t="str">
        <f>"1552376518647036"</f>
        <v>1552376518647036</v>
      </c>
      <c r="C10510" t="s">
        <v>40</v>
      </c>
      <c r="D10510">
        <v>4.2744679999999997</v>
      </c>
      <c r="E10510">
        <v>0.525416199999999</v>
      </c>
      <c r="F10510" t="s">
        <v>41</v>
      </c>
      <c r="G10510">
        <v>-135.35399999999899</v>
      </c>
      <c r="H10510">
        <v>0.93311330000000003</v>
      </c>
      <c r="I10510">
        <v>137.41419999999999</v>
      </c>
      <c r="J10510">
        <v>-136.01320000000001</v>
      </c>
      <c r="K10510">
        <v>1.1131549999999999</v>
      </c>
      <c r="L10510">
        <v>137.5009</v>
      </c>
      <c r="M10510">
        <v>0.99928799999999995</v>
      </c>
      <c r="N10510">
        <v>0</v>
      </c>
      <c r="O10510">
        <v>8.8343320000000003E-3</v>
      </c>
      <c r="P10510">
        <v>0.99724449999999998</v>
      </c>
      <c r="Q10510">
        <v>-5.6110439999999998E-2</v>
      </c>
      <c r="R10510">
        <v>-4.8526050000000001E-2</v>
      </c>
      <c r="S10510">
        <v>2.9532780000000001</v>
      </c>
      <c r="T10510">
        <v>-0.70352040000000005</v>
      </c>
      <c r="U10510">
        <v>-0.33537289999999997</v>
      </c>
      <c r="V10510">
        <v>5.7341839999999998E-2</v>
      </c>
      <c r="W10510">
        <v>-1.950518E-2</v>
      </c>
      <c r="X10510">
        <v>0.9981641</v>
      </c>
      <c r="Y10510">
        <v>0.1181053</v>
      </c>
      <c r="Z10510">
        <v>-1.590128E-2</v>
      </c>
      <c r="AA10510">
        <v>0.99287369999999997</v>
      </c>
      <c r="AB10510">
        <v>13</v>
      </c>
      <c r="AC10510">
        <v>0.65920000000002599</v>
      </c>
      <c r="AD10510">
        <v>-0.180041699999999</v>
      </c>
      <c r="AE10510">
        <v>-8.6700000000007493E-2</v>
      </c>
      <c r="AF10510">
        <v>8.6203115771380595E-2</v>
      </c>
      <c r="AG10510">
        <v>-0.180041699999999</v>
      </c>
      <c r="AH10510">
        <v>0.61342706668545999</v>
      </c>
      <c r="AI10510">
        <v>106.20627430096999</v>
      </c>
      <c r="AJ10510">
        <v>82.0007727044879</v>
      </c>
      <c r="AK10510">
        <v>0.64508817773224703</v>
      </c>
      <c r="AL10510">
        <v>91.117635307035698</v>
      </c>
      <c r="AM10510">
        <v>86.712125431334997</v>
      </c>
      <c r="AN10510">
        <v>1.00000005459511</v>
      </c>
    </row>
    <row r="10511" spans="1:40" x14ac:dyDescent="0.25">
      <c r="A10511" t="str">
        <f>"20190312154158683"</f>
        <v>20190312154158683</v>
      </c>
      <c r="B10511" t="str">
        <f>"1552376518676316"</f>
        <v>1552376518676316</v>
      </c>
      <c r="C10511" t="s">
        <v>40</v>
      </c>
      <c r="D10511">
        <v>4.2744669999999996</v>
      </c>
      <c r="E10511">
        <v>0.52638059999999998</v>
      </c>
      <c r="F10511" t="s">
        <v>41</v>
      </c>
      <c r="G10511">
        <v>-135.24600000000001</v>
      </c>
      <c r="H10511">
        <v>0.92778110000000003</v>
      </c>
      <c r="I10511">
        <v>137.4134</v>
      </c>
      <c r="J10511">
        <v>-135.89150000000001</v>
      </c>
      <c r="K10511">
        <v>1.1131690000000001</v>
      </c>
      <c r="L10511">
        <v>137.50210000000001</v>
      </c>
      <c r="M10511">
        <v>0.99925600000000003</v>
      </c>
      <c r="N10511">
        <v>0</v>
      </c>
      <c r="O10511">
        <v>8.9719740000000006E-3</v>
      </c>
      <c r="P10511">
        <v>0.99717129999999998</v>
      </c>
      <c r="Q10511">
        <v>-5.7579680000000001E-2</v>
      </c>
      <c r="R10511">
        <v>-4.8313000000000002E-2</v>
      </c>
      <c r="S10511">
        <v>2.951813</v>
      </c>
      <c r="T10511">
        <v>-0.71337790000000001</v>
      </c>
      <c r="U10511">
        <v>-0.33604430000000002</v>
      </c>
      <c r="V10511">
        <v>5.7266459999999998E-2</v>
      </c>
      <c r="W10511">
        <v>-2.0146000000000001E-2</v>
      </c>
      <c r="X10511">
        <v>0.99815569999999998</v>
      </c>
      <c r="Y10511">
        <v>0.1184069</v>
      </c>
      <c r="Z10511">
        <v>-1.6194090000000001E-2</v>
      </c>
      <c r="AA10511">
        <v>0.99283310000000002</v>
      </c>
      <c r="AB10511">
        <v>13</v>
      </c>
      <c r="AC10511">
        <v>0.64549999999999796</v>
      </c>
      <c r="AD10511">
        <v>-0.18538789999999999</v>
      </c>
      <c r="AE10511">
        <v>-8.8700000000017099E-2</v>
      </c>
      <c r="AF10511">
        <v>8.7415174919087305E-2</v>
      </c>
      <c r="AG10511">
        <v>-0.18538789999999999</v>
      </c>
      <c r="AH10511">
        <v>0.59639607646277704</v>
      </c>
      <c r="AI10511">
        <v>107.095843955258</v>
      </c>
      <c r="AJ10511">
        <v>81.661398594153994</v>
      </c>
      <c r="AK10511">
        <v>0.63063330572745602</v>
      </c>
      <c r="AL10511">
        <v>91.154358804373103</v>
      </c>
      <c r="AM10511">
        <v>86.716410544537197</v>
      </c>
      <c r="AN10511">
        <v>1.0000000550996999</v>
      </c>
    </row>
    <row r="10512" spans="1:40" x14ac:dyDescent="0.25">
      <c r="A10512" t="str">
        <f>"20190312154158705"</f>
        <v>20190312154158705</v>
      </c>
      <c r="B10512" t="str">
        <f>"1552376518696812"</f>
        <v>1552376518696812</v>
      </c>
      <c r="C10512" t="s">
        <v>40</v>
      </c>
      <c r="D10512">
        <v>4.2521110000000002</v>
      </c>
      <c r="E10512">
        <v>0.52686499999999903</v>
      </c>
      <c r="F10512" t="s">
        <v>41</v>
      </c>
      <c r="G10512">
        <v>-135.13839999999999</v>
      </c>
      <c r="H10512">
        <v>0.92720400000000003</v>
      </c>
      <c r="I10512">
        <v>137.4144</v>
      </c>
      <c r="J10512">
        <v>-135.77070000000001</v>
      </c>
      <c r="K10512">
        <v>1.1130199999999999</v>
      </c>
      <c r="L10512">
        <v>137.5033</v>
      </c>
      <c r="M10512">
        <v>0.99925359999999996</v>
      </c>
      <c r="N10512">
        <v>0</v>
      </c>
      <c r="O10512">
        <v>9.1473390000000009E-3</v>
      </c>
      <c r="P10512">
        <v>0.99718770000000001</v>
      </c>
      <c r="Q10512">
        <v>-5.7967530000000003E-2</v>
      </c>
      <c r="R10512">
        <v>-4.7504280000000003E-2</v>
      </c>
      <c r="S10512">
        <v>2.9498289999999998</v>
      </c>
      <c r="T10512">
        <v>-0.72839409999999905</v>
      </c>
      <c r="U10512">
        <v>-0.34329219999999999</v>
      </c>
      <c r="V10512">
        <v>5.6633999999999997E-2</v>
      </c>
      <c r="W10512">
        <v>-2.051039E-2</v>
      </c>
      <c r="X10512">
        <v>0.99818430000000002</v>
      </c>
      <c r="Y10512">
        <v>0.1208306</v>
      </c>
      <c r="Z10512">
        <v>-1.687017E-2</v>
      </c>
      <c r="AA10512">
        <v>0.99252969999999896</v>
      </c>
      <c r="AB10512">
        <v>12</v>
      </c>
      <c r="AC10512">
        <v>0.63230000000001496</v>
      </c>
      <c r="AD10512">
        <v>-0.18581600000000001</v>
      </c>
      <c r="AE10512">
        <v>-8.8899999999995302E-2</v>
      </c>
      <c r="AF10512">
        <v>8.7291711311788006E-2</v>
      </c>
      <c r="AG10512">
        <v>-0.18581600000000001</v>
      </c>
      <c r="AH10512">
        <v>0.58215829003752795</v>
      </c>
      <c r="AI10512">
        <v>107.518607226762</v>
      </c>
      <c r="AJ10512">
        <v>81.472317637768398</v>
      </c>
      <c r="AK10512">
        <v>0.61729709490581497</v>
      </c>
      <c r="AL10512">
        <v>91.175241202400301</v>
      </c>
      <c r="AM10512">
        <v>86.752689834865706</v>
      </c>
      <c r="AN10512">
        <v>0.999999991410221</v>
      </c>
    </row>
    <row r="10513" spans="1:40" x14ac:dyDescent="0.25">
      <c r="A10513" t="str">
        <f>"20190312154158727"</f>
        <v>20190312154158727</v>
      </c>
      <c r="B10513" t="str">
        <f>"1552376518716332"</f>
        <v>1552376518716332</v>
      </c>
      <c r="C10513" t="s">
        <v>40</v>
      </c>
      <c r="D10513">
        <v>4.2384659999999998</v>
      </c>
      <c r="E10513">
        <v>0.52732349999999995</v>
      </c>
      <c r="F10513" t="s">
        <v>41</v>
      </c>
      <c r="G10513">
        <v>-135.03219999999999</v>
      </c>
      <c r="H10513">
        <v>0.92892560000000002</v>
      </c>
      <c r="I10513">
        <v>137.4169</v>
      </c>
      <c r="J10513">
        <v>-135.65899999999999</v>
      </c>
      <c r="K10513">
        <v>1.112849</v>
      </c>
      <c r="L10513">
        <v>137.50460000000001</v>
      </c>
      <c r="M10513">
        <v>0.99926099999999995</v>
      </c>
      <c r="N10513">
        <v>0</v>
      </c>
      <c r="O10513">
        <v>9.3335940000000006E-3</v>
      </c>
      <c r="P10513">
        <v>0.99725790000000003</v>
      </c>
      <c r="Q10513">
        <v>-5.7374069999999999E-2</v>
      </c>
      <c r="R10513">
        <v>-4.6742470000000001E-2</v>
      </c>
      <c r="S10513">
        <v>2.9492950000000002</v>
      </c>
      <c r="T10513">
        <v>-0.73526979999999997</v>
      </c>
      <c r="U10513">
        <v>-0.34451290000000001</v>
      </c>
      <c r="V10513">
        <v>5.605918E-2</v>
      </c>
      <c r="W10513">
        <v>-2.015577E-2</v>
      </c>
      <c r="X10513">
        <v>0.998224</v>
      </c>
      <c r="Y10513">
        <v>0.121347</v>
      </c>
      <c r="Z10513">
        <v>-1.7136129999999999E-2</v>
      </c>
      <c r="AA10513">
        <v>0.99246219999999996</v>
      </c>
      <c r="AB10513">
        <v>12</v>
      </c>
      <c r="AC10513">
        <v>0.62680000000000202</v>
      </c>
      <c r="AD10513">
        <v>-0.18392339999999999</v>
      </c>
      <c r="AE10513">
        <v>-8.7700000000012296E-2</v>
      </c>
      <c r="AF10513">
        <v>8.6265482702033505E-2</v>
      </c>
      <c r="AG10513">
        <v>-0.18392339999999999</v>
      </c>
      <c r="AH10513">
        <v>0.577208664779438</v>
      </c>
      <c r="AI10513">
        <v>107.49186633780501</v>
      </c>
      <c r="AJ10513">
        <v>81.499896131489294</v>
      </c>
      <c r="AK10513">
        <v>0.61191453101706605</v>
      </c>
      <c r="AL10513">
        <v>91.154918737815805</v>
      </c>
      <c r="AM10513">
        <v>86.785707270311093</v>
      </c>
      <c r="AN10513">
        <v>1.00000002045128</v>
      </c>
    </row>
    <row r="10514" spans="1:40" x14ac:dyDescent="0.25">
      <c r="A10514" t="str">
        <f>"20190312154158750"</f>
        <v>20190312154158750</v>
      </c>
      <c r="B10514" t="str">
        <f>"1552376518736828"</f>
        <v>1552376518736828</v>
      </c>
      <c r="C10514" t="s">
        <v>40</v>
      </c>
      <c r="D10514">
        <v>4.2594139999999996</v>
      </c>
      <c r="E10514">
        <v>0.52771919999999894</v>
      </c>
      <c r="F10514" t="s">
        <v>41</v>
      </c>
      <c r="G10514">
        <v>-134.93</v>
      </c>
      <c r="H10514">
        <v>0.93045829999999996</v>
      </c>
      <c r="I10514">
        <v>137.41919999999999</v>
      </c>
      <c r="J10514">
        <v>-135.5446</v>
      </c>
      <c r="K10514">
        <v>1.1127659999999999</v>
      </c>
      <c r="L10514">
        <v>137.5059</v>
      </c>
      <c r="M10514">
        <v>0.99926159999999997</v>
      </c>
      <c r="N10514">
        <v>0</v>
      </c>
      <c r="O10514">
        <v>9.5439099999999992E-3</v>
      </c>
      <c r="P10514">
        <v>0.9973071</v>
      </c>
      <c r="Q10514">
        <v>-5.7342280000000002E-2</v>
      </c>
      <c r="R10514">
        <v>-4.572126E-2</v>
      </c>
      <c r="S10514">
        <v>2.9495849999999999</v>
      </c>
      <c r="T10514">
        <v>-0.73796269999999997</v>
      </c>
      <c r="U10514">
        <v>-0.34574890000000003</v>
      </c>
      <c r="V10514">
        <v>5.5248489999999997E-2</v>
      </c>
      <c r="W10514">
        <v>-2.0188370000000001E-2</v>
      </c>
      <c r="X10514">
        <v>0.9982685</v>
      </c>
      <c r="Y10514">
        <v>0.12190380000000001</v>
      </c>
      <c r="Z10514">
        <v>-1.7315090000000002E-2</v>
      </c>
      <c r="AA10514">
        <v>0.99239089999999996</v>
      </c>
      <c r="AB10514">
        <v>12</v>
      </c>
      <c r="AC10514">
        <v>0.61459999999999504</v>
      </c>
      <c r="AD10514">
        <v>-0.18230769999999899</v>
      </c>
      <c r="AE10514">
        <v>-8.6700000000007493E-2</v>
      </c>
      <c r="AF10514">
        <v>8.5214239835841601E-2</v>
      </c>
      <c r="AG10514">
        <v>-0.18230769999999899</v>
      </c>
      <c r="AH10514">
        <v>0.56500050153536796</v>
      </c>
      <c r="AI10514">
        <v>107.69579091070599</v>
      </c>
      <c r="AJ10514">
        <v>81.423205545554296</v>
      </c>
      <c r="AK10514">
        <v>0.59976923135928495</v>
      </c>
      <c r="AL10514">
        <v>91.156787004802794</v>
      </c>
      <c r="AM10514">
        <v>86.832235762177405</v>
      </c>
      <c r="AN10514">
        <v>0.99999998201139295</v>
      </c>
    </row>
    <row r="10515" spans="1:40" x14ac:dyDescent="0.25">
      <c r="A10515" t="str">
        <f>"20190312154158772"</f>
        <v>20190312154158772</v>
      </c>
      <c r="B10515" t="str">
        <f>"1552376518766108"</f>
        <v>1552376518766108</v>
      </c>
      <c r="C10515" t="s">
        <v>40</v>
      </c>
      <c r="D10515">
        <v>4.250292</v>
      </c>
      <c r="E10515">
        <v>0.52828430000000004</v>
      </c>
      <c r="F10515" t="s">
        <v>41</v>
      </c>
      <c r="G10515">
        <v>-134.83150000000001</v>
      </c>
      <c r="H10515">
        <v>0.93339539999999999</v>
      </c>
      <c r="I10515">
        <v>137.4222</v>
      </c>
      <c r="J10515">
        <v>-135.4408</v>
      </c>
      <c r="K10515">
        <v>1.1127670000000001</v>
      </c>
      <c r="L10515">
        <v>137.50720000000001</v>
      </c>
      <c r="M10515">
        <v>0.9992548</v>
      </c>
      <c r="N10515">
        <v>0</v>
      </c>
      <c r="O10515">
        <v>9.7547789999999999E-3</v>
      </c>
      <c r="P10515">
        <v>0.9973843</v>
      </c>
      <c r="Q10515">
        <v>-5.6680550000000003E-2</v>
      </c>
      <c r="R10515">
        <v>-4.4855659999999999E-2</v>
      </c>
      <c r="S10515">
        <v>2.9496150000000001</v>
      </c>
      <c r="T10515">
        <v>-0.74193319999999996</v>
      </c>
      <c r="U10515">
        <v>-0.3458405</v>
      </c>
      <c r="V10515">
        <v>5.459352E-2</v>
      </c>
      <c r="W10515">
        <v>-1.9397709999999999E-2</v>
      </c>
      <c r="X10515">
        <v>0.99832019999999999</v>
      </c>
      <c r="Y10515">
        <v>0.1220878</v>
      </c>
      <c r="Z10515">
        <v>-1.748009E-2</v>
      </c>
      <c r="AA10515">
        <v>0.99236539999999995</v>
      </c>
      <c r="AB10515">
        <v>11</v>
      </c>
      <c r="AC10515">
        <v>0.60929999999998996</v>
      </c>
      <c r="AD10515">
        <v>-0.17937159999999999</v>
      </c>
      <c r="AE10515">
        <v>-8.5000000000007903E-2</v>
      </c>
      <c r="AF10515">
        <v>8.3818229787732304E-2</v>
      </c>
      <c r="AG10515">
        <v>-0.17937159999999999</v>
      </c>
      <c r="AH10515">
        <v>0.56076974036743799</v>
      </c>
      <c r="AI10515">
        <v>107.554893405076</v>
      </c>
      <c r="AJ10515">
        <v>81.498937571626897</v>
      </c>
      <c r="AK10515">
        <v>0.59469518935591903</v>
      </c>
      <c r="AL10515">
        <v>91.111476655815096</v>
      </c>
      <c r="AM10515">
        <v>86.869876213970102</v>
      </c>
      <c r="AN10515">
        <v>0.99999997265363605</v>
      </c>
    </row>
    <row r="10516" spans="1:40" x14ac:dyDescent="0.25">
      <c r="A10516" t="str">
        <f>"20190312154158805"</f>
        <v>20190312154158805</v>
      </c>
      <c r="B10516" t="str">
        <f>"1552376518796364"</f>
        <v>1552376518796364</v>
      </c>
      <c r="C10516" t="s">
        <v>40</v>
      </c>
      <c r="D10516">
        <v>4.2566879999999996</v>
      </c>
      <c r="E10516">
        <v>0.52867350000000002</v>
      </c>
      <c r="F10516" t="s">
        <v>41</v>
      </c>
      <c r="G10516">
        <v>-134.73779999999999</v>
      </c>
      <c r="H10516">
        <v>0.93516580000000005</v>
      </c>
      <c r="I10516">
        <v>137.42429999999999</v>
      </c>
      <c r="J10516">
        <v>-135.31370000000001</v>
      </c>
      <c r="K10516">
        <v>1.112771</v>
      </c>
      <c r="L10516">
        <v>137.50880000000001</v>
      </c>
      <c r="M10516">
        <v>0.999247</v>
      </c>
      <c r="N10516">
        <v>0</v>
      </c>
      <c r="O10516">
        <v>1.0037320000000001E-2</v>
      </c>
      <c r="P10516">
        <v>0.99741380000000002</v>
      </c>
      <c r="Q10516">
        <v>-5.6637050000000001E-2</v>
      </c>
      <c r="R10516">
        <v>-4.424749E-2</v>
      </c>
      <c r="S10516">
        <v>2.949875</v>
      </c>
      <c r="T10516">
        <v>-0.74524080000000004</v>
      </c>
      <c r="U10516">
        <v>-0.34777829999999998</v>
      </c>
      <c r="V10516">
        <v>5.4267120000000002E-2</v>
      </c>
      <c r="W10516">
        <v>-1.9225280000000001E-2</v>
      </c>
      <c r="X10516">
        <v>0.99834140000000005</v>
      </c>
      <c r="Y10516">
        <v>0.1229317</v>
      </c>
      <c r="Z10516">
        <v>-1.7728270000000001E-2</v>
      </c>
      <c r="AA10516">
        <v>0.99225680000000005</v>
      </c>
      <c r="AB10516">
        <v>11</v>
      </c>
      <c r="AC10516">
        <v>0.57590000000001795</v>
      </c>
      <c r="AD10516">
        <v>-0.17760519999999899</v>
      </c>
      <c r="AE10516">
        <v>-8.4500000000019698E-2</v>
      </c>
      <c r="AF10516">
        <v>8.2590791894624802E-2</v>
      </c>
      <c r="AG10516">
        <v>-0.17760519999999899</v>
      </c>
      <c r="AH10516">
        <v>0.52604545878912801</v>
      </c>
      <c r="AI10516">
        <v>108.445474790585</v>
      </c>
      <c r="AJ10516">
        <v>81.077222026271102</v>
      </c>
      <c r="AK10516">
        <v>0.56132759658285503</v>
      </c>
      <c r="AL10516">
        <v>91.1015952258917</v>
      </c>
      <c r="AM10516">
        <v>86.888619445224506</v>
      </c>
      <c r="AN10516">
        <v>1.00000004132906</v>
      </c>
    </row>
    <row r="10517" spans="1:40" x14ac:dyDescent="0.25">
      <c r="A10517" t="str">
        <f>"20190312154158824"</f>
        <v>20190312154158824</v>
      </c>
      <c r="B10517" t="str">
        <f>"1552376518816860"</f>
        <v>1552376518816860</v>
      </c>
      <c r="C10517" t="s">
        <v>40</v>
      </c>
      <c r="D10517">
        <v>4.244745</v>
      </c>
      <c r="E10517">
        <v>0.52905780000000002</v>
      </c>
      <c r="F10517" t="s">
        <v>41</v>
      </c>
      <c r="G10517">
        <v>-134.56950000000001</v>
      </c>
      <c r="H10517">
        <v>0.92348869999999905</v>
      </c>
      <c r="I10517">
        <v>137.42070000000001</v>
      </c>
      <c r="J10517">
        <v>-135.21619999999999</v>
      </c>
      <c r="K10517">
        <v>1.112743</v>
      </c>
      <c r="L10517">
        <v>137.51</v>
      </c>
      <c r="M10517">
        <v>0.99924740000000001</v>
      </c>
      <c r="N10517">
        <v>0</v>
      </c>
      <c r="O10517">
        <v>1.026151E-2</v>
      </c>
      <c r="P10517">
        <v>0.99737410000000004</v>
      </c>
      <c r="Q10517">
        <v>-5.7189280000000002E-2</v>
      </c>
      <c r="R10517">
        <v>-4.443913E-2</v>
      </c>
      <c r="S10517">
        <v>2.9496920000000002</v>
      </c>
      <c r="T10517">
        <v>-0.75029780000000001</v>
      </c>
      <c r="U10517">
        <v>-0.34887699999999999</v>
      </c>
      <c r="V10517">
        <v>5.4681609999999999E-2</v>
      </c>
      <c r="W10517">
        <v>-1.984789E-2</v>
      </c>
      <c r="X10517">
        <v>0.99830660000000004</v>
      </c>
      <c r="Y10517">
        <v>0.123447</v>
      </c>
      <c r="Z10517">
        <v>-1.7965890000000002E-2</v>
      </c>
      <c r="AA10517">
        <v>0.99218850000000003</v>
      </c>
      <c r="AB10517">
        <v>10</v>
      </c>
      <c r="AC10517">
        <v>0.64669999999998096</v>
      </c>
      <c r="AD10517">
        <v>-0.18925429999999999</v>
      </c>
      <c r="AE10517">
        <v>-8.9299999999980104E-2</v>
      </c>
      <c r="AF10517">
        <v>8.8498684710426198E-2</v>
      </c>
      <c r="AG10517">
        <v>-0.18925429999999999</v>
      </c>
      <c r="AH10517">
        <v>0.59568769172886404</v>
      </c>
      <c r="AI10517">
        <v>107.445746974381</v>
      </c>
      <c r="AJ10517">
        <v>81.549629223139604</v>
      </c>
      <c r="AK10517">
        <v>0.63126304607606099</v>
      </c>
      <c r="AL10517">
        <v>91.137274958788296</v>
      </c>
      <c r="AM10517">
        <v>86.864793009012203</v>
      </c>
      <c r="AN10517">
        <v>1.0000000424066</v>
      </c>
    </row>
    <row r="10518" spans="1:40" x14ac:dyDescent="0.25">
      <c r="A10518" t="str">
        <f>"20190312154158848"</f>
        <v>20190312154158848</v>
      </c>
      <c r="B10518" t="str">
        <f>"1552376518836381"</f>
        <v>1552376518836381</v>
      </c>
      <c r="C10518" t="s">
        <v>40</v>
      </c>
      <c r="D10518">
        <v>4.2371259999999999</v>
      </c>
      <c r="E10518">
        <v>0.52926479999999998</v>
      </c>
      <c r="F10518" t="s">
        <v>41</v>
      </c>
      <c r="G10518">
        <v>-134.4864</v>
      </c>
      <c r="H10518">
        <v>0.92611379999999999</v>
      </c>
      <c r="I10518">
        <v>137.42259999999999</v>
      </c>
      <c r="J10518">
        <v>-135.12260000000001</v>
      </c>
      <c r="K10518">
        <v>1.1127229999999999</v>
      </c>
      <c r="L10518">
        <v>137.51130000000001</v>
      </c>
      <c r="M10518">
        <v>0.99925039999999998</v>
      </c>
      <c r="N10518">
        <v>0</v>
      </c>
      <c r="O10518">
        <v>1.04756E-2</v>
      </c>
      <c r="P10518">
        <v>0.99735759999999996</v>
      </c>
      <c r="Q10518">
        <v>-5.7062920000000003E-2</v>
      </c>
      <c r="R10518">
        <v>-4.4961870000000001E-2</v>
      </c>
      <c r="S10518">
        <v>2.948944</v>
      </c>
      <c r="T10518">
        <v>-0.75429559999999996</v>
      </c>
      <c r="U10518">
        <v>-0.3526917</v>
      </c>
      <c r="V10518">
        <v>5.5417760000000003E-2</v>
      </c>
      <c r="W10518">
        <v>-1.9862589999999999E-2</v>
      </c>
      <c r="X10518">
        <v>0.99826570000000003</v>
      </c>
      <c r="Y10518">
        <v>0.1248571</v>
      </c>
      <c r="Z10518">
        <v>-1.8292409999999999E-2</v>
      </c>
      <c r="AA10518">
        <v>0.9920061</v>
      </c>
      <c r="AB10518">
        <v>10</v>
      </c>
      <c r="AC10518">
        <v>0.63620000000000199</v>
      </c>
      <c r="AD10518">
        <v>-0.186609199999999</v>
      </c>
      <c r="AE10518">
        <v>-8.8700000000017099E-2</v>
      </c>
      <c r="AF10518">
        <v>8.7942417242706905E-2</v>
      </c>
      <c r="AG10518">
        <v>-0.186609199999999</v>
      </c>
      <c r="AH10518">
        <v>0.58579676997666996</v>
      </c>
      <c r="AI10518">
        <v>107.485785908186</v>
      </c>
      <c r="AJ10518">
        <v>81.462261025924803</v>
      </c>
      <c r="AK10518">
        <v>0.62105935142322</v>
      </c>
      <c r="AL10518">
        <v>91.138117387812301</v>
      </c>
      <c r="AM10518">
        <v>86.822541347194104</v>
      </c>
      <c r="AN10518">
        <v>1.0000000292007001</v>
      </c>
    </row>
    <row r="10519" spans="1:40" x14ac:dyDescent="0.25">
      <c r="A10519" t="str">
        <f>"20190312154158863"</f>
        <v>20190312154158863</v>
      </c>
      <c r="B10519" t="str">
        <f>"1552376518856877"</f>
        <v>1552376518856877</v>
      </c>
      <c r="C10519" t="s">
        <v>40</v>
      </c>
      <c r="D10519">
        <v>4.1989429999999999</v>
      </c>
      <c r="E10519">
        <v>0.52939590000000003</v>
      </c>
      <c r="F10519" t="s">
        <v>41</v>
      </c>
      <c r="G10519">
        <v>-134.4068</v>
      </c>
      <c r="H10519">
        <v>0.92930630000000003</v>
      </c>
      <c r="I10519">
        <v>137.42490000000001</v>
      </c>
      <c r="J10519">
        <v>-135.0598</v>
      </c>
      <c r="K10519">
        <v>1.1127149999999999</v>
      </c>
      <c r="L10519">
        <v>137.51220000000001</v>
      </c>
      <c r="M10519">
        <v>0.99925200000000003</v>
      </c>
      <c r="N10519">
        <v>0</v>
      </c>
      <c r="O10519">
        <v>1.062195E-2</v>
      </c>
      <c r="P10519">
        <v>0.99737410000000004</v>
      </c>
      <c r="Q10519">
        <v>-5.6539190000000003E-2</v>
      </c>
      <c r="R10519">
        <v>-4.5257449999999998E-2</v>
      </c>
      <c r="S10519">
        <v>2.9486539999999999</v>
      </c>
      <c r="T10519">
        <v>-0.755602</v>
      </c>
      <c r="U10519">
        <v>-0.35591129999999999</v>
      </c>
      <c r="V10519">
        <v>5.5858789999999998E-2</v>
      </c>
      <c r="W10519">
        <v>-1.9426329999999999E-2</v>
      </c>
      <c r="X10519">
        <v>0.99824970000000002</v>
      </c>
      <c r="Y10519">
        <v>0.12602469999999999</v>
      </c>
      <c r="Z10519">
        <v>-1.850723E-2</v>
      </c>
      <c r="AA10519">
        <v>0.99185440000000002</v>
      </c>
      <c r="AB10519">
        <v>9</v>
      </c>
      <c r="AC10519">
        <v>0.65299999999999103</v>
      </c>
      <c r="AD10519">
        <v>-0.18340869999999901</v>
      </c>
      <c r="AE10519">
        <v>-8.7299999999999003E-2</v>
      </c>
      <c r="AF10519">
        <v>8.74577435387182E-2</v>
      </c>
      <c r="AG10519">
        <v>-0.18340869999999901</v>
      </c>
      <c r="AH10519">
        <v>0.60513523454390095</v>
      </c>
      <c r="AI10519">
        <v>106.697691686678</v>
      </c>
      <c r="AJ10519">
        <v>81.776216425561799</v>
      </c>
      <c r="AK10519">
        <v>0.63833867204413997</v>
      </c>
      <c r="AL10519">
        <v>91.113116711694104</v>
      </c>
      <c r="AM10519">
        <v>86.797255451996307</v>
      </c>
      <c r="AN10519">
        <v>1.0000000251338099</v>
      </c>
    </row>
    <row r="10520" spans="1:40" x14ac:dyDescent="0.25">
      <c r="A10520" t="str">
        <f>"20190312154158885"</f>
        <v>20190312154158885</v>
      </c>
      <c r="B10520" t="str">
        <f>"1552376518876397"</f>
        <v>1552376518876397</v>
      </c>
      <c r="C10520" t="s">
        <v>40</v>
      </c>
      <c r="D10520">
        <v>4.1382719999999997</v>
      </c>
      <c r="E10520">
        <v>0.5295936</v>
      </c>
      <c r="F10520" t="s">
        <v>41</v>
      </c>
      <c r="G10520">
        <v>-134.3338</v>
      </c>
      <c r="H10520">
        <v>0.92669630000000003</v>
      </c>
      <c r="I10520">
        <v>137.4239</v>
      </c>
      <c r="J10520">
        <v>-134.982</v>
      </c>
      <c r="K10520">
        <v>1.1127199999999999</v>
      </c>
      <c r="L10520">
        <v>137.51320000000001</v>
      </c>
      <c r="M10520">
        <v>0.99925299999999995</v>
      </c>
      <c r="N10520">
        <v>0</v>
      </c>
      <c r="O10520">
        <v>1.0812240000000001E-2</v>
      </c>
      <c r="P10520">
        <v>0.99741670000000004</v>
      </c>
      <c r="Q10520">
        <v>-5.5948159999999997E-2</v>
      </c>
      <c r="R10520">
        <v>-4.5053450000000002E-2</v>
      </c>
      <c r="S10520">
        <v>2.9488219999999998</v>
      </c>
      <c r="T10520">
        <v>-0.75562890000000005</v>
      </c>
      <c r="U10520">
        <v>-0.35806270000000001</v>
      </c>
      <c r="V10520">
        <v>5.5844600000000001E-2</v>
      </c>
      <c r="W10520">
        <v>-1.8915979999999999E-2</v>
      </c>
      <c r="X10520">
        <v>0.99826029999999999</v>
      </c>
      <c r="Y10520">
        <v>0.126887</v>
      </c>
      <c r="Z10520">
        <v>-1.8662290000000002E-2</v>
      </c>
      <c r="AA10520">
        <v>0.9917416</v>
      </c>
      <c r="AB10520">
        <v>9</v>
      </c>
      <c r="AC10520">
        <v>0.648200000000002</v>
      </c>
      <c r="AD10520">
        <v>-0.18602369999999999</v>
      </c>
      <c r="AE10520">
        <v>-8.9300000000008595E-2</v>
      </c>
      <c r="AF10520">
        <v>8.9105982750403004E-2</v>
      </c>
      <c r="AG10520">
        <v>-0.18602369999999999</v>
      </c>
      <c r="AH10520">
        <v>0.59879725352702695</v>
      </c>
      <c r="AI10520">
        <v>107.081078066462</v>
      </c>
      <c r="AJ10520">
        <v>81.5360246764685</v>
      </c>
      <c r="AK10520">
        <v>0.63332680659760099</v>
      </c>
      <c r="AL10520">
        <v>91.083870430668895</v>
      </c>
      <c r="AM10520">
        <v>86.7981012919618</v>
      </c>
      <c r="AN10520">
        <v>1.0000000301023</v>
      </c>
    </row>
    <row r="10521" spans="1:40" x14ac:dyDescent="0.25">
      <c r="A10521" t="str">
        <f>"20190312154158907"</f>
        <v>20190312154158907</v>
      </c>
      <c r="B10521" t="str">
        <f>"1552376518896892"</f>
        <v>1552376518896892</v>
      </c>
      <c r="C10521" t="s">
        <v>40</v>
      </c>
      <c r="D10521">
        <v>4.1995480000000001</v>
      </c>
      <c r="E10521">
        <v>0.52979929999999997</v>
      </c>
      <c r="F10521" t="s">
        <v>41</v>
      </c>
      <c r="G10521">
        <v>-134.26249999999999</v>
      </c>
      <c r="H10521">
        <v>0.92864820000000003</v>
      </c>
      <c r="I10521">
        <v>137.4255</v>
      </c>
      <c r="J10521">
        <v>-134.9059</v>
      </c>
      <c r="K10521">
        <v>1.112722</v>
      </c>
      <c r="L10521">
        <v>137.51429999999999</v>
      </c>
      <c r="M10521">
        <v>0.99925339999999996</v>
      </c>
      <c r="N10521">
        <v>0</v>
      </c>
      <c r="O10521">
        <v>1.1009619999999999E-2</v>
      </c>
      <c r="P10521">
        <v>0.99747870000000005</v>
      </c>
      <c r="Q10521">
        <v>-5.5327300000000003E-2</v>
      </c>
      <c r="R10521">
        <v>-4.4446970000000002E-2</v>
      </c>
      <c r="S10521">
        <v>2.9492189999999998</v>
      </c>
      <c r="T10521">
        <v>-0.7544824</v>
      </c>
      <c r="U10521">
        <v>-0.35914610000000002</v>
      </c>
      <c r="V10521">
        <v>5.5435020000000002E-2</v>
      </c>
      <c r="W10521">
        <v>-1.8364100000000001E-2</v>
      </c>
      <c r="X10521">
        <v>0.9982934</v>
      </c>
      <c r="Y10521">
        <v>0.12741720000000001</v>
      </c>
      <c r="Z10521">
        <v>-1.8748109999999998E-2</v>
      </c>
      <c r="AA10521">
        <v>0.991672</v>
      </c>
      <c r="AB10521">
        <v>8</v>
      </c>
      <c r="AC10521">
        <v>0.64340000000001396</v>
      </c>
      <c r="AD10521">
        <v>-0.18407379999999901</v>
      </c>
      <c r="AE10521">
        <v>-8.8799999999991996E-2</v>
      </c>
      <c r="AF10521">
        <v>8.8754266723652997E-2</v>
      </c>
      <c r="AG10521">
        <v>-0.18407379999999901</v>
      </c>
      <c r="AH10521">
        <v>0.59462221440576501</v>
      </c>
      <c r="AI10521">
        <v>107.023145441165</v>
      </c>
      <c r="AJ10521">
        <v>81.510614763681502</v>
      </c>
      <c r="AK10521">
        <v>0.62875755388934196</v>
      </c>
      <c r="AL10521">
        <v>91.052244576505203</v>
      </c>
      <c r="AM10521">
        <v>86.821641761158205</v>
      </c>
      <c r="AN10521">
        <v>0.99999999704738496</v>
      </c>
    </row>
    <row r="10522" spans="1:40" x14ac:dyDescent="0.25">
      <c r="A10522" t="str">
        <f>"20190312154158929"</f>
        <v>20190312154158929</v>
      </c>
      <c r="B10522" t="str">
        <f>"1552376518916413"</f>
        <v>1552376518916413</v>
      </c>
      <c r="C10522" t="s">
        <v>40</v>
      </c>
      <c r="D10522">
        <v>4.1344070000000004</v>
      </c>
      <c r="E10522">
        <v>0.52994629999999998</v>
      </c>
      <c r="F10522" t="s">
        <v>41</v>
      </c>
      <c r="G10522">
        <v>-134.19460000000001</v>
      </c>
      <c r="H10522">
        <v>0.93083139999999998</v>
      </c>
      <c r="I10522">
        <v>137.42750000000001</v>
      </c>
      <c r="J10522">
        <v>-134.83519999999999</v>
      </c>
      <c r="K10522">
        <v>1.112581</v>
      </c>
      <c r="L10522">
        <v>137.5154</v>
      </c>
      <c r="M10522">
        <v>0.99927589999999999</v>
      </c>
      <c r="N10522">
        <v>0</v>
      </c>
      <c r="O10522">
        <v>1.120735E-2</v>
      </c>
      <c r="P10522">
        <v>0.99758630000000004</v>
      </c>
      <c r="Q10522">
        <v>-5.4471430000000001E-2</v>
      </c>
      <c r="R10522">
        <v>-4.3066790000000001E-2</v>
      </c>
      <c r="S10522">
        <v>2.949722</v>
      </c>
      <c r="T10522">
        <v>-0.75438119999999997</v>
      </c>
      <c r="U10522">
        <v>-0.35934450000000001</v>
      </c>
      <c r="V10522">
        <v>5.4253099999999901E-2</v>
      </c>
      <c r="W10522">
        <v>-1.817941E-2</v>
      </c>
      <c r="X10522">
        <v>0.99836170000000002</v>
      </c>
      <c r="Y10522">
        <v>0.1276475</v>
      </c>
      <c r="Z10522">
        <v>-1.8820980000000001E-2</v>
      </c>
      <c r="AA10522">
        <v>0.99164099999999999</v>
      </c>
      <c r="AB10522">
        <v>8</v>
      </c>
      <c r="AC10522">
        <v>0.64059999999997697</v>
      </c>
      <c r="AD10522">
        <v>-0.18174960000000001</v>
      </c>
      <c r="AE10522">
        <v>-8.78999999999905E-2</v>
      </c>
      <c r="AF10522">
        <v>8.8116708261280499E-2</v>
      </c>
      <c r="AG10522">
        <v>-0.18174960000000001</v>
      </c>
      <c r="AH10522">
        <v>0.59274242187624704</v>
      </c>
      <c r="AI10522">
        <v>106.872126736128</v>
      </c>
      <c r="AJ10522">
        <v>81.544371953793004</v>
      </c>
      <c r="AK10522">
        <v>0.62621166554662899</v>
      </c>
      <c r="AL10522">
        <v>91.041660862621001</v>
      </c>
      <c r="AM10522">
        <v>86.889484820945199</v>
      </c>
      <c r="AN10522">
        <v>0.99999998691722403</v>
      </c>
    </row>
    <row r="10523" spans="1:40" x14ac:dyDescent="0.25">
      <c r="A10523" t="str">
        <f>"20190312154158951"</f>
        <v>20190312154158951</v>
      </c>
      <c r="B10523" t="str">
        <f>"1552376518936909"</f>
        <v>1552376518936909</v>
      </c>
      <c r="C10523" t="s">
        <v>40</v>
      </c>
      <c r="D10523">
        <v>4.1226089999999997</v>
      </c>
      <c r="E10523">
        <v>0.5300473</v>
      </c>
      <c r="F10523" t="s">
        <v>41</v>
      </c>
      <c r="G10523">
        <v>-134.12719999999999</v>
      </c>
      <c r="H10523">
        <v>0.93194100000000002</v>
      </c>
      <c r="I10523">
        <v>137.4299</v>
      </c>
      <c r="J10523">
        <v>-134.76070000000001</v>
      </c>
      <c r="K10523">
        <v>1.1122430000000001</v>
      </c>
      <c r="L10523">
        <v>137.5164</v>
      </c>
      <c r="M10523">
        <v>0.9993301</v>
      </c>
      <c r="N10523">
        <v>0</v>
      </c>
      <c r="O10523">
        <v>1.142992E-2</v>
      </c>
      <c r="P10523">
        <v>0.99769929999999996</v>
      </c>
      <c r="Q10523">
        <v>-5.303513E-2</v>
      </c>
      <c r="R10523">
        <v>-4.2236679999999999E-2</v>
      </c>
      <c r="S10523">
        <v>2.9507599999999998</v>
      </c>
      <c r="T10523">
        <v>-0.75286699999999995</v>
      </c>
      <c r="U10523">
        <v>-0.35632320000000001</v>
      </c>
      <c r="V10523">
        <v>5.3645900000000003E-2</v>
      </c>
      <c r="W10523">
        <v>-1.832783E-2</v>
      </c>
      <c r="X10523">
        <v>0.99839180000000005</v>
      </c>
      <c r="Y10523">
        <v>0.12686259999999999</v>
      </c>
      <c r="Z10523">
        <v>-1.873648E-2</v>
      </c>
      <c r="AA10523">
        <v>0.99174329999999999</v>
      </c>
      <c r="AB10523">
        <v>7</v>
      </c>
      <c r="AC10523">
        <v>0.63350000000002604</v>
      </c>
      <c r="AD10523">
        <v>-0.18030199999999999</v>
      </c>
      <c r="AE10523">
        <v>-8.6500000000000896E-2</v>
      </c>
      <c r="AF10523">
        <v>8.6834364454556695E-2</v>
      </c>
      <c r="AG10523">
        <v>-0.18030199999999999</v>
      </c>
      <c r="AH10523">
        <v>0.58587919674317801</v>
      </c>
      <c r="AI10523">
        <v>106.931330323135</v>
      </c>
      <c r="AJ10523">
        <v>81.569447605057505</v>
      </c>
      <c r="AK10523">
        <v>0.61911505492166696</v>
      </c>
      <c r="AL10523">
        <v>91.050166117089503</v>
      </c>
      <c r="AM10523">
        <v>86.924322997936599</v>
      </c>
      <c r="AN10523">
        <v>0.99999998912327903</v>
      </c>
    </row>
    <row r="10524" spans="1:40" x14ac:dyDescent="0.25">
      <c r="A10524" t="str">
        <f>"20190312154158973"</f>
        <v>20190312154158973</v>
      </c>
      <c r="B10524" t="str">
        <f>"1552376518966188"</f>
        <v>1552376518966188</v>
      </c>
      <c r="C10524" t="s">
        <v>40</v>
      </c>
      <c r="D10524">
        <v>4.1217030000000001</v>
      </c>
      <c r="E10524">
        <v>0.53020959999999995</v>
      </c>
      <c r="F10524" t="s">
        <v>41</v>
      </c>
      <c r="G10524">
        <v>-134.05940000000001</v>
      </c>
      <c r="H10524">
        <v>0.93421860000000001</v>
      </c>
      <c r="I10524">
        <v>137.43209999999999</v>
      </c>
      <c r="J10524">
        <v>-134.68729999999999</v>
      </c>
      <c r="K10524">
        <v>1.1120000000000001</v>
      </c>
      <c r="L10524">
        <v>137.51759999999999</v>
      </c>
      <c r="M10524">
        <v>0.9993784</v>
      </c>
      <c r="N10524">
        <v>0</v>
      </c>
      <c r="O10524">
        <v>1.164988E-2</v>
      </c>
      <c r="P10524">
        <v>0.99782099999999996</v>
      </c>
      <c r="Q10524">
        <v>-5.1392130000000001E-2</v>
      </c>
      <c r="R10524">
        <v>-4.1377369999999997E-2</v>
      </c>
      <c r="S10524">
        <v>2.9520420000000001</v>
      </c>
      <c r="T10524">
        <v>-0.74941550000000001</v>
      </c>
      <c r="U10524">
        <v>-0.35487370000000001</v>
      </c>
      <c r="V10524">
        <v>5.3007360000000003E-2</v>
      </c>
      <c r="W10524">
        <v>-1.817599E-2</v>
      </c>
      <c r="X10524">
        <v>0.99842869999999995</v>
      </c>
      <c r="Y10524">
        <v>0.12659329999999999</v>
      </c>
      <c r="Z10524">
        <v>-1.8667070000000001E-2</v>
      </c>
      <c r="AA10524">
        <v>0.99177899999999997</v>
      </c>
      <c r="AB10524">
        <v>8</v>
      </c>
      <c r="AC10524">
        <v>0.62789999999998203</v>
      </c>
      <c r="AD10524">
        <v>-0.17778140000000001</v>
      </c>
      <c r="AE10524">
        <v>-8.5499999999996107E-2</v>
      </c>
      <c r="AF10524">
        <v>8.6041169436937001E-2</v>
      </c>
      <c r="AG10524">
        <v>-0.17778140000000001</v>
      </c>
      <c r="AH10524">
        <v>0.58112238173714104</v>
      </c>
      <c r="AI10524">
        <v>106.837312825925</v>
      </c>
      <c r="AJ10524">
        <v>81.577954798729394</v>
      </c>
      <c r="AK10524">
        <v>0.61376911911555398</v>
      </c>
      <c r="AL10524">
        <v>91.041464856809895</v>
      </c>
      <c r="AM10524">
        <v>86.960975439804898</v>
      </c>
      <c r="AN10524">
        <v>1.0000000079051601</v>
      </c>
    </row>
    <row r="10525" spans="1:40" x14ac:dyDescent="0.25">
      <c r="A10525" t="str">
        <f>"20190312154158999"</f>
        <v>20190312154158999</v>
      </c>
      <c r="B10525" t="str">
        <f>"1552376518986684"</f>
        <v>1552376518986684</v>
      </c>
      <c r="C10525" t="s">
        <v>40</v>
      </c>
      <c r="D10525">
        <v>4.0921799999999999</v>
      </c>
      <c r="E10525">
        <v>0.53034250000000005</v>
      </c>
      <c r="F10525" t="s">
        <v>41</v>
      </c>
      <c r="G10525">
        <v>-133.9939</v>
      </c>
      <c r="H10525">
        <v>0.93688680000000002</v>
      </c>
      <c r="I10525">
        <v>137.43450000000001</v>
      </c>
      <c r="J10525">
        <v>-134.61179999999999</v>
      </c>
      <c r="K10525">
        <v>1.11215</v>
      </c>
      <c r="L10525">
        <v>137.5187</v>
      </c>
      <c r="M10525">
        <v>0.99938150000000003</v>
      </c>
      <c r="N10525">
        <v>0</v>
      </c>
      <c r="O10525">
        <v>1.1862050000000001E-2</v>
      </c>
      <c r="P10525">
        <v>0.99786790000000003</v>
      </c>
      <c r="Q10525">
        <v>-5.062755E-2</v>
      </c>
      <c r="R10525">
        <v>-4.1192359999999997E-2</v>
      </c>
      <c r="S10525">
        <v>2.9534760000000002</v>
      </c>
      <c r="T10525">
        <v>-0.74593989999999999</v>
      </c>
      <c r="U10525">
        <v>-0.35354609999999997</v>
      </c>
      <c r="V10525">
        <v>5.303385E-2</v>
      </c>
      <c r="W10525">
        <v>-1.7574530000000001E-2</v>
      </c>
      <c r="X10525">
        <v>0.9984381</v>
      </c>
      <c r="Y10525">
        <v>0.1263512</v>
      </c>
      <c r="Z10525">
        <v>-1.8597499999999999E-2</v>
      </c>
      <c r="AA10525">
        <v>0.9918112</v>
      </c>
      <c r="AB10525">
        <v>8</v>
      </c>
      <c r="AC10525">
        <v>0.61789999999999101</v>
      </c>
      <c r="AD10525">
        <v>-0.17526319999999901</v>
      </c>
      <c r="AE10525">
        <v>-8.4199999999981401E-2</v>
      </c>
      <c r="AF10525">
        <v>8.4827402753647405E-2</v>
      </c>
      <c r="AG10525">
        <v>-0.17526319999999901</v>
      </c>
      <c r="AH10525">
        <v>0.571700352467161</v>
      </c>
      <c r="AI10525">
        <v>106.869657887095</v>
      </c>
      <c r="AJ10525">
        <v>81.560179234552294</v>
      </c>
      <c r="AK10525">
        <v>0.60394881450603499</v>
      </c>
      <c r="AL10525">
        <v>91.006998191293803</v>
      </c>
      <c r="AM10525">
        <v>86.959488132905804</v>
      </c>
      <c r="AN10525">
        <v>1.0000000464410701</v>
      </c>
    </row>
    <row r="10526" spans="1:40" x14ac:dyDescent="0.25">
      <c r="A10526" t="str">
        <f>"20190312154159022"</f>
        <v>20190312154159022</v>
      </c>
      <c r="B10526" t="str">
        <f>"1552376519016940"</f>
        <v>1552376519016940</v>
      </c>
      <c r="C10526" t="s">
        <v>40</v>
      </c>
      <c r="D10526">
        <v>4.1065199999999997</v>
      </c>
      <c r="E10526">
        <v>0.53055289999999999</v>
      </c>
      <c r="F10526" t="s">
        <v>41</v>
      </c>
      <c r="G10526">
        <v>-133.8861</v>
      </c>
      <c r="H10526">
        <v>0.92938770000000004</v>
      </c>
      <c r="I10526">
        <v>137.4316</v>
      </c>
      <c r="J10526">
        <v>-134.5514</v>
      </c>
      <c r="K10526">
        <v>1.1125020000000001</v>
      </c>
      <c r="L10526">
        <v>137.5197</v>
      </c>
      <c r="M10526">
        <v>0.99935010000000002</v>
      </c>
      <c r="N10526">
        <v>0</v>
      </c>
      <c r="O10526">
        <v>1.202579E-2</v>
      </c>
      <c r="P10526">
        <v>0.99788060000000001</v>
      </c>
      <c r="Q10526">
        <v>-5.0604999999999997E-2</v>
      </c>
      <c r="R10526">
        <v>-4.0905160000000003E-2</v>
      </c>
      <c r="S10526">
        <v>2.9540099999999998</v>
      </c>
      <c r="T10526">
        <v>-0.74397480000000005</v>
      </c>
      <c r="U10526">
        <v>-0.35455320000000001</v>
      </c>
      <c r="V10526">
        <v>5.2909560000000001E-2</v>
      </c>
      <c r="W10526">
        <v>-1.6686010000000001E-2</v>
      </c>
      <c r="X10526">
        <v>0.99845989999999996</v>
      </c>
      <c r="Y10526">
        <v>0.12683030000000001</v>
      </c>
      <c r="Z10526">
        <v>-1.8646179999999998E-2</v>
      </c>
      <c r="AA10526">
        <v>0.9917492</v>
      </c>
      <c r="AB10526">
        <v>7</v>
      </c>
      <c r="AC10526">
        <v>0.665300000000002</v>
      </c>
      <c r="AD10526">
        <v>-0.18311430000000001</v>
      </c>
      <c r="AE10526">
        <v>-8.8099999999997097E-2</v>
      </c>
      <c r="AF10526">
        <v>8.9440250035005803E-2</v>
      </c>
      <c r="AG10526">
        <v>-0.18311430000000001</v>
      </c>
      <c r="AH10526">
        <v>0.61816953451006496</v>
      </c>
      <c r="AI10526">
        <v>106.339423120807</v>
      </c>
      <c r="AJ10526">
        <v>81.767254591743097</v>
      </c>
      <c r="AK10526">
        <v>0.65089475231192695</v>
      </c>
      <c r="AL10526">
        <v>90.956082311457195</v>
      </c>
      <c r="AM10526">
        <v>86.966666651971707</v>
      </c>
      <c r="AN10526">
        <v>1.0000000081885601</v>
      </c>
    </row>
    <row r="10527" spans="1:40" x14ac:dyDescent="0.25">
      <c r="A10527" t="str">
        <f>"20190312154159046"</f>
        <v>20190312154159046</v>
      </c>
      <c r="B10527" t="str">
        <f>"1552376519036461"</f>
        <v>1552376519036461</v>
      </c>
      <c r="C10527" t="s">
        <v>40</v>
      </c>
      <c r="D10527">
        <v>4.0204110000000002</v>
      </c>
      <c r="E10527">
        <v>0.53069390000000005</v>
      </c>
      <c r="F10527" t="s">
        <v>41</v>
      </c>
      <c r="G10527">
        <v>-133.83699999999999</v>
      </c>
      <c r="H10527">
        <v>0.93244190000000005</v>
      </c>
      <c r="I10527">
        <v>137.43360000000001</v>
      </c>
      <c r="J10527">
        <v>-134.49610000000001</v>
      </c>
      <c r="K10527">
        <v>1.1128469999999999</v>
      </c>
      <c r="L10527">
        <v>137.5206</v>
      </c>
      <c r="M10527">
        <v>0.99930770000000002</v>
      </c>
      <c r="N10527">
        <v>0</v>
      </c>
      <c r="O10527">
        <v>1.2170149999999999E-2</v>
      </c>
      <c r="P10527">
        <v>0.99786790000000003</v>
      </c>
      <c r="Q10527">
        <v>-5.0870230000000002E-2</v>
      </c>
      <c r="R10527">
        <v>-4.089272E-2</v>
      </c>
      <c r="S10527">
        <v>2.9540410000000001</v>
      </c>
      <c r="T10527">
        <v>-0.74469300000000005</v>
      </c>
      <c r="U10527">
        <v>-0.35530089999999998</v>
      </c>
      <c r="V10527">
        <v>5.304031E-2</v>
      </c>
      <c r="W10527">
        <v>-1.5779319999999999E-2</v>
      </c>
      <c r="X10527">
        <v>0.99846769999999996</v>
      </c>
      <c r="Y10527">
        <v>0.12719649999999999</v>
      </c>
      <c r="Z10527">
        <v>-1.874435E-2</v>
      </c>
      <c r="AA10527">
        <v>0.99170040000000004</v>
      </c>
      <c r="AB10527">
        <v>6</v>
      </c>
      <c r="AC10527">
        <v>0.65909999999999502</v>
      </c>
      <c r="AD10527">
        <v>-0.18040510000000001</v>
      </c>
      <c r="AE10527">
        <v>-8.6999999999989003E-2</v>
      </c>
      <c r="AF10527">
        <v>8.8502817544647602E-2</v>
      </c>
      <c r="AG10527">
        <v>-0.18040510000000001</v>
      </c>
      <c r="AH10527">
        <v>0.61286260312715801</v>
      </c>
      <c r="AI10527">
        <v>106.243087538615</v>
      </c>
      <c r="AJ10527">
        <v>81.782785394445796</v>
      </c>
      <c r="AK10527">
        <v>0.64496458750162999</v>
      </c>
      <c r="AL10527">
        <v>90.904125957257705</v>
      </c>
      <c r="AM10527">
        <v>86.959208445306501</v>
      </c>
      <c r="AN10527">
        <v>1.0000000046839199</v>
      </c>
    </row>
    <row r="10528" spans="1:40" x14ac:dyDescent="0.25">
      <c r="A10528" t="str">
        <f>"20190312154159062"</f>
        <v>20190312154159062</v>
      </c>
      <c r="B10528" t="str">
        <f>"1552376519056959"</f>
        <v>1552376519056959</v>
      </c>
      <c r="C10528" t="s">
        <v>40</v>
      </c>
      <c r="D10528">
        <v>3.979454</v>
      </c>
      <c r="E10528">
        <v>0.53080830000000001</v>
      </c>
      <c r="F10528" t="s">
        <v>41</v>
      </c>
      <c r="G10528">
        <v>-133.79300000000001</v>
      </c>
      <c r="H10528">
        <v>0.93525650000000005</v>
      </c>
      <c r="I10528">
        <v>137.4357</v>
      </c>
      <c r="J10528">
        <v>-134.46289999999999</v>
      </c>
      <c r="K10528">
        <v>1.1130450000000001</v>
      </c>
      <c r="L10528">
        <v>137.52109999999999</v>
      </c>
      <c r="M10528">
        <v>0.99927829999999995</v>
      </c>
      <c r="N10528">
        <v>0</v>
      </c>
      <c r="O10528">
        <v>1.224893E-2</v>
      </c>
      <c r="P10528">
        <v>0.99786439999999998</v>
      </c>
      <c r="Q10528">
        <v>-5.0800779999999997E-2</v>
      </c>
      <c r="R10528">
        <v>-4.105835E-2</v>
      </c>
      <c r="S10528">
        <v>2.9537659999999999</v>
      </c>
      <c r="T10528">
        <v>-0.74604789999999999</v>
      </c>
      <c r="U10528">
        <v>-0.35617070000000001</v>
      </c>
      <c r="V10528">
        <v>5.328476E-2</v>
      </c>
      <c r="W10528">
        <v>-1.4911590000000001E-2</v>
      </c>
      <c r="X10528">
        <v>0.99846800000000002</v>
      </c>
      <c r="Y10528">
        <v>0.12754450000000001</v>
      </c>
      <c r="Z10528">
        <v>-1.8841529999999999E-2</v>
      </c>
      <c r="AA10528">
        <v>0.99165389999999998</v>
      </c>
      <c r="AB10528">
        <v>5</v>
      </c>
      <c r="AC10528">
        <v>0.66989999999998395</v>
      </c>
      <c r="AD10528">
        <v>-0.17778849999999999</v>
      </c>
      <c r="AE10528">
        <v>-8.5399999999992801E-2</v>
      </c>
      <c r="AF10528">
        <v>8.7537373507715496E-2</v>
      </c>
      <c r="AG10528">
        <v>-0.17778849999999999</v>
      </c>
      <c r="AH10528">
        <v>0.62545371979156705</v>
      </c>
      <c r="AI10528">
        <v>105.72251883610301</v>
      </c>
      <c r="AJ10528">
        <v>82.032738840099597</v>
      </c>
      <c r="AK10528">
        <v>0.65609747606128399</v>
      </c>
      <c r="AL10528">
        <v>90.854402851946105</v>
      </c>
      <c r="AM10528">
        <v>86.945221568421005</v>
      </c>
      <c r="AN10528">
        <v>0.99999998409429203</v>
      </c>
    </row>
    <row r="10529" spans="1:40" x14ac:dyDescent="0.25">
      <c r="A10529" t="str">
        <f>"20190312154159086"</f>
        <v>20190312154159086</v>
      </c>
      <c r="B10529" t="str">
        <f>"1552376519076477"</f>
        <v>1552376519076477</v>
      </c>
      <c r="C10529" t="s">
        <v>40</v>
      </c>
      <c r="D10529">
        <v>4.0207199999999998</v>
      </c>
      <c r="E10529">
        <v>0.53094200000000003</v>
      </c>
      <c r="F10529" t="s">
        <v>41</v>
      </c>
      <c r="G10529">
        <v>-133.75569999999999</v>
      </c>
      <c r="H10529">
        <v>0.93463810000000003</v>
      </c>
      <c r="I10529">
        <v>137.43539999999999</v>
      </c>
      <c r="J10529">
        <v>-134.42179999999999</v>
      </c>
      <c r="K10529">
        <v>1.1132709999999999</v>
      </c>
      <c r="L10529">
        <v>137.52170000000001</v>
      </c>
      <c r="M10529">
        <v>0.99923700000000004</v>
      </c>
      <c r="N10529">
        <v>0</v>
      </c>
      <c r="O10529">
        <v>1.233047E-2</v>
      </c>
      <c r="P10529">
        <v>0.99787939999999997</v>
      </c>
      <c r="Q10529">
        <v>-5.0626230000000001E-2</v>
      </c>
      <c r="R10529">
        <v>-4.090792E-2</v>
      </c>
      <c r="S10529">
        <v>2.9537659999999999</v>
      </c>
      <c r="T10529">
        <v>-0.74522540000000004</v>
      </c>
      <c r="U10529">
        <v>-0.35751339999999998</v>
      </c>
      <c r="V10529">
        <v>5.3216029999999998E-2</v>
      </c>
      <c r="W10529">
        <v>-1.363791E-2</v>
      </c>
      <c r="X10529">
        <v>0.99848990000000004</v>
      </c>
      <c r="Y10529">
        <v>0.12806129999999999</v>
      </c>
      <c r="Z10529">
        <v>-1.8905189999999999E-2</v>
      </c>
      <c r="AA10529">
        <v>0.99158599999999997</v>
      </c>
      <c r="AB10529">
        <v>5</v>
      </c>
      <c r="AC10529">
        <v>0.66610000000000003</v>
      </c>
      <c r="AD10529">
        <v>-0.17863289999999901</v>
      </c>
      <c r="AE10529">
        <v>-8.6300000000022595E-2</v>
      </c>
      <c r="AF10529">
        <v>8.8268980535840202E-2</v>
      </c>
      <c r="AG10529">
        <v>-0.17863289999999901</v>
      </c>
      <c r="AH10529">
        <v>0.62105604490343902</v>
      </c>
      <c r="AI10529">
        <v>105.895145192828</v>
      </c>
      <c r="AJ10529">
        <v>81.910885864865094</v>
      </c>
      <c r="AK10529">
        <v>0.65223595178305604</v>
      </c>
      <c r="AL10529">
        <v>90.781418901315405</v>
      </c>
      <c r="AM10529">
        <v>86.949221151587196</v>
      </c>
      <c r="AN10529">
        <v>1.0000000094200601</v>
      </c>
    </row>
    <row r="10530" spans="1:40" x14ac:dyDescent="0.25">
      <c r="A10530" t="str">
        <f>"20190312154159106"</f>
        <v>20190312154159106</v>
      </c>
      <c r="B10530" t="str">
        <f>"1552376519096974"</f>
        <v>1552376519096974</v>
      </c>
      <c r="C10530" t="s">
        <v>40</v>
      </c>
      <c r="D10530">
        <v>4.0742669999999999</v>
      </c>
      <c r="E10530">
        <v>0.53110829999999998</v>
      </c>
      <c r="F10530" t="s">
        <v>41</v>
      </c>
      <c r="G10530">
        <v>-133.72210000000001</v>
      </c>
      <c r="H10530">
        <v>0.93685649999999998</v>
      </c>
      <c r="I10530">
        <v>137.43680000000001</v>
      </c>
      <c r="J10530">
        <v>-134.3897</v>
      </c>
      <c r="K10530">
        <v>1.1134299999999999</v>
      </c>
      <c r="L10530">
        <v>137.5222</v>
      </c>
      <c r="M10530">
        <v>0.99919860000000005</v>
      </c>
      <c r="N10530">
        <v>0</v>
      </c>
      <c r="O10530">
        <v>1.238013E-2</v>
      </c>
      <c r="P10530">
        <v>0.99793160000000003</v>
      </c>
      <c r="Q10530">
        <v>-4.958133E-2</v>
      </c>
      <c r="R10530">
        <v>-4.0918339999999997E-2</v>
      </c>
      <c r="S10530">
        <v>2.9539029999999999</v>
      </c>
      <c r="T10530">
        <v>-0.7448205</v>
      </c>
      <c r="U10530">
        <v>-0.35830689999999998</v>
      </c>
      <c r="V10530">
        <v>5.3277129999999999E-2</v>
      </c>
      <c r="W10530">
        <v>-1.158699E-2</v>
      </c>
      <c r="X10530">
        <v>0.99851259999999997</v>
      </c>
      <c r="Y10530">
        <v>0.12836239999999999</v>
      </c>
      <c r="Z10530">
        <v>-1.8943749999999999E-2</v>
      </c>
      <c r="AA10530">
        <v>0.99154640000000005</v>
      </c>
      <c r="AB10530">
        <v>4</v>
      </c>
      <c r="AC10530">
        <v>0.66759999999999298</v>
      </c>
      <c r="AD10530">
        <v>-0.176573499999999</v>
      </c>
      <c r="AE10530">
        <v>-8.5399999999992801E-2</v>
      </c>
      <c r="AF10530">
        <v>8.7632769692069498E-2</v>
      </c>
      <c r="AG10530">
        <v>-0.176573499999999</v>
      </c>
      <c r="AH10530">
        <v>0.62357117382181704</v>
      </c>
      <c r="AI10530">
        <v>105.664000130041</v>
      </c>
      <c r="AJ10530">
        <v>82.000400382343997</v>
      </c>
      <c r="AK10530">
        <v>0.65398678277750599</v>
      </c>
      <c r="AL10530">
        <v>90.663900439597498</v>
      </c>
      <c r="AM10530">
        <v>86.945794331018007</v>
      </c>
      <c r="AN10530">
        <v>1.0000000616385201</v>
      </c>
    </row>
    <row r="10531" spans="1:40" x14ac:dyDescent="0.25">
      <c r="A10531" t="str">
        <f>"20190312154159129"</f>
        <v>20190312154159129</v>
      </c>
      <c r="B10531" t="str">
        <f>"1552376519116492"</f>
        <v>1552376519116492</v>
      </c>
      <c r="C10531" t="s">
        <v>40</v>
      </c>
      <c r="D10531">
        <v>4.0144699999999904</v>
      </c>
      <c r="E10531">
        <v>0.531246</v>
      </c>
      <c r="F10531" t="s">
        <v>41</v>
      </c>
      <c r="G10531">
        <v>-133.69390000000001</v>
      </c>
      <c r="H10531">
        <v>0.93867140000000004</v>
      </c>
      <c r="I10531">
        <v>137.43729999999999</v>
      </c>
      <c r="J10531">
        <v>-134.363</v>
      </c>
      <c r="K10531">
        <v>1.113572</v>
      </c>
      <c r="L10531">
        <v>137.52260000000001</v>
      </c>
      <c r="M10531">
        <v>0.99915860000000001</v>
      </c>
      <c r="N10531">
        <v>0</v>
      </c>
      <c r="O10531">
        <v>1.241253E-2</v>
      </c>
      <c r="P10531">
        <v>0.99795699999999998</v>
      </c>
      <c r="Q10531">
        <v>-4.9602960000000001E-2</v>
      </c>
      <c r="R10531">
        <v>-4.0270180000000003E-2</v>
      </c>
      <c r="S10531">
        <v>2.95459</v>
      </c>
      <c r="T10531">
        <v>-0.74216910000000003</v>
      </c>
      <c r="U10531">
        <v>-0.35998540000000001</v>
      </c>
      <c r="V10531">
        <v>5.2661909999999999E-2</v>
      </c>
      <c r="W10531">
        <v>-1.0584130000000001E-2</v>
      </c>
      <c r="X10531">
        <v>0.99855629999999995</v>
      </c>
      <c r="Y10531">
        <v>0.12893669999999999</v>
      </c>
      <c r="Z10531">
        <v>-1.895239E-2</v>
      </c>
      <c r="AA10531">
        <v>0.99147169999999896</v>
      </c>
      <c r="AB10531">
        <v>4</v>
      </c>
      <c r="AC10531">
        <v>0.66909999999998604</v>
      </c>
      <c r="AD10531">
        <v>-0.17490059999999899</v>
      </c>
      <c r="AE10531">
        <v>-8.5300000000017903E-2</v>
      </c>
      <c r="AF10531">
        <v>8.7707905457668794E-2</v>
      </c>
      <c r="AG10531">
        <v>-0.17490059999999899</v>
      </c>
      <c r="AH10531">
        <v>0.62590566291935901</v>
      </c>
      <c r="AI10531">
        <v>105.46848281186401</v>
      </c>
      <c r="AJ10531">
        <v>82.023107369175605</v>
      </c>
      <c r="AK10531">
        <v>0.65577495791975304</v>
      </c>
      <c r="AL10531">
        <v>90.606437306342698</v>
      </c>
      <c r="AM10531">
        <v>86.981129158509802</v>
      </c>
      <c r="AN10531">
        <v>0.99999999242119697</v>
      </c>
    </row>
    <row r="10532" spans="1:40" x14ac:dyDescent="0.25">
      <c r="A10532" t="str">
        <f>"20190312154159151"</f>
        <v>20190312154159151</v>
      </c>
      <c r="B10532" t="str">
        <f>"1552376519146748"</f>
        <v>1552376519146748</v>
      </c>
      <c r="C10532" t="s">
        <v>40</v>
      </c>
      <c r="D10532">
        <v>4.041811</v>
      </c>
      <c r="E10532">
        <v>0.53141740000000004</v>
      </c>
      <c r="F10532" t="s">
        <v>41</v>
      </c>
      <c r="G10532">
        <v>-133.67150000000001</v>
      </c>
      <c r="H10532">
        <v>0.93974970000000002</v>
      </c>
      <c r="I10532">
        <v>137.4384</v>
      </c>
      <c r="J10532">
        <v>-134.34190000000001</v>
      </c>
      <c r="K10532">
        <v>1.113666</v>
      </c>
      <c r="L10532">
        <v>137.52289999999999</v>
      </c>
      <c r="M10532">
        <v>0.99912190000000001</v>
      </c>
      <c r="N10532">
        <v>0</v>
      </c>
      <c r="O10532">
        <v>1.243113E-2</v>
      </c>
      <c r="P10532">
        <v>0.99795049999999996</v>
      </c>
      <c r="Q10532">
        <v>-5.0058859999999997E-2</v>
      </c>
      <c r="R10532">
        <v>-3.9861309999999997E-2</v>
      </c>
      <c r="S10532">
        <v>2.9547119999999998</v>
      </c>
      <c r="T10532">
        <v>-0.74280269999999904</v>
      </c>
      <c r="U10532">
        <v>-0.35966490000000001</v>
      </c>
      <c r="V10532">
        <v>5.2272039999999999E-2</v>
      </c>
      <c r="W10532">
        <v>-1.0120540000000001E-2</v>
      </c>
      <c r="X10532">
        <v>0.99858159999999896</v>
      </c>
      <c r="Y10532">
        <v>0.12884000000000001</v>
      </c>
      <c r="Z10532">
        <v>-1.8960230000000002E-2</v>
      </c>
      <c r="AA10532">
        <v>0.99148409999999998</v>
      </c>
      <c r="AB10532">
        <v>3</v>
      </c>
      <c r="AC10532">
        <v>0.6704</v>
      </c>
      <c r="AD10532">
        <v>-0.1739163</v>
      </c>
      <c r="AE10532">
        <v>-8.4499999999991304E-2</v>
      </c>
      <c r="AF10532">
        <v>8.7066089574287603E-2</v>
      </c>
      <c r="AG10532">
        <v>-0.1739163</v>
      </c>
      <c r="AH10532">
        <v>0.62771267629580196</v>
      </c>
      <c r="AI10532">
        <v>105.346215863797</v>
      </c>
      <c r="AJ10532">
        <v>82.103245609486194</v>
      </c>
      <c r="AK10532">
        <v>0.65715339711659904</v>
      </c>
      <c r="AL10532">
        <v>90.579874126674497</v>
      </c>
      <c r="AM10532">
        <v>87.003513553514296</v>
      </c>
      <c r="AN10532">
        <v>1.0000000016771</v>
      </c>
    </row>
    <row r="10533" spans="1:40" x14ac:dyDescent="0.25">
      <c r="A10533" t="str">
        <f>"20190312154159175"</f>
        <v>20190312154159175</v>
      </c>
      <c r="B10533" t="str">
        <f>"1552376519166269"</f>
        <v>1552376519166269</v>
      </c>
      <c r="C10533" t="s">
        <v>40</v>
      </c>
      <c r="D10533">
        <v>4.0481109999999996</v>
      </c>
      <c r="E10533">
        <v>0.53155149999999995</v>
      </c>
      <c r="F10533" t="s">
        <v>41</v>
      </c>
      <c r="G10533">
        <v>-133.65430000000001</v>
      </c>
      <c r="H10533">
        <v>0.94029839999999998</v>
      </c>
      <c r="I10533">
        <v>137.43899999999999</v>
      </c>
      <c r="J10533">
        <v>-134.3254</v>
      </c>
      <c r="K10533">
        <v>1.1135820000000001</v>
      </c>
      <c r="L10533">
        <v>137.5231</v>
      </c>
      <c r="M10533">
        <v>0.99911249999999996</v>
      </c>
      <c r="N10533">
        <v>0</v>
      </c>
      <c r="O10533">
        <v>1.2443009999999999E-2</v>
      </c>
      <c r="P10533">
        <v>0.99794229999999995</v>
      </c>
      <c r="Q10533">
        <v>-5.0245020000000001E-2</v>
      </c>
      <c r="R10533">
        <v>-3.9838560000000002E-2</v>
      </c>
      <c r="S10533">
        <v>2.9544069999999998</v>
      </c>
      <c r="T10533">
        <v>-0.74500159999999904</v>
      </c>
      <c r="U10533">
        <v>-0.35961910000000002</v>
      </c>
      <c r="V10533">
        <v>5.2261219999999997E-2</v>
      </c>
      <c r="W10533">
        <v>-1.0073800000000001E-2</v>
      </c>
      <c r="X10533">
        <v>0.99858270000000005</v>
      </c>
      <c r="Y10533">
        <v>0.12882299999999999</v>
      </c>
      <c r="Z10533">
        <v>-1.9017450000000002E-2</v>
      </c>
      <c r="AA10533">
        <v>0.99148519999999896</v>
      </c>
      <c r="AB10533">
        <v>2</v>
      </c>
      <c r="AC10533">
        <v>0.67109999999999503</v>
      </c>
      <c r="AD10533">
        <v>-0.17328359999999901</v>
      </c>
      <c r="AE10533">
        <v>-8.4100000000006503E-2</v>
      </c>
      <c r="AF10533">
        <v>8.6756026340640793E-2</v>
      </c>
      <c r="AG10533">
        <v>-0.17328359999999901</v>
      </c>
      <c r="AH10533">
        <v>0.62873035778423803</v>
      </c>
      <c r="AI10533">
        <v>105.27082634251801</v>
      </c>
      <c r="AJ10533">
        <v>82.143592720689796</v>
      </c>
      <c r="AK10533">
        <v>0.65791768249141502</v>
      </c>
      <c r="AL10533">
        <v>90.577195950223796</v>
      </c>
      <c r="AM10533">
        <v>87.004135972406999</v>
      </c>
      <c r="AN10533">
        <v>1.0000000626508001</v>
      </c>
    </row>
    <row r="10534" spans="1:40" x14ac:dyDescent="0.25">
      <c r="A10534" t="str">
        <f>"20190312154159199"</f>
        <v>20190312154159199</v>
      </c>
      <c r="B10534" t="str">
        <f>"1552376519186765"</f>
        <v>1552376519186765</v>
      </c>
      <c r="C10534" t="s">
        <v>40</v>
      </c>
      <c r="D10534">
        <v>4.0148440000000001</v>
      </c>
      <c r="E10534">
        <v>0.53168389999999999</v>
      </c>
      <c r="F10534" t="s">
        <v>41</v>
      </c>
      <c r="G10534">
        <v>-133.64009999999999</v>
      </c>
      <c r="H10534">
        <v>0.9405289</v>
      </c>
      <c r="I10534">
        <v>137.43940000000001</v>
      </c>
      <c r="J10534">
        <v>-134.30840000000001</v>
      </c>
      <c r="K10534">
        <v>1.113156</v>
      </c>
      <c r="L10534">
        <v>137.52330000000001</v>
      </c>
      <c r="M10534">
        <v>0.99916079999999996</v>
      </c>
      <c r="N10534">
        <v>0</v>
      </c>
      <c r="O10534">
        <v>1.249107E-2</v>
      </c>
      <c r="P10534">
        <v>0.99801580000000001</v>
      </c>
      <c r="Q10534">
        <v>-4.9009320000000002E-2</v>
      </c>
      <c r="R10534">
        <v>-3.9529990000000001E-2</v>
      </c>
      <c r="S10534">
        <v>2.9542389999999998</v>
      </c>
      <c r="T10534">
        <v>-0.74608929999999996</v>
      </c>
      <c r="U10534">
        <v>-0.36058040000000002</v>
      </c>
      <c r="V10534">
        <v>5.2001720000000001E-2</v>
      </c>
      <c r="W10534">
        <v>-1.006869E-2</v>
      </c>
      <c r="X10534">
        <v>0.99859629999999999</v>
      </c>
      <c r="Y10534">
        <v>0.1291697</v>
      </c>
      <c r="Z10534">
        <v>-1.9099789999999998E-2</v>
      </c>
      <c r="AA10534">
        <v>0.99143859999999995</v>
      </c>
      <c r="AB10534">
        <v>2</v>
      </c>
      <c r="AC10534">
        <v>0.66830000000001599</v>
      </c>
      <c r="AD10534">
        <v>-0.17262709999999901</v>
      </c>
      <c r="AE10534">
        <v>-8.3899999999999794E-2</v>
      </c>
      <c r="AF10534">
        <v>8.6561561950948704E-2</v>
      </c>
      <c r="AG10534">
        <v>-0.17262709999999901</v>
      </c>
      <c r="AH10534">
        <v>0.626073691471559</v>
      </c>
      <c r="AI10534">
        <v>105.27667021678801</v>
      </c>
      <c r="AJ10534">
        <v>82.128136000628501</v>
      </c>
      <c r="AK10534">
        <v>0.65518034678600001</v>
      </c>
      <c r="AL10534">
        <v>90.576903153245894</v>
      </c>
      <c r="AM10534">
        <v>87.0190253860534</v>
      </c>
      <c r="AN10534">
        <v>1.00000006388748</v>
      </c>
    </row>
    <row r="10535" spans="1:40" x14ac:dyDescent="0.25">
      <c r="A10535" t="str">
        <f>"20190312154159226"</f>
        <v>20190312154159226</v>
      </c>
      <c r="B10535" t="str">
        <f>"1552376519217021"</f>
        <v>1552376519217021</v>
      </c>
      <c r="C10535" t="s">
        <v>40</v>
      </c>
      <c r="D10535">
        <v>3.9971380000000001</v>
      </c>
      <c r="E10535">
        <v>0.53185450000000001</v>
      </c>
      <c r="F10535" t="s">
        <v>41</v>
      </c>
      <c r="G10535">
        <v>-133.61349999999999</v>
      </c>
      <c r="H10535">
        <v>0.93852670000000005</v>
      </c>
      <c r="I10535">
        <v>137.43860000000001</v>
      </c>
      <c r="J10535">
        <v>-134.28980000000001</v>
      </c>
      <c r="K10535">
        <v>1.1125160000000001</v>
      </c>
      <c r="L10535">
        <v>137.52359999999999</v>
      </c>
      <c r="M10535">
        <v>0.99925430000000004</v>
      </c>
      <c r="N10535">
        <v>0</v>
      </c>
      <c r="O10535">
        <v>1.25819E-2</v>
      </c>
      <c r="P10535">
        <v>0.9981546</v>
      </c>
      <c r="Q10535">
        <v>-4.6246500000000003E-2</v>
      </c>
      <c r="R10535">
        <v>-3.9356420000000003E-2</v>
      </c>
      <c r="S10535">
        <v>2.9552</v>
      </c>
      <c r="T10535">
        <v>-0.74268369999999995</v>
      </c>
      <c r="U10535">
        <v>-0.36074830000000002</v>
      </c>
      <c r="V10535">
        <v>5.1919630000000001E-2</v>
      </c>
      <c r="W10535">
        <v>-9.8005200000000001E-3</v>
      </c>
      <c r="X10535">
        <v>0.99860320000000002</v>
      </c>
      <c r="Y10535">
        <v>0.12931039999999999</v>
      </c>
      <c r="Z10535">
        <v>-1.9048659999999999E-2</v>
      </c>
      <c r="AA10535">
        <v>0.9914212</v>
      </c>
      <c r="AB10535">
        <v>2</v>
      </c>
      <c r="AC10535">
        <v>0.67630000000002599</v>
      </c>
      <c r="AD10535">
        <v>-0.17398930000000001</v>
      </c>
      <c r="AE10535">
        <v>-8.4999999999979495E-2</v>
      </c>
      <c r="AF10535">
        <v>8.7788087621737093E-2</v>
      </c>
      <c r="AG10535">
        <v>-0.17398930000000001</v>
      </c>
      <c r="AH10535">
        <v>0.63387496839846103</v>
      </c>
      <c r="AI10535">
        <v>105.210461961888</v>
      </c>
      <c r="AJ10535">
        <v>82.1150173439338</v>
      </c>
      <c r="AK10535">
        <v>0.66315646751345303</v>
      </c>
      <c r="AL10535">
        <v>90.561537408754006</v>
      </c>
      <c r="AM10535">
        <v>87.023743218127507</v>
      </c>
      <c r="AN10535">
        <v>1.00000002461092</v>
      </c>
    </row>
    <row r="10536" spans="1:40" x14ac:dyDescent="0.25">
      <c r="A10536" t="str">
        <f>"20190312154159247"</f>
        <v>20190312154159247</v>
      </c>
      <c r="B10536" t="str">
        <f>"1552376519236541"</f>
        <v>1552376519236541</v>
      </c>
      <c r="C10536" t="s">
        <v>40</v>
      </c>
      <c r="D10536">
        <v>4.0104639999999998</v>
      </c>
      <c r="E10536">
        <v>0.53196330000000003</v>
      </c>
      <c r="F10536" t="s">
        <v>41</v>
      </c>
      <c r="G10536">
        <v>-133.5993</v>
      </c>
      <c r="H10536">
        <v>0.9409286</v>
      </c>
      <c r="I10536">
        <v>137.43899999999999</v>
      </c>
      <c r="J10536">
        <v>-134.27690000000001</v>
      </c>
      <c r="K10536">
        <v>1.112147</v>
      </c>
      <c r="L10536">
        <v>137.5239</v>
      </c>
      <c r="M10536">
        <v>0.99931820000000005</v>
      </c>
      <c r="N10536">
        <v>0</v>
      </c>
      <c r="O10536">
        <v>1.264203E-2</v>
      </c>
      <c r="P10536">
        <v>0.99824420000000003</v>
      </c>
      <c r="Q10536">
        <v>-4.4466640000000002E-2</v>
      </c>
      <c r="R10536">
        <v>-3.9130100000000001E-2</v>
      </c>
      <c r="S10536">
        <v>2.95723</v>
      </c>
      <c r="T10536">
        <v>-0.73489019999999905</v>
      </c>
      <c r="U10536">
        <v>-0.36172490000000002</v>
      </c>
      <c r="V10536">
        <v>5.175416E-2</v>
      </c>
      <c r="W10536">
        <v>-9.8325170000000007E-3</v>
      </c>
      <c r="X10536">
        <v>0.99861149999999999</v>
      </c>
      <c r="Y10536">
        <v>0.1296921</v>
      </c>
      <c r="Z10536">
        <v>-1.890286E-2</v>
      </c>
      <c r="AA10536">
        <v>0.99137410000000004</v>
      </c>
      <c r="AB10536">
        <v>2</v>
      </c>
      <c r="AC10536">
        <v>0.67760000000001197</v>
      </c>
      <c r="AD10536">
        <v>-0.17121839999999999</v>
      </c>
      <c r="AE10536">
        <v>-8.4900000000004597E-2</v>
      </c>
      <c r="AF10536">
        <v>8.7936715894109702E-2</v>
      </c>
      <c r="AG10536">
        <v>-0.17121839999999999</v>
      </c>
      <c r="AH10536">
        <v>0.63646244476903802</v>
      </c>
      <c r="AI10536">
        <v>104.92165690759801</v>
      </c>
      <c r="AJ10536">
        <v>82.133542555809399</v>
      </c>
      <c r="AK10536">
        <v>0.66493086114436095</v>
      </c>
      <c r="AL10536">
        <v>90.563370775969204</v>
      </c>
      <c r="AM10536">
        <v>87.033236312847606</v>
      </c>
      <c r="AN10536">
        <v>1.0000000497000501</v>
      </c>
    </row>
    <row r="10537" spans="1:40" x14ac:dyDescent="0.25">
      <c r="A10537" t="str">
        <f>"20190312154159270"</f>
        <v>20190312154159270</v>
      </c>
      <c r="B10537" t="str">
        <f>"1552376519266796"</f>
        <v>1552376519266796</v>
      </c>
      <c r="C10537" t="s">
        <v>40</v>
      </c>
      <c r="D10537">
        <v>4.0244239999999998</v>
      </c>
      <c r="E10537">
        <v>0.5322365</v>
      </c>
      <c r="F10537" t="s">
        <v>41</v>
      </c>
      <c r="G10537">
        <v>-133.5874</v>
      </c>
      <c r="H10537">
        <v>0.94199200000000005</v>
      </c>
      <c r="I10537">
        <v>137.43950000000001</v>
      </c>
      <c r="J10537">
        <v>-134.26490000000001</v>
      </c>
      <c r="K10537">
        <v>1.11191</v>
      </c>
      <c r="L10537">
        <v>137.5241</v>
      </c>
      <c r="M10537">
        <v>0.9993727</v>
      </c>
      <c r="N10537">
        <v>0</v>
      </c>
      <c r="O10537">
        <v>1.268586E-2</v>
      </c>
      <c r="P10537">
        <v>0.99830969999999997</v>
      </c>
      <c r="Q10537">
        <v>-4.3098400000000002E-2</v>
      </c>
      <c r="R10537">
        <v>-3.8998640000000001E-2</v>
      </c>
      <c r="S10537">
        <v>2.9585880000000002</v>
      </c>
      <c r="T10537">
        <v>-0.73006510000000002</v>
      </c>
      <c r="U10537">
        <v>-0.36157230000000001</v>
      </c>
      <c r="V10537">
        <v>5.1666440000000001E-2</v>
      </c>
      <c r="W10537">
        <v>-1.0083109999999999E-2</v>
      </c>
      <c r="X10537">
        <v>0.99861350000000004</v>
      </c>
      <c r="Y10537">
        <v>0.12968740000000001</v>
      </c>
      <c r="Z10537">
        <v>-1.8783970000000001E-2</v>
      </c>
      <c r="AA10537">
        <v>0.99137699999999995</v>
      </c>
      <c r="AB10537">
        <v>2</v>
      </c>
      <c r="AC10537">
        <v>0.67750000000000898</v>
      </c>
      <c r="AD10537">
        <v>-0.16991799999999899</v>
      </c>
      <c r="AE10537">
        <v>-8.4599999999994596E-2</v>
      </c>
      <c r="AF10537">
        <v>8.7757255725939301E-2</v>
      </c>
      <c r="AG10537">
        <v>-0.16991799999999899</v>
      </c>
      <c r="AH10537">
        <v>0.63692335926116805</v>
      </c>
      <c r="AI10537">
        <v>104.80381077413701</v>
      </c>
      <c r="AJ10537">
        <v>82.155006333417703</v>
      </c>
      <c r="AK10537">
        <v>0.665014908275806</v>
      </c>
      <c r="AL10537">
        <v>90.577729433573197</v>
      </c>
      <c r="AM10537">
        <v>87.038261748751694</v>
      </c>
      <c r="AN10537">
        <v>1.00000000625589</v>
      </c>
    </row>
    <row r="10538" spans="1:40" x14ac:dyDescent="0.25">
      <c r="A10538" t="str">
        <f>"20190312154159287"</f>
        <v>20190312154159287</v>
      </c>
      <c r="B10538" t="str">
        <f>"1552376519276557"</f>
        <v>1552376519276557</v>
      </c>
      <c r="C10538" t="s">
        <v>40</v>
      </c>
      <c r="D10538">
        <v>4.0019600000000004</v>
      </c>
      <c r="E10538">
        <v>0.5322905</v>
      </c>
      <c r="F10538" t="s">
        <v>41</v>
      </c>
      <c r="G10538">
        <v>-133.57759999999999</v>
      </c>
      <c r="H10538">
        <v>0.94302090000000005</v>
      </c>
      <c r="I10538">
        <v>137.43960000000001</v>
      </c>
      <c r="J10538">
        <v>-134.25799999999899</v>
      </c>
      <c r="K10538">
        <v>1.1118269999999999</v>
      </c>
      <c r="L10538">
        <v>137.52420000000001</v>
      </c>
      <c r="M10538">
        <v>0.99940200000000001</v>
      </c>
      <c r="N10538">
        <v>0</v>
      </c>
      <c r="O10538">
        <v>1.270343E-2</v>
      </c>
      <c r="P10538">
        <v>0.99832960000000004</v>
      </c>
      <c r="Q10538">
        <v>-4.22989E-2</v>
      </c>
      <c r="R10538">
        <v>-3.9354220000000002E-2</v>
      </c>
      <c r="S10538">
        <v>2.9595030000000002</v>
      </c>
      <c r="T10538">
        <v>-0.7273482</v>
      </c>
      <c r="U10538">
        <v>-0.36325069999999998</v>
      </c>
      <c r="V10538">
        <v>5.2039429999999998E-2</v>
      </c>
      <c r="W10538">
        <v>-1.0194379999999999E-2</v>
      </c>
      <c r="X10538">
        <v>0.99859299999999995</v>
      </c>
      <c r="Y10538">
        <v>0.1302384</v>
      </c>
      <c r="Z10538">
        <v>-1.878051E-2</v>
      </c>
      <c r="AA10538">
        <v>0.99130479999999999</v>
      </c>
      <c r="AB10538">
        <v>1</v>
      </c>
      <c r="AC10538">
        <v>0.68039999999999101</v>
      </c>
      <c r="AD10538">
        <v>-0.16880609999999999</v>
      </c>
      <c r="AE10538">
        <v>-8.4599999999994596E-2</v>
      </c>
      <c r="AF10538">
        <v>8.7912197980026197E-2</v>
      </c>
      <c r="AG10538">
        <v>-0.16880609999999999</v>
      </c>
      <c r="AH10538">
        <v>0.64044856485162305</v>
      </c>
      <c r="AI10538">
        <v>104.63463984374199</v>
      </c>
      <c r="AJ10538">
        <v>82.184048510757407</v>
      </c>
      <c r="AK10538">
        <v>0.66813053976853398</v>
      </c>
      <c r="AL10538">
        <v>90.584105064140104</v>
      </c>
      <c r="AM10538">
        <v>87.016857740427497</v>
      </c>
      <c r="AN10538">
        <v>1.00000000365365</v>
      </c>
    </row>
    <row r="10539" spans="1:40" x14ac:dyDescent="0.25">
      <c r="A10539" t="str">
        <f>"20190312154159307"</f>
        <v>20190312154159307</v>
      </c>
      <c r="B10539" t="str">
        <f>"1552376519296078"</f>
        <v>1552376519296078</v>
      </c>
      <c r="C10539" t="s">
        <v>40</v>
      </c>
      <c r="D10539">
        <v>4.0402060000000004</v>
      </c>
      <c r="E10539">
        <v>0.53239919999999996</v>
      </c>
      <c r="F10539" t="s">
        <v>41</v>
      </c>
      <c r="G10539">
        <v>-133.5703</v>
      </c>
      <c r="H10539">
        <v>0.94332169999999904</v>
      </c>
      <c r="I10539">
        <v>137.43960000000001</v>
      </c>
      <c r="J10539">
        <v>-134.25120000000001</v>
      </c>
      <c r="K10539">
        <v>1.1117600000000001</v>
      </c>
      <c r="L10539">
        <v>137.52440000000001</v>
      </c>
      <c r="M10539">
        <v>0.99943380000000004</v>
      </c>
      <c r="N10539">
        <v>0</v>
      </c>
      <c r="O10539">
        <v>1.271682E-2</v>
      </c>
      <c r="P10539">
        <v>0.99835600000000002</v>
      </c>
      <c r="Q10539">
        <v>-4.1479759999999997E-2</v>
      </c>
      <c r="R10539">
        <v>-3.956001E-2</v>
      </c>
      <c r="S10539">
        <v>2.9599150000000001</v>
      </c>
      <c r="T10539">
        <v>-0.72517849999999995</v>
      </c>
      <c r="U10539">
        <v>-0.36459350000000001</v>
      </c>
      <c r="V10539">
        <v>5.2258150000000003E-2</v>
      </c>
      <c r="W10539">
        <v>-1.037634E-2</v>
      </c>
      <c r="X10539">
        <v>0.99857969999999896</v>
      </c>
      <c r="Y10539">
        <v>0.1306901</v>
      </c>
      <c r="Z10539">
        <v>-1.878053E-2</v>
      </c>
      <c r="AA10539">
        <v>0.99124540000000005</v>
      </c>
      <c r="AB10539">
        <v>1</v>
      </c>
      <c r="AC10539">
        <v>0.68090000000000805</v>
      </c>
      <c r="AD10539">
        <v>-0.16843830000000001</v>
      </c>
      <c r="AE10539">
        <v>-8.4800000000001305E-2</v>
      </c>
      <c r="AF10539">
        <v>8.8144610619524694E-2</v>
      </c>
      <c r="AG10539">
        <v>-0.16843830000000001</v>
      </c>
      <c r="AH10539">
        <v>0.64113127391119695</v>
      </c>
      <c r="AI10539">
        <v>104.588823336758</v>
      </c>
      <c r="AJ10539">
        <v>82.171882982550898</v>
      </c>
      <c r="AK10539">
        <v>0.668722845187117</v>
      </c>
      <c r="AL10539">
        <v>90.594531157846703</v>
      </c>
      <c r="AM10539">
        <v>87.004302655528207</v>
      </c>
      <c r="AN10539">
        <v>0.99999999996265299</v>
      </c>
    </row>
    <row r="10540" spans="1:40" x14ac:dyDescent="0.25">
      <c r="A10540" t="str">
        <f>"20190312154159331"</f>
        <v>20190312154159331</v>
      </c>
      <c r="B10540" t="str">
        <f>"1552376519326336"</f>
        <v>1552376519326336</v>
      </c>
      <c r="C10540" t="s">
        <v>40</v>
      </c>
      <c r="D10540">
        <v>4.009614</v>
      </c>
      <c r="E10540">
        <v>0.532508599999999</v>
      </c>
      <c r="F10540" t="s">
        <v>41</v>
      </c>
      <c r="G10540">
        <v>-133.56440000000001</v>
      </c>
      <c r="H10540">
        <v>0.94401190000000001</v>
      </c>
      <c r="I10540">
        <v>137.43940000000001</v>
      </c>
      <c r="J10540">
        <v>-134.2456</v>
      </c>
      <c r="K10540">
        <v>1.111688</v>
      </c>
      <c r="L10540">
        <v>137.52440000000001</v>
      </c>
      <c r="M10540">
        <v>0.99946650000000004</v>
      </c>
      <c r="N10540">
        <v>0</v>
      </c>
      <c r="O10540">
        <v>1.273024E-2</v>
      </c>
      <c r="P10540">
        <v>0.99841100000000005</v>
      </c>
      <c r="Q10540">
        <v>-3.984451E-2</v>
      </c>
      <c r="R10540">
        <v>-3.9849969999999998E-2</v>
      </c>
      <c r="S10540">
        <v>2.960388</v>
      </c>
      <c r="T10540">
        <v>-0.72305719999999996</v>
      </c>
      <c r="U10540">
        <v>-0.36604310000000001</v>
      </c>
      <c r="V10540">
        <v>5.2561709999999998E-2</v>
      </c>
      <c r="W10540">
        <v>-9.8150779999999997E-3</v>
      </c>
      <c r="X10540">
        <v>0.99856940000000005</v>
      </c>
      <c r="Y10540">
        <v>0.13117319999999999</v>
      </c>
      <c r="Z10540">
        <v>-1.8784769999999999E-2</v>
      </c>
      <c r="AA10540">
        <v>0.99118150000000005</v>
      </c>
      <c r="AB10540">
        <v>1</v>
      </c>
      <c r="AC10540">
        <v>0.68119999999998904</v>
      </c>
      <c r="AD10540">
        <v>-0.16767609999999999</v>
      </c>
      <c r="AE10540">
        <v>-8.5000000000007903E-2</v>
      </c>
      <c r="AF10540">
        <v>8.83952129916388E-2</v>
      </c>
      <c r="AG10540">
        <v>-0.16767609999999999</v>
      </c>
      <c r="AH10540">
        <v>0.64177396124309805</v>
      </c>
      <c r="AI10540">
        <v>104.511199536132</v>
      </c>
      <c r="AJ10540">
        <v>82.157667497577705</v>
      </c>
      <c r="AK10540">
        <v>0.66918069721167595</v>
      </c>
      <c r="AL10540">
        <v>90.562371598349401</v>
      </c>
      <c r="AM10540">
        <v>86.986902035693703</v>
      </c>
      <c r="AN10540">
        <v>0.99999995786531404</v>
      </c>
    </row>
    <row r="10541" spans="1:40" x14ac:dyDescent="0.25">
      <c r="A10541" t="str">
        <f>"20190312154159352"</f>
        <v>20190312154159352</v>
      </c>
      <c r="B10541" t="str">
        <f>"1552376519346829"</f>
        <v>1552376519346829</v>
      </c>
      <c r="C10541" t="s">
        <v>40</v>
      </c>
      <c r="D10541">
        <v>3.9939170000000002</v>
      </c>
      <c r="E10541">
        <v>0.5326303</v>
      </c>
      <c r="F10541" t="s">
        <v>41</v>
      </c>
      <c r="G10541">
        <v>-133.55950000000001</v>
      </c>
      <c r="H10541">
        <v>0.94514109999999996</v>
      </c>
      <c r="I10541">
        <v>137.4393</v>
      </c>
      <c r="J10541">
        <v>-134.2413</v>
      </c>
      <c r="K10541">
        <v>1.111594</v>
      </c>
      <c r="L10541">
        <v>137.52449999999999</v>
      </c>
      <c r="M10541">
        <v>0.99950099999999997</v>
      </c>
      <c r="N10541">
        <v>0</v>
      </c>
      <c r="O10541">
        <v>1.274524E-2</v>
      </c>
      <c r="P10541">
        <v>0.99846460000000004</v>
      </c>
      <c r="Q10541">
        <v>-3.8200530000000003E-2</v>
      </c>
      <c r="R10541">
        <v>-4.0117569999999998E-2</v>
      </c>
      <c r="S10541">
        <v>2.9614259999999999</v>
      </c>
      <c r="T10541">
        <v>-0.71882429999999997</v>
      </c>
      <c r="U10541">
        <v>-0.36729430000000002</v>
      </c>
      <c r="V10541">
        <v>5.2844269999999999E-2</v>
      </c>
      <c r="W10541">
        <v>-9.344761E-3</v>
      </c>
      <c r="X10541">
        <v>0.99855910000000003</v>
      </c>
      <c r="Y10541">
        <v>0.1315963</v>
      </c>
      <c r="Z10541">
        <v>-1.872501E-2</v>
      </c>
      <c r="AA10541">
        <v>0.99112650000000002</v>
      </c>
      <c r="AB10541">
        <v>1</v>
      </c>
      <c r="AC10541">
        <v>0.68179999999998098</v>
      </c>
      <c r="AD10541">
        <v>-0.16645289999999999</v>
      </c>
      <c r="AE10541">
        <v>-8.5199999999986106E-2</v>
      </c>
      <c r="AF10541">
        <v>8.8681963336683794E-2</v>
      </c>
      <c r="AG10541">
        <v>-0.16645289999999999</v>
      </c>
      <c r="AH10541">
        <v>0.64292699910787099</v>
      </c>
      <c r="AI10541">
        <v>104.384622299577</v>
      </c>
      <c r="AJ10541">
        <v>82.146478799548603</v>
      </c>
      <c r="AK10541">
        <v>0.67001954055199897</v>
      </c>
      <c r="AL10541">
        <v>90.535423127159802</v>
      </c>
      <c r="AM10541">
        <v>86.970703194327996</v>
      </c>
      <c r="AN10541">
        <v>1.00000005881139</v>
      </c>
    </row>
    <row r="10542" spans="1:40" x14ac:dyDescent="0.25">
      <c r="A10542" t="str">
        <f>"20190312154159375"</f>
        <v>20190312154159375</v>
      </c>
      <c r="B10542" t="str">
        <f>"1552376519366349"</f>
        <v>1552376519366349</v>
      </c>
      <c r="C10542" t="s">
        <v>40</v>
      </c>
      <c r="D10542">
        <v>4.0666929999999999</v>
      </c>
      <c r="E10542">
        <v>0.53274239999999995</v>
      </c>
      <c r="F10542" t="s">
        <v>41</v>
      </c>
      <c r="G10542">
        <v>-133.55539999999999</v>
      </c>
      <c r="H10542">
        <v>0.94620000000000004</v>
      </c>
      <c r="I10542">
        <v>137.43899999999999</v>
      </c>
      <c r="J10542">
        <v>-134.23769999999999</v>
      </c>
      <c r="K10542">
        <v>1.11147</v>
      </c>
      <c r="L10542">
        <v>137.52459999999999</v>
      </c>
      <c r="M10542">
        <v>0.99953669999999994</v>
      </c>
      <c r="N10542">
        <v>0</v>
      </c>
      <c r="O10542">
        <v>1.2759329999999999E-2</v>
      </c>
      <c r="P10542">
        <v>0.99848230000000004</v>
      </c>
      <c r="Q10542">
        <v>-3.7357349999999998E-2</v>
      </c>
      <c r="R10542">
        <v>-4.0464670000000001E-2</v>
      </c>
      <c r="S10542">
        <v>2.9624630000000001</v>
      </c>
      <c r="T10542">
        <v>-0.71451929999999997</v>
      </c>
      <c r="U10542">
        <v>-0.3686371</v>
      </c>
      <c r="V10542">
        <v>5.320515E-2</v>
      </c>
      <c r="W10542">
        <v>-9.7729470000000006E-3</v>
      </c>
      <c r="X10542">
        <v>0.99853579999999997</v>
      </c>
      <c r="Y10542">
        <v>0.13204839999999901</v>
      </c>
      <c r="Z10542">
        <v>-1.8665959999999999E-2</v>
      </c>
      <c r="AA10542">
        <v>0.99106749999999999</v>
      </c>
      <c r="AB10542">
        <v>1</v>
      </c>
      <c r="AC10542">
        <v>0.68229999999999702</v>
      </c>
      <c r="AD10542">
        <v>-0.16527</v>
      </c>
      <c r="AE10542">
        <v>-8.5599999999999399E-2</v>
      </c>
      <c r="AF10542">
        <v>8.9152279035781296E-2</v>
      </c>
      <c r="AG10542">
        <v>-0.16527</v>
      </c>
      <c r="AH10542">
        <v>0.64395460979043195</v>
      </c>
      <c r="AI10542">
        <v>104.263782803609</v>
      </c>
      <c r="AJ10542">
        <v>82.1177919212885</v>
      </c>
      <c r="AK10542">
        <v>0.67077555204973105</v>
      </c>
      <c r="AL10542">
        <v>90.559957518522197</v>
      </c>
      <c r="AM10542">
        <v>86.949983647179906</v>
      </c>
      <c r="AN10542">
        <v>1.0000000211806099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2020-05-20T14:50:45Z</dcterms:created>
  <dcterms:modified xsi:type="dcterms:W3CDTF">2020-05-20T14:50:46Z</dcterms:modified>
</cp:coreProperties>
</file>